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8920" yWindow="-120" windowWidth="29040" windowHeight="3680" tabRatio="621"/>
  </bookViews>
  <sheets>
    <sheet name="Présentation" sheetId="1" r:id="rId1"/>
    <sheet name="Évolution" sheetId="27" r:id="rId2"/>
    <sheet name="Données par municipalité" sheetId="10" r:id="rId3"/>
    <sheet name="Données par réseau" sheetId="37" r:id="rId4"/>
    <sheet name="État &amp; Plan d'action" sheetId="11" r:id="rId5"/>
    <sheet name="Coût" sheetId="12" r:id="rId6"/>
    <sheet name="Approv &amp; Prod" sheetId="30" r:id="rId7"/>
    <sheet name="À propos" sheetId="29" r:id="rId8"/>
  </sheets>
  <definedNames>
    <definedName name="_xlnm._FilterDatabase" localSheetId="6" hidden="1">'Approv &amp; Prod'!$B$5:$BL$1113</definedName>
    <definedName name="_xlnm._FilterDatabase" localSheetId="5" hidden="1">Coût!$B$5:$EL$1113</definedName>
    <definedName name="_xlnm._FilterDatabase" localSheetId="2" hidden="1">'Données par municipalité'!$A$5:$S$1113</definedName>
    <definedName name="_xlnm._FilterDatabase" localSheetId="3" hidden="1">'Données par réseau'!$B$5:$Z$748</definedName>
    <definedName name="_xlnm._FilterDatabase" localSheetId="4" hidden="1">'État &amp; Plan d''action'!$B$5:$CK$1113</definedName>
    <definedName name="_xlnm._FilterDatabase" localSheetId="1" hidden="1">Évolution!$EI$7:$EI$1115</definedName>
    <definedName name="AUDIT_DE_L_EAU">'Données par municipalité'!$B$8</definedName>
    <definedName name="Compteur">Évolution!$A$90:$T$109</definedName>
    <definedName name="Consommation">Évolution!$A$30:$T$49</definedName>
    <definedName name="coût" localSheetId="6">'Approv &amp; Prod'!$B$7</definedName>
    <definedName name="coût">Coût!$B$7</definedName>
    <definedName name="CP">Évolution!$B$191:$R$207</definedName>
    <definedName name="EPA">'État &amp; Plan d''action'!$B$7</definedName>
    <definedName name="haut">Évolution!$C$4</definedName>
    <definedName name="IFI">Évolution!$A$50:$T$69</definedName>
    <definedName name="Liste_1.1.1a">'État &amp; Plan d''action'!$AA$4:$AA$5</definedName>
    <definedName name="Liste_1.1.2a">'État &amp; Plan d''action'!$AC$4:$AC$5</definedName>
    <definedName name="Liste_1.1.2b">'État &amp; Plan d''action'!$AF$4:$AF$5</definedName>
    <definedName name="Liste_1.2a">'État &amp; Plan d''action'!$AI$4:$AI$9</definedName>
    <definedName name="Liste_1.2b">'État &amp; Plan d''action'!$AD$4:$AD$9</definedName>
    <definedName name="Liste_1.3.1a">'État &amp; Plan d''action'!$AG$4:$AG$6</definedName>
    <definedName name="Liste_1.3.1b">'État &amp; Plan d''action'!$AJ$4:$AJ$6</definedName>
    <definedName name="Liste_1.3.2">'État &amp; Plan d''action'!$AE$4:$AE$5</definedName>
    <definedName name="Liste_1.4.1a">'État &amp; Plan d''action'!$AH$4:$AH$7</definedName>
    <definedName name="Liste_1.4.1b">'État &amp; Plan d''action'!$AK$4:$AK$7</definedName>
    <definedName name="Liste_2.1.2a">'État &amp; Plan d''action'!$AL$4:$AL$6</definedName>
    <definedName name="Liste_2.1.2b">'État &amp; Plan d''action'!$AN$4:$AN$6</definedName>
    <definedName name="Liste_2.2.2a">'État &amp; Plan d''action'!$AP$4:$AP$6</definedName>
    <definedName name="Liste_2.2.2b">'État &amp; Plan d''action'!$AR$4:$AR$7</definedName>
    <definedName name="Liste_2.3.1a">'État &amp; Plan d''action'!$AT$4:$AT$7</definedName>
    <definedName name="Liste_2.3.1b">'État &amp; Plan d''action'!$AV$4:$AV$6</definedName>
    <definedName name="Liste_2.3.2a">'État &amp; Plan d''action'!$AX$4:$AX$9</definedName>
    <definedName name="Liste_2.3.2b">'État &amp; Plan d''action'!$AZ$4:$AZ$7</definedName>
    <definedName name="Liste_3a">'État &amp; Plan d''action'!$BB$4:$BB$6</definedName>
    <definedName name="Liste_3b">'État &amp; Plan d''action'!$BD$4:$BD$6</definedName>
    <definedName name="Liste_4.2.1a">'État &amp; Plan d''action'!$BF$4:$BF$7</definedName>
    <definedName name="Liste_4.2.1b">'État &amp; Plan d''action'!$BH$4:$BH$8</definedName>
    <definedName name="Liste_4.2.2">'État &amp; Plan d''action'!$BJ$4:$BJ$14</definedName>
    <definedName name="Liste_4.2.2a">'État &amp; Plan d''action'!$BL$4:$BL$7</definedName>
    <definedName name="Liste_4.2.2b">'État &amp; Plan d''action'!$BN$4:$BN$7</definedName>
    <definedName name="Liste_4.3.2">'État &amp; Plan d''action'!$BP$4:$BP$14</definedName>
    <definedName name="Liste_4.3.3a">'État &amp; Plan d''action'!$BR$4:$BR$7</definedName>
    <definedName name="Liste_4.3.3b">'État &amp; Plan d''action'!$BT$4:$BT$7</definedName>
    <definedName name="Liste_municipalites">Évolution!$BT$7:$BT$1115</definedName>
    <definedName name="NM" localSheetId="1">Évolution!$C$5</definedName>
    <definedName name="OuiNon">'Données par municipalité'!#REF!</definedName>
    <definedName name="Quantite">Évolution!$A$10:$T$29</definedName>
    <definedName name="RA">Évolution!$A$163:$T$190</definedName>
    <definedName name="RDF">Évolution!$A$70:$T$89</definedName>
    <definedName name="RVD">Évolution!$A$110:$T$133</definedName>
    <definedName name="solver_adj" localSheetId="6" hidden="1">'Approv &amp; Prod'!#REF!</definedName>
    <definedName name="solver_adj" localSheetId="5" hidden="1">Coût!#REF!</definedName>
    <definedName name="solver_cvg" localSheetId="6" hidden="1">0.0001</definedName>
    <definedName name="solver_cvg" localSheetId="5" hidden="1">0.0001</definedName>
    <definedName name="solver_drv" localSheetId="6" hidden="1">1</definedName>
    <definedName name="solver_drv" localSheetId="5" hidden="1">1</definedName>
    <definedName name="solver_eng" localSheetId="6" hidden="1">1</definedName>
    <definedName name="solver_eng" localSheetId="5" hidden="1">1</definedName>
    <definedName name="solver_est" localSheetId="6" hidden="1">1</definedName>
    <definedName name="solver_est" localSheetId="5" hidden="1">1</definedName>
    <definedName name="solver_itr" localSheetId="6" hidden="1">2147483647</definedName>
    <definedName name="solver_itr" localSheetId="5" hidden="1">2147483647</definedName>
    <definedName name="solver_lhs1" localSheetId="6" hidden="1">'Approv &amp; Prod'!#REF!</definedName>
    <definedName name="solver_lhs1" localSheetId="5" hidden="1">Coût!#REF!</definedName>
    <definedName name="solver_lhs2" localSheetId="6" hidden="1">'Approv &amp; Prod'!#REF!</definedName>
    <definedName name="solver_lhs2" localSheetId="5" hidden="1">Coût!#REF!</definedName>
    <definedName name="solver_mip" localSheetId="6" hidden="1">2147483647</definedName>
    <definedName name="solver_mip" localSheetId="5" hidden="1">2147483647</definedName>
    <definedName name="solver_mni" localSheetId="6" hidden="1">30</definedName>
    <definedName name="solver_mni" localSheetId="5" hidden="1">30</definedName>
    <definedName name="solver_mrt" localSheetId="6" hidden="1">0.075</definedName>
    <definedName name="solver_mrt" localSheetId="5" hidden="1">0.075</definedName>
    <definedName name="solver_msl" localSheetId="6" hidden="1">2</definedName>
    <definedName name="solver_msl" localSheetId="5" hidden="1">2</definedName>
    <definedName name="solver_neg" localSheetId="6" hidden="1">1</definedName>
    <definedName name="solver_neg" localSheetId="5" hidden="1">1</definedName>
    <definedName name="solver_nod" localSheetId="6" hidden="1">2147483647</definedName>
    <definedName name="solver_nod" localSheetId="5" hidden="1">2147483647</definedName>
    <definedName name="solver_num" localSheetId="6" hidden="1">2</definedName>
    <definedName name="solver_num" localSheetId="5" hidden="1">2</definedName>
    <definedName name="solver_nwt" localSheetId="6" hidden="1">1</definedName>
    <definedName name="solver_nwt" localSheetId="5" hidden="1">1</definedName>
    <definedName name="solver_opt" localSheetId="6" hidden="1">'Approv &amp; Prod'!#REF!</definedName>
    <definedName name="solver_opt" localSheetId="5" hidden="1">Coût!$J$95</definedName>
    <definedName name="solver_pre" localSheetId="6" hidden="1">0.000001</definedName>
    <definedName name="solver_pre" localSheetId="5" hidden="1">0.000001</definedName>
    <definedName name="solver_rbv" localSheetId="6" hidden="1">1</definedName>
    <definedName name="solver_rbv" localSheetId="5" hidden="1">1</definedName>
    <definedName name="solver_rel1" localSheetId="6" hidden="1">1</definedName>
    <definedName name="solver_rel1" localSheetId="5" hidden="1">1</definedName>
    <definedName name="solver_rel2" localSheetId="6" hidden="1">3</definedName>
    <definedName name="solver_rel2" localSheetId="5" hidden="1">3</definedName>
    <definedName name="solver_rhs1" localSheetId="6" hidden="1">1</definedName>
    <definedName name="solver_rhs1" localSheetId="5" hidden="1">1</definedName>
    <definedName name="solver_rhs2" localSheetId="6" hidden="1">0</definedName>
    <definedName name="solver_rhs2" localSheetId="5" hidden="1">0</definedName>
    <definedName name="solver_rlx" localSheetId="6" hidden="1">2</definedName>
    <definedName name="solver_rlx" localSheetId="5" hidden="1">2</definedName>
    <definedName name="solver_rsd" localSheetId="6" hidden="1">0</definedName>
    <definedName name="solver_rsd" localSheetId="5" hidden="1">0</definedName>
    <definedName name="solver_scl" localSheetId="6" hidden="1">1</definedName>
    <definedName name="solver_scl" localSheetId="5" hidden="1">1</definedName>
    <definedName name="solver_sho" localSheetId="6" hidden="1">2</definedName>
    <definedName name="solver_sho" localSheetId="5" hidden="1">2</definedName>
    <definedName name="solver_ssz" localSheetId="6" hidden="1">100</definedName>
    <definedName name="solver_ssz" localSheetId="5" hidden="1">100</definedName>
    <definedName name="solver_tim" localSheetId="6" hidden="1">2147483647</definedName>
    <definedName name="solver_tim" localSheetId="5" hidden="1">2147483647</definedName>
    <definedName name="solver_tol" localSheetId="6" hidden="1">0.01</definedName>
    <definedName name="solver_tol" localSheetId="5" hidden="1">0.01</definedName>
    <definedName name="solver_typ" localSheetId="6" hidden="1">3</definedName>
    <definedName name="solver_typ" localSheetId="5" hidden="1">3</definedName>
    <definedName name="solver_val" localSheetId="6" hidden="1">0</definedName>
    <definedName name="solver_val" localSheetId="5" hidden="1">0</definedName>
    <definedName name="solver_ver" localSheetId="6" hidden="1">3</definedName>
    <definedName name="solver_ver" localSheetId="5" hidden="1">3</definedName>
    <definedName name="_xlnm.Print_Area" localSheetId="6">'Approv &amp; Prod'!$B$1:$D$137</definedName>
    <definedName name="_xlnm.Print_Area" localSheetId="5">Coût!$B$2:$J$137</definedName>
    <definedName name="_xlnm.Print_Area" localSheetId="2">'Données par municipalité'!$B$3:$O$867</definedName>
    <definedName name="_xlnm.Print_Area" localSheetId="4">'État &amp; Plan d''action'!$B$4:$W$151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 i="10" l="1"/>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R601" i="10"/>
  <c r="R602" i="10"/>
  <c r="R603" i="10"/>
  <c r="R604" i="10"/>
  <c r="R605" i="10"/>
  <c r="R606" i="10"/>
  <c r="R607" i="10"/>
  <c r="R608" i="10"/>
  <c r="R609" i="10"/>
  <c r="R610" i="10"/>
  <c r="R611" i="10"/>
  <c r="R612" i="10"/>
  <c r="R613" i="10"/>
  <c r="R614" i="10"/>
  <c r="R617" i="10"/>
  <c r="R618" i="10"/>
  <c r="R619" i="10"/>
  <c r="R620" i="10"/>
  <c r="R621" i="10"/>
  <c r="R622" i="10"/>
  <c r="R623" i="10"/>
  <c r="R624" i="10"/>
  <c r="R625" i="10"/>
  <c r="R626" i="10"/>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6" i="10"/>
  <c r="R907" i="10"/>
  <c r="R908"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6" i="10"/>
  <c r="X5" i="30" l="1"/>
  <c r="X171" i="27" l="1"/>
  <c r="I5" i="37"/>
  <c r="S5" i="10"/>
  <c r="N198" i="27"/>
  <c r="N170" i="27"/>
  <c r="M196" i="27" l="1"/>
  <c r="K196" i="27"/>
  <c r="J196" i="27"/>
  <c r="I196" i="27"/>
  <c r="G196" i="27"/>
  <c r="F196" i="27"/>
  <c r="N187" i="27"/>
  <c r="N186" i="27"/>
  <c r="N185" i="27"/>
  <c r="N184" i="27"/>
  <c r="N183" i="27"/>
  <c r="N182" i="27"/>
  <c r="N181" i="27"/>
  <c r="N180" i="27"/>
  <c r="N179" i="27"/>
  <c r="N178" i="27"/>
  <c r="N177" i="27"/>
  <c r="N176" i="27"/>
  <c r="N175" i="27"/>
  <c r="N174" i="27"/>
  <c r="N173" i="27"/>
  <c r="N172" i="27"/>
  <c r="N171" i="27"/>
  <c r="X23" i="27"/>
  <c r="Y23" i="27"/>
  <c r="Z23" i="27"/>
  <c r="AA23" i="27"/>
  <c r="AB23" i="27"/>
  <c r="AC23" i="27"/>
  <c r="AD23" i="27"/>
  <c r="AE23" i="27"/>
  <c r="AF23" i="27"/>
  <c r="AG23" i="27"/>
  <c r="DX5" i="12" l="1"/>
  <c r="BD5" i="12"/>
  <c r="AR5" i="12"/>
  <c r="AA5" i="12"/>
  <c r="M5" i="12"/>
  <c r="N5" i="12"/>
  <c r="T5" i="30"/>
  <c r="AB5" i="30"/>
  <c r="AG5" i="30"/>
  <c r="AR5" i="30"/>
  <c r="BC5" i="30"/>
  <c r="CN5" i="12" l="1"/>
  <c r="DL5" i="12"/>
  <c r="CZ5" i="12"/>
  <c r="CB5" i="12"/>
  <c r="EJ5" i="12"/>
  <c r="BP5" i="12"/>
  <c r="AB5" i="12"/>
  <c r="EI5" i="12" l="1"/>
  <c r="EH5" i="12"/>
  <c r="EG5" i="12"/>
  <c r="EF5" i="12"/>
  <c r="EE5" i="12"/>
  <c r="ED5" i="12"/>
  <c r="EC5" i="12"/>
  <c r="EB5" i="12"/>
  <c r="EA5" i="12"/>
  <c r="DZ5" i="12"/>
  <c r="DY5" i="12"/>
  <c r="DW5" i="12"/>
  <c r="DV5" i="12"/>
  <c r="DU5" i="12"/>
  <c r="DT5" i="12"/>
  <c r="DS5" i="12"/>
  <c r="DR5" i="12"/>
  <c r="DQ5" i="12"/>
  <c r="DP5" i="12"/>
  <c r="DO5" i="12"/>
  <c r="DN5" i="12"/>
  <c r="DM5" i="12"/>
  <c r="DK5" i="12"/>
  <c r="DJ5" i="12"/>
  <c r="DI5" i="12"/>
  <c r="DH5" i="12"/>
  <c r="DG5" i="12"/>
  <c r="DF5" i="12"/>
  <c r="DE5" i="12"/>
  <c r="DD5" i="12"/>
  <c r="DC5" i="12"/>
  <c r="DB5" i="12"/>
  <c r="DA5" i="12"/>
  <c r="CY5" i="12"/>
  <c r="CX5" i="12"/>
  <c r="CW5" i="12"/>
  <c r="CV5" i="12"/>
  <c r="CU5" i="12"/>
  <c r="CT5" i="12"/>
  <c r="CS5" i="12"/>
  <c r="CR5" i="12"/>
  <c r="CQ5" i="12"/>
  <c r="CP5" i="12"/>
  <c r="CO5" i="12"/>
  <c r="CM5" i="12"/>
  <c r="CL5" i="12"/>
  <c r="CK5" i="12"/>
  <c r="CJ5" i="12"/>
  <c r="CI5" i="12"/>
  <c r="CH5" i="12"/>
  <c r="CG5" i="12"/>
  <c r="CF5" i="12"/>
  <c r="CE5" i="12"/>
  <c r="CD5" i="12"/>
  <c r="CC5" i="12"/>
  <c r="CA5" i="12"/>
  <c r="BZ5" i="12"/>
  <c r="BY5" i="12"/>
  <c r="BX5" i="12"/>
  <c r="BW5" i="12"/>
  <c r="BV5" i="12"/>
  <c r="BU5" i="12"/>
  <c r="BT5" i="12"/>
  <c r="BS5" i="12"/>
  <c r="BR5" i="12"/>
  <c r="BQ5" i="12"/>
  <c r="BO5" i="12"/>
  <c r="BN5" i="12"/>
  <c r="BM5" i="12"/>
  <c r="BL5" i="12"/>
  <c r="BK5" i="12"/>
  <c r="BJ5" i="12"/>
  <c r="BI5" i="12"/>
  <c r="BH5" i="12"/>
  <c r="BG5" i="12"/>
  <c r="BF5" i="12"/>
  <c r="BE5" i="12"/>
  <c r="BC5" i="12"/>
  <c r="BB5" i="12"/>
  <c r="BA5" i="12"/>
  <c r="AZ5" i="12"/>
  <c r="AY5" i="12"/>
  <c r="AX5" i="12"/>
  <c r="AW5" i="12"/>
  <c r="AV5" i="12"/>
  <c r="AU5" i="12"/>
  <c r="AT5" i="12"/>
  <c r="AS5" i="12"/>
  <c r="AQ5" i="12"/>
  <c r="AP5" i="12"/>
  <c r="AO5" i="12"/>
  <c r="AN5" i="12"/>
  <c r="AM5" i="12"/>
  <c r="AL5" i="12"/>
  <c r="AK5" i="12"/>
  <c r="AJ5" i="12"/>
  <c r="AI5" i="12"/>
  <c r="AH5" i="12"/>
  <c r="AG5" i="12"/>
  <c r="AE5" i="12"/>
  <c r="AD5" i="12"/>
  <c r="AC5" i="12"/>
  <c r="Z5" i="12"/>
  <c r="Y5" i="12"/>
  <c r="X5" i="12"/>
  <c r="W5" i="12"/>
  <c r="V5" i="12"/>
  <c r="U5" i="12"/>
  <c r="T5" i="12"/>
  <c r="S5" i="12"/>
  <c r="R5" i="12"/>
  <c r="Q5" i="12"/>
  <c r="P5" i="12"/>
  <c r="O5" i="12"/>
  <c r="L5" i="12"/>
  <c r="K5" i="12"/>
  <c r="J5" i="12"/>
  <c r="I5" i="12"/>
  <c r="H5" i="12"/>
  <c r="G5" i="12"/>
  <c r="F5" i="12"/>
  <c r="E5" i="12"/>
  <c r="EB7" i="27" l="1"/>
  <c r="EA7" i="27"/>
  <c r="DZ7" i="27"/>
  <c r="DZ8" i="27"/>
  <c r="EA8" i="27"/>
  <c r="EB8" i="27"/>
  <c r="DZ9" i="27"/>
  <c r="EA9" i="27"/>
  <c r="EB9" i="27"/>
  <c r="DZ10" i="27"/>
  <c r="EA10" i="27"/>
  <c r="EB10" i="27"/>
  <c r="DZ11" i="27"/>
  <c r="EA11" i="27"/>
  <c r="EB11" i="27"/>
  <c r="DZ12" i="27"/>
  <c r="EA12" i="27"/>
  <c r="EB12" i="27"/>
  <c r="DZ13" i="27"/>
  <c r="EA13" i="27"/>
  <c r="EB13" i="27"/>
  <c r="DZ14" i="27"/>
  <c r="EA14" i="27"/>
  <c r="EB14" i="27"/>
  <c r="DZ15" i="27"/>
  <c r="EA15" i="27"/>
  <c r="EB15" i="27"/>
  <c r="DZ16" i="27"/>
  <c r="EA16" i="27"/>
  <c r="EB16" i="27"/>
  <c r="DZ17" i="27"/>
  <c r="EA17" i="27"/>
  <c r="EB17" i="27"/>
  <c r="DZ18" i="27"/>
  <c r="EA18" i="27"/>
  <c r="EB18" i="27"/>
  <c r="DZ19" i="27"/>
  <c r="EA19" i="27"/>
  <c r="EB19" i="27"/>
  <c r="DZ20" i="27"/>
  <c r="EA20" i="27"/>
  <c r="EB20" i="27"/>
  <c r="DZ21" i="27"/>
  <c r="EA21" i="27"/>
  <c r="EB21" i="27"/>
  <c r="DZ22" i="27"/>
  <c r="EA22" i="27"/>
  <c r="EB22" i="27"/>
  <c r="DZ23" i="27"/>
  <c r="EA23" i="27"/>
  <c r="EB23" i="27"/>
  <c r="DZ24" i="27"/>
  <c r="EA24" i="27"/>
  <c r="EB24" i="27"/>
  <c r="DZ25" i="27"/>
  <c r="EA25" i="27"/>
  <c r="EB25" i="27"/>
  <c r="DZ26" i="27"/>
  <c r="EA26" i="27"/>
  <c r="EB26" i="27"/>
  <c r="DZ27" i="27"/>
  <c r="EA27" i="27"/>
  <c r="EB27" i="27"/>
  <c r="DZ28" i="27"/>
  <c r="EA28" i="27"/>
  <c r="EB28" i="27"/>
  <c r="DZ29" i="27"/>
  <c r="EA29" i="27"/>
  <c r="EB29" i="27"/>
  <c r="DZ30" i="27"/>
  <c r="EA30" i="27"/>
  <c r="EB30" i="27"/>
  <c r="DZ31" i="27"/>
  <c r="EA31" i="27"/>
  <c r="EB31" i="27"/>
  <c r="DZ32" i="27"/>
  <c r="EA32" i="27"/>
  <c r="EB32" i="27"/>
  <c r="DZ33" i="27"/>
  <c r="EA33" i="27"/>
  <c r="EB33" i="27"/>
  <c r="DZ34" i="27"/>
  <c r="EA34" i="27"/>
  <c r="EB34" i="27"/>
  <c r="DZ35" i="27"/>
  <c r="EA35" i="27"/>
  <c r="EB35" i="27"/>
  <c r="DZ36" i="27"/>
  <c r="EA36" i="27"/>
  <c r="EB36" i="27"/>
  <c r="DZ37" i="27"/>
  <c r="EA37" i="27"/>
  <c r="EB37" i="27"/>
  <c r="DZ38" i="27"/>
  <c r="EA38" i="27"/>
  <c r="EB38" i="27"/>
  <c r="DZ39" i="27"/>
  <c r="EA39" i="27"/>
  <c r="EB39" i="27"/>
  <c r="DZ40" i="27"/>
  <c r="EA40" i="27"/>
  <c r="EB40" i="27"/>
  <c r="DZ41" i="27"/>
  <c r="EA41" i="27"/>
  <c r="EB41" i="27"/>
  <c r="DZ42" i="27"/>
  <c r="EA42" i="27"/>
  <c r="EB42" i="27"/>
  <c r="DZ43" i="27"/>
  <c r="EA43" i="27"/>
  <c r="EB43" i="27"/>
  <c r="DZ44" i="27"/>
  <c r="EA44" i="27"/>
  <c r="EB44" i="27"/>
  <c r="DZ45" i="27"/>
  <c r="EA45" i="27"/>
  <c r="EB45" i="27"/>
  <c r="DZ46" i="27"/>
  <c r="EA46" i="27"/>
  <c r="EB46" i="27"/>
  <c r="DZ47" i="27"/>
  <c r="EA47" i="27"/>
  <c r="EB47" i="27"/>
  <c r="DZ48" i="27"/>
  <c r="EA48" i="27"/>
  <c r="EB48" i="27"/>
  <c r="DZ49" i="27"/>
  <c r="EA49" i="27"/>
  <c r="EB49" i="27"/>
  <c r="DZ50" i="27"/>
  <c r="EA50" i="27"/>
  <c r="EB50" i="27"/>
  <c r="DZ51" i="27"/>
  <c r="EA51" i="27"/>
  <c r="EB51" i="27"/>
  <c r="DZ52" i="27"/>
  <c r="EA52" i="27"/>
  <c r="EB52" i="27"/>
  <c r="DZ53" i="27"/>
  <c r="EA53" i="27"/>
  <c r="EB53" i="27"/>
  <c r="DZ54" i="27"/>
  <c r="EA54" i="27"/>
  <c r="EB54" i="27"/>
  <c r="DZ55" i="27"/>
  <c r="EA55" i="27"/>
  <c r="EB55" i="27"/>
  <c r="DZ56" i="27"/>
  <c r="EA56" i="27"/>
  <c r="EB56" i="27"/>
  <c r="DZ57" i="27"/>
  <c r="EA57" i="27"/>
  <c r="EB57" i="27"/>
  <c r="DZ58" i="27"/>
  <c r="EA58" i="27"/>
  <c r="EB58" i="27"/>
  <c r="DZ59" i="27"/>
  <c r="EA59" i="27"/>
  <c r="EB59" i="27"/>
  <c r="DZ60" i="27"/>
  <c r="EA60" i="27"/>
  <c r="EB60" i="27"/>
  <c r="DZ61" i="27"/>
  <c r="EA61" i="27"/>
  <c r="EB61" i="27"/>
  <c r="DZ62" i="27"/>
  <c r="EA62" i="27"/>
  <c r="EB62" i="27"/>
  <c r="DZ63" i="27"/>
  <c r="EA63" i="27"/>
  <c r="EB63" i="27"/>
  <c r="DZ64" i="27"/>
  <c r="EA64" i="27"/>
  <c r="EB64" i="27"/>
  <c r="DZ65" i="27"/>
  <c r="EA65" i="27"/>
  <c r="EB65" i="27"/>
  <c r="DZ66" i="27"/>
  <c r="EA66" i="27"/>
  <c r="EB66" i="27"/>
  <c r="DZ67" i="27"/>
  <c r="EA67" i="27"/>
  <c r="EB67" i="27"/>
  <c r="DZ68" i="27"/>
  <c r="EA68" i="27"/>
  <c r="EB68" i="27"/>
  <c r="DZ69" i="27"/>
  <c r="EA69" i="27"/>
  <c r="EB69" i="27"/>
  <c r="DZ70" i="27"/>
  <c r="EA70" i="27"/>
  <c r="EB70" i="27"/>
  <c r="DZ71" i="27"/>
  <c r="EA71" i="27"/>
  <c r="EB71" i="27"/>
  <c r="DZ72" i="27"/>
  <c r="EA72" i="27"/>
  <c r="EB72" i="27"/>
  <c r="DZ73" i="27"/>
  <c r="EA73" i="27"/>
  <c r="EB73" i="27"/>
  <c r="DZ74" i="27"/>
  <c r="EA74" i="27"/>
  <c r="EB74" i="27"/>
  <c r="DZ75" i="27"/>
  <c r="EA75" i="27"/>
  <c r="EB75" i="27"/>
  <c r="DZ76" i="27"/>
  <c r="EA76" i="27"/>
  <c r="EB76" i="27"/>
  <c r="DZ77" i="27"/>
  <c r="EA77" i="27"/>
  <c r="EB77" i="27"/>
  <c r="DZ78" i="27"/>
  <c r="EA78" i="27"/>
  <c r="EB78" i="27"/>
  <c r="DZ79" i="27"/>
  <c r="EA79" i="27"/>
  <c r="EB79" i="27"/>
  <c r="DZ80" i="27"/>
  <c r="EA80" i="27"/>
  <c r="EB80" i="27"/>
  <c r="DZ81" i="27"/>
  <c r="EA81" i="27"/>
  <c r="EB81" i="27"/>
  <c r="DZ82" i="27"/>
  <c r="EA82" i="27"/>
  <c r="EB82" i="27"/>
  <c r="DZ83" i="27"/>
  <c r="EA83" i="27"/>
  <c r="EB83" i="27"/>
  <c r="DZ84" i="27"/>
  <c r="EA84" i="27"/>
  <c r="EB84" i="27"/>
  <c r="DZ85" i="27"/>
  <c r="EA85" i="27"/>
  <c r="EB85" i="27"/>
  <c r="DZ86" i="27"/>
  <c r="EA86" i="27"/>
  <c r="EB86" i="27"/>
  <c r="DZ87" i="27"/>
  <c r="EA87" i="27"/>
  <c r="EB87" i="27"/>
  <c r="DZ88" i="27"/>
  <c r="EA88" i="27"/>
  <c r="EB88" i="27"/>
  <c r="DZ89" i="27"/>
  <c r="EA89" i="27"/>
  <c r="EB89" i="27"/>
  <c r="DZ90" i="27"/>
  <c r="EA90" i="27"/>
  <c r="EB90" i="27"/>
  <c r="DZ91" i="27"/>
  <c r="EA91" i="27"/>
  <c r="EB91" i="27"/>
  <c r="DZ92" i="27"/>
  <c r="EA92" i="27"/>
  <c r="EB92" i="27"/>
  <c r="DZ93" i="27"/>
  <c r="EA93" i="27"/>
  <c r="EB93" i="27"/>
  <c r="DZ94" i="27"/>
  <c r="EA94" i="27"/>
  <c r="EB94" i="27"/>
  <c r="DZ95" i="27"/>
  <c r="EA95" i="27"/>
  <c r="EB95" i="27"/>
  <c r="DZ96" i="27"/>
  <c r="EA96" i="27"/>
  <c r="EB96" i="27"/>
  <c r="DZ97" i="27"/>
  <c r="EA97" i="27"/>
  <c r="EB97" i="27"/>
  <c r="DZ98" i="27"/>
  <c r="EA98" i="27"/>
  <c r="EB98" i="27"/>
  <c r="DZ99" i="27"/>
  <c r="EA99" i="27"/>
  <c r="EB99" i="27"/>
  <c r="DZ100" i="27"/>
  <c r="EA100" i="27"/>
  <c r="EB100" i="27"/>
  <c r="DZ101" i="27"/>
  <c r="EA101" i="27"/>
  <c r="EB101" i="27"/>
  <c r="DZ102" i="27"/>
  <c r="EA102" i="27"/>
  <c r="EB102" i="27"/>
  <c r="DZ103" i="27"/>
  <c r="EA103" i="27"/>
  <c r="EB103" i="27"/>
  <c r="DZ104" i="27"/>
  <c r="EA104" i="27"/>
  <c r="EB104" i="27"/>
  <c r="DZ105" i="27"/>
  <c r="EA105" i="27"/>
  <c r="EB105" i="27"/>
  <c r="DZ106" i="27"/>
  <c r="EA106" i="27"/>
  <c r="EB106" i="27"/>
  <c r="DZ107" i="27"/>
  <c r="EA107" i="27"/>
  <c r="EB107" i="27"/>
  <c r="DZ108" i="27"/>
  <c r="EA108" i="27"/>
  <c r="EB108" i="27"/>
  <c r="DZ109" i="27"/>
  <c r="EA109" i="27"/>
  <c r="EB109" i="27"/>
  <c r="DZ110" i="27"/>
  <c r="EA110" i="27"/>
  <c r="EB110" i="27"/>
  <c r="DZ111" i="27"/>
  <c r="EA111" i="27"/>
  <c r="EB111" i="27"/>
  <c r="DZ112" i="27"/>
  <c r="EA112" i="27"/>
  <c r="EB112" i="27"/>
  <c r="DZ113" i="27"/>
  <c r="EA113" i="27"/>
  <c r="EB113" i="27"/>
  <c r="DZ114" i="27"/>
  <c r="EA114" i="27"/>
  <c r="EB114" i="27"/>
  <c r="DZ115" i="27"/>
  <c r="EA115" i="27"/>
  <c r="EB115" i="27"/>
  <c r="DZ116" i="27"/>
  <c r="EA116" i="27"/>
  <c r="EB116" i="27"/>
  <c r="DZ117" i="27"/>
  <c r="EA117" i="27"/>
  <c r="EB117" i="27"/>
  <c r="DZ118" i="27"/>
  <c r="EA118" i="27"/>
  <c r="EB118" i="27"/>
  <c r="DZ119" i="27"/>
  <c r="EA119" i="27"/>
  <c r="EB119" i="27"/>
  <c r="DZ120" i="27"/>
  <c r="EA120" i="27"/>
  <c r="EB120" i="27"/>
  <c r="DZ121" i="27"/>
  <c r="EA121" i="27"/>
  <c r="EB121" i="27"/>
  <c r="DZ122" i="27"/>
  <c r="EA122" i="27"/>
  <c r="EB122" i="27"/>
  <c r="DZ123" i="27"/>
  <c r="EA123" i="27"/>
  <c r="EB123" i="27"/>
  <c r="DZ124" i="27"/>
  <c r="EA124" i="27"/>
  <c r="EB124" i="27"/>
  <c r="DZ125" i="27"/>
  <c r="EA125" i="27"/>
  <c r="EB125" i="27"/>
  <c r="DZ126" i="27"/>
  <c r="EA126" i="27"/>
  <c r="EB126" i="27"/>
  <c r="DZ127" i="27"/>
  <c r="EA127" i="27"/>
  <c r="EB127" i="27"/>
  <c r="DZ128" i="27"/>
  <c r="EA128" i="27"/>
  <c r="EB128" i="27"/>
  <c r="DZ129" i="27"/>
  <c r="EA129" i="27"/>
  <c r="EB129" i="27"/>
  <c r="DZ130" i="27"/>
  <c r="EA130" i="27"/>
  <c r="EB130" i="27"/>
  <c r="DZ131" i="27"/>
  <c r="EA131" i="27"/>
  <c r="EB131" i="27"/>
  <c r="DZ132" i="27"/>
  <c r="EA132" i="27"/>
  <c r="EB132" i="27"/>
  <c r="DZ133" i="27"/>
  <c r="EA133" i="27"/>
  <c r="EB133" i="27"/>
  <c r="DZ134" i="27"/>
  <c r="EA134" i="27"/>
  <c r="EB134" i="27"/>
  <c r="DZ135" i="27"/>
  <c r="EA135" i="27"/>
  <c r="EB135" i="27"/>
  <c r="DZ136" i="27"/>
  <c r="EA136" i="27"/>
  <c r="EB136" i="27"/>
  <c r="DZ137" i="27"/>
  <c r="EA137" i="27"/>
  <c r="EB137" i="27"/>
  <c r="DZ138" i="27"/>
  <c r="EA138" i="27"/>
  <c r="EB138" i="27"/>
  <c r="DZ139" i="27"/>
  <c r="EA139" i="27"/>
  <c r="EB139" i="27"/>
  <c r="DZ140" i="27"/>
  <c r="EA140" i="27"/>
  <c r="EB140" i="27"/>
  <c r="DZ141" i="27"/>
  <c r="EA141" i="27"/>
  <c r="EB141" i="27"/>
  <c r="DZ142" i="27"/>
  <c r="EA142" i="27"/>
  <c r="EB142" i="27"/>
  <c r="DZ143" i="27"/>
  <c r="EA143" i="27"/>
  <c r="EB143" i="27"/>
  <c r="DZ144" i="27"/>
  <c r="EA144" i="27"/>
  <c r="EB144" i="27"/>
  <c r="DZ145" i="27"/>
  <c r="EA145" i="27"/>
  <c r="EB145" i="27"/>
  <c r="DZ146" i="27"/>
  <c r="EA146" i="27"/>
  <c r="EB146" i="27"/>
  <c r="DZ147" i="27"/>
  <c r="EA147" i="27"/>
  <c r="EB147" i="27"/>
  <c r="DZ148" i="27"/>
  <c r="EA148" i="27"/>
  <c r="EB148" i="27"/>
  <c r="DZ149" i="27"/>
  <c r="EA149" i="27"/>
  <c r="EB149" i="27"/>
  <c r="DZ150" i="27"/>
  <c r="EA150" i="27"/>
  <c r="EB150" i="27"/>
  <c r="DZ151" i="27"/>
  <c r="EA151" i="27"/>
  <c r="EB151" i="27"/>
  <c r="DZ152" i="27"/>
  <c r="EA152" i="27"/>
  <c r="EB152" i="27"/>
  <c r="DZ153" i="27"/>
  <c r="EA153" i="27"/>
  <c r="EB153" i="27"/>
  <c r="DZ154" i="27"/>
  <c r="EA154" i="27"/>
  <c r="EB154" i="27"/>
  <c r="DZ155" i="27"/>
  <c r="EA155" i="27"/>
  <c r="EB155" i="27"/>
  <c r="DZ156" i="27"/>
  <c r="EA156" i="27"/>
  <c r="EB156" i="27"/>
  <c r="DZ157" i="27"/>
  <c r="EA157" i="27"/>
  <c r="EB157" i="27"/>
  <c r="DZ158" i="27"/>
  <c r="EA158" i="27"/>
  <c r="EB158" i="27"/>
  <c r="DZ159" i="27"/>
  <c r="EA159" i="27"/>
  <c r="EB159" i="27"/>
  <c r="DZ160" i="27"/>
  <c r="EA160" i="27"/>
  <c r="EB160" i="27"/>
  <c r="DZ161" i="27"/>
  <c r="EA161" i="27"/>
  <c r="EB161" i="27"/>
  <c r="DZ162" i="27"/>
  <c r="EA162" i="27"/>
  <c r="EB162" i="27"/>
  <c r="DZ163" i="27"/>
  <c r="EA163" i="27"/>
  <c r="EB163" i="27"/>
  <c r="DZ164" i="27"/>
  <c r="EA164" i="27"/>
  <c r="EB164" i="27"/>
  <c r="DZ165" i="27"/>
  <c r="EA165" i="27"/>
  <c r="EB165" i="27"/>
  <c r="DZ166" i="27"/>
  <c r="EA166" i="27"/>
  <c r="EB166" i="27"/>
  <c r="DZ167" i="27"/>
  <c r="EA167" i="27"/>
  <c r="EB167" i="27"/>
  <c r="DZ168" i="27"/>
  <c r="EA168" i="27"/>
  <c r="EB168" i="27"/>
  <c r="DZ169" i="27"/>
  <c r="EA169" i="27"/>
  <c r="EB169" i="27"/>
  <c r="DZ170" i="27"/>
  <c r="EA170" i="27"/>
  <c r="EB170" i="27"/>
  <c r="DZ171" i="27"/>
  <c r="EA171" i="27"/>
  <c r="EB171" i="27"/>
  <c r="DZ172" i="27"/>
  <c r="EA172" i="27"/>
  <c r="EB172" i="27"/>
  <c r="DZ173" i="27"/>
  <c r="EA173" i="27"/>
  <c r="EB173" i="27"/>
  <c r="DZ174" i="27"/>
  <c r="EA174" i="27"/>
  <c r="EB174" i="27"/>
  <c r="DZ175" i="27"/>
  <c r="EA175" i="27"/>
  <c r="EB175" i="27"/>
  <c r="DZ176" i="27"/>
  <c r="EA176" i="27"/>
  <c r="EB176" i="27"/>
  <c r="DZ177" i="27"/>
  <c r="EA177" i="27"/>
  <c r="EB177" i="27"/>
  <c r="DZ178" i="27"/>
  <c r="EA178" i="27"/>
  <c r="EB178" i="27"/>
  <c r="DZ179" i="27"/>
  <c r="EA179" i="27"/>
  <c r="EB179" i="27"/>
  <c r="DZ180" i="27"/>
  <c r="EA180" i="27"/>
  <c r="EB180" i="27"/>
  <c r="DZ181" i="27"/>
  <c r="EA181" i="27"/>
  <c r="EB181" i="27"/>
  <c r="DZ182" i="27"/>
  <c r="EA182" i="27"/>
  <c r="EB182" i="27"/>
  <c r="DZ183" i="27"/>
  <c r="EA183" i="27"/>
  <c r="EB183" i="27"/>
  <c r="DZ184" i="27"/>
  <c r="EA184" i="27"/>
  <c r="EB184" i="27"/>
  <c r="DZ185" i="27"/>
  <c r="EA185" i="27"/>
  <c r="EB185" i="27"/>
  <c r="DZ186" i="27"/>
  <c r="EA186" i="27"/>
  <c r="EB186" i="27"/>
  <c r="DZ187" i="27"/>
  <c r="EA187" i="27"/>
  <c r="EB187" i="27"/>
  <c r="DZ188" i="27"/>
  <c r="EA188" i="27"/>
  <c r="EB188" i="27"/>
  <c r="DZ189" i="27"/>
  <c r="EA189" i="27"/>
  <c r="EB189" i="27"/>
  <c r="DZ190" i="27"/>
  <c r="EA190" i="27"/>
  <c r="EB190" i="27"/>
  <c r="DZ191" i="27"/>
  <c r="EA191" i="27"/>
  <c r="EB191" i="27"/>
  <c r="DZ192" i="27"/>
  <c r="EA192" i="27"/>
  <c r="EB192" i="27"/>
  <c r="DZ193" i="27"/>
  <c r="EA193" i="27"/>
  <c r="EB193" i="27"/>
  <c r="DZ194" i="27"/>
  <c r="EA194" i="27"/>
  <c r="EB194" i="27"/>
  <c r="DZ195" i="27"/>
  <c r="EA195" i="27"/>
  <c r="EB195" i="27"/>
  <c r="DZ196" i="27"/>
  <c r="EA196" i="27"/>
  <c r="EB196" i="27"/>
  <c r="DZ197" i="27"/>
  <c r="EA197" i="27"/>
  <c r="EB197" i="27"/>
  <c r="DZ198" i="27"/>
  <c r="EA198" i="27"/>
  <c r="EB198" i="27"/>
  <c r="DZ199" i="27"/>
  <c r="EA199" i="27"/>
  <c r="EB199" i="27"/>
  <c r="DZ200" i="27"/>
  <c r="EA200" i="27"/>
  <c r="EB200" i="27"/>
  <c r="DZ201" i="27"/>
  <c r="EA201" i="27"/>
  <c r="EB201" i="27"/>
  <c r="DZ202" i="27"/>
  <c r="EA202" i="27"/>
  <c r="EB202" i="27"/>
  <c r="DZ203" i="27"/>
  <c r="EA203" i="27"/>
  <c r="EB203" i="27"/>
  <c r="DZ204" i="27"/>
  <c r="EA204" i="27"/>
  <c r="EB204" i="27"/>
  <c r="DZ205" i="27"/>
  <c r="EA205" i="27"/>
  <c r="EB205" i="27"/>
  <c r="DZ206" i="27"/>
  <c r="EA206" i="27"/>
  <c r="EB206" i="27"/>
  <c r="DZ207" i="27"/>
  <c r="EA207" i="27"/>
  <c r="EB207" i="27"/>
  <c r="DZ208" i="27"/>
  <c r="EA208" i="27"/>
  <c r="EB208" i="27"/>
  <c r="DZ209" i="27"/>
  <c r="EA209" i="27"/>
  <c r="EB209" i="27"/>
  <c r="DZ210" i="27"/>
  <c r="EA210" i="27"/>
  <c r="EB210" i="27"/>
  <c r="DZ211" i="27"/>
  <c r="EA211" i="27"/>
  <c r="EB211" i="27"/>
  <c r="DZ212" i="27"/>
  <c r="EA212" i="27"/>
  <c r="EB212" i="27"/>
  <c r="DZ213" i="27"/>
  <c r="EA213" i="27"/>
  <c r="EB213" i="27"/>
  <c r="DZ214" i="27"/>
  <c r="EA214" i="27"/>
  <c r="EB214" i="27"/>
  <c r="DZ215" i="27"/>
  <c r="EA215" i="27"/>
  <c r="EB215" i="27"/>
  <c r="DZ216" i="27"/>
  <c r="EA216" i="27"/>
  <c r="EB216" i="27"/>
  <c r="DZ217" i="27"/>
  <c r="EA217" i="27"/>
  <c r="EB217" i="27"/>
  <c r="DZ218" i="27"/>
  <c r="EA218" i="27"/>
  <c r="EB218" i="27"/>
  <c r="DZ219" i="27"/>
  <c r="EA219" i="27"/>
  <c r="EB219" i="27"/>
  <c r="DZ220" i="27"/>
  <c r="EA220" i="27"/>
  <c r="EB220" i="27"/>
  <c r="DZ221" i="27"/>
  <c r="EA221" i="27"/>
  <c r="EB221" i="27"/>
  <c r="DZ222" i="27"/>
  <c r="EA222" i="27"/>
  <c r="EB222" i="27"/>
  <c r="DZ223" i="27"/>
  <c r="EA223" i="27"/>
  <c r="EB223" i="27"/>
  <c r="DZ224" i="27"/>
  <c r="EA224" i="27"/>
  <c r="EB224" i="27"/>
  <c r="DZ225" i="27"/>
  <c r="EA225" i="27"/>
  <c r="EB225" i="27"/>
  <c r="DZ226" i="27"/>
  <c r="EA226" i="27"/>
  <c r="EB226" i="27"/>
  <c r="DZ227" i="27"/>
  <c r="EA227" i="27"/>
  <c r="EB227" i="27"/>
  <c r="DZ228" i="27"/>
  <c r="EA228" i="27"/>
  <c r="EB228" i="27"/>
  <c r="DZ229" i="27"/>
  <c r="EA229" i="27"/>
  <c r="EB229" i="27"/>
  <c r="DZ230" i="27"/>
  <c r="EA230" i="27"/>
  <c r="EB230" i="27"/>
  <c r="DZ231" i="27"/>
  <c r="EA231" i="27"/>
  <c r="EB231" i="27"/>
  <c r="DZ232" i="27"/>
  <c r="EA232" i="27"/>
  <c r="EB232" i="27"/>
  <c r="DZ233" i="27"/>
  <c r="EA233" i="27"/>
  <c r="EB233" i="27"/>
  <c r="DZ234" i="27"/>
  <c r="EA234" i="27"/>
  <c r="EB234" i="27"/>
  <c r="DZ235" i="27"/>
  <c r="EA235" i="27"/>
  <c r="EB235" i="27"/>
  <c r="DZ236" i="27"/>
  <c r="EA236" i="27"/>
  <c r="EB236" i="27"/>
  <c r="DZ237" i="27"/>
  <c r="EA237" i="27"/>
  <c r="EB237" i="27"/>
  <c r="DZ238" i="27"/>
  <c r="EA238" i="27"/>
  <c r="EB238" i="27"/>
  <c r="DZ239" i="27"/>
  <c r="EA239" i="27"/>
  <c r="EB239" i="27"/>
  <c r="DZ240" i="27"/>
  <c r="EA240" i="27"/>
  <c r="EB240" i="27"/>
  <c r="DZ241" i="27"/>
  <c r="EA241" i="27"/>
  <c r="EB241" i="27"/>
  <c r="DZ242" i="27"/>
  <c r="EA242" i="27"/>
  <c r="EB242" i="27"/>
  <c r="DZ243" i="27"/>
  <c r="EA243" i="27"/>
  <c r="EB243" i="27"/>
  <c r="DZ244" i="27"/>
  <c r="EA244" i="27"/>
  <c r="EB244" i="27"/>
  <c r="DZ245" i="27"/>
  <c r="EA245" i="27"/>
  <c r="EB245" i="27"/>
  <c r="DZ246" i="27"/>
  <c r="EA246" i="27"/>
  <c r="EB246" i="27"/>
  <c r="DZ247" i="27"/>
  <c r="EA247" i="27"/>
  <c r="EB247" i="27"/>
  <c r="DZ248" i="27"/>
  <c r="EA248" i="27"/>
  <c r="EB248" i="27"/>
  <c r="DZ249" i="27"/>
  <c r="EA249" i="27"/>
  <c r="EB249" i="27"/>
  <c r="DZ250" i="27"/>
  <c r="EA250" i="27"/>
  <c r="EB250" i="27"/>
  <c r="DZ251" i="27"/>
  <c r="EA251" i="27"/>
  <c r="EB251" i="27"/>
  <c r="DZ252" i="27"/>
  <c r="EA252" i="27"/>
  <c r="EB252" i="27"/>
  <c r="DZ253" i="27"/>
  <c r="EA253" i="27"/>
  <c r="EB253" i="27"/>
  <c r="DZ254" i="27"/>
  <c r="EA254" i="27"/>
  <c r="EB254" i="27"/>
  <c r="DZ255" i="27"/>
  <c r="EA255" i="27"/>
  <c r="EB255" i="27"/>
  <c r="DZ256" i="27"/>
  <c r="EA256" i="27"/>
  <c r="EB256" i="27"/>
  <c r="DZ257" i="27"/>
  <c r="EA257" i="27"/>
  <c r="EB257" i="27"/>
  <c r="DZ258" i="27"/>
  <c r="EA258" i="27"/>
  <c r="EB258" i="27"/>
  <c r="DZ259" i="27"/>
  <c r="EA259" i="27"/>
  <c r="EB259" i="27"/>
  <c r="DZ260" i="27"/>
  <c r="EA260" i="27"/>
  <c r="EB260" i="27"/>
  <c r="DZ261" i="27"/>
  <c r="EA261" i="27"/>
  <c r="EB261" i="27"/>
  <c r="DZ262" i="27"/>
  <c r="EA262" i="27"/>
  <c r="EB262" i="27"/>
  <c r="DZ263" i="27"/>
  <c r="EA263" i="27"/>
  <c r="EB263" i="27"/>
  <c r="DZ264" i="27"/>
  <c r="EA264" i="27"/>
  <c r="EB264" i="27"/>
  <c r="DZ265" i="27"/>
  <c r="EA265" i="27"/>
  <c r="EB265" i="27"/>
  <c r="DZ266" i="27"/>
  <c r="EA266" i="27"/>
  <c r="EB266" i="27"/>
  <c r="DZ267" i="27"/>
  <c r="EA267" i="27"/>
  <c r="EB267" i="27"/>
  <c r="DZ268" i="27"/>
  <c r="EA268" i="27"/>
  <c r="EB268" i="27"/>
  <c r="DZ269" i="27"/>
  <c r="EA269" i="27"/>
  <c r="EB269" i="27"/>
  <c r="DZ270" i="27"/>
  <c r="EA270" i="27"/>
  <c r="EB270" i="27"/>
  <c r="DZ271" i="27"/>
  <c r="EA271" i="27"/>
  <c r="EB271" i="27"/>
  <c r="DZ272" i="27"/>
  <c r="EA272" i="27"/>
  <c r="EB272" i="27"/>
  <c r="DZ273" i="27"/>
  <c r="EA273" i="27"/>
  <c r="EB273" i="27"/>
  <c r="DZ274" i="27"/>
  <c r="EA274" i="27"/>
  <c r="EB274" i="27"/>
  <c r="DZ275" i="27"/>
  <c r="EA275" i="27"/>
  <c r="EB275" i="27"/>
  <c r="DZ276" i="27"/>
  <c r="EA276" i="27"/>
  <c r="EB276" i="27"/>
  <c r="DZ277" i="27"/>
  <c r="EA277" i="27"/>
  <c r="EB277" i="27"/>
  <c r="DZ278" i="27"/>
  <c r="EA278" i="27"/>
  <c r="EB278" i="27"/>
  <c r="DZ279" i="27"/>
  <c r="EA279" i="27"/>
  <c r="EB279" i="27"/>
  <c r="DZ280" i="27"/>
  <c r="EA280" i="27"/>
  <c r="EB280" i="27"/>
  <c r="DZ281" i="27"/>
  <c r="EA281" i="27"/>
  <c r="EB281" i="27"/>
  <c r="DZ282" i="27"/>
  <c r="EA282" i="27"/>
  <c r="EB282" i="27"/>
  <c r="DZ283" i="27"/>
  <c r="EA283" i="27"/>
  <c r="EB283" i="27"/>
  <c r="DZ284" i="27"/>
  <c r="EA284" i="27"/>
  <c r="EB284" i="27"/>
  <c r="DZ285" i="27"/>
  <c r="EA285" i="27"/>
  <c r="EB285" i="27"/>
  <c r="DZ286" i="27"/>
  <c r="EA286" i="27"/>
  <c r="EB286" i="27"/>
  <c r="DZ287" i="27"/>
  <c r="EA287" i="27"/>
  <c r="EB287" i="27"/>
  <c r="DZ288" i="27"/>
  <c r="EA288" i="27"/>
  <c r="EB288" i="27"/>
  <c r="DZ289" i="27"/>
  <c r="EA289" i="27"/>
  <c r="EB289" i="27"/>
  <c r="DZ290" i="27"/>
  <c r="EA290" i="27"/>
  <c r="EB290" i="27"/>
  <c r="DZ291" i="27"/>
  <c r="EA291" i="27"/>
  <c r="EB291" i="27"/>
  <c r="DZ292" i="27"/>
  <c r="EA292" i="27"/>
  <c r="EB292" i="27"/>
  <c r="DZ293" i="27"/>
  <c r="EA293" i="27"/>
  <c r="EB293" i="27"/>
  <c r="DZ294" i="27"/>
  <c r="EA294" i="27"/>
  <c r="EB294" i="27"/>
  <c r="DZ295" i="27"/>
  <c r="EA295" i="27"/>
  <c r="EB295" i="27"/>
  <c r="DZ296" i="27"/>
  <c r="EA296" i="27"/>
  <c r="EB296" i="27"/>
  <c r="DZ297" i="27"/>
  <c r="EA297" i="27"/>
  <c r="EB297" i="27"/>
  <c r="DZ298" i="27"/>
  <c r="EA298" i="27"/>
  <c r="EB298" i="27"/>
  <c r="DZ299" i="27"/>
  <c r="EA299" i="27"/>
  <c r="EB299" i="27"/>
  <c r="DZ300" i="27"/>
  <c r="EA300" i="27"/>
  <c r="EB300" i="27"/>
  <c r="DZ301" i="27"/>
  <c r="EA301" i="27"/>
  <c r="EB301" i="27"/>
  <c r="DZ302" i="27"/>
  <c r="EA302" i="27"/>
  <c r="EB302" i="27"/>
  <c r="DZ303" i="27"/>
  <c r="EA303" i="27"/>
  <c r="EB303" i="27"/>
  <c r="DZ304" i="27"/>
  <c r="EA304" i="27"/>
  <c r="EB304" i="27"/>
  <c r="DZ305" i="27"/>
  <c r="EA305" i="27"/>
  <c r="EB305" i="27"/>
  <c r="DZ306" i="27"/>
  <c r="EA306" i="27"/>
  <c r="EB306" i="27"/>
  <c r="DZ307" i="27"/>
  <c r="EA307" i="27"/>
  <c r="EB307" i="27"/>
  <c r="DZ308" i="27"/>
  <c r="EA308" i="27"/>
  <c r="EB308" i="27"/>
  <c r="DZ309" i="27"/>
  <c r="EA309" i="27"/>
  <c r="EB309" i="27"/>
  <c r="DZ310" i="27"/>
  <c r="EA310" i="27"/>
  <c r="EB310" i="27"/>
  <c r="DZ311" i="27"/>
  <c r="EA311" i="27"/>
  <c r="EB311" i="27"/>
  <c r="DZ312" i="27"/>
  <c r="EA312" i="27"/>
  <c r="EB312" i="27"/>
  <c r="DZ313" i="27"/>
  <c r="EA313" i="27"/>
  <c r="EB313" i="27"/>
  <c r="DZ314" i="27"/>
  <c r="EA314" i="27"/>
  <c r="EB314" i="27"/>
  <c r="DZ315" i="27"/>
  <c r="EA315" i="27"/>
  <c r="EB315" i="27"/>
  <c r="DZ316" i="27"/>
  <c r="EA316" i="27"/>
  <c r="EB316" i="27"/>
  <c r="DZ317" i="27"/>
  <c r="EA317" i="27"/>
  <c r="EB317" i="27"/>
  <c r="DZ318" i="27"/>
  <c r="EA318" i="27"/>
  <c r="EB318" i="27"/>
  <c r="DZ319" i="27"/>
  <c r="EA319" i="27"/>
  <c r="EB319" i="27"/>
  <c r="DZ320" i="27"/>
  <c r="EA320" i="27"/>
  <c r="EB320" i="27"/>
  <c r="DZ321" i="27"/>
  <c r="EA321" i="27"/>
  <c r="EB321" i="27"/>
  <c r="DZ322" i="27"/>
  <c r="EA322" i="27"/>
  <c r="EB322" i="27"/>
  <c r="DZ323" i="27"/>
  <c r="EA323" i="27"/>
  <c r="EB323" i="27"/>
  <c r="DZ324" i="27"/>
  <c r="EA324" i="27"/>
  <c r="EB324" i="27"/>
  <c r="DZ325" i="27"/>
  <c r="EA325" i="27"/>
  <c r="EB325" i="27"/>
  <c r="DZ326" i="27"/>
  <c r="EA326" i="27"/>
  <c r="EB326" i="27"/>
  <c r="DZ327" i="27"/>
  <c r="EA327" i="27"/>
  <c r="EB327" i="27"/>
  <c r="DZ328" i="27"/>
  <c r="EA328" i="27"/>
  <c r="EB328" i="27"/>
  <c r="DZ329" i="27"/>
  <c r="EA329" i="27"/>
  <c r="EB329" i="27"/>
  <c r="DZ330" i="27"/>
  <c r="EA330" i="27"/>
  <c r="EB330" i="27"/>
  <c r="DZ331" i="27"/>
  <c r="EA331" i="27"/>
  <c r="EB331" i="27"/>
  <c r="DZ332" i="27"/>
  <c r="EA332" i="27"/>
  <c r="EB332" i="27"/>
  <c r="DZ333" i="27"/>
  <c r="EA333" i="27"/>
  <c r="EB333" i="27"/>
  <c r="DZ334" i="27"/>
  <c r="EA334" i="27"/>
  <c r="EB334" i="27"/>
  <c r="DZ335" i="27"/>
  <c r="EA335" i="27"/>
  <c r="EB335" i="27"/>
  <c r="DZ336" i="27"/>
  <c r="EA336" i="27"/>
  <c r="EB336" i="27"/>
  <c r="DZ337" i="27"/>
  <c r="EA337" i="27"/>
  <c r="EB337" i="27"/>
  <c r="DZ338" i="27"/>
  <c r="EA338" i="27"/>
  <c r="EB338" i="27"/>
  <c r="DZ339" i="27"/>
  <c r="EA339" i="27"/>
  <c r="EB339" i="27"/>
  <c r="DZ340" i="27"/>
  <c r="EA340" i="27"/>
  <c r="EB340" i="27"/>
  <c r="DZ341" i="27"/>
  <c r="EA341" i="27"/>
  <c r="EB341" i="27"/>
  <c r="DZ342" i="27"/>
  <c r="EA342" i="27"/>
  <c r="EB342" i="27"/>
  <c r="DZ343" i="27"/>
  <c r="EA343" i="27"/>
  <c r="EB343" i="27"/>
  <c r="DZ344" i="27"/>
  <c r="EA344" i="27"/>
  <c r="EB344" i="27"/>
  <c r="DZ345" i="27"/>
  <c r="EA345" i="27"/>
  <c r="EB345" i="27"/>
  <c r="DZ346" i="27"/>
  <c r="EA346" i="27"/>
  <c r="EB346" i="27"/>
  <c r="DZ347" i="27"/>
  <c r="EA347" i="27"/>
  <c r="EB347" i="27"/>
  <c r="DZ348" i="27"/>
  <c r="EA348" i="27"/>
  <c r="EB348" i="27"/>
  <c r="DZ349" i="27"/>
  <c r="EA349" i="27"/>
  <c r="EB349" i="27"/>
  <c r="DZ350" i="27"/>
  <c r="EA350" i="27"/>
  <c r="EB350" i="27"/>
  <c r="DZ351" i="27"/>
  <c r="EA351" i="27"/>
  <c r="EB351" i="27"/>
  <c r="DZ352" i="27"/>
  <c r="EA352" i="27"/>
  <c r="EB352" i="27"/>
  <c r="DZ353" i="27"/>
  <c r="EA353" i="27"/>
  <c r="EB353" i="27"/>
  <c r="DZ354" i="27"/>
  <c r="EA354" i="27"/>
  <c r="EB354" i="27"/>
  <c r="DZ355" i="27"/>
  <c r="EA355" i="27"/>
  <c r="EB355" i="27"/>
  <c r="DZ356" i="27"/>
  <c r="EA356" i="27"/>
  <c r="EB356" i="27"/>
  <c r="DZ357" i="27"/>
  <c r="EA357" i="27"/>
  <c r="EB357" i="27"/>
  <c r="DZ358" i="27"/>
  <c r="EA358" i="27"/>
  <c r="EB358" i="27"/>
  <c r="DZ359" i="27"/>
  <c r="EA359" i="27"/>
  <c r="EB359" i="27"/>
  <c r="DZ360" i="27"/>
  <c r="EA360" i="27"/>
  <c r="EB360" i="27"/>
  <c r="DZ361" i="27"/>
  <c r="EA361" i="27"/>
  <c r="EB361" i="27"/>
  <c r="DZ362" i="27"/>
  <c r="EA362" i="27"/>
  <c r="EB362" i="27"/>
  <c r="DZ363" i="27"/>
  <c r="EA363" i="27"/>
  <c r="EB363" i="27"/>
  <c r="DZ364" i="27"/>
  <c r="EA364" i="27"/>
  <c r="EB364" i="27"/>
  <c r="DZ365" i="27"/>
  <c r="EA365" i="27"/>
  <c r="EB365" i="27"/>
  <c r="DZ366" i="27"/>
  <c r="EA366" i="27"/>
  <c r="EB366" i="27"/>
  <c r="DZ367" i="27"/>
  <c r="EA367" i="27"/>
  <c r="EB367" i="27"/>
  <c r="DZ368" i="27"/>
  <c r="EA368" i="27"/>
  <c r="EB368" i="27"/>
  <c r="DZ369" i="27"/>
  <c r="EA369" i="27"/>
  <c r="EB369" i="27"/>
  <c r="DZ370" i="27"/>
  <c r="EA370" i="27"/>
  <c r="EB370" i="27"/>
  <c r="DZ371" i="27"/>
  <c r="EA371" i="27"/>
  <c r="EB371" i="27"/>
  <c r="DZ372" i="27"/>
  <c r="EA372" i="27"/>
  <c r="EB372" i="27"/>
  <c r="DZ373" i="27"/>
  <c r="EA373" i="27"/>
  <c r="EB373" i="27"/>
  <c r="DZ374" i="27"/>
  <c r="EA374" i="27"/>
  <c r="EB374" i="27"/>
  <c r="DZ375" i="27"/>
  <c r="EA375" i="27"/>
  <c r="EB375" i="27"/>
  <c r="DZ376" i="27"/>
  <c r="EA376" i="27"/>
  <c r="EB376" i="27"/>
  <c r="DZ377" i="27"/>
  <c r="EA377" i="27"/>
  <c r="EB377" i="27"/>
  <c r="DZ378" i="27"/>
  <c r="EA378" i="27"/>
  <c r="EB378" i="27"/>
  <c r="DZ379" i="27"/>
  <c r="EA379" i="27"/>
  <c r="EB379" i="27"/>
  <c r="DZ380" i="27"/>
  <c r="EA380" i="27"/>
  <c r="EB380" i="27"/>
  <c r="DZ381" i="27"/>
  <c r="EA381" i="27"/>
  <c r="EB381" i="27"/>
  <c r="DZ382" i="27"/>
  <c r="EA382" i="27"/>
  <c r="EB382" i="27"/>
  <c r="DZ383" i="27"/>
  <c r="EA383" i="27"/>
  <c r="EB383" i="27"/>
  <c r="DZ384" i="27"/>
  <c r="EA384" i="27"/>
  <c r="EB384" i="27"/>
  <c r="DZ385" i="27"/>
  <c r="EA385" i="27"/>
  <c r="EB385" i="27"/>
  <c r="DZ386" i="27"/>
  <c r="EA386" i="27"/>
  <c r="EB386" i="27"/>
  <c r="DZ387" i="27"/>
  <c r="EA387" i="27"/>
  <c r="EB387" i="27"/>
  <c r="DZ388" i="27"/>
  <c r="EA388" i="27"/>
  <c r="EB388" i="27"/>
  <c r="DZ389" i="27"/>
  <c r="EA389" i="27"/>
  <c r="EB389" i="27"/>
  <c r="DZ390" i="27"/>
  <c r="EA390" i="27"/>
  <c r="EB390" i="27"/>
  <c r="DZ391" i="27"/>
  <c r="EA391" i="27"/>
  <c r="EB391" i="27"/>
  <c r="DZ392" i="27"/>
  <c r="EA392" i="27"/>
  <c r="EB392" i="27"/>
  <c r="DZ393" i="27"/>
  <c r="EA393" i="27"/>
  <c r="EB393" i="27"/>
  <c r="DZ394" i="27"/>
  <c r="EA394" i="27"/>
  <c r="EB394" i="27"/>
  <c r="DZ395" i="27"/>
  <c r="EA395" i="27"/>
  <c r="EB395" i="27"/>
  <c r="DZ396" i="27"/>
  <c r="EA396" i="27"/>
  <c r="EB396" i="27"/>
  <c r="DZ397" i="27"/>
  <c r="EA397" i="27"/>
  <c r="EB397" i="27"/>
  <c r="DZ398" i="27"/>
  <c r="EA398" i="27"/>
  <c r="EB398" i="27"/>
  <c r="DZ399" i="27"/>
  <c r="EA399" i="27"/>
  <c r="EB399" i="27"/>
  <c r="DZ400" i="27"/>
  <c r="EA400" i="27"/>
  <c r="EB400" i="27"/>
  <c r="DZ401" i="27"/>
  <c r="EA401" i="27"/>
  <c r="EB401" i="27"/>
  <c r="DZ402" i="27"/>
  <c r="EA402" i="27"/>
  <c r="EB402" i="27"/>
  <c r="DZ403" i="27"/>
  <c r="EA403" i="27"/>
  <c r="EB403" i="27"/>
  <c r="DZ404" i="27"/>
  <c r="EA404" i="27"/>
  <c r="EB404" i="27"/>
  <c r="DZ405" i="27"/>
  <c r="EA405" i="27"/>
  <c r="EB405" i="27"/>
  <c r="DZ406" i="27"/>
  <c r="EA406" i="27"/>
  <c r="EB406" i="27"/>
  <c r="DZ407" i="27"/>
  <c r="EA407" i="27"/>
  <c r="EB407" i="27"/>
  <c r="DZ408" i="27"/>
  <c r="EA408" i="27"/>
  <c r="EB408" i="27"/>
  <c r="DZ409" i="27"/>
  <c r="EA409" i="27"/>
  <c r="EB409" i="27"/>
  <c r="DZ410" i="27"/>
  <c r="EA410" i="27"/>
  <c r="EB410" i="27"/>
  <c r="DZ411" i="27"/>
  <c r="EA411" i="27"/>
  <c r="EB411" i="27"/>
  <c r="DZ412" i="27"/>
  <c r="EA412" i="27"/>
  <c r="EB412" i="27"/>
  <c r="DZ413" i="27"/>
  <c r="EA413" i="27"/>
  <c r="EB413" i="27"/>
  <c r="DZ414" i="27"/>
  <c r="EA414" i="27"/>
  <c r="EB414" i="27"/>
  <c r="DZ415" i="27"/>
  <c r="EA415" i="27"/>
  <c r="EB415" i="27"/>
  <c r="DZ416" i="27"/>
  <c r="EA416" i="27"/>
  <c r="EB416" i="27"/>
  <c r="DZ417" i="27"/>
  <c r="EA417" i="27"/>
  <c r="EB417" i="27"/>
  <c r="DZ418" i="27"/>
  <c r="EA418" i="27"/>
  <c r="EB418" i="27"/>
  <c r="DZ419" i="27"/>
  <c r="EA419" i="27"/>
  <c r="EB419" i="27"/>
  <c r="DZ420" i="27"/>
  <c r="EA420" i="27"/>
  <c r="EB420" i="27"/>
  <c r="DZ421" i="27"/>
  <c r="EA421" i="27"/>
  <c r="EB421" i="27"/>
  <c r="DZ422" i="27"/>
  <c r="EA422" i="27"/>
  <c r="EB422" i="27"/>
  <c r="DZ423" i="27"/>
  <c r="EA423" i="27"/>
  <c r="EB423" i="27"/>
  <c r="DZ424" i="27"/>
  <c r="EA424" i="27"/>
  <c r="EB424" i="27"/>
  <c r="DZ425" i="27"/>
  <c r="EA425" i="27"/>
  <c r="EB425" i="27"/>
  <c r="DZ426" i="27"/>
  <c r="EA426" i="27"/>
  <c r="EB426" i="27"/>
  <c r="DZ427" i="27"/>
  <c r="EA427" i="27"/>
  <c r="EB427" i="27"/>
  <c r="DZ428" i="27"/>
  <c r="EA428" i="27"/>
  <c r="EB428" i="27"/>
  <c r="DZ429" i="27"/>
  <c r="EA429" i="27"/>
  <c r="EB429" i="27"/>
  <c r="DZ430" i="27"/>
  <c r="EA430" i="27"/>
  <c r="EB430" i="27"/>
  <c r="DZ431" i="27"/>
  <c r="EA431" i="27"/>
  <c r="EB431" i="27"/>
  <c r="DZ432" i="27"/>
  <c r="EA432" i="27"/>
  <c r="EB432" i="27"/>
  <c r="DZ433" i="27"/>
  <c r="EA433" i="27"/>
  <c r="EB433" i="27"/>
  <c r="DZ434" i="27"/>
  <c r="EA434" i="27"/>
  <c r="EB434" i="27"/>
  <c r="DZ435" i="27"/>
  <c r="EA435" i="27"/>
  <c r="EB435" i="27"/>
  <c r="DZ436" i="27"/>
  <c r="EA436" i="27"/>
  <c r="EB436" i="27"/>
  <c r="DZ437" i="27"/>
  <c r="EA437" i="27"/>
  <c r="EB437" i="27"/>
  <c r="DZ438" i="27"/>
  <c r="EA438" i="27"/>
  <c r="EB438" i="27"/>
  <c r="DZ439" i="27"/>
  <c r="EA439" i="27"/>
  <c r="EB439" i="27"/>
  <c r="DZ440" i="27"/>
  <c r="EA440" i="27"/>
  <c r="EB440" i="27"/>
  <c r="DZ441" i="27"/>
  <c r="EA441" i="27"/>
  <c r="EB441" i="27"/>
  <c r="DZ442" i="27"/>
  <c r="EA442" i="27"/>
  <c r="EB442" i="27"/>
  <c r="DZ443" i="27"/>
  <c r="EA443" i="27"/>
  <c r="EB443" i="27"/>
  <c r="DZ444" i="27"/>
  <c r="EA444" i="27"/>
  <c r="EB444" i="27"/>
  <c r="DZ445" i="27"/>
  <c r="EA445" i="27"/>
  <c r="EB445" i="27"/>
  <c r="DZ446" i="27"/>
  <c r="EA446" i="27"/>
  <c r="EB446" i="27"/>
  <c r="DZ447" i="27"/>
  <c r="EA447" i="27"/>
  <c r="EB447" i="27"/>
  <c r="DZ448" i="27"/>
  <c r="EA448" i="27"/>
  <c r="EB448" i="27"/>
  <c r="DZ449" i="27"/>
  <c r="EA449" i="27"/>
  <c r="EB449" i="27"/>
  <c r="DZ450" i="27"/>
  <c r="EA450" i="27"/>
  <c r="EB450" i="27"/>
  <c r="DZ451" i="27"/>
  <c r="EA451" i="27"/>
  <c r="EB451" i="27"/>
  <c r="DZ452" i="27"/>
  <c r="EA452" i="27"/>
  <c r="EB452" i="27"/>
  <c r="DZ453" i="27"/>
  <c r="EA453" i="27"/>
  <c r="EB453" i="27"/>
  <c r="DZ454" i="27"/>
  <c r="EA454" i="27"/>
  <c r="EB454" i="27"/>
  <c r="DZ455" i="27"/>
  <c r="EA455" i="27"/>
  <c r="EB455" i="27"/>
  <c r="DZ456" i="27"/>
  <c r="EA456" i="27"/>
  <c r="EB456" i="27"/>
  <c r="DZ457" i="27"/>
  <c r="EA457" i="27"/>
  <c r="EB457" i="27"/>
  <c r="DZ458" i="27"/>
  <c r="EA458" i="27"/>
  <c r="EB458" i="27"/>
  <c r="DZ459" i="27"/>
  <c r="EA459" i="27"/>
  <c r="EB459" i="27"/>
  <c r="DZ460" i="27"/>
  <c r="EA460" i="27"/>
  <c r="EB460" i="27"/>
  <c r="DZ461" i="27"/>
  <c r="EA461" i="27"/>
  <c r="EB461" i="27"/>
  <c r="DZ462" i="27"/>
  <c r="EA462" i="27"/>
  <c r="EB462" i="27"/>
  <c r="DZ463" i="27"/>
  <c r="EA463" i="27"/>
  <c r="EB463" i="27"/>
  <c r="DZ464" i="27"/>
  <c r="EA464" i="27"/>
  <c r="EB464" i="27"/>
  <c r="DZ465" i="27"/>
  <c r="EA465" i="27"/>
  <c r="EB465" i="27"/>
  <c r="DZ466" i="27"/>
  <c r="EA466" i="27"/>
  <c r="EB466" i="27"/>
  <c r="DZ467" i="27"/>
  <c r="EA467" i="27"/>
  <c r="EB467" i="27"/>
  <c r="DZ468" i="27"/>
  <c r="EA468" i="27"/>
  <c r="EB468" i="27"/>
  <c r="DZ469" i="27"/>
  <c r="EA469" i="27"/>
  <c r="EB469" i="27"/>
  <c r="DZ470" i="27"/>
  <c r="EA470" i="27"/>
  <c r="EB470" i="27"/>
  <c r="DZ471" i="27"/>
  <c r="EA471" i="27"/>
  <c r="EB471" i="27"/>
  <c r="DZ472" i="27"/>
  <c r="EA472" i="27"/>
  <c r="EB472" i="27"/>
  <c r="DZ473" i="27"/>
  <c r="EA473" i="27"/>
  <c r="EB473" i="27"/>
  <c r="DZ474" i="27"/>
  <c r="EA474" i="27"/>
  <c r="EB474" i="27"/>
  <c r="DZ475" i="27"/>
  <c r="EA475" i="27"/>
  <c r="EB475" i="27"/>
  <c r="DZ476" i="27"/>
  <c r="EA476" i="27"/>
  <c r="EB476" i="27"/>
  <c r="DZ477" i="27"/>
  <c r="EA477" i="27"/>
  <c r="EB477" i="27"/>
  <c r="DZ478" i="27"/>
  <c r="EA478" i="27"/>
  <c r="EB478" i="27"/>
  <c r="DZ479" i="27"/>
  <c r="EA479" i="27"/>
  <c r="EB479" i="27"/>
  <c r="DZ480" i="27"/>
  <c r="EA480" i="27"/>
  <c r="EB480" i="27"/>
  <c r="DZ481" i="27"/>
  <c r="EA481" i="27"/>
  <c r="EB481" i="27"/>
  <c r="DZ482" i="27"/>
  <c r="EA482" i="27"/>
  <c r="EB482" i="27"/>
  <c r="DZ483" i="27"/>
  <c r="EA483" i="27"/>
  <c r="EB483" i="27"/>
  <c r="DZ484" i="27"/>
  <c r="EA484" i="27"/>
  <c r="EB484" i="27"/>
  <c r="DZ485" i="27"/>
  <c r="EA485" i="27"/>
  <c r="EB485" i="27"/>
  <c r="DZ486" i="27"/>
  <c r="EA486" i="27"/>
  <c r="EB486" i="27"/>
  <c r="DZ487" i="27"/>
  <c r="EA487" i="27"/>
  <c r="EB487" i="27"/>
  <c r="DZ488" i="27"/>
  <c r="EA488" i="27"/>
  <c r="EB488" i="27"/>
  <c r="DZ489" i="27"/>
  <c r="EA489" i="27"/>
  <c r="EB489" i="27"/>
  <c r="DZ490" i="27"/>
  <c r="EA490" i="27"/>
  <c r="EB490" i="27"/>
  <c r="DZ491" i="27"/>
  <c r="EA491" i="27"/>
  <c r="EB491" i="27"/>
  <c r="DZ492" i="27"/>
  <c r="EA492" i="27"/>
  <c r="EB492" i="27"/>
  <c r="DZ493" i="27"/>
  <c r="EA493" i="27"/>
  <c r="EB493" i="27"/>
  <c r="DZ494" i="27"/>
  <c r="EA494" i="27"/>
  <c r="EB494" i="27"/>
  <c r="DZ495" i="27"/>
  <c r="EA495" i="27"/>
  <c r="EB495" i="27"/>
  <c r="DZ496" i="27"/>
  <c r="EA496" i="27"/>
  <c r="EB496" i="27"/>
  <c r="DZ497" i="27"/>
  <c r="EA497" i="27"/>
  <c r="EB497" i="27"/>
  <c r="DZ498" i="27"/>
  <c r="EA498" i="27"/>
  <c r="EB498" i="27"/>
  <c r="DZ499" i="27"/>
  <c r="EA499" i="27"/>
  <c r="EB499" i="27"/>
  <c r="DZ500" i="27"/>
  <c r="EA500" i="27"/>
  <c r="EB500" i="27"/>
  <c r="DZ501" i="27"/>
  <c r="EA501" i="27"/>
  <c r="EB501" i="27"/>
  <c r="DZ502" i="27"/>
  <c r="EA502" i="27"/>
  <c r="EB502" i="27"/>
  <c r="DZ503" i="27"/>
  <c r="EA503" i="27"/>
  <c r="EB503" i="27"/>
  <c r="DZ504" i="27"/>
  <c r="EA504" i="27"/>
  <c r="EB504" i="27"/>
  <c r="DZ505" i="27"/>
  <c r="EA505" i="27"/>
  <c r="EB505" i="27"/>
  <c r="DZ506" i="27"/>
  <c r="EA506" i="27"/>
  <c r="EB506" i="27"/>
  <c r="DZ507" i="27"/>
  <c r="EA507" i="27"/>
  <c r="EB507" i="27"/>
  <c r="DZ508" i="27"/>
  <c r="EA508" i="27"/>
  <c r="EB508" i="27"/>
  <c r="DZ509" i="27"/>
  <c r="EA509" i="27"/>
  <c r="EB509" i="27"/>
  <c r="DZ510" i="27"/>
  <c r="EA510" i="27"/>
  <c r="EB510" i="27"/>
  <c r="DZ511" i="27"/>
  <c r="EA511" i="27"/>
  <c r="EB511" i="27"/>
  <c r="DZ512" i="27"/>
  <c r="EA512" i="27"/>
  <c r="EB512" i="27"/>
  <c r="DZ513" i="27"/>
  <c r="EA513" i="27"/>
  <c r="EB513" i="27"/>
  <c r="DZ514" i="27"/>
  <c r="EA514" i="27"/>
  <c r="EB514" i="27"/>
  <c r="DZ515" i="27"/>
  <c r="EA515" i="27"/>
  <c r="EB515" i="27"/>
  <c r="DZ516" i="27"/>
  <c r="EA516" i="27"/>
  <c r="EB516" i="27"/>
  <c r="DZ517" i="27"/>
  <c r="EA517" i="27"/>
  <c r="EB517" i="27"/>
  <c r="DZ518" i="27"/>
  <c r="EA518" i="27"/>
  <c r="EB518" i="27"/>
  <c r="DZ519" i="27"/>
  <c r="EA519" i="27"/>
  <c r="EB519" i="27"/>
  <c r="DZ520" i="27"/>
  <c r="EA520" i="27"/>
  <c r="EB520" i="27"/>
  <c r="DZ521" i="27"/>
  <c r="EA521" i="27"/>
  <c r="EB521" i="27"/>
  <c r="DZ522" i="27"/>
  <c r="EA522" i="27"/>
  <c r="EB522" i="27"/>
  <c r="DZ523" i="27"/>
  <c r="EA523" i="27"/>
  <c r="EB523" i="27"/>
  <c r="DZ524" i="27"/>
  <c r="EA524" i="27"/>
  <c r="EB524" i="27"/>
  <c r="DZ525" i="27"/>
  <c r="EA525" i="27"/>
  <c r="EB525" i="27"/>
  <c r="DZ526" i="27"/>
  <c r="EA526" i="27"/>
  <c r="EB526" i="27"/>
  <c r="DZ527" i="27"/>
  <c r="EA527" i="27"/>
  <c r="EB527" i="27"/>
  <c r="DZ528" i="27"/>
  <c r="EA528" i="27"/>
  <c r="EB528" i="27"/>
  <c r="DZ529" i="27"/>
  <c r="EA529" i="27"/>
  <c r="EB529" i="27"/>
  <c r="DZ530" i="27"/>
  <c r="EA530" i="27"/>
  <c r="EB530" i="27"/>
  <c r="DZ531" i="27"/>
  <c r="EA531" i="27"/>
  <c r="EB531" i="27"/>
  <c r="DZ532" i="27"/>
  <c r="EA532" i="27"/>
  <c r="EB532" i="27"/>
  <c r="DZ533" i="27"/>
  <c r="EA533" i="27"/>
  <c r="EB533" i="27"/>
  <c r="DZ534" i="27"/>
  <c r="EA534" i="27"/>
  <c r="EB534" i="27"/>
  <c r="DZ535" i="27"/>
  <c r="EA535" i="27"/>
  <c r="EB535" i="27"/>
  <c r="DZ536" i="27"/>
  <c r="EA536" i="27"/>
  <c r="EB536" i="27"/>
  <c r="DZ537" i="27"/>
  <c r="EA537" i="27"/>
  <c r="EB537" i="27"/>
  <c r="DZ538" i="27"/>
  <c r="EA538" i="27"/>
  <c r="EB538" i="27"/>
  <c r="DZ539" i="27"/>
  <c r="EA539" i="27"/>
  <c r="EB539" i="27"/>
  <c r="DZ540" i="27"/>
  <c r="EA540" i="27"/>
  <c r="EB540" i="27"/>
  <c r="DZ541" i="27"/>
  <c r="EA541" i="27"/>
  <c r="EB541" i="27"/>
  <c r="DZ542" i="27"/>
  <c r="EA542" i="27"/>
  <c r="EB542" i="27"/>
  <c r="DZ543" i="27"/>
  <c r="EA543" i="27"/>
  <c r="EB543" i="27"/>
  <c r="DZ544" i="27"/>
  <c r="EA544" i="27"/>
  <c r="EB544" i="27"/>
  <c r="DZ545" i="27"/>
  <c r="EA545" i="27"/>
  <c r="EB545" i="27"/>
  <c r="DZ546" i="27"/>
  <c r="EA546" i="27"/>
  <c r="EB546" i="27"/>
  <c r="DZ547" i="27"/>
  <c r="EA547" i="27"/>
  <c r="EB547" i="27"/>
  <c r="DZ548" i="27"/>
  <c r="EA548" i="27"/>
  <c r="EB548" i="27"/>
  <c r="DZ549" i="27"/>
  <c r="EA549" i="27"/>
  <c r="EB549" i="27"/>
  <c r="DZ550" i="27"/>
  <c r="EA550" i="27"/>
  <c r="EB550" i="27"/>
  <c r="DZ551" i="27"/>
  <c r="EA551" i="27"/>
  <c r="EB551" i="27"/>
  <c r="DZ552" i="27"/>
  <c r="EA552" i="27"/>
  <c r="EB552" i="27"/>
  <c r="DZ553" i="27"/>
  <c r="EA553" i="27"/>
  <c r="EB553" i="27"/>
  <c r="DZ554" i="27"/>
  <c r="EA554" i="27"/>
  <c r="EB554" i="27"/>
  <c r="DZ555" i="27"/>
  <c r="EA555" i="27"/>
  <c r="EB555" i="27"/>
  <c r="DZ556" i="27"/>
  <c r="EA556" i="27"/>
  <c r="EB556" i="27"/>
  <c r="DZ557" i="27"/>
  <c r="EA557" i="27"/>
  <c r="EB557" i="27"/>
  <c r="DZ558" i="27"/>
  <c r="EA558" i="27"/>
  <c r="EB558" i="27"/>
  <c r="DZ559" i="27"/>
  <c r="EA559" i="27"/>
  <c r="EB559" i="27"/>
  <c r="DZ560" i="27"/>
  <c r="EA560" i="27"/>
  <c r="EB560" i="27"/>
  <c r="DZ561" i="27"/>
  <c r="EA561" i="27"/>
  <c r="EB561" i="27"/>
  <c r="DZ562" i="27"/>
  <c r="EA562" i="27"/>
  <c r="EB562" i="27"/>
  <c r="DZ563" i="27"/>
  <c r="EA563" i="27"/>
  <c r="EB563" i="27"/>
  <c r="DZ564" i="27"/>
  <c r="EA564" i="27"/>
  <c r="EB564" i="27"/>
  <c r="DZ565" i="27"/>
  <c r="EA565" i="27"/>
  <c r="EB565" i="27"/>
  <c r="DZ566" i="27"/>
  <c r="EA566" i="27"/>
  <c r="EB566" i="27"/>
  <c r="DZ567" i="27"/>
  <c r="EA567" i="27"/>
  <c r="EB567" i="27"/>
  <c r="DZ568" i="27"/>
  <c r="EA568" i="27"/>
  <c r="EB568" i="27"/>
  <c r="DZ569" i="27"/>
  <c r="EA569" i="27"/>
  <c r="EB569" i="27"/>
  <c r="DZ570" i="27"/>
  <c r="EA570" i="27"/>
  <c r="EB570" i="27"/>
  <c r="DZ571" i="27"/>
  <c r="EA571" i="27"/>
  <c r="EB571" i="27"/>
  <c r="DZ572" i="27"/>
  <c r="EA572" i="27"/>
  <c r="EB572" i="27"/>
  <c r="DZ573" i="27"/>
  <c r="EA573" i="27"/>
  <c r="EB573" i="27"/>
  <c r="DZ574" i="27"/>
  <c r="EA574" i="27"/>
  <c r="EB574" i="27"/>
  <c r="DZ575" i="27"/>
  <c r="EA575" i="27"/>
  <c r="EB575" i="27"/>
  <c r="DZ576" i="27"/>
  <c r="EA576" i="27"/>
  <c r="EB576" i="27"/>
  <c r="DZ577" i="27"/>
  <c r="EA577" i="27"/>
  <c r="EB577" i="27"/>
  <c r="DZ578" i="27"/>
  <c r="EA578" i="27"/>
  <c r="EB578" i="27"/>
  <c r="DZ579" i="27"/>
  <c r="EA579" i="27"/>
  <c r="EB579" i="27"/>
  <c r="DZ580" i="27"/>
  <c r="EA580" i="27"/>
  <c r="EB580" i="27"/>
  <c r="DZ581" i="27"/>
  <c r="EA581" i="27"/>
  <c r="EB581" i="27"/>
  <c r="DZ582" i="27"/>
  <c r="EA582" i="27"/>
  <c r="EB582" i="27"/>
  <c r="DZ583" i="27"/>
  <c r="EA583" i="27"/>
  <c r="EB583" i="27"/>
  <c r="DZ584" i="27"/>
  <c r="EA584" i="27"/>
  <c r="EB584" i="27"/>
  <c r="DZ585" i="27"/>
  <c r="EA585" i="27"/>
  <c r="EB585" i="27"/>
  <c r="DZ586" i="27"/>
  <c r="EA586" i="27"/>
  <c r="EB586" i="27"/>
  <c r="DZ587" i="27"/>
  <c r="EA587" i="27"/>
  <c r="EB587" i="27"/>
  <c r="DZ588" i="27"/>
  <c r="EA588" i="27"/>
  <c r="EB588" i="27"/>
  <c r="DZ589" i="27"/>
  <c r="EA589" i="27"/>
  <c r="EB589" i="27"/>
  <c r="DZ590" i="27"/>
  <c r="EA590" i="27"/>
  <c r="EB590" i="27"/>
  <c r="DZ591" i="27"/>
  <c r="EA591" i="27"/>
  <c r="EB591" i="27"/>
  <c r="DZ592" i="27"/>
  <c r="EA592" i="27"/>
  <c r="EB592" i="27"/>
  <c r="DZ593" i="27"/>
  <c r="EA593" i="27"/>
  <c r="EB593" i="27"/>
  <c r="DZ594" i="27"/>
  <c r="EA594" i="27"/>
  <c r="EB594" i="27"/>
  <c r="DZ595" i="27"/>
  <c r="EA595" i="27"/>
  <c r="EB595" i="27"/>
  <c r="DZ596" i="27"/>
  <c r="EA596" i="27"/>
  <c r="EB596" i="27"/>
  <c r="DZ597" i="27"/>
  <c r="EA597" i="27"/>
  <c r="EB597" i="27"/>
  <c r="DZ598" i="27"/>
  <c r="EA598" i="27"/>
  <c r="EB598" i="27"/>
  <c r="DZ599" i="27"/>
  <c r="EA599" i="27"/>
  <c r="EB599" i="27"/>
  <c r="DZ600" i="27"/>
  <c r="EA600" i="27"/>
  <c r="EB600" i="27"/>
  <c r="DZ601" i="27"/>
  <c r="EA601" i="27"/>
  <c r="EB601" i="27"/>
  <c r="DZ602" i="27"/>
  <c r="EA602" i="27"/>
  <c r="EB602" i="27"/>
  <c r="DZ603" i="27"/>
  <c r="EA603" i="27"/>
  <c r="EB603" i="27"/>
  <c r="DZ604" i="27"/>
  <c r="EA604" i="27"/>
  <c r="EB604" i="27"/>
  <c r="DZ605" i="27"/>
  <c r="EA605" i="27"/>
  <c r="EB605" i="27"/>
  <c r="DZ606" i="27"/>
  <c r="EA606" i="27"/>
  <c r="EB606" i="27"/>
  <c r="DZ607" i="27"/>
  <c r="EA607" i="27"/>
  <c r="EB607" i="27"/>
  <c r="DZ608" i="27"/>
  <c r="EA608" i="27"/>
  <c r="EB608" i="27"/>
  <c r="DZ609" i="27"/>
  <c r="EA609" i="27"/>
  <c r="EB609" i="27"/>
  <c r="DZ610" i="27"/>
  <c r="EA610" i="27"/>
  <c r="EB610" i="27"/>
  <c r="DZ611" i="27"/>
  <c r="EA611" i="27"/>
  <c r="EB611" i="27"/>
  <c r="DZ612" i="27"/>
  <c r="EA612" i="27"/>
  <c r="EB612" i="27"/>
  <c r="DZ613" i="27"/>
  <c r="EA613" i="27"/>
  <c r="EB613" i="27"/>
  <c r="DZ614" i="27"/>
  <c r="EA614" i="27"/>
  <c r="EB614" i="27"/>
  <c r="DZ615" i="27"/>
  <c r="EA615" i="27"/>
  <c r="EB615" i="27"/>
  <c r="DZ616" i="27"/>
  <c r="EA616" i="27"/>
  <c r="EB616" i="27"/>
  <c r="DZ617" i="27"/>
  <c r="EA617" i="27"/>
  <c r="EB617" i="27"/>
  <c r="DZ618" i="27"/>
  <c r="EA618" i="27"/>
  <c r="EB618" i="27"/>
  <c r="DZ619" i="27"/>
  <c r="EA619" i="27"/>
  <c r="EB619" i="27"/>
  <c r="DZ620" i="27"/>
  <c r="EA620" i="27"/>
  <c r="EB620" i="27"/>
  <c r="DZ621" i="27"/>
  <c r="EA621" i="27"/>
  <c r="EB621" i="27"/>
  <c r="DZ622" i="27"/>
  <c r="EA622" i="27"/>
  <c r="EB622" i="27"/>
  <c r="DZ623" i="27"/>
  <c r="EA623" i="27"/>
  <c r="EB623" i="27"/>
  <c r="DZ624" i="27"/>
  <c r="EA624" i="27"/>
  <c r="EB624" i="27"/>
  <c r="DZ625" i="27"/>
  <c r="EA625" i="27"/>
  <c r="EB625" i="27"/>
  <c r="DZ626" i="27"/>
  <c r="EA626" i="27"/>
  <c r="EB626" i="27"/>
  <c r="DZ627" i="27"/>
  <c r="EA627" i="27"/>
  <c r="EB627" i="27"/>
  <c r="DZ628" i="27"/>
  <c r="EA628" i="27"/>
  <c r="EB628" i="27"/>
  <c r="DZ629" i="27"/>
  <c r="EA629" i="27"/>
  <c r="EB629" i="27"/>
  <c r="DZ630" i="27"/>
  <c r="EA630" i="27"/>
  <c r="EB630" i="27"/>
  <c r="DZ631" i="27"/>
  <c r="EA631" i="27"/>
  <c r="EB631" i="27"/>
  <c r="DZ632" i="27"/>
  <c r="EA632" i="27"/>
  <c r="EB632" i="27"/>
  <c r="DZ633" i="27"/>
  <c r="EA633" i="27"/>
  <c r="EB633" i="27"/>
  <c r="DZ634" i="27"/>
  <c r="EA634" i="27"/>
  <c r="EB634" i="27"/>
  <c r="DZ635" i="27"/>
  <c r="EA635" i="27"/>
  <c r="EB635" i="27"/>
  <c r="DZ636" i="27"/>
  <c r="EA636" i="27"/>
  <c r="EB636" i="27"/>
  <c r="DZ637" i="27"/>
  <c r="EA637" i="27"/>
  <c r="EB637" i="27"/>
  <c r="DZ638" i="27"/>
  <c r="EA638" i="27"/>
  <c r="EB638" i="27"/>
  <c r="DZ639" i="27"/>
  <c r="EA639" i="27"/>
  <c r="EB639" i="27"/>
  <c r="DZ640" i="27"/>
  <c r="EA640" i="27"/>
  <c r="EB640" i="27"/>
  <c r="DZ641" i="27"/>
  <c r="EA641" i="27"/>
  <c r="EB641" i="27"/>
  <c r="DZ642" i="27"/>
  <c r="EA642" i="27"/>
  <c r="EB642" i="27"/>
  <c r="DZ643" i="27"/>
  <c r="EA643" i="27"/>
  <c r="EB643" i="27"/>
  <c r="DZ644" i="27"/>
  <c r="EA644" i="27"/>
  <c r="EB644" i="27"/>
  <c r="DZ645" i="27"/>
  <c r="EA645" i="27"/>
  <c r="EB645" i="27"/>
  <c r="DZ646" i="27"/>
  <c r="EA646" i="27"/>
  <c r="EB646" i="27"/>
  <c r="DZ647" i="27"/>
  <c r="EA647" i="27"/>
  <c r="EB647" i="27"/>
  <c r="DZ648" i="27"/>
  <c r="EA648" i="27"/>
  <c r="EB648" i="27"/>
  <c r="DZ649" i="27"/>
  <c r="EA649" i="27"/>
  <c r="EB649" i="27"/>
  <c r="DZ650" i="27"/>
  <c r="EA650" i="27"/>
  <c r="EB650" i="27"/>
  <c r="DZ651" i="27"/>
  <c r="EA651" i="27"/>
  <c r="EB651" i="27"/>
  <c r="DZ652" i="27"/>
  <c r="EA652" i="27"/>
  <c r="EB652" i="27"/>
  <c r="DZ653" i="27"/>
  <c r="EA653" i="27"/>
  <c r="EB653" i="27"/>
  <c r="DZ654" i="27"/>
  <c r="EA654" i="27"/>
  <c r="EB654" i="27"/>
  <c r="DZ655" i="27"/>
  <c r="EA655" i="27"/>
  <c r="EB655" i="27"/>
  <c r="DZ656" i="27"/>
  <c r="EA656" i="27"/>
  <c r="EB656" i="27"/>
  <c r="DZ657" i="27"/>
  <c r="EA657" i="27"/>
  <c r="EB657" i="27"/>
  <c r="DZ658" i="27"/>
  <c r="EA658" i="27"/>
  <c r="EB658" i="27"/>
  <c r="DZ659" i="27"/>
  <c r="EA659" i="27"/>
  <c r="EB659" i="27"/>
  <c r="DZ660" i="27"/>
  <c r="EA660" i="27"/>
  <c r="EB660" i="27"/>
  <c r="DZ661" i="27"/>
  <c r="EA661" i="27"/>
  <c r="EB661" i="27"/>
  <c r="DZ662" i="27"/>
  <c r="EA662" i="27"/>
  <c r="EB662" i="27"/>
  <c r="DZ663" i="27"/>
  <c r="EA663" i="27"/>
  <c r="EB663" i="27"/>
  <c r="DZ664" i="27"/>
  <c r="EA664" i="27"/>
  <c r="EB664" i="27"/>
  <c r="DZ665" i="27"/>
  <c r="EA665" i="27"/>
  <c r="EB665" i="27"/>
  <c r="DZ666" i="27"/>
  <c r="EA666" i="27"/>
  <c r="EB666" i="27"/>
  <c r="DZ667" i="27"/>
  <c r="EA667" i="27"/>
  <c r="EB667" i="27"/>
  <c r="DZ668" i="27"/>
  <c r="EA668" i="27"/>
  <c r="EB668" i="27"/>
  <c r="DZ669" i="27"/>
  <c r="EA669" i="27"/>
  <c r="EB669" i="27"/>
  <c r="DZ670" i="27"/>
  <c r="EA670" i="27"/>
  <c r="EB670" i="27"/>
  <c r="DZ671" i="27"/>
  <c r="EA671" i="27"/>
  <c r="EB671" i="27"/>
  <c r="DZ672" i="27"/>
  <c r="EA672" i="27"/>
  <c r="EB672" i="27"/>
  <c r="DZ673" i="27"/>
  <c r="EA673" i="27"/>
  <c r="EB673" i="27"/>
  <c r="DZ674" i="27"/>
  <c r="EA674" i="27"/>
  <c r="EB674" i="27"/>
  <c r="DZ675" i="27"/>
  <c r="EA675" i="27"/>
  <c r="EB675" i="27"/>
  <c r="DZ676" i="27"/>
  <c r="EA676" i="27"/>
  <c r="EB676" i="27"/>
  <c r="DZ677" i="27"/>
  <c r="EA677" i="27"/>
  <c r="EB677" i="27"/>
  <c r="DZ678" i="27"/>
  <c r="EA678" i="27"/>
  <c r="EB678" i="27"/>
  <c r="DZ679" i="27"/>
  <c r="EA679" i="27"/>
  <c r="EB679" i="27"/>
  <c r="DZ680" i="27"/>
  <c r="EA680" i="27"/>
  <c r="EB680" i="27"/>
  <c r="DZ681" i="27"/>
  <c r="EA681" i="27"/>
  <c r="EB681" i="27"/>
  <c r="DZ682" i="27"/>
  <c r="EA682" i="27"/>
  <c r="EB682" i="27"/>
  <c r="DZ683" i="27"/>
  <c r="EA683" i="27"/>
  <c r="EB683" i="27"/>
  <c r="DZ684" i="27"/>
  <c r="EA684" i="27"/>
  <c r="EB684" i="27"/>
  <c r="DZ685" i="27"/>
  <c r="EA685" i="27"/>
  <c r="EB685" i="27"/>
  <c r="DZ686" i="27"/>
  <c r="EA686" i="27"/>
  <c r="EB686" i="27"/>
  <c r="DZ687" i="27"/>
  <c r="EA687" i="27"/>
  <c r="EB687" i="27"/>
  <c r="DZ688" i="27"/>
  <c r="EA688" i="27"/>
  <c r="EB688" i="27"/>
  <c r="DZ689" i="27"/>
  <c r="EA689" i="27"/>
  <c r="EB689" i="27"/>
  <c r="DZ690" i="27"/>
  <c r="EA690" i="27"/>
  <c r="EB690" i="27"/>
  <c r="DZ691" i="27"/>
  <c r="EA691" i="27"/>
  <c r="EB691" i="27"/>
  <c r="DZ692" i="27"/>
  <c r="EA692" i="27"/>
  <c r="EB692" i="27"/>
  <c r="DZ693" i="27"/>
  <c r="EA693" i="27"/>
  <c r="EB693" i="27"/>
  <c r="DZ694" i="27"/>
  <c r="EA694" i="27"/>
  <c r="EB694" i="27"/>
  <c r="DZ695" i="27"/>
  <c r="EA695" i="27"/>
  <c r="EB695" i="27"/>
  <c r="DZ696" i="27"/>
  <c r="EA696" i="27"/>
  <c r="EB696" i="27"/>
  <c r="DZ697" i="27"/>
  <c r="EA697" i="27"/>
  <c r="EB697" i="27"/>
  <c r="DZ698" i="27"/>
  <c r="EA698" i="27"/>
  <c r="EB698" i="27"/>
  <c r="DZ699" i="27"/>
  <c r="EA699" i="27"/>
  <c r="EB699" i="27"/>
  <c r="DZ700" i="27"/>
  <c r="EA700" i="27"/>
  <c r="EB700" i="27"/>
  <c r="DZ701" i="27"/>
  <c r="EA701" i="27"/>
  <c r="EB701" i="27"/>
  <c r="DZ702" i="27"/>
  <c r="EA702" i="27"/>
  <c r="EB702" i="27"/>
  <c r="DZ703" i="27"/>
  <c r="EA703" i="27"/>
  <c r="EB703" i="27"/>
  <c r="DZ704" i="27"/>
  <c r="EA704" i="27"/>
  <c r="EB704" i="27"/>
  <c r="DZ705" i="27"/>
  <c r="EA705" i="27"/>
  <c r="EB705" i="27"/>
  <c r="DZ706" i="27"/>
  <c r="EA706" i="27"/>
  <c r="EB706" i="27"/>
  <c r="DZ707" i="27"/>
  <c r="EA707" i="27"/>
  <c r="EB707" i="27"/>
  <c r="DZ708" i="27"/>
  <c r="EA708" i="27"/>
  <c r="EB708" i="27"/>
  <c r="DZ709" i="27"/>
  <c r="EA709" i="27"/>
  <c r="EB709" i="27"/>
  <c r="DZ710" i="27"/>
  <c r="EA710" i="27"/>
  <c r="EB710" i="27"/>
  <c r="DZ711" i="27"/>
  <c r="EA711" i="27"/>
  <c r="EB711" i="27"/>
  <c r="DZ712" i="27"/>
  <c r="EA712" i="27"/>
  <c r="EB712" i="27"/>
  <c r="DZ713" i="27"/>
  <c r="EA713" i="27"/>
  <c r="EB713" i="27"/>
  <c r="DZ714" i="27"/>
  <c r="EA714" i="27"/>
  <c r="EB714" i="27"/>
  <c r="DZ715" i="27"/>
  <c r="EA715" i="27"/>
  <c r="EB715" i="27"/>
  <c r="DZ716" i="27"/>
  <c r="EA716" i="27"/>
  <c r="EB716" i="27"/>
  <c r="DZ717" i="27"/>
  <c r="EA717" i="27"/>
  <c r="EB717" i="27"/>
  <c r="DZ718" i="27"/>
  <c r="EA718" i="27"/>
  <c r="EB718" i="27"/>
  <c r="DZ719" i="27"/>
  <c r="EA719" i="27"/>
  <c r="EB719" i="27"/>
  <c r="DZ720" i="27"/>
  <c r="EA720" i="27"/>
  <c r="EB720" i="27"/>
  <c r="DZ721" i="27"/>
  <c r="EA721" i="27"/>
  <c r="EB721" i="27"/>
  <c r="DZ722" i="27"/>
  <c r="EA722" i="27"/>
  <c r="EB722" i="27"/>
  <c r="DZ723" i="27"/>
  <c r="EA723" i="27"/>
  <c r="EB723" i="27"/>
  <c r="DZ724" i="27"/>
  <c r="EA724" i="27"/>
  <c r="EB724" i="27"/>
  <c r="DZ725" i="27"/>
  <c r="EA725" i="27"/>
  <c r="EB725" i="27"/>
  <c r="DZ726" i="27"/>
  <c r="EA726" i="27"/>
  <c r="EB726" i="27"/>
  <c r="DZ727" i="27"/>
  <c r="EA727" i="27"/>
  <c r="EB727" i="27"/>
  <c r="DZ728" i="27"/>
  <c r="EA728" i="27"/>
  <c r="EB728" i="27"/>
  <c r="DZ729" i="27"/>
  <c r="EA729" i="27"/>
  <c r="EB729" i="27"/>
  <c r="DZ730" i="27"/>
  <c r="EA730" i="27"/>
  <c r="EB730" i="27"/>
  <c r="DZ731" i="27"/>
  <c r="EA731" i="27"/>
  <c r="EB731" i="27"/>
  <c r="DZ732" i="27"/>
  <c r="EA732" i="27"/>
  <c r="EB732" i="27"/>
  <c r="DZ733" i="27"/>
  <c r="EA733" i="27"/>
  <c r="EB733" i="27"/>
  <c r="DZ734" i="27"/>
  <c r="EA734" i="27"/>
  <c r="EB734" i="27"/>
  <c r="DZ735" i="27"/>
  <c r="EA735" i="27"/>
  <c r="EB735" i="27"/>
  <c r="DZ736" i="27"/>
  <c r="EA736" i="27"/>
  <c r="EB736" i="27"/>
  <c r="DZ737" i="27"/>
  <c r="EA737" i="27"/>
  <c r="EB737" i="27"/>
  <c r="DZ738" i="27"/>
  <c r="EA738" i="27"/>
  <c r="EB738" i="27"/>
  <c r="DZ739" i="27"/>
  <c r="EA739" i="27"/>
  <c r="EB739" i="27"/>
  <c r="DZ740" i="27"/>
  <c r="EA740" i="27"/>
  <c r="EB740" i="27"/>
  <c r="DZ741" i="27"/>
  <c r="EA741" i="27"/>
  <c r="EB741" i="27"/>
  <c r="DZ742" i="27"/>
  <c r="EA742" i="27"/>
  <c r="EB742" i="27"/>
  <c r="DZ743" i="27"/>
  <c r="EA743" i="27"/>
  <c r="EB743" i="27"/>
  <c r="DZ744" i="27"/>
  <c r="EA744" i="27"/>
  <c r="EB744" i="27"/>
  <c r="DZ745" i="27"/>
  <c r="EA745" i="27"/>
  <c r="EB745" i="27"/>
  <c r="DZ746" i="27"/>
  <c r="EA746" i="27"/>
  <c r="EB746" i="27"/>
  <c r="DZ747" i="27"/>
  <c r="EA747" i="27"/>
  <c r="EB747" i="27"/>
  <c r="DZ748" i="27"/>
  <c r="EA748" i="27"/>
  <c r="EB748" i="27"/>
  <c r="DZ749" i="27"/>
  <c r="EA749" i="27"/>
  <c r="EB749" i="27"/>
  <c r="DZ750" i="27"/>
  <c r="EA750" i="27"/>
  <c r="EB750" i="27"/>
  <c r="DZ751" i="27"/>
  <c r="EA751" i="27"/>
  <c r="EB751" i="27"/>
  <c r="DZ752" i="27"/>
  <c r="EA752" i="27"/>
  <c r="EB752" i="27"/>
  <c r="DZ753" i="27"/>
  <c r="EA753" i="27"/>
  <c r="EB753" i="27"/>
  <c r="DZ754" i="27"/>
  <c r="EA754" i="27"/>
  <c r="EB754" i="27"/>
  <c r="DZ755" i="27"/>
  <c r="EA755" i="27"/>
  <c r="EB755" i="27"/>
  <c r="DZ756" i="27"/>
  <c r="EA756" i="27"/>
  <c r="EB756" i="27"/>
  <c r="DZ757" i="27"/>
  <c r="EA757" i="27"/>
  <c r="EB757" i="27"/>
  <c r="DZ758" i="27"/>
  <c r="EA758" i="27"/>
  <c r="EB758" i="27"/>
  <c r="DZ759" i="27"/>
  <c r="EA759" i="27"/>
  <c r="EB759" i="27"/>
  <c r="DZ760" i="27"/>
  <c r="EA760" i="27"/>
  <c r="EB760" i="27"/>
  <c r="DZ761" i="27"/>
  <c r="EA761" i="27"/>
  <c r="EB761" i="27"/>
  <c r="DZ762" i="27"/>
  <c r="EA762" i="27"/>
  <c r="EB762" i="27"/>
  <c r="DZ763" i="27"/>
  <c r="EA763" i="27"/>
  <c r="EB763" i="27"/>
  <c r="DZ764" i="27"/>
  <c r="EA764" i="27"/>
  <c r="EB764" i="27"/>
  <c r="DZ765" i="27"/>
  <c r="EA765" i="27"/>
  <c r="EB765" i="27"/>
  <c r="DZ766" i="27"/>
  <c r="EA766" i="27"/>
  <c r="EB766" i="27"/>
  <c r="DZ767" i="27"/>
  <c r="EA767" i="27"/>
  <c r="EB767" i="27"/>
  <c r="DZ768" i="27"/>
  <c r="EA768" i="27"/>
  <c r="EB768" i="27"/>
  <c r="DZ769" i="27"/>
  <c r="EA769" i="27"/>
  <c r="EB769" i="27"/>
  <c r="DZ770" i="27"/>
  <c r="EA770" i="27"/>
  <c r="EB770" i="27"/>
  <c r="DZ771" i="27"/>
  <c r="EA771" i="27"/>
  <c r="EB771" i="27"/>
  <c r="DZ772" i="27"/>
  <c r="EA772" i="27"/>
  <c r="EB772" i="27"/>
  <c r="DZ773" i="27"/>
  <c r="EA773" i="27"/>
  <c r="EB773" i="27"/>
  <c r="DZ774" i="27"/>
  <c r="EA774" i="27"/>
  <c r="EB774" i="27"/>
  <c r="DZ775" i="27"/>
  <c r="EA775" i="27"/>
  <c r="EB775" i="27"/>
  <c r="DZ776" i="27"/>
  <c r="EA776" i="27"/>
  <c r="EB776" i="27"/>
  <c r="DZ777" i="27"/>
  <c r="EA777" i="27"/>
  <c r="EB777" i="27"/>
  <c r="DZ778" i="27"/>
  <c r="EA778" i="27"/>
  <c r="EB778" i="27"/>
  <c r="DZ779" i="27"/>
  <c r="EA779" i="27"/>
  <c r="EB779" i="27"/>
  <c r="DZ780" i="27"/>
  <c r="EA780" i="27"/>
  <c r="EB780" i="27"/>
  <c r="DZ781" i="27"/>
  <c r="EA781" i="27"/>
  <c r="EB781" i="27"/>
  <c r="DZ782" i="27"/>
  <c r="EA782" i="27"/>
  <c r="EB782" i="27"/>
  <c r="DZ783" i="27"/>
  <c r="EA783" i="27"/>
  <c r="EB783" i="27"/>
  <c r="DZ784" i="27"/>
  <c r="EA784" i="27"/>
  <c r="EB784" i="27"/>
  <c r="DZ785" i="27"/>
  <c r="EA785" i="27"/>
  <c r="EB785" i="27"/>
  <c r="DZ786" i="27"/>
  <c r="EA786" i="27"/>
  <c r="EB786" i="27"/>
  <c r="DZ787" i="27"/>
  <c r="EA787" i="27"/>
  <c r="EB787" i="27"/>
  <c r="DZ788" i="27"/>
  <c r="EA788" i="27"/>
  <c r="EB788" i="27"/>
  <c r="DZ789" i="27"/>
  <c r="EA789" i="27"/>
  <c r="EB789" i="27"/>
  <c r="DZ790" i="27"/>
  <c r="EA790" i="27"/>
  <c r="EB790" i="27"/>
  <c r="DZ791" i="27"/>
  <c r="EA791" i="27"/>
  <c r="EB791" i="27"/>
  <c r="DZ792" i="27"/>
  <c r="EA792" i="27"/>
  <c r="EB792" i="27"/>
  <c r="DZ793" i="27"/>
  <c r="EA793" i="27"/>
  <c r="EB793" i="27"/>
  <c r="DZ794" i="27"/>
  <c r="EA794" i="27"/>
  <c r="EB794" i="27"/>
  <c r="DZ795" i="27"/>
  <c r="EA795" i="27"/>
  <c r="EB795" i="27"/>
  <c r="DZ796" i="27"/>
  <c r="EA796" i="27"/>
  <c r="EB796" i="27"/>
  <c r="DZ797" i="27"/>
  <c r="EA797" i="27"/>
  <c r="EB797" i="27"/>
  <c r="DZ798" i="27"/>
  <c r="EA798" i="27"/>
  <c r="EB798" i="27"/>
  <c r="DZ799" i="27"/>
  <c r="EA799" i="27"/>
  <c r="EB799" i="27"/>
  <c r="DZ800" i="27"/>
  <c r="EA800" i="27"/>
  <c r="EB800" i="27"/>
  <c r="DZ801" i="27"/>
  <c r="EA801" i="27"/>
  <c r="EB801" i="27"/>
  <c r="DZ802" i="27"/>
  <c r="EA802" i="27"/>
  <c r="EB802" i="27"/>
  <c r="DZ803" i="27"/>
  <c r="EA803" i="27"/>
  <c r="EB803" i="27"/>
  <c r="DZ804" i="27"/>
  <c r="EA804" i="27"/>
  <c r="EB804" i="27"/>
  <c r="DZ805" i="27"/>
  <c r="EA805" i="27"/>
  <c r="EB805" i="27"/>
  <c r="DZ806" i="27"/>
  <c r="EA806" i="27"/>
  <c r="EB806" i="27"/>
  <c r="DZ807" i="27"/>
  <c r="EA807" i="27"/>
  <c r="EB807" i="27"/>
  <c r="DZ808" i="27"/>
  <c r="EA808" i="27"/>
  <c r="EB808" i="27"/>
  <c r="DZ809" i="27"/>
  <c r="EA809" i="27"/>
  <c r="EB809" i="27"/>
  <c r="DZ810" i="27"/>
  <c r="EA810" i="27"/>
  <c r="EB810" i="27"/>
  <c r="DZ811" i="27"/>
  <c r="EA811" i="27"/>
  <c r="EB811" i="27"/>
  <c r="DZ812" i="27"/>
  <c r="EA812" i="27"/>
  <c r="EB812" i="27"/>
  <c r="DZ813" i="27"/>
  <c r="EA813" i="27"/>
  <c r="EB813" i="27"/>
  <c r="DZ814" i="27"/>
  <c r="EA814" i="27"/>
  <c r="EB814" i="27"/>
  <c r="DZ815" i="27"/>
  <c r="EA815" i="27"/>
  <c r="EB815" i="27"/>
  <c r="DZ816" i="27"/>
  <c r="EA816" i="27"/>
  <c r="EB816" i="27"/>
  <c r="DZ817" i="27"/>
  <c r="EA817" i="27"/>
  <c r="EB817" i="27"/>
  <c r="DZ818" i="27"/>
  <c r="EA818" i="27"/>
  <c r="EB818" i="27"/>
  <c r="DZ819" i="27"/>
  <c r="EA819" i="27"/>
  <c r="EB819" i="27"/>
  <c r="DZ820" i="27"/>
  <c r="EA820" i="27"/>
  <c r="EB820" i="27"/>
  <c r="DZ821" i="27"/>
  <c r="EA821" i="27"/>
  <c r="EB821" i="27"/>
  <c r="DZ822" i="27"/>
  <c r="EA822" i="27"/>
  <c r="EB822" i="27"/>
  <c r="DZ823" i="27"/>
  <c r="EA823" i="27"/>
  <c r="EB823" i="27"/>
  <c r="DZ824" i="27"/>
  <c r="EA824" i="27"/>
  <c r="EB824" i="27"/>
  <c r="DZ825" i="27"/>
  <c r="EA825" i="27"/>
  <c r="EB825" i="27"/>
  <c r="DZ826" i="27"/>
  <c r="EA826" i="27"/>
  <c r="EB826" i="27"/>
  <c r="DZ827" i="27"/>
  <c r="EA827" i="27"/>
  <c r="EB827" i="27"/>
  <c r="DZ828" i="27"/>
  <c r="EA828" i="27"/>
  <c r="EB828" i="27"/>
  <c r="DZ829" i="27"/>
  <c r="EA829" i="27"/>
  <c r="EB829" i="27"/>
  <c r="DZ830" i="27"/>
  <c r="EA830" i="27"/>
  <c r="EB830" i="27"/>
  <c r="DZ831" i="27"/>
  <c r="EA831" i="27"/>
  <c r="EB831" i="27"/>
  <c r="DZ832" i="27"/>
  <c r="EA832" i="27"/>
  <c r="EB832" i="27"/>
  <c r="DZ833" i="27"/>
  <c r="EA833" i="27"/>
  <c r="EB833" i="27"/>
  <c r="DZ834" i="27"/>
  <c r="EA834" i="27"/>
  <c r="EB834" i="27"/>
  <c r="DZ835" i="27"/>
  <c r="EA835" i="27"/>
  <c r="EB835" i="27"/>
  <c r="DZ836" i="27"/>
  <c r="EA836" i="27"/>
  <c r="EB836" i="27"/>
  <c r="DZ837" i="27"/>
  <c r="EA837" i="27"/>
  <c r="EB837" i="27"/>
  <c r="DZ838" i="27"/>
  <c r="EA838" i="27"/>
  <c r="EB838" i="27"/>
  <c r="DZ839" i="27"/>
  <c r="EA839" i="27"/>
  <c r="EB839" i="27"/>
  <c r="DZ840" i="27"/>
  <c r="EA840" i="27"/>
  <c r="EB840" i="27"/>
  <c r="DZ841" i="27"/>
  <c r="EA841" i="27"/>
  <c r="EB841" i="27"/>
  <c r="DZ842" i="27"/>
  <c r="EA842" i="27"/>
  <c r="EB842" i="27"/>
  <c r="DZ843" i="27"/>
  <c r="EA843" i="27"/>
  <c r="EB843" i="27"/>
  <c r="DZ844" i="27"/>
  <c r="EA844" i="27"/>
  <c r="EB844" i="27"/>
  <c r="DZ845" i="27"/>
  <c r="EA845" i="27"/>
  <c r="EB845" i="27"/>
  <c r="DZ846" i="27"/>
  <c r="EA846" i="27"/>
  <c r="EB846" i="27"/>
  <c r="DZ847" i="27"/>
  <c r="EA847" i="27"/>
  <c r="EB847" i="27"/>
  <c r="DZ848" i="27"/>
  <c r="EA848" i="27"/>
  <c r="EB848" i="27"/>
  <c r="DZ849" i="27"/>
  <c r="EA849" i="27"/>
  <c r="EB849" i="27"/>
  <c r="DZ850" i="27"/>
  <c r="EA850" i="27"/>
  <c r="EB850" i="27"/>
  <c r="DZ851" i="27"/>
  <c r="EA851" i="27"/>
  <c r="EB851" i="27"/>
  <c r="DZ852" i="27"/>
  <c r="EA852" i="27"/>
  <c r="EB852" i="27"/>
  <c r="DZ853" i="27"/>
  <c r="EA853" i="27"/>
  <c r="EB853" i="27"/>
  <c r="DZ854" i="27"/>
  <c r="EA854" i="27"/>
  <c r="EB854" i="27"/>
  <c r="DZ855" i="27"/>
  <c r="EA855" i="27"/>
  <c r="EB855" i="27"/>
  <c r="DZ856" i="27"/>
  <c r="EA856" i="27"/>
  <c r="EB856" i="27"/>
  <c r="DZ857" i="27"/>
  <c r="EA857" i="27"/>
  <c r="EB857" i="27"/>
  <c r="DZ858" i="27"/>
  <c r="EA858" i="27"/>
  <c r="EB858" i="27"/>
  <c r="DZ859" i="27"/>
  <c r="EA859" i="27"/>
  <c r="EB859" i="27"/>
  <c r="DZ860" i="27"/>
  <c r="EA860" i="27"/>
  <c r="EB860" i="27"/>
  <c r="DZ861" i="27"/>
  <c r="EA861" i="27"/>
  <c r="EB861" i="27"/>
  <c r="DZ862" i="27"/>
  <c r="EA862" i="27"/>
  <c r="EB862" i="27"/>
  <c r="DZ863" i="27"/>
  <c r="EA863" i="27"/>
  <c r="EB863" i="27"/>
  <c r="DZ864" i="27"/>
  <c r="EA864" i="27"/>
  <c r="EB864" i="27"/>
  <c r="DZ865" i="27"/>
  <c r="EA865" i="27"/>
  <c r="EB865" i="27"/>
  <c r="DZ866" i="27"/>
  <c r="EA866" i="27"/>
  <c r="EB866" i="27"/>
  <c r="DZ867" i="27"/>
  <c r="EA867" i="27"/>
  <c r="EB867" i="27"/>
  <c r="DZ868" i="27"/>
  <c r="EA868" i="27"/>
  <c r="EB868" i="27"/>
  <c r="DZ869" i="27"/>
  <c r="EA869" i="27"/>
  <c r="EB869" i="27"/>
  <c r="DZ870" i="27"/>
  <c r="EA870" i="27"/>
  <c r="EB870" i="27"/>
  <c r="DZ871" i="27"/>
  <c r="EA871" i="27"/>
  <c r="EB871" i="27"/>
  <c r="DZ872" i="27"/>
  <c r="EA872" i="27"/>
  <c r="EB872" i="27"/>
  <c r="DZ873" i="27"/>
  <c r="EA873" i="27"/>
  <c r="EB873" i="27"/>
  <c r="DZ874" i="27"/>
  <c r="EA874" i="27"/>
  <c r="EB874" i="27"/>
  <c r="DZ875" i="27"/>
  <c r="EA875" i="27"/>
  <c r="EB875" i="27"/>
  <c r="DZ876" i="27"/>
  <c r="EA876" i="27"/>
  <c r="EB876" i="27"/>
  <c r="DZ877" i="27"/>
  <c r="EA877" i="27"/>
  <c r="EB877" i="27"/>
  <c r="DZ878" i="27"/>
  <c r="EA878" i="27"/>
  <c r="EB878" i="27"/>
  <c r="DZ879" i="27"/>
  <c r="EA879" i="27"/>
  <c r="EB879" i="27"/>
  <c r="DZ880" i="27"/>
  <c r="EA880" i="27"/>
  <c r="EB880" i="27"/>
  <c r="DZ881" i="27"/>
  <c r="EA881" i="27"/>
  <c r="EB881" i="27"/>
  <c r="DZ882" i="27"/>
  <c r="EA882" i="27"/>
  <c r="EB882" i="27"/>
  <c r="DZ883" i="27"/>
  <c r="EA883" i="27"/>
  <c r="EB883" i="27"/>
  <c r="DZ884" i="27"/>
  <c r="EA884" i="27"/>
  <c r="EB884" i="27"/>
  <c r="DZ885" i="27"/>
  <c r="EA885" i="27"/>
  <c r="EB885" i="27"/>
  <c r="DZ886" i="27"/>
  <c r="EA886" i="27"/>
  <c r="EB886" i="27"/>
  <c r="DZ887" i="27"/>
  <c r="EA887" i="27"/>
  <c r="EB887" i="27"/>
  <c r="DZ888" i="27"/>
  <c r="EA888" i="27"/>
  <c r="EB888" i="27"/>
  <c r="DZ889" i="27"/>
  <c r="EA889" i="27"/>
  <c r="EB889" i="27"/>
  <c r="DZ890" i="27"/>
  <c r="EA890" i="27"/>
  <c r="EB890" i="27"/>
  <c r="DZ891" i="27"/>
  <c r="EA891" i="27"/>
  <c r="EB891" i="27"/>
  <c r="DZ892" i="27"/>
  <c r="EA892" i="27"/>
  <c r="EB892" i="27"/>
  <c r="DZ893" i="27"/>
  <c r="EA893" i="27"/>
  <c r="EB893" i="27"/>
  <c r="DZ894" i="27"/>
  <c r="EA894" i="27"/>
  <c r="EB894" i="27"/>
  <c r="DZ895" i="27"/>
  <c r="EA895" i="27"/>
  <c r="EB895" i="27"/>
  <c r="DZ896" i="27"/>
  <c r="EA896" i="27"/>
  <c r="EB896" i="27"/>
  <c r="DZ897" i="27"/>
  <c r="EA897" i="27"/>
  <c r="EB897" i="27"/>
  <c r="DZ898" i="27"/>
  <c r="EA898" i="27"/>
  <c r="EB898" i="27"/>
  <c r="DZ899" i="27"/>
  <c r="EA899" i="27"/>
  <c r="EB899" i="27"/>
  <c r="DZ900" i="27"/>
  <c r="EA900" i="27"/>
  <c r="EB900" i="27"/>
  <c r="DZ901" i="27"/>
  <c r="EA901" i="27"/>
  <c r="EB901" i="27"/>
  <c r="DZ902" i="27"/>
  <c r="EA902" i="27"/>
  <c r="EB902" i="27"/>
  <c r="DZ903" i="27"/>
  <c r="EA903" i="27"/>
  <c r="EB903" i="27"/>
  <c r="DZ904" i="27"/>
  <c r="EA904" i="27"/>
  <c r="EB904" i="27"/>
  <c r="DZ905" i="27"/>
  <c r="EA905" i="27"/>
  <c r="EB905" i="27"/>
  <c r="DZ906" i="27"/>
  <c r="EA906" i="27"/>
  <c r="EB906" i="27"/>
  <c r="DZ907" i="27"/>
  <c r="EA907" i="27"/>
  <c r="EB907" i="27"/>
  <c r="DZ908" i="27"/>
  <c r="EA908" i="27"/>
  <c r="EB908" i="27"/>
  <c r="DZ909" i="27"/>
  <c r="EA909" i="27"/>
  <c r="EB909" i="27"/>
  <c r="DZ910" i="27"/>
  <c r="EA910" i="27"/>
  <c r="EB910" i="27"/>
  <c r="DZ911" i="27"/>
  <c r="EA911" i="27"/>
  <c r="EB911" i="27"/>
  <c r="DZ912" i="27"/>
  <c r="EA912" i="27"/>
  <c r="EB912" i="27"/>
  <c r="DZ913" i="27"/>
  <c r="EA913" i="27"/>
  <c r="EB913" i="27"/>
  <c r="DZ914" i="27"/>
  <c r="EA914" i="27"/>
  <c r="EB914" i="27"/>
  <c r="DZ915" i="27"/>
  <c r="EA915" i="27"/>
  <c r="EB915" i="27"/>
  <c r="DZ916" i="27"/>
  <c r="EA916" i="27"/>
  <c r="EB916" i="27"/>
  <c r="DZ917" i="27"/>
  <c r="EA917" i="27"/>
  <c r="EB917" i="27"/>
  <c r="DZ918" i="27"/>
  <c r="EA918" i="27"/>
  <c r="EB918" i="27"/>
  <c r="DZ919" i="27"/>
  <c r="EA919" i="27"/>
  <c r="EB919" i="27"/>
  <c r="DZ920" i="27"/>
  <c r="EA920" i="27"/>
  <c r="EB920" i="27"/>
  <c r="DZ921" i="27"/>
  <c r="EA921" i="27"/>
  <c r="EB921" i="27"/>
  <c r="DZ922" i="27"/>
  <c r="EA922" i="27"/>
  <c r="EB922" i="27"/>
  <c r="DZ923" i="27"/>
  <c r="EA923" i="27"/>
  <c r="EB923" i="27"/>
  <c r="DZ924" i="27"/>
  <c r="EA924" i="27"/>
  <c r="EB924" i="27"/>
  <c r="DZ925" i="27"/>
  <c r="EA925" i="27"/>
  <c r="EB925" i="27"/>
  <c r="DZ926" i="27"/>
  <c r="EA926" i="27"/>
  <c r="EB926" i="27"/>
  <c r="DZ927" i="27"/>
  <c r="EA927" i="27"/>
  <c r="EB927" i="27"/>
  <c r="DZ928" i="27"/>
  <c r="EA928" i="27"/>
  <c r="EB928" i="27"/>
  <c r="DZ929" i="27"/>
  <c r="EA929" i="27"/>
  <c r="EB929" i="27"/>
  <c r="DZ930" i="27"/>
  <c r="EA930" i="27"/>
  <c r="EB930" i="27"/>
  <c r="DZ931" i="27"/>
  <c r="EA931" i="27"/>
  <c r="EB931" i="27"/>
  <c r="DZ932" i="27"/>
  <c r="EA932" i="27"/>
  <c r="EB932" i="27"/>
  <c r="DZ933" i="27"/>
  <c r="EA933" i="27"/>
  <c r="EB933" i="27"/>
  <c r="DZ934" i="27"/>
  <c r="EA934" i="27"/>
  <c r="EB934" i="27"/>
  <c r="DZ935" i="27"/>
  <c r="EA935" i="27"/>
  <c r="EB935" i="27"/>
  <c r="DZ936" i="27"/>
  <c r="EA936" i="27"/>
  <c r="EB936" i="27"/>
  <c r="DZ937" i="27"/>
  <c r="EA937" i="27"/>
  <c r="EB937" i="27"/>
  <c r="DZ938" i="27"/>
  <c r="EA938" i="27"/>
  <c r="EB938" i="27"/>
  <c r="DZ939" i="27"/>
  <c r="EA939" i="27"/>
  <c r="EB939" i="27"/>
  <c r="DZ940" i="27"/>
  <c r="EA940" i="27"/>
  <c r="EB940" i="27"/>
  <c r="DZ941" i="27"/>
  <c r="EA941" i="27"/>
  <c r="EB941" i="27"/>
  <c r="DZ942" i="27"/>
  <c r="EA942" i="27"/>
  <c r="EB942" i="27"/>
  <c r="DZ943" i="27"/>
  <c r="EA943" i="27"/>
  <c r="EB943" i="27"/>
  <c r="DZ944" i="27"/>
  <c r="EA944" i="27"/>
  <c r="EB944" i="27"/>
  <c r="DZ945" i="27"/>
  <c r="EA945" i="27"/>
  <c r="EB945" i="27"/>
  <c r="DZ946" i="27"/>
  <c r="EA946" i="27"/>
  <c r="EB946" i="27"/>
  <c r="DZ947" i="27"/>
  <c r="EA947" i="27"/>
  <c r="EB947" i="27"/>
  <c r="DZ948" i="27"/>
  <c r="EA948" i="27"/>
  <c r="EB948" i="27"/>
  <c r="DZ949" i="27"/>
  <c r="EA949" i="27"/>
  <c r="EB949" i="27"/>
  <c r="DZ950" i="27"/>
  <c r="EA950" i="27"/>
  <c r="EB950" i="27"/>
  <c r="DZ951" i="27"/>
  <c r="EA951" i="27"/>
  <c r="EB951" i="27"/>
  <c r="DZ952" i="27"/>
  <c r="EA952" i="27"/>
  <c r="EB952" i="27"/>
  <c r="DZ953" i="27"/>
  <c r="EA953" i="27"/>
  <c r="EB953" i="27"/>
  <c r="DZ954" i="27"/>
  <c r="EA954" i="27"/>
  <c r="EB954" i="27"/>
  <c r="DZ955" i="27"/>
  <c r="EA955" i="27"/>
  <c r="EB955" i="27"/>
  <c r="DZ956" i="27"/>
  <c r="EA956" i="27"/>
  <c r="EB956" i="27"/>
  <c r="DZ957" i="27"/>
  <c r="EA957" i="27"/>
  <c r="EB957" i="27"/>
  <c r="DZ958" i="27"/>
  <c r="EA958" i="27"/>
  <c r="EB958" i="27"/>
  <c r="DZ959" i="27"/>
  <c r="EA959" i="27"/>
  <c r="EB959" i="27"/>
  <c r="DZ960" i="27"/>
  <c r="EA960" i="27"/>
  <c r="EB960" i="27"/>
  <c r="DZ961" i="27"/>
  <c r="EA961" i="27"/>
  <c r="EB961" i="27"/>
  <c r="DZ962" i="27"/>
  <c r="EA962" i="27"/>
  <c r="EB962" i="27"/>
  <c r="DZ963" i="27"/>
  <c r="EA963" i="27"/>
  <c r="EB963" i="27"/>
  <c r="DZ964" i="27"/>
  <c r="EA964" i="27"/>
  <c r="EB964" i="27"/>
  <c r="DZ965" i="27"/>
  <c r="EA965" i="27"/>
  <c r="EB965" i="27"/>
  <c r="DZ966" i="27"/>
  <c r="EA966" i="27"/>
  <c r="EB966" i="27"/>
  <c r="DZ967" i="27"/>
  <c r="EA967" i="27"/>
  <c r="EB967" i="27"/>
  <c r="DZ968" i="27"/>
  <c r="EA968" i="27"/>
  <c r="EB968" i="27"/>
  <c r="DZ969" i="27"/>
  <c r="EA969" i="27"/>
  <c r="EB969" i="27"/>
  <c r="DZ970" i="27"/>
  <c r="EA970" i="27"/>
  <c r="EB970" i="27"/>
  <c r="DZ971" i="27"/>
  <c r="EA971" i="27"/>
  <c r="EB971" i="27"/>
  <c r="DZ972" i="27"/>
  <c r="EA972" i="27"/>
  <c r="EB972" i="27"/>
  <c r="DZ973" i="27"/>
  <c r="EA973" i="27"/>
  <c r="EB973" i="27"/>
  <c r="DZ974" i="27"/>
  <c r="EA974" i="27"/>
  <c r="EB974" i="27"/>
  <c r="DZ975" i="27"/>
  <c r="EA975" i="27"/>
  <c r="EB975" i="27"/>
  <c r="DZ976" i="27"/>
  <c r="EA976" i="27"/>
  <c r="EB976" i="27"/>
  <c r="DZ977" i="27"/>
  <c r="EA977" i="27"/>
  <c r="EB977" i="27"/>
  <c r="DZ978" i="27"/>
  <c r="EA978" i="27"/>
  <c r="EB978" i="27"/>
  <c r="DZ979" i="27"/>
  <c r="EA979" i="27"/>
  <c r="EB979" i="27"/>
  <c r="DZ980" i="27"/>
  <c r="EA980" i="27"/>
  <c r="EB980" i="27"/>
  <c r="DZ981" i="27"/>
  <c r="EA981" i="27"/>
  <c r="EB981" i="27"/>
  <c r="DZ982" i="27"/>
  <c r="EA982" i="27"/>
  <c r="EB982" i="27"/>
  <c r="DZ983" i="27"/>
  <c r="EA983" i="27"/>
  <c r="EB983" i="27"/>
  <c r="DZ984" i="27"/>
  <c r="EA984" i="27"/>
  <c r="EB984" i="27"/>
  <c r="DZ985" i="27"/>
  <c r="EA985" i="27"/>
  <c r="EB985" i="27"/>
  <c r="DZ986" i="27"/>
  <c r="EA986" i="27"/>
  <c r="EB986" i="27"/>
  <c r="DZ987" i="27"/>
  <c r="EA987" i="27"/>
  <c r="EB987" i="27"/>
  <c r="DZ988" i="27"/>
  <c r="EA988" i="27"/>
  <c r="EB988" i="27"/>
  <c r="DZ989" i="27"/>
  <c r="EA989" i="27"/>
  <c r="EB989" i="27"/>
  <c r="DZ990" i="27"/>
  <c r="EA990" i="27"/>
  <c r="EB990" i="27"/>
  <c r="DZ991" i="27"/>
  <c r="EA991" i="27"/>
  <c r="EB991" i="27"/>
  <c r="DZ992" i="27"/>
  <c r="EA992" i="27"/>
  <c r="EB992" i="27"/>
  <c r="DZ993" i="27"/>
  <c r="EA993" i="27"/>
  <c r="EB993" i="27"/>
  <c r="DZ994" i="27"/>
  <c r="EA994" i="27"/>
  <c r="EB994" i="27"/>
  <c r="DZ995" i="27"/>
  <c r="EA995" i="27"/>
  <c r="EB995" i="27"/>
  <c r="DZ996" i="27"/>
  <c r="EA996" i="27"/>
  <c r="EB996" i="27"/>
  <c r="DZ997" i="27"/>
  <c r="EA997" i="27"/>
  <c r="EB997" i="27"/>
  <c r="DZ998" i="27"/>
  <c r="EA998" i="27"/>
  <c r="EB998" i="27"/>
  <c r="DZ999" i="27"/>
  <c r="EA999" i="27"/>
  <c r="EB999" i="27"/>
  <c r="DZ1000" i="27"/>
  <c r="EA1000" i="27"/>
  <c r="EB1000" i="27"/>
  <c r="DZ1001" i="27"/>
  <c r="EA1001" i="27"/>
  <c r="EB1001" i="27"/>
  <c r="DZ1002" i="27"/>
  <c r="EA1002" i="27"/>
  <c r="EB1002" i="27"/>
  <c r="DZ1003" i="27"/>
  <c r="EA1003" i="27"/>
  <c r="EB1003" i="27"/>
  <c r="DZ1004" i="27"/>
  <c r="EA1004" i="27"/>
  <c r="EB1004" i="27"/>
  <c r="DZ1005" i="27"/>
  <c r="EA1005" i="27"/>
  <c r="EB1005" i="27"/>
  <c r="DZ1006" i="27"/>
  <c r="EA1006" i="27"/>
  <c r="EB1006" i="27"/>
  <c r="DZ1007" i="27"/>
  <c r="EA1007" i="27"/>
  <c r="EB1007" i="27"/>
  <c r="DZ1008" i="27"/>
  <c r="EA1008" i="27"/>
  <c r="EB1008" i="27"/>
  <c r="DZ1009" i="27"/>
  <c r="EA1009" i="27"/>
  <c r="EB1009" i="27"/>
  <c r="DZ1010" i="27"/>
  <c r="EA1010" i="27"/>
  <c r="EB1010" i="27"/>
  <c r="DZ1011" i="27"/>
  <c r="EA1011" i="27"/>
  <c r="EB1011" i="27"/>
  <c r="DZ1012" i="27"/>
  <c r="EA1012" i="27"/>
  <c r="EB1012" i="27"/>
  <c r="DZ1013" i="27"/>
  <c r="EA1013" i="27"/>
  <c r="EB1013" i="27"/>
  <c r="DZ1014" i="27"/>
  <c r="EA1014" i="27"/>
  <c r="EB1014" i="27"/>
  <c r="DZ1015" i="27"/>
  <c r="EA1015" i="27"/>
  <c r="EB1015" i="27"/>
  <c r="DZ1016" i="27"/>
  <c r="EA1016" i="27"/>
  <c r="EB1016" i="27"/>
  <c r="DZ1017" i="27"/>
  <c r="EA1017" i="27"/>
  <c r="EB1017" i="27"/>
  <c r="DZ1018" i="27"/>
  <c r="EA1018" i="27"/>
  <c r="EB1018" i="27"/>
  <c r="DZ1019" i="27"/>
  <c r="EA1019" i="27"/>
  <c r="EB1019" i="27"/>
  <c r="DZ1020" i="27"/>
  <c r="EA1020" i="27"/>
  <c r="EB1020" i="27"/>
  <c r="DZ1021" i="27"/>
  <c r="EA1021" i="27"/>
  <c r="EB1021" i="27"/>
  <c r="DZ1022" i="27"/>
  <c r="EA1022" i="27"/>
  <c r="EB1022" i="27"/>
  <c r="DZ1023" i="27"/>
  <c r="EA1023" i="27"/>
  <c r="EB1023" i="27"/>
  <c r="DZ1024" i="27"/>
  <c r="EA1024" i="27"/>
  <c r="EB1024" i="27"/>
  <c r="DZ1025" i="27"/>
  <c r="EA1025" i="27"/>
  <c r="EB1025" i="27"/>
  <c r="DZ1026" i="27"/>
  <c r="EA1026" i="27"/>
  <c r="EB1026" i="27"/>
  <c r="DZ1027" i="27"/>
  <c r="EA1027" i="27"/>
  <c r="EB1027" i="27"/>
  <c r="DZ1028" i="27"/>
  <c r="EA1028" i="27"/>
  <c r="EB1028" i="27"/>
  <c r="DZ1029" i="27"/>
  <c r="EA1029" i="27"/>
  <c r="EB1029" i="27"/>
  <c r="DZ1030" i="27"/>
  <c r="EA1030" i="27"/>
  <c r="EB1030" i="27"/>
  <c r="DZ1031" i="27"/>
  <c r="EA1031" i="27"/>
  <c r="EB1031" i="27"/>
  <c r="DZ1032" i="27"/>
  <c r="EA1032" i="27"/>
  <c r="EB1032" i="27"/>
  <c r="DZ1033" i="27"/>
  <c r="EA1033" i="27"/>
  <c r="EB1033" i="27"/>
  <c r="DZ1034" i="27"/>
  <c r="EA1034" i="27"/>
  <c r="EB1034" i="27"/>
  <c r="DZ1035" i="27"/>
  <c r="EA1035" i="27"/>
  <c r="EB1035" i="27"/>
  <c r="DZ1036" i="27"/>
  <c r="EA1036" i="27"/>
  <c r="EB1036" i="27"/>
  <c r="DZ1037" i="27"/>
  <c r="EA1037" i="27"/>
  <c r="EB1037" i="27"/>
  <c r="DZ1038" i="27"/>
  <c r="EA1038" i="27"/>
  <c r="EB1038" i="27"/>
  <c r="DZ1039" i="27"/>
  <c r="EA1039" i="27"/>
  <c r="EB1039" i="27"/>
  <c r="DZ1040" i="27"/>
  <c r="EA1040" i="27"/>
  <c r="EB1040" i="27"/>
  <c r="DZ1041" i="27"/>
  <c r="EA1041" i="27"/>
  <c r="EB1041" i="27"/>
  <c r="DZ1042" i="27"/>
  <c r="EA1042" i="27"/>
  <c r="EB1042" i="27"/>
  <c r="DZ1043" i="27"/>
  <c r="EA1043" i="27"/>
  <c r="EB1043" i="27"/>
  <c r="DZ1044" i="27"/>
  <c r="EA1044" i="27"/>
  <c r="EB1044" i="27"/>
  <c r="DZ1045" i="27"/>
  <c r="EA1045" i="27"/>
  <c r="EB1045" i="27"/>
  <c r="DZ1046" i="27"/>
  <c r="EA1046" i="27"/>
  <c r="EB1046" i="27"/>
  <c r="DZ1047" i="27"/>
  <c r="EA1047" i="27"/>
  <c r="EB1047" i="27"/>
  <c r="DZ1048" i="27"/>
  <c r="EA1048" i="27"/>
  <c r="EB1048" i="27"/>
  <c r="DZ1049" i="27"/>
  <c r="EA1049" i="27"/>
  <c r="EB1049" i="27"/>
  <c r="DZ1050" i="27"/>
  <c r="EA1050" i="27"/>
  <c r="EB1050" i="27"/>
  <c r="DZ1051" i="27"/>
  <c r="EA1051" i="27"/>
  <c r="EB1051" i="27"/>
  <c r="DZ1052" i="27"/>
  <c r="EA1052" i="27"/>
  <c r="EB1052" i="27"/>
  <c r="DZ1053" i="27"/>
  <c r="EA1053" i="27"/>
  <c r="EB1053" i="27"/>
  <c r="DZ1054" i="27"/>
  <c r="EA1054" i="27"/>
  <c r="EB1054" i="27"/>
  <c r="DZ1055" i="27"/>
  <c r="EA1055" i="27"/>
  <c r="EB1055" i="27"/>
  <c r="DZ1056" i="27"/>
  <c r="EA1056" i="27"/>
  <c r="EB1056" i="27"/>
  <c r="DZ1057" i="27"/>
  <c r="EA1057" i="27"/>
  <c r="EB1057" i="27"/>
  <c r="DZ1058" i="27"/>
  <c r="EA1058" i="27"/>
  <c r="EB1058" i="27"/>
  <c r="DZ1059" i="27"/>
  <c r="EA1059" i="27"/>
  <c r="EB1059" i="27"/>
  <c r="DZ1060" i="27"/>
  <c r="EA1060" i="27"/>
  <c r="EB1060" i="27"/>
  <c r="DZ1061" i="27"/>
  <c r="EA1061" i="27"/>
  <c r="EB1061" i="27"/>
  <c r="DZ1062" i="27"/>
  <c r="EA1062" i="27"/>
  <c r="EB1062" i="27"/>
  <c r="DZ1063" i="27"/>
  <c r="EA1063" i="27"/>
  <c r="EB1063" i="27"/>
  <c r="DZ1064" i="27"/>
  <c r="EA1064" i="27"/>
  <c r="EB1064" i="27"/>
  <c r="DZ1065" i="27"/>
  <c r="EA1065" i="27"/>
  <c r="EB1065" i="27"/>
  <c r="DZ1066" i="27"/>
  <c r="EA1066" i="27"/>
  <c r="EB1066" i="27"/>
  <c r="DZ1067" i="27"/>
  <c r="EA1067" i="27"/>
  <c r="EB1067" i="27"/>
  <c r="DZ1068" i="27"/>
  <c r="EA1068" i="27"/>
  <c r="EB1068" i="27"/>
  <c r="DZ1069" i="27"/>
  <c r="EA1069" i="27"/>
  <c r="EB1069" i="27"/>
  <c r="DZ1070" i="27"/>
  <c r="EA1070" i="27"/>
  <c r="EB1070" i="27"/>
  <c r="DZ1071" i="27"/>
  <c r="EA1071" i="27"/>
  <c r="EB1071" i="27"/>
  <c r="DZ1072" i="27"/>
  <c r="EA1072" i="27"/>
  <c r="EB1072" i="27"/>
  <c r="DZ1073" i="27"/>
  <c r="EA1073" i="27"/>
  <c r="EB1073" i="27"/>
  <c r="DZ1074" i="27"/>
  <c r="EA1074" i="27"/>
  <c r="EB1074" i="27"/>
  <c r="DZ1075" i="27"/>
  <c r="EA1075" i="27"/>
  <c r="EB1075" i="27"/>
  <c r="DZ1076" i="27"/>
  <c r="EA1076" i="27"/>
  <c r="EB1076" i="27"/>
  <c r="DZ1077" i="27"/>
  <c r="EA1077" i="27"/>
  <c r="EB1077" i="27"/>
  <c r="DZ1078" i="27"/>
  <c r="EA1078" i="27"/>
  <c r="EB1078" i="27"/>
  <c r="DZ1079" i="27"/>
  <c r="EA1079" i="27"/>
  <c r="EB1079" i="27"/>
  <c r="DZ1080" i="27"/>
  <c r="EA1080" i="27"/>
  <c r="EB1080" i="27"/>
  <c r="DZ1081" i="27"/>
  <c r="EA1081" i="27"/>
  <c r="EB1081" i="27"/>
  <c r="DZ1082" i="27"/>
  <c r="EA1082" i="27"/>
  <c r="EB1082" i="27"/>
  <c r="DZ1083" i="27"/>
  <c r="EA1083" i="27"/>
  <c r="EB1083" i="27"/>
  <c r="DZ1084" i="27"/>
  <c r="EA1084" i="27"/>
  <c r="EB1084" i="27"/>
  <c r="DZ1085" i="27"/>
  <c r="EA1085" i="27"/>
  <c r="EB1085" i="27"/>
  <c r="DZ1086" i="27"/>
  <c r="EA1086" i="27"/>
  <c r="EB1086" i="27"/>
  <c r="DZ1087" i="27"/>
  <c r="EA1087" i="27"/>
  <c r="EB1087" i="27"/>
  <c r="DZ1088" i="27"/>
  <c r="EA1088" i="27"/>
  <c r="EB1088" i="27"/>
  <c r="DZ1089" i="27"/>
  <c r="EA1089" i="27"/>
  <c r="EB1089" i="27"/>
  <c r="DZ1090" i="27"/>
  <c r="EA1090" i="27"/>
  <c r="EB1090" i="27"/>
  <c r="DZ1091" i="27"/>
  <c r="EA1091" i="27"/>
  <c r="EB1091" i="27"/>
  <c r="DZ1092" i="27"/>
  <c r="EA1092" i="27"/>
  <c r="EB1092" i="27"/>
  <c r="DZ1093" i="27"/>
  <c r="EA1093" i="27"/>
  <c r="EB1093" i="27"/>
  <c r="DZ1094" i="27"/>
  <c r="EA1094" i="27"/>
  <c r="EB1094" i="27"/>
  <c r="DZ1095" i="27"/>
  <c r="EA1095" i="27"/>
  <c r="EB1095" i="27"/>
  <c r="DZ1096" i="27"/>
  <c r="EA1096" i="27"/>
  <c r="EB1096" i="27"/>
  <c r="DZ1097" i="27"/>
  <c r="EA1097" i="27"/>
  <c r="EB1097" i="27"/>
  <c r="DZ1098" i="27"/>
  <c r="EA1098" i="27"/>
  <c r="EB1098" i="27"/>
  <c r="DZ1099" i="27"/>
  <c r="EA1099" i="27"/>
  <c r="EB1099" i="27"/>
  <c r="DZ1100" i="27"/>
  <c r="EA1100" i="27"/>
  <c r="EB1100" i="27"/>
  <c r="DZ1101" i="27"/>
  <c r="EA1101" i="27"/>
  <c r="EB1101" i="27"/>
  <c r="DZ1102" i="27"/>
  <c r="EA1102" i="27"/>
  <c r="EB1102" i="27"/>
  <c r="DZ1103" i="27"/>
  <c r="EA1103" i="27"/>
  <c r="EB1103" i="27"/>
  <c r="DZ1104" i="27"/>
  <c r="EA1104" i="27"/>
  <c r="EB1104" i="27"/>
  <c r="DZ1105" i="27"/>
  <c r="EA1105" i="27"/>
  <c r="EB1105" i="27"/>
  <c r="DZ1106" i="27"/>
  <c r="EA1106" i="27"/>
  <c r="EB1106" i="27"/>
  <c r="DZ1107" i="27"/>
  <c r="EA1107" i="27"/>
  <c r="EB1107" i="27"/>
  <c r="DZ1108" i="27"/>
  <c r="EA1108" i="27"/>
  <c r="EB1108" i="27"/>
  <c r="DZ1109" i="27"/>
  <c r="EA1109" i="27"/>
  <c r="EB1109" i="27"/>
  <c r="DZ1110" i="27"/>
  <c r="EA1110" i="27"/>
  <c r="EB1110" i="27"/>
  <c r="DZ1111" i="27"/>
  <c r="EA1111" i="27"/>
  <c r="EB1111" i="27"/>
  <c r="DZ1112" i="27"/>
  <c r="EA1112" i="27"/>
  <c r="EB1112" i="27"/>
  <c r="DZ1113" i="27"/>
  <c r="EA1113" i="27"/>
  <c r="EB1113" i="27"/>
  <c r="DZ1114" i="27"/>
  <c r="EA1114" i="27"/>
  <c r="EB1114" i="27"/>
  <c r="DZ1115" i="27"/>
  <c r="EA1115" i="27"/>
  <c r="EB1115" i="27"/>
  <c r="AK204" i="27" l="1"/>
  <c r="AK203" i="27"/>
  <c r="AK202" i="27"/>
  <c r="AK201" i="27"/>
  <c r="AK200" i="27"/>
  <c r="AK199" i="27"/>
  <c r="AN204" i="27" l="1"/>
  <c r="AN199" i="27"/>
  <c r="AN200" i="27" s="1"/>
  <c r="AN201" i="27" s="1"/>
  <c r="Y199" i="27"/>
  <c r="X204" i="27"/>
  <c r="X199" i="27"/>
  <c r="W204" i="27"/>
  <c r="W199" i="27"/>
  <c r="W200" i="27" s="1"/>
  <c r="AI204" i="27" l="1"/>
  <c r="AI199" i="27"/>
  <c r="AN202" i="27"/>
  <c r="AN203" i="27" s="1"/>
  <c r="W201" i="27"/>
  <c r="W202" i="27" s="1"/>
  <c r="W203" i="27" s="1"/>
  <c r="X200" i="27"/>
  <c r="AI200" i="27" s="1"/>
  <c r="P5" i="10"/>
  <c r="Q5" i="10"/>
  <c r="X201" i="27" l="1"/>
  <c r="AI201" i="27" s="1"/>
  <c r="X202" i="27" l="1"/>
  <c r="AI202" i="27" s="1"/>
  <c r="X203" i="27" l="1"/>
  <c r="AI203" i="27" s="1"/>
  <c r="AO187" i="27" l="1"/>
  <c r="AO186" i="27"/>
  <c r="AO185" i="27"/>
  <c r="AO184" i="27"/>
  <c r="AO183" i="27"/>
  <c r="AO182" i="27"/>
  <c r="AO181" i="27"/>
  <c r="AO180" i="27"/>
  <c r="AO179" i="27"/>
  <c r="AO178" i="27"/>
  <c r="AO177" i="27"/>
  <c r="AO176" i="27"/>
  <c r="AO175" i="27"/>
  <c r="AO174" i="27"/>
  <c r="AO173" i="27"/>
  <c r="AO172" i="27"/>
  <c r="AO171" i="27"/>
  <c r="AN187" i="27"/>
  <c r="AN186" i="27"/>
  <c r="AN185" i="27"/>
  <c r="AN184" i="27"/>
  <c r="AN183" i="27"/>
  <c r="AN182" i="27"/>
  <c r="AN181" i="27"/>
  <c r="AN180" i="27"/>
  <c r="AN179" i="27"/>
  <c r="AN178" i="27"/>
  <c r="AN177" i="27"/>
  <c r="AN176" i="27"/>
  <c r="AN175" i="27"/>
  <c r="AN174" i="27"/>
  <c r="AN173" i="27"/>
  <c r="AN172" i="27"/>
  <c r="AN171" i="27"/>
  <c r="AM187" i="27"/>
  <c r="AM186" i="27"/>
  <c r="AM185" i="27"/>
  <c r="AM184" i="27"/>
  <c r="AM183" i="27"/>
  <c r="AM182" i="27"/>
  <c r="AM181" i="27"/>
  <c r="AM180" i="27"/>
  <c r="AM179" i="27"/>
  <c r="AM178" i="27"/>
  <c r="AM177" i="27"/>
  <c r="AM176" i="27"/>
  <c r="AM175" i="27"/>
  <c r="AM174" i="27"/>
  <c r="AM173" i="27"/>
  <c r="AM172" i="27"/>
  <c r="AM171" i="27"/>
  <c r="AK188" i="27" l="1"/>
  <c r="AK187" i="27"/>
  <c r="AK186" i="27"/>
  <c r="AK185" i="27"/>
  <c r="AK184" i="27"/>
  <c r="AK183" i="27"/>
  <c r="AK182" i="27"/>
  <c r="AK181" i="27"/>
  <c r="AK180" i="27"/>
  <c r="AK179" i="27"/>
  <c r="AK178" i="27"/>
  <c r="AK177" i="27"/>
  <c r="AK176" i="27"/>
  <c r="AK175" i="27"/>
  <c r="AK174" i="27"/>
  <c r="AK173" i="27"/>
  <c r="AK172" i="27"/>
  <c r="AK171" i="27"/>
  <c r="AH187" i="27"/>
  <c r="AH186" i="27"/>
  <c r="AH185" i="27"/>
  <c r="AH184" i="27"/>
  <c r="AH183" i="27"/>
  <c r="AH182" i="27"/>
  <c r="AH181" i="27"/>
  <c r="AH180" i="27"/>
  <c r="AH179" i="27"/>
  <c r="AH178" i="27"/>
  <c r="AH177" i="27"/>
  <c r="AH176" i="27"/>
  <c r="AH175" i="27"/>
  <c r="AH174" i="27"/>
  <c r="AH173" i="27"/>
  <c r="AH172" i="27"/>
  <c r="AH171" i="27"/>
  <c r="AB187" i="27" l="1"/>
  <c r="AB186" i="27"/>
  <c r="AB185" i="27"/>
  <c r="AB184" i="27"/>
  <c r="AB183" i="27"/>
  <c r="AB182" i="27"/>
  <c r="AB181" i="27"/>
  <c r="AB180" i="27"/>
  <c r="AB179" i="27"/>
  <c r="AB178" i="27"/>
  <c r="AB177" i="27"/>
  <c r="AB176" i="27"/>
  <c r="AB175" i="27"/>
  <c r="AB174" i="27"/>
  <c r="AB173" i="27"/>
  <c r="AB172" i="27"/>
  <c r="AB171" i="27"/>
  <c r="AA187" i="27"/>
  <c r="AA186" i="27"/>
  <c r="AA185" i="27"/>
  <c r="AA184" i="27"/>
  <c r="AA183" i="27"/>
  <c r="AA182" i="27"/>
  <c r="AA181" i="27"/>
  <c r="AA180" i="27"/>
  <c r="AA179" i="27"/>
  <c r="AA178" i="27"/>
  <c r="AA177" i="27"/>
  <c r="AA176" i="27"/>
  <c r="AA175" i="27"/>
  <c r="AA174" i="27"/>
  <c r="AA173" i="27"/>
  <c r="AA172" i="27"/>
  <c r="AA171" i="27"/>
  <c r="Y187" i="27"/>
  <c r="Y186" i="27"/>
  <c r="Y185" i="27"/>
  <c r="Y184" i="27"/>
  <c r="Y183" i="27"/>
  <c r="Y182" i="27"/>
  <c r="Y181" i="27"/>
  <c r="Y180" i="27"/>
  <c r="Y179" i="27"/>
  <c r="Y178" i="27"/>
  <c r="Y177" i="27"/>
  <c r="Y176" i="27"/>
  <c r="Y175" i="27"/>
  <c r="Y174" i="27"/>
  <c r="Y173" i="27"/>
  <c r="Y172" i="27"/>
  <c r="Y171" i="27"/>
  <c r="X187" i="27"/>
  <c r="X186" i="27"/>
  <c r="X185" i="27"/>
  <c r="X184" i="27"/>
  <c r="X183" i="27"/>
  <c r="X182" i="27"/>
  <c r="X181" i="27"/>
  <c r="X180" i="27"/>
  <c r="X179" i="27"/>
  <c r="X178" i="27"/>
  <c r="X177" i="27"/>
  <c r="X176" i="27"/>
  <c r="X175" i="27"/>
  <c r="X174" i="27"/>
  <c r="X173" i="27"/>
  <c r="X172" i="27"/>
  <c r="W187" i="27"/>
  <c r="W186" i="27"/>
  <c r="W185" i="27"/>
  <c r="W184" i="27"/>
  <c r="W183" i="27"/>
  <c r="W182" i="27"/>
  <c r="W181" i="27"/>
  <c r="W180" i="27"/>
  <c r="W179" i="27"/>
  <c r="W178" i="27"/>
  <c r="W177" i="27"/>
  <c r="W176" i="27"/>
  <c r="W175" i="27"/>
  <c r="W174" i="27"/>
  <c r="W173" i="27"/>
  <c r="W172" i="27"/>
  <c r="W171" i="27"/>
  <c r="CC5" i="11"/>
  <c r="CB5" i="11"/>
  <c r="CA5" i="11"/>
  <c r="BZ5" i="11"/>
  <c r="BY5" i="11"/>
  <c r="BX5" i="11"/>
  <c r="AK5" i="11"/>
  <c r="AJ5" i="11"/>
  <c r="AI5" i="11"/>
  <c r="AI172" i="27" l="1"/>
  <c r="AI176" i="27"/>
  <c r="AI180" i="27"/>
  <c r="AI184" i="27"/>
  <c r="AI174" i="27"/>
  <c r="AI178" i="27"/>
  <c r="AI182" i="27"/>
  <c r="AI186" i="27"/>
  <c r="AI173" i="27"/>
  <c r="AI177" i="27"/>
  <c r="AI181" i="27"/>
  <c r="AI185" i="27"/>
  <c r="AI171" i="27"/>
  <c r="AI175" i="27"/>
  <c r="AI179" i="27"/>
  <c r="AI183" i="27"/>
  <c r="AI187" i="27"/>
  <c r="AF5" i="11"/>
  <c r="AG5" i="11"/>
  <c r="AH5" i="11"/>
  <c r="AC5" i="11" l="1"/>
  <c r="AE5" i="11"/>
  <c r="AD5" i="11"/>
  <c r="Z5" i="11"/>
  <c r="Y5" i="11"/>
  <c r="X5" i="11"/>
  <c r="W5" i="11"/>
  <c r="V5" i="11"/>
  <c r="U5" i="11"/>
  <c r="T5" i="11"/>
  <c r="S5" i="11"/>
  <c r="R5" i="11"/>
  <c r="Q5" i="11"/>
  <c r="DS1115" i="27"/>
  <c r="DR1115" i="27"/>
  <c r="DQ1115" i="27"/>
  <c r="DS1114" i="27"/>
  <c r="DR1114" i="27"/>
  <c r="DQ1114" i="27"/>
  <c r="DS1113" i="27"/>
  <c r="DR1113" i="27"/>
  <c r="DQ1113" i="27"/>
  <c r="DS1112" i="27"/>
  <c r="DR1112" i="27"/>
  <c r="DQ1112" i="27"/>
  <c r="DS1111" i="27"/>
  <c r="DR1111" i="27"/>
  <c r="DQ1111" i="27"/>
  <c r="DS1110" i="27"/>
  <c r="DR1110" i="27"/>
  <c r="DQ1110" i="27"/>
  <c r="DS1109" i="27"/>
  <c r="DR1109" i="27"/>
  <c r="DQ1109" i="27"/>
  <c r="DS1108" i="27"/>
  <c r="DR1108" i="27"/>
  <c r="DQ1108" i="27"/>
  <c r="DS1107" i="27"/>
  <c r="DR1107" i="27"/>
  <c r="DQ1107" i="27"/>
  <c r="DS1106" i="27"/>
  <c r="DR1106" i="27"/>
  <c r="DQ1106" i="27"/>
  <c r="DS1105" i="27"/>
  <c r="DR1105" i="27"/>
  <c r="DQ1105" i="27"/>
  <c r="DS1104" i="27"/>
  <c r="DR1104" i="27"/>
  <c r="DQ1104" i="27"/>
  <c r="DS1103" i="27"/>
  <c r="DR1103" i="27"/>
  <c r="DQ1103" i="27"/>
  <c r="DS1102" i="27"/>
  <c r="DR1102" i="27"/>
  <c r="DQ1102" i="27"/>
  <c r="DS1101" i="27"/>
  <c r="DR1101" i="27"/>
  <c r="DQ1101" i="27"/>
  <c r="DS1100" i="27"/>
  <c r="DR1100" i="27"/>
  <c r="DQ1100" i="27"/>
  <c r="DS1099" i="27"/>
  <c r="DR1099" i="27"/>
  <c r="DQ1099" i="27"/>
  <c r="DS1098" i="27"/>
  <c r="DR1098" i="27"/>
  <c r="DQ1098" i="27"/>
  <c r="DS1097" i="27"/>
  <c r="DR1097" i="27"/>
  <c r="DQ1097" i="27"/>
  <c r="DS1096" i="27"/>
  <c r="DR1096" i="27"/>
  <c r="DQ1096" i="27"/>
  <c r="DS1095" i="27"/>
  <c r="DR1095" i="27"/>
  <c r="DQ1095" i="27"/>
  <c r="DS1094" i="27"/>
  <c r="DR1094" i="27"/>
  <c r="DQ1094" i="27"/>
  <c r="DS1093" i="27"/>
  <c r="DR1093" i="27"/>
  <c r="DQ1093" i="27"/>
  <c r="DS1092" i="27"/>
  <c r="DR1092" i="27"/>
  <c r="DQ1092" i="27"/>
  <c r="DS1091" i="27"/>
  <c r="DR1091" i="27"/>
  <c r="DQ1091" i="27"/>
  <c r="DS1090" i="27"/>
  <c r="DR1090" i="27"/>
  <c r="DQ1090" i="27"/>
  <c r="DS1089" i="27"/>
  <c r="DR1089" i="27"/>
  <c r="DQ1089" i="27"/>
  <c r="DS1088" i="27"/>
  <c r="DR1088" i="27"/>
  <c r="DQ1088" i="27"/>
  <c r="DS1087" i="27"/>
  <c r="DR1087" i="27"/>
  <c r="DQ1087" i="27"/>
  <c r="DS1086" i="27"/>
  <c r="DR1086" i="27"/>
  <c r="DQ1086" i="27"/>
  <c r="DS1085" i="27"/>
  <c r="DR1085" i="27"/>
  <c r="DQ1085" i="27"/>
  <c r="DS1084" i="27"/>
  <c r="DR1084" i="27"/>
  <c r="DQ1084" i="27"/>
  <c r="DS1083" i="27"/>
  <c r="DR1083" i="27"/>
  <c r="DQ1083" i="27"/>
  <c r="DS1082" i="27"/>
  <c r="DR1082" i="27"/>
  <c r="DQ1082" i="27"/>
  <c r="DS1081" i="27"/>
  <c r="DR1081" i="27"/>
  <c r="DQ1081" i="27"/>
  <c r="DS1080" i="27"/>
  <c r="DR1080" i="27"/>
  <c r="DQ1080" i="27"/>
  <c r="DS1079" i="27"/>
  <c r="DR1079" i="27"/>
  <c r="DQ1079" i="27"/>
  <c r="DS1078" i="27"/>
  <c r="DR1078" i="27"/>
  <c r="DQ1078" i="27"/>
  <c r="DS1077" i="27"/>
  <c r="DR1077" i="27"/>
  <c r="DQ1077" i="27"/>
  <c r="DS1076" i="27"/>
  <c r="DR1076" i="27"/>
  <c r="DQ1076" i="27"/>
  <c r="DS1075" i="27"/>
  <c r="DR1075" i="27"/>
  <c r="DQ1075" i="27"/>
  <c r="DS1074" i="27"/>
  <c r="DR1074" i="27"/>
  <c r="DQ1074" i="27"/>
  <c r="DS1073" i="27"/>
  <c r="DR1073" i="27"/>
  <c r="DQ1073" i="27"/>
  <c r="DS1072" i="27"/>
  <c r="DR1072" i="27"/>
  <c r="DQ1072" i="27"/>
  <c r="DS1071" i="27"/>
  <c r="DR1071" i="27"/>
  <c r="DQ1071" i="27"/>
  <c r="DS1070" i="27"/>
  <c r="DR1070" i="27"/>
  <c r="DQ1070" i="27"/>
  <c r="DS1069" i="27"/>
  <c r="DR1069" i="27"/>
  <c r="DQ1069" i="27"/>
  <c r="DS1068" i="27"/>
  <c r="DR1068" i="27"/>
  <c r="DQ1068" i="27"/>
  <c r="DS1067" i="27"/>
  <c r="DR1067" i="27"/>
  <c r="DQ1067" i="27"/>
  <c r="DS1066" i="27"/>
  <c r="DR1066" i="27"/>
  <c r="DQ1066" i="27"/>
  <c r="DS1065" i="27"/>
  <c r="DR1065" i="27"/>
  <c r="DQ1065" i="27"/>
  <c r="DS1064" i="27"/>
  <c r="DR1064" i="27"/>
  <c r="DQ1064" i="27"/>
  <c r="DS1063" i="27"/>
  <c r="DR1063" i="27"/>
  <c r="DQ1063" i="27"/>
  <c r="DS1062" i="27"/>
  <c r="DR1062" i="27"/>
  <c r="DQ1062" i="27"/>
  <c r="DS1061" i="27"/>
  <c r="DR1061" i="27"/>
  <c r="DQ1061" i="27"/>
  <c r="DS1060" i="27"/>
  <c r="DR1060" i="27"/>
  <c r="DQ1060" i="27"/>
  <c r="DS1059" i="27"/>
  <c r="DR1059" i="27"/>
  <c r="DQ1059" i="27"/>
  <c r="DS1058" i="27"/>
  <c r="DR1058" i="27"/>
  <c r="DQ1058" i="27"/>
  <c r="DS1057" i="27"/>
  <c r="DR1057" i="27"/>
  <c r="DQ1057" i="27"/>
  <c r="DS1056" i="27"/>
  <c r="DR1056" i="27"/>
  <c r="DQ1056" i="27"/>
  <c r="DS1055" i="27"/>
  <c r="DR1055" i="27"/>
  <c r="DQ1055" i="27"/>
  <c r="DS1054" i="27"/>
  <c r="DR1054" i="27"/>
  <c r="DQ1054" i="27"/>
  <c r="DS1053" i="27"/>
  <c r="DR1053" i="27"/>
  <c r="DQ1053" i="27"/>
  <c r="DS1052" i="27"/>
  <c r="DR1052" i="27"/>
  <c r="DQ1052" i="27"/>
  <c r="DS1051" i="27"/>
  <c r="DR1051" i="27"/>
  <c r="DQ1051" i="27"/>
  <c r="DS1050" i="27"/>
  <c r="DR1050" i="27"/>
  <c r="DQ1050" i="27"/>
  <c r="DS1049" i="27"/>
  <c r="DR1049" i="27"/>
  <c r="DQ1049" i="27"/>
  <c r="DS1048" i="27"/>
  <c r="DR1048" i="27"/>
  <c r="DQ1048" i="27"/>
  <c r="DS1047" i="27"/>
  <c r="DR1047" i="27"/>
  <c r="DQ1047" i="27"/>
  <c r="DS1046" i="27"/>
  <c r="DR1046" i="27"/>
  <c r="DQ1046" i="27"/>
  <c r="DS1045" i="27"/>
  <c r="DR1045" i="27"/>
  <c r="DQ1045" i="27"/>
  <c r="DS1044" i="27"/>
  <c r="DR1044" i="27"/>
  <c r="DQ1044" i="27"/>
  <c r="DS1043" i="27"/>
  <c r="DR1043" i="27"/>
  <c r="DQ1043" i="27"/>
  <c r="DS1042" i="27"/>
  <c r="DR1042" i="27"/>
  <c r="DQ1042" i="27"/>
  <c r="DS1041" i="27"/>
  <c r="DR1041" i="27"/>
  <c r="DQ1041" i="27"/>
  <c r="DS1040" i="27"/>
  <c r="DR1040" i="27"/>
  <c r="DQ1040" i="27"/>
  <c r="DS1039" i="27"/>
  <c r="DR1039" i="27"/>
  <c r="DQ1039" i="27"/>
  <c r="DS1038" i="27"/>
  <c r="DR1038" i="27"/>
  <c r="DQ1038" i="27"/>
  <c r="DS1037" i="27"/>
  <c r="DR1037" i="27"/>
  <c r="DQ1037" i="27"/>
  <c r="DS1036" i="27"/>
  <c r="DR1036" i="27"/>
  <c r="DQ1036" i="27"/>
  <c r="DS1035" i="27"/>
  <c r="DR1035" i="27"/>
  <c r="DQ1035" i="27"/>
  <c r="DS1034" i="27"/>
  <c r="DR1034" i="27"/>
  <c r="DQ1034" i="27"/>
  <c r="DS1033" i="27"/>
  <c r="DR1033" i="27"/>
  <c r="DQ1033" i="27"/>
  <c r="DS1032" i="27"/>
  <c r="DR1032" i="27"/>
  <c r="DQ1032" i="27"/>
  <c r="DS1031" i="27"/>
  <c r="DR1031" i="27"/>
  <c r="DQ1031" i="27"/>
  <c r="DS1030" i="27"/>
  <c r="DR1030" i="27"/>
  <c r="DQ1030" i="27"/>
  <c r="DS1029" i="27"/>
  <c r="DR1029" i="27"/>
  <c r="DQ1029" i="27"/>
  <c r="DS1028" i="27"/>
  <c r="DR1028" i="27"/>
  <c r="DQ1028" i="27"/>
  <c r="DS1027" i="27"/>
  <c r="DR1027" i="27"/>
  <c r="DQ1027" i="27"/>
  <c r="DS1026" i="27"/>
  <c r="DR1026" i="27"/>
  <c r="DQ1026" i="27"/>
  <c r="DS1025" i="27"/>
  <c r="DR1025" i="27"/>
  <c r="DQ1025" i="27"/>
  <c r="DS1024" i="27"/>
  <c r="DR1024" i="27"/>
  <c r="DQ1024" i="27"/>
  <c r="DS1023" i="27"/>
  <c r="DR1023" i="27"/>
  <c r="DQ1023" i="27"/>
  <c r="DS1022" i="27"/>
  <c r="DR1022" i="27"/>
  <c r="DQ1022" i="27"/>
  <c r="DS1021" i="27"/>
  <c r="DR1021" i="27"/>
  <c r="DQ1021" i="27"/>
  <c r="DS1020" i="27"/>
  <c r="DR1020" i="27"/>
  <c r="DQ1020" i="27"/>
  <c r="DS1019" i="27"/>
  <c r="DR1019" i="27"/>
  <c r="DQ1019" i="27"/>
  <c r="DS1018" i="27"/>
  <c r="DR1018" i="27"/>
  <c r="DQ1018" i="27"/>
  <c r="DS1017" i="27"/>
  <c r="DR1017" i="27"/>
  <c r="DQ1017" i="27"/>
  <c r="DS1016" i="27"/>
  <c r="DR1016" i="27"/>
  <c r="DQ1016" i="27"/>
  <c r="DS1015" i="27"/>
  <c r="DR1015" i="27"/>
  <c r="DQ1015" i="27"/>
  <c r="DS1014" i="27"/>
  <c r="DR1014" i="27"/>
  <c r="DQ1014" i="27"/>
  <c r="DS1013" i="27"/>
  <c r="DR1013" i="27"/>
  <c r="DQ1013" i="27"/>
  <c r="DS1012" i="27"/>
  <c r="DR1012" i="27"/>
  <c r="DQ1012" i="27"/>
  <c r="DS1011" i="27"/>
  <c r="DR1011" i="27"/>
  <c r="DQ1011" i="27"/>
  <c r="DS1010" i="27"/>
  <c r="DR1010" i="27"/>
  <c r="DQ1010" i="27"/>
  <c r="DS1009" i="27"/>
  <c r="DR1009" i="27"/>
  <c r="DQ1009" i="27"/>
  <c r="DS1008" i="27"/>
  <c r="DR1008" i="27"/>
  <c r="DQ1008" i="27"/>
  <c r="DS1007" i="27"/>
  <c r="DR1007" i="27"/>
  <c r="DQ1007" i="27"/>
  <c r="DS1006" i="27"/>
  <c r="DR1006" i="27"/>
  <c r="DQ1006" i="27"/>
  <c r="DS1005" i="27"/>
  <c r="DR1005" i="27"/>
  <c r="DQ1005" i="27"/>
  <c r="DS1004" i="27"/>
  <c r="DR1004" i="27"/>
  <c r="DQ1004" i="27"/>
  <c r="DS1003" i="27"/>
  <c r="DR1003" i="27"/>
  <c r="DQ1003" i="27"/>
  <c r="DS1002" i="27"/>
  <c r="DR1002" i="27"/>
  <c r="DQ1002" i="27"/>
  <c r="DS1001" i="27"/>
  <c r="DR1001" i="27"/>
  <c r="DQ1001" i="27"/>
  <c r="DS1000" i="27"/>
  <c r="DR1000" i="27"/>
  <c r="DQ1000" i="27"/>
  <c r="DS999" i="27"/>
  <c r="DR999" i="27"/>
  <c r="DQ999" i="27"/>
  <c r="DS998" i="27"/>
  <c r="DR998" i="27"/>
  <c r="DQ998" i="27"/>
  <c r="DS997" i="27"/>
  <c r="DR997" i="27"/>
  <c r="DQ997" i="27"/>
  <c r="DS996" i="27"/>
  <c r="DR996" i="27"/>
  <c r="DQ996" i="27"/>
  <c r="DS995" i="27"/>
  <c r="DR995" i="27"/>
  <c r="DQ995" i="27"/>
  <c r="DS994" i="27"/>
  <c r="DR994" i="27"/>
  <c r="DQ994" i="27"/>
  <c r="DS993" i="27"/>
  <c r="DR993" i="27"/>
  <c r="DQ993" i="27"/>
  <c r="DS992" i="27"/>
  <c r="DR992" i="27"/>
  <c r="DQ992" i="27"/>
  <c r="DS991" i="27"/>
  <c r="DR991" i="27"/>
  <c r="DQ991" i="27"/>
  <c r="DS990" i="27"/>
  <c r="DR990" i="27"/>
  <c r="DQ990" i="27"/>
  <c r="DS989" i="27"/>
  <c r="DR989" i="27"/>
  <c r="DQ989" i="27"/>
  <c r="DS988" i="27"/>
  <c r="DR988" i="27"/>
  <c r="DQ988" i="27"/>
  <c r="DS987" i="27"/>
  <c r="DR987" i="27"/>
  <c r="DQ987" i="27"/>
  <c r="DS986" i="27"/>
  <c r="DR986" i="27"/>
  <c r="DQ986" i="27"/>
  <c r="DS985" i="27"/>
  <c r="DR985" i="27"/>
  <c r="DQ985" i="27"/>
  <c r="DS984" i="27"/>
  <c r="DR984" i="27"/>
  <c r="DQ984" i="27"/>
  <c r="DS983" i="27"/>
  <c r="DR983" i="27"/>
  <c r="DQ983" i="27"/>
  <c r="DS982" i="27"/>
  <c r="DR982" i="27"/>
  <c r="DQ982" i="27"/>
  <c r="DS981" i="27"/>
  <c r="DR981" i="27"/>
  <c r="DQ981" i="27"/>
  <c r="DS980" i="27"/>
  <c r="DR980" i="27"/>
  <c r="DQ980" i="27"/>
  <c r="DS979" i="27"/>
  <c r="DR979" i="27"/>
  <c r="DQ979" i="27"/>
  <c r="DS978" i="27"/>
  <c r="DR978" i="27"/>
  <c r="DQ978" i="27"/>
  <c r="DS977" i="27"/>
  <c r="DR977" i="27"/>
  <c r="DQ977" i="27"/>
  <c r="DS976" i="27"/>
  <c r="DR976" i="27"/>
  <c r="DQ976" i="27"/>
  <c r="DS975" i="27"/>
  <c r="DR975" i="27"/>
  <c r="DQ975" i="27"/>
  <c r="DS974" i="27"/>
  <c r="DR974" i="27"/>
  <c r="DQ974" i="27"/>
  <c r="DS973" i="27"/>
  <c r="DR973" i="27"/>
  <c r="DQ973" i="27"/>
  <c r="DS972" i="27"/>
  <c r="DR972" i="27"/>
  <c r="DQ972" i="27"/>
  <c r="DS971" i="27"/>
  <c r="DR971" i="27"/>
  <c r="DQ971" i="27"/>
  <c r="DS970" i="27"/>
  <c r="DR970" i="27"/>
  <c r="DQ970" i="27"/>
  <c r="DS969" i="27"/>
  <c r="DR969" i="27"/>
  <c r="DQ969" i="27"/>
  <c r="DS968" i="27"/>
  <c r="DR968" i="27"/>
  <c r="DQ968" i="27"/>
  <c r="DS967" i="27"/>
  <c r="DR967" i="27"/>
  <c r="DQ967" i="27"/>
  <c r="DS966" i="27"/>
  <c r="DR966" i="27"/>
  <c r="DQ966" i="27"/>
  <c r="DS965" i="27"/>
  <c r="DR965" i="27"/>
  <c r="DQ965" i="27"/>
  <c r="DS964" i="27"/>
  <c r="DR964" i="27"/>
  <c r="DQ964" i="27"/>
  <c r="DS963" i="27"/>
  <c r="DR963" i="27"/>
  <c r="DQ963" i="27"/>
  <c r="DS962" i="27"/>
  <c r="DR962" i="27"/>
  <c r="DQ962" i="27"/>
  <c r="DS961" i="27"/>
  <c r="DR961" i="27"/>
  <c r="DQ961" i="27"/>
  <c r="DS960" i="27"/>
  <c r="DR960" i="27"/>
  <c r="DQ960" i="27"/>
  <c r="DS959" i="27"/>
  <c r="DR959" i="27"/>
  <c r="DQ959" i="27"/>
  <c r="DS958" i="27"/>
  <c r="DR958" i="27"/>
  <c r="DQ958" i="27"/>
  <c r="DS957" i="27"/>
  <c r="DR957" i="27"/>
  <c r="DQ957" i="27"/>
  <c r="DS956" i="27"/>
  <c r="DR956" i="27"/>
  <c r="DQ956" i="27"/>
  <c r="DS955" i="27"/>
  <c r="DR955" i="27"/>
  <c r="DQ955" i="27"/>
  <c r="DS954" i="27"/>
  <c r="DR954" i="27"/>
  <c r="DQ954" i="27"/>
  <c r="DS953" i="27"/>
  <c r="DR953" i="27"/>
  <c r="DQ953" i="27"/>
  <c r="DS952" i="27"/>
  <c r="DR952" i="27"/>
  <c r="DQ952" i="27"/>
  <c r="DS951" i="27"/>
  <c r="DR951" i="27"/>
  <c r="DQ951" i="27"/>
  <c r="DS950" i="27"/>
  <c r="DR950" i="27"/>
  <c r="DQ950" i="27"/>
  <c r="DS949" i="27"/>
  <c r="DR949" i="27"/>
  <c r="DQ949" i="27"/>
  <c r="DS948" i="27"/>
  <c r="DR948" i="27"/>
  <c r="DQ948" i="27"/>
  <c r="DS947" i="27"/>
  <c r="DR947" i="27"/>
  <c r="DQ947" i="27"/>
  <c r="DS946" i="27"/>
  <c r="DR946" i="27"/>
  <c r="DQ946" i="27"/>
  <c r="DS945" i="27"/>
  <c r="DR945" i="27"/>
  <c r="DQ945" i="27"/>
  <c r="DS944" i="27"/>
  <c r="DR944" i="27"/>
  <c r="DQ944" i="27"/>
  <c r="DS943" i="27"/>
  <c r="DR943" i="27"/>
  <c r="DQ943" i="27"/>
  <c r="DS942" i="27"/>
  <c r="DR942" i="27"/>
  <c r="DQ942" i="27"/>
  <c r="DS941" i="27"/>
  <c r="DR941" i="27"/>
  <c r="DQ941" i="27"/>
  <c r="DS940" i="27"/>
  <c r="DR940" i="27"/>
  <c r="DQ940" i="27"/>
  <c r="DS939" i="27"/>
  <c r="DR939" i="27"/>
  <c r="DQ939" i="27"/>
  <c r="DS938" i="27"/>
  <c r="DR938" i="27"/>
  <c r="DQ938" i="27"/>
  <c r="DS937" i="27"/>
  <c r="DR937" i="27"/>
  <c r="DQ937" i="27"/>
  <c r="DS936" i="27"/>
  <c r="DR936" i="27"/>
  <c r="DQ936" i="27"/>
  <c r="DS935" i="27"/>
  <c r="DR935" i="27"/>
  <c r="DQ935" i="27"/>
  <c r="DS934" i="27"/>
  <c r="DR934" i="27"/>
  <c r="DQ934" i="27"/>
  <c r="DS933" i="27"/>
  <c r="DR933" i="27"/>
  <c r="DQ933" i="27"/>
  <c r="DS932" i="27"/>
  <c r="DR932" i="27"/>
  <c r="DQ932" i="27"/>
  <c r="DS931" i="27"/>
  <c r="DR931" i="27"/>
  <c r="DQ931" i="27"/>
  <c r="DS930" i="27"/>
  <c r="DR930" i="27"/>
  <c r="DQ930" i="27"/>
  <c r="DS929" i="27"/>
  <c r="DR929" i="27"/>
  <c r="DQ929" i="27"/>
  <c r="DS928" i="27"/>
  <c r="DR928" i="27"/>
  <c r="DQ928" i="27"/>
  <c r="DS927" i="27"/>
  <c r="DR927" i="27"/>
  <c r="DQ927" i="27"/>
  <c r="DS926" i="27"/>
  <c r="DR926" i="27"/>
  <c r="DQ926" i="27"/>
  <c r="DS925" i="27"/>
  <c r="DR925" i="27"/>
  <c r="DQ925" i="27"/>
  <c r="DS924" i="27"/>
  <c r="DR924" i="27"/>
  <c r="DQ924" i="27"/>
  <c r="DS923" i="27"/>
  <c r="DR923" i="27"/>
  <c r="DQ923" i="27"/>
  <c r="DS922" i="27"/>
  <c r="DR922" i="27"/>
  <c r="DQ922" i="27"/>
  <c r="DS921" i="27"/>
  <c r="DR921" i="27"/>
  <c r="DQ921" i="27"/>
  <c r="DS920" i="27"/>
  <c r="DR920" i="27"/>
  <c r="DQ920" i="27"/>
  <c r="DS919" i="27"/>
  <c r="DR919" i="27"/>
  <c r="DQ919" i="27"/>
  <c r="DS918" i="27"/>
  <c r="DR918" i="27"/>
  <c r="DQ918" i="27"/>
  <c r="DS917" i="27"/>
  <c r="DR917" i="27"/>
  <c r="DQ917" i="27"/>
  <c r="DS916" i="27"/>
  <c r="DR916" i="27"/>
  <c r="DQ916" i="27"/>
  <c r="DS915" i="27"/>
  <c r="DR915" i="27"/>
  <c r="DQ915" i="27"/>
  <c r="DS914" i="27"/>
  <c r="DR914" i="27"/>
  <c r="DQ914" i="27"/>
  <c r="DS913" i="27"/>
  <c r="DR913" i="27"/>
  <c r="DQ913" i="27"/>
  <c r="DS912" i="27"/>
  <c r="DR912" i="27"/>
  <c r="DQ912" i="27"/>
  <c r="DS911" i="27"/>
  <c r="DR911" i="27"/>
  <c r="DQ911" i="27"/>
  <c r="DS910" i="27"/>
  <c r="DR910" i="27"/>
  <c r="DQ910" i="27"/>
  <c r="DS909" i="27"/>
  <c r="DR909" i="27"/>
  <c r="DQ909" i="27"/>
  <c r="DS908" i="27"/>
  <c r="DR908" i="27"/>
  <c r="DQ908" i="27"/>
  <c r="DS907" i="27"/>
  <c r="DR907" i="27"/>
  <c r="DQ907" i="27"/>
  <c r="DS906" i="27"/>
  <c r="DR906" i="27"/>
  <c r="DQ906" i="27"/>
  <c r="DS905" i="27"/>
  <c r="DR905" i="27"/>
  <c r="DQ905" i="27"/>
  <c r="DS904" i="27"/>
  <c r="DR904" i="27"/>
  <c r="DQ904" i="27"/>
  <c r="DS903" i="27"/>
  <c r="DR903" i="27"/>
  <c r="DQ903" i="27"/>
  <c r="DS902" i="27"/>
  <c r="DR902" i="27"/>
  <c r="DQ902" i="27"/>
  <c r="DS901" i="27"/>
  <c r="DR901" i="27"/>
  <c r="DQ901" i="27"/>
  <c r="DS900" i="27"/>
  <c r="DR900" i="27"/>
  <c r="DQ900" i="27"/>
  <c r="DS899" i="27"/>
  <c r="DR899" i="27"/>
  <c r="DQ899" i="27"/>
  <c r="DS898" i="27"/>
  <c r="DR898" i="27"/>
  <c r="DQ898" i="27"/>
  <c r="DS897" i="27"/>
  <c r="DR897" i="27"/>
  <c r="DQ897" i="27"/>
  <c r="DS896" i="27"/>
  <c r="DR896" i="27"/>
  <c r="DQ896" i="27"/>
  <c r="DS895" i="27"/>
  <c r="DR895" i="27"/>
  <c r="DQ895" i="27"/>
  <c r="DS894" i="27"/>
  <c r="DR894" i="27"/>
  <c r="DQ894" i="27"/>
  <c r="DS893" i="27"/>
  <c r="DR893" i="27"/>
  <c r="DQ893" i="27"/>
  <c r="DS892" i="27"/>
  <c r="DR892" i="27"/>
  <c r="DQ892" i="27"/>
  <c r="DS891" i="27"/>
  <c r="DR891" i="27"/>
  <c r="DQ891" i="27"/>
  <c r="DS890" i="27"/>
  <c r="DR890" i="27"/>
  <c r="DQ890" i="27"/>
  <c r="DS889" i="27"/>
  <c r="DR889" i="27"/>
  <c r="DQ889" i="27"/>
  <c r="DS888" i="27"/>
  <c r="DR888" i="27"/>
  <c r="DQ888" i="27"/>
  <c r="DS887" i="27"/>
  <c r="DR887" i="27"/>
  <c r="DQ887" i="27"/>
  <c r="DS886" i="27"/>
  <c r="DR886" i="27"/>
  <c r="DQ886" i="27"/>
  <c r="DS885" i="27"/>
  <c r="DR885" i="27"/>
  <c r="DQ885" i="27"/>
  <c r="DS884" i="27"/>
  <c r="DR884" i="27"/>
  <c r="DQ884" i="27"/>
  <c r="DS883" i="27"/>
  <c r="DR883" i="27"/>
  <c r="DQ883" i="27"/>
  <c r="DS882" i="27"/>
  <c r="DR882" i="27"/>
  <c r="DQ882" i="27"/>
  <c r="DS881" i="27"/>
  <c r="DR881" i="27"/>
  <c r="DQ881" i="27"/>
  <c r="DS880" i="27"/>
  <c r="DR880" i="27"/>
  <c r="DQ880" i="27"/>
  <c r="DS879" i="27"/>
  <c r="DR879" i="27"/>
  <c r="DQ879" i="27"/>
  <c r="DS878" i="27"/>
  <c r="DR878" i="27"/>
  <c r="DQ878" i="27"/>
  <c r="DS877" i="27"/>
  <c r="DR877" i="27"/>
  <c r="DQ877" i="27"/>
  <c r="DS876" i="27"/>
  <c r="DR876" i="27"/>
  <c r="DQ876" i="27"/>
  <c r="DS875" i="27"/>
  <c r="DR875" i="27"/>
  <c r="DQ875" i="27"/>
  <c r="DS874" i="27"/>
  <c r="DR874" i="27"/>
  <c r="DQ874" i="27"/>
  <c r="DS873" i="27"/>
  <c r="DR873" i="27"/>
  <c r="DQ873" i="27"/>
  <c r="DS872" i="27"/>
  <c r="DR872" i="27"/>
  <c r="DQ872" i="27"/>
  <c r="DS871" i="27"/>
  <c r="DR871" i="27"/>
  <c r="DQ871" i="27"/>
  <c r="DS870" i="27"/>
  <c r="DR870" i="27"/>
  <c r="DQ870" i="27"/>
  <c r="DS869" i="27"/>
  <c r="DR869" i="27"/>
  <c r="DQ869" i="27"/>
  <c r="DS868" i="27"/>
  <c r="DR868" i="27"/>
  <c r="DQ868" i="27"/>
  <c r="DS867" i="27"/>
  <c r="DR867" i="27"/>
  <c r="DQ867" i="27"/>
  <c r="DS866" i="27"/>
  <c r="DR866" i="27"/>
  <c r="DQ866" i="27"/>
  <c r="DS865" i="27"/>
  <c r="DR865" i="27"/>
  <c r="DQ865" i="27"/>
  <c r="DS864" i="27"/>
  <c r="DR864" i="27"/>
  <c r="DQ864" i="27"/>
  <c r="DS863" i="27"/>
  <c r="DR863" i="27"/>
  <c r="DQ863" i="27"/>
  <c r="DS862" i="27"/>
  <c r="DR862" i="27"/>
  <c r="DQ862" i="27"/>
  <c r="DS861" i="27"/>
  <c r="DR861" i="27"/>
  <c r="DQ861" i="27"/>
  <c r="DS860" i="27"/>
  <c r="DR860" i="27"/>
  <c r="DQ860" i="27"/>
  <c r="DS859" i="27"/>
  <c r="DR859" i="27"/>
  <c r="DQ859" i="27"/>
  <c r="DS858" i="27"/>
  <c r="DR858" i="27"/>
  <c r="DQ858" i="27"/>
  <c r="DS857" i="27"/>
  <c r="DR857" i="27"/>
  <c r="DQ857" i="27"/>
  <c r="DS856" i="27"/>
  <c r="DR856" i="27"/>
  <c r="DQ856" i="27"/>
  <c r="DS855" i="27"/>
  <c r="DR855" i="27"/>
  <c r="DQ855" i="27"/>
  <c r="DS854" i="27"/>
  <c r="DR854" i="27"/>
  <c r="DQ854" i="27"/>
  <c r="DS853" i="27"/>
  <c r="DR853" i="27"/>
  <c r="DQ853" i="27"/>
  <c r="DS852" i="27"/>
  <c r="DR852" i="27"/>
  <c r="DQ852" i="27"/>
  <c r="DS851" i="27"/>
  <c r="DR851" i="27"/>
  <c r="DQ851" i="27"/>
  <c r="DS850" i="27"/>
  <c r="DR850" i="27"/>
  <c r="DQ850" i="27"/>
  <c r="DS849" i="27"/>
  <c r="DR849" i="27"/>
  <c r="DQ849" i="27"/>
  <c r="DS848" i="27"/>
  <c r="DR848" i="27"/>
  <c r="DQ848" i="27"/>
  <c r="DS847" i="27"/>
  <c r="DR847" i="27"/>
  <c r="DQ847" i="27"/>
  <c r="DS846" i="27"/>
  <c r="DR846" i="27"/>
  <c r="DQ846" i="27"/>
  <c r="DS845" i="27"/>
  <c r="DR845" i="27"/>
  <c r="DQ845" i="27"/>
  <c r="DS844" i="27"/>
  <c r="DR844" i="27"/>
  <c r="DQ844" i="27"/>
  <c r="DS843" i="27"/>
  <c r="DR843" i="27"/>
  <c r="DQ843" i="27"/>
  <c r="DS842" i="27"/>
  <c r="DR842" i="27"/>
  <c r="DQ842" i="27"/>
  <c r="DS841" i="27"/>
  <c r="DR841" i="27"/>
  <c r="DQ841" i="27"/>
  <c r="DS840" i="27"/>
  <c r="DR840" i="27"/>
  <c r="DQ840" i="27"/>
  <c r="DS839" i="27"/>
  <c r="DR839" i="27"/>
  <c r="DQ839" i="27"/>
  <c r="DS838" i="27"/>
  <c r="DR838" i="27"/>
  <c r="DQ838" i="27"/>
  <c r="DS837" i="27"/>
  <c r="DR837" i="27"/>
  <c r="DQ837" i="27"/>
  <c r="DS836" i="27"/>
  <c r="DR836" i="27"/>
  <c r="DQ836" i="27"/>
  <c r="DS835" i="27"/>
  <c r="DR835" i="27"/>
  <c r="DQ835" i="27"/>
  <c r="DS834" i="27"/>
  <c r="DR834" i="27"/>
  <c r="DQ834" i="27"/>
  <c r="DS833" i="27"/>
  <c r="DR833" i="27"/>
  <c r="DQ833" i="27"/>
  <c r="DS832" i="27"/>
  <c r="DR832" i="27"/>
  <c r="DQ832" i="27"/>
  <c r="DS831" i="27"/>
  <c r="DR831" i="27"/>
  <c r="DQ831" i="27"/>
  <c r="DS830" i="27"/>
  <c r="DR830" i="27"/>
  <c r="DQ830" i="27"/>
  <c r="DS829" i="27"/>
  <c r="DR829" i="27"/>
  <c r="DQ829" i="27"/>
  <c r="DS828" i="27"/>
  <c r="DR828" i="27"/>
  <c r="DQ828" i="27"/>
  <c r="DS827" i="27"/>
  <c r="DR827" i="27"/>
  <c r="DQ827" i="27"/>
  <c r="DS826" i="27"/>
  <c r="DR826" i="27"/>
  <c r="DQ826" i="27"/>
  <c r="DS825" i="27"/>
  <c r="DR825" i="27"/>
  <c r="DQ825" i="27"/>
  <c r="DS824" i="27"/>
  <c r="DR824" i="27"/>
  <c r="DQ824" i="27"/>
  <c r="DS823" i="27"/>
  <c r="DR823" i="27"/>
  <c r="DQ823" i="27"/>
  <c r="DS822" i="27"/>
  <c r="DR822" i="27"/>
  <c r="DQ822" i="27"/>
  <c r="DS821" i="27"/>
  <c r="DR821" i="27"/>
  <c r="DQ821" i="27"/>
  <c r="DS820" i="27"/>
  <c r="DR820" i="27"/>
  <c r="DQ820" i="27"/>
  <c r="DS819" i="27"/>
  <c r="DR819" i="27"/>
  <c r="DQ819" i="27"/>
  <c r="DS818" i="27"/>
  <c r="DR818" i="27"/>
  <c r="DQ818" i="27"/>
  <c r="DS817" i="27"/>
  <c r="DR817" i="27"/>
  <c r="DQ817" i="27"/>
  <c r="DS816" i="27"/>
  <c r="DR816" i="27"/>
  <c r="DQ816" i="27"/>
  <c r="DS815" i="27"/>
  <c r="DR815" i="27"/>
  <c r="DQ815" i="27"/>
  <c r="DS814" i="27"/>
  <c r="DR814" i="27"/>
  <c r="DQ814" i="27"/>
  <c r="DS813" i="27"/>
  <c r="DR813" i="27"/>
  <c r="DQ813" i="27"/>
  <c r="DS812" i="27"/>
  <c r="DR812" i="27"/>
  <c r="DQ812" i="27"/>
  <c r="DS811" i="27"/>
  <c r="DR811" i="27"/>
  <c r="DQ811" i="27"/>
  <c r="DS810" i="27"/>
  <c r="DR810" i="27"/>
  <c r="DQ810" i="27"/>
  <c r="DS809" i="27"/>
  <c r="DR809" i="27"/>
  <c r="DQ809" i="27"/>
  <c r="DS808" i="27"/>
  <c r="DR808" i="27"/>
  <c r="DQ808" i="27"/>
  <c r="DS807" i="27"/>
  <c r="DR807" i="27"/>
  <c r="DQ807" i="27"/>
  <c r="DS806" i="27"/>
  <c r="DR806" i="27"/>
  <c r="DQ806" i="27"/>
  <c r="DS805" i="27"/>
  <c r="DR805" i="27"/>
  <c r="DQ805" i="27"/>
  <c r="DS804" i="27"/>
  <c r="DR804" i="27"/>
  <c r="DQ804" i="27"/>
  <c r="DS803" i="27"/>
  <c r="DR803" i="27"/>
  <c r="DQ803" i="27"/>
  <c r="DS802" i="27"/>
  <c r="DR802" i="27"/>
  <c r="DQ802" i="27"/>
  <c r="DS801" i="27"/>
  <c r="DR801" i="27"/>
  <c r="DQ801" i="27"/>
  <c r="DS800" i="27"/>
  <c r="DR800" i="27"/>
  <c r="DQ800" i="27"/>
  <c r="DS799" i="27"/>
  <c r="DR799" i="27"/>
  <c r="DQ799" i="27"/>
  <c r="DS798" i="27"/>
  <c r="DR798" i="27"/>
  <c r="DQ798" i="27"/>
  <c r="DS797" i="27"/>
  <c r="DR797" i="27"/>
  <c r="DQ797" i="27"/>
  <c r="DS796" i="27"/>
  <c r="DR796" i="27"/>
  <c r="DQ796" i="27"/>
  <c r="DS795" i="27"/>
  <c r="DR795" i="27"/>
  <c r="DQ795" i="27"/>
  <c r="DS794" i="27"/>
  <c r="DR794" i="27"/>
  <c r="DQ794" i="27"/>
  <c r="DS793" i="27"/>
  <c r="DR793" i="27"/>
  <c r="DQ793" i="27"/>
  <c r="DS792" i="27"/>
  <c r="DR792" i="27"/>
  <c r="DQ792" i="27"/>
  <c r="DS791" i="27"/>
  <c r="DR791" i="27"/>
  <c r="DQ791" i="27"/>
  <c r="DS790" i="27"/>
  <c r="DR790" i="27"/>
  <c r="DQ790" i="27"/>
  <c r="DS789" i="27"/>
  <c r="DR789" i="27"/>
  <c r="DQ789" i="27"/>
  <c r="DS788" i="27"/>
  <c r="DR788" i="27"/>
  <c r="DQ788" i="27"/>
  <c r="DS787" i="27"/>
  <c r="DR787" i="27"/>
  <c r="DQ787" i="27"/>
  <c r="DS786" i="27"/>
  <c r="DR786" i="27"/>
  <c r="DQ786" i="27"/>
  <c r="DS785" i="27"/>
  <c r="DR785" i="27"/>
  <c r="DQ785" i="27"/>
  <c r="DS784" i="27"/>
  <c r="DR784" i="27"/>
  <c r="DQ784" i="27"/>
  <c r="DS783" i="27"/>
  <c r="DR783" i="27"/>
  <c r="DQ783" i="27"/>
  <c r="DS782" i="27"/>
  <c r="DR782" i="27"/>
  <c r="DQ782" i="27"/>
  <c r="DS781" i="27"/>
  <c r="DR781" i="27"/>
  <c r="DQ781" i="27"/>
  <c r="DS780" i="27"/>
  <c r="DR780" i="27"/>
  <c r="DQ780" i="27"/>
  <c r="DS779" i="27"/>
  <c r="DR779" i="27"/>
  <c r="DQ779" i="27"/>
  <c r="DS778" i="27"/>
  <c r="DR778" i="27"/>
  <c r="DQ778" i="27"/>
  <c r="DS777" i="27"/>
  <c r="DR777" i="27"/>
  <c r="DQ777" i="27"/>
  <c r="DS776" i="27"/>
  <c r="DR776" i="27"/>
  <c r="DQ776" i="27"/>
  <c r="DS775" i="27"/>
  <c r="DR775" i="27"/>
  <c r="DQ775" i="27"/>
  <c r="DS774" i="27"/>
  <c r="DR774" i="27"/>
  <c r="DQ774" i="27"/>
  <c r="DS773" i="27"/>
  <c r="DR773" i="27"/>
  <c r="DQ773" i="27"/>
  <c r="DS772" i="27"/>
  <c r="DR772" i="27"/>
  <c r="DQ772" i="27"/>
  <c r="DS771" i="27"/>
  <c r="DR771" i="27"/>
  <c r="DQ771" i="27"/>
  <c r="DS770" i="27"/>
  <c r="DR770" i="27"/>
  <c r="DQ770" i="27"/>
  <c r="DS769" i="27"/>
  <c r="DR769" i="27"/>
  <c r="DQ769" i="27"/>
  <c r="DS768" i="27"/>
  <c r="DR768" i="27"/>
  <c r="DQ768" i="27"/>
  <c r="DS767" i="27"/>
  <c r="DR767" i="27"/>
  <c r="DQ767" i="27"/>
  <c r="DS766" i="27"/>
  <c r="DR766" i="27"/>
  <c r="DQ766" i="27"/>
  <c r="DS765" i="27"/>
  <c r="DR765" i="27"/>
  <c r="DQ765" i="27"/>
  <c r="DS764" i="27"/>
  <c r="DR764" i="27"/>
  <c r="DQ764" i="27"/>
  <c r="DS763" i="27"/>
  <c r="DR763" i="27"/>
  <c r="DQ763" i="27"/>
  <c r="DS762" i="27"/>
  <c r="DR762" i="27"/>
  <c r="DQ762" i="27"/>
  <c r="DS761" i="27"/>
  <c r="DR761" i="27"/>
  <c r="DQ761" i="27"/>
  <c r="DS760" i="27"/>
  <c r="DR760" i="27"/>
  <c r="DQ760" i="27"/>
  <c r="DS759" i="27"/>
  <c r="DR759" i="27"/>
  <c r="DQ759" i="27"/>
  <c r="DS758" i="27"/>
  <c r="DR758" i="27"/>
  <c r="DQ758" i="27"/>
  <c r="DS757" i="27"/>
  <c r="DR757" i="27"/>
  <c r="DQ757" i="27"/>
  <c r="DS756" i="27"/>
  <c r="DR756" i="27"/>
  <c r="DQ756" i="27"/>
  <c r="DS755" i="27"/>
  <c r="DR755" i="27"/>
  <c r="DQ755" i="27"/>
  <c r="DS754" i="27"/>
  <c r="DR754" i="27"/>
  <c r="DQ754" i="27"/>
  <c r="DS753" i="27"/>
  <c r="DR753" i="27"/>
  <c r="DQ753" i="27"/>
  <c r="DS752" i="27"/>
  <c r="DR752" i="27"/>
  <c r="DQ752" i="27"/>
  <c r="DS751" i="27"/>
  <c r="DR751" i="27"/>
  <c r="DQ751" i="27"/>
  <c r="DS750" i="27"/>
  <c r="DR750" i="27"/>
  <c r="DQ750" i="27"/>
  <c r="DS749" i="27"/>
  <c r="DR749" i="27"/>
  <c r="DQ749" i="27"/>
  <c r="DS748" i="27"/>
  <c r="DR748" i="27"/>
  <c r="DQ748" i="27"/>
  <c r="DS747" i="27"/>
  <c r="DR747" i="27"/>
  <c r="DQ747" i="27"/>
  <c r="DS746" i="27"/>
  <c r="DR746" i="27"/>
  <c r="DQ746" i="27"/>
  <c r="DS745" i="27"/>
  <c r="DR745" i="27"/>
  <c r="DQ745" i="27"/>
  <c r="DS744" i="27"/>
  <c r="DR744" i="27"/>
  <c r="DQ744" i="27"/>
  <c r="DS743" i="27"/>
  <c r="DR743" i="27"/>
  <c r="DQ743" i="27"/>
  <c r="DS742" i="27"/>
  <c r="DR742" i="27"/>
  <c r="DQ742" i="27"/>
  <c r="DS741" i="27"/>
  <c r="DR741" i="27"/>
  <c r="DQ741" i="27"/>
  <c r="DS740" i="27"/>
  <c r="DR740" i="27"/>
  <c r="DQ740" i="27"/>
  <c r="DS739" i="27"/>
  <c r="DR739" i="27"/>
  <c r="DQ739" i="27"/>
  <c r="DS738" i="27"/>
  <c r="DR738" i="27"/>
  <c r="DQ738" i="27"/>
  <c r="DS737" i="27"/>
  <c r="DR737" i="27"/>
  <c r="DQ737" i="27"/>
  <c r="DS736" i="27"/>
  <c r="DR736" i="27"/>
  <c r="DQ736" i="27"/>
  <c r="DS735" i="27"/>
  <c r="DR735" i="27"/>
  <c r="DQ735" i="27"/>
  <c r="DS734" i="27"/>
  <c r="DR734" i="27"/>
  <c r="DQ734" i="27"/>
  <c r="DS733" i="27"/>
  <c r="DR733" i="27"/>
  <c r="DQ733" i="27"/>
  <c r="DS732" i="27"/>
  <c r="DR732" i="27"/>
  <c r="DQ732" i="27"/>
  <c r="DS731" i="27"/>
  <c r="DR731" i="27"/>
  <c r="DQ731" i="27"/>
  <c r="DS730" i="27"/>
  <c r="DR730" i="27"/>
  <c r="DQ730" i="27"/>
  <c r="DS729" i="27"/>
  <c r="DR729" i="27"/>
  <c r="DQ729" i="27"/>
  <c r="DS728" i="27"/>
  <c r="DR728" i="27"/>
  <c r="DQ728" i="27"/>
  <c r="DS727" i="27"/>
  <c r="DR727" i="27"/>
  <c r="DQ727" i="27"/>
  <c r="DS726" i="27"/>
  <c r="DR726" i="27"/>
  <c r="DQ726" i="27"/>
  <c r="DS725" i="27"/>
  <c r="DR725" i="27"/>
  <c r="DQ725" i="27"/>
  <c r="DS724" i="27"/>
  <c r="DR724" i="27"/>
  <c r="DQ724" i="27"/>
  <c r="DS723" i="27"/>
  <c r="DR723" i="27"/>
  <c r="DQ723" i="27"/>
  <c r="DS722" i="27"/>
  <c r="DR722" i="27"/>
  <c r="DQ722" i="27"/>
  <c r="DS721" i="27"/>
  <c r="DR721" i="27"/>
  <c r="DQ721" i="27"/>
  <c r="DS720" i="27"/>
  <c r="DR720" i="27"/>
  <c r="DQ720" i="27"/>
  <c r="DS719" i="27"/>
  <c r="DR719" i="27"/>
  <c r="DQ719" i="27"/>
  <c r="DS718" i="27"/>
  <c r="DR718" i="27"/>
  <c r="DQ718" i="27"/>
  <c r="DS717" i="27"/>
  <c r="DR717" i="27"/>
  <c r="DQ717" i="27"/>
  <c r="DS716" i="27"/>
  <c r="DR716" i="27"/>
  <c r="DQ716" i="27"/>
  <c r="DS715" i="27"/>
  <c r="DR715" i="27"/>
  <c r="DQ715" i="27"/>
  <c r="DS714" i="27"/>
  <c r="DR714" i="27"/>
  <c r="DQ714" i="27"/>
  <c r="DS713" i="27"/>
  <c r="DR713" i="27"/>
  <c r="DQ713" i="27"/>
  <c r="DS712" i="27"/>
  <c r="DR712" i="27"/>
  <c r="DQ712" i="27"/>
  <c r="DS711" i="27"/>
  <c r="DR711" i="27"/>
  <c r="DQ711" i="27"/>
  <c r="DS710" i="27"/>
  <c r="DR710" i="27"/>
  <c r="DQ710" i="27"/>
  <c r="DS709" i="27"/>
  <c r="DR709" i="27"/>
  <c r="DQ709" i="27"/>
  <c r="DS708" i="27"/>
  <c r="DR708" i="27"/>
  <c r="DQ708" i="27"/>
  <c r="DS707" i="27"/>
  <c r="DR707" i="27"/>
  <c r="DQ707" i="27"/>
  <c r="DS706" i="27"/>
  <c r="DR706" i="27"/>
  <c r="DQ706" i="27"/>
  <c r="DS705" i="27"/>
  <c r="DR705" i="27"/>
  <c r="DQ705" i="27"/>
  <c r="DS704" i="27"/>
  <c r="DR704" i="27"/>
  <c r="DQ704" i="27"/>
  <c r="DS703" i="27"/>
  <c r="DR703" i="27"/>
  <c r="DQ703" i="27"/>
  <c r="DS702" i="27"/>
  <c r="DR702" i="27"/>
  <c r="DQ702" i="27"/>
  <c r="DS701" i="27"/>
  <c r="DR701" i="27"/>
  <c r="DQ701" i="27"/>
  <c r="DS700" i="27"/>
  <c r="DR700" i="27"/>
  <c r="DQ700" i="27"/>
  <c r="DS699" i="27"/>
  <c r="DR699" i="27"/>
  <c r="DQ699" i="27"/>
  <c r="DS698" i="27"/>
  <c r="DR698" i="27"/>
  <c r="DQ698" i="27"/>
  <c r="DS697" i="27"/>
  <c r="DR697" i="27"/>
  <c r="DQ697" i="27"/>
  <c r="DS696" i="27"/>
  <c r="DR696" i="27"/>
  <c r="DQ696" i="27"/>
  <c r="DS695" i="27"/>
  <c r="DR695" i="27"/>
  <c r="DQ695" i="27"/>
  <c r="DS694" i="27"/>
  <c r="DR694" i="27"/>
  <c r="DQ694" i="27"/>
  <c r="DS693" i="27"/>
  <c r="DR693" i="27"/>
  <c r="DQ693" i="27"/>
  <c r="DS692" i="27"/>
  <c r="DR692" i="27"/>
  <c r="DQ692" i="27"/>
  <c r="DS691" i="27"/>
  <c r="DR691" i="27"/>
  <c r="DQ691" i="27"/>
  <c r="DS690" i="27"/>
  <c r="DR690" i="27"/>
  <c r="DQ690" i="27"/>
  <c r="DS689" i="27"/>
  <c r="DR689" i="27"/>
  <c r="DQ689" i="27"/>
  <c r="DS688" i="27"/>
  <c r="DR688" i="27"/>
  <c r="DQ688" i="27"/>
  <c r="DS687" i="27"/>
  <c r="DR687" i="27"/>
  <c r="DQ687" i="27"/>
  <c r="DS686" i="27"/>
  <c r="DR686" i="27"/>
  <c r="DQ686" i="27"/>
  <c r="DS685" i="27"/>
  <c r="DR685" i="27"/>
  <c r="DQ685" i="27"/>
  <c r="DS684" i="27"/>
  <c r="DR684" i="27"/>
  <c r="DQ684" i="27"/>
  <c r="DS683" i="27"/>
  <c r="DR683" i="27"/>
  <c r="DQ683" i="27"/>
  <c r="DS682" i="27"/>
  <c r="DR682" i="27"/>
  <c r="DQ682" i="27"/>
  <c r="DS681" i="27"/>
  <c r="DR681" i="27"/>
  <c r="DQ681" i="27"/>
  <c r="DS680" i="27"/>
  <c r="DR680" i="27"/>
  <c r="DQ680" i="27"/>
  <c r="DS679" i="27"/>
  <c r="DR679" i="27"/>
  <c r="DQ679" i="27"/>
  <c r="DS678" i="27"/>
  <c r="DR678" i="27"/>
  <c r="DQ678" i="27"/>
  <c r="DS677" i="27"/>
  <c r="DR677" i="27"/>
  <c r="DQ677" i="27"/>
  <c r="DS676" i="27"/>
  <c r="DR676" i="27"/>
  <c r="DQ676" i="27"/>
  <c r="DS675" i="27"/>
  <c r="DR675" i="27"/>
  <c r="DQ675" i="27"/>
  <c r="DS674" i="27"/>
  <c r="DR674" i="27"/>
  <c r="DQ674" i="27"/>
  <c r="DS673" i="27"/>
  <c r="DR673" i="27"/>
  <c r="DQ673" i="27"/>
  <c r="DS672" i="27"/>
  <c r="DR672" i="27"/>
  <c r="DQ672" i="27"/>
  <c r="DS671" i="27"/>
  <c r="DR671" i="27"/>
  <c r="DQ671" i="27"/>
  <c r="DS670" i="27"/>
  <c r="DR670" i="27"/>
  <c r="DQ670" i="27"/>
  <c r="DS669" i="27"/>
  <c r="DR669" i="27"/>
  <c r="DQ669" i="27"/>
  <c r="DS668" i="27"/>
  <c r="DR668" i="27"/>
  <c r="DQ668" i="27"/>
  <c r="DS667" i="27"/>
  <c r="DR667" i="27"/>
  <c r="DQ667" i="27"/>
  <c r="DS666" i="27"/>
  <c r="DR666" i="27"/>
  <c r="DQ666" i="27"/>
  <c r="DS665" i="27"/>
  <c r="DR665" i="27"/>
  <c r="DQ665" i="27"/>
  <c r="DS664" i="27"/>
  <c r="DR664" i="27"/>
  <c r="DQ664" i="27"/>
  <c r="DS663" i="27"/>
  <c r="DR663" i="27"/>
  <c r="DQ663" i="27"/>
  <c r="DS662" i="27"/>
  <c r="DR662" i="27"/>
  <c r="DQ662" i="27"/>
  <c r="DS661" i="27"/>
  <c r="DR661" i="27"/>
  <c r="DQ661" i="27"/>
  <c r="DS660" i="27"/>
  <c r="DR660" i="27"/>
  <c r="DQ660" i="27"/>
  <c r="DS659" i="27"/>
  <c r="DR659" i="27"/>
  <c r="DQ659" i="27"/>
  <c r="DS658" i="27"/>
  <c r="DR658" i="27"/>
  <c r="DQ658" i="27"/>
  <c r="DS657" i="27"/>
  <c r="DR657" i="27"/>
  <c r="DQ657" i="27"/>
  <c r="DS656" i="27"/>
  <c r="DR656" i="27"/>
  <c r="DQ656" i="27"/>
  <c r="DS655" i="27"/>
  <c r="DR655" i="27"/>
  <c r="DQ655" i="27"/>
  <c r="DS654" i="27"/>
  <c r="DR654" i="27"/>
  <c r="DQ654" i="27"/>
  <c r="DS653" i="27"/>
  <c r="DR653" i="27"/>
  <c r="DQ653" i="27"/>
  <c r="DS652" i="27"/>
  <c r="DR652" i="27"/>
  <c r="DQ652" i="27"/>
  <c r="DS651" i="27"/>
  <c r="DR651" i="27"/>
  <c r="DQ651" i="27"/>
  <c r="DS650" i="27"/>
  <c r="DR650" i="27"/>
  <c r="DQ650" i="27"/>
  <c r="DS649" i="27"/>
  <c r="DR649" i="27"/>
  <c r="DQ649" i="27"/>
  <c r="DS648" i="27"/>
  <c r="DR648" i="27"/>
  <c r="DQ648" i="27"/>
  <c r="DS647" i="27"/>
  <c r="DR647" i="27"/>
  <c r="DQ647" i="27"/>
  <c r="DS646" i="27"/>
  <c r="DR646" i="27"/>
  <c r="DQ646" i="27"/>
  <c r="DS645" i="27"/>
  <c r="DR645" i="27"/>
  <c r="DQ645" i="27"/>
  <c r="DS644" i="27"/>
  <c r="DR644" i="27"/>
  <c r="DQ644" i="27"/>
  <c r="DS643" i="27"/>
  <c r="DR643" i="27"/>
  <c r="DQ643" i="27"/>
  <c r="DS642" i="27"/>
  <c r="DR642" i="27"/>
  <c r="DQ642" i="27"/>
  <c r="DS641" i="27"/>
  <c r="DR641" i="27"/>
  <c r="DQ641" i="27"/>
  <c r="DS640" i="27"/>
  <c r="DR640" i="27"/>
  <c r="DQ640" i="27"/>
  <c r="DS639" i="27"/>
  <c r="DR639" i="27"/>
  <c r="DQ639" i="27"/>
  <c r="DS638" i="27"/>
  <c r="DR638" i="27"/>
  <c r="DQ638" i="27"/>
  <c r="DS637" i="27"/>
  <c r="DR637" i="27"/>
  <c r="DQ637" i="27"/>
  <c r="DS636" i="27"/>
  <c r="DR636" i="27"/>
  <c r="DQ636" i="27"/>
  <c r="DS635" i="27"/>
  <c r="DR635" i="27"/>
  <c r="DQ635" i="27"/>
  <c r="DS634" i="27"/>
  <c r="DR634" i="27"/>
  <c r="DQ634" i="27"/>
  <c r="DS633" i="27"/>
  <c r="DR633" i="27"/>
  <c r="DQ633" i="27"/>
  <c r="DS632" i="27"/>
  <c r="DR632" i="27"/>
  <c r="DQ632" i="27"/>
  <c r="DS631" i="27"/>
  <c r="DR631" i="27"/>
  <c r="DQ631" i="27"/>
  <c r="DS630" i="27"/>
  <c r="DR630" i="27"/>
  <c r="DQ630" i="27"/>
  <c r="DS629" i="27"/>
  <c r="DR629" i="27"/>
  <c r="DQ629" i="27"/>
  <c r="DS628" i="27"/>
  <c r="DR628" i="27"/>
  <c r="DQ628" i="27"/>
  <c r="DS627" i="27"/>
  <c r="DR627" i="27"/>
  <c r="DQ627" i="27"/>
  <c r="DS626" i="27"/>
  <c r="DR626" i="27"/>
  <c r="DQ626" i="27"/>
  <c r="DS625" i="27"/>
  <c r="DR625" i="27"/>
  <c r="DQ625" i="27"/>
  <c r="DS624" i="27"/>
  <c r="DR624" i="27"/>
  <c r="DQ624" i="27"/>
  <c r="DS623" i="27"/>
  <c r="DR623" i="27"/>
  <c r="DQ623" i="27"/>
  <c r="DS622" i="27"/>
  <c r="DR622" i="27"/>
  <c r="DQ622" i="27"/>
  <c r="DS621" i="27"/>
  <c r="DR621" i="27"/>
  <c r="DQ621" i="27"/>
  <c r="DS620" i="27"/>
  <c r="DR620" i="27"/>
  <c r="DQ620" i="27"/>
  <c r="DS619" i="27"/>
  <c r="DR619" i="27"/>
  <c r="DQ619" i="27"/>
  <c r="DS618" i="27"/>
  <c r="DR618" i="27"/>
  <c r="DQ618" i="27"/>
  <c r="DS617" i="27"/>
  <c r="DR617" i="27"/>
  <c r="DQ617" i="27"/>
  <c r="DS616" i="27"/>
  <c r="DR616" i="27"/>
  <c r="DQ616" i="27"/>
  <c r="DS615" i="27"/>
  <c r="DR615" i="27"/>
  <c r="DQ615" i="27"/>
  <c r="DS614" i="27"/>
  <c r="DR614" i="27"/>
  <c r="DQ614" i="27"/>
  <c r="DS613" i="27"/>
  <c r="DR613" i="27"/>
  <c r="DQ613" i="27"/>
  <c r="DS612" i="27"/>
  <c r="DR612" i="27"/>
  <c r="DQ612" i="27"/>
  <c r="DS611" i="27"/>
  <c r="DR611" i="27"/>
  <c r="DQ611" i="27"/>
  <c r="DS610" i="27"/>
  <c r="DR610" i="27"/>
  <c r="DQ610" i="27"/>
  <c r="DS609" i="27"/>
  <c r="DR609" i="27"/>
  <c r="DQ609" i="27"/>
  <c r="DS608" i="27"/>
  <c r="DR608" i="27"/>
  <c r="DQ608" i="27"/>
  <c r="DS607" i="27"/>
  <c r="DR607" i="27"/>
  <c r="DQ607" i="27"/>
  <c r="DS606" i="27"/>
  <c r="DR606" i="27"/>
  <c r="DQ606" i="27"/>
  <c r="DS605" i="27"/>
  <c r="DR605" i="27"/>
  <c r="DQ605" i="27"/>
  <c r="DS604" i="27"/>
  <c r="DR604" i="27"/>
  <c r="DQ604" i="27"/>
  <c r="DS603" i="27"/>
  <c r="DR603" i="27"/>
  <c r="DQ603" i="27"/>
  <c r="DS602" i="27"/>
  <c r="DR602" i="27"/>
  <c r="DQ602" i="27"/>
  <c r="DS601" i="27"/>
  <c r="DR601" i="27"/>
  <c r="DQ601" i="27"/>
  <c r="DS600" i="27"/>
  <c r="DR600" i="27"/>
  <c r="DQ600" i="27"/>
  <c r="DS599" i="27"/>
  <c r="DR599" i="27"/>
  <c r="DQ599" i="27"/>
  <c r="DS598" i="27"/>
  <c r="DR598" i="27"/>
  <c r="DQ598" i="27"/>
  <c r="DS597" i="27"/>
  <c r="DR597" i="27"/>
  <c r="DQ597" i="27"/>
  <c r="DS596" i="27"/>
  <c r="DR596" i="27"/>
  <c r="DQ596" i="27"/>
  <c r="DS595" i="27"/>
  <c r="DR595" i="27"/>
  <c r="DQ595" i="27"/>
  <c r="DS594" i="27"/>
  <c r="DR594" i="27"/>
  <c r="DQ594" i="27"/>
  <c r="DS593" i="27"/>
  <c r="DR593" i="27"/>
  <c r="DQ593" i="27"/>
  <c r="DS592" i="27"/>
  <c r="DR592" i="27"/>
  <c r="DQ592" i="27"/>
  <c r="DS591" i="27"/>
  <c r="DR591" i="27"/>
  <c r="DQ591" i="27"/>
  <c r="DS590" i="27"/>
  <c r="DR590" i="27"/>
  <c r="DQ590" i="27"/>
  <c r="DS589" i="27"/>
  <c r="DR589" i="27"/>
  <c r="DQ589" i="27"/>
  <c r="DS588" i="27"/>
  <c r="DR588" i="27"/>
  <c r="DQ588" i="27"/>
  <c r="DS587" i="27"/>
  <c r="DR587" i="27"/>
  <c r="DQ587" i="27"/>
  <c r="DS586" i="27"/>
  <c r="DR586" i="27"/>
  <c r="DQ586" i="27"/>
  <c r="DS585" i="27"/>
  <c r="DR585" i="27"/>
  <c r="DQ585" i="27"/>
  <c r="DS584" i="27"/>
  <c r="DR584" i="27"/>
  <c r="DQ584" i="27"/>
  <c r="DS583" i="27"/>
  <c r="DR583" i="27"/>
  <c r="DQ583" i="27"/>
  <c r="DS582" i="27"/>
  <c r="DR582" i="27"/>
  <c r="DQ582" i="27"/>
  <c r="DS581" i="27"/>
  <c r="DR581" i="27"/>
  <c r="DQ581" i="27"/>
  <c r="DS580" i="27"/>
  <c r="DR580" i="27"/>
  <c r="DQ580" i="27"/>
  <c r="DS579" i="27"/>
  <c r="DR579" i="27"/>
  <c r="DQ579" i="27"/>
  <c r="DS578" i="27"/>
  <c r="DR578" i="27"/>
  <c r="DQ578" i="27"/>
  <c r="DS577" i="27"/>
  <c r="DR577" i="27"/>
  <c r="DQ577" i="27"/>
  <c r="DS576" i="27"/>
  <c r="DR576" i="27"/>
  <c r="DQ576" i="27"/>
  <c r="DS575" i="27"/>
  <c r="DR575" i="27"/>
  <c r="DQ575" i="27"/>
  <c r="DS574" i="27"/>
  <c r="DR574" i="27"/>
  <c r="DQ574" i="27"/>
  <c r="DS573" i="27"/>
  <c r="DR573" i="27"/>
  <c r="DQ573" i="27"/>
  <c r="DS572" i="27"/>
  <c r="DR572" i="27"/>
  <c r="DQ572" i="27"/>
  <c r="DS571" i="27"/>
  <c r="DR571" i="27"/>
  <c r="DQ571" i="27"/>
  <c r="DS570" i="27"/>
  <c r="DR570" i="27"/>
  <c r="DQ570" i="27"/>
  <c r="DS569" i="27"/>
  <c r="DR569" i="27"/>
  <c r="DQ569" i="27"/>
  <c r="DS568" i="27"/>
  <c r="DR568" i="27"/>
  <c r="DQ568" i="27"/>
  <c r="DS567" i="27"/>
  <c r="DR567" i="27"/>
  <c r="DQ567" i="27"/>
  <c r="DS566" i="27"/>
  <c r="DR566" i="27"/>
  <c r="DQ566" i="27"/>
  <c r="DS565" i="27"/>
  <c r="DR565" i="27"/>
  <c r="DQ565" i="27"/>
  <c r="DS564" i="27"/>
  <c r="DR564" i="27"/>
  <c r="DQ564" i="27"/>
  <c r="DS563" i="27"/>
  <c r="DR563" i="27"/>
  <c r="DQ563" i="27"/>
  <c r="DS562" i="27"/>
  <c r="DR562" i="27"/>
  <c r="DQ562" i="27"/>
  <c r="DS561" i="27"/>
  <c r="DR561" i="27"/>
  <c r="DQ561" i="27"/>
  <c r="DS560" i="27"/>
  <c r="DR560" i="27"/>
  <c r="DQ560" i="27"/>
  <c r="DS559" i="27"/>
  <c r="DR559" i="27"/>
  <c r="DQ559" i="27"/>
  <c r="DS558" i="27"/>
  <c r="DR558" i="27"/>
  <c r="DQ558" i="27"/>
  <c r="DS557" i="27"/>
  <c r="DR557" i="27"/>
  <c r="DQ557" i="27"/>
  <c r="DS556" i="27"/>
  <c r="DR556" i="27"/>
  <c r="DQ556" i="27"/>
  <c r="DS555" i="27"/>
  <c r="DR555" i="27"/>
  <c r="DQ555" i="27"/>
  <c r="DS554" i="27"/>
  <c r="DR554" i="27"/>
  <c r="DQ554" i="27"/>
  <c r="DS553" i="27"/>
  <c r="DR553" i="27"/>
  <c r="DQ553" i="27"/>
  <c r="DS552" i="27"/>
  <c r="DR552" i="27"/>
  <c r="DQ552" i="27"/>
  <c r="DS551" i="27"/>
  <c r="DR551" i="27"/>
  <c r="DQ551" i="27"/>
  <c r="DS550" i="27"/>
  <c r="DR550" i="27"/>
  <c r="DQ550" i="27"/>
  <c r="DS549" i="27"/>
  <c r="DR549" i="27"/>
  <c r="DQ549" i="27"/>
  <c r="DS548" i="27"/>
  <c r="DR548" i="27"/>
  <c r="DQ548" i="27"/>
  <c r="DS547" i="27"/>
  <c r="DR547" i="27"/>
  <c r="DQ547" i="27"/>
  <c r="DS546" i="27"/>
  <c r="DR546" i="27"/>
  <c r="DQ546" i="27"/>
  <c r="DS545" i="27"/>
  <c r="DR545" i="27"/>
  <c r="DQ545" i="27"/>
  <c r="DS544" i="27"/>
  <c r="DR544" i="27"/>
  <c r="DQ544" i="27"/>
  <c r="DS543" i="27"/>
  <c r="DR543" i="27"/>
  <c r="DQ543" i="27"/>
  <c r="DS542" i="27"/>
  <c r="DR542" i="27"/>
  <c r="DQ542" i="27"/>
  <c r="DS541" i="27"/>
  <c r="DR541" i="27"/>
  <c r="DQ541" i="27"/>
  <c r="DS540" i="27"/>
  <c r="DR540" i="27"/>
  <c r="DQ540" i="27"/>
  <c r="DS539" i="27"/>
  <c r="DR539" i="27"/>
  <c r="DQ539" i="27"/>
  <c r="DS538" i="27"/>
  <c r="DR538" i="27"/>
  <c r="DQ538" i="27"/>
  <c r="DS537" i="27"/>
  <c r="DR537" i="27"/>
  <c r="DQ537" i="27"/>
  <c r="DS536" i="27"/>
  <c r="DR536" i="27"/>
  <c r="DQ536" i="27"/>
  <c r="DS535" i="27"/>
  <c r="DR535" i="27"/>
  <c r="DQ535" i="27"/>
  <c r="DS534" i="27"/>
  <c r="DR534" i="27"/>
  <c r="DQ534" i="27"/>
  <c r="DS533" i="27"/>
  <c r="DR533" i="27"/>
  <c r="DQ533" i="27"/>
  <c r="DS532" i="27"/>
  <c r="DR532" i="27"/>
  <c r="DQ532" i="27"/>
  <c r="DS531" i="27"/>
  <c r="DR531" i="27"/>
  <c r="DQ531" i="27"/>
  <c r="DS530" i="27"/>
  <c r="DR530" i="27"/>
  <c r="DQ530" i="27"/>
  <c r="DS529" i="27"/>
  <c r="DR529" i="27"/>
  <c r="DQ529" i="27"/>
  <c r="DS528" i="27"/>
  <c r="DR528" i="27"/>
  <c r="DQ528" i="27"/>
  <c r="DS527" i="27"/>
  <c r="DR527" i="27"/>
  <c r="DQ527" i="27"/>
  <c r="DS526" i="27"/>
  <c r="DR526" i="27"/>
  <c r="DQ526" i="27"/>
  <c r="DS525" i="27"/>
  <c r="DR525" i="27"/>
  <c r="DQ525" i="27"/>
  <c r="DS524" i="27"/>
  <c r="DR524" i="27"/>
  <c r="DQ524" i="27"/>
  <c r="DS523" i="27"/>
  <c r="DR523" i="27"/>
  <c r="DQ523" i="27"/>
  <c r="DS522" i="27"/>
  <c r="DR522" i="27"/>
  <c r="DQ522" i="27"/>
  <c r="DS521" i="27"/>
  <c r="DR521" i="27"/>
  <c r="DQ521" i="27"/>
  <c r="DS520" i="27"/>
  <c r="DR520" i="27"/>
  <c r="DQ520" i="27"/>
  <c r="DS519" i="27"/>
  <c r="DR519" i="27"/>
  <c r="DQ519" i="27"/>
  <c r="DS518" i="27"/>
  <c r="DR518" i="27"/>
  <c r="DQ518" i="27"/>
  <c r="DS517" i="27"/>
  <c r="DR517" i="27"/>
  <c r="DQ517" i="27"/>
  <c r="DS516" i="27"/>
  <c r="DR516" i="27"/>
  <c r="DQ516" i="27"/>
  <c r="DS515" i="27"/>
  <c r="DR515" i="27"/>
  <c r="DQ515" i="27"/>
  <c r="DS514" i="27"/>
  <c r="DR514" i="27"/>
  <c r="DQ514" i="27"/>
  <c r="DS513" i="27"/>
  <c r="DR513" i="27"/>
  <c r="DQ513" i="27"/>
  <c r="DS512" i="27"/>
  <c r="DR512" i="27"/>
  <c r="DQ512" i="27"/>
  <c r="DS511" i="27"/>
  <c r="DR511" i="27"/>
  <c r="DQ511" i="27"/>
  <c r="DS510" i="27"/>
  <c r="DR510" i="27"/>
  <c r="DQ510" i="27"/>
  <c r="DS509" i="27"/>
  <c r="DR509" i="27"/>
  <c r="DQ509" i="27"/>
  <c r="DS508" i="27"/>
  <c r="DR508" i="27"/>
  <c r="DQ508" i="27"/>
  <c r="DS507" i="27"/>
  <c r="DR507" i="27"/>
  <c r="DQ507" i="27"/>
  <c r="DS506" i="27"/>
  <c r="DR506" i="27"/>
  <c r="DQ506" i="27"/>
  <c r="DS505" i="27"/>
  <c r="DR505" i="27"/>
  <c r="DQ505" i="27"/>
  <c r="DS504" i="27"/>
  <c r="DR504" i="27"/>
  <c r="DQ504" i="27"/>
  <c r="DS503" i="27"/>
  <c r="DR503" i="27"/>
  <c r="DQ503" i="27"/>
  <c r="DS502" i="27"/>
  <c r="DR502" i="27"/>
  <c r="DQ502" i="27"/>
  <c r="DS501" i="27"/>
  <c r="DR501" i="27"/>
  <c r="DQ501" i="27"/>
  <c r="DS500" i="27"/>
  <c r="DR500" i="27"/>
  <c r="DQ500" i="27"/>
  <c r="DS499" i="27"/>
  <c r="DR499" i="27"/>
  <c r="DQ499" i="27"/>
  <c r="DS498" i="27"/>
  <c r="DR498" i="27"/>
  <c r="DQ498" i="27"/>
  <c r="DS497" i="27"/>
  <c r="DR497" i="27"/>
  <c r="DQ497" i="27"/>
  <c r="DS496" i="27"/>
  <c r="DR496" i="27"/>
  <c r="DQ496" i="27"/>
  <c r="DS495" i="27"/>
  <c r="DR495" i="27"/>
  <c r="DQ495" i="27"/>
  <c r="DS494" i="27"/>
  <c r="DR494" i="27"/>
  <c r="DQ494" i="27"/>
  <c r="DS493" i="27"/>
  <c r="DR493" i="27"/>
  <c r="DQ493" i="27"/>
  <c r="DS492" i="27"/>
  <c r="DR492" i="27"/>
  <c r="DQ492" i="27"/>
  <c r="DS491" i="27"/>
  <c r="DR491" i="27"/>
  <c r="DQ491" i="27"/>
  <c r="DS490" i="27"/>
  <c r="DR490" i="27"/>
  <c r="DQ490" i="27"/>
  <c r="DS489" i="27"/>
  <c r="DR489" i="27"/>
  <c r="DQ489" i="27"/>
  <c r="DS488" i="27"/>
  <c r="DR488" i="27"/>
  <c r="DQ488" i="27"/>
  <c r="DS487" i="27"/>
  <c r="DR487" i="27"/>
  <c r="DQ487" i="27"/>
  <c r="DS486" i="27"/>
  <c r="DR486" i="27"/>
  <c r="DQ486" i="27"/>
  <c r="DS485" i="27"/>
  <c r="DR485" i="27"/>
  <c r="DQ485" i="27"/>
  <c r="DS484" i="27"/>
  <c r="DR484" i="27"/>
  <c r="DQ484" i="27"/>
  <c r="DS483" i="27"/>
  <c r="DR483" i="27"/>
  <c r="DQ483" i="27"/>
  <c r="DS482" i="27"/>
  <c r="DR482" i="27"/>
  <c r="DQ482" i="27"/>
  <c r="DS481" i="27"/>
  <c r="DR481" i="27"/>
  <c r="DQ481" i="27"/>
  <c r="DS480" i="27"/>
  <c r="DR480" i="27"/>
  <c r="DQ480" i="27"/>
  <c r="DS479" i="27"/>
  <c r="DR479" i="27"/>
  <c r="DQ479" i="27"/>
  <c r="DS478" i="27"/>
  <c r="DR478" i="27"/>
  <c r="DQ478" i="27"/>
  <c r="DS477" i="27"/>
  <c r="DR477" i="27"/>
  <c r="DQ477" i="27"/>
  <c r="DS476" i="27"/>
  <c r="DR476" i="27"/>
  <c r="DQ476" i="27"/>
  <c r="DS475" i="27"/>
  <c r="DR475" i="27"/>
  <c r="DQ475" i="27"/>
  <c r="DS474" i="27"/>
  <c r="DR474" i="27"/>
  <c r="DQ474" i="27"/>
  <c r="DS473" i="27"/>
  <c r="DR473" i="27"/>
  <c r="DQ473" i="27"/>
  <c r="DS472" i="27"/>
  <c r="DR472" i="27"/>
  <c r="DQ472" i="27"/>
  <c r="DS471" i="27"/>
  <c r="DR471" i="27"/>
  <c r="DQ471" i="27"/>
  <c r="DS470" i="27"/>
  <c r="DR470" i="27"/>
  <c r="DQ470" i="27"/>
  <c r="DS469" i="27"/>
  <c r="DR469" i="27"/>
  <c r="DQ469" i="27"/>
  <c r="DS468" i="27"/>
  <c r="DR468" i="27"/>
  <c r="DQ468" i="27"/>
  <c r="DS467" i="27"/>
  <c r="DR467" i="27"/>
  <c r="DQ467" i="27"/>
  <c r="DS466" i="27"/>
  <c r="DR466" i="27"/>
  <c r="DQ466" i="27"/>
  <c r="DS465" i="27"/>
  <c r="DR465" i="27"/>
  <c r="DQ465" i="27"/>
  <c r="DS464" i="27"/>
  <c r="DR464" i="27"/>
  <c r="DQ464" i="27"/>
  <c r="DS463" i="27"/>
  <c r="DR463" i="27"/>
  <c r="DQ463" i="27"/>
  <c r="DS462" i="27"/>
  <c r="DR462" i="27"/>
  <c r="DQ462" i="27"/>
  <c r="DS461" i="27"/>
  <c r="DR461" i="27"/>
  <c r="DQ461" i="27"/>
  <c r="DS460" i="27"/>
  <c r="DR460" i="27"/>
  <c r="DQ460" i="27"/>
  <c r="DS459" i="27"/>
  <c r="DR459" i="27"/>
  <c r="DQ459" i="27"/>
  <c r="DS458" i="27"/>
  <c r="DR458" i="27"/>
  <c r="DQ458" i="27"/>
  <c r="DS457" i="27"/>
  <c r="DR457" i="27"/>
  <c r="DQ457" i="27"/>
  <c r="DS456" i="27"/>
  <c r="DR456" i="27"/>
  <c r="DQ456" i="27"/>
  <c r="DS455" i="27"/>
  <c r="DR455" i="27"/>
  <c r="DQ455" i="27"/>
  <c r="DS454" i="27"/>
  <c r="DR454" i="27"/>
  <c r="DQ454" i="27"/>
  <c r="DS453" i="27"/>
  <c r="DR453" i="27"/>
  <c r="DQ453" i="27"/>
  <c r="DS452" i="27"/>
  <c r="DR452" i="27"/>
  <c r="DQ452" i="27"/>
  <c r="DS451" i="27"/>
  <c r="DR451" i="27"/>
  <c r="DQ451" i="27"/>
  <c r="DS450" i="27"/>
  <c r="DR450" i="27"/>
  <c r="DQ450" i="27"/>
  <c r="DS449" i="27"/>
  <c r="DR449" i="27"/>
  <c r="DQ449" i="27"/>
  <c r="DS448" i="27"/>
  <c r="DR448" i="27"/>
  <c r="DQ448" i="27"/>
  <c r="DS447" i="27"/>
  <c r="DR447" i="27"/>
  <c r="DQ447" i="27"/>
  <c r="DS446" i="27"/>
  <c r="DR446" i="27"/>
  <c r="DQ446" i="27"/>
  <c r="DS445" i="27"/>
  <c r="DR445" i="27"/>
  <c r="DQ445" i="27"/>
  <c r="DS444" i="27"/>
  <c r="DR444" i="27"/>
  <c r="DQ444" i="27"/>
  <c r="DS443" i="27"/>
  <c r="DR443" i="27"/>
  <c r="DQ443" i="27"/>
  <c r="DS442" i="27"/>
  <c r="DR442" i="27"/>
  <c r="DQ442" i="27"/>
  <c r="DS441" i="27"/>
  <c r="DR441" i="27"/>
  <c r="DQ441" i="27"/>
  <c r="DS440" i="27"/>
  <c r="DR440" i="27"/>
  <c r="DQ440" i="27"/>
  <c r="DS439" i="27"/>
  <c r="DR439" i="27"/>
  <c r="DQ439" i="27"/>
  <c r="DS438" i="27"/>
  <c r="DR438" i="27"/>
  <c r="DQ438" i="27"/>
  <c r="DS437" i="27"/>
  <c r="DR437" i="27"/>
  <c r="DQ437" i="27"/>
  <c r="DS436" i="27"/>
  <c r="DR436" i="27"/>
  <c r="DQ436" i="27"/>
  <c r="DS435" i="27"/>
  <c r="DR435" i="27"/>
  <c r="DQ435" i="27"/>
  <c r="DS434" i="27"/>
  <c r="DR434" i="27"/>
  <c r="DQ434" i="27"/>
  <c r="DS433" i="27"/>
  <c r="DR433" i="27"/>
  <c r="DQ433" i="27"/>
  <c r="DS432" i="27"/>
  <c r="DR432" i="27"/>
  <c r="DQ432" i="27"/>
  <c r="DS431" i="27"/>
  <c r="DR431" i="27"/>
  <c r="DQ431" i="27"/>
  <c r="DS430" i="27"/>
  <c r="DR430" i="27"/>
  <c r="DQ430" i="27"/>
  <c r="DS429" i="27"/>
  <c r="DR429" i="27"/>
  <c r="DQ429" i="27"/>
  <c r="DS428" i="27"/>
  <c r="DR428" i="27"/>
  <c r="DQ428" i="27"/>
  <c r="DS427" i="27"/>
  <c r="DR427" i="27"/>
  <c r="DQ427" i="27"/>
  <c r="DS426" i="27"/>
  <c r="DR426" i="27"/>
  <c r="DQ426" i="27"/>
  <c r="DS425" i="27"/>
  <c r="DR425" i="27"/>
  <c r="DQ425" i="27"/>
  <c r="DS424" i="27"/>
  <c r="DR424" i="27"/>
  <c r="DQ424" i="27"/>
  <c r="DS423" i="27"/>
  <c r="DR423" i="27"/>
  <c r="DQ423" i="27"/>
  <c r="DS422" i="27"/>
  <c r="DR422" i="27"/>
  <c r="DQ422" i="27"/>
  <c r="DS421" i="27"/>
  <c r="DR421" i="27"/>
  <c r="DQ421" i="27"/>
  <c r="DS420" i="27"/>
  <c r="DR420" i="27"/>
  <c r="DQ420" i="27"/>
  <c r="DS419" i="27"/>
  <c r="DR419" i="27"/>
  <c r="DQ419" i="27"/>
  <c r="DS418" i="27"/>
  <c r="DR418" i="27"/>
  <c r="DQ418" i="27"/>
  <c r="DS417" i="27"/>
  <c r="DR417" i="27"/>
  <c r="DQ417" i="27"/>
  <c r="DS416" i="27"/>
  <c r="DR416" i="27"/>
  <c r="DQ416" i="27"/>
  <c r="DS415" i="27"/>
  <c r="DR415" i="27"/>
  <c r="DQ415" i="27"/>
  <c r="DS414" i="27"/>
  <c r="DR414" i="27"/>
  <c r="DQ414" i="27"/>
  <c r="DS413" i="27"/>
  <c r="DR413" i="27"/>
  <c r="DQ413" i="27"/>
  <c r="DS412" i="27"/>
  <c r="DR412" i="27"/>
  <c r="DQ412" i="27"/>
  <c r="DS411" i="27"/>
  <c r="DR411" i="27"/>
  <c r="DQ411" i="27"/>
  <c r="DS410" i="27"/>
  <c r="DR410" i="27"/>
  <c r="DQ410" i="27"/>
  <c r="DS409" i="27"/>
  <c r="DR409" i="27"/>
  <c r="DQ409" i="27"/>
  <c r="DS408" i="27"/>
  <c r="DR408" i="27"/>
  <c r="DQ408" i="27"/>
  <c r="DS407" i="27"/>
  <c r="DR407" i="27"/>
  <c r="DQ407" i="27"/>
  <c r="DS406" i="27"/>
  <c r="DR406" i="27"/>
  <c r="DQ406" i="27"/>
  <c r="DS405" i="27"/>
  <c r="DR405" i="27"/>
  <c r="DQ405" i="27"/>
  <c r="DS404" i="27"/>
  <c r="DR404" i="27"/>
  <c r="DQ404" i="27"/>
  <c r="DS403" i="27"/>
  <c r="DR403" i="27"/>
  <c r="DQ403" i="27"/>
  <c r="DS402" i="27"/>
  <c r="DR402" i="27"/>
  <c r="DQ402" i="27"/>
  <c r="DS401" i="27"/>
  <c r="DR401" i="27"/>
  <c r="DQ401" i="27"/>
  <c r="DS400" i="27"/>
  <c r="DR400" i="27"/>
  <c r="DQ400" i="27"/>
  <c r="DS399" i="27"/>
  <c r="DR399" i="27"/>
  <c r="DQ399" i="27"/>
  <c r="DS398" i="27"/>
  <c r="DR398" i="27"/>
  <c r="DQ398" i="27"/>
  <c r="DS397" i="27"/>
  <c r="DR397" i="27"/>
  <c r="DQ397" i="27"/>
  <c r="DS396" i="27"/>
  <c r="DR396" i="27"/>
  <c r="DQ396" i="27"/>
  <c r="DS395" i="27"/>
  <c r="DR395" i="27"/>
  <c r="DQ395" i="27"/>
  <c r="DS394" i="27"/>
  <c r="DR394" i="27"/>
  <c r="DQ394" i="27"/>
  <c r="DS393" i="27"/>
  <c r="DR393" i="27"/>
  <c r="DQ393" i="27"/>
  <c r="DS392" i="27"/>
  <c r="DR392" i="27"/>
  <c r="DQ392" i="27"/>
  <c r="DS391" i="27"/>
  <c r="DR391" i="27"/>
  <c r="DQ391" i="27"/>
  <c r="DS390" i="27"/>
  <c r="DR390" i="27"/>
  <c r="DQ390" i="27"/>
  <c r="DS389" i="27"/>
  <c r="DR389" i="27"/>
  <c r="DQ389" i="27"/>
  <c r="DS388" i="27"/>
  <c r="DR388" i="27"/>
  <c r="DQ388" i="27"/>
  <c r="DS387" i="27"/>
  <c r="DR387" i="27"/>
  <c r="DQ387" i="27"/>
  <c r="DS386" i="27"/>
  <c r="DR386" i="27"/>
  <c r="DQ386" i="27"/>
  <c r="DS385" i="27"/>
  <c r="DR385" i="27"/>
  <c r="DQ385" i="27"/>
  <c r="DS384" i="27"/>
  <c r="DR384" i="27"/>
  <c r="DQ384" i="27"/>
  <c r="DS383" i="27"/>
  <c r="DR383" i="27"/>
  <c r="DQ383" i="27"/>
  <c r="DS382" i="27"/>
  <c r="DR382" i="27"/>
  <c r="DQ382" i="27"/>
  <c r="DS381" i="27"/>
  <c r="DR381" i="27"/>
  <c r="DQ381" i="27"/>
  <c r="DS380" i="27"/>
  <c r="DR380" i="27"/>
  <c r="DQ380" i="27"/>
  <c r="DS379" i="27"/>
  <c r="DR379" i="27"/>
  <c r="DQ379" i="27"/>
  <c r="DS378" i="27"/>
  <c r="DR378" i="27"/>
  <c r="DQ378" i="27"/>
  <c r="DS377" i="27"/>
  <c r="DR377" i="27"/>
  <c r="DQ377" i="27"/>
  <c r="DS376" i="27"/>
  <c r="DR376" i="27"/>
  <c r="DQ376" i="27"/>
  <c r="DS375" i="27"/>
  <c r="DR375" i="27"/>
  <c r="DQ375" i="27"/>
  <c r="DS374" i="27"/>
  <c r="DR374" i="27"/>
  <c r="DQ374" i="27"/>
  <c r="DS373" i="27"/>
  <c r="DR373" i="27"/>
  <c r="DQ373" i="27"/>
  <c r="DS372" i="27"/>
  <c r="DR372" i="27"/>
  <c r="DQ372" i="27"/>
  <c r="DS371" i="27"/>
  <c r="DR371" i="27"/>
  <c r="DQ371" i="27"/>
  <c r="DS370" i="27"/>
  <c r="DR370" i="27"/>
  <c r="DQ370" i="27"/>
  <c r="DS369" i="27"/>
  <c r="DR369" i="27"/>
  <c r="DQ369" i="27"/>
  <c r="DS368" i="27"/>
  <c r="DR368" i="27"/>
  <c r="DQ368" i="27"/>
  <c r="DS367" i="27"/>
  <c r="DR367" i="27"/>
  <c r="DQ367" i="27"/>
  <c r="DS366" i="27"/>
  <c r="DR366" i="27"/>
  <c r="DQ366" i="27"/>
  <c r="DS365" i="27"/>
  <c r="DR365" i="27"/>
  <c r="DQ365" i="27"/>
  <c r="DS364" i="27"/>
  <c r="DR364" i="27"/>
  <c r="DQ364" i="27"/>
  <c r="DS363" i="27"/>
  <c r="DR363" i="27"/>
  <c r="DQ363" i="27"/>
  <c r="DS362" i="27"/>
  <c r="DR362" i="27"/>
  <c r="DQ362" i="27"/>
  <c r="DS361" i="27"/>
  <c r="DR361" i="27"/>
  <c r="DQ361" i="27"/>
  <c r="DS360" i="27"/>
  <c r="DR360" i="27"/>
  <c r="DQ360" i="27"/>
  <c r="DS359" i="27"/>
  <c r="DR359" i="27"/>
  <c r="DQ359" i="27"/>
  <c r="DS358" i="27"/>
  <c r="DR358" i="27"/>
  <c r="DQ358" i="27"/>
  <c r="DS357" i="27"/>
  <c r="DR357" i="27"/>
  <c r="DQ357" i="27"/>
  <c r="DS356" i="27"/>
  <c r="DR356" i="27"/>
  <c r="DQ356" i="27"/>
  <c r="DS355" i="27"/>
  <c r="DR355" i="27"/>
  <c r="DQ355" i="27"/>
  <c r="DS354" i="27"/>
  <c r="DR354" i="27"/>
  <c r="DQ354" i="27"/>
  <c r="DS353" i="27"/>
  <c r="DR353" i="27"/>
  <c r="DQ353" i="27"/>
  <c r="DS352" i="27"/>
  <c r="DR352" i="27"/>
  <c r="DQ352" i="27"/>
  <c r="DS351" i="27"/>
  <c r="DR351" i="27"/>
  <c r="DQ351" i="27"/>
  <c r="DS350" i="27"/>
  <c r="DR350" i="27"/>
  <c r="DQ350" i="27"/>
  <c r="DS349" i="27"/>
  <c r="DR349" i="27"/>
  <c r="DQ349" i="27"/>
  <c r="DS348" i="27"/>
  <c r="DR348" i="27"/>
  <c r="DQ348" i="27"/>
  <c r="DS347" i="27"/>
  <c r="DR347" i="27"/>
  <c r="DQ347" i="27"/>
  <c r="DS346" i="27"/>
  <c r="DR346" i="27"/>
  <c r="DQ346" i="27"/>
  <c r="DS345" i="27"/>
  <c r="DR345" i="27"/>
  <c r="DQ345" i="27"/>
  <c r="DS344" i="27"/>
  <c r="DR344" i="27"/>
  <c r="DQ344" i="27"/>
  <c r="DS343" i="27"/>
  <c r="DR343" i="27"/>
  <c r="DQ343" i="27"/>
  <c r="DS342" i="27"/>
  <c r="DR342" i="27"/>
  <c r="DQ342" i="27"/>
  <c r="DS341" i="27"/>
  <c r="DR341" i="27"/>
  <c r="DQ341" i="27"/>
  <c r="DS340" i="27"/>
  <c r="DR340" i="27"/>
  <c r="DQ340" i="27"/>
  <c r="DS339" i="27"/>
  <c r="DR339" i="27"/>
  <c r="DQ339" i="27"/>
  <c r="DS338" i="27"/>
  <c r="DR338" i="27"/>
  <c r="DQ338" i="27"/>
  <c r="DS337" i="27"/>
  <c r="DR337" i="27"/>
  <c r="DQ337" i="27"/>
  <c r="DS336" i="27"/>
  <c r="DR336" i="27"/>
  <c r="DQ336" i="27"/>
  <c r="DS335" i="27"/>
  <c r="DR335" i="27"/>
  <c r="DQ335" i="27"/>
  <c r="DS334" i="27"/>
  <c r="DR334" i="27"/>
  <c r="DQ334" i="27"/>
  <c r="DS333" i="27"/>
  <c r="DR333" i="27"/>
  <c r="DQ333" i="27"/>
  <c r="DS332" i="27"/>
  <c r="DR332" i="27"/>
  <c r="DQ332" i="27"/>
  <c r="DS331" i="27"/>
  <c r="DR331" i="27"/>
  <c r="DQ331" i="27"/>
  <c r="DS330" i="27"/>
  <c r="DR330" i="27"/>
  <c r="DQ330" i="27"/>
  <c r="DS329" i="27"/>
  <c r="DR329" i="27"/>
  <c r="DQ329" i="27"/>
  <c r="DS328" i="27"/>
  <c r="DR328" i="27"/>
  <c r="DQ328" i="27"/>
  <c r="DS327" i="27"/>
  <c r="DR327" i="27"/>
  <c r="DQ327" i="27"/>
  <c r="DS326" i="27"/>
  <c r="DR326" i="27"/>
  <c r="DQ326" i="27"/>
  <c r="DS325" i="27"/>
  <c r="DR325" i="27"/>
  <c r="DQ325" i="27"/>
  <c r="DS324" i="27"/>
  <c r="DR324" i="27"/>
  <c r="DQ324" i="27"/>
  <c r="DS323" i="27"/>
  <c r="DR323" i="27"/>
  <c r="DQ323" i="27"/>
  <c r="DS322" i="27"/>
  <c r="DR322" i="27"/>
  <c r="DQ322" i="27"/>
  <c r="DS321" i="27"/>
  <c r="DR321" i="27"/>
  <c r="DQ321" i="27"/>
  <c r="DS320" i="27"/>
  <c r="DR320" i="27"/>
  <c r="DQ320" i="27"/>
  <c r="DS319" i="27"/>
  <c r="DR319" i="27"/>
  <c r="DQ319" i="27"/>
  <c r="DS318" i="27"/>
  <c r="DR318" i="27"/>
  <c r="DQ318" i="27"/>
  <c r="DS317" i="27"/>
  <c r="DR317" i="27"/>
  <c r="DQ317" i="27"/>
  <c r="DS316" i="27"/>
  <c r="DR316" i="27"/>
  <c r="DQ316" i="27"/>
  <c r="DS315" i="27"/>
  <c r="DR315" i="27"/>
  <c r="DQ315" i="27"/>
  <c r="DS314" i="27"/>
  <c r="DR314" i="27"/>
  <c r="DQ314" i="27"/>
  <c r="DS313" i="27"/>
  <c r="DR313" i="27"/>
  <c r="DQ313" i="27"/>
  <c r="DS312" i="27"/>
  <c r="DR312" i="27"/>
  <c r="DQ312" i="27"/>
  <c r="DS311" i="27"/>
  <c r="DR311" i="27"/>
  <c r="DQ311" i="27"/>
  <c r="DS310" i="27"/>
  <c r="DR310" i="27"/>
  <c r="DQ310" i="27"/>
  <c r="DS309" i="27"/>
  <c r="DR309" i="27"/>
  <c r="DQ309" i="27"/>
  <c r="DS308" i="27"/>
  <c r="DR308" i="27"/>
  <c r="DQ308" i="27"/>
  <c r="DS307" i="27"/>
  <c r="DR307" i="27"/>
  <c r="DQ307" i="27"/>
  <c r="DS306" i="27"/>
  <c r="DR306" i="27"/>
  <c r="DQ306" i="27"/>
  <c r="DS305" i="27"/>
  <c r="DR305" i="27"/>
  <c r="DQ305" i="27"/>
  <c r="DS304" i="27"/>
  <c r="DR304" i="27"/>
  <c r="DQ304" i="27"/>
  <c r="DS303" i="27"/>
  <c r="DR303" i="27"/>
  <c r="DQ303" i="27"/>
  <c r="DS302" i="27"/>
  <c r="DR302" i="27"/>
  <c r="DQ302" i="27"/>
  <c r="DS301" i="27"/>
  <c r="DR301" i="27"/>
  <c r="DQ301" i="27"/>
  <c r="DS300" i="27"/>
  <c r="DR300" i="27"/>
  <c r="DQ300" i="27"/>
  <c r="DS299" i="27"/>
  <c r="DR299" i="27"/>
  <c r="DQ299" i="27"/>
  <c r="DS298" i="27"/>
  <c r="DR298" i="27"/>
  <c r="DQ298" i="27"/>
  <c r="DS297" i="27"/>
  <c r="DR297" i="27"/>
  <c r="DQ297" i="27"/>
  <c r="DS296" i="27"/>
  <c r="DR296" i="27"/>
  <c r="DQ296" i="27"/>
  <c r="DS295" i="27"/>
  <c r="DR295" i="27"/>
  <c r="DQ295" i="27"/>
  <c r="DS294" i="27"/>
  <c r="DR294" i="27"/>
  <c r="DQ294" i="27"/>
  <c r="DS293" i="27"/>
  <c r="DR293" i="27"/>
  <c r="DQ293" i="27"/>
  <c r="DS292" i="27"/>
  <c r="DR292" i="27"/>
  <c r="DQ292" i="27"/>
  <c r="DS291" i="27"/>
  <c r="DR291" i="27"/>
  <c r="DQ291" i="27"/>
  <c r="DS290" i="27"/>
  <c r="DR290" i="27"/>
  <c r="DQ290" i="27"/>
  <c r="DS289" i="27"/>
  <c r="DR289" i="27"/>
  <c r="DQ289" i="27"/>
  <c r="DS288" i="27"/>
  <c r="DR288" i="27"/>
  <c r="DQ288" i="27"/>
  <c r="DS287" i="27"/>
  <c r="DR287" i="27"/>
  <c r="DQ287" i="27"/>
  <c r="DS286" i="27"/>
  <c r="DR286" i="27"/>
  <c r="DQ286" i="27"/>
  <c r="DS285" i="27"/>
  <c r="DR285" i="27"/>
  <c r="DQ285" i="27"/>
  <c r="DS284" i="27"/>
  <c r="DR284" i="27"/>
  <c r="DQ284" i="27"/>
  <c r="DS283" i="27"/>
  <c r="DR283" i="27"/>
  <c r="DQ283" i="27"/>
  <c r="DS282" i="27"/>
  <c r="DR282" i="27"/>
  <c r="DQ282" i="27"/>
  <c r="DS281" i="27"/>
  <c r="DR281" i="27"/>
  <c r="DQ281" i="27"/>
  <c r="DS280" i="27"/>
  <c r="DR280" i="27"/>
  <c r="DQ280" i="27"/>
  <c r="DS279" i="27"/>
  <c r="DR279" i="27"/>
  <c r="DQ279" i="27"/>
  <c r="DS278" i="27"/>
  <c r="DR278" i="27"/>
  <c r="DQ278" i="27"/>
  <c r="DS277" i="27"/>
  <c r="DR277" i="27"/>
  <c r="DQ277" i="27"/>
  <c r="DS276" i="27"/>
  <c r="DR276" i="27"/>
  <c r="DQ276" i="27"/>
  <c r="DS275" i="27"/>
  <c r="DR275" i="27"/>
  <c r="DQ275" i="27"/>
  <c r="DS274" i="27"/>
  <c r="DR274" i="27"/>
  <c r="DQ274" i="27"/>
  <c r="DS273" i="27"/>
  <c r="DR273" i="27"/>
  <c r="DQ273" i="27"/>
  <c r="DS272" i="27"/>
  <c r="DR272" i="27"/>
  <c r="DQ272" i="27"/>
  <c r="DS271" i="27"/>
  <c r="DR271" i="27"/>
  <c r="DQ271" i="27"/>
  <c r="DS270" i="27"/>
  <c r="DR270" i="27"/>
  <c r="DQ270" i="27"/>
  <c r="DS269" i="27"/>
  <c r="DR269" i="27"/>
  <c r="DQ269" i="27"/>
  <c r="DS268" i="27"/>
  <c r="DR268" i="27"/>
  <c r="DQ268" i="27"/>
  <c r="DS267" i="27"/>
  <c r="DR267" i="27"/>
  <c r="DQ267" i="27"/>
  <c r="DS266" i="27"/>
  <c r="DR266" i="27"/>
  <c r="DQ266" i="27"/>
  <c r="DS265" i="27"/>
  <c r="DR265" i="27"/>
  <c r="DQ265" i="27"/>
  <c r="DS264" i="27"/>
  <c r="DR264" i="27"/>
  <c r="DQ264" i="27"/>
  <c r="DS263" i="27"/>
  <c r="DR263" i="27"/>
  <c r="DQ263" i="27"/>
  <c r="DS262" i="27"/>
  <c r="DR262" i="27"/>
  <c r="DQ262" i="27"/>
  <c r="DS261" i="27"/>
  <c r="DR261" i="27"/>
  <c r="DQ261" i="27"/>
  <c r="DS260" i="27"/>
  <c r="DR260" i="27"/>
  <c r="DQ260" i="27"/>
  <c r="DS259" i="27"/>
  <c r="DR259" i="27"/>
  <c r="DQ259" i="27"/>
  <c r="DS258" i="27"/>
  <c r="DR258" i="27"/>
  <c r="DQ258" i="27"/>
  <c r="DS257" i="27"/>
  <c r="DR257" i="27"/>
  <c r="DQ257" i="27"/>
  <c r="DS256" i="27"/>
  <c r="DR256" i="27"/>
  <c r="DQ256" i="27"/>
  <c r="DS255" i="27"/>
  <c r="DR255" i="27"/>
  <c r="DQ255" i="27"/>
  <c r="DS254" i="27"/>
  <c r="DR254" i="27"/>
  <c r="DQ254" i="27"/>
  <c r="DS253" i="27"/>
  <c r="DR253" i="27"/>
  <c r="DQ253" i="27"/>
  <c r="DS252" i="27"/>
  <c r="DR252" i="27"/>
  <c r="DQ252" i="27"/>
  <c r="DS251" i="27"/>
  <c r="DR251" i="27"/>
  <c r="DQ251" i="27"/>
  <c r="DS250" i="27"/>
  <c r="DR250" i="27"/>
  <c r="DQ250" i="27"/>
  <c r="DS249" i="27"/>
  <c r="DR249" i="27"/>
  <c r="DQ249" i="27"/>
  <c r="DS248" i="27"/>
  <c r="DR248" i="27"/>
  <c r="DQ248" i="27"/>
  <c r="DS247" i="27"/>
  <c r="DR247" i="27"/>
  <c r="DQ247" i="27"/>
  <c r="DS246" i="27"/>
  <c r="DR246" i="27"/>
  <c r="DQ246" i="27"/>
  <c r="DS245" i="27"/>
  <c r="DR245" i="27"/>
  <c r="DQ245" i="27"/>
  <c r="DS244" i="27"/>
  <c r="DR244" i="27"/>
  <c r="DQ244" i="27"/>
  <c r="DS243" i="27"/>
  <c r="DR243" i="27"/>
  <c r="DQ243" i="27"/>
  <c r="DS242" i="27"/>
  <c r="DR242" i="27"/>
  <c r="DQ242" i="27"/>
  <c r="DS241" i="27"/>
  <c r="DR241" i="27"/>
  <c r="DQ241" i="27"/>
  <c r="DS240" i="27"/>
  <c r="DR240" i="27"/>
  <c r="DQ240" i="27"/>
  <c r="DS239" i="27"/>
  <c r="DR239" i="27"/>
  <c r="DQ239" i="27"/>
  <c r="DS238" i="27"/>
  <c r="DR238" i="27"/>
  <c r="DQ238" i="27"/>
  <c r="DS237" i="27"/>
  <c r="DR237" i="27"/>
  <c r="DQ237" i="27"/>
  <c r="DS236" i="27"/>
  <c r="DR236" i="27"/>
  <c r="DQ236" i="27"/>
  <c r="DS235" i="27"/>
  <c r="DR235" i="27"/>
  <c r="DQ235" i="27"/>
  <c r="DS234" i="27"/>
  <c r="DR234" i="27"/>
  <c r="DQ234" i="27"/>
  <c r="DS233" i="27"/>
  <c r="DR233" i="27"/>
  <c r="DQ233" i="27"/>
  <c r="DS232" i="27"/>
  <c r="DR232" i="27"/>
  <c r="DQ232" i="27"/>
  <c r="DS231" i="27"/>
  <c r="DR231" i="27"/>
  <c r="DQ231" i="27"/>
  <c r="DS230" i="27"/>
  <c r="DR230" i="27"/>
  <c r="DQ230" i="27"/>
  <c r="DS229" i="27"/>
  <c r="DR229" i="27"/>
  <c r="DQ229" i="27"/>
  <c r="DS228" i="27"/>
  <c r="DR228" i="27"/>
  <c r="DQ228" i="27"/>
  <c r="DS227" i="27"/>
  <c r="DR227" i="27"/>
  <c r="DQ227" i="27"/>
  <c r="DS226" i="27"/>
  <c r="DR226" i="27"/>
  <c r="DQ226" i="27"/>
  <c r="DS225" i="27"/>
  <c r="DR225" i="27"/>
  <c r="DQ225" i="27"/>
  <c r="DS224" i="27"/>
  <c r="DR224" i="27"/>
  <c r="DQ224" i="27"/>
  <c r="DS223" i="27"/>
  <c r="DR223" i="27"/>
  <c r="DQ223" i="27"/>
  <c r="DS222" i="27"/>
  <c r="DR222" i="27"/>
  <c r="DQ222" i="27"/>
  <c r="DS221" i="27"/>
  <c r="DR221" i="27"/>
  <c r="DQ221" i="27"/>
  <c r="DS220" i="27"/>
  <c r="DR220" i="27"/>
  <c r="DQ220" i="27"/>
  <c r="DS219" i="27"/>
  <c r="DR219" i="27"/>
  <c r="DQ219" i="27"/>
  <c r="DS218" i="27"/>
  <c r="DR218" i="27"/>
  <c r="DQ218" i="27"/>
  <c r="DS217" i="27"/>
  <c r="DR217" i="27"/>
  <c r="DQ217" i="27"/>
  <c r="DS216" i="27"/>
  <c r="DR216" i="27"/>
  <c r="DQ216" i="27"/>
  <c r="DS215" i="27"/>
  <c r="DR215" i="27"/>
  <c r="DQ215" i="27"/>
  <c r="DS214" i="27"/>
  <c r="DR214" i="27"/>
  <c r="DQ214" i="27"/>
  <c r="DS213" i="27"/>
  <c r="DR213" i="27"/>
  <c r="DQ213" i="27"/>
  <c r="DS212" i="27"/>
  <c r="DR212" i="27"/>
  <c r="DQ212" i="27"/>
  <c r="DS211" i="27"/>
  <c r="DR211" i="27"/>
  <c r="DQ211" i="27"/>
  <c r="DS210" i="27"/>
  <c r="DR210" i="27"/>
  <c r="DQ210" i="27"/>
  <c r="DS209" i="27"/>
  <c r="DR209" i="27"/>
  <c r="DQ209" i="27"/>
  <c r="DS208" i="27"/>
  <c r="DR208" i="27"/>
  <c r="DQ208" i="27"/>
  <c r="DS207" i="27"/>
  <c r="DR207" i="27"/>
  <c r="DQ207" i="27"/>
  <c r="DS206" i="27"/>
  <c r="DR206" i="27"/>
  <c r="DQ206" i="27"/>
  <c r="DS205" i="27"/>
  <c r="DR205" i="27"/>
  <c r="DQ205" i="27"/>
  <c r="DS204" i="27"/>
  <c r="DR204" i="27"/>
  <c r="DQ204" i="27"/>
  <c r="DS203" i="27"/>
  <c r="DR203" i="27"/>
  <c r="DQ203" i="27"/>
  <c r="DS202" i="27"/>
  <c r="DR202" i="27"/>
  <c r="DQ202" i="27"/>
  <c r="DS201" i="27"/>
  <c r="DR201" i="27"/>
  <c r="DQ201" i="27"/>
  <c r="DS200" i="27"/>
  <c r="DR200" i="27"/>
  <c r="DQ200" i="27"/>
  <c r="DS199" i="27"/>
  <c r="DR199" i="27"/>
  <c r="DQ199" i="27"/>
  <c r="DS198" i="27"/>
  <c r="DR198" i="27"/>
  <c r="DQ198" i="27"/>
  <c r="DS197" i="27"/>
  <c r="DR197" i="27"/>
  <c r="DQ197" i="27"/>
  <c r="DS196" i="27"/>
  <c r="DR196" i="27"/>
  <c r="DQ196" i="27"/>
  <c r="DS195" i="27"/>
  <c r="DR195" i="27"/>
  <c r="DQ195" i="27"/>
  <c r="DS194" i="27"/>
  <c r="DR194" i="27"/>
  <c r="DQ194" i="27"/>
  <c r="DS193" i="27"/>
  <c r="DR193" i="27"/>
  <c r="DQ193" i="27"/>
  <c r="DS192" i="27"/>
  <c r="DR192" i="27"/>
  <c r="DQ192" i="27"/>
  <c r="DS191" i="27"/>
  <c r="DR191" i="27"/>
  <c r="DQ191" i="27"/>
  <c r="DS190" i="27"/>
  <c r="DR190" i="27"/>
  <c r="DQ190" i="27"/>
  <c r="DS189" i="27"/>
  <c r="DR189" i="27"/>
  <c r="DQ189" i="27"/>
  <c r="DS188" i="27"/>
  <c r="DR188" i="27"/>
  <c r="DQ188" i="27"/>
  <c r="DS187" i="27"/>
  <c r="DR187" i="27"/>
  <c r="DQ187" i="27"/>
  <c r="DS186" i="27"/>
  <c r="DR186" i="27"/>
  <c r="DQ186" i="27"/>
  <c r="DS185" i="27"/>
  <c r="DR185" i="27"/>
  <c r="DQ185" i="27"/>
  <c r="DS184" i="27"/>
  <c r="DR184" i="27"/>
  <c r="DQ184" i="27"/>
  <c r="DS183" i="27"/>
  <c r="DR183" i="27"/>
  <c r="DQ183" i="27"/>
  <c r="DS182" i="27"/>
  <c r="DR182" i="27"/>
  <c r="DQ182" i="27"/>
  <c r="DS181" i="27"/>
  <c r="DR181" i="27"/>
  <c r="DQ181" i="27"/>
  <c r="DS180" i="27"/>
  <c r="DR180" i="27"/>
  <c r="DQ180" i="27"/>
  <c r="DS179" i="27"/>
  <c r="DR179" i="27"/>
  <c r="DQ179" i="27"/>
  <c r="DS178" i="27"/>
  <c r="DR178" i="27"/>
  <c r="DQ178" i="27"/>
  <c r="DS177" i="27"/>
  <c r="DR177" i="27"/>
  <c r="DQ177" i="27"/>
  <c r="DS176" i="27"/>
  <c r="DR176" i="27"/>
  <c r="DQ176" i="27"/>
  <c r="DS175" i="27"/>
  <c r="DR175" i="27"/>
  <c r="DQ175" i="27"/>
  <c r="DS174" i="27"/>
  <c r="DR174" i="27"/>
  <c r="DQ174" i="27"/>
  <c r="DS173" i="27"/>
  <c r="DR173" i="27"/>
  <c r="DQ173" i="27"/>
  <c r="DS172" i="27"/>
  <c r="DR172" i="27"/>
  <c r="DQ172" i="27"/>
  <c r="DS171" i="27"/>
  <c r="DR171" i="27"/>
  <c r="DQ171" i="27"/>
  <c r="DS170" i="27"/>
  <c r="DR170" i="27"/>
  <c r="DQ170" i="27"/>
  <c r="DS169" i="27"/>
  <c r="DR169" i="27"/>
  <c r="DQ169" i="27"/>
  <c r="DS168" i="27"/>
  <c r="DR168" i="27"/>
  <c r="DQ168" i="27"/>
  <c r="DS167" i="27"/>
  <c r="DR167" i="27"/>
  <c r="DQ167" i="27"/>
  <c r="DS166" i="27"/>
  <c r="DR166" i="27"/>
  <c r="DQ166" i="27"/>
  <c r="DS165" i="27"/>
  <c r="DR165" i="27"/>
  <c r="DQ165" i="27"/>
  <c r="DS164" i="27"/>
  <c r="DR164" i="27"/>
  <c r="DQ164" i="27"/>
  <c r="DS163" i="27"/>
  <c r="DR163" i="27"/>
  <c r="DQ163" i="27"/>
  <c r="DS162" i="27"/>
  <c r="DR162" i="27"/>
  <c r="DQ162" i="27"/>
  <c r="DS161" i="27"/>
  <c r="DR161" i="27"/>
  <c r="DQ161" i="27"/>
  <c r="DS160" i="27"/>
  <c r="DR160" i="27"/>
  <c r="DQ160" i="27"/>
  <c r="DS159" i="27"/>
  <c r="DR159" i="27"/>
  <c r="DQ159" i="27"/>
  <c r="DS158" i="27"/>
  <c r="DR158" i="27"/>
  <c r="DQ158" i="27"/>
  <c r="DS157" i="27"/>
  <c r="DR157" i="27"/>
  <c r="DQ157" i="27"/>
  <c r="DS156" i="27"/>
  <c r="DR156" i="27"/>
  <c r="DQ156" i="27"/>
  <c r="DS155" i="27"/>
  <c r="DR155" i="27"/>
  <c r="DQ155" i="27"/>
  <c r="DS154" i="27"/>
  <c r="DR154" i="27"/>
  <c r="DQ154" i="27"/>
  <c r="DS153" i="27"/>
  <c r="DR153" i="27"/>
  <c r="DQ153" i="27"/>
  <c r="DS152" i="27"/>
  <c r="DR152" i="27"/>
  <c r="DQ152" i="27"/>
  <c r="DS151" i="27"/>
  <c r="DR151" i="27"/>
  <c r="DQ151" i="27"/>
  <c r="DS150" i="27"/>
  <c r="DR150" i="27"/>
  <c r="DQ150" i="27"/>
  <c r="DS149" i="27"/>
  <c r="DR149" i="27"/>
  <c r="DQ149" i="27"/>
  <c r="DS148" i="27"/>
  <c r="DR148" i="27"/>
  <c r="DQ148" i="27"/>
  <c r="DS147" i="27"/>
  <c r="DR147" i="27"/>
  <c r="DQ147" i="27"/>
  <c r="DS146" i="27"/>
  <c r="DR146" i="27"/>
  <c r="DQ146" i="27"/>
  <c r="DS145" i="27"/>
  <c r="DR145" i="27"/>
  <c r="DQ145" i="27"/>
  <c r="DS144" i="27"/>
  <c r="DR144" i="27"/>
  <c r="DQ144" i="27"/>
  <c r="DS143" i="27"/>
  <c r="DR143" i="27"/>
  <c r="DQ143" i="27"/>
  <c r="DS142" i="27"/>
  <c r="DR142" i="27"/>
  <c r="DQ142" i="27"/>
  <c r="DS141" i="27"/>
  <c r="DR141" i="27"/>
  <c r="DQ141" i="27"/>
  <c r="DS140" i="27"/>
  <c r="DR140" i="27"/>
  <c r="DQ140" i="27"/>
  <c r="DS139" i="27"/>
  <c r="DR139" i="27"/>
  <c r="DQ139" i="27"/>
  <c r="DS138" i="27"/>
  <c r="DR138" i="27"/>
  <c r="DQ138" i="27"/>
  <c r="DS137" i="27"/>
  <c r="DR137" i="27"/>
  <c r="DQ137" i="27"/>
  <c r="DS136" i="27"/>
  <c r="DR136" i="27"/>
  <c r="DQ136" i="27"/>
  <c r="DS135" i="27"/>
  <c r="DR135" i="27"/>
  <c r="DQ135" i="27"/>
  <c r="DS134" i="27"/>
  <c r="DR134" i="27"/>
  <c r="DQ134" i="27"/>
  <c r="DS133" i="27"/>
  <c r="DR133" i="27"/>
  <c r="DQ133" i="27"/>
  <c r="DS132" i="27"/>
  <c r="DR132" i="27"/>
  <c r="DQ132" i="27"/>
  <c r="DS131" i="27"/>
  <c r="DR131" i="27"/>
  <c r="DQ131" i="27"/>
  <c r="DS130" i="27"/>
  <c r="DR130" i="27"/>
  <c r="DQ130" i="27"/>
  <c r="DS129" i="27"/>
  <c r="DR129" i="27"/>
  <c r="DQ129" i="27"/>
  <c r="DS128" i="27"/>
  <c r="DR128" i="27"/>
  <c r="DQ128" i="27"/>
  <c r="DS127" i="27"/>
  <c r="DR127" i="27"/>
  <c r="DQ127" i="27"/>
  <c r="DS126" i="27"/>
  <c r="DR126" i="27"/>
  <c r="DQ126" i="27"/>
  <c r="DS125" i="27"/>
  <c r="DR125" i="27"/>
  <c r="DQ125" i="27"/>
  <c r="DS124" i="27"/>
  <c r="DR124" i="27"/>
  <c r="DQ124" i="27"/>
  <c r="DS123" i="27"/>
  <c r="DR123" i="27"/>
  <c r="DQ123" i="27"/>
  <c r="DS122" i="27"/>
  <c r="DR122" i="27"/>
  <c r="DQ122" i="27"/>
  <c r="DS121" i="27"/>
  <c r="DR121" i="27"/>
  <c r="DQ121" i="27"/>
  <c r="DS120" i="27"/>
  <c r="DR120" i="27"/>
  <c r="DQ120" i="27"/>
  <c r="DS119" i="27"/>
  <c r="DR119" i="27"/>
  <c r="DQ119" i="27"/>
  <c r="DS118" i="27"/>
  <c r="DR118" i="27"/>
  <c r="DQ118" i="27"/>
  <c r="DS117" i="27"/>
  <c r="DR117" i="27"/>
  <c r="DQ117" i="27"/>
  <c r="DS116" i="27"/>
  <c r="DR116" i="27"/>
  <c r="DQ116" i="27"/>
  <c r="DS115" i="27"/>
  <c r="DR115" i="27"/>
  <c r="DQ115" i="27"/>
  <c r="DS114" i="27"/>
  <c r="DR114" i="27"/>
  <c r="DQ114" i="27"/>
  <c r="DS113" i="27"/>
  <c r="DR113" i="27"/>
  <c r="DQ113" i="27"/>
  <c r="DS112" i="27"/>
  <c r="DR112" i="27"/>
  <c r="DQ112" i="27"/>
  <c r="DS111" i="27"/>
  <c r="DR111" i="27"/>
  <c r="DQ111" i="27"/>
  <c r="DS110" i="27"/>
  <c r="DR110" i="27"/>
  <c r="DQ110" i="27"/>
  <c r="DS109" i="27"/>
  <c r="DR109" i="27"/>
  <c r="DQ109" i="27"/>
  <c r="DS108" i="27"/>
  <c r="DR108" i="27"/>
  <c r="DQ108" i="27"/>
  <c r="DS107" i="27"/>
  <c r="DR107" i="27"/>
  <c r="DQ107" i="27"/>
  <c r="DS106" i="27"/>
  <c r="DR106" i="27"/>
  <c r="DQ106" i="27"/>
  <c r="DS105" i="27"/>
  <c r="DR105" i="27"/>
  <c r="DQ105" i="27"/>
  <c r="DS104" i="27"/>
  <c r="DR104" i="27"/>
  <c r="DQ104" i="27"/>
  <c r="DS103" i="27"/>
  <c r="DR103" i="27"/>
  <c r="DQ103" i="27"/>
  <c r="DS102" i="27"/>
  <c r="DR102" i="27"/>
  <c r="DQ102" i="27"/>
  <c r="DS101" i="27"/>
  <c r="DR101" i="27"/>
  <c r="DQ101" i="27"/>
  <c r="DS100" i="27"/>
  <c r="DR100" i="27"/>
  <c r="DQ100" i="27"/>
  <c r="DS99" i="27"/>
  <c r="DR99" i="27"/>
  <c r="DQ99" i="27"/>
  <c r="DS98" i="27"/>
  <c r="DR98" i="27"/>
  <c r="DQ98" i="27"/>
  <c r="DS97" i="27"/>
  <c r="DR97" i="27"/>
  <c r="DQ97" i="27"/>
  <c r="DS96" i="27"/>
  <c r="DR96" i="27"/>
  <c r="DQ96" i="27"/>
  <c r="DS95" i="27"/>
  <c r="DR95" i="27"/>
  <c r="DQ95" i="27"/>
  <c r="DS94" i="27"/>
  <c r="DR94" i="27"/>
  <c r="DQ94" i="27"/>
  <c r="DS93" i="27"/>
  <c r="DR93" i="27"/>
  <c r="DQ93" i="27"/>
  <c r="DS92" i="27"/>
  <c r="DR92" i="27"/>
  <c r="DQ92" i="27"/>
  <c r="DS91" i="27"/>
  <c r="DR91" i="27"/>
  <c r="DQ91" i="27"/>
  <c r="DS90" i="27"/>
  <c r="DR90" i="27"/>
  <c r="DQ90" i="27"/>
  <c r="DS89" i="27"/>
  <c r="DR89" i="27"/>
  <c r="DQ89" i="27"/>
  <c r="DS88" i="27"/>
  <c r="DR88" i="27"/>
  <c r="DQ88" i="27"/>
  <c r="DS87" i="27"/>
  <c r="DR87" i="27"/>
  <c r="DQ87" i="27"/>
  <c r="DS86" i="27"/>
  <c r="DR86" i="27"/>
  <c r="DQ86" i="27"/>
  <c r="DS85" i="27"/>
  <c r="DR85" i="27"/>
  <c r="DQ85" i="27"/>
  <c r="DS84" i="27"/>
  <c r="DR84" i="27"/>
  <c r="DQ84" i="27"/>
  <c r="DS83" i="27"/>
  <c r="DR83" i="27"/>
  <c r="DQ83" i="27"/>
  <c r="DS82" i="27"/>
  <c r="DR82" i="27"/>
  <c r="DQ82" i="27"/>
  <c r="DS81" i="27"/>
  <c r="DR81" i="27"/>
  <c r="DQ81" i="27"/>
  <c r="DS80" i="27"/>
  <c r="DR80" i="27"/>
  <c r="DQ80" i="27"/>
  <c r="DS79" i="27"/>
  <c r="DR79" i="27"/>
  <c r="DQ79" i="27"/>
  <c r="DS78" i="27"/>
  <c r="DR78" i="27"/>
  <c r="DQ78" i="27"/>
  <c r="DS77" i="27"/>
  <c r="DR77" i="27"/>
  <c r="DQ77" i="27"/>
  <c r="DS76" i="27"/>
  <c r="DR76" i="27"/>
  <c r="DQ76" i="27"/>
  <c r="DS75" i="27"/>
  <c r="DR75" i="27"/>
  <c r="DQ75" i="27"/>
  <c r="DS74" i="27"/>
  <c r="DR74" i="27"/>
  <c r="DQ74" i="27"/>
  <c r="DS73" i="27"/>
  <c r="DR73" i="27"/>
  <c r="DQ73" i="27"/>
  <c r="DS72" i="27"/>
  <c r="DR72" i="27"/>
  <c r="DQ72" i="27"/>
  <c r="DS71" i="27"/>
  <c r="DR71" i="27"/>
  <c r="DQ71" i="27"/>
  <c r="DS70" i="27"/>
  <c r="DR70" i="27"/>
  <c r="DQ70" i="27"/>
  <c r="DS69" i="27"/>
  <c r="DR69" i="27"/>
  <c r="DQ69" i="27"/>
  <c r="DS68" i="27"/>
  <c r="DR68" i="27"/>
  <c r="DQ68" i="27"/>
  <c r="DS67" i="27"/>
  <c r="DR67" i="27"/>
  <c r="DQ67" i="27"/>
  <c r="DS66" i="27"/>
  <c r="DR66" i="27"/>
  <c r="DQ66" i="27"/>
  <c r="DS65" i="27"/>
  <c r="DR65" i="27"/>
  <c r="DQ65" i="27"/>
  <c r="DS64" i="27"/>
  <c r="DR64" i="27"/>
  <c r="DQ64" i="27"/>
  <c r="DS63" i="27"/>
  <c r="DR63" i="27"/>
  <c r="DQ63" i="27"/>
  <c r="DS62" i="27"/>
  <c r="DR62" i="27"/>
  <c r="DQ62" i="27"/>
  <c r="DS61" i="27"/>
  <c r="DR61" i="27"/>
  <c r="DQ61" i="27"/>
  <c r="DS60" i="27"/>
  <c r="DR60" i="27"/>
  <c r="DQ60" i="27"/>
  <c r="DS59" i="27"/>
  <c r="DR59" i="27"/>
  <c r="DQ59" i="27"/>
  <c r="DS58" i="27"/>
  <c r="DR58" i="27"/>
  <c r="DQ58" i="27"/>
  <c r="DS57" i="27"/>
  <c r="DR57" i="27"/>
  <c r="DQ57" i="27"/>
  <c r="DS56" i="27"/>
  <c r="DR56" i="27"/>
  <c r="DQ56" i="27"/>
  <c r="DS55" i="27"/>
  <c r="DR55" i="27"/>
  <c r="DQ55" i="27"/>
  <c r="DS54" i="27"/>
  <c r="DR54" i="27"/>
  <c r="DQ54" i="27"/>
  <c r="DS53" i="27"/>
  <c r="DR53" i="27"/>
  <c r="DQ53" i="27"/>
  <c r="DS52" i="27"/>
  <c r="DR52" i="27"/>
  <c r="DQ52" i="27"/>
  <c r="DS51" i="27"/>
  <c r="DR51" i="27"/>
  <c r="DQ51" i="27"/>
  <c r="DS50" i="27"/>
  <c r="DR50" i="27"/>
  <c r="DQ50" i="27"/>
  <c r="DS49" i="27"/>
  <c r="DR49" i="27"/>
  <c r="DQ49" i="27"/>
  <c r="DS48" i="27"/>
  <c r="DR48" i="27"/>
  <c r="DQ48" i="27"/>
  <c r="DS47" i="27"/>
  <c r="DR47" i="27"/>
  <c r="DQ47" i="27"/>
  <c r="DS46" i="27"/>
  <c r="DR46" i="27"/>
  <c r="DQ46" i="27"/>
  <c r="DS45" i="27"/>
  <c r="DR45" i="27"/>
  <c r="DQ45" i="27"/>
  <c r="DS44" i="27"/>
  <c r="DR44" i="27"/>
  <c r="DQ44" i="27"/>
  <c r="DS43" i="27"/>
  <c r="DR43" i="27"/>
  <c r="DQ43" i="27"/>
  <c r="DS42" i="27"/>
  <c r="DR42" i="27"/>
  <c r="DQ42" i="27"/>
  <c r="DS41" i="27"/>
  <c r="DR41" i="27"/>
  <c r="DQ41" i="27"/>
  <c r="DS40" i="27"/>
  <c r="DR40" i="27"/>
  <c r="DQ40" i="27"/>
  <c r="DS39" i="27"/>
  <c r="DR39" i="27"/>
  <c r="DQ39" i="27"/>
  <c r="DS38" i="27"/>
  <c r="DR38" i="27"/>
  <c r="DQ38" i="27"/>
  <c r="DS37" i="27"/>
  <c r="DR37" i="27"/>
  <c r="DQ37" i="27"/>
  <c r="DS36" i="27"/>
  <c r="DR36" i="27"/>
  <c r="DQ36" i="27"/>
  <c r="DS35" i="27"/>
  <c r="DR35" i="27"/>
  <c r="DQ35" i="27"/>
  <c r="DS34" i="27"/>
  <c r="DR34" i="27"/>
  <c r="DQ34" i="27"/>
  <c r="DS33" i="27"/>
  <c r="DR33" i="27"/>
  <c r="DQ33" i="27"/>
  <c r="DS32" i="27"/>
  <c r="DR32" i="27"/>
  <c r="DQ32" i="27"/>
  <c r="DS31" i="27"/>
  <c r="DR31" i="27"/>
  <c r="DQ31" i="27"/>
  <c r="DS30" i="27"/>
  <c r="DR30" i="27"/>
  <c r="DQ30" i="27"/>
  <c r="DS29" i="27"/>
  <c r="DR29" i="27"/>
  <c r="DQ29" i="27"/>
  <c r="DS28" i="27"/>
  <c r="DR28" i="27"/>
  <c r="DQ28" i="27"/>
  <c r="DS27" i="27"/>
  <c r="DR27" i="27"/>
  <c r="DQ27" i="27"/>
  <c r="DS26" i="27"/>
  <c r="DR26" i="27"/>
  <c r="DQ26" i="27"/>
  <c r="DS25" i="27"/>
  <c r="DR25" i="27"/>
  <c r="DQ25" i="27"/>
  <c r="DS24" i="27"/>
  <c r="DR24" i="27"/>
  <c r="DQ24" i="27"/>
  <c r="DS23" i="27"/>
  <c r="DR23" i="27"/>
  <c r="DQ23" i="27"/>
  <c r="DS22" i="27"/>
  <c r="DR22" i="27"/>
  <c r="DQ22" i="27"/>
  <c r="DS21" i="27"/>
  <c r="DR21" i="27"/>
  <c r="DQ21" i="27"/>
  <c r="DS20" i="27"/>
  <c r="DR20" i="27"/>
  <c r="DQ20" i="27"/>
  <c r="DS19" i="27"/>
  <c r="DR19" i="27"/>
  <c r="DQ19" i="27"/>
  <c r="DS18" i="27"/>
  <c r="DR18" i="27"/>
  <c r="DQ18" i="27"/>
  <c r="DS17" i="27"/>
  <c r="DR17" i="27"/>
  <c r="DQ17" i="27"/>
  <c r="DS16" i="27"/>
  <c r="DR16" i="27"/>
  <c r="DQ16" i="27"/>
  <c r="DS15" i="27"/>
  <c r="DR15" i="27"/>
  <c r="DQ15" i="27"/>
  <c r="DS14" i="27"/>
  <c r="DR14" i="27"/>
  <c r="DQ14" i="27"/>
  <c r="DS13" i="27"/>
  <c r="DR13" i="27"/>
  <c r="DQ13" i="27"/>
  <c r="DS12" i="27"/>
  <c r="DR12" i="27"/>
  <c r="DQ12" i="27"/>
  <c r="DS11" i="27"/>
  <c r="DR11" i="27"/>
  <c r="DQ11" i="27"/>
  <c r="DS10" i="27"/>
  <c r="DR10" i="27"/>
  <c r="DQ10" i="27"/>
  <c r="DS9" i="27"/>
  <c r="DR9" i="27"/>
  <c r="DQ9" i="27"/>
  <c r="DS8" i="27"/>
  <c r="DR8" i="27"/>
  <c r="DQ8" i="27"/>
  <c r="DE1115" i="27" l="1"/>
  <c r="DE1114" i="27"/>
  <c r="DE1113" i="27"/>
  <c r="DE1112" i="27"/>
  <c r="DE1111" i="27"/>
  <c r="DE1110" i="27"/>
  <c r="DE1109" i="27"/>
  <c r="DE1108" i="27"/>
  <c r="DE1107" i="27"/>
  <c r="DE1106" i="27"/>
  <c r="DE1105" i="27"/>
  <c r="DE1104" i="27"/>
  <c r="DE1103" i="27"/>
  <c r="DE1102" i="27"/>
  <c r="DE1101" i="27"/>
  <c r="DE1100" i="27"/>
  <c r="DE1099" i="27"/>
  <c r="DE1098" i="27"/>
  <c r="DE1097" i="27"/>
  <c r="DE1096" i="27"/>
  <c r="DE1095" i="27"/>
  <c r="DE1094" i="27"/>
  <c r="DE1093" i="27"/>
  <c r="DE1092" i="27"/>
  <c r="DE1091" i="27"/>
  <c r="DE1090" i="27"/>
  <c r="DE1089" i="27"/>
  <c r="DE1088" i="27"/>
  <c r="DE1087" i="27"/>
  <c r="DE1086" i="27"/>
  <c r="DE1085" i="27"/>
  <c r="DE1084" i="27"/>
  <c r="DE1083" i="27"/>
  <c r="DE1082" i="27"/>
  <c r="DE1081" i="27"/>
  <c r="DE1080" i="27"/>
  <c r="DE1079" i="27"/>
  <c r="DE1078" i="27"/>
  <c r="DE1077" i="27"/>
  <c r="DE1076" i="27"/>
  <c r="DE1075" i="27"/>
  <c r="DE1074" i="27"/>
  <c r="DE1073" i="27"/>
  <c r="DE1072" i="27"/>
  <c r="DE1071" i="27"/>
  <c r="DE1070" i="27"/>
  <c r="DE1069" i="27"/>
  <c r="DE1068" i="27"/>
  <c r="DE1067" i="27"/>
  <c r="DE1066" i="27"/>
  <c r="DE1065" i="27"/>
  <c r="DE1064" i="27"/>
  <c r="DE1063" i="27"/>
  <c r="DE1062" i="27"/>
  <c r="DE1061" i="27"/>
  <c r="DE1060" i="27"/>
  <c r="DE1059" i="27"/>
  <c r="DE1058" i="27"/>
  <c r="DE1057" i="27"/>
  <c r="DE1056" i="27"/>
  <c r="DE1055" i="27"/>
  <c r="DE1054" i="27"/>
  <c r="DE1053" i="27"/>
  <c r="DE1052" i="27"/>
  <c r="DE1051" i="27"/>
  <c r="DE1050" i="27"/>
  <c r="DE1049" i="27"/>
  <c r="DE1048" i="27"/>
  <c r="DE1047" i="27"/>
  <c r="DE1046" i="27"/>
  <c r="DE1045" i="27"/>
  <c r="DE1044" i="27"/>
  <c r="DE1043" i="27"/>
  <c r="DE1042" i="27"/>
  <c r="DE1041" i="27"/>
  <c r="DE1040" i="27"/>
  <c r="DE1039" i="27"/>
  <c r="DE1038" i="27"/>
  <c r="DE1037" i="27"/>
  <c r="DE1036" i="27"/>
  <c r="DE1035" i="27"/>
  <c r="DE1034" i="27"/>
  <c r="DE1033" i="27"/>
  <c r="DE1032" i="27"/>
  <c r="DE1031" i="27"/>
  <c r="DE1030" i="27"/>
  <c r="DE1029" i="27"/>
  <c r="DE1028" i="27"/>
  <c r="DE1027" i="27"/>
  <c r="DE1026" i="27"/>
  <c r="DE1025" i="27"/>
  <c r="DE1024" i="27"/>
  <c r="DE1023" i="27"/>
  <c r="DE1022" i="27"/>
  <c r="DE1021" i="27"/>
  <c r="DE1020" i="27"/>
  <c r="DE1019" i="27"/>
  <c r="DE1018" i="27"/>
  <c r="DE1017" i="27"/>
  <c r="DE1016" i="27"/>
  <c r="DE1015" i="27"/>
  <c r="DE1014" i="27"/>
  <c r="DE1013" i="27"/>
  <c r="DE1012" i="27"/>
  <c r="DE1011" i="27"/>
  <c r="DE1010" i="27"/>
  <c r="DE1009" i="27"/>
  <c r="DE1008" i="27"/>
  <c r="DE1007" i="27"/>
  <c r="DE1006" i="27"/>
  <c r="DE1005" i="27"/>
  <c r="DE1004" i="27"/>
  <c r="DE1003" i="27"/>
  <c r="DE1002" i="27"/>
  <c r="DE1001" i="27"/>
  <c r="DE1000" i="27"/>
  <c r="DE999" i="27"/>
  <c r="DE998" i="27"/>
  <c r="DE997" i="27"/>
  <c r="DE996" i="27"/>
  <c r="DE995" i="27"/>
  <c r="DE994" i="27"/>
  <c r="DE993" i="27"/>
  <c r="DE992" i="27"/>
  <c r="DE991" i="27"/>
  <c r="DE990" i="27"/>
  <c r="DE989" i="27"/>
  <c r="DE988" i="27"/>
  <c r="DE987" i="27"/>
  <c r="DE986" i="27"/>
  <c r="DE985" i="27"/>
  <c r="DE984" i="27"/>
  <c r="DE983" i="27"/>
  <c r="DE982" i="27"/>
  <c r="DE981" i="27"/>
  <c r="DE980" i="27"/>
  <c r="DE979" i="27"/>
  <c r="DE978" i="27"/>
  <c r="DE977" i="27"/>
  <c r="DE976" i="27"/>
  <c r="DE975" i="27"/>
  <c r="DE974" i="27"/>
  <c r="DE973" i="27"/>
  <c r="DE972" i="27"/>
  <c r="DE971" i="27"/>
  <c r="DE970" i="27"/>
  <c r="DE969" i="27"/>
  <c r="DE968" i="27"/>
  <c r="DE967" i="27"/>
  <c r="DE966" i="27"/>
  <c r="DE965" i="27"/>
  <c r="DE964" i="27"/>
  <c r="DE963" i="27"/>
  <c r="DE962" i="27"/>
  <c r="DE961" i="27"/>
  <c r="DE960" i="27"/>
  <c r="DE959" i="27"/>
  <c r="DE958" i="27"/>
  <c r="DE957" i="27"/>
  <c r="DE956" i="27"/>
  <c r="DE955" i="27"/>
  <c r="DE954" i="27"/>
  <c r="DE953" i="27"/>
  <c r="DE952" i="27"/>
  <c r="DE951" i="27"/>
  <c r="DE950" i="27"/>
  <c r="DE949" i="27"/>
  <c r="DE948" i="27"/>
  <c r="DE947" i="27"/>
  <c r="DE946" i="27"/>
  <c r="DE945" i="27"/>
  <c r="DE944" i="27"/>
  <c r="DE943" i="27"/>
  <c r="DE942" i="27"/>
  <c r="DE941" i="27"/>
  <c r="DE940" i="27"/>
  <c r="DE939" i="27"/>
  <c r="DE938" i="27"/>
  <c r="DE937" i="27"/>
  <c r="DE936" i="27"/>
  <c r="DE935" i="27"/>
  <c r="DE934" i="27"/>
  <c r="DE933" i="27"/>
  <c r="DE932" i="27"/>
  <c r="DE931" i="27"/>
  <c r="DE930" i="27"/>
  <c r="DE929" i="27"/>
  <c r="DE928" i="27"/>
  <c r="DE927" i="27"/>
  <c r="DE926" i="27"/>
  <c r="DE925" i="27"/>
  <c r="DE924" i="27"/>
  <c r="DE923" i="27"/>
  <c r="DE922" i="27"/>
  <c r="DE921" i="27"/>
  <c r="DE920" i="27"/>
  <c r="DE919" i="27"/>
  <c r="DE918" i="27"/>
  <c r="DE917" i="27"/>
  <c r="DE916" i="27"/>
  <c r="DE915" i="27"/>
  <c r="DE914" i="27"/>
  <c r="DE913" i="27"/>
  <c r="DE912" i="27"/>
  <c r="DE911" i="27"/>
  <c r="DE910" i="27"/>
  <c r="DE909" i="27"/>
  <c r="DE908" i="27"/>
  <c r="DE907" i="27"/>
  <c r="DE906" i="27"/>
  <c r="DE905" i="27"/>
  <c r="DE904" i="27"/>
  <c r="DE903" i="27"/>
  <c r="DE902" i="27"/>
  <c r="DE901" i="27"/>
  <c r="DE900" i="27"/>
  <c r="DE899" i="27"/>
  <c r="DE898" i="27"/>
  <c r="DE897" i="27"/>
  <c r="DE896" i="27"/>
  <c r="DE895" i="27"/>
  <c r="DE894" i="27"/>
  <c r="DE893" i="27"/>
  <c r="DE892" i="27"/>
  <c r="DE891" i="27"/>
  <c r="DE890" i="27"/>
  <c r="DE889" i="27"/>
  <c r="DE888" i="27"/>
  <c r="DE887" i="27"/>
  <c r="DE886" i="27"/>
  <c r="DE885" i="27"/>
  <c r="DE884" i="27"/>
  <c r="DE883" i="27"/>
  <c r="DE882" i="27"/>
  <c r="DE881" i="27"/>
  <c r="DE880" i="27"/>
  <c r="DE879" i="27"/>
  <c r="DE878" i="27"/>
  <c r="DE877" i="27"/>
  <c r="DE876" i="27"/>
  <c r="DE875" i="27"/>
  <c r="DE874" i="27"/>
  <c r="DE873" i="27"/>
  <c r="DE872" i="27"/>
  <c r="DE871" i="27"/>
  <c r="DE870" i="27"/>
  <c r="DE869" i="27"/>
  <c r="DE868" i="27"/>
  <c r="DE867" i="27"/>
  <c r="DE866" i="27"/>
  <c r="DE865" i="27"/>
  <c r="DE864" i="27"/>
  <c r="DE863" i="27"/>
  <c r="DE862" i="27"/>
  <c r="DE861" i="27"/>
  <c r="DE860" i="27"/>
  <c r="DE859" i="27"/>
  <c r="DE858" i="27"/>
  <c r="DE857" i="27"/>
  <c r="DE856" i="27"/>
  <c r="DE855" i="27"/>
  <c r="DE854" i="27"/>
  <c r="DE853" i="27"/>
  <c r="DE852" i="27"/>
  <c r="DE851" i="27"/>
  <c r="DE850" i="27"/>
  <c r="DE849" i="27"/>
  <c r="DE848" i="27"/>
  <c r="DE847" i="27"/>
  <c r="DE846" i="27"/>
  <c r="DE845" i="27"/>
  <c r="DE844" i="27"/>
  <c r="DE843" i="27"/>
  <c r="DE842" i="27"/>
  <c r="DE841" i="27"/>
  <c r="DE840" i="27"/>
  <c r="DE839" i="27"/>
  <c r="DE838" i="27"/>
  <c r="DE837" i="27"/>
  <c r="DE836" i="27"/>
  <c r="DE835" i="27"/>
  <c r="DE834" i="27"/>
  <c r="DE833" i="27"/>
  <c r="DE832" i="27"/>
  <c r="DE831" i="27"/>
  <c r="DE830" i="27"/>
  <c r="DE829" i="27"/>
  <c r="DE828" i="27"/>
  <c r="DE827" i="27"/>
  <c r="DE826" i="27"/>
  <c r="DE825" i="27"/>
  <c r="DE824" i="27"/>
  <c r="DE823" i="27"/>
  <c r="DE822" i="27"/>
  <c r="DE821" i="27"/>
  <c r="DE820" i="27"/>
  <c r="DE819" i="27"/>
  <c r="DE818" i="27"/>
  <c r="DE817" i="27"/>
  <c r="DE816" i="27"/>
  <c r="DE815" i="27"/>
  <c r="DE814" i="27"/>
  <c r="DE813" i="27"/>
  <c r="DE812" i="27"/>
  <c r="DE811" i="27"/>
  <c r="DE810" i="27"/>
  <c r="DE809" i="27"/>
  <c r="DE808" i="27"/>
  <c r="DE807" i="27"/>
  <c r="DE806" i="27"/>
  <c r="DE805" i="27"/>
  <c r="DE804" i="27"/>
  <c r="DE803" i="27"/>
  <c r="DE802" i="27"/>
  <c r="DE801" i="27"/>
  <c r="DE800" i="27"/>
  <c r="DE799" i="27"/>
  <c r="DE798" i="27"/>
  <c r="DE797" i="27"/>
  <c r="DE796" i="27"/>
  <c r="DE795" i="27"/>
  <c r="DE794" i="27"/>
  <c r="DE793" i="27"/>
  <c r="DE792" i="27"/>
  <c r="DE791" i="27"/>
  <c r="DE790" i="27"/>
  <c r="DE789" i="27"/>
  <c r="DE788" i="27"/>
  <c r="DE787" i="27"/>
  <c r="DE786" i="27"/>
  <c r="DE785" i="27"/>
  <c r="DE784" i="27"/>
  <c r="DE783" i="27"/>
  <c r="DE782" i="27"/>
  <c r="DE781" i="27"/>
  <c r="DE780" i="27"/>
  <c r="DE779" i="27"/>
  <c r="DE778" i="27"/>
  <c r="DE777" i="27"/>
  <c r="DE776" i="27"/>
  <c r="DE775" i="27"/>
  <c r="DE774" i="27"/>
  <c r="DE773" i="27"/>
  <c r="DE772" i="27"/>
  <c r="DE771" i="27"/>
  <c r="DE770" i="27"/>
  <c r="DE769" i="27"/>
  <c r="DE768" i="27"/>
  <c r="DE767" i="27"/>
  <c r="DE766" i="27"/>
  <c r="DE765" i="27"/>
  <c r="DE764" i="27"/>
  <c r="DE763" i="27"/>
  <c r="DE762" i="27"/>
  <c r="DE761" i="27"/>
  <c r="DE760" i="27"/>
  <c r="DE759" i="27"/>
  <c r="DE758" i="27"/>
  <c r="DE757" i="27"/>
  <c r="DE756" i="27"/>
  <c r="DE755" i="27"/>
  <c r="DE754" i="27"/>
  <c r="DE753" i="27"/>
  <c r="DE752" i="27"/>
  <c r="DE751" i="27"/>
  <c r="DE750" i="27"/>
  <c r="DE749" i="27"/>
  <c r="DE748" i="27"/>
  <c r="DE747" i="27"/>
  <c r="DE746" i="27"/>
  <c r="DE745" i="27"/>
  <c r="DE744" i="27"/>
  <c r="DE743" i="27"/>
  <c r="DE742" i="27"/>
  <c r="DE741" i="27"/>
  <c r="DE740" i="27"/>
  <c r="DE739" i="27"/>
  <c r="DE738" i="27"/>
  <c r="DE737" i="27"/>
  <c r="DE736" i="27"/>
  <c r="DE735" i="27"/>
  <c r="DE734" i="27"/>
  <c r="DE733" i="27"/>
  <c r="DE732" i="27"/>
  <c r="DE731" i="27"/>
  <c r="DE730" i="27"/>
  <c r="DE729" i="27"/>
  <c r="DE728" i="27"/>
  <c r="DE727" i="27"/>
  <c r="DE726" i="27"/>
  <c r="DE725" i="27"/>
  <c r="DE724" i="27"/>
  <c r="DE723" i="27"/>
  <c r="DE722" i="27"/>
  <c r="DE721" i="27"/>
  <c r="DE720" i="27"/>
  <c r="DE719" i="27"/>
  <c r="DE718" i="27"/>
  <c r="DE717" i="27"/>
  <c r="DE716" i="27"/>
  <c r="DE715" i="27"/>
  <c r="DE714" i="27"/>
  <c r="DE713" i="27"/>
  <c r="DE712" i="27"/>
  <c r="DE711" i="27"/>
  <c r="DE710" i="27"/>
  <c r="DE709" i="27"/>
  <c r="DE708" i="27"/>
  <c r="DE707" i="27"/>
  <c r="DE706" i="27"/>
  <c r="DE705" i="27"/>
  <c r="DE704" i="27"/>
  <c r="DE703" i="27"/>
  <c r="DE702" i="27"/>
  <c r="DE701" i="27"/>
  <c r="DE700" i="27"/>
  <c r="DE699" i="27"/>
  <c r="DE698" i="27"/>
  <c r="DE697" i="27"/>
  <c r="DE696" i="27"/>
  <c r="DE695" i="27"/>
  <c r="DE694" i="27"/>
  <c r="DE693" i="27"/>
  <c r="DE692" i="27"/>
  <c r="DE691" i="27"/>
  <c r="DE690" i="27"/>
  <c r="DE689" i="27"/>
  <c r="DE688" i="27"/>
  <c r="DE687" i="27"/>
  <c r="DE686" i="27"/>
  <c r="DE685" i="27"/>
  <c r="DE684" i="27"/>
  <c r="DE683" i="27"/>
  <c r="DE682" i="27"/>
  <c r="DE681" i="27"/>
  <c r="DE680" i="27"/>
  <c r="DE679" i="27"/>
  <c r="DE678" i="27"/>
  <c r="DE677" i="27"/>
  <c r="DE676" i="27"/>
  <c r="DE675" i="27"/>
  <c r="DE674" i="27"/>
  <c r="DE673" i="27"/>
  <c r="DE672" i="27"/>
  <c r="DE671" i="27"/>
  <c r="DE670" i="27"/>
  <c r="DE669" i="27"/>
  <c r="DE668" i="27"/>
  <c r="DE667" i="27"/>
  <c r="DE666" i="27"/>
  <c r="DE665" i="27"/>
  <c r="DE664" i="27"/>
  <c r="DE663" i="27"/>
  <c r="DE662" i="27"/>
  <c r="DE661" i="27"/>
  <c r="DE660" i="27"/>
  <c r="DE659" i="27"/>
  <c r="DE658" i="27"/>
  <c r="DE657" i="27"/>
  <c r="DE656" i="27"/>
  <c r="DE655" i="27"/>
  <c r="DE654" i="27"/>
  <c r="DE653" i="27"/>
  <c r="DE652" i="27"/>
  <c r="DE651" i="27"/>
  <c r="DE650" i="27"/>
  <c r="DE649" i="27"/>
  <c r="DE648" i="27"/>
  <c r="DE647" i="27"/>
  <c r="DE646" i="27"/>
  <c r="DE645" i="27"/>
  <c r="DE644" i="27"/>
  <c r="DE643" i="27"/>
  <c r="DE642" i="27"/>
  <c r="DE641" i="27"/>
  <c r="DE640" i="27"/>
  <c r="DE639" i="27"/>
  <c r="DE638" i="27"/>
  <c r="DE637" i="27"/>
  <c r="DE636" i="27"/>
  <c r="DE635" i="27"/>
  <c r="DE634" i="27"/>
  <c r="DE633" i="27"/>
  <c r="DE632" i="27"/>
  <c r="DE631" i="27"/>
  <c r="DE630" i="27"/>
  <c r="DE629" i="27"/>
  <c r="DE628" i="27"/>
  <c r="DE627" i="27"/>
  <c r="DE626" i="27"/>
  <c r="DE625" i="27"/>
  <c r="DE624" i="27"/>
  <c r="DE623" i="27"/>
  <c r="DE622" i="27"/>
  <c r="DE621" i="27"/>
  <c r="DE620" i="27"/>
  <c r="DE619" i="27"/>
  <c r="DE618" i="27"/>
  <c r="DE617" i="27"/>
  <c r="DE616" i="27"/>
  <c r="DE615" i="27"/>
  <c r="DE614" i="27"/>
  <c r="DE613" i="27"/>
  <c r="DE612" i="27"/>
  <c r="DE611" i="27"/>
  <c r="DE610" i="27"/>
  <c r="DE609" i="27"/>
  <c r="DE608" i="27"/>
  <c r="DE607" i="27"/>
  <c r="DE606" i="27"/>
  <c r="DE605" i="27"/>
  <c r="DE604" i="27"/>
  <c r="DE603" i="27"/>
  <c r="DE602" i="27"/>
  <c r="DE601" i="27"/>
  <c r="DE600" i="27"/>
  <c r="DE599" i="27"/>
  <c r="DE598" i="27"/>
  <c r="DE597" i="27"/>
  <c r="DE596" i="27"/>
  <c r="DE595" i="27"/>
  <c r="DE594" i="27"/>
  <c r="DE593" i="27"/>
  <c r="DE592" i="27"/>
  <c r="DE591" i="27"/>
  <c r="DE590" i="27"/>
  <c r="DE589" i="27"/>
  <c r="DE588" i="27"/>
  <c r="DE587" i="27"/>
  <c r="DE586" i="27"/>
  <c r="DE585" i="27"/>
  <c r="DE584" i="27"/>
  <c r="DE583" i="27"/>
  <c r="DE582" i="27"/>
  <c r="DE581" i="27"/>
  <c r="DE580" i="27"/>
  <c r="DE579" i="27"/>
  <c r="DE578" i="27"/>
  <c r="DE577" i="27"/>
  <c r="DE576" i="27"/>
  <c r="DE575" i="27"/>
  <c r="DE574" i="27"/>
  <c r="DE573" i="27"/>
  <c r="DE572" i="27"/>
  <c r="DE571" i="27"/>
  <c r="DE570" i="27"/>
  <c r="DE569" i="27"/>
  <c r="DE568" i="27"/>
  <c r="DE567" i="27"/>
  <c r="DE566" i="27"/>
  <c r="DE565" i="27"/>
  <c r="DE564" i="27"/>
  <c r="DE563" i="27"/>
  <c r="DE562" i="27"/>
  <c r="DE561" i="27"/>
  <c r="DE560" i="27"/>
  <c r="DE559" i="27"/>
  <c r="DE558" i="27"/>
  <c r="DE557" i="27"/>
  <c r="DE556" i="27"/>
  <c r="DE555" i="27"/>
  <c r="DE554" i="27"/>
  <c r="DE553" i="27"/>
  <c r="DE552" i="27"/>
  <c r="DE551" i="27"/>
  <c r="DE550" i="27"/>
  <c r="DE549" i="27"/>
  <c r="DE548" i="27"/>
  <c r="DE547" i="27"/>
  <c r="DE546" i="27"/>
  <c r="DE545" i="27"/>
  <c r="DE544" i="27"/>
  <c r="DE543" i="27"/>
  <c r="DE542" i="27"/>
  <c r="DE541" i="27"/>
  <c r="DE540" i="27"/>
  <c r="DE539" i="27"/>
  <c r="DE538" i="27"/>
  <c r="DE537" i="27"/>
  <c r="DE536" i="27"/>
  <c r="DE535" i="27"/>
  <c r="DE534" i="27"/>
  <c r="DE533" i="27"/>
  <c r="DE532" i="27"/>
  <c r="DE531" i="27"/>
  <c r="DE530" i="27"/>
  <c r="DE529" i="27"/>
  <c r="DE528" i="27"/>
  <c r="DE527" i="27"/>
  <c r="DE526" i="27"/>
  <c r="DE525" i="27"/>
  <c r="DE524" i="27"/>
  <c r="DE523" i="27"/>
  <c r="DE522" i="27"/>
  <c r="DE521" i="27"/>
  <c r="DE520" i="27"/>
  <c r="DE519" i="27"/>
  <c r="DE518" i="27"/>
  <c r="DE517" i="27"/>
  <c r="DE516" i="27"/>
  <c r="DE515" i="27"/>
  <c r="DE514" i="27"/>
  <c r="DE513" i="27"/>
  <c r="DE512" i="27"/>
  <c r="DE511" i="27"/>
  <c r="DE510" i="27"/>
  <c r="DE509" i="27"/>
  <c r="DE508" i="27"/>
  <c r="DE507" i="27"/>
  <c r="DE506" i="27"/>
  <c r="DE505" i="27"/>
  <c r="DE504" i="27"/>
  <c r="DE503" i="27"/>
  <c r="DE502" i="27"/>
  <c r="DE501" i="27"/>
  <c r="DE500" i="27"/>
  <c r="DE499" i="27"/>
  <c r="DE498" i="27"/>
  <c r="DE497" i="27"/>
  <c r="DE496" i="27"/>
  <c r="DE495" i="27"/>
  <c r="DE494" i="27"/>
  <c r="DE493" i="27"/>
  <c r="DE492" i="27"/>
  <c r="DE491" i="27"/>
  <c r="DE490" i="27"/>
  <c r="DE489" i="27"/>
  <c r="DE488" i="27"/>
  <c r="DE487" i="27"/>
  <c r="DE486" i="27"/>
  <c r="DE485" i="27"/>
  <c r="DE484" i="27"/>
  <c r="DE483" i="27"/>
  <c r="DE482" i="27"/>
  <c r="DE481" i="27"/>
  <c r="DE480" i="27"/>
  <c r="DE479" i="27"/>
  <c r="DE478" i="27"/>
  <c r="DE477" i="27"/>
  <c r="DE476" i="27"/>
  <c r="DE475" i="27"/>
  <c r="DE474" i="27"/>
  <c r="DE473" i="27"/>
  <c r="DE472" i="27"/>
  <c r="DE471" i="27"/>
  <c r="DE470" i="27"/>
  <c r="DE469" i="27"/>
  <c r="DE468" i="27"/>
  <c r="DE467" i="27"/>
  <c r="DE466" i="27"/>
  <c r="DE465" i="27"/>
  <c r="DE464" i="27"/>
  <c r="DE463" i="27"/>
  <c r="DE462" i="27"/>
  <c r="DE461" i="27"/>
  <c r="DE460" i="27"/>
  <c r="DE459" i="27"/>
  <c r="DE458" i="27"/>
  <c r="DE457" i="27"/>
  <c r="DE456" i="27"/>
  <c r="DE455" i="27"/>
  <c r="DE454" i="27"/>
  <c r="DE453" i="27"/>
  <c r="DE452" i="27"/>
  <c r="DE451" i="27"/>
  <c r="DE450" i="27"/>
  <c r="DE449" i="27"/>
  <c r="DE448" i="27"/>
  <c r="DE447" i="27"/>
  <c r="DE446" i="27"/>
  <c r="DE445" i="27"/>
  <c r="DE444" i="27"/>
  <c r="DE443" i="27"/>
  <c r="DE442" i="27"/>
  <c r="DE441" i="27"/>
  <c r="DE440" i="27"/>
  <c r="DE439" i="27"/>
  <c r="DE438" i="27"/>
  <c r="DE437" i="27"/>
  <c r="DE436" i="27"/>
  <c r="DE435" i="27"/>
  <c r="DE434" i="27"/>
  <c r="DE433" i="27"/>
  <c r="DE432" i="27"/>
  <c r="DE431" i="27"/>
  <c r="DE430" i="27"/>
  <c r="DE429" i="27"/>
  <c r="DE428" i="27"/>
  <c r="DE427" i="27"/>
  <c r="DE426" i="27"/>
  <c r="DE425" i="27"/>
  <c r="DE424" i="27"/>
  <c r="DE423" i="27"/>
  <c r="DE422" i="27"/>
  <c r="DE421" i="27"/>
  <c r="DE420" i="27"/>
  <c r="DE419" i="27"/>
  <c r="DE418" i="27"/>
  <c r="DE417" i="27"/>
  <c r="DE416" i="27"/>
  <c r="DE415" i="27"/>
  <c r="DE414" i="27"/>
  <c r="DE413" i="27"/>
  <c r="DE412" i="27"/>
  <c r="DE411" i="27"/>
  <c r="DE410" i="27"/>
  <c r="DE409" i="27"/>
  <c r="DE408" i="27"/>
  <c r="DE407" i="27"/>
  <c r="DE406" i="27"/>
  <c r="DE405" i="27"/>
  <c r="DE404" i="27"/>
  <c r="DE403" i="27"/>
  <c r="DE402" i="27"/>
  <c r="DE401" i="27"/>
  <c r="DE400" i="27"/>
  <c r="DE399" i="27"/>
  <c r="DE398" i="27"/>
  <c r="DE397" i="27"/>
  <c r="DE396" i="27"/>
  <c r="DE395" i="27"/>
  <c r="DE394" i="27"/>
  <c r="DE393" i="27"/>
  <c r="DE392" i="27"/>
  <c r="DE391" i="27"/>
  <c r="DE390" i="27"/>
  <c r="DE389" i="27"/>
  <c r="DE388" i="27"/>
  <c r="DE387" i="27"/>
  <c r="DE386" i="27"/>
  <c r="DE385" i="27"/>
  <c r="DE384" i="27"/>
  <c r="DE383" i="27"/>
  <c r="DE382" i="27"/>
  <c r="DE381" i="27"/>
  <c r="DE380" i="27"/>
  <c r="DE379" i="27"/>
  <c r="DE378" i="27"/>
  <c r="DE377" i="27"/>
  <c r="DE376" i="27"/>
  <c r="DE375" i="27"/>
  <c r="DE374" i="27"/>
  <c r="DE373" i="27"/>
  <c r="DE372" i="27"/>
  <c r="DE371" i="27"/>
  <c r="DE370" i="27"/>
  <c r="DE369" i="27"/>
  <c r="DE368" i="27"/>
  <c r="DE367" i="27"/>
  <c r="DE366" i="27"/>
  <c r="DE365" i="27"/>
  <c r="DE364" i="27"/>
  <c r="DE363" i="27"/>
  <c r="DE362" i="27"/>
  <c r="DE361" i="27"/>
  <c r="DE360" i="27"/>
  <c r="DE359" i="27"/>
  <c r="DE358" i="27"/>
  <c r="DE357" i="27"/>
  <c r="DE356" i="27"/>
  <c r="DE355" i="27"/>
  <c r="DE354" i="27"/>
  <c r="DE353" i="27"/>
  <c r="DE352" i="27"/>
  <c r="DE351" i="27"/>
  <c r="DE350" i="27"/>
  <c r="DE349" i="27"/>
  <c r="DE348" i="27"/>
  <c r="DE347" i="27"/>
  <c r="DE346" i="27"/>
  <c r="DE345" i="27"/>
  <c r="DE344" i="27"/>
  <c r="DE343" i="27"/>
  <c r="DE342" i="27"/>
  <c r="DE341" i="27"/>
  <c r="DE340" i="27"/>
  <c r="DE339" i="27"/>
  <c r="DE338" i="27"/>
  <c r="DE337" i="27"/>
  <c r="DE336" i="27"/>
  <c r="DE335" i="27"/>
  <c r="DE334" i="27"/>
  <c r="DE333" i="27"/>
  <c r="DE332" i="27"/>
  <c r="DE331" i="27"/>
  <c r="DE330" i="27"/>
  <c r="DE329" i="27"/>
  <c r="DE328" i="27"/>
  <c r="DE327" i="27"/>
  <c r="DE326" i="27"/>
  <c r="DE325" i="27"/>
  <c r="DE324" i="27"/>
  <c r="DE323" i="27"/>
  <c r="DE322" i="27"/>
  <c r="DE321" i="27"/>
  <c r="DE320" i="27"/>
  <c r="DE319" i="27"/>
  <c r="DE318" i="27"/>
  <c r="DE317" i="27"/>
  <c r="DE316" i="27"/>
  <c r="DE315" i="27"/>
  <c r="DE314" i="27"/>
  <c r="DE313" i="27"/>
  <c r="DE312" i="27"/>
  <c r="DE311" i="27"/>
  <c r="DE310" i="27"/>
  <c r="DE309" i="27"/>
  <c r="DE308" i="27"/>
  <c r="DE307" i="27"/>
  <c r="DE306" i="27"/>
  <c r="DE305" i="27"/>
  <c r="DE304" i="27"/>
  <c r="DE303" i="27"/>
  <c r="DE302" i="27"/>
  <c r="DE301" i="27"/>
  <c r="DE300" i="27"/>
  <c r="DE299" i="27"/>
  <c r="DE298" i="27"/>
  <c r="DE297" i="27"/>
  <c r="DE296" i="27"/>
  <c r="DE295" i="27"/>
  <c r="DE294" i="27"/>
  <c r="DE293" i="27"/>
  <c r="DE292" i="27"/>
  <c r="DE291" i="27"/>
  <c r="DE290" i="27"/>
  <c r="DE289" i="27"/>
  <c r="DE288" i="27"/>
  <c r="DE287" i="27"/>
  <c r="DE286" i="27"/>
  <c r="DE285" i="27"/>
  <c r="DE284" i="27"/>
  <c r="DE283" i="27"/>
  <c r="DE282" i="27"/>
  <c r="DE281" i="27"/>
  <c r="DE280" i="27"/>
  <c r="DE279" i="27"/>
  <c r="DE278" i="27"/>
  <c r="DE277" i="27"/>
  <c r="DE276" i="27"/>
  <c r="DE275" i="27"/>
  <c r="DE274" i="27"/>
  <c r="DE273" i="27"/>
  <c r="DE272" i="27"/>
  <c r="DE271" i="27"/>
  <c r="DE270" i="27"/>
  <c r="DE269" i="27"/>
  <c r="DE268" i="27"/>
  <c r="DE267" i="27"/>
  <c r="DE266" i="27"/>
  <c r="DE265" i="27"/>
  <c r="DE264" i="27"/>
  <c r="DE263" i="27"/>
  <c r="DE262" i="27"/>
  <c r="DE261" i="27"/>
  <c r="DE260" i="27"/>
  <c r="DE259" i="27"/>
  <c r="DE258" i="27"/>
  <c r="DE257" i="27"/>
  <c r="DE256" i="27"/>
  <c r="DE255" i="27"/>
  <c r="DE254" i="27"/>
  <c r="DE253" i="27"/>
  <c r="DE252" i="27"/>
  <c r="DE251" i="27"/>
  <c r="DE250" i="27"/>
  <c r="DE249" i="27"/>
  <c r="DE248" i="27"/>
  <c r="DE247" i="27"/>
  <c r="DE246" i="27"/>
  <c r="DE245" i="27"/>
  <c r="DE244" i="27"/>
  <c r="DE243" i="27"/>
  <c r="DE242" i="27"/>
  <c r="DE241" i="27"/>
  <c r="DE240" i="27"/>
  <c r="DE239" i="27"/>
  <c r="DE238" i="27"/>
  <c r="DE237" i="27"/>
  <c r="DE236" i="27"/>
  <c r="DE235" i="27"/>
  <c r="DE234" i="27"/>
  <c r="DE233" i="27"/>
  <c r="DE232" i="27"/>
  <c r="DE231" i="27"/>
  <c r="DE230" i="27"/>
  <c r="DE229" i="27"/>
  <c r="DE228" i="27"/>
  <c r="DE227" i="27"/>
  <c r="DE226" i="27"/>
  <c r="DE225" i="27"/>
  <c r="DE224" i="27"/>
  <c r="DE223" i="27"/>
  <c r="DE222" i="27"/>
  <c r="DE221" i="27"/>
  <c r="DE220" i="27"/>
  <c r="DE219" i="27"/>
  <c r="DE218" i="27"/>
  <c r="DE217" i="27"/>
  <c r="DE216" i="27"/>
  <c r="DE215" i="27"/>
  <c r="DE214" i="27"/>
  <c r="DE213" i="27"/>
  <c r="DE212" i="27"/>
  <c r="DE211" i="27"/>
  <c r="DE210" i="27"/>
  <c r="DE209" i="27"/>
  <c r="DE208" i="27"/>
  <c r="DE207" i="27"/>
  <c r="DE206" i="27"/>
  <c r="DE205" i="27"/>
  <c r="DE204" i="27"/>
  <c r="DE203" i="27"/>
  <c r="DE202" i="27"/>
  <c r="DE201" i="27"/>
  <c r="DE200" i="27"/>
  <c r="DE199" i="27"/>
  <c r="DE198" i="27"/>
  <c r="DE197" i="27"/>
  <c r="DE196" i="27"/>
  <c r="DE195" i="27"/>
  <c r="DE194" i="27"/>
  <c r="DE193" i="27"/>
  <c r="DE192" i="27"/>
  <c r="DE191" i="27"/>
  <c r="DE190" i="27"/>
  <c r="DE189" i="27"/>
  <c r="DE188" i="27"/>
  <c r="DE187" i="27"/>
  <c r="DE186" i="27"/>
  <c r="DE185" i="27"/>
  <c r="DE184" i="27"/>
  <c r="DE183" i="27"/>
  <c r="DE182" i="27"/>
  <c r="DE181" i="27"/>
  <c r="DE180" i="27"/>
  <c r="DE179" i="27"/>
  <c r="DE178" i="27"/>
  <c r="DE177" i="27"/>
  <c r="DE176" i="27"/>
  <c r="DE175" i="27"/>
  <c r="DE174" i="27"/>
  <c r="DE173" i="27"/>
  <c r="DE172" i="27"/>
  <c r="DE171" i="27"/>
  <c r="DE170" i="27"/>
  <c r="DE169" i="27"/>
  <c r="DE168" i="27"/>
  <c r="DE167" i="27"/>
  <c r="DE166" i="27"/>
  <c r="DE165" i="27"/>
  <c r="DE164" i="27"/>
  <c r="DE163" i="27"/>
  <c r="DE162" i="27"/>
  <c r="DE161" i="27"/>
  <c r="DE160" i="27"/>
  <c r="DE159" i="27"/>
  <c r="DE158" i="27"/>
  <c r="DE157" i="27"/>
  <c r="DE156" i="27"/>
  <c r="DE155" i="27"/>
  <c r="DE154" i="27"/>
  <c r="DE153" i="27"/>
  <c r="DE152" i="27"/>
  <c r="DE151" i="27"/>
  <c r="DE150" i="27"/>
  <c r="DE149" i="27"/>
  <c r="DE148" i="27"/>
  <c r="DE147" i="27"/>
  <c r="DE146" i="27"/>
  <c r="DE145" i="27"/>
  <c r="DE144" i="27"/>
  <c r="DE143" i="27"/>
  <c r="DE142" i="27"/>
  <c r="DE141" i="27"/>
  <c r="DE140" i="27"/>
  <c r="DE139" i="27"/>
  <c r="DE138" i="27"/>
  <c r="DE137" i="27"/>
  <c r="DE136" i="27"/>
  <c r="DE135" i="27"/>
  <c r="DE134" i="27"/>
  <c r="DE133" i="27"/>
  <c r="DE132" i="27"/>
  <c r="DE131" i="27"/>
  <c r="DE130" i="27"/>
  <c r="DE129" i="27"/>
  <c r="DE128" i="27"/>
  <c r="DE127" i="27"/>
  <c r="DE126" i="27"/>
  <c r="DE125" i="27"/>
  <c r="DE124" i="27"/>
  <c r="DE123" i="27"/>
  <c r="DE122" i="27"/>
  <c r="DE121" i="27"/>
  <c r="DE120" i="27"/>
  <c r="DE119" i="27"/>
  <c r="DE118" i="27"/>
  <c r="DE117" i="27"/>
  <c r="DE116" i="27"/>
  <c r="DE115" i="27"/>
  <c r="DE114" i="27"/>
  <c r="DE113" i="27"/>
  <c r="DE112" i="27"/>
  <c r="DE111" i="27"/>
  <c r="DE110" i="27"/>
  <c r="DE109" i="27"/>
  <c r="DE108" i="27"/>
  <c r="DE107" i="27"/>
  <c r="DE106" i="27"/>
  <c r="DE105" i="27"/>
  <c r="DE104" i="27"/>
  <c r="DE103" i="27"/>
  <c r="DE102" i="27"/>
  <c r="DE101" i="27"/>
  <c r="DE100" i="27"/>
  <c r="DE99" i="27"/>
  <c r="DE98" i="27"/>
  <c r="DE97" i="27"/>
  <c r="DE96" i="27"/>
  <c r="DE95" i="27"/>
  <c r="DE94" i="27"/>
  <c r="DE93" i="27"/>
  <c r="DE92" i="27"/>
  <c r="DE91" i="27"/>
  <c r="DE90" i="27"/>
  <c r="DE89" i="27"/>
  <c r="DE88" i="27"/>
  <c r="DE87" i="27"/>
  <c r="DE86" i="27"/>
  <c r="DE85" i="27"/>
  <c r="DE84" i="27"/>
  <c r="DE83" i="27"/>
  <c r="DE82" i="27"/>
  <c r="DE81" i="27"/>
  <c r="DE80" i="27"/>
  <c r="DE79" i="27"/>
  <c r="DE78" i="27"/>
  <c r="DE77" i="27"/>
  <c r="DE76" i="27"/>
  <c r="DE75" i="27"/>
  <c r="DE74" i="27"/>
  <c r="DE73" i="27"/>
  <c r="DE72" i="27"/>
  <c r="DE71" i="27"/>
  <c r="DE70" i="27"/>
  <c r="DE69" i="27"/>
  <c r="DE68" i="27"/>
  <c r="DE67" i="27"/>
  <c r="DE66" i="27"/>
  <c r="DE65" i="27"/>
  <c r="DE64" i="27"/>
  <c r="DE63" i="27"/>
  <c r="DE62" i="27"/>
  <c r="DE61" i="27"/>
  <c r="DE60" i="27"/>
  <c r="DE59" i="27"/>
  <c r="DE58" i="27"/>
  <c r="DE57" i="27"/>
  <c r="DE56" i="27"/>
  <c r="DE55" i="27"/>
  <c r="DE54" i="27"/>
  <c r="DE53" i="27"/>
  <c r="DE52" i="27"/>
  <c r="DE51" i="27"/>
  <c r="DE50" i="27"/>
  <c r="DE49" i="27"/>
  <c r="DE48" i="27"/>
  <c r="DE47" i="27"/>
  <c r="DE46" i="27"/>
  <c r="DE45" i="27"/>
  <c r="DE44" i="27"/>
  <c r="DE43" i="27"/>
  <c r="DE42" i="27"/>
  <c r="DE41" i="27"/>
  <c r="DE40" i="27"/>
  <c r="DE39" i="27"/>
  <c r="DE38" i="27"/>
  <c r="DE37" i="27"/>
  <c r="DE36" i="27"/>
  <c r="DE35" i="27"/>
  <c r="DE34" i="27"/>
  <c r="DE33" i="27"/>
  <c r="DE32" i="27"/>
  <c r="DE31" i="27"/>
  <c r="DE30" i="27"/>
  <c r="DE29" i="27"/>
  <c r="DE28" i="27"/>
  <c r="DE27" i="27"/>
  <c r="DE26" i="27"/>
  <c r="DE25" i="27"/>
  <c r="DE24" i="27"/>
  <c r="DE23" i="27"/>
  <c r="DE22" i="27"/>
  <c r="DE21" i="27"/>
  <c r="DE20" i="27"/>
  <c r="DE19" i="27"/>
  <c r="DE18" i="27"/>
  <c r="DE17" i="27"/>
  <c r="DE16" i="27"/>
  <c r="DE15" i="27"/>
  <c r="DE14" i="27"/>
  <c r="DE13" i="27"/>
  <c r="DE12" i="27"/>
  <c r="DE11" i="27"/>
  <c r="DE10" i="27"/>
  <c r="DE9" i="27"/>
  <c r="DE8" i="27"/>
  <c r="DF1115" i="27"/>
  <c r="DF1114" i="27"/>
  <c r="DF1113" i="27"/>
  <c r="DF1112" i="27"/>
  <c r="DF1111" i="27"/>
  <c r="DF1110" i="27"/>
  <c r="DF1109" i="27"/>
  <c r="DF1108" i="27"/>
  <c r="DF1107" i="27"/>
  <c r="DF1106" i="27"/>
  <c r="DF1105" i="27"/>
  <c r="DF1104" i="27"/>
  <c r="DF1103" i="27"/>
  <c r="DF1102" i="27"/>
  <c r="DF1101" i="27"/>
  <c r="DF1100" i="27"/>
  <c r="DF1099" i="27"/>
  <c r="DF1098" i="27"/>
  <c r="DF1097" i="27"/>
  <c r="DF1096" i="27"/>
  <c r="DF1095" i="27"/>
  <c r="DF1094" i="27"/>
  <c r="DF1093" i="27"/>
  <c r="DF1092" i="27"/>
  <c r="DF1091" i="27"/>
  <c r="DF1090" i="27"/>
  <c r="DF1089" i="27"/>
  <c r="DF1088" i="27"/>
  <c r="DF1087" i="27"/>
  <c r="DF1086" i="27"/>
  <c r="DF1085" i="27"/>
  <c r="DF1084" i="27"/>
  <c r="DF1083" i="27"/>
  <c r="DF1082" i="27"/>
  <c r="DF1081" i="27"/>
  <c r="DF1080" i="27"/>
  <c r="DF1079" i="27"/>
  <c r="DF1078" i="27"/>
  <c r="DF1077" i="27"/>
  <c r="DF1076" i="27"/>
  <c r="DF1075" i="27"/>
  <c r="DF1074" i="27"/>
  <c r="DF1073" i="27"/>
  <c r="DF1072" i="27"/>
  <c r="DF1071" i="27"/>
  <c r="DF1070" i="27"/>
  <c r="DF1069" i="27"/>
  <c r="DF1068" i="27"/>
  <c r="DF1067" i="27"/>
  <c r="DF1066" i="27"/>
  <c r="DF1065" i="27"/>
  <c r="DF1064" i="27"/>
  <c r="DF1063" i="27"/>
  <c r="DF1062" i="27"/>
  <c r="DF1061" i="27"/>
  <c r="DF1060" i="27"/>
  <c r="DF1059" i="27"/>
  <c r="DF1058" i="27"/>
  <c r="DF1057" i="27"/>
  <c r="DF1056" i="27"/>
  <c r="DF1055" i="27"/>
  <c r="DF1054" i="27"/>
  <c r="DF1053" i="27"/>
  <c r="DF1052" i="27"/>
  <c r="DF1051" i="27"/>
  <c r="DF1050" i="27"/>
  <c r="DF1049" i="27"/>
  <c r="DF1048" i="27"/>
  <c r="DF1047" i="27"/>
  <c r="DF1046" i="27"/>
  <c r="DF1045" i="27"/>
  <c r="DF1044" i="27"/>
  <c r="DF1043" i="27"/>
  <c r="DF1042" i="27"/>
  <c r="DF1041" i="27"/>
  <c r="DF1040" i="27"/>
  <c r="DF1039" i="27"/>
  <c r="DF1038" i="27"/>
  <c r="DF1037" i="27"/>
  <c r="DF1036" i="27"/>
  <c r="DF1035" i="27"/>
  <c r="DF1034" i="27"/>
  <c r="DF1033" i="27"/>
  <c r="DF1032" i="27"/>
  <c r="DF1031" i="27"/>
  <c r="DF1030" i="27"/>
  <c r="DF1029" i="27"/>
  <c r="DF1028" i="27"/>
  <c r="DF1027" i="27"/>
  <c r="DF1026" i="27"/>
  <c r="DF1025" i="27"/>
  <c r="DF1024" i="27"/>
  <c r="DF1023" i="27"/>
  <c r="DF1022" i="27"/>
  <c r="DF1021" i="27"/>
  <c r="DF1020" i="27"/>
  <c r="DF1019" i="27"/>
  <c r="DF1018" i="27"/>
  <c r="DF1017" i="27"/>
  <c r="DF1016" i="27"/>
  <c r="DF1015" i="27"/>
  <c r="DF1014" i="27"/>
  <c r="DF1013" i="27"/>
  <c r="DF1012" i="27"/>
  <c r="DF1011" i="27"/>
  <c r="DF1010" i="27"/>
  <c r="DF1009" i="27"/>
  <c r="DF1008" i="27"/>
  <c r="DF1007" i="27"/>
  <c r="DF1006" i="27"/>
  <c r="DF1005" i="27"/>
  <c r="DF1004" i="27"/>
  <c r="DF1003" i="27"/>
  <c r="DF1002" i="27"/>
  <c r="DF1001" i="27"/>
  <c r="DF1000" i="27"/>
  <c r="DF999" i="27"/>
  <c r="DF998" i="27"/>
  <c r="DF997" i="27"/>
  <c r="DF996" i="27"/>
  <c r="DF995" i="27"/>
  <c r="DF994" i="27"/>
  <c r="DF993" i="27"/>
  <c r="DF992" i="27"/>
  <c r="DF991" i="27"/>
  <c r="DF990" i="27"/>
  <c r="DF989" i="27"/>
  <c r="DF988" i="27"/>
  <c r="DF987" i="27"/>
  <c r="DF986" i="27"/>
  <c r="DF985" i="27"/>
  <c r="DF984" i="27"/>
  <c r="DF983" i="27"/>
  <c r="DF982" i="27"/>
  <c r="DF981" i="27"/>
  <c r="DF980" i="27"/>
  <c r="DF979" i="27"/>
  <c r="DF978" i="27"/>
  <c r="DF977" i="27"/>
  <c r="DF976" i="27"/>
  <c r="DF975" i="27"/>
  <c r="DF974" i="27"/>
  <c r="DF973" i="27"/>
  <c r="DF972" i="27"/>
  <c r="DF971" i="27"/>
  <c r="DF970" i="27"/>
  <c r="DF969" i="27"/>
  <c r="DF968" i="27"/>
  <c r="DF967" i="27"/>
  <c r="DF966" i="27"/>
  <c r="DF965" i="27"/>
  <c r="DF964" i="27"/>
  <c r="DF963" i="27"/>
  <c r="DF962" i="27"/>
  <c r="DF961" i="27"/>
  <c r="DF960" i="27"/>
  <c r="DF959" i="27"/>
  <c r="DF958" i="27"/>
  <c r="DF957" i="27"/>
  <c r="DF956" i="27"/>
  <c r="DF955" i="27"/>
  <c r="DF954" i="27"/>
  <c r="DF953" i="27"/>
  <c r="DF952" i="27"/>
  <c r="DF951" i="27"/>
  <c r="DF950" i="27"/>
  <c r="DF949" i="27"/>
  <c r="DF948" i="27"/>
  <c r="DF947" i="27"/>
  <c r="DF946" i="27"/>
  <c r="DF945" i="27"/>
  <c r="DF944" i="27"/>
  <c r="DF943" i="27"/>
  <c r="DF942" i="27"/>
  <c r="DF941" i="27"/>
  <c r="DF940" i="27"/>
  <c r="DF939" i="27"/>
  <c r="DF938" i="27"/>
  <c r="DF937" i="27"/>
  <c r="DF936" i="27"/>
  <c r="DF935" i="27"/>
  <c r="DF934" i="27"/>
  <c r="DF933" i="27"/>
  <c r="DF932" i="27"/>
  <c r="DF931" i="27"/>
  <c r="DF930" i="27"/>
  <c r="DF929" i="27"/>
  <c r="DF928" i="27"/>
  <c r="DF927" i="27"/>
  <c r="DF926" i="27"/>
  <c r="DF925" i="27"/>
  <c r="DF924" i="27"/>
  <c r="DF923" i="27"/>
  <c r="DF922" i="27"/>
  <c r="DF921" i="27"/>
  <c r="DF920" i="27"/>
  <c r="DF919" i="27"/>
  <c r="DF918" i="27"/>
  <c r="DF917" i="27"/>
  <c r="DF916" i="27"/>
  <c r="DF915" i="27"/>
  <c r="DF914" i="27"/>
  <c r="DF913" i="27"/>
  <c r="DF912" i="27"/>
  <c r="DF911" i="27"/>
  <c r="DF910" i="27"/>
  <c r="DF909" i="27"/>
  <c r="DF908" i="27"/>
  <c r="DF907" i="27"/>
  <c r="DF906" i="27"/>
  <c r="DF905" i="27"/>
  <c r="DF904" i="27"/>
  <c r="DF903" i="27"/>
  <c r="DF902" i="27"/>
  <c r="DF901" i="27"/>
  <c r="DF900" i="27"/>
  <c r="DF899" i="27"/>
  <c r="DF898" i="27"/>
  <c r="DF897" i="27"/>
  <c r="DF896" i="27"/>
  <c r="DF895" i="27"/>
  <c r="DF894" i="27"/>
  <c r="DF893" i="27"/>
  <c r="DF892" i="27"/>
  <c r="DF891" i="27"/>
  <c r="DF890" i="27"/>
  <c r="DF889" i="27"/>
  <c r="DF888" i="27"/>
  <c r="DF887" i="27"/>
  <c r="DF886" i="27"/>
  <c r="DF885" i="27"/>
  <c r="DF884" i="27"/>
  <c r="DF883" i="27"/>
  <c r="DF882" i="27"/>
  <c r="DF881" i="27"/>
  <c r="DF880" i="27"/>
  <c r="DF879" i="27"/>
  <c r="DF878" i="27"/>
  <c r="DF877" i="27"/>
  <c r="DF876" i="27"/>
  <c r="DF875" i="27"/>
  <c r="DF874" i="27"/>
  <c r="DF873" i="27"/>
  <c r="DF872" i="27"/>
  <c r="DF871" i="27"/>
  <c r="DF870" i="27"/>
  <c r="DF869" i="27"/>
  <c r="DF868" i="27"/>
  <c r="DF867" i="27"/>
  <c r="DF866" i="27"/>
  <c r="DF865" i="27"/>
  <c r="DF864" i="27"/>
  <c r="DF863" i="27"/>
  <c r="DF862" i="27"/>
  <c r="DF861" i="27"/>
  <c r="DF860" i="27"/>
  <c r="DF859" i="27"/>
  <c r="DF858" i="27"/>
  <c r="DF857" i="27"/>
  <c r="DF856" i="27"/>
  <c r="DF855" i="27"/>
  <c r="DF854" i="27"/>
  <c r="DF853" i="27"/>
  <c r="DF852" i="27"/>
  <c r="DF851" i="27"/>
  <c r="DF850" i="27"/>
  <c r="DF849" i="27"/>
  <c r="DF848" i="27"/>
  <c r="DF847" i="27"/>
  <c r="DF846" i="27"/>
  <c r="DF845" i="27"/>
  <c r="DF844" i="27"/>
  <c r="DF843" i="27"/>
  <c r="DF842" i="27"/>
  <c r="DF841" i="27"/>
  <c r="DF840" i="27"/>
  <c r="DF839" i="27"/>
  <c r="DF838" i="27"/>
  <c r="DF837" i="27"/>
  <c r="DF836" i="27"/>
  <c r="DF835" i="27"/>
  <c r="DF834" i="27"/>
  <c r="DF833" i="27"/>
  <c r="DF832" i="27"/>
  <c r="DF831" i="27"/>
  <c r="DF830" i="27"/>
  <c r="DF829" i="27"/>
  <c r="DF828" i="27"/>
  <c r="DF827" i="27"/>
  <c r="DF826" i="27"/>
  <c r="DF825" i="27"/>
  <c r="DF824" i="27"/>
  <c r="DF823" i="27"/>
  <c r="DF822" i="27"/>
  <c r="DF821" i="27"/>
  <c r="DF820" i="27"/>
  <c r="DF819" i="27"/>
  <c r="DF818" i="27"/>
  <c r="DF817" i="27"/>
  <c r="DF816" i="27"/>
  <c r="DF815" i="27"/>
  <c r="DF814" i="27"/>
  <c r="DF813" i="27"/>
  <c r="DF812" i="27"/>
  <c r="DF811" i="27"/>
  <c r="DF810" i="27"/>
  <c r="DF809" i="27"/>
  <c r="DF808" i="27"/>
  <c r="DF807" i="27"/>
  <c r="DF806" i="27"/>
  <c r="DF805" i="27"/>
  <c r="DF804" i="27"/>
  <c r="DF803" i="27"/>
  <c r="DF802" i="27"/>
  <c r="DF801" i="27"/>
  <c r="DF800" i="27"/>
  <c r="DF799" i="27"/>
  <c r="DF798" i="27"/>
  <c r="DF797" i="27"/>
  <c r="DF796" i="27"/>
  <c r="DF795" i="27"/>
  <c r="DF794" i="27"/>
  <c r="DF793" i="27"/>
  <c r="DF792" i="27"/>
  <c r="DF791" i="27"/>
  <c r="DF790" i="27"/>
  <c r="DF789" i="27"/>
  <c r="DF788" i="27"/>
  <c r="DF787" i="27"/>
  <c r="DF786" i="27"/>
  <c r="DF785" i="27"/>
  <c r="DF784" i="27"/>
  <c r="DF783" i="27"/>
  <c r="DF782" i="27"/>
  <c r="DF781" i="27"/>
  <c r="DF780" i="27"/>
  <c r="DF779" i="27"/>
  <c r="DF778" i="27"/>
  <c r="DF777" i="27"/>
  <c r="DF776" i="27"/>
  <c r="DF775" i="27"/>
  <c r="DF774" i="27"/>
  <c r="DF773" i="27"/>
  <c r="DF772" i="27"/>
  <c r="DF771" i="27"/>
  <c r="DF770" i="27"/>
  <c r="DF769" i="27"/>
  <c r="DF768" i="27"/>
  <c r="DF767" i="27"/>
  <c r="DF766" i="27"/>
  <c r="DF765" i="27"/>
  <c r="DF764" i="27"/>
  <c r="DF763" i="27"/>
  <c r="DF762" i="27"/>
  <c r="DF761" i="27"/>
  <c r="DF760" i="27"/>
  <c r="DF759" i="27"/>
  <c r="DF758" i="27"/>
  <c r="DF757" i="27"/>
  <c r="DF756" i="27"/>
  <c r="DF755" i="27"/>
  <c r="DF754" i="27"/>
  <c r="DF753" i="27"/>
  <c r="DF752" i="27"/>
  <c r="DF751" i="27"/>
  <c r="DF750" i="27"/>
  <c r="DF749" i="27"/>
  <c r="DF748" i="27"/>
  <c r="DF747" i="27"/>
  <c r="DF746" i="27"/>
  <c r="DF745" i="27"/>
  <c r="DF744" i="27"/>
  <c r="DF743" i="27"/>
  <c r="DF742" i="27"/>
  <c r="DF741" i="27"/>
  <c r="DF740" i="27"/>
  <c r="DF739" i="27"/>
  <c r="DF738" i="27"/>
  <c r="DF737" i="27"/>
  <c r="DF736" i="27"/>
  <c r="DF735" i="27"/>
  <c r="DF734" i="27"/>
  <c r="DF733" i="27"/>
  <c r="DF732" i="27"/>
  <c r="DF731" i="27"/>
  <c r="DF730" i="27"/>
  <c r="DF729" i="27"/>
  <c r="DF728" i="27"/>
  <c r="DF727" i="27"/>
  <c r="DF726" i="27"/>
  <c r="DF725" i="27"/>
  <c r="DF724" i="27"/>
  <c r="DF723" i="27"/>
  <c r="DF722" i="27"/>
  <c r="DF721" i="27"/>
  <c r="DF720" i="27"/>
  <c r="DF719" i="27"/>
  <c r="DF718" i="27"/>
  <c r="DF717" i="27"/>
  <c r="DF716" i="27"/>
  <c r="DF715" i="27"/>
  <c r="DF714" i="27"/>
  <c r="DF713" i="27"/>
  <c r="DF712" i="27"/>
  <c r="DF711" i="27"/>
  <c r="DF710" i="27"/>
  <c r="DF709" i="27"/>
  <c r="DF708" i="27"/>
  <c r="DF707" i="27"/>
  <c r="DF706" i="27"/>
  <c r="DF705" i="27"/>
  <c r="DF704" i="27"/>
  <c r="DF703" i="27"/>
  <c r="DF702" i="27"/>
  <c r="DF701" i="27"/>
  <c r="DF700" i="27"/>
  <c r="DF699" i="27"/>
  <c r="DF698" i="27"/>
  <c r="DF697" i="27"/>
  <c r="DF696" i="27"/>
  <c r="DF695" i="27"/>
  <c r="DF694" i="27"/>
  <c r="DF693" i="27"/>
  <c r="DF692" i="27"/>
  <c r="DF691" i="27"/>
  <c r="DF690" i="27"/>
  <c r="DF689" i="27"/>
  <c r="DF688" i="27"/>
  <c r="DF687" i="27"/>
  <c r="DF686" i="27"/>
  <c r="DF685" i="27"/>
  <c r="DF684" i="27"/>
  <c r="DF683" i="27"/>
  <c r="DF682" i="27"/>
  <c r="DF681" i="27"/>
  <c r="DF680" i="27"/>
  <c r="DF679" i="27"/>
  <c r="DF678" i="27"/>
  <c r="DF677" i="27"/>
  <c r="DF676" i="27"/>
  <c r="DF675" i="27"/>
  <c r="DF674" i="27"/>
  <c r="DF673" i="27"/>
  <c r="DF672" i="27"/>
  <c r="DF671" i="27"/>
  <c r="DF670" i="27"/>
  <c r="DF669" i="27"/>
  <c r="DF668" i="27"/>
  <c r="DF667" i="27"/>
  <c r="DF666" i="27"/>
  <c r="DF665" i="27"/>
  <c r="DF664" i="27"/>
  <c r="DF663" i="27"/>
  <c r="DF662" i="27"/>
  <c r="DF661" i="27"/>
  <c r="DF660" i="27"/>
  <c r="DF659" i="27"/>
  <c r="DF658" i="27"/>
  <c r="DF657" i="27"/>
  <c r="DF656" i="27"/>
  <c r="DF655" i="27"/>
  <c r="DF654" i="27"/>
  <c r="DF653" i="27"/>
  <c r="DF652" i="27"/>
  <c r="DF651" i="27"/>
  <c r="DF650" i="27"/>
  <c r="DF649" i="27"/>
  <c r="DF648" i="27"/>
  <c r="DF647" i="27"/>
  <c r="DF646" i="27"/>
  <c r="DF645" i="27"/>
  <c r="DF644" i="27"/>
  <c r="DF643" i="27"/>
  <c r="DF642" i="27"/>
  <c r="DF641" i="27"/>
  <c r="DF640" i="27"/>
  <c r="DF639" i="27"/>
  <c r="DF638" i="27"/>
  <c r="DF637" i="27"/>
  <c r="DF636" i="27"/>
  <c r="DF635" i="27"/>
  <c r="DF634" i="27"/>
  <c r="DF633" i="27"/>
  <c r="DF632" i="27"/>
  <c r="DF631" i="27"/>
  <c r="DF630" i="27"/>
  <c r="DF629" i="27"/>
  <c r="DF628" i="27"/>
  <c r="DF627" i="27"/>
  <c r="DF626" i="27"/>
  <c r="DF625" i="27"/>
  <c r="DF624" i="27"/>
  <c r="DF623" i="27"/>
  <c r="DF622" i="27"/>
  <c r="DF621" i="27"/>
  <c r="DF620" i="27"/>
  <c r="DF619" i="27"/>
  <c r="DF618" i="27"/>
  <c r="DF617" i="27"/>
  <c r="DF616" i="27"/>
  <c r="DF615" i="27"/>
  <c r="DF614" i="27"/>
  <c r="DF613" i="27"/>
  <c r="DF612" i="27"/>
  <c r="DF611" i="27"/>
  <c r="DF610" i="27"/>
  <c r="DF609" i="27"/>
  <c r="DF608" i="27"/>
  <c r="DF607" i="27"/>
  <c r="DF606" i="27"/>
  <c r="DF605" i="27"/>
  <c r="DF604" i="27"/>
  <c r="DF603" i="27"/>
  <c r="DF602" i="27"/>
  <c r="DF601" i="27"/>
  <c r="DF600" i="27"/>
  <c r="DF599" i="27"/>
  <c r="DF598" i="27"/>
  <c r="DF597" i="27"/>
  <c r="DF596" i="27"/>
  <c r="DF595" i="27"/>
  <c r="DF594" i="27"/>
  <c r="DF593" i="27"/>
  <c r="DF592" i="27"/>
  <c r="DF591" i="27"/>
  <c r="DF590" i="27"/>
  <c r="DF589" i="27"/>
  <c r="DF588" i="27"/>
  <c r="DF587" i="27"/>
  <c r="DF586" i="27"/>
  <c r="DF585" i="27"/>
  <c r="DF584" i="27"/>
  <c r="DF583" i="27"/>
  <c r="DF582" i="27"/>
  <c r="DF581" i="27"/>
  <c r="DF580" i="27"/>
  <c r="DF579" i="27"/>
  <c r="DF578" i="27"/>
  <c r="DF577" i="27"/>
  <c r="DF576" i="27"/>
  <c r="DF575" i="27"/>
  <c r="DF574" i="27"/>
  <c r="DF573" i="27"/>
  <c r="DF572" i="27"/>
  <c r="DF571" i="27"/>
  <c r="DF570" i="27"/>
  <c r="DF569" i="27"/>
  <c r="DF568" i="27"/>
  <c r="DF567" i="27"/>
  <c r="DF566" i="27"/>
  <c r="DF565" i="27"/>
  <c r="DF564" i="27"/>
  <c r="DF563" i="27"/>
  <c r="DF562" i="27"/>
  <c r="DF561" i="27"/>
  <c r="DF560" i="27"/>
  <c r="DF559" i="27"/>
  <c r="DF558" i="27"/>
  <c r="DF557" i="27"/>
  <c r="DF556" i="27"/>
  <c r="DF555" i="27"/>
  <c r="DF554" i="27"/>
  <c r="DF553" i="27"/>
  <c r="DF552" i="27"/>
  <c r="DF551" i="27"/>
  <c r="DF550" i="27"/>
  <c r="DF549" i="27"/>
  <c r="DF548" i="27"/>
  <c r="DF547" i="27"/>
  <c r="DF546" i="27"/>
  <c r="DF545" i="27"/>
  <c r="DF544" i="27"/>
  <c r="DF543" i="27"/>
  <c r="DF542" i="27"/>
  <c r="DF541" i="27"/>
  <c r="DF540" i="27"/>
  <c r="DF539" i="27"/>
  <c r="DF538" i="27"/>
  <c r="DF537" i="27"/>
  <c r="DF536" i="27"/>
  <c r="DF535" i="27"/>
  <c r="DF534" i="27"/>
  <c r="DF533" i="27"/>
  <c r="DF532" i="27"/>
  <c r="DF531" i="27"/>
  <c r="DF530" i="27"/>
  <c r="DF529" i="27"/>
  <c r="DF528" i="27"/>
  <c r="DF527" i="27"/>
  <c r="DF526" i="27"/>
  <c r="DF525" i="27"/>
  <c r="DF524" i="27"/>
  <c r="DF523" i="27"/>
  <c r="DF522" i="27"/>
  <c r="DF521" i="27"/>
  <c r="DF520" i="27"/>
  <c r="DF519" i="27"/>
  <c r="DF518" i="27"/>
  <c r="DF517" i="27"/>
  <c r="DF516" i="27"/>
  <c r="DF515" i="27"/>
  <c r="DF514" i="27"/>
  <c r="DF513" i="27"/>
  <c r="DF512" i="27"/>
  <c r="DF511" i="27"/>
  <c r="DF510" i="27"/>
  <c r="DF509" i="27"/>
  <c r="DF508" i="27"/>
  <c r="DF507" i="27"/>
  <c r="DF506" i="27"/>
  <c r="DF505" i="27"/>
  <c r="DF504" i="27"/>
  <c r="DF503" i="27"/>
  <c r="DF502" i="27"/>
  <c r="DF501" i="27"/>
  <c r="DF500" i="27"/>
  <c r="DF499" i="27"/>
  <c r="DF498" i="27"/>
  <c r="DF497" i="27"/>
  <c r="DF496" i="27"/>
  <c r="DF495" i="27"/>
  <c r="DF494" i="27"/>
  <c r="DF493" i="27"/>
  <c r="DF492" i="27"/>
  <c r="DF491" i="27"/>
  <c r="DF490" i="27"/>
  <c r="DF489" i="27"/>
  <c r="DF488" i="27"/>
  <c r="DF487" i="27"/>
  <c r="DF486" i="27"/>
  <c r="DF485" i="27"/>
  <c r="DF484" i="27"/>
  <c r="DF483" i="27"/>
  <c r="DF482" i="27"/>
  <c r="DF481" i="27"/>
  <c r="DF480" i="27"/>
  <c r="DF479" i="27"/>
  <c r="DF478" i="27"/>
  <c r="DF477" i="27"/>
  <c r="DF476" i="27"/>
  <c r="DF475" i="27"/>
  <c r="DF474" i="27"/>
  <c r="DF473" i="27"/>
  <c r="DF472" i="27"/>
  <c r="DF471" i="27"/>
  <c r="DF470" i="27"/>
  <c r="DF469" i="27"/>
  <c r="DF468" i="27"/>
  <c r="DF467" i="27"/>
  <c r="DF466" i="27"/>
  <c r="DF465" i="27"/>
  <c r="DF464" i="27"/>
  <c r="DF463" i="27"/>
  <c r="DF462" i="27"/>
  <c r="DF461" i="27"/>
  <c r="DF460" i="27"/>
  <c r="DF459" i="27"/>
  <c r="DF458" i="27"/>
  <c r="DF457" i="27"/>
  <c r="DF456" i="27"/>
  <c r="DF455" i="27"/>
  <c r="DF454" i="27"/>
  <c r="DF453" i="27"/>
  <c r="DF452" i="27"/>
  <c r="DF451" i="27"/>
  <c r="DF450" i="27"/>
  <c r="DF449" i="27"/>
  <c r="DF448" i="27"/>
  <c r="DF447" i="27"/>
  <c r="DF446" i="27"/>
  <c r="DF445" i="27"/>
  <c r="DF444" i="27"/>
  <c r="DF443" i="27"/>
  <c r="DF442" i="27"/>
  <c r="DF441" i="27"/>
  <c r="DF440" i="27"/>
  <c r="DF439" i="27"/>
  <c r="DF438" i="27"/>
  <c r="DF437" i="27"/>
  <c r="DF436" i="27"/>
  <c r="DF435" i="27"/>
  <c r="DF434" i="27"/>
  <c r="DF433" i="27"/>
  <c r="DF432" i="27"/>
  <c r="DF431" i="27"/>
  <c r="DF430" i="27"/>
  <c r="DF429" i="27"/>
  <c r="DF428" i="27"/>
  <c r="DF427" i="27"/>
  <c r="DF426" i="27"/>
  <c r="DF425" i="27"/>
  <c r="DF424" i="27"/>
  <c r="DF423" i="27"/>
  <c r="DF422" i="27"/>
  <c r="DF421" i="27"/>
  <c r="DF420" i="27"/>
  <c r="DF419" i="27"/>
  <c r="DF418" i="27"/>
  <c r="DF417" i="27"/>
  <c r="DF416" i="27"/>
  <c r="DF415" i="27"/>
  <c r="DF414" i="27"/>
  <c r="DF413" i="27"/>
  <c r="DF412" i="27"/>
  <c r="DF411" i="27"/>
  <c r="DF410" i="27"/>
  <c r="DF409" i="27"/>
  <c r="DF408" i="27"/>
  <c r="DF407" i="27"/>
  <c r="DF406" i="27"/>
  <c r="DF405" i="27"/>
  <c r="DF404" i="27"/>
  <c r="DF403" i="27"/>
  <c r="DF402" i="27"/>
  <c r="DF401" i="27"/>
  <c r="DF400" i="27"/>
  <c r="DF399" i="27"/>
  <c r="DF398" i="27"/>
  <c r="DF397" i="27"/>
  <c r="DF396" i="27"/>
  <c r="DF395" i="27"/>
  <c r="DF394" i="27"/>
  <c r="DF393" i="27"/>
  <c r="DF392" i="27"/>
  <c r="DF391" i="27"/>
  <c r="DF390" i="27"/>
  <c r="DF389" i="27"/>
  <c r="DF388" i="27"/>
  <c r="DF387" i="27"/>
  <c r="DF386" i="27"/>
  <c r="DF385" i="27"/>
  <c r="DF384" i="27"/>
  <c r="DF383" i="27"/>
  <c r="DF382" i="27"/>
  <c r="DF381" i="27"/>
  <c r="DF380" i="27"/>
  <c r="DF379" i="27"/>
  <c r="DF378" i="27"/>
  <c r="DF377" i="27"/>
  <c r="DF376" i="27"/>
  <c r="DF375" i="27"/>
  <c r="DF374" i="27"/>
  <c r="DF373" i="27"/>
  <c r="DF372" i="27"/>
  <c r="DF371" i="27"/>
  <c r="DF370" i="27"/>
  <c r="DF369" i="27"/>
  <c r="DF368" i="27"/>
  <c r="DF367" i="27"/>
  <c r="DF366" i="27"/>
  <c r="DF365" i="27"/>
  <c r="DF364" i="27"/>
  <c r="DF363" i="27"/>
  <c r="DF362" i="27"/>
  <c r="DF361" i="27"/>
  <c r="DF360" i="27"/>
  <c r="DF359" i="27"/>
  <c r="DF358" i="27"/>
  <c r="DF357" i="27"/>
  <c r="DF356" i="27"/>
  <c r="DF355" i="27"/>
  <c r="DF354" i="27"/>
  <c r="DF353" i="27"/>
  <c r="DF352" i="27"/>
  <c r="DF351" i="27"/>
  <c r="DF350" i="27"/>
  <c r="DF349" i="27"/>
  <c r="DF348" i="27"/>
  <c r="DF347" i="27"/>
  <c r="DF346" i="27"/>
  <c r="DF345" i="27"/>
  <c r="DF344" i="27"/>
  <c r="DF343" i="27"/>
  <c r="DF342" i="27"/>
  <c r="DF341" i="27"/>
  <c r="DF340" i="27"/>
  <c r="DF339" i="27"/>
  <c r="DF338" i="27"/>
  <c r="DF337" i="27"/>
  <c r="DF336" i="27"/>
  <c r="DF335" i="27"/>
  <c r="DF334" i="27"/>
  <c r="DF333" i="27"/>
  <c r="DF332" i="27"/>
  <c r="DF331" i="27"/>
  <c r="DF330" i="27"/>
  <c r="DF329" i="27"/>
  <c r="DF328" i="27"/>
  <c r="DF327" i="27"/>
  <c r="DF326" i="27"/>
  <c r="DF325" i="27"/>
  <c r="DF324" i="27"/>
  <c r="DF323" i="27"/>
  <c r="DF322" i="27"/>
  <c r="DF321" i="27"/>
  <c r="DF320" i="27"/>
  <c r="DF319" i="27"/>
  <c r="DF318" i="27"/>
  <c r="DF317" i="27"/>
  <c r="DF316" i="27"/>
  <c r="DF315" i="27"/>
  <c r="DF314" i="27"/>
  <c r="DF313" i="27"/>
  <c r="DF312" i="27"/>
  <c r="DF311" i="27"/>
  <c r="DF310" i="27"/>
  <c r="DF309" i="27"/>
  <c r="DF308" i="27"/>
  <c r="DF307" i="27"/>
  <c r="DF306" i="27"/>
  <c r="DF305" i="27"/>
  <c r="DF304" i="27"/>
  <c r="DF303" i="27"/>
  <c r="DF302" i="27"/>
  <c r="DF301" i="27"/>
  <c r="DF300" i="27"/>
  <c r="DF299" i="27"/>
  <c r="DF298" i="27"/>
  <c r="DF297" i="27"/>
  <c r="DF296" i="27"/>
  <c r="DF295" i="27"/>
  <c r="DF294" i="27"/>
  <c r="DF293" i="27"/>
  <c r="DF292" i="27"/>
  <c r="DF291" i="27"/>
  <c r="DF290" i="27"/>
  <c r="DF289" i="27"/>
  <c r="DF288" i="27"/>
  <c r="DF287" i="27"/>
  <c r="DF286" i="27"/>
  <c r="DF285" i="27"/>
  <c r="DF284" i="27"/>
  <c r="DF283" i="27"/>
  <c r="DF282" i="27"/>
  <c r="DF281" i="27"/>
  <c r="DF280" i="27"/>
  <c r="DF279" i="27"/>
  <c r="DF278" i="27"/>
  <c r="DF277" i="27"/>
  <c r="DF276" i="27"/>
  <c r="DF275" i="27"/>
  <c r="DF274" i="27"/>
  <c r="DF273" i="27"/>
  <c r="DF272" i="27"/>
  <c r="DF271" i="27"/>
  <c r="DF270" i="27"/>
  <c r="DF269" i="27"/>
  <c r="DF268" i="27"/>
  <c r="DF267" i="27"/>
  <c r="DF266" i="27"/>
  <c r="DF265" i="27"/>
  <c r="DF264" i="27"/>
  <c r="DF263" i="27"/>
  <c r="DF262" i="27"/>
  <c r="DF261" i="27"/>
  <c r="DF260" i="27"/>
  <c r="DF259" i="27"/>
  <c r="DF258" i="27"/>
  <c r="DF257" i="27"/>
  <c r="DF256" i="27"/>
  <c r="DF255" i="27"/>
  <c r="DF254" i="27"/>
  <c r="DF253" i="27"/>
  <c r="DF252" i="27"/>
  <c r="DF251" i="27"/>
  <c r="DF250" i="27"/>
  <c r="DF249" i="27"/>
  <c r="DF248" i="27"/>
  <c r="DF247" i="27"/>
  <c r="DF246" i="27"/>
  <c r="DF245" i="27"/>
  <c r="DF244" i="27"/>
  <c r="DF243" i="27"/>
  <c r="DF242" i="27"/>
  <c r="DF241" i="27"/>
  <c r="DF240" i="27"/>
  <c r="DF239" i="27"/>
  <c r="DF238" i="27"/>
  <c r="DF237" i="27"/>
  <c r="DF236" i="27"/>
  <c r="DF235" i="27"/>
  <c r="DF234" i="27"/>
  <c r="DF233" i="27"/>
  <c r="DF232" i="27"/>
  <c r="DF231" i="27"/>
  <c r="DF230" i="27"/>
  <c r="DF229" i="27"/>
  <c r="DF228" i="27"/>
  <c r="DF227" i="27"/>
  <c r="DF226" i="27"/>
  <c r="DF225" i="27"/>
  <c r="DF224" i="27"/>
  <c r="DF223" i="27"/>
  <c r="DF222" i="27"/>
  <c r="DF221" i="27"/>
  <c r="DF220" i="27"/>
  <c r="DF219" i="27"/>
  <c r="DF218" i="27"/>
  <c r="DF217" i="27"/>
  <c r="DF216" i="27"/>
  <c r="DF215" i="27"/>
  <c r="DF214" i="27"/>
  <c r="DF213" i="27"/>
  <c r="DF212" i="27"/>
  <c r="DF211" i="27"/>
  <c r="DF210" i="27"/>
  <c r="DF209" i="27"/>
  <c r="DF208" i="27"/>
  <c r="DF207" i="27"/>
  <c r="DF206" i="27"/>
  <c r="DF205" i="27"/>
  <c r="DF204" i="27"/>
  <c r="DF203" i="27"/>
  <c r="DF202" i="27"/>
  <c r="DF201" i="27"/>
  <c r="DF200" i="27"/>
  <c r="DF199" i="27"/>
  <c r="DF198" i="27"/>
  <c r="DF197" i="27"/>
  <c r="DF196" i="27"/>
  <c r="DF195" i="27"/>
  <c r="DF194" i="27"/>
  <c r="DF193" i="27"/>
  <c r="DF192" i="27"/>
  <c r="DF191" i="27"/>
  <c r="DF190" i="27"/>
  <c r="DF189" i="27"/>
  <c r="DF188" i="27"/>
  <c r="DF187" i="27"/>
  <c r="DF186" i="27"/>
  <c r="DF185" i="27"/>
  <c r="DF184" i="27"/>
  <c r="DF183" i="27"/>
  <c r="DF182" i="27"/>
  <c r="DF181" i="27"/>
  <c r="DF180" i="27"/>
  <c r="DF179" i="27"/>
  <c r="DF178" i="27"/>
  <c r="DF177" i="27"/>
  <c r="DF176" i="27"/>
  <c r="DF175" i="27"/>
  <c r="DF174" i="27"/>
  <c r="DF173" i="27"/>
  <c r="DF172" i="27"/>
  <c r="DF171" i="27"/>
  <c r="DF170" i="27"/>
  <c r="DF169" i="27"/>
  <c r="DF168" i="27"/>
  <c r="DF167" i="27"/>
  <c r="DF166" i="27"/>
  <c r="DF165" i="27"/>
  <c r="DF164" i="27"/>
  <c r="DF163" i="27"/>
  <c r="DF162" i="27"/>
  <c r="DF161" i="27"/>
  <c r="DF160" i="27"/>
  <c r="DF159" i="27"/>
  <c r="DF158" i="27"/>
  <c r="DF157" i="27"/>
  <c r="DF156" i="27"/>
  <c r="DF155" i="27"/>
  <c r="DF154" i="27"/>
  <c r="DF153" i="27"/>
  <c r="DF152" i="27"/>
  <c r="DF151" i="27"/>
  <c r="DF150" i="27"/>
  <c r="DF149" i="27"/>
  <c r="DF148" i="27"/>
  <c r="DF147" i="27"/>
  <c r="DF146" i="27"/>
  <c r="DF145" i="27"/>
  <c r="DF144" i="27"/>
  <c r="DF143" i="27"/>
  <c r="DF142" i="27"/>
  <c r="DF141" i="27"/>
  <c r="DF140" i="27"/>
  <c r="DF139" i="27"/>
  <c r="DF138" i="27"/>
  <c r="DF137" i="27"/>
  <c r="DF136" i="27"/>
  <c r="DF135" i="27"/>
  <c r="DF134" i="27"/>
  <c r="DF133" i="27"/>
  <c r="DF132" i="27"/>
  <c r="DF131" i="27"/>
  <c r="DF130" i="27"/>
  <c r="DF129" i="27"/>
  <c r="DF128" i="27"/>
  <c r="DF127" i="27"/>
  <c r="DF126" i="27"/>
  <c r="DF125" i="27"/>
  <c r="DF124" i="27"/>
  <c r="DF123" i="27"/>
  <c r="DF122" i="27"/>
  <c r="DF121" i="27"/>
  <c r="DF120" i="27"/>
  <c r="DF119" i="27"/>
  <c r="DF118" i="27"/>
  <c r="DF117" i="27"/>
  <c r="DF116" i="27"/>
  <c r="DF115" i="27"/>
  <c r="DF114" i="27"/>
  <c r="DF113" i="27"/>
  <c r="DF112" i="27"/>
  <c r="DF111" i="27"/>
  <c r="DF110" i="27"/>
  <c r="DF109" i="27"/>
  <c r="DF108" i="27"/>
  <c r="DF107" i="27"/>
  <c r="DF106" i="27"/>
  <c r="DF105" i="27"/>
  <c r="DF104" i="27"/>
  <c r="DF103" i="27"/>
  <c r="DF102" i="27"/>
  <c r="DF101" i="27"/>
  <c r="DF100" i="27"/>
  <c r="DF99" i="27"/>
  <c r="DF98" i="27"/>
  <c r="DF97" i="27"/>
  <c r="DF96" i="27"/>
  <c r="DF95" i="27"/>
  <c r="DF94" i="27"/>
  <c r="DF93" i="27"/>
  <c r="DF92" i="27"/>
  <c r="DF91" i="27"/>
  <c r="DF90" i="27"/>
  <c r="DF89" i="27"/>
  <c r="DF88" i="27"/>
  <c r="DF87" i="27"/>
  <c r="DF86" i="27"/>
  <c r="DF85" i="27"/>
  <c r="DF84" i="27"/>
  <c r="DF83" i="27"/>
  <c r="DF82" i="27"/>
  <c r="DF81" i="27"/>
  <c r="DF80" i="27"/>
  <c r="DF79" i="27"/>
  <c r="DF78" i="27"/>
  <c r="DF77" i="27"/>
  <c r="DF76" i="27"/>
  <c r="DF75" i="27"/>
  <c r="DF74" i="27"/>
  <c r="DF73" i="27"/>
  <c r="DF72" i="27"/>
  <c r="DF71" i="27"/>
  <c r="DF70" i="27"/>
  <c r="DF69" i="27"/>
  <c r="DF68" i="27"/>
  <c r="DF67" i="27"/>
  <c r="DF66" i="27"/>
  <c r="DF65" i="27"/>
  <c r="DF64" i="27"/>
  <c r="DF63" i="27"/>
  <c r="DF62" i="27"/>
  <c r="DF61" i="27"/>
  <c r="DF60" i="27"/>
  <c r="DF59" i="27"/>
  <c r="DF58" i="27"/>
  <c r="DF57" i="27"/>
  <c r="DF56" i="27"/>
  <c r="DF55" i="27"/>
  <c r="DF54" i="27"/>
  <c r="DF53" i="27"/>
  <c r="DF52" i="27"/>
  <c r="DF51" i="27"/>
  <c r="DF50" i="27"/>
  <c r="DF49" i="27"/>
  <c r="DF48" i="27"/>
  <c r="DF47" i="27"/>
  <c r="DF46" i="27"/>
  <c r="DF45" i="27"/>
  <c r="DF44" i="27"/>
  <c r="DF43" i="27"/>
  <c r="DF42" i="27"/>
  <c r="DF41" i="27"/>
  <c r="DF40" i="27"/>
  <c r="DF39" i="27"/>
  <c r="DF38" i="27"/>
  <c r="DF37" i="27"/>
  <c r="DF36" i="27"/>
  <c r="DF35" i="27"/>
  <c r="DF34" i="27"/>
  <c r="DF33" i="27"/>
  <c r="DF32" i="27"/>
  <c r="DF31" i="27"/>
  <c r="DF30" i="27"/>
  <c r="DF29" i="27"/>
  <c r="DF28" i="27"/>
  <c r="DF27" i="27"/>
  <c r="DF26" i="27"/>
  <c r="DF25" i="27"/>
  <c r="DF24" i="27"/>
  <c r="DF23" i="27"/>
  <c r="DF22" i="27"/>
  <c r="DF21" i="27"/>
  <c r="DF20" i="27"/>
  <c r="DF19" i="27"/>
  <c r="DF18" i="27"/>
  <c r="DF17" i="27"/>
  <c r="DF16" i="27"/>
  <c r="DF15" i="27"/>
  <c r="DF14" i="27"/>
  <c r="DF13" i="27"/>
  <c r="DF12" i="27"/>
  <c r="DF11" i="27"/>
  <c r="DF10" i="27"/>
  <c r="DF9" i="27"/>
  <c r="DF8" i="27"/>
  <c r="DF7" i="27"/>
  <c r="DE7" i="27" l="1"/>
  <c r="CM1115" i="27" l="1"/>
  <c r="CM1114" i="27"/>
  <c r="CM1113" i="27"/>
  <c r="CM1112" i="27"/>
  <c r="CM1111" i="27"/>
  <c r="CM1110" i="27"/>
  <c r="CM1109" i="27"/>
  <c r="CM1108" i="27"/>
  <c r="CM1107" i="27"/>
  <c r="CM1106" i="27"/>
  <c r="CM1105" i="27"/>
  <c r="CM1104" i="27"/>
  <c r="CM1103" i="27"/>
  <c r="CM1102" i="27"/>
  <c r="CM1101" i="27"/>
  <c r="CM1100" i="27"/>
  <c r="CM1099" i="27"/>
  <c r="CM1098" i="27"/>
  <c r="CM1097" i="27"/>
  <c r="CM1096" i="27"/>
  <c r="CM1095" i="27"/>
  <c r="CM1094" i="27"/>
  <c r="CM1093" i="27"/>
  <c r="CM1092" i="27"/>
  <c r="CM1091" i="27"/>
  <c r="CM1090" i="27"/>
  <c r="CM1089" i="27"/>
  <c r="CM1088" i="27"/>
  <c r="CM1087" i="27"/>
  <c r="CM1086" i="27"/>
  <c r="CM1085" i="27"/>
  <c r="CM1084" i="27"/>
  <c r="CM1083" i="27"/>
  <c r="CM1082" i="27"/>
  <c r="CM1081" i="27"/>
  <c r="CM1080" i="27"/>
  <c r="CM1079" i="27"/>
  <c r="CM1078" i="27"/>
  <c r="CM1077" i="27"/>
  <c r="CM1076" i="27"/>
  <c r="CM1075" i="27"/>
  <c r="CM1074" i="27"/>
  <c r="CM1073" i="27"/>
  <c r="CM1072" i="27"/>
  <c r="CM1071" i="27"/>
  <c r="CM1070" i="27"/>
  <c r="CM1069" i="27"/>
  <c r="CM1068" i="27"/>
  <c r="CM1067" i="27"/>
  <c r="CM1066" i="27"/>
  <c r="CM1065" i="27"/>
  <c r="CM1064" i="27"/>
  <c r="CM1063" i="27"/>
  <c r="CM1062" i="27"/>
  <c r="CM1061" i="27"/>
  <c r="CM1060" i="27"/>
  <c r="CM1059" i="27"/>
  <c r="CM1058" i="27"/>
  <c r="CM1057" i="27"/>
  <c r="CM1056" i="27"/>
  <c r="CM1055" i="27"/>
  <c r="CM1054" i="27"/>
  <c r="CM1053" i="27"/>
  <c r="CM1052" i="27"/>
  <c r="CM1051" i="27"/>
  <c r="CM1050" i="27"/>
  <c r="CM1049" i="27"/>
  <c r="CM1048" i="27"/>
  <c r="CM1047" i="27"/>
  <c r="CM1046" i="27"/>
  <c r="CM1045" i="27"/>
  <c r="CM1044" i="27"/>
  <c r="CM1043" i="27"/>
  <c r="CM1042" i="27"/>
  <c r="CM1041" i="27"/>
  <c r="CM1040" i="27"/>
  <c r="CM1039" i="27"/>
  <c r="CM1038" i="27"/>
  <c r="CM1037" i="27"/>
  <c r="CM1036" i="27"/>
  <c r="CM1035" i="27"/>
  <c r="CM1034" i="27"/>
  <c r="CM1033" i="27"/>
  <c r="CM1032" i="27"/>
  <c r="CM1031" i="27"/>
  <c r="CM1030" i="27"/>
  <c r="CM1029" i="27"/>
  <c r="CM1028" i="27"/>
  <c r="CM1027" i="27"/>
  <c r="CM1026" i="27"/>
  <c r="CM1025" i="27"/>
  <c r="CM1024" i="27"/>
  <c r="CM1023" i="27"/>
  <c r="CM1022" i="27"/>
  <c r="CM1021" i="27"/>
  <c r="CM1020" i="27"/>
  <c r="CM1019" i="27"/>
  <c r="CM1018" i="27"/>
  <c r="CM1017" i="27"/>
  <c r="CM1016" i="27"/>
  <c r="CM1015" i="27"/>
  <c r="CM1014" i="27"/>
  <c r="CM1013" i="27"/>
  <c r="CM1012" i="27"/>
  <c r="CM1011" i="27"/>
  <c r="CM1010" i="27"/>
  <c r="CM1009" i="27"/>
  <c r="CM1008" i="27"/>
  <c r="CM1007" i="27"/>
  <c r="CM1006" i="27"/>
  <c r="CM1005" i="27"/>
  <c r="CM1004" i="27"/>
  <c r="CM1003" i="27"/>
  <c r="CM1002" i="27"/>
  <c r="CM1001" i="27"/>
  <c r="CM1000" i="27"/>
  <c r="CM999" i="27"/>
  <c r="CM998" i="27"/>
  <c r="CM997" i="27"/>
  <c r="CM996" i="27"/>
  <c r="CM995" i="27"/>
  <c r="CM994" i="27"/>
  <c r="CM993" i="27"/>
  <c r="CM992" i="27"/>
  <c r="CM991" i="27"/>
  <c r="CM990" i="27"/>
  <c r="CM989" i="27"/>
  <c r="CM988" i="27"/>
  <c r="CM987" i="27"/>
  <c r="CM986" i="27"/>
  <c r="CM985" i="27"/>
  <c r="CM984" i="27"/>
  <c r="CM983" i="27"/>
  <c r="CM982" i="27"/>
  <c r="CM981" i="27"/>
  <c r="CM980" i="27"/>
  <c r="CM979" i="27"/>
  <c r="CM978" i="27"/>
  <c r="CM977" i="27"/>
  <c r="CM976" i="27"/>
  <c r="CM975" i="27"/>
  <c r="CM974" i="27"/>
  <c r="CM973" i="27"/>
  <c r="CM972" i="27"/>
  <c r="CM971" i="27"/>
  <c r="CM970" i="27"/>
  <c r="CM969" i="27"/>
  <c r="CM968" i="27"/>
  <c r="CM967" i="27"/>
  <c r="CM966" i="27"/>
  <c r="CM965" i="27"/>
  <c r="CM964" i="27"/>
  <c r="CM963" i="27"/>
  <c r="CM962" i="27"/>
  <c r="CM961" i="27"/>
  <c r="CM960" i="27"/>
  <c r="CM959" i="27"/>
  <c r="CM958" i="27"/>
  <c r="CM957" i="27"/>
  <c r="CM956" i="27"/>
  <c r="CM955" i="27"/>
  <c r="CM954" i="27"/>
  <c r="CM953" i="27"/>
  <c r="CM952" i="27"/>
  <c r="CM951" i="27"/>
  <c r="CM950" i="27"/>
  <c r="CM949" i="27"/>
  <c r="CM948" i="27"/>
  <c r="CM947" i="27"/>
  <c r="CM946" i="27"/>
  <c r="CM945" i="27"/>
  <c r="CM944" i="27"/>
  <c r="CM943" i="27"/>
  <c r="CM942" i="27"/>
  <c r="CM941" i="27"/>
  <c r="CM940" i="27"/>
  <c r="CM939" i="27"/>
  <c r="CM938" i="27"/>
  <c r="CM937" i="27"/>
  <c r="CM936" i="27"/>
  <c r="CM935" i="27"/>
  <c r="CM934" i="27"/>
  <c r="CM933" i="27"/>
  <c r="CM932" i="27"/>
  <c r="CM931" i="27"/>
  <c r="CM930" i="27"/>
  <c r="CM929" i="27"/>
  <c r="CM928" i="27"/>
  <c r="CM927" i="27"/>
  <c r="CM926" i="27"/>
  <c r="CM925" i="27"/>
  <c r="CM924" i="27"/>
  <c r="CM923" i="27"/>
  <c r="CM922" i="27"/>
  <c r="CM921" i="27"/>
  <c r="CM920" i="27"/>
  <c r="CM919" i="27"/>
  <c r="CM918" i="27"/>
  <c r="CM917" i="27"/>
  <c r="CM916" i="27"/>
  <c r="CM915" i="27"/>
  <c r="CM914" i="27"/>
  <c r="CM913" i="27"/>
  <c r="CM912" i="27"/>
  <c r="CM911" i="27"/>
  <c r="CM910" i="27"/>
  <c r="CM909" i="27"/>
  <c r="CM908" i="27"/>
  <c r="CM907" i="27"/>
  <c r="CM906" i="27"/>
  <c r="CM905" i="27"/>
  <c r="CM904" i="27"/>
  <c r="CM903" i="27"/>
  <c r="CM902" i="27"/>
  <c r="CM901" i="27"/>
  <c r="CM900" i="27"/>
  <c r="CM899" i="27"/>
  <c r="CM898" i="27"/>
  <c r="CM897" i="27"/>
  <c r="CM896" i="27"/>
  <c r="CM895" i="27"/>
  <c r="CM894" i="27"/>
  <c r="CM893" i="27"/>
  <c r="CM892" i="27"/>
  <c r="CM891" i="27"/>
  <c r="CM890" i="27"/>
  <c r="CM889" i="27"/>
  <c r="CM888" i="27"/>
  <c r="CM887" i="27"/>
  <c r="CM886" i="27"/>
  <c r="CM885" i="27"/>
  <c r="CM884" i="27"/>
  <c r="CM883" i="27"/>
  <c r="CM882" i="27"/>
  <c r="CM881" i="27"/>
  <c r="CM880" i="27"/>
  <c r="CM879" i="27"/>
  <c r="CM878" i="27"/>
  <c r="CM877" i="27"/>
  <c r="CM876" i="27"/>
  <c r="CM875" i="27"/>
  <c r="CM874" i="27"/>
  <c r="CM873" i="27"/>
  <c r="CM872" i="27"/>
  <c r="CM871" i="27"/>
  <c r="CM870" i="27"/>
  <c r="CM869" i="27"/>
  <c r="CM868" i="27"/>
  <c r="CM867" i="27"/>
  <c r="CM866" i="27"/>
  <c r="CM865" i="27"/>
  <c r="CM864" i="27"/>
  <c r="CM863" i="27"/>
  <c r="CM862" i="27"/>
  <c r="CM861" i="27"/>
  <c r="CM860" i="27"/>
  <c r="CM859" i="27"/>
  <c r="CM858" i="27"/>
  <c r="CM857" i="27"/>
  <c r="CM856" i="27"/>
  <c r="CM855" i="27"/>
  <c r="CM854" i="27"/>
  <c r="CM853" i="27"/>
  <c r="CM852" i="27"/>
  <c r="CM851" i="27"/>
  <c r="CM850" i="27"/>
  <c r="CM849" i="27"/>
  <c r="CM848" i="27"/>
  <c r="CM847" i="27"/>
  <c r="CM846" i="27"/>
  <c r="CM845" i="27"/>
  <c r="CM844" i="27"/>
  <c r="CM843" i="27"/>
  <c r="CM842" i="27"/>
  <c r="CM841" i="27"/>
  <c r="CM840" i="27"/>
  <c r="CM839" i="27"/>
  <c r="CM838" i="27"/>
  <c r="CM837" i="27"/>
  <c r="CM836" i="27"/>
  <c r="CM835" i="27"/>
  <c r="CM834" i="27"/>
  <c r="CM833" i="27"/>
  <c r="CM832" i="27"/>
  <c r="CM831" i="27"/>
  <c r="CM830" i="27"/>
  <c r="CM829" i="27"/>
  <c r="CM828" i="27"/>
  <c r="CM827" i="27"/>
  <c r="CM826" i="27"/>
  <c r="CM825" i="27"/>
  <c r="CM824" i="27"/>
  <c r="CM823" i="27"/>
  <c r="CM822" i="27"/>
  <c r="CM821" i="27"/>
  <c r="CM820" i="27"/>
  <c r="CM819" i="27"/>
  <c r="CM818" i="27"/>
  <c r="CM817" i="27"/>
  <c r="CM816" i="27"/>
  <c r="CM815" i="27"/>
  <c r="CM814" i="27"/>
  <c r="CM813" i="27"/>
  <c r="CM812" i="27"/>
  <c r="CM811" i="27"/>
  <c r="CM810" i="27"/>
  <c r="CM809" i="27"/>
  <c r="CM808" i="27"/>
  <c r="CM807" i="27"/>
  <c r="CM806" i="27"/>
  <c r="CM805" i="27"/>
  <c r="CM804" i="27"/>
  <c r="CM803" i="27"/>
  <c r="CM802" i="27"/>
  <c r="CM801" i="27"/>
  <c r="CM800" i="27"/>
  <c r="CM799" i="27"/>
  <c r="CM798" i="27"/>
  <c r="CM797" i="27"/>
  <c r="CM796" i="27"/>
  <c r="CM795" i="27"/>
  <c r="CM794" i="27"/>
  <c r="CM793" i="27"/>
  <c r="CM792" i="27"/>
  <c r="CM791" i="27"/>
  <c r="CM790" i="27"/>
  <c r="CM789" i="27"/>
  <c r="CM788" i="27"/>
  <c r="CM787" i="27"/>
  <c r="CM786" i="27"/>
  <c r="CM785" i="27"/>
  <c r="CM784" i="27"/>
  <c r="CM783" i="27"/>
  <c r="CM782" i="27"/>
  <c r="CM781" i="27"/>
  <c r="CM780" i="27"/>
  <c r="CM779" i="27"/>
  <c r="CM778" i="27"/>
  <c r="CM777" i="27"/>
  <c r="CM776" i="27"/>
  <c r="CM775" i="27"/>
  <c r="CM774" i="27"/>
  <c r="CM773" i="27"/>
  <c r="CM772" i="27"/>
  <c r="CM771" i="27"/>
  <c r="CM770" i="27"/>
  <c r="CM769" i="27"/>
  <c r="CM768" i="27"/>
  <c r="CM767" i="27"/>
  <c r="CM766" i="27"/>
  <c r="CM765" i="27"/>
  <c r="CM764" i="27"/>
  <c r="CM763" i="27"/>
  <c r="CM762" i="27"/>
  <c r="CM761" i="27"/>
  <c r="CM760" i="27"/>
  <c r="CM759" i="27"/>
  <c r="CM758" i="27"/>
  <c r="CM757" i="27"/>
  <c r="CM756" i="27"/>
  <c r="CM755" i="27"/>
  <c r="CM754" i="27"/>
  <c r="CM753" i="27"/>
  <c r="CM752" i="27"/>
  <c r="CM751" i="27"/>
  <c r="CM750" i="27"/>
  <c r="CM749" i="27"/>
  <c r="CM748" i="27"/>
  <c r="CM747" i="27"/>
  <c r="CM746" i="27"/>
  <c r="CM745" i="27"/>
  <c r="CM744" i="27"/>
  <c r="CM743" i="27"/>
  <c r="CM742" i="27"/>
  <c r="CM741" i="27"/>
  <c r="CM740" i="27"/>
  <c r="CM739" i="27"/>
  <c r="CM738" i="27"/>
  <c r="CM737" i="27"/>
  <c r="CM736" i="27"/>
  <c r="CM735" i="27"/>
  <c r="CM734" i="27"/>
  <c r="CM733" i="27"/>
  <c r="CM732" i="27"/>
  <c r="CM731" i="27"/>
  <c r="CM730" i="27"/>
  <c r="CM729" i="27"/>
  <c r="CM728" i="27"/>
  <c r="CM727" i="27"/>
  <c r="CM726" i="27"/>
  <c r="CM725" i="27"/>
  <c r="CM724" i="27"/>
  <c r="CM723" i="27"/>
  <c r="CM722" i="27"/>
  <c r="CM721" i="27"/>
  <c r="CM720" i="27"/>
  <c r="CM719" i="27"/>
  <c r="CM718" i="27"/>
  <c r="CM717" i="27"/>
  <c r="CM716" i="27"/>
  <c r="CM715" i="27"/>
  <c r="CM714" i="27"/>
  <c r="CM713" i="27"/>
  <c r="CM712" i="27"/>
  <c r="CM711" i="27"/>
  <c r="CM710" i="27"/>
  <c r="CM709" i="27"/>
  <c r="CM708" i="27"/>
  <c r="CM707" i="27"/>
  <c r="CM706" i="27"/>
  <c r="CM705" i="27"/>
  <c r="CM704" i="27"/>
  <c r="CM703" i="27"/>
  <c r="CM702" i="27"/>
  <c r="CM701" i="27"/>
  <c r="CM700" i="27"/>
  <c r="CM699" i="27"/>
  <c r="CM698" i="27"/>
  <c r="CM697" i="27"/>
  <c r="CM696" i="27"/>
  <c r="CM695" i="27"/>
  <c r="CM694" i="27"/>
  <c r="CM693" i="27"/>
  <c r="CM692" i="27"/>
  <c r="CM691" i="27"/>
  <c r="CM690" i="27"/>
  <c r="CM689" i="27"/>
  <c r="CM688" i="27"/>
  <c r="CM687" i="27"/>
  <c r="CM686" i="27"/>
  <c r="CM685" i="27"/>
  <c r="CM684" i="27"/>
  <c r="CM683" i="27"/>
  <c r="CM682" i="27"/>
  <c r="CM681" i="27"/>
  <c r="CM680" i="27"/>
  <c r="CM679" i="27"/>
  <c r="CM678" i="27"/>
  <c r="CM677" i="27"/>
  <c r="CM676" i="27"/>
  <c r="CM675" i="27"/>
  <c r="CM674" i="27"/>
  <c r="CM673" i="27"/>
  <c r="CM672" i="27"/>
  <c r="CM671" i="27"/>
  <c r="CM670" i="27"/>
  <c r="CM669" i="27"/>
  <c r="CM668" i="27"/>
  <c r="CM667" i="27"/>
  <c r="CM666" i="27"/>
  <c r="CM665" i="27"/>
  <c r="CM664" i="27"/>
  <c r="CM663" i="27"/>
  <c r="CM662" i="27"/>
  <c r="CM661" i="27"/>
  <c r="CM660" i="27"/>
  <c r="CM659" i="27"/>
  <c r="CM658" i="27"/>
  <c r="CM657" i="27"/>
  <c r="CM656" i="27"/>
  <c r="CM655" i="27"/>
  <c r="CM654" i="27"/>
  <c r="CM653" i="27"/>
  <c r="CM652" i="27"/>
  <c r="CM651" i="27"/>
  <c r="CM650" i="27"/>
  <c r="CM649" i="27"/>
  <c r="CM648" i="27"/>
  <c r="CM647" i="27"/>
  <c r="CM646" i="27"/>
  <c r="CM645" i="27"/>
  <c r="CM644" i="27"/>
  <c r="CM643" i="27"/>
  <c r="CM642" i="27"/>
  <c r="CM641" i="27"/>
  <c r="CM640" i="27"/>
  <c r="CM639" i="27"/>
  <c r="CM638" i="27"/>
  <c r="CM637" i="27"/>
  <c r="CM636" i="27"/>
  <c r="CM635" i="27"/>
  <c r="CM634" i="27"/>
  <c r="CM633" i="27"/>
  <c r="CM632" i="27"/>
  <c r="CM631" i="27"/>
  <c r="CM630" i="27"/>
  <c r="CM629" i="27"/>
  <c r="CM628" i="27"/>
  <c r="CM627" i="27"/>
  <c r="CM626" i="27"/>
  <c r="CM625" i="27"/>
  <c r="CM624" i="27"/>
  <c r="CM623" i="27"/>
  <c r="CM622" i="27"/>
  <c r="CM621" i="27"/>
  <c r="CM620" i="27"/>
  <c r="CM619" i="27"/>
  <c r="CM618" i="27"/>
  <c r="CM617" i="27"/>
  <c r="CM616" i="27"/>
  <c r="CM615" i="27"/>
  <c r="CM614" i="27"/>
  <c r="CM613" i="27"/>
  <c r="CM612" i="27"/>
  <c r="CM611" i="27"/>
  <c r="CM610" i="27"/>
  <c r="CM609" i="27"/>
  <c r="CM608" i="27"/>
  <c r="CM607" i="27"/>
  <c r="CM606" i="27"/>
  <c r="CM605" i="27"/>
  <c r="CM604" i="27"/>
  <c r="CM603" i="27"/>
  <c r="CM602" i="27"/>
  <c r="CM601" i="27"/>
  <c r="CM600" i="27"/>
  <c r="CM599" i="27"/>
  <c r="CM598" i="27"/>
  <c r="CM597" i="27"/>
  <c r="CM596" i="27"/>
  <c r="CM595" i="27"/>
  <c r="CM594" i="27"/>
  <c r="CM593" i="27"/>
  <c r="CM592" i="27"/>
  <c r="CM591" i="27"/>
  <c r="CM590" i="27"/>
  <c r="CM589" i="27"/>
  <c r="CM588" i="27"/>
  <c r="CM587" i="27"/>
  <c r="CM586" i="27"/>
  <c r="CM585" i="27"/>
  <c r="CM584" i="27"/>
  <c r="CM583" i="27"/>
  <c r="CM582" i="27"/>
  <c r="CM581" i="27"/>
  <c r="CM580" i="27"/>
  <c r="CM579" i="27"/>
  <c r="CM578" i="27"/>
  <c r="CM577" i="27"/>
  <c r="CM576" i="27"/>
  <c r="CM575" i="27"/>
  <c r="CM574" i="27"/>
  <c r="CM573" i="27"/>
  <c r="CM572" i="27"/>
  <c r="CM571" i="27"/>
  <c r="CM570" i="27"/>
  <c r="CM569" i="27"/>
  <c r="CM568" i="27"/>
  <c r="CM567" i="27"/>
  <c r="CM566" i="27"/>
  <c r="CM565" i="27"/>
  <c r="CM564" i="27"/>
  <c r="CM563" i="27"/>
  <c r="CM562" i="27"/>
  <c r="CM561" i="27"/>
  <c r="CM560" i="27"/>
  <c r="CM559" i="27"/>
  <c r="CM558" i="27"/>
  <c r="CM557" i="27"/>
  <c r="CM556" i="27"/>
  <c r="CM555" i="27"/>
  <c r="CM554" i="27"/>
  <c r="CM553" i="27"/>
  <c r="CM552" i="27"/>
  <c r="CM551" i="27"/>
  <c r="CM550" i="27"/>
  <c r="CM549" i="27"/>
  <c r="CM548" i="27"/>
  <c r="CM547" i="27"/>
  <c r="CM546" i="27"/>
  <c r="CM545" i="27"/>
  <c r="CM544" i="27"/>
  <c r="CM543" i="27"/>
  <c r="CM542" i="27"/>
  <c r="CM541" i="27"/>
  <c r="CM540" i="27"/>
  <c r="CM539" i="27"/>
  <c r="CM538" i="27"/>
  <c r="CM537" i="27"/>
  <c r="CM536" i="27"/>
  <c r="CM535" i="27"/>
  <c r="CM534" i="27"/>
  <c r="CM533" i="27"/>
  <c r="CM532" i="27"/>
  <c r="CM531" i="27"/>
  <c r="CM530" i="27"/>
  <c r="CM529" i="27"/>
  <c r="CM528" i="27"/>
  <c r="CM527" i="27"/>
  <c r="CM526" i="27"/>
  <c r="CM525" i="27"/>
  <c r="CM524" i="27"/>
  <c r="CM523" i="27"/>
  <c r="CM522" i="27"/>
  <c r="CM521" i="27"/>
  <c r="CM520" i="27"/>
  <c r="CM519" i="27"/>
  <c r="CM518" i="27"/>
  <c r="CM517" i="27"/>
  <c r="CM516" i="27"/>
  <c r="CM515" i="27"/>
  <c r="CM514" i="27"/>
  <c r="CM513" i="27"/>
  <c r="CM512" i="27"/>
  <c r="CM511" i="27"/>
  <c r="CM510" i="27"/>
  <c r="CM509" i="27"/>
  <c r="CM508" i="27"/>
  <c r="CM507" i="27"/>
  <c r="CM506" i="27"/>
  <c r="CM505" i="27"/>
  <c r="CM504" i="27"/>
  <c r="CM503" i="27"/>
  <c r="CM502" i="27"/>
  <c r="CM501" i="27"/>
  <c r="CM500" i="27"/>
  <c r="CM499" i="27"/>
  <c r="CM498" i="27"/>
  <c r="CM497" i="27"/>
  <c r="CM496" i="27"/>
  <c r="CM495" i="27"/>
  <c r="CM494" i="27"/>
  <c r="CM493" i="27"/>
  <c r="CM492" i="27"/>
  <c r="CM491" i="27"/>
  <c r="CM490" i="27"/>
  <c r="CM489" i="27"/>
  <c r="CM488" i="27"/>
  <c r="CM487" i="27"/>
  <c r="CM486" i="27"/>
  <c r="CM485" i="27"/>
  <c r="CM484" i="27"/>
  <c r="CM483" i="27"/>
  <c r="CM482" i="27"/>
  <c r="CM481" i="27"/>
  <c r="CM480" i="27"/>
  <c r="CM479" i="27"/>
  <c r="CM478" i="27"/>
  <c r="CM477" i="27"/>
  <c r="CM476" i="27"/>
  <c r="CM475" i="27"/>
  <c r="CM474" i="27"/>
  <c r="CM473" i="27"/>
  <c r="CM472" i="27"/>
  <c r="CM471" i="27"/>
  <c r="CM470" i="27"/>
  <c r="CM469" i="27"/>
  <c r="CM468" i="27"/>
  <c r="CM467" i="27"/>
  <c r="CM466" i="27"/>
  <c r="CM465" i="27"/>
  <c r="CM464" i="27"/>
  <c r="CM463" i="27"/>
  <c r="CM462" i="27"/>
  <c r="CM461" i="27"/>
  <c r="CM460" i="27"/>
  <c r="CM459" i="27"/>
  <c r="CM458" i="27"/>
  <c r="CM457" i="27"/>
  <c r="CM456" i="27"/>
  <c r="CM455" i="27"/>
  <c r="CM454" i="27"/>
  <c r="CM453" i="27"/>
  <c r="CM452" i="27"/>
  <c r="CM451" i="27"/>
  <c r="CM450" i="27"/>
  <c r="CM449" i="27"/>
  <c r="CM448" i="27"/>
  <c r="CM447" i="27"/>
  <c r="CM446" i="27"/>
  <c r="CM445" i="27"/>
  <c r="CM444" i="27"/>
  <c r="CM443" i="27"/>
  <c r="CM442" i="27"/>
  <c r="CM441" i="27"/>
  <c r="CM440" i="27"/>
  <c r="CM439" i="27"/>
  <c r="CM438" i="27"/>
  <c r="CM437" i="27"/>
  <c r="CM436" i="27"/>
  <c r="CM435" i="27"/>
  <c r="CM434" i="27"/>
  <c r="CM433" i="27"/>
  <c r="CM432" i="27"/>
  <c r="CM431" i="27"/>
  <c r="CM430" i="27"/>
  <c r="CM429" i="27"/>
  <c r="CM428" i="27"/>
  <c r="CM427" i="27"/>
  <c r="CM426" i="27"/>
  <c r="CM425" i="27"/>
  <c r="CM424" i="27"/>
  <c r="CM423" i="27"/>
  <c r="CM422" i="27"/>
  <c r="CM421" i="27"/>
  <c r="CM420" i="27"/>
  <c r="CM419" i="27"/>
  <c r="CM418" i="27"/>
  <c r="CM417" i="27"/>
  <c r="CM416" i="27"/>
  <c r="CM415" i="27"/>
  <c r="CM414" i="27"/>
  <c r="CM413" i="27"/>
  <c r="CM412" i="27"/>
  <c r="CM411" i="27"/>
  <c r="CM410" i="27"/>
  <c r="CM409" i="27"/>
  <c r="CM408" i="27"/>
  <c r="CM407" i="27"/>
  <c r="CM406" i="27"/>
  <c r="CM405" i="27"/>
  <c r="CM404" i="27"/>
  <c r="CM403" i="27"/>
  <c r="CM402" i="27"/>
  <c r="CM401" i="27"/>
  <c r="CM400" i="27"/>
  <c r="CM399" i="27"/>
  <c r="CM398" i="27"/>
  <c r="CM397" i="27"/>
  <c r="CM396" i="27"/>
  <c r="CM395" i="27"/>
  <c r="CM394" i="27"/>
  <c r="CM393" i="27"/>
  <c r="CM392" i="27"/>
  <c r="CM391" i="27"/>
  <c r="CM390" i="27"/>
  <c r="CM389" i="27"/>
  <c r="CM388" i="27"/>
  <c r="CM387" i="27"/>
  <c r="CM386" i="27"/>
  <c r="CM385" i="27"/>
  <c r="CM384" i="27"/>
  <c r="CM383" i="27"/>
  <c r="CM382" i="27"/>
  <c r="CM381" i="27"/>
  <c r="CM380" i="27"/>
  <c r="CM379" i="27"/>
  <c r="CM378" i="27"/>
  <c r="CM377" i="27"/>
  <c r="CM376" i="27"/>
  <c r="CM375" i="27"/>
  <c r="CM374" i="27"/>
  <c r="CM373" i="27"/>
  <c r="CM372" i="27"/>
  <c r="CM371" i="27"/>
  <c r="CM370" i="27"/>
  <c r="CM369" i="27"/>
  <c r="CM368" i="27"/>
  <c r="CM367" i="27"/>
  <c r="CM366" i="27"/>
  <c r="CM365" i="27"/>
  <c r="CM364" i="27"/>
  <c r="CM363" i="27"/>
  <c r="CM362" i="27"/>
  <c r="CM361" i="27"/>
  <c r="CM360" i="27"/>
  <c r="CM359" i="27"/>
  <c r="CM358" i="27"/>
  <c r="CM357" i="27"/>
  <c r="CM356" i="27"/>
  <c r="CM355" i="27"/>
  <c r="CM354" i="27"/>
  <c r="CM353" i="27"/>
  <c r="CM352" i="27"/>
  <c r="CM351" i="27"/>
  <c r="CM350" i="27"/>
  <c r="CM349" i="27"/>
  <c r="CM348" i="27"/>
  <c r="CM347" i="27"/>
  <c r="CM346" i="27"/>
  <c r="CM345" i="27"/>
  <c r="CM344" i="27"/>
  <c r="CM343" i="27"/>
  <c r="CM342" i="27"/>
  <c r="CM341" i="27"/>
  <c r="CM340" i="27"/>
  <c r="CM339" i="27"/>
  <c r="CM338" i="27"/>
  <c r="CM337" i="27"/>
  <c r="CM336" i="27"/>
  <c r="CM335" i="27"/>
  <c r="CM334" i="27"/>
  <c r="CM333" i="27"/>
  <c r="CM332" i="27"/>
  <c r="CM331" i="27"/>
  <c r="CM330" i="27"/>
  <c r="CM329" i="27"/>
  <c r="CM328" i="27"/>
  <c r="CM327" i="27"/>
  <c r="CM326" i="27"/>
  <c r="CM325" i="27"/>
  <c r="CM324" i="27"/>
  <c r="CM323" i="27"/>
  <c r="CM322" i="27"/>
  <c r="CM321" i="27"/>
  <c r="CM320" i="27"/>
  <c r="CM319" i="27"/>
  <c r="CM318" i="27"/>
  <c r="CM317" i="27"/>
  <c r="CM316" i="27"/>
  <c r="CM315" i="27"/>
  <c r="CM314" i="27"/>
  <c r="CM313" i="27"/>
  <c r="CM312" i="27"/>
  <c r="CM311" i="27"/>
  <c r="CM310" i="27"/>
  <c r="CM309" i="27"/>
  <c r="CM308" i="27"/>
  <c r="CM307" i="27"/>
  <c r="CM306" i="27"/>
  <c r="CM305" i="27"/>
  <c r="CM304" i="27"/>
  <c r="CM303" i="27"/>
  <c r="CM302" i="27"/>
  <c r="CM301" i="27"/>
  <c r="CM300" i="27"/>
  <c r="CM299" i="27"/>
  <c r="CM298" i="27"/>
  <c r="CM297" i="27"/>
  <c r="CM296" i="27"/>
  <c r="CM295" i="27"/>
  <c r="CM294" i="27"/>
  <c r="CM293" i="27"/>
  <c r="CM292" i="27"/>
  <c r="CM291" i="27"/>
  <c r="CM290" i="27"/>
  <c r="CM289" i="27"/>
  <c r="CM288" i="27"/>
  <c r="CM287" i="27"/>
  <c r="CM286" i="27"/>
  <c r="CM285" i="27"/>
  <c r="CM284" i="27"/>
  <c r="CM283" i="27"/>
  <c r="CM282" i="27"/>
  <c r="CM281" i="27"/>
  <c r="CM280" i="27"/>
  <c r="CM279" i="27"/>
  <c r="CM278" i="27"/>
  <c r="CM277" i="27"/>
  <c r="CM276" i="27"/>
  <c r="CM275" i="27"/>
  <c r="CM274" i="27"/>
  <c r="CM273" i="27"/>
  <c r="CM272" i="27"/>
  <c r="CM271" i="27"/>
  <c r="CM270" i="27"/>
  <c r="CM269" i="27"/>
  <c r="CM268" i="27"/>
  <c r="CM267" i="27"/>
  <c r="CM266" i="27"/>
  <c r="CM265" i="27"/>
  <c r="CM264" i="27"/>
  <c r="CM263" i="27"/>
  <c r="CM262" i="27"/>
  <c r="CM261" i="27"/>
  <c r="CM260" i="27"/>
  <c r="CM259" i="27"/>
  <c r="CM258" i="27"/>
  <c r="CM257" i="27"/>
  <c r="CM256" i="27"/>
  <c r="CM255" i="27"/>
  <c r="CM254" i="27"/>
  <c r="CM253" i="27"/>
  <c r="CM252" i="27"/>
  <c r="CM251" i="27"/>
  <c r="CM250" i="27"/>
  <c r="CM249" i="27"/>
  <c r="CM248" i="27"/>
  <c r="CM247" i="27"/>
  <c r="CM246" i="27"/>
  <c r="CM245" i="27"/>
  <c r="CM244" i="27"/>
  <c r="CM243" i="27"/>
  <c r="CM242" i="27"/>
  <c r="CM241" i="27"/>
  <c r="CM240" i="27"/>
  <c r="CM239" i="27"/>
  <c r="CM238" i="27"/>
  <c r="CM237" i="27"/>
  <c r="CM236" i="27"/>
  <c r="CM235" i="27"/>
  <c r="CM234" i="27"/>
  <c r="CM233" i="27"/>
  <c r="CM232" i="27"/>
  <c r="CM231" i="27"/>
  <c r="CM230" i="27"/>
  <c r="CM229" i="27"/>
  <c r="CM228" i="27"/>
  <c r="CM227" i="27"/>
  <c r="CM226" i="27"/>
  <c r="CM225" i="27"/>
  <c r="CM224" i="27"/>
  <c r="CM223" i="27"/>
  <c r="CM222" i="27"/>
  <c r="CM221" i="27"/>
  <c r="CM220" i="27"/>
  <c r="CM219" i="27"/>
  <c r="CM218" i="27"/>
  <c r="CM217" i="27"/>
  <c r="CM216" i="27"/>
  <c r="CM215" i="27"/>
  <c r="CM214" i="27"/>
  <c r="CM213" i="27"/>
  <c r="CM212" i="27"/>
  <c r="CM211" i="27"/>
  <c r="CM210" i="27"/>
  <c r="CM209" i="27"/>
  <c r="CM208" i="27"/>
  <c r="CM207" i="27"/>
  <c r="CM206" i="27"/>
  <c r="CM205" i="27"/>
  <c r="CM204" i="27"/>
  <c r="CM203" i="27"/>
  <c r="CM202" i="27"/>
  <c r="CM201" i="27"/>
  <c r="CM200" i="27"/>
  <c r="CM199" i="27"/>
  <c r="CM198" i="27"/>
  <c r="CM197" i="27"/>
  <c r="CM196" i="27"/>
  <c r="CM195" i="27"/>
  <c r="CM194" i="27"/>
  <c r="CM193" i="27"/>
  <c r="CM192" i="27"/>
  <c r="CM191" i="27"/>
  <c r="CM190" i="27"/>
  <c r="CM189" i="27"/>
  <c r="CM188" i="27"/>
  <c r="CM187" i="27"/>
  <c r="CM186" i="27"/>
  <c r="CM185" i="27"/>
  <c r="CM184" i="27"/>
  <c r="CM183" i="27"/>
  <c r="CM182" i="27"/>
  <c r="CM181" i="27"/>
  <c r="CM180" i="27"/>
  <c r="CM179" i="27"/>
  <c r="CM178" i="27"/>
  <c r="CM177" i="27"/>
  <c r="CM176" i="27"/>
  <c r="CM175" i="27"/>
  <c r="CM174" i="27"/>
  <c r="CM173" i="27"/>
  <c r="CM172" i="27"/>
  <c r="CM171" i="27"/>
  <c r="CM170" i="27"/>
  <c r="CM169" i="27"/>
  <c r="CM168" i="27"/>
  <c r="CM167" i="27"/>
  <c r="CM166" i="27"/>
  <c r="CM165" i="27"/>
  <c r="CM164" i="27"/>
  <c r="CM163" i="27"/>
  <c r="CM162" i="27"/>
  <c r="CM161" i="27"/>
  <c r="CM160" i="27"/>
  <c r="CM159" i="27"/>
  <c r="CM158" i="27"/>
  <c r="CM157" i="27"/>
  <c r="CM156" i="27"/>
  <c r="CM155" i="27"/>
  <c r="CM154" i="27"/>
  <c r="CM153" i="27"/>
  <c r="CM152" i="27"/>
  <c r="CM151" i="27"/>
  <c r="CM150" i="27"/>
  <c r="CM149" i="27"/>
  <c r="CM148" i="27"/>
  <c r="CM147" i="27"/>
  <c r="CM146" i="27"/>
  <c r="CM145" i="27"/>
  <c r="CM144" i="27"/>
  <c r="CM143" i="27"/>
  <c r="CM142" i="27"/>
  <c r="CM141" i="27"/>
  <c r="CM140" i="27"/>
  <c r="CM139" i="27"/>
  <c r="CM138" i="27"/>
  <c r="CM137" i="27"/>
  <c r="CM136" i="27"/>
  <c r="CM135" i="27"/>
  <c r="CM134" i="27"/>
  <c r="CM133" i="27"/>
  <c r="CM132" i="27"/>
  <c r="CM131" i="27"/>
  <c r="CM130" i="27"/>
  <c r="CM129" i="27"/>
  <c r="CM128" i="27"/>
  <c r="CM127" i="27"/>
  <c r="CM126" i="27"/>
  <c r="CM125" i="27"/>
  <c r="CM124" i="27"/>
  <c r="CM123" i="27"/>
  <c r="CM122" i="27"/>
  <c r="CM121" i="27"/>
  <c r="CM120" i="27"/>
  <c r="CM119" i="27"/>
  <c r="CM118" i="27"/>
  <c r="CM117" i="27"/>
  <c r="CM116" i="27"/>
  <c r="CM115" i="27"/>
  <c r="CM114" i="27"/>
  <c r="CM113" i="27"/>
  <c r="CM112" i="27"/>
  <c r="CM111" i="27"/>
  <c r="CM110" i="27"/>
  <c r="CM109" i="27"/>
  <c r="CM108" i="27"/>
  <c r="CM107" i="27"/>
  <c r="CM106" i="27"/>
  <c r="CM105" i="27"/>
  <c r="CM104" i="27"/>
  <c r="CM103" i="27"/>
  <c r="CM102" i="27"/>
  <c r="CM101" i="27"/>
  <c r="CM100" i="27"/>
  <c r="CM99" i="27"/>
  <c r="CM98" i="27"/>
  <c r="CM97" i="27"/>
  <c r="CM96" i="27"/>
  <c r="CM95" i="27"/>
  <c r="CM94" i="27"/>
  <c r="CM93" i="27"/>
  <c r="CM92" i="27"/>
  <c r="CM91" i="27"/>
  <c r="CM90" i="27"/>
  <c r="CM89" i="27"/>
  <c r="CM88" i="27"/>
  <c r="CM87" i="27"/>
  <c r="CM86" i="27"/>
  <c r="CM85" i="27"/>
  <c r="CM84" i="27"/>
  <c r="CM83" i="27"/>
  <c r="CM82" i="27"/>
  <c r="CM81" i="27"/>
  <c r="CM80" i="27"/>
  <c r="CM79" i="27"/>
  <c r="CM78" i="27"/>
  <c r="CM77" i="27"/>
  <c r="CM76" i="27"/>
  <c r="CM75" i="27"/>
  <c r="CM74" i="27"/>
  <c r="CM73" i="27"/>
  <c r="CM72" i="27"/>
  <c r="CM71" i="27"/>
  <c r="CM70" i="27"/>
  <c r="CM69" i="27"/>
  <c r="CM68" i="27"/>
  <c r="CM67" i="27"/>
  <c r="CM66" i="27"/>
  <c r="CM65" i="27"/>
  <c r="CM64" i="27"/>
  <c r="CM63" i="27"/>
  <c r="CM62" i="27"/>
  <c r="CM61" i="27"/>
  <c r="CM60" i="27"/>
  <c r="CM59" i="27"/>
  <c r="CM58" i="27"/>
  <c r="CM57" i="27"/>
  <c r="CM56" i="27"/>
  <c r="CM55" i="27"/>
  <c r="CM54" i="27"/>
  <c r="CM53" i="27"/>
  <c r="CM52" i="27"/>
  <c r="CM51" i="27"/>
  <c r="CM50" i="27"/>
  <c r="CM49" i="27"/>
  <c r="CM48" i="27"/>
  <c r="CM47" i="27"/>
  <c r="CM46" i="27"/>
  <c r="CM45" i="27"/>
  <c r="CM44" i="27"/>
  <c r="CM43" i="27"/>
  <c r="CM42" i="27"/>
  <c r="CM41" i="27"/>
  <c r="CM40" i="27"/>
  <c r="CM39" i="27"/>
  <c r="CM38" i="27"/>
  <c r="CM37" i="27"/>
  <c r="CM36" i="27"/>
  <c r="CM35" i="27"/>
  <c r="CM34" i="27"/>
  <c r="CM33" i="27"/>
  <c r="CM32" i="27"/>
  <c r="CM31" i="27"/>
  <c r="CM30" i="27"/>
  <c r="CM29" i="27"/>
  <c r="CM28" i="27"/>
  <c r="CM27" i="27"/>
  <c r="CM26" i="27"/>
  <c r="CM25" i="27"/>
  <c r="CM24" i="27"/>
  <c r="CM23" i="27"/>
  <c r="CM22" i="27"/>
  <c r="CM21" i="27"/>
  <c r="CM20" i="27"/>
  <c r="CM19" i="27"/>
  <c r="CM18" i="27"/>
  <c r="CM17" i="27"/>
  <c r="CM16" i="27"/>
  <c r="CM15" i="27"/>
  <c r="CM14" i="27"/>
  <c r="CM13" i="27"/>
  <c r="CM12" i="27"/>
  <c r="CM11" i="27"/>
  <c r="CM10" i="27"/>
  <c r="CM9" i="27"/>
  <c r="CM8" i="27"/>
  <c r="CV1115" i="27"/>
  <c r="CV1114" i="27"/>
  <c r="CV1113" i="27"/>
  <c r="CV1112" i="27"/>
  <c r="CV1111" i="27"/>
  <c r="CV1110" i="27"/>
  <c r="CV1109" i="27"/>
  <c r="CV1108" i="27"/>
  <c r="CV1107" i="27"/>
  <c r="CV1106" i="27"/>
  <c r="CV1105" i="27"/>
  <c r="CV1104" i="27"/>
  <c r="CV1103" i="27"/>
  <c r="CV1102" i="27"/>
  <c r="CV1101" i="27"/>
  <c r="CV1100" i="27"/>
  <c r="CV1099" i="27"/>
  <c r="CV1098" i="27"/>
  <c r="CV1097" i="27"/>
  <c r="CV1096" i="27"/>
  <c r="CV1095" i="27"/>
  <c r="CV1094" i="27"/>
  <c r="CV1093" i="27"/>
  <c r="CV1092" i="27"/>
  <c r="CV1091" i="27"/>
  <c r="CV1090" i="27"/>
  <c r="CV1089" i="27"/>
  <c r="CV1088" i="27"/>
  <c r="CV1087" i="27"/>
  <c r="CV1086" i="27"/>
  <c r="CV1085" i="27"/>
  <c r="CV1084" i="27"/>
  <c r="CV1083" i="27"/>
  <c r="CV1082" i="27"/>
  <c r="CV1081" i="27"/>
  <c r="CV1080" i="27"/>
  <c r="CV1079" i="27"/>
  <c r="CV1078" i="27"/>
  <c r="CV1077" i="27"/>
  <c r="CV1076" i="27"/>
  <c r="CV1075" i="27"/>
  <c r="CV1074" i="27"/>
  <c r="CV1073" i="27"/>
  <c r="CV1072" i="27"/>
  <c r="CV1071" i="27"/>
  <c r="CV1070" i="27"/>
  <c r="CV1069" i="27"/>
  <c r="CV1068" i="27"/>
  <c r="CV1067" i="27"/>
  <c r="CV1066" i="27"/>
  <c r="CV1065" i="27"/>
  <c r="CV1064" i="27"/>
  <c r="CV1063" i="27"/>
  <c r="CV1062" i="27"/>
  <c r="CV1061" i="27"/>
  <c r="CV1060" i="27"/>
  <c r="CV1059" i="27"/>
  <c r="CV1058" i="27"/>
  <c r="CV1057" i="27"/>
  <c r="CV1056" i="27"/>
  <c r="CV1055" i="27"/>
  <c r="CV1054" i="27"/>
  <c r="CV1053" i="27"/>
  <c r="CV1052" i="27"/>
  <c r="CV1051" i="27"/>
  <c r="CV1050" i="27"/>
  <c r="CV1049" i="27"/>
  <c r="CV1048" i="27"/>
  <c r="CV1047" i="27"/>
  <c r="CV1046" i="27"/>
  <c r="CV1045" i="27"/>
  <c r="CV1044" i="27"/>
  <c r="CV1043" i="27"/>
  <c r="CV1042" i="27"/>
  <c r="CV1041" i="27"/>
  <c r="CV1040" i="27"/>
  <c r="CV1039" i="27"/>
  <c r="CV1038" i="27"/>
  <c r="CV1037" i="27"/>
  <c r="CV1036" i="27"/>
  <c r="CV1035" i="27"/>
  <c r="CV1034" i="27"/>
  <c r="CV1033" i="27"/>
  <c r="CV1032" i="27"/>
  <c r="CV1031" i="27"/>
  <c r="CV1030" i="27"/>
  <c r="CV1029" i="27"/>
  <c r="CV1028" i="27"/>
  <c r="CV1027" i="27"/>
  <c r="CV1026" i="27"/>
  <c r="CV1025" i="27"/>
  <c r="CV1024" i="27"/>
  <c r="CV1023" i="27"/>
  <c r="CV1022" i="27"/>
  <c r="CV1021" i="27"/>
  <c r="CV1020" i="27"/>
  <c r="CV1019" i="27"/>
  <c r="CV1018" i="27"/>
  <c r="CV1017" i="27"/>
  <c r="CV1016" i="27"/>
  <c r="CV1015" i="27"/>
  <c r="CV1014" i="27"/>
  <c r="CV1013" i="27"/>
  <c r="CV1012" i="27"/>
  <c r="CV1011" i="27"/>
  <c r="CV1010" i="27"/>
  <c r="CV1009" i="27"/>
  <c r="CV1008" i="27"/>
  <c r="CV1007" i="27"/>
  <c r="CV1006" i="27"/>
  <c r="CV1005" i="27"/>
  <c r="CV1004" i="27"/>
  <c r="CV1003" i="27"/>
  <c r="CV1002" i="27"/>
  <c r="CV1001" i="27"/>
  <c r="CV1000" i="27"/>
  <c r="CV999" i="27"/>
  <c r="CV998" i="27"/>
  <c r="CV997" i="27"/>
  <c r="CV996" i="27"/>
  <c r="CV995" i="27"/>
  <c r="CV994" i="27"/>
  <c r="CV993" i="27"/>
  <c r="CV992" i="27"/>
  <c r="CV991" i="27"/>
  <c r="CV990" i="27"/>
  <c r="CV989" i="27"/>
  <c r="CV988" i="27"/>
  <c r="CV987" i="27"/>
  <c r="CV986" i="27"/>
  <c r="CV985" i="27"/>
  <c r="CV984" i="27"/>
  <c r="CV983" i="27"/>
  <c r="CV982" i="27"/>
  <c r="CV981" i="27"/>
  <c r="CV980" i="27"/>
  <c r="CV979" i="27"/>
  <c r="CV978" i="27"/>
  <c r="CV977" i="27"/>
  <c r="CV976" i="27"/>
  <c r="CV975" i="27"/>
  <c r="CV974" i="27"/>
  <c r="CV973" i="27"/>
  <c r="CV972" i="27"/>
  <c r="CV971" i="27"/>
  <c r="CV970" i="27"/>
  <c r="CV969" i="27"/>
  <c r="CV968" i="27"/>
  <c r="CV967" i="27"/>
  <c r="CV966" i="27"/>
  <c r="CV965" i="27"/>
  <c r="CV964" i="27"/>
  <c r="CV963" i="27"/>
  <c r="CV962" i="27"/>
  <c r="CV961" i="27"/>
  <c r="CV960" i="27"/>
  <c r="CV959" i="27"/>
  <c r="CV958" i="27"/>
  <c r="CV957" i="27"/>
  <c r="CV956" i="27"/>
  <c r="CV955" i="27"/>
  <c r="CV954" i="27"/>
  <c r="CV953" i="27"/>
  <c r="CV952" i="27"/>
  <c r="CV951" i="27"/>
  <c r="CV950" i="27"/>
  <c r="CV949" i="27"/>
  <c r="CV948" i="27"/>
  <c r="CV947" i="27"/>
  <c r="CV946" i="27"/>
  <c r="CV945" i="27"/>
  <c r="CV944" i="27"/>
  <c r="CV943" i="27"/>
  <c r="CV942" i="27"/>
  <c r="CV941" i="27"/>
  <c r="CV940" i="27"/>
  <c r="CV939" i="27"/>
  <c r="CV938" i="27"/>
  <c r="CV937" i="27"/>
  <c r="CV936" i="27"/>
  <c r="CV935" i="27"/>
  <c r="CV934" i="27"/>
  <c r="CV933" i="27"/>
  <c r="CV932" i="27"/>
  <c r="CV931" i="27"/>
  <c r="CV930" i="27"/>
  <c r="CV929" i="27"/>
  <c r="CV928" i="27"/>
  <c r="CV927" i="27"/>
  <c r="CV926" i="27"/>
  <c r="CV925" i="27"/>
  <c r="CV924" i="27"/>
  <c r="CV923" i="27"/>
  <c r="CV922" i="27"/>
  <c r="CV921" i="27"/>
  <c r="CV920" i="27"/>
  <c r="CV919" i="27"/>
  <c r="CV918" i="27"/>
  <c r="CV917" i="27"/>
  <c r="CV916" i="27"/>
  <c r="CV915" i="27"/>
  <c r="CV914" i="27"/>
  <c r="CV913" i="27"/>
  <c r="CV912" i="27"/>
  <c r="CV911" i="27"/>
  <c r="CV910" i="27"/>
  <c r="CV909" i="27"/>
  <c r="CV908" i="27"/>
  <c r="CV907" i="27"/>
  <c r="CV906" i="27"/>
  <c r="CV905" i="27"/>
  <c r="CV904" i="27"/>
  <c r="CV903" i="27"/>
  <c r="CV902" i="27"/>
  <c r="CV901" i="27"/>
  <c r="CV900" i="27"/>
  <c r="CV899" i="27"/>
  <c r="CV898" i="27"/>
  <c r="CV897" i="27"/>
  <c r="CV896" i="27"/>
  <c r="CV895" i="27"/>
  <c r="CV894" i="27"/>
  <c r="CV893" i="27"/>
  <c r="CV892" i="27"/>
  <c r="CV891" i="27"/>
  <c r="CV890" i="27"/>
  <c r="CV889" i="27"/>
  <c r="CV888" i="27"/>
  <c r="CV887" i="27"/>
  <c r="CV886" i="27"/>
  <c r="CV885" i="27"/>
  <c r="CV884" i="27"/>
  <c r="CV883" i="27"/>
  <c r="CV882" i="27"/>
  <c r="CV881" i="27"/>
  <c r="CV880" i="27"/>
  <c r="CV879" i="27"/>
  <c r="CV878" i="27"/>
  <c r="CV877" i="27"/>
  <c r="CV876" i="27"/>
  <c r="CV875" i="27"/>
  <c r="CV874" i="27"/>
  <c r="CV873" i="27"/>
  <c r="CV872" i="27"/>
  <c r="CV871" i="27"/>
  <c r="CV870" i="27"/>
  <c r="CV869" i="27"/>
  <c r="CV868" i="27"/>
  <c r="CV867" i="27"/>
  <c r="CV866" i="27"/>
  <c r="CV865" i="27"/>
  <c r="CV864" i="27"/>
  <c r="CV863" i="27"/>
  <c r="CV862" i="27"/>
  <c r="CV861" i="27"/>
  <c r="CV860" i="27"/>
  <c r="CV859" i="27"/>
  <c r="CV858" i="27"/>
  <c r="CV857" i="27"/>
  <c r="CV856" i="27"/>
  <c r="CV855" i="27"/>
  <c r="CV854" i="27"/>
  <c r="CV853" i="27"/>
  <c r="CV852" i="27"/>
  <c r="CV851" i="27"/>
  <c r="CV850" i="27"/>
  <c r="CV849" i="27"/>
  <c r="CV848" i="27"/>
  <c r="CV847" i="27"/>
  <c r="CV846" i="27"/>
  <c r="CV845" i="27"/>
  <c r="CV844" i="27"/>
  <c r="CV843" i="27"/>
  <c r="CV842" i="27"/>
  <c r="CV841" i="27"/>
  <c r="CV840" i="27"/>
  <c r="CV839" i="27"/>
  <c r="CV838" i="27"/>
  <c r="CV837" i="27"/>
  <c r="CV836" i="27"/>
  <c r="CV835" i="27"/>
  <c r="CV834" i="27"/>
  <c r="CV833" i="27"/>
  <c r="CV832" i="27"/>
  <c r="CV831" i="27"/>
  <c r="CV830" i="27"/>
  <c r="CV829" i="27"/>
  <c r="CV828" i="27"/>
  <c r="CV827" i="27"/>
  <c r="CV826" i="27"/>
  <c r="CV825" i="27"/>
  <c r="CV824" i="27"/>
  <c r="CV823" i="27"/>
  <c r="CV822" i="27"/>
  <c r="CV821" i="27"/>
  <c r="CV820" i="27"/>
  <c r="CV819" i="27"/>
  <c r="CV818" i="27"/>
  <c r="CV817" i="27"/>
  <c r="CV816" i="27"/>
  <c r="CV815" i="27"/>
  <c r="CV814" i="27"/>
  <c r="CV813" i="27"/>
  <c r="CV812" i="27"/>
  <c r="CV811" i="27"/>
  <c r="CV810" i="27"/>
  <c r="CV809" i="27"/>
  <c r="CV808" i="27"/>
  <c r="CV807" i="27"/>
  <c r="CV806" i="27"/>
  <c r="CV805" i="27"/>
  <c r="CV804" i="27"/>
  <c r="CV803" i="27"/>
  <c r="CV802" i="27"/>
  <c r="CV801" i="27"/>
  <c r="CV800" i="27"/>
  <c r="CV799" i="27"/>
  <c r="CV798" i="27"/>
  <c r="CV797" i="27"/>
  <c r="CV796" i="27"/>
  <c r="CV795" i="27"/>
  <c r="CV794" i="27"/>
  <c r="CV793" i="27"/>
  <c r="CV792" i="27"/>
  <c r="CV791" i="27"/>
  <c r="CV790" i="27"/>
  <c r="CV789" i="27"/>
  <c r="CV788" i="27"/>
  <c r="CV787" i="27"/>
  <c r="CV786" i="27"/>
  <c r="CV785" i="27"/>
  <c r="CV784" i="27"/>
  <c r="CV783" i="27"/>
  <c r="CV782" i="27"/>
  <c r="CV781" i="27"/>
  <c r="CV780" i="27"/>
  <c r="CV779" i="27"/>
  <c r="CV778" i="27"/>
  <c r="CV777" i="27"/>
  <c r="CV776" i="27"/>
  <c r="CV775" i="27"/>
  <c r="CV774" i="27"/>
  <c r="CV773" i="27"/>
  <c r="CV772" i="27"/>
  <c r="CV771" i="27"/>
  <c r="CV770" i="27"/>
  <c r="CV769" i="27"/>
  <c r="CV768" i="27"/>
  <c r="CV767" i="27"/>
  <c r="CV766" i="27"/>
  <c r="CV765" i="27"/>
  <c r="CV764" i="27"/>
  <c r="CV763" i="27"/>
  <c r="CV762" i="27"/>
  <c r="CV761" i="27"/>
  <c r="CV760" i="27"/>
  <c r="CV759" i="27"/>
  <c r="CV758" i="27"/>
  <c r="CV757" i="27"/>
  <c r="CV756" i="27"/>
  <c r="CV755" i="27"/>
  <c r="CV754" i="27"/>
  <c r="CV753" i="27"/>
  <c r="CV752" i="27"/>
  <c r="CV751" i="27"/>
  <c r="CV750" i="27"/>
  <c r="CV749" i="27"/>
  <c r="CV748" i="27"/>
  <c r="CV747" i="27"/>
  <c r="CV746" i="27"/>
  <c r="CV745" i="27"/>
  <c r="CV744" i="27"/>
  <c r="CV743" i="27"/>
  <c r="CV742" i="27"/>
  <c r="CV741" i="27"/>
  <c r="CV740" i="27"/>
  <c r="CV739" i="27"/>
  <c r="CV738" i="27"/>
  <c r="CV737" i="27"/>
  <c r="CV736" i="27"/>
  <c r="CV735" i="27"/>
  <c r="CV734" i="27"/>
  <c r="CV733" i="27"/>
  <c r="CV732" i="27"/>
  <c r="CV731" i="27"/>
  <c r="CV730" i="27"/>
  <c r="CV729" i="27"/>
  <c r="CV728" i="27"/>
  <c r="CV727" i="27"/>
  <c r="CV726" i="27"/>
  <c r="CV725" i="27"/>
  <c r="CV724" i="27"/>
  <c r="CV723" i="27"/>
  <c r="CV722" i="27"/>
  <c r="CV721" i="27"/>
  <c r="CV720" i="27"/>
  <c r="CV719" i="27"/>
  <c r="CV718" i="27"/>
  <c r="CV717" i="27"/>
  <c r="CV716" i="27"/>
  <c r="CV715" i="27"/>
  <c r="CV714" i="27"/>
  <c r="CV713" i="27"/>
  <c r="CV712" i="27"/>
  <c r="CV711" i="27"/>
  <c r="CV710" i="27"/>
  <c r="CV709" i="27"/>
  <c r="CV708" i="27"/>
  <c r="CV707" i="27"/>
  <c r="CV706" i="27"/>
  <c r="CV705" i="27"/>
  <c r="CV704" i="27"/>
  <c r="CV703" i="27"/>
  <c r="CV702" i="27"/>
  <c r="CV701" i="27"/>
  <c r="CV700" i="27"/>
  <c r="CV699" i="27"/>
  <c r="CV698" i="27"/>
  <c r="CV697" i="27"/>
  <c r="CV696" i="27"/>
  <c r="CV695" i="27"/>
  <c r="CV694" i="27"/>
  <c r="CV693" i="27"/>
  <c r="CV692" i="27"/>
  <c r="CV691" i="27"/>
  <c r="CV690" i="27"/>
  <c r="CV689" i="27"/>
  <c r="CV688" i="27"/>
  <c r="CV687" i="27"/>
  <c r="CV686" i="27"/>
  <c r="CV685" i="27"/>
  <c r="CV684" i="27"/>
  <c r="CV683" i="27"/>
  <c r="CV682" i="27"/>
  <c r="CV681" i="27"/>
  <c r="CV680" i="27"/>
  <c r="CV679" i="27"/>
  <c r="CV678" i="27"/>
  <c r="CV677" i="27"/>
  <c r="CV676" i="27"/>
  <c r="CV675" i="27"/>
  <c r="CV674" i="27"/>
  <c r="CV673" i="27"/>
  <c r="CV672" i="27"/>
  <c r="CV671" i="27"/>
  <c r="CV670" i="27"/>
  <c r="CV669" i="27"/>
  <c r="CV668" i="27"/>
  <c r="CV667" i="27"/>
  <c r="CV666" i="27"/>
  <c r="CV665" i="27"/>
  <c r="CV664" i="27"/>
  <c r="CV663" i="27"/>
  <c r="CV662" i="27"/>
  <c r="CV661" i="27"/>
  <c r="CV660" i="27"/>
  <c r="CV659" i="27"/>
  <c r="CV658" i="27"/>
  <c r="CV657" i="27"/>
  <c r="CV656" i="27"/>
  <c r="CV655" i="27"/>
  <c r="CV654" i="27"/>
  <c r="CV653" i="27"/>
  <c r="CV652" i="27"/>
  <c r="CV651" i="27"/>
  <c r="CV650" i="27"/>
  <c r="CV649" i="27"/>
  <c r="CV648" i="27"/>
  <c r="CV647" i="27"/>
  <c r="CV646" i="27"/>
  <c r="CV645" i="27"/>
  <c r="CV644" i="27"/>
  <c r="CV643" i="27"/>
  <c r="CV642" i="27"/>
  <c r="CV641" i="27"/>
  <c r="CV640" i="27"/>
  <c r="CV639" i="27"/>
  <c r="CV638" i="27"/>
  <c r="CV637" i="27"/>
  <c r="CV636" i="27"/>
  <c r="CV635" i="27"/>
  <c r="CV634" i="27"/>
  <c r="CV633" i="27"/>
  <c r="CV632" i="27"/>
  <c r="CV631" i="27"/>
  <c r="CV630" i="27"/>
  <c r="CV629" i="27"/>
  <c r="CV628" i="27"/>
  <c r="CV627" i="27"/>
  <c r="CV626" i="27"/>
  <c r="CV625" i="27"/>
  <c r="CV624" i="27"/>
  <c r="CV623" i="27"/>
  <c r="CV622" i="27"/>
  <c r="CV621" i="27"/>
  <c r="CV620" i="27"/>
  <c r="CV619" i="27"/>
  <c r="CV618" i="27"/>
  <c r="CV617" i="27"/>
  <c r="CV616" i="27"/>
  <c r="CV615" i="27"/>
  <c r="CV614" i="27"/>
  <c r="CV613" i="27"/>
  <c r="CV612" i="27"/>
  <c r="CV611" i="27"/>
  <c r="CV610" i="27"/>
  <c r="CV609" i="27"/>
  <c r="CV608" i="27"/>
  <c r="CV607" i="27"/>
  <c r="CV606" i="27"/>
  <c r="CV605" i="27"/>
  <c r="CV604" i="27"/>
  <c r="CV603" i="27"/>
  <c r="CV602" i="27"/>
  <c r="CV601" i="27"/>
  <c r="CV600" i="27"/>
  <c r="CV599" i="27"/>
  <c r="CV598" i="27"/>
  <c r="CV597" i="27"/>
  <c r="CV596" i="27"/>
  <c r="CV595" i="27"/>
  <c r="CV594" i="27"/>
  <c r="CV593" i="27"/>
  <c r="CV592" i="27"/>
  <c r="CV591" i="27"/>
  <c r="CV590" i="27"/>
  <c r="CV589" i="27"/>
  <c r="CV588" i="27"/>
  <c r="CV587" i="27"/>
  <c r="CV586" i="27"/>
  <c r="CV585" i="27"/>
  <c r="CV584" i="27"/>
  <c r="CV583" i="27"/>
  <c r="CV582" i="27"/>
  <c r="CV581" i="27"/>
  <c r="CV580" i="27"/>
  <c r="CV579" i="27"/>
  <c r="CV578" i="27"/>
  <c r="CV577" i="27"/>
  <c r="CV576" i="27"/>
  <c r="CV575" i="27"/>
  <c r="CV574" i="27"/>
  <c r="CV573" i="27"/>
  <c r="CV572" i="27"/>
  <c r="CV571" i="27"/>
  <c r="CV570" i="27"/>
  <c r="CV569" i="27"/>
  <c r="CV568" i="27"/>
  <c r="CV567" i="27"/>
  <c r="CV566" i="27"/>
  <c r="CV565" i="27"/>
  <c r="CV564" i="27"/>
  <c r="CV563" i="27"/>
  <c r="CV562" i="27"/>
  <c r="CV561" i="27"/>
  <c r="CV560" i="27"/>
  <c r="CV559" i="27"/>
  <c r="CV558" i="27"/>
  <c r="CV557" i="27"/>
  <c r="CV556" i="27"/>
  <c r="CV555" i="27"/>
  <c r="CV554" i="27"/>
  <c r="CV553" i="27"/>
  <c r="CV552" i="27"/>
  <c r="CV551" i="27"/>
  <c r="CV550" i="27"/>
  <c r="CV549" i="27"/>
  <c r="CV548" i="27"/>
  <c r="CV547" i="27"/>
  <c r="CV546" i="27"/>
  <c r="CV545" i="27"/>
  <c r="CV544" i="27"/>
  <c r="CV543" i="27"/>
  <c r="CV542" i="27"/>
  <c r="CV541" i="27"/>
  <c r="CV540" i="27"/>
  <c r="CV539" i="27"/>
  <c r="CV538" i="27"/>
  <c r="CV537" i="27"/>
  <c r="CV536" i="27"/>
  <c r="CV535" i="27"/>
  <c r="CV534" i="27"/>
  <c r="CV533" i="27"/>
  <c r="CV532" i="27"/>
  <c r="CV531" i="27"/>
  <c r="CV530" i="27"/>
  <c r="CV529" i="27"/>
  <c r="CV528" i="27"/>
  <c r="CV527" i="27"/>
  <c r="CV526" i="27"/>
  <c r="CV525" i="27"/>
  <c r="CV524" i="27"/>
  <c r="CV523" i="27"/>
  <c r="CV522" i="27"/>
  <c r="CV521" i="27"/>
  <c r="CV520" i="27"/>
  <c r="CV519" i="27"/>
  <c r="CV518" i="27"/>
  <c r="CV517" i="27"/>
  <c r="CV516" i="27"/>
  <c r="CV515" i="27"/>
  <c r="CV514" i="27"/>
  <c r="CV513" i="27"/>
  <c r="CV512" i="27"/>
  <c r="CV511" i="27"/>
  <c r="CV510" i="27"/>
  <c r="CV509" i="27"/>
  <c r="CV508" i="27"/>
  <c r="CV507" i="27"/>
  <c r="CV506" i="27"/>
  <c r="CV505" i="27"/>
  <c r="CV504" i="27"/>
  <c r="CV503" i="27"/>
  <c r="CV502" i="27"/>
  <c r="CV501" i="27"/>
  <c r="CV500" i="27"/>
  <c r="CV499" i="27"/>
  <c r="CV498" i="27"/>
  <c r="CV497" i="27"/>
  <c r="CV496" i="27"/>
  <c r="CV495" i="27"/>
  <c r="CV494" i="27"/>
  <c r="CV493" i="27"/>
  <c r="CV492" i="27"/>
  <c r="CV491" i="27"/>
  <c r="CV490" i="27"/>
  <c r="CV489" i="27"/>
  <c r="CV488" i="27"/>
  <c r="CV487" i="27"/>
  <c r="CV486" i="27"/>
  <c r="CV485" i="27"/>
  <c r="CV484" i="27"/>
  <c r="CV483" i="27"/>
  <c r="CV482" i="27"/>
  <c r="CV481" i="27"/>
  <c r="CV480" i="27"/>
  <c r="CV479" i="27"/>
  <c r="CV478" i="27"/>
  <c r="CV477" i="27"/>
  <c r="CV476" i="27"/>
  <c r="CV475" i="27"/>
  <c r="CV474" i="27"/>
  <c r="CV473" i="27"/>
  <c r="CV472" i="27"/>
  <c r="CV471" i="27"/>
  <c r="CV470" i="27"/>
  <c r="CV469" i="27"/>
  <c r="CV468" i="27"/>
  <c r="CV467" i="27"/>
  <c r="CV466" i="27"/>
  <c r="CV465" i="27"/>
  <c r="CV464" i="27"/>
  <c r="CV463" i="27"/>
  <c r="CV462" i="27"/>
  <c r="CV461" i="27"/>
  <c r="CV460" i="27"/>
  <c r="CV459" i="27"/>
  <c r="CV458" i="27"/>
  <c r="CV457" i="27"/>
  <c r="CV456" i="27"/>
  <c r="CV455" i="27"/>
  <c r="CV454" i="27"/>
  <c r="CV453" i="27"/>
  <c r="CV452" i="27"/>
  <c r="CV451" i="27"/>
  <c r="CV450" i="27"/>
  <c r="CV449" i="27"/>
  <c r="CV448" i="27"/>
  <c r="CV447" i="27"/>
  <c r="CV446" i="27"/>
  <c r="CV445" i="27"/>
  <c r="CV444" i="27"/>
  <c r="CV443" i="27"/>
  <c r="CV442" i="27"/>
  <c r="CV441" i="27"/>
  <c r="CV440" i="27"/>
  <c r="CV439" i="27"/>
  <c r="CV438" i="27"/>
  <c r="CV437" i="27"/>
  <c r="CV436" i="27"/>
  <c r="CV435" i="27"/>
  <c r="CV434" i="27"/>
  <c r="CV433" i="27"/>
  <c r="CV432" i="27"/>
  <c r="CV431" i="27"/>
  <c r="CV430" i="27"/>
  <c r="CV429" i="27"/>
  <c r="CV428" i="27"/>
  <c r="CV427" i="27"/>
  <c r="CV426" i="27"/>
  <c r="CV425" i="27"/>
  <c r="CV424" i="27"/>
  <c r="CV423" i="27"/>
  <c r="CV422" i="27"/>
  <c r="CV421" i="27"/>
  <c r="CV420" i="27"/>
  <c r="CV419" i="27"/>
  <c r="CV418" i="27"/>
  <c r="CV417" i="27"/>
  <c r="CV416" i="27"/>
  <c r="CV415" i="27"/>
  <c r="CV414" i="27"/>
  <c r="CV413" i="27"/>
  <c r="CV412" i="27"/>
  <c r="CV411" i="27"/>
  <c r="CV410" i="27"/>
  <c r="CV409" i="27"/>
  <c r="CV408" i="27"/>
  <c r="CV407" i="27"/>
  <c r="CV406" i="27"/>
  <c r="CV405" i="27"/>
  <c r="CV404" i="27"/>
  <c r="CV403" i="27"/>
  <c r="CV402" i="27"/>
  <c r="CV401" i="27"/>
  <c r="CV400" i="27"/>
  <c r="CV399" i="27"/>
  <c r="CV398" i="27"/>
  <c r="CV397" i="27"/>
  <c r="CV396" i="27"/>
  <c r="CV395" i="27"/>
  <c r="CV394" i="27"/>
  <c r="CV393" i="27"/>
  <c r="CV392" i="27"/>
  <c r="CV391" i="27"/>
  <c r="CV390" i="27"/>
  <c r="CV389" i="27"/>
  <c r="CV388" i="27"/>
  <c r="CV387" i="27"/>
  <c r="CV386" i="27"/>
  <c r="CV385" i="27"/>
  <c r="CV384" i="27"/>
  <c r="CV383" i="27"/>
  <c r="CV382" i="27"/>
  <c r="CV381" i="27"/>
  <c r="CV380" i="27"/>
  <c r="CV379" i="27"/>
  <c r="CV378" i="27"/>
  <c r="CV377" i="27"/>
  <c r="CV376" i="27"/>
  <c r="CV375" i="27"/>
  <c r="CV374" i="27"/>
  <c r="CV373" i="27"/>
  <c r="CV372" i="27"/>
  <c r="CV371" i="27"/>
  <c r="CV370" i="27"/>
  <c r="CV369" i="27"/>
  <c r="CV368" i="27"/>
  <c r="CV367" i="27"/>
  <c r="CV366" i="27"/>
  <c r="CV365" i="27"/>
  <c r="CV364" i="27"/>
  <c r="CV363" i="27"/>
  <c r="CV362" i="27"/>
  <c r="CV361" i="27"/>
  <c r="CV360" i="27"/>
  <c r="CV359" i="27"/>
  <c r="CV358" i="27"/>
  <c r="CV357" i="27"/>
  <c r="CV356" i="27"/>
  <c r="CV355" i="27"/>
  <c r="CV354" i="27"/>
  <c r="CV353" i="27"/>
  <c r="CV352" i="27"/>
  <c r="CV351" i="27"/>
  <c r="CV350" i="27"/>
  <c r="CV349" i="27"/>
  <c r="CV348" i="27"/>
  <c r="CV347" i="27"/>
  <c r="CV346" i="27"/>
  <c r="CV345" i="27"/>
  <c r="CV344" i="27"/>
  <c r="CV343" i="27"/>
  <c r="CV342" i="27"/>
  <c r="CV341" i="27"/>
  <c r="CV340" i="27"/>
  <c r="CV339" i="27"/>
  <c r="CV338" i="27"/>
  <c r="CV337" i="27"/>
  <c r="CV336" i="27"/>
  <c r="CV335" i="27"/>
  <c r="CV334" i="27"/>
  <c r="CV333" i="27"/>
  <c r="CV332" i="27"/>
  <c r="CV331" i="27"/>
  <c r="CV330" i="27"/>
  <c r="CV329" i="27"/>
  <c r="CV328" i="27"/>
  <c r="CV327" i="27"/>
  <c r="CV326" i="27"/>
  <c r="CV325" i="27"/>
  <c r="CV324" i="27"/>
  <c r="CV323" i="27"/>
  <c r="CV322" i="27"/>
  <c r="CV321" i="27"/>
  <c r="CV320" i="27"/>
  <c r="CV319" i="27"/>
  <c r="CV318" i="27"/>
  <c r="CV317" i="27"/>
  <c r="CV316" i="27"/>
  <c r="CV315" i="27"/>
  <c r="CV314" i="27"/>
  <c r="CV313" i="27"/>
  <c r="CV312" i="27"/>
  <c r="CV311" i="27"/>
  <c r="CV310" i="27"/>
  <c r="CV309" i="27"/>
  <c r="CV308" i="27"/>
  <c r="CV307" i="27"/>
  <c r="CV306" i="27"/>
  <c r="CV305" i="27"/>
  <c r="CV304" i="27"/>
  <c r="CV303" i="27"/>
  <c r="CV302" i="27"/>
  <c r="CV301" i="27"/>
  <c r="CV300" i="27"/>
  <c r="CV299" i="27"/>
  <c r="CV298" i="27"/>
  <c r="CV297" i="27"/>
  <c r="CV296" i="27"/>
  <c r="CV295" i="27"/>
  <c r="CV294" i="27"/>
  <c r="CV293" i="27"/>
  <c r="CV292" i="27"/>
  <c r="CV291" i="27"/>
  <c r="CV290" i="27"/>
  <c r="CV289" i="27"/>
  <c r="CV288" i="27"/>
  <c r="CV287" i="27"/>
  <c r="CV286" i="27"/>
  <c r="CV285" i="27"/>
  <c r="CV284" i="27"/>
  <c r="CV283" i="27"/>
  <c r="CV282" i="27"/>
  <c r="CV281" i="27"/>
  <c r="CV280" i="27"/>
  <c r="CV279" i="27"/>
  <c r="CV278" i="27"/>
  <c r="CV277" i="27"/>
  <c r="CV276" i="27"/>
  <c r="CV275" i="27"/>
  <c r="CV274" i="27"/>
  <c r="CV273" i="27"/>
  <c r="CV272" i="27"/>
  <c r="CV271" i="27"/>
  <c r="CV270" i="27"/>
  <c r="CV269" i="27"/>
  <c r="CV268" i="27"/>
  <c r="CV267" i="27"/>
  <c r="CV266" i="27"/>
  <c r="CV265" i="27"/>
  <c r="CV264" i="27"/>
  <c r="CV263" i="27"/>
  <c r="CV262" i="27"/>
  <c r="CV261" i="27"/>
  <c r="CV260" i="27"/>
  <c r="CV259" i="27"/>
  <c r="CV258" i="27"/>
  <c r="CV257" i="27"/>
  <c r="CV256" i="27"/>
  <c r="CV255" i="27"/>
  <c r="CV254" i="27"/>
  <c r="CV253" i="27"/>
  <c r="CV252" i="27"/>
  <c r="CV251" i="27"/>
  <c r="CV250" i="27"/>
  <c r="CV249" i="27"/>
  <c r="CV248" i="27"/>
  <c r="CV247" i="27"/>
  <c r="CV246" i="27"/>
  <c r="CV245" i="27"/>
  <c r="CV244" i="27"/>
  <c r="CV243" i="27"/>
  <c r="CV242" i="27"/>
  <c r="CV241" i="27"/>
  <c r="CV240" i="27"/>
  <c r="CV239" i="27"/>
  <c r="CV238" i="27"/>
  <c r="CV237" i="27"/>
  <c r="CV236" i="27"/>
  <c r="CV235" i="27"/>
  <c r="CV234" i="27"/>
  <c r="CV233" i="27"/>
  <c r="CV232" i="27"/>
  <c r="CV231" i="27"/>
  <c r="CV230" i="27"/>
  <c r="CV229" i="27"/>
  <c r="CV228" i="27"/>
  <c r="CV227" i="27"/>
  <c r="CV226" i="27"/>
  <c r="CV225" i="27"/>
  <c r="CV224" i="27"/>
  <c r="CV223" i="27"/>
  <c r="CV222" i="27"/>
  <c r="CV221" i="27"/>
  <c r="CV220" i="27"/>
  <c r="CV219" i="27"/>
  <c r="CV218" i="27"/>
  <c r="CV217" i="27"/>
  <c r="CV216" i="27"/>
  <c r="CV215" i="27"/>
  <c r="CV214" i="27"/>
  <c r="CV213" i="27"/>
  <c r="CV212" i="27"/>
  <c r="CV211" i="27"/>
  <c r="CV210" i="27"/>
  <c r="CV209" i="27"/>
  <c r="CV208" i="27"/>
  <c r="CV207" i="27"/>
  <c r="CV206" i="27"/>
  <c r="CV205" i="27"/>
  <c r="CV204" i="27"/>
  <c r="CV203" i="27"/>
  <c r="CV202" i="27"/>
  <c r="CV201" i="27"/>
  <c r="CV200" i="27"/>
  <c r="CV199" i="27"/>
  <c r="CV198" i="27"/>
  <c r="CV197" i="27"/>
  <c r="CV196" i="27"/>
  <c r="CV195" i="27"/>
  <c r="CV194" i="27"/>
  <c r="CV193" i="27"/>
  <c r="CV192" i="27"/>
  <c r="CV191" i="27"/>
  <c r="CV190" i="27"/>
  <c r="CV189" i="27"/>
  <c r="CV188" i="27"/>
  <c r="CV187" i="27"/>
  <c r="CV186" i="27"/>
  <c r="CV185" i="27"/>
  <c r="CV184" i="27"/>
  <c r="CV183" i="27"/>
  <c r="CV182" i="27"/>
  <c r="CV181" i="27"/>
  <c r="CV180" i="27"/>
  <c r="CV179" i="27"/>
  <c r="CV178" i="27"/>
  <c r="CV177" i="27"/>
  <c r="CV176" i="27"/>
  <c r="CV175" i="27"/>
  <c r="CV174" i="27"/>
  <c r="CV173" i="27"/>
  <c r="CV172" i="27"/>
  <c r="CV171" i="27"/>
  <c r="CV170" i="27"/>
  <c r="CV169" i="27"/>
  <c r="CV168" i="27"/>
  <c r="CV167" i="27"/>
  <c r="CV166" i="27"/>
  <c r="CV165" i="27"/>
  <c r="CV164" i="27"/>
  <c r="CV163" i="27"/>
  <c r="CV162" i="27"/>
  <c r="CV161" i="27"/>
  <c r="CV160" i="27"/>
  <c r="CV159" i="27"/>
  <c r="CV158" i="27"/>
  <c r="CV157" i="27"/>
  <c r="CV156" i="27"/>
  <c r="CV155" i="27"/>
  <c r="CV154" i="27"/>
  <c r="CV153" i="27"/>
  <c r="CV152" i="27"/>
  <c r="CV151" i="27"/>
  <c r="CV150" i="27"/>
  <c r="CV149" i="27"/>
  <c r="CV148" i="27"/>
  <c r="CV147" i="27"/>
  <c r="CV146" i="27"/>
  <c r="CV145" i="27"/>
  <c r="CV144" i="27"/>
  <c r="CV143" i="27"/>
  <c r="CV142" i="27"/>
  <c r="CV141" i="27"/>
  <c r="CV140" i="27"/>
  <c r="CV139" i="27"/>
  <c r="CV138" i="27"/>
  <c r="CV137" i="27"/>
  <c r="CV136" i="27"/>
  <c r="CV135" i="27"/>
  <c r="CV134" i="27"/>
  <c r="CV133" i="27"/>
  <c r="CV132" i="27"/>
  <c r="CV131" i="27"/>
  <c r="CV130" i="27"/>
  <c r="CV129" i="27"/>
  <c r="CV128" i="27"/>
  <c r="CV127" i="27"/>
  <c r="CV126" i="27"/>
  <c r="CV125" i="27"/>
  <c r="CV124" i="27"/>
  <c r="CV123" i="27"/>
  <c r="CV122" i="27"/>
  <c r="CV121" i="27"/>
  <c r="CV120" i="27"/>
  <c r="CV119" i="27"/>
  <c r="CV118" i="27"/>
  <c r="CV117" i="27"/>
  <c r="CV116" i="27"/>
  <c r="CV115" i="27"/>
  <c r="CV114" i="27"/>
  <c r="CV113" i="27"/>
  <c r="CV112" i="27"/>
  <c r="CV111" i="27"/>
  <c r="CV110" i="27"/>
  <c r="CV109" i="27"/>
  <c r="CV108" i="27"/>
  <c r="CV107" i="27"/>
  <c r="CV106" i="27"/>
  <c r="CV105" i="27"/>
  <c r="CV104" i="27"/>
  <c r="CV103" i="27"/>
  <c r="CV102" i="27"/>
  <c r="CV101" i="27"/>
  <c r="CV100" i="27"/>
  <c r="CV99" i="27"/>
  <c r="CV98" i="27"/>
  <c r="CV97" i="27"/>
  <c r="CV96" i="27"/>
  <c r="CV95" i="27"/>
  <c r="CV94" i="27"/>
  <c r="CV93" i="27"/>
  <c r="CV92" i="27"/>
  <c r="CV91" i="27"/>
  <c r="CV90" i="27"/>
  <c r="CV89" i="27"/>
  <c r="CV88" i="27"/>
  <c r="CV87" i="27"/>
  <c r="CV86" i="27"/>
  <c r="CV85" i="27"/>
  <c r="CV84" i="27"/>
  <c r="CV83" i="27"/>
  <c r="CV82" i="27"/>
  <c r="CV81" i="27"/>
  <c r="CV80" i="27"/>
  <c r="CV79" i="27"/>
  <c r="CV78" i="27"/>
  <c r="CV77" i="27"/>
  <c r="CV76" i="27"/>
  <c r="CV75" i="27"/>
  <c r="CV74" i="27"/>
  <c r="CV73" i="27"/>
  <c r="CV72" i="27"/>
  <c r="CV71" i="27"/>
  <c r="CV70" i="27"/>
  <c r="CV69" i="27"/>
  <c r="CV68" i="27"/>
  <c r="CV67" i="27"/>
  <c r="CV66" i="27"/>
  <c r="CV65" i="27"/>
  <c r="CV64" i="27"/>
  <c r="CV63" i="27"/>
  <c r="CV62" i="27"/>
  <c r="CV61" i="27"/>
  <c r="CV60" i="27"/>
  <c r="CV59" i="27"/>
  <c r="CV58" i="27"/>
  <c r="CV57" i="27"/>
  <c r="CV56" i="27"/>
  <c r="CV55" i="27"/>
  <c r="CV54" i="27"/>
  <c r="CV53" i="27"/>
  <c r="CV52" i="27"/>
  <c r="CV51" i="27"/>
  <c r="CV50" i="27"/>
  <c r="CV49" i="27"/>
  <c r="CV48" i="27"/>
  <c r="CV47" i="27"/>
  <c r="CV46" i="27"/>
  <c r="CV45" i="27"/>
  <c r="CV44" i="27"/>
  <c r="CV43" i="27"/>
  <c r="CV42" i="27"/>
  <c r="CV41" i="27"/>
  <c r="CV40" i="27"/>
  <c r="CV39" i="27"/>
  <c r="CV38" i="27"/>
  <c r="CV37" i="27"/>
  <c r="CV36" i="27"/>
  <c r="CV35" i="27"/>
  <c r="CV34" i="27"/>
  <c r="CV33" i="27"/>
  <c r="CV32" i="27"/>
  <c r="CV31" i="27"/>
  <c r="CV30" i="27"/>
  <c r="CV29" i="27"/>
  <c r="CV28" i="27"/>
  <c r="CV27" i="27"/>
  <c r="CV26" i="27"/>
  <c r="CV25" i="27"/>
  <c r="CV24" i="27"/>
  <c r="CV23" i="27"/>
  <c r="CV22" i="27"/>
  <c r="CV21" i="27"/>
  <c r="CV20" i="27"/>
  <c r="CV19" i="27"/>
  <c r="CV18" i="27"/>
  <c r="CV17" i="27"/>
  <c r="CV16" i="27"/>
  <c r="CV15" i="27"/>
  <c r="CV14" i="27"/>
  <c r="CV13" i="27"/>
  <c r="CV12" i="27"/>
  <c r="CV11" i="27"/>
  <c r="CV10" i="27"/>
  <c r="CV9" i="27"/>
  <c r="CV8" i="27"/>
  <c r="BJ5" i="30" l="1"/>
  <c r="BI5" i="30"/>
  <c r="BH5" i="30"/>
  <c r="BG5" i="30"/>
  <c r="BF5" i="30"/>
  <c r="BE5" i="30"/>
  <c r="BD5" i="30"/>
  <c r="BB5" i="30"/>
  <c r="BA5" i="30"/>
  <c r="AZ5" i="30"/>
  <c r="AY5" i="30"/>
  <c r="AX5" i="30"/>
  <c r="AW5" i="30"/>
  <c r="AV5" i="30"/>
  <c r="AU5" i="30"/>
  <c r="AT5" i="30"/>
  <c r="AS5" i="30"/>
  <c r="AQ5" i="30"/>
  <c r="AO5" i="30"/>
  <c r="AN5" i="30"/>
  <c r="AM5" i="30"/>
  <c r="AL5" i="30"/>
  <c r="AK5" i="30"/>
  <c r="AJ5" i="30"/>
  <c r="AI5" i="30"/>
  <c r="AH5" i="30"/>
  <c r="AF5" i="30"/>
  <c r="AE5" i="30"/>
  <c r="AD5" i="30"/>
  <c r="AC5" i="30"/>
  <c r="AP5" i="30"/>
  <c r="AA5" i="30"/>
  <c r="Z5" i="30"/>
  <c r="Y5" i="30"/>
  <c r="W5" i="30" l="1"/>
  <c r="V5" i="30"/>
  <c r="U5" i="30"/>
  <c r="S5" i="30"/>
  <c r="R5" i="30"/>
  <c r="Q5" i="30"/>
  <c r="P5" i="30"/>
  <c r="O5" i="30"/>
  <c r="N5" i="30"/>
  <c r="M5" i="30"/>
  <c r="L5" i="30"/>
  <c r="K5" i="30"/>
  <c r="J5" i="30"/>
  <c r="I5" i="30"/>
  <c r="H5" i="30"/>
  <c r="G5" i="30"/>
  <c r="E5" i="30"/>
  <c r="F5" i="30"/>
  <c r="AF5" i="12"/>
  <c r="F5" i="10" l="1"/>
  <c r="W5" i="37"/>
  <c r="V5" i="37"/>
  <c r="U5" i="37"/>
  <c r="T5" i="37"/>
  <c r="S5" i="37"/>
  <c r="R5" i="37"/>
  <c r="Q5" i="37"/>
  <c r="X5" i="37" l="1"/>
  <c r="P5" i="37" l="1"/>
  <c r="O5" i="37"/>
  <c r="N5" i="37"/>
  <c r="M5" i="37"/>
  <c r="L5" i="37"/>
  <c r="K5" i="37"/>
  <c r="G5" i="37"/>
  <c r="O5" i="10"/>
  <c r="N5" i="10"/>
  <c r="L5" i="10"/>
  <c r="K5" i="10"/>
  <c r="J5" i="10"/>
  <c r="I5" i="10"/>
  <c r="H5" i="10"/>
  <c r="E5" i="10"/>
  <c r="M5" i="10" l="1"/>
  <c r="CV7" i="27" l="1"/>
  <c r="AO204" i="27" l="1"/>
  <c r="AO199" i="27"/>
  <c r="AO200" i="27" s="1"/>
  <c r="AO201" i="27" l="1"/>
  <c r="AO202" i="27" s="1"/>
  <c r="AN188" i="27"/>
  <c r="AO188" i="27"/>
  <c r="AO203" i="27" l="1"/>
  <c r="AO205" i="27" s="1"/>
  <c r="AN205" i="27"/>
  <c r="Z175" i="27" l="1"/>
  <c r="Z199" i="27"/>
  <c r="AG199" i="27" s="1"/>
  <c r="Z187" i="27"/>
  <c r="Z186" i="27"/>
  <c r="Z185" i="27"/>
  <c r="Z184" i="27"/>
  <c r="Z183" i="27"/>
  <c r="Z182" i="27"/>
  <c r="Z181" i="27"/>
  <c r="Z180" i="27"/>
  <c r="Z179" i="27"/>
  <c r="Z178" i="27"/>
  <c r="Z177" i="27"/>
  <c r="Z176" i="27"/>
  <c r="Z174" i="27"/>
  <c r="Z173" i="27"/>
  <c r="Z172" i="27"/>
  <c r="Z171" i="27"/>
  <c r="AA36" i="27"/>
  <c r="AA41" i="27" s="1"/>
  <c r="Z200" i="27" l="1"/>
  <c r="Z201" i="27" s="1"/>
  <c r="Z188" i="27"/>
  <c r="DQ7" i="27"/>
  <c r="Z202" i="27" l="1"/>
  <c r="Z203" i="27" s="1"/>
  <c r="Z204" i="27" l="1"/>
  <c r="Z205" i="27" s="1"/>
  <c r="AM199" i="27" l="1"/>
  <c r="AA204" i="27"/>
  <c r="AA199" i="27"/>
  <c r="AA200" i="27" s="1"/>
  <c r="AK205" i="27" l="1"/>
  <c r="AA35" i="27"/>
  <c r="AA188" i="27"/>
  <c r="N188" i="27" s="1"/>
  <c r="AA201" i="27"/>
  <c r="AA202" i="27" l="1"/>
  <c r="AA203" i="27" s="1"/>
  <c r="AA205" i="27" l="1"/>
  <c r="AG171" i="27" l="1"/>
  <c r="DR7" i="27" l="1"/>
  <c r="DS7" i="27"/>
  <c r="W23" i="27" l="1"/>
  <c r="AH204" i="27" l="1"/>
  <c r="AH203" i="27"/>
  <c r="AH202" i="27"/>
  <c r="AH201" i="27"/>
  <c r="AH200" i="27"/>
  <c r="AH199" i="27"/>
  <c r="AM204" i="27"/>
  <c r="AM203" i="27"/>
  <c r="AM202" i="27"/>
  <c r="AM201" i="27"/>
  <c r="AM200" i="27"/>
  <c r="AB32" i="27"/>
  <c r="AA32" i="27"/>
  <c r="Z32" i="27"/>
  <c r="Y32" i="27"/>
  <c r="X32" i="27"/>
  <c r="W32" i="27"/>
  <c r="W20" i="27" l="1"/>
  <c r="Y30" i="27" s="1"/>
  <c r="X30" i="27" l="1"/>
  <c r="W21" i="27"/>
  <c r="AG29" i="27" l="1"/>
  <c r="AF29" i="27" s="1"/>
  <c r="AE29" i="27" s="1"/>
  <c r="Y35" i="27"/>
  <c r="Y81" i="27"/>
  <c r="AA81" i="27" s="1"/>
  <c r="Y77" i="27"/>
  <c r="AA77" i="27" s="1"/>
  <c r="Y80" i="27"/>
  <c r="AA80" i="27" s="1"/>
  <c r="Y79" i="27"/>
  <c r="AA79" i="27" s="1"/>
  <c r="Y78" i="27"/>
  <c r="AA78" i="27" s="1"/>
  <c r="X79" i="27"/>
  <c r="Z79" i="27" s="1"/>
  <c r="X81" i="27"/>
  <c r="Z81" i="27" s="1"/>
  <c r="X78" i="27"/>
  <c r="Z78" i="27" s="1"/>
  <c r="X77" i="27"/>
  <c r="Z77" i="27" s="1"/>
  <c r="X80" i="27"/>
  <c r="Z80" i="27" s="1"/>
  <c r="Y69" i="27"/>
  <c r="X70" i="27"/>
  <c r="Y73" i="27"/>
  <c r="Y71" i="27"/>
  <c r="X69" i="27"/>
  <c r="X75" i="27"/>
  <c r="Y70" i="27"/>
  <c r="Y75" i="27"/>
  <c r="X74" i="27"/>
  <c r="X71" i="27"/>
  <c r="Y74" i="27"/>
  <c r="X73" i="27"/>
  <c r="Y34" i="27"/>
  <c r="Y33" i="27"/>
  <c r="Y31" i="27"/>
  <c r="Z31" i="27"/>
  <c r="AF260" i="27"/>
  <c r="AB260" i="27"/>
  <c r="AE259" i="27"/>
  <c r="AA259" i="27"/>
  <c r="AE260" i="27"/>
  <c r="AA260" i="27"/>
  <c r="AH259" i="27"/>
  <c r="AD259" i="27"/>
  <c r="Z259" i="27"/>
  <c r="AH260" i="27"/>
  <c r="AD260" i="27"/>
  <c r="Z260" i="27"/>
  <c r="AG259" i="27"/>
  <c r="AC259" i="27"/>
  <c r="AG260" i="27"/>
  <c r="AC260" i="27"/>
  <c r="Y260" i="27"/>
  <c r="AF259" i="27"/>
  <c r="AB259" i="27"/>
  <c r="B203" i="27"/>
  <c r="B199" i="27"/>
  <c r="B201" i="27"/>
  <c r="B202" i="27"/>
  <c r="B204" i="27"/>
  <c r="B200" i="27"/>
  <c r="B169" i="27"/>
  <c r="B197" i="27"/>
  <c r="Z35" i="27" l="1"/>
  <c r="Z34" i="27"/>
  <c r="Z30" i="27"/>
  <c r="Z33" i="27"/>
  <c r="AE199" i="27"/>
  <c r="AB204" i="27"/>
  <c r="AB199" i="27"/>
  <c r="Y204" i="27"/>
  <c r="AB200" i="27" l="1"/>
  <c r="AB201" i="27" l="1"/>
  <c r="AB202" i="27" s="1"/>
  <c r="AB203" i="27" s="1"/>
  <c r="AB205" i="27" l="1"/>
  <c r="AH205" i="27"/>
  <c r="AM205" i="27"/>
  <c r="W37" i="27" l="1"/>
  <c r="W36" i="27"/>
  <c r="AE200" i="27" l="1"/>
  <c r="AE171" i="27"/>
  <c r="AD199" i="27"/>
  <c r="AD172" i="27"/>
  <c r="AD173" i="27"/>
  <c r="AD174" i="27"/>
  <c r="AD175" i="27"/>
  <c r="AD176" i="27"/>
  <c r="AD177" i="27"/>
  <c r="AD178" i="27"/>
  <c r="AD179" i="27"/>
  <c r="AD180" i="27"/>
  <c r="AD181" i="27"/>
  <c r="AD182" i="27"/>
  <c r="AD183" i="27"/>
  <c r="AD184" i="27"/>
  <c r="AD185" i="27"/>
  <c r="AD186" i="27"/>
  <c r="AD187" i="27"/>
  <c r="AD171" i="27"/>
  <c r="AC199" i="27"/>
  <c r="AC171" i="27"/>
  <c r="AF199" i="27" l="1"/>
  <c r="AD188" i="27"/>
  <c r="AE201" i="27"/>
  <c r="AF171" i="27"/>
  <c r="N199" i="27"/>
  <c r="AC200" i="27"/>
  <c r="AC201" i="27" s="1"/>
  <c r="Y200" i="27"/>
  <c r="Y201" i="27" s="1"/>
  <c r="Y202" i="27" s="1"/>
  <c r="AG204" i="27"/>
  <c r="AD200" i="27"/>
  <c r="AD201" i="27" s="1"/>
  <c r="AE202" i="27" l="1"/>
  <c r="AE203" i="27" s="1"/>
  <c r="Y203" i="27"/>
  <c r="Y205" i="27" s="1"/>
  <c r="AG205" i="27" s="1"/>
  <c r="AG200" i="27"/>
  <c r="AG201" i="27"/>
  <c r="AD202" i="27"/>
  <c r="AD203" i="27" s="1"/>
  <c r="AG202" i="27"/>
  <c r="AF201" i="27"/>
  <c r="N201" i="27" s="1"/>
  <c r="AF200" i="27"/>
  <c r="N200" i="27" s="1"/>
  <c r="AC202" i="27"/>
  <c r="W205" i="27" l="1"/>
  <c r="X205" i="27"/>
  <c r="AD204" i="27"/>
  <c r="AD205" i="27" s="1"/>
  <c r="AE204" i="27"/>
  <c r="AE205" i="27" s="1"/>
  <c r="AG203" i="27"/>
  <c r="Z36" i="27" s="1"/>
  <c r="Z41" i="27" s="1"/>
  <c r="AC203" i="27"/>
  <c r="AF203" i="27" s="1"/>
  <c r="AF202" i="27"/>
  <c r="N202" i="27" s="1"/>
  <c r="N203" i="27" l="1"/>
  <c r="AC204" i="27"/>
  <c r="AF204" i="27" s="1"/>
  <c r="Z37" i="27" s="1"/>
  <c r="Z40" i="27" s="1"/>
  <c r="W188" i="27"/>
  <c r="X188" i="27"/>
  <c r="AE172" i="27"/>
  <c r="AE173" i="27"/>
  <c r="AE174" i="27"/>
  <c r="AE175" i="27"/>
  <c r="AE176" i="27"/>
  <c r="AE177" i="27"/>
  <c r="AE178" i="27"/>
  <c r="AE179" i="27"/>
  <c r="AE180" i="27"/>
  <c r="AE181" i="27"/>
  <c r="AE182" i="27"/>
  <c r="AE183" i="27"/>
  <c r="AE184" i="27"/>
  <c r="AE185" i="27"/>
  <c r="AE186" i="27"/>
  <c r="AE187" i="27"/>
  <c r="AC172" i="27"/>
  <c r="AC173" i="27"/>
  <c r="AC174" i="27"/>
  <c r="AC175" i="27"/>
  <c r="AC176" i="27"/>
  <c r="AC177" i="27"/>
  <c r="AC178" i="27"/>
  <c r="AC179" i="27"/>
  <c r="AC180" i="27"/>
  <c r="AC181" i="27"/>
  <c r="AC182" i="27"/>
  <c r="AC183" i="27"/>
  <c r="AC184" i="27"/>
  <c r="AC185" i="27"/>
  <c r="AC186" i="27"/>
  <c r="AC187" i="27"/>
  <c r="AF205" i="27" l="1"/>
  <c r="N205" i="27" s="1"/>
  <c r="N204" i="27"/>
  <c r="AF176" i="27"/>
  <c r="AF183" i="27"/>
  <c r="AF187" i="27"/>
  <c r="AF186" i="27"/>
  <c r="AC205" i="27"/>
  <c r="AC188" i="27"/>
  <c r="AE188" i="27"/>
  <c r="AI188" i="27"/>
  <c r="AF180" i="27"/>
  <c r="AF185" i="27"/>
  <c r="AF179" i="27"/>
  <c r="AF177" i="27"/>
  <c r="AF173" i="27"/>
  <c r="AF181" i="27"/>
  <c r="AF175" i="27"/>
  <c r="AF184" i="27"/>
  <c r="AF178" i="27"/>
  <c r="AF174" i="27"/>
  <c r="AF182" i="27"/>
  <c r="AF172" i="27"/>
  <c r="Y37" i="27" l="1"/>
  <c r="Y40" i="27" s="1"/>
  <c r="AA34" i="27"/>
  <c r="AI205" i="27"/>
  <c r="AF188" i="27"/>
  <c r="AA37" i="27" s="1"/>
  <c r="AA40" i="27" s="1"/>
  <c r="AG173" i="27" l="1"/>
  <c r="AG174" i="27"/>
  <c r="AG175" i="27"/>
  <c r="Y36" i="27" s="1"/>
  <c r="AG176" i="27"/>
  <c r="AG177" i="27"/>
  <c r="AG178" i="27"/>
  <c r="AG179" i="27"/>
  <c r="AG180" i="27"/>
  <c r="AG181" i="27"/>
  <c r="AG182" i="27"/>
  <c r="AG183" i="27"/>
  <c r="AG184" i="27"/>
  <c r="AG185" i="27"/>
  <c r="AG186" i="27"/>
  <c r="AG187" i="27"/>
  <c r="Y41" i="27" l="1"/>
  <c r="AM188" i="27"/>
  <c r="AH188" i="27"/>
  <c r="AB188" i="27"/>
  <c r="AG172" i="27"/>
  <c r="Y188" i="27"/>
  <c r="AG188" i="27" s="1"/>
  <c r="AA31" i="27" l="1"/>
  <c r="AA33" i="27"/>
  <c r="AG22" i="27"/>
  <c r="W238" i="27"/>
  <c r="W30" i="27" l="1"/>
  <c r="AF25" i="27" l="1"/>
  <c r="AB25" i="27"/>
  <c r="AD58" i="27" s="1"/>
  <c r="X25" i="27"/>
  <c r="X22" i="27" s="1"/>
  <c r="AD24" i="27"/>
  <c r="Z24" i="27"/>
  <c r="AE25" i="27"/>
  <c r="AE28" i="27" s="1"/>
  <c r="AA25" i="27"/>
  <c r="AC58" i="27" s="1"/>
  <c r="AC24" i="27"/>
  <c r="Y24" i="27"/>
  <c r="AD25" i="27"/>
  <c r="AF58" i="27" s="1"/>
  <c r="Z25" i="27"/>
  <c r="AB58" i="27" s="1"/>
  <c r="AF24" i="27"/>
  <c r="AB24" i="27"/>
  <c r="X24" i="27"/>
  <c r="AC25" i="27"/>
  <c r="AE58" i="27" s="1"/>
  <c r="Y25" i="27"/>
  <c r="AA58" i="27" s="1"/>
  <c r="AE24" i="27"/>
  <c r="AA24" i="27"/>
  <c r="A226" i="27"/>
  <c r="W239" i="27"/>
  <c r="X35" i="27" l="1"/>
  <c r="AF28" i="27"/>
  <c r="AG30" i="27"/>
  <c r="AF30" i="27" s="1"/>
  <c r="AE30" i="27" s="1"/>
  <c r="AF22" i="27"/>
  <c r="AD29" i="27"/>
  <c r="AD30" i="27"/>
  <c r="AE22" i="27"/>
  <c r="X95" i="27"/>
  <c r="X94" i="27"/>
  <c r="X90" i="27"/>
  <c r="X89" i="27"/>
  <c r="AH58" i="27"/>
  <c r="AH59" i="27" s="1"/>
  <c r="AI57" i="27"/>
  <c r="AI60" i="27" s="1"/>
  <c r="AG58" i="27"/>
  <c r="AG59" i="27" s="1"/>
  <c r="AE57" i="27"/>
  <c r="AE60" i="27" s="1"/>
  <c r="AE59" i="27"/>
  <c r="AB57" i="27"/>
  <c r="AB60" i="27" s="1"/>
  <c r="AB59" i="27"/>
  <c r="AC57" i="27"/>
  <c r="AC60" i="27" s="1"/>
  <c r="AC59" i="27"/>
  <c r="AF57" i="27"/>
  <c r="AF60" i="27" s="1"/>
  <c r="AF59" i="27"/>
  <c r="AD57" i="27"/>
  <c r="AD60" i="27" s="1"/>
  <c r="AD59" i="27"/>
  <c r="AA59" i="27"/>
  <c r="AA57" i="27"/>
  <c r="AA60" i="27" s="1"/>
  <c r="X34" i="27"/>
  <c r="AF27" i="27"/>
  <c r="AE27" i="27"/>
  <c r="AG57" i="27"/>
  <c r="AG60" i="27" s="1"/>
  <c r="I53" i="27"/>
  <c r="AH57" i="27"/>
  <c r="AH60" i="27" s="1"/>
  <c r="X31" i="27"/>
  <c r="X33" i="27"/>
  <c r="AE26" i="27"/>
  <c r="X37" i="27"/>
  <c r="X40" i="27" s="1"/>
  <c r="X36" i="27"/>
  <c r="X41" i="27" s="1"/>
  <c r="AF26" i="27"/>
  <c r="AD22" i="27"/>
  <c r="X261" i="27"/>
  <c r="X242" i="27"/>
  <c r="X252" i="27"/>
  <c r="X251" i="27"/>
  <c r="X254" i="27"/>
  <c r="X245" i="27"/>
  <c r="X244" i="27"/>
  <c r="X260" i="27"/>
  <c r="X250" i="27"/>
  <c r="X253" i="27"/>
  <c r="X243" i="27"/>
  <c r="X246" i="27"/>
  <c r="Y259" i="27"/>
  <c r="X255" i="27"/>
  <c r="Y22" i="27"/>
  <c r="AC22" i="27"/>
  <c r="Z22" i="27"/>
  <c r="AA22" i="27"/>
  <c r="AB22" i="27"/>
  <c r="W90" i="27" l="1"/>
  <c r="W94" i="27"/>
  <c r="W89" i="27"/>
  <c r="W95" i="27"/>
  <c r="Y246" i="27"/>
  <c r="Y255" i="27"/>
  <c r="Y244" i="27"/>
  <c r="Y242" i="27"/>
  <c r="Y261" i="27"/>
  <c r="Z261" i="27" s="1"/>
  <c r="AA261" i="27" s="1"/>
  <c r="AB261" i="27" s="1"/>
  <c r="AC261" i="27" s="1"/>
  <c r="AD261" i="27" s="1"/>
  <c r="AE261" i="27" s="1"/>
  <c r="AF261" i="27" s="1"/>
  <c r="AG261" i="27" s="1"/>
  <c r="AH261" i="27" s="1"/>
  <c r="Y243" i="27"/>
  <c r="Y245" i="27"/>
  <c r="Y251" i="27"/>
  <c r="Y253" i="27"/>
  <c r="Y250" i="27"/>
  <c r="Y252" i="27"/>
  <c r="Y254" i="27"/>
</calcChain>
</file>

<file path=xl/comments1.xml><?xml version="1.0" encoding="utf-8"?>
<comments xmlns="http://schemas.openxmlformats.org/spreadsheetml/2006/main">
  <authors>
    <author>Auteur</author>
  </authors>
  <commentList>
    <comment ref="E199" authorId="0" shapeId="0">
      <text>
        <r>
          <rPr>
            <sz val="9"/>
            <color indexed="81"/>
            <rFont val="Tahoma"/>
            <family val="2"/>
          </rPr>
          <t xml:space="preserve">Cette classe de population comprend les municipalités qui importent un volume d’eau d’une ou plusieurs municipalités ayant une entente complète de compilation de données entre elles. 
</t>
        </r>
      </text>
    </comment>
    <comment ref="V199" authorId="0" shapeId="0">
      <text>
        <r>
          <rPr>
            <sz val="9"/>
            <color indexed="81"/>
            <rFont val="Tahoma"/>
            <family val="2"/>
          </rPr>
          <t xml:space="preserve">Cette classe de population comprend les municipalités qui importent un volume d’eau d’une ou plusieurs municipalités ayant une entente complète de compilation de données entre elles. 
</t>
        </r>
      </text>
    </comment>
  </commentList>
</comments>
</file>

<file path=xl/sharedStrings.xml><?xml version="1.0" encoding="utf-8"?>
<sst xmlns="http://schemas.openxmlformats.org/spreadsheetml/2006/main" count="102446" uniqueCount="4813">
  <si>
    <t>Nom de la municipalité</t>
  </si>
  <si>
    <t>Code géographique</t>
  </si>
  <si>
    <t>Nom du réseau de distribution</t>
  </si>
  <si>
    <t>Numéro du MELCC du réseau de distribution</t>
  </si>
  <si>
    <t>Nombre de branchements de service</t>
  </si>
  <si>
    <t>Commentaires de la municipalité, s'il y a lieu</t>
  </si>
  <si>
    <t>Commentaires du MAMH, s'il y a lieu</t>
  </si>
  <si>
    <t>Région</t>
  </si>
  <si>
    <t>ESPRIT-SAINT</t>
  </si>
  <si>
    <t>LA TRINITÉ-DES-MONTS</t>
  </si>
  <si>
    <t>SAINT-NARCISSE-DE-RIMOUSKI</t>
  </si>
  <si>
    <t>SAINT-MARCELLIN</t>
  </si>
  <si>
    <t>SAINT-ANACLET-DE-LESSARD</t>
  </si>
  <si>
    <t>RIMOUSKI</t>
  </si>
  <si>
    <t>SAINT-VALÉRIEN</t>
  </si>
  <si>
    <t>SAINT-FABIEN</t>
  </si>
  <si>
    <t>SAINT-EUGÈNE-DE-LADRIÈRE</t>
  </si>
  <si>
    <t>SAINT-CLÉMENT</t>
  </si>
  <si>
    <t>SAINT-JEAN-DE-DIEU</t>
  </si>
  <si>
    <t>SAINTE-RITA</t>
  </si>
  <si>
    <t>SAINT-GUY</t>
  </si>
  <si>
    <t>SAINT-MÉDARD</t>
  </si>
  <si>
    <t>SAINTE-FRANÇOISE (01)</t>
  </si>
  <si>
    <t>SAINT-ÉLOI</t>
  </si>
  <si>
    <t>TROIS-PISTOLES</t>
  </si>
  <si>
    <t>NOTRE-DAME-DES-NEIGES</t>
  </si>
  <si>
    <t>SAINT-MATHIEU-DE-RIOUX</t>
  </si>
  <si>
    <t>SAINT-SIMON (01)</t>
  </si>
  <si>
    <t>SAINT-CYPRIEN (01)</t>
  </si>
  <si>
    <t>SAINT-HUBERT-DE-RIVIÈRE-DU-LOUP</t>
  </si>
  <si>
    <t>SAINT-ANTONIN</t>
  </si>
  <si>
    <t>SAINT-MODESTE</t>
  </si>
  <si>
    <t>SAINT-FRANÇOIS-XAVIER-DE-VIGER</t>
  </si>
  <si>
    <t>SAINT-ÉPIPHANE</t>
  </si>
  <si>
    <t>SAINT-PAUL-DE-LA-CROIX</t>
  </si>
  <si>
    <t>L'ISLE-VERTE</t>
  </si>
  <si>
    <t>NOTRE-DAME-DES-SEPT-DOULEURS</t>
  </si>
  <si>
    <t>CACOUNA</t>
  </si>
  <si>
    <t>SAINT-ARSÈNE</t>
  </si>
  <si>
    <t>RIVIÈRE-DU-LOUP</t>
  </si>
  <si>
    <t>NOTRE-DAME-DU-PORTAGE</t>
  </si>
  <si>
    <t>DÉGELIS</t>
  </si>
  <si>
    <t>SAINT-JEAN-DE-LA-LANDE</t>
  </si>
  <si>
    <t>PACKINGTON</t>
  </si>
  <si>
    <t>SAINT-MARC-DU-LAC-LONG</t>
  </si>
  <si>
    <t>RIVIÈRE-BLEUE</t>
  </si>
  <si>
    <t>SAINT-EUSÈBE</t>
  </si>
  <si>
    <t>SAINT-JUSTE-DU-LAC</t>
  </si>
  <si>
    <t>AUCLAIR</t>
  </si>
  <si>
    <t>LEJEUNE</t>
  </si>
  <si>
    <t>BIENCOURT</t>
  </si>
  <si>
    <t>LAC-DES-AIGLES</t>
  </si>
  <si>
    <t>SAINT-MICHEL-DU-SQUATEC</t>
  </si>
  <si>
    <t>TÉMISCOUATA-SUR-LE-LAC</t>
  </si>
  <si>
    <t>SAINT-PIERRE-DE-LAMY</t>
  </si>
  <si>
    <t>SAINT-LOUIS-DU-HA! HA!</t>
  </si>
  <si>
    <t>SAINT-ELZÉAR-DE-TÉMISCOUATA</t>
  </si>
  <si>
    <t>SAINT-HONORÉ-DE-TÉMISCOUATA</t>
  </si>
  <si>
    <t>POHÉNÉGAMOOK</t>
  </si>
  <si>
    <t>SAINT-ATHANASE</t>
  </si>
  <si>
    <t>MONT-CARMEL</t>
  </si>
  <si>
    <t>SAINT-BRUNO-DE-KAMOURASKA</t>
  </si>
  <si>
    <t>SAINT-PASCAL</t>
  </si>
  <si>
    <t>SAINTE-HÉLÈNE-DE-KAMOURASKA</t>
  </si>
  <si>
    <t>SAINT-JOSEPH-DE-KAMOURASKA</t>
  </si>
  <si>
    <t>SAINT-ALEXANDRE-DE-KAMOURASKA</t>
  </si>
  <si>
    <t>SAINT-ANDRÉ</t>
  </si>
  <si>
    <t>SAINT-GERMAIN</t>
  </si>
  <si>
    <t>KAMOURASKA</t>
  </si>
  <si>
    <t>SAINT-DENIS-DE LA BOUTEILLERIE</t>
  </si>
  <si>
    <t>SAINT-PHILIPPE-DE-NÉRI</t>
  </si>
  <si>
    <t>RIVIÈRE-OUELLE</t>
  </si>
  <si>
    <t>SAINT-PACÔME</t>
  </si>
  <si>
    <t>SAINT-GABRIEL-LALEMANT</t>
  </si>
  <si>
    <t>SAINT-ONÉSIME-D'IXWORTH</t>
  </si>
  <si>
    <t>LA POCATIÈRE</t>
  </si>
  <si>
    <t>SAINTE-ANNE-DE-LA-POCATIÈRE</t>
  </si>
  <si>
    <t>SAINT-IRÉNÉE</t>
  </si>
  <si>
    <t>LA MALBAIE</t>
  </si>
  <si>
    <t>NOTRE-DAME-DES-MONTS</t>
  </si>
  <si>
    <t>SAINT-AIMÉ-DES-LACS</t>
  </si>
  <si>
    <t>CLERMONT (03)</t>
  </si>
  <si>
    <t>SAINT-SIMÉON (03)</t>
  </si>
  <si>
    <t>BAIE-SAINTE-CATHERINE</t>
  </si>
  <si>
    <t>PETITE-RIVIÈRE-SAINT-FRANÇOIS</t>
  </si>
  <si>
    <t>BAIE-SAINT-PAUL</t>
  </si>
  <si>
    <t>L'ISLE-AUX-COUDRES</t>
  </si>
  <si>
    <t>LES ÉBOULEMENTS</t>
  </si>
  <si>
    <t>SAINT-HILARION</t>
  </si>
  <si>
    <t>SAINT-URBAIN</t>
  </si>
  <si>
    <t>SAINT-OMER</t>
  </si>
  <si>
    <t>SAINT-PAMPHILE</t>
  </si>
  <si>
    <t>SAINT-ADALBERT</t>
  </si>
  <si>
    <t>SAINT-MARCEL</t>
  </si>
  <si>
    <t>SAINTE-FÉLICITÉ (12)</t>
  </si>
  <si>
    <t>SAINTE-PERPÉTUE (12)</t>
  </si>
  <si>
    <t>TOURVILLE</t>
  </si>
  <si>
    <t>SAINT-DAMASE-DE-L'ISLET</t>
  </si>
  <si>
    <t>SAINT-CYRILLE-DE-LESSARD</t>
  </si>
  <si>
    <t>SAINT-AUBERT</t>
  </si>
  <si>
    <t>SAINTE-LOUISE</t>
  </si>
  <si>
    <t>SAINT-ROCH-DES-AULNAIES</t>
  </si>
  <si>
    <t>SAINT-JEAN-PORT-JOLI</t>
  </si>
  <si>
    <t>L'ISLET</t>
  </si>
  <si>
    <t>SAINT-JUST-DE-BRETENIÈRES</t>
  </si>
  <si>
    <t>LAC-FRONTIÈRE</t>
  </si>
  <si>
    <t>SAINT-FABIEN-DE-PANET</t>
  </si>
  <si>
    <t>SAINTE-LUCIE-DE-BEAUREGARD</t>
  </si>
  <si>
    <t>SAINTE-APOLLINE-DE-PATTON</t>
  </si>
  <si>
    <t>SAINT-PAUL-DE-MONTMINY</t>
  </si>
  <si>
    <t>SAINTE-EUPHÉMIE-SUR-RIVIÈRE-DU-SUD</t>
  </si>
  <si>
    <t>NOTRE-DAME-DU-ROSAIRE</t>
  </si>
  <si>
    <t>CAP-SAINT-IGNACE</t>
  </si>
  <si>
    <t>MONTMAGNY</t>
  </si>
  <si>
    <t>SAINT-PIERRE-DE-LA-RIVIÈRE-DU-SUD</t>
  </si>
  <si>
    <t>SAINT-FRANÇOIS-DE-LA-RIVIÈRE-DU-SUD</t>
  </si>
  <si>
    <t>BERTHIER-SUR-MER</t>
  </si>
  <si>
    <t>SAINT-ANTOINE-DE-L'ISLE-AUX-GRUES</t>
  </si>
  <si>
    <t>SAINT-PHILÉMON</t>
  </si>
  <si>
    <t>NOTRE-DAME-AUXILIATRICE-DE-BUCKLAND</t>
  </si>
  <si>
    <t>SAINT-NAZAIRE-DE-DORCHESTER</t>
  </si>
  <si>
    <t>SAINT-LÉON-DE-STANDON</t>
  </si>
  <si>
    <t>SAINT-MALACHIE</t>
  </si>
  <si>
    <t>SAINT-DAMIEN-DE-BUCKLAND</t>
  </si>
  <si>
    <t>ARMAGH</t>
  </si>
  <si>
    <t>SAINT-NÉRÉE-DE-BELLECHASSE</t>
  </si>
  <si>
    <t>SAINT-LAZARE-DE-BELLECHASSE</t>
  </si>
  <si>
    <t>SAINTE-CLAIRE</t>
  </si>
  <si>
    <t>SAINT-ANSELME</t>
  </si>
  <si>
    <t>SAINT-HENRI</t>
  </si>
  <si>
    <t>HONFLEUR</t>
  </si>
  <si>
    <t>SAINT-GERVAIS</t>
  </si>
  <si>
    <t>SAINT-RAPHAËL</t>
  </si>
  <si>
    <t>LA DURANTAYE</t>
  </si>
  <si>
    <t>SAINT-CHARLES-DE-BELLECHASSE</t>
  </si>
  <si>
    <t>BEAUMONT</t>
  </si>
  <si>
    <t>SAINT-MICHEL-DE-BELLECHASSE</t>
  </si>
  <si>
    <t>SAINT-VALLIER</t>
  </si>
  <si>
    <t>SAINT-FRANÇOIS-DE-L'ÎLE-D'ORLÉANS</t>
  </si>
  <si>
    <t>SAINTE-FAMILLE</t>
  </si>
  <si>
    <t>SAINT-JEAN-DE-L'ÎLE-D'ORLÉANS</t>
  </si>
  <si>
    <t>SAINT-LAURENT-DE-L'ÎLE-D'ORLÉANS</t>
  </si>
  <si>
    <t>SAINT-PIERRE-DE-L'ÎLE-D'ORLÉANS</t>
  </si>
  <si>
    <t>SAINTE-PÉTRONILLE</t>
  </si>
  <si>
    <t>SAINT-TITE-DES-CAPS</t>
  </si>
  <si>
    <t>SAINT-FERRÉOL-LES-NEIGES</t>
  </si>
  <si>
    <t>SAINT-LOUIS-DE-GONZAGUE-DU-CAP-TOURMENTE</t>
  </si>
  <si>
    <t>SAINT-JOACHIM</t>
  </si>
  <si>
    <t>BEAUPRÉ</t>
  </si>
  <si>
    <t>SAINTE-ANNE-DE-BEAUPRÉ</t>
  </si>
  <si>
    <t>CHÂTEAU-RICHER</t>
  </si>
  <si>
    <t>L'ANGE-GARDIEN (03)</t>
  </si>
  <si>
    <t>BOISCHATEL</t>
  </si>
  <si>
    <t>SAINTE-CATHERINE-DE-LA-JACQUES-CARTIER</t>
  </si>
  <si>
    <t>FOSSAMBAULT-SUR-LE-LAC</t>
  </si>
  <si>
    <t>LAC-SAINT-JOSEPH</t>
  </si>
  <si>
    <t>SHANNON</t>
  </si>
  <si>
    <t>SAINT-GABRIEL-DE-VALCARTIER</t>
  </si>
  <si>
    <t>LAC-DELAGE</t>
  </si>
  <si>
    <t>STONEHAM-ET-TEWKESBURY</t>
  </si>
  <si>
    <t>LAC-BEAUPORT</t>
  </si>
  <si>
    <t>SAINTE-BRIGITTE-DE-LAVAL</t>
  </si>
  <si>
    <t>NOTRE-DAME-DES-ANGES</t>
  </si>
  <si>
    <t>QUÉBEC</t>
  </si>
  <si>
    <t>L'ANCIENNE-LORETTE</t>
  </si>
  <si>
    <t>SAINT-AUGUSTIN-DE-DESMAURES</t>
  </si>
  <si>
    <t>LÉVIS</t>
  </si>
  <si>
    <t>FRAMPTON</t>
  </si>
  <si>
    <t>SAINTS-ANGES</t>
  </si>
  <si>
    <t>VALLÉE-JONCTION</t>
  </si>
  <si>
    <t>SAINT-ELZÉAR (12)</t>
  </si>
  <si>
    <t>SAINTE-MARIE</t>
  </si>
  <si>
    <t>SAINTE-MARGUERITE</t>
  </si>
  <si>
    <t>SAINTE-HÉNÉDINE</t>
  </si>
  <si>
    <t>SCOTT</t>
  </si>
  <si>
    <t>SAINT-BERNARD</t>
  </si>
  <si>
    <t>SAINT-ISIDORE (12)</t>
  </si>
  <si>
    <t>SAINT-LAMBERT-DE-LAUZON</t>
  </si>
  <si>
    <t>SAINT-VICTOR</t>
  </si>
  <si>
    <t>SAINT-ALFRED</t>
  </si>
  <si>
    <t>BEAUCEVILLE</t>
  </si>
  <si>
    <t>SAINT-ODILON-DE-CRANBOURNE</t>
  </si>
  <si>
    <t>SAINT-JOSEPH-DE-BEAUCE</t>
  </si>
  <si>
    <t>SAINT-JOSEPH-DES-ÉRABLES</t>
  </si>
  <si>
    <t>SAINT-JULES</t>
  </si>
  <si>
    <t>TRING-JONCTION</t>
  </si>
  <si>
    <t>SAINT-FRÉDÉRIC</t>
  </si>
  <si>
    <t>SAINT-SÉVERIN (12)</t>
  </si>
  <si>
    <t>SAINT-ZACHARIE</t>
  </si>
  <si>
    <t>SAINTE-AURÉLIE</t>
  </si>
  <si>
    <t>SAINT-PROSPER</t>
  </si>
  <si>
    <t>SAINT-BENJAMIN</t>
  </si>
  <si>
    <t>SAINTE-ROSE-DE-WATFORD</t>
  </si>
  <si>
    <t>SAINT-LOUIS-DE-GONZAGUE (M)</t>
  </si>
  <si>
    <t>SAINT-CYPRIEN (12)</t>
  </si>
  <si>
    <t>SAINTE-JUSTINE</t>
  </si>
  <si>
    <t>LAC-ETCHEMIN</t>
  </si>
  <si>
    <t>SAINT-LUC-DE-BELLECHASSE</t>
  </si>
  <si>
    <t>SAINTE-SABINE (12)</t>
  </si>
  <si>
    <t>SAINT-CAMILLE-DE-LELLIS</t>
  </si>
  <si>
    <t>SAINT-MAGLOIRE</t>
  </si>
  <si>
    <t>SAINT-THÉOPHILE</t>
  </si>
  <si>
    <t>SAINT-GÉDÉON-DE-BEAUCE</t>
  </si>
  <si>
    <t>SAINT-HILAIRE-DE-DORSET</t>
  </si>
  <si>
    <t>SAINT-ÉVARISTE-DE-FORSYTH</t>
  </si>
  <si>
    <t>LA GUADELOUPE</t>
  </si>
  <si>
    <t>SAINT-HONORÉ-DE-SHENLEY</t>
  </si>
  <si>
    <t>SAINT-MARTIN</t>
  </si>
  <si>
    <t>SAINT-RENÉ</t>
  </si>
  <si>
    <t>SAINT-CÔME-LINIÈRE</t>
  </si>
  <si>
    <t>SAINT-PHILIBERT</t>
  </si>
  <si>
    <t>SAINT-GEORGES</t>
  </si>
  <si>
    <t>LAC-POULIN</t>
  </si>
  <si>
    <t>SAINT-BENOÎT-LABRE</t>
  </si>
  <si>
    <t>SAINT-ÉPHREM-DE-BEAUCE</t>
  </si>
  <si>
    <t>NOTRE-DAME-DES-PINS</t>
  </si>
  <si>
    <t>SAINT-SIMON-LES-MINES</t>
  </si>
  <si>
    <t>SAINT-AUGUSTIN-DE-WOBURN</t>
  </si>
  <si>
    <t>NOTRE-DAME-DES-BOIS</t>
  </si>
  <si>
    <t>VAL-RACINE</t>
  </si>
  <si>
    <t>PIOPOLIS</t>
  </si>
  <si>
    <t>FRONTENAC</t>
  </si>
  <si>
    <t>LAC-MÉGANTIC</t>
  </si>
  <si>
    <t>MARSTON</t>
  </si>
  <si>
    <t>MILAN</t>
  </si>
  <si>
    <t>NANTES</t>
  </si>
  <si>
    <t>SAINTE-CÉCILE-DE-WHITTON</t>
  </si>
  <si>
    <t>AUDET</t>
  </si>
  <si>
    <t>SAINT-ROBERT-BELLARMIN</t>
  </si>
  <si>
    <t>SAINT-LUDGER</t>
  </si>
  <si>
    <t>LAC-DROLET</t>
  </si>
  <si>
    <t>SAINT-SÉBASTIEN (05)</t>
  </si>
  <si>
    <t>COURCELLES</t>
  </si>
  <si>
    <t>LAMBTON</t>
  </si>
  <si>
    <t>SAINT-ROMAIN</t>
  </si>
  <si>
    <t>STORNOWAY</t>
  </si>
  <si>
    <t>STRATFORD</t>
  </si>
  <si>
    <t>BEAULAC-GARTHBY</t>
  </si>
  <si>
    <t>DISRAELI (V)</t>
  </si>
  <si>
    <t>DISRAELI (P)</t>
  </si>
  <si>
    <t>SAINT-JACQUES-LE-MAJEUR-DE-WOLFESTOWN</t>
  </si>
  <si>
    <t>SAINT-FORTUNAT</t>
  </si>
  <si>
    <t>SAINT-JULIEN</t>
  </si>
  <si>
    <t>IRLANDE</t>
  </si>
  <si>
    <t>SAINT-JOSEPH-DE-COLERAINE</t>
  </si>
  <si>
    <t>SAINTE-PRAXÈDE</t>
  </si>
  <si>
    <t>ADSTOCK</t>
  </si>
  <si>
    <t>SAINTE-CLOTILDE-DE-BEAUCE</t>
  </si>
  <si>
    <t>THETFORD MINES</t>
  </si>
  <si>
    <t>SAINT-ADRIEN-D'IRLANDE</t>
  </si>
  <si>
    <t>SAINT-JEAN-DE-BRÉBEUF</t>
  </si>
  <si>
    <t>KINNEAR'S MILLS</t>
  </si>
  <si>
    <t>EAST BROUGHTON</t>
  </si>
  <si>
    <t>SACRÉ-COEUR-DE-JÉSUS</t>
  </si>
  <si>
    <t>SAINT-PIERRE-DE-BROUGHTON</t>
  </si>
  <si>
    <t>SAINT-JACQUES-DE-LEEDS</t>
  </si>
  <si>
    <t>SAINT-FERDINAND</t>
  </si>
  <si>
    <t>SAINTE-SOPHIE-D'HALIFAX</t>
  </si>
  <si>
    <t>PRINCEVILLE</t>
  </si>
  <si>
    <t>PLESSISVILLE (V)</t>
  </si>
  <si>
    <t>PLESSISVILLE (P)</t>
  </si>
  <si>
    <t>SAINT-PIERRE-BAPTISTE</t>
  </si>
  <si>
    <t>INVERNESS</t>
  </si>
  <si>
    <t>LYSTER</t>
  </si>
  <si>
    <t>LAURIERVILLE</t>
  </si>
  <si>
    <t>NOTRE-DAME-DE-LOURDES (17)</t>
  </si>
  <si>
    <t>VILLEROY</t>
  </si>
  <si>
    <t>SAINT-SYLVESTRE</t>
  </si>
  <si>
    <t>SAINTE-AGATHE-DE-LOTBINIÈRE</t>
  </si>
  <si>
    <t>SAINT-PATRICE-DE-BEAURIVAGE</t>
  </si>
  <si>
    <t>SAINT-NARCISSE-DE-BEAURIVAGE</t>
  </si>
  <si>
    <t>SAINT-GILLES</t>
  </si>
  <si>
    <t>DOSQUET</t>
  </si>
  <si>
    <t>SAINT-AGAPIT</t>
  </si>
  <si>
    <t>SAINT-FLAVIEN</t>
  </si>
  <si>
    <t>LAURIER-STATION</t>
  </si>
  <si>
    <t>SAINT-JANVIER-DE-JOLY</t>
  </si>
  <si>
    <t>VAL-ALAIN</t>
  </si>
  <si>
    <t>SAINT-ÉDOUARD-DE-LOTBINIÈRE</t>
  </si>
  <si>
    <t>NOTRE-DAME-DU-SACRÉ-COEUR-D'ISSOUDUN</t>
  </si>
  <si>
    <t>SAINT-APOLLINAIRE</t>
  </si>
  <si>
    <t>SAINT-ANTOINE-DE-TILLY</t>
  </si>
  <si>
    <t>SAINTE-CROIX</t>
  </si>
  <si>
    <t>LOTBINIÈRE</t>
  </si>
  <si>
    <t>LECLERCVILLE</t>
  </si>
  <si>
    <t>NEUVILLE</t>
  </si>
  <si>
    <t>PONT-ROUGE</t>
  </si>
  <si>
    <t>DONNACONA</t>
  </si>
  <si>
    <t>CAP-SANTÉ</t>
  </si>
  <si>
    <t>SAINT-BASILE</t>
  </si>
  <si>
    <t>PORTNEUF</t>
  </si>
  <si>
    <t>DESCHAMBAULT-GRONDINES</t>
  </si>
  <si>
    <t>SAINT-GILBERT</t>
  </si>
  <si>
    <t>SAINT-MARC-DES-CARRIÈRES</t>
  </si>
  <si>
    <t>SAINT-CASIMIR</t>
  </si>
  <si>
    <t>SAINT-THURIBE</t>
  </si>
  <si>
    <t>SAINT-UBALDE</t>
  </si>
  <si>
    <t>SAINT-ALBAN</t>
  </si>
  <si>
    <t>SAINTE-CHRISTINE-D'AUVERGNE</t>
  </si>
  <si>
    <t>SAINT-LÉONARD-DE-PORTNEUF</t>
  </si>
  <si>
    <t>LAC-SERGENT</t>
  </si>
  <si>
    <t>SAINT-RAYMOND</t>
  </si>
  <si>
    <t>RIVIÈRE-À-PIERRE</t>
  </si>
  <si>
    <t>NOTRE-DAME-DE-MONTAUBAN</t>
  </si>
  <si>
    <t>LAC-AUX-SABLES</t>
  </si>
  <si>
    <t>SAINT-ADELPHE</t>
  </si>
  <si>
    <t>SAINT-SÉVERIN (04)</t>
  </si>
  <si>
    <t>SAINT-TITE</t>
  </si>
  <si>
    <t>HÉROUXVILLE</t>
  </si>
  <si>
    <t>GRANDES-PILES</t>
  </si>
  <si>
    <t>SAINT-ROCH-DE-MÉKINAC</t>
  </si>
  <si>
    <t>SAINTE-THÈCLE</t>
  </si>
  <si>
    <t>TROIS-RIVES</t>
  </si>
  <si>
    <t>SHAWINIGAN</t>
  </si>
  <si>
    <t>TROIS-RIVIÈRES</t>
  </si>
  <si>
    <t>SAINTE-ANNE-DE-LA-PÉRADE</t>
  </si>
  <si>
    <t>BATISCAN</t>
  </si>
  <si>
    <t>SAINTE-GENEVIÈVE-DE-BATISCAN</t>
  </si>
  <si>
    <t>CHAMPLAIN</t>
  </si>
  <si>
    <t>SAINT-LUC-DE-VINCENNES</t>
  </si>
  <si>
    <t>SAINT-MAURICE</t>
  </si>
  <si>
    <t>NOTRE-DAME-DU-MONT-CARMEL</t>
  </si>
  <si>
    <t>SAINT-NARCISSE</t>
  </si>
  <si>
    <t>SAINT-STANISLAS (04)</t>
  </si>
  <si>
    <t>SAINT-PROSPER-DE-CHAMPLAIN</t>
  </si>
  <si>
    <t>SAINT-SYLVÈRE</t>
  </si>
  <si>
    <t>BÉCANCOUR</t>
  </si>
  <si>
    <t>SAINTE-MARIE-DE-BLANDFORD</t>
  </si>
  <si>
    <t>LEMIEUX</t>
  </si>
  <si>
    <t>MANSEAU</t>
  </si>
  <si>
    <t>SAINTE-FRANÇOISE (17)</t>
  </si>
  <si>
    <t>SAINTE-SOPHIE-DE-LÉVRARD</t>
  </si>
  <si>
    <t>FORTIERVILLE</t>
  </si>
  <si>
    <t>PARISVILLE</t>
  </si>
  <si>
    <t>SAINTE-CÉCILE-DE-LÉVRARD</t>
  </si>
  <si>
    <t>SAINT-PIERRE-LES-BECQUETS</t>
  </si>
  <si>
    <t>DESCHAILLONS-SUR-SAINT-LAURENT</t>
  </si>
  <si>
    <t>SAINTS-MARTYRS-CANADIENS</t>
  </si>
  <si>
    <t>HAM-NORD</t>
  </si>
  <si>
    <t>NOTRE-DAME-DE-HAM</t>
  </si>
  <si>
    <t>SAINT-RÉMI-DE-TINGWICK</t>
  </si>
  <si>
    <t>TINGWICK</t>
  </si>
  <si>
    <t>CHESTERVILLE</t>
  </si>
  <si>
    <t>SAINTE-HÉLÈNE-DE-CHESTER</t>
  </si>
  <si>
    <t>SAINT-NORBERT-D'ARTHABASKA</t>
  </si>
  <si>
    <t>SAINT-CHRISTOPHE-D'ARTHABASKA</t>
  </si>
  <si>
    <t>VICTORIAVILLE</t>
  </si>
  <si>
    <t>WARWICK</t>
  </si>
  <si>
    <t>SAINT-ALBERT</t>
  </si>
  <si>
    <t>SAINTE-ÉLISABETH-DE-WARWICK</t>
  </si>
  <si>
    <t>KINGSEY FALLS</t>
  </si>
  <si>
    <t>SAINTE-SÉRAPHINE</t>
  </si>
  <si>
    <t>SAINTE-CLOTILDE-DE-HORTON</t>
  </si>
  <si>
    <t>SAINT-SAMUEL</t>
  </si>
  <si>
    <t>SAINT-VALÈRE</t>
  </si>
  <si>
    <t>SAINT-ROSAIRE</t>
  </si>
  <si>
    <t>DAVELUYVILLE</t>
  </si>
  <si>
    <t>SAINT-LOUIS-DE-BLANDFORD</t>
  </si>
  <si>
    <t>HAM-SUD</t>
  </si>
  <si>
    <t>SAINT-ADRIEN</t>
  </si>
  <si>
    <t>WOTTON</t>
  </si>
  <si>
    <t>SAINT-CAMILLE</t>
  </si>
  <si>
    <t>SAINT-GEORGES-DE-WINDSOR</t>
  </si>
  <si>
    <t>ASBESTOS</t>
  </si>
  <si>
    <t>DANVILLE</t>
  </si>
  <si>
    <t>SAINT-ISIDORE-DE-CLIFTON</t>
  </si>
  <si>
    <t>CHARTIERVILLE</t>
  </si>
  <si>
    <t>LA PATRIE</t>
  </si>
  <si>
    <t>NEWPORT</t>
  </si>
  <si>
    <t>COOKSHIRE-EATON</t>
  </si>
  <si>
    <t>ASCOT CORNER</t>
  </si>
  <si>
    <t>EAST ANGUS</t>
  </si>
  <si>
    <t>WESTBURY</t>
  </si>
  <si>
    <t>BURY</t>
  </si>
  <si>
    <t>HAMPDEN</t>
  </si>
  <si>
    <t>SCOTSTOWN</t>
  </si>
  <si>
    <t>LINGWICK</t>
  </si>
  <si>
    <t>WEEDON</t>
  </si>
  <si>
    <t>DUDSWELL</t>
  </si>
  <si>
    <t>STOKE</t>
  </si>
  <si>
    <t>SAINT-FRANÇOIS-XAVIER-DE-BROMPTON</t>
  </si>
  <si>
    <t>SAINT-DENIS-DE-BROMPTON</t>
  </si>
  <si>
    <t>RACINE</t>
  </si>
  <si>
    <t>BONSECOURS</t>
  </si>
  <si>
    <t>LAWRENCEVILLE</t>
  </si>
  <si>
    <t>SAINTE-ANNE-DE-LA-ROCHELLE</t>
  </si>
  <si>
    <t>VALCOURT (V)</t>
  </si>
  <si>
    <t>VALCOURT (CT)</t>
  </si>
  <si>
    <t>MARICOURT</t>
  </si>
  <si>
    <t>KINGSBURY</t>
  </si>
  <si>
    <t>MELBOURNE</t>
  </si>
  <si>
    <t>ULVERTON</t>
  </si>
  <si>
    <t>WINDSOR</t>
  </si>
  <si>
    <t>VAL-JOLI</t>
  </si>
  <si>
    <t>RICHMOND</t>
  </si>
  <si>
    <t>SAINT-CLAUDE</t>
  </si>
  <si>
    <t>CLEVELAND</t>
  </si>
  <si>
    <t>SHERBROOKE</t>
  </si>
  <si>
    <t>SAINT-MALO</t>
  </si>
  <si>
    <t>SAINT-VENANT-DE-PAQUETTE</t>
  </si>
  <si>
    <t>EAST HEREFORD</t>
  </si>
  <si>
    <t>SAINT-HERMÉNÉGILDE</t>
  </si>
  <si>
    <t>DIXVILLE</t>
  </si>
  <si>
    <t>COATICOOK</t>
  </si>
  <si>
    <t>BARNSTON-OUEST</t>
  </si>
  <si>
    <t>STANSTEAD-EST</t>
  </si>
  <si>
    <t>SAINTE-EDWIDGE-DE-CLIFTON</t>
  </si>
  <si>
    <t>MARTINVILLE</t>
  </si>
  <si>
    <t>COMPTON</t>
  </si>
  <si>
    <t>WATERVILLE</t>
  </si>
  <si>
    <t>STANSTEAD (V)</t>
  </si>
  <si>
    <t>OGDEN</t>
  </si>
  <si>
    <t>STANSTEAD (CT)</t>
  </si>
  <si>
    <t>POTTON</t>
  </si>
  <si>
    <t>AYER'S CLIFF</t>
  </si>
  <si>
    <t>HATLEY (M)</t>
  </si>
  <si>
    <t>NORTH HATLEY</t>
  </si>
  <si>
    <t>HATLEY (CT)</t>
  </si>
  <si>
    <t>SAINTE-CATHERINE-DE-HATLEY</t>
  </si>
  <si>
    <t>MAGOG</t>
  </si>
  <si>
    <t>SAINT-BENOÎT-DU-LAC</t>
  </si>
  <si>
    <t>AUSTIN</t>
  </si>
  <si>
    <t>EASTMAN</t>
  </si>
  <si>
    <t>BOLTON-EST</t>
  </si>
  <si>
    <t>SAINT-ÉTIENNE-DE-BOLTON</t>
  </si>
  <si>
    <t>STUKELY-SUD</t>
  </si>
  <si>
    <t>ORFORD</t>
  </si>
  <si>
    <t>ABERCORN</t>
  </si>
  <si>
    <t>FRELIGHSBURG</t>
  </si>
  <si>
    <t>SAINT-ARMAND</t>
  </si>
  <si>
    <t>PIKE RIVER</t>
  </si>
  <si>
    <t>STANBRIDGE STATION</t>
  </si>
  <si>
    <t>BEDFORD (V)</t>
  </si>
  <si>
    <t>BEDFORD (CT)</t>
  </si>
  <si>
    <t>STANBRIDGE EAST</t>
  </si>
  <si>
    <t>DUNHAM</t>
  </si>
  <si>
    <t>SUTTON</t>
  </si>
  <si>
    <t>BOLTON-OUEST</t>
  </si>
  <si>
    <t>BROME</t>
  </si>
  <si>
    <t>LAC-BROME</t>
  </si>
  <si>
    <t>BROMONT</t>
  </si>
  <si>
    <t>COWANSVILLE</t>
  </si>
  <si>
    <t>EAST FARNHAM</t>
  </si>
  <si>
    <t>BRIGHAM</t>
  </si>
  <si>
    <t>SAINT-IGNACE-DE-STANBRIDGE</t>
  </si>
  <si>
    <t>NOTRE-DAME-DE-STANBRIDGE</t>
  </si>
  <si>
    <t>SAINTE-SABINE (16)</t>
  </si>
  <si>
    <t>FARNHAM</t>
  </si>
  <si>
    <t>SAINT-ALPHONSE-DE-GRANBY</t>
  </si>
  <si>
    <t>GRANBY</t>
  </si>
  <si>
    <t>WATERLOO</t>
  </si>
  <si>
    <t>WARDEN</t>
  </si>
  <si>
    <t>SHEFFORD</t>
  </si>
  <si>
    <t>SAINT-JOACHIM-DE-SHEFFORD</t>
  </si>
  <si>
    <t>ROXTON POND</t>
  </si>
  <si>
    <t>SAINTE-CÉCILE-DE-MILTON</t>
  </si>
  <si>
    <t>BÉTHANIE</t>
  </si>
  <si>
    <t>ROXTON FALLS</t>
  </si>
  <si>
    <t>ROXTON</t>
  </si>
  <si>
    <t>SAINTE-CHRISTINE</t>
  </si>
  <si>
    <t>ACTON VALE</t>
  </si>
  <si>
    <t>UPTON</t>
  </si>
  <si>
    <t>SAINT-THÉODORE-D'ACTON</t>
  </si>
  <si>
    <t>SAINT-NAZAIRE-D'ACTON</t>
  </si>
  <si>
    <t>SAINT-FÉLIX-DE-KINGSEY</t>
  </si>
  <si>
    <t>DURHAM-SUD</t>
  </si>
  <si>
    <t>LEFEBVRE</t>
  </si>
  <si>
    <t>L'AVENIR</t>
  </si>
  <si>
    <t>SAINT-LUCIEN</t>
  </si>
  <si>
    <t>WICKHAM</t>
  </si>
  <si>
    <t>SAINT-GERMAIN-DE-GRANTHAM</t>
  </si>
  <si>
    <t>DRUMMONDVILLE</t>
  </si>
  <si>
    <t>SAINT-CYRILLE-DE-WENDOVER</t>
  </si>
  <si>
    <t>NOTRE-DAME-DU-BON-CONSEIL (VL)</t>
  </si>
  <si>
    <t>NOTRE-DAME-DU-BON-CONSEIL (P)</t>
  </si>
  <si>
    <t>SAINTE-BRIGITTE-DES-SAULTS</t>
  </si>
  <si>
    <t>SAINT-MAJORIQUE-DE-GRANTHAM</t>
  </si>
  <si>
    <t>SAINT-EDMOND-DE-GRANTHAM</t>
  </si>
  <si>
    <t>SAINT-EUGÈNE</t>
  </si>
  <si>
    <t>SAINT-GUILLAUME</t>
  </si>
  <si>
    <t>SAINT-BONAVENTURE</t>
  </si>
  <si>
    <t>SAINT-PIE-DE-GUIRE</t>
  </si>
  <si>
    <t>SAINTE-EULALIE</t>
  </si>
  <si>
    <t>ASTON-JONCTION</t>
  </si>
  <si>
    <t>SAINT-WENCESLAS</t>
  </si>
  <si>
    <t>SAINT-CÉLESTIN (VL)</t>
  </si>
  <si>
    <t>SAINT-CÉLESTIN (M)</t>
  </si>
  <si>
    <t>SAINT-LÉONARD-D'ASTON</t>
  </si>
  <si>
    <t>SAINTE-PERPÉTUE (17)</t>
  </si>
  <si>
    <t>SAINTE-MONIQUE (17)</t>
  </si>
  <si>
    <t>GRAND-SAINT-ESPRIT</t>
  </si>
  <si>
    <t>NICOLET</t>
  </si>
  <si>
    <t>LA VISITATION-DE-YAMASKA</t>
  </si>
  <si>
    <t>SAINT-ZÉPHIRIN-DE-COURVAL</t>
  </si>
  <si>
    <t>SAINT-ELPHÈGE</t>
  </si>
  <si>
    <t>BAIE-DU-FEBVRE</t>
  </si>
  <si>
    <t>PIERREVILLE</t>
  </si>
  <si>
    <t>SAINT-FRANÇOIS-DU-LAC</t>
  </si>
  <si>
    <t>MASKINONGÉ</t>
  </si>
  <si>
    <t>LOUISEVILLE</t>
  </si>
  <si>
    <t>YAMACHICHE</t>
  </si>
  <si>
    <t>SAINT-BARNABÉ</t>
  </si>
  <si>
    <t>SAINT-SÉVÈRE</t>
  </si>
  <si>
    <t>SAINT-LÉON-LE-GRAND (04)</t>
  </si>
  <si>
    <t>SAINTE-URSULE</t>
  </si>
  <si>
    <t>SAINT-JUSTIN</t>
  </si>
  <si>
    <t>SAINT-ÉDOUARD-DE-MASKINONGÉ</t>
  </si>
  <si>
    <t>SAINTE-ANGÈLE-DE-PRÉMONT</t>
  </si>
  <si>
    <t>SAINT-PAULIN</t>
  </si>
  <si>
    <t>SAINT-ALEXIS-DES-MONTS</t>
  </si>
  <si>
    <t>SAINT-MATHIEU-DU-PARC</t>
  </si>
  <si>
    <t>SAINT-ÉLIE-DE-CAXTON</t>
  </si>
  <si>
    <t>CHARETTE</t>
  </si>
  <si>
    <t>SAINT-BONIFACE</t>
  </si>
  <si>
    <t>SAINT-ÉTIENNE-DES-GRÈS</t>
  </si>
  <si>
    <t>LAVALTRIE</t>
  </si>
  <si>
    <t>LANORAIE</t>
  </si>
  <si>
    <t>SAINTE-ÉLISABETH</t>
  </si>
  <si>
    <t>BERTHIERVILLE</t>
  </si>
  <si>
    <t>SAINTE-GENEVIÈVE-DE-BERTHIER</t>
  </si>
  <si>
    <t>SAINT-IGNACE-DE-LOYOLA</t>
  </si>
  <si>
    <t>LA VISITATION-DE-L'ÎLE-DUPAS</t>
  </si>
  <si>
    <t>SAINT-BARTHÉLEMY</t>
  </si>
  <si>
    <t>SAINT-CUTHBERT</t>
  </si>
  <si>
    <t>SAINT-NORBERT</t>
  </si>
  <si>
    <t>SAINT-CLÉOPHAS-DE-BRANDON</t>
  </si>
  <si>
    <t>SAINT-GABRIEL</t>
  </si>
  <si>
    <t>SAINT-GABRIEL-DE-BRANDON</t>
  </si>
  <si>
    <t>SAINT-DIDACE</t>
  </si>
  <si>
    <t>MANDEVILLE</t>
  </si>
  <si>
    <t>SAINT-DAVID</t>
  </si>
  <si>
    <t>MASSUEVILLE</t>
  </si>
  <si>
    <t>SAINT-AIMÉ</t>
  </si>
  <si>
    <t>SAINT-ROBERT</t>
  </si>
  <si>
    <t>SAINTE-VICTOIRE-DE-SOREL</t>
  </si>
  <si>
    <t>SAINT-OURS</t>
  </si>
  <si>
    <t>SAINT-ROCH-DE-RICHELIEU</t>
  </si>
  <si>
    <t>SAINT-JOSEPH-DE-SOREL</t>
  </si>
  <si>
    <t>SOREL-TRACY</t>
  </si>
  <si>
    <t>SAINTE-ANNE-DE-SOREL</t>
  </si>
  <si>
    <t>YAMASKA</t>
  </si>
  <si>
    <t>SAINT-GÉRARD-MAJELLA</t>
  </si>
  <si>
    <t>SAINT-PIE</t>
  </si>
  <si>
    <t>SAINT-DAMASE (16)</t>
  </si>
  <si>
    <t>SAINTE-MADELEINE</t>
  </si>
  <si>
    <t>SAINTE-MARIE-MADELEINE</t>
  </si>
  <si>
    <t>LA PRÉSENTATION</t>
  </si>
  <si>
    <t>SAINT-HYACINTHE</t>
  </si>
  <si>
    <t>SAINT-DOMINIQUE</t>
  </si>
  <si>
    <t>SAINT-VALÉRIEN-DE-MILTON</t>
  </si>
  <si>
    <t>SAINT-LIBOIRE</t>
  </si>
  <si>
    <t>SAINT-SIMON (16)</t>
  </si>
  <si>
    <t>SAINTE-HÉLÈNE-DE-BAGOT</t>
  </si>
  <si>
    <t>SAINT-HUGUES</t>
  </si>
  <si>
    <t>SAINT-BARNABÉ-SUD</t>
  </si>
  <si>
    <t>SAINT-JUDE</t>
  </si>
  <si>
    <t>SAINT-BERNARD-DE-MICHAUDVILLE</t>
  </si>
  <si>
    <t>SAINT-LOUIS</t>
  </si>
  <si>
    <t>SAINT-MARCEL-DE-RICHELIEU</t>
  </si>
  <si>
    <t>ANGE-GARDIEN</t>
  </si>
  <si>
    <t>SAINT-PAUL-D'ABBOTSFORD</t>
  </si>
  <si>
    <t>SAINT-CÉSAIRE</t>
  </si>
  <si>
    <t>SAINTE-ANGÈLE-DE-MONNOIR</t>
  </si>
  <si>
    <t>ROUGEMONT</t>
  </si>
  <si>
    <t>MARIEVILLE</t>
  </si>
  <si>
    <t>RICHELIEU</t>
  </si>
  <si>
    <t>SAINT-MATHIAS-SUR-RICHELIEU</t>
  </si>
  <si>
    <t>VENISE-EN-QUÉBEC</t>
  </si>
  <si>
    <t>SAINT-GEORGES-DE-CLARENCEVILLE</t>
  </si>
  <si>
    <t>NOYAN</t>
  </si>
  <si>
    <t>LACOLLE</t>
  </si>
  <si>
    <t>SAINT-VALENTIN</t>
  </si>
  <si>
    <t>SAINT-PAUL-DE-L'ÎLE-AUX-NOIX</t>
  </si>
  <si>
    <t>HENRYVILLE</t>
  </si>
  <si>
    <t>SAINT-SÉBASTIEN (16)</t>
  </si>
  <si>
    <t>SAINT-ALEXANDRE</t>
  </si>
  <si>
    <t>SAINTE-ANNE-DE-SABREVOIS</t>
  </si>
  <si>
    <t>SAINT-BLAISE-SUR-RICHELIEU</t>
  </si>
  <si>
    <t>SAINT-JEAN-SUR-RICHELIEU</t>
  </si>
  <si>
    <t>MONT-SAINT-GRÉGOIRE</t>
  </si>
  <si>
    <t>SAINTE-BRIGIDE-D'IBERVILLE</t>
  </si>
  <si>
    <t>CHAMBLY</t>
  </si>
  <si>
    <t>CARIGNAN</t>
  </si>
  <si>
    <t>SAINT-BASILE-LE-GRAND</t>
  </si>
  <si>
    <t>MCMASTERVILLE</t>
  </si>
  <si>
    <t>OTTERBURN PARK</t>
  </si>
  <si>
    <t>SAINT-JEAN-BAPTISTE</t>
  </si>
  <si>
    <t>MONT-SAINT-HILAIRE</t>
  </si>
  <si>
    <t>BELOEIL</t>
  </si>
  <si>
    <t>SAINT-MATHIEU-DE-BELOEIL</t>
  </si>
  <si>
    <t>SAINT-MARC-SUR-RICHELIEU</t>
  </si>
  <si>
    <t>SAINT-CHARLES-SUR-RICHELIEU</t>
  </si>
  <si>
    <t>SAINT-DENIS-SUR-RICHELIEU</t>
  </si>
  <si>
    <t>SAINT-ANTOINE-SUR-RICHELIEU</t>
  </si>
  <si>
    <t>BROSSARD</t>
  </si>
  <si>
    <t>SAINT-LAMBERT (16)</t>
  </si>
  <si>
    <t>BOUCHERVILLE</t>
  </si>
  <si>
    <t>SAINT-BRUNO-DE-MONTARVILLE</t>
  </si>
  <si>
    <t>LONGUEUIL</t>
  </si>
  <si>
    <t>SAINTE-JULIE</t>
  </si>
  <si>
    <t>SAINT-AMABLE</t>
  </si>
  <si>
    <t>VARENNES</t>
  </si>
  <si>
    <t>VERCHÈRES</t>
  </si>
  <si>
    <t>CALIXA-LAVALLÉE</t>
  </si>
  <si>
    <t>CONTRECOEUR</t>
  </si>
  <si>
    <t>CHARLEMAGNE</t>
  </si>
  <si>
    <t>REPENTIGNY</t>
  </si>
  <si>
    <t>SAINT-SULPICE</t>
  </si>
  <si>
    <t>L'ASSOMPTION</t>
  </si>
  <si>
    <t>SAINT-PAUL</t>
  </si>
  <si>
    <t>CRABTREE</t>
  </si>
  <si>
    <t>SAINT-PIERRE</t>
  </si>
  <si>
    <t>JOLIETTE</t>
  </si>
  <si>
    <t>SAINT-THOMAS</t>
  </si>
  <si>
    <t>NOTRE-DAME-DES-PRAIRIES</t>
  </si>
  <si>
    <t>SAINT-CHARLES-BORROMÉE</t>
  </si>
  <si>
    <t>SAINT-AMBROISE-DE-KILDARE</t>
  </si>
  <si>
    <t>NOTRE-DAME-DE-LOURDES (14)</t>
  </si>
  <si>
    <t>SAINTE-MÉLANIE</t>
  </si>
  <si>
    <t>SAINT-FÉLIX-DE-VALOIS</t>
  </si>
  <si>
    <t>SAINT-JEAN-DE-MATHA</t>
  </si>
  <si>
    <t>SAINTE-BÉATRIX</t>
  </si>
  <si>
    <t>SAINT-ALPHONSE-RODRIGUEZ</t>
  </si>
  <si>
    <t>SAINTE-MARCELLINE-DE-KILDARE</t>
  </si>
  <si>
    <t>RAWDON</t>
  </si>
  <si>
    <t>CHERTSEY</t>
  </si>
  <si>
    <t>ENTRELACS</t>
  </si>
  <si>
    <t>NOTRE-DAME-DE-LA-MERCI</t>
  </si>
  <si>
    <t>SAINT-DONAT (14)</t>
  </si>
  <si>
    <t>SAINT-CÔME</t>
  </si>
  <si>
    <t>SAINTE-ÉMÉLIE-DE-L'ÉNERGIE</t>
  </si>
  <si>
    <t>SAINT-DAMIEN</t>
  </si>
  <si>
    <t>SAINT-ZÉNON</t>
  </si>
  <si>
    <t>SAINT-MICHEL-DES-SAINTS</t>
  </si>
  <si>
    <t>SAINTE-MARIE-SALOMÉ</t>
  </si>
  <si>
    <t>SAINT-JACQUES</t>
  </si>
  <si>
    <t>SAINT-ALEXIS</t>
  </si>
  <si>
    <t>SAINT-ESPRIT</t>
  </si>
  <si>
    <t>SAINT-ROCH-DE-L'ACHIGAN</t>
  </si>
  <si>
    <t>SAINT-ROCH-OUEST</t>
  </si>
  <si>
    <t>SAINT-LIN-LAURENTIDES</t>
  </si>
  <si>
    <t>SAINT-CALIXTE</t>
  </si>
  <si>
    <t>SAINTE-JULIENNE</t>
  </si>
  <si>
    <t>SAINT-LIGUORI</t>
  </si>
  <si>
    <t>TERREBONNE</t>
  </si>
  <si>
    <t>MASCOUCHE</t>
  </si>
  <si>
    <t>LAVAL</t>
  </si>
  <si>
    <t>MONTRÉAL-EST</t>
  </si>
  <si>
    <t>MONTRÉAL</t>
  </si>
  <si>
    <t>WESTMOUNT</t>
  </si>
  <si>
    <t>MONTRÉAL-OUEST</t>
  </si>
  <si>
    <t>CÔTE-SAINT-LUC</t>
  </si>
  <si>
    <t>HAMPSTEAD</t>
  </si>
  <si>
    <t>MONT-ROYAL</t>
  </si>
  <si>
    <t>DORVAL</t>
  </si>
  <si>
    <t>L'ÎLE-DORVAL</t>
  </si>
  <si>
    <t>POINTE-CLAIRE</t>
  </si>
  <si>
    <t>KIRKLAND</t>
  </si>
  <si>
    <t>BEACONSFIELD</t>
  </si>
  <si>
    <t>BAIE-D'URFÉ</t>
  </si>
  <si>
    <t>SAINTE-ANNE-DE-BELLEVUE</t>
  </si>
  <si>
    <t>SENNEVILLE</t>
  </si>
  <si>
    <t>SAINT-MATHIEU</t>
  </si>
  <si>
    <t>SAINT-PHILIPPE</t>
  </si>
  <si>
    <t>LA PRAIRIE</t>
  </si>
  <si>
    <t>CANDIAC</t>
  </si>
  <si>
    <t>DELSON</t>
  </si>
  <si>
    <t>SAINTE-CATHERINE</t>
  </si>
  <si>
    <t>SAINT-CONSTANT</t>
  </si>
  <si>
    <t>SAINT-ISIDORE (16)</t>
  </si>
  <si>
    <t>MERCIER</t>
  </si>
  <si>
    <t>CHÂTEAUGUAY</t>
  </si>
  <si>
    <t>LÉRY</t>
  </si>
  <si>
    <t>SAINT-BERNARD-DE-LACOLLE</t>
  </si>
  <si>
    <t>HEMMINGFORD (VL)</t>
  </si>
  <si>
    <t>HEMMINGFORD (CT)</t>
  </si>
  <si>
    <t>SAINTE-CLOTILDE</t>
  </si>
  <si>
    <t>SAINT-PATRICE-DE-SHERRINGTON</t>
  </si>
  <si>
    <t>NAPIERVILLE</t>
  </si>
  <si>
    <t>SAINT-CYPRIEN-DE-NAPIERVILLE</t>
  </si>
  <si>
    <t>SAINT-JACQUES-LE-MINEUR</t>
  </si>
  <si>
    <t>SAINT-ÉDOUARD</t>
  </si>
  <si>
    <t>SAINT-MICHEL</t>
  </si>
  <si>
    <t>SAINT-RÉMI</t>
  </si>
  <si>
    <t>HAVELOCK</t>
  </si>
  <si>
    <t>FRANKLIN</t>
  </si>
  <si>
    <t>SAINT-CHRYSOSTOME</t>
  </si>
  <si>
    <t>HOWICK</t>
  </si>
  <si>
    <t>TRÈS-SAINT-SACREMENT</t>
  </si>
  <si>
    <t>ORMSTOWN</t>
  </si>
  <si>
    <t>HINCHINBROOKE</t>
  </si>
  <si>
    <t>ELGIN</t>
  </si>
  <si>
    <t>HUNTINGDON</t>
  </si>
  <si>
    <t>GODMANCHESTER</t>
  </si>
  <si>
    <t>SAINTE-BARBE</t>
  </si>
  <si>
    <t>SAINT-ANICET</t>
  </si>
  <si>
    <t>DUNDEE</t>
  </si>
  <si>
    <t>SAINT-URBAIN-PREMIER</t>
  </si>
  <si>
    <t>SAINTE-MARTINE</t>
  </si>
  <si>
    <t>BEAUHARNOIS</t>
  </si>
  <si>
    <t>SAINT-ÉTIENNE-DE-BEAUHARNOIS</t>
  </si>
  <si>
    <t>SAINT-LOUIS-DE-GONZAGUE (P)</t>
  </si>
  <si>
    <t>SAINT-STANISLAS-DE-KOSTKA</t>
  </si>
  <si>
    <t>SALABERRY-DE-VALLEYFIELD</t>
  </si>
  <si>
    <t>RIVIÈRE-BEAUDETTE</t>
  </si>
  <si>
    <t>SAINT-TÉLESPHORE</t>
  </si>
  <si>
    <t>SAINT-POLYCARPE</t>
  </si>
  <si>
    <t>SAINT-ZOTIQUE</t>
  </si>
  <si>
    <t>LES COTEAUX</t>
  </si>
  <si>
    <t>COTEAU-DU-LAC</t>
  </si>
  <si>
    <t>SAINT-CLET</t>
  </si>
  <si>
    <t>LES CÈDRES</t>
  </si>
  <si>
    <t>POINTE-DES-CASCADES</t>
  </si>
  <si>
    <t>L'ÎLE-PERROT</t>
  </si>
  <si>
    <t>NOTRE-DAME-DE-L'ÎLE-PERROT</t>
  </si>
  <si>
    <t>PINCOURT</t>
  </si>
  <si>
    <t>TERRASSE-VAUDREUIL</t>
  </si>
  <si>
    <t>VAUDREUIL-DORION</t>
  </si>
  <si>
    <t>VAUDREUIL-SUR-LE-LAC</t>
  </si>
  <si>
    <t>L'ÎLE-CADIEUX</t>
  </si>
  <si>
    <t>HUDSON</t>
  </si>
  <si>
    <t>SAINT-LAZARE</t>
  </si>
  <si>
    <t>SAINTE-MARTHE</t>
  </si>
  <si>
    <t>SAINTE-JUSTINE-DE-NEWTON</t>
  </si>
  <si>
    <t>TRÈS-SAINT-RÉDEMPTEUR</t>
  </si>
  <si>
    <t>RIGAUD</t>
  </si>
  <si>
    <t>POINTE-FORTUNE</t>
  </si>
  <si>
    <t>SAINT-EUSTACHE</t>
  </si>
  <si>
    <t>DEUX-MONTAGNES</t>
  </si>
  <si>
    <t>SAINTE-MARTHE-SUR-LE-LAC</t>
  </si>
  <si>
    <t>POINTE-CALUMET</t>
  </si>
  <si>
    <t>SAINT-JOSEPH-DU-LAC</t>
  </si>
  <si>
    <t>OKA</t>
  </si>
  <si>
    <t>SAINT-PLACIDE</t>
  </si>
  <si>
    <t>BOISBRIAND</t>
  </si>
  <si>
    <t>SAINTE-THÉRÈSE</t>
  </si>
  <si>
    <t>BLAINVILLE</t>
  </si>
  <si>
    <t>ROSEMÈRE</t>
  </si>
  <si>
    <t>LORRAINE</t>
  </si>
  <si>
    <t>BOIS-DES-FILION</t>
  </si>
  <si>
    <t>SAINTE-ANNE-DES-PLAINES</t>
  </si>
  <si>
    <t>MIRABEL</t>
  </si>
  <si>
    <t>SAINT-COLOMBAN</t>
  </si>
  <si>
    <t>SAINT-JÉRÔME</t>
  </si>
  <si>
    <t>SAINTE-SOPHIE</t>
  </si>
  <si>
    <t>PRÉVOST</t>
  </si>
  <si>
    <t>SAINT-HIPPOLYTE</t>
  </si>
  <si>
    <t>SAINT-ANDRÉ-D'ARGENTEUIL</t>
  </si>
  <si>
    <t>LACHUTE</t>
  </si>
  <si>
    <t>GORE</t>
  </si>
  <si>
    <t>MILLE-ISLES</t>
  </si>
  <si>
    <t>WENTWORTH</t>
  </si>
  <si>
    <t>BROWNSBURG-CHATHAM</t>
  </si>
  <si>
    <t>GRENVILLE-SUR-LA-ROUGE</t>
  </si>
  <si>
    <t>GRENVILLE</t>
  </si>
  <si>
    <t>HARRINGTON</t>
  </si>
  <si>
    <t>ESTÉREL</t>
  </si>
  <si>
    <t>SAINTE-MARGUERITE-DU-LAC-MASSON</t>
  </si>
  <si>
    <t>SAINTE-ADÈLE</t>
  </si>
  <si>
    <t>PIEDMONT</t>
  </si>
  <si>
    <t>SAINTE-ANNE-DES-LACS</t>
  </si>
  <si>
    <t>SAINT-SAUVEUR</t>
  </si>
  <si>
    <t>MORIN-HEIGHTS</t>
  </si>
  <si>
    <t>LAC-DES-SEIZE-ÎLES</t>
  </si>
  <si>
    <t>WENTWORTH-NORD</t>
  </si>
  <si>
    <t>SAINT-ADOLPHE-D'HOWARD</t>
  </si>
  <si>
    <t>VAL-MORIN</t>
  </si>
  <si>
    <t>VAL-DAVID</t>
  </si>
  <si>
    <t>LANTIER</t>
  </si>
  <si>
    <t>SAINTE-LUCIE-DES-LAURENTIDES</t>
  </si>
  <si>
    <t>SAINTE-AGATHE-DES-MONTS</t>
  </si>
  <si>
    <t>IVRY-SUR-LE-LAC</t>
  </si>
  <si>
    <t>SAINT-FAUSTIN-LAC-CARRÉ</t>
  </si>
  <si>
    <t>BARKMERE</t>
  </si>
  <si>
    <t>MONTCALM</t>
  </si>
  <si>
    <t>ARUNDEL</t>
  </si>
  <si>
    <t>HUBERDEAU</t>
  </si>
  <si>
    <t>AMHERST</t>
  </si>
  <si>
    <t>BRÉBEUF</t>
  </si>
  <si>
    <t>LAC-SUPÉRIEUR</t>
  </si>
  <si>
    <t>VAL-DES-LACS</t>
  </si>
  <si>
    <t>MONT-TREMBLANT</t>
  </si>
  <si>
    <t>LA CONCEPTION</t>
  </si>
  <si>
    <t>LABELLE</t>
  </si>
  <si>
    <t>LAC-TREMBLANT-NORD</t>
  </si>
  <si>
    <t>LA MINERVE</t>
  </si>
  <si>
    <t>NOTRE-DAME-DU-LAUS</t>
  </si>
  <si>
    <t>NOTRE-DAME-DE-PONTMAIN</t>
  </si>
  <si>
    <t>LAC-DU-CERF</t>
  </si>
  <si>
    <t>SAINT-AIMÉ-DU-LAC-DES-ÎLES</t>
  </si>
  <si>
    <t>KIAMIKA</t>
  </si>
  <si>
    <t>NOMININGUE</t>
  </si>
  <si>
    <t>RIVIÈRE-ROUGE</t>
  </si>
  <si>
    <t>LA MACAZA</t>
  </si>
  <si>
    <t>L'ASCENSION</t>
  </si>
  <si>
    <t>LAC-SAGUAY</t>
  </si>
  <si>
    <t>CHUTE-SAINT-PHILIPPE</t>
  </si>
  <si>
    <t>LAC-DES-ÉCORCES</t>
  </si>
  <si>
    <t>MONT-LAURIER</t>
  </si>
  <si>
    <t>FERME-NEUVE</t>
  </si>
  <si>
    <t>LAC-SAINT-PAUL</t>
  </si>
  <si>
    <t>MONT-SAINT-MICHEL</t>
  </si>
  <si>
    <t>SAINTE-ANNE-DU-LAC</t>
  </si>
  <si>
    <t>FASSETT</t>
  </si>
  <si>
    <t>MONTEBELLO</t>
  </si>
  <si>
    <t>NOTRE-DAME-DE-BONSECOURS</t>
  </si>
  <si>
    <t>NOTRE-DAME-DE-LA-PAIX</t>
  </si>
  <si>
    <t>SAINT-ANDRÉ-AVELLIN</t>
  </si>
  <si>
    <t>PAPINEAUVILLE</t>
  </si>
  <si>
    <t>PLAISANCE</t>
  </si>
  <si>
    <t>THURSO</t>
  </si>
  <si>
    <t>LOCHABER</t>
  </si>
  <si>
    <t>LOCHABER-PARTIE-OUEST</t>
  </si>
  <si>
    <t>MAYO</t>
  </si>
  <si>
    <t>SAINT-SIXTE</t>
  </si>
  <si>
    <t>RIPON</t>
  </si>
  <si>
    <t>MULGRAVE-ET-DERRY</t>
  </si>
  <si>
    <t>MONTPELLIER</t>
  </si>
  <si>
    <t>LAC-SIMON</t>
  </si>
  <si>
    <t>CHÉNÉVILLE</t>
  </si>
  <si>
    <t>NAMUR</t>
  </si>
  <si>
    <t>BOILEAU</t>
  </si>
  <si>
    <t>SAINT-ÉMILE-DE-SUFFOLK</t>
  </si>
  <si>
    <t>LAC-DES-PLAGES</t>
  </si>
  <si>
    <t>DUHAMEL</t>
  </si>
  <si>
    <t>VAL-DES-BOIS</t>
  </si>
  <si>
    <t>BOWMAN</t>
  </si>
  <si>
    <t>GATINEAU</t>
  </si>
  <si>
    <t>L'ANGE-GARDIEN (07)</t>
  </si>
  <si>
    <t>NOTRE-DAME-DE-LA-SALETTE</t>
  </si>
  <si>
    <t>VAL-DES-MONTS</t>
  </si>
  <si>
    <t>CANTLEY</t>
  </si>
  <si>
    <t>CHELSEA</t>
  </si>
  <si>
    <t>PONTIAC</t>
  </si>
  <si>
    <t>LA PÊCHE</t>
  </si>
  <si>
    <t>DENHOLM</t>
  </si>
  <si>
    <t>LOW</t>
  </si>
  <si>
    <t>KAZABAZUA</t>
  </si>
  <si>
    <t>LAC-SAINTE-MARIE</t>
  </si>
  <si>
    <t>GRACEFIELD</t>
  </si>
  <si>
    <t>CAYAMANT</t>
  </si>
  <si>
    <t>BLUE SEA</t>
  </si>
  <si>
    <t>BOUCHETTE</t>
  </si>
  <si>
    <t>SAINTE-THÉRÈSE-DE-LA-GATINEAU</t>
  </si>
  <si>
    <t>MESSINES</t>
  </si>
  <si>
    <t>MANIWAKI</t>
  </si>
  <si>
    <t>DÉLÉAGE</t>
  </si>
  <si>
    <t>EGAN-SUD</t>
  </si>
  <si>
    <t>BOIS-FRANC</t>
  </si>
  <si>
    <t>MONTCERF-LYTTON</t>
  </si>
  <si>
    <t>AUMOND</t>
  </si>
  <si>
    <t>GRAND-REMOUS</t>
  </si>
  <si>
    <t>BRISTOL</t>
  </si>
  <si>
    <t>SHAWVILLE</t>
  </si>
  <si>
    <t>CLARENDON</t>
  </si>
  <si>
    <t>PORTAGE-DU-FORT</t>
  </si>
  <si>
    <t>BRYSON</t>
  </si>
  <si>
    <t>CAMPBELL'S BAY</t>
  </si>
  <si>
    <t>L'ÎLE-DU-GRAND-CALUMET</t>
  </si>
  <si>
    <t>LITCHFIELD</t>
  </si>
  <si>
    <t>THORNE</t>
  </si>
  <si>
    <t>ALLEYN-ET-CAWOOD</t>
  </si>
  <si>
    <t>OTTER LAKE</t>
  </si>
  <si>
    <t>FORT-COULONGE</t>
  </si>
  <si>
    <t>MANSFIELD-ET-PONTEFRACT</t>
  </si>
  <si>
    <t>WALTHAM</t>
  </si>
  <si>
    <t>L'ISLE-AUX-ALLUMETTES</t>
  </si>
  <si>
    <t>CHICHESTER</t>
  </si>
  <si>
    <t>SHEENBORO</t>
  </si>
  <si>
    <t>RAPIDES-DES-JOACHIMS</t>
  </si>
  <si>
    <t>TÉMISCAMING</t>
  </si>
  <si>
    <t>KIPAWA</t>
  </si>
  <si>
    <t>SAINT-ÉDOUARD-DE-FABRE</t>
  </si>
  <si>
    <t>BÉARN</t>
  </si>
  <si>
    <t>VILLE-MARIE</t>
  </si>
  <si>
    <t>DUHAMEL-OUEST</t>
  </si>
  <si>
    <t>LORRAINVILLE</t>
  </si>
  <si>
    <t>SAINT-BRUNO-DE-GUIGUES</t>
  </si>
  <si>
    <t>LAVERLOCHÈRE-ANGLIERS</t>
  </si>
  <si>
    <t>FUGÈREVILLE</t>
  </si>
  <si>
    <t>LATULIPE-ET-GABOURY</t>
  </si>
  <si>
    <t>BELLETERRE</t>
  </si>
  <si>
    <t>LAFORCE</t>
  </si>
  <si>
    <t>MOFFET</t>
  </si>
  <si>
    <t>SAINT-EUGÈNE-DE-GUIGUES</t>
  </si>
  <si>
    <t>NOTRE-DAME-DU-NORD</t>
  </si>
  <si>
    <t>GUÉRIN</t>
  </si>
  <si>
    <t>NÉDÉLEC</t>
  </si>
  <si>
    <t>RÉMIGNY</t>
  </si>
  <si>
    <t>ROUYN-NORANDA</t>
  </si>
  <si>
    <t>DUPARQUET</t>
  </si>
  <si>
    <t>RAPIDE-DANSEUR</t>
  </si>
  <si>
    <t>ROQUEMAURE</t>
  </si>
  <si>
    <t>GALLICHAN</t>
  </si>
  <si>
    <t>PALMAROLLE</t>
  </si>
  <si>
    <t>SAINTE-GERMAINE-BOULÉ</t>
  </si>
  <si>
    <t>POULARIES</t>
  </si>
  <si>
    <t>TASCHEREAU</t>
  </si>
  <si>
    <t>AUTHIER</t>
  </si>
  <si>
    <t>MACAMIC</t>
  </si>
  <si>
    <t>SAINTE-HÉLÈNE-DE-MANCEBOURG</t>
  </si>
  <si>
    <t>CLERVAL</t>
  </si>
  <si>
    <t>LA REINE</t>
  </si>
  <si>
    <t>DUPUY</t>
  </si>
  <si>
    <t>LA SARRE</t>
  </si>
  <si>
    <t>CHAZEL</t>
  </si>
  <si>
    <t>AUTHIER-NORD</t>
  </si>
  <si>
    <t>VAL-SAINT-GILLES</t>
  </si>
  <si>
    <t>CLERMONT (08)</t>
  </si>
  <si>
    <t>NORMÉTAL</t>
  </si>
  <si>
    <t>SAINT-LAMBERT (08)</t>
  </si>
  <si>
    <t>CHAMPNEUF</t>
  </si>
  <si>
    <t>ROCHEBAUCOURT</t>
  </si>
  <si>
    <t>LA MORANDIÈRE</t>
  </si>
  <si>
    <t>BARRAUTE</t>
  </si>
  <si>
    <t>LA CORNE</t>
  </si>
  <si>
    <t>LANDRIENNE</t>
  </si>
  <si>
    <t>SAINT-MARC-DE-FIGUERY</t>
  </si>
  <si>
    <t>LA MOTTE</t>
  </si>
  <si>
    <t>SAINT-MATHIEU-D'HARRICANA</t>
  </si>
  <si>
    <t>AMOS</t>
  </si>
  <si>
    <t>SAINT-FÉLIX-DE-DALQUIER</t>
  </si>
  <si>
    <t>SAINT-DOMINIQUE-DU-ROSAIRE</t>
  </si>
  <si>
    <t>BERRY</t>
  </si>
  <si>
    <t>TRÉCESSON</t>
  </si>
  <si>
    <t>LAUNAY</t>
  </si>
  <si>
    <t>SAINTE-GERTRUDE-MANNEVILLE</t>
  </si>
  <si>
    <t>PREISSAC</t>
  </si>
  <si>
    <t>VAL-D'OR</t>
  </si>
  <si>
    <t>RIVIÈRE-HÉVA</t>
  </si>
  <si>
    <t>MALARTIC</t>
  </si>
  <si>
    <t>SENNETERRE (V)</t>
  </si>
  <si>
    <t>SENNETERRE (P)</t>
  </si>
  <si>
    <t>BELCOURT</t>
  </si>
  <si>
    <t>LA TUQUE</t>
  </si>
  <si>
    <t>LA BOSTONNAIS</t>
  </si>
  <si>
    <t>LAC-ÉDOUARD</t>
  </si>
  <si>
    <t>LAC-BOUCHETTE</t>
  </si>
  <si>
    <t>SAINT-ANDRÉ-DU-LAC-SAINT-JEAN</t>
  </si>
  <si>
    <t>SAINT-FRANÇOIS-DE-SALES</t>
  </si>
  <si>
    <t>CHAMBORD</t>
  </si>
  <si>
    <t>ROBERVAL</t>
  </si>
  <si>
    <t>SAINTE-HEDWIDGE</t>
  </si>
  <si>
    <t>SAINT-PRIME</t>
  </si>
  <si>
    <t>SAINT-FÉLICIEN</t>
  </si>
  <si>
    <t>LA DORÉ</t>
  </si>
  <si>
    <t>SAINT-AUGUSTIN (02)</t>
  </si>
  <si>
    <t>PÉRIBONKA</t>
  </si>
  <si>
    <t>SAINTE-JEANNE-D'ARC (02)</t>
  </si>
  <si>
    <t>DOLBEAU-MISTASSINI</t>
  </si>
  <si>
    <t>ALBANEL</t>
  </si>
  <si>
    <t>NORMANDIN</t>
  </si>
  <si>
    <t>SAINT-THOMAS-DIDYME</t>
  </si>
  <si>
    <t>SAINT-EDMOND-LES-PLAINES</t>
  </si>
  <si>
    <t>GIRARDVILLE</t>
  </si>
  <si>
    <t>NOTRE-DAME-DE-LORETTE</t>
  </si>
  <si>
    <t>SAINT-EUGÈNE-D'ARGENTENAY</t>
  </si>
  <si>
    <t>SAINT-STANISLAS (02)</t>
  </si>
  <si>
    <t>DESBIENS</t>
  </si>
  <si>
    <t>MÉTABETCHOUAN-LAC-À-LA-CROIX</t>
  </si>
  <si>
    <t>HÉBERTVILLE</t>
  </si>
  <si>
    <t>HÉBERTVILLE-STATION</t>
  </si>
  <si>
    <t>SAINT-BRUNO</t>
  </si>
  <si>
    <t>SAINT-GÉDÉON</t>
  </si>
  <si>
    <t>ALMA</t>
  </si>
  <si>
    <t>SAINT-NAZAIRE</t>
  </si>
  <si>
    <t>LABRECQUE</t>
  </si>
  <si>
    <t>LAMARCHE</t>
  </si>
  <si>
    <t>L'ASCENSION-DE-NOTRE-SEIGNEUR</t>
  </si>
  <si>
    <t>SAINT-HENRI-DE-TAILLON</t>
  </si>
  <si>
    <t>SAINTE-MONIQUE (02)</t>
  </si>
  <si>
    <t>SAINT-LUDGER-DE-MILOT</t>
  </si>
  <si>
    <t>SAGUENAY</t>
  </si>
  <si>
    <t>PETIT-SAGUENAY</t>
  </si>
  <si>
    <t>L'ANSE-SAINT-JEAN</t>
  </si>
  <si>
    <t>RIVIÈRE-ÉTERNITÉ</t>
  </si>
  <si>
    <t>FERLAND-ET-BOILLEAU</t>
  </si>
  <si>
    <t>SAINT-FÉLIX-D'OTIS</t>
  </si>
  <si>
    <t>SAINTE-ROSE-DU-NORD</t>
  </si>
  <si>
    <t>SAINT-FULGENCE</t>
  </si>
  <si>
    <t>SAINT-HONORÉ</t>
  </si>
  <si>
    <t>SAINT-DAVID-DE-FALARDEAU</t>
  </si>
  <si>
    <t>BÉGIN</t>
  </si>
  <si>
    <t>SAINT-AMBROISE</t>
  </si>
  <si>
    <t>SAINT-CHARLES-DE-BOURGET</t>
  </si>
  <si>
    <t>LAROUCHE</t>
  </si>
  <si>
    <t>TADOUSSAC</t>
  </si>
  <si>
    <t>SACRÉ-COEUR</t>
  </si>
  <si>
    <t>LES BERGERONNES</t>
  </si>
  <si>
    <t>LES ESCOUMINS</t>
  </si>
  <si>
    <t>LONGUE-RIVE</t>
  </si>
  <si>
    <t>PORTNEUF-SUR-MER</t>
  </si>
  <si>
    <t>FORESTVILLE</t>
  </si>
  <si>
    <t>COLOMBIER</t>
  </si>
  <si>
    <t>BAIE-TRINITÉ</t>
  </si>
  <si>
    <t>GODBOUT</t>
  </si>
  <si>
    <t>FRANQUELIN</t>
  </si>
  <si>
    <t>BAIE-COMEAU</t>
  </si>
  <si>
    <t>POINTE-LEBEL</t>
  </si>
  <si>
    <t>POINTE-AUX-OUTARDES</t>
  </si>
  <si>
    <t>CHUTE-AUX-OUTARDES</t>
  </si>
  <si>
    <t>RAGUENEAU</t>
  </si>
  <si>
    <t>SEPT-ÎLES</t>
  </si>
  <si>
    <t>PORT-CARTIER</t>
  </si>
  <si>
    <t>FERMONT</t>
  </si>
  <si>
    <t>SCHEFFERVILLE</t>
  </si>
  <si>
    <t>BLANC-SABLON</t>
  </si>
  <si>
    <t>BONNE-ESPÉRANCE</t>
  </si>
  <si>
    <t>SAINT-AUGUSTIN (09)</t>
  </si>
  <si>
    <t>GROS-MÉCATINA</t>
  </si>
  <si>
    <t>CÔTE-NORD-DU-GOLFE-DU-SAINT-LAURENT</t>
  </si>
  <si>
    <t>L'ÎLE-D'ANTICOSTI</t>
  </si>
  <si>
    <t>NATASHQUAN</t>
  </si>
  <si>
    <t>AGUANISH</t>
  </si>
  <si>
    <t>BAIE-JOHAN-BEETZ</t>
  </si>
  <si>
    <t>HAVRE-SAINT-PIERRE</t>
  </si>
  <si>
    <t>LONGUE-POINTE-DE-MINGAN</t>
  </si>
  <si>
    <t>RIVIÈRE-SAINT-JEAN</t>
  </si>
  <si>
    <t>RIVIÈRE-AU-TONNERRE</t>
  </si>
  <si>
    <t>LEBEL-SUR-QUÉVILLON</t>
  </si>
  <si>
    <t>MATAGAMI</t>
  </si>
  <si>
    <t>CHAPAIS</t>
  </si>
  <si>
    <t>CHIBOUGAMAU</t>
  </si>
  <si>
    <t>GOUVERNEMENT RÉGIONAL D'EEYOU ISTCHEE BAIE-JAMES</t>
  </si>
  <si>
    <t>LES ÎLES-DE-LA-MADELEINE</t>
  </si>
  <si>
    <t>GROSSE-ÎLE</t>
  </si>
  <si>
    <t>PERCÉ</t>
  </si>
  <si>
    <t>SAINTE-THÉRÈSE-DE-GASPÉ</t>
  </si>
  <si>
    <t>GRANDE-RIVIÈRE</t>
  </si>
  <si>
    <t>CHANDLER</t>
  </si>
  <si>
    <t>PORT-DANIEL-GASCONS</t>
  </si>
  <si>
    <t>GASPÉ</t>
  </si>
  <si>
    <t>CLORIDORME</t>
  </si>
  <si>
    <t>PETITE-VALLÉE</t>
  </si>
  <si>
    <t>GRANDE-VALLÉE</t>
  </si>
  <si>
    <t>MURDOCHVILLE</t>
  </si>
  <si>
    <t>SAINTE-MADELEINE-DE-LA-RIVIÈRE-MADELEINE</t>
  </si>
  <si>
    <t>SAINT-MAXIME-DU-MONT-LOUIS</t>
  </si>
  <si>
    <t>MONT-SAINT-PIERRE</t>
  </si>
  <si>
    <t>RIVIÈRE-À-CLAUDE</t>
  </si>
  <si>
    <t>MARSOUI</t>
  </si>
  <si>
    <t>LA MARTRE</t>
  </si>
  <si>
    <t>SAINTE-ANNE-DES-MONTS</t>
  </si>
  <si>
    <t>CAP-CHAT</t>
  </si>
  <si>
    <t>SHIGAWAKE</t>
  </si>
  <si>
    <t>SAINT-GODEFROI</t>
  </si>
  <si>
    <t>HOPE TOWN</t>
  </si>
  <si>
    <t>HOPE</t>
  </si>
  <si>
    <t>PASPÉBIAC</t>
  </si>
  <si>
    <t>NEW CARLISLE</t>
  </si>
  <si>
    <t>BONAVENTURE</t>
  </si>
  <si>
    <t>SAINT-ELZÉAR (11)</t>
  </si>
  <si>
    <t>SAINT-SIMÉON (11)</t>
  </si>
  <si>
    <t>CAPLAN</t>
  </si>
  <si>
    <t>SAINT-ALPHONSE</t>
  </si>
  <si>
    <t>NEW RICHMOND</t>
  </si>
  <si>
    <t>CASCAPÉDIA-SAINT-JULES</t>
  </si>
  <si>
    <t>MARIA</t>
  </si>
  <si>
    <t>CARLETON-SUR-MER</t>
  </si>
  <si>
    <t>NOUVELLE</t>
  </si>
  <si>
    <t>ESCUMINAC</t>
  </si>
  <si>
    <t>POINTE-À-LA-CROIX</t>
  </si>
  <si>
    <t>RISTIGOUCHE-PARTIE-SUD-EST</t>
  </si>
  <si>
    <t>SAINT-ANDRÉ-DE-RESTIGOUCHE</t>
  </si>
  <si>
    <t>MATAPÉDIA</t>
  </si>
  <si>
    <t>SAINT-ALEXIS-DE-MATAPÉDIA</t>
  </si>
  <si>
    <t>SAINT-FRANÇOIS-D'ASSISE</t>
  </si>
  <si>
    <t>L'ASCENSION-DE-PATAPÉDIA</t>
  </si>
  <si>
    <t>SAINTE-MARGUERITE-MARIE</t>
  </si>
  <si>
    <t>SAINTE-FLORENCE</t>
  </si>
  <si>
    <t>CAUSAPSCAL</t>
  </si>
  <si>
    <t>ALBERTVILLE</t>
  </si>
  <si>
    <t>SAINT-LÉON-LE-GRAND (01)</t>
  </si>
  <si>
    <t>SAINT-ZÉNON-DU-LAC-HUMQUI</t>
  </si>
  <si>
    <t>SAINTE-IRÈNE</t>
  </si>
  <si>
    <t>AMQUI</t>
  </si>
  <si>
    <t>LAC-AU-SAUMON</t>
  </si>
  <si>
    <t>SAINT-ALEXANDRE-DES-LACS</t>
  </si>
  <si>
    <t>SAINT-THARCISIUS</t>
  </si>
  <si>
    <t>SAINT-VIANNEY</t>
  </si>
  <si>
    <t>VAL-BRILLANT</t>
  </si>
  <si>
    <t>SAYABEC</t>
  </si>
  <si>
    <t>SAINT-CLÉOPHAS</t>
  </si>
  <si>
    <t>SAINT-MOÏSE</t>
  </si>
  <si>
    <t>SAINT-NOËL</t>
  </si>
  <si>
    <t>SAINT-DAMASE (01)</t>
  </si>
  <si>
    <t>LES MÉCHINS</t>
  </si>
  <si>
    <t>SAINT-JEAN-DE-CHERBOURG</t>
  </si>
  <si>
    <t>GROSSES-ROCHES</t>
  </si>
  <si>
    <t>SAINTE-FÉLICITÉ (01)</t>
  </si>
  <si>
    <t>SAINT-ADELME</t>
  </si>
  <si>
    <t>SAINT-RENÉ-DE-MATANE</t>
  </si>
  <si>
    <t>SAINTE-PAULE</t>
  </si>
  <si>
    <t>MATANE</t>
  </si>
  <si>
    <t>SAINT-LÉANDRE</t>
  </si>
  <si>
    <t>SAINT-ULRIC</t>
  </si>
  <si>
    <t>BAIE-DES-SABLES</t>
  </si>
  <si>
    <t>LA RÉDEMPTION</t>
  </si>
  <si>
    <t>SAINT-CHARLES-GARNIER</t>
  </si>
  <si>
    <t>LES HAUTEURS</t>
  </si>
  <si>
    <t>SAINTE-JEANNE-D'ARC (01)</t>
  </si>
  <si>
    <t>SAINT-GABRIEL-DE-RIMOUSKI</t>
  </si>
  <si>
    <t>SAINT-DONAT (01)</t>
  </si>
  <si>
    <t>SAINTE-ANGÈLE-DE-MÉRICI</t>
  </si>
  <si>
    <t>PADOUE</t>
  </si>
  <si>
    <t>MÉTIS-SUR-MER</t>
  </si>
  <si>
    <t>SAINT-OCTAVE-DE-MÉTIS</t>
  </si>
  <si>
    <t>GRAND-MÉTIS</t>
  </si>
  <si>
    <t>PRICE</t>
  </si>
  <si>
    <t>SAINT-JOSEPH-DE-LEPAGE</t>
  </si>
  <si>
    <t>MONT-JOLI</t>
  </si>
  <si>
    <t>SAINTE-FLAVIE</t>
  </si>
  <si>
    <t>SAINTE-LUCE</t>
  </si>
  <si>
    <t>DOLLARD-DES-ORMEAUX</t>
  </si>
  <si>
    <t>MADDINGTON FALLS</t>
  </si>
  <si>
    <t>Résultat de validité des données</t>
  </si>
  <si>
    <t>Consommation résidentielle
(L/pers/d)</t>
  </si>
  <si>
    <t>Indice de fuites dans les infrastructures</t>
  </si>
  <si>
    <t>Population desservie par les réseaux de distribution
(pers)</t>
  </si>
  <si>
    <t>Longueur totale des réseaux de distribution
(km)</t>
  </si>
  <si>
    <t>Pertes d'eau réelles
(ML/an)</t>
  </si>
  <si>
    <t>Pertes d'eau réelles inévitables
(ML/an)</t>
  </si>
  <si>
    <t>Total</t>
  </si>
  <si>
    <t>-</t>
  </si>
  <si>
    <t/>
  </si>
  <si>
    <t>L'ÉPIPHANIE</t>
  </si>
  <si>
    <t>Investissements en maintien et rattrapage [$ estimé]</t>
  </si>
  <si>
    <t>Action 1.1.1</t>
  </si>
  <si>
    <t>Action 1.1.2</t>
  </si>
  <si>
    <t>Action 1.2</t>
  </si>
  <si>
    <t>Action 1.3.1</t>
  </si>
  <si>
    <t>Action 1.3.2</t>
  </si>
  <si>
    <t>Action 1.4</t>
  </si>
  <si>
    <t>Action 2.1.2</t>
  </si>
  <si>
    <t>Action 2.2.2</t>
  </si>
  <si>
    <t>Action 2.3.1</t>
  </si>
  <si>
    <t>Action 2.3.2</t>
  </si>
  <si>
    <t>Action 4.2.1</t>
  </si>
  <si>
    <t>Action 4.2.2</t>
  </si>
  <si>
    <t>Action 4.2.3</t>
  </si>
  <si>
    <t>Laval</t>
  </si>
  <si>
    <t>Montréal</t>
  </si>
  <si>
    <t>Quantité d'eau distribuée par personne (l/pers/d)</t>
  </si>
  <si>
    <t xml:space="preserve">Choisir une municipalité : </t>
  </si>
  <si>
    <t xml:space="preserve">Choisir un indicateur : </t>
  </si>
  <si>
    <t>Choisir un tableau :</t>
  </si>
  <si>
    <t>→ Quantité d'eau distribuée</t>
  </si>
  <si>
    <t>→ Installation des compteurs d'eau</t>
  </si>
  <si>
    <t>→ Consommation résidentielle</t>
  </si>
  <si>
    <t>Année</t>
  </si>
  <si>
    <t>Objectifs 2025</t>
  </si>
  <si>
    <t>TOUT LE QUÉBEC</t>
  </si>
  <si>
    <t>Consommation résidentielle (l/pers/d)</t>
  </si>
  <si>
    <t xml:space="preserve">Municipalité exemptée ? </t>
  </si>
  <si>
    <t xml:space="preserve">FM approuvé ? </t>
  </si>
  <si>
    <t>Tout le Québec</t>
  </si>
  <si>
    <t>Objectif 2025 pour l'ensemble du Québec</t>
  </si>
  <si>
    <t>Proportion du réseau ausculté</t>
  </si>
  <si>
    <t>Nombre de fuites réparées</t>
  </si>
  <si>
    <t>Légende du graphique</t>
  </si>
  <si>
    <t>COMPTEUR D'EAU</t>
  </si>
  <si>
    <t>Non résidentiel</t>
  </si>
  <si>
    <t>Immeubles</t>
  </si>
  <si>
    <t>Résidentiel</t>
  </si>
  <si>
    <t>Bas-St-Laurent</t>
  </si>
  <si>
    <t>Saguenay-Lac-St-Jean</t>
  </si>
  <si>
    <t>Capitale Nationale</t>
  </si>
  <si>
    <t>Mauricie</t>
  </si>
  <si>
    <t>Estrie</t>
  </si>
  <si>
    <t>Outaouais</t>
  </si>
  <si>
    <t>Abitibi-Temiscamingue</t>
  </si>
  <si>
    <t>Côte-Nord</t>
  </si>
  <si>
    <t>Nord-du-Québec</t>
  </si>
  <si>
    <t>Chaudière-Appalaches</t>
  </si>
  <si>
    <t>Lanaudière</t>
  </si>
  <si>
    <t>Laurentides</t>
  </si>
  <si>
    <t>Montérégie</t>
  </si>
  <si>
    <t>Centre-du-Québec</t>
  </si>
  <si>
    <t>TOTAL</t>
  </si>
  <si>
    <t>MOY. PONDÉRÉE</t>
  </si>
  <si>
    <t>Gaspésie-Iles-de-la-Madelaine</t>
  </si>
  <si>
    <t>à</t>
  </si>
  <si>
    <t>10 000 à 49 999 pers</t>
  </si>
  <si>
    <t>50 000 à 99 999 pers</t>
  </si>
  <si>
    <t>et</t>
  </si>
  <si>
    <t>100 000 pers et plus</t>
  </si>
  <si>
    <t>Conduites</t>
  </si>
  <si>
    <t>non</t>
  </si>
  <si>
    <t>oui</t>
  </si>
  <si>
    <t>Fuites conduites - Nbr de réparation</t>
  </si>
  <si>
    <t>Fuites branchements de service côté public - Nbr de réparation</t>
  </si>
  <si>
    <t>Fuites branchements de service côté privé - Nbr de réparation</t>
  </si>
  <si>
    <t>dummy 1</t>
  </si>
  <si>
    <t>dummy 2</t>
  </si>
  <si>
    <t>PROPORTION DES LONGUEURS DE RÉSEAU DE DISTRIBUTION AUSCULTÉS ET NOMBRE DE FUITES RÉPARÉES PAR ANNÉE</t>
  </si>
  <si>
    <t>IFI moyen</t>
  </si>
  <si>
    <t>Pression moyenne</t>
  </si>
  <si>
    <t>MOYENNE</t>
  </si>
  <si>
    <t>COÛTS</t>
  </si>
  <si>
    <t>Maintien [$ estimé]</t>
  </si>
  <si>
    <t>Rattrapage [$ estimé]</t>
  </si>
  <si>
    <t>Amélioration des services [$ estimé]</t>
  </si>
  <si>
    <t>Agrandissement et nouvelles infrastructures [$ estimé]</t>
  </si>
  <si>
    <t>Total des coûts de fonctionnement des services d'eau [$ estimé]</t>
  </si>
  <si>
    <t>Évaluation du coût des services d'eau de l'année 2018</t>
  </si>
  <si>
    <t>Revenus affectés aux services d'eau de l'année 2018</t>
  </si>
  <si>
    <t>Tarification volumétrique [$]</t>
  </si>
  <si>
    <t>Tarification non volumétrique [$]</t>
  </si>
  <si>
    <t>Services rendus [$]</t>
  </si>
  <si>
    <t>Transfert du gouvernement du Québec [$]</t>
  </si>
  <si>
    <t>Taxe foncière sur la valeur -  portion pour les services d'eau [$]</t>
  </si>
  <si>
    <t>Excédent de fonctionnement affecté, réserves financières et fonds réservés - portion pour les services d'eau [$]</t>
  </si>
  <si>
    <t>[$]</t>
  </si>
  <si>
    <t>Déficit de maintien d'actifs (DMA) [$ estimé]</t>
  </si>
  <si>
    <t>Besoins d'investissement en maintien d'actifs [$ estimé]</t>
  </si>
  <si>
    <t xml:space="preserve">Évolution du déficit de maintien d'actifs, du financement et des besoins d'investissement en maintien et rattrapage
</t>
  </si>
  <si>
    <t>Densité des branchements de service</t>
  </si>
  <si>
    <t>Nombre de réseaux de distribution d'eau potable distincts</t>
  </si>
  <si>
    <t>Logements résidentiels desservis
(log)</t>
  </si>
  <si>
    <t>Municipalité exemptées?</t>
  </si>
  <si>
    <t>Quantité d'eau distribuée</t>
  </si>
  <si>
    <t>Bilan approuvé?</t>
  </si>
  <si>
    <t>0 à 999 pers</t>
  </si>
  <si>
    <t>1 000 à 4 999 pers</t>
  </si>
  <si>
    <t>5 000 à 9 999 pers</t>
  </si>
  <si>
    <t>% équivalent du réseau ausculté</t>
  </si>
  <si>
    <t>S.O.</t>
  </si>
  <si>
    <t>Indice de fuites dans les infrastructures moyen</t>
  </si>
  <si>
    <t>Pression moyenne pondérée</t>
  </si>
  <si>
    <t>Conduite</t>
  </si>
  <si>
    <t>Privé</t>
  </si>
  <si>
    <t>Public</t>
  </si>
  <si>
    <t>Eau potable</t>
  </si>
  <si>
    <t>Eaux usées et pluviales</t>
  </si>
  <si>
    <t>Branchements de service côté public</t>
  </si>
  <si>
    <t>Branchements de service côté privé</t>
  </si>
  <si>
    <t>Action 3.1 - Option 1</t>
  </si>
  <si>
    <t>Action 3.1 - Option 2</t>
  </si>
  <si>
    <t>Action 3.1 - Option 3</t>
  </si>
  <si>
    <t>Action 3.1 - Option 4</t>
  </si>
  <si>
    <t>Action 3.1 - Option 5</t>
  </si>
  <si>
    <t>Action 3.1 - Option 6</t>
  </si>
  <si>
    <t>Action 3.1 - Option 7</t>
  </si>
  <si>
    <t>Action 3.1 - Option 8</t>
  </si>
  <si>
    <t>Action 3.2 - Option 1</t>
  </si>
  <si>
    <t>Action 3.2 - Option 2</t>
  </si>
  <si>
    <t>Action 3.2 - Option 3</t>
  </si>
  <si>
    <t>Action 3.2 - Option 4</t>
  </si>
  <si>
    <t>Action 3.2 - Option 5</t>
  </si>
  <si>
    <t>Action 3.2 - Option 6</t>
  </si>
  <si>
    <t>Action 3.2 - Option 7</t>
  </si>
  <si>
    <t>Action 3.2 - Option 8</t>
  </si>
  <si>
    <t>Équipés et relevés</t>
  </si>
  <si>
    <t>Équipés et non relevés</t>
  </si>
  <si>
    <t>Sans compteurs</t>
  </si>
  <si>
    <t>Nombre de branchements non résidentiels</t>
  </si>
  <si>
    <t>Nombre de branchements résidentiels</t>
  </si>
  <si>
    <t>COÛT</t>
  </si>
  <si>
    <t>Volume d'eau distribué
(ML/an)</t>
  </si>
  <si>
    <t>Nombre de municipalité</t>
  </si>
  <si>
    <t>Nombre de formulaires importés</t>
  </si>
  <si>
    <t>Longueur des réseaux auscultés (km)</t>
  </si>
  <si>
    <t>Nbr de réparations</t>
  </si>
  <si>
    <t>Branchements</t>
  </si>
  <si>
    <t>Fréquence de réparation des fuites</t>
  </si>
  <si>
    <t>Régions administratives</t>
  </si>
  <si>
    <t>Moy. Pondérée</t>
  </si>
  <si>
    <t>Moyenne</t>
  </si>
  <si>
    <t>Choisir dans la liste déroulante une municipalité et défiler la page pour voir les indicateurs ou cliquer directement sur l'indicateur ou le tableau.</t>
  </si>
  <si>
    <t>→ Indice de fuites dans les infrastructures</t>
  </si>
  <si>
    <t>→ Résultat de validité des données</t>
  </si>
  <si>
    <t xml:space="preserve"> </t>
  </si>
  <si>
    <t>EAUtrement@mamh.gouv.qc.ca</t>
  </si>
  <si>
    <t>www.mamh.gouv.qc.ca/infrastructures/strategie</t>
  </si>
  <si>
    <t>https://www.facebook.com/EmpreinteBleue</t>
  </si>
  <si>
    <t xml:space="preserve">Courriel : </t>
  </si>
  <si>
    <t xml:space="preserve">Site Web : </t>
  </si>
  <si>
    <t xml:space="preserve">Page Facebook : </t>
  </si>
  <si>
    <t>https://www.mamh.gouv.qc.ca/infrastructures/strategie/cartographie-et-rapports-annuels/</t>
  </si>
  <si>
    <t>État &amp; Plan d'action</t>
  </si>
  <si>
    <t>Critère 1</t>
  </si>
  <si>
    <t>Critère 2</t>
  </si>
  <si>
    <t>Critère 3</t>
  </si>
  <si>
    <t>Taux d'inflation annuel</t>
  </si>
  <si>
    <t>Valeur de remplacement des infrastructures d'eau</t>
  </si>
  <si>
    <t>Excédent entre les revenus et le coût de fonctionnement</t>
  </si>
  <si>
    <t>Excédent pour la réserve financière dédiés aux infrastructures d'eau</t>
  </si>
  <si>
    <t>Solde de la réserve financière dédidée aux infrastructures d'eau à la fin de l'année 2019</t>
  </si>
  <si>
    <t>Besoins d'investissement en bonification de l'offre de service</t>
  </si>
  <si>
    <t>Commentaires de la municipalité</t>
  </si>
  <si>
    <t>Commentaires du MAMH</t>
  </si>
  <si>
    <t>Secteur résidentiel</t>
  </si>
  <si>
    <t>Secteur non résidentiel</t>
  </si>
  <si>
    <t>Pertes d'eau</t>
  </si>
  <si>
    <t>Eau exportée</t>
  </si>
  <si>
    <t>Eau de surface</t>
  </si>
  <si>
    <t>Eau souterraine</t>
  </si>
  <si>
    <t>Dépenses en immobilisations en 2018</t>
  </si>
  <si>
    <t>Dépenses en immobilisations en 2019</t>
  </si>
  <si>
    <t>Coût de fonctionnement et d'entretien liés à l'acquisition et au traitement de l'eau brute</t>
  </si>
  <si>
    <t>Matériaux</t>
  </si>
  <si>
    <t>Main-d'œuvre</t>
  </si>
  <si>
    <t>Énergie</t>
  </si>
  <si>
    <t>Autres</t>
  </si>
  <si>
    <t>APPROVISIONNEMENT ET PRODUCTION</t>
  </si>
  <si>
    <t>Amos - municipal</t>
  </si>
  <si>
    <t>X0009923</t>
  </si>
  <si>
    <t>Non</t>
  </si>
  <si>
    <t>≤ 220</t>
  </si>
  <si>
    <t>Déjà réalisée</t>
  </si>
  <si>
    <t>Augmentation ≥ 5 % prévue</t>
  </si>
  <si>
    <t>Prévue</t>
  </si>
  <si>
    <t>Fuites et débordements éliminés</t>
  </si>
  <si>
    <t>Débuter les travaux</t>
  </si>
  <si>
    <t>Non débutée</t>
  </si>
  <si>
    <t>Ne s'applique pas</t>
  </si>
  <si>
    <t>Pas de directive</t>
  </si>
  <si>
    <t>Non réalisée</t>
  </si>
  <si>
    <t>Non prévue</t>
  </si>
  <si>
    <t>En cours</t>
  </si>
  <si>
    <t>Installation débutée</t>
  </si>
  <si>
    <t>Terminer l'installation</t>
  </si>
  <si>
    <t>Ange-Gardien</t>
  </si>
  <si>
    <t>X0008913</t>
  </si>
  <si>
    <t>Oui</t>
  </si>
  <si>
    <t>≤ 2,0</t>
  </si>
  <si>
    <t>≤ 184</t>
  </si>
  <si>
    <t>Pas de fuite et débordement</t>
  </si>
  <si>
    <t>Aucune réparation en 2019.</t>
  </si>
  <si>
    <t>Délais respectés</t>
  </si>
  <si>
    <t>Respecter les délais</t>
  </si>
  <si>
    <t>Installation terminée</t>
  </si>
  <si>
    <t xml:space="preserve">Art 4.1 : Les montants investis en 2019 correspondent à des travaux réalisés sur les conduites d'eau potable, usées et pluviales via le programme PRIMEAU 2.0. La municipalité sait qu'elle va investir pour l'installation de génératrice. Elle utilisera la TECQ 19-23 pour ce faire. Par contre, comme la programmation n'est pas terminé et qu'elle n'a pas encore la liste des besoins, aucun autre montant n'est indiqué. </t>
  </si>
  <si>
    <t xml:space="preserve">Yasmine Iguer : Section 3 &amp; section 4 : Il est recommandé d'indiquer au meilleur des connaissances les besoins en investissement de la municipalité, même si ces derniers ne correspondent pas à un plan des travaux à réaliser. Comme discuté avec Monsieur Lamarre, l'objectif est de sensibiliser la municipalité par rapport à la gestion d'actif et le financement des infrastructures d'eau. Je reste disponible pour vous aider dans cette démarche. </t>
  </si>
  <si>
    <t>Baie-des-Sables</t>
  </si>
  <si>
    <t>X2002118</t>
  </si>
  <si>
    <t>≤ 3,0</t>
  </si>
  <si>
    <t>Art.1.4 : Les frais d'administration générale ont été estimés avec une valeur de 15 % des charges avant amortissement (article 1.1).
Art.4.3 : Tous les travaux prévus sont financés par paiement comptant. 
Le paiement comptant en 2019 a servi à remplacer une conduite dans le bâtiment de production d'eau potable.
Le paiement comptant en 2020 servira à mettre à jour le système de prise de donnée à l'installation de production d'eau potable.</t>
  </si>
  <si>
    <t>Directive mise en place</t>
  </si>
  <si>
    <t>Réduction ≥ 1 jour prévue</t>
  </si>
  <si>
    <t>Débuter l'installation</t>
  </si>
  <si>
    <t>Travaux débutés</t>
  </si>
  <si>
    <t xml:space="preserve">Éliminer fuites et débordements </t>
  </si>
  <si>
    <t>Mettre en place une directive</t>
  </si>
  <si>
    <t>Installer 50 % des compteurs</t>
  </si>
  <si>
    <t>50 % des compteurs installés</t>
  </si>
  <si>
    <t>Bécancour</t>
  </si>
  <si>
    <t>SRP rentables</t>
  </si>
  <si>
    <t>Réaliser 50 % des travaux</t>
  </si>
  <si>
    <t>Fuites et débordements constatés</t>
  </si>
  <si>
    <t>SRP en place</t>
  </si>
  <si>
    <t>50% des travaux réalisés</t>
  </si>
  <si>
    <t>Terminer les travaux</t>
  </si>
  <si>
    <t>Audet</t>
  </si>
  <si>
    <t xml:space="preserve">Art 4.1 : Les immeubles non équipés de compteurs d'eau sont Poste Canada, l'église et presbytère, la station d'épuration, etc. Ces consommations se retrouvent dans le Non mesuré et non facturé de l'audit de l'eau de l'AWWA. </t>
  </si>
  <si>
    <t>Art 2.1 : Étant donné que l’objectif de l’indice de fuite dans les infrastructures n’est pas atteint pour le réseau X0008913, ce dernier doit être ausculté à 200% pour le 1er septembre 2021.</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</si>
  <si>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</si>
  <si>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</si>
  <si>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</si>
  <si>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</si>
  <si>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Acton Vale</t>
  </si>
  <si>
    <t>X0008755</t>
  </si>
  <si>
    <t>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</si>
  <si>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2019 : TECQ 14-18 - Réfection de la rue Roxton
2020 - 2021 : FIMEAU : Renouvellement de conduites 
2020-2023 : TECQ 18-23 (Programmation terminée)
</t>
  </si>
  <si>
    <t>Albanel</t>
  </si>
  <si>
    <t>X0010678</t>
  </si>
  <si>
    <t>Réseau du Parc Pagé (entente avec Dolbeau-Mistassini)</t>
  </si>
  <si>
    <t>X2024608</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</si>
  <si>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
Art 2.1 : Étant donné que l’objectif de l’indice de fuite dans les infrastructures n’est pas atteint pour le réseau X0010678, ce dernier doit être ausculté à 200% pour le 1er septembre 2021.</t>
  </si>
  <si>
    <t>Art.1.4 : Les frais d'administration générale ont été estimés avec une valeur de 15 % des charges avant amortissement (article 1.1).
Art. 4.1 : Provient de la TECQ 19-23 (1 058 000$) et du PTI.</t>
  </si>
  <si>
    <t>Alma</t>
  </si>
  <si>
    <t>Labrecque</t>
  </si>
  <si>
    <t>X0010050</t>
  </si>
  <si>
    <t>≤ 3,1</t>
  </si>
  <si>
    <t>Art 2.1 : Étant donné que l’objectif de l’indice de fuite dans les infrastructures n’est pas atteint pour le réseau X0010050,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2022.</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</si>
  <si>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et 4.2 :
Provenant du PIQM (382 344$) pour 2019
Provenant de la TECQ 14-18 (1 549 726$) pour 2019
Provenant de la programmation de la TECQ 19-23 de 2020 à 2023</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</si>
  <si>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2023.</t>
  </si>
  <si>
    <t>Art.4.1 et 4.5 : Les subventions proviennent de la TECQ, du FIMEAU et du PRIMEAU.
2019 : 4 600 000 pour le renouvellement de l’usine d’eaux usées (TECQ 2019-2023).
2020 : 199 374 pour le renouvellement des conduites (FIMEAU).
2021 : 1 643 920 pour le renouvellement des conduites (FIMEAU).</t>
  </si>
  <si>
    <t xml:space="preserve">
</t>
  </si>
  <si>
    <t>Asbestos, Danville</t>
  </si>
  <si>
    <t>X0008197-X0008335</t>
  </si>
  <si>
    <t>Art.3.2 Option 8: la réserve financière n'est pas dédiée aux infrastructures d'eau exclusivement, mais également aux services d'égout et de voirie. Puisqu'elle inclut la voirie, cette action n'est pas réalisée.</t>
  </si>
  <si>
    <t>Art 2.1 : Étant donné que l’objectif de l’indice de fuite dans les infrastructures n’est pas atteint pour le réseau Asbestos-Danville,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</si>
  <si>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Art.1.2 : Puisque ce bilan est complété avant d'avoir le rapport financier officiel, le frais de financement 2019 a été estimé en utilisant la proportion (Frais de financement / Remboursement de la dette) du bilan 2018.
Art.1.4 : Les frais d'administration générale ont été estimés avec une valeur de 15 % des charges avant amortissement (article 1.1). Les frais d'administration générale sont inclus dans les charges avant amortissement. Ces montants ont donc été déduits de l'article 1.1, puis ils ont été mis dans l'article 1,3.
Art.2.2 : Le 7 200$ pour la tarification non volumétrique, vient de la taxe pour les propriétaires de piscine.
Art.2.5 : La taxe foncière sur la valeur est la source de revenus principale de la municipalité. Il y aura éventuellement des changements pour avoir une tarification non volumétrique. Présentement, elle est utilisée pour balancer les revenus et les coûts.
Art.4.1 et 4.5 : Les subventions proviennent de la TECQ, du FIMEAU et du PRIMEAU.
Art.4.1 : 
2019: Remplacement de conduites (PRIMEAU + Emprunt), Remplacement du système de déshydratation (TECQ 14-18)
2020 : Plusieurs travaux dans le PTI et dans la nouvelles programmation de la TECQ.19-23 (TECQ)
2021-2022 : Remplacement de conduites (FIMEAU + Emprunt)
Art.4.2 : 
2019  : Installation des compteurs d'eau phase 2 (selon le PTI)
2020 :  Installation des compteurs d'eau résidentiels (selon le PTI)
Art.4.5 :
2020 : Installation d'un compteur d'eau sectoriel (Mine Jeffrey) (TECQ) + Étude sur l'approvisionnement et le traitement en eau potable  (TECQ)
2021 : Installation permanente du système de dosage (inhibiteur de corrosion) (TECQ)</t>
  </si>
  <si>
    <t>Art.2.1 à 3.4 :  Les données incluent la consommation et les pertes d'eau reliés à la portion de Danville (21 logements) qui est desservie.</t>
  </si>
  <si>
    <t>X0009672</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</si>
  <si>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</si>
  <si>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4.1 : Il est estimé que 50% de la TECq soit attribuée aux services de l'eau. La municipalité est en mise à jour de son plan d'intervention, la proportion de la TECQ allouée aux services de l'eau sera sujette à changements suite à ses conclusions.
Art 4.3 : 7 000$ ajout d'un turbidimètre 
Art 4.7 : 2 000$ ajout d'un système de traitement UV</t>
  </si>
  <si>
    <t>Parent</t>
  </si>
  <si>
    <t>J. Proulx (X0010455)</t>
  </si>
  <si>
    <t>X0010455</t>
  </si>
  <si>
    <t>Pays-Brûlé (X0010456)</t>
  </si>
  <si>
    <t>X0010456</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</si>
  <si>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19-23.
</t>
  </si>
  <si>
    <t>Réseau principal</t>
  </si>
  <si>
    <t>X0009585</t>
  </si>
  <si>
    <t>Art 4.1: Certains compteurs d'eau n'ont pas été lus en 2019, car ils ont été posés au courant de l'année.</t>
  </si>
  <si>
    <t>Art 4.1: TECQ 14-18 : Automatisation des infrastructures d'eau potable + Réfection toi eau potable + Mise aux normes eaux usées (rapport d'avant-projet préliminaire)
Art 4.5: L'ajout d'une installation de traitement des eaux usées est présentement à l'étude (avant-projet préliminaire). L'envergure des coûts associés à ces travaux sera connu au courant de l'année 2020. La municipalité compte financer ces travaux à l'aide d'un programme FIMEAU et de la TECQ 19-23.</t>
  </si>
  <si>
    <t>Ville</t>
  </si>
  <si>
    <t>X0010829</t>
  </si>
  <si>
    <t>Montagne</t>
  </si>
  <si>
    <t>X0011501</t>
  </si>
  <si>
    <t>Tel que précisé dans le rapport 2018, la consommation résidentiel était surestimée par le fait que la période utilisé pour la mesure était d'uniquement 4 mois en période estivale. La conséquence d'une surestimation de la consommation résidentielle c'est traduit par un faible indice de fuite. Dans le rapport de 2019, la consommation résidentiel étant plus représentative l'indice de fuite a augmenté. Ainsi il faudra mettre en place des mesures pour détecter des fuites en 2021. 
Nous planifions l'installation d'antenne pour l'auto-relève des compteurs d'eau afin d'avoir des données plus précises. Ces travaux seront à planifier vers 2021-2022.</t>
  </si>
  <si>
    <t>Pour 2019
41800$ pour compteur d'eau et débitmètre
Prolongement rue Drapeau (32826 eau potable 32836 Égout)
Prolongement rue Alfred Morin (28000 eau potable 6000 Égout)
REstauration des Station de Pompage SP1 et SP2 (920 149 + 34821 pour travaux )
13 000 pour honoraire proffessionnels pour dégrilleur en 2020
Pour 2020
- Accès RBB: 10 000 $ (déjà prévu dans règlement)
- Dégrilleur: 800 000 $  (à 100 % par la TECQ; réso 19-11-470)
- Installation d'une génératrice et alarmes Domaine de la Montagne (CAR): 8 000 $
- Mandat pour l'aggrandissement des étangs aérées: 35 000 $
- Refaire le poste en acqueduc sur l'Équerre (près du Golf): 300 000 $. Pour la conformité (part de coût qui sera peut-être subventionnable
  dansPRIMEAU à  66% du 125 000 $ estimé) + sudimensionnement qui se lie au projet promoteur à venir d'environ 115 000 $
  + Génératrice: 52 000 $.
COMPLÉTION DU DÉVELOPPEMENT RENÉ-RICHARD (Environ 70 % de l'enveloppe s'attribue pour la rue Racine, 25 % pour la rue PFM et 5 % pour la Rue Dufour.Nous compléterons  ainsi les investissements majeurs qui sont prévus pour ce secteur de développement.)
Pour 2021-22
- Génératrices Bas-de-la Baie (45 000 $) et Ermitage (70 000 $): 115 000 $
Réparation de la conduite d'amenée par tronçon dans le prochain triennal
rte 138 - reporté à 2021 (Covid)
En 2021
Nous appliquons un montant de 1 300 000 $ (TECQ) pour les conduites.
rte 362 RÉFECTION DES RUES LECLERC, MÉNARD et L'ISLET- Reporté à 2022 (covid)
Appel d'offres pour les professionnels en 2020, exécution sur 2 ans. L'entente de ce côté est paraphée avec le MTQ avec qui des discussions vont se tenir sur certains partage de coûts. On anticipe 3,5 M$ pour leur part (non inclus ici). nous avons plutôt appliqué au programme FIMEAU pour une demande de 1 700 000 $ (80 % des coûts admissibles, soit 1 360 000$).</t>
  </si>
  <si>
    <t>X0009245</t>
  </si>
  <si>
    <t>Mettre en place les directives</t>
  </si>
  <si>
    <t xml:space="preserve">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Art.4.1 et 4.5 : Les subventions proviennent du FIMEAU pour le renouvellement de conduites.
Il est possible que la municipalité utilise 100% de la TECQ pour de la recherche en eau mais le projet n'est pas assez avancé pour pouvoir l'indiquer dans ce document.
</t>
  </si>
  <si>
    <t>Bégin</t>
  </si>
  <si>
    <t>X0009565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</si>
  <si>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programmation de la TECQ 19-23.
La municipalité n'a pas prévu d'investir davantage dans les infrastructures d'eau dans les dix prochaines années.</t>
  </si>
  <si>
    <t>X0009681</t>
  </si>
  <si>
    <t>Art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</si>
  <si>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Réseau municipal</t>
  </si>
  <si>
    <t>Travaux terminés</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</si>
  <si>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</si>
  <si>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Aguanish</t>
  </si>
  <si>
    <t>X0009703</t>
  </si>
  <si>
    <t xml:space="preserve">Art 3.3 : Les besoins en maintient 2020 ont étés ajustés de façon à ne pas avoir une courbe de DMA négative. Les informations du précédent PI sont obselètes et il est conseillé de le remettre à jour.
Art.4.1 : Les subventions proviennent de la TECQ. Le financement de la TECQ pour les infrastructures d'eau a été estimé à 50%.
</t>
  </si>
  <si>
    <t>Amherst</t>
  </si>
  <si>
    <t>X0009602</t>
  </si>
  <si>
    <t xml:space="preserve">Art 4.1 : Pour l'instauration des jeux d'eau qui sont prévus par la municipalité, il est conseillé d'installer un compteur d'eau . </t>
  </si>
  <si>
    <t>Art 4.7 : travaux prévus pour isolé les bornes fontaines du réseau grâce à des vannes.</t>
  </si>
  <si>
    <t>Armagh</t>
  </si>
  <si>
    <t xml:space="preserve">X0010735 </t>
  </si>
  <si>
    <t>Nous avons fait une réévaluation plus précise qu'en 2019 des immeubles non résidentiels</t>
  </si>
  <si>
    <t>Les seuls subventions confirmées proviennent de la TECQ 2019-2023</t>
  </si>
  <si>
    <t>Ascot Corner 1</t>
  </si>
  <si>
    <t>X0008599</t>
  </si>
  <si>
    <t>Art 4.2 : Le compteur manquant est celui de l'école, la municipalité est en attente de la comission scolaire pour son installation.</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</si>
  <si>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2019 Renouvellement de conduites                 2020 télémétrie pour PP et caméra pour nettoyage de réseau         25% TECQ 24-28
Art 4.5 : 2020 Étude de prolongement du réseau        2023 Prolongement du réseau selon l'étude</t>
  </si>
  <si>
    <t>X0008847</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</si>
  <si>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2023.</t>
  </si>
  <si>
    <t>Art 1.4: Les frais d'administration générale ont été évalué à 15% des charges avant amortissement.
Art.2.5 : La taxe foncière sur la valeur a été estimée afin d'équilibrer minimalement les revenus affectés aux services d'eau (article 2.7) et le coût de fonctionnement des services d'eau (article 1.5) de façon à ne pas créer de déficit.
Section 4 : Aucune intervention prévue dans les prochaines années.</t>
  </si>
  <si>
    <t>Baie-D'Urfé - Pointe-Claire</t>
  </si>
  <si>
    <t>X0008953</t>
  </si>
  <si>
    <t xml:space="preserve">Investissements locaux :
2019 : Remplacement poteau d'incendie :  50 000 $
2019 : Pompe poste de pompage : 12 000 $
2019 : Remplacement conduites pluviales : 18 000 $
2020-2021-2022 : Drainage : (Intervention prioritaire suite aux recommendations du Plan de drainage) : 120 000 $ + 275 000 $ + 200 000 $
2021 : Aqueduc : Remplacement de deux vannes sur Lakeshore : 25 000 $
</t>
  </si>
  <si>
    <t>X0009471</t>
  </si>
  <si>
    <t>Art 2.1 : Étant donné que l’objectif de l’indice de fuite dans les infrastructures n’est pas atteint pour le réseau,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</si>
  <si>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 xml:space="preserve">Art.1.3 : La municipalité n'a pas de capital remboursé (paiement d'interets uniquement ).
Art.4.1 et 4.5 : Les subventions proviennent de la TECQ, pour la remplacement du controlleur de pompe d'eau usée.
Art 4.7: Montant pour le remplacement d'un débimetre.       </t>
  </si>
  <si>
    <t>Beauharnois</t>
  </si>
  <si>
    <t>X0009677</t>
  </si>
  <si>
    <t>≤ 2,1</t>
  </si>
  <si>
    <t>Melocheville</t>
  </si>
  <si>
    <t xml:space="preserve">Art 2.1 : Le pourcentage ne correspond pas à 150 % équivalente, car le pourcentage est calculé selon la mise à jour de la longueur du réseau pour 2019. Il correspond à plus de 150 % pour la longueur 2018. </t>
  </si>
  <si>
    <t>Art 4.2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les réseaux Beauharnois et Melocheville, ces derniers doivent être auscultés à 200 % pour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</si>
  <si>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Électricité des 2 usines de filtrations sur le territoire de la Ville: 131 282$, salaire des employés de la gestions des eaux potable: 665 247$ Main-Œuvre externe: 46 000$ Il n'y a aucune dépense en immobilisation </t>
  </si>
  <si>
    <t>Ville de Beaupré</t>
  </si>
  <si>
    <t>X0008974</t>
  </si>
  <si>
    <t xml:space="preserve">Art 4.2: Les compteurs d'eau dans le secteur résidentiel seront installé au courant de l'année 2021. Les travaux permettant d'isoler le secteur de suivi de la consommation sont complétés depuis août 2020. </t>
  </si>
  <si>
    <t>Art 4.1 : Étant donné que la valeur d'au moins un des indicateurs de performance dépasse l’objectif, l’installation de compteurs d’eau dans tous les immeubles non résidentiels (Industries, Commerces et Institutions), les immeubles mixtes ciblés, les immeubles municipaux et  l'estimation de la consommation résidentielle effectuée en combinant un échantillon de 20 logements résidentiels et un secteur de suivi de la consommation de 190 branchements doit être terminé d'ici le 1er septembre 2021.</t>
  </si>
  <si>
    <t>Art.1.4 : Les frais d'administration générale ont été estimés avec une valeur de 15 % des charges avant amortissement (article 1.1).
Section 4: 
2020 : FIMEAU (renouvellement de conduite) + TECQ 19-23 (prolongement des services rue Morel et rue Fatima Est + Remplacement rue Fatima Est + Rolland + Cèdres)</t>
  </si>
  <si>
    <t>X0008297</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</si>
  <si>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Le financement de la TECQ pour les infrastructures d'eau a été estimé à 8,4%. L’emprunt pour les infrastructures d'eau a été estimé à 8,4% du seuil d’immobilisation pour la TECQ.
</t>
  </si>
  <si>
    <t>Art.2.5 : La taxe foncière sur la valeur a été estimée afin d'équilibrer minimalement les revenus affectés aux services d'eau (article 2.7) et le coût de fonctionnement des services d'eau (article 1.5) de façon à ne pas créer de déficit.</t>
  </si>
  <si>
    <t>Saint-Méthode</t>
  </si>
  <si>
    <t>X0009261</t>
  </si>
  <si>
    <t>Amqui</t>
  </si>
  <si>
    <t>X0010703</t>
  </si>
  <si>
    <t xml:space="preserve">Art 2.1 : Étant donné que l’objectif de l’indice de fuite dans les infrastructures n’est pas atteint pour le réseau Amqui, ce dernier doit être ausculté à 200% pour le 1er septembre 2021.
Art 4.1 : Étant donné que la valeur d'au moins un des indicateurs de performance dépassait l’objectif aux bilans 2014 à 2017, l’installation de compteurs d’eau dans tous les immeubles non résidentiels (Industries, Commerces et Institutions), les immeubles mixtes ciblés, les immeubles municipaux et sur un échantillon de 60 immeubles résidentiels est requise d'ici le 1er septembre 2020. La municipalité a déjà acheté les compteurs d'eau, mais n'a pas encore commencé à les installer. L'installation doit être complétée avant le 1er septembre 2021.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</si>
  <si>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t>
  </si>
  <si>
    <t>UTE</t>
  </si>
  <si>
    <t>X0010419-X0010422-X0010420</t>
  </si>
  <si>
    <t>Art 2.1 : Étant donné que l’objectif de l’indice de fuite dans les infrastructures n’est pas atteint pour le réseau, ce dernier doit être ausculté à 200% pour le 1er septembre 2021.
Art 4.1 : Les 348 ICI sans compteurs ne sont pas inclus dans le tableau des grands consommateurs. La municipalité sera considérée comme ayant mois de 10 000 logements pour son échantillon résidentiel, donc un échantillon de 60 compteurs résidentiel.
Étant donné que la valeur d'au moins un des indicateurs de performance dépasse l’objectif, l’installation et la relève de compteurs d’eau dans tous les immeubles non résidentiels (Industries, Commerces et Institutions), les immeubles mixtes ciblés, les immeubles municipaux et sur un échantillon de 60 immeubles résidentiels est requise d'ici le 1er septembre 2021.</t>
  </si>
  <si>
    <t xml:space="preserve">Art.1.4 : Les frais d'administration générale ont été estimés avec une valeur de 15 % des charges avant amortissement (article 1.1).
Art 2.2 : Les taxes d'eau usées ne sont pas séparés de la taxe foncière comme l'aqueduc.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45%.
</t>
  </si>
  <si>
    <t>Baie-Johan-Beetz</t>
  </si>
  <si>
    <t>X0009691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</si>
  <si>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25%.</t>
  </si>
  <si>
    <t>Beaumont</t>
  </si>
  <si>
    <t>X0009177</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</si>
  <si>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3.6 : Nouveau réseau pour desservir 230 maisons privées. 18M $ prévu pour les années 2022 et 2023 (promoteur).
Art 4.1 et 4.5 : La municipalité a confirmé qu'elle n'a pas de subventions confirmées pour les années qui s'en viennent. Concernant TECQ, la municipalité a confimé qu'elle n'a pas encore planifié le montant à investir.</t>
  </si>
  <si>
    <t>Bedford- Saint-Armand</t>
  </si>
  <si>
    <t>X0008495</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</si>
  <si>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 réseau Bedford, ce dernier doit être ausculté à 200% pour le 1er septembre 2021.</t>
  </si>
  <si>
    <t>Art 4.1 : TECQ  19-23 et FIMEAU.</t>
  </si>
  <si>
    <t>Beloeil</t>
  </si>
  <si>
    <t>X0008178</t>
  </si>
  <si>
    <t>Berthier sur Mer</t>
  </si>
  <si>
    <t>X0008970</t>
  </si>
  <si>
    <t>Art. 2.5 : La taxe foncière sur la valeur a été estimée afin d'équilibrer minimalement les revenus affectés aux services d'eau (article 2.7) et le coût de fonctionnement des services d'eau (article 1.5) de façon à ne pas créer de déficit.
Art. 4.1 : Provient de la TECQ 14-18
Art. 4.5 : 100% de la TECQ 2020-2023
Art. 4.10 : refaire le réseau aqueduc, égouts et  pluvial sur la rue Pincipale à l'année 2024 et 2025. Cela fait en sorte que le coût de MAR soit supérieur à 2 % de VR.</t>
  </si>
  <si>
    <t>Berthierville</t>
  </si>
  <si>
    <t>X0008658</t>
  </si>
  <si>
    <t>Art.2.1: La municipalité n'a pas effectué de recherche de fuites en 2019 puisqu'au Bilan 2018 elle ne dépassait pas son objectif d'indice de fuites dans les infrastructures et n'avait donc pas à le faire.
Art 4.1 : Selon le décompte effectué dans le cadre de l'appel d'offres pour l'installation des compteurs d'eau : 61 branchements équipés de 71 compteurs relvés deux fois par année, 9 branchements inactifs et 111 branchements qui seront équipés de compteurs d'eau à partir de l'automne 2020. Pour la partie résidentielle et basé sur le détail du rôle 2019, 1183 immeubles pour 2314 logements.</t>
  </si>
  <si>
    <t>Art 2.1: Étant donné que l’objectif de l’indice de fuite dans les infrastructures n’est pas atteint pour le réseau Berthierville,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</si>
  <si>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 xml:space="preserve">Art 4.2 : Seuls les coûts de produits chimiques sont considérés et 30 % du cout d'électricité imputable au prélèvement/production d'eau. </t>
  </si>
  <si>
    <t>Biencourt</t>
  </si>
  <si>
    <t>X0009879</t>
  </si>
  <si>
    <t>Nous avons effectué la recherche de fuite à 100 % sur notre réseau (entrée de services et bornes fontaines). Nous avons trouvé deux fuites et elles ont été réparées. L'analyse du débit de nuit 2020 devrait montrer une baisse des pertes par rapport à 2019.</t>
  </si>
  <si>
    <t>Art 4.1 :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20 immeubles résidentiels est requise d'ici le 1er septembre 2022.
Art 2.1 : Étant donné que l’objectif de l’indice de fuite dans les infrastructures n’est pas atteint pour le réseau Biencourt, ce dernier doit être ausculté à 200% pour le 1er septembre 2021.</t>
  </si>
  <si>
    <t>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14-18 et 19-23.
Des travaux de remplacement de conduites d'eaux usées ont été réalisés en 2019 et 2020. Les travaux ont été subventionnés à 100 % par le Programme TECQ 2014-2018 et 2019-2023. Le coût des travaux inscrit est au coût net.</t>
  </si>
  <si>
    <t>Boischatel</t>
  </si>
  <si>
    <t>Atteindre un résultat ≥ 50 %</t>
  </si>
  <si>
    <t>Art 4.1: TECQ: Réfection rue des Grès et rue Vézina
Art 4.5 et 4.6: 
2019 :FEPTEU-2 Mise aux normes usine d'eau potable
2020: FIMEAU+TECQ 19-23: Prolongement des réseaux rue des Saphirs</t>
  </si>
  <si>
    <t>X0008483 - Parc industriel</t>
  </si>
  <si>
    <t>X0008483</t>
  </si>
  <si>
    <t>X2012882-Résidentiel/Commercial</t>
  </si>
  <si>
    <t>X2012882</t>
  </si>
  <si>
    <t>Art.1.3 : Les frais d'administration générale ont été estimés avec une valeur de 15 % des charges avant amortissement (article 1.1).
Art 4.1: Les subventions proviennent de la TECQ, le financement de la TECQ 2019 pour les infrastructures d'eau a été estimé à 90%.</t>
  </si>
  <si>
    <t>Bonaventure</t>
  </si>
  <si>
    <t>X0009112</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</si>
  <si>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conformément à la résolution 2020-01-022.</t>
  </si>
  <si>
    <t>2022 : mise aux normes usine et déplacement du réservoir d'eau potable (avec conduites): 912 415$ (TECQ) et 782 796$ (PRIMEAU)</t>
  </si>
  <si>
    <t>Pas de chloration en 2019, début juillet 2020
Aucune gestion de la production, pompage uniquement</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</si>
  <si>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</si>
  <si>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</si>
  <si>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2020 (prévu)</t>
  </si>
  <si>
    <t>Boisbiand</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</si>
  <si>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Boisbriand,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</si>
  <si>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du PTI de la ville, l'origine des subventions n'est pas spécifiée.</t>
  </si>
  <si>
    <t>Évolution 2011 à 2019</t>
  </si>
  <si>
    <t>Bilan 2019</t>
  </si>
  <si>
    <t>Plan d'action 2020</t>
  </si>
  <si>
    <t>Baie-Trinité</t>
  </si>
  <si>
    <t>X0009654</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</si>
  <si>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43%.
</t>
  </si>
  <si>
    <t>Beauceville</t>
  </si>
  <si>
    <t>X0008258</t>
  </si>
  <si>
    <t>Art. 4.1 : Les subventions proviennent de : 
- 2020 à 2022 FIMEAU
- 2019 à 2021 PIQM</t>
  </si>
  <si>
    <t>Art 2.1 : L’estimation 2019 du nombre de personnes par logements de statistique Canada sous-estime la population résidentielle desservie et occupée de façon permanente. Une population de 4 518 personnes est plus représentative.</t>
  </si>
  <si>
    <t>X0009110</t>
  </si>
  <si>
    <t>Brébeuf</t>
  </si>
  <si>
    <t>X0008880</t>
  </si>
  <si>
    <t>Étant donné que la méthode de calcul pour l'IFI et la consommation résidentielle a varié dans les années précédentes, l'installation de compteur d'eau n'est pas requise avant le 1er septembre 2022, en effet l'eau eliminée par les purges a dans certaines années été considéré comme des pertes et d'autres années comme de la consommation . Cependant à partir du bilan 2019 les méthodes de calcul seront toujours les mêmes par conséquent, quand la municipalité dépassera dans le futur un des objectifs (IFI ou consommation résidentielle), elle devra poser des compteurs dans l'ensemble du secteur non résidentiel et dans un échantillon du secteur résidentiel.
Il faut noter que la municipalité consomme beaucoup d'eau par l'intermédiaire de ses purges par conséquent il est fortement recommendé de poser des totalisateurs sur les purges afin de contrôler cette quantité d'eau.</t>
  </si>
  <si>
    <t>La municipalité respecte les objectifs pour l'année 2019. Cependant une quantité importante d'eau est utilisée à travers les purges du réseau. Il est donc fortement recommandé d'installer des totalisateurs sur les purges afin de mieux contrôler cette eau et d'obtenir des données plus précises.
L'installation de compteurs d'eau n'est pas requise pour l'instant mais est recommandée. En effet à l'année où l'un des deux objectifs (IFI ou consommation résidentielle) ne sera pas respecté l'installation des compteurs d'eau sera requise, la municipalité aura un délai de trois ans à partir de cette date pour installer les compteurs d'eau (dans l'ensemble du secteur non résidentiel et un échantillon du secteur résidentiel).
Malgré que l'installation des compteurs n'est pas requise pour l'instant puisque la municipalité ne depasse aucun des deux objectifs (IFI ou consommation résidentielle), les efforts tels que la sensibilisation et la recherche de fuites sont recommendés afin de ne pas depasser les objectifs dans les prochaines années.</t>
  </si>
  <si>
    <t>Art.1.4 : Les frais d'administration générale ont été estimés avec une valeur de 15 % des charges avant amortissement (article 1.1).
Art.2.8 : La municipalité ne possède pas de réserve financière pour les services d'eau mais elle possède un excédent affecté de 27 068 $. Pour ce faire les taxes foncières (Art.2.5) ont été ajustées pour cela.
Pas d'interventions sur les réseaux d'eau potable et usée prévues dans les 10 prochaines années.</t>
  </si>
  <si>
    <t>Bromont</t>
  </si>
  <si>
    <t>X0008689</t>
  </si>
  <si>
    <t>SRP non rentables</t>
  </si>
  <si>
    <t xml:space="preserve">Les 5 derniers compteurs résidentiels seront installés en septembre 2020. </t>
  </si>
  <si>
    <t>X2109413</t>
  </si>
  <si>
    <t>≤ 2,2</t>
  </si>
  <si>
    <t>Section 4 basé sur le travail effectué en 2018 et projection</t>
  </si>
  <si>
    <t>Saint-Philippe Est</t>
  </si>
  <si>
    <t>X0009517</t>
  </si>
  <si>
    <t>Art.2.1 : Il est recommandé d’effectuer un contrôle actif des fuites, car pour les réseaux dont l’indicateur de pertes d'eau dépasse la valeur de comparaison, un contrôle actif des fuites sur l’équivalent de 200 % de la longueur sera requis d'ici le 1er septembre 2021.</t>
  </si>
  <si>
    <t>Brownsburg</t>
  </si>
  <si>
    <t>X0009518</t>
  </si>
  <si>
    <t xml:space="preserve">Les preuves d'achat des compteurs d'eau sont disponibles. Mais il est necessaire des les installer avant le 1er septembre 2021.
Art 4.2: La recherche de fuite n'était pas requise jusqu'au 1er septembre 2020, mais le sera pour le 1er septembre 2021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</si>
  <si>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les réseaux Brownsburg-Chatham et Saint-Philippe Est, ces derniers doivent être auscultés à 200 %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</si>
  <si>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Les subventions proviennent de la TECQ19-23</t>
  </si>
  <si>
    <t>Cacouna</t>
  </si>
  <si>
    <t>X0009185</t>
  </si>
  <si>
    <t xml:space="preserve">Art.1.4 : Les frais d'administration générale ont été estimés avec une valeur de 15 % des charges avant amortissement (article 1.1).
Art.4.1 : Les subventions proviennent de la TECQ 19-23.
Art.4.3 : 2021 - Remplacement préventif des vannes de rue. Compté comme du maintien d'actif sur les infrastructures linéaires. </t>
  </si>
  <si>
    <t>Calixa-Lavallée</t>
  </si>
  <si>
    <t>Art.1.4 : Les frais d'administration générale ont été estimés avec une valeur de 15 % des charges avant amortissement (article 1.1).</t>
  </si>
  <si>
    <t>Système d'approvisionnement - Cap-Chat</t>
  </si>
  <si>
    <t>X0009194</t>
  </si>
  <si>
    <t>Art.4.1 : 10 branchements non résidentiels sont inactifs</t>
  </si>
  <si>
    <t xml:space="preserve">Art 2.1 : Étant donné que l’objectif de l’indice de fuite dans les infrastructures n’est pas atteint pour le réseau Cap-Chat,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2022 conformément à la résolution 13.11.20. 
Selon le Bilan 2018, l’échantillon d’immeubles résidentiels requis est de 60 logements mais de 20 logements selon les données du Bilan 2019 à cause de la baisse du nombre de logements desservis total (1034 vs 945 logements). Il est donc recommandé de tout de même procéder à l’installation de 60 compteurs d’eau pour assurer une représentativité de l’échantillon. D’ailleurs, si le nombre de logements dépassent 1000 logements dans les années à venir, un échantillon de 60 logements sera requis. 
</t>
  </si>
  <si>
    <t>Art.1.4 : Les frais d'administration générale ont été estimés avec une valeur de 15 % des charges avant amortissement (article 1.1).
Art.4.1 et 4.5 : Les subventions proviennent de la TECQ 2014-2018.</t>
  </si>
  <si>
    <t>Tableau 4.2 : La municipalité ne peut pas fournir les montants par catégorie pour l'année 2019.</t>
  </si>
  <si>
    <t>Caplan</t>
  </si>
  <si>
    <t>X0009098</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</si>
  <si>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20 immeubles résidentiels est requise d'ici le 1er septembre 2023.</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</si>
  <si>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4.5 et 4.6 : La municipalité va remplacer son dégrilleur aux eaux usées par un système d'étangs aérés. Les travaux sont estimés à une valeur de 4 000 000$. La municipalité a fait des demandes PIQM et ROMAEU, mais aucune somme n'est présentement promise. La valeur totale des travaux a été raportée à l'article 4.6.</t>
  </si>
  <si>
    <t>Cap-Santé</t>
  </si>
  <si>
    <t>X0009241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</si>
  <si>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2020-2021: FIMEAU, Renouvellement de conduites + estimation de la TECQ 19-23 (ponceau d'eaux pluviales estimé à 450 000$ et 130 000$ pour les travaux au poste de pompage PP7).</t>
  </si>
  <si>
    <t>Ste-Térèse</t>
  </si>
  <si>
    <t>X0008557-1</t>
  </si>
  <si>
    <t>GOLF</t>
  </si>
  <si>
    <t>X0008557-2</t>
  </si>
  <si>
    <t>Carignan - Bellerive</t>
  </si>
  <si>
    <t>X0008556</t>
  </si>
  <si>
    <t>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</si>
  <si>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 4.1 : Programme FIMEAU + TECQ19-23</t>
  </si>
  <si>
    <t>Carleton-sur-Mer</t>
  </si>
  <si>
    <t>X0009000</t>
  </si>
  <si>
    <t>Art 2.1 : Étant donné que l’objectif de l’indice de fuite dans les infrastructures n’est pas atteint pour le réseau Carleton-sur-Mer,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conformément à la résolution 20-11-186.</t>
  </si>
  <si>
    <t>Art.1.4 : Les frais d'administration générale ont été estimés avec une valeur de 15 % des charges avant amortissement (article 1.1).
Art. 4.1 à 4.3 : Les subventions proviennent de la TECQ. Les travaux prévus sont les suivants:
2021 : Réfection égout rue Penouil &amp; Montagne. Valeur: 270 000$. Financement: TECQ
2021 : Réfection aqueduc et égout camping. Valeur: 600 000$. Financement: TECQ (330 000 $) et emprunt (270 000 $)
2021-2022 : Réfection aqueduc et égout route 132. Valeur: 50 000$ par année. Financement: TECQ
2023 : Réfection égout rue Jean-Landry. Valeur: 1 200 000$ . Financement : TECQ (960 000$) et emprunt (240 000$). 
Art. 4.5 à 4.8 : La municipalité prévoit un règlement d'emprunt. Les travaux prévus sont les suivants:
2021 : Achat compteurs d'eau. Valeur: 150 000$ . Financement: Emprunt 
Dans le PTI de la municipalité, les travaux de 2023 sont subventionnés à 100%, mais avec les autres travaux, le montant de maximal de la TECQ 19-23 est atteint. La balance des travaux est compté dans un règlement d'emprunt car aucune lettre de promesse n'a été donnée à la municipalité pour d'autres programmes de subventions.</t>
  </si>
  <si>
    <t>Système de distribution eau potable Causapscal</t>
  </si>
  <si>
    <t>X0009895</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</si>
  <si>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conformément à la résolution 2020-10-256.</t>
  </si>
  <si>
    <t>Art.1.4 : Les frais d'administration générale ont été estimés avec une valeur de 15 % des charges avant amortissement (article 1.1).
Art.4.1 et 4.5 : Les subventions proviennent de la TECQ et du FIMEAU. 
4.1 (2019-2020)- TECQ 2019-2023 pour les remplacement des conduites sur les rue D'Anjou et Belzile,4.1 et 4.2 (2021) Remplacment des conduite rue St-Jean Baptiste (FIMEAU) 4.5: TECQ 2019-2023 pour l'ajout d'un surpresseur dans le secteur de la rue St-Jean-Baptiste. 4.7: (2019) prolongement des services rue Garon, 4.7: (2020)Prolongement des services rue Tremblay</t>
  </si>
  <si>
    <t>Desbiens</t>
  </si>
  <si>
    <t>Chambord</t>
  </si>
  <si>
    <t>X0009965</t>
  </si>
  <si>
    <t>Art 2.1 : Étant donné que l’objectif de l’indice de fuite dans les infrastructures n’est pas atteint pour le réseau X0009965,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est requise d'ici le 1er septembre 2021.</t>
  </si>
  <si>
    <t>Chandler-Pabos</t>
  </si>
  <si>
    <t>X0009072</t>
  </si>
  <si>
    <t>Newport-Pabos-Mills</t>
  </si>
  <si>
    <t>X0009076</t>
  </si>
  <si>
    <t>Art 2.1 : Étant donné que l’objectif de l’indice de fuite dans les infrastructures n’est pas atteint pour les réseaux Chandler-Pabos et Newport-Pabos-Mills, ces derniers doivent être auscultés à 200 % pour le 1er septembre 2021.
Art 4.1 : Étant donné que la valeur d'au moins un des indicateurs de performance dépasse l’objectif depuis 2015, l’installation de compteurs d’eau dans tous les immeubles non résidentiels (Industries, Commerces et Institutions), les immeubles mixtes ciblés, les immeubles municipaux et sur un échantillon de 60 immeubles résidentiels était requise d'ici le 1er septembre 2020 conformément à la résolution 191007.384. La municipalité n'a pas installé les compteurs d'eau, mais a débloqué les fonds nécessaires afin de les acheter via le règlement d'emprunt numéro V-238-2021. Le MAMH reconnait l'avancement de la municipalité dans le dossier. L'installation des compteurs devra être réalisée avant le 1er septembre 2021.</t>
  </si>
  <si>
    <t xml:space="preserve">Art.1.3 : Le remboursement de la dette 2019 a été estimé en utilisant la proportion (Remboursement de la dette / Frais de financement) du bilan 2018.
Art.1.4 : Les frais d'administration générale ont été estimés avec une valeur de 15 % des charges avant amortissement (article 1.1).
Art.2.1 : La municipalité s'est doté d'une forme de tarification volumétrique. Celle-ci n'étais pas encore en vigueur au moment de la fin de l'exercice financier 2019. Des valeurs seront indiquées à cet article dans les prochains bilans.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2023 : Mise aux normes eaux usées Newport (12M$) et poste de pompage Pabos (4M$). Présentement, aucune source de financement n'a été déterminé. </t>
  </si>
  <si>
    <t>Ville de Chapais</t>
  </si>
  <si>
    <t>X0008345</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</si>
  <si>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Chapais,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Tout les compteur d'eau pour la partie résidentiel ont été acheter en 2020. Nous sommes à mettre à jour notre réglementation municipal pour les compteur d'eau et ensuite les relevé en vue de leurs installations sera réalisé en 2021 (résidentiel) et commercial au cours des 3 prochaines années.</t>
  </si>
  <si>
    <t>Art.1.4 : Les frais d'administration générale ont été estimés avec une valeur de 15 % des charges avant amortissement (article 1.1).
Art.4.1 et 4.5 : Les subventions proviennent de la TECQ. Le financement de la TECQ pour les infrastructures d'eau a été estimé à 25%. La municipalité est en attente du plan directeur pour une meilleure planification des travaux</t>
  </si>
  <si>
    <t>Charrette</t>
  </si>
  <si>
    <t>X0008543</t>
  </si>
  <si>
    <t>Art.1.2 : La municipalité peut constater à certaines occasions que le réservoir déborde. Ceci arrive seulement lorsqu'il y a un autre problème dans la municipalité (par exemple, une pompe brisée, etc.)
Art.3.2 - Option 8 : La réserve financière dédiées aux infrastructures d'eau était vide en 2019.</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</si>
  <si>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
Le financement de la TECQ 24-28 pour les infrastructures d'eau a été estimé à 15%.
Art.4.1 :
2019-2020 : Déphosphatation (TECQ 19-23)
Art.4.5 : 
2021 : Prolongement égouts rue des Mélèzes, Flambeaux, Armand-A.-Samson, Réal (FIMEAU + Emprunt)
2024-2028 : Construction d'une nouvelle conduite d'amenée (Pour l'instant, une estimation de 15% de la TECQ 24-28 a été mise pour ces travaux.)
</t>
  </si>
  <si>
    <t>Art.3.3 : L’eau est exportée vers Saint-Sévère (51030).</t>
  </si>
  <si>
    <t>Charlemagne (par Montréal) [13425442]</t>
  </si>
  <si>
    <t>Art 2.1 : Étant donné que l’objectif de l’indice de fuite dans les infrastructures n’est pas atteint pour le réseau 13425442,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</si>
  <si>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72%.
</t>
  </si>
  <si>
    <t>Châteauguay</t>
  </si>
  <si>
    <t>X0010090</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</si>
  <si>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2021.
Art 2.1 : Étant donné que l’objectif de l’indice de fuite dans les infrastructures n’est pas atteint pour le réseau X0010090, ce dernier doit être ausculté à 200% pour le 1er septembre 2021.</t>
  </si>
  <si>
    <t>Château-Richer</t>
  </si>
  <si>
    <t>X0008997</t>
  </si>
  <si>
    <t>Art 4.1: Si la municipalité dépasse un des objectifs dans les prochains bilans, l’installation de compteurs d’eau dans tous les immeubles non résidentiels (Industries, Commerces et Institutions), les immeubles mixtes ciblés, les immeubles municipaux et sur un échantillon de 60 immeubles résidentiels sera requise progressivement dans un délai de trois ans.</t>
  </si>
  <si>
    <t xml:space="preserve">Section 4: 
2020: Renouvellement de conduites = 1 044 110 $ (TECQ 19-23) + 2 394 318 $ (FIMEAU) + 598 581$ (Emprunt)
2021 : Renouvellement de conduites = 671 520 $ (TECQ 19-23) + 1 361 706 $ (Emprunt)
</t>
  </si>
  <si>
    <t>Chelsea - Centre-Village</t>
  </si>
  <si>
    <t>X2114025</t>
  </si>
  <si>
    <t>Art 4.1: La Municipalité exige l'installation d'un compteur d'eau pour tous ses utilisateurs (commercial et résidentiel).
Art 2.1 : Étant donné que l’objectif de l’indice de fuite dans les infrastructures n’est pas atteint pour le réseau,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</si>
  <si>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4.2:  L'emprunt sera appliqué au budget pour les travaux de réhabilitation.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</si>
  <si>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Chénéville</t>
  </si>
  <si>
    <t>X0009567</t>
  </si>
  <si>
    <t xml:space="preserve">Art 2.2 Le délai de 14 jours coté public résulte d'un cas exceptionnel, la fuite se trouvait sur route du ministère. Ainsi les délais ont été plus longs du fait de la planification plus compliquée et la circulation abondante sur cet axe. 
À l'inverse le délai de 4 jours côté privé s'explique du fait que dès que la fuite est trouvée, l'eau est fermée pour inciter le citoyen a réparé au plus vite.
</t>
  </si>
  <si>
    <t>Art 2.1 : Étant donné que l’objectif de l’indice de fuite dans les infrastructures n’est pas atteint pour le réseau Chénéville,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2023.</t>
  </si>
  <si>
    <t>Art 1.3 :  Le remboursement de la dette est un montant qui est subventionné par la taxe d'accise.
Art.1.4 : Les frais d'administration générale ont été estimés avec une valeur de 15 % des charges avant amortissement (article 1.1).
Art.4.1 et 4.5 : Les subventions proviennent de la TECQ.
Le financement de la TECQ pour les infrastructures d'eau a été estimé à 95%.</t>
  </si>
  <si>
    <t>Art 2.1 : La population desservie correspond à celle identifié dans l'onglet Audit de l'eau.</t>
  </si>
  <si>
    <t>Village</t>
  </si>
  <si>
    <t>X0008547</t>
  </si>
  <si>
    <t>La municipalité a adopté un règlement sur l'installation des compteurs d'eau pour tous les immeubles non résidentielles et les multilogement connectés au réseau d'aqueduc du village. L'achat des compteurs d'eau devait se faire en 2020, par contre, étant donné la situation du COVID-19, l'achat et l'installation ont été repoussés à 2021.</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</si>
  <si>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2.1 : Étant donné que l’objectif de l’indice de fuite dans les infrastructures n’est pas atteint pour le réseau Chertsey,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</si>
  <si>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19-23 pour les infrastructures d'eau provient de la programmation.
Le financement de la TECQ 24-28 pour les infrastructures d'eau a été estimé à 35%.</t>
  </si>
  <si>
    <t>Chesterville</t>
  </si>
  <si>
    <t>X0010447</t>
  </si>
  <si>
    <t xml:space="preserve">Art.1.3 : Le remboursement de la dette 2019 a été estimé en utilisant la valeur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du FEPTEU et du PIQM. 
</t>
  </si>
  <si>
    <t>Chibougamau</t>
  </si>
  <si>
    <t>X0008262</t>
  </si>
  <si>
    <t>Art 2.1 : Étant donné que l’objectif de l’indice de fuite dans les infrastructures n’est pas atteint pour le réseau Chibougamau,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</si>
  <si>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Art.1.4 : Les frais d'administration générale ont été estimés avec une valeur de 12 %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100%.
Art.4.1 : Renouvellement des infrastructures d'eau potable, d'eaux usées et de voirie et séparation du collecteur principal de la 3e Rue (Secteur Transition) (TECQ 19-23 complet + Emprunt)
Art.4.2 : 
2021 - Réfection de la station des eaux usées (Emprunt)
2021- 2022 - Réfection de l'usine d'eau potable (1 million en 2021 et 6 millions en 2022) (Emprunt)
Art.4.3 : Réfections des postes de pompages en 2020-2021 (Paiement comptant)
Art.4.5 :
2024 - LOT 1C : 6e Rue de Henderson à Dubuc (possibilité d'utiliser la prochaine TECQ + Emprunt)
Art.4.6 :  
2019 - Lot 1A : Rue Dubuc et émissaire pluvial du ruisseau David (Emprunt)
2021- Lot 3 : Rue O'Connell et 4e Rue Ouest (Emprunt)
Art.4.7 : Programme d'installation de compteurs d'eau (Paiement comptant)</t>
  </si>
  <si>
    <t>Art 3.3: Le per capitat est très élevé car les résidents laissent couler l'eau l'hiver</t>
  </si>
  <si>
    <t>Clermont</t>
  </si>
  <si>
    <t>X0008561</t>
  </si>
  <si>
    <t>Art.4.1 : La municipalité a installé 2 compteurs non résidentiels et 25 compteurs résidentiels depuis le dernier bilan.</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</si>
  <si>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dépassait l’objectif à tous les bilans depuis 2014, l’installation de compteurs d’eau dans tous les immeubles non résidentiels (Industries, Commerces et Institutions), les immeubles mixtes ciblés, les immeubles municipaux et sur un échantillon de 60 immeubles résidentiels était requise d'ici le 1er septembre 2020. La municipalité a réalisé une partie de l'installation au 1er septembre 2020 et doit compléter l'installation des compteurs d'ici le 1er septembre 2021.</t>
  </si>
  <si>
    <t>Art.1.4 : Les frais d'administration générale ont été estimés avec une valeur de 15 % des charges avant amortissement (article 1.1).
Art.4.1 : Les subventions proviennent de la TECQ et du FIMEAU.</t>
  </si>
  <si>
    <t>Compton</t>
  </si>
  <si>
    <t>Beaulieu</t>
  </si>
  <si>
    <t>X0009292</t>
  </si>
  <si>
    <t xml:space="preserve">Art.1.4 : Les frais d'administration générale ont été estimés avec une valeur de 15 % des charges avant amortissement (article 1.1).
Art. 2.5 : La taxe foncière sur la valeur a été estimée afin d’obtenir un excédent de 21 564$ entre les revenus et le coût de fonctionnement. Cet excédent a été ajouté à la réserve financière dédiée aux infrastructures d’eau, amenant le solde de la réserve à 82 644$ à la fin de l’année 2019.
Art.4.1 et 4.5 : Les subventions proviennent de la TECQ. Le financement de la TECQ pour les infrastructures d'eau a été estimé à 80%.
</t>
  </si>
  <si>
    <t>Contrecoeur</t>
  </si>
  <si>
    <t>X0010035</t>
  </si>
  <si>
    <t>Art 4.1 : PRIMEAU-2.0 - Remplacement des conduites de la rue Saint-Antoine et TECQ 14-18.</t>
  </si>
  <si>
    <t>Cookshire</t>
  </si>
  <si>
    <t>X0009313</t>
  </si>
  <si>
    <t>Sawyerville</t>
  </si>
  <si>
    <t>X0009320</t>
  </si>
  <si>
    <t>Johnville</t>
  </si>
  <si>
    <t>X0010142</t>
  </si>
  <si>
    <t>Art 2.1 : Étant donné que l’objectif de l’indice de fuite dans les infrastructures n’est pas atteint pour les réseaux Cookshire et Sawyerville, ces derniers doivent être auscultés à 200 %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</si>
  <si>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
Le financement de la TECQ pour les infrastructures d'eau a été estimé à environ 60%.
2019 -2020 : Construction d'une nouvelle station d'épuration pour le secteur Johnville (PRIMEAU)
2020- 2028 : Utilisation de la TECQ pour réduire le déficit de maintien d'actifs. </t>
  </si>
  <si>
    <t>Parc industriel</t>
  </si>
  <si>
    <t>Art.2.5 : La taxe foncière sur la valeur a été estimée afin d'équilibrer minimalement les revenus affectés aux services d'eau (article 2.7) et le coût de fonctionnement des services d'eau (article 1.5) de façon à ne pas créer de déficit.
Art 4.1 : TECQ 14-18.</t>
  </si>
  <si>
    <t>Côte-Saint-Luc - Atwater et Charles-J. Des Baillets</t>
  </si>
  <si>
    <t>X2084741</t>
  </si>
  <si>
    <t>Mettre en place les SRP</t>
  </si>
  <si>
    <t>Art 2.1 : Étant donné que l'objectif de pertes d'eau n'est pas atteint pour le réseau, ce dernier doivent être ausculté à 200 % d'ici le 1er septembre 2021, date limite pour nous transmettre le Bilan 2020.
Aussi, nous vous demandons de réaliser un contrôle actif des fuites par l'intermédiaire d'une écoute sur un échantillon de 90 robinets d'arrêt accessibles d'ici le 1er septembre 2022.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2022.</t>
  </si>
  <si>
    <t>Investissements 2019 et 2020 : TECQ 2019-2023
Quote-part de Côte-Saint-Luc = 1,397 %</t>
  </si>
  <si>
    <t>Courcelles</t>
  </si>
  <si>
    <t>X0009410</t>
  </si>
  <si>
    <t>Art.4.1 : Il y a 7 branchements de service inactifs sur la rue des Chênes. Il y a une résidence qui n'est pas encore habitée, mais qui est équipée d'un compteur d'eau.</t>
  </si>
  <si>
    <t>Art.1.4 : Les frais d'administration générale ont été estimés avec une valeur de 10 % des charges avant amortissement (article 1.1).
Art.4.1 et 4.5 : Les subventions proviennent du FIMEAU.
Les travaux sont prévus pour éliminer le déficit de maintien d'actif.</t>
  </si>
  <si>
    <t>Cowansville</t>
  </si>
  <si>
    <t>X0008326</t>
  </si>
  <si>
    <t>Étant donné que l’objectif de l’indice de fuite dans les infrastructures n’est pas atteint pour le réseau X0008326, ce dernier doit être ausculté à 200% pour le 1er septembre 2021.</t>
  </si>
  <si>
    <t>Réseau municipal: X0008664</t>
  </si>
  <si>
    <t>X0008664</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</si>
  <si>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du FIMEAU.</t>
  </si>
  <si>
    <t>X0008650</t>
  </si>
  <si>
    <t>Art.4.1: Nombre de branchements different de celui de l'année dernière, il est plus élevé.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20 immeubles résidentiels est requise d'ici le 1er septembre 2022.</t>
  </si>
  <si>
    <t xml:space="preserve">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à75%. L’emprunt pour les infrastructures d'eau a été estimé à 75% du seuil d’immobilisation pour la TECQ.
</t>
  </si>
  <si>
    <t>Dégelis</t>
  </si>
  <si>
    <t>X0008315</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</si>
  <si>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 conformément à la résolution 191018-7259 .
Art 2.1 : Étant donné que l’objectif de l’indice de fuite dans les infrastructures n’est pas atteint pour le réseau Dégelis, ce dernier doit être ausculté à 200% pour le 1er septembre 2021.</t>
  </si>
  <si>
    <t>Art. 1.4 : Les frais d'administration générale sont comptés dans les charges avant amortissement.
Art.4.1 et 4.5 : Les subventions proviennent de la TECQ.
Les investissements réels sont prévus en maintien.</t>
  </si>
  <si>
    <t>X0009810</t>
  </si>
  <si>
    <t>L'installation des compteurs d'eau dans au moins 50% des commerces est prévue d'ici le 31 décembre 2021. 
L'installation des compteurs d'eau dans au moins 20 logements est prévue d'ici le 31 décembre 2021.</t>
  </si>
  <si>
    <t xml:space="preserve">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t>
  </si>
  <si>
    <t>Art 4.5 Prolongement du réseau d’eau potable dans le secteur du chemin des Érables financé par FIMEAU-1.2
Art 4.1 26 % de la TECQ 19-23 seront utilisés pour des infrastructures d'eau</t>
  </si>
  <si>
    <t>Deschaillons</t>
  </si>
  <si>
    <t>X0010690</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</si>
  <si>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</si>
  <si>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La municipalité reçoit de la TECQ, mais n'a pas encore défini quelle portion de cette subvention elle utilisera pour ces infrastructures en eaux. 
</t>
  </si>
  <si>
    <t>Deschambault-Grondines</t>
  </si>
  <si>
    <t>X0010652</t>
  </si>
  <si>
    <t>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</si>
  <si>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4.1: les 4 compteurs d'eau installés dans le secteur non résidentiel appartiennent aux contribuables concernés  (Alcoa, Prométal, Entrepôt HTA, Ferme expérimentale) et non à la municipalité.</t>
  </si>
  <si>
    <t>Art 4.1: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</si>
  <si>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 1.3: Estimation des frais d'administration générale à 15 % des coûts de fonctionnement pour inclure, entre autres, les salaires du personnel administratif pour leur temps alloué aux services d'eau.
Art.2.5 : La taxe foncière sur la valeur a été estimée afin d'équilibrer minimalement les revenus affectés aux services d'eau (article 2.7) et le coût de fonctionnement des services d'eau (article 1.5) de façon à ne pas créer de déficit.
Section 4: Aucun travaux prévu dans les 10 prochaines années pour les infrastructures d'eau autre que de l'entretien. Une prolongation du réseau d'eau potable est envisagée, mais la date des travaux et le mode de financement ne sont pas encore établis.
</t>
  </si>
  <si>
    <t>Deux-Montagnes</t>
  </si>
  <si>
    <t>X0009543</t>
  </si>
  <si>
    <t xml:space="preserve">Section 2: la recherche de fuite se fait occasionnellement à chaque fois que le débit à l'usine dépasse un certain seuil. Tout de suite, l'écoute des poteaux d'incendie est réalisée jusqu'à trouver la fuite et la réparer. Un pourcentage de 75% de la longueur totale du réseau a été considéré.
Il est conseillé de faire de la recherche de fuites plus souvent, et cela même au niveau des robinets d'arrêts pour éliminer l'hypothèse des fuites dans les entrées de service. En effet, la mesure d'un an avec les compteurs d'eau sera disponible pour 2021. Pour le bilan 2020, le problème sera le même (pas de lecture de compteurs d'eau et une méthode de débit de nuit qui donne des PER très élevé).
Art 2.3: La pression à l'usine est de 75 PSI donc celle-ci ne dépasse pas 85 PSI.
Art 4.1: il a été récemment découvert qu'un bâtiment non résidentiel (pépinière située sur la frontière de la ville) n'était pas équipé de compteur, il le sera l'an prochain. De plus, il n'y a pas eu d'avancement pour l'installation des compteurs d'eau du secteur résidentiel, le dossier s'était perdu, mais les compteurs sont acheté, les factures sont disponibles, ils doivent seulement être prélevés pour avoir des lectures sur ces derniers aux prochains bilans. Par ailleurs, il y a 98 Branchements non résidentiels qui desservent 129 unités non résidentielles.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</si>
  <si>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L'installation doit être réalisée le plus rapidement possible afin d'avoir des mesures pour toute l'année 2021. Les lectures de tous les compteurs devraient être faites durant la première semaine du mois de janvier de chaque année.
Il est conseillé de faire de la recherche de fuites plus souvent et cela même au niveau des robinets d'arrêts pour éliminé l'hypothèse des fuites dans les entrées de services.</t>
  </si>
  <si>
    <t xml:space="preserve">Art.1.4 : Les frais d'administration générale ont été estimés avec une valeur de 15 % des charges avant amortissement (article 1.1).
Art. 2.5 : La taxe foncière sur la valeur a été estimée afin d’obtenir un excédent de 40 000 $ entre les revenus et le coût de fonctionnement. Cet excédent a été ajouté à la réserve financière dédiée aux infrastructures d’eau (réserve pour vidange des bassins d'eaux usées) amenant le solde de la réserve à 291 735$ à la fin de l’année 2019.
</t>
  </si>
  <si>
    <t>Installation de distribution Disraeli</t>
  </si>
  <si>
    <t>X0009101</t>
  </si>
  <si>
    <t xml:space="preserve">La Ville de Disraeli vous confirme son plan concernant la stratégie d’eau potable pour l’année 2021 et suivantes.
2021 :  
a) la Ville procèdera à la seconde et dernière phase des vérifications des entrées de service 
b) Nous procèderons à l’installation des compteur d’eau pour les immeubles non résidentiels pour  le 1er septembre 2021
Pour les compteurs pour la partie résidentielle nous la reporterons à l’année 2022 (échantillonnage)  après l’analyse des résultats obtenus suite aux différentes interventions réalisées.
Nous voulons apporter au Ministère le fait que la Ville maintient un investissement t annuel important depuis quelques années afin de rencontrer les exigences de la stratégie.
• Nouvelle usine d’eau potable en 2017 près de 6 000 000 $
• Rues municipales en 2018 (Aqueduc et égout)  1 000 000 $
• Six  nouvelles rues au printemps 2021  (aqueduc et égout) près de 6 000 000. $
</t>
  </si>
  <si>
    <t xml:space="preserve">Art 2.1 : Concernant les programmes de contrôle actif des fuites : Étant donné que l'objectif de pertes d'eau n'est pas atteint pour le réseau de distribution Disraeli, ce dernier doit être ausculté à 200 % de sa longueur équivalente d'ici le 1er septembre 2021, date limite pour nous transmettre le Bilan 2020.
Art 4.1 : Concernant les compteurs d'eau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2022.
</t>
  </si>
  <si>
    <t>Village de Dixville</t>
  </si>
  <si>
    <t>X0008481</t>
  </si>
  <si>
    <t xml:space="preserve">Art 4.1 : 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
</t>
  </si>
  <si>
    <t xml:space="preserve">Section 4 : La municipalité ne prévoit pas d'emprunts, Par contre, la valeur ($) des subventions seront indiquées une fois confirmées. </t>
  </si>
  <si>
    <t>Dolbeau</t>
  </si>
  <si>
    <t>X0011533</t>
  </si>
  <si>
    <t>Mistassini</t>
  </si>
  <si>
    <t>X0011534</t>
  </si>
  <si>
    <t>Art 2.1 : Étant donné que l’objectif de l’indice de fuite dans les infrastructures n’est pas atteint pour le réseau Dolbeau,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</si>
  <si>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Art.1.4 : Les frais d'administration générale ont été estimés avec une valeur de 15 % des charges avant amortissement (article 1.1).
Art 2.5 : La taxe foncière sur la valeur a été estimée afin d’obtenir un montant de 77 269 $ dans la réserve financière dédiée aux infrastructures d’eau.
Art.4.1 et 4.5 : Les subventions proviennent de la TECQ 14-18 pour les travaux réalisés en 2019 et du FIMEAU pour le renouvellement de conduite.
Le financement de la TECQ pour les infrastructures d'eau a été estimé à 80% pour le renouvellement de conduites.
L’emprunt pour les infrastructures d'eau a été estimé à 80% du seuil d’immobilisation pour la TECQ pour le renouvellement de conduites.</t>
  </si>
  <si>
    <t>Dollard-des-Ormeaux - Pierrefonds</t>
  </si>
  <si>
    <t>X0008973</t>
  </si>
  <si>
    <t>Dollard-des-Ormeaux - Pointe-Claire</t>
  </si>
  <si>
    <t>X2146082</t>
  </si>
  <si>
    <t>Art 3.1 : Étant donné la situation de pandémie de la COVID-19 et les efforts mis en place pour lutter contre sa propagation, les actions prévues ont été reportées à l'année prochaine.</t>
  </si>
  <si>
    <t>Article 4.1 locale: TECQ
Quote-part de DDO = 2,156 %</t>
  </si>
  <si>
    <t>Donnacona</t>
  </si>
  <si>
    <t>X0008211</t>
  </si>
  <si>
    <t>Art 4.1: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</si>
  <si>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 xml:space="preserve">Art.2.5 : La taxe foncière sur la valeur a été estimée afin d'équilibrer minimalement les revenus affectés aux services d'eau (article 2.7) et le coût de fonctionnement des services d'eau (article 1.5) de façon à ne pas créer de déficit.
Section 4: L'ensemble de la TECQ 19-23 sera investis dans les services d'eau (2 604 000$).
Art 4.1: 
Subventions confirmées:
2020:
FIMEAU = 794 600$ (Renouvellement de conduites)
TECQ 19-23 = 220 000$ (Renouvellement de conduites aqueduc, rue Sauvageau)
TECQ 19-23 = 1 528 227$ (Renouvellement de conduites aqueduc et égout, rue Sainte-Anne)
2021:
FIMEAU = 405 680 $ (Renouvellement de conduites)
2022:
TECQ 19-23 = 355 773 $ (Renouvellement de conduites aqueduc et égout, rue Rochon)
Art 4.5: 
Subvention confirmée
2020: TECQ 19-23 = 500 000$ (Prolongement de conduites d'égout, rue Sauvageau)
</t>
  </si>
  <si>
    <t>Dorval</t>
  </si>
  <si>
    <t>Bastien</t>
  </si>
  <si>
    <t>Desjardins</t>
  </si>
  <si>
    <t>Art 1.1.2 : Responsabilité de la Ville de Montréal. Lorsque le volume d'eau exportée au réseau fédéral de l'aéroport sera connu (3 compteurs installés sur 4 - le 4E sera installé en 2020), nous vous transmettrons les données.
Art 1.2 : Responsabilité de la Ville de Montréal.
Art 1.3.1 : Réglementation mise à jour en février 2020 (RCM-79-2020 sur l'usage de l'eau potable). Ce règlement remplace le règlement RCM-33-2010 sur l'arrosage et une partie du règlement RCM-73-2019 sur l'administration des réseaux d'aueduc et d'égouts.
Art 4.1 : La Ville de Montréal installe présentement les compteurs dans les ICI suite à une entente intervenue entre Dorval et MTL (27 installés, 105 dossiers ouverts). L'entente prévoit que l'ensemble des compteurs sera installé le 31 décembre 2021 (sujet à la pause Covid). Dorval a fait la demande à la Ville de Montréal pour qu'elle procède au relevé des compteurs ICI : en attente d'un suivi.
Art 4.2.2 : Projet reporté à cause de la Covid (8 installés et environ 20 volontaires - les autres compteurs seront installés à partir de l'outil aléatoire du MAMH);</t>
  </si>
  <si>
    <t xml:space="preserve">Les montants indiqués dans la section « AGGLOMÉRATION » incluent ceux de la Ville de Montréal et des villes liées. Un fichier séparé présentant les quotes- parts avec les villes liées accompagne ce tableau.
Quote-part Dorval = 3,061 %
Montants totaux  = Montants locaux + (Montants d'agglo * Quote-Part)
Art 2.9 et 2.10 : Il n'y a pas de réserve fiancière locale, mais il y en a une pour l'agglomération.
Art 3 : Compétence d'agglomération - Valeurs déjà retranchées selon la quote-part.
Art 4 : Compétence locale - Section 4 : 2019 coûts réels; 2020 coûts réels et prix de soumission; 2021 @2024 : selon prévisions du PTI.
</t>
  </si>
  <si>
    <t>Réseau de Drummondville</t>
  </si>
  <si>
    <t>X0010739</t>
  </si>
  <si>
    <t>Art.4.1: Nous avons des ICI sans compteurs et plusieurs compteurs non relevés, notre objectif sera d'assurer une relève total des compteurs installés et majorer notre parc de compteurs de façon à obtenir un meilleur pourcentage d'implantation. Nous avons 4 SSC pour un total de 222 logements desservis, notre objectif sera d'augmenter le nombre de SSC pour atteindre 1000 logements et/ou installer des compteurs résidentiels unitaires.</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</si>
  <si>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360 immeubles résidentiels est requise d'ici le 1er septembre 2021. La municipalité a avancé dans l'installation des compteurs au niveau des ICI et a commencé l'installation de SSC pour le secteur résidentiel.
Art 2.1 : Étant donné que l’objectif de l’indice de fuite dans les infrastructures n’est pas atteint pour le réseau de Drummondville, ce dernier doit être ausculté à 200% pour le 1er septembre 2021.</t>
  </si>
  <si>
    <t xml:space="preserve">Art.4.1 et 4.5 : Les subventions proviennent de la TECQ, du PIQM et du PRIMEAU. Le financement de la TECQ pour les infrastructures d'eau a été estimé à 81%. L’emprunt pour les infrastructures d'eau a été estimé à 66% du seuil d’immobilisation pour la TECQ.
Art.4.9. La municipalité est en expension, elle reçoit donc annuellement du financement de promoteurs et des taxes sectorielles pour les divers projets. 
</t>
  </si>
  <si>
    <t>Bishopton</t>
  </si>
  <si>
    <t>X0009363</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</si>
  <si>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60%. La municipalité ne peut inscrire avec confiance les investissements prévus après 2024.
</t>
  </si>
  <si>
    <t>0,0</t>
  </si>
  <si>
    <t>Duhamel (X0009571)</t>
  </si>
  <si>
    <t>X0009571</t>
  </si>
  <si>
    <t>Art. 4.1: En accordance avec ça résolution, la municipalité à installer un compteur dans le bâtiment municipal.  Ce compteur n’a pas été relevé.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2021.</t>
  </si>
  <si>
    <t>La municipalité n’a pas mis à jour son PI, donc ne participe pas dans un programme de financement comme TECQ.</t>
  </si>
  <si>
    <t>Système de distribution d'eau potable - Dupuy</t>
  </si>
  <si>
    <t>X0009739</t>
  </si>
  <si>
    <t xml:space="preserve">Art.2.2 : La municipalité a localisé une fuite sur le branchement de service côté privé durant la période hivernale. Il a fallu attendre cinq mois avant de la réparer, car il n'était pas possible d'accéder à la fuite durant l'hiver. </t>
  </si>
  <si>
    <t>Art 2.1 : Étant donné que l’objectif de l’indice de fuite dans les infrastructures n’est pas atteint pour le réseau Dupuy,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</si>
  <si>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Art.4.1 :
2019 : Nouvelle pompe + réfection de conduites (TECQ)
2023-2024 : Travaux pour réduire le déficit de maintien d'actifs (DMA).
2024-2028 : Travaux pour réduire le DMA et des travaux de maintien d'actifs.
Art.4.5 : 
2021 : Installer un système de télémétrie.</t>
  </si>
  <si>
    <t>Système Durham-Sud</t>
  </si>
  <si>
    <t>X0010033</t>
  </si>
  <si>
    <t>Art 4.1 : 5 branchements inactifs sont considérés dans le secteur résidentiel sans compteurs.</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</si>
  <si>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</si>
  <si>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East Hereford (X0009263)</t>
  </si>
  <si>
    <t>X0009263</t>
  </si>
  <si>
    <t>Art 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</si>
  <si>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 xml:space="preserve">Art.1.4 : Les frais d'administration générale ont été estimés avec une valeur de 5 % des charges avant amortissement (article 1.1).
Art.4.1 et 4.5 : Les subventions proviennent de la TECQ-2014 pour les projets :
-Installation d'une prise d'eau
-Optimisation puits d'eau potable
-Plan d'intervention
</t>
  </si>
  <si>
    <t>Réseau Eastman X0008523</t>
  </si>
  <si>
    <t>X0008523</t>
  </si>
  <si>
    <t>Art 4.1: 10 branchements de services inactifs sont considérés dans le secteur résidentiel.</t>
  </si>
  <si>
    <t>Art 2.1 : Étant donné que l’objectif de l’indice de fuite dans les infrastructures n’est pas atteint pour le réseau Eastman X0008523,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</si>
  <si>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 xml:space="preserve">Art.1.4 : Les frais d'administration générale ont été estimés avec une valeur de 15 % des charges avant amortissement (article 1.1).
Art 2.5 : La taxe foncière sur la valeur a été estimée afin d’obtenir un montant de 8 362 $ dans la réserve financière dédiée aux infrastructures d’eau.
Art 2.9 et 2.10 : Les deux réserves financières nommées "Aqueduc" et "Égouts" ont été considérées.
Art.4.1 et 4.5 : Les subventions proviennent de la TECQ et du FIMEAU.
Le financement de la TECQ pour les infrastructures d'eau a été estimé à 70%.
</t>
  </si>
  <si>
    <t>Estérel</t>
  </si>
  <si>
    <t>X0008817</t>
  </si>
  <si>
    <t>Art 4.1 : 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t>
  </si>
  <si>
    <t xml:space="preserve">Section 1 et 2: chiffres donnés par la municipalité.
Art 2.4: dans le rapport financier, la valeur est 0, dans le tableau (chiffre de la municipalité est différent).
Art 4.1: en 2019: TECQ pour travaux réalisés en 2019 pour alimenter l'Hôtel de Ville et le garage municipal en eau potable et pour les données géométriques. En 2021: TECQ pour rénovation des bâtiments et équipements.
</t>
  </si>
  <si>
    <t>Farnham</t>
  </si>
  <si>
    <t>X0008199</t>
  </si>
  <si>
    <t>Art 4.1 : Étant donné que la valeur d'au moins un des indicateurs de performance dépassait l’objectif en 2018, l’installation de compteurs d’eau dans tous les immeubles non résidentiels (Industries, Commerces et Institutions), les immeubles mixtes ciblés, les immeubles municipaux et sur un échantillon de 60 immeubles résidentiels est requise d'ici le 1er septembre 2022.
Art :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</si>
  <si>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Section 4, ligne 4.1, 4.2 et 4.3, pour les années 2023 et suivantes, on inscrit 0, car la municipalité  ne peut pas déterminer ces montants, cela dépend des revenus et dépenses futures. Section 4, lignes 4.5 à 4.8, pour l'année 2023 et suivantes, on inscrit 0, car la municipalité  ne peut pas déterminer ces montants, cela dépend des revenus et dépenses futures.
Art.4.1 et 4.5 : Les subventions proviennent de la TECQ  pour les travaux: Modification du canal Parshall (entrée d'eau brute), construction d'une nouvelle prise d'eau brute, remplacement du centre de contrôle des moteurs pour usine de filtration et construction d'un réservoir de captage des eaux de lavage.
et du FIMEAU-1.1 pour le renouvellement de conduites</t>
  </si>
  <si>
    <t>Art 2.1: Un Recherche de fuites n’était pas obligatoire en 2019 car la municipalité n’était pas approuvée depuis 2016.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</si>
  <si>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Art.1.4 : Les frais d'administration générale ont été estimés avec une valeur de 15 % des charges avant amortissement (article 1.1).
Section 4 : La municipalité fait partie du TECQ (19-23), mais n’a pas prévue des interventions. Une réévaluation de la mode de financement pour l’année prochaine est prévue.  Les montants dans Section 4 sont mis afin de mieux estimer les subventions dans le futur.  </t>
  </si>
  <si>
    <t>Boilleau</t>
  </si>
  <si>
    <t>X0010173</t>
  </si>
  <si>
    <t xml:space="preserve">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TECQ 14-18 pour le réalisé en 2019
Le financement de la TECQ pour les infrastructures d'eau a été estimé à 10%.
L’emprunt pour les infrastructures d'eau a été estimé à 10% du seuil d’immobilisation pour la TECQ.
</t>
  </si>
  <si>
    <t>Ferme-Neuve</t>
  </si>
  <si>
    <t>X0009311</t>
  </si>
  <si>
    <t>Art.2.5 : La taxe foncière sur la valeur a été estimée afin d'équilibrer minimalement les revenus affectés aux services d'eau (article 2.7) et le coût de fonctionnement des services d'eau (article 1.5) de façon à ne pas créer de déficit.
Art 4.1: tous les montant proviennent de la TECQ 19-23 sauf pour 2020 C'est de la TECQ et du PRIMEAU
Art 4.2: pour 2020 : des travaux sur la 12ieme Rue (environ 2M$) sont prévu et seront payé avec 1 251 730 $ (de FIMEAU) et le reste avec un emprunt.</t>
  </si>
  <si>
    <t>Ville de Fermont</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</si>
  <si>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Fermont, ce dernier doit être ausculté à 200% pour le 1er septembre 2021. La ville n'était pas soumise à la recherche de fuites de 2019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</si>
  <si>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</si>
  <si>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Fortierville</t>
  </si>
  <si>
    <t xml:space="preserve">X0009202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</si>
  <si>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programmation de la TECQ 2019-2023.</t>
  </si>
  <si>
    <t>Fossambault-sur-le-Lac</t>
  </si>
  <si>
    <t>X0009334</t>
  </si>
  <si>
    <t>Art 4.1: 3 nouveaux compteurs seront installés au courant de l'année 202; 2 sur des jeux d'eau et 1 au garage municipal pour mesurer le volume utilisé pour les usages municipaux.</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</si>
  <si>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Les subventions proviennent de la TECQ 2019-2023 et vise le renouvellement de l'émissaire des étangs aérés.</t>
  </si>
  <si>
    <t>Frampton</t>
  </si>
  <si>
    <t>X0009606</t>
  </si>
  <si>
    <t xml:space="preserve">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L’installation de compteurs d’eau dans tous les immeubles non résidentiels (Industries, Commerces et Institutions), les immeubles mixtes ciblés, les immeubles municipaux et sur un échantillon de 20 immeubles résidentiels est requise d'ici le 1er septembre 2022.
</t>
  </si>
  <si>
    <t>Art.1.4 : Les frais d'administration générale ont été estimés avec une valeur de 15 % des charges avant amortissement (article 1.1).
Art 2.2 : Initialement, les tarifications non volumétrique étaient inclues dans les taxes foncières. Pour le calcul, les montants sont inscrits dans la tarification non volumétrique.
Art.2.5 : La taxe foncière sur la valeur a été estimée afin d'équilibrer minimalement les revenus affectés aux services d'eau (article 2.7) et le coût de fonctionnement des services d'eau (article 1.5) de façon à ne pas créer de déficit.
Art.4.1 et 4.5 : Rien n'est prévu pour l'instant.</t>
  </si>
  <si>
    <t>Gaspé</t>
  </si>
  <si>
    <t>X0009055</t>
  </si>
  <si>
    <t>Rivière-au-Renard</t>
  </si>
  <si>
    <t>X0009056</t>
  </si>
  <si>
    <t>SSC mis en palce sur le secteur Gaspé avec environ 200 maisons. Le données n'ont pas été utilisées en 2019. La municipalité prévoit mettre des compteurs tel que demandé d'ici 2022.</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</si>
  <si>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2022.
Art 2.1 : Étant donné que l’objectif de l’indice de fuite dans les infrastructures n’est pas atteint pour les réseaux Gaspé et Rivière-au-Renard, ces derniers doivent être auscultés à 200 %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</si>
  <si>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 
Pour le détail sur les interventions prévues, se référer au PTI de la municipalité.</t>
  </si>
  <si>
    <t>Ville de Gatineau</t>
  </si>
  <si>
    <t>≤ 4,0</t>
  </si>
  <si>
    <t xml:space="preserve">Art 4.2 : Étant donné que la valeur d'au moins un des indicateurs de performance dépasse l’objectif, l’installation de compteurs d’eau dans les immeubles non résidentiels (Industries, Commerces et Institutions), les immeubles mixtes ciblés, les immeubles municipaux et la mise en place des secteurs de suivi de la consommation pour estimer la consommation résidentielle sont requises d'ici le 1er septembre 2024.
Plan de déploiement pour les compteurs d'eau dans le non résidentiel :
- Installation des compteurs d’eau du côté municipal – en cours
- Partenariat avec nos partenaires institutionnels (centre de service scolaire et centre de santé) pour la mise en place de compteurs d’eau – en cours
- Amendement de la règlementation – en cours et nous permettra d’avancer plus rapidement dans les commerces
- Mise en place de compteurs d’eau dans les ICI – en cours
Plan de déploiement des secteurs de suivi de la consommation :
- 4 secteurs ont été ciblés
- 2 secteurs ont été complétés
- Le tout sera complété pour la fin de l’année 2020.
</t>
  </si>
  <si>
    <t>Art.1.4 : Les frais d'administration générale ont été estimés avec une valeur de 15 % des charges avant amortissement (article 1.1).
Art 4.3 : Les montants de 2024 à 2029 ne sont pas connus pour l'instant. Une mise à jour annuelle du tableau sera effectuée au meilleur des connaissances de la municipalité.</t>
  </si>
  <si>
    <t>Girardville</t>
  </si>
  <si>
    <t>X0009859</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</si>
  <si>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</si>
  <si>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14-18 pour 2019 et du FIMEAU pour le renouvellemtn de conduites en 2020.</t>
  </si>
  <si>
    <t>Granby</t>
  </si>
  <si>
    <t>X0009149</t>
  </si>
  <si>
    <t>Art 4.1 : Étant donné que la valeur d'au moins un des indicateurs de performance est plus élevée que la valeur de comparaison correspondante, l’installation de compteurs d’eau dans les immeubles non résidentiels (Industries, Commerces et Institutions), les immeubles mixtes, les immeubles municipaux et sur un échantillon de 380 immeubles résidentiels est requise d'ici le 1er septembre 2021.</t>
  </si>
  <si>
    <t>Section 4 : 
FIMEAU-1.1 : 2020 : 681 565 $ (Qc) et 681 565 $ (Fédéral), 340 783 $ (Granby) ; 2021 : 1 315 420 $ (Qc) et 1 315 420 $ (Fédéral), 657 711 $ (Granby)
PRIMEAU-1.2 : 2019 : 228 000 $ (Qc) et 228 000 $ (Granby) ; 2020 : 10 500 $ (Qc) et 10 500 $ (Granby)
TECQ 14-18 : 2019 : 425 515 $ (Qc)
TECQ 19-23 : 2020 :  14 931 467 $  2021 : 2 632 614 $  2022 : 1 050 000 $  2023 : 450 000 $
Art 4.5 : Une réfection complète de la Centrale de traitement d’eau potable est prévue pour 2025. À cet effet, une subvention de 40 000 000 $ est souhaitée, sur un investissement total estimé de 75 000 000 $.</t>
  </si>
  <si>
    <t>Grande-Rivière</t>
  </si>
  <si>
    <t>X0009994</t>
  </si>
  <si>
    <t>Art.4.1 : 5 Branchements inactifs comptés dans les branchements non résidentiels sans compteurs</t>
  </si>
  <si>
    <t>Art 2.1 : Étant donné que l’objectif de l’indice de fuite dans les infrastructures n’est pas atteint pour le réseau Grande-Rivière, ce dernier doit être ausculté à 200% pour le 1er septembre 2021.
Art 4.1 : Étant donné que la valeur d'au moins un des indicateurs de performance dépassait l’objectif aux bilan 2014 et 2018, l’installation de compteurs d’eau dans tous les immeubles non résidentiels (Industries, Commerces et Institutions), les immeubles mixtes ciblés, les immeubles municipaux et sur un échantillon de 60 immeubles résidentiels est requise d'ici le 1er septembre 2022 conformément à la résolution numéro 034.02-21.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</si>
  <si>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Art.4.5 : Les subventions proviennent du FIMEAU et de la TECQ pour le prolongement conduites. 2 476 800 $ (FIMEAU) + 250 000 $ (TECQ)</t>
  </si>
  <si>
    <t>Art 1.4 : Le nombre de logements et la population sont les mêmes qu’en 2018. L’estimation 2018 du nombre de personnes par logement est utilisée.</t>
  </si>
  <si>
    <t>Grande-Vallée</t>
  </si>
  <si>
    <t>X0009040</t>
  </si>
  <si>
    <t xml:space="preserve">Art 2.1 : Étant donné que l’objectif de l’indice de fuite dans les infrastructures n’est pas atteint pour le réseau Grande-Vallée, ce dernier doit être ausculté à 200% pour le 1er septembre 2021.
Art 4.1 : Étant donné que la valeur d'au moins un des indicateurs de performance dépassait l’objectif aux bilans 2014 à 2018, l’installation de compteurs d’eau dans tous les immeubles non résidentiels (Industries, Commerces et Institutions), les immeubles mixtes ciblés, les immeubles municipaux et sur un échantillon de 20 immeubles résidentiels est requise d'ici le 1er septembre 2022 conformément à l'échéancier détaillé des travaux décrit dans la résolution 2021-0047. </t>
  </si>
  <si>
    <t>Art.1.3 : Le remboursement de la dette 2019 a été estimé en utilisant la proportion (Remboursement de la dette / Frais de financement) du bilan 2018 (10,6 et 10,3 pour l'eau potable et les eaux usées et pluviales, respectivement).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t>
  </si>
  <si>
    <t>Entente avec Price</t>
  </si>
  <si>
    <t>X0009875-X2093208</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</si>
  <si>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</si>
  <si>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100%.</t>
  </si>
  <si>
    <t>Grand-Saint-Esprit</t>
  </si>
  <si>
    <t xml:space="preserve">X0009255 </t>
  </si>
  <si>
    <t>Art 2.2: La réparation rapide côté privé s'explique du fait que la municipalité a réparé elle-même cette fuite.</t>
  </si>
  <si>
    <t xml:space="preserve">Art.1.4 : Les frais d'administration générale ont été estimés avec une valeur de 15 % des charges avant amortissement (article 1.1).
Art. 4.1 : Les subventions proviennent de la TECQ. Le financement de la TECQ pour les infrastructures d'eau a été estimé à 25%. L’emprunt pour les infrastructures d'eau a été estimé à 25% du seuil d’immobilisation pour la TECQ.
</t>
  </si>
  <si>
    <t>Village de Grenville</t>
  </si>
  <si>
    <t>X0009527</t>
  </si>
  <si>
    <t xml:space="preserve">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t>
  </si>
  <si>
    <t>Art.4.1: L'installation des compteurs d'eau dans l'ensemble du secteur non résidentiel et sur au moins 20 branchements de service du secteur résidentiel est requise avant le 1er septembre 2021.</t>
  </si>
  <si>
    <t>Art.2.5 Les taxes foncières ont été calculer de façon à obtenir un excédent de fonctionnement affecté pour l'eau potable de 61 602$ et de 143 543$ pour l'eau usée  (143 543$ = 48 730$  + 94 813$ -voir rapport financier 2019, page S23-1). 
Art.2.6 Les revenus de 2019 relatifs à l'eau, affectés à l'excédent de fonctionnement (valeurs fournies par la municipalité).
Art.2.8 Les excédents accumulés (61 602$ + 48 730$ + 94 813$ = 205 145$)
Art.2.9 et 2.10 Il n'y a pas de réserve financière dédié aux services d'eau pour la municipalité.
Art.3.5 La valeur de 250 000$ est obtenu selon la programmation de la TECQ pour l'année 2020.
Art.4.1 La valeur de 20 000$ à été payé en 2019 selon le PTI et le 25 000 est obtenu selon la programmation de la TECQ pour l'année 2020.
Art.4.1 et 4.5 : Les subventions proviennent de la TECQ.</t>
  </si>
  <si>
    <t>Art.3.3 La consommation non résidentielle a été calculer de la façon suivante: consommation non résidentielle = volume total - (consommation résidentielle estimée + perte d'eau réelles + eau exportée)</t>
  </si>
  <si>
    <t>Grenville sur la Rouge</t>
  </si>
  <si>
    <t>X0009531</t>
  </si>
  <si>
    <t xml:space="preserve">Art 2.1: L'option 2 a été choisie par défaut puisqu'en théorie la RdF est requise. Cependant comme la municipalité compte remplacer des conduites d'eau potable en 2020-2021 alors la recherche de fuites n'est pas obligatoire pour l'instant. Au bilan 2020, le débit de nuit qui sera utilisé pour estimer les pertes sera le débit de nuit d'après remplacement de conduites. Ainsi, si l'objectif de l'IFI est respecté avec le nouveau débit le bilan 2020 pourrait être approuvé même si la recherche de fuites n'a pas été réalisée. Sinon l'approbation du bilan 2020 sera conditionnée en partie par cette recherche de fuites.
Art 4.1: il y a 254 logements et 11 branchements non résidentiels. Cependant, 1 branchement non résidentiel est à moitié un logement et est fermé. Donc il a été indiqué 255 logements, car il n'est pas nécessaire d'installer un compteur d'eau en plus dans ce branchement non résidentiel (à consommation très faible).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</si>
  <si>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Art 2.1 : Étant donné que l’objectif de l’indice de fuite dans les infrastructures n’est pas atteint pour le réseau, ce dernier doit être ausculté à 200% pour le 1er septembre 2021 (voir section5).</t>
  </si>
  <si>
    <t>Art.1.4 : Les frais d'administration générale ont été estimés avec une valeur de 15 % des charges avant amortissement (article 1.1).
Art. 2.5 : La taxe foncière sur la valeur a été estimée afin d’obtenir un excédent de 2148$ entre les revenus et le coût de fonctionnement (comme il est marqué dans le rapport financier). 
Art 3.3 : Le MAR a été modifié en 2020 de façon a ne pas avoir plus d'investissement (Tableau 1 section 4) que de besoin d'investissement (Tableau section 3).
Art 4.2: Remplacements de conduites en fonte grise, travaux sur plusieurs années. Déficit de maintient d'actif était nul lors du dernier plan d'intervention 2016. La source de financement est inconnue, elle a été mis en emprunt par défaut. le 16 000 en plus du 800000 correspond à l'inflation de 2%.</t>
  </si>
  <si>
    <t>X0009831</t>
  </si>
  <si>
    <t>Art 4.1 : mise à jour du décompte des immeubles et logements résidentiels pour l'année 2019 : 152 immeubles unifamiliaux, 1 immeuble de 2 logements, 1 immeuble de 6 logements. Partie non résidentielle : Garage Turcotte et fils, Restaurant du pêcheur, Restaurant Desrosiers, Magasin Général H.Marquis, Entrepôt1, entrepôt 2, entrepôt 3, 1 résidence avec salon de coiffure 1 chaise, bureau de poste, École Monseigneur Ross (fermée)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</si>
  <si>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Selon la planification de la TECQ, les travaux suivants ont été réalisés en 2019 ou sont prévus en 2020.
35 000$ TECQ 19-23 reconstruction mur de protection de la prise d'eau
40 000$ TECQ 19-23 pavage après travaux purges pour nettoyage réseau
125 000$  TECQ 19-23 remplacement segments tronçon I044 et I020 (pluvial)</t>
  </si>
  <si>
    <t>Ham-Nord</t>
  </si>
  <si>
    <t>X0009170</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</si>
  <si>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Les données sur la TECQ 2019 à 2021 sont tirées de la programmation TECQ 19-23.
Remplacement réducteur de pression: Valeur de 300 000$ couvert par FIMEAU (80%) et par la municipalité (20%)</t>
  </si>
  <si>
    <t>Hampstead (Atw-C-J.D.B.)</t>
  </si>
  <si>
    <t>Article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</si>
  <si>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La quote-part de Hampstead est 0,435%
Article 4.1, locale. TECQ</t>
  </si>
  <si>
    <t>Ste-Marie</t>
  </si>
  <si>
    <t>Hatley Acres</t>
  </si>
  <si>
    <t>X0008668</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</si>
  <si>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TECQ 2020- PI et Rdf        Art 4.5 et 4.7: 2021 Télémétrie PP 2022-2023 Bouclage de réseau</t>
  </si>
  <si>
    <t>Hébertville</t>
  </si>
  <si>
    <t>X0008250</t>
  </si>
  <si>
    <t>Art 2.1 : Étant donné que l’objectif de l’indice de fuite dans les infrastructures n’est pas atteint pour le réseau Hébertville,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</si>
  <si>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80%.
L’emprunt pour les infrastructures d'eau a été estimé à 30% du seuil d’immobilisation pour la TECQ.</t>
  </si>
  <si>
    <t>Hébertville-Station</t>
  </si>
  <si>
    <t>X0009835</t>
  </si>
  <si>
    <t>Art 2.1 : Étant donné que l’objectif de l’indice de fuite dans les infrastructures n’est pas atteint pour le réseau,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</si>
  <si>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400 000$.
L’emprunt pour les infrastructures d'eau a été estimé à 200 000$.
</t>
  </si>
  <si>
    <t>Hemmingford</t>
  </si>
  <si>
    <t>X0009063</t>
  </si>
  <si>
    <t xml:space="preserve">La ligne 2.5 inclus une partie des revenus qui provient de la taxes générales. Dans ce cas-ci, l'ensemble de la population a accès au réseau d'égoût et eau potable.  Par conséquent, une partie de la taxes générale a servi a financer les coûts de fonctionnement des services d'eau de l'année.(Eau potable : 34 984$ et Eaux usées et pluviales : 34 670$)
La ligne 2.9 Excédent pour la réserve financière dédiée aux services d'eau inclus un excédent affecté de 61 890$ sur la réserve des boues et un excédent affecté de 121  002 $ qui sera utilisé au refinancement de la dette.
Art.1.4 : Les frais d'administration générale ont été estimés avec une valeur de 15 % des charges avant amortissement (article 1.1).
Art 4.1 : 2019 : TECQ 14-18 et FIMEAU -1,1 : renouvellement de conduites. </t>
  </si>
  <si>
    <t>X0008901</t>
  </si>
  <si>
    <t>Huberdeau</t>
  </si>
  <si>
    <t>X0009561</t>
  </si>
  <si>
    <t xml:space="preserve">Art 2.2 : Campagne de recherche de fuite 2019 effectuée sur 100 % du réseau via une écoute de toutes les bornes incendie. À noter toutefois que plusieurs fuites ont été déclarées et réparées au début de l'année 2020. Il est tout à fait pensable que ces fuites existaient 2019, ce qui pourrait expliquer la hausse de la consommation d'eau annuelle du réseau.   
Art 4.1 : détail des correctifs et mise à jour sur demande
</t>
  </si>
  <si>
    <t>Art 2.1 : Étant donné que l’objectif de l’indice de fuite dans les infrastructures n’est pas atteint pour le réseau, ce dernier doit être ausculté à 200% pour le 1er septembre 2021.
Art 1.2 : Eliminer les fuites et débordements aux reservoirs.</t>
  </si>
  <si>
    <t xml:space="preserve">Section 2, Art 2.2 : Tarification pour le service et l'entretien du réseau : 43 027 $, Tarification  pour le remboursement des emprunts: 36 774 $
Art 4.2 : le 168 545 $ , le 10 694 $ et 4080 correspond à du remplacement de conduite, remplacement de pompes et nettoyage de réservoir respectivement. Le mode de paiement est inconnu. Par défaut il a été mis en emprunt.
Section 4: il y a 10 710 $ présent dans l'onglet intervention (IP) du BI 2019 pour des travaux de maintien divers entre 2020 et 2026. ce montant n'a pas été mis dans la section 4, car il semblerai que ce soit des travaux d'entretien.
</t>
  </si>
  <si>
    <t>Art 3.3 : Valeurs basées sur le fichier Outil de lecture des compteurs d'eau Art 4.2 : Ligne Matériaux incluant le changement de la pompe #2 pour un coût de 8868 $ (taxes non incluses)</t>
  </si>
  <si>
    <t>Joliette (X0008097)</t>
  </si>
  <si>
    <t>X0008097</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</si>
  <si>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2020.</t>
  </si>
  <si>
    <t>Art.1.4 : Les frais d'administration générale ont été estimés avec une valeur de 15 % des charges avant amortissement (article 1.1).
Art 2.5 : La taxe foncière sur la valeur a été estimée afin d’obtenir un montant de 32 669 $ dans la réserve financière dédiée aux infrastructures d’eau.
Art.4.1 et 4.5 : Les subventions proviennent du PRIMEAU, du FIMEAU, et de la programmation TECQ 19-23.
Section 4 : Pour plus de détails voir l'outil BI.</t>
  </si>
  <si>
    <t>Art 2.1 : Les populations de Joliette (21 443 personnes), Notre-Dame-des-Prairies (8 717 personnes) et Saint-Paul (5 066 personnes) sont considérées.
Art 3.3 : L'eau exporté correspond à l'eau exportée à Saint-Thomas. Le reste des répartitions sont faites à partir des bilans de Joliette, Notre-Dame-des-Prairies et Saint-Paul</t>
  </si>
  <si>
    <t>Kamouraska</t>
  </si>
  <si>
    <t>X0010577</t>
  </si>
  <si>
    <t>La municipalité n'avait pas d'obligation de recherche de fuites en 2019. Elle prévoit faire de la recherche de fuite en 2020.</t>
  </si>
  <si>
    <t>Art 2.1 : Étant donné que l’objectif de l’indice de fuite dans les infrastructures n’est pas atteint pour le réseau Kamouraska,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2023. La municipalité a déjà des compteurs sur l'ensemble de ses branchements, mais certains d'entre eux devraient être changés parce qu'ils sont défectueux.</t>
  </si>
  <si>
    <t>Art.1.4 : Les frais d'administration générale ont été estimés avec une valeur de 15 % des charges avant amortissement (article 1.1).
Art.4.1 et 4.5 : Les subventions proviennent de la TECQ et du PRIMEAU.
Un règlement d'emprunt de 3 530 451 $ a été fait en 2019 pour la construction de la nouvelle usine de production d'eau potable. Le prêt a été partiellement couvert avec les subventions suivantes :
TECQ : 341 289$
PRIMEAU 1.1 : 2 103 881 $
PRIMEAU 1.2 : 144 645 $
Un investissement comptant de 150 000$ a été réalisé pour couvrir la fin du montant total des travaux (3 680 451$).</t>
  </si>
  <si>
    <t>Kiamika</t>
  </si>
  <si>
    <t>X0009713</t>
  </si>
  <si>
    <t>Art 2.1 : L'objectif des pertes d'eau était atteint en 2018. Le contrôle actif des fuites à 150 % de la longueur du réseau n'était donc pas obligatoire en 2019.</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</si>
  <si>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2021.
Art 2.1 : Étant donné que l’objectif de l’indice de fuite dans les infrastructures n’est pas atteint pour le réseau Kiamika,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</si>
  <si>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4.3 : Intervention pour enlever les sacs de boue de l'installation de traitement.</t>
  </si>
  <si>
    <t>Kingsey Falls</t>
  </si>
  <si>
    <t>X0008694</t>
  </si>
  <si>
    <t xml:space="preserve">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2.1 : Étant donné que l’objectif de l’indice de fuite dans les infrastructures n’est pas atteint pour le réseau X0008694, ce dernier doit être ausculté à 200% pour le 1er septembre 2021.
</t>
  </si>
  <si>
    <t xml:space="preserve">Art.4.1 et 4.5 : Les subventions proviennent de la TECQ. Le financement de la TECQ pour les infrastructures d'eau a été estimé à 30%. Le paiement comptant pour les infrastructures d'eau a été estimé à 30% du seuil d’immobilisation pour la TECQ.
</t>
  </si>
  <si>
    <t>Kipawa-Tee Lake</t>
  </si>
  <si>
    <t>X0010509</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</si>
  <si>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</si>
  <si>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Kirkland - Pointe-Claire</t>
  </si>
  <si>
    <t>X0008946</t>
  </si>
  <si>
    <t>La Conception</t>
  </si>
  <si>
    <t>X0009614</t>
  </si>
  <si>
    <t xml:space="preserve">L'installation de compteurs d'eau n'est pas requise pour l'instant, mais est recommandée. En effet à l'année où l'un des deux objectifs (IFI ou consommation résidentielle) ne sera pas respecté l'installation des compteurs d'eau sera requise, la municipalité aura un délai de trois ans à partir de cette date pour installer les compteurs d'eau (dans l'ensemble du secteur non résidentiel et un échantillon du secteur résidentiel).
Malgré que l'installation des compteurs n'est pas requise pour l'instant puisque la municipalité ne dépasse aucun des deux objectifs (IFI ou consommation résidentielle), les efforts tels que la sensibilisation et la recherche de fuites sont recommandés afin de ne pas dépasser les objectifs dans les prochaines années.
</t>
  </si>
  <si>
    <t xml:space="preserve">Art.1.4 : les frais d'administration générale ont été ventilés des charges avant amortissement (Art.1.1). Les frais d'administration= 15% (des charges avant amortissement + des frais d'administration générale) . Les valeurs avant ventilation données par la municipalité était: Charge avant amortissement eau potable = 65 782 $, les charges avant amortissement eaux usées et pluviales = 50 593 $ et les charges totales des frais d'administration générale = 0 $ .
Art.4.1 et 4.5 : Les subventions proviennent de la TECQ
Art.4.5 : le 152 000$ provient de la TECQ pour réaliser des travaux de remplacement de conduites et de modification du système d'automate en 2020, le tout à 302 941$ (la valeur pour ces travaux dans le PTI était de 235 000$ d'après la municipalité 309 941$ ).
Art.4.3 : le 157 000$ correspond à 309 000$ (302 941 avec 2% d'inflation) moins le 152 000$ en subventions.
Art.4.1, 4.2 et 4.3 : de 2021 à 2029 la municipalité ne compte pas mettre de côté de l'argent afin de couvrir le maintien d'actif.
</t>
  </si>
  <si>
    <t>La Doré</t>
  </si>
  <si>
    <t>X0009881</t>
  </si>
  <si>
    <t>Art 2.1 : Étant donné que l’objectif de l’indice de fuite dans les infrastructures n’est pas atteint pour le réseau X0009881,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t>
  </si>
  <si>
    <t xml:space="preserve">Art.1.4 : Les frais d'administration générale ont été estimés avec une valeur de 5 % des charges avant amortissement (article 1.1).
Art. 2.5 : La taxe foncière sur la valeur a été estimée afin d’obtenir un excédent de 7 500$ entre les revenus et le coût de fonctionnement. Cet excédent a été ajouté à la réserve financière dédiée aux infrastructures d’eau, amenant le solde de la réserve à 72 537$ à la  fin de l’année 2019
Art.4.1 et 4.5 : Les subventions proviennent de la TECQ19-23 pour la construction du nouveau puits.
Le financement de la TECQ 24-28 pour les infrastructures d'eau a été estimé à 80%.
L’emprunt a été pour les infrastructures d'eau a été estimé à 80% du seuil d’immobilisation pour la TECQ 24-28.
</t>
  </si>
  <si>
    <t xml:space="preserve">Installation de distribution La Durantaye </t>
  </si>
  <si>
    <t>X0008868</t>
  </si>
  <si>
    <t>Art 1.4 : Les frais d'administration générale ont été estimés avec une valeur de 15 % des charges avant amortissement (article 1.1).
Art 2.5 : La taxe foncière sur la valeur a été estimée afin d'équilibrer minimalement les revenus affectés aux services d'eau (article 2.7) et le coût de fonctionnement des services d'eau (article 1.5) de façon à ne pas créer de déficit.
Art 4.5 : Les subventions proviennent de la TECQ et du PRIMEAU. Elles sont réparties comme suit :
- PRIMEAU 1.1 : 70 362 $
- PRIMEAU 1.2 : 926 655 $
- TECQ : 400 000 $</t>
  </si>
  <si>
    <t>La Guadeloupe</t>
  </si>
  <si>
    <t>X0009259</t>
  </si>
  <si>
    <t>Art 4.1 : 48 branchements inactifs.</t>
  </si>
  <si>
    <t>Section 2  Revenus affectés au services d'eau : Afin d'équilibrer les revenus versus les dépenses, la différence à combler a été inscrite au point 2.5 taxe foncière sur la valeur.     Section 4, point 4.2  Les investissements prévue en rattrapage en 2022 sont pour les interventions nécessaires sur les tronçonss #57 et #65 identifiés dans le plan d'intervention.      Les investissements prévus en 2023 seront faits selon les résultats de la mise à jour du plan d'intervention à venir (automne 2020).  Point 4.6 prévision de prolongement de la 18e Avenue en 2022   et développement secteur du Moulin en 2023</t>
  </si>
  <si>
    <t xml:space="preserve">Tableau 3,4 :      -  Désinfection avec filtration. Nous avons inscrit "6 autres systèmes de filtration" : Sur matériaux granulaires avec coagulation.        -  Désinfection sans filtration "7 désinfection seulement" :  Nous avons un adoucisseur: </t>
  </si>
  <si>
    <t>La Macaza</t>
  </si>
  <si>
    <t>X0009668</t>
  </si>
  <si>
    <t>Malbaie (Cap-Malbaie)</t>
  </si>
  <si>
    <t>X0010792</t>
  </si>
  <si>
    <t>Malbaie (Kane)</t>
  </si>
  <si>
    <t>X0010787</t>
  </si>
  <si>
    <t>Malbaie (Pointe-au-Pic)</t>
  </si>
  <si>
    <t>X0010790</t>
  </si>
  <si>
    <t>Malbaie (Sources Joyeuses)</t>
  </si>
  <si>
    <t>X0010789</t>
  </si>
  <si>
    <t>Malbaie (St-Fidèle)</t>
  </si>
  <si>
    <t>X0010793</t>
  </si>
  <si>
    <t>Malbaie (Ste-Agnès)</t>
  </si>
  <si>
    <t>X0010794</t>
  </si>
  <si>
    <t>Certains branchement non résidentiel ne sont pas considérés dans le tableau de la section 4.1 puisqu'il ne sont pas soumis à l'installation de compteurs d'eau
F108 = 103 commerces + 61 mixtes + 9 agricole + 2 industries + 4 institutionnel</t>
  </si>
  <si>
    <t>Art 2.1 : Étant donné que l’objectif de l’indice de fuite dans les infrastructures n’est pas atteint pour les réseaux Cap-Malbaie et Pointe-aux-Pic ces derniers doivent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doit être terminée d'ici le 1er septembre 2021.</t>
  </si>
  <si>
    <t>Art 4.1: Subventions confirmées provenant des programmes FIMEAU, PRIMEAU et TECQ 19-23
Art 4.5: Subvention confirmée porvenant du programme FEPTEU</t>
  </si>
  <si>
    <t>La Minerve</t>
  </si>
  <si>
    <t>X0009639</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</si>
  <si>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2021.</t>
  </si>
  <si>
    <t>La Patrie</t>
  </si>
  <si>
    <t>X0009301</t>
  </si>
  <si>
    <t>Art 4.1 : 2021 Réfection du tronçon rue principal sud et 50% dela TECQ pour 24-28
Art 4.7: Ajout d'un système de ventilation au bâtiment du réservoir d'eau potable.</t>
  </si>
  <si>
    <t>La Pocatière</t>
  </si>
  <si>
    <t>X0008613</t>
  </si>
  <si>
    <t>Pas de purges permanentes</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</si>
  <si>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conformément à la résolution R-151-2020.
Art 2.1 : Étant donné que l’objectif de l’indice de fuite dans les infrastructures n’est pas atteint pour le réseau La Pocatière,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</si>
  <si>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à 4.4 : 
Réalisation 2019 : TECQ 19-23 -&gt; 1 052 678 $ -&gt; Réfection aqueduc &amp; égouts 6e avenue
Prévision 2020 : Paiment comptant -&gt; 54 000 $ -&gt;  Réfection Égout Père Oblats
Art. 4.5 à 4.9:
Réalisation 2019 : TECQ 19-23 -&gt; 23 400 $ -&gt; Travaux entrées aqueduc et égouts et balancement hydraulique
Prévision 2020 : Emprunt -&gt; 100 000 $ -&gt; Achat et pose de compteurs d'eau
Prévision 2022 : FIMEAU -&gt; 2 412 000 $ -&gt; Réaménagement 4e avenue centre ville (reconfiguration des conduites et du quartier, considéré comme de la bonification)
Prévision 2022 : FIMEAU -&gt; 1 624 000 $ -&gt; Ajout égoûts 7e et 8e avenue
Prévision 2022 : Emprunt -&gt; 603 000 $ -&gt; Réaménagement 4e avenue centre ville
Prévision 2022 : Emprunt -&gt; 406 000 $ -&gt; Ajout égoûts 7e et 8e avenue</t>
  </si>
  <si>
    <t>La Prairie</t>
  </si>
  <si>
    <t>X0009096</t>
  </si>
  <si>
    <t>Art 4.1 :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380 immeubles résidentiels est requise d'ici le 1er septembre 2023.</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</si>
  <si>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Se référer à la programmation TECQ et au PTI pour plus d'informations.</t>
  </si>
  <si>
    <t>Régie de l'A.I.B.R.</t>
  </si>
  <si>
    <t>X0008863</t>
  </si>
  <si>
    <t xml:space="preserve">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4.5 : Les subventions proviennent de la TECQ 19-23 pour le réfection de la rue Gagnon. </t>
  </si>
  <si>
    <t>La Reine</t>
  </si>
  <si>
    <t>X0010392</t>
  </si>
  <si>
    <t>Art.1.1.1 : Concernant la vérification de votre débitmètre : La cote associée au volume d’eau produite est de 5 ou moins dans l'Audit de l’eau AWWA pour le réseau : La Reine. La vérification de la précision votre débitmètre sur site, annuellement, augmentera cette cote ainsi que votre résultat de validité de données. De plus, un rapport type de vérification de la précision des débitmètres est disponible sur le site du MAMH.</t>
  </si>
  <si>
    <t>Art. 1.2 : La municialité ne rembourse que les intérêts sur leur rêglement d'emprunt. Le capital a été complètement remboursée par le programme PRIMEAU 1.2.
Art.1.4 : Les frais d'administration générale ont été estimés avec une valeur de 10 % des charges avant amortissement (article 1.1).
Art.4.5 : Les subventions proviennent de la TECQ et du PRIMEAU 1.2.
Les investissements 2019 proviennent de la TECQ 14-18 et du PRIMEAU. Les subvention prévues 2021 proviennent de la TECQ 19-23.</t>
  </si>
  <si>
    <t xml:space="preserve">La Sarre </t>
  </si>
  <si>
    <t>X0010292</t>
  </si>
  <si>
    <t>Art 2.1 : Étant donné que l’objectif de l’indice de fuite dans les infrastructures n’est pas atteint pour le réseau ,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2023.</t>
  </si>
  <si>
    <t>Art.1.3 : Le remboursement de la dette 2019 a été estimé en utilisant la proportion (Remboursement de la dette / Frais de financement) du bilan 2018.
Municipalité fait partie du TECQ, mais rien n’est programmé à date.</t>
  </si>
  <si>
    <t>Art 4.2:  Catégorie Autres:  Assurance.</t>
  </si>
  <si>
    <t>La Tuque</t>
  </si>
  <si>
    <t>La Croche</t>
  </si>
  <si>
    <t>X0009529</t>
  </si>
  <si>
    <t>X0009537</t>
  </si>
  <si>
    <t>X0010733</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</si>
  <si>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LaTuque,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</si>
  <si>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80%.
4.6 : 2019 Usine de traitement des eaux usées secteur Parent (phase 1) 500 000$, subventions ou participation tiers non confirmées, 2020 Usine de traitement des eaux usées secteur Parent (phase 2) 8 600 000$ et prolongenemt résau parc industriel 490 000$, subventions ou participation tiers non confirmées, 2021 Usine de traitement des eaux usées secteur La Croche 5 000 000$ et construction route projetée 895 000$, subventions ou participation tiers non confirmées (PRIMEAU).</t>
  </si>
  <si>
    <t>La Visitation-de-L'Ile-Dupas (X0008752)</t>
  </si>
  <si>
    <t>X0008752</t>
  </si>
  <si>
    <t>La Visitation-de-Yamaska  (X0008867)</t>
  </si>
  <si>
    <t>X0008867</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</si>
  <si>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Art 4.3 et 4.5 : Les subventions proviennent de la TECQ.
Le financement de la TECQ pour les infrastructures d'eau a été estimé à 60%. Ainsi que 60% du seuil d'immobilisation
</t>
  </si>
  <si>
    <t>Labelle</t>
  </si>
  <si>
    <t>X0009631</t>
  </si>
  <si>
    <t>Art 2.1.1. option 1; le débit de nuit planché est connu et tous les matin une personne vérifie les instruments et le débit donc il s'agit bien d'un SSD. L'option 2: À chaque rinçage de réseau il ya de la recherche de fuites complète.
Art 4.1 Les factures des compteurs d'eau sont disponibles, ces derniers seront installés le plus rapidement possible.</t>
  </si>
  <si>
    <t xml:space="preserve">Art.1.4 : Les frais d'administration générale ont été estimés avec une valeur de 15 % des charges avant amortissement (article 1.1).
Art. 2.5 : La taxe foncière sur la valeur a été estimée afin d’obtenir un excédent de 75 524 $(41324 $ eau potable et 34 200 $ eau usées) entre les revenus et le coût de fonctionnement. Cet excédent a été ajouté à la réserve financière dédiée aux infrastructures d’eau, amenant le solde de la réserve à 473 193$ ( 154 382 $ eau potable et 318 811 $ eau usées)à la fin de l’année 2019
Art 4.3: montant pour ''ordinateur'' et ''remplissage des murs'' à l'usine d'eau potable et d'eau usée respectivement.
</t>
  </si>
  <si>
    <t>Larouche</t>
  </si>
  <si>
    <t>X0009563</t>
  </si>
  <si>
    <t>Un SSC est en cours de réalisation et la consommation résidentielle pourra être estimée à partir de l'année 2020,</t>
  </si>
  <si>
    <t>Art 2.1 : Étant donné que l’objectif de l’indice de fuite dans les infrastructures n’est pas atteint pour le réseau Labrecque,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 Un assouplissement est possible avec la mise en place d'un SSC. Celui-ci doit cependant respecter les critères imposés à la date échéance.</t>
  </si>
  <si>
    <t>Art.1.4 : Les frais d'administration générale ont été estimés avec une valeur de 15 % des charges avant amortissement (article 1.1).
Art. 4.1 : Les montants réalisés en 2019 proviennent de la TECQ 14-18
Les coûts des travaux pour les eaux usées n'étant pas encore connus, les sources de financement ne sont pas indiqués. Ces données seront mises à jour au prochain bilan.</t>
  </si>
  <si>
    <t>Village Lac-au-Saumon</t>
  </si>
  <si>
    <t>X0008357</t>
  </si>
  <si>
    <t>Art 2.1 : Étant donné que l’objectif de l’indice de fuite dans les infrastructures n’est pas atteint pour le réseau Lac-au-Saumon, ce dernier doit être ausculté à 200% pour le 1er septembre 2021. Afin de diminuer les PER sur le réseau, il est recommendé de mettre en place une directive pour éliminer ou optimiser les purges permanentes sur le réseau (les purges incluent celles pour contrer le gel, celles assurant une bonne qualité de l’eau ainsi que les fontaines publiques connectées directement sur le réseau) en les remplacement par des purges automatiques. Il est également recommandé d'équiper les purges de compteurs d'eau afin d'estimer leur consommation annuelle d'eau.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L'installation de compteurs d'eau sur les purges du réseau est également recommandée afin d'estimer le volume utilisé par les purges annuellement. La municipalité a mandaté la MRC de Matapédia afin d'aller en appel d'offre pour l'achat des compteurs d'eau avec la résolution 2020-12-207.</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</si>
  <si>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t>
  </si>
  <si>
    <t>Mun du lac Beauport</t>
  </si>
  <si>
    <t>X0009114</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</si>
  <si>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Art.4.7 : Travaux d'agrandissement des trois réseaux prévus en 2021.</t>
  </si>
  <si>
    <t>X0008304</t>
  </si>
  <si>
    <t>Art 2.1 : Étant donné que l’objectif de l’indice de fuite dans les infrastructures n’est pas atteint pour le réseau X0008304,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</si>
  <si>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24-28 pour les infrastructures d'eau a été estimé à 100%.
L’emprunt a été pour les infrastructures d'eau a été estimé à 25% du seuil d’immobilisation pour la TECQ 24-28.</t>
  </si>
  <si>
    <t>Lac-Delage (X0008916)</t>
  </si>
  <si>
    <t>X0008916</t>
  </si>
  <si>
    <t>Art 4.1: Les deux branchements non résidentiels sont le Manoir du Lac-Delage (hôtel) et le bâtiment municipal.</t>
  </si>
  <si>
    <t xml:space="preserve">Section 4.1: 
TECQ (mise à niveau des postes de pompage, mise à niveau station de pompage d'eaux usées (remplacement du panneau de contrôle électrique), Travaux d'amélioration système de dosage d'alun et schéma d'écoulement à l'usine de traitemetn des eaux usées, plan d'intervention aqueduc et égout)
Section 4.2: 
Remplacement pompe Alun, Automate station de pompage patinoire modernisation alarme, compteur d'eau Manoir (2), pompe 20 HP Grande Ligne, Modernisation système alarme station de pompage principal
</t>
  </si>
  <si>
    <t>Lac-des-Aigles</t>
  </si>
  <si>
    <t>X0009731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</si>
  <si>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Aucune intervention prévue.</t>
  </si>
  <si>
    <t>Lac-des-Écorces</t>
  </si>
  <si>
    <t>X0009285</t>
  </si>
  <si>
    <t>Val-Barrette</t>
  </si>
  <si>
    <t>X0009228</t>
  </si>
  <si>
    <t xml:space="preserve">Art 4.1: Le nombre de branchements non résidentiels est passé de 170 en 2018 à 37 en 2019. Alors que le nombre de branchements résidentiels est passé de 593 en 2018 à 513 en 2019. il semblerait qu'il y ait eu une erreur lors du comptage en 2018. Il faut noter qu'il y a beaucoup de branchements mixtes et il se peut que certains aient été comptés deux fois en 2018. Les chiffres de 2019 semblent plus cohérents avec le nombre de logements et la taille de la municipalité. De plus, il y seulement 37 branchements non résidentiels à équiper de compteurs d'eau (selon le tableau 2 de l'onglet aide). Comme il y a des branchements mixtes il se peut que les prochaines années le nombre de branchements non résidentiels augmente mais il ya en 2019, 37 grand consommateurs selon le tableau 2 de l'onglet aide
</t>
  </si>
  <si>
    <t xml:space="preserve">Art 2.1: La recherche (et la réparation) de fuites est recommandé.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Art 4.1: le nombre de grand comsommateur est marqué (qui doivent être équipé de compteurs) le nombre total de branchements non résidentiel est inconnu pour 2019, il le sera pour 2020.
</t>
  </si>
  <si>
    <t>Art.1.4 : Les frais d'administration générale ont été estimés avec une valeur de 15 % des charges avant amortissement (article 1.1).
Art. 2.5 : La taxe foncière sur la valeur a été estimée afin d’obtenir un excédent de 170 301 $ entre les revenus et le coût de fonctionnement. Il n'y a pas de reserve financière.
Art 4.1: Travaux de remplacement des conduites d'aqueduc et d'égouts sur les rue Saint-François et Rue des Saules - Les subventions proviennent de la TECQ19-23 et l'ensemble de l'enveloppe est utilisée en 2020/2021.
Art 4.7: Ajout de 2 Bornes fontaine</t>
  </si>
  <si>
    <t>Lac-Drolet</t>
  </si>
  <si>
    <t>X0009591</t>
  </si>
  <si>
    <t xml:space="preserve">Art.1.3 : Le remboursement de la dette 2019 des eaux usées a été mis à zéro pour correspondre aux frais de financement du rapport financier municipal.
Art.1.4 : Les frais d'administration générale ont été estimés avec une valeur de 15 % des charges avant amortissement (article 1.1).
Art. 2.5 : La taxe foncière sur la valeur a été estimée afin d’obtenir un excédent de 14 753$ entre les revenus et le coût de fonctionnement. Cet excédent a été ajouté à la réserve financière dédiée aux infrastructures d’eau, en plus d'une taxe spéciale de 11 611$.
Art.4.1 et 4.5 : Les subventions proviennent de la TECQ. Le financement de la TECQ pour les infrastructures d'eau a été estimé à 20%.
</t>
  </si>
  <si>
    <t>Ex-ville</t>
  </si>
  <si>
    <t>X0008244</t>
  </si>
  <si>
    <t>Ste-Germaine station</t>
  </si>
  <si>
    <t>X0009629</t>
  </si>
  <si>
    <t>Art 4.1 : Étant donné que la valeur d'au moins un des indicateurs de performance dépasse l’objectif, l’installation de compteurs d’eau dans les immeubles non résidentiels (Industries, Commerces et Institutions), les immeubles mixtes ciblés, les immeubles municipaux et sur un échantillon de 60 immeubles résidentiels est requise d'ici le 1er septembre 2022.</t>
  </si>
  <si>
    <t>Lac Frontière</t>
  </si>
  <si>
    <t>X0009028</t>
  </si>
  <si>
    <t>La muncipalité est en recherche de subvention pour la nouvelle construction de puit artésien dans le but de diminuer encore plus le niveau de consommation.</t>
  </si>
  <si>
    <t>Lachute</t>
  </si>
  <si>
    <t>X0009500</t>
  </si>
  <si>
    <t xml:space="preserve">Art 2.1: il est conseillé de vérifier l'état des compteurs d'eau aux branchements des grands consommateurs (ex: Cascade, Hôpital, etc.), peut-être ces compteurs sous-comptent la vraie consommation et donc suggérerait des pertes d'eau élevée.
Art 4.1 : L'installation de compteur était requise. L'installation n'est pas terminée, mais il y a de l'avancement. Une réglementation a été mise en place en 2018, pour que tous les nouveaux branchements résidentiels soient équipés de compteurs d'eau. En 2019, de nouveaux branchements avec compteurs ont été ajoutés. De plus, d'anciens branchements ont aussi été équipés de compteurs. Un total de 16 branchements correspondant à 65 logements. Il reste encore l'installation de 30 compteurs dans le secteur non résidentiel.
Il faut noter qu'un échantillon de 16 compteurs d'eau résidentiels couvrant 65 logements suggère que des compteurs ont été installés sur des branchements multifamiliaux et donc l'échantillon risque de ne pas être représentatif. Un échantillon représentatif pour le secteur résidentiel est de 60 compteurs d'eau.
Par ailleurs, avant de remarqué qu'il s'agit d'un cas d'import/export il été considéré 400 logements à Brownsburg-Chatham (soit 400 branchements résidentiels en plus qui importent de l'eau) donc à la place de 4060 branchements résidentiel il y avait 4460. Cette donnée doit être reverifier au bilan 2020.
</t>
  </si>
  <si>
    <t xml:space="preserve">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 réseau X0009500, ce dernier doit être ausculté à 200% pour le 1er septembre 2021.
Art 4.1: Il est nécessaire de continuer l'installation et de procéder à la lecture de tous les compteurs d'eau afin d'avoir une meilleure estimation de la consommation résidentielle et des pertes d'eau réelles.
</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</si>
  <si>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les subventions proviennent de la TECQ 19-23. Il y a d'autres programmes de subventions confirmés, mais qui ne sont pas connus. De plus, une portion de la TECQ19-23 sera utilisée dans la bonification, mais elle est inconnue.
</t>
  </si>
  <si>
    <t>Lac-Mégantic</t>
  </si>
  <si>
    <t>X0008080</t>
  </si>
  <si>
    <t>Art.1.4 : Les frais d'administration générale ont été estimés avec une valeur de 10 % des charges avant amortissement (article 1.1).
Art. 2.5 : La taxe foncière sur la valeur a été estimée afin d’obtenir un excédent de 2 692$ entre les revenus et le coût de fonctionnement. Cet excédent a été ajouté à la réserve financière dédiée aux infrastructures d’eau, amenant le solde de la réserve à 100 000$ à la fin de l’année 2019.
4.1 : 2021 Renouvellement de conduites par FIMEAU. La municipalité ne sait pas encore avec confiance la répartition de la TECQ, elle a donc été homise de cette section.</t>
  </si>
  <si>
    <t>Lamarche</t>
  </si>
  <si>
    <t>X0009557</t>
  </si>
  <si>
    <t>Nous avons fermé trois (3) vannes d'eau qui s'écoulaient.</t>
  </si>
  <si>
    <t>Étant donné que l’objectif de l’indice de fuite dans les infrastructures n’est pas atteint pour le réseau X0009557, ce dernier doit être ausculté à 200% pour le 1er septembre 2021.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</si>
  <si>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 xml:space="preserve">Art. 4.1 : TECQ 100% pour l'année 2019. Pour le reste de l'année, la municipalité est en train de planifier les travaux.
</t>
  </si>
  <si>
    <t>Lambton</t>
  </si>
  <si>
    <t>X0010101</t>
  </si>
  <si>
    <t>Art.4.1 : Il y a 17 branchements de services inactifs
Il y a 33 branchements de services saisonniers et 50 branchements de services permanents sans compteurs qui n'étaient pas équipés de compteurs d'eau en 2019, mais ils en ont en 2020.</t>
  </si>
  <si>
    <t>Art.1.4 : Les frais d'administration générale ont été estimés avec une valeur de 7% des charges avant amortissement (article 1.1).
Art.2.2 : La tarification non volumétrique a été estimée à partir du tarif non volumétrique unitaire en 2019. Il a ensuite été extrapolé pour l'ensemble des comptes facturés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PIQM et du FIMEAU.
Art.4.1 : 
2019 : Travaux de réfections sur le secteur Quirion et Giguère (PIQM)
2020 : Travaux tronçon 066 (TECQ) + remplacement de vanne murale (TECQ)
2021 : Mise à jour du plan d'intervention (TECQ) + Travaux de rattrapage sur la rue du collège et la rue bilodeau sur les conduites d'eau potable et celles des eaux usées. (FIMEAU)
Art.4.5 : 
2020 : Raccordement aqueduc de 10 résidences. (PTI -TECQ)
2021 : Montant d'argent prévue pour le prolongement des conduites d'eau pluviales (rue du collège et rue bilodeau). (FIMEAU)
2024 : La municipalité prévoit possiblement l'ajout d'un étang aéré. La date exacte des travaux n'est pas connue. (TECQ)
2025 : La municipalité prévoit possiblement l'ajout d'une prise d'eau. La date exacte des travaux n'est pas connue. (TECQ)</t>
  </si>
  <si>
    <t>Landrienne</t>
  </si>
  <si>
    <t>X0011456</t>
  </si>
  <si>
    <t>Section 4
La municipalité estime que son réseau est en très bon état et ne nécessite pas d'investissement d'ici 2023. Il est prévu en 2023 d'évaluer la modernisation de l'usine de traitement, mais rien n'est encore connu de ce dossier.</t>
  </si>
  <si>
    <t>L'Ange-Gardien</t>
  </si>
  <si>
    <t>X0009004</t>
  </si>
  <si>
    <t>Art.4.1 : Les subventions proviennent de la TECQ et du FIMEAU.
2020: FIMEAU (Renouvellement de conduites)
TECQ 19-23 : Refection voirie, aqueduc et égout</t>
  </si>
  <si>
    <t xml:space="preserve">Réseau municipal </t>
  </si>
  <si>
    <t>X0008662</t>
  </si>
  <si>
    <t>Art 4.1 le nombre de branchements de services non résidentiels n'a pas augmenté en 2019 et seuls les bâtiments municipaux ne sont pas équipés de compteur d'eau . En 2019, il y a eu une augmentation de branchements résidentiels pour un total de 21 logements. A noter toutefois que la facon de calculer implique une baisse du nombre de branchements.</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</si>
  <si>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2.1 : Étant donné que l’objectif de l’indice de fuite dans les infrastructures n’est pas atteint pour le réseau X0008662, ce dernier doit être ausculté à 200% pour le 1er septembre 2021.</t>
  </si>
  <si>
    <t>X0009901</t>
  </si>
  <si>
    <t>Art. 2.2 : La réparation côté privé a été rapide car la fuite n'était pas identifié (côté public ou privé) ce qui explique ce délai court. Les autres réparations ont été plus longues à cause de l'hiver.</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</si>
  <si>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Art 2.1 : Étant donné que l’objectif de l’indice de fuite dans les infrastructures n’est pas atteint pour le réseau X0009901, ce dernier doit être ausculté à 200% pour le 1er septembre 2021.</t>
  </si>
  <si>
    <t>Art.2.5 : La taxe foncière sur la valeur a été estimée afin d'équilibrer minimalement les revenus affectés aux services d'eau (article 2.7) et le coût de fonctionnement des services d'eau (article 1.5) de façon à ne pas créer de déficit.
Art. 4.1 : Programmation de la TECQ 19-23 pour la mise à jour du plan d'intervention et le renouvellement de la conduite d'égout traversant la voie ferrée.</t>
  </si>
  <si>
    <t>L'ascension</t>
  </si>
  <si>
    <t>X0009378</t>
  </si>
  <si>
    <t>NON</t>
  </si>
  <si>
    <t xml:space="preserve">Section 1: La recherche de fuites dans les conduites n'est pas requise, mais est recommandée pour éviter de dépasser l'objectif de fuites (IFI) au bilan 2021. La recherche de fuites au niveau de(s) réservoir(s) est requise.
Section 3: Faire attention aux purges et à la consommation résidentielle (par la sensibilisation) pour ne pas dépasser l'objectif de consommation résidentielle au bilan 2021
Art.4.1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t>
  </si>
  <si>
    <t xml:space="preserve">Art.4.1: Le 250 000$ sert a couvrir les frais de remplcament de la conduite d'eau pluviale dans la rue principale. La source de financement est mal connu (le pourcentage de subvention et de paiement comptant est mal connu), par défaut les cout total des travaux à été mis en subvention. Cette information sera affiné dans les prochaines années. De plus le coût des travaux est aussi mal connu, le 250 000$ est une approximation. 
Art.4.3 : en 2021 et 2022 les coût des travaux prévus dans le Bi, onglet Intervention (IP). Ce sera un paiment comptant.
</t>
  </si>
  <si>
    <t>Ascension</t>
  </si>
  <si>
    <t>X0008362</t>
  </si>
  <si>
    <t>Art. 4.1 : Provient du PRIMEAU et du FIMEAU</t>
  </si>
  <si>
    <t>Ville de l'Assomption</t>
  </si>
  <si>
    <t xml:space="preserve">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Le financement de la TECQ pour les infrastructures d'eau a été estimé à 75%. L’emprunt pour les infrastructures d'eau a été estimé à 75% du seuil d’immobilisation pour la TECQ.
Art.4.5: Les subventions proviennent du FEPTEU. 
</t>
  </si>
  <si>
    <t>Centre villageois (X0009485)</t>
  </si>
  <si>
    <t>X0009485</t>
  </si>
  <si>
    <t>Art.1.3 : Les frais de financement sont inclus dans le montant de la dette remboursé.
Art.1.4 : Les frais d'administration générale ont été estimés avec une valeur de 15 % des charges avant amortissement (article 1.1).
Section 4 :  La municipalité n’a pas encore effectué la programmation de travaux en lien avec la TECQ19-23.
Art 4.2 : Il n y’a pas de subventions confirmés, donc afin de mieux estimer les sources de financement, les besoins de maintien d’actifs se retrouve dans les emprunts.  Une réévaluation de mode de financement est prévue.</t>
  </si>
  <si>
    <t>Laurien Station</t>
  </si>
  <si>
    <t>X0009183</t>
  </si>
  <si>
    <t xml:space="preserve">Laurierville </t>
  </si>
  <si>
    <t>X0009108</t>
  </si>
  <si>
    <t>Art 2.1 : Étant donné que l’objectif de l’indice de fuite dans les infrastructures n’est pas atteint pour le réseau Laurierville (X0009108)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t>
  </si>
  <si>
    <t xml:space="preserve">Art.1.4 : Les frais d'administration générale ont été estimés avec une valeur de 15 % des charges avant amortissement (article 1.1).
Art.4.1 : Les subventions proviennent de la TECQ.
Le financement de la TECQ pour les infrastructures d'eau a été estimé à 37%.
</t>
  </si>
  <si>
    <t>Distribution d'eau potable Laval</t>
  </si>
  <si>
    <t>X0008882</t>
  </si>
  <si>
    <t>Art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est requise d'ici le 1er septembre 2023.</t>
  </si>
  <si>
    <t>à la section 2,9, il s'agit pour Laval d'une taxe spéciale pour infrastructures d'eau potable et usées en plus d'une imposition de droits pour les surverses ainsi que les intérets générés dans l'année par la réserve financière.
Montant des subventions pour les investissements en immobilisations issus des transferts du Gouvernement du Québec (investissements): 3 862 376$
Montant des subventions pour les investissements en immobilisations issus des transferts du Gouvernement du Canada: 10 508 740 $</t>
  </si>
  <si>
    <t>Réseau Lavaltrie</t>
  </si>
  <si>
    <t>X0008670</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</si>
  <si>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2.1 : Étant donné que l’objectif de l’indice de fuite dans les infrastructures n’est pas atteint pour le réseau Lavaltrie , ce dernier doit être ausculté à 200% pour le 1er septembre 2021.</t>
  </si>
  <si>
    <t xml:space="preserve">Art.1.4 : Les frais d'administration générale ont été estimés avec une valeur de 15 % des charges avant amortissement (article 1.1).
Art.4.1 et 4.5 : Les subventions proviennent de la TECQ-2014, du FIMEAU, et du PIQM.
Art.4.2 : La municipalité prévoit de l'emprunt pour couvrir les frais des interventions necessaires
Art.4.8 : La bonificaiton de l'offre en réseau (aqueduc, égoût et pluvial) se réalise dans le cadre d'ententes sur les travaux municipaux.  L'ajout de conduite est payé par l'entrepreneur et recédé à la Ville. </t>
  </si>
  <si>
    <t xml:space="preserve">LAVERLOCHÈRE </t>
  </si>
  <si>
    <t>X0009513</t>
  </si>
  <si>
    <t>Art 2.1 : Étant donné que l’objectif de l’indice de fuite dans les infrastructures n’est pas atteint pour le réseau, ce dernier doit être ausculté à 200% pour le 1er septembre 2021.</t>
  </si>
  <si>
    <t xml:space="preserve">Art.1.4 : Les frais d'administration générale ont été estimés avec une valeur de 15 % des charges avant amortissement (article 1.1).
Section 4 : Les subventions proviennent du TECQ (19-23).  Les montants sont pour la renouvellement des conduites, la toiture, et l'achat des pompes, qu'on peut voir dans le BI.
Art 3.3:  Un montant de 265430 $ a été ajouté au besoins de 2020, afin de équilibrier et mieux estimer l'état financière du reseaux.  
Art. 4.1 : Renouvellement des conduites sur la rue Labelle. 
Art 4.3 : Renouvellement de la toiture de l’usine de traitement. 
Art. 4.1 : Renouvellement des conduites sur la rue Arpin. 
Art. 4.7 : Achat des pompes pour régler les problèmes de pression.
</t>
  </si>
  <si>
    <t>Lejeune</t>
  </si>
  <si>
    <t>X0009950</t>
  </si>
  <si>
    <t>Art 4.1 : Étant donné que la valeur d'au moins un des indicateurs de performance dépassit l’objectif au bilan 2018, l’installation de compteurs d’eau dans tous les immeubles non résidentiels (Industries, Commerces et Institutions), les immeubles mixtes ciblés, les immeubles municipaux et sur un échantillon de 10 immeubles résidentiels est requise d'ici le 1er septembre 2021.</t>
  </si>
  <si>
    <t xml:space="preserve">Art. 1.1 : La municipalité a des charges avant amortissement pour les eaux usées mais n'a pas d'infrastructures d'eaux usées. Ces charges avant amortissement sont attribuables à un programme de vidange des fosses septiques privées de la Régie intermunicipale des déchets du Témiscouata.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
Les montants seront investis en maintien d'actif.
</t>
  </si>
  <si>
    <t>L'Épiphanie (X0008717)</t>
  </si>
  <si>
    <t xml:space="preserve">X0008717 </t>
  </si>
  <si>
    <t>Art 2.1 : Étant donné que l’objectif de l’indice de fuite dans les infrastructures n’est pas atteint pour le réseau L'Épiphanie (X0008717),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</si>
  <si>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3.6 &amp; Art 4.10 : Le pourcentage des investissements par rapport aux besoins d'investissements est élevé. L'estimation des besoins d'investissements et des sources de financement sera raffinée au courant des prochaines années. Ceci s'explique de la municipalité prévoit des interventions intégrées
Art.4.1 et 4.5 : Les subventions proviennent de la TECQ 14-18 et du PIQM.</t>
  </si>
  <si>
    <t>Les Bergeronnes</t>
  </si>
  <si>
    <t>X0009960</t>
  </si>
  <si>
    <t>Art 4.1 : Les logements saisonniers ne sont pas inclus dans ce tableau 
Étant donné que la valeur d'au moins un des indicateurs de performance dépasse l’objectif, l’installation de compteurs d’eau dans tous les immeubles non résidentiels est requise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</si>
  <si>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Voir PTI</t>
  </si>
  <si>
    <t>Les Coteaux</t>
  </si>
  <si>
    <t>X0010776</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</si>
  <si>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</si>
  <si>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Art.1.3 : Les frais d'administration générale ont été estimés à une valeur de 5 % de la somme des charges avant amortissement (article 1.1).
Art.2.5 : La valeur indiquée dans la taxe foncière sur la valeur correspond au montant du "service de la dette' afin d'indiquer les revenus permettant le remboursement de la dette. 
Art.4.1 : Les subventions confirmées e proviennent de la TECQ et du PRIMEAU.
Art 5.1 : Le rapport entre les besoins d'investissement en maintien d'actif régulier et la valeur de remplacement total des actifs est élevé. Ceci s'explique par le besoin de 13 M$ pour l'usine de traitement d'eau potable.</t>
  </si>
  <si>
    <t>Les Éboulements</t>
  </si>
  <si>
    <t>X0008761</t>
  </si>
  <si>
    <t>La Seigneurie</t>
  </si>
  <si>
    <t>X2110332</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</si>
  <si>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Art 2.1 : Étant donné que l’objectif de l’indice de fuite dans les infrastructures n’est pas atteint pour le réseau Les Éboulements,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</si>
  <si>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20%. L’emprunt pour les infrastructures d'eau a été estimé à 20% du seuil d’immobilisation pour la TECQ.
</t>
  </si>
  <si>
    <t>Les Méchins</t>
  </si>
  <si>
    <t>X0010442</t>
  </si>
  <si>
    <t>Art 4.1 : Deux branchements inactifs sont considérés dans le secteur résidentiel sans compteurs.</t>
  </si>
  <si>
    <t>Art 2.1 : Étant donné que l’objectif de l’indice de fuite dans les infrastructures n’est pas atteint pour le réseau Les Méchins,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</si>
  <si>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t>
  </si>
  <si>
    <t>St-Romuald</t>
  </si>
  <si>
    <t>X0008321</t>
  </si>
  <si>
    <t>Charny</t>
  </si>
  <si>
    <t>X0008979</t>
  </si>
  <si>
    <t>≤ 3,2</t>
  </si>
  <si>
    <t>X0010694</t>
  </si>
  <si>
    <t>Section 1,2: La mise en place de la directive est plus complexe que prévu en raison des nombreux réservoirs. L'élaboration est en cours et devrait être complété au début de 2021. 
Section 2,1,1: Un mandat externe a été donné à l'automne 2019 afin d'effectuer l'écoute de l'ensemble des bornes du secteurs Desjardins. L'écoute a également été effectuée à l'interne au cours de l'année 2019, mais nous ne sommes pas en mesure de quantifier ce nombre.. 
La recherche de fuites a aussi été réalisée en 2020. En date du 18 décembre 2020:  Réseau St-Romuald (écouté à 100%) - Réseau Charny (écouté à environ 25%) – Réseau Desjardins (écouté à environ 184%)
Section 2,1,2: L'écoute des 100 robinets d'arrêts est prévu en 2021.
Section 2,2,1: Le nombre de fuite est inférieur à celui de l'an passé puisque qu'en 2018, les bris avait été inclu par erreur dans le calcul. 
Section 3,1(option 2): La Ville a distribué en 2019 un total de 100 trousses d'économie d'eau potable contenant 1 pommeau de douche, 2 aérateur de robinet et un sablier
Section 3,2: La mise en place des directives est plus complexe que prévu. L'élaboration est en cours et devrait être complété au début de 2021. 
Section 4,2,2 : Installation terminé à 85%, fin de l'installation prévu en 2021 (il reste environ 60 compteurs à installer sur les 380 prévus)</t>
  </si>
  <si>
    <t xml:space="preserve">Section 1,4 : Frais d'administration estimé à partir des charges avant amortissement (15% de l'item 1,1)
Section 2,5 : Montant ajusté afin de ne pas créer de déficit ( montants égaux aux lignes 1,5 et 2,7)
Section 3,2: Les valeurs de remplacements ont été révisés selon la mise à jour du plan d'intervention envoyé en août 2020. 
Section 3,3 et 3,4: L'estimation des besoins pour le maintien des actifs et le rattrapage ont été révisés selon la mise à jour du plan d'intervention envoyé en août 2020. 
Section 4: 
Une subvention de la TECQ de 42M$ pour les infrastructures a été considéré de 2024 à 2028, soit 8,4M$ par année. De ce montant, nous avons considéré qu’environ 60% serait pour le renouvellement des infrastructures, soit 5.04M$ par année. 
Les emprunts incluent les investissements reliés au seuil d’immobilisation requis pour avoir accès à la TECQ 19-23 (50 % du seuil d’immobilisation doit aller dans les infrastructures d’eau, soit 32 967 063$)? </t>
  </si>
  <si>
    <t xml:space="preserve">Section 3,3: Nous jugeons que la consommations du secteurs non résidentiel est probablement beaucoup plus élevés que celle indiqué dans le bilan. De nombreux ICI ont des compteurs plus anciens. Ceux-ci sont moins précis et ont tendance à sous-compter. </t>
  </si>
  <si>
    <t>Réseau Isle-aux-coudres</t>
  </si>
  <si>
    <t>X0010747</t>
  </si>
  <si>
    <t>Art 1.3: Remboursement pour 2019 en capital est de 111 703$ (séparé à 50/50 entre l'eau potable et les eaux usées) et remboursement en capital du chemin de la traverse pour 2 industrie est de 25 700$ (eau potable seulement).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Sections 3 et 4: Les installations d'eau potable et d'eaux usées sont très récentes (2005). Il y a très peu d'interventions requises présentement puisque leur état est excellent. Seule une intervention sur la mécanique de l'installation de production est nécessaire en 2020.</t>
  </si>
  <si>
    <t>X0009053</t>
  </si>
  <si>
    <t>Le fonctionnement de l'usine étant à l'origine de nombreuses peres d'eau, il est recommandé d'effectuer des travaux majeurs afin de diminuer les pertes dans la municipalité.
La municipalité est en train de former un comité sur l'environnement.</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</si>
  <si>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Il est recommandé de relever les compteurs d'eau du secteur résidentiel.</t>
  </si>
  <si>
    <t>Art.2.5 : La taxe foncière sur la valeur a été estimée afin d'équilibrer minimalement les revenus affectés aux services d'eau (article 2.7) et le coût de fonctionnement des services d'eau (article 1.5) de façon à ne pas créer de déficit.
Art. 4.1 : Provient du FIMEAU en 2021 pour le renouvellement de conduite.
Provient de la TECQ en 2020 pour une analyse de l'usine de production d'eau.</t>
  </si>
  <si>
    <t>L'Isle-Verte</t>
  </si>
  <si>
    <t>X0008779</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</si>
  <si>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futures proviennent de la TECQ 19-23. Les subventions 2019 proviennent du PIQM.
1 033 919$ : PIQM-2008-1.4 : Mise aux normes des ouvrages d'alimentation en eau
2020-2021 : Fin travaux alimentation eau potable traitement sulfure et manganèse. TECQ 19-23</t>
  </si>
  <si>
    <t>L’estimation 2019 du nombre de personnes par logements de statistique Canada sous-estime la population résidentielle desservie et occupée de façon permanente. Une population de 962 personnes est plus représentative.</t>
  </si>
  <si>
    <t>Longue-Pointe</t>
  </si>
  <si>
    <t>X0009689</t>
  </si>
  <si>
    <t>Étant donné que l’objectif de l’indice de fuite dans les infrastructures n’est pas atteint pour le réseau Longue-Pointe, ce dernier doit être ausculté à 200% pour le 1er septembre 2021.</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</si>
  <si>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</si>
  <si>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chemin du lac des cèdres</t>
  </si>
  <si>
    <t>X0011098</t>
  </si>
  <si>
    <t>Art. 2.2.1 : le délai de plus de 5 jours a été causé par des conditions extérieures difficiles qui empêchaient une réparation rapide.</t>
  </si>
  <si>
    <t>Art 2.1 : Étant donné que l’objectif de l’indice de fuite dans les infrastructures n’est pas atteint pour le réseau du Chemin du Lac des Cèdres,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</si>
  <si>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PRIMEAU : 2 378 624 $ conduite
FCCQ : 8 182 072 $ conduite</t>
  </si>
  <si>
    <t>Lorraine</t>
  </si>
  <si>
    <t>X0008856</t>
  </si>
  <si>
    <t>le volume non-facturé du non-résidentiel va etre controler par des ajouts de compteurs d'eau manquants aux différents batiments et la prise des données.</t>
  </si>
  <si>
    <t>Lorrainville</t>
  </si>
  <si>
    <t>Art.1.4 : Les frais d'administration générale ont été estimés avec une valeur de 15 % des charges avant amortissement (article 1.1).
4.5 prise d'eau  (étude de vulnerabilité de l'eau souterraine)       4.1 replacement du moteur de la soufflante d'eau usée+ entretien pompes eaux usées  4877+ 7672 
Art 4.5 vient du TECQ 
Art 4.1 vient du PPASEP</t>
  </si>
  <si>
    <t>Louiseville</t>
  </si>
  <si>
    <t>X0010618</t>
  </si>
  <si>
    <t>Les compteurs d'eau devaient être installés en 2019.  Toutefois, en raison de la pandémie de Covid-19, nous n'avons pas pu réaliser ce mandat. Une partie des compteurs d'eau a été posé dans le secteur non résidentiels et plus de compteurs sont déjà achetés. Nous avons d'ailleurs écrit un courriel à votre Ministère en ce sens, et ce, en date du 18 mars dernier.  On nous refusait systématiquement l'accès au maison et les commerces étaient, pour la plupart, fermés.  Conséquemment, nous avons néanmoins continuer la préparation du dossier et l'installation des compteurs d'eau sera terminé pour le bilan 2020.</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</si>
  <si>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conformément à la résolution 2020-299.</t>
  </si>
  <si>
    <t>Art. 1.4 : Les frais d'administration générale étaient incluses dans les charges avant amortissement car la gestion des services d'eau est faite entièrement par la Régie d'aqueduc de Grand-Pré. Une ventilation de 10% a été effectuée par rapport à la valeur présente dans le rapport financier.
Art. 2.5 : La taxe foncière sur la valeur a été estimée afin d’obtenir un excédent de 202 907$ entre les revenus et le coût de fonctionnement. Cet excédent a été ajouté à la réserve financière dédiée aux infrastructures d’eau, amenant le solde de la réserve à 876 570$ à la fin de l’année 2019.
Art.4.1 et 4.5 : Les subventions proviennent de la TECQ et du FIMEAU.
Pour plus d'information sur les travaux prévus, se référer au PTI de la municipalité.</t>
  </si>
  <si>
    <t>Les installations de productions présentées dans cet onglet appartiennent à la régie de Grand-Pré et non à la municipalité de Louiseville.
L'eau produite est distribuée aux municipalités suivantes : Maskinongé, Louiseville, Yamachiche, Saint-Léon-Le-Grand, Sainte-Ursule, Saint-Justin, Sainte-Angèle-de-Prémont</t>
  </si>
  <si>
    <t>Lyster</t>
  </si>
  <si>
    <t xml:space="preserve">X0010079 </t>
  </si>
  <si>
    <t>Art 2.2 : La municipalité s'est occupée de la fuite côté privé, d'où un délai court.</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</si>
  <si>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Art.4.1 : Les subventions proviennent de la TECQ 14-18</t>
  </si>
  <si>
    <t>Macamic (X0009729)</t>
  </si>
  <si>
    <t>X0009729</t>
  </si>
  <si>
    <t>Art.1.4 : Les frais d'administration générale ont été estimés avec une valeur de 15 % des charges avant amortissement (article 1.1).
Art.4.1 et 4.5 : Les subventions proviennent de la TECQ.</t>
  </si>
  <si>
    <t>Réseau aqueduc Magog</t>
  </si>
  <si>
    <t>X0008195</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</si>
  <si>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Art.2.2 : Les bris d'aqueduc sont facilement répertoriés, donc la réparation est faite rapidement et les pertes d'eau sont faibles à la municipalité.
Art.4.2 : La municipalité prévoit de terminer l'installation des compteurs d'eau des grands consommateurs du secteur non résidentiel. Elle a présentement 95 volontaires dans le secteur résidentiel pour l'installation des compteurs. La municipalité va aussi regarder l'option de sectorisation (SSC).</t>
  </si>
  <si>
    <t xml:space="preserve">Art.1.4 : Les frais d'administration générale demandés à 1.3 sont inclus aux coûts déclarés à la ligne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du PIQM et du PRIMEAU. Le financement de la TECQ 2024-2028 pour les infrastructures d'eau a été estimé à 80%.
Art 4.2 : Les emprunts à partir de 2023 ont étés estimé par la municipalité.
</t>
  </si>
  <si>
    <t>X0008700</t>
  </si>
  <si>
    <t xml:space="preserve">Art.2.5 : La taxe foncière sur la valeur a été estimée afin d'équilibrer minimalement les revenus affectés aux services d'eau (article 2.7) et le coût de fonctionnement des services d'eau (article 1.5) de façon à ne pas créer de déficit.    
Art.4.2 et 4.3: L’emprunt et le paiement comptant pour les infrastructures d'eau provient de la municipalité pour le maintient d'actif.
</t>
  </si>
  <si>
    <t>X0009365 (Maniwaki)</t>
  </si>
  <si>
    <t>X0009635</t>
  </si>
  <si>
    <t>Art.4.1 : Les subventions proviennent de la TECQ (19-23). 
Art 4.2 : L'emprunt vient du Emissaire King, pour le résaux pluviale.</t>
  </si>
  <si>
    <t>Aqueduc</t>
  </si>
  <si>
    <t>X0009090</t>
  </si>
  <si>
    <t>La municipalité a adopté le règlement numéro 554-20 régissant l'installation de compteurs d'eau des immeubles résidentiels et non-résidentiels le 4 mai 2020. Elle a également adopté les résolutions 101-20 pour l'octroi du contrat de fourniture des compteurs d'eau  et 102-20 pour l'octroi du contrat de service professionnel d'un plombier pour l'installation de compteurs d'eau le 1er juin 2020.</t>
  </si>
  <si>
    <t>Art 2.1 : Étant donné que l’objectif de l’indice de fuite dans les infrastructures n’est pas atteint pour le réseau Maria,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</si>
  <si>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Les investissements sont détaillés par travaux, par année et par sources de financement dans le PTI de la municipalité.</t>
  </si>
  <si>
    <t xml:space="preserve">Ville de Marieville </t>
  </si>
  <si>
    <t>X0008931</t>
  </si>
  <si>
    <t>Marsoui</t>
  </si>
  <si>
    <t>X0009012</t>
  </si>
  <si>
    <t>Art 2.1 : Étant donné que l’objectif de l’indice de fuite dans les infrastructures n’est pas atteint pour le réseau Marsoui,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</si>
  <si>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75%.
L’emprunt pour les infrastructures d'eau a été estimé à 75% du seuil d’immobilisation pour la TECQ.
La planification de la TECQ 2019-2023 n'est pas encore faite. L'argent de la TECQ servira à faire des travaux de ratrappage sur les conduites d'eaux usées et des travaux de maintien sur les infrastructures linéaires.</t>
  </si>
  <si>
    <t>Martinville</t>
  </si>
  <si>
    <t>X0009283</t>
  </si>
  <si>
    <t>Art.1.4 : Les frais d'administration générale ont été estimés avec une valeur de 15 % des charges avant amortissement (article 1.1).
Art 2.5 : La taxe foncière sur la valeur a été estimée afin d’obtenir un montant de 1200 $ dans la réserve financière dédiée aux infrastructures d’eau.
Art.4.1 et 4.5 : Les subventions proviennent de la TECQ et du PAFAM.
En 2020, il y a 330 000 $ qui va être subevntionné par la PAFAM pour le barrage. 170 000 $ va provenir d'un réglement d'emprunt.
En 2021, il est un prologement de 180 m qui sera financé par la TECQ.</t>
  </si>
  <si>
    <t>Mascouche</t>
  </si>
  <si>
    <t>X0008612</t>
  </si>
  <si>
    <t>Art 2.1 : Étant donné que l’objectif de l’indice de fuite dans les infrastructures n’est pas atteint pour le réseau Mascouche,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t>
  </si>
  <si>
    <t xml:space="preserve">Art.1.4 : Les frais d'administration générale ont été estimés avec une valeur de 15 % des charges avant amortissement (article 1.1).
Art.1.2 et Art.1.3 : Les frais de financement sont inclus dans le remboursement de la dette 2019.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Le financement de la TECQ pour les infrastructures d'eau a été estimé à 33%. L’emprunt pour les infrastructures d'eau a été estimé à 33% du seuil d’immobilisation pour la TECQ.
</t>
  </si>
  <si>
    <t>Maskinongé</t>
  </si>
  <si>
    <t>X2001188</t>
  </si>
  <si>
    <t>3,2 option 8 réserve de fonctionnement</t>
  </si>
  <si>
    <t>Art 1.3 : Selon les dossiers de la municipalité, celle-ci n'a aucune dette d'eau potable.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Le financement de la TECQ pour les infrastructures d'eau a été estimé à 10%.</t>
  </si>
  <si>
    <t>Matane</t>
  </si>
  <si>
    <t>X0009848</t>
  </si>
  <si>
    <t>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ou l'installation de secteurs de suivis de la consommation est requise d'ici le 1er septembre 2023.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</si>
  <si>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FIMEAU et du PRIMEAU.</t>
  </si>
  <si>
    <t>Canton Melbourne</t>
  </si>
  <si>
    <t>X0000000</t>
  </si>
  <si>
    <t>Art.2.1 : La municipalité de Richmond effectue une recherche de fuites sur tous les poteaux d'incendies à chaque mois.</t>
  </si>
  <si>
    <t>Art.1.4 : Les frais d'administration générale ont été estimés avec une valeur de 15 % des charges avant amortissement (article 1.1).
Art.2.5 : La taxe foncière sur la valeur a été estimée afin d'équilibrer minimalement les revenus affectés aux services d'eau (article 2.8) et le coût de fonctionnement des services d'eau (article 1.6) de façon à ne pas créer de déficit.
Art.4.1 àArt.4.8 : La municipalité a renouvellé son réseau en 2009, en 2013 et en 2016. Elle ne prévoit pas investir dans ses infrastructures en eau dans les prochaines années.</t>
  </si>
  <si>
    <t>Ville de Mercier</t>
  </si>
  <si>
    <t>X0009624</t>
  </si>
  <si>
    <t>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Étant donné que l’objectif de l’indice de fuite dans les infrastructures n’est pas atteint pour le réseau X0009624,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</si>
  <si>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Metabetchouan</t>
  </si>
  <si>
    <t>X0008042</t>
  </si>
  <si>
    <t>Lac-à-la-croix</t>
  </si>
  <si>
    <t>X0008043</t>
  </si>
  <si>
    <t>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4.1 : Étant donné que l’objectif de l’indice de fuite dans les infrastructures n’est pas atteint pour le réseau X0008042 et X0008043, ces derniers doivent être auscultés à 200% pour le 1er septembre 2021.</t>
  </si>
  <si>
    <t>Art. 4.1 : Provient de la TECQ 19-34; 24 28 (76%)</t>
  </si>
  <si>
    <t>Métis-sur-mer</t>
  </si>
  <si>
    <t>X0009869</t>
  </si>
  <si>
    <t>En plus de faire de l'auscultation aux poteaux incendie sur l'ensemble de son réseau annuellement, la municipalité fait de l'écoute tout contact lorsqu'elle soupsonne une fuite. Elle estime à l'équivalent de 100% de son réseau la recherche tout contact effectuée au courant de l'année.</t>
  </si>
  <si>
    <t>Art 2.1 : Étant donné que l’objectif de l’indice de fuite dans les infrastructures n’est pas atteint pour le réseau Métis-sur-Mer, ce dernier doit être ausculté à 200% pour le 1er septembre 2021.
Art. 4.1 : La municipalité pourrait mieux estimer la consommation des résidences non permanentes et les pertes réelles en installant un échantillon de compteurs d’eau sur les résidences saisonnières et en effectuant des relèves.</t>
  </si>
  <si>
    <t xml:space="preserve">Art.1.4 : Les frais d'administration générale ont été estimés avec une valeur de 15 % des charges avant amortissement (article 1.1).
Art.4.1 et 4.5 : Les subventions proviennent de la TECQ 19-23
Art. 4.1:
Réalisation 2019: 11 970$ réfection de l'émissaire au fleuve
Financement 2020 : 581 400$ réfection de l'émissaire au fleuve
Financement 2021 : 26 825$ Mise à niveau surpresseur
</t>
  </si>
  <si>
    <t>Saint-Benoît</t>
  </si>
  <si>
    <t>X0009438</t>
  </si>
  <si>
    <t>Saint-Janvier</t>
  </si>
  <si>
    <t>X0009439</t>
  </si>
  <si>
    <t>Sainte-Scholastique</t>
  </si>
  <si>
    <t>X0009440</t>
  </si>
  <si>
    <t>Saint-Canut</t>
  </si>
  <si>
    <t>X0009441</t>
  </si>
  <si>
    <t>Saint-Augustin</t>
  </si>
  <si>
    <t>X0009443</t>
  </si>
  <si>
    <t>Saint-Hermas</t>
  </si>
  <si>
    <t>X0009445</t>
  </si>
  <si>
    <t>Mirabel-en-Haut</t>
  </si>
  <si>
    <t>X2103399</t>
  </si>
  <si>
    <t>Domaine Vert-Sud</t>
  </si>
  <si>
    <t>X2123591</t>
  </si>
  <si>
    <t>Domaine Vert-Nord</t>
  </si>
  <si>
    <t>X2124659</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</si>
  <si>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les réseaux Saint-Benoît, Saint-Canut, Saint-Hermas, Mirabel-Haut et Domaine-Vert-Sud, ces derniers doivent être auscultés à 200 % pour le 1er septembre 2021.
Art 4.2 :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</si>
  <si>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programmation de la TECQ 19-23. La ville ne peut prévoir d'autres investissements présentement.</t>
  </si>
  <si>
    <t>Mont-Carmel</t>
  </si>
  <si>
    <t>X0008712</t>
  </si>
  <si>
    <t>Un SRP est en place afin de moduler la pression selon la demande sur le réseau. Le contrôle de la pression se fait à partir des pompes au réservoir et des 2 réducteurs de pression sur le réseau.</t>
  </si>
  <si>
    <t>Art. 1.2 et 1.3 : La municipalité a fait du remboursement des intérêts sur la dette sans remboursement du capital.
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Les investissements de 2019 proviennent de la TECQ 14-18. 
Le financement de la TECQ 19-23 pour les infrastructures d'eau a été estimé à 20%.
Le paiement comptant pour les infrastructures d'eau a été estimé à 20% du seuil d’immobilisation pour la TECQ 19-23.
Les travaux sont prévus sur les infrastructures linéaires en maintien d'actif.
Le financement de la TECQ 24-28 pour les infrastructures d'eau a été estimé à 100%.
L’emprunt pour les infrastructures d'eau a été estimé à 100% du seuil d’immobilisation pour la TECQ 24-28.
Ce financement servira au rattrapage de déficit de maintien d'actif sur le réseau d'eaux pluviales.</t>
  </si>
  <si>
    <t>X2074161</t>
  </si>
  <si>
    <t>Mont-Joli</t>
  </si>
  <si>
    <t>X0009741</t>
  </si>
  <si>
    <t>Art 2.1 : La municipalité analyse le débit de nuit quotidiennement et procède à de l'écoute aux poteaux incendie lorsqu'elle constate une augmentation du débit de nuit minimum. Cependant, afin d'être considéré comme un SSD, il est important de réaliser l'option 3 sur l'ensemble du réseau et de réparer toutes les fuites détectées afin d'établir un débit plancher. 
Art 2.1 : La municipalité n'avait pas d'obligation de recherche de fuite en 2019 parce qu'elle respectait son objectif d'IFI au bilan 2018.
Art 4.1 :  10 branchements inactifs sont considérés dans le secteur résidentiel sans compteurs.</t>
  </si>
  <si>
    <t xml:space="preserve">Art 2.1 : Étant donné que l’objectif de l’indice de fuite dans les infrastructures n’est pas atteint pour le réseau Mont-Joli,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et les immeubles municipaux et sur un échantillon de 60 immeubles résidentiels était requise d'ici le 1er septembre 2020. La municipalité a complété l'installation des compteurs dans son échantillon d'immeubles résidentiels et doit compléter l'installation des compteurs dans le secteur non résidentiel.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</si>
  <si>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du FIMEAU et du PRIMEAU.
Art.4.5 : Les subventions proviennent de la TECQ.</t>
  </si>
  <si>
    <t>Installation de distribution Montmagny</t>
  </si>
  <si>
    <t>X0008217</t>
  </si>
  <si>
    <t>4.1 Le nombre de branchements non-résidentiels présenté ici est le total.  Ils ne sont pas tous ciblés pour l'installation d'un compteur.  Le nombre de branchements total ne correspond pas à celui indiqué dans l'AWWA.  Ce nombre est très difficile à évaluer, le fichier de la taxation n'étant pas monté pour ce genre de recherche.  4.2:  L'installation des nouveaux compteurs d'eau (nous avions déjà un parc d'environ 130 compteurs) a débuté à l'automne 2019, s'est poursuivie à l'hiver 2020 et a été arrêtée au printemps 2020 en raison de la crise sanitaire.  Elle a pu reprendre progressivement à l'été 2020 et se poursuit à une rythme plutôt lent (covid) mais régulier.  La mise en route de la relève des nouveaux compteurs installés se fera à l'hiver 2021 (la lecture des anciens compteurs se poursuit toujours à raison de 2 fois l'an).  Nous espérons avoir complété l'installation des nouveaux compteurs à l'automne 2021.  Au cours des prochaines années, nous procèderons au remplacement progressif des anciens compteurs.</t>
  </si>
  <si>
    <t>2019 maintien: Réfection 4e rue (emprunt et PIQM) et poste pompage Valcourt (TECQ et fond roulement). 2019 bonification: Désinfection UV à l'usine d'eau potable (TECQ) et Prolongement conduites Chem. Poirier (emprunt). 2020 maintien: Réfection conduites secteur du Quai (Primeau et emprunt), Réfection conduites près clinique médicale (emprunt), panneaux contrôle poste pomp. (comptant) et Réfection rue St-Antoine (Primeau et emprunt). 2020 bonification: Fosse septique usine filtration (comptant). 2021 maintien: Travaux aux stations de pompage, à l'usine et à la prise d'eau (TECQ) et Réfection avenue Bélanger (Fimeau et emprunt). 2021 bonification: travaux à l'usine (comptant), Canalisation fossé Tourterelles (comptant), ajout débitmètres et construction lits de séchage (TECQ). 2022 maintien: Réhab. conduites (emprunt), Réfection conduite Ch.-Brochu (emprunt et peut-être subvention), travaux postes pompage (TECQ et Réfection ave bélanger (Fimeau et emprunt). 2022 bonification: ajout débitmètres (TECQ) ajout conduite Habitaflex (emprunt) et premier paiement Développement L'Espinay (comptant, emprunt et promoteur). 2023 maintien: réhab. conduites (emprunt), travaux aux postes de pompage (TECQ), Réfection St-Jean-Baptiste Ouest (TECQ possibilité de TECQ).  2023 bonification: ajout débitmètres (TECQ), ajout clapet pluvial (comptant) et Dév. L'Espinay (comptant et promoteur). 2024 maintien: Travaux sur postes pompage (TECQ), Réfection rue St-Jean-Baptiste Ouest (emprunt, possibilité subvention), Réfection 12e Rue (emprunt et possibilité subvention). 2024 bonification: Développement L'Espinay (comptant). 2025 maintien: Travaux postes pompage (TECQ), Réfection 3e avenue, 6e rue et 9e rue (emprunt et possibilité de subventions). 2025 bonification: Développement L'Espinay (comptant).  Le Développement du Secteur Ouest, présenté dans le bilan 2018 a été retiré, il comporte trop d'incertitudes.  Bien que notre TECQ soit confirmée à 4 019 277$, elle n'est pas toute engagée encore.  Seules les dépenses engagées sont indiquées ici. Les montants des années à venir seront éventuellement revus à la hausse lorsque d'autres projets auront été acceptés dans une révision de programmation.</t>
  </si>
  <si>
    <t>3.1: La quantité d'eau de janvier 2019 est estimée (en pourcentage d'eau prélevée). Elle est plus élevée que les autres mois d'hiver parce que c'est dans ce mois que le système UV a été ajouté et ça a nécessité plus d'eau (tests, ajustemements, etc...) Il n'est pas certain que toute cette eau ait été distribuée mais comme nous n'avons pas d'autre donnée pour janvier 2019, nous utiliserons celle-ci même si elle est désavantageuse.  4.1: Les dépenses en immobilisation ne correspondent pas aux montants des lignes 2 des pages S36 du Rapport financier comme suggéré. Les montants présentés ici sont presqu'entièrement associées à l'ajout d'un système de désinfection aux UV à l'usine de filtration et constituent des dépenses en immobilisation. Dans notre système de comptabilité, elles sont dans un poste budgétaire appellé machinerie, outillage et équipements pour l'usine de filtration.</t>
  </si>
  <si>
    <t>Montpellier</t>
  </si>
  <si>
    <t>X0009595</t>
  </si>
  <si>
    <t>Lachine</t>
  </si>
  <si>
    <t>X0008089</t>
  </si>
  <si>
    <t>Pierrefonds</t>
  </si>
  <si>
    <t>X0008960</t>
  </si>
  <si>
    <t>≤ 3,3</t>
  </si>
  <si>
    <t>Atwater et Charles-J.-Des Baillets</t>
  </si>
  <si>
    <t>X2084745-X0008084-X0008092</t>
  </si>
  <si>
    <t xml:space="preserve">Section 2.3 : Point 2  : Plan d'action 2020 : Il faurait fallu écrire «Poursuivre l'implantation des SRP».
Section 4.1 : L'hypothèse pour le nombre de branchements est 1.3 branchements/non résidentiel et 1 branchement/résidentiel.  Nombre d'immeubles non résidentiels : 14972/1114/5825
                         Nombre de branchements de service résidentiels : Compteurs installés pour l'échantillonnage : 490 équipés et relevés et 522 équipés et non relevés.  Les compteurs résidentiels installés à St-Laurent et relevés ont été ajoutés étant donné qu'ils sont utilisés pour le bilan résidentiel.
</t>
  </si>
  <si>
    <t>Art 4.1 : Étant donné que la valeur d'au moins un des indicateurs de performance dépasse l’objectif, l’installation de compteurs d’eau dans les immeubles non résidentiels (Industries, Commerces et Institutions), les immeubles mixtes ciblés, les immeubles municipaux et sur un échantillon de 380 immeubles résidentiels est requise d'ici le 1er septembre 2023.</t>
  </si>
  <si>
    <t>Au niveau local, on a retranché un montant de 194 787,5 (au niveau de la taxe sur valeur foncière - portion service d'eau) pour le financement de la portion attribuable aux quotes-parts pour le financement des activités de l'agglomération.
À la demande du MAMH,  pour ce qui est indiqué dans l'en-tête de la portion "compétence agglomération", les montants indiqués inclus la Ville de Montréal  et les villes liées. Un fichier séparé présentant les quotes- parts avec les villes liées accompagne ce tableau.
Quote-part Ville de Montréal = 82,09 %
Montants totaux  = Montants locaux + (Montants d'agglo * Quote-Part)
Art 2.9 : 
Local : - 10 241,7 M$
Agglo :  2 816,0 M$
Art 2.10 :
Local : 10 090,0 M$
Agglo : 17 451,0 M$</t>
  </si>
  <si>
    <t>Pointe-Claire</t>
  </si>
  <si>
    <t>X0008942</t>
  </si>
  <si>
    <t>Section 3.3 : Mis les volumes pour les 3 usines prises pour le bilan, soit Lachine, Pierrefonds et Atwater-Des Baillets.  Mis les volumes des usages municipaux, consomation non-autorisée et errreurs systématiques de manipulation des données dans le volumes non-résidentiels (13,191 Mégalitres).  Lors de la compilation, sûrement dû aux décimales, une différence entre les 3 bilans AWWA et les volumes inscrits dans cette section est de l'ordre de 35,9 ML. Ce volume a été ajouté à la consommation non-résidentielle (préalablement inscrite à 157 222,509 ML).</t>
  </si>
  <si>
    <t>Montréal-Ouest</t>
  </si>
  <si>
    <t>X0008899</t>
  </si>
  <si>
    <t>Art 4.1 : En date d'aujourd'hui, la recherche de fuites sur 150 % du réseau a été réalisé.</t>
  </si>
  <si>
    <t>Art 1.1 et 1.4 : Les frais de financement sont inclut dans les frais d'administration générale.</t>
  </si>
  <si>
    <t>Mont-Royal - Atwater et Charles-J. Des Baillets</t>
  </si>
  <si>
    <t>Art 1.1.2 : Les volumes par trimestre sont transmis par la Ville de Montréal.
Art 4.1 : Les compteurs n'ont pas été relevé car il y a eu un problème avec les batteries des têtes de compteurs et beaucoup d'information a été perdue.</t>
  </si>
  <si>
    <t>La quote-part de Mont-Royal est 2,127%.</t>
  </si>
  <si>
    <t>Mont-Saint-Hilaire</t>
  </si>
  <si>
    <t>X0008165</t>
  </si>
  <si>
    <t>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2022.</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</si>
  <si>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FIMEAU-1.1 : Renouvellement de conduites. </t>
  </si>
  <si>
    <t>Mont Saint-Michel</t>
  </si>
  <si>
    <t>Mont-Saint-Pierre</t>
  </si>
  <si>
    <t>X2053879</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</si>
  <si>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</si>
  <si>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t>
  </si>
  <si>
    <t>Rivière du Diable</t>
  </si>
  <si>
    <t>X0008870</t>
  </si>
  <si>
    <t>Lac-Tremblay</t>
  </si>
  <si>
    <t>X0008872</t>
  </si>
  <si>
    <t>Art 2.1 : Étant donné que l’objectif de l’indice de fuite dans les infrastructures n’est pas atteint pour le réseau Lac-Tremblant , ce dernier doit être ausculté à 200% pour le 1er septembre 2021.</t>
  </si>
  <si>
    <t>Art.4.1 et 4.5 : Les subventions proviennent de la TECQ: Remplacement du réseau d'aqueduc sur la rue Charbonneau, incluant les travaux connexes (numéros de tronçons 1272 et 1273) et  la séparation du réseau d'égout unitaire (rues Labelle, Lauzon et Charbonneau), incluant tous les travaux connexes</t>
  </si>
  <si>
    <t>Réseau Murdochville</t>
  </si>
  <si>
    <t>X0009038</t>
  </si>
  <si>
    <t>Les compteurs ont fini d'être installés en 2020. Ils seront lus pour le bilan 2020 et auront relevé une année complète au bilan 2021.</t>
  </si>
  <si>
    <t>Art 2.1 : Étant donné que l’objectif de l’indice de fuite dans les infrastructures n’est pas atteint pour le réseau Murdochville,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</si>
  <si>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Dans le rapport financier, la taxe d'eau est incluse dans la taxe foncière générale.
Section 4 : Toutes les interventions sont décrites dans le PTI. Les subventions proviennent de la TECQ. Les années des travaux ont été déplacées dans le bilan afin de concorder avec la programmationd e la TECQ 19-23 fournie par la municipalité.</t>
  </si>
  <si>
    <t>Secteur Laval</t>
  </si>
  <si>
    <t>X0009665</t>
  </si>
  <si>
    <t>Secteur Village</t>
  </si>
  <si>
    <t>X0009666</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</si>
  <si>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</si>
  <si>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Renouvellement conduite d'eau et égout, Rue Notre-Dame et Saint-Joseph 475 000$ FIMEAU pour 2020 et 2021 et le financement de la TECQ pour les infrastructures d'eau a été estimé à 40%.</t>
  </si>
  <si>
    <t>Napierville (X0009078) &amp; Saint-Cyprien-de-Napierville (X2046688 )</t>
  </si>
  <si>
    <t xml:space="preserve">X0009078-X2046688 </t>
  </si>
  <si>
    <t>Art 4.1  1344 branchements résidentiels actifs (Napierville) + 21 branchements résidentiels actifs ( St Cyprien de Napierville) + 73 branchemements de services inactifs= 1365 branchements
Saint-Cyprien-de-Napierville : 22 branchements résidentiels + 2 branchements non résidentiels = 24 branchements</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</si>
  <si>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2.1 : Étant donné que l’objectif de l’indice de fuite dans les infrastructures n’est pas atteint pour le réseau X2046688, ce dernier doit être ausculté à 200% pour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</si>
  <si>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1.4 : Les frais d'adminstration générale ont été estimés à 15% des charges avannt amortissement (Art 1.1).
Art 2.5 : La taxe foncière sur la valeur a été utilisé afin de retourver un excédent de fonctionnement de 59 732$.
Art 2.9 et Art 2.10 : Les montants des réserves financières "Eaux usées" et "Eaux potables" ont été additionnés.
Art 4.1 et Art 4.5 : Les subventions confrimées proviennes de la TECQ.</t>
  </si>
  <si>
    <t>Art 2.1 : Le nombre de personne par logement a été modifié afin d'inclure toute la population desservie.</t>
  </si>
  <si>
    <t>Nédélec</t>
  </si>
  <si>
    <t>Articles 4.1 &amp; 4.7 -  Les montants proviennent de la TECQ 19-23 et 24-28. Ils représentent des investissements pour la modernisation de l'usine de production et le renouvellement des conduites.</t>
  </si>
  <si>
    <t>Neuville</t>
  </si>
  <si>
    <t>X0009220</t>
  </si>
  <si>
    <t xml:space="preserve">Industries : 22
Commerces : 20
Institutions : 7
Municipaux : 14
Mixtes (commerce et résidentiel), inclus dans le secteur non résidentiel : 32
Total : 
Branchements ICI : 81
Branchements ICI + municipaux : 95
</t>
  </si>
  <si>
    <t>New Carlisle</t>
  </si>
  <si>
    <t>X0009116</t>
  </si>
  <si>
    <t>Art 2.1 : Étant donné que l’objectif de l’indice de fuite dans les infrastructures n’est pas atteint pour le réseau New Carlisle,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</si>
  <si>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t>
  </si>
  <si>
    <t>New Richmond</t>
  </si>
  <si>
    <t>X0008366</t>
  </si>
  <si>
    <t>Art. 4.1 : La municipalité a 203 branchements non résidentiels actifs. Les 103 autres branchements sont inactifs.</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</si>
  <si>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FIMEAU. Les investissements prévus sont présentés dans le PTI de la municipalité.</t>
  </si>
  <si>
    <t>Nicolet</t>
  </si>
  <si>
    <t>X0008233</t>
  </si>
  <si>
    <t>Art 2.1 : La municipalité n'a pas effectué de la recherche de fuites à 150% du réseau en 2019, car au Bilan 2018 elle respectait l'objectif d'indice de fuites dans les infrastructures.
Art 4.1 : Il y a 200 branchements inactifs qui sont inscrit dans le nombre de branchement de service non résidentiel sans compteurs.</t>
  </si>
  <si>
    <t>Art 2.1 : Étant donné que l’objectif de l’indice de fuite dans les infrastructures n’est pas atteint pour le réseau Nicolet,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</si>
  <si>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100%. L’emprunt pour les infrastructures d'eau a été estimé à 100% du seuil d’immobilisation pour la TECQ.
</t>
  </si>
  <si>
    <t>Nominingue</t>
  </si>
  <si>
    <t>X0009709</t>
  </si>
  <si>
    <t>Art 2.1: Sectorisation du réseau effectuée pour avoir une meilleure connaissance de la problématique. Une recherche de fuite sera réalisé après l'analyse des données des secteurs de suivi (en 2020).
Art 4.2: Les batiments municipaux ainsi que les commerces à grande consommation d'eau ont été équipés de compteurs d'eau. Les premières données seront disponibles en 2020.
Art 4.3: La consommation résidentielle sera estimée à l'aide d'un secteur de suivi de la consommation. Un bout de ligne desservant une centaine de maison a été sectorisé à l'aide d'un débitmètre. Les premières données seront disponibles en 2020.</t>
  </si>
  <si>
    <t>Art 4.5: Sectorisation du réseau d'eau potable financée par la TECQ.</t>
  </si>
  <si>
    <t>N.D.A. de Buckland</t>
  </si>
  <si>
    <t>X0009956</t>
  </si>
  <si>
    <t>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</si>
  <si>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Les subventions proviennent de la TECQ pour les projet:
-Renouvellement conduite eau potable et égout
-Prolongement du réseau aqueduc &amp; égout - Phase 1 des travaux
-Ajout poste de pompage eaux usées
-Mise à jour du plan d'intervention, inspection caméra réseau égout
-Remplacement de conduite eau potable &amp; eaux usées 
</t>
  </si>
  <si>
    <t>Notre-Dame-de-Bonsecours</t>
  </si>
  <si>
    <t>X0008060</t>
  </si>
  <si>
    <t>Notre-Dame-de-Ham</t>
  </si>
  <si>
    <t>Notre-dame-ile-perrot</t>
  </si>
  <si>
    <t>X0010476</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</si>
  <si>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2019 : TECQ 14-18
2020 : FIMEAU - Renouvellement de conduites.
2021 à 2022 : TECQ 16-23</t>
  </si>
  <si>
    <t>X0008465</t>
  </si>
  <si>
    <t>Art 4.1 : Dix (10) branchements inactifs sont considérés dans les branchements résidentiels sans compteurs.</t>
  </si>
  <si>
    <t>Art 2.1 : Étant donné que l’objectif de l’indice de fuite dans les infrastructures n’est pas atteint pour le réseau X0008465,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</si>
  <si>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Art.2.5 : La taxe foncière sur la valeur a été estimée afin d'équilibrer minimalement les revenus affectés aux services d'eau (article 2.7) et le coût de fonctionnement des services d'eau (article 1.5) de façon à ne pas créer de déficit.
Art 4.5 : Les subventions proviennent de la TECQ. Le financement de la TECQ pour les infrastructures d'eau a été estimé à 48%. L’emprunt pour les infrastructures d'eau a été estimé à 66% du seuil d’immobilisation pour la TECQ.
</t>
  </si>
  <si>
    <t>Notre-Dame-de-Pontmain</t>
  </si>
  <si>
    <t>X0010121</t>
  </si>
  <si>
    <t>Art 3.2: Comme le débit des purges est inconnu alors il est compté comme de la consommation Non mesurée et facturée, par consequent il surestime la consomation résidentiel.</t>
  </si>
  <si>
    <t>Art 3.2 : il est recommandé de connaître le débit des purges afin de ne pas surestimer la consommation résidentielle.
Art 4.1 : Si la municipalité dépasse un des objectifs au bilan 2021, l’installation de compteurs d’eau dans tous les immeubles non résidentiels (Industries, Commerces et Institutions), les immeubles mixtes ciblés, les immeubles municipaux et sur un échantillon de 10 logements résidentiels sera requise progressivement d'ici le 1er septembre 2025.</t>
  </si>
  <si>
    <t>Notre-Dame-des-Bois</t>
  </si>
  <si>
    <t>X0010106</t>
  </si>
  <si>
    <t>Art.1.4 : Les frais d'administration générale ont été estimés par la municipalité à 420$
Art.2.5 : La taxe foncière sur la valeur a été estimée afin d'équilibrer minimalement les revenus affectés aux services d'eau (article 2.7) et le coût de fonctionnement des services d'eau (article 1.5) de façon à ne pas créer de déficit.
Section 4 : La municipalité n'a prévu acune dépense en immobilisation dans ses prévisions actuelles.</t>
  </si>
  <si>
    <t>Notre-Dame-des-Monts</t>
  </si>
  <si>
    <t>X0008776</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</si>
  <si>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La programmation de la TECQ 19-23 présente seulement des investissements en voirie et non pour les infrastructures d'eau.</t>
  </si>
  <si>
    <t>Notre-Dame-des-Neiges</t>
  </si>
  <si>
    <t>X0008767</t>
  </si>
  <si>
    <t>Art. 2.2 : À l'aide d'une lecture quotidienne du totalisateur, la municipalité a constaté une augmentation d'environ 300 m3 par rapport à la moyenne normale et a immédiatement identifiée la présence de la fuite.
Art. 4.1 : La municipalité a adopté un règlement obligeant l'installation de compteurs sur toutes les nouvelles constructions.</t>
  </si>
  <si>
    <t>Art.1.4 : Les frais d'administration générale ont été estimés avec une valeur de 15 % des charges avant amortissement (article 1.1).
Art.4.1 et 4.5 : Les subventions proviennent de la TECQ. Pour plus d'information sur les investissement, se référer au PTI de la municipalité.</t>
  </si>
  <si>
    <t>Notre-Dame-des-Pins</t>
  </si>
  <si>
    <t>X0009887</t>
  </si>
  <si>
    <t>Art. 4.1 : Provient de la TECQ 14-18 (31 088$) et de la TECQ 19-23 (40 595$) pour 2019
Provient de la TECQ 19-23 pour 2020
Provient du FIMEAU pour 2021 et 2022</t>
  </si>
  <si>
    <t>Art 2.1 : Le nombre de logements et la population sont les mêmes qu’en 2018. (Confirmé verbalement par la municipalité)</t>
  </si>
  <si>
    <t>N-D-des-Prairies (X0008676)</t>
  </si>
  <si>
    <t>X0008676</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</si>
  <si>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Art.4.2 et 4.6 : Les emprunts viennent du PTI, certains seront réalisés avec des subventions TECQ ou FIMEAU. N'ayant pas encore les confirmations tout est classé en emprunt. 
Art 4.5 : Les subventions proviennent du FIMEAU et de la TECQ 14-18.</t>
  </si>
  <si>
    <t>NDBC</t>
  </si>
  <si>
    <t>X0008897</t>
  </si>
  <si>
    <t>Art 2.1 : Étant donné que l’objectif de l’indice de fuite dans les infrastructures n’est pas atteint pour le réseau X0008897, ce dernier doit être ausculté à 200% pour le 1er septembre 2021.</t>
  </si>
  <si>
    <t xml:space="preserve">Art.1.4 : Les frais d'administration générale ont été estimés avec une valeur de 15 % des charges avant amortissement (article 1.1).
Art.4.1 et 4.5 : Les subventions proviennent de la TECQ. Le financement de la TECQ pour les infrastructures d'eau a été estimé à 28%. Le paiement comptant pour les infrastructures d'eau a été estimé à 28% du seuil d’immobilisation pour la TECQ.
</t>
  </si>
  <si>
    <t>Notre-Dame-du-Mont-Carmel (Village)</t>
  </si>
  <si>
    <t>X0009475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</si>
  <si>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80%.
</t>
  </si>
  <si>
    <t>Notre-Dame-du-Nord</t>
  </si>
  <si>
    <t>X0009865</t>
  </si>
  <si>
    <t>Art.1.4 : Les frais d'administration générale ont été estimés avec une valeur de 15 % des charges avant amortissement (article 1.1).
Art.4.1 et 4.5 : Les subventions proviennent de la TECQ (changement de conduite et nouveau puite)</t>
  </si>
  <si>
    <t>Notre-Dame-du-Portage</t>
  </si>
  <si>
    <t>X0008857</t>
  </si>
  <si>
    <t>Art. 3.2 : Aucune purge permanente</t>
  </si>
  <si>
    <t>Art.2.5 : La taxe foncière sur la valeur a été estimée afin d'équilibrer minimalement les revenus affectés aux services d'eau (article 2.7) et le coût de fonctionnement des services d'eau (article 1.5) de façon à ne pas créer de déficit.
Art. 1.3 : Capital et intérêt
Art. 4.3 : 19 469$
12618$ -&gt; remplacement compteur d'eau chambre de mesure
6 226$ -&gt; Travaux puit NDP5
625$ -&gt; Remplacement clapet NDP5
Art. 4.5 à 4.8 : 
2020 -&gt; Municipal -&gt; 16 000$ : 8 000 $ changement de pompe PP1 + 8 000$ plan et devis mise aux normes pH des eaux usées
2021 -&gt; Subventions -&gt; 32 000$ : mise aux norme pH des eaux usées
2021 -&gt; Emprunts -&gt; 50 000$ : Plan et devis pour prolongement aqueduc réseau centre
2021 -&gt; Municipal -&gt; 47 500$ : Ajout citerne incendie rue des Îles
2022 -&gt; Municipal -&gt; 90 000$ : Remplacement du médiafiltrant Écoflex</t>
  </si>
  <si>
    <t>Notre-Dame-du-Rosaire</t>
  </si>
  <si>
    <t>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La programmation de la TECQ étant en cours de réalisation, la municipalité ne peut remplir davantage cette section.</t>
  </si>
  <si>
    <t>Desservant moins que 300 personnes.</t>
  </si>
  <si>
    <t>X0009427 - Oka village</t>
  </si>
  <si>
    <t xml:space="preserve">X0009427 </t>
  </si>
  <si>
    <t>X0009428 - Oka puits</t>
  </si>
  <si>
    <t>X0009428</t>
  </si>
  <si>
    <t>Art 2.8 : Aucune réserve financière dédiée aux infrastructures d’eau la municipalité possède uniquement un excédent de fonctionnements affecté aux étangs aérés d’un montant de 28 653 $ au 31 décembre 2019. Ce montant est ajouté à l'art. 2.5 à l'eau usée, après avoir fait le balancement entre les coûts et les revenus.
Art 4.1 et 4.2: Toutes les subventions confirmées proviennent de la TECQ.Parmi le 75 000$ il y a 35 000$ qui sont des aides financières, mais qui ne sont pas confirmés.
Art 4.6: le 3 553 680$ est un montant estimé (à partir du BI), pour des travaux dont la source de financement n'est pas connue. Par défaut, il a été mis en emprunt.
Section 4: Aucun des travaux sur les infrastructures ponctuelles du BI (onglet intervention IP) ne sont pour l'instant programmé. la source de financement n'est pas connu. Ces montant n'ont pas été inclus dans la section 4.</t>
  </si>
  <si>
    <t>Art 4.2 : il s'agit des montant pour uniquement les coûts fonctionnement de l'usine de production. L'eau importée au MFFP n'est pas comptabilisé dans cet onglet.</t>
  </si>
  <si>
    <t>Orford</t>
  </si>
  <si>
    <t>X2134687</t>
  </si>
  <si>
    <t>Art.2.1 :  La municipalité ne fait pas une analyse de débit de nuit quotidien. Par contre, la municipalité regarde le temps de pompage pour détecter la présence de fuites sur le réseau.
Art.2.2 : Lorsqu'il y a une fuite sur un branchement de service du côté privé, la municipalité ferme la vanne. Il n'y a donc pas d'eau distribuée et il n'y a pas de fuite jusqu'à la réparation.</t>
  </si>
  <si>
    <t xml:space="preserve">Art.1.4 : Les frais d'administration générale ont été estimés avec une valeur de 20% des charges avant amortissement (article 1.1) pour l'eau potable et 15% pour les eaux usées et pluviales. 
Art.2.5 : La taxe foncière sur la valeur a été estimée afin d'équilibrer minimalement les revenus affectés aux services d'eau (article 2.7) et le coût de fonctionnement des services d'eau (article 1.5) de façon à ne pas créer de déficit.
Art 2.6 : L'excédent de fonctionnement a été estimée afin d’obtenir un montant de 33 354 $ dans la réserve financière dédiée aux infrastructures d’eau.
Art.4.1 et 4.5 : Les subventions proviennent de la TECQ.
Le financement de la TECQ pour les infrastructures d'eau a été estimé à 50%.
</t>
  </si>
  <si>
    <t>Parisville</t>
  </si>
  <si>
    <t xml:space="preserve">X0009322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</si>
  <si>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des PRIMEAU (773 740$ en 2021 et 2 598 680 $ en 2021).
Le financement de la TECQ pour les infrastructures d'eau a été estimé à 89,5% (656 700 $ en 2021).
Art 3.6 &amp; Art 4.10 : Le pourcentage des investissements par rapport aux besoins d'investissements est élevé. L'estimation des besoins d'investissements et des sources de financement sera raffinée au courant des prochaines années.</t>
  </si>
  <si>
    <t>Paspébiac</t>
  </si>
  <si>
    <t>X0009120</t>
  </si>
  <si>
    <t>Art.2.2 : La municipalité a l'intention de refaire de l'auscultation tout contact sur son SSC afin de localiser et réparer des fuites potentielles qui explique le débit de base trop élevé.
Art 4.1 : 129 branchements de services inactifs sont considérés dans le secteur résidentiel sans compteurs.</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</si>
  <si>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Paspébiac, ce dernier doit être ausculté à 200% pour le 1er septembre 2021. La municipalité doit également réparer les fuites détectées afin de diminuer les pertes d'eau sur son réseau. 
Art 4.1 : Étant donné que la valeur d'au moins un des indicateurs de performance dépasse l’objectif, l’installation de compteurs d’eau dans tous les immeubles non résidentiels (Industries, Commerces et Institutions), les immeubles mixtes ciblés et les immeubles municipaux est requise d'ici le 1er septembre 2021.</t>
  </si>
  <si>
    <t>Art 1.4 : Les frais d'administration générale sont estimés à 15% des charges avant amortissements.
Art 4.1 et Art 4.5 : Les subventions proviennent du FIMEAU. Pour une division plus précise des coûts, voir l'outil BI.</t>
  </si>
  <si>
    <t>Art 2.1 : L’estimation 2019 du nombre de personnes par logements de statistique Canada surestime la population résidentielle desservie et occupée de façon permanente. Une population de 3 096 est plus représentative.</t>
  </si>
  <si>
    <t>Percé</t>
  </si>
  <si>
    <t>X0009060</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</si>
  <si>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Percé,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</si>
  <si>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Réparation Rue à Bonfils 1,3M$ TECQ + règlement d'emprunt
Prolongement d'une nouvelle rue 1,2M$ vente de terrain municipaux (Comptant) et subvention</t>
  </si>
  <si>
    <t>Village-Maillard</t>
  </si>
  <si>
    <t xml:space="preserve">Section 3: Étant donné que la valeur de la consommation résidentielle dépasse l’objectif, trois des huit actions de la section 3.1 et de la section 3.2 doivent être réalisées d'ici le 1er septembre 2020 (6 actions au total).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t>
  </si>
  <si>
    <t>Art.1.4 : Les frais d'administration générale ont été estimés avec une valeur de 15 % des charges avant amortissement (article 1.1).
Section 4: Investissement provenant du Fonds général de la municipalité pour : Compteurs d'eau, étude hydrologique, pompe eon, toitures des bâtiments.
La programmation de la TECQ 19-23 n'a pas encore été réalisée.</t>
  </si>
  <si>
    <t>Petite-Vallée</t>
  </si>
  <si>
    <t>X0009044</t>
  </si>
  <si>
    <t>Art.1.4 : Les frais d'administration générale ont été estimés avec une valeur de 15 % des charges avant amortissement (article 1.1).
Section 4 : Aucune intervention prévue.</t>
  </si>
  <si>
    <t>Petit-Saguenay</t>
  </si>
  <si>
    <t>X0009883</t>
  </si>
  <si>
    <t>Art 2.1 : Étant donné que l’objectif de l’indice de fuite dans les infrastructures n’est pas atteint pour le réseau X0009883,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</si>
  <si>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Art.1.4 : Les frais d'administration générale ont été estimés avec une valeur de 10 % des charges avant amortissement (article 1.1).
Art.2.2 : La tarification non volumétrique a été estimée à partir du tarif non volumétrique unitaire en 2019. Il a ensuite été extrapolé pour l'ensemble des comptes facturés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24-28 et du FIMEAU.
Le FIMEAU sera utilisé pour réduire le déficit de maintien d'actifs
Le financement de la TECQ 24-28 pour les infrastructures d'eau a été estimé à 25% mais la programmation n'est pas encore connue.
L’emprunt a été pour les infrastructures d'eau a été estimé à 25% du seuil d’immobilisation pour la TECQ 24-28.</t>
  </si>
  <si>
    <t>Piedmont</t>
  </si>
  <si>
    <t>X0008801</t>
  </si>
  <si>
    <t>Art 4.1: les factures des compteurs d'eau sont disponibles, ces derniers seront installés et lus pour le 1er septembre 2021.</t>
  </si>
  <si>
    <t xml:space="preserve">Art2.1: Malgré que la recherche de fuite ne soit pas obligatoire pour le 1er septembre 2021, l'option 3 est fortement recommandée, car elle permettra de trouver les fuites pour par la suite les réparer. L'option 1 est intéressante et est conseillée pour la municipalité afin de déterminer un débit plancher après avoir réalisé une recherche de fuites exhaustive du réseau et réparation des fuites existantes.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Il est fortement conseillé de procéder à la relève de tous les compteurs déjà installés (incluant les compteurs résidentiels) et cela même si les données sur une année complète sont manquantes, afin d'avoir des estimations sur la consommation résidentielle et les pertes d'eau plus précise.
</t>
  </si>
  <si>
    <t>Art.1.4 : Les frais d'administration générale ont été estimés avec une valeur de 15 % des charges avant amortissement (article 1.1).
Art. 2.5 : La taxe foncière sur la valeur a été estimée afin d’obtenir un excédent de 18 155 $ entre les revenus et le coût de fonctionnement. 
Art.4.1 : et 4.5 : Les subventions proviennent de la TECQ.
Section 4 : les montants qui son inscrit proviennet du PTI.</t>
  </si>
  <si>
    <t>X0009394</t>
  </si>
  <si>
    <t>Art.2.1 : La municipalité fait de l'écoute aux poteaux d'incendie chaque année lors de leur inspection. De plus, elle mandate une firme externe pour faire de l'auscultation tout contact chaque année.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</si>
  <si>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Les travaux réalisés en 2019 ont été subventionnés par la TECQ 14-18 et les travaux prévus en 2021 seront subventionnés apr la TECQ 19-23. Avec la COVID-19, tous les travaux ont été repoussés d'un an. Aucun investissement n'a été fait en 2020.</t>
  </si>
  <si>
    <t>Installation de la Régie de l'eau de l'Île Perrot. Les municipalités désservies sont :
Pincourt (71070), 5 707 logements, 15 409 personnes
Notre-Dame-de-l'Île-Perrot (71065), 3 909 logements, 11 063 personnes
Terrasse-Vaudreuil (71075), 834 logements, 1990 personnes</t>
  </si>
  <si>
    <t>Piopolis (X0010298)</t>
  </si>
  <si>
    <t>X0010298</t>
  </si>
  <si>
    <t>Art 2.1: La municipalité est en vérification de son accès aux débits de distribution horraire par télémétrie
Art 4.1: 100% de compteurs d'eau installés mais ils datent de plus de 10 ans et n'ont été relevés qu'une seule fois il y a longtemps.</t>
  </si>
  <si>
    <t>Plessisville V</t>
  </si>
  <si>
    <t>X0008078</t>
  </si>
  <si>
    <t>Art.4.1: il ya 117 branchements inactifs qui sont inscrit dans les branchements de service non résidentiel et sans compteurs.</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</si>
  <si>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 réseau Plessisville, ce dernier doit être ausculté à 200% pour le 1er septembre 2021.</t>
  </si>
  <si>
    <t xml:space="preserve">Art.1.3: Il y a pas de portion de remboursement de la dette pour les eaux usées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FIMEAU et du NFCCQ-FPC. Le financement de la TECQ pour les infrastructures d'eau a été estimé à 100%. L’emprunt pour les infrastructures d'eau a été estimé à 100% du seuil d’immobilisation pour la TECQ.
</t>
  </si>
  <si>
    <t>Art.3.1 : la municipalité n'a pas la relève mensuelle des volumes d'eau distribuée. Le volume total distribué a donc été divisé par 12 afin d'estimé la distribution de chaque mois.</t>
  </si>
  <si>
    <t>Ville Pohénégamook</t>
  </si>
  <si>
    <t>X0009958</t>
  </si>
  <si>
    <t xml:space="preserve">Concernant l'auscultation, l'écoute sur l'ensemble du territoire s'effectue à toutes les bornes fontaines et au minimum à deux reprises. À 2,2,1 la durée de l'intervention sur le branchement du service du côté privé fait mention de 90 jours. L'intervention ne s'est pas effectué rapidement car la fuite a été détecté en hiver à l'intérieur d'une résidence et la fuite a été réparé seulement à la fin du printemps soit après le gel. </t>
  </si>
  <si>
    <t>Art 2.1 : Étant donné que l’objectif de l’indice de fuite dans les infrastructures n’est pas atteint pour le réseau Pohénégamook, ce dernier doit être ausculté à 200% pour le 1er septembre 2021.</t>
  </si>
  <si>
    <t>Art.4.1 et 4.5 : Les subventions proviennent de la TECQ et du PRIMEAU.
Les investissements prévus en 2020 à 2022 sont tirés du PTI de la municipalité.
Les investissements réels en 2019 de 165 037$ proviennent de la TECQ 14-18.</t>
  </si>
  <si>
    <t>Pointe-aux-Outardes</t>
  </si>
  <si>
    <t>X0009633</t>
  </si>
  <si>
    <t>Buissson</t>
  </si>
  <si>
    <t>X0009634</t>
  </si>
  <si>
    <t>Art 4.1 : Le financement de la TECQ pour les infrastructures d'eau a été estimé à 60%.</t>
  </si>
  <si>
    <t>Saint-Joseph-du-Lac/Pointe-Calumet</t>
  </si>
  <si>
    <t>X0009510-X0009507</t>
  </si>
  <si>
    <t>La recherche de fuite dans le réseau est conseillée, puisque comme cette année les réseaux de Pointe-Calumet et de Saint-Joseph-su-Lac sont combinés alors les résultats ne sont pas représentatifs de Pointe-Calumet uniquement. Il est possible que l'une ou l'autre des municipalités ait des pertes d'eau importante ou une consommation résidentielle importante  indépendamment de l'autre. Cependant quand les résultats sont combinés on obtient des résultats qui ne permettent  pas d'avoir une idée représentative de la situation. Il est donc tout à fait possible qu'il y ait des fuites importantes dans l'un des deux réseaux.</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</si>
  <si>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la programmation de la TECQ19-23 n'est pas encore disponible, de plus les autres investissements ne sont pas connus.
Art 4.6 : Ce montant est prévu d'être payé pour couvrir une partie des travaux que Saint-Joseph-du-Lac réalise à son usine pour le traitement du manganèse dans l'eau potable. Par défaut il a été mis en emprunt.
</t>
  </si>
  <si>
    <t>Art 4.1 : Les branchements sans compteurs sont uniquement les raccordements d'incendie.</t>
  </si>
  <si>
    <t>Art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ce dernier doit être ausculté à 200% pour le 1er septembre 2021.</t>
  </si>
  <si>
    <t>Art 2.5 : La taxe foncière sur la valeur a été estimée afin d'équilibrer minimalement les revenus affectés aux services d'eau (article 2.7) et le coût de fonctionnement des services d'eau (article 1.5) de façon à ne pas créer de déficit.
Art 4.1 : PRIMEAU-2.0 remplacement de conduite. Ces travaux ont fait diminuer les déficit de maintien d'actif.
La quote-part de Pointe-Claire dans l'agglomération est 2,55 %
La section 3 (besoins d'investissement) est déjà retranchée pas la quote-part.</t>
  </si>
  <si>
    <t>Pointe-des-Cascades</t>
  </si>
  <si>
    <t>X0009620</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</si>
  <si>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2.1 : Étant donné que l’objectif de l’indice de fuite dans les infrastructures n’est pas atteint pour le réseau X0009620, ce dernier doit être ausculté à 200% pour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</si>
  <si>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Art.1.4 : Les frais d'administration générale ont été estimés avec une valeur de 15 % des charges avant amortissement (article 1.1).
Art.4.1 et 4.5 : Les subventions proviennent de la TECQ et du FIMEAU.
Art 3.6 &amp; Art 4.10 : Le pourcentage des investissements par rapport aux besoins d'investissements est élevé. L'estimation des besoins d'investissements pour les puits est élevée étant donnée la construction de nouveaux actifs. </t>
  </si>
  <si>
    <t>Quyon (X0009982)</t>
  </si>
  <si>
    <t>X0009982</t>
  </si>
  <si>
    <t>Art 2.1 : Étant donné que l’objectif de l’indice de fuite dans les infrastructures n’est pas atteint pour le réseau,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</si>
  <si>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Art.1.4 : Les frais d'administration générale ont été estimés avec une valeur remis par la municipalité pour 2019.
Art 4.1 et 4.7 :La TECQ 2019-2023 sera utilisée.La programmation n'est pas complète à ce jour.  </t>
  </si>
  <si>
    <t>Pont-Rouge</t>
  </si>
  <si>
    <t>X0010831</t>
  </si>
  <si>
    <t>Art.1.4 : Les frais d'administration générale ont été estimés avec une valeur de 15 % des charges avant amortissement (article 1.1).
Art.2.5 : La taxe foncière sur la valeur a été estimée afin d'équilibrer minimalement les revenus affectés aux services d'eau (article 2.8) et le coût de fonctionnement des services d'eau (article 1.6) de façon à ne pas créer de déficit.
Section 4:
2021 = FIMEAU (renouvellement de conduites)
Le financement de la TECQ pour les infrastructures d'eau a été estimé à 20% (programmation non réalisée)</t>
  </si>
  <si>
    <t>Gascons</t>
  </si>
  <si>
    <t>X0009189</t>
  </si>
  <si>
    <t>Port-Daniel</t>
  </si>
  <si>
    <t>X0010682</t>
  </si>
  <si>
    <t>Art 2.1 : Étant donné que l’objectif de l’indice de fuite dans les infrastructures n’est pas atteint pour le réseau Gascons, ce dernier doit être ausculté à 200% pour le 1er septembre 2021.
Art 4.1 : Étant donné que la valeur d'au moins un des indicateurs de performance dépassait l’objectif chaque année depuis 2014, l’installation de compteurs d’eau dans tous les immeubles non résidentiels (Industries, Commerces et Institutions), les immeubles mixtes ciblés, les immeubles municipaux et sur un échantillon de 20 immeubles résidentiels était requise d'ici le 1er septembre 2020. La municipalité a débuté l’installation des compteurs et doit la terminer pour être approuvée au bilan 2020.</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</si>
  <si>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 (1 185 097$). La municipalité a l'intention de prolonger le réseau Gascons pour désservir 300 logements de plus. Elle prévoit aussi mettre en place une nouvelle usine de traitement d'eau potable, ce qui explique le coût élevé des bonifications prévues. La municipalité a fait une demande PRIMEAU. La problématique a été reconnue admissible, mais aucune promesse n'est présentement faite pour les 2 volets du PRIMEAU. Lorsque les promesses seront faites, ces montants seront ajoutés dans les subventions confirmées et retirés des emprunts. </t>
  </si>
  <si>
    <t>Portneuf</t>
  </si>
  <si>
    <t>X0008317</t>
  </si>
  <si>
    <t>Saint-Louis--Saint-Charles</t>
  </si>
  <si>
    <t>X0009251-X0009252</t>
  </si>
  <si>
    <t>Les 90 branchements de service non résidentiels sans compteurs sont inactifs.</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</si>
  <si>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t>
  </si>
  <si>
    <t>Saint-Charles</t>
  </si>
  <si>
    <t>Portneuf-sur-Mer</t>
  </si>
  <si>
    <t>X0009616</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</si>
  <si>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conformément à la résolution reçue.</t>
  </si>
  <si>
    <t xml:space="preserve">Art.2.5 : La taxe foncière sur la valeur a été estimée afin d'équilibrer minimalement les revenus affectés aux services d'eau (article 2.7) et le coût de fonctionnement des services d'eau (article 1.5) de façon à ne pas créer de déficit.
Art 2.9 : L'excédent de la réserve financière ne proviens pas d'un surplus de fonctionnement.
Art.4.1 et 4.5 : Les subventions proviennent de la TECQ. Le financement de la TECQ pour les infrastructures d'eau a été estimé à 50%.
</t>
  </si>
  <si>
    <t>Mansonville</t>
  </si>
  <si>
    <t>X0008500</t>
  </si>
  <si>
    <t>Owl's head</t>
  </si>
  <si>
    <t>X2010746</t>
  </si>
  <si>
    <t>Art.1.4 : Les frais d'administration générale ont été estimés avec une valeur de 15 % des charges avant amortissement (article 1.1).
Art.4.6 : La municipalité prévoit présentement financer ses travaux (voir l'outil BI) par des réglements d'emprunts.</t>
  </si>
  <si>
    <t>Domaine Laurentien</t>
  </si>
  <si>
    <t>X0008376</t>
  </si>
  <si>
    <t>Lac-Écho</t>
  </si>
  <si>
    <t>X0008377</t>
  </si>
  <si>
    <t>PSL</t>
  </si>
  <si>
    <t>X0008378</t>
  </si>
  <si>
    <t>Art 4.1: Les 17 branchements non résidentiels sans compteurs d'eau sembleraient ne pas être de grands consommateurs (l'installation de compteurs n'est pas donc pas requise). En effet au bilan 2018,  l'installation de compteurs d'eau dans l'ensemble du secteur non résidentiel été terminé et il restait la mise en place des SSC. On note que le règlement 762 de la municipalité demande que tous les nouveaux bâtiments non résidentiels soient équipés de compteurs d'eau.</t>
  </si>
  <si>
    <t xml:space="preserve">Art 2.1 : Étant donné que l’objectif de l’indice de fuite dans les infrastructures n’est pas atteint pour les trois réseaux, ces derniers doivent être auscultés à 200 % pour le 1er septembre 2021.
Art 4.1: Il est fortement recommandé de procéder à la lecture des compteurs d'eau pour les prochaines années.
</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</si>
  <si>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de 2019 proviennent de la TECQ car ce sont les seules qui sont connues en 2019 (déjà réalisés). Des zéros ont été mis par défaut en 2019 quand l'information n'est pas connue.
Section 4: Pour les années 2020 à 2029 les subventions ne sont pas confirmés et les sources de financement autres sont inconnus. De plus la programmation de la TECQ 19-23 n'est pas disponible.
</t>
  </si>
  <si>
    <t>Price</t>
  </si>
  <si>
    <t>X0009875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</si>
  <si>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Rue Oscar-Fournier et Onésime-Gagnon prévus en 2020 (400 000$) et 2021 (500 000$). Le développement sur la rue Parc n'a pas présentement de sources de financement prévues.</t>
  </si>
  <si>
    <t>Eau potable (X0009343)</t>
  </si>
  <si>
    <t xml:space="preserve">X0009343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</si>
  <si>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</si>
  <si>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 2.5 : La taxe foncière sur la valeur a été estimée afin d’obtenir un montant de 46 957 $ dans la réserve financière dédiée aux infrastructures d’eau.
Art.4.1 et 4.5 : Les subventions proviennent de la TECQ.</t>
  </si>
  <si>
    <t>Art 3.1 : La réparation mensuelle des volumes de 2017 a été utilisée, puisqu'en 2019 une erreur informatique empêche cette ventilation.</t>
  </si>
  <si>
    <t>Ville de Québec</t>
  </si>
  <si>
    <t>X0008180</t>
  </si>
  <si>
    <t>Le délai moyen entre la détection et la réparation des fuites est de 4 jours sur les conduites et de 11,6 jours sur la partie publique des branchements, ce qui donne un délai moyen de 5,6 jours globalement. La ville de Québec devra continuer son travail sur les conduites tout en accentuant ses efforts sur la partie publique des branchements afin de respecter la moyenne de 5 jours pour l'ensemble des conduites d'eau sous sa responsabilité. Au tableau 3.2, option 1, prendre note que la ville de Québec prévoit mettre à jour son étude sur les points d'alimentation en eau brute au cours de 2020-2021 afin de déterminer s'il est souhaitable d'en ajouter davantage. Au tableau 4.1, afin d'être plus exacte, l'information fournie ne correspond pas aux branchements, mais plutôt aux immeubles. Ce choix s'explique par le fait que tous les immeubles sont documentés dans la base de données corporative de la ville de Québec, contrairement aux branchements. En s'appuyant sur le nombre d'immeubles pour lesquels les branchements sont documentés, le ratio du nombre de branchements par immeubles pour l'ensemble de la ville peut être estimé à environ 1,25. De plus, le nombre d'immeubles non résidentiels sans compteur n'est pas connu avec précision au bilan 2019, contrairement au bilan 2018. Pour les besoins du formulaire 2019, ce nombre est estimé à la moitié de ce qu'il était en 2018 puisque la majorité du rattrapage est fait. Cette donnée pourra être fournie avec plus de précision au bilan 2020, et à ce moment elle s'approchera de zéro puisque le rattrapage sera presque complété.</t>
  </si>
  <si>
    <t>Section 4 – Sources de financement pour les investissements en infrastructures d’eau
Art 4.1: Subventions confirmées 2019-2029 : Toutes les subventions confirmées et connues sont considérées dans ces montants (Primeau, Fimeau, Tecq 14-18, Tecq 19-23).
Art 4.2: Les montants véhiculés 2019-2029 sont fixés en fonction de la capacité de payer actuelle de la Ville et des programmes de subvention actuellement connus et inclus le seuil d'immobilisation dans les infrastructures d'eau.</t>
  </si>
  <si>
    <t>Art 3.3. : Les pertes d'eau indiquées dans ce tableau représentent les pertes d'eau réelles estimées grâce à l'audit de l'eau de l'AWWA. La consommation du secteur non résidentiel a été bonifiée avec les pertes d'eau apparentes estimées dans l'audit de l'eau de l'AWWA (1 296,082 ML). Les pertes d'eau apparentes incluent la consommation non autorisée, l'imprécision des compteurs des usagers et les erreurs systématiques de manipulation des données.</t>
  </si>
  <si>
    <t>Racine</t>
  </si>
  <si>
    <t>X0008616</t>
  </si>
  <si>
    <t xml:space="preserve">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
</t>
  </si>
  <si>
    <t>Ragueneau</t>
  </si>
  <si>
    <t>X0009643</t>
  </si>
  <si>
    <t>Art 1.4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</si>
  <si>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Art.1.4 : Les frais d'administration générale ont été estimés avec une valeur de 8 % des charges avant amortissement (article 1.1).
Art 4.1 : La majorité de la TECQ sera investie dans la voirie, la municipalité n'a pas prévu où sera investie la TECQ 24-28
Art 4.5 : TECQ Construction de 3 nouvelles purges</t>
  </si>
  <si>
    <t>Réseau Kildare</t>
  </si>
  <si>
    <t>X0008527</t>
  </si>
  <si>
    <t>Réseau Rawdon</t>
  </si>
  <si>
    <t>X0008539</t>
  </si>
  <si>
    <t>Art 2.1 : Étant donné que l’objectif de l’indice de fuite dans les infrastructures n’est pas atteint pour le réseau Rawdon, ce dernier doit être ausculté à 200% pour le 1er septembre 2021.
Art 4.1 : La municipalité pourrait mieux estimer la consommation résidentielle en effectuant la relève de tous les compteurs d'eau installés.</t>
  </si>
  <si>
    <t xml:space="preserve">Art.4.1 : Les subventions proviennent de la TECQ et du PIQM. Le financement de la TECQ pour les infrastructures d'eau a été estimé à 80%. L’emprunt pour les infrastructures d'eau a été estimé à 0% du seuil d’immobilisation pour la TECQ.
</t>
  </si>
  <si>
    <t>Ville de Repentigny</t>
  </si>
  <si>
    <t>X0008131</t>
  </si>
  <si>
    <t xml:space="preserve">Art.4.1 : Les subventions proviennent de la TECQ-2014, et du FCCQ-VCGV.
Art.4.2 : Emprunts de la municipalité selon la balance entre les coûts estimés des travaux et les subventions confirmées.
</t>
  </si>
  <si>
    <t>Richmond</t>
  </si>
  <si>
    <t>X0008568</t>
  </si>
  <si>
    <t>Art.4.1 :  Il y a 37 immeubles non résidentiels relevés en 2019, mais les données ont été perdues à cause d'une cyberattaque.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</si>
  <si>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FIMEAU et de la PPASEP.
Le financement de la TECQ 19-23 et la TECQ 24-28 pour les infrastructures d'eau a été estimé à 100%. L’emprunt pour les infrastructures d'eau a été estimé à 100% du seuil d’immobilisation pour la TECQ. La TECQ et l'emprunt serviront à réduire le déficit du maintien d'actifs.
Art.4.1 à 4.3:  
2020 : Étude Avant-projet réfection 6e Avenue (Emprunt) + Compteurs d'eau (Emprunt) + Changement de valve étang no 1 (Paiement comptant)
2021 : Avant-projet réfection 6e Avenue (FIMEAU + Emprunt)
Art.4.5 à 4.8 : 
2020 :  Effectuer l'aire de protection des puits d'eau potable ( PPASEP) + Informatisation des usines d'épuration (Paiement comptant)
2020-2021 : Mise aux normes de l'automate usine de filtration (Paiement comptant)
2021 :  Bassin de rétention du ruisseau de la rue Pearl (Paiement comptant)
2023 : Réhabilitation du puits no 1 (Paiement comptant)</t>
  </si>
  <si>
    <t>Art.2.1 et 3.3 : Les données ont été ajustées pour inclure les données de Melboune (municipalité importatrice).</t>
  </si>
  <si>
    <t>Rimouski</t>
  </si>
  <si>
    <t>X0008223</t>
  </si>
  <si>
    <t>Sainte-Blandine (Village)</t>
  </si>
  <si>
    <t>X0009749</t>
  </si>
  <si>
    <t>Val-Neigette</t>
  </si>
  <si>
    <t>X0009751</t>
  </si>
  <si>
    <t>Article 4.2 - Données pour Rimouski seulement, pour les 2 autres réseaux, les dépenses pour la distribution sont dans les mêmes codifications au budget.</t>
  </si>
  <si>
    <t>Rivière-à-Pierre</t>
  </si>
  <si>
    <t>X0009307</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</si>
  <si>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Art.2.1 : Étant donné que l’objectif de l’indice de fuite dans les infrastructures n’est pas atteint pour le réseau Rivière-à-Pierre, ce dernier doit être ausculté à 200% pour le 1er septembre 2021.
Art 4.1 : Étant donné que la valeur d'au moins un des indicateurs de performance dépassait l’objectif à tous les bilans depuis 2015, l’installation de compteurs d’eau dans tous les immeubles non résidentiels (Industries, Commerces et Institutions), les immeubles mixtes ciblés, les immeubles municipaux et sur un échantillon de 20 immeubles résidentiels était requise d'ici le 1er septembre 2020. La municipalité a complété l'installation dans les immeubles non résidentiels et doit compléter l'installation dans l'échantillon de 20 immeubles résidentiels d'ici le 1er septembre 2021.</t>
  </si>
  <si>
    <t>Rivière au Tonnerre</t>
  </si>
  <si>
    <t>X0009679</t>
  </si>
  <si>
    <t>Sheldrake</t>
  </si>
  <si>
    <t>X2104207</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</si>
  <si>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1.4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</si>
  <si>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Art.2.5 : La taxe foncière sur la valeur a été estimée afin d'équilibrer minimalement les revenus affectés aux services d'eau (article 2.7) et le coût de fonctionnement des services d'eau (article 1.5) de façon à ne pas créer de déficit.
Art 4.1 : Financement de la TECQ 19-23.</t>
  </si>
  <si>
    <t>Rivière-Bleue</t>
  </si>
  <si>
    <t>X0010022</t>
  </si>
  <si>
    <t>Art.1.4 : Les frais d'administration générale ont été estimés avec une valeur de 15 % des charges avant amortissement (article 1.1).
Art. 2.5 : La taxe foncière sur la valeur a été estimée afin d’obtenir un excédent de 26 578$ entre les revenus et le coût de fonctionnement. Cet excédent a été ajouté à la réserve financière dédiée aux infrastructures d’eau, amenant le solde de la réserve à 198 632$ à la fin de l’année 2019.
Art.4.1 et 4.5 : Les subventions proviennent de la TECQ et du FIMEAU pour les rues De la Frontière et Des pins Est.</t>
  </si>
  <si>
    <t>Rivière-du-Loup</t>
  </si>
  <si>
    <t>X0008219</t>
  </si>
  <si>
    <t>Art 2.1 : L’estimation 2019 du nombre de personnes par logements de statistique Canada sous-estime la population résidentielle desservie et occupée de façon permanente. Une population de 21 057 personnes est plus représentative.</t>
  </si>
  <si>
    <t>Réseau municipal (X2104870)</t>
  </si>
  <si>
    <t>X2104870</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</si>
  <si>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2023.</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</si>
  <si>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t>
  </si>
  <si>
    <t>Rivière-Ouelle</t>
  </si>
  <si>
    <t>Les 5 branchements non résidentiels sans compteurs sont inactifs
8 des branchements non-résidentiels sont des branchements mixtes</t>
  </si>
  <si>
    <t>Art.1.4 : Les frais d'administration générale ont été estimés avec une valeur de 15 % des charges avant amortissement (article 1.1).
Art. 2.5 : La taxe foncière sur la valeur a été estimée afin d’obtenir un excédent de 7 831 $ entre les revenus et le coût de fonctionnement. Cet excédent a été ajouté à la réserve financière dédiée aux infrastructures d’eau, amenant le solde de la réserve à 12 970 $ à la fin de l’année 2019.</t>
  </si>
  <si>
    <t>Rivière-Saint-Jean</t>
  </si>
  <si>
    <t>X0009663</t>
  </si>
  <si>
    <t>Art.2.5 : La taxe foncière sur la valeur a été estimée afin d'équilibrer minimalement les revenus affectés aux services d'eau (article 2.7) et le coût de fonctionnement des services d'eau (article 1.5) de façon à ne pas créer de déficit.
Art 4.5 : Les subventions proviennent de la TECQ. Recherche en eau pour 1 019 $ réalisée en 2019.
Art 4.5 : Les subventions proviennent de la TECQ. 30 000 $ prévus pour un nouveau réseau d'eau potable, 113 000 $ pour l'alimentation en eau du garage municipal et environ 100 000 $ pour l'alimentation en eau d'un sentier de patinoire (estimation).
Art 4.6 : Le financement sera fait via des emprunts. 300 000 $ pour la mise aux normes des fosses septiques des résidences.</t>
  </si>
  <si>
    <t>Roberval</t>
  </si>
  <si>
    <t>X0010099</t>
  </si>
  <si>
    <t>Art. 4.1 : 6 compteurs d'eau ont été installé en 2019 dans des milieux résidentiels sauf qu'ils n'ont pas été relevés en décembre 2019 et 12 autres compteurs en milieu résidentiel ont été installés en janvier 2020. Cette installation complète l'échantillon et ces ajouts devraient permettre d'utiliser les données de cet échantillon représentatif pour les prochains bilans.</t>
  </si>
  <si>
    <t>Art.2.5 : La taxe foncière sur la valeur a été estimée afin d'équilibrer minimalement les revenus affectés aux services d'eau (article 2.7) et le coût de fonctionnement des services d'eau (article 1.5) de façon à ne pas créer de déficit.
4.2. Les subventions confirmées proviennent du FIMEAU et de la programmation de la TECQ 19-24
2020: Remplacement de l'aqueduc sur 7 km sur le Boulevard de l'Anse (4.5M$). 2021: Réfection de l'avenue Saint-Jean et de la rue Lévesque (1.2M$) et réfection de la conduite pluviale sur la route de l'aéroport (0.3M$) 2020 : Réfection Bergeron, Mcnicoll, Dubois et Morin (2M$)</t>
  </si>
  <si>
    <t>Rosemère</t>
  </si>
  <si>
    <t>X0008484</t>
  </si>
  <si>
    <t>Lauréanne</t>
  </si>
  <si>
    <t>X2020904</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</si>
  <si>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les réseaux Rosemère et Lauréanne, ces derniers doivent être auscultés à 200 % pour le 1er septembre 2021.</t>
  </si>
  <si>
    <t>Art.1.4 : Les frais d'administration générale ont été estimés avec une valeur de 15 % des charges avant amortissement (article 1.1).
Art. 2.5 : La taxe foncière sur la valeur a été estimée afin d’obtenir un excédent de 525 463$ entre les revenus et le coût de fonctionnement. Cet excédent a été ajouté à la réserve financière dédiée aux infrastructures d’eau, amenant le solde de la réserve à 1 139 937$ à la fin de l’année 2019.
Art.4.1 et 4.5 : Les subventions proviennent de la planification de laTECQ 19-23 et d'une estimation de 100% de la TECQ 24-28.</t>
  </si>
  <si>
    <t>Roxton Pond</t>
  </si>
  <si>
    <t>X2064561</t>
  </si>
  <si>
    <t xml:space="preserve">Art 4.1 : Le nombre de branchements de services non équipé de compteurs correspond à des branchements inactifs. </t>
  </si>
  <si>
    <t>Arvida</t>
  </si>
  <si>
    <t>X0009975</t>
  </si>
  <si>
    <t>Chicoutimi Nord</t>
  </si>
  <si>
    <t>Chicoutimi Sud</t>
  </si>
  <si>
    <t>X0010041</t>
  </si>
  <si>
    <t>Jonquière</t>
  </si>
  <si>
    <t>X0009974</t>
  </si>
  <si>
    <t>La Baie</t>
  </si>
  <si>
    <t>Lac Kénogami</t>
  </si>
  <si>
    <t>X0008044</t>
  </si>
  <si>
    <t>Laterrière</t>
  </si>
  <si>
    <t>X0010473</t>
  </si>
  <si>
    <t>Shipshaw Sud</t>
  </si>
  <si>
    <t>X0010151-X2074225-X2074226</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</si>
  <si>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à raison de 500 compteurs d'eau par année. 
Art 2.1 : Étant donné que l’objectif de l’indice de fuite dans les infrastructures n’est pas atteint pour les réseaux Arvida; Chicoutimi Nord; Chicoutimi Sud; Jonquière; La Baie et Shipshaw Sud, ces derniers doivent être auscultés à 200 % pour le 1er septembre 2021.</t>
  </si>
  <si>
    <t>X0009808</t>
  </si>
  <si>
    <t xml:space="preserve">La municipalité n'avait pas d'obligation pour la section 3 en 2019. Elle n'avait donc pas complété d'actions. </t>
  </si>
  <si>
    <t>Art.2.5 : La taxe foncière sur la valeur a été estimée afin d'équilibrer minimalement les revenus affectés aux services d'eau (article 2.7) et le coût de fonctionnement des services d'eau (article 1.5) de façon à ne pas créer de déficit.
Art.4.1:
Réalisation 2019 avec TECQ 14-18
11 552$     Étude pour traitement eau potable
126 165$   Mise au normes, eau usée (système de mesure de débit à l'affluent + chambre de contrôle de niveau)
137 507$   Remplacement de conduite tronçon I013 (rang 6 Est et Ouest)
Investissements prévus 2021:
581 400$ : règlement d'emprunt -&gt;Mise en place système de filtration au charbon actif et correction du PH</t>
  </si>
  <si>
    <t>Saint-Adelphe #1:3970</t>
  </si>
  <si>
    <t>X0009436</t>
  </si>
  <si>
    <t>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</si>
  <si>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100%. L’emprunt pour les infrastructures d'eau a été estimé à 28% du seuil d’immobilisation pour la TECQ.
</t>
  </si>
  <si>
    <t>Réseau municipal (X0008137)</t>
  </si>
  <si>
    <t>X0008137</t>
  </si>
  <si>
    <t>Réseau terrasse Saint Denis (X0008138)</t>
  </si>
  <si>
    <t>X0008138</t>
  </si>
  <si>
    <t>Art 4.2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</si>
  <si>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1.4 : Les frais d'administration générale ont été estimés à 15% des charges avant amortissements.
Art 2.5 : La taxe foncière sur la valeur a été utilisée afin de retrouver un excédent de fonctionnement de 82 7242$.
Art 2.9 et 2.10 : Les montants des deux réserves financières " Égout et aqueduc- Village" et  " Égout et aqueduc- St-Denis" sont considérés.
Art 4.1 : TECQ et FIMEAU</t>
  </si>
  <si>
    <t>L'installation de production #2 (Système de production - Saint-Adolphe-d'Howard (Puits FE-01-2016)) n'aurait pas fonctionnée en 2019 ou seulement en fin d'année.</t>
  </si>
  <si>
    <t>Saint-Adrien d'Irlande</t>
  </si>
  <si>
    <t>X0009215</t>
  </si>
  <si>
    <t>Art.2.5 : La taxe foncière sur la valeur a été estimée afin d'équilibrer minimalement les revenus affectés aux services d'eau (article 2.7) et le coût de fonctionnement des services d'eau (article 1.5) de façon à ne pas créer de déficit.
Art. 4.1 : Provient du PRIMEAU</t>
  </si>
  <si>
    <t>SAINT_AGAPIT</t>
  </si>
  <si>
    <t>X0010234</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</si>
  <si>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Le FIMEAU inscrit en 2021 sera utilisé pour le renouvellement de conduites.
Le financement de la TECQ pour les infrastructures d'eau a été estimé à 75% bien que la détermination des besoins n'a pas encore été identifiée.
L’emprunt pour les infrastructures d'eau a été estimé à 100% du seuil d’immobilisation pour la TECQ.
</t>
  </si>
  <si>
    <t>RARC</t>
  </si>
  <si>
    <t>X0010472</t>
  </si>
  <si>
    <t xml:space="preserve">Art.2.5 : La taxe foncière sur la valeur a été estimée afin d'équilibrer minimalement les revenus affectés aux services d'eau (article 2.7) et le coût de fonctionnement des services d'eau (article 1.5) de façon à ne pas créer de déficit.
Section 4 : Aucun financement n'est indiqué. En effet, la municipalité achète l'eau potable à la RARC et ne s'occupe pas de prévoir les investissement liés à la gestion d'actif. Cependant, si des travaux sont nécessaires, des montants lui sont directement facturés par la Régie. À noter que la RARC est une régie de distribution et qu'elle achète l'eau potable à l'AIBR qui elle s'occupe des installations de production d'eau potable. Saint-Aimé ne possède pas de réseau d'eaux usées ou pluviales. </t>
  </si>
  <si>
    <t>Lac-des-Iles</t>
  </si>
  <si>
    <t xml:space="preserve">Art 4.1: mise à niveau de l'usine, avec la TECQ 19-23
Section 4: mis à part le 1658 $ de la TECQ aucune information n’est disponible quant aux investissements déjà réalisés en 2019. Des 0$ ont été considérés.
</t>
  </si>
  <si>
    <t>Aqueduc du village</t>
  </si>
  <si>
    <t>X0009290</t>
  </si>
  <si>
    <t>Rivière blanche</t>
  </si>
  <si>
    <t>X0010342</t>
  </si>
  <si>
    <t>Art.2.2 : La municipalité respectait l'objectif de perte d'eau au bilan 2018 et n'avait pas d'obligation de recherche de fuite pour le bilan 2019.</t>
  </si>
  <si>
    <t>Art 2.1 : Étant donné que l’objectif de l’indice de fuite dans les infrastructures n’est pas atteint pour le réseau Aqueduc du village,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</si>
  <si>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X0010615</t>
  </si>
  <si>
    <t xml:space="preserve">Art.4.1 et 4.5 : Les estimation des subventions proviennent de la TECQ. Tirées du document connexe PTI 2020-2022.
2020: 
Auscultation des conduites d'égouts
Mise aux normes du réseau d'égouts
Mise aux normes de l'usine d'eaux usées
Réservoir d'eau potable &amp; vannes
Postes de pompage
2022: 
Mise aux normes du réseau d'égouts
Réservoir d'eau potable &amp; vannes
</t>
  </si>
  <si>
    <t>St-Alexandre-de-Kam.</t>
  </si>
  <si>
    <t>X0008691</t>
  </si>
  <si>
    <t>Section 2 : La municipalité n'avait pas d'obligation de faire de recherche de fuite en 2019 parce qu'elle ne dépassait pas l'objectif de l'IFI au bilan 2018.
Section 4 : Les compteurs non-relevés sont 7 compteurs brisés que la municipalité prévoit remplacer et 2 branchements saisonniers pour lesquels la municipalité n'a pas eu le temps de faire la lecture avant la fermeture pour l'hiver.</t>
  </si>
  <si>
    <t>Art 2.1 : Étant donné que l’objectif de l’indice de fuite dans les infrastructures n’est pas atteint pour le réseau Saint-Alexandre-de-Kamouraska,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</si>
  <si>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14-18 et 19-23.</t>
  </si>
  <si>
    <t>St-Alexandre-des-Lacs</t>
  </si>
  <si>
    <t>x0009818</t>
  </si>
  <si>
    <t>Art. 4.1 : 10 branchements de services résidentiel sont inactifs</t>
  </si>
  <si>
    <t>Art.2.5 : La taxe foncière sur la valeur a été estimée afin d'équilibrer minimalement les revenus affectés aux services d'eau (article 2.7) et le coût de fonctionnement des services d'eau (article 1.5) de façon à ne pas créer de déficit.
Section 4 : Aucune intervention prévue pour les services d'eau.</t>
  </si>
  <si>
    <t>Saint-Alexis (X0008512)</t>
  </si>
  <si>
    <t>X0008512</t>
  </si>
  <si>
    <t xml:space="preserve">Art 2.1 : Étant donné que l’objectif de l’indice de fuite dans les infrastructures n’est pas atteint pour le réseau X0008512, ce dernier doit être ausculté à 200% pour le 1er septembre 2021.
Art 2.2 : Les délais longs sont exceptionnels, du fait de la situation des cas (branchements de services dans une bâtisse abandonnée). La municipalité répare rapidement ses fuites en temps normal.
</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</si>
  <si>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</si>
  <si>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4.2: Travaux pour des mises aux normes.
Art 4.5: Les subventions proviennent du FIMEAU.
Art 4.5 &amp; 4.6: Contruction d'un nouveau puits (P2).</t>
  </si>
  <si>
    <t xml:space="preserve"> Art 2.1: La population est la même que celle desservie dans l'onglet Audit de l'eau.</t>
  </si>
  <si>
    <t>Saint-Alexis-de-Matapédia</t>
  </si>
  <si>
    <t>X0009070</t>
  </si>
  <si>
    <t>Art.2.5 : La taxe foncière sur la valeur a été estimée afin d'équilibrer minimalement les revenus affectés aux services d'eau (article 2.7) et le coût de fonctionnement des services d'eau (article 1.5) de façon à ne pas créer de déficit.
Section 4 : Aucun investissement prévu présentement. Cette section sera modifiée dans les prochaines années lorsque les travaux et les sources de financement serotn établies.</t>
  </si>
  <si>
    <t>Saint-Alphonse</t>
  </si>
  <si>
    <t>X0009094</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</si>
  <si>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</si>
  <si>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Les investissements 2019 proviennent de la TECQ 14-18 et les investissements futurs proviennent de la TECQ 19-23.</t>
  </si>
  <si>
    <t xml:space="preserve">4H </t>
  </si>
  <si>
    <t>X0008747</t>
  </si>
  <si>
    <t xml:space="preserve">Adam </t>
  </si>
  <si>
    <t xml:space="preserve">Art.1.2&amp;1.3: Pour le remboursement de la dette, la municipalité ne le sait pas encore.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75%. L’emprunt pour les infrastructures d'eau a été estimé à 75% du seuil d’immobilisation pour la TECQ.
</t>
  </si>
  <si>
    <t>Réseau Village (X0009954)</t>
  </si>
  <si>
    <t>X0009954</t>
  </si>
  <si>
    <t>Réseau Visitation (X2108441)</t>
  </si>
  <si>
    <t>X2108441</t>
  </si>
  <si>
    <t>Art 2.2 : Fuite nécessitant une mobilisation d'équipement donc le délai fut long.</t>
  </si>
  <si>
    <t xml:space="preserve">Art.1.4 : Les frais d'administration générale ont été estimés avec une valeur de 15 % des charges avant amortissement (article 1.1).
Art 2.10 : Le solde pour la réserve financère dédiée aux infrastructures d'eau comprend la réserve égout (85 425 $) et aqueduc (22 104 $) de la muncipalité.
Art.4.1 : Les subventions proviennent de la TECQ 2014-2018. </t>
  </si>
  <si>
    <t>Saint-Anaclet</t>
  </si>
  <si>
    <t>X0009747</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</si>
  <si>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2023.</t>
  </si>
  <si>
    <t>Art.1.4 : Les frais d'administration générale ont été estimés avec une valeur de 15 % des charges avant amortissement (article 1.1).
Art.4.1 et 4.5 : Les subventions proviennent de la TECQ et du PRIMEAU .
Art. 4.1 : Réalisation 2019: 58 088 $ ajout turbidimètre au poste de cloration (15 000$) et travaux sur étang aéré en prévision de l'ajout d'un aérateur (45 000$)
Art. 4.5 : Réalisation 2019 : Prolongement de conduite. PRIMEAU-1.2 : 816 000$ + TECQ 19-23 : 463 486$
Art. 4.5 : Investissement prévus 2024 : Prolongement de conduite pour un nouvel éco quartier. TECQ 2024-2028 : 500 000$
Art. 4.6 : Réalisation 2019 : Prolongement de conduite. Règlement d'emprunt 396 000$</t>
  </si>
  <si>
    <t>X0010574</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</si>
  <si>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L'investissement de 2020 proviennent de la TECQ 2019-2023 et servent à la mise en place d'un nouveau puit.
</t>
  </si>
  <si>
    <t>Saint-André-du-Lac-Saint-Jean</t>
  </si>
  <si>
    <t>X0009783</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</si>
  <si>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
La municipalité n'a pas prévu d'utiliser de la TECQ pour investir dans les infrastructure d'eau dans les 10 prochaines années.
Les travaux associés à la mise en plase de la station de traitement des eaux usées seront financés par le FIMEAU mais la confirmation n'est pour l'heure pas faite.</t>
  </si>
  <si>
    <t>St-Anselme</t>
  </si>
  <si>
    <t>X0009735</t>
  </si>
  <si>
    <t>Art.1.4 : Les frais d'administration générale ont été estimés avec une valeur de 15 % des charges avant amortissement (article 1.1).
Art 2.5 : La taxe foncière sur la valeur a été estimée afin d’obtenir un montant de 804 083 $ dans la réserve financière dédiée aux infrastructures d’eau.
Art.4.1 et 4.5 : Les subventions proviennent de la TECQ et du FIMEAU.
Le financement de la TECQ pour les infrastructures d'eau a été estimé à 80%.
L’emprunt pour les infrastructures d'eau a été estimé à 50% du seuil d’immobilisation pour la TECQ.</t>
  </si>
  <si>
    <t>AIBR</t>
  </si>
  <si>
    <t>Art 4.1 : Données provenant de la TECQ 14-18 et TECQ19-23.</t>
  </si>
  <si>
    <t>Saint-Antonin</t>
  </si>
  <si>
    <t>X0008765</t>
  </si>
  <si>
    <t>Art. 4.2 : La municipalité pourrait mieux estimer la consommation résidentielle en relevant les compteurs d’eau déjà installés sur son réseau.</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</si>
  <si>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Articles 4.5 à 4.8: Prolongement des rues Millénaire, René-Fillion et Paradis financés à 100% par les promoteurs.</t>
  </si>
  <si>
    <t>Saint-Apollinaire</t>
  </si>
  <si>
    <t>X0009944</t>
  </si>
  <si>
    <t>Art.2.5 : La taxe foncière sur la valeur a été estimée afin d'équilibrer minimalement les revenus affectés aux services d'eau (article 2.7) et le coût de fonctionnement des services d'eau (article 1.5) de façon à ne pas créer de déficit.
Art. 4.1 : Provient du FIMEAU (l'année2020) et TECQ 100% (l'année 2021 - 2025)
Art. 4.7 : La municipalité a confirmé le montant, avec le taux d'inlfation de 2%</t>
  </si>
  <si>
    <t>Saint-Arsène</t>
  </si>
  <si>
    <t>X0008784</t>
  </si>
  <si>
    <t>Art.1.4 : Les frais d'administration générale ont été estimés avec une valeur de 15 % des charges avant amortissement (article 1.1).
Art.4.1 et 4.5 : Les subventions proviennent de la TECQ 14-18 et 19-23.
Réalistion 2019 : TECQ 14-18 : réfection d'égout
Subventions 2020 :TECQ 19-23 : 30 000$ inspection puit PP3, 21 000$ inspection réservoir, 397 950$ réfection aqueduc &amp; égouts</t>
  </si>
  <si>
    <t>St Augustin</t>
  </si>
  <si>
    <t>X0009829</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</si>
  <si>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20% pour la réfection des conduites.
L’emprunt pour les infrastructures d'eau a été estimé à 0% du seuil d’immobilisation pour la TECQ.
</t>
  </si>
  <si>
    <t>St-Augustin River</t>
  </si>
  <si>
    <t xml:space="preserve">Section 4: 
Liste des travaux prévus dans la TECQ 19-23:
Second filtration system - UV 300 000 (2020-2021)
Install Pump House 40 000$ (2021-2022)
Drying Beds 35 000$ (2021-2022)
Install sectoral water meters 25 000$ (2022-2023)
Install sewage pump 50 000$ (2022-2023)
</t>
  </si>
  <si>
    <t>X0009146</t>
  </si>
  <si>
    <t>Art 4.1 : 80 branchements inactifs sont considérés en branchements résidentiels sans compteurs.</t>
  </si>
  <si>
    <t>Art 2.1 : Étant donné que l’objectif de l’indice de fuite dans les infrastructures n’est pas atteint pour le réseau Réseau Municipal, ce dernier doit être ausculté à 200% pour le 1er septembre 2021. Aussi, il serait recommandé à la municipalité de faire une recherche de fuites à tous les points de contact pour réduire leur IFI.</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</si>
  <si>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du FIMEAU</t>
  </si>
  <si>
    <t>RIEVR</t>
  </si>
  <si>
    <t>X0008142</t>
  </si>
  <si>
    <t>Saint-Benoît-Labre</t>
  </si>
  <si>
    <t>X0009861</t>
  </si>
  <si>
    <t>Art 2.1 : Étant donné que l’objectif de l’indice de fuite dans les infrastructures n’est pas atteint pour le réseau St Benoît Labre, ce dernier doit être ausculté à 200% pour le 1er septembre 2021.</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</si>
  <si>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Un montant de 138 029$ était inscrit par la municipalité et à ce montant a été ajouté 45 161$ afin de balancer les coûts et les revenus.
Art. 4.5 : La subvention FIMEAU sera utilisée pour le prolongement de réseau mais les projets ayant été décalé à cause de la COVID-19, la municipalité préfère ne pas indiquer de montant.</t>
  </si>
  <si>
    <t>Saint-Bernard</t>
  </si>
  <si>
    <t>X0010579</t>
  </si>
  <si>
    <t xml:space="preserve">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2.1 : Étant donné que l’objectif de l’indice de fuite dans les infrastructures n’est pas atteint pour le réseau X0010579, ce dernier doit être ausculté à 200% pour le 1er septembre 2021.
</t>
  </si>
  <si>
    <t>Art. 1.3 : Nous n’avons pas de dette pour le réseau d’aqueduc ou d’égout, mais les montants indiqués pour les frais de financement sont des citoyens qui ont remboursé leur dette. Certains citoyens ont une taxe de secteur puisque le réseau d’aqueduc et d’égout ont été ajoutés récemment. À chaque année, ils remboursent leur partie.
Art. 4.1 : Provient de la TECQ 19-23
Art. 4.5 et 4.6 : provient du programme PRIMEAU (2019) et de la TECQ 19-23 (2020)</t>
  </si>
  <si>
    <t>Art 2.1 : Étant donné que l’objectif de l’indice de fuite dans les infrastructures n’est pas atteint pour le réseau X0010472, ce dernier doit être ausculté à 200% pour le 1er septembre 2021.</t>
  </si>
  <si>
    <t>Section 4 : Les investissements en structure doivent être administrés par la Régie d'Aqueduc Richelieu Centre.</t>
  </si>
  <si>
    <t>Saint Bruno</t>
  </si>
  <si>
    <t>Réseau Commun</t>
  </si>
  <si>
    <t>X0010024-X0009901-X0009835</t>
  </si>
  <si>
    <t>Art 2.1 : Étant donné que l’objectif de l’indice de fuite dans les infrastructures n’est pas atteint pour le réseau Saint-Bruno,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</si>
  <si>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Art.1.4 : Les frais d'administration générale ont été estimés avec une valeur de 15 % des charges avant amortissement (article 1.1).
Art. 2.2 : Rassemble l'ensemble des sommes perçues par la municipalité de la part des citoyens et également des municipalités de Larouche et Hebertville-Station.
Art.2.5 : La taxe foncière sur la valeur a été estimée afin d'équilibrer minimalement les revenus affectés aux services d'eau (article 2.7) et le coût de fonctionnement des services d'eau (article 1.5) de façon à ne pas créer de déficit.
Art. 4.1 : En 2019, les investissements ont été réalisés avec la TECQ 14-18
Les montant sont issus du PTI de la municipalité</t>
  </si>
  <si>
    <t>Le nombre de logements et le nombre de personnes par logement a été ajusté afin de prendre en compte l'ensemble des municipalités desservie par cette installation de production (Saint-Bruno, Larouche, Hébertville-Station).</t>
  </si>
  <si>
    <t>Saint-Bruno-de-Guigues</t>
  </si>
  <si>
    <t>X0009743</t>
  </si>
  <si>
    <t>Section 2 : Parce que l'objectif d'IFI était atteint au Bilan 2018, la municipalité n'avait pas de recherche de fuite obligatoire à faire pour le 1er septembre 2019.</t>
  </si>
  <si>
    <t>Art.1.4 : Les frais d'administration générale ont été estimés avec une valeur de 15 % des charges avant amortissement (article 1.1).
4.5   generatrice 46868 $    TECQ    TABLEAU SECTION 4   ( 25000  TECQ+15200  FOND D'ADMINISTRATION)</t>
  </si>
  <si>
    <t>X0008545</t>
  </si>
  <si>
    <t>Art 2.1 : Étant donné que l’objectif de l’indice de fuite dans les infrastructures n’est pas atteint pour le réseau Réseau municipal, ce dernier doit être ausculté à 200% pour le 1er septembre 2021.
Art 4.1 : Étant donné que la valeur d'au moins un des indicateurs de performance dépasse l’objectif, l’installation et la lecture de compteurs d’eau dans tous les immeubles non résidentiels (Industries, Commerces et Institutions), les immeubles mixtes ciblés, les immeubles municipaux et sur un échantillon de 20 immeubles résidentiels est requise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</si>
  <si>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Art.3.6 et Art.4.4: Les travaux prévus dans les besoins d'investissement à la section 3 font partie d'une liste non exhaustive. Certains seront réalisés et d'autres non. Les montants à la section 4 sont des prévisions de la municipalité.</t>
  </si>
  <si>
    <t>Pied de la Montagne (X0010011)-Saint-Thuribe</t>
  </si>
  <si>
    <t>X0010011</t>
  </si>
  <si>
    <t>Saint-Casimir(X0010388)-Saint-Thuribe</t>
  </si>
  <si>
    <t>X0010388</t>
  </si>
  <si>
    <t xml:space="preserve">Section 4: 
2019: Prise d'eau St-Casimir (PRMIEAU + emprunt)
2020: conduites rue du Bureau (emprunt). Cet investissement n'est pas encore confirmé par le conseil municipal
2021: Barrage Niagarette, conduite d'adduction (TECQ 19-23 + emprunt)
</t>
  </si>
  <si>
    <t>Saint-Célestin</t>
  </si>
  <si>
    <t>X0009248</t>
  </si>
  <si>
    <t xml:space="preserve">Art.1.4 : Les frais d'administration générale ont été estimé par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FEPTEU et du FIMEAU. </t>
  </si>
  <si>
    <t>Saint-Césaire</t>
  </si>
  <si>
    <t xml:space="preserve">Art.2.5 : La taxe foncière sur la valeur a été estimée afin d'équilibrer minimalement les revenus affectés aux services d'eau (article 2.7) et le coût de fonctionnement des services d'eau (article 1.5) de façon à ne pas créer de déficit.
Section 4 : 
Année 2019 : subventions confirmée provenant de la TECQ 14-18 qui a été utilisée.
Année 2021 : Travaux sur les réseaux d'eau potables et des eaux usées selon le plan d'intervention. 2 181 660 $ , TECQ 19-23
                     Conduite d'amenée pour le puits #1 au chemin Saint-François. FIMEAU ( 4 360 000 $) et emprunts (1 090 000 $)
Année 2020 : Travaux sur le réseau d'eau potable. 1 500 000 $ </t>
  </si>
  <si>
    <t xml:space="preserve">Art 2.1 : Il y a 7 logements qui sont desservis à la ville de Rougements ainsi que les 2 536  logements de la ville de Saint-Césaire. </t>
  </si>
  <si>
    <t xml:space="preserve">Saint-Charles-Borromée </t>
  </si>
  <si>
    <t>X0009158</t>
  </si>
  <si>
    <t xml:space="preserve">Art.1.3 : Le remboursement de la dette 2019 est à 0, car l'ensemble des travaux est financé. La municipalité n'a donc pas de dette.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Art.3.3: Le maintien d’actif régulier en 2020 a été mis à jour avec le financement pour le renouvellement de conduites que la municipalité a reçu.
Art.4.1 et Art.4.5 : Les subventions proviennent de la TECQ, du FIMEAU, du PIQM et du PRIMEAU. Le financement de la TECQ pour les infrastructures d'eau a été estimé à 100%. L’emprunt pour les infrastructures d'eau a été estimé à 87% du seuil d’immobilisation pour la TECQ.
</t>
  </si>
  <si>
    <t>X0010741</t>
  </si>
  <si>
    <t>Art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l’objectif de l’indice de fuite dans les infrastructures n’est pas atteint pour le réseau X0010741, ce dernier doit être ausculté à 200% pour le 1er septembre 2021.</t>
  </si>
  <si>
    <t>Art. 4.1 : Provient de la TECQ 14-18</t>
  </si>
  <si>
    <t>Saint-Charles-de-Bourget</t>
  </si>
  <si>
    <t>X0009600</t>
  </si>
  <si>
    <t>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Art.4.1 et 4.5 : Les subventions proviennent de la TECQ.
Le financement de la TECQ pour les infrastructures d'eau a été estimé à 100%.
L’emprunt pour les infrastructures d'eau a été estimé à 100% du seuil d’immobilisation pour la TECQ.</t>
  </si>
  <si>
    <t>Art.4.1 et 4.5 : Les subventions proviennent de la TECQ.
Le financement de la TECQ pour les infrastructures d'eau a été estimé à 25%.</t>
  </si>
  <si>
    <t>Victoriaville</t>
  </si>
  <si>
    <t>X0010728-X0009317</t>
  </si>
  <si>
    <t xml:space="preserve">Art.1.4 : Les frais d'administration générale ont été estimés avec une valeur de 8 %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Attente du PI pour raffiner la TECQ, estimation de 25% en attendant </t>
  </si>
  <si>
    <t>Saint-Chrysostome</t>
  </si>
  <si>
    <t>X0009019</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</si>
  <si>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TECQ 14-18.</t>
  </si>
  <si>
    <t>Aqueduc de Saint-Clément</t>
  </si>
  <si>
    <t>X0008550</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</si>
  <si>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et la relève de compteurs d’eau dans tous les immeubles non résidentiels (Industries, Commerces et Institutions), les immeubles mixtes ciblés, les immeubles municipaux et sur un échantillon de 20 immeubles résidentiels sera requise progressivement d'ici le 1er septembre 2025.</t>
  </si>
  <si>
    <t>Saint-Cléophas</t>
  </si>
  <si>
    <t>X0009772</t>
  </si>
  <si>
    <t>5 branchements de service non résidentiel inactifs</t>
  </si>
  <si>
    <t>Art 4.1 : Si la municipalité dépasse un des objectifs au bilan 2022, l’installation de compteurs d’eau dans tous les immeubles non résidentiels (Industries, Commerces et Institutions), les immeubles mixtes ciblés, les immeubles municipaux et sur un échantillon de 10 immeubles résidentiels sera requise progressivement d'ici le 1er septembre 2025.
Art 2.1 : Étant donné que l’objectif de l’indice de fuite dans les infrastructures n’est pas atteint pour le réseau Saint-Cléophas,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</si>
  <si>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Aide financière de la TECQ 2019-2023 pour la réalisation d'études préliminaires pour des travaux de réfection. La municipalité ne veut pas donner de montant ou de dates pour la réalisation de ces travaux.</t>
  </si>
  <si>
    <t>Réseau municipal (X0008753)</t>
  </si>
  <si>
    <t>X0008753</t>
  </si>
  <si>
    <t>Art 3.2 Opt 7 : Purge sur la 50ième Avenue. En attente pour travaux TECQ pour réfection de la conduite d'aqueduc qui présente des risques de gel l'hiver. Toutes les autres purges ne sont utilisées que lors du nettoyage du réseau.         
Art 4.1 : Révision du quantitatif de compteurs non résidentiels afin de considérer aussi les immeubles non taxés
Art 4.2 : Il est prévu l'installation de 43 compteurs d'eau dans les immeubles ICI (100 %) et 20 dans le secteur résidentiel</t>
  </si>
  <si>
    <t>Art 2.1 : Étant donné que l’objectif de l’indice de fuite dans les infrastructures n’est pas atteint pour le réseau Réseau municipal (X0008753),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</si>
  <si>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Art 1.1 : Les charges avant amortissement de 2018 ont été utilisées.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La municipalité n'a pas encore de programmation mais voudrait faire la réfection du poste de pompage avec la TECQ 19-23.</t>
  </si>
  <si>
    <t>saint-come-linière</t>
  </si>
  <si>
    <t>X2046994</t>
  </si>
  <si>
    <t>Art. 2.1 : La municipalité fait de la recherche de fuite 4 fois par an.</t>
  </si>
  <si>
    <t>Art 2.1 : Étant donné que l’objectif de l’indice de fuite dans les infrastructures n’est pas atteint pour le réseau Saint-Côme-Linière, ce dernier doit être ausculté à 200% pour le 1er septembre 2021.</t>
  </si>
  <si>
    <t>Art.1.4 : Les frais d'administration générale ont été estimés avec une valeur de 13 %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et 4.2 : Provient des programmes d'aide PRIMEAU et du seuil d'immobilisation de la TECQ 19-23.
Le financement de la TECQ pour les infrastructures d'eau a été estimé à 60%.</t>
  </si>
  <si>
    <t>Saint-Cyprien</t>
  </si>
  <si>
    <t>X0009804</t>
  </si>
  <si>
    <t>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Art.2.5 : La taxe foncière sur la valeur a été estimée afin d'équilibrer minimalement les revenus affectés aux services d'eau (article 2.8) et le coût de fonctionnement des services d'eau (article 1.6) de façon à ne pas créer de déficit.
Art. 4.1 : Les investissements réels de 2019 proviennent de la TECQ 2014-2018
Art.4.1 et 4.5 : Les subventions proviennent de la TECQ
Le financement de la TECQ pour les infrastructures d'eau a été estimé à 75%.
Les paiments comptants pour les infrastructures d'eau a été estimé à 10% du seuil d’immobilisation pour la TECQ.</t>
  </si>
  <si>
    <t>Section 1 : Informations tirés de l'outil BI
Section 2 : Représente uniquement la population désservie par l'installation de production à la section 1 
Art. 3.4 : Même traitement qu'en 2017</t>
  </si>
  <si>
    <t>Secteur du Golf</t>
  </si>
  <si>
    <t>X0009080</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</si>
  <si>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X2046688 , ce dernier doit être ausculté à 200% pour le 1er septembre 2021.</t>
  </si>
  <si>
    <t>Art 4.1 : TECQ 19-23
Art. 2.5 : La taxe foncière sur la valeur a été estimée afin d’obtenir un excédent de 14 500$ entre les revenus et le coût de fonctionnement. Cet excédent a été ajouté à la réserve financière dédiée aux infrastructures d’eau, amenant le solde de la réserve à 90 426$ à la fin de l’année 2019.</t>
  </si>
  <si>
    <t>Saint Cyrille de Wendover (X0008887)</t>
  </si>
  <si>
    <t>X0008887</t>
  </si>
  <si>
    <t>Art 4.1 : 44 branchements inactifs sont considérés dans le secteur résidentiel sans compteurs.</t>
  </si>
  <si>
    <t>Art 2.1 : Étant donné que l’objectif de l’indice de fuite dans les infrastructures n’est pas atteint pour le réseau X0008887, ce dernier doit être ausculté à 200% pour le 1er septembre 2021.</t>
  </si>
  <si>
    <t xml:space="preserve">Art.1.4 : Les frais d'administration générale ont été estimés avec une valeur de 15 % des charges avant amortissement (article 1.1).
Art 2.5 : La taxe foncière sur la valeur a été estimée afin d’obtenir un montant de 33 $ dans la réserve financière dédiée aux infrastructures d’eau.
Art.4.1 et 4.5 : Les subventions proviennent de la TECQ et du FIMEAU.
Le financement de la TECQ pour les infrastructures d'eau a été estimé à 80%.
Art 4.6 : Le montant de 15 170 000 $ représente l'emprunt effectuer pour les travaux réalisés à l'usine de Drummondville, d'où une absence de ce besoin dans l'outil BI.
Art 3.6 &amp; Art 4.10 : Le pourcentage des investissements par rapport aux besoins d'investissements est élevé. L'estimation des besoins d'investissements et des sources de financement sera raffinée au courant des prochaines années. Puisque les travaux sont réalisés en gestion intégrée, les montants sont donc supérieurs au déficit de maintien d'actif. 
</t>
  </si>
  <si>
    <t>Saint-Damase</t>
  </si>
  <si>
    <t>X0009796</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</si>
  <si>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Aucune intervention prévue présentement.</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</si>
  <si>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Subventions pour la mise aux normes de l'usine. (FIMEAU 1.2 &amp; PRIMEAU 1.1)</t>
  </si>
  <si>
    <t>Saint-Damien-de-Buckland</t>
  </si>
  <si>
    <t>X0008928</t>
  </si>
  <si>
    <t>Art 2.1 : Étant donné que l’objectif de l’indice de fuite dans les infrastructures n’est pas atteint pour le réseau X0008928,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</si>
  <si>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TECQ  pour l'année 2020. Pour les autres années, la municipalité n'a pas encore planifié les montants à investir.
</t>
  </si>
  <si>
    <t>Régie d'Aqueduc Richelieu Centre</t>
  </si>
  <si>
    <t>Municipal</t>
  </si>
  <si>
    <t>X0009610</t>
  </si>
  <si>
    <t>Alpin</t>
  </si>
  <si>
    <t>X0009611</t>
  </si>
  <si>
    <t>Art 4.1 : Étant donné qu'au moins un des deux objectifs n'est pas atteint, l’installation de compteurs d’eau dans tous les immeubles non résidentiels (Industries, Commerces et Institutions), les immeubles mixtes ciblés, les immeubles municipaux et sur un échantillon de 60 immeubles résidentiels est requise d'ici le 1er septembre 2020.</t>
  </si>
  <si>
    <t>Art. 4.1 : Provient de la TECQ 19-23</t>
  </si>
  <si>
    <t>DOMAINE FOREST</t>
  </si>
  <si>
    <t>X2003729</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</si>
  <si>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3.1 : Premier dépassement de la municipalité de la consommation résidentielle
Art 4.1 : 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</si>
  <si>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3.3 : Les besoins en maintient 2020 ont étés ajustés de façon à ne pas avoir une courbe de DMA négative. Les informations du précédent PI sont obselètes et il est conseillé de le remettre à jour.
Art 4.1 : 2020 : Réalisation de plans et devis pour la reconstruction de l'égout pluvial, 2021: Mise à niveau des stations de pompage - réseau d'égout Montjoie 280 000$ + RECONSTRUCTION DU RÉSEAU D'ÉGOUT PLUVIAL SUR LA CÔTE DE L'ARTISTE 1 000 000$</t>
  </si>
  <si>
    <t>Art.1.4 : Les frais d'administration générale ont été estimés avec une valeur de 15 % des charges avant amortissement (article 1.1).
Section 2 : Les revenus ont été estimés selon le bilan 2018. 
Section 4 : Les montants indiqués correspondent à la TECQ 14-18 et au FIMEAU-1.1.</t>
  </si>
  <si>
    <t>Saint-Didace</t>
  </si>
  <si>
    <t>X0008626</t>
  </si>
  <si>
    <t xml:space="preserve">Art.4.1 et 4.5 : Les subventions proviennent de la TECQ. Le financement de la TECQ pour les infrastructures d'eau a été estimé à 20%. Le paiement comptant pour les infrastructures d'eau a été estimé à 20% du seuil d’immobilisation pour la TECQ.
</t>
  </si>
  <si>
    <t>Saint-Dominique</t>
  </si>
  <si>
    <t>X0008674</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</si>
  <si>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t>
  </si>
  <si>
    <t>Saint-Adèle</t>
  </si>
  <si>
    <t>X000820-X0008822-X0008369</t>
  </si>
  <si>
    <t>Sainte-Agathe</t>
  </si>
  <si>
    <t>X0009133</t>
  </si>
  <si>
    <t>Art.1.4 : Les frais d'administration générale ont été estimés avec une valeur de 10 % des charges avant amortissement (article 1.1).
Art. 4.1 : Provient du FIMEAU en 2021 pour le renouvellement de conduite et mise en place de conduites en PVC.
Prolongement de réseau en 2020.
Le financement de la TECQ pour les infrastructures d'eau a été estimé à 0%.</t>
  </si>
  <si>
    <t xml:space="preserve">Sainte-Angèle-de-Mérici </t>
  </si>
  <si>
    <t>X0010644</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</si>
  <si>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2.1 : Étant donné que l’objectif de l’indice de fuite dans les infrastructures n’est pas atteint pour le réseau Sainte-Angèle-de-Mérici,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</si>
  <si>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
Remplacement conduite aqueduc Rue Laurent-Thibault Sud 195 000$ rattrapage
Le plan d'intervention est en cours de mise à jour présentement (la valeur n'est pas parfaitement représentative)
Mise à jour PI, auscultation sur 2,7 km et rue Saint-George : 30 750$ TECQ 19-23
Remplacement égout avenue Bernard-Lévesque : 25 000$ 2023-2024 TECQ 19-23
Remplacement égout chemin station de pompage : 25 000$ 2023-2024 TECQ 19-23
Remplacement conduite d'égout tronçon I116: 2021-2022 135 000$ (portion égout) </t>
  </si>
  <si>
    <t>Sainte-Angèle-de-Monnoir</t>
  </si>
  <si>
    <t>X0008925</t>
  </si>
  <si>
    <t>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Étant donné que l’objectif de l’indice de fuite dans les infrastructures n’est pas atteint pour le réseau  X0008925, ce dernier doit être ausculté à 200% pour le 1er septembre 2021.</t>
  </si>
  <si>
    <t>Art.4.1 et 4.5 : Les subventions proviennent de la TECQ pour les projets:
- Station de pompage rue Réjean
-Étude du réseau pluvial sur la rue Réjean
-Réhabilitation des conduites
-Réservoir d'eau potable - Plans et devis
-Ajout d'un bassin de rétention avec débordement au poste de pompage des eaux usées
-Inspection réseau égout
-Plan d'intervention en infrastructures municipales
Art:1.4: La municipalité importe l'eau donc les frais d'administration générale sont inclues dans la charge avant amortissement</t>
  </si>
  <si>
    <t>Sainte-Angèle-de-Prémont</t>
  </si>
  <si>
    <t>X2015874</t>
  </si>
  <si>
    <t>Art.4.1 : Il est recommandé d'feffectuer la relève des compteurs d'eau pour inclure les données de consommation au prochain bilan. Pour les compteurs d'eau qui manquent, la municipalité prévoit le terminer d'ici juillet 2020.</t>
  </si>
  <si>
    <t xml:space="preserve">Art.1.4 : Les frais d'administration générale ont été estimés avec une valeur de 10 % des charges avant amortissement (article 1.1).
Art.2.4 :  Le transfert du gouvernement du Québec inclut la subvention du MAMH (FIMR) pour l'assainissement des eaux usées.
Art.4.1 et 4.5 : Les subventions proviennent de la TECQ.
Le financement de la TECQ pour les infrastructures d'eau a été estimé à 50%.
L’emprunt a été pour les infrastructures d'eau a été estimé à 15% des subventions de la TECQ.
</t>
  </si>
  <si>
    <t>Sainte-Anne-de-Bellevue-Pierrefonds</t>
  </si>
  <si>
    <t>X0008126</t>
  </si>
  <si>
    <t>Art 2.1 : Étant donné que l’objectif de l’indice de fuite dans les infrastructures n’est pas atteint pour le réseau, ce dernier doit être ausculté à 200 % de sa longueur équivalente d'ici le 1er septembre 2021.</t>
  </si>
  <si>
    <t xml:space="preserve">Travaux en  2019
• 3 252 915,93 $ taxes incluses.
• Subventions : 916 267,00 $
Travaux  en  2020
• 950  243,20 $ taxes incluses.
• Subventions : 297 541,00 $
Travaux prévus en 2021
• 3 000 000,00 $ 
• Subvention : 287 442,00 $
Travaux prévus en 2022
• 1 300 000,00 $
• Subvention : 92 287,00 $
Travaux prévus en 2023
• 1 345 000,00 $
• Subvention : 579 000,00 $
</t>
  </si>
  <si>
    <t>Station, Cessionnaires, Hudon, Usines</t>
  </si>
  <si>
    <t>3eme Rang Ouest</t>
  </si>
  <si>
    <t>X0008446</t>
  </si>
  <si>
    <t>230, Martineau, Harton</t>
  </si>
  <si>
    <t>X2060171</t>
  </si>
  <si>
    <t xml:space="preserve">Art.1.4 : Les frais d'administration générale ont été estimés avec une valeur de 15 % des charges avant amortissement (article 1.1).
Art. 2.5 : La taxe foncière sur la valeur a été estimée afin d’obtenir un excédent de 15 358$ entre les revenus et le coût de fonctionnement. Cet excédent a été ajouté à la réserve financière dédiée aux infrastructures d’eau, amenant le solde de la réserve à 24 182$ à la fin de l’année 2019.
Art.4.1 et 4.5 : Les subventions proviennent de la TECQ et du PRIMEAU-1.2.
Réalisation 2019 : 371 257$, TECQ 14-18, Prolongement Carré Saint-Louis
Réalisation 2019: 8 695 982$, PRIMEAU-1.2, Eau potable et usée secteur Carré Saint-Louis et route 132 ouest
Investissement 2020 : 70 000$, TECQ 19-23, Ajout eau usée rue Gendron
Investissement 2020 : 170 000$, TECQ 19-23, Ajout eau potable 3e avenue
</t>
  </si>
  <si>
    <t>Sainte-Anne-des-Monts</t>
  </si>
  <si>
    <t>X0008070</t>
  </si>
  <si>
    <t>Art.3.2 : La municipalité avait 7 purges permanentes en 2018 et en a optimisé 1 en 2019, réduisant les usages municipaux de 152 à 124 ML annuellement.</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</si>
  <si>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dépassait l’objectif au bilan 2017, l’installation de compteurs d’eau dans tous les immeubles non résidentiels (Industries, Commerces et Institutions), les immeubles mixtes ciblés, les immeubles municipaux et sur un échantillon de 60 immeubles résidentiels est requise d'ici le 1er septembre 2021.</t>
  </si>
  <si>
    <t>Art.1.4 : Les frais d'administration générale ont été estimés avec une valeur de 15 % des charges avant amortissement (article 1.1).
Art.4.1 et 4.5 : Les subventions proviennent de la TECQ.</t>
  </si>
  <si>
    <t>Sainte-Anne-de-Sorel</t>
  </si>
  <si>
    <t>X0010713</t>
  </si>
  <si>
    <t>Sainte-Anne-des-Plaines</t>
  </si>
  <si>
    <t>X0008787</t>
  </si>
  <si>
    <t>Section 2 art 2.1 Option 3: 3 recherches de fuites par écoute de BF, vannes et autres faites en 2019.  2 recherches de fuites par écoute de BF, vannes et autres planifiées annuellement au printemps et automne 2020. Possibilité de recherche additionnelle si des évènements particuliers (coup de bélier et autres) sont constatés durant l'année 2020.       
Section 3 art. 3.2 Option 5: Installation d'un système de filtration de l'eau des Jeux d'eau prévue en 2020.
Art 4.1 : Si la municipalité dépasse un des objectifs au bilan 2021, l’installation de compteurs d’eau dans tous les immeubles non résidentiels (Industries, Commerces et Institutions), les immeubles mixtes ciblés, les immeubles municipaux et sur un échantillon d'au moins 60 immeubles résidentiels sera requise progressivement d'ici le 1er septembre 2025.</t>
  </si>
  <si>
    <t>Art 2.1: Étant donné que l’objectif de l’indice de fuite dans les infrastructures n’est pas atteint pour le réseau X0008787, ce dernier doit être ausculté à au moins 200% pour le 1er septembre 2021.
Art 3.1 : Lire les compteurs d'eau dans le secteur résidentiel pour mieux estimer la consommation résidentielle.
Art 3.2: Réduire le volume d'eau utilisé pour le nettoyage des filtres à l'usine de production. (voir AWWA, Non Mesurée Non facturée).
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</si>
  <si>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Section 4: dans le BI il y a certaines interventions de maintien. Mais comme la portion de coût pour le maintien n'est pas connu. Tous les investissements prévus dans les 10 prochaines années pour la bonificationou ET pour le maintien se trouve dans le tableau 2 de la section 4 (Bonification de l'offre de service)
Art 4.5 : le 5 369 500$ correspond à la TECQ 19-23</t>
  </si>
  <si>
    <t>Sainte-Anne</t>
  </si>
  <si>
    <t>X0010095</t>
  </si>
  <si>
    <t>Art 2.1 : Étant donné que l’objectif de l’indice de fuite dans les infrastructures n’est pas atteint pour le réseau,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</si>
  <si>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 4.1: Les subventions proviennent de la TECQ19-23
Art 4.2: 2020: Rue Ste-Anne; 2021: Rue Sicotte et ajout de vannes coin du rang 7; 2020: Rue de l'église tous changement de conduites.
Art 4.5: 2023: Bouclage de réseau Rue Lassonde</t>
  </si>
  <si>
    <t>Ste-Aurélie</t>
  </si>
  <si>
    <t>X0009786</t>
  </si>
  <si>
    <t>Art.2.5 : La taxe foncière sur la valeur a été estimée afin d'équilibrer minimalement les revenus affectés aux services d'eau (article 2.7) et le coût de fonctionnement des services d'eau (article 1.5) de façon à ne pas créer de déficit.
Art. 2.6 : L'excédant de fonctionnement provient de l'excédant perçu pour les services d'eau des années antérieures.
Art.4.1 et 4.5 : Les subventions proviennent de la programmation de la TECQ 19-23</t>
  </si>
  <si>
    <t>Sainte-Béatrix</t>
  </si>
  <si>
    <t>X2020970</t>
  </si>
  <si>
    <t>Le débit de niut de la municipalté est passée de 7,9 à 0,71 m³/h durant l'année. Pour ne pas surestimer la consommation résidentielle et offrir une représentation plus juste de la municipalité, la moyenne des débits de nuit a été utilisée au lieu du débit de nuit minimum (DMN) pour déterminer les PER. Les actions concernant le contrôle actif des fuites seront évaluées selon la technique du DNM, qui donne un IFI de  0,5. Donc, aucune obligation de contrôle actif des fuites n'est demandée par le Ministère.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</si>
  <si>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 4.1 : 2019 à 2025 TECQ 14-18 et environ 200 000$ par an pour construction d'une nouvelle staion de traitment et la renconstruction de l'existante. 
2023 Étude plans et devis égouts usées FIMEAU à venir
</t>
  </si>
  <si>
    <t>Ste-Brigitte-de-Laval</t>
  </si>
  <si>
    <t>X0008371</t>
  </si>
  <si>
    <t>Art 2.1 : Étant donné que l’objectif de l’indice de fuite dans les infrastructures n’est pas atteint pour le réseau Sainte-Brigitte-de-Laval, ce dernier doit être ausculté à 200% pour le 1er septembre 2021.
Art 4.1 :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60 immeubles résidentiels est requise d'ici le 1er septembre 2022.</t>
  </si>
  <si>
    <t>Réseau Village</t>
  </si>
  <si>
    <t>X0009345</t>
  </si>
  <si>
    <t>Réseau Centre</t>
  </si>
  <si>
    <t>X0009238</t>
  </si>
  <si>
    <t>Réseau Duchesnay</t>
  </si>
  <si>
    <t>X0010965</t>
  </si>
  <si>
    <t>Art 4.1 et 4.2 : 
2020 à 2022 Renouvellement de conduites (FIMEAU)
2023: Agrandissement de l'usine de production d'eau potable Duchesnay (TECQ 19-23)</t>
  </si>
  <si>
    <t>Sainte-Cécile-de-Lévrard</t>
  </si>
  <si>
    <t>X0009267</t>
  </si>
  <si>
    <t>Sainte-Claire</t>
  </si>
  <si>
    <t>X0010161</t>
  </si>
  <si>
    <t>Art. 4.1 : Les données du tableau ont été affinées par rapport au bilan 2018.</t>
  </si>
  <si>
    <t>Art 2.1 : Étant donné que l’objectif de l’indice de fuite dans les infrastructures n’est pas atteint pour le réseau X0010161, ce dernier doit être ausculté à 200% pour le 1er septembre 2021.</t>
  </si>
  <si>
    <t>Art. 4.1, 4.2, 4.3 et 4.6: Provient du PTI</t>
  </si>
  <si>
    <t>Sainte-Clotilde-de-Horton (X0009388)</t>
  </si>
  <si>
    <t xml:space="preserve">X0009388 </t>
  </si>
  <si>
    <t>Art 4.1 : 2 branchements inactifs considérés dans le secteur non résidentiel sans compteurs</t>
  </si>
  <si>
    <t xml:space="preserve">Art 1.2 et 1.3 : Emprunt temporaire en 2019 donc pas de capital associé en eau potable.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3.6 &amp; Art 4.10 : Le pourcentage des investissements par rapport aux besoins d'investissements est élevé. L'estimation des besoins d'investissements et des sources de financement sera raffinée au courant des prochaines années.
Art.4.1 et 4.5 : Les subventions proviennent de la TECQ et du FIMEAU.
Le financement de la TECQ pour les infrastructures d'eau est de 825 166$.
</t>
  </si>
  <si>
    <t>Sainte-Croix</t>
  </si>
  <si>
    <t>X0009181</t>
  </si>
  <si>
    <t>Il est recommandé d'installer d'avantage de compteurs dans le secteur non résidentiel pour améliorer la qualité du bilan.</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</si>
  <si>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20% pour le renouvellement de conduites.
L’emprunt pour les infrastructures d'eau a été estimé à 20% du seuil d’immobilisation pour la TECQ.
</t>
  </si>
  <si>
    <t>Saint-Edmond</t>
  </si>
  <si>
    <t>X0009862</t>
  </si>
  <si>
    <t>Art.1.4 : Les frais d'administration générale ont été estimés avec une valeur de 15 % des charges avant amortissement (article 1.1).
Art.4.1 et 4.5 : Les subventions proviennent de la TECQ et du FIMEAU.
L'investissement réel provient de la TECQ 14-18.</t>
  </si>
  <si>
    <t>Saint-Édouard-de-Fabre (X0009367)</t>
  </si>
  <si>
    <t>X0009367</t>
  </si>
  <si>
    <t xml:space="preserve">
Art.4.1 4.2 et 4.3 : Les subventions proviennent de la TECQ et le PIQM.  Les montants sont pour les travaux effectués pour la réhabilliatation des infrastructures d'eau.
Art 4.7:  Les subventions proviennent de la TECQ pour un nouvel enregistreur de débordement et une nouvelle pompe d’égout.                      </t>
  </si>
  <si>
    <t>Saint-Édouard-de-Lotbinière</t>
  </si>
  <si>
    <t>X0009328</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</si>
  <si>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La municipalité ne va pas utiliser la TECQ ou le seuil d'immobilisation de la TECQ pour les infrastructures d'eau du fait du bon état de ses infrastructures.</t>
  </si>
  <si>
    <t>Saint-Édouard-de-Maskinongé</t>
  </si>
  <si>
    <t>X0008609</t>
  </si>
  <si>
    <t>Art.1.4 : Les frais d'administration générale ont été estimés avec une valeur de 15 % des charges avant amortissement (article 1.1).
Art.4.1 et 4.5 : Les subventions proviennent de la TECQ.
2019 : Travaux sur le débitmètre.
2020 : Mise à jour du plan d'intervention.
2024-2025 : Utilisation de la TECQ 19-23 et 24-28 pour la réfection des conduites sur la rue Saint-André.</t>
  </si>
  <si>
    <t xml:space="preserve">Réseau Saint-Martin </t>
  </si>
  <si>
    <t>X0009151</t>
  </si>
  <si>
    <t>Réseau Lourdes</t>
  </si>
  <si>
    <t>X0009152</t>
  </si>
  <si>
    <t>Art 4.1 : La municipalité s'engage à terminer l'installation des compteurs d'eau et à procéder à leur relèves pour le 1er septembre 2021.</t>
  </si>
  <si>
    <t>Art 2.1 : Étant donné que l’objectif de l’indice de fuite dans les infrastructures n’est pas atteint pour le réseau Lourdes, ce dernier doit être ausculté à 200% pour le 1er septembre 2021.
Art 4.1 : Étant donné que la valeur d'au moins un des indicateurs de performance dépasse l’objectif, l’installation et la lecture de compteurs d’eau dans tous les immeubles non résidentiels (Industries, Commerces et Institutions), les immeubles mixtes ciblés, les immeubles municipaux et sur un échantillon de 20 immeubles résidentiels est requise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</si>
  <si>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3: Les besions en maintient d'actif 2020 ont étés ajustés pour mieux refléter la situation de la municipalité. (Réfection Aqueduc/Égouts (St-Thomas). 200 000$ total, 50 000$ TECQ, 150 000$ emprunt, en 2021-2022. Réseau Routier et Aqueduc (Rang de la Rivière Nord). 9 000 000$, en 2020-2022. Aqueduc (Rang Rivière Sud). 1 000 000$, en 2020-2022)
Art.4.1: Les subventions proviennent de la TECQ et du FEPTEU. Le financement de la TECQ pour les infrastructures d'eau a été estimé à 46%. L’emprunt pour les infrastructures d'eau a été estimé à 0% du seuil d’immobilisation pour la TECQ.
</t>
  </si>
  <si>
    <t>Sainte-Émélie-de-l'Énergie (X0009140)</t>
  </si>
  <si>
    <t xml:space="preserve">X0009140 </t>
  </si>
  <si>
    <t>Art 2.1 : Étant donné que l’objectif de l’indice de fuite dans les infrastructures n’est pas atteint pour le réseau Sainte-Émélie-de-l'Énergie (X0009140),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</si>
  <si>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 xml:space="preserve">Art.1.3 : Le remboursement de la dette 2019 a été estimé en utilisant la proportion (Remboursement de la dette / Frais de financement) du bilan 2018.
Art.1.4 : Les frais d'administration générale ont été estimés avec une valeur de 15 % des charges avant amortissement (article 1.1).
Art 2.2 : La tarification non volumétrique de 2018 a été conservée pour 2019.
Art.2.5 : La taxe foncière sur la valeur a été estimée afin d'équilibrer minimalement les revenus affectés aux services d'eau (article 2.7) et le coût de fonctionnement des services d'eau (article 1.5) de façon à ne pas créer de déficit.
</t>
  </si>
  <si>
    <t>Sainte-Eulalie</t>
  </si>
  <si>
    <t>X0009390</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</si>
  <si>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Art.4.5 : Les subventions proviennent de la TECQ et du FEPTEU. Le financement de la TECQ pour les infrastructures d'eau a été estimé à 100%. L’emprunt pour les infrastructures d'eau a été estimé à 100% du seuil d’immobilisation pour la TECQ.
</t>
  </si>
  <si>
    <t>Sainte-Félicité</t>
  </si>
  <si>
    <t>X0009841</t>
  </si>
  <si>
    <t>Section 2 : La municipalité n'avait pas d'obligation de recherche de fuite en 2019 parce qu'elle n'a jamais eu un bilan approuvé.</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</si>
  <si>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Sainte-Félicité,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</si>
  <si>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t>
  </si>
  <si>
    <t>Sainte-Flavie/Mont-Joli</t>
  </si>
  <si>
    <t>X0009770</t>
  </si>
  <si>
    <t>Institut-Price</t>
  </si>
  <si>
    <t>X0009771</t>
  </si>
  <si>
    <t>Art. 1.4 : Les frais d'administration des services d'eau sont inclus dans les charges avant amortissement. 
Art.2.5 : La taxe foncière sur la valeur a été estimée afin d'équilibrer minimalement les revenus affectés aux services d'eau (article 2.7) et le coût de fonctionnement des services d'eau (article 1.5) de façon à ne pas créer de déficit.
Section 4 : Aucun investissement prévu dans les prochaines années.
Les investissements 2019 proviennent de la TECQ 14-18 et du FEPTEU.</t>
  </si>
  <si>
    <t>Sainte-Françoise</t>
  </si>
  <si>
    <t>X0008757</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</si>
  <si>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t>
  </si>
  <si>
    <t>Art.1.4 : Les frais d'administration générale ont été estimés avec une valeur de 15 % des charges avant amortissement (article 1.1).
Art.4.1 et 4.5 : Les subventions proviennent de la TECQ.
Réfection de l'installation de traitement des eaux usées : Montant total 3 000 000$ couvert par la TECQ (689 235$ montant maximum) et par un emprunt pour la balance</t>
  </si>
  <si>
    <t>Sainte-Geneviève-de-Batiscan</t>
  </si>
  <si>
    <t>X0009423</t>
  </si>
  <si>
    <t>Art.1.4 : Les frais d'administration générale ont été estimés avec une valeur de 15 % des charges avant amortissement (article 1.1).
Art. 2.5 : La taxe foncière sur la valeur a été estimée afin d’obtenir un excédent de 70 413$ entre les revenus et le coût de fonctionnement. Cet excédent a été ajouté à la réserve financière dédiée aux infrastructures d’eau, amenant le solde de la réserve à 216 041$ à la fin de l’année 2019.
Section 3
Les besions en maintient d'actif ont étés ajustés pour mieux refléter la situation de la municipalité.
Section 4 
Art 4.1 &amp; 4.2 : Projets de réfection de conduites financés par la TECQ, PRIMEAU et des emprunts municipaux (2019 : rue de l'église et rue St-Philippe. 2021:Rg Nord,Rg Sud, rue Bocage et rue Renaud)
Art 4.6 Prolongement de 400m du réseau d'aqueduc</t>
  </si>
  <si>
    <t>Ste-Gen.Berth(Bert) (X0008656)</t>
  </si>
  <si>
    <t>X0008656</t>
  </si>
  <si>
    <t>Ste-Gen.(Ste-Eli-Nord) (X0008657)</t>
  </si>
  <si>
    <t>X0008657</t>
  </si>
  <si>
    <t>Ste-Gen.(Ste-Eli.Sud) (X0008657)</t>
  </si>
  <si>
    <t>Art 2.1 : Étant donné que l’objectif de l’indice de fuite dans les infrastructures n’est pas atteint pour les réseaux Ste-Gen.Berth(Bert) (X0008656) et Ste-Gen.(Ste-Eli.Sud) (X0008657), ces derniers doivent être auscultés à 200 % pour le 1er septembre 2021.</t>
  </si>
  <si>
    <t xml:space="preserve">Art.1.4 : Les frais d'administration générale ont été estimés avec une valeur de 15 % des charges avant amortissement (article 1.1).
Art 2.5 : La taxe foncière sur la valeur a été estimée afin d’obtenir un montant de 17 353 $ dans la réserve financière dédiée aux infrastructures d’eau.
Art 2.9 et 2.10 : Les réserves financières "Eau potable" et "Eaux usées" sont considérés. Cependant la réserve eau potable est vide à la fin 2019.
Art.4.1 : Les subventions proviennent de la TECQ.
Le financement de la TECQ pour les infrastructures d'eau a été estimé à 80%.
</t>
  </si>
  <si>
    <t>Ste-Hedwidge</t>
  </si>
  <si>
    <t>X0009820</t>
  </si>
  <si>
    <t xml:space="preserve">Art.1.4 : Les frais d'administration générale ont été estimés avec une valeur de 15 % des charges avant amortissement (article 1.1).
Art.4.1 et 4.5 : Les subventions proviennent de la TECQ.
Le financement de la TECQ 24-28 pour les infrastructures d'eau a été estimé à 10% pour le renouvellement de conduites.
</t>
  </si>
  <si>
    <t>Sainte-hélène</t>
  </si>
  <si>
    <t>X0010148</t>
  </si>
  <si>
    <t>Art 4.2: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</si>
  <si>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Sainte-Hélène</t>
  </si>
  <si>
    <t>X0008687</t>
  </si>
  <si>
    <t>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Art.4.1 : Les subventions proviennent de la TECQ. Le financement de la TECQ pour les infrastructures d'eau a été estimé à 10%.
Art. 4.7 : Prolongement du réseau d'eau potable sur la rue Xavier.</t>
  </si>
  <si>
    <t>Section 1 : Informations tirés de l'outil BI
Section 2 : Représente uniquement la population désservie par l'installation de production à la section 1</t>
  </si>
  <si>
    <t>Sainte-Hénédine</t>
  </si>
  <si>
    <t>X0009718</t>
  </si>
  <si>
    <t>Art. 4.1 : Provient du FIMEAU pour 2021</t>
  </si>
  <si>
    <t>X0008440</t>
  </si>
  <si>
    <t>Val d'Irène</t>
  </si>
  <si>
    <t>X0010861</t>
  </si>
  <si>
    <t>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Val-d'Irène,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</si>
  <si>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Art.4.1 et 4.5 : Les subventions proviennent de la TECQ du FIMEAU.
Investissement 2019 : TECQ pour remplacement de la membrane d'étanchéité, réservoir Val-d'Irène
Investissement 2021 : FIMEAU pour réfection de conduites, rue Veilleux, Des Flocons, des Crystaux, De la boule de neige</t>
  </si>
  <si>
    <t>Sainte-Julie</t>
  </si>
  <si>
    <t>X0008586</t>
  </si>
  <si>
    <t>Art 4.1 :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t>
  </si>
  <si>
    <t>Sainte-Justine</t>
  </si>
  <si>
    <t>X0009010</t>
  </si>
  <si>
    <t>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</si>
  <si>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Art.2.5 : La taxe foncière sur la valeur a été estimée afin d'équilibrer minimalement les revenus affectés aux services d'eau (article 2.7) et le coût de fonctionnement des services d'eau (article 1.5) de façon à ne pas créer de déficit.
Art. 4.1 : Provient du PRIMEAU (254 280$) et de la TECQ 14-18 (650 339$)</t>
  </si>
  <si>
    <t>Ste-Louise</t>
  </si>
  <si>
    <t>X0009187</t>
  </si>
  <si>
    <t>Art.2.1 La recherche de fuite n'a pas été éffectuée en 2019, car au bilan 2018, la municipalité respectait l'objectif d'IFI. La recherche de fuite n'était donc pas obligatoire pour la municipalité. Elle prévoie cependant le faire pour le prochain bilan.</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</si>
  <si>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2.1 : Étant donné que l’objectif de l’indice de fuite dans les infrastructures n’est pas atteint pour le réseau X0009187,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</si>
  <si>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Les subventions confirmées (2019)  proviennent de la TECQ pour le prolongement du réseau d'égout. Pour le moment, la municipalité ne prévoit pas utiliser la TECQ 19-23 pour les infrastructures en eau.</t>
  </si>
  <si>
    <t>Sainte-Luce</t>
  </si>
  <si>
    <t>X0009776</t>
  </si>
  <si>
    <t>Luceville</t>
  </si>
  <si>
    <t>X0009778</t>
  </si>
  <si>
    <t>Art.4.1 : 10 branchements non résidentiels inactifs</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</si>
  <si>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PIIRL.</t>
  </si>
  <si>
    <t>Saint-Elzéar</t>
  </si>
  <si>
    <t>X0008285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</si>
  <si>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La municipalité travaille présentement sur un dossier pour aller chercher des sources de financement supplémentaire.</t>
  </si>
  <si>
    <t>X0010783</t>
  </si>
  <si>
    <t xml:space="preserve">Art.1.4 : Les frais d'administration générale ont été estimés avec une valeur de 15 % des charges avant amortissement (article 1.1).
Art.4.1 et 4.5 : Les subventions proviennent de la TECQ et la répartition est faite d'après le PTI. Les projets conditionnels à l'obtention d'une subvention n'ont pas été prit en compte.
Le financement de la TECQ 24-28 pour les infrastructures d'eau a été estimé à 50%.
L’emprunt a été pour les infrastructures d'eau a été estimé à 50% du seuil d’immobilisation pour la TECQ 24-28.
</t>
  </si>
  <si>
    <t>Madeleine</t>
  </si>
  <si>
    <t>X0009034</t>
  </si>
  <si>
    <t>Manche d'Épée</t>
  </si>
  <si>
    <t>X0009035</t>
  </si>
  <si>
    <t>Art. 4.1 : Les 16 branchements non-résidentiels sans compteurs sont inactifs.</t>
  </si>
  <si>
    <t>Art. 4.1 : La municipalité a terminé l'installation des compteurs d'eau dans les immeubles non-résidentiels et procédé à la relève des 13 compteurs installés dans les immeubles résidentiels en 2019.
La municipalité doit terminer l'installation de l'échantillon de 20 compteurs sur les branchements résidentiels d'ici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</si>
  <si>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Sections 3 et 4 : Aucune intervention prévue en rattrapage, en maintien ou en bonification.</t>
  </si>
  <si>
    <t>Ste-Marguerite</t>
  </si>
  <si>
    <t>X0009715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</si>
  <si>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en 2021 pour le développement de la rue industrielle.
Le financement de la TECQ pour les infrastructures d'eau a été estimé à 75% pour le renouvellement de conduites.
L’emprunt pour les infrastructures d'eau a été estimé à 50% du seuil d’immobilisation pour la TECQ.</t>
  </si>
  <si>
    <t>Ste-Marg.-du-Lac-M.</t>
  </si>
  <si>
    <t>X0008814</t>
  </si>
  <si>
    <t xml:space="preserve">Art 3.1 : les deux premières options sont à l'étude. Il se peut que l'une des deux options soit abandonnée.
Art 4.2.2 : non prévu pour 2020; la municipalité ne savait pas que l'installation de compteurs sur un échantillon du secteur résidentiel est requise au même titre que pour le non résidentiel. La municipalité a appris cela en remplissant le bilan 2019 avec l'analyste responsable.
</t>
  </si>
  <si>
    <t xml:space="preserve">Art.1.4 : Les frais d'administration générale ont été estimés avec une valeur de 15 % des charges avant amortissement (article 1.1). (La charge avant amortissement donnée à la base par la municipalité était de 214868$ pour l'eau potable et 166857$ pour l'eau usée/pluviale avant d'être ventilé de 15%).
Art.2.5 : La taxe foncière sur la valeur a été estimée afin d'équilibrer minimalement les revenus affectés aux services d'eau (article 2.7) et le coût de fonctionnement des services d'eau (article 1.5) de façon à ne pas créer de déficit et d'avoir 0$ en excédent. Le balancement a été inscrit pour l'eau potable, mais en réalité cette valeur balance les montants pour l'eau potable et l'eau usée/pluviale.
Section 4 : Les subventions proviennent de la TECQ. En 2019 les investissements réels autres que les subventions ne sont pas connus. Par défaut, la valeur de 0$ a été inscrite.
Art 4.1 : le 25 000 $ provient du FIMEAU (non confirmé).
Art 4.4 : Le 50 000 $ pour payer le remplacement de conduites et le 100 000$ pour payer les travaux en lien à la Servitude Masson (voir PTI 20-22). Les autres montants du BI 2019 ne sont pas encore prévus dans le PTI.
</t>
  </si>
  <si>
    <t>Art 3.4 : Les seuls traitements de l’eau potable sont l’ajout de chlore et de PYRO 50.</t>
  </si>
  <si>
    <t>X0010191</t>
  </si>
  <si>
    <t>Art 2.1 : Étant donné que l’objectif de l’indice de fuite dans les infrastructures n’est pas atteint pour le réseau Sainte-Marie,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2023.</t>
  </si>
  <si>
    <t>Art.1.4 : Les frais d'administration générale ont été estimés avec une valeur de 15 % des charges avant amortissement (article 1.1).
Art 2.5 : La taxe foncière sur la valeur a été estimée afin d’obtenir un montant de 238 640 $ dans la réserve financière dédiée aux infrastructures d’eau.
Art.4.1 et 4.5 : Les subventions proviennent de la TECQ et du FIMEAU pour le renouvellement de conduites (2020)
Le financement de la TECQ pour les infrastructures d'eau a été estimé à 60%.
L’emprunt pour les infrastructures d'eau a été estimé à 60% du seuil d’immobilisation pour la TECQ.</t>
  </si>
  <si>
    <t>X0010092</t>
  </si>
  <si>
    <t>Secteur Lac Rose</t>
  </si>
  <si>
    <t>X0010093</t>
  </si>
  <si>
    <t>Art 4.1 : Étant donné que la valeur d'au moins un des indicateurs de performance a déjà dépassé l’objectif, l’installation de compteurs d’eau dans tous les immeubles non résidentiels (Industries, Commerces et Institutions), les immeubles mixtes ciblés, les immeubles municipaux et sur un échantillon de 20 immeubles résidentiels est requise d'ici le 1er septembre 2022.</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</si>
  <si>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18%. Le seuil d'immobilisation pour le TECQ  concernant les infrastructures d'eau a déjà été atteint .
</t>
  </si>
  <si>
    <t>SMSLL</t>
  </si>
  <si>
    <t>X0009506</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</si>
  <si>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l’objectif de l’indice de fuite dans les infrastructures n’est pas atteint pour le réseau SMSLL, ce dernier doit être ausculté à 200% pour le 1er septembre 2021.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</si>
  <si>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La municipalité n'a aucune promesse d'aide financière et ne sais pas encore comment sa TECQ 2019-2023 sera utilisée. Le rapport entre les besoins d'investissement en maintien d'actif régulier et la valeur de remplacement est élevé. L'estimation des besoins d'investissements et de la valeur de remplacement sera raffinée au prochain Bilan.</t>
  </si>
  <si>
    <t>Sainte-Monique</t>
  </si>
  <si>
    <t>X0009877</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</si>
  <si>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
La municipalité ne souhaite pas indiquer le pourcentage de la TECQ 24-28 utilisé pour les infrastructures d'eau avant d'avoir mieux ciblé les besoins.</t>
  </si>
  <si>
    <t>Ste-Perpétue</t>
  </si>
  <si>
    <t>X0008292</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</si>
  <si>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24-28 pour les infrastructures d'eau a été estimé à 80%.
L’emprunt a été pour les infrastructures d'eau a été estimé à 75% du seuil d’immobilisation pour la TECQ 24-28.</t>
  </si>
  <si>
    <t>Sainte-Perpétue</t>
  </si>
  <si>
    <t>X0009230</t>
  </si>
  <si>
    <t>Art 2.1 : Étant donné que l’objectif de l’indice de fuite dans les infrastructures n’est pas atteint pour le réseau Sainte-Perpétue,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</si>
  <si>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1.2 : Le frais de financements sont différents de ceux indiqués dans le rapport financier, puisque la municipalité n'estime qu'ils ne doivent pas intervenir dans cette section.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du FEPTEU.</t>
  </si>
  <si>
    <t>Saint-Éphrem-de-Beauce</t>
  </si>
  <si>
    <t>X0009891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</si>
  <si>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La période de 2019 à 2021 a été complété à l'aide du PTI.
Le financement de la TECQ 24-28 pour les infrastructures d'eau a été estimé à 75%.
L’emprunt a été pour les infrastructures d'eau a été estimé à 50% du seuil d’immobilisation pour la TECQ 24-28.</t>
  </si>
  <si>
    <t>Saint-Épiphane</t>
  </si>
  <si>
    <t>X0008763</t>
  </si>
  <si>
    <t>Art. 2.2 : Remplacement préventif des branchements de service
Art. 3.2 : Pas de jeux d'eau, patogeoire et piscine publique. Prévoit avoir des jeux d'eau en 2021-2022 avec une directive.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</si>
  <si>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Les informations proviennent de la programmation de la TECQ 2019-2023.
11 550$ : Ajout panneau dosage de chlore
12 536$ : changement pompe
5 100$ : Installation borne sèche
Il y a aussi des travaux divers prévu pour la balance du montant prévu dans la programmation.</t>
  </si>
  <si>
    <t>Ste-Rose</t>
  </si>
  <si>
    <t>X0009904</t>
  </si>
  <si>
    <t xml:space="preserve">Art.1.4 : Les frais d'administration générale ont été estimés avec une valeur de 15 % des charges avant amortissement (article 1.1).
Art 4.1 : Provient de la TECQ 14-18 pour 2019
Les subventions proviennent de la TECQ.
Le financement de la TECQ pour les infrastructures d'eau a été estimé à 80% pour le remplacement de conduites.
L’emprunt pour les infrastructures d'eau a été estimé à 0% du seuil d’immobilisation pour la TECQ.
</t>
  </si>
  <si>
    <t>Sainte-Sabine</t>
  </si>
  <si>
    <t>X0008944</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</si>
  <si>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La municipalité ne prévoit aucun investissement dans son réseau dans les dix prochines années.</t>
  </si>
  <si>
    <t>Réseau Municipal (X0008781)</t>
  </si>
  <si>
    <t>X0008781</t>
  </si>
  <si>
    <t>Domaine Pineault (X0010603)</t>
  </si>
  <si>
    <t>X0010603</t>
  </si>
  <si>
    <t>Art 2.1 : Étant donné que l’objectif de l’indice de fuite dans les infrastructures n’est pas atteint pour le réseau X0008781,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</si>
  <si>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1.4 : Les frais d'administration générale sont estimées à 15% des charges avant amortissement (Art 1.1).
Art 2.5 : La taxe foncière sur la valeur a été utilisé afin de trouver une excédent entre les revenus et les coûts de 19 015$.
Art 4.1 et 4.5: Les subventions proviennent de la TECQ 19-23. Pour des travaux de pour des travaux de modernisation des équipements de production, mais non pour augmenter la capacité de production.</t>
  </si>
  <si>
    <t>Saint-Esprit</t>
  </si>
  <si>
    <t>X0008516</t>
  </si>
  <si>
    <t>Art.2.1: La municipalité n,a pas fait de la rechercche de fuites à 150% de son réseau en 2019, car elle respectait l'objectif d'indice de fuites dans les infrastructures en 2018 et n'avait donc pas besoin de le faire.</t>
  </si>
  <si>
    <t>Art 2.1 : Étant donné que l’objectif de l’indice de fuite dans les infrastructures n’est pas atteint pour le réseau Saint-Esprit,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</si>
  <si>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Art.1.4 : Les frais d'administration générale ont été estimés avec une valeur de 15 % des charges avant amortissement (article 1.1).
Art.4.1 et 4.5 : Les subventions proviennent de la TECQ. Le financement de la TECQ pour les infrastructures d'eau a été estimé à 100%. L’emprunt pour les infrastructures d'eau a été estimé à 100% du seuil d’immobilisation pour la TECQ.
</t>
  </si>
  <si>
    <t>Sainte-Thècle</t>
  </si>
  <si>
    <t>X0010646</t>
  </si>
  <si>
    <t>Art 4.1 : Étant donné que la valeur d'au moins un des indicateurs de performance  a dépassé l’objectif une première fois par le passé, l’installation de compteurs d’eau dans tous les immeubles non résidentiels (Industries, Commerces et Institutions), les immeubles mixtes ciblés, les immeubles municipaux et sur un échantillon de 20 immeubles résidentiels serait requise suite à un nouveau dépassement des objectifs avec un délais d'installation de 3 ans.</t>
  </si>
  <si>
    <t>Art 3.4 : Le PI 2018 estime le DMA à 520 000$, mais il n'est pas représentatif de la situation de la municipalité, car des aides financières FIMEAU de 3,340 millions lui ont été accordés pour du renouvellement de conduites.
Section 4:
2020-2021 FIMEAU renouvellement de conduites, 2022-2028 TECQ estimée</t>
  </si>
  <si>
    <t>Sainte-Thérèse</t>
  </si>
  <si>
    <t>X0008103</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</si>
  <si>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l’objectif de l’indice de fuite dans les infrastructures n’est pas atteint pour le réseau Sainte-Thérèse, ce dernier doit être ausculté à 200% pour le 1er septembre 2021.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ou SSC est requise d'ici le 1er septembre 2021.</t>
  </si>
  <si>
    <t xml:space="preserve">Art 1.4 : Les frais d'administration sont inclus dans les charges avant amortissement selon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FEPTEU et du PRIMEAU (Programme à confirmer).
Le financement de la TECQ pour les infrastructures d'eau a été estimé à 15%.
L’emprunt pour les infrastructures d'eau a été estimé à 50% du seuil d’immobilisation pour la TECQ.
</t>
  </si>
  <si>
    <t>Sainte-Thérèse-de-Gaspé</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</si>
  <si>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
Art 2.1 : Étant donné que l’objectif de l’indice de fuite dans les infrastructures n’est pas atteint pour le réseau Sainte-Thérèse-de-Gaspé,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</si>
  <si>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Les travaux prévus sont les suivants:
Changement de pompe poste de pompage (190 000$) , 100% TECQ
Changement de pompe poste de régulation de pression (190 000$) , 100% TECQ
Travaux sur l'émissaire en mer station d'épuration (255 000$) ,  100% TECQ</t>
  </si>
  <si>
    <t>Saint-Étienne-des-Grès</t>
  </si>
  <si>
    <t>X0008519</t>
  </si>
  <si>
    <t xml:space="preserve">Art. 1.1 et 2.1 : Cas particulier :  La municipalité de Saint-Barnabé dessert des résidences sur le territoire de Saint-Étienne-des-Grès. Puique les résidences sont desservies par le réseau de Saint-Barnabé, le revenu sous forme de tarification volumétrique de 20 018 $ est déduit des charges avant amortissement. Ce montant d'argent n'est donc pas inclut dans ce bilan.
Art.1.4 : Les frais d'administration générale ont été estimés avec une valeur de 5 % des charges avant amortissement (article 1.1). Ils ont ensuite été déduits des charges avant amortissement (article 1.1).
Art.4.1 et 4.5 : Les subventions proviennent de la TECQ,.
Le financement de la TECQ 2024-2028 pour les infrastructures d'eau a été estimé à 100%.
Art.4.2 :  L'emprunt a été estimé à 15% du montant des subventions confirmées.
</t>
  </si>
  <si>
    <t>St-Eugène-D'Argentenay</t>
  </si>
  <si>
    <t>X0009844</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</si>
  <si>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35%.
L’emprunt a été pour les infrastructures d'eau a été estimé à 0% du seuil d’immobilisation pour la TECQ.</t>
  </si>
  <si>
    <t>Saint-Eugène-de-Guigues</t>
  </si>
  <si>
    <t>X0009524</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</si>
  <si>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2025.</t>
  </si>
  <si>
    <t xml:space="preserve">Art.1.4 : Les frais d'administration générale ont été estimés avec une valeur de 15 % des charges avant amortissement (article 1.1).
Art. 4.7 :  Les subventions confirmées proviennet de la TECQ.  Nouveau génératrice et la télémétrie. 
</t>
  </si>
  <si>
    <t>Fontarabie</t>
  </si>
  <si>
    <t>X0008583</t>
  </si>
  <si>
    <t>via RAGP</t>
  </si>
  <si>
    <t>X0008584</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</si>
  <si>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</si>
  <si>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Art.1.4 : Les frais d'administration générale ont été estimés avec une valeur de 10 % des charges avant amortissement (article 1.1).
Art. 2.5 : La taxe foncière sur la valeur a été estimée afin d’obtenir un excédent de 65 027$ entre les revenus et le coût de fonctionnement. Cet excédent a été ajouté à la réserve financière dédiée aux infrastructures d’eau, amenant le solde de la réserve à 122 526$ à la fin de l’année 2019.
Art 4.1 : Le financement de la TECQ pour les infrastructures d'eau a été estimé à 60%.</t>
  </si>
  <si>
    <t>Saint-Eustache</t>
  </si>
  <si>
    <t>X0008124</t>
  </si>
  <si>
    <t>Art 4.1 MajoritairementTECQ, 2020-2021 FIMEAU 2 300 000$ pour remplacement de conduites
Art 4.6 et 4.8 : Séparation du réseau d'égout et nouveaux développements</t>
  </si>
  <si>
    <t>Saint-Fabien</t>
  </si>
  <si>
    <t>X0009792</t>
  </si>
  <si>
    <t>2.3 : Réseau gravitaire, aucune pompe ou surpresseur</t>
  </si>
  <si>
    <t>Art 2.1 : Étant donné que l’objectif de l’indice de fuite dans les infrastructures n’est pas atteint pour le réseau Saint-Fabien, ce dernier doit être ausculté à 200% pour le 1er septembre 2021.
Art 4.1 : Étant donné que la valeur d'au moins un des indicateurs de performance dépassait l’objectif au bilan 2017, l’installation de compteurs d’eau dans tous les immeubles non résidentiels (Industries, Commerces et Institutions), les immeubles mixtes ciblés, les immeubles municipaux et sur un échantillon de 20 immeubles résidentiels est requise d'ici le 1er septembre 2021.</t>
  </si>
  <si>
    <t>Art.1.4 : Les frais d'administration générale ont été estimés avec une valeur de 70 000$.
Art.2.5 : La taxe foncière sur la valeur a été estimée afin d'équilibrer minimalement les revenus affectés aux services d'eau (article 2.7) et le coût de fonctionnement des services d'eau (article 1.5) de façon à ne pas créer de déficit.
Art.4.1 : Travaux de réfection complète 9e avenue NORD couvert par la TECQ 14-18.
Section 4 : Présentement, la municipalité n'a pas complété sa programmation TECQ 19-23. Elle ne veut donc pas avancer de montant sur les travaux prévus au courant des prochaines années. Les sommes seront indiquées au courant des prochaines années.</t>
  </si>
  <si>
    <t>Saint-Fabien-de-Panet</t>
  </si>
  <si>
    <t>X0009016</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</si>
  <si>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TECQ 14-18 pour le réalisé et de la TECQ 19-23 pour l'année 2020</t>
  </si>
  <si>
    <t>Saint-Félicien</t>
  </si>
  <si>
    <t>X0010097</t>
  </si>
  <si>
    <t>Art 2.1 : Étant donné que l’objectif de l’indice de fuite dans les infrastructures n’est pas atteint pour le réseau St Félicien,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</si>
  <si>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TECQ 14-18 en 2019.
Provient de la TECQ 19-24 (2020) et du FIMEAU (1 481 350$ en 2020 et 2 099 144$ en 2022).
</t>
  </si>
  <si>
    <t>Petit Rang</t>
  </si>
  <si>
    <t>Station de purification St-Félix-de-Dalquier</t>
  </si>
  <si>
    <t>X0009705</t>
  </si>
  <si>
    <t xml:space="preserve">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t>
  </si>
  <si>
    <t>Art.1.4 : Les frais d'administration générale ont été fournis par la municipalité.
Art. 2.5 : La taxe foncière sur la valeur a été estimée afin d’obtenir un excédent de 62216$ entre les revenus et le coût de fonctionnement. Cet excédent a été ajouté à la réserve financière dédiée aux infrastructures d’eau, amenant le solde de la réserve à 62216$ à la fin de l’année 2019.
Section 4:  La municipalité n'a pas de sources de financement à date.  Le TECQ est prévue pour l'anné prochain.</t>
  </si>
  <si>
    <t>Réseau Félix/Saint-Martin</t>
  </si>
  <si>
    <t>X0011536</t>
  </si>
  <si>
    <t xml:space="preserve">Belleville </t>
  </si>
  <si>
    <t>X2067017</t>
  </si>
  <si>
    <t>Art 2.2 : Le temps de réparation de fuite sur les conduites est élevé, puisqu'une fuite a été présente sur un branchement de borne fontaine et celles-ci a été isolée afin de ne pas créer de pertes d'eau et fut réparée quelques jours plus tard.
Art 4.1 : 370 branchements inactifs sont considérés dans le secteur non résidentiel sans compteurs.</t>
  </si>
  <si>
    <t>Art 4.1 : Étant donné que la valeur d'au moins un des indicateurs de performance a déjà dépassé l’objectif, la municipalité s'est engagé dans la résolution 394-2020 à installer des compteurs d’eau dans tous les immeubles non résidentiels (Industries, Commerces et Institutions), les immeubles mixtes ciblés, les immeubles municipaux et sur un échantillon de 60 immeubles résidentiels d'ici le 1er septembre 2021.</t>
  </si>
  <si>
    <t xml:space="preserve">Art.1.4 : Les frais d'administration générale ont été estimés avec une valeur de 15 % des charges avant amortissement (article 1.1).
Art. 2.5 : La taxe foncière sur la valeur a été estimée afin d’obtenir un excédent de 156 986$ entre les revenus et le coût de fonctionnement. Cet excédent a été ajouté à la réserve financière dédiée aux infrastructures d’eau.
Art.4.1 : Les subventions proviennent du FEPTEU pour la mise aux normes de la station d'épuration.
Art.4.2.  Réfection rang Frédéric, aqueduc à 530 000$ en 2020 par emprunt et  réfection rue des Ormes et de la Source, aqueduc à 260 000$ en 2021 par emprunt. (Voir le PTI)
Art.4.6. Prolongement HLC et tronçon d'égout sur la 131, aqueduc et égout à 1 350 000$ en 2021 par emprunt. (Voir le PTI)
</t>
  </si>
  <si>
    <t>Saint-Félix d'Otis</t>
  </si>
  <si>
    <t>X0009889</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</si>
  <si>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</si>
  <si>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Provient de la TECQ 14-18</t>
  </si>
  <si>
    <t>Bernierville</t>
  </si>
  <si>
    <t xml:space="preserve">X0009226 </t>
  </si>
  <si>
    <t>Art 4.1 : 20 branchement inactifs considérés dans le non résidentiels non équipés de compteurs.</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</si>
  <si>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programmation de la TECQ 19-23.</t>
  </si>
  <si>
    <t>Saint-Flavien</t>
  </si>
  <si>
    <t>X0009184</t>
  </si>
  <si>
    <t>Art. 4.1 : FIMEAU pour l'année 2020 et 2021.</t>
  </si>
  <si>
    <t>St-François-d'Assise</t>
  </si>
  <si>
    <t>X0009952</t>
  </si>
  <si>
    <t>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</si>
  <si>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
4.1 : FIMEAU remplacement conduite en fonte grise 
4.5 : TECQ agrandissement de conduites pour sécurité incendie</t>
  </si>
  <si>
    <t>Saint-François-de-Sales</t>
  </si>
  <si>
    <t>X0008306</t>
  </si>
  <si>
    <t>Art 2.1 : Étant donné que l’objectif de l’indice de fuite dans les infrastructures n’est pas atteint pour le réseau St François de Sales,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</si>
  <si>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en 2021 pour le renouvellement de conduites.</t>
  </si>
  <si>
    <t>Saint-Frédéric</t>
  </si>
  <si>
    <t xml:space="preserve">X0009814 </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</si>
  <si>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l’objectif de l’indice de fuite dans les infrastructures n’est pas atteint pour le réseau X0009814,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</si>
  <si>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3.3 : Les montants sont ajoutés pour l'année 2020, 2021 et 2022 afin de mieux réfleter la situation réelle de la municipalité (voir la description ci-dessous).
2020 = Remplacement conduite principale eau potable tronçons 016(partie),017,018 et 019(partie) Route 112. (884 850 $+326 400 $+300 900 $)
2021 = Remplacement eau potable et conduite égout pluvial tronçons 029 et 030 rue St-Olivier.  (348 840 $)
2022 = Remplacement conduite eau potable tronçon 012 rue Gagnon et remplacement et relocalisation conduite égout sanitaire tronçons 008 et 010 rue Gagnon.  (400 860 $)
Art. 4.1 : FIMEAU pour l'année 2020. Pour les autrs années, la municipalité prévoit à faire la demande de subvention. Concernant TECQ, le montant n'est pas défini encore.</t>
  </si>
  <si>
    <t>St Fulgence</t>
  </si>
  <si>
    <t>X0009687</t>
  </si>
  <si>
    <t>Art 2.1 : Étant donné que l’objectif de l’indice de fuite dans les infrastructures n’est pas atteint pour le réseau St Fulgence,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</si>
  <si>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100%.
L’emprunt pour les infrastructures d'eau a été estimé à 100% du seuil d’immobilisation pour la TECQ.
</t>
  </si>
  <si>
    <t>X0008696</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</si>
  <si>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</si>
  <si>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TECQ14-18, du FIMEAU -1.1 et PRIMEAU-1.2.</t>
  </si>
  <si>
    <t>Paroisse Saint-Gabriel</t>
  </si>
  <si>
    <t xml:space="preserve">X0008693 </t>
  </si>
  <si>
    <t>Art 4.1 :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</si>
  <si>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Saint-Gabriel-de-Rimouski</t>
  </si>
  <si>
    <t>X0010621</t>
  </si>
  <si>
    <t>Note : Afin d’avoir des données volumétriques représentatives, il est recommandé d’installer un enregistreur de données sur le débitmètre à la distribution. Ceci permettrait de mesurer le débit de nuit minimum sur l’ensemble de l’année et d’estimer les PER annuelles. 
Art 2.1 : Étant donné que l’objectif de l’indice de fuite dans les infrastructures n’est pas atteint pour le réseau Saint-Gabriel-de-Rimouski, ce dernier doit être ausculté à 200% pour le 1er septembre 2021.
Art.4.1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</si>
  <si>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t>
  </si>
  <si>
    <t xml:space="preserve">nanofiltration </t>
  </si>
  <si>
    <t>Saint-Gédéon</t>
  </si>
  <si>
    <t>X0010028</t>
  </si>
  <si>
    <t>Étant donné que l’objectif de l’indice de fuite dans les infrastructures n’est pas atteint pour les réseaux X0010028(Saint-Gédéon) et X0008043(Lac-à-la-croix), ces derniers doivent être auscultés à 200 % pour le 1er septembre 2021.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</si>
  <si>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 xml:space="preserve">Art.4.1 et 4.5 : Les subventions proviennent de la TECQ.
Le financement de la TECQ pour les infrastructures d'eau a été estimé à 90%.
</t>
  </si>
  <si>
    <t>Installation de distribution de Saint-Gédéon-de-Beauce</t>
  </si>
  <si>
    <t>X0009652</t>
  </si>
  <si>
    <t xml:space="preserve">Art 4.1 : Les 5 immeubles non équipés de compteurs d'eau sont : l'école, le garage municipale, l'aréna, les jeux d'eau et le bâtiment municipal. À noter que les jeux d'eau seront équipés de compteurs d'eau d'ici 2020. </t>
  </si>
  <si>
    <t xml:space="preserve">Art 4.1 : Financement provenant des subventions des gouvernements : 
2019 : TECQ : 42 221 $,Travaux pour automates.
2020 : FIMEAU : 388 674 $ provincial. 388 674 $ fédéral  pour réfection des postes de pompage des eaux usées.  TECQ : 1 050 $ + 64 845 $ pour des travaux de réféction sur le réseau linéaire. </t>
  </si>
  <si>
    <t>Saint-Georges</t>
  </si>
  <si>
    <t>X0010685</t>
  </si>
  <si>
    <t>Art 4.1 : 15 branchements inactifs ont été ajoutés à la valeur du nombre de branchements de service non résidentiels sans compteurs.</t>
  </si>
  <si>
    <t>Section 3 et 4 : Les données seront mises à jour pour le prochain Bilan.
Section 4 : Selon le PTI 2020-2022</t>
  </si>
  <si>
    <t>Saint-Germain-de-Grantham (X0010799)</t>
  </si>
  <si>
    <t>X0010799</t>
  </si>
  <si>
    <t xml:space="preserve">Art.1.4 : Les frais d'administration générale ont été estimés avec une valeur de 15 % des charges avant amortissement (article 1.1).
</t>
  </si>
  <si>
    <t>Saint-Gervais</t>
  </si>
  <si>
    <t>X0008877</t>
  </si>
  <si>
    <t>St Gilles</t>
  </si>
  <si>
    <t>X2064347</t>
  </si>
  <si>
    <t xml:space="preserve">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t>
  </si>
  <si>
    <t>Art. 4.1 : Provient du FIMEAU (L'année 2020)</t>
  </si>
  <si>
    <t>Saint-Guillaume</t>
  </si>
  <si>
    <t>X0010806</t>
  </si>
  <si>
    <t>S-G Régie Richelieu</t>
  </si>
  <si>
    <t>X0010807</t>
  </si>
  <si>
    <t>La municipalité a installé des enregistreurs de bruits en 2019.</t>
  </si>
  <si>
    <t>Art 2.1 : Étant donné que l’objectif de l’indice de fuite dans les infrastructures n’est pas atteint pour le réseau Saint-Guillaume, ce dernier doit être ausculté à 200% pour le 1er septembre 2021.</t>
  </si>
  <si>
    <t>Art.1.4 : Les frais d'administration générale ont été estimés avec une valeur de 15 % des charges avant amortissement (article 1.1).
Section 4 : Les travaux prévus proviennet du PTI de la municipalité.</t>
  </si>
  <si>
    <t>Saint-Henri</t>
  </si>
  <si>
    <t>Art 4.1 : TECQ 19-23 et 24-28
Art 4.2 et 4.3 : Projets de réfection et de réhabilitation prévus au PTI.</t>
  </si>
  <si>
    <t>St-Henri</t>
  </si>
  <si>
    <t>X0009871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</si>
  <si>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50% pour le renouvellement de conduites.
L’emprunt pour les infrastructures d'eau a été estimé à 0% du seuil d’immobilisation pour la TECQ.
</t>
  </si>
  <si>
    <t>Saint-Herménégilde</t>
  </si>
  <si>
    <t>X0010538</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</si>
  <si>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pour le prochain plan d'intervention. Les réseaux sont récents et la municipalité a utilisé moins de 3% de sa TECQ 2014-2018 pour les infrastructures en eau.
Art.4.3 et 4.7 : 
2019 : Changement de Gearbox + Ajustement de PH
2020 : Système de captage de données + toiture à refaire</t>
  </si>
  <si>
    <t>Saint-Hilarion</t>
  </si>
  <si>
    <t>X0008725</t>
  </si>
  <si>
    <t xml:space="preserve">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t>
  </si>
  <si>
    <t>Art 4.1 Renouvellement de conduites 445 014 $  financé par FIMEAU-1.1 et le projet de travaux de réhabilitation ou de remplacement de conduites de distribution d'eau potable et de collecte des eaux usées 592 800$ financé par PIQM-2008-1.5.
Le pourcentage dédié aux infrastructures d'eau de la TECQ 19-23 n'a pas encore été déterminé.
Art.1.4 : Les frais d'administration générale ont été estimés avec une valeur de 15 % des charges avant amortissement (article 1.1).</t>
  </si>
  <si>
    <t>St Hippolyte</t>
  </si>
  <si>
    <t>X0008795</t>
  </si>
  <si>
    <t xml:space="preserve">Art.2.1: Étant donné que l'indicateur sur les pertes d'eau IFI ne dépasse pas l'objectif de 2,0. La recherche de fuites n'est pas requise en 2020, mais est toujours conseillée.
Art 4.1 : Étant donné que la valeur d'au moins un des indicateurs de performance dépasse encore l’objectif (la consommation résidentielle par personne par jour dépasse l'objectif de 184 l/pers/jour depuis 2018), l’installation de compteurs d’eau dans tous les immeubles non résidentiels (Industries, Commerces et Institutions), les immeubles mixtes ciblés, les immeubles municipaux et sur un échantillon de 10 immeubles résidentiels est requise d'ici le 1er septembre 2022. (Même recommandation qu'au bilan 2018).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</si>
  <si>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10 immeubles résidentiels est requise d'ici le 1er septembre 2022.</t>
  </si>
  <si>
    <t xml:space="preserve">Art.1.4 : Les frais d'administration générale ont été estimés avec une valeur de 15 % des charges avant amortissement (article 1.1). À la première version du bilan, les frais d'administration étaient de 0$ et les charges avant amortissement étaient de 28 635$. À la version finale, les frais d'administration (15%) ont été ventilés des charges avant amortissement. On a donc les frais d'administration de 4295 $ (= 15% de 28635 $) et les charges avant amortissement de 24 340 $ (= 28635 $ - 4295 $).
Art.2.5 : La taxe foncière sur la valeur a été estimée afin d'équilibrer minimalement les revenus affectés aux services d'eau (article 2.7) et le coût de fonctionnement des services d'eau (article 1.5) de façon à ne pas créer de déficit.Art.2.5 : la taxe foncière sur la valeur a été estimée afin d'équilibrer minimalement les revenus affectés aux services d'eau (article 2.7) et le coût de fonctionnement des services d'eau (article 1.5) de façon à ne pas créer de déficit.
Section 4: La municipalité ne prévoit présentement aucun investissement pour son réseau.
</t>
  </si>
  <si>
    <t>Saint-Honoré</t>
  </si>
  <si>
    <t>X0009641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</si>
  <si>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du FEPTEU et du PRIMEAU (Programme à confirmer). Ces données sont fournies par la municipalité.</t>
  </si>
  <si>
    <t>St Honore de Shenley</t>
  </si>
  <si>
    <t>X0009851</t>
  </si>
  <si>
    <t xml:space="preserve">Art.1.4 : Les frais d'administration générale ont été estimés avec une valeur de 15 % des charges avant amortissement (article 1.1).
Art. 4.1 : TECQ 100% pour l'année 2020. Il n'est pas prévu d'utiliser TECQ pour les autres années qui s'en viennent.
PIQM-2008-1.5 pour l'année 2019 et 2020
Art. 4.5 : Il y a des projets planifiés en 2021 et 2023, mais rien n'est confirmé encore. À l'étape de plan et devis.
    </t>
  </si>
  <si>
    <t>Saint-Hubert</t>
  </si>
  <si>
    <t>X0008302</t>
  </si>
  <si>
    <t>Pour les compteurs déjà installés, une lecture a été faite en 2020 et une autre sera reprise en 2021.</t>
  </si>
  <si>
    <t>X0008640</t>
  </si>
  <si>
    <t>Art 2.2 : Le délai de réparation court côté privé, s'explique du fait que c'est la municipalité qui a fait les travaux.</t>
  </si>
  <si>
    <t>Art 2.1 : Étant donné que l’objectif de l’indice de fuite dans les infrastructures n’est pas atteint pour le réseau X0008640,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</si>
  <si>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programmation de la TECQ 19-23 et du PRIMEAU </t>
  </si>
  <si>
    <t>Réseau Saint-Irénée</t>
  </si>
  <si>
    <t>Art 4.1: Seuls l'école primaire et l'hotel de ville n'ont pas été mesurés en 2019. Ceux-ci le seront à partir de 2020.</t>
  </si>
  <si>
    <t>Art 4.1: Subvention provenant de la TECQ 19-23 visant des travaux en assainissement des eaux usées.</t>
  </si>
  <si>
    <t>Saint-Isidore</t>
  </si>
  <si>
    <t>X0009087</t>
  </si>
  <si>
    <t>Art 2.1 : Étant donné que l’objectif de l’indice de fuite dans les infrastructures n’est pas atteint pour le réseau X0009087, ce dernier doit être ausculté à 200% pour le 1er septembre 2021.</t>
  </si>
  <si>
    <t>Art 4,1 : Cette valeur est sujette à changements dans les prochains bilans, une fois la programmation de la TECQ réalisée. Les montants indiquées sont les projections de la TECQ 19-23 et TECQ 24-28 à hauteur du pourcenatge investi par la municipalités pour les infrastructures d'eau potables à la TECQ 14-18.</t>
  </si>
  <si>
    <t>Saint-Isidore-de-Clifton</t>
  </si>
  <si>
    <t>X0009270</t>
  </si>
  <si>
    <t>Art.2.2 : La municipalité doutait de la présence d'une fuite et elle l'a détectée après la période hivernale (environ 120 jours), puis elle l'a réparée dans la journée même.</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</si>
  <si>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Art.3.4 : Le rattrapage est élevé par rapport à la valeur totale de remplacement, car la réfection de conduites en mauvais état coute environ 2 300 000 $ et la création d'une installation de production avec un traitement au sable vert courte 2 200 000 $.
Art.4.1 et 4.5 : Les subventions proviennent de la TECQ et du FIMEAU.
Les montants du FIMEAU seront utilisés pour du remplacement de conduites de 2020 à 2022.
Le financement de la TECQ pour les infrastructures d'eau a été estimé à 100%.
</t>
  </si>
  <si>
    <t>X0008506</t>
  </si>
  <si>
    <t>Les travaux relatif aux compteurs d'eau résidentiel sont a l'arret en raison de la pandémie de la COVID-19</t>
  </si>
  <si>
    <t>Art 2.1 : Étant donné que l’objectif de l’indice de fuite dans les infrastructures n’est pas atteint pour le réseau municipal,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2020.</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</si>
  <si>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de PIQM et du PRIMEAU.
Le financement de la TECQ pour les infrastructures d'eau a été estimé à 75%.</t>
  </si>
  <si>
    <t>St Jacques de Leeds</t>
  </si>
  <si>
    <t>X0009207</t>
  </si>
  <si>
    <t xml:space="preserve">Art.1.4 : Les frais d'administration générale ont été estimés avec une valeur de 15 % des charges avant amortissement (article 1.1).
Art 2.5 : La taxe foncière sur la valeur a été estimée afin d’obtenir un montant de 15 000 $ dans la réserve financière dédiée aux infrastructures d’eau.
Art.4.1 et 4.5 : Le financement de la TECQ pour les infrastructures d'eau a été estimé à 0%.
</t>
  </si>
  <si>
    <t>Saint-Jean-Baptiste</t>
  </si>
  <si>
    <t>X0008167</t>
  </si>
  <si>
    <t>Pour 2021 nous avons reçu une confirmation de FIMEAU et pour 2022 et 2023 c'est un estimé de l'appropriation de la TECQ 2019-2023</t>
  </si>
  <si>
    <t>Saint-Jean-de-Dieu</t>
  </si>
  <si>
    <t>X0009720</t>
  </si>
  <si>
    <t>Art.1.4 : Les frais d'administration générale ont été estimés avec une valeur de 15 % des charges avant amortissement (article 1.1).
Art.2.2 : La tarification non volumétrique a été estimée à partir du tarif non volumétrique unitaire en 2019. Il a ensuite été extrapolé pour l'ensemble des comptes facturés la municipalité.
Art. 2.5 : La taxe foncière sur la valeur a été estimée afin d’obtenir un excédent de 28 666$ entre les revenus et le coût de fonctionnement. Cet excédent a été ajouté à la réserve financière dédiée aux infrastructures d’eau, amenant le solde de la réserve à 384 467$ à la fin de l’année 2019.
Art.4.1 et 4.5 : Les subventions proviennent de la TECQ.
Le financement de la TECQ pour les infrastructures d'eau a été estimé à 75%.
Art. 4.3 : Un paiement comptant de 100 000$ est prévu pour le changement de la génératrice du poste de pompage. Ce paiment est prévu à partir de la réserve financière pour les infrastructures en eau.</t>
  </si>
  <si>
    <t>X0008738</t>
  </si>
  <si>
    <t>Art 4.1 : Il y a 30 branchements inactifs considérés dans le secteur résidentiel sans compteurs</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</si>
  <si>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2022.
Art 2.1 : Étant donné que l’objectif de l’indice de fuite dans les infrastructures n’est pas atteint pour le réseau Réseau Municipal, ce dernier doit être ausculté à 200% pour le 1er septembre 2021.</t>
  </si>
  <si>
    <t>Art.1.4 : Les frais d'administration générale ont été estimés avec une valeur de 15 % des charges avant amortissement (article 1.1).
Art. 2.5 : La taxe foncière sur la valeur a été estimée afin d’obtenir un excédent de 25 621$ entre les revenus et le coût de fonctionnement. Cet excédent a été ajouté à la réserve financière dédiée aux infrastructures d’eau, amenant le solde de la réserve à 197 513$ à la fin de l’année 2019. 
Art 2.9 et Art 2. 10 : Les réserves financières "Aqueduc Belle-Montagne" ET "Aqueduc Village" sont toutes les deux considérées.</t>
  </si>
  <si>
    <t>Rive ouest</t>
  </si>
  <si>
    <t>X0008107</t>
  </si>
  <si>
    <t>Rive est</t>
  </si>
  <si>
    <t>X0008117</t>
  </si>
  <si>
    <t>Étant donné que l’objectif de l’indice de fuite dans les infrastructures n’est pas atteint pour le réseau X0008107, ce dernier doit être ausculté à 200% pour le 1er septembre 2021.</t>
  </si>
  <si>
    <t>À l'article 2.5, les revenus sont de diverses sources soient taxes foncières sur la valeur, taxes de répartition locale au frontage, taxes à l'unité. Un différentiel subsite compte tenu que le calcul de tarification n'est pas effectué avec les coûts du rapport financier qui incluent des répartitions de dépenses autres. Nous sommes à revoir notre méthode de calcul de répartition de tarifs pour le budget 2020. Prendre note que le différentiel est absorbé par la taxe foncière.</t>
  </si>
  <si>
    <t>X0009122</t>
  </si>
  <si>
    <t>La Miche</t>
  </si>
  <si>
    <t>X0009123</t>
  </si>
  <si>
    <t xml:space="preserve">1.1.2 - Nouveaux débitmètres installés au réservoir de La Miche et au réservoir principal. </t>
  </si>
  <si>
    <t>Art 2.1: Étant donné que l’objectif de l’indice de fuite dans les infrastructures n’est pas atteint pour le réseau La Miche, ce dernier doit être ausculté à 200% pour le 1er septembre 2021.
Art 4.1 et 4.2: La municipalité doit effectuer, au minimum, une relève annuelle des compteurs d'eau installés dans le secteur non résidentiel et dans le secteur résidentiel dès 2020. L'estimation théorique de la consommation ne sera pas acceptée dans les prochains bilans. La relève des compteurs d'eau permettra de mieux évaluer la consommation ainsi que les pertes d'eau sur le réseau. Ainsi, il sera plus facile de cibler les actions à entreprendre pour économiser de l'eau potable.</t>
  </si>
  <si>
    <t>Art.2.5 : La taxe foncière sur la valeur a été estimée afin d'équilibrer minimalement les revenus affectés aux services d'eau (article 2.7) et le coût de fonctionnement des services d'eau (article 1.5) de façon à ne pas créer de déficit.
Art 4.1: Refection des rues Cap-Tourmente et Blondelle ainsi que la production du Bilan d'eau annuel (5000$) grâce à la TECQ 14-18 et 19-23. Les investissements en lien avec la voirie ne sont pas inclus (priorité 4 de la TECQ 19-23).
Art 4.5: La subvention confirmée en lien avec la construction du réservoir n'a pas été incluse en 2019, car celle-ci avait déjà été inscrite dans le Bilan 2018.</t>
  </si>
  <si>
    <t xml:space="preserve">Installation de distribution Saint-Joseph-de-Beauce </t>
  </si>
  <si>
    <t xml:space="preserve">X0009897 </t>
  </si>
  <si>
    <t>Article 4.2 : Valeur au PTI pour les réseaux d'eau potable et d'égout sanitaire. Il est a noter que ces investissements pourraient également être financés avec des subventions et du paiement comptant et pas seulement avec de l'emprunt.</t>
  </si>
  <si>
    <t>X0009507-X0009510</t>
  </si>
  <si>
    <t>La recherche de fuite dans le réseau est conseillée, puisque comme cette année les réseaux de Pointe-Calumet et de Saint-Joseph-su-Lac sont combinés alors les résultats ne sont pas représentatifs de Pointe-Calumet uniquement. Il est possible que l'une ou l'autre des municipalités ait des pertes d'eau importante ou une consommation résidentielle importante  indépendamment de l'autre. Cependant quand les résultats sont combinés on obtient des résultats qui ne permettent  pas d'avoir une idée représentative de la situation. Il est donc tout à fait possible qu'il y ait des fuites importantes dans l'un des deux réseaux.
Art 2.1: les longueurs sont celles du réseau de Saint-Joseph-du-Lac uniquement.</t>
  </si>
  <si>
    <t xml:space="preserve">Art.1.4 : Les frais d'administration générale ont été estimés avec une valeur de 15 % des charges avant amortissement (article 1.1).
Art. 2.5 : La taxe foncière sur la valeur a été estimée afin d’obtenir un excédent de 129 825 $ entre les revenus et le coût de fonctionnement. Cet excédent est pour l'égout, mais pas de réserve financière.
Art 4.5 : FIMEAU (30 000$ en 2019 et une portion de la TECQ et PRIMEAU en 2020 d'une valeur de 2 615 200$) pour construction d'un bâtiment (3 192 141 $ total du projet qui sera 317 317 par SJDL et le reste payé par Pointe-Calumet soit 259 623$) près de l'usine pour le traitement du manganèse. Ces montants incluent les études liées au projet.
Art 4.8: Projet ''le Bourg Saint-Joseph'' (phase I et II) 885 m, payé par le promoteur et suite de leur construction, les infrastructures sont cédées à la municipalité gratuitement.
</t>
  </si>
  <si>
    <t>Saint-Jules</t>
  </si>
  <si>
    <t>X0009812</t>
  </si>
  <si>
    <t>Art 4.1 : 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</si>
  <si>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4.3  &amp; 4.7  Fond réservé financé par le secteur désservi par le réseau.</t>
  </si>
  <si>
    <t>st-just-de-bretenières</t>
  </si>
  <si>
    <t>X0009026</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</si>
  <si>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et 4.5 : Provient de la TECQ 14-18 en 2019.
</t>
  </si>
  <si>
    <t>Saint-Juste-du-Lac</t>
  </si>
  <si>
    <t>X0008456</t>
  </si>
  <si>
    <t>Article 3.2 :
Option 1 : Utilisation de l'eau du lac pour nettoyer les rues. Les immeubles municipaux ne sont pas connectés sur le réseau, mais sur des puits artésiens.
Option 2 : Pas de terrains municipaux entretenus par la Ville.
Option 5 : Pas de jeux d'eau, pataugeoires ou piscines publics.
Option 7 : Pas de purges permanentes sur le réseau.</t>
  </si>
  <si>
    <t>Art.1.4 : Les frais d'administration générale ont été estimés avec une valeur de 10 % des charges avant amortissement (article 1.1).
Art.2.2 : La municipalité n'a pas de réseau d'eaux usées. Les charges avant amortissement et les revenus proviennent d'un programme de vidange des fosses septiques.
Art.2.5 : La taxe foncière sur la valeur a été estimée afin d'équilibrer minimalement les revenus affectés aux services d'eau (article 2.7) et le coût de fonctionnement des services d'eau (article 1.5) de façon à ne pas créer de déficit. La municipalité a augmenté la taxe sur les services d'eau afin de ne pas utiliser la taxe foncière générale en 2020.
Art.4.1 et 4.5 : Les subventions proviennent de la TECQ.
Investissements prévus 2020: 
Mise en place d'un nouveau puit : 100 000$. Financement: Subventions (80 000$) et paiment comptant (20 000$)
Mise à niveau d'un puit existant : 26 000$ Fianncement: Subvention (26 000$)</t>
  </si>
  <si>
    <t>Saint-lambert-de-lauzon</t>
  </si>
  <si>
    <t>X0008290</t>
  </si>
  <si>
    <t xml:space="preserve">Art.1.4 : Les frais d'administration générale ont été estimés avec une valeur de 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Un montant de 281 336$ a donc été ajouté en eau potable à la valeur déjà inscrite par la municipalité.
Art.4.1 et 4.5 : Les subventions proviennent de la TECQ.
Le financement de la TECQ pour les infrastructures d'eau a été estimé à 32% pour la réfection de conduites.
L’emprunt pour les infrastructures d'eau a été estimé à 32% du seuil d’immobilisation pour la TECQ.
La municipalité est dans l'attente de la confirmation d'un programme d'aide financière de 2 000 000$ pour la bonification de l'offre de service en 2021.
</t>
  </si>
  <si>
    <t xml:space="preserve">Sainte-Angélique # X0009413, Saddlebrook # X0009412, Saint-Louis # X0009414, </t>
  </si>
  <si>
    <t>X0009412-X0009413-X0009414</t>
  </si>
  <si>
    <t>Art 1.4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</si>
  <si>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 1.2 :  il y a eu inversion des departements lors de la remise des états financiers.   Les montants inscrits au tableau sont tels que présentés aux états financiers, mais auraient dû se lire :Eau potable 120 411 et  - Eau usées et pluviales 40 869
Art.4.1  : Les subventions proviennent de la TECQ, et du FIMEAU.
</t>
  </si>
  <si>
    <t>X0008904</t>
  </si>
  <si>
    <t>Art 4.2.2: Pas besoin d'estimer la consommation résidentielle puisqu'elle est déjà mesuré par des compteurs. L'Hôtel de ville possède un compteur non-relevé. Le garage municipal et une station de pompage municipale ne possèdent pas de compteur.</t>
  </si>
  <si>
    <t>Section 4: Aucun investissement nécessaire prévu dans les prochaines années sur les infrastructures d'eau. Les coûts d'entretien du réseau sont évalué à 13 000$/an et sont comptabilisés dans les coûts de fonctionnement à la section 1.</t>
  </si>
  <si>
    <t>Art 3.3: Les pertes d'eau apparentes évaluées dans l'audit de l'eau de l'AWWA (2,214 ML/an) sont incluses dans le secteur non résidentiel.</t>
  </si>
  <si>
    <t>X0011344</t>
  </si>
  <si>
    <t>Coop</t>
  </si>
  <si>
    <t>X0011345</t>
  </si>
  <si>
    <t>Art.2.5 : La taxe foncière sur la valeur a été estimée afin d'équilibrer minimalement les revenus affectés aux services d'eau (article 2.7) et le coût de fonctionnement des services d'eau (article 1.5) de façon à ne pas créer de déficit.
Art.4.1 et 4.5 : Les subventions proviennent du FEPTEU.</t>
  </si>
  <si>
    <t>Saint Léonard de Portneuf</t>
  </si>
  <si>
    <t>X0009274</t>
  </si>
  <si>
    <t xml:space="preserve">Section 4 et 5: 
Programmation TECQ 19-23
2019 : Remplacement d'une pompe désuète et des installations connexes, Remplacement de la pompe # 2 et équipements connexes, Réfection des réservoirs en raisons de fuites importantes (intérieures et extérieures, incluant l'étude structurale d'inspection relative à l'état des réservoirs)
2020: Remplacement du système de valves et tuyauterie (non fonctionnel), Travaux de construction d'une bâtisse au poste de traitement des eaux usées et Réfection des réservoirs en raisons de fuites importantes (intérieures et extérieures, incluant l'étude structurale d'inspection relative à l'état des réservoirs)
</t>
  </si>
  <si>
    <t>Saint-Léon de Standon</t>
  </si>
  <si>
    <t>X0009618</t>
  </si>
  <si>
    <t>Art. 1.3.1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</si>
  <si>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Régie</t>
  </si>
  <si>
    <t>X0008744</t>
  </si>
  <si>
    <t>Réseau GRI</t>
  </si>
  <si>
    <t>X0008745</t>
  </si>
  <si>
    <t>Art 2.1 : Étant donné que l’objectif de l’indice de fuite dans les infrastructures n’est pas atteint pour le réseau Régie ,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</si>
  <si>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Le financement de la TECQ pour les infrastructures d'eau a été estimé à 20%. Le paiement comptant pour les infrastructures d'eau a été estimé à 20% du seuil d’immobilisation pour la TECQ.
</t>
  </si>
  <si>
    <t>X1402344</t>
  </si>
  <si>
    <t>Art 2.1 : Étant donné que l’objectif de l’indice de fuite dans les infrastructures n’est pas atteint pour le réseau Réseau municipal,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</si>
  <si>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TECQ-2014, du FIMEAU et du PIQM. 
</t>
  </si>
  <si>
    <t>St-Luc</t>
  </si>
  <si>
    <t xml:space="preserve">X0009589 </t>
  </si>
  <si>
    <t>2.6 et 2.10 : La municipalité a confirmé qu'il y a la réserve financière et l'accumulation pour l'année, mais les montant ne sont pas séparés.
Art 4.1 et 4.5 : La municipalité a confirmé qu'il n'y a pas des grands investissement prévu dans le réseau dans les 10 prochaines années. TECQ environ 50% prévu pour chaque année.</t>
  </si>
  <si>
    <t>AQ1 Rang St-Alexis</t>
  </si>
  <si>
    <t>X2001295</t>
  </si>
  <si>
    <t>AQ2</t>
  </si>
  <si>
    <t>X0009425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</si>
  <si>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et d'avoir un exédente de fonctionnement assurant l'évolution de la réserve. À valider l'an prochain
Art.4.1: Le financement de la TECQ pour les infrastructures d'eau a été estimé à 30%.
Art 4.5 : FIMEAU pour remplacement et séparation du réseau d'égout
</t>
  </si>
  <si>
    <t>X0009657</t>
  </si>
  <si>
    <t>Art 1.2 &amp; 1.3 : La municipalité a inscrit des données différentes de son rapport financier. La dette est jointe pour l'eau potable et usée, la moitié a été attribué à chaque.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2021 TECQ 15 000$ mise à niveau poste de pompage secondaire, 22 000$ PI et FIMEAU 1 060 400$ reconstruction rue principale
La municipalité n'est pas certaine de l'utilisation de la TECQ 24-28
Art 4.5 TECQ Mise à niveau de poste de pompage principal</t>
  </si>
  <si>
    <t>X0008949</t>
  </si>
  <si>
    <t>Saint-Majorique-de-Grantham</t>
  </si>
  <si>
    <t>X0008879</t>
  </si>
  <si>
    <t xml:space="preserve">Saint-Malachie  </t>
  </si>
  <si>
    <t>X0009492</t>
  </si>
  <si>
    <t xml:space="preserve"> La Crapaudière  </t>
  </si>
  <si>
    <t>X0009493</t>
  </si>
  <si>
    <t>Art.1.4 : Les frais d'administration générale ont été estimés avec une valeur de 15 % des charges avant amortissement (article 1.1).
Art.4.1 et 4.5 : Les subventions proviennent de la TECQ.
Le financement de la TECQ pour les infrastructures d'eau a été estimé à 45%.
L’emprunt a été pour les infrastructures d'eau a été estimé à 45% du seuil d’immobilisation pour la TECQ.</t>
  </si>
  <si>
    <t>Saint-Marc-des-Carrières</t>
  </si>
  <si>
    <t>X0009268</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</si>
  <si>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 réseau X0009268, ce dernier doit être ausculté à 200% pour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</si>
  <si>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 4.1 : Subvention FEPTEU 1 pour le remplacement de conduites.
Art 2.2 &amp; 4.8 : Investissements indiqués au PTI. La municipalité a engagé une firme pour évaluer ses actifs et réaliser un plan de gestion des actifs. L'outil BI ainsi que la section 4 de l'onglet coût devraient être bonifiés aux prochains bilans. </t>
  </si>
  <si>
    <t>Saint-Marc-du-Lac-Long</t>
  </si>
  <si>
    <t>X0009105</t>
  </si>
  <si>
    <t>Art 4.1 : Un branchement de service inactif est considéré en plus dans le secteur non résidentiel.</t>
  </si>
  <si>
    <t>Art 1.4 : Les frais d'administration générale ont été estimés à 15% des charges avant amortissements.
Art. 2.5 : La taxe foncière sur la valeur a été estimée afin d’obtenir un excédent de 1 987$ entre les revenus et le coût de fonctionnement. Cet excédent a été ajouté à la réserve financière dédiée aux infrastructures d’eau, amenant le solde de la réserve à 21 230$ à la fin de l’année 2019.
Art 4.5 : Les subventions confirmées proviennent de la TECQ 19-23.</t>
  </si>
  <si>
    <t>Art.4.1 et 4.5 : Les subventions proviennent de la TECQ
Le financement de la TECQ pour les infrastructures d'eau a été estimé à 37%.</t>
  </si>
  <si>
    <t>Saint-Martin</t>
  </si>
  <si>
    <t>X0009798</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</si>
  <si>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 4.1 et 4.2 : Provient de PRIMEAU pour l'année 2019
Le financement de la TECQ pour les infrastructures d'eau a été estimé à 30%.</t>
  </si>
  <si>
    <t>Saint-Mathieu-de-Rioux</t>
  </si>
  <si>
    <t>X0009794</t>
  </si>
  <si>
    <t>Art. 4.1 : 3 branchements de service non résidentiels sont inactifs</t>
  </si>
  <si>
    <t>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</si>
  <si>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Saint-Maurice</t>
  </si>
  <si>
    <t>X0008359</t>
  </si>
  <si>
    <t>Art 1.1.2 : La municipalité n'a pu fournir de rapport de vérification des débitsmètres. C'est à prévoir au prochain Bilan.</t>
  </si>
  <si>
    <t xml:space="preserve">Art.1.4 : Les frais d'administration générale ont été estimés avec une valeur de 15 % des charges avant amortissement (article 1.1).
Art.4.1 : Les subventions proviennent de la TECQ. La municipalité n'as pas encore planifier de travaux pour la période 2024-2028
</t>
  </si>
  <si>
    <t>Mont-Louis</t>
  </si>
  <si>
    <t>X0009030</t>
  </si>
  <si>
    <t>Gros-Morne</t>
  </si>
  <si>
    <t>X0009031</t>
  </si>
  <si>
    <t>Art. 3.2 : Pas de piscine publique, de pataugeoire ou de jeux d'eau</t>
  </si>
  <si>
    <t xml:space="preserve">Art 2.1 : Étant donné que l’objectif de l’indice de fuite dans les infrastructures n’est pas atteint pour le réseau Mont-Louis, ce dernier doit être ausculté à 200% pour le 1er septembre 2021.
Art.4.1 : La municipalité doit relever tous les compteurs d'eau du secteur non-résidentiels et remplacer les compteurs défectueux d'ici le 1er septembre 2021. </t>
  </si>
  <si>
    <t>Art. 2.4 : Inclus les transferts relatifs à des ententes de partage de frais.
Art.2.5 : La taxe foncière sur la valeur a été estimée afin d'équilibrer minimalement les revenus affectés aux services d'eau (article 2.7) et le coût de fonctionnement des services d'eau (article 1.5) de façon à ne pas créer de déficit. Cette valeur est élevée à cause du remboursement de la dette des services d'eau.
Art.4.1 et 4.5 : Les subventions proviennent de la TECQ et du FIMEAU.
Les investissements réels en 2019 proviennent de la TECQ 2014-2018 et ont servis à divers travaux.
Les investissements prévus en 2021 proviennent du FIMEAU et servent au rattrapage du DMA sur les infrastructures linéaires.
La municipalité n'a pas fait sa programmation pour la TECQ 2019-2023 et ne veut pas s'avancer sur un montant pour ses investissements futurs.</t>
  </si>
  <si>
    <t>Saint-Michel-de-Bellechasse (X0009172)</t>
  </si>
  <si>
    <t>X0009172</t>
  </si>
  <si>
    <t>PADEM (Ministère de l'Environnement) : 29 931,36, pour les eaux usées.
Art.2.5 : La taxe foncière sur la valeur a été estimée afin d'équilibrer minimalement les revenus affectés aux services d'eau (article 2.7) et le coût de fonctionnement des services d'eau (article 1.5) de façon à ne pas créer de déficit.</t>
  </si>
  <si>
    <t>Saint-Michel-des-Saints (X0010232)</t>
  </si>
  <si>
    <t>X0010232</t>
  </si>
  <si>
    <t xml:space="preserve">Art 4.1 : 148 branchements inactifs sont considérés dans le secteur résidentiel sans compteurs.
</t>
  </si>
  <si>
    <t>Art 2.1 : Étant donné que l’objectif de l’indice de fuite dans les infrastructures n’est pas atteint pour le réseau Saint-Michel-des-Saints (X0010232),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2020.</t>
  </si>
  <si>
    <t>Saint-Michel-du-Squatec</t>
  </si>
  <si>
    <t>X0009192</t>
  </si>
  <si>
    <t>Art 4.1 : 8 branchements inactifs considérés dans le secteur résidentiel sans compteurs.</t>
  </si>
  <si>
    <t>Art.1.13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</si>
  <si>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Mise à jour du plan d'intervention, 6 189 $, TECQ 19-23.
Inspection caméra rue des Frênes, 3 685$ , TECQ 19-23.
Rue des frênes, correction écoulement des eaux usées. Estimé à 100 000$ (demande PRIMEAU).</t>
  </si>
  <si>
    <t>X0010316</t>
  </si>
  <si>
    <t>X0011553</t>
  </si>
  <si>
    <t>Art. 3.2 : Pas de piscine, de jeu d'eau ou de pataugeoire publiques sur le territoire de la municipalité.</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</si>
  <si>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Art.4.5 : Les subventions proviennent de la TECQ 2019-2023
Les fonds seront utilisés afin d'ajouter un traitement à l'usine de traitement d'eau usée (400 000$) et d'augmenter la capacité du réservoir à l'usine de production d'eau potable (300 000$)</t>
  </si>
  <si>
    <t>St-Moïse</t>
  </si>
  <si>
    <t>X0009788</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</si>
  <si>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 afin de réaliser des études pour la mise aux normes des infrastructure d'eau potable et d'eaux usées. Les travaux ne sont pas encore prévus.
Sections 3 et 4 : La municipalité estime que bien qu'au plan d'intervention, les conduites d'eau sont cotées A, leur durée de vie utile est presque écoulée. C'est pourquoi les besoins en maintien sont aussi élevés par rapport à la valeur de remplacement.</t>
  </si>
  <si>
    <t>Saint-Narcisse</t>
  </si>
  <si>
    <t>X0009462</t>
  </si>
  <si>
    <t>Art 4.1 : Égout pluvial sainr</t>
  </si>
  <si>
    <t>X0009142</t>
  </si>
  <si>
    <t>X0009724</t>
  </si>
  <si>
    <t>Saint Nazaire</t>
  </si>
  <si>
    <t>X0009588</t>
  </si>
  <si>
    <t>6 compteurs ont été installé dans le secteur où il est estimé être des gros consommateurs. Cependant, il a été constaté qu'ils ne consomment pas beaucoup. En 2019, ces compteurs n'ont pas été rélevés.</t>
  </si>
  <si>
    <t xml:space="preserve">Art. 3.3 : Un montant a été ajouté pour l'année 2020 afin de mieux représenter la situation de la municipalité  ('Récupérer un réseau de surface de 1,5km' 1474129,5 $ +395734,5 $) .
Art. 4.1 : Fimeau pour l'année 2021. 
</t>
  </si>
  <si>
    <t>Réseau du Village</t>
  </si>
  <si>
    <t>X0008914</t>
  </si>
  <si>
    <t xml:space="preserve">Art.1.4 : Les frais d'administration générale ont été estimés avec une valeur de 10 % des charges avant amortissement (article 1.1)
Art. 2.5 : La taxe foncière sur la valeur a été estimée afin d’obtenir un excédent de 7 500$ entre les revenus et le coût de fonctionnement. Cet excédent a été ajouté à la réserve financière dédiée aux infrastructures d’eau, amenant le solde de la réserve à 7 500$ à la fin de l’année 2019.
Art.4.1 et 4.5 : Les subventions proviennent de la TECQ, le financement de la TECQ 2024-2028 pour les infrastructures d'eau a été estimé à 25%.
</t>
  </si>
  <si>
    <t>Saint-Noël</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</si>
  <si>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19-23. </t>
  </si>
  <si>
    <t>Village Nortbertville</t>
  </si>
  <si>
    <t>X0009315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</si>
  <si>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42%. La municipalité n'utilise pas son seuil d'immobilisation de la TECQ pour les infrastructures d'eau.
</t>
  </si>
  <si>
    <t>Saint-Octave</t>
  </si>
  <si>
    <t>X0009867</t>
  </si>
  <si>
    <t>Art. 1.2 et 1.3 : La municipalité a terminé le remboursement de sa dette en 2019, ce qui explique la présence de frais de fonctionnement sans remboursement de la dette. 
Art.1.4 : Les frais d'administration générale ont été estimés avec une valeur de 15 % des charges avant amortissement (article 1.1).
Art.4.1 et 4.5 : Les subventions proviennent de la TECQ.</t>
  </si>
  <si>
    <t>St-Odilon</t>
  </si>
  <si>
    <t>X0009622</t>
  </si>
  <si>
    <t>Saint-Ours</t>
  </si>
  <si>
    <t>X0010705</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</si>
  <si>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PIQM -2008-1.5 : Renouvellement de conduites. </t>
  </si>
  <si>
    <t>Saint-Pacôme</t>
  </si>
  <si>
    <t>X0010275</t>
  </si>
  <si>
    <t>Saint-Pamphile</t>
  </si>
  <si>
    <t>X0008719</t>
  </si>
  <si>
    <t>Ville de Saint-Pascal</t>
  </si>
  <si>
    <t>X0008677</t>
  </si>
  <si>
    <t>Art 2.1 : Étant donné que l’objectif de l’indice de fuite dans les infrastructures n’est pas atteint pour le réseau Saint-Pascal, ce dernier doit être ausculté à 200% pour le 1er septembre 2021.
Art 4.1 : Étant donné que la valeur d'au moins un des indicateurs de performance dépassait l’objectif au bilan 2018, l’installation de compteurs d’eau dans tous les immeubles non résidentiels (Industries, Commerces et Institutions), les immeubles mixtes ciblés, les immeubles municipaux et sur un échantillon de 60 immeubles résidentiels est requise d'ici le 1er septembre 2022.</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</si>
  <si>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du FIMEAU.
Les travaux prévus sont du remplacement de conduite dans le secteur de la rue Chapleau.</t>
  </si>
  <si>
    <t>Saint-Patrice</t>
  </si>
  <si>
    <t>X0010499</t>
  </si>
  <si>
    <t>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</si>
  <si>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 xml:space="preserve">Art.1.4 : Les frais d'administration générale ont été estimés avec une valeur de 10 % des charges avant amortissement (article 1.1).
Art.2.2 : La tarification non volumétrique a été estimée à partir du tarif non volumétrique unitaire en 2019. Il a ensuite été extrapolé pour l'ensemble des comptes facturés la municipalité.
Art.2.5 : La taxe foncière sur la valeur a été estimée afin d'équilibrer minimalement les revenus affectés aux services d'eau (article 2.7) et le coût de fonctionnement des services d'eau (article 1.5) de façon à ne pas créer de déficit.
</t>
  </si>
  <si>
    <t>Art 4.2 : Données 2017.</t>
  </si>
  <si>
    <t>Saint-Paul/Industrie (X0008661)</t>
  </si>
  <si>
    <t>X0008661</t>
  </si>
  <si>
    <t>Île Vessot (X2145314)</t>
  </si>
  <si>
    <t>X2145314</t>
  </si>
  <si>
    <t>Curé-Valois (X2154897)</t>
  </si>
  <si>
    <t>X2154897</t>
  </si>
  <si>
    <t>Art 4.1 : 
Réseau Saint-Paul: 41 branchements non résidentiels, 1 498 résidentiels et 10 inactifs
Réseau Île-Vessot: 0 branchement non résidentiels, 65 résidentiels et 20 inactifs
Réseau Saint-Paul: 34 branchements non résidentiels, 56 résidentiels et 0 inactif</t>
  </si>
  <si>
    <t>Art.1.4 : Les frais d'administration générale ont été estimés avec une valeur de 15 % des charges avant amortissement (article 1.1).
Art 2.5 : La taxe foncière sur la valeur a été estimée afin d’obtenir un montant de 88 830 $ dans la réserve financière dédiée aux infrastructures d’eau.
Art.4.1 et 4.5 : Les subventions proviennent de la TECQ 14-18, et de la TECQ 19-23.
Art 3.6 &amp; Art 4.10 : Le pourcentage des investissements par rapport aux besoins d'investissements est élevé. L'estimation des besoins d'investissements et des sources de financement sera raffinée au courant des prochaines années. Ceci s'explique du fait que la municipalité fait de la gestion intégrée de ses infrastructures.</t>
  </si>
  <si>
    <t>Saint-Paul-d'Abbotsford</t>
  </si>
  <si>
    <t>X0008918</t>
  </si>
  <si>
    <t>Art.2.5 : La taxe foncière sur la valeur a été estimée afin d'équilibrer minimalement les revenus affectés aux services d'eau (article 2.7) et le coût de fonctionnement des services d'eau (article 1.5) de façon à ne pas créer de déficit.
Art 4.1 &amp; 4.5 : Pour les subvention confirmées, c'est le montant total de la TECQ 14-18.</t>
  </si>
  <si>
    <t>Massif</t>
  </si>
  <si>
    <t>X0008934-1</t>
  </si>
  <si>
    <t>X0008934-2</t>
  </si>
  <si>
    <t>Art 3.2 : Même s'il n'y a pas de directives, la municipalité fait de la sensibilisation via son journal local 
Art 4.1 : Le nombre élevé de branchements non résidentiels regroupe en majeure partie les 170 terrains vacants du Massif qui sont desservis.</t>
  </si>
  <si>
    <t>Saint-Philippe</t>
  </si>
  <si>
    <t>X0009107</t>
  </si>
  <si>
    <t>X0009179</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</si>
  <si>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2019-2023
2019 : 214 819$ amélioration réservoir eau potable
2019 : 266 181$ ajout d'e rideaux séparateurs à l'installation de traitement
2020 : 70 000$ Installation d'une borne incendie pour protéger le secteur industriel situé entre le 39 et 53 Route 287
2020 : 100 000$ Renouvellement de conduites d'eaux pluviales </t>
  </si>
  <si>
    <t>Saint-Pie</t>
  </si>
  <si>
    <t>X2002966</t>
  </si>
  <si>
    <t>X0008759</t>
  </si>
  <si>
    <t xml:space="preserve">Art 1.4 : Les frais d'administration générale sont inclus dans les coûts de fonctionnement. Au prochain bilan, il serait pertinent de pouvoir séparer ces montants.
Section 4 : 
Art 4.1 : 
2019 : Remplacement aqueduc et égout, rue Notre-Dame de Roy à Montcalm (PRIMEAU 2.0) : 448 820 $ 
          Mise à jour du plan d'intervention ( TECQ 14-18 ) : 6 720 $
          Inspection télévisée des conduites d'égouts ( TCQ 14-18 ) : 4 805 $
Art 4.2 : 
2019 : Remplacement aqueduc et égout, rue Notre-Dame de Roy à Montcalm (PRIMEAU 2.0) : 222 410 $ 
          Travaux maintien d'actif : 526 770 $
Art 4.5 : 
2020 : Remplacement égout et conduite d'eau séparation égout combiné : 2 010 530 $
</t>
  </si>
  <si>
    <t>Saint-Pie-de-Guire</t>
  </si>
  <si>
    <t>X0008854</t>
  </si>
  <si>
    <t>Réseau de la régie</t>
  </si>
  <si>
    <t>X2007366</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</si>
  <si>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</si>
  <si>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Saint-Pierre-Baptiste</t>
  </si>
  <si>
    <t>X0009339</t>
  </si>
  <si>
    <t xml:space="preserve">Art.1.3 : Le remboursement de la dette 2019 pour les eaux usées et pluviales n'est pas prévu car déjà terminer.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60%. Le paiement comptant pour les infrastructures d'eau a été estimé à 60% du seuil d’immobilisation pour la TECQ.
</t>
  </si>
  <si>
    <t>Coop - Saint-Pierre-de-Broughton</t>
  </si>
  <si>
    <t>X0008438</t>
  </si>
  <si>
    <t>Le secteur de suivi de distribution est en place mais n'a pas permis de détecter une fuite du fait du changement de matériel. Les données du présent bilan ont permises d'identifier une fuite et celle-ci a été réparée. Le débit de nuit a alors diminué de moitié ce qui devrait permettre d'observer des améliorations au bilan 2020.</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</si>
  <si>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La municipalité préfère identifier davantage ses besoins avant de compléter plus précisement cette section.
</t>
  </si>
  <si>
    <t>Saint-Pierre-les-Bequets</t>
  </si>
  <si>
    <t>X0010542</t>
  </si>
  <si>
    <t xml:space="preserve">Saint-Placide </t>
  </si>
  <si>
    <t>X0009434</t>
  </si>
  <si>
    <t xml:space="preserve">Art 1.1 : l'amélioration de la précision du débitmètre permettra d'avoir un résultat de validité des données supérieur à 50%.
Art 2.1 : Étant donné que l’objectif de l’indice de fuite dans les infrastructures n’est pas atteint pour le réseau de la municipalité de Saint-Placide,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
</t>
  </si>
  <si>
    <t xml:space="preserve">Pour des raisons de changement de personnel, la municipalité n'a pas encore présenté son rapport financier au moment du remplissage de ce formulaire. Les informations ne sont donc pas nécessairement finales.
Art.2.5 : La taxe foncière sur la valeur a été estimée afin d'équilibrer minimalement les revenus affectés aux services d'eau (article 2.7) et le coût de fonctionnement des services d'eau (article 1.5) de façon à ne pas créer de déficit.
Art 2.8: il existe un excédent pour les eaux usées.
Art 4.1: Subventions provenant de la TECQ non confirmée pour les travaux prévus dans le BI. Les sources de financement pour 2020 à 2029 ne sont pas connues (section 4), mais avec le nouveau personnel la municipalité va progresser  à ce niveau au prochain bilan.
</t>
  </si>
  <si>
    <t>Saint-Polycarpe</t>
  </si>
  <si>
    <t>Saint-Prosper</t>
  </si>
  <si>
    <t>X0008983</t>
  </si>
  <si>
    <t>Art 4.1 : Les branchements résidentiels inclut 74 terrain vagues.</t>
  </si>
  <si>
    <t>Section 4 : Le détail des travaux est détaillé dans le fichier Excel « Tableau excel des immos ».</t>
  </si>
  <si>
    <t>St-Prosper-de-Champlain</t>
  </si>
  <si>
    <t>X2144585</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</si>
  <si>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4.2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</si>
  <si>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 xml:space="preserve">Art.2.5 : La taxe foncière sur la valeur a été estimée afin d'équilibrer minimalement les revenus affectés aux services d'eau (article 2.7) et le coût de fonctionnement des services d'eau (article 1.5) de façon à ne pas créer de déficit.
Art 2.9: L'éxcédent affectée à la réserve financière n'était pas disponible cette année.
Art.4.1 et 4.5 : Les subventions proviennent de la TECQ. Le financement de la TECQ pour les infrastructures d'eau a été estimé à 25%.
</t>
  </si>
  <si>
    <t>Saint-Raphaël</t>
  </si>
  <si>
    <t>X0010743</t>
  </si>
  <si>
    <t>Art.1.4 : Les frais d'administration générale ont été estimés avec une valeur de 15 % des charges avant amortissement (article 1.1).
Art. 4.1 : TECQ 75% pour les année 2021 à 2025.</t>
  </si>
  <si>
    <t>Saint-Raymond</t>
  </si>
  <si>
    <t>X0010801</t>
  </si>
  <si>
    <t>Art 4.1 : Étant donné que la valeur d'au moins un des indicateurs de performance dépasse l’objectif, la municipalité s'est engagé dans une résolution (21-02-054) à procéder à l’installation de compteurs d’eau dans tous les immeubles non résidentiels (Industries, Commerces et Institutions), les immeubles mixtes ciblés, les immeubles municipaux et sur un échantillon de 60 immeubles résidentiels d'ici le 1er septembre 2022.</t>
  </si>
  <si>
    <t>Art.2.5 : La taxe foncière sur la valeur a été estimée afin d'équilibrer minimalement les revenus affectés aux services d'eau (article 2.7) et le coût de fonctionnement des services d'eau (article 1.5) de façon à ne pas créer de déficit.
Art.4.1 : Les subventions proviennent du FEPTEU et du FIMEAU.</t>
  </si>
  <si>
    <t>Secteur Trois-Lacs</t>
  </si>
  <si>
    <t>X2157439</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</si>
  <si>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Le financement de la TECQ pour les infrastructures d'eau a été estimé à 10% pour la TECQ 19-23 et 20% pour la TECQ 24-28.
Le paiement comptant pour les infrastructures d'eau a été estimé à à 10% du seuil d’immobilisation pour la TECQ 19-23 et 20% du seuil d’immobilisation pour la TECQ 24-28.
</t>
  </si>
  <si>
    <t>Saint-René-de-Matane</t>
  </si>
  <si>
    <t>X0010449</t>
  </si>
  <si>
    <t>Art 4.1 : Il n'y a plus que 6 commerces actifs. Les 2 branchement inactifs lié à l'arrêt d'activité en 2019 sont ajoutés aux branchement résidentiels.
Concernant les branchements résidentiels, retrait de 1 branchement car la résidence et son branchement ont disparu.</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</si>
  <si>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Aucun investissement prévu.</t>
  </si>
  <si>
    <t>Saint-Robert</t>
  </si>
  <si>
    <t>X0008341</t>
  </si>
  <si>
    <t>Résidentiel  Mun. SRA</t>
  </si>
  <si>
    <t>X0008723</t>
  </si>
  <si>
    <t>Art1.3: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</si>
  <si>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</si>
  <si>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 xml:space="preserve">Art.1.3 Le remboursement en capital s'est terminé en 2018 et la portion intérêt se terminait en 2019. 
Art 3.6 &amp; Art 4.10 :Le rapport entre les besoins d'investissement en maintien d'actif régulier et la valeur de remplacement est élevé. L'estimation des besoins d'investissements et de la valeur de remplacement sera raffinée au courant des prochaines années.
Art.4.1 et 4.5 : Les subventions proviennent de la TECQ. Le financement de la TECQ pour les infrastructures d'eau a été estimé à 100%. L’emprunt pour les infrastructures d'eau a été estimé à 100% du seuil d’immobilisation pour la TECQ. 
</t>
  </si>
  <si>
    <t>Installation de distribution Saint-Roch-des-Aulnaies</t>
  </si>
  <si>
    <t>x2124735</t>
  </si>
  <si>
    <t>Art 4.1.: 27 branchements non résidentiel dont 8 commerces et 19 branchements inactifs</t>
  </si>
  <si>
    <t>Section 4 :Le réseau fut construit entre 2005 et 2015 donc il est considérer comme neuf. L'ensemble des subventions proviennent de la TECQ 19-23 (programmation pas encore acceptée, sujette à changement).
Art 4.1: 
2019: Changement de la pompe de distribution #1
2020-2021: Intervention sur le système d'aeration des étangs
2023: Changement de la pompe de distribution #2
Art 4.5: 
Prolongement des réseaux sur la rue Castonguay (aqueduc) et sur la rue du Parc (aqueduc et égout)</t>
  </si>
  <si>
    <t>Saint-Romain</t>
  </si>
  <si>
    <t>X0009403</t>
  </si>
  <si>
    <t>Art.4.1 : La municipalité prévoit remplacer tous les vieux compteurs d'eau (28 ans) pour éviter la sous-consommation des usagers.</t>
  </si>
  <si>
    <t>Art 2.1 : Étant donné que l’objectif de l’indice de fuite dans les infrastructures n’est pas atteint pour le réseau Saint-Romain,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</si>
  <si>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20%. 
Art.4.1 :
2019 : Construction d'une nouvelle chambre de débitmètre (TECQ 14-18) 
2020-2028 :  Estimation de 20% de la TECQ 19-23 pour le maintien d'actifs des conduites.
Art.4.2 : 
2020-2022 :  Installation des compteurs d'eau (Emprunt)
Art.4.5 : 
2020 :  Prolongement de réseau  (TECQ 19-23 estimé + Emprunt)
</t>
  </si>
  <si>
    <t>Saint-Sauveur</t>
  </si>
  <si>
    <t>Domaine Saint-Sauveur</t>
  </si>
  <si>
    <t>X0008807</t>
  </si>
  <si>
    <t>X0008808</t>
  </si>
  <si>
    <t xml:space="preserve">Art 4.1 : les 140 branchements non résidentiels non équipés de compteurs n'étaient pas visibles dans le bilan 2018. Les branchements non résidentiels parmi ces 140 et qui figurent dans le tableau 2 de l’onglet ''Aide'' devraient être équipés de compteurs d’eau au même titre que les 255 branchements non résidentiel et ce avant le 1er septembre 2021.
Art 4.2 : Il existe une sectorisation (des débitmètres aux postes de pompage et de régulation de la pression) qui pourrait être utilisée comme des SSC. Il n'a pas été verifié si ces secteurs respectent les conditions pour être des SSC et donc, il n'y a pas de donnée de consommation en 2019. Il est possible de réduire une partie du nombre de compteurs d'eau à installer par les secteurs existants, par contre il faut respecter les conditions nécessaires. Pour plus de détails, veuillez contacter votre analyste du MAMH.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</si>
  <si>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4.2.3: Il est recommandé de vérifier si les sectorisations existantes respectent les conditions demandées pour être considérées comme des SSC. Si les conditions sont vérifiées, il faudra relever les volumes d'eau afin de pouvoir estimer la consommation résidentielle avant le 1er septembre 2021.</t>
  </si>
  <si>
    <t xml:space="preserve">Art 1.4: pas de frais de financement selonla municipalité.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(2020: 1 412 613$; 2021: 650 000$) du PRIMEAU (2021: 3 617 055$).
</t>
  </si>
  <si>
    <t>Art 1.1: l'installation de production X0008809 n'a pas été utilisé en 2019.</t>
  </si>
  <si>
    <t>Saint-Sébastien</t>
  </si>
  <si>
    <t>X0009987</t>
  </si>
  <si>
    <t>Art.4.1 : Toutes les résidences du périmètre urbain sont munies d'un compteur d'eau depuis 1990</t>
  </si>
  <si>
    <t xml:space="preserve">Art.1.4 : La municipalité a estimé ses frais d'administration générale.
Art.2.5 : La taxe foncière sur la valeur a été estimée afin d'équilibrer minimalement les revenus affectés aux services d'eau (article 2.7) et le coût de fonctionnement des services d'eau (article 1.5) de façon à ne pas créer de déficit.
Art.3.3 et 3.4 : Le rapport entre les besoins d'investissement en maintien d'actif régulier et la valeur de remplacement est élevé. Des travaux seront effectués sur la rue Principale (263) sur une longueur de 1,5 km et le coût est estimé à  6 500 000 $, dont 3 040 000 $ pour la voirie et 3 460 000 $ pour les réseaux. Le coût des travaux est réparti également sur les trois réseaux. Pour le réseau d'eau potable et le réseau d’eaux usées, le maintien d'actif régulier a été modifié à 1 153 333$ chacun. La municipalité connaît donc le coût des travaux. Bien que le réseau ait été refait il y a 25 ans, le réseau d'eaux pluviales n'a pas été renouvelé. De plus, à cause d'un problème d'infiltration, le réseau d'eaux usées est maintenant en déficit de maintien d'actifs. La municipalité prévoit effectuer du maintien sur le réseau d'eau potable et ceci explique pourquoi le ratio entre le maintien et la valeur de remplacement est élevé. L'estimation de la valeur de remplacement sera raffinée au courant des prochaines années.
Art.4.1 et 4.5 : Les subventions proviennent de la TECQ et du FIMEAU.
Le financement de la TECQ pour les infrastructures d'eau a été estimé à 100% pour la TECQ 2019-2023.
</t>
  </si>
  <si>
    <t>Saint-Séverin</t>
  </si>
  <si>
    <t>X0009459</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</si>
  <si>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50%.</t>
  </si>
  <si>
    <t>Système de distribution d'eau potable Saint-Simeon par. Baie-des-Rochers</t>
  </si>
  <si>
    <t>X0008605</t>
  </si>
  <si>
    <t>Saint-Siméon</t>
  </si>
  <si>
    <t>X0008596</t>
  </si>
  <si>
    <t>2019: PRIMEAU +TECQ 14-18 (chambre de réduction de la pression, plan d'intervention, détection de fuites, remplacement de conduites PP2)
2020: FIMEAU renouvellement de conduites</t>
  </si>
  <si>
    <t>X0009103</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</si>
  <si>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Des travaux de renouvellement des conduites sous la 132 prévus après 2024, mais les coûts et les sources de financement ne sont pas encore connues. La municipalité préfère attendre d'avoir plus d'informations sur les coûts et les échéanciers avant de les indiquer dans le tableau.</t>
  </si>
  <si>
    <t>X0009800</t>
  </si>
  <si>
    <t>Art. 2.2 : Remplacement préventif d'un vieux branchement de service
Art 4.1 : pas de changements comparativement à l'année 2018 :  5 commerces : Garage G.Ouellet, Petro Canada, Riou Machinerie, Telus, Quebec Inc 271 rte 132,  1 industrie : Société Majeco , 2 municipaux : Édifice municipal, Centre communautaire Desjardins, 2 institutions : École, Bureau de poste</t>
  </si>
  <si>
    <t xml:space="preserve">Art.2.5 : La taxe foncière sur la valeur a été estimée afin d'équilibrer minimalement les revenus affectés aux services d'eau (article 2.7) et le coût de fonctionnement des services d'eau (article 1.5) de façon à ne pas créer de déficit.
Art. 4.1 : Mise à niveau de l'automation, étang aéré 50 000$
Art. 4.1 : Mise à jour de l'automation pour l'eau potable prévue, mais aucun montant n'est présentement réservé.
Art. 4.1 : Réfection chambre de mesures, eau potable 70 000$
</t>
  </si>
  <si>
    <t>Saint-Simon</t>
  </si>
  <si>
    <t>X2069413</t>
  </si>
  <si>
    <t>Les immeubles équipés de compteur et non relevés, sont les immeubles municipaux et publics non facturés pour leur consommation d'eau (bureau municipal, carrefour des sports, garage/caserne, école et église). 
Le réseau d'aqueduc de Saint-Simon a été créé, à la base, avec un tuyau d'un diamètre plus grand, afin de fournir une quantité d'eau suffisante pour desservir l'usine d'Olymel ainsi que l'ensemble des citoyens réparti le long du réseau. Comme l'usine d'Olymel a fermé ses portes en 2007, la quantité d'eau distribuée sur le réseau est plus importante que celle qui peut être utilisée réellement par les citoyens, ce qui peut entraîner une stagnation d'eau dans le réseau et occasionner des problèmes concernant la qualité de l'eau. C'est pour cette raison que la Municipalité a mis en place un poste de chargement d'eau et que des purges sont effectuées. Dans ces conditions, il est difficile de demander aux citoyens de diminuer leur consommation d'eau, alors que le débit d'eau réservé par la Ville de Saint-Hyacinthe pour la Municipalité est déjà trop élevé pour les besoins réels des citoyens.</t>
  </si>
  <si>
    <t>Saint Stanislas</t>
  </si>
  <si>
    <t>X0009855</t>
  </si>
  <si>
    <t>Art. 4.1 : Le tableau a été affiné avec des données plus précises par rapport au bilan 2018</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</si>
  <si>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X0009855, ce dernier doit être ausculté à 200% pour le 1er septembre 2021.
Il est recommandé à la municipalité d'effectuer une recherche de fuite poussée puis d'installer un enregistreur de données à son usine de production. Cela permettra de mettre en place un SSD et facilitera la détection des fuites.</t>
  </si>
  <si>
    <t>Art.1.4 : Les frais d'administration générale ont été estimés avec une valeur de 15 % des charges avant amortissement (article 1.1).
Art.4.1 et 4.5 : Après investigation, la municipalité ne va pas utiliser la TECQ dans les infrastructures d'eau.</t>
  </si>
  <si>
    <t>Saint-Stanislas (4)</t>
  </si>
  <si>
    <t>X2154889</t>
  </si>
  <si>
    <t>Art.1.4 : Les frais d'administration générale ont été estimés avec une valeur de 10 %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2.9 : Une taxe spéciale collecte 8 000$/an pour la réserve financière.
Art 4.1 2019 - renouvellement de conduite FIMEAU, 2021 - renouvellement de conduites TECQ.
Art 4.7 : La télémétrie des prises d'eau pourra être financé soit par le réserve ou par la TECQ. Le prochain Bilan nous apportera plus de précision.</t>
  </si>
  <si>
    <t>Art 1.1 et 3.2 : Système 1 innopérant</t>
  </si>
  <si>
    <t>Saint-Sulpice (X0008645)</t>
  </si>
  <si>
    <t>X0008645</t>
  </si>
  <si>
    <t>Art 2.1 : Étant donné que l’objectif de l’indice de fuite dans les infrastructures n’est pas atteint pour le réseau Saint-Sulpice (X0008645), ce dernier doit être ausculté à 200% pour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</si>
  <si>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Art.1.4 : Les frais d'administration générale ont été estimés avec une valeur de 8 %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Le financement de la TECQ 19-23 pour les infrastructures d'eau a été estimé à 100%.</t>
  </si>
  <si>
    <t>Saint-Sylvère (X0010081)</t>
  </si>
  <si>
    <t>X0010081</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</si>
  <si>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t>
  </si>
  <si>
    <t>Saint-Tharcisius</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</si>
  <si>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FIMEAU 
2019 et 2020 aide financière de la TECQ 2019-2023 pour la réalisation d'étude préliminaires pour la mise aux normes des infrastructures d'égout. 2021 aide financière du FIMEAU pour le remplacement des conduites. </t>
  </si>
  <si>
    <t xml:space="preserve">Saint-Thomas </t>
  </si>
  <si>
    <t>X0008638</t>
  </si>
  <si>
    <t xml:space="preserve">Art.2.5 : La taxe foncière sur la valeur a été estimée afin d'équilibrer minimalement les revenus affectés aux services d'eau (article 2.7) et le coût de fonctionnement des services d'eau (article 1.5) de façon à ne pas créer de déficit.
</t>
  </si>
  <si>
    <t>Saint-Thomas-Didyme (X009853)</t>
  </si>
  <si>
    <t>X0009853</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</si>
  <si>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La municipalité devait installer les compteurs d'eau jusqu'à 1er septembre 2020, mais assouplie avec la résolution de conseil municipal pour le bilan 2019. l’installation de compteurs d’eau dans tous les immeubles non résidentiels (Industries, Commerces et Institutions), les immeubles mixtes ciblés, les immeubles municipaux et sur un échantillon de 20 immeubles résidentiels est requise d'ici le 1er septembre 2021.</t>
  </si>
  <si>
    <t>TECQ : 100% 2021. Non planifié encore pour les autres années.
Art.1.4 : Les frais d'administration générale ont été estimés avec une valeur de 15 % des charges avant amortissement (article 1.1).</t>
  </si>
  <si>
    <t>Entente Saint-Casimir(X0010388)-Saint-Thuribe</t>
  </si>
  <si>
    <t xml:space="preserve">Art.4.1 : La municipalité a 14 branchements de service non résidentiels équipés de compteurs, 20 branchements résidentiels équipés de compteurs et 87 branchements résidentiels sans compteurs. </t>
  </si>
  <si>
    <t>Art.2.1 : Saint-Casimir (34078) s'occupe d'effectuer la recherche de fuites sur les conduites qui désserve la municipalité de Saint-Thurbide car elles appartiennent à la municipalité de Saint-Casimir. Elle est donc responsable de la recherche de fuite sur l'ensemble des conduites sur le territoire de Saint-Thurbide (34085). 
Note : La recherche de fuite, la réparation de bris et le nombre de branchements de service a été comptabilisé dans le bilan de Saint-Casimir (34078). Les informations ne sont pas répétées ici afin de ne pas dédoubler les valeurs.</t>
  </si>
  <si>
    <t>Art.1.4 : Les frais d'administration générale ont été estimés avec une valeur de 15 % des charges avant amortissement (article 1.1).
Section 4 : Aucun investissement prévu.</t>
  </si>
  <si>
    <t>Saint-Tite</t>
  </si>
  <si>
    <t>X0008353</t>
  </si>
  <si>
    <t>Art 2.1 : Étant donné que l’objectif de l’indice de fuite dans les infrastructures n’est pas atteint pour le réseau Saint-Tite,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2024, selon a résolution municipale reçue.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</si>
  <si>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3.5 : Les besoins en Bonfication de services ont été ajustés pour mieux représenter les besoins de la municipalité.
Art 4.5 et 4.6 :28 000 000 $ Mise aux normes Barrage, usine, réservoir, chambre d'équilibration des pressions et puit. 12 739 750 $ FCCQ et  le reste PRIMEAU quand il sera accordé.</t>
  </si>
  <si>
    <t>Saint-Tite-des-Caps</t>
  </si>
  <si>
    <t>X0009129</t>
  </si>
  <si>
    <t>Art.4.1 : Parmis les 24 branchements de services non résidentiels, 12 sont inactifs.</t>
  </si>
  <si>
    <t>Saint-Ulric</t>
  </si>
  <si>
    <t>X0009857</t>
  </si>
  <si>
    <t xml:space="preserve">Art.1.4 : Les frais d'administration générale ont été estimés avec une valeur de 15 % des charges avant amortissement (article 1.1).
Art.4.1 : Les subventions proviennent de la TECQ. 
Art.4.6 : Une demande a été faite pour un PRIMEAU pour les travaux de mise au norme de l'infrastructure de production d'eau potable pour une valeur de 5 000 000$. Les travaux sont uniquement de la mise au norme et il n'y a pas d'augmentation de la capacité. En attente de promesse, les montants sont indiqués comme des emprunts. </t>
  </si>
  <si>
    <t>Saint-Urbain</t>
  </si>
  <si>
    <t>X0008721</t>
  </si>
  <si>
    <t>Les 16 branchements sans compteurs sont inactifs</t>
  </si>
  <si>
    <t xml:space="preserve">Art.1.3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dépassait l’objectif au bilan 2017, l’installation de compteurs d’eau dans tous les immeubles non résidentiels (Industries, Commerces et Institutions), les immeubles mixtes ciblés, les immeubles municipaux et sur un échantillon de 20 immeubles résidentiels était requise d'ici le 1er septembre 2020. La municipalité a complété l'installation des compteurs dans le secteur non résidentiel et fait présentement des démarches pour mettre en place un SSC afin d'estimer la consommation résidentielle. Le SSC doit être préalablement validé par l'équipe de la Stratégie québécoise d'économie d'eau potable afin d'être utilisé pour estimer la consommation résidentielle.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</si>
  <si>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Des demandes FIMEAU on été faites, mais aucune lettre de promesse n'a été faite. Les sommes demandées sont donc présentement indiquées comme des emprunts.
2021 : Nouveau développement J-Jacques
2022 : Réfection rue Champlain
2023 : Réfection route 381 St-Édouard conjointement avec le MTQ
2024 : Nouveau développement rue Bouchard</t>
  </si>
  <si>
    <t>Saint-Vianney</t>
  </si>
  <si>
    <t>X0009899</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</si>
  <si>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PIQM.
Investissement 2019 couvert par la TECQ 14-18 et 19-23
Investissement 2021 couvert par le PIQM</t>
  </si>
  <si>
    <t>Saint-Wenceslas</t>
  </si>
  <si>
    <t>X0011531</t>
  </si>
  <si>
    <t xml:space="preserve">Art.2.5 : La taxe foncière sur la valeur a été estimée afin d'équilibrer minimalement les revenus affectés aux services d'eau (article 2.7) et le coût de fonctionnement des services d'eau (article 1.5) de façon à ne pas créer de déficit.
Art.4.1 et 4.5 : Le financement de la TECQ pour les infrastructures d'eau a été estimé à 0%. 
</t>
  </si>
  <si>
    <t>Saint-Zacharie</t>
  </si>
  <si>
    <t>X2109745</t>
  </si>
  <si>
    <t>Art.2.1 : Il est recommandé d’effectuer un contrôle actif des fuites, car pour les réseaux dont l’indicateur de pertes d'eau dépasse la valeur de comparaison, un contrôle actif des fuites sur l’équivalent de 200 % de la longueur sera requis d'ici le 1er septembre 2021.
Art 4.1: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</si>
  <si>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Art 1.2 et 1.3: Les frais de financement et le remboursement de la dette ne peuvent pas être séparés entre l'eau potable et les eaux usées.
Section 4: Aucun investissement prévu sur les infrastructures d'eau dans les prochaines années par la municipalité.</t>
  </si>
  <si>
    <t>Saint-Zénon réseau municipal</t>
  </si>
  <si>
    <t>X0008715</t>
  </si>
  <si>
    <t>Art.1.4 : Les frais d'administration générale ont été estimés avec une valeur de 15 % des charges avant amortissement (article 1.1).
Art. 2.5 : La taxe foncière sur la valeur a été estimée afin d’obtenir un excédent de 3 500$ entre les revenus et le coût de fonctionnement. Cet excédent a été ajouté à la réserve financière dédiée aux infrastructures d’eau, amenant le solde de la réserve à 35 977$ à la fin de l’année 2019.
Section 4 : Le financement provient de la TECQ 19-23</t>
  </si>
  <si>
    <t>St-Zéphirin-de-Courval (X0008861)</t>
  </si>
  <si>
    <t>X0008861</t>
  </si>
  <si>
    <t>Art 2.9 et Art 2.10 : Les données des deux réserves financières nommées "Égout" et "Aqueduc" ont été additionnées.
Art 2.5 : La taxe foncière sur la valeur a été estimée afin d’obtenir un montant de 15 687 $ dans la réserve financière dédiée aux infrastructures d’eau.
Art 3.6 &amp; Art 4.10 : Le pourcentage des investissements par rapport aux besoins d'investissements est élevé. L'estimation des besoins d'investissements et des sources de financement sera raffinée au courant des prochaines années. Ceci s'explique du fait que la municipalité effectue de la gestion intégrée, donc ces interventions dépassent les besoins spécifiques aux services d'eau.
Art.4.1 : Les subventions proviennent du FIMEAU.
Art 4.2 : La subvention PRIMEAU n'étant pas acceptée le montant est inscrit dans emprunt en 2022.</t>
  </si>
  <si>
    <t>Saint-Zotique</t>
  </si>
  <si>
    <t>X0008176</t>
  </si>
  <si>
    <t>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Étant donné que l’objectif de l’indice de fuite dans les infrastructures n’est pas atteint pour le réseau X0008176, ce dernier doit être ausculté à 200% pour le 1er septembre 2021.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</si>
  <si>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4.1 : Remplacement de conduite selon l'aide reçue avec le programme PRIMEAU-2.0 &amp; aide financière TECQ 14-18.</t>
  </si>
  <si>
    <t>Sayabec</t>
  </si>
  <si>
    <t>X0010452</t>
  </si>
  <si>
    <t xml:space="preserve">Art 4.1 : Étant donné que la valeur d'au moins un des indicateurs de performance dépasse l’objectif depuis le bilan 2014, l’installation de compteurs d’eau dans tous les immeubles non résidentiels (Industries, Commerces et Institutions), les immeubles mixtes ciblés, les immeubles municipaux et sur un échantillon de 20 immeubles résidentiels est requise d'ici le 1er septembre 2020. La municipalité a commencé l'installation des compteurs dans le secteur résidentiel et a fourni une preuve d'achat pour les compteurs du secteur non résidentiel. Afin d'être approuvée au bilan 2020, la municipalité doit terminer l'installation de ses compteurs d'eau.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</si>
  <si>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La municipalité prévoit faire des travaux de 4 000 000$ en 2022. Elle n'a pas présentement de subventions confirmées autre que la TECQ (utilisées à 100% à l'article 4.1), mais prévoit ajouter d'autres programmes d'aide financière d'ici la tenue des travaux.</t>
  </si>
  <si>
    <t>Sept-Îles</t>
  </si>
  <si>
    <t>X0008227</t>
  </si>
  <si>
    <t>Gallix</t>
  </si>
  <si>
    <t>X0009661</t>
  </si>
  <si>
    <t xml:space="preserve">Moisie Villégiature </t>
  </si>
  <si>
    <t>X0009909</t>
  </si>
  <si>
    <t xml:space="preserve">Moisie Laboule  </t>
  </si>
  <si>
    <t>X0009910</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</si>
  <si>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les réseaux Sept-îles et Laboule, ces derniers doivent être auscultés à 200 %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2021.
Art 4.2 : Tous les PME sont installés, il reste les très grosses usines qui ont des compteurs spéciaux, les SSC sont en cours</t>
  </si>
  <si>
    <t xml:space="preserve">Art.1.4 : Les frais d'administration générale sont inclus dans les charges avant amortissement (article 1.1), selon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PRIMEAU. Le financement de la TECQ pour les infrastructures d'eau a été estimé.
</t>
  </si>
  <si>
    <t>Réseau municipal Shannon</t>
  </si>
  <si>
    <t>X2124583</t>
  </si>
  <si>
    <t>Art 4.1 Correctif sur le nombre de branchements résidentiels 2019 + mise à jour 2019. A noter qu'a partir de l'année 2019, la ville n'installe plus de compteur d'eau dans les immeubles résidentiels et non résidentiels.</t>
  </si>
  <si>
    <t>Section 4: Le plan d'intervention de la municipalité n'est pas encore réalisée. Selon les recommandations de celui-ci, la municipalité prévoit investir une partie de sa TECQ 19-23 dans les infrastructures d'eau. À noter que l'enveloppe totale pour la municpalité est de 2 267 931$. La section 4 devra donc être mise à jour à partir de l'an prochain.</t>
  </si>
  <si>
    <t>Shawinigan</t>
  </si>
  <si>
    <t>Grand-Mère</t>
  </si>
  <si>
    <t>X0008260</t>
  </si>
  <si>
    <t>X0011548</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</si>
  <si>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les réseaux Grand-mère et Shawinigan, ces derniers doivent être auscultés à 200 % pour le 1er septembre 2021.
Art 4.1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2021.
Art 4.2 :  Le nombre de  branchements residentiel provient de 2018</t>
  </si>
  <si>
    <t>Art.1.4 : Les frais d'administration générale ont été estimés avec une valeur de 15 % des charges avant amortissement (article 1.1).
Art. 2.5 : La taxe foncière sur la valeur a été estimée afin d’obtenir un excédent de 1 304 018$ entre les revenus et le coût de fonctionnement. Cet excédent a été ajouté à la réserve financière dédiée aux infrastructures d’eau, amenant le solde de la réserve à 1 558 180$ à la fin de l’année 2019.
Section 4 : La municiplaité n'est pas certaine des investissements prévus dans le futur, le Bilan 2020 sera plus précis.</t>
  </si>
  <si>
    <t>Puits SO/PE-1-04</t>
  </si>
  <si>
    <t>X2062146</t>
  </si>
  <si>
    <t>Usine JM Jeanson</t>
  </si>
  <si>
    <t>X0008188</t>
  </si>
  <si>
    <t>≤ 3,4</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</si>
  <si>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ou SSC sera requise progressivement d'ici le 1er septembre 2025.</t>
  </si>
  <si>
    <t>Art 4.1 : 2020-2021 - FIMEAU 6 904 730$ Renouvellement de conduites
Art 4.2 et 4.3 : Les données indiquées proviennent d'une moyenne d'investissement de la ville de Sherbrooke.</t>
  </si>
  <si>
    <t>Art4.1: L’estimé du compte à payer 2017 (renversé en 2018) , a été plus élevé que ce qui a été réellement payé en 2018</t>
  </si>
  <si>
    <t>SOREL-TRACY - SOREL</t>
  </si>
  <si>
    <t>RIE-TRACY</t>
  </si>
  <si>
    <t>X0010714</t>
  </si>
  <si>
    <t xml:space="preserve">1.1.1. : La Ville de Sorel-Tracy évaluera en 2021 les opportunités concernant l'installation de débitmètres sur certaines conduites acheminant l'eau potable vers la municipalité de Saint-Joseph-de-Sorel, et ce, afin d'être mieux en mesure de départager l'eau distribuée dans cette municipalité et le secteur Tracy.  
1.3.1 : La Ville de Sorel-Tracy prévoit adopter en 2021 un nouveau règlement concernant l'usage de l'eau.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</si>
  <si>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2021 ou à raison de 500 compteurs par année.
Art 2.1 : Étant donné que l’objectif de l’indice de fuite dans les infrastructures n’est pas atteint pour le réseau X0010713 et le réseau X0010714, ces dernier doivent être ausculté à 200% pour le 1er septembre 2021.
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t>
  </si>
  <si>
    <t>Art 4.1 : FIMEAU et TECQ 19-23.</t>
  </si>
  <si>
    <t xml:space="preserve">Les données de la section 4 sont pour les 2 usines de traitement de l'eau potable à Sorel-Tracy. La répartition des données par usine (Centrale de traitement de l'eau - CTE et Régie intermunicipale de l'eau - RIE) est fournie dans un document annexe. 
</t>
  </si>
  <si>
    <t>Stanstead-Fitch Bay</t>
  </si>
  <si>
    <t>X0008479</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</si>
  <si>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24-28 pour les infrastructures d'eau a été estimé à 25%.
</t>
  </si>
  <si>
    <t>Beebe Plain</t>
  </si>
  <si>
    <t>X0008476</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</si>
  <si>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2019 Puits no 3           2021 PRIMEAU Station d'épuration Rock Island              2023TECQ travaux intégrés pour ajout d'égout pluvial</t>
  </si>
  <si>
    <t>Stukely-Sud</t>
  </si>
  <si>
    <t>X0008648</t>
  </si>
  <si>
    <t>Art 1.3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:Étant donné que l’objectif de l’indice de fuite dans les infrastructures n’est pas atteint pour le réseau Stuckley-Sud, ce dernier doit être ausculté à 200% pour le 1er septembre 2021.</t>
  </si>
  <si>
    <t>Tadoussac</t>
  </si>
  <si>
    <t>X0008309</t>
  </si>
  <si>
    <t xml:space="preserve">Relevé des compteurs commerciaux se font à chaque mois durant la période estivale donc de mai à octobre. Le relevé des compteurs résidentiels (20), c'est une fois l'an, en octobre ou novembre. </t>
  </si>
  <si>
    <t>Art 2.4 : Les transfert gouvernementaux ne correspondent pas au rapport financier, mais la municipalité assure que cette valeur est vraie.
Art 4.1 : 2020 : études préliminaire mise aux normes 2022 Mise aux normes eau usée 2024@2028 50% TECQ distribuée</t>
  </si>
  <si>
    <t>Cabano</t>
  </si>
  <si>
    <t>X0008812</t>
  </si>
  <si>
    <t>Notre-Dame-du-Lac</t>
  </si>
  <si>
    <t>X0008839</t>
  </si>
  <si>
    <t xml:space="preserve">Cabano :
Logements résidentiels : 1299
Immeubles résidentiels : 1002
Immeubles non résidentiels : 141
Branchements inactifs : 10
N-D-D-L :
Logements résidentiels : 731
Immeubles résidentiels : 479
Immeubles non résidentiels : 44
Immeubles non résidentiels avec compteurs non relevés : 7 
Branchements inactifs : 50
Section 3.2 option 1: En cours en 2019 et prévue en 2020. Un point d'alimentation en eau brute est installé dans le quartier Cabano. Un autre devrait être fonctionnel à Notre-Dame-du-Lac en 2020. Ils sont ou seront utilisés dans les périodes où il n'y a pas de gel.
Section 4 : Étant donné la fermeture de notre aréna, nous aurons la main-d’œuvre disponible pour débuter les visites visant l’inventaire et l’inspection des 185 commerces et 60 résidences et ce, dans le but de procéder à l’installation des compteurs exigés par le MAMH. Cette première étape sera réalisée à compter du mois de janvier 2021 et se poursuivra jusqu’à la fin du mois de juin 2021. Les commandes de compteurs d’eau seront effectuées au mois de juillet 2021. Lesdits compteurs d’eau seront financés à même les excédents de la Ville.  Une entente relative à l’installation des compteurs d’eau sera élaborée avec notre plombier résidant dans notre ville. Il est possible que nous devions également faire affaire avec des plombiers externes étant donné le nombre de compteurs d’eau à installer soit 245. L’installation des compteurs d’eau débutera au retour des vacances de la construction soit en août 2021 et se poursuivra au cours de l’automne et hiver 2021-2022. </t>
  </si>
  <si>
    <t>Art.1.13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Il est également recommandé d'adopter un règlement concernant les compteurs d'eau à la consommation similaire au modèle disponible sur le site du MAMH.
Art 2.1 : Étant donné que l’objectif de l’indice de fuite dans les infrastructures n’est pas atteint pour les réseaux Cabano et Notre-Dame-du-Lac, ces derniers doivent être auscultés à 200 % pour le 1er septembre 2021.
Art 4.1 : Étant donné que la valeur d'au moins un des indicateurs de performance dépasse l’objectif depuis le bilan 2015, l’installation de compteurs d’eau dans tous les immeubles non résidentiels (Industries, Commerces et Institutions), les immeubles mixtes ciblés, les immeubles municipaux et sur un échantillon de 60 immeubles résidentiels était requise d'ici le 1er septembre 2020. La date limite du 1er septembre 2020 a été dépassée et les compteurs d’eau n’ont pas été installés. Cependant, la municipalité a réalisé des avancements dans le dossier, notamment en réservant du budget pour l'achat des compteurs dans leurs excédents de fonctionnement. Elle a également libéré la main-d’œuvre nécessaire pour procéder au recensemment et à l’inspection des 185 branchements non résidentiels et 60 branchements résidentiels visés par la mesure des compteurs d'eau. L'avancement est considéré suffisant pour l'approbation du Bilan 2019. L’installation des compteurs d’eau devra cependant être débutée au 1er septembre 2021 et terminée au 1er septembre 2022 pour être approuvé au Bilan 2020 et 2021 respectivement.</t>
  </si>
  <si>
    <t xml:space="preserve">Art.1.3 : Les frais d'administration générale ont été estimés à une valeur de 15 % de la somme des charges avant amortissement (article 1.1), des frais de financement (article 1.2) et du remboursement de la dette (article 1.4).
Art.2.5 : La taxe foncière sur la valeur a été estimée afin d'équilibrer minimalement les revenus affectés aux services d'eau (article 2.7) et le coût de fonctionnement des services d'eau (article 1.5) de façon à ne pas créer de déficit.
Art 4.1 : 2020,TECQ maintien remplacement de vielles conduites rue Bois-Francs. 2021, TECQ, maintien remplacement de vielles conduites rue Bois-Francs pour 277 566$ et FIMEAU remplacement vieilles conduites Commerciales Nord et Sud pour 3 986 462$. 2022, TECQ remplacement de vieilles conduites rue St-Viateur.
Art. 4.2 : 2019 : finition de travaux de conduites d'aqueduc. 2021 : maintien remplacement de vielles conduites partie municipale du projet FIMEAU Commerciales Nord et Sud.
Art. 4.3 : 2019 : Changement de pompe et remplacement d'outillage. 2020 : Changement de pompe et remplacement d'outillage. 2021 : travaux de maintien sur les bassins d'eau usées du quartier Cabano.
Art. 4.5 : 2019 et 2020 : FEPTEU agrandissement de l'usine pour avoir 1 réseau au lieu de 2 et l'agrandissement de 8,4 km.
Art. 4.6 : 2019 et 2020 : partie municipale du projet FEPTEU. 
Art. 4.7 : 2019 : raccordement d'une construction d'un OMH et finition d'un prolongement de rue. 2021: compteurs d'eau.
</t>
  </si>
  <si>
    <t>Art 4.2 Autres incluent les frais d'administration (télécommunications, déplacement, formation, fournitures de bureau, frais de publications des communications aux citoyens, etc.), les tests d'eau potable, les honoraires professionnels, le système d'alarme, etc.</t>
  </si>
  <si>
    <t>Terrasse-Vaudreuil</t>
  </si>
  <si>
    <t>X0009338</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</si>
  <si>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Les travaux réalisés en 2019 devait être de 150 000$ de plus et être couvert par un règlement d'emprunt, mais les coûts réels se sont avérés plus bas qu'estimé et l'emprunt à été annulé. Aucun travaux présentement prévus. La municipalité attend 2022-2023 pour exécuter des travaux qu'elle pense financer avec la TECQ.</t>
  </si>
  <si>
    <t>Black Lake</t>
  </si>
  <si>
    <t>X0008215</t>
  </si>
  <si>
    <t>Thetford Centre</t>
  </si>
  <si>
    <t>X0010785</t>
  </si>
  <si>
    <t>2020-2028 : 90% de TECQ
2020-2021 : FIMEAU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</si>
  <si>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Thurso (X0008163)</t>
  </si>
  <si>
    <t>X0008163</t>
  </si>
  <si>
    <t>Art 4.1 : Le SSC de 7 branchements sur la 5em Rang est inclus dans la section « branchements de service non résidentiel sans compteurs. »</t>
  </si>
  <si>
    <t>Art. 4.5-4.8 : La municipalité fait partie du TECQ (19-23), mais n’a pas prévue des bonifications. Une réévaluation de la mode de financement pour l’année prochaine est prévue.                                                                                                                                                                                                                                                                                                                                                                                                          Art.4.1 : Les subventions proviennent de la TECQ  (19-23).  Ces montants sont un estimation des besoins.                                                                                                                                                                                                                                                                                                                      Art.1.4 : Les frais d'administration générale ont été estimés avec une valeur de 15 % des charges avant amortissement (article 1.1).</t>
  </si>
  <si>
    <t>Tourville</t>
  </si>
  <si>
    <t>X0009127</t>
  </si>
  <si>
    <t xml:space="preserve">Art.1.4 : Les frais d'administration générale ont été estimés avec une valeur de 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24-28 pour les infrastructures d'eau a été estimé à 60%.
L’emprunt a été pour les infrastructures d'eau a été estimé à 60% du seuil d’immobilisation pour la TECQ 24-28.
</t>
  </si>
  <si>
    <t>X0009822</t>
  </si>
  <si>
    <t xml:space="preserve">X0009822 </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</si>
  <si>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l’objectif de l’indice de fuite dans les infrastructures n’est pas atteint pour le réseau X0009822, ce dernier doit être ausculté à 200% pour le 1er septembre 2021.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</si>
  <si>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4.1 : FIMEAU pour l'année 2020. TECQ pour l'année 2024.</t>
  </si>
  <si>
    <t>Trois-Pistoles</t>
  </si>
  <si>
    <t>X0008770</t>
  </si>
  <si>
    <t>Art. 4.1 : 63 Commerces et industries, 62 bâtiments mixtes</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</si>
  <si>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conformément à la résolution #14045.</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</si>
  <si>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Les subventions proviennent de la TECQ
Travaux de 10 000 000$ prévus en 2022 sur la rue Notre-Dame Ouest pour du renouvellement de conduites sur l'eau potable et les eaux usées (dont 3 000 000$ en voirie). Aucune promesse présentement, donc montant maximum de la TECQ alloué + emprunt pour la balance</t>
  </si>
  <si>
    <t>Art. 2.1 : L’estimation 2019 du nombre de personnes par logements de statistique Canada sous-estime la population résidentielle desservie et occupée de façon permanente. Une population de 3 282 personnes est plus représentative.</t>
  </si>
  <si>
    <t>Cap-de-la-Madeleine</t>
  </si>
  <si>
    <t>X0008213</t>
  </si>
  <si>
    <t>Ouest</t>
  </si>
  <si>
    <t>X0008264-X0008076-X0010193-X2151836</t>
  </si>
  <si>
    <t>Saint-Louis-de-France</t>
  </si>
  <si>
    <t>X0009430</t>
  </si>
  <si>
    <t>Art 2.2 : Le délais de réparation des fuites sur les branchements de services côté privé n'était pas disponible cette année. La valeur a été fixée a 20 jours et la vraie donnée sera présente au prochain Bilan.</t>
  </si>
  <si>
    <t>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t>
  </si>
  <si>
    <t>Art 1.4 : Déjà inclus dans charges avant amortissement (1.1)</t>
  </si>
  <si>
    <t>Upton</t>
  </si>
  <si>
    <t>X0008768</t>
  </si>
  <si>
    <t>Art 2.1 : Étant donné que l’objectif de l’indice de fuite dans les infrastructures n’est pas atteint pour le réseau X0008768, ce dernier doit être ausculté à 200% pour le 1er septembre 2021.</t>
  </si>
  <si>
    <t>Val-Brillant</t>
  </si>
  <si>
    <t>X0010547</t>
  </si>
  <si>
    <t xml:space="preserve">Art. 4.1 : La municipalité a terminé d'installer ses compteurs en 2019. Les compteurs seront relevés pour le Bilan 2020.
Art. 2.2 : Réparation effectuée par la municipalité et refacturée. </t>
  </si>
  <si>
    <t>Art 2.1 : Étant donné que l’objectif de l’indice de fuite dans les infrastructures n’est pas atteint pour le réseau Val-Brillant, ce dernier doit être ausculté à 200% pour le 1er septembre 2021.</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</si>
  <si>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et du PIQM 2008.
Pour plus d'informations sur els interventions prévues en 2020-2022, se référer au PTI de la municipalité.
Investissements 2019 : 625 000$ réparation condutie d'amenée eau potable couvert par la TECQ 14-18</t>
  </si>
  <si>
    <t>Canton de Valcourt</t>
  </si>
  <si>
    <t>X2091076</t>
  </si>
  <si>
    <t>Réseau conjoint Valcourt (X2013341) et Canton de Valcourt (X2091076)</t>
  </si>
  <si>
    <t>X2013341 &amp; X2091076</t>
  </si>
  <si>
    <t>Art 4.1 : Étant donné que la valeur d'au moins un des indicateurs de performance du réseau commun dépasse l’objectif, l’installation de compteurs d’eau (15) dans tous les immeubles non résidentiels (Industries, Commerces et Institutions), les immeubles mixtes ciblés, les immeubles municipaux du réseau commun est requise d'ici le 1er septembre 2021.</t>
  </si>
  <si>
    <t>Art 4.1 : Étant donné que la valeur d'au moins un des indicateurs de performance dépasse l’objectif, la finalisation de l’installation de compteurs d’eau dans tous les immeubles non résidentiels (Industries, Commerces et Institutions), les immeubles mixtes ciblés, les immeubles municipaux et sur un échantillon de 60 immeubles résidentiels est requise d'ici le 1er septembre 2021.</t>
  </si>
  <si>
    <t xml:space="preserve">Art.2.1 : La Ville de Valcourt (42055) s'occupe d'effectuer la recherche de fuites sur la conduite intermunicipale. Elle est donc responsable de la recherche de fuite de la conduite intermunicipale sur le territoire du Canton de Valcourt (42060). </t>
  </si>
  <si>
    <t xml:space="preserve">Section 4
-  Maintient 2020 : FIMEAU pour remplacment de conduites et 128 000$ pris de la réserve financière pour la réfection des étangs 3 &amp; 4 de l'usine de traitement
-  Nous avons reçu confirmation de la TECQ 2019-2024 pour un montant de 1 164 000$.  La répartition dans nos différents projets reste à confirmer. 
-  Selon le PTI 2020-21-22, il est prévu une mise à niveau en 2021 au montant de 1 000 000 $ soit 500 000 $/subvention, 349 000 $ /emprunt et 151 000 $/autres municipalités.  Également mise à niveau:  poste de surpression des Érables pour un montant de 250 000 $/subvention.    </t>
  </si>
  <si>
    <t>Puits Chicoine</t>
  </si>
  <si>
    <t>X0008831</t>
  </si>
  <si>
    <t>St-Adolphe</t>
  </si>
  <si>
    <t>X0008832</t>
  </si>
  <si>
    <t>Art 3.2: Pour l'option 7, il est aussi conseillé de diminuer le volume d'eau perdu pour l'analyseur de chlore si possible.
Art 4.1: Il y a un avancement dans l'installation de compteurs d'eau, mais il est nécessaire de terminer l'installation avant le 1er septembre 2021.</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</si>
  <si>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Art 2.1 : Étant donné que l’objectif de l’indice de fuite dans les infrastructures n’est pas atteint pour les deux réseaux , ces derniers doivent être auscultés à 200 % pour le 1er septembre 2021</t>
  </si>
  <si>
    <t xml:space="preserve">Art.2.5 : La taxe foncière sur la valeur a été estimée afin d'équilibrer minimalement les revenus affectés aux services d'eau (article 2.7) et le coût de fonctionnement des services d'eau (article 1.5) de façon à ne pas créer de déficit.
Art 4.1: Les subventions confirmées sont uniquement la TECQ19-23 (toute l'enveloppe)
Art 4.2 : Les montants qui sont marqués sont prévus en partie avec des règlements d'emprunt et des subventions, mais ces dernières ne sont pas confirmées. Par défaut, les montants ont été mis en emprunts.
Art 4.2 : Données du PTI:  2020: emprunt : 2,5M$ pour la mise a niveau de l'usine d'epuration et 250k$ pour les compteurs d'eau. 2021: emprunt: 4M$ pour des conduites d'egout et 2,5M$ pour la suite de la mise /a niveau de l'usine d'epuration (rattrapage)
</t>
  </si>
  <si>
    <t>il existe un troisième petit réseau alimenté par le puits Continental, le volume pompé de ce puits n'est pas comptabilié dans la section 3. En effet ce troisième réseau n'est pas compté dans la stratégie d'économie d'eau potable et donc dans le bilan 2019.</t>
  </si>
  <si>
    <t>Val-d'Or</t>
  </si>
  <si>
    <t>X0008256</t>
  </si>
  <si>
    <t>Val-Senneville</t>
  </si>
  <si>
    <t>X0009906</t>
  </si>
  <si>
    <t>Vassan</t>
  </si>
  <si>
    <t>X0011486</t>
  </si>
  <si>
    <t xml:space="preserve">Art 4.1 : Chaque année, la municipalité fait un RDF de 200%, même si ce n’est pas requis.  </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</si>
  <si>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2023 (en mesure d'installer 500 compteurs par année).</t>
  </si>
  <si>
    <t>Art.1.4 : Les frais d'administration générale ont été estimés avec une valeur de 15 % des charges avant amortissement (article 1.1).
Art.4.1: Les subventions proviennent de la TECQ(14-18).  
Art.4.2: Les subventions proviennent de la TECQ(19-23).  
Art 4.6 : La municipalité a fait une demande PRIMEAU, mais ce n’est pas programmé encore.  Afin de mieux estimer les sources de financement, les demandes PRIMEAU sont dans la section emprunts.</t>
  </si>
  <si>
    <t>Vallée-Jonction</t>
  </si>
  <si>
    <t>X0010634</t>
  </si>
  <si>
    <t>Les compteurs d'eau pour l'échantillon dans le secteur résidentiel ont été acheté en 2020.
La municipalité a fait une recherche de vulnérabilité pour ses sources d'eau avec le programme PPASEP.</t>
  </si>
  <si>
    <t xml:space="preserve">Art.1.4 : Les frais d'administration générale ont été estimés avec une valeur de 15 % des charges avant amortissement (article 1.1).
Art.4.1 et 4.5 : Les subventions proviennent de la TECQ 19-23.
2020 : Réfection de conduites et étude technique sur la distribution d'eau potable.
2022 : Agrandissement du réservoir et ajout d'un poste de surpression.
2023 : Réfection des conduites d'eau potable et d'égouts.
</t>
  </si>
  <si>
    <t>Val-Morin</t>
  </si>
  <si>
    <t>X0008368</t>
  </si>
  <si>
    <t>Sainte-Adèle/Val-Morin</t>
  </si>
  <si>
    <t>Art 1.4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</si>
  <si>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Verchères</t>
  </si>
  <si>
    <t>X0008623</t>
  </si>
  <si>
    <t>Section 2 : L'ensemble du réseau, borne incendie, vannes, pression statique, pression dynamique sont vérifiées tous les ans par une firme spécialisé ( Hydra-Spec Inc.) sans nécessairement procéder par l'écoute systématique de tous les équipements. Ils manipulent les vannes et borne d'incendie et nous en font un diagnostic sur leur condition et opérationalité.  L'arrivée de la COVD a légèrement modifier les priorités et les capacités d'intervenir auprès du résidentiel sans nécessité absolue.</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</si>
  <si>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2.1 : Étant donné que l’objectif de l’indice de fuite dans les infrastructures n’est pas atteint pour le réseau X0008623, ce dernier doit être ausculté à 200% pour le 1er septembre 2021.</t>
  </si>
  <si>
    <t>Section 4 : Nous n'avons pas ces données pour les 10 prochaines années. Les investissements dépendent des programmes gouvernementaux disponibles et de notre capacité organisationnelle à mener des gros pojets.  On a fait de gros investissements pour le vieux village en 2018 et la finalisation de ceux-ci en 2019. Le financement permanet fut compléter en début 2020 pour des investissements de 4 500 000 $
Art 4.1 &amp; 4.5 TECQ 19-23,</t>
  </si>
  <si>
    <t>X0010728</t>
  </si>
  <si>
    <t>Arthabaska</t>
  </si>
  <si>
    <t>X0010729</t>
  </si>
  <si>
    <t>Art 4.2 : SSC en place, récolte de données pour le prochain Bilan</t>
  </si>
  <si>
    <t>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Étant donné que la valeur d'au moins un des indicateurs de performance dépasse l’objectif, l’installation de compteurs d’eau dans tous les immeubles non résidentiels (Industries, Commerces et Institutions), les immeubles mixtes ciblés et les immeubles municipaux d'ici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</si>
  <si>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 2020 et 2021 3 451 600 $ de FIMEAU pour du renouvellement de conduite avec une part cotisable de 862 903 $
Art.4.1 et 4.5 : Les autres subventions proviennent de la TECQ. Le financement de la TECQ pour les infrastructures d'eau a été estimé à 75%.
</t>
  </si>
  <si>
    <t>Ville de Ville-Marie</t>
  </si>
  <si>
    <t>X0009382</t>
  </si>
  <si>
    <t>Art.4.5 et 4.6 : Les subventions proviennent de la TECQ.
Art 1.4:  Les frais d'administration générales proviennent du municipalité.</t>
  </si>
  <si>
    <t>Système de distribution d'eau potable Warwick</t>
  </si>
  <si>
    <t>X0009330</t>
  </si>
  <si>
    <t>Art.2.1: Étant donné que la municipalité respectait l'objectif d'indice de fuites dans les infrastructures au Bilan 2018, elle n'était pas dans l'obligation de faire de la recherche de fuite sur 150 % de son réseau au Bilan 2019.</t>
  </si>
  <si>
    <t>Art 2.1 : Étant donné que l’objectif de l’indice de fuite dans les infrastructures n’est pas atteint pour le réseau Système de distribution d'eau potable Warwick, ce dernier doit être ausculté à 200% pour le 1er septembre 2021.</t>
  </si>
  <si>
    <t xml:space="preserve">Art.3.3: Le maintien d’actif régulier en 2020 a été mis à jour avec le financement pour le renouvellement de conduites que la municipalité a reçu.
Art.4.1 et 4.5 : Les subventions proviennent de la TECQ et du FIMEAU. Le financement de la TECQ pour les infrastructures d'eau a été estimé à 100%. L’emprunt pour les infrastructures d'eau a été estimé à 100% du seuil d’immobilisation pour la TECQ.
</t>
  </si>
  <si>
    <t>Waterville</t>
  </si>
  <si>
    <t>X0009297</t>
  </si>
  <si>
    <t>Art.2.2 : Le délai de réparation est élevé pour les conduites, car la municipalité avait localisé les fuites, mais il n'y avait pas d'entrepreneurs qui étaient présents pour faire les travaux. 
Art.4.1 : Il y a  une industrie qui possède cinq compteurs d'eau, mais dont seulement un est utile et relevé pour le bilan d'eau. Ceci représente les quatre compteurs non relevés.
Il y a 32 branchements de services inactifs qui ont été mis dans la portion résidentielle.
Les 28 immeubles non résidentiels sans compteur ne sont pas des grands consommateurs.</t>
  </si>
  <si>
    <t>Art 2.1 : Étant donné que l’objectif de l’indice de fuite dans les infrastructures n’est pas atteint pour le réseau Waterville, ce dernier doit être ausculté à 200% pour le 1er septembre 2020.</t>
  </si>
  <si>
    <t xml:space="preserve">Art.1.4 : Les frais d'administration générale ont été estimés avec une valeur de 5 % des charges avant amortissement (article 1.1).
Art 2.5 : La taxe foncière sur la valeur a été estimée afin d’obtenir un montant de 37 867 $ dans la réserve financière dédiée aux infrastructures d’eau.
Art.4.1 et 4.5 : Les subventions proviennent de la TECQ et du FIMEAU.
Art.4.1 à 4.3 :
2020 : Plusieurs travaux de rattrapage sur les conduites (FIMEAU + 314 625 $ de la TECQ 19-23).
2020-2021 : Travaux sur le pluvial Compton Est  (75 000 $ en paiement comptant).
2021 : Le reste des travaux pour éliminer le déficit de maintien d'actifs (DMA) (FIMEAU + + 852 197 $ de la TECQ 19-23).
Art.4.5 à 4.8 :
2020 : Rapport d'analyse de vulnérabilité (3 500 $ d'une aide financière promis par le MELCC et 3 500 $ en paiement comptant).
2022 : Raccordement réseau aqueduc (2 bouts de Compton) </t>
  </si>
  <si>
    <t>Saint-Gérard</t>
  </si>
  <si>
    <t>X0009372</t>
  </si>
  <si>
    <t>Weedon centre</t>
  </si>
  <si>
    <t>X0009376</t>
  </si>
  <si>
    <t>Fontainebleau</t>
  </si>
  <si>
    <t>X0009384</t>
  </si>
  <si>
    <t>Art.2.2 : Les réparations se font par la municipalité.
Art.3.2 : La municipalité a mis en place une réserve financière dédiée aux infrastructures d'eau en 2020.</t>
  </si>
  <si>
    <t>Art.1.4 : Les frais d'administration générale ont été estimés avec une valeur de 15 % des charges avant amortissement (article 1.1).
Art.4.1 et 4.5 : Les subventions proviennent de la TECQ et du FIMEAU.
4,1 : 
2020 : Mise à jour du système de télémétrie (TECQ)
2021 : Travaux de réfections sur les conduites d'eaux usées (FIMEAU)
Art.4.6 : 
2020 à 2022 : Installation des compteurs d'eau.</t>
  </si>
  <si>
    <t>Wickham</t>
  </si>
  <si>
    <t>X0008911</t>
  </si>
  <si>
    <t>Art 2.1: La municipalité ne prévoit pas effectuer un contrôle actif des fuites. Elle a dépassé son objectif d'indice de fuites dans les infrastructures pour la première fois au Bilan 2019 à cause de deux fuites qui ont pris du temps avant d'être réparées. Si on évalue les pertes d'eau réelles avant ( 49,196 ML/an) et après ( 5,571 ML/an) la réparation des fuites, on remarque une grosse diminution des pertes d'eau réelles après que la fuite ait été réparée. Les pertes d'eau de 5,571 ML/an donne un IFI autour de 1,05. Cela montre que la réparation de ces fuites a véritablement corrigé le problème de pertes d'eau qu'il y avait à la municipalité. Cette dernière ne voit donc pas la nécessité de prévoir un controle actif des fuites à 200% du réseau au Bilan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</si>
  <si>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20%. L’emprunt pour les infrastructures d'eau a été estimé à 0% du seuil d’immobilisation pour la TECQ.
</t>
  </si>
  <si>
    <t>Windsor</t>
  </si>
  <si>
    <t>X0008201</t>
  </si>
  <si>
    <t>Art.2.2 :  Le délai de réparation de fuite sur le côté privée est de deux jours, car c'est la municipalité qui répare la fuite. Pour les fuites sur le côté public, la municipalité sait qu'il y en a 6, mais elle ne peut pas les départager entre la conduite et le branchement de service côté public. Elles ont été mises comme étant situées sur la conduite dans ce bilan.</t>
  </si>
  <si>
    <t>Art 2.1 : Étant donné que l’objectif de l’indice de fuite dans les infrastructures n’est pas atteint pour le réseau Val Saint-François,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2022.</t>
  </si>
  <si>
    <t xml:space="preserve">Art.1.4 : Les frais d'administration générale ont été estimés avec une valeur de 15 % des charges avant amortissement (article 1.1).
Art.2.2 : La tarification non volumétrique a été estimée à partir du tarif non volumétrique unitaire en 2019 (215 $/log). Il a ensuite été extrapolé pour l'ensemble des comptes facturés la municipalité.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FIMEAU et PRIMEAU.
Art.4.1 à 4.3 :
2019 - Mise aux normes des installations de production d'eau potable (PRIMEAU [7 502 667 $] + TECQ 14-18 [1 013 920 $] + TECQ 19-23 [1 036 260 $] + Emprunt) en 2019 et il y a environ un 1 000 000$ (TECQ 19-23) qui va être payé en 2020 pour finir les travaux 
2020 - Compteurs d'eau (Emprunt) + Travaux de rattrapage sur les conduites d'eau usées (une portion du FIMEAU)
2021 - Changer les pompes Greenlay (25 HP) (Paiement comptant)  
Art.4.5 à 4.8 :
2020-2021 : Séparation réseau d'égout unitaire sur Allen et Crabtree + Ste-marie-Rankin-Jeanne-Mance-Langlois (FIMEAU + Emprunt)
2022 - Bouclage réseau (Pélissier-Watopeka) (Emprunt) + Construction réseau pluvial rue Dufresne de Riendeau à St-Pierre (Emprunt)
2023- Séparation réseau d'égout unitaire Ambroise-Dearden (entre 10 ème et St-Georges) - 310 m.l. (Emprunt) + Chemin d'accès à l'usine de traitement d'eau potable (Emprunt)
</t>
  </si>
  <si>
    <t>Art.2.1, Art.3.1 et Art.3.3 : Les tableaux incluent les consommations des 19 résidences de Val-Joli qui importe de l'eau.</t>
  </si>
  <si>
    <t>Yamachiche-RAGP</t>
  </si>
  <si>
    <t>X0010601</t>
  </si>
  <si>
    <t>Yamachiche-Saint-Barnabé</t>
  </si>
  <si>
    <t>X0010602</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</si>
  <si>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t>
  </si>
  <si>
    <t>Chute-aux-Outardes</t>
  </si>
  <si>
    <t>X0008236</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</si>
  <si>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 conformément à la résolution reçue.</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</si>
  <si>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La municipalité n'a pu  donner les investissements prévus pour le Bilan 2019. Nous ferons de notre mieux pour la remplir au prochain Bilan.</t>
  </si>
  <si>
    <t>L'Annonciation</t>
  </si>
  <si>
    <t>X0009700</t>
  </si>
  <si>
    <t>Sainte-Véronique</t>
  </si>
  <si>
    <t>X0009733</t>
  </si>
  <si>
    <t>Art 2.1 : La municipalité avait atteint ses objectifs au bilan 2018 pour l'IFI des deux réseaux. Elle n'avait donc pas à faire de contrôle actif des fuites sur 150 % de son réseau pour le bilan 2019.
Art 2.3 : Cinq vannes sur le réseau permettent de réguler la pression de différentes zones.</t>
  </si>
  <si>
    <t>Art 2.1 : Étant donné que l’objectif de l’indice de fuite dans les infrastructures n’est pas atteint pour les réseaux de l'Annonciation et de Sainte-Véronique, ces derniers doivent être auscultés à 200 %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t>
  </si>
  <si>
    <t xml:space="preserve">Art 4.1 : Renouvellement de conduites d'aqueduc (égout et pluvial) (628 855 $ en PRIMEAU)
              Construction d'une nouvelle usine d'eau potable (5 210 000 $ en FIMEAU et en TECQ) et d'un nouveau puit (265 000 $ en TECQ)
Art 4.7 : Installation de compteurs d'eau (201 000 $)
</t>
  </si>
  <si>
    <t>Sainte-Agathe-des-Monts (X0008111-X0008109)</t>
  </si>
  <si>
    <t>X0008111-X0008109</t>
  </si>
  <si>
    <t>Art 2.1 : Étant donné que l’objectif de l’indice de fuite dans les infrastructures n’est pas atteint pour le réseau de Sainte-Agathe-des-Monts, ce dernier doit être ausculté à 200% pour le 1er septembre 2021.
Art 4.2 : La municipalité a complété l’installation des compteurs aux unités non résidentielles ciblées en 2020 et également aux 60 adresses aléatoires résidentielles. En 2021, elle envisage l’installation de compteurs sectoriels.</t>
  </si>
  <si>
    <t>Coleraine</t>
  </si>
  <si>
    <t>X0009198</t>
  </si>
  <si>
    <t>Vimy</t>
  </si>
  <si>
    <t>X0009199</t>
  </si>
  <si>
    <t>Section 4 : Étant donné que la municipalité a installé un compteur d'eau dans son aréna et que le système de climatisation sans boucle de recirculation a été éliminé, les indicateurs de performance de la municipalité seront plus représentatif de la réalité au Bilan 2021. Si l'objectif de pertes d'eau ou de consommation résidentielle n'est pas atteint au Bilan 2021, qui est à remettre au 1er septembre 2022, alors la municipalité devra installer des compteurs d'eau dans tous ses immeubles non résidentiels et dans un échantillon d'immeubles résidentiels d'ici le 1er septembre 2025.</t>
  </si>
  <si>
    <t>≤ 2,6</t>
  </si>
  <si>
    <t>Toutes les cases sont remplies.</t>
  </si>
  <si>
    <t>Bonsecours</t>
  </si>
  <si>
    <t>X0008607</t>
  </si>
  <si>
    <t>Art.1.4 : Les frais d'administration générale ont été estimés avec une valeur de 2.5 %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Section 4 : Aucun investissement n'est présentement prévu par la municipalité.</t>
  </si>
  <si>
    <t>Senneville - Pierrefonds</t>
  </si>
  <si>
    <t>X0008959</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</si>
  <si>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2023.</t>
  </si>
  <si>
    <t>Section 4 :
Drainage Pluivial Bassin #4 Phase I - Secteur McKenzie/Senneville : 850 000 $ en paiement comptant + 450 000 $ en emprunt
Réhabilitation des vieilles conduites d'eau potable secteur Elmwood/Senneville : 629 384 $ TECQ + 1 294 016 $ en emprunt</t>
  </si>
  <si>
    <t>Blainville</t>
  </si>
  <si>
    <t>X0008894</t>
  </si>
  <si>
    <t>Art 4.1 :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
Art 2.1 : Étant donné que l’objectif de l’indice de fuite dans les infrastructures n’est pas atteint pour le réseau X0008894, ce dernier doit être ausculté à 200% pour le 1er septembre 2021.</t>
  </si>
  <si>
    <t>Chambly</t>
  </si>
  <si>
    <t>X0008560</t>
  </si>
  <si>
    <t>Note : Il est recommandé d’installer un enregistreur de données au débitmètre à l’importation avec des lectures horaires afin de mesurer le débit de nuit quotidien. Ceci permettra de mieux évaluer les pertes d’eau annuelles sur le réseau avec une analyse du débit de nuit.
Art 1.13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4.1 : Si la municipalité dépasse un des objectifs au bilan 2021, l’installation de compteurs d’eau dans tous les immeubles non résidentiels (Industries, Commerces et Institutions), les immeubles mixtes ciblés, les immeubles municipaux et sur un échantillon de 380 immeubles résidentiels sera requise progressivement d'ici le 1er septembre 2025.</t>
  </si>
  <si>
    <t xml:space="preserve">X2006238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</si>
  <si>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Plan d'intervention
Art 4.5 : TECQ changement du débitmètre à l'entrée du réseau Laroche et travaux connexes</t>
  </si>
  <si>
    <t>Urbain Sous-Pression</t>
  </si>
  <si>
    <t>X0009464</t>
  </si>
  <si>
    <t>Les Vallées d'Hudson</t>
  </si>
  <si>
    <t xml:space="preserve">X0009465 </t>
  </si>
  <si>
    <t>Urbain Gravitaire</t>
  </si>
  <si>
    <t xml:space="preserve">X2141482 </t>
  </si>
  <si>
    <t>Art 4.1 :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
Art 2.1 : Étant donné que l’objectif de l’indice de fuite dans les infrastructures n’est pas atteint pour les réseaux X0009464 et X2141482, ces derniers doivent être auscultés à 200 % pour le 1er septembre 2021.</t>
  </si>
  <si>
    <t>Art.1.3 : Le remboursement de la dette 2019 a été estimé en utilisant la proportion (Remboursement de la dette / Frais de financement) du bilan 2018.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TECQ 14-18.</t>
  </si>
  <si>
    <t>Longueil</t>
  </si>
  <si>
    <t>Étant donné que l’objectif de l’indice de fuite dans les infrastructures n’est pas atteint pour le réseau. Ce dernier doit être ausculté à 200% pour le 1er septembre 2021.</t>
  </si>
  <si>
    <t>SECTION 6 - VALIDATION</t>
  </si>
  <si>
    <t xml:space="preserve">Réseau de distribution de la ville de Port-Cartier </t>
  </si>
  <si>
    <t>X0008253</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</si>
  <si>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Port-Cartier, ce dernier doit être ausculté à 200% pour le 1er septembre 2021.
Art 2.1 et 3.1 : Aucun engagement demandé à de la municipalité au Bilan 2018.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2021 pour le non résidentiel et 2022 pour le résidentiel.</t>
  </si>
  <si>
    <t>Art.2.5 : La taxe foncière sur la valeur a été estimée afin d'équilibrer minimalement les revenus affectés aux services d'eau (article 2.7) et le coût de fonctionnement des services d'eau (article 1.5) de façon à ne pas créer de déficit.
Art 4.1 : 100% de la TECQ 19-23 sera investie dans l'eau
Art 4.5 et 4.6 : PRMEAU Mise à niveau de la station d'épuration des eaux usées - Plan Nord (en lien avec dossier 514067)</t>
  </si>
  <si>
    <t>Rouyn-Noranda</t>
  </si>
  <si>
    <t>Cadillac</t>
  </si>
  <si>
    <t>X0010822</t>
  </si>
  <si>
    <t>Évain</t>
  </si>
  <si>
    <t>X0008266</t>
  </si>
  <si>
    <t>X0010821</t>
  </si>
  <si>
    <t>Beaudry</t>
  </si>
  <si>
    <t>X0010071</t>
  </si>
  <si>
    <t>Art 2.1 : Étant donné que l’objectif de l’indice de fuite dans les infrastructures n’est pas atteint pour les réseaux Rouyn et Cadillac, ces derniers doivent être auscultés à 200 % pour le 1er septembre 2021.</t>
  </si>
  <si>
    <t xml:space="preserve">
Art.4.1 et 4.5 : Les subventions proviennent de la TECQ, et du PRIMEAU. 
Art 4.2 :  Les Emprunts proviennent du municipalité, mais on ne peut pas confirmer les montants.
</t>
  </si>
  <si>
    <t>Art.4.1 : Si la municipalité dépasse un des objectifs au bilan 2020, l’installation de compteurs d’eau dans tous les immeubles non résidentiels (Industries, Commerces et Institutions), les immeubles mixtes ciblés, les immeubles municipaux et sur un échantillon de 60 immeubles résidentiels sera requise progressivement d'ici le 1er septembre 2024.</t>
  </si>
  <si>
    <t>St-Faustin-Lac-Carré</t>
  </si>
  <si>
    <t>X0010825</t>
  </si>
  <si>
    <t>Art 2.1 : Le bilan 2018 n'avait pas été approuvé. La municipalité n'avait donc pas l'obligation de faire du contrôle actif de fuites en 2019.
Art 4.2 : Les compteurs d'eau dans le secteur non résidentiel ne sont installés que sur les branchements des plus grands consommateurs. L'installation d'un échantillon de compteurs dans le secteur résidentiel devrait débuter en 2021.</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</si>
  <si>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60 immeubles résidentiels est requise d'ici le 1er septembre 2022.</t>
  </si>
  <si>
    <t xml:space="preserve">Art.1.4 : Les frais d'administration générale ont été estimés avec une valeur de 15 % des charges avant amortissement (article 1.1).
Art. 2.5 : La taxe foncière sur la valeur a été estimée afin d’obtenir un excédent de 47 392 $ entre les revenus et le coût de fonctionnement. Cet excédent a été ajouté à la réserve financière dédiée aux infrastructures d’eau, amenant le solde de la réserve à 
89 874 $ à la fin de l’année 2019.
Art 4.1 : Tous les investissements proviennent de la TECQ. </t>
  </si>
  <si>
    <t xml:space="preserve"> Saint-Rosaire</t>
  </si>
  <si>
    <t>X0010103</t>
  </si>
  <si>
    <t xml:space="preserve">Art.1.4 : Les frais d'administration générale ont été estimés avec une valeur de 15 % des charges avant amortissement (article 1.1).
Art.3.3 :  En 2020, cette valeur a été modifiée afin de tenir compte de l'aide financière pour le renouvellement de conduites que la municipalité reçevra en 2021 et 2022 (1 862 175 $).
Art.4.1 : Les subventions proviennent du FIMEAU pour le renouvellement de conduites et de la TECQ19-23. Le financement de la TECQ pour les infrastructures d'eau a été estimé à 100%. L’emprunt pour les infrastructures d'eau a été estimé à 100% du seuil d’immobilisation pour la TECQ.
</t>
  </si>
  <si>
    <t>Saint-Sévère</t>
  </si>
  <si>
    <t>X0008525</t>
  </si>
  <si>
    <t>Art.1.4 : Les frais d'administration générale ont été estimés avec une valeur de 15 % des charges avant amortissement (article 1.1).
Art 4.1 et 4.5 : La totalité de la TECQ sera investie dans la voirie, une demande PRIMEAU de 212 114 $ pour les eaux usées a été déposée, mais pas confirmé.</t>
  </si>
  <si>
    <t>Scott</t>
  </si>
  <si>
    <t xml:space="preserve"> X0010803</t>
  </si>
  <si>
    <t>Art 2.3 : La pression est déjà gérée sur diverses zones de la municipalité à l'aide de vannes.</t>
  </si>
  <si>
    <t>Art 1.3 : Les montants utilisés sont ceux de 2018, puisque ces montants étaient restés sensiblement les mêmes en 2019.
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 4.1 : Réfection de la 10e Rue (TECQ)
Art 4.5 et 4.6 : Construction d'une nouvelle usine avec traitement du manganèse (FIMEAU et emprunts)
Art 4.6 : Prolongement du réseau pluvial pour la nouvelle école primaire (300 000$)</t>
  </si>
  <si>
    <t>Carrefour / Terrebonne</t>
  </si>
  <si>
    <t>X0008154-X0010510</t>
  </si>
  <si>
    <t>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380 immeubles résidentiels est requise d'ici le 1er septembre 2021.</t>
  </si>
  <si>
    <t>Art.2.2 : La municipalité pourrait mieux estimer la consommation résidentielle en installant des compteurs d’eau et en effectuant des relèves.</t>
  </si>
  <si>
    <t>La municipalité pourrait mieux estimer la consommation résidentielle en installant des compteurs d’eau et en effectuant des relèves.</t>
  </si>
  <si>
    <t>La municipalité pourra mieux estimer la consommation résidentielle en installant des compteurs d’eau et en effectuant des relèves.</t>
  </si>
  <si>
    <t>Cap-Saint-Ignace</t>
  </si>
  <si>
    <t>X0008981</t>
  </si>
  <si>
    <t xml:space="preserve">Art 1.3 : La consommation résidentielle a été estimée grâce au volume d'eau non mesuré et facturé de l'audit de l'eau de l'AWWA. 
Art 2,2 : Pour le réseau Golf,  La vérification du débitmètre a montré des écarts de précision élevés, et pour le réseau sainte thérèse, les volumes sont estimés. On peut supposer que les données de volumes sont peut être surestimés, ce qui expliquerait l'écart entre la consommation résidentielle pour chacun des réseau. </t>
  </si>
  <si>
    <t>Art.2.2 : La municipalité pourra mieux estimer la consommation résidentielle en installant des compteurs d’eau et en effectuant des relèves.</t>
  </si>
  <si>
    <t>Village de Hatley</t>
  </si>
  <si>
    <t>X0008473</t>
  </si>
  <si>
    <t>Partie Ouest</t>
  </si>
  <si>
    <t>Art.2.2 : Afin d'avoir une consommation résidentielle plus précise, la municipalité peut remplacer les compteurs d'eau défectueux et vérifier la précision des compteurs d'eau en général.</t>
  </si>
  <si>
    <t>X0009573</t>
  </si>
  <si>
    <t>Alpino</t>
  </si>
  <si>
    <t>X0009574</t>
  </si>
  <si>
    <t>X0009575</t>
  </si>
  <si>
    <t xml:space="preserve">Article 1.3 : Il n'y a que des logements résidentiels sur ce réseau. La consommation résidentielle estimée correspond à la totalité du volume d'eau mesurée et facturée présenté dans l'audit AWWA.
Article 2.1 : L'IFI pour ce réseau est très faible. Il s'agit d'un très petit réseau avec peu de branchements de service. Le suivi du contrôle actif des fuites est donc plus facile.
</t>
  </si>
  <si>
    <t>Salzbourg</t>
  </si>
  <si>
    <t>X0009578</t>
  </si>
  <si>
    <t>X0009577</t>
  </si>
  <si>
    <t>Balmoral</t>
  </si>
  <si>
    <t>X2031394</t>
  </si>
  <si>
    <t>X0009541</t>
  </si>
  <si>
    <t>Si la municipalité dépasse un des objectifs au bilan 2021, l’installation de compteurs d’eau dans tous les immeubles non résidentiels (Industries, Commerces et Institutions), les immeubles mixtes ciblés, les immeubles municipaux et sur un échantillon de 10 immeubles résidentiels sera requise progressivement d'ici le 1er septembre 2025.</t>
  </si>
  <si>
    <t xml:space="preserve">Art 2.2 : La consommation résidentielle a été estimée à 250 l/per/d. Une fois l'échantillon de compteurs d'eau installé, une estimation plus précise pourra être réalisée. Il est à noter que d'un réseau à l'autre la consommation résidentielle peut varier selon les habitudes de consommation des usagers. </t>
  </si>
  <si>
    <t>Art 1.2 : Pression déterminée par la ville à l'aide d'un modèle hydraulique. Travaux de gainage de certaines conduites ces dernières années pouvant influencer la pression élevée. 
Art 2.2 : La consommation résidentielle a été estimée à 250 l/per/d. Une fois l'échantillon de compteurs d'eau installé, une estimation plus précise pourra être réalisée. Il est à noter que d'un réseau à l'autre la consommation résidentielle peut varier selon les habitudes de consommation des usagers. 
Art 2.4 : Résultat de 43 dû à une cote de 5 attribuée au volume d'eau produite et exportée, car l'écart de précision n'était pas de +/- 6%. Afin d'augmenter cette cote, la vérification des débitmètres devrait se trouver dans un écart de +/- 6 %.</t>
  </si>
  <si>
    <t xml:space="preserve">Art 1.2 : Pression déterminée par la ville à l'aide d'un modèle hydraulique. Travaux de gainage de certaines conduites ces dernières années pouvant influencer la pression élevée. 
Art 2.2 : La consommation résidentielle a été estimée à 250 l/per/d. Une fois l'échantillon de compteurs d'eau installé, une estimation plus précise pourra être réalisée. Il est à noter que d'un réseau à l'autre la consommation résidentielle peut varier selon les habitudes de consommation des usagers. </t>
  </si>
  <si>
    <t>La municipalité pourra mieux estimer la consommation résidentielle en installant des compteurs d’eau et en effectuant des relèves</t>
  </si>
  <si>
    <t>X0008985</t>
  </si>
  <si>
    <t>Art 2.2.: Afin de raffiner l'estimation de la consommation résidentielle, il est suggéré d'installer quelques compteurs d'eau dans un échantillon de logements afin d'avoir des données de consommation mesurées propre à Sainte-Catherine-de-la-Jacques-Cartier.</t>
  </si>
  <si>
    <t>Saint-François-du-Lac</t>
  </si>
  <si>
    <t>X0008922</t>
  </si>
  <si>
    <t>Puits de la Montagne</t>
  </si>
  <si>
    <t>X0008075</t>
  </si>
  <si>
    <t>Puits Piedmont</t>
  </si>
  <si>
    <t>X0008906</t>
  </si>
  <si>
    <t>Puits Grands Ducs</t>
  </si>
  <si>
    <t>X2069043</t>
  </si>
  <si>
    <t>Puits Raymond Lortie</t>
  </si>
  <si>
    <t>X2145018</t>
  </si>
  <si>
    <t xml:space="preserve">Art 1.9 : La pression à la sortie de l'usine de filtration est toujours maintenue à 95. Nous avons deux autres points de lectures, garage municapal et caserne la moyenne est la moyenne de ses 2 points annuelles est 90. La prise de données à deux points sur le réseau peut expliquer sa valeur élevée. 
Art 1.13 et 2.2: La consommation résidentielle est estimée avec les relèves 2019 de l’échantillon des 52 compteurs résidentiels. 
</t>
  </si>
  <si>
    <t xml:space="preserve">Art 1.13 : La consommation résidentielle est mesurée à l'aide de compteurs d'eau à la consommation. </t>
  </si>
  <si>
    <t>Art 1.13 et Art 2.2 : Pour calculer la consommation résidentielle, un prorata des logements résidentiels et des branchements non résidentiels a été pris en compte.
Sur le réseau, il y a 144 logements résidentiels et 13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=15,537 ML * 144 / (144 + 13) = 14,250 ML
Art 2.2 : Une erreur s'est glissée dans le Bilan 2018, la consomation de celui-ci devrait être de 144 l/pd au lieu de 129 l/pd. Avec un per capitat de 209 l/pd, ce réseau comporte quand même une faible quantité d'eau distribuée par personne, car il s'agit d'un réseau comportant de petites maisons consommant peu selon la municipalité.</t>
  </si>
  <si>
    <t xml:space="preserve">Art 1.13 et Art 2.2 : Pour calculer la consommation résidentielle, un prorata des logements résidentiels et des immeubles non résidentiels a été pris en compte.
Sur le réseau, il y a 508 logements résidentiels et 32 immeubles non résidentiels sans compteur d’eau et non relevé. La consommation résidentielle est estimée par le calcul suivant :
Consommation non mesurée et facturée * nombre de logements résidentiels / (logements résidentiels  + immeubles non résidentiels) 
149,969 ML *(509 / (509 + 32))= 141,098 ML.
Art.1.14 : Il y a une diminution du volume d’eau distribué par rapport au bilan 2018. Cela s'explique que la municipalité a réparée 2 fuites majeures et a remplacée 400 mètres de réseau sur la rue principale.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t>
  </si>
  <si>
    <t>La municipalité pourra mieux estimer la consommation résidentielle lorsque l'installation des compteurs d’eau sera réalisée et en effectuant des relèves. Cela ne devrait plus poser de problème au prochain Bilan du fait de l'installation des compteurs.</t>
  </si>
  <si>
    <t>Entente de compilation de données pour un réseau de distribution commun :
Municipalité exportatrice : Dolbeau-Mistassini (code 92022)
Municipalité importatrice : Albanel (code 92030)
A : 3 601 log, 2,28 pers/log, 8 196 pers
B : 36 log, 2,47 pers/log, 89 pers
Indice de fuites dans les infrastructures (IFI) du réseau commun : 6,2
Contrôle actif des fuites (localisation et réparation) : oui
Consommation résidentielle estimée pour ce réseau commun : 213 l/pers/d
Eau distribuée pour ce réseau commun : 494 l/pers/d
Installation de compteurs d’eau à la consommation requise : oui
Résultat de validité des données de l’audit de l’eau AWWA : 60</t>
  </si>
  <si>
    <t xml:space="preserve">Art 1.13 et Art 2.2 : Pour calculer la consommation résidentielle, un prorata des logements résidentiels et des branchements non résidentiels a été pris en compte.
Sur le réseau, il y a 14 515 logements résidentiels et 695 branchements non résidentiels sans compteur d’eau et non relevé. La consommation résidentielle est estimée par le calcul suivant :
Consommation non mesurée et facturée * nombre de logements résidentiels / (logements résidentiels + branchements non résidentiels) 
2 901,511 ML *(14 515 / (14 515 + 695))= 2 768,930 ML.
Art.1.15 et 2.2 : L'écart entre les pertes d'eau réelles 2018 et 2019 s'explique par la bonification des hypothèses utilisées. Les consommations de nuit utilisées ont été mises à jour afin de mieux estimer les pertes d’eau réelles à partir du débit de nuit minimum. Cela engendre alors une diminution de la consommation résidentielle estimée.
Art.2.2 : La consommation résidentielle par personne estimée est élevée, car la méthode d'estimation prend la consommation non résidentielle sans compteur d'eau et non relevés au même niveau que la consommation résidentielle. 
</t>
  </si>
  <si>
    <t xml:space="preserve">Art 1.4 : L’estimation 2019 du nombre de personnes par logements de statistique Canada sous-estime la population résidentielle desservie et occupée de façon permanente. Une population de 429 personnes est plus représentative.
Art 1.13 et Art 2.2 : Pour calculer la consommation résidentielle, un prorata des logements résidentiels et des branchements non résidentiels a été pris en compte.
Sur le réseau, il y a 210 logements résidentiels et 18 branchements non résidentiels sans compteur d’eau et non relevé. La consommation résidentielle est estimée par le calcul suivant :
Consommation non mesurée et facturée * nombre de logements résidentiels / (logements résidentiels + branchements non résidentiels) 
35,289 ML *(210 / (210 + 18))= 32,503 ML.
Art.1.14 : Il y a une  diminution du volume d’eau distribué par rapport au bilan 2018. En effet une fuite a été réparée durant l’année 2018/2019. Ceci a diminué les pertes d’eau réelles et l’eau distribuée. 
Art.1.15 : L'écart entre les pertes d'eau réelles 2018 et 2019 s'explique en partie par la bonification des hypothèses utilisées. En 2019 les consommations de nuit utilisées ont été mises à jour afin de mieux estimer les pertes d’eau réelles à partir du débit de nuit minimum. De plus, il semblerait qu'en 2018 la combinaison du débit de la pompe et du réservoir gravitaire n'a pas été prise en compte. En 2019, le débit de nuit utilisé correspond au débit de nuit minimal entre 2h et 4h quand la pompe n'est pas en marche contrairement. Ainsi le volume d'eau qui est rempli dans le réservoir n'est pas pris en compte et les pertes d'eau plus fiables. Par conséquent les pertes d’eau réelles ont diminué par rapport au bilan 2018 (qui étaient de 13,505 ML).
Art 1.16: Comme le nombre de branchements, la pression, la longueur du réseau a changé en 2019 alors les PERI ont légèrement diminué.
Art 2.1: Comme les pertes d'eau ont diminué alors l'IFI lui aussi a diminué en passant de 2,0 en 2018 à 1,0 en 2019.
Art 2.2 : Il y a une augmentation de la consommation résidentielle par rapport au bilan 2018. En effet, pour un volume d'eau distribué quasiment similaire entre 2018 et 2019, comme les pertes d'eau ont diminué (car le débit de nuit a diminué) alors la consommation a augmenté.
</t>
  </si>
  <si>
    <t xml:space="preserve">Art 1.3 : La consommation résidentielle estimée a été déterminée par le calcul suivant. Calcul : 1407,027*5717/(5717+583+10) = 1274,798 ML/an (Consommation autorisée non mesurée facturée) * (Nombre de logements résidentiels desservis et occupés de façon permanente) / (Nombre de logements résidentiels desservis et occupés de façon permanente + Nombre d'immeubles non résidentiel). 
Art 1.4 : Le nombre de logements et la population sont les mêmes qu’en 2018. L’estimation 2018 du nombre de personnes par logement est utilisée.
Art.1.14 : Il y a une augmentation du volume d’eau distribué par rapport au bilan 2018 ainsi que des pertes d’eau réelles. L’apparition de certaines fuites non détectées expliquerait possiblement la hausse des pertes d’eau et de l’eau distribuée pour l’année 2019. Une recherche de fuites permettrait de valider cette hypothèse.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</si>
  <si>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2317 logements résidentiels et 166 branchements non résidentiels actifs sans compteur d’eau et non relevé. La consommation résidentielle est estimée par le calcul suivant :
Consommation non mesurée et facturée * nombre de logements résidentiels / (logements résidentiels + branchements non résidentiels actifs) 
688,149 ML *(2317 / (2317 + 166))= 642,143 ML.
Art.2.1 :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 De plus, le débit de nuit minimum 2018 a été utilisé pour remplir le bilan parce que les données 2019 et 2020 ne sont pas présentement disponible. La municipalité fait des démarches avec le fournisseur du compteur et de l'automate pour extraire les données présentement non disponibles. De plus, parce que le débit de nuit 2018 a été utilisé, les réparations faites sur les conduites en 2019 n'ont pas d'impact sur le débit de nuit minimum.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</si>
  <si>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branchements non résidentiels a été pris en compte.
Sur le réseau, il y a 434 logements résidentiels et 23 branchements non résidentiels actifs sans compteur d’eau et non relevé. La consommation résidentielle est estimée par le calcul suivant :
Consommation non mesurée et facturée * nombre de logements résidentiels / (logements résidentiels + branchements non résidentiels actifs) 
73,555 ML *(434 / (434+ 23))= 69,853 ML.
Art.1.15 : L'écart entre les pertes d'eau réelles 2018 et 2019 s'explique par la bonification des hypothèses utilisées. Les consommations de nuit utilisées ont été mises à jour afin de mieux estimer les pertes d’eau réelles à partir du débit de nuit minimum.</t>
  </si>
  <si>
    <t xml:space="preserve">Art.1.3 : Le nombre de logements a été modifié en fonction des logements et de la population des deux municipalités.
Art.1.9 : La pression est élevée, car elle est prise à la sortie de l'usine.
Art 1.13 et Art 2.2 : Pour calculer la consommation résidentielle, un prorata des logements résidentiels et des branchements non résidentiels a été pris en compte. Sur le réseau, il y a 3377 logements résidentiels et 220 branchements non résidentiels sans compteur d’eau et non relevé. La consommation résidentielle est estimée par le calcul suivant :
Consommation non mesurée et facturée * nombre de logements résidentiels / (logements résidentiels + branchements non résidentiels) 
814,216 ML *(3377 / (3377 + 220))= 764,417 ML.
Art.1.15  et Art.2.1 : L'écart entre les pertes d'eau réelles et l'indice de fuites dans les infrastructures 2018 et 2019 s'explique par la bonification des hypothèses utilisées. Les consommations de nuit utilisées ont été mises à jour afin de mieux estimer les pertes d’eau réelles à partir du débit de nuit minimum.
Art.2.1 : Les pertes d'eau réelles ont été déterminées à partir des débits de nuit et ce dernier est assez élevé dû notamment à l'importance du secteur non résidentiel dans la municipalité. Il y a un secteur privé desservi par la municipalité dont les pertes ont été estimés à 37,843 ML (1,2 l/s) en fermant temporairement la valve d'entrée. L'installation de compteurs d'eau dans la prochaine anné permettra de départager les consommations non résidentielles de nuit et les fuites sur le réseau.
Art.2.2 : La consommation résidentielle par personne estimée est élevée, car la méthode d'estimation prend la consommation non résidentielle sans compteur d'eau et non relevés au même niveau que la consommation résidentielle. La portion non résidentielle est ensuite déduite. La municipalité pourra mieux estimer la consommation résidentielle en installant des compteurs d’eau et en effectuant des relèves. 
Entente de compilation de données partielle pour un réseau de distribution commun :
Asbestos : 3356 log, 1,88 pers/log, 6 309 pers
Danville :  21 log, 2,13 pers/log, 45 pers
Municipalité exportatrice : Asbestos (40043)
Municipalité importatrice : Danville (40047)
Indice de fuites dans les infrastructures (IFI) du réseau commun : 5,3
Contrôle actif des fuites (localisation et réparation) : oui
Consommation résidentielle estimée pour ce réseau commun : 330 l/pers/d
Eau distribuée pour ce réseau commun : 557 l/pers/d
Installation de compteurs d’eau à la consommation requise : oui
Résultat de validité des données de l’audit de l’eau AWWA : 59
</t>
  </si>
  <si>
    <t xml:space="preserve">Art 1.15 : Une fuite importante s'est déclarée un vendredi soir et a été réparé le lendemain. C'était une fuite importante car elle est remontée jusqu'à la surface depuis la conduite qui était profonde de 15 pieds. Cette fuite transparaît dans les PER car les compteurs de la municipalité permettent l'approche par bilan.
Art 1.13 et 2.2: La consommation résidentielle est estimée avec les relèves 2019 de l’échantillon des 20 compteurs résidentiels. </t>
  </si>
  <si>
    <t xml:space="preserve">Art 1.13 et Art 2.2 : Pour calculer la consommation résidentielle, un prorata des logements résidentiels et des logements non résidentiels ont été pris en compte.
Sur le réseau, il y a 119 logements résidentiels et 9 immeubles non résidentiels. La consommation résidentielle est estimée par le calcul suivant :
Consommation non mesurée et facturée * nombre de logements résidentiels / (logements résidentiels  + immeubles non résidentiels) 
20,001 ML *(119 / (119+9))= 20,454 ML
Art1.15 et Art2.1 : Les pertes réelles ont diminué par rapport à 2018 (8,395 ML/an), puisque le débit de nuit minimum retenu est deux fois plus faible cette année. Ce qui a pour conséquence de faire diminuer l'IFI.
Art 1.13 et Art 2.2 : La consommation résidentielle a augmenté par rapport à 2018, puisque son estimation est basée sur les PER et que ces dernierès ont diminué, la consommation résidentielle s'est vu augmentée.
Art.2.2 : La consommation résidentielle par personne estimée est élevée, car la méthode d'estimation prend la consommation non résidentielle sans compteur d'eau et non relevés au même niveau que la consommation résidentielle. </t>
  </si>
  <si>
    <t>Art. 2.2 : La municipalité pourra mieux estimer la consommation résidentielle en installant des compteurs d’eau et en effectuant des relèves.</t>
  </si>
  <si>
    <t>Art.1.13 : La consommation résidentielle a été mesurée par des compteurs d'eau.
Art 1.14 : Les débitmètres pourraient mal lire les volumes distribués, car ils n’ont jamais été vérifiés depuis 2017. La municipalité prévoit vérifier la précision des débitmètres et s’assurer que ceux-ci lisent bien les débits.
Art.1.15, 1.16 &amp; 2.1 : L'IFI a augmenter par rapport au Bilan 2018. La combinaison de plusieurs facteurs y est pour cause : Premièrement, le fait que le débitmètre n'est pas vérifié influence l'exactitude de la valeur de l'eau distribuée, elle varie beaucoup d'année en année et peut ne pas être représentative de la municipalité. Deuxièment, les compteurs d'eau à la consommation sont vieux et ne sont pas remplacé après avoir atteint un certain age, ce qui favorise la sousestimation de la consommation résidentielle. Troisièmement, les PERI ont diminuées cette année car la moyenne des pressions statiques est plus basse que celle de l'an dernier et dernièrement, 5 fuites ont été découvertes et réparées cette année.
Art.2.2 : La faible consommation résidentielle a été mesurée à l’aide de compteur d’eau, mais ceux-ci sont vieux et ils n’ont ni été vérifiés ni remplacés.</t>
  </si>
  <si>
    <t>Le MAMH recommande une vérification annuelle des débitsmètres de distribution</t>
  </si>
  <si>
    <t xml:space="preserve">Art 1.13 et Art 2.2 : Pour calculer la consommation résidentielle, un prorata des logements résidentiels et des branchements non résidentiels a été pris en compte.
Sur le réseau, il y a 10 303 logements résidentiels et 550 branchements non résidentiels actifs sans compteur d’eau et non relevé. La consommation résidentielle est estimée par le calcul suivant :
Consommation non mesurée et facturée * nombre de logements résidentiels / (logements résidentiels + branchements non résidentiels actifs) 
2 689,003 ML *(10 303 / (10 303 + 550))= 2 552,732 ML.
La consommation résidentielle par personne estimée est élevée, car la méthode d'estimation prend la consommation non résidentielle sans compteur d'eau et non relevés au même niveau que la consommation résidentielle. 
Art.1.15 : Les pertes d’eau réelles ont augmenté par rapport au bilan 2018, les pertes du Bilan 2018 proviennent d'une analyse de débits de nuit 2017 dont les unités ont étés mal inscrites. Le débit minimum 2017 était indiqué comme 285 m³/2h, mais il aurait du être de 285 m³/h, ce qui est plus près du 226 m³/h du Bilan 2019. L'indice de fuites dans les infrastructures dépasse l'objectif. Les pertes d'eau réelles ont été déterminées à partir du débit de nuit minimum et ce dernier est assez élevé. Ceci s’explique en partie par la grosse consommation de nuit du secteur non résidentiel qui n’est pas déduite du débit de nuit minimum. L'installation de compteurs d'eau permettra de départager les consommations non résidentielles de nuit et les fuites sur le réseau dans les prochains bilans.
Art1.16 et 2.1 : Les PERI ont diminués par rapport au Bilan 2018, car la pression 2018 avait été inscrite en psi plutôt qu'en mètre d'eau. Cela a eu pour conséquense d'augmenter les PERI 2018 et diminuer l'IFI correspondant. C'est une autre cause de la variaton de l'IFI entre les Bilans 2018 et 2019.
</t>
  </si>
  <si>
    <t>Art 1.13 et Art 2.2 : Pour calculer la consommation résidentielle, un prorata des logements résidentiels et des immeubles non résidentiels a été pris en compte.
Sur le réseau, il y a 213 logements résidentiels et 12 immeubles non résidentiels sans compteur d’eau et non relevé. La consommation résidentielle est estimée par le calcul suivant :
Consommation non mesurée et facturée * nombre de logements résidentiels / (logements résidentiels  + immeubles non résidentiels) 
19,873 ML *(213 / (213 + 12))= 18,813 ML.
Art 1.13 : La très faible quantité d'eau distribuée par personne dans la municipalité s'explique par la présence de seulement 12 commerces qui ne consomment pas beaucoup d’eau et de la sensibilisation constante que la municipalité effectue envers la population.
Art.1.15 : L'écart entre les pertes d'eau réelles 2018 et 2019 s'explique par la bonification des hypothèses utilisées. Les consommations de nuit utilisées ont été mises à jour afin de mieux estimer les pertes d’eau réelles à partir du débit de nuit minimum.
Art 2.2 : Tout comme l'année précédente, ce réseau comporte une faible quantité d'eau distribuée par personne. Cet indicateur est faible, car il s'agit d'un réseau comportant de petites maisons consommant peu selon la municipalité.</t>
  </si>
  <si>
    <t>Art.1.13 : La consommation résidentielle a été mesurée par des compteurs d'eau.
Art 1.15 : L'estimation des pertes d'eau réelles a été améliorée cette année grâce à la lecture des compteurs d'eau.
Art 2.1 et Art 2.2 : La consommation résidentielle ainsi que l'IFI ont diminué cette année puisque la lecture des compteurs d'eau a permis une meilleure analyse, plutôt que celle des débits de nuits en 2018.</t>
  </si>
  <si>
    <t>Article 2.1 : L'indice de fuite dans les infrastructures est faible. Selon le plan d'intervention, le déficit du réseau de distribution d'eau potable est nul.
Article 2.2 : La consommation résidentielle n'est pas estimée. Elle est déterminé à partir des relèves de compteurs sur les immeubles résidentiels.</t>
  </si>
  <si>
    <t>Art 1.4 : L’estimation 2019 du nombre de personnes par logements de statistique Canada sous-estime la population résidentielle desservie et occupée de façon permanente. Une population de 86 personnes est plus représentative.
Art 1.13 et Art 2.2 : Pour calculer la consommation résidentielle, un prorata des logements résidentiels et des branchements non résidentiels a été pris en compte.
Sur le réseau, il y a 55 logements résidentiels et 11 branchements non résidentiels actifs sans compteur d’eau et non relevé. La consommation résidentielle est estimée par le calcul suivant :
Consommation non mesurée et facturée * nombre de logements résidentiels / (logements résidentiels + branchements non résidentiels actifs) 
6,143 ML * 55 / (55 + 11) = 5,119 ML.
Art 1.14 et 2.2 : Il y a une augmentation diminution du volume d’eau distribué par rapport au bilan 2018. Puisque le réseau est petit, l’eau distribuée fluctue beaucoup en raison des fuites qui peuvent apparaître et des délais de réparations. Il y a eu une réparation de fuite en 2019, la variation de population, dans une petite municipalité a beaucoup d'influence sur les indicateurs et  beaucoup moins de citoyens laissent couler l'eau pour éviter le gel suite à l'installation de fils chauffant.
Art 1.16 et 2.1 : Il y a eu erreur au dernier Bilan, le nombre de branchements de services a été corrigé sur ce Bilan et cela a eu pour effet de diminuer l'IFI.</t>
  </si>
  <si>
    <t>Art 1.13 et 2.2: La consommation résidentielle est estimée avec les relèves 2019 de l’échantillon des 14 compteurs résidentiels relevés. À noter, que seulement la période de relève comprend seulement 5 mois puisque les compteurs d'eau ont été installé au courant de l'année 2019. La consommation résidentielle de 2020 sera possiblement plus représentative.  
Art.1.15 : L'écart entre les pertes d'eau réelles 2018 et 2019 ainsi qu'entre l'IFI 2018 et 2019 s'explique par le changement de méthodologie utilisée. En effet, les pertes d'eau 2018 ont été estimées selon une analyse de débit de nuit tandis que les pertes d'eau 2019 ont été estimées en soustrayant les consommations des usagers à l'eau distribuée.</t>
  </si>
  <si>
    <t>Art 2.1 et 2.2: Tel que précisé dans le rapport 2018, la consommation résidentielle était surestimée par le fait que la période utilisé pour la mesure était d'uniquement 4 mois en période estivale. La conséquence d'une surestimation de la consommation résidentielle c'est traduit par un faible indice de fuite. Dans le Bilan 2019, la consommation résidentielle étant plus représentative, l'indice de fuite a augmenté.
Art 2.2: Estimation de la consommation résidentielle grâce à l'échantillon de compteurs d'eau et du secteur de suivi de la consommation.</t>
  </si>
  <si>
    <t>Art 2.1: Pour contrer lee gel du réseau et des entrées d'eau, une purge permanente est utilisée. Celle-ci a consommé 5,519 ML en 2019. 
Il faut constater que ce réseau est alimenté par gravité à partir d’une source provenant de fissures dans le roc et dont le surplus déborde dans le ruisseau voisin près de son point de résurgence.  Au lieu que tout le débordement se fasse au début, au réservoir, une partie a lieu à l’extrémité comme élément de protection contre le gel.
Art 2.2: Estimation de la consommation résidentielle grâce à l'échantillon de compteurs d'eau et du secteur de suivi de la consommation.</t>
  </si>
  <si>
    <t>Art 1.3 et 1.5 : Le nombre de logements résidentiels a changé depuis 2019, car il a précédemment été inscrit le nombre de branchements de services plutôt que le nombre de logements résidentiels desservis et occupés de façon permanente
Art 1.13 et Art 2.2 : Pour calculer la consommation résidentielle, un prorata des logements résidentiels et des branchements non résidentiels a été pris en compte.
Sur le réseau, il y a 234 logements résidentiels et 75 (23 ICI et un camping de 52 brancements) branchements non résidentiels actifs sans compteur d’eau et non relevé. La consommation résidentielle est estimée par le calcul suivant :
Consommation non mesurée et facturée * nombre de logements résidentiels / (logements résidentiels + branchements non résidentiels actifs) 
41,557 ML * 234 / (234 + 75) = 31,470 ML
La consommation résidentielle par personne estimée a diminuée par rapport au Bilan 2018, car la consommation d'une usine de fruits de mer a été mesurée par compteurs et exclue de la consommation résidentielle. Mais, elle reste élevée, car la méthode d'estimation prend les autres consommation non résidentielle sans compteur d'eau et non relevés au même niveau que la consommation résidentielle.
Art.1.15 et 2.1 : L'écart entre les pertes d'eau réelles 2018 et 2019 s'explique par la bonification des hypothèses utilisées. Les consommations de nuit utilisées ont été mises à jour afin de mieux estimer les pertes d’eau réelles à partir du débit de nuit minimum.</t>
  </si>
  <si>
    <t xml:space="preserve">Art 1.4 : L’estimation 2019 du nombre de personnes par logements de statistique Canada surestime la population résidentielle desservie et occupée de façon permanente. Une population de 634 personnes est plus représentative.
Art 1.13 et 2.2: La consommation résidentielle est estimée avec les relèves 2019 de l’échantillon des 16 compteurs résidentiels. 
Art 2.2 : L’écart entre la consommation résidentielle de 2018 et 2019 s’explique par l’utilisation d’un échantillon pour calculer la consommation.  Grâce à l’installation des compteurs d’eau, on peut mieux séparer la consommation résidentielle de la consommation NMF. 
Art.1.15 : Les pertes d’eau réelles ont augmenté par rapport au bilan 2018 (45,83 ML).  Il y a une augmentation du volume d’eau distribué par rapport au bilan 2018, causé par l'usine TEMBEC. 
</t>
  </si>
  <si>
    <t>Art. 1.3 : La municipalité a confirmé qu'il y a eu quelques logements qui ont été rajoutés pour l'année 2019, mais elle ne pouvait pas fournir le chiffre exact. Comme la municipalité a confirmé que le nombre est à peu près le même que celui de l'année 2018, la valeur de donnée 2018 est utilisée.
Art 1.4 : L’estimation 2019 du nombre de personnes par logements de statistique Canada sous-estime la population résidentielle desservie et occupée de façon permanente. Une population de 4 518 personnes est plus représentative.
Art 1.13 et 2.2 : La consommation résidentielle est estimée avec les relèves 2019 de l’échantillon des 64 compteurs résidentiels. 
Art 1.15 : L'écart entre les pertes d'eau réelles 2018 et 2019 s'explique par la bonification des hypothèses utilisées. En effet, une partie de la consommation a été mesurée par compteur, et l'échantillonage receuilli a ensuite été utiliser pour estimer la consommation totale d'eau. En 2018, c'est le débit de nuit minimum qui avait été utilisé pour estimer les pertes ainsi que la consommation non mesurée.
Art 1.16 : Le nombre de branchements considéré en 2019 est plus élevé que celui de 2018, car le dénombrement des branchements a été fait de façon plus précise cette année. Cette différence fait donc en sorte que les PERI sont plus élevées.
Art 2.1 : La modification des hypothèses de base a eu un impact sur le volume des PER et des PERI. L'IFI s'en trouve donc nécessairement affecté, ce qui explique pourquoi l'IFI est significativement plus faible en 2019.
Art 2.2 : La consommation résidentielle a augmentée depuis 2018. Ceci s'explique par le fait que cette consommation est maintenant évaluée à partir d'un échantillonage de compteurs d'eau, et non du débit de nuit minimum.</t>
  </si>
  <si>
    <t xml:space="preserve">Art 2.1 : La ville  possède quelques purges non estimée, ce qui peux expliquer les pertes d'eau élevées, en plus des fuites potentielles. La ville effectuera une recherche de fuite sur l'ensemble de ses réseaux. Une augmentation des PER s'explique entre autre par l'apparition de 30 fuites en 2019. Au bilan 2020, on s'attend donc à une baisse de l'IFI. 
Art 2.2 : La consommation résidentielle a été réalisée en utilisant le volume d'eau non mesuré et facturé de l'audit de l'eau de l'AWWA. Il y a eu une répartition égale du volume sur les immeubles non résidentiel et sur les logements. La variation de la conso résidentielle s'explique par le fait que son estimation dépende de la valeur de l'IFI. Étant donné que ce dernier a varié, cela a entrainé un changement de la consommation résidentielle. La ville pourra mieux estimer sa consammation en installant des compteurs d'eau (échantillon resprésentatif) ou en mettant en place des SSC. </t>
  </si>
  <si>
    <t xml:space="preserve">Art 1.6 : On observe une variation de la longueur du réseau. La municipalité a estimé cette longueur et travaille présentement à mieux recenser la longueur des conduites par réseau. 
Art 2.1 : La ville  possède quelques purges non estimée, ce qui peux expliquer les pertes d'eau élevées, en plus des fuites potentielles. La ville effectuera une recherche de fuite sur l'ensemble de ses réseaux. Une augmentation des PER s'explique entre autre par l'apparition de 30 fuites en 2019. Au bilan 2020, on s'attend donc à une baisse de l'IFI. 
Art 2.2 : La consommation résidentielle a été réalisée en utilisant le volume d'eau non mesuré et facturé de l'audit de l'eau de l'AWWA. Il y a eu une répartition égale du volume sur les immeubles non résidentiel et sur les logements. La variation de la conso résidentielle s'explique par le fait que son estimation dépende de la valeur de l'IFI. Étant donné que ce dernier a varié, cela a entrainé un changement de la consommation résidentielle. La ville pourra mieux estimer sa consammation en installant des compteurs d'eau (échantillon resprésentatif) ou en mettant en place des SSC. </t>
  </si>
  <si>
    <t xml:space="preserve">Art 1.3 et 1.5 : Le nombre de logements a baissé par rapport à 2018, car la donnée a été raffinée. En effet, il y a 169 logements connectés au réseau et occupés de façon permanente. Cela influence également la population.
Art 1.13 et Art 2.2 : Pour calculer la consommation résidentielle, un prorata des logements résidentiels et des branchements non résidentiels a été pris en compte.
Sur le réseau, il y a 169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46,568 ML *(169 / (169 + 11))= 43,722 ML.
Art.1.14 : Il y a une diminution du volume d’eau distribué par rapport au bilan 2018. Cela s'explique en partie par la diminution du volume de fuites.
Art.1.15 : Les pertes d’eau réelles ont diminué par rapport au bilan 2018 (7,654 ML). Cela s'explique par le fait que le bilan 2018 avait été fait avec des données de l'année précédente. Une mise à jour du débit de nuit a donc été faite à ce bilan. La réparation de fuite sur le réseau explique cette diminution de débit de nuit.
Art. 2.2 : La consommation résidentielle est élevée car le réservoir déborde pendant la période hivernale. La méthode du débit de nuit minimum ne permettant pas de mesurer ce volume et de l'intégrer dans les pertes d'eau, il est alors logique d'avoir une consommation élevée.
</t>
  </si>
  <si>
    <t>La municipalité pourra mieux estimer la consommation résidentielle en installant des compteurs d’eau et en effectuant des relèves.
Des travaux au réservoir sont également à envisager afin d'éliminer ce problème de débordement.</t>
  </si>
  <si>
    <t xml:space="preserve">Art 1.13 et Art 2.2 : Pour calculer la consommation résidentielle, un prorata des logements résidentiels et des branchements non résidentiels a été pris en compte.
Sur le réseau, il y a 705 logements résidentiels et 19 branchements non résidentiels actifs sans compteur d’eau et non relevé. La consommation résidentielle est estimée par le calcul suivant :
Consommation non mesurée et facturée * nombre de logements résidentiels / (logements résidentiels + branchements non résidentiels actifs) 
98,817*(705/(705+89)) = 87,741 ML
Art 2.3 : Résultat de 43 dû à une cote de 5 attribuée au volume d'eau produite, car le débitmètre n’a pas été vérifiés. Afin d'augmenter cette cote, les débitmètres devrait être vérifié annuellement tout en s’assurant de respecter les conditions d’installation du manufacturier.
</t>
  </si>
  <si>
    <t xml:space="preserve">Art 2.2: L'estimation de la consommation résidentielle a été effectuée en utilisant les données préliminaires du secteur de suivi de la consommation (55 m³/d pour 190 entrées de service résidentielles) d'où la différence entre l'estimation du Bilan 2018. Celle-ci sera raffinée au courant des prochaines années grâce à l'installation de compteurs d'eau (20) et du secteur de suivi de la consommation. 
</t>
  </si>
  <si>
    <t xml:space="preserve">Art 1.4 : L’estimation 2019 du nombre de personnes par logements de statistique Canada sous-estime/surestime la population résidentielle desservie et occupée de façon permanente. Une population de 13 235 personnes est plus représentative.
Art 1.13 et Art 2.2 : Pour calculer la consommation résidentielle, un prorata des logements résidentiels et des immeubles non résidentiels a été pris en compte.
Sur le réseau, il y a 6051 logements résidentiels et 6 immeubles non résidentiels sans compteur d’eau et non relevé. La consommation résidentielle est estimée par le calcul suivant :
Consommation non mesurée et facturée * nombre de logements résidentiels / (logements résidentiels  + immeubles non résidentiels) 
1032,905 ML *(6051 / (6051 + 6))= 1 031,880 ML.
Art.1.14 : Il y a une augmentation du volume d’eau distribué et de la quantité d'eau distribuée par personne par rapport au bilan 2018. Le secteur non résidentiel a consommé beaucoup d'eau au courant de l'année 2019 comparativement à l'année 2018. Cela peut expliquer l'augmentation du volume d'eau distribué. 
Art 1.16 : Les pertes d'eau réelles inévitables (PERI) ont augmenté par rapport à  2018 (146,932 ML). Puisque les données de branchemens de services étaient erronées et ont été mis à jour cette année. De plus la longueur de réseau a été bonifié avec la longueur des bornes fontaines cette année. Cela a pour conséquence d'augmenter les PERI.
</t>
  </si>
  <si>
    <t xml:space="preserve">Art 1.3 : Il y a une variation importante du nombre de personnes par logements. Il a été choisi de concerver la valeur de statistiques Canada. Au prochain bilan, une valeur pourra être déterminée et fixée pour les bilans annuels à venir. 
Art 2.1 : L'IFI a augmenté entre 2018 et 2019. L'écart entre les pertes d'eau réelles 2018 et 2019 s'explique par la bonification des hypothèses utilisées. Les consommations de nuit utilisées ont été mises à jour afin de mieux estimer les pertes d’eau réelles à partir du débit de nuit minimum. Une fois que la ville aura terminé l'installation des compteurs d'eau, une analyse par volumes annuels pourra être utilisée et ceci raffinera la qualité des données. 
Art 2.2 : La consommation résidentielle a été estimée selon le volume d'eau non mesuré et facturé de l'audit de l'eau de l'AWWA, alors qu'en 2018, elle avait été estimée à 270 l/pers/d. Ceci explique l'écart constaté. La ville installera un échantillon de compteurs d'eau sur le secteur résidentiel qui permettra de confirmer cette estimation avec des données mesurées. 
</t>
  </si>
  <si>
    <t xml:space="preserve">Art 1.13 et Art 2.2 : Pour calculer la consommation résidentielle, un prorata des logements résidentiels et des branchements non résidentiels a été pris en compte.
Sur le réseau, il y a 294 logements résidentiels et 20 branchements non résidentiels sans compteur d’eau et non relevé. La consommation résidentielle est estimée par le calcul suivant :
Consommation non mesurée et facturée * nombre de logements résidentiels / (logements résidentiels + branchements non résidentiels) 
54,759 ML *(294 / (294 + 20))= 51,271 ML.
Art.1.14 et 2.2 : Il y a une diminution du volume d’eau distribué par rapport au bilan 2018. Cela s'explique par la réparation d'une fuite importante dans une ferme. Le volume de cette fuite était estimé à environ 50 ML par an. Cette diminution explique également la diminution de la consommation résidentielle estimé.
Art. 1.15 et 2.1 : L'analyse du débit de nuit sur l'ensemble de l'année a permis d'avoir des données plus représentatives que pour le bilan 2018. La réparation de fuites explique la diminution du volume de perte et de l'indice de fuites dans les infrastructures.
Art.2.2 : La consommation résidentielle par personne estimée est élevée, car la méthode d'estimation prend la consommation non résidentielle sans compteur d'eau et non relevés au même niveau que la consommation résidentielle. </t>
  </si>
  <si>
    <t xml:space="preserve">Art 1.13 : Consommation résidentielle estimée par la ville de Beloeil selon la consommation non mesurée et facturée de l'audit de l'eau de l'AWWA. </t>
  </si>
  <si>
    <t>Art.1.13 : Art 1.13 et Art 2.2 : Pour calculer la consommation résidentielle, un prorata des logements résidentiels et des branchements non résidentiels a été pris en compte.
Sur le réseau, il y a 554 logements résidentiels et 21 branchements non résidentiels sans compteur d’eau et non relevé. La consommation résidentielle est estimée par le calcul suivant :
Consommation non mesurée et facturée * nombre de logements résidentiels / (logements résidentiels + branchements non résidentiels) 
109,704 ML*(554/(554+21)) = 105,697 ML
Art.1.14 :  Il y a une diminution du volume d’eau distribué par rapport au bilan 2018. La population est sensibilisée à l’usage de l’eau et fait attention à sa consommation. 
Art.2.1 : L'indice de fuites dans les infrastructures est faible. Les pertes d’eau réelles sont faibles, car seulement le debit de nuit du mois de décembre a été prise plutôt que des données sur l’ensemble de l’année 2019. En 2020, afin de bien estimer les pertes d’eau la municipalité peut se servir des données des débits de nuits sur l’ensemble de l’année.</t>
  </si>
  <si>
    <t xml:space="preserve">Art 1.13 et Art 2.2 : Pour calculer la consommation résidentielle, un prorata des logements résidentiels et des branchements non résidentiels a été pris en compte.
Sur le réseau, il y a 2314 logements résidentiels et 127 branchements non résidentiels actifs sans compteur d’eau et non relevé. La consommation résidentielle est estimée par le calcul suivant :
Consommation non mesurée et facturée * nombre de logements résidentiels / (logements résidentiels + branchements non résidentiels actifs) 
284,356 ML *(2314 / (2314 + 127))= 269,562 ML.
Art 1.14 : La très grande quantité d'eau distribuée par personne dans la municipalité peut s'expliquer par la présence de commerces et industries qui consomment beaucoup d’eau. 
Art 1.13, Art 1.15, Art 2.1 et Art 2.2 :  Il y a une diminution de la consommation résidentielle estimée par rapport au bilan 2018. En effet, pour le Bilan 2018, la consommation résidentielle avait été estimée à 250 L/pers/j au vu de l'absence de données et des difficultés à compiler des données de débits de nuits 2018. En 2019, la consommation résidentielle estimée a été trouvé en estimant d'abord les pertes d'eau réelles à l'aide du débit de nuit minimum. Ce changement de méthode pour le calcul de la consommation résidentielle en 2019 a entrainée une diminution de cette dernière et une augmentation des pertes d'eau réelles. L'augmentation des pertes d'eau réelles a conduit à une augmentation de l'indice de fuites dans les infrastructures au Bilan 2019. Aussi, il se pourrait que des consommations nocturnes de la municipalité empêchent d'obtenir le débit de nuit minimum et donc donne de grandes pertes d'eau ainsi qu'un IFI élevé. 
Art.2.1 : L'indice de fuites dans les infrastructures est élevé. Les pertes d'eau réelles ont été déterminées à partir du débit de nuit minimum et ce dernier est assez élevé. 
L'installation de compteurs d'eau permettra de départager les consommations non résidentielles de nuit et les fuites sur le réseau dans les prochains bilans.
</t>
  </si>
  <si>
    <t xml:space="preserve">Art 1.13 et Art 2.2 : Pour calculer la consommation résidentielle, un prorata des logements résidentiels et des branchements non résidentiels a été pris en compte.
Sur le réseau, il y a 147 logements résidentiels et 16 branchements non résidentiels sans compteur d’eau et non relevé. La consommation résidentielle est estimée par le calcul suivant :
Consommation non mesurée et facturée * nombre de logements résidentiels / (logements résidentiels + branchements non résidentiels) 
18,955 ML *(147 / (147 + 16))= 17,094 ML.
Art.1.14 : Il y a une augmentation du volume d’eau distribué par rapport au bilan 2018. 2 fuites majeures sont apparues en 2019, ce qui pourrait expliquer l'augmentation des pertes par rapport à 2018.
Art 2.2 : Il y a une diminution de la consommation résidentielle par rapport au bilan 2018. En effet, la bonification des hypothèses utilisées pour l’estimation des pertes d’eau réelles a contribué une hausse des pertes d’eau et par conséquent une diminution de la consommation résidentielle. </t>
  </si>
  <si>
    <t xml:space="preserve">Note : La Ville de Blainville approvisionne en eau potable deux (2) secteurs de la Ville de Rosemère (secteur Clervaux = 59 résidences unifamiliales et secteur Lauréanne = 117 résidences unifamiliales et 1 CPE). Ces deux sous-réseaux de distribution d'eau potable appartiennent à la Ville de Rosemère et sont entrenus par la Ville de Rosemère.  Les informations pertienentes à ces réseaux seront intégrées au bilan de l'eau potable 2018 de la VIlle de Rosemère. Certains bâtiments peuvent avoir plusieurs branchements de service.
Art 1.3 et Art 2.2 : Pour calculer la consommation résidentielle, un prorata des logements résidentiels et des immeubles non résidentiels a été pris en compte.
Sur le réseau, il y a 21 645 logements résidentiels et 329 immeubles non résidentiels sans compteur d’eau et non relevé. La consommation résidentielle est estimée par le calcul suivant :
Consommation non mesurée et facturée * nombre de logements résidentiels / (logements résidentiels  + immeubles non résidentiels) 
40850,038 ML *(21 970/ (21 970+329))= 5 315,567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Art 1.3: La variation du volume d'eau distribuée peut être attribué à l'augmentation des pertes d'eau réelles sur le réseau. En effet, la ville n'a pas ausculté 100 % de son réseau en 2018. </t>
  </si>
  <si>
    <t xml:space="preserve">Art 1.13 et 2.2: La consommation résidentielle est estimée avec les relèves 2019 de l’échantillon des 7 563 compteurs résidentiels. 
Art.1.14 : Il y a eu diminution du volume d’eau distribué par rapport au bilan 2018.une importante fuite a été réparée au cours du mois de mai 2018. Ceci a diminué les pertes d’eau réelles et l’eau distribuée. 
Art.2.1 et 2.2 : : La consommation résidentielle mesurée à l’aide de compteur d’eauest probablement sousestimée, car ceux-ci sont vieux et n’ont ni été vérifiés ni remplacés. Ceci cause une surestimation des PER et une augmentaion de l'IFI. Malgré cela, le débit de nuit reste très élevé même en prenant en compte les plus importamtes consommations non résidentielles de nuit, ce qui indique que des fuites seraient toujours présentes sur le réseau.
</t>
  </si>
  <si>
    <t>Art 1.13 et Art 2.2 : Pour calculer la consommation résidentielle, un prorata des logements résidentiels et des branchements non résidentiels a été pris en compte.
Sur le réseau, il y a 3211 logements résidentiels et 60 branchements non résidentiels actifs sans compteur d’eau et non relevé. La consommation résidentielle est estimée par le calcul suivant :
Consommation non mesurée et facturée * nombre de logements résidentiels / (logements résidentiels + branchements non résidentiels actifs) 
637,249 ML *(3211 / (3211 + 60))= 625,560 ML.
Art 2.3 : Résultat de 46 dû à une cote de 5 attribuée au volume d'eau produite et exportée, les débitmètres n’ont pas été vérifié en 2019. La municipalité était et est toujours (en novembre 2020) dans un projet de mise aux normes de l'usine de filtration. Un problème de communication avec les débitmètres a été rencontré en raison de l’incompatibilité du mode de communication avec le nouveau système d’automate. La municipalité attend une solution de leur firme d’expert conseil à ce sujet. Une fois le tout mis en place la municipalité sera en mesure de faire une mise à jour de la précision des débitmètres, ce qui augmentera le résultat de validité des données.</t>
  </si>
  <si>
    <t>Art 1.2 : Ce réseau ne comporte aucun logement, car c'est un réseau sur lequel uniquement des industries sont desservies. 
Art 2.2 : L'IFI est élevée. Ce réseau est petit et le nombre de branchement est faible. Les PERI calculées ne sont peut être pas représentatives de la réalité et sont sous-estimées, ce qui a pour effet de sur-estimer l'IFI.  À noter que la ville effectue une recherche de fuites annuellement sur ses réseaux et que le réseau en question est presque neuf.</t>
  </si>
  <si>
    <t>Art 1.12 et Art 2.2 : Pour calculer la consommation résidentielle, un prorata des logements résidentiels et des immeubles non résidentiels a été pris en compte.
Sur le réseau, il y a 4 487 logements résidentiels et 47  immeubles non résidentiels sans compteur d’eau et non relevé. La consommation résidentielle est estimée par le calcul suivant :
Consommation non mesurée et facturée * nombre de logements résidentiels / (logements résidentiels  + immeubles non résidentiels) 
637,719 ML *(4 533 / (4 533 + 47)) = 631,174 ML.
Art.1.15 : L'écart entre les pertes d'eau réelles 2018 et 2019 s'explique par la bonification des hypothèses utilisées. Les consommations de nuit utilisées ont été mises à jour afin de mieux estimer les pertes d’eau réelles à partir du débit de nuit minimum.
Art 2.1 : La ville a installé 3 compteurs sur des bâtiments avec système de climatisation à l'eau. En seulmement 4 mois, ils ont consommés 54 ML. Il est conseillé de relever la consommation de nuit de ces bâtiments pour pouvoir ne pas la considérer comme des pertes l'an prochain.</t>
  </si>
  <si>
    <t>Art 1.9 : La pression a été prise en amont et en aval des postes de surpression sur le réseau. Cette valeur est plus représentative que celle utilisée en 2018, qui était la pression à la sortie du réservoir. 
Art 1.13 et Art 2.2 : Pour calculer la consommation résidentielle, un prorata des logements résidentiels et des branchements non résidentiels a été pris en compte.
Sur le réseau, il y a 836 logements résidentiels et 89 branchements non résidentiels sans compteur d’eau et non relevé. La consommation résidentielle est estimée par le calcul suivant :
Consommation non mesurée et facturée * nombre de logements résidentiels / (logements résidentiels + branchements non résidentiels) 
271,161 ML *(836 / (836 + 89))= 245,071 ML.
Art. 1.16 et 2.1 : La hausse de la valeur de la pression sur le réseau a augmenté les PERI par rapport à 2018 (18,118 ML), ce qui a contribué à la baisse de l'IFI.</t>
  </si>
  <si>
    <t xml:space="preserve">Art 1.3 : Le nombre de logements provient du Bilan 2018
Art 1.13 et Art 2.2 : Pour calculer la consommation résidentielle, un prorata des logements résidentiels et des branchements non résidentiels a été pris en compte.
Sur le réseau, il y a 141 logements résidentiels et 20 branchements non résidentiels actifs sans compteur d’eau et non relevé. La consommation résidentielle est estimée par le calcul suivant :
Consommation non mesurée et facturée * nombre de logements résidentiels / (logements résidentiels + branchements non résidentiels actifs) 
22,824 ML * 141 / (141 + 20) = 19,989 ML.
L'augmentation de la consomamtion résidentielle par rapport au dernier Bilan est du au fait que la consommation des 20 immeubles non-résidentiels a été estimée, une méthode qui n'est plus utilisé.
Art 1.15 et 2.1 : L'indice de fuites dans les infrastructures est faible. Les pertes d’eau réelles sont faibles, car une donnée débit de nuit provenant de 2017 a été prise plutôt que des données sur l’ensemble de l’année 2019. En 2020, afin de bien estimer les pertes d’eau la municipalité devra relever des données de débits de nuits sur l’ensemble de l’année courante.
</t>
  </si>
  <si>
    <t>Art.1.3 Le nombre de logements est le même que celui du bilan 2018.
Art 1.4 : L’estimation 2019 du nombre de personnes par logement de statistique Canada sous-estime la population résidentielle desservie et occupée de façon permanente. Une population de 860 personnes est plus représentative. Par conséquent le nombre de personnes par logement a été obtenu en divisant 860 par 402. On obtient ainsi 2,14 pers/logement. Cependant la population total est de 1046 personnes (pas tous desservis)
Art 1.13 et Art 2.2 : Pour calculer la consommation résidentielle, un prorata des logements résidentiels et des branchements non résidentiels a été pris en compte.
Sur le réseau, il y a 402 logements résidentiels et 13 branchements non résidentiels sans compteur d’eau et non relevés. La consommation résidentielle est estimée par le calcul suivant :
Consommation non mesurée et facturée * nombre de logements résidentiels / (logements résidentiels + branchements non résidentiels) 
66,770 ML *(402 / (402 + 13))= 64,678 ML.
Art.1.14 : Il y a une légère diminution du volume d’eau distribuée par rapport au bilan 2018. On peut expliquer cela par le fait que 2 fuites ont été réparées en 2018.
Art.1.15 : Les pertes d’eau réelles (PER) ont augmenté par rapport au bilan 2018 en passant de 10,585 ML à 15,370 ML . Pour calculer les PER on utilise le débit de nuit. En 2018 et 2019 le débit de nuit total est sensiblement le même. Cependant le débit de la purge permanente à diminué en passant de 3,02 m3/h en 2018 à 21 m3/jour (soit 0,875 m3/h) en 2019. Alors le débit de nuit excluant le débit de la purge (utilisé pour calculer les PER) en 2019 est plus elevé qu'en 2018. Par consequent les PER sont plus élevé en 2019.
Art.1.16 : Les pertes d'eau inévitables PERI, ont diminué par rapport à 2018 car le nombre de branchement en 2018 etait supposé égal au nombre de logement, alors qu'en 2019 le nombre de branchement est connu et est inferieur au nombre de logement. Or comme la formule empirique utilisé pour calculer les PERI prend en compte le nombre de branchement alors on déduit que les PERI ont diminué car le nombre de branchement utilisé en 2019 est plus petit que le nombre de branchement (logement) utilisé en 2018.
Art.1.9 : La pression est élevé car c'est la pression à la sortie de l'usine.
Art.2.1: Comme les pertes d'eau réelles sont plus élevées en 2019, l'IFI est plus grand en 2019 comparativement à 2018. L'IFI est egal à 1, ce qui signifie théoriquement que les pertes réelles sont égales aux pertes d'eau réelles inévitables. En réalité on peut expliquer ce phénomène par le fait que les pertes réelles inévitables sont calculées à partir d'une formule empirique applicable à de grands réseaux, or ce n'est pas le cas de la municipalité de Brébeuf. Cependant la municipalité respecte les objectifs sur les pertes d'eau. De plus on note que la méthode de calcul qui a donné un IFI de 0,9 en 2018 a été modifié et cela explique que l'IFI passe de 0,9 en 2018 à 1 en 2019.
Art.2.2 : La consommation résidentielle par personne estimée a grandement diminué par rapport à l'année 2018. Une raison importante est que les quantités d'eaux qui sortent des 3 purges ont étét incluses dans la consommation Non Mesurée et Facturée de 2018 (autrement dit la  consommation résidentielle et non résidentielle). Pour le bilan 2019 la quantité d'eau liée aux purges ont été prise en compte dans la consommation Non Mesurée et Non Facturée (autrement dit la usages municipaux voir ligne 26 de L'AWWA 2019). Par consequent moins d'eau est estimée dans la consommation facturée (Non mesuré et facturé) et donc dans la consommation residentielle.</t>
  </si>
  <si>
    <t xml:space="preserve">Art 2.1 : On observe une baisse de l'IFI. En effet, au bilan 2018, la consommation des chalets n'étaient pas incluse dans l'estimation de la consommation de l'audit de l'eau de l'AWWA. Pour le bilan 2019, ceci a été corrigé, ce qui explique la baisse. 
Art 2.2 : La consommation résidentielle a été estimée selon l'échantillon de compteurs d'eau installés par la ville. Il y a des variations par rapport à 2018. En effet en 2018, les données de consommations résidentielles étaient estimées selon le balancement hydraulique de la ville. 
</t>
  </si>
  <si>
    <t xml:space="preserve">Art 2.2 :  La baisse de la consommation résidentielle est reliée au phénomène de densification qui se passe présentement à Brossard. On ajoute à 2000 unités d’occupation dans la haute densité par année cependant ces gens consomme beaucoup moins par rapport à une habitation unifamiliale type. (pas de gazon à arroser, pas de lavage de voitures et d’espace extérieur) En 2020, l’agglomération a fait des études sur le comportement des citoyens en hiver versus le mois de juin et de juillet et les conclusions nous indiquent qu’en période estivale une meilleure application du règlement serait bénéfique.
Art 2.1 : Pour les fuites, je crois que cela est relié aux multiples projets en cours présentement dans la Ville car en termes de bris d’aqueduc ceux-ci demeurent sous la barre de 30 annuellement et nos interventions sont rapides sur le terrain afin d’effectuer la remise en état du réseau.
</t>
  </si>
  <si>
    <t xml:space="preserve">Le bilan 2019 est différent du bilan 2018, car il a été considéré en 2018 que le deuxième réseau de la municipalité correspondait à une entente de compilation de données. En 2019 il s'est avéré qu'il s'agit d'un cas d'import/export pour le réseau X0009517 (alimenté par la municipalité de Lachute).
Art 1.3: Avant le bilan 2019, la municipalité fournissait au MAMH le nombre de logements sur ce réseau, il était de 389 en 2018. En 2019 c'est Brownsburg-Chatham qui a fourni cette information et le nombre de logements est maintenant de 240. Il y a probablement une confusion de données entre les deux municipalités, mais 240 logements est une donnée plus fiable puisque ce sont des logements situés sur le territoire de Brownsburg-Chatham et a été complatbilisé par le service financier de Brownsburg-Chatham.
Art 1.13 et Art 2.2 : Pour calculer la consommation résidentielle, un prorata des logements résidentiels et des branchements non résidentiels a été pris en compte.
Sur le réseau, il y a 240 logements résidentiels et 43 branchements non résidentiels sans compteur d’eau et non relevé. La consommation résidentielle est estimée par le calcul suivant :
Consommation non mesurée et facturée * nombre de logements résidentiels / (logements résidentiels + branchements non résidentiels) 
42,532 ML *(240 / (240 + 43))=  36,070 ML.
Art: 1.15: l'indice de fuites dans les infrastructures dépasse l'objectif. Les pertes d'eau réelles ont été déterminées à partir du débit de nuit entre 2h et 4h fourni par Lachute pendant le mois de novembre 2020 et ce dernier est assez élevé (car le débit de nuit n'était pas mesuré avant cette date).  Le débit de nuit est élevé cela suggèrerait  des PER élevés. Il est possible que le débitmètre à l'entrée du réseau Saint-Philippe Est ait une grande imprécision de lecture, en effet ce débitmètre est lu uniquement pour connaître le volume d'eau exportée de Lachute à Brownsburg-Chatham. De plus, ce réseau était considéré comme partie intégrante du réseau de Lachute dans le passé (à cause de ce débitmètre qui a été ''oublié'' dans les précedents formulaires et qui a été pris en compte au bilan 2019). Ainsi le MAMH n'a jamais demandé à Brownsburg-Chatham dans le passé de faire de la recherche de fuite et de la réparation sur ce réseau, car il n'y avait pas de suivi du côté du MAMH. Outre, l'imprécision du débitmètre il est possible qu'il y ait réellement des pertes sur ce réseau ou bien une consommation de nuit importante (ex: industrie qui consomme 24h/24h sur ce réseau). Cette dernière hypothèse est peu probable, car il s'agit d'un secteur résidentiel).
</t>
  </si>
  <si>
    <t xml:space="preserve">Art 1.13 : il y a eu de nouveaux logements entre 2018 et 2019. Le nombre de logements est passé de 1345 à 1485 en 2019.
Art 1.13 et Art 2.2 : Pour calculer la consommation résidentielle, un prorata des logements résidentiels et des branchements non résidentiels a été pris en compte.
Sur le réseau, il y a 1485 logements résidentiels et 33 branchements non résidentiels sans compteur d’eau et non relevé. La consommation résidentielle est estimée par le calcul suivant :
Consommation non mesurée et facturée * nombre de logements résidentiels / (logements résidentiels + branchements non résidentiels) 
221,832 ML *(1485 / (1485 + 33))= 217,010 ML.
Art.1.14 : Il y a une diminution du volume d’eau distribué par rapport au bilan 2018 malgré l'augmentation du nombre de logements. D'une part, il s'est avéré que dans les bilans précédents que le volume d'eau distribué était surestimé, car c'était le ''volume pour distribution'' dans le rapport d'Aquatech qui était pris. Or ce volume correspond au volume dans les réservoirs durant l'année. Ainsi pour les prochains bilans il faudra prendre le volume d'eau ''Volume distribué'' dans le rapport d'Aquatech fourni par la municipalité. Par ailleurs, plusieurs fuites ont été réparées durant l’année 2018/2019. Ceci a diminué les pertes d’eau réelles et l’eau distribuée. 
Art.1.15 : Les pertes d’eau réelles ont augmenté par rapport au bilan 2018 (elles étaient 65,3 ML) . D’une part comme il y a eu de nouveaux développements dans la municipalité alors il y a eu probablement des pertes d'eau durant les travaux. De plus, le débit de nuit fourni par la municipalité est donné sur une seule nuit, ainsi les pertes d'eau estimées à partir de ce débit ne sont pas très fiables. Cependant, le débit de nuit utilisé en 2019 étant de 201 m3/4h moins (-) la consommation d'Orica 37 m3/2h (entre 2h et 4h am) soit un débit de nuit de 31,75 m3/h) et le débit de nuit utilisé en 2018 (31,96 m3/h) sont très proches. De ce fait, on peut expliquer cette augmentation des PER, par la bonification des hypothèses de consommation nocturne et pas forcément l'apparition de nouvelles fuites entre 2018 et 2019. Par contre il y a probablement des fuites dans le réseau qui datent depuis avant 2018.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cette consommation par personne par jour a encore plus diminué entre 2018 et 2019, car la population a augmenté.
</t>
  </si>
  <si>
    <t xml:space="preserve">Art.1.13 : La consommation résidentielle a été mesurée par des compteurs d'eau.
Art. 1.13 et 1.15 : La municipalité a effectué une relève de tous les compteurs d'eau en 2019. Une erreur a été faite dans la lecture des compteurs 2018. Un volume total de 110 ML a été mesuré par compteurs, mais seulement 87 ML ont été raportés dans l'audit de l'eau de l'AWWA. Cette différence peut aussi expliquer la baisse des pertes par rapport à 2018. </t>
  </si>
  <si>
    <t xml:space="preserve">Art 1.13 : La consommation résidentielle est calculée selon la relève des compteurs d'eau à la consommation.
Art 2.1 et 2.2 : On observe une augmentation de l'IFI et une baisse de la consommation résidentielle entre les bilans 2018 et 2019. En effet, ceci peut s'expliquer par le fait que les relèves des compteurs d'eau soient baucoup plus faible pour cette année ainsi que l'eau distribuée. La municipalité n'a pas d'explication pour le moment pour justifier cette baisse. Il faudra suivre l'évolution des données pour le bilan 2020 et voir si la tendance se maintien. </t>
  </si>
  <si>
    <t xml:space="preserve">Art 1.13 : Il est recommandé de remettre le fichier de lecture des compteurs d'eau annuellement afin de s'assurer de suivre l'évolution de la consommation et de détecter d'éventuelles erreurs de manipulation ou l'usure des compteurs d'eau. </t>
  </si>
  <si>
    <t>Art 1.13 et Art 2.2 : Pour calculer la consommation résidentielle, un prorata des logements résidentiels et des branchements non résidentiels a été pris en compte.
Sur le réseau, il y a 945 logements résidentiels et 98 branchements non résidentiels actifs sans compteur d’eau et non relevé. La consommation résidentielle est estimée par le calcul suivant :
Consommation non mesurée et facturée * nombre de logements résidentiels / (logements résidentiels + branchements non résidentiels actifs) 
382,600 ML *(945 / (945 + 98))= 346,651 ML.
Art.1.14 : Il y a une augmentation du volume d’eau distribué par rapport au bilan 2018 (660,440 ML). La municipalité pense que cette augmentation peut être attribuable à une augmentation de la consommation dans les secteurs résidentiels et non résidentiels. 
Art.1.15 : L'écart entre les pertes d'eau réelles 2018 (251,287 ML) et 2019 s'explique par la bonification des hypothèses utilisées. Les consommations de nuit utilisées ont été mises à jour afin de mieux estimer les pertes d’eau réelles à partir du débit de nuit minimum. Par manque de personnel, les données 2019 de débit de nuit ne sont pas disponibles. La municipalité va installer un SCADA en 2021, ce qui devrait permettre d'avoir des données plus fiables à partir de 2021. Dans le cadre de ce bilan, les données 2018 ont été utilisées. La variation est donc due au changement des hypothèses.
Art.1.16 : Les PERI ont diminuées par rapport à 2018 (39,872 ML). La donnée sur la pression a été révisée à la baisse par rapport à 2018 (63 mètres d'eau). Cette donnée est plus représentative parce qu'elle provient d'une inspection des poteaux d'incendie.
Art.2.1 :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 La variation de l'IFI peut aussi être expliqué par le rafinement de la donnée de pression.
Art.2.2 : La consommation résidentielle par personne estimée est élevée, car la méthode d'estimation prend la consommation non résidentielle sans compteur d'eau et non relevés au même niveau que la consommation résidentielle. L'augmentation de la consommation résidentielle peut être expliquée par le changement des hypothèses utilisées pour l'estimer. En 2018 (250,237 ML), les branchements non résidentiels avaient reçu un facteur de pondération de 6 lors du prorata de la consommation totale. Puisque ce facteur n'était pas vérifiable, un prorata sans facteur de pondération a été utilisé au bilan 2019.</t>
  </si>
  <si>
    <t xml:space="preserve">Art 1.13 et Art 2.2 : Pour calculer la consommation résidentielle, un prorata des logements résidentiels et des branchements non résidentiels a été pris en compte.
Sur le réseau, il y a 973 logements résidentiels et 51 branchements non résidentiels sans compteur d’eau et non relevé. La consommation résidentielle est estimée par le calcul suivant :
Consommation non mesurée et facturée * nombre de logements résidentiels / (logements résidentiels + branchements non résidentiels) 
282,409 ML *(973 / (973 + 51))= 268,344 ML.
Art.1.15 : Les pertes d’eau réelles ont diminuées par rapport au bilan 2018 (56,632 ML). 9 fuites ont été réparées durant l’année 2019. Ceci a diminué les pertes d’eau réelles.
Art.2.2 : La consommation résidentielle par personne estimée est élevée, car la méthode d'estimation prend la consommation non résidentielle sans compteur d'eau et non relevés au même niveau que la consommation résidentielle. </t>
  </si>
  <si>
    <t xml:space="preserve">Art 1.3 et Art 2.2 : Pour calculer la consommation résidentielle, un prorata des logements résidentiels et des logements non résidentiels a été pris en compte.
Sur le réseau, il y a 1314 logements résidentiels et 76 immeubles non résidentiels. La consommation résidentielle est estimée par le calcul suivant :
Consommation non mesurée et facturée * nombre de logements résidentiels / (logements résidentiels  + immeubles non résidentiels) 
221,147 ML *(1314 / (1314+76))= 209,056 ML.
Art 1.13, 1.14 et 1.15: La quantité d'eau distribuée par personne par jour ainsi que les pertes d'eau ont grandement diminimués par rapport à 2018 grâce aux travaux de réfection de conduites entrepris par la municipalité au courant de l'année 2018 et 2019. Les conduites en mauvais états ciblées au plan d'intervention ont été réhabilitées ou remplacées ce qui a permis de diminuer le volume d'eau disitrbuée et les pertes d'eau.
</t>
  </si>
  <si>
    <t xml:space="preserve">Art 1.3 : La consommation résidentielle a été estimée grâce au volume d'eau non mesuré et facturé de l'audit de l'eau de l'AWWA. 
Art 2,2 : Pour le réseau Golf,  La vérification du débitmètre a montré des écarts de précision élevés, et pour le réseau sainte thérèse, les volumes sont estimés. On peut supposer que les données de volumes sont peut être surestimés, ce qui expliquerait l'écart entre la consommation résidentielle pour chacun des réseau. 
Art 2.4 : Résultat de 36 dû à une cote de 1 attribuée au volume d'eau importé. Aucun débitmètre en place. </t>
  </si>
  <si>
    <t xml:space="preserve">Art 1.3 et Art 2.2 : Pour calculer la consommation résidentielle, un prorata des logements résidentiels et des logements non résidentiels a été pris en compte.
Sur le réseau, il y a 3 282 logements résidentiels et 17 immeubles non résidentiels sans compteur d’eau et non relevé. La consommation résidentielle est estimée par le calcul suivant :
Consommation non mesurée et facturée * nombre de logements résidentiels / (logements résidentiels  + immeubles non résidentiels) 
816,143 ML *(3 282 / (3161+17))= 811,937 ML.
Art 2,2 : Pour le réseau Golf,  La vérification du débitmètre a montré des écarts de précision élevés, et pour le réseau sainte thérèse, les volumes sont estimés. On peut supposer que les données de volumes sont peut être surestimés, ce qui expliquerait l'écart entre la consommation résidentielle pour chacun des réseau. 
</t>
  </si>
  <si>
    <t xml:space="preserve">Art 1.14 : Un total de 10 fuites ont été détectées et réparées en 2019, ce qui peut expliquer que le volume d'eau distribuée par personne soit élevé. 
Art 1.13 et Art 2.2 : Pour calculer la consommation résidentielle, un prorata des logements résidentiels et des branchements non résidentiels a été pris en compte.
Sur le réseau, il y a 1825 logements résidentiels et 162 branchements non résidentiels sans compteur d’eau et non relevé. La consommation résidentielle est estimée par le calcul suivant :
Consommation non mesurée et facturée * nombre de logements résidentiels / (logements résidentiels + branchements non résidentiels) 
578,380 ML *(1825 / (1825 + 162))= 531,225 ML.
Art.2.1 : L'indice de fuites dans les infrastructures dépasse l'objectif. Les pertes d'eau réelles ont été déterminées à partir du débit de nuit minimum et ce dernier est assez élevé. 
Ceci peut s’expliquer par la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</si>
  <si>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884 logements résidentiels et 46 branchements non résidentiels sans compteur d’eau et non relevé. La consommation résidentielle est estimée par le calcul suivant :
Consommation non mesurée et facturée * nombre de logements résidentiels / (logements résidentiels + branchements non résidentiels) 
250,808 ML *(884 / (884 + 46))= 238,402 ML.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</si>
  <si>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branchements non résidentiels a été pris en compte.
Sur le réseau, il y a 11 913 logements résidentiels et 20 branchements non résidentiels actifs sans compteur d’eau et non relevé. La consommation résidentielle est estimée par le calcul suivant :
Consommation non mesurée et facturée * nombre de logements résidentiels / (logements résidentiels + branchements non résidentiels actifs) 
2 856,323 ML *(11 913 / (11 913 + 10))= 2 853,927 ML.
Art.1.13 : La consommation non mesurée et facturé a été estimé comme égale à la consommation de 2018. En 2019, la municipalité n'a pas obtenu de mesure pour le débit de nuit et n'a donc pas pu estimer les PER par cette méthode.
Art.1.15 et Art.2.1 : La diminution des PER peut s'expliquer par la réparation de 50 fuites en 2018 et 37 fuites en 2019.
Art.2.3 : Une cote de 5 attribuée au volume d'eau importée, car le débitmètre n’a pas été vérifiés. Afin d'augmenter cette cote, les débitmètres devrait être vérifié annuellement tout en s’assurant de respecter les conditions d’installation du manufacturier.</t>
  </si>
  <si>
    <t>Note : Il est recommandé d’installer un enregistreur de données au débitmètre à l’importation avec des lectures horaires afin de mesurer le débit de nuit quotidien. Ceci permettra de mieux évaluer les pertes d’eau annuelles sur le réseau avec une analyse du débit de nuit.
Art.2.2 : La municipalité pourrait mieux estimer la consommation résidentielle en installant des compteurs d’eau et en effectuant des relèves.</t>
  </si>
  <si>
    <t>Art 1.9 : La pression sur le réseau est élevée. En effet, des surpresseurs sont présents afin de s'assurer de la qualité de la distribution aux usagers. 
Art 1.13 et 2.2: La consommation résidentielle est estimée avec les relèves 2019 de l’échantillon des 20 compteurs résidentiels. 
Art 2.3 : Résultat de 31 dû à une cote de 1 attribuée au volume d'eau produite, car les données pour l'année 2019 n'étaient pas disponibles. Afin d'augmenter cette cote, les données mensuelles devront être comptabilisées et le débitmètre devrait être vérifié annuellement tout en s’assurant de respecter les conditions d’installation du manufacturier.</t>
  </si>
  <si>
    <t xml:space="preserve">Art 1.3 et Art 2.2 : Pour calculer la consommation résidentielle, un prorata des logements résidentiels et des logements non résidentiels ont été pris en compte.
Sur le réseau, il y a 2344 logements résidentiels et 104 immeubles non résidentiels. La consommation résidentielle est estimée par le calcul suivant :
 Consommation non mesurée et facturée * nombre de logements résidentiels / (logements résidentiels  + immeubles non résidentiels) 
996,412 ML *(2344 / (2344+104))= 954,081 ML.
Art.1.13 et Art.2.2 : La municipalité a procédé à la relève de ses compteurs d'eau non résidentiels sur ses gros consommateur, ce qui a permi de séparer une partie de leur consommation non résidentielle. Ceci a contribué à la diminution de la consommation résidentielle estimée par rapport à 2018 (1 745,714 ML ou 745 l/pers/d)
Art.1.15 et Art.2.1 : Les PER ont augmentés par rapport au bilan 2018. La municipalité a constaté des fuites et des débordements au réservoir, ce qui pourrait expliquer l'augmentation marqué des fuites par rapport à 2018 (410,198 ML). Elle prévoit débuter les travaux sur les réservoirs d'ici le 1er septembre 2021.
Art.2.1 : Malgré la recherche active de fuites sur le réseau, l'indice de fuites dans les infrastructures dépasse l'objectif. Les pertes d'eau réelles ont été déterminées à partir du débit de nuit minimum et ce dernier est assez élevé. Les infrastructures sont vieillissantes avec un taux de fuite élevé, particulièrement sur les branchements de service. Ceci pourrait expliquer le débit de nuit élevé.
</t>
  </si>
  <si>
    <t xml:space="preserve">Art 1.3 et Art 2.2 : Pour calculer la consommation résidentielle, un prorata des logements résidentiels et des logements non résidentiels ont été pris en compte.
Sur le réseau, il y a 1491 logements résidentiels et 66 immeubles non résidentiels. La consommation résidentielle est estimée par le calcul suivant :
 Consommation non mesurée et facturée * nombre de logements résidentiels / (logements résidentiels  + immeubles non résidentiels) 
553,830 ML *(1491 / (1491+66))= 530,354 ML.
Art.1.13 et Art.2.2 : La municipalité a procédé à la relève de ses compteurs d'eau non résidentiels sur ses gros consommateur, ce qui a permi de séparer une partie de leur consommation non résidentielle. Ceci a contribué à la diminution de la consommation résidentielle estimée par rapport à 2018 (687,295 ML ou 461 l/pers/d)
Art.1.15 et Art.2.1 : Les PER ont augmentés par rapport au bilan 2018. La municipalité a constaté des fuites et des débordements au réservoir, ce qui pourrait expliquer l'augmentation marqué des fuites par rapport à 2018 (228,125 ML). Elle prévoit débuter les travaux sur les réservoirs d'ici le 1er septembre 2021.
Art.2.1 : Malgré la recherche active de fuites sur le réseau, l'indice de fuites dans les infrastructures dépasse l'objectif. Les pertes d'eau réelles ont été déterminées à partir du débit de nuit minimum et ce dernier est assez élevé. Les infrastructures sont vieillissantes avec un taux de fuite élevé, particulièrement sur les branchements de service. Ceci pourrait expliquer le débit de nuit élevé.
</t>
  </si>
  <si>
    <t>Art 1.3 : Il y a eu erreur concernant le nombre de logements dans les formulaires antérieurs, le nombre de logements 2019 est la valeur corrigée soit XXX logements desservis et occupés de façon permanente. Ce nombre est plus représentatif.
Art 1.4 : L’estimation 2019 du nombre de personnes par logements de statistique Canada sous-estime la population résidentielle desservie et occupée de façon permanente. Une population de 1 710 personnes est plus représentative
Art 1.13 et Art 2.2 : Pour calculer la consommation résidentielle, un prorata des logements résidentiels et des branchements non résidentiels a été pris en compte.
Sur le réseau, il y a 709 logements résidentiels et 172 branchements non résidentiels actifs sans compteur d’eau et non relevé. La consommation résidentielle est estimée par le calcul suivant :
Consommation non mesurée et facturée * nombre de logements résidentiels / (logements résidentiels + branchements non résidentiels actifs) 
301,379 ML * 709 / (709 + 172) = 242,540 ML.
La consommation résidentielle par personne estimée est élevée, car la méthode d'estimation prend la consommation non résidentielle sans compteur d'eau et non relevés au même niveau que la consommation résidentielle. 
Art.1.15 et 2.1 : L'indice de fuites dans les infrastructures dépasse l'objectif. Les pertes d'eau réelles ont été déterminées à partir du débit de nuit minimum 2018 et ce dernier est assez élevé. Ceci s’explique par la grosse consommation de nuit des centaines de purges qui sont actives à l'année qui n’est pas déduite du débit de nuit minimum. Le problème de purges dans les immeubles cause aussi des problèmes pour la recherche de fuite, car celles-ci qui cachent les fuites moins importantes. Les purges ne peuvent être arrêtés car le système de vannes n'est pas en bon étéat, mais la municipalité mets en place un plan d'action pour remédier à ce problème
Art 1.16 : La variation des PERI s'explique par le fait que la pression en 2018 avait été inscrie en psi plutôt qu'en mètre d'eau</t>
  </si>
  <si>
    <t xml:space="preserve">Art 1.13 et Art 2.2 : Pour calculer la consommation résidentielle, un prorata des logements résidentiels et des branchements non résidentiels a été pris en compte. On rajoute aussi la consommation de l'immeuble résidentiel qui est équipé de compteur d'eau (0,2734 ML)
Sur le réseau, il y a 355 logements résidentiels et 28 branchements non résidentiels sans compteur d’eau et non relevé. La consommation résidentielle est estimée par le calcul suivant :
Consommation non mesurée et facturée * nombre de logements résidentiels / (logements résidentiels + branchements non résidentiels) 
91,144 ML *(355 / (355 + 28)) + 0,2734 ML= 84,771 ML. 
Art.1.15 et 2.1 : Les pertes d’eau réelles (PER) et l'indice de fuite dans les infrastructures (IFI) ont diminué par rapport au bilan 2018 (23,838 ML). La réparation d'une fuite chez un résident qui coulait pendant environ deux mois peut partiellement expliquer la diminution des pertes d'eau (elle a été réparée en qutre jours après avoir été localisée). Cependant, ce qui explique cet écart est le changement de méthodologie. Au bilan précédent, les pertes d'eau réelles semblent avoir été calculées à partir d'un débit de nuit moyen et non un débit de nuit minimum. Avec une estimation à partir du débit de nuit minimum, les pertes d'eau réelles sont plus faibles que celles calculées en 2018.
Art,1.16 : Les pertes d’eau réelles inévitables ont diminué par rapport au bilan 2018, car les données de longueur de conduite et de branchements de services ont été raffinées et elles sont plus faibles que les estimations de 2018.
Art 2.2 : Il y a une augmentation de la consommation résidentielle par rapport au bilan 2018. En effet, l'utilisation du débit de nuit minimum plutôt que le débit de nuit moyen vient diminuer les pertes d'eau réelles et elle augmente l'estimation de la consommation résidentielle puisque cette dernière est estimée à partir du débit de nuit. </t>
  </si>
  <si>
    <t>Art.1.13 : La consommation résidentielle a été mesurée par des compteurs d'eau.
Art.1.14 : Il y a une augmentation du volume d’eau distribué par rapport au bilan 2018 malgré une diminution de la consommation résidentielle estimée. Ceci peut s'expliquer du fait que le débitmètre géré par Montréal n'est pas vérifié annuellement. Ce dernier a été changé fin 2019 et les nouvelles données tendent à montrer une distribution plus faible à l'avenir. 
Art.1.15 et Art.2.1 : Les pertes d’eau réelles et l'indice de fuites ont augmenté par rapport au bilan 2018. Ceci peut s'expliquer du fait que le débitmètre n'est pas vérifié annuellement et qu'il est en fin de vie. Ainsi il doit surestimer le volume distribué et influence les pertes d'eau aussi. Il a été remplacé fin 2019. 
Art.2.2 : La consommation résidentielle a diminué par rapport au bilan 2018. Les citoyens sont sensibilisés et consomment moins.</t>
  </si>
  <si>
    <t xml:space="preserve">Art 1.13 et Art 2.2 : Pour calculer la consommation résidentielle, un prorata des logements résidentiels et des branchements non résidentiels a été pris en compte.
Sur le réseau, il y a 19 953 logements résidentiels et 67 branchements non résidentiels actifs sans compteur d’eau et non relevé. La consommation résidentielle est estimée par le calcul suivant :
Consommation non mesurée et facturée * nombre de logements résidentiels / (logements résidentiels + branchements non résidentiels actifs) 
5648,603 ML *(19 953 / (19 953 + 67))= XYZ ML.
Art 2.1 : L'IFI pour le réseau est élevé. Il est à noter que pour évaluer les PER, une analyse de débit de nuit a été effectuée et que l'activité industrielle de nuit est élevée, mais pas mesurée totalement. Ceci pourrait expliquer la valeur élevée de l'IFI. La ville procèdera à l'installation des compteurs d'eau à la consommation dans le secteur non-résidentiel et dans un échantillon de résidences. Ceci aura pour impact de raffiner le bilan en ayant mesuré les consommations. </t>
  </si>
  <si>
    <t xml:space="preserve">Art 1.4 : L’estimation 2019 du nombre de personnes par logements de statistique Canada surestime la population résidentielle desservie et occupée de façon permanente. Une population de 4830 personnes est plus représentative.
Art 1.13 et Art 2.2 : Pour calculer la consommation résidentielle, un prorata des logements résidentiels et des branchements non résidentiels a été pris en compte.
Sur le réseau, il y a 2073 logements résidentiels et 98 branchements non résidentiels sans compteur d’eau et non relevé. La consommation résidentielle est estimée par le calcul suivant :
Consommation non mesurée et facturée * nombre de logements résidentiels / (logements résidentiels + branchements non résidentiels) 
350,668 ML *(2073 / (2073 + 98))= 334,839 ML.
Art 1.15 et 2.1: Les pertes d'eau ont été évaluées grâce à une analyse du débit de nuit minimum avec les données des mois de mai et septembre 2019. Le débit minimum est de 7 L/s ou 220,825 ML/an. En soustrayant les consommations de nuit estimées selon les données de référence utilisées par le MAMH, les pertes d'eau sont estimées à 159,921 ML/an soit un IFI de 2,7.
À noter que plusiseurs réseaux privés représentant près de 5,5 km desservant des maisons mobiles sont connectés au réseau municipal. La municipalité est présentement en réflexion par rapport à l'installation de compteurs d'eau à l'entrée de ces réseaux. Ceci permettrait de savoir la proportion des pertes d'eau provenant de ces réseaux privés. 
Justification de la baisse des indicateurs par rapport à 2018: 
La quantité d'eau distribuée par personne et les pertes d'eau sont en baisse depuis quelques années grâce aux réparations de fuite effectuées par la municipalité ainsi que par la réfection de conduites en mauvais état. 
</t>
  </si>
  <si>
    <t xml:space="preserve">Art.2.1 : Il est recommandé d’effectuer un contrôle actif des fuites, car pour les réseaux dont l’indicateur de pertes d'eau dépasse la valeur de comparaison, un contrôle actif des fuites sur l’équivalent de 200 % de la longueur sera requis d'ici le 1er septembre 2021.
Art 2.2: La municipalité pourrait mieux estimer la consommation résidentielle en installant des compteurs d’eau et en effectuant des relèves.
Si la municipalité dépasse un des objectifs dans les prochains bilans, l’installation de compteurs d’eau dans tous les immeubles non résidentiels (Industries, Commerces et Institutions), les immeubles mixtes ciblés, les immeubles municipaux et sur un échantillon de 60 immeubles résidentiels sera requise progressivement dans un délai de trois ans.
</t>
  </si>
  <si>
    <t>Art.1.13 : La consommation résidentielle a été mesurée par des compteurs d'eau.
Art.2.1 : L'indice de fuites dans les infrastructures dépasse l’indicateur de performance.  En 2019, la consommation était mesurée avec une moyenne théorique.  Cette estimation sous-estime la consommation non résidentielle, et donc les PER sont plus grand.  Aussi,  en 2019, il y avait des grands prolongements des réseaux, ajoutant plus que 40 branchements dans le secteur résidentiel et non-résidentel.</t>
  </si>
  <si>
    <t xml:space="preserve">Art 1.4 : Le nombre de logements et la population sont les mêmes qu’en 2018. L’estimation 2018 du nombre de personnes par logement est utilisée.
Art 1.13 et Art 2.2 : Pour calculer la consommation résidentielle, un prorata des logements résidentiels et des immeubles non résidentiels a été pris en compte.
Sur le réseau, il y a 322 logements résidentiels et 84 immeubles non résidentiels sans compteur d’eau et non relevé. La consommation résidentielle est estimée par le calcul suivant :
Consommation non mesurée et facturée * nombre de logements résidentiels / (logements résidentiels  + immeubles non résidentiels) 
54,113 ML *(322 / (322 + 84))= 42,917 ML.
Art 1.14 : Il y a une augmentation du volume d’eau distribué par rapport au bilan 2018. Cette différence s’explique par le fait qu'en 2019 la municipalité a effectué un rinçage unidirectionnel (le dernier daté de 2017) ainsi que le nettoyage de ses bassins; plusieurs fuites ont été réparées, certaines ont nécessité plusieurs semaines de recherches pour les localiser du fait du climat et du fait du statut inactif du branchement de service associé pour l’une des fuites; l'été 2019 fut chaud et sec, certains riverains ont dû prendre de l'eau de l'aqueduc pour arroser contrairement à leurs habitudes; deux incendies se sont déclarés en 2019 en août et en novembre.
Art 1.15 et 2.1 : L'indice de fuites dans les infrastructures dépasse l'objectif. Les pertes d'eau réelles ont été déterminées à partir du débit de nuit minimum et ce dernier est assez élevé. Ceci s'explique par les fuites détectées et/ou réparées durant l'année 2019. De plus, un changement d'hypothèses entraîne une variation entre les pertes d’eau réelle 2019 et celles du bilan 2018.
</t>
  </si>
  <si>
    <t>Art 1.4 : L’estimation 2019 du nombre de personnes par logements de statistique Canada sous-estime la population résidentielle desservie et occupée de façon permanente. Une population de 535 personnes est plus représentative.
Art 1.13 et Art 2.2 : Pour calculer la consommation résidentielle, un prorata des logements résidentiels et des branchements non résidentiels a été pris en compte.
Sur le réseau, il y a 242 logements résidentiels et 37 branchements non résidentiels sans compteur d’eau et non relevé. La consommation résidentielle est estimée par le calcul suivant :
Consommation non mesurée et facturée * nombre de logements résidentiels / (logements résidentiels + branchements non résidentiels) 
50,768 ML *(242 / (242 + 37))= 44,035 ML.
Art.1.15 : L'écart entre les pertes d'eau réelles 2018 et 2019 s'explique par la bonification des hypothèses utilisées. Les consommations de nuit utilisées ont été mises à jour afin de mieux estimer les pertes d’eau réelles à partir du débit de nuit minimum.
Art. 2.2 : L'IFI utilisé en 2018 considérait la moyenne des PER 2018 et 2017. Pour 2019, uniquement les PER de l'année ont été considérés.
Note: 
Le réseau Clermoustier a été exempté du Bilan 2019.
Longueur du réseau: environ 0,750 km
Nombre de bornes fontaines: aucune
Nombre de branchements de service: 25</t>
  </si>
  <si>
    <t xml:space="preserve">Art 1.4 : L’estimation 2019 du nombre de personnes par logements de statistique Canada sous-estime la population résidentielle desservie et occupée de façon permanente. Une population de 435 personnes est plus représentative.
Art.1.13 : La consommation résidentielle a été mesurée par des compteurs d'eau.
Art.1.14 : Il y a une  diminution du volume d’eau distribué par rapport au bilan 2018. Le débitmètre n’était pas fonctionnel pendant une certaine période de l’année 2019. Le volume total est comptabilisé pour 306 jours plutôt que 365 jours (les mois de janvier et février sont manquants). Donc, la valeur indiquée ne correspond peut-être pas avec la vraie quantité d’eau distribuée en 2019.
Art.1.16 : Les pertes d'eau réelles inévitables ont augmenté, car la valeur du nombre de branchements de service a été revue à la hausse.
Art.2.2 : La faible consommation résidentielle a été mesurée à l’aide de compteur d’eau, mais ceux-ci sont vieux et ils n’ont pas été vérifiés. Puisque la consommation résidentielle a diminué, les pertes d'eau réelles ont augmenté et donc l'indice de fuites dans les infrastructures a également augmenté.
</t>
  </si>
  <si>
    <t xml:space="preserve">Art 1.3 et Art 2.2 : Pour calculer la consommation résidentielle, un prorata des logements résidentiels et des immeubles non résidentiels a été pris en compte.
Sur le réseau, il y a 3 261 logements résidentiels et 216 immeubles non résidentiels sans compteur d’eau et non relevé. La consommation résidentielle est estimée par le calcul suivant :
Consommation non mesurée et facturée * nombre de logements résidentiels / (logements résidentiels  + immeubles non résidentiels) 
1979,033 ML *(3 263 / (3 263+ 217))= 1 855,628 ML.
Art.1.15 et Art.2.1 : Les pertes d'eau réelles et l'indice de fuite dans les infrastructures ont augmenté par rapport au bilan 2018. Ce s'explique par le fait qu'il y a peut-être des by-pass (robinets pour les purges contre le gel) qui n'ont pas été fermés après la période hivernale. De plus, il y a une grosse fuite réparée en 2020 et il se peut qu'elle soit apparue en 2019.
Les pertes d'eau réelles ont été déterminées à partir du débit de nuit minimum et ce dernier est assez élevé. Il faut aussi tenir compte du fait qu'il y a plusieurs purges sur le réseau.L'installation de compteurs d'eau permettra de déterminer les pertes d'eau réelles par une autre méthode.
Une partie de l'écart entre les pertes d'eau réelles 2018 et 2019 s'explique par la bonification des hypothèses utilisées. Les consommations de nuit utilisées ont été mises à jour afin de mieux estimer les pertes d’eau réelles à partir du débit de nuit minimum. Ceci augmente les pertes d'eau réelles estimées pour cette municipalité.
Art.1.13, Art.1.14, Art.2.1 et Art.2.2 : La consommation résidentielle par personne estimée est élevée, car la méthode d'estimation prend la consommation non résidentielle sans compteur d'eau et non relevés au même niveau que la consommation résidentielle. De plus, comme indiqué dans les rapports antérieurs, la grande quantité d'eau produite et la grande consommation d'eau proviennent majoritairement des purges en continu dans la plupart des résidences.  Pour diminuer ce facteur important, la Ville évalue la possibilité de réglementer le dimensionnement des purges en continu afin d'en standardiser le débit avec un diamètre minimum permettant d'éviter le gel des services d'aqueduc. De plus, les valeurs inscrites pour certaines données du bilan manquent de précisions et devront faire l'objet d'une révision dès que nous posséderons plus d'informations sur celles-ci. La consommation résidentielle estimée sera plus précise avec l'installation et la relève des compteurs d'eau. La municipalité dessert aussi des immeubles non résidentiels qui consomment beaucoup d'eau potable.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t>
  </si>
  <si>
    <t>Art 1.13 et Art 2.2 : Pour calculer la consommation résidentielle, un prorata des logements résidentiels et des branchements non résidentiels a été pris en compte.
Sur le réseau, il y a 738 logements résidentiels et 36 branchements non résidentiels actifs sans compteur d’eau et non relevé. La consommation résidentielle est estimée par le calcul suivant :
Consommation non mesurée et facturée * nombre de logements résidentiels / (logements résidentiels + branchements non résidentiels actifs) 
210,573 ML * 738 / (738 +3 6) = 200,779 ML.
La consommation résidentielle par personne estimée est élevée, car la méthode d'estimation prend la consommation non résidentielle sans compteur d'eau et non relevés au même niveau que la consommation résidentielle. 
Art 2.3 : Résultat de 45 dû à une cote de 3 attribuée au volume d'eau produite, car le débitmètre n’a pas été vérifié. Afin d'augmenter cette cote, le débitmètre devrait être vérifié annuellement tout en s’assurant de respecter les conditions d’installation du manufacturier.</t>
  </si>
  <si>
    <t>Art 1.13 et Art 2.2 : Pour calculer la consommation résidentielle, un prorata des logements résidentiels et des branchements non résidentiels a été pris en compte.
Sur le réseau, il y a 1491 logements résidentiels et 118 branchements non résidentiels actifs sans compteur d’eau et non relevé. La consommation résidentielle est estimée par le calcul suivant :
Consommation non mesurée et facturée * nombre de logements résidentiels / (logements résidentiels + branchements non résidentiels actifs) 
416,784 ML *(1491 / (1491 + 118))= 386,218 ML.
Art.2.2 : La consommation résidentielle par personne estimée est élevée, car la méthode d'estimation prend la consommation non résidentielle sans compteur d'eau et non relevés au même niveau que la consommation résidentielle. En 2020, la municipalité a relevé le compteur de l'entreprise Produits Forestier Résolu et sa consommation mensuelle se situe entre 7 ML et 10 ML. Cette consommation n'était pas mesurée en 2019.</t>
  </si>
  <si>
    <t>Art 1.13 et Art 2.2 : Pour calculer la consommation résidentielle, un prorata des logements résidentiels et des branchements non résidentiels a été pris en compte.
Sur le réseau, il y a 583 logements résidentiels et 1 branchements non résidentiels sans compteur d’eau et non relevé. La consommation résidentielle est estimée par le calcul suivant :
Consommation non mesurée et facturée * nombre de logements résidentiels / (logements résidentiels + branchements non résidentiels) 
99,583 ML *(583 / (583 + 1)) = 99,412 ML.
Art 1.14 : L'eau distribuée a augmentée par rapport au Bilan 2018, deux importants bris d'aqueduc se sont déclarés cette année qui ont heureusement étés réparé rapidement pour minimiser leur impacts sur le Bilan et une vanne d'entrée de service a été laissée entrouverte pendant plusieurs mois avant sa découverte. Ces événement ont causés l'augmentation de l'eau distribuée.
Art.1.15 : L'écart entre les pertes d'eau réelles 2018 et 2019 s'explique par la bonification des hypothèses utilisées. Seul un débit par mois a été fournis en 2018 tandis que nous avions accès à la majorité de l'année pour ce bilan. Les consommations de nuit utilisées ont été mises à jour afin de mieux estimer les pertes d’eau réelles à partir du débit de nuit minimum.
Art 1.16 : Le nombre de branchement de service a été corrigée, ce qui a augmenter les PERI.
Art 2.1 : La diminution des PER et l'augmentation des PERI expliqués aux commentaires ci-haut causent la baisse de l'indicateur de l'IFI. Les bris et la valve semi-ouverte ne sont pas comptabilisés comme pertes car la méthode du DNM les incluent dans la consommation résidentielle si elles ne sont pas comptabilisés.</t>
  </si>
  <si>
    <t xml:space="preserve">Art 1.13 et 2.2: La consommation résidentielle est estimée avec les relèves 2019 de l’échantillon des 60 compteurs résidentiels. </t>
  </si>
  <si>
    <t>Pour le réseau Cookshire, le bilan inclut les pertes d'eau provenant de la fuite au réservoir. Cependant, la municipalité n'aura pas à poser les actions demandées si les objectifs sont atteints sans considérer la fuite.
Résultats sans la fuite au réservoir : 
Eau distribuée : 225,644 ML/an
Pertes d'eau réelles 2018 : 83,059 ML/an
Indicateurs de performance de ce réseau (sans la fuite au réservoir)
Indice de fuites dans les infrastructures (IFI) : 4,3
Indicateurs globaux pour l'ensemble de la municipalité (3 réseaux combinés) :
Indice de fuites dans les infrastructures (IFI) : 4,2
Consommation résidentielle estimée : 196 l/per/d
Puisque l'indicateur de pertes d'eau n'est pas respecté sur ce réseau (avec et sans la fuite), la municipalité doit effectuer une recherche de fuite sur ce réseau.
Art.1.9 : La pression moyenne du réseau varie beaucoup à cause de la topographie (10 psi à 115 psi aux poteaux d'incendie). Le réseau doit être surpressé pour desservir des citoyens en haute élévation. La pression moyenne a été calculée ar la moyenne des pressions statiques aux poteaux d'incendies. Il serait préférable d'utiliser la méthode du guide de pression moyenne pour une donnée plus fiable. 
Art 1.13 et Art 2.2 : Pour calculer la consommation résidentielle, un prorata des logements résidentiels et des immeubles non résidentiels a été pris en compte.
Sur le réseau, il y a 736 logements résidentiels et 59 immeubles non résidentiels sans compteur d’eau et non relevé. La consommation résidentielle est estimée par le calcul suivant :
Consommation non mesurée et facturée * nombre de logements résidentiels / (logements résidentiels  + immeubles non résidentiels) 
122,975 ML *(736 / (736 + 59))= 113,849 ML.
Art.1.14 : Comme mentioné précédemment, ce bilan va inclure la fuite au réservoir. L'eau distribuée totale est donc de 225,644 ML + 151,300 ML (la fuite) = 376,944 ML
Art.1.15 : Les pertes d'eau inclut une portion calculée par l'analyse de débits de nuit (83,059 ML) et une portion provenant de la fuite au réservoir ( 151,3 ML).
Art. 1.14, 1.15 et 2.1 : La quantité d'eau distribuée et les pertes d'eau réelles ont augmenté par rapport au bilan 2018. En premier lieu, la fuite au réservoir n'a pas été encore réparée et elle se dégrade chaque année ( 118,710 ML en 2018 vs 151,300 ML en 2019). De plus, pour les pertes d'eau réelles de ce réseau en excluant la fuite du réservoir, les données de débit de nuit minimum 2018 comportaient des erreurs de télémétrie. Ces dernières ont été corrigées pour l'année 2019. Avec les vraies données, les pertes d'eau réelles de ce réseau sont plus élevées que les estimations de 2018.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dans ce bilan, les relèves d'un plus nombre de compteurs d'eau ont été prises en compte. Donc l'hypothèse (voir commentaire Art.1.13) qui surestime la consommation résidentielle n'est pas appliquée pour les nouveaux usagers avec compteur d'eau et avec une relèves.</t>
  </si>
  <si>
    <t xml:space="preserve">Art 1.13 et Art 2.2 : Pour calculer la consommation résidentielle, un prorata des logements résidentiels et des immeubles non résidentiels a été pris en compte.
Sur le réseau, il y a 331 logements résidentiels et 21 immeubles non résidentiels sans compteur d’eau et non relevé. La consommation résidentielle est estimée par le calcul suivant :
Consommation non mesurée et facturée * nombre de logements résidentiels / (logements résidentiels  + immeubles non résidentiels) 
70,104 ML *(331 / (331 + 21))= 65,922 ML.
Art.1.14 : Il y a une diminution du volume d’eau distribué par rapport au bilan 2018. Il y a 2 fuites qui ont été réparées durant l’année 2018/2019. Ceci a diminué les pertes d’eau réelles et l’eau distribuée, car il y en a une qui coulait depuis longtemps.
Art.1.15 et Art.2.1 : Les pertes d'eau réelles (PER) et l'indice de fuites dans les infrastructures (IFI) sont plus élevés qu'au bilan précédent. Ceci s'explique par le fait qu'au bilan 2018, les PER et l'IFI ont été calculés à partir du débit de nuit minimum 2017. En 2017, le débitmètre PC-103 était défectueux. Il se peut donc que les données de débits de nuit aient été mal relevées ou que les données de PC-103 ne soient pas estimées. Dans ce bilan, les PER de PC-103 ont été estimées, car le système de télémétrie n'a pas encore été réparé (voir l'audit de l'eau AWWA pour les calculs). De plus, les l'écart entre les pertes d'eau réelles 2018 et 2019 s'explique par la bonification des hypothèses utilisées. Les consommations de nuit utilisées ont été mises à jour afin de mieux estimer les pertes d’eau réelles à partir du débit de nuit minimum. Selon le plan d'action de la municipalité, le problème du débitmètre PC-103 devrait être réglé pour le prochain bilan.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t>
  </si>
  <si>
    <t>Art 1.13 : La consommation résidentielle estimée est la consommation autorisée non mesurée et facturée puiqu'il n'y a pas de non résidentiel sur ce réseau.</t>
  </si>
  <si>
    <t xml:space="preserve">Art 1.13 et Art 2.2 : Pour calculer la consommation résidentielle, un prorata des logements résidentiels et des branchements non résidentiels a été pris en compte.
Sur le réseau, il y a 2 690 logements résidentiels et 91 branchements non résidentiels actifs sans compteur d’eau et non relevé. La consommation résidentielle est estimée par le calcul suivant :
Consommation non mesurée et facturée * nombre de logements résidentiels / (logements résidentiels + branchements non résidentiels actifs) 
710,354 ML *(2 690 / (2 690+ 91))= 687,110 ML.
Art 2.1 : Baisse de l'IFI due à la réparation de fuites sur le réseau. 
</t>
  </si>
  <si>
    <t>Art 1.3 : Nombre de logements résidentiels : 15 621 (15 160 en 2018 + 461 construisent en  2019)
Art 1.4 et 1.5 : Population CSL 2019 : 34 761 (selon le décret depopulation de décembre 2019 )
Art 1.13 : Consommation résidentille estimée à partir d'un petit échantillon de 19 branchements résidentiels (tours à logements) et un petit secteur.</t>
  </si>
  <si>
    <t>Art.1.13 : La consommation résidentielle a été mesurée par des compteurs d'eau.
Elle a diminué par rapport au bilan précédent, car une résidence pour personne âgée a été fermée et tout le monde a quitté ce bâtiment en 2019. De plus, la séparation des consommations résidentielles des consommations non résidentielles se fait à la main. Il y a donc des chances que des erreurs soient commises et ça expliquerait les différences entre les consommations  2018 et 2019. Pour le prochain bilan, la municipalité va faire des changements dans le logiciel pour que les volumes soient séparés par type de consommateurs.</t>
  </si>
  <si>
    <t xml:space="preserve">Art. 1.13 : Pour calculer la consommation résidentielle, un prorata des logements résidentiels et  des logements non résidentiels a été pris en compte.  La consommation résidentielle est estimée par le calcul suivant:  Consommation non mesurée et facturée * nombre de logements résidentiels/ (logements résidentiel+ immeubles non résidentiel)
Art 1.14 : On observe une légère baisse de la quantité d'eau distribuée en 2019. La municipalité ne note pas de raison particulière à cette baisse si non les efforts déployés pour réduire la consommation et les PER. 
Art 2.1 : Valeur de l'IFI élevée. Ceci peut s'expliquer par le fait que les données de consommations ne soient pas encore représentatives étant donné l'utilisation de quelques données extrapolée. Au fur et à mesure que les compteurs d'eau seront installés et lus, il y aura une meilleur estimation des PER et de l'IFI. De plus, on note la présence des purges en continu qui consomment 8% du volume annuel ainsi que les purges automatiques et le rinçage du réseau.
Art 2.2 : L'utilisation de l'échantillonnage de compteurs d'eau pour estimer la consommation résidentielle peut expliquer les variations entre les bilans 2018 et 2019. Étant donnée que les données utlisées ne sont pas les données complètes de l'année 2019, mais une extrapolation de quelques mois, on s'attends à d'autres variations pour les prochaines années. </t>
  </si>
  <si>
    <t>Art 1.13 et 2.2: La consommation résidentielle est estimée avec les relèves 2019 de l’échantillon des 355 compteurs résidentiels. 
Art 1.16 : Les pertes d'eau réelles inévitables ont diminué par rapport à 2018 (24,450 ML), ceci est dû au fait que la longueur du réseau a été revue à la baisse avec les données du plan d'intervention et surtout la pression a été mise à jour et a diminué de 5 mce. Ce qui a engendré cette baisse de PERI en 2019.
Art.2.1 : L'indice de fuites dans les infrastructures est faible et a diminué par rapport à 2018, car le réseau est petit. La municipalité peut donc détecter rapidement l’apparition des fuites avec l’analyse de débits de nuit. Elle peut ensuite les localiser et les réparer rapidement. De plus comme les PERI ont diminué cette année il est normal que l'IFI diminue.</t>
  </si>
  <si>
    <t xml:space="preserve">Art.1.3 et 1.4: Nombre de logement résidentiel different de l'année dernière et donc la population est differente elle aussi(augmentation). À noter que Daveluyville et Sainte-Anne sont désormais fusionnées.
Art.1.13 et Art 2.2 : Pour calculer la consommation résidentielle, un prorata des logements résidentiels et des branchements non résidentiels a été pris en compte.
Sur le réseau, il y a 966 logements résidentiels et 6 branchements non résidentiels sans compteur d’eau et non relevé. La consommation résidentielle est estimée par le calcul suivant :
Consommation non mesurée et facturée * nombre de logements résidentiels / (logements résidentiels + branchements non résidentiels) 
172,153 ML *(966 / (966 + 6))=  171,090 ML.
Art.1.16: Comme le nombre de branchement de service a augmenté, la valeur des PERI a augmenté et de ce fait, l'IFI a diminuer.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</si>
  <si>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1170 logements résidentiels et 82 branchements non résidentiels sans compteur d’eau et non relevé. La consommation résidentielle est estimée par le calcul suivant :
Consommation non mesurée et facturée * nombre de logements résidentiels / (logements résidentiels + branchements non résidentiels) 
291,843 ML *(1170 / (1170 + 82))= 272,729 ML.
Art.1.14 : Il y a une augmentation du volume d’eau distribué par rapport au bilan 2018. Le volume distribué dans le bilan 2018 ne correspondait pas à la valeur fournie par la municipalité. Le volume réellement distribué en 2018 était de 488,602 ML.
Art.1.15: Les PER ont augmentées par rapprot à 2018. La valeur des pertes dans le bilan ne correspondait pas aux informations fournies par la municipalité.
Art.2.1: L'IFI est élevé sur le réseau. Il était indiqué dans le Bilan 2017 que le réseau était vieillissant et avait un taux de fuite élevé. De plus, la municipalité n'a pas de plan d'intervention et ne sait présentement pas sur quelles conduites travailler afin de diminuer les pertes sur leur réseau.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</si>
  <si>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497 logements résidentiels et 28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139,7 ML *(497 / (497 + 28))= 132,255 ML
</t>
  </si>
  <si>
    <t xml:space="preserve">Art 1.13 et Art 2.2 : Pour calculer la consommation résidentielle, un prorata des logements résidentiels et des branchements non résidentiels a été pris en compte.
Sur le réseau, il y a 450 logements résidentiels et 1 branchements non résidentiels actifs sans compteur d’eau et non relevé et 2 logements résidentiel avec compteur relevé. La consommation résidentielle est estimée par le calcul suivant :
Consommation mesurée par les 2 compteurs + consommation non mesurée et facturée * nombre de logements résidentiels / (logements résidentiels + branchements non résidentiels actifs) 
0,247453 + 80,256 ML *(450 / (450 + 1)= 80,32550 ML.
Art.2.2 : La consommation résidentielle par personne estimée est élevée, car la méthode d'estimation prend la consommation non résidentielle sans compteur d'eau et non relevés au même niveau que la consommation résidentielle. 
</t>
  </si>
  <si>
    <t xml:space="preserve">Art. 1.2: Le plan d'intervention indique un total de 72 210 mètres pour la longueur du réseau d'aqueduc. De ce total est soustrait le segment de la conduite d'amenée, soit 12 710 mètres (n/a réseau de distribution). La longueur totale corrigée est donc de 60 690 mètres pour le réseau de distribution.  De plus, est estimée à 500 mètres les valeurs ajoutées relatives au raccord des 215 poteaux d'incendie.
Art 1.15: Les pertes d'eau réelles (120,280 ML/an) ont été évaluées en procédant à une analyse de débit de nuit minimum 2019.  L’analyse a été effectuée à partir de données d'avril 2019 à décembre 2020 provenant de la municipalité. La médiane mobile minimum sur 7 jours est de 17,83 m³/h.
Hypothèses pour l’estimation des Pertes d’eau réelles:
-Consommation de nuit du secteur résidentiel 3 l/prop/h 
-Consommation de nuit du secteur non résidentiel 7,4 l/prop/h
Art 2.2: L'estimation de la consommation résidentielle a été effectuée en séparant la consommation «Non mesurée et facturée» de l'audit de l'eau AWWA (233,726 ML/an) en deux selon la proportion de logements résidentiels (1082) et le nombre d'immeubles non résidentiels sans compteurs (125). Des 125 immeubles non résidentiels, 23 sont des fermes. 
Consommation résidentielle : 233,726 ML/an * 1082 / (1082+125)  = 209,521 ML/an = 265 l/pers/d
Cette estimation sera raffinée au courant des prochaines années grâce à l'installation de compteurs d'eau.
</t>
  </si>
  <si>
    <t xml:space="preserve">Art 1.13 et Art 2.2 : Puisque les compteurs ont été relevés en 2018 et non en 2019. Il a été calculé une estimation du secteur résidentiel sans compteur d'eau selon la moyenne de l'échantillon de 15 logements équipés de compteur (340 m³/an/log) donnée de 2018. De plus, il a été ajouté à cette estimation, la consommation non résidentielle à partir des relevés des compteurs de 2018. La consommation a été ajustée sur 365 jours. Les données du secteur résidentiel sont préliminaires et seront raffinées lorsque l'installation de compteur dans l'échantillon de 60 compteurs sera complétée. Le débit de nuit est disponible, mais les résultats sont incohérents en utilisant l'estimation à partir du débit de nuit. 
Art.1.14 : Il y a une diminution du volume d’eau distribué par rapport au bilan 2018. 26 fuites ont été réparées durant l’année 2019. Ceci a diminué les pertes d’eau réelles et l’eau distribuée. Il y avait des fuites dans un réservoir qui a été réparé de façon temporaire.
Art.1.15 : Les pertes d’eau réelles ont diminué par rapport au bilan 2018 (elles étaient de 460,018 ML). La réparation des 26 fuites a probablement contribué à réduire les PER. Par contre, cette diminution importante semble peu réaliste. En effet, d'une part depuis 2017 la municipalité répare chaque année au moins 25 fuites. Ces dernières sont recherchées et réparées rapidement lorsque le débit à la sortie de l'usine dépasse un certain seuil, ainsi, on peut dire que le nombre de fuites importantes dans le réseau est constant d'une année à l'autre. Par ailleurs, il y a la fuite au niveau du réservoir qui a été réparé et qui a probablement aussi contribué à la diminution des PER. Comme il s'agit d'un assez grand réseau, il est difficile de croire que l'IFI soit inférieur à 1. Il est possible qu'il y ait beaucoup de petites fuites dans le réseau notamment aux branchements de services qui ne sont pas souvent inspectés par la municipalité. Finalement, comme la consommation résidentielle de toute la municipalité a été estimée par uniquement 15 compteurs d'eau qui ont été relevés en 2018, il est possible que cette estimation soit faussée et qu'elle surestime la consommation résidentielle réelle de la municipalité. Par conséquent, les PER (qui sont calculé par la suite en soustrayant au volume distribué la consommation) sont assez faibles.
Art.2.2 : La consommation résidentielle par personne estimée est élevée, car la méthode d'estimation prend uniquement un échantillon insuffisant de 15 logements équipé de compteurs d'eau pour estimer la consommation résidentielle de toute la municipalité. De plus, il s'agit de mesure datant de 2018. En effet, le dossier des compteurs s'était perdu malgré que la municipalité possède dans son dépôt les compteurs d'eau, il suffit simplement de les installer et de les lire et les factures sont disponibles. La lecture des 60 compteurs à installer dans le secteur résidentiel (et ceux du secteur non résidentiel) demandé permettra d'avoir une meilleure estimation de la consommation, mais aussi des pertes d'eau (PER).
</t>
  </si>
  <si>
    <t xml:space="preserve">Art 1.13 et Art 2.2 : Pour calculer la consommation résidentielle, un prorata des logements résidentiels et des branchements non résidentiels a été pris en compte.
Sur le réseau, il y a XXX logements résidentiels et YYY immeubles non résidentiels sans compteur d’eau et non relevé. La consommation résidentielle est estimée par le calcul suivant :
Consommation non mesurée et facturée * nombre de logements résidentiels / (logements résidentiels  + immeubles non résidentiels) 
117,701 ML *(1129 / (1129 + 132))= 105,380 ML.
</t>
  </si>
  <si>
    <t xml:space="preserve">Art 1.13 et Art 2.2 : Pour calculer la consommation résidentielle, un prorata des logements résidentiels et des branchements non résidentiels a été pris en compte.
Sur le réseau, il y a 89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22,764 ML *(89 / (89 + 13 ))= 19,863 ML.
Art.2.2 : La consommation résidentielle par personne estimée est élevée, car la méthode d'estimation prend la consommation non résidentielle sans compteur d'eau et non relevés au même niveau que la consommation résidentielle. 
</t>
  </si>
  <si>
    <t xml:space="preserve">Art 1.9 : La pression est élevée afin d'alimenter l'ensemble de la population et notamment le secteur Albanel.
Art 1.13 et Art 2.2 : Pour calculer la consommation résidentielle, un prorata des logements résidentiels et des branchements non résidentiels a été pris en compte.
Sur le réseau, il y a 3 637 logements résidentiels et 251 branchements non résidentiels sans compteur d’eau et non relevé. La consommation résidentielle est estimée par le calcul suivant :
Consommation non mesurée et facturée * nombre de logements résidentiels / (logements résidentiels + branchements non résidentiels) 
687,200 ML *(3 637 / (3 637 + 251))= 642,836 ML.
Art. 1.13 et 2.2 : La variation de la consommation résidentielle s'explique par la variation des pertes. Les pertes d'eau étant plus importantes avec l'analyse de débit de nuit de l'année 2019, il est donc logique d'avoir une consommation plus faible que dans le précédent bilan.
Art.1.15 et 2.1 : Les pertes d’eau réelles ont augmenté par rapport au bilan 2018 (127,750 ML). Cela s'explique d'une part par la bonification des hypothèse car les consommations de nuit utilisées ont été mises à jour afin de mieux estimer les pertes d’eau réelles à partir du débit de nuit minimum. Le second facteur provient directement du débit de nuit qui est nettement supérieur à celui de l'an dernier. La présence d'un hôpital peut expliquer cette valeur de débit de nuit mais l'estimation faite à ce bilan afin d'enlever la consommation de nuit de cet établissement n'est peut-être pas suffisante. Une prise de mesure de consommation de nuit de ce bâtiment est donc envisagée pour le prochain bilan.
Entente de compilation de données pour un réseau de distribution commun :
Municipalité exportatrice : Dolbeau-Mistassini (code 92022)
Municipalité importatrice : Albanel (code 92030)
A : 3 601 log, 2,28 pers/log, 8 196 pers
B : 36 log, 2,47 pers/log, 89 pers
Indice de fuites dans les infrastructures (IFI) du réseau commun : 6,2
Contrôle actif des fuites (localisation et réparation) : oui
Consommation résidentielle estimée pour ce réseau commun : 213 l/pers/d
Eau distribuée pour ce réseau commun : 494 l/pers/d
Installation de compteurs d’eau à la consommation requise : oui
Résultat de validité des données de l’audit de l’eau AWWA : 60
</t>
  </si>
  <si>
    <t xml:space="preserve">Art 1.2 : La pression est élevée afin d'alimenter l'ensemble de la population.
Art 1.13 et Art 2.2 : Pour calculer la consommation résidentielle, un prorata des logements résidentiels et des branchements non résidentiels a été pris en compte.
Sur le réseau, il y a 2 211 logements résidentiels et 123 branchements non résidentiels sans compteur d’eau et non relevé. La consommation résidentielle est estimée par le calcul suivant :
Consommation non mesurée et facturée * nombre de logements résidentiels / (logements résidentiels + branchements non résidentiels) 
428,135 ML *(2 211 / (2 211 + 123))=  405,573 ML.
Art.1.15, 2.1 et 2.2 : L'écart entre les pertes d'eau réelles 2018 et 2019 s'explique par la bonification des hypothèses utilisées. Les consommations de nuit utilisées ont été mises à jour afin de mieux estimer les pertes d’eau réelles à partir du débit de nuit minimum. Cela explique alors la variation de l'indice de fuites dans les infrastructures ainsi que la diminution de la consommation résidentielle estimée.
</t>
  </si>
  <si>
    <t>La municipalité pourra mieux estimer la consommation résidentielle en installant des compteurs d’eau et en effectuant des relèves.
Il est recommandé d’effectuer un contrôle actif des fuites, car pour les réseaux dont l’indicateur de pertes d'eau dépasse la valeur de comparaison, un contrôle actif des fuites sur l’équivalent de 200 % de la longueur sera requis d'ici le 1er septembre 2021.</t>
  </si>
  <si>
    <t>Art 1.13 et Art 2.2 : Pour calculer la consommation résidentielle, un prorata des logements résidentiels et des branchements non résidentiels a été pris en compte.
Sur le réseau, il y a 3532 logements résidentiels et 379 branchements non résidentiels sans compteur d’eau et non relevé. La consommation résidentielle est estimée par le calcul suivant :
Consommation non mesurée et facturée * nombre de logements résidentiels / (logements résidentiels + branchements non résidentiels) 
766,628 ML *(3532 / (3532 + 379))= 692,337 ML.
Art 1.14: La Ville de Donnacona alimente 17 résidences appartenant au territoire de la Ville de Neuville.  Un ancien compteur a été localisé sur la conduite entre les deux municipalités. Une estimation plus précise de l'eau exportée sera possible dès 2020.
Art.1.15 : Les pertes d’eau réelles ont augmenté par rapport au bilan 2018. Deux nouvelles purges programmables sont utilisées sur le réseau depuis 2018, ce qui peut venir influencer à la hausse l'estimation des pertes d'eau réelles. De plus, l'estimation de l'eau exportée vers la Ville de Neuville peut être sous-estimée ce qui peut encore une fois augmenter l'évaluation des pertes d'eau réelles. 
Art 2.1: Les pertes d'eau ont été évaluée en procédant à une analyse de débit de nuit minimum (voir l'audit de l'eau de l'AWWA pour le détail des calculs).  Puisque le réseau compte moins de 3000 branchements de service, l'IFI de l'année 2019 est calculée avec les données des pertes d'eau réelles des trois dernières années, afin de limiter l'influence des fluctuations annuelles.</t>
  </si>
  <si>
    <t>Art.2.1 : Il est recommandé d’effectuer un contrôle actif des fuites, car pour les réseaux dont l’indicateur de pertes d'eau dépasse la valeur de comparaison, un contrôle actif des fuites sur l’équivalent de 200 % de la longueur sera requis d'ici le 1er septembre 2021.
Si la municipalité dépasse un des objectifs au bilan 2021, l’installation de compteurs d’eau dans tous les immeubles non résidentiels (Industries, Commerces et Institutions), les immeubles mixtes ciblés, les immeubles municipaux et sur un échantillon de 60 immeubles résidentiels sera requise progressivement d'ici le 1er septembre 2025.</t>
  </si>
  <si>
    <t>Art 1.10 : À moins d'avis contraire de la ville de Montréal;
Art 1.11 : À moins d'avis contraire de la ville de Montréal;
Art 1.12 : À moins d'avis contraire de la ville de Montréal;
Art 1.13 : Consommation résidentielle estimée de 308 l/p/d (arrondissement Saint-Laurent 2018 - même chiffre que l'an passé) =&gt; (308 l/p/d * 19 839 p * 365 d ) / 1 000 000
Art 1.15 : La quantité d'eau distribuée inclut la consommation de nombreux immeubles non résidentiels (ex.: Air Canada, Lockheed-Martin, Matox, etc.)
Art 1.16 : Les PERI ont fortement variées de 2018 à 2019 car le nombre de branchements de service a été révisé à la hausse.</t>
  </si>
  <si>
    <t xml:space="preserve">Art 1.3 : Le nombre de logements a baissé par rapport à 2018, car la donnée a été raffinée. La méthode pour trouver le nombre de logements a changé. En effet, il y a 34 455 logements connectés au réseau et occupés de façon permanente. 
Art 1.13 et 2.2: La consommation résidentielle est estimée avec les relèves 2019 de l’échantillon des 222 logements résidentiels compris dans les SSC. 
Art 1.13 et 2.2 : Il y a une augmentation de la consommation résidentielle par rapport au bilan 2018. En effet, au bilan 2018, la consommation résidentielle avait été estimée à 70% du volume d'eau distribué par la municipalité ce qui n'est pas la méthode utilisée cette année. De plus, le nombre de logements est passé de 36 482 en 2018 à 34 455 en 2019. Cette diminution du nombre de logements cause une diminution de la population et peut donc expliquer une augmentation de la consommation résidentielle estimé (l/pers/d) au point 2.2.
Art 1.15 et Art.2.1 : La consommation autorisé a beaucoup diminuée de 2018 à 2019 puisque la methode utilisé pour trouver cette consommation a été modifiée d'une année à l'autre. La consommation autorisée est passée de 12 593,259 ML en 2018 à 10 860,526ML en 2019. De ce fait, les pertes d'eau réelles ont augmenté et donc l'IFI a également augmenté. De plus, la municipalité a eu beaucoup de fuites (79) au courant de l'année 2019. Ces fuites ont pu causer de grandes pertes d'eau et donc un IFI plus élevé.
</t>
  </si>
  <si>
    <t xml:space="preserve">Art 1.13 et Art 2.2 : Pour calculer la consommation résidentielle, un prorata des logements résidentiels et des branchements non résidentiels a été pris en compte.
Sur le réseau, il y a 127 logements résidentiels et 3 branchements non résidentiels actifs sans compteur d’eau et non relevé. La consommation résidentielle est estimée par le calcul suivant :
Consommation non mesurée et facturée * nombre de logements résidentiels / (logements résidentiels + branchements non résidentiels actifs) 
24,255 ML * 127 / (127 + 3) = 23,695 ML.
Art 1.14 et 2.2 : L'eau distribuée a augmentée par rapport au Bilan 2018, car de gros travaux de réhabilitation de conduiteont étés entrepris. l'utilisation de l'eau pour ces travaux a augmenté l'eau distribuée et la consommation résidentielle par la même occasion. La manipulation de vannes a aussi créé des fuites pendant et à la suite des travaux
Art 1.15 et 2.1 : La variation de l'IFI est due au fait qu'au Bilan 2018, les PER avaient étés calculés par une moyenne des trois dernières années. Cette méthode n'est plus utilisée et les PER 2019 et 2018 sont très semblables.
</t>
  </si>
  <si>
    <t xml:space="preserve">Art. 1.14:  Le débitmètre n’était pas fonctionnel pendant 60 jours, donc un règle de trois était utilisé afin d’estimer le volume produite durant 365 jours.  
 9,677 ML/305 j = X ML/365 j
X= 11,58 ML
Art 1.13 et Art 2.2 : Pour calculer la consommation résidentielle, un prorata des logements résidentiels et des branchements non résidentiels a été pris en compte.
Sur le réseau, il y a 31 logements résidentiels et 4 branchements non résidentiels sans compteur d’eau et non relevé. La consommation résidentielle est estimée par le calcul suivant :
Consommation non mesurée et facturée * nombre de logements résidentiels / (logements résidentiels + branchements non résidentiels) 
9,852 ML *(31 / (31 + 4))= 8,726 ML.
</t>
  </si>
  <si>
    <t xml:space="preserve">Art 1.13 et Art 2.2 : Pour calculer la consommation résidentielle, un prorata des logements résidentiels et des immeubles non résidentiels a été pris en compte.
Sur le réseau, il y a 285 logements résidentiels et 26 immeubles non résidentiels sans compteur d’eau et non relevé. La consommation résidentielle est estimée par le calcul suivant :
Consommation non mesurée et facturée * nombre de logements résidentiels / (logements résidentiels  + immeubles non résidentiels) 
29,414 ML *(262 / (262 + 26)) = 26,759 ML.
Art.1.15 et Art.2.1 : L'écart entre l'indice de fuites dans les infrastructures 2018 et 2019 s'explique par le fait que les pertes d'eau réelles 2018 ont été estimées à partir du débit de nuit minimum 2012. Il n'y a pas eu de recherche de fuites depuis plusieurs années (avant 2012), il y a donc des chances que plusieurs fuites soient apparues au courant des dernières années. 
Art.1.15, Art.1.13, Art.2.1 et Art.2.2 : Les pertes d'eau réelles ont été calculées à partir du débit de nuit minimum d'une journée au mois de juillet 2020. Puisqu'il y a beaucoup de consommations pendant ce mois, il se peut que les pertes d'eau réelles soient surestimées et que la consommation soit sous-estimée. La consommation est plus faible qu'au bilan précédent. En effet, elle a été calculée à partir d'un débit de nuit représentatif et cette donnée est plus précise qu'au bilan 2018. Il est conseillé de prendre les débits de nuit durant les mois où la distribution est la plus faible (octobre, novembre). Il est aussi pertinent de les prendre après avoir effectué une recherche de fuites et réparer les fuites s'il y en a.
Art 2.2 : Ce réseau comporte peu d'usagers dans le secteur non résidentiel qui consomment beaucoup d'eau et les usagers du secteur résidentiel ne sont pas de grands consommateurs en eau (pas de grosses propriétés avec des piscines, par exemple). Aussi, comme indiqué dans le commentaire précédent, les pertes d'eau réelles sont probablement surestimées, ce qui sous-estime la consommation résidentielle. De plus,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t>
  </si>
  <si>
    <t>Art 1.9 : La pression du réseau est élevée puisque la donnée est obtenue à la sortie de l'usine et que la municipalité a des différences d'élévations nécessitant une pression élevée à l'usine pour desservir tout le réseau.
Art 1.13 et Art 2.2 : Pour calculer la consommation résidentielle, un prorata des logements résidentiels et des branchements non résidentiels a été pris en compte.
Sur le réseau, il y a 240 logements résidentiels et 18 branchements non résidentiels sans compteur d’eau et non relevé. La consommation résidentielle est estimée par le calcul suivant :
Consommation non mesurée et facturée * nombre de logements résidentiels / (logements résidentiels + branchements non résidentiels) 
36,507 ML *(240 / (240 + 18))= 33,960 ML.
Art 1.16 : Les pertes réelles inévitables ont augmenté par rapport à 2018, puisque la donnée de branchements de services a été mise à jour cette année et a eu pour conséquence d'augmenter les PERI.</t>
  </si>
  <si>
    <t xml:space="preserve">Art 1.13 et Art 2.2 : Pour calculer la consommation résidentielle, un prorata des logements résidentiels et des branchements non résidentiels a été pris en compte.
Sur le réseau, il y a 42 logements résidentiels et 2 branchements non résidentiels actifs sans compteur d’eau et non relevé. La consommation résidentielle est estimée par le calcul suivant :
Consommation non mesurée et facturée * nombre de logements résidentiels / (logements résidentiels + branchements non résidentiels actifs) 
5,7 ML *(42 / (42 + 2))=  5,44 ML.
Art.2.1 : L'indice de fuites dans les infrastructures est faible, car le réseau est petit. La municipalité peut donc détecter rapidement l’apparition des fuites avec l’analyse de débits de nuit. Elle peut ensuite les localiser et les réparer rapidement ou l'indice de fuites dans les infrastructures est faiblecar les faibles pertes d’eau réelles ont été déterminées à partir des données de débits de nuit. 
Le débitmètre pourrait mal lire les débits minimums, car il n’a jamais été vérifié. La municipalité pourrait vérifier la précision du débitmètre et s’assurer que celui-ci lit bien les débits faibles.
Art.1.14 : Il y a une augmentation du volume d’eau distribué par rapport au bilan 2018, car le débitmètre n’a pas été vérifié. Par conséquent, l’erreur associée au volume d’eau distribué n’est pas connue. De plus, il y a peut-être l'apparition de certaines fuites qui expliquerait la hausse des pertes d’eau et de l’eau distribuée. Celles-ci n’ont pas été détectées, car la municipalité n’a pas fait de recherche de fuites.
- La municipalité a installé une sonde du niveau pour le réservoir d'eau potable
</t>
  </si>
  <si>
    <t>Art 1.15: Les pertes d’eau réelles ont été calculées à partir d'une donnée débit de nuit 2017, car le débit de nuit pour l'année 2019 n'était pas disponible. Afin de mieux estimer les pertes d’eau , il est fortement recommandé pour la municipalité de fournir un débit de nuit valide pour le bilan 2020.</t>
  </si>
  <si>
    <t xml:space="preserve">Art 1.13 et Art 2.2 : Pour calculer la consommation résidentielle, un prorata des logements résidentiels et des branchements non résidentiels a été pris en compte.
Sur le réseau, il y a 321 logements résidentiels et 45 branchements non résidentiels sans compteur d’eau et non relevé. La consommation résidentielle est estimée par le calcul suivant :
Consommation non mesurée et facturée * nombre de logements résidentiels / (logements résidentiels + branchements non résidentiels) 
48,070 ML *(321 / (321 + 45))= 42,160 ML.
Art.1.14 : Il y a une augmentation du volume d’eau distribué ainsi que la quantité d'eau distribuée par rapport au bilan 2018. Ceci s'explique du fait que pendant deux mois la municipalité a eu un réseau temporaire en raison de travaux et des purges récurrentes étaient opérées sur ce réseau.
Art 2.1 : L'indice de fuites dans les infrastructures est élevé et a augmenté par rapport à l'année dernière. Ceci peut s'expliquer du fait du réseau temporaire et ses purges récurrentes, aussi  des fuites ont été réparées en 2019. De plus, l'analyse de débit de nuit a été faite à partir de données de 0h00 à 4h00, une analyse plus précise aurait pu permettre de mieux évaluer les pertes d'eau. Cependant, les pertes d'eau réelles sont presque identiques à ceux de 2018. 
Art 2.2 : Il y a une diminution de la consommation résidentielle par rapport au bilan 2018. En effet, cette année la municipalité a indiqué plus de consommation non mesurée et non facturée. Ce qui a pour incidence de réduire la consommation résidentielle.
</t>
  </si>
  <si>
    <t xml:space="preserve">Art 1.4 : L’estimation 2019 du nombre de personnes par logements de statistique Canada sous-estime la population résidentielle desservie et occupée de façon permanente. Une population de 72 personnes est plus représentative.
Art 1.13 et Art 2.2 : Pour calculer la consommation résidentielle, un prorata des logements résidentiels et des branchements non résidentiels a été pris en compte.
Sur le réseau, il y a 30 logements résidentiels et 0 branchement non résidentiel actifs sans compteur d’eau et non relevé. La consommation résidentielle est estimée par le calcul suivant :
Consommation non mesurée et facturée * nombre de logements résidentiels / (logements résidentiels + branchements non résidentiels actifs) 
5,727 ML *(30 / (30 + 0)= 5,727ML.
Art.1.14 : Il y a une diminution du volume d’eau distribué par rapport au bilan 2018. Comme une partie importante de la consommation en eau de la municipalité correspond à la consommation de l'hôtel et que l'achalandage de ce dernier est très variable d'une année à l'autre alors on peut expliquer cette variation par ce phénomène. 
Art.1.15 : Les pertes d’eau réelles ont diminué  par rapport au bilan 2018 (elles étaient de 1,6 ML) alors qu'il n'y a pas eu de réparation de fuites. Comme au bilan 2018, le débit de nuit de 2016 a été utilisé (incluant la consommation nocturne de l'hôtel) alors qu'en 2019 c'est le débit de 2019 le plus faible de l'année (et sans la consommation nocturne de l'hôtel) qui a été utilisée, alors cela explique que les PER ont diminué. 
</t>
  </si>
  <si>
    <t xml:space="preserve">Art 1.13 et Art 2.2 : Pour calculer la consommation résidentielle, un prorata des logements résidentiels et des branchements non résidentiels a été pris en compte.
Sur le réseau, il y a 4142 logements résidentiels et 26 branchements non résidentiels actifs sans compteur d’eau et non relevé. La consommation résidentielle est estimée par le calcul suivant :
Consommation non mesurée et facturée * nombre de logements résidentiels / (logements résidentiels + branchements non résidentiels actifs) 
748 ML *(4142 / (4142 + 26))= 743,333 ML.
Art.2.1 : L'indice de fuites dans les infrastructures est faible, car le réseau est petit. La municipalité peut donc détecter rapidement l’apparition des fuites avec l’analyse de débits de nuit. Elle peut ensuite les localiser et les réparer rapidement. 
Art.1.15 : Les pertes d’eau réelles ont diminué par rapport au bilan 2018 (107,8 ML).
Art.1.15 : L'écart entre les pertes d'eau réelles 2018 et 2019 s'explique par le fait que la municipalité à raffiné la donnée du débit de nuit. Les consommations de nuit utilisées ont été mises à jour afin de mieux estimer les pertes d’eau réelles à partir du débit de nuit minimum.
</t>
  </si>
  <si>
    <t xml:space="preserve">Art 4.1 : Étant donné que la valeur d'au moins un des indicateurs de performance dépassait l’objectif en 2018, l’installation de compteurs d’eau dans tous les immeubles non résidentiels (Industries, Commerces et Institutions), les immeubles mixtes ciblés, les immeubles municipaux et sur un échantillon de 60 immeubles résidentiels est requise d'ici le 1er septembre 2022.
Art.2.1 : L'indice de fuites dans les infrastructures est faible, car le réseau est petit. La municipalité peut donc détecter rapidement l’apparition des fuites avec l’analyse de débits de nuit. Elle peut ensuite les localiser et les réparer rapidement. </t>
  </si>
  <si>
    <t xml:space="preserve">Art 1.13 et Art 2.2 : Pour calculer la consommation résidentielle, un prorata des logements résidentiels et des branchements non résidentiels a été pris en compte.
Sur le réseau, il y a 383 logements résidentiels et 31 branchements non résidentiels sans compteur d’eau et non relevé. La consommation résidentielle est estimée par le calcul suivant :
Consommation non mesurée et facturée * nombre de logements résidentiels / (logements résidentiels + branchements non résidentiels) 
37,887 ML *(383 / (383 + 31))= 35,050 ML. 
Art 1.15:Les pertes d’eau réelles sont faibles, car une donnée débit de nuit a été prise plutôt que des données sur l’ensemble de l’année 2019.
</t>
  </si>
  <si>
    <t>Art 1.13 et Art 2.2 : Pour calculer la consommation résidentielle, un prorata des logements résidentiels et des immeubles non résidentiels a été pris en compte.
Sur le réseau, il y a 42 logements résidentiels et 1 immeuble non résidentiel sans compteur d’eau et non relevé. La consommation résidentielle est estimée par le calcul suivant :
Consommation non mesurée et facturée * nombre de logements résidentiels / (logements résidentiels  + immeubles non résidentiels) 
5,720 ML *(42 / (42 + 1))= 5,587 ML.
Art.1.15 : L'écart entre les pertes d'eau réelles 2018 et 2019 s'explique par la bonification des hypothèses utilisées. Les consommations de nuit utilisées ont été mises à jour afin de mieux estimer les pertes d’eau réelles à partir du débit de nuit minimum.
Art.1.16 et 2.1 : La variation de la pression explique la variation des PERI et de l'IFI.
Art 2.2 : Tout comme l'année précédente, ce réseau comporte une faible quantité d'eau distribuée par personne. Cet indicateur est faible, car il s'agit d'un réseau comportant de petites maisons consommant peu selon la municipalité.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</si>
  <si>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 xml:space="preserve">Art 1.13 et Art 2.2 : Pour calculer la consommation résidentielle, un prorata des logements résidentiels et des branchements non résidentiels a été pris en compte.
Sur le réseau, il y a 1210 logements résidentiels et 73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187,073 ML *(1210 / (1210 + 73))= 172,657 ML.
Art 1.14: Il y a une légère diminution du volume d'eau distribué entre 2018 et 2019. Il est possible que cette variation soit tout simplement due à l'imprécision du débitmètre (malgré le respect du plus ou moins 5%). Par ailleurs, une fuite a été réparée en 2019 et deux en 2018 (si celles-ci ont été réparées fin 2018 alors leur réparation a forcément eu un impact sur le volume d'eau total distribué en 2019).
Art1.15 : il y a une augmentation des PER en 2019 malgré qu'en 2019 le débit de nuit ait été relevé en octobre alors qu'en 2018 il a été relevé entre avril et juin. Une explication à ce phénomène est la bonification des hypothèses lors de l'estimation des PER en fonction du débit de nuit. En effet, les nouvelles hypothèses ont un important impact sur les résultats des petites municipalités. On n'observe pas une diminution importante de la consommation résidentielle et une augmentation des PER (comme il aurait été prévu), car les PER de 2018 sont déjà assez élevé du fait qu'elles ont été estimées aux mois d'avril à juin 2018. Finalement en 2019 uniquement une seule valeur pour le débit de nuit a été fournie ce qui limite la précision et les déductions à partir des résultats. 
Art.2.2 : La consommation résidentielle par personne estimée a diminué par rapport au bilan 2018. En effet, la bonification des hypothèses utilisées pour l’estimation des pertes d’eau réelles a entraîné une hausse des pertes d’eau et par conséquent une diminution de la consommation résidentielle. 
</t>
  </si>
  <si>
    <t xml:space="preserve">Il est recommandé de fournir au MAMH dans les prochaines années des données journalières pour le débit de nuit.
</t>
  </si>
  <si>
    <t>Art 1.13 et 2.2: La consommation résidentielle est estimée avec les relèves 2020 de l’échantillon des 17 compteurs résidentiels. 
Art.2.1 :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t>
  </si>
  <si>
    <t>Art 1.13 et Art 2.2 : La lecture des compteurs d'eau n'est pas exploitable pour 2019.
Pour calculer la consommation résidentielle, un prorata des logements résidentiels et des immeubles non résidentiels a été pris en compte.
Sur le réseau, il y a 229 logements résidentiels et 27 immeubles non résidentiels sans compteur d’eau et non relevé. La consommation résidentielle est estimée par le calcul suivant :
Consommation non mesurée et facturée * nombre de logements résidentiels / (logements résidentiels  + immeubles non résidentiels) 
40,194 ML *(227 / (227 + 27))= 35,955 ML.
Art.1.15 et Art 2.1 : L'écart entre les pertes d'eau réelles 2018 et 2019, ainsi que l'IFI, s'explique par la bonification des hypothèses utilisées. Les consommations de nuit utilisées ont été mises à jour afin de mieux estimer les pertes d’eau réelles à partir du débit de nuit minimum.</t>
  </si>
  <si>
    <t>La municipalité pourrait mieux estimer la consommation résidentielle en effectuant des relèves des compteurs d'eau.</t>
  </si>
  <si>
    <t xml:space="preserve">Art 1.13 et Art 2.2 : Pour calculer la consommation résidentielle, un prorata des logements résidentiels et des branchements non résidentiels a été pris en compte.
Sur le réseau, il y a 1062 logements résidentiels permanents, 215 logements résidentiels non permanents et 22 branchements non résidentiels sans compteur d’eau et non relevé. La consommation résidentielle permanente est estimée par le calcul suivant :
Consommation non mesurée et facturée * nombre de logements résidentiels / (logements résidentiels + branchements non résidentiels + logements résidentiels non permanents *Facteur de consommation). On estime que la consommation des logements résidentiels non permanents est la moitié de la consommation des logements permanents.
174,092 ML *(1062 / (1062 + 22+218*1/2))= 155,171 ML.
Art 1.9: La pression moyenne du réseau est élevée. Celle-ci a a été attribuée par la municipalité en faisant des tests de pression statique et dynamique aux poteaux d'incendie il y a plusieurs années.
Art 2.2 : Il y a une diminution de la consommation résidentielle par rapport au bilan 2018. En effet, l'estimation réalisée en 2018 était basée sur une consommation théorique. L'estimation de cette année est basée sur la quantité d'eau distribuée dans la municipalité. 
</t>
  </si>
  <si>
    <t xml:space="preserve">Art 1.2 : L’estimation 2018 du nombre de personnes par logements de statistique Canada sous-estime la population résidentielle desservis et occupés de façon permanente. Une population d'environ 680 représente mieux la population (2,25 pers/log).
Art 1.13 et Art 2.2 : Pour calculer la consommation résidentielle, un prorata des logements résidentiels et des branchements non résidentiels a été pris en compte.
Sur le réseau, il y a 302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67,458 ML *(302 / (302 + 11))= 64,8526 ML.
Art 1.16 : La pression de l'année 2019 est plus basse que celle de l'année 2018 (49m). Comme le réseau reste le même que l'année 2018 et que la seule variation dans le formule pour le calcul de PERI est la pression, la diminution s'explique par la diminution de pression
Art. 2.1 : En 2019, PERI a diminué comme c'est expliqué dans Art. 1.16 et PER a augmenté. L'augmentation de PER s'explique par le débit de nuit plus élevé de la municipalité (1.94 m³/h entre 2h00 et 4h00 16 novembre 2019; 1,47m3/h pour le 26 novembre entre 2h00 et 4h00). Le débit de nuit est mesuré par l'intervenant externe 'SMeau Expert' et il n'était pas capable de fournir le débit de nuit ni à l'année ni au mois. Comme il n'est pas possible d'évaluer le débit de nuit avec ceux mesurés à des dates différentes, il n'est pas possible également de savoir si l'augementation de IFI de 79% est une simple variation de l'année ou l'augemtation réelle de débit de nuit à cause des bris dans le réseau.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</si>
  <si>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branchements non résidentiels a été pris en compte.
Sur le réseau, il y a 184 logements résidentiels et 6 branchements non résidentiels actifs sans compteur d’eau et non relevé. La consommation résidentielle est estimée par le calcul suivant :
Consommation non mesurée et facturée * nombre de logements résidentiels / (logements résidentiels + branchements non résidentiels actifs) 
30,512 ML * 184 / (184 + 6)= 29,548 ML.
Art 1.15 et 2.1 : Les PER proviennent du débit de nuit 2017, il est recommendé de tenir un registre des débits de nuits de l'année étudiée.</t>
  </si>
  <si>
    <t xml:space="preserve">Art 1.13 et Art 2.2 : Pour calculer la consommation résidentielle, un prorata des logements résidentiels et des branchements non résidentiels a été pris en compte.
Sur le réseau, il y a 2206 logements résidentiels et 125 branchements non résidentiels sans compteur d’eau et non relevé. La consommation résidentielle est estimée par le calcul suivant :
Consommation non mesurée et facturée * nombre de logements résidentiels / (logements résidentiels + branchements non résidentiels) 
967,900 ML *(2206 / (2206 + 125))= 915,996 ML.
Art.1.15 : L'écart entre les pertes d'eau réelles 2018 et 2019 peut s'explique par la bonification des hypothèses utilisées. Les consommations de nuit utilisées ont été mises à jour afin de mieux estimer les pertes d’eau réelles à partir du débit de nuit minimum. De plus, les débit de nuit d'une période différente de l'année ont été utilisée, ce qui pourrait contribuer à la variation des données par rapport à 2018. En effet, le débit de nuit est passé de 72 m3/h en 2018 à 40 m3/h en 2019.
Art.2.2 : La consommation résidentielle par personne estimée est élevée, car la méthode d'estimation prend la consommation non résidentielle sans compteur d'eau et non relevés au même niveau que la consommation résidentielle. Il y a une augmentation de la consommation résidentielle par rapport au bilan 2018. En effet, la bonification de la donnée sur le débit de nuit a entrainé une baisse des pertes d’eau et par conséquent une augmentation de la consommation résidentielle. </t>
  </si>
  <si>
    <t>Art 1.13 et Art 2.2 : Pour calculer la consommation résidentielle, un prorata des logements résidentiels et des branchements non résidentiels a été pris en compte.
Sur le réseau, il y a 1643 logements résidentiels et 84 branchements non résidentiels sans compteur d’eau et non relevé. La consommation résidentielle est estimée par le calcul suivant :
Consommation non mesurée et facturée * nombre de logements résidentiels / (logements résidentiels + branchements non résidentiels) 
376,569 ML *(1643 / (1643 + 84))= 358,253 ML.
Art.1.15 : L'écart entre les pertes d'eau réelles 2018 et 2019 peut s'explique par la bonification des hypothèses utilisées. Les consommations de nuit utilisées ont été mises à jour afin de mieux estimer les pertes d’eau réelles à partir du débit de nuit minimum. De plus, les débit de nuit d'une période différente de l'année ont été utilisée, ce qui pourrait contribuer à la variation des données par rapport à 2018.
Art.2.2 : La consommation résidentielle par personne estimée est élevée, car la méthode d'estimation prend la consommation non résidentielle sans compteur d'eau et non relevés au même niveau que la consommation résidentielle.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t>
  </si>
  <si>
    <t xml:space="preserve">Art 1.16 : Les PERI ont légèrement diminué par rapport au Bilan 2018 car la pression relevée moyenne a diminué.
Art 1.13 : La consommation des citoyens a été estimée avec l'estimation de 250 L/pers/jour de la Ville. C’est la dernière année où cette donnée estimée est utilisée car le bilan 2020 pourra bénéficier de données des différentes sectorisations dans les secteurs résidentiels.
</t>
  </si>
  <si>
    <t xml:space="preserve">Art 1.13 et Art 2.2 : Pour calculer la consommation résidentielle, un prorata des logements résidentiels et des branchements non résidentiels a été pris en compte.
Sur le réseau, il y a 410 logements résidentiels et 25 branchements non résidentiels sans compteur d’eau et non relevé. La consommation résidentielle est estimée par le calcul suivant :
Consommation non mesurée et facturée * nombre de logements résidentiels / (logements résidentiels + branchements non résidentiels) 
70,132 ML *(410 / (410 + 25))= 66,101 ML.
Art. 1.13 et 2.2 : La diminution du volume d'eau distribué influence directement la consommation résidentielle estimée du fait de l'utilisation de la méthode du débit de nuit minimum qui ne reflette pas correctement les pertes d'eau sur le réseau.
Art.1.14 : Il y a une diminution du volume d’eau distribué par rapport au bilan 2018. Cela s'explique par la réparation de nombreuses fuites en 2018.
Art.2.2 : La consommation résidentielle par personne estimée est élevée, car la méthode d'estimation prend la consommation non résidentielle sans compteur d'eau et non relevés au même niveau que la consommation résidentielle. </t>
  </si>
  <si>
    <t xml:space="preserve">Art 1.13 : La consommation résidentielle a été estimé à partir de la valeur de consommation moyenne québécoise de 268L/pers/d. Ceci explique la variation entre la consommation 2018, celle ci estimée selon un prorata. 
Art 2.1 : On observe une baisse de l'IFI entre 2018 et 2019. Ceci s'explique par le changement de méthodologie pour l'évaluation de la consommation résidentielle, ce qui a un impact direct sur les PER. En 2019, les données de débit de nuit minimum ont été utilisés. Il faudra suivre l'évolution des indicateurs dans les prochains bilans. À noter que les données de la ville augmenteront en précision au fur et à mesure de l'installation et de la relève des compteurs d'eau à la consommation. </t>
  </si>
  <si>
    <t xml:space="preserve">Art 2.1 : L'IFI est très faible compte tenu de la grande longueur du réseau. Cet indicateur sera à surveiller pour les prochaines années. </t>
  </si>
  <si>
    <t>Note : La municipalité estime que la majorité des variations par rapport à l'année 2018 sont attribuables au problème de calibration de l'automate. Celui-ci surcomptait toutes les valeurs de volume et de débit. Des travaux ont été réalisés en décembre 2020 afin de recalibrer les automates. Les données du bilan 2021 devraient donc être plus représentatives.
Art 1.4 : Le nombre de logements et la population sont les mêmes qu’en 2018. L’estimation 2018 du nombre de personnes par logement est utilisée.
Art 1.13 et Art 2.2 : Pour calculer la consommation résidentielle, un prorata des logements résidentiels et des branchements non résidentiels a été pris en compte.
Sur le réseau, il y a 1391 logements résidentiels et 104 branchements non résidentiels actifs sans compteur d’eau et non relevé. La consommation résidentielle est estimée par le calcul suivant :
Consommation non mesurée et facturée * nombre de logements résidentiels / (logements résidentiels + branchements non résidentiels actifs) 
701,450 ML *(1391 / (1391 + 104))= 652,653 ML.
Art.1.14 : Le volume d'eau distribuée a augmenté par rapport à 2018 (959,697 ML). L'usine de production d'eau potable a eu un problème de calibration de l'automate. Les volumes mesurés au débitmètres étaient plus faibles que les volumes enregistrés dans la base de donnée. Des modifications ont été réalisées en décembre 2020 afin de recalibrer les automates. Les données 2021 devraient être plus représentatives.
Art.1.15 : Les PER ont augmentées par rapport au bilan 2018 (277,765 ML). Cette augmentation peut s'expliquer par plusieurs facteurs, notament les problèmes avec l'automate et l'apparition de fuites sur le réseau depuis la dernière recherche de fuite. La municipalité prévoit commencer à faire l'écoute aux poteaux incendie 2 fois par année afin de diminuer le délai de détection et de réparation des fuites.</t>
  </si>
  <si>
    <t>Note générale : Un problème d'automate qui datait de la mise en place du système de collecte des donnée a été réglé en juin 2019. Suite à cette correction, les données quotidienne sont environ 40% inférieures à la moyenne des autres années et les débits de nuits sont plus faibles. De plus, l'information mesurée par le débitmètre à la distribution correspond maintenant avec les données du débitmètre de référence utilisé lors du test.
Art 1.13 et Art 2.2 : Pour calculer la consommation résidentielle, un prorata des logements résidentiels et des branchements non résidentiels a été pris en compte.
Sur le réseau, il y a 513 logements résidentiels et 24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154,208 ML *(513 / (513 + 24))= 147,316 ML.
Art.2.2 : La consommation résidentielle par personne estimée est élevée, car la méthode d'estimation prend la consommation non résidentielle sans compteur d'eau et non relevés au même niveau que la consommation résidentielle.
Art.1.13 et Art.2.2 : La consommation résidentielle a diminué par rapport au bilan 2018 (255,022 ML). La correction de la calibration de l'automate a mené à cette diminution de la consommation résidentielle.
Art.1.14 : Il y a une diminution du volume d’eau distribué par rapport au bilan 2018 (340,683 ML). La correction de la calibration de l'automate a mené à cette diminution du volume distribué.
Art.1.15 : Les pertes d’eau réelles ont diminué par rapport au bilan 2018 (68,620 ML). La correction de la calibration de l'automate a mené à cette diminution des PER.
Art 2.3 : Résultat de 45 dû à une cote de 5 attribuée au volume d'eau produite, car le problème d'automate a faussé les données de volume pour les mois de janvier à juin.</t>
  </si>
  <si>
    <t>Municipalité exportatrice : Price (09065)
Municipalité importatrice : Grand-Métis (09060)
A : 704 log, 2,28 pers/log, 1609 pers
B : 15 log, 2,35 pers/log, 35 pers
Longueur du réseau de A : 16 447 m
Longueur du réseau de B : 1 250 m
Indice de fuites dans les infrastructures (IFI) du réseau commun : 0,1
Contrôle actif des fuites (localisation et réparation) : non
Consommation résidentielle estimée pour ce réseau commun : 118 l/pers/d
Eau distribuée pour ce réseau commun : 286 l/pers/d
Installation de compteurs d’eau à la consommation requise : non
Résultat de validité des données de l’audit de l’eau AWWA : 66
Art 1.3 : Puisque tous les immeubles non résidentiels sont munis de compteurs d'eau, les immeubles restants non mesurés sont tous des immeubles/logements résidentiels. La valeur NMF de l'AWWA est alors utilisée pour l'estimation résidentielle estimée.
Art.1.14 : Il y a une diminution du volume d’eau distribué par rapport au bilan 2018. Puisque le réseau est petit, l’eau distribuée fluctue beaucoup en raison des fuites qui peuvent apparaître et des délais de réparations.
Art.2.1 : L'indice de fuites dans les infrastructures est faible, car le réseau est petit. La municipalité peut donc détecter rapidement l’apparition des fuites avec l’analyse de débits de nuit. Elle peut ensuite les localiser et les réparer rapidement. 
Art 2.2 : Tout comme l'année précédente, ce réseau comporte une faible quantité d'eau distribuée par personne. Cet indicateur est faible, car il s'agit d'un réseau comportant de petites maisons consommant peu selon la municipalité.</t>
  </si>
  <si>
    <t xml:space="preserve">Art 1.3 : Il y a eu erreur concernant le nombre de logements dans les formulaires antérieurs, le nombre de logements 2019 est la valeur corrigée soit 252 logements desservis et occupés de façon permanente.
Art 1.4 : L’estimation 2019 du nombre de personnes par logements de statistique Canada surestime la population résidentielle desservie et occupée de façon permanente. Une population de 487 personnes est plus représentative.
Art 1.6 et 1.16 : Les pertes d'eau réelles inévitables ont augmenté par rapport à 2018, puisque la longueur du réseau de distribution a augmenté suite au rallongement de ce dernier.
Art 1.13 et 2.2: La consommation résidentielle est estimée avec la lecture des compteurs d'eau de 2018 puisque la municipalité effectue la lecture aux deux ans. La consommation de 2018 a été transposée à celle de 2019. Eau distribuée en 2018: 51,394ML; eau distribuée en 2019: 55,348ML; consommation résidentielle en 2018: 27,841. 
Consommation résidentielle en 2019 = 55,348 ML * (27,841ML/51,394ML) = 29,983 ML.
Art.2.1 : L'indice de fuites dans les infrastructures est faible, car le réseau est petit. La municipalité peut donc détecter rapidement l’apparition des fuites avec l’analyse de débits de nuit. Elle peut ensuite les localiser et les réparer rapidement. </t>
  </si>
  <si>
    <t>Art 1.13 et 2.2: Afin d'avoir une meilleure estimation de la consommation résidentielle, la municipalité devrait effectuer la relève des compteurs annuellement.</t>
  </si>
  <si>
    <t>Art 1.13 et Art 2.2 : Pour calculer la consommation résidentielle, un prorata des logements résidentiels et des branchements non résidentiels a été pris en compte.
Sur le réseau, il y a 927 logements résidentiels et 35 branchements non résidentiels sans compteur d’eau et non relevé. La consommation résidentielle est estimée par le calcul suivant :
Consommation non mesurée et facturée * nombre de logements résidentiels / (logements résidentiels + branchements non résidentiels) 
184,125 ML *(927 / (927 + 35))= 177,574 ML.
Art.1.14 : Il y a une augmentation du volume d’eau distribué par rapport au bilan 2018:
-Il y a peut-être l'apparition de certaines fuites qui expliquerait la hausse des pertes d’eau et de l’eau distribuée. Celles-ci n’ont peut être pas été détectées rapidement. 3 fuites ont été réparer en 2019.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La consommation résidentielle a diminué de 13% entre l'année 2018 et 2019 (probablement grâce à l'installation de quelques compteurs et à la mise en place de réglementations municipales sur la consommation résidentielle)  et  la distribution d'eau a augmenté en passant de 327,661 ML en 2018 à 348,184 ML en 2019.  Or la consommation non résidentielle n'a pas augmenté mais les PER ont bien augmenté en passant de 107,17 ML en 2018 à 157,04 ML en 2019. Ainsi on peut supposer que des fuites sont apparues au courant de l'année 2019. Par ailleurs la bonification des hypothèses utilisées pour l’estimation des pertes d’eau réelles a entrainé une hausse des pertes d’eau et par conséquent une diminution de la consommation résidentielle. On ajoute à cela le fait que  la pressions moyenne dans le réseaux est considérée la mêmes qu' 2018 (ce qui met en doute son exactitude). Ainsi on peut expliquer l'augmentation de l'IFI en 2019 par rapport à 2018.
Un IFI de 7,6 veut dire qu'il y a 7,6 fois plus de pertes d'eau que de pertes inévitables .</t>
  </si>
  <si>
    <t xml:space="preserve">Art 1.4 : L’estimation 2019 du nombre de personnes par logements de statistique Canada sous-estime la population résidentielle desservie et occupée de façon permanente. Une population de 592 personnes est plus représentative. Il s'agit de la même population qu'en 2018.
Art 1.13 et Art 2.2 : Pour calculer la consommation résidentielle, un prorata des logements résidentiels et des branchements non résidentiels a été pris en compte.
Sur le réseau, il y a 254 logements résidentiels et 10 branchements non résidentiels avec compteur d’eau, mais non relevé. La consommation résidentielle est estimée par le calcul suivant :
Consommation non mesurée et facturée * nombre de logements résidentiels / (logements résidentiels + branchements non résidentiels) 
62,747 ML *(254 / (254 + 10))= 60,379 ML.
Art.1.14 : Il y a une augmentation diminution du volume d’eau distribué par rapport au bilan 2018. Tout d'abord, il y a eu de nouvelles fuites qui ont été réparées dont une vers la fin de 2019. Ainsi il se peut que la fuite ait apparu et coulé pendant une bonne partie de l'année, en effet en comparant les volumes moyens distribués par mois en 2018 et 2019 on remarque qu'après le mois de juillet 2019 les volumes d'eau sont très grands comparativement à cette même période en 2018. Deuxièmement, les données d'eau distribuée pour les mois d'avril et mai 2019 sont manquantes et ont dû être estimées ce qui a peut-être sur ou sous-estimer le volume d'eau distribué en 2019.
Art.1.15 : Les pertes d’eau réelles ont augmenté par rapport au bilan 2018 (en passant de 16,790  ML en 2018 à 27,652 Ml en 2019).Il y a eu des fuites qui ont été réparées en 2019. On peut donc supposer qu'elles sont apparues au courant de l'année ce qui a eu pour conséquent l'augmentation des pertes d'eau. De plus, le réseau est assez vieux et des travaux sont prévus pour le remplacement de conduites.
Art.2.2 : La consommation résidentielle par personne estimée est élevée, car la méthode d'estimation prend la consommation non résidentielle sans compteurs d'eau et non relevés au même niveau que la consommation résidentielle. De plus, comme le volume d'eau distribué n'est pas précis (car 2 mois de mesures sont manquants) alors il se peut que ce dernier ait été surestimé/sous-estimé et par conséquent une consommation résidentielle surestimée/sous-estimée. De plus, comme le débit de nuit utilisé pour estimer les pertes les a peut-être sous-estimé/surestimé et par conséquent sous-estimé/surestimé la consommation résidentielle. 
Art 2.3: Comme le volume d'eau distribué n'est pas précis (car les données de 2 mois sont manquantes), plusieurs données qui en découlent ne sont pas précises. Le résultat de validité lui aussi n'est pas précis.
</t>
  </si>
  <si>
    <t>Art 2.3: Il est fortement recommandé d'avoir des données précises et complètes surtout au niveau du volume d'eau total distribué.</t>
  </si>
  <si>
    <t xml:space="preserve">Art 1.3 et Art 2.2 : Pour calculer la consommation résidentielle, un prorata des logements résidentiels et des logements non résidentiels ont été pris en compte.
Sur le réseau, il y a 158 logements résidentiels et 10 immeubles non résidentiels. La consommation résidentielle est estimée par le calcul suivant :
 Consommation non mesurée et facturée * nombre de logements résidentiels / (logements résidentiels  + immeubles non résidentiels) 
30,889 ML *(158 / (158+10))= 29,060 ML.
Art.2.2 : La consommation résidentielle par personne estimée est élevée, car la méthode d'estimation prend la consommation non résidentielle sans compteur d'eau et non relevés au même niveau que la consommation résidentielle.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</si>
  <si>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1.13 et Art 2.2 : Pour calculer la consommation résidentielle, un prorata des logements résidentiels et des branchements non résidentiels a été pris en compte.
Sur le réseau, il y a 256 logements résidentiels et 21 branchements non résidentiels sans compteur d’eau et non relevé. La consommation résidentielle est estimée par le calcul suivant :
Consommation non mesurée et facturée * nombre de logements résidentiels / (logements résidentiels + branchements non résidentiels) 
35,229 ML *(256 / (256 + 21))= 32,558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</si>
  <si>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 1.10 à 1.12 : Ne s'appliquent pas à Hampstead car nous achetons l'eau de la Ville de Montréal.
Art 1.15 : Les pertes d'eau réelles ont fortement variées par rapport à 2018. La consommation mesurée et non facturée est beaucoup plus faible qu'en 2018 malgré que la quantité d'eau distribuée n'est pas diminuée.</t>
  </si>
  <si>
    <t>Art 1.3 : Les immeubles résidentiels sont seulement des maisons unifamiliales (Logements = Immeubles). 
Art 1.13 et Art 2.2 : La consommation résidetielle a été estimée en additionnant la relève des 8 CE résidentiel des résidences qui sont desservies par le réseau North Hatley et la consommation non mesurée facturée
Art 1.15: Une fuite de 28l/m sept à dec.  a été difficile à détecter. Les PER sont bonifiés de 4,838 ML pour tenir compte du volume perdu par cette fuite.</t>
  </si>
  <si>
    <t xml:space="preserve">Art 1.13 et Art 2.2 : Pour calculer la consommation résidentielle, un prorata des logements résidentiels et des branchements non résidentiels a été pris en compte.
Sur le réseau, il y a 1 094 logements résidentiels et 152 branchements non résidentiels sans compteur d’eau et non relevé. La consommation résidentielle est estimée par le calcul suivant :
Consommation non mesurée et facturée * nombre de logements résidentiels / (logements résidentiels + branchements non résidentiels) 
270,549 ML *(1 094 / (1 094 + 152))= 237,545 ML.
Art.1.14, 1.13 et 2.2 : Il y a une diminution du volume d’eau distribué par rapport au bilan 2018. Cela s'explique par la sensibilisation des citoyens. Cela diminue également la consommation résidentielle estimée.
Art. 1.15 et 2.2 : Le débit de nuit a augmenté par rapport au bilan 2018 et cela explique l'augmentation des pertes d'eau réelles. Le fait que le débit de nuit soit prit sur une journée peut expliquer cette variation entre 2018 et 2019. Les pertes ayant augmentées, cela fait diminuer la consommation résidentielle estimée.
Art.2.2 : La consommation résidentielle par personne estimée est élevée, car la méthode d'estimation prend la consommation non résidentielle sans compteur d'eau et non relevés au même niveau que la consommation résidentielle. 
</t>
  </si>
  <si>
    <t>La municipalité pourra mieux estimer la consommation résidentielle en installant des compteurs d’eau et en effectuant des relèves.
Il est recommandé de faire une analyse de débit de nuit sur l'ensemble de l'année afin de ne pas surestimer les pertes d'eau réelles. Cela ne sera cependant pas nécessaire après l'installation des compteurs d'eau.</t>
  </si>
  <si>
    <t>Art 1.13 et Art 2.2 : Pour calculer la consommation résidentielle, un prorata des logements résidentiels et des branchements non résidentiels a été pris en compte.
Sur le réseau, il y a 582 logements résidentiels et 17 branchements non résidentiels sans compteur d’eau et non relevé. La consommation résidentielle est estimée par le calcul suivant :
Consommation non mesurée et facturée * nombre de logements résidentiels / (logements résidentiels + branchements non résidentiels) 
162,890 ML *(582 / (582 + 17))= 158,267 ML.
Art.2.1 : L'indice de fuites dans les infrastructures dépasse l'objectif car le débit de nuit fourni prend en compte une part importante du secteur non résidentiel. L'absence d'enregistreur de données pour le secteur non résidentiel empèche une analyse plus poussée du débit de nuit. Il est donc plus que probable que les pertes d'eau soient surestimées du fait de l'utilisation de la méthode des débits de nuit. Cela ne sera plus un problème lors de la mise en place des compteurs d'eau.
Art.2.2 : La consommation résidentielle par personne estimée est élevée, car la méthode d'estimation prend la consommation non résidentielle sans compteur d'eau et non relevés au même niveau que la consommation résidentielle. La présence de nombreuses fermes avec prés de 15 000 têtes de bétail et 180 000 volails sur le réseau explique cette concommation élevée.
Réseau intermunicipal :
Deux puits alimentent trois municipalités, un quartier en zone rural et une entreprise. Il y a donc cinq branchements sur le réseau. Aucun usager n'est branché directement sur la conduite, ils sont inclus dans les réseaux propre à chaque municipalité. La pression est élevée sur le réseau commun. En effet, chaque municipalité possède un réducteur de pression à l'entrée de son réseau. La conduite communue mesure 21 500 m. Les puits appartiennent à Saint-Bruno mais ils se situent sur la municipalité de Hébertville. L'eau va dans une conduite qui se divise en deux, une conduite va vers le grand réservoir qui dessert Saint-Bruno et Hébertville-Station et l'autre conduite va vers Larouche.
Eau distribuée : 931,728 ML
Pertes d'eau réelles (PER) : 15,353 ML
Pertes d'eau réelles inévitables (PERI) : 14,562 ML
Indice de fuites dans les infrastructures (IFI) = 1,1
Résultat de validité des données de l'audit de l'eau AWWA : 70
Aucune action obligatoire n'est à entreprendre sur ce réseau.</t>
  </si>
  <si>
    <t xml:space="preserve">Art 1.13 et Art 2.2 : Pour calculer la consommation résidentielle, un prorata des logements résidentiels et des branchements non résidentiels a été pris en compte.
Sur le réseau, il y a 471 logements résidentiels et 37 branchements non résidentiels actifs sans compteur d’eau et non relevé. La consommation résidentielle est estimée par le calcul suivant :
Consommation non mesurée et facturée * nombre de logements résidentiels / (logements résidentiels + branchements non résidentiels actifs) 
85,033 ML *(471 / (471 + 37))= 78,840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</si>
  <si>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1.13 et Art 2.2 : Pour calculer la consommation résidentielle, un prorata des logements résidentiels et des branchements non résidentiels a été pris en compte.
Sur le réseau, il y a 182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29,403 * (182/(182+13)) = 27,4428 ML 
,
Art.1.14 : Il y a une diminution du volume d’eau distribué par rapport au bilan 2018. Il est à noter que l'estimation de consommation résidentielle comprend la consommation commercial. Il est probable que le secteur commercial a consommé moins d'eau pour l'année 2019.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</si>
  <si>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1.9 :  La pression est élevée sur le réseau. Il existe déjà des postes de réduction de la pression.
Art 1.13 : Valeur basée sur le fichier Outil de lecture des compteurs d'eau.
La municipalité a 43 compteurs d’eau dans le secteur résidentiel.
L'estimation de la consommation résidentielle et des immeubles non résidentiels non munis de compteurs d’eau a été faite à partir de la consommation moyenne par logement (257,53 L/log/d). La municipalité a 55 logements résidentiels dont les branchements sont avec compteur. Il y a donc 252 logements au total - 55 logements avec compteurs = 197 logements sans compteurs. Le calcul suivant est effectué :
Secteur résidentiel sans compteurs : 197 log * 257,53 L/log/d * 365 d/an ÷ 1000 000 L/ML = 18,517 ML/an
On ajoute à cela le 5,196 ML d'eau consommée du secteur résidentiel mesurée par des compteurs
Total = 18,5179 ML/an + 5,196 ML/an = 23,713 ML/an                
Art.1.14 : Il y a une augmentation du volume d’eau distribué par rapport au bilan 2018. Le volume distribué est passé de 75,561 ML en 2018 à 86,124 ML en 2019. Campagne de recherche de fuite 2019 effectuée sur 100 % du réseau via une écoute de toutes les bornes incendie, mais aucune fuite détectée.  À noter toutefois que plusieurs fuites ont été déclarées et réparées au début de l'année 2020 et il est donc  pensable que ces fuites existaient 2019, ce qui pourrait expliquer la hausse de l'eau distribuée.
Art.1.16 : Les PERI ont diminué légèrement, car la pression a légèrement diminué entre 2018 et 2019.
Art.2.1 :L'indice de fuite dans les infrastructures est très élevé. Il est passé de 2,1 en 2018 à 5,5 en 2019. Plusieurs facteurs peuvent être la cause de cela. Premièrement, l'apparition de fuites importantes en 2019, mais qui n'ont pas été détectées dans l'année. Deuxièmement, en 2019 tous les compteurs du secteur Non résidentiel et de l'échantillon du secteur résidentiel ont été installés, par conséquent le volume consommé étant assez précis, les PER sont devenus aussi plus précis on peut donc penser que l'IFI de 2018  sous-estimait peut être les PER. Troisièmement, les usages municipaux ont peut-être été aussi sous-estimés. En effet dans l'AWWA on a considéré un volume pour les usages municipaux à 1,25% du volume total distribué. Sauf que si les usages municipaux sont en réalité plus importante, mais qu'ils n'ont pas été pris en compte (par exemple, l'existence d'une purge permanente sur le réseau dont le volume d'eau n'a pas été comptabilisé) .Alors ce volume ''en trop'' est automatiquement assigné aux PER et donc un IFI plus important.
Art 2.2 : Il y a une importante diminution de la consommation résidentielle par rapport au bilan 2018. En effet, l'installation de compteur a probablement contribué à l'affinement de la valeur de la consommation résidentielle réelle. De plus en 2018 il n'y avait pas compteurs par conséquent les usages municipaux ''en trop'' (non inclus dans le 1,25% du volume produit) été automatiquement lié à de la consommation Non mesurée et facturée (par conséquent à de la consommation résidentielle). En 2019 comme le calcul de la consommation Non mesurée et facturée (et donc de la consommation résidentiel) s'est fait à partir des compteurs d'eau nouvellement installés, les usages municipaux ''en trop'' en 2019 n'ont pas été inclus dans de la consommation, mais dans les pertes d'eau.
</t>
  </si>
  <si>
    <t xml:space="preserve">Art 1.13 et Art 2.2 : Pour calculer la consommation résidentielle, un prorata des logements résidentiels et des immeubles non résidentiels a été pris en compte.
Sur le réseau, il y a 11 050 logements résidentiels et 527 immeubles non résidentiels sans compteur d’eau et non relevé. La consommation résidentielle est estimée par le calcul suivant :
Consommation non mesurée et facturée * nombre de logements résidentiels / (logements résidentiels  + immeubles non résidentiels) 
2 660,645 ML *(11 050 / (11 050 + 527))= 2 539,529 ML.
</t>
  </si>
  <si>
    <t>Art 1.13 et 2.2: La consommation résidentielle est estimée avec les relèves 2019 de l’échantillon des 109 compteurs résidentiels permanents. Les résidences permanentes non relevées ont des compteurs, mais ceux-ci ont plus de 20 ans et sont défectueux.
Art.1.15 : Les pertes d’eau réelles ont augmenté par rapport au bilan 2018 (10,596 ML). Le changement de plusieurs compteurs d'eau en 2019 a permis de rafiner les données sur la consommation d'eau, ce qui pourrait expliquer cette variation.
Art 2.3 : Résultat de 38 dû à une cote de 3 attribuée au volume d'eau produite, car le débitmètre n’a pas été vérifié en 2019. Afin d'augmenter cette cote, les débitmètres devrait être vérifié annuellement tout en s’assurant de respecter les conditions d’installation du manufacturier.</t>
  </si>
  <si>
    <t>Art. 1.9 : Petit réseau mais valonneux. La pression est prise 5 fois par semaine sur manomètre. 40 PSI quand la pompe est fermée, 64 PSI losqu'elle pompe. Réseau gravitaire à environ 50% du temps donc pas de grandes pressions.
Art 1.13 et Art 2.2 : Pour calculer la consommation résidentielle, un prorata des logements résidentiels et des branchements non résidentiels a été pris en compte.
Sur le réseau, il y a 75 logements résidentiels et 14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16,184 ML *(75 / (75 + 14)) = 13,638 ML.
Il y a ainsi une augmentation de la consommation résidentielle par rapport au bilan 2018, puisque la méthode de calcul a changé. En effet, en 2018, la consommation résidentielle a été estimée à 20% de la consommation non mesurée et facturée.
Art 1.14 : Il y a une diminution du volume d’eau distribué par rapport au bilan 2018. Le débitmètre n’a pas été vérifié. Par conséquent, l’erreur associée au volume d’eau distribué n’est pas connue. De plus, puisque le réseau est petit, l’eau distribuée fluctue beaucoup en raison des fuites qui peuvent apparaître et des délais de réparations. En 2018, il y a eu 1 réparation alors qu'il n'y a eu aucune fuite détectée en 2019. La diminution du volume d'eau distribuée par rapport à 2018 reste cependant considérable. Il est donc important pour la municipalité de bien conserver ses données et de faire une vérification de débitmètre annuellement.</t>
  </si>
  <si>
    <t xml:space="preserve">Art 1.13 et Art 2.2 : Pour calculer la consommation résidentielle, un prorata des logements résidentiels et des branchements non résidentiels a été pris en compte.
Sur le réseau, il y a 606 logements résidentiels et 46 branchements non résidentiels sans compteur d’eau et non relevé. La consommation résidentielle est estimée par le calcul suivant :
Consommation non mesurée et facturée * nombre de logements résidentiels / (logements résidentiels + branchements non résidentiels) 
92,696 ML *(606 / (606 + 46))= 86,156 ML.
Art.1.14 : Il y a une diminution du volume d’eau distribué par rapport au bilan 2018. La population est sensibilisée à l’usage de l’eau et fait attention à sa consommation. 
Art.2.1 : L'indice de fuites dans les infrastructures dépasse l'objectif. Les pertes d'eau réelles ont été déterminées à partir du débit de nuit minimum et ce dernier est assez élevé.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</si>
  <si>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1.4 : L’estimation 2019 du nombre de personnes par logements de statistique Canada sous-estime la population résidentielle desservie et occupée de façon permanente. Une population de 140 personnes est plus représentative.
Art 1.13 et Art 2.2 : Pour calculer la consommation résidentielle, un prorata des logements résidentiels et des branchements non résidentiels a été pris en compte.
Sur le réseau, il y a 54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7,127 ML *(54 / (54 +4))= 6,635 ML.
Art.2.1 : L'indice de fuites dans les infrastructures est faible, car le réseau est petit. Les pertes d'eau indiquées dans ce bilan proviennent du débit minimum 2017 et celui-ci est faible.
Art 2.2:  La consommation résidentielle est estimée depuis 2018.  L'eau distribuée a augmenté à cause des travaux d'entretien, mais les débits de nuits utilisés sont tirés de 2017.  Donc, les pertes d'eau ne reflètent pas les nouveaux développements. De plus, l'ajustement de la population impacte les indicateurs de performance. 
Art 2.3 : Résultat de 45 dû à une cote de 3 attribuée au volume d'eau produite, car le débitmètre n’a pas été vérifié. Afin d'augmenter cette cote, les débitmètres devraient être vérifiés annuellement tout en s’assurant de respecter les conditions d’installation du manufacturier.
</t>
  </si>
  <si>
    <t>Art 1.3 : Donnée modifiée selon le rôle d'évaluation foncière. Le décret de population du gouvernement pour 2019 est de 20 298</t>
  </si>
  <si>
    <t xml:space="preserve">Au point 1.4, nous avons mis 3.00 pers/log au lieu de 1.77 pers/log, la majorité des résidences desservis par le réseau étant composé de jeunes famille de 3 à 4 personnes. De plus plusieurs résidences sont des résidences secondaires avec un nombre de personnes par logement faible.
Art.1.5: selon la municipalité une population desservie de 894 est représentatif cela confirme bien l'hypothèse de 3.00 pers/log au lieu de 1.77 pers/log
Art 1.13 et Art 2.2 : Pour calculer la consommation résidentielle, un prorata des logements résidentiels et des branchements non résidentiels (sans compteurs) a été pris en compte.
Sur le réseau, il y a 298 logements résidentiels et 8 branchements non résidentiels sans compteur d’eau et non relevé . La consommation résidentielle est estimée par le calcul suivant :
Consommation non mesurée et facturée * nombre de logements résidentiels / (logements résidentiels + branchements non résidentiels sans mesure de compteurs ) 
60,420 ML *(298/ (298 + 8))= 58,840 ML.
Art.1.14 : Il y a une diminution du volume d’eau distribué par rapport au bilan 2018. Une fuite a été réparée durant l’année 2019. Ceci a diminué l’eau distribuée. Cependant on remarque que les pertes réelles (PER) n'ont pas diminué, mais ont augmenté ce qui semble un peu aberrant. (voir prochain commentaire) 
Art.1.15 : Les pertes d’eau réelles ont augmenté par rapport au bilan 2018 (4 112 ML). Après analyse du bilan 2018, il s'avère que le débit de nuit utilisé pour calculer les PER de 2018 est de 24 m3/jour (donnée de 2017). Ainsi on peut dire que les PER ont augmenté entre 2017 et 2019 à cause de l'apparition de fuites. Une de ces fuites a été réparée en 2019 et cela a baissé le volume d'eau distribué. Comme les PER de 2018 ont été évaluées à partir du débit de nuit de 2017, il est difficile de comparer les PER entre 2018 et 2019, mais plutôt entre 2017 et 2019.
Art.2.1 : L'indice de fuites dans les infrastructures est faible, car le réseau est petit. La municipalité peut donc détecter rapidement l’apparition des fuites avec l’analyse de débits de nuit. Elle peut ensuite les localiser et les réparer rapidement. De plus l'IFI a augmenté de 0,7 en 2018  à 1,0 en 2019. Il faut noter que l'IFI de 2018 a été obtenu à l'aide le débit de nuit de 2017 par conséquent on peut supposer qu'il y a eu de nouvelles fuites entre 2017 et 2019 cependant il  faut noter qu'en 2018 la méthode de calcul de l'IFI n'est pas la même qu'en 2019 . Pour éviter d'importante variation au niveau de l'IFI, la municipalité peut se servir des données des débits de nuits sur l’ensemble de l’année plutôt que le débit minimal d'une journée de l'année comme ça a était le cas au bilan 2019 et les précédents.
Art 2.2 : Il y a une diminution de la consommation résidentielle par rapport au bilan 2018. Pour un volume d'eau, distribuer sensiblement le même entre 2018 et 2019; le volume consommé par personne par jour est passé de 360 l/pers./jour en 2018 à 180 l/pers./jour en 2019. On peut expliquer cela par le fait qu'en 2018 le nombre de personnes par logement était de 1,77 (valeur de StatCan) alors que depuis le bilan de 2017 la municipalité considère que 3pers/log est plus représentatif pour cette municipalité. Par conséquent le nombre d'habitants a augmenté et donc la consommation par personne par jour à diminuer.
</t>
  </si>
  <si>
    <t>Pour eviter d'importante variation au niveau de l'IFI, la municipalité peut se servir des données des débits de nuits sur l’ensemble de l’année plutôt que le débit minimale d'une journée de l'année comme ca a était le cas au bilan 2019 et les précedents.</t>
  </si>
  <si>
    <t xml:space="preserve">Art 1.13 et Art 2.2 : Pour calculer la consommation résidentielle, un prorata des logements résidentiels et des immeubles non résidentiels a été pris en compte.
Sur le réseau, il y a 618 logements résidentiels et 77 immeubles non résidentiels sans compteur d’eau et non relevé. La consommation résidentielle est estimée par le calcul suivant :
Consommation non mesurée et facturée * nombre de logements résidentiels / (logements résidentiels  + immeubles non résidentiels) 
136,274 ML *(618 / (618 + 77))= 121,176 ML.
Art.1.14 : Il y a une augmentation du volume d’eau distribué par rapport au bilan 2018. Cela s'explique par la présence d'une fuite depuis janvier et réparée en octobre.
Art.1.15 : Les pertes d’eau réelles ont augmenté par rapport au bilan 2018 (45,625 ML). Cela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t>
  </si>
  <si>
    <t xml:space="preserve">Art 1.3 : Il y a eu erreur concernant le nombre de logements dans les formulaires antérieurs, le nombre de logements 2019 est la valeur corrigée soit 178 logements desservis et occupés de façon permanente. Ce nombre provient du rapport de taxation et il est plus représentatif.
Art 1.13 et Art 2.2 : Pour calculer la consommation résidentielle, un prorata des logements résidentiels et des branchements non résidentiels a été pris en compte.
Sur le réseau, il y a 178 logements résidentiels et 24 branchements non résidentiels actifs sans compteur d’eau et non relevé. La consommation résidentielle est estimée par le calcul suivant :
Consommation non mesurée et facturée * nombre de logements résidentiels / (logements résidentiels + branchements non résidentiels actifs) 
36,767 ML *(178 / (178 + 24)) = 32,399 ML.
De plus, il est à noter que la diminution de la quantité d'eau distribuée a comme conséquence de diminuer la consommation résidentielle calculée.
Art.1.14 : Il y a une diminution du volume d’eau distribué par rapport au bilan 2018. Le débitmètre n’a pas été vérifié. Par conséquent, l’erreur associée au volume d’eau distribué n’est pas connue. De plus, puisque le réseau est petit, l’eau distribuée fluctue beaucoup en raison des fuites qui peuvent apparaître et des délais de réparations. En 2019, il n'y a eu qu'une seule fuite qui a été réparée rapidement. En 2018, on dénombrait 4 fuites, dont 3 avec un délai de réparation moyen de 15 jours.
Art 2.1 : L'indice de fuites dans les infrastructures est faible, car le réseau est petit. Les faibles pertes d’eau réelles ont été déterminées à partir des données de débits de nuit de 2017, la mise aux normes empêchant de prendre des données depuis 2018. La relève des compteurs permettrait cependant d'avoir un portrait plus fidèle de la consommation, et donc des pertes.
Art 2.3 : Résultat de 44 dû à une cote de 5 attribuée au volume d'eau produite, car le débitmètre n’a pas été vérifié. Afin d'augmenter cette cote, le débitmètre devrait être vérifié annuellement tout en s’assurant de respecter les conditions d’installation du manufacturier. De plus, la majorité des compteurs d'eau sont installés, mais non relevés. La relève des compteurs permettrait donc d'augmenter le résultat de validité global des données de l'audit de l'eau.
</t>
  </si>
  <si>
    <t>Art.1.13 : La consommation résidentielle a été mesurée par des compteurs d'eau.
Art 2.1 : On remarque une baisse de l'IFI, qui s'explique par la réparation de quelques fuites.
Art 2.2 : Il est difficile de justifier l'augmentation de la consommation résidentielle, mais celle ci est entièrement mesurée par les compteurs d'eau à la consommation.</t>
  </si>
  <si>
    <t xml:space="preserve">Art 1.3 : Le nombre de logements résidentiels a changé depuis 2019, car il a précédemment été inscrit le nombre de branchements de services plutôt que le nombre de logements résidentiels desservis et occupés de façon permanente. (31 branchements de service et 23 logements).
Art 1.7: Il y a 31 branchements pour 23 logements et 4 branchements non résidentiels. Donc il y a des branchements inactifs.
Art 1.13 et Art 2.2 : Pour calculer la consommation résidentielle, un prorata des logements résidentiels et des branchements non résidentiels a été pris en compte.
Sur le réseau, il y a 23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3,204 ML *(23 / (23 + 4))= 2729 ML.
Art.1.14 : Il y a une diminution du volume d’eau distribué par rapport au bilan 2018. Puisque le réseau est petit, l’eau distribuée fluctue beaucoup.
Art.1.15 : Les pertes d’eau réelles ont diminué par rapport au bilan 2018 (elles étaient de 0,869 ML).D'une part les hypothèses de consommation de nuit ont changé et d'autre part le débit de nuit en 2019 est plus petit que celui en 2018 probablement à cause de variation imprévisible de ce dernier dans un petit réseau.
Art.2.1 : L'indice de fuites dans les infrastructures est faible, car le réseau est petit. Les PERI ne sont probablement pas très représentatifs. 
Art 2.2 : Tout comme l'année précédente, ce réseau comporte une faible consommation par personne par jour. Cet indicateur est faible, car il s'agit d'un réseau comportant de petites maisons consommant peu. La consommation résidentielle a diminué, car l'eau distribuée a diminué, car la consommation fluctue beaucoup.
Art 2.3 : Résultat de 44  dû à une cote de 5 attribuée au volume d'eau produite, car l'imprécision du débitmètre est plus grande que +/-6%. Afin d'augmenter cette cote, l'installation du débitmètre devrait respecter les conditions d’installation du manufacturier et respecter une erreur de lecture de moins de +/- 6%.
</t>
  </si>
  <si>
    <t>Art 1.8: Pression prise en fonction des pressions statique des bornes fontaines et des hauteurs de ces dernières sont prises pour l'ensemble des réseaux. Toutefois, la pression moyenne du réseau est assez élevée en raison du terrain montagneux. Il y a d'ailleurs plusieurs chambre de régulation de pression sur l'ensemble du territoire.
Art 1.13: L'estimation de la consommation résidentielle a été effectuée en séparant la consommation «Non mesurée et facturée» de l'audit de l'eau AWWA (188.297 ML/an) en deux selon la proportion de logements résidentiels (735) et le nombre d'immeubles non résidentiels sans compteurs ou avec compteurs mais non relevé (103). 
Consommation résidentielle : 188.297 ML/an * 735 / (735+103)  = 165.153 ML/an = 325 l/pers/d
Cette estimation sera raffinée au courant des prochaines années grâce à l'installation de compteurs d'eau.</t>
  </si>
  <si>
    <t>Art 1.8: Pression prise en fonction des pressions statique des bornes fontaines et des hauteurs de ces dernières sont prises pour l'ensemble des réseaux. Toutefois, la pression moyenne du réseau est assez élevée en raison du terrain montagneux. Il y a d'ailleurs plusieurs chambre de régulation de pression sur l'ensemble du territoire.
Art 2.2: L'estimation de la consommation résidentielle a été effectuée en séparant la consommation «Non mesurée et facturée» de l'audit de l'eau AWWA (332.697 ML/an) en deux selon la proportion de logements résidentiels (1518) et le nombre d'immeubles non résidentiels sans compteurs (78). 
Consommation résidentielle : 332.697 ML/an * 1518 / (1518+78)  = 316,437 ML/an = 301 l/pers/d
Cette estimation sera raffinée au courant des prochaines années grâce à l'installation de compteurs d'eau.</t>
  </si>
  <si>
    <t xml:space="preserve">Art 1.8: Pression prise en fonction des pressions statique des bornes fontaines et des hauteurs de ces dernières sont prises pour l'ensemble des réseaux. Toutefois, la pression moyenne du réseau est assez élevée en raison du terrain montagneux. Il y a d'ailleurs plusieurs chambre de régulation de pression sur l'ensemble du territoire.
Art 2.2: L'estimation de la consommation résidentielle a été effectuée en séparant la consommation «Non mesurée et facturée» de l'audit de l'eau AWWA (116.939 ML/an) en deux selon la proportion de logements résidentiels (509) et le nombre d'immeubles non résidentiels sans compteurs (84). 
Consommation résidentielle : 116.939 ML/an * 509 / (509+84)  = 100.374 ML/an = 285 l/pers/d
Cette estimation sera raffinée au courant des prochaines années grâce à l'installation de compteurs d'eau.
Ce réseau alimente principalement des immeubles résidentiels, d'hébergement (Manoir et Casino de Charlevoix) et de restauration ainsi qu'un CÉGEP. </t>
  </si>
  <si>
    <t>Art 1.8: Pression prise en fonction des pressions statique des bornes fontaines et des hauteurs de ces dernières sont prises pour l'ensemble des réseaux. Toutefois, la pression moyenne du réseau est assez élevée en raison du terrain montagneux. Il y a d'ailleurs plusieurs chambre de régulation de pression sur l'ensemble du territoire.
L'estimation de la consommation résidentielle a été effectuée en séparant la consommation «Non mesurée et facturée» de l'audit de l'eau AWWA (68.307 ML/an) en deux selon la proportion de logements résidentiels (509) et le nombre d'immeubles non résidentiels sans compteurs (84). 
Consommation résidentielle : 68.207 ML/an * 375 / (375+11)  = 66.263 ML/an = 255 l/pers/d
Cette estimation sera raffinée au courant des prochaines années grâce à l'installation de compteurs d'eau.</t>
  </si>
  <si>
    <t xml:space="preserve">Art 1.8: Pression prise en fonction des pressions statique des bornes fontaines et des hauteurs de ces dernières sont prises pour l'ensemble des réseaux. Toutefois, la pression moyenne du réseau est assez élevée en raison du terrain montagneux. Il y a d'ailleurs plusieurs chambre de régulation de pression sur l'ensemble du territoire.
Art 2.2: L'estimation de la consommation résidentielle a été effectuée en séparant la consommation «Non mesurée et facturée» de l'audit de l'eau AWWA (35.663 ML/an) en deux selon la proportion de logements résidentiels (145) et le nombre d'immeubles non résidentiels sans compteurs (15). 
Consommation résidentielle : 35.663 ML/an * 145 / (145+15)  = 32.320 ML/an = 322 l/pers/d
Cette estimation sera raffinée au courant des prochaines années grâce à l'installation de compteurs d'eau.
Ce réseau alimente une fromagerie. Également, l'hiver froid a obligé plusieurs propriétaires à faire couler l'eau pendant une partie de la saison afin d'éviter que l'eau gèle sur la conduite privée. </t>
  </si>
  <si>
    <t>Art 2.2: L'estimation de la consommation résidentielle a été effectuée en séparant la consommation «Non mesurée et facturée» de l'audit de l'eau AWWA (18.883 ML/an) en deux selon la proportion de logements résidentiels (62) et le nombre d'immeubles non résidentiels sans compteurs (5). 
Consommation résidentielle : 18.883 ML/an * 62 / (62+5)  = 17.474 ML/an = 407 l/pers/d
Cette estimation sera raffinée au courant des prochaines années grâce à l'installation de compteurs d'eau.
Ce réseau alimente en grande partie des immeubles résidentiels et un élevage porcin.</t>
  </si>
  <si>
    <t xml:space="preserve">Art 1.4 : L’estimation 2019 du nombre de personnes par logements de statistique Canada sous-estime la population résidentielle desservie et occupée de façon permanente. Une population de 258 personnes est plus représentative.
Art 1.9: La pression est élevée, car c'est la pression à la sortie de l'usine et que le réseau se trouve en zone montagneuse.
Art 1.13 et Art 2.2 : Pour calculer la consommation résidentielle, un prorata des logements résidentiels et des branchements non résidentiels a été pris en compte.
Sur le réseau, il y a 86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32,164 ML *(86 / (86 + 14))= 27,661 ML.
Art.1.14 : Il y a une diminution du volume d’eau distribué par rapport au bilan 2018. Puisque le réseau est petit, l’eau distribuée fluctue beaucoup en raison des fuites qui peuvent apparaître et des délais de réparations. De plus, 2 fuites ont été réparées durant l’année 2018. Ceci a diminué les pertes d’eau réelles et l’eau distribuée. 
Art.1.15 : Les pertes d’eau réelles ont diminuées par rapport au bilan 2018 (diminution de  6,883 ML), en effet la municipalité a réparé 2 fuites en 2018.
Art.2.1 : L'indice de fuites dans les infrastructures est faible, car le réseau est petit. La municipalité peut donc détecter rapidement l’apparition des fuites avec l’analyse de débits de nuit. Elle peut ensuite les localiser et les réparer rapidement. 
</t>
  </si>
  <si>
    <t>Art 1.4 : Le nombre de logements et la population sont les mêmes qu’en 2018. L’estimation 2018 du nombre de personnes par logement est utilisée.
Art 1.9 et 1.16 : La pression a changé par rapport au Bilan 2018, car cette année elle indique la moyenne des pressions aux poteaux inecendi plutôt que la sortie de l'usine.
Art 1.13 et Art 2.2 : Pour calculer la consommation résidentielle, un prorata des logements résidentiels et des branchements non résidentiels a été pris en compte.
Sur le réseau, il y a 210 logements résidentiels et 25 branchements non résidentiels sans compteur d’eau et non relevé. La consommation résidentielle est estimée par le calcul suivant :
Consommation non mesurée et facturée * nombre de logements résidentiels / (logements résidentiels + branchements non résidentiels) 
42,829ML * (210 / (210 + 25)) = 38,273 ML.
Art 1.15 et L'apparaition de plusieurs fuites sur le réseau dont une importante sur une conduite de 4 de pouce ont augmenter les pertes d'eau de l'année 2019. Des investissements sont aussi prévus pour la remise à neuf d'un tronçon problématique, voir onglet Coûts Art 4.1.</t>
  </si>
  <si>
    <t xml:space="preserve">Art. 1.9 : La pression est élevée sur le réseau afin de pouvoir assurer une pression minimale au CÉGEP et à l'hôpital.
Art 1.13 et Art 2.2 : Pour calculer la consommation résidentielle, un prorata des logements résidentiels et des immeubles non résidentiels a été pris en compte.
Sur le réseau, il y a 2210 logements résidentiels et 110 immeubles non résidentiels sans compteur d’eau et non relevé. La consommation résidentielle est estimée par le calcul suivant :
Consommation non mesurée et facturée * nombre de logements résidentiels / (logements résidentiels  + immeubles non résidentiels) 
372,829 ML *(2210 / (2210 + 110))= 355,152 ML.
Art. 1.14 : Le volume distribué par personne est élevé. La municipalité fourni de l'eau à un CÉGEP de 1000 étudiants et à un hôpital.
Art.1.15 : Les pertes d’eau réelles ont augmentées par rapport au bilan 2018 (199,275 ML). 19 fuites ont été constatées et réparées en 2019, soit une augmentation par rapport à 2018 (14).
Art.2.2 : La consommation résidentielle par personne estimée est élevée, car la méthode d'estimation prend la consommation non résidentielle sans compteur d'eau et non relevés au même niveau que la consommation résidentielle.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</si>
  <si>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1.13 et Art 2.2 : Pour calculer la consommation résidentielle, un prorata des logements résidentiels et des branchements non résidentiels a été pris en compte.
Sur le réseau, il y a 10 961 logements résidentiels et 73 branchements non résidentiels actifs sans compteur d’eau et non relevé. La consommation résidentielle est estimée par le calcul suivant :
Consommation non mesurée et facturée * nombre de logements résidentiels / (logements résidentiels + branchements non résidentiels actifs) 
2 957,214 ML *(10 961 / (10 961 + 73))= 2 937,649 ML.
Art.1.14 : Il y a une diminution du volume d’eau distribué par rapport au bilan 2018 (4 022,490 ML). 
Art.1.15 et Art.2.1 : L'écart entre les pertes d'eau réelles 2018 et 2019 s'explique par la bonification des hypothèses utilisées. Les consommations de nuit utilisées ont été mises à jour afin de mieux estimer les pertes d’eau réelles à partir du débit de nuit minimum. De plus, une donnée débit de nuit a été prise plutôt que des données sur l’ensemble de l’année 2019. En 2020, afin de bien estimer les pertes d’eau la municipalité peut se servir des données des débits de nuits sur l’ensemble de l’année.
Art.1.13 et Art.2.2 : Il y a une diminution de la consommation résidentielle par rapport au bilan 2018. En effet, l'installation de compteurs d'eau dans le secteur non résidentiel a permis de commencer à séparer la consommation non résidentielle de la consommation résidentielle. De plus, la bonification des hypothèses utilisées pour l’estimation des pertes d’eau réelles a entrainé une hausse des pertes d’eau et par conséquent une diminution de la consommation résidentielle. </t>
  </si>
  <si>
    <t xml:space="preserve">Art 1.3 : La variation du nombre de logements entre 2018 et 2019 est confirmée par la municipalité. Il est à noter que cette variation impacte les indicateurs de performances. 
Art 1.13 : Consommation résidentielle estimée selon la relève des compteurs d'eau pour l'année 2018.
Art 1.16 &amp; 2.1 : On remarque une baisse des PERI. En effert, ces dernières dépendent de la pression qui a baissé au bilan 2019. Celle utilisée représente la moyenne des pressions statiques aux poteaux incendie alors qu'en 2018, la pression  à l'entrée du réseau avait été utilisée. Ainsi, la baisse des PERI a engendré l'augmentation de l'IFI pour 2019. Il est à noter que la municipalité atteint son objectif au niveau du contrôle des pertes d'eau avec un IFI de 2,5 pour une valeur maximale acceptée de 3,0. </t>
  </si>
  <si>
    <t>Art 1.3 : Les immeubles résidentiels sont seulement des maisons unifamiliales (Logements = Immeubles). 
Art 1.13 et Art 2.2 : Pour calculer la consommation résidentielle, un prorata des logements résidentiels et des branchements non résidentiels a été pris en compte.
Sur le réseau, il y a 115 logements résidentiels et 1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13,177 ML *(115 / (115 + 1))= 13,063 ML.
Art 1.14 : La très faible quantité d'eau distribuée par personne dans la municipalité s'explique par la présence de seulement 1 commerce qui ne consomme pas beaucoup d’eau. De plus, il s'agit d'un réseau comportant de petites maisons consommant peu selon la municipalité.
Art 2.3 : Résultat de 38 dû à une cote de 3 attribuée au volume d'eau produite, car le débitmètre n’a pas été vérifiés. Afin d'augmenter cette cote, les débitmètres devrait être vérifié annuellement tout en s’assurant de respecter les conditions d’installation du manufacturier.</t>
  </si>
  <si>
    <t xml:space="preserve">Art 1.13 et Art 2.2 : Pour calculer la consommation résidentielle, un prorata des logements résidentiels et des branchements non résidentiels a été pris en compte.
Sur le réseau, il y a 2130 logements résidentiels et 289 branchements non résidentiels sans compteur d’eau et non relevé. La consommation résidentielle est estimée par le calcul suivant :
Consommation non mesurée et facturée * nombre de logements résidentiels / (logements résidentiels + branchements non résidentiels) 
666,816 ML *(2130 / (2130 + 289))= 587,150 ML.
Art.1.15 : Les pertes d’eau réelles ont augmenté par rapport au bilan 2018 (204,03 ML).  Le pression est eléveé par rapport au bilan 2018; 68 mètres d'eau vs 49.  Cette augmentation a augmenter les pertes réelles.
Art. 2.2: En 2018, les débits de nuit était calculés pour seulement 4 mois dans l’automne, donc la valeur des PER et consommation n’est pas fiable.  Les PER en 2019 sont calculés avec les débits journalière de toute l’année, donc la valeur est plus grand, car les mois d’été sont inclue.
</t>
  </si>
  <si>
    <t>Art 1.13 et Art 2.2 : Pour calculer la consommation résidentielle, un prorata des logements résidentiels et des branchements non résidentiels a été pris en compte.
Sur le réseau, il y a 95 logements résidentiels et 12 branchements non résidentiels actifs sans compteur d’eau et non relevé. La consommation résidentielle est estimée par le calcul suivant :
Consommation non mesurée et facturée * nombre de logements résidentiels / (logements résidentiels + branchements non résidentiels actifs) 
25,828 ML *(95  / (95 + 12))= 22,931 ML.
La consommation résidentielle par personne estimée est élevée, car la méthode d'estimation prend la consommation non résidentielle sans compteur d'eau et non relevés au même niveau que la consommation résidentielle. La portion non résidentielle est ensuite déduite. La municipalité pourra mieux estimer la consommation résidentielle en installant des compteurs d’eau et en effectuant des relèves.
Art 1.15, 1.13 et 2.1: Les pertes d'eau provienent du débit de nuit 2016, les données 2019 n'étant pas disponibles. Cela influe sur la consommation résidentielle, car il y a dissociatio entre les pertes et l'eau distribuée. Les débit de nuit 2021 seront demandés au prochain Bilan.</t>
  </si>
  <si>
    <t>Art 1.13 et Art 2.2 : Pour calculer la consommation résidentielle, un prorata des logements résidentiels et des branchements non résidentiels a été pris en compte.
Sur le réseau, il y a 192 logements résidentiels et 40 branchements non résidentiels actifs sans compteur d’eau et non relevé. La consommation résidentielle est estimée par le calcul suivant :
Consommation non mesurée et facturée * nombre de logements résidentiels / (logements résidentiels + branchements non résidentiels actifs) 
45,840 ML * 192 / (192 + 40)= 37,937 ML.
La consommation résidentielle par personne estimée est élevée, car la méthode d'estimation prend la consommation non résidentielle sans compteur d'eau et non relevés au même niveau que la consommation résidentielle. La portion non résidentielle est ensuite déduite. La municipalité pourra mieux estimer la consommation résidentielle en installant des compteurs d’eau et en effectuant des relèves.
Art 1.15, 1.13 et 2.1: Les pertes d'eau provienent du débit de nuit 2016, les données 2019 n'étant pas disponibles. Cela influe sur la consommation résidentielle, car il y a dissociatio entre les pertes et l'eau distribuée. Les débit de nuit 2021 seront demandés au prochain Bilan.sera demandé au prochain Bilan</t>
  </si>
  <si>
    <t xml:space="preserve">Art 1.3 : Le nombre de logements résidentiels a changé depuis 2019, car il a précédemment été inscrit le nombre de branchements de services plutôt que le nombre de logements résidentiels desservis et occupés de façon permanente. 
Art.1.9 : La pression moyenne de ce réseau est élevée à cause de la topographie. 
Art 1.13 et Art 2.2 : Pour calculer la consommation résidentielle, un prorata des logements résidentiels et des branchements non résidentiels a été pris en compte.
Sur le réseau, il y a 4 803 logements résidentiels et 171 branchements non résidentiels actifs sans compteur d’eau et non relevé. La consommation résidentielle est estimée par le calcul suivant :
Consommation non mesurée et facturée * nombre de logements résidentiels / (logements résidentiels + branchements non résidentiels actifs) 
=1795,653 ML * (4 083 / (4 083 + 171)) = 1 733,920 ML.
Art.2.2 et Art.2.3 :  La consommation résidentielle par personne estimée est élevée, car les usagers laissent couler l'eau durant l'hiver (environ 151 jours de l'année) pour éviter le gel de leurs conduites. Cette consommation représente environ 60% de la consommation résidentielle de ce réseau. Ceci explique aussi pouquoi la quantité d'eau distribuée par personne est élevée.
De plus, la méthode d'estimation prend la consommation non résidentielle sans compteur d'eau et non relevée au même niveau que la consommation résidentielle. La portion non résidentielle est ensuite déduite. La municipalité pourra mieux estimer la consommation résidentielle en installant des compteurs d’eau et en effectuant des relèves.
</t>
  </si>
  <si>
    <t>Art.1.13 : La consommation résidentielle a été mesurée par des compteurs d'eau et par extrapolation lorsque la relève n'a pas été faite ou n'est pas exploitable.
Art.2.1 : L'indice de fuites dans les infrastructures est faible, car le réseau est petit. La municipalité peut donc détecter rapidement l’apparition des fuites avec l’analyse de débits de nuit. Elle peut ensuite les localiser et les réparer rapidement. De plus l'IFI a diminué par rapport à 2018. Puisque tous les compteurs d'eau n'ont pas été relevés et certains ne sont pas exploitables. Ce qui a pour incidence d'augmenter cette année la consommation résidentielle et faire baisser l'IFI.
Art 2.2 : Il y a une augmentation de la consommation résidentielle par rapport au bilan 2018. Puisque la relève des compteurs est incomplète et pas totalement exploitable. Ainsi l'estimation faite cette année sur les logements n'ayant pas de données fait augmenter la consommation résidentielle.</t>
  </si>
  <si>
    <t>La municipalité pourrait mieux estimer la consommation résidentielle en effectuant des relèves.</t>
  </si>
  <si>
    <t>Art 1.3 et Art 1.5 : Le nombre de logements desservis a été revu à la baisse cette année, ainsi la population desservie diminue par conséquent.
Art.1.13 : La consommation résidentielle a été mesurée par des compteurs d'eau.
Art.1.14 : Il y a une diminution du volume d’eau distribué par rapport au bilan 2018 ainsi que la quantité d'eau distribuée par personne. Ceci peut s'expliquer du fait que le débitmètre à l'exportation vers Saint Monique n’a pas été vérifié. Par conséquent, l’erreur associée au volume d’eau distribué n’est pas connue. Mais aussi que la population est sensibilisée à l’usage de l’eau et fait attention à sa consommation. 
Art.2.1 : L'indice de fuites dans les infrastructures est faible, car le réseau est petit. La municipalité peut donc détecter rapidement l’apparition des fuites avec l’analyse de débits de nuit. Elle peut ensuite les localiser et les réparer rapidement. De plus, le calcul des PERI (art 1.16) comporte certaines imprécisions pour des municipalités ayant peu de consommations et un grand réseau. Ce biais peut aussi impacter ce faible IFI. Pour conclure, les données de volumes d'eau exportés à Sainte Monique sont issues d'un débitmètre non vérifié. Celui-ci surcompte possiblement les volumes distribués vers Sainte-Monique ce qui sous-compte le volume distribué à la Visitation de Yamaska. Ainsi il est fortement conseillé de vérifier le débitmètre à l'exportation vers Sainte Monique afin d’améliorer la précision du bilan et d’orienter adéquatement les actions à entreprendre dans la municipalité.</t>
  </si>
  <si>
    <t xml:space="preserve">Art 1.3 : Les immeubles résidentiels sont seulement des maisons unifamiliales (Logements = Immeubles = branchement). 
Art 1.3 : Il y a eu erreur concernant le nombre de logements dans les formulaires antérieurs, le nombre de logements 2019 est la valeur corrigée soit 814 logements desservis et occupés de façon permanente. Ce nombre provient du rapport de taxation et il est plus représentatif.
Art 1.13 et Art 2.2 : Pour calculer la consommation résidentielle, un prorata des logements résidentiels et des branchements non résidentiels a été pris en compte.
Sur le réseau, il y a 814 logements résidentiels et 93 branchements non résidentiels sans compteur d’eau et non relevé. La consommation résidentielle est estimée par le calcul suivant :
Consommation non mesurée et facturée * nombre de logements résidentiels / (logements résidentiels + branchements non résidentiels) 
258,383 ML *(814 / (814 + 93))= 231,889 ML.
Art.1.14 : Il y a une légère augmentation du volume d’eau distribué par rapport au bilan 2018. Premièrement, c'est un petit réseau et la consommation varie beaucoup. Par ailleurs, il est possible qu'il y ait eu des fuites qui ont coulé pendant une partie de l'année, mais le débit de nuit (en octobre) ne montre pas cette fuite, car elle n'était pas active à ce moment.
Art.1.15 : Les pertes d’eau réelles ont diminué par rapport au bilan 2018 (elles étaient de 83,220 ML en 2018 et sont de 27,554 ML n 2019). Une explication possible est que des fuites ont été réparées en 2018/2019. Mais aussi une autre raison importante est le fait qu'en 2018 le débit de nuit qui a été utilisé est celui du mois de mai (consommation de nuit élevée donc pertes d'eau surestimée) alors qu'en 2019 le débit de nuit minimum du mois d'octobre a été utilisé (consommation de nuit minimum donc estimation des pertes d'eau plus précise). 
Art 1.16 : Les PERI ont augmenté, car la pression a augmenté. En 2019, la pression a été déterminée en faisant la moyenne arithmétique des pressions statiques des 90+ bornes-fontaines de la municipalité.
Art 2.1 : l'IFI a diminué, car les PER estimées ont diminué.
Art 2.2 : La consommation résidentielle par personne estimée est élevée notamment, car la méthode d'estimation prend la consommation non résidentielle sans compteur d'eau et non relevée au même niveau que la consommation résidentielle. De plus la municipalité réalise deux fois par année le rincage des conduites et comme il s'agit d'une eau de surface il y a beaucoup de sediments et donc un volume d'eau de rincage inconnu mais élevé qui explique que la consommation résidentielle soit surestimée.
Art 2.2 : La consommation résidentielle a augmenté d'une part, car le débit de nuit utilisé en 2018 (en mai) surestimé les PER alors la consommation résidentielle été sous-estimé, alors qu'en 2019 le débit de nuit utilisé est le débit de nuit le plus faible de l'année (parmi les débits de nuit fournis par la municipalité); c'est donc un débit qui approxime le mieux les pertes d'eau et par conséquent la consommation résidentielle. D'autre part comme le nombre de logements a diminué la consommation résidentielle par personne par jour a augmenté.
</t>
  </si>
  <si>
    <t>La municipalité pourra mieux estimer la consommation résidentielle et les pertes d'eau en installant des compteurs d’eau et en effectuant des relèves</t>
  </si>
  <si>
    <t>Art 1.13 et Art 2.2 : Pour calculer la consommation résidentielle, un prorata des logements résidentiels et des branchements non résidentiels a été pris en compte.
Sur le réseau, il y a 462 logements résidentiels et 18 branchements non résidentiels sans compteur d’eau et non relevé. La consommation résidentielle est estimée par le calcul suivant :
Consommation non mesurée et facturée * nombre de logements résidentiels / (logements résidentiels + branchements non résidentiels) 
108,487 ML *(462 / (462 + 18))= 104,42 ML.
Art.1.14 : Il y a une diminution du volume d’eau distribué par rapport au bilan 2018. Cela s'explique par la réparation d'une fuite à l'été 2019 et peut également s'expliquer par le fait qu'un volume a été estimé pour le bilan 2018 du fait de l'absence d'un mois de données.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Art 2.3 : Résultat de 40 dû à une cote de 3 attribuée au volume d'eau produite, car le débitmètre n’a pas été vérifiés. Afin d'augmenter cette cote, les débitmètres devrait être vérifié annuellement tout en s’assurant de respecter les conditions d’installation du manufacturier.</t>
  </si>
  <si>
    <t>Note : Il y a eu un changement dans la méthode utilisée pour estimer les PER et la consommation d'eau par rapport au bilan 2018. En 2018, aucun débit de nuit n'était disponible, alors la municipalité avait estimée la consommation résidentielle à 400 l/pers/d. Elle avait aussi estimer la consommation de l'hôpital à 600 l/pers/d pour une capacité de 100 personnes, la consommation de la ferme à 2000 l/d et la consommation de l'école à 60 l/pers/d pour une capacité de 130 étudiants. Cette année, le débit de nuit a été utilisé parce qu'il était disponible. L'installation des compteurs devrait être complétée d'ici le 1er septembre 2021 et l'approche par bilan sera ensuite utilisée pour estimer la consommation d'eau et les PER.
Art 1.13 et Art 2.2 : Pour calculer la consommation résidentielle, un prorata des logements résidentiels et des branchements non résidentiels a été pris en compte.
Sur le réseau, il y a 379 logements résidentiels et 26 branchements non résidentiels actifs sans compteur d’eau et non relevé. La consommation résidentielle est estimée par le calcul suivant :
Consommation non mesurée et facturée * nombre de logements résidentiels / (logements résidentiels + branchements non résidentiels actifs) 
85,928 ML *(379 / (379 + 26))= 80,412 ML.
Art.1.14 : Il y a une diminution du volume d’eau distribué par rapport au bilan 2018 (369,660 ML). En 2018, 13 fuites ont coulées pendant en moyenne 30 jours avant d'être réparées, ce qui explique le volume distribué plus élevé en 2018.
Art.1.15 et 2.1 : Le niveau très élevé de PER et d'IFI peut être expliqué par la configuration du réseau. Le réseau n'est pas bouclé et compte plusieurs fin de lignes avec des purges permanentes. Celles-ci ne sont pas équipées de compteurs, alors il est présentement impossible de mesurer le volume purge et de le séparer des PER sur les conduites. 
Art 2.3 : Résultat de 38 dû à une cote de 3 attribuée au volume d'eau produite, car seulement 225 des 365 jours de l'année ont été mesurés. Afin d'augmenter cette cote, le débitmètre devrait fonctionner pendant l'ensemble de l'année.</t>
  </si>
  <si>
    <t xml:space="preserve">Art 1.13 et Art 2.2 : Pour calculer la consommation résidentielle, un prorata des logements résidentiels et des branchements non résidentiels a été pris en compte.
Sur le réseau, il y a 1523 logements résidentiels et 0 branchements non résidentiels actifs sans compteur d’eau et non relevé. La consommation résidentielle est estimée par le calcul suivant :
Consommation non mesurée et facturée * nombre de logements résidentiels / (logements résidentiels + branchements non résidentiels actifs) 
256,063 ML *(1523 / (1523+ 0))= 256,063 ML.
Art 1.16 : Les pertes d'eau réelles inévitables ont augmenté comparativement au bilan 2018, car le nombre de branchements de service a été revu à la baisse en 2019. Cette donnée (1482) est plus représentative. Aussi, la pression moyenne du réseau est passée de 42 mètres d'eau en 2018 à 56 mètres d'eau en 2019.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
</t>
  </si>
  <si>
    <t xml:space="preserve">Art 1.4 : L’estimation 2019 du nombre de personnes par logements de statistique Canada sous-estime la population résidentielle desservie et occupée de façon permanente. Une population de 851 personnes est plus représentative.
Art 1.13 et Art 2.2 : Pour calculer la consommation résidentielle, un prorata des logements résidentiels et des immeubles non résidentiels a été pris en compte.
Sur le réseau, il y a 450 logements résidentiels et 38 immeubles non résidentiels sans compteur d’eau et non relevé. La consommation résidentielle est estimée par le calcul suivant :
Consommation non mesurée et facturée * nombre de logements résidentiels / (logements résidentiels  + immeubles non résidentiels) 
73,252 ML *(450 / (450 + 38))= 67,548 ML.
</t>
  </si>
  <si>
    <t xml:space="preserve">Lorsque le Manoir du Lac-Delage (seul commerce) est fermé la quantité d'eau distribuée moyenne journalière est d’environ 100 m3 à 120 m3. Lorsque le Manoir est ouvert, la quantité d'eau distribuée moyenne journalière est d'environ 160 m3 à 180 m3. Il est donc possible de déduire que le Manoir consomme en moyenne 60m3 par jour (21,900 ML/an).
Art 1.13 et Art 2.2 :  La consommation résidentielle est estimée par le calcul suivant :
Consommation non mesurée et facturée - Consommation estimée du Manoir
65,390 ML -21,900 =43,490 ML.
La municipalité réfléchi présentement à installer un compteur d'eau au Manoir au courant de l'année 2021. Ceci permettra de mieux estimer la consommation résidentielle.
Art 2.2: La variation de la consommation résidentielle par rapport à l'année 2018 s'explique par la modification de la méthode d'estimation.
</t>
  </si>
  <si>
    <t>Art 1.4 : Le nombre de logements et la population sont les mêmes qu’en 2018. L’estimation 2018 du nombre de personnes par logement est utilisée.
Art 1.13 et Art 2.2 : Pour calculer la consommation résidentielle, un prorata des logements résidentiels et des branchements non résidentiels a été pris en compte.
Sur le réseau, il y a 184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40,078 ML *(184 / (184 + 11))= 37,817 ML.
Art.1.14 : Il y a une augmentation du volume d’eau distribué par rapport au bilan 2018. Il y a peut-être l'apparition de certaines fuites qui expliquerait la hausse des pertes d’eau et de l’eau distribuée. Celles-ci n’ont pas été détectées, car la municipalité n’a pas fait de recherche de fuites. De plus, comme la municipalité a utilisé le débit de nuit d'une seule journée, les PER estimées n'auraient pas augmentées si la fuite est apparue après la date de lecture.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De plus, le débit de nuit minimum est plus faible qu'en 2018 (3,38 m3/2h), ce qui explique la baisse des PER et de l'IFI. Ces pertes seraient aussi considérées comme de la consommation, ce qui expliquerait l'augmentation de la consommation résidentielle par rapport à 2018 (26,186 ML). 
Art.2.2 : La consommation résidentielle par personne estimée est élevée, car la méthode d'estimation prend la consommation non résidentielle sans compteur d'eau et non relevés au même niveau que la consommation résidentielle.
Art 2.3 : Résultat de 45 dû à une cote de 5 attribuée au volume d'eau produite, car l’écart de précision n’est pas de +/- 6%. l’écart de précision doit être de +/- 6% et les conditions d’installation du débitmètre en place doivent respecter les recommandations du manufacturier.</t>
  </si>
  <si>
    <t>Art. 2.2 : La municipalité pourrait mieux estimer la consommation résidentielle en installant des compteurs d’eau et en effectuant des relèves.</t>
  </si>
  <si>
    <t xml:space="preserve">Art 1.7: Le nombre de branchements a changé depuis le bilan 2018. En effet pour le bilan 2019, un comptage détaillé été réalisé. Le nombre précis de branchements résidentiels, non résidentiels et inactifs ont été comptabilisés et mis à jour. Ces nouvelles données sont plus cohérentes avec le nombre de logements qui lui n'a pas changé entre 2018 et 2019.
Art 1.13 et Art 2.2 : Pour calculer la consommation résidentielle, un prorata des logements résidentiels et des branchements non résidentiels a été pris en compte.
Sur le réseau, il y a 444 logements résidentiels et 26 branchements non résidentiels sans compteur d’eau et non relevé. La consommation résidentielle est estimée par le calcul suivant :
Consommation non mesurée et facturée * nombre de logements résidentiels / (logements résidentiels + branchements non résidentiels) 
84,416 ML *(444 / (444 + 26)= 79,746 ML.
Art.1.14 : Il y a une importante diminution du volume d’eau distribué par rapport au bilan 2018. 4 (en 2018) et 5 ( en 2019) fuites ont été réparées dans les 2 réseaux . Ceci a diminué les pertes d’eau réelles et l’eau distribuée.  
Art.1.15 : Les pertes d’eau réelles ont diminué par rapport au bilan 2018 (elles étaient de 72,406 ML), notamment grâce aux 9 fuites réparées entre 2018 et 2019.
Art 1.16: Comme le nombre de branchements a diminué (chiffre mis à jour) alors les Pertes d'eau réelles inévitables ont elles aussi diminuées.
Art.2.1 : Malgré la réduction de pertes d'eau par rapport aux bilans précédents, l'indice de fuites dans les infrastructures dépasse l'objectif. Les pertes d'eau réelles ont été déterminées à partir du débit de nuit minimum et ce dernier est encore assez élevé. On peut expliquer cela soit par des fuites qui coulent encore ou bien par la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 De plus en 2018 l'indicateur de consommation résidentielle était respecté alors qu'en 2019 il n'est pas respecté notamment à cause du fait que le nombre de branchements non résidentiels a changé en diminution.
</t>
  </si>
  <si>
    <t>La municipalité pourra mieux estimer la consommation résidentielle et les pertes d'eau réelles en installant des compteurs d’eau et en effectuant des relèves.</t>
  </si>
  <si>
    <t xml:space="preserve">Art 1.7: Le nombre de branchements a changé depuis le bilan 2018. En effet, pour le bilan 2019, un comptage détaillé été réalisé. Le nombre précis de branchements résidentiels, non résidentiels et inactifs ont été comptabilisés et mis à jour. Ces nouvelles données sont plus cohérentes avec le nombre de logements qui lui n'a pas changé entre 2018 et 2019.
Art 1.13 et Art 2.2 : Pour calculer la consommation résidentielle, un prorata des logements résidentiels et des branchements non résidentiels a été pris en compte.
Sur le réseau, il y a 238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48,186 ML *(238 / (238 + 11)= 46,057 ML.
Art.1.14 : Il y a une augmentation du volume d’eau distribué par rapport au bilan 2018.La consommation résidentielle semble avoir augmenté en effet les PER ont diminué. De plus, il est possible que des fuites soient apparues puis réparées durant l'année; donc un volume d'eau distribué élevé mais que le débit de nuit utilisé pour estimer les pertes n'est pas représentatif de ces fuites (par exemple un débit de nuit du mois de septembre alors que les fuites coulaient en mai)
Art.1.15 : Les pertes d’eau réelles ont diminué par rapport au bilan 2018 (elles étaient de 72,406 ML), notamment grâce aux 9 fuites réparées entre 2018 et 2019.
Art 1.16: Comme le nombre de branchements a diminué (chiffre mis à jour) alors les Pertes d'eau réelles inévitables ont elles aussi diminuées.
Art.2.1 : Malgré la réduction de pertes d'eau par rapport aux bilans précédents, l'indice de fuites dans les infrastructures dépasse l'objectif. Les pertes d'eau réelles ont été déterminées à partir du débit de nuit minimum et ce dernier est encore assez élevé. On peut expliquer cela soit par des fuites qui coulent encore ou bien par la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 De plus en 2018 l'indicateur de consommation résidentielles était respecté alors qu'en 2019 il n'est pas respecté notamment à cause du fait que le nombre de branchements non résidentiels a changé en diminution.
</t>
  </si>
  <si>
    <t xml:space="preserve">Art.1.13 : La consommation résidentielle a été mesurée par des compteurs d'eau.
Art 1.14 : Le débitmètre n’a pas été vérifié. Par conséquent, l’erreur associée au volume d’eau distribué n’est pas connue. </t>
  </si>
  <si>
    <t>Art 1.13 et Art 2.2 : Pour calculer la consommation résidentielle, un prorata des logements résidentiels et des branchements non résidentiels a été pris en compte.
Sur le réseau, il y a 1422 logements résidentiels et 34 branchements non résidentiels actifs sans compteur d’eau et non relevé. La consommation résidentielle est estimée par le calcul suivant :
Consommation non mesurée et facturée * nombre de logements résidentiels / (logements résidentiels + branchements non résidentiels actifs) 
305,837 ML *(1422 / (1422 + 34)= 298,695 ML.
Art.2.2 : La consommation résidentielle par personne estimée est élevée, car la méthode d'estimation prend la consommation non résidentielle sans compteur d'eau et non relevés au même niveau que la consommation résidentielle. 
Art 1.15 : Il y a un suivi quotidienn du béti de nuit afin d'effectuer un contrôle actif des fuites.
II y a des terrains de campings avec plusieurs emplacement pour visiteurs.
Il y a un écoparc (parc aquatique) : Nouvelles installations et plus d'achalandage depuis les derniers étés. Le parc a quelques jeux d'eau sans boucle de recirculation.</t>
  </si>
  <si>
    <t>La municipalité pourrai mieux estimer la consommation résidentielle en effectuant la relève des compteurs d'eau déjà installés.</t>
  </si>
  <si>
    <t xml:space="preserve">Art 1.13 et Art 2.2 : Pour calculer la consommation résidentielle, un prorata des logements résidentiels et des branchements non résidentiels a été pris en compte.
Sur le réseau, il y a 110 logements résidentiels et 2 branchements non résidentiels actifs sans compteur d’eau et non relevé. La consommation résidentielle est estimée par le calcul suivant :
Consommation non mesurée et facturée * nombre de logements résidentiels / (logements résidentiels + branchements non résidentiels actifs) 
18,683 ML *(110 / (110 +2)) = 18,349 ML.
</t>
  </si>
  <si>
    <t>Art 1.1 et 1.3 : La municipalité a confirmé le nombre de logements.
Art 1.13 et Art 2.2 : La municipalité a confirmé qu'elle a reparé les fuites d'eau dans les conduites et qu'elle a fortement sensibilisé les citoyens afin qu'ils s'améliorent dans l'utilisation de l'eau (l'arrossage, purge, néttoyage et etc.). Cela a résulté en diminution de près de 50% (par rapport à l'année 2018) en production et en consommation de l'eau potable de la municipalité.
Pour calculer la consommation résidentielle, un prorata des logements résidentiels et des branchements non résidentiels a été pris en compte.
Sur le réseau, il y a 82 logements résidentiels et 1 branchements non résidentiels actifs sans compteur d’eau et non relevé. La consommation résidentielle est estimée par le calcul suivant :
Consommation non mesurée et facturée * nombre de logements résidentiels / (logements résidentiels + branchements non résidentiels actifs) 
15,495*(82/(82+1))
Art. 1.16 : La diminution de PERI s'explique par la diminution de pression. Comme la pression est mesurée seulement à la sortie de l'usine, il n'est pas possible de savoir de façon précise la pression moyenne du réseau.
Art 2.1 : L'augmentation de près de 74% s'explique par l'augmentation de perte réelle dans le réseau. Ceci est attribuable à la variation de débit de nuit, car une donnée débit de nuit a été prise plutôt que des données sur l’ensemble de l’année 2019. En 2020, afin de bien estimer les pertes d’eau la municipalité peut se servir des données des débits de nuits sur l’ensemble de l’année.</t>
  </si>
  <si>
    <t>La diminution de volume d'eau distribuée ne correspond pas au débit de nuit de l'année 2019 (le bilan 2018 montre une perte d'eau moins élevée que celui de 2019). Pour le bilan 2020, il est recommandé de prendre le débit de nuit sur l'ensemble de l'année pour la meilleure estimation.</t>
  </si>
  <si>
    <t xml:space="preserve">Art 1.13 et Art 2.2 : Pour calculer la consommation résidentielle, un prorata des logements résidentiels et des branchements non résidentiels a été pris en compte.
Sur le réseau, il y a 6702 logements résidentiels et 30 branchements non résidentiels sans compteurs d’eau et non relevé. La consommation résidentielle est estimée par le calcul suivant :
Consommation non mesurée et facturée * nombre de logements résidentiels / (logements résidentiels + branchements non résidentiels) 
1169,659 ML *(6702 / (6702 + 30))= 1164,447 ML.
Art.1.14 : La quantité d'eau distribuée a diminué d'environ 60 ML entre 2018 et 2019. 18 fuites ont été réparées durant l’année 2018/2019. Ceci a diminué les pertes d’eau réelles et donc l’eau distribuée. De plus, en 2019 il a été pris en compte qu'il s'agit d'un cas d'exportation et non d'une entente intermunicipale. (le 60 ML correspond probablement au volume d'eau exporté à Brownsburg-Chatham).
Art.1.15 : Les pertes d’eau réelles ont grandement augmenté par rapport au bilan 2018 (augmentation d'environ 1000 ML). L'écart entre les pertes d'eau réelle 2018 et 2019 peut s'explique en partie par la bonification des hypothèses utilisées. Les consommations de nuit utilisées ont été mises à jour afin de mieux estimer les pertes d’eau réelles à partir du débit de nuit minimum. Ainsi  comme les hypothèses utilisées sont standards et que la municipalité possède de grands consommateurs (usine Cascade, Agropur, Restaurateurs qui consomment 24h/24h) alors les hypothèses ne sont pas réalistes pour cette municipalité. En effet avec les hypothèses utilisées, la consommation nocturne est grandement sous-estimée et donc les pertes d'eau sont grandement surestimées. Cependant cette explication n'est pas suffisante pour expliquer une telle augmentation. Une autre explication plus réaliste est la grande consommation nocturne. Il y a une importante consommation nocturne qui entraîne un débit de nuit élevé, ce qui suggère des pertes d'eau élevées. La lecture des compteurs dans l'ensemble du secteur non résidentiel et dans un échantillon du secteur résidentiel permettra d'avoir une meilleure estimation de ces pertes d'eau réelles aux prochains bilans. Par ailleurs, il est aussi conseillé de vérifier l'état des compteurs d'eau aux branchements des grands consommateurs (ex: Cascade, Hôpital, etc.), peut-être ces compteurs sous-comptent la vraie consommation et donc suggérerait des pertes d'eau élevée.
Art 2.1: Comme les pertes d'eau réelles (PER) sont trop élevées, alors l'IFI (rapport entre PER et PERI) lui aussi est élevé.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(Même problème que pour les PER). De plus comme le volume d'eau distribué a diminué alors la consommation résidentielle estimée a diminué.
</t>
  </si>
  <si>
    <t xml:space="preserve">Art 1.13: Pour le bilan 2020, il faut prévoir la lecture de tous les compteurs d'eau du secteur résidentiel et du secteur non résidentiel. Même si certains compteurs ont récemment été installés et qu'il n'y a pas une année complète de données disponibles, la lecture de ces derniers est fortement recommandée, car elle permettra d'avoir de meilleures estimations. Il faut noter que les 16 compteurs d'eau du secteur résidentiel et qui couvrent 65 logements ne permettront pas d'avoir une bonne estimation de la consommation résidentielle. En effet pour que 16 compteurs couvrent 65 logements alors des compteurs ont été installés sur des branchements multifamiliaux et donc l'échantillon risque de ne pas être représentatif. Il est fortement recommandé d'installer plus de compteurs dans le secteur résidentiel (idéalement 60 compteurs à installer aléatoirement dans la ville) afin de ne pas avoir une estimation de pertes d'eau qui dépasse les objectifs tout simplement à cause d'un échantillon pas représentatif. On rappelle que si l'objectif des pertes d'eau (IFI) n'est pas atteint la recherche de fuites est requise pour l'année suivante. Ainsi un bon échantillon de la consommation résidentiel pourra peut-être éviter à la municipalité de devoir faire de la recherche de fuite chaque année.
Art.2.1 : Il est recommandé d’effectuer un contrôle actif des fuites pour l'année prochaine, car pour les réseaux dont l’indicateur de pertes d'eau dépasse la valeur de comparaison, un contrôle actif des fuites sur l’équivalent de 200 % de la longueur sera requis d'ici le 1er septembre 2021.
</t>
  </si>
  <si>
    <t>Art 1.3 : 3044 logements pour la ville de Lac-Mégantic et 27 logements pour le réseau commun de Frontenac.
Art 1.13 et 2.2: La consommation résidentielle est estimée avec les relèves 2019 de l’échantillon des 90 compteurs résidentiels totalisant 239 logements. (27,363 ML / 239log * 3 071log)
Art 2.2 : Il y a une diminution de la consommation résidetielle par rapport au Bilan 2018 car elle avait été estimée à un taux de de consommation moyenne par type de logement (404L/log/d pour unifamilial et 325L/log/d multifamilial moyen) appliquée au nombre de logements de la ville. Cette année nous pouvons faire plein usage de l'échantillon résidentiel car nous savons combien de logements il représente.</t>
  </si>
  <si>
    <t>Art 1.13 et Art 2.2 : Pour calculer la consommation résidentielle, un prorata des logements résidentiels et des branchements non résidentiels a été pris en compte.
Sur le réseau, il y a 196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25,294 ML *(196 / (196 + 9))= 24,1835 ML.
Art 1.14 : À l'année 2018, la municipalité a confirmé qu'il y a eu beaucoup de pertes d'eau à causes des bris de 3 purges de 3/4''. Il y a eu les fuites pendant tout au long de l'année 2018 (24h/24) et elles ont été fermées vers fin 2018. Ceci a fait diminuer de façon significative la distribution de l'eau de la municipalité à l'année 2019. (65ML en 2018 et 38 ML en 2019).
Art 2.1 et 2.2 : La municipalité a confirmé que le seul débit de nuit disponible est le débit faible marqué dans le rapport de débitmètre. IFI de l'année 2019 est environ 3 fois plus élevé que l'année 2018. Il semble que le débit de nuit (mesuré 2018 octobre) ne tient pas compte de la fuite causée par les purges problèmatiques. Il est supposé que IFI de l'année 2018 soit plus grande que celui de 2019 parce que les purges sont femée vers la fin 2018. Comme la municipalité a confirmé le volume d'eau produite en 2019, il pariaît que le débit de nuit 2019 n'est pas une valeur pertinente, car la consommation résidentielle de 79 l/pers/d est trop basse (avec IFI de 4.1). Par conséquent, le débit de nuit de l'année 2018 est utilisé pour estimer les valeurs.
Art 2.3 : Résultat de 36 dû à une cote de 3 attribuée au volume d'eau produite/importée/exportée, car le volume d'eau produite n'est pas précis.</t>
  </si>
  <si>
    <t>Le débit de nuit et le volume d'eau produite ne sont pas des valeurs précises. Pour le bilan 2020, il faut un débit de nuit et le volume d'eau produit plus pertinents.</t>
  </si>
  <si>
    <t xml:space="preserve">Art.1.3 : Suite au prolongement de réseau en 2019 (développement Quirion et Giguère), il y a 52 logements résidentiels permanents qui se sont rajoutés et 33 logements saisonniers (qui ne sont pas pris en compte).
Art.1.6 : La longueur des conduites a augmenté par rapport au bilan 2018, car il y a eu un prolongement de réseau en 2019 (développement Quirion et Giguère).
Art.1.14 : L'eau distribuée est plus élevée qu'au bilan précédent, car la municipalité dessert plus de résidents. De plus, il y avait plusieurs fuites sur le réseau temporaire durant les travaux sur le développement Quirion et Giguère.
Art.1.13 : Puiqu'il y a 52 logements résidentiels permanents qui ont été rajoutés au réseau à partir du 12 mai 2019, certaines modifications ont été apportées au bilan pour ne pas modifier les indicateurs de la municipalité. 
Consommation sans les nouvelles résidences :  69,000 ML, 530 logements, 1 197 personnes, 130 m3/log/an et 158 l/pers/d
Consommation avec les nouvelles résidences (à partir du 12 mai 2019) : 73,316 ML, 582 logements, 1 314 personnes, 126 m3/log/an et 153 l/pers/d
*Consommation avec les nouvelles résidences (toute l'année 2019 pour respecter les indicateurs) : 75,760 ML, 582 logements, 1 314 personnes, 130 m3/log/an et 158 l/pers/d
*Pour la consommation résidentielle, une portion a été mesurée (69,000 ML) et une portion a été estimée (6,760 ML) à partir de la consommation moyenne par logement. La portion estimée correspond à la consommation des nouvelles résidences permanentes pendant toute l'année 2019 afin de conserver les indicateurs réels de la municipalité.
Art.1.4 et 2.1: Les pertes d'eau réelles sont élevées, car il y a eu beaucoup de fuites sur le réseau temporaire. Aussi, il y a beaucoup de fuites sur certains tronçons de conduite et la municipalité prévoit les remplacer dans les prochaines années. De plus, les pertes d'eau ont été calculées en soustrayant la consommation autorisée de l'eau distribuée. Puisque les compteurs d'eau sont vieux (installés dans les années 1990), la consommation est sous-estimée selon un sous-traitant de la municipalité. Ceci ferait en sorte que les pertes d'eau seraient plus élevées et que l'IFI dépasse l'objectif. 
Art.1.15 :  Les pertes d'eau réelles inévitables ont diminué par rapport au bilan précédent, car la donnée de pression moyenne du réseau est plus faible. Cette dernière a été raffinée puisqu'elle a été calculée à partir d'une moyenne de pressions statiques de tous les poteaux d'incendie.
Art.2.2 : La consommation résidentielle par personne a augmenté par rapport au bilan 2018, car comparativement à l'année passée, la municipalité a pris la lecture de tous les compteurs d'eau. Il n'y a donc pas d'estimation qui vient biaiser les résultats. (Ceci ne s'applique pas aux nouvelles résidences, car ces dernières n'ont pas d'impact sur le 158 l/pers/d.)
</t>
  </si>
  <si>
    <t>Art 1.3 &amp; 1.7 : Le nombre de logements résidentiels et de branchements a été mis à jour depuis l'an dernier.
Art.1.13 : La consommation résidentielle a été mesurée par des compteurs d'eau.
Art 1.14, 1.15 &amp; 2.1 : L'an dernier, le volume d'eau brute avait été utilisé. En raison du traiment d'enlèvement de fer et magnaèse, la municipalité utilise près de 10 ML par en seulement pour le traitement de l'eau, ce qui explique la différence de l'eau distribuée et aussi des PER et de l'IFI car les PER sont obtenus par la soustraction de la consommtion de l'eau distribuée.
Art.2.1 : L'indice de fuites dans les infrastructures est faible, car le réseau est petit. La municipalité peut donc détecter rapidement l’apparition des fuites avec l’analyse de débits de nuit. Elle peut ensuite les localiser et les réparer rapidement. 
Art.2.2 : La faible consommation résidentielle a été mesurée à l’aide de compteur d’eau, mais ceux-ci sont vieux (installés en 1996) et ils n’ont ni été vérifiés ni remplacés.</t>
  </si>
  <si>
    <t xml:space="preserve">Art 1.2: Mise à jour des logements résidentiels par rapport à l'année précédente.
Art 2.2: L'estimation de la consommation résidentielle a été effectuée en séparant la consommation «Non mesurée et facturée» de l'audit de l'eau AWWA (344,857 ML/an) en deux selon la proportion de logements résidentiels (1 391) et le nombre d'immeubles non résidentiels sans compteurs (48). 
Consommation résidentielle : 344,857 ML/an * 1391 / (1391+48)  = 333,354 ML/an = 247 l/pers/d. 
Cette estimation devra être raffinée en utilisant les données mesurées des compteurs d'eau.
</t>
  </si>
  <si>
    <t>Art.1.13 : La consommation résidentielle a été mesurée par des compteurs d'eau.
Art 1.13 : Consommation résidentielle issu des compteurs d'eau.
Art.1.15 et Art. 2.1: Les pertes d’eau réelles ont augmenté par rapport au bilan 2018 (79,019ML). En 2019, une plus grande quantité d'eau a été distribuée qu'en 2018. Cependant la quantité d'eau consommée (Consommation autorisée) est plus faible en 2019 et donc les pertes d'eau réelles sont plus élevés en 2019 puisqu'elle sont calculées en soustrayant la consommation autorisée à l'eau distribuée. Ceci s'explique par le fait que la municipalité a probablement des fuites dans son réseau. Puisque les pertes d'eau réelles ont augmenté, l'IFI a également augmenté étant donné que ce dernier est proportionnel aux pertes d'eau réelles.</t>
  </si>
  <si>
    <t xml:space="preserve">Art 1.3 : La très grande différence entre ce formulaire et le précédent s'explique par le fait que dans ce dernier, les logements catégorisés comme étant des chalets ou non occupés de façon permanente avaient été inclus, cela a donc entraîné une grande diminution dans ce présent formulaire puisqu'ils ne le sont plus.
Art 1.13 et Art 2.2 : Pour calculer la consommation résidentielle, un prorata des logements résidentiels et des immeubles non résidentiels a été pris en compte.
Sur le réseau, il y a 392 logements résidentiels et 28 immeubles non résidentiels sans compteur d’eau et non relevé. La consommation résidentielle est estimée par le calcul suivant :
Consommation non mesurée et facturée * nombre de logements résidentiels / (logements résidentiels  + immeubles non résidentiels) 
83,383 ML *(392 / (392 + 28))= 77,824 ML.
Afin d'exclure les 43 saisonniers, qui peuvent être assimilés à 21,5 logements supplémentaires, il faut également faire un prorata.
77,824 ML *(392 / (392 + 21,5))= 73,778 ML.
Art. 2.1 : L'indice de fuite dans les infrastructures est élevé car le délai de réparation des fuites est important.
Art.2.2 : La consommation résidentielle par personne estimée est élevée, car la méthode d'estimation prend la consommation non résidentielle sans compteur d'eau et non relevés au même niveau que la consommation résidentielle. 
Réseau intermunicipal :
Deux puits alimentent trois municipalités, un quartier en zone rural et une entreprise. Il y a donc cinq branchements sur le réseau. Aucun usager n'est branché directement sur la conduite, ils sont inclus dans les réseaux propre à chaque municipalité. La pression est élevée sur le réseau commun. En effet, chaque municipalité possède un réducteur de pression à l'entrée de son réseau. La conduite communue mesure 21 500 m. Les puits appartiennent à Saint-Bruno mais ils se situent sur la municipalité de Hébertville. L'eau va dans une conduite qui se divise en deux, une conduite va vers le grand réservoir qui dessert Saint-Bruno et Hébertville-Station et l'autre conduite va vers Larouche.
Eau distribuée : 931,728 ML
Pertes d'eau réelles (PER) : 15,353 ML
Pertes d'eau réelles inévitables (PERI) : 14,562 ML
Indice de fuites dans les infrastructures (IFI) = 1,1
Résultat de validité des données de l'audit de l'eau AWWA : 70
Aucune action obligatoire n'est à entreprendre sur ce réseau.
</t>
  </si>
  <si>
    <t xml:space="preserve">Art 1.4 : Le nombre de logements et la population sont les mêmes qu’en 2018. L’estimation 2018 du nombre de personnes par logement est utilisée.
Sur le réseau, il y a 177 logements résidentiels et 19 branchements non résidentiels sans compteur d’eau et non relevé. La consommation résidentielle est estimée par le calcul suivant :
Consommation non mesurée et facturée * nombre de logements résidentiels / (logements résidentiels + branchements non résidentiels) 
25,386 ML *(177 / (177 + 19))= 22,925 ML.
Art.1.9: La pression correspond à la pression à la sortie de l'usine.
Art.1.14 : Il y a une importante diminution du volume d’eau distribué par rapport au bilan 2018. Plusieurs facteurs peuvent expliquer cette diminution. Premièrement, le pourcentage d'erreur de mesure au niveau du débitmètre est passé d'environ 4% en 2018 à environ 1% en 2019. Deuxièmement, une fuite a été réparée en 2018 et donc cela a diminué le volume d'eau distribué en 2019. Troisièmement, une purge sur le réseau a été activée 2 fois en 2018 (pour le nettoyage) alors qu'en 2019 la purge n'a été activée qu'une seule fois cela a donc fait diminuer le volume total distribué (le volume de cette purge est inconnu).
Art.1.15 : Les pertes d’eau réelles ont légèrement augmenté par rapport au bilan 2018 (0,124 ML). Après la réparation de la fuite en 2018 le débit de nuit a diminué en passant de 33l/min en 2018 à 29l/min en 2019. En théorie les PER aurait dû diminué cependant, on peut expliquer cette légère augmentation, par la bonification des hypothèses utilisées. Les consommations de nuit utilisées ont été mises à jour afin de mieux estimer les pertes d’eau réelles à partir du débit de nuit minimum. Ainsi les PER ont vraiment diminué en 2019, mais la bonification des hypothèses l'a augmenté. Ainsi la combinaison de ces deux actions a quasiment neutralisé les PER entre 2018 et 2019.
Art.2.1 : L'IFI à beaucoup diminuer en effet le PERI a augmenté par rapport à 2018, car la pression a augmenté entre 2018 et 2019 en passant de 42m à 61,64m. Selon la municipalité la pression à la sortie de l'usine est de 61,64 m (un chiffre documenté) et qu'ils ne savent pas d'où provient le 42m de pression en 2018. Probablement que le 42 m est la pression en fin de réseau. Il faut noter que la pression soit de 42m ou 61,64 m l'IFI est toujours plus petit que l'objectif (3). Cependant pour les prochaines années la nature de la pression (moyenne ou pression à l'usine) doit être constante.
Art 2.2 : Il y a une importante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le volume d'eau distribué a beaucoup diminué, par conséquent la consommation non mesurée et facturée et donc la consommation résidentielle. Parmi cette eau distribuée, il y a le volume d'eau purgé qui a diminué entre 2018 et 2019 (selon la municipalité). Comme le volume purgé est inconnu, il est inclus dans la consommation non mesurée et facturée et donc dans la consommation résidentielle.
</t>
  </si>
  <si>
    <t>Entre 2018 et 2019, la municipalité est passée de ''Non-respects des objectifs de consommation résidentielle'' en 2018 à ''Respect des objectifs de consommation résidentielle'' en 2019, à cause de l'importante variation du débit distribué. Il est recommandé de faire attention au volume d'eau distribué causé par notamment par des fuites et des purges non contrôlées. Le respect des deux objectifs (IFI et consommation résidentielle) est nécessaire au bilan 2021 autrement, l'installation de compteurs d'eau sera requise pour le 1er septembre 2025.</t>
  </si>
  <si>
    <t>Art. 1.13 et 1.14 : La quantité de distribution et consommation de l'eau a dimunué (environ 10%) en comparaison de l'année 2018 grâce à nouvelle installation des échantillons de compteur d'eau dans le secteur résidentiel (184 compteurs sont installés comme échantillon).</t>
  </si>
  <si>
    <t xml:space="preserve">Art 1.13 et Art 2.2 : Pour calculer la consommation résidentielle, les relèves 2019  des compteurs résidentiels a été adittionnée à l'estimation des logements résidentiels non équipés de compteurs.  Sur le réseau, il y a  9115 logements résidentiels équipés de compteurs(1603,996 ML) et 7 logements résidentiels sans compteur d’eau et non relevé (1,231ML). Consommation résidentielle = 1603,996 ML + 1,231ML = 1 605,227ML.
Art.1.14 : Il y a une augmentation  du volume d’eau distribué par rapport au bilan 2018. Le nombre de logement de la municipalité a augmenté ce qui peut justifier cette augmentation de la quantité d'eau distibuée annuellement.
</t>
  </si>
  <si>
    <t xml:space="preserve">Art 1.4 : L’estimation 2019 du nombre de personnes par logements de statistique Canada sous-estime la population résidentielle desservie et occupée de façon permanente. Une population de 290 personnes est plus représentative.
Art 1.13 et Art 2.2 : Pour calculer la consommation résidentielle, un prorata des logements résidentiels et des branchements non résidentiels a été pris en compte.
Sur le réseau, il y a 138 logements résidentiels et 8 branchements non résidentiels sans compteur d’eau et non relevé. La consommation résidentielle est estimée par le calcul suivant :
Consommation non mesurée et facturée * nombre de logements résidentiels / (logements résidentiels + branchements non résidentiels) 
24,334 ML *(138 / (138 + 8))= 23,000 ML.
Art.1.15 : Les pertes d’eau réelles ont diminué par rapport au bilan 2018 (4,02 ML).  En 2018 les PER étaient basé sur des débits de nuit de seulement deux semaines en décembre.  En 2019 les PER étaient basé sur des débits journaliers de 365 jours. 
Art 2.2 : L’écart entre la consommation résidentielle de 2018 et 2019 est relié avec la diminution des PER.  Comme l’eau distribuée n’a pas changé, et le nombre de logements et branchements de service est stable, le diminution des PER est le seul facteur qui explique l’augmentation du consommation résidentielle. </t>
  </si>
  <si>
    <t>Art.1.13 : La consommation résidentielle a été mesurée par des compteurs d'eau.
Art 2.2 : La consommation résidentielle a légérement augmenté en comparaison de l'année 2018. Cette augmentation peut être due à des températures plus élevées. Cependant, la consommaton résidentielle reste faible. En effet, les usagers sont sensibilisés à l'usage de l'eau et sont tarifés volumétriquement.</t>
  </si>
  <si>
    <t xml:space="preserve">Art 1.4 : La donnée de personnes par logement de Statistiques Canada a été conservée cette année puisque la population totale desservie semble être représentative. 
Art 1.9 : La pression élevée du réseau s'explique du fait que le réservoir est situé plus haut que le réseau de distribution. 
Art 1.13 et Art 2.2 : Pour calculer la consommation résidentielle, un prorata des logements résidentiels et des immeubles non résidentiels a été pris en compte.
Sur le réseau, il y a 335 logements résidentiels et 31 immeubles non résidentiels sans compteur d’eau et non relevé. La consommation résidentielle est estimée par le calcul suivant :
Consommation non mesurée et facturée * nombre de logements résidentiels / (logements résidentiels  + immeubles non résidentiels) 
66,952 ML *(335 / (335 + 31))= 61,281 ML.
Art 1.15 et Art 2.1 : L'écart entre les pertes d'eau réelles 2018 et 2019 s'explique par la bonification des hypothèses utilisées. Les consommations de nuit utilisées ont été mises à jour afin de mieux estimer les pertes d’eau réelles à partir du débit de nuit minimum. Ceci impacte aussi l'IFI qui se voit augmenter par rapport à l'an passé. 
Art 2.2: La consommation résidentielle estimée a diminué par rapport à 2018, puisque l'eau distribuée a diminué et que les pertes d'eau ont été sous-estimées en 2018. </t>
  </si>
  <si>
    <t>Art 1.16 et 2.1 : Il y a eu une diminution des PERI de 12% par rapport au Bilan 2018 car les données sur le réseau ont été révisées. Notamment, la longueur moyenne des branchements de services est passée de 15 m à 8 m. Cette diminution des PERI engendre une augmentation de l'IFI.</t>
  </si>
  <si>
    <t xml:space="preserve">Art 1.13 et Art 2.2 : Pour calculer la consommation résidentielle, un prorata des logements résidentiels et des branchements non résidentiels a été pris en compte.
Sur le réseau, il y a 4959 logements résidentiels et 229 branchements non résidentiels actifs sans compteur d’eau et non relevé. La consommation résidentielle est estimée par le calcul suivant :
Consommation non mesurée et facturée * nombre de logements résidentiels / (logements résidentiels + branchements non résidentiels actifs) 
955,346 ML *(4959 / (4959 + 229))= 913,1767 ML.
Art.1.14 : Il y a une  diminution du volume d’eau distribué par rapport au bilan 2018. La population est sensibilisée à l’usage de l’eau et fait attention à sa consommation. 
Art.1.15, Art.2.1 et Art.2.2 : L'écart entre les pertes d'eau réelles 2018 et 2019 s'explique par la bonification des hypothèses utilisées. Les consommations de nuit utilisées ont été mises à jour afin de mieux estimer les pertes d’eau réelles à partir du débit de nuit minimum. Puisque les pertes d'eau réelles ont augmenté, l'indice de fuites dans les infrastructures a également augmenté et la consommation résidentielle a diminué. 
Art.1.16 : Les pertes d'eau réelles inévitables ont augmenté, car les valeurs de la longueur du réseau et du nombre de branchement de service actifs et inactifs ont été mis à jour.
</t>
  </si>
  <si>
    <t>Art 1.13 et 2.2: La consommation résidentielle est estimée avec les relèves 2019 de l’échantillon des 17 compteurs résidentiels. 
Art 2.1 : L’indice de fuites dans les réseaux est très élevé.  Le réservoir est mal construit, et donc la municipalité souffre d’une pression moyenne très faible.  Avec ce pression faible, les détecteurs de fuites ne peuvent pas fonctionner, car les fuites coulent trop lentement pour créer une alerte.  Cette pression faible diminue beaucoup les PERI aussi, et donc augment l'IFI.  L'installation des pompes pour règler cette problème de pression est prévue. 
Art 1.13 : En 2019, La consommation non-résidentiel était mesuré pour le première fois avec un relevé dans compteurs dans les ICI.  Ces compteurs aident à séparer la grosse consommation de l’industrie de la consommation NMF, et donc diminue la consommation residentielle.</t>
  </si>
  <si>
    <t>Art 2.1: Le MAMH suggère de faire une recherche tout contact pour mieux entendre les fuites.</t>
  </si>
  <si>
    <t xml:space="preserve">Art 1.13 et Art 2.2 : Pour calculer la consommation résidentielle, un prorata des logements résidentiels et des immeubles non résidentiels a été pris en compte.
Sur le réseau, il y a 77 logements résidentiels et 8 immeubles non résidentiels sans compteur d’eau et non relevé. La consommation résidentielle est estimée par le calcul suivant :
Consommation non mesurée et facturée * nombre de logements résidentiels / (logements résidentiels  + immeubles non résidentiels) 
10,259 ML *(77 / (77 + 8))= 9,293 ML.
Art.1.14 : Il y a une diminution du volume d’eau distribué par rapport au bilan 2018. La population est sensibilisée à l’usage de l’eau et fait attention à sa consommation.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</si>
  <si>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Art.2.1 : Il est recommandé d’effectuer un contrôle actif des fuites, car pour les réseaux dont l’indicateur de pertes d'eau dépasse la valeur de comparaison, un contrôle actif des fuites sur l’équivalent de 200 % de la longueur sera requis d'ici le 1er septembre 2021. La recherche de fuite n'est pas nécessaire cette année, car l'IFI ne dépasse pas l'objectif à ce bilan.
Art. 2.2 : La municipalité pourrait mieux estimer la consommation résidentielle en installant des compteurs d’eau et en effectuant des relèves.</t>
  </si>
  <si>
    <t xml:space="preserve">Art 1.13 et Art 2.2 : Pour calculer la consommation résidentielle, seul la consommation non mesurée et facturée est utilisée. Puisque seul le secteur résidentiel n'est pas équipé de compteurs d'eau.
</t>
  </si>
  <si>
    <t xml:space="preserve">Art 1.3 &amp; 1.5 : Le nombre de logements précédament inscrit était le nombre de logements total selon Statistique Canada. Les Bergeronnes ont une grande proportion d'usagers saisonniers. Le  nombre de logements 2019 représente seulement les logements desservis et occupés de façon permanente. Ceci change considérablement la population et la consomation résidentielle.
Art 1.6,  1.9 &amp; 1.16 : Les données ont étés mises à jour selon les données de la municipalité. La diminution de la longueur du réseau et du nombre de brachements occasionne la diminution des PERI.
Art 1.15 &amp; 2.1 : L'écart entre les pertes d'eau réelles 2018 et 2019 s'explique par la bonification des hypothèses utilisées. Les consommations de nuit utilisées et le nombre des usagers ont été mis à jour afin de mieux estimer les pertes d’eau réelles à partir du débit de nuit minimum.
Art 1.13 et Art 2.2 : Pour calculer la consommation résidentielle, un prorata des logements résidentiels et des branchements non résidentiels a été pris en compte.
Sur le réseau, il y a 224 logements résidentiels et 425 branchements totaux pour tenir compte des logements saisonniers. La consommation résidentielle est estimée par le calcul suivant :
Consommation non mesurée et facturée * nombre de logements résidentiels / (logements résidentiels + branchements non résidentiels actifs) 
92,017 ML *(224 / (425))= 48,527 ML.
Art.2.2 : La consommation résidentielle par personne estimée est élevée, car la méthode d'estimation prend la consommation non résidentielle sans compteur d'eau et non relevés au même niveau que la consommation résidentielle. Les usagers saisonniers ne sont pas comptabilisés dans ce Bilan, le Bilan 2020 pourra indiquer une meilleur consommation avec l'échantillon des compteurs.
</t>
  </si>
  <si>
    <t>Art 1.3  : Pour calculer la consommation résidentielle, un prorata des logements résidentiels et des logements non résidentiels a été pris en compte.
Sur le réseau, il y a 2 415 logements résidentiels et 145 immeubles non résidentiels sans compteur d’eau et non relevé. La consommation résidentielle est estimée par le calcul suivant :
Consommation non mesurée et facturée * nombre de logements résidentiels / (logements résidentiels  + immeubles non résidentiels) 
Art.1.15 : L'écart entre les pertes d'eau réelles 2018 et 2019 s'explique par la bonification des hypothèses utilisées. Les consommations de nuit utilisées ont été mises à jour afin de mieux estimer les pertes d’eau réelles à partir du débit de nuit minimum. Aussi, la municipalité a réparé 8 fuites en 2019. Le bilan 2020 devrait conclure à un IFI plus faible.</t>
  </si>
  <si>
    <t xml:space="preserve">Art.1.9 : La pression moyenne du réseau est élevé, la municipalité est sur le point de mettre en place des secteurs de régulation de la pression (SRP).
Art 1.13 et Art 2.2 : Pour calculer la consommation résidentielle, un prorata des logements résidentiels et des branchements non résidentiels a été pris en compte.
Sur le réseau, il y a 315 logements résidentiels et 31 branchements non résidentiels actifs sans compteur d’eau et non relevé. La consommation résidentielle est estimée par le calcul suivant :
Consommation non mesurée et facturée * nombre de logements résidentiels / (logements résidentiels + branchements non résidentiels actifs) 
95,481 ML *(315 / (315 + 31))= 86,9263 ML.
Art.1.13, Art.2.1 et Art 2.2 : Il y a une diminution de la consommation résidentielle par rapport au bilan 2018. En effet, la bonification des hypothèses utilisées pour l’estimation des pertes d’eau réelles ainsi que la valeur du débit de nuit plus élevée a entrainé une hausse des pertes d’eau et par conséquent une diminution de la consommation résidentielle. Puisque les pertes d'eau ont augmenté, l'indice de fuites dans les infrastructures a également augmenté.
Art.1.16: Les pertes d'eau réelles inévitables ont augmenté par rapport au Bilan 2018, car les données du nombre de branchements de service et de la pression ont été modifiées.
Art.2.2 : La consommation résidentielle par personne estimée est élevée, car la méthode d'estimation prend la consommation non résidentielle sans compteur d'eau et non relevés au même niveau que la consommation résidentielle. 
Art 2.3 : Résultat de 44 dû à une cote de 5 attribuée au volume d'eau produite, car le débitmètre n’a pas été vérifié. Afin d'augmenter cette cote, les débitmètres devrait être vérifié annuellement tout en s’assurant de respecter les conditions d’installation du manufacturier.
</t>
  </si>
  <si>
    <t>Art.2.1 : Il est recommandé d’effectuer un contrôle actif des fuites, car pour les réseaux dont l’indicateur de pertes d'eau dépasse la valeur de comparaison, un contrôle actif des fuites sur l’équivalent de 200 % de la longueur sera requis d'ici le 1er septembre 2021.
La municipalité pourra(it) mieux estimer la consommation résidentielle en installant des compteurs d’eau et en effectuant des relèves.</t>
  </si>
  <si>
    <t xml:space="preserve">Art 1.13 et Art 2.2 : Pour calculer la consommation résidentielle, un prorata des logements résidentiels et des branchements non résidentiels a été pris en compte.
Sur le réseau, il y a 95 logements résidentiels et 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13,329 ML *(95 / (95 + 0))= 13,329 ML.
Art.2.2 : La consommation résidentielle par personne estimée est élevée, car la méthode d'estimation prend la consommation non résidentielle sans compteur d'eau et non relevés au même niveau que la consommation résidentielle. 
Art 2.3 : Résultat de 44 dû à une cote de 5 attribuée au volume d'eau produite, car le débitmètre n’a pas été vérifié. Afin d'augmenter cette cote, les débitmètres devrait être vérifié annuellement tout en s’assurant de respecter les conditions d’installation du manufacturier.
</t>
  </si>
  <si>
    <t>Art 1.9 : La pression moyenne sur le réseau est élevée. Le réseau est gravitaire sans réducteur de pression. La pression doit donc être élevé afin d'assurer une pression minimale aux boûts du réseau.
Art.1.13 et Art.2.2: La consommation résidentielle a augmentée par rapport au bilan 2018 (52,695 ML). La municipalité n'a pas mesuré de débit de nuit en 2018. En l'absence d'information, la consommation résidentielle a été fixé à 250 L/personne/j. 
Art.1.14 : Il y a une diminution du volume d’eau distribué par rapport au bilan 2018 (327,072 ML). La consommation de l'usine Verreault a diminué puisque la tarification a été revu. De plus de nombreuses fuites ont été réparées en depuis 2018 (détection de 16 fuites par Nordikeau réparées par la municipalité).
Art.1.14 : Le volume d'eau distribué par personne est élevé. Ceci s'explique par le niveau de fuite élevé sur le réseau et par la présence de l'Usine Verreault qui consomme une grande partie de l'eau consommée à la municipalité.
Art.1.15 et Art.2.1 : Les PER et l'IFI sont élevés. Ceci s'explique par le nombre élevé de fuites présentes sur le réseau (la municipalité en a réparé 16 en 2019). Une recherche et une réparation annuelle des fuites pourra aider à diminuer les PER et l'IFI sur le réseau. Aussi, la consommation résidentielle a été estimée à 250 l/pers/d, ce qui peut être sous-estimé.</t>
  </si>
  <si>
    <t xml:space="preserve">Section 1,9: La pression moyenne de ce réseau est élevé en raison du secteur Saint-Jean-Chrysostome. Des travaux sont prévus en 2021 afin de réduire la pression de ce secteur.
Section 2,2: La consommation résidentielle utilisée est celle du bilan 2018. Celle-ci avait été estimé à l'aide des données de distribution d'un petit secteur résidentiel déservi par un surpresseur. Cette valeur à été comparée à celle des données des compteurs résidentiels et est relativement similaire puisque la moyenne des compteurs résidentiels est, à ce jour, de 228 L/personne/jour. </t>
  </si>
  <si>
    <t xml:space="preserve">Section 2,2: La consommation résidentielle utilisée est celle du bilan 2018. Celle-ci avait été estimé à l'aide des données de distribution d'un petit secteur résidentiel déservi par un surpresseur. Cette valeur à été comparée à celle des données des compteurs résidentiels et est relativement similaire puisque la moyenne des compteurs résidentiels est , à ce jour, de 228 L/personne/jour. 
Art 1.15: La différence entre les pertes d'eau de cette année et celles de l'an passé vient premièrement du fait que le volume pour les consommations mesurées et facturées est plus important en 2019 par rapport à l’année précédente.  En raison de l’installation et/ou du remplacement de nombreux compteurs dans les ICI, notre chiffre est plus précis en 2019 qu’en 2018. L’autre différence majeure vient du fait que le volume d’eau distribué par l’usine Charny a diminué par rapport à l’année précédente. Nous ne sommes cependant pas en mesure d’expliquer précisément pourquoi ce volume à diminuer. À notre connaissance, aucune fuite importante ou travaux majeur de réparation n’a eu lieu dans ce secteur en 2019. 
</t>
  </si>
  <si>
    <t>Section 2,1: De nombreux compteurs existants chez les ICI sont défectueux et n'ont pu faire l'objet de lectures en 2019.  Le fait que la lecture de l'année 2019 soit de 0 influence grandement l'indice de fuite. 
Section 2,1: L'indice de fuite dans ce réseau est plus élevé puisqu'il s'agit du réseau le plus âgée de la Ville. 
Section 2,2: La consommation résidentielle utilisée est celle du bilan 2018. Celle-ci avait été estimé à l'aide des données de distribution d'un petit secteur résidentiel déservi par un surpresseur. Cette valeur à été comparée à celle des données des compteurs résidentiels et est relativement similaire puisque la moyenne des compteurs résidentiels est, à ce jour, de 228 L/personne/jour.</t>
  </si>
  <si>
    <t xml:space="preserve">Art 1.9 et Art 1.16: La pression représente la pression moyenne du réseau selon le rapport d'inspection des poteaux d'incendie de 2017. La pression indiquée dans le Bilan de l'année précédente était la pression à la sortie de l'usine. Cette modification mène vers une diminution des PERI.
Art 1.15 et 2.1 : Les pertes d'eau ont été évaluée en procédant à une analyse de débit de nuit minimum avec un débit minimum de 2,3m³/heure et aucune consommation de nuit.  
Art 1.13 et Art 2.2 : Pour calculer la consommation résidentielle, un prorata des logements résidentiels et des immeubles non résidentiels a été pris en compte.
Sur le réseau, il y a 534 logements résidentiels et 37 immeubles non résidentiels sans compteur d’eau et non relevé. La consommation résidentielle est estimée par le calcul suivant :
Consommation non mesurée et facturée * nombre de logements résidentiels / (logements résidentiels  + immeubles non résidentiels) 
</t>
  </si>
  <si>
    <t>Art. 1.13 : La municipalité n'a pas relevé les compteurs d'eau dans le secteur résidentiel en 2019. En 2020, une relève citoyenne sur la base du volontariat a permis de collecter 20 données de compteurs qui pourront être utilisées l'an prochain.
Art 1.13 et Art 2.2 : Pour calculer la consommation résidentielle, un prorata des logements résidentiels et des branchements non résidentiels a été pris en compte.
Sur le réseau, il y a 1 292 logements résidentiels et 17 branchements non résidentiels sans compteur d’eau et non relevé. La consommation résidentielle est estimée par le calcul suivant :
Consommation non mesurée et facturée * nombre de logements résidentiels / (logements résidentiels + branchements non résidentiels) 
223,840 ML *(1 292 / 1 292 + 17))= 220,933 ML.
Art.1.15 : L'écart entre les pertes d'eau réelles 2018 et 2019 s'explique par la bonification des hypothèses utilisées. Les consommations de nuit utilisées ont été mises à jour afin de mieux estimer les pertes d’eau réelles à partir du débit de nuit minimum.</t>
  </si>
  <si>
    <t>La municipalité pourrait mieux estimer la consommation résidentielle en effectuant des relèves de compteurs.</t>
  </si>
  <si>
    <t xml:space="preserve">Art 1.4 : L’estimation 2019 du nombre de personnes par logements de statistique Canada sous-estime la population résidentielle desservie et occupée de façon permanente. Une population de 962 personnes est plus représentative.
Art 1.13 et Art 2.2 : Pour calculer la consommation résidentielle, un prorata des logements résidentiels et des branchements non résidentiels a été pris en compte.
Sur le réseau, il y a 474 logements résidentiels et 41 branchements non résidentiels sans compteur d’eau et non relevé. La consommation résidentielle est estimée par le calcul suivant :
Consommation non mesurée et facturée * nombre de logements résidentiels / (logements résidentiels + branchements non résidentiels) 
74,082 ML *(474 / (474 + 41))= 68,184 ML.
Art.1.13 : L'écart entre les la consommation résidentielle 2018 et 2019 s'explique par la bonification des hypothèses utilisées. Les consommations de nuit utilisées ont été mises à jour afin de mieux estimer les pertes d’eau réelles à partir du débit de nuit minimum.
Art.2.1 : L'indice de fuites dans les infrastructures est faible, car le réseau est petit. La municipalité peut donc détecter rapidement l’apparition des fuites avec l’analyse de débits de nuit. Elle peut ensuite les localiser et les réparer rapidement. </t>
  </si>
  <si>
    <t xml:space="preserve">Art 1.13  : Pour calculer la consommation résidentielle, un prorata des logements résidentiels et des branchements non résidentiels a été pris en compte.
Sur le réseau, il y a 244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55,377 ML *(244 / (13 + 244))= 52,576ML.
Art 1.14 : La grande consommation d'eau est due en partie à une usine de poisson qui consomme beaucoup d'eau ainsi qu'au camping qui est très fréquenté durant la période estivale. On observe une augmentation de la quantité d'eau distribuée par personne en 2019. Ceci peut s'expliquer par la découverte de 2 fuites, dont une assez importante. De plus, la consommation de l'usine de poisson varie d'une année à l'autre, ce qui peut expliquer ces variations.
Art 1.15 &amp; 2.1 : On observe une augmentation au niveau des PER et de l'IFI. Ceci s'explique entre autre par la bonification des hypothèses utilisées. Les consommations de nuit utilisées ont été mises à jour afin de mieux estimer les pertes d’eau réelles à partir du débit de nuit minimum. Au bilan 2020, l'approche par bilan sera utilisée pour réaliser le bilan, soit les données de relève des compteurs d'eau une fois relevés. 
Art.2.2 : La consommation résidentielle par personne estimée est élevée, car la méthode d'estimation prend la consommation non résidentielle sans compteur d'eau et non relevés au même niveau que la consommation résidentielle. La municipalité a installé un échantillon de 20 compteurs d'eau à la consommation dans le secteur résidentiel ainsi que des compteurs d'eau sur les ICI. Au prochain bilan, ce chiffre sera donc revu selon les données de relève pour l'année 2020. 
</t>
  </si>
  <si>
    <t xml:space="preserve">Art 1.13 et Art 2.2 : Pour calculer la consommation résidentielle, un prorata des logements résidentiels et des branchements non résidentiels a été pris en compte.
Sur le réseau, il y a 565 logements résidentiels et 15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123,651 ML *(565 / (565 + 15)) = 120,453 ML.
Art 1.15 et Art 2.1 : La variation importante de l'IFI s'explique par les travaux qui ont eu lieu en 2019 et qui ont nécessités une purge constante du réseau pendant plusieurs mois. Les pertes d'eau réelles ont été déterminées à partir du débit de nuit minimum, et ce dernier est assez élevé vu la purge.
Art 2.3 : Résultat de 44 dû à une cote de 5 attribuée au volume d'eau produite, car le débitmètre n’a pas été vérifié. Afin d'augmenter cette cote, le débitmètre devrait être vérifié annuellement tout en s’assurant de respecter les conditions d’installation du manufacturier.
Art. 2.2 : La consommation résidentielle a beaucoup diminuée vu l'augmentation importante des pertes ainsi que la diminution de l'eau distribuée. La consommation résidentielle n'est pas mesurée par compteurs d'eau, mais est plutôt détuite à partir des pertes, qui elles ont été estimées avec le débit de nuit. Le débit de nuit étant surestimé à cause des purges, la consommation résidentielle est donc probablement sous-estimée.
</t>
  </si>
  <si>
    <t>Art 2.1 : Il est recommandé de mesurer l'eau utilisée pour la purge. Cette consommation ne serait donc pas considérée dans les pertes réelles, mais bien dans la consommation non facturée.</t>
  </si>
  <si>
    <t xml:space="preserve">
Art 2.2 : Il s’agit d’une estimation très grossière de 2017. La consommation unitaire journalière est faite à partir des relevés des compteurs résidentiels (bâtiments neufs) unifamiliaux et bi-familiaux pour lesquels nous avons une correspondance des taux d’occupation.  À partir de ces données, nous avons estimé la consommation dans les autres résidences en appliquant un facteur théorique provenant du guide de réseau environnement (45% de consommation de plus pour des résidences sans compteur par rapport à des résidences avec compteur). Nous avons appliqué ces consommations unitaire à chaque arrondissement selon leurs types d’habitation et leur population, puis divisé par la population globale afin d’avoir un volume annuel per capita (m3/personne/an). Nous avons multiplié cette valeur par la population 2018.
Art 2.3 : Depuis quelques années, la consommation de Boucherville était basée sur un débitmètre temporaire installé dans des conditions non recommandées par le manufacturier. Il y a eu ajout d’un nouveau débitmètre à insertion multipoint à l’automne 2019. La comparaison des deux débitmètre en série a permis de constater une différence de l’ordre de 20% entre les deux valeurs mesurées. Nous avons décidé de faire la correction de la consommation de Boucherville de 2018 en considérant cette erreur. De ce fait, il y a eu une augmentation du volume annuel de l’ordre de 2 Mm3, d’où l’augmentation significative du volume d’eau distribuée
Art 2.4 : Résultat de 45 dû à une cote de 5 attribuée au volume d'eau produite/importée/exportée, car certains débitmètres n’ont pas été vérifiés ou que les conditions d'installation des débitmètres vérifiés ne sont pas respectées. Afin d'augmenter cette cote, les débitmètres devraient être vérifiés annuellement tout en s’assurant de respecter les conditions d’installation du manufacturier.</t>
  </si>
  <si>
    <t>Art 1.13 et Art 1.14 : Une grande majorité de l'eau distribuée est consommée dans le secteur résidentiel.</t>
  </si>
  <si>
    <t xml:space="preserve">
Art 1.4 : L’estimation 2019 du nombre de personnes par logements de statistique Canada surestime la population résidentielle desservie et occupée de façon permanente. Une population de 956 personnes, où 1,82 pers/log est plus représentative.
Art 1.13 et Art 2.2 : Pour calculer la consommation résidentielle, un prorata des logements résidentiels et des branchements non résidentiels a été pris en compte.
Sur le réseau, il y a 525 logements résidentiels et 25 branchements non résidentiels sans compteur d’eau et non relevé. La consommation résidentielle est estimée par le calcul suivant :
Consommation non mesurée et facturée * nombre de logements résidentiels / (logements résidentiels + branchements non résidentiels) 
88,439 ML *(525 / (525 + 25))= 84,419 ML.
Art.2.1 : L’IFI a augmenté par rapport au bilan 2018 (0.7). Pour le Bilan de 2018, les PER était calculé comme la moyenne des trois dernières années pour éviter les fluctuations dans le réseau.  Pour le Bilan 2019, Les PERS était calculé avec les valeurs de seulement une année, donc l’IFI augmenté est acceptable.</t>
  </si>
  <si>
    <t>Art. 1.13 et 2.2 : La consommation résidentielle a été estimée à partir de la consommation moyenne de l'échantillon de 19 compteurs résidentiels (134,1 m3/an). Cette consommation est multipliée par le nombre total de logements désservis par le réseau.
Art. 1.13 : La consommation résidentielle estimé est plus faible qu'en 2018 (998,913 ML) parce que la méthode de calcul a changée. En 2018, la consommation non mesurée avait été estimée avec le débit de nuit, alors qu'en 2019, la municipalité a utilisé un échantillon de compteurs résidentiels. La méthode 2018 prenait la consommation non résidentielle sans compteur d'eau et non relevés au même niveau que la consommation résidentielle, ce qui surestimait la consommation résidentielle.
Art.1.14 : Il y a une diminution du volume d’eau distribué par rapport au bilan 2018. 13 fuites ont été réparées durant l’année 2019. Ceci a diminué les pertes d’eau réelles et l’eau distribuée.</t>
  </si>
  <si>
    <t>Art 1.3 et 1.5 : L'année dernière, les données de personnes par logement de Statistiques Canada n'ont pas été gardées, en favorisant celles de 2017. Cependant cette année les données de Statistiques Canada ont été gardées, puisque cela semble être plus représentatif de la population desservie par le réseau.
Art.1.13 : La consommation résidentielle a été mesurée par des compteurs d'eau.
Art 1.14 : La quantité d'eau distribuée par personne et par jour a augmenté par rapport à 2018, du fait que la population a été ajustée à la baisse cette année.  
Art 2.1 : L'indice des fuites dans les infrastructures a augmenté par rapport à 2018, ceci peut s'expliquer du fait que le réseau de la municipalité est petit et qu'il peut exister des variations de consommation entre les différentes années. De plus, quasiment toutes les consommations sont mesurées par des compteurs d'eau.</t>
  </si>
  <si>
    <t xml:space="preserve">Art 1.13 et Art 2.2 : Pour calculer la consommation résidentielle, un prorata des logements résidentiels et des branchements non résidentiels a été pris en compte.
Sur le réseau, il y a 592 logements résidentiels et 13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154,458 ML *(592 / (592 + 13))= 151,14 ML.
Art.1.14 : Il y a une diminution du volume d’eau distribué par rapport au bilan 2018.  En 2018, il y avait une purge de décanteur sur le réseau.  Cette purge a causé beaucoup de gaspillage interne, et donc un volume d’eau distribué très élevée.  En 2019, cette purge était éliminée, et donc le volume d’eau produite a diminué beaucoup.
Art 2.2 : La consommation résidentielle a diminué par rapport au Bilan 2018.  Comme l’eau distribuée a beaucoup diminué, la consommation NMF a diminué aussi.  Les CE ne sont pas relevées en 2019, donc la consommation résidentielle était estimée de la même façon de l’année dernière.  </t>
  </si>
  <si>
    <t xml:space="preserve">Art 1.13 et Art 2.2 : Pour calculer la consommation résidentielle, un prorata des logements résidentiels et des branchements non résidentiels a été pris en compte.
Sur le réseau, il y a 11 862 logements résidentiels et 557 branchements non résidentiels actifs sans compteur d’eau et non relevé. La consommation résidentielle est estimée par le calcul suivant :
Consommation non mesurée et facturée * nombre de logements résidentiels / (logements résidentiels + branchements non résidentiels actifs) 
259,226 ML * 11 862 / (11 862 + 557)= 2 476,918 ML.
Art.1.15 : L'écart entre les pertes d'eau réelles 2018 et 2019 s'explique par la bonification des hypothèses utilisées. Les consommations de nuit utilisées ont été mises à jour afin de mieux estimer les pertes d’eau réelles à partir du débit de nuit minimum. Une consommation NR de 171 m³/2h a été considéré selon les indications de la municipalité.
Art.2.2 : La consommation résidentielle par personne estimée est élevée, car la méthode d'estimation prend la consommation non résidentielle sans compteur d'eau et non relevés au même niveau que la consommation résidentielle. </t>
  </si>
  <si>
    <t>Art 1.2: Selon le recencement 2016,  le taux d'occupation est de 1,97 personnes/logement. Ce chiffre est plus représentatif de la population de la municipalité.
Art 1.13 et Art 2.2 : Pour calculer la consommation résidentielle, un prorata des logements résidentiels et des branchements non résidentiels a été pris en compte.
Sur le réseau, il y a 424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63,373 ML *(427 / (427 + 14))= 61,361 ML.
Art.1.14 : Il y a une diminution du volume d’eau distribué par rapport au bilan 2018.  Le débitmètre n’a pas été vérifié et il n'a pas été calibré depuis 2017. Par conséquent, l’erreur associée au volume d’eau distribué n’est pas connue. Aussi, plusieurs valeurs d'eau distribuée n'ont pas été relevées par les débitmètres et ont du être estimées. En effet, sur l'année complète, 97 jours de consommation sont manquantes et ont été estimées. Ceci peut expliquer la diminution du volume d'eau produit en 2019.
Art.1.15 et Art.2.1 : Les pertes d’eau réelles ont augmenté par rapport au bilan 2018. L'écart entre les pertes d'eau réelles 2018 et 2019 s'explique par la bonification des hypothèses utilisées. Les consommations de nuit utilisées ont été mises à jour afin de mieux estimer les pertes d’eau réelles à partir du débit de nuit minimum. De ce fait, la valeur de l'IFI a augmenté par rapport à l'année précédente.
Art 2.2 : Il y a une diminution de la consommation résidentielle par rapport au bilan 2018. En effet, La quantité d'eau distibuée en 2019 est beaucoup plus petite que celle de 2018. Aussi, la bonification des hypothèses utilisées pour l’estimation des pertes d’eau réelles a entrainé une hausse des pertes d’eau et par conséquent une diminution de la consommation résidentielle. En 2018 la consommation résidentielle avait été fixer à 250l/pers/jour mais cette hypothèse n'a pas été utilisée en 2019.
Art 2.3 : Résultat de 45 dû à une cote de 5 attribuée au volume d'eau produite, car les débitmètres n’ont pas été vérifiés. Afin d'augmenter cette cote, les débitmètres devraient être vérifiés annuellement tout en s’assurant de respecter les conditions d’installation du manufacturier.</t>
  </si>
  <si>
    <t>Art 1.13 et Art 2.2 : Pour calculer la consommation résidentielle, un prorata des logements résidentiels et des branchements non résidentiels a été pris en compte.
Sur le réseau, il y a 2131 logements résidentiels et 181 branchements non résidentiels actifs sans compteur d’eau et non relevé. La consommation résidentielle est estimée par le calcul suivant :
Consommation non mesurée et facturée * nombre de logements résidentiels / (logements résidentiels + branchements non résidentiels actifs) 
260,647 ML *(2131 / (2131 + 181))= 240,24 ML.
Art.1.16 : Les PERI ont augmenté par rapport au bilan 2018.  Le nombre de branchements de service a augmenté par 738 branchements, et donc les PERI ont augmentés aussi.
Art.1.15 et Art. 2.1:  Les PER et donc l'IFI a diminué par rapport au Bilan 2018.  Pour calculer les PER, le débit de nuit de 2018 était utiliser, mais avec des hypothèses de 0 L/h pour résidentiel et non résidentiel.  Le consommation non-résidentiel dans le reseaux est très grand, donc les hypothèses était modifié afin de diminuer les PER, et donc avoir un consommation résidentielle normale.</t>
  </si>
  <si>
    <t xml:space="preserve">Art. 1.3 : 9 logements on été ajoutés en 2019.
Art 1.13 et Art 2.2 : Pour calculer la consommation résidentielle, un prorata des logements résidentiels et des branchements non résidentiels a été pris en compte.
Sur le réseau, il y a 1163 logements résidentiels et 55 branchements non résidentiels sans compteur d’eau et non relevé. La consommation résidentielle est estimée par le calcul suivant :
Consommation non mesurée et facturée * nombre de logements résidentiels / (logements résidentiels + branchements non résidentiels) 
238,928 ML *(1163 / (1163 + 55))= 228,139 ML.
Art.1.14 : 5 fuites ont été réparées durant l’année 2019. Ceci a diminué les pertes d’eau réelles et l’eau distribuée. 
Art.1.15 : Les pertes d’eau réelles ont diminué par rapport au bilan 2018 (136,875 ML). La mise en place et la lecture de compteurs d'eau à l'hôpital et a la résidence a permis de mieux estimer la consommation non-résidentielle ainsi que les pertes.
Art.2.2 : La consommation résidentielle par personne estimée est élevée, car la méthode d'estimation prend la consommation non résidentielle sans compteur d'eau et non relevés au même niveau que la consommation résidentielle. 
Art 2.2 : Il y a une diminution de la consommation résidentielle par rapport au bilan 2018. En effet, la bonification des hypothèses utilisées pour l’estimation des pertes d’eau réelles et la pose de compteurs à l'hôpitale et à la résidence a entrainé une diminution de la consommation résidentielle. </t>
  </si>
  <si>
    <t xml:space="preserve">Art 1.3 et Art 2.2 : Pour calculer la consommation résidentielle, un prorata des logements résidentiels et des logements non résidentiels a été pris en compte. Sur le réseau, il y a 4 141 logements résidentiels et 88 immeubles non résidentiels. La consommation résidentielle est estimée par le calcul suivant : Consommation non mesurée et facturée * nombre de logements résidentiels / (logements résidentiels  + immeubles non résidentiels) 1 035,89 ML *(4 141 / (4 141+88))= 1 110,169 ML. Une fois les compteurs d'eau relevés, ce résultat sera revu.
</t>
  </si>
  <si>
    <t xml:space="preserve">Art 1.3 : Les immeubles résidentiels sont seulement des maisons unifamiliales (Logements = Immeubles). 
Art 1.4 : L’estimation 2019 du nombre de personnes par logements de statistique Canada surestime la population résidentielle desservie et occupée de façon permanente. Une population de 226 personnes est plus représentative.
Art 1.13 et Art 2.2 : Pour calculer la consommation résidentielle, un prorata des logements résidentiels et des branchements non résidentiels a été pris en compte.
Sur le réseau, il y a 148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30,255 ML *(148 / (148 + 14))= 27,640 ML.
Art.2.1 : L'indice de fuites dans les infrastructures dépasse l'objectif. Les pertes d'eau réelles ont été déterminées à partir du débit de nuit minimum et ce dernier est assez élevé. Ceci peut s’expliquer par la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 </t>
  </si>
  <si>
    <t>Art.1.4 : Le nombre de personnes par logement a été modifié pour avoir une population desservie plus représentative de 250 personnes.
Art 1.13 et Art 2.2 : Pour calculer la consommation résidentielle, un prorata des logements résidentiels et des immeubles non résidentiels a été pris en compte.
Sur le réseau, il y a 113 logements résidentiels et 11 immeubles non résidentiels sans compteur d’eau et non relevé. La consommation résidentielle est estimée par le calcul suivant :
Consommation non mesurée et facturée * nombre de logements résidentiels / (logements résidentiels  + immeubles non résidentiels) 
18,322 ML *(113 / (113 + 11))= 16,697 ML.
Art.1.15 et 2.1 : Les pertes d'eau réelles et l'IFI ont diminué par rapport au bilan 2018. L'écart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Ceci s'explique par le fait que la population n'avait pas été ajustée au dernier bilan. La diminution de la population desservie cause une augmentation de la consommation résidentielle par personne.</t>
  </si>
  <si>
    <t xml:space="preserve">Art 1.3 : Le nombre de branchements de service actifs a changé depuis 2019, car il a précédemment été inscrit le nombre approximatif de logements résidentiels desservis et occupés de façon permanente. 
Art 1.13 et Art 2.2 : Pour calculer la consommation résidentielle, un prorata des logements résidentiels et des branchements non résidentiels a été pris en compte.
Sur le réseau, il y a 18940 logements résidentiels et 778 branchements non résidentiels actifs sans compteur d’eau et non relevé. La consommation résidentielle est estimée par le calcul suivant :
Consommation non mesurée et facturée * nombre de logements résidentiels / (logements résidentiels + branchements non résidentiels actifs) 
3835,885 ML *(18940 / (778 + 18940))= 3 684,5350 ML.
Art.1.15 et Art.2.1 : L'écart entre les pertes d'eau réelles 2018 et 2019 s'explique par la bonification des hypothèses utilisées. Les consommations de nuit utilisées ont été mises à jour afin de mieux estimer les pertes d’eau réelles à partir du débit de nuit minimum. Puisque les pertes d'eau réelles ont augmenté, l'indice de fuites dans les infrastructures a également augmenté.
Art.1.16 : Les pertes d'eau réelles inévitables ont diminué puisque la donné du nombre de branchements à été mise à jour.
Art 2.2 et Art.1.13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</si>
  <si>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1.4 : L’estimation 2019 du nombre de personnes par logements de statistique Canada surestime la population résidentielle desservie et occupée de façon permanente. Une population de 2 347personnes est plus représentative.
Art 1.13 et Art 2.2 : Pour calculer la consommation résidentielle, un prorata de la consommation mesurée facturée des logements résidentiels et des branchements non résidentiels a été pris en compte.
Sur le réseau, il y a 527 logements résidentiels relevés, 32 branchements non résidentiels relevé et 669 logements résidentiels sans compteurs non-relevés. La consommation résidentielle est estimée par le calcul suivant :
Consommation mesurée et facturée * nombre de logements résidentiels relevés / (logements résidentiels relevés + branchements non résidentiels) / logements résidentiels relevés * (logements résidentiels relevés + logements résidentiels non relevés)
(124,56ML * (527 / (527 + 32))) / 527 * (527 + 669) = 266,500 
Art 2.1 : Le résultat d'IFI s'est amélirorer depuis 2018, la réparation des fuites porte ses fruits.
</t>
  </si>
  <si>
    <t xml:space="preserve">Art 1.13 et Art 2.2 : Pour calculer la consommation résidentielle, un prorata des logements résidentiels et des branchements non résidentiels a été pris en compte.
Sur le réseau, il y a 4959 logements résidentiels et 195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12880,404 ML *(4959 / (4959 + 195))= 1239,658 ML.
</t>
  </si>
  <si>
    <t>Art.1.9 : La pression moyenne du réseau est élevée, car le réseau est desservi par la ville de Richmond et la distance entre les deux municipalités est élevée. Le réseau doit donc être surpressé pour que l'eau se rende jusqu'à Melbourne.
Art 1.13 et Art 2.2 : Pour calculer la consommation résidentielle, un prorata des logements résidentiels et des immeubles non résidentiels a été pris en compte.
Sur le réseau, il y a 36 logements résidentiels et 2 immeubles non résidentiels sans compteur d’eau et non relevé. La consommation résidentielle est estimée par le calcul suivant :
Consommation non mesurée et facturée * nombre de logements résidentiels / (logements résidentiels  + immeubles non résidentiels) 
6,350 ML *(36 / (36+2))= 6,016 ML.
Art.1.15, 2.1 et 2.2 : L'écart entre les pertes d'eau réelles 2018 et 2019 s'explique par la bonification des hypothèses utilisées. Les consommations de nuit utilisées ont été mises à jour afin de mieux estimer les pertes d’eau réelles à partir du débit de nuit minimum 2019. Au bilan précédent, les pertes d'eau réelles ont été déterminées à partir du bilan d'eau et une hypothèse de consommation résidentielle à 235 l/persd.</t>
  </si>
  <si>
    <t>Art 1.3 : Augmentation du nombre de logements et de la population entre 2018 et 2019. Données validées provenant de la ville. 
Art 2.1 : Variation de l'IFI due aux changement de méthode utilisé. Il est à noter que le débit de nuit 2019 n'étant pas connu, les PER ont été évaluées selon un bilan annuel de consommation avec une hypothèse de consommation résidentielle équivalente à la moyennne québécoise de l'année 2018 : 268 l/pers/d.
Art 2.2 : Consommation résidentielle évaluée selon la moyenne québécoise de 2018, ce qui explique la variation entre le bilan 2018 et 2019.</t>
  </si>
  <si>
    <t>Art 1.6 à 1.8 : La municipalité a confirmé qu'il n'y a pas eu de changement dans le réseau entre les années 2018 et 2019.
Art 1.3 : La municipalité a confirmé qu'il y a beaucoup de fermes et de champs. Il y a beaucoup de logements qui sont relié à plus d'un branchement de service.
Art.1.15 :  Il y a eu des fuites d'eau à la municipalité à l'année 2019. Ceux-ci ont fait augmenter le volume d'eau perdu.
Art 1.13 et Art 2.2 : Pour calculer la consommation résidentielle, un prorata des logements résidentiels et des branchements non résidentiels a été pris en compte.
Sur le réseau, il y a 1300 logements résidentiels et 395 branchements non résidentiels actifs sans compteur d’eau et non relevé. La consommation résidentielle est estimée par le calcul suivant :
Consommation non mesurée et facturée * nombre de logements résidentiels / (logements résidentiels + branchements non résidentiels actifs) 
365,652*(1300/(395+1300)) = 280,441 ML
Art. 2.2 : La diminution de consommation résidentielle de 14 l/pers/d pourrait s'expliquer par des actions posées par la municipalité dans le but de sensibiliser les citoyens.
Entente de compilation de données pour un réseau de distribution commun :
Municipalité exportatrice : Saint-Gédéon (93035)
Municipalité importatrice : Métabétchouan-Lac-à-la-Croix (93012)
Saint-Gédéon : 909 log, 2,28 pers/log, 2071 pers
Métabétchouan-Lac-à-la-Croix : 463 log, 2,25 pers/log, 1042 pers
Longueur du réseau de Saint-Gédéon : 46 172 m
Longueur du réseau de Métabétchouan-Lac-à-la-Croix : 17 358 m
Indice de fuites dans les infrastructures (IFI) du réseau commun : 4,2
Contrôle actif des fuites (localisation et réparation) : non
Consommation résidentielle estimée pour ce réseau commun : 503 l/pers/d
Eau distribuée pour ce réseau commun : 884,746 l/pers/d
Installation de compteurs d’eau à la consommation requise : non
Résultat de validité des données de l’audit de l’eau AWWA : 44</t>
  </si>
  <si>
    <t>Art 1.4 : L’estimation 2019 du nombre de personnes par logements de statistique Canada sous-estime la population résidentielle desservie et occupée de façon permanente. Une population de 395 personnes est plus représentative.
Art. 1.14 : Le volume d'eau distribué par personne est élevé. Ceci peut être expliqué par le volume élevé de perte sur le réseau. De plus, la présence de 168 logements non-permanents occpués l'été avec une consommation estimée à 1/3 de la consommation annuelle d'une résidence permanente et de plusieurs commerces et industries (auberge, commerces, tec.) dépendantes du tourisme explique la consommation non-résidentielle élevée.
Art 1.13 et 2.2: La consommation résidentielle est estimée avec les relèves 2019 de l’échantillon des 18 compteurs résidentiels. L'augmentation de la taille de l'échantillon peut expliquer la différence par rapport à la donnée 2018 (298 L/pers/d) qui avait été estimé à partir d'un échantillon de 8 compteurs.
Art.1.15 : L'écart entre les pertes d'eau réelles 2018 et 2019 peut s'expliquer par la bonification des hypothèses utilisées. L'utilisation d'un plus grand échantillon de compteurs d'eau donne une donnée plus basse sur la consommation résidentielle, ce qui entraine des PER plus élevées. De plus, la présence de 3 fuites et leur délai de réparation de 4 jours (contre 3 réparations avec un délai de 1 jour en 2018) peut aussi expliquer l'augmentation des PER.</t>
  </si>
  <si>
    <t>La municipalité pourrait mieux estimer la consommation des résidences non permanentes et les pertes réelles en installant un échantillon de compteurs d’eau sur les résidences saisonnières et en effectuant des relèves.</t>
  </si>
  <si>
    <t xml:space="preserve">Art 1.13 et Art 2.2 : Pour calculer la consommation résidentielle, un prorata des logements résidentiels et des branchements non résidentiels a été pris en compte.
Sur le réseau, il y a 549 logements résidentiels et 54 branchements non résidentiels actifs sans compteur d’eau et non relevé. La consommation résidentielle est estimée par le calcul suivant :
Consommation non mesurée et facturée * nombre de logements résidentiels / (logements résidentiels + branchements non résidentiels actifs) 
74,620ML *(549 / (549 + 54))= 67,937 ML.
Art.2.1 : L'indice de fuites dans les infrastructures est élevé. Les pertes d’eau réelles sont élevéss, car une donnée débit de nuit a été prise plutôt que des données sur l’ensemble de l’année 2019. En 2020, afin de bien estimer les pertes d’eau la municipalité peut se servir des données des débits de nuits sur l’ensemble de l’année
</t>
  </si>
  <si>
    <t>Art 2.1 : Étant donné que l’objectif de l’indice de fuite dans les infrastructures n’est pas atteint pour le réseau Saint-Benoît, ce dernier doit être ausculté à 200% pour le 1er septembre 2020.</t>
  </si>
  <si>
    <t xml:space="preserve">Art 1.3 et Art 2.2 : Pour calculer la consommation résidentielle, un prorata des logements résidentiels et des immeubles non résidentiels a été pris en compte.
Sur le réseau, il y a 6 321 logements résidentiels et 579 immeubles non résidentiels sans compteur d’eau et non relevé. La consommation résidentielle est estimée par le calcul suivant :
Consommation non mesurée et facturée * nombre de logements résidentiels / (logements résidentiels  + immeubles non résidentiels) 
1042,302 ML * 6321 / (6321 + 579) = 954,840 ML.
</t>
  </si>
  <si>
    <t xml:space="preserve">Art 1.13 et Art 2.2 : Pour calculer la consommation résidentielle, un prorata des logements résidentiels et des branchements non résidentiels a été pris en compte.
Sur le réseau, il y a 395 logements résidentiels et 2 branchements non résidentiels actifs sans compteur d’eau et non relevé. La consommation résidentielle est estimée par le calcul suivant :
Consommation non mesurée et facturée * nombre de logements résidentiels / (logements résidentiels + branchements non résidentiels actifs) 
72,901 ML *(395 / (395 + 2))= 72,534 ML.
</t>
  </si>
  <si>
    <t xml:space="preserve">Art 1.3 : Le secteur se dévelopement rapidement, le nombre de logements 2019 est représentaif
Art 1.13 et Art 2.2 : Pour calculer la consommation résidentielle, un prorata des logements résidentiels et des branchements non résidentiels a été pris en compte.
Sur le réseau, il y a 4 202 logements résidentiels et 229 branchements non résidentiels actifs sans compteur d’eau et non relevé. La consommation résidentielle est estimée par le calcul suivant :
Consommation non mesurée et facturée * nombre de logements résidentiels / (logements résidentiels + branchements non résidentiels actifs) 
642,823 ML *(4 202 / (4 202 + 229))= 609,601 ML.
Art.1.15 : L'écart entre les pertes d'eau réelles 2018 et 2019 s'explique par la bonification des hypothèses utilisées. Les consommations de nuit utilisées ont été mises à jour afin de mieux estimer les pertes d’eau réelles à partir du débit de nuit minimum.
</t>
  </si>
  <si>
    <t>Art 1.13 et Art 2.2 : Pour calculer la consommation résidentielle, un prorata des logements résidentiels et des branchements non résidentiels a été pris en compte.
Sur le réseau, il y a 4 712 logements résidentiels et 146 branchements non résidentiels actifs sans compteur d’eau et non relevé. La consommation résidentielle est estimée par le calcul suivant :
Consommation non mesurée et facturée * nombre de logements résidentiels / (logements résidentiels + branchements non résidentiels actifs) 
887,585 ML *(4 712 / (4 712 + 146))= 860,910 ML.
Le nombre de branchements non résidentiels actifs sans compteur d’eau et non relevé 2018 est erronné, ceci cause la variation de la consommation résidentielle.</t>
  </si>
  <si>
    <t xml:space="preserve">Art 1.13 et Art 2.2 : Pour calculer la consommation résidentielle, un prorata des logements résidentiels et des branchements non résidentiels a été pris en compte.
Sur le réseau, il y a 150 logements résidentiels et 6 branchements non résidentiels actifs sans compteur d’eau et non relevé. La consommation résidentielle est estimée par le calcul suivant :
Consommation non mesurée et facturée * nombre de logements résidentiels / (logements résidentiels + branchements non résidentiels actifs) 
21,456 ML *(150 / (150 + 6))= 20,631 ML.
Art 2.1 : Une meunerie laisse couler l'eau, cela surestime les PER et l'IFI.
</t>
  </si>
  <si>
    <t xml:space="preserve">Art 1.13 et Art 2.2 : Pour calculer la consommation résidentielle, un prorata des logements résidentiels et des branchements non résidentiels a été pris en compte.
Sur le réseau, il y a 900 logements résidentiels et 21 branchements non résidentiels actifs sans compteur d’eau et non relevé. La consommation résidentielle est estimée par le calcul suivant :
Consommation non mesurée et facturée * nombre de logements résidentiels / (logements résidentiels + branchements non résidentiels actifs) 
249,450 ML *(900 / (900 + 21))= 243,762 ML.
Ce réseau représente des maisons cossues avec de grands terrains, leur consommation d'eau est significative.
Art 1.15 et 2.1 : Le réseau est construit sur le roc dynamiter, la recherche de fuite y est difficile et le délais de réparation des fuites est long. Beaucoup de résidences ont des systèmes d'arrosages qui fonctionnent la nuit.
</t>
  </si>
  <si>
    <t xml:space="preserve">Art 1.13 et Art 2.2 : Pour calculer la consommation résidentielle, un prorata des logements résidentiels et des branchements non résidentiels a été pris en compte.
Sur le réseau, il y a 829 logements résidentiels et 21 branchements non résidentiels actifs sans compteur d’eau et non relevé. La consommation résidentielle est estimée par le calcul suivant :
Consommation non mesurée et facturée * nombre de logements résidentiels / (logements résidentiels + branchements non résidentiels actifs) 
179,406 ML *(829 / (829 + 21))= 174,973 ML.
Art.1.15 : L'écart entre les pertes d'eau réelles 2018 et 2019 s'explique par la bonification des hypothèses utilisées. Les consommations de nuit utilisées ont été mises à jour afin de mieux estimer les pertes d’eau réelles à partir du débit de nuit minimum.
</t>
  </si>
  <si>
    <t xml:space="preserve">Art 1.3 Des tours à condoont étés construites, le réseau subit un important dévelopement
Art 1.13 et Art 2.2 : Pour calculer la consommation résidentielle, un prorata des logements résidentiels et des branchements non résidentiels a été pris en compte.
Sur le réseau, il y a 3 107 logements résidentiels et 117 branchements non résidentiels actifs sans compteur d’eau et non relevé. La consommation résidentielle est estimée par le calcul suivant :
Consommation non mesurée et facturée * nombre de logements résidentiels / (logements résidentiels + branchements non résidentiels actifs) 
513,685 ML *(3 107 / (3 107 + 117))= 495,043 ML.
</t>
  </si>
  <si>
    <t xml:space="preserve">Art 1.3 : Les immeubles résidentiels sont seulement des maisons unifamiliales (Logements = Immeubles). 
Art 1.13 et Art 2.2 : Pour calculer la consommation résidentielle, un prorata des logements résidentiels et des immeubles non résidentiels a été pris en compte.
Sur le réseau, il y a 259 logements résidentiels et 24 immeubles non résidentiels sans compteur d’eau et non relevé. La consommation résidentielle est estimée par le calcul suivant :
Consommation non mesurée et facturée * nombre de logements résidentiels / (logements résidentiels  + immeubles non résidentiels) 
64,372 ML *(259 / (259 + 24))= 58,913 ML.
Art.1.16 et Art. 2.1 : Les pertes d’eau réelles inévitables ont augmenté par rapport au bilan 2018 (4,676 ML). Cette variation s'explique par l'amélioration de la qualité de donnée de la pression sur le réseau. En 2018, seule la pression à la sortie de l'usine était considérée. En 2019, la pression moyenne aux poteaux d'incendie a été utilisée. Cette augmentation des PERI pourrait aussi  expliquer la baisse de l'IFI par rapport au bilan 2018 (2.1).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</si>
  <si>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immeubles non résidentiels a été pris en compte.
Sur le réseau, il y a 3 082 logements résidentiels et 230 immeubles non résidentiels sans compteur d’eau et non relevé. La consommation résidentielle est estimée par le calcul suivant :
Consommation non mesurée et facturée * nombre de logements résidentiels / (logements résidentiels  + immeubles non résidentiels) 
568,011 ML *(3 082 / (3 082+230))= 528,566 ML.
Art.1.13 : Il y a une diminution de la consommation résidentielle par rapport à 2018 (786,608 ML). Cette diminution peut s'expliquer par la modification de l'hypothèse posée par la municipalité sur la consommation non-résidentielle de nuit (voir Art.1.15). Ce changement d'hypothèse de la municipalité a causé une grande diminution de la consommation non mesurée et facturée. Puisque la consommation résidentielle est calculé à partir de la consommation non mesurée et facturé, elle a également diminué. 
Art.1.14 : Il y a une augmentation du volume d’eau distribué par rapport au bilan 2018 (974,294 ML). Cette augmentation est probablement explicable par une augmentation de la consommation non résidentielle par rapport à 2018. En effet, cette augmentation n'est probablement pas attribuable à l'augmentation des PER, car le débit de nuit a diminué par rapport à 2018 (passé de 100 m³/h en 2018 à 120m³/2h en 2019). Pour l'explication concernant l'augmentation des PER malgré la diminution du début de nuit, voir la note de Art.1.15.
Art.1.15 : Une hypothèse avait été faite sur la consommation NR de nuit. En 2017 et 2018, la municipalité estimait la consommation non résidentielle de nuit à 40 m³/h. Cependant, aucune relève sur les compteurs n'avait été faite. Afin d'avoir un bilan le plus représentatif possible, l'hypothèse de consommaiton de nuit a été retirée. Ceci augmente donc grandement les PER par rapport à 2018 (112,785 ML).
Art.2.1 :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
Art.2.2 : Les compteurs ont terminé d'être installés en 2020 et devraient être relevés pour le bilan 2021.</t>
  </si>
  <si>
    <t>Art.2.2 : La municipalité pourra mieux estimer la consommation résidentielle et non résidentielle en effectuant la relève des compteurs d’eau installés.</t>
  </si>
  <si>
    <t xml:space="preserve">Art 1.13 et Art 2.2 : Pour calculer la consommation résidentielle, un prorata des logements résidentiels et des branchements non résidentiels a été pris en compte.
Sur le réseau, il y a 138 logements résidentiels et 10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19,184 ML *(138 / (138 + 10))= 17,888 ML.
Art.2.1 : L'indice de fuites dans les infrastructures est faible, car le réseau est petit. La municipalité peut donc détecter rapidement l’apparition des fuites avec l’analyse de débits de nuit. Elle peut ensuite les localiser et les réparer rapidement. Il n'est pas rare d'observer des fluctuations d'une année à l'autre pour les petits réseaux. 
Art 1.3 &amp; 1.14 : Le nombre de logements a été ajusté par rapport à 2018. Cette augmentation a entrainé la baisse de la quantité d'eau distribuée par personne par jour. </t>
  </si>
  <si>
    <t>Art 2.1 : L'IFI du réseau est très élevé. Plusieurs facteurs dont l'état du réseau et la fiabilité des données sont à prendre en considération. Néanmoins, chaque année, les données tendent à s’améliorer et le niveau de fuites du réseau a tendance à s'améliorer (depuis le début de la Stratégie). En effet, la précision des données s’accroît avec le nombre de compteurs en exploitation, les échantillonnages de plus en plus représentatifs et le raffinement méthodologique des estimations pour les usages partiellement mesurés. Des actions sont mises en place afin d'accroître le contrôle actif des pertes d'eau. Celles-ci incluent, l'écoute des poteaux d’incendie, vannes et robinets d’arrêt accessibles ainsi que la mise en place d'enregistreurs de bruit temporaires. Le réseau primaire demeure un enjeu dû à la grosse dimension des conduites et la grande longueur des conduites. L’auscultation effectuée sur le réseau primaire par la DEP est faite en utilisant la technique intrusive SAHARA.
Art 1.13 et 2.2 : Pour le calcul de la consommation résidentielle, des microsecteurs de Suivi de la consommation ont été faits dans une SRP.  Un total de 311 logements était dans les microsecteurs.  Les consommations par personne par jour calculées ont été les mêmes que les estimations faites pour le Bilan avec la consommation mesurée et facturée de l'arrondissement Saint-Laurent, soit de 300 litres par personne par jour.  Les fuites résidentielles, et qui sont également présentes dans les fuites des ICI, devraient être calculées comme des surconsommations et non pas comme des fuites sur les réseaux. Montréal a un vaste bassin d'immeubles locatifs vieillissants. Il en va de la responsabilité des propriétaires d'apporter les correctifs aux fuites à l'intérieur des bâtiments.
Arrondissement : 
Lachine (148 km des 158 km)</t>
  </si>
  <si>
    <t xml:space="preserve">Art 1.3 à 1.5 : Montréal : 91 248 personnes/44 950 logements + DDO (population totale - 3 200 personnes alimentées par Pointe-Claire) : 47 253 personnes/16 937 logements = 138 501 personnes/61 886 logements.
Art 2.1 : L'IFI du réseau est très élevé. Plusieurs facteurs dont l'état du réseau et la fiabilité des données sont à prendre en considération. Néanmoins, chaque année, les données tendent à s’améliorer et le niveau de fuites du réseau a tendance à s'améliorer (depuis le début de la Stratégie). En effet, la précision des données s’accroît avec le nombre de compteurs en exploitation, les échantillonnages de plus en plus représentatifs et le raffinement méthodologique des estimations pour les usages partiellement mesurés. Des actions sont mises en place afin d'accroître le contrôle actif des pertes d'eau. Celles-ci incluent, l'écoute des poteaux d’incendie, vannes et robinets d’arrêt accessibles ainsi que la mise en place d'enregistreurs de bruit temporaires. Le réseau primaire demeure un enjeu dû à la grosse dimension des conduites et la grande longueur des conduites. L’auscultation effectuée sur le réseau primaire par la DEP est faite en utilisant la technique intrusive SAHARA.
Art 1.13 et 2.2 : Pour le calcul de la consommation résidentielle, des microsecteurs de Suivi de la consommation ont été faits dans une SRP.  Un total de 311 logements était dans les microsecteurs.  Les consommations par personne par jour calculées ont été les mêmes que les estimations faites pour le Bilan avec la consommation mesurée et facturée de l'arrondissement Saint-Laurent, soit de 300 litres par personne par jour.  Les fuites résidentielles, et qui sont également présentes dans les fuites des ICI, devraient être calculées comme des surconsommations et non pas comme des fuites sur les réseaux. Montréal a un vaste bassin d'immeubles locatifs vieillissants. Il en va de la responsabilité des propriétaires d'apporter les correctifs aux fuites à l'intérieur des bâtiments.
Arrondissements :
1. Pierrefonds-Roxboro
2. L'Île-Bizard─Sainte-Geneviève
</t>
  </si>
  <si>
    <t xml:space="preserve">Art 1.3 à 1.5 : Montréal : 1 667 208 personnes / 821 285 logements + Westmount : 20 974 personnes / 9 534 logements = 1 688 182 personnes/830 818 logements
Art 2.1 : L'IFI du réseau est très élevé. Plusieurs facteurs dont l'état du réseau et la fiabilité des données sont à prendre en considération. Néanmoins, chaque année, les données tendent à s’améliorer et le niveau de fuites du réseau a tendance à s'améliorer (depuis le début de la Stratégie). En effet, la précision des données s’accroît avec le nombre de compteurs en exploitation, les échantillonnages de plus en plus représentatifs et le raffinement méthodologique des estimations pour les usages partiellement mesurés. Des actions sont mises en place afin d'accroître le contrôle actif des pertes d'eau. Celles-ci incluent, l'écoute des poteaux d’incendie, vannes et robinets d’arrêt accessibles ainsi que la mise en place d'enregistreurs de bruit temporaires. Le réseau primaire demeure un enjeu dû à la grosse dimension des conduites et la grande longueur des conduites. L’auscultation effectuée sur le réseau primaire par la DEP est faite en utilisant la technique intrusive SAHARA.
Art 1.13 et 2.2 : Pour le calcul de la consommation résidentielle, des microsecteurs de Suivi de la consommation ont été faits dans une SRP.  Un total de 311 logements était dans les microsecteurs.  Les consommations par personne par jour calculées ont été les mêmes que les estimations faites pour le Bilan avec la consommation mesurée et facturée de l'arrondissement Saint-Laurent, soit de 300 litres par personne par jour.  Les fuites résidentielles, et qui sont également présentes dans les fuites des ICI, devraient être calculées comme des surconsommations et non pas comme des fuites sur les réseaux. Montréal a un vaste bassin d'immeubles locatifs vieillissants. Il en va de la responsabilité des propriétaires d'apporter les correctifs aux fuites à l'intérieur des bâtiments.
Art 2.3 : Le résultat de validité de données de l'audit de l'eau de l'AWWA du réseau n'a pas atteint un pointage de 50. Les indices de validité de données du volume d'eau produite et du volume d'eau exportée devraient être augmentés en effectuant annuellement la vérification de la précision de tous les débitmètres de ce réseau.
Arrondissements et ville liée :
1. Ahuntsic-Cartierville 2. Anjou 3. Côte-Des-Neiges─Notre-Dame-de-Grâce 4. Lachine (10 km des 158 km) 5. Lasalle 6. Le Plateau-Mont-Royal 7. Le Sud-Ouest 8. Mercier-Hochelaga-Maisonneuve
9. Montréal-Nord 10. Outremont 11. Rivière-des-Prairies─Pointe-aux-Trembles 12. Rosemont─La Petite-Patrie 13. Saint-Laurent 14. Saint-Léonard 15. Verdun 16. Ville-Marie
17. Villeray─Saint-Michel─Parc-Extension 18. Westmount
</t>
  </si>
  <si>
    <t>Art 2.2 : La consommation résidentielle est mesurée avec des compteurs d'eau</t>
  </si>
  <si>
    <t>Art 1.7 : 5 119 résidentiels et 305 non résidentiels
Art 1.13 : La consommation résidentielle a été estimée par la municipalité car les têtes des compteurs d'eau n'étaient pas fonctionnels.</t>
  </si>
  <si>
    <t xml:space="preserve">Art 1.13 et Art 2.2 : Pour calculer la consommation résidentielle, un prorata des logements résidentiels et des branchements non résidentiels a été pris en compte.
Sur le réseau, il y a 8 498 logements résidentiels et 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1686,268 ML *(8 498 / (8498 + 0))= 1686,268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</si>
  <si>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1.3: il y a un logement de moins qu'en 2018.
Art 1.4 : L’estimation 2019 du nombre de personnes par logements de statistique Canada sous-estime la population résidentielle desservie et occupée de façon permanente. Une population de 375 personnes est plus représentative (même nombre de personnes par logement qu'en 2018).
Art 1.14: le volume d'eau distribué est quasiment le même entre 2018 et 2019. Pas d'inquiétude au niveau des pertes d'eau.
Art.1.15 : Les pertes d’eau réelles ont diminué par rapport au bilan 2018 (en passant de 10,950 ML en 2018 à 4,235 ML en 2019). D'une part au bilan 2018, le débit de nuit de 2017 a été utilisé et il y a eu des réparations de fuite entre 2017 et 2019. D'autre part la bonification  des hypothèses qui prend en compte en 2019 une consommation nocturne résidentielle alors qu'en 2018 celle-ci est négligée.
Art 1.16: Il y a une diminution des pertes d'eau réelles inévitables (PERI) car la pression à la sortie de l'usine été prise en compte pour 2018 alors qu'en 2019 c'est la pression moyenne aux bornes-fontaines.
Art.2.2 : La consommation résidentielle par personne estimée est élevée, car d'une part, la méthode d'estimation prend la consommation non résidentielle sans compteur d'eau et non relevés au même niveau que la consommation résidentielle. D'autre part comme l'estimation des pertes d'eau en 2019 (bonification de la méthode) donne des PER plus faibles qu'en 2018 alors la consommation résidentielle estimée est plus élevée qu'en 2018 (car le volume d'eau distribué est quasiment le même entre 2018 et 2019).
</t>
  </si>
  <si>
    <t xml:space="preserve">Note : La municipalité n'a pas de débitmtère à la distribution, mais seulement un débitmètre à l'eau brute sur une pompe à débit constant. Il n'est donc présentement pas possible d'estimer les pertes d'eau réelles sur le réseau. Pour le bilan 2019, l'hypothèse suivante a été posée : puisque le réseau date de 2007, les conduites sont probablement en relativement bon état. Un IFI de 1 a donc été posé. Le reste de l'eau distribué a été compté dans la consommation. De plus, comme il est impossible de diviser la consommation résidentielle et non résidentielle en l'absence de compteurs d'eau, alors l'hypothèse suivante a été posée : un branchement de service non-résidentiel consomme autant d'eau qu'un logement permanent. 
Art.1.9 : La pression moyenne sur le réseau est élevée. Ceci s'explique par le fait que la pression n'est prise qu'à l'usine et que la municipalité doit fournir une grande pression afin de désservir l'ensemble de son réseau.
Art 1.13 et Art 2.2 : Pour calculer la consommation résidentielle, la quantité d’eau distribuée par la municipalité à l’extérieur de la saison touristique (juin à octobre) a été utilisée et répartie selon le nombre de logements résidentiels et de branchements non résidentiels connectés sur le réseau.
Sur le réseau, il y a 128 logements résidentiels et 21 branchements non résidentiels actifs sans compteur d’eau et non relevé. La consommation résidentielle est estimée par le calcul suivant :
(Consommation non mesurée et facturée - surconsommation saisonnière) * nombre de logements résidentiels / (logements résidentiels + branchements non résidentiels actifs) 
(50,729 ML - 16,708 ML) *(128 / (128 + 21))= 29,226 ML.
Art.2.2 : La consommation résidentielle par personne estimée est élevée, car la méthode d'estimation prend la consommation non résidentielle sans compteur d'eau et non relevés au même niveau que la consommation résidentielle. De plus, puisqu'une hypothèse a été posée sur les PER afin d'avoir un IFI de 1, il est possible que la consommation soit surévaluée. </t>
  </si>
  <si>
    <t xml:space="preserve">Note : Afin d’avoir des données représentatives sur les pertes d’eau dans la municipalité, il est recommandé d’installer un débitmètre à la distribution avec un enregistreur de données. Ceci permettrait de mesurer le débit de nuit minimum sur l’ensemble de l’année et d’estimer les PER annuelles. 
Art.2.2 : Afin de mieux estimer la consommation d’eau de la municipalité et de séparer la consommation des résidents permanents de celle des commerces et industrie avec une grande consommation (tel que les hôtels, les motels, les chalets et les campings), la municipalité pourrait installer des compteurs d’eau dans le secteur non résidentiel et dans un échantillon d'immeuble résidentiel et procéder à leur relève annuellement. </t>
  </si>
  <si>
    <t xml:space="preserve">Art 1.13 et 2.2: La consommation résidentielle est estimée avec les relèves 2019 de l’échantillon des 60 compteurs résidentiels.  L'estimation de la consomation est élevée, mais sera raffinée au courant des prochaines années, à l'aide de plus de lectures.
Art 1.9: La pression est élevée, car la région est montagneuse et la municipalité à besoin de cette pression pour atteindre les points hauts.
</t>
  </si>
  <si>
    <t>Art 1.13 et 2.2: La consommation résidentielle est estimée avec les relèves 2019 de l’échantillon des 60 compteurs résidentiels. L'estimation de la consomation est élevée, mais sera raffinée au courant des prochaines années, à l'aide de plus de lectures.
Art 1.14: L'eau distribuée est supérieure à 1000 L/pers/jour, car l'afflux touristique est très important. De nombreux résidents non-permanents consomment l'eau du réseau. 
Art 1.9: La pression est élevée, car la région est montagneuse et la municipalité à besoin de cette pression pour atteindre les points hauts.</t>
  </si>
  <si>
    <t>Art 1.4 : L’estimation 2019 du nombre de personnes par logements de statistique Canada sous-estime la population résidentielle desservie et occupée de façon permanente. Une population de 637 personnes est plus représentative.
Art.1.7 : La variation du nombre de branchement par rapport à 2018 s'explique par une erreur dans les formulaires précédents. Le nombre de logement avait été compté plutôt que le nombre de branchements de service. Ceci explique la variation des PERI par rapport à 2018 (15,042 ML).
Art.1.13 : La consommation résidentielle a été estimée à partir de la relève d'un échantillon de 8 compteurs résidentiels relevés sur l'ensemble de l'année 2019. La variation de la valeur peut être expliqué parce que 2 compteurs on été retirés car leur consommation était anormalement élevé. Des branchements mixtes avaient été comptés comme des compteurs résidentiel, ce qui surestimait la consommation résidentielle de la municipalité. 
Art.1.14 : La variation de l'eau distribuée par rapport à 2018 (332,455 ML) peut être expliqué par 2 facteurs. Premièrement, la municipalité a réparé 4 fuites en 2019, ce qui pourrait avoir contribué à diminuer les PER et le volume d'eau distribué. De plus, des problèmes d'automate ont eu lieu en juillet, août et septembre 2019  et les volumes ont dû être extrapolé. Cette incertitude pourrait aussi partiellement expliquer une variation de l'eau distribuée par rapport à 2018.
Art.1.15 : Les pertes d'eau réelles ont diminué depuis 2018 (185,364 ML), de même que l'eau distribuée (332,455 ML). Cependant, les pertes sont encore élevées. Une compagnie vient à chaque année de localiser les fuites. En 2019, 4 fuites ont été localisées et la municipalité les a réparées. 
Art.2.1 : Les pertes d'eau et l'IFI sont élevés car le réseau de distribution de Murdochville est vieillissant et comporte de nombreuses fuites malgré les nombreuses réparations annuelles. De plus, durant toute la période hivernale, plusieurs résidents de la municipalité doivent laisser couler l'eau afin d'éviter que les conduites gèlent.</t>
  </si>
  <si>
    <t>Art.1.9 : La pression moyenne du réseau est élevée, car il y a beaucoup de dénivelés sur ce réseau. Il y a aussi un poste de surpression.
Art 1.13 et Art 2.2 : Pour calculer la consommation résidentielle, un prorata des logements résidentiels et des branchements non résidentiels a été pris en compte.
Sur le réseau, il y a 235 logements résidentiels et 44 branchements non résidentiels actifs sans compteur d’eau et non relevé. La consommation résidentielle est estimée par le calcul suivant :
Consommation non mesurée et facturée * nombre de logements résidentiels / (logements résidentiels + branchements non résidentiels actifs) 
35,200 ML * 235 / (235 + 44) = 29,648 ML.
Art.1.15 : L'écart entre les pertes d'eau réelles 2018 et 2019 s'explique par la bonification des hypothèses utilisées. Les consommations de nuit utilisées ont été mises à jour afin de mieux estimer les pertes d’eau réelles à partir du débit de nuit minimum.</t>
  </si>
  <si>
    <t xml:space="preserve">Art 1.2 : La pression moyenne est basse, car la distribution est gravitaire et ce réseau est surélevé par rapport au réseau Laval. La pression est donc plus faible à cause de l'élévation du réseau. 
Art 1.13 et Art 2.2 : Pour calculer la consommation résidentielle, un prorata des logements résidentiels et des branchements non résidentiels a été pris en compte.
Sur le réseau, il y a 163 logements résidentiels et 9 branchements non résidentiels actifs sans compteur d’eau et non relevé. La consommation résidentielle est estimée par le calcul suivant :
Consommation non mesurée et facturée * nombre de logements résidentiels / (logements résidentiels + branchements non résidentiels actifs) 
26,961 ML * 163 / (163 + 9) = 25,550 ML.
Art.1.14 : Il y a une augmentation du volume d’eau distribué par rapport au bilan 2018, Fuite 20j
</t>
  </si>
  <si>
    <t>Entente de compilation de données pour un réseau de distribution commun :
Municipalité exportatrice : Napierville (68030)
Municipalité importatrice : Saint-Cyprien de Napierville (68035)
Napierville : 1 759log, 2,35 pers/log, 4 134 pers
Saint-Cyprien-de-Napierville : 24 log, 3,53 pers/log, 85 pers
Indice de fuites dans les infrastructures (IFI) du réseau commun : 4,1
Contrôle actif des fuites (localisation et réparation) : oui
Consommation résidentielle estimée pour ce réseau commun : 194 l/pers/d
Eau distribuée pour ce réseau commun : 303 l/pers/d
Installation de compteurs d’eau à la consommation requise : non
Résultat de validité des données de l’audit de l’eau AWWA : 49
Art 1.4: Le nombre de personnes par logements a été modifié afin d'englober toute la population de l'entente de compilation de données.
Art 1.13 et Art 2.2 : Pour calculer la consommation résidentielle, un prorata des logements résidentiels et des logements non résidentiels a été pris en compte.
Sur le réseau, il y a 1759 logements résidentiels et 89 immeubles non résidentiels. La consommation résidentielle est estimée par le calcul suivant :
 Consommation non mesurée et facturée * nombre de logements résidentiels / (logements résidentiels  + immeubles non résidentiels) 
313,778 ML *(1783/ (1783+94))= 298,064 ML.
Art 2.1 et Art 2.2 : La bonification des hypothèses de l'analyse de débit de nuit a pour conséquence de faire augmenter l'IFI et de diminuer la consommation résidentielle. De plus le débit de nuit a augmenté entre 2018 et 2019. Ces deux facteurs combinés explique  l'augmentation de l'IFI en 2019 et la diminution de la consommation résidentielle.
Art 2.3 : Le résultats de validité de données est de 49, puisque 59 jours de données sont manquantes à l'eau distribuée.</t>
  </si>
  <si>
    <t xml:space="preserve">1.14 - Le débitmètre n’a pas été vérifié. Par conséquent, l’erreur associée au volume d’eau distribué n’est pas connue. Art 1.13 et Art 2.2 :                                                                                                                                                                                                                                           Pour calculer la consommation résidentielle, un prorata des logements résidentiels et des branchements non résidentiels a été pris en compte.
Sur le réseau, il y a72 logements résidentiels et 3 branchements non résidentiels sans compteur d’eau et non relevé. La consommation résidentielle est estimée par le calcul suivant :
Consommation non mesurée et facturée * nombre de logements résidentiels / (logements résidentiels + branchements non résidentiels) 
9,700 ML *(72 / (72 + 3))= 9,312 ML.
</t>
  </si>
  <si>
    <t xml:space="preserve">Art 1.13 et Art 2.2 : Pour calculer la consommation résidentielle, un prorata des logements résidentiels et des branchements non résidentiels a été pris en compte.
Sur le réseau, il y a 1316 logements résidentiels et 98 branchements non résidentiels sans compteur d’eau et non relevé. La consommation résidentielle est estimée par le calcul suivant :
Consommation non mesurée et facturée * nombre de logements résidentiels / (logements résidentiels + branchements non résidentiels) 
259,166 ML *(1316 / (1316 + 98))= 241,204 ML.
Art.1.15 : Les pertes d’eau réelles ont augmenté par rapport au bilan 2018. Deux bris importants ont été réparés au courant de l'année 2020. La municipalité est au fait de la situation et tentera de réduire les pertes d'eau au courant des prochaines années.
</t>
  </si>
  <si>
    <t>Note : La municipalité n'a pas d'enregistreur de donnée pour mesurer le débit de nuit quotidien. Elle a mandaté une firme afin de mesurer le débit de nuit une journée. Au moment de la lecture, il y avait 2 fuites sur des branchements de service, ce qui a surestimé le débit de nuit minimum. Afin de corriger le débit de nuit, un facteur de correction de 79,78% a été calculé en divisant la consommation quotidienne moyenne en l'absence de fuite (730 m³/j) par la consommation quotidienne moyenne durant la fuite (915 m³/j). Ce facteur a été appliqué au débit de nuit afin de calculer l'IFI corrigé sans la fuite. De plus, le volume des fuites (26,993 ML) a été retiré lors de l'évaluation de la consommation résidentielle à l'article 1.13.
Art 1.13 et Art 2.2 : Pour calculer la consommation résidentielle, un prorata des logements résidentiels et des branchements non résidentiels a été pris en compte.
Sur le réseau, il y a 530 logements résidentiels et 53 branchements non résidentiels sans compteur d’eau et non relevé. La consommation résidentielle est estimée par le calcul suivant :
Consommation non mesurée et facturée * nombre de logements résidentiels / (logements résidentiels + branchements non résidentiels) 
(172,571 ML - 26,993 ML) *(530 / (530 + 53))= 126,223 ML.
Art.1.14 : Il y a une diminution du volume d’eau distribué par rapport au bilan 2018. Le débitmètre n’a pas été vérifié. Par conséquent, l’erreur associée au volume d’eau distribué n’est pas connue. De plus, 5 fuites ont été réparées durant l’année 2019, dont une fuite qui coulait depuis 2018 et a été détectée en 2019. Ceci a diminué l’eau distribuée. 
Art.2.1 : L'indice de fuites dans les infrastructures est élevé. Les pertes d’eau réelles sont élevées, car une donnée débit de nuit a été prise plutôt que des données sur l’ensemble de l’année 2019. En 2020, afin de bien estimer les pertes d’eau la municipalité peut se servir des données des débits de nuits sur l’ensemble de l’année.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De plus, la consommation résidentielle par personne estimée est élevée, car la méthode d'estimation prend la consommation non résidentielle sans compteur d'eau et non relevés au même niveau que la consommation résidentielle. 
Art 2.3 : Résultat de 38 dû à une cote de 3 attribuée au volume d'eau produite, car le débitmètre n’a pas été vérifiés. Afin d'augmenter cette cote, les débitmètres devrait être vérifié annuellement tout en s’assurant de respecter les conditions d’installation du manufacturier.</t>
  </si>
  <si>
    <t>Art.1.15 et Art.2.1 : La municipalité pourrait mieux estimer ses pertes d'eau avec un enregistreur de données sur le débitmètre à la distribution. 
Art.2.2 : La municipalité pourrait mieux estimer la consommation résidentielle en installant des compteurs d’eau et en effectuant des relèves.</t>
  </si>
  <si>
    <t xml:space="preserve">Art. 1.9 : La pression en 2018 avait été prise à la sortie de l'usine. La pression 2019 est la pression moyenne aux poteaux incendie, ce qui peut expliquer la différence de valeurs. Cette variation faut aussi augmenter les PERI.
Art 1.13 et Art 2.2 : Pour calculer la consommation résidentielle, un prorata des logements résidentiels et des branchements non résidentiels a été pris en compte.
Sur le réseau, il y a 1728 logements résidentiels et 203 branchements non résidentiels actifs sans compteur d’eau et non relevé. La consommation résidentielle est estimée par le calcul suivant :
Consommation non mesurée et facturée * nombre de logements résidentiels / (logements résidentiels + branchements non résidentiels) 
502,072 ML *(1728 / (1728 + 203))= 449,291 ML.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t>
  </si>
  <si>
    <t>Art 1.3 et Art 2.2 : La consommation résidentielle est estimée avec les relèves 2019 de compteurs d'eau de 4154 logements résidentiel. Il n'y a pas de différence entre la relève de compteurs résidentiel et non résidentiel, mais on sait que le secteur résidentiel représente 87,6% du volume consommé. Il y a également 26 logements résidentiel sans compteurs et non relevé. 
Pour calculer la consommation résidentielle, on effectue le calcul suivant:
Consommation résidentielle estimée = Volume mesuré et facturé * 0,876 + volume non mesuré et facturé
Consommation résidentielle estimée = 782,518 ML * 0,876 + 4,290 ML = 689,776 ML
Art.1.14 et Art.2.1 : Il y a une augmentation  du volume d’eau distribué par rapport au bilan 2018. Il y a peut-être l'apparition de certaines fuites qui expliquerait la hausse des pertes d’eau réelles et de l’eau distribuée. Celles-ci n’ont pas été détectées, car la municipalité n’a pas fait de recherche de fuites. Puisque les pertes d'eau réelles ont augmenté, l'indice de fuites dans les infrastructures a également augmenté.
Art.1.16 : Les pertes d'eau réelles inévitables ont augmenté par rapport au Bilan 2018. Ceci peut s'expliquer par le fait que les données de pression et du nombre de branchements de service ont été revu à la hausse.</t>
  </si>
  <si>
    <t xml:space="preserve">Art 1.9: Pression élevée dû à la topographie montagnieuse.
Art. 2.1 : L'indice de fuites dans les infrastructures dépasse l'objectif. Les pertes d'eau réelles ont été déterminées à partir des débits de nuit et ce dernier est assez élevé dû à de nombreuses fuites à travers le réseau de la municipalité. La municipalité vient de finaliser des travaux de sectorisation ainsi que l'installation de compteurs d'eau dans les immeubles non résidentiel à grande consommation. À partir du Bilan 2020, il sera possible de départager les consommations non résidentielles de nuit et les fuites sur le réseau. Une meilleure connaissance de la problématique permettra aussi de mieux orienter les actions sur le terrain pour réduire les fuites. D'ailleurs, à noter qu'après la réparation d'une fuite sur une conduite principale en 2020, la débit journalier est passé d'environ 700 m³/d à 400 m³/d. 
Art 1.3 et Art 2.2 : Pour calculer la consommation résidentielle, un prorata des logements résidentiels et des logements non résidentiels ont été pris en compte.
Sur le réseau, il y a 355 logements résidentiels et 83 immeubles non résidentiels. La consommation résidentielle est estimée par le calcul suivant :
 Consommation non mesurée et facturée * nombre de logements résidentiels / (logements résidentiels  + immeubles non résidentiels) 
138,915 ML *(355 / (355+83))= 112,591 ML.
Art 2.3: La quantité d'eau distribuée est supérieure à 1000 l/(pers*d), à cause de l'important volume de pertes d'eau sur le réseau ainsi que certainement dû à la présence du Golf qui est un grand consommateur. Un compteur vient d'être installé sur le Golf pour connaître réellement sa consommation.
</t>
  </si>
  <si>
    <t xml:space="preserve">Art 1.13 et Art 2.2 : Pour calculer la consommation résidentielle, un prorata des logements résidentiels et des branchements non résidentiels a été pris en compte.
Sur le réseau, il y a 268 logements résidentiels et 27 branchements non résidentiels actifs sans compteur d’eau et non relevé. La consommation résidentielle est estimée par le calcul suivant :
Consommation non mesurée et facturée * nombre de logements résidentiels / (logements résidentiels + branchements non résidentiels actifs) 
 62,294 ML *(268/ (268 + 27))= 56,592 ML.
Art.2.2 : La consommation résidentielle par personne estimée est élevée, car la méthode d'estimation prend la consommation non résidentielle sans compteur d'eau et non relevés au même niveau que la consommation résidentielle. 
</t>
  </si>
  <si>
    <t xml:space="preserve">Art 1.13 et 2.2: Consommation résidentielle mesurée à l'aide de compteurs d'eau.
Art 2.2: Une fuite importante a été découverte sur un branchement de service d'une maison. Considérant la taille de la municipalité, cette fuite a certainement eu un impact sur la consommation résidentielle moyenne.
Art 2.1: La petite taille du réseau et le fait que l'ensemble des consommations soient mesurées, fait en sorte que l'IFI est très faible.
À noter qu'une partie de la municipalité de Notre-Dame-de-Bonsecours est desservie par un réseau appartenant à la municipalité de Fassett.
</t>
  </si>
  <si>
    <t>Art 1.13 et Art 2.2 : Pour calculer la consommation résidentielle, un prorata des logements résidentiels et des branchements non résidentiels a été pris en compte.
Sur le réseau, il y a 69 logements résidentiels et 7 branchements non résidentiels sans compteur d’eau et non relevé. La consommation résidentielle est estimée par le calcul suivant :
Consommation non mesurée et facturée * nombre de logements résidentiels / (logements résidentiels + branchements non résidentiels) 
9,741 ML *(69 / (69 + 7))= 8,8438 ML
Art.1.15 : L'écart entre les pertes d'eau réelles 2018 et 2019 s'explique par l'ajustement des hypothèses utilisées. En effet, en 2018, les consommations de nuit du secteur non résidentiel et du secteur résidentiel n'ont pas été prises en compte mais en 2019, la consommation de nuit du secteur résidentiel a été prise en compte. Ceci explique les diminution des pertes d'eau réelles d'une année à l'autre.
Art 2.2 : Il y a une augmentation de la consommation résidentielle par rapport au bilan 2018. En effet, l'ajustement des hypothèses utilisées pour l’estimation des pertes d’eau réelles a entrainé une diminution des pertes d’eau et par conséquent une augmentation de la consommation résidentielle.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</si>
  <si>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 xml:space="preserve">Art 1.13 : La consommation résidentielle est calculée selon la relève des compteurs d'eau. 
Art 2.1 : On observe une baisse de l'IFI et des PER. En effet, au bilan 2019, une estimation des consommation des immeubles non munis de compteurs d'eau a été réalisée. Ce n'était pas le cas au bilan 2018. Ceci explique cette baisse. </t>
  </si>
  <si>
    <t>Art 1.9 : La pression moyenne du réseau est faible, puisque la municipalité distribue son eau de façon gravitaire et qu'au vu de la quasi-absence de poteaux incendies, le réseau ne bénéficie pas de protection incendie.
Art 1.3 et Art 2.2 : Pour calculer la consommation résidentielle, un prorata des logements résidentiels et des immeubles non résidentiels a été pris en compte.
Sur le réseau, il y a 402 logements résidentiels et 56 immeubles non résidentiels sans compteur d’eau et non relevé. La consommation résidentielle est estimée par le calcul suivant :
Consommation non mesurée et facturée * nombre de logements résidentiels / (logements résidentiels  + immeubles non résidentiels) 
72,670 ML *(402 / (402+56))= 63,7845 ML.
Art.1.15 : L'écart entre les pertes d'eau réelles 2018 et 2019 s'explique par la bonification des hypothèses utilisées. Les consommations de nuit utilisées ont été mises à jour afin de mieux estimer les pertes d’eau réelles à partir du débit de nuit minimum.
Art 1.16 : Les pertes d'eau réelles inévitables ont diminué par rapport à 2018 (6,437 ML/an), puisque les données de branchements de services et de pression ont été révisées cette année. Le nombre de branchements de service a augmenté tandis que la valeur de la pression a diminuer.
Art 2.1 : L'indice de fuites dans les infrastructures a augmenté par rapport à 2018. Ceci est dû au fait que les pertes d'eau réelles ont augmenté tandis que les pertes d'eau réelles inévitables ont diminué cette année.</t>
  </si>
  <si>
    <t xml:space="preserve">Art 1.3 : Le nombre de logements résidentiels a changé depuis 2019, car il a précédemment été inscrit le nombre de branchements de services, plutôt que le nombre de logements résidentiels desservis et occupés de façon permanente. Avec 90 branchements résidentiels, le nombre total de logements résidentiels est de 97.
Art 1.13 et Art 2.2 : Pour calculer la consommation résidentielle, un prorata des logements résidentiels et des branchements non résidentiels a été pris en compte.
Sur le réseau, il y a 97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15,977 ML *(97 / (97+ 14))= 13,962 ML
Art.1.14 : Il y a une diminution du volume d’eau distribué par rapport au bilan 2018. Puisque le réseau est petit, l’eau distribuée fluctue beaucoup en raison des fuites qui peuvent apparaître et des délais de réparations.
Art.1.15 : L'écart entre les pertes d'eau réelles 2018 et 2019 s'explique par la bonification des hypothèses utilisées. Les consommations de nuit utilisées ont été mises à jour afin de mieux estimer les pertes d’eau réelles à partir du débit de nuit minimum. De plus, le débit de nuit est aux alentours de 0,1 m3/h en 2019, alors qu'en 2018 il a été considéré à 2,44 m3/h (le répondant trouve que 2,44 m3/h est très élevé). En 2019 les données mesurées par l'enregistreur sont disponibles.
Art 1.15: Comme le réseau est très petit et neuf (construit en 2010), alors le débit de nuit est très petit, par conséquent les pertes d'eau aussi. Même en supposant qu'il n’y a aucune consommation de nuit l'IFI est toujours inférieur à 0,5.
Art.2.2 : La consommation résidentielle par personne estimée est élevée, car la méthode d'estimation prend la consommation non résidentielle sans compteur d'eau et non relevés au même niveau que la consommation résidentielle. De plus, il existe 7 petites purges permanentes sur le réseau dont le volume est inconnu, par conséquent ce volume est considéré comme de la consommation et cela augmentent la consommation résidentielle.
</t>
  </si>
  <si>
    <t xml:space="preserve">Art 1.4 : Le nombre de logements et la population sont les mêmes qu’en 2018.
Art 1.13 et Art 2.2 : Pour calculer la consommation résidentielle, un prorata des logements résidentiels et des branchements non résidentiels a été pris en compte.
Sur le réseau, il y a 99 logements résidentiels et 7 branchements non résidentiels actifs sans compteur d’eau et non relevé. La consommation résidentielle est estimée par le calcul suivant :
Consommation non mesurée et facturée * nombre de logements résidentiels / (logements résidentiels + branchements non résidentiels actifs) 
14,813 ML *(99 /(99 + 7))= 13,836 ML.
Art.2.1 : L'indice de fuites dans les infrastructures est faible, car le réseau est petit. La municipalité peut donc détecter rapidement l’apparition des fuites avec l’analyse de débits de nuit. Elle peut ensuite les localiser et les réparer rapidement. 
</t>
  </si>
  <si>
    <t xml:space="preserve">Art 1.13 et Art 2.2 : Pour calculer la consommation résidentielle, un prorata des logements résidentiels et des branchements non résidentiels a été pris en compte.
Sur le réseau, il y a 378 logements résidentiels et 8 branchements non résidentiels actifs sans compteur d’eau et non relevé. La consommation résidentielle est estimée par le calcul suivant :
Consommation non mesurée et facturée * nombre de logements résidentiels / (logements résidentiels + branchements non résidentiels actifs) 
54,435 ML *(378 / (378 + 8)= 53,307 ML.
Art 1.14 : Tout comme l'année précédente, ce réseau comporte une faible quantité d'eau distribuée par personne. Cet indicateur est faible, car il s'agit d'un réseau avec très peu de consommation non résidentielle.
</t>
  </si>
  <si>
    <t>Art 1.13 et 2.2: La consommation résidentielle est estimée avec les relèves 2019 de l’échantillon des 20 compteurs résidentiels. 
Art 1.13 et 2.2 : La municipalité a des logements non permanents sur le réseau dont la consommation n'est pas présentement estimée. Afin d'estimer la consommation résidentielle non permanente, la municipalité considère ajouter un échantillon de compteurs dans les résidences non-permanentes. Ceci pourrait avoir un impact sur l'IFI aux prochains bilans.</t>
  </si>
  <si>
    <t>Art 1.3 : Le nombre de logements et la population sont les mêmes qu’en 2018. (Confirmé verbalement par la municipalité)
Art 1.6-1.9 : Les valeurs sont les mêmes qu’en 2018. (Confirmé verbalement par la municipalité)</t>
  </si>
  <si>
    <t xml:space="preserve">Art 1.13 et Art 2.2 : Pour calculer la consommation résidentielle, un prorata des logements résidentiels et des branchements non résidentiels a été pris en compte.
Sur le réseau, il y a 4 028 logements résidentiels et 43 branchements non résidentiels sans compteur d’eau et non relevé. La consommation résidentielle est estimée par le calcul suivant :
Consommation non mesurée et facturée * nombre de logements résidentiels / (logements résidentiels + branchements non résidentiels) 
895,234 ML *(4 028 / (4 028 + 43))= 885,778 ML.
Art 1.15, Art 2.1 et Art 2.2 : L'analyse de débit de nuit ayant été faite avec un débit de nuit plus important que l'an passé. Les pertes d'eau réelles ont donc augmenté et donc l'IFI a aussi augmenté. Ce qui entraîne une baisse de la consommation résidentielle cette année.
</t>
  </si>
  <si>
    <t>La municipalité pourrait mieux estimer la consommation résidentielle en installant des compteurs d’eau et en effectuant des relèves.
L'IFI étant proche de l'objectif, il serait intéressant d'effectuer de la recherche de fuites en 2020, afin de savoir s'il y a des fuites sur le réseau.</t>
  </si>
  <si>
    <t xml:space="preserve">Art 1.13 et Art 2.2 : Pour calculer la consommation résidentielle, un prorata des logements résidentiels et des branchements non résidentiels a été pris en compte.
Sur le réseau, il y a 754 logements résidentiels et 33 branchements non résidentiels sans compteur d’eau et non relevé. La consommation résidentielle est estimée par le calcul suivant :
Consommation non mesurée et facturée * nombre de logements résidentiels / (logements résidentiels + branchements non résidentiels) 
141,845 ML *(754 / (754 + 33))= 135,897 ML.
Art 1.4 et Art. 1.5: Le nombre de personnes par logements a changé selon statistiques Canada de 2018 (2,16) à 2019(2,4.) Ce nombre a augmenté et donc, la population de la municipalité a également augmenté.
Art.1.14 : Il y a une augmentation  du volume d’eau distribué par rapport au bilan 2018. Le débitmètre n’a pas été vérifié. Par conséquent, l’erreur associée au volume d’eau distribué n’est pas connue. Aussi, La quantité d'eau distribuée a comme été estimé en fonction de la consommation de l'usine Agropur qui comsomme 76% de l'eau distrubué. De plus, les outils 2018 ont deux valeurs différentes d"eau distribuée dans l'AWWA et dans l'onglêt audit de l'eau du bilan. Toutes ces raisons peuvent expliquer la difference dans les quantités d'eau distribuée d'une année à l'autre.
Art.1.15 : Les pertes d’eau réelles ont diminué par rapport au bilan 2018.  L'écart entre les pertes d'eau réelles 2018 et 2019 s'explique par la bonification des hypothèses utilisées. Les consommations de nuit utilisées ont été mises à jour afin de mieux estimer les pertes d’eau réelles à partir du débit de nuit minimum. La lecture des compteurs d'eau au prochain bilan permettra de mieux estimer cette valeur.
Art.2.2 : La consommation résidentielle par personne estimée est élevée, car la méthode d'estimation prend la consommation non résidentielle sans compteur d'eau et non relevés au même niveau que la consommation résidentielle. Il y a augmentation de la consommation résidentielle comparer à 2018. Il a été estimé qu'une plus grande quantité d'eau a été distribuée en 2019 et le plus gros comsommateur de la municipalité (Agropur) a consommé  moins d'eau cette année. Puisque la méthode d'estimation prend la consommation non résidentielle sans compteur d'eau et non relevés au même niveau que la consommation résidentielle, on a donc une consommation résidentielle plus élevée. 
Art 2.3 : Résultat de 46 dû à une cote de 5 attribuée au volume d'eau produite, car le débitmètre n’a pas été vérifiés. Afin d'augmenter cette cote, les débitmètres devrait être vérifié annuellement tout en s’assurant de respecter les conditions d’installation du manufacturier.
</t>
  </si>
  <si>
    <t>Art 1.13 et Art 2.2 : Pour calculer la consommation résidentielle, un prorata des logements résidentiels et des branchements non résidentiels a été pris en compte.
Sur le réseau, il y a 2 407 logements résidentiels et 80 branchements non résidentiels sans compteur d’eau et non relevé. La consommation résidentielle est estimée par le calcul suivant :
Consommation non mesurée et facturée * nombre de logements résidentiels / (logements résidentiels + branchements non résidentiels) 
442,507 ML *(2 407 / (2 407 + 80))= 428,273 ML.
Art.1.15 : L'écart entre les pertes d'eau réelles 2018 et 2019 s'explique par la bonification des hypothèses utilisées. Les consommations de nuit utilisées ont été mises à jour afin de mieux estimer les pertes d’eau réelles à partir du débit de nuit minimum. En 2018, les pertes on étés établies par la moyenne des  dernières années, ce qui n'est plus utilisé cette année.
Art1.16 : Le nombre de branchements de services a été revu à la hausse par la municipalité pour mieux représenter sa situation. Ceci a fait augmenté la valeur de PERI de la municipalité.</t>
  </si>
  <si>
    <t>Art 1.13 et 2.2: La consommation résidentielle est estimée avec les relèves 2019 de l’échantillon des 18 compteurs résidentiels avec une consommation moyenne de 197,04 m3/an/logement.
Art.1.14 : Il y a une diminution du volume d’eau distribué par rapport au bilan 2018. 5 fuites ont été réparées durant l’année 2018/2019. Ceci a diminué les pertes d’eau réelles et l’eau distribuée. 
Art. 1.16 :  Il y a une diminution de PERI par rapport au bilan 2018.  Ceci est causé par un diminution de pression moyenne de 42 mètres d'eau en 2018 a 36,1 mètres d'eau en 2019.</t>
  </si>
  <si>
    <t>Art. 1.3 : La municipalité compte environ 500 résidences permanentes, mais uniquement 88 d'entres elles sont désservies par le réseau d'aqueduc.
Art. 1.9 : La pression élevée est mesurée aux bornes incendies. 
Art. 1.12 : La municipalité prévoit faire un prolongement du réseau avec un agrandissement à l'installation de production.
Art.1.13 : La consommation résidentielle a été mesurée par des compteurs d'eau.
Art 1.13 : La très faible quantité d'eau distribuée par personne dans la municipalité s'explique par  la sensibilisation constante que la municipalité effectue envers la population.
Art.2.1 : L'indice de fuites dans les infrastructures est faible, car le réseau est petit. La municipalité peut donc détecter rapidement l’apparition des fuites avec l’analyse de débits de nuit. Elle peut ensuite les localiser et les réparer rapidement. 
Art 2.2 : Tout comme l'année précédente, ce réseau comporte une faible quantité d'eau distribuée par personne. Cet indicateur est faible, car il s'agit d'un réseau comportant de petites maisons consommant peu selon la municipalité. Les compteurs ont été posés entre 2013 et 2015.</t>
  </si>
  <si>
    <t xml:space="preserve">Art 1.3 et 1.5 : Il y a eu erreur concernant le nombre de logements dans les formulaires antérieurs, le nombre de logements 2019 est la valeur corrigée soit 162 logements desservis et occupés de façon permanente. Ce nombre provient du rapport de taxation et il est plus représentatif. La population desservie a donc également évoluée.
Art 1.13 et Art 2.2 : Pour calculer la consommation résidentielle, un prorata des logements résidentiels et des immeubles non résidentiels a été pris en compte.
Sur le réseau, il y a 162 logements résidentiels et 4 immeubles non résidentiels sans compteur d’eau et non relevé. La consommation résidentielle est estimée par le calcul suivant :
Consommation non mesurée et facturée * nombre de logements résidentiels / (logements résidentiels  + immeubles non résidentiels) 
18,580 ML *(162 / (162 + 4))= 18,132 ML.
Art.1.14 et 2.2 : Il y a une diminution du volume d’eau distribué par rapport au bilan 2018. Cela provient d'une campagne de sensibilisation citoyenne afin de favoriser la réparation des appareils défectueux au sein des bâtiments résidentiels.
Art.1.16 : L'écart entre les pertes d'eau réelles inévitables 2018 et 2019 s'explique par la modification de la pression. En 2018, la pression était indiquée en PSI et non en mètres d'eau.
Art.2.1 : L'indice de fuites dans les infrastructures est faible, car le réseau est petit. La municipalité peut donc détecter rapidement l’apparition des fuites avec l’analyse de débits de nuit. Elle peut ensuite les localiser et les réparer rapidement. 
Art 2.2 : Tout comme l'année précédente, ce réseau comporte une faible quantité d'eau distribuée par personne. Cet indicateur est faible, car il s'agit d'un réseau comportant de petites maisons consommant peu selon la municipalité.
</t>
  </si>
  <si>
    <t xml:space="preserve">Art 1.3 :Hypothèse : Les immeubles résidentiels sont seulement des maisons unifamiliales (Logements = Immeubles= 1 logement). 
Art 1.3 : Le nombre de logements résidentiels a changé depuis 2019, car il a précédemment été inscrit le nombre de branchements de services total plutôt que le nombre de logements résidentiels desservis et occupés de façon permanente. Avec 815 immeubles résidentiels de 61 branchements (immeuble) non résidentiels, le nombre total de branchements est de 876.
Art 1.12: La municipalité prévoit de creuser un troisième puits, mais pas pour augmenter sa capacité en eau, pour éviter des problèmes en cas de bris d'un des deux puits existants.
Art 1.13 et Art 2.2 : Pour calculer la consommation résidentielle, un prorata des logements résidentiels et des branchements non résidentiels a été pris en compte.
Sur le réseau, il y a 815 logements résidentiels et 61 branchements non résidentiels sans compteur d’eau et non relevé. La consommation résidentielle est estimée par le calcul suivant :
Consommation non mesurée et facturée * nombre de logements résidentiels / (logements résidentiels + branchements non résidentiels) 
213,463 ML *(815 / (815 + 61))= 198,599 ML.
Art.1.14 : Il y a une diminution du volume d’eau distribué par rapport au bilan 2018. En effet, le volume distribué est passé de 320,750 Ml en 2018 à 281,667 en 2019. 8 fuites ont été réparées durant l’année 2019 entre le réseau village et le réseau Puit. Ceci a diminué les pertes d’eau réelles et l’eau distribuée. De plus la municipalité a entrepris plusieurs actions en 2019 parmi celles proposées à la section 3.2 de l'onglet État &amp; Plan d'action afin de diminuer le volume distribué, par exemple l'installation d'équipements WaterSens dans le(s) bâtiment(s) municipau(x).
Art.1.15 : Les pertes d’eau réelles ont augmenté par rapport au bilan 2018 (45,438 ML). Cependant le débit de nuit est resté le même entre 2018 et 2019 (10 m3/h).On peut donc supposer qu'il n'y a pas de nouvelles fuites importantes sur le réseau. La cause de l'augmentation des PER est le changement d'hypothèse de consommation durant la nuit. En 2018, parmi le 10 m3/h de débit de nuit, les pertes potentielles étaient estimées à 46 m3/d (soit 1,9 m3/h), le reste étant de la consommation de nuit. En 2019, ce même débit de nuit a été utilisé (10 m3/h) mais dans l'outil débit de nuit (plus précis, car les hypothèses sont standard et réalistes 7,4 m3/(prop. Non-rés. * h) et 3 m3/(log. * h)). Ainsi les PER en 2019 sont estimées à 62,228 ML.
Art 1.16 : Comme le nombre de logements a diminué et la pression (moyenne aux Bornes fontaine) a changé, les PERI ont aussi changé.
Art.2.2 : La consommation résidentielle par personne estimée est élevée, car la méthode d'estimation prend la consommation non résidentielle sans compteur d'eau et non relevés au même niveau que la consommation résidentielle. 
Art 2.2 : La consommation résidentielle par personne estimée a diminué par rapport à 2018.En effet, en 2019 la bonification des hypothèses utilisées pour l’estimation des pertes d’eau réelles a entraîné une hausse des pertes d’eau et par conséquent une diminution de la consommation résidentielle.
</t>
  </si>
  <si>
    <t xml:space="preserve">Art 1.3 :Hypothèse : Les immeubles résidentiels sont seulement des maisons unifamiliales (Logements = Immeubles= 1 logement). 
Art 1.3 : Le nombre de logements résidentiels a changé depuis 2019, car il a précédemment été inscrit le nombre de branchements de services total plutôt que le nombre de logements résidentiels desservis et occupés de façon permanente. Avec 479 immeubles résidentiels de 19 branchements (immeuble) non résidentiels dont 4 (gros consommateurs) sont équipés de compteurs d'eau, le nombre total de branchements est de 498.
Art 1.12: La municipalité prévoit de creuser un troisième puits, mais pas pour augmenter sa capacité en eau, pour éviter des problèmes en cas de bris d'un des deux puits existants.
Art 1.13 et Art 2.2 : Pour calculer la consommation résidentielle, un prorata des logements résidentiels et des branchements non résidentiels a été pris en compte.
Sur le réseau, il y a 479 logements résidentiels et 15 (15 = 19 - 4) branchements non résidentiels sans compteur d’eau et non relevé. La consommation résidentielle est estimée par le calcul suivant :
Consommation non mesurée et facturée * nombre de logements résidentiels / (logements résidentiels + branchements non résidentiels) 
136,193 ML *(479 / (479 +15))= 198,553 ML.
Art.1.14 : Il y a une augmentation du volume d’eau distribué par rapport au bilan 2018. En effet le volume distribué est passé de 350,984 ML en 2018 à 378,308 en 2019. Il y a peut-être l'apparition de certaines fuites qui expliquerait la hausse des pertes d’eau et de l’eau distribuée. Celles-ci n’ont pas été détectées, car la municipalité n’a pas fait de recherche de fuites. Cependant, il faut noter que sur ce petit réseau, de grandes industries consomment beaucoup d'eau, et la consommation de ces industries (par exemple, Agropur) peut fluctuer d'une année à l'autre selon la demande du marché.
Art.1.15 : Les pertes d’eau réelles (PER) ont augmenté par rapport au bilan 2018 (8,93 ML). Il y a deux secteurs sur le réseau Puit et chaque secteur est équipé d'un débitmètre. Le secteur 1551 (secteur avec les 4 grands consommateurs) et le secteur 1980. La municipalité a fourni en 2018 les débits du secteur 1551 uniquement, alors qu'en 2019, les débits de nuit du secteur 1980 et 1551 sont tous les deux fournis. En 2018, le débit de nuit utilisé pour le réseau Puit est 5 m3/h. En 2019, le débit de nuit est de 3,7 m3h ( 3,0 m3h secteurs 1551 + 0,7 m3/h secteur 1980). Normalement les PER aurait dû diminuer, mais tout comme pour le réseau village, en 2018 la portion consommation nocturne du débit de nuit était surestimé et les pertes sous-estimées. En 2019 , l'outil débit de nuit est utilisé pour estimé les PER  (plus précis, car les hypothèses sont standard et réalistes 7,4 m3/(prop. Non-rés. * h) et 3 m3/(log. * h)). Ainsi les PER en 2019 sont estimées à 18,592 ML.
Art 1.16 : Comme le nombre de logements a diminué et la pression (moyenne aux BI) a changé, les PERI ont aussi changé.
Art.2.2 : La consommation résidentielle par personne estimée est élevée, car la méthode d'estimation prend la consommation non résidentielle sans compteur d'eau et non relevés au même niveau que la consommation résidentielle. 
Art 2.2 : La consommation résidentielle par personne estimée a légèrement diminué par rapport à 2018.En effet, en 2019 la bonification des hypothèses utilisées pour l’estimation des pertes d’eau réelles a entraîné une hausse des pertes d’eau et par conséquent une diminution de la consommation résidentielle.
</t>
  </si>
  <si>
    <t>Art.1.9 et Art.1.16: La pression moyenne du réseau est élevée, car il y a des dénivelés importants sur le territoire d’Orford. Le réseau a besoin d'être surpressé pour que l'eau se rende jusqu'aux résidences. Les pertes d'eau réelles inévitables (PERI) ont augmenté par rapport au bilan précédent, car la pression moyenne du réseau est plus élevée. Ceci s'explique par la meilleure qualité des données, puisque la pression moyenne du réseau a été calculée à partir d'une moyenne des pressions statiques de tous les poteaux d'incendies.
Art 1.13 et Art 2.2 : Pour calculer la consommation résidentielle, un prorata des logements résidentiels et des logements non résidentiels a été pris en compte.
Sur le réseau, il y a 919 logements résidentiels et 10 immeubles non résidentiels. La consommation résidentielle est estimée par le calcul suivant :
Consommation non mesurée et facturée * nombre de logements résidentiels / (logements résidentiels  + immeubles non résidentiels) 
307,708 ML *(919 / (919+10))= 304,396 ML.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De plus, le débit de nuit minimum a été détecté au mois de novembre et ce dernier n'inclut pas une fuite sur le réseau durant le mois d'octobre. Concernant les fuites, la municipalité les répare rapidement lorsqu'elles sont identifiées et s'il y en a sur les branchements de service du côté privé, la municipalité ferme la vanne jusqu'à la réparation.
Art.1.14 et Art.2.2 : La consommation résidentielle par personne estimée est élevée, car la méthode d'estimation prend la consommation non résidentielle sans compteur d'eau et non relevés au même niveau que la consommation résidentielle. De plus, le nombre de logements résidentiels a été ajusté et il est plus faible qu'à la valeur du dernier bilan. L'ajustement du nombre de logements explique aussi pourquoi la quantité d'eau distribuée par personne a augmenté.
Art 2.3 : Résultat de 45 dû à une cote de 5 attribuée au volume d'eau produite, car certains débitmètres n’ont pas été vérifiés. Afin d'augmenter cette cote, les débitmètres devraient être vérifiés annuellement tout en s’assurant de respecter les conditions d’installation du manufacturier.</t>
  </si>
  <si>
    <t xml:space="preserve">Art 1.3 : La municipalité inclue les données et les habitants d'un réseau privé sur la municipalité de Deschaillons-sur-Saint-Laurent (38070) puisqu'elle dessert ces 150 mètres de réseau et les 26 unités.
Art 1.13 et Art 2.2 : Pour calculer la consommation résidentielle, un prorata des logements résidentiels et des branchements non résidentiels a été pris en compte.
Sur le réseau, il y a 271 logements résidentiels et 61 branchements non résidentiels sans compteur d’eau et non relevé. La consommation résidentielle est estimée par le calcul suivant :
Consommation non mesurée et facturée * nombre de logements résidentiels / (logements résidentiels + branchements non résidentiels) 
79,683 ML *(271 / (271 + 61)) = 65,042 ML.
</t>
  </si>
  <si>
    <t>Art 1.2 : L’estimation 2019 du nombre de personnes par logements de statistique Canada surestime la population résidentielle desservie et occupée de façon permanente. Une population de 3 096 est plus représentative.
Art 1.7 : Le nombre de branchements de services a augmenté par rapport à 2018, du fait de l'amélioration de cette donnée et de sa mise à jour.
Art 1.8 : La longueur des branchements de services côté usager a augmenté par rapport à 2018, cette donnée a été revue grâce aux outils de SIG de la municipalité.
Art 1.9 : La donnée de pression a été revue à partir des données de balancement hydraulique réalisées sur le réseau en 2018.
Art 1.13 et Art 2.2 : La consommation résidentielle a été estimée à l'aide d'un SSC. Le développement de ce SSC est toujours en cours. Le bilan 2020 permettra une meilleure estimation de la consommation résidentielle et des pertes sur le réseau puisque le SSC sera en opération toute l'année.
Art 1.14 : L'eau distribuée a diminué par rapport à 2018 (1 026, 474 ML/an), ceci peut s'expliquer de par les différentes réparations de fuites effectuées par la municipalité en 2018 et 2019.
Art 1.15 : Les pertes d'eau réelles ont diminué par rapport à 2018, ceci s'explique du fait que l'eau distribuée a diminué et que les données du SSC pour estimer la consommation résidentielle et les pertes d'eau soient les mêmes qu'en 2018. En 2018, les données de 14 jours disponibles en 2019 avaient été utilisées par manque de données en 2018.
Art 1.16 : Les pertes d'eau réelles inévitables ont augmenté par rapport à 2018 (39,816 ML/an), ceci s'explique du fait de la mise à jours des données des articles 1.6 à 1.9.</t>
  </si>
  <si>
    <t xml:space="preserve">Art 1.13 et Art 2.2 : Pour calculer la consommation résidentielle, un prorata des logements résidentiels et des branchements non résidentiels a été pris en compte.
Sur le réseau, il y a 413 logements résidentiels et 30 branchements non résidentiels sans compteur d’eau et non relevé. La consommation résidentielle est estimée par le calcul suivant :
Consommation non mesurée et facturée * nombre de logements résidentiels / (logements résidentiels + branchements non résidentiels) 
127,428 ML *(413 / (413 + 30))= 118,428 ML.
Art.1.15 : L'écart entre les pertes d'eau réelles 2018 et 2019 s'explique par la bonification des hypothèses utilisées. Les consommations de nuit utilisées ont été mises à jour afin de mieux estimer les pertes d’eau réelles à partir du débit de nuit minimum. Ceci explique l'augmentation des PER maldré la réparation de 3 fuites sur le réseau en 2019.
Art. 1.16 : Les PERI ont diminués par rapport à 2018 (29,530 ML). Cette diminution peut être expliquée par une erreur sur l'estimation de la longueur des branchements de service. En 2018, la longueur avait été indiquée comme 63 mètres plutôt que 63 pieds (20 mètres). Cette variation peut aussi expliquer la grande augmentation de l'IFI malgré la faible augmentation des PER (186,370 ML en 2018).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</si>
  <si>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Note : Les deux réseaux Village et maillard sont maintenant considérés comme un seul réseau étant donnée qu'ils sont reliés.
Art 1.9 et 1.16: La pression a grandement diminuée par rapport à l'année 2018 dû à une erreur dans le Bilan 2018. Cette variation a aussi un impact sur les pertes d'eau réelles inévitables (PERI).
Art 1.13 et Art 2.2 : Pour calculer la consommation résidentielle, un prorata des logements résidentiels et des branchements non résidentiels a été pris en compte.
Sur le réseau, il y a 513 logements résidentiels et 20 branchements non résidentiels actifs sans compteur d’eau et non relevé. La consommation résidentielle est estimée par le calcul suivant :
Consommation non mesurée et facturée * nombre de logements résidentiels / (logements résidentiels + branchements non résidentiels actifs) 
91,638 ML *(513 / (513 + 20))= 88,200 ML.
Art.2.1 : L'indice de fuites dans les infrastructures est faible, car le réseau est petit. La municipalité peut donc détecter rapidement l’apparition des fuites avec l’analyse de débits de nuit. Elle peut ensuite les localiser et les réparer rapidement. 
Art.2.2 : La consommation résidentielle par personne estimée est élevée, car la méthode d'estimation prend la consommation non résidentielle sans compteur d'eau et non relevés au même niveau que la consommation résidentielle. 
Art 1.14 et 2.2 : La quantité d'eau distribuée par personne ainsi que la consommation résidentielle a diminuée par rapport à l'année 2018. La quantité d'eau distribuée en 2018 était élevée du aux travaux executés sur le réseau.
</t>
  </si>
  <si>
    <t>Art 1.4 : L’estimation 2019 du nombre de personnes par logements de statistique Canada surestime la population résidentielle desservie et occupée de façon permanente. Une population de 135 personnes est plus représentative. La différence entre ce formulaire et le précédent s'explique par le fait que dans ce dernier, les logements catégorisés comme étant des chalets ou non occupés de façon permanente avaient été inclus, cela a donc entraîné une diminution dans ce présent formulaire puisqu'ils ne le sont plus.
Art 1.13 et Art 2.2 : Pour calculer la consommation résidentielle, un prorata des logements résidentiels et des branchements non résidentiels a été pris en compte.
Sur le réseau, il y a 92 logements résidentiels et 5 branchements non résidentiels actifs sans compteur d’eau et non relevé. La consommation résidentielle est estimée par le calcul suivant :
Consommation non mesurée et facturée * nombre de logements résidentiels / (logements résidentiels + branchements non résidentiels actifs) 
21,775 ML *(92 / (92 + 5))= 20,653 ML.
Art.1.14 : Il y a une augmentation du volume d’eau distribué par rapport au bilan 2018. Le débitmètre n’a pas été vérifié. Par conséquent, l’erreur associée au volume d’eau distribué n’est pas connue. De plus, il y a peut-être l'apparition de certaines fuites qui expliquerait la hausse de l’eau distribuée. Celles-ci n’ont pas été détectées, car la municipalité n’a pas fait de recherche de fuites. Puisque le débit de nuit minimum est utilisé afin d'estimer les pertes, cette augmentation se traduirait également par une augmentation de la consommation résidentielle et non résidentielle. 
Art.1.16 : Les données de nombre de branchement et de pression ont été rafinées, ce qui a diminué les PER par rapport au bilan 2018 (4,573 ML).
Art.2.2 : La consommation résidentielle par personne estimée est élevée, car la méthode d'estimation prend la consommation non résidentielle sans compteur d'eau et non relevés au même niveau que la consommation résidentielle. 
Art 2.3 : Résultat de 37 dû à une cote de 3 attribuée au volume d'eau produite, car le débitmètre n’a pas été vérifiés. Afin d'augmenter cette cote, les débitmètres devrait être vérifié annuellement tout en s’assurant de respecter les conditions d’installation du manufacturier.</t>
  </si>
  <si>
    <t xml:space="preserve">Art 1.13 et Art 2.2 : Pour calculer la consommation résidentielle, un prorata des logements résidentiels et des immeubles non résidentiels a été pris en compte.
Sur le réseau, il y a 246 logements résidentiels et 14 immeubles non résidentiels sans compteur d’eau et non relevé. La consommation résidentielle est estimée par le calcul suivant :
Consommation non mesurée et facturée * nombre de logements résidentiels / (logements résidentiels  + immeubles non résidentiels) 
50,753 ML *(246 / (246 + 14))= 48,020 ML.
Art.1.15 : Les pertes d’eau réelles sont importantes et cela s'explique par la présence d'une fuite sur le réseau. Cette fuite a été réparée en fin d'année 2019.
Art.2.2 : La consommation résidentielle par personne estimée est élevée, car la méthode d'estimation prend la consommation non résidentielle sans compteur d'eau et non relevés au même niveau que la consommation résidentielle. </t>
  </si>
  <si>
    <t xml:space="preserve">Le bilan 2018 n'a pas été complété donc la comparaison se fera avec le bilan 2017.
Art 1.3 : Les immeubles résidentiels sont seulement des maisons unifamiliales (Logements = Immeubles= branchements) puisque la municipalité ne connaît pas le nombre de branchements exact. 
Art 1.13 et Art 2.2 : Pour calculer la consommation résidentielle, un prorata des logements résidentiels et des branchements non résidentiels a été pris en compte.
Sur le réseau, il y a 2082 logements résidentiels et 58 branchements non résidentiels actifs sans compteur d’eau et non relevé. La consommation résidentielle est estimée par le calcul suivant :
Consommation non mesurée et facturée * nombre de logements résidentiels / (logements résidentiels + branchements non résidentiels actifs) 
502,143 ML *(2082 / (2082 + 58))= 488,534 ML.
Art.1.14 : Il y a une augmentation diminution du volume d’eau distribué par rapport au bilan 2017. il y a probablement l'apparition de certaines fuites qui expliquerait la hausse des pertes d’eau et de l’eau distribuée ainsi que de nouveaux branchements non résidentiels qui semble consommer beaucoup d'eau. 
Art 1.15: En 2018 les pertes d'eau potentielles étaient de 387m3/jour soit 141,255 ML. En 2019 les pertes d'eau réelles (PER) sont de 228,056 ML. Comme ces chiffres sont calculés directement à partir du débit de nuit et que ce dernier a beaucoup augmenté, alors soit qu'il y a des ICI qui ont ouvert après 2017 dans la municipalité et qui consomment 24h/24h, soit qu'il y ait une augmentation du nombre de fuites; ou encore une accumulation de petite fuite. En effet en regardant le graphique des débits de nuit chaque jour de 2019, il semblerait que le débit de nuit augmente progressivement et diminue en décembre 2019  vers un débit plancher moyen plus élevé que le débit plancher moyen de janvier 2019. Ainsi cela pourrait faire croire qu'il y aurait une accumulation de petite fuite durant l'année ou encore même des fuites partiellement réparées, mais qui coulent encore. Au bilan 2020 en regardant le graphique du débit de nuit à chaque jour de l'année on pourra confirmer ou infirmer cette hypothèse. Cependant, pour éviter que ces fuites continue de couler, il est fortement recommander de faire de la recherche de fuites et de les réparer si c'est le cas, car d'une part cela sera bénéfique pour la municipalité qui pourra notamment économiser sur les coûts de traitement de l'eau et d'autre part comme l'IFI est proche de 3 (l'objectif) et que si jamais ce dernier le dépasse aux prochains bilans, alors la recherche de fuite sera obligatoire. Il faut noter qu'un IFI de 2,8 veut dire qu'il y a des fuites 2,8 fois plus élevées que le minimum de pertes atteignable. Par ailleurs, l'installation et la relève de compteurs d'eau permettra d'avoir aux prochains bilans des chiffres plus fiables pour les PER.
Art.2.2 : La consommation résidentielle par personne estimée est élevée, car d'une part la méthode d'estimation prend la consommation non résidentielle sans compteur d'eau et non relevée au même niveau que la consommation résidentielle, cela est d'autant plus vrai si l'hypothèse de nouveaux ICI qui consomment de l'eau 24h/24h et qui ce sont installé dans la municipalité après 2017 s'avère confirmer. D'autre part, les fuites qu'il y a eu durant l'année ne sont pas représentées dans le débit minimum (33,19 m3/h) . Or comme ce dernier permet d'estimer les PER alors les PER sont sous-estimé. Par conséquent, le volume d'eau perdu se retrouve dans la consommation résidentielle qui est donc surestimée.
</t>
  </si>
  <si>
    <t>Art.2.1 : Il est recommandé d’effectuer un contrôle actif des fuites, car pour les réseaux dont l’indicateur de pertes d'eau dépasse la valeur de comparaison, un contrôle actif des fuites sur l’équivalent de 200 % de la longueur sera requis d'ici le 1er septembre 2021.
La municipalité pourra mieux estimer la consommation résidentielle en installant des compteurs d’eau et en effectuant des relèves.</t>
  </si>
  <si>
    <t xml:space="preserve">Art 1.13 et Art 2.2 : Pour calculer la consommation résidentielle, un prorata des logements résidentiels et des branchements non résidentiels a été pris en compte.
Sur le réseau, il y a 5707 logements résidentiels et 177 branchements non résidentiels actifs sans compteur d’eau et non relevé. La consommation résidentielle est estimée par le calcul suivant :
Consommation non mesurée et facturée * nombre de logements résidentiels / (logements résidentiels + branchements non résidentiels actifs) 
1 745,130 ML *(5707 / (5707 + 177))= 1 692,634 ML.
Art.1.13 et 2.2 : Puisque le débit de nuit minimum est utilisé afin d'estimer les PER et la consommation sur le réseau, le volume utilisé par les purges lors des travaux a été compté dans la consommation et a augmenté la consommation résidentielle par rapport à 2018 (1 576,016 ML). Afin de mieux estimer les pertes d’eau, la municipalité pourrait se servir des données des débits de nuit sur l’ensemble de l’année. Ainsi, il est aussi possible d'estimer le volume utilisé lors des purges en période de travaux et de le catégoriser comme des usages municipaux.
Art.1.14 : Il y a une augmentation du volume d’eau distribué par rapport au bilan 2018 (1 741,140 ML). Il y a eu des travaux majeurs sur 2,5 km qui ont nécessité un usage important d’eau potable parce que le réseau temporaire devait être purgé en continu.
Art.2.1 : L'indice de fuites dans les infrastructures a augmenté par rapport à 2018. Les pertes d’eau réelles ont augmentés (127,750 ML), car une donnée débit de nuit fournise par la REIP a été prise plutôt que des données sur l’ensemble de l’année 2019. En 2020, afin de bien estimer les pertes d’eau, la municipalité peut se servir des données des débits de nuit sur l’ensemble de l’année. Ainsi, il est aussi possible d'estimer le volume utilisé lors des purges en période de travaux et de le catégoriser comme des usages municipaux.
Art.2.2 : La consommation résidentielle par personne estimée est élevée, car la méthode d'estimation prend la consommation non résidentielle sans compteur d'eau et non relevés au même niveau que la consommation résidentielle. </t>
  </si>
  <si>
    <t xml:space="preserve">Art 1.3 et 1.5 : Il y a eu erreur concernant le nombre de logements dans les formulaires antérieurs, le nombre de logements 2019 est la valeur corrigée soit 64 logements desservis et occupés de façon permanente. Ce nombre provient du rapport de taxation et il est plus représentatif.
Art 1.13 et Art 2.2 : Pour calculer la consommation résidentielle, un prorata des logements résidentiels et des branchements non résidentiels a été pris en compte. Le changement de population a dimunué la consommation résidentielle moyenne
Sur le réseau, il y a 64 logements résidentiels et 7 branchements non résidentiels sans compteur d’eau et non relevé. La consommation résidentielle est estimée par le calcul suivant :
Consommation non mesurée et facturée * nombre de logements résidentiels / (logements résidentiels + branchements non résidentiels) 
7,943 ML *(64 / (64 + 7))= 7,160 ML.
Art 1.9 et 2.1 : En 2018, un 50 m d'eau avait été atribué comme valeur par défault à la municipalité. Cette anné, la pression à la sortie de l'usine est utilisé. La municipalité no possède pas de poteaux incendis
Art 2.3 : Résultat de 45 dû à une cote de 5 attribuée au volume d'eau produite/importée/exportée qui ne respecte pas le 5% d'imprécision.
</t>
  </si>
  <si>
    <t xml:space="preserve">Art 1.13 et Art 2.2 : Pour calculer la consommation résidentielle, un prorata des logements résidentiels et des branchements non résidentiels a été pris en compte.
Sur le réseau, il y a 3567 logements résidentiels, 18 branchements résidentiels avec compteurs et 269 branchements non résidentiels actifs sans compteur d’eau et non relevé. La consommation résidentielle est estimée par le calcul suivant :
Consommation non mesurée et facturée * nombre de logements résidentiels / (logements résidentiels + branchements non résidentiels actifs) + consommation mesurée par les compteurs résidentiels
403,994 ML *(3567 / (3567 + 269)) + 4,5 = 380,1638 ML.
Art.1.15 et Art.2.1 : Les pertes d’eau réelles ont augmenté par rapport au bilan 2018 (145,897 ML). L'écart entre les pertes d'eau réelles 2018 et 2019 s'explique par le changement de la methode utilisée pour calculer les pertes d'eau réelles. En 2019, le débit de nuit minimum a été utilisé tandis qu'en 2018, les pertes d'eau réelles ont été calculé à partir d'extrapolation de la relève des compteurs. Puisque les pertes d'eau réelles ont augmenté, l'indice de fuites dans les infrastructures a également augmenté.
</t>
  </si>
  <si>
    <t>Art. 1.9 : La pression a été prise aux poteaux incendie. En 2018, la pression à l'installation de production avait été utilisée (74 m H2O), ce qui explique la diminution des PERI. 
Art 1.13 et 2.2: La consommation résidentielle est estimée avec les relèves 2019 de l’échantillon des 60 compteurs résidentiels. Il s'agit de la première année où les compteurs sont relevés. Les compteurs n'ont mesurés que 6 mois de 2019 et une extrapolation a été faite pour estimer la consommation annuelle. Précédement, le débit de nuit était utilisé, ce qui peut expliquer la différence entre les années 2018 et 2019.
Art 2.3 : La quantité d'eau distribuée par personne est élevée. La municipalité fait couler l'eau à trois extrémités du réseau. Pluisieurs usagers sont munis d'adoucisseur d'eau car l'eau de la municipalité a une dureté de plus de 250 et cela occasionne un lavage la nuit de leurs systèmes. La municipalité doit aussi procéder régulièrement au rinçage des conduites de son réseau d'aqueduc.
Art.1.15 : Les pertes d’eau réelles ont augmenté par rapport au bilan 2018 (252,580 ML). L'apparition de 2 fuites sur des branchements de service en janvier et leur réparation en avril peut expliquer cette augmentation. Ceci peut aussi expliquer l'augmentation de L'IFI par rapport à 2018.
Art. 2.1 : L'IFI de la municipalité est élevé. Le réseau est vieux et de nombreux travaux de réhabilitation de conduite sont prévus d'ici 2022. De plus, des débordements ont été constatés au réservoir, ce qui contribue à l'IFI élevé. Finalement, la présence de 2 fuites sur des branchements de service qui ont coulées pendant 90 jours en moyenne a contribué à un IFI particulièrement élevé.</t>
  </si>
  <si>
    <t>Art. 2.1 et 2.2 : La relève des compteurs a commencé durant l'année 2019. Pour 2020, une relève des compteurs pour toute l'année permettra d'avoir des valeurs plus précises de la consommation.</t>
  </si>
  <si>
    <t xml:space="preserve">Art 1.13 et Art 2.2 : Pour calculer la consommation résidentielle, un prorata des logements résidentiels et des branchements non résidentiels a été pris en compte.
Sur le réseau, il y a 199 logements résidentiels et 12 branchements non résidentiels actifs sans compteur d’eau et non relevé. La consommation résidentielle est estimée par le calcul suivant :
Consommation non mesurée et facturée * nombre de logements résidentiels / (logements résidentiels + branchements non résidentiels actifs) 
24,637 ML *(199 / (199 + 12)= 23,236 ML.
</t>
  </si>
  <si>
    <t xml:space="preserve">Art 1.13 et Art 2.2 : Pour calculer la consommation résidentielle, un prorata des logements résidentiels et des branchements non résidentiels a été pris en compte.
Sur le réseau, il y a 390 logements résidentiels et 23 branchements non résidentiels actifs sans compteur d’eau et non relevé. La consommation résidentielle est estimée par le calcul suivant :
Consommation non mesurée et facturée * nombre de logements résidentiels / (logements résidentiels + branchements non résidentiels actifs) 
69,952 ML *(390 / (390 + 23))= 66,057 ML.
</t>
  </si>
  <si>
    <t xml:space="preserve">Municipalité exportatrice : Saint-Joseph-du-Lac (72025)
Municipalité importatrice : Pointe-Calumet (72020)
Pointe-Calumet : 2742 log, 2,38 pers/log, 6526 pers
Saint-Joseph-du-Lac : 2294 log, 2,59 pers/log,  5942 pers
Longueur du réseau de Saint-Jospeh-du-Lac : 46,1  km
Longueur du réseau de Pointe-Calumet : 42,123 km
Indice de fuites dans les infrastructures (IFI) du réseau commun : 2,1
Contrôle actif des fuites (localisation et réparation) : Non
Consommation résidentielle estimée pour ce réseau commun : 208 l/pers/d
Eau distribuée pour ce réseau commun : 1440,469 l/pers/d
Installation de compteurs d’eau à la consommation requise : Non
Résultat de validité des données de l’audit de l’eau AWWA : 52
</t>
  </si>
  <si>
    <t xml:space="preserve">Art 1.3 : Variation importante du nombre de logements. La municipalité s'est basée sur les données de courriers postaux pour déterminer la valeur 2019.
Art 1.13 : La consommation résidentielle a été estimée à l'aide de la consommation non mesurée de l'audit de l'eau de l'AWWA. Cette dernière est faible par rapport à 2018. En effet, cette dernière fluctue, car elle dépends de l'estimation des pertes d'eau réelles de la municipalité.
Art 2.1 : On observe que l'IFI est élevé. Ceci peut s'expliquer par la présence de fuites. Le débit de nuit est légèrement plus élevé qu'en 2018. 
</t>
  </si>
  <si>
    <t>Art 1.13 et Art 2.2 : Pour calculer la consommation résidentielle, un prorata des logements résidentiels et des branchements non résidentiels a été pris en compte.
Sur le réseau, il y a 351 logements résidentiels et 26 branchements non résidentiels sans compteur d’eau et non relevé. La consommation résidentielle est estimée par le calcul suivant :
Consommation non mesurée et facturée * nombre de logements résidentiels / (logements résidentiels + branchements non résidentiels) 
109,644 ML *(351 / (351 + 26))= 102,08 ML.
Art.2.1 et 2.2 : Il y a une augmentation du IFI et la consommation résidentielle.  Le débitmètre n’a pas été vérifié. Par conséquent, l’erreur associée au volume d’eau distribué n’est pas connue.  Les pertes d’eau sont aussi estimées, donc la valeur n’est pas fiable.
La firme Division Cobra/Détection de fuite a effectué une recherche de fuites sur réseau aqueduc de la ville et nous a remis un rapport final en décembre 2019 concluant qu'aucune fuite n'a été détectée.</t>
  </si>
  <si>
    <t>Art 1.3 et Art 2.2 : Pour calculer la consommation résidentielle, un prorata des logements résidentiels et des immeubles non résidentiels a été pris en compte.
Sur le réseau, il y a 3 522 logements résidentiels et 171 immeubles non résidentiels sans compteur d’eau et non relevé. La consommation résidentielle est estimée par le calcul suivant :
Consommation non mesurée et facturée * nombre de logements résidentiels / (logements résidentiels  + immeubles non résidentiels) 
793,478 ML *(3 522 / (3 522+171))= 756,737 ML.</t>
  </si>
  <si>
    <t xml:space="preserve">Art 1.13 et Art 2.2 : Pour calculer la consommation résidentielle, un prorata des logements résidentiels et des branchements non résidentiels a été pris en compte.
Sur le réseau, il y a 2 697 logements résidentiels et 127 branchements non résidentiels actifs sans compteur d’eau et non relevé. La consommation résidentielle est estimée par le calcul suivant :
Consommation non mesurée et facturée * nombre de logements résidentiels / (logements résidentiels + branchements non résidentiels actifs) 
619,098 ML * ( 2 697 / 2 697 + 127) = 591,256 ML.
La consommation résidentielle par personne estimée est élevée, car la méthode d'estimation prend la consommation non résidentielle sans compteur d'eau et non relevés au même niveau que la consommation résidentielle. La municipalité pourra mieux estimer sa consommation résidentielle en installant des compteurs d’eau et en effectuant des relèves.
Art.2.1 : L'indice de fuites dans les infrastructures dépasse l'objectif. Les pertes d'eau réelles ont été déterminées à partir du débit de nuit minimum et ce dernier est assez élevé. 
Ceci pourrait s’expliquer par la grosse consommation de nuit du secteur non résidentiel qui n’est pas déduite du débit de nuit minimum. L'installation de compteurs d'eau permettra de départager les consommations non résidentielles de nuit et les fuites sur le réseau dans les prochains bilans.
</t>
  </si>
  <si>
    <t xml:space="preserve">Art. 1.15 : La réparation d'une fuite majeure dans la route du Capitaine effectuée le 8 décembre 2018 a diminué le volume d'eau distribué (56,872 ML) et les pertes d'eau réelles (29,628 ML) par rapport à 2018.
Art 1.13 et Art 2.2 : Pour calculer la consommation résidentielle, un prorata des logements résidentiels et des branchements non résidentiels a été pris en compte.
Sur le réseau, il y a 63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16,779 ML *(63 / (63 + 9))= 14,682 ML.
En 2018, la consommation résidentielle avait été estimée à 45% de la consommation totale. En 2019, l'analyse du débit de nuit a été utilisée. Le changement des hypothèses utilisées peut expliquer la variation des valeurs par rapport à 2018 (11,469 ML).
Art.2.2 : La consommation résidentielle par personne estimée est élevée, car la méthode d'estimation prend la consommation non résidentielle sans compteur d'eau et non relevés au même niveau que la consommation résidentielle. </t>
  </si>
  <si>
    <t xml:space="preserve">Note : La municipalité a commencé l'installation de l'échantillon résidentiel de compteurs d'eau, mais a commencé avec des grands consommateurs.L'échantillon n'est donc pas présentement représentatif de la situation actuelle à la municipalité. Afin d'utiliser les données dans les prochaines années, la municipalité doit compléter son échantillon de façon à ce qu'il soit représentatif de la consommation moyenne des résidents. Pour 2019 , l'analyse du débit de nuit a été utilisée pour compléter l'AWWA et le bilan.
Art. 1.15 : La réparation de 4 fuites sur le réseau a diminué le volume d'eau distribué (144,039 ML) et les pertes d'eau réelles (23,652 ML) par rapport à 2018.
Art 1.13 et Art 2.2 : Pour calculer la consommation résidentielle, un prorata des logements résidentiels et des branchements non résidentiels a été pris en compte.
Sur le réseau, il y a 63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84,347 ML *(427 / 427 + 14))= 81,669 ML.
En 2018, la consommation résidentielle avait été estimée à 45% de la consommation totale. En 2019, l'analyse du débit de nuit a été utilisée. Le changement des hypothèses utilisées peut expliquer la variation des valeurs par rapport à 2018 (62,100 ML).
Art.2.2 : La consommation résidentielle par personne estimée est élevée, car la méthode d'estimation prend la consommation non résidentielle sans compteur d'eau et non relevés au même niveau que la consommation résidentielle. </t>
  </si>
  <si>
    <t xml:space="preserve">Art.1.13 : La consommation résidentielle a été mesurée en retirant la consommation non résidentielle mesurée entièrement par des compteurs d'eau de la consommation totale sur le réseau estimée avec le débit de nuit.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Art.2.2 : La consommation résidentielle est élevée parce que la méthode d'estimation des pertes et de la consommation totale se base sur un seul débit de nuit pour l'ensemble de l'année. Il est donc possible que cette valeur sous-estime les PER et surestime la consommation résidentielle sur le réseau. De plus, comme l'ensemble de la consommation non-résidentielle est mesurée, cette surestimation n'affecte que la consommation résidentielle. </t>
  </si>
  <si>
    <t xml:space="preserve">Art.1.2 : Les réseaux Saint-Louis (X0009251) et Saint-Charles (X0009252) sont en entente de compilation de donnée. Une chambre de mesure sera installée dans les prochaines années afin de séparer l'anlyse des 2 réseaux.
Art.1.12 : Un agrandissement avec forage nouveau puit  est prévu sur le réseau Saint-Charles pour désservir toute la municipalité.
Art.1.13 : La consommation résidentielle a été mesurée en retirant la consommation non résidentielle mesurée entièrement par des compteurs d'eau de la consommation totale sur le réseau estimée avec le débit de nuit.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Art.2.2 : La consommation résidentielle est élevée parce que la méthode d'estimation des pertes et de la consommation totale se base sur un seul débit de nuit pour l'ensemble de l'année. Il est donc possible que cette valeur sous-estime les PER et surestime la consommation résidentielle sur le réseau. De plus, comme l'ensemble de la consommation non-résidentielle est mesurée, cette surestimation n'affecte que la consommation résidentielle. </t>
  </si>
  <si>
    <t xml:space="preserve">Art 1.13 et Art 2.2 : Pour calculer la consommation résidentielle, un prorata des logements résidentiels et des branchements non résidentiels a été pris en compte.
Sur le réseau, il y a 369 logements résidentiels et 10 branchements non résidentiels sans compteur d’eau et non relevé. La consommation résidentielle est estimée par le calcul suivant :
Consommation non mesurée et facturée * nombre de logements résidentiels / (logements résidentiels + branchements non résidentiels) 
77,124626 ML *(369 / (369 + 10))= 75,090 ML.
Art.2.2 : La consommation résidentielle par personne estimée est élevée, car la méthode d'estimation prend la consommation non résidentielle sans compteur d'eau et non relevés au même niveau que la consommation résidentielle. 
</t>
  </si>
  <si>
    <t>Art.1.16 : Les pertes d'eau réelles inévitables ont augmenté par rapport au bilan 2018. Ceci s'explique par le nombre de branchements de services plus élevé dans ce bilan. Un décompte plus précis a été effectué en 2019.
Art 1.13 et Art 2.2 : Pour calculer la consommation résidentielle, un prorata des logements résidentiels et des immeubles non résidentiels a été pris en compte.
Sur le réseau, il y a 228 logements résidentiels et 41 immeubles non résidentiels sans compteur d’eau et non relevé. La consommation résidentielle est estimée par le calcul suivant :
Consommation non mesurée et facturée * nombre de logements résidentiels / (logements résidentiels  + immeubles non résidentiels) 
33,583 ML *(228 / (228 + 41))= 28,464 ML.
Art.1.14 :  La consommation de l'industrie Nexkemia du réseau Mansonville la majorité de l'eau sur ce réseau. Sa consommation a diminué par rapport au bilan précédent, car elle a changé son compteur d'eau défectueux et elle a aussi optimisé son traitement pour consommer moins d'eau.
Art.1.15 : L'écart entre les pertes d'eau réelles 2018 et 2019 s'explique par la bonification des hypothèses utilisées. Les consommations de nuit utilisées ont été mises à jour afin de mieux estimer les pertes d’eau réelles à partir du débit de nuit minimum.
Art 2.3 : Résultat de 48 dû à une cote de 5 attribuée au volume d'eau produite, car le débitmètre n’a pas été vérifiés. Afin d'augmenter cette cote, les débitmètres devrait être vérifié annuellement tout en s’assurant de respecter les conditions d’installation du manufacturier.</t>
  </si>
  <si>
    <t>Art.1.3 : Au prochain bilan, la municipalité pourra bien séparer les logements résidentiels desservis et occupés de façon permanente de ceux qui ne sont pas occupés de façon permanente.
Art 1.13 et Art 2.2 : Pour calculer la consommation résidentielle, un prorata des logements résidentiels et des immeubles non résidentiels a été pris en compte.
Sur le réseau, il y a 213 logements résidentiels et 41 immeubles non résidentiels sans compteur d’eau et non relevé. La consommation résidentielle est estimée par le calcul suivant :
Consommation non mesurée et facturée * nombre de logements résidentiels / (logements résidentiels  + immeubles non résidentiels) 
21,643 ML *(213 / (213 + 3))= 21,342 ML.
Art.1.14 : Il y a une diminution du volume d’eau distribué par rapport au bilan 2018. Ceci pourrait s'expliquer par les rénovations sur un vieux chalet de ski. Un compteur d'eau a maintenant été installé et des données de consommation pourront être utiliser au prochain bilan.</t>
  </si>
  <si>
    <t xml:space="preserve">Art 1.13 et Art 2.2 : Pour calculer la consommation résidentielle, un prorata des logements résidentiels et des branchements non résidentiels a été pris en compte.
Sur le réseau, il y a 1219 logements résidentiels et 18 branchements non résidentiels sans compteur d’eau et non relevé. La consommation résidentielle est estimée par le calcul suivant :
Consommation non mesurée et facturée * nombre de logements résidentiels / (logements résidentiels + branchements non résidentiels) 
283,810 ML *(1219 / (1219 + 18))= 279,680 ML.
Art.1.14 : Il y a une diminution du volume d’eau distribué par rapport au bilan 2018.  30 fuites ont été réparées durant l’année 2019. Ceci a diminué les pertes d’eau réelles et donc l’eau distribuée. 
Art.1.15 : Les pertes d’eau réelles ont beaucoup augmenté par rapport au bilan 2018 (elles étaient de 49,916 ML). Il faut noter qu'en 2019, les débits de nuit sont disponibles à chaque nuit de l'année grâce à un enregistreur de données qui a été récemment installé. Cependant, même le débit de nuit le plus petit de l'année est quand même assez élevé. Ainsi trois causes possibles peuvent expliquer que les pertes d'eau ont augmenté. Premièrement, qu'il ait réellement beaucoup de pertes sur le réseau, mais qu'en 2018 le débit de nuit été sous-estimé. Deuxièmement, il est possible qu'il y ait de grosses industries branchées sur le réseau (qui ne ferment jamais puisque le débit le plus petit de l'année a été considéré et non la médiane mobile 7 jours) qui consomment une grande partie de ce débit de nuit, mais qui n'ont pas été pris en compte, car les compteurs d'eau n'ont pas été relevés entre 2h et 4h (en réalité, certains compteurs ont été relevés, mais les chiffres sont aberrants donc on considère qu'ils ne sont pas relevé). Ainsi le débit de nuit surestime les PER. Troisièmement, il se peut que la bonification des hypothèses utilisées a causé l'augmentation des PER et la diminution de la consommation résidentielle. En effet, les consommations de nuit utilisées ont été mises à jour afin de mieux estimer les pertes d’eau réelles à partir du débit de nuit minimum. Finalement il faut noter que le débit de nuit utilisé pour estimer les PER en 2018 correspondait au débit de nuit de 2017, ainsi on compare 2019 à 2017. Attention: il est possible qu'il y ait eu plus de fuites par rapport à 2017, car le débit de nuit en 2017 (le même a été utilisé en 2018) était de 12,3m3/h alors qu'en 2019 il est de 23,67 m3/h.
Art 2.2 : Il y a une diminution de la consommation résidentielle par rapport au bilan 2018. En effet, d'une part la bonification des hypothèses utilisées pour l’estimation des pertes d’eau réelles a entraîné une hausse des pertes d’eau et par conséquent une diminution de la consommation résidentielle. D'autre part, dans le bilan 2018, le débit de nuit utilisé est le débit de nuit de 2017 (24,58 m3/2h soit 12,3 m3/h) or en 2019 le débit de nuit est de 71 m3/3h soit 23,67 m3/h. Ainsi l'augmentation du débit de nuit a causé une diminution de la consommation résidentielle (car la quantité d'eau distribuée est quasiment la même).
</t>
  </si>
  <si>
    <t>La municipalité pourra mieux estimer la consommation résidentielle et les PER en installant des compteurs d’eau et en effectuant des relèves.
Art.2.1 : Il est recommandé d’effectuer un contrôle actif des fuites, car pour les réseaux dont l’indicateur de pertes d'eau dépasse la valeur de comparaison, un contrôle actif des fuites sur l’équivalent de 200 % de la longueur sera requis d'ici le 1er septembre 2021.</t>
  </si>
  <si>
    <t xml:space="preserve">La précision du débitmètre est de plus de ± 70%.
Art 1.13 et Art 2.2 : Pour calculer la consommation résidentielle, un prorata des logements résidentiels et des branchements non résidentiels a été pris en compte.
Sur le réseau, il y a 167 logements résidentiels et 0 branchement non résidentiel sans compteur d’eau et non relevé. La consommation résidentielle est estimée par le calcul suivant :
Consommation non mesurée et facturée * nombre de logements résidentiels / (logements résidentiels + branchements non résidentiels) 
63,453 ML *(167 / (167 + 0))= 63,453 ML.
Art.1.14 : Il y a une augmentation du volume d’eau distribué par rapport au bilan 2018. Or le débitmètre n’a pas été vérifié et ce dernier lit les débits avec une précision inacceptable. Par conséquent, il y a une erreur importante au niveau du volume d'eau distribué. On ne peut pas dire avec certitude qu'il y a eu réellement une augmentation du volume d'eau distribué. De plus le volume total de 2019 de base (130,227 ML) a été corrigé pour prendre en compte un erreur de lecture moyenne de 81,1%  (selon la rapport de verification) on obtient donc 71,908 ML après correction.
Art.1.15 : Les pertes d’eau réelles ont diminué par rapport au bilan 2018 (elles étaient de 15,936  ML). L'imprécision du débitmètre ne permet pas d'affirmer/contredire que les PER ont réellement augmenté. Estimer les PER avec le débit de nuit (comme ça a été le cas dans ce formulaire) est déjà une méthode peu précise en ajoutant la grande imprécision du débitmètre alors la valeur des PER n'est pas fiable. De plus le débit de nuit de base a été corrigé pour prendre en compte un erreur de lecture de 72,2% (imprécision des bas débits selon la rapport de verification).
Art.2.2 : La consommation résidentielle par personne estimée est élevée et a augmenté par rapport à 2018 (etait de 284 l/pers/d). L'imprécision du débitmètre ne permet pas d'affirmer/contredire que la consommation résidentielle a réellement augmenté. Estimer la  consommation résidentielle avec le débit de nuit (comme ça a été le cas dans ce formulaire) est déjà une méthode peu précise en ajoutant la grande imprécision du débitmètre alors la valeur de la consommation résidentielle n'est pas fiable.
Art 2.3 : Résultat de 40 dû à une cote de 5 attribuée au volume d'eau produite/importée/exportée, car les conditions d'installation du débitmètre ne sont pas respectées. Afin d'augmenter cette cote, l'installation du débitmètre devrait notamment respecter les conditions d’installation du manufacturier.
</t>
  </si>
  <si>
    <t>La municipalité pourra mieux estimer la consommation résidentielle et les PER en installant des compteurs d’eau et en effectuant des relèves.
Art.2.1 : Il est recommandé d’effectuer un contrôle actif des fuites, car pour les réseaux dont l’indicateur de pertes d'eau dépasse la valeur de comparaison, un contrôle actif des fuites sur l’équivalent de 200 % de la longueur sera requis d'ici le 1er septembre 2021.
Art 2.3: Il est recommandé de modifier l'installation du débitmètre afin que ce dernier soit conforme aux spécifications du manufacturier. Selon le rapport de vérification du débitmètre : Aucun emplacement le long de la conduite ne respecte ces spécifications ainsi, il faudrait déplacer probablement le débitmètre.</t>
  </si>
  <si>
    <t xml:space="preserve">Art 1.13 et Art 2.2 : Pour calculer la consommation résidentielle, un prorata des logements résidentiels et des branchements non résidentiels a été pris en compte.
Sur le réseau, il y a 1600 logements résidentiels et 87 branchements non résidentiels sans compteur d’eau et non relevé. La consommation résidentielle est estimée par le calcul suivant :
Consommation non mesurée et facturée * nombre de logements résidentiels / (logements résidentiels + branchements non résidentiels) 
399,846 ML *(1600 / (1600 + 87))= 379,226 ML.
Art.1.14 : Il y a une augmentation du volume d’eau distribué par rapport au bilan 2018.Il y a peut-être l'apparition de certaines fuites qui expliquerait la hausse des pertes d’eau et de l’eau distribuée. Par ailleurs, il est possible que cette variation soit due à l'imprécision du débitmètre (malgré le respect du 5%).
Art.1.15 : Les pertes d’eau réelles ont beaucoup augmenté par rapport au bilan 2018 (elles étaient de 47,235 ML). Il faut noter qu'en 2019, les débits de nuit sont disponibles à chaque nuit de l'année grâce à un enregistreur de données qui a été récemment installé, alors que le débit de nuit utilisé au bilan 2018 était celui de 2017.Cependant, même le débit de nuit le plus petit de l'année 2019 est quand même assez élevé. Ainsi trois causes possibles peuvent expliquer que les pertes d'eau ont augmenté. Premièrement, qu'il ait réellement beaucoup de pertes sur le réseau, mais qu'en 2018 le débit de nuit était sous-estimé. Deuxièmement, il est possible qu'il y ait de grosses industries branchées sur le réseau (qui ne ferment jamais puisque le débit le plus petit de l'année a été considéré et non la médiane mobile 7 jours) qui consomment une grande partie de ce débit de nuit, mais qui n'ont pas été pris en compte, car les compteurs d'eau n'ont pas été relevés entre 2h et 4h (en réalité, certains compteurs ont été relevés, mais les chiffres sont aberrants donc on considère qu'ils ne sont pas relevé). Ainsi le débit de nuit surestime les PER. Troisièmement, il se peut que la bonification des hypothèses utilisées a causé l'augmentation des PER et la diminution de la consommation résidentielle . En effet, les consommations de nuit utilisées ont été mises à jour afin de mieux estimer les pertes d’eau réelles à partir du débit de nuit minimum. Finalement il faut noter que le débit de nuit utilisé pour estimer les PER en 2018 correspondait au débit de nuit de 2017, ainsi on compare 2019 à 2017. Attention: il est possible qu'il y ait eu plus de fuites par rapport à 2017, car le débit de nuit en 2017 (le même a été utilisé en 2018) était de 14,25m3/h alors qu'en 2019 il est de 33 m3/h.
Art 2.2 : Il y a une diminution de la consommation résidentielle par rapport au bilan 2018. En effet, d'une part la bonification des hypothèses utilisées pour l’estimation des pertes d’eau réelles a entraîné une hausse des pertes d’eau et par conséquent une diminution de la consommation résidentielle. D'autre part, dans le bilan 2018, le débit de nuit utilisé est le débit de nuit de 2017 (28,5 m3/2h soit 14,25 m3/h) or en 2019 le débit de nuit est de 99 m3/3h soit 33 m3/h. Ainsi l'augmentation du débit de nuit a causé une diminution de la consommation résidentielle (car la quantité d'eau distribuée est quasiment la même).
</t>
  </si>
  <si>
    <t>Art 1.9 : La pression représentative du réseau est élevée du fait des différences de dénivelés importantes sur l'ensemble du réseau de distribution.
Art 1.13 et Art 2.2 : Pour calculer la consommation résidentielle, un prorata des logements résidentiels et des immeubles non résidentiels a été pris en compte.
Sur le réseau, il y a 2199 logements résidentiels et 173 immeubles non résidentiels sans compteur d’eau et non relevé. La consommation résidentielle est estimée par le calcul suivant :
Consommation non mesurée et facturée * nombre de logements résidentiels / (logements résidentiels  + immeubles non résidentiels) 
607,732 ML *(2199 / (2199 + 173))= 563,129 ML.
Art 1.14 et Art 2.2 : L'eau distribuée a diminué par rapport à 2018, ceci peut s'expliquer du fait que la municipalité a réparé moins de fuites en 2019 qu'en 2018. De plus, il semblerait que les consommations aient diminué ce qui pourrait expliquer cette baisse de distribution et de consommation résidentielle.</t>
  </si>
  <si>
    <t xml:space="preserve">Art 1.5: Les réseaux de distribution des quatre usines de production (Québec, Sainte-Foy, Charlesbourg et Beauport) sont interconnectés et la population correspond à celle qui est connectée au réseau pour les villes de Québec, Ancienne-Lorette, Saint-Augustin et Saint-Gabriel-de-Valcartier. Seul le débit exporté à Wendake est exclu du volume distribué. 
Art 2.1: L'indice de fuites dans les infrastructures a diminué par rapport à 2018 puisque l'estimation des pertes d'eau réelles est influencée par l'estimation de la consommation résidentielle. Celle-ci a augmentée entre 2018 et 2019, passant de 208 l/pers/d à 225 l/pers/d. 
Art 2.2.: La consommation résidentielle de 225 l/pers.j a été estimée grâce à un échantillon de compteurs d'eau dans le secteur résidentielle. Celle-ci dépasse l'objectif (220 l/pers.j), des actions pour la réduire devront donc être mises en place de façon progressive conformément à la stratégie.
</t>
  </si>
  <si>
    <t xml:space="preserve">Art 1.3 : Les immeubles résidentiels sont seulement des maisons unifamiliales (Logements = Immeubles). 
Art 1.13 et Art 2.2 : Pour calculer la consommation résidentielle, un prorata des logements résidentiels et des branchements non résidentiels a été pris en compte.
Sur le réseau, il y a 238 logements résidentiels et 15 branchements non résidentiels sans compteur d’eau et non relevé. La consommation résidentielle est estimée par le calcul suivant :
Consommation non mesurée et facturée * nombre de logements résidentiels / (logements résidentiels + branchements non résidentiels) 
43,951 ML *(238 / (238 + 15))= 41,007 ML.
</t>
  </si>
  <si>
    <t>Art 1.13 et Art 2.2 : Pour calculer la consommation résidentielle, un prorata des logements résidentiels et des branchements non résidentiels a été pris en compte.
Sur le réseau, il y a 643 logements résidentiels et 22 branchements non résidentiels sans compteur d’eau et non relevé. La consommation résidentielle est estimée par le calcul suivant :
Consommation non mesurée et facturée * nombre de logements résidentiels / (logements résidentiels + branchements non résidentiels) 
135,415678 ML *(643 / (643 + 22))= 130,936 ML.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t>
  </si>
  <si>
    <t xml:space="preserve">Art 1.13 et Art 2.2 : Pour calculer la consommation résidentielle, un prorata des logements résidentiels et des branchements non résidentiels a été pris en compte.
Sur le réseau, il y a 119 logements résidentiels et 1 logement résidentiel avec compteur. La consommation résidentielle est estimée par le calcul suivant :
Consommation non mesurée et facturée + consommation mesurée et facturée
140891 + 0,08 ML = 15,065 ML.
Art.1.16 : L'écart entre les pertes d'eau réelles inévitables 2018 et 2019 s'explique par la mise à jour de la pression moyenne du réseau. Cette dernière a augmenté.
</t>
  </si>
  <si>
    <t xml:space="preserve">Art 1.13 et 2.2: La consommation résidentielle est estimée avec les relèves 2019 de l’échantillon des 42 compteurs résidentiels. 
Art.2.2 : La consommation résidentielle élevée a été mesurée à l’aide de compteur d’eau, mais ceux-ci n’ont ni été vérifiés ni remplacés. Aussi, il y a une diminution de la consommation résidentielle par rapport au bilan 2018. En 2018, la méthode d'estimation prennais la consommation non résidentielle sans compteur d'eau et non relevés au même niveau que la consommation résidentielle, ce qui n'est pas le cas en 2019 puisqu'il y a désormais des compteurs. 
Art.1.16 : L'écart entre les pertes d'eau réelles inévitables 2018 et 2019 peut s'expliquer par la mise à jour de la longueur du réseau de distribution. Cette dernière a augmenté vu le prolongement du réseau. </t>
  </si>
  <si>
    <t>Art.2.1 : Il est recommandé d’effectuer un contrôle actif des fuites, car pour les réseaux dont l’indicateur de pertes d'eau dépasse la valeur de comparaison, un contrôle actif des fuites sur l’équivalent de 200 % de la longueur sera requis d'ici le 1er septembre 2021.
Art.2.2 : La municipalité pourrait mieux estimer la consommation résidentielle en installant en effectuant la relève de tous les compteurs d'eau installés.</t>
  </si>
  <si>
    <t>Art.1.13 : La consommation résidentielle a été mesurée par des compteurs d'eau.
Art.2.1 : L'indice de fuites dans les infrastructures a diminué par rapport à 2018 (1,1). Les Pertes d'eau réelles ont diminué comparativement à 2018 (656,44 ML), car la méthode d'estimation de la consommation non mesurée et non facturée a été revue. L'augmentation  de cette valeur a causé la diminution des pertes d'eau réelles et donc la diminution de l'indice de fuites dans les infrastructures.</t>
  </si>
  <si>
    <t>Art.1.3 : Le nombre de logements indiqué ne comprend pas les 27 logements non desservis.
Art.1.9 : La pression moyenne du réseau est élevée. Ceci s'explique par le fait que le réseau est desservi à partir du réservoir et ce dernier se situe à une haute élévation. Puisque la distribution est gravitaire, la pression est élevée sur le réseau. Il est recommandé d'effectuer une analyse de rentabilité de la gestion de la pression pour ensuite déterminer s'il est pertinent de mettre en place des secteurs de régulation de la pression.
Art.1.14, Art.1.15 et Art.2.1 : L'eau distribuée, les pertes d'eau réelles (PER) et l'indice de fuites dans les infrastructures (IFI) ont augmenté par rapport au bilan précédent. La municipalité croit que c'est causé par l'apparition de beaucoup de fuites au début de l'année 2019.
Prendre note que les PER et l'IFI 2018 ont été estimés à partir du débit de nuit minimum 2017. Ceci explique donc les différences avec les données de ce bilan puisque ces dernières ont été calculées à partir du débit de nuit 2019 fourni par la municipalité.
Art.2.2 : À la suite du piratage des données de la municipalité, les données de consommations 2019 ne sont pas facilement accessibles. Puisque ces consommations non résidentielles ne sont pas déduites, la consommation résidentielle est plus élevée qu'au bilan précédent. De plus, elle est élevée, car la méthode d'estimation prend la consommation non résidentielle sans compteur d'eau et non relevée au même niveau que la consommation résidentielle. La portion non résidentielle est ensuite déduite. La municipalité pourra mieux estimer la consommation résidentielle en installant des compteurs d’eau et en effectuant des relèves.</t>
  </si>
  <si>
    <t xml:space="preserve">Art 2.1 &amp; 2.2 : On note une variation de la consommation résidentielle par rapport à 2018. Il est à noter que cette dernière est estimée à partir de SSC et d'un échantillon de compteurs d'eau. Cette donnée mettra quelques années avant de se stabiliser. L'IFI varie également par rapport à l'année 2018. En effet, ce dernier est étroitement lié à la consommation résidentielle puisque cette dernière est utilisée dans l'estimation des PER. </t>
  </si>
  <si>
    <t xml:space="preserve">Art 1.9 : La pression moyenne du réseau est calculée à partir des mesures de pression aux bornes d'incendie. La distribution est gravaitaire. Aucun contrôle de le pression n'est effectué pour le moment. 
Art 2.1 &amp; 2.2 : On note une variation de la consommation résidentielle par rapport à 2018. Il est à noter que cette dernière est estimée à partir de SSC et d'un échantillon de compteurs d'eau. Cette donnée mettra quelques années avant de se stabiliser. L'IFI varie également par rapport à l'année 2018. En effet, ce dernier est étroitement lié à la consommation résidentielle puisque cette dernière est utilisée dans l'estimation des PER. </t>
  </si>
  <si>
    <t>Art 2.1 &amp; 2.2 : On note une variation de la consommation résidentielle par rapport à 2018. Il est à noter que cette dernière est estimée à partir de SSC et d'un échantillon de compteurs d'eau. Cette donnée mettra quelques années avant de se stabiliser. L'IFI varie également par rapport à l'année 2018. En effet, ce dernier est étroitement lié à la consommation résidentielle puisque cette dernière est utilisée dans l'estimation des PER. 
Art 2.3 : RVD inférieur à 50 du à la non vérification des débitmètres.</t>
  </si>
  <si>
    <t>Art 1.13 et Art 2.2 : Pour calculer la consommation résidentielle, un prorata des logements résidentiels et des branchements non résidentiels a été pris en compte.
Sur le réseau, il y a 197 logements résidentiels et 11 branchements non résidentiels actifs sans compteur d’eau et non relevé. La consommation résidentielle est estimée par le calcul suivant :
Consommation non mesurée et facturée * nombre de logements résidentiels / (logements résidentiels + branchements non résidentiels actifs) 
38,840 ML *(197 / (197 + 11))= 36,786 ML.
Art.1.14 : Il y a une augmentation du volume d’eau distribué par rapport au bilan 2018 (61,943 ML). Cette augmentation peut être expliquée par l'apparition de 4 fuites sur le réseau en 2019. 
Art 1.14 : La grande quantité d'eau distribuée par personne dans la municipalité s'explique par la présence de 6 résidences qui ont des problème de gel dans leur branchement de service privé et qui doivent laisser couler l'eau. Ceci peut aussi expliquer le débit de nuit élevé durant l'hiver et donc les PER et l'IFI élevé.
Art1.15 et 2.1 : Bien que les délais entre la détection et la réparation soit faible, la municipalité ne fait pas le suivi du débit de nuit quotidien et a fait de l'écoute aux poteaux incendie. Il peut donc y avoir eu une plus grande durée entre le l'apparition de la fuite et la réparation. Ceci, en plus des résidences qui ont des problèmes de gel dans leur branchement de service privé, pourrait expliquer l'augmentation des PER (22,995 ML) et de l'IFI (4,3) par rapport à 2018.</t>
  </si>
  <si>
    <t xml:space="preserve">Art 1.13 et Art 2.2 : Pour calculer la consommation résidentielle, un prorata des logements résidentiels et des branchements non résidentiels a été pris en compte.
Sur le réseau, il y a 197 logements résidentiels et 23 branchements non résidentiels sans compteur d’eau et non relevé. La consommation résidentielle est estimée par le calcul suivant :
Consommation non mesurée et facturée * nombre de logements résidentiels / (logements résidentiels + branchements non résidentiels) 
27,061 ML *(197 / (197 + 23))= 24,454 ML.
</t>
  </si>
  <si>
    <t xml:space="preserve">Art 1.13 et Art 2.2 : Pour calculer la consommation résidentielle, un prorata des logements résidentiels et des branchements non résidentiels a été pris en compte.
Sur le réseau, il y a 52 logements résidentiels et 3 branchements non résidentiels sans compteur d’eau et non relevé. La consommation résidentielle est estimée par le calcul suivant :
Consommation non mesurée et facturée * nombre de logements résidentiels / (logements résidentiels + branchements non résidentiels) 
4,611 ML *(52 / (52 + 3))= 4,359 ML.
</t>
  </si>
  <si>
    <t>Art 1.13 et Art 2.2 : Pour calculer la consommation résidentielle, un prorata des logements résidentiels et des branchements non résidentiels a été pris en compte.
Sur le réseau, il y a 480 logements résidentiels et 35 branchements non résidentiels sans compteur d’eau et non relevé. La consommation résidentielle est estimée par le calcul suivant :
Consommation non mesurée et facturée * nombre de logements résidentiels / (logements résidentiels + branchements non résidentiels) 
117,067 ML *(480 / (480 + 35))= 109,111 ML.
Art.1.14 : Il y a une diminution du volume d’eau distribué par rapport au bilan 2018. En 2019, 3 purges permanentes ont été transformées en purges intermitentes, ce qui a permi de diminuer le volume d'eau perdu par les purges de 53,349 ML en 2018 à 36,377 ML en 2019.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Art. 2.3 : Résultat de 44 dû à une cote de 5 attribuée au volume d'eau produite parce que l’écart de précision n’est pas de +/- 6%. Pour obtenir un pointage de 9, l’écart de précision doit être de +/- 6% et les conditions d’installation du débitmètre en place doivent respecter les recommandations du manufacturier. Il est aussi recommandé que le débitmètre étalon respecte les conditions d’installation.</t>
  </si>
  <si>
    <t xml:space="preserve">Art 1.4 : L’estimation 2019 du nombre de personnes par logements de statistique Canada sous-estime la population résidentielle desservie et occupée de façon permanente. Une population de 21 057 personnes est plus représentative.
Art 1.13 et 2.2: La consommation résidentielle est estimée avec les relèves 2019 de l’échantillon des 66 compteurs résidentiels (218,6 m3/an). La variation de la consommation résidentielle par rapport à 2018 peut s'expliquer par une meilleure division des types d'usager lors de la lecture des compteurs d'eau. 
Art.1.15 : Les PER ont augmentées par rapport à 2018 (170,126 ML). Uniquement 5 fuites ont été réparées en 2019, soit 5 de moins qu'en 2018. Il est possible que certaines fuites n'aient pas été détectées lors de la recherche de fuite par la municipalité. 
Art 1.16 : Les PERI ont augmentées par rapport à 2018 (169,423 ML). Cette variation peut s'expliquer par une meilleure estimation du nombre de branchement de service et de la pression moyenne sur le réseau. Cette variation peut aussi expliquer que l'IFI est stable malgré l'augmentation des PER. </t>
  </si>
  <si>
    <t xml:space="preserve">Art 1.13 et Art 2.2 : Pour calculer la consommation résidentielle, un prorata des logements résidentiels et des logements non résidentiels ont été pris en compte.
Sur le réseau, il y a 43 logements résidentiels et 5 immeubles non résidentiels. La consommation résidentielle est estimée par le calcul suivant :
Consommation non mesurée et facturée * nombre de logements résidentiels / (logements résidentiels  + immeubles non résidentiels) 
11,154 ML *(43 / (43+5))= 9,992 ML.
Art 1.13 et Art 1.14 : La consommation résidentielle a augmenté par rapport à 2018 (8,076 ML/an), puisque l'eau distribuée a augmenté et que l'analyse se base sur le débit de nuit.
Art 1.14 : L'eau distribuée a augmenté par rapport à 2018 (11,636 ML/an), ceci peut s'expliquer du fait que la municipalité a installé des jeux d'eau en 2019.
Art.1.15 : L'écart entre les pertes d'eau réelles 2018 et 2019 s'explique par la bonification des hypothèses utilisées. Les consommations de nuit utilisées ont été mises à jour afin de mieux estimer les pertes d’eau réelles à partir du débit de nuit minimum.
</t>
  </si>
  <si>
    <t>Note : L'installation des compteurs a été terminée en mai 2018. Les données 2018 ont donc été extrapolées selon les 8 mois disponibles. En 2019, les données pour l'ensemble de l'année ont été utlisées et sont probablements plus représentatives.
Art 1.13 et 2.2: La consommation résidentielle est estimée avec les relèves 2019 de l’échantillon des 23 compteurs résidentiels. Les compteurs sur les bâtiments mixtes n'ont pas été considéré dans le calcul de la consommation non résidentielle.
Art.1.14 : Le volume d'eau distribué a augmenté par rapport à 2018 (85,665 ML). Cet augmentation peut s'expliquer par le fait que le camping a été racordé au réseau d'aqueduc de la municipalité, avec une consommation de 4080 m³ en 2019, et par une augmentation de la consommation des fermes sur le réseau de 7355 m³ par rapport à 2018.
Art.1.15 :  Les compteurs sur certains branchements n'avait pas été relevés en 2018 et le volume avait été compté dans les pertes d'eau. La correction de cette donnée explique la variation des PER et de l'IFI par rapport à 2018.
Art.2.1 : L'IFI du réseau est faible. Ceci peut être expliqué par l'age récent du réseau qui a été mis en place en 2007.</t>
  </si>
  <si>
    <t>Art 1.13 et Art 2.2 : Pour calculer la consommation résidentielle, un prorata des logements résidentiels et des branchements non résidentiels a été pris en compte.
Sur le réseau, il y a 1 179 logements résidentiels et 108 branchements non résidentiels actifs sans compteur d’eau et non relevé. La consommation résidentielle est estimée par le calcul suivant :
Consommation non mesurée et facturée * nombre de logements résidentiels / (logements résidentiels + branchements non résidentiels actifs) 
227,260 ML *(1 179 / (1 179 + 108)) = 208,189 ML.
Art 1.13 et 1.15 : Par rapport à 2018, la consommation résidentielle a diminué et les PER ont augmenté. Le volume d'eau distribué, quant à lui, est resté sensiblement le même. Les PER des bilans 2018 et 2019 ont été calculées à partir des débits de nuit mesurés sur une journée (en 2018, la valeur de 2017 avait été utilisée). Estimer les PER annuelles sur les données d'une seule nuit augmente les probabilités de mal évaluer la réelle valeur de celles-ci. La grande variabilité entre les PER de 2018 et de 2019 n'est donc pas étonnante. Ensuite, parce que le calcul de la consommation résidentielle est influencé par les PER, il est normal qu'elle diminue avec l'augmentation des PER.
Il est cependant important de noter que la municipalité installera bientôt des compteurs d'eau. Ces derniers permettront ainsi d'obtenir un portrait plus fidèle de la consommation d'eau, et donc des pertes.
Art 1.16 : La pression du réseau a augmenté depuis 2018. Cependant, en 2018, la pression ne provenait pas de données terrains. Pour le bilan 2019, le rapport 2020 a été utilisé. La pression moyenne du bilan 2019 est donc plus fiable. Finalement, la pression considérée étant plus élevée qu'au précédent bilan, les PERI sont nécessairement plus élevées.
Art 2.1 : Vu l'importante variabilité entre les PER et les PERI de 2018 et de 2019, l'IFI a augmenté au bilan 2019. Une meilleure évaluation de la consommation à l'aide de compteurs d'eau permettrait d'obtenir un IFI plus fiable.</t>
  </si>
  <si>
    <t>Art 1.13 et Art 2.2 : Pour calculer la consommation résidentielle, un prorata des logements résidentiels et des branchements non résidentiels a été pris en compte.
Sur le réseau, il y a 323 logements résidentiels et 23 branchements non résidentiels actifs sans compteur d’eau et non relevé. La consommation résidentielle est estimée par le calcul suivant :
Consommation non mesurée et facturée * nombre de logements résidentiels / (logements résidentiels + branchements non résidentiels actifs) 
84,241 ML *(323 / (323 + 23)) = 78,641 ML.
Art 1.13 et 1.15 : Par rapport à 2018, la consommation résidentielle a diminué et les PER ont augmenté. Le volume d'eau distribué, quant à lui, est resté sensiblement le même. Les PER des bilans 2018 et 2019 ont été calculées à partir des débits de nuit mesurés sur une journée (en 2018, la valeur de 2017 avait été utilisée). Estimer les PER annuelles sur les données d'une seule nuit augmente les probabilités de mal évaluer la réelle valeur de celles-ci. La grande variabilité entre les PER de 2018 et de 2019 n'est donc pas étonnante. Ensuite, parce que le calcul de la consommation résidentielle est influencé par les PER, il est normal qu'elle diminue avec l'augmentation des PER.
Il est cependant important de noter que la municipalité installera bientôt des compteurs d'eau. Ces derniers permettront ainsi d'obtenir un portrait plus fidèle de la consommation d'eau, et donc des pertes.
Art 1.16 : La pression du réseau a augmenté depuis 2018.  Cependant, en 2018, la pression ne provenait pas de données terrains. Pour le bilan 2019, le rapport 2020 a été utilisé. La pression moyenne du bilan 2019 est donc plus fiable. Finalement, la pression considérée étant plus élevée qu'au précédent bilan, les PERI sont nécessairement plus élevées.
Art 2.1 : Vu l'importante variabilité entre les PER et les PERI de 2018 et de 2019, l'IFI a augmenté au bilan 2019. Une meilleure évaluation de la consommation à l'aide de compteurs d'eau permettrait d'obtenir un IFI plus fiable.</t>
  </si>
  <si>
    <t>Art 1.4 : L’estimation 2019 du nombre de personnes par logement de Statistique Canada sous-estime la population résidentielle desservie et occupée de façon permanente. Une population de 251 personnes est plus représentative.
Art 1.13 et Art 2.2 : Pour calculer la consommation résidentielle, un prorata des logements résidentiels et des branchements non résidentiels a été pris en compte.
Sur le réseau, il y a 105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12,772 ML *(105 / (105 + 4)) = 12,303 ML.
Art 1.14 : La très faible quantité d'eau distribuée par personne dans la municipalité s'explique par l'absence de commerces et par la sensibilisation que la municipalité effectue envers la population. De plus, il y a une augmentation du volume d’eau distribué par rapport au bilan 2018. Cette augmentation peut être expliquée par l'important écart de précision du débitmètre qui, selon le rapport de vérification, surcompte le débit. Cet écart est cependant inférieur à 6 % selon le rapport de vérification de 2020. Le volume d'eau distribuée au bilan 2020 devrait donc être plus exact.
Art 2.2 : Tout comme l'année précédente, ce réseau comporte une faible quantité d'eau distribuée par personne. Cet indicateur est faible, car il s'agit d'un réseau comportant de petites maisons consommant peu selon la municipalité.
Art 2.2 : Il y a une augmentation de la consommation résidentielle par rapport au bilan 2018. Encore une fois, l'écart de précision du débitmètre peut expliquer cette différence. De plus, le nombre de branchements a été raffiné cette année, ce qui fait en sorte que le nombre de branchements résidentiels et non résidentiels a légèrement diminué. Le nombre de logements est cependant resté le même. Cette diminution du nombre de branchements peut donc aussi avoir un impact sur l'augmentation de la consommation résidentielle calculée.
Art 2.3 : Résultat de 45 causé par une cote de 5 attribuée au volume d'eau produite, car l’écart de précision n’est pas de +/- 6%. Afin d'augmenter cette cote, l’écart de précision doit être de +/- 6% et les conditions d’installation du débitmètre en place doivent respecter les recommandations du manufacturier.</t>
  </si>
  <si>
    <t xml:space="preserve">Art. 1.13: La consommation résidentielle estimée a été calculée à l'aide d'une estimation faite grâce à la lecture de l'échantillon de compteurs sur les immeubles résidentiels. En 2019, la moyenne par an d'un logement est de 220 m³/an. La méthode habituellement utilisée lors de la présence d'un échantillon n'a pas pu être utilisée du fait que l'échantillon n'était pas représentatif. En effet, le volume de consommation sous-estimait la consommation moyenne du fait de la présence de logements faiblement occupés dans l'échantillon. L'ajout des compteurs en 2019 et janvier 2020 devrait permettre de rendre l'échantillon représentatif pour le prochain bilan.
Art. 1.14 : La diminution du volume d'eau distribué s'explique par la diminution de la consommation résidentielle et par la réparation de nombreuses fuites sur le réseau
Art. 2.1 : Bien que cet indicateur ait diminué par rapport au bilan 2018, celui-ci reste élevé. Cela s'explique par l'apparition de nombreuses fuites au cours de l'année. Bien que ces fuites soient réparées rapidement, le volume d'eau perdu est conséquent. Des travaux majeurs de réfection de conduite sont prévus en 2020 et devraient permettre de réduire la fréquence d'apparition de bris.
Art. 2.2 : La consommation résidentielle estimée reste élevée du fait de l'utilisation d'une estimation pour calculer le volume total consommé. Celui-ci devrait s'ajuster lors de l'utilisation de l'échantillon de compteurs.
</t>
  </si>
  <si>
    <t xml:space="preserve">Art 1.4 : L’estimation 2019 du nombre de personnes par logements de statistique Canada sous-estime la population résidentielle desservie et occupée de façon permanente. Une population de d'environ 14 000 personnes est plus représentative pour le réseau Rosemère.
Art.1.13 : La consommation résidentielle a été mesurée par des compteurs d'eau.
Art 2.1 et 2.2 : L'IFI et la consommation résidentielle estimée dépassent les objectifs de la Stratégie et ce même avec près de 100% du réseau ayant un compteur. Le débitmètre de distribution ne se calibre pas et peut fausser les données de distribution, ce qui expliquerais les PER et des erreurs de relèves pourraient expliquer le dépassement de la consomamtion résidentielle. Il est possible aussi que ces indicateurs soient représentatif et que laa municpalité ait un problème de fuite et de surconsommation.  </t>
  </si>
  <si>
    <t>Art 1.4 : L’estimation 2019 du nombre de personnes par logements de statistique Canada sous-estime la population résidentielle desservie et occupée de façon permanente. Une population de d'environ 290 personnes est plus représentative pour le réseau Lauréanne.
Art.1.13 : La consommation résidentielle a été mesurée par des compteurs d'eau.
Art 1.14 et 1.15 La construction récente de tours à condo et la construction d'infrastructures (travaux de construction réguliers sur place) ont fait augmenter la quantité d'eau distribuée de cette année ainsi que les PER. Le prochain Bilan donnera un portrait plus représentatif de la situation de la municpalité.</t>
  </si>
  <si>
    <t xml:space="preserve">Art 1.4 : L’estimation 2019 du nombre de personnes par logements de statistique Canada sous-estime la population résidentielle desservie et occupée de façon permanente. Une population de 3,2 personnes est plus représentative.
Art 1.13 et Art 2.2 : Pour calculer la consommation résidentielle, un prorata des logements résidentiels et des branchements non résidentiels a été pris en compte.
Sur le réseau, il y a 353 logements résidentiels et 18 branchements non résidentiels actifs sans compteur d’eau et non relevé. La consommation résidentielle est estimée par le calcul suivant :
Consommation non mesurée et facturée * nombre de logements résidentiels / (logements résidentiels + branchements non résidentiels actifs) 
47,220 ML *(353 / (353 + 18))= 44,929 ML.
Art 1.13:La consommation non mesuré et facturé était estimée avec une consommation théorique par logement. Cette valeur devra être raffinée au courant des prochaines années.
Art 2.1 et 2.2 : Le bilan 2019 représente la première année où l'audit de l'eau a été réalisé avec les lectures des compteurs d’eau dans les 4 réseaux de Rouyn Noranda.  Les écarts avec les indicateurs de performance de l'an passé (IFI et consommation résidentielle) doivent être vérifié dans le prochain bilan. 
</t>
  </si>
  <si>
    <t xml:space="preserve">Art 1.4 : L’estimation 2019 du nombre de personnes par logements de statistique Canada sous-estime la population résidentielle desservie et occupée de façon permanente. Une population de 3,2 personnes est plus représentative.
Art 1.13 et Art 2.2 : Pour calculer la consommation résidentielle, un prorata des logements résidentiels et des branchements non résidentiels a été pris en compte.
Sur le réseau, il y a 1218 logements résidentiels et 25 branchements non résidentiels actifs sans compteur d’eau et non relevé. La consommation résidentielle est estimée par le calcul suivant :
Consommation non mesurée et facturée * nombre de logements résidentiels / (logements résidentiels + branchements non résidentiels actifs) 
98,99 ML *(1218 / (1218 + 25))= 96,999 ML.
Art 1.13:La consommation non mesuré et facturé était estimée avec une consommation théorique par logement. Cette valeur devra être raffinée au courant des prochaines années.
Art 2.1 et 2.2 : Le bilan 2019 représente la première année où l'audit de l'eau a été réalisé avec les lectures des compteurs d’eau dans les 4 réseaux de Rouyn Noranda.  Les écarts avec les indicateurs de performance de l'an passé (IFI et consommation résidentielle) doivent être vérifié dans le prochain bilan. 
</t>
  </si>
  <si>
    <t xml:space="preserve">Art 1.4 : L’estimation 2019 du nombre de personnes par logements de statistique Canada sous-estime la population résidentielle desservie et occupée de façon permanente. Une population de 2,25 personnes est plus représentative.
Art 1.13:La consommation non mesuré et facturé était estimée avec une consommation théorique par logement. Cette valeur devra être raffinée au courant des prochaines années.
Art 2.1 et 2.2 : Le bilan 2019 représente la première année où l'audit de l'eau a été réalisé avec les lectures des compteurs d’eau dans les 4 réseaux de Rouyn Noranda.  Les écarts avec les indicateurs de performance de l'an passé (IFI et consommation résidentielle) doivent être vérifié dans le prochain bilan. </t>
  </si>
  <si>
    <t xml:space="preserve">Art 1.4 : L’estimation 2019 du nombre de personnes par logements de statistique Canada sous-estime la population résidentielle desservie et occupée de façon permanente. Une population de 3,2 personnes est plus représentative.
Art 1.13 et Art 2.2 : Pour calculer la consommation résidentielle, un prorata des logements résidentiels et des branchements non résidentiels a été pris en compte.
Sur le réseau, il y a 203 logements résidentiels et 5 branchements non résidentiels actifs sans compteur d’eau et non relevé. La consommation résidentielle est estimée par le calcul suivant :
Consommation non mesurée et facturée * nombre de logements résidentiels / (logements résidentiels + branchements non résidentiels actifs) 
28,150 ML *(203 / (203 + 5))= 27,825 ML.
Art 1.13:La consommation non mesuré et facturé était estimée avec une consommation théorique par logement. Cette valeur devra être raffinée au courant des prochaines années.
Art 2.1 et 2.2 : Le bilan 2019 représente la première année où l'audit de l'eau a été réalisé avec les lectures des compteurs d’eau dans les 4 réseaux de Rouyn Noranda.  Les écarts avec les indicateurs de performance de l'an passé (IFI et consommation résidentielle) doivent être vérifié dans le prochain bilan. 
</t>
  </si>
  <si>
    <t xml:space="preserve">Art.1.13 : La consommation résidentielle a été mesurée par des compteurs d'eau.
Art 2.1 : Variation de l'IFI de 2018 à 2019. Les variations de consommation ont un impact sur la variation de l'IFI. Cependant, ce dernier reste dans un même ordre de grandeur.
</t>
  </si>
  <si>
    <t xml:space="preserve">Art 2.2 : La consommation résidentielle a été estimée à 250 l/per/d. Une fois l'échantillon de compteurs d'eau installé, une estimation plus précise pourra être réalisée. Il est à noter que d'un réseau à l'autre la consommation résidentielle peut varier selon les habitudes de consommation des usagers. 
Art 2.1 : IFI faible du à la petite taille du réseau sur lequel la ville interviens plus rapidement en cas de détectection de fuite. </t>
  </si>
  <si>
    <t>Art 2.2 : La consommation résidentielle a été estimée à 250 l/per/d. Une fois l'échantillon de compteurs d'eau installé, une estimation plus précise pourra être réalisée. Il est à noter que d'un réseau à l'autre la consommation résidentielle peut varier selon les habitudes de consommation des usagers. 
Entente de compilation de données pour un réseau de distribution commun :
Municipalité exportatrice : Saguenay (94068)
Municipalité importatrice : Sainte-Ambroise (94255) - Réseau Aqueduc Rang Est
A : 952 log, 2,10 pers/log, 1 977 pers
B : 17 log, 2,44 pers/log, 42 pers, longueur du réseau de 1 350 m
Indice de fuites dans les infrastructures (IFI) du réseau commun : 3,5
Contrôle actif des fuites (localisation et réparation) : oui
Consommation résidentielle estimée pour ce réseau commun : 250 l/pers/d
Eau distribuée pour ce réseau commun : 536 l/pers/d
Installation de compteurs d’eau à la consommation requise : oui
Résultat de validité des données de l’audit de l’eau AWWA : 64
Entente de compilation de données pour un réseau de distribution commun :
Municipalité exportatrice : Saguenay (94068)
Municipalité importatrice : Sainte-Ambroise (94255) - Réseau Aqueduc Domaine des Aulnaies
A : 952 log, 2,10 pers/log, 1977 pers
B : 37 log, 2,44 pers/log, 90 pers, longueur du réseau de 1 253 m
Indice de fuites dans les infrastructures (IFI) du réseau commun : 3,5
Contrôle actif des fuites (localisation et réparation) : oui
Consommation résidentielle estimée pour ce réseau commun : 250 l/pers/d
Eau distribuée pour ce réseau commun : 536 l/pers/d
Installation de compteurs d’eau à la consommation requise : oui
Résultat de validité des données de l’audit de l’eau AWWA : 64</t>
  </si>
  <si>
    <t>Art 1.2 : Les immeubles résidentiels sont seulement des maisons unifamiliales (Logements = Immeubles). 
Art 1.3 et Art 2.2 : Pour calculer la consommation résidentielle, un prorata des logements résidentiels et des logements non résidentiels ont été pris en compte.
Sur le réseau, il y a 74 logements résidentiels et 7 immeubles non résidentiels. La consommation résidentielle est estimée par le calcul suivant :
Consommation non mesurée et facturée * nombre de logements résidentiels / (logements résidentiels  + immeubles non résidentiels) 
15,367 ML *(74 / (74+7))= 14,030 ML
Art 2.3 : Résultat de 45 dû à une cote de 5 attribuée au volume d'eau produite, car l’écart de précision n’est pas de +/- 6%. Pour obtenir un pointage de 9, l’écart de précision doit être de +/- 6% et les conditions d’installation du débitmètre en place doivent respecter les recommandations du manufacturier. Il est aussi recommandé que le débitmètre étalon respecte les conditions d’installation.</t>
  </si>
  <si>
    <t xml:space="preserve">Art 1.3, 1.5 et 2.2 : Le nombre de logements résidentiels a changé depuis 2019, car il a précédemment été inscrit le nombre de branchements de services plutôt que le nombre de logements résidentiels desservis et occupés de façon permanente. Ceci a augmenté la population et diminué la consommation résidentielle
Art 1.13 et Art 2.2 : Pour calculer la consommation résidentielle, un prorata des logements résidentiels et des branchements non résidentiels a été pris en compte.
Sur le réseau, il y a 393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55,390 ML *(393 / (393 + 4))= 54,832 ML.
Art.1.15 : Les pertes d’eau réelles proviennent d'une analyse de débit de nuit datant de 2017. Le réseau d'aqueduc est à double sens et cela complique la prise de données, mais il est suggéré de la réaliser à chaque année. 
</t>
  </si>
  <si>
    <t>Art 1.9 : La pression est élevée sur le réseau pour s'assurer de fournir adéquatement les usagers en eau potable. 
Art 1.13 et Art 2.2 : Pour calculer la consommation résidentielle, un prorata des logements résidentiels et des immeubles non résidentiels a été pris en compte.
Sur le réseau, il y a 580 logements résidentiels et 36 immeubles non résidentiels sans compteur d’eau et non relevé. La consommation résidentielle est estimée par le calcul suivant :
Consommation non mesurée et facturée * nombre de logements résidentiels / (logements résidentiels  + immeubles non résidentiels) 
128,525 ML *(580 / (580 + 36))= 121,014 ML.
Art 1.14 : L'eau distribuée à diminué par rapport à 2018 (258,491 Ml/an), ceci s'explique du fait de la lacune de données en 2018 et 2019 ainsi des hypothèses et certainement des erreurs d'extrapolation expliquent cette différence de volume. De plus, la municipalité a réparé de nombreuses fuites en 2018 et 2019 et a étanchéifié son réservoir en 2019. Tout ceci permettrait d'expliquer cette différence entre les deux années.
Art 2.1 : L'IFI diminue par rapport à 2018, ceci s'explique que cette année une analyse des données disponibles de 2018 a permis de mieux identifier un DMN représentatif plus faible.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</si>
  <si>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Art 1.13 et Art 2.2 : Pour calculer la consommation résidentielle, un prorata des logements résidentiels et des immeubles non résidentiels a été pris en compte.
Sur le réseau, il y a 68 logements résidentiels et 5 immeubles non résidentiels sans compteur d’eau et non relevé. La consommation résidentielle est estimée par le calcul suivant :
Consommation non mesurée et facturée * nombre de logements résidentiels / (logements résidentiels  + immeubles non résidentiels) 
9,604 ML *(68 / (68+5))= 8,980 ML.
Art 2.1 : L'absence de débitmètre à la sortie du réservoir empêche d'avoir un réel DMN, cependant au vu des valeurs de production d'eau entre 2h et 4h et la quantité d'eau distribuée, il semblerait cohérent que ce réseau ait de faible pertes d'eau. C'est pourquoi l'IFI a été fixé à 1,0.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</si>
  <si>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Art 1.13 et Art 2.2 : Pour calculer la consommation résidentielle, un prorata des logements résidentiels et des branchements non résidentiels a été pris en compte.
Sur le réseau, il y a 34 logements résidentiels et 0 branchements non résidentiels sans compteur d’eau et non relevé. La consommation résidentielle est estimée par le calcul suivant :
Consommation non mesurée et facturée * nombre de logements résidentiels / (logements résidentiels + branchements non résidentiels) 
4,303*(34/(34+7)= 3,57 ML.
Art.1.14 : Il y a une diminution de du volume d’eau distribué par rapport au bilan 2018. Puisque le réseau est petit, l’eau distribuée fluctue beaucoup en raison des fuites qui peuvent apparaître et des délais de réparations.
 Art 2.2 : Il y a une diminution de la consommation résidentielle de 14 % par rapport au bilan 2018. Il n'est pas possible de trouver une raison particulière à cette diminution de consommation. Il est probable que ce ne soit qu'une simple variation de l'année à cause du nombre de personne non élevé de la municipalité.</t>
  </si>
  <si>
    <t>Art.1.13 : La consommation résidentielle a été mesurée par des compteurs d'eau. Certaines lectures n'ayant pu être faite, les volumes ont été estimées.</t>
  </si>
  <si>
    <t xml:space="preserve">Art 1.13 &amp; 2.2 : La consommation résidentielle a été mesurée à l'aide de compteurs d'eau installés. On observe une baisse au niveau de la consommation résidentielle par rapport à 2018. À noter que l'été 2019 a été chaud et que la municipalité a travaillé à sensibiliser les citoyens sur l'usage de l'eau potable. Ce travail peut se refléter au niveau des résultats 2019. 
Art 1.14 : La quantité d'eau distribuée est élevée due à la présence de nombreuses fermes à la municipalité. Ces dernières sont munies de compteurs d'eau. On observe une variation importante du per capita total. Ceci peut être dû à l'imprécision des lectures des débitmètres. Les écarts de précision dépassent les 10 %. La RARC prévoir remplacer ces débitmètres au  courant de l'année 2020. 
Art 1.15 &amp; 2.1 : La variation des PER peut s"expliquer également par les problématiques de lecture des débitmètres. On observe une diminution des PER ainsi que du volume distribué. 
</t>
  </si>
  <si>
    <t xml:space="preserve">Art 1.13 et Art 2.2 : Pour calculer la consommation résidentielle, un prorata des logements résidentiels et des branchements non résidentiels a été pris en compte.
Sur le réseau, il y a 51 logements résidentiels et 2 branchements non résidentiels sans compteur d’eau et non relevé. La consommation résidentielle est estimée par le calcul suivant :
Consommation non mesurée et facturée * nombre de logements résidentiels / (logements résidentiels + branchements non résidentiels) 
6,647ML *(51/ (51 + 2))= 6,396 ML.
Art.1.15 : La diminution entre les pertes d'eau réelles 2018 et 2019 s'explique par la bonification des hypothèses utilisées. Les consommations de nuit utilisées ont été mises à jour afin de mieux estimer les pertes d’eau réelles à partir du débit de nuit minimum. De plus le débit de nuit utilisé pour 2019 correspond au débit de nuit d'uniquement une seule journée de 2020, car le débit de nuit en 2019 n'est pas disponible.
Art.2.1 : L'indice de fuites dans les infrastructures est faible, car le réseau est petit. La municipalité peut donc détecter rapidement l’apparition des fuites avec l’analyse de débits de nuit. Elle peut ensuite les localiser et les réparer rapidement. 
Art 2.2 : Il y a une augmentation de la consommation résidentielle par rapport au bilan 2018. En effet, la bonification des hypothèses utilisées pour l’estimation des pertes d’eau réelles a entraîné une baisse des pertes d’eau (car l'hypothèse de consommation est de 1,5 litre/ (h*propriété résidentielle)) et par conséquent une augmentation de la consommation résidentielle.
</t>
  </si>
  <si>
    <t xml:space="preserve">Art 1.13 et Art 2.2 : Pour calculer la consommation résidentielle, un prorata des logements résidentiels et des branchements non résidentiels a été pris en compte.
Sur le réseau, il y a 411 logements résidentiels et 15 branchements non résidentiels actifs sans compteur d’eau et non relevé. La consommation résidentielle est estimée par le calcul suivant :
Consommation non mesurée et facturée * nombre de logements résidentiels / (logements résidentiels + branchements non résidentiels actifs) 
80,292 ML *(411 / (411 + 15))= 77,465 ML.
Art.1.14 et Art.1.15 : Il y a une augmentation du volume d’eau distribué par rapport au bilan 2018 (91,000 ML). Cette augemntation peut être expliquée par l'apparition de plusieurs fuites sur le réseau qui n'ont pas été détectées avant 2020 par ce que la municipalité n'a pas fait de recherche de fuite en 2019 puisqu'elle respectait l'objectif de pertes d'eau au bilan 2018. Seulement les fuites détectables en surface ont été réparées en 2019. Ceci explique aussi l'augmentation des PER par rapport à 2018 (16,060 ML).
</t>
  </si>
  <si>
    <t>Art.1.9 : La pression moyenne sur le réseau a augmenté par rapport à 2018. Cette variation s'explique par le changement de méthode de mesure. En 2019, la pression a été prise tous les jours à l'usine et la pression moyenne annuelle a été utilisée.
Art 1.13 et Art 2.2 : Pour calculer la consommation résidentielle, un prorata des logements résidentiels et des branchements non résidentiels a été pris en compte.
Sur le réseau, il y a 58 logements résidentiels et 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18,129 ML *(58 / (58 + 3))= 17,237 ML.
Art.1.16 : Les pertes d’eau réelles inévitables ont augmenté par rapport au bilan 2018 (1,731 ML). Cette augmentation est dûe à la bonificaiton de la donnée utilisée pour la pression moyenne sur le réseau. 
Art.2.2 : La consommation résidentielle par personne estimée est élevée, car la méthode d'estimation prend la consommation non résidentielle sans compteur d'eau et non relevés au même niveau que la consommation résidentielle.
Les 5 branchements non résidentiels sont des gros consommateurs et cela explique la différence avec le réseau Village.</t>
  </si>
  <si>
    <t xml:space="preserve">Art.1.13 : La consommation résidentielle a été mesurée par des compteurs d'eau. La consommation a grandement diminué par rapport à l'an passé. La précision des compteurs d'eau sera étudiée par la municipalité au courant de l'année 2020 pour valider cette baisse de consommation. 
Art.1.15 : Les pertes d’eau réelles ont augmenté par rapport au bilan 2018. La municipalité a distribué autant d'eau potable qu'à l'habitude, mais la consommation lue par les compteurs d'eau a diminué, ce qui a pour effet d'augmenter les pertes d'eau (Eau distribuée - Consommation = Pertes d'eau). L'augmentation des pertes d'eau est soit causée par la diminution de la précision des compteurs d'eau soit l'apparition de fuites non signalées. Aucune fuite n’a été détectée en 2019. Une recherche de fuite permettrait de localiser les fuites non signalées.
</t>
  </si>
  <si>
    <t>Art.2.1 : Il est recommandé d’effectuer un contrôle actif des fuites sur le réseau, car l'indicateur de pertes d'eau est égal à l'objectif. Il y a possiblement des fuites sur les conduites ou des branchements de service non signalées.
À noter que les réseaux dont l’indicateur de pertes d'eau dépasse la valeur de comparaison, un contrôle actif des fuites sur l’équivalent de 200 % de la longueur sera requis d'ici le 1er septembre 2021.</t>
  </si>
  <si>
    <t xml:space="preserve">Art. 1.7 : Une erreur avait été faite en 2018 sur le nombre de branchements de service. Un total de 625 est plus représentatif selon la municipalité.
Art.1.15 : Il y a une augmentation des PER par rapport au bilan 2018 (37,280 ML). L'apparition d'une fuite sur le réseau en 2019 pourrait expliquer cette augmentation. 
Art. 1.16 : Il y a une augmentation des PERI par rapport au bilan 2018 (16,722 ML). Cette variation est explicable par la bonification de la donnée du nombre de branchement de service sur le réseau. </t>
  </si>
  <si>
    <t>Art 1.9 : La pression est élevée pour fourinir de l'eau à une résidence située en hauteur sur le réseau. La municipalité prévoit diminuer la pression en 2020.
Art 1.13 et Art 2.2 : Pour calculer la consommation résidentielle, un prorata des logements résidentiels et des branchements non résidentiels a été pris en compte.
Sur le réseau, il y a 71 logements résidentiels et 2 branchements non résidentiels sans compteur d’eau et non relevé. La consommation résidentielle est estimée par le calcul suivant :
Consommation non mesurée et facturée * nombre de logements résidentiels / (logements résidentiels + branchements non résidentiels) 
7,712 ML *(71 / (71 + 2))= 7,501 ML.
Art 1.14 : La très faible quantité d'eau distribuée par personne dans la municipalité s'explique par la présence de seulement 2 commerces qui ne consomment pas beaucoup d’eau et de la sensibilisation constante que la municipalité effectue envers la population.
Art 1.16 : Une meilleure estimation de la pression sur le réseau et de la longueur des branchements de service a causé une augmentation des PERI et une diminution de l'IFI par rapport à 2018.
Art 2.2 : Tout comme l'année précédente, ce réseau comporte une faible quantité d'eau distribuée par personne. Cet indicateur est faible, car il s'agit d'un réseau comportant de petites maisons consommant peu selon la municipalité.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t>
  </si>
  <si>
    <t xml:space="preserve">Art 1.4 et Art 1.5: Une population desservie de 575 personnes est plus représentative. D'où un changement du nombre de personne par logemenent.
Art 1.3 et Art 2.2 : Pour calculer la consommation résidentielle, un prorata des logements résidentiels et des logements non résidentiels ont été pris en compte.
Sur le réseau, il y a 207 logements résidentiels et 11 immeubles non résidentiels. La consommation résidentielle est estimée par le calcul suivant :
Consommation non mesurée et facturée * nombre de logements résidentiels / (logements résidentiels  + immeubles non résidentiels) 
38,052 ML *(207 / (207+11))= 36,132ML
Art 1.14 : L'eau distribuée a diminuée par rapport à 2018 (69,760 ML/an). Ceci peut s'expliquer du fait que la muncipalité a réparé des fuites qui ont pu être présente depuis un certain temps. De plus la muncipalité sensibilise ses citoyens. 
Art 1.15 et Art 2.1: Les pertes d'eau réelles ainsi que l'IFI ont augmenté, ceci peut s'expliquer du fait que le débit de nuit est différent. L'année dernière le débit de nuit utilisé datait de l'automne 2017 et cette année le débit de nuit provient du mois de juin 2020. Ainsi une grande période sépare ces deux débits de nuit et ils ne proviennent pas de la période de l'année. De plus des fuites ont été constatées et réparées en 2019, certaines ont pu être présente pendant un certain temps. 
Art 2.2 : La consommation résidentielle a diminué par rapport au bilan 2018. Ceci s'explique du fait que le débit de nuit a été revu à jour et est plus élevé, de plus le changement d'hypothèses induit une augmentation des PER et une diminution de la consommmation résidentielle. Pour finir, la municipalité a distribué moins d'eau entre 2019 et 2018. 
</t>
  </si>
  <si>
    <t xml:space="preserve">Note : Le débitmètre à la distribution avait un écart de précision entre 21,5% et 62,9% en 2018. Pour cette raison, les volumes des débitmètres aux puits ont été utilisés. Cette erreur peut cependant contribuer à la variation des valeurs de débit de nuit. 
Art 1.13 et Art 2.2 : Pour calculer la consommation résidentielle, un prorata des logements résidentiels et des branchements non résidentiels a été pris en compte.
Sur le réseau, il y a 272 logements résidentiels et 12 branchements non résidentiels sans compteur d’eau et non relevé. La consommation résidentielle est estimée par le calcul suivant :
Consommation non mesurée et facturée * nombre de logements résidentiels / (logements résidentiels + branchements non résidentiels) 
31,574 ML *(272 / (272 + 12))= 30,240 ML.
Art 1.14 : La très faible quantité d'eau distribuée par personne dans la municipalité s'explique par la présence de seulement 12 commerces qui ne consomment pas beaucoup d’eau et de la sensibilisation constante que la municipalité effectue envers la population. De plus, les pertes d'eau réelles faibles contribuent à la faible quantitée d'eau distribuée par personne. 
Art.1.15 : Les pertes d’eau réelles ont diminué par rapport au bilan 2018 (2,628 ML). La réparation d'une fuite majeure en 2019 a diminué le débit de nuit de près de la moitié sur le réseau par rapport à 2018.
Art.2.1 : L'indice de fuites dans les infrastructures est faible, car le réseau est petit. La municipalité peut donc détecter rapidement l’apparition des fuites avec l’analyse de débits de nuit. Elle peut ensuite les localiser et les réparer rapidement. </t>
  </si>
  <si>
    <t>Art 1.13 et Art 2.2 : Pour calculer la consommation résidentielle, un prorata des logements résidentiels et des branchements non résidentiels a été pris en compte.
Sur le réseau, il y a 230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47,782 ML *(230 / (230 + 14))= 45,040 ML.
Art.1.14 : Il y a une augmentation du volume d’eau distribué par rapport au bilan 2018. Le débitmètre n’a pas été vérifié. Par conséquent, l’erreur associée au volume d’eau distribué n’est pas connue. De plus, au bilan 2018, l'écart de précision du débitmètre était de 35,46%, ce qui peut expliquer la variation annuelle de volume distribué.
Art.2.1 : L'indice de fuites dans les infrastructures est faible. Les faibles pertes d’eau réelles ont été déterminées à partir des données de débits de nuit. 
Le débitmètre pourrait mal lire les débits minimums, car il n’a jamais été vérifié. La municipalité pourrait vérifier la précision du débitmètre et s’assurer que celui-ci lit bien les débits faibles.
Art.2.2 : La consommation résidentielle par personne estimée est élevée, car la méthode d'estimation prend la consommation non résidentielle sans compteur d'eau et non relevés au même niveau que la consommation résidentielle.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</si>
  <si>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 xml:space="preserve">Art 1.13 et Art 2.2 : Pour calculer la consommation résidentielle, un prorata des logements résidentiels et des branchements non résidentiels a été pris en compte.
Sur le réseau, il y a 197 logements résidentiels et 31 branchements non résidentiels sans compteur d’eau et non relevé. La consommation résidentielle est estimée par le calcul suivant :
Consommation non mesurée et facturée * nombre de logements résidentiels / (logements résidentiels + branchements non résidentiels) 
34,566 ML *(197 / (197+ 31))= 29,866ML.
Art 1.14 &amp; 2.2:  Il y a une  diminution du volume d’eau distribué par rapport au bilan 2018. la population est sensibilisée à l’usage de l’eau et fait attention à sa consommation. 
Étant donné que la quantité d'eau distribuée cette année a diminué comparativement à l'année dernière, la quantité d'eau distribuée par personne (l/pers/d) ainsi que la consommation résidentielle (l/pers/jour) ont également diminué.
Art.1.15 : L'écart entre les pertes d'eau réelles 2018 et 2019 s'explique par la bonification des hypothèses utilisées. Les consommations de nuit utilisées ont été mises à jour afin de mieux estimer les pertes d’eau réelles à partir du débit de nuit minimum.
</t>
  </si>
  <si>
    <t xml:space="preserve">Art 1.13 et Art 2.2 : Pour calculer la consommation résidentielle, un prorata des logements résidentiels et des branchements non résidentiels a été pris en compte.
Sur le réseau, il y a 255 logements résidentiels et 2 branchements non résidentiels sans compteur d’eau et non relevé. La consommation résidentielle est estimée par le calcul suivant :
Consommation non mesurée et facturée * nombre de logements résidentiels / (logements résidentiels + branchements non résidentiels) 
29,236 ML *(255 / (255 + 2))= 29,008ML.
Art.1.14 : Il y a une  diminution du volume d’eau distribué par rapport au bilan 2018. la population est sensibilisée à l’usage de l’eau et fait attention à sa consommation. 
Art 1.14 &amp; 2.2: Étant donné que la quantité d'eau distribuée cette année a diminué comparativement à l'année dernière, la quantité d'eau distribuée par personne (l/pers/d) ainsi que la consommation résidentielle (l/pers/jour) ont également diminué.
</t>
  </si>
  <si>
    <t xml:space="preserve">Art 1.14 &amp; 2.2: Étant donné que Le débitmètre n’a pas été vérifié, l’erreur associée au volume d’eau distribué n’est pas connue.  Le fait que le débimètre n'a pas été vérifier a une influence sur tous les indicateurs.
Art 2.3 : Résultat de 37 dû à une cote de 3 attribuée au volume d'eau produite/importée/exportée, car le débitmètre n’a pas été vérifiés. Afin d'augmenter cette cote, les débitmètres devrait être vérifié annuellement tout en s’assurant de respecter les conditions d’installation du manufacturier.
</t>
  </si>
  <si>
    <t>Art 1.13 et Art 2.2 : Pour calculer la consommation résidentielle, un prorata des logements résidentiels et des immeubles non résidentiels a été pris en compte.
Sur le réseau, il y a 617 logements résidentiels et 8 immeubles non résidentiels sans compteur d’eau et non relevé. La consommation résidentielle est estimée par le calcul suivant :
Consommation non mesurée et facturée * nombre de logements résidentiels / (logements résidentiels  + immeubles non résidentiels) 
111,980 ML *(617 / (617 + 8))= 110,547 ML.
Art 1.14 et 2.2: La quantité d'eau distribuée par personne et la consommation résidentielle ont augmenté du fait de l'augmentation de l'eau distribuée, et aussi de la mise à jour des immeubles résidentiels qui a été revue à la baisse cette année.
Art 1.16 : Les pertes d'eau réelles inévitables ont diminué par rapport à 2018, du fait que la pression a été revue cette année et étant plus faible, elle diminue les PERI de ce réseau.</t>
  </si>
  <si>
    <t>Art 1.13 et Art 2.2 : Pour calculer la consommation résidentielle, un prorata des logements résidentiels et des immeubles non résidentiels a été pris en compte.
Sur le réseau, il y a 566 logements résidentiels et 15 immeubles non résidentiels sans compteur d’eau et non relevé. La consommation résidentielle est estimée par le calcul suivant :
Consommation non mesurée et facturée * nombre de logements résidentiels / (logements résidentiels  + immeubles non résidentiels) 
152,310 ML *(566 / (566 + 15))= 148,378 ML.
Art 1.14  : Le volume d'eau distribué a augmenté par rapport à 2018 (127,994 ML), ceci peut s'expliquer par la fuite réparée après un mois, mais aussi du fait que des logements se sont rajoutés.
Art 1.14 et 2.2: La quantité d'eau distribuée par personne et la consommation résidentielle ont augmenté du fait de l'augmentation de l'eau distribuée.
Art 1.16 : Les pertes d'eau réelles inévitables ont diminué par rapport à 2018, du fait que la pression a été revue cette année et étant plus faible, elle diminue les PERI de ce réseau.</t>
  </si>
  <si>
    <t xml:space="preserve">Art. 1.6 : Prolongement de 1 900 mètres réalisé en 2019.
Art. 1.16 : Le prolongement du réseau explique l'augmentation des PERI par rapport à 2018.
Art 1.13 et Art 2.2 : Pour calculer la consommation résidentielle, un prorata des logements résidentiels et des branchements non résidentiels a été pris en compte.
Sur le réseau, il y a 792 logements résidentiels et 22 branchements non résidentiels sans compteur d’eau et non relevé. La consommation résidentielle est estimée par le calcul suivant :
Consommation non mesurée et facturée * nombre de logements résidentiels / (logements résidentiels + branchements non résidentiels) 
163,990 ML *(792 / (792 + 22))= 159,558 ML.
Art. 1.14 et 2.2 : Un avis de restriction d'utilisation de l'eau a été émis en 2019, ce qui peut expliquer la diminution de l'eau distribuée par personne et la consommation résidentielle par rapport à 2018.
Art.2.2 : La consommation résidentielle par personne estimée est élevée, car la méthode d'estimation prend la consommation non résidentielle sans compteur d'eau et non relevés au même niveau que la consommation résidentielle. 
Art 2.3 : Résultat de 45 dû à une cote de 5 attribuée au volume d'eau produite, car le débitmètre n’a pas été vérifié en 2019. Afin d'augmenter cette cote, les débitmètres devrait être vérifié annuellement tout en s’assurant de respecter les conditions d’installation du manufacturier.
</t>
  </si>
  <si>
    <t xml:space="preserve">Art 1.13 :  Tous les branchements non résidentiels du réseau sont équipés de compteurs d'eau. La consommation non mesurée et facturée est donc uniquement de la consommation résidentielle.
Art 1.14 : La très faible quantité d'eau distribuée par personne dans la municipalité s'explique par la présence de seulement 19 commerces qui ne consomment pas beaucoup d’eau et de la sensibilisation constante que la municipalité effectue envers la population.
Art 2.2 : Tout comme l'année précédente, ce réseau comporte une faible quantité d'eau distribuée par personne. Cet indicateur est faible, car il s'agit d'un réseau comportant de petites maisons consommant peu selon la municipalité. De plus, il y a eu un avis de restriction d'utilisation d'eau en 2019, ce qui peut expliquer la baisse de la consommation résidentielle par rapport à 2018.
</t>
  </si>
  <si>
    <t xml:space="preserve">Art. 1.6 : La longueur du réseau a été ajustée car dans les bilans précédents, la longueur de la conduite d'eau brute était considérée. 
Art 1.13 et Art 2.2 : Pour calculer la consommation résidentielle, un prorata des logements résidentiels et des immeubles non résidentiels a été pris en compte.
Sur le réseau, il y a 120 logements résidentiels et 6 immeubles non résidentiels sans compteur d’eau et non relevé. La consommation résidentielle est estimée par le calcul suivant :
Consommation non mesurée et facturée * nombre de logements résidentiels / (logements résidentiels  + immeubles non résidentiels) 
25,794 ML *(120 / (120 + 6))= 24,566 ML.
Art. 1.16 et 2.1 : La variation de la longueur de réseau engendre une variation des pertes d'eau réelles inévitables et donc de l'IFI.
Art.2.2 : La consommation résidentielle par personne estimée est élevée, car la méthode d'estimation prend la consommation non résidentielle sans compteur d'eau et non relevés au même niveau que la consommation résidentielle. De plus, une purge du réseau supplémentaire à dut étre effectuer. Pour cause, d'un bris d'une pompe d'oseuse, surcloration des réservoirs. Aussi une grande demande en eau à eux lieu pour la restructuration de notre rue de l'église.
</t>
  </si>
  <si>
    <t>Art.2.1 : Il est recommandé d’effectuer un contrôle actif des fuites, car pour les réseaux dont l’indicateur de pertes d'eau dépasse la valeur de comparaison, un contrôle actif des fuites sur l’équivalent de 200 % de la longueur sera requis d'ici le 1er septembre 2021.
La municipalité pourrait mieux estimer la consommation résidentielle en installant des compteurs d’eau et en effectuant des relèves.</t>
  </si>
  <si>
    <t>Art.1.13 : La consommation résidentielle a été mesurée par des compteurs d'eau.
Art. 1.14 : La quantité d'eau distribuée par personne est élevée du fait que la municipalité a un secteur non résidentiel très développé.
Art. 1.15 et 2.1 : Les pertes d’eau réelles ont diminué par rapport au bilan 2018 (127,896 ML). Cela provient du fait qu'il n'y a pas eu de bris majeur en 2019 alors que deux réparations de fuites avaient été réalisées en 2018. Cela explique la variation de l'IFI.</t>
  </si>
  <si>
    <t>Art 1.3 : consommation estimée sur la base de lectures de compteurs pour la période du 1 er mai 2019 au 30 avril 2020
Art 1.15 &amp; 1.13: On observe une baisse du per capita total et des PER. Ceci peut s'expliquer par l'usage d'ententes de compilations de données pour produire les bilans d'eau. Les villes de l'AIBR sont en train de se munir de débitmètres qui permettront de connaitre les volumes distribués pour chacune d'entre elles. Ceci aura pour effet d'augmenter la qualité des bilans d'eau et de mieux comprendre l'influence des secteurs de consommations des villes. 
Entente de compilation de données pour un réseau de distribution commun :
Municipalité exportatrice : Saint-Denis-sur-Richelieu
Municipalité importatrice : Saint-Antoine-sur-Richelieu; Saint-Charles-sur-Richelieu;Saint-Marc-sur-Richelieu;Saint-Mathieu de Beloeil
Indice de fuites dans les infrastructures (IFI) du réseau commun : 1,1
Contrôle actif des fuites (localisation et réparation) : non
Consommation résidentielle estimée pour ce réseau commun : 224 l/pers/d
Eau distribuée pour ce réseau commun : 581 l/pers/d
Résultat de validité des données de l’audit de l’eau AWWA : 66</t>
  </si>
  <si>
    <t xml:space="preserve">Art 1.13 et Art 2.2 : Pour calculer la consommation résidentielle, un prorata des logements résidentiels et des branchements non résidentiels a été pris en compte.
Sur le réseau, il y a 1190 logements résidentiels et 75 branchements non résidentiels sans compteur d’eau et non relevé. La consommation résidentielle est estimée par le calcul suivant :
Consommation non mesurée et facturée * nombre de logements résidentiels / (logements résidentiels + branchements non résidentiels) 
245,696 ML *(1190 / (1190 + 75))= 231,094 ML.
Art.1.13 : Il y a une augmentation de la consommation résidentielle estimée par rapport à 2018 (203,428 ML). Cette différence peut s'expliquer par l'apparition d'une fuite non réparée sur le réseau. Puisque le débit de nuit minimum de l'année est utilisé pour estimer les PER et l'IFI, le volume perdu par cette fuite peut avoir été compté en partie comme de la consommation. 
Art.1.14 : Il y a une augmentation du volume d’eau distribué par rapport au bilan 2018. Il y a peut-être l'apparition de certaines fuites qui expliquerait la hausse l’eau distribuée. Celles-ci n’ont pas été détectées, car la municipalité n’a pas fait de recherche de fuites sur l'ensemble de son réseau. Elle n'a ausculté qu'une partie de son réseau et prévoit en ausculter une plus grande partie en 2020.
Art.1.15 : Les pertes d’eau réelles ont augmenté par rapport au bilan 2018 (45,260 ML). En 2018, la municipalité n'a ausculté que 50% de son réseau. En 2019, elle a ausculté 10% de son réseau avec de l'écoute tous contacts. Il est possible que certaines fuites soient apparues depuis 2018 et qu'elles n'aient pas été réparées, ce qui expliquerait l'augmentation du débit de nuit et donc des PER.
</t>
  </si>
  <si>
    <t>Art.2.2 : La municipalité pourrait mieux estimer la consommation résidentielle en relevant les compteurs d’eau déjà installés sur son réseau.</t>
  </si>
  <si>
    <t>Art.1.13 : La consommation résidentielle a été mesurée par des compteurs d'eau.
Art. 2.1 : L'indice de fuite a diminué de 45% en comparaison de l'année 2018. Le résultat est grâce à l'effort mis dans la recherche actif des fuites sur l'ensemble de réseau et à l'intervention rapide pour la réparation de fuite. 
Art. 2.2 : La consommation résidentielle était de 140 L/pers/d à l'année 2018. Il est à noter qu'il y a eu une augmentation de populations et il est possible que le type de consommateur a changé. Il n'en est moins vrai que la consommation résidentielle reste en bas de l'indicateur pour l'année 2019.</t>
  </si>
  <si>
    <t>Art.1.13 : La consommation résidentielle a été mesurée par des compteurs d'eau sur l'ensemble des branchements de services de la municipalité.
Art.1.16 : Une meilleure estimation de la pression a fait diminuer les PERI sur le réseau.
Art.2.2 : La faible consommation résidentielle a été mesurée à l’aide de compteur d’eau, mais ceux-ci sont vieux et ils n’ont ni été vérifiés ni remplacés.</t>
  </si>
  <si>
    <t>Art 1.4 : L’estimation 2019 du nombre de personnes par logements de statistique Canada surestime la population résidentielle desservie et occupée de façon permanente. Une population de 322 personnes est plus représentative.
Art 1.13 et Art 2.2 : Pour calculer la consommation résidentielle, un prorata des logements résidentiels et des branchements non résidentiels a été pris en compte.
Sur le réseau, il y a 134 logements résidentiels et 7 branchements non résidentiels sans compteur d’eau et non relevé. La consommation résidentielle est estimée par le calcul suivant :
Consommation non mesurée et facturée * nombre de logements résidentiels / (logements résidentiels + branchements non résidentiels) 
66,027 ML *(134 / (134 + 7))= 62,749 ML.
Art.2.2 : La consommation résidentielle par personne estimée est élevée, car la méthode d'estimation prend la consommation non résidentielle sans compteur d'eau et non relevés au même niveau que la consommation résidentielle. De plus, les habitudes de consommation de la population laissant couler l'eau en hiver pour éviter le gel, explique cette valeur élevée. L'aspect touristique de la région peut également être un facteur expliquant cette consommation élevée.
Art 2.3 : Résultat de 45 dû à une cote de 5 attribuée au volume d'eau produite, car le débitmètre n’a pas été vérifiés. Afin d'augmenter cette cote, le débitmètre devrait être vérifié annuellement tout en s’assurant de respecter les conditions d’installation du manufacturier.</t>
  </si>
  <si>
    <t xml:space="preserve">Art 1.5: Il y a 180 personnes connectées de façon permamente sur le réseau. Cependant. d'octobre à mai, il y a 679 personnes connectées sur le réseau.
Art 1.13 et 2.2: Une consommation théorique de 250 l/pers/d a été attribuée au secteur résidentiel. Cette estimation sera raffinée au courant des prochaines années grâce à l'installation de compteurs d'eau sur l'ensemble des branchements connectés au réseau. 
Art 1.14: La quantité d'eau distribuée par personne par jour a grandement augmentée par rapport à 2018. En fait, la quantité d'eau distribuée en 2018 avait été grandement sous-estimée. La quantité d'eau distribuée par personne par jour est très élevée, notament à cause de la consomation associée à l'afflux saisonnier d'octobre à mai. </t>
  </si>
  <si>
    <t>Art 1.3 et Art 1.4: Le nombre de logements a baissé par rapport à 2018, car la donnée a été raffinée. En effet, il y a 809 logements connectés au réseau et occupés de façon permanente. Puisque le nombre de logement a diminué, mais que la statistique de personne/logement est la même, la population de la municipalité a également diminué.
Art 1.9 : La donnée de la pression moyenne du réseau a été mise à jour avec une donnée plus représentative.
Art.1.13 : La consommation résidentielle a été mesurée par des compteurs d'eau.
Art 1.16 : Les pertes réelles inévitables ont diminué par rapport à 2018 (24,817 ML/an), ceci est lié à la mise à jour de la donnée de pression, qui est plus faible en 2019.
Art 1.13, Art 1.15, Art 2.1 et Art 2.2 : L'augmentation de la consommation résidentielle estimée en 2019 comparativement à 2018 peut s'expliquer par le fait que la municipalité a effectué une meilleure relève des compteurs d'eau en 2019. Aussi, la précision des compteurs d'eau n'a été verifiée à aucune des années. Puisque la consommation résidentielle a augmenté pour une quantité sensiblement similaire d'eau distribuée, les pertes d'eau réelles ont diminué et donc l'indice de fuites dans les infrastructures a diminué. L'augmentation de la consommation résidentielle estimée (l/pers/d) peut aussi s'expliquer par la baisse du nombre de logements comparativement à 2018.</t>
  </si>
  <si>
    <t xml:space="preserve">Art 1.3 : Variation du nombre de logements suite aux corrections apportées par la ville. 
Art 1.13 et Art 2.2 : Pour calculer la consommation résidentielle, un prorata des logements résidentiels et des branchements non résidentiels a été pris en compte.
Sur le réseau, il y a 6 002 logements résidentiels et 72 immeubles non résidentiels sans compteur d’eau et non relevé. La consommation résidentielle est estimée par le calcul suivant :
Consommation non mesurée et facturée * nombre de logements résidentiels / (logements résidentiels + branchements non résidentiels) 
1 385,991 ML *(6 734 / (6 734 + 72))= 1 344,614 ML.
</t>
  </si>
  <si>
    <t>Art. 1.9 : La variaition de la pression par rapport au bilan 2018 s'explique avec le fait que la donnée a été affiné. La pression du présent bilan a été calculée avec la moyenne des pressions statiques aux poteaux incendie.
Art.1.13 : La consommation résidentielle a été mesurée par des compteurs d'eau.
Art.1.14, 1.15 et 2.1 : Il y a une augmentation du volume d’eau distribué par rapport au bilan 2018. Cela s'explique par la présence d'une fuite dans une propriété et au niveau des jeux d'eau. Cela explique également la variaiton des pertes d'eau réelles et donc de l'IFI.
Art. 2.1 : La municipalité a déterminée de nombreuses sources de pertes d'eau et des actions vont être mises en place afin d'améliorer cet indicateur au prochain bilan.
Art.2.2 : La faible consommation résidentielle a été mesurée à l’aide de compteur d’eau, mais ceux-ci sont vieux et ils n’ont ni été vérifiés ni remplacés. Il est donc possible que ceux-ci sous comptent le volume d'eau consommé.</t>
  </si>
  <si>
    <t>Art.1.5 : La municipalité a confirmé que le nombre de population de 1635 personnes est le chiffre valide.Le nombre de 1800 personnes dans le bilan de l'année 2018 n'est figuré nul part dans le système de la municipalité.
Art.1.14 : En ce qui concernant la dimunution de l'eau distribuée, la municipalité a mentionné qu'il y a eu le problème de système de lecture de l'eau produite. Le débitmètre n’était pas fonctionnel pendant une certaine période de l’année 2019. Le volume total est comptabilisé moins que 365 jours. Donc, la valeur indiquée ne correspond peut-être pas avec la vraie quantité d’eau distribuée en 2019. 
Art.1.16 : Il y a une légère augmentation de PERI de 0,48. Il faut noter que le nombre de branchements a augmenté de 641, année 2018, à 658, année 2019.
Art.2.1 : Il est recommandé d’effectuer un contrôle actif des fuites, car pour les réseaux dont l’indicateur de pertes d'eau dépasse la valeur de comparaison, un contrôle actif des fuites sur l’équivalent de 200 % de la longueur sera requis d'ici le 1er septembre 2021. Cependant, il ne semble pas y avoir une fuite majeure qui a provoqué le dépassement de l'indicateur IFI, car le débit de nuit équivaut à 0,00 ML. L'augementation de 164% de IFI en compraison de l'année 2018 peut s'expliquer par l'estimation de volume d'eau non mesuré facturé avec débit de nuit pour l'année 2018, tansdis que, pour l'année 2019, les valeurs lues sur compteurs d'eau sont utilisées. Donc, il est possible que le bilan 2019 représente mieux la situation du réseau que celui 2018.
Art. 2.2: Il y a une diminution de la consommation résidentielle par rapport au bilan 2018. Tel que déjà mentionné dans le commentaire Art. 2.1 ci-dessus, le volume d'eau non mesuré facturé  a été estimé avec le débit de nuit pour l'année 2018, tansdis que, pour l'année 2019, les valeurs lues sur compteurs d'eau sont utilisées. Donc, il est possible que le bilan 2019 représente mieux la situation du réseau que celui 2018.</t>
  </si>
  <si>
    <t xml:space="preserve">Art 1.13 et Art 2.2 : Pour calculer la consommation résidentielle, un prorata des logements résidentiels et des branchements non résidentiels a été pris en compte.
Sur le réseau, il y a 1 197 logements résidentiels et 110 branchements non résidentiels sans compteur d’eau et non relevé. La consommation résidentielle est estimée par le calcul suivant :
Consommation non mesurée et facturée * nombre de logements résidentiels / (logements résidentiels + branchements non résidentiels) 
278,746 ML *(1 197 / (1 197 + 110))= 255,286 ML.
Art.1.14 : Il y a une diminution du volume d’eau distribué par rapport au bilan 2018. Cela s'explique par la réparation de nombreuses fuites sur l'ensemble du réseau.
Art.1.15 : L'écart entre les pertes d'eau réelles 2018 et 2019 s'explique par la bonification des hypothèses utilisées. Les consommations de nuit utilisées ont été mises à jour afin de mieux estimer les pertes d’eau réelles à partir du débit de nuit minimum.
Art.2.1 : L'indice de fuites dans les infrastructures dépasse l'objectif. Les pertes d'eau réelles ont été déterminées à partir du débit de nuit minimum et ce dernier est assez élevé du fait de la présence d'un secteur non résidentiel important qui consomme la nuit. 
Art.2.2 : La consommation résidentielle par personne estimée est élevée, car la méthode d'estimation prend la consommation non résidentielle sans compteur d'eau et non relevés au même niveau que la consommation résidentielle. </t>
  </si>
  <si>
    <t>Réseau intermunicipal :
Deux puits alimentent trois municipalités, un quartier en zone rural et une entreprise. Il y a donc cinq branchements sur le réseau. Aucun usager n'est branché directement sur la conduite, ils sont inclus dans les réseaux propre à chaque municipalité. La pression est élevée sur le réseau commun. En effet, chaque municipalité possède un réducteur de pression à l'entrée de son réseau. La conduite communue mesure 21 500 m. Les puits appartiennent à Saint-Bruno mais ils se situent sur la municipalité de Hébertville. L'eau va dans une conduite qui se divise en deux, une conduite va vers le grand réservoir qui dessert Saint-Bruno et Hébertville-Station et l'autre conduite va vers Larouche.
Eau distribuée : 931,728 ML
Pertes d'eau réelles (PER) : 15,353 ML
Pertes d'eau réelles inévitables (PERI) : 14,562 ML
Indice de fuites dans les infrastructures (IFI) = 1,1
Résultat de validité des données de l'audit de l'eau AWWA : 70
Aucune action obligatoire n'est à entreprendre sur ce réseau.</t>
  </si>
  <si>
    <t>Art.1.13 : La consommation résidentielle a été mesurée par des compteurs d'eau.</t>
  </si>
  <si>
    <t xml:space="preserve">Art 1.9 : La donnée de pression du réseau a été remise à jour à partir de tests de pression sur les bornes-fontaines.
Art 1.13 et Art 2.2 : Pour calculer la consommation résidentielle, un prorata des logements résidentiels et des branchements non résidentiels a été pris en compte.
Sur le réseau, il y a 573 logements résidentiels et 63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123,213 ML *(573 / (573 + 63))= 111,0079 ML.
Art.1.14 et Art.2.1: Les pertes d'eau réelles inévitables ont diminué par rapport à 2018, car la valeur du nombre de branchements de service ainsi que la valeur de la pression ont été mis à jour. Puisque les pertes d'eau réelles inévitables ont diminué, l'indice de fuites dans les infrastructures a augmenté.
</t>
  </si>
  <si>
    <t>La municipalité pourrait mieux estimer la consommation résidentielle en effectuant les relèves des compteurs installés.</t>
  </si>
  <si>
    <t>Art.1.2 : Le service d'eau potable de la municipalité de Saint-Casimir (34078) dessert des immeubles de la municipalité de Saint-Thuribe (34085). 
Ce réseau dessert 114 logements de la municipalité de Saint-Casimir et 13 logements de la municipalité de Saint-Thuribe.
Art 1.13 et 2.2: La consommation résidentielle est estimée avec les relèves 2019 de l’échantillon des 20 compteurs résidentiels. Les compteurs d'eau ont été installé au courant de l'année 2019, certaines estimations ont été réalisées pour compléter les quelques mois de consommation non mesurée. 
Art.2.1 : Il est possible que la consommation d'eau soit surestimée à cause de l'extrapolation sur l'ensemble de l'année. Cela a donc un impact sur l'indice de fuites dans les infrastructures, d'où sa faible valeur. Le Bilan 2020 permettra une meilleure analyse de la situation. La variation de l'indice de fuite dans les infrastructures par rapport à l'an dernier est causée par la modification de la méthode de calcul (analyse de débit de nuit vs bilan d'eau annuel).
Art 2.2 : Il y a une diminution de la consommation résidentielle par rapport au bilan 2018, car la méthode d'estimation a changée (analyse de débit de nuit vs échantillon de compteurs d'eau).</t>
  </si>
  <si>
    <t xml:space="preserve">Art.1.2 : Le service d'eau potable de la municipalité de Saint-Casimir (34078) dessert des immeubles de la municipalité de Saint-Thuribe (34085).
Ce réseau dessert 548 logements de la municipalité de Saint-Casimir et 94 logements de la municipalité de Saint-Thuribe.
Art 1.13 et 2.2: La consommation résidentielle est estimée avec les relèves 2019 de l’échantillon des 20 compteurs résidentiels. Les compteurs d'eau ont été installé au courant de l'année 2019, certaines estimations ont été réalisées pour compléter les quelques mois de consommation non mesurée. 
Art.2.1 : Il est possible que la consommation d'eau soit surestimée à cause de l'extrapolation sur l'ensemble de l'année. Cela a donc un impact sur l'indice de fuites dans les infrastructures, d'où sa faible valeur. Le Bilan 2020 permettra une meilleure analyse de la situation. 
Les pertes d’eau réelle de 2018 étaient aussi très élevée car une fuite non apparente se déversait dans un égout pluvial. Celle-ci a été trouvée et réparée à l'hiver 2019.
Art 2.2 : Il y a une diminution de la consommation résidentielle par rapport au bilan 2018, car la méthode d'estimation a changée (analyse de débit de nuit vs échantillon de compteurs d'eau).
</t>
  </si>
  <si>
    <t xml:space="preserve">Art 1.6: La variation de la longueur totale des réseaux de distribution s'explique par le faite que le Plan d'Intervention a été mis à jour en 2019.
Art 1.13 et Art 2.2 : Pour calculer la consommation résidentielle, un prorata des logements résidentiels et des branchements non résidentiels a été pris en compte.
Sur le réseau, il y a 402 logements résidentiels et 29 branchements non résidentiels actifs sans compteur d’eau et non relevé. La consommation résidentielle est estimée par le calcul suivant :
Consommation non mesurée et facturée * nombre de logements résidentiels / (logements résidentiels + branchements non résidentiels actifs) 
74,726 ML *(402 / (402 + 29))= 69,698 ML.
</t>
  </si>
  <si>
    <t>La municipalité devrait mesurer la quantité d'eau qui est exporté en déservant directement les 64 résidences d'une autre municipalité. Cette valeur a été estimé pour ce Bilan.</t>
  </si>
  <si>
    <t xml:space="preserve">Art1.2: Le nombre de personne par logement varie. nous avons une population totale de 5000 personnes. mais ce ne sont pas tous les citoyens qui ont accès au réseau d'aqueduc. Nous avons 2521 bâtiments raccordés au réseau d'aqueduc, donc j'ai mofidifé la quantité de personne par logement afin d'avoir une valeur plus réelleArt1.2: &amp; 2.3 : Le nombre de personne par logement varie. nous avons une population totale de 5000 personnes. mais ce ne sont pas tous les citoyens qui ont accès au réseau d'aqueduc. Nous avons 2521 bâtiments raccordés au réseau d'aqueduc, donc j'ai mofidifé la quantité de personne par logement afin d'avoir une valeur plus réelle
Art 2.1 : À noter qu'en juin 2019, nous avons eu de façon simultané 8 bris d'aqueduc importants. 
Art 1.14 : De plus nous avons une industrie agro-alimentaire qui consomme entre 40 et 50 % de l'eau de la ville. Cette industrie consomme autant de jour que de nuit. </t>
  </si>
  <si>
    <t xml:space="preserve">Art 1.13 et Art 2.2 : Pour calculer la consommation résidentielle, un prorata des logements résidentiels et des branchements non résidentiels a été pris en compte.
Sur le réseau, il y a 7177 logements résidentiels et 165 branchements non résidentiels sans compteur d’eau et non relevé. La consommation résidentielle est estimée par le calcul suivant :
(Consommation non mesurée et facturée - consommation estimée de l'hôpital) * nombre de logements résidentiels / (logements résidentiels + branchements non résidentiels) 
(1382,636 - 439,22075) *(7177 / (7177 + 165))=  922,21346ML.
Art 2.2 : Il y a une diminution de la consommation résidentielle par rapport au bilan 2018. Puisque la population est sensibilisée à l’usage de l’eau et fait attention à sa consommation, la quantié d'eau distribuée a diminué, mais les pertes d'eau réelles sont restées sensiblement les même. Par conséquent, la consommation résidentielle estimée a diminué.
</t>
  </si>
  <si>
    <t>Art. 1.6 - 1.9 : Même que l'année 2018.
Art. 1.16 : Pression dans le réseau est plus élévé à l'année 2019, soit 58 m, alors qu'en 2018, 52m. Cela explique une legère augmentation de PERI.
Art. 2.1 :  La municipalité a confirmé que plusieurs compteurs vieux sous-comptent la consommation de l'eau. C'est à dire que toute la quantité d'eau non comptée est comptabilisée dans la perte réelle, augmentant indicateur IFI. La municipalité a confirmé qu'il compte à remplacer les compteurs vieux et à vérifier la précision.
Art. 2.2 : La municipalité a confirmé que plusieurs compteurs vieux sous-comptent la consommation de l'eau. L'écart entre l'année 2018 et 2019 n'est pas fiable vu qu'à l'année 2018, le même phénomène persistait et ce fait n'est pas tenu en compte. Il n'en est pas moins vrai que la consommation résidentielle doit être plus élévé que 165 l/pers/d obtenu en 2.2.</t>
  </si>
  <si>
    <t>Art 1.13 et Art 2.2 : Pour calculer la consommation résidentielle, un prorata des logements résidentiels et des immeubles non résidentiels a été pris en compte.
Sur le réseau, il y a 275 logements résidentiels et 37 immeubles non résidentiels sans compteur d’eau et non relevé. La consommation résidentielle est estimée par le calcul suivant :
Consommation non mesurée et facturée * nombre de logements résidentiels / (logements résidentiels  + immeubles non résidentiels) 
111,136 ML *(275 / (275 + 37))=  ML.
Art.1.14 : Il y a une augmentation du volume d’eau distribué par rapport au bilan 2018. Cela provient notamment des systèmes d'irrigation du fait de la période de sécheresse durant l'été 2019.
Art.1.15 : Les pertes d’eau réelles ont augmenté par rapport au bilan 2018 (14,543 ML). Cela provient du fait que le débit de nuit a été pris sur une seule journée et pendant le mois de juillet.
Art.2.2 : La consommation résidentielle par personne estimée est élevée, car la méthode d'estimation prend la consommation non résidentielle sans compteur d'eau et non relevés au même niveau que la consommation résidentielle. Le secteur non résidentiel étant principalement constitué de fermes, la consommation de ce secteur est donc sous estimé avec cette méthode de calcul et cela donne une consommation résidentielle importante.</t>
  </si>
  <si>
    <t>La municipalité devrait effectuer une analyse de débit de nuit sur l'ensemble de l'année afin de ne pas surestimer les pertes. Ce problème ne se posera plus après l'installation des compteurs d'eau.
La municipalité pourra mieux estimer la consommation résidentielle en installant des compteurs d’eau et en effectuant des relèves.</t>
  </si>
  <si>
    <t>Art 1.15 &amp; 1.13: On observe une baisse du per capita total et des PER. Ceci peut s'expliquer par l'usage d'ententes de compilations de données pour produire les bilans d'eau. Les villes de l'AIBR sont en train de se munir de débitmètres qui permettront de connaitre les volumes distribués pour chacune d'entre elles. Ceci aura pour effet d'augmenter la qualité des bilans d'eau et de mieux comprendre l'influence des secteurs de consommations des villes. 
Entente de compilation de données pour un réseau de distribution commun :
Municipalité exportatrice : Saint-Denis-sur-Richelieu
Municipalité importatrice : Saint-Antoine-sur-Richelieu; Saint-Charles-sur-Richelieu;Saint-Marc-sur-Richelieu;Saint-Mathieu de Beloeil
Indice de fuites dans les infrastructures (IFI) du réseau commun : 1,1
Contrôle actif des fuites (localisation et réparation) : non
Consommation résidentielle estimée pour ce réseau commun : 224 l/pers/d
Eau distribuée pour ce réseau commun : 581 l/pers/d
Résultat de validité des données de l’audit de l’eau AWWA : 66</t>
  </si>
  <si>
    <t>Municipalité exportatrice : Victoriaville (39062)
Municipalité importatrice : Saint-Christophe-d'Arthabaska (39060)
Victoriaville : 16 289 log, 2,16 pers/log, 35 127 pers
Saint-Christophe d'Arthabaska : 295 log, 2,57 pers/log, 758 pers
Longueur du réseau de Victoriaville : 268,587 km
Longueur du réseau de Saint-Christophe-d'Arthabaska : 7,493 km
Indice de fuites dans les infrastructures (IFI) du réseau commun : 12,7
Contrôle actif des fuites (localisation et réparation) : oui
Consommation résidentielle estimée pour ce réseau commun : 172 l/pers/d
Eau distribuée pour ce réseau commun : 580 l/pers/d
Installation de compteurs d’eau à la consommation requise : oui
Résultat de validité des données de l’audit de l’eau AWWA : 69</t>
  </si>
  <si>
    <t xml:space="preserve">Art 1.13 et Art 2.2 : Pour calculer la consommation résidentielle, un prorata des logements résidentiels et des branchements non résidentiels a été pris en compte.
Sur le réseau, il y a 553 logements résidentiels et 65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138 ML *(553 / (553 + 65))= 123,485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</si>
  <si>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 1.3 : Le nombre de logements a baissé par rapport à 2018, car la donnée a été raffinée. En effet, il y a 100 logements connectés au réseau et occupés de façon permanente. En 2019, aucune distinction n'avait été faite entre les chalets, résidences secondaires et les résidences principales. Une erreur a également été faite lors du bilan 2018 concernant le nombre de branchements de service.
Art 1.13 et Art 2.2 : Pour calculer la consommation résidentielle, un prorata des logements résidentiels et des branchements non résidentiels a été pris en compte.
Sur le réseau, il y a 100 logements résidentiels et 15 branchements non résidentiels actifs sans compteur d’eau et non relevé. La consommation résidentielle est estimée par le calcul suivant :
Consommation non mesurée et facturée * nombre de logements résidentiels / (logements résidentiels + branchements non résidentiels actifs) 
19,701 ML *(100 / (100 + 15))= 17,131 ML.
Art.1.13 et Art.1.14 : Il y a une augmentation du volume d’eau distribué par rapport au bilan 2018. Il y a peut-être l'apparition de certaines fuites qui expliquerait la hausse de l’eau distribuée. Celles-ci n’ont pas été détectées, car la municipalité n’a pas fait de recherche de fuites. De plus, le débit de nuit n'a été pris que sur quelques jours, alors si la fuite est apparue après la prise de débit de nuit, le volume d'eau sera comptée comme de la consommation, ce qui pourrait expliquer la hausse de la consommation résidentielle mais la stabilité des PER. 
Art 2.3 : Résultat de 45 dû à une cote de 5 attribuée au volume d'eau produite, car le débitmètre n’a pas été vérifié en 2019. Afin d'augmenter cette cote, le débitmètre devrait être vérifié annuellement tout en s’assurant de respecter les conditions d’installation du manufacturier.</t>
  </si>
  <si>
    <t>Art.2.2 : La municipalité pourrait mieux estimer la consommation résidentielle en effectuant des relèves des compteurs déjà installés sur leur réseau.</t>
  </si>
  <si>
    <t>Art 1.3 : Il y a eu erreur concernant le nombre de logements dans les formulaires antérieurs, le nombre de logements 2019 est la valeur corrigée soit 73 logements desservis et occupés de façon permanente. Ce nombre provient du rapport de taxation et il est plus représentatif. Une population de 174 personne est également plus représentative.
Art. 1.15 et 2.1 : Une fuite a été constatée au réservoir. Son débit a été estimé par la MRC La Matapédia à 0,75 m3/h. Ce débit est retiré des PER afin de calculer l'IFI réel du réseau.
PER = 19,938 ML
PER en enlevant les pertes au réservoir = 13,368 ML
IFI réel (en enlevant les pertes au réservoir) = 13,368/2,659 = 5,03
Une recherche active de fuite est tout de même requise par le Ministère.
Art 1.13 et Art 2.2 : Pour calculer la consommation résidentielle, un prorata des logements résidentiels et des branchements non résidentiels a été pris en compte.
Sur le réseau, il y a 73 logements résidentiels et 10 branchements non résidentiels sans compteur d’eau et non relevé (incluant les branchements inactifs). La consommation résidentielle est estimée par le calcul suivant :
Consommation non mesurée et facturée * nombre de logements résidentiels / (logements résidentiels + branchements non résidentiels) 
10,023 ML *(73 / (73 + 10))= 8,815 ML.
Art.1.15 : Les pertes d’eau réelles ont augmentées par rapport au bilan 2018 (12,750 ML). Les années précédentes, la consommation résidentielle avait été fixée à 250 L/pers/jour, ce qui sur estimait la consommation est sous-estimait les PER. Le changement de la méthode utilisée pour estimer les pertes peut aussi expliquer la variation de la consommation résidentielle par rapport à 2018.</t>
  </si>
  <si>
    <t xml:space="preserve">Art 1.13 et Art 2.2 : Pour calculer la consommation résidentielle, un prorata des logements résidentiels et des branchements non résidentiels a été pris en compte.
Sur le réseau, il y a 600 logements résidentiels et 43 branchements non résidentiels sans compteur d’eau et non relevé. La consommation résidentielle est estimée par le calcul suivant :
Consommation non mesurée et facturée * nombre de logements résidentiels / (logements résidentiels + branchements non résidentiels) 
112,306 ML *(600 / (600 + 43))= 104,796 ML.
Art 2.2 : La consommation résidentielle a diminué par rapport à 2018, puisque l'eau distribuée a diminué et que le débit de nuits reste similaire. Ainsi cette diminution peut s'expliquer du fait qu'il y a eu une réelle diminution de la consommation résidentielle. Ou bien, vu qu'il y a eu moins de réparations de fuites en 2019 qu'en 2018, la municipalité aurait perdu moins d’eau dans ses fuites, ce qui impacte cette donnée puisqu'on procède à une analyse de débit de nuit.
</t>
  </si>
  <si>
    <t xml:space="preserve">Art.1.13 : La consommation résidentielle a été mesurée par des compteurs d'eau.
Art.2.1 : L'indice de fuites dans les infrastructures est élevé, car le réseau est en mauvais état. De nombreuses actions sont mises en place par la municipalité pour moderniser le réseau et diminuer ce volume de pertes. </t>
  </si>
  <si>
    <t xml:space="preserve">Art 1.4 : Le nombre de logements et la population sont les mêmes qu’en 2018. L’estimation 2018 du nombre de personnes par logement est utilisée.
Art 1.13 et Art 2.2 : Pour calculer la consommation résidentielle, un prorata des logements résidentiels et des immeubles non résidentiels a été pris en compte.
Sur le réseau, il y a 396 logements résidentiels et 35 immeubles non résidentiels sans compteur d’eau et non relevé. La consommation résidentielle est estimée par le calcul suivant :
Consommation non mesurée et facturée * nombre de logements résidentiels / (logements résidentiels  + immeubles non résidentiels) 
77,940 ML *(396 / (396 + 36))=  71,611 ML.
Art.1.14 : Il y a une augmentation du volume d’eau distribué par rapport au bilan 2018. 
Une fuite a été remarquée en novembre 2019 et réparée en 2020, ce qui peut expliquer la hausse de l'eau distribuée.
Art.1.15 : Les pertes d’eau réelles ont augmenté par rapport au bilan 2018 (4,380 ML). Dans l'audit de l'AWWA, l'hypothèse de aucune consommation résidentielle et non-résidentielle a été posée afin d'avoir des pertes supérieures à 0.
Art.2.1 : L'indice de fuites dans les infrastructures est faible. Les pertes d’eau réelles sont faibles, car une seule donnée débit de nuit a été prise plutôt que des données sur l’ensemble de l’année 2019 Ceci peut expliquer l'écart important entre le bilan 2018 et 2019 en plus de la mise à jour des hypothèses utilisée pour le calcul des pertes d'eau réelles. En 2020, afin de bien estimer les pertes d’eau la municipalité peut se servir des données des débits de nuits sur l’ensemble de l’année.
Art.2.2 : La consommation résidentielle par personne  augmenté de 18% par rapport à 2018, Cette hausse peut être expliqué par une fuite apparue en 2018, mais réparée en 2019. Parce que les branchements résidentiels n'ont pas de compteurs, ces pertes ont été considérées comme de la consommation résidentielle. 
</t>
  </si>
  <si>
    <t>Art. 1.9 : Prise de pression à l’usine seulement. L'usine est en amont de la municipalité et le réseau a plusieurs postes de surpression. Cette pression est potentiellement plus basse que la pression représentative sur le réseau. La pression aux bornes fontaines n'est pas disponible pour l'année 2019.
Art 2.2 : La municipalité pourrait mieux estimer la consommation résidentielle en installant des compteurs d’eau et en effectuant des relèves.</t>
  </si>
  <si>
    <t xml:space="preserve">Art 1.13 et Art 2.2 : Pour calculer la consommation résidentielle, un prorata des logements résidentiels et des branchements non résidentiels a été pris en compte.
Sur le réseau, il y a 186 logements résidentiels et 18 branchements non résidentiels actifs sans compteur d’eau et non relevé. La consommation résidentielle est estimée par le calcul suivant :
Consommation non mesurée et facturée * nombre de logements résidentiels / (logements résidentiels + branchements non résidentiels actifs) 
47,621 ML *(186 / (186+ 18))= 43,419 ML.
</t>
  </si>
  <si>
    <t>Art.1.13 : La consommation résidentielle a été mesurée par des compteurs d'eau.
Art 1.14 : L'eau distribué et la quantité d'eau distribuée a augmenter par rapport à 2018, puisque de nouveaux usagers se sont rajoutés au réseau en 2019.
Art 1.15 et Art 2.1 : Les pertes d’eau réelles ont augmenté par rapport au bilan 2018 (29,120 ML) ainsi que l'indice des fuites. Puisque d'une part les PERI ont diminué par rapport à 2018. De plus des fuites ont été réparées en 2019. 
Art 1.16 : Les pertes d’eau réelles inévitables ont diminué par rapport au bilan 2018 puisque le nombre de branchements de services a été revu à la baisse cette année.
Art 2.2 : Tout comme l'année précédente, ce réseau comporte une faible quantité d'eau distribuée par personne. Cet indicateur est faible, car il s'agit d'un réseau comportant de petites maisons consommant peu selon la municipalité.</t>
  </si>
  <si>
    <t xml:space="preserve">Art 1.13 et Art 2.2 : Pour calculer la consommation résidentielle, un prorata des logements résidentiels et des branchements non résidentiels a été pris en compte.
Sur le réseau, il y a 90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18,812 ML *(90 / (90 + 13))= 16,438 ML.
</t>
  </si>
  <si>
    <t xml:space="preserve">Art 1.4 : Le nombre de personnes/logement a varié entre 2018 et 2019, ce sont les données de statistiques Canada. Les données proposés seront utilisées chaque année à moins que la municipalité désire modifier cette donnée. 
Art 1.13 : La consommation résidentielle est mesurée par des compteurs d'eau. 
Art 1.14: Le per capita total est très élevé, car de nombreuses industries sont branchées sur le réseau de distribution d'eau potable. Ces dernières sont munies de compteurs d'eau et sont facturés volumétriquement. Le per capita total est plus élevé qu'en 2018. En effet, ces variations s'explique par la consommation du secteur non résidentiel qui peut varier selon la demande. 
Art 2.1 : On remarque une baisse de l'IFI. Aucune raison ne semble justifier cet écart. Il faudra suivre l'évolution des indicateurs au prochain bilan. 
Art 2.2 : On observe une baisse de la consommation résidentielle. Aucune raison ne semble justifier cet écart. Il faudra suivre l'évolution des indicateurs au prochain bilan. </t>
  </si>
  <si>
    <t>Art 1.13 et 2.1 : La municipalité a confirmé qu'il existe des problèmes des précisions aux compteurs d'eau (le volume d'eau relevé par compteur d'eau n'est pas fiable) et que l'année 2020 a été marquée par une dizaine de bris d’aqueduc. Aucune consommation ne serait pas relevée et il n'y a pas de purges permanente active sur le réseau.
Art.2.2 : La faible consommation résidentielle a été mesurée à l’aide de compteur d’eau, mais ceux-ci sont vieux (20 ans) et ils n’ont été ni vérifiés ni remplacés.</t>
  </si>
  <si>
    <t>La municipalité pourrait mieux estimer la consommation résidentielle en remplaçant et véririfiant des compteurs d’eau.</t>
  </si>
  <si>
    <t xml:space="preserve">Art 1.13 : La consommation résidentielle est mesurée par des compteurs d'eau. 
Art 1.3 &amp; 2.2 : On observe une variation de la consommation résidentielle. Ceci peut être du à l'ajustement du nombre de logements desservis de façon permanante. En effet, la municipalité a fourni cette valeur pour le bilan 2019. Il faudrait surveiller l'évolution des indicateurs de performances dans les prochaines années pour voir si cette tendance se maintient. 
</t>
  </si>
  <si>
    <t xml:space="preserve">Art 1.9: La pression est élevée, soit 90 psi = 63,28 m d'eau. On ne sait pas s'il s'agit de la pression à la sortie de l'usine ou de la moyenne sur le réseau.
La valeur pourra être améliorée au prochain Bilan en utilisant la pression moyenne sur le réseau.
Art 1.13: L'estimation de la consommation résidentielle a été effectuée en séparant la consommation «Non mesurée et facturée» de l'audit de l'eau AWWA en deux selon la proportion de logements résidentiels desservis et occupés de façon permanente (847) et le nombre de chalets et d'immeubles non résidentiels (27).
2.1: La valeur élevée de l'IFI s'explique car il y a eu de nombreuses fuites sur le réseau en 2019. 
2.2: La consommation résidentielle par personne estimée est élevée, car la méthode d'estimation prend la consommation non résidentielle sans compteur d'eau et non relevés au même niveau que la consommation résidentielle. Il y a une baisse par rapport à 2018. En effet, la réparation de fuites a permis une meilleure estimation de la consommation résidentielle par rapport au volume total. 
Art 1.14: La diminution importante de l'eau distribuée s'explique par la réparation de nombreuses fuites sur le réseau en 2018. </t>
  </si>
  <si>
    <t>Art 1.9 : La pression est élevée, soit 100 psi = 70,31 m d'eau. On ne sait pas s'il s'agit de la pression à la sortie de l'usine ou de la moyenne sur le réseau.
La valeur pourra être améliorée au prochain Bilan en utilisant la pression moyenne sur le réseau.
1.3: L'estimation de la consommation résidentielle a été effectuée en séparant la consommation «Non mesurée et facturée» de l'audit de l'eau AWWA  en deux selon la proportion de logements résidentiels desservis et occupés de façon permanente (45) et le nombre de chalets et d'immeubles non résidentiels (508).
Art 1.14: La très haute quantité d'eau distribuée par personne dans la municipalité s'explique par la présence de nombreux chalets qui consomment beaucoup d’eau lors de la période de ski.</t>
  </si>
  <si>
    <t>Art 1.13 et Art 2.2 : Pour calculer la consommation résidentielle, un prorata des logements résidentiels et des branchements non résidentiels a été pris en compte.
Sur le réseau, il y a 97 logements résidentiels et 1 branchements non résidentiels actifs sans compteur d’eau et non relevé. La consommation résidentielle est estimée par le calcul suivant :
Consommation non mesurée et facturée * nombre de logements résidentiels / (logements résidentiels + branchements non résidentiels actifs) 
27,047 ML * 97 / 98 = 26,771 ML.
Art.1.15 : Une conduite de recirculation passant après le débitmètre sert à refroidir le système de traitement aux UV. Cette année, des mesures ont étés prises pour évaluer la consommation de cette conduite et la soustraire à la consommation de nuit. Des travaux ont été réalisés pour déplacer le débitmètre après cette connection.
Art.2.2 : La consommation résidentielle par personne estimée a augmenté par rapport au bilan 2018 du à la surestimation des pertes qui ont diminuées celle-ci. Elle reste élevée, car le réseau dessert un quartier cossu de la municipalité. Les maisons sont grandes avec de très grand terrains gazonnés, comme l'indique la longueur des branchements de services.</t>
  </si>
  <si>
    <t>Art 1.13 et Art 2.2 : Pour calculer la consommation résidentielle, un prorata des logements résidentiels et des branchements non résidentiels a été pris en compte.
Sur le réseau, il y a 44 logements résidentiels et 12 branchements non résidentiels sans compteur d’eau et non relevé. La consommation résidentielle est estimée par le calcul suivant :
Consommation non mesurée et facturée * nombre de logements résidentiels / (logements résidentiels + branchements non résidentiels) 
5,443 ML *(44 / (44 + 12))= 4,2766 ML.
Art.1.13 : L'indice de fuites dans les infrastructures a diminué comparativement à 2018. Les faibles pertes d’eau réelles ont été déterminées à partir des données de débits de nuit. Le débitmètre pourrait mal lire les débits minimums, car il n’a jamais été vérifié. La municipalité pourrait vérifier la précision du débitmètre et s’assurer que celui-ci lit bien les débits faibles.
Art.1.14 et Art.2.1 : Il y a une diminution du volume d’eau distribué par rapport au bilan 2018. Le débitmètre n’a pas été vérifié. Par conséquent, l’erreur associée au volume d’eau distribué n’est pas connue. D'ailleurs, la municipalité n'a jamais vérifier son débitmètre. Ceci peut expliquer le fait que les volumes d'eau distribués varis d'une année à l'autre. La municipalité pourrait vérifier la précision du débitmètre et s'assurer qu'il lit bien les débits. Aussi, puisque le volume d'eau distribué par personne a diminué, la consommation résidentielle estimée par personne a également diminué étant donnée que la consommation résidentielle est déterminée en fonction du volume d'eau distribué. La municipalité pourrait procéder dans les prochaines à la relève annuelle des compteurs d'eau qu'elle a installé. Cela permettrait de mieux estimer les consommations. 
Art 2.3 : Résultat de 38 dû à une cote de 3 attribuée au volume d'eau produite, car le débitmètre n’a pas été vérifiés. Afin d'augmenter cette cote, les débitmètres devrait être vérifié annuellement tout en s’assurant de respecter les conditions d’installation du manufacturier.</t>
  </si>
  <si>
    <t>Art.1.13 : La consommation résidentielle a été mesurée par des compteurs d'eau.
Art 2.1 : Variation de l'IFI suite à un ajustement du nombre de branchements de services.</t>
  </si>
  <si>
    <t xml:space="preserve">Commentaire général : Le réseau Entremont n'est plus considéré à part, car la l'usine de traitement d'eau potable n'était pas en marche en 2019. Les deux réseaux ont été mis en commun. Ce qui explique la variation des données telles que la longueur du réseau, le nombre de branchements de service ou la pression. Ceci a un impact direct sur les indicateur de performance également. Ainsi, il serait judicieux d'attendre le bilan 2020 afin de tirer des conclusions quand aux variations observées d'une année à l'autre. 
Art 1.3: Comme le nombre de logements est inconnu, alors ce dernier a été estimé par le nombre de branchements résidentiels. (hypothèse 1 logement = 1 branchement résidentiel).
Art 2.2 : La consommation résidentielle a été estimée grâce aux SSC. Ceci explique la différence entre la donnée 2018 estimée différemment. 
Entente de compilation de données pour un réseau de distribution commun
Longueur du réseau et population bonifiées dans le bilan
Municipalité exportatrice: Sainte-Adèle
Municipalité importatrice: Val-Morin
Indice de fuites dans les infrastructures (IFI): 5,6
Programme de détection et de réparation de fuites requis (oui/non) : Oui
Consommation résidentielle estimée: 185 l/pers/d
Étant donné qu'une partie de la municipalité de Val-Morin (10 logements) est alimentée par le réseau de distribution d'eau potable appartenant à la Municipalité de Sainte-Adèle, cette dernière a bonifié la population et la longueur du réseau de distribution commun dans son bilan.  
</t>
  </si>
  <si>
    <t xml:space="preserve">Le réseau Entremont n'est plus considéré à part, car la l'usine de traitement d'eau potable n'était pas en marche en 2019. Les deux réseaux ont été mis en commun. Ce qui explique la variation des données telles que la longueur du réseau, le nombre de branchements de service ou la pression. Ceci a un impact direct sur les indicateur de performance également. Ainsi, il serait judicieux d'attendre le bilan 2020 afin de tirer des conclusions quand aux variations observées d'une année à l'autre. </t>
  </si>
  <si>
    <t xml:space="preserve">Art 1.13 et Art 2.2 : Pour calculer la consommation résidentielle, un prorata des logements résidentiels et des branchements non résidentiels a été pris en compte.
Sur le réseau, il y a 372 logements résidentiels et 29 branchements non résidentiels sans compteur d’eau et non relevé. La consommation résidentielle est estimée par le calcul suivant :
Consommation non mesurée et facturée * nombre de logements résidentiels / (logements résidentiels + branchements non résidentiels) 
35,848 ML *(372 / (372 + 29))= 33,256 ML.
Art.1.15 et 2.1 : L'écart entre les pertes d'eau réelles 2018 et 2019 s'explique par le débit de nuit qui a augmenté, cela fait augmenter la valeur des pertes d'eau réelles. Cette variation influence l'indice de fuite dans les infrastructures.
Art 1.13 et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Art 2.2 : Tout comme l'année précédente, ce réseau comporte une faible quantité d'eau distribuée par personne. Cet indicateur est faible, car la municipalité fait de nombreuses campagnes de sensibilisation et qu'un programme de gestion des eaux pluviales permet de réduire la consommation résidentielle.
Art 2.3 : Résultat de 49 dû à une cote de 7 attribuée au volume d'eau produite, car l'absence de données pour une vingtaine de jours a obligé la municipalité à estimer un volume. Ce problème ne devrait plus être présent au prochain bilan. </t>
  </si>
  <si>
    <t>Art. 2.2 : La consommation résidentielle estimée est très faible. Cela ne semble pas être représentatif de la consommation au sein de la municipalité. La présence d'un secteur non résidentiel consommant beaucoup peut expliquer une surestimation des pertes car celles-ci sont calculées avec le débit de nuit qui est influencé par cette industrie. Il est donc recommandé d'enregistrer le débit de nuit de cette industrie afin de ne plus surestimer les pertes au prochain bilan et ainsi avoir une consommation résidentielle estimée plus représentative.</t>
  </si>
  <si>
    <t>Art 1.3 : Il y a eu erreur concernant le nombre de logements dans les formulaires antérieurs, le nombre de logements 2019 est la valeur corrigée soit 3 773 logements desservis et occupés de façon permanente. Ce nombre provient du rapport de taxation et il est plus représentatif.
Art 1.5 : L'erreur sur le nombre de logements en 2018 a causée une erreur sur l'estimation de la taille de la population, ce qui explique l'écart entre la population de 2018 et celle de 2019. Une population de 6 948 personnes est plus représentative.
Art 1.13 et 2.2 : La consommation résidentielle a été estimée à 250L/pers/d. Dans les prochains bilans nous devrions voir une progression du nombre de compteurs et donc une meilleure précision des données.
Art.1.14 : Il y a une augmentation du volume d’eau distribué par personne par rapport au bilan 2018. Le volume d'eau distribuée, quant à lui, n'a que peu varié. Ceci s'explique par le fait que la population a été surestimée au bilan 2018. Une population plus petite engendre donc un plus grand volume d'eau distribué par personne (pour une quantité d'eau distribuée semblable).
Art 1.15 : Il y a une augmentation des PER depuis 2018. Cette augmentation est causé par la diminution de la consommation résidentielle. En effet, la quantité d'eau distribuée n'a que très peu changée, mais la consommation résidentielle (qui est estimée à 250 l/pers/d) a diminuée vu la diminution de la taille de la population. Puisque les pertes d'eau sont calculées comme étant la différence entre l'eau distribuée et l'eau consommée, il est normal que les pertes augmentent. L'installation des compteurs d'eau permettra d'obtenir un meilleur portrait de la consommation dans les prochains bilans. L'estimation des pertes sera alors plus réaliste.
Art 2.1 : L'IFI a augmenté depuis 2018. L'augmentation est expliquée par l'augmentation des PER. L'installation des compteurs d'eau permettra d'obtenir une meilleure évaluation de l'IFI dans les prochains bilans.</t>
  </si>
  <si>
    <t>Afin d'obtenir des résultats plus représentatifs de la réalité, la municipalité devrait faire la relève de ses compteurs d'eau pour les prochains bilans.</t>
  </si>
  <si>
    <t>Art 1.3 : Il y a eu erreur concernant le nombre de logements dans les formulaires antérieurs, le nombre de logements 2019 est la valeur corrigée soit 283 logements desservis et occupés de façon permanente. Ce nombre provient du rapport de taxation et il est plus représentatif. Une population désservie de 586 personne est aussi plus représentatif.
Art. 1.7 : Le nombre de branchements de service avait été mal estimé en 2018 (542). Le vrai nombre de branchements de service déservis par le réseau est de 290. Cette variation du nombre de branchements de service peut expliquer la baisse des PERI par rapport à 2018 (8,109 ML). 
Art 1.13 et Art 2.2 : Pour calculer la consommation résidentielle, un prorata des logements résidentiels et des branchements non résidentiels a été pris en compte.
Sur le réseau, il y a 283 logements résidentiels et 7 branchements non résidentiels sans compteur d’eau et non relevé. La consommation résidentielle est estimée par le calcul suivant :
Consommation non mesurée et facturée * nombre de logements résidentiels / (logements résidentiels + branchements non résidentiels) 
72,071 ML *(283 / (283 + 7))= 70,279 ML.
Art 2.2 : La consommation résidentielle estimée est plus faible qu'en 2018, mais à cause de la variation de population indiquée au formulaire, il y a une augmentation de la consommation résidentielle par personne. De plus, la bonification des hypothèses utilisées pour l’estimation des pertes d’eau réelles a entrainé une hausse des pertes d’eau et par conséquent une diminution de la consommation résidentielle. 
Art.1.14 : Il y a une diminution du volume d’eau distribué par rapport au bilan 2018. Une fuite sur un branchement de service ayant coulé pendant 20 jours en 2018 pourrait expliquer que la valeur 2018 était plus élevée.
Note : 2 fuites majeurs ont été réparées en 2020, ce qui aura un impact sur les indicateurs lors du bilan 2020.</t>
  </si>
  <si>
    <t>Art 1.15 et 2.1 : Le débit de nuit de la municipalité est passé de 9,20 à 3,00 m³/h durant l'année 2020, suite à la réparation de 2 fuites majeures qui coulaient depuis plusieurs année. L'IFI après la réparation des fuites est passé à 3,80. Le contrôle actif de fuite est donc tout de même demandé par le Ministère.
Art. 2.2 : La municipalité pourra mieux estimer la consommation résidentielle en installant des compteurs d’eau et en effectuant des relèves.</t>
  </si>
  <si>
    <t>Art.1.13 : La consommation résidentielle a été mesurée par des compteurs d'eau.
Art 2.1 : Il y a une diminution de l'indice de fuite par rapport à l'année 2018, car plusieurs réparations sur le réseau ont été faites en 2019. 
Hypothèse: L'indice de fuites reste supérieur à l'objectif de 2, car en 2020 deux fuites importantes ont été découvertes.
Art 1.6 : La longueur du réseau diffère de celle inscrite dans le Plan d'intervention (8 047 m), car dans celui ci, la longueur de la conduite d'amenée de l'eau de Marieville à Sainte Angèle de Mannoir n'est pas incluse (longueur de la conduite d'eau sur le territoire de Marieville : 1 300 m) .  Pour tenir en compte de la présence de 39 poteaux d'incendie connectés sur le réseau, une longueur de 117 m a été ajoutée. Également, un branchement pour la station d'épuration d'une longueur 600 mètres été considéré  (8 047 + 1 300 + 117 + 600 = 10 064 m = 10,064 kilomètres)</t>
  </si>
  <si>
    <t>Art.1.9 et Art.1.16 : La pression moyenne du réseau dans ce bilan est plus précise qu'au bilan précédent. Elle a été calculée à partir des pressions statiques de tous les poteaux d'incendie. La pression moyenne du réseau est plus élevée qu'au bilan précédent, car les relèves de pressions statiques 2019 ont été effectuées en même temps que l’inspection de bornes incendies. Il y avait un problème sur le réducteur de pression de la Régie.
Art 1.13 et Art 2.2 : Pour calculer la consommation résidentielle, un prorata des logements résidentiels et des immeubles non résidentiels a été pris en compte.
Sur le réseau, il y a 254 logements résidentiels et 15 immeubles non résidentiels sans compteur d’eau et non relevé. La consommation résidentielle est estimée par le calcul suivant :
Consommation non mesurée et facturée * nombre de logements résidentiels / (logements résidentiels  + immeubles non résidentiels) 
58,954 ML *(254 / (254 + 15))= 55,667 ML.
Art.1.14, Art.1.15 et Art.2.1 : Il y a une augmentation du volume d’eau distribuée par rapport au bilan 2018. Un des débitmètres avait un pourcentage d'écart supérieur à 9% en 2018 et ce dernier a été corrigé en 2019. Le débitmètre n'était donc pas précis et il se peut qu'il n'est pas prise les bonnes mesures au long terme. De plus, la municipalité avait une grosse fuite d'eau au cimetière. Cette dernière a débuté au mois de juin 2019 et malgré la recherche de fuite sur le réseau, elle n'a été détectée et réparée qu'en novembre 2019.
Art 2.2 : Il y a une augmentation de la consommation résidentielle par rapport au bilan 2018. En effet, la consommation résidentielle est présentement déduite à partir de données de débit de nuit. Puisque le débit de nuit minimum est calculé à partir d'une seule donnée, les pertes d'eau réelles et la consommation résidentielle varient beaucoup d'année en année. La municipalité a installé les compteurs d'eau dans le secteur résidentiel et elle prévoit effectuer une relève pour le prochain bilan.</t>
  </si>
  <si>
    <t>Art 2.1 : 
• À partir de septembre  2018 jusqu’à la fin de juin 2019 , le REM a effectué des travaux de relocalisation de la conduite agglo diamètre 600 mm et 400 mm, probabilité des risques de fuites pendant les travaux.
• Utilisation de Borne-fontaine pendant les travaux.
• Alimentation d’eau potable baie d’Urfé à quelques reprises par la conduite en face 22000, route Transcanadienne selon M. Benoit Mercier ,ingénieur au DEP Montréal.
Art 2.2 : La consommation résidentielle est mesurée à l'aide de compteurs d'eau.</t>
  </si>
  <si>
    <t>Art.1.13 : La consommation résidentielle a été mesurée par des compteurs d'eau.
Art.1.13 : Il y a une augmentation du volume d’eau distribué par rapport au bilan 2018. Une partie de la consommation n'avait pas été comptée en 2018 parce que le secteur était alimenté par une conduite qui n'a pas de débitmètre. La municipalité ne savais donc pas le volume exact distribué à ce secteur.
Art.1.16 : L'écart entre les pertes d'eau réelles inévitables 2018 et 2019 s'explique par la bonification de la donnée sur la pression du réseau. 
Art. 2.2 : Une partie du réseau n'avait pas de compteurs en 2018. Le volume consommé par ces branchements n'avait pas été considéré dans le volume total de consommation résidentielle, ce qui sous-estimatit la consommation résidentielle totale.</t>
  </si>
  <si>
    <t>Art.1.13 : La consommation résidentielle a été mesurée par des compteurs d'eau.
Art 1.13 : La très faible quantité d'eau distribuée par personne dans la municipalité s'explique par la présence de seulement 12 commerces qui ne consomment pas beaucoup d’eau et de la sensibilisation constante que la municipalité effectue envers la population.
Art.2.1 : L'indice de fuites dans les infrastructures est faible, car le réseau est petit. La municipalité peut donc détecter rapidement l’apparition des fuites. Elle peut ensuite les localiser et les réparer rapidement. 
Art.2.2 : La faible consommation résidentielle a été mesurée à l’aide de compteur d’eau, mais ceux-ci sont vieux et ils n’ont ni été vérifiés ni remplacés.</t>
  </si>
  <si>
    <t xml:space="preserve">Art.1.13 : La consommation résidentielle a été mesurée par des compteurs d'eau.
Art.2.1 : L'indice de fuites dans les infrastructures est faible, car le réseau est petit. La municipalité peut donc détecter rapidement l’apparition des fuites avec l’analyse de débits de nuit. Elle peut ensuite les localiser et les réparer rapidement. </t>
  </si>
  <si>
    <t>Les IFI semblent faibles. Il serait possible de mieux calculer les PERI en rafinant les données sur la pression et la longueur des réseaux.</t>
  </si>
  <si>
    <t xml:space="preserve">Note : La municipalité n’était pas capable de faire une analyse de débit de nuit en 2018. La seule valeur disponible était celle dans le rapport de vérification des débitmètres qui avait été prise entre 9h et 11h le matin et qui n’était pas représentative du débit de nuit minimum. Il n’était donc pas possible d’utiliser cette valeur, parce que, même en considérant les 7 purges automatiques sur le réseau, la municipalité avait des PER d’environ 2000 ML (IFI de 11,8). La municipalité a depuis fait une vraie analyse du débit de nuit. Sa dernière analyse du débit de nuit date de 2017 (45.32 m³/h), ce qui aurait donné des PER de 140 ML et un IFI de 2, ce qui est cohérent avec les données 2019.
Art 1.3 : Il y a eu erreur concernant le nombre de logements dans les formulaires antérieurs, le nombre de logements 2019 est la valeur corrigée soit 2775 logements desservis et occupés de façon permanente. Ce nombre provient du rapport de taxation et il est plus représentatif. La population totale désservie de 5683 est également plus représentative.
Art 1.13 et Art 2.2 : Pour calculer la consommation résidentielle, un prorata des logements résidentiels et des branchements non résidentiels a été pris en compte.
Sur le réseau, il y a 2775 logements résidentiels et 225 branchements non résidentiels actifs sans compteur d’eau et non relevé. La consommation résidentielle est estimée par le calcul suivant :
Consommation non mesurée et facturée * nombre de logements résidentiels / (logements résidentiels + branchements non résidentiels actifs) 
2 157,606 ML *(2775 / (2775 + 225)) = 1 995,786 ML.
Art.1.13 et Art.2.2 : La méthode utilisée afin d'estimer la consommation résidentielle a changé par rapport au bilan 2018. En 2019, la municipalité avait estimé la consommation résidentielle avec un débitmètre sectoriel à la sortie d'un surpresseur d'un secteur complètement résidentiel et avait posé que la consommation de ce secteur était représentative du reste de la municipalité. Cette année, l'analyse du débit de nuit a été utilisée afin d'estimer la consommation et les PER. 
Art.1.14 : Il y a une augmentation du volume d’eau distribué par rapport au bilan 2018 (2 232,287 ML). Étant donné la diminution du débit de nuit minimum et le contrôle actif des fuites fait par la municipalité, celle-ci pense que l'augmentation de l'eau distribué est attribuable à l'augmentation de la consommation du secteur non résidentiel sur son territoire. L'isntallation et la relève des compteurs d'eau permettrait à la municipalité de mieux estimer cette variation annuelle. L'eau distribuée par personne et la consommation résidentielle sont élevée. Ceci peut s'expliquer par les activités industrielles et touristiques importantes sur le territoire de la municipalité et la méthode d'estimation utilisée. 
Art.1.15 : Les pertes d’eau réelles ont diminuées par rapport au bilan 2018 (985,731 ML). La réparation de 6 fuites en 2018 et 9 fuites en 2019 pourrait expliquer la baisse du débit de nuit par rapport à 2018. De plus, la municipalité a eu des problèmes avec l'interface de l'automate, ce qui pourrait expliquer le débit de nuit anormalement élevé en 2018 (232 m³/h). De plus, en 2019, la municipalité a réussi à estimer le débit des purges permanentes et à le retirer du débit de nuit pour faire une analyse plus représentative.
</t>
  </si>
  <si>
    <t xml:space="preserve">Art 1.4 : L’estimation 2019 du nombre de personnes par logements de statistique Canada surestime la population résidentielle desservie et occupée de façon permanente. Une population de 13 440 personnes est plus représentative.
Art 1.13 et Art 2.2 : Pour calculer la consommation résidentielle, un prorata des logements résidentiels et des branchements non résidentiels a été pris en compte.
Sur le réseau, il y a 5600 logements résidentiels et 39 branchements non résidentiels sans compteur d’eau et non relevé. La consommation résidentielle est estimée par le calcul suivant :
Consommation non mesurée et facturée * nombre de logements résidentiels / (logements résidentiels + branchements non résidentiels) 
949,736 ML *(5600 / (5600 + 39))= 943,168 ML.
Art.1.14 : Il y a une  diminution du volume d’eau distribué par rapport au bilan 2018. Le volume d'eau distribué est passé de 1310 ML en 2018 à 1306 ML en 2019. On peut expliquer cela par le fait qu'un grand nombre de fuites a été réparé en 2019 (19 fuites).
Art.1.15 : Les pertes d’eau réelles ont diminué par rapport au bilan 2018 en passant de 185,785 ML en 2018 à 181,22 ML en 2019 (4,565 ML). On peut expliquer cela le fait que des fuites ont été réparées et donc les pertes ont diminué. Cependant les pertes n'ont pas beaucoup diminué par rapport à 2018 (malgré qu'il y a 19 fuites de réparées), car la bonification des hypothèses utilisées pour l’estimation des pertes d’eau réelles a entraîné une hausse des pertes d’eau. Même en combinant les deux effets, les pertes diminuent.
Art.2.1 : Malgré la réduction de pertes d'eau par rapport aux bilans précédents, l'indice de fuites dans les infrastructures dépasse l'objectif. Les pertes d'eau réelles ont été déterminées à partir du débit de nuit minimum et ce dernier est assez élevé. Par conséquent, soit le débit de nuit prend en compte une consommation non identifiée (par exemple un branchement non résidentiel qui consomme la nuit plus d'eau que l'hypothèse de 7,4 m3/h pour la consommation de nuit des branchements non résidentiel) soit par l'existence de fuites.
Art.2.2 : La consommation résidentielle par personne estimée est élevée, car la méthode d'estimation prend la consommation non résidentielle sans compteur d'eau et non relevés au même niveau que la consommation résidentielle.
Art 2.2 : Il y a une diminution de la consommation résidentielle par rapport au bilan 2018. la consommation résidentielle par personne par jour est passée de 199 l/pers/jour à 192 l/pers/jour. D’une part la bonification des hypothèses utilisées pour l’estimation des pertes d’eau réelles a entraîné une hausse des pertes d’eau et par conséquent une diminution de la consommation résidentielle. Et d'autre part, il y a eu une erreur dans le fichier des volumes mesuré (compteurs d'eau) en 2018, en effet certaines mesures étaient négatives. En 2018 le mesuré et facturé était de 61,132 ML dans l'AWWA (avant que l'erreur ne soit remarquée) par conséquent le Non mesuré et facturé était élevé et donc la consommation résidentielle aussi. En 2019 il s'est avéré qu'en 2018 le mesuré et facturé aurait dû être de 86,49 ML.
</t>
  </si>
  <si>
    <t>Art.2.1 : Il est recommandé d’effectuer un contrôle actif des fuites, car pour les réseaux dont l’indicateur de pertes d'eau dépasse la valeur de comparaison, un contrôle actif des fuites sur l’équivalent de 200 % de la longueur sera requis d'ici le 1er septembre 2021.
Art.2.2 : La municipalité pourra(it) mieux estimer la consommation résidentielle en installant des compteurs d’eau et en effectuant des relèves.</t>
  </si>
  <si>
    <t xml:space="preserve">Art 4.3: le nombre de logements a beaucoup diminué par rapport à 2018. Il a été considéré le nombre de logements total et non le nombre de logements desservis de façon permanente sur le réseau. Selon la municipalité, il y a 174 comptes de taxes pour l'eau.
Art 1.6: La longueur du réseau a augmenté pour prendre en compte les branchements aux poteaux d'incendie.
Art 1.13 et Art 2.2 : Pour calculer la consommation résidentielle, un prorata des logements résidentiels et des branchements non résidentiels a été pris en compte.
Sur le réseau, il y a 174 logements résidentiels et 31 branchements non résidentiels actifs sans compteur d’eau et non relevé. La consommation résidentielle est estimée par le calcul suivant :
Consommation non mesurée et facturée * nombre de logements résidentiels / (logements résidentiels + branchements non résidentiels actifs) 
38,509 ML *(174 / (174 + 31))= 32,686 ML.
Art.1.14 : Il y a une diminution du volume d’eau distribué par rapport au bilan 2018. Puisque le réseau est petit, l’eau distribuée fluctue beaucoup en raison des fuites qui peuvent apparaître et des délais de réparations. 
Art.1.15 : Les pertes d’eau réelles ont augmenté par rapport au bilan 2018 (elles étaient de 12,578 ML). En effet, 5 fuites sont apparues en 2019 et ont été réparées dans un délai de 24h, il s'agissait de grandes fuites sur des conduites de 6 po. De plus, c'est la première année avec autant de fuites. Les conduites sont en train d'être changées au fur et à mesure jusqu'en 2023. Il faut noter que le débit de nuit qui a été fournit par la municipalité est très variable à cause de ces fuites, ainsi un débit de nuit représentatif de 9 m3/4h a été pris et non le débit de nuit minimum (ni la médiane mobile sur 7 jours). Ainsi l'IFI est plus représentatif.
 Art.2.2 : La consommation résidentielle par personne estimée est élevée, car la méthode d'estimation prend la consommation non résidentielle sans compteur d'eau et non relevés au même niveau que la consommation résidentielle. De plus, on rappelle que le débit de nuit utilisé pour estimer les pertes a été approximé afin de représenter l'impact des fuites dans l'IFI. Cependant, il est possible qu'un débit de nuit plus élevé aurait été plus réaliste (car le débit de nuit avec fuites atteignait  à des moments 65 m3/4h). Ainsi, il est possible qu'une partie de l'eau perdue n'ait pas été considérée dans le débit de nuit et par conséquent que ce ''surplus'' d'eau ait été considéré dans le volume d'eau consommé. Finalement, on rappelle que le nombre de logements a diminué entre 2018 et 2019, cela permet d'expliquer que la consommation résidentielle par personne par jour ait augmenté; malgré que la consommation résidentielle totale distribuée en 2019 ait diminué (art 1.13).
Art 2.3 : Résultat de 45 dû à une cote de 5 attribuée au volume d'eau produite/importée/exportée, car le débitmètre n’a pas été vérifiés. Afin d'augmenter cette cote, les débitmètres devrait être vérifié annuellement tout en s’assurant de respecter les conditions d’installation du manufacturier. La verification du débitmètre devrait être disponible pour le prochain bilan.
</t>
  </si>
  <si>
    <t xml:space="preserve">Art. 1.9 : La pression est élevée du fait que le réservoir se trouve en hauter par rapport au réseau.
Art.1.13 : La consommation résidentielle a été mesurée par des compteurs d'eau. La consommation des logements non permanent a été soustraite du volume mesuré pour la consommation résidentielle afin de ne pas surestimer cet indicateur.
Art. 1.14, 1.15 et 2.1 : Le volume d'eau distribué et les s pertes d’eau réelles ont diminué par rapport au bilan 2018 (36,048 ML). Cette diminution s'explique par la réparation de fuites ou débordement au réservoir. Cela impact directement l'indice de fuite dans les infrastructures.
Art. 2.2 : La diminution de la consommation réisidentielle s'explique par le fait que la consommation des saisonniers a été déduite de la consommation relevée par les compteurs d'eau pour le secteur résidentielle. Le volume de 33,646 ML provient donc uniquement de la relève des compteurs des logements permanents sur le réseau.
</t>
  </si>
  <si>
    <t xml:space="preserve">Art 1.13 et Art 2.2 : Pour calculer la consommation résidentielle, un prorata des logements résidentiels et des branchements non résidentiels a été pris en compte.
Sur le réseau, il y a 147 logements résidentiels et 20 branchements non résidentiels sans compteur d’eau et non relevé. La consommation résidentielle est estimée par le calcul suivant :
Consommation non mesurée et facturée * nombre de logements résidentiels / (logements résidentiels + branchements non résidentiels) 
17,038 ML *(147 / (147 + 20))= 14,998ML.
Art 1.13, 1.15, 2.1 et 2.2 : Le débit de nuit de la municipalité est passé de 7,9 à 0,71 m³/h durant l'année. Pour ne pas surestimer la consommation résidentielle et offrir une représentation plus juste de la municipalité, la moyenne des débits de nuit a été utilisée au lieu du débit de nuit minimum (DMN) pour déterminer les PER. Les actions concernant le contrôle actif des fuites seront évaluées selon la technique du DNM, qui donne un IFI de  0,5. Donc, aucune obligation de contrôle actif des fuites n'est demandée par le Ministère. Cette méthode a tendance à sousestimer la consommation résidentille, le prochain Bilan offrira une meillleur estimation.
</t>
  </si>
  <si>
    <t>Art 1.13 et Art 2.2 : Pour calculer la consommation résidentielle, un prorata des logements résidentiels et des branchements non résidentiels a été pris en compte.
Sur le réseau, il y a 1615 logements résidentiels et 47 branchements non résidentiels actifs sans compteur d’eau et non relevé. La consommation résidentielle est estimée par le calcul suivant :
Consommation non mesurée et facturée * nombre de logements résidentiels / (logements résidentiels + branchements non résidentiels actifs) 
355,715 ML *(1615 / (1615 + 47))= 345,656 ML.
Art.1.14 : Il y a une augmentation diminution du volume d’eau distribué par rapport au bilan 2018 (421,358 ML). Voir l'article 1.15 pour plus d'explications.
Art.1.15 : Les pertes d’eau réelles ont augmenté par rapport au bilan 2018 (78,840 ML). Il est possible que certaines fuites soient apparues sur le réseau après la dernière recherche de fuite et n'aient pas été réparées. Ceci expliquerait que le débit de nuit soit plus élevé qu'en 2018. Présentement, il n'est pas possible de faire une étude quotidienne du débit de nuit parce que le réseau est alimenté par un débit constant aux installations de production et l'eau qui n'est pas consommée ou perdue dans les fuites se retrouve dans le réservoir. Le débit de nuit doit donc être mesuré par volumétrie au réservoir une nuit où aucune installation de production ne fonctionnait. Les débits disponibles pour octobre et novembre sont élevées, ce qui pourrait indiquer l'apparition de fuites au courant du dernier trimestre de 2019.</t>
  </si>
  <si>
    <t xml:space="preserve">Art.1.13 : La consommation résidentielle a été mesurée par des compteurs d'eau.
Art.2.1 : L'indice de fuites dans les infrastructures est faible, car le réseau est petit et relativement nouveau (2013-2014), donc en bon état. La municipalité peut détecter rapidement l’apparition des fuites avec l’analyse de débits de nuit. Elle peut ensuite les localiser et les réparer rapidement. </t>
  </si>
  <si>
    <t>Art 1.4 et 2.1: Pertes d'eau réelles évaluées avec une analyse de débit de nuit.
Art.1.15 : L'écart entre les pertes d'eau réelles 2018 et 2019 s'explique par le changement de méthodologie. Les pertes d'eau de cette année ont été estimée grâce à une analyse de débit de nuit.
Art 2.2: Estimation de la consommation résidentielle par la municipalité.</t>
  </si>
  <si>
    <t>Art 1.4 et 2.1: Pertes d'eau réelles évaluées avec une analyse de débit de nuit.
Art.1.15 : L'écart entre les pertes d'eau réelles 2018 et 2019 s'explique par la bonification des hypothèses utilisées. Les consommations de nuit utilisées ont été mises à jour afin de mieux estimer les pertes d’eau réelles à partir du débit de nuit minimum.
Art 2.2: Estimation de la consommation résidentielle par la municipalité</t>
  </si>
  <si>
    <t xml:space="preserve">Art 1.3 et 1.5 : Le nombre de logements a augmenté par rapport à 2018, car cette donnée a été mise à jour. Puisque le nombre de logements a augmenté, la valeur de la population de la municipalité a également augmenté.
Art 1.13 et Art 2.2 : Pour calculer la consommation résidentielle, un prorata des logements résidentiels et des branchements non résidentiels a été pris en compte.
Sur le réseau, il y a 176 logements résidentiels et 21 branchements non résidentiels sans compteur d’eau et non relevé. La consommation résidentielle est estimée par le calcul suivant :
Consommation non mesurée et facturée * nombre de logements résidentiels / (logements résidentiels + branchements non résidentiels) 
 71,957ML *(176 / (176 + 21))=  64,2864ML.
Art.1.14 et Art 2.1 : Il y a une augmentation  du volume d’eau distribué et des pertes d'eau réelles par rapport au bilan 2018. Il y a peut-être l'apparition de certaines fuites qui expliquerait la hausse des pertes d’eau et de l’eau distribuée. Celles-ci n’ont pas été détectées, car la municipalité n’a pas fait de recherche de fuites. De plus, il y a eu des fuites et débordements au réservoir au courant de l'année. Puisque les pertes d'eau réelles ont augmenté, l'indice de fuites dans les infrastructures a également augmenté.
Art.2.2 : La consommation résidentielle par personne estimée est élevée, car la méthode d'estimation prend la consommation non résidentielle sans compteur d'eau et non relevés au même niveau que la consommation résidentielle. 
</t>
  </si>
  <si>
    <t xml:space="preserve">La municipalité pourra mieux estimer la consommation résidentielle en installant des compteurs d’eau et en effectuant des relèves.
La source appartient à la municipalité de Saint-Pierre-les-Becquets qui exporte de l'eau à Sainte-Cécile-de-Lévard et désert aussi directement à travers l'aqueduc intermunicipale 21 logements de Sainte-Cécile-de-Lévrard et 16 logements de Sainte-Sophie-de-Lévrard.
Municipalité exportatrice : Saint-Pierre-les-Becquets (38065)
Municipalité importatrice : Sainte-Cécile-de-Lévrard (38060)
Saint-Pierre-les-Becquets : 623 log, 2,10 pers/log, 1305 pers
Sainte-Cécile-de-Lévrard : 176 log,  2,29pers/log, 404 pers
Longueur de la conduite intermunicipale : 8016 m
Indice de fuites dans les infrastructures (IFI) du réseau commun : 1,8
Contrôle actif des fuites (localisation et réparation) : non
Consommation résidentielle estimée pour ce réseau commun : 475 l/pers/d
Eau distribuée pour ce réseau commun : 597 l/pers/d
Installation de compteurs d’eau à la consommation requise : oui
Résultat de validité des données de l’audit de l’eau AWWA : 56
</t>
  </si>
  <si>
    <t>Sainte-Cécile-de-Whitton</t>
  </si>
  <si>
    <t>X0009670</t>
  </si>
  <si>
    <t>Art.1.13 : La consommation résidentielle a été mesurée par des compteurs d'eau.
Art 2.1 : Les PER proviennent d'une analyse de débit de nuit de 2017. La municipalité pourra mieux estimer la consommation résidentielle et ses pertes en effectuant des meilleurs relèves de ses compteurs. 5 fuites réparées autour de fin 2019 début 2020, amélioration prévue pour le Bilan 2020
Art.2.2 : La faible consommation résidentielle a été mesurée à l’aide de compteur d’eau, mais ceux-ci sont vieux (près de 8 ans) et ils n’ont ni été vérifiés ni remplacés.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t>
  </si>
  <si>
    <t>Art 1.3 : Mettre à jour la réglementation municipale concernant les systèmes de climatisation sans boucle de recirculation, les urinoirs à réservoir de chasse automatique, l’arrosage, les piscines et les spas ainsi que le délai de réparation des tuyaux privés d’approvisionnement défectueux de façon similaire au modèle de règlement sur l’utilisation de l’eau potable d’ici le 1er septembre 2021.
Art 2.1 : Étant donné que l’objectif de l’indice de fuite dans les infrastructures n’est pas atteint pour le réseau Sainte-Cécile-de-Whitton, ce dernier doit être ausculté à 200% pour le 1er septembre 2021.</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</si>
  <si>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 en plus d'un 18 000 $ pour la réalisation du PI.
</t>
  </si>
  <si>
    <t>Art.1.13 : La consommation résidentielle a été mesurée par des compteurs d'eau.
Art.1.16 : Les pertes d’eau réelles inévitables ont augmenté par rapport au bilan 2018 (25,692 ML). Cela s'explique par le changement de pression entre les deux bilans.
Art 2.2 : Il y a une diminution de la consommation résidentielle par rapport au bilan 2018. En effet, la municipalité a affinée ses données et a enlevée une partie des consommations du secteur non résidentiel qui étaient incluses dans le résidentiel dans le bilan 2018.</t>
  </si>
  <si>
    <t xml:space="preserve">Art 1.9 : L'évaluation de la pression a été effectuée à partir de la pression sur les poteaux incendies sur le réseau plutôt qu'à la sortie d'usine. 
Art 1.16 : L'augmentation ce la pression a eu comme conséquence d'augmenter les pertes réelles inévitables.
Art 1.13 et Art 2.2 : Pour calculer la consommation résidentielle, un prorata des logements résidentiels et des branchements non résidentiels a été pris en compte.
Sur le réseau, il y a 171 logements résidentiels et 16 branchements non résidentiels sans compteur d’eau et non relevé. La consommation résidentielle est estimée par le calcul suivant :
Consommation non mesurée et facturée * nombre de logements résidentiels / (logements résidentiels + branchements non résidentiels) 
35,154ML *(171 / (171 + 16))= 32,146 ML.
Art 1.13 et Art 2.2 : L'estimation de la consommation résidentielle a diminué par rapport à 2018, puisque l'eau distribuée a diminué et que le même débit de nuit a été utilisé.
Art  1.14 : La quantité d'eau distribuée a diminué par rapport à 2018, puisqu'en 2018 un réseau temporaire était présent avec des purges assez récurrentes.
</t>
  </si>
  <si>
    <t>La municipalité devrait s'assurer d'obtenir de nouveaux débits de nuits pour l'année 2020.</t>
  </si>
  <si>
    <t>Art.1.15 et 2.2 : L'écart entre les pertes d'eau réelles 2018 et 2019 s'explique par le changement de méthodologie utilisé.
Art. 1.13 et 2.2 : La consommation résidentielle est estimée avec les relèves 2019 de l’échantillon des 29 compteurs résidentiels.
Art. 2.2 : La consommation résidentielle est faible du fait que la population est sensibilisée à l'importance de l'économie d'eau.</t>
  </si>
  <si>
    <t xml:space="preserve">Art.1.9 : La pression moyenne du réseau est élevée du fait de la présence de secteurs avec des variations d’élévation de terrain. La pression est donc élevée afin de fournir adéquatement les usagers.
Art 1.13 et Art 2.2 : Pour calculer la consommation résidentielle, un prorata des logements résidentiels et des immeubles non résidentiels a été pris en compte.
Sur le réseau, il y a 130 logements résidentiels et 24 immeubles non résidentiels sans compteur d’eau et non relevé. La consommation résidentielle est estimée par le calcul suivant :
Consommation non mesurée et facturée * nombre de logements résidentiels / (logements résidentiels  + immeubles non résidentiels) 
25,428 ML *(130 / (130 + 24))= 21,465 ML.
Art. 2.1 : L'indice de fuite dans les infrastructures est plus bas qu'au bilan 2018 du fait de la diminution des pertes d'eau réelles. Cela vient de l'amélioration de la méthode de calcul du débit de nuit minimum. 
Art 2.3 : Résultat de 29 dû à une cote de 1 attribuée au volume d'eau produite, car le débitmètre n’a pas été vérifiés du fait de son installation en novembre 2019. Afin d'augmenter cette cote, les débitmètres devrait être vérifié annuellement tout en s’assurant de respecter les conditions d’installation du manufacturier.
</t>
  </si>
  <si>
    <t>Art 1.13 et Art 2.2 : Pour calculer la consommation résidentielle, un prorata des logements résidentiels et des branchements non résidentiels a été pris en compte.
Sur le réseau, il y a 212 logements résidentiels et 8 branchements non résidentiels actifs sans compteur d’eau et non relevé. La consommation résidentielle est estimée par le calcul suivant :
Consommation non mesurée et facturée * nombre de logements résidentiels / (logements résidentiels + branchements non résidentiels actifs) 
34,461 ML *(212 / (212 + 8))= 33,207 ML.
Art 1.13 et Art 2.2 : La consommation résidentielle a diminué par rapport au Bilan 2018.  Les consommations mesurée et facturé proviennent des 7 compteurs d’eau à augmenter par rapport au Bilan 2018, et comme l’eau distribuée n’a pas varié beaucoup, la consommation non mesurée et facturée, et donc la consommation résidentielle, a diminué.</t>
  </si>
  <si>
    <t>Art 1.4 : L’estimation 2019 du nombre de personnes par logements de statistique Canada sous-estime la population résidentielle desservie et occupée de façon permanente. Une population de 751 personnes est plus représentative.
Art 1.13 et Art 2.2 : Pour calculer la consommation résidentielle, un prorata des logements résidentiels et des immeubles non résidentiels a été pris en compte.
Sur le réseau, il y a 303 logements résidentiels et 25 immeubles non résidentiels sans compteur d’eau et non relevé. La consommation résidentielle est estimée par le calcul suivant :
Consommation non mesurée et facturée * nombre de logements résidentiels / (logements résidentiels  + immeubles non résidentiels) 
64,966 ML *(303 / (303 + 25))= 60,014 ML.
Art.1.15 : Les pertes d’eau réelles ont augmenté par rapport au bilan 2018 (4,210 ML). Cela provient du fait que l'analyse de débit de nuit a été faite sur une seule nuit ce qui n'est peut-être pas représentatif pour l'ensemble de l'année.
Art.2.2 : La consommation résidentielle par personne estimée est plus faible que l'an dernier du fait de la variation du débit de nuit. L'absence de système de mesure de la consommation entraine alors des variations importantes.</t>
  </si>
  <si>
    <t>Art. 1.15 : Il est recommandé d'effectuer une étude annuelle des débits de nuit afin d'avoir des données plus fiables et plus représentatives du réseau.
Art.2.1 : Il est recommandé d’effectuer un contrôle actif des fuites, car pour les réseaux dont l’indicateur de pertes d'eau dépasse la valeur de comparaison, un contrôle actif des fuites sur l’équivalent de 200 % de la longueur sera requis d'ici le 1er septembre 2021.</t>
  </si>
  <si>
    <t>Art.1.9 et 1.16 : La pression moyenne du réseau est plus élevée qu'au bilan précédent, car la donnée est plus raffinée. Elle a été obtenue par la moyenne des pressions statiques de tous les poteaux d'incendie. La valeur est élevée, car l'usine se situe à une haute élévation et le reste de la municipalité se situe à une plus faible élévation. Ceci explique l'augmentation des pertes d'eau réelles inévitables (PERI).
Art 1.13 et Art 2.2 : Pour calculer la consommation résidentielle, un prorata des logements résidentiels et des immeubles non résidentiels a été pris en compte.
Sur le réseau, il y a 163 logements résidentiels et 15 immeubles non résidentiels sans compteur d’eau et non relevé. La consommation résidentielle est estimée par le calcul suivant :
Consommation non mesurée et facturée * nombre de logements résidentiels / (logements résidentiels  + immeubles non résidentiels) 
19,768 ML *(163 / (163 + 15))= 18,102 ML.
Art.1.15 et Art.2.1 : Les pertes d'eau réelles ont été calculées à partir des débits de nuit minimum du mois d'octobre 2019.Les pertes d'eau réelles (PER) et l'indice de fuites dans les infrastructures (IFI) sont plus élevés qu'au bilan précédent. Il se peut qu'une fuite soit apparue en 2019 et qu'elle n'ait pas été détectée et réparée. D'après les analyses de Nordikeau, il semble que l'eau distribuée ait augmenté de 2019 à 2020 aussi. Donc, il est possible que le débit de la fuite ait augmenté ou que d'autres fuites soient apparues. De plus, la bonification des hypothèses utilisées pour l’estimation des PER a entraîné une hausse des pertes d’eau.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Il faudrait analyser plus en détail les rapports mensuels afin de pouvoir tirer des hypothèses de justification de cette baisse de consommation. Il se peut que les pertes d'eau réelle 2018 soient sous-estimées et que la consommation résidentielle  2018 soit surestimée. L'installation de compteurs d'eau permettrait de mieux départager les consommations des pertes d'eau réelles.</t>
  </si>
  <si>
    <t xml:space="preserve">Art 1.13 et Art 2.2 : Pour calculer la consommation résidentielle, un prorata des logements résidentiels et des branchements non résidentiels a été pris en compte.
Sur le réseau, il y a 35 branchements non résidentiels actifs sans compteur d’eau et non relevé qui sont des fermes reliés à 35 résidences. 
La consommation résidentielle est estimée par le calcul suivant :
20,564/2 = 10,282 ML.
Art.1.6: La longueur du réseau a été mise à jour.
Art.1.16: La variation des pertes d'eau réelles inévitables entre 2018 et 2019 s'explique par la mise à jour de la longueur du réseau.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</si>
  <si>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610 logements résidentiels et 47 branchements non résidentiels actifs sans compteur d’eau et non relevé. La consommation résidentielle est estimée par le calcul suivant :
Consommation non mesurée et facturée * nombre de logements résidentiels / (logements résidentiels + branchements non résidentiels actifs) 
274,694 ML *(610 / (610 + 47))= 255,043 ML.
Art.1.6: La longueur du réseau a été mise à jour en tenant en compte la longueur des bornes fontaines.
Art.1.14, Art.1.15  et Art.2.1 : L'eau distribué est plus élevé qu'en 2018, car au courant de l'année 2019, beaucoup de fermes ont arrosé les champs avec l'eau du réseau et ce souvent la nuit. Cette eau n'a pas été mesuré et le débit de nuit minimun n'a pas été relevé.  Celui de 2017 a du être utilisé, mais avec des hypothèses de consommation différentes de celles de l'année dernière. Cela peut expliquer l'augmentation des pertes d'eau réelles et donc l'augmentation de l'indice de fuites dans les infrastructures.  
Art.1.13 et Art.2.2 : Puique l'eau distribuée a augmenté et que la consommation est obtenu par la diférence entre l'eau distribuée et les pertes d'eau, la consommation résidentielle a augmenté comparativement à 2018. Aussi, la consommation résidentielle par personne estimée est élevée, car la méthode d'estimation prend la consommation non résidentielle sans compteur d'eau et non relevés au même niveau que la consommation résidentielle. Dans la municipalité il ya beaucoup de fermes.
Art.1.16: La variation des pertes d'eau réelles inévitables entre 2018 et 2019 s'explique par la mise à jour de la longueur du réseau.
</t>
  </si>
  <si>
    <t xml:space="preserve">Art 1.13 et Art 2.2 : Pour calculer la consommation résidentielle, un prorata des logements résidentiels et des immeubles non résidentiels a été pris en compte.
Sur le réseau, il y a 267 logements résidentiels sans compteur d’eau et non relevé et 22 immeubles non résidentiels sans compteur d’eau et non relevé. La consommation résidentielle est estimée par le calcul suivant :
Consommation non mesurée et facturée * nombre de logements résidentiels sans compteur d’eau et non relevé / (logements résidentiels sans compteur d’eau et non relevé + immeubles non résidentiels sans compteur d’eau et non relevé) + consommation résidentielle relevée
58,764 ML *(267 / (267 + 22)) + 0,3773 ML = 54,668 ML.
Art 1.16 : Les pertes d'eau réelles inévitables ont diminué par rapport à 2018, puisque la donnée de pression a été revue à la baisse cette année.
Art 1.15 et Art.2.1 : L'indice de fuites dans les infrastructures dépasse l'objectif. Les pertes d'eau réelles ont été déterminées à partir du débit de nuit minimum et ce dernier est assez élevé.
Art.2.2 : La consommation résidentielle par personne estimée est élevée, car la méthode d'estimation prend la consommation non résidentielle sans compteur d'eau et non relevés au même niveau que la consommation résidentielle. </t>
  </si>
  <si>
    <t xml:space="preserve">Art 1.5 : La valeur de la population a augmenté comparativement au bilan 2018. En effet, le nombre de logements résidentiels a augmenté en 2019. 
Art.1.9 : La pression moyenne au point représentatif du réseau de 65 mètres d'eau est prise à l'aide des bornes fontaines et est necessaire pour alimenter le réseau. . 
Art 1.13 et Art 2.2 : Pour calculer la consommation résidentielle, un prorata des logements résidentiels et des branchements non résidentiels a été pris en compte.
Sur le réseau, il y a 221 logements résidentiels et 34 branchements non résidentiels actifs sans compteur d’eau et non relevé. La consommation résidentielle est estimée par le calcul suivant :
Consommation non mesurée et facturée * nombre de logements résidentiels / (logements résidentiels + branchements non résidentiels actifs) 
43,119 ML *(221 / (221 + 34))= 37,3698 ML.
Art.1.14 : Il y a une diminution du volume d’eau distribué par personne par rapport au bilan 2018. Le nombre de logements et donc la population a été revu à la hausse.
Art.1.13, Art.2.1 et Art.2.2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Au bilan 2018, l’estimation de la consommation résidentielle a été calculée à partir d’une consommation hypothétique de 250 l/pers/d, car le débit de nuit minimum n'était pas disponible. Puisque les pertes d'eau réelles ont augmenté, l'indice de fuites dans les infrastructures a également augmenté.
Art.1.16 : Les pertes d'eau réelles inévitables ont augmenté, car le nombre de branchements de service a été revu à la hausse.
</t>
  </si>
  <si>
    <t>Art 1.13 et Art 2.2 : Pour calculer la consommation résidentielle, un prorata des logements résidentiels et des branchements non résidentiels a été pris en compte.
Sur le réseau, il y a 272 logements résidentiels et 11 branchements non résidentiels actifs sans compteur d’eau et non relevé. La consommation résidentielle est estimée par le calcul suivant :
Consommation non mesurée et facturée * nombre de logements résidentiels / (logements résidentiels + branchements non résidentiels actifs) 
35,657 ML *(272 / (272 + 11)) = 34,271 ML.
Art 1.15 et 2.1: Les pertes d'eau réelles et l'indice des fuites dans les infrastructures sont élevés. La municipalité n'a pas participé à la Stratégie ou fait de recherche de fuite avant 2019, ce qui pourrait expliquer les fuites importantes sur le réseau. Elle n'a pas fait d'interventions sur son réseau depuis sa mise en place 1964. Cependant depuis 2019 la municipalité a réparé des fuites et des vannes brisées. Elle a également adopté une directive afin de diminuer les délais de réparation pour réduire les pertes d'eau lors de bris.</t>
  </si>
  <si>
    <t>Art 1.13 et 2.2: La consommation résidentielle est estimée avec les relèves 2019 de l’échantillon des 8 compteurs résidentiels sur le réseau. 
Art.2.1 : L'indice de fuites dans les infrastructures est faible, car le réseau est petit. La municipalité peut donc détecter rapidement l’apparition des fuites avec l’analyse de débits de nuit. Elle peut ensuite les localiser et les réparer rapidement. De plus, le débitmète n'a pas été vérifié, alors il y a une incertitude sur le volume total ditribué. 
Art. 2.2 : L'augmentation de la taille de l'échantillon de compteurs d'eau résidentiels peut expliquer la variation de consommation résidentiel par rapport à 2018 (60,771 ML)</t>
  </si>
  <si>
    <t>Art. 2.2 : La municipalité pourrait mieux estimer la consommation résidentielle avec un plus grand échantillon de compteurs résidentiels (20 compteurs)</t>
  </si>
  <si>
    <t xml:space="preserve">Art.1.13 : La consommation résidentielle a été mesurée par des compteurs d'eau (4 logements).
Art.2.1 : L'indice de fuites dans les infrastructures est faible, car le réseau est petit. La municipalité peut donc détecter rapidement l’apparition des fuites avec l’analyse de débits de nuit. Elle peut ensuite les localiser et les réparer rapidement. De plus, le débitmète n'a pas été vérifié, alors il y a une incertitude sur le volume total ditribué. </t>
  </si>
  <si>
    <t xml:space="preserve">Note : Les volumes fournis par la municipalité proviennent d'un compteur à l'eau brute.  Il n'y a pas de débitmètre à la distribution ou d'enregistreur de donnée. Il est donc impossible d'utiliser le débit de nuit pour estimer les pertes et la consommation de la municipalité. Les données présentées ici proviennent d'estimations sommaires de la municiaplité.
Art 1.4 : Le nombre de logements et la population sont les mêmes qu’en 2018. L’estimation 2018 du nombre de personnes par logement est utilisée.
Art 1.13 et Art 2.2 : Pour calculer la consommation résidentielle, un prorata des logements résidentiels et des branchements non résidentiels a été pris en compte.
Sur le réseau, il y a 92 logements résidentiels et 1 branchements non résidentiels sans compteur d’eau et non relevé. La consommation résidentielle est estimée par le calcul suivant :
Consommation non mesurée et facturée * nombre de logements résidentiels / (logements résidentiels + branchements non résidentiels) 
10,754 ML *(92 / (92 + 1))= 10,638 ML.
Art.1.14 : Il y a une augmentation du volume d’eau distribué par rapport au bilan 2018. Il y a peut-être l'apparition de certaines fuites qui expliquerait la hausse des pertes d’eau et de l’eau distribuée. Celles-ci n’ont pas été détectées, car la municipalité n’a pas fait de recherche de fuites.
Art 2.3 : Résultat de 37 dû à une cote de 3 attribuée au volume d'eau produite, car le débitmètre a l'eau brute n’a jamais été vérifiés. Afin d'augmenter cette cote, le débitmètre devrait être vérifié annuellement tout en s’assurant de respecter les conditions d’installation du manufacturier. </t>
  </si>
  <si>
    <t>La municipalité devrait installer un débitmètre à la distribution avec un enregistreur de données en s’assurant de respecter les conditions d’installation du manufacturier. Elle devrait également vérifier sa précision anuellement. Ceci permettrait d'augmenter le résultat de validité de données de l'audit de l'AWWA et de calculer des indicateurs plus représentatifs de la situation réelle de la municipalité.</t>
  </si>
  <si>
    <t>Art 1.4 : Le nombre de logement a été retouné è l'estimation de statistique Canada, car l'ajustement du nombre de logements a corrigé l'erreur qui faisait que la population était trop basse en 2018. 
Art.1.13 : La consommation résidentielle a été mesurée par des compteurs d'eau.
Art 1.16 : Les PERI on augmentés par rapport au Bilan 2018 car les pression aux poteaux incendie ont été reprisent</t>
  </si>
  <si>
    <t>Art.1.13 : La consommation résidentielle a été mesurée par des compteurs d'eau.
Art 1.15 et 2.1 : Les pertes d'eau réelles ont augmenté par rapport à 2018, ceci peut s'expliquer du fait que la municipalité a réparé 3 grosses fuites. Ce qui a pour impact d'augmenter l'IFI.
Art 1.13 et 2.2 : La relève des compteurs d'eau a obtenu plus de succès de relève qu'en 2018. De plus, les consommations non relevées ont été estimées à partir de la consommation des autres logements et non d'un volume de 50 000 gallons. Pour finir, les citoyens peuvent être plus sensibilisés à la réduction de leur consommation.</t>
  </si>
  <si>
    <t>Art.1.13 : La consommation résidentielle a été mesurée par des compteurs d'eau.
Art 1.15 et 2.1 : Les pertes d'eau réelles ont augmenté par rapport à 2018, ceci peut s'expliquer du fait que la municipalité avait eu plusieurs fuites en 2018. Ce qui a pour impact de diminuer l'IFI.
Art 1.13 et 2.2 : La relève des compteurs d'eau a obtenu plus de succès de relève qu'en 2018. De plus, les consommations non relevées ont été estimées à partir de la consommation des autres logements et non d'un volume de 50 000 gallons. Pour finir, les citoyens peuvent être plus sensibilisés à la réduction de leur consommation.</t>
  </si>
  <si>
    <t>Art.1.13 : La consommation résidentielle a été mesurée par des compteurs d'eau.
Art 1.15 et 2.1 : Les pertes d'eau réelles ont augmenté par rapport à 2018, ceci peut s'expliquer du fait que la municipalité a eu des fuites. Ce qui a pour impact d'augmenter l'IFI.
Art 1.13 et 2.2 : La relève des compteurs d'eau a obtenu plus de succès de relève qu'en 2018. De plus, les consommations non relevées ont été estimées à partir de la consommation des autres logements et non d'un volume de 50 000 gallons. Pour finir, les citoyens peuvent être plus sensibilisés à la réduction de leur consommation.</t>
  </si>
  <si>
    <t xml:space="preserve">Art. 1.6 : La longueur du réseau est plus faible qu'en 2018 car une erreure était présente. La longueur de ce bilan provient du plan d'intervention de 2015 à lauqelle a été ajoutée les longueurs de raccordement aux poteaux incendie.
Art 1.13 et Art 2.2 : Pour calculer la consommation résidentielle, un prorata des logements résidentiels et des immeubles non résidentiels a été pris en compte.
Sur le réseau, il y a 240 logements résidentiels et 12 immeubles non résidentiels sans compteur d’eau et non relevé. La consommation résidentielle est estimée par le calcul suivant :
Consommation non mesurée et facturée * nombre de logements résidentiels / (logements résidentiels  + immeubles non résidentiels) 
48,847 ML *(221 / (221 + 12))= 46,331 ML.
Art.1.15 : L'écart entre les pertes d'eau réelles 2018 et 2019 s'explique par la bonification des hypothèses utilisées. Les consommations de nuit utilisées ont été mises à jour afin de mieux estimer les pertes d’eau réelles à partir du débit de nuit minimum.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</si>
  <si>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419 logements résidentiels et 57 branchements non résidentiels sans compteur d’eau et non relevé. La consommation résidentielle est estimée par le calcul suivant :
Consommation non mesurée et facturée * nombre de logements résidentiels / (logements résidentiels + branchements non résidentiels) 
80,228 ML *(491 / (491 + 57))= 70,621 ML.
Art.1.15 : L'écart entre les pertes d'eau réelles 2018 et 2019 s'explique par la bonification des hypothèses utilisées. Les consommations de nuit utilisées ont été mises à jour afin de mieux estimer les pertes d’eau réelles à partir du débit de nuit minimum.
</t>
  </si>
  <si>
    <t xml:space="preserve">Art 1.4 : Le nombre de logements et la population sont les mêmes qu’en 2018. L’estimation 2018 du nombre de personnes par logement est utilisée.
Art 1.13 et Art 2.2 : Pour calculer la consommation résidentielle, un prorata des logements résidentiels et des immeubles non résidentiels a été pris en compte.
Sur le réseau, il y a 239 logements résidentiels et 13 immeubles non résidentiels sans compteur d’eau et non relevé. La consommation résidentielle est estimée par le calcul suivant :
Consommation non mesurée et facturée * nombre de logements résidentiels / (logements résidentiels  + immeubles non résidentiels) 
39,315 ML *(239 / (239 + 13))= 37,287 ML.
Art.1.15 : L'écart entre les pertes d'eau réelles 2018 et 2019 s'explique par la bonification des hypothèses utilisées. Les consommations de nuit utilisées ont été mises à jour afin de mieux estimer les pertes d’eau réelles à partir du débit de nuit minimum.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t>
  </si>
  <si>
    <t>Art. 2.1 : En 2020, afin de bien estimer les pertes d’eau la municipalité peut se servir des données des débits de nuits sur l’ensemble de l’année.</t>
  </si>
  <si>
    <t xml:space="preserve">Art 1.13 et Art 2.2 : Pour calculer la consommation résidentielle, un prorata des logements résidentiels et des branchements non résidentiels a été pris en compte.
Sur le réseau, il y a 340 logements résidentiels et 30 branchements non résidentiels actifs sans compteur d’eau et non relevé. La consommation résidentielle est estimée par le calcul suivant :
Consommation non mesurée et facturée * nombre de logements résidentiels / (logements résidentiels + branchements non résidentiels actifs) 
68,628 ML *(340 / (340 + 30))= 63,0636 ML.
</t>
  </si>
  <si>
    <t xml:space="preserve">Art 1.13 et Art 2.2 : Pour calculer la consommation résidentielle, un prorata des logements résidentiels et des branchements non résidentiels a été pris en compte.
Sur le réseau, il y a 48 logements résidentiels et 5 branchements non résidentiels sans compteur d’eau et non relevé. La consommation résidentielle est estimée par le calcul suivant :
Consommation non mesurée et facturée * nombre de logements résidentiels / (logements résidentiels + branchements non résidentiels) 
4,299 ML *(48 / (48 + 5))= 3,893 ML.
</t>
  </si>
  <si>
    <t xml:space="preserve">Art 1.13 et Art 2.2 : Pour calculer la consommation résidentielle, un prorata des logements résidentiels et des branchements non résidentiels a été pris en compte.
Sur le réseau, il y a 129 logements résidentiels et 3 branchements non résidentiels sans compteur d’eau et non relevé. La consommation résidentielle est estimée par le calcul suivant :
Consommation non mesurée et facturée * nombre de logements résidentiels / (logements résidentiels + branchements non résidentiels) 
19,626 ML *(129 / (129 + 3))= 19,180 ML.
</t>
  </si>
  <si>
    <t>Art 1.13 : Consommation résidentielle estimée à 250 l/pers/d.</t>
  </si>
  <si>
    <t>Art 1.2 : L’estimation 2019 du nombre de personnes par logements de statistique Canada sous-estime la population résidentielle desservie et occupée de façon permanente. Une population de 1454 est plus représentative.
Art 1.13 et Art 2.2 : Pour calculer la consommation résidentielle, un prorata des logements résidentiels et des branchements non résidentiels a été pris en compte.
Sur le réseau, il y a 606 logements résidentiels et 51 branchements non résidentiels sans compteur d’eau et non relevé. La consommation résidentielle est estimée par le calcul suivant :
Consommation non mesurée et facturée * nombre de logements résidentiels / (logements résidentiels + branchements non résidentiels) 
125,588 ML *(606 / (606 + 51))= 115,839 ML.
Art 1.16 : Art 2.1 : La pression du réseau est de 66,8 m pour l'année 2018 tandis que, pour l'année 2019, la pression est de 56 m pour l'année 2019. Cela fait diminuer la perte d'eau inévitable du réseau (PERI) de 13%
Art 2.1 : Comme il est indiqué au commentaire Art.1.16, PERI a diminué de 13% et, en plus, Il y a eu une augementation de PER d'environ 15% en comparaison de l'année 2018. Cette situation a fait en sorte qu'il y a une augmentation de IFI de 32%. Malgré cette augementation, IFI respecte l'objectif.</t>
  </si>
  <si>
    <t>Art.1.9 : La donnée de pression a été remise à jour en 2019 grâce à une nouvelle prise de pression sur les bornes-fontaines.
Art.1.13 et Art.2.2 : Pour calculer la consommation résidentielle, un prorata des logements résidentiels et des logements non résidentiels a été pris en compte.
Sur le réseau, il y a 140 logements résidentiels et 5 immeubles non résidentiels. La consommation résidentielle est estimée par le calcul suivant :
 Consommation non mesurée et facturée * nombre de logements résidentiels / (logements résidentiels  + immeubles non résidentiels) 
27,040ML *(140/ (140+5))= 26,108 ML.
Art.1.13 , Art.1.15 et Art.2.2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En 2018, les pertes d'eau avaient simplement été calculées en multipliant le débit de nuit par 365 jours. L'hypothèse a été raffinée en 2019. Cette difference dans les méthodes de calcul a entrainé une hausse des pertes d'eau réelles, une diminution de la consommation résidentielle. De plus, Le débit de nuit minimun de 2019 est beaucoup plus élevé que celui de 2018. Puisque les pertes d'eau sont calculées à partir du débit de nuit minimun, cela explique l'augmentation des pertes d'eau et la diminution relative de la consommation résidentielle.
Art.1.14 : Il y a une augmentation du volume d’eau distribué par rapport au bilan 2018. Ceci peut  s'expliquer par le fait que la municipalité a fait des travaux d'agrandissement de son réseau.
Art.1.16 : Les pertes réelles inévitables ont diminué par rapport à 2018, puisque la donnée de pression a été revue à la baisse.
Art.2.1 : L'indice de fuites dans les infrastructures a augmenté comparativement à 2018. La bonification des hypothèses utilisées pour le calcul des pertes d'eau a donné des pertes beaucoup plus grande que celle de 2018 et donc un IFI plus élevé.  Aussi, les pertes d'eau sont calculées à partir du débit de nuit minimun. Le débit de nuit minimun de 2019 est beaucoup plus élevé que celui de 2018. De ce fait, les pertes d'eau réelles de 2019 sont beaucoup plus élevées que celles de 2018 et donc l'IFI aussi.</t>
  </si>
  <si>
    <t>Art.1.2 : La pression moyenne du réseau est élevée. La distribution se fait par gravité et doit être élevée afin d'assurer la pression minimale en fin de réseau. La municipalité prévoit éventuellement combiner les deux réseaux et faire de la gestion de la pression. 
Art 1.13 et Art 2.2 : Pour calculer la consommation résidentielle, un prorata des logements résidentiels et des branchements non résidentiels a été pris en compte.
Sur le réseau, il y a 812 logements résidentiels et 30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130,812 ML *(812 / (812 + 30))= 126,151 ML.
Art.1.15 : Les pertes d’eau réelles ont diminué par rapport au bilan 2018 (47,450 ML). La réparation de 3 fuites sur le réseau en 2019 pourrait expliquer cette variation.
Art.2.2 : La consommation résidentielle par personne estimée est élevée, car la méthode d'estimation prend la consommation non résidentielle sans compteur d'eau et non relevés au même niveau que la consommation résidentielle. Elle a augmenté par rapport au bilan 2018 (110,419 ML), en partie à cause de l'augmentation de la consommation résidentielle non mesurée sur le réseau.</t>
  </si>
  <si>
    <t>Art.1.2 : La pression moyenne du réseau est élevée. La distribution se fait par gravité et doit être élevée afin d'assurer la pression minimale en fin de réseau. La municipalité prévoit éventuellement combiner les deux réseaux et faire de la gestion de la pression. 
Art 1.13 et Art 2.2 : Pour calculer la consommation résidentielle, un prorata des logements résidentiels et des branchements non résidentiels a été pris en compte.
Sur le réseau, il y a 671 logements résidentiels et 23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121,784 ML *(671 / (671 + 23))= 117,748 ML.
Art.1.15 : Les pertes d’eau réelles ont diminué par rapport au bilan 2018 (36,870 ML). La réparation de 3 fuites sur le réseau en 2019 pourrait expliquer cette variation.
Art.2.2 : La consommation résidentielle par personne estimée est élevée, car la méthode d'estimation prend la consommation non résidentielle sans compteur d'eau et non relevés au même niveau que la consommation résidentielle. Elle a augmenté par rapport au bilan 2018 (105,535 ML), en partie à cause de l'augmentation de la consommation résidentielle non mesurée sur le réseau.</t>
  </si>
  <si>
    <t>Art 1.3 : Les immeubles résidentiels sont seulement des maisons unifamiliales (Logements = Immeubles). 
Art 1.13 et Art 2.2 : Pour calculer la consommation résidentielle, un prorata des logements résidentiels et des branchements non résidentiels a été pris en compte.
Sur le réseau, il y a 115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23,942 ML *(115 / (115 + 13))= 21,510 ML.
Art.1.14 : Il y a une augmentation du volume d’eau distribué par rapport au bilan 2018. Il y a peut-être l'apparition de certaines fuites qui expliquerait la hausse des pertes d’eau et de l’eau distribuée. Celles-ci n’ont pas été détectées, car la municipalité n’a pas fait de recherche de fuites. De plus, son eregistreur de donnée ne fonctionnait pas en 2019.
Art. 1.15 et 2.1 : L'enregistreur de donnée a arrêté de fonctionner au début de 2019. Les données 2018 de débit de nuit ont été utilisée. Pour le bilan 2018, la donnée de débit de nuit d'une seule journée de janvier avait été utilisée. Pour le bilan 2019, la médiane mobile 7 jours de l'ensemble de l'année 2018 a été utilisée. Ceci peut expliquer la différence entre les pertes 2018 (2,555 ML) et 2019.</t>
  </si>
  <si>
    <t>Art 1.3 et Art 1.4 : Les valeurs du bilan 2019 ont été mises à jour avec les données les plus récentes.
Art 1.13 et Art 2.2 : Pour calculer la consommation résidentielle, un prorata des logements résidentiels et des immeubles non résidentiels a été pris en compte.
Sur le réseau, il y a 720 logements résidentiels et 81 immeubles non résidentiels sans compteur d’eau et non relevé. La consommation résidentielle est estimée par le calcul suivant :
Consommation non mesurée et facturée * nombre de logements résidentiels / (logements résidentiels  + immeubles non résidentiels) 
142,907 ML *(720 / (720 + 81))= 128,456 ML.
Art.1.15 : L'écart entre les pertes d'eau réelles 2018 et 2019 s'explique par la bonification des hypothèses utilisées. Les consommations de nuit utilisées ont été mises à jour afin de mieux estimer les pertes d’eau réelles à partir du débit de nuit minimum.
Art. 1.16 : L'augmentation des PERI s'explique par la bonification de la valeur de pression.
Art. 2.2 : La consommation résidentielle estimée a augmenté et cela est directement lié à la diminution des pertes d'eau.</t>
  </si>
  <si>
    <t xml:space="preserve">Art 1.3 : Il y a eu erreur concernant le nombre de logements dans les formulaires antérieurs, le nombre de logements 2019 est la valeur corrigée soit 231 logements desservis et occupés de façon permanente. 
Art. 1.9 : La pression a été estimée avec la moyenne des poteaux incendie et de la pression à l'usine et est plus élevée que la pression estimée en 2018.
Art 1.13 et 2.2: La consommation résidentielle est estimée avec les relèves 2019 de l’échantillon des 13 compteurs résidentiels pendant 210 jours. La municipalité a terminé de poser les compteurs durant l'année 2019, alors elle n'a pas les données de consomation pour le début de l'année. Les données seront disponibles pour 2020.
Art. 1.13 : La consommation résidentielle estimée a diminué par rapport à 2018. Cette différence peut être expliqué par le fait que les compteurs d'eau ont été relevés en 2019, ce qui donne une meilleure estimation que les données disponibles en 2018.
Art. 1.14 : 3 résidences ont eu des problèmes de gel dans leur branchement de service et ont laissés l'eau couler durant les mois de février à avril. La municipalité estime que ces résidences ont consommé environ 10,500 ML à cause de ce problème, ce qui peut expliquer l'augmentation du volume distribué par rapport à 2018 (44,136 ML).
Art.1.15 : Les pertes d’eau réelles ont augmenté par rapport au bilan 2018 (11,088 ML). Cette augmentation peut être expliquée par la donnée plus précise sur la consommation résidentielle et non résidentielle obtenue avec des compteurs.
Art.1.16 et 2.1: Les pertes d’eau réelles inévitables ont augmenté par rapport au bilan 2018 (7,797 ML). Cette variation peut être expliquée par la bonification de la donnée de la pression sur le réseau par rapport au bilan 2018 (50 m d'eau). </t>
  </si>
  <si>
    <t>Art. 1.9 : Le réseau n'a pas de poteaux incendie. La pression est prise aux robinets d'arrêt accessibles et pourrait être différente de la pression moyenne dans les conduites.
Art 1.13 et 2.2: La consommation résidentielle est estimée avec les relèves 2019 de l’échantillon des 13 compteurs résidentiels. 
Art. 1.13 : La consommation résidentielle estimée a diminué par rapport à 2018. Cette différence peut être expliqué par le fait que les compteurs d'eau ont été relevés en 2019, ce qui donne une meilleure estimation que les données disponibles en 2018.
Art.1.16 et 2.1 : Les pertes d’eau réelles inévitables ont augmenté par rapport au bilan 2018 (1,787 ML). Cette variation peut être expliquée par la bonification de la donnée de la pression sur le réseau par rapport au bilan 2018 (49 m d'eau). Cette augmentation des PERI peut aussi expliquer la baisse de l'IFI.</t>
  </si>
  <si>
    <t>L'IFI semble faible. Il serait possible de mieux calculer les PERI en rafinant les données sur la pression et la longueur des réseaux.</t>
  </si>
  <si>
    <t>Art. 1.6 et 1.16 : La longueur de conduite a été bonifiée avec la longueur de raccordement aux poteaux incendie. Cela a directement influencé les pertes d'eau réelles inévitables.
Art 1.13 et Art 2.2 : Pour calculer la consommation résidentielle, un prorata des logements résidentiels et des branchements non résidentiels a été pris en compte.
Sur le réseau, il y a 249 logements résidentiels et 37 branchements non résidentiels sans compteur d’eau et non relevé. La consommation résidentielle est estimée par le calcul suivant :
Consommation non mesurée et facturée * nombre de logements résidentiels / (logements résidentiels + branchements non résidentiels) 
33,129 ML *(249 / (249 + 37))= 28,843 ML.
Art. 1.13 et 1.14 : Il y a une diminution du volume d’eau distribué par rapport au bilan 2018. Cela s'explique par la réparation d'une fuite en fin d'année 2018 et entre dans la volonté de la municipalité d'éliminer les fuites. Une diminution constante du volume d'eau distribué est observable depuis 2017.
Art 2.2 : Tout comme l'année précédente, ce réseau comporte une faible quantité d'eau distribuée par personne. Cet indicateur est faible, car il s'agit d'un réseau comportant de petites maisons consommant peu selon la municipalité. De plus, la municipalité fait beaucoup de prévention afin de réduire la consommation.</t>
  </si>
  <si>
    <t xml:space="preserve">Art 1.3 : Le nombre de logements a baissé par rapport à 2018, car la donnée a été raffinée. En effet, il y a 756 logements connectés au réseau et occupés de façon permanente. En 2018, aucune distinction n'avait été faite entre les chalets, les résidences secondaires et les résidences principales.
Art 1.13 et Art 2.2 : Pour calculer la consommation résidentielle, un prorata des logements résidentiels et des branchements non résidentiels a été pris en compte.
Sur le réseau, il y a 756 logements résidentiels et 41 branchements non résidentiels sans compteur d’eau et non relevé. La consommation résidentielle est estimée par le calcul suivant :
Consommation non mesurée et facturée * nombre de logements résidentiels / (logements résidentiels + branchements non résidentiels) 
187,112 ML *(756 / (756 + 41))= 177,486 ML.
Art.1.14 : Il y a une diminution du volume d’eau distribué par rapport au bilan 2018. En effet en 2018/2019 des fuites ont été réparées ce qui a diminué le volume d'eau distribué. Par ailleurs, il s'agit d'une municipalité à caractère touristique, avec un lac; ou les visiteurs utilisent souvent l'eau pour nettoyer leur bateau. Ainsi il se peut que l'activité touristique a diminué et donc le volume d'eau distribuer pour le nettoyage des bateaux et/ou la consommation à l'hôtel/restaurants.
Art.1.15 : L'écart entre les pertes d'eau réelles 2018 et 2019 s'explique par la bonification des hypothèses utilisées. Les consommations de nuit utilisées ont été mises à jour afin de mieux estimer les pertes d’eau réelles à partir du débit de nuit minimum.
Art.2.1 : L'indice de fuites dans les infrastructures est faible, car le réseau est petit. La municipalité peut donc détecter rapidement l’apparition des fuites avec l’analyse de débits de nuit. Elle peut ensuite les localiser et les réparer rapidement. 
Art.2.2 : La consommation résidentielle par personne estimée est élevée, car la méthode d'estimation prend la consommation non résidentielle sans compteur d'eau et non relevés au même niveau que la consommation résidentielle. De plus comme il s'agit d'une ville touristique, avec un usage de l'eau assez important; la consommation Non mesurée et facturée est élevée, comme il n'y a pas de compteurs d'eau dans le secteur non résidentiel, alors la consommation résidentielle est aussi élevée.
Art 2.2 : Il y a une augmentation de la consommation résidentielle par rapport au bilan 2018, malgré que la consommation non mesurée et facturée soit quasiment la même (environ 187 ML) en 2018 et 2019. En effet, en estimant la consommation résidentielle, un prorata a été réalisé en fonction du nombre de logements. Or comme le nombre de logements a changé (diminué) alors la consommation résidentielle estimée a augmenté.
</t>
  </si>
  <si>
    <t>Art. 1.6 : La longueur de réseau a été ajustée avec les données du plan d'intervention et la longueur de raccordement aux poteaux incendie.</t>
  </si>
  <si>
    <t xml:space="preserve">Art 1.13 et Art 2.2 : Pour calculer la consommation résidentielle, un prorata des logements résidentiels et des branchements non résidentiels a été pris en compte.
Sur le réseau, il y a 92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22,299 ML *(92 / (92 + 9))= 20,312 ML.
Art.1.14 : Il y a une diminution du volume d’eau distribué par rapport au bilan 2018 parce qu'en 2018 il y a eu une grosse fuite que la municipalité n'as pas detécté sur le champ. En 2018, la quantité d'eau distibué était donc plus élevé. Ceci explique la diminution des pertes et de l'eau distribuée par personne en 2019.
Art.2.1 : L'indice de fuites dans les infrastructures est faible, car le réseau est petit. La municipalité peut donc détecter rapidement l’apparition des fuites avec l’analyse de débits de nuit. Elle peut ensuite les localiser et les réparer rapidement. 
Art.2.2 : La consommation résidentielle par personne estimée est élevée, car la méthode d'estimation prend la consommation non résidentielle sans compteur d'eau et non relevés au même niveau que la consommation résidentielle.
</t>
  </si>
  <si>
    <t xml:space="preserve">Art 1.13 et Art 2.2 : Sur le réseau, il y a 112 logements résidentiels et 0 branchements non résidentiels sans compteur d’eau et non relevé. La consommation résidentielle est  :
Consommation non mesurée et facturée.  
Art.1.14 : Il y a une diminution du volume d’eau distribué par rapport au bilan 2018 parce qu'en 2018 il y a eu une grosse fuite que la municipalité n'as pas detécté sur le champ. En 2018, la quantité d'eau distibué était donc plus élevé. Ceci explique la diminution de l'eau distribuée par personne.. 
Art.2.2 : La consommation résidentielle par personne estimée est élevée, car la méthode d'estimation prend la consommation non résidentielle sans compteur d'eau et non relevés au même niveau que la consommation résidentielle.
Art 2.3 : Résultat de 38 dû à une cote de 3 attribuée au volume d'eau produite, tout le volume d'eau n'a pas été mesuré. Afin d'augmenter cette cote, les débits d'eau devrait être mesurés par mois et l'installation du débitmètre devrait respecter les conditions d’installation du manufacturier.
</t>
  </si>
  <si>
    <t xml:space="preserve">Art 1.13 et Art 2.2 : Pour calculer la consommation résidentielle, un prorata des logements résidentiels et des branchements non résidentiels a été pris en compte.
Sur le réseau, il y a 7468 logements résidentiels et 94 branchements non résidentiels sans compteur d’eau et non relevé. La consommation résidentielle est estimée par le calcul suivant :
Consommation non mesurée et facturée * nombre de logements résidentiels / (logements résidentiels + branchements non résidentiels) 
1273,012 ML *(7468 / (7468 + 94))= 1257,195 ML.
Art 1.14 : La réparation de nombreuses fuites depuis le Bilan 2018 a beaucoup diminué le volume d'eau distribuée.
Art 1.15 : Le changement de méthodologie de calcul des PER cause la grande différence d'IFI par rapport à l'an dernier. Depuis 2016, les PER sont basés sur le même débit de nuit de 60m³/h. La municipalité a accès au graphe de distribution, mai sne peut en extraire des tables de valeurs. Les PER ici présentes sont tirés du DNM du mois de septembre évaluée graphiquement. L'augmentation des PER a causé la baisse de la consommation résidentielle estimée.
</t>
  </si>
  <si>
    <t>Art 1.13 et Art 2.2 : Pour calculer la consommation résidentielle, un prorata des logements résidentiels et des branchements non résidentiels a été pris en compte.
Sur le réseau, il y a 425 logements résidentiels et 16 branchements non résidentiels sans compteur d’eau et non relevé. La consommation résidentielle est estimée par le calcul suivant :
Consommation non mesurée et facturée * nombre de logements résidentiels / (logements résidentiels + branchements non résidentiels) 
94,780 ML *(425 / (425 + 16))= 91,341 ML.
Art.2.2 : La consommation résidentielle par personne estimée est élevée, car la méthode d'estimation prend la consommation non résidentielle sans compteur d'eau et non relevés au même niveau que la consommation résidentielle.</t>
  </si>
  <si>
    <t>Art 1.13 et Art 2.2 : Pour calculer la consommation résidentielle, un prorata des logements résidentiels et des immeubles non résidentiels a été pris en compte.
Sur le réseau, il y a 620 logements résidentiels et 28 immeubles non résidentiels sans compteur d’eau et non relevé. La consommation résidentielle est estimée par le calcul suivant :
Consommation non mesurée et facturée * nombre de logements résidentiels / (logements résidentiels  + immeubles non résidentiels) 
148,555 ML *(620 / (620 + 28))= 142,136 ML.
Art.1.14 : Il y a une diminution du volume d’eau distribué par rapport au bilan 2018 car le débitmètre n’était pas fonctionnel pendant deux mois. Les données manquantes ont été comblées avec les données de l'année 2018. De plus, un hiver moins rigoureux peut également expliquer une diminution de consommation du fait des habitudes de consommation de la population.
Art.1.15 : Les pertes d’eau réelles ont diminué par rapport au bilan 2018 (22,908 ML). Cela provient du changement du débit de nuit. Le même débit de nuit était utilisé dans les 3 derniers bilan et ce bilan utilise un débit de nuit actualisé. Cependant, ce débit de nuit étant un débit de nuit instantané, il n'est pas très représentatif et la donnée devrait être affinée pour le prochain bilan.
Art.2.1 : L'indice de fuites dans les infrastructures est faible. Les pertes d’eau réelles sont faibles, car le débit de nuit est un débit instantané et non un débit moyen. En 2020, afin de bien estimer les pertes d’eau la municipalité peut se servir des données des débits de nuits moyens sur l’ensemble de l’année.
Art.2.2 : La consommation résidentielle par personne estimée est élevée, car la méthode d'estimation prend la consommation non résidentielle sans compteur d'eau et non relevés au même niveau que la consommation résidentielle. De plus, la consommation est plus importante en hiver du fait des habitudes de consommation de la population. En effet, le risque de gel incite la population à laisser couler l'eau pendant les mois d'hiver.</t>
  </si>
  <si>
    <t>Art.1.13 : La consommation résidentielle a été mesurée par des compteurs d'eau.
Art.1.14 : Il y a une augmentation du volume d’eau distribué ainsi que de la quantité d'eau distribuée par personne par rapport au bilan 2018.  Ceci peut être lié au gros consommateur comme le festival, la porcherie entre autres, qui peuvent voir leur consommation variées et ils ne sont malheureusement pas équipés de compteurs donc estimés chaque année.
Art 2.2 : L'indice de fuites dans les infrastructures (IFI) a augmenté par rapport à 2018. Ceci peut s'expliquer du fait que la municipalité estime des consommations et peut-être les sous-estime et ces volumes se retrouvent ainsi dans les pertes d'eau au lien d’être dans la consommation.</t>
  </si>
  <si>
    <t xml:space="preserve">Art 1.3 : Le nombre de logements résidentiels a changé depuis 2019, car il a précédemment été inscrit le nombre de branchements de services plutôt que le nombre de logements résidentiels desservis et occupés de façon permanente.
Art 1.4 : L’estimation 2019 du nombre de personnes par logements de statistique Canada sous-estime la population résidentielle desservie et occupée de façon permanente. Une population de 1 803 personnes est plus représentative.
Art.1.13 : La consommation résidentielle a été mesurée par des compteurs d'eau.
Art.1.14 : Il y a une augmentation du volume d’eau distribué par rapport au bilan 2018. Cela provient de l'augmentation du volume de consommation par les utilisateurs du fait du climat chaud cette année là.
Art. 1.15 et Art. 2.2 : La variation des PER et donc de l'IFI par rapport au bilan 2018 provient de l'absence de l'utilisation de l'eau du réseau pour le refroidissement de la glace de l'arena. Les PER de ce bilan sont proches des PER du bilan 2017 ( 11,5Ml).
</t>
  </si>
  <si>
    <t>Il est recommandé de calculer une pression moyenne pour les prochains bilans.</t>
  </si>
  <si>
    <t xml:space="preserve">Art.1.13 : La consommation résidentielle a été mesurée par des compteurs d'eau.
Art 1.14 : La très faible quantité d'eau distribuée par personne dans la municipalité s'explique par la présence de seulement 24 commerces qui ne consomment pas beaucoup d’eau et de la sensibilisation constante que la municipalité effectue envers la population.
Art.1.15 : Les pertes d’eau réelles ont diminué par rapport au bilan 2018 (5,141 ML). Cette baisse peut être expliqué par le changement préventif de 21 vieux branchements de services qui causaient des petites pertes.
Art.2.1 : L'indice de fuites dans les infrastructures est faible, car le réseau est petit. La municipalité peut donc détecter rapidement l’apparition des fuites avec l’analyse de débits de nuit. Elle peut ensuite les localiser et les réparer rapidement. 
Art.2.3 : Le résultat de validité de l'AWWA est élevé parce que la municipalité, en plus de vérifier son débitmètre à la distribution, a des compteurs sur 100% de leurs branchements de services et change annuellement les compteurs endommagés et âgés. </t>
  </si>
  <si>
    <t>Art 1.13 et Art 2.2 : Pour calculer la consommation résidentielle, un prorata des logements résidentiels et des branchements non résidentiels a été pris en compte.
Sur le réseau, il y a 132 logements résidentiels et 22 branchements non résidentiels sans compteur d’eau et non relevé. La consommation résidentielle est estimée par le calcul suivant :
Consommation non mesurée et facturée * nombre de logements résidentiels / (logements résidentiels + branchements non résidentiels) 
38,656 ML *(132 / (132 + 22))= 33,134 ML.
Art.2.1 : La variation de l'indice de fuites dans les infrastructures s'explique par le fait d'avoir utilisé un débit de nuit de l'année du bilan. Pour rappel, le débit de nuit du bilan 2018 était en réalité celui de l'année 2017.
Art.2.2 : La consommation résidentielle par personne estimée est élevée, car la méthode d'estimation prend la consommation non résidentielle sans compteur d'eau et non relevés au même niveau que la consommation résidentielle. De plus, la variation observée avec le bilan 2018 s'explique par le fait que trois fuites ont été réparées durant l'année et que ce volume n'est pas pris en compte dans les pertes du fait de l'utilisation de la méthode du débit de nuit minimum. Enfin, l'aspect très touristique de la municipalité fait également augmenter la consommation résidentielle estimée. L'installation de compteurs et la relève de ceux-ci dans un échantillon du secteur résidentiel va permettre d'affiner ces données.</t>
  </si>
  <si>
    <t>Art 1.4 : L’estimation 2019 du nombre de personnes par logements de statistique Canada surestime la population résidentielle desservie et occupée de façon permanente. Une population de 180 personnes est plus représentative. Cette valeur a été ajustée par rapport à celle du bilan 2018.
Art 1.13 et Art 2.2 : Pour calculer la consommation résidentielle, un prorata des logements résidentiels et des branchements non résidentiels a été pris en compte.
Sur le réseau, il y a 124 logements résidentiels, 19 logements saisonniers équivalents à 9,5 logements permanents et 11 branchements non résidentiels sans compteur d’eau et non relevé. La consommation résidentielle est estimée par le calcul suivant :
Consommation non mesurée et facturée * nombre de logements résidentiels / (logements résidentiels + branchements non résidentiels) 
17,847 ML *((124+9,5) / ((124+9,5) + 11))= 16,488 ML.
Ce volume tenant compte de la consommation des logements saisonniers, il faut ajuster ce volume pour obtenir celui correspondant à ceux des permanents.
16,488 ML * 124 / (124+9,5) = 15,315 ML.
Art.2.2 : La consommation résidentielle par personne estimée est élevée, car la méthode d'estimation prend la consommation non résidentielle sans compteur d'eau et non relevés au même niveau que la consommation résidentielle. La différence de valeur par rapport au bilan 2018 s'explique par la mise à jour de la population desservie.
Art 2.3 : Résultat de 38 dû à une cote de 3 attribuée au volume d'eau produite, car un problème d'enregistrement des données a obligé la municipalité à estimer les données des septs premiers mois de l'année. Ce problème ne sera plus présent dans les prochains bilans.</t>
  </si>
  <si>
    <t xml:space="preserve">Art 1.6: La longueur du réseaux a varié par rapport à 2018, l' information de ce fichier (bilan 2019), provient du Plan d'intervention 2019 (mis à jour en 2020) alors qu'au bilan 2018 l'information provenait probablement d'une ancienne version du PI.
Art 1.13 : Pour calculer la consommation résidentielle, un prorata des logements résidentiels et des logements non résidentiels ont été pris en compte.
Sur le réseau, il y a 894 logements résidentiels et 44 immeubles non résidentiels et dont la consommation d'eau n'est pas mesurée par un compteur. La consommation résidentielle est estimée par le calcul suivant :
 Consommation non mesurée et facturée * nombre de logements résidentiels / (logements résidentiels  + immeubles non résidentiels) 
176,761 ML *(894 / (894+44))=168,469 ML.
Art 1.13 et Art 2.2 : La consommation résidentielle a diminué par rapport à 2018. Alors que le volume d'eau distribué a augmenté. D'une part, on peut expliquer cette diminution par le fait qu'il y a moins de logements comptabilisés en 2019 qu'en 2018. D'autre part cette diminution de la consommation résidentielle est aussi liée à l'analyse de débit de nuit, puisque la bonification des hypothèses a pour conséquence de faire augmenter les PER et diminuer la consommation résidentielle. Une troisième cause pour cette diminution est l'installation et la lecture d'un compteur d'eau en 2019 pour l'entreprise les produits S&amp;G, cela a diminué la consommation Non mesurée et facturée et donc la consommation résidentielle. Cependant la consommation résidentielle par personne estimée est encore élevée, car la méthode d'estimation prend la consommation non résidentielle sans compteur d'eau et non relevée au même niveau que la consommation résidentielle. 
Art 1.14 : L'eau distribuée a augmenté par rapport à 2018 (elle était de 252,007 ML/an). Ceci peut s'expliquer du fait que la municipalité a moins contraint ses citoyens à réduire leurs usages estivaux. De plus, il est possible que certaines fuites importantes aient apparu dans le réseau X0008781.
Art 1.15 et 2.1 : Les pertes réelles ont beaucoup augmenté par rapport à 2018, puisque la bonification des hypothèses utilisées augmente les PER. Ainsi cette année au vu des données 2019, il semblerait que le réseau présente plus de fuites que ce qui avait été conclu en 2018. On rappelle que les pertes d'eau réelle sont estimées à partir des débits de nuit minimum fournis par la municipalité; donc si le débit nuit fourni par la municipalité est élevé alors les pertes d'eau réelles estimées sont élevées. Un débit de nuit minimum élevé laisse penser la présence de fuites importantes dans le réseau.
Art 1.16 : Les pertes réelles inévitables ont augmenté par rapport à 2018, ceci est lié à l'augmentation des données pour 2019 concernant le nombre de branchements, la longueur du réseau et la pression. Puisque le nombre de branchements de service a diminué.
</t>
  </si>
  <si>
    <t xml:space="preserve">Art 1.6: La longueur du réseaux a varié par rapport à 2018, l' information de ce fichier (bilan 2019), provient du Plan d'intervention 2019 (mis à jour en 2020) alors qu'au bilan 2018 l'information provenait probablement d'une ancienne version du PI.
Art 1.13 et Art 2.2 : La consommation résidentielle estimée équivaut à la consommation non mesurée et facturée, puisque le réseau ne possède pas d'immeubles non résidentiels.
Art 1.13 et Art 2.2 : La consommation résidentielle a augmenté par rapport à 2018. Puisque l'analyse se basant sur le débit de nuit et que ce dernier a baissé par rapport à l'an passé, ainsi la consommation résidentielle augmente, mais les PER ont diminué.
Art 1.14 : La quantité d'eau distribuée à diminuer par rapport à l'an passé, car en 2018 un bris non signalé avait provoqué une augmentation de l'eau distribuée. Ainsi  cette année après réparation la quantité d'eau distribuée diminue.
Art 1.16 et 2.1 : Les pertes d'eau réelles ont diminué par rapport à 2018 puisque le débit de nuit retenu pour cette année est inférieur à celui de 2018,  puisqu'une fuite historique a été réparée. De plus l'an passé une fuite non signalée avait fait augmenter les PER et l'IFI. D'où une diminution de l'IFI cette année.
Art 2.1 : L'indice de fuites dans les infrastructures est faible puisque c'est un petit réseau résidentiel, ainsi la municipalité est capable de réparer rapidement les fuites.
</t>
  </si>
  <si>
    <t xml:space="preserve">Art.1.13 : La consommation résidentielle a été mesurée par des compteurs d'eau.
Art1.15 et Art.2.1 : Les pertes d'eau réelles ont augmenté par rapport au Bilan 2018. Cela peut s'expliquer par le fait que la consommation résidentielle a diminué comparativement à l'année 2018. Aussi, la municipalité n'a pas été en mesure d'estimer le volume consommé par les deux rinçages de réseau qu'il y a eu au courant de l'année. De ce fait, la consommation autorisée a diminué par rapport au Bilan 2018. Puisque les pertes d'eau réelles ont augmenté, l'IFI a également augmenté.
Art.1.15, Art 2.1 et Art 2.2 : Il y a une diminution de la consommation résidentielle par rapport au bilan 2018. En effet, la consommation résidentielle a été mesurée à l'aide de vieux compteurs d'eau. La lecture a directement été faite par la population et non par le personnel municipal. Aussi, la municipalité s'est rendu compte que dans les bilans précédants, plusieurs grands consommateurs du secteur non résidentiel étaient identifiés comme faisant partie du secteur résidentiel. Cela faisait en sorte que la consommation résidentielle était élevé. 
Art.2.2 : La faible consommation résidentielle a été mesurée à l’aide de compteur d’eau, mais ceux-ci sont vieux et ils n’ont ni été vérifiés ni remplacés. </t>
  </si>
  <si>
    <t>Art 1.3 : Le nombre de logements résidentiels a changé depuis 2019, car un nouveau dévelloppement a été construit
Art 1.13 et Art 2.2 : Pour calculer la consommation résidentielle, un prorata des logements résidentiels et des branchements non résidentiels a été pris en compte.
Sur le réseau, il y a 968 logements résidentiels et 74 branchements non résidentiels sans compteur d’eau et non relevé. La consommation résidentielle est estimée par le calcul suivant :
Consommation non mesurée et facturée * nombre de logements résidentiels / (logements résidentiels + branchements non résidentiels) 
156,293 ML *(968 / (968 + 74))= 145,193 ML.
Un SSC est présent sur le réseau et indique une consommation de 210,72 l/p/d.
Art 1.15 et 2.1 : La valeur des pertes d'eau réelle a doublé par rapport à 2018. La principale raison est l'installation d'un débitmètre magnétique au réservoir qui est plus précis. Le débit de nuit des années précédentes était établis par une sonde piézométrique lors de l'arrêt des pompes. Ces pertes sont donc plus représentative de la municipalité.
Art 1.14 et 2.2 :En plus des grands efforts de sensibilisation à la population, d'importants invertissements ont permis d'améliorer la validité des données, ce qui a eu pour effet de mieux réparir les pertes et la consommation résidentielle pour un portrait pus factuel de la municipalité.
Art 2.3 : L'augmentation du RVD de cette année est due au fait que le non respect des distances libres du débitmètre ne cause plus une cote de 5 pour l'eau produite.</t>
  </si>
  <si>
    <t>Art 1.13 et Art 2.2 : Pour calculer la consommation résidentielle, un prorata des logements résidentiels et des branchements non résidentiels a été pris en compte.
Sur le réseau, il y a 13 859 logements résidentiels et 78 branchements non résidentiels actifs sans compteur d’eau et non relevé. La consommation résidentielle est estimée par le calcul suivant :
Consommation non mesurée et facturée * nombre de logements résidentiels / (logements résidentiels + branchements non résidentiels actifs) 
5 698,087 ML *(13 859 / (13 859 + 78))= 5 666,197 ML.
Art.2.1 : Les pertes d'eau réelles ont été déterminées à partir du débit de nuit minimum et ce dernier est assez élevé. Les débits de nuit exportés ne correspondent pas à la journée exacte où le débit de nuit produit a été relevé, ce qui cause une imprécison de la valeur des PER. Aussi, il y a une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 Cégep, polyvalente, autre écoles, en plus d'un hopital non relevé. La relève de 2 SSC permettera de mieux estimer la consommation résidentielle au prochain Bilan.</t>
  </si>
  <si>
    <t>Art 1.13 et Art 2.2 : Pour calculer la consommation résidentielle, un prorata des logements résidentiels et des immeubles non résidentiels a été pris en compte.
Sur le réseau, il y a 273 logements résidentiels et 13 immeubles non résidentiels sans compteur d’eau et non relevé. La consommation résidentielle est estimée par le calcul suivant :
Consommation non mesurée et facturée * nombre de logements résidentiels / (logements résidentiels  + immeubles non résidentiels) 
57,051 ML *(273 / (273 + 13))= 54,458 ML.
Art 1.14 et 2.1 : Une fuite majeure a coulée pendant 30 jours durant l'hiver. Elle était difficile à atteindre à cause du gel et parce qu'elle était en bordure de la route 132. Cette fuite majeure peut expliquer la grande quantité d'eau distribuée par personne et l'IFI élevé.
Art.2.2 : La consommation résidentielle par personne estimée est élevée, car la méthode d'estimation prend la consommation non résidentielle sans compteur d'eau et non relevés au même niveau que la consommation résidentielle. 
Art.2.3 : Résultat de 35 dû à une cote de 3 attribuée au volume d'eau importée, car le débitmètre n'a pas fonctionné pendant les 6 premiers mois de l'année. Le volume non-mesuré a été estimé à l'aide des volumes connus de 2019 et 2018. Afin d'augmenter cette cote, les débitmètres devrait mesurer le débit toute l'année et être vérifié annuellement tout en s’assurant de respecter les conditions d’installation du manufacturier. L'incertitude sur le volume d'eau distribué pourrait aussi expliquer les valeurs élevées aux articles 1.14 et 2.1.</t>
  </si>
  <si>
    <t>Art 2.2 : La municipalité pourra mieux estimer la consommation résidentielle en installant des compteurs d’eau et en effectuant des relèves.</t>
  </si>
  <si>
    <t>Art.1.16 : Les pertes d'eau réelles inévitables ont augmentées par rapport au bilan 2018. En effet, deux des composantes qui permettent de calculer cette valeur ont augmentées. Le nombre de branchements de services ont augmenté, car il y a eu un prolongement de conduites et de nouveaux raccordements. Ensuite, la pression moyenne du réseau est plus représentative, car elle correpond à une moyenne des pressions statiques aux 133 poteaux d'incendies. De plus, ces données de cette année est beaucoup plus fiable que celles de l'année passée.
Art 1.13 et Art 2.2 : Pour calculer la consommation résidentielle, un prorata des logements résidentiels et des immeubles non résidentiels a été pris en compte.
Sur le réseau, il y a 1187 logements résidentiels et 45 immeubles non résidentiels sans compteur d’eau et non relevé. La consommation résidentielle est estimée par le calcul suivant :
Consommation non mesurée et facturée * nombre de logements résidentiels / (logements résidentiels  + immeubles non résidentiels) 
250,270 ML *(1187/ (1187 + 45)) = 241,129 ML.
Art.2.1 : L'indice de fuites dans les infrastructures est faible, car la municipalité est très proactive. Elle effectue présentement deux recherches de fuite sur l'ensemble du réseau et elle répare rapidement les fuites détectées. La municipalité envisage même de faire l'écoute de tous les points de contact pour détecter des fuites.
Art 2.3 : Résultat de 45 dû à une cote de 5 attribuée au volume d'eau produite, car un des débitmètres n’a pas été vérifié. Afin d'augmenter cette cote, les débitmètres devrait être vérifié annuellement tout en s’assurant de respecter les conditions d’installation du manufacturier.</t>
  </si>
  <si>
    <t xml:space="preserve">Recommandations:
Art.2.1 : Vérifier plus précisement le nombre de logements résidentiels desservis et occupés de façon permanente pour le prochain bilan.
Art.2.2 : Présentement, la consommation résidentielle est estimée par l'analyse de débits de nuit et elle est calculée au prorata du nombre de logements et du nombre d'immeubles non résidentiel. Afin d'avoir des données plus précis, la municipalité peut installer quelques compteurs d'eau dans le secteur résidentiel.
</t>
  </si>
  <si>
    <t>Art 1.4 : L’estimation 2019 du nombre de personnes par logements de statistique Canada sous-estime/surestime la population résidentielle desservie et occupée de façon permanente. Une population de 428 personnes est plus représentative.
Art 1.13 et Art 2.2 : Pour calculer la consommation résidentielle, un prorata des logements résidentiels et des immeubles non résidentiels a été pris en compte.
Sur le réseau, il y a 186 logements résidentiels et 5 immeubles non résidentiels sans compteur d’eau et non relevé. La consommation résidentielle est estimée par le calcul suivant :
Consommation non mesurée et facturée * nombre de logements résidentiels / (logements résidentiels  + immeubles non résidentiels) 
39,369 ML *(186 / (186 + 5))= 38,338 ML.
Art.1.14 : Il y a une augmentation du volume d’eau distribué par rapport au bilan 2018. Cela s'explique par le fait que le débitmètre ne mesurait pas les petits débits. En effet, tous les débits inférieurs à 20l/s n'étaient pas comptabilisés. Une reprogrammation du matériel a permis de régler ce problème.
Art.2.2 : La consommation résidentielle par personne estimée est élevée, car la méthode d'estimation prend la consommation non résidentielle sans compteur d'eau et non relevés au même niveau que la consommation résidentielle. De plus, le problème du débitmètre explique la variation de cet indicateur par rapport au bilan 2018.
Art 2.3 : Résultat de 45 dû à une cote de 5 attribuée au volume d'eau produite, car le débitmètre n’a pas été vérifiés. Afin d'augmenter cette côte, les débitmètres devrait être vérifié annuellement tout en s’assurant de respecter les conditions d’installation du manufacturier.</t>
  </si>
  <si>
    <t xml:space="preserve">Art 1.13 et Art 2.2 : Pour calculer la consommation résidentielle, un prorata des logements résidentiels et des branchements non résidentiels a été pris en compte.
Sur le réseau, il y a 69 logements résidentiels et 10 branchements non résidentiels sans compteur d’eau et non relevé. La consommation résidentielle est estimée par le calcul suivant :
Consommation non mesurée et facturée * nombre de logements résidentiels / (logements résidentiels + branchements non résidentiels) 
21,895 *(69 / (69 + 10))= 19,123 ML.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</si>
  <si>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branchements non résidentiels a été pris en compte.
Sur le réseau, il y a 151 logements résidentiels et 21 branchements non résidentiels actifs sans compteur d’eau et non relevé. La consommation résidentielle est estimée par le calcul suivant :
Consommation non mesurée et facturée * nombre de logements résidentiels / (logements résidentiels + branchements non résidentiels actifs) 
90,289 ML *(151 / (151 + 21))= 79,265 ML.
Art 1.14 : Le débit de journalier de la municipalité est passé de 290 à 170 m³/j en 2020 après réparation de fuites. Le bilan 2020 devrait offrir un volume d'eau distribuée moins important
Art.2.2 : La consommation résidentielle par personne estimée est élevée, car la méthode d'estimation prend la consommation non résidentielle sans compteur d'eau et non relevés au même niveau que la consommation résidentielle. 14 fermes sont présentes sur le réseau.</t>
  </si>
  <si>
    <t xml:space="preserve">Art 1.13 et Art 2.2 : Pour calculer la consommation résidentielle, un prorata des logements résidentiels et des branchements non résidentiels a été pris en compte.
Sur le réseau, il y a 391 logements résidentiels et 47 branchements non résidentiels actifs sans compteur d’eau et non relevé. La consommation résidentielle est estimée par le calcul suivant :
Consommation non mesurée et facturée * nombre de logements résidentiels / (logements résidentiels + branchements non résidentiels actifs) 
110,855 ML *(391 / (391 + 47))= 98,960 ML.
Art.2.2 : La consommation résidentielle par personne estimée est élevée, car la méthode d'estimation prend la consommation non résidentielle sans compteur d'eau et non relevés au même niveau que la consommation résidentielle. </t>
  </si>
  <si>
    <t>Art 1.3 : Il y a eu erreur concernant le nombre de logements dans les formulaires antérieurs, le nombre de logements 2019 est la valeur corrigée soit 18 334 logements desservis et occupés de façon permanente
Art 1.13 et 2.2: La consommation résidentielle est estimée avec les relèves 2019 de l’échantillon des 128 compteurs résidentiels. La consommation résidentielle par personne estimée est élevée, car la méthode d'estimation prend la consommation non résidentielle sans compteur d'eau et non relevés au même niveau que la consommation résidentielle. 
Art 2.1 : l'IFI est différent du Bilan 2018, car la méthode utilisée dans le dernier Bilan était de fixer la consommation non mesurée à 235 l/pd. Cette année, la relève des compteurs nous permet d'utiliser des données de consommation réelles et de fournir un portrait de la ville plus fidèle.</t>
  </si>
  <si>
    <t xml:space="preserve">Art 1.13 et Art 2.2 : Pour calculer la consommation résidentielle, un prorata des logements résidentiels et des branchements non résidentiels a été pris en compte.
Sur le réseau, il y a 563 logements résidentiels et 563 branchements non résidentiels actifs sans compteur d’eau et non relevé. La consommation résidentielle est estimée par le calcul suivant :
Consommation non mesurée et facturée * nombre de logements résidentiels / (logements résidentiels + branchements non résidentiels actifs) 
203,511 ML *(563 / (563 + 45))= 188,449 ML.
Art 1.15 et 2.1 : Le débit de nuit de la municipalité est passé de 33 à 25 m³/h après la réparation des 2 fuites en janvier 2020. Cependant, la municipalité n'a pas d'enregistreur de données, alors cette information est le débit de nuit instantané à 10h le matin. Cette fuite était déjà présente sur le réseau lors de la vérification de la précision du débitmètre, ce qui explique le débit de nuit élevé et les PER et l'IFI élevés.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</si>
  <si>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272 logements résidentiels et 12 branchements non résidentiels sans compteur d’eau et non relevé. La consommation résidentielle est estimée par le calcul suivant :
Consommation non mesurée et facturée * nombre de logements résidentiels / (logements résidentiels + branchements non résidentiels) 
33,895 ML *(272 / (272 + 12))= 32,46 ML.
</t>
  </si>
  <si>
    <t xml:space="preserve">Art 1.9 : La pression est élevée puisque la région est vallonneuse, et la municipalité a donc besoin d'une pression d'eau plus grande. De plus, la pression a été mesurée à la sortie du réservoir. La valeur indiquée surestime donc probablement la pression moyenne dans le réseau. 
Art 1.13 et Art 2.2 : Pour calculer la consommation résidentielle, un prorata des logements résidentiels et des branchements non résidentiels a été pris en compte.
Sur le réseau, il y a 1 237 logements résidentiels et 34 branchements non résidentiels actifs sans compteur d’eau et non relevé. La consommation résidentielle est estimée par le calcul suivant :
Consommation non mesurée et facturée * nombre de logements résidentiels / (logements résidentiels + branchements non résidentiels actifs) 
206,007 ML *(1 237 / (1 237 + 34)) = 200,496 ML.
Art 2.3 : Résultat de 49 dû à une cote de 5 attribuée au volume d'eau produite/importée/exportée, car le débitmètre n’a pas été vérifiés. Afin d'augmenter cette cote, les débitmètres devrait être vérifié annuellement tout en s’assurant de respecter les conditions d’installation du manufacturier.
</t>
  </si>
  <si>
    <t xml:space="preserve">Art 1.13 et Art 2.2 : Pour calculer la consommation résidentielle, un prorata des logements résidentiels et des branchements non résidentiels a été pris en compte.
Sur le réseau, il y a 4 247 logements résidentiels et 269 branchements non résidentiels sans compteur d’eau et non relevé. La consommation résidentielle est estimée par le calcul suivant :
Consommation non mesurée et facturée * nombre de logements résidentiels / (logements résidentiels + branchements non résidentiels) 
1 011,509 ML *(4 247 / (4 247 + 269))= 951,257 ML.
Art.1.13, 1.15 et 2.1 : Les pertes d’eau réelles ont augmenté par rapport au bilan 2018 (307,330 ML). Cette différence provient de la mise à jour du débit de nuit car c'est le débit de nuit de 2017 qui a été utilisé pour le bilan 2018. De plus, le débit de nuit du bilan 2019 provient d'une seule jounée du mois d'août ce qui peut expliquer cette augmentation. Cette augmentation influence directement la consommation résidentielle estimée et l'indice de fuites dans les infrastructures.
Art.2.2 : La consommation résidentielle par personne estimée est élevée, car la méthode d'estimation prend la consommation non résidentielle sans compteur d'eau et non relevés au même niveau que la consommation résidentielle. </t>
  </si>
  <si>
    <t>La municipalité pourra mieux estimer la consommation résidentielle en installant des compteurs d’eau et en effectuant des relèves.
Il est recommandé d'avoir plusieurs données de débit de nuit afin de ne pas surestimer les pertes. Il est donc recommandé d'installer un enregistreur de données afin de fiabiliser davantage l'analyse. De nouvelles données de débit de nuit seront nécessaire pour le bilan 2020.</t>
  </si>
  <si>
    <t xml:space="preserve">Art 1.13 et Art 2.2 : Pour calculer la consommation résidentielle, un prorata des logements résidentiels et des branchements non résidentiels a été pris en compte.
Sur le réseau, il y a 232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61,651 ML *(232 / (232 + 9))= 59,348 ML.
Art.1.14 :Il y a une diminution du volume d’eau distribué par rapport au bilan 2018. 2 fuites ont été réparées durant l’année 2018/2019. Ceci a diminué les pertes d’eau réelles et l’eau distribuée. </t>
  </si>
  <si>
    <t>Art 1.13 et Art 2.2 : Pour calculer la consommation résidentielle, un prorata des logements résidentiels et des logements non résidentiels a été pris en compte.
Sur le réseau, il y a 2093 logements résidentiels et 98 immeubles non résidentiels. La consommation résidentielle est estimée par le calcul suivant :
 Consommation non mesurée et facturée * nombre de logements résidentiels / (logements résidentiels  + immeubles non résidentiels) 
278,886 ML *(2093/ (2093+98))= 266,412 ML.
Art 1.14 : L'eau distribuée a diminué par rapport à 2018 (805,273 ML/an). Ceci peut s'expliquer par le fait que le débitmètre n’a pas été vérifié. Par conséquent, l’erreur associée au volume d’eau distribué n’est pas connuue.
Art.1.15 : Les pertes d’eau réelles ont augmenté par rapport au bilan 2018. La municipalité est au courant de cette augmentation et travaillera dans ce sens afin de découvrir la raison de ce changement et poser des actions pour régler cela. 
Art 1.16 : Les pertes d'eau réelles inévitables ont augmenté par rapport à 2018 (47,990 ML/an), puisque les données de longueur du réseau, de nombre de branchements de services ainsi que de pression ont toutes été revues à la hausse en 2019 par rapport à celles de 2018. De ce fait, il y a eu une augmentation des pertes d'eau réelles inévitables
Art 2.2 : La consommation résidentielle a diminué par rapport à 2018. Ceci peut s'expliquer par le fait que les pertes d'eau réelles ont augmenté par rapport à 2018 et que l'eau distribuée a diminué. Aussi, la consommation non résidentielle a beaucoup augmenté de 2018 à 2019.
Art 2.3 : Résultat de 46 dû à une cote de 5 attribuée au volume d'eau produit, car le débitmètre n’a pas été vérifié. Afin d'augmenter cette cote, les débitmètres devraient être vérifiés annuellement tout en s’assurant de respecter les conditions d’installation du manufacturier.</t>
  </si>
  <si>
    <t>Art 1.13 et Art 2.2 : Pour calculer la consommation résidentielle, seule la consommation non mesurée et facturée est prise en compte puisque ce réseau est exclusivement résidentiel.
Art 1.14 : L'eau distribuée a diminué par rapport à 2018 (9,083 ML/an). Ceci peut s'expliques du fait que la municipalité a réparé beaucoup de fuites en 2018 et 2019, ainsi certaines pertes d'eau on dû être éradiquée. De plus les petits réseaux sont plus sujets à des variations de consommation. Il est aussi possible que le secteur résidentiel à moins consommer qu'en 2018.
Art 2.2: La consommation résidentielle a diminué par rapport à 2018, puisque l'eau distribuée a diminué. Il est possible que le secteur résidentiel ait moins consommé qu'en 2018. De plus les fuites réparées depuis 2018 peuvent influencer sur cet indicateur puisque la méthode de débit de nuit est utilisée.</t>
  </si>
  <si>
    <t xml:space="preserve">Art 1.3 : La municipalité a confirmé qu'il n'y a pas eu de changement dans le nombre de logements.
Art 1.13 et Art 2.2 : Pour calculer la consommation résidentielle, un prorata des logements résidentiels et des branchements non résidentiels a été pris en compte.
Sur le réseau, il y a 143 logements résidentiels et 16 branchements non résidentiels actifs sans compteur d’eau et non relevé. La consommation résidentielle est estimée par le calcul suivant :
Consommation non mesurée et facturée * nombre de logements résidentiels / (logements résidentiels + branchements non résidentiels actifs) 
41,337 ML *(143 / (143 + 16))= 37,1773 ML.
Art.1.14 et 2.2 : Il y a une augmentation  du volume d’eau distribué (11%) et de la consommation résidentielle (19%) par rapport au bilan 2018. Comme le nombre de logements et le brachement restent le même et qu'il n'y a pas eu des fuites importantes, il est possible que les citoyens ou le secteur non-résidentiel ont juste consommé plus en année 2019. </t>
  </si>
  <si>
    <t>Art. 1.4 : Le statique 2019 représente bien pers/log malgré la variation entre 2018 et 2019.
Art.1.14 : Il y a une diminution du volume d’eau distribué par rapport au bilan 2018. 3 fuites ont été réparées durant l’année 2018/2019. Ceci a diminué les pertes d’eau réelles et l’eau distribuée. 
Art 1.13 et Art 2.2 : M. Jean-Paul Lemay (RIALEC) a confirmé qu'il y a une divergence entre volume d'eau produit et relevé avec compteur par la municipalité. La consommation résidentielle a été estimée comme s'il n'y a pas de compteur dans la municipalité. Pour calculer la consommation résidentielle, un prorata des logements résidentiels et des branchements non résidentiels a été pris en compte.
Sur le réseau, il y a 449 logements résidentiels et 62 branchements non résidentiels actifs sans compteur d’eau et non relevé. La consommation résidentielle est estimée par le calcul suivant :
Consommation non mesurée et facturée * nombre de logements résidentiels / (logements résidentiels + branchements non résidentiels actifs) 
74,816*(423/(423+62)) = 65,252 ML</t>
  </si>
  <si>
    <t>Art 1.3 : Les immeubles résidentiels sont seulement des maisons unifamiliales (Logements = Immeubles). 
Art 1.13 et Art 2.2 : Pour calculer la consommation résidentielle, un prorata des logements résidentiels et des branchements non résidentiels a été pris en compte.
Sur le réseau, il y a 230 logements résidentiels et 16 branchements non résidentiels sans compteur d’eau et non relevé. La consommation résidentielle est estimée par le calcul suivant :
Consommation non mesurée et facturée * nombre de logements résidentiels / (logements résidentiels + branchements non résidentiels) 
47,285 ML *(230 / (230 + 16))= 44,210 ML.
Art.1.14 : Il y a une diminution du volume d’eau distribué par rapport au bilan 2018. La réparation d'une fuite majeure en novembre 2018 a fait passé le débit de nuit de 8,5 m3/h à 1,944 m3/h. Ceci peut aussi expliquer la baisse des PER par rapport à 2018 (63,510 ML).
Art.2.2 : La consommation résidentielle par personne estimée est élevée, car la méthode d'estimation prend la consommation non résidentielle sans compteur d'eau et non relevés au même niveau que la consommation résidentielle.  La variation de la consommation résidentielle par rapport à 2018 peut être expliqué par une meilleure estimation du débit de nuit. En 2019, le débit de nuit de toute l'année a été utilisée, ce qui donne une meilleure idée de la situation réelle sur le réseau.</t>
  </si>
  <si>
    <t xml:space="preserve">Art 1.13 et Art 2.2 : Pour calculer la consommation résidentielle, un prorata des logements résidentiels et des branchements non résidentiels a été pris en compte.
Sur le réseau, il y a 262 logements résidentiels et 26 branchements non résidentiels sans compteur d’eau et non relevé. La consommation résidentielle est estimée par le calcul suivant :
Consommation non mesurée et facturée * nombre de logements résidentiels / (logements résidentiels + branchements non résidentiels) 
45,639 ML *(262 / (262 + 26))= 41,519 ML.
Art. 1.13 et 1.15 : L'augmentation importante du débit de nuit explique la diminution de la consommation résidentielle estimée et l'augmentation de l'indice de fuite dans les infrastructures.
Art.1.14 : Il y a une augmentation du volume d’eau distribué par rapport au bilan 2018. Cela s'explique par l'apparition de bris importants en 2019.
Art. 1.16 : L'augmentation volontaire de la pression par la municipalité explique l'augmentation des pertes d'eau réelles inévitables.
Art. 2.1 et 2.2 : L'augmentation du débit de nuit explique la forte augmentation de l'IFI et la diminution de la consommation résidentielle estimée. Cette augmentation du débit de nuit par rapport au bilan 2018 laisse penser que la donnée de 2018 était erronée.
Art.2.2 : La consommation résidentielle par personne estimée est élevée, car la méthode d'estimation prend la consommation non résidentielle sans compteur d'eau et non relevés au même niveau que la consommation résidentielle. 
</t>
  </si>
  <si>
    <t>La municipalité pourra mieux estimer la consommation résidentielle en installant des compteurs d’eau et en effectuant des relèves.
La variation du débit de nuit étant très importante, il est recommandé de faire une analyse poussée sur les consommation de nuit.</t>
  </si>
  <si>
    <t>Art. 1.10 : La municipalité a confirmé qu'elle a mal répondu pour le bilan 2018.
Art 1.13 et Art 2.2 : Pour calculer la consommation résidentielle, un prorata des logements résidentiels et des branchements non résidentiels a été pris en compte.
Sur le réseau, il y a 386 logements résidentiels et 82 branchements non résidentiels actifs sans compteur d’eau et non relevé. La consommation résidentielle est estimée par le calcul suivant :
Consommation non mesurée et facturée * nombre de logements résidentiels / (logements résidentiels + branchements non résidentiels actifs) 
99,284 ML *(386 / (386 + 82))= 81,8881 ML.
Art. 1.5 et 2.1 : Les pertes d’eau réelles ont augmenté par rapport au bilan 2018 (augmentation de 16 ML). La municipalité a confirmé qu'il y a eu des grosses fuites depuis janvier jusqu'en avril. Ceux-ci ont été réparées en avril 2019.
Art 1.6 : Une légère diminution de PERI peut s'expliquer par la différene des donnée dans le réseau de la municipalité. En effet, la longueur de conduite, le nombre de branchement ont augmenté tandis que la pression a diminué, ce qui fait au final diminuer la valeur de PERI.
Art 2.2 : Il y a une diminution de la consommation résidentielle par rapport au bilan 2018 (diminution de 90ML). La municipalité a augmenté le nombre de compteurs d'eau (100% non résidentiel, 20 échantillons côté résidentiel) et a fait plusieurs actions afin de sensibiliser les citoyens.</t>
  </si>
  <si>
    <t xml:space="preserve">Art 1.4 : L’estimation 2019 du nombre de personnes par logements de statistique Canada sous-estime la population résidentielle desservie et occupée de façon permanente. Une population de 1 993 personnes est plus représentative.
Art 1.13 et Art 2.2 : Pour calculer la consommation résidentielle, un prorata des logements résidentiels et des branchements non résidentiels a été pris en compte.
Sur le réseau, il y a 581 logements résidentiels et 29 branchements non résidentiels sans compteur d’eau et non relevé. La consommation résidentielle est estimée par le calcul suivant :
Consommation non mesurée et facturée * nombre de logements résidentiels / (logements résidentiels + branchements non résidentiels) 
127,740 ML *(581 / (581 + 29))= 121,667 ML.
Art.2.1 : L'indice de fuites dans les infrastructures dépasse l'objectif. Les pertes d'eau réelles ont été déterminées à partir du débit de nuit minimum et ce dernier est assez élevé. 
</t>
  </si>
  <si>
    <t xml:space="preserve">Art 1.13 et Art 2.2 : Pour calculer la consommation résidentielle, un prorata des logements résidentiels et des branchements non résidentiels a été pris en compte.
Sur le réseau, il y a 1 452 logements résidentiels et 129 branchements non résidentiels actifs sans compteur d’eau et non relevé. La consommation résidentielle est estimée par le calcul suivant :
Consommation non mesurée et facturée * nombre de logements résidentiels / (logements résidentiels + branchements non résidentiels actifs) 
508,092 ML *(1 452 / (1 452 + 129))= 466,632 ML.
Art 1.14 : Hausse de la quantité d'eau distribuée par personne. Aucune raison appartente pour justifier cette hausse. Cet indicateur est à surveiller au prochain bilan. 
Art.2.2 : La consommation résidentielle par personne estimée est élevée, car la méthode d'estimation prend la consommation non résidentielle sans compteur d'eau et non relevés au même niveau que la consommation résidentielle.  Il y a une hausse de la consommation résidentielle par rapport au bilan 2018. En effet, la bonification des hypothèses utilisées pour l’estimation des pertes d’eau réelles a entrainé une baisse des pertes d’eau et par conséquent une hausse de la consommation résidentielle. Cette dernière sera mieux évaluée lorsque l'échantillon de compteurs d'eau sera relevé. 
Art 2.1 : Baisse de l'IFI causée par une meilleure estimation des PER grâce à l'analyse de débit de nuit 2019 et grâce à la réparation de nombreuses fuites sur le réseau. 
</t>
  </si>
  <si>
    <t xml:space="preserve">Art 1.13 et Art 2.2 : Pour calculer la consommation résidentielle, un prorata des logements résidentiels et des logements non résidentiels a été pris en compte.
Sur le réseau, il y a 429 logements résidentiels et 31 immeubles non résidentiels. La consommation résidentielle est estimée par le calcul suivant :
 Consommation non mesurée et facturée * nombre de logements résidentiels / (logements résidentiels  + immeubles non résidentiels) 
46,901 ML *(429/ (429+31))= 43,740 ML.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</si>
  <si>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Note : À cause d'un problème de lecture du débitmètre, 180 jours de 2019 sont manquants ou erronés et uniquement un débit de nuit est disponible pour l'année. Les valeurs de ce bilan ne sont potentiellement pas représentatives de la situation réelle de la municipalité. 
Art.1.6 : La longueur du réseau a augmenté par rapport au bilan 2018 (5 804 m). Seulement la longueur des conduites de distribution avait été considérée en 2018. En 2019, les conduites d'alimentation et de distribution ont été considérées, ce qui explique l'augmentation.
Art 1.13 et Art 2.2 : Pour calculer la consommation résidentielle, un prorata des logements résidentiels et des branchements non résidentiels a été pris en compte.
Sur le réseau, il y a 339 logements résidentiels et 29 branchements non résidentiels actifs sans compteur d’eau et non relevé. La consommation résidentielle est estimée par le calcul suivant :
Consommation non mesurée et facturée * nombre de logements résidentiels / (logements résidentiels + branchements non résidentiels actifs) 
34,778 ML *(339 / (339 + 29))= 32,037 ML.
Les variations suivantes peuvent être expliquées par l'incertitude sur les données 2019. La qualité de la donnée est à prendre en considération lors de leur analyse:
Art.1.14 : Il y a une augmentation du volume d’eau distribué par rapport au bilan 2018 (44,210 ML).
Art.1.15 : Il y a une augmentation des PER par rapport au bilan 2018 (8,760 ML).
Art.1.16 : La variation des PERI par rapport à 2018 peut s'expliquer par la bonification de la donnée de la longueur du réseau.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t>
  </si>
  <si>
    <t xml:space="preserve">Note : Afin d’avoir des données volumétriques représentatives, il est recommandé d’installer un enregistreur de données sur le débitmètre à la distribution. Ceci permettrait de mesurer le débit de nuit minimum sur l’ensemble de l’année et d’estimer les PER annuelles. </t>
  </si>
  <si>
    <t xml:space="preserve">
Art 1.13 et Art 2.2 : L'augmentation de consommation résidentielle pourrait s'expliquer par la consommation plus élevé en 2019 dans le secteur non-résidentiel. Comme il n'y a pas de compteur d'eau installé dans les deux municipalités, il est mis comme hypothèse que secteur ICI consomme au même niveau que le secteur résidentiel.
Pour calculer la consommation résidentielle, un prorata des logements résidentiels et des branchements non résidentiels a été pris en compte.
Sur le réseau, il y a 1 372 logements résidentiels et 110 (Métabet + St gédéon) branchements non résidentiels actifs sans compteur d’eau et non relevé. La consommation résidentielle est estimée par le calcul suivant : Consommation non mesurée et facturée * nombre de logements résidentiels / (logements résidentiels + branchements non résidentiels actifs) 
625,067*(1372/(1372+110) =  603,938 ML.
Art. 1.14 : L'augmentation du volume d'eau distribuée est probablement causée par plusieurs fuites, qui ont été réparées en 2019.
Art. 1.9 : La pression a été mesurée au poste de pression.
Art 2.1 : Débit de nuit 2019 plus élevé que l'année 2018 (environ 10m3/h plus eleve). En effet, la municipalité a confirmé qu'il y a eu plusieurs fuites qui ont été reparées en 2019.
Art 2.3 : Résultat de 45 dû à une cote de 5 attribuée au volume d'eau produite/importée/exportée, car la vérification des débitmètres n'a pas été effectuée pour l'année 2019.
Entente de compilation de données pour un réseau de distribution commun :
Municipalité exportatrice : Saint-Gédéon (93035)
Municipalité importatrice : Métabétchouan-Lac-à-la-Croix (93012)
Saint-Gédéon : 909 log, 2,28 pers/log, 2071 pers
Métabétchouan-Lac-à-la-Croix : 463 log, 2,25 pers/log, 1042 pers
Longueur du réseau de Saint-Gédéon : 46 172 m
Longueur du réseau de Métabétchouan-Lac-à-la-Croix : 17 358 m
Indice de fuites dans les infrastructures (IFI) du réseau commun : 4,2
Contrôle actif des fuites (localisation et réparation) : non
Consommation résidentielle estimée pour ce réseau commun : 503 l/pers/d
Eau distribuée pour ce réseau commun : 884,746 l/pers/d
Installation de compteurs d’eau à la consommation requise : non
Résultat de validité des données de l’audit de l’eau AWWA : 44</t>
  </si>
  <si>
    <t xml:space="preserve">Art.1.13 : La consommation résidentielle a été mesurée par des compteurs d'eau.
Art 1.15 &amp; 2.1 : On observe une hausse de l'IFI entre 2018 et 2019. La municiplaité a réparé une fuite importante en 2019 qui a mené à une baisse notable du volume pompé.
Art 2.2 : La consommation résidentielle a diminué entre 2018 et 2019. La municiplaité a réalisé de nombreuses actions pour de la sensibilisation citoyenne, dont une distribution de pastilles colorées afin de détecter les fuites dans les toilettes pour les logements qui semlent avoir une consommation résidentielle élevée. 
Art 1.14 : La baisse de la quantité d'eau distribuée s'explique par la baisse de l'IFI ainsi que la baisse de la consommation résidentielle. Ces variations sont justifiées ci-dessus. </t>
  </si>
  <si>
    <t>Art 1.13 et Art 2.2 : Pour calculer la consommation résidentielle, un prorata des logements résidentiels et des immeubles non résidentiels a été pris en compte.
Sur le réseau, il y a 12 514 logements résidentiels et 33 immeubles non résidentiels sans compteur d’eau et non relevé. La consommation résidentielle est estimée par le calcul suivant :
Consommation non mesurée et facturée * nombre de logements résidentiels / (logements résidentiels  + immeubles non résidentiels) 
2 203,533 ML *(12 514 / (12 514 + 48)) = 2 195,113 ML.
Art 1.15 : En 2019, il y a eu plus d'eau distribuée et moins de consommation qu'en 2018.
Art 1.16 : Les PERI ont fortement variées par rapport au Bilan 2018 car le nombre de branchements de service a été révisé à la baisse.</t>
  </si>
  <si>
    <t>Art 1.4 : L’estimation 2019 du nombre de personnes par logements de statistique Canada surestime la population résidentielle desservie et occupée de façon permanente. Une population de 3 578 personnes est plus représentative.
Art.1.13 : La consommation résidentielle a été mesurée par des compteurs d'eau.</t>
  </si>
  <si>
    <t xml:space="preserve">Art 1.13 et Art 2.2 : Il est à noter que la lecture de compteur a été réalisée une partie par les gens engagées par la municipalité et d'autres par les consommateurs qui envoient sa consommation à la municipalité. 
Volume total consommé : 137,1 ML
Volume non résidentiel consommé : 23,469ML
Donc, la consommation résidentielle est calculée comme suit :
137,1 - 23,469 = 113,631ML 
Art.1.14 : Il y a une diminution du volume d’eau distribué par rapport au bilan 2018. 3 fuites ont été réparées durant l’année 2018/2019. Ceci a diminué les pertes d’eau réelles et l’eau distribuée. 
Art 2.1: Il y a eu 3 bris d'aqueduc en 2018 dont un bris majeur pour lequel beaucoup d'eau a été perdu.  Toutes les fuites sont mainenant bien réparées et les débit minimum de nuit ont considérablement baisser pour 2019. les 2 autres fuites ont pris plusieurs mois à être localisées. Pas de relève de bâtiments municipaux. Le débit de nuit de la municipalité indique maintenant un IFI de 1,6 (3,2 en 2018).
Art 2.2 : La municipalité a confirmé qu'une partie de compteur d'eau est rélevée par les gens engagées par la municipalité et d'autres par les consommateurs qui envoient sa consommation à la municipalité. Il est très probable que, pour l'année 2018, il y avait une partie de donnée qui a été extrapolée ou estimée à cause de mauvaise lecture des compteurs par les consommateurs résidentels. Donc, l'augmentaion de 16% devrait être considérée comme une variation causée par l'imprécision de lecture de compteur d'eau. De plus, à cause de COVID, la municipalité se fiait plus, pour l'année 2020, aux valeurs de consommateurs que celles rélevées par personnels engagés par la municipalité ( il était difficile à visiter chaque résidence à cause de virus). La consommation de l'année 2020 est à surveiller parce que, certainement, il faudrait extrapoler ou estimer une partie de la consommation résidentielle.
</t>
  </si>
  <si>
    <t xml:space="preserve">Art 1.13 et Art 2.2 : Pour calculer la consommation résidentielle, un prorata des logements résidentiels et des branchements non résidentiels a été pris en compte.
Sur le réseau, il y a 689 logements résidentiels et 32 branchements non résidentiels sans compteur d’eau et non relevé. La consommation résidentielle est estimée par le calcul suivant :
Consommation non mesurée et facturée * nombre de logements résidentiels / (logements résidentiels + branchements non résidentiels) 
134,32*(689/(689+32)) = 128,359 ML
Art 1.9 : La pression a été mesurée à l'usine seulement. La valeur de 67 m ne représente pas la pression moyen du réseau.
Art 2.1 : La municipalité a confirmé que le débit de nuit est de 0,6 l/s pour l'année 2019, entre 2h et 4h. Comme l'indicateur IFI est très basse, 0 l/s de consommation du secteur résidentiel et non-résidentiel a été mis comme hypothèse pour évaluer la perte réelle.
</t>
  </si>
  <si>
    <t>Il est recommandé de s’assurer que le débitmètre soit bien dimensionné pour lire les débits faibles.</t>
  </si>
  <si>
    <t xml:space="preserve">Art.1.13 : La consommation résidentielle a été mesurée par des compteurs d'eau. La municipalité est équipée de compteurs d'eau à 100% et les relève anuellement.
Art.1.13 : La municipalité a mieux divisé la consommation selon le type d'usager par rapport à 2018. Ceci résulte en une hausse de la consommation résidentielle et une baisse de la consommation non résidentielle. 
Art.1.15 : Les pertes d’eau réelles ont augmenté par rapport au bilan 2018 (7,696 ML). Une erreur avait été faite en 2018 lors de la relève des compteurs. </t>
  </si>
  <si>
    <t xml:space="preserve">Art.1.13 : La consommation résidentielle a été mesurée par des compteurs d'eau. La municipalité est équipée de compteurs d'eau à 100% et les relève anuellement.
Art.1.13 : La municipalité a mieux divisé la consommation selon le type d'usager par rapport à 2018. Ceci résulte en une hausse de la consommation résidentielle et une baisse de la consommation non résidentielle. </t>
  </si>
  <si>
    <t>Art 2.1: L'IFI est inférieur à la valeur de 1. Ceci s'explique par la petite taille du réseau et le fait que la pression moyenne du réseau a été prise à la sortie du réservoir. De plus, 5 fuites ont été réparées sur le réseau de conduites. Pertes d'eau réelles très faibles. Les pertes d'eau apparentes ont été incluent avec les pertes d'eau réelles.
Art 2.2 et 2.3 : La disparité entre l'eau distribuée et la consommation résidentielle est expliquée par la consommation mesurée non-résidentielle élevée qui est composée entre autre par l'usine Olymel qui a consommé 248,180ML à elle seule en 2019.</t>
  </si>
  <si>
    <t>### Les valeurs des SSC n'ont pu être utilisées pour ce bilan du fait que celui-ci ne rencontrait pas toutes les exigences imposées. La finalisation de ces installations permettra dès l'an prochain d'utiliser les données collectées. En attendant, c'est la méthode des débits de nuit qui a été utilisée. Ce changement de méthode engendre donc des différences de résultat majeures entre le bilan de 2018 et ce bilan. De plus, la bonification du nombre de logement et du nombre de personnes desservies de manière permanente accentue ces différences. Le fais d'enlever les saisonniers du bilan a donc un rôle majeur dans les différences observées###
Art 1.3 : Il y a eu erreur concernant le nombre de logements dans les formulaires antérieurs, le nombre de logements 2019 est la valeur corrigée soit 333 logements desservis et occupés de façon permanente. Ce nombre provient du rapport de taxation et il est plus représentatif que celui présent dans les bilans antérieurs qui prenait en compte les logements non permanent.
Art 1.4 : L’estimation 2019 du nombre de personnes par logements de statistique Canada sous-estime/surestime la population résidentielle desservie et occupée de façon permanente. Une population de 926 personnes est plus représentative.
Art 1.13 et Art 2.2 : Pour calculer la consommation résidentielle, un prorata des logements résidentiels et des branchements non résidentiels a été pris en compte.
Sur le réseau, il y a 331 logements résidentiels et 22 branchements non résidentiels sans compteur d’eau et non relevé. La consommation résidentielle est estimée par le calcul suivant :
Consommation non mesurée et facturée * nombre de logements résidentiels / (logements résidentiels + branchements non résidentiels) 
76,8 ML *(331 / (331 + 22))= 72,014 ML.
À ce volume il est important d'ajouter le volume mesuré par compteur d'eau dans les deux logements équipés : 72,014 + 0,259 + 0,46 = 72,319 ML.
Art. 1.14 : Le volume d'eau a augmenté du fait de la présence de fuites majeures pendant l'année qui ont été réparées et du fait d'une canicule.
Art. 1.16 : Les pertes d'eau réelles inévitables ont augmentées du fait de la variation de la pression. L'augmentation de la pression peut provenir de la réparation de fuite.</t>
  </si>
  <si>
    <t xml:space="preserve">Art 1.13 et Art 2.2 : Pour calculer la consommation résidentielle, un prorata des logements résidentiels et des immeubles non résidentiels a été pris en compte.
Sur le réseau, il y a 28 logements résidentiels et 6 immeubles non résidentiels sans compteur d’eau et non relevé. La consommation résidentielle est estimée par le calcul suivant :
Consommation non mesurée et facturée * nombre de logements résidentiels / (logements résidentiels  + immeubles non résidentiels) 
6,991 ML *(28 / (28 + 6))= 5,757 ML.
Art.1.15 et 2,1 : L'écart entre les pertes d'eau réelles 2018 et 2019 s'explique par la bonification des hypothèses utilisées. Les consommations de nuit utilisées ont été mises à jour afin de mieux estimer les pertes d’eau réelles à partir du débit de nuit minimum.De plus, il est difficile d'estimer les pertes d'eau réelles à partir du débit de nuit minimum, car les données sont trop éparpillées (données très élevées et données trop faibles).
Art 2.2 : Il y a une augmentation la consommation résidentielle par rapport au bilan 2018. En effet, la bonification des hypothèses utilisées pour l’estimation des pertes d’eau réelles a entrainé une diminution des pertes d’eau et par conséquent une hausse de la consommation résidentielle. </t>
  </si>
  <si>
    <t xml:space="preserve">Art 1.13 et Art 2.2 : Pour calculer la consommation résidentielle, un prorata des logements résidentiels et des branchements non résidentiels a été pris en compte.
Sur le réseau, il y a 284 logements résidentiels et 43 branchements non résidentiels actifs sans compteur d’eau et non relevé. La consommation résidentielle est estimée par le calcul suivant :
Consommation non mesurée et facturée * nombre de logements résidentiels / (logements résidentiels + branchements non résidentiels actifs) 
61,051 ML *(284 / (284 + 43))= 53,023 ML. 
</t>
  </si>
  <si>
    <t>Art 2.2  La municipalité pourrait mieux estimer la consommation résidentielle en installant des compteurs d’eau et en effectuant des relèves.</t>
  </si>
  <si>
    <t>Art 1.13 et Art 2.2 : Pour calculer la consommation résidentielle, un prorata des logements résidentiels et des branchements non résidentiels a été pris en compte.
Sur le réseau, il y a 79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22,045 ML *(79 / (79 + 13))= 18,930 ML.
On note que parmi les 13 branchements non résidentiels il y a 6 compteurs d'eau non relevés. Comme le volume d'eau mesuré par ces 6 compteurs n'est pas disponible, on considère donc (dans ce calcul uniquement) qu'il n'y a pas de compteurs dans le non résidentiel. Ainsi on pose l'hypothèse que la consommation d'un logement est la même que la consommation d'un branchement non résidentiel. Cette hypothèse peut donc surestimer la consommation résidentielle et par conséquent la consommation par personne par jour.
Art.1.14 : Il y a une augmentation du volume d’eau distribué par rapport au bilan 2018. Il est passé de 21,552 ML en 2018 à 24,097 ML en 2019. On peut expliquer cela par l'existence d'une purge qui est activée manuellement et dont le volume purgé n'est pas connu. Le volume de cette purge est inclus dans la consommation non mesurée non facturée, car ce volume est inconnu. De plus, il s'agit d'une petite municipalité et donc la consommation varie beaucoup.
Art.1.15 : Les pertes d’eau réelles ont diminué par rapport au bilan 2018 (0,499 ML) en passant de 2,190 ML en 2018 à 1,691 ML en 2019. On sait que les pertes d'eau en 2018 ont été estimées à partir du débit de nuit de 2017, or une fuite a été réparée en 2017 et une autre en 2019 cela peut donc expliquer la diminution des pertes d'eau réelles et par conséquent une diminution de l'IFI (car les PERI n'ont pas été modifiées).
Art.2.1 : L'indice de fuites dans les infrastructures est faible, car le réseau est petit. La municipalité peut donc détecter rapidement l’apparition des fuites avec l’analyse de débits de nuit. Elle peut ensuite les localiser et les réparer rapidement. 
Art.2.2 : La consommation résidentielle par personne estimée est élevée, car la méthode d'estimation prend la consommation non résidentielle sans compteur d'eau et non relevés au même niveau que la consommation résidentielle. De plus le volume sortant de la purge est inconnu il est donc inclut dans la consommation résidentielle. Il y a une augmentation de la consommation résidentielle par personne par jour par rapport à 2018, car le volume d'eau distribué en 2019 est plus élevé qu'en 2018.</t>
  </si>
  <si>
    <t xml:space="preserve">Art. 1.7 : Le nombre de branchement a été mis à jour en 2019 ce qui explique la variation avec le bilan 2018.
Art. 1.9 : La pression de ce bilan est la pression en sortie des puits. Celle-ci est plus basse que celle de l'an dernier car les puits sont plus haut que le réseau.
Art 1.13 et Art 2.2 : Pour calculer la consommation résidentielle, un prorata des logements résidentiels et des branchements non résidentiels a été pris en compte.
Sur le réseau, il y a 2 428 logements résidentiels et 119 branchements non résidentiels sans compteur d’eau et non relevé. La consommation résidentielle est estimée par le calcul suivant :
Consommation non mesurée et facturée * nombre de logements résidentiels / (logements résidentiels + branchements non résidentiels) 
474,476 ML *(2 428 / (2 428 + 119))= 452,308 ML.
Art.1.14 : Il y a une augmentation du volume d’eau distribué par rapport au bilan 2018. Cela s'explique par la présence de nombreuses fuites sur le réseau qui ont été réparée en fin d'année.
Art. 1.15, 1.16 et 2.1 : La variation de la pression explique la diminution des pertes d'eau réelles inévitables. L'écart entre les pertes d'eau réelles 2018 et 2019 s'explique par la bonification des hypothèses utilisées. Les consommations de nuit utilisées ont été mises à jour afin de mieux estimer les pertes d’eau réelles à partir du débit de nuit minimum. L'augmentation du débit de nuit explique également l'augmentation des pertes d'eau réelles. La combinaison de ces deux éléments explique la variation de l'indice de fuite dans les infrastructures.
Art. 2.2 : La variation des hypothèses pour le débit de nuit minimum a permis de ne pas sous estimer les pertes. Cela a alors fait diminuer la consommation ce qui explique cette diminution de la consommation résidentielle estimée.
</t>
  </si>
  <si>
    <t>Art.2.1 : Il est recommandé d’effectuer un contrôle actif des fuites, car l’indicateur de pertes d'eauest proche de l'objectif. un contrôle actif des fuites sur l’équivalent de 200 % de la longueur est donc reccomandé d'ici le 1er septembre 2021.</t>
  </si>
  <si>
    <t>Art 1.2 : L’estimation 2019 du nombre de personnes par logements de statistique Canada sous-estime la population résidentielle desservie et occupée de façon permanente. Une population de 1 156 personnes est plus représentative.
Art 2.1 : IFI de l'année 2018 était de 1.6 et, en 2019, 0.6. La dimunution de 68% peut s'expliquer par l'augmentation de précision de compteurs d'eau. En effet, la municipalité a confirmé que les vieux compteurs sont en cours d'être remplacés par les nouveaux (prévu d'être complété l'année 2021) parce qu'ils existaient des problèmes de précision. Donc, les indicateurs de l'année 2019 rerpésente mieux la situation de la municipalité. Comme le remplacement n'est pas terminé à 100%, les prochains bilans pourraient s'améliorer.</t>
  </si>
  <si>
    <t xml:space="preserve">Art 1.13 et Art 2.2 : Pour calculer la consommation résidentielle, un prorata des logements résidentiels et des branchements non résidentiels a été pris en compte.
Sur le réseau, il y a 389 logements résidentiels et 39 branchements non résidentiels actifs sans compteur d’eau et non relevé. La consommation résidentielle est estimée par le calcul suivant :
Consommation non mesurée et facturée * nombre de logements résidentiels / (logements résidentiels + branchements non résidentiels actifs) 
66,152 ML *(389 / (389 + 39))= 60,124 ML.
Art.1.13 et 2.2 : Comme la méthode de débit de nuit est utilisée afin d'estimer les pertes et la consommation, il est possible que les fuites qui ont été réparées en 2018 était compté comme de la consommation, ce qui surestimait la consommation résidentielle (69,076 ML). Dans le cas présent, la variation de l'eau distribuée par rapport à 2018 (diminution de 15 ML) aurait été en partie comptée comme des pertes (5 ML) et de la consommation (10 ML) à cause de la méthode de bilan utilisée. 
Art.1.14 : La municipalité a fait des travaux de réfection et de remplacement de conduites en 2018 et 2019 qui ont permi de diminuer les PER (19,618 ML) et la quantité d'eau distribuée (97,837 ML) par rapport au bilan 2018. </t>
  </si>
  <si>
    <t>Art 1.4 : L’estimation 2019 du nombre de personnes par logements de statistique Canada surestime la population résidentielle desservie et occupée de façon permanente. Une population de 2 060 personnes est plus représentative.
Art.1.13 : La consommation résidentielle a été mesurée par des compteurs d'eau et estimée pour les (73) résidences sans relèves.
Art.1.16 : Les pertes d’eau réelles inévitables ont augmenté par rapport au bilan 2018 (24,22 ML). Puisque la longueur du réseau a augmenté, ainsi que le nombre de branchements de services. De plus, la pression moyenne du réseau a été révisée à la hausse aussi. Ceci a pour conséquence d'augmenter les PERI en 2019.
Art.2.1 : L'indice de fuites dans les infrastructures a diminué par rapport au bilan 2018. Ceci peut s'expliquer du fait que la municipalité fait de la recherche de fuite active et a réparé 3 fuites en 2019. De plus l'augmentation des PERI aide à diminuer l'IFI.</t>
  </si>
  <si>
    <t xml:space="preserve">Art 1,14, 1.15 et 2.1: Augmentation des pertes d'eau par rapport à 2018 et donc de la quantité d'eau distribuée totale causée par l'apparition d'une importante fuite sur un réseau privé. Celle-ci a été réparée depuis.
Art 2.2: Un échantillon de 20 compteurs d'eau a été installé dans le secteur résidentiel le 12 décembre 2018. La consommation a été estimée grâce aux données de ceux-ci. De plus, deux logements de l'échantillon ont des purges à la consommation pour contrer le gel, ce qui influence à la hausse l'estimation de la consommation résidentielle. </t>
  </si>
  <si>
    <t xml:space="preserve">Art.1.14 : Il y a une diminution du volume d’eau distribuée par rapport au bilan 2018 probablement parce que le débitmètre n’était pas installé adéquatement pendant une certaine période de l’année 2019.  Le débitmètre a été correctement installé au courant de l’année 2020. Les indicateurs de performances seront donc validés avec les prochains bilans d’eau (2020 et 2021).
Art 1.6: Longueur provenant du Plan d'intervention produit en 2016 (12 924mètres). Une longueur de 5 m/poteaux d'incendie est utilisée pour tenir compte des longueurs des raccordements des 82 poteaux d’incendie. Total = 12 924 m + 5* 82 m=  13 334 m </t>
  </si>
  <si>
    <t>Art.1.13 : La consommation résidentielle a été mesurée par des compteurs d'eau.
Art.2.1 : L'indice de fuites dans les infrastructures dépasse l'objectif.
Ceci s’explique par une grosse fuite sur le réseau qui a été détectée durant l'hiver. Pendant la période hivernale, la municipalité n'arrivait pas à trouver la fuite. Cette fuite a coulé pendant quatre mois avant d'être réparée (mars 2019). De plus, il y avait un problème d'amiante sur un secteur du réseau et il y avait beaucoup de fuites dessus depuis 2018. À la suite des travaux sur ce secteur (septembre 2019), le débit journalier a grandement diminué. Ces réductions de pertes d'eau réelles se refléteront dans le bilan 2020, car elles ont été réparées en mi-année et en fin d'année. 
Comparaison du débit journalier : (1re relève 2019 : 211,25 m3/d à 1re relève 2020 : 105 m3/d)</t>
  </si>
  <si>
    <t xml:space="preserve">Art 1.13 et Art 2.2 : Pour calculer la consommation résidentielle, un prorata des logements résidentiels et des branchements non résidentiels a été pris en compte.
Sur le réseau, il y a 1627 logements résidentiels et 38 branchements non résidentiels sans compteur d’eau et non relevé. La consommation résidentielle est estimée par le calcul suivant :
Consommation non mesurée et facturée * nombre de logements résidentiels / (logements résidentiels + branchements non résidentiels) 
353,347 ML *(1627 / (1627 + 38))= 245,283 ML.
Art 1.16 : Les pertes d'eau réelles inévitables ont diminué par rapport au bilan 2018 puisque les branchements de services ont été revus à la baisse par rapport à l'an dernier.
Art 1.13, Art 2.1 et Art 2.3 : Les changements d'hypothèses cette année ont comme conséquence d'augmenter les pertes d'eau et de diminuer la consommation résidentielle ainsi que la quantité d'eau distribuée. </t>
  </si>
  <si>
    <t xml:space="preserve"> La municipalité pourra mieux estimer la consommation résidentielle en effectuant des relèves des compteurs d'eau.</t>
  </si>
  <si>
    <t>Art 1.13 et Art 2.2 : Pour calculer la consommation résidentielle, un prorata des logements résidentiels et des branchements non résidentiels a été pris en compte.
Sur le réseau, il y a 204 logements résidentiels et 18 branchements non résidentiels sans compteur d’eau et non relevé. La consommation résidentielle est estimée par le calcul suivant :
Consommation non mesurée et facturée * nombre de logements résidentiels / (logements résidentiels + branchements non résidentiels) 
33,636 ML *(204 / (204 + 18))= 30,909 ML.
Art.1.15 : L'écart entre les pertes d'eau réelles 2018 et 2019 s'explique par la bonification des hypothèses utilisées. Les consommations de nuit utilisées ont été mises à jour afin de mieux estimer les pertes d’eau réelles à partir du débit de nuit minimum.
Art. 1.13, 2.1 et 2.2 : La variation des pertes d'eau réelles engendré par la bonification des hypothèse explique l'augmentation de l'indice de fuite dans les infrastructures. Cette augmentation implique directement une diminution de la consommation et c'est la raison pour laquelle la consommation résidentielle a diminuée par rapport au bilan 2018.</t>
  </si>
  <si>
    <t>Il est nécessaire d'obtenir des données de débit de nuit pour le bilan 2020. Bien que la municipalité ait prévu de mettre en place un système d'enregistrement des données, il faudra tout de même s'assurer d'avoir des données pour l'année 2020 si le système est installé en 2021.</t>
  </si>
  <si>
    <t>Art 1.13 et Art 2.2 : Pour calculer la consommation résidentielle, un prorata des logements résidentiels et des immeubles non résidentiels a été pris en compte.
Sur le réseau, il y a 573 logements résidentiels et 58 immeubles non résidentiels sans compteur d’eau et non relevé. La consommation résidentielle est estimée par le calcul suivant :
Consommation non mesurée et facturée * nombre de logements résidentiels / (logements résidentiels  + immeubles non résidentiels) 
94,407 ML *(573 / (573 + 58))= 85,729 ML.
Art.1.16 et Art. 2.1 : Les pertes d’eau réelles inévitables ont augmenté par rapport au bilan 2018 (8,668 ML). Cette variation s'explique par la modification de la pression sur le réseau. En 2018, seule la pression à l'usine était considérée. En 2019, la pression moyenne aux poteaux incendies a été utilisée. Cette augmentation des PERI peut aussi expliquer la baisse de l'IFI par rapport au bilan 2018 (1.4).</t>
  </si>
  <si>
    <t>Art. 2.1 : La municipalité pourrait mieux estimer la consommation résidentielle en installant des compteurs d’eau et en effectuant des relèves.</t>
  </si>
  <si>
    <t>Art 1.13 et Art 2.2 : Pour calculer la consommation résidentielle, un prorata des logements résidentiels et des immeubles non résidentiels a été pris en compte.
Sur le réseau, il y a 755 logements résidentiels et 77 immeubles non résidentiels sans compteur d’eau et non relevé. La consommation résidentielle est estimée par le calcul suivant :
Consommation non mesurée et facturée * nombre de logements résidentiels / (logements résidentiels  + immeubles non résidentiels) 
129,637 ML *(755/(755 + 77))= 117,639 ML.
Art 1.15 et Art 2.1 : Les pertes d'eau réelles ont diminué par rapport à 2018 (51,050 ML/an), ceci peut s’expliquer par le fait que le débit de nuit utilisé pour calculer les pertes d'eau réelles a diminué. En effet, étant donnée que la municipalité a remplacé des conduites en 2019, certaines fuites ont probablement peut-être pu être éliminées. Puisque les pertes d'eau réelles ont diminué, l'indice de fuites dans les infrastructures a également diminué.</t>
  </si>
  <si>
    <t>Art 1.13 : Consommation résidentielle estimée à 275 l/pers/d.</t>
  </si>
  <si>
    <t>Art 1.13: Estimation thérique effectuée par la municipalité.</t>
  </si>
  <si>
    <t>Art 2.1 et 2.2: La municipalité doit effectuer, au minimum, une relève annuelle des compteurs d'eau installés dans le secteur non résidentiel et dans le secteur résidentiel dès 2020. L'estimation théorique de la consommation ne sera pas acceptée dans les prochains bilans. La relève des compteurs d'eau permettra de mieux évaluer la consommation ainsi que les pertes d'eau sur le réseau. Ainsi, il sera plus facile de cibler les actions à entreprendre pour économiser de l'eau potable.</t>
  </si>
  <si>
    <t xml:space="preserve">Art 1.16 : Les PERI ont varié depuis 2018 car la longueur moyenne des branchements de service a été révisée et la pression moyenne a été actualisée.
Art 1.13 et Art 2.2 : Pour calculer la consommation résidentielle, un prorata des logements résidentiels et des branchements non résidentiels a été pris en compte.
Sur le réseau, il y a 1 744 logements résidentiels et 203 branchements non résidentiels sans compteur d’eau et non relevé. La consommation résidentielle est estimée par le calcul suivant :
Consommation non mesurée et facturée * nombre de logements résidentiels / (logements résidentiels + branchements non résidentiels) 
380,032 ML * (1744 / 1744 + 203)) = 340,409 ML.
</t>
  </si>
  <si>
    <t xml:space="preserve">Art 1.4: le nombre de personne par logements a été modifié afin d'avoir une population representative (somme de : nombre de logements x pers/log de chaque muncipalité).
Art 1.8: obtenus avec une moyenne des données pour les deux réseaux.
Municipalité exportatrice : Saint-Joseph-du-Lac (72025)
Municipalité importatrice : Pointe-Calumet (72020)
Pointe-Calumet : 2742 log, 2,38 pers/log, 6526 pers
Saint-Joseph-du-Lac : 2294 log, 2,59 pers/log,  5942 pers
Longueur du réseau de Saint-Jospeh-du-Lac : 46,1  km
Longueur du réseau de Pointe-Calumet : 42,123 km
Indice de fuites dans les infrastructures (IFI) du réseau commun : 2,1
Contrôle actif des fuites (localisation et réparation) : Non
Consommation résidentielle estimée pour ce réseau commun : 208 l/pers/d
Eau distribuée pour ce réseau commun : 1440,469 l/pers/d
Installation de compteurs d’eau à la consommation requise : Non
Résultat de validité des données de l’audit de l’eau AWWA : 52
</t>
  </si>
  <si>
    <t xml:space="preserve">Art 1.13 et Art 2.2 : Pour calculer la consommation résidentielle, un prorata des logements résidentiels et des branchements non résidentiels a été pris en compte.
Sur le réseau, il y a 66 logements résidentiels et 12 branchements non résidentiels sans compteur d’eau et non relevé. La consommation résidentielle est estimée par le calcul suivant :
Consommation non mesurée et facturée * nombre de logements résidentiels / (logements résidentiels + branchements non résidentiels) 
12,642 ML *(66 / (66 + 12))= 10,697 ML.
</t>
  </si>
  <si>
    <t xml:space="preserve">Art 1.13 et Art 2.2 : Pour calculer la consommation résidentielle, un prorata des logements résidentiels et des branchements non résidentiels a été pris en compte.
Sur le réseau, il y a 160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28,853 ML *(160 / (160 + 9))= 27,316 ML.
Art.1.15 et 2.1 : L'écart entre les pertes d'eau réelles 2018 et 2019 s'explique par la bonification des hypothèses utilisées. Les consommations de nuit utilisées ont été mises à jour afin de mieux estimer les pertes d’eau réelles à partir du débit de nuit minimum. Cela influence directement l'indice de fuite dans les infrastructures.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</si>
  <si>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80 logements résidentiels et 4 branchements non résidentiels sans compteur d’eau et non relevé. La consommation résidentielle est estimée par le calcul suivant :
Consommation non mesurée et facturée * nombre de logements résidentiels / (logements résidentiels + branchements non résidentiels) 
10,359 ML *(80 / (80 + 4))= 9,866 ML.
Art.2.1 : L'indice de fuites dans les infrastructures est faible, car le réseau est petit. La municipalité peut donc détecter rapidement l’apparition des fuites avec l’analyse de débits de nuit. Elle peut ensuite les localiser et les réparer rapidement. 
</t>
  </si>
  <si>
    <t>Art 1.13 et Art 2.2 : Pour calculer la consommation résidentielle, un prorata des logements résidentiels et des immeubles non résidentiels a été pris en compte.
Sur le réseau, il y a 1 090 logements résidentiels et 46 immeubles non résidentiels sans compteur d’eau et non relevé. La consommation résidentielle est estimée par le calcul suivant :
Consommation non mesurée et facturée * nombre de logements résidentiels / (logements résidentiels  + immeubles non résidentiels) 
193,552 ML *(1 090 / (1 090 + 46))= 185,715 ML.
Art.1.13 : La consommation résidentielle a diminuée du fait que 9 consommateurs du secteur non résidentiel ont des consommations mesurées par des compteurs d'eau.
Art 2.3 : Résultat de 48 dû à une cote de 7 attribuée au volume d'eau produite, car un problème d'enregistrement de données a obligé la municipalité à estimer une vingtaine de jour de distribution. Ce problème ne devrait pas être présent au prochain bilan.</t>
  </si>
  <si>
    <t xml:space="preserve">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</si>
  <si>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 1.11 Un nouveau puits a été raccordé en 2019 suite à la pénurie d'eau.
Art 2.1 : Notre réseau est de petite taille, il est facile d'effectuer le suivi des fuites. C'est pour cette raison que nous avons un indice de fuite aussi bas, il y a peu de fuites durant l'année. 
Art 2.2 : La consommation résidentielle est réelle et mesurée avec des compteurs à chaque résidence.</t>
  </si>
  <si>
    <t xml:space="preserve">Art 1.13 et Art 2.2 : Pour calculer la consommation résidentielle, un prorata des logements résidentiels et des branchements non résidentiels a été pris en compte.
Sur le réseau, il y a 680 logements résidentiels et 46 branchements non résidentiels sans compteur d’eau et non relevé. La consommation résidentielle est estimée par le calcul suivant :
Consommation non mesurée et facturée * nombre de logements résidentiels / (logements résidentiels + branchements non résidentiels) 
120,828 ML *(680 / (680 + 47))= 113,016ML.
Art.1.15, Art.2.1 et Art.2.2 : L'écart entre les pertes d'eau réelles 2018 et 2019 s'explique par la différence des débits de nuit minimun et la bonification des hypothèses utilisées. En 2018, aucune consommation de nuit dans le secteur résidentiel et non résidentiel n'avait été considéré dans les hypothèses de calcul des pertes d'eau réelles. Or en 2019, ces hypothèses ont été mises à jour afin de mieux estimer les pertes d’eau réelles à partir du débit de nuit minimum. Ce changement dans les hypothèses utilisées explique la diminution des pertes d'eau réelles. Cette diminution a engendré l'augmentation de la consommation résidentielle estimée et la diminution de l'indice de fuites dans les infrastructures. 
</t>
  </si>
  <si>
    <t xml:space="preserve">Art 1.13 et Art 2.2 : Pour calculer la consommation résidentielle, un prorata des logements résidentiels et des branchements non résidentiels a été pris en compte.
Sur le réseau, il y a 112 logements résidentiels et 0 branchements non résidentiels sans compteur d’eau et non relevé. La consommation résidentielle est estimée par le calcul suivant :
Consommation non mesurée et facturée * nombre de logements résidentiels / (logements résidentiels + branchements non résidentiels) 
16,486 ML *( 112/ (112 + 0))= 16,486 ML.
Art.1.15, Art.2.1 et Art.2.2 : L'écart entre les pertes d'eau réelles 2018 et 2019 s'explique par la bonification des hypothèses utilisées. Les consommations de nuit utilisées ont été mises à jour afin de mieux estimer les pertes d’eau réelles à partir du débit de nuit minimum. Ce changement dans les hypothèses utilisées explique la diminution des pertes d'eau réelles. Cette diminution a engendré l'augmentation de la consommation résidentielle estimée et la diminution de l'indice de fuites dans les infrastructures. De plus, un peu moins d,eau a été distribuée en 2019.
</t>
  </si>
  <si>
    <t>Art 1.8 : La pression moyenne est déterminée à partir de la moyenne des pressions statiques des poteaux d'incendie. La grande majorité du réseau est opérée à une pression de 90 psi (63 m)
Art 1.2 : La longueur du réseau a été ajustée grâce au plan d'intervention de 2017.
Art 1.3 et Art 2.2 : Pour calculer la consommation résidentielle, un prorata des logements résidentiels et des immeubles non résidentiels a été pris en compte.
Sur le réseau, il y a 238 logements résidentiels et 7 immeubles non résidentiels sans compteur d’eau et non relevé. La consommation résidentielle est estimée par le calcul suivant :
Consommation non mesurée et facturée * nombre de logements résidentiels / (logements résidentiels  + immeubles non résidentiels) 
21,769 ML *(238 / (238+7))= 21,147 ML.
Art.1.14 et 2.1 : Il y a une diminution du volume d’eau distribué et des pertes d'eau par rapport au bilan 2018 qui peut être attribuée à la qualité des données. Plus de 60 jours de données avaient été estimées en 2018 ce qui a possiblement surestimé le volume d'eau distribuée et les pertes d'eau réelles. 
Art 1.14 : Cette année encore, les volumes étudiés prennent en compte les données du débitmètre situé à la sortie du réservoir. Une différence de plus de 40% a été mise en évidence entre les volumes en sortie de puit et les volumes en sortie de réservoir.Des travaux de réfection du réservoir sont en cours.
Art.2.1 : L'indice de fuites dans les infrastructures est faible, car le réseau est petit. La municipalité peut donc détecter rapidement l’apparition des fuites avec l’analyse de débits de nuit. Elle peut ensuite les localiser et les réparer rapidement. 
Art 2.2 : Tout comme l'année précédente, ce réseau comporte une faible quantité d'eau distribuée par personne. Cet indicateur est faible, car il s'agit d'un réseau comportant de petites maisons consommant peu selon la municipalité.</t>
  </si>
  <si>
    <t>Art.1.13 : La consommation résidentielle a été mesurée par des compteurs d'eau.
Art. 1.16 : PERI est plus élevée de 40% en comparaison de l'année passée. Le composant de réseau reste le même, sauf la pression (27 m en 2018 et 37,8 m en 2019).
Art. 2.1 : Comme PERI a augmenté et que PER a diminué par rapport à l'année 2018, il y a une diminution de IFI (diminution de 62% en comparaison de l'année passée).
Art. 2.2 : La consommation résidentielle a augmenté de 29%. Pour l'année 2018, la consommation résidentielle a été estimée avec le calcul, tandis que la valeur de 2019 vient du relevé de compteur.</t>
  </si>
  <si>
    <t xml:space="preserve">Art 1.4 : Le nombre de logements et la population sont les mêmes qu’en 2018. L’estimation 2018 du nombre de personnes par logement est utilisée. Une population de 873 personnes est plus représentative
Art.1.13 : La consommation résidentielle a été mesurée par des compteurs d'eau.
Art.1.14, Art.1.15 et Art.2.1: Il y a une augmentation du volume d’eau distribué par rapport au bilan 2018, mais la consommation résidentielle est sensiblement la même. Il y a peut-être l'apparition de certaines fuites qui n’ont pas été détectées, car la municipalité n’a pas fait de recherche de fuites. Cela pourrait expliquer la hausse des pertes d’eau réelles et de l’eau distribuée. l'augmentation des pertes d'eau réelles comparativement à 2018 a causé une augmentation de l'indice de fuites dans les infrastructures.
</t>
  </si>
  <si>
    <t xml:space="preserve">Art 1.4 : Le nombre de logements et la population sont les mêmes qu’en 2018. L’estimation 2018 du nombre de personnes par logement est utilisée. Une population de 198 personnes est plus représentative
Art.1.13 : La consommation résidentielle a été mesurée par des compteurs d'eau.
Art.1.15 et Art.2.1 : Les pertes d’eau réelles ont diminué par rapport au bilan 2018 (2,841 ML). Ceci peut s'expliquer par le fait que la quantité d'eau distribuée a diminué puisque le réseau est petit et donc l’eau distribuée fluctue beaucoup en raison des fuites qui peuvent apparaître. Cependant, la consommation est sensiblement la même, elle a été mesurée par des compteurs dont la précision n'a pas été vérifié. Puisque les pertes d'eau réelles ont diminué, l'indice de fuites dans les infrastructures a également diminué.
Art.2.1 : L'indice de fuites dans les infrastructures est faible, car le réseau est petit. La municipalité peut donc détecter rapidement l’apparition des fuites avec l’analyse de débits de nuit. Elle peut ensuite les localiser et les réparer rapidement.
Art.2.2 : La faible consommation résidentielle a été mesurée à l’aide de compteur d’eau, mais ceux-ci sont vieux  et ils n’ont ni été vérifiés ni remplacés.
</t>
  </si>
  <si>
    <t xml:space="preserve">Art 1.13 et Art 2.2 : Pour calculer la consommation résidentielle, un prorata des logements résidentiels et des branchements non résidentiels a été pris en compte.
Sur le réseau, il y a 3406 logements résidentiels et 140 branchements non résidentiels actifs sans compteur d’eau et non relevé. La consommation résidentielle est estimée par le calcul suivant :
Consommation non mesurée et facturée * nombre de logements résidentiels / (logements résidentiels + branchements non résidentiels actifs) 
375,184 ML *(3406 / (3406 + 140))= 360,371 ML.
Art 1.9 : La pression moyenne au point représentatif du réseau de 28 mètres d'eau est suffissante pour alimenter le réseau. 
Art 2.1 et 2.2 : L'indice de fuites dans les infrastructures est élevé et la consommation résidentielle est faible. Ces résultats découlent de l'analyse du débit de nuit minimum 2019 qui est assez élevé (169,850 m³/2h) et donne donc des pertes d'eau réelles élevées. Ceci pourrait s'expliquer par la grosse consommation de nuit du secteur non résidentiel (usine de transformation de poulet) qui n’est pas déduite du débit de nuit minimum. L'installation de compteurs d'eau aiderait à de départager les consommations non résidentielles de nuit et les fuites sur le réseau. </t>
  </si>
  <si>
    <t xml:space="preserve">Art 2.1 : Variation de l'IFI. Ceci peut être dû à la présence de nouvelles fuites. Cependany le résultat obtenu reste en dessous de l'objectif visé.
Art 2.2 : La consommation résidentielle a été estimée à l'aide d'un échantillon de 20 résidences pour l'année 2018. Au prochain bilan, l'ensemble des comtpeurs d'eau sera utilisé afin de raffiner la donnée de consommation résidentielle.
Art 2.3 : Le per capita total est élevé, car ce dernier inclut la consommation des fermes (élevages de porc, vaches, etc.)  ainsi qu'une usine de transformation d'aliment, Mrs Whyte, qui consomme plus de 100 ML annuellement.  La présence de fermes peut expliquer la variation de la quantité d'eau distribuée d'une année à l'autre. En effet, cette dernière peut fluctuer selon les besoins des usagers. </t>
  </si>
  <si>
    <t xml:space="preserve">Art 1.3 : Art 1.5 : Le nombre de logements et la population sont les mêmes qu’en 2018. L’estimation 2018 du nombre de personnes par logement est utilisée. (Les valeurs sont confirmées par la municipalité)
Art.1.14 : Il y a une augmentation du volume d’eau distribué par rapport au bilan 2018. 
Art 1.13 et Art 2.2 : En comparaison de l'année 2018, il y a un augmentaion de consommation résidentielle d'environ 6 ML (35%). La municipalité a confirmé qu'il n'y a pas eu des situations particulières qui pourraient expliquer la cause de l'augementation de consommation. Il est probable que les gens ont juste consommé plus d'eau en année 2019 (sensibilisation citoyenne).
Pour calculer la consommation résidentielle, un prorata des logements résidentiels et des branchements non résidentiels a été pris en compte.
Sur le réseau, il y a 129 logements résidentiels et 5 branchements non résidentiels actifs sans compteur d’eau et non relevé. La consommation résidentielle est estimée par le calcul suivant :
Consommation non mesurée et facturée * nombre de logements résidentiels / (logements résidentiels + branchements non résidentiels actifs) 
22,456 ML *(129 / (129 + 5))= 21,6181 ML.
Art 2.1 : IFI a diminué de 1,8 (73%) en comparaison de l'année 2018 (diminution de débit de nuit). Comme la municipalité a confirmé qu'il n'y a pas eu de situation particulière dans le réseau pour l'année 2019, il faudrait surveiller le débit de nuit pour le bilan 2020. Il faut également noter que l'écart entre les pertes d'eau réelles 2018 et 2019 s'explique par la bonification des hypothèses utilisées. 
</t>
  </si>
  <si>
    <t xml:space="preserve">Entente de compilation de données pour un réseau de distribution commun :
Municipalité exportatrice : Saint-Maurice (37230)
Municipalité importatrice : Saint-Luc-de-Vincennes (37225)
Saint-Maurice : 1 425 log, 2,54 pers/log, 3 617 pers
Saint-Luc-de-Vincennes : 26 log, 2,13 pers/log, 55 pers
Longueur du réseau de Saint-Maurice : 61 835 m
Longueur du réseau de Saint-Luc-de-Vincennes : 2 400  m
Indice de fuites dans les infrastructures (IFI) du réseau commun : 1
Contrôle actif des fuites (localisation et réparation) : NON
Consommation résidentielle estimée pour ce réseau commun : 156 l/pers/d
Eau distribuée pour ce réseau commun : 376,773 ML
Installation de compteurs d’eau à la consommation requise : NON
Résultat de validité des données de l’audit de l’eau AWWA : 63
</t>
  </si>
  <si>
    <t xml:space="preserve">Art.1.13 &amp; 2.2 : La consommation résidentielle a été mesurée par des compteurs d'eau. La population est sensibilisée à l’usage de l’eau et fait attention à sa consommation. 
Art 1.14 : 4 fuites ont été réparées durant l’année 2018/2019. Ceci a diminué les pertes d’eau réelles et l’eau distribuée. Puisque le réseau est petit, l’eau distribuée fluctue beaucoup en raison des fuites qui peuvent apparaître et des délais de réparations.
Art.2.1 : L'indice de fuites dans les infrastructures est faible, car le réseau est petit. La municipalité peut donc détecter rapidement l’apparition des fuites avec l’analyse de débits de nuit. Elle peut ensuite les localiser et les réparer rapidement. </t>
  </si>
  <si>
    <t>Art.1.13 &amp; 2.2 : La consommation résidentielle a été mesurée par des compteurs d'eau.
Art 2.3 : Résultat de 47 dû à une cote de 3 attribuée au volume d'eau produite et  importé, car les débitmètres n’ont pas été vérifiés. Afin d'augmenter cette cote, les débitmètres devraient être vérifiés annuellement tout en s’assurant de respecter les conditions d’installation du manufacturier.</t>
  </si>
  <si>
    <t xml:space="preserve">Art 1.3 : Le nombre de logements a été ajustés par rapport aux derniers Bilans. Il y avait une erreur dans le passée.
Art 1.13 et Art 2.2 : Pour calculer la consommation résidentielle, un prorata des logements résidentiels et des branchements non résidentiels a été pris en compte.
Sur le réseau, il y a 376 logements résidentiels et 16 branchements non résidentiels actifs sans compteur d’eau et non relevé. La consommation résidentielle est estimée par le calcul suivant :
Consommation non mesurée et facturée * nombre de logements résidentiels / (logements résidentiels + branchements non résidentiels actifs) 
42,772 ML *(376 / (376 + 16))= 41,026 ML.
Art 1.14 : Le mauvais volume d'eau distribuée avait été considéré en 2018, ce qui avait faussé les résultats.
Art.2.2 : La consommation résidentielle par personne estimée est élevée, car la méthode d'estimation prend la consommation non résidentielle sans compteur d'eau et non relevés au même niveau que la consommation résidentielle. 
</t>
  </si>
  <si>
    <t>Art 1.2 et 1.14: La vérification de la précision du débitmètre n’a pas été effectuée par la municipalité. De ce fait, on ne peut pas être certain de la quantité d’eau distribuée par la municipalité. De plus, la municipalité n’a jamais fait cette vérification au cours des années précédentes. Cela se répercute sur la variation des quantités d’eau distribuées d’une année à l’autre. Le fait que la municipalité n’a jamais vérifié la précision de son débitmètre fait en sorte qu’on ne peut pas avoir totalement confiance aux données lues par ledit débitmètre. La municipalité devrait vérifier la précision du débitmètre en place et s’assurer que les conditions d’installation respectent les recommandations du manufacturier. Il est aussi recommandé que le débitmètre étalon respecte les conditions d’installation.
Art 1.3 : Il y a eu erreur concernant le nombre de logements dans le formulaire 2018, le nombre de logements 2019 est la valeur corrigée soit 509 logements desservis et occupés de façon permanente. 
Art.1.13 : La consommation résidentielle a été mesurée par des compteurs d'eau.
Art.1.14 : Il y a une  diminution du volume d’eau distribué par personne par rapport au bilan 2018. Sensiblement la même quantité d'eau a été distribuée à tout le réseau annuellement.Cependant, étant donné que le nombre de logements a augmenté par rapport à 2018, le nombre de personnes de la municipalité a aussi augmenté et de ce fait,  la quantité d'eau distribuée par personne a donc diminuer. 
Art.2.1 : L'indice de fuites dans les infrastructures est faible, car le réseau est petit. La municipalité peut donc détecter rapidement l’apparition des fuites avec l’analyse de débits de nuit. Elle peut ensuite les localiser et les réparer rapidement. 
Art 2.2 : Il y a une diminution de la consommation résidentielle eatimée par personne par rapport au bilan 2018. En effet, le bilan 2018 et 2019 ont sensiblement les mêmes quantités de consommation résidentielle estimée annuellement.Cependant, étant donné que le nombre de logements a augmenté par rapport à 2018, la consommation résidentielle par personne a donc diminuer.</t>
  </si>
  <si>
    <t>Art 1.4 : L’estimation 2019 du nombre de personnes par logements de statistique Canada sous-estime la population résidentielle desservie et occupée de façon permanente. Une population de 1 063 personnes est plus représentative.
Art.1.16 : Les pertes d’eau réelles ont augmenté par rapport au bilan 2018 (10,282 ML). Cela provient de l'ajustement de la pression du fait du balancement hydraulique effectué en 2019.
Art 1.13 et Art 2.2 : Pour calculer la consommation résidentielle, un prorata des logements résidentiels et des immeubles non résidentiels a été pris en compte.
Sur le réseau, il y a 464 logements résidentiels et 27 immeubles non résidentiels sans compteur d’eau et non relevé. La consommation résidentielle est estimée par le calcul suivant :
Consommation non mesurée et facturée * nombre de logements résidentiels / (logements résidentiels  + immeubles non résidentiels) 
99,174 ML *(464 / (464 + 27))=  ML.
Art.2.2 : La consommation résidentielle par personne estimée est élevée, car la méthode d'estimation prend la consommation non résidentielle sans compteur d'eau et non relevés au même niveau que la consommation résidentielle.</t>
  </si>
  <si>
    <t>Art 1.4 : L’estimation 2019 du nombre de personnes par logements de statistique Canada sous-estime la population résidentielle desservie et occupée de façon permanente. Une population de 103 personnes est plus représentative.
Art 1.13 et Art 2.2 : Pour calculer la consommation résidentielle, un prorata des logements résidentiels et des immeubles non résidentiels a été pris en compte.
Sur le réseau, il y a 45 logements résidentiels et 1 immeubles non résidentiels sans compteur d’eau et non relevé. La consommation résidentielle est estimée par le calcul suivant :
Consommation non mesurée et facturée * nombre de logements résidentiels / (logements résidentiels  + immeubles non résidentiels) 
4,773 ML *(45 / (45 + 1))= 4,669 ML.
Art.2.1 : L'indice de fuites dans les infrastructures est faible, car le réseau est petit. La municipalité peut donc détecter rapidement l’apparition des fuites avec l’analyse de débits de nuit. Elle peut ensuite les localiser et les réparer rapidement. 
Art 2.2 : Tout comme l'année précédente, ce réseau comporte une faible consommation résidentielle par personne. Cet indicateur est faible, car il s'agit d'un réseau comportant de petites maisons consommant peu selon la municipalité.</t>
  </si>
  <si>
    <t xml:space="preserve">Art 1.9 : Pression basse, mais suffisante pour alimenter les usagers. 
Art 1.13 et Art 2.2 : Pour calculer la consommation résidentielle, un prorata des logements résidentiels et des branchements non résidentiels a été pris en compte.
Sur le réseau, il y a 1 411 logements résidentiels et 122 branchements non résidentiels actifs sans compteur d’eau et non relevé. La consommation résidentielle est estimée par le calcul suivant :
Consommation non mesurée et facturée * nombre de logements résidentiels / (logements résidentiels + branchements non résidentiels actifs) 
262,48 ML *(1 411/ (1 411 + 122)= 241,591 ML.
</t>
  </si>
  <si>
    <t>Art 1.9 : La pression élevée s'explique du fait que l'usine est située plus haut que le réseau et que le réseau n'a pas de sous-presseur.
Art 1.13 et Art 2.2 : Pour calculer la consommation résidentielle, un prorata des logements résidentiels et des logements non résidentiels ont été pris en compte.
Sur le réseau, il y a 133 logements résidentiels et 10 immeubles non résidentiels. La consommation résidentielle est estimée par le calcul suivant :
 Consommation non mesurée et facturée * nombre de logements résidentiels / (logements résidentiels  + immeubles non résidentiels) 
18,477 ML *(133 / (133+11))= 17,066 ML.
Art 1.13, Art 1.14 et Art 2.2: L'eau distribuée a diminué par rapport à 2018 (28,169 ML/an). Ceci peut s'expliquer du fait que la municipalité a fait plus de sensibilisation pour les usages estivaux et depuis 2018 les purges chez les résidents ont été réduites. Ainsi la consommation résidentielle se voit diminuer par rapport à 2018.
Art 1.15 et Art 2.1 : Les pertes d'eau réelles ont diminué par rapport à 2018 (7,707 ML/an), tout comme l'IFI. Ceci s'explique du fait que le débit de nuit retenu est plus faible que celui de 2018.</t>
  </si>
  <si>
    <t xml:space="preserve">
Art 1.15 &amp; 1.13: On observe une baisse du per capita total et des PER. Ceci peut s'expliquer par l'usage d'ententes de compilations de données pour produire les bilans d'eau. Les villes de l'AIBR sont en train de se munir de débitmètres qui permettront de connaitre les volumes distribués pour chacune d'entre elles. Ceci aura pour effet d'augmenter la qualité des bilans d'eau et de mieux comprendre l'influence des secteurs de consommations des villes. 
Entente de compilation de données pour un réseau de distribution commun :
Municipalité exportatrice : Saint-Denis-sur-Richelieu
Municipalité importatrice : Saint-Antoine-sur-Richelieu; Saint-Charles-sur-Richelieu;Saint-Marc-sur-Richelieu;Saint-Mathieu de Beloeil
Indice de fuites dans les infrastructures (IFI) du réseau commun : 1,1
Contrôle actif des fuites (localisation et réparation) : non
Consommation résidentielle estimée pour ce réseau commun : 224 l/pers/d
Eau distribuée pour ce réseau commun : 581 l/pers/d
Résultat de validité des données de l’audit de l’eau AWWA : 66</t>
  </si>
  <si>
    <t xml:space="preserve">Art 1.3 et 1.5 : Il y a eu erreur concernant le nombre de logements dans les formulaires antérieurs, le nombre de logements 2019 est la valeur corrigée soit 866 logements desservis et occupés de façon permanente. Ce nombre provient du rapport de taxation et il est plus représentatif. Cela fait diminuer la population desservis par le réseau.
Art.1.13 : La consommation résidentielle a été mesurée par des compteurs d'eau.
Art. 1.13 et 1.15 : Le changement de méthodologie explique la diminution de la consommation résidentielle et l'augmentation des pertes d'eau réelles. En effet, le bilan 2018 avait été fait sans les données de compteurs d'eau car celles-ci n'étaient pas disponibles.
Art.1.14 : Il y a une diminution du volume d’eau distribué par rapport au bilan 2018. Cela s'explique par la réparation de nombreuses fuites sur le réseau.
Art.2.1 : L'indice de fuites dans les infrastructures est faible, car le réseau est petit. La municipalité peut donc détecter rapidement l’apparition des fuites avec l’analyse de débits de nuit. Elle peut ensuite les localiser et les réparer rapidement. 
Art. 2.2 : La consommation résidentielle a augmenté par rapport au bilan 2018 du fait du changement de méthodologie. Le présent bilan utilise les données des compteurs d'eau.
</t>
  </si>
  <si>
    <t xml:space="preserve">Art 1.13 et Art 2.2 : Pour calculer la consommation résidentielle, un prorata des logements résidentiels et des branchements non résidentiels a été pris en compte.
Sur le réseau, il y a 156 logements résidentiels et 16 branchements non résidentiels sans compteur d’eau et non relevé. La consommation résidentielle est estimée par le calcul suivant :
Consommation non mesurée et facturée * nombre de logements résidentiels / (logements résidentiels + branchements non résidentiels) 
22,496 ML *(156 / (156 + 16))= 20,403 ML.
Art.1.15 : L'écart entre les pertes d'eau réelles 2018 et 2019 s'explique par la bonification des hypothèses utilisées. Les consommations de nuit utilisées ont été mises à jour afin de mieux estimer les pertes d’eau réelles à partir du débit de nuit minimum. En 2018, les consommation de nuit n'avait pas été retirée du débit de nuit minimum, ce qui surestimait les pertes et sous-estimait la consommation.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</si>
  <si>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Entente de compilation de données pour un réseau de distribution commun :
Municipalité exportatrice : Saint-Maurice (37230)
Municipalité importatrice : Saint-Luc-de-Vincennes (37225)
Saint-Maurice : 1 425 log, 2,54 pers/log, 3 617 pers
Saint-Luc-de-Vincennes : 26 log, 2,13 pers/log, 55 pers
Longueur du réseau de Saint-Maurice : 61 835 m
Longueur du réseau de Saint-Luc-de-Vincennes : 2 400  m
Indice de fuites dans les infrastructures (IFI) du réseau commun : 1
Contrôle actif des fuites (localisation et réparation) : NON
Consommation résidentielle estimée pour ce réseau commun : 156 l/pers/d
Eau distribuée pour ce réseau commun : 376,773 ML
Installation de compteurs d’eau à la consommation requise : NON
Résultat de validité des données de l’audit de l’eau AWWA : 63
Art 1.4 : Les persones par logements ont étés calculés par le ratio suivant : (1425 log * 2,54 pers/log + 26 log * 2,13 pers/log) / (1425 + 27) log
Art 1.13 et 2.2: La consommation résidentielle est estimée avec les relèves 2019 de l’échantillon des 1 252 compteurs résidentiels.</t>
  </si>
  <si>
    <t>Art 1.9 : L'augmentation de la pression par rapport à 2018 s'explique par le fait que la pression indiquée en 2018 était de 80 mètres d'eau, alors qu'elle est en fait de 80 psi. La modification a été faite aux valeurs 2019. 
Art 1.16 : La baisse de la valeur de pression par rapport à 2019 cause une baisse des PERI, ce qui cause également une augmentation de l'IFI.
Art 1.13 et 2.2: La consommation résidentielle est estimée avec les relèves 2019 de l’échantillon des 20 compteurs résidentiels. Les 14 compteurs d'eau ont mesurés un total de 2,315 ML de consommation résidentielle, auquel on ajoute 453,7 L/log/d aux 312 logements restants (51,667 ML). Total : 2,315 ML + 51,667 ML = 53,982 ML</t>
  </si>
  <si>
    <t>Art 1.9 : L'augmentation de la pression par rapport à 2018 s'explique par le fait que la pression indiquée en 2018 était de 80 mètres d'eau, alors qu'elle est en fait de 80 psi. La modification a été faite aux valeurs 2019. 
Art 1.16 : La baisse de la valeur de pression par rapport à 2019 cause une baisse des PERI, ce qui cause également une augmentation de l'IFI.
Art 1.13 et 2.2: La consommation résidentielle est estimée avec les relèves 2019 de l’échantillon des 20 compteurs résidentiels. Les 6 compteurs d'eau sur le réseau ont mesurés un total de 1,177 ML de consommation résidentielle, auquel on ajoute 453,7 L/log/d aux 123 logements restants (20,368 ML). Total : 1,177 ML + 20,368 ML = 21,545 ML</t>
  </si>
  <si>
    <t xml:space="preserve">Art 1.13 et Art 2.2 : Pour calculer la consommation résidentielle, un prorata des logements résidentiels et des branchements non résidentiels a été pris en compte.
Sur le réseau, il y a 507 logements résidentiels et 46 branchements non résidentiels sans compteur d’eau et non relevé. La consommation résidentielle est estimée par le calcul suivant :
Consommation non mesurée et facturée * nombre de logements résidentiels / (logements résidentiels + branchements non résidentiels) 
112,984 * (507 /(507+ 46)) = 92,83 ML
Art.2.1 : En terme de pourcentage, il y a une augmentation de IFI de 30 % (IFI 0,9 en 2018). Comme l'écart de valeur n'est que 0.4, il est possible de justifer cette augmentation par une simple variation de pression. En 2018, celle-ci était de 44m et, en 2019, 49m.
</t>
  </si>
  <si>
    <t>Art 1.13 et Art 2.2 : Pour calculer la consommation résidentielle, un prorata des logements résidentiels et des branchements non résidentiels a été pris en compte.
Sur le réseau, il y a 644 logements résidentiels et 141 branchements non résidentiels sans compteur d’eau et non relevé. La consommation résidentielle est estimée par le calcul suivant :
Consommation non mesurée et facturée * nombre de logements résidentiels / (logements résidentiels + branchements non résidentiels) 
124,222 ML *(644 / (644 + 141))= 101,910 ML.
Art 1.14, 1.15 et 2.1 : Tout comme en 2018, la municipalité a des problématiques de fuites sur son réseau, ce qui explique la grande quantité d'eau distribuée, ces pertes d'eau réelles et cet important IFI. Cependant, des efforts ont été fournis et l'on remarque que l'eau distribuée a diminué. De plus, la bonification des hypothèses utilisées pour l’estimation des pertes d’eau réelles a entrainé une hausse des pertes d’eau. 
Art 2.1 et 2.2 : La consommation résidentielle a diminué par rapport à 2018, puisque la municipalité a amélioré son bilan, mais a conservé un grand débit de nuit. Ainsi l'IFI reste presque inchangé, mais cette amélioration se retrouve dans la consommation résidentielle.</t>
  </si>
  <si>
    <t>Art.1.6 : La longueur du réseau a augmenté par rapport à 2018 (12 097 m). La longueur du réseau a été mise à jour avec le PI de la municipalité mis à jour en 2020 et est plus représentative. 
Art 1.9 : La pression est élevée puisque le réseau est gravitaire et a besoin d'une pression élevée pour fournir tous les abonnés.
Article 1.13 et 2.2 : Pour calculer la consommation résidentielle, un prorata des logements résidentiels et des immeubles non résidentiels a été pris en compte.
Sur le réseau, il y a 499 logements résidentiels et 56 immeubles non résidentiels sans compteur d’eau et non relevé. La consommation résidentielle est estimée par le calcul suivant :
Consommation non mesurée et facturée * nombre de logements résidentiels / (logements résidentiels  + immeubles non résidentiels) 
95,954 ML *(499 / (499+56))= 86,272 ML.
Art 1.15 : Les pertes d'eau réelles ont diminué par rapport à 2018 (41,072 ML/an), ceci s'explique du fait que la municipalité a réparé des fuites en 2018 et qu'une seule s'est manifestée en 2019. Ceci se voit sur le DMN retenu pour 2019 qui est plus faible que celui retenu en 2018.
Art.1.16 : L'augmentation de la longueur des conduites explique l'augmentation des PERI par rapport à 2018 (16,098 ML). Ceci peut expliquer une partie de la variation de l'IFI par rapport à 2018.
Art 2.1 et 2.2 : La variation de ces indicateurs s'explique du fait que le DMN ayant évolué entre 2018 et 2019, ainsi les pertes d'eau ont diminué ce qui a pour cause de faire diminuer l'IFI et d'augmenter la consommation résidentielle.
Art 2.3 : Résultat de 45 dû à une cote de 5 attribuée au volume d'eau produite, car le débitmètre n’a pas été vérifié. Afin d'augmenter cette cote, le débitmètre devrait être vérifié annuellement tout en s’assurant de respecter les conditions d’installation du manufacturier.</t>
  </si>
  <si>
    <t xml:space="preserve">Art 1.5 : L’estimation 2018 du nombre de personnes par logements surestimait la population résidentielle desservie et occupée de façon permanente. Une population de 471 est plus représentative.
Art 1.13 et Art 2.2 : Pour calculer la consommation résidentielle, un prorata des logements résidentiels et des immeubles non résidentiels a été pris en compte.
Sur le réseau, il y a 190 logements résidentiels et 5 immeubles non résidentiels sans compteur d’eau et non relevé. La consommation résidentielle est estimée par le calcul suivant :
Consommation non mesurée et facturée * nombre de logements résidentiels / (logements résidentiels  + immeubles non résidentiels) 
29,892 ML *(190 / (190 + 5))= 29,126 ML.
Art.1.14 : Il y a une diminution du volume d’eau distribué par rapport au bilan 2018. 
la population est sensibilisée à l’usage de l’eau et fait attention à sa consommation.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</si>
  <si>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Art.1.13 : La consommation résidentielle a été mesurée par des compteurs d'eau.
Art.1.14 : Il y a une diminution du volume d’eau distribué par rapport au bilan 2018. 
La population est sensibilisée à l’usage de l’eau et fait attention à sa consommation. Des avis de restriction d'utilisation d'eau ont été émis durant l'année 2019, ce qui pourait expliquer la faible distribution. De plus, il n'y a pas de consomation non résidentielle sur ce réseau, ce qui peut expliquer la distribution faible.
Art.1.15 : L'écart entre les pertes d'eau réelles 2018 et 2019 s'explique par la bonification des hypothèses utilisées. Les consommations de nuit utilisées ont été mises à jour afin de mieux estimer les pertes d’eau réelles à partir du débit de nuit minimum. 
Art 2.2 : Tout comme l'année précédente, ce réseau comporte une faible quantité d'eau distribuée par personne. Cet indicateur est faible, car il s'agit d'un réseau comportant de petites maisons consommant peu selon la municipalité.
</t>
  </si>
  <si>
    <t>Art 1.13 et Art 2.2 : Pour calculer la consommation résidentielle, un prorata des logements résidentiels et des branchements non résidentiels a été pris en compte.
Sur le réseau, il y a 177 logements résidentiels et 15 branchements non résidentiels sans compteur d’eau et non relevé. La consommation résidentielle est estimée par le calcul suivant :
Consommation non mesurée et facturée * nombre de logements résidentiels / (logements résidentiels + branchements non résidentiels) 
17,333 ML *(177 / (177 + 15))= 15,979 ML.
Art.1.14 : Le volume d’eau distribué par personne et la consommation résidentielle est faible. Le débitmètre n’a pas été vérifié. Par conséquent, l’erreur associée au volume d’eau distribué n’est pas connue.
Art.2.1 : L'indice de fuites dans les infrastructures est faible. Les faibles pertes d’eau réelles ont été déterminées à partir des données de débits de nuit. Le débitmètre pourrait mal lire les débits minimums, car il n’a jamais été vérifié. La municipalité pourrait vérifier la précision du débitmètre et s’assurer que celui-ci lit bien les débits faibles.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t>
  </si>
  <si>
    <t>Art 1.13 et 2.2: La consommation résidentielle est estimée avec les relèves 2019 de l’échantillon des 483 compteurs résidentiels. 
Art.1.16 : Les pertes d’eau réelles inévitables ont diminué par rapport au bilan 2018, les pressions ont changées par rapport au Bilan 2018. Celles-ci proviennent d'une moyenne des pressions statiques de 8 poteaux incendis</t>
  </si>
  <si>
    <t xml:space="preserve">Art 1.13 et Art 2.2 : Pour calculer la consommation résidentielle, un prorata des logements résidentiels et des branchements non résidentiels a été pris en compte.
Sur le réseau, il y a 285 logements résidentiels et 6 branchements non résidentiels sans compteur d’eau et non relevé. La consommation résidentielle est estimée par le calcul suivant :
Consommation non mesurée et facturée * nombre de logements résidentiels / (logements résidentiels + branchements non résidentiels) 
41,241 ML * (285 / (285 + 6)) = 40,391 ML
Art 1.15  : Les PER ont fluctuées depuis 2018 en raison de la méthode du débit de nuit minimum.
</t>
  </si>
  <si>
    <t xml:space="preserve">Art. 1.9 : Le réseau est en amont de l'installation de production, ce qui explique la pression basse sur le réseau.
Art 1.13 et Art 2.2 : Pour calculer la consommation résidentielle, un prorata des logements résidentiels et des branchements non résidentiels a été pris en compte.
Sur le réseau, il y a 191 logements résidentiels et 5branchements non résidentiels sans compteur d’eau et non relevé. La consommation résidentielle est estimée par le calcul suivant :
Consommation non mesurée et facturée * nombre de logements résidentiels / (logements résidentiels + branchements non résidentiels) 
26,411 ML *(191 / (191 + 5))= 25,737 ML.
</t>
  </si>
  <si>
    <t xml:space="preserve">Art 1.13 et Art 2.2 : Pour calculer la consommation résidentielle, un prorata des logements résidentiels et des branchements non résidentiels a été pris en compte.
Sur le réseau, il y a 609 logements résidentiels et 49 branchements non résidentiels sans compteur d’eau et non relevé. La consommation résidentielle est estimée par le calcul suivant :
Consommation non mesurée et facturée * nombre de logements résidentiels / (logements résidentiels + branchements non résidentiels) 
87,568ML * (609 / (609+49)) = 81,0473 ML
Art 2.1 : l'indice de fuites dans les infrastructures dépasse l'objectif. Les pertes d'eau réelles ont été déterminées à partir du débit de nuit minimum et ce dernier est assez élevé (13,7m3/h) en comparaison de l'année 2018(augmentation de 40% environ). 
Ceci s’explique par la grosse consommation de nuit du secteur non résidentiel qui n’est pas déduite du débit de nuit minimum (il y a beaucoup de serres et de ferme auxquels les automates sont installés pour l'utilisation de l'eau pendant la nuit). L'installation des compteurs d'eau permettra de départager les consommations non résidentielles de nuit et les fuites sur le réseau dans les prochains bilans.
Art 2.2 : Il y a une diminution de la consommation résidentielle par rapport au bilan 2018. Cet phénomène s'explique par le débit de nuit plus élevé de la municipalité en comparaison de l'année 2018. Comme la municipalité ne déduit pas, dans son débit de nuit, la consommation des gros consommateurs des secteurs commercial pendant la nuit, tout son utilisation d'eau potable est comptabilisée dans la perte. Donc, 127 l/pers/d ne répresente pas la vraie consommation de la municipalité (même chose pour l'année 2018). Il est fortement recommandé d'installer compteur d'eau dans le secteur commercial.
</t>
  </si>
  <si>
    <t xml:space="preserve">Art 1.13 et Art 2.2 : Pour calculer la consommation résidentielle, un prorata des logements résidentiels et des branchements non résidentiels a été pris en compte.
Sur le réseau, il y a 182 logements résidentiels et 17 branchements non résidentiels actifs sans compteur d’eau et non relevé. La consommation résidentielle est estimée par le calcul suivant :
Consommation non mesurée et facturée * nombre de logements résidentiels / (logements résidentiels + branchements non résidentiels actifs) 
29,577 ML *(182 / (182 + 17))= 27,050 ML.
Art.1.14 : Il y a une augmentation du volume d’eau distribué par rapport au bilan 2018. Puisque le réseau est petit, l’eau distribuée fluctue beaucoup lorsqu’il y a des travaux qui ont nécessité un usage important d’eau potable.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</si>
  <si>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 1.3 : Il y a eu erreur concernant le nombre de logements dans les formulaires antérieurs, le nombre de logements 2019 est la valeur corrigée soit 149 logements desservis et occupés de façon permanente. Ce nombre provient du rapport de taxation et il est plus représentatif.
Art 1.13 et Art 2.2 : Pour calculer la consommation résidentielle, un prorata des logements résidentiels et des branchements non résidentiels a été pris en compte.
Sur le réseau, il y a 149 logements résidentiels et 13 branchements non résidentiels sans compteur d’eau et non relevé. La consommation résidentielle est estimée par le calcul suivant :
Consommation non mesurée et facturée * nombre de logements résidentiels / (logements résidentiels + branchements non résidentiels) 
19,675 ML *(149 / (149 + 13))= 18,096 ML.
Art.1.14 : Il y a une diminution du volume d’eau distribué par rapport au bilan 2018. Puisque le réseau est petit, l’eau distribuée fluctue beaucoup en raison des fuites qui peuvent apparaître et des délais de réparations.
Art.1.15 : L'écart entre les pertes d'eau réelles 2018 et 2019 s'explique par la bonification des hypothèses utilisées. Les consommations de nuit utilisées ont été mises à jour afin de mieux estimer les pertes d’eau réelles à partir du débit de nuit minimum.
Art 2.2 : Il y a une diminution de la consommation résidentielle par rapport au bilan 2018. Cette diminution est dû à une meilleure estimation du nombre de personne désservies par la municiaplité.</t>
  </si>
  <si>
    <t>Art 1.13 et Art 2.2 : Pour calculer la consommation résidentielle, un prorata des logements résidentiels et des branchements non résidentiels a été pris en compte.
Sur le réseau, il y a 162 logements résidentiels et 16 branchements non résidentiels actifs sans compteur d’eau et non relevé. La consommation résidentielle est estimée par le calcul suivant :
Consommation non mesurée et facturée * nombre de logements résidentiels / (logements résidentiels + branchements non résidentiels actifs) 
52,453 ML *(162 / (162 + 16))= 47,738 ML.
Art.1.15 et Art.2.1 : Il y a une diminution de l'indice de fuites dans les infrastructures par rapport au bilan 2018. En effet, la diminution du débit de nuit minimum a entrainé la diminution des pertes d’eau et par conséquent une diminution de l'indice de fuites dans les infrastructures. 
Art.2.1: L'indice de fuites dans les infrastructures est faible, car le réseau est petit. La municipalité peut donc détecter rapidement l’apparition des fuites avec l’analyse de débits de nuit. Elle peut ensuite les localiser et les réparer rapidement. 
Art.2.2 : La consommation résidentielle par personne estimée est élevée, car la méthode d'estimation prend la consommation non résidentielle sans compteur d'eau et non relevés au même niveau que la consommation résidentielle. Dans la municipalté, il y a beaucoup de fermes qui consomment beaucoup d'eau.</t>
  </si>
  <si>
    <t>Art 1.13 et Art 2.2 : Pour calculer la consommation résidentielle, un prorata des logements résidentiels et des branchements non résidentiels a été pris en compte.
Sur le réseau, il y a 226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20,642 ML *(226 / (226 + 9))= 19,851 ML.
Art 1.14 : La très faible quantité d'eau distribuée par personne dans la municipalité s'explique par la présence de seulement 9 commerces qui ne consomment pas beaucoup d’eau et de la sensibilisation constante que la municipalité effectue envers la population.
Art.2.1 : L'indice de fuites dans les infrastructures est faible, car le réseau est petit. La municipalité peut donc détecter rapidement l’apparition des fuites avec l’analyse de débits de nuit. Elle peut ensuite les localiser et les réparer rapidement. De plus, une donnée débit de nuit a été prise plutôt que des données sur l’ensemble de l’année 2019. En 2020, afin de bien estimer les pertes d’eau la municipalité peut se servir des données des débits de nuits sur l’ensemble de l’année.
Art 2.2 : Tout comme l'année précédente, ce réseau comporte une faible quantité d'eau distribuée par personne. Cet indicateur est faible, car il s'agit d'un réseau comportant de petites maisons consommant peu selon la municipalité.
Art 2.3 : Résultat de 38 associé à une cote de 3 attribuée au volume d'eau importée, car le débitmètre n'a lu que 5 des 12 mois en 2019 parce qu'il a été installé en juin 2019. Afin d'augmenter cette cote, le débitmètre devra lire les volumes importés pour l'ensemble de l'année à l'étude. De plus, le débitmètre devra être vérifié annuellement tout en s’assurant de respecter les conditions d’installation du manufacturier.</t>
  </si>
  <si>
    <t xml:space="preserve">Art 1.13 et Art 2.2 : Pour calculer la consommation résidentielle, un prorata des logements résidentiels et des branchements non résidentiels a été pris en compte.
Sur le réseau, il y a 331 logements résidentiels et 8 branchements non résidentiels sans compteur d’eau et non relevé. La consommation résidentielle est estimée par le calcul suivant :
Consommation non mesurée et facturée * nombre de logements résidentiels / (logements résidentiels + branchements non résidentiels) 
57,707 ML *(331 / 331 + 8))= 56,56 ML.
</t>
  </si>
  <si>
    <t xml:space="preserve">Art.1.13 : La consommation résidentielle a été mesurée par des compteurs d'eau.
Art 1.14 &amp; 1.13 : La variation des indicateurs de performance s'explique par le fait que le volume d'eau importé varie d'une année à l'autre. En effet, en 2018, aucun débitmètre n'était installé et en août 2019, un débitmètre a été installé. Ainsi,une partie du volume est estimé, ce qui entraine des variations. En 2020, le volume total importé devrait avoir été mesuré à l'aide d'un débitmètre.
Art 2.4 : RVD inférieur à 50, car la lecture du débitmètre n'a pas été faite sur l'ensemble de l'année . Le volume d'eau importé a été estimé. Un débitmètre a été installé en aout 2019. Au prochain bilan, cette note sera revue à la hausse. </t>
  </si>
  <si>
    <t>Art 1.3 et Art 2.2 : Pour calculer la consommation résidentielle, un prorata des logements résidentiels et des logements non résidentiels a été pris en compte.
Sur le réseau, il y a 591 logements résidentiels et 30 immeubles non résidentiels. La consommation résidentielle est estimée par le calcul suivant :
 Consommation non mesurée et facturée * nombre de logements résidentiels / (logements résidentiels  + immeubles non résidentiels) 
69,177 ML *(691/ (691 + 30))=65,835 ML.
Art 2.1 et Art 2.2 : La variation de ces deux indicateurs s'explique du fait que l'analyse repose sur le débit de nuit et ce dernier ne peut être mesuré tout au long de l'année car il est obtenu par volumétrie. Seul quelques données sont extraitres par année. Ceci a pour conséquence de faire fluctuer les résultats de d'une année à l'autre malgré la stabilité du volume distribué.</t>
  </si>
  <si>
    <t>Art. 1.13 : La municipalité pourrait mieux estimer la consommation résidentielle en installant des compteurs d’eau et en effectuant des relèves.
Art. 1.15 : La municipalité pourrait mieux estimer les pertes en installant un débitmètre avec un enregistreur de donnée à la distribution et en étudiant les débits de nuit de toute l'année.</t>
  </si>
  <si>
    <t>Art 1.3 : Nombre de logements revalidé par municipalité. On note une différence entre 2018 et 2019.
Art 1.9 : Pression élevée pour être en mesure de desservir tous les usagers.
Art 1.3: Consommation résidentielle estimée à 80 % du volume d'eau mesurée à l'aide des compteurs d'eau.
Art 2.1 &amp; 1.14 : On note une augmentation de l'IFI et de la quantité d'eau distribuée pour l'année 2019. Ceci peut s'expliquer par l'apparition de fuites. On remarque que le volume de consommation résidentielle, lui est stable.
Art 2.2 : Le volume de consommation reste stable entre 2018 et 2019. La hausse observée se justifie par l'ajustement du nombre de logements entre 2018 et 2019.</t>
  </si>
  <si>
    <t>Art 1.13 et Art 2.2 : Pour calculer la consommation résidentielle, un prorata des logements résidentiels et des branchements non résidentiels a été pris en compte.
Sur le réseau, il y a 1310 logements résidentiels et 84 branchements non résidentiels actifs sans compteur d’eau et non relevé. La consommation résidentielle est estimée par le calcul suivant :
Consommation non mesurée et facturée * nombre de logements résidentiels / (logements résidentiels + branchements non résidentiels actifs) 
276,041 ML *(1310 / (1310 + 84))= 259,407 ML.
Art.1.13 : La consommation résidentielle a diminué par rapport à 2018 (332,361 ML). Cette variation s'explique par la correction du débit de nuit utilisé et par la séparation du volume utilisé par les purges sur le réseau (voir commentaire à l'article 1.15).
Art.1.15 : Une erreur a été faite dans le bilan 2018. Un débit de nuit de 7 m³/h avait été utilisé. Cependant, le rapport de vérification de la précision du débitmètre en 2018 donne un débit de nuit minimum de 42 m³/h. De plus, dans l'analyse du bilan 2019, la municipalité a pu estimer le volume d'eau utilisé par les purges et le retirer du débit de nuit afin de mieux estimer les PER sur le réseau.</t>
  </si>
  <si>
    <t xml:space="preserve">Art 1.13 et Art 2.2 : Pour calculer la consommation résidentielle, un prorata des logements résidentiels et des branchements non résidentiels a été pris en compte.
Sur le réseau, il y a 268 logements résidentiels et 25 branchements non résidentiels sans compteur d’eau et non relevé. La consommation résidentielle est estimée par le calcul suivant :
Consommation non mesurée et facturée * nombre de logements résidentiels / (logements résidentiels + branchements non résidentiels) 
56,775 ML *(268 / (268 + 25))= 51,931 ML.
Art 2.1 : En février 2019, fuite d'eau détectée au chalet rang Saint-David pendant 3 semaines. Ceci peux expliquer la hausse des pertes d'eau et de l'IFI.
</t>
  </si>
  <si>
    <t>Art 1.3 : Le nombre de logement a été réajusté cette année.
Art 1.13 et Art 2.2 : Pour calculer la consommation résidentielle, un prorata des logements résidentiels et des branchements non résidentiels a été pris en compte.
Sur le réseau, il y a 1 835 logements résidentiels et 41 branchements non résidentiels sans compteur d’eau et non relevé. La consommation résidentielle est estimée par le calcul suivant :
Consommation non mesurée et facturée * nombre de logements résidentiels / (logements résidentiels + branchements non résidentiels) 
427,457 ML *(1 835/ (1 835 + 41))= 418,115 ML.
Art 1.13, 1.14, 2.1 et 2.2 : La consommation résidentielle estimée, la quantité d'eau distribuée et l'indice des fuites dans les infrastructures ont diminué par rapport à 2018. Ceci peut s'expliquer du fait que les informations de volumes importées, débits nuits et autres sont mieux connus en 2019, voire 2020. Ce qui permet de dresser un meilleur portrait et de séparer les trois réseaux de Saint-Paul.</t>
  </si>
  <si>
    <t xml:space="preserve">Art 1.13 et Art 2.2 : La consommation résidentielle a été déduite à partie de l'estimation du non mesuré et facturé puisqu'il n'y a pas de consommation autre que du résidentiel. 
</t>
  </si>
  <si>
    <t xml:space="preserve">Art 1.13 et Art 2.2 : Pour calculer la consommation résidentielle, un prorata des logements résidentiels et des branchements non résidentiels a été pris en compte.
Sur le réseau, il y a 123 logements résidentiels et 33 branchements non résidentiels sans compteur d’eau et non relevé. La consommation résidentielle est estimée par le calcul suivant :
Consommation non mesurée et facturée * nombre de logements résidentiels / (logements résidentiels + branchements non résidentiels) 
28,359 ML *(123 / (123 + 33))= 22,360 ML.
</t>
  </si>
  <si>
    <t xml:space="preserve">Art.1.13 : La consommation résidentielle a été mesurée par des compteurs d'eau.
Art 2.1 : Baisse de l'IFI entre 2018 et 2019. Il semble que ceci soit lié à une baisse du volume d'eau distribuée. À noter qu'en 2018 aucune vérification des débitmètres n'était pas disponible. Il est donc plus difficile d'expliquer les variations qui peuvent être dues à des problèmes d'instrumentation entre autres. L'IFI est très proche de zéro. Il est à noter que les immeubles desservis par le réseau sont tous équipés de compteurs d'eau. Les pertes d'eau sont donc calculés selon un bilan annuel dont toutes les variables sont connues. Il est à noter que les compteurs sont relevés en septembre. Ce décalage peut également expliquer l'IFI faible. </t>
  </si>
  <si>
    <t>Art 1.4 Le nombre de personnes par logement a été laissé comme en 2018.  
Art 1.6 La longueur a été un peu ajustée parce que des bouclages de réseaux ont été faits pour éviter du gel. Celle-ci provient du PI de la municipalité. 
Art 1.7 Le nombre de branchements est très élevé parce qu'il s'agit d'un développement résidentiel en montagne et les entrées de services ont été construites sur des terrains vacants. Il y a environ 85 résidences de construites mais la majorité est en location  
Art 1.13 La consomation résidentielle de l'an passé a été réutilisée compte tenu des fuites importantes qui ont été réparées en mai-juin 2020.</t>
  </si>
  <si>
    <t>Art 1.4 Le nombre de logement a été changé pour tenir compte des branchements résidentiels seulement. Le nombre personnes par logement a été laissé comme en 2018.  
Art 1.6 La longueur a été ajustée parce que la municipalité a réalisé 160 m de plus d'aqueduc sur la rue Tanguay. 
Art1.13 La consomation résidentielle de l'an passé a été réutilisée compte tenu des données de consommation improbables en 2019.</t>
  </si>
  <si>
    <t xml:space="preserve">Art 1.3 et Art 2.2 : Pour calculer la consommation résidentielle, un prorata des logements résidentiels et des logements non résidentiels a été pris en compte.
Sur le réseau, il y a 2 395 logements résidentiels et 23 immeubles non résidentiels sans compteur d’eau et non relevé. La consommation résidentielle est estimée par le calcul suivant :
Consommation non mesurée et facturée * nombre de logements résidentiels / (logements résidentiels  + immeubles non résidentiels) 
559,832 ML *(2 395 / (2 395+ 23))= 526,147 ML.
Art 2.3 : Résultat de 46 dû à une cote de 5 attribuée au volume d'eau importée, car le débitmètre n’a pas été vérifiés. Afin d'augmenter cette cote, les débitmètres devrait être vérifié annuellement tout en s’assurant de respecter les conditions d’installation du manufacturier.
</t>
  </si>
  <si>
    <t xml:space="preserve">Art 1.4 : L’estimation 2019 du nombre de personnes par logements de statistique Canada estime correctement la population résidentielle desservie et occupée de façon permanente. 
Art 1.13 : Pour calculer la consommation résidentielle, un prorata des logements résidentiels et des branchements non résidentiels a été pris en compte.
Sur le réseau, il y a 368 logements résidentiels et 20 branchements non résidentiels sans compteur d’eau et non relevé. La consommation résidentielle est estimée par le calcul suivant :
Consommation non mesurée et facturée * nombre de logements résidentiels / (logements résidentiels + branchements non résidentiels) 
52,326 ML *(368 / (368 + 20))= 49,629 ML.
Art.1.14 : Il y a une diminution du volume d’eau distribué par rapport au bilan 2018. Le débitmètre n’a pas été vérifié. Par conséquent, l’erreur associée au volume d’eau distribué n’est pas connue.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Art 2.3 : Résultat de 48 dû à une cote de 5 attribuée au volume d'eau produite, car le débitmètre n’a pas été vérifié. </t>
  </si>
  <si>
    <t>Art 2.3 : Afin d'augmenter cette cote, les débitmètres devrait être vérifié annuellement tout en s’assurant de respecter les conditions d’installation du manufacturier.</t>
  </si>
  <si>
    <t xml:space="preserve">Art.1.13 : La consommation résidentielle a été mesurée par des compteurs d'eau.
</t>
  </si>
  <si>
    <t xml:space="preserve">Art.1.13 : La consommation résidentielle a été mesurée par des compteurs d'eau.
Art.2.2 : Il y a une augmentation de la consommation résidentielle. La consommation résidentielle a été mesurée à l’aide de compteur d’eau, mais ceux-ci sont vieux et ils n’ont pas été vérifiés </t>
  </si>
  <si>
    <t>Art.1.13 : La consommation résidentielle a été mesurée par des compteurs d'eau.
Art.1.14 : Il y a une diminution du volume d’eau distribué par rapport au bilan 2018. La population est sensibilisée à l’usage de l’eau et fait attention à sa consommation. 
Art.2.1 : L'indice de fuites dans les infrastructures est faible, car le réseau est petit. La municipalité peut donc détecter rapidement l’apparition des fuites avec l’analyse de débits de nuit. Elle peut ensuite les localiser et les réparer rapidement. 
Art.2.2 : La faible consommation résidentielle a été mesurée à l’aide de compteur d’eau, mais ceux-ci n’ont ni été vérifiés ni remplacés.</t>
  </si>
  <si>
    <t>Art. 1.4 : Le nombre de personne par logement avait été modifié l'an dernier et cela ne reflétait pas la réalité. C'est la raison pour laquelle la population semble avoir diminuée par rapport au bilan 2018.
Art 1.13 et Art 2.2 : Pour calculer la consommation résidentielle, un prorata des logements résidentiels et des branchements non résidentiels a été pris en compte.
Sur le réseau, il y a 150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20,620 ML *(150 / (150 + 9))= 19,453 ML.
Art.1.15 et 2.1 : Cela s'explique aussi par une incompréhension pour le débit de nuit du bilan 2018. Celui-ci avait été considéré comme étant un débit de nuit pour 4h alors qu'il était en m³/h. Cela explique donc la variation des pertes et de l'IFI.
Art.1.14 : Il y a une augmentation du volume d’eau distribué par rapport au bilan 2018. Cela s'explique principalement par la présence d'une fuite sur le réseau.
Art.2.1 : L'indice de fuites dans les infrastructures est élevé mais cela devrait être arrangé pour le prochain bilan. En effet, la municipalité a fait une recherche de fuite et a réparé une fuite majeure sur le réseau. La réparation de cette fuite a fait diminué de moitié le débit de nuit.
Art.2.2 : La consommation résidentielle par personne estimée a diminuée par rapport au bilan 2018 du fait de la bonification du débit de nuit. Les données de 2018 considéraient un débit de nuit quatre fois inférieur à celui de 2019 du fait d'une erreure de compréhension du document. Les pertes ayant étaient sous-estimées, la consommation a donc été surestimé au précédent bilan.</t>
  </si>
  <si>
    <t>La municipalité pourrait mieux estimer la consommation résidentielle en installant des compteurs d’eau et en effectuant des relèves.
Art 1.15 et 2.1 : Le débit de nuit de la municipalité est passé de 5 à 1,2 m³/h durant l'année. Pour ne pas surestimer la consommation résidentielle et offrir une représentation plus juste de la municipalité, la moyenne des débits de nuit a été utilisée au lieu du débit de nuit minimum (DMN) pour déterminer les PER. Les actions concernant le contrôle actif des fuites seront évaluées selon la technique du DNM, qui donne un IFI de  1,4. Donc, aucune obligation de contrôle actif des fuites n'est demandée par le Ministère.</t>
  </si>
  <si>
    <t xml:space="preserve">Art 1.13 et Art 2.2 : Pour calculer la consommation résidentielle, un prorata des logements résidentiels et des branchements non résidentiels a été pris en compte.
Sur le réseau, il y a 623 logements résidentiels et 12 branchements non résidentiels actifs sans compteur d’eau et non relevé. La consommation résidentielle est estimée par le calcul suivant :
Consommation mesurée par compteurs + Consommation non mesurée et facturée * nombre de logements résidentiels / (logements résidentiels + branchements non résidentiels actifs) 
0,9 + 229,646 ML *(623 / (623 + 12))= 226,20623 ML.
Art.2.2 : La consommation résidentielle par personne estimée est élevée, car la méthode d'estimation prend la consommation non résidentielle sans compteur d'eau et non relevés au même niveau que la consommation résidentielle. 
</t>
  </si>
  <si>
    <t>Art 1.13 et Art 2.2 : Pour calculer la consommation résidentielle, un prorata des logements résidentiels et des branchements non résidentiels a été pris en compte.
Sur le réseau, il y a 206 logements résidentiels et 16 branchements non résidentiels actifs sans compteur d’eau et non relevé. La consommation résidentielle est estimée par le calcul suivant :
Consommation non mesurée et facturée * nombre de logements résidentiels / (logements résidentiels + branchements non résidentiels actifs) 
25,542 ML *(206 / (206 + 16))= 23,701 ML.
Art.1.14 : Comme le débitmètre sous-compte de 9% alors le volume distribué a été majoré pour prendre en compte cette erreur importante qui impliquait une consommation résidentielle anormalement faible. Il y a une augmentation du volume d’eau distribué par rapport au bilan 2018. il est passé de 62,160 ML en 2018 à 78,212 ML en 2019. Tout d'abord, le débitmètre a une imprécision de lecture moyenne proche de 9%. Par ailleurs, il y a une fuite majeure qui existait depuis assez longtemps (peut être même avant 2018) qui a coulé jusqu'en septembre 2019 (date de réparation).  Ainsi, comme la fuite ne coule pas nécessairement avec le même débit, alors le volume distribué a augmenté par rapport à 2018. Finalement,  puisque le réseau est petit, l’eau distribuée fluctue beaucoup en raison des fuites qui peuvent apparaître et des délais de réparations.
Art.1.15 : Les pertes d’eau réelles ont augmenté par rapport au bilan 2018 (elles étaient de 6,03  ML). Premièrement, il semblerait y avoir une erreur dans le calcul des PER en 2018; celles-ci auraient dû être plus élevées dans le bilan 2018 (environ 20 ML). En 2019 les PER sont de (44 ML). Ainsi elles n'ont pas augmenté de 38 Ml mais de 24 ML entre 2018 et 2019. Par contre, il est très probable qu'il ait de fuites d'eau qui causent cette augmentation.
Deuxièmement, l'écart entre les pertes d'eau réelles  2018 et 2019 peut s'expliquer, par la bonification des hypothèses utilisées. Les consommations de nuit utilisées ont été mises à jour afin de mieux estimer les pertes d’eau réelles à partir du débit de nuit minimum.
Troisièmement, il faut savoir que le débit de nuit utilisé en 2019 est un débit sur une seule nuit, il a été choisi pour avant la réparation de la fuite majeure afin d'être représentatif de l'état du réseau, ainsi ce n'est pas le débit minimum de l'année 2019. Quatrièmement, le débitmètre mesure les débits faibles avec une importante imprécision. D'autre part, il est possible que la fuite majeure de 2018 et non réparée se soit aggravée ou qu'il y ait eu de nouvelles fuites .Par contre,  il est difficile d'affirmer qu'il y a eu de nouvelles fuites entre 2018 et 2019 puisque le débit de nuit en 2018 est relevé en date du 7 février 2018 (7,43 m3/2h) alors qu'en 2019 il est en date du 6 septembre 2019 (11,6 m3/2h). Cependant, il est rassurant de savoir qu'après la réparation de la fuite majeure le débit de nuit est passé après septembre 2019 à près de 3,8 m3/2h. 
Art 2.1: l'IFI est de 10,2, mais d'après le répondant ce n'est pas très étonnant vu la taille de la fuite majeure qui a coulé toute l'année 2019 jusqu'à septembre. Il ne faut pas oublier qu'il s’agit d'une petite municipalité et une simple fuite a d'importants impacts sur l'IFI. Cependant,en 2018 il n'était pas aussi élevé, car il y avait une erreur dans le calcul des PER.
Art.2.2 : Art 2.2 :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il est possible qu'à cause du manque de donnée sur le débit de nuit, il ait été pris un débit de nuit qui surestime les PER et donc sous-estime la consommation résidentielle. Par contre, malgré les incertitudes on peut dire avec confiance que l'IFI dépasse et que la consommation résidentielle ne dépasse pas l'objectif. 
Art 2.3 : Résultat de 44 dû à une cote de 6 attribuée au volume d'eau produite, car les conditions d'installation du débitmètre ne sont pas respectées. Afin d'augmenter cette cote,il devrait y avoir des correctif au niveau du débitmètre.</t>
  </si>
  <si>
    <t xml:space="preserve">La municipalité pourrait mieux estimer la consommation résidentielle et les pertes d'eau en installant des compteurs d’eau et en effectuant des relèves.
Il est fortement recommandé de faire souvent de la recherche de fuites et de les réparer s'il y en a.
Pour obtenir des résultats plus fiables aux prochains bilans, il est recommandé de fournir au MAMH des débits de nuit journaliers et non pas quelques données par mois.
Il faudrait résoudre le problème du débitmètre afin d'avoir une plus grande précision sur les volumes d'eau de nuit et totaux de l'année.
</t>
  </si>
  <si>
    <t xml:space="preserve">Art.1.13 : La consommation résidentielle a été mesurée par des compteurs d'eau.
Art 1.14: Baisse du volume d'eau distribuée entre 2018 et 2019. Ceci peut s'expliquer par la baisse de la consommation résidentielle. Cette dernière est mesurée par des compteurs d'eau. </t>
  </si>
  <si>
    <t>Art 1.3 :  Le nombre de logements a été recalculé et corrigé
Art 1.7 : Le nombre de branchements de service a été recalculé et corrigé. Les branchements inactifs sont inclus.
Art 1.14 : Augmentation de la quantité d'eau distribuée par personne car le nombre de personnes desservies a été ajusté.
Art.2.1 : L'indice de fuites dans les infrastructures est faible. Les pertes d’eau réelles sont faibles, car une donnée débit de nuit a été prise plutôt que des données sur l’ensemble de l’année 2019. En 2020, afin de bien estimer les pertes d’eau la municipalité peut se servir des données des débits de nuits sur l’ensemble de l’année. De plus, les hypothèses de calcul des pertes avec la méthode de débit de nuit ont été bonifées.</t>
  </si>
  <si>
    <t>Art 1.9 &amp; 1.16 : L'augmentation de pression cause le changement des PERI. La pression 2018 avait été estimée à partie de cartes topographiques et celle ci provient de la moyenne des poteaux incendie.
Art 1.13 et Art 2.2 : Pour calculer la consommation résidentielle, un prorata des logements résidentiels et des branchements non résidentiels a été pris en compte.
Sur le réseau, il y a 232 logements résidentiels et 25 branchements non résidentiels sans compteur d’eau et non relevé. La consommation résidentielle est estimée par le calcul suivant :
Consommation non mesurée et facturée * nombre de logements résidentiels / (logements résidentiels + branchements non résidentiels) 
50,409 ML *(232 / (232 + 25))= 45,505 ML.
Art 1.13 &amp; 2.2 La municipalité a fourni de grands efforts pour améliorer ses indicateurs. elle a portée une attention particulière à la sensibilation et à la formation du personnel, a inspecter des résidences qui étaient suapectes d'avoir une grande consommation, a effectuer une recherche d'eau parasitaires dans les eaux usées. Mais, malgré son amélioration, reste encore au dessus de l'indicateur à cause de la présence de nombreuses fermes sur son territoire.</t>
  </si>
  <si>
    <t xml:space="preserve">Art 1.13 et Art 2.2 : Pour calculer la consommation résidentielle, un prorata des logements résidentiels et des branchements non résidentiels a été pris en compte.
Sur le réseau, il y a 574 logements résidentiels et 164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158,014*(574/(574+164)) = 128,48 ML
Art. 2.2 : Art.2.2 : La consommation résidentielle par personne estimée est élevée, car la méthode d'estimation prend la consommation non résidentielle sans compteur d'eau et non relevés au même niveau que la consommation résidentielle. </t>
  </si>
  <si>
    <t xml:space="preserve">Art 1.13 et Art 2.2 : Pour calculer la consommation résidentielle, un prorata des logements résidentiels et des branchements non résidentiels a été pris en compte.
Sur le réseau, il y a 2560 logements résidentiels et 162 branchements non résidentiels sans compteur d’eau et non relevé. La consommation résidentielle est estimée par le calcul suivant :
Consommation non mesurée et facturée * nombre de logements résidentiels / (logements résidentiels + branchements non résidentiels) 
527,952 ML *(2560 / (2560 + 162))= 496,5309 ML.
Art.1.14 : Il y a une diminution du volume d’eau distribué par rapport au bilan 2018. La population est sensibilisée à l’usage de l’eau et fait attention à sa consommation. 
Art.1.15 et Art.2.1 : L'écart entre les pertes d'eau réelles 2018 et 2019 s'explique par la bonification des hypothèses utilisées. Les consommations de nuit utilisées ont été mises à jour afin de mieux estimer les pertes d’eau réelles à partir du débit de nuit minimum. Puisque les pertes d'eau réelles ont augmenté, l'indice de fuites dans les infrastructures a également augmenté.
</t>
  </si>
  <si>
    <t xml:space="preserve">Art 1.13 et Art 2.2 : Pour calculer la consommation résidentielle, un prorata des logements résidentiels et des immeubles non résidentiels a été pris en compte.
Sur le réseau, il y a 116 logements résidentiels et 1 immeuble non résidentiel sans compteur d’eau et non relevé. La consommation résidentielle est estimée par le calcul suivant :
Consommation non mesurée et facturée * nombre de logements résidentiels / (logements résidentiels  + immeubles non résidentiels) 
17,346 ML *(116 / (116 + 1))= 17,198 ML.
Art.1.14 et Art 2.2: Il y a une augmentation du volume d’eau distribué, de la quantité distribuée par personne et de la consommation résidentielle par rapport au bilan 2018. Ceci s'explique du fait que la municipalité a vu une hausse d'activité du secteur de location de chalet et 9 fuites ont été réparées en 2019.
Art 2.3 : Résultat de 45 dû à une cote de 3 attribuée au volume d'eau produite, car le débitmètre n’a pas été vérifié. Afin d'augmenter cette cote, le débitmètre devrait être vérifié annuellement tout en s’assurant de respecter les conditions d’installation du manufacturier.
</t>
  </si>
  <si>
    <t>Art 1.4 : Le nombre de logements et la population sont les mêmes qu’en 2018. L’estimation 2018 du nombre de personnes par logement est utilisée.
Art 1.13 et Art 2.2 : Pour calculer la consommation résidentielle, un prorata des logements résidentiels et des logements non résidentiels ont été pris en compte.
Sur le réseau, il y a 118 logements résidentiels et 6 immeubles non résidentiels. La consommation résidentielle est estimée par le calcul suivant :
 Consommation non mesurée et facturée * nombre de logements résidentiels / (logements résidentiels  + immeubles non résidentiels) 
20,636 ML *(118 / (118 + 6))= 19,637 ML.
Art 1.15 et Art 2.2 : Les pertes réelles ainsi que l'IFI ont diminué par rapport à 2018, ceci s'explique du fait que le débit de nuit retenu pour l'analyse de 2019 est plus faible qu'en 2018. Cette différence pourrait en partie être expliquée par la réparation d'une fuite sur un branchement de service en 2018.</t>
  </si>
  <si>
    <t>Art 1.13 : La consommation résidentielle a été estimée à 70 % de la consommation mesurée et facturée de l'audit de l'eau de l'AWWA en attendant que les relèves soient séparées par type d'usage.</t>
  </si>
  <si>
    <t xml:space="preserve">Art 1.13 et 2.2: La consommation résidentielle est estimée en soustrayant à l'eau distribuée les pertes et les consommations non résidetielles, qui sont toutes mesurées par compteurs.
Art 1.7: Le nombre de branchements de service est different en 2019 car il y a eu erreur dans les comptes précédement.
</t>
  </si>
  <si>
    <t xml:space="preserve">Art 1.13 et Art 2.2 : Pour calculer la consommation résidentielle, un prorata des logements résidentiels et des branchements non résidentiels a été pris en compte.
Sur le réseau, il y a 197 logements résidentiels et 8 branchements non résidentiels sans compteur d’eau et non relevé. La consommation résidentielle est estimée par le calcul suivant :
Consommation non mesurée et facturée * nombre de logements résidentiels / (logements résidentiels + branchements non résidentiels) 
27,095 ML *(197 / (197 + 8))= 26,038 ML.
Art.1.15 : L'écart entre les pertes d'eau réelles 2018 et 2019 s'explique par la bonification des hypothèses utilisées. Les pertes d'eau réelles de 2018 avaient été estimées en prenant la médiane mobile sur 7 jours maximum (débit de nuit de 1,2 m³/h) tandis que les pertes d'eau réelles de 2019 ont été estimées avec la médiane mobile sur 7 jours minimum (débit de nuit de 0,4 m³/h).
</t>
  </si>
  <si>
    <t xml:space="preserve">Art.1.13 et 2.2 : La consommation résidentielle provient de la relève des compteurs d'eau dans tout le secteur résidentiel. Cependant, puisque les compteurs d'eau datent d'une trentaine d'années, il est possible que les compteurs d'eau sous-comptent. La consommation résidentielle devrait être plus élevée.
Art.1.4 et Art.2.1: À la suite de la recherche de fuites par l'écoute des poteaux d'incendie, il n'y a pas de fuites détectées. Il est conseillé d'effectuer une recherche de fuites sur tous les points de contact accessibles pour s'assurer qu'il n'y a pas de fuites sur les branchements de service. 
Les pertes d'eau réelles (PER) et l'indice de fuites dans les infrastructures (IFI) ont diminué par rapport au bilan 2018. Ceci peut s'expliquer par une vanne mal fermée qui laissait couler de l'eau en continu et qui a été réparée en 2019.
Les PER et l'IFI sont élevés, car en sous-estimant les consommations avec des compteurs d'eau âgés de 30 ans, les pertes d'eau risquent d'être surestimées. La municipalité prévoit remplacer les compteurs d'eau des usagers pour bien séparer les consommations des pertes d'eau sur le réseau.
Art 2.3 : Résultat de 48 dû à une cote de 1 attribuée au volume d'eau produite, car les volumes d'eau de janvier à octobre 2019 ont été estimés. Le débitmètre était défectueux, donc il a été changé. Les données devraient être justes au prochain bilan.
</t>
  </si>
  <si>
    <t>Art 1.13 et Art 2.2 : Pour calculer la consommation résidentielle, un prorata des logements résidentiels et des branchements non résidentiels a été pris en compte.
Sur le réseau, il y a 108 logements résidentiels et 8 branchements non résidentiels actifs sans compteur d’eau et non relevé. La consommation résidentielle est estimée par le calcul suivant :
Consommation non mesurée et facturée * nombre de logements résidentiels / (logements résidentiels + branchements non résidentiels actifs) 
34,274 ML *(108 / (108 + 8))= 31,91027 ML.
Art.1.15 et Art.2.1: L'écart entre les pertes d'eau réelles 2018 et 2019 s'explique par la bonification des hypothèses utilisées. Les consommations de nuit utilisées ont été mises à jour afin de mieux estimer les pertes d’eau réelles à partir du débit de nuit minimum. Puisque les pertes d'eau réelles ont diminué, l'indice de fuites dans les infrastructures a également diminué.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</si>
  <si>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Il est recommandé à la municipalité d'effectuer chaque année la prise des débits de nuit minimum qui permettent d'estimer la consommation résidentielle par les pertes d'eau réelles.</t>
  </si>
  <si>
    <t xml:space="preserve">Art 1.13 et Art 2.2 : Pour calculer la consommation résidentielle, un prorata des logements résidentiels et des branchements non résidentiels a été pris en compte.
Sur le réseau, il y a 137 logements résidentiels et 0 branchement non résidentiel actifs sans compteur d’eau et non relevé. La consommation résidentielle est estimée par le calcul suivant :
Consommation non mesurée et facturée * nombre de logements résidentiels / (logements résidentiels + branchements non résidentiels actifs) 
19,849 ML *(137 / (137 + 0))= 19,849 ML.
Art.1.14 : Il y a une légère diminution du volume d’eau distribué par rapport au bilan 2018. Possiblement causé par l'imprécision du débitmètre.
Art.1.15 : Les pertes d’eau réelles ont diminué par rapport au bilan 2018 (elles étaient de 4,38 ML). Cet écart s'explique par la bonification des hypothèses utilisées. Les consommations de nuit utilisées ont été mises à jour afin de mieux estimer les pertes d’eau réelles à partir du débit de nuit minimum. De plus certaines fuites ont été réparées, mais comme le volume d'eau distribué total est quasiment le même qu'en 2018 alors il est plus probable que ce soit à cause de la modification des hypothèses. Par ailleurs, le débit de nuit utilisé en pour le bilan 2019 est consituté d'un seule donnée ce qui met en doute la précision des PER et donc de l'IFI. Cependant les PER sont quand même faibles et dans le même ordre de grandeur qu'en 2018.
Art.2.1 : L'indice de fuites dans les infrastructures est faible. Les pertes d’eau réelles sont faibles, car une seule donnée de débit de nuit a été prise plutôt que des données sur l’ensemble de l’année 2019. En 2020, afin de bien estimer les pertes d’eau la municipalité peut se servir des données des débits de nuits sur l’ensemble de l’année. De plus L'IFI est faible, car le réseau est petit. La municipalité peut donc détecter rapidement l’apparition des fuites avec l’analyse de débits de nuit. Elle peut ensuite les localiser et les réparer rapidement. 
Art.2.2 : La consommation résidentielle par personne estimée est élevée, car comme les PER ont diminué (à cause des hypothèses) alors la consommation résidentielle a diminué (car le volume d'eau distribué est constant en 2018 et 2019).
Art 2.3 : Résultat de 46 dû à une cote de 5 attribuée au volume d'eau produite (dans le fichier AWWA), car le débitmètre n’a pas été vérifié. Afin d'augmenter cette cote, les débitmètres devraient être vérifiés annuellement tout en s’assurant de respecter les conditions d’installation du manufacturier.
</t>
  </si>
  <si>
    <t xml:space="preserve">
Art 1.13 et Art 2.2 : Pour calculer la consommation résidentielle, un prorata des logements résidentiels et des branchements non résidentiels a été pris en compte.
Sur le réseau, il y a 4229 logements résidentiels et 140 branchements non résidentiels actifs sans compteur d’eau et non relevé. La consommation résidentielle est estimée par le calcul suivant :
Consommation non mesurée et facturée * nombre de logements résidentiels / (logements résidentiels + branchements non résidentiels actifs) 
656,186 ML *(4229 / (4229 + 140 ))= 635,159 ML.
Art.1.14 : Il y a une augmentation du volume d’eau distribué par rapport au bilan 2018 (il était de 1284,04). Il s'agit d'une ville touristique donc la consommation d'eau varie beaucoup d'une année à l'autre. De plus il y a eu un nouveau développement. De nouvelles résidences, industries et de nouveaux commerces se sont installés dans la municipalité. Finalement, il y a peut-être eu des fuites  qui sont apparues et ont été réparées au cours même de 2019, ce qui expliquerait une augmentation du volume d'eau distribué par rapport à 2018 (car on sait qu'il y a eu 16 fuites de réparées en 2019 selon l'onglet État&amp;Plan d'action).
Art.1.15 : Les pertes d’eau réelles ont augmenté par rapport au bilan 2018 (elles étaient de 230,315 ML). Cela est probablement dû aux fuites qui sont apparues durant l'année.
Art.2.2 : La consommation résidentielle par personne estimée est élevée, car la méthode d'estimation prend la consommation non résidentielle sans compteur d'eau et non relevés au même niveau que la consommation résidentielle. Elle a cependant augmenté pour le réseau, car tous comme le volume total d'eau distribué il ya probablement l'effet du caractère touristique qui fait en sorte que cette quantité d'eau varie (et le fait que méthode d'estimation prend la consommation non résidentielle sans compteur d'eau et non relevée au même niveau que la consommation résidentielle) . D’autre part la consommation résidentielle a diminué par personne par jour, car le nombre de personnes a augmenté, car le nombre de logements a augmenté.
Art 2.3 : Résultat de 44 dû à une cote de 5 attribuée au volume d'eau produite (dans le fichier AWWA) , car le débitmètre n’a pas été vérifié. Afin d'augmenter cette cote, les débitmètres devraient être vérifiés annuellement tout en s’assurant de respecter les conditions d’installation du manufacturier.
</t>
  </si>
  <si>
    <t>Art.1.4 :  Le nombre de personnes par logement a été modifié afin d'arriver à une population plus représentative de 465 personnes.
Art.1.13 : La consommation résidentielle a été mesurée par des compteurs d'eau.
Art.1.16 :  Les pertes d'eau réelles inévitables ont augmenté par rapport au bilan précédent. Cette valeur est calculée à partir de données sur le réseau. Elle a augmenté, car le nombre de branchements de services a augmenté et la pression moyenne du réseau aussi. La pression moyenne du réseau est plus précise, car une moyenne des pressions statiques de tous les poteaux d'incendie a été effectuée.
Art.2.1 : L'indice de fuites dans les infrastructures est faible. Les pertes d'eau réelles 2019 ont été calculées en déduisant la consommation mesurée par les compteurs d'eau de l'eau distribuée dans la municipalité. Les pertes d'eau pour cette petite municipalité vont donc fluctuer en fonction des deux autres données. Pour la consommation mesurée, la relève des compteurs n'est pas ajustée pour 365 jours, car il manque les dates de relèves. Il se peut que les consommations soient surestimées et que les pertes d'eau soient sous-estimées. De plus, ces faibles pertes d'eau peuvent s'expliquer par le fait que le réseau d'eau potable est en bon état (en moyenne, le réseau est âgé de 25 ans). Aussi, la municipalité effectue régulièrement plusieurs vérifications avec les débits journaliers et elle agit rapidement lorsque quelque chose d'anormal est détecté. La municipalité a aussi réparé rapidement une fuite au réservoir.</t>
  </si>
  <si>
    <t xml:space="preserve">Art 1.13 et Art 2.2 : Pour calculer la consommation résidentielle, un prorata des logements résidentiels et des branchements non résidentiels a été pris en compte.
Sur le réseau, il y a 141 logements résidentiels et 41 branchements non résidentiels actifs sans compteur d’eau et non relevé. La consommation résidentielle est estimée par le calcul suivant :
Consommation non mesurée et facturée * nombre de logements résidentiels / (logements résidentiels + branchements non résidentiels actifs) 
40,633 ML * 141 / (141 + 41)= 31,479 ML.
Art 2.1 et 2.2 : Les indicateurs de cette année sont différents de ceux de 2018, car les méthodes d'estimation ne sont pas les mêmes. Les relèves de consommation des compteurs n'ont pu être transmis. La méthode du débit de nuit a été utilisée cette année. 
Art.2.2 : La consommation résidentielle par personne estimée est élevée, car la méthode d'estimation prend la consommation non résidentielle sans compteur d'eau et non relevés au même niveau que la consommation résidentielle. </t>
  </si>
  <si>
    <t>La municipalité pourra mieux estimer la consommation résidentielle en effectuant la relève de ses compteurs.</t>
  </si>
  <si>
    <t>Art 1.3 : Il y a eu erreur concernant le nombre de logements dans les formulaires antérieurs, le nombre de logements 2019 est la valeur corrigée soit 346 logements desservis et occupés de façon permanente. Cela influence la population, la quantitée d'eau distribué par personne et la consommation résidentielle estimée.
Art 1.13 et Art 2.2 : Pour calculer la consommation résidentielle, un prorata des logements résidentiels et des branchements non résidentiels a été pris en compte.
Sur le réseau, il y a 346 logements résidentiels et 27 branchements non résidentiels actifs sans compteur d’eau et non relevé. La consommation résidentielle est estimée par le calcul suivant :
Consommation non mesurée et facturée * nombre de logements résidentiels / (logements résidentiels + branchements non résidentiels actifs) 
41,831 ML * (346 / (346 + 27)) = 38,803 ML.
Art.2.1 : L'indice de fuites dans les infrastructures est élevée, car une seule donnée débit de nuit a été prise plutôt que des données sur l’ensemble de l’année 2019. En 2020, afin de bien estimer les pertes d’eau la municipalité peut se servir des données des débits de nuits sur l’ensemble de l’année. La non représentativité de cette donnée de débit peut avoir causer une surestimation des PER et pas association, une sousestimation de la consommation résidentielle.</t>
  </si>
  <si>
    <t>Art 1.13 et 2.2: Il y a au total 45 maisons sur ce réseau et la valeur de consommation fut estimée en se basant sur la consommation des 2 maisons équipées de compteurs sur ce réseau. La consommation des maisons équipées de compteurs sur le réseau Village n'est pas représentative de ceux connectés sur le réseau Baie-des-Rochers puisque certains résidents du réseau Village laissent couler l'eau pendant l'hiver.</t>
  </si>
  <si>
    <t>Art 1.13 et 2.2 : Consommation résidentielle mesurée à l'aide de compteurs d'eau  = 6 573 m³
Une maison de l'échantillon a consommée 1479 m³ dans l'année, car elle la propriétaire laisse couler l'eau pendant tout l'hiver. Cette consommation a été retirée de l'extrapolation à l'ensemble de la ville</t>
  </si>
  <si>
    <t xml:space="preserve">Art 1.13 et Art 2.2 : Pour calculer la consommation résidentielle, un prorata des logements résidentiels et des branchements non résidentiels a été pris en compte.
Sur le réseau, il y a 434 logements résidentiels et 28 branchements non résidentiels sans compteur d’eau et non relevé. La consommation résidentielle est estimée par le calcul suivant :
Consommation non mesurée et facturée * nombre de logements résidentiels / (logements résidentiels + branchements non résidentiels) 
58,964 ML *(434 / (434 + 28))= 55,390 ML.
Art.1.14 : Il y a une diminution du volume d’eau distribué par rapport au bilan 2018. Une fuite majeure a été réparée durant l’année 2019. Ceci a diminué l’eau distribuée. 
Art.1.15 : Il y a une augmentation des PER par rapport à 2018 (13,287 ML). Les données de débit de nuit des mois de mars à octobre ont été utilisées en 2019 plutôt que seulement une journée en 2018. De plus, les consommations de nuit utilisées ont été mises à jour afin de mieux estimer les pertes d’eau réelles à partir du débit de nuit minimum.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</si>
  <si>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1.3 : Les immeubles résidentiels sont seulement des maisons unifamiliales (Logements = Immeubles). 
Art 1.4 : Le nombre de personne par logement a augmenté par rapport à 2018. Une population de 316 est plus représentative de la situation actuelle. Cette meilleure estimation explique la baisse de la consommation par personne.
Art 1.11 et 1.12 : Dans les 4 dernières années, il y a eu des avis de restrictions préventifs pour éviter un conflit d'usage avec un agriculteur dont le puits est proche de celui de la municipalité (Puits F3), il est envisagé de faire un forage d'un nouveau puits, mais aucun projet concret n'est en cours.
Art 1.13 et Art 2.2 : Pour calculer la consommation résidentielle, un prorata des logements résidentiels et des branchements non résidentiels a été pris en compte.
Sur le réseau, il y a 116 logements résidentiels et 10 branchements non résidentiels sans compteur d’eau et non relevé. La consommation résidentielle est estimée par le calcul suivant :
Consommation non mesurée et facturée * nombre de logements résidentiels / (logements résidentiels + branchements non résidentiels) 
24,718 ML *(116 / (116 + 10))= 22,760 ML.
 </t>
  </si>
  <si>
    <t xml:space="preserve">Art.1.13 : La consommation résidentielle a été mesurée par des compteurs d'eau.
Art 2.1 : Baisse de l'IFI qui peut s'expliquer par la réparation de fuites. </t>
  </si>
  <si>
    <t>Art 1.4 : L’estimation 2019 du nombre de personnes par logements de statistique Canada sous-estime la population résidentielle desservie et occupée de façon permanente. Une population de 108 personnes est plus représentative.
Art.1.13 : La consommation résidentielle a été mesurée par des compteurs d'eau.
Art.1.14 : Il y a une augmentation du volume d’eau distribué par rapport au bilan 2018 du fait de l'absence de la moitié des volumes distribués en 2018. Le présent bilan est donc plus précis avec des données sur l'année complète.
Art.1.15 : Les pertes d’eau réelles ont augmenté par rapport au bilan 2018 (5,018 ML). Cela s'explique en partie du fait de la présence d'un compteur défectueux pour l'église qui accueil un restaurant et également par le fait de l'extinction d'un incendie.</t>
  </si>
  <si>
    <t>Art 1.15 : Une fuite d'environ 336 m³/j a coulé pendant 15 jours durant le mois de février, ce qui explique les PER élevées.
Art 1.7 &amp; 1.16 : Le nombre de branchement de services a été mis à jour comparativemnt au Bilna 2018, ce nombre est plus représentatif de la situation de la municipalité et a pour effet de diminuer les PERI.
Art 1.13 &amp; 2.2 : Tout comme l'année précédente, ce réseau comporte une faible quantité d'eau distribuée par personne. Cet indicateur est faible, car il s'agit d'un réseau comportant de petites maisons consommant peu selon la municipalité. Contrairement à l'année dernière, la consommation résidentielle a été mesurée par des compteurs d'eau et non par ration de brnachements de services, ce qui explique la différence de l'indicateur.</t>
  </si>
  <si>
    <t>Art.1.13 : La consommation résidentielle a été mesurée par des compteurs d'eau.
Art 1.14, Art 1.15 et Art 2.1 : Les pertes d'eau réelles ont augmenté par rapport à 2018, tout comme l'eau distribuée. Ceci peut s'expliquer du fait que la municipalité a réparé plusieurs fuites en 2019, de plus l'Assomption a changé son débitmètre à l'exportation et ainsi peut-être l'évaluation des volumes est plus précise. Ce qui a pour conséquence d'augmenter l'IFI en 2019.</t>
  </si>
  <si>
    <t>Art 1.13 et Art 2.2 : La consommation résidentielle est calculée à partir de la consommation non mesurée et facturée puisqu'il n'y a pas de consommateurs non résidentiels.</t>
  </si>
  <si>
    <t>Art 1.13 et Art 2.2 : Pour calculer la consommation résidentielle, un prorata des logements résidentiels et des branchements non résidentiels a été pris en compte.
Sur le réseau, il y a 97 logements résidentiels et 9 branchements non résidentiels sans compteur d’eau et non relevé. La consommation résidentielle est estimée par le calcul suivant :
Consommation non mesurée et facturée * nombre de logements résidentiels / (logements résidentiels + branchements non résidentiels) 
8,327 ML *(97 / (97 + 9))= 7,620 ML.
Art 1.14 : La très faible quantité d'eau distribuée par personne dans la municipalité s'explique par la présence de seulement 9 commerces qui ne consomment pas beaucoup d’eau et de la sensibilisation constante que la municipalité effectue envers la population.
Art 2.2 : Tout comme l'année précédente, ce réseau comporte une faible quantité d'eau distribuée par personne. Cet indicateur est faible, car il s'agit d'un réseau comportant de petites maisons consommant peu selon la municipalité.</t>
  </si>
  <si>
    <t>Art.1.13 : La consommation résidentielle a été mesurée par des compteurs d'eau.
Art.2.1 : L'indice de fuites dans les infrastructures est faible, car le réseau est petit. La municipalité peut donc détecter rapidement l’apparition des fuites avec l’analyse de débits de nuit. Elle peut ensuite les localiser et les réparer rapidement. Aussi, les pertes d'eau sont obtenues en procédant au calcul suivant: eau distribuée - consommation. La consommation a été mesurée à l'aide de compteur qui ont été relevé du 15 novembre 2018 au 15 novembre 2019. Ceci peut expliquer les faibles pertes qui cause un faible IFI.</t>
  </si>
  <si>
    <t xml:space="preserve">Art 1.3 : La municipalité ne pouvait pas fournir le nombre exacte de logements occupés de façon permanente. Profil du recensement, Recensement de 2016 a été consulté afin de connaître le nombre. Ce nombre est confirmé par la municipalité.
Art.1.3 : Staistique sous-estime le nombre de personne par logement. 2,13 pers/log est plus proche à la réalité.
Art 1.13 et Art 2.2 : Pour calculer la consommation résidentielle, un prorata des logements résidentiels et des branchements non résidentiels a été pris en compte.
Sur le réseau, il y a 317 logements résidentiels et 5 branchements non résidentiels sans compteur d’eau et non relevé. La consommation résidentielle est estimée par le calcul suivant :
Consommation non mesurée et facturée * nombre de logements résidentiels / (logements résidentiels + branchements non résidentiels) 
59,811 ML *(317 / (317 + 5))= 58,88 ML.
Art.2.2 : La consommation résidentielle par personne estimée est élevée, car la méthode d'estimation prend la consommation non résidentielle sans compteur d'eau et non relevés au même niveau que la consommation résidentielle. De plus, le débit de nuit a été mesuré le 16 décembre 2019 vers 2h du matin (7,43 m3/h en 2019 et 5,328 m3/h en 2018). Pour l'année 2019, il n'y a pas d'autres valeurs qui existent permettant de comparer si le débit de nuit est conforme.
</t>
  </si>
  <si>
    <t>Municipalité exportatrice : Saint-Casimir (34078)
Municipalité importatrice : Saint-Thuribe (34085)
Saint-Casimir : 114 log, 1,85 pers/log, 211 pers
Saint-Thuribe : 13 log, 1,83 pers/log, 24 pers
Longueur du réseau de Saint-Casimir : 12 300 m
Longueur du réseau de Saint-Thuribe : 0 m (le réseau appartient à la municipalité de Saint-Casimir)
Indice de fuites dans les infrastructures (IFI) du réseau commun : 0,6
Contrôle actif des fuites (localisation et réparation) : oui
Consommation résidentielle estimée pour ce réseau commun : 295 l/pers/d
Eau distribuée pour ce réseau commun : 493 l/pers/d
Installation de compteurs d’eau à la consommation requise : oui (déjà réalisé)
Résultat de validité des données de l’audit de l’eau AWWA : 62
Art 1.13 et 2.2: La consommation résidentielle est estimée avec les relèves 2019 de l’échantillon des 20 compteurs résidentiels. Les compteurs d'eau ont été installé au courant de l'année 2019, certaines estimations ont été réalisées pour compléter les quelques mois de consommation non mesurée. 
Art.2.1 : Il est possible que la consommation d'eau soit surestimée à cause de l'extrapolation sur l'ensemble de l'année. Cela a donc un impact sur l'indice de fuites dans les infrastructures, d'où sa faible valeur. Le Bilan 2020 permettra une meilleure analyse de la situation. La variation de l'indice de fuite dans les infrastructures par rapport à l'an dernier est causée par la modification de la méthode de calcul (analyse de débit de nuit vs bilan d'eau annuel).
Art 2.2 : Il y a une diminution de la consommation résidentielle par rapport au bilan 2018, car la méthode d'estimation a changée (analyse de débit de nuit vs échantillon de compteurs d'eau).</t>
  </si>
  <si>
    <t>Municipalité exportatrice : Saint-Casimir (34078)
Municipalité importatrice : Saint-Thuribe (34085)
Saint-Casimir : 548 log, 1,85 pers/log, 1014 pers
Saint-Thuribe : 94 log, 1,83 pers/log, 172 pers
Longueur du réseau de Saint-Casimir : 24 067 m
Longueur du réseau de Saint-Thuribe : 0 m (le réseau appartient à la municipalité de Saint-Casimir)
Indice de fuites dans les infrastructures (IFI) du réseau commun : 0,5
Contrôle actif des fuites (localisation et réparation) : oui
Consommation résidentielle estimée pour ce réseau commun : 365 l/pers/d
Eau distribuée pour ce réseau commun : 456 l/pers/d
Installation de compteurs d’eau à la consommation requise : oui (déjà réalisé)
Résultat de validité des données de l’audit de l’eau AWWA : 66
Art 1.13 et 2.2: La consommation résidentielle est estimée avec les relèves 2019 de l’échantillon des 20 compteurs résidentiels. Les compteurs d'eau ont été installé au courant de l'année 2019, certaines estimations ont été réalisées pour compléter les quelques mois de consommation non mesurée. 
Art.2.1 : Il est possible que la consommation d'eau soit surestimée à cause de l'extrapolation sur l'ensemble de l'année. Cela a donc un impact sur l'indice de fuites dans les infrastructures, d'où sa faible valeur. Le Bilan 2020 permettra une meilleure analyse de la situation. La variation de l'indice de fuite dans les infrastructures par rapport à l'an dernier est causée par la modification de la méthode de calcul (analyse de débit de nuit vs bilan d'eau annuel).
Art 2.2 : Il y a une diminution de la consommation résidentielle par rapport au bilan 2018, car la méthode d'estimation a changée (analyse de débit de nuit vs échantillon de compteurs d'eau).</t>
  </si>
  <si>
    <t xml:space="preserve">Art 1.3 : Le nombre de logements desservis permanent provient du formulaire de l'eau 2016. Une mise a jour serait préféreable pour le prochain Bilan
Art 1.13 et Art 2.2 : Pour calculer la consommation résidentielle, un prorata des logements résidentiels et des branchements non résidentiels a été pris en compte.
Sur le réseau, il y a 1 792 logements résidentiels et 279 branchements non résidentiels actifs sans compteur d’eau et non relevé. La consommation résidentielle est estimée par le calcul suivant :
Consommation non mesurée et facturée * nombre de logements résidentiels / (logements résidentiels + branchements non résidentiels actifs) 
336,969 ML * 1792 / (1792 + 279) = 291,574 ML.
La consommation résidentielle par personne estimée est élevée, car la méthode d'estimation prend la consommation non résidentielle sans compteur d'eau et non relevés au même niveau que la consommation résidentielle. 
Art 1.15 et 2.1: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 La municipalité dessert 2 système de refroidissement à l'eau, 3 fermes laitières d'environ 600 têtes chaques, une procherie de taille semblable et 4 grosses usines qui consomment tous de l'eau la nuit.
Art 2.3 : Résultat de 37 dû à une cote de 3 attribuée au volume d'eau produite et exportée, car les débitmètres n’ont pas été vérifiés. Afin d'augmenter cette cote, les débitmètres devraient être vérifiés annuellement tout en s’assurant de respecter les conditions d’installation du manufacturier.
</t>
  </si>
  <si>
    <t xml:space="preserve">Art 1.3 : Le nombre de logements résidentiels a changé depuis 2019, car il a précédemment été inscrit le nombre de branchements de services plutôt que le nombre de logements résidentiels desservis et occupés de façon permanente. La municipalité a 241 branchements résidentiels pour un total de 329 logements résidentiels.
Art 1.13 et Art 2.2 : Pour calculer la consommation résidentielle, un prorata des logements résidentiels et des branchements non résidentiels a été pris en compte.
Sur le réseau, il y a 329 logements résidentiels et 12 branchements non résidentiels actifs sans compteur d’eau et non relevé. La consommation résidentielle est estimée par le calcul suivant :
Consommation non mesurée et facturée * nombre de logements résidentiels / (logements résidentiels + branchements non résidentiels actifs) 
60,401 ML *(329 / (329 + 12))= 58,275 ML.
Art.1.16 : L'écart entre les pertes d'eau réelles inévitables 2018 et 2019 s'explique par la bonification de la donnée utilisée pour le nombre de branchements de service sur le réseau.
Art.2.2 : La consommation résidentielle par personne estimée est élevée, car la méthode d'estimation prend la consommation non résidentielle sans compteur d'eau et non relevés au même niveau que la consommation résidentielle. </t>
  </si>
  <si>
    <t>Art 1.4 : Le nombre de personne par logement de Statistique Canada a été utilisé. La donnée avait été modifiée en 2018, mais la valeur de 1,94 est représentative de la situation actuelle de la municipalité.
Art 1.9 : La municipalité garde une pression élevée afin de désservir les usagers à la fin de son réseau. Elle n'a pas de réducteur de pression, alors la pression moyenne sur le réseau est élevée.
Art.1.14 : Il y a une diminution du volume d’eau distribué par rapport au bilan 2018 (83,671 ML). Cette variation est probablement attibuable à la réparation de 2 fuites sur le réseau en 2018 et la sensibilisation que la municipalité fait à ces citoyens.
Art 1.13 et Art 2.2 : Pour calculer la consommation résidentielle, un prorata des logements résidentiels et des immeubles non résidentiels a été pris en compte.
Sur le réseau, il y a 372 logements résidentiels et 12 immeubles non résidentiels sans compteur d’eau et non relevé. La consommation résidentielle est estimée par le calcul suivant :
Consommation non mesurée et facturée * nombre de logements résidentiels / (logements résidentiels  + immeubles non résidentiels) 
61,602 ML *(372/(372+ 12))= 59,677 ML.
Art.2.2 : Il y a une diminution de la consommation résidentielle par personne par rapport à 2018 (294 l/pers/d). Cette diminution est attribuable à la bonification de la donnée sur la population désservie par le réseau de distribution et par la sensibilisation que la municipalité fait à ces citoyens.</t>
  </si>
  <si>
    <t xml:space="preserve">Art 1.13 et Art 2.2 : Pour calculer la consommation résidentielle, un prorata des logements résidentiels et des branchements non résidentiels a été pris en compte.
Sur le réseau, il y a 431 logements résidentiels et 24 branchements non résidentiels actifs sans compteur d’eau et non relevé. La consommation résidentielle est estimée par le calcul suivant :
Consommation non mesurée et facturée * nombre de logements résidentiels / (logements résidentiels + branchements non résidentiels actifs) 
99,626 ML *(431 / (431 + 24))= 94,371 ML.
Art.1.14 : Il y a une diminution du volume d’eau distribué par rapport au bilan 2018 (197,814 ML). La réparation de 2 fuites en 2018 et 3 fuites en 2019 pourraient contribuer à la diminution du volume d'eau distribué. De plus, des problèmes de télémétrie entre les 2 installations de traitement ont causés des débordements au réservoir jusqu'à la fin de 2019, ce qui pourrait expliquer la grande quantité d'eau distribuée en 2018 et sa diminution en 2019. Une différence devrait également être constatée au bilan 2020.
Art.1.15 : Une erreur a été faite dans le bilan 2018. Avec le débit de nuit fourni par la municipalité(97 l/min), les PER aurait du être de 38,101 ML. Cette erreur explique aussi la variation de la consommation résidentielle par rapport à 2018 (153,505 ML).
Art.2.2 : La consommation résidentielle par personne estimée est élevée, car la méthode d'estimation prend la consommation non résidentielle sans compteur d'eau et non relevés au même niveau que la consommation résidentielle. </t>
  </si>
  <si>
    <t>Art.2.1 : Il est recommandé d’effectuer un contrôle actif des fuites, car pour les réseaux dont l’indicateur de pertes d'eau dépasse la valeur de comparaison, un contrôle actif des fuites sur l’équivalent de 200 % de la longueur sera requis d'ici le 1er septembre 2021.
Art.2.2 : La municipalité pourra mieux estimer la consommation résidentielle en installant des compteurs d’eau dans le secteur résidentiel et en effectuant des relèves sur les compteurs déjà installés.</t>
  </si>
  <si>
    <t>Art 1.13 et Art 2.2 : Pour calculer la consommation résidentielle, un prorata des logements résidentiels et des branchements non résidentiels a été pris en compte.
Sur le réseau, il y a 152 logements résidentiels et 7 branchements non résidentiels sans compteur d’eau et non relevé. La consommation résidentielle est estimée par le calcul suivant :
Consommation non mesurée et facturée * nombre de logements résidentiels / (logements résidentiels + branchements non résidentiels) 
31,047 ML *(152 / (152 + 7))= 29,680 ML.
Art.1.14 : Il y a une augmentation du volume d’eau distribué par rapport au bilan 2018. Il y a eu des travaux qui ont nécessité un usage important d’eau potable entre les mois de juillet et septembre.
Art.1.16 : La variation des PERI par rapport à 2018 peut s'expliquer par la variation de la valeur de la presison. En 2018, la pression avait été prise à l'usine, alors qu'elle a été prise aux poteaux incendie en 2019.
Art.2.2 : La consommation résidentielle par personne estimée est élevée, car la méthode d'estimation prend la consommation non résidentielle sans compteur d'eau et non relevés au même niveau que la consommation résidentielle. De plus, la méthode du débit de nuit minimum ne considère pas le débit de nuit plus élevé dans les pertes, mais dans la consommation, ce qui surestime la consommation 2019.</t>
  </si>
  <si>
    <t xml:space="preserve">Art 1.13 et Art 2.2 La consommation résidentielle a été mesurée par des compteurs d'eau et à l'aide d'un prorata des logements résidentiels et des branchements non résidentiels.
Sur le réseau, il y a 350 logements résidentiels sans compteurs, 5 branchements résidentiels avec compteurs et 15 branchements non résidentiels sans compteur d’eau et non relevé. La consommation résidentielle est estimée par le calcul suivant:
Consommation des 5 branchements résidentiels avec compteurs + consommation non mesurée et facturée * nombre de logements résidentiels / (logements résidentiels + branchements non résidentiels) .
1,997 ML+ 55,197 ML *(350 / (350 + 15))= 54,9256 ML.
Art 2.2 : Il y a une augmentation de la consommation résidentielle par rapport au bilan 2018. En 2018, 260 logements résidentiels avaient été pris en compte pour le calcul de la consommation résidentielle or il y en a 350. Ces 350 logements ont été utilisés dans le calcul en 2019, ce qui explique l'augmentation de la consommation résidentielle.
Art 2.3 : Résultat de 42 dû à une cote de 5 attribuée au volume d'eau produite, car le débitmètre n’a pas été vérifié. Afin d'augmenter cette cote, le débitmètre devrait être vérifié annuellement tout en s’assurant de respecter les conditions d’installation du manufacturier.
</t>
  </si>
  <si>
    <t xml:space="preserve">Art 1.14: Selon les premiers résultats de la vérification du débitmètre à l'eau distribuée, la quantité d'eau distribuée est sous-estimée. Des correctifs seront à apporter dans les prochains mois pour améliorer la qualité du bilan.
Art 1.13 et Art 2.2 : Pour calculer la consommation résidentielle, un prorata des logements résidentiels et des branchements non résidentiels a été pris en compte.
Sur le réseau, il y a 357 logements résidentiels et 14 branchements non résidentiels sans compteur d’eau et non relevé. La consommation résidentielle est estimée par le calcul suivant :
Consommation non mesurée et facturée * nombre de logements résidentiels / (logements résidentiels + branchements non résidentiels) 
49,755 ML *(357 / (357 + 14))= 47,877 ML.
Art.1.15 : L'écart entre les pertes d'eau réelles 2018 et 2019 s'explique par la bonification des hypothèses utilisées. Les consommations de nuit utilisées ont été mises à jour afin de mieux estimer les pertes d’eau réelles à partir du débit de nuit minimum.
</t>
  </si>
  <si>
    <t>Art.2.1 : Il est recommandé d’effectuer un contrôle actif des fuites, car pour les réseaux dont l’indicateur de pertes d'eau dépasse la valeur de comparaison, un contrôle actif des fuites sur l’équivalent de 200 % de la longueur sera requis d'ici le 1er septembre 2021.
Si la municipalité dépasse un des objectifs au bilan 2021, l’installation de compteurs d’eau dans tous les immeubles non résidentiels (Industries, Commerces et Institutions), les immeubles mixtes ciblés, les immeubles municipaux et sur un échantillon de 20 immeubles résidentiels sera requise progressivement d'ici le 1er septembre 2025.</t>
  </si>
  <si>
    <t xml:space="preserve">Art 1.4 : L’estimation 2019 du nombre de personnes par logements de statistique Canada sous-estime la population résidentielle desservie et occupée de façon permanente. Une population de 357 personnes est plus représentative.
Art 1.13 et Art 2.2 : Pour calculer la consommation résidentielle, un prorata des logements résidentiels et des branchements non résidentiels a été pris en compte.
Sur le réseau, il y a 188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28,894 ML *(188 / (188 + 11))= 27,297 ML.
Art.1.15 : L'écart entre les pertes d'eau réelles 2018 et 2019 s'explique par la présence d'une fuite sur un branchement de service en 2018 qui a fuit pendant 15. La fuite a été réparée en 2018, ce qui a fait diminuer les fuites en 2019.
</t>
  </si>
  <si>
    <t>Art.1.13 : La consommation résidentielle a été mesurée par des compteurs d'eau.
Art.2.1 : L'indice de fuites dans les infrastructures est faible, car le réseau est grand, mais a peu de branchements de services; donc, possède des PERI élevés. 
Art 2.2 : Tout comme l'année précédente, ce réseau comporte une faible quantité d'eau distribuée par personne. Cet indicateur est faible, car il s'agit d'un réseau comportant de petites maisons consommant peu selon la municipalité.</t>
  </si>
  <si>
    <t xml:space="preserve">Art 1.3 et Art 2.2 : La consommation résidentielle correspond au volume d'eau non mesuré et facturé de l'audit de l'eau de l'AWWA. La municipalité compte installer un compteur d'eau afin de mesurer les eaux de lavage et ainsi obtenir une estimation plus précise de la consommation résidentielle.
Art.1.15 : L'écart entre les pertes d'eau réelles 2018 et 2019 s'explique par la bonification des hypothèses utilisées. Les consommations de nuit utilisées ont été mises à jour afin de mieux estimer les pertes d’eau réelles à partir du débit de nuit minimum. Aussi, on observe une augmentation du débit de nuit minimum, ce qui suggère la possible apparition de fuites. Aucune recherche de fuites n'a été faite en 2019.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</si>
  <si>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 xml:space="preserve">Art 1.13 et Art 2.2 : Pour calculer la consommation résidentielle, un prorata des logements résidentiels et des branchements non résidentiels a été pris en compte.
Sur le réseau, il y a 743 logements résidentiels et 20 branchements non résidentiels sans compteur d’eau et non relevé. La consommation résidentielle est estimée par le calcul suivant :
Consommation non mesurée et facturée * nombre de logements résidentiels / (logements résidentiels + branchements non résidentiels) 
208,397 ML *(743 / (743 + 20))= 202,934 ML.
Art.2.2 : La consommation résidentielle par personne estimée est élevée, car la méthode d'estimation prend la consommation non résidentielle sans compteur d'eau et non relevés au même niveau que la consommation résidentielle. </t>
  </si>
  <si>
    <t>Art 1.3 : Le nombre de logements résidentiels a changé depuis 2019, car il a précédemment été inscrit le nombre de branchements de services plutôt que le nombre de logements résidentiels desservis et occupés de façon permanente. Le nombre de logements 2019 est la valeur corrigée soit 665 logements desservis et occupés de façon permanente. Ce nombre provient du rapport de taxation et il est plus représentatif.
Art 1.5 : La population a augmentée par rapport à 2018, puisqu'elle avait été estimée à partir du nombre de logements. Le nombre de logements ayant augmenté, la population a fait de même.
Art 1.13 et Art 2.2 : Pour calculer la consommation résidentielle, un prorata des logements résidentiels et des branchements non résidentiels a été pris en compte.
Sur le réseau, il y a 665 logements résidentiels et 15 branchements non résidentiels actifs sans compteur d’eau et non relevé. La consommation résidentielle est estimée par le calcul suivant :
Consommation non mesurée et facturée * nombre de logements résidentiels / (logements résidentiels + branchements non résidentiels actifs) 
102,252 ML *(665 / (665 +15)) = 99,996 ML.
Art 1.14 et 2.2 : La population considérée en 2019 est plus grande qu'en 2018, mais la quantité d'eau distribuée est restée sensiblement la même. Ceci explique donc pourquoi la quantité d'eau distribuée par personne ainsi que la consommation résidentielle par personne ont diminué par rapport à 2018.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 Dans le cas de la municipalité de Scott, la configuration actuelle de l'usine empêche de valider les lectures du débitmètre à l'aide d'un débitmètre étalon. Il est alors possible de vérifier les lectures du débitmètre en les comparant aux variations de volume dans le réservoir.</t>
  </si>
  <si>
    <t>Art 1.3 : Les logements de la réserve autochtones avaient étés inclus dans le bilan 2018. L'eau est maintenant considérée comme exportéeet les logements ont étés séparés.
Art 1.13 et Art 2.2 : Pour calculer la consommation résidentielle, un prorata des logements résidentiels et des branchements non résidentiels a été pris en compte.
Sur le réseau, il y a 11 874 logements résidentiels et 179 branchements non résidentiels actifs sans compteur d’eau et non relevé. La consommation résidentielle est estimée par le calcul suivant :
Consommation non mesurée et facturée * nombre de logements résidentiels / (logements résidentiels + branchements non résidentiels actifs) 
3584,154 ML * 11 874 / (11 874 + 179) = 3 530,926 ML.
La consommation résidentielle par personne estimée est élevée, car la méthode d'estimation prend la consommation non résidentielle sans compteur d'eau et non relevés au même niveau que la consommation résidentielle. 
Art 2.3 : Résultat de 59 dû à une cote de 1 attribuée au volume d'eau exportée, car le débitmètre n’a pas été vérifiés. Afin d'augmenter cette cote, le volume expoté devrait être mesurés par des débitmètres vérifiés annuellement tout en s’assurant de respecter les conditions d’installation du manufacturier.</t>
  </si>
  <si>
    <t>Art 1.13 et Art 2.2 : Pour calculer la consommation résidentielle, un prorata des logements résidentiels et des branchements non résidentiels a été pris en compte.
Sur le réseau, il y a 314 logements résidentiels et 16 branchements non résidentiels actifs sans compteur d’eau et non relevé. La consommation résidentielle est estimée par le calcul suivant :
Consommation non mesurée et facturée * nombre de logements résidentiels / (logements résidentiels + branchements non résidentiels actifs) 
77,634 ML * 314 / (314 + 16) = 73,869 ML.
La consommation résidentielle par personne estimée est élevée, car la méthode d'estimation prend la consommation non résidentielle sans compteur d'eau et non relevés au même niveau que la consommation résidentielle. 
Art 1.15 réparation de fuite avec grand impact</t>
  </si>
  <si>
    <t>Art 1.13 et Art 2.2 : Pour calculer la consommation résidentielle, un prorata des logements résidentiels et des branchements non résidentiels a été pris en compte.
Sur le réseau, il y a 87 logements résidentiels et 7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12,056 ML * 87 / (87 + 7) = 11,158 ML.
Art 1.15 et 2.1 : Les pertes ont diminuées par rapport à 2018 grâce à des réparations de fuites.</t>
  </si>
  <si>
    <t>Art 1.13 et Art 2.2 : Pour calculer la consommation résidentielle, un prorata des logements résidentiels et des branchements non résidentiels a été pris en compte.
Sur le réseau, il y a 304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100,647 ML * 304 / (304 + 4) = 99,340 ML.
La consommation résidentielle par personne estimée est élevée, car la méthode d'estimation prend la consommation non résidentielle sans compteur d'eau et non relevés au même niveau que la consommation résidentielle. 
Art 1.15 et 2.1 : Une fuite apparue en début d'année et réparée en novembre cause le grand IFI, la recherche de fuite est difficile dans ce réseau et la distribution a augmentée jusqu'àc ce qu'un résident se plaingne d'une baisse de pression.</t>
  </si>
  <si>
    <t>Art 1.9: En 2019, 100 % des bornes fontaines ont fait l'objet d'essais de capacité hydraulique. La donnée de pression moyenne est issue de ces essais sur les 284 bornes fontaines. Pression statique  moyenne mesurée  : 93,7 Psi ou 65,9 Mce + 2Mce pour la profondeur du réseau. valeur retenue : 67,9 Mce
Art 1.3 et Art 2.2 : Pour calculer la consommation résidentielle, un prorata des logements résidentiels et des logements non résidentiels ont été pris en compte.
Sur le réseau, il y a 1363 logements résidentiels et 22 immeubles non résidentiels. La consommation résidentielle est estimée par le calcul suivant :
Consommation non mesurée et facturée * nombre de logements résidentiels / (logements résidentiels  + immeubles non résidentiels) 
274,648 ML *(1363 / (1363+22))= 22,76 ML.
Art 2.1 : L'indice de fuites dans les infrastructures est très faible pour ce réseau. Il s'agit d'un réseau très jeune (2010) en excellente condition.</t>
  </si>
  <si>
    <t>Art 1.13 et Art 2.2 : Pour calculer la consommation résidentielle, un prorata des logements résidentiels et des branchements non résidentiels a été pris en compte.
Sur le réseau, il y a 8 331 logements résidentiels et une estmation de 124 branchements non résidentiels actifs sans compteur d’eau et non relevé. La consommation résidentielle est estimée par le calcul suivant :
Consommation non mesurée et facturée * nombre de logements résidentiels / (logements résidentiels + branchements non résidentiels actifs) 
1 615,230 ML* 8 331 / (8 331 + 124) = 1 591,606 ML
Art 1.16 : L'écart entre les PERI 2018 et celles-ci s'explique par le changement de pression moyenne au point représentatif. Elle a été évlué par la pression moyenne des poteaux incendie cette année.
Art 2.1 Grosse campagne de recherche et réparation de fuites conduite en 2019-2020, une amélioration de L'IFI est prévue pour le Bilan 2020</t>
  </si>
  <si>
    <t>Art 1.13 et Art 2.2 : Pour calculer la consommation résidentielle, un prorata des logements résidentiels et des branchements non résidentiels a été pris en compte.
Sur le réseau, il y a 17 249 logements résidentiels et une estmation de 322 branchements non résidentiels actifs sans compteur d’eau et non relevé. La consommation résidentielle est estimée par le calcul suivant :
Consommation non mesurée et facturée * nombre de logements résidentiels / (logements résidentiels + branchements non résidentiels actifs) 
5 079,727 ML * 17 249 / (17 249 + 322) = 4986,638 ML.
Art 1.16 : L'écart entre les PERI 2018 et celles-ci s'explique par le changement de pression moyenne au point représentatif. Elle a été évlué par la pression moyenne des poteaux incendie cette année.
Art 1.15 et 2.1 : Les PER proviennent du Bilan 2018, les données 2019 n'étant pas disponibles</t>
  </si>
  <si>
    <t xml:space="preserve">Art 1.13 &amp; 2.1 : La consommation résidentielle a été estimée en utilisant le volume d'eau non mesurée et facturée de l'audit de l'eau de l'AWWA. (Eau distribuée - Pertes d'eau = Consommation)
Art 2.2 &amp; 2.3 : La quantité d'eau distribuée ainsi que la consommation résidentielle sont très faibles. En effet, les habitants de la municipalité sont très sensibilisés par rapport à l'usage de l'eau potable. De plus, puit utilisé présentement est le résultat d'une mise aux normes par rapport à la qualité de l'eau. Les usagers ont pu garder certaines habitudes de consommation qui expliquent ces faibles résultats. De plus, le nombre de personnes par logement serait peut être sur-estimé. 
Art.2.1 : L'indice de fuites dans les infrastructures est faible, car le réseau est petit. La municipalité peut donc détecter rapidement l’apparition des fuites avec l’analyse de débits de nuit. Elle peut ensuite les localiser et les réparer rapidement. </t>
  </si>
  <si>
    <t>Art 1.6 et 1.16 : La longueur du réseau  a été revue à la hausse par la ville, ceci explique la différence des PERI
Art 1.9 : La pression est élevée et provient du modèle hydraulique du réseau d'aqueduc
Art 1.13 et 2.2 : Ls consommation résidentielle a été estimée par une étude de consommation (SSC) sur le secteur Kennedy en 2019. La valeur de consomamtion précédente provenait d'une étude semblable, mais effectuée en 2003. Ceci explique le changemet de la consommation résidentiel.
Art 1.15 et 2.1 : Le changement de méthodologie de calcul de la consommation influence la quantitée d'eau perdue. LA consommation résidentielle de 2018 était surestimée, cet IFI est donc plus près de la réalité.</t>
  </si>
  <si>
    <t>Art 2.1 &amp; 2.2 : L'indicateur de consommation résidentielle (section 2.2) est basé sur une moyenne québécoise de 250L/pers/jour, à défaut d'un échantillon représentatif de compteurs d'eau permettant d'extrapoler cette donnée à l'ensemble du territoire. Toutefois, la réalité de Sorel-Tracy (grands terrains, résidences avec piscines, etc.) et les bilans de l'eau antérieurs de la Ville de Sorel-Tracy laissent supposer que l'indicateur de consommation résidentielle obtenu dans le bilan de l'eau 2018 est sous-estimé et, par conséquent, que l'IFI (section 2.1) est surestimé. Le relevé des compteurs résidentiels (échantillon) est prévu pour l'année 2020 et permettra de préciser les indicateurs 2.1 et 2.2.</t>
  </si>
  <si>
    <t>Art 2.1 &amp; 2.2 : L'indicateur de consommation résidentielle (section 2.2) est basé sur une moyenne québécoise de 250L/pers/jour, à défaut d'un échantillon représentatif de compteurs d'eau permettant d'extrapoler cette donnée à l'ensemble du territoire. Toutefois, la réalité de Sorel-Tracy (grands terrains, résidences avec piscines, etc.) et les bilans de l'eau antérieurs de la Ville de Sorel-Tracy laissent supposer que l'indicateur de consommation résidentielle obtenu dans le bilan de l'eau 2018 est sous-estimé et, par conséquent, que l'IFI (section 2.1) est surestimé. Le relevé des compteurs résidentiels (échantillon) est prévu pour l'année 2020 et permettra de préciser les indicateurs 2.1 et 2.2.
Art 2.3 : Pour la validité des données de l'audit de l'eau AWWA (indicateur 2.4), l'absence de débitmètre sur les conduites acheminant l'eau potable vers St-Joseph-de-Sorel ne permet pas une mesure précise de l'eau distribuée pour le secteur Tracy et la municipalité de Saint-Joseph-de-Sorel. La Ville de Sorel-Tracy évaluera les possibilités à cet effet afin d'améliorer cet indicateur.</t>
  </si>
  <si>
    <t>Art 1.5 et 1.14 : La population  a varié depuis le Bilan 2018, car l'estimarion de population de Statistiques Canada a été mis à jour. 
Art 1.13 et Art 2.2 : Pour calculer la consommation résidentielle, un prorata des logements résidentiels et des branchements non résidentiels a été pris en compte.
Sur le réseau, il y a 44 logements résidentiels et 3 branchements non résidentiels actifs sans compteur d’eau et non relevé. La consommation résidentielle est estimée par le calcul suivant :
Consommation non mesurée et facturée * nombre de logements résidentiels / (logements résidentiels + branchements non résidentiels actifs) 
5,723 ML * 44 / (44 + 3) = 5,358 ML.
En 2018, les branchements non résidentiels inactifs avaient été inclus dans ce calcul, ce qui fausse les valeurs. 
Art.1.14 : Il y a une augmentation du volume d’eau distribué par rapport au bilan 2018. Un e des raisons pourrait être que le débitmètre n’a pas été vérifié. Par conséquent, l’erreur associée au volume d’eau distribué n’est pas connue. Ou il y a peut-être l'apparition de certaines fuites qui expliquerait la hausse des pertes d’eau et de l’eau distribuée. Celles-ci n’ont pas été détectées, car la municipalité n’a pas fait de recherche de fuites et ne peut me fournir les débits de nuit 2019.
Art 2.3 : Résultat de 46 dû à une cote de 5 attribuée au volume d'eau produite, car le débitmètre n’a pas été vérifiés. Afin d'augmenter cette cote, les débitmètres devrait être vérifié annuellement tout en s’assurant de respecter les conditions d’installation du manufacturier.</t>
  </si>
  <si>
    <t xml:space="preserve">Art 1.4 : Le nombre de logements et la population sont les mêmes qu’en 2018. L’estimation 2018 du nombre de personnes par logement est utilisée.
Art 1.14 : La méthode d'estimation de l'eau exportée a été raffinée cette année, ce qui explique la différence d'eau distribuée.
Art 2.2 : La consommation résidentielle a été obtenu par le calcul suivant : Eau distribuée - Pertes d'eau - Consommation non résidentielle mesurée et estimée = Consommation résidentielle. </t>
  </si>
  <si>
    <t>Art.1.13 : La consommation résidentielle a été mesurée par des compteurs d'eau.
Art.1.14 &amp; 1.15 : Il y a une diminution du volume d’eau distribué par rapport au bilan 2018, une fuite importante a été réparé. Ceci a diminué les pertes d’eau réelles et l’eau distribuée.
Art 2.1 : Dû à l'importante fuite présente sur le réseau l'an dernier, l'IFI avait été calculé avec la moyenne des PER des trois années précédentes.</t>
  </si>
  <si>
    <t>Art 1.9 &amp; 1.14 La diminution de la pression a contribué à diminuer les PERI car un ajusteur de presion à été installé à l'usine.
Art 1.13 et 2.1 : Les PER sont élevées comparés au DNM de la muncipalité, l'échantillon de compteurs résidentiels doit sous-estimer la consommation résidentielle de la municipalité.
Art.2.2 : La consommation résidentielle a été mesurée à l’aide de compteur d’eau, plusieurs citoyens laissent l'eau ouverte la nuit pour éviter le gel des conduites. La municipalité a testeé des purges, mais elles s'avèrent inefficaces.</t>
  </si>
  <si>
    <t>La municipalité pourrait mieux estimer la consommation résidentielle en installant des compteurs d’eau sur 10% de ses logements résidetiels et en effectuant des relèves. Conformément à l'Option 8 de l'Art 3.1 de l'onglet État &amp; Plan d'action</t>
  </si>
  <si>
    <t>Art 1.2 : Agrandissement pour permettre d'avoir un réseau au lieu de deux réseaux.
Art 1.3 et Art 2.2 : Pour calculer la consommation résidentielle, un prorata des logements résidentiels et des logements non résidentiels ont été pris en compte.
Sur le réseau, il y a 1299 logements résidentiels et 141 immeubles non résidentiels. La consommation résidentielle est estimée par le calcul suivant :
 Consommation non mesurée et facturée * nombre de logements résidentiels / (logements résidentiels  + immeubles non résidentiels) 
362,594 ML *(1299 / (1299+141))= 327,090 ML.
Art.2.1 : L'indice de fuites dans les infrastructures dépasse l'objectif. Les pertes d'eau réelles ont été déterminées à partir du débit de nuit 2017 et ce dernier est assez élevé dû notamment à l'importance du secteur non résidentiel dans la municipalité. L'installation de compteurs d'eau dans la prochaine année permettra de départager les consommations non résidentielles de nuit et les fuites sur le réseau.
Art 2.2 : La consommation résidentielle par personne estimée est élevée, car la méthode d'estimation prend la consommation non résidentielle sans compteur d'eau et non relevés au même niveau que la consommation résidentielle. La portion non résidentielle est ensuite déduite. La municipalité pourra mieux estimer la consommation résidentielle en installant des compteurs d’eau et en effectuant des relèves.</t>
  </si>
  <si>
    <t>Art 1.3 et Art 2.2 : Pour calculer la consommation résidentielle, un prorata des logements résidentiels et des logements non résidentiels ont été pris en compte.
Sur le réseau, il y a 731 logements résidentiels et 51 immeubles non résidentiels. La consommation résidentielle est estimée par le calcul suivant :
 Consommation non mesurée et facturée * nombre de logements résidentiels / (logements résidentiels  + immeubles non résidentiels) 
214,995 ML *(731/ (731+51))= 200,974 ML.
Art.2.1 : L'indice de fuites dans les infrastructures dépasse l'objectif. Les pertes d'eau réelles ont été déterminées à partir du débit de nuit 2017 et ce dernier est assez élevé dû notamment à l'importance du secteur non résidentiel dans la municipalité. Le poste de chloration n'est plus en service depuis mars 2020. Il n'était donc pas possible d'aller sur le site pour extraire les valeurs de 2019, car le système n'est plus fonctionnel.
L'installation de compteurs d'eau dans la prochaine année permettra de départager les consommations non résidentielles de nuit et les fuites sur le réseau. 
Art.1.14 : Il y a une augmentation du volume d’eau distribué par rapport au bilan 2018. Il y a eu une purge permanente sur le Chemin du Lac le temps que la mise aux normes de l'eau potable soit effectuée.
Art 2.2 : La consommation résidentielle par personne estimée est élevée, car la méthode d'estimation prend la consommation non résidentielle sans compteur d'eau et non relevés au même niveau que la consommation résidentielle. La portion non résidentielle est ensuite déduite. La municipalité pourra mieux estimer la consommation résidentielle en installant des compteurs d’eau et en effectuant des relèves.</t>
  </si>
  <si>
    <t>Art 1.13 et Art 2.2 : Pour calculer la consommation résidentielle, un prorata des logements résidentiels et des branchements non résidentiels a été pris en compte.
Sur le réseau, il y a 834 logements résidentiels et 10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139,290 ML *(834 / (834 + 10))= 137,640 ML.
Art.1.13 : L'installation et la relève d'un compteur d'eau sur une usine de polystyrène a contribué à séparer la consommation résidentielle et non-résidentielle et à diminuer la consommation résidentielle par rapport à 2018 (201,328 ML). La population a également été fortement sensibilisée à l’usage de l’eau et fait attention à sa consommation
Art.1.14 : Il y a une diminution du volume d'eau distribué par rapport à 2018 (240,447 ML). Cette variation est explicable par le grand effort de sensibilisation que la municipalité fait auprès de ses citoyens. Cette diminution a cependant été contrbalancée en 2019 par la perte de 32,901 ML d'eau à cause des travaux sur le 3e et 4e boulevard en 2019. La différence devrait être plus marquée au bilan 2020.</t>
  </si>
  <si>
    <t xml:space="preserve">Art 1.13 et Art 2.2 : Pour calculer la consommation résidentielle, un prorata des logements résidentiels et des branchements non résidentiels a été pris en compte.
Sur le réseau, il y a 43 823 logements résidentiels et 280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12 300 ML *(43 823/ (43 823 + 280))= 12 221,910 ML.
</t>
  </si>
  <si>
    <t>Art 1.13 et Art 2.2 : Pour calculer la consommation résidentielle, un prorata des logements résidentiels et des branchements non résidentiels a été pris en compte.
Sur le réseau, il y a 1840 logements résidentiels et 202 branchements non résidentiels sans compteur d’eau et non relevé. La consommation résidentielle est estimée par le calcul suivant :
Consommation non mesurée et facturée * nombre de logements résidentiels / (logements résidentiels + branchements non résidentiels) 
507,876*(1840/(1840+202))= 457,636
Art 2.1 : En terme de pourcentage, il y a une diminution de 50% (IFI 0,6 en 2018). Ceci est attriabuable à la diminution de perte réelle sur le réseau (intervention pour la réparation des conduites).
Art.2.2 : À noter que la consommation résidentielle par personne estimée est élevée, car la méthode d'estimation prend la consommation non résidentielle sans compteur d'eau et non relevés au même niveau que la consommation résidentielle. L'écart de consommation résidentielle entre l'année 2019 et 2018 se situe à l'interiteur de 10%. La municipalité a confirmé qu'à l'année 2021, concernant 50 compteurs déjà installés dans le secteur non-résidentiel, elle va avoir un système de traitement de donnée plus efficace (tel que enregistrement des données sous forme de fichier Excel).</t>
  </si>
  <si>
    <t xml:space="preserve">Art 1.13 et Art 2.2 : Pour calculer la consommation résidentielle, un prorata des logements résidentiels et des branchements non résidentiels a été pris en compte.
Sur le réseau, il y a 10 695 logements résidentiels et 823 branchements non résidentiels sans compteur d’eau et non relevé. La consommation résidentielle est estimée par le calcul suivant :
Consommation non mesurée et facturée * nombre de logements résidentiels / (logements résidentiels + branchements non résidentiels) 
2995,43*(10 695/(10 695+823))= 2781,4
Art.2.1 : il y a un ajout d'environ 1000 branchements de service dans le secteur résidentiel en comparaison de l'année 2018. La municipalité a confirmé que le nombre de logements reste le même et qu'il est difficile à estimer ce dernier selon le nombre de branchements (actif ou inactif) parce qu'il y a des développements dans le secteur résidentiel ayant besoin de nouveaux branchements qui sont déjà installés ou prévus à être installés, certains actifs et d'autres inactifs. PERI est la même valeur que l'année 2018 parce que le réseau possède exactement le même portrait que l'année précédente. Il y a eu beaucoup de diminution dans PER et ceci est attribuable à des interventions dans le réseau afin de réparer les fuites (débit de nuit moins élevé que l'année 2018)
Art.2.2 : La consommation résidentielle a augmenté en comparaison de l'année 2018(augmentation de 25%). La méthode d'estimation prend la consommation non résidentielle sans compteur d'eau et non relevée au même niveau que la consommation résidentielle. Cette situation implique que ce n'est pas nécessairement les consommateurs résidentiels qui ont consommé plus, mais plutôt le secteur non résidentiel qui a utilisé plus d'eau à l'année 2019. La municipalité a confirmé qu'à l'année 2021, concernant 50 compteurs déjà installés dans le secteur non résidentiel, elle va avoir un système de traitement de données plus efficace (tel que l'enregistrement des données sous forme de fichier Excel).
</t>
  </si>
  <si>
    <t xml:space="preserve">Art. 1.13:  L'estimation de la consommation résidentielle a été effectuée en prenant la consommation «Non mesurée et facturée» de l'audit de l'eau AWWA (308,00 ML/an) et en y retirant la consommation mesurée par le SSC sur les immeubles non résidentiels (entreprises) du Rang 5 (15,66 ML/an). Ensuite, la valeur restante (292,34 ML/an) a été séparée en deux selon la proportion de logements résidentiels (1457) et le nombre d'immeubles non résidentiels non mesurés (36).
Art 1.13 et Art 2.2 : Pour calculer la consommation résidentielle, un prorata des logements résidentiels et des branchements non résidentiels a été pris en compte.
Sur le réseau, il y a 1457 logements résidentiels et 36 branchements non résidentiels sans compteur d’eau et non relevé. La consommation résidentielle est estimée par le calcul suivant :
Consommation non mesurée et facturée * nombre de logements résidentiels / (logements résidentiels + branchements non résidentiels) 
292,34 ML *(1457 / (1457 + 36))= 285.29 ML.
Art 2.1 : L’IFI a diminué par rapport au Bilan 2018 (2,6).  1 km de conduites ont était remplacé sur la rue Galipeau.  Ce renouvellement a diminuée les PER, et donc l’IFI aussi.  </t>
  </si>
  <si>
    <t>Art 1.13 et Art 2.2 : Pour calculer la consommation résidentielle, un prorata des logements résidentiels et des immeubles non résidentiels a été pris en compte.
Sur le réseau, il y a 198 logements résidentiels et 22 immeubles non résidentiels sans compteur d’eau et non relevé. La consommation résidentielle est estimée par le calcul suivant :
Consommation non mesurée et facturée * nombre de logements résidentiels / (logements résidentiels  + immeubles non résidentiels) 
33,673 ML *(198 / (198 + 22))= 30,306 ML.
Art.1.15 : Les pertes d’eau réelles ont augmenté par rapport au bilan 2018 (4,774 ML). Cela provient de la mise à jour du débit de nuit. Ce débit de nuit a cependant été mesuré sur une seule journée.
Art. 2.1 : La variation de l'IFI est directement liée à l'augmentation des pertes d'eau réelles.
Art 2.3 : Résultat de 38 dû à une cote de 3 attribuée au volume d'eau produite, car le débitmètre n’a pas été vérifiés. Afin d'augmenter cette cote, le débitmètre devrait être vérifié annuellement tout en s’assurant de respecter les conditions d’installation du manufacturier.</t>
  </si>
  <si>
    <t>Art. 1.9 : Il est recommandé de prendre une pression moyenne pour le prochain bilan.
Art. 1.15 : La municipalité pourrait mieux calculer le débit de nuit en effectuant des relèves sur l'ensemble de l'année et non sur une seule journée.
Art. 2.3 : La problématique du débitmètre devrait être réglée avant le 1er septembre 2022 afin de dépasser le seuil de 50 pour le résultat de validité de données.</t>
  </si>
  <si>
    <t xml:space="preserve">Art 1.11 : La municipalité est en restriction de l'utilisation de l'eau à cause de 3 puits qui ne fonctionnent pas présentement à cause qu'il n'y a plus d'eau dans la nappe phréatique.
Art 1.13 et Art 2.2 : Pour calculer la consommation résidentielle, un prorata des logements résidentiels et des branchements non résidentiels a été pris en compte.
Sur le réseau, il y a 588 logements résidentiels et 27 branchements non résidentiels sans compteur d’eau et non relevé. La consommation résidentielle est estimée par le calcul suivant :
Consommation non mesurée et facturée * nombre de logements résidentiels / (logements résidentiels + branchements non résidentiels) 
84,403 ML *(615 / (615 + 27))= 80,8533 ML.
Il faut noter que 27 compteurs non résidentiels n'ont pas été relevés.
Art 1.14 : La distribution de l'eau a significativement augmenté en comparaison de l'année 2018. L'augmentation s'explique par des travaux de purge. Voir commentaire Art 2.1.
Art 1.15 : voir commentaire Art 2.1.
Art 2.1 : La municipalité et SMeau Expert ont confirmé que, pendant la construction de nouveau réseau, la municipalité a mis en place un réseau temporaire auquel existaient des purges ouvertes (1'' de diamètre. Il y a eu la fuite d'eau dans le fossé pendant 8 mois) . Ceci a fait augmenter le débit de nuit de l'année 2019 en comparaison de celui de l'année 2018. Le débit de nuit de l'année 2019 était de 10,2 m3/h, mesuré entre 2h00 et 4h00 le 30 novembre 2019.  Après avoir terminé les travaux des purges à l'année 2020, au mois de novembre, la municipalité a mesuré le débit de nuit qui donnait 6,38m3/h.  IFI du bilan 2021 va s'améliorer. (À noter que les purges ont laissé couler l'eau pendant 6 mois à l'année 2020)
Art 2.2 : Il y a une diminution de la consommation résidentielle par rapport au bilan 2018. À cause des travaux des purges mentionnés ci-dessus, il se peut que ce soit juste une variation de valeur parce que le débit de nuit ne suivait pas la courbe normale pour l'année 2019 (il n'est pas possible de savoir exactement combien de volumes d'eau ont été perdus par les purges). Comme les purges ont laissé couler l'eau pendant 6 mois pour l'année 2020, le bilan 2021 représentera mieux la vraie consommation de la municipalité.
</t>
  </si>
  <si>
    <t xml:space="preserve">Art 1.4 : L’estimation 2019 du nombre de personnes par logements de statistique Canada sous-estime la population résidentielle desservie et occupée de façon permanente. Une population de 3 282 personnes est plus représentative.
Art 1.13 et Art 2.2 : Pour calculer la consommation résidentielle, un prorata des logements résidentiels et des branchements non résidentiels a été pris en compte.
Sur le réseau, il y a 1633 logements résidentiels et 125 branchements non résidentiels sans compteur d’eau et non relevé. La consommation résidentielle est estimée par le calcul suivant :
Consommation non mesurée et facturée * nombre de logements résidentiels / (logements résidentiels + branchements non résidentiels) 
372,411 ML *(1633 / (1633 + 125))= 345,931 ML.
Art.2.2 : La consommation résidentielle par personne estimée est élevée, car la méthode d'estimation prend la consommation non résidentielle sans compteur d'eau et non relevés au même niveau que la consommation résidentielle. </t>
  </si>
  <si>
    <t>Art.2.1 : Il est recommandé d’effectuer un contrôle actif des fuites, car pour les réseaux dont l’indicateur de pertes d'eau dépasse la valeur de comparaison, un contrôle actif des fuites sur l’équivalent de 200 % de la longueur sera requis d'ici le 1er septembre 2021.
Art.2.2 : La municipalité pourra mieux estimer la consommation résidentielle en installant des compteurs d’eau et en effectuant des relèves.</t>
  </si>
  <si>
    <t>Art 1.13 et Art 2.2 : Pour calculer la consommation résidentielle, un prorata des logements résidentiels et des branchements non résidentiels a été pris en compte.
Sur le réseau, il y a 21 571 logements résidentiels et 722 branchements non résidentiels sans compteur d’eau et non relevé. La consommation résidentielle est estimée par le calcul suivant :
Consommation non mesurée et facturée * nombre de logements résidentiels / (logements résidentiels + branchements non résidentiels) 
4 785,161 ML * 21 571 / (21 571 + 722) = 4 630,185 ML.
Art.2.1 : Malgré la réduction de pertes d'eau par rapport aux bilans précédents, l'indice de fuites dans les infrastructures dépasse l'objectif. Les pertes d'eau réelles ont été déterminées à partir du débit de nuit minimum et ce dernier est assez élevé. 
Ceci s’explique par la grosse consommation de nuit du secteur non résidentiel qui n’est pas déduite du débit de nuit minimum. L'installation de compteurs d'eau permettra de départager les consommations non résidentielles de nuit et les fuites sur le réseau dans les prochains bilans.
Art.2.2 : La consommation résidentielle par personne estimée est élevée, car la méthode d'estimation prend la consommation non résidentielle sans compteur d'eau et non relevés au même niveau que la consommation résidentielle.</t>
  </si>
  <si>
    <t>Art.2.1 : Il est recommandé d’effectuer un contrôle actif des fuites, car pour les réseaux dont l’indicateur de pertes d'eau dépasse la valeur de comparaison, un contrôle actif des fuites sur l’équivalent de 200 % de la longueur sera requis d'ici le 1er septembre 2021.
Art.2.2 La municipalité pourrait mieux estimer la consommation résidentielle en installant des compteurs d’eau et en effectuant des relèves.</t>
  </si>
  <si>
    <t xml:space="preserve">Art 1.13 et Art 2.2 : Pour calculer la consommation résidentielle, un prorata des logements résidentiels et des branchements non résidentiels a été pris en compte.
Sur le réseau, il y a 47 495 logements résidentiels et 1 863 branchements non résidentiels sans compteur d’eau et non relevé. La consommation résidentielle est estimée par le calcul suivant :
Consommation non mesurée et facturée * nombre de logements résidentiels / (logements résidentiels + branchements non résidentiels) 
8 266,23 ML * 47 495 / ( 47 495 + 1 863) = 7 954,224 ML.
Art 2.1 et 2.2 : Il y a une agmentation des PER et unr diminution de la consommation résidentielle par rapport au bilan 2018. En effet, la bonification des hypothèses utilisées pour l’estimation des pertes d’eau réelles a entrainé une hausse des pertes d’eau et par conséquent une diminution de la consommation résidentielle. </t>
  </si>
  <si>
    <t>Art 1.3 : Il y a eu erreur concernant le nombre de logements dans les formulaires antérieurs, le nombre de logements 2019 est la valeur corrigée soit 2 427 logements desservis et occupés de façon permanente. Ce nombre provient de la municipalité et il est plus représentatif.
Art 1.13 et Art 2.2 : Pour calculer la consommation résidentielle, un prorata des logements résidentiels et des branchements non résidentiels a été pris en compte.
Sur le réseau, il y a 2 427 logements résidentiels et 148 branchements non résidentiels sans compteur d’eau et non relevé. La consommation résidentielle est estimée par le calcul suivant :
Consommation non mesurée et facturée * nombre de logements résidentiels / (logements résidentiels + branchements non résidentiels) 
436,767 ML * 2 148 / ( 2148 + 148) = 408,613 ML.
Art 2.2 : Il y a une augmentation de la consommation résidentielle par rapport au bilan 2018. La mise à jour des logements desservis permanents et la bonification des hypothèses de consommation expliques cette différence.</t>
  </si>
  <si>
    <t xml:space="preserve">Art 1.13 et Art 2.2 : Pour calculer la consommation résidentielle, un prorata des logements résidentiels et des branchements non résidentiels a été pris en compte.
Sur le réseau, il y a 526 logements résidentiels et 40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129,613 ML *(526 / (526 + 40))= 120,453 ML.
Art 1.14 : Il y a une hausse du per capita total. Ceci peut s'expliquer par la hausse de la consommation du secteur non résidentiel qui varie d'une année à l'autre. 
Art 1.14 &amp; 2.1 :  L'écart entre l'IFI 2018 et 2019 s'explique par la bonification des hypothèses utilisées. Les consommations de nuit utilisées ont été mises à jour afin de mieux estimer les pertes d’eau réelles à partir du débit de nuit minimum. À partir de 2020, on pourra aussi calculer la quantité d’eau consommée par BBF pendant l’intervalle de nuit puisque l’enregistrement du compteur d’eau est maintenant disponible, ce qui n’était pas le cas en avril 2019.  On voit encore sur le graphique du débit de nuit 21-04-2019 que quelque chose consomme régulièrement de l’eau pendant les deux heures ciblées, ce qu’on arrivera peut-être à expliquer avec l’enregistrement des débits entrant chez BBF. Ainsi, une baisse de l'IFI pourrait être observée au prochain bilan. 
Art 2.2 : La variation de la consommation résidentielle s'explique notemment par la méthode de calcul. (analyse de débit de nuit qui mène à l'estimation de la consommation). Les données de débits de nuit étant sujettees à variations, la consommation résidentielle n'est pas représentative. La relève de l'échantillon de compteurs d'eau donnera une valeur estimée plus proche de la réalité. </t>
  </si>
  <si>
    <t>Art 1.3 : Les immeubles résidentiels sont seulement des maisons unifamiliales (Logements = Immeubles). 
Art 1.13 et Art 2.2 : Pour calculer la consommation résidentielle, un prorata des logements résidentiels et des branchements non résidentiels a été pris en compte.
Sur le réseau, il y a 267 logements résidentiels et 11 branchements non résidentiels sans compteur d’eau et non relevé. La consommation résidentielle est estimée par le calcul suivant :
Consommation non mesurée et facturée * nombre de logements résidentiels / (logements résidentiels + branchements non résidentiels) 
35,983 ML *(267 / (267 + 11))= 34,559 ML.
Art.1.13 et 1.15 : Le débitmètre de la municipalité est en amont du réservoir. Le débti de nuit est inclut donc le remplissage du réservoir. Ceci surestime le débit de nuit distribué par la municipalité, ce qui surestime les pertes d'eau et sous-estime la consommation résidentielle et non résidentielle sur le réseau. Ceci peut aussi expliquer la variation par rapport à l'année 2018, puisque els données ne sont pas représentatives de la situation réelle de la municipalité.
Art 2.3 : Résultat de 45 dû à une cote de 5 attribuée au volume d'eau produite, car le débitmètre n’a pas été vérifiés. Afin d'augmenter cette cote, les débitmètres devrait être vérifié annuellement tout en s’assurant de respecter les conditions d’installation du manufacturier.</t>
  </si>
  <si>
    <t>La municipalité pourra mieux estimer la consommation résidentielle en effectuant la relève annuelle des compteurs qu'elle a installé en 2019.</t>
  </si>
  <si>
    <t xml:space="preserve">Art 1.3, 1.7 &amp; 2.2 : Il y a eu erreur concernant le nombre de logements dans les formulaires antérieurs, le nombre de logements 2019 est la valeur corrigée soit 139 logements desservis et occupés de façon permanente : 96 logements et 43 maisons mobiles qui n'avaient pas été comptabilisé l'an dernier, mais qui sont occupées de façon permanante. Le nombre de branchements a aussi été mis à jour.
Art 1.13 et Art 2.2 : Pour calculer la consommation résidentielle, un prorata des logements résidentiels et des branchements non résidentiels a été pris en compte.
Sur le réseau, il y a 139 logements résidentiels et 22 branchements non résidentiels sans compteur d’eau et non relevé. La consommation résidentielle est estimée par le calcul suivant :
Consommation non mesurée et facturée * nombre de logements résidentiels / (logements résidentiels + branchements non résidentiels) 
17,691 ML *(139 / (139 + 22))= 16,148 ML.
</t>
  </si>
  <si>
    <t>Les valeurs inscrites au Bilan 2018 représentent les indicateurs du réseau commun, ceci est une erreur car le réseau appartenant au Canton est le plus important</t>
  </si>
  <si>
    <t>Bilan conjoint avec la Ville de Valcourt (42055) et Canton de Valcourt (42060) pour la portion du territoire alimentée à partir du Réservoir Carpentier.                                                                                                           
Art.1.3 &amp; 1.4 : Calcul du nombre de personne desservie par le réseau de distribution:                                                                                                                                                                                                                                                            Personnes/logements Ville de Valcourt : 2,41 X nombre de logement desservis 1 149 logements = 2 769 personnes                                                                                                                                                                               Personnes/logement Canton de Valcourt : 1,91 x nombre de logement desservis 75 logements =     143 presonnes                                                                                                                                                                               Population totale ( 2 769 + 143 = 2 912)    Logements total ( 1 149 + 75 = 1 224 ) Personnes par logement (2 912/ 1 224 = 2,38 personne/logement )                                                                                                                     
Art 1.13 et Art 2.2 : Pour calculer la consommation résidentielle, un prorata des logements résidentiels et des branchements non résidentiels a été pris en compte.
Sur le réseau, il y a 1 224 logements résidentiels et 79 branchements non résidentiels sans compteur d’eau et non relevé. La consommation résidentielle est estimée par le calcul suivant :
Consommation non mesurée et facturée * nombre de logements résidentiels / (logements résidentiels + branchements non résidentiels) 
243,040 ML *(1 224 / (1 224 + 79))= 228,305 ML.
Art 1.16 : La mise à jour des branchements de services et de la pression du réseau cause le changement aux PERI de cette année.
Art.1.15, 2.1 &amp; 2.2 : Les pertes d’eau réelles ont augmenté par rapport au bilan 2018 (96,628 ML). Ceci est dû au fait que la consommation résidetielle du bilan 2018 avait été fixée à 250 lpd et le reste avait été attribué aux pertes. Cette méthode n'est plus applicable maintenant. De plus, la consommation de nuit de l'usine BRP a été retirée du DNM cette année (8,29 m³/2h).
Entente de compilation de données pour un réseau de distribution commun :
Municipalité exportatrice : Valcourt (V) (42055)
Municipalité importatrice : Valcourt (CT) (42060)
Valcourt (V) : 1149 log, 2,41 pers/log, 2194 pers
Valcourt (CT) : 75 log, 1,91 pers/log, 143 pers
Longueur du réseau de Valcourt (V) : 25088 m
Longueur du réseau de Valcourt (CT) : 1 375 m
Indice de fuites dans les infrastructures (IFI) du réseau commun : 4,4
Contrôle actif des fuites (localisation et réparation) : OUI
Consommation résidentielle estimée pour ce réseau commun : 215 lpd
Eau distribuée pour ce réseau commun : 429,818 ML
Installation de compteurs d’eau à la consommation requise : OUI
Résultat de validité des données de l’audit de l’eau AWWA : 59</t>
  </si>
  <si>
    <t xml:space="preserve">Art 1.7 et 1.9 : Le nombre de branchements a diminué (il été inscrit le nombre de logements) et la pression a diminué, car cette dernière était en 2018 en PSI.
Art 1.13 et Art 2.2 : Pour calculer la consommation résidentielle, un prorata des logements résidentiels et des branchements non résidentiels a été pris en compte.
Sur le réseau, il y a 2163 logements résidentiels et 152 branchements non résidentiels sans compteur d’eau et non relevé. La consommation résidentielle est estimée par le calcul suivant :
Consommation non mesurée et facturée * nombre de logements résidentiels / (logements résidentiels + branchements non résidentiels) 
367,245 ML *(2163 / (2163 + 152))= 343,132 ML.
Art.1.14 : Il y a une  diminution du volume d’eau distribué par rapport au bilan 2018. 23 fuites ont été réparées durant l’année 2019. Ceci a diminué les pertes d’eau réelles et l’eau distribuée. 
Art.1.15 : Les pertes d’eau réelles ont augmenté par rapport au bilan 2018 (elles étaient de 19,205 ML).D'une part, l'écart entre les pertes d'eau réelles en 2018 et 2019 s'explique par la bonification des hypothèses utilisées. Les consommations de nuit utilisées ont été mises à jour afin de mieux estimer les pertes d’eau réelles à partir du débit de nuit minimum. De plus, la municipalité a fourni un seul débit sur une seule nuit de l'année 2019, il est probable que ce débit ne corresponde pas au débit minimum, par conséquent les pertes d'eau éstimés sont surestimé. Ainsi cela explique une grande variabilité avec les données de 2018. Par ailleurs, il faut noter que les PER de 2018 ont été calculé avec un débit de nuit de 2017 par conséquent il s'agit d'une comparaison des PER entre 2017 et 2019.
Art.2.2 : La consommation résidentielle par personne estimée est élevée, car la méthode d'estimation prend la consommation non résidentielle sans compteur d'eau et non relevés au même niveau que la consommation résidentielle. De plus, il s'agit d'un village touristique et la consommation d'eau peut être assez élevée. Cependant,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comme le volume des purges a été pris en compte en 2019 alors la part de la quantité d'eau consommée a diminué. Par ailleurs comme cette année, le volume des purges a été pris en compte dans le calcul alors moins d'eau est fait partie de la catégorie ''consommation''
</t>
  </si>
  <si>
    <t xml:space="preserve">Art 1.7 et 1.9 : Le nombre de branchements a diminué (il été inscrit le nombre de logements) et la pression a diminué, car cette dernière était en 2018 en PSI.
Art 1.13 et Art 2.2 : Pour calculer la consommation résidentielle, un prorata des logements résidentiels et des branchements non résidentiels a été pris en compte.
Sur le réseau, il y a 737 logements résidentiels et 29 branchements non résidentiels sans compteur d’eau et non relevé. La consommation résidentielle est estimée par le calcul suivant :
Consommation non mesurée et facturée * nombre de logements résidentiels / (logements résidentiels + branchements non résidentiels) 
68,343 ML *(737 / (737 + 29))= 65,756 ML.
Art.1.14 : Il y a une  diminution du volume d’eau distribué par rapport au bilan 2018. 23 fuites ont été réparées durant l’année 2019. Ceci a diminué les pertes d’eau réelles et l’eau distribuée. 
Art.1.15 : Les pertes d’eau réelles ont augmenté par rapport au bilan 2018 (elles étaient de 39,420 ML).D'une part, l'écart entre les pertes d'eau réelles en 2018 et 2019 s'explique par la bonification des hypothèses utilisées. Les consommations de nuit utilisées ont été mises à jour afin de mieux estimer les pertes d’eau réelles à partir du débit de nuit minimum. De plus, la municipalité a fourni un seul débit sur une seule nuit de l'année 2019, il est probable que ce débit ne corresponde pas au débit minimum, par conséquent les pertes d'eau estimées avec ce débit de nuit sont surestimées (et extrapolée sur l'année longue). Ainsi cela explique une grande variabilité avec les données de 2018. Par ailleurs, il faut noter que les PER de 2018 ont été calculé avec un débit de nuit de 2017 par conséquent il s'agit d'une comparaison des PER entre 2017 et 2019.
Art.2.2 : La consommation résidentielle par personne estimée respecte les objectifs. De plus, il s'agit d'un secteur résidentiel contrairement au réseau Chicoine qui alimente un village touristique. Cependant, il y a une diminution de la consommation résidentielle par rapport au bilan 2018. En effet, la bonification des hypothèses utilisées pour l’estimation des pertes d’eau réelles a entraîné une hausse des pertes d’eau et par conséquent une diminution de la consommation résidentielle. De plus comme le volume des purges a été pris en compte en 2019 alors la part de la quantité d'eau consommée a diminué.
</t>
  </si>
  <si>
    <t xml:space="preserve">Art.1.14 : Il y a une diminution du volume d’eau distribué par rapport au bilan 2018.  22 fuites ont été réparées durant l’année 2018/2019. Ceci a diminué les pertes d’eau réelles et l’eau distribuée. 
Art 1.13 et Art 2.2 : Pour calculer la consommation résidentielle, un prorata des logements résidentiels et des branchements non résidentiels a été pris en compte.
Sur le réseau, il y a 12370 logements résidentiels et 873 branchements non résidentiels actifs sans compteur d’eau et non relevé. La consommation résidentielle est estimée par le calcul suivant :
Consommation non mesurée et facturée * nombre de logements résidentiels / (logements résidentiels + branchements non résidentiels actifs) 
2472,608 ML *(12370 / (12370 + 873))= 2309,610 ML.
Art 2.2 : Il y a une augmentation de consommation résidentielle par rapport au bilan 2018.  En 2018, la consommation était évalué avec les immeubles code CUBF, et cette méthode a diminué la consommation NMF.  En 2019, on n’utilise pas cette méthode, et donc le consommation NMF et le consommation résidentielle a augmenté.
</t>
  </si>
  <si>
    <t xml:space="preserve">Art 1.13 et Art 2.2 : Pour calculer la consommation résidentielle, un prorata des logements résidentiels et des branchements non résidentiels a été pris en compte.
Sur le réseau, il y a 109 logements résidentiels et 8 branchements non résidentiels actifs sans compteur d’eau et non relevé. La consommation résidentielle est estimée par le calcul suivant :
Consommation non mesurée et facturée * nombre de logements résidentiels / (logements résidentiels + branchements non résidentiels actifs) 
16,453 ML *(109 / (109 + 8))= 15,328 ML.
Art.1.14 : Il y a une diminution du volume d’eau distribué par rapport au bilan 2018.  22 fuites ont été réparées durant l’année 2018/2019. Ceci a diminué les pertes d’eau réelles et l’eau distribuée.
</t>
  </si>
  <si>
    <t xml:space="preserve">Art 1.13 et Art 2.2 : Pour calculer la consommation résidentielle, un prorata des logements résidentiels et des branchements non résidentiels a été pris en compte.
Sur le réseau, il y a 18 logements résidentiels et 4 branchements non résidentiels actifs sans compteur d’eau et non relevé. La consommation résidentielle est estimée par le calcul suivant :
Consommation non mesurée et facturée * nombre de logements résidentiels / (logements résidentiels + branchements non résidentiels actifs) 
2,893ML *(18 / (18 + 4))= 2,002 ML.
Art.1.14 : Il y a une diminution du volume d’eau distribué par rapport au bilan 2018.  22 fuites ont été réparées durant l’année 2018/2019. Ceci a diminué les pertes d’eau réelles et l’eau distribuée.
</t>
  </si>
  <si>
    <t xml:space="preserve">Art 1.2 : L’estimation 2019 du nombre de personnes par logements de statistique Canada sous-estime la population résidentielle desservie et occupée de façon permanente. Une population de 1586 personnes est plus représentative.
Art. 1.7 et 1.16 : La bonification du nombre de branchements de service entre le bilan 2018 et le bilan 2019 explique l'augmentation des pertes d'eau réelles inévitables.
Art 1.13 et Art 2.2 : Pour calculer la consommation résidentielle, un prorata des logements résidentiels et des branchements non résidentiels a été pris en compte.
Sur le réseau, il y a 944 logements résidentiels et 4 branchements non résidentiels sans compteur d’eau et non relevé. La consommation résidentielle est estimée par le calcul suivant :
Consommation non mesurée et facturée * nombre de logements résidentiels / (logements résidentiels + branchements non résidentiels) 
174,249 ML *(944 / (944 + 4))= 173,514 ML.
Art. 1.13 et 2.2 : L'augmentation de la consommation résidentielle provient directement de la diminution de la consommation non résidentielle mesurée par compteurs d'eau. Une diminution de plus de 20ML a été observée entre 2018 et 2019. Un problème sur la relève des compteurs d'eau est donc possible.
Art 2.3 : Résultat de 45 dû à une cote de 5 attribuée au volume d'eau produite, car la municipalité a dû estimer 3 mois de données du fait du changment de logiciel. Cela ne posera plus de problème au prochain bilan. </t>
  </si>
  <si>
    <t>La municipalité pourra mieux estimer la consommation résidentielle en installant des compteurs d’eau dans un échantillon représentatif du secteur résidentiel et en effectuant des relèves.
Il est également recommandé de renouveller le parc de compteurs déjà présent afin de ne pas avoir des variations aussi importantes sur la consommation mesurée pour le secteur non résidentiel.</t>
  </si>
  <si>
    <t xml:space="preserve">Art 1.9: Pression élevée pour desservir les usagers. 
Art 1.13 et Art 2.2 : Pour calculer la consommation résidentielle, un prorata des logements résidentiels et des branchements non résidentiels a été pris en compte.
Sur le réseau, il y a 1327 logements résidentiels et 20 branchements non résidentiels actifs sans compteur d’eau et non relevé. La consommation résidentielle est estimée par le calcul suivant :
Consommation non mesurée et facturée * nombre de logements résidentiels / (logements résidentiels + branchements non résidentiels actifs) 
350,493 ML *(1327 / (1327 + 20))= 345,289 ML.
Art 2.2 : Hausse de la consommation résidentielle de 2018 à 2019. Il est à noter que cette valeur est estimée et que les variations étant donné son estimation liée à la valeur des PER. Ainsi, une fois l'échantillon de compteurs d'eau installé, la consommation devrait être plus fiable. 
</t>
  </si>
  <si>
    <t xml:space="preserve">Commentaire général : Le réseau Entremont n'est plus considéré à part, car la l'usine de traitement d'eau potable n'était pas en marche en 2019. Les deux réseaux ont été mis en commun. Ce qui explique la variation des données telles que la longueur du réseau, le nombre de branchements de service ou la pression. Ceci a un impact direct sur les indicateur de performance également. Ainsi, il serait judicieux d'attendre le bilan 2020 afin de tirer des conclusions quand aux variations observées d'une année à l'autre. 
Art 1.3: Comme le nombre de logements est inconnu, alors ce dernier a été estimé par le nombre de branchements résidentiels. (hypothèse 1 logement = 1 branchement résidentiel).
Art 2.2 : La consommation résidentielle a été estimée grâce aux SSC. Ceci explique la différence entre la donnée 2018 estimée différemment. 
Il y a 10 logements desservis par Sainte-Adèle à Val-Morin.
Entente de compilation de données pour un réseau de distribution commun
Longueur du réseau et population bonifiées dans le bilan
Municipalité exportatrice: Sainte-Adèle
Municipalité importatrice: Val-Morin
Indice de fuites dans les infrastructures (IFI): 5,6
Programme de détection et de réparation de fuites requis (oui/non) : Oui
Consommation résidentielle estimée: 185 l/pers/d
Étant donné qu'une partie de la municipalité de Val-Morin (10 logements) est alimentée par le réseau de distribution d'eau potable appartenant à la Municipalité de Sainte-Adèle, cette dernière a bonifié la population et la longueur du réseau de distribution commun dans son bilan.  
</t>
  </si>
  <si>
    <t>Art 1.13 : Comme la municipalité est équipée de compteurs sur tout secteur non résidentiel, la consommation résidentielle a été estimée comme suit : Volume d'eau distribuée - pertes d'eau - consommation non résidentielle. 
Art 2.1 : Augmentation de l'IFI. On observe une hausse du débit de nuit entre les bilans 2018 et 2019. La municipalité pourra faire une recherche de fuites afin d'éliminer les fuites sur le réseau.
Art 2.4 : Résultat de 46 dû à une cote de 5 attribuée au volume d'eau, car le débitmètre n’a pas été vérifié. Afin d'augmenter cette cote, le débitmètre devrait/devraient être vérifié annuellement tout en s’assurant de respecter les conditions d’installation du manufacturier.</t>
  </si>
  <si>
    <t xml:space="preserve">Art.1.3 &amp; 1.4 : Calcul du nombre de personne desservie par le réseau de distribution:                                                                                                                                                                                                                                                                                                                                                                                                                                          Population totale (35 127 + 758 = 35 885)    Logements total ( 16 289 + 295 = 16 584 ) Personnes par logement (35 885/ 16 584 = 2,16 personne/logement )
Art 1.3 et 2.2 : Le nombre de logements a augmenté par rapport au Bilan 2018, car l'entente de compilation de données avait été omis. L'augmentation du nombre de logement a diminué la consommation résidentielle estimée.
Art 1.13 et Art 2.2 : Pour calculer la consommation résidentielle, un prorata des logements résidentiels et des branchements non résidentiels a été pris en compte.
Sur le réseau, il y a 16 584 logements résidentiels et 548 branchements non résidentiels sans compteur d’eau et non relevé. La consommation résidentielle est estimée par le calcul suivant :
Consommation non mesurée et facturée * nombre de logements résidentiels / (logements résidentiels + branchements non résidentiels) 
2 329,470 ML *(16 584 / (16 584 + 548))= 2 254 957 ML.
Art 1.15, 2.1 &amp; 2.2 : Les indicateurs du Bilan 2018 diffèrent de ceux du présent bilan, car la méthode d'estimation des ICI utilisée dans le Bilan 2018 n'est plus utilisée. En plus de la bonification des hypothèses utilisées, les consommations de nuit ont été mises à jour afin de mieux estimer les pertes d’eau réelles à partir du débit de nuit minimum. Une seule donnée de débit de nuit a été fournie par la municipalité, ce qui peut aussi expliquer la varation.
Municipalité exportatrice : Victoriaville (39062)
Municipalité importatrice : Saint-Christophe-d'Arthabaska (39060)
Victoriaville : 16 289 log, 2,16 pers/log, 35 127 pers
Saint-Christophe d'Arthabaska : 295 log, 2,57 pers/log, 758 pers
Longueur du réseau de Victoriaville : 268,587 km
Longueur du réseau de Saint-Christophe-d'Arthabaska : 7,493 km
Indice de fuites dans les infrastructures (IFI) du réseau commun : 12,7
Contrôle actif des fuites (localisation et réparation) : oui
Consommation résidentielle estimée pour ce réseau commun : 172 l/pers/d
Eau distribuée pour ce réseau commun : 580 l/pers/d
Installation de compteurs d’eau à la consommation requise : oui
Résultat de validité des données de l’audit de l’eau AWWA : 69
</t>
  </si>
  <si>
    <t xml:space="preserve">Art 1.13 et Art 2.2 : Pour calculer la consommation résidentielle, un prorata des logements résidentiels et des branchements non résidentiels a été pris en compte.
Sur le réseau, il y a 4 909 logements résidentiels et 71 branchements non résidentiels sans compteur d’eau et non relevé. La consommation résidentielle est estimée par le calcul suivant :
Consommation non mesurée et facturée * nombre de logements résidentiels / (logements résidentiels + branchements non résidentiels) 
1191,693 ML *4 909/(4 909+71)= 1 174,704 ML.
Art 1.15, 2.1 &amp; 2.2 : Les indicateurs du Bilan 2018 diffèrent de ceux du présent bilan, car la méthode d'estimation des ICI utilisée dans le Bilan 2018 n'est plus utilisée. En plus de la bonification des hypothèses utilisées, les consommations de nuit ont été mises à jour afin de mieux estimer les pertes d’eau réelles à partir du débit de nuit minimum. Une seule donnée de débit de nuit a été fournie par la municipalité, ce qui peut aussi expliquer la varation.
</t>
  </si>
  <si>
    <t>Art 1.13 et 2.2: La consommation résidentielle est estimée avec les relèves 2019 de l’échantillon des 570 compteurs résidentiels. 
Art.1.15 : Les pertes d’eau réelles ont diminué par rapport au bilan 2018 (86,61 ML).  6 fuites ont été réparées durant l’année 2018/2019. Ceci a diminué les pertes d’eau réelles et l’eau distribuée. 
Art 1.13 et 2.2: La consommation résidentielle a augmenté par rapport au bilan 2018.  En 2018, la consommation NMF était calculée avec un échantillon résidentiel et aussi un échantillon non-résidentel,  mais en 2019 on a utilisé seulement l’échantillon résidentiel.  Aussi, le nombre de CE a augmenté à 570, donc le moyenne par logement est plus représentatif.</t>
  </si>
  <si>
    <t>Art 1.4 et Art 1.5 : L’estimation 2019 du nombre de personnes par logements de statistique Canada sous-estime la population résidentielle desservie et occupée de façon permanente. Une population de 4650 personnes est plus représentative.
Art.1.14 : Il y a une diminution du volume d’eau distribué par personne par jour (l/pers/d) par rapport au bilan 2018, car pour sensiblement le même volume d'eau distribué, le nombre de personne par logements a été mis à jour entrainant une hausse de la population. 
Art 1.13, Art 1.15, Art 2.1 et Art 2.2 : Il y a une diminution de la consommation résidentielle par rapport au bilan 2018. En effet, la méthode utilisée pour estimer la consommation résidentielle a changé puisque la municipalité a installé un échantillon (60) de compteurs d'eau dans le secteur résidentiel. Ce changement de méthode a entrainé une diminution de la consommation résidentielle et par conséquent une hausse des pertes d’eau réelles. Puisques les pertes d'eau réelles ont augmenté, l'indice de fuites dans les infrastructures a également augmenté.
Art 1.16 : La variation des pertes d'eau réelles inévitables est dû à la mise à jour des données de la longueur du réseau ainsi que de la pression.</t>
  </si>
  <si>
    <t>Art 1.13 et 2.2: La consommation résidentielle est estimée avec les relèves 2019 de l’échantillon des 20 compteurs résidentiels. 
Art.1.16 : Les pertes d'eau réelles inévitables ont diminué par rapport au bilan 2018, car la donnée de pression a changé. Au bilan 2018, la donnée était estimée, tandis que pour l'année 2019 et 2020, elle a été fournie par la compagnie qui s'occupe de faire la recherche de fuites. La pression étant plus faible, les pertes réelles inévitables ont diminué. Ceci a aussi un diminué l'indice de fuites dans les infrastructures (IFI) puisque les pertes d'eau réelles inévitables (PERI) permettent le calcul de l'IFI.
Art.2.1 : Les pertes d’eau réelles et l'indice de fuites dans les infrastructures (IFI) ont diminué par rapport au bilan 2018 (70,956 ML). Ceci s'explique par la recherche de fuite de la municipalité et la réparation des fuites détectées. Ces dernières pouvaient se situer sur le réseau pendant plusieurs années. Les pertes d'eau sont quand même élevées, car le délai de réparation était grand (voir commentaires du prochain onglet). En 2020, la municipalité s'est améliorée sur ce point et elle répare ses fuites plus rapidement.</t>
  </si>
  <si>
    <t>Art.1.6 : Les longueurs de chaque réseaux vont être ajustées en fonction du prochain plan d'intervention de la municipalité.
Art 1.13 et Art 2.2 : Pour calculer la consommation résidentielle, un prorata des logements résidentiels et des immeubles non résidentiels a été pris en compte.
Sur le réseau, il y a 155 logements résidentiels et 14 immeubles non résidentiels sans compteur d’eau et non relevé. La consommation résidentielle est estimée par le calcul suivant :
Consommation non mesurée et facturée * nombre de logements résidentiels / (logements résidentiels  + immeubles non résidentiels) 
51,653 ML *(155 / (155 + 14)) = 47,374 ML.
Art 2.2 : La consommation résidentielle est élevée, car les citoyens laissent couler l'eau pendant l'hiver. La municipalité tente de changer cette habitude.</t>
  </si>
  <si>
    <t>Art.1.6 : Les longueurs de chaque réseau vont être ajustées en fonction du prochain plan d'intervention de la municipalité.
Art 1.13 et Art 2.2 : Pour calculer la consommation résidentielle, un prorata des logements résidentiels et des immeubles non résidentiels a été pris en compte.
Sur le réseau, il y a 519 logements résidentiels et 51 immeubles non résidentiels sans compteur d’eau et non relevé. La consommation résidentielle est estimée par le calcul suivant :
Consommation non mesurée et facturée * nombre de logements résidentiels / (logements résidentiels  + immeubles non résidentiels) 
138,251 ML *(519 / (519 + 51))= 125,881 ML.
Art.2.1 : L'indice de fuites dans les infrastructures dépasse l'objectif. Les pertes d'eau réelles ont été déterminées à partir du débit de nuit minimum et ce dernier est assez élevé. Une portion de l'augmentation serait expliquée par la bonification des hypothèses utilisées pour l’estimation des pertes d’eau réelles. Cette bonification a entraîné une hausse de l'estimation des pertes d’eau.
La municipalité a effectué une recherche de fuites sur tous les points de contact en 2019 et des fuites ont été réparées, mais il y n'en avait aucune de majeures.
La municipalité n'arrive pas à détecter la cause de ces pertes d'eau réelles. Une meilleure estimation des pertes d'eau pourra être effectuée à partir des données des compteurs d'eau. Piste de solution : La municipalité peut aussi vérifier l'étanchéité de son réservoir. Suite au prochain plan d'intervention, il y a des possibilités qu'il soit indiqué de changer certains tronçons de conduites et peut-être qu'il y a plusieurs fuites indétectables sur ces dernières.
Art 2.2 : La consommation résidentielle est élevée, car les citoyens laissent couler l'eau pendant l'hiver. La municipalité tente de changer cette habitude.</t>
  </si>
  <si>
    <t>Art.1.6 : Les longueurs de chaque réseau vont être ajustées en fonction du prochain plan d'intervention de la municipalité.
Art 1.13 : La consommation résidentielle estimée est la consommation autorisée non mesurée et facturée (19,047 ML/an) puisqu'il n'y a pas d'immeuble non résidentiel.
Art.1.14 et 2,2 : La quantité d'eau distribuée et la considérablement augmenté par rapport au bilan 2018, car il semble que des fuites soient apparues en août 2018 et elles se sont empirés jusqu'à leur réparation en 2020. Les pertes d'eau réelles 2019 ont été calculées à partir de deux jours de données. Puisqu'il n'y a pas un enregistreur de données, il est difficile d'estimer les pertes d'eau avec cette fuite. Il est recommandé d'installer un enregistreur de données pour bien suivre les débits de nuit et effectuer une recherche de fuites pour localiser et réparer rapidement les fuites.
Art 2.2 : La consommation résidentielle est élevée, car les citoyens laissent couler l'eau pendant l'hiver. La municipalité tente de changer cette habitude. De plus, puisqu'il n'est pas possible d'estimer les pertes d'eau de la fuite, cette eau perdue apparaît comme une consommation dans ce bilan. Ceci explique l'augmentation entre la consommation résidentielle 2018 et 2019.</t>
  </si>
  <si>
    <t>Art.1.13 : La consommation résidentielle a été mesurée par des compteurs d'eau.
Art 1.3 et Art 1.5 : Le nombre de logements a baissé par rapport à 2018, car la donnée a été raffinée. En effet, il y a 294 logements connectés au réseau et occupés de façon permanente. Puisque la valeur du nombre de logements a été mis à jour, la valeur de la population a changé.
Art.1.14, Art.1.15 et Art.2.1 : Il y a une augmentation du volume d’eau distribué et des pertes d'eau réelles par rapport au bilan 2018. Il y a eu peut-être l'apparition de certaines fuites qui expliquerait la hausse des pertes d’eau et de l’eau distribuée. Celles-ci n’ont pas été détectées, car la municipalité n’a pas fait de recherche de fuites.  Aussi, il y a eu deux fuites majeures dans les branchements de service coté privé qui ont pris approximativement 120 jours pour être réparées. Ces dernières ont pu causer la hausse du volume d'eau distribué et des pertes d'eau réelles. Puisque les pertes d'eau réelles ont augmenté, l'indice de fuites dans les infrastructures a également augmenté. Si on évalue les pertes d'eau réelles avant ( 49,196 ML/an) et après ( 5,571 ML/an) la réparation des fuites, on remarque une grosse diminution des pertes d'eau réelles après que la fuite ait été réparée. Les pertes d'eau de 5,571 ML/an donne un IFI autour de 1,05. Cela montre que la réparation de ces fuites a véritablement corrigé le problème de pertes d'eau qu'il y avait à la municipalité. 
Art.2.2 : La consommation résidentielle par personne par jour estimée (l/pers/d) a augmenté comparativement à 2018, car pour sensiblement la meme consommation résidentielle estimée (ML/an),  le nombre de logements a été mis à jour et donc la valeur de la population a diminué.</t>
  </si>
  <si>
    <t>Art.1.3 et Art.1.14 : Le nombre de logements a diminué par rapport aux bilan précédent, car la donnée 2018 incluait 200 locaux non résidentiels. En inscrivant que les logements résidentiels, la quantité d'eau distribuée par personne a augmentée
Art.1.9 : La pression moyenne du réseau est élevée surtout à cause des points à haute pression. Pour être en mesure de desservir une zone industrielle en haute élévation, la pression doit être assez élevée. Puisque le reste de la ville se situe dans une plus basse élévation, la pression est plus élevée.  La municipalité régule la pression, elle est plus faible durant la nuit, mais les relèves aux poteaux d'incendie ont été effectuées le jour.
La municipalité a beaucoup diminué ses pressions depuis les bilans précédents. Elle a installé deux nouveaux régulateurs de pression en 2018.
Art.1.15 : L'écart entre les pertes d'eau réelles 2018 et 2019 s'explique par la bonification des hypothèses utilisées. Les consommations de nuit utilisées ont été mises à jour afin de mieux estimer les pertes d’eau réelles à partir du débit de nuit minimum. 
Art.1.16 :  Les pertes d'eau réelles inévitables ont beaucoup augmenté par rapport au bilan 2018. Ceci s'explique par la hausse de la donnée de pression moyenne du réseau. Au bilan précédent, elle a été estimée tandis qu'elle a été calculée à partir de la moyenne des pressions statiques aux poteaux d'incendie pour ce bilan. La donnée est plus précise et elle est plus élevée.
Art.1.15 et Art.2.1 : L'écart entre les pertes d'eau réelles (PER) et l'indice de fuites dans les infrastructures (IFI) 2018 et 2019 s'explique par le fait que pour éviter la fluctuation annuelle des PER, une moyenne des PER des trois dernières années a été utilisée. Puisqu'il y a eu une bonification des hypothèses utilisées, nous ne pouvons pas utiliser les PER de 2018 et de 2017 dans ce bilan. De plus, la bonification des hypothèses utilisées pour l’estimation des pertes d’eau réelles a entrainé une hausse des pertes d’eau. Ainsi, les PER et l'IFI 2019 sont plus élevés qu'au bilan précédent. 
Art 2.2 : Il y a une diminution de la consommation résidentielle par rapport au bilan 2018. En effet, la bonification des hypothèses utilisées pour l’estimation des pertes d’eau réelles a entrainé une hausse des pertes d’eau et par conséquent une diminution de la consommation résidentielle. De plus, la relève du compteur d'eau de Domtar a permis de mieux départager la consommation résidentielle de celle non résidentielle.</t>
  </si>
  <si>
    <t>Art 1.3 et 1.14 : Le nombre de logements a été mis à jour. Ceci a pour effet d'augmenter la population et de réduire le capitat ditribué par personne.
Art.1.13 : La consommation résidentielle a été mesurée par des compteurs d'eau.</t>
  </si>
  <si>
    <t>Art.1.13 : La consommation résidentielle a été mesurée par des compteurs d'eau.
Art 2.3 : Résultat de 45 dû à une cote de 3 attribuée au volume d'eau importée, car aucune preuve de vérification du débitmètre n’a pu être transmise. De plus, la relève du volume d'eau importe se fair annuellement au mois de septembre. Afin d'augmenter cette cote, les débitmètres devrait être vérifié annuellement tout en s’assurant de respecter les conditions d’installation du manufacturier et le débitmètre devrait être relevé mensuellement.</t>
  </si>
  <si>
    <t>Art 1.13 et Art 2.2 : L'augmentation de consommation résidentielle pourrait s'expliquer par la consommation plus élevé en 2019 dans le secteur non-résidentiel. Comme il n'y a pas de compteur d'eau installé dans les deux municipalités, il est mis comme hypothèse que secteur ICI consomme au même niveau que le secteur résidentiel.
Pour calculer la consommation résidentielle, un prorata des logements résidentiels et des branchements non résidentiels a été pris en compte.
Sur le réseau, il y a 1 372 logements résidentiels et 110 (Métabet + St gédéon) branchements non résidentiels actifs sans compteur d’eau et non relevé. La consommation résidentielle est estimée par le calcul suivant : Consommation non mesurée et facturée * nombre de logements résidentiels / (logements résidentiels + branchements non résidentiels actifs) 
625,067*(1372/(1372+110) =  603,938 ML.
Art. 1.14 : L'augmentation du volume d'eau distribuée est probablement causée par la consommation dans le secteur non-résidentiel parce qu'il n'y a pas eu de variation importante dans le nombre de résidence desservis de façon permanente.
Art 2.1 : Débit de nuit 2019 plus élevé que l'année 2018 (environ 10m3/h plus eleve). En effet, la municipalité a confirmé qu'il y a eu plusieurs fuites qui ont été reparées en 2019.
Art 2.3 : Résultat de 45 dû à une cote de 5 attribuée au volume d'eau produite/importée/exportée, car la vérification des débitmètres n'a pas été effectuée pour l'année 2019.
Entente de compilation de données pour un réseau de distribution commun :
Municipalité exportatrice : Saint-Gédéon (93035)
Municipalité importatrice : Métabétchouan-Lac-à-la-Croix (93012)
Saint-Gédéon : 909 log, 2,28 pers/log, 2071 pers
Métabétchouan-Lac-à-la-Croix : 463 log, 2,25 pers/log, 1042 pers
Longueur du réseau de Saint-Gédéon : 46 172 m
Longueur du réseau de Métabétchouan-Lac-à-la-Croix : 17 358 m
Indice de fuites dans les infrastructures (IFI) du réseau commun : 4,0
Contrôle actif des fuites (localisation et réparation) : oui
Consommation résidentielle estimée pour ce réseau commun : 532 l/pers/d
Eau distribuée pour ce réseau commun : 780 l/pers/d
Installation de compteurs d’eau à la consommation requise : non
Résultat de validité des données de l’audit de l’eau AWWA : 44</t>
  </si>
  <si>
    <t>Art 1.3 : consommation estimée sur la base de lectures de compteurs pour la période du 1 er mai 2019 au 30 avril 2020
Art 1.15 &amp; 1.13: On observe une baisse du per capita total et des PER. Ceci peut s'expliquer par l'usage d'ententes de compilations de données pour produire les bilans d'eau. Les villes de l'AIBR sont en train de se munir de débitmètres qui permettront de connaitre les volumes distribués pour chacune d'entre elles. Ceci aura pour effet d'augmenter la qualité des bilans d'eau et de mieux comprendre l'influence des secteurs de consommations des villes. 
Entente de compilation de données pour un réseau de distribution commun :
Municipalité exportatrice : Saint-Denis-sur-Richelieu
Municipalité importatrice : Saint-Antoine-sur-Richelieu; Saint-Charles-sur-Richelieu;Saint-Marc-sur-Richelieu;Saint-Mathieu de Beloeil
Indice de fuites dans les infrastructures (IFI) du réseau commun : 1,1
Contrôle actif des fuites (localisation et réparation) : non
Consommation résidentielle estimée pour ce réseau commun : 224 l/pers/d
Eau distribuée pour ce réseau commun : 581 l/pers/d
Résultat de validité des données de l’audit de l’eau AWWA : 66</t>
  </si>
  <si>
    <t xml:space="preserve">Art 1.13 et 2.2 : Pour calculer la consommation résidentielle, un prorata des logements résidentiels et des branchements non résidentiels a été pris en compte.
Sur le réseau, il y a 700 logements résidentiels et 57 branchements non résidentiels actifs sans compteur d’eau et non relevé. La consommation résidentielle est estimée par le calcul suivant :
Consommation non mesurée et facturée * nombre de logements résidentiels / (logements résidentiels + branchements non résidentiels actifs) 
61,679 ML *(700 / (700 + 57)) = 57,035 ML.
Art.1.15 : L'écart entre les pertes d'eau réelles 2018 et 2019 s'explique par la bonification des hypothèses utilisées. Les consommations de nuit utilisées ont été mises à jour afin de mieux estimer les pertes d’eau réelles à partir du débit de nuit minimum. À noter que le débit de nuit minimum de 2017 a été utilisé pour les bilans 2018 et 2019, puisqu'aucune donnée plus récente n'est disponible.
Art 1.13 et 2.2 : La consommation non mesurée et facturée a été déduite en soustrayant les pertes réelles à l'eau distribuée. . En 2019, le volume d'eau produite a diminué, et les pertes ont augmenté à cause de la bonification des hypothèses. En bref, l'augmentation des pertes et la diminution du volume distribué à fait artificiellement diminué la consommation résidentielle. Puique les pertes sont probablement surestimées, la consommation résidentielle est probablement sous-estimée.
Art 2.1 : Il y a une augmentation de l'IFI depuis 2018. Ceci s'explique par le fait que la bonification des hypothèses a eu pour conséquence d'augmenter le volume des PER. Puisque les PERI sont restées sensiblement égales, l'IFI a augmenté. À noter que, pour calculer les pertes d'eau réelles, c'est le débit de nuit 2017 qui a été utilisé. Les efforts qui ont été mis afin de faire diminuer les pertes ne se réflète donc pas dans les résultats du bilan. 
</t>
  </si>
  <si>
    <t>Art 2.3 : La pression est gérée grâce à des vannes sur le réseau.</t>
  </si>
  <si>
    <t>Art 2.1 : Étant donné que l’objectif de l’indice de fuite dans les infrastructures n’est pas atteint pour le réseau Cap-Saint-Ignace,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</si>
  <si>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 4.1 et 4.2 :
    475 230 $ (TECQ) et 66 217 $ (emprunts) pour le renouvellement du réseau d'eaux usées et l'ajout de conduites du réseau pluvial sur la Rue du Manoir Ouest en 2021. La moitié du montant est considérée pour le maintien et rattrapage
    1 481 250 $ (FIMEAU) et 1 559 750 $ (emprunts) pour le renouvellement de conduites sur la Rue du Manoir et la Rue Caron en 2021
    1 483 560 $ (FIMEAU) et 1 689 935 $ (emprunts) pour le renouvellement de conduites sur la Rue du Coteau en 2022
    1 009 890 $ (FIMEAU) et 947 110 $ (emprunts) pour le renouvellement de conduites sur la Route du Souvenir en 2022
Art 4.5 et 4.6 : 
    606 202 $ (TECQ) pour l'ajout d'un trop-plein pompé en 2019
    50 000 $ (FEPTEU) et 118 578 $ (emprunts) pour la mise aux normes de l'usine d'eau potable en 2019
    475 230 $ (TECQ) et 66 217 $ (emprunts) pour le renouvellement du réseau d'eaux usées et l'ajout de conduites du réseau pluvial sur la Rue du Manoir Ouest en 2021. La moitié du montant est considérée pour la bonification
    62 252 $ (TECQ) pour le bouclage d'eau potable sur la Rue du Manoir Ouest et la Rue des Pionniers Ouest en 2021
    25 500 $ (TECQ) pour l'ajout de la télémétrie en 2021
    247 964 $ (TECQ) et 278 541 $ (emprunts) pour le réseau pluvial sur Rue des Ormes en 2022
    65 250 $ (TECQ) pour le réseau pluvial sur la Route du Souvenir en 2022</t>
  </si>
  <si>
    <t xml:space="preserve">Art 1.13 et Art 2.2 : Pour calculer la consommation résidentielle, un prorata des logements résidentiels et des branchements non résidentiels a été pris en compte.
Sur le réseau, il y a 49 logements résidentiels et 7 branchements non résidentiels actifs sans compteur d’eau et non relevé. La consommation résidentielle est estimée par le calcul suivant :
Consommation non mesurée et facturée * nombre de logements résidentiels / (logements résidentiels + branchements non résidentiels actifs) 
5,795 ML * 49 / (49 + 7) = 5,071 ML.
Art.1.14 : Il y a une diminution du volume d’eau distribué par rapport au bilan 2018. Puisque le réseau est petit, l’eau distribuée fluctue beaucoup en raison des fuites qui peuvent apparaître et des délais de réparations.
Art 2.2 : Tout comme l'année précédente, ce réseau comporte une faible quantité d'eau distribuée par personne. Cet indicateur est faible, car il s'agit d'un réseau comportant de petites maisons consommant peu selon la municipalité.
</t>
  </si>
  <si>
    <t xml:space="preserve"> X0008475</t>
  </si>
  <si>
    <t xml:space="preserve">Art 1.13 et Art 2.2 : Pour calculer la consommation résidentielle, un prorata des logements résidentiels et des branchements non résidentiels a été pris en compte.
Sur le réseau, il y a 102 logements résidentiels et 43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12,161 ML *(102 / (102 + 43))= 8,555 ML.
Art.1.14 et 2.2 : Il y a une diminution du volume d’eau distribué par rapport au bilan 2018. Le débitmètre n’a pas été vérifié, par conséquent, l’erreur associée au volume d’eau distribué n’est pas connue et le débitmètre n’était pas fonctionnel pendant une certaine période de l’année 2019. Donc, la valeur indiquée ne correspond peut-être pas avec la vraie quantité d’eau distribuée en 2019. Cela influe aussi la consommation résidentielle
Art 1.15 : Les pertes d'eau réelles proviennent d'une analyse de débit de nuit datant de 2017. Il est suggéré de mettre cette valeur a jour pour les prochains Bilans.
Art 2.3 : Résultat de 43 dû à une cote de 3 attribuée au volume d'eau importée, car le débitmètre n’a pas été vérifié. Afin d'augmenter cette cote, le débitmètre devrait être vérifié annuellement tout en s’assurant de respecter les conditions d’installation du manufacturier
</t>
  </si>
  <si>
    <t xml:space="preserve">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 Le financement de la TECQ pour les infrastructures d'eau a été estimé à 25%.
</t>
  </si>
  <si>
    <t>Papineauville</t>
  </si>
  <si>
    <t>Art 1.13 et Art 2.2 : Pour calculer la consommation résidentielle, la consomation a été estimé en soustrayant 'estimation de consommation non-résidentielle au résultat de l'eau distribuée moins les pertes. Cette valeur diffère de la donnée de 2018 car la même méthodologie de calcul n'a pu être utilisée à cause des données de relève incomplètes. La municipalité pourra mieux estimer la consommation résidentielle en effectuant les relèves de ses compteurs d'eau de façon à avoir un an de données.
Art.1.14 : Il y a unediminution du volume d’eau distribué par rapport au Bilan 2018. Le débitmètre magnétique utilisé en 2018 a brisé et a été remplacé par un vieux modèle mécanique qui est moins précis et qui n'a pas été vérifié. Par conséquent, l’erreur associée au volume d’eau distribué n’est pas connue.
Art.1.15 et 2.1 : Les pertes d’eau réelles ont augmenté par rapport au Bilan 2018. Les PER 2019 sont estimés à partir d'une analyse de débit de nuit 2017 tandis que les PER du Bilan 2018 sont calculés à partir de a relève des compteurs 2018. La même méthodologie de calcul n'a pu être utilisée à cause des données de relève incomplètes, la municipalité pourra mieux estimer la consommation résidentielle en effectuant les relèves de ses compteurs d'eau de façon à avoir un an de données.  
Art 2.3 : Résultat de 44 dû à une cote de 3 attribuée au volume d'eau produite, car le débitmètre n’a pas été vérifié. Afin d'augmenter cette cote, le débitmètre devrait être vérifié annuellement tout en s’assurant de respecter les conditions d’installation du manufacturier</t>
  </si>
  <si>
    <t>Art 2.1 : Étant donné que l’objectif de l’indice de fuite dans les infrastructures n’est pas atteint pour le réseau Papineauville, ce dernier doit être ausculté à 200% pour le 1er septembre 2021</t>
  </si>
  <si>
    <t>Réseau EST</t>
  </si>
  <si>
    <t xml:space="preserve">Art 1.13 et Art 2.2 : Pour calculer la consommation résidentielle, un prorata des logements résidentiels et des branchements non résidentiels a été pris en compte.
Sur le réseau, il y a 1 546 logements résidentiels et 159 branchements non résidentiels actifs sans compteur d’eau et non relevé. La consommation résidentielle est estimée par le calcul suivant :
Consommation non mesurée et facturée * nombre de logements résidentiels / (logements résidentiels + branchements non résidentiels actifs) 
259,634 ML *(1 546 / (1 546 + 159)) = 235,422 ML.
Parallèlement, puisque la consommation non mesurée et facturée est déduite à partir des pertes, l'augmentation des PER par rapport à 2018 a causé une diminution de la consommation. Ainsi, la consommation résidentielle du bilan 2019 a diminué depuis le bilan 2018.
Art 1.15 : L'écart entre les pertes d'eau réelles 2018 et 2019 s'explique par la bonification des hypothèses utilisées. Les consommations de nuit utilisées ont été mises à jour afin de mieux estimer les pertes d’eau réelles à partir du débit de nuit minimum. De plus, au bilan 2018, le débit de nuit considéré était le même que celui utilisé au bilan 2017. Pour le bilan 2019, ce sont des données journalières mesurées tout au long de l'année 2019 qui ont été utilisées. En bref, l'estimation des pertes est plus précise en 2019.
Art 2.1 : L'augmentation des PER a causé une augmentation de l'IFI.
</t>
  </si>
  <si>
    <t>Art 2.1 : Puisque l'objectif d'IFI était atteint au bilan 2018, la contrôle actif des fuites n'était pas obligatoire en 2019.</t>
  </si>
  <si>
    <t>Art 2.1 : Étant donné que l’objectif de l’indice de fuite dans les infrastructures n’est pas atteint pour le réseau EST, ce dernier doit être ausculté à 200% pour le 1er septembre 2021.</t>
  </si>
  <si>
    <t>Art 1.3 : Il y a un remboursement de la dette et une abscence de frais de financement, puisque ce montant correspond au rembousement final de la dette
Art 4.1 : Subvention de 552 279 $ en 2019 provenant de la TECQ
Art 4.1 et 4.5 : Toutes les autres subventions proviennent du FEPTEU
Art 4.9 : Le montant total de la bonification de l'offre de service est plus élevé que l'évaluation des besoins de la section 3, puisque ces investissements sont liés à la construction d'une nouvelle usine pour l'acquisition et le traitement d'eau potable. La construction de cette usine a débuté en 2019</t>
  </si>
  <si>
    <t>Lac Swell</t>
  </si>
  <si>
    <t>X0008841</t>
  </si>
  <si>
    <t>Art 1.13 et Art 2.2 : Il n'y a que des branchements résidentiels sur le réseau. Ainsi, la consommation résidentielle correspond au volume d'eau non mesuré et facturé.
Parallèlement, les PER sont déterminées à l'aide d'une analyse du débit de nuit minimum. Cependant, les données journalières n'étant pas disponible pour 2019, l'évaluation pourrait mal représenter la réalité. Une meilleure estimation des PER permettrait donc d'avoir une meilleure estimation de la consommation résidentielle.
Art 1.15 et 2.1 : Il y a eu plusieurs fuites sur les branchements de service en 2019. De plus, le délai de réparation de ce type de fuites est plutôt élevé. Ceci peut donc expliquer la valeur élevée des PER et de l'IFI.</t>
  </si>
  <si>
    <t>X0008842</t>
  </si>
  <si>
    <t xml:space="preserve">Art 1.13 et Art 2.2 : Pour calculer la consommation résidentielle, un prorata des logements résidentiels et des branchements non résidentiels a été pris en compte.
Sur le réseau, il y a 265 logements résidentiels et 2 branchements non résidentiels actifs sans compteur d’eau et non relevés. La consommation résidentielle est estimée par le calcul suivant :
Consommation non mesurée et facturée * nombre de logements résidentiels / (logements résidentiels + branchements non résidentiels actifs) 
61,731 ML *(265 / (265 + 2)) = 61,269 ML.
Parallèlement, les PER sont déterminées à l'aide d'une analyse du débit de nuit minimum. Cependant, les données journalières n'étant pas disponible pour 2019, l'évaluation pourrait mal représenter la réalité. Une meilleure estimation des PER permettrait donc d'avoir une meilleure estimation de la consommation résidentielle.
Art 1.15 : Les PER sont déduites à partir du débit de nuit minimum. Cependant, les données journalières ne sont pas disponibles, ce qui rend la valeur des PER moins fiable. Une analyse des débits de nuit quotidien permettrait d'obtenir une meilleure évaluation des pertes d'eau réelles.
</t>
  </si>
  <si>
    <t>Art 2.1 : La municipalité n'a pas fait de contrôle actif de fuites en 2019. Cependant, puisque le bilan 2018 n'avait pas été approuvé, ce contrôle de fuites n'était pas obligatoire.
Art 4.2 : L'installation de l'échantillonnage de compteurs dans le secteur résidentiel a débuté en 2020, mais n'est toujours pas complétée.</t>
  </si>
  <si>
    <t>Art 2.1 : Étant donné que l’objectif de l’indice de fuite dans les infrastructures n’est pas atteint pour le réseau Lac Swell, ce dernier doit être ausculté à 200% pour le 1er septembre 2021.
Art 4.1 : Étant donné que la valeur d'au moins un des indicateurs de performance dépasse l’objectif, l’installation de compteurs d’eau dans tous les immeubles non résidentiels (Industries, Commerces et Institutions), les immeubles mixtes ciblés, les immeubles municipaux et sur un échantillon de 20 immeubles résidentiels est requise d'ici le 1er septembre 2021.</t>
  </si>
  <si>
    <t>Art 1.3 : Il y a un remboursement de la dette même si les frais de financement pour les eaux usées est pluviales est de 0 $, puisque la dette a été complètement remboursée en 2019.
Art.1.4 : Les frais d'administration générale ont été estimés avec une valeur de 15 % des charges avant amortissement (article 1.1).
Art 2.10 : Réserve financière pour l'entretien et la réparation de l'aqueduc village (19 000 $) l'aqueduc lac Swell (12 000 $) et le bassin et le réseau (35 000 $)
Art 4.5 et 4.6 : 
- Installation, mise aux normes et mise à niveau des équipements d'assainissement des eaux (361 809,46 $)
- Rédaction d'un nouveau plan d'intervention (30 138,86 $)</t>
  </si>
  <si>
    <t>Riverview</t>
  </si>
  <si>
    <t>Art 1.4 : Nombre moyen de personnes par logement utilisé: 2.1= Nombre utilisé par la MRC des Pays-d'en-Haut dans son Plan de Gestion des Matières Résiduelles 2016-2020 p. 35 ainsi que par Stats Can Recensement 2016
Art 1.6 : Si les branchement des poteaux d'incendie ne sont pas inclus dans la longueur totale du réseau, il faut ajouter 570m (70 X 5m en moyenne). La cellule est bloquée.
Art 1.9 : La pression est élevée pour desservir les usagers compte-tenu que nous sommes en terrain montagneux avec une variété d'élévations. Ce niveau de pression est aussi requis pour remplir les 2 grands réservoirs du réseau étendu.
Articles 1.3 et 2.2 : Pour calculer la consommation résidentielle, un prorata des logements résidentiels et des logements non résidentiels a été pris en compte.
Sur le réseau, il y a 616 logements résidentiels et 52 immeubles non résidentiels. La consommation résidentielle est estimée par le calcul suivant : consommation non mesurée et facturée X nombre de logements résidentiels / (logements résidentiels  + immeubles non résidentiels) 
110,908 ML x (XX / (XX + 52) = ZZZ ML.</t>
  </si>
  <si>
    <t>Art 1.3 et 2.2 : Il n'y a que des logements résidentiels sur ce réseau. La consommation résidentielle estimée correspond à la totalité du volume d'eau mesurée et facturée présenté dans l'audit AWWA.
Art 2.1 : L'IFI pour ce réseau est très faible. Il s'agit d'un très petit réseau avec peu de branchements de service. Le suivi du contrôle actif des fuites est donc plus facile.</t>
  </si>
  <si>
    <t>Article 1.3 : Il n'y a que des logements résidentiels sur ce réseau. La consommation résidentielle estimée correspond à la totalité du volume d'eau mesurée et facturée présenté dans l'audit AWWA.
Article 2.1 : L'IFI pour ce réseau est très faible. Il s'agit d'un très petit réseau avec peu de branchements de service. Le suivi du contrôle actif des fuites est donc plus facile.
Article 1.12 : Un projet domiciliaire est à l'étude. Seules la grosseur de la réserve et l'améliotration de service avec un système UV sont projetées.</t>
  </si>
  <si>
    <t xml:space="preserve">Art 1.9 : Pression évelée pour desservir les usagers. La station est beaucoup plus basse que les maisons à dessservir. Il y a 60 pieds de dénivelé entre la station et le point le plus haut.
Art 1.13 : Il n'y a que des logements résidentiels sur ce réseau. La consommation résidentielle estimée correspond à la totalité du volume d'eau mesurée et facturée présenté dans l'audit AWWA.
Art 2.1 : L'IFI pour ce réseau est très faible. Il s'agit d'un très petit réseau avec peu de branchements de service. Le suivi du contrôle actif des fuites est donc plus facile.
</t>
  </si>
  <si>
    <t xml:space="preserve">Article 1.3 : Il n'y a que des logements résidentiels sur ce réseau, sauf un atelier d'entretien de réparation de tracteurs à gazon sur ce réseau. La consommation résidentielle estimée correspond à la quasi totalité du volume d'eau mesurée et facturée présenté dans l'audit AWWA. 
</t>
  </si>
  <si>
    <t>Note 4.1 Le Règlement sur l'émission des Permis de construction oblige l'installation d'un compteur d'eau sur les entrées d'eau d'un pouce et + 
2 nouveaux triplex (soient 2 branchements résidentiels) sont déjà équipés de compteurs. Comme d'autres triplex sont en construction, il sera possible dans un avenir rapproché, de connaître la consommation de plusieurs unités de logements résidentiels par branchement. De ce fait, il y aurait peut-être lieu de considérer renommer la catégorie Nombre de branchements résidentiels équipés de compteurs et relevés, par Nombre de logements résidentiels équippés de compteurs relevés.
Ligne 114. (2019) 2 installations par le biais des permis (2 branchements pour 6 unités de logements) et 2020, continuité d'installations via permis de constructions de multi-logements déposés (15 à 18 unités de logements prévus).</t>
  </si>
  <si>
    <t xml:space="preserve">Art.1.4 : Les frais d'administration généraux ont été estimés avec une valeur de 15 % des charges avant amortissement (article 1.1). Commentaire du Ministère
Art.2.5 : La taxe foncière sur la valeur a été estimée afin d'équilibrer minimalement les revenus affectés aux services d'eau (article 2.7) et le coût de fonctionnement des services d'eau (article 1.5) de façon à ne pas créer de déficit.Commentaire du Ministère
Art 4.1 : TECQ14-18 et TECQ 19-23.
Commentaire du Dir. des Finances: Tous les finacements relatifs aux queducs sont réalisés par emprunts à 100%. Les subventions en investissement d'aqueduc demeurent à confirmer.
</t>
  </si>
  <si>
    <t>Art 2.1 :  Nombre moyen de personnes par logement utilisé: 2.1= Nombre utilisé par la MRC des Pays-d'en-Haut dans son Plan de Gestion des Matières Résiduelles 2016-2020 p. 35 ainsi que par Stats Can Recensement 2016
Ligne 60: 14 puits
Aucune bordure rouge de visible bienque la mention ''Non respecté'' apparaisse à l'avant dernière ligne de la page.</t>
  </si>
  <si>
    <t>dom.Lac Huron</t>
  </si>
  <si>
    <t>X0008849</t>
  </si>
  <si>
    <t>secteur douville</t>
  </si>
  <si>
    <t>X0008850</t>
  </si>
  <si>
    <t>4e rang - AIBR</t>
  </si>
  <si>
    <t>X0008851</t>
  </si>
  <si>
    <t xml:space="preserve">Art.1.4 : Les frais d'administration générale ont été estimés avec une valeur de 15 % des charges avant amortissement (article 1.1).
Art.4.1 et 4.5 : Les subventions proviennent de la TECQ et du FIMEAU. Le financement de la TECQ pour les infrastructures d'eau a été estimé à 62%. L’emprunt pour les infrastructures d'eau a été estimé à 62% du seuil d’immobilisation pour la TECQ.
</t>
  </si>
  <si>
    <t>Saint-Ligouri</t>
  </si>
  <si>
    <t>X0008497</t>
  </si>
  <si>
    <t xml:space="preserve">Art 1.13 et Art 2.2 : Pour calculer la consommation résidentielle, un prorata des logements résidentiels et des branchements non résidentiels a été pris en compte.
Sur le réseau, il y a 247 logements résidentiels et 15 branchements non résidentiels actifs sans compteur d’eau et non relevé. La consommation résidentielle est estimée par le calcul suivant :
Consommation non mesurée et facturée * nombre de logements résidentiels / (logements résidentiels + branchements non résidentiels actifs) 
 74,778ML *(347 / (347 + 15))= 71,67946 ML.
Art.2.2 : La consommation résidentielle par personne estimée est élevée, car la méthode d'estimation prend la consommation non résidentielle sans compteur d'eau et non relevés au même niveau que la consommation résidentielle. De plus, il y a eu des travaux sur les égouts qui ont consommé beaucoup d'eau qui n'a pas été mesurée.
Art 2.3 : Résultat de 45 dû à une cote de 3 attribuée au volume d'eau produite, car le débitmètre n’a pas été vérifiés. Afin d'augmenter cette cote, les débitmètres devrait être vérifié annuellement tout en s’assurant de respecter les conditions d’installation du manufacturier.
</t>
  </si>
  <si>
    <t>Art.1.4 : Les frais d'administration générale ont été estimés avec une valeur de 15 % des charges avant amortissement (article 1.1).
Art.2.5 : La taxe foncière sur la valeur a été estimée afin d'équilibrer minimalement les revenus affectés aux services d'eau (article 2.7) et le coût de fonctionnement des services d'eau (article 1.5) de façon à ne pas créer de déficit.
Art.4.1 et 4.5 : Les subventions proviennent de la TECQ-2014 et du FEPTEU.</t>
  </si>
  <si>
    <t>Saint-Rémi</t>
  </si>
  <si>
    <t>X0010017</t>
  </si>
  <si>
    <t xml:space="preserve">Art 1.13 et Art 2.2 : Pour calculer la consommation résidentielle, un prorata des logements résidentiels et des branchements non résidentiels a été pris en compte.
Sur le réseau, il y a 408 logements résidentiels et 7 branchements non résidentiels actifs sans compteur d’eau et non relevé. La consommation résidentielle est estimée par le calcul suivant :
Consommation non mesurée et facturée * nombre de logements résidentiels / (logements résidentiels + branchements non résidentiels actifs) 
40,159 ML *(408 / (408 + 7))= 39,481 ML.
Art 1.9: La pression moyenne est seulement prise à l'usine. 
Art. 1.14: 4 fuites ont été réparées durant l’année 2018/2019. Ceci a diminué les pertes d’eau réelles et l’eau distribuée. 
</t>
  </si>
  <si>
    <t xml:space="preserve">Art 1.13 et Art 2.2 : Pour calculer la consommation résidentielle, un prorata des logements résidentiels et des branchements non résidentiels a été pris en compte.
Sur le réseau, il y a 142 logements résidentiels et 0 branchements non résidentiels actifs sans compteur d’eau et non relevé. La consommation résidentielle est estimée par le calcul suivant :
Consommation non mesurée et facturée * nombre de logements résidentiels / (logements résidentiels + branchements non résidentiels actifs) 
12,062 ML = 12,062 ML.
Art 1.9: La pression moyenne est seulement prise à l'usine.  </t>
  </si>
  <si>
    <t xml:space="preserve">Art 1.13 et Art 2.2 : Pour calculer la consommation résidentielle, un prorata des logements résidentiels et des branchements non résidentiels a été pris en compte.
Sur le réseau, il y a 356 logements résidentiels et 2 branchements non résidentiels actifs sans compteur d’eau et non relevé. La consommation résidentielle est estimée par le calcul suivant :
Consommation non mesurée et facturée * nombre de logements résidentiels / (logements résidentiels + branchements non résidentiels actifs) 
61,662 ML *(356 / (356 + 2))= 61,32 ML.
Art 1.9: La pression moyenne est seulement prise à l'usine.  
</t>
  </si>
  <si>
    <t xml:space="preserve">Art 1.14:  L'eau distribué a diminuer depuis 2018.  Avec le bouclement du purge, l'eau distribué a diminuer.
Art 1.13 et Art 2.2 : Pour calculer la consommation résidentielle, un prorata des logements résidentiels et des branchements non résidentiels a été pris en compte.
Sur le réseau, il y a 156 logements résidentiels et 0 branchements non résidentiels actifs sans compteur d’eau et non relevé. La consommation résidentielle est estimée par le calcul suivant :
Consommation non mesurée et facturée * nombre de logements résidentiels / (logements résidentiels + branchements non résidentiels actifs) 
26,466 ML = 26,466 ML.
Art 2.1: Une purge temporaire a été installée dans le rond de virée du chemin John-Patrick -Payne en attendant les nouvelles constructions pour éviter le gel de la conduite maitresse et le développement des bactéries.  Cette purge a contribué aux pertes d'eau élevées. 
Art 1.9: La pression moyenne est seulement prise à l'usine.  
Art 2.2:  La consommation résidentielle a diminué par raport au bilan 2018.  En 2018, la purge a augmenté l'eau distribuée, et donc le consommation non mésurée a augmenté aussi.  En 2019, cette purge a été bouclée, et donc la consommation non mésurée, et la consommation residentielle ont diminué.  
</t>
  </si>
  <si>
    <t>Art.1.4 : Les frais d'administration générale ont été estimés avec une valeur de 15 % des charges avant amortissement (article 1.1).
Art 4.5:  La subvention provient du FIMEAU pour un réseau d'égout domestique.</t>
  </si>
  <si>
    <t>Analyse d'eau et assurances</t>
  </si>
  <si>
    <t>Frais d'analyse, assurance, téléphone, internet</t>
  </si>
  <si>
    <t>Volume d'eau distribuée
[ML/an]</t>
  </si>
  <si>
    <t>Audit de l'eau - Données par réseau de distribution d'eau potable</t>
  </si>
  <si>
    <t>Audit de l'eau - Données pour l'ensemble de la municipalité</t>
  </si>
  <si>
    <t>Logements résidentiels desservis
[log]</t>
  </si>
  <si>
    <t>Nombre de personnes par logement
[pers/log]</t>
  </si>
  <si>
    <t>Population desservie par les réseaux de distribution
[pers]</t>
  </si>
  <si>
    <t>Longueur totale des réseaux de distribution
[km]</t>
  </si>
  <si>
    <t>Consommation résidentielle
[ML/an]</t>
  </si>
  <si>
    <t>Quantité d'eau distribuée
[L/pers/d]</t>
  </si>
  <si>
    <t>Consommation résidentielle
[L/pers/d]</t>
  </si>
  <si>
    <t>Indice de fuites dans les infrastructures
(IFI)</t>
  </si>
  <si>
    <t>Résultat de validité des données
(RVD)</t>
  </si>
  <si>
    <t>Longueur moyenne des branchements de service côté usager
[m]</t>
  </si>
  <si>
    <t>Consommation résidentielle estimée [ML/an]</t>
  </si>
  <si>
    <t>Pertes d’eau réelles
[ML/an]</t>
  </si>
  <si>
    <t>Pertes d’eau réelles inévitables
[ML/an]</t>
  </si>
  <si>
    <t>Objectif pour la consommation résidentielle
[L/pers/d]</t>
  </si>
  <si>
    <t>Objectif pour l'IFI</t>
  </si>
  <si>
    <t>Objectif pour le RVD</t>
  </si>
  <si>
    <t>≥ 50</t>
  </si>
  <si>
    <t>Pression moyenne du réseau
[m d'eau]</t>
  </si>
  <si>
    <t>Nombre de fuites réparées en 2019</t>
  </si>
  <si>
    <t>Coût de fonctionnement des services d'eau
Charges avant amortissement</t>
  </si>
  <si>
    <t>Coût de fonctionnement des services d'eau
Frais de financement</t>
  </si>
  <si>
    <t>Coût de fonctionnement des services d'eau
Remboursement de la dette</t>
  </si>
  <si>
    <t>Coût de fonctionnement des services d'eau
Frais d'administration générale</t>
  </si>
  <si>
    <t>Revenus affectés aux services d'eau
Tarification volumétrique</t>
  </si>
  <si>
    <t>Revenus affectés aux services d'eau
Tarification non volumétrique</t>
  </si>
  <si>
    <t>Revenus affectés aux services d'eau
Services rendus</t>
  </si>
  <si>
    <t>Revenus affectés aux services d'eau
Transfers du gouvernement du Québec</t>
  </si>
  <si>
    <t>Revenus affectés aux services d'eau
Taxe foncière sur la valeur</t>
  </si>
  <si>
    <t>Revenus affectés aux services d'eau
Excédent de fonctionnement affecté</t>
  </si>
  <si>
    <t>Subventions réelles et prévues pour la bonification de l'offre de service</t>
  </si>
  <si>
    <t>Emprunts réels et prévus pour la bonification de l'offre de service</t>
  </si>
  <si>
    <t>Paiements comptants réels et prévus pour la bonification de l'offre de service</t>
  </si>
  <si>
    <t>Promoteurs et taxes sectorielles réels et prévus pour la bonification de l'offre de service</t>
  </si>
  <si>
    <t>Janvier</t>
  </si>
  <si>
    <t>Février</t>
  </si>
  <si>
    <t>Mars</t>
  </si>
  <si>
    <t>Avril</t>
  </si>
  <si>
    <t>Mai</t>
  </si>
  <si>
    <t>Juin</t>
  </si>
  <si>
    <t>Juillet</t>
  </si>
  <si>
    <t>Août</t>
  </si>
  <si>
    <t>Septembre</t>
  </si>
  <si>
    <t>Octobre</t>
  </si>
  <si>
    <t>Novembre</t>
  </si>
  <si>
    <t>Décembre</t>
  </si>
  <si>
    <t>Population desservie par les installations de production
[pers]</t>
  </si>
  <si>
    <t>Eau souterraine sous influence directe de l’eau de surface</t>
  </si>
  <si>
    <t>Volume d'eau distribuée par mois
[ML]</t>
  </si>
  <si>
    <t>Nombre d'installations de production par type de source d'approvisionnement</t>
  </si>
  <si>
    <t>Volume d'eau distribuée par types de source d'approvisionnement
[ML]</t>
  </si>
  <si>
    <t>Volume d'eau distribuée par type de catégorie d'utilisation
[ML]</t>
  </si>
  <si>
    <t>Filtration conventionnelle</t>
  </si>
  <si>
    <t>Filtration directe</t>
  </si>
  <si>
    <t>Filtration sur matériau granulaire sans coagulation</t>
  </si>
  <si>
    <t>Filtration sur membrane</t>
  </si>
  <si>
    <t>Filtration sur membrane avec d'autres systèmes de filtration</t>
  </si>
  <si>
    <t>Autres systèmes de filtration</t>
  </si>
  <si>
    <t>Désinfection seulement</t>
  </si>
  <si>
    <t>Désinfection au moyen d’autres procédés de traitement ou d’ajout de produits chimiques</t>
  </si>
  <si>
    <t>Sans traitement</t>
  </si>
  <si>
    <t>Sans désinfection avec un autre traitement</t>
  </si>
  <si>
    <t>Volume d'eau de surface distribuée par type de traitement
[ML]</t>
  </si>
  <si>
    <t>Volume d'eau souterraine et eau souterraine sous influence directe de l’eau de surface
[ML]</t>
  </si>
  <si>
    <t>xxx</t>
  </si>
  <si>
    <t>Action 2.1.1 - Option 1
[km]</t>
  </si>
  <si>
    <t>Action 2.1.1 - Option 2
[km]</t>
  </si>
  <si>
    <t>Action 2.1.1 - Option 3
[km]</t>
  </si>
  <si>
    <t>Action 2.1.1 - Option 4
[km]</t>
  </si>
  <si>
    <t>Action 2.1.1 - Option 5
[km]</t>
  </si>
  <si>
    <t>Conduites
[rép./100 km/an]</t>
  </si>
  <si>
    <t>Branchements de service côté public
[rép./1 000 branch./an]</t>
  </si>
  <si>
    <t>Branchements de service côté privé
[rép./1 000 branch./an]</t>
  </si>
  <si>
    <t>Délai moyen entre la détection et la réparation des fuites
[jours estimés]</t>
  </si>
  <si>
    <t>Comparaison 2019</t>
  </si>
  <si>
    <t>nombre de fuites réparées</t>
  </si>
  <si>
    <t>Consommation résidentielle</t>
  </si>
  <si>
    <t>Taille de la municipalité</t>
  </si>
  <si>
    <t>QUANTITÉ D'EAU DISTRIBUÉE</t>
  </si>
  <si>
    <t>CONSOMMATION RÉSIDENTIELLE</t>
  </si>
  <si>
    <t>INDICE DE FUITES DANS LES INFRASTRUCTURES</t>
  </si>
  <si>
    <t>CONTRÔLE ACTIF DES PERTES D'EAU</t>
  </si>
  <si>
    <t>IFI</t>
  </si>
  <si>
    <t>Nombre de réseaux de distribution d'eau potable distincts dans la municipalité en 2019 :</t>
  </si>
  <si>
    <t>Non
disponible</t>
  </si>
  <si>
    <t>Taux d'ascultation des réseaux de distribution d'eau potable</t>
  </si>
  <si>
    <t>2020
(prévu)</t>
  </si>
  <si>
    <t>Délais moyens de réparation des fuites</t>
  </si>
  <si>
    <t>Branchements de service du côté public</t>
  </si>
  <si>
    <t>Branchements de service du côté privé</t>
  </si>
  <si>
    <t>DÉLAIS MOYENS DE RÉPARATION</t>
  </si>
  <si>
    <t>NOMBRE DE FUITES RÉPARÉES</t>
  </si>
  <si>
    <t>Option 1</t>
  </si>
  <si>
    <t>Option 2</t>
  </si>
  <si>
    <t>Option 3</t>
  </si>
  <si>
    <t>Option 4</t>
  </si>
  <si>
    <t>Option 5</t>
  </si>
  <si>
    <t>Contrôle actif des fuites</t>
  </si>
  <si>
    <t>INSTALLATION DES COMPTEURS D'EAU</t>
  </si>
  <si>
    <t>RÉSULTAT DE VALIDITÉ DES DONNÉES DES AUDITS DE L'EAU</t>
  </si>
  <si>
    <t>RÉSULTATS PAR RÉGION ADMINISTRATIVE</t>
  </si>
  <si>
    <t>RÉSULTATS PAR CLASSE DE POPULATION</t>
  </si>
  <si>
    <t>→ Contrôle actif des pertes d'eau</t>
  </si>
  <si>
    <t>→ Résultats par région administrative</t>
  </si>
  <si>
    <t>→ Résultats par classe de population</t>
  </si>
  <si>
    <t>Total des coûts de fonctionnement des services d'eau</t>
  </si>
  <si>
    <t>Total des revenus affectés aux services d'eau</t>
  </si>
  <si>
    <t>Total 2020-2029</t>
  </si>
  <si>
    <t>2019
réel</t>
  </si>
  <si>
    <t>2020
prévu</t>
  </si>
  <si>
    <t>2021
prévu</t>
  </si>
  <si>
    <t>2022
prévu</t>
  </si>
  <si>
    <t>2023
prévu</t>
  </si>
  <si>
    <t>2024
prévu</t>
  </si>
  <si>
    <t>2025
prévu</t>
  </si>
  <si>
    <t>2026
prévu</t>
  </si>
  <si>
    <t>2027
prévu</t>
  </si>
  <si>
    <t>2028
prévu</t>
  </si>
  <si>
    <t>2029
prévu</t>
  </si>
  <si>
    <t>Total 2020-2029
prévu</t>
  </si>
  <si>
    <t>LA STRATÉGIE EN BREF</t>
  </si>
  <si>
    <t>RÉSULTATS MOYENS POUR L'ENSEMBLE DU QUÉBEC EN 2019</t>
  </si>
  <si>
    <t>RVD</t>
  </si>
  <si>
    <t>Liste déroulante de choix ↓</t>
  </si>
  <si>
    <t>Sélectionner un indicateur dans la liste déroulante de choix</t>
  </si>
  <si>
    <t>Haut de la page ↑</t>
  </si>
  <si>
    <t>Classes de population</t>
  </si>
  <si>
    <t>Population desservie par les réseaux de distribution d'eau potable
[pers]</t>
  </si>
  <si>
    <t>Logements résidentiels desservis par les réseaux de distribution d'eau potable
[log]</t>
  </si>
  <si>
    <t>Longueur totale des réseaux de distribution d'eau potable
[km]</t>
  </si>
  <si>
    <t>Proportion auscultée des réseaux de distribution d'eau potable</t>
  </si>
  <si>
    <t>Nombre de fuites réparées dans les réseaux de distribution d'eau potable</t>
  </si>
  <si>
    <t>Pertes d'eau réelles dans les réseaux de distribution d'eau potable
[ML/an]</t>
  </si>
  <si>
    <t>Volume d'eau distribuée dans les réseaux de distribution d'eau potable
[ML/an]</t>
  </si>
  <si>
    <t>X0009168</t>
  </si>
  <si>
    <t>X0009554</t>
  </si>
  <si>
    <t>Fassett</t>
  </si>
  <si>
    <t>X0010619</t>
  </si>
  <si>
    <t>X0008615</t>
  </si>
  <si>
    <t>X0010399-2</t>
  </si>
  <si>
    <t>X0010399-1</t>
  </si>
  <si>
    <t>X0008923</t>
  </si>
  <si>
    <t>X0008683</t>
  </si>
  <si>
    <t>X0008119-X2015853-X2109440</t>
  </si>
  <si>
    <t>X0010745</t>
  </si>
  <si>
    <t>X0008089-X0008084-X2084744-X0008899-X0008092-X2084745</t>
  </si>
  <si>
    <t>X0009078-X2046688</t>
  </si>
  <si>
    <t>X0009002</t>
  </si>
  <si>
    <t>X0008746</t>
  </si>
  <si>
    <t>X0008748</t>
  </si>
  <si>
    <t>X0008106-X0009980-X0009984-X0010250</t>
  </si>
  <si>
    <t>X0008089-  X0008084-  X2084744-  X0008899-  X0008092-  X2084745</t>
  </si>
  <si>
    <t>X0010867-X0010805-X0008593-X0008740-X0010441</t>
  </si>
  <si>
    <t>X0008342</t>
  </si>
  <si>
    <t>X0010037</t>
  </si>
  <si>
    <t>X0010042</t>
  </si>
  <si>
    <t>X0000996</t>
  </si>
  <si>
    <t>X0009326</t>
  </si>
  <si>
    <t>X0009341</t>
  </si>
  <si>
    <t>X2093884</t>
  </si>
  <si>
    <t>X0010721</t>
  </si>
  <si>
    <t>X0010024</t>
  </si>
  <si>
    <t>X0010085</t>
  </si>
  <si>
    <t>X0009790</t>
  </si>
  <si>
    <t>X0009318</t>
  </si>
  <si>
    <t>X0009062</t>
  </si>
  <si>
    <t>Afin d’alléger le nombre de demandes aux municipalités, l’enquête obligatoire sur les usines de traitement d’eau potable de Statistique Canada a été intégrée dans le Bilan à la suite d'une entente avec le MAMH.
Un bilan d'approvisionnement et de production est à compléter pour l'ensemble des installations de production d'eau potable qui puise de l'eau dans l'environnement afin de traiter et/ou fournir de l'eau potable à une collectivité permanente de 300 personnes ou plus. L’enquête a été révisée pour recueillir le total agrégé de tous les établissements (installations) afin que les municipalités dotées de plusieurs usines puissent communiquer toutes leurs données dans un seul questionnaire.</t>
  </si>
  <si>
    <t>Pour connaître la description d'une action, il faut survoler
celle-ci avec le curseur de la souris dans la ligne 3 ↓</t>
  </si>
  <si>
    <t>Décret de population</t>
  </si>
  <si>
    <t>Subventions réelles et prévues pour le maintien et le rattrapage</t>
  </si>
  <si>
    <t>Emprunts réels et prévus pour le maintien et le rattrapage</t>
  </si>
  <si>
    <t>Paiements comptants réels et prévus pour le maintien et le rattrapage</t>
  </si>
  <si>
    <t>Besoins d'investissement en maintien</t>
  </si>
  <si>
    <t>Besoins d'investissement en rattrapage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</si>
</sst>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0.00_);_(&quot;$&quot;* \(#,##0.00\);_(&quot;$&quot;* &quot;-&quot;??_);_(@_)"/>
    <numFmt numFmtId="165" formatCode="_(* #,##0.00_);_(* \(#,##0.00\);_(* &quot;-&quot;??_);_(@_)"/>
    <numFmt numFmtId="166" formatCode="0.0"/>
    <numFmt numFmtId="167" formatCode="_ * #,##0_)\ _$_ ;_ * \(#,##0\)\ _$_ ;_ * &quot;-&quot;??_)\ _$_ ;_ @_ "/>
    <numFmt numFmtId="168" formatCode="0.000"/>
    <numFmt numFmtId="169" formatCode="#,###"/>
    <numFmt numFmtId="170" formatCode="_ * #,##0_)\ &quot;$&quot;_ ;_ * \(#,##0\)\ &quot;$&quot;_ ;_ * &quot;-&quot;??_)\ &quot;$&quot;_ ;_ @_ "/>
    <numFmt numFmtId="171" formatCode="#,##0.0"/>
    <numFmt numFmtId="172" formatCode="#,##0.000"/>
    <numFmt numFmtId="173" formatCode="#,##0.0000"/>
    <numFmt numFmtId="174" formatCode="00000"/>
    <numFmt numFmtId="175" formatCode="0.0%"/>
    <numFmt numFmtId="176" formatCode="0.0000000000"/>
  </numFmts>
  <fonts count="51"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sz val="8"/>
      <name val="Arial"/>
      <family val="2"/>
    </font>
    <font>
      <sz val="10"/>
      <name val="Arial"/>
      <family val="2"/>
    </font>
    <font>
      <sz val="12"/>
      <name val="Arial"/>
      <family val="2"/>
    </font>
    <font>
      <b/>
      <sz val="12"/>
      <name val="Arial"/>
      <family val="2"/>
    </font>
    <font>
      <b/>
      <sz val="12"/>
      <color theme="1"/>
      <name val="Arial"/>
      <family val="2"/>
    </font>
    <font>
      <sz val="12"/>
      <color theme="1"/>
      <name val="Arial"/>
      <family val="2"/>
    </font>
    <font>
      <sz val="9"/>
      <color indexed="81"/>
      <name val="Tahoma"/>
      <family val="2"/>
    </font>
    <font>
      <u/>
      <sz val="10"/>
      <color indexed="12"/>
      <name val="Arial"/>
      <family val="2"/>
    </font>
    <font>
      <sz val="9"/>
      <color theme="1"/>
      <name val="Arial"/>
      <family val="2"/>
    </font>
    <font>
      <sz val="11"/>
      <color rgb="FFFF0000"/>
      <name val="Calibri"/>
      <family val="2"/>
      <scheme val="minor"/>
    </font>
    <font>
      <sz val="10"/>
      <color theme="1"/>
      <name val="Calibri"/>
      <family val="2"/>
      <scheme val="minor"/>
    </font>
    <font>
      <b/>
      <sz val="9"/>
      <name val="Arial"/>
      <family val="2"/>
    </font>
    <font>
      <sz val="9"/>
      <name val="Arial"/>
      <family val="2"/>
    </font>
    <font>
      <sz val="9"/>
      <color theme="1"/>
      <name val="Calibri"/>
      <family val="2"/>
      <scheme val="minor"/>
    </font>
    <font>
      <sz val="11"/>
      <color theme="0"/>
      <name val="Calibri"/>
      <family val="2"/>
      <scheme val="minor"/>
    </font>
    <font>
      <b/>
      <sz val="12"/>
      <color theme="0"/>
      <name val="Arial"/>
      <family val="2"/>
    </font>
    <font>
      <b/>
      <sz val="12"/>
      <color theme="4"/>
      <name val="Arial"/>
      <family val="2"/>
    </font>
    <font>
      <u/>
      <sz val="12"/>
      <color indexed="12"/>
      <name val="Arial"/>
      <family val="2"/>
    </font>
    <font>
      <sz val="12"/>
      <color theme="1" tint="0.249977111117893"/>
      <name val="Arial"/>
      <family val="2"/>
    </font>
    <font>
      <b/>
      <sz val="12"/>
      <color theme="1" tint="0.249977111117893"/>
      <name val="Arial"/>
      <family val="2"/>
    </font>
    <font>
      <b/>
      <sz val="9"/>
      <color theme="8" tint="-0.249977111117893"/>
      <name val="Arial"/>
      <family val="2"/>
    </font>
    <font>
      <b/>
      <sz val="9"/>
      <color rgb="FF0033CC"/>
      <name val="Arial"/>
      <family val="2"/>
    </font>
    <font>
      <sz val="9"/>
      <color rgb="FF6087CC"/>
      <name val="Arial"/>
      <family val="2"/>
    </font>
    <font>
      <sz val="9"/>
      <color rgb="FF6087CC"/>
      <name val="Calibri"/>
      <family val="2"/>
      <scheme val="minor"/>
    </font>
    <font>
      <b/>
      <sz val="9"/>
      <color rgb="FF6087CC"/>
      <name val="Arial"/>
      <family val="2"/>
    </font>
    <font>
      <sz val="10"/>
      <color rgb="FF6087CC"/>
      <name val="Arial"/>
      <family val="2"/>
    </font>
    <font>
      <sz val="10"/>
      <color rgb="FF6087CC"/>
      <name val="Calibri"/>
      <family val="2"/>
      <scheme val="minor"/>
    </font>
    <font>
      <sz val="11"/>
      <color rgb="FF6087CC"/>
      <name val="Calibri"/>
      <family val="2"/>
      <scheme val="minor"/>
    </font>
    <font>
      <sz val="14"/>
      <color rgb="FF002060"/>
      <name val="Arial Black"/>
      <family val="2"/>
    </font>
    <font>
      <b/>
      <sz val="12"/>
      <color theme="8" tint="-0.499984740745262"/>
      <name val="Arial"/>
      <family val="2"/>
    </font>
    <font>
      <sz val="12"/>
      <name val="Calibri"/>
      <family val="2"/>
      <scheme val="minor"/>
    </font>
    <font>
      <sz val="12"/>
      <color rgb="FF002060"/>
      <name val="Arial"/>
      <family val="2"/>
    </font>
    <font>
      <b/>
      <sz val="11"/>
      <color theme="0"/>
      <name val="Calibri"/>
      <family val="2"/>
      <scheme val="minor"/>
    </font>
    <font>
      <sz val="14"/>
      <color theme="0"/>
      <name val="Arial Black"/>
      <family val="2"/>
    </font>
    <font>
      <b/>
      <sz val="10"/>
      <color theme="0"/>
      <name val="Arial"/>
      <family val="2"/>
    </font>
    <font>
      <sz val="10"/>
      <color theme="0"/>
      <name val="Arial"/>
      <family val="2"/>
    </font>
    <font>
      <b/>
      <sz val="14"/>
      <color theme="0"/>
      <name val="Arial Black"/>
      <family val="2"/>
    </font>
    <font>
      <b/>
      <u/>
      <sz val="10"/>
      <color theme="0"/>
      <name val="Arial"/>
      <family val="2"/>
    </font>
    <font>
      <sz val="11"/>
      <color theme="0"/>
      <name val="Arial"/>
      <family val="2"/>
    </font>
    <font>
      <b/>
      <sz val="11"/>
      <color theme="0"/>
      <name val="Arial"/>
      <family val="2"/>
    </font>
    <font>
      <b/>
      <sz val="12"/>
      <color rgb="FF203764"/>
      <name val="Arial"/>
      <family val="2"/>
    </font>
    <font>
      <u/>
      <sz val="12"/>
      <name val="Arial"/>
      <family val="2"/>
    </font>
    <font>
      <u/>
      <sz val="12"/>
      <color theme="0"/>
      <name val="Arial"/>
      <family val="2"/>
    </font>
    <font>
      <b/>
      <sz val="11"/>
      <name val="Arial"/>
      <family val="2"/>
    </font>
    <font>
      <u/>
      <sz val="11"/>
      <color indexed="12"/>
      <name val="Arial"/>
      <family val="2"/>
    </font>
    <font>
      <sz val="8"/>
      <color theme="0"/>
      <name val="Arial"/>
      <family val="2"/>
    </font>
    <font>
      <sz val="10"/>
      <color theme="0"/>
      <name val="Calibri"/>
      <family val="2"/>
      <scheme val="minor"/>
    </font>
  </fonts>
  <fills count="8">
    <fill>
      <patternFill patternType="none"/>
    </fill>
    <fill>
      <patternFill patternType="gray125"/>
    </fill>
    <fill>
      <patternFill patternType="solid">
        <fgColor theme="8" tint="0.39997558519241921"/>
        <bgColor indexed="44"/>
      </patternFill>
    </fill>
    <fill>
      <patternFill patternType="solid">
        <fgColor rgb="FF0033CC"/>
        <bgColor indexed="44"/>
      </patternFill>
    </fill>
    <fill>
      <patternFill patternType="solid">
        <fgColor theme="8" tint="0.39997558519241921"/>
        <bgColor indexed="64"/>
      </patternFill>
    </fill>
    <fill>
      <gradientFill>
        <stop position="0">
          <color theme="8" tint="0.40000610370189521"/>
        </stop>
        <stop position="1">
          <color theme="8" tint="-0.49803155613879818"/>
        </stop>
      </gradientFill>
    </fill>
    <fill>
      <patternFill patternType="solid">
        <fgColor theme="0"/>
        <bgColor indexed="64"/>
      </patternFill>
    </fill>
    <fill>
      <patternFill patternType="solid">
        <fgColor theme="0" tint="-0.14999847407452621"/>
        <bgColor indexed="64"/>
      </patternFill>
    </fill>
  </fills>
  <borders count="134">
    <border>
      <left/>
      <right/>
      <top/>
      <bottom/>
      <diagonal/>
    </border>
    <border>
      <left style="thin">
        <color indexed="23"/>
      </left>
      <right style="thin">
        <color indexed="23"/>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indexed="64"/>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ck">
        <color theme="8" tint="0.39994506668294322"/>
      </right>
      <top style="thin">
        <color theme="0" tint="-0.499984740745262"/>
      </top>
      <bottom style="thin">
        <color theme="0" tint="-0.499984740745262"/>
      </bottom>
      <diagonal/>
    </border>
    <border>
      <left style="thin">
        <color theme="0" tint="-0.499984740745262"/>
      </left>
      <right style="thick">
        <color theme="8" tint="0.39994506668294322"/>
      </right>
      <top style="thin">
        <color theme="0" tint="-0.499984740745262"/>
      </top>
      <bottom style="thin">
        <color indexed="64"/>
      </bottom>
      <diagonal/>
    </border>
    <border>
      <left/>
      <right/>
      <top style="thin">
        <color indexed="23"/>
      </top>
      <bottom style="thin">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right/>
      <top style="thin">
        <color indexed="64"/>
      </top>
      <bottom style="thin">
        <color indexed="23"/>
      </bottom>
      <diagonal/>
    </border>
    <border>
      <left style="thin">
        <color theme="0" tint="-0.499984740745262"/>
      </left>
      <right style="thin">
        <color theme="0" tint="-0.499984740745262"/>
      </right>
      <top/>
      <bottom style="thin">
        <color indexed="23"/>
      </bottom>
      <diagonal/>
    </border>
    <border>
      <left/>
      <right/>
      <top/>
      <bottom style="thin">
        <color indexed="23"/>
      </bottom>
      <diagonal/>
    </border>
    <border>
      <left style="thick">
        <color rgb="FF0033CC"/>
      </left>
      <right style="thin">
        <color indexed="23"/>
      </right>
      <top/>
      <bottom style="thin">
        <color indexed="23"/>
      </bottom>
      <diagonal/>
    </border>
    <border>
      <left style="thin">
        <color theme="0" tint="-0.499984740745262"/>
      </left>
      <right style="thin">
        <color theme="0" tint="-0.499984740745262"/>
      </right>
      <top/>
      <bottom/>
      <diagonal/>
    </border>
    <border>
      <left style="thin">
        <color indexed="23"/>
      </left>
      <right style="thick">
        <color theme="8" tint="0.39994506668294322"/>
      </right>
      <top/>
      <bottom style="thin">
        <color indexed="23"/>
      </bottom>
      <diagonal/>
    </border>
    <border>
      <left style="thick">
        <color theme="8" tint="0.39994506668294322"/>
      </left>
      <right style="thin">
        <color theme="0" tint="-0.499984740745262"/>
      </right>
      <top/>
      <bottom style="thin">
        <color theme="0" tint="-0.499984740745262"/>
      </bottom>
      <diagonal/>
    </border>
    <border>
      <left style="thin">
        <color theme="0" tint="-0.499984740745262"/>
      </left>
      <right style="thick">
        <color rgb="FF0033CC"/>
      </right>
      <top/>
      <bottom style="thin">
        <color theme="0" tint="-0.499984740745262"/>
      </bottom>
      <diagonal/>
    </border>
    <border>
      <left style="thick">
        <color rgb="FF0033CC"/>
      </left>
      <right/>
      <top style="thin">
        <color indexed="64"/>
      </top>
      <bottom style="thin">
        <color indexed="23"/>
      </bottom>
      <diagonal/>
    </border>
    <border>
      <left style="thin">
        <color indexed="23"/>
      </left>
      <right style="thin">
        <color indexed="23"/>
      </right>
      <top/>
      <bottom style="thin">
        <color theme="0" tint="-0.499984740745262"/>
      </bottom>
      <diagonal/>
    </border>
    <border>
      <left style="thick">
        <color rgb="FF0033CC"/>
      </left>
      <right style="thin">
        <color theme="0" tint="-0.499984740745262"/>
      </right>
      <top/>
      <bottom style="thin">
        <color theme="0" tint="-0.499984740745262"/>
      </bottom>
      <diagonal/>
    </border>
    <border>
      <left style="thick">
        <color theme="8" tint="0.39994506668294322"/>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style="thick">
        <color theme="8" tint="0.39994506668294322"/>
      </left>
      <right style="thin">
        <color theme="0" tint="-0.499984740745262"/>
      </right>
      <top style="thin">
        <color theme="0" tint="-0.499984740745262"/>
      </top>
      <bottom style="thin">
        <color theme="0" tint="-0.499984740745262"/>
      </bottom>
      <diagonal/>
    </border>
    <border>
      <left style="thin">
        <color theme="0" tint="-0.499984740745262"/>
      </left>
      <right style="thick">
        <color theme="8" tint="0.39994506668294322"/>
      </right>
      <top/>
      <bottom style="thin">
        <color theme="0" tint="-0.499984740745262"/>
      </bottom>
      <diagonal/>
    </border>
    <border>
      <left style="thick">
        <color theme="8" tint="0.39994506668294322"/>
      </left>
      <right style="thin">
        <color theme="0" tint="-0.499984740745262"/>
      </right>
      <top/>
      <bottom/>
      <diagonal/>
    </border>
    <border>
      <left style="thin">
        <color theme="0" tint="-0.499984740745262"/>
      </left>
      <right style="thick">
        <color theme="8" tint="0.39994506668294322"/>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diagonal/>
    </border>
    <border>
      <left style="thick">
        <color theme="8" tint="0.39994506668294322"/>
      </left>
      <right/>
      <top/>
      <bottom/>
      <diagonal/>
    </border>
    <border>
      <left style="thin">
        <color auto="1"/>
      </left>
      <right/>
      <top style="thin">
        <color auto="1"/>
      </top>
      <bottom style="thin">
        <color indexed="23"/>
      </bottom>
      <diagonal/>
    </border>
    <border>
      <left/>
      <right style="thick">
        <color rgb="FF0033CC"/>
      </right>
      <top style="thin">
        <color auto="1"/>
      </top>
      <bottom style="thin">
        <color indexed="23"/>
      </bottom>
      <diagonal/>
    </border>
    <border>
      <left/>
      <right style="thin">
        <color auto="1"/>
      </right>
      <top style="thin">
        <color auto="1"/>
      </top>
      <bottom style="thin">
        <color indexed="23"/>
      </bottom>
      <diagonal/>
    </border>
    <border>
      <left style="thin">
        <color auto="1"/>
      </left>
      <right style="thin">
        <color theme="0" tint="-0.499984740745262"/>
      </right>
      <top style="thin">
        <color indexed="23"/>
      </top>
      <bottom/>
      <diagonal/>
    </border>
    <border>
      <left style="thin">
        <color theme="0" tint="-0.499984740745262"/>
      </left>
      <right style="thin">
        <color theme="0" tint="-0.499984740745262"/>
      </right>
      <top style="thin">
        <color indexed="23"/>
      </top>
      <bottom/>
      <diagonal/>
    </border>
    <border>
      <left style="thin">
        <color theme="0" tint="-0.499984740745262"/>
      </left>
      <right style="thick">
        <color theme="8" tint="0.39994506668294322"/>
      </right>
      <top style="thin">
        <color indexed="23"/>
      </top>
      <bottom/>
      <diagonal/>
    </border>
    <border>
      <left style="thin">
        <color theme="0" tint="-0.499984740745262"/>
      </left>
      <right/>
      <top style="thin">
        <color indexed="23"/>
      </top>
      <bottom/>
      <diagonal/>
    </border>
    <border>
      <left style="thick">
        <color rgb="FF0033CC"/>
      </left>
      <right style="thin">
        <color theme="0" tint="-0.499984740745262"/>
      </right>
      <top style="thin">
        <color indexed="23"/>
      </top>
      <bottom/>
      <diagonal/>
    </border>
    <border>
      <left style="thin">
        <color indexed="23"/>
      </left>
      <right style="thin">
        <color indexed="23"/>
      </right>
      <top style="thin">
        <color indexed="23"/>
      </top>
      <bottom/>
      <diagonal/>
    </border>
    <border>
      <left style="thin">
        <color theme="0" tint="-0.499984740745262"/>
      </left>
      <right style="thin">
        <color auto="1"/>
      </right>
      <top style="thin">
        <color indexed="23"/>
      </top>
      <bottom/>
      <diagonal/>
    </border>
    <border>
      <left style="thin">
        <color auto="1"/>
      </left>
      <right style="thin">
        <color theme="0" tint="-0.499984740745262"/>
      </right>
      <top/>
      <bottom style="thin">
        <color indexed="23"/>
      </bottom>
      <diagonal/>
    </border>
    <border>
      <left style="thin">
        <color auto="1"/>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theme="8" tint="0.39994506668294322"/>
      </right>
      <top style="thin">
        <color indexed="23"/>
      </top>
      <bottom style="thin">
        <color indexed="23"/>
      </bottom>
      <diagonal/>
    </border>
    <border>
      <left style="thin">
        <color indexed="23"/>
      </left>
      <right style="thick">
        <color rgb="FF0033CC"/>
      </right>
      <top style="thin">
        <color indexed="23"/>
      </top>
      <bottom style="thin">
        <color indexed="23"/>
      </bottom>
      <diagonal/>
    </border>
    <border>
      <left style="thin">
        <color indexed="23"/>
      </left>
      <right style="thin">
        <color auto="1"/>
      </right>
      <top/>
      <bottom style="thin">
        <color indexed="23"/>
      </bottom>
      <diagonal/>
    </border>
    <border>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auto="1"/>
      </left>
      <right style="thin">
        <color indexed="23"/>
      </right>
      <top style="thin">
        <color indexed="23"/>
      </top>
      <bottom style="thin">
        <color auto="1"/>
      </bottom>
      <diagonal/>
    </border>
    <border>
      <left style="thin">
        <color indexed="23"/>
      </left>
      <right style="thin">
        <color indexed="23"/>
      </right>
      <top style="thin">
        <color indexed="23"/>
      </top>
      <bottom style="thin">
        <color auto="1"/>
      </bottom>
      <diagonal/>
    </border>
    <border>
      <left style="thin">
        <color indexed="23"/>
      </left>
      <right style="thick">
        <color theme="8" tint="0.39994506668294322"/>
      </right>
      <top style="thin">
        <color indexed="23"/>
      </top>
      <bottom style="thin">
        <color auto="1"/>
      </bottom>
      <diagonal/>
    </border>
    <border>
      <left style="thin">
        <color indexed="23"/>
      </left>
      <right style="thick">
        <color rgb="FF0033CC"/>
      </right>
      <top style="thin">
        <color indexed="23"/>
      </top>
      <bottom style="thin">
        <color auto="1"/>
      </bottom>
      <diagonal/>
    </border>
    <border>
      <left/>
      <right style="thin">
        <color indexed="23"/>
      </right>
      <top style="thin">
        <color indexed="23"/>
      </top>
      <bottom style="thin">
        <color auto="1"/>
      </bottom>
      <diagonal/>
    </border>
    <border>
      <left style="thin">
        <color indexed="23"/>
      </left>
      <right style="thin">
        <color auto="1"/>
      </right>
      <top style="thin">
        <color indexed="23"/>
      </top>
      <bottom style="thin">
        <color auto="1"/>
      </bottom>
      <diagonal/>
    </border>
    <border>
      <left style="thick">
        <color rgb="FF0033CC"/>
      </left>
      <right/>
      <top style="thin">
        <color auto="1"/>
      </top>
      <bottom style="thin">
        <color indexed="23"/>
      </bottom>
      <diagonal/>
    </border>
    <border>
      <left/>
      <right/>
      <top style="thin">
        <color indexed="23"/>
      </top>
      <bottom/>
      <diagonal/>
    </border>
    <border>
      <left style="thin">
        <color indexed="23"/>
      </left>
      <right style="thin">
        <color auto="1"/>
      </right>
      <top style="thin">
        <color indexed="23"/>
      </top>
      <bottom/>
      <diagonal/>
    </border>
    <border>
      <left style="thin">
        <color auto="1"/>
      </left>
      <right style="thin">
        <color indexed="23"/>
      </right>
      <top/>
      <bottom style="thin">
        <color indexed="23"/>
      </bottom>
      <diagonal/>
    </border>
    <border>
      <left style="thin">
        <color indexed="23"/>
      </left>
      <right style="thin">
        <color auto="1"/>
      </right>
      <top/>
      <bottom style="thin">
        <color theme="0" tint="-0.499984740745262"/>
      </bottom>
      <diagonal/>
    </border>
    <border>
      <left/>
      <right/>
      <top/>
      <bottom style="thin">
        <color auto="1"/>
      </bottom>
      <diagonal/>
    </border>
    <border>
      <left style="thick">
        <color rgb="FF0033CC"/>
      </left>
      <right style="thin">
        <color indexed="23"/>
      </right>
      <top/>
      <bottom style="thin">
        <color auto="1"/>
      </bottom>
      <diagonal/>
    </border>
    <border>
      <left style="thin">
        <color indexed="23"/>
      </left>
      <right style="thin">
        <color indexed="23"/>
      </right>
      <top/>
      <bottom style="thin">
        <color auto="1"/>
      </bottom>
      <diagonal/>
    </border>
    <border>
      <left style="thin">
        <color indexed="23"/>
      </left>
      <right style="thin">
        <color auto="1"/>
      </right>
      <top/>
      <bottom style="thin">
        <color auto="1"/>
      </bottom>
      <diagonal/>
    </border>
    <border>
      <left style="thick">
        <color theme="8" tint="0.39994506668294322"/>
      </left>
      <right style="thin">
        <color theme="0" tint="-0.499984740745262"/>
      </right>
      <top style="thin">
        <color theme="0" tint="-0.499984740745262"/>
      </top>
      <bottom style="thin">
        <color auto="1"/>
      </bottom>
      <diagonal/>
    </border>
    <border>
      <left style="thin">
        <color theme="0" tint="-0.499984740745262"/>
      </left>
      <right style="thin">
        <color indexed="64"/>
      </right>
      <top style="thin">
        <color theme="0" tint="-0.499984740745262"/>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theme="0" tint="-0.499984740745262"/>
      </right>
      <top/>
      <bottom style="thin">
        <color theme="0" tint="-0.499984740745262"/>
      </bottom>
      <diagonal/>
    </border>
    <border>
      <left/>
      <right/>
      <top style="thin">
        <color indexed="64"/>
      </top>
      <bottom/>
      <diagonal/>
    </border>
    <border>
      <left style="thin">
        <color indexed="64"/>
      </left>
      <right/>
      <top style="thin">
        <color indexed="64"/>
      </top>
      <bottom/>
      <diagonal/>
    </border>
    <border>
      <left/>
      <right style="thick">
        <color rgb="FF0033CC"/>
      </right>
      <top style="thin">
        <color auto="1"/>
      </top>
      <bottom/>
      <diagonal/>
    </border>
    <border>
      <left style="thin">
        <color indexed="64"/>
      </left>
      <right/>
      <top style="thin">
        <color indexed="64"/>
      </top>
      <bottom style="thin">
        <color indexed="23"/>
      </bottom>
      <diagonal/>
    </border>
    <border>
      <left style="thin">
        <color indexed="23"/>
      </left>
      <right style="thin">
        <color indexed="23"/>
      </right>
      <top style="thin">
        <color theme="0" tint="-0.499984740745262"/>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auto="1"/>
      </bottom>
      <diagonal/>
    </border>
    <border>
      <left style="thin">
        <color theme="0" tint="-0.499984740745262"/>
      </left>
      <right style="thin">
        <color indexed="23"/>
      </right>
      <top style="thin">
        <color indexed="23"/>
      </top>
      <bottom/>
      <diagonal/>
    </border>
    <border>
      <left style="thin">
        <color indexed="23"/>
      </left>
      <right style="thin">
        <color theme="0" tint="-0.499984740745262"/>
      </right>
      <top style="thin">
        <color indexed="23"/>
      </top>
      <bottom/>
      <diagonal/>
    </border>
    <border>
      <left style="thin">
        <color theme="0" tint="-0.499984740745262"/>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style="thin">
        <color auto="1"/>
      </right>
      <top style="thin">
        <color indexed="64"/>
      </top>
      <bottom style="thin">
        <color indexed="23"/>
      </bottom>
      <diagonal/>
    </border>
    <border>
      <left style="medium">
        <color rgb="FF002060"/>
      </left>
      <right style="medium">
        <color rgb="FF002060"/>
      </right>
      <top style="medium">
        <color rgb="FF002060"/>
      </top>
      <bottom style="medium">
        <color rgb="FF002060"/>
      </bottom>
      <diagonal/>
    </border>
    <border>
      <left style="thin">
        <color theme="0" tint="-0.499984740745262"/>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style="thin">
        <color indexed="64"/>
      </right>
      <top style="thin">
        <color indexed="23"/>
      </top>
      <bottom style="double">
        <color indexed="23"/>
      </bottom>
      <diagonal/>
    </border>
    <border>
      <left style="thin">
        <color indexed="64"/>
      </left>
      <right style="thin">
        <color indexed="23"/>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23"/>
      </bottom>
      <diagonal/>
    </border>
    <border>
      <left style="thin">
        <color indexed="64"/>
      </left>
      <right/>
      <top/>
      <bottom style="thin">
        <color indexed="23"/>
      </bottom>
      <diagonal/>
    </border>
    <border>
      <left style="thin">
        <color indexed="23"/>
      </left>
      <right style="thin">
        <color indexed="23"/>
      </right>
      <top/>
      <bottom style="thin">
        <color indexed="23"/>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double">
        <color indexed="23"/>
      </top>
      <bottom style="thin">
        <color indexed="23"/>
      </bottom>
      <diagonal/>
    </border>
    <border>
      <left/>
      <right/>
      <top style="double">
        <color indexed="23"/>
      </top>
      <bottom style="thin">
        <color indexed="23"/>
      </bottom>
      <diagonal/>
    </border>
    <border>
      <left/>
      <right style="thin">
        <color indexed="23"/>
      </right>
      <top style="double">
        <color indexed="23"/>
      </top>
      <bottom style="thin">
        <color indexed="23"/>
      </bottom>
      <diagonal/>
    </border>
    <border>
      <left style="thin">
        <color indexed="23"/>
      </left>
      <right/>
      <top/>
      <bottom style="thin">
        <color indexed="23"/>
      </bottom>
      <diagonal/>
    </border>
  </borders>
  <cellStyleXfs count="12">
    <xf numFmtId="0" fontId="0" fillId="0" borderId="0"/>
    <xf numFmtId="0" fontId="2" fillId="0" borderId="0"/>
    <xf numFmtId="165" fontId="1" fillId="0" borderId="0" applyFont="0" applyFill="0" applyBorder="0" applyAlignment="0" applyProtection="0"/>
    <xf numFmtId="0" fontId="5" fillId="0" borderId="0"/>
    <xf numFmtId="165" fontId="2" fillId="0" borderId="0" applyFont="0" applyFill="0" applyBorder="0" applyAlignment="0" applyProtection="0"/>
    <xf numFmtId="0" fontId="2"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11" fillId="0" borderId="0" applyNumberFormat="0" applyFill="0" applyBorder="0" applyAlignment="0" applyProtection="0">
      <alignment vertical="top"/>
      <protection locked="0"/>
    </xf>
  </cellStyleXfs>
  <cellXfs count="587">
    <xf numFmtId="0" fontId="0" fillId="0" borderId="0" xfId="0"/>
    <xf numFmtId="0" fontId="0" fillId="0" borderId="0" xfId="0" applyBorder="1"/>
    <xf numFmtId="0" fontId="3" fillId="0" borderId="0" xfId="0" applyFont="1"/>
    <xf numFmtId="0" fontId="0" fillId="0" borderId="0" xfId="0" applyAlignment="1">
      <alignment wrapText="1"/>
    </xf>
    <xf numFmtId="0" fontId="9" fillId="0" borderId="0" xfId="0" applyFont="1"/>
    <xf numFmtId="0" fontId="0" fillId="0" borderId="0" xfId="0" applyFill="1" applyAlignment="1">
      <alignment horizontal="right" vertical="center"/>
    </xf>
    <xf numFmtId="0" fontId="3" fillId="0" borderId="0" xfId="0" applyFont="1" applyFill="1" applyAlignment="1"/>
    <xf numFmtId="0" fontId="3" fillId="0" borderId="0" xfId="0" applyFont="1" applyFill="1"/>
    <xf numFmtId="0" fontId="16" fillId="0" borderId="2" xfId="3" applyFont="1" applyBorder="1" applyAlignment="1" applyProtection="1">
      <alignment horizontal="center" vertical="center"/>
    </xf>
    <xf numFmtId="0" fontId="16" fillId="0" borderId="2" xfId="3" applyFont="1" applyBorder="1" applyAlignment="1" applyProtection="1">
      <alignment horizontal="center" vertical="center" wrapText="1"/>
    </xf>
    <xf numFmtId="0" fontId="16" fillId="0" borderId="2" xfId="3" applyFont="1" applyFill="1" applyBorder="1" applyAlignment="1" applyProtection="1">
      <alignment horizontal="center" vertical="center"/>
    </xf>
    <xf numFmtId="0" fontId="16" fillId="0" borderId="2" xfId="3" applyFont="1" applyBorder="1" applyAlignment="1" applyProtection="1">
      <alignment horizontal="center"/>
    </xf>
    <xf numFmtId="0" fontId="16" fillId="0" borderId="13" xfId="3" applyFont="1" applyBorder="1" applyAlignment="1" applyProtection="1">
      <alignment horizontal="center" vertical="center"/>
    </xf>
    <xf numFmtId="0" fontId="16" fillId="0" borderId="17" xfId="3" applyFont="1" applyBorder="1" applyAlignment="1" applyProtection="1">
      <alignment horizontal="center" vertical="center"/>
    </xf>
    <xf numFmtId="0" fontId="16" fillId="0" borderId="0" xfId="3" applyFont="1" applyAlignment="1" applyProtection="1">
      <alignment horizontal="center" vertical="center"/>
    </xf>
    <xf numFmtId="0" fontId="16" fillId="0" borderId="0" xfId="3" applyFont="1" applyAlignment="1" applyProtection="1">
      <alignment horizontal="left" vertical="center"/>
    </xf>
    <xf numFmtId="3" fontId="16" fillId="0" borderId="0" xfId="3" applyNumberFormat="1" applyFont="1" applyAlignment="1" applyProtection="1">
      <alignment horizontal="center" vertical="center"/>
    </xf>
    <xf numFmtId="0" fontId="16" fillId="0" borderId="0" xfId="3" applyFont="1" applyAlignment="1" applyProtection="1">
      <alignment horizontal="center"/>
    </xf>
    <xf numFmtId="0" fontId="16" fillId="0" borderId="22" xfId="3" applyFont="1" applyBorder="1" applyAlignment="1" applyProtection="1">
      <alignment horizontal="center" vertical="center"/>
    </xf>
    <xf numFmtId="3" fontId="12" fillId="0" borderId="17" xfId="0" applyNumberFormat="1" applyFont="1" applyBorder="1" applyAlignment="1" applyProtection="1">
      <alignment horizontal="center" vertical="center"/>
    </xf>
    <xf numFmtId="3" fontId="12" fillId="0" borderId="2" xfId="0" applyNumberFormat="1" applyFont="1" applyBorder="1" applyAlignment="1" applyProtection="1">
      <alignment horizontal="center" vertical="center"/>
    </xf>
    <xf numFmtId="1" fontId="16" fillId="0" borderId="22" xfId="3" applyNumberFormat="1" applyFont="1" applyBorder="1" applyAlignment="1" applyProtection="1">
      <alignment horizontal="center" vertical="center"/>
    </xf>
    <xf numFmtId="0" fontId="12" fillId="0" borderId="2" xfId="0" applyFont="1" applyBorder="1" applyAlignment="1" applyProtection="1">
      <alignment horizontal="center" vertical="center"/>
    </xf>
    <xf numFmtId="0" fontId="16" fillId="0" borderId="22" xfId="3" applyFont="1" applyBorder="1" applyAlignment="1" applyProtection="1">
      <alignment horizontal="center" vertical="center" wrapText="1"/>
    </xf>
    <xf numFmtId="0" fontId="16" fillId="0" borderId="22" xfId="3" applyFont="1" applyFill="1" applyBorder="1" applyAlignment="1" applyProtection="1">
      <alignment horizontal="center" vertical="center"/>
    </xf>
    <xf numFmtId="0" fontId="16" fillId="0" borderId="23" xfId="3" applyFont="1" applyBorder="1" applyAlignment="1" applyProtection="1">
      <alignment horizontal="center" vertical="center"/>
    </xf>
    <xf numFmtId="0" fontId="17" fillId="0" borderId="0" xfId="0" applyFont="1" applyProtection="1"/>
    <xf numFmtId="0" fontId="4" fillId="0" borderId="0" xfId="3" applyFont="1" applyAlignment="1" applyProtection="1">
      <alignment horizontal="center" vertical="center"/>
    </xf>
    <xf numFmtId="0" fontId="4" fillId="0" borderId="0" xfId="3" applyFont="1" applyAlignment="1" applyProtection="1">
      <alignment horizontal="left" vertical="center"/>
    </xf>
    <xf numFmtId="3" fontId="4" fillId="0" borderId="0" xfId="3" applyNumberFormat="1" applyFont="1" applyAlignment="1" applyProtection="1">
      <alignment horizontal="center" vertical="center"/>
    </xf>
    <xf numFmtId="0" fontId="3" fillId="0" borderId="0" xfId="0" applyFont="1" applyProtection="1"/>
    <xf numFmtId="0" fontId="2" fillId="0" borderId="0" xfId="3" applyFont="1" applyAlignment="1" applyProtection="1">
      <alignment horizontal="center" vertical="center"/>
    </xf>
    <xf numFmtId="0" fontId="14" fillId="0" borderId="0" xfId="0" applyFont="1" applyProtection="1"/>
    <xf numFmtId="0" fontId="2" fillId="0" borderId="0" xfId="3" applyFont="1" applyFill="1" applyAlignment="1" applyProtection="1">
      <alignment horizontal="center" vertical="center"/>
    </xf>
    <xf numFmtId="0" fontId="2" fillId="0" borderId="0" xfId="3" applyFont="1" applyAlignment="1" applyProtection="1">
      <alignment horizontal="center"/>
    </xf>
    <xf numFmtId="170" fontId="12" fillId="0" borderId="17" xfId="8" applyNumberFormat="1" applyFont="1" applyBorder="1" applyAlignment="1" applyProtection="1">
      <alignment horizontal="center"/>
    </xf>
    <xf numFmtId="170" fontId="16" fillId="0" borderId="2" xfId="8" applyNumberFormat="1" applyFont="1" applyBorder="1" applyAlignment="1" applyProtection="1">
      <alignment horizontal="center"/>
    </xf>
    <xf numFmtId="170" fontId="12" fillId="0" borderId="2" xfId="8" applyNumberFormat="1" applyFont="1" applyBorder="1" applyAlignment="1" applyProtection="1">
      <alignment horizontal="center"/>
    </xf>
    <xf numFmtId="170" fontId="16" fillId="0" borderId="2" xfId="8" applyNumberFormat="1" applyFont="1" applyBorder="1" applyAlignment="1" applyProtection="1">
      <alignment horizontal="center" vertical="center"/>
    </xf>
    <xf numFmtId="170" fontId="12" fillId="0" borderId="13" xfId="8" applyNumberFormat="1" applyFont="1" applyBorder="1" applyAlignment="1" applyProtection="1">
      <alignment horizontal="center"/>
    </xf>
    <xf numFmtId="0" fontId="0" fillId="0" borderId="0" xfId="0" applyProtection="1"/>
    <xf numFmtId="3" fontId="12" fillId="0" borderId="3" xfId="0" applyNumberFormat="1" applyFont="1" applyBorder="1" applyAlignment="1">
      <alignment horizontal="center" vertical="center" wrapText="1"/>
    </xf>
    <xf numFmtId="2" fontId="12" fillId="0" borderId="3" xfId="0" applyNumberFormat="1" applyFont="1" applyBorder="1" applyAlignment="1">
      <alignment horizontal="center" vertical="center" wrapText="1"/>
    </xf>
    <xf numFmtId="169" fontId="12" fillId="0" borderId="3" xfId="0" applyNumberFormat="1" applyFont="1" applyBorder="1" applyAlignment="1">
      <alignment horizontal="center" vertical="center" wrapText="1"/>
    </xf>
    <xf numFmtId="172" fontId="12" fillId="0" borderId="3" xfId="0" applyNumberFormat="1" applyFont="1" applyBorder="1" applyAlignment="1">
      <alignment horizontal="center" vertical="center" wrapText="1"/>
    </xf>
    <xf numFmtId="0" fontId="12" fillId="0" borderId="3" xfId="0" applyFont="1" applyBorder="1" applyAlignment="1">
      <alignment horizontal="center" vertical="center" wrapText="1"/>
    </xf>
    <xf numFmtId="4" fontId="12" fillId="0" borderId="3" xfId="0" applyNumberFormat="1" applyFont="1" applyBorder="1" applyAlignment="1">
      <alignment horizontal="center" vertical="center" wrapText="1"/>
    </xf>
    <xf numFmtId="0" fontId="18" fillId="0" borderId="0" xfId="0" applyFont="1" applyBorder="1"/>
    <xf numFmtId="0" fontId="0" fillId="0" borderId="0" xfId="0" applyFill="1" applyBorder="1"/>
    <xf numFmtId="166" fontId="6" fillId="0" borderId="1" xfId="0" applyNumberFormat="1" applyFont="1" applyFill="1" applyBorder="1" applyAlignment="1" applyProtection="1">
      <alignment horizontal="center" vertical="center"/>
    </xf>
    <xf numFmtId="3" fontId="6" fillId="0" borderId="1" xfId="9" applyNumberFormat="1" applyFont="1" applyFill="1" applyBorder="1" applyAlignment="1" applyProtection="1">
      <alignment horizontal="center" vertical="center"/>
    </xf>
    <xf numFmtId="3" fontId="6" fillId="0" borderId="1"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166" fontId="6" fillId="0" borderId="3" xfId="0" applyNumberFormat="1" applyFont="1" applyFill="1" applyBorder="1" applyAlignment="1" applyProtection="1">
      <alignment horizontal="center" vertical="center"/>
    </xf>
    <xf numFmtId="3" fontId="6" fillId="0" borderId="3" xfId="9" applyNumberFormat="1" applyFont="1" applyFill="1" applyBorder="1" applyAlignment="1" applyProtection="1">
      <alignment horizontal="center" vertical="center"/>
    </xf>
    <xf numFmtId="166" fontId="6" fillId="0" borderId="25" xfId="0" applyNumberFormat="1" applyFont="1" applyFill="1" applyBorder="1" applyAlignment="1" applyProtection="1">
      <alignment horizontal="center" vertical="center"/>
    </xf>
    <xf numFmtId="3" fontId="6" fillId="0" borderId="25" xfId="9" applyNumberFormat="1" applyFont="1" applyFill="1" applyBorder="1" applyAlignment="1" applyProtection="1">
      <alignment horizontal="center" vertical="center"/>
    </xf>
    <xf numFmtId="3" fontId="6" fillId="0" borderId="25" xfId="0" applyNumberFormat="1" applyFont="1" applyFill="1" applyBorder="1" applyAlignment="1" applyProtection="1">
      <alignment horizontal="center" vertical="center"/>
    </xf>
    <xf numFmtId="3" fontId="19" fillId="0" borderId="6" xfId="0" applyNumberFormat="1" applyFont="1" applyFill="1" applyBorder="1" applyAlignment="1" applyProtection="1">
      <alignment horizontal="center" vertical="center"/>
    </xf>
    <xf numFmtId="3" fontId="19" fillId="0" borderId="24" xfId="0" applyNumberFormat="1" applyFont="1" applyFill="1" applyBorder="1" applyAlignment="1" applyProtection="1">
      <alignment horizontal="center" vertical="center"/>
    </xf>
    <xf numFmtId="3" fontId="19" fillId="0" borderId="26" xfId="0" applyNumberFormat="1" applyFont="1" applyFill="1" applyBorder="1" applyAlignment="1" applyProtection="1">
      <alignment horizontal="center" vertical="center"/>
    </xf>
    <xf numFmtId="3" fontId="19" fillId="0" borderId="27" xfId="0" applyNumberFormat="1" applyFont="1" applyFill="1" applyBorder="1" applyAlignment="1" applyProtection="1">
      <alignment horizontal="center" vertical="center"/>
    </xf>
    <xf numFmtId="1" fontId="9" fillId="0" borderId="3" xfId="0" applyNumberFormat="1" applyFont="1" applyBorder="1" applyAlignment="1">
      <alignment horizontal="center" vertical="center"/>
    </xf>
    <xf numFmtId="0" fontId="9" fillId="0" borderId="0" xfId="0" applyFont="1" applyAlignment="1">
      <alignment vertical="center"/>
    </xf>
    <xf numFmtId="0" fontId="8" fillId="0" borderId="0" xfId="0" applyFont="1" applyBorder="1"/>
    <xf numFmtId="0" fontId="8" fillId="0" borderId="0" xfId="0" applyFont="1"/>
    <xf numFmtId="0" fontId="20" fillId="0" borderId="0" xfId="0" applyFont="1" applyFill="1"/>
    <xf numFmtId="0" fontId="21" fillId="0" borderId="0" xfId="11" applyFont="1" applyAlignment="1" applyProtection="1"/>
    <xf numFmtId="0" fontId="22" fillId="0" borderId="0" xfId="0" applyFont="1" applyFill="1"/>
    <xf numFmtId="0" fontId="23" fillId="0" borderId="0" xfId="0" applyFont="1" applyFill="1"/>
    <xf numFmtId="0" fontId="18" fillId="0" borderId="0" xfId="0" applyFont="1" applyFill="1" applyBorder="1"/>
    <xf numFmtId="0" fontId="19" fillId="0" borderId="0" xfId="0" applyFont="1" applyFill="1" applyBorder="1"/>
    <xf numFmtId="1" fontId="18" fillId="0" borderId="0" xfId="0" applyNumberFormat="1" applyFont="1" applyFill="1" applyBorder="1"/>
    <xf numFmtId="0" fontId="18" fillId="0" borderId="0" xfId="0" applyFont="1" applyFill="1" applyBorder="1" applyAlignment="1">
      <alignment horizontal="right" vertical="center"/>
    </xf>
    <xf numFmtId="0" fontId="3" fillId="0" borderId="0" xfId="0" applyFont="1" applyFill="1" applyAlignment="1" applyProtection="1">
      <protection locked="0"/>
    </xf>
    <xf numFmtId="0" fontId="21" fillId="0" borderId="0" xfId="11" applyFont="1" applyAlignment="1" applyProtection="1">
      <alignment vertical="top"/>
    </xf>
    <xf numFmtId="0" fontId="9" fillId="0" borderId="0" xfId="0" applyFont="1" applyAlignment="1">
      <alignment horizontal="right" vertical="center"/>
    </xf>
    <xf numFmtId="0" fontId="0" fillId="0" borderId="0" xfId="0" applyAlignment="1">
      <alignment vertical="center"/>
    </xf>
    <xf numFmtId="3" fontId="12" fillId="0" borderId="17" xfId="8" applyNumberFormat="1" applyFont="1" applyBorder="1" applyAlignment="1" applyProtection="1">
      <alignment horizontal="center"/>
    </xf>
    <xf numFmtId="3" fontId="12" fillId="0" borderId="2" xfId="8" applyNumberFormat="1" applyFont="1" applyBorder="1" applyAlignment="1" applyProtection="1">
      <alignment horizontal="center"/>
    </xf>
    <xf numFmtId="3" fontId="12" fillId="0" borderId="13" xfId="8" applyNumberFormat="1" applyFont="1" applyBorder="1" applyAlignment="1" applyProtection="1">
      <alignment horizontal="center"/>
    </xf>
    <xf numFmtId="2" fontId="12" fillId="0" borderId="17" xfId="8" applyNumberFormat="1" applyFont="1" applyBorder="1" applyAlignment="1" applyProtection="1">
      <alignment horizontal="center"/>
    </xf>
    <xf numFmtId="2" fontId="12" fillId="0" borderId="2" xfId="8" applyNumberFormat="1" applyFont="1" applyBorder="1" applyAlignment="1" applyProtection="1">
      <alignment horizontal="center"/>
    </xf>
    <xf numFmtId="2" fontId="12" fillId="0" borderId="13" xfId="8" applyNumberFormat="1" applyFont="1" applyBorder="1" applyAlignment="1" applyProtection="1">
      <alignment horizontal="center"/>
    </xf>
    <xf numFmtId="172" fontId="12" fillId="0" borderId="17" xfId="8" applyNumberFormat="1" applyFont="1" applyBorder="1" applyAlignment="1" applyProtection="1">
      <alignment horizontal="center"/>
    </xf>
    <xf numFmtId="172" fontId="12" fillId="0" borderId="2" xfId="8" applyNumberFormat="1" applyFont="1" applyBorder="1" applyAlignment="1" applyProtection="1">
      <alignment horizontal="center"/>
    </xf>
    <xf numFmtId="172" fontId="12" fillId="0" borderId="13" xfId="8" applyNumberFormat="1" applyFont="1" applyBorder="1" applyAlignment="1" applyProtection="1">
      <alignment horizontal="center"/>
    </xf>
    <xf numFmtId="172" fontId="12" fillId="0" borderId="18" xfId="8" applyNumberFormat="1" applyFont="1" applyBorder="1" applyAlignment="1" applyProtection="1">
      <alignment horizontal="center"/>
    </xf>
    <xf numFmtId="172" fontId="12" fillId="0" borderId="21" xfId="8" applyNumberFormat="1" applyFont="1" applyBorder="1" applyAlignment="1" applyProtection="1">
      <alignment horizontal="center"/>
    </xf>
    <xf numFmtId="172" fontId="12" fillId="0" borderId="8" xfId="8" applyNumberFormat="1" applyFont="1" applyBorder="1" applyAlignment="1" applyProtection="1">
      <alignment horizontal="center"/>
    </xf>
    <xf numFmtId="172" fontId="12" fillId="0" borderId="9" xfId="8" applyNumberFormat="1" applyFont="1" applyBorder="1" applyAlignment="1" applyProtection="1">
      <alignment horizontal="center"/>
    </xf>
    <xf numFmtId="172" fontId="12" fillId="0" borderId="15" xfId="8" applyNumberFormat="1" applyFont="1" applyBorder="1" applyAlignment="1" applyProtection="1">
      <alignment horizontal="center"/>
    </xf>
    <xf numFmtId="172" fontId="12" fillId="0" borderId="16" xfId="8" applyNumberFormat="1" applyFont="1" applyBorder="1" applyAlignment="1" applyProtection="1">
      <alignment horizontal="center"/>
    </xf>
    <xf numFmtId="3" fontId="12" fillId="0" borderId="18" xfId="8" applyNumberFormat="1" applyFont="1" applyBorder="1" applyAlignment="1" applyProtection="1">
      <alignment horizontal="center"/>
    </xf>
    <xf numFmtId="3" fontId="12" fillId="0" borderId="8" xfId="8" applyNumberFormat="1" applyFont="1" applyBorder="1" applyAlignment="1" applyProtection="1">
      <alignment horizontal="center"/>
    </xf>
    <xf numFmtId="0" fontId="3" fillId="0" borderId="0" xfId="0" applyFont="1" applyFill="1" applyBorder="1"/>
    <xf numFmtId="0" fontId="7" fillId="0" borderId="0" xfId="0" applyFont="1" applyFill="1" applyBorder="1"/>
    <xf numFmtId="0" fontId="3" fillId="0" borderId="0" xfId="0" applyFont="1" applyFill="1" applyBorder="1" applyAlignment="1">
      <alignment vertical="center"/>
    </xf>
    <xf numFmtId="1" fontId="3" fillId="0" borderId="0" xfId="0" applyNumberFormat="1" applyFont="1" applyFill="1" applyBorder="1" applyAlignment="1">
      <alignment horizontal="center" vertical="center"/>
    </xf>
    <xf numFmtId="0" fontId="2" fillId="0" borderId="0" xfId="0" applyFont="1" applyFill="1" applyBorder="1"/>
    <xf numFmtId="0" fontId="15" fillId="0" borderId="30" xfId="3" applyFont="1" applyFill="1" applyBorder="1" applyAlignment="1">
      <alignment vertical="center" wrapText="1"/>
    </xf>
    <xf numFmtId="0" fontId="0" fillId="0" borderId="0" xfId="0" applyAlignment="1">
      <alignment horizontal="center"/>
    </xf>
    <xf numFmtId="0" fontId="0" fillId="0" borderId="0" xfId="0" applyAlignment="1">
      <alignment horizontal="center"/>
    </xf>
    <xf numFmtId="0" fontId="15" fillId="0" borderId="3" xfId="1" applyFont="1" applyFill="1" applyBorder="1" applyAlignment="1">
      <alignment vertical="center" wrapText="1"/>
    </xf>
    <xf numFmtId="0" fontId="15" fillId="3" borderId="29" xfId="3" applyFont="1" applyFill="1" applyBorder="1" applyAlignment="1" applyProtection="1">
      <alignment vertical="center"/>
    </xf>
    <xf numFmtId="3" fontId="12" fillId="0" borderId="5" xfId="0" applyNumberFormat="1" applyFont="1" applyBorder="1" applyAlignment="1">
      <alignment horizontal="center" vertical="center" wrapText="1"/>
    </xf>
    <xf numFmtId="1" fontId="16" fillId="0" borderId="31" xfId="3" applyNumberFormat="1" applyFont="1" applyBorder="1" applyAlignment="1" applyProtection="1">
      <alignment horizontal="center" vertical="center"/>
      <protection hidden="1"/>
    </xf>
    <xf numFmtId="2" fontId="24" fillId="0" borderId="3" xfId="0" applyNumberFormat="1" applyFont="1" applyBorder="1" applyAlignment="1">
      <alignment horizontal="center" vertical="center" wrapText="1"/>
    </xf>
    <xf numFmtId="0" fontId="16" fillId="0" borderId="34" xfId="3" applyFont="1" applyBorder="1" applyAlignment="1" applyProtection="1">
      <alignment horizontal="center" vertical="center"/>
      <protection hidden="1"/>
    </xf>
    <xf numFmtId="0" fontId="25" fillId="0" borderId="17" xfId="0" applyFont="1" applyBorder="1" applyAlignment="1">
      <alignment horizontal="center" vertical="center" wrapText="1"/>
    </xf>
    <xf numFmtId="2" fontId="25" fillId="0" borderId="17" xfId="0" applyNumberFormat="1" applyFont="1" applyBorder="1" applyAlignment="1">
      <alignment horizontal="center" vertical="center" wrapText="1"/>
    </xf>
    <xf numFmtId="0" fontId="25" fillId="0" borderId="21" xfId="0" applyFont="1" applyBorder="1" applyAlignment="1">
      <alignment horizontal="center" vertical="center" wrapText="1"/>
    </xf>
    <xf numFmtId="2" fontId="24" fillId="0" borderId="36" xfId="0" applyNumberFormat="1" applyFont="1" applyBorder="1" applyAlignment="1">
      <alignment horizontal="center" vertical="center" wrapText="1"/>
    </xf>
    <xf numFmtId="0" fontId="15" fillId="3" borderId="37" xfId="3" applyFont="1" applyFill="1" applyBorder="1" applyAlignment="1" applyProtection="1">
      <alignment vertical="center"/>
    </xf>
    <xf numFmtId="2" fontId="24" fillId="0" borderId="17" xfId="0" applyNumberFormat="1" applyFont="1" applyBorder="1" applyAlignment="1">
      <alignment horizontal="center" vertical="center" wrapText="1"/>
    </xf>
    <xf numFmtId="0" fontId="25" fillId="0" borderId="38" xfId="1" applyFont="1" applyFill="1" applyBorder="1" applyAlignment="1">
      <alignment horizontal="center" vertical="center" wrapText="1"/>
    </xf>
    <xf numFmtId="0" fontId="25" fillId="0" borderId="38" xfId="1" applyFont="1" applyFill="1" applyBorder="1" applyAlignment="1">
      <alignment vertical="center" wrapText="1"/>
    </xf>
    <xf numFmtId="0" fontId="25" fillId="0" borderId="39" xfId="0" applyFont="1" applyBorder="1" applyAlignment="1">
      <alignment horizontal="center" vertical="center" wrapText="1"/>
    </xf>
    <xf numFmtId="3" fontId="12" fillId="0" borderId="32" xfId="0" applyNumberFormat="1" applyFont="1" applyBorder="1" applyAlignment="1">
      <alignment horizontal="center" vertical="center"/>
    </xf>
    <xf numFmtId="2" fontId="24" fillId="0" borderId="20" xfId="0" applyNumberFormat="1" applyFont="1" applyBorder="1" applyAlignment="1">
      <alignment horizontal="center" vertical="center" wrapText="1"/>
    </xf>
    <xf numFmtId="2" fontId="24" fillId="0" borderId="40" xfId="0" applyNumberFormat="1" applyFont="1" applyBorder="1" applyAlignment="1">
      <alignment horizontal="center" vertical="center" wrapText="1"/>
    </xf>
    <xf numFmtId="171" fontId="12" fillId="0" borderId="2" xfId="0" applyNumberFormat="1" applyFont="1" applyBorder="1" applyAlignment="1">
      <alignment horizontal="center" vertical="center"/>
    </xf>
    <xf numFmtId="1" fontId="16" fillId="0" borderId="2" xfId="3" applyNumberFormat="1" applyFont="1" applyBorder="1" applyAlignment="1" applyProtection="1">
      <alignment horizontal="center" vertical="center"/>
      <protection hidden="1"/>
    </xf>
    <xf numFmtId="169" fontId="15" fillId="0" borderId="41" xfId="3" applyNumberFormat="1" applyFont="1" applyFill="1" applyBorder="1" applyAlignment="1">
      <alignment horizontal="center" wrapText="1"/>
    </xf>
    <xf numFmtId="2" fontId="24" fillId="0" borderId="21" xfId="0" applyNumberFormat="1" applyFont="1" applyBorder="1" applyAlignment="1">
      <alignment horizontal="center" vertical="center" wrapText="1"/>
    </xf>
    <xf numFmtId="171" fontId="12" fillId="0" borderId="9" xfId="0" applyNumberFormat="1" applyFont="1" applyBorder="1" applyAlignment="1">
      <alignment horizontal="center" vertical="center"/>
    </xf>
    <xf numFmtId="2" fontId="24" fillId="0" borderId="34" xfId="0" applyNumberFormat="1" applyFont="1" applyBorder="1" applyAlignment="1">
      <alignment horizontal="center" vertical="center" wrapText="1"/>
    </xf>
    <xf numFmtId="0" fontId="0" fillId="0" borderId="0" xfId="0" applyAlignment="1"/>
    <xf numFmtId="169" fontId="15" fillId="0" borderId="42" xfId="3" applyNumberFormat="1" applyFont="1" applyFill="1" applyBorder="1" applyAlignment="1">
      <alignment horizontal="center" wrapText="1"/>
    </xf>
    <xf numFmtId="1" fontId="15" fillId="0" borderId="41" xfId="3" applyNumberFormat="1" applyFont="1" applyFill="1" applyBorder="1" applyAlignment="1">
      <alignment horizontal="center" wrapText="1"/>
    </xf>
    <xf numFmtId="0" fontId="12" fillId="0" borderId="3" xfId="0" applyFont="1" applyBorder="1" applyAlignment="1">
      <alignment horizontal="left" vertical="top" wrapText="1"/>
    </xf>
    <xf numFmtId="0" fontId="16" fillId="0" borderId="43" xfId="3" applyFont="1" applyBorder="1" applyAlignment="1" applyProtection="1">
      <alignment horizontal="center" vertical="center"/>
    </xf>
    <xf numFmtId="3" fontId="16" fillId="0" borderId="2" xfId="3" applyNumberFormat="1" applyFont="1" applyBorder="1" applyAlignment="1" applyProtection="1">
      <alignment horizontal="center" vertical="center"/>
    </xf>
    <xf numFmtId="0" fontId="12" fillId="0" borderId="2" xfId="0" applyNumberFormat="1" applyFont="1" applyBorder="1" applyAlignment="1" applyProtection="1">
      <alignment horizontal="center" vertical="center"/>
    </xf>
    <xf numFmtId="0" fontId="16" fillId="0" borderId="43" xfId="3" applyFont="1" applyBorder="1" applyAlignment="1" applyProtection="1">
      <alignment horizontal="center" vertical="center" wrapText="1"/>
    </xf>
    <xf numFmtId="1" fontId="16" fillId="0" borderId="43" xfId="3" applyNumberFormat="1" applyFont="1" applyBorder="1" applyAlignment="1" applyProtection="1">
      <alignment horizontal="center" vertical="center"/>
    </xf>
    <xf numFmtId="3" fontId="16" fillId="0" borderId="43" xfId="3" applyNumberFormat="1" applyFont="1" applyBorder="1" applyAlignment="1" applyProtection="1">
      <alignment horizontal="center" vertical="center"/>
    </xf>
    <xf numFmtId="0" fontId="16" fillId="0" borderId="44" xfId="3" applyFont="1" applyBorder="1" applyAlignment="1" applyProtection="1">
      <alignment horizontal="center" vertical="center"/>
    </xf>
    <xf numFmtId="0" fontId="16" fillId="0" borderId="35" xfId="3"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17" xfId="0" applyNumberFormat="1" applyFont="1" applyBorder="1" applyAlignment="1" applyProtection="1">
      <alignment horizontal="center" vertical="center"/>
    </xf>
    <xf numFmtId="0" fontId="27" fillId="0" borderId="17" xfId="0" applyFont="1" applyBorder="1" applyAlignment="1" applyProtection="1">
      <alignment vertical="center"/>
    </xf>
    <xf numFmtId="0" fontId="27" fillId="0" borderId="44" xfId="0" applyFont="1" applyBorder="1" applyAlignment="1" applyProtection="1">
      <alignment vertical="center"/>
    </xf>
    <xf numFmtId="0" fontId="28" fillId="0" borderId="40" xfId="3" applyFont="1" applyFill="1" applyBorder="1" applyAlignment="1" applyProtection="1">
      <alignment horizontal="center" vertical="center" wrapText="1"/>
    </xf>
    <xf numFmtId="0" fontId="28" fillId="0" borderId="21" xfId="3" applyFont="1" applyFill="1" applyBorder="1" applyAlignment="1" applyProtection="1">
      <alignment horizontal="center" vertical="center" wrapText="1"/>
    </xf>
    <xf numFmtId="0" fontId="28" fillId="0" borderId="18" xfId="3" applyFont="1" applyFill="1" applyBorder="1" applyAlignment="1" applyProtection="1">
      <alignment horizontal="center" vertical="center" wrapText="1"/>
    </xf>
    <xf numFmtId="0" fontId="28" fillId="0" borderId="20" xfId="3" applyFont="1" applyFill="1" applyBorder="1" applyAlignment="1" applyProtection="1">
      <alignment horizontal="center" vertical="center" wrapText="1"/>
    </xf>
    <xf numFmtId="0" fontId="15" fillId="0" borderId="46" xfId="3" applyFont="1" applyFill="1" applyBorder="1" applyAlignment="1" applyProtection="1">
      <alignment horizontal="center" wrapText="1"/>
    </xf>
    <xf numFmtId="0" fontId="15" fillId="0" borderId="47" xfId="3" applyFont="1" applyFill="1" applyBorder="1" applyAlignment="1" applyProtection="1">
      <alignment horizontal="center" wrapText="1"/>
    </xf>
    <xf numFmtId="0" fontId="12" fillId="0" borderId="2" xfId="0" applyFont="1" applyBorder="1" applyAlignment="1">
      <alignment horizontal="left" vertical="top" wrapText="1"/>
    </xf>
    <xf numFmtId="0" fontId="2" fillId="0" borderId="0" xfId="3" applyFont="1" applyFill="1" applyBorder="1" applyAlignment="1" applyProtection="1">
      <alignment horizontal="center" vertical="center"/>
    </xf>
    <xf numFmtId="0" fontId="29" fillId="0" borderId="0" xfId="3" applyFont="1" applyFill="1" applyAlignment="1" applyProtection="1">
      <alignment horizontal="center" vertical="center"/>
    </xf>
    <xf numFmtId="0" fontId="28" fillId="0" borderId="17" xfId="3" applyFont="1" applyFill="1" applyBorder="1" applyAlignment="1" applyProtection="1">
      <alignment horizontal="center" vertical="center" wrapText="1"/>
    </xf>
    <xf numFmtId="0" fontId="28" fillId="0" borderId="44" xfId="3" applyFont="1" applyFill="1" applyBorder="1" applyAlignment="1" applyProtection="1">
      <alignment horizontal="center" vertical="center" wrapText="1"/>
    </xf>
    <xf numFmtId="0" fontId="28" fillId="0" borderId="19" xfId="3" applyFont="1" applyFill="1" applyBorder="1" applyAlignment="1" applyProtection="1">
      <alignment horizontal="center" vertical="center" wrapText="1"/>
    </xf>
    <xf numFmtId="170" fontId="16" fillId="0" borderId="43" xfId="8" applyNumberFormat="1" applyFont="1" applyBorder="1" applyAlignment="1" applyProtection="1">
      <alignment horizontal="center" vertical="center"/>
    </xf>
    <xf numFmtId="170" fontId="16" fillId="0" borderId="43" xfId="8" applyNumberFormat="1" applyFont="1" applyBorder="1" applyAlignment="1" applyProtection="1">
      <alignment horizontal="center" vertical="center" wrapText="1"/>
    </xf>
    <xf numFmtId="170" fontId="16" fillId="0" borderId="43" xfId="8" applyNumberFormat="1" applyFont="1" applyBorder="1" applyAlignment="1" applyProtection="1">
      <alignment horizontal="center"/>
    </xf>
    <xf numFmtId="0" fontId="15" fillId="0" borderId="33"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5" fillId="0" borderId="50" xfId="3" applyFont="1" applyFill="1" applyBorder="1" applyAlignment="1" applyProtection="1">
      <alignment horizontal="center" vertical="center" wrapText="1"/>
    </xf>
    <xf numFmtId="49" fontId="12" fillId="0" borderId="2" xfId="8" applyNumberFormat="1" applyFont="1" applyBorder="1" applyAlignment="1" applyProtection="1">
      <alignment horizontal="left" vertical="top" wrapText="1"/>
    </xf>
    <xf numFmtId="0" fontId="15" fillId="0" borderId="50" xfId="3" applyFont="1" applyFill="1" applyBorder="1" applyAlignment="1" applyProtection="1">
      <alignment horizontal="center" wrapText="1"/>
    </xf>
    <xf numFmtId="0" fontId="15" fillId="0" borderId="46" xfId="3"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wrapText="1"/>
    </xf>
    <xf numFmtId="0" fontId="15" fillId="0" borderId="48" xfId="3" applyFont="1" applyFill="1" applyBorder="1" applyAlignment="1" applyProtection="1">
      <alignment horizontal="center" vertical="center" wrapText="1"/>
    </xf>
    <xf numFmtId="0" fontId="2" fillId="0" borderId="0" xfId="3" applyFont="1" applyFill="1" applyBorder="1" applyAlignment="1" applyProtection="1">
      <alignment horizontal="center" vertical="center" wrapText="1"/>
    </xf>
    <xf numFmtId="0" fontId="15" fillId="0" borderId="51" xfId="3" applyFont="1" applyFill="1" applyBorder="1" applyAlignment="1" applyProtection="1">
      <alignment horizontal="center" vertical="center" wrapText="1"/>
    </xf>
    <xf numFmtId="175" fontId="12" fillId="0" borderId="2" xfId="8" applyNumberFormat="1" applyFont="1" applyBorder="1" applyAlignment="1" applyProtection="1">
      <alignment horizontal="center"/>
    </xf>
    <xf numFmtId="0" fontId="15" fillId="3" borderId="54" xfId="3" applyFont="1" applyFill="1" applyBorder="1" applyAlignment="1" applyProtection="1">
      <alignment vertical="center"/>
    </xf>
    <xf numFmtId="0" fontId="15" fillId="0" borderId="55" xfId="3" applyFont="1" applyFill="1" applyBorder="1" applyAlignment="1">
      <alignment horizontal="center" wrapText="1"/>
    </xf>
    <xf numFmtId="0" fontId="15" fillId="0" borderId="56" xfId="3" applyFont="1" applyFill="1" applyBorder="1" applyAlignment="1">
      <alignment horizontal="center" wrapText="1"/>
    </xf>
    <xf numFmtId="0" fontId="15" fillId="0" borderId="57" xfId="3" applyFont="1" applyBorder="1" applyAlignment="1" applyProtection="1">
      <alignment horizontal="center"/>
      <protection hidden="1"/>
    </xf>
    <xf numFmtId="169" fontId="15" fillId="0" borderId="56" xfId="3" applyNumberFormat="1" applyFont="1" applyFill="1" applyBorder="1" applyAlignment="1">
      <alignment horizontal="center" wrapText="1"/>
    </xf>
    <xf numFmtId="169" fontId="15" fillId="0" borderId="58" xfId="3" applyNumberFormat="1" applyFont="1" applyFill="1" applyBorder="1" applyAlignment="1">
      <alignment horizontal="center" wrapText="1"/>
    </xf>
    <xf numFmtId="0" fontId="15" fillId="0" borderId="59" xfId="3" applyFont="1" applyFill="1" applyBorder="1" applyAlignment="1">
      <alignment horizontal="center" wrapText="1"/>
    </xf>
    <xf numFmtId="2" fontId="15" fillId="0" borderId="56" xfId="3" applyNumberFormat="1" applyFont="1" applyFill="1" applyBorder="1" applyAlignment="1">
      <alignment horizontal="center" wrapText="1"/>
    </xf>
    <xf numFmtId="3" fontId="15" fillId="0" borderId="60" xfId="1" applyNumberFormat="1" applyFont="1" applyFill="1" applyBorder="1" applyAlignment="1">
      <alignment horizontal="center" wrapText="1"/>
    </xf>
    <xf numFmtId="169" fontId="15" fillId="0" borderId="61" xfId="3" applyNumberFormat="1" applyFont="1" applyFill="1" applyBorder="1" applyAlignment="1">
      <alignment horizontal="center" wrapText="1"/>
    </xf>
    <xf numFmtId="0" fontId="15" fillId="0" borderId="62" xfId="3" applyFont="1" applyFill="1" applyBorder="1" applyAlignment="1">
      <alignment vertical="center" wrapText="1"/>
    </xf>
    <xf numFmtId="0" fontId="25" fillId="0" borderId="19" xfId="0" applyFont="1" applyBorder="1" applyAlignment="1">
      <alignment horizontal="center" vertical="center" wrapText="1"/>
    </xf>
    <xf numFmtId="174" fontId="16" fillId="0" borderId="63" xfId="3" applyNumberFormat="1" applyFont="1" applyBorder="1" applyAlignment="1" applyProtection="1">
      <alignment horizontal="center" vertical="center"/>
    </xf>
    <xf numFmtId="0" fontId="16" fillId="0" borderId="64" xfId="3" applyFont="1" applyBorder="1" applyAlignment="1" applyProtection="1">
      <alignment horizontal="center" vertical="center"/>
    </xf>
    <xf numFmtId="0" fontId="16" fillId="0" borderId="65" xfId="3" applyFont="1" applyBorder="1" applyAlignment="1" applyProtection="1">
      <alignment horizontal="center" vertical="center"/>
      <protection hidden="1"/>
    </xf>
    <xf numFmtId="0" fontId="16" fillId="0" borderId="66" xfId="3" applyFont="1" applyBorder="1" applyAlignment="1" applyProtection="1">
      <alignment horizontal="center" vertical="center"/>
      <protection hidden="1"/>
    </xf>
    <xf numFmtId="3" fontId="12" fillId="0" borderId="64" xfId="0" applyNumberFormat="1" applyFont="1" applyBorder="1" applyAlignment="1">
      <alignment horizontal="center" vertical="center" wrapText="1"/>
    </xf>
    <xf numFmtId="3" fontId="12" fillId="0" borderId="68" xfId="0" applyNumberFormat="1" applyFont="1" applyBorder="1" applyAlignment="1">
      <alignment horizontal="center" vertical="center" wrapText="1"/>
    </xf>
    <xf numFmtId="2" fontId="12" fillId="0" borderId="64" xfId="0" applyNumberFormat="1" applyFont="1" applyBorder="1" applyAlignment="1">
      <alignment horizontal="center" vertical="center" wrapText="1"/>
    </xf>
    <xf numFmtId="169" fontId="12" fillId="0" borderId="64" xfId="0" applyNumberFormat="1" applyFont="1" applyBorder="1" applyAlignment="1">
      <alignment horizontal="center" vertical="center" wrapText="1"/>
    </xf>
    <xf numFmtId="172" fontId="12" fillId="0" borderId="64" xfId="0" applyNumberFormat="1" applyFont="1" applyBorder="1" applyAlignment="1">
      <alignment horizontal="center" vertical="center" wrapText="1"/>
    </xf>
    <xf numFmtId="1" fontId="16" fillId="0" borderId="65" xfId="3" applyNumberFormat="1" applyFont="1" applyBorder="1" applyAlignment="1" applyProtection="1">
      <alignment horizontal="center" vertical="center"/>
      <protection hidden="1"/>
    </xf>
    <xf numFmtId="1" fontId="16" fillId="0" borderId="66" xfId="3" applyNumberFormat="1" applyFont="1" applyBorder="1" applyAlignment="1" applyProtection="1">
      <alignment horizontal="center" vertical="center"/>
      <protection hidden="1"/>
    </xf>
    <xf numFmtId="174" fontId="16" fillId="0" borderId="63" xfId="3" quotePrefix="1" applyNumberFormat="1" applyFont="1" applyBorder="1" applyAlignment="1" applyProtection="1">
      <alignment horizontal="center" vertical="center"/>
    </xf>
    <xf numFmtId="174" fontId="16" fillId="0" borderId="63" xfId="3" applyNumberFormat="1" applyFont="1" applyBorder="1" applyAlignment="1" applyProtection="1">
      <alignment horizontal="center" vertical="center" wrapText="1"/>
    </xf>
    <xf numFmtId="0" fontId="16" fillId="0" borderId="64" xfId="3" applyFont="1" applyBorder="1" applyAlignment="1" applyProtection="1">
      <alignment horizontal="center" vertical="center" wrapText="1"/>
    </xf>
    <xf numFmtId="0" fontId="16" fillId="0" borderId="65" xfId="3" applyFont="1" applyBorder="1" applyAlignment="1" applyProtection="1">
      <alignment horizontal="center" vertical="center" wrapText="1"/>
      <protection hidden="1"/>
    </xf>
    <xf numFmtId="0" fontId="16" fillId="0" borderId="66" xfId="3" applyFont="1" applyBorder="1" applyAlignment="1" applyProtection="1">
      <alignment horizontal="center" vertical="center" wrapText="1"/>
      <protection hidden="1"/>
    </xf>
    <xf numFmtId="174" fontId="16" fillId="0" borderId="63" xfId="3" applyNumberFormat="1" applyFont="1" applyFill="1" applyBorder="1" applyAlignment="1" applyProtection="1">
      <alignment horizontal="center" vertical="center"/>
    </xf>
    <xf numFmtId="0" fontId="16" fillId="0" borderId="64" xfId="3" applyFont="1" applyFill="1" applyBorder="1" applyAlignment="1" applyProtection="1">
      <alignment horizontal="center" vertical="center"/>
    </xf>
    <xf numFmtId="0" fontId="16" fillId="0" borderId="65" xfId="3" applyFont="1" applyFill="1" applyBorder="1" applyAlignment="1" applyProtection="1">
      <alignment horizontal="center" vertical="center"/>
      <protection hidden="1"/>
    </xf>
    <xf numFmtId="0" fontId="16" fillId="0" borderId="66" xfId="3" applyFont="1" applyFill="1" applyBorder="1" applyAlignment="1" applyProtection="1">
      <alignment horizontal="center" vertical="center"/>
      <protection hidden="1"/>
    </xf>
    <xf numFmtId="0" fontId="16" fillId="0" borderId="64" xfId="3" applyFont="1" applyBorder="1" applyAlignment="1" applyProtection="1">
      <alignment horizontal="center"/>
    </xf>
    <xf numFmtId="174" fontId="16" fillId="0" borderId="70" xfId="3" applyNumberFormat="1" applyFont="1" applyBorder="1" applyAlignment="1" applyProtection="1">
      <alignment horizontal="center" vertical="center"/>
    </xf>
    <xf numFmtId="0" fontId="16" fillId="0" borderId="71" xfId="3" applyFont="1" applyBorder="1" applyAlignment="1" applyProtection="1">
      <alignment horizontal="center" vertical="center"/>
    </xf>
    <xf numFmtId="0" fontId="16" fillId="0" borderId="72" xfId="3" applyFont="1" applyBorder="1" applyAlignment="1" applyProtection="1">
      <alignment horizontal="center" vertical="center"/>
      <protection hidden="1"/>
    </xf>
    <xf numFmtId="3" fontId="15" fillId="0" borderId="71" xfId="3" applyNumberFormat="1" applyFont="1" applyFill="1" applyBorder="1" applyAlignment="1">
      <alignment horizontal="center" vertical="center" wrapText="1"/>
    </xf>
    <xf numFmtId="0" fontId="16" fillId="0" borderId="73" xfId="3" applyFont="1" applyBorder="1" applyAlignment="1" applyProtection="1">
      <alignment horizontal="center" vertical="center"/>
      <protection hidden="1"/>
    </xf>
    <xf numFmtId="3" fontId="15" fillId="0" borderId="74" xfId="3" applyNumberFormat="1" applyFont="1" applyFill="1" applyBorder="1" applyAlignment="1">
      <alignment horizontal="center" vertical="center" wrapText="1"/>
    </xf>
    <xf numFmtId="0" fontId="15" fillId="0" borderId="71" xfId="3" applyFont="1" applyFill="1" applyBorder="1" applyAlignment="1">
      <alignment horizontal="center" vertical="center" wrapText="1"/>
    </xf>
    <xf numFmtId="0" fontId="15" fillId="3" borderId="76" xfId="3" applyFont="1" applyFill="1" applyBorder="1" applyAlignment="1" applyProtection="1">
      <alignment horizontal="center" vertical="center"/>
    </xf>
    <xf numFmtId="0" fontId="15" fillId="0" borderId="55" xfId="1" applyFont="1" applyFill="1" applyBorder="1" applyAlignment="1">
      <alignment horizontal="center" wrapText="1"/>
    </xf>
    <xf numFmtId="0" fontId="15" fillId="0" borderId="56" xfId="1" applyFont="1" applyFill="1" applyBorder="1" applyAlignment="1">
      <alignment horizontal="center" wrapText="1"/>
    </xf>
    <xf numFmtId="0" fontId="15" fillId="0" borderId="57" xfId="1" applyFont="1" applyFill="1" applyBorder="1" applyAlignment="1">
      <alignment horizontal="center" wrapText="1"/>
    </xf>
    <xf numFmtId="169" fontId="15" fillId="0" borderId="77" xfId="3" applyNumberFormat="1" applyFont="1" applyFill="1" applyBorder="1" applyAlignment="1">
      <alignment horizontal="center" wrapText="1"/>
    </xf>
    <xf numFmtId="0" fontId="15" fillId="0" borderId="59" xfId="1" applyFont="1" applyFill="1" applyBorder="1" applyAlignment="1">
      <alignment horizontal="center" wrapText="1"/>
    </xf>
    <xf numFmtId="2" fontId="15" fillId="0" borderId="56" xfId="1" applyNumberFormat="1" applyFont="1" applyFill="1" applyBorder="1" applyAlignment="1">
      <alignment horizontal="center" wrapText="1"/>
    </xf>
    <xf numFmtId="169" fontId="15" fillId="0" borderId="56" xfId="1" applyNumberFormat="1" applyFont="1" applyFill="1" applyBorder="1" applyAlignment="1">
      <alignment horizontal="center" wrapText="1"/>
    </xf>
    <xf numFmtId="0" fontId="15" fillId="0" borderId="60" xfId="1" applyFont="1" applyFill="1" applyBorder="1" applyAlignment="1">
      <alignment horizontal="center" wrapText="1"/>
    </xf>
    <xf numFmtId="172" fontId="15" fillId="0" borderId="60" xfId="1" applyNumberFormat="1" applyFont="1" applyFill="1" applyBorder="1" applyAlignment="1">
      <alignment horizontal="center" wrapText="1"/>
    </xf>
    <xf numFmtId="0" fontId="15" fillId="0" borderId="78" xfId="1" applyFont="1" applyFill="1" applyBorder="1" applyAlignment="1">
      <alignment horizontal="center" wrapText="1"/>
    </xf>
    <xf numFmtId="0" fontId="15" fillId="0" borderId="79" xfId="1" applyFont="1" applyFill="1" applyBorder="1" applyAlignment="1">
      <alignment vertical="center" wrapText="1"/>
    </xf>
    <xf numFmtId="0" fontId="25" fillId="0" borderId="80" xfId="1" applyFont="1" applyFill="1" applyBorder="1" applyAlignment="1">
      <alignment vertical="center" wrapText="1"/>
    </xf>
    <xf numFmtId="0" fontId="16" fillId="0" borderId="64" xfId="3" applyFont="1" applyBorder="1" applyAlignment="1" applyProtection="1">
      <alignment horizontal="center" vertical="center"/>
      <protection hidden="1"/>
    </xf>
    <xf numFmtId="3" fontId="12" fillId="0" borderId="64" xfId="0" applyNumberFormat="1" applyFont="1" applyBorder="1" applyAlignment="1">
      <alignment horizontal="left" vertical="center"/>
    </xf>
    <xf numFmtId="0" fontId="12" fillId="0" borderId="67" xfId="0" applyFont="1" applyBorder="1" applyAlignment="1">
      <alignment horizontal="left" vertical="top" wrapText="1"/>
    </xf>
    <xf numFmtId="0" fontId="16" fillId="0" borderId="71" xfId="3" applyFont="1" applyBorder="1" applyAlignment="1" applyProtection="1">
      <alignment horizontal="center" vertical="center"/>
      <protection hidden="1"/>
    </xf>
    <xf numFmtId="3" fontId="12" fillId="0" borderId="71" xfId="0" applyNumberFormat="1" applyFont="1" applyBorder="1" applyAlignment="1">
      <alignment horizontal="left" vertical="center"/>
    </xf>
    <xf numFmtId="171" fontId="12" fillId="0" borderId="16" xfId="0" applyNumberFormat="1" applyFont="1" applyBorder="1" applyAlignment="1">
      <alignment horizontal="center" vertical="center"/>
    </xf>
    <xf numFmtId="171" fontId="12" fillId="0" borderId="13" xfId="0" applyNumberFormat="1" applyFont="1" applyBorder="1" applyAlignment="1">
      <alignment horizontal="center" vertical="center"/>
    </xf>
    <xf numFmtId="1" fontId="16" fillId="0" borderId="13" xfId="3" applyNumberFormat="1" applyFont="1" applyBorder="1" applyAlignment="1" applyProtection="1">
      <alignment horizontal="center" vertical="center"/>
      <protection hidden="1"/>
    </xf>
    <xf numFmtId="1" fontId="16" fillId="0" borderId="81" xfId="3" applyNumberFormat="1" applyFont="1" applyBorder="1" applyAlignment="1" applyProtection="1">
      <alignment horizontal="center" vertical="center"/>
      <protection hidden="1"/>
    </xf>
    <xf numFmtId="3" fontId="12" fillId="0" borderId="82" xfId="0" applyNumberFormat="1" applyFont="1" applyBorder="1" applyAlignment="1">
      <alignment horizontal="center" vertical="center"/>
    </xf>
    <xf numFmtId="4" fontId="12" fillId="0" borderId="83" xfId="0" applyNumberFormat="1" applyFont="1" applyBorder="1" applyAlignment="1">
      <alignment horizontal="center" vertical="center" wrapText="1"/>
    </xf>
    <xf numFmtId="3" fontId="12" fillId="0" borderId="83" xfId="0" applyNumberFormat="1" applyFont="1" applyBorder="1" applyAlignment="1">
      <alignment horizontal="center" vertical="center" wrapText="1"/>
    </xf>
    <xf numFmtId="172" fontId="12" fillId="0" borderId="83" xfId="0" applyNumberFormat="1" applyFont="1" applyBorder="1" applyAlignment="1">
      <alignment horizontal="center" vertical="center" wrapText="1"/>
    </xf>
    <xf numFmtId="0" fontId="12" fillId="0" borderId="83" xfId="0" applyFont="1" applyBorder="1" applyAlignment="1">
      <alignment horizontal="center" vertical="center" wrapText="1"/>
    </xf>
    <xf numFmtId="0" fontId="12" fillId="0" borderId="83" xfId="0" applyFont="1" applyBorder="1" applyAlignment="1">
      <alignment horizontal="left" vertical="top" wrapText="1"/>
    </xf>
    <xf numFmtId="0" fontId="12" fillId="0" borderId="84" xfId="0" applyFont="1" applyBorder="1" applyAlignment="1">
      <alignment horizontal="left" vertical="top" wrapText="1"/>
    </xf>
    <xf numFmtId="0" fontId="26" fillId="0" borderId="0" xfId="3" applyFont="1" applyFill="1" applyBorder="1" applyAlignment="1" applyProtection="1">
      <alignment horizontal="center" vertical="center"/>
    </xf>
    <xf numFmtId="0" fontId="16" fillId="0" borderId="0" xfId="3" applyFont="1" applyBorder="1" applyAlignment="1" applyProtection="1">
      <alignment horizontal="center"/>
    </xf>
    <xf numFmtId="0" fontId="12" fillId="0" borderId="19" xfId="0" applyFont="1" applyBorder="1" applyAlignment="1">
      <alignment horizontal="left" vertical="top" wrapText="1"/>
    </xf>
    <xf numFmtId="0" fontId="12" fillId="0" borderId="11" xfId="0" applyFont="1" applyBorder="1" applyAlignment="1">
      <alignment horizontal="left" vertical="top" wrapText="1"/>
    </xf>
    <xf numFmtId="0" fontId="16" fillId="0" borderId="85" xfId="3" applyFont="1" applyBorder="1" applyAlignment="1" applyProtection="1">
      <alignment horizontal="center" vertical="center"/>
    </xf>
    <xf numFmtId="0" fontId="12" fillId="0" borderId="13" xfId="0" applyFont="1" applyBorder="1" applyAlignment="1" applyProtection="1">
      <alignment horizontal="center" vertical="center"/>
    </xf>
    <xf numFmtId="3" fontId="16" fillId="0" borderId="13" xfId="3" applyNumberFormat="1" applyFont="1" applyBorder="1" applyAlignment="1" applyProtection="1">
      <alignment horizontal="center" vertical="center"/>
    </xf>
    <xf numFmtId="0" fontId="12" fillId="0" borderId="13" xfId="0" applyNumberFormat="1" applyFont="1" applyBorder="1" applyAlignment="1" applyProtection="1">
      <alignment horizontal="center" vertical="center"/>
    </xf>
    <xf numFmtId="3" fontId="12" fillId="0" borderId="13" xfId="0" applyNumberFormat="1" applyFont="1" applyBorder="1" applyAlignment="1" applyProtection="1">
      <alignment horizontal="center" vertical="center"/>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172" fontId="15" fillId="0" borderId="0" xfId="3" applyNumberFormat="1" applyFont="1" applyFill="1" applyBorder="1" applyAlignment="1" applyProtection="1">
      <alignment horizontal="center" vertical="center" wrapText="1"/>
    </xf>
    <xf numFmtId="3" fontId="12" fillId="0" borderId="21" xfId="8" applyNumberFormat="1" applyFont="1" applyBorder="1" applyAlignment="1" applyProtection="1">
      <alignment horizontal="center"/>
    </xf>
    <xf numFmtId="3" fontId="12" fillId="0" borderId="9" xfId="8" applyNumberFormat="1" applyFont="1" applyBorder="1" applyAlignment="1" applyProtection="1">
      <alignment horizontal="center"/>
    </xf>
    <xf numFmtId="3" fontId="12" fillId="0" borderId="16" xfId="8" applyNumberFormat="1" applyFont="1" applyBorder="1" applyAlignment="1" applyProtection="1">
      <alignment horizontal="center"/>
    </xf>
    <xf numFmtId="0" fontId="31" fillId="0" borderId="0" xfId="0" applyFont="1" applyFill="1" applyAlignment="1">
      <alignment horizontal="center" vertical="center"/>
    </xf>
    <xf numFmtId="0" fontId="30" fillId="0" borderId="0" xfId="0" applyFont="1" applyFill="1" applyAlignment="1" applyProtection="1">
      <alignment horizontal="center" vertical="center"/>
    </xf>
    <xf numFmtId="2" fontId="28" fillId="0" borderId="17" xfId="3" applyNumberFormat="1" applyFont="1" applyFill="1" applyBorder="1" applyAlignment="1" applyProtection="1">
      <alignment horizontal="center" vertical="center" wrapText="1"/>
    </xf>
    <xf numFmtId="172" fontId="28" fillId="0" borderId="20" xfId="3" applyNumberFormat="1" applyFont="1" applyFill="1" applyBorder="1" applyAlignment="1" applyProtection="1">
      <alignment horizontal="center" vertical="center" wrapText="1"/>
    </xf>
    <xf numFmtId="3" fontId="28" fillId="0" borderId="17" xfId="3" applyNumberFormat="1" applyFont="1" applyFill="1" applyBorder="1" applyAlignment="1" applyProtection="1">
      <alignment horizontal="center" vertical="center" wrapText="1"/>
    </xf>
    <xf numFmtId="172" fontId="28" fillId="0" borderId="18" xfId="3" applyNumberFormat="1" applyFont="1" applyFill="1" applyBorder="1" applyAlignment="1" applyProtection="1">
      <alignment horizontal="center" vertical="center" wrapText="1"/>
    </xf>
    <xf numFmtId="0" fontId="15" fillId="0" borderId="33" xfId="3" applyFont="1" applyFill="1" applyBorder="1" applyAlignment="1" applyProtection="1">
      <alignment horizontal="center" wrapText="1"/>
    </xf>
    <xf numFmtId="0" fontId="15" fillId="0" borderId="47"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5" fillId="0" borderId="48" xfId="3" applyFont="1" applyFill="1" applyBorder="1" applyAlignment="1" applyProtection="1">
      <alignment horizontal="center" vertical="center" wrapText="1"/>
    </xf>
    <xf numFmtId="0" fontId="15" fillId="0" borderId="33" xfId="3" applyFont="1" applyFill="1" applyBorder="1" applyAlignment="1" applyProtection="1">
      <alignment horizontal="center" vertical="center" wrapText="1"/>
    </xf>
    <xf numFmtId="172" fontId="15" fillId="0" borderId="48" xfId="3" applyNumberFormat="1" applyFont="1" applyFill="1" applyBorder="1" applyAlignment="1" applyProtection="1">
      <alignment horizontal="center" vertical="center" wrapText="1"/>
    </xf>
    <xf numFmtId="172" fontId="28" fillId="0" borderId="21" xfId="3" applyNumberFormat="1" applyFont="1" applyFill="1" applyBorder="1" applyAlignment="1" applyProtection="1">
      <alignment horizontal="center" vertical="center" wrapText="1"/>
    </xf>
    <xf numFmtId="172" fontId="15" fillId="0" borderId="47" xfId="3" applyNumberFormat="1" applyFont="1" applyFill="1" applyBorder="1" applyAlignment="1" applyProtection="1">
      <alignment horizontal="center" vertical="center" wrapText="1"/>
    </xf>
    <xf numFmtId="0" fontId="0" fillId="0" borderId="0" xfId="0" applyFill="1" applyBorder="1" applyAlignment="1">
      <alignment horizontal="center" vertical="center"/>
    </xf>
    <xf numFmtId="0" fontId="14" fillId="0" borderId="0" xfId="0" applyFont="1" applyFill="1" applyBorder="1" applyAlignment="1" applyProtection="1">
      <alignment horizontal="center" vertical="center"/>
    </xf>
    <xf numFmtId="3" fontId="15" fillId="2" borderId="87" xfId="3" applyNumberFormat="1" applyFont="1" applyFill="1" applyBorder="1" applyAlignment="1" applyProtection="1">
      <alignment vertical="center" wrapText="1"/>
    </xf>
    <xf numFmtId="2" fontId="15" fillId="2" borderId="87" xfId="3" applyNumberFormat="1" applyFont="1" applyFill="1" applyBorder="1" applyAlignment="1" applyProtection="1">
      <alignment vertical="center" wrapText="1"/>
    </xf>
    <xf numFmtId="0" fontId="15" fillId="2" borderId="87" xfId="3" applyFont="1" applyFill="1" applyBorder="1" applyAlignment="1" applyProtection="1">
      <alignment vertical="center"/>
    </xf>
    <xf numFmtId="0" fontId="15" fillId="2" borderId="87" xfId="3" applyFont="1" applyFill="1" applyBorder="1" applyAlignment="1" applyProtection="1">
      <alignment vertical="center" wrapText="1"/>
    </xf>
    <xf numFmtId="0" fontId="15" fillId="2" borderId="88" xfId="3" applyFont="1" applyFill="1" applyBorder="1" applyAlignment="1" applyProtection="1">
      <alignment vertical="center"/>
    </xf>
    <xf numFmtId="0" fontId="15" fillId="0" borderId="33" xfId="3" applyFont="1" applyFill="1" applyBorder="1" applyAlignment="1" applyProtection="1">
      <alignment horizontal="center" vertical="center"/>
    </xf>
    <xf numFmtId="0" fontId="15" fillId="0" borderId="46" xfId="3" applyFont="1" applyFill="1" applyBorder="1" applyAlignment="1" applyProtection="1">
      <alignment horizontal="center" vertical="center"/>
    </xf>
    <xf numFmtId="0" fontId="0" fillId="0" borderId="0" xfId="0" applyFill="1" applyAlignment="1">
      <alignment vertical="center"/>
    </xf>
    <xf numFmtId="0" fontId="14" fillId="0" borderId="0" xfId="0" applyFont="1" applyFill="1" applyAlignment="1" applyProtection="1">
      <alignment vertical="center"/>
    </xf>
    <xf numFmtId="170" fontId="12" fillId="0" borderId="21" xfId="8" applyNumberFormat="1" applyFont="1" applyBorder="1" applyAlignment="1" applyProtection="1">
      <alignment horizontal="center"/>
    </xf>
    <xf numFmtId="170" fontId="12" fillId="0" borderId="9" xfId="8" applyNumberFormat="1" applyFont="1" applyBorder="1" applyAlignment="1" applyProtection="1">
      <alignment horizontal="center"/>
    </xf>
    <xf numFmtId="170" fontId="12" fillId="0" borderId="16" xfId="8" applyNumberFormat="1" applyFont="1" applyBorder="1" applyAlignment="1" applyProtection="1">
      <alignment horizontal="center"/>
    </xf>
    <xf numFmtId="0" fontId="15" fillId="0" borderId="33" xfId="3" applyFont="1" applyFill="1" applyBorder="1" applyAlignment="1" applyProtection="1">
      <alignment vertical="center" wrapText="1"/>
    </xf>
    <xf numFmtId="170" fontId="12" fillId="0" borderId="18" xfId="8" applyNumberFormat="1" applyFont="1" applyBorder="1" applyAlignment="1" applyProtection="1">
      <alignment horizontal="center"/>
    </xf>
    <xf numFmtId="170" fontId="12" fillId="0" borderId="8" xfId="8" applyNumberFormat="1" applyFont="1" applyBorder="1" applyAlignment="1" applyProtection="1">
      <alignment horizontal="center"/>
    </xf>
    <xf numFmtId="170" fontId="12" fillId="0" borderId="15" xfId="8" applyNumberFormat="1" applyFont="1" applyBorder="1" applyAlignment="1" applyProtection="1">
      <alignment horizontal="center"/>
    </xf>
    <xf numFmtId="0" fontId="15" fillId="0" borderId="33" xfId="3" applyFont="1" applyFill="1" applyBorder="1" applyAlignment="1" applyProtection="1">
      <alignment vertical="center"/>
    </xf>
    <xf numFmtId="0" fontId="28" fillId="0" borderId="17" xfId="3" applyFont="1" applyFill="1" applyBorder="1" applyAlignment="1" applyProtection="1">
      <alignment horizontal="center" vertical="center"/>
    </xf>
    <xf numFmtId="49" fontId="12" fillId="0" borderId="17" xfId="8" applyNumberFormat="1" applyFont="1" applyBorder="1" applyAlignment="1" applyProtection="1">
      <alignment horizontal="left" vertical="top" wrapText="1"/>
    </xf>
    <xf numFmtId="0" fontId="15" fillId="0" borderId="50" xfId="3" applyFont="1" applyFill="1" applyBorder="1" applyAlignment="1" applyProtection="1">
      <alignment horizontal="center" vertical="center"/>
    </xf>
    <xf numFmtId="0" fontId="15" fillId="0" borderId="49" xfId="3" applyFont="1" applyFill="1" applyBorder="1" applyAlignment="1" applyProtection="1">
      <alignment vertical="center"/>
    </xf>
    <xf numFmtId="0" fontId="15" fillId="0" borderId="49" xfId="3" applyFont="1" applyFill="1" applyBorder="1" applyAlignment="1" applyProtection="1">
      <alignment horizontal="center" vertical="center"/>
    </xf>
    <xf numFmtId="0" fontId="28" fillId="0" borderId="90" xfId="3" applyFont="1" applyFill="1" applyBorder="1" applyAlignment="1" applyProtection="1">
      <alignment horizontal="center" vertical="center" wrapText="1"/>
    </xf>
    <xf numFmtId="0" fontId="28" fillId="0" borderId="19" xfId="3" applyFont="1" applyFill="1" applyBorder="1" applyAlignment="1" applyProtection="1">
      <alignment horizontal="center" vertical="center"/>
    </xf>
    <xf numFmtId="49" fontId="12" fillId="0" borderId="19" xfId="8" applyNumberFormat="1" applyFont="1" applyBorder="1" applyAlignment="1" applyProtection="1">
      <alignment horizontal="left" vertical="top" wrapText="1"/>
    </xf>
    <xf numFmtId="49" fontId="12" fillId="0" borderId="11" xfId="8" applyNumberFormat="1" applyFont="1" applyBorder="1" applyAlignment="1" applyProtection="1">
      <alignment horizontal="left" vertical="top" wrapText="1"/>
    </xf>
    <xf numFmtId="49" fontId="12" fillId="0" borderId="13" xfId="8" applyNumberFormat="1" applyFont="1" applyBorder="1" applyAlignment="1" applyProtection="1">
      <alignment horizontal="left" vertical="top" wrapText="1"/>
    </xf>
    <xf numFmtId="49" fontId="12" fillId="0" borderId="14" xfId="8" applyNumberFormat="1" applyFont="1" applyBorder="1" applyAlignment="1" applyProtection="1">
      <alignment horizontal="left" vertical="top" wrapText="1"/>
    </xf>
    <xf numFmtId="3" fontId="4" fillId="4" borderId="87" xfId="3" applyNumberFormat="1" applyFont="1" applyFill="1" applyBorder="1" applyAlignment="1" applyProtection="1">
      <alignment horizontal="center" vertical="center"/>
    </xf>
    <xf numFmtId="0" fontId="16" fillId="4" borderId="87" xfId="3" applyFont="1" applyFill="1" applyBorder="1" applyAlignment="1" applyProtection="1">
      <alignment horizontal="left" vertical="center"/>
    </xf>
    <xf numFmtId="0" fontId="16" fillId="4" borderId="87" xfId="3" applyFont="1" applyFill="1" applyBorder="1" applyAlignment="1" applyProtection="1">
      <alignment horizontal="center" vertical="center"/>
    </xf>
    <xf numFmtId="0" fontId="4" fillId="4" borderId="87" xfId="3" applyFont="1" applyFill="1" applyBorder="1" applyAlignment="1" applyProtection="1">
      <alignment horizontal="left" vertical="center"/>
    </xf>
    <xf numFmtId="3" fontId="4" fillId="4" borderId="88" xfId="3" applyNumberFormat="1" applyFont="1" applyFill="1" applyBorder="1" applyAlignment="1" applyProtection="1">
      <alignment horizontal="center" vertical="center"/>
    </xf>
    <xf numFmtId="170" fontId="16" fillId="0" borderId="85" xfId="8" applyNumberFormat="1" applyFont="1" applyBorder="1" applyAlignment="1" applyProtection="1">
      <alignment horizontal="center" vertical="center"/>
    </xf>
    <xf numFmtId="170" fontId="16" fillId="0" borderId="13" xfId="8" applyNumberFormat="1" applyFont="1" applyBorder="1" applyAlignment="1" applyProtection="1">
      <alignment horizontal="center"/>
    </xf>
    <xf numFmtId="175" fontId="12" fillId="0" borderId="13" xfId="8" applyNumberFormat="1" applyFont="1" applyBorder="1" applyAlignment="1" applyProtection="1">
      <alignment horizontal="center"/>
    </xf>
    <xf numFmtId="0" fontId="15" fillId="2" borderId="87" xfId="1" applyFont="1" applyFill="1" applyBorder="1" applyAlignment="1" applyProtection="1">
      <alignment vertical="center"/>
    </xf>
    <xf numFmtId="0" fontId="15" fillId="2" borderId="88" xfId="1" applyFont="1" applyFill="1" applyBorder="1" applyAlignment="1" applyProtection="1">
      <alignment vertical="center"/>
    </xf>
    <xf numFmtId="0" fontId="27" fillId="0" borderId="90" xfId="0" applyFont="1" applyBorder="1" applyAlignment="1" applyProtection="1">
      <alignment vertical="center"/>
    </xf>
    <xf numFmtId="0" fontId="15" fillId="0" borderId="48" xfId="3"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wrapText="1"/>
    </xf>
    <xf numFmtId="0" fontId="15" fillId="0" borderId="33"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174" fontId="16" fillId="0" borderId="90" xfId="3" applyNumberFormat="1" applyFont="1" applyBorder="1" applyAlignment="1" applyProtection="1">
      <alignment horizontal="center" vertical="center"/>
    </xf>
    <xf numFmtId="174" fontId="16" fillId="0" borderId="10" xfId="3" applyNumberFormat="1" applyFont="1" applyBorder="1" applyAlignment="1" applyProtection="1">
      <alignment horizontal="center" vertical="center"/>
    </xf>
    <xf numFmtId="174" fontId="16" fillId="0" borderId="10" xfId="3" quotePrefix="1" applyNumberFormat="1" applyFont="1" applyBorder="1" applyAlignment="1" applyProtection="1">
      <alignment horizontal="center" vertical="center"/>
    </xf>
    <xf numFmtId="174" fontId="16" fillId="0" borderId="10" xfId="3" applyNumberFormat="1" applyFont="1" applyBorder="1" applyAlignment="1" applyProtection="1">
      <alignment horizontal="center" vertical="center" wrapText="1"/>
    </xf>
    <xf numFmtId="174" fontId="16" fillId="0" borderId="10" xfId="3" applyNumberFormat="1" applyFont="1" applyFill="1" applyBorder="1" applyAlignment="1" applyProtection="1">
      <alignment horizontal="center" vertical="center"/>
    </xf>
    <xf numFmtId="174" fontId="16" fillId="0" borderId="12" xfId="3" applyNumberFormat="1" applyFont="1" applyBorder="1" applyAlignment="1" applyProtection="1">
      <alignment horizontal="center" vertical="center"/>
    </xf>
    <xf numFmtId="0" fontId="15" fillId="0" borderId="51" xfId="3" applyFont="1" applyFill="1" applyBorder="1" applyAlignment="1" applyProtection="1">
      <alignment horizontal="center" wrapText="1"/>
    </xf>
    <xf numFmtId="0" fontId="15" fillId="0" borderId="48" xfId="3" applyFont="1" applyFill="1" applyBorder="1" applyAlignment="1" applyProtection="1">
      <alignment horizontal="center" wrapText="1"/>
    </xf>
    <xf numFmtId="0" fontId="15" fillId="2" borderId="87" xfId="1" applyFont="1" applyFill="1" applyBorder="1" applyAlignment="1" applyProtection="1"/>
    <xf numFmtId="0" fontId="28" fillId="0" borderId="40" xfId="3" applyFont="1" applyFill="1" applyBorder="1" applyAlignment="1" applyProtection="1">
      <alignment horizontal="center" wrapText="1"/>
    </xf>
    <xf numFmtId="0" fontId="28" fillId="0" borderId="48" xfId="3" applyFont="1" applyFill="1" applyBorder="1" applyAlignment="1" applyProtection="1">
      <alignment horizontal="center" wrapText="1"/>
    </xf>
    <xf numFmtId="0" fontId="28" fillId="0" borderId="18" xfId="3" applyFont="1" applyFill="1" applyBorder="1" applyAlignment="1" applyProtection="1">
      <alignment horizontal="center" wrapText="1"/>
    </xf>
    <xf numFmtId="0" fontId="28" fillId="0" borderId="21" xfId="3" applyFont="1" applyFill="1" applyBorder="1" applyAlignment="1" applyProtection="1">
      <alignment horizontal="center" wrapText="1"/>
    </xf>
    <xf numFmtId="0" fontId="16" fillId="0" borderId="0" xfId="3" applyFont="1" applyFill="1" applyBorder="1" applyAlignment="1" applyProtection="1">
      <alignment horizontal="center" vertical="center" wrapText="1"/>
    </xf>
    <xf numFmtId="0" fontId="15" fillId="2" borderId="91" xfId="1" applyFont="1" applyFill="1" applyBorder="1" applyAlignment="1" applyProtection="1">
      <alignment vertical="center"/>
    </xf>
    <xf numFmtId="171" fontId="12" fillId="0" borderId="17" xfId="0" applyNumberFormat="1" applyFont="1" applyBorder="1" applyAlignment="1" applyProtection="1">
      <alignment horizontal="center" vertical="center"/>
    </xf>
    <xf numFmtId="171" fontId="12" fillId="0" borderId="2" xfId="0" applyNumberFormat="1" applyFont="1" applyBorder="1" applyAlignment="1" applyProtection="1">
      <alignment horizontal="center" vertical="center"/>
    </xf>
    <xf numFmtId="171" fontId="12" fillId="0" borderId="13" xfId="0" applyNumberFormat="1" applyFont="1" applyBorder="1" applyAlignment="1" applyProtection="1">
      <alignment horizontal="center" vertical="center"/>
    </xf>
    <xf numFmtId="0" fontId="15" fillId="0" borderId="17" xfId="3" applyFont="1" applyFill="1" applyBorder="1" applyAlignment="1" applyProtection="1">
      <alignment horizontal="center" vertical="center" wrapText="1"/>
    </xf>
    <xf numFmtId="0" fontId="15" fillId="2" borderId="93" xfId="1" applyFont="1" applyFill="1" applyBorder="1" applyAlignment="1" applyProtection="1">
      <alignment vertical="center"/>
    </xf>
    <xf numFmtId="172" fontId="12" fillId="0" borderId="95" xfId="0" applyNumberFormat="1" applyFont="1" applyBorder="1" applyAlignment="1">
      <alignment horizontal="center" vertical="center" wrapText="1"/>
    </xf>
    <xf numFmtId="172" fontId="12" fillId="0" borderId="96" xfId="0" applyNumberFormat="1" applyFont="1" applyBorder="1" applyAlignment="1">
      <alignment horizontal="center" vertical="center" wrapText="1"/>
    </xf>
    <xf numFmtId="0" fontId="15" fillId="0" borderId="97" xfId="3" applyFont="1" applyFill="1" applyBorder="1" applyAlignment="1">
      <alignment horizontal="center" vertical="center" wrapText="1"/>
    </xf>
    <xf numFmtId="169" fontId="15" fillId="0" borderId="98" xfId="3" applyNumberFormat="1" applyFont="1" applyFill="1" applyBorder="1" applyAlignment="1">
      <alignment horizontal="center" wrapText="1"/>
    </xf>
    <xf numFmtId="169" fontId="15" fillId="0" borderId="99" xfId="3" applyNumberFormat="1" applyFont="1" applyFill="1" applyBorder="1" applyAlignment="1">
      <alignment horizontal="center" wrapText="1"/>
    </xf>
    <xf numFmtId="0" fontId="25" fillId="0" borderId="100" xfId="0" applyFont="1" applyBorder="1" applyAlignment="1">
      <alignment horizontal="center" vertical="center" wrapText="1"/>
    </xf>
    <xf numFmtId="0" fontId="25" fillId="0" borderId="101" xfId="0" applyFont="1" applyBorder="1" applyAlignment="1">
      <alignment horizontal="center" vertical="center" wrapText="1"/>
    </xf>
    <xf numFmtId="1" fontId="12" fillId="0" borderId="67" xfId="0" applyNumberFormat="1" applyFont="1" applyBorder="1" applyAlignment="1">
      <alignment horizontal="center" vertical="center" wrapText="1"/>
    </xf>
    <xf numFmtId="1" fontId="12" fillId="0" borderId="69" xfId="0" applyNumberFormat="1" applyFont="1" applyBorder="1" applyAlignment="1">
      <alignment horizontal="center" vertical="center" wrapText="1"/>
    </xf>
    <xf numFmtId="1" fontId="15" fillId="0" borderId="75" xfId="3" applyNumberFormat="1" applyFont="1" applyFill="1" applyBorder="1" applyAlignment="1">
      <alignment horizontal="center" vertical="center" wrapText="1"/>
    </xf>
    <xf numFmtId="0" fontId="15" fillId="3" borderId="102" xfId="3" applyFont="1" applyFill="1" applyBorder="1" applyAlignment="1" applyProtection="1">
      <alignment vertical="center"/>
    </xf>
    <xf numFmtId="0" fontId="32" fillId="0" borderId="0" xfId="0" applyFont="1"/>
    <xf numFmtId="0" fontId="33" fillId="0" borderId="0" xfId="0" applyFont="1" applyFill="1"/>
    <xf numFmtId="0" fontId="32" fillId="0" borderId="0" xfId="0" applyFont="1" applyBorder="1"/>
    <xf numFmtId="0" fontId="32" fillId="0" borderId="0" xfId="0" applyFont="1" applyFill="1" applyBorder="1"/>
    <xf numFmtId="0" fontId="34" fillId="0" borderId="0" xfId="0" applyFont="1" applyFill="1" applyBorder="1"/>
    <xf numFmtId="0" fontId="35" fillId="0" borderId="103" xfId="0" applyFont="1" applyBorder="1" applyAlignment="1">
      <alignment horizontal="center" vertical="center"/>
    </xf>
    <xf numFmtId="0" fontId="35" fillId="0" borderId="0" xfId="0" applyFont="1" applyAlignment="1">
      <alignment horizontal="right" vertical="center"/>
    </xf>
    <xf numFmtId="0" fontId="15" fillId="0" borderId="48" xfId="3"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xf>
    <xf numFmtId="0" fontId="15" fillId="0" borderId="48" xfId="3" applyFont="1" applyFill="1" applyBorder="1" applyAlignment="1" applyProtection="1">
      <alignment horizontal="center" vertical="center"/>
    </xf>
    <xf numFmtId="0" fontId="18" fillId="6" borderId="0" xfId="0" applyFont="1" applyFill="1" applyBorder="1"/>
    <xf numFmtId="0" fontId="19" fillId="6" borderId="0" xfId="0" applyFont="1" applyFill="1" applyBorder="1"/>
    <xf numFmtId="0" fontId="37" fillId="6" borderId="0" xfId="0" applyFont="1" applyFill="1" applyBorder="1"/>
    <xf numFmtId="0" fontId="39" fillId="6" borderId="0" xfId="0" applyFont="1" applyFill="1" applyBorder="1"/>
    <xf numFmtId="0" fontId="18" fillId="6" borderId="0" xfId="0" applyFont="1" applyFill="1"/>
    <xf numFmtId="0" fontId="18" fillId="6" borderId="0" xfId="0" applyFont="1" applyFill="1" applyBorder="1" applyAlignment="1">
      <alignment wrapText="1"/>
    </xf>
    <xf numFmtId="0" fontId="42" fillId="6" borderId="0" xfId="0" applyFont="1" applyFill="1" applyBorder="1"/>
    <xf numFmtId="0" fontId="44" fillId="0" borderId="0" xfId="0" applyFont="1" applyFill="1"/>
    <xf numFmtId="0" fontId="15" fillId="2" borderId="91" xfId="3" applyFont="1" applyFill="1" applyBorder="1" applyAlignment="1" applyProtection="1">
      <alignment vertical="center"/>
    </xf>
    <xf numFmtId="172" fontId="12" fillId="0" borderId="104" xfId="8" applyNumberFormat="1" applyFont="1" applyBorder="1" applyAlignment="1" applyProtection="1">
      <alignment horizontal="center"/>
    </xf>
    <xf numFmtId="172" fontId="12" fillId="0" borderId="105" xfId="8" applyNumberFormat="1" applyFont="1" applyBorder="1" applyAlignment="1" applyProtection="1">
      <alignment horizontal="center"/>
    </xf>
    <xf numFmtId="3" fontId="12" fillId="0" borderId="104" xfId="8" applyNumberFormat="1" applyFont="1" applyBorder="1" applyAlignment="1" applyProtection="1">
      <alignment horizontal="center"/>
    </xf>
    <xf numFmtId="3" fontId="12" fillId="0" borderId="105" xfId="8" applyNumberFormat="1" applyFont="1" applyBorder="1" applyAlignment="1" applyProtection="1">
      <alignment horizontal="center"/>
    </xf>
    <xf numFmtId="0" fontId="15" fillId="2" borderId="91" xfId="3" applyFont="1" applyFill="1" applyBorder="1" applyAlignment="1" applyProtection="1">
      <alignment horizontal="center" vertical="center"/>
    </xf>
    <xf numFmtId="170" fontId="12" fillId="0" borderId="105" xfId="8" applyNumberFormat="1" applyFont="1" applyBorder="1" applyAlignment="1" applyProtection="1">
      <alignment horizontal="center"/>
    </xf>
    <xf numFmtId="0" fontId="3" fillId="0" borderId="0" xfId="0" applyFont="1" applyBorder="1"/>
    <xf numFmtId="0" fontId="45" fillId="0" borderId="0" xfId="11" applyFont="1" applyAlignment="1" applyProtection="1"/>
    <xf numFmtId="0" fontId="46" fillId="6" borderId="0" xfId="11" applyFont="1" applyFill="1" applyAlignment="1" applyProtection="1"/>
    <xf numFmtId="3" fontId="6" fillId="0" borderId="3" xfId="0" applyNumberFormat="1" applyFont="1" applyFill="1" applyBorder="1" applyAlignment="1" applyProtection="1">
      <alignment horizontal="center" vertical="center"/>
    </xf>
    <xf numFmtId="3" fontId="6" fillId="0" borderId="25" xfId="0" applyNumberFormat="1" applyFont="1" applyFill="1" applyBorder="1" applyAlignment="1" applyProtection="1">
      <alignment horizontal="center" vertical="center"/>
    </xf>
    <xf numFmtId="176" fontId="0" fillId="0" borderId="0" xfId="0" applyNumberFormat="1"/>
    <xf numFmtId="0" fontId="0" fillId="0" borderId="88" xfId="0" applyBorder="1" applyAlignment="1">
      <alignment horizontal="center"/>
    </xf>
    <xf numFmtId="0" fontId="7" fillId="0" borderId="108" xfId="0" applyFont="1" applyFill="1" applyBorder="1" applyAlignment="1" applyProtection="1">
      <alignment horizontal="right" vertical="center"/>
    </xf>
    <xf numFmtId="0" fontId="7" fillId="0" borderId="109" xfId="0" applyFont="1" applyFill="1" applyBorder="1" applyAlignment="1" applyProtection="1">
      <alignment horizontal="center" vertical="center"/>
    </xf>
    <xf numFmtId="49" fontId="7" fillId="0" borderId="68" xfId="0" applyNumberFormat="1" applyFont="1" applyFill="1" applyBorder="1" applyAlignment="1" applyProtection="1">
      <alignment vertical="center"/>
    </xf>
    <xf numFmtId="0" fontId="6" fillId="0" borderId="64" xfId="0" applyFont="1" applyFill="1" applyBorder="1" applyAlignment="1" applyProtection="1">
      <alignment horizontal="center" vertical="center"/>
    </xf>
    <xf numFmtId="166" fontId="6" fillId="0" borderId="64" xfId="0" applyNumberFormat="1" applyFont="1" applyFill="1" applyBorder="1" applyAlignment="1" applyProtection="1">
      <alignment horizontal="center" vertical="center"/>
    </xf>
    <xf numFmtId="3" fontId="6" fillId="0" borderId="64" xfId="9" applyNumberFormat="1" applyFont="1" applyFill="1" applyBorder="1" applyAlignment="1" applyProtection="1">
      <alignment horizontal="center" vertical="center"/>
    </xf>
    <xf numFmtId="49" fontId="7" fillId="0" borderId="68" xfId="0" applyNumberFormat="1" applyFont="1" applyFill="1" applyBorder="1" applyAlignment="1" applyProtection="1">
      <alignment vertical="center" wrapText="1"/>
    </xf>
    <xf numFmtId="0" fontId="7" fillId="0" borderId="111" xfId="0" applyFont="1" applyFill="1" applyBorder="1" applyAlignment="1" applyProtection="1">
      <alignment horizontal="right" vertical="center"/>
    </xf>
    <xf numFmtId="0" fontId="7" fillId="0" borderId="112" xfId="0" applyFont="1" applyFill="1" applyBorder="1" applyAlignment="1" applyProtection="1">
      <alignment horizontal="center" vertical="center"/>
    </xf>
    <xf numFmtId="49" fontId="7" fillId="0" borderId="113" xfId="0" applyNumberFormat="1" applyFont="1" applyFill="1" applyBorder="1" applyAlignment="1" applyProtection="1">
      <alignment vertical="center"/>
    </xf>
    <xf numFmtId="0" fontId="6" fillId="0" borderId="114" xfId="0" applyFont="1" applyFill="1" applyBorder="1" applyAlignment="1" applyProtection="1">
      <alignment horizontal="center" vertical="center"/>
    </xf>
    <xf numFmtId="166" fontId="6" fillId="0" borderId="114" xfId="0" applyNumberFormat="1" applyFont="1" applyFill="1" applyBorder="1" applyAlignment="1" applyProtection="1">
      <alignment horizontal="center" vertical="center"/>
    </xf>
    <xf numFmtId="3" fontId="6" fillId="0" borderId="114" xfId="9" applyNumberFormat="1" applyFont="1" applyFill="1" applyBorder="1" applyAlignment="1" applyProtection="1">
      <alignment horizontal="center" vertical="center"/>
    </xf>
    <xf numFmtId="0" fontId="6" fillId="0" borderId="117" xfId="0" applyFont="1" applyFill="1" applyBorder="1" applyAlignment="1" applyProtection="1">
      <alignment horizontal="center" vertical="center"/>
    </xf>
    <xf numFmtId="166" fontId="6" fillId="0" borderId="117" xfId="0" applyNumberFormat="1" applyFont="1" applyFill="1" applyBorder="1" applyAlignment="1" applyProtection="1">
      <alignment horizontal="center" vertical="center"/>
    </xf>
    <xf numFmtId="3" fontId="6" fillId="0" borderId="117" xfId="9" applyNumberFormat="1" applyFont="1" applyFill="1" applyBorder="1" applyAlignment="1" applyProtection="1">
      <alignment horizontal="center" vertical="center"/>
    </xf>
    <xf numFmtId="0" fontId="7" fillId="0" borderId="120" xfId="0" applyFont="1" applyFill="1" applyBorder="1" applyAlignment="1">
      <alignment horizontal="center" vertical="center" wrapText="1"/>
    </xf>
    <xf numFmtId="0" fontId="7" fillId="0" borderId="121" xfId="0" applyFont="1" applyFill="1" applyBorder="1" applyAlignment="1" applyProtection="1">
      <alignment horizontal="right" vertical="center"/>
    </xf>
    <xf numFmtId="0" fontId="7" fillId="0" borderId="31" xfId="0" applyFont="1" applyFill="1" applyBorder="1" applyAlignment="1" applyProtection="1">
      <alignment horizontal="center" vertical="center"/>
    </xf>
    <xf numFmtId="49" fontId="7" fillId="0" borderId="5" xfId="0" applyNumberFormat="1" applyFont="1" applyFill="1" applyBorder="1" applyAlignment="1" applyProtection="1">
      <alignment vertical="center"/>
    </xf>
    <xf numFmtId="0" fontId="6" fillId="0" borderId="122" xfId="0" applyFont="1" applyFill="1" applyBorder="1" applyAlignment="1" applyProtection="1">
      <alignment horizontal="center" vertical="center"/>
    </xf>
    <xf numFmtId="166" fontId="6" fillId="0" borderId="122" xfId="0" applyNumberFormat="1" applyFont="1" applyFill="1" applyBorder="1" applyAlignment="1" applyProtection="1">
      <alignment horizontal="center" vertical="center"/>
    </xf>
    <xf numFmtId="3" fontId="6" fillId="0" borderId="122" xfId="9" applyNumberFormat="1" applyFont="1" applyFill="1" applyBorder="1" applyAlignment="1" applyProtection="1">
      <alignment horizontal="center" vertical="center"/>
    </xf>
    <xf numFmtId="0" fontId="7" fillId="0" borderId="129" xfId="0" applyFont="1" applyFill="1" applyBorder="1" applyAlignment="1">
      <alignment horizontal="center" vertical="center" wrapText="1"/>
    </xf>
    <xf numFmtId="3" fontId="6" fillId="0" borderId="110" xfId="0" applyNumberFormat="1" applyFont="1" applyFill="1" applyBorder="1" applyAlignment="1" applyProtection="1">
      <alignment horizontal="center" vertical="center"/>
    </xf>
    <xf numFmtId="3" fontId="6" fillId="0" borderId="115" xfId="0" applyNumberFormat="1" applyFont="1" applyFill="1" applyBorder="1" applyAlignment="1" applyProtection="1">
      <alignment horizontal="center" vertical="center"/>
    </xf>
    <xf numFmtId="3" fontId="6" fillId="0" borderId="118" xfId="0" applyNumberFormat="1" applyFont="1" applyFill="1" applyBorder="1" applyAlignment="1" applyProtection="1">
      <alignment horizontal="center" vertical="center"/>
    </xf>
    <xf numFmtId="0" fontId="7" fillId="0" borderId="130" xfId="0" applyFont="1" applyFill="1" applyBorder="1" applyAlignment="1" applyProtection="1">
      <alignment vertical="center"/>
    </xf>
    <xf numFmtId="0" fontId="7" fillId="0" borderId="131" xfId="0" applyFont="1" applyFill="1" applyBorder="1" applyAlignment="1" applyProtection="1">
      <alignment vertical="center"/>
    </xf>
    <xf numFmtId="49" fontId="7" fillId="0" borderId="7" xfId="0" applyNumberFormat="1" applyFont="1" applyFill="1" applyBorder="1" applyAlignment="1" applyProtection="1">
      <alignment horizontal="left" vertical="center" indent="3"/>
    </xf>
    <xf numFmtId="49" fontId="7" fillId="0" borderId="28" xfId="0" applyNumberFormat="1" applyFont="1" applyFill="1" applyBorder="1" applyAlignment="1" applyProtection="1">
      <alignment horizontal="left" vertical="center" indent="3"/>
    </xf>
    <xf numFmtId="0" fontId="7" fillId="0" borderId="132" xfId="0" applyFont="1" applyFill="1" applyBorder="1" applyAlignment="1" applyProtection="1">
      <alignment horizontal="left" vertical="center" indent="3"/>
    </xf>
    <xf numFmtId="0" fontId="18" fillId="0" borderId="0" xfId="0" applyFont="1" applyFill="1" applyBorder="1" applyAlignment="1"/>
    <xf numFmtId="3" fontId="18" fillId="0" borderId="0" xfId="0" applyNumberFormat="1" applyFont="1" applyFill="1" applyBorder="1" applyAlignment="1">
      <alignment horizontal="center"/>
    </xf>
    <xf numFmtId="0" fontId="18" fillId="0" borderId="0" xfId="0" applyFont="1" applyFill="1" applyBorder="1" applyAlignment="1">
      <alignment vertical="center"/>
    </xf>
    <xf numFmtId="1" fontId="18" fillId="0" borderId="0" xfId="0" applyNumberFormat="1" applyFont="1" applyFill="1" applyBorder="1" applyAlignment="1">
      <alignment horizontal="center" vertical="center"/>
    </xf>
    <xf numFmtId="0" fontId="37" fillId="0" borderId="0" xfId="0" applyFont="1" applyFill="1" applyBorder="1"/>
    <xf numFmtId="9" fontId="18" fillId="0" borderId="0" xfId="6" applyFont="1" applyFill="1" applyBorder="1" applyAlignment="1">
      <alignment horizontal="center"/>
    </xf>
    <xf numFmtId="0" fontId="38" fillId="0" borderId="0" xfId="0" applyFont="1" applyFill="1" applyBorder="1" applyAlignment="1" applyProtection="1">
      <alignment vertical="center"/>
      <protection locked="0"/>
    </xf>
    <xf numFmtId="0" fontId="38" fillId="0" borderId="0" xfId="0" applyFont="1" applyFill="1" applyBorder="1" applyAlignment="1">
      <alignment horizontal="center"/>
    </xf>
    <xf numFmtId="0" fontId="38" fillId="0" borderId="0" xfId="0" applyFont="1" applyFill="1" applyBorder="1" applyAlignment="1" applyProtection="1">
      <alignment horizontal="center" vertical="center"/>
      <protection locked="0"/>
    </xf>
    <xf numFmtId="0" fontId="39" fillId="0" borderId="0" xfId="0" applyFont="1" applyFill="1" applyBorder="1"/>
    <xf numFmtId="3"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39" fillId="0" borderId="0" xfId="0" applyFont="1" applyFill="1" applyBorder="1" applyAlignment="1"/>
    <xf numFmtId="0" fontId="18" fillId="0" borderId="0" xfId="0" applyFont="1" applyFill="1" applyBorder="1" applyAlignment="1">
      <alignment horizontal="center" vertical="center" wrapText="1"/>
    </xf>
    <xf numFmtId="166" fontId="18" fillId="0" borderId="0" xfId="0" applyNumberFormat="1" applyFont="1" applyFill="1" applyBorder="1" applyAlignment="1">
      <alignment horizontal="center"/>
    </xf>
    <xf numFmtId="0" fontId="38" fillId="0" borderId="0" xfId="0" applyFont="1" applyFill="1" applyBorder="1"/>
    <xf numFmtId="0" fontId="40" fillId="0" borderId="0" xfId="0" applyFont="1" applyFill="1" applyBorder="1" applyAlignment="1">
      <alignment horizontal="center"/>
    </xf>
    <xf numFmtId="0" fontId="40" fillId="0" borderId="0" xfId="0" applyFont="1" applyFill="1" applyBorder="1" applyAlignment="1">
      <alignment horizontal="center" wrapText="1"/>
    </xf>
    <xf numFmtId="3" fontId="18" fillId="0" borderId="0" xfId="0" applyNumberFormat="1" applyFont="1" applyFill="1" applyBorder="1" applyAlignment="1">
      <alignment horizontal="center" wrapText="1"/>
    </xf>
    <xf numFmtId="171" fontId="18" fillId="0" borderId="0" xfId="0" applyNumberFormat="1" applyFont="1" applyFill="1" applyBorder="1" applyAlignment="1">
      <alignment horizontal="center"/>
    </xf>
    <xf numFmtId="1" fontId="39" fillId="0" borderId="0" xfId="0" applyNumberFormat="1" applyFont="1" applyFill="1" applyBorder="1" applyAlignment="1">
      <alignment horizontal="center" vertical="center"/>
    </xf>
    <xf numFmtId="0" fontId="18" fillId="0" borderId="0" xfId="0" applyFont="1" applyFill="1" applyBorder="1" applyAlignment="1">
      <alignment horizontal="right"/>
    </xf>
    <xf numFmtId="9" fontId="18" fillId="0" borderId="0" xfId="6" applyFont="1" applyFill="1" applyBorder="1" applyAlignment="1">
      <alignment horizontal="right"/>
    </xf>
    <xf numFmtId="1" fontId="18" fillId="0" borderId="0" xfId="6" applyNumberFormat="1" applyFont="1" applyFill="1" applyBorder="1" applyAlignment="1">
      <alignment horizontal="center"/>
    </xf>
    <xf numFmtId="0" fontId="41" fillId="0" borderId="0" xfId="0" applyFont="1" applyFill="1" applyBorder="1"/>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18" fillId="0" borderId="0" xfId="0" applyFont="1" applyFill="1" applyBorder="1" applyAlignment="1">
      <alignment wrapText="1"/>
    </xf>
    <xf numFmtId="3" fontId="18" fillId="0" borderId="0" xfId="0" applyNumberFormat="1" applyFont="1" applyFill="1" applyBorder="1"/>
    <xf numFmtId="172" fontId="18" fillId="0" borderId="0" xfId="0" applyNumberFormat="1" applyFont="1" applyFill="1" applyBorder="1"/>
    <xf numFmtId="0" fontId="38" fillId="0" borderId="0" xfId="0" applyFont="1" applyFill="1" applyBorder="1" applyAlignment="1">
      <alignment horizontal="left"/>
    </xf>
    <xf numFmtId="3" fontId="39" fillId="0" borderId="0" xfId="0" applyNumberFormat="1" applyFont="1" applyFill="1" applyBorder="1"/>
    <xf numFmtId="0" fontId="18" fillId="0" borderId="0" xfId="0" applyNumberFormat="1" applyFont="1" applyFill="1" applyBorder="1" applyAlignment="1">
      <alignment wrapText="1"/>
    </xf>
    <xf numFmtId="0" fontId="42" fillId="0" borderId="0" xfId="0" applyFont="1" applyFill="1" applyBorder="1"/>
    <xf numFmtId="173" fontId="42" fillId="0" borderId="0" xfId="0" applyNumberFormat="1" applyFont="1" applyFill="1" applyBorder="1"/>
    <xf numFmtId="0" fontId="43" fillId="0" borderId="0" xfId="0" applyFont="1" applyFill="1" applyBorder="1" applyAlignment="1" applyProtection="1">
      <alignment horizontal="center" vertical="center" wrapText="1"/>
      <protection locked="0"/>
    </xf>
    <xf numFmtId="0" fontId="43" fillId="0" borderId="0" xfId="0" applyFont="1" applyFill="1" applyBorder="1" applyAlignment="1">
      <alignment horizontal="center" vertical="center" wrapText="1"/>
    </xf>
    <xf numFmtId="0" fontId="43" fillId="0" borderId="0" xfId="0" applyFont="1" applyFill="1" applyBorder="1" applyAlignment="1" applyProtection="1">
      <alignment horizontal="center" vertical="center" wrapText="1"/>
    </xf>
    <xf numFmtId="3" fontId="42" fillId="0" borderId="0" xfId="0" applyNumberFormat="1" applyFont="1" applyFill="1" applyBorder="1" applyAlignment="1">
      <alignment horizontal="center" vertical="center"/>
    </xf>
    <xf numFmtId="172" fontId="39" fillId="0" borderId="0" xfId="0" applyNumberFormat="1" applyFont="1" applyFill="1" applyBorder="1" applyAlignment="1" applyProtection="1">
      <alignment horizontal="center" vertical="center"/>
    </xf>
    <xf numFmtId="168" fontId="18" fillId="0" borderId="0" xfId="0" applyNumberFormat="1" applyFont="1" applyFill="1" applyBorder="1" applyAlignment="1">
      <alignment horizontal="center" vertical="center"/>
    </xf>
    <xf numFmtId="3" fontId="39" fillId="0" borderId="0" xfId="0" applyNumberFormat="1" applyFont="1" applyFill="1" applyBorder="1" applyAlignment="1" applyProtection="1">
      <alignment horizontal="center" vertical="center"/>
    </xf>
    <xf numFmtId="0" fontId="39" fillId="0" borderId="0" xfId="0" applyFont="1" applyFill="1" applyBorder="1" applyAlignment="1">
      <alignment horizontal="center"/>
    </xf>
    <xf numFmtId="3" fontId="39" fillId="0" borderId="0" xfId="0" applyNumberFormat="1" applyFont="1" applyFill="1" applyBorder="1" applyAlignment="1">
      <alignment horizontal="center"/>
    </xf>
    <xf numFmtId="0" fontId="38" fillId="0" borderId="0" xfId="0" applyFont="1" applyFill="1" applyBorder="1" applyAlignment="1">
      <alignment horizontal="left" vertical="center" readingOrder="1"/>
    </xf>
    <xf numFmtId="0" fontId="38" fillId="0" borderId="0" xfId="0" applyFont="1" applyFill="1" applyBorder="1" applyAlignment="1"/>
    <xf numFmtId="0" fontId="38" fillId="0" borderId="0" xfId="0" applyFont="1" applyFill="1" applyBorder="1" applyAlignment="1">
      <alignment vertical="top"/>
    </xf>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left" vertical="center" wrapText="1"/>
    </xf>
    <xf numFmtId="170" fontId="39" fillId="0" borderId="0" xfId="8" applyNumberFormat="1" applyFont="1" applyFill="1" applyBorder="1" applyAlignment="1" applyProtection="1">
      <alignment horizontal="center" vertical="center"/>
    </xf>
    <xf numFmtId="9" fontId="39" fillId="0" borderId="0" xfId="6" applyFont="1" applyFill="1" applyBorder="1" applyAlignment="1" applyProtection="1">
      <alignment horizontal="center" vertical="center"/>
    </xf>
    <xf numFmtId="167" fontId="38" fillId="0" borderId="0" xfId="7" applyNumberFormat="1" applyFont="1" applyFill="1" applyBorder="1" applyAlignment="1" applyProtection="1">
      <alignment horizontal="center" vertical="center"/>
    </xf>
    <xf numFmtId="9" fontId="39" fillId="0" borderId="0" xfId="6" applyFont="1" applyFill="1" applyBorder="1"/>
    <xf numFmtId="3" fontId="19" fillId="0" borderId="133" xfId="0" applyNumberFormat="1" applyFont="1" applyFill="1" applyBorder="1" applyAlignment="1" applyProtection="1">
      <alignment horizontal="center" vertical="center"/>
    </xf>
    <xf numFmtId="3" fontId="19" fillId="0" borderId="31"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left" vertical="center" indent="3"/>
    </xf>
    <xf numFmtId="0" fontId="0" fillId="0" borderId="127" xfId="0" applyBorder="1" applyAlignment="1">
      <alignment horizontal="center"/>
    </xf>
    <xf numFmtId="0" fontId="7" fillId="0" borderId="129" xfId="0" applyFont="1" applyFill="1" applyBorder="1" applyAlignment="1" applyProtection="1">
      <alignment horizontal="center" vertical="center" wrapText="1"/>
    </xf>
    <xf numFmtId="3" fontId="7" fillId="0" borderId="129" xfId="0" applyNumberFormat="1" applyFont="1" applyFill="1" applyBorder="1" applyAlignment="1" applyProtection="1">
      <alignment horizontal="center" vertical="center"/>
    </xf>
    <xf numFmtId="3" fontId="6" fillId="0" borderId="122" xfId="0" applyNumberFormat="1" applyFont="1" applyFill="1" applyBorder="1" applyAlignment="1" applyProtection="1">
      <alignment horizontal="center" vertical="center"/>
    </xf>
    <xf numFmtId="3" fontId="6" fillId="0" borderId="4" xfId="0" applyNumberFormat="1" applyFont="1" applyFill="1" applyBorder="1" applyAlignment="1" applyProtection="1">
      <alignment horizontal="center" vertical="center"/>
    </xf>
    <xf numFmtId="0" fontId="47" fillId="7" borderId="119" xfId="0" applyFont="1" applyFill="1" applyBorder="1" applyAlignment="1" applyProtection="1">
      <alignment horizontal="center" vertical="center" wrapText="1"/>
      <protection locked="0"/>
    </xf>
    <xf numFmtId="0" fontId="47" fillId="7" borderId="106" xfId="0" applyFont="1" applyFill="1" applyBorder="1" applyAlignment="1" applyProtection="1">
      <alignment horizontal="center" vertical="center" wrapText="1"/>
      <protection locked="0"/>
    </xf>
    <xf numFmtId="0" fontId="4" fillId="0" borderId="125" xfId="3" applyFont="1" applyBorder="1" applyAlignment="1" applyProtection="1">
      <alignment vertical="center" wrapText="1"/>
    </xf>
    <xf numFmtId="9" fontId="2" fillId="0" borderId="0" xfId="6" applyFont="1" applyAlignment="1" applyProtection="1">
      <alignment horizontal="center"/>
    </xf>
    <xf numFmtId="0" fontId="0" fillId="0" borderId="125" xfId="0" applyBorder="1" applyAlignment="1"/>
    <xf numFmtId="171" fontId="12" fillId="0" borderId="133" xfId="0" applyNumberFormat="1" applyFont="1" applyBorder="1" applyAlignment="1">
      <alignment horizontal="center" vertical="center" wrapText="1"/>
    </xf>
    <xf numFmtId="0" fontId="18" fillId="0" borderId="0" xfId="0" applyFont="1" applyFill="1" applyBorder="1" applyAlignment="1">
      <alignment horizontal="center"/>
    </xf>
    <xf numFmtId="0" fontId="39" fillId="0" borderId="0" xfId="0" applyFont="1" applyFill="1" applyBorder="1" applyAlignment="1">
      <alignment horizontal="left" vertical="center" readingOrder="1"/>
    </xf>
    <xf numFmtId="0" fontId="36" fillId="0" borderId="0" xfId="0" applyFont="1" applyFill="1" applyBorder="1" applyAlignment="1">
      <alignment horizontal="center"/>
    </xf>
    <xf numFmtId="0" fontId="18" fillId="0" borderId="0" xfId="0" applyFont="1" applyFill="1" applyBorder="1" applyAlignment="1">
      <alignment horizontal="left"/>
    </xf>
    <xf numFmtId="0" fontId="19" fillId="0" borderId="0" xfId="0" applyFont="1" applyFill="1" applyBorder="1" applyAlignment="1">
      <alignment horizontal="center"/>
    </xf>
    <xf numFmtId="0" fontId="19" fillId="0" borderId="0" xfId="0" applyFont="1" applyFill="1" applyBorder="1" applyAlignment="1">
      <alignment horizontal="left"/>
    </xf>
    <xf numFmtId="0" fontId="18" fillId="0" borderId="0" xfId="0" applyFont="1" applyFill="1" applyBorder="1" applyAlignment="1">
      <alignment horizontal="center" wrapText="1"/>
    </xf>
    <xf numFmtId="9" fontId="18" fillId="0" borderId="0" xfId="6" applyNumberFormat="1" applyFont="1" applyFill="1" applyBorder="1" applyAlignment="1">
      <alignment horizontal="center"/>
    </xf>
    <xf numFmtId="3" fontId="18" fillId="0" borderId="0" xfId="6" applyNumberFormat="1" applyFont="1" applyFill="1" applyBorder="1" applyAlignment="1">
      <alignment horizontal="center"/>
    </xf>
    <xf numFmtId="166" fontId="18" fillId="0" borderId="0" xfId="0" applyNumberFormat="1" applyFont="1" applyFill="1" applyBorder="1"/>
    <xf numFmtId="174" fontId="18" fillId="0" borderId="0" xfId="0" applyNumberFormat="1" applyFont="1" applyFill="1" applyBorder="1" applyAlignment="1">
      <alignment horizontal="center"/>
    </xf>
    <xf numFmtId="174" fontId="37" fillId="0" borderId="0" xfId="0" applyNumberFormat="1" applyFont="1" applyFill="1" applyBorder="1" applyAlignment="1">
      <alignment horizontal="center"/>
    </xf>
    <xf numFmtId="0" fontId="37" fillId="0" borderId="0" xfId="0" applyFont="1" applyFill="1" applyBorder="1" applyAlignment="1">
      <alignment horizontal="left"/>
    </xf>
    <xf numFmtId="0" fontId="37" fillId="0" borderId="0" xfId="0" applyFont="1" applyFill="1" applyBorder="1" applyAlignment="1">
      <alignment horizontal="center"/>
    </xf>
    <xf numFmtId="3" fontId="37" fillId="0" borderId="0" xfId="0" applyNumberFormat="1" applyFont="1" applyFill="1" applyBorder="1" applyAlignment="1">
      <alignment horizontal="center"/>
    </xf>
    <xf numFmtId="9" fontId="37" fillId="0" borderId="0" xfId="6" applyNumberFormat="1" applyFont="1" applyFill="1" applyBorder="1" applyAlignment="1">
      <alignment horizontal="center"/>
    </xf>
    <xf numFmtId="3" fontId="37" fillId="0" borderId="0" xfId="6" applyNumberFormat="1" applyFont="1" applyFill="1" applyBorder="1" applyAlignment="1">
      <alignment horizontal="center"/>
    </xf>
    <xf numFmtId="166" fontId="37" fillId="0" borderId="0" xfId="0" applyNumberFormat="1" applyFont="1" applyFill="1" applyBorder="1"/>
    <xf numFmtId="1" fontId="37" fillId="0" borderId="0" xfId="0" applyNumberFormat="1" applyFont="1" applyFill="1" applyBorder="1"/>
    <xf numFmtId="0" fontId="36" fillId="0" borderId="0" xfId="0" applyFont="1" applyFill="1" applyBorder="1" applyAlignment="1">
      <alignment horizontal="center" vertical="center"/>
    </xf>
    <xf numFmtId="1" fontId="18" fillId="0" borderId="0" xfId="0" applyNumberFormat="1" applyFont="1" applyFill="1" applyBorder="1" applyAlignment="1">
      <alignment horizontal="center"/>
    </xf>
    <xf numFmtId="0" fontId="40" fillId="0" borderId="0" xfId="0" applyFont="1" applyFill="1" applyBorder="1" applyAlignment="1">
      <alignment wrapText="1"/>
    </xf>
    <xf numFmtId="169" fontId="49" fillId="0" borderId="0" xfId="0" applyNumberFormat="1" applyFont="1" applyFill="1" applyBorder="1" applyAlignment="1">
      <alignment horizontal="center" vertical="center" wrapText="1"/>
    </xf>
    <xf numFmtId="0" fontId="36" fillId="0" borderId="0" xfId="0" applyFont="1" applyFill="1" applyBorder="1" applyAlignment="1">
      <alignment horizontal="center" wrapText="1"/>
    </xf>
    <xf numFmtId="9" fontId="18" fillId="0" borderId="0" xfId="6" applyFont="1" applyFill="1" applyBorder="1"/>
    <xf numFmtId="3" fontId="18" fillId="0" borderId="0" xfId="6" applyNumberFormat="1" applyFont="1" applyFill="1" applyBorder="1" applyAlignment="1"/>
    <xf numFmtId="3" fontId="18" fillId="0" borderId="0" xfId="0" applyNumberFormat="1" applyFont="1" applyFill="1" applyBorder="1" applyAlignment="1"/>
    <xf numFmtId="9" fontId="18" fillId="0" borderId="0" xfId="6" applyFont="1" applyFill="1" applyBorder="1" applyAlignment="1">
      <alignment horizontal="center" vertical="center"/>
    </xf>
    <xf numFmtId="0" fontId="50" fillId="0" borderId="0" xfId="0" applyFont="1" applyFill="1" applyBorder="1"/>
    <xf numFmtId="3" fontId="42" fillId="0" borderId="0" xfId="0" applyNumberFormat="1" applyFont="1" applyFill="1" applyBorder="1"/>
    <xf numFmtId="0" fontId="43" fillId="0" borderId="0" xfId="0"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0" fontId="42" fillId="0" borderId="0" xfId="0" applyFont="1" applyFill="1" applyBorder="1" applyAlignment="1">
      <alignment horizontal="center" vertical="center"/>
    </xf>
    <xf numFmtId="9" fontId="42" fillId="0" borderId="0" xfId="9" applyNumberFormat="1" applyFont="1" applyFill="1" applyBorder="1" applyAlignment="1" applyProtection="1">
      <alignment horizontal="center" vertical="center"/>
    </xf>
    <xf numFmtId="1" fontId="42" fillId="0" borderId="0" xfId="0" applyNumberFormat="1" applyFont="1" applyFill="1" applyBorder="1" applyAlignment="1">
      <alignment horizontal="center" vertical="center"/>
    </xf>
    <xf numFmtId="166" fontId="42" fillId="0" borderId="0" xfId="0" applyNumberFormat="1" applyFont="1" applyFill="1" applyBorder="1" applyAlignment="1">
      <alignment horizontal="center" vertical="center"/>
    </xf>
    <xf numFmtId="0" fontId="18" fillId="0" borderId="0" xfId="0" quotePrefix="1" applyFont="1" applyFill="1" applyBorder="1"/>
    <xf numFmtId="9" fontId="39" fillId="0" borderId="0" xfId="9" applyNumberFormat="1" applyFont="1" applyFill="1" applyBorder="1" applyAlignment="1" applyProtection="1">
      <alignment horizontal="center" vertical="center"/>
    </xf>
    <xf numFmtId="3" fontId="39" fillId="0" borderId="0" xfId="0" applyNumberFormat="1" applyFont="1" applyFill="1" applyBorder="1" applyAlignment="1">
      <alignment horizontal="center" vertical="center"/>
    </xf>
    <xf numFmtId="166" fontId="39" fillId="0" borderId="0" xfId="0" applyNumberFormat="1" applyFont="1" applyFill="1" applyBorder="1" applyAlignment="1">
      <alignment horizontal="center"/>
    </xf>
    <xf numFmtId="9" fontId="39" fillId="0" borderId="0" xfId="9"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0" fontId="38" fillId="0" borderId="0" xfId="8" applyNumberFormat="1" applyFont="1" applyFill="1" applyBorder="1" applyAlignment="1" applyProtection="1">
      <alignment horizontal="center" vertical="center"/>
    </xf>
    <xf numFmtId="0" fontId="0" fillId="5" borderId="0" xfId="0" applyFill="1" applyAlignment="1">
      <alignment horizontal="center"/>
    </xf>
    <xf numFmtId="0" fontId="48" fillId="0" borderId="0" xfId="11" applyFont="1" applyAlignment="1" applyProtection="1">
      <alignment horizontal="center" vertical="center"/>
    </xf>
    <xf numFmtId="0" fontId="7" fillId="0" borderId="127" xfId="0" applyFont="1" applyFill="1" applyBorder="1" applyAlignment="1">
      <alignment horizontal="center" vertical="center" wrapText="1"/>
    </xf>
    <xf numFmtId="0" fontId="7" fillId="0" borderId="128"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129" xfId="0" applyFont="1" applyFill="1" applyBorder="1" applyAlignment="1" applyProtection="1">
      <alignment horizontal="center" vertical="center" wrapText="1"/>
    </xf>
    <xf numFmtId="0" fontId="7" fillId="0" borderId="127" xfId="0" applyFont="1" applyFill="1" applyBorder="1" applyAlignment="1" applyProtection="1">
      <alignment horizontal="center" vertical="center" wrapText="1"/>
    </xf>
    <xf numFmtId="0" fontId="7" fillId="0" borderId="128" xfId="0" applyFont="1" applyFill="1" applyBorder="1" applyAlignment="1" applyProtection="1">
      <alignment horizontal="center" vertical="center" wrapText="1"/>
    </xf>
    <xf numFmtId="0" fontId="7" fillId="0" borderId="106" xfId="0" applyFont="1" applyFill="1" applyBorder="1" applyAlignment="1" applyProtection="1">
      <alignment horizontal="center" vertical="center" wrapText="1"/>
    </xf>
    <xf numFmtId="3" fontId="6" fillId="0" borderId="3" xfId="0" applyNumberFormat="1" applyFont="1" applyFill="1" applyBorder="1" applyAlignment="1" applyProtection="1">
      <alignment horizontal="center" vertical="center"/>
    </xf>
    <xf numFmtId="1" fontId="6" fillId="0" borderId="25"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3" fontId="6" fillId="0" borderId="25" xfId="0" applyNumberFormat="1"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7" fillId="0" borderId="92" xfId="0"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10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23" xfId="0" applyFont="1" applyFill="1" applyBorder="1" applyAlignment="1">
      <alignment horizontal="center" vertical="center" wrapText="1"/>
    </xf>
    <xf numFmtId="0" fontId="7" fillId="0" borderId="124" xfId="0" applyFont="1" applyFill="1" applyBorder="1" applyAlignment="1">
      <alignment horizontal="center" vertical="center" wrapText="1"/>
    </xf>
    <xf numFmtId="0" fontId="7" fillId="0" borderId="125" xfId="0" applyFont="1" applyFill="1" applyBorder="1" applyAlignment="1">
      <alignment horizontal="center" vertical="center" wrapText="1"/>
    </xf>
    <xf numFmtId="0" fontId="7" fillId="0" borderId="126" xfId="0" applyFont="1" applyFill="1" applyBorder="1" applyAlignment="1">
      <alignment horizontal="center" vertical="center" wrapText="1"/>
    </xf>
    <xf numFmtId="0" fontId="0" fillId="5" borderId="0" xfId="0" applyFill="1" applyBorder="1" applyAlignment="1">
      <alignment horizontal="center"/>
    </xf>
    <xf numFmtId="0" fontId="18" fillId="0" borderId="0" xfId="0" applyFont="1" applyFill="1" applyBorder="1" applyAlignment="1">
      <alignment horizontal="center"/>
    </xf>
    <xf numFmtId="0" fontId="39" fillId="0" borderId="0" xfId="0" applyFont="1" applyFill="1" applyBorder="1" applyAlignment="1">
      <alignment horizontal="left" vertical="center" readingOrder="1"/>
    </xf>
    <xf numFmtId="0" fontId="13" fillId="0" borderId="0" xfId="0" applyFont="1" applyAlignment="1">
      <alignment horizontal="center" wrapText="1"/>
    </xf>
    <xf numFmtId="0" fontId="0" fillId="0" borderId="0" xfId="0" applyAlignment="1">
      <alignment horizontal="center" wrapText="1"/>
    </xf>
    <xf numFmtId="0" fontId="36" fillId="0" borderId="0" xfId="0" applyFont="1" applyFill="1" applyBorder="1" applyAlignment="1">
      <alignment horizontal="center"/>
    </xf>
    <xf numFmtId="3" fontId="6" fillId="0" borderId="64" xfId="0" applyNumberFormat="1" applyFont="1" applyFill="1" applyBorder="1" applyAlignment="1" applyProtection="1">
      <alignment horizontal="center" vertical="center"/>
    </xf>
    <xf numFmtId="0" fontId="6" fillId="0" borderId="122" xfId="0" applyFont="1" applyFill="1" applyBorder="1" applyAlignment="1" applyProtection="1">
      <alignment horizontal="center" vertical="center"/>
    </xf>
    <xf numFmtId="0" fontId="6" fillId="0" borderId="64" xfId="0" applyFont="1" applyFill="1" applyBorder="1" applyAlignment="1" applyProtection="1">
      <alignment horizontal="center" vertical="center"/>
    </xf>
    <xf numFmtId="3" fontId="6" fillId="0" borderId="122" xfId="0" applyNumberFormat="1" applyFont="1" applyFill="1" applyBorder="1" applyAlignment="1" applyProtection="1">
      <alignment horizontal="center"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6" fillId="0" borderId="117" xfId="0" applyFont="1" applyFill="1" applyBorder="1" applyAlignment="1" applyProtection="1">
      <alignment horizontal="center" vertical="center"/>
    </xf>
    <xf numFmtId="0" fontId="6" fillId="0" borderId="114"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1" fontId="6" fillId="0" borderId="1" xfId="0" applyNumberFormat="1" applyFont="1" applyFill="1" applyBorder="1" applyAlignment="1" applyProtection="1">
      <alignment horizontal="center" vertical="center"/>
    </xf>
    <xf numFmtId="1" fontId="6" fillId="0" borderId="122" xfId="0" applyNumberFormat="1" applyFont="1" applyFill="1" applyBorder="1" applyAlignment="1" applyProtection="1">
      <alignment horizontal="center" vertical="center"/>
    </xf>
    <xf numFmtId="3" fontId="6" fillId="0" borderId="117" xfId="0" applyNumberFormat="1" applyFont="1" applyFill="1" applyBorder="1" applyAlignment="1" applyProtection="1">
      <alignment horizontal="center" vertical="center"/>
    </xf>
    <xf numFmtId="3" fontId="6" fillId="0" borderId="114" xfId="0" applyNumberFormat="1" applyFont="1" applyFill="1" applyBorder="1" applyAlignment="1" applyProtection="1">
      <alignment horizontal="center" vertical="center"/>
    </xf>
    <xf numFmtId="0" fontId="15" fillId="2" borderId="52" xfId="1" applyFont="1" applyFill="1" applyBorder="1" applyAlignment="1" applyProtection="1">
      <alignment horizontal="center" vertical="center"/>
    </xf>
    <xf numFmtId="0" fontId="15" fillId="2" borderId="29" xfId="1" applyFont="1" applyFill="1" applyBorder="1" applyAlignment="1" applyProtection="1">
      <alignment horizontal="center" vertical="center"/>
    </xf>
    <xf numFmtId="0" fontId="15" fillId="2" borderId="53" xfId="1" applyFont="1" applyFill="1" applyBorder="1" applyAlignment="1" applyProtection="1">
      <alignment horizontal="center" vertical="center"/>
    </xf>
    <xf numFmtId="0" fontId="15" fillId="2" borderId="94" xfId="1" applyFont="1" applyFill="1" applyBorder="1" applyAlignment="1" applyProtection="1">
      <alignment horizontal="center" vertical="center"/>
    </xf>
    <xf numFmtId="0" fontId="15" fillId="2" borderId="92" xfId="1" applyFont="1" applyFill="1" applyBorder="1" applyAlignment="1" applyProtection="1">
      <alignment horizontal="center" vertical="center"/>
    </xf>
    <xf numFmtId="0" fontId="15" fillId="2" borderId="91" xfId="1" applyFont="1" applyFill="1" applyBorder="1" applyAlignment="1" applyProtection="1">
      <alignment horizontal="center" vertical="center"/>
    </xf>
    <xf numFmtId="0" fontId="15" fillId="0" borderId="51" xfId="3" applyFont="1" applyFill="1" applyBorder="1" applyAlignment="1" applyProtection="1">
      <alignment horizontal="center" vertical="center" wrapText="1"/>
    </xf>
    <xf numFmtId="0" fontId="15" fillId="0" borderId="48" xfId="3"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2" fillId="0" borderId="125" xfId="0" applyFont="1" applyBorder="1" applyAlignment="1">
      <alignment horizontal="right" wrapText="1"/>
    </xf>
    <xf numFmtId="0" fontId="15" fillId="0" borderId="33" xfId="3" applyFont="1" applyFill="1" applyBorder="1" applyAlignment="1" applyProtection="1">
      <alignment horizontal="center" vertical="center" wrapText="1"/>
    </xf>
    <xf numFmtId="0" fontId="15" fillId="0" borderId="17" xfId="3" applyFont="1" applyFill="1" applyBorder="1" applyAlignment="1" applyProtection="1">
      <alignment horizontal="center" wrapText="1"/>
    </xf>
    <xf numFmtId="0" fontId="15" fillId="0" borderId="41" xfId="3" applyFont="1" applyFill="1" applyBorder="1" applyAlignment="1" applyProtection="1">
      <alignment horizontal="center" wrapText="1"/>
    </xf>
    <xf numFmtId="0" fontId="15" fillId="2" borderId="87" xfId="3" applyFont="1" applyFill="1" applyBorder="1" applyAlignment="1" applyProtection="1">
      <alignment horizontal="center" vertical="center"/>
    </xf>
    <xf numFmtId="0" fontId="15" fillId="0" borderId="19" xfId="3" applyFont="1" applyFill="1" applyBorder="1" applyAlignment="1" applyProtection="1">
      <alignment horizontal="center" wrapText="1"/>
    </xf>
    <xf numFmtId="0" fontId="15" fillId="0" borderId="86" xfId="3" applyFont="1" applyFill="1" applyBorder="1" applyAlignment="1" applyProtection="1">
      <alignment horizontal="center" wrapText="1"/>
    </xf>
    <xf numFmtId="0" fontId="15" fillId="2" borderId="89" xfId="3" applyFont="1" applyFill="1" applyBorder="1" applyAlignment="1" applyProtection="1">
      <alignment horizontal="center" vertical="center"/>
    </xf>
    <xf numFmtId="0" fontId="4" fillId="0" borderId="125" xfId="3" applyFont="1" applyBorder="1" applyAlignment="1" applyProtection="1">
      <alignment horizontal="left" vertical="center" wrapText="1"/>
    </xf>
    <xf numFmtId="0" fontId="15" fillId="0" borderId="0" xfId="3" applyFont="1" applyFill="1" applyBorder="1" applyAlignment="1" applyProtection="1">
      <alignment horizontal="center" vertical="center"/>
    </xf>
    <xf numFmtId="3" fontId="15" fillId="0" borderId="45" xfId="3" applyNumberFormat="1"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xf>
    <xf numFmtId="3" fontId="15" fillId="0" borderId="33" xfId="3" applyNumberFormat="1" applyFont="1" applyFill="1" applyBorder="1" applyAlignment="1" applyProtection="1">
      <alignment horizontal="center" vertical="center" wrapText="1"/>
    </xf>
    <xf numFmtId="2" fontId="15" fillId="0" borderId="33" xfId="3" applyNumberFormat="1" applyFont="1" applyFill="1" applyBorder="1" applyAlignment="1" applyProtection="1">
      <alignment horizontal="center" vertical="center" wrapText="1"/>
    </xf>
    <xf numFmtId="0" fontId="21" fillId="0" borderId="0" xfId="11" applyFont="1" applyAlignment="1" applyProtection="1">
      <alignment horizontal="left" vertical="center"/>
    </xf>
    <xf numFmtId="0" fontId="21" fillId="0" borderId="0" xfId="11" applyFont="1" applyAlignment="1" applyProtection="1">
      <alignment horizontal="left"/>
    </xf>
  </cellXfs>
  <cellStyles count="12">
    <cellStyle name="Lien hypertexte" xfId="11" builtinId="8"/>
    <cellStyle name="Milliers" xfId="7" builtinId="3"/>
    <cellStyle name="Milliers 2" xfId="2"/>
    <cellStyle name="Milliers 2 2" xfId="10"/>
    <cellStyle name="Milliers 3" xfId="4"/>
    <cellStyle name="Monétaire" xfId="8" builtinId="4"/>
    <cellStyle name="Normal" xfId="0" builtinId="0"/>
    <cellStyle name="Normal 2" xfId="3"/>
    <cellStyle name="Normal 2 2" xfId="1"/>
    <cellStyle name="Normal 4" xfId="5"/>
    <cellStyle name="Pourcentage" xfId="6" builtinId="5"/>
    <cellStyle name="Pourcentage 2" xfId="9"/>
  </cellStyles>
  <dxfs count="25">
    <dxf>
      <font>
        <color theme="0"/>
      </font>
      <border>
        <left/>
        <right/>
        <top/>
        <bottom/>
        <vertical/>
        <horizontal/>
      </border>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lor auto="1"/>
      </font>
      <fill>
        <patternFill patternType="solid">
          <fgColor indexed="64"/>
          <bgColor theme="0" tint="-0.14996795556505021"/>
        </patternFill>
      </fill>
      <border>
        <left style="thin">
          <color rgb="FFFF0000"/>
        </left>
        <right style="thin">
          <color rgb="FFFF0000"/>
        </right>
        <top style="thin">
          <color rgb="FFFF0000"/>
        </top>
        <bottom style="thin">
          <color rgb="FFFF0000"/>
        </bottom>
      </border>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
      <font>
        <b/>
        <i val="0"/>
        <condense val="0"/>
        <extend val="0"/>
        <color indexed="53"/>
      </font>
      <fill>
        <patternFill patternType="none">
          <fgColor indexed="64"/>
          <bgColor indexed="65"/>
        </patternFill>
      </fill>
    </dxf>
  </dxfs>
  <tableStyles count="0" defaultTableStyle="TableStyleMedium2" defaultPivotStyle="PivotStyleMedium9"/>
  <colors>
    <mruColors>
      <color rgb="FF6087CC"/>
      <color rgb="FF0033CC"/>
      <color rgb="FF203764"/>
      <color rgb="FF96DEF8"/>
      <color rgb="FF66FFFF"/>
      <color rgb="FF0000FF"/>
      <color rgb="FFB3DE85"/>
      <color rgb="FFFFFFFF"/>
      <color rgb="FF00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CA" sz="1400" b="1" i="0" baseline="0">
                <a:effectLst/>
                <a:latin typeface="Arial" panose="020B0604020202020204" pitchFamily="34" charset="0"/>
                <a:cs typeface="Arial" panose="020B0604020202020204" pitchFamily="34" charset="0"/>
              </a:rPr>
              <a:t>Évolution annuelle de la quantité d'eau distribuée</a:t>
            </a:r>
            <a:endParaRPr lang="en-CA" sz="1400" b="1">
              <a:effectLst/>
              <a:latin typeface="Arial" panose="020B0604020202020204" pitchFamily="34" charset="0"/>
              <a:cs typeface="Arial" panose="020B0604020202020204" pitchFamily="34" charset="0"/>
            </a:endParaRPr>
          </a:p>
        </c:rich>
      </c:tx>
      <c:layout>
        <c:manualLayout>
          <c:xMode val="edge"/>
          <c:yMode val="edge"/>
          <c:x val="0.30314447673821149"/>
          <c:y val="2.04021333979817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0.1270596245443216"/>
          <c:y val="0.17743931110092864"/>
          <c:w val="0.79798955601953458"/>
          <c:h val="0.63708740065109071"/>
        </c:manualLayout>
      </c:layout>
      <c:barChart>
        <c:barDir val="col"/>
        <c:grouping val="clustered"/>
        <c:varyColors val="0"/>
        <c:ser>
          <c:idx val="0"/>
          <c:order val="0"/>
          <c:tx>
            <c:strRef>
              <c:f>Évolution!$W$22</c:f>
              <c:strCache>
                <c:ptCount val="1"/>
                <c:pt idx="0">
                  <c:v>Quantité d'eau distribuée par personne (l/pers/d)</c:v>
                </c:pt>
              </c:strCache>
            </c:strRef>
          </c:tx>
          <c:spPr>
            <a:solidFill>
              <a:srgbClr val="002060"/>
            </a:solidFill>
            <a:ln>
              <a:noFill/>
            </a:ln>
            <a:effectLst/>
          </c:spPr>
          <c:invertIfNegative val="0"/>
          <c:dPt>
            <c:idx val="0"/>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1-2EE9-4EF3-9CAF-9744AEF60BBD}"/>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2EE9-4EF3-9CAF-9744AEF60BBD}"/>
              </c:ext>
            </c:extLst>
          </c:dPt>
          <c:dPt>
            <c:idx val="2"/>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5-2EE9-4EF3-9CAF-9744AEF60BB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2EE9-4EF3-9CAF-9744AEF60BBD}"/>
              </c:ext>
            </c:extLst>
          </c:dPt>
          <c:dPt>
            <c:idx val="4"/>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2EE9-4EF3-9CAF-9744AEF60BB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B-2EE9-4EF3-9CAF-9744AEF60BBD}"/>
              </c:ext>
            </c:extLst>
          </c:dPt>
          <c:dPt>
            <c:idx val="6"/>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D-2EE9-4EF3-9CAF-9744AEF60BBD}"/>
              </c:ext>
            </c:extLst>
          </c:dPt>
          <c:dPt>
            <c:idx val="7"/>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E-CA3D-4DA1-8AB1-FB8B891BA168}"/>
              </c:ext>
            </c:extLst>
          </c:dPt>
          <c:dPt>
            <c:idx val="8"/>
            <c:invertIfNegative val="0"/>
            <c:bubble3D val="0"/>
            <c:spPr>
              <a:solidFill>
                <a:srgbClr val="002060"/>
              </a:solidFill>
              <a:ln>
                <a:noFill/>
              </a:ln>
              <a:effectLst/>
            </c:spPr>
          </c:dPt>
          <c:dLbls>
            <c:dLbl>
              <c:idx val="0"/>
              <c:tx>
                <c:rich>
                  <a:bodyPr/>
                  <a:lstStyle/>
                  <a:p>
                    <a:fld id="{6E52B738-38DA-443B-ACC8-DD25D3C765CB}" type="CELLRANGE">
                      <a:rPr lang="en-US">
                        <a:solidFill>
                          <a:schemeClr val="accent5">
                            <a:lumMod val="50000"/>
                          </a:schemeClr>
                        </a:solidFill>
                      </a:rPr>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F8F3F20-52AA-45AF-BFC9-BBABA633D5B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E40FD26-1501-4651-83B9-4C119AA95559}"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8E5779B-F1DC-4249-BE12-5080E6F90A0A}"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699C365-1D81-4E3F-9AD8-BA86187118A6}"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35615CC-9233-41FA-BCC6-B925DADC2648}"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1B31AF07-4255-49A1-9B8B-F2DBDFE6671F}"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FF1CDF58-9D97-4074-BBCC-D1949AFBA16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B4281416-26FF-46BC-BA8B-B9EE0E5B043B}"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Évolution!$X$21:$AF$21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Évolution!$X$22:$AF$22</c:f>
              <c:numCache>
                <c:formatCode>#,##0</c:formatCode>
                <c:ptCount val="9"/>
                <c:pt idx="0">
                  <c:v>620.20563729543051</c:v>
                </c:pt>
                <c:pt idx="1">
                  <c:v>612.34089202232451</c:v>
                </c:pt>
                <c:pt idx="2">
                  <c:v>596.08658076779568</c:v>
                </c:pt>
                <c:pt idx="3">
                  <c:v>589.1008664911451</c:v>
                </c:pt>
                <c:pt idx="4">
                  <c:v>573.37767588319423</c:v>
                </c:pt>
                <c:pt idx="5">
                  <c:v>550.8217594496216</c:v>
                </c:pt>
                <c:pt idx="6">
                  <c:v>529.5924</c:v>
                </c:pt>
                <c:pt idx="7">
                  <c:v>536.32018669637034</c:v>
                </c:pt>
                <c:pt idx="8">
                  <c:v>524.50800277550013</c:v>
                </c:pt>
              </c:numCache>
            </c:numRef>
          </c:val>
          <c:extLst xmlns:c16r2="http://schemas.microsoft.com/office/drawing/2015/06/chart">
            <c:ext xmlns:c16="http://schemas.microsoft.com/office/drawing/2014/chart" uri="{C3380CC4-5D6E-409C-BE32-E72D297353CC}">
              <c16:uniqueId val="{0000000F-2EE9-4EF3-9CAF-9744AEF60BBD}"/>
            </c:ext>
            <c:ext xmlns:c15="http://schemas.microsoft.com/office/drawing/2012/chart" uri="{02D57815-91ED-43cb-92C2-25804820EDAC}">
              <c15:datalabelsRange>
                <c15:f>Évolution!$X$22:$AF$22</c15:f>
                <c15:dlblRangeCache>
                  <c:ptCount val="9"/>
                  <c:pt idx="0">
                    <c:v>620</c:v>
                  </c:pt>
                  <c:pt idx="1">
                    <c:v>612</c:v>
                  </c:pt>
                  <c:pt idx="2">
                    <c:v>596</c:v>
                  </c:pt>
                  <c:pt idx="3">
                    <c:v>589</c:v>
                  </c:pt>
                  <c:pt idx="4">
                    <c:v>573</c:v>
                  </c:pt>
                  <c:pt idx="5">
                    <c:v>551</c:v>
                  </c:pt>
                  <c:pt idx="6">
                    <c:v>530</c:v>
                  </c:pt>
                  <c:pt idx="7">
                    <c:v>536</c:v>
                  </c:pt>
                  <c:pt idx="8">
                    <c:v>525</c:v>
                  </c:pt>
                </c15:dlblRangeCache>
              </c15:datalabelsRange>
            </c:ext>
          </c:extLst>
        </c:ser>
        <c:dLbls>
          <c:showLegendKey val="0"/>
          <c:showVal val="0"/>
          <c:showCatName val="0"/>
          <c:showSerName val="0"/>
          <c:showPercent val="0"/>
          <c:showBubbleSize val="0"/>
        </c:dLbls>
        <c:gapWidth val="75"/>
        <c:overlap val="100"/>
        <c:axId val="360079160"/>
        <c:axId val="794383272"/>
      </c:barChart>
      <c:lineChart>
        <c:grouping val="standard"/>
        <c:varyColors val="0"/>
        <c:ser>
          <c:idx val="1"/>
          <c:order val="1"/>
          <c:tx>
            <c:strRef>
              <c:f>Évolution!$W$23</c:f>
              <c:strCache>
                <c:ptCount val="1"/>
                <c:pt idx="0">
                  <c:v>Objectif 2025 pour
l'ensemble du Québec : 458</c:v>
                </c:pt>
              </c:strCache>
            </c:strRef>
          </c:tx>
          <c:spPr>
            <a:ln w="19050" cap="rnd" cmpd="sng" algn="ctr">
              <a:solidFill>
                <a:srgbClr val="00B050"/>
              </a:solidFill>
              <a:prstDash val="sysDash"/>
              <a:round/>
            </a:ln>
            <a:effectLst/>
          </c:spPr>
          <c:marker>
            <c:symbol val="none"/>
          </c:marker>
          <c:dLbls>
            <c:dLbl>
              <c:idx val="0"/>
              <c:delete val="1"/>
              <c:extLst xmlns:c16r2="http://schemas.microsoft.com/office/drawing/2015/06/chart">
                <c:ext xmlns:c16="http://schemas.microsoft.com/office/drawing/2014/chart" uri="{C3380CC4-5D6E-409C-BE32-E72D297353CC}">
                  <c16:uniqueId val="{00000010-2EE9-4EF3-9CAF-9744AEF60B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1-2EE9-4EF3-9CAF-9744AEF60B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2-2EE9-4EF3-9CAF-9744AEF60B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3-2EE9-4EF3-9CAF-9744AEF60B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4-2EE9-4EF3-9CAF-9744AEF60B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5-2EE9-4EF3-9CAF-9744AEF60B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6-2EE9-4EF3-9CAF-9744AEF60BBD}"/>
                </c:ext>
                <c:ext xmlns:c15="http://schemas.microsoft.com/office/drawing/2012/chart" uri="{CE6537A1-D6FC-4f65-9D91-7224C49458BB}"/>
              </c:extLst>
            </c:dLbl>
            <c:dLbl>
              <c:idx val="7"/>
              <c:layout>
                <c:manualLayout>
                  <c:x val="0.11010824206755684"/>
                  <c:y val="-6.9712339767871792E-2"/>
                </c:manualLayout>
              </c:layout>
              <c:spPr>
                <a:noFill/>
                <a:ln>
                  <a:noFill/>
                </a:ln>
                <a:effectLst/>
              </c:spPr>
              <c:txPr>
                <a:bodyPr rot="0" spcFirstLastPara="1" vertOverflow="ellipsis" vert="horz" wrap="square" lIns="38100" tIns="19050" rIns="38100" bIns="19050" anchor="ctr" anchorCtr="0">
                  <a:spAutoFit/>
                </a:bodyPr>
                <a:lstStyle/>
                <a:p>
                  <a:pPr algn="ctr">
                    <a:defRPr sz="1050" b="1" i="0" u="none" strike="noStrike" kern="1200" baseline="0">
                      <a:solidFill>
                        <a:srgbClr val="00B050"/>
                      </a:solidFill>
                      <a:latin typeface="+mn-lt"/>
                      <a:ea typeface="+mn-ea"/>
                      <a:cs typeface="+mn-cs"/>
                    </a:defRPr>
                  </a:pPr>
                  <a:endParaRPr lang="fr-FR"/>
                </a:p>
              </c:txPr>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17-2EE9-4EF3-9CAF-9744AEF60BBD}"/>
                </c:ext>
                <c:ext xmlns:c15="http://schemas.microsoft.com/office/drawing/2012/chart" uri="{CE6537A1-D6FC-4f65-9D91-7224C49458BB}">
                  <c15:layout>
                    <c:manualLayout>
                      <c:w val="0.17076480727444324"/>
                      <c:h val="0.18244523823954262"/>
                    </c:manualLayout>
                  </c15:layout>
                </c:ext>
              </c:extLst>
            </c:dLbl>
            <c:dLbl>
              <c:idx val="8"/>
              <c:delete val="1"/>
              <c:extLst xmlns:c16r2="http://schemas.microsoft.com/office/drawing/2015/06/chart">
                <c:ext xmlns:c16="http://schemas.microsoft.com/office/drawing/2014/chart" uri="{C3380CC4-5D6E-409C-BE32-E72D297353CC}">
                  <c16:uniqueId val="{00000018-2EE9-4EF3-9CAF-9744AEF60BBD}"/>
                </c:ext>
                <c:ext xmlns:c15="http://schemas.microsoft.com/office/drawing/2012/chart" uri="{CE6537A1-D6FC-4f65-9D91-7224C49458BB}"/>
              </c:extLst>
            </c:dLbl>
            <c:dLbl>
              <c:idx val="9"/>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Évolution!$X$13:$AF$13</c:f>
              <c:numCache>
                <c:formatCode>General</c:formatCode>
                <c:ptCount val="9"/>
              </c:numCache>
            </c:numRef>
          </c:cat>
          <c:val>
            <c:numRef>
              <c:f>Évolution!$X$23:$AG$23</c:f>
              <c:numCache>
                <c:formatCode>General</c:formatCode>
                <c:ptCount val="10"/>
                <c:pt idx="0">
                  <c:v>458</c:v>
                </c:pt>
                <c:pt idx="1">
                  <c:v>458</c:v>
                </c:pt>
                <c:pt idx="2">
                  <c:v>458</c:v>
                </c:pt>
                <c:pt idx="3">
                  <c:v>458</c:v>
                </c:pt>
                <c:pt idx="4">
                  <c:v>458</c:v>
                </c:pt>
                <c:pt idx="5">
                  <c:v>458</c:v>
                </c:pt>
                <c:pt idx="6">
                  <c:v>458</c:v>
                </c:pt>
                <c:pt idx="7">
                  <c:v>458</c:v>
                </c:pt>
                <c:pt idx="8">
                  <c:v>458</c:v>
                </c:pt>
                <c:pt idx="9">
                  <c:v>458</c:v>
                </c:pt>
              </c:numCache>
            </c:numRef>
          </c:val>
          <c:smooth val="0"/>
          <c:extLst xmlns:c16r2="http://schemas.microsoft.com/office/drawing/2015/06/chart">
            <c:ext xmlns:c16="http://schemas.microsoft.com/office/drawing/2014/chart" uri="{C3380CC4-5D6E-409C-BE32-E72D297353CC}">
              <c16:uniqueId val="{00000019-2EE9-4EF3-9CAF-9744AEF60BBD}"/>
            </c:ext>
          </c:extLst>
        </c:ser>
        <c:dLbls>
          <c:showLegendKey val="0"/>
          <c:showVal val="0"/>
          <c:showCatName val="0"/>
          <c:showSerName val="0"/>
          <c:showPercent val="0"/>
          <c:showBubbleSize val="0"/>
        </c:dLbls>
        <c:marker val="1"/>
        <c:smooth val="0"/>
        <c:axId val="360079160"/>
        <c:axId val="794383272"/>
      </c:lineChart>
      <c:catAx>
        <c:axId val="3600791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46003149684019123"/>
              <c:y val="0.908961887733971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ysClr val="windowText" lastClr="000000"/>
                </a:solidFill>
                <a:latin typeface="Arial"/>
                <a:ea typeface="Arial"/>
                <a:cs typeface="Arial"/>
              </a:defRPr>
            </a:pPr>
            <a:endParaRPr lang="fr-FR"/>
          </a:p>
        </c:txPr>
        <c:crossAx val="794383272"/>
        <c:crossesAt val="0"/>
        <c:auto val="1"/>
        <c:lblAlgn val="ctr"/>
        <c:lblOffset val="100"/>
        <c:noMultiLvlLbl val="1"/>
      </c:catAx>
      <c:valAx>
        <c:axId val="794383272"/>
        <c:scaling>
          <c:orientation val="minMax"/>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sz="1200" b="0">
                    <a:solidFill>
                      <a:sysClr val="windowText" lastClr="000000"/>
                    </a:solidFill>
                    <a:latin typeface="Arial" panose="020B0604020202020204" pitchFamily="34" charset="0"/>
                    <a:cs typeface="Arial" panose="020B0604020202020204" pitchFamily="34" charset="0"/>
                  </a:rPr>
                  <a:t>Quantité d'eau distribuée</a:t>
                </a:r>
                <a:br>
                  <a:rPr lang="en-CA" sz="1200" b="0">
                    <a:solidFill>
                      <a:sysClr val="windowText" lastClr="000000"/>
                    </a:solidFill>
                    <a:latin typeface="Arial" panose="020B0604020202020204" pitchFamily="34" charset="0"/>
                    <a:cs typeface="Arial" panose="020B0604020202020204" pitchFamily="34" charset="0"/>
                  </a:rPr>
                </a:br>
                <a:r>
                  <a:rPr lang="en-CA" sz="1200" b="0">
                    <a:solidFill>
                      <a:sysClr val="windowText" lastClr="000000"/>
                    </a:solidFill>
                    <a:latin typeface="Arial" panose="020B0604020202020204" pitchFamily="34" charset="0"/>
                    <a:cs typeface="Arial" panose="020B0604020202020204" pitchFamily="34" charset="0"/>
                  </a:rPr>
                  <a:t>[L/pers/d]</a:t>
                </a:r>
              </a:p>
            </c:rich>
          </c:tx>
          <c:layout>
            <c:manualLayout>
              <c:xMode val="edge"/>
              <c:yMode val="edge"/>
              <c:x val="1.3975919139660847E-2"/>
              <c:y val="0.2031267361637221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60079160"/>
        <c:crosses val="autoZero"/>
        <c:crossBetween val="between"/>
      </c:valAx>
      <c:spPr>
        <a:noFill/>
        <a:ln w="25400">
          <a:noFill/>
        </a:ln>
        <a:effectLst/>
      </c:spPr>
    </c:plotArea>
    <c:plotVisOnly val="1"/>
    <c:dispBlanksAs val="gap"/>
    <c:showDLblsOverMax val="0"/>
  </c:chart>
  <c:spPr>
    <a:solidFill>
      <a:srgbClr val="FFFFFF">
        <a:alpha val="0"/>
      </a:srgbClr>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i="0" baseline="0">
                <a:effectLst/>
                <a:latin typeface="Arial" panose="020B0604020202020204" pitchFamily="34" charset="0"/>
                <a:cs typeface="Arial" panose="020B0604020202020204" pitchFamily="34" charset="0"/>
              </a:rPr>
              <a:t>Évolution annuelle du taux d'auscultation des réseaux de distribution d'eau potable</a:t>
            </a:r>
            <a:endParaRPr lang="fr-CA" sz="1400" b="1">
              <a:effectLst/>
              <a:latin typeface="Arial" panose="020B0604020202020204" pitchFamily="34" charset="0"/>
              <a:cs typeface="Arial" panose="020B0604020202020204" pitchFamily="34" charset="0"/>
            </a:endParaRPr>
          </a:p>
        </c:rich>
      </c:tx>
      <c:layout>
        <c:manualLayout>
          <c:xMode val="edge"/>
          <c:yMode val="edge"/>
          <c:x val="0.17849826719621673"/>
          <c:y val="5.821985882403277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905592492581078"/>
          <c:y val="0.19313443705293298"/>
          <c:w val="0.86330678405833261"/>
          <c:h val="0.61212670068027197"/>
        </c:manualLayout>
      </c:layout>
      <c:barChart>
        <c:barDir val="col"/>
        <c:grouping val="clustered"/>
        <c:varyColors val="0"/>
        <c:ser>
          <c:idx val="1"/>
          <c:order val="0"/>
          <c:tx>
            <c:strRef>
              <c:f>Évolution!$Z$57</c:f>
              <c:strCache>
                <c:ptCount val="1"/>
                <c:pt idx="0">
                  <c:v>Taux d'ascultation des réseaux de distribution d'eau potable</c:v>
                </c:pt>
              </c:strCache>
            </c:strRef>
          </c:tx>
          <c:spPr>
            <a:solidFill>
              <a:srgbClr val="002060"/>
            </a:solidFill>
            <a:ln>
              <a:noFill/>
            </a:ln>
            <a:effectLst/>
          </c:spPr>
          <c:invertIfNegative val="0"/>
          <c:dLbls>
            <c:dLbl>
              <c:idx val="0"/>
              <c:tx>
                <c:rich>
                  <a:bodyPr/>
                  <a:lstStyle/>
                  <a:p>
                    <a:fld id="{159605FD-8006-470B-A5C8-9776BC6F435F}" type="CELLRANGE">
                      <a:rPr lang="en-US"/>
                      <a:pPr/>
                      <a:t>[PLAGECELL]</a:t>
                    </a:fld>
                    <a:endParaRPr lang="fr-CA"/>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A887-4E54-BCB9-0E18130AFA87}"/>
                </c:ext>
                <c:ext xmlns:c15="http://schemas.microsoft.com/office/drawing/2012/chart" uri="{CE6537A1-D6FC-4f65-9D91-7224C49458BB}">
                  <c15:dlblFieldTable/>
                  <c15:showDataLabelsRange val="1"/>
                </c:ext>
              </c:extLst>
            </c:dLbl>
            <c:dLbl>
              <c:idx val="1"/>
              <c:tx>
                <c:rich>
                  <a:bodyPr/>
                  <a:lstStyle/>
                  <a:p>
                    <a:fld id="{5E933B0E-4F5A-41CF-A5E0-F8F39614FA34}"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53D5D4B-AC36-4F35-9525-8BADED16AF76}"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3D8AB06-00C5-420E-862C-319D1AEBCAF7}"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53CE08F-68C2-4B6D-92CC-BF8D068358B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0D5765D-735F-45EF-981B-F9E42109243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3544EAF0-234C-460B-B40E-85EA9A7D9D28}"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0757504B-FDC9-4377-BC19-68E99CD7BDA6}"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4FB5398B-5B88-4EA1-A012-B75ED7AE10D4}"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overflow" horzOverflow="overflow"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strRef>
              <c:f>Évolution!$AA$56:$AI$56</c:f>
              <c:strCache>
                <c:ptCount val="9"/>
                <c:pt idx="0">
                  <c:v>2012</c:v>
                </c:pt>
                <c:pt idx="1">
                  <c:v>2013</c:v>
                </c:pt>
                <c:pt idx="2">
                  <c:v>2014</c:v>
                </c:pt>
                <c:pt idx="3">
                  <c:v>2015</c:v>
                </c:pt>
                <c:pt idx="4">
                  <c:v>2016</c:v>
                </c:pt>
                <c:pt idx="5">
                  <c:v>2017</c:v>
                </c:pt>
                <c:pt idx="6">
                  <c:v>2018</c:v>
                </c:pt>
                <c:pt idx="7">
                  <c:v>2019</c:v>
                </c:pt>
                <c:pt idx="8">
                  <c:v>2020
(prévu)</c:v>
                </c:pt>
              </c:strCache>
            </c:strRef>
          </c:cat>
          <c:val>
            <c:numRef>
              <c:f>Évolution!$AA$57:$AI$57</c:f>
              <c:numCache>
                <c:formatCode>0%</c:formatCode>
                <c:ptCount val="9"/>
                <c:pt idx="0">
                  <c:v>0.54</c:v>
                </c:pt>
                <c:pt idx="1">
                  <c:v>0.56000000000000005</c:v>
                </c:pt>
                <c:pt idx="2">
                  <c:v>0.74</c:v>
                </c:pt>
                <c:pt idx="3">
                  <c:v>0.78</c:v>
                </c:pt>
                <c:pt idx="4">
                  <c:v>0.85</c:v>
                </c:pt>
                <c:pt idx="5">
                  <c:v>0.90198866984022286</c:v>
                </c:pt>
                <c:pt idx="6">
                  <c:v>0.88070615733702451</c:v>
                </c:pt>
                <c:pt idx="7">
                  <c:v>1.014154604754401</c:v>
                </c:pt>
                <c:pt idx="8">
                  <c:v>1.4295408649973096</c:v>
                </c:pt>
              </c:numCache>
            </c:numRef>
          </c:val>
          <c:extLst xmlns:c16r2="http://schemas.microsoft.com/office/drawing/2015/06/chart">
            <c:ext xmlns:c16="http://schemas.microsoft.com/office/drawing/2014/chart" uri="{C3380CC4-5D6E-409C-BE32-E72D297353CC}">
              <c16:uniqueId val="{00000011-A887-4E54-BCB9-0E18130AFA87}"/>
            </c:ext>
            <c:ext xmlns:c15="http://schemas.microsoft.com/office/drawing/2012/chart" uri="{02D57815-91ED-43cb-92C2-25804820EDAC}">
              <c15:datalabelsRange>
                <c15:f>Évolution!$AA$60:$AI$60</c15:f>
                <c15:dlblRangeCache>
                  <c:ptCount val="9"/>
                  <c:pt idx="0">
                    <c:v>54%</c:v>
                  </c:pt>
                  <c:pt idx="1">
                    <c:v>56%</c:v>
                  </c:pt>
                  <c:pt idx="2">
                    <c:v>74%</c:v>
                  </c:pt>
                  <c:pt idx="3">
                    <c:v>78%</c:v>
                  </c:pt>
                  <c:pt idx="4">
                    <c:v>85%</c:v>
                  </c:pt>
                  <c:pt idx="5">
                    <c:v>90%</c:v>
                  </c:pt>
                  <c:pt idx="6">
                    <c:v>88%</c:v>
                  </c:pt>
                  <c:pt idx="7">
                    <c:v>101%</c:v>
                  </c:pt>
                  <c:pt idx="8">
                    <c:v>143%</c:v>
                  </c:pt>
                </c15:dlblRangeCache>
              </c15:datalabelsRange>
            </c:ext>
          </c:extLst>
        </c:ser>
        <c:dLbls>
          <c:showLegendKey val="0"/>
          <c:showVal val="0"/>
          <c:showCatName val="0"/>
          <c:showSerName val="0"/>
          <c:showPercent val="0"/>
          <c:showBubbleSize val="0"/>
        </c:dLbls>
        <c:gapWidth val="50"/>
        <c:axId val="795636120"/>
        <c:axId val="795635728"/>
      </c:barChart>
      <c:valAx>
        <c:axId val="79563572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i="0" baseline="0">
                    <a:effectLst/>
                    <a:latin typeface="Arial" panose="020B0604020202020204" pitchFamily="34" charset="0"/>
                    <a:cs typeface="Arial" panose="020B0604020202020204" pitchFamily="34" charset="0"/>
                  </a:rPr>
                  <a:t>Taux d'auscultation</a:t>
                </a:r>
                <a:endParaRPr lang="fr-CA" sz="1200" b="0">
                  <a:effectLst/>
                  <a:latin typeface="Arial" panose="020B0604020202020204" pitchFamily="34" charset="0"/>
                  <a:cs typeface="Arial" panose="020B0604020202020204" pitchFamily="34" charset="0"/>
                </a:endParaRPr>
              </a:p>
            </c:rich>
          </c:tx>
          <c:layout>
            <c:manualLayout>
              <c:xMode val="edge"/>
              <c:yMode val="edge"/>
              <c:x val="1.7032073972404822E-2"/>
              <c:y val="0.2268299916478850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5636120"/>
        <c:crosses val="autoZero"/>
        <c:crossBetween val="between"/>
      </c:valAx>
      <c:catAx>
        <c:axId val="79563612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51918141539646989"/>
              <c:y val="0.914190388520004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5635728"/>
        <c:crossesAt val="0"/>
        <c:auto val="1"/>
        <c:lblAlgn val="ctr"/>
        <c:lblOffset val="100"/>
        <c:noMultiLvlLbl val="0"/>
      </c:catAx>
      <c:spPr>
        <a:noFill/>
        <a:ln w="25400">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i="0" baseline="0">
                <a:effectLst/>
                <a:latin typeface="Arial" panose="020B0604020202020204" pitchFamily="34" charset="0"/>
                <a:cs typeface="Arial" panose="020B0604020202020204" pitchFamily="34" charset="0"/>
              </a:rPr>
              <a:t>Évolution annuelle des délais moyens de réparation de fuites réparées</a:t>
            </a:r>
            <a:endParaRPr lang="fr-CA" sz="1400" b="1">
              <a:effectLst/>
              <a:latin typeface="Arial" panose="020B0604020202020204" pitchFamily="34" charset="0"/>
              <a:cs typeface="Arial" panose="020B0604020202020204" pitchFamily="34" charset="0"/>
            </a:endParaRPr>
          </a:p>
        </c:rich>
      </c:tx>
      <c:layout>
        <c:manualLayout>
          <c:xMode val="edge"/>
          <c:yMode val="edge"/>
          <c:x val="0.22792856081382307"/>
          <c:y val="1.6712231988340006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272886225120217"/>
          <c:y val="0.18827841672761322"/>
          <c:w val="0.85886606816140654"/>
          <c:h val="0.53027478798155858"/>
        </c:manualLayout>
      </c:layout>
      <c:barChart>
        <c:barDir val="col"/>
        <c:grouping val="clustered"/>
        <c:varyColors val="0"/>
        <c:ser>
          <c:idx val="1"/>
          <c:order val="0"/>
          <c:tx>
            <c:strRef>
              <c:f>Évolution!$W$73</c:f>
              <c:strCache>
                <c:ptCount val="1"/>
                <c:pt idx="0">
                  <c:v>Conduites</c:v>
                </c:pt>
              </c:strCache>
            </c:strRef>
          </c:tx>
          <c:spPr>
            <a:solidFill>
              <a:srgbClr val="002060"/>
            </a:solidFill>
            <a:ln>
              <a:noFill/>
            </a:ln>
            <a:effectLst/>
          </c:spPr>
          <c:invertIfNegative val="0"/>
          <c:dLbls>
            <c:dLbl>
              <c:idx val="0"/>
              <c:tx>
                <c:rich>
                  <a:bodyPr/>
                  <a:lstStyle/>
                  <a:p>
                    <a:fld id="{8661DC68-88D8-4149-91A9-E17D87C414CD}" type="CELLRANGE">
                      <a:rPr lang="en-US"/>
                      <a:pPr/>
                      <a:t>[PLAGECELL]</a:t>
                    </a:fld>
                    <a:endParaRPr lang="fr-CA"/>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A887-4E54-BCB9-0E18130AFA87}"/>
                </c:ext>
                <c:ext xmlns:c15="http://schemas.microsoft.com/office/drawing/2012/chart" uri="{CE6537A1-D6FC-4f65-9D91-7224C49458BB}">
                  <c15:dlblFieldTable/>
                  <c15:showDataLabelsRange val="1"/>
                </c:ext>
              </c:extLst>
            </c:dLbl>
            <c:dLbl>
              <c:idx val="1"/>
              <c:tx>
                <c:rich>
                  <a:bodyPr/>
                  <a:lstStyle/>
                  <a:p>
                    <a:fld id="{756835C5-2A3B-4FD2-AFC1-71D6E032CF58}"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overflow" horzOverflow="overflow"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Évolution!$X$72:$Y$72</c:f>
              <c:numCache>
                <c:formatCode>General</c:formatCode>
                <c:ptCount val="2"/>
                <c:pt idx="0">
                  <c:v>2018</c:v>
                </c:pt>
                <c:pt idx="1">
                  <c:v>2019</c:v>
                </c:pt>
              </c:numCache>
            </c:numRef>
          </c:cat>
          <c:val>
            <c:numRef>
              <c:f>Évolution!$X$73:$Y$73</c:f>
              <c:numCache>
                <c:formatCode>0</c:formatCode>
                <c:ptCount val="2"/>
                <c:pt idx="0">
                  <c:v>5.3144235565669895</c:v>
                </c:pt>
                <c:pt idx="1">
                  <c:v>4.5625311764132146</c:v>
                </c:pt>
              </c:numCache>
            </c:numRef>
          </c:val>
          <c:extLst xmlns:c16r2="http://schemas.microsoft.com/office/drawing/2015/06/chart">
            <c:ext xmlns:c16="http://schemas.microsoft.com/office/drawing/2014/chart" uri="{C3380CC4-5D6E-409C-BE32-E72D297353CC}">
              <c16:uniqueId val="{00000011-A887-4E54-BCB9-0E18130AFA87}"/>
            </c:ext>
            <c:ext xmlns:c15="http://schemas.microsoft.com/office/drawing/2012/chart" uri="{02D57815-91ED-43cb-92C2-25804820EDAC}">
              <c15:datalabelsRange>
                <c15:f>Évolution!$X$73:$Y$73</c15:f>
                <c15:dlblRangeCache>
                  <c:ptCount val="2"/>
                  <c:pt idx="0">
                    <c:v>5</c:v>
                  </c:pt>
                  <c:pt idx="1">
                    <c:v>5</c:v>
                  </c:pt>
                </c15:dlblRangeCache>
              </c15:datalabelsRange>
            </c:ext>
          </c:extLst>
        </c:ser>
        <c:ser>
          <c:idx val="0"/>
          <c:order val="1"/>
          <c:tx>
            <c:strRef>
              <c:f>Évolution!$W$74</c:f>
              <c:strCache>
                <c:ptCount val="1"/>
                <c:pt idx="0">
                  <c:v>Branchements de service du côté public</c:v>
                </c:pt>
              </c:strCache>
            </c:strRef>
          </c:tx>
          <c:spPr>
            <a:solidFill>
              <a:schemeClr val="accent5">
                <a:lumMod val="75000"/>
              </a:schemeClr>
            </a:solidFill>
            <a:ln>
              <a:noFill/>
            </a:ln>
            <a:effectLst/>
          </c:spPr>
          <c:invertIfNegative val="0"/>
          <c:dLbls>
            <c:dLbl>
              <c:idx val="0"/>
              <c:tx>
                <c:rich>
                  <a:bodyPr/>
                  <a:lstStyle/>
                  <a:p>
                    <a:fld id="{70AA3871-62A9-4AF1-B0DB-38C7AA38CBCF}"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8421A0E-7836-4FF6-8DB4-4E661DDDA4C1}"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Évolution!$X$72:$Y$72</c:f>
              <c:numCache>
                <c:formatCode>General</c:formatCode>
                <c:ptCount val="2"/>
                <c:pt idx="0">
                  <c:v>2018</c:v>
                </c:pt>
                <c:pt idx="1">
                  <c:v>2019</c:v>
                </c:pt>
              </c:numCache>
            </c:numRef>
          </c:cat>
          <c:val>
            <c:numRef>
              <c:f>Évolution!$X$74:$Y$74</c:f>
              <c:numCache>
                <c:formatCode>0</c:formatCode>
                <c:ptCount val="2"/>
                <c:pt idx="0">
                  <c:v>7.0827827086491473</c:v>
                </c:pt>
                <c:pt idx="1">
                  <c:v>8.0384667825612706</c:v>
                </c:pt>
              </c:numCache>
            </c:numRef>
          </c:val>
          <c:extLst>
            <c:ext xmlns:c15="http://schemas.microsoft.com/office/drawing/2012/chart" uri="{02D57815-91ED-43cb-92C2-25804820EDAC}">
              <c15:datalabelsRange>
                <c15:f>Évolution!$X$74:$Y$74</c15:f>
                <c15:dlblRangeCache>
                  <c:ptCount val="2"/>
                  <c:pt idx="0">
                    <c:v>7</c:v>
                  </c:pt>
                  <c:pt idx="1">
                    <c:v>8</c:v>
                  </c:pt>
                </c15:dlblRangeCache>
              </c15:datalabelsRange>
            </c:ext>
          </c:extLst>
        </c:ser>
        <c:ser>
          <c:idx val="2"/>
          <c:order val="2"/>
          <c:tx>
            <c:strRef>
              <c:f>Évolution!$W$75</c:f>
              <c:strCache>
                <c:ptCount val="1"/>
                <c:pt idx="0">
                  <c:v>Branchements de service du côté privé</c:v>
                </c:pt>
              </c:strCache>
            </c:strRef>
          </c:tx>
          <c:spPr>
            <a:solidFill>
              <a:schemeClr val="accent5">
                <a:lumMod val="60000"/>
                <a:lumOff val="40000"/>
              </a:schemeClr>
            </a:solidFill>
            <a:ln>
              <a:noFill/>
            </a:ln>
            <a:effectLst/>
          </c:spPr>
          <c:invertIfNegative val="0"/>
          <c:dLbls>
            <c:dLbl>
              <c:idx val="0"/>
              <c:tx>
                <c:rich>
                  <a:bodyPr/>
                  <a:lstStyle/>
                  <a:p>
                    <a:fld id="{25D171AB-7BA6-409E-97B0-C5CE34195373}"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4457BC7-731D-46C1-B0CB-5782D6D23A52}"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Évolution!$X$72:$Y$72</c:f>
              <c:numCache>
                <c:formatCode>General</c:formatCode>
                <c:ptCount val="2"/>
                <c:pt idx="0">
                  <c:v>2018</c:v>
                </c:pt>
                <c:pt idx="1">
                  <c:v>2019</c:v>
                </c:pt>
              </c:numCache>
            </c:numRef>
          </c:cat>
          <c:val>
            <c:numRef>
              <c:f>Évolution!$X$75:$Y$75</c:f>
              <c:numCache>
                <c:formatCode>0</c:formatCode>
                <c:ptCount val="2"/>
                <c:pt idx="0">
                  <c:v>16.6625813402284</c:v>
                </c:pt>
                <c:pt idx="1">
                  <c:v>16.582606137856651</c:v>
                </c:pt>
              </c:numCache>
            </c:numRef>
          </c:val>
          <c:extLst>
            <c:ext xmlns:c15="http://schemas.microsoft.com/office/drawing/2012/chart" uri="{02D57815-91ED-43cb-92C2-25804820EDAC}">
              <c15:datalabelsRange>
                <c15:f>Évolution!$X$75:$Y$75</c15:f>
                <c15:dlblRangeCache>
                  <c:ptCount val="2"/>
                  <c:pt idx="0">
                    <c:v>17</c:v>
                  </c:pt>
                  <c:pt idx="1">
                    <c:v>17</c:v>
                  </c:pt>
                </c15:dlblRangeCache>
              </c15:datalabelsRange>
            </c:ext>
          </c:extLst>
        </c:ser>
        <c:dLbls>
          <c:showLegendKey val="0"/>
          <c:showVal val="0"/>
          <c:showCatName val="0"/>
          <c:showSerName val="0"/>
          <c:showPercent val="0"/>
          <c:showBubbleSize val="0"/>
        </c:dLbls>
        <c:gapWidth val="100"/>
        <c:axId val="794382488"/>
        <c:axId val="794383664"/>
      </c:barChart>
      <c:valAx>
        <c:axId val="79438366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i="0" baseline="0">
                    <a:effectLst/>
                    <a:latin typeface="Arial" panose="020B0604020202020204" pitchFamily="34" charset="0"/>
                    <a:cs typeface="Arial" panose="020B0604020202020204" pitchFamily="34" charset="0"/>
                  </a:rPr>
                  <a:t>Délai moyen entre la détection et la réparation des fuites</a:t>
                </a:r>
              </a:p>
              <a:p>
                <a:pPr>
                  <a:defRPr sz="1200" b="0">
                    <a:latin typeface="Arial" panose="020B0604020202020204" pitchFamily="34" charset="0"/>
                    <a:cs typeface="Arial" panose="020B0604020202020204" pitchFamily="34" charset="0"/>
                  </a:defRPr>
                </a:pPr>
                <a:r>
                  <a:rPr lang="fr-CA" sz="1200" b="0" i="0" baseline="0">
                    <a:effectLst/>
                    <a:latin typeface="Arial" panose="020B0604020202020204" pitchFamily="34" charset="0"/>
                    <a:cs typeface="Arial" panose="020B0604020202020204" pitchFamily="34" charset="0"/>
                  </a:rPr>
                  <a:t>[jours estimés]</a:t>
                </a:r>
                <a:endParaRPr lang="fr-CA" sz="1200" b="0">
                  <a:effectLst/>
                  <a:latin typeface="Arial" panose="020B0604020202020204" pitchFamily="34" charset="0"/>
                  <a:cs typeface="Arial" panose="020B0604020202020204" pitchFamily="34" charset="0"/>
                </a:endParaRPr>
              </a:p>
            </c:rich>
          </c:tx>
          <c:layout>
            <c:manualLayout>
              <c:xMode val="edge"/>
              <c:yMode val="edge"/>
              <c:x val="1.0304169409464655E-2"/>
              <c:y val="0.1402725011380282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382488"/>
        <c:crosses val="autoZero"/>
        <c:crossBetween val="between"/>
      </c:valAx>
      <c:catAx>
        <c:axId val="79438248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39854612000053719"/>
              <c:y val="0.7596243755176190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383664"/>
        <c:crossesAt val="0"/>
        <c:auto val="1"/>
        <c:lblAlgn val="ctr"/>
        <c:lblOffset val="100"/>
        <c:noMultiLvlLbl val="0"/>
      </c:catAx>
      <c:spPr>
        <a:noFill/>
        <a:ln w="25400">
          <a:noFill/>
        </a:ln>
        <a:effectLst/>
      </c:spPr>
    </c:plotArea>
    <c:legend>
      <c:legendPos val="b"/>
      <c:layout>
        <c:manualLayout>
          <c:xMode val="edge"/>
          <c:yMode val="edge"/>
          <c:x val="0.10372484075515156"/>
          <c:y val="0.83141001162838368"/>
          <c:w val="0.89627518579991761"/>
          <c:h val="6.601750514000445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i="0" baseline="0">
                <a:effectLst/>
                <a:latin typeface="Arial" panose="020B0604020202020204" pitchFamily="34" charset="0"/>
                <a:cs typeface="Arial" panose="020B0604020202020204" pitchFamily="34" charset="0"/>
              </a:rPr>
              <a:t>Évolution annuelle du nombre de fuites réparées selon sa localisation</a:t>
            </a:r>
            <a:endParaRPr lang="fr-CA" sz="1400" b="1">
              <a:effectLst/>
              <a:latin typeface="Arial" panose="020B0604020202020204" pitchFamily="34" charset="0"/>
              <a:cs typeface="Arial" panose="020B0604020202020204" pitchFamily="34" charset="0"/>
            </a:endParaRPr>
          </a:p>
        </c:rich>
      </c:tx>
      <c:layout>
        <c:manualLayout>
          <c:xMode val="edge"/>
          <c:yMode val="edge"/>
          <c:x val="0.22792856081382307"/>
          <c:y val="1.6712231988340006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64306369297803"/>
          <c:y val="0.14982240327671498"/>
          <c:w val="0.84028812267019592"/>
          <c:h val="0.61212670068027197"/>
        </c:manualLayout>
      </c:layout>
      <c:barChart>
        <c:barDir val="col"/>
        <c:grouping val="clustered"/>
        <c:varyColors val="0"/>
        <c:ser>
          <c:idx val="1"/>
          <c:order val="0"/>
          <c:tx>
            <c:strRef>
              <c:f>Évolution!$W$69</c:f>
              <c:strCache>
                <c:ptCount val="1"/>
                <c:pt idx="0">
                  <c:v>Conduites</c:v>
                </c:pt>
              </c:strCache>
            </c:strRef>
          </c:tx>
          <c:spPr>
            <a:solidFill>
              <a:srgbClr val="002060"/>
            </a:solidFill>
            <a:ln>
              <a:noFill/>
            </a:ln>
            <a:effectLst/>
          </c:spPr>
          <c:invertIfNegative val="0"/>
          <c:dLbls>
            <c:dLbl>
              <c:idx val="0"/>
              <c:tx>
                <c:rich>
                  <a:bodyPr/>
                  <a:lstStyle/>
                  <a:p>
                    <a:fld id="{4546BD12-E1F8-42A2-A445-6574A948E178}" type="CELLRANGE">
                      <a:rPr lang="en-US"/>
                      <a:pPr/>
                      <a:t>[PLAGECELL]</a:t>
                    </a:fld>
                    <a:endParaRPr lang="fr-CA"/>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A887-4E54-BCB9-0E18130AFA87}"/>
                </c:ext>
                <c:ext xmlns:c15="http://schemas.microsoft.com/office/drawing/2012/chart" uri="{CE6537A1-D6FC-4f65-9D91-7224C49458BB}">
                  <c15:dlblFieldTable/>
                  <c15:showDataLabelsRange val="1"/>
                </c:ext>
              </c:extLst>
            </c:dLbl>
            <c:dLbl>
              <c:idx val="1"/>
              <c:tx>
                <c:rich>
                  <a:bodyPr/>
                  <a:lstStyle/>
                  <a:p>
                    <a:fld id="{F0B7126C-E927-4841-98A0-D9D532DBA2E7}"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overflow" horzOverflow="overflow"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Évolution!$X$68:$Y$68</c:f>
              <c:numCache>
                <c:formatCode>General</c:formatCode>
                <c:ptCount val="2"/>
                <c:pt idx="0">
                  <c:v>2018</c:v>
                </c:pt>
                <c:pt idx="1">
                  <c:v>2019</c:v>
                </c:pt>
              </c:numCache>
            </c:numRef>
          </c:cat>
          <c:val>
            <c:numRef>
              <c:f>Évolution!$X$69:$Y$69</c:f>
              <c:numCache>
                <c:formatCode>#,##0</c:formatCode>
                <c:ptCount val="2"/>
                <c:pt idx="0">
                  <c:v>5694</c:v>
                </c:pt>
                <c:pt idx="1">
                  <c:v>5090</c:v>
                </c:pt>
              </c:numCache>
            </c:numRef>
          </c:val>
          <c:extLst xmlns:c16r2="http://schemas.microsoft.com/office/drawing/2015/06/chart">
            <c:ext xmlns:c16="http://schemas.microsoft.com/office/drawing/2014/chart" uri="{C3380CC4-5D6E-409C-BE32-E72D297353CC}">
              <c16:uniqueId val="{00000011-A887-4E54-BCB9-0E18130AFA87}"/>
            </c:ext>
            <c:ext xmlns:c15="http://schemas.microsoft.com/office/drawing/2012/chart" uri="{02D57815-91ED-43cb-92C2-25804820EDAC}">
              <c15:datalabelsRange>
                <c15:f>Évolution!$X$69:$Y$69</c15:f>
                <c15:dlblRangeCache>
                  <c:ptCount val="2"/>
                  <c:pt idx="0">
                    <c:v>5 694</c:v>
                  </c:pt>
                  <c:pt idx="1">
                    <c:v>5 090</c:v>
                  </c:pt>
                </c15:dlblRangeCache>
              </c15:datalabelsRange>
            </c:ext>
          </c:extLst>
        </c:ser>
        <c:ser>
          <c:idx val="0"/>
          <c:order val="1"/>
          <c:tx>
            <c:strRef>
              <c:f>Évolution!$W$74</c:f>
              <c:strCache>
                <c:ptCount val="1"/>
                <c:pt idx="0">
                  <c:v>Branchements de service du côté public</c:v>
                </c:pt>
              </c:strCache>
            </c:strRef>
          </c:tx>
          <c:spPr>
            <a:solidFill>
              <a:schemeClr val="accent5">
                <a:lumMod val="75000"/>
              </a:schemeClr>
            </a:solidFill>
            <a:ln>
              <a:noFill/>
            </a:ln>
            <a:effectLst/>
          </c:spPr>
          <c:invertIfNegative val="0"/>
          <c:dLbls>
            <c:dLbl>
              <c:idx val="0"/>
              <c:tx>
                <c:rich>
                  <a:bodyPr/>
                  <a:lstStyle/>
                  <a:p>
                    <a:fld id="{2EF3CD04-19CC-490E-9C66-FBB524EDBF95}"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8FDD5CE-2574-43A0-9554-63431205FEF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Évolution!$X$68:$Y$68</c:f>
              <c:numCache>
                <c:formatCode>General</c:formatCode>
                <c:ptCount val="2"/>
                <c:pt idx="0">
                  <c:v>2018</c:v>
                </c:pt>
                <c:pt idx="1">
                  <c:v>2019</c:v>
                </c:pt>
              </c:numCache>
            </c:numRef>
          </c:cat>
          <c:val>
            <c:numRef>
              <c:f>Évolution!$X$70:$Y$70</c:f>
              <c:numCache>
                <c:formatCode>#,##0</c:formatCode>
                <c:ptCount val="2"/>
                <c:pt idx="0">
                  <c:v>2517</c:v>
                </c:pt>
                <c:pt idx="1">
                  <c:v>2667</c:v>
                </c:pt>
              </c:numCache>
            </c:numRef>
          </c:val>
          <c:extLst>
            <c:ext xmlns:c15="http://schemas.microsoft.com/office/drawing/2012/chart" uri="{02D57815-91ED-43cb-92C2-25804820EDAC}">
              <c15:datalabelsRange>
                <c15:f>Évolution!$X$70:$Y$70</c15:f>
                <c15:dlblRangeCache>
                  <c:ptCount val="2"/>
                  <c:pt idx="0">
                    <c:v>2 517</c:v>
                  </c:pt>
                  <c:pt idx="1">
                    <c:v>2 667</c:v>
                  </c:pt>
                </c15:dlblRangeCache>
              </c15:datalabelsRange>
            </c:ext>
          </c:extLst>
        </c:ser>
        <c:ser>
          <c:idx val="2"/>
          <c:order val="2"/>
          <c:tx>
            <c:strRef>
              <c:f>Évolution!$W$75</c:f>
              <c:strCache>
                <c:ptCount val="1"/>
                <c:pt idx="0">
                  <c:v>Branchements de service du côté privé</c:v>
                </c:pt>
              </c:strCache>
            </c:strRef>
          </c:tx>
          <c:spPr>
            <a:solidFill>
              <a:schemeClr val="accent5">
                <a:lumMod val="60000"/>
                <a:lumOff val="40000"/>
              </a:schemeClr>
            </a:solidFill>
            <a:ln>
              <a:noFill/>
            </a:ln>
            <a:effectLst/>
          </c:spPr>
          <c:invertIfNegative val="0"/>
          <c:dLbls>
            <c:dLbl>
              <c:idx val="0"/>
              <c:tx>
                <c:rich>
                  <a:bodyPr/>
                  <a:lstStyle/>
                  <a:p>
                    <a:fld id="{18255616-8240-4D8C-9640-F9D0BFC729FA}"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06735EE2-1CBF-4E81-B165-64ED9CB1808E}"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Évolution!$X$68:$Y$68</c:f>
              <c:numCache>
                <c:formatCode>General</c:formatCode>
                <c:ptCount val="2"/>
                <c:pt idx="0">
                  <c:v>2018</c:v>
                </c:pt>
                <c:pt idx="1">
                  <c:v>2019</c:v>
                </c:pt>
              </c:numCache>
            </c:numRef>
          </c:cat>
          <c:val>
            <c:numRef>
              <c:f>Évolution!$X$71:$Y$71</c:f>
              <c:numCache>
                <c:formatCode>#,##0</c:formatCode>
                <c:ptCount val="2"/>
                <c:pt idx="0">
                  <c:v>1275</c:v>
                </c:pt>
                <c:pt idx="1">
                  <c:v>1457</c:v>
                </c:pt>
              </c:numCache>
            </c:numRef>
          </c:val>
          <c:extLst>
            <c:ext xmlns:c15="http://schemas.microsoft.com/office/drawing/2012/chart" uri="{02D57815-91ED-43cb-92C2-25804820EDAC}">
              <c15:datalabelsRange>
                <c15:f>Évolution!$X$71:$Y$71</c15:f>
                <c15:dlblRangeCache>
                  <c:ptCount val="2"/>
                  <c:pt idx="0">
                    <c:v>1 275</c:v>
                  </c:pt>
                  <c:pt idx="1">
                    <c:v>1 457</c:v>
                  </c:pt>
                </c15:dlblRangeCache>
              </c15:datalabelsRange>
            </c:ext>
          </c:extLst>
        </c:ser>
        <c:dLbls>
          <c:showLegendKey val="0"/>
          <c:showVal val="0"/>
          <c:showCatName val="0"/>
          <c:showSerName val="0"/>
          <c:showPercent val="0"/>
          <c:showBubbleSize val="0"/>
        </c:dLbls>
        <c:gapWidth val="100"/>
        <c:axId val="794948848"/>
        <c:axId val="794384056"/>
      </c:barChart>
      <c:valAx>
        <c:axId val="7943840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i="0" baseline="0">
                    <a:effectLst/>
                    <a:latin typeface="Arial" panose="020B0604020202020204" pitchFamily="34" charset="0"/>
                    <a:cs typeface="Arial" panose="020B0604020202020204" pitchFamily="34" charset="0"/>
                  </a:rPr>
                  <a:t>Nombre de fuites réparées</a:t>
                </a:r>
                <a:endParaRPr lang="fr-CA" sz="1200" b="0">
                  <a:effectLst/>
                  <a:latin typeface="Arial" panose="020B0604020202020204" pitchFamily="34" charset="0"/>
                  <a:cs typeface="Arial" panose="020B0604020202020204" pitchFamily="34" charset="0"/>
                </a:endParaRPr>
              </a:p>
            </c:rich>
          </c:tx>
          <c:layout>
            <c:manualLayout>
              <c:xMode val="edge"/>
              <c:yMode val="edge"/>
              <c:x val="1.4323945123136532E-2"/>
              <c:y val="0.2280206647670723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948848"/>
        <c:crosses val="autoZero"/>
        <c:crossBetween val="between"/>
      </c:valAx>
      <c:catAx>
        <c:axId val="79494884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41206559574294555"/>
              <c:y val="0.800534637471345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384056"/>
        <c:crossesAt val="0"/>
        <c:auto val="1"/>
        <c:lblAlgn val="ctr"/>
        <c:lblOffset val="100"/>
        <c:noMultiLvlLbl val="0"/>
      </c:catAx>
      <c:spPr>
        <a:noFill/>
        <a:ln w="25400">
          <a:noFill/>
        </a:ln>
        <a:effectLst/>
      </c:spPr>
    </c:plotArea>
    <c:legend>
      <c:legendPos val="b"/>
      <c:layout>
        <c:manualLayout>
          <c:xMode val="edge"/>
          <c:yMode val="edge"/>
          <c:x val="9.5405163375207949E-2"/>
          <c:y val="0.87628650338795089"/>
          <c:w val="0.84180991719721487"/>
          <c:h val="6.957335293178115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CA" sz="1400" b="1" i="0" baseline="0">
                <a:effectLst/>
                <a:latin typeface="Arial" panose="020B0604020202020204" pitchFamily="34" charset="0"/>
                <a:cs typeface="Arial" panose="020B0604020202020204" pitchFamily="34" charset="0"/>
              </a:rPr>
              <a:t>Évolution annuelle du résultat de validité des données des audits de l'eau</a:t>
            </a:r>
            <a:endParaRPr lang="en-CA" sz="1400" b="1">
              <a:effectLst/>
              <a:latin typeface="Arial" panose="020B0604020202020204" pitchFamily="34" charset="0"/>
              <a:cs typeface="Arial" panose="020B0604020202020204" pitchFamily="34" charset="0"/>
            </a:endParaRPr>
          </a:p>
        </c:rich>
      </c:tx>
      <c:layout>
        <c:manualLayout>
          <c:xMode val="edge"/>
          <c:yMode val="edge"/>
          <c:x val="0.14864054289509981"/>
          <c:y val="5.704636043643419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0.16214996793855713"/>
          <c:y val="0.22464204831757884"/>
          <c:w val="0.74021211891782757"/>
          <c:h val="0.58634836351847497"/>
        </c:manualLayout>
      </c:layout>
      <c:barChart>
        <c:barDir val="col"/>
        <c:grouping val="clustered"/>
        <c:varyColors val="0"/>
        <c:ser>
          <c:idx val="0"/>
          <c:order val="0"/>
          <c:tx>
            <c:strRef>
              <c:f>Évolution!$W$28</c:f>
              <c:strCache>
                <c:ptCount val="1"/>
                <c:pt idx="0">
                  <c:v>Résultat de validité des données</c:v>
                </c:pt>
              </c:strCache>
            </c:strRef>
          </c:tx>
          <c:spPr>
            <a:solidFill>
              <a:srgbClr val="002060"/>
            </a:solidFill>
            <a:ln>
              <a:noFill/>
            </a:ln>
            <a:effectLst/>
          </c:spPr>
          <c:invertIfNegative val="0"/>
          <c:dPt>
            <c:idx val="0"/>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1-2EE9-4EF3-9CAF-9744AEF60BBD}"/>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2EE9-4EF3-9CAF-9744AEF60BBD}"/>
              </c:ext>
            </c:extLst>
          </c:dPt>
          <c:dPt>
            <c:idx val="2"/>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5-2EE9-4EF3-9CAF-9744AEF60BB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2EE9-4EF3-9CAF-9744AEF60BBD}"/>
              </c:ext>
            </c:extLst>
          </c:dPt>
          <c:dPt>
            <c:idx val="4"/>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2EE9-4EF3-9CAF-9744AEF60BB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B-2EE9-4EF3-9CAF-9744AEF60BBD}"/>
              </c:ext>
            </c:extLst>
          </c:dPt>
          <c:dPt>
            <c:idx val="6"/>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D-2EE9-4EF3-9CAF-9744AEF60BBD}"/>
              </c:ext>
            </c:extLst>
          </c:dPt>
          <c:dPt>
            <c:idx val="7"/>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E-CA3D-4DA1-8AB1-FB8B891BA168}"/>
              </c:ext>
            </c:extLst>
          </c:dPt>
          <c:dPt>
            <c:idx val="8"/>
            <c:invertIfNegative val="0"/>
            <c:bubble3D val="0"/>
            <c:spPr>
              <a:solidFill>
                <a:srgbClr val="002060"/>
              </a:solidFill>
              <a:ln>
                <a:noFill/>
              </a:ln>
              <a:effectLst/>
            </c:spPr>
          </c:dPt>
          <c:dLbls>
            <c:dLbl>
              <c:idx val="0"/>
              <c:tx>
                <c:rich>
                  <a:bodyPr/>
                  <a:lstStyle/>
                  <a:p>
                    <a:fld id="{296EE99F-25BE-472B-88DC-4E1B9C46A10A}"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0158288E-67FA-4CB5-BB5D-D2FA1F293DED}"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Évolution!$AE$21:$AF$21</c:f>
              <c:numCache>
                <c:formatCode>General</c:formatCode>
                <c:ptCount val="2"/>
                <c:pt idx="0">
                  <c:v>2018</c:v>
                </c:pt>
                <c:pt idx="1">
                  <c:v>2019</c:v>
                </c:pt>
              </c:numCache>
            </c:numRef>
          </c:cat>
          <c:val>
            <c:numRef>
              <c:f>Évolution!$AE$28:$AF$28</c:f>
              <c:numCache>
                <c:formatCode>0</c:formatCode>
                <c:ptCount val="2"/>
                <c:pt idx="0">
                  <c:v>55.81464743270201</c:v>
                </c:pt>
                <c:pt idx="1">
                  <c:v>57.723499076943824</c:v>
                </c:pt>
              </c:numCache>
            </c:numRef>
          </c:val>
          <c:extLst xmlns:c16r2="http://schemas.microsoft.com/office/drawing/2015/06/chart">
            <c:ext xmlns:c16="http://schemas.microsoft.com/office/drawing/2014/chart" uri="{C3380CC4-5D6E-409C-BE32-E72D297353CC}">
              <c16:uniqueId val="{0000000F-2EE9-4EF3-9CAF-9744AEF60BBD}"/>
            </c:ext>
            <c:ext xmlns:c15="http://schemas.microsoft.com/office/drawing/2012/chart" uri="{02D57815-91ED-43cb-92C2-25804820EDAC}">
              <c15:datalabelsRange>
                <c15:f>Évolution!$AE$28:$AF$28</c15:f>
                <c15:dlblRangeCache>
                  <c:ptCount val="2"/>
                  <c:pt idx="0">
                    <c:v>56</c:v>
                  </c:pt>
                  <c:pt idx="1">
                    <c:v>58</c:v>
                  </c:pt>
                </c15:dlblRangeCache>
              </c15:datalabelsRange>
            </c:ext>
          </c:extLst>
        </c:ser>
        <c:dLbls>
          <c:showLegendKey val="0"/>
          <c:showVal val="0"/>
          <c:showCatName val="0"/>
          <c:showSerName val="0"/>
          <c:showPercent val="0"/>
          <c:showBubbleSize val="0"/>
        </c:dLbls>
        <c:gapWidth val="150"/>
        <c:overlap val="100"/>
        <c:axId val="796461688"/>
        <c:axId val="796460512"/>
      </c:barChart>
      <c:lineChart>
        <c:grouping val="standard"/>
        <c:varyColors val="0"/>
        <c:ser>
          <c:idx val="1"/>
          <c:order val="1"/>
          <c:tx>
            <c:strRef>
              <c:f>Évolution!$AD$30</c:f>
              <c:strCache>
                <c:ptCount val="1"/>
                <c:pt idx="0">
                  <c:v>Objectif 2025 pour
l'ensemble du Québec : 50</c:v>
                </c:pt>
              </c:strCache>
            </c:strRef>
          </c:tx>
          <c:spPr>
            <a:ln w="19050" cap="rnd" cmpd="sng" algn="ctr">
              <a:solidFill>
                <a:schemeClr val="accent6">
                  <a:shade val="76000"/>
                  <a:shade val="95000"/>
                  <a:satMod val="105000"/>
                </a:schemeClr>
              </a:solidFill>
              <a:prstDash val="sysDash"/>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B050"/>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Évolution!$AE$30:$AG$30</c:f>
              <c:numCache>
                <c:formatCode>General</c:formatCode>
                <c:ptCount val="3"/>
                <c:pt idx="0">
                  <c:v>#N/A</c:v>
                </c:pt>
                <c:pt idx="1">
                  <c:v>#N/A</c:v>
                </c:pt>
                <c:pt idx="2">
                  <c:v>#N/A</c:v>
                </c:pt>
              </c:numCache>
            </c:numRef>
          </c:val>
          <c:smooth val="0"/>
          <c:extLst/>
        </c:ser>
        <c:dLbls>
          <c:showLegendKey val="0"/>
          <c:showVal val="0"/>
          <c:showCatName val="0"/>
          <c:showSerName val="0"/>
          <c:showPercent val="0"/>
          <c:showBubbleSize val="0"/>
        </c:dLbls>
        <c:marker val="1"/>
        <c:smooth val="0"/>
        <c:axId val="796461688"/>
        <c:axId val="796460512"/>
      </c:lineChart>
      <c:catAx>
        <c:axId val="79646168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49561463248761783"/>
              <c:y val="0.868419554479150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ysClr val="windowText" lastClr="000000"/>
                </a:solidFill>
                <a:latin typeface="Arial"/>
                <a:ea typeface="Arial"/>
                <a:cs typeface="Arial"/>
              </a:defRPr>
            </a:pPr>
            <a:endParaRPr lang="fr-FR"/>
          </a:p>
        </c:txPr>
        <c:crossAx val="796460512"/>
        <c:crossesAt val="0"/>
        <c:auto val="1"/>
        <c:lblAlgn val="ctr"/>
        <c:lblOffset val="100"/>
        <c:noMultiLvlLbl val="1"/>
      </c:catAx>
      <c:valAx>
        <c:axId val="796460512"/>
        <c:scaling>
          <c:orientation val="minMax"/>
          <c:max val="100"/>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sz="1200" b="0">
                    <a:solidFill>
                      <a:sysClr val="windowText" lastClr="000000"/>
                    </a:solidFill>
                    <a:latin typeface="Arial" panose="020B0604020202020204" pitchFamily="34" charset="0"/>
                    <a:cs typeface="Arial" panose="020B0604020202020204" pitchFamily="34" charset="0"/>
                  </a:rPr>
                  <a:t>Résultat</a:t>
                </a:r>
                <a:r>
                  <a:rPr lang="en-CA" sz="1200" b="0" baseline="0">
                    <a:solidFill>
                      <a:sysClr val="windowText" lastClr="000000"/>
                    </a:solidFill>
                    <a:latin typeface="Arial" panose="020B0604020202020204" pitchFamily="34" charset="0"/>
                    <a:cs typeface="Arial" panose="020B0604020202020204" pitchFamily="34" charset="0"/>
                  </a:rPr>
                  <a:t> de balidité moyen des audits de l'eau</a:t>
                </a:r>
                <a:endParaRPr lang="en-CA" sz="1200" b="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6.215946391892084E-2"/>
              <c:y val="0.1217237424473985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6461688"/>
        <c:crosses val="autoZero"/>
        <c:crossBetween val="between"/>
      </c:valAx>
      <c:spPr>
        <a:noFill/>
        <a:ln w="25400">
          <a:noFill/>
        </a:ln>
        <a:effectLst/>
      </c:spPr>
    </c:plotArea>
    <c:plotVisOnly val="1"/>
    <c:dispBlanksAs val="gap"/>
    <c:showDLblsOverMax val="0"/>
  </c:chart>
  <c:spPr>
    <a:solidFill>
      <a:srgbClr val="FFFFFF">
        <a:alpha val="0"/>
      </a:srgbClr>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i="0"/>
            </a:pPr>
            <a:r>
              <a:rPr lang="fr-CA" sz="1400" b="1" i="0" baseline="0">
                <a:effectLst/>
                <a:latin typeface="Arial" panose="020B0604020202020204" pitchFamily="34" charset="0"/>
                <a:cs typeface="Arial" panose="020B0604020202020204" pitchFamily="34" charset="0"/>
              </a:rPr>
              <a:t>Comparaison 2019 des résultats de validité des données des audits de l'eau </a:t>
            </a:r>
            <a:endParaRPr lang="en-CA" sz="1400" b="1" i="0">
              <a:effectLst/>
              <a:latin typeface="Arial" panose="020B0604020202020204" pitchFamily="34" charset="0"/>
              <a:cs typeface="Arial" panose="020B0604020202020204" pitchFamily="34" charset="0"/>
            </a:endParaRPr>
          </a:p>
        </c:rich>
      </c:tx>
      <c:layout>
        <c:manualLayout>
          <c:xMode val="edge"/>
          <c:yMode val="edge"/>
          <c:x val="0.18027591385388919"/>
          <c:y val="5.4404089282748917E-2"/>
        </c:manualLayout>
      </c:layout>
      <c:overlay val="0"/>
    </c:title>
    <c:autoTitleDeleted val="0"/>
    <c:plotArea>
      <c:layout>
        <c:manualLayout>
          <c:layoutTarget val="inner"/>
          <c:xMode val="edge"/>
          <c:yMode val="edge"/>
          <c:x val="0.1116824523862794"/>
          <c:y val="0.2002789023229769"/>
          <c:w val="0.86030599585379186"/>
          <c:h val="0.63998108156971967"/>
        </c:manualLayout>
      </c:layout>
      <c:barChart>
        <c:barDir val="col"/>
        <c:grouping val="clustered"/>
        <c:varyColors val="0"/>
        <c:ser>
          <c:idx val="1"/>
          <c:order val="0"/>
          <c:tx>
            <c:strRef>
              <c:f>Évolution!$W$35</c:f>
              <c:strCache>
                <c:ptCount val="1"/>
                <c:pt idx="0">
                  <c:v>Résultat de validité des données</c:v>
                </c:pt>
              </c:strCache>
            </c:strRef>
          </c:tx>
          <c:spPr>
            <a:solidFill>
              <a:srgbClr val="002060"/>
            </a:solidFill>
          </c:spPr>
          <c:invertIfNegative val="0"/>
          <c:dPt>
            <c:idx val="0"/>
            <c:invertIfNegative val="0"/>
            <c:bubble3D val="0"/>
            <c:extLst xmlns:c16r2="http://schemas.microsoft.com/office/drawing/2015/06/chart">
              <c:ext xmlns:c16="http://schemas.microsoft.com/office/drawing/2014/chart" uri="{C3380CC4-5D6E-409C-BE32-E72D297353CC}">
                <c16:uniqueId val="{00000001-716D-46B2-BA72-C4B6340F62AE}"/>
              </c:ext>
            </c:extLst>
          </c:dPt>
          <c:dPt>
            <c:idx val="1"/>
            <c:invertIfNegative val="0"/>
            <c:bubble3D val="0"/>
            <c:extLst xmlns:c16r2="http://schemas.microsoft.com/office/drawing/2015/06/chart">
              <c:ext xmlns:c16="http://schemas.microsoft.com/office/drawing/2014/chart" uri="{C3380CC4-5D6E-409C-BE32-E72D297353CC}">
                <c16:uniqueId val="{00000003-716D-46B2-BA72-C4B6340F62AE}"/>
              </c:ext>
            </c:extLst>
          </c:dPt>
          <c:dPt>
            <c:idx val="2"/>
            <c:invertIfNegative val="0"/>
            <c:bubble3D val="0"/>
            <c:extLst xmlns:c16r2="http://schemas.microsoft.com/office/drawing/2015/06/chart">
              <c:ext xmlns:c16="http://schemas.microsoft.com/office/drawing/2014/chart" uri="{C3380CC4-5D6E-409C-BE32-E72D297353CC}">
                <c16:uniqueId val="{00000005-716D-46B2-BA72-C4B6340F62AE}"/>
              </c:ext>
            </c:extLst>
          </c:dPt>
          <c:dPt>
            <c:idx val="3"/>
            <c:invertIfNegative val="0"/>
            <c:bubble3D val="0"/>
            <c:extLst xmlns:c16r2="http://schemas.microsoft.com/office/drawing/2015/06/chart">
              <c:ext xmlns:c16="http://schemas.microsoft.com/office/drawing/2014/chart" uri="{C3380CC4-5D6E-409C-BE32-E72D297353CC}">
                <c16:uniqueId val="{00000007-716D-46B2-BA72-C4B6340F62AE}"/>
              </c:ext>
            </c:extLst>
          </c:dPt>
          <c:dPt>
            <c:idx val="4"/>
            <c:invertIfNegative val="0"/>
            <c:bubble3D val="0"/>
            <c:extLst xmlns:c16r2="http://schemas.microsoft.com/office/drawing/2015/06/chart">
              <c:ext xmlns:c16="http://schemas.microsoft.com/office/drawing/2014/chart" uri="{C3380CC4-5D6E-409C-BE32-E72D297353CC}">
                <c16:uniqueId val="{00000009-716D-46B2-BA72-C4B6340F62AE}"/>
              </c:ext>
            </c:extLst>
          </c:dPt>
          <c:dPt>
            <c:idx val="5"/>
            <c:invertIfNegative val="0"/>
            <c:bubble3D val="0"/>
            <c:extLst xmlns:c16r2="http://schemas.microsoft.com/office/drawing/2015/06/chart">
              <c:ext xmlns:c16="http://schemas.microsoft.com/office/drawing/2014/chart" uri="{C3380CC4-5D6E-409C-BE32-E72D297353CC}">
                <c16:uniqueId val="{0000000B-716D-46B2-BA72-C4B6340F62AE}"/>
              </c:ext>
            </c:extLst>
          </c:dPt>
          <c:dPt>
            <c:idx val="6"/>
            <c:invertIfNegative val="0"/>
            <c:bubble3D val="0"/>
            <c:extLst xmlns:c16r2="http://schemas.microsoft.com/office/drawing/2015/06/chart">
              <c:ext xmlns:c16="http://schemas.microsoft.com/office/drawing/2014/chart" uri="{C3380CC4-5D6E-409C-BE32-E72D297353CC}">
                <c16:uniqueId val="{0000000D-716D-46B2-BA72-C4B6340F62AE}"/>
              </c:ext>
            </c:extLst>
          </c:dPt>
          <c:dPt>
            <c:idx val="7"/>
            <c:invertIfNegative val="0"/>
            <c:bubble3D val="0"/>
            <c:spPr>
              <a:solidFill>
                <a:srgbClr val="002060"/>
              </a:solidFill>
              <a:ln>
                <a:noFill/>
              </a:ln>
            </c:spPr>
            <c:extLst xmlns:c16r2="http://schemas.microsoft.com/office/drawing/2015/06/chart">
              <c:ext xmlns:c16="http://schemas.microsoft.com/office/drawing/2014/chart" uri="{C3380CC4-5D6E-409C-BE32-E72D297353CC}">
                <c16:uniqueId val="{0000000F-716D-46B2-BA72-C4B6340F62AE}"/>
              </c:ext>
            </c:extLst>
          </c:dPt>
          <c:dLbls>
            <c:dLbl>
              <c:idx val="0"/>
              <c:tx>
                <c:rich>
                  <a:bodyPr/>
                  <a:lstStyle/>
                  <a:p>
                    <a:fld id="{96F830EE-B14E-4EEB-88D8-7926180C051E}" type="CELLRANGE">
                      <a:rPr lang="en-US">
                        <a:solidFill>
                          <a:schemeClr val="accent5">
                            <a:lumMod val="50000"/>
                          </a:schemeClr>
                        </a:solidFill>
                      </a:rPr>
                      <a:pPr/>
                      <a:t>[PLAGECELL]</a:t>
                    </a:fld>
                    <a:endParaRPr lang="fr-C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A7A1D9E-CCCD-4704-A47B-75445AB2EFE3}"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8DEF1CEC-0872-4718-AFD1-0F7559C6EC77}"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tx>
                <c:rich>
                  <a:bodyPr/>
                  <a:lstStyle/>
                  <a:p>
                    <a:fld id="{EA18CC79-F3E0-4648-886F-379FCF9DDF9D}"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bg1"/>
              </a:solidFill>
              <a:ln>
                <a:noFill/>
              </a:ln>
              <a:effectLst/>
            </c:spPr>
            <c:txPr>
              <a:bodyPr wrap="square" lIns="38100" tIns="19050" rIns="38100" bIns="19050" anchor="ctr">
                <a:spAutoFit/>
              </a:bodyPr>
              <a:lstStyle/>
              <a:p>
                <a:pPr>
                  <a:defRPr sz="1200" b="1">
                    <a:solidFill>
                      <a:schemeClr val="accent5">
                        <a:lumMod val="50000"/>
                      </a:schemeClr>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ext>
            </c:extLst>
          </c:dLbls>
          <c:cat>
            <c:strRef>
              <c:f>Évolution!$X$30:$AA$30</c:f>
              <c:strCache>
                <c:ptCount val="4"/>
                <c:pt idx="3">
                  <c:v>Tout le Québec</c:v>
                </c:pt>
              </c:strCache>
            </c:strRef>
          </c:cat>
          <c:val>
            <c:numRef>
              <c:f>Évolution!$X$35:$AA$35</c:f>
              <c:numCache>
                <c:formatCode>0</c:formatCode>
                <c:ptCount val="4"/>
                <c:pt idx="0">
                  <c:v>0</c:v>
                </c:pt>
                <c:pt idx="1">
                  <c:v>0</c:v>
                </c:pt>
                <c:pt idx="2">
                  <c:v>0</c:v>
                </c:pt>
                <c:pt idx="3">
                  <c:v>57.723499076943824</c:v>
                </c:pt>
              </c:numCache>
            </c:numRef>
          </c:val>
          <c:extLst xmlns:c16r2="http://schemas.microsoft.com/office/drawing/2015/06/chart">
            <c:ext xmlns:c16="http://schemas.microsoft.com/office/drawing/2014/chart" uri="{C3380CC4-5D6E-409C-BE32-E72D297353CC}">
              <c16:uniqueId val="{00000010-716D-46B2-BA72-C4B6340F62AE}"/>
            </c:ext>
            <c:ext xmlns:c15="http://schemas.microsoft.com/office/drawing/2012/chart" uri="{02D57815-91ED-43cb-92C2-25804820EDAC}">
              <c15:datalabelsRange>
                <c15:f>Évolution!$X$35:$AA$35</c15:f>
                <c15:dlblRangeCache>
                  <c:ptCount val="4"/>
                  <c:pt idx="3">
                    <c:v>58</c:v>
                  </c:pt>
                </c15:dlblRangeCache>
              </c15:datalabelsRange>
            </c:ext>
          </c:extLst>
        </c:ser>
        <c:dLbls>
          <c:showLegendKey val="0"/>
          <c:showVal val="0"/>
          <c:showCatName val="0"/>
          <c:showSerName val="0"/>
          <c:showPercent val="0"/>
          <c:showBubbleSize val="0"/>
        </c:dLbls>
        <c:gapWidth val="50"/>
        <c:overlap val="100"/>
        <c:axId val="796461296"/>
        <c:axId val="796458944"/>
      </c:barChart>
      <c:catAx>
        <c:axId val="796461296"/>
        <c:scaling>
          <c:orientation val="minMax"/>
        </c:scaling>
        <c:delete val="0"/>
        <c:axPos val="b"/>
        <c:numFmt formatCode="General" sourceLinked="1"/>
        <c:majorTickMark val="none"/>
        <c:minorTickMark val="none"/>
        <c:tickLblPos val="nextTo"/>
        <c:txPr>
          <a:bodyPr rot="0" vert="horz"/>
          <a:lstStyle/>
          <a:p>
            <a:pPr>
              <a:defRPr sz="1200" b="0" i="0" u="none" strike="noStrike" baseline="0">
                <a:solidFill>
                  <a:sysClr val="windowText" lastClr="000000"/>
                </a:solidFill>
                <a:latin typeface="Arial"/>
                <a:ea typeface="Arial"/>
                <a:cs typeface="Arial"/>
              </a:defRPr>
            </a:pPr>
            <a:endParaRPr lang="fr-FR"/>
          </a:p>
        </c:txPr>
        <c:crossAx val="796458944"/>
        <c:crosses val="autoZero"/>
        <c:auto val="1"/>
        <c:lblAlgn val="ctr"/>
        <c:lblOffset val="100"/>
        <c:noMultiLvlLbl val="1"/>
      </c:catAx>
      <c:valAx>
        <c:axId val="796458944"/>
        <c:scaling>
          <c:orientation val="minMax"/>
          <c:max val="100"/>
          <c:min val="0"/>
        </c:scaling>
        <c:delete val="0"/>
        <c:axPos val="l"/>
        <c:title>
          <c:tx>
            <c:rich>
              <a:bodyPr/>
              <a:lstStyle/>
              <a:p>
                <a:pPr>
                  <a:defRPr sz="1200" b="0" i="0" u="none" strike="noStrike" baseline="0">
                    <a:solidFill>
                      <a:sysClr val="windowText" lastClr="000000"/>
                    </a:solidFill>
                    <a:latin typeface="Arial"/>
                    <a:ea typeface="Arial"/>
                    <a:cs typeface="Arial"/>
                  </a:defRPr>
                </a:pPr>
                <a:r>
                  <a:rPr lang="fr-CA" sz="1200" b="0">
                    <a:solidFill>
                      <a:sysClr val="windowText" lastClr="000000"/>
                    </a:solidFill>
                  </a:rPr>
                  <a:t>Résultat</a:t>
                </a:r>
                <a:r>
                  <a:rPr lang="fr-CA" sz="1200" b="0" baseline="0">
                    <a:solidFill>
                      <a:sysClr val="windowText" lastClr="000000"/>
                    </a:solidFill>
                  </a:rPr>
                  <a:t> de validité moyen des audits de l'eau</a:t>
                </a:r>
                <a:endParaRPr lang="fr-CA" sz="1200" b="0">
                  <a:solidFill>
                    <a:sysClr val="windowText" lastClr="000000"/>
                  </a:solidFill>
                </a:endParaRPr>
              </a:p>
            </c:rich>
          </c:tx>
          <c:layout>
            <c:manualLayout>
              <c:xMode val="edge"/>
              <c:yMode val="edge"/>
              <c:x val="3.2084668994951417E-2"/>
              <c:y val="0.12821677882244978"/>
            </c:manualLayout>
          </c:layout>
          <c:overlay val="0"/>
          <c:spPr>
            <a:noFill/>
            <a:ln w="25400">
              <a:noFill/>
            </a:ln>
          </c:spPr>
        </c:title>
        <c:numFmt formatCode="#,##0" sourceLinked="0"/>
        <c:majorTickMark val="out"/>
        <c:minorTickMark val="none"/>
        <c:tickLblPos val="nextTo"/>
        <c:txPr>
          <a:bodyPr/>
          <a:lstStyle/>
          <a:p>
            <a:pPr>
              <a:defRPr sz="1200" b="0">
                <a:solidFill>
                  <a:sysClr val="windowText" lastClr="000000"/>
                </a:solidFill>
                <a:latin typeface="Arial" panose="020B0604020202020204" pitchFamily="34" charset="0"/>
                <a:cs typeface="Arial" panose="020B0604020202020204" pitchFamily="34" charset="0"/>
              </a:defRPr>
            </a:pPr>
            <a:endParaRPr lang="fr-FR"/>
          </a:p>
        </c:txPr>
        <c:crossAx val="796461296"/>
        <c:crosses val="autoZero"/>
        <c:crossBetween val="between"/>
      </c:valAx>
      <c:spPr>
        <a:noFill/>
        <a:ln w="25400">
          <a:noFill/>
        </a:ln>
      </c:spPr>
    </c:plotArea>
    <c:plotVisOnly val="1"/>
    <c:dispBlanksAs val="gap"/>
    <c:showDLblsOverMax val="0"/>
  </c:chart>
  <c:spPr>
    <a:noFill/>
    <a:ln w="6350">
      <a:noFill/>
    </a:ln>
  </c:sp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i="0"/>
            </a:pPr>
            <a:r>
              <a:rPr lang="fr-CA" sz="1400" b="1" i="0" baseline="0">
                <a:effectLst/>
                <a:latin typeface="Arial" panose="020B0604020202020204" pitchFamily="34" charset="0"/>
                <a:cs typeface="Arial" panose="020B0604020202020204" pitchFamily="34" charset="0"/>
              </a:rPr>
              <a:t>Comparaison 2019 de la consommation résidentielle</a:t>
            </a:r>
            <a:endParaRPr lang="en-CA" sz="1400" b="1" i="0">
              <a:effectLst/>
              <a:latin typeface="Arial" panose="020B0604020202020204" pitchFamily="34" charset="0"/>
              <a:cs typeface="Arial" panose="020B0604020202020204" pitchFamily="34" charset="0"/>
            </a:endParaRPr>
          </a:p>
        </c:rich>
      </c:tx>
      <c:layout>
        <c:manualLayout>
          <c:xMode val="edge"/>
          <c:yMode val="edge"/>
          <c:x val="0.30542999999999998"/>
          <c:y val="7.9320555555555561E-2"/>
        </c:manualLayout>
      </c:layout>
      <c:overlay val="0"/>
    </c:title>
    <c:autoTitleDeleted val="0"/>
    <c:plotArea>
      <c:layout>
        <c:manualLayout>
          <c:layoutTarget val="inner"/>
          <c:xMode val="edge"/>
          <c:yMode val="edge"/>
          <c:x val="0.15840225352269946"/>
          <c:y val="0.1974602113240139"/>
          <c:w val="0.83143988915698075"/>
          <c:h val="0.65079976639223414"/>
        </c:manualLayout>
      </c:layout>
      <c:barChart>
        <c:barDir val="col"/>
        <c:grouping val="clustered"/>
        <c:varyColors val="0"/>
        <c:ser>
          <c:idx val="1"/>
          <c:order val="0"/>
          <c:tx>
            <c:strRef>
              <c:f>Évolution!$W$33</c:f>
              <c:strCache>
                <c:ptCount val="1"/>
                <c:pt idx="0">
                  <c:v>Consommation résidentielle (l/pers/d)</c:v>
                </c:pt>
              </c:strCache>
            </c:strRef>
          </c:tx>
          <c:spPr>
            <a:solidFill>
              <a:srgbClr val="002060"/>
            </a:solidFill>
          </c:spPr>
          <c:invertIfNegative val="0"/>
          <c:dPt>
            <c:idx val="0"/>
            <c:invertIfNegative val="0"/>
            <c:bubble3D val="0"/>
            <c:extLst xmlns:c16r2="http://schemas.microsoft.com/office/drawing/2015/06/chart">
              <c:ext xmlns:c16="http://schemas.microsoft.com/office/drawing/2014/chart" uri="{C3380CC4-5D6E-409C-BE32-E72D297353CC}">
                <c16:uniqueId val="{00000001-716D-46B2-BA72-C4B6340F62AE}"/>
              </c:ext>
            </c:extLst>
          </c:dPt>
          <c:dPt>
            <c:idx val="1"/>
            <c:invertIfNegative val="0"/>
            <c:bubble3D val="0"/>
            <c:extLst xmlns:c16r2="http://schemas.microsoft.com/office/drawing/2015/06/chart">
              <c:ext xmlns:c16="http://schemas.microsoft.com/office/drawing/2014/chart" uri="{C3380CC4-5D6E-409C-BE32-E72D297353CC}">
                <c16:uniqueId val="{00000003-716D-46B2-BA72-C4B6340F62AE}"/>
              </c:ext>
            </c:extLst>
          </c:dPt>
          <c:dPt>
            <c:idx val="2"/>
            <c:invertIfNegative val="0"/>
            <c:bubble3D val="0"/>
            <c:extLst xmlns:c16r2="http://schemas.microsoft.com/office/drawing/2015/06/chart">
              <c:ext xmlns:c16="http://schemas.microsoft.com/office/drawing/2014/chart" uri="{C3380CC4-5D6E-409C-BE32-E72D297353CC}">
                <c16:uniqueId val="{00000005-716D-46B2-BA72-C4B6340F62AE}"/>
              </c:ext>
            </c:extLst>
          </c:dPt>
          <c:dPt>
            <c:idx val="3"/>
            <c:invertIfNegative val="0"/>
            <c:bubble3D val="0"/>
            <c:extLst xmlns:c16r2="http://schemas.microsoft.com/office/drawing/2015/06/chart">
              <c:ext xmlns:c16="http://schemas.microsoft.com/office/drawing/2014/chart" uri="{C3380CC4-5D6E-409C-BE32-E72D297353CC}">
                <c16:uniqueId val="{00000007-716D-46B2-BA72-C4B6340F62AE}"/>
              </c:ext>
            </c:extLst>
          </c:dPt>
          <c:dPt>
            <c:idx val="4"/>
            <c:invertIfNegative val="0"/>
            <c:bubble3D val="0"/>
            <c:extLst xmlns:c16r2="http://schemas.microsoft.com/office/drawing/2015/06/chart">
              <c:ext xmlns:c16="http://schemas.microsoft.com/office/drawing/2014/chart" uri="{C3380CC4-5D6E-409C-BE32-E72D297353CC}">
                <c16:uniqueId val="{00000009-716D-46B2-BA72-C4B6340F62AE}"/>
              </c:ext>
            </c:extLst>
          </c:dPt>
          <c:dPt>
            <c:idx val="5"/>
            <c:invertIfNegative val="0"/>
            <c:bubble3D val="0"/>
            <c:extLst xmlns:c16r2="http://schemas.microsoft.com/office/drawing/2015/06/chart">
              <c:ext xmlns:c16="http://schemas.microsoft.com/office/drawing/2014/chart" uri="{C3380CC4-5D6E-409C-BE32-E72D297353CC}">
                <c16:uniqueId val="{0000000B-716D-46B2-BA72-C4B6340F62AE}"/>
              </c:ext>
            </c:extLst>
          </c:dPt>
          <c:dPt>
            <c:idx val="6"/>
            <c:invertIfNegative val="0"/>
            <c:bubble3D val="0"/>
            <c:extLst xmlns:c16r2="http://schemas.microsoft.com/office/drawing/2015/06/chart">
              <c:ext xmlns:c16="http://schemas.microsoft.com/office/drawing/2014/chart" uri="{C3380CC4-5D6E-409C-BE32-E72D297353CC}">
                <c16:uniqueId val="{0000000D-716D-46B2-BA72-C4B6340F62AE}"/>
              </c:ext>
            </c:extLst>
          </c:dPt>
          <c:dPt>
            <c:idx val="7"/>
            <c:invertIfNegative val="0"/>
            <c:bubble3D val="0"/>
            <c:spPr>
              <a:solidFill>
                <a:srgbClr val="002060"/>
              </a:solidFill>
              <a:ln>
                <a:noFill/>
              </a:ln>
            </c:spPr>
            <c:extLst xmlns:c16r2="http://schemas.microsoft.com/office/drawing/2015/06/chart">
              <c:ext xmlns:c16="http://schemas.microsoft.com/office/drawing/2014/chart" uri="{C3380CC4-5D6E-409C-BE32-E72D297353CC}">
                <c16:uniqueId val="{0000000F-716D-46B2-BA72-C4B6340F62AE}"/>
              </c:ext>
            </c:extLst>
          </c:dPt>
          <c:dLbls>
            <c:dLbl>
              <c:idx val="0"/>
              <c:tx>
                <c:rich>
                  <a:bodyPr/>
                  <a:lstStyle/>
                  <a:p>
                    <a:fld id="{931B615A-80DA-4AA7-8632-DC54A98C594B}" type="CELLRANGE">
                      <a:rPr lang="en-US"/>
                      <a:pPr/>
                      <a:t>[PLAGECELL]</a:t>
                    </a:fld>
                    <a:endParaRPr lang="fr-C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DD62F1E-BACE-4DDA-B293-DD87C349376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5C917DBB-FD81-4F4E-B167-866302D4525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tx>
                <c:rich>
                  <a:bodyPr/>
                  <a:lstStyle/>
                  <a:p>
                    <a:fld id="{5D215E1D-7099-4C71-A565-495A586B756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bg1"/>
              </a:solidFill>
              <a:ln>
                <a:noFill/>
              </a:ln>
              <a:effectLst/>
            </c:spPr>
            <c:txPr>
              <a:bodyPr wrap="square" lIns="38100" tIns="19050" rIns="38100" bIns="19050" anchor="ctr">
                <a:spAutoFit/>
              </a:bodyPr>
              <a:lstStyle/>
              <a:p>
                <a:pPr>
                  <a:defRPr sz="1200" b="1">
                    <a:solidFill>
                      <a:srgbClr val="002060"/>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ext>
            </c:extLst>
          </c:dLbls>
          <c:cat>
            <c:strRef>
              <c:f>Évolution!$X$30:$AA$30</c:f>
              <c:strCache>
                <c:ptCount val="4"/>
                <c:pt idx="3">
                  <c:v>Tout le Québec</c:v>
                </c:pt>
              </c:strCache>
            </c:strRef>
          </c:cat>
          <c:val>
            <c:numRef>
              <c:f>Évolution!$X$33:$AA$33</c:f>
              <c:numCache>
                <c:formatCode>#,##0</c:formatCode>
                <c:ptCount val="4"/>
                <c:pt idx="0">
                  <c:v>0</c:v>
                </c:pt>
                <c:pt idx="1">
                  <c:v>0</c:v>
                </c:pt>
                <c:pt idx="2">
                  <c:v>0</c:v>
                </c:pt>
                <c:pt idx="3">
                  <c:v>262.03759569882743</c:v>
                </c:pt>
              </c:numCache>
            </c:numRef>
          </c:val>
          <c:extLst xmlns:c16r2="http://schemas.microsoft.com/office/drawing/2015/06/chart">
            <c:ext xmlns:c16="http://schemas.microsoft.com/office/drawing/2014/chart" uri="{C3380CC4-5D6E-409C-BE32-E72D297353CC}">
              <c16:uniqueId val="{00000010-716D-46B2-BA72-C4B6340F62AE}"/>
            </c:ext>
            <c:ext xmlns:c15="http://schemas.microsoft.com/office/drawing/2012/chart" uri="{02D57815-91ED-43cb-92C2-25804820EDAC}">
              <c15:datalabelsRange>
                <c15:f>Évolution!$X$33:$AA$33</c15:f>
                <c15:dlblRangeCache>
                  <c:ptCount val="4"/>
                  <c:pt idx="3">
                    <c:v>262</c:v>
                  </c:pt>
                </c15:dlblRangeCache>
              </c15:datalabelsRange>
            </c:ext>
          </c:extLst>
        </c:ser>
        <c:dLbls>
          <c:showLegendKey val="0"/>
          <c:showVal val="0"/>
          <c:showCatName val="0"/>
          <c:showSerName val="0"/>
          <c:showPercent val="0"/>
          <c:showBubbleSize val="0"/>
        </c:dLbls>
        <c:gapWidth val="50"/>
        <c:overlap val="100"/>
        <c:axId val="794385624"/>
        <c:axId val="794384840"/>
      </c:barChart>
      <c:catAx>
        <c:axId val="794385624"/>
        <c:scaling>
          <c:orientation val="minMax"/>
        </c:scaling>
        <c:delete val="0"/>
        <c:axPos val="b"/>
        <c:numFmt formatCode="General" sourceLinked="1"/>
        <c:majorTickMark val="none"/>
        <c:minorTickMark val="none"/>
        <c:tickLblPos val="nextTo"/>
        <c:txPr>
          <a:bodyPr rot="0" vert="horz"/>
          <a:lstStyle/>
          <a:p>
            <a:pPr>
              <a:defRPr sz="1200" b="0" i="0" u="none" strike="noStrike" baseline="0">
                <a:solidFill>
                  <a:sysClr val="windowText" lastClr="000000"/>
                </a:solidFill>
                <a:latin typeface="Arial"/>
                <a:ea typeface="Arial"/>
                <a:cs typeface="Arial"/>
              </a:defRPr>
            </a:pPr>
            <a:endParaRPr lang="fr-FR"/>
          </a:p>
        </c:txPr>
        <c:crossAx val="794384840"/>
        <c:crosses val="autoZero"/>
        <c:auto val="1"/>
        <c:lblAlgn val="ctr"/>
        <c:lblOffset val="100"/>
        <c:noMultiLvlLbl val="1"/>
      </c:catAx>
      <c:valAx>
        <c:axId val="794384840"/>
        <c:scaling>
          <c:orientation val="minMax"/>
          <c:min val="0"/>
        </c:scaling>
        <c:delete val="0"/>
        <c:axPos val="l"/>
        <c:title>
          <c:tx>
            <c:rich>
              <a:bodyPr/>
              <a:lstStyle/>
              <a:p>
                <a:pPr>
                  <a:defRPr sz="1200" b="0" i="0" u="none" strike="noStrike" baseline="0">
                    <a:solidFill>
                      <a:sysClr val="windowText" lastClr="000000"/>
                    </a:solidFill>
                    <a:latin typeface="Arial"/>
                    <a:ea typeface="Arial"/>
                    <a:cs typeface="Arial"/>
                  </a:defRPr>
                </a:pPr>
                <a:r>
                  <a:rPr lang="fr-CA" sz="1200" b="0">
                    <a:solidFill>
                      <a:sysClr val="windowText" lastClr="000000"/>
                    </a:solidFill>
                  </a:rPr>
                  <a:t>Consommation résidentielle</a:t>
                </a:r>
              </a:p>
              <a:p>
                <a:pPr>
                  <a:defRPr sz="1200" b="0" i="0" u="none" strike="noStrike" baseline="0">
                    <a:solidFill>
                      <a:sysClr val="windowText" lastClr="000000"/>
                    </a:solidFill>
                    <a:latin typeface="Arial"/>
                    <a:ea typeface="Arial"/>
                    <a:cs typeface="Arial"/>
                  </a:defRPr>
                </a:pPr>
                <a:r>
                  <a:rPr lang="fr-CA" sz="1200" b="0">
                    <a:solidFill>
                      <a:sysClr val="windowText" lastClr="000000"/>
                    </a:solidFill>
                  </a:rPr>
                  <a:t>[L/pers/d]</a:t>
                </a:r>
              </a:p>
            </c:rich>
          </c:tx>
          <c:layout>
            <c:manualLayout>
              <c:xMode val="edge"/>
              <c:yMode val="edge"/>
              <c:x val="2.4967739595520566E-2"/>
              <c:y val="0.22100145572573851"/>
            </c:manualLayout>
          </c:layout>
          <c:overlay val="0"/>
          <c:spPr>
            <a:noFill/>
            <a:ln w="25400">
              <a:noFill/>
            </a:ln>
          </c:spPr>
        </c:title>
        <c:numFmt formatCode="#,##0" sourceLinked="0"/>
        <c:majorTickMark val="out"/>
        <c:minorTickMark val="none"/>
        <c:tickLblPos val="nextTo"/>
        <c:txPr>
          <a:bodyPr/>
          <a:lstStyle/>
          <a:p>
            <a:pPr>
              <a:defRPr sz="1200" b="0">
                <a:solidFill>
                  <a:sysClr val="windowText" lastClr="000000"/>
                </a:solidFill>
                <a:latin typeface="Arial" panose="020B0604020202020204" pitchFamily="34" charset="0"/>
                <a:cs typeface="Arial" panose="020B0604020202020204" pitchFamily="34" charset="0"/>
              </a:defRPr>
            </a:pPr>
            <a:endParaRPr lang="fr-FR"/>
          </a:p>
        </c:txPr>
        <c:crossAx val="794385624"/>
        <c:crosses val="autoZero"/>
        <c:crossBetween val="between"/>
      </c:valAx>
      <c:spPr>
        <a:noFill/>
        <a:ln w="6350">
          <a:noFill/>
        </a:ln>
      </c:spPr>
    </c:plotArea>
    <c:plotVisOnly val="1"/>
    <c:dispBlanksAs val="gap"/>
    <c:showDLblsOverMax val="0"/>
  </c:chart>
  <c:spPr>
    <a:solidFill>
      <a:srgbClr val="FFFFFF"/>
    </a:solidFill>
    <a:ln w="6350">
      <a:noFill/>
    </a:ln>
  </c:spPr>
  <c:printSettings>
    <c:headerFooter alignWithMargins="0"/>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Proportion des branchements de service non résidentiels</a:t>
            </a:r>
          </a:p>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équipés de compteurs et</a:t>
            </a:r>
            <a:r>
              <a:rPr lang="en-US" sz="1400" b="1" baseline="0">
                <a:latin typeface="Arial" panose="020B0604020202020204" pitchFamily="34" charset="0"/>
                <a:cs typeface="Arial" panose="020B0604020202020204" pitchFamily="34" charset="0"/>
              </a:rPr>
              <a:t> sans compteurs</a:t>
            </a:r>
          </a:p>
        </c:rich>
      </c:tx>
      <c:layout>
        <c:manualLayout>
          <c:xMode val="edge"/>
          <c:yMode val="edge"/>
          <c:x val="0.27340656188286366"/>
          <c:y val="2.5717022604862684E-4"/>
        </c:manualLayout>
      </c:layout>
      <c:overlay val="0"/>
    </c:title>
    <c:autoTitleDeleted val="0"/>
    <c:plotArea>
      <c:layout>
        <c:manualLayout>
          <c:layoutTarget val="inner"/>
          <c:xMode val="edge"/>
          <c:yMode val="edge"/>
          <c:x val="0.40222812126397439"/>
          <c:y val="0.23133049398887609"/>
          <c:w val="0.3249723244943814"/>
          <c:h val="0.5443795648969324"/>
        </c:manualLayout>
      </c:layout>
      <c:pieChart>
        <c:varyColors val="1"/>
        <c:ser>
          <c:idx val="0"/>
          <c:order val="0"/>
          <c:tx>
            <c:strRef>
              <c:f>Évolution!$X$88</c:f>
              <c:strCache>
                <c:ptCount val="1"/>
                <c:pt idx="0">
                  <c:v>Branchements</c:v>
                </c:pt>
              </c:strCache>
            </c:strRef>
          </c:tx>
          <c:spPr>
            <a:solidFill>
              <a:srgbClr val="002060"/>
            </a:solidFill>
            <a:ln w="25400">
              <a:noFill/>
            </a:ln>
          </c:spPr>
          <c:explosion val="5"/>
          <c:dPt>
            <c:idx val="0"/>
            <c:bubble3D val="0"/>
            <c:spPr>
              <a:solidFill>
                <a:srgbClr val="6087CC"/>
              </a:solidFill>
              <a:ln w="25400">
                <a:noFill/>
              </a:ln>
            </c:spPr>
            <c:extLst xmlns:c16r2="http://schemas.microsoft.com/office/drawing/2015/06/chart">
              <c:ext xmlns:c16="http://schemas.microsoft.com/office/drawing/2014/chart" uri="{C3380CC4-5D6E-409C-BE32-E72D297353CC}">
                <c16:uniqueId val="{00000001-2B5C-4268-9D00-299D0378E879}"/>
              </c:ext>
            </c:extLst>
          </c:dPt>
          <c:dPt>
            <c:idx val="1"/>
            <c:bubble3D val="0"/>
            <c:extLst xmlns:c16r2="http://schemas.microsoft.com/office/drawing/2015/06/chart">
              <c:ext xmlns:c16="http://schemas.microsoft.com/office/drawing/2014/chart" uri="{C3380CC4-5D6E-409C-BE32-E72D297353CC}">
                <c16:uniqueId val="{00000003-2B5C-4268-9D00-299D0378E879}"/>
              </c:ext>
            </c:extLst>
          </c:dPt>
          <c:dLbls>
            <c:dLbl>
              <c:idx val="0"/>
              <c:layout>
                <c:manualLayout>
                  <c:x val="1.6128472954418719E-2"/>
                  <c:y val="5.8848043862086231E-2"/>
                </c:manualLayout>
              </c:layout>
              <c:tx>
                <c:rich>
                  <a:bodyPr wrap="square" lIns="38100" tIns="19050" rIns="38100" bIns="19050" anchor="ctr">
                    <a:spAutoFit/>
                  </a:bodyPr>
                  <a:lstStyle/>
                  <a:p>
                    <a:pPr>
                      <a:defRPr sz="1200" b="1">
                        <a:solidFill>
                          <a:srgbClr val="6087CC"/>
                        </a:solidFill>
                      </a:defRPr>
                    </a:pPr>
                    <a:fld id="{CABBAE02-E4C0-40C5-BA15-54574D78D743}" type="CELLRANGE">
                      <a:rPr lang="en-US">
                        <a:solidFill>
                          <a:srgbClr val="6087CC"/>
                        </a:solidFill>
                      </a:rPr>
                      <a:pPr>
                        <a:defRPr sz="1200" b="1">
                          <a:solidFill>
                            <a:srgbClr val="6087CC"/>
                          </a:solidFill>
                        </a:defRPr>
                      </a:pPr>
                      <a:t>[PLAGECELL]</a:t>
                    </a:fld>
                    <a:endParaRPr lang="fr-CA"/>
                  </a:p>
                </c:rich>
              </c:tx>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1"/>
                </c:ext>
              </c:extLst>
            </c:dLbl>
            <c:dLbl>
              <c:idx val="1"/>
              <c:tx>
                <c:rich>
                  <a:bodyPr wrap="square" lIns="38100" tIns="19050" rIns="38100" bIns="19050" anchor="ctr">
                    <a:spAutoFit/>
                  </a:bodyPr>
                  <a:lstStyle/>
                  <a:p>
                    <a:pPr>
                      <a:defRPr sz="1200" b="1">
                        <a:solidFill>
                          <a:srgbClr val="002060"/>
                        </a:solidFill>
                      </a:defRPr>
                    </a:pPr>
                    <a:fld id="{F1F2FFB6-0E18-4132-81C3-9CD3E3A434E9}" type="CELLRANGE">
                      <a:rPr lang="en-US">
                        <a:solidFill>
                          <a:srgbClr val="002060"/>
                        </a:solidFill>
                      </a:rPr>
                      <a:pPr>
                        <a:defRPr sz="1200" b="1">
                          <a:solidFill>
                            <a:srgbClr val="002060"/>
                          </a:solidFill>
                        </a:defRPr>
                      </a:pPr>
                      <a:t>[PLAGECELL]</a:t>
                    </a:fld>
                    <a:endParaRPr lang="fr-CA"/>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1"/>
                </c:ext>
              </c:extLst>
            </c:dLbl>
            <c:spPr>
              <a:solidFill>
                <a:sysClr val="window" lastClr="FFFFFF"/>
              </a:solidFill>
              <a:ln>
                <a:noFill/>
              </a:ln>
              <a:effectLst/>
            </c:spPr>
            <c:txPr>
              <a:bodyPr wrap="square" lIns="38100" tIns="19050" rIns="38100" bIns="19050" anchor="ctr">
                <a:spAutoFit/>
              </a:bodyPr>
              <a:lstStyle/>
              <a:p>
                <a:pPr>
                  <a:defRPr sz="1200"/>
                </a:pPr>
                <a:endParaRPr lang="fr-FR"/>
              </a:p>
            </c:txPr>
            <c:dLblPos val="outEnd"/>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c15:spPr>
                <c15:showDataLabelsRange val="1"/>
              </c:ext>
            </c:extLst>
          </c:dLbls>
          <c:cat>
            <c:strRef>
              <c:f>Évolution!$W$89:$W$90</c:f>
              <c:strCache>
                <c:ptCount val="2"/>
                <c:pt idx="0">
                  <c:v>51 910 branchements sans compteurs (42%)</c:v>
                </c:pt>
                <c:pt idx="1">
                  <c:v>70 508 branchements équipés de compteurs (58%)</c:v>
                </c:pt>
              </c:strCache>
            </c:strRef>
          </c:cat>
          <c:val>
            <c:numRef>
              <c:f>Évolution!$X$89:$X$90</c:f>
              <c:numCache>
                <c:formatCode>#,##0</c:formatCode>
                <c:ptCount val="2"/>
                <c:pt idx="0">
                  <c:v>51910</c:v>
                </c:pt>
                <c:pt idx="1">
                  <c:v>70508</c:v>
                </c:pt>
              </c:numCache>
            </c:numRef>
          </c:val>
          <c:extLst xmlns:c16r2="http://schemas.microsoft.com/office/drawing/2015/06/chart">
            <c:ext xmlns:c16="http://schemas.microsoft.com/office/drawing/2014/chart" uri="{C3380CC4-5D6E-409C-BE32-E72D297353CC}">
              <c16:uniqueId val="{00000004-2B5C-4268-9D00-299D0378E879}"/>
            </c:ext>
            <c:ext xmlns:c15="http://schemas.microsoft.com/office/drawing/2012/chart" uri="{02D57815-91ED-43cb-92C2-25804820EDAC}">
              <c15:datalabelsRange>
                <c15:f>Évolution!$W$89:$W$90</c15:f>
                <c15:dlblRangeCache>
                  <c:ptCount val="2"/>
                  <c:pt idx="0">
                    <c:v>51 910 branchements sans compteurs (42%)</c:v>
                  </c:pt>
                  <c:pt idx="1">
                    <c:v>70 508 branchements équipés de compteurs (58%)</c:v>
                  </c:pt>
                </c15:dlblRangeCache>
              </c15:datalabelsRange>
            </c:ext>
          </c:extLst>
        </c:ser>
        <c:dLbls>
          <c:showLegendKey val="0"/>
          <c:showVal val="0"/>
          <c:showCatName val="0"/>
          <c:showSerName val="0"/>
          <c:showPercent val="0"/>
          <c:showBubbleSize val="0"/>
          <c:showLeaderLines val="0"/>
        </c:dLbls>
        <c:firstSliceAng val="330"/>
      </c:pieChart>
      <c:spPr>
        <a:noFill/>
        <a:ln w="25400">
          <a:noFill/>
        </a:ln>
      </c:spPr>
    </c:plotArea>
    <c:plotVisOnly val="1"/>
    <c:dispBlanksAs val="zero"/>
    <c:showDLblsOverMax val="0"/>
  </c:chart>
  <c:spPr>
    <a:noFill/>
    <a:ln w="6350">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Arial" panose="020B0604020202020204" pitchFamily="34" charset="0"/>
                <a:cs typeface="Arial" panose="020B0604020202020204" pitchFamily="34" charset="0"/>
              </a:defRPr>
            </a:pPr>
            <a:r>
              <a:rPr lang="en-US" sz="1400" b="1" i="0" baseline="0">
                <a:effectLst/>
              </a:rPr>
              <a:t>Proportion des branchements de service résidentiels</a:t>
            </a:r>
            <a:endParaRPr lang="fr-CA" sz="1400" b="1">
              <a:effectLst/>
            </a:endParaRPr>
          </a:p>
          <a:p>
            <a:pPr>
              <a:defRPr sz="1400" b="1">
                <a:latin typeface="Arial" panose="020B0604020202020204" pitchFamily="34" charset="0"/>
                <a:cs typeface="Arial" panose="020B0604020202020204" pitchFamily="34" charset="0"/>
              </a:defRPr>
            </a:pPr>
            <a:r>
              <a:rPr lang="en-US" sz="1400" b="1" i="0" baseline="0">
                <a:effectLst/>
              </a:rPr>
              <a:t>équipés de compteurs et sans compteurs</a:t>
            </a:r>
            <a:endParaRPr lang="fr-CA" sz="1400" b="1">
              <a:effectLst/>
            </a:endParaRPr>
          </a:p>
        </c:rich>
      </c:tx>
      <c:layout>
        <c:manualLayout>
          <c:xMode val="edge"/>
          <c:yMode val="edge"/>
          <c:x val="0.2408353125106909"/>
          <c:y val="0"/>
        </c:manualLayout>
      </c:layout>
      <c:overlay val="0"/>
    </c:title>
    <c:autoTitleDeleted val="0"/>
    <c:plotArea>
      <c:layout>
        <c:manualLayout>
          <c:layoutTarget val="inner"/>
          <c:xMode val="edge"/>
          <c:yMode val="edge"/>
          <c:x val="0.3781727225220155"/>
          <c:y val="0.24125952340223955"/>
          <c:w val="0.32825521655640316"/>
          <c:h val="0.51752882373009179"/>
        </c:manualLayout>
      </c:layout>
      <c:pieChart>
        <c:varyColors val="1"/>
        <c:ser>
          <c:idx val="0"/>
          <c:order val="0"/>
          <c:tx>
            <c:strRef>
              <c:f>Évolution!$X$93</c:f>
              <c:strCache>
                <c:ptCount val="1"/>
                <c:pt idx="0">
                  <c:v>Immeubles</c:v>
                </c:pt>
              </c:strCache>
            </c:strRef>
          </c:tx>
          <c:spPr>
            <a:solidFill>
              <a:srgbClr val="002060"/>
            </a:solidFill>
            <a:ln w="25400">
              <a:noFill/>
            </a:ln>
          </c:spPr>
          <c:explosion val="5"/>
          <c:dPt>
            <c:idx val="0"/>
            <c:bubble3D val="0"/>
            <c:extLst xmlns:c16r2="http://schemas.microsoft.com/office/drawing/2015/06/chart">
              <c:ext xmlns:c16="http://schemas.microsoft.com/office/drawing/2014/chart" uri="{C3380CC4-5D6E-409C-BE32-E72D297353CC}">
                <c16:uniqueId val="{00000001-A7D6-4C68-82E4-DC09BA6DDA3D}"/>
              </c:ext>
            </c:extLst>
          </c:dPt>
          <c:dPt>
            <c:idx val="1"/>
            <c:bubble3D val="0"/>
            <c:spPr>
              <a:solidFill>
                <a:srgbClr val="6087CC"/>
              </a:solidFill>
              <a:ln w="25400">
                <a:noFill/>
              </a:ln>
            </c:spPr>
            <c:extLst xmlns:c16r2="http://schemas.microsoft.com/office/drawing/2015/06/chart">
              <c:ext xmlns:c16="http://schemas.microsoft.com/office/drawing/2014/chart" uri="{C3380CC4-5D6E-409C-BE32-E72D297353CC}">
                <c16:uniqueId val="{00000003-A7D6-4C68-82E4-DC09BA6DDA3D}"/>
              </c:ext>
            </c:extLst>
          </c:dPt>
          <c:dPt>
            <c:idx val="3"/>
            <c:bubble3D val="0"/>
            <c:extLst xmlns:c16r2="http://schemas.microsoft.com/office/drawing/2015/06/chart">
              <c:ext xmlns:c16="http://schemas.microsoft.com/office/drawing/2014/chart" uri="{C3380CC4-5D6E-409C-BE32-E72D297353CC}">
                <c16:uniqueId val="{00000005-A7D6-4C68-82E4-DC09BA6DDA3D}"/>
              </c:ext>
            </c:extLst>
          </c:dPt>
          <c:dLbls>
            <c:dLbl>
              <c:idx val="0"/>
              <c:tx>
                <c:rich>
                  <a:bodyPr wrap="square" lIns="38100" tIns="19050" rIns="38100" bIns="19050" anchor="ctr">
                    <a:spAutoFit/>
                  </a:bodyPr>
                  <a:lstStyle/>
                  <a:p>
                    <a:pPr>
                      <a:defRPr sz="1200" b="1">
                        <a:solidFill>
                          <a:srgbClr val="002060"/>
                        </a:solidFill>
                      </a:defRPr>
                    </a:pPr>
                    <a:fld id="{9E76C6C4-6006-4789-8B00-D5054D62D504}" type="CELLRANGE">
                      <a:rPr lang="en-US"/>
                      <a:pPr>
                        <a:defRPr sz="1200" b="1">
                          <a:solidFill>
                            <a:srgbClr val="002060"/>
                          </a:solidFill>
                        </a:defRPr>
                      </a:pPr>
                      <a:t>[PLAGECELL]</a:t>
                    </a:fld>
                    <a:endParaRPr lang="fr-CA"/>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wrap="square" lIns="38100" tIns="19050" rIns="38100" bIns="19050" anchor="ctr">
                    <a:spAutoFit/>
                  </a:bodyPr>
                  <a:lstStyle/>
                  <a:p>
                    <a:pPr>
                      <a:defRPr sz="1200" b="1">
                        <a:solidFill>
                          <a:srgbClr val="6087CC"/>
                        </a:solidFill>
                      </a:defRPr>
                    </a:pPr>
                    <a:fld id="{610186FD-724A-490F-B643-4662B14045AF}" type="CELLRANGE">
                      <a:rPr lang="en-US"/>
                      <a:pPr>
                        <a:defRPr sz="1200" b="1">
                          <a:solidFill>
                            <a:srgbClr val="6087CC"/>
                          </a:solidFill>
                        </a:defRPr>
                      </a:pPr>
                      <a:t>[PLAGECELL]</a:t>
                    </a:fld>
                    <a:endParaRPr lang="fr-CA"/>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strRef>
              <c:f>Évolution!$W$94:$W$95</c:f>
              <c:strCache>
                <c:ptCount val="2"/>
                <c:pt idx="0">
                  <c:v>1 567 086 branchements sans compteurs (87%)</c:v>
                </c:pt>
                <c:pt idx="1">
                  <c:v>243 369 branchements équipés de compteurs (13%)</c:v>
                </c:pt>
              </c:strCache>
            </c:strRef>
          </c:cat>
          <c:val>
            <c:numRef>
              <c:f>Évolution!$X$94:$X$95</c:f>
              <c:numCache>
                <c:formatCode>#,##0</c:formatCode>
                <c:ptCount val="2"/>
                <c:pt idx="0">
                  <c:v>1567086</c:v>
                </c:pt>
                <c:pt idx="1">
                  <c:v>243369</c:v>
                </c:pt>
              </c:numCache>
            </c:numRef>
          </c:val>
          <c:extLst xmlns:c16r2="http://schemas.microsoft.com/office/drawing/2015/06/chart">
            <c:ext xmlns:c16="http://schemas.microsoft.com/office/drawing/2014/chart" uri="{C3380CC4-5D6E-409C-BE32-E72D297353CC}">
              <c16:uniqueId val="{00000007-A7D6-4C68-82E4-DC09BA6DDA3D}"/>
            </c:ext>
            <c:ext xmlns:c15="http://schemas.microsoft.com/office/drawing/2012/chart" uri="{02D57815-91ED-43cb-92C2-25804820EDAC}">
              <c15:datalabelsRange>
                <c15:f>Évolution!$W$94:$W$95</c15:f>
                <c15:dlblRangeCache>
                  <c:ptCount val="2"/>
                  <c:pt idx="0">
                    <c:v>1 567 086 branchements sans compteurs (87%)</c:v>
                  </c:pt>
                  <c:pt idx="1">
                    <c:v>243 369 branchements équipés de compteurs (13%)</c:v>
                  </c:pt>
                </c15:dlblRangeCache>
              </c15:datalabelsRange>
            </c:ext>
          </c:extLst>
        </c:ser>
        <c:dLbls>
          <c:showLegendKey val="0"/>
          <c:showVal val="0"/>
          <c:showCatName val="0"/>
          <c:showSerName val="0"/>
          <c:showPercent val="0"/>
          <c:showBubbleSize val="0"/>
          <c:showLeaderLines val="0"/>
        </c:dLbls>
        <c:firstSliceAng val="330"/>
      </c:pieChart>
      <c:spPr>
        <a:noFill/>
        <a:ln w="25400">
          <a:noFill/>
        </a:ln>
      </c:spPr>
    </c:plotArea>
    <c:plotVisOnly val="1"/>
    <c:dispBlanksAs val="zero"/>
    <c:showDLblsOverMax val="0"/>
  </c:chart>
  <c:spPr>
    <a:noFill/>
    <a:ln w="6350">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orientation="landscape" horizontalDpi="200" verticalDpi="2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CA" sz="1400" b="1" i="0" u="none" strike="noStrike" kern="1200" spc="0" baseline="0">
                <a:solidFill>
                  <a:sysClr val="windowText" lastClr="000000"/>
                </a:solidFill>
                <a:effectLst/>
                <a:latin typeface="Arial" panose="020B0604020202020204" pitchFamily="34" charset="0"/>
                <a:ea typeface="+mn-ea"/>
                <a:cs typeface="Arial" panose="020B0604020202020204" pitchFamily="34" charset="0"/>
              </a:defRPr>
            </a:pPr>
            <a:r>
              <a:rPr lang="fr-CA" sz="1400" b="1" i="0" u="none" strike="noStrike" kern="1200" baseline="0">
                <a:solidFill>
                  <a:sysClr val="windowText" lastClr="000000"/>
                </a:solidFill>
                <a:effectLst/>
                <a:latin typeface="Arial" panose="020B0604020202020204" pitchFamily="34" charset="0"/>
                <a:ea typeface="+mn-ea"/>
                <a:cs typeface="Arial" panose="020B0604020202020204" pitchFamily="34" charset="0"/>
              </a:rPr>
              <a:t>Comparaison 2019 de la quantité d'eau distribuée</a:t>
            </a:r>
          </a:p>
        </c:rich>
      </c:tx>
      <c:layout>
        <c:manualLayout>
          <c:xMode val="edge"/>
          <c:yMode val="edge"/>
          <c:x val="0.31341687123290601"/>
          <c:y val="5.7868510553804264E-2"/>
        </c:manualLayout>
      </c:layout>
      <c:overlay val="0"/>
      <c:spPr>
        <a:noFill/>
        <a:ln>
          <a:noFill/>
        </a:ln>
        <a:effectLst/>
      </c:spPr>
      <c:txPr>
        <a:bodyPr rot="0" spcFirstLastPara="1" vertOverflow="ellipsis" vert="horz" wrap="square" anchor="ctr" anchorCtr="1"/>
        <a:lstStyle/>
        <a:p>
          <a:pPr algn="ctr" rtl="0">
            <a:defRPr lang="fr-CA" sz="1400" b="1" i="0" u="none" strike="noStrike" kern="1200" spc="0" baseline="0">
              <a:solidFill>
                <a:sysClr val="windowText" lastClr="000000"/>
              </a:solidFill>
              <a:effectLst/>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2982704927149374"/>
          <c:y val="0.15475144544997488"/>
          <c:w val="0.84785408051611766"/>
          <c:h val="0.68781862745098044"/>
        </c:manualLayout>
      </c:layout>
      <c:barChart>
        <c:barDir val="col"/>
        <c:grouping val="clustered"/>
        <c:varyColors val="0"/>
        <c:ser>
          <c:idx val="0"/>
          <c:order val="0"/>
          <c:tx>
            <c:strRef>
              <c:f>Évolution!$W$31</c:f>
              <c:strCache>
                <c:ptCount val="1"/>
                <c:pt idx="0">
                  <c:v>Quantité d'eau distribuée par personne (l/pers/d)</c:v>
                </c:pt>
              </c:strCache>
            </c:strRef>
          </c:tx>
          <c:spPr>
            <a:solidFill>
              <a:srgbClr val="002060"/>
            </a:solidFill>
            <a:ln>
              <a:noFill/>
            </a:ln>
            <a:effectLst/>
          </c:spPr>
          <c:invertIfNegative val="0"/>
          <c:dPt>
            <c:idx val="0"/>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1-6EA2-45EC-9F60-9A2665101CBE}"/>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6EA2-45EC-9F60-9A2665101CBE}"/>
              </c:ext>
            </c:extLst>
          </c:dPt>
          <c:dPt>
            <c:idx val="2"/>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5-6EA2-45EC-9F60-9A2665101CBE}"/>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6EA2-45EC-9F60-9A2665101CBE}"/>
              </c:ext>
            </c:extLst>
          </c:dPt>
          <c:dLbls>
            <c:dLbl>
              <c:idx val="0"/>
              <c:tx>
                <c:rich>
                  <a:bodyPr/>
                  <a:lstStyle/>
                  <a:p>
                    <a:fld id="{554D6267-BE16-45FD-8EEA-0C13898D446D}"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45AF32B-4623-4652-961B-BF8A93879044}"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2CE86F30-77A1-48A7-B878-10C18CDBB977}"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tx>
                <c:rich>
                  <a:bodyPr/>
                  <a:lstStyle/>
                  <a:p>
                    <a:fld id="{1595C5E6-532A-4152-A075-81D56B8694C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strRef>
              <c:f>Évolution!$X$30:$AA$30</c:f>
              <c:strCache>
                <c:ptCount val="4"/>
                <c:pt idx="3">
                  <c:v>Tout le Québec</c:v>
                </c:pt>
              </c:strCache>
            </c:strRef>
          </c:cat>
          <c:val>
            <c:numRef>
              <c:f>Évolution!$X$31:$AA$31</c:f>
              <c:numCache>
                <c:formatCode>#,##0</c:formatCode>
                <c:ptCount val="4"/>
                <c:pt idx="0">
                  <c:v>0</c:v>
                </c:pt>
                <c:pt idx="1">
                  <c:v>0</c:v>
                </c:pt>
                <c:pt idx="2">
                  <c:v>0</c:v>
                </c:pt>
                <c:pt idx="3">
                  <c:v>524.50800277549979</c:v>
                </c:pt>
              </c:numCache>
            </c:numRef>
          </c:val>
          <c:extLst xmlns:c16r2="http://schemas.microsoft.com/office/drawing/2015/06/chart">
            <c:ext xmlns:c16="http://schemas.microsoft.com/office/drawing/2014/chart" uri="{C3380CC4-5D6E-409C-BE32-E72D297353CC}">
              <c16:uniqueId val="{00000009-6EA2-45EC-9F60-9A2665101CBE}"/>
            </c:ext>
            <c:ext xmlns:c15="http://schemas.microsoft.com/office/drawing/2012/chart" uri="{02D57815-91ED-43cb-92C2-25804820EDAC}">
              <c15:datalabelsRange>
                <c15:f>Évolution!$X$31:$AA$31</c15:f>
                <c15:dlblRangeCache>
                  <c:ptCount val="4"/>
                  <c:pt idx="3">
                    <c:v>525</c:v>
                  </c:pt>
                </c15:dlblRangeCache>
              </c15:datalabelsRange>
            </c:ext>
          </c:extLst>
        </c:ser>
        <c:dLbls>
          <c:showLegendKey val="0"/>
          <c:showVal val="0"/>
          <c:showCatName val="0"/>
          <c:showSerName val="0"/>
          <c:showPercent val="0"/>
          <c:showBubbleSize val="0"/>
        </c:dLbls>
        <c:gapWidth val="50"/>
        <c:overlap val="100"/>
        <c:axId val="794947280"/>
        <c:axId val="794947672"/>
      </c:barChart>
      <c:lineChart>
        <c:grouping val="standard"/>
        <c:varyColors val="0"/>
        <c:ser>
          <c:idx val="2"/>
          <c:order val="1"/>
          <c:spPr>
            <a:ln w="28575" cap="rnd">
              <a:solidFill>
                <a:schemeClr val="accent3"/>
              </a:solidFill>
              <a:round/>
            </a:ln>
            <a:effectLst/>
          </c:spPr>
          <c:marker>
            <c:symbol val="none"/>
          </c:marker>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10-6EA2-45EC-9F60-9A2665101CBE}"/>
            </c:ext>
          </c:extLst>
        </c:ser>
        <c:dLbls>
          <c:showLegendKey val="0"/>
          <c:showVal val="0"/>
          <c:showCatName val="0"/>
          <c:showSerName val="0"/>
          <c:showPercent val="0"/>
          <c:showBubbleSize val="0"/>
        </c:dLbls>
        <c:marker val="1"/>
        <c:smooth val="0"/>
        <c:axId val="794947280"/>
        <c:axId val="794947672"/>
      </c:lineChart>
      <c:catAx>
        <c:axId val="794947280"/>
        <c:scaling>
          <c:orientation val="minMax"/>
        </c:scaling>
        <c:delete val="0"/>
        <c:axPos val="b"/>
        <c:numFmt formatCode="General" sourceLinked="1"/>
        <c:majorTickMark val="none"/>
        <c:minorTickMark val="none"/>
        <c:tickLblPos val="nextTo"/>
        <c:spPr>
          <a:solidFill>
            <a:schemeClr val="bg1"/>
          </a:solidFill>
          <a:ln w="9525" cap="flat" cmpd="sng" algn="ctr">
            <a:solidFill>
              <a:srgbClr val="A5A5A5"/>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947672"/>
        <c:crosses val="autoZero"/>
        <c:auto val="1"/>
        <c:lblAlgn val="ctr"/>
        <c:lblOffset val="100"/>
        <c:noMultiLvlLbl val="0"/>
      </c:catAx>
      <c:valAx>
        <c:axId val="794947672"/>
        <c:scaling>
          <c:orientation val="minMax"/>
          <c:min val="0"/>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CA" sz="1200" b="0" i="0" baseline="0">
                    <a:effectLst/>
                  </a:rPr>
                  <a:t>Quantité d'eau distribuée</a:t>
                </a:r>
                <a:br>
                  <a:rPr lang="en-CA" sz="1200" b="0" i="0" baseline="0">
                    <a:effectLst/>
                  </a:rPr>
                </a:br>
                <a:r>
                  <a:rPr lang="en-CA" sz="1200" b="0" i="0" baseline="0">
                    <a:effectLst/>
                  </a:rPr>
                  <a:t>[L/pers/d]</a:t>
                </a:r>
                <a:endParaRPr lang="fr-CA" sz="1000">
                  <a:effectLst/>
                </a:endParaRPr>
              </a:p>
            </c:rich>
          </c:tx>
          <c:layout>
            <c:manualLayout>
              <c:xMode val="edge"/>
              <c:yMode val="edge"/>
              <c:x val="9.1511100932366047E-3"/>
              <c:y val="0.2232601948780591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rgbClr val="A5A5A5"/>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4947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1"/>
            </a:pPr>
            <a:r>
              <a:rPr lang="fr-CA" sz="1400" b="1" i="0" baseline="0">
                <a:effectLst/>
                <a:latin typeface="Arial" panose="020B0604020202020204" pitchFamily="34" charset="0"/>
                <a:cs typeface="Arial" panose="020B0604020202020204" pitchFamily="34" charset="0"/>
              </a:rPr>
              <a:t>Comparaison 2019 de l'indice de fuites dans les infrastructures et de la pression moyenne</a:t>
            </a:r>
            <a:endParaRPr lang="en-CA" sz="1400" b="1">
              <a:effectLst/>
              <a:latin typeface="Arial" panose="020B0604020202020204" pitchFamily="34" charset="0"/>
              <a:cs typeface="Arial" panose="020B0604020202020204" pitchFamily="34" charset="0"/>
            </a:endParaRPr>
          </a:p>
        </c:rich>
      </c:tx>
      <c:layout>
        <c:manualLayout>
          <c:xMode val="edge"/>
          <c:yMode val="edge"/>
          <c:x val="0.13365032336780094"/>
          <c:y val="3.4571980155615176E-2"/>
        </c:manualLayout>
      </c:layout>
      <c:overlay val="0"/>
    </c:title>
    <c:autoTitleDeleted val="0"/>
    <c:plotArea>
      <c:layout>
        <c:manualLayout>
          <c:layoutTarget val="inner"/>
          <c:xMode val="edge"/>
          <c:yMode val="edge"/>
          <c:x val="0.15189230001108919"/>
          <c:y val="0.14990711776062027"/>
          <c:w val="0.78970137161175924"/>
          <c:h val="0.63182341269841269"/>
        </c:manualLayout>
      </c:layout>
      <c:barChart>
        <c:barDir val="col"/>
        <c:grouping val="clustered"/>
        <c:varyColors val="0"/>
        <c:ser>
          <c:idx val="1"/>
          <c:order val="0"/>
          <c:tx>
            <c:strRef>
              <c:f>Évolution!$W$34</c:f>
              <c:strCache>
                <c:ptCount val="1"/>
                <c:pt idx="0">
                  <c:v>Indice de fuites dans les infrastructures moyen</c:v>
                </c:pt>
              </c:strCache>
            </c:strRef>
          </c:tx>
          <c:spPr>
            <a:solidFill>
              <a:srgbClr val="002060"/>
            </a:solidFill>
          </c:spPr>
          <c:invertIfNegative val="0"/>
          <c:dPt>
            <c:idx val="0"/>
            <c:invertIfNegative val="0"/>
            <c:bubble3D val="0"/>
            <c:extLst xmlns:c16r2="http://schemas.microsoft.com/office/drawing/2015/06/chart">
              <c:ext xmlns:c16="http://schemas.microsoft.com/office/drawing/2014/chart" uri="{C3380CC4-5D6E-409C-BE32-E72D297353CC}">
                <c16:uniqueId val="{00000001-716D-46B2-BA72-C4B6340F62AE}"/>
              </c:ext>
            </c:extLst>
          </c:dPt>
          <c:dPt>
            <c:idx val="1"/>
            <c:invertIfNegative val="0"/>
            <c:bubble3D val="0"/>
            <c:extLst xmlns:c16r2="http://schemas.microsoft.com/office/drawing/2015/06/chart">
              <c:ext xmlns:c16="http://schemas.microsoft.com/office/drawing/2014/chart" uri="{C3380CC4-5D6E-409C-BE32-E72D297353CC}">
                <c16:uniqueId val="{00000003-716D-46B2-BA72-C4B6340F62AE}"/>
              </c:ext>
            </c:extLst>
          </c:dPt>
          <c:dPt>
            <c:idx val="2"/>
            <c:invertIfNegative val="0"/>
            <c:bubble3D val="0"/>
            <c:extLst xmlns:c16r2="http://schemas.microsoft.com/office/drawing/2015/06/chart">
              <c:ext xmlns:c16="http://schemas.microsoft.com/office/drawing/2014/chart" uri="{C3380CC4-5D6E-409C-BE32-E72D297353CC}">
                <c16:uniqueId val="{00000005-716D-46B2-BA72-C4B6340F62AE}"/>
              </c:ext>
            </c:extLst>
          </c:dPt>
          <c:dPt>
            <c:idx val="3"/>
            <c:invertIfNegative val="0"/>
            <c:bubble3D val="0"/>
            <c:extLst xmlns:c16r2="http://schemas.microsoft.com/office/drawing/2015/06/chart">
              <c:ext xmlns:c16="http://schemas.microsoft.com/office/drawing/2014/chart" uri="{C3380CC4-5D6E-409C-BE32-E72D297353CC}">
                <c16:uniqueId val="{00000007-716D-46B2-BA72-C4B6340F62AE}"/>
              </c:ext>
            </c:extLst>
          </c:dPt>
          <c:dPt>
            <c:idx val="4"/>
            <c:invertIfNegative val="0"/>
            <c:bubble3D val="0"/>
            <c:extLst xmlns:c16r2="http://schemas.microsoft.com/office/drawing/2015/06/chart">
              <c:ext xmlns:c16="http://schemas.microsoft.com/office/drawing/2014/chart" uri="{C3380CC4-5D6E-409C-BE32-E72D297353CC}">
                <c16:uniqueId val="{00000009-716D-46B2-BA72-C4B6340F62AE}"/>
              </c:ext>
            </c:extLst>
          </c:dPt>
          <c:dPt>
            <c:idx val="5"/>
            <c:invertIfNegative val="0"/>
            <c:bubble3D val="0"/>
            <c:extLst xmlns:c16r2="http://schemas.microsoft.com/office/drawing/2015/06/chart">
              <c:ext xmlns:c16="http://schemas.microsoft.com/office/drawing/2014/chart" uri="{C3380CC4-5D6E-409C-BE32-E72D297353CC}">
                <c16:uniqueId val="{0000000B-716D-46B2-BA72-C4B6340F62AE}"/>
              </c:ext>
            </c:extLst>
          </c:dPt>
          <c:dPt>
            <c:idx val="6"/>
            <c:invertIfNegative val="0"/>
            <c:bubble3D val="0"/>
            <c:extLst xmlns:c16r2="http://schemas.microsoft.com/office/drawing/2015/06/chart">
              <c:ext xmlns:c16="http://schemas.microsoft.com/office/drawing/2014/chart" uri="{C3380CC4-5D6E-409C-BE32-E72D297353CC}">
                <c16:uniqueId val="{0000000D-716D-46B2-BA72-C4B6340F62AE}"/>
              </c:ext>
            </c:extLst>
          </c:dPt>
          <c:dPt>
            <c:idx val="7"/>
            <c:invertIfNegative val="0"/>
            <c:bubble3D val="0"/>
            <c:spPr>
              <a:solidFill>
                <a:srgbClr val="002060"/>
              </a:solidFill>
              <a:ln>
                <a:noFill/>
              </a:ln>
            </c:spPr>
            <c:extLst xmlns:c16r2="http://schemas.microsoft.com/office/drawing/2015/06/chart">
              <c:ext xmlns:c16="http://schemas.microsoft.com/office/drawing/2014/chart" uri="{C3380CC4-5D6E-409C-BE32-E72D297353CC}">
                <c16:uniqueId val="{0000000F-716D-46B2-BA72-C4B6340F62AE}"/>
              </c:ext>
            </c:extLst>
          </c:dPt>
          <c:dLbls>
            <c:dLbl>
              <c:idx val="0"/>
              <c:tx>
                <c:rich>
                  <a:bodyPr/>
                  <a:lstStyle/>
                  <a:p>
                    <a:fld id="{723ECD26-77F0-46C6-975C-AD0CE133BF8F}"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E5D54B3-AFE1-41B9-B890-507D0ACCFBD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6DBCAADB-DDCD-4EA7-940D-08B6A5052935}"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tx>
                <c:rich>
                  <a:bodyPr/>
                  <a:lstStyle/>
                  <a:p>
                    <a:fld id="{863E8E88-A603-40BA-B73D-761D42CA70FF}"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wrap="square" lIns="38100" tIns="19050" rIns="38100" bIns="19050" anchor="ctr">
                <a:spAutoFit/>
              </a:bodyPr>
              <a:lstStyle/>
              <a:p>
                <a:pPr>
                  <a:defRPr sz="1200" b="1">
                    <a:solidFill>
                      <a:srgbClr val="002060"/>
                    </a:solidFill>
                    <a:latin typeface="Arial" panose="020B0604020202020204" pitchFamily="34" charset="0"/>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Évolution!$X$30:$AA$30</c:f>
              <c:strCache>
                <c:ptCount val="4"/>
                <c:pt idx="3">
                  <c:v>Tout le Québec</c:v>
                </c:pt>
              </c:strCache>
            </c:strRef>
          </c:cat>
          <c:val>
            <c:numRef>
              <c:f>Évolution!$X$34:$AA$34</c:f>
              <c:numCache>
                <c:formatCode>#\ ##0.0</c:formatCode>
                <c:ptCount val="4"/>
                <c:pt idx="0">
                  <c:v>0</c:v>
                </c:pt>
                <c:pt idx="1">
                  <c:v>0</c:v>
                </c:pt>
                <c:pt idx="2">
                  <c:v>0</c:v>
                </c:pt>
                <c:pt idx="3">
                  <c:v>6.59226315459658</c:v>
                </c:pt>
              </c:numCache>
            </c:numRef>
          </c:val>
          <c:extLst xmlns:c16r2="http://schemas.microsoft.com/office/drawing/2015/06/chart">
            <c:ext xmlns:c16="http://schemas.microsoft.com/office/drawing/2014/chart" uri="{C3380CC4-5D6E-409C-BE32-E72D297353CC}">
              <c16:uniqueId val="{00000010-716D-46B2-BA72-C4B6340F62AE}"/>
            </c:ext>
            <c:ext xmlns:c15="http://schemas.microsoft.com/office/drawing/2012/chart" uri="{02D57815-91ED-43cb-92C2-25804820EDAC}">
              <c15:datalabelsRange>
                <c15:f>Évolution!$X$34:$AA$34</c15:f>
                <c15:dlblRangeCache>
                  <c:ptCount val="4"/>
                  <c:pt idx="3">
                    <c:v>6,6</c:v>
                  </c:pt>
                </c15:dlblRangeCache>
              </c15:datalabelsRange>
            </c:ext>
          </c:extLst>
        </c:ser>
        <c:dLbls>
          <c:showLegendKey val="0"/>
          <c:showVal val="0"/>
          <c:showCatName val="0"/>
          <c:showSerName val="0"/>
          <c:showPercent val="0"/>
          <c:showBubbleSize val="0"/>
        </c:dLbls>
        <c:gapWidth val="50"/>
        <c:overlap val="100"/>
        <c:axId val="794948064"/>
        <c:axId val="794946888"/>
      </c:barChart>
      <c:valAx>
        <c:axId val="794946888"/>
        <c:scaling>
          <c:orientation val="minMax"/>
          <c:min val="0"/>
        </c:scaling>
        <c:delete val="0"/>
        <c:axPos val="l"/>
        <c:title>
          <c:tx>
            <c:rich>
              <a:bodyPr/>
              <a:lstStyle/>
              <a:p>
                <a:pPr>
                  <a:defRPr sz="1200" b="0">
                    <a:latin typeface="Arial" panose="020B0604020202020204" pitchFamily="34" charset="0"/>
                    <a:cs typeface="Arial" panose="020B0604020202020204" pitchFamily="34" charset="0"/>
                  </a:defRPr>
                </a:pPr>
                <a:r>
                  <a:rPr lang="fr-CA" sz="1200" b="0">
                    <a:latin typeface="Arial" panose="020B0604020202020204" pitchFamily="34" charset="0"/>
                    <a:cs typeface="Arial" panose="020B0604020202020204" pitchFamily="34" charset="0"/>
                  </a:rPr>
                  <a:t>Indice</a:t>
                </a:r>
                <a:r>
                  <a:rPr lang="fr-CA" sz="1200" b="0" baseline="0">
                    <a:latin typeface="Arial" panose="020B0604020202020204" pitchFamily="34" charset="0"/>
                    <a:cs typeface="Arial" panose="020B0604020202020204" pitchFamily="34" charset="0"/>
                  </a:rPr>
                  <a:t> de fuites dans les infrastruictures</a:t>
                </a:r>
                <a:endParaRPr lang="fr-CA" sz="1200" b="0">
                  <a:latin typeface="Arial" panose="020B0604020202020204" pitchFamily="34" charset="0"/>
                  <a:cs typeface="Arial" panose="020B0604020202020204" pitchFamily="34" charset="0"/>
                </a:endParaRPr>
              </a:p>
            </c:rich>
          </c:tx>
          <c:layout>
            <c:manualLayout>
              <c:xMode val="edge"/>
              <c:yMode val="edge"/>
              <c:x val="5.8217440602488318E-2"/>
              <c:y val="0.11783456156588913"/>
            </c:manualLayout>
          </c:layout>
          <c:overlay val="0"/>
        </c:title>
        <c:numFmt formatCode="#\ ##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794948064"/>
        <c:crosses val="autoZero"/>
        <c:crossBetween val="between"/>
      </c:valAx>
      <c:catAx>
        <c:axId val="794948064"/>
        <c:scaling>
          <c:orientation val="minMax"/>
        </c:scaling>
        <c:delete val="0"/>
        <c:axPos val="b"/>
        <c:numFmt formatCode="General" sourceLinked="1"/>
        <c:majorTickMark val="out"/>
        <c:minorTickMark val="none"/>
        <c:tickLblPos val="nextTo"/>
        <c:txPr>
          <a:bodyPr rot="0" vert="horz"/>
          <a:lstStyle/>
          <a:p>
            <a:pPr>
              <a:defRPr sz="1200" b="0">
                <a:latin typeface="Arial" panose="020B0604020202020204" pitchFamily="34" charset="0"/>
                <a:cs typeface="Arial" panose="020B0604020202020204" pitchFamily="34" charset="0"/>
              </a:defRPr>
            </a:pPr>
            <a:endParaRPr lang="fr-FR"/>
          </a:p>
        </c:txPr>
        <c:crossAx val="794946888"/>
        <c:crosses val="autoZero"/>
        <c:auto val="1"/>
        <c:lblAlgn val="ctr"/>
        <c:lblOffset val="100"/>
        <c:tickMarkSkip val="10"/>
        <c:noMultiLvlLbl val="0"/>
      </c:catAx>
      <c:spPr>
        <a:noFill/>
        <a:ln w="25400">
          <a:noFill/>
        </a:ln>
      </c:spPr>
    </c:plotArea>
    <c:plotVisOnly val="1"/>
    <c:dispBlanksAs val="gap"/>
    <c:showDLblsOverMax val="0"/>
  </c:chart>
  <c:spPr>
    <a:noFill/>
    <a:ln w="6350">
      <a:noFill/>
    </a:ln>
  </c:sp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CA" sz="1400" b="1" i="0" baseline="0">
                <a:effectLst/>
                <a:latin typeface="Arial" panose="020B0604020202020204" pitchFamily="34" charset="0"/>
                <a:cs typeface="Arial" panose="020B0604020202020204" pitchFamily="34" charset="0"/>
              </a:rPr>
              <a:t>Évolution annuelle de la consommation résidentielle</a:t>
            </a:r>
            <a:endParaRPr lang="en-CA" sz="1400" b="1">
              <a:effectLst/>
              <a:latin typeface="Arial" panose="020B0604020202020204" pitchFamily="34" charset="0"/>
              <a:cs typeface="Arial" panose="020B0604020202020204" pitchFamily="34" charset="0"/>
            </a:endParaRPr>
          </a:p>
        </c:rich>
      </c:tx>
      <c:layout>
        <c:manualLayout>
          <c:xMode val="edge"/>
          <c:yMode val="edge"/>
          <c:x val="0.25681314388040272"/>
          <c:y val="5.7046272452767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0.16214996793855713"/>
          <c:y val="0.19359179398522999"/>
          <c:w val="0.74021211891782757"/>
          <c:h val="0.69204308941474257"/>
        </c:manualLayout>
      </c:layout>
      <c:barChart>
        <c:barDir val="col"/>
        <c:grouping val="clustered"/>
        <c:varyColors val="0"/>
        <c:ser>
          <c:idx val="0"/>
          <c:order val="0"/>
          <c:tx>
            <c:strRef>
              <c:f>Évolution!$W$26</c:f>
              <c:strCache>
                <c:ptCount val="1"/>
                <c:pt idx="0">
                  <c:v>Consommation résidentielle</c:v>
                </c:pt>
              </c:strCache>
            </c:strRef>
          </c:tx>
          <c:spPr>
            <a:solidFill>
              <a:srgbClr val="002060"/>
            </a:solidFill>
            <a:ln>
              <a:noFill/>
            </a:ln>
            <a:effectLst/>
          </c:spPr>
          <c:invertIfNegative val="0"/>
          <c:dPt>
            <c:idx val="0"/>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1-2EE9-4EF3-9CAF-9744AEF60BBD}"/>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2EE9-4EF3-9CAF-9744AEF60BBD}"/>
              </c:ext>
            </c:extLst>
          </c:dPt>
          <c:dPt>
            <c:idx val="2"/>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5-2EE9-4EF3-9CAF-9744AEF60BB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2EE9-4EF3-9CAF-9744AEF60BBD}"/>
              </c:ext>
            </c:extLst>
          </c:dPt>
          <c:dPt>
            <c:idx val="4"/>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2EE9-4EF3-9CAF-9744AEF60BB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B-2EE9-4EF3-9CAF-9744AEF60BBD}"/>
              </c:ext>
            </c:extLst>
          </c:dPt>
          <c:dPt>
            <c:idx val="6"/>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D-2EE9-4EF3-9CAF-9744AEF60BBD}"/>
              </c:ext>
            </c:extLst>
          </c:dPt>
          <c:dPt>
            <c:idx val="7"/>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E-CA3D-4DA1-8AB1-FB8B891BA168}"/>
              </c:ext>
            </c:extLst>
          </c:dPt>
          <c:dPt>
            <c:idx val="8"/>
            <c:invertIfNegative val="0"/>
            <c:bubble3D val="0"/>
            <c:spPr>
              <a:solidFill>
                <a:srgbClr val="002060"/>
              </a:solidFill>
              <a:ln>
                <a:noFill/>
              </a:ln>
              <a:effectLst/>
            </c:spPr>
          </c:dPt>
          <c:dLbls>
            <c:dLbl>
              <c:idx val="0"/>
              <c:tx>
                <c:rich>
                  <a:bodyPr/>
                  <a:lstStyle/>
                  <a:p>
                    <a:fld id="{739DA5DD-D126-432E-B792-6E91BD2278FF}"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3809C0F-A8BA-496B-8F9B-F26F0A8F1AC9}"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Évolution!$AE$21:$AF$21</c:f>
              <c:numCache>
                <c:formatCode>General</c:formatCode>
                <c:ptCount val="2"/>
                <c:pt idx="0">
                  <c:v>2018</c:v>
                </c:pt>
                <c:pt idx="1">
                  <c:v>2019</c:v>
                </c:pt>
              </c:numCache>
            </c:numRef>
          </c:cat>
          <c:val>
            <c:numRef>
              <c:f>Évolution!$AE$26:$AF$26</c:f>
              <c:numCache>
                <c:formatCode>0</c:formatCode>
                <c:ptCount val="2"/>
                <c:pt idx="0">
                  <c:v>268.2675218279096</c:v>
                </c:pt>
                <c:pt idx="1">
                  <c:v>262.03759569882749</c:v>
                </c:pt>
              </c:numCache>
            </c:numRef>
          </c:val>
          <c:extLst xmlns:c16r2="http://schemas.microsoft.com/office/drawing/2015/06/chart">
            <c:ext xmlns:c16="http://schemas.microsoft.com/office/drawing/2014/chart" uri="{C3380CC4-5D6E-409C-BE32-E72D297353CC}">
              <c16:uniqueId val="{0000000F-2EE9-4EF3-9CAF-9744AEF60BBD}"/>
            </c:ext>
            <c:ext xmlns:c15="http://schemas.microsoft.com/office/drawing/2012/chart" uri="{02D57815-91ED-43cb-92C2-25804820EDAC}">
              <c15:datalabelsRange>
                <c15:f>Évolution!$AE$26:$AF$26</c15:f>
                <c15:dlblRangeCache>
                  <c:ptCount val="2"/>
                  <c:pt idx="0">
                    <c:v>268</c:v>
                  </c:pt>
                  <c:pt idx="1">
                    <c:v>262</c:v>
                  </c:pt>
                </c15:dlblRangeCache>
              </c15:datalabelsRange>
            </c:ext>
          </c:extLst>
        </c:ser>
        <c:dLbls>
          <c:showLegendKey val="0"/>
          <c:showVal val="0"/>
          <c:showCatName val="0"/>
          <c:showSerName val="0"/>
          <c:showPercent val="0"/>
          <c:showBubbleSize val="0"/>
        </c:dLbls>
        <c:gapWidth val="150"/>
        <c:overlap val="100"/>
        <c:axId val="794949240"/>
        <c:axId val="794949632"/>
      </c:barChart>
      <c:lineChart>
        <c:grouping val="standard"/>
        <c:varyColors val="0"/>
        <c:ser>
          <c:idx val="1"/>
          <c:order val="1"/>
          <c:tx>
            <c:strRef>
              <c:f>Évolution!$AD$29</c:f>
              <c:strCache>
                <c:ptCount val="1"/>
              </c:strCache>
            </c:strRef>
          </c:tx>
          <c:spPr>
            <a:ln w="19050" cap="rnd" cmpd="sng" algn="ctr">
              <a:solidFill>
                <a:srgbClr val="00B050"/>
              </a:solidFill>
              <a:prstDash val="sysDash"/>
              <a:round/>
            </a:ln>
            <a:effectLst/>
          </c:spPr>
          <c:marker>
            <c:symbol val="none"/>
          </c:marker>
          <c:dLbls>
            <c:dLbl>
              <c:idx val="0"/>
              <c:tx>
                <c:rich>
                  <a:bodyPr/>
                  <a:lstStyle/>
                  <a:p>
                    <a:fld id="{01ABCB21-83ED-460C-ACF5-438AB150C44C}"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F0863EC-924D-42F3-BFDD-A8F4BC413C7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rot="0" spcFirstLastPara="1" vertOverflow="ellipsis" vert="horz" wrap="square" lIns="38100" tIns="19050" rIns="38100" bIns="19050" anchor="ctr" anchorCtr="1">
                    <a:spAutoFit/>
                  </a:bodyPr>
                  <a:lstStyle/>
                  <a:p>
                    <a:pPr>
                      <a:defRPr sz="1050" b="1" i="0" u="none" strike="noStrike" kern="1200" baseline="0">
                        <a:solidFill>
                          <a:srgbClr val="00B050"/>
                        </a:solidFill>
                        <a:latin typeface="+mn-lt"/>
                        <a:ea typeface="+mn-ea"/>
                        <a:cs typeface="+mn-cs"/>
                      </a:defRPr>
                    </a:pPr>
                    <a:fld id="{A7A50EAA-AACE-447A-BBE2-725BE0A09AEF}" type="CELLRANGE">
                      <a:rPr lang="en-US"/>
                      <a:pPr>
                        <a:defRPr sz="1050" b="1">
                          <a:solidFill>
                            <a:srgbClr val="00B050"/>
                          </a:solidFill>
                        </a:defRPr>
                      </a:pPr>
                      <a:t>[PLAGECELL]</a:t>
                    </a:fld>
                    <a:endParaRPr lang="fr-CA"/>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B050"/>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Évolution!$AE$29:$AG$29</c:f>
              <c:numCache>
                <c:formatCode>#,##0</c:formatCode>
                <c:ptCount val="3"/>
                <c:pt idx="0">
                  <c:v>0</c:v>
                </c:pt>
                <c:pt idx="1">
                  <c:v>0</c:v>
                </c:pt>
                <c:pt idx="2">
                  <c:v>0</c:v>
                </c:pt>
              </c:numCache>
            </c:numRef>
          </c:val>
          <c:smooth val="0"/>
          <c:extLst>
            <c:ext xmlns:c15="http://schemas.microsoft.com/office/drawing/2012/chart" uri="{02D57815-91ED-43cb-92C2-25804820EDAC}">
              <c15:datalabelsRange>
                <c15:f>Évolution!$AB$29:$AD$29</c15:f>
                <c15:dlblRangeCache>
                  <c:ptCount val="3"/>
                </c15:dlblRangeCache>
              </c15:datalabelsRange>
            </c:ext>
          </c:extLst>
        </c:ser>
        <c:dLbls>
          <c:showLegendKey val="0"/>
          <c:showVal val="0"/>
          <c:showCatName val="0"/>
          <c:showSerName val="0"/>
          <c:showPercent val="0"/>
          <c:showBubbleSize val="0"/>
        </c:dLbls>
        <c:marker val="1"/>
        <c:smooth val="0"/>
        <c:axId val="794949240"/>
        <c:axId val="794949632"/>
      </c:lineChart>
      <c:catAx>
        <c:axId val="79494924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38137813707012302"/>
              <c:y val="0.937499196572666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ysClr val="windowText" lastClr="000000"/>
                </a:solidFill>
                <a:latin typeface="Arial"/>
                <a:ea typeface="Arial"/>
                <a:cs typeface="Arial"/>
              </a:defRPr>
            </a:pPr>
            <a:endParaRPr lang="fr-FR"/>
          </a:p>
        </c:txPr>
        <c:crossAx val="794949632"/>
        <c:crossesAt val="0"/>
        <c:auto val="1"/>
        <c:lblAlgn val="ctr"/>
        <c:lblOffset val="100"/>
        <c:noMultiLvlLbl val="1"/>
      </c:catAx>
      <c:valAx>
        <c:axId val="794949632"/>
        <c:scaling>
          <c:orientation val="minMax"/>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sz="1200" b="0">
                    <a:solidFill>
                      <a:sysClr val="windowText" lastClr="000000"/>
                    </a:solidFill>
                    <a:latin typeface="Arial" panose="020B0604020202020204" pitchFamily="34" charset="0"/>
                    <a:cs typeface="Arial" panose="020B0604020202020204" pitchFamily="34" charset="0"/>
                  </a:rPr>
                  <a:t>Consommation résidentielle</a:t>
                </a:r>
              </a:p>
              <a:p>
                <a:pPr>
                  <a:defRPr sz="1200" b="0">
                    <a:solidFill>
                      <a:sysClr val="windowText" lastClr="000000"/>
                    </a:solidFill>
                    <a:latin typeface="Arial" panose="020B0604020202020204" pitchFamily="34" charset="0"/>
                    <a:cs typeface="Arial" panose="020B0604020202020204" pitchFamily="34" charset="0"/>
                  </a:defRPr>
                </a:pPr>
                <a:r>
                  <a:rPr lang="en-CA" sz="1200" b="0">
                    <a:solidFill>
                      <a:sysClr val="windowText" lastClr="000000"/>
                    </a:solidFill>
                    <a:latin typeface="Arial" panose="020B0604020202020204" pitchFamily="34" charset="0"/>
                    <a:cs typeface="Arial" panose="020B0604020202020204" pitchFamily="34" charset="0"/>
                  </a:rPr>
                  <a:t>[L/pers/d]</a:t>
                </a:r>
              </a:p>
            </c:rich>
          </c:tx>
          <c:layout>
            <c:manualLayout>
              <c:xMode val="edge"/>
              <c:yMode val="edge"/>
              <c:x val="1.4947178952729873E-2"/>
              <c:y val="0.195778137511567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4949240"/>
        <c:crosses val="autoZero"/>
        <c:crossBetween val="between"/>
      </c:valAx>
      <c:spPr>
        <a:noFill/>
        <a:ln w="25400">
          <a:noFill/>
        </a:ln>
        <a:effectLst/>
      </c:spPr>
    </c:plotArea>
    <c:plotVisOnly val="1"/>
    <c:dispBlanksAs val="gap"/>
    <c:showDLblsOverMax val="0"/>
  </c:chart>
  <c:spPr>
    <a:solidFill>
      <a:srgbClr val="FFFFFF">
        <a:alpha val="0"/>
      </a:srgbClr>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CA" sz="1400" b="1" i="0" baseline="0">
                <a:effectLst/>
                <a:latin typeface="Arial" panose="020B0604020202020204" pitchFamily="34" charset="0"/>
                <a:cs typeface="Arial" panose="020B0604020202020204" pitchFamily="34" charset="0"/>
              </a:rPr>
              <a:t>Évolution annuelle de l'indice de fuite dans les infrastructures</a:t>
            </a:r>
            <a:endParaRPr lang="en-CA" sz="1400" b="1">
              <a:effectLst/>
              <a:latin typeface="Arial" panose="020B0604020202020204" pitchFamily="34" charset="0"/>
              <a:cs typeface="Arial" panose="020B0604020202020204" pitchFamily="34" charset="0"/>
            </a:endParaRPr>
          </a:p>
        </c:rich>
      </c:tx>
      <c:layout>
        <c:manualLayout>
          <c:xMode val="edge"/>
          <c:yMode val="edge"/>
          <c:x val="0.21110639781356311"/>
          <c:y val="5.704631211998032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fr-FR"/>
        </a:p>
      </c:txPr>
    </c:title>
    <c:autoTitleDeleted val="0"/>
    <c:plotArea>
      <c:layout>
        <c:manualLayout>
          <c:layoutTarget val="inner"/>
          <c:xMode val="edge"/>
          <c:yMode val="edge"/>
          <c:x val="0.16214996793855713"/>
          <c:y val="0.19359179398522999"/>
          <c:w val="0.74021211891782757"/>
          <c:h val="0.68409808605390166"/>
        </c:manualLayout>
      </c:layout>
      <c:barChart>
        <c:barDir val="col"/>
        <c:grouping val="clustered"/>
        <c:varyColors val="0"/>
        <c:ser>
          <c:idx val="0"/>
          <c:order val="0"/>
          <c:tx>
            <c:strRef>
              <c:f>Évolution!$W$27</c:f>
              <c:strCache>
                <c:ptCount val="1"/>
                <c:pt idx="0">
                  <c:v>Indice de fuites dans les infrastructures</c:v>
                </c:pt>
              </c:strCache>
            </c:strRef>
          </c:tx>
          <c:spPr>
            <a:solidFill>
              <a:srgbClr val="002060"/>
            </a:solidFill>
            <a:ln>
              <a:noFill/>
            </a:ln>
            <a:effectLst/>
          </c:spPr>
          <c:invertIfNegative val="0"/>
          <c:dPt>
            <c:idx val="0"/>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1-2EE9-4EF3-9CAF-9744AEF60BBD}"/>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2EE9-4EF3-9CAF-9744AEF60BBD}"/>
              </c:ext>
            </c:extLst>
          </c:dPt>
          <c:dPt>
            <c:idx val="2"/>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5-2EE9-4EF3-9CAF-9744AEF60BB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2EE9-4EF3-9CAF-9744AEF60BBD}"/>
              </c:ext>
            </c:extLst>
          </c:dPt>
          <c:dPt>
            <c:idx val="4"/>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2EE9-4EF3-9CAF-9744AEF60BB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B-2EE9-4EF3-9CAF-9744AEF60BBD}"/>
              </c:ext>
            </c:extLst>
          </c:dPt>
          <c:dPt>
            <c:idx val="6"/>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D-2EE9-4EF3-9CAF-9744AEF60BBD}"/>
              </c:ext>
            </c:extLst>
          </c:dPt>
          <c:dPt>
            <c:idx val="7"/>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E-CA3D-4DA1-8AB1-FB8B891BA168}"/>
              </c:ext>
            </c:extLst>
          </c:dPt>
          <c:dPt>
            <c:idx val="8"/>
            <c:invertIfNegative val="0"/>
            <c:bubble3D val="0"/>
            <c:spPr>
              <a:solidFill>
                <a:srgbClr val="002060"/>
              </a:solidFill>
              <a:ln>
                <a:noFill/>
              </a:ln>
              <a:effectLst/>
            </c:spPr>
          </c:dPt>
          <c:dLbls>
            <c:dLbl>
              <c:idx val="0"/>
              <c:tx>
                <c:rich>
                  <a:bodyPr/>
                  <a:lstStyle/>
                  <a:p>
                    <a:fld id="{17D0A557-ADCA-4040-81DE-9FD5096B9E6D}" type="CELLRANGE">
                      <a:rPr lang="en-US"/>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E974A38-2E64-4E7D-9C27-81461942D00E}"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0"/>
              </c:ext>
            </c:extLst>
          </c:dLbls>
          <c:cat>
            <c:numRef>
              <c:f>Évolution!$AE$21:$AF$21</c:f>
              <c:numCache>
                <c:formatCode>General</c:formatCode>
                <c:ptCount val="2"/>
                <c:pt idx="0">
                  <c:v>2018</c:v>
                </c:pt>
                <c:pt idx="1">
                  <c:v>2019</c:v>
                </c:pt>
              </c:numCache>
            </c:numRef>
          </c:cat>
          <c:val>
            <c:numRef>
              <c:f>Évolution!$AE$27:$AF$27</c:f>
              <c:numCache>
                <c:formatCode>0.0</c:formatCode>
                <c:ptCount val="2"/>
                <c:pt idx="0">
                  <c:v>6.0350627662125476</c:v>
                </c:pt>
                <c:pt idx="1">
                  <c:v>6.59226315459658</c:v>
                </c:pt>
              </c:numCache>
            </c:numRef>
          </c:val>
          <c:extLst xmlns:c16r2="http://schemas.microsoft.com/office/drawing/2015/06/chart">
            <c:ext xmlns:c16="http://schemas.microsoft.com/office/drawing/2014/chart" uri="{C3380CC4-5D6E-409C-BE32-E72D297353CC}">
              <c16:uniqueId val="{0000000F-2EE9-4EF3-9CAF-9744AEF60BBD}"/>
            </c:ext>
            <c:ext xmlns:c15="http://schemas.microsoft.com/office/drawing/2012/chart" uri="{02D57815-91ED-43cb-92C2-25804820EDAC}">
              <c15:datalabelsRange>
                <c15:f>Évolution!$AE$27:$AF$27</c15:f>
                <c15:dlblRangeCache>
                  <c:ptCount val="2"/>
                  <c:pt idx="0">
                    <c:v>6,0</c:v>
                  </c:pt>
                  <c:pt idx="1">
                    <c:v>6,6</c:v>
                  </c:pt>
                </c15:dlblRangeCache>
              </c15:datalabelsRange>
            </c:ext>
          </c:extLst>
        </c:ser>
        <c:dLbls>
          <c:showLegendKey val="0"/>
          <c:showVal val="0"/>
          <c:showCatName val="0"/>
          <c:showSerName val="0"/>
          <c:showPercent val="0"/>
          <c:showBubbleSize val="0"/>
        </c:dLbls>
        <c:gapWidth val="150"/>
        <c:overlap val="100"/>
        <c:axId val="795636512"/>
        <c:axId val="795638080"/>
      </c:barChart>
      <c:catAx>
        <c:axId val="79563651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49561467384954022"/>
              <c:y val="0.9351189283045601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ysClr val="windowText" lastClr="000000"/>
                </a:solidFill>
                <a:latin typeface="Arial"/>
                <a:ea typeface="Arial"/>
                <a:cs typeface="Arial"/>
              </a:defRPr>
            </a:pPr>
            <a:endParaRPr lang="fr-FR"/>
          </a:p>
        </c:txPr>
        <c:crossAx val="795638080"/>
        <c:crossesAt val="0"/>
        <c:auto val="1"/>
        <c:lblAlgn val="ctr"/>
        <c:lblOffset val="100"/>
        <c:noMultiLvlLbl val="1"/>
      </c:catAx>
      <c:valAx>
        <c:axId val="795638080"/>
        <c:scaling>
          <c:orientation val="minMax"/>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sz="1200" b="0">
                    <a:solidFill>
                      <a:sysClr val="windowText" lastClr="000000"/>
                    </a:solidFill>
                    <a:latin typeface="Arial" panose="020B0604020202020204" pitchFamily="34" charset="0"/>
                    <a:cs typeface="Arial" panose="020B0604020202020204" pitchFamily="34" charset="0"/>
                  </a:rPr>
                  <a:t>Indice de fuites</a:t>
                </a:r>
                <a:r>
                  <a:rPr lang="en-CA" sz="1200" b="0" baseline="0">
                    <a:solidFill>
                      <a:sysClr val="windowText" lastClr="000000"/>
                    </a:solidFill>
                    <a:latin typeface="Arial" panose="020B0604020202020204" pitchFamily="34" charset="0"/>
                    <a:cs typeface="Arial" panose="020B0604020202020204" pitchFamily="34" charset="0"/>
                  </a:rPr>
                  <a:t> dans les infrastructures</a:t>
                </a:r>
                <a:endParaRPr lang="en-CA" sz="1200" b="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4.844743002476188E-2"/>
              <c:y val="0.1248286785690723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5636512"/>
        <c:crosses val="autoZero"/>
        <c:crossBetween val="between"/>
      </c:valAx>
      <c:spPr>
        <a:noFill/>
        <a:ln w="25400">
          <a:noFill/>
        </a:ln>
        <a:effectLst/>
      </c:spPr>
    </c:plotArea>
    <c:plotVisOnly val="1"/>
    <c:dispBlanksAs val="gap"/>
    <c:showDLblsOverMax val="0"/>
  </c:chart>
  <c:spPr>
    <a:solidFill>
      <a:srgbClr val="FFFFFF">
        <a:alpha val="0"/>
      </a:srgbClr>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1" i="0" baseline="0">
                <a:effectLst/>
                <a:latin typeface="Arial" panose="020B0604020202020204" pitchFamily="34" charset="0"/>
                <a:cs typeface="Arial" panose="020B0604020202020204" pitchFamily="34" charset="0"/>
              </a:rPr>
              <a:t>Évolution annuelle du nombre total de fuites réparées</a:t>
            </a:r>
            <a:endParaRPr lang="fr-CA" sz="1400" b="1">
              <a:effectLst/>
              <a:latin typeface="Arial" panose="020B0604020202020204" pitchFamily="34" charset="0"/>
              <a:cs typeface="Arial" panose="020B0604020202020204" pitchFamily="34" charset="0"/>
            </a:endParaRPr>
          </a:p>
        </c:rich>
      </c:tx>
      <c:layout>
        <c:manualLayout>
          <c:xMode val="edge"/>
          <c:yMode val="edge"/>
          <c:x val="0.29564102585798779"/>
          <c:y val="5.821978180210731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905592492581078"/>
          <c:y val="0.19313443705293298"/>
          <c:w val="0.81122212904832014"/>
          <c:h val="0.61212670068027197"/>
        </c:manualLayout>
      </c:layout>
      <c:barChart>
        <c:barDir val="col"/>
        <c:grouping val="clustered"/>
        <c:varyColors val="0"/>
        <c:ser>
          <c:idx val="1"/>
          <c:order val="0"/>
          <c:tx>
            <c:strRef>
              <c:f>Évolution!$Z$58</c:f>
              <c:strCache>
                <c:ptCount val="1"/>
                <c:pt idx="0">
                  <c:v>Nombre de fuites réparées</c:v>
                </c:pt>
              </c:strCache>
            </c:strRef>
          </c:tx>
          <c:spPr>
            <a:solidFill>
              <a:srgbClr val="002060"/>
            </a:solidFill>
            <a:ln>
              <a:noFill/>
            </a:ln>
            <a:effectLst/>
          </c:spPr>
          <c:invertIfNegative val="0"/>
          <c:dLbls>
            <c:dLbl>
              <c:idx val="0"/>
              <c:tx>
                <c:rich>
                  <a:bodyPr/>
                  <a:lstStyle/>
                  <a:p>
                    <a:fld id="{F5E7CE12-C360-4FA2-B731-1DEB23131DDA}" type="CELLRANGE">
                      <a:rPr lang="en-US"/>
                      <a:pPr/>
                      <a:t>[PLAGECELL]</a:t>
                    </a:fld>
                    <a:endParaRPr lang="fr-CA"/>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A887-4E54-BCB9-0E18130AFA87}"/>
                </c:ext>
                <c:ext xmlns:c15="http://schemas.microsoft.com/office/drawing/2012/chart" uri="{CE6537A1-D6FC-4f65-9D91-7224C49458BB}">
                  <c15:dlblFieldTable/>
                  <c15:showDataLabelsRange val="1"/>
                </c:ext>
              </c:extLst>
            </c:dLbl>
            <c:dLbl>
              <c:idx val="1"/>
              <c:tx>
                <c:rich>
                  <a:bodyPr/>
                  <a:lstStyle/>
                  <a:p>
                    <a:fld id="{1F7405F2-3148-4A2D-882F-D53BD05C6017}"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EBBEA75-8BC6-4A09-814C-0E0FBDB3840B}"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382D63E-AB8F-4585-A1D1-D8669FD52DFF}"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9232F0F-9514-4A94-8AF4-8548EF3AFE30}"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0A289CE-CC44-4FFF-A1C7-8CD30BF16EA9}"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B2F965A3-2703-4F1C-B868-0F9358DA41AC}"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39D4CD1B-AA5E-49C5-ABB1-FBE85327DD8E}" type="CELLRANGE">
                      <a:rPr lang="fr-CA"/>
                      <a:pPr/>
                      <a:t>[PLAGECELL]</a:t>
                    </a:fld>
                    <a:endParaRPr lang="fr-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overflow" horzOverflow="overflow" vert="horz" wrap="square" lIns="38100" tIns="19050" rIns="38100" bIns="19050" anchor="ctr" anchorCtr="1">
                <a:spAutoFit/>
              </a:bodyPr>
              <a:lstStyle/>
              <a:p>
                <a:pPr>
                  <a:defRPr sz="12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shade val="95000"/>
                          <a:satMod val="105000"/>
                        </a:schemeClr>
                      </a:solidFill>
                      <a:prstDash val="solid"/>
                      <a:round/>
                    </a:ln>
                    <a:effectLst/>
                  </c:spPr>
                </c15:leaderLines>
              </c:ext>
            </c:extLst>
          </c:dLbls>
          <c:cat>
            <c:numRef>
              <c:f>Évolution!$AA$56:$AH$56</c:f>
              <c:numCache>
                <c:formatCode>General</c:formatCode>
                <c:ptCount val="8"/>
                <c:pt idx="0">
                  <c:v>2012</c:v>
                </c:pt>
                <c:pt idx="1">
                  <c:v>2013</c:v>
                </c:pt>
                <c:pt idx="2">
                  <c:v>2014</c:v>
                </c:pt>
                <c:pt idx="3">
                  <c:v>2015</c:v>
                </c:pt>
                <c:pt idx="4">
                  <c:v>2016</c:v>
                </c:pt>
                <c:pt idx="5">
                  <c:v>2017</c:v>
                </c:pt>
                <c:pt idx="6">
                  <c:v>2018</c:v>
                </c:pt>
                <c:pt idx="7">
                  <c:v>2019</c:v>
                </c:pt>
              </c:numCache>
            </c:numRef>
          </c:cat>
          <c:val>
            <c:numRef>
              <c:f>Évolution!$AA$58:$AH$58</c:f>
              <c:numCache>
                <c:formatCode>#,##0</c:formatCode>
                <c:ptCount val="8"/>
                <c:pt idx="0">
                  <c:v>9059</c:v>
                </c:pt>
                <c:pt idx="1">
                  <c:v>8852</c:v>
                </c:pt>
                <c:pt idx="2">
                  <c:v>9905</c:v>
                </c:pt>
                <c:pt idx="3">
                  <c:v>10143</c:v>
                </c:pt>
                <c:pt idx="4">
                  <c:v>8764</c:v>
                </c:pt>
                <c:pt idx="5">
                  <c:v>8355</c:v>
                </c:pt>
                <c:pt idx="6">
                  <c:v>9486</c:v>
                </c:pt>
                <c:pt idx="7">
                  <c:v>9214</c:v>
                </c:pt>
              </c:numCache>
            </c:numRef>
          </c:val>
          <c:extLst xmlns:c16r2="http://schemas.microsoft.com/office/drawing/2015/06/chart">
            <c:ext xmlns:c16="http://schemas.microsoft.com/office/drawing/2014/chart" uri="{C3380CC4-5D6E-409C-BE32-E72D297353CC}">
              <c16:uniqueId val="{00000011-A887-4E54-BCB9-0E18130AFA87}"/>
            </c:ext>
            <c:ext xmlns:c15="http://schemas.microsoft.com/office/drawing/2012/chart" uri="{02D57815-91ED-43cb-92C2-25804820EDAC}">
              <c15:datalabelsRange>
                <c15:f>Évolution!$AA$59:$AH$59</c15:f>
                <c15:dlblRangeCache>
                  <c:ptCount val="8"/>
                  <c:pt idx="0">
                    <c:v>9 059</c:v>
                  </c:pt>
                  <c:pt idx="1">
                    <c:v>8 852</c:v>
                  </c:pt>
                  <c:pt idx="2">
                    <c:v>9 905</c:v>
                  </c:pt>
                  <c:pt idx="3">
                    <c:v>10 143</c:v>
                  </c:pt>
                  <c:pt idx="4">
                    <c:v>8 764</c:v>
                  </c:pt>
                  <c:pt idx="5">
                    <c:v>8 355</c:v>
                  </c:pt>
                  <c:pt idx="6">
                    <c:v>9 486</c:v>
                  </c:pt>
                  <c:pt idx="7">
                    <c:v>9 214</c:v>
                  </c:pt>
                </c15:dlblRangeCache>
              </c15:datalabelsRange>
            </c:ext>
          </c:extLst>
        </c:ser>
        <c:dLbls>
          <c:showLegendKey val="0"/>
          <c:showVal val="0"/>
          <c:showCatName val="0"/>
          <c:showSerName val="0"/>
          <c:showPercent val="0"/>
          <c:showBubbleSize val="0"/>
        </c:dLbls>
        <c:gapWidth val="50"/>
        <c:axId val="795635336"/>
        <c:axId val="795636904"/>
      </c:barChart>
      <c:valAx>
        <c:axId val="79563690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i="0" baseline="0">
                    <a:effectLst/>
                    <a:latin typeface="Arial" panose="020B0604020202020204" pitchFamily="34" charset="0"/>
                    <a:cs typeface="Arial" panose="020B0604020202020204" pitchFamily="34" charset="0"/>
                  </a:rPr>
                  <a:t>Nombre de fuites réparées</a:t>
                </a:r>
                <a:endParaRPr lang="fr-CA" sz="1200" b="0">
                  <a:effectLst/>
                  <a:latin typeface="Arial" panose="020B0604020202020204" pitchFamily="34" charset="0"/>
                  <a:cs typeface="Arial" panose="020B0604020202020204" pitchFamily="34" charset="0"/>
                </a:endParaRPr>
              </a:p>
            </c:rich>
          </c:tx>
          <c:layout>
            <c:manualLayout>
              <c:xMode val="edge"/>
              <c:yMode val="edge"/>
              <c:x val="9.6262942259670754E-3"/>
              <c:y val="0.2155417482792835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5635336"/>
        <c:crosses val="autoZero"/>
        <c:crossBetween val="between"/>
      </c:valAx>
      <c:catAx>
        <c:axId val="79563533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CA" sz="1200" b="0">
                    <a:latin typeface="Arial" panose="020B0604020202020204" pitchFamily="34" charset="0"/>
                    <a:cs typeface="Arial" panose="020B0604020202020204" pitchFamily="34" charset="0"/>
                  </a:rPr>
                  <a:t>Année</a:t>
                </a:r>
              </a:p>
            </c:rich>
          </c:tx>
          <c:layout>
            <c:manualLayout>
              <c:xMode val="edge"/>
              <c:yMode val="edge"/>
              <c:x val="0.51918141539646989"/>
              <c:y val="0.914190388520004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95636904"/>
        <c:crossesAt val="0"/>
        <c:auto val="1"/>
        <c:lblAlgn val="ctr"/>
        <c:lblOffset val="100"/>
        <c:noMultiLvlLbl val="0"/>
      </c:catAx>
      <c:spPr>
        <a:noFill/>
        <a:ln w="25400">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a:pPr>
      <a:endParaRPr lang="fr-FR"/>
    </a:p>
  </c:txPr>
  <c:printSettings>
    <c:headerFooter alignWithMargins="0"/>
    <c:pageMargins b="0.984251969" l="0.78740157499999996" r="0.78740157499999996" t="0.984251969" header="0.4921259845" footer="0.4921259845"/>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3.png"/><Relationship Id="rId3" Type="http://schemas.openxmlformats.org/officeDocument/2006/relationships/image" Target="../media/image7.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PNG"/><Relationship Id="rId2" Type="http://schemas.openxmlformats.org/officeDocument/2006/relationships/image" Target="../media/image6.jpeg"/><Relationship Id="rId16" Type="http://schemas.openxmlformats.org/officeDocument/2006/relationships/image" Target="../media/image20.gif"/><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jpeg"/><Relationship Id="rId15" Type="http://schemas.openxmlformats.org/officeDocument/2006/relationships/image" Target="../media/image19.jpg"/><Relationship Id="rId10" Type="http://schemas.openxmlformats.org/officeDocument/2006/relationships/image" Target="../media/image14.pn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885825</xdr:colOff>
      <xdr:row>3</xdr:row>
      <xdr:rowOff>152400</xdr:rowOff>
    </xdr:to>
    <xdr:sp macro="" textlink="">
      <xdr:nvSpPr>
        <xdr:cNvPr id="52" name="Titre 1"/>
        <xdr:cNvSpPr txBox="1">
          <a:spLocks/>
        </xdr:cNvSpPr>
      </xdr:nvSpPr>
      <xdr:spPr>
        <a:xfrm>
          <a:off x="0" y="0"/>
          <a:ext cx="15792450" cy="1038225"/>
        </a:xfrm>
        <a:prstGeom prst="rect">
          <a:avLst/>
        </a:prstGeom>
        <a:blipFill>
          <a:blip xmlns:r="http://schemas.openxmlformats.org/officeDocument/2006/relationships" r:embed="rId1"/>
          <a:srcRect/>
          <a:stretch>
            <a:fillRect l="1" r="-17648"/>
          </a:stretch>
        </a:blipFill>
      </xdr:spPr>
      <xdr:txBody>
        <a:bodyPr vert="horz" wrap="square" lIns="91440" tIns="45720" rIns="91440" bIns="45720" rtlCol="0"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endParaRPr lang="fr-FR" sz="2800" b="1">
            <a:solidFill>
              <a:srgbClr val="000000"/>
            </a:solidFill>
            <a:latin typeface="Arial" charset="0"/>
            <a:ea typeface="Arial" charset="0"/>
            <a:cs typeface="Arial" charset="0"/>
          </a:endParaRPr>
        </a:p>
      </xdr:txBody>
    </xdr:sp>
    <xdr:clientData/>
  </xdr:twoCellAnchor>
  <xdr:twoCellAnchor editAs="oneCell">
    <xdr:from>
      <xdr:col>0</xdr:col>
      <xdr:colOff>0</xdr:colOff>
      <xdr:row>0</xdr:row>
      <xdr:rowOff>85726</xdr:rowOff>
    </xdr:from>
    <xdr:to>
      <xdr:col>6</xdr:col>
      <xdr:colOff>447675</xdr:colOff>
      <xdr:row>1</xdr:row>
      <xdr:rowOff>152400</xdr:rowOff>
    </xdr:to>
    <xdr:sp macro="" textlink="">
      <xdr:nvSpPr>
        <xdr:cNvPr id="3" name="Text Box 216">
          <a:extLst>
            <a:ext uri="{FF2B5EF4-FFF2-40B4-BE49-F238E27FC236}">
              <a16:creationId xmlns:a16="http://schemas.microsoft.com/office/drawing/2014/main" xmlns="" id="{00000000-0008-0000-0000-000003000000}"/>
            </a:ext>
          </a:extLst>
        </xdr:cNvPr>
        <xdr:cNvSpPr txBox="1">
          <a:spLocks noChangeArrowheads="1"/>
        </xdr:cNvSpPr>
      </xdr:nvSpPr>
      <xdr:spPr bwMode="auto">
        <a:xfrm>
          <a:off x="0" y="85726"/>
          <a:ext cx="5543550" cy="36194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32004" rIns="0" bIns="0" anchor="t" upright="1"/>
        <a:lstStyle/>
        <a:p>
          <a:pPr algn="l" rtl="0">
            <a:defRPr sz="1000"/>
          </a:pPr>
          <a:r>
            <a:rPr lang="fr-CA" sz="1800" b="1" i="0" u="none" strike="noStrike" baseline="0">
              <a:ln>
                <a:noFill/>
              </a:ln>
              <a:solidFill>
                <a:schemeClr val="bg1"/>
              </a:solidFill>
              <a:effectLst>
                <a:outerShdw blurRad="50800" dist="38100" dir="2700000" algn="tl" rotWithShape="0">
                  <a:prstClr val="black">
                    <a:alpha val="40000"/>
                  </a:prstClr>
                </a:outerShdw>
              </a:effectLst>
              <a:latin typeface="Arial Narrow" panose="020B0606020202030204" pitchFamily="34" charset="0"/>
              <a:cs typeface="Arial"/>
            </a:rPr>
            <a:t>STRATÉGIE QUÉBÉCOISE D'ÉCONOMIE D'EAU POTABLE</a:t>
          </a:r>
        </a:p>
      </xdr:txBody>
    </xdr:sp>
    <xdr:clientData/>
  </xdr:twoCellAnchor>
  <xdr:twoCellAnchor>
    <xdr:from>
      <xdr:col>0</xdr:col>
      <xdr:colOff>47625</xdr:colOff>
      <xdr:row>1</xdr:row>
      <xdr:rowOff>95250</xdr:rowOff>
    </xdr:from>
    <xdr:to>
      <xdr:col>3</xdr:col>
      <xdr:colOff>466725</xdr:colOff>
      <xdr:row>2</xdr:row>
      <xdr:rowOff>209550</xdr:rowOff>
    </xdr:to>
    <xdr:sp macro="" textlink="">
      <xdr:nvSpPr>
        <xdr:cNvPr id="4" name="Text Box 34">
          <a:extLst>
            <a:ext uri="{FF2B5EF4-FFF2-40B4-BE49-F238E27FC236}">
              <a16:creationId xmlns:a16="http://schemas.microsoft.com/office/drawing/2014/main" xmlns="" id="{00000000-0008-0000-0000-000004000000}"/>
            </a:ext>
          </a:extLst>
        </xdr:cNvPr>
        <xdr:cNvSpPr txBox="1">
          <a:spLocks noChangeArrowheads="1"/>
        </xdr:cNvSpPr>
      </xdr:nvSpPr>
      <xdr:spPr bwMode="auto">
        <a:xfrm>
          <a:off x="47625" y="390525"/>
          <a:ext cx="2400300" cy="409575"/>
        </a:xfrm>
        <a:prstGeom prst="rect">
          <a:avLst/>
        </a:prstGeom>
        <a:noFill/>
        <a:ln>
          <a:noFill/>
        </a:ln>
        <a:effectLst/>
        <a:extLst>
          <a:ext uri="{53640926-AAD7-44D8-BBD7-CCE9431645EC}">
            <a14:shadowObscured xmlns:a14="http://schemas.microsoft.com/office/drawing/2010/main" val="1"/>
          </a:ext>
        </a:extLst>
      </xdr:spPr>
      <xdr:txBody>
        <a:bodyPr vertOverflow="clip" wrap="square" lIns="0" tIns="27432" rIns="36576" bIns="0" anchor="t" upright="1"/>
        <a:lstStyle/>
        <a:p>
          <a:pPr algn="l" rtl="0">
            <a:defRPr sz="1000"/>
          </a:pPr>
          <a:r>
            <a:rPr lang="fr-CA" sz="1400" b="1" i="0" u="none" strike="noStrike" baseline="0">
              <a:solidFill>
                <a:srgbClr val="FFFFFF"/>
              </a:solidFill>
              <a:latin typeface="Arial"/>
              <a:cs typeface="Arial"/>
            </a:rPr>
            <a:t>BASE DE DONNÉES 2019</a:t>
          </a:r>
        </a:p>
      </xdr:txBody>
    </xdr:sp>
    <xdr:clientData/>
  </xdr:twoCellAnchor>
  <xdr:twoCellAnchor>
    <xdr:from>
      <xdr:col>1</xdr:col>
      <xdr:colOff>38098</xdr:colOff>
      <xdr:row>6</xdr:row>
      <xdr:rowOff>76201</xdr:rowOff>
    </xdr:from>
    <xdr:to>
      <xdr:col>17</xdr:col>
      <xdr:colOff>0</xdr:colOff>
      <xdr:row>25</xdr:row>
      <xdr:rowOff>180975</xdr:rowOff>
    </xdr:to>
    <xdr:sp macro="" textlink="">
      <xdr:nvSpPr>
        <xdr:cNvPr id="22" name="Rectangle 21">
          <a:extLst>
            <a:ext uri="{FF2B5EF4-FFF2-40B4-BE49-F238E27FC236}">
              <a16:creationId xmlns:a16="http://schemas.microsoft.com/office/drawing/2014/main" xmlns="" id="{00000000-0008-0000-0000-000016000000}"/>
            </a:ext>
          </a:extLst>
        </xdr:cNvPr>
        <xdr:cNvSpPr/>
      </xdr:nvSpPr>
      <xdr:spPr bwMode="auto">
        <a:xfrm>
          <a:off x="228598" y="1685926"/>
          <a:ext cx="15659102" cy="3819524"/>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36000" bIns="0" rtlCol="0" anchor="t" upright="1"/>
        <a:lstStyle/>
        <a:p>
          <a:pPr marL="0" indent="0" algn="just">
            <a:spcAft>
              <a:spcPts val="0"/>
            </a:spcAft>
          </a:pPr>
          <a:r>
            <a:rPr lang="fr-CA" sz="1200" b="0" baseline="0">
              <a:solidFill>
                <a:schemeClr val="accent5">
                  <a:lumMod val="50000"/>
                </a:schemeClr>
              </a:solidFill>
              <a:latin typeface="Arial" panose="020B0604020202020204" pitchFamily="34" charset="0"/>
              <a:ea typeface="+mn-ea"/>
              <a:cs typeface="Arial" panose="020B0604020202020204" pitchFamily="34" charset="0"/>
            </a:rPr>
            <a:t>La Stratégie québécoise d’économie d’eau potable (la Stratégie) 2019-2025 a été lancée le 22 mars 2019 lors de la Journée mondiale de l’eau, en partenariat avec Réseau Environnement, la Fédération québécoise des municipalités (FQM), l’Union des municipalités du Québec (UMQ), la Ville de Montréal et la Ville de Québec. Cette Stratégie, proposant une démarche consensuelle et progressive, a été créée et est portée par l’ensemble des partenaires.</a:t>
          </a:r>
        </a:p>
        <a:p>
          <a:pPr marL="0" indent="0" algn="just">
            <a:spcAft>
              <a:spcPts val="0"/>
            </a:spcAft>
          </a:pPr>
          <a:endParaRPr lang="fr-CA" sz="1200" b="0" baseline="0">
            <a:solidFill>
              <a:schemeClr val="accent5">
                <a:lumMod val="50000"/>
              </a:schemeClr>
            </a:solidFill>
            <a:latin typeface="Arial" panose="020B0604020202020204" pitchFamily="34" charset="0"/>
            <a:ea typeface="+mn-ea"/>
            <a:cs typeface="Arial" panose="020B0604020202020204" pitchFamily="34" charset="0"/>
          </a:endParaRPr>
        </a:p>
        <a:p>
          <a:pPr marL="0" indent="0" algn="just">
            <a:spcAft>
              <a:spcPts val="0"/>
            </a:spcAft>
          </a:pPr>
          <a:r>
            <a:rPr lang="fr-CA" sz="1200" b="0" baseline="0">
              <a:solidFill>
                <a:schemeClr val="accent5">
                  <a:lumMod val="50000"/>
                </a:schemeClr>
              </a:solidFill>
              <a:latin typeface="Arial" panose="020B0604020202020204" pitchFamily="34" charset="0"/>
              <a:ea typeface="+mn-ea"/>
              <a:cs typeface="Arial" panose="020B0604020202020204" pitchFamily="34" charset="0"/>
            </a:rPr>
            <a:t>Une décennie après son lancement, on constate que les municipalités ont grandement bénéficié des retombées de la Stratégie 2011 qui s’articulait autour de la gestion de l’usage de l’eau. En plus d’avoir intégré de bonnes pratiques de gestion de leurs infrastructures d’eau, les municipalités ont pu recueillir des données précises sur ces infrastructures. Ces données leur permettront non seulement de poursuivre leur réflexion sur leur usage de l’eau, mais aussi, à terme, d’élaborer une politique de gestion de leurs infrastructures, voire des plans de gestion de leurs infrastructures. En tablant sur ces acquis, les municipalités sont positionnées pour réaliser la Stratégie 2019‑2025, qui a pour but d’assurer le maintien de leurs actifs en eau et le rattrapage du déficit de maintien des actifs au moyen d’une gestion planifiée.</a:t>
          </a:r>
        </a:p>
        <a:p>
          <a:pPr marL="0" indent="0" algn="just">
            <a:spcAft>
              <a:spcPts val="600"/>
            </a:spcAft>
          </a:pPr>
          <a:endParaRPr lang="fr-CA" sz="1200" b="0" baseline="0">
            <a:solidFill>
              <a:schemeClr val="accent5">
                <a:lumMod val="50000"/>
              </a:schemeClr>
            </a:solidFill>
            <a:latin typeface="Arial" panose="020B0604020202020204" pitchFamily="34" charset="0"/>
            <a:ea typeface="+mn-ea"/>
            <a:cs typeface="Arial" panose="020B0604020202020204" pitchFamily="34" charset="0"/>
          </a:endParaRPr>
        </a:p>
        <a:p>
          <a:pPr marL="0" indent="0" algn="just">
            <a:spcAft>
              <a:spcPts val="600"/>
            </a:spcAft>
          </a:pPr>
          <a:r>
            <a:rPr lang="fr-CA" sz="1200" b="0" baseline="0">
              <a:solidFill>
                <a:schemeClr val="accent5">
                  <a:lumMod val="50000"/>
                </a:schemeClr>
              </a:solidFill>
              <a:latin typeface="Arial" panose="020B0604020202020204" pitchFamily="34" charset="0"/>
              <a:ea typeface="+mn-ea"/>
              <a:cs typeface="Arial" panose="020B0604020202020204" pitchFamily="34" charset="0"/>
            </a:rPr>
            <a:t>Dans le cadre de la Stratégie 2019-2025, les objectifs pour l’ensemble du Québec sont :</a:t>
          </a:r>
        </a:p>
        <a:p>
          <a:pPr marL="628650" lvl="1" indent="-171450" algn="just">
            <a:buFontTx/>
            <a:buBlip>
              <a:blip xmlns:r="http://schemas.openxmlformats.org/officeDocument/2006/relationships" r:embed="rId2"/>
            </a:buBlip>
          </a:pPr>
          <a:r>
            <a:rPr lang="fr-CA" sz="1200" b="0" baseline="0">
              <a:solidFill>
                <a:schemeClr val="accent5">
                  <a:lumMod val="50000"/>
                </a:schemeClr>
              </a:solidFill>
              <a:latin typeface="Arial" panose="020B0604020202020204" pitchFamily="34" charset="0"/>
              <a:ea typeface="+mn-ea"/>
              <a:cs typeface="Arial" panose="020B0604020202020204" pitchFamily="34" charset="0"/>
            </a:rPr>
            <a:t>la réduction de 20 % de la quantité d’eau distribuée par personne par rapport à l’année 2015;</a:t>
          </a:r>
        </a:p>
        <a:p>
          <a:pPr marL="628650" lvl="1" indent="-171450" algn="just">
            <a:buFontTx/>
            <a:buBlip>
              <a:blip xmlns:r="http://schemas.openxmlformats.org/officeDocument/2006/relationships" r:embed="rId2"/>
            </a:buBlip>
          </a:pPr>
          <a:r>
            <a:rPr lang="fr-CA" sz="1200" b="0" baseline="0">
              <a:solidFill>
                <a:schemeClr val="accent5">
                  <a:lumMod val="50000"/>
                </a:schemeClr>
              </a:solidFill>
              <a:latin typeface="Arial" panose="020B0604020202020204" pitchFamily="34" charset="0"/>
              <a:ea typeface="+mn-ea"/>
              <a:cs typeface="Arial" panose="020B0604020202020204" pitchFamily="34" charset="0"/>
            </a:rPr>
            <a:t>l’atteinte d’un niveau de fuites modéré selon l’indice de l’International Water Association;</a:t>
          </a:r>
        </a:p>
        <a:p>
          <a:pPr marL="628650" lvl="1" indent="-171450" algn="just">
            <a:buFontTx/>
            <a:buBlip>
              <a:blip xmlns:r="http://schemas.openxmlformats.org/officeDocument/2006/relationships" r:embed="rId2"/>
            </a:buBlip>
          </a:pPr>
          <a:r>
            <a:rPr lang="fr-CA" sz="1200" b="0" baseline="0">
              <a:solidFill>
                <a:schemeClr val="accent5">
                  <a:lumMod val="50000"/>
                </a:schemeClr>
              </a:solidFill>
              <a:latin typeface="Arial" panose="020B0604020202020204" pitchFamily="34" charset="0"/>
              <a:ea typeface="+mn-ea"/>
              <a:cs typeface="Arial" panose="020B0604020202020204" pitchFamily="34" charset="0"/>
            </a:rPr>
            <a:t>l’augmentation progressive des investissements nécessaires pour réaliser le maintien d’actif de façon pérenne tout en éliminant graduellement le déficit d’entretien.</a:t>
          </a:r>
        </a:p>
        <a:p>
          <a:pPr marL="628650" lvl="1" indent="-171450" algn="just">
            <a:buFontTx/>
            <a:buBlip>
              <a:blip xmlns:r="http://schemas.openxmlformats.org/officeDocument/2006/relationships" r:embed="rId2"/>
            </a:buBlip>
          </a:pPr>
          <a:endParaRPr lang="fr-CA" sz="1200" b="0" baseline="0">
            <a:solidFill>
              <a:schemeClr val="accent5">
                <a:lumMod val="50000"/>
              </a:schemeClr>
            </a:solidFill>
            <a:latin typeface="Arial" panose="020B0604020202020204" pitchFamily="34" charset="0"/>
            <a:ea typeface="+mn-ea"/>
            <a:cs typeface="Arial" panose="020B0604020202020204" pitchFamily="34" charset="0"/>
          </a:endParaRPr>
        </a:p>
        <a:p>
          <a:pPr marL="0" lvl="0" indent="0" algn="just">
            <a:buFontTx/>
            <a:buNone/>
          </a:pPr>
          <a:r>
            <a:rPr lang="fr-CA" sz="1200" b="0" baseline="0">
              <a:solidFill>
                <a:schemeClr val="accent5">
                  <a:lumMod val="50000"/>
                </a:schemeClr>
              </a:solidFill>
              <a:latin typeface="Arial" panose="020B0604020202020204" pitchFamily="34" charset="0"/>
              <a:cs typeface="Arial" panose="020B0604020202020204" pitchFamily="34" charset="0"/>
            </a:rPr>
            <a:t>Le Bilan annuel de la Stratégie municipale d’économie d’eau potable (Bilan) remplace le Formulaire de l’usage de l’eau potable utilisé dans le cadre de la Stratégie 2011-2017. Les données recueillies sont destinées à fournir des informations pertinentes aux municipalités et au ministère des Affaires municipales et de l'Habitation (MAMH) sur l'usage de l'eau potable au Québec. Il dresse l’état de la situation et le portrait des actions progressives à mettre en place dans le contexte de la Stratégie 2019-2025. La production du Bilan demeure l’étape essentielle pour mesurer l’utilisation de l’eau potable au sein de la municipalité, ce qui en fait la base fondamentale de toute démarche d’économie d’eau.</a:t>
          </a:r>
        </a:p>
        <a:p>
          <a:pPr marL="0" lvl="0" indent="0" algn="just">
            <a:buFontTx/>
            <a:buNone/>
          </a:pPr>
          <a:endParaRPr lang="fr-CA" sz="1200" b="0" baseline="0">
            <a:solidFill>
              <a:schemeClr val="accent5">
                <a:lumMod val="50000"/>
              </a:schemeClr>
            </a:solidFill>
            <a:latin typeface="Arial" panose="020B0604020202020204" pitchFamily="34" charset="0"/>
            <a:cs typeface="Arial" panose="020B0604020202020204" pitchFamily="34" charset="0"/>
          </a:endParaRPr>
        </a:p>
        <a:p>
          <a:pPr marL="0" lvl="0" indent="0" algn="just">
            <a:buFontTx/>
            <a:buNone/>
          </a:pPr>
          <a:r>
            <a:rPr lang="fr-CA" sz="1200" b="0" baseline="0">
              <a:solidFill>
                <a:schemeClr val="accent5">
                  <a:lumMod val="50000"/>
                </a:schemeClr>
              </a:solidFill>
              <a:latin typeface="Arial" panose="020B0604020202020204" pitchFamily="34" charset="0"/>
              <a:cs typeface="Arial" panose="020B0604020202020204" pitchFamily="34" charset="0"/>
            </a:rPr>
            <a:t>L'objectif de cette base de données est de présenter les résultats des Bilans 2019 qui ont été transmis et approuvés.</a:t>
          </a:r>
          <a:endParaRPr lang="fr-CA" sz="1100" b="0" baseline="0">
            <a:solidFill>
              <a:schemeClr val="accent1">
                <a:lumMod val="75000"/>
              </a:schemeClr>
            </a:solidFill>
            <a:latin typeface="+mn-lt"/>
          </a:endParaRPr>
        </a:p>
        <a:p>
          <a:pPr algn="just"/>
          <a:endParaRPr lang="fr-CA" sz="1100" b="0" baseline="0">
            <a:solidFill>
              <a:schemeClr val="accent1">
                <a:lumMod val="75000"/>
              </a:schemeClr>
            </a:solidFill>
            <a:latin typeface="+mn-lt"/>
          </a:endParaRPr>
        </a:p>
        <a:p>
          <a:pPr algn="just"/>
          <a:endParaRPr lang="fr-CA" sz="1100" b="0" baseline="0">
            <a:solidFill>
              <a:schemeClr val="accent1">
                <a:lumMod val="75000"/>
              </a:schemeClr>
            </a:solidFill>
            <a:latin typeface="+mn-lt"/>
          </a:endParaRPr>
        </a:p>
      </xdr:txBody>
    </xdr:sp>
    <xdr:clientData/>
  </xdr:twoCellAnchor>
  <xdr:twoCellAnchor editAs="oneCell">
    <xdr:from>
      <xdr:col>6</xdr:col>
      <xdr:colOff>219075</xdr:colOff>
      <xdr:row>0</xdr:row>
      <xdr:rowOff>95250</xdr:rowOff>
    </xdr:from>
    <xdr:to>
      <xdr:col>8</xdr:col>
      <xdr:colOff>561975</xdr:colOff>
      <xdr:row>1</xdr:row>
      <xdr:rowOff>108397</xdr:rowOff>
    </xdr:to>
    <xdr:pic>
      <xdr:nvPicPr>
        <xdr:cNvPr id="53" name="Image 5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4950" y="95250"/>
          <a:ext cx="2305050" cy="30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502444</xdr:colOff>
      <xdr:row>25</xdr:row>
      <xdr:rowOff>169069</xdr:rowOff>
    </xdr:from>
    <xdr:to>
      <xdr:col>10</xdr:col>
      <xdr:colOff>54251</xdr:colOff>
      <xdr:row>29</xdr:row>
      <xdr:rowOff>114300</xdr:rowOff>
    </xdr:to>
    <xdr:grpSp>
      <xdr:nvGrpSpPr>
        <xdr:cNvPr id="2" name="Groupe 1"/>
        <xdr:cNvGrpSpPr/>
      </xdr:nvGrpSpPr>
      <xdr:grpSpPr>
        <a:xfrm>
          <a:off x="699294" y="6042819"/>
          <a:ext cx="8810107" cy="681831"/>
          <a:chOff x="1024233" y="8598694"/>
          <a:chExt cx="7700326" cy="707231"/>
        </a:xfrm>
      </xdr:grpSpPr>
      <xdr:sp macro="" textlink="">
        <xdr:nvSpPr>
          <xdr:cNvPr id="23" name="Rectangle 22">
            <a:extLst>
              <a:ext uri="{FF2B5EF4-FFF2-40B4-BE49-F238E27FC236}">
                <a16:creationId xmlns:a16="http://schemas.microsoft.com/office/drawing/2014/main" xmlns="" id="{00000000-0008-0000-0000-000017000000}"/>
              </a:ext>
            </a:extLst>
          </xdr:cNvPr>
          <xdr:cNvSpPr/>
        </xdr:nvSpPr>
        <xdr:spPr bwMode="auto">
          <a:xfrm>
            <a:off x="1024233" y="8617744"/>
            <a:ext cx="954882" cy="602456"/>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CA" sz="32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607</a:t>
            </a:r>
            <a:endParaRPr lang="fr-CA" sz="1400" b="0" baseline="0">
              <a:solidFill>
                <a:schemeClr val="accent5">
                  <a:lumMod val="50000"/>
                </a:schemeClr>
              </a:solidFill>
              <a:latin typeface="+mn-lt"/>
            </a:endParaRPr>
          </a:p>
        </xdr:txBody>
      </xdr:sp>
      <xdr:sp macro="" textlink="">
        <xdr:nvSpPr>
          <xdr:cNvPr id="24" name="Rectangle 23">
            <a:extLst>
              <a:ext uri="{FF2B5EF4-FFF2-40B4-BE49-F238E27FC236}">
                <a16:creationId xmlns:a16="http://schemas.microsoft.com/office/drawing/2014/main" xmlns="" id="{00000000-0008-0000-0000-000018000000}"/>
              </a:ext>
            </a:extLst>
          </xdr:cNvPr>
          <xdr:cNvSpPr/>
        </xdr:nvSpPr>
        <xdr:spPr bwMode="auto">
          <a:xfrm>
            <a:off x="3829228" y="8655844"/>
            <a:ext cx="4895331" cy="650081"/>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CA" sz="900" b="1"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SOIT</a:t>
            </a:r>
            <a:r>
              <a:rPr kumimoji="0" lang="fr-CA" sz="1200" b="1"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 </a:t>
            </a:r>
            <a:r>
              <a:rPr kumimoji="0" lang="fr-CA" sz="1600" b="1"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91 %</a:t>
            </a:r>
            <a:r>
              <a:rPr kumimoji="0" lang="fr-CA" sz="1200" b="1"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 </a:t>
            </a:r>
            <a:r>
              <a:rPr kumimoji="0" lang="fr-CA" sz="900" b="1"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DE LA POPULATION DESSERVIE PAR UN RÉSEAU DE DISTRIBUTION D'EAU POTABLE AU QUÉBEC</a:t>
            </a:r>
            <a:endParaRPr lang="fr-CA" sz="900" b="1" baseline="0">
              <a:solidFill>
                <a:schemeClr val="accent5">
                  <a:lumMod val="50000"/>
                </a:schemeClr>
              </a:solidFill>
              <a:latin typeface="+mn-lt"/>
            </a:endParaRPr>
          </a:p>
        </xdr:txBody>
      </xdr:sp>
      <xdr:sp macro="" textlink="">
        <xdr:nvSpPr>
          <xdr:cNvPr id="54" name="Rectangle 53">
            <a:extLst>
              <a:ext uri="{FF2B5EF4-FFF2-40B4-BE49-F238E27FC236}">
                <a16:creationId xmlns:a16="http://schemas.microsoft.com/office/drawing/2014/main" xmlns="" id="{00000000-0008-0000-0000-000017000000}"/>
              </a:ext>
            </a:extLst>
          </xdr:cNvPr>
          <xdr:cNvSpPr/>
        </xdr:nvSpPr>
        <xdr:spPr bwMode="auto">
          <a:xfrm>
            <a:off x="2027455" y="8598694"/>
            <a:ext cx="1745455" cy="678656"/>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CA" sz="18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BILANS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CA" sz="18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APPROUVÉS</a:t>
            </a:r>
            <a:endParaRPr lang="fr-CA" sz="1400" b="0" baseline="0">
              <a:solidFill>
                <a:schemeClr val="accent5">
                  <a:lumMod val="50000"/>
                </a:schemeClr>
              </a:solidFill>
              <a:latin typeface="+mn-lt"/>
            </a:endParaRPr>
          </a:p>
        </xdr:txBody>
      </xdr:sp>
    </xdr:grpSp>
    <xdr:clientData/>
  </xdr:twoCellAnchor>
  <xdr:twoCellAnchor>
    <xdr:from>
      <xdr:col>0</xdr:col>
      <xdr:colOff>2</xdr:colOff>
      <xdr:row>30</xdr:row>
      <xdr:rowOff>26194</xdr:rowOff>
    </xdr:from>
    <xdr:to>
      <xdr:col>9</xdr:col>
      <xdr:colOff>209550</xdr:colOff>
      <xdr:row>33</xdr:row>
      <xdr:rowOff>42010</xdr:rowOff>
    </xdr:to>
    <xdr:grpSp>
      <xdr:nvGrpSpPr>
        <xdr:cNvPr id="5" name="Groupe 4"/>
        <xdr:cNvGrpSpPr/>
      </xdr:nvGrpSpPr>
      <xdr:grpSpPr>
        <a:xfrm>
          <a:off x="2" y="6820694"/>
          <a:ext cx="8635998" cy="568266"/>
          <a:chOff x="828676" y="6303169"/>
          <a:chExt cx="8277864" cy="587316"/>
        </a:xfrm>
      </xdr:grpSpPr>
      <xdr:grpSp>
        <xdr:nvGrpSpPr>
          <xdr:cNvPr id="43" name="Groupe 42"/>
          <xdr:cNvGrpSpPr/>
        </xdr:nvGrpSpPr>
        <xdr:grpSpPr>
          <a:xfrm>
            <a:off x="828676" y="6312694"/>
            <a:ext cx="6134099" cy="577791"/>
            <a:chOff x="-674643" y="-233299"/>
            <a:chExt cx="5210535" cy="581131"/>
          </a:xfrm>
        </xdr:grpSpPr>
        <xdr:sp macro="" textlink="">
          <xdr:nvSpPr>
            <xdr:cNvPr id="44" name="Rectangle 43"/>
            <xdr:cNvSpPr/>
          </xdr:nvSpPr>
          <xdr:spPr bwMode="auto">
            <a:xfrm>
              <a:off x="-674643" y="-170963"/>
              <a:ext cx="2887002" cy="51879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r">
                <a:spcAft>
                  <a:spcPts val="0"/>
                </a:spcAft>
              </a:pPr>
              <a:r>
                <a:rPr lang="fr-CA" sz="1300"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Quantité d’eau distribuée par personne par jour</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sp macro="" textlink="">
          <xdr:nvSpPr>
            <xdr:cNvPr id="45" name="Rectangle 44"/>
            <xdr:cNvSpPr/>
          </xdr:nvSpPr>
          <xdr:spPr bwMode="auto">
            <a:xfrm>
              <a:off x="2485902" y="-233299"/>
              <a:ext cx="2049990" cy="552450"/>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ctr" upright="1">
              <a:noAutofit/>
            </a:bodyPr>
            <a:lstStyle/>
            <a:p>
              <a:pPr algn="ctr">
                <a:spcAft>
                  <a:spcPts val="0"/>
                </a:spcAft>
              </a:pPr>
              <a:r>
                <a:rPr lang="fr-CA" sz="280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525 L/pers/d</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grpSp>
      <xdr:sp macro="" textlink="">
        <xdr:nvSpPr>
          <xdr:cNvPr id="26" name="Rectangle 25"/>
          <xdr:cNvSpPr/>
        </xdr:nvSpPr>
        <xdr:spPr bwMode="auto">
          <a:xfrm>
            <a:off x="7115176" y="6303169"/>
            <a:ext cx="1991364" cy="54927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ctr" upright="1">
            <a:noAutofit/>
          </a:bodyPr>
          <a:lstStyle/>
          <a:p>
            <a:pPr algn="just">
              <a:spcAft>
                <a:spcPts val="0"/>
              </a:spcAft>
            </a:pPr>
            <a:r>
              <a:rPr lang="fr-CA" sz="90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RÉDUCTION</a:t>
            </a:r>
            <a:r>
              <a:rPr lang="fr-CA" sz="900" baseline="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 DE </a:t>
            </a:r>
            <a:r>
              <a:rPr lang="fr-CA" sz="1600" baseline="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8,4 %</a:t>
            </a:r>
            <a:r>
              <a:rPr lang="fr-CA" sz="900" baseline="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 PAR RAPPORT À L'ANNÉE 2015</a:t>
            </a:r>
            <a:endParaRPr lang="fr-CA" sz="90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1</xdr:col>
      <xdr:colOff>285750</xdr:colOff>
      <xdr:row>34</xdr:row>
      <xdr:rowOff>50006</xdr:rowOff>
    </xdr:from>
    <xdr:to>
      <xdr:col>8</xdr:col>
      <xdr:colOff>914400</xdr:colOff>
      <xdr:row>37</xdr:row>
      <xdr:rowOff>185835</xdr:rowOff>
    </xdr:to>
    <xdr:grpSp>
      <xdr:nvGrpSpPr>
        <xdr:cNvPr id="8" name="Groupe 7"/>
        <xdr:cNvGrpSpPr/>
      </xdr:nvGrpSpPr>
      <xdr:grpSpPr>
        <a:xfrm>
          <a:off x="482600" y="7581106"/>
          <a:ext cx="7829550" cy="688279"/>
          <a:chOff x="1304925" y="7088981"/>
          <a:chExt cx="7496175" cy="707329"/>
        </a:xfrm>
      </xdr:grpSpPr>
      <xdr:grpSp>
        <xdr:nvGrpSpPr>
          <xdr:cNvPr id="30" name="Groupe 29"/>
          <xdr:cNvGrpSpPr/>
        </xdr:nvGrpSpPr>
        <xdr:grpSpPr>
          <a:xfrm>
            <a:off x="1304925" y="7106709"/>
            <a:ext cx="7496175" cy="689601"/>
            <a:chOff x="968811" y="106485"/>
            <a:chExt cx="4229729" cy="692817"/>
          </a:xfrm>
        </xdr:grpSpPr>
        <xdr:sp macro="" textlink="">
          <xdr:nvSpPr>
            <xdr:cNvPr id="35" name="Rectangle 34"/>
            <xdr:cNvSpPr/>
          </xdr:nvSpPr>
          <xdr:spPr bwMode="auto">
            <a:xfrm>
              <a:off x="968811" y="106485"/>
              <a:ext cx="1641420" cy="692817"/>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r">
                <a:spcBef>
                  <a:spcPts val="600"/>
                </a:spcBef>
                <a:spcAft>
                  <a:spcPts val="600"/>
                </a:spcAft>
              </a:pPr>
              <a:r>
                <a:rPr lang="fr-CA" sz="13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Indice de fuites dans les infrastructures</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sp macro="" textlink="">
          <xdr:nvSpPr>
            <xdr:cNvPr id="33" name="Rectangle 32"/>
            <xdr:cNvSpPr/>
          </xdr:nvSpPr>
          <xdr:spPr bwMode="auto">
            <a:xfrm>
              <a:off x="3314745" y="117384"/>
              <a:ext cx="1883795" cy="55263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just">
                <a:spcBef>
                  <a:spcPts val="0"/>
                </a:spcBef>
                <a:spcAft>
                  <a:spcPts val="0"/>
                </a:spcAft>
              </a:pPr>
              <a:r>
                <a:rPr lang="fr-CA" sz="16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65 % </a:t>
              </a:r>
              <a:r>
                <a:rPr lang="fr-CA" sz="9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DES RÉSEAUX MUNICIPAUX ONT ATTEINT un niveau de fuites faible ou modéré</a:t>
              </a:r>
            </a:p>
          </xdr:txBody>
        </xdr:sp>
      </xdr:grpSp>
      <xdr:sp macro="" textlink="">
        <xdr:nvSpPr>
          <xdr:cNvPr id="27" name="Rectangle 26"/>
          <xdr:cNvSpPr/>
        </xdr:nvSpPr>
        <xdr:spPr bwMode="auto">
          <a:xfrm>
            <a:off x="4362450" y="7088981"/>
            <a:ext cx="1009650" cy="473869"/>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ctr">
              <a:spcBef>
                <a:spcPts val="0"/>
              </a:spcBef>
              <a:spcAft>
                <a:spcPts val="0"/>
              </a:spcAft>
            </a:pPr>
            <a:r>
              <a:rPr lang="fr-CA" sz="28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6,6</a:t>
            </a:r>
          </a:p>
        </xdr:txBody>
      </xdr:sp>
    </xdr:grpSp>
    <xdr:clientData/>
  </xdr:twoCellAnchor>
  <xdr:twoCellAnchor>
    <xdr:from>
      <xdr:col>1</xdr:col>
      <xdr:colOff>47626</xdr:colOff>
      <xdr:row>38</xdr:row>
      <xdr:rowOff>19050</xdr:rowOff>
    </xdr:from>
    <xdr:to>
      <xdr:col>10</xdr:col>
      <xdr:colOff>940595</xdr:colOff>
      <xdr:row>41</xdr:row>
      <xdr:rowOff>38100</xdr:rowOff>
    </xdr:to>
    <xdr:grpSp>
      <xdr:nvGrpSpPr>
        <xdr:cNvPr id="6" name="Groupe 5"/>
        <xdr:cNvGrpSpPr/>
      </xdr:nvGrpSpPr>
      <xdr:grpSpPr>
        <a:xfrm>
          <a:off x="244476" y="8286750"/>
          <a:ext cx="10151269" cy="571500"/>
          <a:chOff x="1066801" y="7820025"/>
          <a:chExt cx="9722644" cy="590550"/>
        </a:xfrm>
      </xdr:grpSpPr>
      <xdr:grpSp>
        <xdr:nvGrpSpPr>
          <xdr:cNvPr id="46" name="Group 36"/>
          <xdr:cNvGrpSpPr/>
        </xdr:nvGrpSpPr>
        <xdr:grpSpPr>
          <a:xfrm>
            <a:off x="1066801" y="7874794"/>
            <a:ext cx="9722644" cy="535781"/>
            <a:chOff x="518805" y="-599961"/>
            <a:chExt cx="4590312" cy="531353"/>
          </a:xfrm>
        </xdr:grpSpPr>
        <xdr:sp macro="" textlink="">
          <xdr:nvSpPr>
            <xdr:cNvPr id="47" name="Rectangle 46"/>
            <xdr:cNvSpPr/>
          </xdr:nvSpPr>
          <xdr:spPr bwMode="auto">
            <a:xfrm>
              <a:off x="518805" y="-501306"/>
              <a:ext cx="1478050" cy="328790"/>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r">
                <a:spcAft>
                  <a:spcPts val="0"/>
                </a:spcAft>
              </a:pPr>
              <a:r>
                <a:rPr lang="fr-CA" sz="1300"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Consommation résidentielle</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sp macro="" textlink="">
          <xdr:nvSpPr>
            <xdr:cNvPr id="48" name="Rectangle 47"/>
            <xdr:cNvSpPr/>
          </xdr:nvSpPr>
          <xdr:spPr bwMode="auto">
            <a:xfrm>
              <a:off x="3411122" y="-599961"/>
              <a:ext cx="1697995" cy="531353"/>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just">
                <a:spcBef>
                  <a:spcPts val="600"/>
                </a:spcBef>
                <a:spcAft>
                  <a:spcPts val="600"/>
                </a:spcAft>
              </a:pPr>
              <a:r>
                <a:rPr lang="fr-CA" sz="16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46 % </a:t>
              </a:r>
              <a:r>
                <a:rPr lang="fr-CA" sz="9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DES MUNICIPALITÉS ONT ATTEINT LEUR OBJECTIF DE CONSOMMATION RÉSIDENTIELLE.</a:t>
              </a:r>
            </a:p>
          </xdr:txBody>
        </xdr:sp>
      </xdr:grpSp>
      <xdr:sp macro="" textlink="">
        <xdr:nvSpPr>
          <xdr:cNvPr id="28" name="Rectangle 27"/>
          <xdr:cNvSpPr/>
        </xdr:nvSpPr>
        <xdr:spPr bwMode="auto">
          <a:xfrm>
            <a:off x="4524375" y="7820025"/>
            <a:ext cx="2413349" cy="54927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ctr" upright="1">
            <a:noAutofit/>
          </a:bodyPr>
          <a:lstStyle/>
          <a:p>
            <a:pPr algn="ctr">
              <a:spcAft>
                <a:spcPts val="0"/>
              </a:spcAft>
            </a:pPr>
            <a:r>
              <a:rPr lang="fr-CA" sz="2800">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262 L/pers/d</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grpSp>
    <xdr:clientData/>
  </xdr:twoCellAnchor>
  <xdr:twoCellAnchor>
    <xdr:from>
      <xdr:col>1</xdr:col>
      <xdr:colOff>809626</xdr:colOff>
      <xdr:row>41</xdr:row>
      <xdr:rowOff>161925</xdr:rowOff>
    </xdr:from>
    <xdr:to>
      <xdr:col>9</xdr:col>
      <xdr:colOff>47628</xdr:colOff>
      <xdr:row>45</xdr:row>
      <xdr:rowOff>59531</xdr:rowOff>
    </xdr:to>
    <xdr:grpSp>
      <xdr:nvGrpSpPr>
        <xdr:cNvPr id="7" name="Groupe 6"/>
        <xdr:cNvGrpSpPr/>
      </xdr:nvGrpSpPr>
      <xdr:grpSpPr>
        <a:xfrm>
          <a:off x="1006476" y="8982075"/>
          <a:ext cx="7467602" cy="634206"/>
          <a:chOff x="1828801" y="8534400"/>
          <a:chExt cx="7086602" cy="659606"/>
        </a:xfrm>
      </xdr:grpSpPr>
      <xdr:grpSp>
        <xdr:nvGrpSpPr>
          <xdr:cNvPr id="49" name="Group 36"/>
          <xdr:cNvGrpSpPr/>
        </xdr:nvGrpSpPr>
        <xdr:grpSpPr>
          <a:xfrm>
            <a:off x="1828801" y="8559512"/>
            <a:ext cx="7086602" cy="634494"/>
            <a:chOff x="1686214" y="-728198"/>
            <a:chExt cx="2852072" cy="793219"/>
          </a:xfrm>
        </xdr:grpSpPr>
        <xdr:sp macro="" textlink="">
          <xdr:nvSpPr>
            <xdr:cNvPr id="50" name="Rectangle 49"/>
            <xdr:cNvSpPr/>
          </xdr:nvSpPr>
          <xdr:spPr bwMode="auto">
            <a:xfrm>
              <a:off x="1686214" y="-728198"/>
              <a:ext cx="956339" cy="793219"/>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r">
                <a:spcAft>
                  <a:spcPts val="0"/>
                </a:spcAft>
              </a:pPr>
              <a:r>
                <a:rPr lang="fr-CA" sz="1300"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RÉSULTAT DE VALIDITÉ DE DONNÉES </a:t>
              </a:r>
              <a:endParaRPr lang="fr-CA" sz="1100">
                <a:solidFill>
                  <a:schemeClr val="accent5">
                    <a:lumMod val="50000"/>
                  </a:schemeClr>
                </a:solidFill>
                <a:effectLst/>
                <a:latin typeface="Arial" panose="020B0604020202020204" pitchFamily="34" charset="0"/>
                <a:ea typeface="Times New Roman" panose="02020603050405020304" pitchFamily="18" charset="0"/>
              </a:endParaRPr>
            </a:p>
          </xdr:txBody>
        </xdr:sp>
        <xdr:sp macro="" textlink="">
          <xdr:nvSpPr>
            <xdr:cNvPr id="51" name="Rectangle 50"/>
            <xdr:cNvSpPr/>
          </xdr:nvSpPr>
          <xdr:spPr bwMode="auto">
            <a:xfrm>
              <a:off x="3087774" y="-723870"/>
              <a:ext cx="1450512" cy="693926"/>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just">
                <a:spcBef>
                  <a:spcPts val="600"/>
                </a:spcBef>
                <a:spcAft>
                  <a:spcPts val="600"/>
                </a:spcAft>
              </a:pPr>
              <a:r>
                <a:rPr lang="fr-CA" sz="16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85 </a:t>
              </a:r>
              <a:r>
                <a:rPr lang="fr-CA" sz="9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 des audits de l’eau de l’AWWA ont obtenus un RVD supérieur à 50.</a:t>
              </a:r>
            </a:p>
          </xdr:txBody>
        </xdr:sp>
      </xdr:grpSp>
      <xdr:sp macro="" textlink="">
        <xdr:nvSpPr>
          <xdr:cNvPr id="31" name="Rectangle 30"/>
          <xdr:cNvSpPr/>
        </xdr:nvSpPr>
        <xdr:spPr bwMode="auto">
          <a:xfrm>
            <a:off x="4286250" y="8534400"/>
            <a:ext cx="1009650" cy="473869"/>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wrap="square" lIns="18288" tIns="0" rIns="0" bIns="0" rtlCol="0" anchor="t" upright="1">
            <a:noAutofit/>
          </a:bodyPr>
          <a:lstStyle/>
          <a:p>
            <a:pPr algn="ctr">
              <a:spcBef>
                <a:spcPts val="0"/>
              </a:spcBef>
              <a:spcAft>
                <a:spcPts val="0"/>
              </a:spcAft>
            </a:pPr>
            <a:r>
              <a:rPr lang="fr-CA" sz="2800" b="1" cap="all">
                <a:solidFill>
                  <a:schemeClr val="accent5">
                    <a:lumMod val="50000"/>
                  </a:schemeClr>
                </a:solidFill>
                <a:effectLst/>
                <a:latin typeface="Arial Black" panose="020B0A04020102020204" pitchFamily="34" charset="0"/>
                <a:ea typeface="Times New Roman" panose="02020603050405020304" pitchFamily="18" charset="0"/>
                <a:cs typeface="Times New Roman" panose="02020603050405020304" pitchFamily="18" charset="0"/>
              </a:rPr>
              <a:t>58</a:t>
            </a:r>
          </a:p>
        </xdr:txBody>
      </xdr:sp>
    </xdr:grpSp>
    <xdr:clientData/>
  </xdr:twoCellAnchor>
  <xdr:twoCellAnchor editAs="oneCell">
    <xdr:from>
      <xdr:col>11</xdr:col>
      <xdr:colOff>409575</xdr:colOff>
      <xdr:row>22</xdr:row>
      <xdr:rowOff>352424</xdr:rowOff>
    </xdr:from>
    <xdr:to>
      <xdr:col>17</xdr:col>
      <xdr:colOff>333375</xdr:colOff>
      <xdr:row>50</xdr:row>
      <xdr:rowOff>35155</xdr:rowOff>
    </xdr:to>
    <xdr:pic>
      <xdr:nvPicPr>
        <xdr:cNvPr id="32" name="Image 31" descr="C:\Users\cagaude1\AppData\Local\Microsoft\Windows\INetCache\Content.Word\2021-03 Carte_FR.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10825" y="5010149"/>
          <a:ext cx="5810250" cy="5797781"/>
        </a:xfrm>
        <a:prstGeom prst="rect">
          <a:avLst/>
        </a:prstGeom>
        <a:noFill/>
        <a:ln>
          <a:noFill/>
        </a:ln>
      </xdr:spPr>
    </xdr:pic>
    <xdr:clientData/>
  </xdr:twoCellAnchor>
  <xdr:twoCellAnchor>
    <xdr:from>
      <xdr:col>11</xdr:col>
      <xdr:colOff>771525</xdr:colOff>
      <xdr:row>50</xdr:row>
      <xdr:rowOff>114300</xdr:rowOff>
    </xdr:from>
    <xdr:to>
      <xdr:col>17</xdr:col>
      <xdr:colOff>104775</xdr:colOff>
      <xdr:row>52</xdr:row>
      <xdr:rowOff>180975</xdr:rowOff>
    </xdr:to>
    <xdr:sp macro="" textlink="">
      <xdr:nvSpPr>
        <xdr:cNvPr id="9" name="ZoneTexte 8"/>
        <xdr:cNvSpPr txBox="1"/>
      </xdr:nvSpPr>
      <xdr:spPr>
        <a:xfrm>
          <a:off x="10772775" y="10887075"/>
          <a:ext cx="52197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b="0" i="0" u="none" strike="noStrike" baseline="0" smtClean="0">
              <a:solidFill>
                <a:schemeClr val="dk1"/>
              </a:solidFill>
              <a:latin typeface="+mn-lt"/>
              <a:ea typeface="+mn-ea"/>
              <a:cs typeface="+mn-cs"/>
            </a:rPr>
            <a:t>Politiques des provinces et États nord-américains pour suivre et réduire les pertes d’eau des réseaux de distribution d’eau potable. </a:t>
          </a:r>
          <a:r>
            <a:rPr lang="fr-CA" sz="900" b="0" i="1" u="none" strike="noStrike" baseline="0" smtClean="0">
              <a:solidFill>
                <a:schemeClr val="dk1"/>
              </a:solidFill>
              <a:latin typeface="+mn-lt"/>
              <a:ea typeface="+mn-ea"/>
              <a:cs typeface="+mn-cs"/>
            </a:rPr>
            <a:t>Notre traduction adaptée de (NRDC, 2018) </a:t>
          </a:r>
          <a:endParaRPr lang="fr-CA" sz="9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xdr:colOff>
      <xdr:row>0</xdr:row>
      <xdr:rowOff>9525</xdr:rowOff>
    </xdr:from>
    <xdr:to>
      <xdr:col>19</xdr:col>
      <xdr:colOff>549089</xdr:colOff>
      <xdr:row>2</xdr:row>
      <xdr:rowOff>89648</xdr:rowOff>
    </xdr:to>
    <xdr:sp macro="" textlink="">
      <xdr:nvSpPr>
        <xdr:cNvPr id="48" name="Titre 1"/>
        <xdr:cNvSpPr txBox="1">
          <a:spLocks/>
        </xdr:cNvSpPr>
      </xdr:nvSpPr>
      <xdr:spPr>
        <a:xfrm>
          <a:off x="9524" y="9525"/>
          <a:ext cx="19365447" cy="797299"/>
        </a:xfrm>
        <a:prstGeom prst="rect">
          <a:avLst/>
        </a:prstGeom>
        <a:blipFill>
          <a:blip xmlns:r="http://schemas.openxmlformats.org/officeDocument/2006/relationships" r:embed="rId1"/>
          <a:srcRect/>
          <a:stretch>
            <a:fillRect l="1" r="-17648"/>
          </a:stretch>
        </a:blipFill>
      </xdr:spPr>
      <xdr:txBody>
        <a:bodyPr vert="horz" wrap="square" lIns="91440" tIns="45720" rIns="91440" bIns="45720" rtlCol="0"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endParaRPr lang="fr-FR" sz="2800" b="1">
            <a:solidFill>
              <a:srgbClr val="000000"/>
            </a:solidFill>
            <a:latin typeface="Arial" charset="0"/>
            <a:ea typeface="Arial" charset="0"/>
            <a:cs typeface="Arial" charset="0"/>
          </a:endParaRPr>
        </a:p>
      </xdr:txBody>
    </xdr:sp>
    <xdr:clientData/>
  </xdr:twoCellAnchor>
  <xdr:twoCellAnchor editAs="oneCell">
    <xdr:from>
      <xdr:col>0</xdr:col>
      <xdr:colOff>0</xdr:colOff>
      <xdr:row>11</xdr:row>
      <xdr:rowOff>100853</xdr:rowOff>
    </xdr:from>
    <xdr:to>
      <xdr:col>11</xdr:col>
      <xdr:colOff>857249</xdr:colOff>
      <xdr:row>28</xdr:row>
      <xdr:rowOff>0</xdr:rowOff>
    </xdr:to>
    <xdr:graphicFrame macro="">
      <xdr:nvGraphicFramePr>
        <xdr:cNvPr id="4" name="Graphique 46">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5</xdr:col>
          <xdr:colOff>107950</xdr:colOff>
          <xdr:row>5</xdr:row>
          <xdr:rowOff>38100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xmlns="" id="{00000000-0008-0000-01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22412</xdr:colOff>
      <xdr:row>1</xdr:row>
      <xdr:rowOff>42736</xdr:rowOff>
    </xdr:from>
    <xdr:to>
      <xdr:col>4</xdr:col>
      <xdr:colOff>1870262</xdr:colOff>
      <xdr:row>1</xdr:row>
      <xdr:rowOff>315717</xdr:rowOff>
    </xdr:to>
    <xdr:sp macro="" textlink="">
      <xdr:nvSpPr>
        <xdr:cNvPr id="7" name="Text Box 216">
          <a:extLst>
            <a:ext uri="{FF2B5EF4-FFF2-40B4-BE49-F238E27FC236}">
              <a16:creationId xmlns:a16="http://schemas.microsoft.com/office/drawing/2014/main" xmlns="" id="{00000000-0008-0000-0100-000007000000}"/>
            </a:ext>
          </a:extLst>
        </xdr:cNvPr>
        <xdr:cNvSpPr txBox="1">
          <a:spLocks noChangeArrowheads="1"/>
        </xdr:cNvSpPr>
      </xdr:nvSpPr>
      <xdr:spPr bwMode="auto">
        <a:xfrm>
          <a:off x="134471" y="154795"/>
          <a:ext cx="3248585" cy="27298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32004" rIns="0" bIns="0" anchor="t" upright="1"/>
        <a:lstStyle/>
        <a:p>
          <a:pPr algn="l" rtl="0">
            <a:defRPr sz="1000"/>
          </a:pPr>
          <a:r>
            <a:rPr lang="fr-CA" sz="1600" b="1" i="0" u="none" strike="noStrike" baseline="0">
              <a:solidFill>
                <a:srgbClr val="FFFFFF"/>
              </a:solidFill>
              <a:effectLst>
                <a:outerShdw blurRad="50800" dist="38100" dir="2700000" algn="tl" rotWithShape="0">
                  <a:prstClr val="black">
                    <a:alpha val="40000"/>
                  </a:prstClr>
                </a:outerShdw>
              </a:effectLst>
              <a:latin typeface="Arial"/>
              <a:cs typeface="Arial"/>
            </a:rPr>
            <a:t>ÉVOLUTION DES RÉSULTATS</a:t>
          </a:r>
        </a:p>
      </xdr:txBody>
    </xdr:sp>
    <xdr:clientData/>
  </xdr:twoCellAnchor>
  <xdr:twoCellAnchor editAs="oneCell">
    <xdr:from>
      <xdr:col>8</xdr:col>
      <xdr:colOff>1304132</xdr:colOff>
      <xdr:row>31</xdr:row>
      <xdr:rowOff>31056</xdr:rowOff>
    </xdr:from>
    <xdr:to>
      <xdr:col>17</xdr:col>
      <xdr:colOff>123264</xdr:colOff>
      <xdr:row>49</xdr:row>
      <xdr:rowOff>114571</xdr:rowOff>
    </xdr:to>
    <xdr:graphicFrame macro="">
      <xdr:nvGraphicFramePr>
        <xdr:cNvPr id="12" name="Graphique 46">
          <a:extLst>
            <a:ext uri="{FF2B5EF4-FFF2-40B4-BE49-F238E27FC236}">
              <a16:creationId xmlns:a16="http://schemas.microsoft.com/office/drawing/2014/main" xmlns=""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92</xdr:row>
      <xdr:rowOff>129468</xdr:rowOff>
    </xdr:from>
    <xdr:to>
      <xdr:col>8</xdr:col>
      <xdr:colOff>627530</xdr:colOff>
      <xdr:row>107</xdr:row>
      <xdr:rowOff>123265</xdr:rowOff>
    </xdr:to>
    <xdr:graphicFrame macro="">
      <xdr:nvGraphicFramePr>
        <xdr:cNvPr id="25" name="Graphique 104">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editAs="oneCell">
    <xdr:from>
      <xdr:col>8</xdr:col>
      <xdr:colOff>1120512</xdr:colOff>
      <xdr:row>92</xdr:row>
      <xdr:rowOff>106531</xdr:rowOff>
    </xdr:from>
    <xdr:to>
      <xdr:col>13</xdr:col>
      <xdr:colOff>2810242</xdr:colOff>
      <xdr:row>108</xdr:row>
      <xdr:rowOff>28090</xdr:rowOff>
    </xdr:to>
    <xdr:graphicFrame macro="">
      <xdr:nvGraphicFramePr>
        <xdr:cNvPr id="26" name="Graphique 106">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11</xdr:col>
      <xdr:colOff>956726</xdr:colOff>
      <xdr:row>11</xdr:row>
      <xdr:rowOff>18491</xdr:rowOff>
    </xdr:from>
    <xdr:to>
      <xdr:col>19</xdr:col>
      <xdr:colOff>241842</xdr:colOff>
      <xdr:row>27</xdr:row>
      <xdr:rowOff>160456</xdr:rowOff>
    </xdr:to>
    <xdr:graphicFrame macro="">
      <xdr:nvGraphicFramePr>
        <xdr:cNvPr id="5" name="Graphique 4">
          <a:extLst>
            <a:ext uri="{FF2B5EF4-FFF2-40B4-BE49-F238E27FC236}">
              <a16:creationId xmlns:a16="http://schemas.microsoft.com/office/drawing/2014/main" xmlns=""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1218237</xdr:colOff>
      <xdr:row>53</xdr:row>
      <xdr:rowOff>136470</xdr:rowOff>
    </xdr:from>
    <xdr:to>
      <xdr:col>18</xdr:col>
      <xdr:colOff>425823</xdr:colOff>
      <xdr:row>69</xdr:row>
      <xdr:rowOff>200973</xdr:rowOff>
    </xdr:to>
    <xdr:graphicFrame macro="">
      <xdr:nvGraphicFramePr>
        <xdr:cNvPr id="31" name="Graphique 46">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10645</xdr:colOff>
      <xdr:row>31</xdr:row>
      <xdr:rowOff>118224</xdr:rowOff>
    </xdr:from>
    <xdr:to>
      <xdr:col>9</xdr:col>
      <xdr:colOff>269199</xdr:colOff>
      <xdr:row>48</xdr:row>
      <xdr:rowOff>112060</xdr:rowOff>
    </xdr:to>
    <xdr:graphicFrame macro="">
      <xdr:nvGraphicFramePr>
        <xdr:cNvPr id="32" name="Graphique 46">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112058</xdr:colOff>
      <xdr:row>53</xdr:row>
      <xdr:rowOff>80123</xdr:rowOff>
    </xdr:from>
    <xdr:to>
      <xdr:col>9</xdr:col>
      <xdr:colOff>256312</xdr:colOff>
      <xdr:row>67</xdr:row>
      <xdr:rowOff>347381</xdr:rowOff>
    </xdr:to>
    <xdr:graphicFrame macro="">
      <xdr:nvGraphicFramePr>
        <xdr:cNvPr id="33" name="Graphique 46">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325931</xdr:colOff>
      <xdr:row>71</xdr:row>
      <xdr:rowOff>74998</xdr:rowOff>
    </xdr:from>
    <xdr:to>
      <xdr:col>19</xdr:col>
      <xdr:colOff>464485</xdr:colOff>
      <xdr:row>76</xdr:row>
      <xdr:rowOff>0</xdr:rowOff>
    </xdr:to>
    <xdr:graphicFrame macro="">
      <xdr:nvGraphicFramePr>
        <xdr:cNvPr id="30" name="Graphique 46">
          <a:extLst>
            <a:ext uri="{FF2B5EF4-FFF2-40B4-BE49-F238E27FC236}">
              <a16:creationId xmlns:a16="http://schemas.microsoft.com/office/drawing/2014/main" xmlns=""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71</xdr:row>
      <xdr:rowOff>78922</xdr:rowOff>
    </xdr:from>
    <xdr:to>
      <xdr:col>11</xdr:col>
      <xdr:colOff>302558</xdr:colOff>
      <xdr:row>76</xdr:row>
      <xdr:rowOff>0</xdr:rowOff>
    </xdr:to>
    <xdr:graphicFrame macro="">
      <xdr:nvGraphicFramePr>
        <xdr:cNvPr id="34" name="Graphique 46">
          <a:extLst>
            <a:ext uri="{FF2B5EF4-FFF2-40B4-BE49-F238E27FC236}">
              <a16:creationId xmlns:a16="http://schemas.microsoft.com/office/drawing/2014/main" xmlns=""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11</xdr:col>
      <xdr:colOff>384361</xdr:colOff>
      <xdr:row>76</xdr:row>
      <xdr:rowOff>77880</xdr:rowOff>
    </xdr:from>
    <xdr:to>
      <xdr:col>19</xdr:col>
      <xdr:colOff>402851</xdr:colOff>
      <xdr:row>89</xdr:row>
      <xdr:rowOff>10645</xdr:rowOff>
    </xdr:to>
    <xdr:graphicFrame macro="">
      <xdr:nvGraphicFramePr>
        <xdr:cNvPr id="37" name="Graphique 46">
          <a:extLst>
            <a:ext uri="{FF2B5EF4-FFF2-40B4-BE49-F238E27FC236}">
              <a16:creationId xmlns:a16="http://schemas.microsoft.com/office/drawing/2014/main" xmlns=""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22412</xdr:colOff>
      <xdr:row>76</xdr:row>
      <xdr:rowOff>100854</xdr:rowOff>
    </xdr:from>
    <xdr:to>
      <xdr:col>11</xdr:col>
      <xdr:colOff>302557</xdr:colOff>
      <xdr:row>87</xdr:row>
      <xdr:rowOff>179294</xdr:rowOff>
    </xdr:to>
    <xdr:graphicFrame macro="">
      <xdr:nvGraphicFramePr>
        <xdr:cNvPr id="28" name="Graphique 46">
          <a:extLst>
            <a:ext uri="{FF2B5EF4-FFF2-40B4-BE49-F238E27FC236}">
              <a16:creationId xmlns:a16="http://schemas.microsoft.com/office/drawing/2014/main" xmlns=""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111</xdr:row>
      <xdr:rowOff>153520</xdr:rowOff>
    </xdr:from>
    <xdr:to>
      <xdr:col>9</xdr:col>
      <xdr:colOff>142013</xdr:colOff>
      <xdr:row>161</xdr:row>
      <xdr:rowOff>153519</xdr:rowOff>
    </xdr:to>
    <xdr:graphicFrame macro="">
      <xdr:nvGraphicFramePr>
        <xdr:cNvPr id="35" name="Graphique 46">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1264585</xdr:colOff>
      <xdr:row>111</xdr:row>
      <xdr:rowOff>119343</xdr:rowOff>
    </xdr:from>
    <xdr:to>
      <xdr:col>17</xdr:col>
      <xdr:colOff>739588</xdr:colOff>
      <xdr:row>161</xdr:row>
      <xdr:rowOff>197787</xdr:rowOff>
    </xdr:to>
    <xdr:graphicFrame macro="">
      <xdr:nvGraphicFramePr>
        <xdr:cNvPr id="21" name="Graphique 46">
          <a:extLst>
            <a:ext uri="{FF2B5EF4-FFF2-40B4-BE49-F238E27FC236}">
              <a16:creationId xmlns:a16="http://schemas.microsoft.com/office/drawing/2014/main" xmlns=""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295226</xdr:colOff>
      <xdr:row>25</xdr:row>
      <xdr:rowOff>159050</xdr:rowOff>
    </xdr:from>
    <xdr:to>
      <xdr:col>14</xdr:col>
      <xdr:colOff>295226</xdr:colOff>
      <xdr:row>31</xdr:row>
      <xdr:rowOff>36091</xdr:rowOff>
    </xdr:to>
    <xdr:sp macro="" textlink="">
      <xdr:nvSpPr>
        <xdr:cNvPr id="16" name="Text Box 34">
          <a:extLst>
            <a:ext uri="{FF2B5EF4-FFF2-40B4-BE49-F238E27FC236}">
              <a16:creationId xmlns:a16="http://schemas.microsoft.com/office/drawing/2014/main" xmlns="" id="{00000000-0008-0000-0000-000020000000}"/>
            </a:ext>
          </a:extLst>
        </xdr:cNvPr>
        <xdr:cNvSpPr txBox="1">
          <a:spLocks noChangeArrowheads="1"/>
        </xdr:cNvSpPr>
      </xdr:nvSpPr>
      <xdr:spPr bwMode="auto">
        <a:xfrm>
          <a:off x="9248726" y="5235875"/>
          <a:ext cx="2686050" cy="1020041"/>
        </a:xfrm>
        <a:prstGeom prst="rect">
          <a:avLst/>
        </a:prstGeom>
        <a:noFill/>
        <a:ln>
          <a:noFill/>
        </a:ln>
        <a:effectLst/>
        <a:extLst>
          <a:ext uri="{53640926-AAD7-44D8-BBD7-CCE9431645EC}">
            <a14:shadowObscured xmlns:a14="http://schemas.microsoft.com/office/drawing/2010/main" val="1"/>
          </a:ext>
        </a:extLst>
      </xdr:spPr>
      <xdr:txBody>
        <a:bodyPr vertOverflow="clip" wrap="square" lIns="0" tIns="27432" rIns="36576" bIns="0" anchor="t" upright="1"/>
        <a:lstStyle/>
        <a:p>
          <a:pPr algn="r" rtl="0">
            <a:defRPr sz="1000"/>
          </a:pPr>
          <a:r>
            <a:rPr lang="fr-CA" sz="1400" b="1" i="0" u="none" strike="noStrike" baseline="0">
              <a:solidFill>
                <a:srgbClr val="FFFFFF"/>
              </a:solidFill>
              <a:latin typeface="Arial"/>
              <a:cs typeface="Arial"/>
            </a:rPr>
            <a:t>BASE DE </a:t>
          </a:r>
        </a:p>
        <a:p>
          <a:pPr algn="r" rtl="0">
            <a:defRPr sz="1000"/>
          </a:pPr>
          <a:r>
            <a:rPr lang="fr-CA" sz="1400" b="1" i="0" u="none" strike="noStrike" baseline="0">
              <a:solidFill>
                <a:srgbClr val="FFFFFF"/>
              </a:solidFill>
              <a:latin typeface="Arial"/>
              <a:cs typeface="Arial"/>
            </a:rPr>
            <a:t>DONNÉE 2018</a:t>
          </a:r>
        </a:p>
      </xdr:txBody>
    </xdr:sp>
    <xdr:clientData/>
  </xdr:twoCellAnchor>
  <xdr:twoCellAnchor>
    <xdr:from>
      <xdr:col>11</xdr:col>
      <xdr:colOff>298637</xdr:colOff>
      <xdr:row>39</xdr:row>
      <xdr:rowOff>158563</xdr:rowOff>
    </xdr:from>
    <xdr:to>
      <xdr:col>14</xdr:col>
      <xdr:colOff>298637</xdr:colOff>
      <xdr:row>43</xdr:row>
      <xdr:rowOff>35604</xdr:rowOff>
    </xdr:to>
    <xdr:sp macro="" textlink="">
      <xdr:nvSpPr>
        <xdr:cNvPr id="17" name="Text Box 34">
          <a:extLst>
            <a:ext uri="{FF2B5EF4-FFF2-40B4-BE49-F238E27FC236}">
              <a16:creationId xmlns:a16="http://schemas.microsoft.com/office/drawing/2014/main" xmlns="" id="{00000000-0008-0000-0000-000029000000}"/>
            </a:ext>
          </a:extLst>
        </xdr:cNvPr>
        <xdr:cNvSpPr txBox="1">
          <a:spLocks noChangeArrowheads="1"/>
        </xdr:cNvSpPr>
      </xdr:nvSpPr>
      <xdr:spPr bwMode="auto">
        <a:xfrm>
          <a:off x="9252137" y="7902388"/>
          <a:ext cx="2686050" cy="639041"/>
        </a:xfrm>
        <a:prstGeom prst="rect">
          <a:avLst/>
        </a:prstGeom>
        <a:noFill/>
        <a:ln>
          <a:noFill/>
        </a:ln>
        <a:effectLst/>
        <a:extLst>
          <a:ext uri="{53640926-AAD7-44D8-BBD7-CCE9431645EC}">
            <a14:shadowObscured xmlns:a14="http://schemas.microsoft.com/office/drawing/2010/main" val="1"/>
          </a:ext>
        </a:extLst>
      </xdr:spPr>
      <xdr:txBody>
        <a:bodyPr vertOverflow="clip" wrap="square" lIns="0" tIns="27432" rIns="36576" bIns="0" anchor="t" upright="1"/>
        <a:lstStyle/>
        <a:p>
          <a:pPr algn="r" rtl="0">
            <a:defRPr sz="1000"/>
          </a:pPr>
          <a:r>
            <a:rPr lang="fr-CA" sz="1400" b="1" i="0" u="none" strike="noStrike" baseline="0">
              <a:solidFill>
                <a:srgbClr val="FFFFFF"/>
              </a:solidFill>
              <a:latin typeface="Arial"/>
              <a:cs typeface="Arial"/>
            </a:rPr>
            <a:t>BASE DE </a:t>
          </a:r>
        </a:p>
        <a:p>
          <a:pPr algn="r" rtl="0">
            <a:defRPr sz="1000"/>
          </a:pPr>
          <a:r>
            <a:rPr lang="fr-CA" sz="1400" b="1" i="0" u="none" strike="noStrike" baseline="0">
              <a:solidFill>
                <a:srgbClr val="FFFFFF"/>
              </a:solidFill>
              <a:latin typeface="Arial"/>
              <a:cs typeface="Arial"/>
            </a:rPr>
            <a:t>DONNÉES 2018</a:t>
          </a:r>
        </a:p>
      </xdr:txBody>
    </xdr:sp>
    <xdr:clientData/>
  </xdr:twoCellAnchor>
  <xdr:twoCellAnchor>
    <xdr:from>
      <xdr:col>0</xdr:col>
      <xdr:colOff>9524</xdr:colOff>
      <xdr:row>0</xdr:row>
      <xdr:rowOff>0</xdr:rowOff>
    </xdr:from>
    <xdr:to>
      <xdr:col>14</xdr:col>
      <xdr:colOff>266699</xdr:colOff>
      <xdr:row>3</xdr:row>
      <xdr:rowOff>152400</xdr:rowOff>
    </xdr:to>
    <xdr:grpSp>
      <xdr:nvGrpSpPr>
        <xdr:cNvPr id="58" name="Groupe 57"/>
        <xdr:cNvGrpSpPr/>
      </xdr:nvGrpSpPr>
      <xdr:grpSpPr>
        <a:xfrm>
          <a:off x="9524" y="0"/>
          <a:ext cx="11858625" cy="1038225"/>
          <a:chOff x="114300" y="0"/>
          <a:chExt cx="11639550" cy="1038225"/>
        </a:xfrm>
      </xdr:grpSpPr>
      <xdr:sp macro="" textlink="">
        <xdr:nvSpPr>
          <xdr:cNvPr id="2" name="Titre 1"/>
          <xdr:cNvSpPr txBox="1">
            <a:spLocks/>
          </xdr:cNvSpPr>
        </xdr:nvSpPr>
        <xdr:spPr>
          <a:xfrm>
            <a:off x="114300" y="0"/>
            <a:ext cx="11639550" cy="1038225"/>
          </a:xfrm>
          <a:prstGeom prst="rect">
            <a:avLst/>
          </a:prstGeom>
          <a:blipFill>
            <a:blip xmlns:r="http://schemas.openxmlformats.org/officeDocument/2006/relationships" r:embed="rId1"/>
            <a:srcRect/>
            <a:stretch>
              <a:fillRect l="1" r="-17648"/>
            </a:stretch>
          </a:blipFill>
        </xdr:spPr>
        <xdr:txBody>
          <a:bodyPr vert="horz" wrap="square" lIns="91440" tIns="45720" rIns="91440" bIns="45720" rtlCol="0"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endParaRPr lang="fr-FR" sz="2800" b="1">
              <a:solidFill>
                <a:srgbClr val="000000"/>
              </a:solidFill>
              <a:latin typeface="Arial" charset="0"/>
              <a:ea typeface="Arial" charset="0"/>
              <a:cs typeface="Arial" charset="0"/>
            </a:endParaRPr>
          </a:p>
        </xdr:txBody>
      </xdr:sp>
      <xdr:sp macro="" textlink="">
        <xdr:nvSpPr>
          <xdr:cNvPr id="3" name="Text Box 216">
            <a:extLst>
              <a:ext uri="{FF2B5EF4-FFF2-40B4-BE49-F238E27FC236}">
                <a16:creationId xmlns:a16="http://schemas.microsoft.com/office/drawing/2014/main" xmlns="" id="{00000000-0008-0000-0000-000003000000}"/>
              </a:ext>
            </a:extLst>
          </xdr:cNvPr>
          <xdr:cNvSpPr txBox="1">
            <a:spLocks noChangeArrowheads="1"/>
          </xdr:cNvSpPr>
        </xdr:nvSpPr>
        <xdr:spPr bwMode="auto">
          <a:xfrm>
            <a:off x="114300" y="85726"/>
            <a:ext cx="5543550" cy="36194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32004" rIns="0" bIns="0" anchor="t" upright="1"/>
          <a:lstStyle/>
          <a:p>
            <a:pPr algn="l" rtl="0">
              <a:defRPr sz="1000"/>
            </a:pPr>
            <a:r>
              <a:rPr lang="fr-CA" sz="1800" b="1" i="0" u="none" strike="noStrike" baseline="0">
                <a:ln>
                  <a:noFill/>
                </a:ln>
                <a:solidFill>
                  <a:schemeClr val="bg1"/>
                </a:solidFill>
                <a:effectLst>
                  <a:outerShdw blurRad="50800" dist="38100" dir="2700000" algn="tl" rotWithShape="0">
                    <a:prstClr val="black">
                      <a:alpha val="40000"/>
                    </a:prstClr>
                  </a:outerShdw>
                </a:effectLst>
                <a:latin typeface="Arial Narrow" panose="020B0606020202030204" pitchFamily="34" charset="0"/>
                <a:cs typeface="Arial"/>
              </a:rPr>
              <a:t>STRATÉGIE QUÉBÉCOISE D'ÉCONOMIE D'EAU POTABLE</a:t>
            </a:r>
          </a:p>
        </xdr:txBody>
      </xdr:sp>
      <xdr:sp macro="" textlink="">
        <xdr:nvSpPr>
          <xdr:cNvPr id="4" name="Text Box 34">
            <a:extLst>
              <a:ext uri="{FF2B5EF4-FFF2-40B4-BE49-F238E27FC236}">
                <a16:creationId xmlns:a16="http://schemas.microsoft.com/office/drawing/2014/main" xmlns="" id="{00000000-0008-0000-0000-000004000000}"/>
              </a:ext>
            </a:extLst>
          </xdr:cNvPr>
          <xdr:cNvSpPr txBox="1">
            <a:spLocks noChangeArrowheads="1"/>
          </xdr:cNvSpPr>
        </xdr:nvSpPr>
        <xdr:spPr bwMode="auto">
          <a:xfrm>
            <a:off x="161925" y="390525"/>
            <a:ext cx="2514600" cy="409575"/>
          </a:xfrm>
          <a:prstGeom prst="rect">
            <a:avLst/>
          </a:prstGeom>
          <a:noFill/>
          <a:ln>
            <a:noFill/>
          </a:ln>
          <a:effectLst/>
          <a:extLst>
            <a:ext uri="{53640926-AAD7-44D8-BBD7-CCE9431645EC}">
              <a14:shadowObscured xmlns:a14="http://schemas.microsoft.com/office/drawing/2010/main" val="1"/>
            </a:ext>
          </a:extLst>
        </xdr:spPr>
        <xdr:txBody>
          <a:bodyPr vertOverflow="clip" wrap="square" lIns="0" tIns="27432" rIns="36576" bIns="0" anchor="t" upright="1"/>
          <a:lstStyle/>
          <a:p>
            <a:pPr algn="l" rtl="0">
              <a:defRPr sz="1000"/>
            </a:pPr>
            <a:r>
              <a:rPr lang="fr-CA" sz="1400" b="1" i="0" u="none" strike="noStrike" baseline="0">
                <a:solidFill>
                  <a:srgbClr val="FFFFFF"/>
                </a:solidFill>
                <a:latin typeface="Arial"/>
                <a:cs typeface="Arial"/>
              </a:rPr>
              <a:t>BASE DE DONNÉES 2019</a:t>
            </a:r>
          </a:p>
        </xdr:txBody>
      </xdr:sp>
    </xdr:grpSp>
    <xdr:clientData/>
  </xdr:twoCellAnchor>
  <xdr:twoCellAnchor editAs="oneCell">
    <xdr:from>
      <xdr:col>0</xdr:col>
      <xdr:colOff>85725</xdr:colOff>
      <xdr:row>20</xdr:row>
      <xdr:rowOff>19050</xdr:rowOff>
    </xdr:from>
    <xdr:to>
      <xdr:col>13</xdr:col>
      <xdr:colOff>889823</xdr:colOff>
      <xdr:row>33</xdr:row>
      <xdr:rowOff>137070</xdr:rowOff>
    </xdr:to>
    <xdr:grpSp>
      <xdr:nvGrpSpPr>
        <xdr:cNvPr id="56" name="Groupe 55"/>
        <xdr:cNvGrpSpPr/>
      </xdr:nvGrpSpPr>
      <xdr:grpSpPr>
        <a:xfrm>
          <a:off x="85725" y="5048250"/>
          <a:ext cx="11510198" cy="2594520"/>
          <a:chOff x="34102" y="2381250"/>
          <a:chExt cx="11510198" cy="2594520"/>
        </a:xfrm>
      </xdr:grpSpPr>
      <xdr:pic>
        <xdr:nvPicPr>
          <xdr:cNvPr id="5" name="Image 4" descr="logo_fqm_2012.jpg">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994" b="4478"/>
          <a:stretch/>
        </xdr:blipFill>
        <xdr:spPr bwMode="auto">
          <a:xfrm>
            <a:off x="34102" y="2696210"/>
            <a:ext cx="1604198" cy="743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11" descr="umq_nb_300">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92341" y="2683248"/>
            <a:ext cx="2139558" cy="54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 6" descr="logomontreal-1.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89946" y="2670287"/>
            <a:ext cx="1639579" cy="573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7571" y="3475669"/>
            <a:ext cx="1426543" cy="591506"/>
          </a:xfrm>
          <a:prstGeom prst="rect">
            <a:avLst/>
          </a:prstGeom>
        </xdr:spPr>
      </xdr:pic>
      <xdr:pic>
        <xdr:nvPicPr>
          <xdr:cNvPr id="9" name="Image 8">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93733" y="4163151"/>
            <a:ext cx="1050042" cy="728419"/>
          </a:xfrm>
          <a:prstGeom prst="rect">
            <a:avLst/>
          </a:prstGeom>
        </xdr:spPr>
      </xdr:pic>
      <xdr:pic>
        <xdr:nvPicPr>
          <xdr:cNvPr id="10" name="Image 9">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2764" y="4355969"/>
            <a:ext cx="2116782" cy="397006"/>
          </a:xfrm>
          <a:prstGeom prst="rect">
            <a:avLst/>
          </a:prstGeom>
        </xdr:spPr>
      </xdr:pic>
      <xdr:pic>
        <xdr:nvPicPr>
          <xdr:cNvPr id="11" name="Image 10">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05775" y="4136576"/>
            <a:ext cx="838200" cy="786761"/>
          </a:xfrm>
          <a:prstGeom prst="rect">
            <a:avLst/>
          </a:prstGeom>
        </xdr:spPr>
      </xdr:pic>
      <xdr:pic>
        <xdr:nvPicPr>
          <xdr:cNvPr id="12" name="Picture 19" descr="ANd9GcRDnmw6Lp9WAmg0BNA_zhbjLOW7DOTtf4gqaJFEsKv-1VIpRDtjj0FxTMw">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6182" y="2475100"/>
            <a:ext cx="1251617" cy="860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 12">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97225" y="2751366"/>
            <a:ext cx="1686580" cy="553809"/>
          </a:xfrm>
          <a:prstGeom prst="rect">
            <a:avLst/>
          </a:prstGeom>
        </xdr:spPr>
      </xdr:pic>
      <xdr:pic>
        <xdr:nvPicPr>
          <xdr:cNvPr id="14" name="Image 13">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97633" y="4205806"/>
            <a:ext cx="2001889" cy="594794"/>
          </a:xfrm>
          <a:prstGeom prst="rect">
            <a:avLst/>
          </a:prstGeom>
        </xdr:spPr>
      </xdr:pic>
      <xdr:pic>
        <xdr:nvPicPr>
          <xdr:cNvPr id="15" name="Image 14">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97178" y="4091887"/>
            <a:ext cx="980322" cy="883883"/>
          </a:xfrm>
          <a:prstGeom prst="rect">
            <a:avLst/>
          </a:prstGeom>
        </xdr:spPr>
      </xdr:pic>
      <xdr:pic>
        <xdr:nvPicPr>
          <xdr:cNvPr id="33" name="Image 3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324975" y="2667000"/>
            <a:ext cx="2219325" cy="658777"/>
          </a:xfrm>
          <a:prstGeom prst="rect">
            <a:avLst/>
          </a:prstGeom>
        </xdr:spPr>
      </xdr:pic>
      <xdr:pic>
        <xdr:nvPicPr>
          <xdr:cNvPr id="34" name="Image 33">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128741" y="3479368"/>
            <a:ext cx="2092107" cy="483031"/>
          </a:xfrm>
          <a:prstGeom prst="rect">
            <a:avLst/>
          </a:prstGeom>
        </xdr:spPr>
      </xdr:pic>
      <xdr:pic>
        <xdr:nvPicPr>
          <xdr:cNvPr id="35" name="Image 34"/>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34409" b="32795"/>
          <a:stretch/>
        </xdr:blipFill>
        <xdr:spPr>
          <a:xfrm>
            <a:off x="7848600" y="3419475"/>
            <a:ext cx="1771650" cy="581025"/>
          </a:xfrm>
          <a:prstGeom prst="rect">
            <a:avLst/>
          </a:prstGeom>
        </xdr:spPr>
      </xdr:pic>
      <xdr:pic>
        <xdr:nvPicPr>
          <xdr:cNvPr id="36" name="Image 3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796536" y="3406404"/>
            <a:ext cx="1499613" cy="566606"/>
          </a:xfrm>
          <a:prstGeom prst="rect">
            <a:avLst/>
          </a:prstGeom>
        </xdr:spPr>
      </xdr:pic>
      <xdr:sp macro="" textlink="">
        <xdr:nvSpPr>
          <xdr:cNvPr id="51" name="Rectangle 50">
            <a:extLst>
              <a:ext uri="{FF2B5EF4-FFF2-40B4-BE49-F238E27FC236}">
                <a16:creationId xmlns:a16="http://schemas.microsoft.com/office/drawing/2014/main" xmlns="" id="{00000000-0008-0000-0000-000016000000}"/>
              </a:ext>
            </a:extLst>
          </xdr:cNvPr>
          <xdr:cNvSpPr/>
        </xdr:nvSpPr>
        <xdr:spPr bwMode="auto">
          <a:xfrm>
            <a:off x="66675" y="2381250"/>
            <a:ext cx="2009776" cy="29527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36000" bIns="0" rtlCol="0" anchor="t" upright="1"/>
          <a:lstStyle/>
          <a:p>
            <a:pPr marL="0" marR="0" lvl="0" indent="0" algn="l" defTabSz="914400" eaLnBrk="1" fontAlgn="auto" latinLnBrk="0" hangingPunct="1">
              <a:lnSpc>
                <a:spcPct val="100000"/>
              </a:lnSpc>
              <a:spcBef>
                <a:spcPts val="0"/>
              </a:spcBef>
              <a:spcAft>
                <a:spcPts val="600"/>
              </a:spcAft>
              <a:buClrTx/>
              <a:buSzTx/>
              <a:buFontTx/>
              <a:buNone/>
              <a:tabLst/>
              <a:defRPr/>
            </a:pPr>
            <a:r>
              <a:rPr kumimoji="0" lang="fr-CA" sz="1400" b="0" i="0" u="none" strike="noStrike" kern="0" cap="none" spc="0" normalizeH="0" baseline="0" noProof="0">
                <a:ln>
                  <a:noFill/>
                </a:ln>
                <a:solidFill>
                  <a:schemeClr val="accent1">
                    <a:lumMod val="75000"/>
                  </a:schemeClr>
                </a:solidFill>
                <a:effectLst/>
                <a:uLnTx/>
                <a:uFillTx/>
                <a:latin typeface="Arial Black" panose="020B0A04020102020204" pitchFamily="34" charset="0"/>
                <a:ea typeface="+mn-ea"/>
                <a:cs typeface="+mn-cs"/>
              </a:rPr>
              <a:t>REMERCIEMENTS</a:t>
            </a:r>
            <a:endParaRPr lang="fr-CA" sz="1100" b="0" baseline="0">
              <a:solidFill>
                <a:schemeClr val="accent1">
                  <a:lumMod val="75000"/>
                </a:schemeClr>
              </a:solidFill>
              <a:latin typeface="+mn-lt"/>
            </a:endParaRPr>
          </a:p>
        </xdr:txBody>
      </xdr:sp>
    </xdr:grpSp>
    <xdr:clientData/>
  </xdr:twoCellAnchor>
  <xdr:twoCellAnchor editAs="oneCell">
    <xdr:from>
      <xdr:col>1</xdr:col>
      <xdr:colOff>19050</xdr:colOff>
      <xdr:row>3</xdr:row>
      <xdr:rowOff>95250</xdr:rowOff>
    </xdr:from>
    <xdr:to>
      <xdr:col>9</xdr:col>
      <xdr:colOff>142875</xdr:colOff>
      <xdr:row>11</xdr:row>
      <xdr:rowOff>28575</xdr:rowOff>
    </xdr:to>
    <xdr:sp macro="" textlink="">
      <xdr:nvSpPr>
        <xdr:cNvPr id="57" name="Rectangle 56">
          <a:extLst>
            <a:ext uri="{FF2B5EF4-FFF2-40B4-BE49-F238E27FC236}">
              <a16:creationId xmlns:a16="http://schemas.microsoft.com/office/drawing/2014/main" xmlns="" id="{00000000-0008-0000-0E00-000014000000}"/>
            </a:ext>
          </a:extLst>
        </xdr:cNvPr>
        <xdr:cNvSpPr/>
      </xdr:nvSpPr>
      <xdr:spPr bwMode="auto">
        <a:xfrm>
          <a:off x="133350" y="981075"/>
          <a:ext cx="7134225" cy="218122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600"/>
            </a:spcAft>
            <a:buClrTx/>
            <a:buSzTx/>
            <a:buFontTx/>
            <a:buNone/>
            <a:tabLst/>
            <a:defRPr/>
          </a:pPr>
          <a:r>
            <a:rPr kumimoji="0" lang="fr-CA" sz="14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À PROPOS DE LA BASE DE DONNÉES</a:t>
          </a:r>
          <a:endParaRPr lang="fr-CA" sz="1100" b="0">
            <a:solidFill>
              <a:schemeClr val="accent5">
                <a:lumMod val="50000"/>
              </a:schemeClr>
            </a:solidFill>
            <a:latin typeface="+mn-lt"/>
          </a:endParaRPr>
        </a:p>
        <a:p>
          <a:pPr marL="468000" lvl="1" indent="-171450" algn="just">
            <a:buFontTx/>
            <a:buBlip>
              <a:blip xmlns:r="http://schemas.openxmlformats.org/officeDocument/2006/relationships" r:embed="rId17"/>
            </a:buBlip>
          </a:pPr>
          <a:r>
            <a:rPr lang="fr-CA" sz="1200" b="0" baseline="0">
              <a:solidFill>
                <a:schemeClr val="accent5">
                  <a:lumMod val="50000"/>
                </a:schemeClr>
              </a:solidFill>
              <a:latin typeface="Arial" panose="020B0604020202020204" pitchFamily="34" charset="0"/>
              <a:cs typeface="Arial" panose="020B0604020202020204" pitchFamily="34" charset="0"/>
            </a:rPr>
            <a:t>Créée par l'équipe de la Stratégie québécoise d'économie d'eau potable</a:t>
          </a:r>
        </a:p>
        <a:p>
          <a:pPr marL="612000" lvl="2" indent="0" algn="just">
            <a:buFontTx/>
            <a:buNone/>
          </a:pPr>
          <a:r>
            <a:rPr lang="fr-CA" sz="1200" b="0" baseline="0">
              <a:solidFill>
                <a:schemeClr val="accent5">
                  <a:lumMod val="50000"/>
                </a:schemeClr>
              </a:solidFill>
              <a:latin typeface="Arial" panose="020B0604020202020204" pitchFamily="34" charset="0"/>
              <a:cs typeface="Arial" panose="020B0604020202020204" pitchFamily="34" charset="0"/>
            </a:rPr>
            <a:t>Direction des infrastructures - Montréal</a:t>
          </a:r>
        </a:p>
        <a:p>
          <a:pPr marL="612000" lvl="2" indent="0" algn="just">
            <a:spcAft>
              <a:spcPts val="300"/>
            </a:spcAft>
            <a:buFontTx/>
            <a:buNone/>
          </a:pPr>
          <a:r>
            <a:rPr lang="fr-CA" sz="1200" b="0" baseline="0">
              <a:solidFill>
                <a:schemeClr val="accent5">
                  <a:lumMod val="50000"/>
                </a:schemeClr>
              </a:solidFill>
              <a:latin typeface="Arial" panose="020B0604020202020204" pitchFamily="34" charset="0"/>
              <a:cs typeface="Arial" panose="020B0604020202020204" pitchFamily="34" charset="0"/>
            </a:rPr>
            <a:t>Ministère des Affaires municipales et de l'Habitation</a:t>
          </a:r>
        </a:p>
        <a:p>
          <a:pPr marL="468000" lvl="1" indent="-171450" algn="just">
            <a:spcAft>
              <a:spcPts val="300"/>
            </a:spcAft>
            <a:buFontTx/>
            <a:buBlip>
              <a:blip xmlns:r="http://schemas.openxmlformats.org/officeDocument/2006/relationships" r:embed="rId17"/>
            </a:buBlip>
          </a:pPr>
          <a:r>
            <a:rPr lang="fr-CA" sz="1200" b="0" baseline="0">
              <a:solidFill>
                <a:schemeClr val="accent5">
                  <a:lumMod val="50000"/>
                </a:schemeClr>
              </a:solidFill>
              <a:latin typeface="Arial" panose="020B0604020202020204" pitchFamily="34" charset="0"/>
              <a:ea typeface="+mn-ea"/>
              <a:cs typeface="Arial" panose="020B0604020202020204" pitchFamily="34" charset="0"/>
            </a:rPr>
            <a:t>Date de publication : 28 octobre 2021</a:t>
          </a:r>
        </a:p>
        <a:p>
          <a:pPr marL="0" marR="0" lvl="0" indent="0" algn="l" defTabSz="914400" eaLnBrk="1" fontAlgn="auto" latinLnBrk="0" hangingPunct="1">
            <a:lnSpc>
              <a:spcPct val="100000"/>
            </a:lnSpc>
            <a:spcBef>
              <a:spcPts val="0"/>
            </a:spcBef>
            <a:spcAft>
              <a:spcPts val="600"/>
            </a:spcAft>
            <a:buClrTx/>
            <a:buSzTx/>
            <a:buFontTx/>
            <a:buNone/>
            <a:tabLst/>
            <a:defRPr/>
          </a:pPr>
          <a:r>
            <a:rPr kumimoji="0" lang="fr-CA" sz="14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CONTACTS</a:t>
          </a:r>
        </a:p>
        <a:p>
          <a:pPr algn="just"/>
          <a:r>
            <a:rPr lang="fr-CA" sz="1200" b="0" baseline="0">
              <a:solidFill>
                <a:schemeClr val="accent5">
                  <a:lumMod val="50000"/>
                </a:schemeClr>
              </a:solidFill>
              <a:latin typeface="Arial" panose="020B0604020202020204" pitchFamily="34" charset="0"/>
              <a:cs typeface="Arial" panose="020B0604020202020204" pitchFamily="34" charset="0"/>
            </a:rPr>
            <a:t>Pour toutes questions, commentaires ou demandes relatives à la base de données, nous vous invitons à communiquer avec l'équipe de la Stratégie.</a:t>
          </a:r>
        </a:p>
        <a:p>
          <a:pPr marL="468000" marR="0" lvl="1" indent="-171450" algn="just" defTabSz="914400" eaLnBrk="1" fontAlgn="auto" latinLnBrk="0" hangingPunct="1">
            <a:lnSpc>
              <a:spcPct val="100000"/>
            </a:lnSpc>
            <a:spcBef>
              <a:spcPts val="0"/>
            </a:spcBef>
            <a:spcAft>
              <a:spcPts val="0"/>
            </a:spcAft>
            <a:buClrTx/>
            <a:buSzTx/>
            <a:buFontTx/>
            <a:buBlip>
              <a:blip xmlns:r="http://schemas.openxmlformats.org/officeDocument/2006/relationships" r:embed="rId17"/>
            </a:buBlip>
            <a:tabLst/>
            <a:defRPr/>
          </a:pPr>
          <a:r>
            <a:rPr lang="fr-CA" sz="1200" b="0" baseline="0" noProof="0">
              <a:solidFill>
                <a:schemeClr val="accent5">
                  <a:lumMod val="50000"/>
                </a:schemeClr>
              </a:solidFill>
              <a:latin typeface="Arial" panose="020B0604020202020204" pitchFamily="34" charset="0"/>
              <a:ea typeface="+mn-ea"/>
              <a:cs typeface="Arial" panose="020B0604020202020204" pitchFamily="34" charset="0"/>
            </a:rPr>
            <a:t>Coordonnées de la Stratégie québécoise d'économie d'eau potable :</a:t>
          </a:r>
        </a:p>
        <a:p>
          <a:pPr marL="628650" marR="0" lvl="1" indent="-171450" algn="just" defTabSz="914400" eaLnBrk="1" fontAlgn="auto" latinLnBrk="0" hangingPunct="1">
            <a:lnSpc>
              <a:spcPct val="100000"/>
            </a:lnSpc>
            <a:spcBef>
              <a:spcPts val="0"/>
            </a:spcBef>
            <a:spcAft>
              <a:spcPts val="0"/>
            </a:spcAft>
            <a:buClrTx/>
            <a:buSzTx/>
            <a:buFontTx/>
            <a:buBlip>
              <a:blip xmlns:r="http://schemas.openxmlformats.org/officeDocument/2006/relationships" r:embed="rId17"/>
            </a:buBlip>
            <a:tabLst/>
            <a:defRPr/>
          </a:pPr>
          <a:endParaRPr kumimoji="0" lang="fr-CA" sz="1200" b="0" i="0" u="none" strike="noStrike" kern="0" cap="none" spc="0" normalizeH="0" baseline="0" noProof="0">
            <a:ln>
              <a:noFill/>
            </a:ln>
            <a:solidFill>
              <a:srgbClr val="5B9BD5">
                <a:lumMod val="75000"/>
              </a:srgbClr>
            </a:solidFill>
            <a:effectLst/>
            <a:uLnTx/>
            <a:uFillTx/>
            <a:latin typeface="+mn-lt"/>
            <a:ea typeface="+mn-ea"/>
            <a:cs typeface="+mn-cs"/>
          </a:endParaRPr>
        </a:p>
      </xdr:txBody>
    </xdr:sp>
    <xdr:clientData/>
  </xdr:twoCellAnchor>
  <xdr:twoCellAnchor editAs="oneCell">
    <xdr:from>
      <xdr:col>7</xdr:col>
      <xdr:colOff>38100</xdr:colOff>
      <xdr:row>0</xdr:row>
      <xdr:rowOff>95250</xdr:rowOff>
    </xdr:from>
    <xdr:to>
      <xdr:col>9</xdr:col>
      <xdr:colOff>552450</xdr:colOff>
      <xdr:row>1</xdr:row>
      <xdr:rowOff>108397</xdr:rowOff>
    </xdr:to>
    <xdr:pic>
      <xdr:nvPicPr>
        <xdr:cNvPr id="59" name="Image 5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72100" y="95250"/>
          <a:ext cx="2305050" cy="30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14</xdr:row>
      <xdr:rowOff>104775</xdr:rowOff>
    </xdr:from>
    <xdr:to>
      <xdr:col>9</xdr:col>
      <xdr:colOff>133350</xdr:colOff>
      <xdr:row>18</xdr:row>
      <xdr:rowOff>57150</xdr:rowOff>
    </xdr:to>
    <xdr:sp macro="" textlink="">
      <xdr:nvSpPr>
        <xdr:cNvPr id="60" name="Rectangle 59">
          <a:extLst>
            <a:ext uri="{FF2B5EF4-FFF2-40B4-BE49-F238E27FC236}">
              <a16:creationId xmlns:a16="http://schemas.microsoft.com/office/drawing/2014/main" xmlns="" id="{00000000-0008-0000-0E00-000015000000}"/>
            </a:ext>
          </a:extLst>
        </xdr:cNvPr>
        <xdr:cNvSpPr/>
      </xdr:nvSpPr>
      <xdr:spPr bwMode="auto">
        <a:xfrm>
          <a:off x="123825" y="4352925"/>
          <a:ext cx="7134225" cy="71437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600"/>
            </a:spcAft>
            <a:buClrTx/>
            <a:buSzTx/>
            <a:buFontTx/>
            <a:buNone/>
            <a:tabLst/>
            <a:defRPr/>
          </a:pPr>
          <a:r>
            <a:rPr kumimoji="0" lang="fr-CA" sz="1400" b="0" i="0" u="none" strike="noStrike" kern="0" cap="none" spc="0" normalizeH="0" baseline="0" noProof="0">
              <a:ln>
                <a:noFill/>
              </a:ln>
              <a:solidFill>
                <a:schemeClr val="accent5">
                  <a:lumMod val="50000"/>
                </a:schemeClr>
              </a:solidFill>
              <a:effectLst/>
              <a:uLnTx/>
              <a:uFillTx/>
              <a:latin typeface="Arial Black" panose="020B0A04020102020204" pitchFamily="34" charset="0"/>
              <a:ea typeface="+mn-ea"/>
              <a:cs typeface="+mn-cs"/>
            </a:rPr>
            <a:t>RAPPORT ANNUEL DE L'USAGE DE L'EAU POTABLE 2019</a:t>
          </a:r>
        </a:p>
        <a:p>
          <a:pPr marL="468000" lvl="1" indent="-171450" algn="just">
            <a:buFontTx/>
            <a:buBlip>
              <a:blip xmlns:r="http://schemas.openxmlformats.org/officeDocument/2006/relationships" r:embed="rId17"/>
            </a:buBlip>
          </a:pPr>
          <a:r>
            <a:rPr lang="fr-CA" sz="1200" b="0" baseline="0">
              <a:solidFill>
                <a:schemeClr val="accent5">
                  <a:lumMod val="50000"/>
                </a:schemeClr>
              </a:solidFill>
              <a:latin typeface="Arial" panose="020B0604020202020204" pitchFamily="34" charset="0"/>
              <a:cs typeface="Arial" panose="020B0604020202020204" pitchFamily="34" charset="0"/>
            </a:rPr>
            <a:t>Le Rapport annuel de l'usage de l'eau potable 2019 qui accompagne la base de données 2019 peut être consulté sur le site Web suivant :</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9866CFD4-07F4-47B9-9D66-BBAD4ED88C80}">
  <we:reference id="wa104381504" version="1.0.0.0" store="en-US" storeType="OMEX"/>
  <we:alternateReferences>
    <we:reference id="wa104381504" version="1.0.0.0" store="WA10438150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5.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facebook.com/EmpreinteBleue" TargetMode="External"/><Relationship Id="rId2" Type="http://schemas.openxmlformats.org/officeDocument/2006/relationships/hyperlink" Target="http://www.mamh.gouv.qc.ca/infrastructures/strategie" TargetMode="External"/><Relationship Id="rId1" Type="http://schemas.openxmlformats.org/officeDocument/2006/relationships/hyperlink" Target="mailto:EAUtrement@mamh.gouv.qc.ca?subject=Base%20de%20donn&#233;es%202018%20-%20Strat&#233;gie%20qu&#233;b&#233;coise%20d'&#233;conomie%20d'eau%20potable%202019-2025" TargetMode="External"/><Relationship Id="rId6" Type="http://schemas.openxmlformats.org/officeDocument/2006/relationships/drawing" Target="../drawings/drawing3.xml"/><Relationship Id="rId5" Type="http://schemas.openxmlformats.org/officeDocument/2006/relationships/printerSettings" Target="../printerSettings/printerSettings7.bin"/><Relationship Id="rId4" Type="http://schemas.openxmlformats.org/officeDocument/2006/relationships/hyperlink" Target="https://www.mamh.gouv.qc.ca/infrastructures/strategie/cartographie-et-rapports-annu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4"/>
  </sheetPr>
  <dimension ref="A1:Q30"/>
  <sheetViews>
    <sheetView showGridLines="0" tabSelected="1" zoomScaleNormal="100" workbookViewId="0"/>
  </sheetViews>
  <sheetFormatPr baseColWidth="10" defaultColWidth="9.1796875" defaultRowHeight="14.5" x14ac:dyDescent="0.35"/>
  <cols>
    <col min="1" max="1" width="2.81640625" customWidth="1"/>
    <col min="2" max="17" width="14.7265625" customWidth="1"/>
  </cols>
  <sheetData>
    <row r="1" spans="1:17" ht="23.25" customHeight="1" x14ac:dyDescent="0.35"/>
    <row r="2" spans="1:17" ht="23.25" customHeight="1" x14ac:dyDescent="0.35"/>
    <row r="3" spans="1:17" ht="23.25" customHeight="1" x14ac:dyDescent="0.35"/>
    <row r="4" spans="1:17" ht="19.5" customHeight="1" x14ac:dyDescent="0.35"/>
    <row r="5" spans="1:17" ht="22" x14ac:dyDescent="0.65">
      <c r="B5" s="343" t="s">
        <v>4759</v>
      </c>
    </row>
    <row r="6" spans="1:17" x14ac:dyDescent="0.35">
      <c r="A6" s="519"/>
      <c r="B6" s="519"/>
      <c r="C6" s="519"/>
      <c r="D6" s="519"/>
      <c r="E6" s="519"/>
      <c r="F6" s="519"/>
      <c r="G6" s="519"/>
      <c r="H6" s="519"/>
      <c r="I6" s="519"/>
      <c r="J6" s="519"/>
      <c r="K6" s="519"/>
      <c r="L6" s="519"/>
      <c r="M6" s="519"/>
      <c r="N6" s="519"/>
      <c r="O6" s="519"/>
      <c r="P6" s="519"/>
      <c r="Q6" s="519"/>
    </row>
    <row r="23" spans="1:17" ht="69" customHeight="1" x14ac:dyDescent="0.35"/>
    <row r="24" spans="1:17" ht="22" x14ac:dyDescent="0.65">
      <c r="B24" s="343" t="s">
        <v>4760</v>
      </c>
    </row>
    <row r="25" spans="1:17" x14ac:dyDescent="0.35">
      <c r="A25" s="519"/>
      <c r="B25" s="519"/>
      <c r="C25" s="519"/>
      <c r="D25" s="519"/>
      <c r="E25" s="519"/>
      <c r="F25" s="519"/>
      <c r="G25" s="519"/>
      <c r="H25" s="519"/>
      <c r="I25" s="519"/>
      <c r="J25" s="519"/>
      <c r="K25" s="519"/>
    </row>
    <row r="30" spans="1:17" x14ac:dyDescent="0.35">
      <c r="Q30" s="375"/>
    </row>
  </sheetData>
  <sheetProtection sheet="1" objects="1" scenarios="1"/>
  <mergeCells count="2">
    <mergeCell ref="A6:Q6"/>
    <mergeCell ref="A25:K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theme="4"/>
  </sheetPr>
  <dimension ref="A1:EI1115"/>
  <sheetViews>
    <sheetView showGridLines="0" zoomScaleNormal="100" workbookViewId="0"/>
  </sheetViews>
  <sheetFormatPr baseColWidth="10" defaultColWidth="11.453125" defaultRowHeight="14.5" x14ac:dyDescent="0.35"/>
  <cols>
    <col min="1" max="1" width="1.7265625" style="355" customWidth="1"/>
    <col min="2" max="2" width="10.26953125" style="355" customWidth="1"/>
    <col min="3" max="3" width="6.26953125" style="355" customWidth="1"/>
    <col min="4" max="4" width="4.54296875" style="355" customWidth="1"/>
    <col min="5" max="5" width="38.26953125" style="355" customWidth="1"/>
    <col min="6" max="6" width="20.7265625" style="355" customWidth="1"/>
    <col min="7" max="7" width="17.7265625" style="355" customWidth="1"/>
    <col min="8" max="8" width="2.81640625" style="355" customWidth="1"/>
    <col min="9" max="10" width="20.7265625" style="355" customWidth="1"/>
    <col min="11" max="11" width="2.81640625" style="355" customWidth="1"/>
    <col min="12" max="12" width="17.7265625" style="355" customWidth="1"/>
    <col min="13" max="13" width="20.7265625" style="355" customWidth="1"/>
    <col min="14" max="14" width="44.26953125" style="355" customWidth="1"/>
    <col min="15" max="20" width="11.453125" style="355"/>
    <col min="21" max="22" width="9.54296875" style="355" customWidth="1"/>
    <col min="23" max="23" width="88.26953125" style="70" customWidth="1"/>
    <col min="24" max="24" width="18.7265625" style="70" customWidth="1"/>
    <col min="25" max="27" width="17.453125" style="70" customWidth="1"/>
    <col min="28" max="28" width="22.54296875" style="70" customWidth="1"/>
    <col min="29" max="33" width="17.453125" style="70" customWidth="1"/>
    <col min="34" max="34" width="15.453125" style="70" customWidth="1"/>
    <col min="35" max="35" width="17.453125" style="70" customWidth="1"/>
    <col min="36" max="36" width="21" style="70" bestFit="1" customWidth="1"/>
    <col min="37" max="45" width="11.453125" style="70"/>
    <col min="46" max="49" width="11.453125" style="70" customWidth="1"/>
    <col min="50" max="57" width="22.453125" style="70" bestFit="1" customWidth="1"/>
    <col min="58" max="58" width="24.81640625" style="70" customWidth="1"/>
    <col min="59" max="59" width="27.54296875" style="70" customWidth="1"/>
    <col min="60" max="62" width="11.453125" style="70"/>
    <col min="63" max="76" width="11.453125" style="70" customWidth="1"/>
    <col min="77" max="116" width="11.453125" style="70"/>
    <col min="117" max="117" width="11.453125" style="70" customWidth="1"/>
    <col min="118" max="124" width="11.453125" style="70"/>
    <col min="125" max="125" width="17.453125" style="70" bestFit="1" customWidth="1"/>
    <col min="126" max="16384" width="11.453125" style="70"/>
  </cols>
  <sheetData>
    <row r="1" spans="1:139" ht="9" customHeight="1" x14ac:dyDescent="0.35">
      <c r="A1" s="1"/>
      <c r="B1"/>
      <c r="C1"/>
      <c r="D1"/>
      <c r="E1"/>
      <c r="F1"/>
      <c r="G1"/>
      <c r="H1"/>
      <c r="I1"/>
      <c r="J1"/>
      <c r="K1"/>
      <c r="L1"/>
      <c r="M1"/>
      <c r="N1"/>
      <c r="O1" s="70"/>
      <c r="P1" s="70"/>
      <c r="Q1" s="70"/>
      <c r="R1" s="70"/>
      <c r="S1" s="95"/>
      <c r="T1" s="70"/>
      <c r="BS1" s="476"/>
      <c r="BT1" s="479"/>
      <c r="BU1" s="479"/>
      <c r="BV1" s="476"/>
      <c r="BW1" s="476"/>
      <c r="BX1" s="476"/>
      <c r="BY1" s="476"/>
      <c r="BZ1" s="476"/>
      <c r="CA1" s="476"/>
      <c r="CB1" s="476"/>
      <c r="CC1" s="476"/>
      <c r="CD1" s="476"/>
      <c r="CE1" s="476"/>
      <c r="CF1" s="476"/>
      <c r="CG1" s="476"/>
      <c r="CH1" s="476"/>
      <c r="CI1" s="476"/>
      <c r="CJ1" s="476"/>
      <c r="CK1" s="476"/>
      <c r="CL1" s="476"/>
      <c r="CM1" s="476"/>
      <c r="CN1" s="476"/>
      <c r="CW1" s="476"/>
      <c r="CX1" s="476"/>
      <c r="CY1" s="476"/>
      <c r="CZ1" s="476"/>
      <c r="DA1" s="476"/>
      <c r="DB1" s="476"/>
      <c r="DC1" s="476"/>
      <c r="DD1" s="476"/>
      <c r="DE1" s="476"/>
      <c r="DF1" s="476"/>
      <c r="DG1" s="476"/>
      <c r="DH1" s="476"/>
      <c r="DI1" s="476"/>
      <c r="DJ1" s="476"/>
      <c r="DK1" s="476"/>
      <c r="DL1" s="476"/>
      <c r="DM1" s="476"/>
      <c r="DN1" s="476"/>
      <c r="DO1" s="476"/>
      <c r="DP1" s="476"/>
      <c r="DQ1" s="476"/>
    </row>
    <row r="2" spans="1:139" ht="47.25" customHeight="1" x14ac:dyDescent="0.35">
      <c r="A2" s="1"/>
      <c r="B2"/>
      <c r="C2"/>
      <c r="D2"/>
      <c r="E2"/>
      <c r="F2"/>
      <c r="G2"/>
      <c r="H2"/>
      <c r="I2"/>
      <c r="J2"/>
      <c r="K2"/>
      <c r="L2"/>
      <c r="M2"/>
      <c r="N2"/>
      <c r="O2" s="70"/>
      <c r="P2" s="70"/>
      <c r="Q2" s="70"/>
      <c r="R2" s="70"/>
      <c r="S2" s="95"/>
      <c r="T2" s="70"/>
      <c r="BS2" s="476"/>
      <c r="BT2" s="479"/>
      <c r="BU2" s="479"/>
      <c r="BV2" s="476"/>
      <c r="BW2" s="476"/>
      <c r="BX2" s="476"/>
      <c r="BY2" s="476"/>
      <c r="BZ2" s="476"/>
      <c r="CA2" s="476"/>
      <c r="CB2" s="476"/>
      <c r="CC2" s="476"/>
      <c r="CD2" s="476"/>
      <c r="CE2" s="476"/>
      <c r="CF2" s="476"/>
      <c r="CG2" s="476"/>
      <c r="CH2" s="476"/>
      <c r="CI2" s="476"/>
      <c r="CJ2" s="476"/>
      <c r="CK2" s="476"/>
      <c r="CL2" s="476"/>
      <c r="CM2" s="476"/>
      <c r="CN2" s="476"/>
      <c r="CW2" s="476"/>
      <c r="CX2" s="476"/>
      <c r="CY2" s="476"/>
      <c r="CZ2" s="476"/>
      <c r="DA2" s="476"/>
      <c r="DB2" s="476"/>
      <c r="DC2" s="476"/>
      <c r="DD2" s="476"/>
      <c r="DE2" s="476"/>
      <c r="DF2" s="476"/>
      <c r="DG2" s="476"/>
      <c r="DH2" s="476"/>
      <c r="DI2" s="476"/>
      <c r="DJ2" s="476"/>
      <c r="DK2" s="476"/>
      <c r="DL2" s="476"/>
      <c r="DM2" s="476"/>
      <c r="DN2" s="476"/>
      <c r="DO2" s="476"/>
      <c r="DP2" s="476"/>
      <c r="DQ2" s="476"/>
    </row>
    <row r="3" spans="1:139" ht="27" customHeight="1" x14ac:dyDescent="0.35">
      <c r="A3" s="1"/>
      <c r="B3"/>
      <c r="C3" s="63" t="s">
        <v>1268</v>
      </c>
      <c r="D3"/>
      <c r="E3"/>
      <c r="F3"/>
      <c r="G3"/>
      <c r="H3"/>
      <c r="I3"/>
      <c r="J3"/>
      <c r="K3"/>
      <c r="L3"/>
      <c r="M3"/>
      <c r="N3"/>
      <c r="O3" s="70"/>
      <c r="P3" s="70"/>
      <c r="Q3" s="70"/>
      <c r="R3" s="70"/>
      <c r="S3" s="95"/>
      <c r="T3" s="70"/>
      <c r="BS3" s="476"/>
      <c r="BT3" s="479"/>
      <c r="BU3" s="479"/>
      <c r="BV3" s="476"/>
      <c r="BW3" s="476"/>
      <c r="BX3" s="476"/>
      <c r="BY3" s="476"/>
      <c r="BZ3" s="476"/>
      <c r="CA3" s="476"/>
      <c r="CB3" s="476"/>
      <c r="CC3" s="476"/>
      <c r="CD3" s="476"/>
      <c r="CE3" s="476"/>
      <c r="CF3" s="476"/>
      <c r="CG3" s="476"/>
      <c r="CH3" s="476"/>
      <c r="CI3" s="476"/>
      <c r="CJ3" s="476"/>
      <c r="CK3" s="476"/>
      <c r="CL3" s="476"/>
      <c r="CM3" s="476"/>
      <c r="CN3" s="476"/>
      <c r="CW3" s="476"/>
      <c r="CX3" s="476"/>
      <c r="CY3" s="476"/>
      <c r="CZ3" s="476"/>
      <c r="DA3" s="476"/>
      <c r="DB3" s="476"/>
      <c r="DC3" s="476"/>
      <c r="DD3" s="476"/>
      <c r="DE3" s="476"/>
      <c r="DF3" s="476"/>
      <c r="DG3" s="476"/>
      <c r="DH3" s="476"/>
      <c r="DI3" s="476"/>
      <c r="DJ3" s="476"/>
      <c r="DK3" s="476"/>
      <c r="DL3" s="476"/>
      <c r="DM3" s="476"/>
      <c r="DN3" s="476"/>
      <c r="DO3" s="476"/>
      <c r="DP3" s="476"/>
      <c r="DQ3" s="476"/>
    </row>
    <row r="4" spans="1:139" s="71" customFormat="1" ht="15.75" customHeight="1" x14ac:dyDescent="0.35">
      <c r="A4" s="64"/>
      <c r="B4" s="65"/>
      <c r="C4" s="344" t="s">
        <v>1143</v>
      </c>
      <c r="D4" s="65"/>
      <c r="E4" s="65"/>
      <c r="F4" s="65"/>
      <c r="G4" s="65"/>
      <c r="H4" s="65"/>
      <c r="I4" s="362" t="s">
        <v>1144</v>
      </c>
      <c r="J4" s="66"/>
      <c r="K4" s="66"/>
      <c r="L4" s="65"/>
      <c r="M4" s="362" t="s">
        <v>1145</v>
      </c>
      <c r="N4" s="65"/>
      <c r="S4" s="96"/>
      <c r="U4" s="356"/>
      <c r="V4" s="356"/>
      <c r="BC4" s="70"/>
      <c r="BD4" s="70"/>
      <c r="BE4" s="70"/>
      <c r="BF4" s="70"/>
      <c r="BG4" s="70"/>
      <c r="BH4" s="70"/>
      <c r="BI4" s="70"/>
      <c r="BJ4" s="70"/>
      <c r="BK4" s="70"/>
      <c r="BL4" s="70"/>
      <c r="BM4" s="70"/>
      <c r="BN4" s="70"/>
      <c r="BO4" s="70"/>
      <c r="BP4" s="70"/>
      <c r="BQ4" s="70"/>
      <c r="BR4" s="70"/>
      <c r="BS4" s="480">
        <v>1</v>
      </c>
      <c r="BT4" s="481">
        <v>2</v>
      </c>
      <c r="BU4" s="481">
        <v>3</v>
      </c>
      <c r="BV4" s="480">
        <v>4</v>
      </c>
      <c r="BW4" s="481">
        <v>5</v>
      </c>
      <c r="BX4" s="481">
        <v>6</v>
      </c>
      <c r="BY4" s="480">
        <v>7</v>
      </c>
      <c r="BZ4" s="481">
        <v>8</v>
      </c>
      <c r="CA4" s="481">
        <v>9</v>
      </c>
      <c r="CB4" s="480">
        <v>10</v>
      </c>
      <c r="CC4" s="481">
        <v>11</v>
      </c>
      <c r="CD4" s="481">
        <v>12</v>
      </c>
      <c r="CE4" s="480">
        <v>13</v>
      </c>
      <c r="CF4" s="481">
        <v>14</v>
      </c>
      <c r="CG4" s="481">
        <v>15</v>
      </c>
      <c r="CH4" s="480">
        <v>16</v>
      </c>
      <c r="CI4" s="481">
        <v>17</v>
      </c>
      <c r="CJ4" s="481">
        <v>18</v>
      </c>
      <c r="CK4" s="480">
        <v>19</v>
      </c>
      <c r="CL4" s="481">
        <v>20</v>
      </c>
      <c r="CM4" s="481">
        <v>21</v>
      </c>
      <c r="CN4" s="480">
        <v>22</v>
      </c>
      <c r="CO4" s="481">
        <v>23</v>
      </c>
      <c r="CP4" s="481">
        <v>24</v>
      </c>
      <c r="CQ4" s="480">
        <v>25</v>
      </c>
      <c r="CR4" s="481">
        <v>26</v>
      </c>
      <c r="CS4" s="481">
        <v>27</v>
      </c>
      <c r="CT4" s="480">
        <v>28</v>
      </c>
      <c r="CU4" s="481">
        <v>29</v>
      </c>
      <c r="CV4" s="481">
        <v>30</v>
      </c>
      <c r="CW4" s="480">
        <v>31</v>
      </c>
      <c r="CX4" s="481">
        <v>32</v>
      </c>
      <c r="CY4" s="481">
        <v>33</v>
      </c>
      <c r="CZ4" s="480">
        <v>34</v>
      </c>
      <c r="DA4" s="481">
        <v>35</v>
      </c>
      <c r="DB4" s="481">
        <v>36</v>
      </c>
      <c r="DC4" s="480">
        <v>37</v>
      </c>
      <c r="DD4" s="481">
        <v>38</v>
      </c>
      <c r="DE4" s="481">
        <v>39</v>
      </c>
      <c r="DF4" s="480">
        <v>40</v>
      </c>
      <c r="DG4" s="481">
        <v>41</v>
      </c>
      <c r="DH4" s="481">
        <v>42</v>
      </c>
      <c r="DI4" s="480">
        <v>43</v>
      </c>
      <c r="DJ4" s="481">
        <v>44</v>
      </c>
      <c r="DK4" s="481">
        <v>45</v>
      </c>
      <c r="DL4" s="480">
        <v>46</v>
      </c>
      <c r="DM4" s="481">
        <v>47</v>
      </c>
      <c r="DN4" s="481">
        <v>48</v>
      </c>
      <c r="DO4" s="480">
        <v>49</v>
      </c>
      <c r="DP4" s="481">
        <v>50</v>
      </c>
      <c r="DQ4" s="481">
        <v>51</v>
      </c>
      <c r="DR4" s="480">
        <v>52</v>
      </c>
      <c r="DS4" s="481">
        <v>53</v>
      </c>
      <c r="DT4" s="481">
        <v>54</v>
      </c>
      <c r="DU4" s="480">
        <v>55</v>
      </c>
      <c r="DV4" s="481">
        <v>56</v>
      </c>
      <c r="DW4" s="70" t="s">
        <v>4726</v>
      </c>
      <c r="DX4" s="71">
        <v>58</v>
      </c>
      <c r="DY4" s="71">
        <v>59</v>
      </c>
      <c r="DZ4" s="71">
        <v>60</v>
      </c>
      <c r="EA4" s="71">
        <v>61</v>
      </c>
      <c r="EB4" s="71">
        <v>62</v>
      </c>
      <c r="EC4" s="71" t="s">
        <v>4736</v>
      </c>
      <c r="ED4" s="71">
        <v>64</v>
      </c>
      <c r="EE4" s="71">
        <v>65</v>
      </c>
      <c r="EF4" s="71">
        <v>66</v>
      </c>
      <c r="EG4" s="71">
        <v>67</v>
      </c>
      <c r="EH4" s="71">
        <v>68</v>
      </c>
    </row>
    <row r="5" spans="1:139" ht="15.75" customHeight="1" x14ac:dyDescent="0.35">
      <c r="A5" s="48"/>
      <c r="B5" s="5"/>
      <c r="C5" s="74" t="s">
        <v>1151</v>
      </c>
      <c r="D5" s="6"/>
      <c r="E5" s="6"/>
      <c r="F5" s="6"/>
      <c r="G5" s="7"/>
      <c r="H5" s="2"/>
      <c r="I5" s="67" t="s">
        <v>1146</v>
      </c>
      <c r="J5" s="4"/>
      <c r="K5" s="68"/>
      <c r="L5" s="4"/>
      <c r="M5" s="67" t="s">
        <v>4742</v>
      </c>
      <c r="N5" s="4"/>
      <c r="O5" s="70"/>
      <c r="P5" s="70"/>
      <c r="Q5" s="70"/>
      <c r="R5" s="70"/>
      <c r="S5" s="95"/>
      <c r="T5" s="70"/>
      <c r="BS5" s="476"/>
      <c r="BT5" s="479"/>
      <c r="BU5" s="479"/>
      <c r="BV5" s="543" t="s">
        <v>1219</v>
      </c>
      <c r="BW5" s="543"/>
      <c r="BX5" s="543"/>
      <c r="BY5" s="543"/>
      <c r="BZ5" s="543"/>
      <c r="CA5" s="543"/>
      <c r="CB5" s="543"/>
      <c r="CC5" s="543"/>
      <c r="CD5" s="543"/>
      <c r="CE5" s="543" t="s">
        <v>1221</v>
      </c>
      <c r="CF5" s="543"/>
      <c r="CG5" s="543"/>
      <c r="CH5" s="543"/>
      <c r="CI5" s="543"/>
      <c r="CJ5" s="543"/>
      <c r="CK5" s="543"/>
      <c r="CL5" s="543"/>
      <c r="CM5" s="543"/>
      <c r="CN5" s="543" t="s">
        <v>1220</v>
      </c>
      <c r="CO5" s="543"/>
      <c r="CP5" s="543"/>
      <c r="CQ5" s="543"/>
      <c r="CR5" s="543"/>
      <c r="CS5" s="543"/>
      <c r="CT5" s="543"/>
      <c r="CU5" s="543"/>
      <c r="CV5" s="543"/>
      <c r="CW5" s="543" t="s">
        <v>1225</v>
      </c>
      <c r="CX5" s="543"/>
      <c r="CY5" s="543"/>
      <c r="CZ5" s="543"/>
      <c r="DA5" s="543"/>
      <c r="DB5" s="543"/>
      <c r="DC5" s="543"/>
      <c r="DD5" s="543"/>
      <c r="DE5" s="543"/>
      <c r="DF5" s="543"/>
      <c r="DG5" s="543" t="s">
        <v>4714</v>
      </c>
      <c r="DH5" s="543"/>
      <c r="DI5" s="543"/>
      <c r="DJ5" s="543"/>
      <c r="DK5" s="543"/>
      <c r="DL5" s="543"/>
      <c r="DM5" s="543"/>
      <c r="DN5" s="476" t="s">
        <v>1229</v>
      </c>
      <c r="DO5" s="476" t="s">
        <v>1231</v>
      </c>
      <c r="DP5" s="476" t="s">
        <v>1230</v>
      </c>
      <c r="DQ5" s="409" t="s">
        <v>1229</v>
      </c>
      <c r="DR5" s="70" t="s">
        <v>1231</v>
      </c>
      <c r="DS5" s="70" t="s">
        <v>1230</v>
      </c>
      <c r="DT5" s="70" t="s">
        <v>4715</v>
      </c>
      <c r="DU5" s="543" t="s">
        <v>4721</v>
      </c>
      <c r="DV5" s="543"/>
      <c r="DW5" s="476" t="s">
        <v>1229</v>
      </c>
      <c r="DX5" s="476" t="s">
        <v>1231</v>
      </c>
      <c r="DY5" s="476" t="s">
        <v>1230</v>
      </c>
      <c r="DZ5" s="409" t="s">
        <v>1229</v>
      </c>
      <c r="EA5" s="70" t="s">
        <v>1231</v>
      </c>
      <c r="EB5" s="70" t="s">
        <v>1230</v>
      </c>
      <c r="EC5" s="70" t="s">
        <v>4731</v>
      </c>
      <c r="ED5" s="70" t="s">
        <v>4732</v>
      </c>
      <c r="EE5" s="70" t="s">
        <v>4733</v>
      </c>
      <c r="EF5" s="70" t="s">
        <v>4734</v>
      </c>
      <c r="EG5" s="70" t="s">
        <v>4735</v>
      </c>
      <c r="EH5" s="70" t="s">
        <v>4761</v>
      </c>
      <c r="EI5" s="70" t="s">
        <v>4807</v>
      </c>
    </row>
    <row r="6" spans="1:139" ht="15.75" customHeight="1" x14ac:dyDescent="0.35">
      <c r="A6" s="1"/>
      <c r="B6"/>
      <c r="C6" s="2"/>
      <c r="D6" s="2"/>
      <c r="E6" s="2"/>
      <c r="F6" s="2"/>
      <c r="G6" s="2"/>
      <c r="H6" s="2"/>
      <c r="I6" s="67" t="s">
        <v>1148</v>
      </c>
      <c r="J6" s="4"/>
      <c r="K6" s="68"/>
      <c r="L6" s="4"/>
      <c r="M6" s="67" t="s">
        <v>4743</v>
      </c>
      <c r="N6" s="4"/>
      <c r="O6" s="70"/>
      <c r="P6" s="70"/>
      <c r="Q6" s="70"/>
      <c r="R6" s="70"/>
      <c r="S6" s="95"/>
      <c r="T6" s="70"/>
      <c r="BS6" s="476"/>
      <c r="BT6" s="479"/>
      <c r="BU6" s="479"/>
      <c r="BV6" s="476">
        <v>2011</v>
      </c>
      <c r="BW6" s="476">
        <v>2012</v>
      </c>
      <c r="BX6" s="476">
        <v>2013</v>
      </c>
      <c r="BY6" s="476">
        <v>2014</v>
      </c>
      <c r="BZ6" s="476">
        <v>2015</v>
      </c>
      <c r="CA6" s="476">
        <v>2016</v>
      </c>
      <c r="CB6" s="476">
        <v>2017</v>
      </c>
      <c r="CC6" s="476">
        <v>2018</v>
      </c>
      <c r="CD6" s="476">
        <v>2019</v>
      </c>
      <c r="CE6" s="476">
        <v>2011</v>
      </c>
      <c r="CF6" s="476">
        <v>2012</v>
      </c>
      <c r="CG6" s="476">
        <v>2013</v>
      </c>
      <c r="CH6" s="476">
        <v>2014</v>
      </c>
      <c r="CI6" s="476">
        <v>2015</v>
      </c>
      <c r="CJ6" s="476">
        <v>2016</v>
      </c>
      <c r="CK6" s="476">
        <v>2017</v>
      </c>
      <c r="CL6" s="476">
        <v>2018</v>
      </c>
      <c r="CM6" s="476">
        <v>2019</v>
      </c>
      <c r="CN6" s="476">
        <v>2011</v>
      </c>
      <c r="CO6" s="476">
        <v>2012</v>
      </c>
      <c r="CP6" s="476">
        <v>2013</v>
      </c>
      <c r="CQ6" s="476">
        <v>2014</v>
      </c>
      <c r="CR6" s="476">
        <v>2015</v>
      </c>
      <c r="CS6" s="476">
        <v>2016</v>
      </c>
      <c r="CT6" s="476">
        <v>2017</v>
      </c>
      <c r="CU6" s="476">
        <v>2018</v>
      </c>
      <c r="CV6" s="476">
        <v>2019</v>
      </c>
      <c r="CW6" s="476">
        <v>2011</v>
      </c>
      <c r="CX6" s="476">
        <v>2012</v>
      </c>
      <c r="CY6" s="476">
        <v>2013</v>
      </c>
      <c r="CZ6" s="476">
        <v>2014</v>
      </c>
      <c r="DA6" s="476">
        <v>2015</v>
      </c>
      <c r="DB6" s="476">
        <v>2016</v>
      </c>
      <c r="DC6" s="476">
        <v>2017</v>
      </c>
      <c r="DD6" s="476">
        <v>2018</v>
      </c>
      <c r="DE6" s="476">
        <v>2019</v>
      </c>
      <c r="DF6" s="476" t="s">
        <v>1504</v>
      </c>
      <c r="DG6" s="476">
        <v>2011</v>
      </c>
      <c r="DH6" s="476">
        <v>2012</v>
      </c>
      <c r="DI6" s="476">
        <v>2013</v>
      </c>
      <c r="DJ6" s="476">
        <v>2014</v>
      </c>
      <c r="DK6" s="476">
        <v>2015</v>
      </c>
      <c r="DL6" s="476">
        <v>2016</v>
      </c>
      <c r="DM6" s="476">
        <v>2017</v>
      </c>
      <c r="DN6" s="476">
        <v>2018</v>
      </c>
      <c r="DO6" s="476">
        <v>2018</v>
      </c>
      <c r="DP6" s="476">
        <v>2018</v>
      </c>
      <c r="DQ6" s="476">
        <v>2019</v>
      </c>
      <c r="DR6" s="476">
        <v>2019</v>
      </c>
      <c r="DS6" s="476">
        <v>2019</v>
      </c>
      <c r="DT6" s="70">
        <v>2018</v>
      </c>
      <c r="DU6" s="70">
        <v>2018</v>
      </c>
      <c r="DV6" s="70">
        <v>2019</v>
      </c>
      <c r="DW6" s="476">
        <v>2018</v>
      </c>
      <c r="DX6" s="476">
        <v>2018</v>
      </c>
      <c r="DY6" s="476">
        <v>2018</v>
      </c>
      <c r="DZ6" s="476">
        <v>2019</v>
      </c>
      <c r="EA6" s="476">
        <v>2019</v>
      </c>
      <c r="EB6" s="476">
        <v>2019</v>
      </c>
      <c r="EC6" s="70">
        <v>2018</v>
      </c>
      <c r="ED6" s="70">
        <v>2018</v>
      </c>
      <c r="EE6" s="70">
        <v>2018</v>
      </c>
      <c r="EF6" s="70">
        <v>2018</v>
      </c>
      <c r="EG6" s="70">
        <v>2018</v>
      </c>
      <c r="EH6" s="70">
        <v>2018</v>
      </c>
      <c r="EI6" s="70">
        <v>2019</v>
      </c>
    </row>
    <row r="7" spans="1:139" ht="15.75" customHeight="1" x14ac:dyDescent="0.35">
      <c r="A7" s="1"/>
      <c r="B7"/>
      <c r="C7"/>
      <c r="D7"/>
      <c r="E7"/>
      <c r="F7"/>
      <c r="G7"/>
      <c r="H7"/>
      <c r="I7" s="67" t="s">
        <v>1269</v>
      </c>
      <c r="J7" s="4"/>
      <c r="K7" s="4"/>
      <c r="L7" s="68"/>
      <c r="M7" s="68"/>
      <c r="N7" s="4"/>
      <c r="O7" s="70"/>
      <c r="P7" s="70"/>
      <c r="Q7" s="70"/>
      <c r="R7" s="70"/>
      <c r="S7" s="95"/>
      <c r="T7" s="70"/>
      <c r="BS7" s="476" t="s">
        <v>4703</v>
      </c>
      <c r="BT7" s="479" t="s">
        <v>1151</v>
      </c>
      <c r="BU7" s="479"/>
      <c r="BV7" s="476"/>
      <c r="BW7" s="476"/>
      <c r="BX7" s="476"/>
      <c r="BY7" s="476"/>
      <c r="BZ7" s="476"/>
      <c r="CA7" s="476"/>
      <c r="CB7" s="476"/>
      <c r="CC7" s="476"/>
      <c r="CD7" s="476"/>
      <c r="CE7" s="476"/>
      <c r="CF7" s="476"/>
      <c r="CG7" s="476"/>
      <c r="CH7" s="476"/>
      <c r="CI7" s="476"/>
      <c r="CJ7" s="476"/>
      <c r="CK7" s="476"/>
      <c r="CL7" s="476"/>
      <c r="CM7" s="476"/>
      <c r="CN7" s="410">
        <v>620.20563729543051</v>
      </c>
      <c r="CO7" s="410">
        <v>612.34089202232451</v>
      </c>
      <c r="CP7" s="410">
        <v>596.08658076779568</v>
      </c>
      <c r="CQ7" s="410">
        <v>589.1008664911451</v>
      </c>
      <c r="CR7" s="410">
        <v>573.37767588319423</v>
      </c>
      <c r="CS7" s="410">
        <v>550.8217594496216</v>
      </c>
      <c r="CT7" s="410">
        <v>529.5924</v>
      </c>
      <c r="CU7" s="410">
        <v>536.32018669637034</v>
      </c>
      <c r="CV7" s="410">
        <f>SUM('Données par municipalité'!N6:N1113)*1000000/365/SUM('Données par municipalité'!K6:K1113)</f>
        <v>524.50800277550013</v>
      </c>
      <c r="CW7" s="482" t="s">
        <v>4723</v>
      </c>
      <c r="CX7" s="483">
        <v>0.54</v>
      </c>
      <c r="CY7" s="483">
        <v>0.56000000000000005</v>
      </c>
      <c r="CZ7" s="483">
        <v>0.74</v>
      </c>
      <c r="DA7" s="483">
        <v>0.78</v>
      </c>
      <c r="DB7" s="483">
        <v>0.85</v>
      </c>
      <c r="DC7" s="483">
        <v>0.90198866984022286</v>
      </c>
      <c r="DD7" s="483">
        <v>0.88070615733702451</v>
      </c>
      <c r="DE7" s="483">
        <f>SUM('État &amp; Plan d''action'!$S$6:$S$1113,'État &amp; Plan d''action'!$U$6:$U$1113)/SUM('Données par municipalité'!$L$6:$L$1113)</f>
        <v>1.014154604754401</v>
      </c>
      <c r="DF7" s="483">
        <f>SUM('État &amp; Plan d''action'!$T$6:$T$1113,'État &amp; Plan d''action'!$V$6:$V$1113)/SUM('Données par municipalité'!$L$6:$L$1113)</f>
        <v>1.4295408649973096</v>
      </c>
      <c r="DG7" s="476" t="s">
        <v>4723</v>
      </c>
      <c r="DH7" s="484">
        <v>9059</v>
      </c>
      <c r="DI7" s="484">
        <v>8852</v>
      </c>
      <c r="DJ7" s="484">
        <v>9905</v>
      </c>
      <c r="DK7" s="484">
        <v>10143</v>
      </c>
      <c r="DL7" s="484">
        <v>8764</v>
      </c>
      <c r="DM7" s="484">
        <v>8355</v>
      </c>
      <c r="DN7" s="484">
        <v>5694</v>
      </c>
      <c r="DO7" s="484">
        <v>2517</v>
      </c>
      <c r="DP7" s="484">
        <v>1275</v>
      </c>
      <c r="DQ7" s="484">
        <f t="shared" ref="DQ7:DS7" si="0">SUM(DQ8:DQ1115)</f>
        <v>5090</v>
      </c>
      <c r="DR7" s="484">
        <f>SUM(DR8:DR1115)</f>
        <v>2667</v>
      </c>
      <c r="DS7" s="484">
        <f t="shared" si="0"/>
        <v>1457</v>
      </c>
      <c r="DT7" s="72">
        <v>268.2675218279096</v>
      </c>
      <c r="DU7" s="485">
        <v>6.0350627662125476</v>
      </c>
      <c r="DV7" s="485">
        <v>6.59226315459658</v>
      </c>
      <c r="DW7" s="72">
        <v>5.3144235565669895</v>
      </c>
      <c r="DX7" s="72">
        <v>7.0827827086491473</v>
      </c>
      <c r="DY7" s="72">
        <v>16.6625813402284</v>
      </c>
      <c r="DZ7" s="72">
        <f>SUMPRODUCT('État &amp; Plan d''action'!AC6:AC1113,'État &amp; Plan d''action'!AF6:AF1113)/SUM('État &amp; Plan d''action'!AC6:AC1113)</f>
        <v>4.5625311764132146</v>
      </c>
      <c r="EA7" s="72">
        <f>SUMPRODUCT('État &amp; Plan d''action'!AD6:AD1113,'État &amp; Plan d''action'!AG6:AG1113)/SUM('État &amp; Plan d''action'!AD6:AD1113)</f>
        <v>8.0384667825612706</v>
      </c>
      <c r="EB7" s="72">
        <f>SUMPRODUCT('État &amp; Plan d''action'!AE6:AE1113,'État &amp; Plan d''action'!AH6:AH1113)/SUM('État &amp; Plan d''action'!AE6:AE1113)</f>
        <v>16.582606137856651</v>
      </c>
      <c r="EC7" s="70">
        <v>2964.3690000000006</v>
      </c>
      <c r="ED7" s="70">
        <v>30100.840801877988</v>
      </c>
      <c r="EE7" s="70">
        <v>4173.9080000000022</v>
      </c>
      <c r="EF7" s="70">
        <v>1559.3639999999996</v>
      </c>
      <c r="EG7" s="70">
        <v>3.5</v>
      </c>
      <c r="EH7" s="72">
        <v>55.81464743270201</v>
      </c>
    </row>
    <row r="8" spans="1:139" ht="15.75" customHeight="1" x14ac:dyDescent="0.35">
      <c r="A8" s="1"/>
      <c r="B8"/>
      <c r="C8"/>
      <c r="D8"/>
      <c r="E8"/>
      <c r="F8"/>
      <c r="G8"/>
      <c r="H8"/>
      <c r="I8" s="67" t="s">
        <v>4741</v>
      </c>
      <c r="J8" s="4"/>
      <c r="K8" s="68"/>
      <c r="L8" s="68"/>
      <c r="M8" s="68"/>
      <c r="N8" s="4"/>
      <c r="O8" s="70"/>
      <c r="P8" s="70"/>
      <c r="Q8" s="70"/>
      <c r="R8" s="70"/>
      <c r="S8" s="97"/>
      <c r="T8" s="411"/>
      <c r="W8" s="411"/>
      <c r="X8" s="411"/>
      <c r="Y8" s="411"/>
      <c r="BS8" s="486">
        <v>46005</v>
      </c>
      <c r="BT8" s="479" t="s">
        <v>427</v>
      </c>
      <c r="BU8" s="479">
        <v>5</v>
      </c>
      <c r="BV8" s="476" t="s">
        <v>1187</v>
      </c>
      <c r="BW8" s="476" t="s">
        <v>1187</v>
      </c>
      <c r="BX8" s="476" t="s">
        <v>1187</v>
      </c>
      <c r="BY8" s="476" t="s">
        <v>1187</v>
      </c>
      <c r="BZ8" s="476" t="s">
        <v>1187</v>
      </c>
      <c r="CA8" s="476" t="s">
        <v>1187</v>
      </c>
      <c r="CB8" s="476" t="s">
        <v>1187</v>
      </c>
      <c r="CC8" s="476" t="s">
        <v>1187</v>
      </c>
      <c r="CD8" s="476" t="s">
        <v>1187</v>
      </c>
      <c r="CE8" s="476" t="s">
        <v>1188</v>
      </c>
      <c r="CF8" s="476" t="s">
        <v>1188</v>
      </c>
      <c r="CG8" s="476" t="s">
        <v>1188</v>
      </c>
      <c r="CH8" s="476" t="s">
        <v>1188</v>
      </c>
      <c r="CI8" s="476" t="s">
        <v>1187</v>
      </c>
      <c r="CJ8" s="476" t="s">
        <v>1187</v>
      </c>
      <c r="CK8" s="476" t="s">
        <v>1187</v>
      </c>
      <c r="CL8" s="476" t="s">
        <v>1187</v>
      </c>
      <c r="CM8" s="476" t="str">
        <f>IF(VLOOKUP(BS8,'Données par municipalité'!$B$6:$E$1113,4,FALSE)="","non","oui")</f>
        <v>non</v>
      </c>
      <c r="CN8" s="410">
        <v>330.18979770000965</v>
      </c>
      <c r="CO8" s="410">
        <v>339.42822308488695</v>
      </c>
      <c r="CP8" s="410">
        <v>278.00889733385981</v>
      </c>
      <c r="CQ8" s="410">
        <v>361.15066854721886</v>
      </c>
      <c r="CR8" s="410"/>
      <c r="CS8" s="410" t="s">
        <v>1124</v>
      </c>
      <c r="CT8" s="410"/>
      <c r="CU8" s="410" t="s">
        <v>1124</v>
      </c>
      <c r="CV8" s="410" t="str">
        <f>IF(VLOOKUP(BS8,'Données par municipalité'!$B$6:$F$1113,4,FALSE)="","",VLOOKUP(BS8,'Données par municipalité'!$B$6:$F$1113,4,FALSE))</f>
        <v/>
      </c>
      <c r="CW8" s="476" t="s">
        <v>4723</v>
      </c>
      <c r="CX8" s="483">
        <v>0</v>
      </c>
      <c r="CY8" s="483">
        <v>0</v>
      </c>
      <c r="CZ8" s="483">
        <v>0</v>
      </c>
      <c r="DA8" s="483" t="s">
        <v>1124</v>
      </c>
      <c r="DB8" s="483" t="s">
        <v>1124</v>
      </c>
      <c r="DC8" s="483" t="s">
        <v>1124</v>
      </c>
      <c r="DD8" s="483" t="s">
        <v>1124</v>
      </c>
      <c r="DE8" s="483" t="str">
        <f>IFERROR(SUM(VLOOKUP($BS8,'État &amp; Plan d''action'!$B$6:$Z$1113,18,FALSE),VLOOKUP($BS8,'État &amp; Plan d''action'!$B$6:$Z$1113,20,FALSE))/(VLOOKUP($BS8,'Données par municipalité'!$B$4:$L$1113,11,FALSE)),"")</f>
        <v/>
      </c>
      <c r="DF8" s="483" t="str">
        <f>IFERROR(SUM(VLOOKUP($BS8,'État &amp; Plan d''action'!$B$6:$Z$1113,19,FALSE),VLOOKUP($BS8,'État &amp; Plan d''action'!$B$6:$Z$1113,21,FALSE))/(VLOOKUP($BS8,'Données par municipalité'!$B$4:$L$1113,11,FALSE)),"")</f>
        <v/>
      </c>
      <c r="DG8" s="476" t="s">
        <v>4723</v>
      </c>
      <c r="DH8" s="484">
        <v>0</v>
      </c>
      <c r="DI8" s="484">
        <v>0</v>
      </c>
      <c r="DJ8" s="484">
        <v>2</v>
      </c>
      <c r="DK8" s="484">
        <v>0</v>
      </c>
      <c r="DL8" s="484" t="s">
        <v>1124</v>
      </c>
      <c r="DM8" s="484" t="s">
        <v>1124</v>
      </c>
      <c r="DN8" s="484" t="s">
        <v>1124</v>
      </c>
      <c r="DO8" s="484" t="s">
        <v>1124</v>
      </c>
      <c r="DP8" s="484" t="s">
        <v>1124</v>
      </c>
      <c r="DQ8" s="484" t="str">
        <f>IF(VLOOKUP($BS8,'État &amp; Plan d''action'!$B$6:$AJ$1113,28,FALSE)="","",VLOOKUP($BS8,'État &amp; Plan d''action'!$B$6:$AJ$1113,28,FALSE))</f>
        <v/>
      </c>
      <c r="DR8" s="70" t="str">
        <f>IF(VLOOKUP($BS8,'État &amp; Plan d''action'!$B$6:$AJ$1113,29,FALSE)="","",VLOOKUP($BS8,'État &amp; Plan d''action'!$B$6:$AJ$1113,29,FALSE))</f>
        <v/>
      </c>
      <c r="DS8" s="70" t="str">
        <f>IF(VLOOKUP($BS8,'État &amp; Plan d''action'!$B$6:$AJ$1113,30,FALSE)="","",VLOOKUP($BS8,'État &amp; Plan d''action'!$B$6:$AJ$1113,30,FALSE))</f>
        <v/>
      </c>
      <c r="DT8" s="70" t="s">
        <v>1124</v>
      </c>
      <c r="DU8" s="485" t="s">
        <v>1124</v>
      </c>
      <c r="DV8" s="485" t="s">
        <v>1124</v>
      </c>
      <c r="DW8" s="70" t="s">
        <v>1124</v>
      </c>
      <c r="DX8" s="70" t="s">
        <v>1124</v>
      </c>
      <c r="DY8" s="70" t="s">
        <v>1124</v>
      </c>
      <c r="DZ8" s="70" t="str">
        <f>VLOOKUP($BS8,'État &amp; Plan d''action'!$B$6:$AH$1113,31,FALSE)</f>
        <v/>
      </c>
      <c r="EA8" s="70" t="str">
        <f>VLOOKUP($BS8,'État &amp; Plan d''action'!$B$6:$AH$1113,32,FALSE)</f>
        <v/>
      </c>
      <c r="EB8" s="70" t="str">
        <f>VLOOKUP($BS8,'État &amp; Plan d''action'!$B$6:$AH$1113,33,FALSE)</f>
        <v/>
      </c>
      <c r="EC8" s="70" t="s">
        <v>1124</v>
      </c>
      <c r="ED8" s="70" t="s">
        <v>1124</v>
      </c>
      <c r="EE8" s="70" t="s">
        <v>1124</v>
      </c>
      <c r="EF8" s="70" t="s">
        <v>1124</v>
      </c>
      <c r="EG8" s="70" t="s">
        <v>1124</v>
      </c>
      <c r="EH8" s="72"/>
      <c r="EI8" s="72">
        <v>346</v>
      </c>
    </row>
    <row r="9" spans="1:139" ht="15.75" customHeight="1" x14ac:dyDescent="0.35">
      <c r="A9" s="1"/>
      <c r="B9"/>
      <c r="C9"/>
      <c r="D9"/>
      <c r="E9"/>
      <c r="F9"/>
      <c r="G9"/>
      <c r="H9"/>
      <c r="I9" s="67" t="s">
        <v>1147</v>
      </c>
      <c r="J9" s="4"/>
      <c r="K9" s="69"/>
      <c r="L9" s="69"/>
      <c r="M9" s="69"/>
      <c r="N9" s="4"/>
      <c r="O9" s="70"/>
      <c r="P9" s="70"/>
      <c r="Q9" s="70"/>
      <c r="R9" s="73"/>
      <c r="S9" s="98"/>
      <c r="T9" s="412"/>
      <c r="W9" s="412"/>
      <c r="X9" s="412"/>
      <c r="Y9" s="412"/>
      <c r="BS9" s="486">
        <v>48028</v>
      </c>
      <c r="BT9" s="479" t="s">
        <v>460</v>
      </c>
      <c r="BU9" s="479">
        <v>16</v>
      </c>
      <c r="BV9" s="476" t="s">
        <v>1187</v>
      </c>
      <c r="BW9" s="476" t="s">
        <v>1187</v>
      </c>
      <c r="BX9" s="476" t="s">
        <v>1187</v>
      </c>
      <c r="BY9" s="476" t="s">
        <v>1187</v>
      </c>
      <c r="BZ9" s="476" t="s">
        <v>1187</v>
      </c>
      <c r="CA9" s="476" t="s">
        <v>1187</v>
      </c>
      <c r="CB9" s="476" t="s">
        <v>1187</v>
      </c>
      <c r="CC9" s="476" t="s">
        <v>1187</v>
      </c>
      <c r="CD9" s="476" t="s">
        <v>1187</v>
      </c>
      <c r="CE9" s="476" t="s">
        <v>1188</v>
      </c>
      <c r="CF9" s="476" t="s">
        <v>1188</v>
      </c>
      <c r="CG9" s="476" t="s">
        <v>1188</v>
      </c>
      <c r="CH9" s="476" t="s">
        <v>1188</v>
      </c>
      <c r="CI9" s="476" t="s">
        <v>1188</v>
      </c>
      <c r="CJ9" s="476" t="s">
        <v>1188</v>
      </c>
      <c r="CK9" s="476" t="s">
        <v>1188</v>
      </c>
      <c r="CL9" s="476" t="s">
        <v>1188</v>
      </c>
      <c r="CM9" s="476" t="str">
        <f>IF(VLOOKUP(BS9,'Données par municipalité'!$B$6:$E$1113,4,FALSE)="","non","oui")</f>
        <v>oui</v>
      </c>
      <c r="CN9" s="410">
        <v>897.22049451126418</v>
      </c>
      <c r="CO9" s="410">
        <v>776.17237788794785</v>
      </c>
      <c r="CP9" s="410">
        <v>725.24484450057992</v>
      </c>
      <c r="CQ9" s="410">
        <v>806.20900129256029</v>
      </c>
      <c r="CR9" s="410">
        <v>446.74344528540848</v>
      </c>
      <c r="CS9" s="410">
        <v>448.99749140957221</v>
      </c>
      <c r="CT9" s="410">
        <v>513.76507805969732</v>
      </c>
      <c r="CU9" s="410">
        <v>505</v>
      </c>
      <c r="CV9" s="410">
        <f>IF(VLOOKUP(BS9,'Données par municipalité'!$B$6:$F$1113,4,FALSE)="","",VLOOKUP(BS9,'Données par municipalité'!$B$6:$F$1113,4,FALSE))</f>
        <v>458</v>
      </c>
      <c r="CW9" s="476" t="s">
        <v>4723</v>
      </c>
      <c r="CX9" s="483">
        <v>0</v>
      </c>
      <c r="CY9" s="483">
        <v>0</v>
      </c>
      <c r="CZ9" s="483">
        <v>0</v>
      </c>
      <c r="DA9" s="483">
        <v>0</v>
      </c>
      <c r="DB9" s="483">
        <v>0.05</v>
      </c>
      <c r="DC9" s="483">
        <v>0.05</v>
      </c>
      <c r="DD9" s="483">
        <v>9.9909990999099918E-2</v>
      </c>
      <c r="DE9" s="483">
        <f>IFERROR(SUM(VLOOKUP($BS9,'État &amp; Plan d''action'!$B$6:$Z$1113,18,FALSE),VLOOKUP($BS9,'État &amp; Plan d''action'!$B$6:$Z$1113,20,FALSE))/(VLOOKUP($BS9,'Données par municipalité'!$B$4:$L$1113,11,FALSE)),"")</f>
        <v>1</v>
      </c>
      <c r="DF9" s="483">
        <f>IFERROR(SUM(VLOOKUP($BS9,'État &amp; Plan d''action'!$B$6:$Z$1113,19,FALSE),VLOOKUP($BS9,'État &amp; Plan d''action'!$B$6:$Z$1113,21,FALSE))/(VLOOKUP($BS9,'Données par municipalité'!$B$4:$L$1113,11,FALSE)),"")</f>
        <v>0</v>
      </c>
      <c r="DG9" s="476" t="s">
        <v>4723</v>
      </c>
      <c r="DH9" s="484">
        <v>5</v>
      </c>
      <c r="DI9" s="484">
        <v>8</v>
      </c>
      <c r="DJ9" s="484">
        <v>12</v>
      </c>
      <c r="DK9" s="484">
        <v>11</v>
      </c>
      <c r="DL9" s="484">
        <v>7</v>
      </c>
      <c r="DM9" s="484">
        <v>9</v>
      </c>
      <c r="DN9" s="484">
        <v>4</v>
      </c>
      <c r="DO9" s="484">
        <v>10</v>
      </c>
      <c r="DP9" s="484">
        <v>0</v>
      </c>
      <c r="DQ9" s="484">
        <f>IF(VLOOKUP($BS9,'État &amp; Plan d''action'!$B$6:$AJ$1113,28,FALSE)="","",VLOOKUP($BS9,'État &amp; Plan d''action'!$B$6:$AJ$1113,28,FALSE))</f>
        <v>1</v>
      </c>
      <c r="DR9" s="70">
        <f>IF(VLOOKUP($BS9,'État &amp; Plan d''action'!$B$6:$AJ$1113,29,FALSE)="","",VLOOKUP($BS9,'État &amp; Plan d''action'!$B$6:$AJ$1113,29,FALSE))</f>
        <v>2</v>
      </c>
      <c r="DS9" s="70">
        <f>IF(VLOOKUP($BS9,'État &amp; Plan d''action'!$B$6:$AJ$1113,30,FALSE)="","",VLOOKUP($BS9,'État &amp; Plan d''action'!$B$6:$AJ$1113,30,FALSE))</f>
        <v>1</v>
      </c>
      <c r="DT9" s="70">
        <v>237</v>
      </c>
      <c r="DU9" s="485">
        <v>1.8654141018836945</v>
      </c>
      <c r="DV9" s="485">
        <v>1.7988186749498454</v>
      </c>
      <c r="DW9" s="70">
        <v>1</v>
      </c>
      <c r="DX9" s="70">
        <v>1</v>
      </c>
      <c r="DY9" s="70">
        <v>0</v>
      </c>
      <c r="DZ9" s="70">
        <f>VLOOKUP($BS9,'État &amp; Plan d''action'!$B$6:$AH$1113,31,FALSE)</f>
        <v>1</v>
      </c>
      <c r="EA9" s="70">
        <f>VLOOKUP($BS9,'État &amp; Plan d''action'!$B$6:$AH$1113,32,FALSE)</f>
        <v>1</v>
      </c>
      <c r="EB9" s="70">
        <f>VLOOKUP($BS9,'État &amp; Plan d''action'!$B$6:$AH$1113,33,FALSE)</f>
        <v>3</v>
      </c>
      <c r="EC9" s="70">
        <v>0</v>
      </c>
      <c r="ED9" s="70">
        <v>4.4400000000000004</v>
      </c>
      <c r="EE9" s="70">
        <v>0</v>
      </c>
      <c r="EF9" s="70">
        <v>0</v>
      </c>
      <c r="EG9" s="70">
        <v>0</v>
      </c>
      <c r="EH9" s="72">
        <v>57</v>
      </c>
      <c r="EI9" s="72">
        <v>7689</v>
      </c>
    </row>
    <row r="10" spans="1:139" s="413" customFormat="1" ht="45" customHeight="1" x14ac:dyDescent="0.65">
      <c r="A10" s="345"/>
      <c r="B10" s="343" t="s">
        <v>4717</v>
      </c>
      <c r="C10" s="343"/>
      <c r="D10" s="343"/>
      <c r="E10" s="343"/>
      <c r="F10" s="343"/>
      <c r="G10" s="343"/>
      <c r="H10" s="343"/>
      <c r="I10" s="75" t="s">
        <v>1270</v>
      </c>
      <c r="J10" s="343"/>
      <c r="K10" s="343"/>
      <c r="L10" s="343"/>
      <c r="M10" s="343"/>
      <c r="N10" s="343"/>
      <c r="O10" s="346"/>
      <c r="P10" s="346"/>
      <c r="Q10" s="346"/>
      <c r="R10" s="346"/>
      <c r="S10" s="346"/>
      <c r="U10" s="357"/>
      <c r="V10" s="357"/>
      <c r="BR10" s="70"/>
      <c r="BS10" s="487">
        <v>31056</v>
      </c>
      <c r="BT10" s="488" t="s">
        <v>246</v>
      </c>
      <c r="BU10" s="488">
        <v>12</v>
      </c>
      <c r="BV10" s="489" t="s">
        <v>1187</v>
      </c>
      <c r="BW10" s="489" t="s">
        <v>1187</v>
      </c>
      <c r="BX10" s="489" t="s">
        <v>1187</v>
      </c>
      <c r="BY10" s="489" t="s">
        <v>1187</v>
      </c>
      <c r="BZ10" s="489" t="s">
        <v>1187</v>
      </c>
      <c r="CA10" s="489" t="s">
        <v>1187</v>
      </c>
      <c r="CB10" s="489" t="s">
        <v>1187</v>
      </c>
      <c r="CC10" s="489" t="s">
        <v>1187</v>
      </c>
      <c r="CD10" s="489" t="s">
        <v>1187</v>
      </c>
      <c r="CE10" s="489" t="s">
        <v>1188</v>
      </c>
      <c r="CF10" s="489" t="s">
        <v>1188</v>
      </c>
      <c r="CG10" s="489" t="s">
        <v>1188</v>
      </c>
      <c r="CH10" s="489" t="s">
        <v>1188</v>
      </c>
      <c r="CI10" s="489" t="s">
        <v>1188</v>
      </c>
      <c r="CJ10" s="489" t="s">
        <v>1188</v>
      </c>
      <c r="CK10" s="489" t="s">
        <v>1188</v>
      </c>
      <c r="CL10" s="489" t="s">
        <v>1188</v>
      </c>
      <c r="CM10" s="489" t="str">
        <f>IF(VLOOKUP(BS10,'Données par municipalité'!$B$6:$E$1113,4,FALSE)="","non","oui")</f>
        <v>oui</v>
      </c>
      <c r="CN10" s="490">
        <v>844.64098544086914</v>
      </c>
      <c r="CO10" s="490">
        <v>764.22442093700988</v>
      </c>
      <c r="CP10" s="490">
        <v>562.87795669119066</v>
      </c>
      <c r="CQ10" s="490">
        <v>384.53382991888094</v>
      </c>
      <c r="CR10" s="490">
        <v>338.53599507349162</v>
      </c>
      <c r="CS10" s="490">
        <v>340.65431132568722</v>
      </c>
      <c r="CT10" s="490">
        <v>288.68059261894876</v>
      </c>
      <c r="CU10" s="490">
        <v>313</v>
      </c>
      <c r="CV10" s="490">
        <f>IF(VLOOKUP(BS10,'Données par municipalité'!$B$6:$F$1113,4,FALSE)="","",VLOOKUP(BS10,'Données par municipalité'!$B$6:$F$1113,4,FALSE))</f>
        <v>260</v>
      </c>
      <c r="CW10" s="489" t="s">
        <v>4723</v>
      </c>
      <c r="CX10" s="491">
        <v>0.1</v>
      </c>
      <c r="CY10" s="491">
        <v>0.05</v>
      </c>
      <c r="CZ10" s="491">
        <v>0.1</v>
      </c>
      <c r="DA10" s="491">
        <v>0.25</v>
      </c>
      <c r="DB10" s="491">
        <v>0</v>
      </c>
      <c r="DC10" s="491">
        <v>0</v>
      </c>
      <c r="DD10" s="491">
        <v>0</v>
      </c>
      <c r="DE10" s="491">
        <f>IFERROR(SUM(VLOOKUP($BS10,'État &amp; Plan d''action'!$B$6:$Z$1113,18,FALSE),VLOOKUP($BS10,'État &amp; Plan d''action'!$B$6:$Z$1113,20,FALSE))/(VLOOKUP($BS10,'Données par municipalité'!$B$4:$L$1113,11,FALSE)),"")</f>
        <v>0</v>
      </c>
      <c r="DF10" s="491">
        <f>IFERROR(SUM(VLOOKUP($BS10,'État &amp; Plan d''action'!$B$6:$Z$1113,19,FALSE),VLOOKUP($BS10,'État &amp; Plan d''action'!$B$6:$Z$1113,21,FALSE))/(VLOOKUP($BS10,'Données par municipalité'!$B$4:$L$1113,11,FALSE)),"")</f>
        <v>0</v>
      </c>
      <c r="DG10" s="489" t="s">
        <v>4723</v>
      </c>
      <c r="DH10" s="492">
        <v>3</v>
      </c>
      <c r="DI10" s="492">
        <v>4</v>
      </c>
      <c r="DJ10" s="492">
        <v>4</v>
      </c>
      <c r="DK10" s="492">
        <v>8</v>
      </c>
      <c r="DL10" s="492">
        <v>3</v>
      </c>
      <c r="DM10" s="492">
        <v>2</v>
      </c>
      <c r="DN10" s="492">
        <v>0</v>
      </c>
      <c r="DO10" s="492">
        <v>0</v>
      </c>
      <c r="DP10" s="492">
        <v>0</v>
      </c>
      <c r="DQ10" s="492">
        <f>IF(VLOOKUP($BS10,'État &amp; Plan d''action'!$B$6:$AJ$1113,28,FALSE)="","",VLOOKUP($BS10,'État &amp; Plan d''action'!$B$6:$AJ$1113,28,FALSE))</f>
        <v>0</v>
      </c>
      <c r="DR10" s="413">
        <f>IF(VLOOKUP($BS10,'État &amp; Plan d''action'!$B$6:$AJ$1113,29,FALSE)="","",VLOOKUP($BS10,'État &amp; Plan d''action'!$B$6:$AJ$1113,29,FALSE))</f>
        <v>0</v>
      </c>
      <c r="DS10" s="413">
        <f>IF(VLOOKUP($BS10,'État &amp; Plan d''action'!$B$6:$AJ$1113,30,FALSE)="","",VLOOKUP($BS10,'État &amp; Plan d''action'!$B$6:$AJ$1113,30,FALSE))</f>
        <v>0</v>
      </c>
      <c r="DT10" s="413">
        <v>169</v>
      </c>
      <c r="DU10" s="493">
        <v>0.52299200828215153</v>
      </c>
      <c r="DV10" s="493">
        <v>0.28551590972276047</v>
      </c>
      <c r="DW10" s="413">
        <v>0</v>
      </c>
      <c r="DX10" s="413">
        <v>0</v>
      </c>
      <c r="DY10" s="413">
        <v>0</v>
      </c>
      <c r="DZ10" s="413">
        <f>VLOOKUP($BS10,'État &amp; Plan d''action'!$B$6:$AH$1113,31,FALSE)</f>
        <v>0</v>
      </c>
      <c r="EA10" s="413">
        <f>VLOOKUP($BS10,'État &amp; Plan d''action'!$B$6:$AH$1113,32,FALSE)</f>
        <v>0</v>
      </c>
      <c r="EB10" s="413">
        <f>VLOOKUP($BS10,'État &amp; Plan d''action'!$B$6:$AH$1113,33,FALSE)</f>
        <v>0</v>
      </c>
      <c r="EC10" s="413">
        <v>0</v>
      </c>
      <c r="ED10" s="413">
        <v>0</v>
      </c>
      <c r="EE10" s="413">
        <v>0</v>
      </c>
      <c r="EF10" s="413">
        <v>0</v>
      </c>
      <c r="EG10" s="413">
        <v>0</v>
      </c>
      <c r="EH10" s="494">
        <v>69</v>
      </c>
      <c r="EI10" s="72">
        <v>2819</v>
      </c>
    </row>
    <row r="11" spans="1:139" ht="15.75" customHeight="1" x14ac:dyDescent="0.35">
      <c r="A11" s="542"/>
      <c r="B11" s="542"/>
      <c r="C11" s="542"/>
      <c r="D11" s="542"/>
      <c r="E11" s="542"/>
      <c r="F11" s="542"/>
      <c r="G11" s="542"/>
      <c r="H11" s="542"/>
      <c r="I11" s="542"/>
      <c r="J11" s="542"/>
      <c r="K11" s="542"/>
      <c r="L11" s="542"/>
      <c r="M11" s="542"/>
      <c r="N11" s="542"/>
      <c r="O11" s="542"/>
      <c r="P11" s="542"/>
      <c r="Q11" s="542"/>
      <c r="R11" s="542"/>
      <c r="S11" s="542"/>
      <c r="T11" s="542"/>
      <c r="BS11" s="486">
        <v>98030</v>
      </c>
      <c r="BT11" s="479" t="s">
        <v>1013</v>
      </c>
      <c r="BU11" s="479">
        <v>9</v>
      </c>
      <c r="BV11" s="476" t="s">
        <v>1187</v>
      </c>
      <c r="BW11" s="476" t="s">
        <v>1187</v>
      </c>
      <c r="BX11" s="476" t="s">
        <v>1187</v>
      </c>
      <c r="BY11" s="476" t="s">
        <v>1187</v>
      </c>
      <c r="BZ11" s="476" t="s">
        <v>1187</v>
      </c>
      <c r="CA11" s="476" t="s">
        <v>1187</v>
      </c>
      <c r="CB11" s="476" t="s">
        <v>1187</v>
      </c>
      <c r="CC11" s="476" t="s">
        <v>1187</v>
      </c>
      <c r="CD11" s="476" t="s">
        <v>1187</v>
      </c>
      <c r="CE11" s="476" t="s">
        <v>1188</v>
      </c>
      <c r="CF11" s="476" t="s">
        <v>1188</v>
      </c>
      <c r="CG11" s="476" t="s">
        <v>1187</v>
      </c>
      <c r="CH11" s="476" t="s">
        <v>1188</v>
      </c>
      <c r="CI11" s="476" t="s">
        <v>1188</v>
      </c>
      <c r="CJ11" s="476" t="s">
        <v>1188</v>
      </c>
      <c r="CK11" s="476" t="s">
        <v>1188</v>
      </c>
      <c r="CL11" s="476" t="s">
        <v>1188</v>
      </c>
      <c r="CM11" s="476" t="str">
        <f>IF(VLOOKUP(BS11,'Données par municipalité'!$B$6:$E$1113,4,FALSE)="","non","oui")</f>
        <v>oui</v>
      </c>
      <c r="CN11" s="410">
        <v>241.61641801944376</v>
      </c>
      <c r="CO11" s="410">
        <v>241.28679196100808</v>
      </c>
      <c r="CP11" s="410"/>
      <c r="CQ11" s="410">
        <v>208.88027991152904</v>
      </c>
      <c r="CR11" s="410">
        <v>217.19484150618752</v>
      </c>
      <c r="CS11" s="410">
        <v>211.99879245487818</v>
      </c>
      <c r="CT11" s="410">
        <v>191.99407898038038</v>
      </c>
      <c r="CU11" s="410">
        <v>201</v>
      </c>
      <c r="CV11" s="410">
        <f>IF(VLOOKUP(BS11,'Données par municipalité'!$B$6:$F$1113,4,FALSE)="","",VLOOKUP(BS11,'Données par municipalité'!$B$6:$F$1113,4,FALSE))</f>
        <v>209</v>
      </c>
      <c r="CW11" s="476" t="s">
        <v>4723</v>
      </c>
      <c r="CX11" s="483">
        <v>0</v>
      </c>
      <c r="CY11" s="483" t="s">
        <v>1124</v>
      </c>
      <c r="CZ11" s="483">
        <v>0</v>
      </c>
      <c r="DA11" s="483">
        <v>0</v>
      </c>
      <c r="DB11" s="483">
        <v>0</v>
      </c>
      <c r="DC11" s="483">
        <v>0</v>
      </c>
      <c r="DD11" s="483">
        <v>0</v>
      </c>
      <c r="DE11" s="483">
        <f>IFERROR(SUM(VLOOKUP($BS11,'État &amp; Plan d''action'!$B$6:$Z$1113,18,FALSE),VLOOKUP($BS11,'État &amp; Plan d''action'!$B$6:$Z$1113,20,FALSE))/(VLOOKUP($BS11,'Données par municipalité'!$B$4:$L$1113,11,FALSE)),"")</f>
        <v>0</v>
      </c>
      <c r="DF11" s="483">
        <f>IFERROR(SUM(VLOOKUP($BS11,'État &amp; Plan d''action'!$B$6:$Z$1113,19,FALSE),VLOOKUP($BS11,'État &amp; Plan d''action'!$B$6:$Z$1113,21,FALSE))/(VLOOKUP($BS11,'Données par municipalité'!$B$4:$L$1113,11,FALSE)),"")</f>
        <v>0</v>
      </c>
      <c r="DG11" s="476" t="s">
        <v>4723</v>
      </c>
      <c r="DH11" s="484" t="s">
        <v>1124</v>
      </c>
      <c r="DI11" s="484" t="s">
        <v>1124</v>
      </c>
      <c r="DJ11" s="484">
        <v>0</v>
      </c>
      <c r="DK11" s="484">
        <v>0</v>
      </c>
      <c r="DL11" s="484">
        <v>1</v>
      </c>
      <c r="DM11" s="484">
        <v>2</v>
      </c>
      <c r="DN11" s="484">
        <v>0</v>
      </c>
      <c r="DO11" s="484">
        <v>0</v>
      </c>
      <c r="DP11" s="484">
        <v>0</v>
      </c>
      <c r="DQ11" s="484">
        <f>IF(VLOOKUP($BS11,'État &amp; Plan d''action'!$B$6:$AJ$1113,28,FALSE)="","",VLOOKUP($BS11,'État &amp; Plan d''action'!$B$6:$AJ$1113,28,FALSE))</f>
        <v>0</v>
      </c>
      <c r="DR11" s="70">
        <f>IF(VLOOKUP($BS11,'État &amp; Plan d''action'!$B$6:$AJ$1113,29,FALSE)="","",VLOOKUP($BS11,'État &amp; Plan d''action'!$B$6:$AJ$1113,29,FALSE))</f>
        <v>0</v>
      </c>
      <c r="DS11" s="70">
        <f>IF(VLOOKUP($BS11,'État &amp; Plan d''action'!$B$6:$AJ$1113,30,FALSE)="","",VLOOKUP($BS11,'État &amp; Plan d''action'!$B$6:$AJ$1113,30,FALSE))</f>
        <v>0</v>
      </c>
      <c r="DT11" s="70">
        <v>129</v>
      </c>
      <c r="DU11" s="485">
        <v>0.47939678448635598</v>
      </c>
      <c r="DV11" s="485">
        <v>0.38979147589096741</v>
      </c>
      <c r="DW11" s="70">
        <v>0</v>
      </c>
      <c r="DX11" s="70">
        <v>0</v>
      </c>
      <c r="DY11" s="70">
        <v>0</v>
      </c>
      <c r="DZ11" s="70">
        <f>VLOOKUP($BS11,'État &amp; Plan d''action'!$B$6:$AH$1113,31,FALSE)</f>
        <v>0</v>
      </c>
      <c r="EA11" s="70">
        <f>VLOOKUP($BS11,'État &amp; Plan d''action'!$B$6:$AH$1113,32,FALSE)</f>
        <v>0</v>
      </c>
      <c r="EB11" s="70">
        <f>VLOOKUP($BS11,'État &amp; Plan d''action'!$B$6:$AH$1113,33,FALSE)</f>
        <v>0</v>
      </c>
      <c r="EC11" s="70">
        <v>0</v>
      </c>
      <c r="ED11" s="70">
        <v>0</v>
      </c>
      <c r="EE11" s="70">
        <v>0</v>
      </c>
      <c r="EF11" s="70">
        <v>0</v>
      </c>
      <c r="EG11" s="70">
        <v>0</v>
      </c>
      <c r="EH11" s="72">
        <v>45</v>
      </c>
      <c r="EI11" s="72">
        <v>246</v>
      </c>
    </row>
    <row r="12" spans="1:139" ht="15.75" customHeight="1" x14ac:dyDescent="0.35">
      <c r="A12" s="1"/>
      <c r="B12"/>
      <c r="C12"/>
      <c r="D12"/>
      <c r="E12"/>
      <c r="F12"/>
      <c r="G12"/>
      <c r="H12"/>
      <c r="I12"/>
      <c r="J12"/>
      <c r="K12"/>
      <c r="L12"/>
      <c r="M12"/>
      <c r="N12"/>
      <c r="O12" s="70"/>
      <c r="P12" s="70"/>
      <c r="Q12" s="70"/>
      <c r="R12" s="70"/>
      <c r="S12" s="95"/>
      <c r="T12" s="70"/>
      <c r="BS12" s="486">
        <v>92030</v>
      </c>
      <c r="BT12" s="479" t="s">
        <v>950</v>
      </c>
      <c r="BU12" s="479">
        <v>2</v>
      </c>
      <c r="BV12" s="476" t="s">
        <v>1187</v>
      </c>
      <c r="BW12" s="476" t="s">
        <v>1187</v>
      </c>
      <c r="BX12" s="476" t="s">
        <v>1187</v>
      </c>
      <c r="BY12" s="476" t="s">
        <v>1187</v>
      </c>
      <c r="BZ12" s="476" t="s">
        <v>1187</v>
      </c>
      <c r="CA12" s="476" t="s">
        <v>1187</v>
      </c>
      <c r="CB12" s="476" t="s">
        <v>1187</v>
      </c>
      <c r="CC12" s="476" t="s">
        <v>1187</v>
      </c>
      <c r="CD12" s="476" t="s">
        <v>1187</v>
      </c>
      <c r="CE12" s="476" t="s">
        <v>1188</v>
      </c>
      <c r="CF12" s="476" t="s">
        <v>1188</v>
      </c>
      <c r="CG12" s="476" t="s">
        <v>1188</v>
      </c>
      <c r="CH12" s="476" t="s">
        <v>1188</v>
      </c>
      <c r="CI12" s="476" t="s">
        <v>1188</v>
      </c>
      <c r="CJ12" s="476" t="s">
        <v>1187</v>
      </c>
      <c r="CK12" s="476" t="s">
        <v>1188</v>
      </c>
      <c r="CL12" s="476" t="s">
        <v>1188</v>
      </c>
      <c r="CM12" s="476" t="str">
        <f>IF(VLOOKUP(BS12,'Données par municipalité'!$B$6:$E$1113,4,FALSE)="","non","oui")</f>
        <v>oui</v>
      </c>
      <c r="CN12" s="410">
        <v>610.73917670889557</v>
      </c>
      <c r="CO12" s="410">
        <v>593.66515837104077</v>
      </c>
      <c r="CP12" s="410">
        <v>539.63694845936902</v>
      </c>
      <c r="CQ12" s="410">
        <v>577.4918347545721</v>
      </c>
      <c r="CR12" s="410">
        <v>536.83741884240021</v>
      </c>
      <c r="CS12" s="410" t="s">
        <v>1124</v>
      </c>
      <c r="CT12" s="410">
        <v>539</v>
      </c>
      <c r="CU12" s="410">
        <v>551</v>
      </c>
      <c r="CV12" s="410">
        <f>IF(VLOOKUP(BS12,'Données par municipalité'!$B$6:$F$1113,4,FALSE)="","",VLOOKUP(BS12,'Données par municipalité'!$B$6:$F$1113,4,FALSE))</f>
        <v>480</v>
      </c>
      <c r="CW12" s="476" t="s">
        <v>4723</v>
      </c>
      <c r="CX12" s="483">
        <v>0</v>
      </c>
      <c r="CY12" s="483">
        <v>0.1</v>
      </c>
      <c r="CZ12" s="483">
        <v>0.1</v>
      </c>
      <c r="DA12" s="414">
        <v>0</v>
      </c>
      <c r="DB12" s="483" t="s">
        <v>1124</v>
      </c>
      <c r="DC12" s="483">
        <v>0</v>
      </c>
      <c r="DD12" s="483">
        <v>0</v>
      </c>
      <c r="DE12" s="483">
        <f>IFERROR(SUM(VLOOKUP($BS12,'État &amp; Plan d''action'!$B$6:$Z$1113,18,FALSE),VLOOKUP($BS12,'État &amp; Plan d''action'!$B$6:$Z$1113,20,FALSE))/(VLOOKUP($BS12,'Données par municipalité'!$B$4:$L$1113,11,FALSE)),"")</f>
        <v>1</v>
      </c>
      <c r="DF12" s="483">
        <f>IFERROR(SUM(VLOOKUP($BS12,'État &amp; Plan d''action'!$B$6:$Z$1113,19,FALSE),VLOOKUP($BS12,'État &amp; Plan d''action'!$B$6:$Z$1113,21,FALSE))/(VLOOKUP($BS12,'Données par municipalité'!$B$4:$L$1113,11,FALSE)),"")</f>
        <v>1</v>
      </c>
      <c r="DG12" s="476" t="s">
        <v>4723</v>
      </c>
      <c r="DH12" s="484">
        <v>14</v>
      </c>
      <c r="DI12" s="484">
        <v>25</v>
      </c>
      <c r="DJ12" s="484">
        <v>25</v>
      </c>
      <c r="DK12" s="484">
        <v>27</v>
      </c>
      <c r="DL12" s="484" t="s">
        <v>1124</v>
      </c>
      <c r="DM12" s="484">
        <v>2</v>
      </c>
      <c r="DN12" s="484">
        <v>3</v>
      </c>
      <c r="DO12" s="484">
        <v>0</v>
      </c>
      <c r="DP12" s="484">
        <v>1</v>
      </c>
      <c r="DQ12" s="484">
        <f>IF(VLOOKUP($BS12,'État &amp; Plan d''action'!$B$6:$AJ$1113,28,FALSE)="","",VLOOKUP($BS12,'État &amp; Plan d''action'!$B$6:$AJ$1113,28,FALSE))</f>
        <v>1</v>
      </c>
      <c r="DR12" s="70">
        <f>IF(VLOOKUP($BS12,'État &amp; Plan d''action'!$B$6:$AJ$1113,29,FALSE)="","",VLOOKUP($BS12,'État &amp; Plan d''action'!$B$6:$AJ$1113,29,FALSE))</f>
        <v>0</v>
      </c>
      <c r="DS12" s="70">
        <f>IF(VLOOKUP($BS12,'État &amp; Plan d''action'!$B$6:$AJ$1113,30,FALSE)="","",VLOOKUP($BS12,'État &amp; Plan d''action'!$B$6:$AJ$1113,30,FALSE))</f>
        <v>1</v>
      </c>
      <c r="DT12" s="70">
        <v>455</v>
      </c>
      <c r="DU12" s="485">
        <v>1.8791882205186929</v>
      </c>
      <c r="DV12" s="485">
        <v>4.3</v>
      </c>
      <c r="DW12" s="70">
        <v>15</v>
      </c>
      <c r="DX12" s="70">
        <v>0</v>
      </c>
      <c r="DY12" s="70">
        <v>15</v>
      </c>
      <c r="DZ12" s="70">
        <f>VLOOKUP($BS12,'État &amp; Plan d''action'!$B$6:$AH$1113,31,FALSE)</f>
        <v>30</v>
      </c>
      <c r="EA12" s="70">
        <f>VLOOKUP($BS12,'État &amp; Plan d''action'!$B$6:$AH$1113,32,FALSE)</f>
        <v>0</v>
      </c>
      <c r="EB12" s="70">
        <f>VLOOKUP($BS12,'État &amp; Plan d''action'!$B$6:$AH$1113,33,FALSE)</f>
        <v>30</v>
      </c>
      <c r="EC12" s="70">
        <v>0</v>
      </c>
      <c r="ED12" s="70">
        <v>0</v>
      </c>
      <c r="EE12" s="70">
        <v>0</v>
      </c>
      <c r="EF12" s="70">
        <v>0</v>
      </c>
      <c r="EG12" s="70">
        <v>0</v>
      </c>
      <c r="EH12" s="72">
        <v>54.216216216216218</v>
      </c>
      <c r="EI12" s="72">
        <v>2254</v>
      </c>
    </row>
    <row r="13" spans="1:139" ht="15.75" customHeight="1" x14ac:dyDescent="0.35">
      <c r="A13" s="1"/>
      <c r="B13"/>
      <c r="C13"/>
      <c r="D13"/>
      <c r="E13"/>
      <c r="F13"/>
      <c r="G13"/>
      <c r="H13"/>
      <c r="I13"/>
      <c r="J13"/>
      <c r="K13"/>
      <c r="L13"/>
      <c r="M13"/>
      <c r="N13"/>
      <c r="O13" s="70"/>
      <c r="P13" s="70"/>
      <c r="Q13" s="70"/>
      <c r="R13" s="70"/>
      <c r="S13" s="95"/>
      <c r="T13" s="70"/>
      <c r="BS13" s="486">
        <v>7025</v>
      </c>
      <c r="BT13" s="479" t="s">
        <v>1071</v>
      </c>
      <c r="BU13" s="479">
        <v>1</v>
      </c>
      <c r="BV13" s="476" t="s">
        <v>1188</v>
      </c>
      <c r="BW13" s="476" t="s">
        <v>1188</v>
      </c>
      <c r="BX13" s="476" t="s">
        <v>1188</v>
      </c>
      <c r="BY13" s="476" t="s">
        <v>1188</v>
      </c>
      <c r="BZ13" s="476" t="s">
        <v>1188</v>
      </c>
      <c r="CA13" s="476" t="s">
        <v>1188</v>
      </c>
      <c r="CB13" s="476" t="s">
        <v>1188</v>
      </c>
      <c r="CC13" s="476" t="s">
        <v>1188</v>
      </c>
      <c r="CD13" s="476" t="s">
        <v>1188</v>
      </c>
      <c r="CE13" s="476" t="s">
        <v>1188</v>
      </c>
      <c r="CF13" s="476" t="s">
        <v>1188</v>
      </c>
      <c r="CG13" s="476" t="s">
        <v>1188</v>
      </c>
      <c r="CH13" s="476" t="s">
        <v>1188</v>
      </c>
      <c r="CI13" s="476" t="s">
        <v>1188</v>
      </c>
      <c r="CJ13" s="476" t="s">
        <v>1187</v>
      </c>
      <c r="CK13" s="476" t="s">
        <v>1187</v>
      </c>
      <c r="CL13" s="476" t="s">
        <v>1187</v>
      </c>
      <c r="CM13" s="476" t="str">
        <f>IF(VLOOKUP(BS13,'Données par municipalité'!$B$6:$E$1113,4,FALSE)="","non","oui")</f>
        <v>non</v>
      </c>
      <c r="CN13" s="410">
        <v>507.82861520931965</v>
      </c>
      <c r="CO13" s="410">
        <v>506.44110533169857</v>
      </c>
      <c r="CP13" s="410">
        <v>601.5147262359593</v>
      </c>
      <c r="CQ13" s="410">
        <v>611.33022236151226</v>
      </c>
      <c r="CR13" s="410">
        <v>641.42565795263135</v>
      </c>
      <c r="CS13" s="410" t="s">
        <v>1124</v>
      </c>
      <c r="CT13" s="410"/>
      <c r="CU13" s="410" t="s">
        <v>1124</v>
      </c>
      <c r="CV13" s="410" t="str">
        <f>IF(VLOOKUP(BS13,'Données par municipalité'!$B$6:$F$1113,4,FALSE)="","",VLOOKUP(BS13,'Données par municipalité'!$B$6:$F$1113,4,FALSE))</f>
        <v/>
      </c>
      <c r="CW13" s="476" t="s">
        <v>4723</v>
      </c>
      <c r="CX13" s="483" t="s">
        <v>1124</v>
      </c>
      <c r="CY13" s="483">
        <v>0</v>
      </c>
      <c r="CZ13" s="483">
        <v>0</v>
      </c>
      <c r="DA13" s="483">
        <v>0</v>
      </c>
      <c r="DB13" s="483" t="s">
        <v>1124</v>
      </c>
      <c r="DC13" s="483" t="s">
        <v>1124</v>
      </c>
      <c r="DD13" s="483" t="s">
        <v>1124</v>
      </c>
      <c r="DE13" s="483" t="str">
        <f>IFERROR(SUM(VLOOKUP($BS13,'État &amp; Plan d''action'!$B$6:$Z$1113,18,FALSE),VLOOKUP($BS13,'État &amp; Plan d''action'!$B$6:$Z$1113,20,FALSE))/(VLOOKUP($BS13,'Données par municipalité'!$B$4:$L$1113,11,FALSE)),"")</f>
        <v/>
      </c>
      <c r="DF13" s="483" t="str">
        <f>IFERROR(SUM(VLOOKUP($BS13,'État &amp; Plan d''action'!$B$6:$Z$1113,19,FALSE),VLOOKUP($BS13,'État &amp; Plan d''action'!$B$6:$Z$1113,21,FALSE))/(VLOOKUP($BS13,'Données par municipalité'!$B$4:$L$1113,11,FALSE)),"")</f>
        <v/>
      </c>
      <c r="DG13" s="476" t="s">
        <v>4723</v>
      </c>
      <c r="DH13" s="484">
        <v>1</v>
      </c>
      <c r="DI13" s="484">
        <v>1</v>
      </c>
      <c r="DJ13" s="484">
        <v>4</v>
      </c>
      <c r="DK13" s="484">
        <v>3</v>
      </c>
      <c r="DL13" s="484" t="s">
        <v>1124</v>
      </c>
      <c r="DM13" s="484" t="s">
        <v>1124</v>
      </c>
      <c r="DN13" s="484" t="s">
        <v>1124</v>
      </c>
      <c r="DO13" s="484" t="s">
        <v>1124</v>
      </c>
      <c r="DP13" s="484" t="s">
        <v>1124</v>
      </c>
      <c r="DQ13" s="484" t="str">
        <f>IF(VLOOKUP($BS13,'État &amp; Plan d''action'!$B$6:$AJ$1113,28,FALSE)="","",VLOOKUP($BS13,'État &amp; Plan d''action'!$B$6:$AJ$1113,28,FALSE))</f>
        <v/>
      </c>
      <c r="DR13" s="70" t="str">
        <f>IF(VLOOKUP($BS13,'État &amp; Plan d''action'!$B$6:$AJ$1113,29,FALSE)="","",VLOOKUP($BS13,'État &amp; Plan d''action'!$B$6:$AJ$1113,29,FALSE))</f>
        <v/>
      </c>
      <c r="DS13" s="70" t="str">
        <f>IF(VLOOKUP($BS13,'État &amp; Plan d''action'!$B$6:$AJ$1113,30,FALSE)="","",VLOOKUP($BS13,'État &amp; Plan d''action'!$B$6:$AJ$1113,30,FALSE))</f>
        <v/>
      </c>
      <c r="DT13" s="70" t="s">
        <v>1124</v>
      </c>
      <c r="DU13" s="485" t="s">
        <v>1124</v>
      </c>
      <c r="DV13" s="485" t="s">
        <v>1124</v>
      </c>
      <c r="DW13" s="70" t="s">
        <v>1124</v>
      </c>
      <c r="DX13" s="70" t="s">
        <v>1124</v>
      </c>
      <c r="DY13" s="70" t="s">
        <v>1124</v>
      </c>
      <c r="DZ13" s="70" t="str">
        <f>VLOOKUP($BS13,'État &amp; Plan d''action'!$B$6:$AH$1113,31,FALSE)</f>
        <v/>
      </c>
      <c r="EA13" s="70" t="str">
        <f>VLOOKUP($BS13,'État &amp; Plan d''action'!$B$6:$AH$1113,32,FALSE)</f>
        <v/>
      </c>
      <c r="EB13" s="70" t="str">
        <f>VLOOKUP($BS13,'État &amp; Plan d''action'!$B$6:$AH$1113,33,FALSE)</f>
        <v/>
      </c>
      <c r="EC13" s="70" t="s">
        <v>1124</v>
      </c>
      <c r="ED13" s="70" t="s">
        <v>1124</v>
      </c>
      <c r="EE13" s="70" t="s">
        <v>1124</v>
      </c>
      <c r="EF13" s="70" t="s">
        <v>1124</v>
      </c>
      <c r="EG13" s="70" t="s">
        <v>1124</v>
      </c>
      <c r="EH13" s="72"/>
      <c r="EI13" s="72">
        <v>221</v>
      </c>
    </row>
    <row r="14" spans="1:139" ht="15.75" customHeight="1" x14ac:dyDescent="0.35">
      <c r="A14" s="1"/>
      <c r="B14"/>
      <c r="C14"/>
      <c r="D14"/>
      <c r="E14"/>
      <c r="F14"/>
      <c r="G14"/>
      <c r="H14"/>
      <c r="I14"/>
      <c r="J14"/>
      <c r="K14"/>
      <c r="L14"/>
      <c r="M14"/>
      <c r="N14"/>
      <c r="O14" s="70"/>
      <c r="P14" s="70"/>
      <c r="Q14" s="70"/>
      <c r="R14" s="70"/>
      <c r="S14" s="95"/>
      <c r="T14" s="70"/>
      <c r="BS14" s="486">
        <v>84050</v>
      </c>
      <c r="BT14" s="479" t="s">
        <v>861</v>
      </c>
      <c r="BU14" s="479">
        <v>7</v>
      </c>
      <c r="BV14" s="476" t="s">
        <v>1188</v>
      </c>
      <c r="BW14" s="476" t="s">
        <v>1188</v>
      </c>
      <c r="BX14" s="476" t="s">
        <v>1188</v>
      </c>
      <c r="BY14" s="476" t="s">
        <v>1188</v>
      </c>
      <c r="BZ14" s="476" t="s">
        <v>1188</v>
      </c>
      <c r="CA14" s="476" t="s">
        <v>1188</v>
      </c>
      <c r="CB14" s="476" t="s">
        <v>1188</v>
      </c>
      <c r="CC14" s="476" t="s">
        <v>1188</v>
      </c>
      <c r="CD14" s="476" t="s">
        <v>1188</v>
      </c>
      <c r="CE14" s="476" t="s">
        <v>1188</v>
      </c>
      <c r="CF14" s="476" t="s">
        <v>1188</v>
      </c>
      <c r="CG14" s="476" t="s">
        <v>1187</v>
      </c>
      <c r="CH14" s="476" t="s">
        <v>1188</v>
      </c>
      <c r="CI14" s="476" t="s">
        <v>1188</v>
      </c>
      <c r="CJ14" s="476" t="s">
        <v>1187</v>
      </c>
      <c r="CK14" s="476" t="s">
        <v>1187</v>
      </c>
      <c r="CL14" s="476" t="s">
        <v>1187</v>
      </c>
      <c r="CM14" s="476" t="str">
        <f>IF(VLOOKUP(BS14,'Données par municipalité'!$B$6:$E$1113,4,FALSE)="","non","oui")</f>
        <v>non</v>
      </c>
      <c r="CN14" s="410">
        <v>719.28981765047354</v>
      </c>
      <c r="CO14" s="410">
        <v>719.28981765047354</v>
      </c>
      <c r="CP14" s="410"/>
      <c r="CQ14" s="410">
        <v>553.12882471905698</v>
      </c>
      <c r="CR14" s="410">
        <v>500.83127190081746</v>
      </c>
      <c r="CS14" s="410" t="s">
        <v>1124</v>
      </c>
      <c r="CT14" s="410"/>
      <c r="CU14" s="410" t="s">
        <v>1124</v>
      </c>
      <c r="CV14" s="410" t="str">
        <f>IF(VLOOKUP(BS14,'Données par municipalité'!$B$6:$F$1113,4,FALSE)="","",VLOOKUP(BS14,'Données par municipalité'!$B$6:$F$1113,4,FALSE))</f>
        <v/>
      </c>
      <c r="CW14" s="476" t="s">
        <v>4723</v>
      </c>
      <c r="CX14" s="483" t="s">
        <v>1124</v>
      </c>
      <c r="CY14" s="483" t="s">
        <v>1124</v>
      </c>
      <c r="CZ14" s="483">
        <v>0</v>
      </c>
      <c r="DA14" s="483">
        <v>0</v>
      </c>
      <c r="DB14" s="483" t="s">
        <v>1124</v>
      </c>
      <c r="DC14" s="483" t="s">
        <v>1124</v>
      </c>
      <c r="DD14" s="483" t="s">
        <v>1124</v>
      </c>
      <c r="DE14" s="483" t="str">
        <f>IFERROR(SUM(VLOOKUP($BS14,'État &amp; Plan d''action'!$B$6:$Z$1113,18,FALSE),VLOOKUP($BS14,'État &amp; Plan d''action'!$B$6:$Z$1113,20,FALSE))/(VLOOKUP($BS14,'Données par municipalité'!$B$4:$L$1113,11,FALSE)),"")</f>
        <v/>
      </c>
      <c r="DF14" s="483" t="str">
        <f>IFERROR(SUM(VLOOKUP($BS14,'État &amp; Plan d''action'!$B$6:$Z$1113,19,FALSE),VLOOKUP($BS14,'État &amp; Plan d''action'!$B$6:$Z$1113,21,FALSE))/(VLOOKUP($BS14,'Données par municipalité'!$B$4:$L$1113,11,FALSE)),"")</f>
        <v/>
      </c>
      <c r="DG14" s="476" t="s">
        <v>4723</v>
      </c>
      <c r="DH14" s="484" t="s">
        <v>1124</v>
      </c>
      <c r="DI14" s="484" t="s">
        <v>1124</v>
      </c>
      <c r="DJ14" s="484">
        <v>0</v>
      </c>
      <c r="DK14" s="484">
        <v>0</v>
      </c>
      <c r="DL14" s="484" t="s">
        <v>1124</v>
      </c>
      <c r="DM14" s="484" t="s">
        <v>1124</v>
      </c>
      <c r="DN14" s="484" t="s">
        <v>1124</v>
      </c>
      <c r="DO14" s="484" t="s">
        <v>1124</v>
      </c>
      <c r="DP14" s="484" t="s">
        <v>1124</v>
      </c>
      <c r="DQ14" s="484" t="str">
        <f>IF(VLOOKUP($BS14,'État &amp; Plan d''action'!$B$6:$AJ$1113,28,FALSE)="","",VLOOKUP($BS14,'État &amp; Plan d''action'!$B$6:$AJ$1113,28,FALSE))</f>
        <v/>
      </c>
      <c r="DR14" s="70" t="str">
        <f>IF(VLOOKUP($BS14,'État &amp; Plan d''action'!$B$6:$AJ$1113,29,FALSE)="","",VLOOKUP($BS14,'État &amp; Plan d''action'!$B$6:$AJ$1113,29,FALSE))</f>
        <v/>
      </c>
      <c r="DS14" s="70" t="str">
        <f>IF(VLOOKUP($BS14,'État &amp; Plan d''action'!$B$6:$AJ$1113,30,FALSE)="","",VLOOKUP($BS14,'État &amp; Plan d''action'!$B$6:$AJ$1113,30,FALSE))</f>
        <v/>
      </c>
      <c r="DT14" s="70" t="s">
        <v>1124</v>
      </c>
      <c r="DU14" s="485" t="s">
        <v>1124</v>
      </c>
      <c r="DV14" s="485" t="s">
        <v>1124</v>
      </c>
      <c r="DW14" s="70" t="s">
        <v>1124</v>
      </c>
      <c r="DX14" s="70" t="s">
        <v>1124</v>
      </c>
      <c r="DY14" s="70" t="s">
        <v>1124</v>
      </c>
      <c r="DZ14" s="70" t="str">
        <f>VLOOKUP($BS14,'État &amp; Plan d''action'!$B$6:$AH$1113,31,FALSE)</f>
        <v/>
      </c>
      <c r="EA14" s="70" t="str">
        <f>VLOOKUP($BS14,'État &amp; Plan d''action'!$B$6:$AH$1113,32,FALSE)</f>
        <v/>
      </c>
      <c r="EB14" s="70" t="str">
        <f>VLOOKUP($BS14,'État &amp; Plan d''action'!$B$6:$AH$1113,33,FALSE)</f>
        <v/>
      </c>
      <c r="EC14" s="70" t="s">
        <v>1124</v>
      </c>
      <c r="ED14" s="70" t="s">
        <v>1124</v>
      </c>
      <c r="EE14" s="70" t="s">
        <v>1124</v>
      </c>
      <c r="EF14" s="70" t="s">
        <v>1124</v>
      </c>
      <c r="EG14" s="70" t="s">
        <v>1124</v>
      </c>
      <c r="EH14" s="72"/>
      <c r="EI14" s="72">
        <v>166</v>
      </c>
    </row>
    <row r="15" spans="1:139" ht="15.75" customHeight="1" x14ac:dyDescent="0.35">
      <c r="A15" s="1"/>
      <c r="B15"/>
      <c r="C15"/>
      <c r="D15"/>
      <c r="E15"/>
      <c r="F15"/>
      <c r="G15"/>
      <c r="H15"/>
      <c r="I15"/>
      <c r="J15"/>
      <c r="K15"/>
      <c r="L15"/>
      <c r="M15"/>
      <c r="N15"/>
      <c r="O15" s="70"/>
      <c r="P15" s="70"/>
      <c r="Q15" s="70"/>
      <c r="R15" s="70"/>
      <c r="S15" s="95"/>
      <c r="T15" s="70"/>
      <c r="BS15" s="486">
        <v>93042</v>
      </c>
      <c r="BT15" s="479" t="s">
        <v>964</v>
      </c>
      <c r="BU15" s="479">
        <v>2</v>
      </c>
      <c r="BV15" s="476" t="s">
        <v>1187</v>
      </c>
      <c r="BW15" s="476" t="s">
        <v>1187</v>
      </c>
      <c r="BX15" s="476" t="s">
        <v>1187</v>
      </c>
      <c r="BY15" s="476" t="s">
        <v>1187</v>
      </c>
      <c r="BZ15" s="476" t="s">
        <v>1187</v>
      </c>
      <c r="CA15" s="476" t="s">
        <v>1187</v>
      </c>
      <c r="CB15" s="476" t="s">
        <v>1187</v>
      </c>
      <c r="CC15" s="476" t="s">
        <v>1187</v>
      </c>
      <c r="CD15" s="476" t="s">
        <v>1187</v>
      </c>
      <c r="CE15" s="476" t="s">
        <v>1188</v>
      </c>
      <c r="CF15" s="476" t="s">
        <v>1188</v>
      </c>
      <c r="CG15" s="476" t="s">
        <v>1188</v>
      </c>
      <c r="CH15" s="476" t="s">
        <v>1188</v>
      </c>
      <c r="CI15" s="476" t="s">
        <v>1188</v>
      </c>
      <c r="CJ15" s="476" t="s">
        <v>1188</v>
      </c>
      <c r="CK15" s="476" t="s">
        <v>1188</v>
      </c>
      <c r="CL15" s="476" t="s">
        <v>1188</v>
      </c>
      <c r="CM15" s="476" t="str">
        <f>IF(VLOOKUP(BS15,'Données par municipalité'!$B$6:$E$1113,4,FALSE)="","non","oui")</f>
        <v>oui</v>
      </c>
      <c r="CN15" s="410">
        <v>477.28604989101962</v>
      </c>
      <c r="CO15" s="410">
        <v>498.01467787240415</v>
      </c>
      <c r="CP15" s="410">
        <v>492.14232615833066</v>
      </c>
      <c r="CQ15" s="410">
        <v>451.51973742285946</v>
      </c>
      <c r="CR15" s="410">
        <v>441.8145897021414</v>
      </c>
      <c r="CS15" s="410">
        <v>397.9054539571689</v>
      </c>
      <c r="CT15" s="410">
        <v>392.80887061615988</v>
      </c>
      <c r="CU15" s="410">
        <v>399</v>
      </c>
      <c r="CV15" s="410">
        <f>IF(VLOOKUP(BS15,'Données par municipalité'!$B$6:$F$1113,4,FALSE)="","",VLOOKUP(BS15,'Données par municipalité'!$B$6:$F$1113,4,FALSE))</f>
        <v>399</v>
      </c>
      <c r="CW15" s="476" t="s">
        <v>4723</v>
      </c>
      <c r="CX15" s="483">
        <v>0</v>
      </c>
      <c r="CY15" s="483">
        <v>0</v>
      </c>
      <c r="CZ15" s="483">
        <v>0</v>
      </c>
      <c r="DA15" s="483">
        <v>0.25</v>
      </c>
      <c r="DB15" s="483">
        <v>0.5</v>
      </c>
      <c r="DC15" s="483">
        <v>0.5</v>
      </c>
      <c r="DD15" s="483">
        <v>1</v>
      </c>
      <c r="DE15" s="483">
        <f>IFERROR(SUM(VLOOKUP($BS15,'État &amp; Plan d''action'!$B$6:$Z$1113,18,FALSE),VLOOKUP($BS15,'État &amp; Plan d''action'!$B$6:$Z$1113,20,FALSE))/(VLOOKUP($BS15,'Données par municipalité'!$B$4:$L$1113,11,FALSE)),"")</f>
        <v>1</v>
      </c>
      <c r="DF15" s="483">
        <f>IFERROR(SUM(VLOOKUP($BS15,'État &amp; Plan d''action'!$B$6:$Z$1113,19,FALSE),VLOOKUP($BS15,'État &amp; Plan d''action'!$B$6:$Z$1113,21,FALSE))/(VLOOKUP($BS15,'Données par municipalité'!$B$4:$L$1113,11,FALSE)),"")</f>
        <v>1</v>
      </c>
      <c r="DG15" s="476" t="s">
        <v>4723</v>
      </c>
      <c r="DH15" s="484" t="s">
        <v>1124</v>
      </c>
      <c r="DI15" s="484" t="s">
        <v>1124</v>
      </c>
      <c r="DJ15" s="484">
        <v>0</v>
      </c>
      <c r="DK15" s="484">
        <v>0</v>
      </c>
      <c r="DL15" s="484">
        <v>39</v>
      </c>
      <c r="DM15" s="484">
        <v>69</v>
      </c>
      <c r="DN15" s="484">
        <v>34</v>
      </c>
      <c r="DO15" s="484">
        <v>2</v>
      </c>
      <c r="DP15" s="484">
        <v>0</v>
      </c>
      <c r="DQ15" s="484">
        <f>IF(VLOOKUP($BS15,'État &amp; Plan d''action'!$B$6:$AJ$1113,28,FALSE)="","",VLOOKUP($BS15,'État &amp; Plan d''action'!$B$6:$AJ$1113,28,FALSE))</f>
        <v>56</v>
      </c>
      <c r="DR15" s="70">
        <f>IF(VLOOKUP($BS15,'État &amp; Plan d''action'!$B$6:$AJ$1113,29,FALSE)="","",VLOOKUP($BS15,'État &amp; Plan d''action'!$B$6:$AJ$1113,29,FALSE))</f>
        <v>0</v>
      </c>
      <c r="DS15" s="70">
        <f>IF(VLOOKUP($BS15,'État &amp; Plan d''action'!$B$6:$AJ$1113,30,FALSE)="","",VLOOKUP($BS15,'État &amp; Plan d''action'!$B$6:$AJ$1113,30,FALSE))</f>
        <v>5</v>
      </c>
      <c r="DT15" s="70">
        <v>271</v>
      </c>
      <c r="DU15" s="485">
        <v>1.8577606833979754</v>
      </c>
      <c r="DV15" s="485">
        <v>3.4969709144774614</v>
      </c>
      <c r="DW15" s="70">
        <v>3</v>
      </c>
      <c r="DX15" s="70">
        <v>5</v>
      </c>
      <c r="DY15" s="70">
        <v>0</v>
      </c>
      <c r="DZ15" s="70">
        <f>VLOOKUP($BS15,'État &amp; Plan d''action'!$B$6:$AH$1113,31,FALSE)</f>
        <v>2</v>
      </c>
      <c r="EA15" s="70">
        <f>VLOOKUP($BS15,'État &amp; Plan d''action'!$B$6:$AH$1113,32,FALSE)</f>
        <v>0</v>
      </c>
      <c r="EB15" s="70">
        <f>VLOOKUP($BS15,'État &amp; Plan d''action'!$B$6:$AH$1113,33,FALSE)</f>
        <v>7</v>
      </c>
      <c r="EC15" s="70">
        <v>9.6910000000000007</v>
      </c>
      <c r="ED15" s="70">
        <v>253.858</v>
      </c>
      <c r="EE15" s="70">
        <v>0</v>
      </c>
      <c r="EF15" s="70">
        <v>0</v>
      </c>
      <c r="EG15" s="70">
        <v>0</v>
      </c>
      <c r="EH15" s="72">
        <v>63</v>
      </c>
      <c r="EI15" s="72">
        <v>30868</v>
      </c>
    </row>
    <row r="16" spans="1:139" ht="15.75" customHeight="1" x14ac:dyDescent="0.35">
      <c r="A16" s="1"/>
      <c r="B16"/>
      <c r="C16"/>
      <c r="D16"/>
      <c r="E16"/>
      <c r="F16"/>
      <c r="G16"/>
      <c r="H16"/>
      <c r="I16"/>
      <c r="J16"/>
      <c r="K16"/>
      <c r="L16"/>
      <c r="M16"/>
      <c r="N16"/>
      <c r="O16" s="70"/>
      <c r="P16" s="70"/>
      <c r="Q16" s="70"/>
      <c r="R16" s="70"/>
      <c r="S16" s="95"/>
      <c r="T16" s="70"/>
      <c r="BS16" s="486">
        <v>78070</v>
      </c>
      <c r="BT16" s="479" t="s">
        <v>777</v>
      </c>
      <c r="BU16" s="479">
        <v>15</v>
      </c>
      <c r="BV16" s="476" t="s">
        <v>1187</v>
      </c>
      <c r="BW16" s="476" t="s">
        <v>1187</v>
      </c>
      <c r="BX16" s="476" t="s">
        <v>1187</v>
      </c>
      <c r="BY16" s="476" t="s">
        <v>1187</v>
      </c>
      <c r="BZ16" s="476" t="s">
        <v>1187</v>
      </c>
      <c r="CA16" s="476" t="s">
        <v>1187</v>
      </c>
      <c r="CB16" s="476" t="s">
        <v>1187</v>
      </c>
      <c r="CC16" s="476" t="s">
        <v>1187</v>
      </c>
      <c r="CD16" s="476" t="s">
        <v>1187</v>
      </c>
      <c r="CE16" s="476" t="s">
        <v>1188</v>
      </c>
      <c r="CF16" s="476" t="s">
        <v>1188</v>
      </c>
      <c r="CG16" s="476" t="s">
        <v>1188</v>
      </c>
      <c r="CH16" s="476" t="s">
        <v>1188</v>
      </c>
      <c r="CI16" s="476" t="s">
        <v>1188</v>
      </c>
      <c r="CJ16" s="476" t="s">
        <v>1188</v>
      </c>
      <c r="CK16" s="476" t="s">
        <v>1188</v>
      </c>
      <c r="CL16" s="476" t="s">
        <v>1188</v>
      </c>
      <c r="CM16" s="476" t="str">
        <f>IF(VLOOKUP(BS16,'Données par municipalité'!$B$6:$E$1113,4,FALSE)="","non","oui")</f>
        <v>oui</v>
      </c>
      <c r="CN16" s="410">
        <v>513.80349608197707</v>
      </c>
      <c r="CO16" s="410">
        <v>452.28092060615324</v>
      </c>
      <c r="CP16" s="410">
        <v>488.77849141356768</v>
      </c>
      <c r="CQ16" s="410">
        <v>388.6217229856166</v>
      </c>
      <c r="CR16" s="410">
        <v>337.55276982954024</v>
      </c>
      <c r="CS16" s="410">
        <v>208.04499302954994</v>
      </c>
      <c r="CT16" s="410">
        <v>198.82502388121796</v>
      </c>
      <c r="CU16" s="410">
        <v>244</v>
      </c>
      <c r="CV16" s="410">
        <f>IF(VLOOKUP(BS16,'Données par municipalité'!$B$6:$F$1113,4,FALSE)="","",VLOOKUP(BS16,'Données par municipalité'!$B$6:$F$1113,4,FALSE))</f>
        <v>264</v>
      </c>
      <c r="CW16" s="476" t="s">
        <v>4723</v>
      </c>
      <c r="CX16" s="483">
        <v>0.5</v>
      </c>
      <c r="CY16" s="483">
        <v>0</v>
      </c>
      <c r="CZ16" s="483">
        <v>0</v>
      </c>
      <c r="DA16" s="483">
        <v>0</v>
      </c>
      <c r="DB16" s="483">
        <v>0</v>
      </c>
      <c r="DC16" s="483">
        <v>0</v>
      </c>
      <c r="DD16" s="483">
        <v>0</v>
      </c>
      <c r="DE16" s="483">
        <f>IFERROR(SUM(VLOOKUP($BS16,'État &amp; Plan d''action'!$B$6:$Z$1113,18,FALSE),VLOOKUP($BS16,'État &amp; Plan d''action'!$B$6:$Z$1113,20,FALSE))/(VLOOKUP($BS16,'Données par municipalité'!$B$4:$L$1113,11,FALSE)),"")</f>
        <v>0</v>
      </c>
      <c r="DF16" s="483">
        <f>IFERROR(SUM(VLOOKUP($BS16,'État &amp; Plan d''action'!$B$6:$Z$1113,19,FALSE),VLOOKUP($BS16,'État &amp; Plan d''action'!$B$6:$Z$1113,21,FALSE))/(VLOOKUP($BS16,'Données par municipalité'!$B$4:$L$1113,11,FALSE)),"")</f>
        <v>0</v>
      </c>
      <c r="DG16" s="476" t="s">
        <v>4723</v>
      </c>
      <c r="DH16" s="484">
        <v>0</v>
      </c>
      <c r="DI16" s="484">
        <v>0</v>
      </c>
      <c r="DJ16" s="484">
        <v>1</v>
      </c>
      <c r="DK16" s="484">
        <v>2</v>
      </c>
      <c r="DL16" s="484">
        <v>2</v>
      </c>
      <c r="DM16" s="484">
        <v>0</v>
      </c>
      <c r="DN16" s="484">
        <v>0</v>
      </c>
      <c r="DO16" s="484">
        <v>1</v>
      </c>
      <c r="DP16" s="484">
        <v>1</v>
      </c>
      <c r="DQ16" s="484">
        <f>IF(VLOOKUP($BS16,'État &amp; Plan d''action'!$B$6:$AJ$1113,28,FALSE)="","",VLOOKUP($BS16,'État &amp; Plan d''action'!$B$6:$AJ$1113,28,FALSE))</f>
        <v>0</v>
      </c>
      <c r="DR16" s="70">
        <f>IF(VLOOKUP($BS16,'État &amp; Plan d''action'!$B$6:$AJ$1113,29,FALSE)="","",VLOOKUP($BS16,'État &amp; Plan d''action'!$B$6:$AJ$1113,29,FALSE))</f>
        <v>0</v>
      </c>
      <c r="DS16" s="70">
        <f>IF(VLOOKUP($BS16,'État &amp; Plan d''action'!$B$6:$AJ$1113,30,FALSE)="","",VLOOKUP($BS16,'État &amp; Plan d''action'!$B$6:$AJ$1113,30,FALSE))</f>
        <v>1</v>
      </c>
      <c r="DT16" s="70">
        <v>158</v>
      </c>
      <c r="DU16" s="485">
        <v>1.9805489855898415</v>
      </c>
      <c r="DV16" s="485">
        <v>0.95295037299485796</v>
      </c>
      <c r="DW16" s="70">
        <v>0</v>
      </c>
      <c r="DX16" s="70">
        <v>1</v>
      </c>
      <c r="DY16" s="70">
        <v>7</v>
      </c>
      <c r="DZ16" s="70">
        <f>VLOOKUP($BS16,'État &amp; Plan d''action'!$B$6:$AH$1113,31,FALSE)</f>
        <v>0</v>
      </c>
      <c r="EA16" s="70">
        <f>VLOOKUP($BS16,'État &amp; Plan d''action'!$B$6:$AH$1113,32,FALSE)</f>
        <v>0</v>
      </c>
      <c r="EB16" s="70">
        <f>VLOOKUP($BS16,'État &amp; Plan d''action'!$B$6:$AH$1113,33,FALSE)</f>
        <v>1</v>
      </c>
      <c r="EC16" s="70">
        <v>6.68</v>
      </c>
      <c r="ED16" s="70">
        <v>0</v>
      </c>
      <c r="EE16" s="70">
        <v>0</v>
      </c>
      <c r="EF16" s="70">
        <v>0</v>
      </c>
      <c r="EG16" s="70">
        <v>0</v>
      </c>
      <c r="EH16" s="72">
        <v>59</v>
      </c>
      <c r="EI16" s="72">
        <v>1501</v>
      </c>
    </row>
    <row r="17" spans="1:139" ht="15.75" customHeight="1" x14ac:dyDescent="0.35">
      <c r="A17" s="1"/>
      <c r="B17"/>
      <c r="C17"/>
      <c r="D17"/>
      <c r="E17"/>
      <c r="F17"/>
      <c r="G17"/>
      <c r="H17"/>
      <c r="I17"/>
      <c r="J17"/>
      <c r="K17"/>
      <c r="L17"/>
      <c r="M17"/>
      <c r="N17"/>
      <c r="O17" s="70"/>
      <c r="P17" s="70"/>
      <c r="Q17" s="70"/>
      <c r="R17" s="70"/>
      <c r="S17" s="95"/>
      <c r="T17" s="70"/>
      <c r="BS17" s="486">
        <v>88055</v>
      </c>
      <c r="BT17" s="479" t="s">
        <v>920</v>
      </c>
      <c r="BU17" s="479">
        <v>8</v>
      </c>
      <c r="BV17" s="476" t="s">
        <v>1187</v>
      </c>
      <c r="BW17" s="476" t="s">
        <v>1187</v>
      </c>
      <c r="BX17" s="476" t="s">
        <v>1187</v>
      </c>
      <c r="BY17" s="476" t="s">
        <v>1187</v>
      </c>
      <c r="BZ17" s="476" t="s">
        <v>1187</v>
      </c>
      <c r="CA17" s="476" t="s">
        <v>1187</v>
      </c>
      <c r="CB17" s="476" t="s">
        <v>1187</v>
      </c>
      <c r="CC17" s="476" t="s">
        <v>1187</v>
      </c>
      <c r="CD17" s="476" t="s">
        <v>1187</v>
      </c>
      <c r="CE17" s="476" t="s">
        <v>1188</v>
      </c>
      <c r="CF17" s="476" t="s">
        <v>1188</v>
      </c>
      <c r="CG17" s="476" t="s">
        <v>1188</v>
      </c>
      <c r="CH17" s="476" t="s">
        <v>1188</v>
      </c>
      <c r="CI17" s="476" t="s">
        <v>1188</v>
      </c>
      <c r="CJ17" s="476" t="s">
        <v>1188</v>
      </c>
      <c r="CK17" s="476" t="s">
        <v>1188</v>
      </c>
      <c r="CL17" s="476" t="s">
        <v>1188</v>
      </c>
      <c r="CM17" s="476" t="str">
        <f>IF(VLOOKUP(BS17,'Données par municipalité'!$B$6:$E$1113,4,FALSE)="","non","oui")</f>
        <v>oui</v>
      </c>
      <c r="CN17" s="410">
        <v>603.80339515271817</v>
      </c>
      <c r="CO17" s="410">
        <v>466.04572483270312</v>
      </c>
      <c r="CP17" s="410">
        <v>424.07816282982293</v>
      </c>
      <c r="CQ17" s="410">
        <v>404.89007899958131</v>
      </c>
      <c r="CR17" s="410">
        <v>444.87173387161641</v>
      </c>
      <c r="CS17" s="410">
        <v>387.97603401278326</v>
      </c>
      <c r="CT17" s="410">
        <v>367.15094576651427</v>
      </c>
      <c r="CU17" s="410">
        <v>429</v>
      </c>
      <c r="CV17" s="410">
        <f>IF(VLOOKUP(BS17,'Données par municipalité'!$B$6:$F$1113,4,FALSE)="","",VLOOKUP(BS17,'Données par municipalité'!$B$6:$F$1113,4,FALSE))</f>
        <v>480</v>
      </c>
      <c r="CW17" s="476" t="s">
        <v>4723</v>
      </c>
      <c r="CX17" s="483">
        <v>0</v>
      </c>
      <c r="CY17" s="483">
        <v>0</v>
      </c>
      <c r="CZ17" s="483">
        <v>0</v>
      </c>
      <c r="DA17" s="483">
        <v>0</v>
      </c>
      <c r="DB17" s="483">
        <v>0</v>
      </c>
      <c r="DC17" s="483">
        <v>0</v>
      </c>
      <c r="DD17" s="483">
        <v>0</v>
      </c>
      <c r="DE17" s="483">
        <f>IFERROR(SUM(VLOOKUP($BS17,'État &amp; Plan d''action'!$B$6:$Z$1113,18,FALSE),VLOOKUP($BS17,'État &amp; Plan d''action'!$B$6:$Z$1113,20,FALSE))/(VLOOKUP($BS17,'Données par municipalité'!$B$4:$L$1113,11,FALSE)),"")</f>
        <v>0</v>
      </c>
      <c r="DF17" s="483">
        <f>IFERROR(SUM(VLOOKUP($BS17,'État &amp; Plan d''action'!$B$6:$Z$1113,19,FALSE),VLOOKUP($BS17,'État &amp; Plan d''action'!$B$6:$Z$1113,21,FALSE))/(VLOOKUP($BS17,'Données par municipalité'!$B$4:$L$1113,11,FALSE)),"")</f>
        <v>0</v>
      </c>
      <c r="DG17" s="476" t="s">
        <v>4723</v>
      </c>
      <c r="DH17" s="484" t="s">
        <v>1124</v>
      </c>
      <c r="DI17" s="484" t="s">
        <v>1124</v>
      </c>
      <c r="DJ17" s="484">
        <v>0</v>
      </c>
      <c r="DK17" s="484">
        <v>0</v>
      </c>
      <c r="DL17" s="484">
        <v>8</v>
      </c>
      <c r="DM17" s="484">
        <v>11</v>
      </c>
      <c r="DN17" s="484">
        <v>9</v>
      </c>
      <c r="DO17" s="484">
        <v>3</v>
      </c>
      <c r="DP17" s="484">
        <v>2</v>
      </c>
      <c r="DQ17" s="484">
        <f>IF(VLOOKUP($BS17,'État &amp; Plan d''action'!$B$6:$AJ$1113,28,FALSE)="","",VLOOKUP($BS17,'État &amp; Plan d''action'!$B$6:$AJ$1113,28,FALSE))</f>
        <v>8</v>
      </c>
      <c r="DR17" s="70">
        <f>IF(VLOOKUP($BS17,'État &amp; Plan d''action'!$B$6:$AJ$1113,29,FALSE)="","",VLOOKUP($BS17,'État &amp; Plan d''action'!$B$6:$AJ$1113,29,FALSE))</f>
        <v>4</v>
      </c>
      <c r="DS17" s="70">
        <f>IF(VLOOKUP($BS17,'État &amp; Plan d''action'!$B$6:$AJ$1113,30,FALSE)="","",VLOOKUP($BS17,'État &amp; Plan d''action'!$B$6:$AJ$1113,30,FALSE))</f>
        <v>3</v>
      </c>
      <c r="DT17" s="70">
        <v>231</v>
      </c>
      <c r="DU17" s="485">
        <v>0.76475092062515215</v>
      </c>
      <c r="DV17" s="485">
        <v>1.8987769930740168</v>
      </c>
      <c r="DW17" s="70">
        <v>2</v>
      </c>
      <c r="DX17" s="70">
        <v>2</v>
      </c>
      <c r="DY17" s="70">
        <v>2</v>
      </c>
      <c r="DZ17" s="70">
        <f>VLOOKUP($BS17,'État &amp; Plan d''action'!$B$6:$AH$1113,31,FALSE)</f>
        <v>2</v>
      </c>
      <c r="EA17" s="70">
        <f>VLOOKUP($BS17,'État &amp; Plan d''action'!$B$6:$AH$1113,32,FALSE)</f>
        <v>2</v>
      </c>
      <c r="EB17" s="70">
        <f>VLOOKUP($BS17,'État &amp; Plan d''action'!$B$6:$AH$1113,33,FALSE)</f>
        <v>2</v>
      </c>
      <c r="EC17" s="70">
        <v>0</v>
      </c>
      <c r="ED17" s="70">
        <v>0</v>
      </c>
      <c r="EE17" s="70">
        <v>0</v>
      </c>
      <c r="EF17" s="70">
        <v>0</v>
      </c>
      <c r="EG17" s="70">
        <v>0</v>
      </c>
      <c r="EH17" s="72">
        <v>53</v>
      </c>
      <c r="EI17" s="72">
        <v>12919</v>
      </c>
    </row>
    <row r="18" spans="1:139" ht="15.75" customHeight="1" x14ac:dyDescent="0.35">
      <c r="A18" s="1"/>
      <c r="B18"/>
      <c r="C18"/>
      <c r="D18"/>
      <c r="E18"/>
      <c r="F18"/>
      <c r="G18"/>
      <c r="H18"/>
      <c r="I18"/>
      <c r="J18"/>
      <c r="K18"/>
      <c r="L18"/>
      <c r="M18"/>
      <c r="N18"/>
      <c r="O18" s="70"/>
      <c r="P18" s="70"/>
      <c r="Q18" s="70"/>
      <c r="R18" s="70"/>
      <c r="S18" s="95"/>
      <c r="T18" s="70"/>
      <c r="BS18" s="486">
        <v>7047</v>
      </c>
      <c r="BT18" s="479" t="s">
        <v>1075</v>
      </c>
      <c r="BU18" s="479">
        <v>1</v>
      </c>
      <c r="BV18" s="476" t="s">
        <v>1187</v>
      </c>
      <c r="BW18" s="476" t="s">
        <v>1187</v>
      </c>
      <c r="BX18" s="476" t="s">
        <v>1187</v>
      </c>
      <c r="BY18" s="476" t="s">
        <v>1187</v>
      </c>
      <c r="BZ18" s="476" t="s">
        <v>1187</v>
      </c>
      <c r="CA18" s="476" t="s">
        <v>1187</v>
      </c>
      <c r="CB18" s="476" t="s">
        <v>1187</v>
      </c>
      <c r="CC18" s="476" t="s">
        <v>1187</v>
      </c>
      <c r="CD18" s="476" t="s">
        <v>1187</v>
      </c>
      <c r="CE18" s="476" t="s">
        <v>1188</v>
      </c>
      <c r="CF18" s="476" t="s">
        <v>1187</v>
      </c>
      <c r="CG18" s="476" t="s">
        <v>1187</v>
      </c>
      <c r="CH18" s="476" t="s">
        <v>1187</v>
      </c>
      <c r="CI18" s="476" t="s">
        <v>1187</v>
      </c>
      <c r="CJ18" s="476" t="s">
        <v>1188</v>
      </c>
      <c r="CK18" s="476" t="s">
        <v>1188</v>
      </c>
      <c r="CL18" s="476" t="s">
        <v>1187</v>
      </c>
      <c r="CM18" s="476" t="str">
        <f>IF(VLOOKUP(BS18,'Données par municipalité'!$B$6:$E$1113,4,FALSE)="","non","oui")</f>
        <v>oui</v>
      </c>
      <c r="CN18" s="410">
        <v>199.26566475733216</v>
      </c>
      <c r="CO18" s="410" t="s">
        <v>1124</v>
      </c>
      <c r="CP18" s="410"/>
      <c r="CQ18" s="410"/>
      <c r="CR18" s="410"/>
      <c r="CS18" s="410">
        <v>508.64036460685918</v>
      </c>
      <c r="CT18" s="410">
        <v>523.47541043710419</v>
      </c>
      <c r="CU18" s="410" t="s">
        <v>1124</v>
      </c>
      <c r="CV18" s="410">
        <f>IF(VLOOKUP(BS18,'Données par municipalité'!$B$6:$F$1113,4,FALSE)="","",VLOOKUP(BS18,'Données par municipalité'!$B$6:$F$1113,4,FALSE))</f>
        <v>623</v>
      </c>
      <c r="CW18" s="476" t="s">
        <v>4723</v>
      </c>
      <c r="CX18" s="483" t="s">
        <v>1124</v>
      </c>
      <c r="CY18" s="483" t="s">
        <v>1124</v>
      </c>
      <c r="CZ18" s="483" t="s">
        <v>1124</v>
      </c>
      <c r="DA18" s="483" t="s">
        <v>1124</v>
      </c>
      <c r="DB18" s="483">
        <v>0</v>
      </c>
      <c r="DC18" s="483">
        <v>0</v>
      </c>
      <c r="DD18" s="483" t="s">
        <v>1124</v>
      </c>
      <c r="DE18" s="483">
        <f>IFERROR(SUM(VLOOKUP($BS18,'État &amp; Plan d''action'!$B$6:$Z$1113,18,FALSE),VLOOKUP($BS18,'État &amp; Plan d''action'!$B$6:$Z$1113,20,FALSE))/(VLOOKUP($BS18,'Données par municipalité'!$B$4:$L$1113,11,FALSE)),"")</f>
        <v>0.26110225461170578</v>
      </c>
      <c r="DF18" s="483">
        <f>IFERROR(SUM(VLOOKUP($BS18,'État &amp; Plan d''action'!$B$6:$Z$1113,19,FALSE),VLOOKUP($BS18,'État &amp; Plan d''action'!$B$6:$Z$1113,21,FALSE))/(VLOOKUP($BS18,'Données par municipalité'!$B$4:$L$1113,11,FALSE)),"")</f>
        <v>1</v>
      </c>
      <c r="DG18" s="476" t="s">
        <v>4723</v>
      </c>
      <c r="DH18" s="484" t="s">
        <v>1124</v>
      </c>
      <c r="DI18" s="484" t="s">
        <v>1124</v>
      </c>
      <c r="DJ18" s="484">
        <v>0</v>
      </c>
      <c r="DK18" s="484">
        <v>0</v>
      </c>
      <c r="DL18" s="484">
        <v>1</v>
      </c>
      <c r="DM18" s="484">
        <v>1</v>
      </c>
      <c r="DN18" s="484" t="s">
        <v>1124</v>
      </c>
      <c r="DO18" s="484" t="s">
        <v>1124</v>
      </c>
      <c r="DP18" s="484" t="s">
        <v>1124</v>
      </c>
      <c r="DQ18" s="484">
        <f>IF(VLOOKUP($BS18,'État &amp; Plan d''action'!$B$6:$AJ$1113,28,FALSE)="","",VLOOKUP($BS18,'État &amp; Plan d''action'!$B$6:$AJ$1113,28,FALSE))</f>
        <v>3</v>
      </c>
      <c r="DR18" s="70">
        <f>IF(VLOOKUP($BS18,'État &amp; Plan d''action'!$B$6:$AJ$1113,29,FALSE)="","",VLOOKUP($BS18,'État &amp; Plan d''action'!$B$6:$AJ$1113,29,FALSE))</f>
        <v>0</v>
      </c>
      <c r="DS18" s="70">
        <f>IF(VLOOKUP($BS18,'État &amp; Plan d''action'!$B$6:$AJ$1113,30,FALSE)="","",VLOOKUP($BS18,'État &amp; Plan d''action'!$B$6:$AJ$1113,30,FALSE))</f>
        <v>0</v>
      </c>
      <c r="DT18" s="70" t="s">
        <v>1124</v>
      </c>
      <c r="DU18" s="485" t="s">
        <v>1124</v>
      </c>
      <c r="DV18" s="485">
        <v>9.3602053583441691</v>
      </c>
      <c r="DW18" s="70" t="s">
        <v>1124</v>
      </c>
      <c r="DX18" s="70" t="s">
        <v>1124</v>
      </c>
      <c r="DY18" s="70" t="s">
        <v>1124</v>
      </c>
      <c r="DZ18" s="70">
        <f>VLOOKUP($BS18,'État &amp; Plan d''action'!$B$6:$AH$1113,31,FALSE)</f>
        <v>2</v>
      </c>
      <c r="EA18" s="70">
        <f>VLOOKUP($BS18,'État &amp; Plan d''action'!$B$6:$AH$1113,32,FALSE)</f>
        <v>0</v>
      </c>
      <c r="EB18" s="70">
        <f>VLOOKUP($BS18,'État &amp; Plan d''action'!$B$6:$AH$1113,33,FALSE)</f>
        <v>0</v>
      </c>
      <c r="EC18" s="70" t="s">
        <v>1124</v>
      </c>
      <c r="ED18" s="70" t="s">
        <v>1124</v>
      </c>
      <c r="EE18" s="70" t="s">
        <v>1124</v>
      </c>
      <c r="EF18" s="70" t="s">
        <v>1124</v>
      </c>
      <c r="EG18" s="70" t="s">
        <v>1124</v>
      </c>
      <c r="EH18" s="72"/>
      <c r="EI18" s="72">
        <v>6147</v>
      </c>
    </row>
    <row r="19" spans="1:139" ht="15.75" customHeight="1" x14ac:dyDescent="0.35">
      <c r="A19" s="1"/>
      <c r="B19"/>
      <c r="C19"/>
      <c r="D19"/>
      <c r="E19"/>
      <c r="F19"/>
      <c r="G19"/>
      <c r="H19"/>
      <c r="I19"/>
      <c r="J19"/>
      <c r="K19"/>
      <c r="L19"/>
      <c r="M19"/>
      <c r="N19"/>
      <c r="O19" s="70"/>
      <c r="P19" s="70"/>
      <c r="Q19" s="70"/>
      <c r="R19" s="70"/>
      <c r="S19" s="95"/>
      <c r="T19" s="70"/>
      <c r="W19" s="415" t="s">
        <v>1508</v>
      </c>
      <c r="BS19" s="486">
        <v>55008</v>
      </c>
      <c r="BT19" s="479" t="s">
        <v>559</v>
      </c>
      <c r="BU19" s="479">
        <v>16</v>
      </c>
      <c r="BV19" s="476" t="s">
        <v>1187</v>
      </c>
      <c r="BW19" s="476" t="s">
        <v>1187</v>
      </c>
      <c r="BX19" s="476" t="s">
        <v>1187</v>
      </c>
      <c r="BY19" s="476" t="s">
        <v>1187</v>
      </c>
      <c r="BZ19" s="476" t="s">
        <v>1187</v>
      </c>
      <c r="CA19" s="476" t="s">
        <v>1187</v>
      </c>
      <c r="CB19" s="476" t="s">
        <v>1187</v>
      </c>
      <c r="CC19" s="476" t="s">
        <v>1187</v>
      </c>
      <c r="CD19" s="476" t="s">
        <v>1187</v>
      </c>
      <c r="CE19" s="476" t="s">
        <v>1188</v>
      </c>
      <c r="CF19" s="476" t="s">
        <v>1188</v>
      </c>
      <c r="CG19" s="476" t="s">
        <v>1187</v>
      </c>
      <c r="CH19" s="476" t="s">
        <v>1188</v>
      </c>
      <c r="CI19" s="476" t="s">
        <v>1188</v>
      </c>
      <c r="CJ19" s="476" t="s">
        <v>1188</v>
      </c>
      <c r="CK19" s="476" t="s">
        <v>1188</v>
      </c>
      <c r="CL19" s="476" t="s">
        <v>1188</v>
      </c>
      <c r="CM19" s="476" t="str">
        <f>IF(VLOOKUP(BS19,'Données par municipalité'!$B$6:$E$1113,4,FALSE)="","non","oui")</f>
        <v>oui</v>
      </c>
      <c r="CN19" s="410">
        <v>1137.749790112658</v>
      </c>
      <c r="CO19" s="410">
        <v>1119.0146890769727</v>
      </c>
      <c r="CP19" s="410"/>
      <c r="CQ19" s="410">
        <v>1089.1146843182701</v>
      </c>
      <c r="CR19" s="410">
        <v>1111.0982098698366</v>
      </c>
      <c r="CS19" s="410">
        <v>1094.9219130152214</v>
      </c>
      <c r="CT19" s="410">
        <v>1050.4435980571911</v>
      </c>
      <c r="CU19" s="410">
        <v>1012</v>
      </c>
      <c r="CV19" s="410">
        <f>IF(VLOOKUP(BS19,'Données par municipalité'!$B$6:$F$1113,4,FALSE)="","",VLOOKUP(BS19,'Données par municipalité'!$B$6:$F$1113,4,FALSE))</f>
        <v>1037</v>
      </c>
      <c r="CW19" s="476" t="s">
        <v>4723</v>
      </c>
      <c r="CX19" s="483">
        <v>0</v>
      </c>
      <c r="CY19" s="483" t="s">
        <v>1124</v>
      </c>
      <c r="CZ19" s="483">
        <v>0</v>
      </c>
      <c r="DA19" s="483">
        <v>0</v>
      </c>
      <c r="DB19" s="483">
        <v>0</v>
      </c>
      <c r="DC19" s="483">
        <v>0</v>
      </c>
      <c r="DD19" s="483">
        <v>0</v>
      </c>
      <c r="DE19" s="483">
        <f>IFERROR(SUM(VLOOKUP($BS19,'État &amp; Plan d''action'!$B$6:$Z$1113,18,FALSE),VLOOKUP($BS19,'État &amp; Plan d''action'!$B$6:$Z$1113,20,FALSE))/(VLOOKUP($BS19,'Données par municipalité'!$B$4:$L$1113,11,FALSE)),"")</f>
        <v>0</v>
      </c>
      <c r="DF19" s="483">
        <f>IFERROR(SUM(VLOOKUP($BS19,'État &amp; Plan d''action'!$B$6:$Z$1113,19,FALSE),VLOOKUP($BS19,'État &amp; Plan d''action'!$B$6:$Z$1113,21,FALSE))/(VLOOKUP($BS19,'Données par municipalité'!$B$4:$L$1113,11,FALSE)),"")</f>
        <v>1</v>
      </c>
      <c r="DG19" s="476" t="s">
        <v>4723</v>
      </c>
      <c r="DH19" s="484">
        <v>1</v>
      </c>
      <c r="DI19" s="484" t="s">
        <v>1124</v>
      </c>
      <c r="DJ19" s="484">
        <v>4</v>
      </c>
      <c r="DK19" s="484">
        <v>3</v>
      </c>
      <c r="DL19" s="484">
        <v>2</v>
      </c>
      <c r="DM19" s="484">
        <v>3</v>
      </c>
      <c r="DN19" s="484">
        <v>1</v>
      </c>
      <c r="DO19" s="484">
        <v>0</v>
      </c>
      <c r="DP19" s="484">
        <v>1</v>
      </c>
      <c r="DQ19" s="484">
        <f>IF(VLOOKUP($BS19,'État &amp; Plan d''action'!$B$6:$AJ$1113,28,FALSE)="","",VLOOKUP($BS19,'État &amp; Plan d''action'!$B$6:$AJ$1113,28,FALSE))</f>
        <v>1</v>
      </c>
      <c r="DR19" s="70">
        <f>IF(VLOOKUP($BS19,'État &amp; Plan d''action'!$B$6:$AJ$1113,29,FALSE)="","",VLOOKUP($BS19,'État &amp; Plan d''action'!$B$6:$AJ$1113,29,FALSE))</f>
        <v>0</v>
      </c>
      <c r="DS19" s="70">
        <f>IF(VLOOKUP($BS19,'État &amp; Plan d''action'!$B$6:$AJ$1113,30,FALSE)="","",VLOOKUP($BS19,'État &amp; Plan d''action'!$B$6:$AJ$1113,30,FALSE))</f>
        <v>0</v>
      </c>
      <c r="DT19" s="70">
        <v>301</v>
      </c>
      <c r="DU19" s="485">
        <v>3.5491821219751438</v>
      </c>
      <c r="DV19" s="485">
        <v>3.682871692035635</v>
      </c>
      <c r="DW19" s="70">
        <v>1</v>
      </c>
      <c r="DX19" s="70">
        <v>0</v>
      </c>
      <c r="DY19" s="70">
        <v>1</v>
      </c>
      <c r="DZ19" s="70">
        <f>VLOOKUP($BS19,'État &amp; Plan d''action'!$B$6:$AH$1113,31,FALSE)</f>
        <v>1</v>
      </c>
      <c r="EA19" s="70">
        <f>VLOOKUP($BS19,'État &amp; Plan d''action'!$B$6:$AH$1113,32,FALSE)</f>
        <v>0</v>
      </c>
      <c r="EB19" s="70">
        <f>VLOOKUP($BS19,'État &amp; Plan d''action'!$B$6:$AH$1113,33,FALSE)</f>
        <v>0</v>
      </c>
      <c r="EC19" s="70">
        <v>0</v>
      </c>
      <c r="ED19" s="70">
        <v>0</v>
      </c>
      <c r="EE19" s="70">
        <v>0</v>
      </c>
      <c r="EF19" s="70">
        <v>0</v>
      </c>
      <c r="EG19" s="70">
        <v>0</v>
      </c>
      <c r="EH19" s="72">
        <v>75</v>
      </c>
      <c r="EI19" s="72">
        <v>2816</v>
      </c>
    </row>
    <row r="20" spans="1:139" ht="15.75" customHeight="1" x14ac:dyDescent="0.35">
      <c r="A20" s="1"/>
      <c r="B20"/>
      <c r="C20"/>
      <c r="D20"/>
      <c r="E20"/>
      <c r="F20"/>
      <c r="G20"/>
      <c r="H20"/>
      <c r="I20"/>
      <c r="J20"/>
      <c r="K20"/>
      <c r="L20"/>
      <c r="M20"/>
      <c r="N20"/>
      <c r="O20" s="70"/>
      <c r="P20" s="70"/>
      <c r="Q20" s="70"/>
      <c r="R20" s="70"/>
      <c r="S20" s="95"/>
      <c r="T20" s="70"/>
      <c r="W20" s="416" t="str">
        <f>NM</f>
        <v>TOUT LE QUÉBEC</v>
      </c>
      <c r="X20" s="547" t="s">
        <v>1149</v>
      </c>
      <c r="Y20" s="547"/>
      <c r="Z20" s="547"/>
      <c r="AA20" s="547"/>
      <c r="AB20" s="547"/>
      <c r="AC20" s="547"/>
      <c r="AD20" s="547"/>
      <c r="AE20" s="547"/>
      <c r="AF20" s="547"/>
      <c r="BS20" s="486">
        <v>19037</v>
      </c>
      <c r="BT20" s="479" t="s">
        <v>124</v>
      </c>
      <c r="BU20" s="479">
        <v>12</v>
      </c>
      <c r="BV20" s="476" t="s">
        <v>1187</v>
      </c>
      <c r="BW20" s="476" t="s">
        <v>1187</v>
      </c>
      <c r="BX20" s="476" t="s">
        <v>1187</v>
      </c>
      <c r="BY20" s="476" t="s">
        <v>1187</v>
      </c>
      <c r="BZ20" s="476" t="s">
        <v>1187</v>
      </c>
      <c r="CA20" s="476" t="s">
        <v>1187</v>
      </c>
      <c r="CB20" s="476" t="s">
        <v>1187</v>
      </c>
      <c r="CC20" s="476" t="s">
        <v>1187</v>
      </c>
      <c r="CD20" s="476" t="s">
        <v>1187</v>
      </c>
      <c r="CE20" s="476" t="s">
        <v>1188</v>
      </c>
      <c r="CF20" s="476" t="s">
        <v>1188</v>
      </c>
      <c r="CG20" s="476" t="s">
        <v>1188</v>
      </c>
      <c r="CH20" s="476" t="s">
        <v>1188</v>
      </c>
      <c r="CI20" s="476" t="s">
        <v>1188</v>
      </c>
      <c r="CJ20" s="476" t="s">
        <v>1188</v>
      </c>
      <c r="CK20" s="476" t="s">
        <v>1188</v>
      </c>
      <c r="CL20" s="476" t="s">
        <v>1188</v>
      </c>
      <c r="CM20" s="476" t="str">
        <f>IF(VLOOKUP(BS20,'Données par municipalité'!$B$6:$E$1113,4,FALSE)="","non","oui")</f>
        <v>oui</v>
      </c>
      <c r="CN20" s="410">
        <v>330.88932557953547</v>
      </c>
      <c r="CO20" s="410">
        <v>345.03390002023883</v>
      </c>
      <c r="CP20" s="410">
        <v>354.19520547945206</v>
      </c>
      <c r="CQ20" s="410">
        <v>340.18200779996818</v>
      </c>
      <c r="CR20" s="410">
        <v>352.14970419817138</v>
      </c>
      <c r="CS20" s="410">
        <v>360.52363511947812</v>
      </c>
      <c r="CT20" s="410">
        <v>336.16248974180922</v>
      </c>
      <c r="CU20" s="410">
        <v>290</v>
      </c>
      <c r="CV20" s="410">
        <f>IF(VLOOKUP(BS20,'Données par municipalité'!$B$6:$F$1113,4,FALSE)="","",VLOOKUP(BS20,'Données par municipalité'!$B$6:$F$1113,4,FALSE))</f>
        <v>309</v>
      </c>
      <c r="CW20" s="476" t="s">
        <v>4723</v>
      </c>
      <c r="CX20" s="483">
        <v>0</v>
      </c>
      <c r="CY20" s="483">
        <v>1</v>
      </c>
      <c r="CZ20" s="483">
        <v>1</v>
      </c>
      <c r="DA20" s="483">
        <v>0</v>
      </c>
      <c r="DB20" s="483">
        <v>0</v>
      </c>
      <c r="DC20" s="483">
        <v>0</v>
      </c>
      <c r="DD20" s="483">
        <v>0</v>
      </c>
      <c r="DE20" s="483">
        <f>IFERROR(SUM(VLOOKUP($BS20,'État &amp; Plan d''action'!$B$6:$Z$1113,18,FALSE),VLOOKUP($BS20,'État &amp; Plan d''action'!$B$6:$Z$1113,20,FALSE))/(VLOOKUP($BS20,'Données par municipalité'!$B$4:$L$1113,11,FALSE)),"")</f>
        <v>0</v>
      </c>
      <c r="DF20" s="483">
        <f>IFERROR(SUM(VLOOKUP($BS20,'État &amp; Plan d''action'!$B$6:$Z$1113,19,FALSE),VLOOKUP($BS20,'État &amp; Plan d''action'!$B$6:$Z$1113,21,FALSE))/(VLOOKUP($BS20,'Données par municipalité'!$B$4:$L$1113,11,FALSE)),"")</f>
        <v>1</v>
      </c>
      <c r="DG20" s="476" t="s">
        <v>4723</v>
      </c>
      <c r="DH20" s="484">
        <v>0</v>
      </c>
      <c r="DI20" s="484">
        <v>0</v>
      </c>
      <c r="DJ20" s="484">
        <v>2</v>
      </c>
      <c r="DK20" s="484">
        <v>3</v>
      </c>
      <c r="DL20" s="484">
        <v>2</v>
      </c>
      <c r="DM20" s="484">
        <v>0</v>
      </c>
      <c r="DN20" s="484">
        <v>0</v>
      </c>
      <c r="DO20" s="484">
        <v>0</v>
      </c>
      <c r="DP20" s="484">
        <v>0</v>
      </c>
      <c r="DQ20" s="484">
        <f>IF(VLOOKUP($BS20,'État &amp; Plan d''action'!$B$6:$AJ$1113,28,FALSE)="","",VLOOKUP($BS20,'État &amp; Plan d''action'!$B$6:$AJ$1113,28,FALSE))</f>
        <v>2</v>
      </c>
      <c r="DR20" s="70">
        <f>IF(VLOOKUP($BS20,'État &amp; Plan d''action'!$B$6:$AJ$1113,29,FALSE)="","",VLOOKUP($BS20,'État &amp; Plan d''action'!$B$6:$AJ$1113,29,FALSE))</f>
        <v>0</v>
      </c>
      <c r="DS20" s="70">
        <f>IF(VLOOKUP($BS20,'État &amp; Plan d''action'!$B$6:$AJ$1113,30,FALSE)="","",VLOOKUP($BS20,'État &amp; Plan d''action'!$B$6:$AJ$1113,30,FALSE))</f>
        <v>0</v>
      </c>
      <c r="DT20" s="70">
        <v>231</v>
      </c>
      <c r="DU20" s="485">
        <v>1.5316340130981319</v>
      </c>
      <c r="DV20" s="485">
        <v>2.339634991553702</v>
      </c>
      <c r="DW20" s="70">
        <v>0</v>
      </c>
      <c r="DX20" s="70">
        <v>0</v>
      </c>
      <c r="DY20" s="70">
        <v>0</v>
      </c>
      <c r="DZ20" s="70">
        <f>VLOOKUP($BS20,'État &amp; Plan d''action'!$B$6:$AH$1113,31,FALSE)</f>
        <v>1</v>
      </c>
      <c r="EA20" s="70">
        <f>VLOOKUP($BS20,'État &amp; Plan d''action'!$B$6:$AH$1113,32,FALSE)</f>
        <v>0</v>
      </c>
      <c r="EB20" s="70">
        <f>VLOOKUP($BS20,'État &amp; Plan d''action'!$B$6:$AH$1113,33,FALSE)</f>
        <v>0</v>
      </c>
      <c r="EC20" s="70">
        <v>0</v>
      </c>
      <c r="ED20" s="70">
        <v>0</v>
      </c>
      <c r="EE20" s="70">
        <v>0</v>
      </c>
      <c r="EF20" s="70">
        <v>0</v>
      </c>
      <c r="EG20" s="70">
        <v>0</v>
      </c>
      <c r="EH20" s="72">
        <v>59.432432432432442</v>
      </c>
      <c r="EI20" s="72">
        <v>1493</v>
      </c>
    </row>
    <row r="21" spans="1:139" ht="15.75" customHeight="1" x14ac:dyDescent="0.35">
      <c r="A21" s="1"/>
      <c r="B21"/>
      <c r="C21"/>
      <c r="D21"/>
      <c r="E21"/>
      <c r="F21"/>
      <c r="G21"/>
      <c r="H21"/>
      <c r="I21"/>
      <c r="J21"/>
      <c r="K21"/>
      <c r="L21"/>
      <c r="M21"/>
      <c r="N21"/>
      <c r="O21" s="70"/>
      <c r="P21" s="70"/>
      <c r="Q21" s="70"/>
      <c r="R21" s="70"/>
      <c r="S21" s="95"/>
      <c r="T21" s="70"/>
      <c r="W21" s="416" t="str">
        <f>IF(W20="TOUT LE QUÉBEC","",INDEX('Données par municipalité'!$B$6:$B$1113,MATCH(W20,'Données par municipalité'!$C$6:$C$1113,0),1))</f>
        <v/>
      </c>
      <c r="X21" s="417">
        <v>2011</v>
      </c>
      <c r="Y21" s="417">
        <v>2012</v>
      </c>
      <c r="Z21" s="417">
        <v>2013</v>
      </c>
      <c r="AA21" s="417">
        <v>2014</v>
      </c>
      <c r="AB21" s="417">
        <v>2015</v>
      </c>
      <c r="AC21" s="417">
        <v>2016</v>
      </c>
      <c r="AD21" s="417">
        <v>2017</v>
      </c>
      <c r="AE21" s="417">
        <v>2018</v>
      </c>
      <c r="AF21" s="417">
        <v>2019</v>
      </c>
      <c r="AG21" s="495" t="s">
        <v>1150</v>
      </c>
      <c r="BS21" s="486">
        <v>78060</v>
      </c>
      <c r="BT21" s="479" t="s">
        <v>775</v>
      </c>
      <c r="BU21" s="479">
        <v>15</v>
      </c>
      <c r="BV21" s="476" t="s">
        <v>1188</v>
      </c>
      <c r="BW21" s="476" t="s">
        <v>1188</v>
      </c>
      <c r="BX21" s="476" t="s">
        <v>1188</v>
      </c>
      <c r="BY21" s="476" t="s">
        <v>1188</v>
      </c>
      <c r="BZ21" s="476" t="s">
        <v>1188</v>
      </c>
      <c r="CA21" s="476" t="s">
        <v>1188</v>
      </c>
      <c r="CB21" s="476" t="s">
        <v>1188</v>
      </c>
      <c r="CC21" s="476" t="s">
        <v>1188</v>
      </c>
      <c r="CD21" s="476" t="s">
        <v>1188</v>
      </c>
      <c r="CE21" s="476" t="s">
        <v>1188</v>
      </c>
      <c r="CF21" s="476" t="s">
        <v>1188</v>
      </c>
      <c r="CG21" s="476" t="s">
        <v>1188</v>
      </c>
      <c r="CH21" s="476" t="s">
        <v>1188</v>
      </c>
      <c r="CI21" s="476" t="s">
        <v>1188</v>
      </c>
      <c r="CJ21" s="476" t="s">
        <v>1187</v>
      </c>
      <c r="CK21" s="476" t="s">
        <v>1187</v>
      </c>
      <c r="CL21" s="476" t="s">
        <v>1187</v>
      </c>
      <c r="CM21" s="476" t="str">
        <f>IF(VLOOKUP(BS21,'Données par municipalité'!$B$6:$E$1113,4,FALSE)="","non","oui")</f>
        <v>non</v>
      </c>
      <c r="CN21" s="410">
        <v>293.32427638778825</v>
      </c>
      <c r="CO21" s="410">
        <v>312.5293295145932</v>
      </c>
      <c r="CP21" s="410">
        <v>304.36105279090299</v>
      </c>
      <c r="CQ21" s="410">
        <v>307.58326974249934</v>
      </c>
      <c r="CR21" s="410">
        <v>495.83257606551047</v>
      </c>
      <c r="CS21" s="410" t="s">
        <v>1124</v>
      </c>
      <c r="CT21" s="410"/>
      <c r="CU21" s="410" t="s">
        <v>1124</v>
      </c>
      <c r="CV21" s="410" t="str">
        <f>IF(VLOOKUP(BS21,'Données par municipalité'!$B$6:$F$1113,4,FALSE)="","",VLOOKUP(BS21,'Données par municipalité'!$B$6:$F$1113,4,FALSE))</f>
        <v/>
      </c>
      <c r="CW21" s="476" t="s">
        <v>4723</v>
      </c>
      <c r="CX21" s="483" t="s">
        <v>1124</v>
      </c>
      <c r="CY21" s="483">
        <v>0</v>
      </c>
      <c r="CZ21" s="483">
        <v>0</v>
      </c>
      <c r="DA21" s="483">
        <v>0</v>
      </c>
      <c r="DB21" s="483" t="s">
        <v>1124</v>
      </c>
      <c r="DC21" s="483" t="s">
        <v>1124</v>
      </c>
      <c r="DD21" s="483" t="s">
        <v>1124</v>
      </c>
      <c r="DE21" s="483" t="str">
        <f>IFERROR(SUM(VLOOKUP($BS21,'État &amp; Plan d''action'!$B$6:$Z$1113,18,FALSE),VLOOKUP($BS21,'État &amp; Plan d''action'!$B$6:$Z$1113,20,FALSE))/(VLOOKUP($BS21,'Données par municipalité'!$B$4:$L$1113,11,FALSE)),"")</f>
        <v/>
      </c>
      <c r="DF21" s="483" t="str">
        <f>IFERROR(SUM(VLOOKUP($BS21,'État &amp; Plan d''action'!$B$6:$Z$1113,19,FALSE),VLOOKUP($BS21,'État &amp; Plan d''action'!$B$6:$Z$1113,21,FALSE))/(VLOOKUP($BS21,'Données par municipalité'!$B$4:$L$1113,11,FALSE)),"")</f>
        <v/>
      </c>
      <c r="DG21" s="476" t="s">
        <v>4723</v>
      </c>
      <c r="DH21" s="484" t="s">
        <v>1124</v>
      </c>
      <c r="DI21" s="484" t="s">
        <v>1124</v>
      </c>
      <c r="DJ21" s="484">
        <v>0</v>
      </c>
      <c r="DK21" s="484">
        <v>0</v>
      </c>
      <c r="DL21" s="484" t="s">
        <v>1124</v>
      </c>
      <c r="DM21" s="484" t="s">
        <v>1124</v>
      </c>
      <c r="DN21" s="484" t="s">
        <v>1124</v>
      </c>
      <c r="DO21" s="484" t="s">
        <v>1124</v>
      </c>
      <c r="DP21" s="484" t="s">
        <v>1124</v>
      </c>
      <c r="DQ21" s="484" t="str">
        <f>IF(VLOOKUP($BS21,'État &amp; Plan d''action'!$B$6:$AJ$1113,28,FALSE)="","",VLOOKUP($BS21,'État &amp; Plan d''action'!$B$6:$AJ$1113,28,FALSE))</f>
        <v/>
      </c>
      <c r="DR21" s="70" t="str">
        <f>IF(VLOOKUP($BS21,'État &amp; Plan d''action'!$B$6:$AJ$1113,29,FALSE)="","",VLOOKUP($BS21,'État &amp; Plan d''action'!$B$6:$AJ$1113,29,FALSE))</f>
        <v/>
      </c>
      <c r="DS21" s="70" t="str">
        <f>IF(VLOOKUP($BS21,'État &amp; Plan d''action'!$B$6:$AJ$1113,30,FALSE)="","",VLOOKUP($BS21,'État &amp; Plan d''action'!$B$6:$AJ$1113,30,FALSE))</f>
        <v/>
      </c>
      <c r="DT21" s="70" t="s">
        <v>1124</v>
      </c>
      <c r="DU21" s="485" t="s">
        <v>1124</v>
      </c>
      <c r="DV21" s="485" t="s">
        <v>1124</v>
      </c>
      <c r="DW21" s="70" t="s">
        <v>1124</v>
      </c>
      <c r="DX21" s="70" t="s">
        <v>1124</v>
      </c>
      <c r="DY21" s="70" t="s">
        <v>1124</v>
      </c>
      <c r="DZ21" s="70" t="str">
        <f>VLOOKUP($BS21,'État &amp; Plan d''action'!$B$6:$AH$1113,31,FALSE)</f>
        <v/>
      </c>
      <c r="EA21" s="70" t="str">
        <f>VLOOKUP($BS21,'État &amp; Plan d''action'!$B$6:$AH$1113,32,FALSE)</f>
        <v/>
      </c>
      <c r="EB21" s="70" t="str">
        <f>VLOOKUP($BS21,'État &amp; Plan d''action'!$B$6:$AH$1113,33,FALSE)</f>
        <v/>
      </c>
      <c r="EC21" s="70" t="s">
        <v>1124</v>
      </c>
      <c r="ED21" s="70" t="s">
        <v>1124</v>
      </c>
      <c r="EE21" s="70" t="s">
        <v>1124</v>
      </c>
      <c r="EF21" s="70" t="s">
        <v>1124</v>
      </c>
      <c r="EG21" s="70" t="s">
        <v>1124</v>
      </c>
      <c r="EH21" s="72"/>
      <c r="EI21" s="72">
        <v>558</v>
      </c>
    </row>
    <row r="22" spans="1:139" ht="15.75" customHeight="1" x14ac:dyDescent="0.35">
      <c r="A22" s="1"/>
      <c r="B22"/>
      <c r="C22"/>
      <c r="D22"/>
      <c r="E22"/>
      <c r="F22"/>
      <c r="G22"/>
      <c r="H22"/>
      <c r="I22"/>
      <c r="J22"/>
      <c r="K22"/>
      <c r="L22"/>
      <c r="M22"/>
      <c r="N22"/>
      <c r="O22" s="70"/>
      <c r="P22" s="70"/>
      <c r="Q22" s="70"/>
      <c r="R22" s="70"/>
      <c r="S22" s="95"/>
      <c r="T22" s="70"/>
      <c r="W22" s="418" t="s">
        <v>1142</v>
      </c>
      <c r="X22" s="419">
        <f>IF($W$21="",CN7,IF(X$25="non","Non
disponible",IF(VLOOKUP($W$21,$BS$8:$CU$1115,22,FALSE)=0,"Non
disponible",VLOOKUP($W$21,$BS$8:$CU$1115,22,FALSE))))</f>
        <v>620.20563729543051</v>
      </c>
      <c r="Y22" s="419">
        <f>IF($W$21="",CO7,IF(Y$25="non","Non
disponible",IF(VLOOKUP($W$21,$BS$8:$CU$1115,23,FALSE)=0,"Non
disponible",VLOOKUP($W$21,$BS$8:$CU$1115,23,FALSE))))</f>
        <v>612.34089202232451</v>
      </c>
      <c r="Z22" s="419">
        <f>IF($W$21="",CP7,IF(Z$25="non","Non
disponible",IF(VLOOKUP($W$21,$BS$8:$CU$1115,24,FALSE)=0,"Non
disponible",VLOOKUP($W$21,$BS$8:$CU$1115,24,FALSE))))</f>
        <v>596.08658076779568</v>
      </c>
      <c r="AA22" s="419">
        <f>IF($W$21="",CQ7,IF(AA$25="non","Non
disponible",IF(VLOOKUP($W$21,$BS$8:$CU$1115,25,FALSE)=0,"Non
disponible",VLOOKUP($W$21,$BS$8:$CU$1115,25,FALSE))))</f>
        <v>589.1008664911451</v>
      </c>
      <c r="AB22" s="419">
        <f>IF($W$21="",CR7,IF(AB$25="non","Non
disponible",IF(VLOOKUP($W$21,$BS$8:$CU$1115,26,FALSE)=0,"Non
disponible",VLOOKUP($W$21,$BS$8:$CU$1115,26,FALSE))))</f>
        <v>573.37767588319423</v>
      </c>
      <c r="AC22" s="419">
        <f>IF($W$21="",CS7,IF(AC$25="non","Non
disponible",IF(VLOOKUP($W$21,$BS$8:$CU$1115,27,FALSE)=0,"Non
disponible",VLOOKUP($W$21,$BS$8:$CU$1115,27,FALSE))))</f>
        <v>550.8217594496216</v>
      </c>
      <c r="AD22" s="419">
        <f>IF($W$21="",CT7,IF(AD$25="non","Non
disponible",IF(VLOOKUP($W$21,$BS$8:$CU$1115,28,FALSE)=0,"Non
disponible",VLOOKUP($W$21,$BS$8:$CU$1115,28,FALSE))))</f>
        <v>529.5924</v>
      </c>
      <c r="AE22" s="419">
        <f>IF($W$21="",CU7,IF(AE$25="non","Non
disponible",IF(VLOOKUP($W$21,$BS$8:$CU$1115,29,FALSE)=0,"Non
disponible",VLOOKUP($W$21,$BS$8:$CU$1115,29,FALSE))))</f>
        <v>536.32018669637034</v>
      </c>
      <c r="AF22" s="419">
        <f>IF($W$21="",CV7,IF(AF$25="non","Non
disponible",IF(VLOOKUP($W$21,$BS$8:$CV$1115,30,FALSE)=0,"Non
disponible",VLOOKUP($W$21,$BS$8:$CV$1115,30,FALSE))))</f>
        <v>524.50800277550013</v>
      </c>
      <c r="AG22" s="420">
        <f>IF(NM="Choisir une municipalité","",458)</f>
        <v>458</v>
      </c>
      <c r="BS22" s="486">
        <v>40043</v>
      </c>
      <c r="BT22" s="479" t="s">
        <v>363</v>
      </c>
      <c r="BU22" s="479">
        <v>5</v>
      </c>
      <c r="BV22" s="476" t="s">
        <v>1187</v>
      </c>
      <c r="BW22" s="476" t="s">
        <v>1187</v>
      </c>
      <c r="BX22" s="476" t="s">
        <v>1187</v>
      </c>
      <c r="BY22" s="476" t="s">
        <v>1187</v>
      </c>
      <c r="BZ22" s="476" t="s">
        <v>1187</v>
      </c>
      <c r="CA22" s="476" t="s">
        <v>1187</v>
      </c>
      <c r="CB22" s="476" t="s">
        <v>1187</v>
      </c>
      <c r="CC22" s="476" t="s">
        <v>1187</v>
      </c>
      <c r="CD22" s="476" t="s">
        <v>1187</v>
      </c>
      <c r="CE22" s="476" t="s">
        <v>1188</v>
      </c>
      <c r="CF22" s="476" t="s">
        <v>1188</v>
      </c>
      <c r="CG22" s="476" t="s">
        <v>1188</v>
      </c>
      <c r="CH22" s="476" t="s">
        <v>1188</v>
      </c>
      <c r="CI22" s="476" t="s">
        <v>1188</v>
      </c>
      <c r="CJ22" s="476" t="s">
        <v>1188</v>
      </c>
      <c r="CK22" s="476" t="s">
        <v>1188</v>
      </c>
      <c r="CL22" s="476" t="s">
        <v>1188</v>
      </c>
      <c r="CM22" s="476" t="str">
        <f>IF(VLOOKUP(BS22,'Données par municipalité'!$B$6:$E$1113,4,FALSE)="","non","oui")</f>
        <v>oui</v>
      </c>
      <c r="CN22" s="410">
        <v>583.25147580197745</v>
      </c>
      <c r="CO22" s="410">
        <v>721.69988213864781</v>
      </c>
      <c r="CP22" s="410">
        <v>617.04475242515866</v>
      </c>
      <c r="CQ22" s="410">
        <v>545.59505532215383</v>
      </c>
      <c r="CR22" s="410">
        <v>544.42655664060624</v>
      </c>
      <c r="CS22" s="410">
        <v>496.36074357501474</v>
      </c>
      <c r="CT22" s="410">
        <v>529.8294330849767</v>
      </c>
      <c r="CU22" s="410">
        <v>540</v>
      </c>
      <c r="CV22" s="410">
        <f>IF(VLOOKUP(BS22,'Données par municipalité'!$B$6:$F$1113,4,FALSE)="","",VLOOKUP(BS22,'Données par municipalité'!$B$6:$F$1113,4,FALSE))</f>
        <v>557</v>
      </c>
      <c r="CW22" s="476" t="s">
        <v>4723</v>
      </c>
      <c r="CX22" s="483">
        <v>0.5</v>
      </c>
      <c r="CY22" s="483">
        <v>0.5</v>
      </c>
      <c r="CZ22" s="483">
        <v>0.5</v>
      </c>
      <c r="DA22" s="483">
        <v>0.5</v>
      </c>
      <c r="DB22" s="483">
        <v>1</v>
      </c>
      <c r="DC22" s="483">
        <v>1</v>
      </c>
      <c r="DD22" s="483">
        <v>1</v>
      </c>
      <c r="DE22" s="483">
        <f>IFERROR(SUM(VLOOKUP($BS22,'État &amp; Plan d''action'!$B$6:$Z$1113,18,FALSE),VLOOKUP($BS22,'État &amp; Plan d''action'!$B$6:$Z$1113,20,FALSE))/(VLOOKUP($BS22,'Données par municipalité'!$B$4:$L$1113,11,FALSE)),"")</f>
        <v>1.500007650289946</v>
      </c>
      <c r="DF22" s="483">
        <f>IFERROR(SUM(VLOOKUP($BS22,'État &amp; Plan d''action'!$B$6:$Z$1113,19,FALSE),VLOOKUP($BS22,'État &amp; Plan d''action'!$B$6:$Z$1113,21,FALSE))/(VLOOKUP($BS22,'Données par municipalité'!$B$4:$L$1113,11,FALSE)),"")</f>
        <v>1.0000015300579892</v>
      </c>
      <c r="DG22" s="476" t="s">
        <v>4723</v>
      </c>
      <c r="DH22" s="484">
        <v>3</v>
      </c>
      <c r="DI22" s="484">
        <v>11</v>
      </c>
      <c r="DJ22" s="484">
        <v>5</v>
      </c>
      <c r="DK22" s="484">
        <v>3</v>
      </c>
      <c r="DL22" s="484">
        <v>5</v>
      </c>
      <c r="DM22" s="484">
        <v>7</v>
      </c>
      <c r="DN22" s="484">
        <v>6</v>
      </c>
      <c r="DO22" s="484">
        <v>2</v>
      </c>
      <c r="DP22" s="484">
        <v>10</v>
      </c>
      <c r="DQ22" s="484">
        <f>IF(VLOOKUP($BS22,'État &amp; Plan d''action'!$B$6:$AJ$1113,28,FALSE)="","",VLOOKUP($BS22,'État &amp; Plan d''action'!$B$6:$AJ$1113,28,FALSE))</f>
        <v>6</v>
      </c>
      <c r="DR22" s="70">
        <f>IF(VLOOKUP($BS22,'État &amp; Plan d''action'!$B$6:$AJ$1113,29,FALSE)="","",VLOOKUP($BS22,'État &amp; Plan d''action'!$B$6:$AJ$1113,29,FALSE))</f>
        <v>3</v>
      </c>
      <c r="DS22" s="70">
        <f>IF(VLOOKUP($BS22,'État &amp; Plan d''action'!$B$6:$AJ$1113,30,FALSE)="","",VLOOKUP($BS22,'État &amp; Plan d''action'!$B$6:$AJ$1113,30,FALSE))</f>
        <v>9</v>
      </c>
      <c r="DT22" s="70">
        <v>358</v>
      </c>
      <c r="DU22" s="485">
        <v>4.4648162685886446</v>
      </c>
      <c r="DV22" s="485">
        <v>5.2976290001920896</v>
      </c>
      <c r="DW22" s="70">
        <v>5</v>
      </c>
      <c r="DX22" s="70">
        <v>5</v>
      </c>
      <c r="DY22" s="70">
        <v>10</v>
      </c>
      <c r="DZ22" s="70">
        <f>VLOOKUP($BS22,'État &amp; Plan d''action'!$B$6:$AH$1113,31,FALSE)</f>
        <v>5</v>
      </c>
      <c r="EA22" s="70">
        <f>VLOOKUP($BS22,'État &amp; Plan d''action'!$B$6:$AH$1113,32,FALSE)</f>
        <v>5</v>
      </c>
      <c r="EB22" s="70">
        <f>VLOOKUP($BS22,'État &amp; Plan d''action'!$B$6:$AH$1113,33,FALSE)</f>
        <v>10</v>
      </c>
      <c r="EC22" s="70">
        <v>0</v>
      </c>
      <c r="ED22" s="70">
        <v>65.356999999999999</v>
      </c>
      <c r="EE22" s="70">
        <v>0</v>
      </c>
      <c r="EF22" s="70">
        <v>0</v>
      </c>
      <c r="EG22" s="70">
        <v>0</v>
      </c>
      <c r="EH22" s="72">
        <v>45</v>
      </c>
      <c r="EI22" s="72">
        <v>6826</v>
      </c>
    </row>
    <row r="23" spans="1:139" ht="15.75" customHeight="1" x14ac:dyDescent="0.35">
      <c r="A23" s="1"/>
      <c r="B23"/>
      <c r="C23"/>
      <c r="D23"/>
      <c r="E23"/>
      <c r="F23"/>
      <c r="G23"/>
      <c r="H23"/>
      <c r="I23"/>
      <c r="J23"/>
      <c r="K23"/>
      <c r="L23"/>
      <c r="M23"/>
      <c r="N23"/>
      <c r="O23" s="70"/>
      <c r="P23" s="70"/>
      <c r="Q23" s="70"/>
      <c r="R23" s="70"/>
      <c r="S23" s="95"/>
      <c r="T23" s="70"/>
      <c r="W23" s="421" t="str">
        <f>IF(NM="Tout le Québec","Objectif 2025 pour
l'ensemble du Québec : 458","")</f>
        <v>Objectif 2025 pour
l'ensemble du Québec : 458</v>
      </c>
      <c r="X23" s="420">
        <f t="shared" ref="X23:AG23" si="1">IF(NM="Tout le Québec",458,"")</f>
        <v>458</v>
      </c>
      <c r="Y23" s="420">
        <f t="shared" si="1"/>
        <v>458</v>
      </c>
      <c r="Z23" s="420">
        <f t="shared" si="1"/>
        <v>458</v>
      </c>
      <c r="AA23" s="420">
        <f t="shared" si="1"/>
        <v>458</v>
      </c>
      <c r="AB23" s="420">
        <f t="shared" si="1"/>
        <v>458</v>
      </c>
      <c r="AC23" s="420">
        <f t="shared" si="1"/>
        <v>458</v>
      </c>
      <c r="AD23" s="420">
        <f t="shared" si="1"/>
        <v>458</v>
      </c>
      <c r="AE23" s="420">
        <f>IF(NM="Tout le Québec",458,"")</f>
        <v>458</v>
      </c>
      <c r="AF23" s="420">
        <f t="shared" si="1"/>
        <v>458</v>
      </c>
      <c r="AG23" s="420">
        <f t="shared" si="1"/>
        <v>458</v>
      </c>
      <c r="BS23" s="486">
        <v>41055</v>
      </c>
      <c r="BT23" s="479" t="s">
        <v>370</v>
      </c>
      <c r="BU23" s="479">
        <v>5</v>
      </c>
      <c r="BV23" s="476" t="s">
        <v>1187</v>
      </c>
      <c r="BW23" s="476" t="s">
        <v>1187</v>
      </c>
      <c r="BX23" s="476" t="s">
        <v>1187</v>
      </c>
      <c r="BY23" s="476" t="s">
        <v>1187</v>
      </c>
      <c r="BZ23" s="476" t="s">
        <v>1187</v>
      </c>
      <c r="CA23" s="476" t="s">
        <v>1187</v>
      </c>
      <c r="CB23" s="476" t="s">
        <v>1187</v>
      </c>
      <c r="CC23" s="476" t="s">
        <v>1187</v>
      </c>
      <c r="CD23" s="476" t="s">
        <v>1187</v>
      </c>
      <c r="CE23" s="476" t="s">
        <v>1188</v>
      </c>
      <c r="CF23" s="476" t="s">
        <v>1188</v>
      </c>
      <c r="CG23" s="476" t="s">
        <v>1188</v>
      </c>
      <c r="CH23" s="476" t="s">
        <v>1188</v>
      </c>
      <c r="CI23" s="476" t="s">
        <v>1188</v>
      </c>
      <c r="CJ23" s="476" t="s">
        <v>1188</v>
      </c>
      <c r="CK23" s="476" t="s">
        <v>1188</v>
      </c>
      <c r="CL23" s="476" t="s">
        <v>1188</v>
      </c>
      <c r="CM23" s="476" t="str">
        <f>IF(VLOOKUP(BS23,'Données par municipalité'!$B$6:$E$1113,4,FALSE)="","non","oui")</f>
        <v>oui</v>
      </c>
      <c r="CN23" s="410">
        <v>350.74810854122688</v>
      </c>
      <c r="CO23" s="410">
        <v>277.39053471011613</v>
      </c>
      <c r="CP23" s="410">
        <v>302.3028761041673</v>
      </c>
      <c r="CQ23" s="410">
        <v>388.57148379660424</v>
      </c>
      <c r="CR23" s="410">
        <v>380.00879056479374</v>
      </c>
      <c r="CS23" s="410">
        <v>369.96513611749867</v>
      </c>
      <c r="CT23" s="410">
        <v>326.07815160086244</v>
      </c>
      <c r="CU23" s="410">
        <v>367</v>
      </c>
      <c r="CV23" s="410">
        <f>IF(VLOOKUP(BS23,'Données par municipalité'!$B$6:$F$1113,4,FALSE)="","",VLOOKUP(BS23,'Données par municipalité'!$B$6:$F$1113,4,FALSE))</f>
        <v>380</v>
      </c>
      <c r="CW23" s="476" t="s">
        <v>4723</v>
      </c>
      <c r="CX23" s="483">
        <v>0</v>
      </c>
      <c r="CY23" s="483">
        <v>0</v>
      </c>
      <c r="CZ23" s="483">
        <v>0</v>
      </c>
      <c r="DA23" s="483">
        <v>0</v>
      </c>
      <c r="DB23" s="483">
        <v>0</v>
      </c>
      <c r="DC23" s="483">
        <v>1</v>
      </c>
      <c r="DD23" s="483">
        <v>0.35966910442393002</v>
      </c>
      <c r="DE23" s="483">
        <f>IFERROR(SUM(VLOOKUP($BS23,'État &amp; Plan d''action'!$B$6:$Z$1113,18,FALSE),VLOOKUP($BS23,'État &amp; Plan d''action'!$B$6:$Z$1113,20,FALSE))/(VLOOKUP($BS23,'Données par municipalité'!$B$4:$L$1113,11,FALSE)),"")</f>
        <v>0</v>
      </c>
      <c r="DF23" s="483">
        <f>IFERROR(SUM(VLOOKUP($BS23,'État &amp; Plan d''action'!$B$6:$Z$1113,19,FALSE),VLOOKUP($BS23,'État &amp; Plan d''action'!$B$6:$Z$1113,21,FALSE))/(VLOOKUP($BS23,'Données par municipalité'!$B$4:$L$1113,11,FALSE)),"")</f>
        <v>0</v>
      </c>
      <c r="DG23" s="476" t="s">
        <v>4723</v>
      </c>
      <c r="DH23" s="484">
        <v>0</v>
      </c>
      <c r="DI23" s="484">
        <v>1</v>
      </c>
      <c r="DJ23" s="484">
        <v>1</v>
      </c>
      <c r="DK23" s="484">
        <v>0</v>
      </c>
      <c r="DL23" s="484">
        <v>0</v>
      </c>
      <c r="DM23" s="484">
        <v>0</v>
      </c>
      <c r="DN23" s="484">
        <v>0</v>
      </c>
      <c r="DO23" s="484">
        <v>0</v>
      </c>
      <c r="DP23" s="484">
        <v>3</v>
      </c>
      <c r="DQ23" s="484">
        <f>IF(VLOOKUP($BS23,'État &amp; Plan d''action'!$B$6:$AJ$1113,28,FALSE)="","",VLOOKUP($BS23,'État &amp; Plan d''action'!$B$6:$AJ$1113,28,FALSE))</f>
        <v>1</v>
      </c>
      <c r="DR23" s="70">
        <f>IF(VLOOKUP($BS23,'État &amp; Plan d''action'!$B$6:$AJ$1113,29,FALSE)="","",VLOOKUP($BS23,'État &amp; Plan d''action'!$B$6:$AJ$1113,29,FALSE))</f>
        <v>0</v>
      </c>
      <c r="DS23" s="70">
        <f>IF(VLOOKUP($BS23,'État &amp; Plan d''action'!$B$6:$AJ$1113,30,FALSE)="","",VLOOKUP($BS23,'État &amp; Plan d''action'!$B$6:$AJ$1113,30,FALSE))</f>
        <v>0</v>
      </c>
      <c r="DT23" s="70">
        <v>199</v>
      </c>
      <c r="DU23" s="485">
        <v>2.3790779354512037</v>
      </c>
      <c r="DV23" s="485">
        <v>2.9204734126986907</v>
      </c>
      <c r="DW23" s="70">
        <v>1</v>
      </c>
      <c r="DX23" s="70">
        <v>0</v>
      </c>
      <c r="DY23" s="70">
        <v>3</v>
      </c>
      <c r="DZ23" s="70">
        <f>VLOOKUP($BS23,'État &amp; Plan d''action'!$B$6:$AH$1113,31,FALSE)</f>
        <v>1</v>
      </c>
      <c r="EA23" s="70">
        <f>VLOOKUP($BS23,'État &amp; Plan d''action'!$B$6:$AH$1113,32,FALSE)</f>
        <v>0</v>
      </c>
      <c r="EB23" s="70">
        <f>VLOOKUP($BS23,'État &amp; Plan d''action'!$B$6:$AH$1113,33,FALSE)</f>
        <v>0</v>
      </c>
      <c r="EC23" s="70">
        <v>8.3409999999999993</v>
      </c>
      <c r="ED23" s="70">
        <v>2</v>
      </c>
      <c r="EE23" s="70">
        <v>1</v>
      </c>
      <c r="EF23" s="70">
        <v>0</v>
      </c>
      <c r="EG23" s="70">
        <v>0</v>
      </c>
      <c r="EH23" s="72">
        <v>58.137254901960773</v>
      </c>
      <c r="EI23" s="72">
        <v>3210</v>
      </c>
    </row>
    <row r="24" spans="1:139" ht="15.75" customHeight="1" x14ac:dyDescent="0.35">
      <c r="A24" s="1"/>
      <c r="B24"/>
      <c r="C24"/>
      <c r="D24"/>
      <c r="E24"/>
      <c r="F24"/>
      <c r="G24"/>
      <c r="H24"/>
      <c r="I24"/>
      <c r="J24"/>
      <c r="K24"/>
      <c r="L24"/>
      <c r="M24"/>
      <c r="N24"/>
      <c r="O24" s="70"/>
      <c r="P24" s="70"/>
      <c r="Q24" s="70"/>
      <c r="R24" s="70"/>
      <c r="S24" s="95"/>
      <c r="T24" s="70"/>
      <c r="W24" s="418" t="s">
        <v>1153</v>
      </c>
      <c r="X24" s="420" t="str">
        <f>IF($W$21="","non",VLOOKUP($W$21,$BS$8:$CC$1115,4,FALSE))</f>
        <v>non</v>
      </c>
      <c r="Y24" s="420" t="str">
        <f>IF($W$21="","non",VLOOKUP($W$21,$BS$8:$CC$1115,5,FALSE))</f>
        <v>non</v>
      </c>
      <c r="Z24" s="420" t="str">
        <f>IF($W$21="","non",VLOOKUP($W$21,$BS$8:$CC$1115,6,FALSE))</f>
        <v>non</v>
      </c>
      <c r="AA24" s="420" t="str">
        <f>IF($W$21="","non",VLOOKUP($W$21,$BS$8:$CC$1115,7,FALSE))</f>
        <v>non</v>
      </c>
      <c r="AB24" s="420" t="str">
        <f>IF($W$21="","non",VLOOKUP($W$21,$BS$8:$CC$1115,8,FALSE))</f>
        <v>non</v>
      </c>
      <c r="AC24" s="420" t="str">
        <f>IF($W$21="","non",VLOOKUP($W$21,$BS$8:$CC$1115,9,FALSE))</f>
        <v>non</v>
      </c>
      <c r="AD24" s="420" t="str">
        <f>IF($W$21="","non",VLOOKUP($W$21,$BS$8:$CC$1115,10,FALSE))</f>
        <v>non</v>
      </c>
      <c r="AE24" s="420" t="str">
        <f>IF($W$21="","non",VLOOKUP($W$21,$BS$8:$CC$1115,11,FALSE))</f>
        <v>non</v>
      </c>
      <c r="AF24" s="420" t="str">
        <f>IF($W$21="","non",VLOOKUP($W$21,$BS$8:$CD$1115,12,FALSE))</f>
        <v>non</v>
      </c>
      <c r="AG24" s="420"/>
      <c r="BS24" s="486">
        <v>50013</v>
      </c>
      <c r="BT24" s="479" t="s">
        <v>483</v>
      </c>
      <c r="BU24" s="479">
        <v>17</v>
      </c>
      <c r="BV24" s="476" t="s">
        <v>1188</v>
      </c>
      <c r="BW24" s="476" t="s">
        <v>1188</v>
      </c>
      <c r="BX24" s="476" t="s">
        <v>1188</v>
      </c>
      <c r="BY24" s="476" t="s">
        <v>1188</v>
      </c>
      <c r="BZ24" s="476" t="s">
        <v>1188</v>
      </c>
      <c r="CA24" s="476" t="s">
        <v>1188</v>
      </c>
      <c r="CB24" s="476" t="s">
        <v>1188</v>
      </c>
      <c r="CC24" s="476" t="s">
        <v>1188</v>
      </c>
      <c r="CD24" s="476" t="s">
        <v>1188</v>
      </c>
      <c r="CE24" s="476" t="s">
        <v>1187</v>
      </c>
      <c r="CF24" s="476" t="s">
        <v>1187</v>
      </c>
      <c r="CG24" s="476" t="s">
        <v>1187</v>
      </c>
      <c r="CH24" s="476" t="s">
        <v>1187</v>
      </c>
      <c r="CI24" s="476" t="s">
        <v>1187</v>
      </c>
      <c r="CJ24" s="476" t="s">
        <v>1187</v>
      </c>
      <c r="CK24" s="476" t="s">
        <v>1187</v>
      </c>
      <c r="CL24" s="476" t="s">
        <v>1187</v>
      </c>
      <c r="CM24" s="476" t="str">
        <f>IF(VLOOKUP(BS24,'Données par municipalité'!$B$6:$E$1113,4,FALSE)="","non","oui")</f>
        <v>non</v>
      </c>
      <c r="CN24" s="410" t="s">
        <v>1124</v>
      </c>
      <c r="CO24" s="410" t="s">
        <v>1124</v>
      </c>
      <c r="CP24" s="410"/>
      <c r="CQ24" s="410"/>
      <c r="CR24" s="410"/>
      <c r="CS24" s="410" t="s">
        <v>1124</v>
      </c>
      <c r="CT24" s="410"/>
      <c r="CU24" s="410" t="s">
        <v>1124</v>
      </c>
      <c r="CV24" s="410" t="str">
        <f>IF(VLOOKUP(BS24,'Données par municipalité'!$B$6:$F$1113,4,FALSE)="","",VLOOKUP(BS24,'Données par municipalité'!$B$6:$F$1113,4,FALSE))</f>
        <v/>
      </c>
      <c r="CW24" s="476" t="s">
        <v>4723</v>
      </c>
      <c r="CX24" s="483" t="s">
        <v>1124</v>
      </c>
      <c r="CY24" s="483" t="s">
        <v>1124</v>
      </c>
      <c r="CZ24" s="483" t="s">
        <v>1124</v>
      </c>
      <c r="DA24" s="483" t="s">
        <v>1124</v>
      </c>
      <c r="DB24" s="483" t="s">
        <v>1124</v>
      </c>
      <c r="DC24" s="483" t="s">
        <v>1124</v>
      </c>
      <c r="DD24" s="483" t="s">
        <v>1124</v>
      </c>
      <c r="DE24" s="483" t="str">
        <f>IFERROR(SUM(VLOOKUP($BS24,'État &amp; Plan d''action'!$B$6:$Z$1113,18,FALSE),VLOOKUP($BS24,'État &amp; Plan d''action'!$B$6:$Z$1113,20,FALSE))/(VLOOKUP($BS24,'Données par municipalité'!$B$4:$L$1113,11,FALSE)),"")</f>
        <v/>
      </c>
      <c r="DF24" s="483" t="str">
        <f>IFERROR(SUM(VLOOKUP($BS24,'État &amp; Plan d''action'!$B$6:$Z$1113,19,FALSE),VLOOKUP($BS24,'État &amp; Plan d''action'!$B$6:$Z$1113,21,FALSE))/(VLOOKUP($BS24,'Données par municipalité'!$B$4:$L$1113,11,FALSE)),"")</f>
        <v/>
      </c>
      <c r="DG24" s="476" t="s">
        <v>4723</v>
      </c>
      <c r="DH24" s="484" t="s">
        <v>1124</v>
      </c>
      <c r="DI24" s="484" t="s">
        <v>1124</v>
      </c>
      <c r="DJ24" s="484">
        <v>0</v>
      </c>
      <c r="DK24" s="484">
        <v>0</v>
      </c>
      <c r="DL24" s="484" t="s">
        <v>1124</v>
      </c>
      <c r="DM24" s="484" t="s">
        <v>1124</v>
      </c>
      <c r="DN24" s="484" t="s">
        <v>1124</v>
      </c>
      <c r="DO24" s="484" t="s">
        <v>1124</v>
      </c>
      <c r="DP24" s="484" t="s">
        <v>1124</v>
      </c>
      <c r="DQ24" s="484" t="str">
        <f>IF(VLOOKUP($BS24,'État &amp; Plan d''action'!$B$6:$AJ$1113,28,FALSE)="","",VLOOKUP($BS24,'État &amp; Plan d''action'!$B$6:$AJ$1113,28,FALSE))</f>
        <v/>
      </c>
      <c r="DR24" s="70" t="str">
        <f>IF(VLOOKUP($BS24,'État &amp; Plan d''action'!$B$6:$AJ$1113,29,FALSE)="","",VLOOKUP($BS24,'État &amp; Plan d''action'!$B$6:$AJ$1113,29,FALSE))</f>
        <v/>
      </c>
      <c r="DS24" s="70" t="str">
        <f>IF(VLOOKUP($BS24,'État &amp; Plan d''action'!$B$6:$AJ$1113,30,FALSE)="","",VLOOKUP($BS24,'État &amp; Plan d''action'!$B$6:$AJ$1113,30,FALSE))</f>
        <v/>
      </c>
      <c r="DT24" s="70" t="s">
        <v>1124</v>
      </c>
      <c r="DU24" s="485" t="s">
        <v>1124</v>
      </c>
      <c r="DV24" s="485" t="s">
        <v>1124</v>
      </c>
      <c r="DW24" s="70" t="s">
        <v>1124</v>
      </c>
      <c r="DX24" s="70" t="s">
        <v>1124</v>
      </c>
      <c r="DY24" s="70" t="s">
        <v>1124</v>
      </c>
      <c r="DZ24" s="70" t="str">
        <f>VLOOKUP($BS24,'État &amp; Plan d''action'!$B$6:$AH$1113,31,FALSE)</f>
        <v/>
      </c>
      <c r="EA24" s="70" t="str">
        <f>VLOOKUP($BS24,'État &amp; Plan d''action'!$B$6:$AH$1113,32,FALSE)</f>
        <v/>
      </c>
      <c r="EB24" s="70" t="str">
        <f>VLOOKUP($BS24,'État &amp; Plan d''action'!$B$6:$AH$1113,33,FALSE)</f>
        <v/>
      </c>
      <c r="EC24" s="70" t="s">
        <v>1124</v>
      </c>
      <c r="ED24" s="70" t="s">
        <v>1124</v>
      </c>
      <c r="EE24" s="70" t="s">
        <v>1124</v>
      </c>
      <c r="EF24" s="70" t="s">
        <v>1124</v>
      </c>
      <c r="EG24" s="70" t="s">
        <v>1124</v>
      </c>
      <c r="EH24" s="72"/>
      <c r="EI24" s="72">
        <v>415</v>
      </c>
    </row>
    <row r="25" spans="1:139" ht="15.75" customHeight="1" x14ac:dyDescent="0.35">
      <c r="A25" s="1"/>
      <c r="B25"/>
      <c r="C25"/>
      <c r="D25"/>
      <c r="E25"/>
      <c r="F25"/>
      <c r="G25"/>
      <c r="H25"/>
      <c r="I25"/>
      <c r="J25"/>
      <c r="K25"/>
      <c r="L25"/>
      <c r="M25"/>
      <c r="N25"/>
      <c r="O25" s="70"/>
      <c r="P25" s="70"/>
      <c r="Q25" s="70"/>
      <c r="R25" s="70"/>
      <c r="S25" s="95"/>
      <c r="T25" s="70"/>
      <c r="W25" s="418" t="s">
        <v>1154</v>
      </c>
      <c r="X25" s="420" t="e">
        <f>VLOOKUP($W$21,$BS$8:$CM$1115,13,FALSE)</f>
        <v>#N/A</v>
      </c>
      <c r="Y25" s="420" t="e">
        <f>VLOOKUP($W$21,$BS$8:$CM$1115,14,FALSE)</f>
        <v>#N/A</v>
      </c>
      <c r="Z25" s="420" t="e">
        <f>VLOOKUP($W$21,$BS$8:$CM$1115,15,FALSE)</f>
        <v>#N/A</v>
      </c>
      <c r="AA25" s="420" t="e">
        <f>VLOOKUP($W$21,$BS$8:$CM$1115,16,FALSE)</f>
        <v>#N/A</v>
      </c>
      <c r="AB25" s="420" t="e">
        <f>VLOOKUP($W$21,$BS$8:$CM$1115,17,FALSE)</f>
        <v>#N/A</v>
      </c>
      <c r="AC25" s="420" t="e">
        <f>VLOOKUP($W$21,$BS$8:$CM$1115,18,FALSE)</f>
        <v>#N/A</v>
      </c>
      <c r="AD25" s="420" t="e">
        <f>VLOOKUP($W$21,$BS$8:$CM$1115,19,FALSE)</f>
        <v>#N/A</v>
      </c>
      <c r="AE25" s="420" t="e">
        <f>VLOOKUP($W$21,$BS$8:$CM$1115,20,FALSE)</f>
        <v>#N/A</v>
      </c>
      <c r="AF25" s="420" t="e">
        <f>VLOOKUP($W$21,$BS$8:$CM$1115,21,FALSE)</f>
        <v>#N/A</v>
      </c>
      <c r="AG25" s="420"/>
      <c r="BS25" s="486">
        <v>13045</v>
      </c>
      <c r="BT25" s="479" t="s">
        <v>48</v>
      </c>
      <c r="BU25" s="479">
        <v>1</v>
      </c>
      <c r="BV25" s="476" t="s">
        <v>1187</v>
      </c>
      <c r="BW25" s="476" t="s">
        <v>1187</v>
      </c>
      <c r="BX25" s="476" t="s">
        <v>1187</v>
      </c>
      <c r="BY25" s="476" t="s">
        <v>1187</v>
      </c>
      <c r="BZ25" s="476" t="s">
        <v>1187</v>
      </c>
      <c r="CA25" s="476" t="s">
        <v>1187</v>
      </c>
      <c r="CB25" s="476" t="s">
        <v>1187</v>
      </c>
      <c r="CC25" s="476" t="s">
        <v>1187</v>
      </c>
      <c r="CD25" s="476" t="s">
        <v>1187</v>
      </c>
      <c r="CE25" s="476" t="s">
        <v>1188</v>
      </c>
      <c r="CF25" s="476" t="s">
        <v>1188</v>
      </c>
      <c r="CG25" s="476" t="s">
        <v>1188</v>
      </c>
      <c r="CH25" s="476" t="s">
        <v>1188</v>
      </c>
      <c r="CI25" s="476" t="s">
        <v>1188</v>
      </c>
      <c r="CJ25" s="476" t="s">
        <v>1188</v>
      </c>
      <c r="CK25" s="476" t="s">
        <v>1187</v>
      </c>
      <c r="CL25" s="476" t="s">
        <v>1188</v>
      </c>
      <c r="CM25" s="476" t="str">
        <f>IF(VLOOKUP(BS25,'Données par municipalité'!$B$6:$E$1113,4,FALSE)="","non","oui")</f>
        <v>oui</v>
      </c>
      <c r="CN25" s="410">
        <v>334.72803347280336</v>
      </c>
      <c r="CO25" s="410">
        <v>333.27056312721169</v>
      </c>
      <c r="CP25" s="410">
        <v>462.76215868783771</v>
      </c>
      <c r="CQ25" s="410">
        <v>452.24612131240951</v>
      </c>
      <c r="CR25" s="410">
        <v>437.22824170214398</v>
      </c>
      <c r="CS25" s="410">
        <v>416.34139994795731</v>
      </c>
      <c r="CT25" s="410"/>
      <c r="CU25" s="410">
        <v>296</v>
      </c>
      <c r="CV25" s="410">
        <f>IF(VLOOKUP(BS25,'Données par municipalité'!$B$6:$F$1113,4,FALSE)="","",VLOOKUP(BS25,'Données par municipalité'!$B$6:$F$1113,4,FALSE))</f>
        <v>297</v>
      </c>
      <c r="CW25" s="476" t="s">
        <v>4723</v>
      </c>
      <c r="CX25" s="483">
        <v>0.1</v>
      </c>
      <c r="CY25" s="483">
        <v>0.1</v>
      </c>
      <c r="CZ25" s="483">
        <v>0.1</v>
      </c>
      <c r="DA25" s="483">
        <v>0.1</v>
      </c>
      <c r="DB25" s="483">
        <v>0.1</v>
      </c>
      <c r="DC25" s="483" t="s">
        <v>1124</v>
      </c>
      <c r="DD25" s="483">
        <v>0</v>
      </c>
      <c r="DE25" s="483">
        <f>IFERROR(SUM(VLOOKUP($BS25,'État &amp; Plan d''action'!$B$6:$Z$1113,18,FALSE),VLOOKUP($BS25,'État &amp; Plan d''action'!$B$6:$Z$1113,20,FALSE))/(VLOOKUP($BS25,'Données par municipalité'!$B$4:$L$1113,11,FALSE)),"")</f>
        <v>0</v>
      </c>
      <c r="DF25" s="483">
        <f>IFERROR(SUM(VLOOKUP($BS25,'État &amp; Plan d''action'!$B$6:$Z$1113,19,FALSE),VLOOKUP($BS25,'État &amp; Plan d''action'!$B$6:$Z$1113,21,FALSE))/(VLOOKUP($BS25,'Données par municipalité'!$B$4:$L$1113,11,FALSE)),"")</f>
        <v>0</v>
      </c>
      <c r="DG25" s="476" t="s">
        <v>4723</v>
      </c>
      <c r="DH25" s="484">
        <v>1</v>
      </c>
      <c r="DI25" s="484">
        <v>0</v>
      </c>
      <c r="DJ25" s="484">
        <v>2</v>
      </c>
      <c r="DK25" s="484">
        <v>2</v>
      </c>
      <c r="DL25" s="484">
        <v>0</v>
      </c>
      <c r="DM25" s="484" t="s">
        <v>1124</v>
      </c>
      <c r="DN25" s="484">
        <v>11</v>
      </c>
      <c r="DO25" s="484">
        <v>0</v>
      </c>
      <c r="DP25" s="484">
        <v>0</v>
      </c>
      <c r="DQ25" s="484">
        <f>IF(VLOOKUP($BS25,'État &amp; Plan d''action'!$B$6:$AJ$1113,28,FALSE)="","",VLOOKUP($BS25,'État &amp; Plan d''action'!$B$6:$AJ$1113,28,FALSE))</f>
        <v>1</v>
      </c>
      <c r="DR25" s="70">
        <f>IF(VLOOKUP($BS25,'État &amp; Plan d''action'!$B$6:$AJ$1113,29,FALSE)="","",VLOOKUP($BS25,'État &amp; Plan d''action'!$B$6:$AJ$1113,29,FALSE))</f>
        <v>0</v>
      </c>
      <c r="DS25" s="70">
        <f>IF(VLOOKUP($BS25,'État &amp; Plan d''action'!$B$6:$AJ$1113,30,FALSE)="","",VLOOKUP($BS25,'État &amp; Plan d''action'!$B$6:$AJ$1113,30,FALSE))</f>
        <v>0</v>
      </c>
      <c r="DT25" s="70">
        <v>182</v>
      </c>
      <c r="DU25" s="485">
        <v>2.9279229391050583</v>
      </c>
      <c r="DV25" s="485">
        <v>1.2744055527195441</v>
      </c>
      <c r="DW25" s="70">
        <v>5</v>
      </c>
      <c r="DX25" s="70">
        <v>0</v>
      </c>
      <c r="DY25" s="70">
        <v>0</v>
      </c>
      <c r="DZ25" s="70">
        <f>VLOOKUP($BS25,'État &amp; Plan d''action'!$B$6:$AH$1113,31,FALSE)</f>
        <v>2</v>
      </c>
      <c r="EA25" s="70">
        <f>VLOOKUP($BS25,'État &amp; Plan d''action'!$B$6:$AH$1113,32,FALSE)</f>
        <v>0</v>
      </c>
      <c r="EB25" s="70">
        <f>VLOOKUP($BS25,'État &amp; Plan d''action'!$B$6:$AH$1113,33,FALSE)</f>
        <v>0</v>
      </c>
      <c r="EC25" s="70">
        <v>0</v>
      </c>
      <c r="ED25" s="70">
        <v>0</v>
      </c>
      <c r="EE25" s="70">
        <v>0</v>
      </c>
      <c r="EF25" s="70">
        <v>0</v>
      </c>
      <c r="EG25" s="70">
        <v>0</v>
      </c>
      <c r="EH25" s="72">
        <v>45</v>
      </c>
      <c r="EI25" s="72">
        <v>458</v>
      </c>
    </row>
    <row r="26" spans="1:139" ht="15.75" customHeight="1" x14ac:dyDescent="0.35">
      <c r="A26" s="1"/>
      <c r="B26"/>
      <c r="C26"/>
      <c r="D26"/>
      <c r="E26"/>
      <c r="F26"/>
      <c r="G26"/>
      <c r="H26"/>
      <c r="I26"/>
      <c r="J26"/>
      <c r="K26"/>
      <c r="L26"/>
      <c r="M26"/>
      <c r="N26"/>
      <c r="O26" s="70"/>
      <c r="P26" s="70"/>
      <c r="Q26" s="70"/>
      <c r="R26" s="70"/>
      <c r="S26" s="95"/>
      <c r="T26" s="70"/>
      <c r="W26" s="418" t="s">
        <v>4715</v>
      </c>
      <c r="X26" s="422" t="s">
        <v>4723</v>
      </c>
      <c r="Y26" s="420" t="s">
        <v>4723</v>
      </c>
      <c r="Z26" s="420" t="s">
        <v>4723</v>
      </c>
      <c r="AA26" s="420" t="s">
        <v>4723</v>
      </c>
      <c r="AB26" s="420" t="s">
        <v>4723</v>
      </c>
      <c r="AC26" s="420" t="s">
        <v>4723</v>
      </c>
      <c r="AD26" s="420" t="s">
        <v>4723</v>
      </c>
      <c r="AE26" s="412">
        <f>IF($W$21="",DT7,IF(AE$25="non","Non
disponible",IF(VLOOKUP($W$21,$BS$8:$DT$1115,54,FALSE)=0,"Non
disponible",VLOOKUP($W$21,$BS$8:$DT$1115,54,FALSE))))</f>
        <v>268.2675218279096</v>
      </c>
      <c r="AF26" s="412">
        <f>IF($W$21="",SUM('Données par municipalité'!O6:O1113)*1000000/365/SUM('Données par municipalité'!K6:K1113),IF(AF$25="non","Non
disponible",IF(VLOOKUP($W$21,'Données par municipalité'!$B$6:$F$1113,5,FALSE)=0,"Non
disponible",VLOOKUP($W$21,'Données par municipalité'!$B$6:$F$1113,5,FALSE))))</f>
        <v>262.03759569882749</v>
      </c>
      <c r="BS26" s="486">
        <v>30055</v>
      </c>
      <c r="BT26" s="479" t="s">
        <v>227</v>
      </c>
      <c r="BU26" s="479">
        <v>5</v>
      </c>
      <c r="BV26" s="476" t="s">
        <v>1187</v>
      </c>
      <c r="BW26" s="476" t="s">
        <v>1187</v>
      </c>
      <c r="BX26" s="476" t="s">
        <v>1187</v>
      </c>
      <c r="BY26" s="476" t="s">
        <v>1187</v>
      </c>
      <c r="BZ26" s="476" t="s">
        <v>1187</v>
      </c>
      <c r="CA26" s="476" t="s">
        <v>1187</v>
      </c>
      <c r="CB26" s="476" t="s">
        <v>1187</v>
      </c>
      <c r="CC26" s="476" t="s">
        <v>1187</v>
      </c>
      <c r="CD26" s="476" t="s">
        <v>1187</v>
      </c>
      <c r="CE26" s="476" t="s">
        <v>1188</v>
      </c>
      <c r="CF26" s="476" t="s">
        <v>1188</v>
      </c>
      <c r="CG26" s="476" t="s">
        <v>1187</v>
      </c>
      <c r="CH26" s="476" t="s">
        <v>1188</v>
      </c>
      <c r="CI26" s="476" t="s">
        <v>1188</v>
      </c>
      <c r="CJ26" s="476" t="s">
        <v>1188</v>
      </c>
      <c r="CK26" s="476" t="s">
        <v>1188</v>
      </c>
      <c r="CL26" s="476" t="s">
        <v>1188</v>
      </c>
      <c r="CM26" s="476" t="str">
        <f>IF(VLOOKUP(BS26,'Données par municipalité'!$B$6:$E$1113,4,FALSE)="","non","oui")</f>
        <v>oui</v>
      </c>
      <c r="CN26" s="410">
        <v>399.87858611781502</v>
      </c>
      <c r="CO26" s="410">
        <v>349.2192263345093</v>
      </c>
      <c r="CP26" s="410"/>
      <c r="CQ26" s="410">
        <v>333.54233149753821</v>
      </c>
      <c r="CR26" s="410">
        <v>250.8663760114886</v>
      </c>
      <c r="CS26" s="410">
        <v>212.63552445825295</v>
      </c>
      <c r="CT26" s="410">
        <v>169.92170690800828</v>
      </c>
      <c r="CU26" s="410">
        <v>191</v>
      </c>
      <c r="CV26" s="410">
        <f>IF(VLOOKUP(BS26,'Données par municipalité'!$B$6:$F$1113,4,FALSE)="","",VLOOKUP(BS26,'Données par municipalité'!$B$6:$F$1113,4,FALSE))</f>
        <v>204</v>
      </c>
      <c r="CW26" s="476" t="s">
        <v>4723</v>
      </c>
      <c r="CX26" s="483">
        <v>1</v>
      </c>
      <c r="CY26" s="483" t="s">
        <v>1124</v>
      </c>
      <c r="CZ26" s="483">
        <v>0</v>
      </c>
      <c r="DA26" s="483">
        <v>1</v>
      </c>
      <c r="DB26" s="483">
        <v>1</v>
      </c>
      <c r="DC26" s="483">
        <v>1</v>
      </c>
      <c r="DD26" s="483">
        <v>2.804697380307136</v>
      </c>
      <c r="DE26" s="483">
        <f>IFERROR(SUM(VLOOKUP($BS26,'État &amp; Plan d''action'!$B$6:$Z$1113,18,FALSE),VLOOKUP($BS26,'État &amp; Plan d''action'!$B$6:$Z$1113,20,FALSE))/(VLOOKUP($BS26,'Données par municipalité'!$B$4:$L$1113,11,FALSE)),"")</f>
        <v>2.0769230769230771</v>
      </c>
      <c r="DF26" s="483">
        <f>IFERROR(SUM(VLOOKUP($BS26,'État &amp; Plan d''action'!$B$6:$Z$1113,19,FALSE),VLOOKUP($BS26,'État &amp; Plan d''action'!$B$6:$Z$1113,21,FALSE))/(VLOOKUP($BS26,'Données par municipalité'!$B$4:$L$1113,11,FALSE)),"")</f>
        <v>2.0769230769230771</v>
      </c>
      <c r="DG26" s="476" t="s">
        <v>4723</v>
      </c>
      <c r="DH26" s="484">
        <v>0</v>
      </c>
      <c r="DI26" s="484" t="s">
        <v>1124</v>
      </c>
      <c r="DJ26" s="484">
        <v>3</v>
      </c>
      <c r="DK26" s="484">
        <v>8</v>
      </c>
      <c r="DL26" s="484">
        <v>2</v>
      </c>
      <c r="DM26" s="484">
        <v>2</v>
      </c>
      <c r="DN26" s="484">
        <v>0</v>
      </c>
      <c r="DO26" s="484">
        <v>0</v>
      </c>
      <c r="DP26" s="484">
        <v>0</v>
      </c>
      <c r="DQ26" s="484">
        <f>IF(VLOOKUP($BS26,'État &amp; Plan d''action'!$B$6:$AJ$1113,28,FALSE)="","",VLOOKUP($BS26,'État &amp; Plan d''action'!$B$6:$AJ$1113,28,FALSE))</f>
        <v>0</v>
      </c>
      <c r="DR26" s="70">
        <f>IF(VLOOKUP($BS26,'État &amp; Plan d''action'!$B$6:$AJ$1113,29,FALSE)="","",VLOOKUP($BS26,'État &amp; Plan d''action'!$B$6:$AJ$1113,29,FALSE))</f>
        <v>4</v>
      </c>
      <c r="DS26" s="70">
        <f>IF(VLOOKUP($BS26,'État &amp; Plan d''action'!$B$6:$AJ$1113,30,FALSE)="","",VLOOKUP($BS26,'État &amp; Plan d''action'!$B$6:$AJ$1113,30,FALSE))</f>
        <v>1</v>
      </c>
      <c r="DT26" s="70">
        <v>123</v>
      </c>
      <c r="DU26" s="485">
        <v>0.84253822382100318</v>
      </c>
      <c r="DV26" s="485">
        <v>2.3881306099862933</v>
      </c>
      <c r="DW26" s="70">
        <v>0</v>
      </c>
      <c r="DX26" s="70">
        <v>0</v>
      </c>
      <c r="DY26" s="70">
        <v>0</v>
      </c>
      <c r="DZ26" s="70">
        <f>VLOOKUP($BS26,'État &amp; Plan d''action'!$B$6:$AH$1113,31,FALSE)</f>
        <v>0</v>
      </c>
      <c r="EA26" s="70">
        <f>VLOOKUP($BS26,'État &amp; Plan d''action'!$B$6:$AH$1113,32,FALSE)</f>
        <v>4</v>
      </c>
      <c r="EB26" s="70">
        <f>VLOOKUP($BS26,'État &amp; Plan d''action'!$B$6:$AH$1113,33,FALSE)</f>
        <v>29</v>
      </c>
      <c r="EC26" s="70">
        <v>7.7619999999999996</v>
      </c>
      <c r="ED26" s="70">
        <v>7.7619999999999996</v>
      </c>
      <c r="EE26" s="70">
        <v>7.7619999999999996</v>
      </c>
      <c r="EF26" s="70">
        <v>0</v>
      </c>
      <c r="EG26" s="70">
        <v>0</v>
      </c>
      <c r="EH26" s="72">
        <v>54</v>
      </c>
      <c r="EI26" s="72">
        <v>772</v>
      </c>
    </row>
    <row r="27" spans="1:139" ht="15.75" customHeight="1" x14ac:dyDescent="0.35">
      <c r="A27" s="1"/>
      <c r="B27"/>
      <c r="C27"/>
      <c r="D27"/>
      <c r="E27"/>
      <c r="F27"/>
      <c r="G27"/>
      <c r="H27"/>
      <c r="I27"/>
      <c r="J27"/>
      <c r="K27"/>
      <c r="L27"/>
      <c r="M27"/>
      <c r="N27"/>
      <c r="O27" s="70"/>
      <c r="P27" s="70"/>
      <c r="Q27" s="70"/>
      <c r="R27" s="70"/>
      <c r="S27" s="95"/>
      <c r="T27" s="70"/>
      <c r="W27" s="418" t="s">
        <v>1117</v>
      </c>
      <c r="X27" s="476" t="s">
        <v>4723</v>
      </c>
      <c r="Y27" s="476" t="s">
        <v>4723</v>
      </c>
      <c r="Z27" s="476" t="s">
        <v>4723</v>
      </c>
      <c r="AA27" s="476" t="s">
        <v>4723</v>
      </c>
      <c r="AB27" s="476" t="s">
        <v>4723</v>
      </c>
      <c r="AC27" s="476" t="s">
        <v>4723</v>
      </c>
      <c r="AD27" s="476" t="s">
        <v>4723</v>
      </c>
      <c r="AE27" s="423">
        <f>IF($W$21="",DU7,IF(AE$25="non","Non
disponible",IF(VLOOKUP($W$21,$BS$8:$DV$1115,55,FALSE)=0,"Non
disponible",VLOOKUP($W$21,$BS$8:$DV$1115,55,FALSE))))</f>
        <v>6.0350627662125476</v>
      </c>
      <c r="AF27" s="423">
        <f>IF($W$21="",DV7,IF(AE$25="non","Non
disponible",IF(VLOOKUP($W$21,$BS$8:$DV$1115,56,FALSE)=0,"Non
disponible",VLOOKUP($W$21,$BS$8:$DV$1115,56,FALSE))))</f>
        <v>6.59226315459658</v>
      </c>
      <c r="BS27" s="486">
        <v>83090</v>
      </c>
      <c r="BT27" s="479" t="s">
        <v>850</v>
      </c>
      <c r="BU27" s="479">
        <v>7</v>
      </c>
      <c r="BV27" s="476" t="s">
        <v>1188</v>
      </c>
      <c r="BW27" s="476" t="s">
        <v>1188</v>
      </c>
      <c r="BX27" s="476" t="s">
        <v>1188</v>
      </c>
      <c r="BY27" s="476" t="s">
        <v>1188</v>
      </c>
      <c r="BZ27" s="476" t="s">
        <v>1188</v>
      </c>
      <c r="CA27" s="476" t="s">
        <v>1188</v>
      </c>
      <c r="CB27" s="476" t="s">
        <v>1188</v>
      </c>
      <c r="CC27" s="476" t="s">
        <v>1188</v>
      </c>
      <c r="CD27" s="476" t="s">
        <v>1188</v>
      </c>
      <c r="CE27" s="476" t="s">
        <v>1187</v>
      </c>
      <c r="CF27" s="476" t="s">
        <v>1187</v>
      </c>
      <c r="CG27" s="476" t="s">
        <v>1187</v>
      </c>
      <c r="CH27" s="476" t="s">
        <v>1187</v>
      </c>
      <c r="CI27" s="476" t="s">
        <v>1187</v>
      </c>
      <c r="CJ27" s="476" t="s">
        <v>1187</v>
      </c>
      <c r="CK27" s="476" t="s">
        <v>1187</v>
      </c>
      <c r="CL27" s="476" t="s">
        <v>1187</v>
      </c>
      <c r="CM27" s="476" t="str">
        <f>IF(VLOOKUP(BS27,'Données par municipalité'!$B$6:$E$1113,4,FALSE)="","non","oui")</f>
        <v>non</v>
      </c>
      <c r="CN27" s="410" t="s">
        <v>1124</v>
      </c>
      <c r="CO27" s="410" t="s">
        <v>1124</v>
      </c>
      <c r="CP27" s="410"/>
      <c r="CQ27" s="410"/>
      <c r="CR27" s="410"/>
      <c r="CS27" s="410" t="s">
        <v>1124</v>
      </c>
      <c r="CT27" s="410"/>
      <c r="CU27" s="410" t="s">
        <v>1124</v>
      </c>
      <c r="CV27" s="410" t="str">
        <f>IF(VLOOKUP(BS27,'Données par municipalité'!$B$6:$F$1113,4,FALSE)="","",VLOOKUP(BS27,'Données par municipalité'!$B$6:$F$1113,4,FALSE))</f>
        <v/>
      </c>
      <c r="CW27" s="476" t="s">
        <v>4723</v>
      </c>
      <c r="CX27" s="483" t="s">
        <v>1124</v>
      </c>
      <c r="CY27" s="483" t="s">
        <v>1124</v>
      </c>
      <c r="CZ27" s="483" t="s">
        <v>1124</v>
      </c>
      <c r="DA27" s="483" t="s">
        <v>1124</v>
      </c>
      <c r="DB27" s="483" t="s">
        <v>1124</v>
      </c>
      <c r="DC27" s="483" t="s">
        <v>1124</v>
      </c>
      <c r="DD27" s="483" t="s">
        <v>1124</v>
      </c>
      <c r="DE27" s="483" t="str">
        <f>IFERROR(SUM(VLOOKUP($BS27,'État &amp; Plan d''action'!$B$6:$Z$1113,18,FALSE),VLOOKUP($BS27,'État &amp; Plan d''action'!$B$6:$Z$1113,20,FALSE))/(VLOOKUP($BS27,'Données par municipalité'!$B$4:$L$1113,11,FALSE)),"")</f>
        <v/>
      </c>
      <c r="DF27" s="483" t="str">
        <f>IFERROR(SUM(VLOOKUP($BS27,'État &amp; Plan d''action'!$B$6:$Z$1113,19,FALSE),VLOOKUP($BS27,'État &amp; Plan d''action'!$B$6:$Z$1113,21,FALSE))/(VLOOKUP($BS27,'Données par municipalité'!$B$4:$L$1113,11,FALSE)),"")</f>
        <v/>
      </c>
      <c r="DG27" s="476" t="s">
        <v>4723</v>
      </c>
      <c r="DH27" s="484" t="s">
        <v>1124</v>
      </c>
      <c r="DI27" s="484" t="s">
        <v>1124</v>
      </c>
      <c r="DJ27" s="484">
        <v>0</v>
      </c>
      <c r="DK27" s="484">
        <v>0</v>
      </c>
      <c r="DL27" s="484" t="s">
        <v>1124</v>
      </c>
      <c r="DM27" s="484" t="s">
        <v>1124</v>
      </c>
      <c r="DN27" s="484" t="s">
        <v>1124</v>
      </c>
      <c r="DO27" s="484" t="s">
        <v>1124</v>
      </c>
      <c r="DP27" s="484" t="s">
        <v>1124</v>
      </c>
      <c r="DQ27" s="484" t="str">
        <f>IF(VLOOKUP($BS27,'État &amp; Plan d''action'!$B$6:$AJ$1113,28,FALSE)="","",VLOOKUP($BS27,'État &amp; Plan d''action'!$B$6:$AJ$1113,28,FALSE))</f>
        <v/>
      </c>
      <c r="DR27" s="70" t="str">
        <f>IF(VLOOKUP($BS27,'État &amp; Plan d''action'!$B$6:$AJ$1113,29,FALSE)="","",VLOOKUP($BS27,'État &amp; Plan d''action'!$B$6:$AJ$1113,29,FALSE))</f>
        <v/>
      </c>
      <c r="DS27" s="70" t="str">
        <f>IF(VLOOKUP($BS27,'État &amp; Plan d''action'!$B$6:$AJ$1113,30,FALSE)="","",VLOOKUP($BS27,'État &amp; Plan d''action'!$B$6:$AJ$1113,30,FALSE))</f>
        <v/>
      </c>
      <c r="DT27" s="70" t="s">
        <v>1124</v>
      </c>
      <c r="DU27" s="485" t="s">
        <v>1124</v>
      </c>
      <c r="DV27" s="485" t="s">
        <v>1124</v>
      </c>
      <c r="DW27" s="70" t="s">
        <v>1124</v>
      </c>
      <c r="DX27" s="70" t="s">
        <v>1124</v>
      </c>
      <c r="DY27" s="70" t="s">
        <v>1124</v>
      </c>
      <c r="DZ27" s="70" t="str">
        <f>VLOOKUP($BS27,'État &amp; Plan d''action'!$B$6:$AH$1113,31,FALSE)</f>
        <v/>
      </c>
      <c r="EA27" s="70" t="str">
        <f>VLOOKUP($BS27,'État &amp; Plan d''action'!$B$6:$AH$1113,32,FALSE)</f>
        <v/>
      </c>
      <c r="EB27" s="70" t="str">
        <f>VLOOKUP($BS27,'État &amp; Plan d''action'!$B$6:$AH$1113,33,FALSE)</f>
        <v/>
      </c>
      <c r="EC27" s="70" t="s">
        <v>1124</v>
      </c>
      <c r="ED27" s="70" t="s">
        <v>1124</v>
      </c>
      <c r="EE27" s="70" t="s">
        <v>1124</v>
      </c>
      <c r="EF27" s="70" t="s">
        <v>1124</v>
      </c>
      <c r="EG27" s="70" t="s">
        <v>1124</v>
      </c>
      <c r="EH27" s="72"/>
      <c r="EI27" s="72">
        <v>758</v>
      </c>
    </row>
    <row r="28" spans="1:139" ht="15.75" customHeight="1" x14ac:dyDescent="0.35">
      <c r="A28" s="1"/>
      <c r="B28"/>
      <c r="C28" s="67"/>
      <c r="D28"/>
      <c r="E28"/>
      <c r="F28"/>
      <c r="G28"/>
      <c r="H28"/>
      <c r="I28"/>
      <c r="J28"/>
      <c r="K28"/>
      <c r="L28"/>
      <c r="M28"/>
      <c r="N28"/>
      <c r="O28" s="70"/>
      <c r="P28" s="70"/>
      <c r="Q28" s="70"/>
      <c r="R28" s="70"/>
      <c r="S28" s="95"/>
      <c r="T28" s="70"/>
      <c r="W28" s="418" t="s">
        <v>1115</v>
      </c>
      <c r="X28" s="70" t="s">
        <v>4723</v>
      </c>
      <c r="Y28" s="476" t="s">
        <v>4723</v>
      </c>
      <c r="Z28" s="476" t="s">
        <v>4723</v>
      </c>
      <c r="AA28" s="476" t="s">
        <v>4723</v>
      </c>
      <c r="AB28" s="476" t="s">
        <v>4723</v>
      </c>
      <c r="AC28" s="476" t="s">
        <v>4723</v>
      </c>
      <c r="AD28" s="476" t="s">
        <v>4723</v>
      </c>
      <c r="AE28" s="496">
        <f>IF($W$21="",EH7,IF(AE$25="non","Non
disponible",IF(VLOOKUP($W$21,$BS$8:$EH$1115,68,FALSE)=0,"Non
disponible",VLOOKUP($W$21,$BS$8:$EH$1115,68,FALSE))))</f>
        <v>55.81464743270201</v>
      </c>
      <c r="AF28" s="496">
        <f>IF($W$21="",AVERAGE('Données par réseau'!I6:I748),IF($AF$25="non","Non
disponible",IF(VLOOKUP($W$21,'Données par municipalité'!$B$6:$S$1113,18,FALSE)=0,"Non
disponible",VLOOKUP($W$21,'Données par municipalité'!$B$6:$S$1113,18,FALSE))))</f>
        <v>57.723499076943824</v>
      </c>
      <c r="BS28" s="486">
        <v>45085</v>
      </c>
      <c r="BT28" s="479" t="s">
        <v>421</v>
      </c>
      <c r="BU28" s="479">
        <v>5</v>
      </c>
      <c r="BV28" s="476" t="s">
        <v>1188</v>
      </c>
      <c r="BW28" s="476" t="s">
        <v>1188</v>
      </c>
      <c r="BX28" s="476" t="s">
        <v>1188</v>
      </c>
      <c r="BY28" s="476" t="s">
        <v>1188</v>
      </c>
      <c r="BZ28" s="476" t="s">
        <v>1188</v>
      </c>
      <c r="CA28" s="476" t="s">
        <v>1188</v>
      </c>
      <c r="CB28" s="476" t="s">
        <v>1188</v>
      </c>
      <c r="CC28" s="476" t="s">
        <v>1188</v>
      </c>
      <c r="CD28" s="476" t="s">
        <v>1188</v>
      </c>
      <c r="CE28" s="476" t="s">
        <v>1187</v>
      </c>
      <c r="CF28" s="476" t="s">
        <v>1187</v>
      </c>
      <c r="CG28" s="476" t="s">
        <v>1187</v>
      </c>
      <c r="CH28" s="476" t="s">
        <v>1187</v>
      </c>
      <c r="CI28" s="476" t="s">
        <v>1187</v>
      </c>
      <c r="CJ28" s="476" t="s">
        <v>1187</v>
      </c>
      <c r="CK28" s="476" t="s">
        <v>1187</v>
      </c>
      <c r="CL28" s="476" t="s">
        <v>1187</v>
      </c>
      <c r="CM28" s="476" t="str">
        <f>IF(VLOOKUP(BS28,'Données par municipalité'!$B$6:$E$1113,4,FALSE)="","non","oui")</f>
        <v>non</v>
      </c>
      <c r="CN28" s="410" t="s">
        <v>1124</v>
      </c>
      <c r="CO28" s="410" t="s">
        <v>1124</v>
      </c>
      <c r="CP28" s="410"/>
      <c r="CQ28" s="410"/>
      <c r="CR28" s="410"/>
      <c r="CS28" s="410" t="s">
        <v>1124</v>
      </c>
      <c r="CT28" s="410"/>
      <c r="CU28" s="410" t="s">
        <v>1124</v>
      </c>
      <c r="CV28" s="410" t="str">
        <f>IF(VLOOKUP(BS28,'Données par municipalité'!$B$6:$F$1113,4,FALSE)="","",VLOOKUP(BS28,'Données par municipalité'!$B$6:$F$1113,4,FALSE))</f>
        <v/>
      </c>
      <c r="CW28" s="476" t="s">
        <v>4723</v>
      </c>
      <c r="CX28" s="483" t="s">
        <v>1124</v>
      </c>
      <c r="CY28" s="483" t="s">
        <v>1124</v>
      </c>
      <c r="CZ28" s="483" t="s">
        <v>1124</v>
      </c>
      <c r="DA28" s="483" t="s">
        <v>1124</v>
      </c>
      <c r="DB28" s="483" t="s">
        <v>1124</v>
      </c>
      <c r="DC28" s="483" t="s">
        <v>1124</v>
      </c>
      <c r="DD28" s="483" t="s">
        <v>1124</v>
      </c>
      <c r="DE28" s="483" t="str">
        <f>IFERROR(SUM(VLOOKUP($BS28,'État &amp; Plan d''action'!$B$6:$Z$1113,18,FALSE),VLOOKUP($BS28,'État &amp; Plan d''action'!$B$6:$Z$1113,20,FALSE))/(VLOOKUP($BS28,'Données par municipalité'!$B$4:$L$1113,11,FALSE)),"")</f>
        <v/>
      </c>
      <c r="DF28" s="483" t="str">
        <f>IFERROR(SUM(VLOOKUP($BS28,'État &amp; Plan d''action'!$B$6:$Z$1113,19,FALSE),VLOOKUP($BS28,'État &amp; Plan d''action'!$B$6:$Z$1113,21,FALSE))/(VLOOKUP($BS28,'Données par municipalité'!$B$4:$L$1113,11,FALSE)),"")</f>
        <v/>
      </c>
      <c r="DG28" s="476" t="s">
        <v>4723</v>
      </c>
      <c r="DH28" s="484" t="s">
        <v>1124</v>
      </c>
      <c r="DI28" s="484" t="s">
        <v>1124</v>
      </c>
      <c r="DJ28" s="484">
        <v>0</v>
      </c>
      <c r="DK28" s="484">
        <v>0</v>
      </c>
      <c r="DL28" s="484" t="s">
        <v>1124</v>
      </c>
      <c r="DM28" s="484" t="s">
        <v>1124</v>
      </c>
      <c r="DN28" s="484" t="s">
        <v>1124</v>
      </c>
      <c r="DO28" s="484" t="s">
        <v>1124</v>
      </c>
      <c r="DP28" s="484" t="s">
        <v>1124</v>
      </c>
      <c r="DQ28" s="484" t="str">
        <f>IF(VLOOKUP($BS28,'État &amp; Plan d''action'!$B$6:$AJ$1113,28,FALSE)="","",VLOOKUP($BS28,'État &amp; Plan d''action'!$B$6:$AJ$1113,28,FALSE))</f>
        <v/>
      </c>
      <c r="DR28" s="70" t="str">
        <f>IF(VLOOKUP($BS28,'État &amp; Plan d''action'!$B$6:$AJ$1113,29,FALSE)="","",VLOOKUP($BS28,'État &amp; Plan d''action'!$B$6:$AJ$1113,29,FALSE))</f>
        <v/>
      </c>
      <c r="DS28" s="70" t="str">
        <f>IF(VLOOKUP($BS28,'État &amp; Plan d''action'!$B$6:$AJ$1113,30,FALSE)="","",VLOOKUP($BS28,'État &amp; Plan d''action'!$B$6:$AJ$1113,30,FALSE))</f>
        <v/>
      </c>
      <c r="DT28" s="70" t="s">
        <v>1124</v>
      </c>
      <c r="DU28" s="485" t="s">
        <v>1124</v>
      </c>
      <c r="DV28" s="485" t="s">
        <v>1124</v>
      </c>
      <c r="DW28" s="70" t="s">
        <v>1124</v>
      </c>
      <c r="DX28" s="70" t="s">
        <v>1124</v>
      </c>
      <c r="DY28" s="70" t="s">
        <v>1124</v>
      </c>
      <c r="DZ28" s="70" t="str">
        <f>VLOOKUP($BS28,'État &amp; Plan d''action'!$B$6:$AH$1113,31,FALSE)</f>
        <v/>
      </c>
      <c r="EA28" s="70" t="str">
        <f>VLOOKUP($BS28,'État &amp; Plan d''action'!$B$6:$AH$1113,32,FALSE)</f>
        <v/>
      </c>
      <c r="EB28" s="70" t="str">
        <f>VLOOKUP($BS28,'État &amp; Plan d''action'!$B$6:$AH$1113,33,FALSE)</f>
        <v/>
      </c>
      <c r="EC28" s="70" t="s">
        <v>1124</v>
      </c>
      <c r="ED28" s="70" t="s">
        <v>1124</v>
      </c>
      <c r="EE28" s="70" t="s">
        <v>1124</v>
      </c>
      <c r="EF28" s="70" t="s">
        <v>1124</v>
      </c>
      <c r="EG28" s="70" t="s">
        <v>1124</v>
      </c>
      <c r="EH28" s="72"/>
      <c r="EI28" s="72">
        <v>1525</v>
      </c>
    </row>
    <row r="29" spans="1:139" ht="19.5" customHeight="1" x14ac:dyDescent="0.35">
      <c r="A29" s="1"/>
      <c r="B29" s="520" t="s">
        <v>4764</v>
      </c>
      <c r="C29" s="520"/>
      <c r="D29" s="520"/>
      <c r="E29"/>
      <c r="F29"/>
      <c r="G29"/>
      <c r="H29"/>
      <c r="I29"/>
      <c r="J29"/>
      <c r="K29"/>
      <c r="L29"/>
      <c r="M29"/>
      <c r="N29"/>
      <c r="O29" s="70"/>
      <c r="P29" s="70"/>
      <c r="Q29" s="70"/>
      <c r="R29" s="70"/>
      <c r="S29" s="95"/>
      <c r="T29" s="70"/>
      <c r="W29" s="424" t="s">
        <v>4713</v>
      </c>
      <c r="AD29" s="70" t="str">
        <f>IFERROR(IF(AF25="non","",IF(NM="Tout le Québec","","Objectif 2019 pour
la municipalité : "&amp;AG29)),"")</f>
        <v/>
      </c>
      <c r="AE29" s="410" t="str">
        <f>AF29</f>
        <v/>
      </c>
      <c r="AF29" s="410" t="str">
        <f>AG29</f>
        <v/>
      </c>
      <c r="AG29" s="410" t="str">
        <f>IFERROR(RIGHT(VLOOKUP(W21,'Données par municipalité'!B6:G1113,6,FALSE),3)*1,"")</f>
        <v/>
      </c>
      <c r="BS29" s="486">
        <v>87050</v>
      </c>
      <c r="BT29" s="479" t="s">
        <v>898</v>
      </c>
      <c r="BU29" s="479">
        <v>8</v>
      </c>
      <c r="BV29" s="476" t="s">
        <v>1188</v>
      </c>
      <c r="BW29" s="476" t="s">
        <v>1188</v>
      </c>
      <c r="BX29" s="476" t="s">
        <v>1188</v>
      </c>
      <c r="BY29" s="476" t="s">
        <v>1188</v>
      </c>
      <c r="BZ29" s="476" t="s">
        <v>1188</v>
      </c>
      <c r="CA29" s="476" t="s">
        <v>1188</v>
      </c>
      <c r="CB29" s="476" t="s">
        <v>1188</v>
      </c>
      <c r="CC29" s="476" t="s">
        <v>1188</v>
      </c>
      <c r="CD29" s="476" t="s">
        <v>1188</v>
      </c>
      <c r="CE29" s="476" t="s">
        <v>1187</v>
      </c>
      <c r="CF29" s="476" t="s">
        <v>1187</v>
      </c>
      <c r="CG29" s="476" t="s">
        <v>1187</v>
      </c>
      <c r="CH29" s="476" t="s">
        <v>1187</v>
      </c>
      <c r="CI29" s="476" t="s">
        <v>1187</v>
      </c>
      <c r="CJ29" s="476" t="s">
        <v>1187</v>
      </c>
      <c r="CK29" s="476" t="s">
        <v>1187</v>
      </c>
      <c r="CL29" s="476" t="s">
        <v>1187</v>
      </c>
      <c r="CM29" s="476" t="str">
        <f>IF(VLOOKUP(BS29,'Données par municipalité'!$B$6:$E$1113,4,FALSE)="","non","oui")</f>
        <v>non</v>
      </c>
      <c r="CN29" s="410" t="s">
        <v>1124</v>
      </c>
      <c r="CO29" s="410" t="s">
        <v>1124</v>
      </c>
      <c r="CP29" s="410"/>
      <c r="CQ29" s="410"/>
      <c r="CR29" s="410"/>
      <c r="CS29" s="410" t="s">
        <v>1124</v>
      </c>
      <c r="CT29" s="410"/>
      <c r="CU29" s="410" t="s">
        <v>1124</v>
      </c>
      <c r="CV29" s="410" t="str">
        <f>IF(VLOOKUP(BS29,'Données par municipalité'!$B$6:$F$1113,4,FALSE)="","",VLOOKUP(BS29,'Données par municipalité'!$B$6:$F$1113,4,FALSE))</f>
        <v/>
      </c>
      <c r="CW29" s="476" t="s">
        <v>4723</v>
      </c>
      <c r="CX29" s="483" t="s">
        <v>1124</v>
      </c>
      <c r="CY29" s="483" t="s">
        <v>1124</v>
      </c>
      <c r="CZ29" s="483" t="s">
        <v>1124</v>
      </c>
      <c r="DA29" s="483" t="s">
        <v>1124</v>
      </c>
      <c r="DB29" s="483" t="s">
        <v>1124</v>
      </c>
      <c r="DC29" s="483" t="s">
        <v>1124</v>
      </c>
      <c r="DD29" s="483" t="s">
        <v>1124</v>
      </c>
      <c r="DE29" s="483" t="str">
        <f>IFERROR(SUM(VLOOKUP($BS29,'État &amp; Plan d''action'!$B$6:$Z$1113,18,FALSE),VLOOKUP($BS29,'État &amp; Plan d''action'!$B$6:$Z$1113,20,FALSE))/(VLOOKUP($BS29,'Données par municipalité'!$B$4:$L$1113,11,FALSE)),"")</f>
        <v/>
      </c>
      <c r="DF29" s="483" t="str">
        <f>IFERROR(SUM(VLOOKUP($BS29,'État &amp; Plan d''action'!$B$6:$Z$1113,19,FALSE),VLOOKUP($BS29,'État &amp; Plan d''action'!$B$6:$Z$1113,21,FALSE))/(VLOOKUP($BS29,'Données par municipalité'!$B$4:$L$1113,11,FALSE)),"")</f>
        <v/>
      </c>
      <c r="DG29" s="476" t="s">
        <v>4723</v>
      </c>
      <c r="DH29" s="484">
        <v>3</v>
      </c>
      <c r="DI29" s="484">
        <v>4</v>
      </c>
      <c r="DJ29" s="484">
        <v>4</v>
      </c>
      <c r="DK29" s="484">
        <v>1</v>
      </c>
      <c r="DL29" s="484" t="s">
        <v>1124</v>
      </c>
      <c r="DM29" s="484" t="s">
        <v>1124</v>
      </c>
      <c r="DN29" s="484" t="s">
        <v>1124</v>
      </c>
      <c r="DO29" s="484" t="s">
        <v>1124</v>
      </c>
      <c r="DP29" s="484" t="s">
        <v>1124</v>
      </c>
      <c r="DQ29" s="484" t="str">
        <f>IF(VLOOKUP($BS29,'État &amp; Plan d''action'!$B$6:$AJ$1113,28,FALSE)="","",VLOOKUP($BS29,'État &amp; Plan d''action'!$B$6:$AJ$1113,28,FALSE))</f>
        <v/>
      </c>
      <c r="DR29" s="70" t="str">
        <f>IF(VLOOKUP($BS29,'État &amp; Plan d''action'!$B$6:$AJ$1113,29,FALSE)="","",VLOOKUP($BS29,'État &amp; Plan d''action'!$B$6:$AJ$1113,29,FALSE))</f>
        <v/>
      </c>
      <c r="DS29" s="70" t="str">
        <f>IF(VLOOKUP($BS29,'État &amp; Plan d''action'!$B$6:$AJ$1113,30,FALSE)="","",VLOOKUP($BS29,'État &amp; Plan d''action'!$B$6:$AJ$1113,30,FALSE))</f>
        <v/>
      </c>
      <c r="DT29" s="70" t="s">
        <v>1124</v>
      </c>
      <c r="DU29" s="485" t="s">
        <v>1124</v>
      </c>
      <c r="DV29" s="485" t="s">
        <v>1124</v>
      </c>
      <c r="DW29" s="70" t="s">
        <v>1124</v>
      </c>
      <c r="DX29" s="70" t="s">
        <v>1124</v>
      </c>
      <c r="DY29" s="70" t="s">
        <v>1124</v>
      </c>
      <c r="DZ29" s="70" t="str">
        <f>VLOOKUP($BS29,'État &amp; Plan d''action'!$B$6:$AH$1113,31,FALSE)</f>
        <v/>
      </c>
      <c r="EA29" s="70" t="str">
        <f>VLOOKUP($BS29,'État &amp; Plan d''action'!$B$6:$AH$1113,32,FALSE)</f>
        <v/>
      </c>
      <c r="EB29" s="70" t="str">
        <f>VLOOKUP($BS29,'État &amp; Plan d''action'!$B$6:$AH$1113,33,FALSE)</f>
        <v/>
      </c>
      <c r="EC29" s="70" t="s">
        <v>1124</v>
      </c>
      <c r="ED29" s="70" t="s">
        <v>1124</v>
      </c>
      <c r="EE29" s="70" t="s">
        <v>1124</v>
      </c>
      <c r="EF29" s="70" t="s">
        <v>1124</v>
      </c>
      <c r="EG29" s="70" t="s">
        <v>1124</v>
      </c>
      <c r="EH29" s="72"/>
      <c r="EI29" s="72">
        <v>282</v>
      </c>
    </row>
    <row r="30" spans="1:139" s="413" customFormat="1" ht="45" customHeight="1" x14ac:dyDescent="0.65">
      <c r="A30" s="345"/>
      <c r="B30" s="343" t="s">
        <v>4718</v>
      </c>
      <c r="C30" s="343"/>
      <c r="D30" s="343"/>
      <c r="E30" s="343"/>
      <c r="F30" s="343"/>
      <c r="G30" s="343"/>
      <c r="H30" s="343"/>
      <c r="I30" s="343"/>
      <c r="J30" s="343"/>
      <c r="K30" s="343"/>
      <c r="L30" s="343"/>
      <c r="M30" s="343"/>
      <c r="N30" s="343"/>
      <c r="O30" s="346"/>
      <c r="P30" s="346"/>
      <c r="Q30" s="346"/>
      <c r="R30" s="346"/>
      <c r="S30" s="346"/>
      <c r="U30" s="357"/>
      <c r="V30" s="357"/>
      <c r="W30" s="425" t="str">
        <f>W20</f>
        <v>TOUT LE QUÉBEC</v>
      </c>
      <c r="X30" s="426" t="str">
        <f>IF(W20="tout le québec","",PROPER(W20))</f>
        <v/>
      </c>
      <c r="Y30" s="426" t="str">
        <f>IF(W20="Tout le Québec","","Région :
"&amp;VLOOKUP(VLOOKUP($W$20,$BT$8:$BU$1115,2,FALSE),$T$171:$V$187,3,FALSE))</f>
        <v/>
      </c>
      <c r="Z30" s="426" t="str">
        <f>IF(W20="TOUT LE QUÉBEC","","Classe de population :
"&amp;VLOOKUP($W$20,B199:N204,4,FALSE))</f>
        <v/>
      </c>
      <c r="AA30" s="426" t="s">
        <v>1155</v>
      </c>
      <c r="AB30" s="426" t="s">
        <v>1156</v>
      </c>
      <c r="AC30" s="497"/>
      <c r="AD30" s="413" t="str">
        <f>IF(NM="Tout le Québec","Objectif 2025 pour
l'ensemble du Québec : 50",IF(AF25="non","","Objectif 2019 pour
la municipalité : 50"))</f>
        <v>Objectif 2025 pour
l'ensemble du Québec : 50</v>
      </c>
      <c r="AE30" s="413" t="e">
        <f>AF30</f>
        <v>#N/A</v>
      </c>
      <c r="AF30" s="413" t="e">
        <f>AG30</f>
        <v>#N/A</v>
      </c>
      <c r="AG30" s="413" t="e">
        <f>IF(AF25="non","",50)</f>
        <v>#N/A</v>
      </c>
      <c r="BR30" s="70"/>
      <c r="BS30" s="487">
        <v>87100</v>
      </c>
      <c r="BT30" s="488" t="s">
        <v>906</v>
      </c>
      <c r="BU30" s="488">
        <v>8</v>
      </c>
      <c r="BV30" s="489" t="s">
        <v>1188</v>
      </c>
      <c r="BW30" s="489" t="s">
        <v>1188</v>
      </c>
      <c r="BX30" s="489" t="s">
        <v>1188</v>
      </c>
      <c r="BY30" s="489" t="s">
        <v>1188</v>
      </c>
      <c r="BZ30" s="489" t="s">
        <v>1188</v>
      </c>
      <c r="CA30" s="489" t="s">
        <v>1188</v>
      </c>
      <c r="CB30" s="489" t="s">
        <v>1188</v>
      </c>
      <c r="CC30" s="489" t="s">
        <v>1188</v>
      </c>
      <c r="CD30" s="489" t="s">
        <v>1188</v>
      </c>
      <c r="CE30" s="489" t="s">
        <v>1187</v>
      </c>
      <c r="CF30" s="489" t="s">
        <v>1187</v>
      </c>
      <c r="CG30" s="489" t="s">
        <v>1187</v>
      </c>
      <c r="CH30" s="489" t="s">
        <v>1187</v>
      </c>
      <c r="CI30" s="489" t="s">
        <v>1187</v>
      </c>
      <c r="CJ30" s="489" t="s">
        <v>1187</v>
      </c>
      <c r="CK30" s="489" t="s">
        <v>1187</v>
      </c>
      <c r="CL30" s="489" t="s">
        <v>1187</v>
      </c>
      <c r="CM30" s="489" t="str">
        <f>IF(VLOOKUP(BS30,'Données par municipalité'!$B$6:$E$1113,4,FALSE)="","non","oui")</f>
        <v>non</v>
      </c>
      <c r="CN30" s="490" t="s">
        <v>1124</v>
      </c>
      <c r="CO30" s="490" t="s">
        <v>1124</v>
      </c>
      <c r="CP30" s="490"/>
      <c r="CQ30" s="490"/>
      <c r="CR30" s="490"/>
      <c r="CS30" s="490" t="s">
        <v>1124</v>
      </c>
      <c r="CT30" s="490"/>
      <c r="CU30" s="490" t="s">
        <v>1124</v>
      </c>
      <c r="CV30" s="490" t="str">
        <f>IF(VLOOKUP(BS30,'Données par municipalité'!$B$6:$F$1113,4,FALSE)="","",VLOOKUP(BS30,'Données par municipalité'!$B$6:$F$1113,4,FALSE))</f>
        <v/>
      </c>
      <c r="CW30" s="489" t="s">
        <v>4723</v>
      </c>
      <c r="CX30" s="491" t="s">
        <v>1124</v>
      </c>
      <c r="CY30" s="491" t="s">
        <v>1124</v>
      </c>
      <c r="CZ30" s="491" t="s">
        <v>1124</v>
      </c>
      <c r="DA30" s="491" t="s">
        <v>1124</v>
      </c>
      <c r="DB30" s="491" t="s">
        <v>1124</v>
      </c>
      <c r="DC30" s="491" t="s">
        <v>1124</v>
      </c>
      <c r="DD30" s="491" t="s">
        <v>1124</v>
      </c>
      <c r="DE30" s="491" t="str">
        <f>IFERROR(SUM(VLOOKUP($BS30,'État &amp; Plan d''action'!$B$6:$Z$1113,18,FALSE),VLOOKUP($BS30,'État &amp; Plan d''action'!$B$6:$Z$1113,20,FALSE))/(VLOOKUP($BS30,'Données par municipalité'!$B$4:$L$1113,11,FALSE)),"")</f>
        <v/>
      </c>
      <c r="DF30" s="491" t="str">
        <f>IFERROR(SUM(VLOOKUP($BS30,'État &amp; Plan d''action'!$B$6:$Z$1113,19,FALSE),VLOOKUP($BS30,'État &amp; Plan d''action'!$B$6:$Z$1113,21,FALSE))/(VLOOKUP($BS30,'Données par municipalité'!$B$4:$L$1113,11,FALSE)),"")</f>
        <v/>
      </c>
      <c r="DG30" s="489" t="s">
        <v>4723</v>
      </c>
      <c r="DH30" s="492" t="s">
        <v>1124</v>
      </c>
      <c r="DI30" s="492" t="s">
        <v>1124</v>
      </c>
      <c r="DJ30" s="492">
        <v>0</v>
      </c>
      <c r="DK30" s="492">
        <v>0</v>
      </c>
      <c r="DL30" s="492" t="s">
        <v>1124</v>
      </c>
      <c r="DM30" s="492" t="s">
        <v>1124</v>
      </c>
      <c r="DN30" s="492" t="s">
        <v>1124</v>
      </c>
      <c r="DO30" s="492" t="s">
        <v>1124</v>
      </c>
      <c r="DP30" s="492" t="s">
        <v>1124</v>
      </c>
      <c r="DQ30" s="492" t="str">
        <f>IF(VLOOKUP($BS30,'État &amp; Plan d''action'!$B$6:$AJ$1113,28,FALSE)="","",VLOOKUP($BS30,'État &amp; Plan d''action'!$B$6:$AJ$1113,28,FALSE))</f>
        <v/>
      </c>
      <c r="DR30" s="413" t="str">
        <f>IF(VLOOKUP($BS30,'État &amp; Plan d''action'!$B$6:$AJ$1113,29,FALSE)="","",VLOOKUP($BS30,'État &amp; Plan d''action'!$B$6:$AJ$1113,29,FALSE))</f>
        <v/>
      </c>
      <c r="DS30" s="413" t="str">
        <f>IF(VLOOKUP($BS30,'État &amp; Plan d''action'!$B$6:$AJ$1113,30,FALSE)="","",VLOOKUP($BS30,'État &amp; Plan d''action'!$B$6:$AJ$1113,30,FALSE))</f>
        <v/>
      </c>
      <c r="DT30" s="413" t="s">
        <v>1124</v>
      </c>
      <c r="DU30" s="493" t="s">
        <v>1124</v>
      </c>
      <c r="DV30" s="493" t="s">
        <v>1124</v>
      </c>
      <c r="DW30" s="413" t="s">
        <v>1124</v>
      </c>
      <c r="DX30" s="413" t="s">
        <v>1124</v>
      </c>
      <c r="DY30" s="413" t="s">
        <v>1124</v>
      </c>
      <c r="DZ30" s="413" t="str">
        <f>VLOOKUP($BS30,'État &amp; Plan d''action'!$B$6:$AH$1113,31,FALSE)</f>
        <v/>
      </c>
      <c r="EA30" s="413" t="str">
        <f>VLOOKUP($BS30,'État &amp; Plan d''action'!$B$6:$AH$1113,32,FALSE)</f>
        <v/>
      </c>
      <c r="EB30" s="413" t="str">
        <f>VLOOKUP($BS30,'État &amp; Plan d''action'!$B$6:$AH$1113,33,FALSE)</f>
        <v/>
      </c>
      <c r="EC30" s="413" t="s">
        <v>1124</v>
      </c>
      <c r="ED30" s="413" t="s">
        <v>1124</v>
      </c>
      <c r="EE30" s="413" t="s">
        <v>1124</v>
      </c>
      <c r="EF30" s="413" t="s">
        <v>1124</v>
      </c>
      <c r="EG30" s="413" t="s">
        <v>1124</v>
      </c>
      <c r="EH30" s="494"/>
      <c r="EI30" s="72">
        <v>301</v>
      </c>
    </row>
    <row r="31" spans="1:139" ht="15.75" customHeight="1" x14ac:dyDescent="0.35">
      <c r="A31" s="542"/>
      <c r="B31" s="542"/>
      <c r="C31" s="542"/>
      <c r="D31" s="542"/>
      <c r="E31" s="542"/>
      <c r="F31" s="542"/>
      <c r="G31" s="542"/>
      <c r="H31" s="542"/>
      <c r="I31" s="542"/>
      <c r="J31" s="542"/>
      <c r="K31" s="542"/>
      <c r="L31" s="542"/>
      <c r="M31" s="542"/>
      <c r="N31" s="542"/>
      <c r="O31" s="542"/>
      <c r="P31" s="542"/>
      <c r="Q31" s="542"/>
      <c r="R31" s="542"/>
      <c r="S31" s="542"/>
      <c r="T31" s="542"/>
      <c r="W31" s="418" t="s">
        <v>1142</v>
      </c>
      <c r="X31" s="410" t="str">
        <f>IF($W$21="","",IF($AF$25="non","Non
disponible",IF(VLOOKUP($W$21,'Données par municipalité'!$B$6:$O$1113,4,FALSE)=0,"Non
disponible",VLOOKUP($W$21,'Données par municipalité'!$B$6:$O$1113,4,FALSE))))</f>
        <v/>
      </c>
      <c r="Y31" s="427" t="str">
        <f>IF($W$21="","",VLOOKUP(VLOOKUP($W$21,$BS$8:$BU$1115,3,FALSE),$T$171:$AM$187,20,FALSE))</f>
        <v/>
      </c>
      <c r="Z31" s="410" t="str">
        <f>IF($W$21="","",IF(VLOOKUP($W$21,'Données par municipalité'!B6:$K$1113,10,FALSE)&lt;1000,K199,IF(AND(VLOOKUP($W$21,'Données par municipalité'!B6:$K$1113,10,FALSE)&lt;5000,VLOOKUP($W$21,'Données par municipalité'!B6:$K$1113,10,FALSE)&gt;=1000),K200,IF(AND(VLOOKUP($W$21,'Données par municipalité'!B6:$K$1113,10,FALSE)&lt;10000,VLOOKUP($W$21,'Données par municipalité'!B6:$K$1113,10,FALSE)&gt;=5000),K201,IF(AND(VLOOKUP($W$21,'Données par municipalité'!B6:$K$1113,10,FALSE)&lt;50000,VLOOKUP($W$21,'Données par municipalité'!B6:$K$1113,10,FALSE)&gt;=10000),K202,IF(AND(VLOOKUP($W$21,'Données par municipalité'!B6:$K$1113,10,FALSE)&lt;100000,VLOOKUP($W$21,'Données par municipalité'!B6:$K$1113,10,FALSE)&gt;=50000),K203,IF(VLOOKUP($W$21,'Données par municipalité'!B6:$K$1113,10,FALSE)&gt;=100000,K204)))))))</f>
        <v/>
      </c>
      <c r="AA31" s="410">
        <f>AM188</f>
        <v>524.50800277549979</v>
      </c>
      <c r="AB31" s="476"/>
      <c r="BS31" s="486">
        <v>45035</v>
      </c>
      <c r="BT31" s="479" t="s">
        <v>414</v>
      </c>
      <c r="BU31" s="479">
        <v>5</v>
      </c>
      <c r="BV31" s="476" t="s">
        <v>1187</v>
      </c>
      <c r="BW31" s="476" t="s">
        <v>1187</v>
      </c>
      <c r="BX31" s="476" t="s">
        <v>1187</v>
      </c>
      <c r="BY31" s="476" t="s">
        <v>1187</v>
      </c>
      <c r="BZ31" s="476" t="s">
        <v>1187</v>
      </c>
      <c r="CA31" s="476" t="s">
        <v>1187</v>
      </c>
      <c r="CB31" s="476" t="s">
        <v>1187</v>
      </c>
      <c r="CC31" s="476" t="s">
        <v>1187</v>
      </c>
      <c r="CD31" s="476" t="s">
        <v>1187</v>
      </c>
      <c r="CE31" s="476" t="s">
        <v>1188</v>
      </c>
      <c r="CF31" s="476" t="s">
        <v>1188</v>
      </c>
      <c r="CG31" s="476" t="s">
        <v>1187</v>
      </c>
      <c r="CH31" s="476" t="s">
        <v>1188</v>
      </c>
      <c r="CI31" s="476" t="s">
        <v>1187</v>
      </c>
      <c r="CJ31" s="476" t="s">
        <v>1188</v>
      </c>
      <c r="CK31" s="476" t="s">
        <v>1188</v>
      </c>
      <c r="CL31" s="476" t="s">
        <v>1187</v>
      </c>
      <c r="CM31" s="476" t="str">
        <f>IF(VLOOKUP(BS31,'Données par municipalité'!$B$6:$E$1113,4,FALSE)="","non","oui")</f>
        <v>non</v>
      </c>
      <c r="CN31" s="410">
        <v>758.43169196457711</v>
      </c>
      <c r="CO31" s="410">
        <v>606.3585282485958</v>
      </c>
      <c r="CP31" s="410"/>
      <c r="CQ31" s="410">
        <v>392.86283356885497</v>
      </c>
      <c r="CR31" s="410"/>
      <c r="CS31" s="410">
        <v>544.8057006827006</v>
      </c>
      <c r="CT31" s="410">
        <v>582.04223245797687</v>
      </c>
      <c r="CU31" s="410" t="s">
        <v>1124</v>
      </c>
      <c r="CV31" s="410" t="str">
        <f>IF(VLOOKUP(BS31,'Données par municipalité'!$B$6:$F$1113,4,FALSE)="","",VLOOKUP(BS31,'Données par municipalité'!$B$6:$F$1113,4,FALSE))</f>
        <v/>
      </c>
      <c r="CW31" s="476" t="s">
        <v>4723</v>
      </c>
      <c r="CX31" s="483">
        <v>0</v>
      </c>
      <c r="CY31" s="483" t="s">
        <v>1124</v>
      </c>
      <c r="CZ31" s="483">
        <v>0.3</v>
      </c>
      <c r="DA31" s="483" t="s">
        <v>1124</v>
      </c>
      <c r="DB31" s="483">
        <v>0.3</v>
      </c>
      <c r="DC31" s="483">
        <v>0.3</v>
      </c>
      <c r="DD31" s="483" t="s">
        <v>1124</v>
      </c>
      <c r="DE31" s="483" t="str">
        <f>IFERROR(SUM(VLOOKUP($BS31,'État &amp; Plan d''action'!$B$6:$Z$1113,18,FALSE),VLOOKUP($BS31,'État &amp; Plan d''action'!$B$6:$Z$1113,20,FALSE))/(VLOOKUP($BS31,'Données par municipalité'!$B$4:$L$1113,11,FALSE)),"")</f>
        <v/>
      </c>
      <c r="DF31" s="483" t="str">
        <f>IFERROR(SUM(VLOOKUP($BS31,'État &amp; Plan d''action'!$B$6:$Z$1113,19,FALSE),VLOOKUP($BS31,'État &amp; Plan d''action'!$B$6:$Z$1113,21,FALSE))/(VLOOKUP($BS31,'Données par municipalité'!$B$4:$L$1113,11,FALSE)),"")</f>
        <v/>
      </c>
      <c r="DG31" s="476" t="s">
        <v>4723</v>
      </c>
      <c r="DH31" s="484">
        <v>0</v>
      </c>
      <c r="DI31" s="484" t="s">
        <v>1124</v>
      </c>
      <c r="DJ31" s="484">
        <v>0</v>
      </c>
      <c r="DK31" s="484">
        <v>0</v>
      </c>
      <c r="DL31" s="484">
        <v>0</v>
      </c>
      <c r="DM31" s="484">
        <v>0</v>
      </c>
      <c r="DN31" s="484" t="s">
        <v>1124</v>
      </c>
      <c r="DO31" s="484" t="s">
        <v>1124</v>
      </c>
      <c r="DP31" s="484" t="s">
        <v>1124</v>
      </c>
      <c r="DQ31" s="484" t="str">
        <f>IF(VLOOKUP($BS31,'État &amp; Plan d''action'!$B$6:$AJ$1113,28,FALSE)="","",VLOOKUP($BS31,'État &amp; Plan d''action'!$B$6:$AJ$1113,28,FALSE))</f>
        <v/>
      </c>
      <c r="DR31" s="70" t="str">
        <f>IF(VLOOKUP($BS31,'État &amp; Plan d''action'!$B$6:$AJ$1113,29,FALSE)="","",VLOOKUP($BS31,'État &amp; Plan d''action'!$B$6:$AJ$1113,29,FALSE))</f>
        <v/>
      </c>
      <c r="DS31" s="70" t="str">
        <f>IF(VLOOKUP($BS31,'État &amp; Plan d''action'!$B$6:$AJ$1113,30,FALSE)="","",VLOOKUP($BS31,'État &amp; Plan d''action'!$B$6:$AJ$1113,30,FALSE))</f>
        <v/>
      </c>
      <c r="DT31" s="70" t="s">
        <v>1124</v>
      </c>
      <c r="DU31" s="485" t="s">
        <v>1124</v>
      </c>
      <c r="DV31" s="485" t="s">
        <v>1124</v>
      </c>
      <c r="DW31" s="70" t="s">
        <v>1124</v>
      </c>
      <c r="DX31" s="70" t="s">
        <v>1124</v>
      </c>
      <c r="DY31" s="70" t="s">
        <v>1124</v>
      </c>
      <c r="DZ31" s="70" t="str">
        <f>VLOOKUP($BS31,'État &amp; Plan d''action'!$B$6:$AH$1113,31,FALSE)</f>
        <v/>
      </c>
      <c r="EA31" s="70" t="str">
        <f>VLOOKUP($BS31,'État &amp; Plan d''action'!$B$6:$AH$1113,32,FALSE)</f>
        <v/>
      </c>
      <c r="EB31" s="70" t="str">
        <f>VLOOKUP($BS31,'État &amp; Plan d''action'!$B$6:$AH$1113,33,FALSE)</f>
        <v/>
      </c>
      <c r="EC31" s="70" t="s">
        <v>1124</v>
      </c>
      <c r="ED31" s="70" t="s">
        <v>1124</v>
      </c>
      <c r="EE31" s="70" t="s">
        <v>1124</v>
      </c>
      <c r="EF31" s="70" t="s">
        <v>1124</v>
      </c>
      <c r="EG31" s="70" t="s">
        <v>1124</v>
      </c>
      <c r="EH31" s="72"/>
      <c r="EI31" s="72">
        <v>1125</v>
      </c>
    </row>
    <row r="32" spans="1:139" ht="15.75" customHeight="1" x14ac:dyDescent="0.35">
      <c r="A32" s="1"/>
      <c r="B32"/>
      <c r="C32"/>
      <c r="D32"/>
      <c r="E32"/>
      <c r="F32"/>
      <c r="G32"/>
      <c r="H32"/>
      <c r="I32"/>
      <c r="J32"/>
      <c r="K32"/>
      <c r="L32"/>
      <c r="M32"/>
      <c r="N32"/>
      <c r="O32" s="70"/>
      <c r="P32" s="70"/>
      <c r="Q32" s="70"/>
      <c r="R32" s="70"/>
      <c r="S32" s="95"/>
      <c r="T32" s="70"/>
      <c r="W32" s="421" t="str">
        <f>IF(NM="Tout le Québec","Objectif 2025 pour
l'ensemble du Québec : 458","")</f>
        <v>Objectif 2025 pour
l'ensemble du Québec : 458</v>
      </c>
      <c r="X32" s="476">
        <f>IF(NM="Tout le Québec",458,"")</f>
        <v>458</v>
      </c>
      <c r="Y32" s="476">
        <f>IF(NM="Tout le Québec",458,"")</f>
        <v>458</v>
      </c>
      <c r="Z32" s="476">
        <f>IF(NM="Tout le Québec",458,"")</f>
        <v>458</v>
      </c>
      <c r="AA32" s="476">
        <f>IF(NM="Tout le Québec",458,"")</f>
        <v>458</v>
      </c>
      <c r="AB32" s="476">
        <f>IF(NM="Tout le Québec",458,"")</f>
        <v>458</v>
      </c>
      <c r="BS32" s="486">
        <v>96020</v>
      </c>
      <c r="BT32" s="479" t="s">
        <v>997</v>
      </c>
      <c r="BU32" s="479">
        <v>9</v>
      </c>
      <c r="BV32" s="476" t="s">
        <v>1187</v>
      </c>
      <c r="BW32" s="476" t="s">
        <v>1187</v>
      </c>
      <c r="BX32" s="476" t="s">
        <v>1187</v>
      </c>
      <c r="BY32" s="476" t="s">
        <v>1187</v>
      </c>
      <c r="BZ32" s="476" t="s">
        <v>1187</v>
      </c>
      <c r="CA32" s="476" t="s">
        <v>1187</v>
      </c>
      <c r="CB32" s="476" t="s">
        <v>1187</v>
      </c>
      <c r="CC32" s="476" t="s">
        <v>1187</v>
      </c>
      <c r="CD32" s="476" t="s">
        <v>1187</v>
      </c>
      <c r="CE32" s="476" t="s">
        <v>1188</v>
      </c>
      <c r="CF32" s="476" t="s">
        <v>1188</v>
      </c>
      <c r="CG32" s="476" t="s">
        <v>1188</v>
      </c>
      <c r="CH32" s="476" t="s">
        <v>1187</v>
      </c>
      <c r="CI32" s="476" t="s">
        <v>1188</v>
      </c>
      <c r="CJ32" s="476" t="s">
        <v>1188</v>
      </c>
      <c r="CK32" s="476" t="s">
        <v>1188</v>
      </c>
      <c r="CL32" s="476" t="s">
        <v>1188</v>
      </c>
      <c r="CM32" s="476" t="str">
        <f>IF(VLOOKUP(BS32,'Données par municipalité'!$B$6:$E$1113,4,FALSE)="","non","oui")</f>
        <v>oui</v>
      </c>
      <c r="CN32" s="410">
        <v>620.2515619008235</v>
      </c>
      <c r="CO32" s="410">
        <v>606.48760722907969</v>
      </c>
      <c r="CP32" s="410">
        <v>450.97641340891334</v>
      </c>
      <c r="CQ32" s="410"/>
      <c r="CR32" s="410">
        <v>487.88035676292412</v>
      </c>
      <c r="CS32" s="410">
        <v>484.41741105106303</v>
      </c>
      <c r="CT32" s="410">
        <v>533.01769117804656</v>
      </c>
      <c r="CU32" s="410">
        <v>472</v>
      </c>
      <c r="CV32" s="410">
        <f>IF(VLOOKUP(BS32,'Données par municipalité'!$B$6:$F$1113,4,FALSE)="","",VLOOKUP(BS32,'Données par municipalité'!$B$6:$F$1113,4,FALSE))</f>
        <v>498</v>
      </c>
      <c r="CW32" s="476" t="s">
        <v>4723</v>
      </c>
      <c r="CX32" s="483">
        <v>0.25</v>
      </c>
      <c r="CY32" s="483">
        <v>1</v>
      </c>
      <c r="CZ32" s="483" t="s">
        <v>1124</v>
      </c>
      <c r="DA32" s="483">
        <v>0.25</v>
      </c>
      <c r="DB32" s="483">
        <v>0.64</v>
      </c>
      <c r="DC32" s="483">
        <v>1</v>
      </c>
      <c r="DD32" s="483">
        <v>1</v>
      </c>
      <c r="DE32" s="483">
        <f>IFERROR(SUM(VLOOKUP($BS32,'État &amp; Plan d''action'!$B$6:$Z$1113,18,FALSE),VLOOKUP($BS32,'État &amp; Plan d''action'!$B$6:$Z$1113,20,FALSE))/(VLOOKUP($BS32,'Données par municipalité'!$B$4:$L$1113,11,FALSE)),"")</f>
        <v>2.02732460557234</v>
      </c>
      <c r="DF32" s="483">
        <f>IFERROR(SUM(VLOOKUP($BS32,'État &amp; Plan d''action'!$B$6:$Z$1113,19,FALSE),VLOOKUP($BS32,'État &amp; Plan d''action'!$B$6:$Z$1113,21,FALSE))/(VLOOKUP($BS32,'Données par municipalité'!$B$4:$L$1113,11,FALSE)),"")</f>
        <v>2.02732460557234</v>
      </c>
      <c r="DG32" s="476" t="s">
        <v>4723</v>
      </c>
      <c r="DH32" s="484">
        <v>0</v>
      </c>
      <c r="DI32" s="484" t="s">
        <v>1124</v>
      </c>
      <c r="DJ32" s="484">
        <v>0</v>
      </c>
      <c r="DK32" s="484">
        <v>0</v>
      </c>
      <c r="DL32" s="484">
        <v>19</v>
      </c>
      <c r="DM32" s="484">
        <v>14</v>
      </c>
      <c r="DN32" s="484">
        <v>12</v>
      </c>
      <c r="DO32" s="484">
        <v>28</v>
      </c>
      <c r="DP32" s="484">
        <v>5</v>
      </c>
      <c r="DQ32" s="484">
        <f>IF(VLOOKUP($BS32,'État &amp; Plan d''action'!$B$6:$AJ$1113,28,FALSE)="","",VLOOKUP($BS32,'État &amp; Plan d''action'!$B$6:$AJ$1113,28,FALSE))</f>
        <v>13</v>
      </c>
      <c r="DR32" s="70">
        <f>IF(VLOOKUP($BS32,'État &amp; Plan d''action'!$B$6:$AJ$1113,29,FALSE)="","",VLOOKUP($BS32,'État &amp; Plan d''action'!$B$6:$AJ$1113,29,FALSE))</f>
        <v>72</v>
      </c>
      <c r="DS32" s="70">
        <f>IF(VLOOKUP($BS32,'État &amp; Plan d''action'!$B$6:$AJ$1113,30,FALSE)="","",VLOOKUP($BS32,'État &amp; Plan d''action'!$B$6:$AJ$1113,30,FALSE))</f>
        <v>5</v>
      </c>
      <c r="DT32" s="70">
        <v>334</v>
      </c>
      <c r="DU32" s="485">
        <v>3.9123168154793162</v>
      </c>
      <c r="DV32" s="485">
        <v>8.6556409264456171</v>
      </c>
      <c r="DW32" s="70">
        <v>3</v>
      </c>
      <c r="DX32" s="70">
        <v>5</v>
      </c>
      <c r="DY32" s="70">
        <v>15</v>
      </c>
      <c r="DZ32" s="70">
        <f>VLOOKUP($BS32,'État &amp; Plan d''action'!$B$6:$AH$1113,31,FALSE)</f>
        <v>2</v>
      </c>
      <c r="EA32" s="70">
        <f>VLOOKUP($BS32,'État &amp; Plan d''action'!$B$6:$AH$1113,32,FALSE)</f>
        <v>3</v>
      </c>
      <c r="EB32" s="70">
        <f>VLOOKUP($BS32,'État &amp; Plan d''action'!$B$6:$AH$1113,33,FALSE)</f>
        <v>5</v>
      </c>
      <c r="EC32" s="70">
        <v>0</v>
      </c>
      <c r="ED32" s="70">
        <v>150.98500000000001</v>
      </c>
      <c r="EE32" s="70">
        <v>0</v>
      </c>
      <c r="EF32" s="70">
        <v>0</v>
      </c>
      <c r="EG32" s="70">
        <v>0</v>
      </c>
      <c r="EH32" s="72">
        <v>32.555846662989524</v>
      </c>
      <c r="EI32" s="72">
        <v>21260</v>
      </c>
    </row>
    <row r="33" spans="1:139" ht="15.75" customHeight="1" x14ac:dyDescent="0.35">
      <c r="A33" s="1"/>
      <c r="B33"/>
      <c r="C33"/>
      <c r="D33"/>
      <c r="E33" s="3"/>
      <c r="F33"/>
      <c r="G33"/>
      <c r="H33"/>
      <c r="I33"/>
      <c r="J33"/>
      <c r="K33"/>
      <c r="L33"/>
      <c r="M33"/>
      <c r="N33"/>
      <c r="O33" s="70"/>
      <c r="P33" s="70"/>
      <c r="Q33" s="70"/>
      <c r="R33" s="70"/>
      <c r="S33" s="95"/>
      <c r="T33" s="70"/>
      <c r="W33" s="418" t="s">
        <v>1152</v>
      </c>
      <c r="X33" s="410" t="str">
        <f>IF($W$21="","",IF($AF$25="non","Non
disponible",IF(VLOOKUP($W$21,'Données par municipalité'!$B$6:$O$1113,5,FALSE)=0,"Non
disponible",VLOOKUP($W$21,'Données par municipalité'!$B$6:$O$1113,5,FALSE))))</f>
        <v/>
      </c>
      <c r="Y33" s="410" t="str">
        <f>IF($W$21="","",VLOOKUP(VLOOKUP(VLOOKUP($W$20,$BT$8:$BU$1115,2,FALSE),$T$171:$V$187,3,FALSE),$E$171:$AH$188,30,FALSE))</f>
        <v/>
      </c>
      <c r="Z33" s="410" t="str">
        <f>IF($W$21="","",IF(VLOOKUP($W$20,$B$199:$AH$205,33,FALSE)=0,"Non
disponible",VLOOKUP($W$20,$B$199:$AH$205,33,FALSE)))</f>
        <v/>
      </c>
      <c r="AA33" s="410">
        <f>AH188</f>
        <v>262.03759569882743</v>
      </c>
      <c r="AB33" s="410"/>
      <c r="BS33" s="486">
        <v>8080</v>
      </c>
      <c r="BT33" s="479" t="s">
        <v>1096</v>
      </c>
      <c r="BU33" s="479">
        <v>1</v>
      </c>
      <c r="BV33" s="476" t="s">
        <v>1187</v>
      </c>
      <c r="BW33" s="476" t="s">
        <v>1187</v>
      </c>
      <c r="BX33" s="476" t="s">
        <v>1187</v>
      </c>
      <c r="BY33" s="476" t="s">
        <v>1187</v>
      </c>
      <c r="BZ33" s="476" t="s">
        <v>1187</v>
      </c>
      <c r="CA33" s="476" t="s">
        <v>1187</v>
      </c>
      <c r="CB33" s="476" t="s">
        <v>1187</v>
      </c>
      <c r="CC33" s="476" t="s">
        <v>1187</v>
      </c>
      <c r="CD33" s="476" t="s">
        <v>1187</v>
      </c>
      <c r="CE33" s="476" t="s">
        <v>1188</v>
      </c>
      <c r="CF33" s="476" t="s">
        <v>1188</v>
      </c>
      <c r="CG33" s="476" t="s">
        <v>1187</v>
      </c>
      <c r="CH33" s="476" t="s">
        <v>1188</v>
      </c>
      <c r="CI33" s="476" t="s">
        <v>1187</v>
      </c>
      <c r="CJ33" s="476" t="s">
        <v>1188</v>
      </c>
      <c r="CK33" s="476" t="s">
        <v>1188</v>
      </c>
      <c r="CL33" s="476" t="s">
        <v>1188</v>
      </c>
      <c r="CM33" s="476" t="str">
        <f>IF(VLOOKUP(BS33,'Données par municipalité'!$B$6:$E$1113,4,FALSE)="","non","oui")</f>
        <v>oui</v>
      </c>
      <c r="CN33" s="410">
        <v>312.39235844307251</v>
      </c>
      <c r="CO33" s="410">
        <v>380.62315562819015</v>
      </c>
      <c r="CP33" s="410"/>
      <c r="CQ33" s="410">
        <v>256.66675570972325</v>
      </c>
      <c r="CR33" s="410"/>
      <c r="CS33" s="410">
        <v>165.40588986763515</v>
      </c>
      <c r="CT33" s="410">
        <v>159.32948891382068</v>
      </c>
      <c r="CU33" s="410">
        <v>186</v>
      </c>
      <c r="CV33" s="410">
        <f>IF(VLOOKUP(BS33,'Données par municipalité'!$B$6:$F$1113,4,FALSE)="","",VLOOKUP(BS33,'Données par municipalité'!$B$6:$F$1113,4,FALSE))</f>
        <v>184</v>
      </c>
      <c r="CW33" s="476" t="s">
        <v>4723</v>
      </c>
      <c r="CX33" s="483">
        <v>0</v>
      </c>
      <c r="CY33" s="483" t="s">
        <v>1124</v>
      </c>
      <c r="CZ33" s="483">
        <v>0</v>
      </c>
      <c r="DA33" s="483" t="s">
        <v>1124</v>
      </c>
      <c r="DB33" s="483">
        <v>0</v>
      </c>
      <c r="DC33" s="483">
        <v>0</v>
      </c>
      <c r="DD33" s="483" t="s">
        <v>1124</v>
      </c>
      <c r="DE33" s="483">
        <f>IFERROR(SUM(VLOOKUP($BS33,'État &amp; Plan d''action'!$B$6:$Z$1113,18,FALSE),VLOOKUP($BS33,'État &amp; Plan d''action'!$B$6:$Z$1113,20,FALSE))/(VLOOKUP($BS33,'Données par municipalité'!$B$4:$L$1113,11,FALSE)),"")</f>
        <v>0</v>
      </c>
      <c r="DF33" s="483">
        <f>IFERROR(SUM(VLOOKUP($BS33,'État &amp; Plan d''action'!$B$6:$Z$1113,19,FALSE),VLOOKUP($BS33,'État &amp; Plan d''action'!$B$6:$Z$1113,21,FALSE))/(VLOOKUP($BS33,'Données par municipalité'!$B$4:$L$1113,11,FALSE)),"")</f>
        <v>0</v>
      </c>
      <c r="DG33" s="476" t="s">
        <v>4723</v>
      </c>
      <c r="DH33" s="484">
        <v>1</v>
      </c>
      <c r="DI33" s="484" t="s">
        <v>1124</v>
      </c>
      <c r="DJ33" s="484">
        <v>2</v>
      </c>
      <c r="DK33" s="484">
        <v>0</v>
      </c>
      <c r="DL33" s="484">
        <v>0</v>
      </c>
      <c r="DM33" s="484">
        <v>0</v>
      </c>
      <c r="DN33" s="484">
        <v>0</v>
      </c>
      <c r="DO33" s="484">
        <v>0</v>
      </c>
      <c r="DP33" s="484">
        <v>0</v>
      </c>
      <c r="DQ33" s="484">
        <f>IF(VLOOKUP($BS33,'État &amp; Plan d''action'!$B$6:$AJ$1113,28,FALSE)="","",VLOOKUP($BS33,'État &amp; Plan d''action'!$B$6:$AJ$1113,28,FALSE))</f>
        <v>0</v>
      </c>
      <c r="DR33" s="70">
        <f>IF(VLOOKUP($BS33,'État &amp; Plan d''action'!$B$6:$AJ$1113,29,FALSE)="","",VLOOKUP($BS33,'État &amp; Plan d''action'!$B$6:$AJ$1113,29,FALSE))</f>
        <v>0</v>
      </c>
      <c r="DS33" s="70">
        <f>IF(VLOOKUP($BS33,'État &amp; Plan d''action'!$B$6:$AJ$1113,30,FALSE)="","",VLOOKUP($BS33,'État &amp; Plan d''action'!$B$6:$AJ$1113,30,FALSE))</f>
        <v>0</v>
      </c>
      <c r="DT33" s="70">
        <v>150</v>
      </c>
      <c r="DU33" s="485">
        <v>0.5931752239285385</v>
      </c>
      <c r="DV33" s="485">
        <v>0.67443517506250905</v>
      </c>
      <c r="DW33" s="70">
        <v>0</v>
      </c>
      <c r="DX33" s="70">
        <v>0</v>
      </c>
      <c r="DY33" s="70">
        <v>0</v>
      </c>
      <c r="DZ33" s="70">
        <f>VLOOKUP($BS33,'État &amp; Plan d''action'!$B$6:$AH$1113,31,FALSE)</f>
        <v>0</v>
      </c>
      <c r="EA33" s="70">
        <f>VLOOKUP($BS33,'État &amp; Plan d''action'!$B$6:$AH$1113,32,FALSE)</f>
        <v>0</v>
      </c>
      <c r="EB33" s="70">
        <f>VLOOKUP($BS33,'État &amp; Plan d''action'!$B$6:$AH$1113,33,FALSE)</f>
        <v>0</v>
      </c>
      <c r="EC33" s="70">
        <v>0</v>
      </c>
      <c r="ED33" s="70">
        <v>0</v>
      </c>
      <c r="EE33" s="70">
        <v>0</v>
      </c>
      <c r="EF33" s="70">
        <v>0</v>
      </c>
      <c r="EG33" s="70">
        <v>0</v>
      </c>
      <c r="EH33" s="72">
        <v>55</v>
      </c>
      <c r="EI33" s="72">
        <v>614</v>
      </c>
    </row>
    <row r="34" spans="1:139" ht="15.75" customHeight="1" x14ac:dyDescent="0.35">
      <c r="A34" s="1"/>
      <c r="B34"/>
      <c r="C34"/>
      <c r="D34"/>
      <c r="E34" s="545"/>
      <c r="F34" s="545"/>
      <c r="G34"/>
      <c r="H34"/>
      <c r="I34"/>
      <c r="J34"/>
      <c r="K34"/>
      <c r="L34"/>
      <c r="M34"/>
      <c r="N34"/>
      <c r="O34" s="70"/>
      <c r="P34" s="70"/>
      <c r="Q34" s="70"/>
      <c r="R34" s="70"/>
      <c r="S34" s="95"/>
      <c r="T34" s="70"/>
      <c r="W34" s="418" t="s">
        <v>1227</v>
      </c>
      <c r="X34" s="428" t="str">
        <f>IF($W$21="","",IF($AE$25="non","Non
disponible",IF(VLOOKUP($W$21,$BS$8:$DV$1115,56,FALSE)=0,"Non
disponible",VLOOKUP($W$21,$BS$8:$DV$1115,56,FALSE))))</f>
        <v/>
      </c>
      <c r="Y34" s="428" t="str">
        <f>IF($W$21="","",VLOOKUP(VLOOKUP(VLOOKUP($W$20,$BT$8:$BU$1115,2,FALSE),$T$171:$V$187,3,FALSE),$E$171:$AI$188,31,FALSE))</f>
        <v/>
      </c>
      <c r="Z34" s="428" t="str">
        <f>IF($W$21="","",IF(VLOOKUP($W$20,$B$199:$AI$205,34,FALSE)=0,"Non
disponible",VLOOKUP($W$20,$B$199:$AI$205,34,FALSE)))</f>
        <v/>
      </c>
      <c r="AA34" s="428">
        <f>AI188</f>
        <v>6.59226315459658</v>
      </c>
      <c r="AB34" s="410"/>
      <c r="BS34" s="486">
        <v>50100</v>
      </c>
      <c r="BT34" s="479" t="s">
        <v>495</v>
      </c>
      <c r="BU34" s="479">
        <v>17</v>
      </c>
      <c r="BV34" s="476" t="s">
        <v>1187</v>
      </c>
      <c r="BW34" s="476" t="s">
        <v>1187</v>
      </c>
      <c r="BX34" s="476" t="s">
        <v>1187</v>
      </c>
      <c r="BY34" s="476" t="s">
        <v>1187</v>
      </c>
      <c r="BZ34" s="476" t="s">
        <v>1187</v>
      </c>
      <c r="CA34" s="476" t="s">
        <v>1187</v>
      </c>
      <c r="CB34" s="476" t="s">
        <v>1187</v>
      </c>
      <c r="CC34" s="476" t="s">
        <v>1187</v>
      </c>
      <c r="CD34" s="476" t="s">
        <v>1187</v>
      </c>
      <c r="CE34" s="476" t="s">
        <v>1188</v>
      </c>
      <c r="CF34" s="476" t="s">
        <v>1188</v>
      </c>
      <c r="CG34" s="476" t="s">
        <v>1188</v>
      </c>
      <c r="CH34" s="476" t="s">
        <v>1188</v>
      </c>
      <c r="CI34" s="476" t="s">
        <v>1188</v>
      </c>
      <c r="CJ34" s="476" t="s">
        <v>1188</v>
      </c>
      <c r="CK34" s="476" t="s">
        <v>1188</v>
      </c>
      <c r="CL34" s="476" t="s">
        <v>1188</v>
      </c>
      <c r="CM34" s="476" t="str">
        <f>IF(VLOOKUP(BS34,'Données par municipalité'!$B$6:$E$1113,4,FALSE)="","non","oui")</f>
        <v>oui</v>
      </c>
      <c r="CN34" s="410">
        <v>451.08515876522949</v>
      </c>
      <c r="CO34" s="410">
        <v>471.328467456054</v>
      </c>
      <c r="CP34" s="410">
        <v>510.09543625745494</v>
      </c>
      <c r="CQ34" s="410">
        <v>466.25904984744579</v>
      </c>
      <c r="CR34" s="410">
        <v>419.96112146222879</v>
      </c>
      <c r="CS34" s="410">
        <v>436.96307175874347</v>
      </c>
      <c r="CT34" s="410">
        <v>438.29668229031</v>
      </c>
      <c r="CU34" s="410">
        <v>556</v>
      </c>
      <c r="CV34" s="410">
        <f>IF(VLOOKUP(BS34,'Données par municipalité'!$B$6:$F$1113,4,FALSE)="","",VLOOKUP(BS34,'Données par municipalité'!$B$6:$F$1113,4,FALSE))</f>
        <v>581</v>
      </c>
      <c r="CW34" s="476" t="s">
        <v>4723</v>
      </c>
      <c r="CX34" s="483">
        <v>0.5</v>
      </c>
      <c r="CY34" s="483">
        <v>0.5</v>
      </c>
      <c r="CZ34" s="483">
        <v>0.5</v>
      </c>
      <c r="DA34" s="483">
        <v>0.5</v>
      </c>
      <c r="DB34" s="483">
        <v>1</v>
      </c>
      <c r="DC34" s="483">
        <v>1</v>
      </c>
      <c r="DD34" s="483">
        <v>1</v>
      </c>
      <c r="DE34" s="483">
        <f>IFERROR(SUM(VLOOKUP($BS34,'État &amp; Plan d''action'!$B$6:$Z$1113,18,FALSE),VLOOKUP($BS34,'État &amp; Plan d''action'!$B$6:$Z$1113,20,FALSE))/(VLOOKUP($BS34,'Données par municipalité'!$B$4:$L$1113,11,FALSE)),"")</f>
        <v>2.0264536267922333</v>
      </c>
      <c r="DF34" s="483">
        <f>IFERROR(SUM(VLOOKUP($BS34,'État &amp; Plan d''action'!$B$6:$Z$1113,19,FALSE),VLOOKUP($BS34,'État &amp; Plan d''action'!$B$6:$Z$1113,21,FALSE))/(VLOOKUP($BS34,'Données par municipalité'!$B$4:$L$1113,11,FALSE)),"")</f>
        <v>2.0264536267922333</v>
      </c>
      <c r="DG34" s="476" t="s">
        <v>4723</v>
      </c>
      <c r="DH34" s="484">
        <v>1</v>
      </c>
      <c r="DI34" s="484">
        <v>1</v>
      </c>
      <c r="DJ34" s="484">
        <v>0</v>
      </c>
      <c r="DK34" s="484">
        <v>0</v>
      </c>
      <c r="DL34" s="484">
        <v>0</v>
      </c>
      <c r="DM34" s="484">
        <v>1</v>
      </c>
      <c r="DN34" s="484">
        <v>2</v>
      </c>
      <c r="DO34" s="484">
        <v>1</v>
      </c>
      <c r="DP34" s="484">
        <v>0</v>
      </c>
      <c r="DQ34" s="484">
        <f>IF(VLOOKUP($BS34,'État &amp; Plan d''action'!$B$6:$AJ$1113,28,FALSE)="","",VLOOKUP($BS34,'État &amp; Plan d''action'!$B$6:$AJ$1113,28,FALSE))</f>
        <v>0</v>
      </c>
      <c r="DR34" s="70">
        <f>IF(VLOOKUP($BS34,'État &amp; Plan d''action'!$B$6:$AJ$1113,29,FALSE)="","",VLOOKUP($BS34,'État &amp; Plan d''action'!$B$6:$AJ$1113,29,FALSE))</f>
        <v>0</v>
      </c>
      <c r="DS34" s="70">
        <f>IF(VLOOKUP($BS34,'État &amp; Plan d''action'!$B$6:$AJ$1113,30,FALSE)="","",VLOOKUP($BS34,'État &amp; Plan d''action'!$B$6:$AJ$1113,30,FALSE))</f>
        <v>7</v>
      </c>
      <c r="DT34" s="70">
        <v>262</v>
      </c>
      <c r="DU34" s="485">
        <v>3.2074013271213833</v>
      </c>
      <c r="DV34" s="485">
        <v>1.431825831937201</v>
      </c>
      <c r="DW34" s="70">
        <v>2</v>
      </c>
      <c r="DX34" s="70">
        <v>2</v>
      </c>
      <c r="DY34" s="70">
        <v>0</v>
      </c>
      <c r="DZ34" s="70">
        <f>VLOOKUP($BS34,'État &amp; Plan d''action'!$B$6:$AH$1113,31,FALSE)</f>
        <v>0</v>
      </c>
      <c r="EA34" s="70">
        <f>VLOOKUP($BS34,'État &amp; Plan d''action'!$B$6:$AH$1113,32,FALSE)</f>
        <v>0</v>
      </c>
      <c r="EB34" s="70">
        <f>VLOOKUP($BS34,'État &amp; Plan d''action'!$B$6:$AH$1113,33,FALSE)</f>
        <v>2</v>
      </c>
      <c r="EC34" s="70">
        <v>0</v>
      </c>
      <c r="ED34" s="70">
        <v>0</v>
      </c>
      <c r="EE34" s="70">
        <v>37.802</v>
      </c>
      <c r="EF34" s="70">
        <v>0</v>
      </c>
      <c r="EG34" s="70">
        <v>0</v>
      </c>
      <c r="EH34" s="72">
        <v>61</v>
      </c>
      <c r="EI34" s="72">
        <v>960</v>
      </c>
    </row>
    <row r="35" spans="1:139" ht="15.75" customHeight="1" x14ac:dyDescent="0.35">
      <c r="A35" s="1"/>
      <c r="B35"/>
      <c r="C35"/>
      <c r="D35"/>
      <c r="E35"/>
      <c r="F35"/>
      <c r="G35"/>
      <c r="H35"/>
      <c r="I35"/>
      <c r="J35"/>
      <c r="K35"/>
      <c r="L35"/>
      <c r="M35"/>
      <c r="N35"/>
      <c r="O35" s="70"/>
      <c r="P35" s="70"/>
      <c r="Q35" s="70"/>
      <c r="R35" s="70"/>
      <c r="S35" s="95"/>
      <c r="T35" s="70"/>
      <c r="W35" s="418" t="s">
        <v>1115</v>
      </c>
      <c r="X35" s="429" t="str">
        <f>IF($W$21="","",IF($AF$25="non","Non
disponible",IF(VLOOKUP($W$21,'Données par municipalité'!$B$6:$S$1113,18,FALSE)=0,"Non
disponible",VLOOKUP($W$21,'Données par municipalité'!$B$6:$S$1113,18,FALSE))))</f>
        <v/>
      </c>
      <c r="Y35" s="429" t="str">
        <f>IF($W$21="","",VLOOKUP(VLOOKUP(VLOOKUP($W$20,$BT$8:$BU$1115,2,FALSE),$T$171:$V$187,3,FALSE),$E$171:$AK$188,33,FALSE))</f>
        <v/>
      </c>
      <c r="Z35" s="429" t="str">
        <f>IF($W$21="","",IF(VLOOKUP($W$20,$B$199:$AK$205,36,FALSE)=0,"Non
disponible",VLOOKUP($W$20,$B$199:$AK$205,36,FALSE)))</f>
        <v/>
      </c>
      <c r="AA35" s="429">
        <f>AK188</f>
        <v>57.723499076943824</v>
      </c>
      <c r="AB35" s="498"/>
      <c r="BS35" s="486">
        <v>66112</v>
      </c>
      <c r="BT35" s="479" t="s">
        <v>659</v>
      </c>
      <c r="BU35" s="479">
        <v>6</v>
      </c>
      <c r="BV35" s="476" t="s">
        <v>1187</v>
      </c>
      <c r="BW35" s="476" t="s">
        <v>1187</v>
      </c>
      <c r="BX35" s="476" t="s">
        <v>1187</v>
      </c>
      <c r="BY35" s="476" t="s">
        <v>1187</v>
      </c>
      <c r="BZ35" s="476" t="s">
        <v>1187</v>
      </c>
      <c r="CA35" s="476" t="s">
        <v>1187</v>
      </c>
      <c r="CB35" s="476" t="s">
        <v>1187</v>
      </c>
      <c r="CC35" s="476" t="s">
        <v>1187</v>
      </c>
      <c r="CD35" s="476" t="s">
        <v>1187</v>
      </c>
      <c r="CE35" s="476" t="s">
        <v>1188</v>
      </c>
      <c r="CF35" s="476" t="s">
        <v>1188</v>
      </c>
      <c r="CG35" s="476" t="s">
        <v>1187</v>
      </c>
      <c r="CH35" s="476" t="s">
        <v>1188</v>
      </c>
      <c r="CI35" s="476" t="s">
        <v>1188</v>
      </c>
      <c r="CJ35" s="476" t="s">
        <v>1188</v>
      </c>
      <c r="CK35" s="476" t="s">
        <v>1188</v>
      </c>
      <c r="CL35" s="476" t="s">
        <v>1188</v>
      </c>
      <c r="CM35" s="476" t="str">
        <f>IF(VLOOKUP(BS35,'Données par municipalité'!$B$6:$E$1113,4,FALSE)="","non","oui")</f>
        <v>oui</v>
      </c>
      <c r="CN35" s="410">
        <v>838.70584839667799</v>
      </c>
      <c r="CO35" s="410">
        <v>806.61065445312659</v>
      </c>
      <c r="CP35" s="410"/>
      <c r="CQ35" s="410">
        <v>892</v>
      </c>
      <c r="CR35" s="410">
        <v>532.16007024645103</v>
      </c>
      <c r="CS35" s="410">
        <v>572</v>
      </c>
      <c r="CT35" s="410">
        <v>600.33500239023624</v>
      </c>
      <c r="CU35" s="410">
        <v>1042</v>
      </c>
      <c r="CV35" s="410">
        <f>IF(VLOOKUP(BS35,'Données par municipalité'!$B$6:$F$1113,4,FALSE)="","",VLOOKUP(BS35,'Données par municipalité'!$B$6:$F$1113,4,FALSE))</f>
        <v>941</v>
      </c>
      <c r="CW35" s="476" t="s">
        <v>4723</v>
      </c>
      <c r="CX35" s="483">
        <v>0</v>
      </c>
      <c r="CY35" s="483" t="s">
        <v>1124</v>
      </c>
      <c r="CZ35" s="483">
        <v>2</v>
      </c>
      <c r="DA35" s="483">
        <v>2</v>
      </c>
      <c r="DB35" s="483">
        <v>2</v>
      </c>
      <c r="DC35" s="483">
        <v>1</v>
      </c>
      <c r="DD35" s="483">
        <v>0</v>
      </c>
      <c r="DE35" s="483">
        <f>IFERROR(SUM(VLOOKUP($BS35,'État &amp; Plan d''action'!$B$6:$Z$1113,18,FALSE),VLOOKUP($BS35,'État &amp; Plan d''action'!$B$6:$Z$1113,20,FALSE))/(VLOOKUP($BS35,'Données par municipalité'!$B$4:$L$1113,11,FALSE)),"")</f>
        <v>1.0000000000000002</v>
      </c>
      <c r="DF35" s="483">
        <f>IFERROR(SUM(VLOOKUP($BS35,'État &amp; Plan d''action'!$B$6:$Z$1113,19,FALSE),VLOOKUP($BS35,'État &amp; Plan d''action'!$B$6:$Z$1113,21,FALSE))/(VLOOKUP($BS35,'Données par municipalité'!$B$4:$L$1113,11,FALSE)),"")</f>
        <v>1.0000000000000002</v>
      </c>
      <c r="DG35" s="476" t="s">
        <v>4723</v>
      </c>
      <c r="DH35" s="484" t="s">
        <v>1124</v>
      </c>
      <c r="DI35" s="484" t="s">
        <v>1124</v>
      </c>
      <c r="DJ35" s="484">
        <v>2</v>
      </c>
      <c r="DK35" s="484">
        <v>2</v>
      </c>
      <c r="DL35" s="484">
        <v>3</v>
      </c>
      <c r="DM35" s="484">
        <v>0</v>
      </c>
      <c r="DN35" s="484">
        <v>0</v>
      </c>
      <c r="DO35" s="484">
        <v>0</v>
      </c>
      <c r="DP35" s="484">
        <v>0</v>
      </c>
      <c r="DQ35" s="484">
        <f>IF(VLOOKUP($BS35,'État &amp; Plan d''action'!$B$6:$AJ$1113,28,FALSE)="","",VLOOKUP($BS35,'État &amp; Plan d''action'!$B$6:$AJ$1113,28,FALSE))</f>
        <v>1</v>
      </c>
      <c r="DR35" s="70">
        <f>IF(VLOOKUP($BS35,'État &amp; Plan d''action'!$B$6:$AJ$1113,29,FALSE)="","",VLOOKUP($BS35,'État &amp; Plan d''action'!$B$6:$AJ$1113,29,FALSE))</f>
        <v>0</v>
      </c>
      <c r="DS35" s="70">
        <f>IF(VLOOKUP($BS35,'État &amp; Plan d''action'!$B$6:$AJ$1113,30,FALSE)="","",VLOOKUP($BS35,'État &amp; Plan d''action'!$B$6:$AJ$1113,30,FALSE))</f>
        <v>0</v>
      </c>
      <c r="DT35" s="70">
        <v>286</v>
      </c>
      <c r="DU35" s="485">
        <v>0.80515749312484031</v>
      </c>
      <c r="DV35" s="485">
        <v>4.2572131011415015</v>
      </c>
      <c r="DW35" s="70">
        <v>0</v>
      </c>
      <c r="DX35" s="70">
        <v>0</v>
      </c>
      <c r="DY35" s="70">
        <v>0</v>
      </c>
      <c r="DZ35" s="70">
        <f>VLOOKUP($BS35,'État &amp; Plan d''action'!$B$6:$AH$1113,31,FALSE)</f>
        <v>1</v>
      </c>
      <c r="EA35" s="70">
        <f>VLOOKUP($BS35,'État &amp; Plan d''action'!$B$6:$AH$1113,32,FALSE)</f>
        <v>0</v>
      </c>
      <c r="EB35" s="70">
        <f>VLOOKUP($BS35,'État &amp; Plan d''action'!$B$6:$AH$1113,33,FALSE)</f>
        <v>0</v>
      </c>
      <c r="EC35" s="70">
        <v>47.136000000000003</v>
      </c>
      <c r="ED35" s="70">
        <v>0</v>
      </c>
      <c r="EE35" s="70">
        <v>0</v>
      </c>
      <c r="EF35" s="70">
        <v>0</v>
      </c>
      <c r="EG35" s="70">
        <v>0</v>
      </c>
      <c r="EH35" s="72">
        <v>57</v>
      </c>
      <c r="EI35" s="72">
        <v>3907</v>
      </c>
    </row>
    <row r="36" spans="1:139" ht="15.75" customHeight="1" x14ac:dyDescent="0.35">
      <c r="A36" s="1"/>
      <c r="B36"/>
      <c r="C36"/>
      <c r="D36"/>
      <c r="E36"/>
      <c r="F36"/>
      <c r="G36"/>
      <c r="H36"/>
      <c r="I36"/>
      <c r="J36"/>
      <c r="K36"/>
      <c r="L36"/>
      <c r="M36"/>
      <c r="N36"/>
      <c r="O36" s="70"/>
      <c r="P36" s="70"/>
      <c r="Q36" s="70"/>
      <c r="R36" s="70"/>
      <c r="S36" s="95"/>
      <c r="T36" s="70"/>
      <c r="W36" s="430" t="e">
        <f>#REF!</f>
        <v>#REF!</v>
      </c>
      <c r="X36" s="414" t="str">
        <f>IF($W$21="","ND",IF($AE$25="non","ND",IF(VLOOKUP($W$21,$BS$8:$DS$1115,35,FALSE)="","ND",VLOOKUP($W$21,$BS$8:$DS$1115,35,FALSE))))</f>
        <v>ND</v>
      </c>
      <c r="Y36" s="414" t="str">
        <f>IF($W$21="","ND",VLOOKUP(VLOOKUP($W$21,$BS$8:$BU$1115,3,FALSE),$T$171:$AM$187,14,FALSE))</f>
        <v>ND</v>
      </c>
      <c r="Z36" s="414" t="str">
        <f>IF($W$21="","ND",IF(VLOOKUP($W$20,$B$199:$AH$205,32,FALSE)=0,"ND",VLOOKUP($W$20,$B$199:$AH$205,32,FALSE)))</f>
        <v>ND</v>
      </c>
      <c r="AA36" s="414">
        <f>DD7</f>
        <v>0.88070615733702451</v>
      </c>
      <c r="AB36" s="476"/>
      <c r="BS36" s="486">
        <v>98035</v>
      </c>
      <c r="BT36" s="479" t="s">
        <v>1014</v>
      </c>
      <c r="BU36" s="479">
        <v>9</v>
      </c>
      <c r="BV36" s="476" t="s">
        <v>1187</v>
      </c>
      <c r="BW36" s="476" t="s">
        <v>1187</v>
      </c>
      <c r="BX36" s="476" t="s">
        <v>1187</v>
      </c>
      <c r="BY36" s="476" t="s">
        <v>1187</v>
      </c>
      <c r="BZ36" s="476" t="s">
        <v>1187</v>
      </c>
      <c r="CA36" s="476" t="s">
        <v>1187</v>
      </c>
      <c r="CB36" s="476" t="s">
        <v>1187</v>
      </c>
      <c r="CC36" s="476" t="s">
        <v>1187</v>
      </c>
      <c r="CD36" s="476" t="s">
        <v>1187</v>
      </c>
      <c r="CE36" s="476" t="s">
        <v>1188</v>
      </c>
      <c r="CF36" s="476" t="s">
        <v>1188</v>
      </c>
      <c r="CG36" s="476" t="s">
        <v>1187</v>
      </c>
      <c r="CH36" s="476" t="s">
        <v>1187</v>
      </c>
      <c r="CI36" s="476" t="s">
        <v>1188</v>
      </c>
      <c r="CJ36" s="476" t="s">
        <v>1187</v>
      </c>
      <c r="CK36" s="476" t="s">
        <v>1188</v>
      </c>
      <c r="CL36" s="476" t="s">
        <v>1188</v>
      </c>
      <c r="CM36" s="476" t="str">
        <f>IF(VLOOKUP(BS36,'Données par municipalité'!$B$6:$E$1113,4,FALSE)="","non","oui")</f>
        <v>oui</v>
      </c>
      <c r="CN36" s="410">
        <v>1431.2884184576278</v>
      </c>
      <c r="CO36" s="410">
        <v>1346.8242026094249</v>
      </c>
      <c r="CP36" s="410"/>
      <c r="CQ36" s="410"/>
      <c r="CR36" s="410">
        <v>923.60999194198234</v>
      </c>
      <c r="CS36" s="410" t="s">
        <v>1124</v>
      </c>
      <c r="CT36" s="410">
        <v>827.37810135070413</v>
      </c>
      <c r="CU36" s="410">
        <v>957</v>
      </c>
      <c r="CV36" s="410">
        <f>IF(VLOOKUP(BS36,'Données par municipalité'!$B$6:$F$1113,4,FALSE)="","",VLOOKUP(BS36,'Données par municipalité'!$B$6:$F$1113,4,FALSE))</f>
        <v>721</v>
      </c>
      <c r="CW36" s="476" t="s">
        <v>4723</v>
      </c>
      <c r="CX36" s="483">
        <v>0</v>
      </c>
      <c r="CY36" s="483" t="s">
        <v>1124</v>
      </c>
      <c r="CZ36" s="483" t="s">
        <v>1124</v>
      </c>
      <c r="DA36" s="483">
        <v>1</v>
      </c>
      <c r="DB36" s="483" t="s">
        <v>1124</v>
      </c>
      <c r="DC36" s="483">
        <v>0</v>
      </c>
      <c r="DD36" s="483">
        <v>0</v>
      </c>
      <c r="DE36" s="483">
        <f>IFERROR(SUM(VLOOKUP($BS36,'État &amp; Plan d''action'!$B$6:$Z$1113,18,FALSE),VLOOKUP($BS36,'État &amp; Plan d''action'!$B$6:$Z$1113,20,FALSE))/(VLOOKUP($BS36,'Données par municipalité'!$B$4:$L$1113,11,FALSE)),"")</f>
        <v>0</v>
      </c>
      <c r="DF36" s="483">
        <f>IFERROR(SUM(VLOOKUP($BS36,'État &amp; Plan d''action'!$B$6:$Z$1113,19,FALSE),VLOOKUP($BS36,'État &amp; Plan d''action'!$B$6:$Z$1113,21,FALSE))/(VLOOKUP($BS36,'Données par municipalité'!$B$4:$L$1113,11,FALSE)),"")</f>
        <v>0</v>
      </c>
      <c r="DG36" s="476" t="s">
        <v>4723</v>
      </c>
      <c r="DH36" s="484">
        <v>1</v>
      </c>
      <c r="DI36" s="484" t="s">
        <v>1124</v>
      </c>
      <c r="DJ36" s="484">
        <v>0</v>
      </c>
      <c r="DK36" s="484">
        <v>0</v>
      </c>
      <c r="DL36" s="484" t="s">
        <v>1124</v>
      </c>
      <c r="DM36" s="484">
        <v>1</v>
      </c>
      <c r="DN36" s="484">
        <v>2</v>
      </c>
      <c r="DO36" s="484">
        <v>0</v>
      </c>
      <c r="DP36" s="484">
        <v>0</v>
      </c>
      <c r="DQ36" s="484">
        <f>IF(VLOOKUP($BS36,'État &amp; Plan d''action'!$B$6:$AJ$1113,28,FALSE)="","",VLOOKUP($BS36,'État &amp; Plan d''action'!$B$6:$AJ$1113,28,FALSE))</f>
        <v>1</v>
      </c>
      <c r="DR36" s="70">
        <f>IF(VLOOKUP($BS36,'État &amp; Plan d''action'!$B$6:$AJ$1113,29,FALSE)="","",VLOOKUP($BS36,'État &amp; Plan d''action'!$B$6:$AJ$1113,29,FALSE))</f>
        <v>0</v>
      </c>
      <c r="DS36" s="70">
        <f>IF(VLOOKUP($BS36,'État &amp; Plan d''action'!$B$6:$AJ$1113,30,FALSE)="","",VLOOKUP($BS36,'État &amp; Plan d''action'!$B$6:$AJ$1113,30,FALSE))</f>
        <v>0</v>
      </c>
      <c r="DT36" s="70">
        <v>293</v>
      </c>
      <c r="DU36" s="485">
        <v>1.4781265037316946</v>
      </c>
      <c r="DV36" s="485">
        <v>1.2512601553697444</v>
      </c>
      <c r="DW36" s="70">
        <v>2</v>
      </c>
      <c r="DX36" s="70">
        <v>0</v>
      </c>
      <c r="DY36" s="70">
        <v>0</v>
      </c>
      <c r="DZ36" s="70">
        <f>VLOOKUP($BS36,'État &amp; Plan d''action'!$B$6:$AH$1113,31,FALSE)</f>
        <v>2</v>
      </c>
      <c r="EA36" s="70">
        <f>VLOOKUP($BS36,'État &amp; Plan d''action'!$B$6:$AH$1113,32,FALSE)</f>
        <v>0</v>
      </c>
      <c r="EB36" s="70">
        <f>VLOOKUP($BS36,'État &amp; Plan d''action'!$B$6:$AH$1113,33,FALSE)</f>
        <v>0</v>
      </c>
      <c r="EC36" s="70">
        <v>0</v>
      </c>
      <c r="ED36" s="70">
        <v>0</v>
      </c>
      <c r="EE36" s="70">
        <v>0</v>
      </c>
      <c r="EF36" s="70">
        <v>0</v>
      </c>
      <c r="EG36" s="70">
        <v>0</v>
      </c>
      <c r="EH36" s="72">
        <v>45</v>
      </c>
      <c r="EI36" s="72">
        <v>85</v>
      </c>
    </row>
    <row r="37" spans="1:139" ht="15.75" customHeight="1" x14ac:dyDescent="0.35">
      <c r="A37" s="1"/>
      <c r="B37"/>
      <c r="C37"/>
      <c r="D37"/>
      <c r="E37" s="546"/>
      <c r="F37" s="546"/>
      <c r="G37"/>
      <c r="H37"/>
      <c r="I37"/>
      <c r="J37"/>
      <c r="K37"/>
      <c r="L37"/>
      <c r="M37"/>
      <c r="N37"/>
      <c r="O37" s="70"/>
      <c r="P37" s="70"/>
      <c r="Q37" s="70"/>
      <c r="R37" s="70"/>
      <c r="S37" s="95"/>
      <c r="T37" s="70"/>
      <c r="W37" s="430" t="e">
        <f>#REF!</f>
        <v>#REF!</v>
      </c>
      <c r="X37" s="476" t="str">
        <f>IF($W$21="","ND",IF($AE$25="non","ND",IF(SUM(VLOOKUP($W$21,$BS$8:$DS$1115,44,FALSE),VLOOKUP($W$21,$BS$8:$DS$1115,45,FALSE),VLOOKUP($W$21,$BS$8:$DS$1115,46,FALSE))="","ND",SUM(VLOOKUP($W$21,$BS$8:$DS$1115,44,FALSE),VLOOKUP($W$21,$BS$8:$DS$1115,45,FALSE),VLOOKUP($W$21,$BS$8:$DS$1115,46,FALSE)))))</f>
        <v>ND</v>
      </c>
      <c r="Y37" s="476" t="str">
        <f>IF($W$21="","ND",VLOOKUP(VLOOKUP($W$21,$BS$8:$BU$1115,3,FALSE),$T$171:$AM$187,13,FALSE))</f>
        <v>ND</v>
      </c>
      <c r="Z37" s="476" t="str">
        <f>IF($W$21="","ND",IF(VLOOKUP($W$20,$B$199:$AH$205,31,FALSE)=0,"ND",VLOOKUP($W$20,$B$199:$AH$205,31,FALSE)))</f>
        <v>ND</v>
      </c>
      <c r="AA37" s="410">
        <f>AF188</f>
        <v>9214</v>
      </c>
      <c r="BS37" s="486">
        <v>15065</v>
      </c>
      <c r="BT37" s="479" t="s">
        <v>83</v>
      </c>
      <c r="BU37" s="479">
        <v>3</v>
      </c>
      <c r="BV37" s="476" t="s">
        <v>1187</v>
      </c>
      <c r="BW37" s="476" t="s">
        <v>1187</v>
      </c>
      <c r="BX37" s="476" t="s">
        <v>1187</v>
      </c>
      <c r="BY37" s="476" t="s">
        <v>1187</v>
      </c>
      <c r="BZ37" s="476" t="s">
        <v>1187</v>
      </c>
      <c r="CA37" s="476" t="s">
        <v>1187</v>
      </c>
      <c r="CB37" s="476" t="s">
        <v>1187</v>
      </c>
      <c r="CC37" s="476" t="s">
        <v>1187</v>
      </c>
      <c r="CD37" s="476" t="s">
        <v>1187</v>
      </c>
      <c r="CE37" s="476" t="s">
        <v>1188</v>
      </c>
      <c r="CF37" s="476" t="s">
        <v>1188</v>
      </c>
      <c r="CG37" s="476" t="s">
        <v>1187</v>
      </c>
      <c r="CH37" s="476" t="s">
        <v>1187</v>
      </c>
      <c r="CI37" s="476" t="s">
        <v>1188</v>
      </c>
      <c r="CJ37" s="476" t="s">
        <v>1188</v>
      </c>
      <c r="CK37" s="476" t="s">
        <v>1188</v>
      </c>
      <c r="CL37" s="476" t="s">
        <v>1188</v>
      </c>
      <c r="CM37" s="476" t="str">
        <f>IF(VLOOKUP(BS37,'Données par municipalité'!$B$6:$E$1113,4,FALSE)="","non","oui")</f>
        <v>oui</v>
      </c>
      <c r="CN37" s="410">
        <v>1653.4401224167541</v>
      </c>
      <c r="CO37" s="410">
        <v>1383.3565746134052</v>
      </c>
      <c r="CP37" s="410"/>
      <c r="CQ37" s="410"/>
      <c r="CR37" s="410">
        <v>854.24419189379466</v>
      </c>
      <c r="CS37" s="410">
        <v>653.14210896149393</v>
      </c>
      <c r="CT37" s="410">
        <v>574.0933505433652</v>
      </c>
      <c r="CU37" s="410">
        <v>622</v>
      </c>
      <c r="CV37" s="410">
        <f>IF(VLOOKUP(BS37,'Données par municipalité'!$B$6:$F$1113,4,FALSE)="","",VLOOKUP(BS37,'Données par municipalité'!$B$6:$F$1113,4,FALSE))</f>
        <v>589</v>
      </c>
      <c r="CW37" s="476" t="s">
        <v>4723</v>
      </c>
      <c r="CX37" s="483">
        <v>1</v>
      </c>
      <c r="CY37" s="483" t="s">
        <v>1124</v>
      </c>
      <c r="CZ37" s="483" t="s">
        <v>1124</v>
      </c>
      <c r="DA37" s="483">
        <v>0</v>
      </c>
      <c r="DB37" s="483">
        <v>0</v>
      </c>
      <c r="DC37" s="483">
        <v>0</v>
      </c>
      <c r="DD37" s="483">
        <v>0</v>
      </c>
      <c r="DE37" s="483">
        <f>IFERROR(SUM(VLOOKUP($BS37,'État &amp; Plan d''action'!$B$6:$Z$1113,18,FALSE),VLOOKUP($BS37,'État &amp; Plan d''action'!$B$6:$Z$1113,20,FALSE))/(VLOOKUP($BS37,'Données par municipalité'!$B$4:$L$1113,11,FALSE)),"")</f>
        <v>0</v>
      </c>
      <c r="DF37" s="483">
        <f>IFERROR(SUM(VLOOKUP($BS37,'État &amp; Plan d''action'!$B$6:$Z$1113,19,FALSE),VLOOKUP($BS37,'État &amp; Plan d''action'!$B$6:$Z$1113,21,FALSE))/(VLOOKUP($BS37,'Données par municipalité'!$B$4:$L$1113,11,FALSE)),"")</f>
        <v>0</v>
      </c>
      <c r="DG37" s="476" t="s">
        <v>4723</v>
      </c>
      <c r="DH37" s="484">
        <v>4</v>
      </c>
      <c r="DI37" s="484" t="s">
        <v>1124</v>
      </c>
      <c r="DJ37" s="484">
        <v>0</v>
      </c>
      <c r="DK37" s="484">
        <v>1</v>
      </c>
      <c r="DL37" s="484">
        <v>0</v>
      </c>
      <c r="DM37" s="484">
        <v>0</v>
      </c>
      <c r="DN37" s="484">
        <v>3</v>
      </c>
      <c r="DO37" s="484">
        <v>0</v>
      </c>
      <c r="DP37" s="484">
        <v>0</v>
      </c>
      <c r="DQ37" s="484">
        <f>IF(VLOOKUP($BS37,'État &amp; Plan d''action'!$B$6:$AJ$1113,28,FALSE)="","",VLOOKUP($BS37,'État &amp; Plan d''action'!$B$6:$AJ$1113,28,FALSE))</f>
        <v>1</v>
      </c>
      <c r="DR37" s="70">
        <f>IF(VLOOKUP($BS37,'État &amp; Plan d''action'!$B$6:$AJ$1113,29,FALSE)="","",VLOOKUP($BS37,'État &amp; Plan d''action'!$B$6:$AJ$1113,29,FALSE))</f>
        <v>0</v>
      </c>
      <c r="DS37" s="70">
        <f>IF(VLOOKUP($BS37,'État &amp; Plan d''action'!$B$6:$AJ$1113,30,FALSE)="","",VLOOKUP($BS37,'État &amp; Plan d''action'!$B$6:$AJ$1113,30,FALSE))</f>
        <v>0</v>
      </c>
      <c r="DT37" s="70">
        <v>235</v>
      </c>
      <c r="DU37" s="485">
        <v>1.2783800583811378</v>
      </c>
      <c r="DV37" s="485">
        <v>2.5583653630005969</v>
      </c>
      <c r="DW37" s="70">
        <v>2</v>
      </c>
      <c r="DX37" s="70">
        <v>0</v>
      </c>
      <c r="DY37" s="70">
        <v>0</v>
      </c>
      <c r="DZ37" s="70">
        <f>VLOOKUP($BS37,'État &amp; Plan d''action'!$B$6:$AH$1113,31,FALSE)</f>
        <v>1</v>
      </c>
      <c r="EA37" s="70">
        <f>VLOOKUP($BS37,'État &amp; Plan d''action'!$B$6:$AH$1113,32,FALSE)</f>
        <v>0</v>
      </c>
      <c r="EB37" s="70">
        <f>VLOOKUP($BS37,'État &amp; Plan d''action'!$B$6:$AH$1113,33,FALSE)</f>
        <v>0</v>
      </c>
      <c r="EC37" s="70">
        <v>6.5960000000000001</v>
      </c>
      <c r="ED37" s="70">
        <v>0</v>
      </c>
      <c r="EE37" s="70">
        <v>0</v>
      </c>
      <c r="EF37" s="70">
        <v>0</v>
      </c>
      <c r="EG37" s="70">
        <v>0</v>
      </c>
      <c r="EH37" s="72">
        <v>44</v>
      </c>
      <c r="EI37" s="72">
        <v>205</v>
      </c>
    </row>
    <row r="38" spans="1:139" ht="15.75" customHeight="1" x14ac:dyDescent="0.35">
      <c r="A38" s="1"/>
      <c r="B38"/>
      <c r="C38"/>
      <c r="D38"/>
      <c r="E38"/>
      <c r="F38"/>
      <c r="G38"/>
      <c r="H38"/>
      <c r="I38"/>
      <c r="J38"/>
      <c r="K38"/>
      <c r="L38"/>
      <c r="M38"/>
      <c r="N38"/>
      <c r="O38" s="70"/>
      <c r="P38" s="70"/>
      <c r="Q38" s="70"/>
      <c r="R38" s="70"/>
      <c r="S38" s="95"/>
      <c r="T38" s="70"/>
      <c r="W38" s="431" t="s">
        <v>1192</v>
      </c>
      <c r="X38" s="432">
        <v>0</v>
      </c>
      <c r="Y38" s="432">
        <v>0</v>
      </c>
      <c r="Z38" s="432">
        <v>0</v>
      </c>
      <c r="AA38" s="432">
        <v>0</v>
      </c>
      <c r="BS38" s="486">
        <v>16013</v>
      </c>
      <c r="BT38" s="479" t="s">
        <v>85</v>
      </c>
      <c r="BU38" s="479">
        <v>3</v>
      </c>
      <c r="BV38" s="476" t="s">
        <v>1187</v>
      </c>
      <c r="BW38" s="476" t="s">
        <v>1187</v>
      </c>
      <c r="BX38" s="476" t="s">
        <v>1187</v>
      </c>
      <c r="BY38" s="476" t="s">
        <v>1187</v>
      </c>
      <c r="BZ38" s="476" t="s">
        <v>1187</v>
      </c>
      <c r="CA38" s="476" t="s">
        <v>1187</v>
      </c>
      <c r="CB38" s="476" t="s">
        <v>1187</v>
      </c>
      <c r="CC38" s="476" t="s">
        <v>1187</v>
      </c>
      <c r="CD38" s="476" t="s">
        <v>1187</v>
      </c>
      <c r="CE38" s="476" t="s">
        <v>1188</v>
      </c>
      <c r="CF38" s="476" t="s">
        <v>1188</v>
      </c>
      <c r="CG38" s="476" t="s">
        <v>1187</v>
      </c>
      <c r="CH38" s="476" t="s">
        <v>1188</v>
      </c>
      <c r="CI38" s="476" t="s">
        <v>1188</v>
      </c>
      <c r="CJ38" s="476" t="s">
        <v>1188</v>
      </c>
      <c r="CK38" s="476" t="s">
        <v>1188</v>
      </c>
      <c r="CL38" s="476" t="s">
        <v>1188</v>
      </c>
      <c r="CM38" s="476" t="str">
        <f>IF(VLOOKUP(BS38,'Données par municipalité'!$B$6:$E$1113,4,FALSE)="","non","oui")</f>
        <v>oui</v>
      </c>
      <c r="CN38" s="410">
        <v>509.64334871188493</v>
      </c>
      <c r="CO38" s="410">
        <v>473.18114748829555</v>
      </c>
      <c r="CP38" s="410"/>
      <c r="CQ38" s="410">
        <v>477.516395171466</v>
      </c>
      <c r="CR38" s="410">
        <v>527.836541910297</v>
      </c>
      <c r="CS38" s="410">
        <v>569.23906703217438</v>
      </c>
      <c r="CT38" s="410">
        <v>572.83751030008807</v>
      </c>
      <c r="CU38" s="410">
        <v>598</v>
      </c>
      <c r="CV38" s="410">
        <f>IF(VLOOKUP(BS38,'Données par municipalité'!$B$6:$F$1113,4,FALSE)="","",VLOOKUP(BS38,'Données par municipalité'!$B$6:$F$1113,4,FALSE))</f>
        <v>567</v>
      </c>
      <c r="CW38" s="476" t="s">
        <v>4723</v>
      </c>
      <c r="CX38" s="483">
        <v>0</v>
      </c>
      <c r="CY38" s="483" t="s">
        <v>1124</v>
      </c>
      <c r="CZ38" s="483">
        <v>0.05</v>
      </c>
      <c r="DA38" s="483">
        <v>1</v>
      </c>
      <c r="DB38" s="483">
        <v>0.75</v>
      </c>
      <c r="DC38" s="483">
        <v>0.25</v>
      </c>
      <c r="DD38" s="483">
        <v>0</v>
      </c>
      <c r="DE38" s="483">
        <f>IFERROR(SUM(VLOOKUP($BS38,'État &amp; Plan d''action'!$B$6:$Z$1113,18,FALSE),VLOOKUP($BS38,'État &amp; Plan d''action'!$B$6:$Z$1113,20,FALSE))/(VLOOKUP($BS38,'Données par municipalité'!$B$4:$L$1113,11,FALSE)),"")</f>
        <v>0.22391293045181193</v>
      </c>
      <c r="DF38" s="483">
        <f>IFERROR(SUM(VLOOKUP($BS38,'État &amp; Plan d''action'!$B$6:$Z$1113,19,FALSE),VLOOKUP($BS38,'État &amp; Plan d''action'!$B$6:$Z$1113,21,FALSE))/(VLOOKUP($BS38,'Données par municipalité'!$B$4:$L$1113,11,FALSE)),"")</f>
        <v>0.97091904819673835</v>
      </c>
      <c r="DG38" s="476" t="s">
        <v>4723</v>
      </c>
      <c r="DH38" s="484">
        <v>6</v>
      </c>
      <c r="DI38" s="484" t="s">
        <v>1124</v>
      </c>
      <c r="DJ38" s="484">
        <v>2</v>
      </c>
      <c r="DK38" s="484">
        <v>2</v>
      </c>
      <c r="DL38" s="484">
        <v>1</v>
      </c>
      <c r="DM38" s="484">
        <v>2</v>
      </c>
      <c r="DN38" s="484">
        <v>5</v>
      </c>
      <c r="DO38" s="484">
        <v>0</v>
      </c>
      <c r="DP38" s="484">
        <v>0</v>
      </c>
      <c r="DQ38" s="484">
        <f>IF(VLOOKUP($BS38,'État &amp; Plan d''action'!$B$6:$AJ$1113,28,FALSE)="","",VLOOKUP($BS38,'État &amp; Plan d''action'!$B$6:$AJ$1113,28,FALSE))</f>
        <v>2</v>
      </c>
      <c r="DR38" s="70">
        <f>IF(VLOOKUP($BS38,'État &amp; Plan d''action'!$B$6:$AJ$1113,29,FALSE)="","",VLOOKUP($BS38,'État &amp; Plan d''action'!$B$6:$AJ$1113,29,FALSE))</f>
        <v>5</v>
      </c>
      <c r="DS38" s="70">
        <f>IF(VLOOKUP($BS38,'État &amp; Plan d''action'!$B$6:$AJ$1113,30,FALSE)="","",VLOOKUP($BS38,'État &amp; Plan d''action'!$B$6:$AJ$1113,30,FALSE))</f>
        <v>1</v>
      </c>
      <c r="DT38" s="70">
        <v>411</v>
      </c>
      <c r="DU38" s="485">
        <v>1.233263377683592</v>
      </c>
      <c r="DV38" s="485">
        <v>3.9513867162109948</v>
      </c>
      <c r="DW38" s="70">
        <v>1</v>
      </c>
      <c r="DX38" s="70">
        <v>0</v>
      </c>
      <c r="DY38" s="70">
        <v>0</v>
      </c>
      <c r="DZ38" s="70">
        <f>VLOOKUP($BS38,'État &amp; Plan d''action'!$B$6:$AH$1113,31,FALSE)</f>
        <v>1</v>
      </c>
      <c r="EA38" s="70">
        <f>VLOOKUP($BS38,'État &amp; Plan d''action'!$B$6:$AH$1113,32,FALSE)</f>
        <v>1</v>
      </c>
      <c r="EB38" s="70">
        <f>VLOOKUP($BS38,'État &amp; Plan d''action'!$B$6:$AH$1113,33,FALSE)</f>
        <v>1</v>
      </c>
      <c r="EC38" s="70">
        <v>1.6779999999999999</v>
      </c>
      <c r="ED38" s="70">
        <v>0</v>
      </c>
      <c r="EE38" s="70">
        <v>0</v>
      </c>
      <c r="EF38" s="70">
        <v>0</v>
      </c>
      <c r="EG38" s="70">
        <v>0</v>
      </c>
      <c r="EH38" s="72">
        <v>56.692982456140349</v>
      </c>
      <c r="EI38" s="72">
        <v>7207</v>
      </c>
    </row>
    <row r="39" spans="1:139" ht="15.75" customHeight="1" x14ac:dyDescent="0.35">
      <c r="A39" s="1"/>
      <c r="B39"/>
      <c r="C39"/>
      <c r="D39"/>
      <c r="E39" s="3"/>
      <c r="F39"/>
      <c r="G39"/>
      <c r="H39"/>
      <c r="I39"/>
      <c r="J39"/>
      <c r="K39"/>
      <c r="L39"/>
      <c r="M39"/>
      <c r="N39"/>
      <c r="O39" s="70"/>
      <c r="P39" s="70"/>
      <c r="Q39" s="70"/>
      <c r="R39" s="70"/>
      <c r="S39" s="95"/>
      <c r="T39" s="70"/>
      <c r="W39" s="431" t="s">
        <v>1193</v>
      </c>
      <c r="X39" s="432">
        <v>0</v>
      </c>
      <c r="Y39" s="432">
        <v>0</v>
      </c>
      <c r="Z39" s="432">
        <v>0</v>
      </c>
      <c r="AA39" s="432">
        <v>0</v>
      </c>
      <c r="AB39" s="476"/>
      <c r="AC39" s="476"/>
      <c r="AD39" s="476"/>
      <c r="AE39" s="476"/>
      <c r="AF39" s="476"/>
      <c r="AG39" s="476"/>
      <c r="AH39" s="476"/>
      <c r="AI39" s="476"/>
      <c r="AJ39" s="476"/>
      <c r="AK39" s="476"/>
      <c r="AL39" s="476"/>
      <c r="BS39" s="486">
        <v>96005</v>
      </c>
      <c r="BT39" s="479" t="s">
        <v>994</v>
      </c>
      <c r="BU39" s="479">
        <v>9</v>
      </c>
      <c r="BV39" s="476" t="s">
        <v>1187</v>
      </c>
      <c r="BW39" s="476" t="s">
        <v>1187</v>
      </c>
      <c r="BX39" s="476" t="s">
        <v>1187</v>
      </c>
      <c r="BY39" s="476" t="s">
        <v>1187</v>
      </c>
      <c r="BZ39" s="476" t="s">
        <v>1187</v>
      </c>
      <c r="CA39" s="476" t="s">
        <v>1187</v>
      </c>
      <c r="CB39" s="476" t="s">
        <v>1187</v>
      </c>
      <c r="CC39" s="476" t="s">
        <v>1187</v>
      </c>
      <c r="CD39" s="476" t="s">
        <v>1187</v>
      </c>
      <c r="CE39" s="476" t="s">
        <v>1188</v>
      </c>
      <c r="CF39" s="476" t="s">
        <v>1188</v>
      </c>
      <c r="CG39" s="476" t="s">
        <v>1187</v>
      </c>
      <c r="CH39" s="476" t="s">
        <v>1187</v>
      </c>
      <c r="CI39" s="476" t="s">
        <v>1187</v>
      </c>
      <c r="CJ39" s="476" t="s">
        <v>1187</v>
      </c>
      <c r="CK39" s="476" t="s">
        <v>1187</v>
      </c>
      <c r="CL39" s="476" t="s">
        <v>1188</v>
      </c>
      <c r="CM39" s="476" t="str">
        <f>IF(VLOOKUP(BS39,'Données par municipalité'!$B$6:$E$1113,4,FALSE)="","non","oui")</f>
        <v>oui</v>
      </c>
      <c r="CN39" s="410">
        <v>917.0550136986302</v>
      </c>
      <c r="CO39" s="410">
        <v>832.28383060109286</v>
      </c>
      <c r="CP39" s="410"/>
      <c r="CQ39" s="410"/>
      <c r="CR39" s="410"/>
      <c r="CS39" s="410" t="s">
        <v>1124</v>
      </c>
      <c r="CT39" s="410"/>
      <c r="CU39" s="410">
        <v>1351</v>
      </c>
      <c r="CV39" s="410">
        <f>IF(VLOOKUP(BS39,'Données par municipalité'!$B$6:$F$1113,4,FALSE)="","",VLOOKUP(BS39,'Données par municipalité'!$B$6:$F$1113,4,FALSE))</f>
        <v>1157</v>
      </c>
      <c r="CW39" s="476" t="s">
        <v>4723</v>
      </c>
      <c r="CX39" s="483">
        <v>0</v>
      </c>
      <c r="CY39" s="483" t="s">
        <v>1124</v>
      </c>
      <c r="CZ39" s="483" t="s">
        <v>1124</v>
      </c>
      <c r="DA39" s="483" t="s">
        <v>1124</v>
      </c>
      <c r="DB39" s="483" t="s">
        <v>1124</v>
      </c>
      <c r="DC39" s="483" t="s">
        <v>1124</v>
      </c>
      <c r="DD39" s="483">
        <v>0</v>
      </c>
      <c r="DE39" s="483">
        <f>IFERROR(SUM(VLOOKUP($BS39,'État &amp; Plan d''action'!$B$6:$Z$1113,18,FALSE),VLOOKUP($BS39,'État &amp; Plan d''action'!$B$6:$Z$1113,20,FALSE))/(VLOOKUP($BS39,'Données par municipalité'!$B$4:$L$1113,11,FALSE)),"")</f>
        <v>0</v>
      </c>
      <c r="DF39" s="483">
        <f>IFERROR(SUM(VLOOKUP($BS39,'État &amp; Plan d''action'!$B$6:$Z$1113,19,FALSE),VLOOKUP($BS39,'État &amp; Plan d''action'!$B$6:$Z$1113,21,FALSE))/(VLOOKUP($BS39,'Données par municipalité'!$B$4:$L$1113,11,FALSE)),"")</f>
        <v>0</v>
      </c>
      <c r="DG39" s="476" t="s">
        <v>4723</v>
      </c>
      <c r="DH39" s="484">
        <v>0</v>
      </c>
      <c r="DI39" s="484" t="s">
        <v>1124</v>
      </c>
      <c r="DJ39" s="484">
        <v>0</v>
      </c>
      <c r="DK39" s="484">
        <v>0</v>
      </c>
      <c r="DL39" s="484" t="s">
        <v>1124</v>
      </c>
      <c r="DM39" s="484" t="s">
        <v>1124</v>
      </c>
      <c r="DN39" s="484">
        <v>2</v>
      </c>
      <c r="DO39" s="484">
        <v>0</v>
      </c>
      <c r="DP39" s="484">
        <v>0</v>
      </c>
      <c r="DQ39" s="484">
        <f>IF(VLOOKUP($BS39,'État &amp; Plan d''action'!$B$6:$AJ$1113,28,FALSE)="","",VLOOKUP($BS39,'État &amp; Plan d''action'!$B$6:$AJ$1113,28,FALSE))</f>
        <v>0</v>
      </c>
      <c r="DR39" s="70">
        <f>IF(VLOOKUP($BS39,'État &amp; Plan d''action'!$B$6:$AJ$1113,29,FALSE)="","",VLOOKUP($BS39,'État &amp; Plan d''action'!$B$6:$AJ$1113,29,FALSE))</f>
        <v>0</v>
      </c>
      <c r="DS39" s="70">
        <f>IF(VLOOKUP($BS39,'État &amp; Plan d''action'!$B$6:$AJ$1113,30,FALSE)="","",VLOOKUP($BS39,'État &amp; Plan d''action'!$B$6:$AJ$1113,30,FALSE))</f>
        <v>1</v>
      </c>
      <c r="DT39" s="70">
        <v>1040</v>
      </c>
      <c r="DU39" s="485">
        <v>0.95054137453402876</v>
      </c>
      <c r="DV39" s="485">
        <v>2.5139175154583429</v>
      </c>
      <c r="DW39" s="70">
        <v>3</v>
      </c>
      <c r="DX39" s="70">
        <v>0</v>
      </c>
      <c r="DY39" s="70">
        <v>0</v>
      </c>
      <c r="DZ39" s="70">
        <f>VLOOKUP($BS39,'État &amp; Plan d''action'!$B$6:$AH$1113,31,FALSE)</f>
        <v>0</v>
      </c>
      <c r="EA39" s="70">
        <f>VLOOKUP($BS39,'État &amp; Plan d''action'!$B$6:$AH$1113,32,FALSE)</f>
        <v>0</v>
      </c>
      <c r="EB39" s="70">
        <f>VLOOKUP($BS39,'État &amp; Plan d''action'!$B$6:$AH$1113,33,FALSE)</f>
        <v>2</v>
      </c>
      <c r="EC39" s="70">
        <v>0</v>
      </c>
      <c r="ED39" s="70">
        <v>0</v>
      </c>
      <c r="EE39" s="70">
        <v>0</v>
      </c>
      <c r="EF39" s="70">
        <v>0</v>
      </c>
      <c r="EG39" s="70">
        <v>0</v>
      </c>
      <c r="EH39" s="72">
        <v>58.72972972972974</v>
      </c>
      <c r="EI39" s="72">
        <v>385</v>
      </c>
    </row>
    <row r="40" spans="1:139" ht="15.75" customHeight="1" x14ac:dyDescent="0.35">
      <c r="A40" s="1"/>
      <c r="B40"/>
      <c r="C40"/>
      <c r="D40"/>
      <c r="E40"/>
      <c r="F40"/>
      <c r="G40"/>
      <c r="H40"/>
      <c r="I40"/>
      <c r="J40"/>
      <c r="K40"/>
      <c r="L40"/>
      <c r="M40"/>
      <c r="N40"/>
      <c r="O40" s="70"/>
      <c r="P40" s="70"/>
      <c r="Q40" s="70"/>
      <c r="R40" s="70"/>
      <c r="S40" s="95"/>
      <c r="T40" s="70"/>
      <c r="X40" s="476" t="str">
        <f>IF(X37=0,"ND",TEXT(X37,"# ##0")&amp;IF(X37&gt;1," 
fuites"," 
fuite"))</f>
        <v>ND 
fuites</v>
      </c>
      <c r="Y40" s="476" t="str">
        <f t="shared" ref="Y40:AA40" si="2">IF(Y37=0,"ND",TEXT(Y37,"# ##0")&amp;IF(Y37&gt;1," 
fuites"," 
fuite"))</f>
        <v>ND 
fuites</v>
      </c>
      <c r="Z40" s="476" t="str">
        <f t="shared" si="2"/>
        <v>ND 
fuites</v>
      </c>
      <c r="AA40" s="476" t="str">
        <f t="shared" si="2"/>
        <v>9 214 
fuites</v>
      </c>
      <c r="AB40" s="476"/>
      <c r="AC40" s="476"/>
      <c r="AD40" s="476"/>
      <c r="AE40" s="476"/>
      <c r="AF40" s="476"/>
      <c r="AG40" s="476"/>
      <c r="AH40" s="476"/>
      <c r="AI40" s="476"/>
      <c r="AJ40" s="476"/>
      <c r="AK40" s="476"/>
      <c r="AL40" s="476"/>
      <c r="BS40" s="486">
        <v>78050</v>
      </c>
      <c r="BT40" s="479" t="s">
        <v>773</v>
      </c>
      <c r="BU40" s="479">
        <v>15</v>
      </c>
      <c r="BV40" s="476" t="s">
        <v>1188</v>
      </c>
      <c r="BW40" s="476" t="s">
        <v>1188</v>
      </c>
      <c r="BX40" s="476" t="s">
        <v>1188</v>
      </c>
      <c r="BY40" s="476" t="s">
        <v>1188</v>
      </c>
      <c r="BZ40" s="476" t="s">
        <v>1188</v>
      </c>
      <c r="CA40" s="476" t="s">
        <v>1188</v>
      </c>
      <c r="CB40" s="476" t="s">
        <v>1188</v>
      </c>
      <c r="CC40" s="476" t="s">
        <v>1188</v>
      </c>
      <c r="CD40" s="476" t="s">
        <v>1188</v>
      </c>
      <c r="CE40" s="476" t="s">
        <v>1187</v>
      </c>
      <c r="CF40" s="476" t="s">
        <v>1187</v>
      </c>
      <c r="CG40" s="476" t="s">
        <v>1187</v>
      </c>
      <c r="CH40" s="476" t="s">
        <v>1187</v>
      </c>
      <c r="CI40" s="476" t="s">
        <v>1187</v>
      </c>
      <c r="CJ40" s="476" t="s">
        <v>1187</v>
      </c>
      <c r="CK40" s="476" t="s">
        <v>1187</v>
      </c>
      <c r="CL40" s="476" t="s">
        <v>1187</v>
      </c>
      <c r="CM40" s="476" t="str">
        <f>IF(VLOOKUP(BS40,'Données par municipalité'!$B$6:$E$1113,4,FALSE)="","non","oui")</f>
        <v>non</v>
      </c>
      <c r="CN40" s="410" t="s">
        <v>1124</v>
      </c>
      <c r="CO40" s="410" t="s">
        <v>1124</v>
      </c>
      <c r="CP40" s="410"/>
      <c r="CQ40" s="410"/>
      <c r="CR40" s="410"/>
      <c r="CS40" s="410" t="s">
        <v>1124</v>
      </c>
      <c r="CT40" s="410"/>
      <c r="CU40" s="410" t="s">
        <v>1124</v>
      </c>
      <c r="CV40" s="410" t="str">
        <f>IF(VLOOKUP(BS40,'Données par municipalité'!$B$6:$F$1113,4,FALSE)="","",VLOOKUP(BS40,'Données par municipalité'!$B$6:$F$1113,4,FALSE))</f>
        <v/>
      </c>
      <c r="CW40" s="476" t="s">
        <v>4723</v>
      </c>
      <c r="CX40" s="483" t="s">
        <v>1124</v>
      </c>
      <c r="CY40" s="483" t="s">
        <v>1124</v>
      </c>
      <c r="CZ40" s="483" t="s">
        <v>1124</v>
      </c>
      <c r="DA40" s="483" t="s">
        <v>1124</v>
      </c>
      <c r="DB40" s="483" t="s">
        <v>1124</v>
      </c>
      <c r="DC40" s="483" t="s">
        <v>1124</v>
      </c>
      <c r="DD40" s="483" t="s">
        <v>1124</v>
      </c>
      <c r="DE40" s="483" t="str">
        <f>IFERROR(SUM(VLOOKUP($BS40,'État &amp; Plan d''action'!$B$6:$Z$1113,18,FALSE),VLOOKUP($BS40,'État &amp; Plan d''action'!$B$6:$Z$1113,20,FALSE))/(VLOOKUP($BS40,'Données par municipalité'!$B$4:$L$1113,11,FALSE)),"")</f>
        <v/>
      </c>
      <c r="DF40" s="483" t="str">
        <f>IFERROR(SUM(VLOOKUP($BS40,'État &amp; Plan d''action'!$B$6:$Z$1113,19,FALSE),VLOOKUP($BS40,'État &amp; Plan d''action'!$B$6:$Z$1113,21,FALSE))/(VLOOKUP($BS40,'Données par municipalité'!$B$4:$L$1113,11,FALSE)),"")</f>
        <v/>
      </c>
      <c r="DG40" s="476" t="s">
        <v>4723</v>
      </c>
      <c r="DH40" s="484" t="s">
        <v>1124</v>
      </c>
      <c r="DI40" s="484" t="s">
        <v>1124</v>
      </c>
      <c r="DJ40" s="484">
        <v>0</v>
      </c>
      <c r="DK40" s="484">
        <v>0</v>
      </c>
      <c r="DL40" s="484" t="s">
        <v>1124</v>
      </c>
      <c r="DM40" s="484" t="s">
        <v>1124</v>
      </c>
      <c r="DN40" s="484" t="s">
        <v>1124</v>
      </c>
      <c r="DO40" s="484" t="s">
        <v>1124</v>
      </c>
      <c r="DP40" s="484" t="s">
        <v>1124</v>
      </c>
      <c r="DQ40" s="484" t="str">
        <f>IF(VLOOKUP($BS40,'État &amp; Plan d''action'!$B$6:$AJ$1113,28,FALSE)="","",VLOOKUP($BS40,'État &amp; Plan d''action'!$B$6:$AJ$1113,28,FALSE))</f>
        <v/>
      </c>
      <c r="DR40" s="70" t="str">
        <f>IF(VLOOKUP($BS40,'État &amp; Plan d''action'!$B$6:$AJ$1113,29,FALSE)="","",VLOOKUP($BS40,'État &amp; Plan d''action'!$B$6:$AJ$1113,29,FALSE))</f>
        <v/>
      </c>
      <c r="DS40" s="70" t="str">
        <f>IF(VLOOKUP($BS40,'État &amp; Plan d''action'!$B$6:$AJ$1113,30,FALSE)="","",VLOOKUP($BS40,'État &amp; Plan d''action'!$B$6:$AJ$1113,30,FALSE))</f>
        <v/>
      </c>
      <c r="DT40" s="70" t="s">
        <v>1124</v>
      </c>
      <c r="DU40" s="485" t="s">
        <v>1124</v>
      </c>
      <c r="DV40" s="485" t="s">
        <v>1124</v>
      </c>
      <c r="DW40" s="70" t="s">
        <v>1124</v>
      </c>
      <c r="DX40" s="70" t="s">
        <v>1124</v>
      </c>
      <c r="DY40" s="70" t="s">
        <v>1124</v>
      </c>
      <c r="DZ40" s="70" t="str">
        <f>VLOOKUP($BS40,'État &amp; Plan d''action'!$B$6:$AH$1113,31,FALSE)</f>
        <v/>
      </c>
      <c r="EA40" s="70" t="str">
        <f>VLOOKUP($BS40,'État &amp; Plan d''action'!$B$6:$AH$1113,32,FALSE)</f>
        <v/>
      </c>
      <c r="EB40" s="70" t="str">
        <f>VLOOKUP($BS40,'État &amp; Plan d''action'!$B$6:$AH$1113,33,FALSE)</f>
        <v/>
      </c>
      <c r="EC40" s="70" t="s">
        <v>1124</v>
      </c>
      <c r="ED40" s="70" t="s">
        <v>1124</v>
      </c>
      <c r="EE40" s="70" t="s">
        <v>1124</v>
      </c>
      <c r="EF40" s="70" t="s">
        <v>1124</v>
      </c>
      <c r="EG40" s="70" t="s">
        <v>1124</v>
      </c>
      <c r="EH40" s="72"/>
      <c r="EI40" s="72">
        <v>64</v>
      </c>
    </row>
    <row r="41" spans="1:139" ht="15.75" customHeight="1" x14ac:dyDescent="0.35">
      <c r="A41" s="1"/>
      <c r="B41"/>
      <c r="C41"/>
      <c r="D41"/>
      <c r="E41"/>
      <c r="F41"/>
      <c r="G41"/>
      <c r="H41"/>
      <c r="I41"/>
      <c r="J41"/>
      <c r="K41"/>
      <c r="L41"/>
      <c r="M41"/>
      <c r="N41"/>
      <c r="O41" s="70"/>
      <c r="P41" s="70"/>
      <c r="Q41" s="70"/>
      <c r="R41" s="70"/>
      <c r="S41" s="95"/>
      <c r="T41" s="70"/>
      <c r="X41" s="414" t="str">
        <f>IF(X36=0,"ND",X36)</f>
        <v>ND</v>
      </c>
      <c r="Y41" s="414" t="str">
        <f t="shared" ref="Y41:AA41" si="3">IF(Y36=0,"ND",Y36)</f>
        <v>ND</v>
      </c>
      <c r="Z41" s="414" t="str">
        <f t="shared" si="3"/>
        <v>ND</v>
      </c>
      <c r="AA41" s="414">
        <f t="shared" si="3"/>
        <v>0.88070615733702451</v>
      </c>
      <c r="AB41" s="423"/>
      <c r="AC41" s="423"/>
      <c r="AD41" s="423"/>
      <c r="AE41" s="423"/>
      <c r="AF41" s="423"/>
      <c r="AG41" s="423"/>
      <c r="AH41" s="423"/>
      <c r="AI41" s="423"/>
      <c r="AJ41" s="423"/>
      <c r="AK41" s="423"/>
      <c r="AL41" s="423"/>
      <c r="BS41" s="486">
        <v>44045</v>
      </c>
      <c r="BT41" s="479" t="s">
        <v>404</v>
      </c>
      <c r="BU41" s="479">
        <v>5</v>
      </c>
      <c r="BV41" s="476" t="s">
        <v>1188</v>
      </c>
      <c r="BW41" s="476" t="s">
        <v>1188</v>
      </c>
      <c r="BX41" s="476" t="s">
        <v>1188</v>
      </c>
      <c r="BY41" s="476" t="s">
        <v>1188</v>
      </c>
      <c r="BZ41" s="476" t="s">
        <v>1188</v>
      </c>
      <c r="CA41" s="476" t="s">
        <v>1188</v>
      </c>
      <c r="CB41" s="476" t="s">
        <v>1188</v>
      </c>
      <c r="CC41" s="476" t="s">
        <v>1188</v>
      </c>
      <c r="CD41" s="476" t="s">
        <v>1188</v>
      </c>
      <c r="CE41" s="476" t="s">
        <v>1187</v>
      </c>
      <c r="CF41" s="476" t="s">
        <v>1187</v>
      </c>
      <c r="CG41" s="476" t="s">
        <v>1187</v>
      </c>
      <c r="CH41" s="476" t="s">
        <v>1187</v>
      </c>
      <c r="CI41" s="476" t="s">
        <v>1187</v>
      </c>
      <c r="CJ41" s="476" t="s">
        <v>1187</v>
      </c>
      <c r="CK41" s="476" t="s">
        <v>1187</v>
      </c>
      <c r="CL41" s="476" t="s">
        <v>1187</v>
      </c>
      <c r="CM41" s="476" t="str">
        <f>IF(VLOOKUP(BS41,'Données par municipalité'!$B$6:$E$1113,4,FALSE)="","non","oui")</f>
        <v>non</v>
      </c>
      <c r="CN41" s="410" t="s">
        <v>1124</v>
      </c>
      <c r="CO41" s="410" t="s">
        <v>1124</v>
      </c>
      <c r="CP41" s="410"/>
      <c r="CQ41" s="410"/>
      <c r="CR41" s="410"/>
      <c r="CS41" s="410" t="s">
        <v>1124</v>
      </c>
      <c r="CT41" s="410"/>
      <c r="CU41" s="410" t="s">
        <v>1124</v>
      </c>
      <c r="CV41" s="410" t="str">
        <f>IF(VLOOKUP(BS41,'Données par municipalité'!$B$6:$F$1113,4,FALSE)="","",VLOOKUP(BS41,'Données par municipalité'!$B$6:$F$1113,4,FALSE))</f>
        <v/>
      </c>
      <c r="CW41" s="476" t="s">
        <v>4723</v>
      </c>
      <c r="CX41" s="483" t="s">
        <v>1124</v>
      </c>
      <c r="CY41" s="483" t="s">
        <v>1124</v>
      </c>
      <c r="CZ41" s="483" t="s">
        <v>1124</v>
      </c>
      <c r="DA41" s="483" t="s">
        <v>1124</v>
      </c>
      <c r="DB41" s="483" t="s">
        <v>1124</v>
      </c>
      <c r="DC41" s="483" t="s">
        <v>1124</v>
      </c>
      <c r="DD41" s="483" t="s">
        <v>1124</v>
      </c>
      <c r="DE41" s="483" t="str">
        <f>IFERROR(SUM(VLOOKUP($BS41,'État &amp; Plan d''action'!$B$6:$Z$1113,18,FALSE),VLOOKUP($BS41,'État &amp; Plan d''action'!$B$6:$Z$1113,20,FALSE))/(VLOOKUP($BS41,'Données par municipalité'!$B$4:$L$1113,11,FALSE)),"")</f>
        <v/>
      </c>
      <c r="DF41" s="483" t="str">
        <f>IFERROR(SUM(VLOOKUP($BS41,'État &amp; Plan d''action'!$B$6:$Z$1113,19,FALSE),VLOOKUP($BS41,'État &amp; Plan d''action'!$B$6:$Z$1113,21,FALSE))/(VLOOKUP($BS41,'Données par municipalité'!$B$4:$L$1113,11,FALSE)),"")</f>
        <v/>
      </c>
      <c r="DG41" s="476" t="s">
        <v>4723</v>
      </c>
      <c r="DH41" s="484" t="s">
        <v>1124</v>
      </c>
      <c r="DI41" s="484" t="s">
        <v>1124</v>
      </c>
      <c r="DJ41" s="484">
        <v>0</v>
      </c>
      <c r="DK41" s="484">
        <v>0</v>
      </c>
      <c r="DL41" s="484" t="s">
        <v>1124</v>
      </c>
      <c r="DM41" s="484" t="s">
        <v>1124</v>
      </c>
      <c r="DN41" s="484" t="s">
        <v>1124</v>
      </c>
      <c r="DO41" s="484" t="s">
        <v>1124</v>
      </c>
      <c r="DP41" s="484" t="s">
        <v>1124</v>
      </c>
      <c r="DQ41" s="484" t="str">
        <f>IF(VLOOKUP($BS41,'État &amp; Plan d''action'!$B$6:$AJ$1113,28,FALSE)="","",VLOOKUP($BS41,'État &amp; Plan d''action'!$B$6:$AJ$1113,28,FALSE))</f>
        <v/>
      </c>
      <c r="DR41" s="70" t="str">
        <f>IF(VLOOKUP($BS41,'État &amp; Plan d''action'!$B$6:$AJ$1113,29,FALSE)="","",VLOOKUP($BS41,'État &amp; Plan d''action'!$B$6:$AJ$1113,29,FALSE))</f>
        <v/>
      </c>
      <c r="DS41" s="70" t="str">
        <f>IF(VLOOKUP($BS41,'État &amp; Plan d''action'!$B$6:$AJ$1113,30,FALSE)="","",VLOOKUP($BS41,'État &amp; Plan d''action'!$B$6:$AJ$1113,30,FALSE))</f>
        <v/>
      </c>
      <c r="DT41" s="70" t="s">
        <v>1124</v>
      </c>
      <c r="DU41" s="485" t="s">
        <v>1124</v>
      </c>
      <c r="DV41" s="485" t="s">
        <v>1124</v>
      </c>
      <c r="DW41" s="70" t="s">
        <v>1124</v>
      </c>
      <c r="DX41" s="70" t="s">
        <v>1124</v>
      </c>
      <c r="DY41" s="70" t="s">
        <v>1124</v>
      </c>
      <c r="DZ41" s="70" t="str">
        <f>VLOOKUP($BS41,'État &amp; Plan d''action'!$B$6:$AH$1113,31,FALSE)</f>
        <v/>
      </c>
      <c r="EA41" s="70" t="str">
        <f>VLOOKUP($BS41,'État &amp; Plan d''action'!$B$6:$AH$1113,32,FALSE)</f>
        <v/>
      </c>
      <c r="EB41" s="70" t="str">
        <f>VLOOKUP($BS41,'État &amp; Plan d''action'!$B$6:$AH$1113,33,FALSE)</f>
        <v/>
      </c>
      <c r="EC41" s="70" t="s">
        <v>1124</v>
      </c>
      <c r="ED41" s="70" t="s">
        <v>1124</v>
      </c>
      <c r="EE41" s="70" t="s">
        <v>1124</v>
      </c>
      <c r="EF41" s="70" t="s">
        <v>1124</v>
      </c>
      <c r="EG41" s="70" t="s">
        <v>1124</v>
      </c>
      <c r="EH41" s="72"/>
      <c r="EI41" s="72">
        <v>569</v>
      </c>
    </row>
    <row r="42" spans="1:139" ht="15.75" customHeight="1" x14ac:dyDescent="0.35">
      <c r="A42" s="1"/>
      <c r="B42"/>
      <c r="C42"/>
      <c r="D42"/>
      <c r="E42"/>
      <c r="F42"/>
      <c r="G42"/>
      <c r="H42"/>
      <c r="I42"/>
      <c r="J42"/>
      <c r="K42"/>
      <c r="L42"/>
      <c r="M42"/>
      <c r="N42"/>
      <c r="O42" s="70"/>
      <c r="P42" s="70"/>
      <c r="Q42" s="70"/>
      <c r="R42" s="70"/>
      <c r="S42" s="95"/>
      <c r="T42" s="70"/>
      <c r="AC42" s="428"/>
      <c r="AD42" s="428"/>
      <c r="AE42" s="428"/>
      <c r="AF42" s="428"/>
      <c r="AG42" s="428"/>
      <c r="AH42" s="428"/>
      <c r="AI42" s="428"/>
      <c r="AJ42" s="428"/>
      <c r="AK42" s="428"/>
      <c r="AL42" s="428"/>
      <c r="BS42" s="486">
        <v>88022</v>
      </c>
      <c r="BT42" s="479" t="s">
        <v>914</v>
      </c>
      <c r="BU42" s="479">
        <v>8</v>
      </c>
      <c r="BV42" s="476" t="s">
        <v>1187</v>
      </c>
      <c r="BW42" s="476" t="s">
        <v>1187</v>
      </c>
      <c r="BX42" s="476" t="s">
        <v>1187</v>
      </c>
      <c r="BY42" s="476" t="s">
        <v>1187</v>
      </c>
      <c r="BZ42" s="476" t="s">
        <v>1187</v>
      </c>
      <c r="CA42" s="476" t="s">
        <v>1187</v>
      </c>
      <c r="CB42" s="476" t="s">
        <v>1187</v>
      </c>
      <c r="CC42" s="476" t="s">
        <v>1187</v>
      </c>
      <c r="CD42" s="476" t="s">
        <v>1187</v>
      </c>
      <c r="CE42" s="476" t="s">
        <v>1188</v>
      </c>
      <c r="CF42" s="476" t="s">
        <v>1188</v>
      </c>
      <c r="CG42" s="476" t="s">
        <v>1188</v>
      </c>
      <c r="CH42" s="476" t="s">
        <v>1188</v>
      </c>
      <c r="CI42" s="476" t="s">
        <v>1188</v>
      </c>
      <c r="CJ42" s="476" t="s">
        <v>1188</v>
      </c>
      <c r="CK42" s="476" t="s">
        <v>1188</v>
      </c>
      <c r="CL42" s="476" t="s">
        <v>1188</v>
      </c>
      <c r="CM42" s="476" t="str">
        <f>IF(VLOOKUP(BS42,'Données par municipalité'!$B$6:$E$1113,4,FALSE)="","non","oui")</f>
        <v>non</v>
      </c>
      <c r="CN42" s="410">
        <v>267.00965123694971</v>
      </c>
      <c r="CO42" s="410">
        <v>339.0879989588596</v>
      </c>
      <c r="CP42" s="410">
        <v>324.45824909309687</v>
      </c>
      <c r="CQ42" s="410">
        <v>287.31055241585352</v>
      </c>
      <c r="CR42" s="410">
        <v>336.29583225075703</v>
      </c>
      <c r="CS42" s="410">
        <v>341.11023521035725</v>
      </c>
      <c r="CT42" s="410">
        <v>362.6599285547652</v>
      </c>
      <c r="CU42" s="410">
        <v>342</v>
      </c>
      <c r="CV42" s="410" t="str">
        <f>IF(VLOOKUP(BS42,'Données par municipalité'!$B$6:$F$1113,4,FALSE)="","",VLOOKUP(BS42,'Données par municipalité'!$B$6:$F$1113,4,FALSE))</f>
        <v/>
      </c>
      <c r="CW42" s="476" t="s">
        <v>4723</v>
      </c>
      <c r="CX42" s="483">
        <v>0.8</v>
      </c>
      <c r="CY42" s="483">
        <v>0.2</v>
      </c>
      <c r="CZ42" s="483">
        <v>0.2</v>
      </c>
      <c r="DA42" s="483">
        <v>0.2</v>
      </c>
      <c r="DB42" s="483">
        <v>0.1</v>
      </c>
      <c r="DC42" s="483">
        <v>0.1</v>
      </c>
      <c r="DD42" s="483">
        <v>1</v>
      </c>
      <c r="DE42" s="483" t="str">
        <f>IFERROR(SUM(VLOOKUP($BS42,'État &amp; Plan d''action'!$B$6:$Z$1113,18,FALSE),VLOOKUP($BS42,'État &amp; Plan d''action'!$B$6:$Z$1113,20,FALSE))/(VLOOKUP($BS42,'Données par municipalité'!$B$4:$L$1113,11,FALSE)),"")</f>
        <v/>
      </c>
      <c r="DF42" s="483" t="str">
        <f>IFERROR(SUM(VLOOKUP($BS42,'État &amp; Plan d''action'!$B$6:$Z$1113,19,FALSE),VLOOKUP($BS42,'État &amp; Plan d''action'!$B$6:$Z$1113,21,FALSE))/(VLOOKUP($BS42,'Données par municipalité'!$B$4:$L$1113,11,FALSE)),"")</f>
        <v/>
      </c>
      <c r="DG42" s="476" t="s">
        <v>4723</v>
      </c>
      <c r="DH42" s="484" t="s">
        <v>1124</v>
      </c>
      <c r="DI42" s="484" t="s">
        <v>1124</v>
      </c>
      <c r="DJ42" s="484">
        <v>0</v>
      </c>
      <c r="DK42" s="484">
        <v>0</v>
      </c>
      <c r="DL42" s="484">
        <v>2</v>
      </c>
      <c r="DM42" s="484">
        <v>1</v>
      </c>
      <c r="DN42" s="484">
        <v>1</v>
      </c>
      <c r="DO42" s="484">
        <v>0</v>
      </c>
      <c r="DP42" s="484">
        <v>3</v>
      </c>
      <c r="DQ42" s="484" t="str">
        <f>IF(VLOOKUP($BS42,'État &amp; Plan d''action'!$B$6:$AJ$1113,28,FALSE)="","",VLOOKUP($BS42,'État &amp; Plan d''action'!$B$6:$AJ$1113,28,FALSE))</f>
        <v/>
      </c>
      <c r="DR42" s="70" t="str">
        <f>IF(VLOOKUP($BS42,'État &amp; Plan d''action'!$B$6:$AJ$1113,29,FALSE)="","",VLOOKUP($BS42,'État &amp; Plan d''action'!$B$6:$AJ$1113,29,FALSE))</f>
        <v/>
      </c>
      <c r="DS42" s="70" t="str">
        <f>IF(VLOOKUP($BS42,'État &amp; Plan d''action'!$B$6:$AJ$1113,30,FALSE)="","",VLOOKUP($BS42,'État &amp; Plan d''action'!$B$6:$AJ$1113,30,FALSE))</f>
        <v/>
      </c>
      <c r="DT42" s="70">
        <v>239</v>
      </c>
      <c r="DU42" s="485">
        <v>1.1964454652714891</v>
      </c>
      <c r="DV42" s="485" t="s">
        <v>1124</v>
      </c>
      <c r="DW42" s="70">
        <v>1</v>
      </c>
      <c r="DX42" s="70">
        <v>0</v>
      </c>
      <c r="DY42" s="70">
        <v>1</v>
      </c>
      <c r="DZ42" s="70" t="str">
        <f>VLOOKUP($BS42,'État &amp; Plan d''action'!$B$6:$AH$1113,31,FALSE)</f>
        <v/>
      </c>
      <c r="EA42" s="70" t="str">
        <f>VLOOKUP($BS42,'État &amp; Plan d''action'!$B$6:$AH$1113,32,FALSE)</f>
        <v/>
      </c>
      <c r="EB42" s="70" t="str">
        <f>VLOOKUP($BS42,'État &amp; Plan d''action'!$B$6:$AH$1113,33,FALSE)</f>
        <v/>
      </c>
      <c r="EC42" s="70">
        <v>15.724</v>
      </c>
      <c r="ED42" s="70">
        <v>15.724</v>
      </c>
      <c r="EE42" s="70">
        <v>0</v>
      </c>
      <c r="EF42" s="70">
        <v>0</v>
      </c>
      <c r="EG42" s="70">
        <v>0</v>
      </c>
      <c r="EH42" s="72">
        <v>59.522222222222211</v>
      </c>
      <c r="EI42" s="72">
        <v>2006</v>
      </c>
    </row>
    <row r="43" spans="1:139" ht="15.75" customHeight="1" x14ac:dyDescent="0.35">
      <c r="A43" s="1"/>
      <c r="B43"/>
      <c r="C43"/>
      <c r="D43"/>
      <c r="E43"/>
      <c r="F43"/>
      <c r="G43"/>
      <c r="H43"/>
      <c r="I43"/>
      <c r="J43"/>
      <c r="K43"/>
      <c r="L43"/>
      <c r="M43"/>
      <c r="N43"/>
      <c r="O43" s="70"/>
      <c r="P43" s="70"/>
      <c r="Q43" s="70"/>
      <c r="R43" s="70"/>
      <c r="S43" s="95"/>
      <c r="T43" s="70"/>
      <c r="W43" s="418"/>
      <c r="X43" s="423"/>
      <c r="Y43" s="423"/>
      <c r="Z43" s="423"/>
      <c r="AA43" s="423"/>
      <c r="AB43" s="423"/>
      <c r="AC43" s="423"/>
      <c r="AD43" s="423"/>
      <c r="AE43" s="423"/>
      <c r="AF43" s="423"/>
      <c r="AG43" s="423"/>
      <c r="AH43" s="423"/>
      <c r="AI43" s="423"/>
      <c r="AJ43" s="423"/>
      <c r="AK43" s="423"/>
      <c r="AL43" s="423"/>
      <c r="BS43" s="486">
        <v>37210</v>
      </c>
      <c r="BT43" s="479" t="s">
        <v>316</v>
      </c>
      <c r="BU43" s="479">
        <v>4</v>
      </c>
      <c r="BV43" s="476" t="s">
        <v>1187</v>
      </c>
      <c r="BW43" s="476" t="s">
        <v>1187</v>
      </c>
      <c r="BX43" s="476" t="s">
        <v>1187</v>
      </c>
      <c r="BY43" s="476" t="s">
        <v>1187</v>
      </c>
      <c r="BZ43" s="476" t="s">
        <v>1187</v>
      </c>
      <c r="CA43" s="476" t="s">
        <v>1187</v>
      </c>
      <c r="CB43" s="476" t="s">
        <v>1187</v>
      </c>
      <c r="CC43" s="476" t="s">
        <v>1187</v>
      </c>
      <c r="CD43" s="476" t="s">
        <v>1187</v>
      </c>
      <c r="CE43" s="476" t="s">
        <v>1188</v>
      </c>
      <c r="CF43" s="476" t="s">
        <v>1188</v>
      </c>
      <c r="CG43" s="476" t="s">
        <v>1188</v>
      </c>
      <c r="CH43" s="476" t="s">
        <v>1188</v>
      </c>
      <c r="CI43" s="476" t="s">
        <v>1188</v>
      </c>
      <c r="CJ43" s="476" t="s">
        <v>1187</v>
      </c>
      <c r="CK43" s="476" t="s">
        <v>1188</v>
      </c>
      <c r="CL43" s="476" t="s">
        <v>1188</v>
      </c>
      <c r="CM43" s="476" t="str">
        <f>IF(VLOOKUP(BS43,'Données par municipalité'!$B$6:$E$1113,4,FALSE)="","non","oui")</f>
        <v>non</v>
      </c>
      <c r="CN43" s="410">
        <v>603.04356292780153</v>
      </c>
      <c r="CO43" s="410">
        <v>652.86687438241086</v>
      </c>
      <c r="CP43" s="410">
        <v>468.02774418335446</v>
      </c>
      <c r="CQ43" s="410">
        <v>435.79148194241719</v>
      </c>
      <c r="CR43" s="410">
        <v>453.68606417287998</v>
      </c>
      <c r="CS43" s="410" t="s">
        <v>1124</v>
      </c>
      <c r="CT43" s="410">
        <v>778.34116156664277</v>
      </c>
      <c r="CU43" s="410">
        <v>496</v>
      </c>
      <c r="CV43" s="410" t="str">
        <f>IF(VLOOKUP(BS43,'Données par municipalité'!$B$6:$F$1113,4,FALSE)="","",VLOOKUP(BS43,'Données par municipalité'!$B$6:$F$1113,4,FALSE))</f>
        <v/>
      </c>
      <c r="CW43" s="476" t="s">
        <v>4723</v>
      </c>
      <c r="CX43" s="483">
        <v>0</v>
      </c>
      <c r="CY43" s="483">
        <v>0</v>
      </c>
      <c r="CZ43" s="483">
        <v>0</v>
      </c>
      <c r="DA43" s="483">
        <v>0</v>
      </c>
      <c r="DB43" s="483" t="s">
        <v>1124</v>
      </c>
      <c r="DC43" s="483">
        <v>0</v>
      </c>
      <c r="DD43" s="483">
        <v>0.37523452157598502</v>
      </c>
      <c r="DE43" s="483" t="str">
        <f>IFERROR(SUM(VLOOKUP($BS43,'État &amp; Plan d''action'!$B$6:$Z$1113,18,FALSE),VLOOKUP($BS43,'État &amp; Plan d''action'!$B$6:$Z$1113,20,FALSE))/(VLOOKUP($BS43,'Données par municipalité'!$B$4:$L$1113,11,FALSE)),"")</f>
        <v/>
      </c>
      <c r="DF43" s="483" t="str">
        <f>IFERROR(SUM(VLOOKUP($BS43,'État &amp; Plan d''action'!$B$6:$Z$1113,19,FALSE),VLOOKUP($BS43,'État &amp; Plan d''action'!$B$6:$Z$1113,21,FALSE))/(VLOOKUP($BS43,'Données par municipalité'!$B$4:$L$1113,11,FALSE)),"")</f>
        <v/>
      </c>
      <c r="DG43" s="476" t="s">
        <v>4723</v>
      </c>
      <c r="DH43" s="484">
        <v>3</v>
      </c>
      <c r="DI43" s="484">
        <v>4</v>
      </c>
      <c r="DJ43" s="484">
        <v>2</v>
      </c>
      <c r="DK43" s="484">
        <v>2</v>
      </c>
      <c r="DL43" s="484" t="s">
        <v>1124</v>
      </c>
      <c r="DM43" s="484">
        <v>4</v>
      </c>
      <c r="DN43" s="484">
        <v>0</v>
      </c>
      <c r="DO43" s="484">
        <v>2</v>
      </c>
      <c r="DP43" s="484">
        <v>4</v>
      </c>
      <c r="DQ43" s="484" t="str">
        <f>IF(VLOOKUP($BS43,'État &amp; Plan d''action'!$B$6:$AJ$1113,28,FALSE)="","",VLOOKUP($BS43,'État &amp; Plan d''action'!$B$6:$AJ$1113,28,FALSE))</f>
        <v/>
      </c>
      <c r="DR43" s="70" t="str">
        <f>IF(VLOOKUP($BS43,'État &amp; Plan d''action'!$B$6:$AJ$1113,29,FALSE)="","",VLOOKUP($BS43,'État &amp; Plan d''action'!$B$6:$AJ$1113,29,FALSE))</f>
        <v/>
      </c>
      <c r="DS43" s="70" t="str">
        <f>IF(VLOOKUP($BS43,'État &amp; Plan d''action'!$B$6:$AJ$1113,30,FALSE)="","",VLOOKUP($BS43,'État &amp; Plan d''action'!$B$6:$AJ$1113,30,FALSE))</f>
        <v/>
      </c>
      <c r="DT43" s="70">
        <v>403</v>
      </c>
      <c r="DU43" s="485">
        <v>1.59802051652147</v>
      </c>
      <c r="DV43" s="485" t="s">
        <v>1124</v>
      </c>
      <c r="DW43" s="70">
        <v>0</v>
      </c>
      <c r="DX43" s="70">
        <v>3</v>
      </c>
      <c r="DY43" s="70">
        <v>3</v>
      </c>
      <c r="DZ43" s="70" t="str">
        <f>VLOOKUP($BS43,'État &amp; Plan d''action'!$B$6:$AH$1113,31,FALSE)</f>
        <v/>
      </c>
      <c r="EA43" s="70" t="str">
        <f>VLOOKUP($BS43,'État &amp; Plan d''action'!$B$6:$AH$1113,32,FALSE)</f>
        <v/>
      </c>
      <c r="EB43" s="70" t="str">
        <f>VLOOKUP($BS43,'État &amp; Plan d''action'!$B$6:$AH$1113,33,FALSE)</f>
        <v/>
      </c>
      <c r="EC43" s="70">
        <v>0</v>
      </c>
      <c r="ED43" s="70">
        <v>0</v>
      </c>
      <c r="EE43" s="70">
        <v>10</v>
      </c>
      <c r="EF43" s="70">
        <v>0</v>
      </c>
      <c r="EG43" s="70">
        <v>3.5</v>
      </c>
      <c r="EH43" s="72">
        <v>38</v>
      </c>
      <c r="EI43" s="72">
        <v>922</v>
      </c>
    </row>
    <row r="44" spans="1:139" ht="15.75" customHeight="1" x14ac:dyDescent="0.35">
      <c r="A44" s="1"/>
      <c r="B44"/>
      <c r="C44"/>
      <c r="D44"/>
      <c r="E44"/>
      <c r="F44"/>
      <c r="G44"/>
      <c r="H44"/>
      <c r="I44"/>
      <c r="J44"/>
      <c r="K44"/>
      <c r="L44"/>
      <c r="M44"/>
      <c r="N44"/>
      <c r="O44" s="70"/>
      <c r="P44" s="70"/>
      <c r="Q44" s="70"/>
      <c r="R44" s="70"/>
      <c r="S44" s="95"/>
      <c r="T44" s="70"/>
      <c r="W44" s="418"/>
      <c r="X44" s="423"/>
      <c r="Y44" s="423"/>
      <c r="Z44" s="423"/>
      <c r="AA44" s="423"/>
      <c r="AB44" s="423"/>
      <c r="AC44" s="423"/>
      <c r="AD44" s="423"/>
      <c r="AE44" s="423"/>
      <c r="AF44" s="423"/>
      <c r="AG44" s="423"/>
      <c r="AH44" s="423"/>
      <c r="AI44" s="423"/>
      <c r="AJ44" s="423"/>
      <c r="AK44" s="423"/>
      <c r="AL44" s="423"/>
      <c r="BS44" s="486">
        <v>66107</v>
      </c>
      <c r="BT44" s="479" t="s">
        <v>658</v>
      </c>
      <c r="BU44" s="479">
        <v>6</v>
      </c>
      <c r="BV44" s="476" t="s">
        <v>1187</v>
      </c>
      <c r="BW44" s="476" t="s">
        <v>1187</v>
      </c>
      <c r="BX44" s="476" t="s">
        <v>1187</v>
      </c>
      <c r="BY44" s="476" t="s">
        <v>1187</v>
      </c>
      <c r="BZ44" s="476" t="s">
        <v>1187</v>
      </c>
      <c r="CA44" s="476" t="s">
        <v>1187</v>
      </c>
      <c r="CB44" s="476" t="s">
        <v>1187</v>
      </c>
      <c r="CC44" s="476" t="s">
        <v>1187</v>
      </c>
      <c r="CD44" s="476" t="s">
        <v>1187</v>
      </c>
      <c r="CE44" s="476" t="s">
        <v>1188</v>
      </c>
      <c r="CF44" s="476" t="s">
        <v>1187</v>
      </c>
      <c r="CG44" s="476" t="s">
        <v>1187</v>
      </c>
      <c r="CH44" s="476" t="s">
        <v>1188</v>
      </c>
      <c r="CI44" s="476" t="s">
        <v>1188</v>
      </c>
      <c r="CJ44" s="476" t="s">
        <v>1188</v>
      </c>
      <c r="CK44" s="476" t="s">
        <v>1188</v>
      </c>
      <c r="CL44" s="476" t="s">
        <v>1188</v>
      </c>
      <c r="CM44" s="476" t="str">
        <f>IF(VLOOKUP(BS44,'Données par municipalité'!$B$6:$E$1113,4,FALSE)="","non","oui")</f>
        <v>non</v>
      </c>
      <c r="CN44" s="410">
        <v>1077.8216374940837</v>
      </c>
      <c r="CO44" s="410" t="s">
        <v>1124</v>
      </c>
      <c r="CP44" s="410"/>
      <c r="CQ44" s="410">
        <v>1143.0088102774637</v>
      </c>
      <c r="CR44" s="410">
        <v>548.4040133423706</v>
      </c>
      <c r="CS44" s="410">
        <v>572</v>
      </c>
      <c r="CT44" s="410">
        <v>600.33500239023624</v>
      </c>
      <c r="CU44" s="410">
        <v>388</v>
      </c>
      <c r="CV44" s="410" t="str">
        <f>IF(VLOOKUP(BS44,'Données par municipalité'!$B$6:$F$1113,4,FALSE)="","",VLOOKUP(BS44,'Données par municipalité'!$B$6:$F$1113,4,FALSE))</f>
        <v/>
      </c>
      <c r="CW44" s="476" t="s">
        <v>4723</v>
      </c>
      <c r="CX44" s="483" t="s">
        <v>1124</v>
      </c>
      <c r="CY44" s="483" t="s">
        <v>1124</v>
      </c>
      <c r="CZ44" s="483">
        <v>3</v>
      </c>
      <c r="DA44" s="483">
        <v>3</v>
      </c>
      <c r="DB44" s="483">
        <v>3</v>
      </c>
      <c r="DC44" s="483">
        <v>3</v>
      </c>
      <c r="DD44" s="483">
        <v>3</v>
      </c>
      <c r="DE44" s="483" t="str">
        <f>IFERROR(SUM(VLOOKUP($BS44,'État &amp; Plan d''action'!$B$6:$Z$1113,18,FALSE),VLOOKUP($BS44,'État &amp; Plan d''action'!$B$6:$Z$1113,20,FALSE))/(VLOOKUP($BS44,'Données par municipalité'!$B$4:$L$1113,11,FALSE)),"")</f>
        <v/>
      </c>
      <c r="DF44" s="483" t="str">
        <f>IFERROR(SUM(VLOOKUP($BS44,'État &amp; Plan d''action'!$B$6:$Z$1113,19,FALSE),VLOOKUP($BS44,'État &amp; Plan d''action'!$B$6:$Z$1113,21,FALSE))/(VLOOKUP($BS44,'Données par municipalité'!$B$4:$L$1113,11,FALSE)),"")</f>
        <v/>
      </c>
      <c r="DG44" s="476" t="s">
        <v>4723</v>
      </c>
      <c r="DH44" s="484">
        <v>52</v>
      </c>
      <c r="DI44" s="484" t="s">
        <v>1124</v>
      </c>
      <c r="DJ44" s="484">
        <v>44</v>
      </c>
      <c r="DK44" s="484">
        <v>41</v>
      </c>
      <c r="DL44" s="484">
        <v>40</v>
      </c>
      <c r="DM44" s="484">
        <v>30</v>
      </c>
      <c r="DN44" s="484">
        <v>32</v>
      </c>
      <c r="DO44" s="484">
        <v>4</v>
      </c>
      <c r="DP44" s="484">
        <v>3</v>
      </c>
      <c r="DQ44" s="484" t="str">
        <f>IF(VLOOKUP($BS44,'État &amp; Plan d''action'!$B$6:$AJ$1113,28,FALSE)="","",VLOOKUP($BS44,'État &amp; Plan d''action'!$B$6:$AJ$1113,28,FALSE))</f>
        <v/>
      </c>
      <c r="DR44" s="70" t="str">
        <f>IF(VLOOKUP($BS44,'État &amp; Plan d''action'!$B$6:$AJ$1113,29,FALSE)="","",VLOOKUP($BS44,'État &amp; Plan d''action'!$B$6:$AJ$1113,29,FALSE))</f>
        <v/>
      </c>
      <c r="DS44" s="70" t="str">
        <f>IF(VLOOKUP($BS44,'État &amp; Plan d''action'!$B$6:$AJ$1113,30,FALSE)="","",VLOOKUP($BS44,'État &amp; Plan d''action'!$B$6:$AJ$1113,30,FALSE))</f>
        <v/>
      </c>
      <c r="DT44" s="70">
        <v>266</v>
      </c>
      <c r="DU44" s="485">
        <v>4.3102503882022125</v>
      </c>
      <c r="DV44" s="485" t="s">
        <v>1124</v>
      </c>
      <c r="DW44" s="70">
        <v>2</v>
      </c>
      <c r="DX44" s="70">
        <v>2</v>
      </c>
      <c r="DY44" s="70">
        <v>7</v>
      </c>
      <c r="DZ44" s="70" t="str">
        <f>VLOOKUP($BS44,'État &amp; Plan d''action'!$B$6:$AH$1113,31,FALSE)</f>
        <v/>
      </c>
      <c r="EA44" s="70" t="str">
        <f>VLOOKUP($BS44,'État &amp; Plan d''action'!$B$6:$AH$1113,32,FALSE)</f>
        <v/>
      </c>
      <c r="EB44" s="70" t="str">
        <f>VLOOKUP($BS44,'État &amp; Plan d''action'!$B$6:$AH$1113,33,FALSE)</f>
        <v/>
      </c>
      <c r="EC44" s="70">
        <v>0</v>
      </c>
      <c r="ED44" s="70">
        <v>379.86599999999999</v>
      </c>
      <c r="EE44" s="70">
        <v>0</v>
      </c>
      <c r="EF44" s="70">
        <v>0</v>
      </c>
      <c r="EG44" s="70">
        <v>0</v>
      </c>
      <c r="EH44" s="72">
        <v>62.745098039215691</v>
      </c>
      <c r="EI44" s="72">
        <v>19588</v>
      </c>
    </row>
    <row r="45" spans="1:139" ht="15.75" customHeight="1" x14ac:dyDescent="0.35">
      <c r="A45" s="1"/>
      <c r="B45"/>
      <c r="C45"/>
      <c r="D45"/>
      <c r="E45"/>
      <c r="F45"/>
      <c r="G45"/>
      <c r="H45"/>
      <c r="I45"/>
      <c r="J45"/>
      <c r="K45"/>
      <c r="L45"/>
      <c r="M45"/>
      <c r="N45"/>
      <c r="O45" s="70"/>
      <c r="P45" s="70"/>
      <c r="Q45" s="70"/>
      <c r="R45" s="70"/>
      <c r="S45" s="95"/>
      <c r="T45" s="70"/>
      <c r="BS45" s="486">
        <v>85020</v>
      </c>
      <c r="BT45" s="479" t="s">
        <v>873</v>
      </c>
      <c r="BU45" s="479">
        <v>8</v>
      </c>
      <c r="BV45" s="476" t="s">
        <v>1187</v>
      </c>
      <c r="BW45" s="476" t="s">
        <v>1187</v>
      </c>
      <c r="BX45" s="476" t="s">
        <v>1187</v>
      </c>
      <c r="BY45" s="476" t="s">
        <v>1187</v>
      </c>
      <c r="BZ45" s="476" t="s">
        <v>1187</v>
      </c>
      <c r="CA45" s="476" t="s">
        <v>1187</v>
      </c>
      <c r="CB45" s="476" t="s">
        <v>1187</v>
      </c>
      <c r="CC45" s="476" t="s">
        <v>1187</v>
      </c>
      <c r="CD45" s="476" t="s">
        <v>1187</v>
      </c>
      <c r="CE45" s="476" t="s">
        <v>1188</v>
      </c>
      <c r="CF45" s="476" t="s">
        <v>1188</v>
      </c>
      <c r="CG45" s="476" t="s">
        <v>1187</v>
      </c>
      <c r="CH45" s="476" t="s">
        <v>1188</v>
      </c>
      <c r="CI45" s="476" t="s">
        <v>1188</v>
      </c>
      <c r="CJ45" s="476" t="s">
        <v>1188</v>
      </c>
      <c r="CK45" s="476" t="s">
        <v>1188</v>
      </c>
      <c r="CL45" s="476" t="s">
        <v>1188</v>
      </c>
      <c r="CM45" s="476" t="str">
        <f>IF(VLOOKUP(BS45,'Données par municipalité'!$B$6:$E$1113,4,FALSE)="","non","oui")</f>
        <v>oui</v>
      </c>
      <c r="CN45" s="410">
        <v>612.24967465897714</v>
      </c>
      <c r="CO45" s="410">
        <v>622.31620078522667</v>
      </c>
      <c r="CP45" s="410"/>
      <c r="CQ45" s="410">
        <v>386.23726426743593</v>
      </c>
      <c r="CR45" s="410">
        <v>398.47641464372612</v>
      </c>
      <c r="CS45" s="410">
        <v>989.46783110737158</v>
      </c>
      <c r="CT45" s="410">
        <v>1039.3654609169105</v>
      </c>
      <c r="CU45" s="410">
        <v>869</v>
      </c>
      <c r="CV45" s="410">
        <f>IF(VLOOKUP(BS45,'Données par municipalité'!$B$6:$F$1113,4,FALSE)="","",VLOOKUP(BS45,'Données par municipalité'!$B$6:$F$1113,4,FALSE))</f>
        <v>905</v>
      </c>
      <c r="CW45" s="476" t="s">
        <v>4723</v>
      </c>
      <c r="CX45" s="483">
        <v>1</v>
      </c>
      <c r="CY45" s="483" t="s">
        <v>1124</v>
      </c>
      <c r="CZ45" s="483">
        <v>1</v>
      </c>
      <c r="DA45" s="483">
        <v>0</v>
      </c>
      <c r="DB45" s="483">
        <v>1</v>
      </c>
      <c r="DC45" s="483">
        <v>1</v>
      </c>
      <c r="DD45" s="483">
        <v>1</v>
      </c>
      <c r="DE45" s="483">
        <f>IFERROR(SUM(VLOOKUP($BS45,'État &amp; Plan d''action'!$B$6:$Z$1113,18,FALSE),VLOOKUP($BS45,'État &amp; Plan d''action'!$B$6:$Z$1113,20,FALSE))/(VLOOKUP($BS45,'Données par municipalité'!$B$4:$L$1113,11,FALSE)),"")</f>
        <v>1.52775854907933</v>
      </c>
      <c r="DF45" s="483">
        <f>IFERROR(SUM(VLOOKUP($BS45,'État &amp; Plan d''action'!$B$6:$Z$1113,19,FALSE),VLOOKUP($BS45,'État &amp; Plan d''action'!$B$6:$Z$1113,21,FALSE))/(VLOOKUP($BS45,'Données par municipalité'!$B$4:$L$1113,11,FALSE)),"")</f>
        <v>2.1043887581337395</v>
      </c>
      <c r="DG45" s="476" t="s">
        <v>4723</v>
      </c>
      <c r="DH45" s="484">
        <v>6</v>
      </c>
      <c r="DI45" s="484">
        <v>7</v>
      </c>
      <c r="DJ45" s="484">
        <v>7</v>
      </c>
      <c r="DK45" s="484">
        <v>3</v>
      </c>
      <c r="DL45" s="484">
        <v>5</v>
      </c>
      <c r="DM45" s="484">
        <v>5</v>
      </c>
      <c r="DN45" s="484">
        <v>0</v>
      </c>
      <c r="DO45" s="484">
        <v>2</v>
      </c>
      <c r="DP45" s="484">
        <v>3</v>
      </c>
      <c r="DQ45" s="484">
        <f>IF(VLOOKUP($BS45,'État &amp; Plan d''action'!$B$6:$AJ$1113,28,FALSE)="","",VLOOKUP($BS45,'État &amp; Plan d''action'!$B$6:$AJ$1113,28,FALSE))</f>
        <v>2</v>
      </c>
      <c r="DR45" s="70">
        <f>IF(VLOOKUP($BS45,'État &amp; Plan d''action'!$B$6:$AJ$1113,29,FALSE)="","",VLOOKUP($BS45,'État &amp; Plan d''action'!$B$6:$AJ$1113,29,FALSE))</f>
        <v>1</v>
      </c>
      <c r="DS45" s="70">
        <f>IF(VLOOKUP($BS45,'État &amp; Plan d''action'!$B$6:$AJ$1113,30,FALSE)="","",VLOOKUP($BS45,'État &amp; Plan d''action'!$B$6:$AJ$1113,30,FALSE))</f>
        <v>2</v>
      </c>
      <c r="DT45" s="70">
        <v>346</v>
      </c>
      <c r="DU45" s="485">
        <v>9.8785325003850346</v>
      </c>
      <c r="DV45" s="485">
        <v>9.1167442140990413</v>
      </c>
      <c r="DW45" s="70">
        <v>0</v>
      </c>
      <c r="DX45" s="70">
        <v>3</v>
      </c>
      <c r="DY45" s="70">
        <v>10</v>
      </c>
      <c r="DZ45" s="70">
        <f>VLOOKUP($BS45,'État &amp; Plan d''action'!$B$6:$AH$1113,31,FALSE)</f>
        <v>1</v>
      </c>
      <c r="EA45" s="70">
        <f>VLOOKUP($BS45,'État &amp; Plan d''action'!$B$6:$AH$1113,32,FALSE)</f>
        <v>2</v>
      </c>
      <c r="EB45" s="70">
        <f>VLOOKUP($BS45,'État &amp; Plan d''action'!$B$6:$AH$1113,33,FALSE)</f>
        <v>10</v>
      </c>
      <c r="EC45" s="70">
        <v>0</v>
      </c>
      <c r="ED45" s="70">
        <v>7.2229999999999999</v>
      </c>
      <c r="EE45" s="70">
        <v>0</v>
      </c>
      <c r="EF45" s="70">
        <v>0</v>
      </c>
      <c r="EG45" s="70">
        <v>0</v>
      </c>
      <c r="EH45" s="72">
        <v>45</v>
      </c>
      <c r="EI45" s="72">
        <v>714</v>
      </c>
    </row>
    <row r="46" spans="1:139" ht="15.75" customHeight="1" x14ac:dyDescent="0.35">
      <c r="A46" s="1"/>
      <c r="B46"/>
      <c r="C46"/>
      <c r="D46"/>
      <c r="E46"/>
      <c r="F46"/>
      <c r="G46"/>
      <c r="H46"/>
      <c r="I46"/>
      <c r="J46"/>
      <c r="K46"/>
      <c r="L46"/>
      <c r="M46"/>
      <c r="N46"/>
      <c r="O46" s="70"/>
      <c r="P46" s="70"/>
      <c r="Q46" s="70"/>
      <c r="R46" s="70"/>
      <c r="S46" s="95"/>
      <c r="T46" s="70"/>
      <c r="W46" s="433"/>
      <c r="Y46" s="418"/>
      <c r="Z46" s="418"/>
      <c r="AA46" s="418"/>
      <c r="BS46" s="486">
        <v>27028</v>
      </c>
      <c r="BT46" s="479" t="s">
        <v>180</v>
      </c>
      <c r="BU46" s="479">
        <v>12</v>
      </c>
      <c r="BV46" s="476" t="s">
        <v>1187</v>
      </c>
      <c r="BW46" s="476" t="s">
        <v>1187</v>
      </c>
      <c r="BX46" s="476" t="s">
        <v>1187</v>
      </c>
      <c r="BY46" s="476" t="s">
        <v>1187</v>
      </c>
      <c r="BZ46" s="476" t="s">
        <v>1187</v>
      </c>
      <c r="CA46" s="476" t="s">
        <v>1187</v>
      </c>
      <c r="CB46" s="476" t="s">
        <v>1187</v>
      </c>
      <c r="CC46" s="476" t="s">
        <v>1187</v>
      </c>
      <c r="CD46" s="476" t="s">
        <v>1187</v>
      </c>
      <c r="CE46" s="476" t="s">
        <v>1188</v>
      </c>
      <c r="CF46" s="476" t="s">
        <v>1188</v>
      </c>
      <c r="CG46" s="476" t="s">
        <v>1188</v>
      </c>
      <c r="CH46" s="476" t="s">
        <v>1188</v>
      </c>
      <c r="CI46" s="476" t="s">
        <v>1188</v>
      </c>
      <c r="CJ46" s="476" t="s">
        <v>1188</v>
      </c>
      <c r="CK46" s="476" t="s">
        <v>1188</v>
      </c>
      <c r="CL46" s="476" t="s">
        <v>1188</v>
      </c>
      <c r="CM46" s="476" t="str">
        <f>IF(VLOOKUP(BS46,'Données par municipalité'!$B$6:$E$1113,4,FALSE)="","non","oui")</f>
        <v>oui</v>
      </c>
      <c r="CN46" s="410">
        <v>521.24238064998281</v>
      </c>
      <c r="CO46" s="410">
        <v>560.09300553407195</v>
      </c>
      <c r="CP46" s="410">
        <v>608.24967479644522</v>
      </c>
      <c r="CQ46" s="410">
        <v>527.98313443852737</v>
      </c>
      <c r="CR46" s="410">
        <v>526.96068243376305</v>
      </c>
      <c r="CS46" s="410">
        <v>504.7752562813094</v>
      </c>
      <c r="CT46" s="410">
        <v>452.2646097497377</v>
      </c>
      <c r="CU46" s="410">
        <v>412</v>
      </c>
      <c r="CV46" s="410">
        <f>IF(VLOOKUP(BS46,'Données par municipalité'!$B$6:$F$1113,4,FALSE)="","",VLOOKUP(BS46,'Données par municipalité'!$B$6:$F$1113,4,FALSE))</f>
        <v>419</v>
      </c>
      <c r="CW46" s="476" t="s">
        <v>4723</v>
      </c>
      <c r="CX46" s="483">
        <v>0.02</v>
      </c>
      <c r="CY46" s="483">
        <v>0</v>
      </c>
      <c r="CZ46" s="483">
        <v>0.25</v>
      </c>
      <c r="DA46" s="483">
        <v>0.15</v>
      </c>
      <c r="DB46" s="483">
        <v>0.2</v>
      </c>
      <c r="DC46" s="483">
        <v>1</v>
      </c>
      <c r="DD46" s="483">
        <v>1</v>
      </c>
      <c r="DE46" s="483">
        <f>IFERROR(SUM(VLOOKUP($BS46,'État &amp; Plan d''action'!$B$6:$Z$1113,18,FALSE),VLOOKUP($BS46,'État &amp; Plan d''action'!$B$6:$Z$1113,20,FALSE))/(VLOOKUP($BS46,'Données par municipalité'!$B$4:$L$1113,11,FALSE)),"")</f>
        <v>1.5416463711641502</v>
      </c>
      <c r="DF46" s="483">
        <f>IFERROR(SUM(VLOOKUP($BS46,'État &amp; Plan d''action'!$B$6:$Z$1113,19,FALSE),VLOOKUP($BS46,'État &amp; Plan d''action'!$B$6:$Z$1113,21,FALSE))/(VLOOKUP($BS46,'Données par municipalité'!$B$4:$L$1113,11,FALSE)),"")</f>
        <v>1.5416463711641502</v>
      </c>
      <c r="DG46" s="476" t="s">
        <v>4723</v>
      </c>
      <c r="DH46" s="484">
        <v>8</v>
      </c>
      <c r="DI46" s="484">
        <v>10</v>
      </c>
      <c r="DJ46" s="484">
        <v>8</v>
      </c>
      <c r="DK46" s="484">
        <v>17</v>
      </c>
      <c r="DL46" s="484">
        <v>5</v>
      </c>
      <c r="DM46" s="484">
        <v>16</v>
      </c>
      <c r="DN46" s="484">
        <v>3</v>
      </c>
      <c r="DO46" s="484">
        <v>1</v>
      </c>
      <c r="DP46" s="484">
        <v>0</v>
      </c>
      <c r="DQ46" s="484">
        <f>IF(VLOOKUP($BS46,'État &amp; Plan d''action'!$B$6:$AJ$1113,28,FALSE)="","",VLOOKUP($BS46,'État &amp; Plan d''action'!$B$6:$AJ$1113,28,FALSE))</f>
        <v>10</v>
      </c>
      <c r="DR46" s="70">
        <f>IF(VLOOKUP($BS46,'État &amp; Plan d''action'!$B$6:$AJ$1113,29,FALSE)="","",VLOOKUP($BS46,'État &amp; Plan d''action'!$B$6:$AJ$1113,29,FALSE))</f>
        <v>0</v>
      </c>
      <c r="DS46" s="70">
        <f>IF(VLOOKUP($BS46,'État &amp; Plan d''action'!$B$6:$AJ$1113,30,FALSE)="","",VLOOKUP($BS46,'État &amp; Plan d''action'!$B$6:$AJ$1113,30,FALSE))</f>
        <v>0</v>
      </c>
      <c r="DT46" s="70">
        <v>222</v>
      </c>
      <c r="DU46" s="485">
        <v>3.7096062762313733</v>
      </c>
      <c r="DV46" s="485">
        <v>0.91615228405100502</v>
      </c>
      <c r="DW46" s="70">
        <v>1</v>
      </c>
      <c r="DX46" s="70">
        <v>1</v>
      </c>
      <c r="DY46" s="70">
        <v>0</v>
      </c>
      <c r="DZ46" s="70">
        <f>VLOOKUP($BS46,'État &amp; Plan d''action'!$B$6:$AH$1113,31,FALSE)</f>
        <v>1</v>
      </c>
      <c r="EA46" s="70">
        <f>VLOOKUP($BS46,'État &amp; Plan d''action'!$B$6:$AH$1113,32,FALSE)</f>
        <v>0</v>
      </c>
      <c r="EB46" s="70">
        <f>VLOOKUP($BS46,'État &amp; Plan d''action'!$B$6:$AH$1113,33,FALSE)</f>
        <v>0</v>
      </c>
      <c r="EC46" s="70">
        <v>42.2</v>
      </c>
      <c r="ED46" s="70">
        <v>0</v>
      </c>
      <c r="EE46" s="70">
        <v>42.2</v>
      </c>
      <c r="EF46" s="70">
        <v>0</v>
      </c>
      <c r="EG46" s="70">
        <v>0</v>
      </c>
      <c r="EH46" s="72">
        <v>67</v>
      </c>
      <c r="EI46" s="72">
        <v>6338</v>
      </c>
    </row>
    <row r="47" spans="1:139" ht="15.75" customHeight="1" x14ac:dyDescent="0.35">
      <c r="A47" s="1"/>
      <c r="B47"/>
      <c r="C47"/>
      <c r="D47"/>
      <c r="E47"/>
      <c r="F47"/>
      <c r="G47"/>
      <c r="H47"/>
      <c r="I47"/>
      <c r="J47"/>
      <c r="K47"/>
      <c r="L47"/>
      <c r="M47"/>
      <c r="N47"/>
      <c r="O47" s="70"/>
      <c r="P47" s="70"/>
      <c r="Q47" s="70"/>
      <c r="R47" s="70"/>
      <c r="S47" s="95"/>
      <c r="T47" s="70"/>
      <c r="W47" s="434"/>
      <c r="X47" s="435"/>
      <c r="Y47" s="435"/>
      <c r="Z47" s="435"/>
      <c r="AA47" s="435"/>
      <c r="BS47" s="486">
        <v>70022</v>
      </c>
      <c r="BT47" s="479" t="s">
        <v>699</v>
      </c>
      <c r="BU47" s="479">
        <v>16</v>
      </c>
      <c r="BV47" s="476" t="s">
        <v>1187</v>
      </c>
      <c r="BW47" s="476" t="s">
        <v>1187</v>
      </c>
      <c r="BX47" s="476" t="s">
        <v>1187</v>
      </c>
      <c r="BY47" s="476" t="s">
        <v>1187</v>
      </c>
      <c r="BZ47" s="476" t="s">
        <v>1187</v>
      </c>
      <c r="CA47" s="476" t="s">
        <v>1187</v>
      </c>
      <c r="CB47" s="476" t="s">
        <v>1187</v>
      </c>
      <c r="CC47" s="476" t="s">
        <v>1187</v>
      </c>
      <c r="CD47" s="476" t="s">
        <v>1187</v>
      </c>
      <c r="CE47" s="476" t="s">
        <v>1187</v>
      </c>
      <c r="CF47" s="476" t="s">
        <v>1187</v>
      </c>
      <c r="CG47" s="476" t="s">
        <v>1187</v>
      </c>
      <c r="CH47" s="476" t="s">
        <v>1187</v>
      </c>
      <c r="CI47" s="476" t="s">
        <v>1187</v>
      </c>
      <c r="CJ47" s="476" t="s">
        <v>1188</v>
      </c>
      <c r="CK47" s="476" t="s">
        <v>1187</v>
      </c>
      <c r="CL47" s="476" t="s">
        <v>1188</v>
      </c>
      <c r="CM47" s="476" t="str">
        <f>IF(VLOOKUP(BS47,'Données par municipalité'!$B$6:$E$1113,4,FALSE)="","non","oui")</f>
        <v>oui</v>
      </c>
      <c r="CN47" s="410" t="s">
        <v>1124</v>
      </c>
      <c r="CO47" s="410" t="s">
        <v>1124</v>
      </c>
      <c r="CP47" s="410"/>
      <c r="CQ47" s="410"/>
      <c r="CR47" s="410"/>
      <c r="CS47" s="410">
        <v>544.73599817254808</v>
      </c>
      <c r="CT47" s="410"/>
      <c r="CU47" s="410">
        <v>556</v>
      </c>
      <c r="CV47" s="410">
        <f>IF(VLOOKUP(BS47,'Données par municipalité'!$B$6:$F$1113,4,FALSE)="","",VLOOKUP(BS47,'Données par municipalité'!$B$6:$F$1113,4,FALSE))</f>
        <v>501</v>
      </c>
      <c r="CW47" s="476" t="s">
        <v>4723</v>
      </c>
      <c r="CX47" s="483" t="s">
        <v>1124</v>
      </c>
      <c r="CY47" s="483" t="s">
        <v>1124</v>
      </c>
      <c r="CZ47" s="483" t="s">
        <v>1124</v>
      </c>
      <c r="DA47" s="483" t="s">
        <v>1124</v>
      </c>
      <c r="DB47" s="483">
        <v>1</v>
      </c>
      <c r="DC47" s="483" t="s">
        <v>1124</v>
      </c>
      <c r="DD47" s="483">
        <v>1</v>
      </c>
      <c r="DE47" s="483">
        <f>IFERROR(SUM(VLOOKUP($BS47,'État &amp; Plan d''action'!$B$6:$Z$1113,18,FALSE),VLOOKUP($BS47,'État &amp; Plan d''action'!$B$6:$Z$1113,20,FALSE))/(VLOOKUP($BS47,'Données par municipalité'!$B$4:$L$1113,11,FALSE)),"")</f>
        <v>1.2103912224781983</v>
      </c>
      <c r="DF47" s="483">
        <f>IFERROR(SUM(VLOOKUP($BS47,'État &amp; Plan d''action'!$B$6:$Z$1113,19,FALSE),VLOOKUP($BS47,'État &amp; Plan d''action'!$B$6:$Z$1113,21,FALSE))/(VLOOKUP($BS47,'Données par municipalité'!$B$4:$L$1113,11,FALSE)),"")</f>
        <v>1.5259780561954954</v>
      </c>
      <c r="DG47" s="476" t="s">
        <v>4723</v>
      </c>
      <c r="DH47" s="484">
        <v>15</v>
      </c>
      <c r="DI47" s="484">
        <v>25</v>
      </c>
      <c r="DJ47" s="484">
        <v>34</v>
      </c>
      <c r="DK47" s="484">
        <v>12</v>
      </c>
      <c r="DL47" s="484">
        <v>19</v>
      </c>
      <c r="DM47" s="484" t="s">
        <v>1124</v>
      </c>
      <c r="DN47" s="484">
        <v>39</v>
      </c>
      <c r="DO47" s="484">
        <v>4</v>
      </c>
      <c r="DP47" s="484">
        <v>0</v>
      </c>
      <c r="DQ47" s="484">
        <f>IF(VLOOKUP($BS47,'État &amp; Plan d''action'!$B$6:$AJ$1113,28,FALSE)="","",VLOOKUP($BS47,'État &amp; Plan d''action'!$B$6:$AJ$1113,28,FALSE))</f>
        <v>30</v>
      </c>
      <c r="DR47" s="70">
        <f>IF(VLOOKUP($BS47,'État &amp; Plan d''action'!$B$6:$AJ$1113,29,FALSE)="","",VLOOKUP($BS47,'État &amp; Plan d''action'!$B$6:$AJ$1113,29,FALSE))</f>
        <v>0</v>
      </c>
      <c r="DS47" s="70">
        <f>IF(VLOOKUP($BS47,'État &amp; Plan d''action'!$B$6:$AJ$1113,30,FALSE)="","",VLOOKUP($BS47,'État &amp; Plan d''action'!$B$6:$AJ$1113,30,FALSE))</f>
        <v>0</v>
      </c>
      <c r="DT47" s="70">
        <v>333</v>
      </c>
      <c r="DU47" s="485">
        <v>7.8853131319973198</v>
      </c>
      <c r="DV47" s="485">
        <v>9.4338666901037449</v>
      </c>
      <c r="DW47" s="70">
        <v>7</v>
      </c>
      <c r="DX47" s="70">
        <v>7</v>
      </c>
      <c r="DY47" s="70">
        <v>0</v>
      </c>
      <c r="DZ47" s="70">
        <f>VLOOKUP($BS47,'État &amp; Plan d''action'!$B$6:$AH$1113,31,FALSE)</f>
        <v>5</v>
      </c>
      <c r="EA47" s="70">
        <f>VLOOKUP($BS47,'État &amp; Plan d''action'!$B$6:$AH$1113,32,FALSE)</f>
        <v>0</v>
      </c>
      <c r="EB47" s="70">
        <f>VLOOKUP($BS47,'État &amp; Plan d''action'!$B$6:$AH$1113,33,FALSE)</f>
        <v>0</v>
      </c>
      <c r="EC47" s="70">
        <v>0</v>
      </c>
      <c r="ED47" s="70">
        <v>79.774000000000001</v>
      </c>
      <c r="EE47" s="70">
        <v>0</v>
      </c>
      <c r="EF47" s="70">
        <v>0</v>
      </c>
      <c r="EG47" s="70">
        <v>0</v>
      </c>
      <c r="EH47" s="72">
        <v>60</v>
      </c>
      <c r="EI47" s="72">
        <v>13246</v>
      </c>
    </row>
    <row r="48" spans="1:139" ht="15.75" customHeight="1" x14ac:dyDescent="0.35">
      <c r="A48" s="1"/>
      <c r="B48"/>
      <c r="C48"/>
      <c r="D48"/>
      <c r="E48"/>
      <c r="F48"/>
      <c r="G48"/>
      <c r="H48"/>
      <c r="I48"/>
      <c r="J48"/>
      <c r="K48"/>
      <c r="L48"/>
      <c r="M48"/>
      <c r="N48"/>
      <c r="O48" s="70"/>
      <c r="P48" s="70"/>
      <c r="Q48" s="70"/>
      <c r="R48" s="70"/>
      <c r="S48" s="95"/>
      <c r="T48" s="70"/>
      <c r="BS48" s="486">
        <v>31008</v>
      </c>
      <c r="BT48" s="479" t="s">
        <v>237</v>
      </c>
      <c r="BU48" s="479">
        <v>12</v>
      </c>
      <c r="BV48" s="476" t="s">
        <v>1187</v>
      </c>
      <c r="BW48" s="476" t="s">
        <v>1187</v>
      </c>
      <c r="BX48" s="476" t="s">
        <v>1187</v>
      </c>
      <c r="BY48" s="476" t="s">
        <v>1187</v>
      </c>
      <c r="BZ48" s="476" t="s">
        <v>1187</v>
      </c>
      <c r="CA48" s="476" t="s">
        <v>1187</v>
      </c>
      <c r="CB48" s="476" t="s">
        <v>1187</v>
      </c>
      <c r="CC48" s="476" t="s">
        <v>1187</v>
      </c>
      <c r="CD48" s="476" t="s">
        <v>1187</v>
      </c>
      <c r="CE48" s="476" t="s">
        <v>1188</v>
      </c>
      <c r="CF48" s="476" t="s">
        <v>1188</v>
      </c>
      <c r="CG48" s="476" t="s">
        <v>1188</v>
      </c>
      <c r="CH48" s="476" t="s">
        <v>1188</v>
      </c>
      <c r="CI48" s="476" t="s">
        <v>1188</v>
      </c>
      <c r="CJ48" s="476" t="s">
        <v>1187</v>
      </c>
      <c r="CK48" s="476" t="s">
        <v>1188</v>
      </c>
      <c r="CL48" s="476" t="s">
        <v>1188</v>
      </c>
      <c r="CM48" s="476" t="str">
        <f>IF(VLOOKUP(BS48,'Données par municipalité'!$B$6:$E$1113,4,FALSE)="","non","oui")</f>
        <v>oui</v>
      </c>
      <c r="CN48" s="410">
        <v>553.42269251647542</v>
      </c>
      <c r="CO48" s="410">
        <v>322.22157126955301</v>
      </c>
      <c r="CP48" s="410">
        <v>409.82518389835587</v>
      </c>
      <c r="CQ48" s="410">
        <v>378.47112323965507</v>
      </c>
      <c r="CR48" s="410">
        <v>315.66118181081305</v>
      </c>
      <c r="CS48" s="410" t="s">
        <v>1124</v>
      </c>
      <c r="CT48" s="410">
        <v>448.00341364204525</v>
      </c>
      <c r="CU48" s="410">
        <v>429</v>
      </c>
      <c r="CV48" s="410">
        <f>IF(VLOOKUP(BS48,'Données par municipalité'!$B$6:$F$1113,4,FALSE)="","",VLOOKUP(BS48,'Données par municipalité'!$B$6:$F$1113,4,FALSE))</f>
        <v>444</v>
      </c>
      <c r="CW48" s="476" t="s">
        <v>4723</v>
      </c>
      <c r="CX48" s="483">
        <v>0.4</v>
      </c>
      <c r="CY48" s="483">
        <v>0.2</v>
      </c>
      <c r="CZ48" s="483">
        <v>0</v>
      </c>
      <c r="DA48" s="483">
        <v>0.2</v>
      </c>
      <c r="DB48" s="483" t="s">
        <v>1124</v>
      </c>
      <c r="DC48" s="483">
        <v>0.2</v>
      </c>
      <c r="DD48" s="483">
        <v>0.40225261464199519</v>
      </c>
      <c r="DE48" s="483">
        <f>IFERROR(SUM(VLOOKUP($BS48,'État &amp; Plan d''action'!$B$6:$Z$1113,18,FALSE),VLOOKUP($BS48,'État &amp; Plan d''action'!$B$6:$Z$1113,20,FALSE))/(VLOOKUP($BS48,'Données par municipalité'!$B$4:$L$1113,11,FALSE)),"")</f>
        <v>0.69991954947707158</v>
      </c>
      <c r="DF48" s="483">
        <f>IFERROR(SUM(VLOOKUP($BS48,'État &amp; Plan d''action'!$B$6:$Z$1113,19,FALSE),VLOOKUP($BS48,'État &amp; Plan d''action'!$B$6:$Z$1113,21,FALSE))/(VLOOKUP($BS48,'Données par municipalité'!$B$4:$L$1113,11,FALSE)),"")</f>
        <v>0.69991954947707158</v>
      </c>
      <c r="DG48" s="476" t="s">
        <v>4723</v>
      </c>
      <c r="DH48" s="484">
        <v>4</v>
      </c>
      <c r="DI48" s="484">
        <v>2</v>
      </c>
      <c r="DJ48" s="484">
        <v>5</v>
      </c>
      <c r="DK48" s="484">
        <v>3</v>
      </c>
      <c r="DL48" s="484" t="s">
        <v>1124</v>
      </c>
      <c r="DM48" s="484">
        <v>0</v>
      </c>
      <c r="DN48" s="484">
        <v>0</v>
      </c>
      <c r="DO48" s="484">
        <v>0</v>
      </c>
      <c r="DP48" s="484">
        <v>0</v>
      </c>
      <c r="DQ48" s="484">
        <f>IF(VLOOKUP($BS48,'État &amp; Plan d''action'!$B$6:$AJ$1113,28,FALSE)="","",VLOOKUP($BS48,'État &amp; Plan d''action'!$B$6:$AJ$1113,28,FALSE))</f>
        <v>0</v>
      </c>
      <c r="DR48" s="70">
        <f>IF(VLOOKUP($BS48,'État &amp; Plan d''action'!$B$6:$AJ$1113,29,FALSE)="","",VLOOKUP($BS48,'État &amp; Plan d''action'!$B$6:$AJ$1113,29,FALSE))</f>
        <v>0</v>
      </c>
      <c r="DS48" s="70">
        <f>IF(VLOOKUP($BS48,'État &amp; Plan d''action'!$B$6:$AJ$1113,30,FALSE)="","",VLOOKUP($BS48,'État &amp; Plan d''action'!$B$6:$AJ$1113,30,FALSE))</f>
        <v>0</v>
      </c>
      <c r="DT48" s="70">
        <v>360</v>
      </c>
      <c r="DU48" s="485">
        <v>1.3241854076087249</v>
      </c>
      <c r="DV48" s="485">
        <v>0.69473097905290981</v>
      </c>
      <c r="DW48" s="70">
        <v>0</v>
      </c>
      <c r="DX48" s="70">
        <v>0</v>
      </c>
      <c r="DY48" s="70">
        <v>0</v>
      </c>
      <c r="DZ48" s="70">
        <f>VLOOKUP($BS48,'État &amp; Plan d''action'!$B$6:$AH$1113,31,FALSE)</f>
        <v>0</v>
      </c>
      <c r="EA48" s="70">
        <f>VLOOKUP($BS48,'État &amp; Plan d''action'!$B$6:$AH$1113,32,FALSE)</f>
        <v>0</v>
      </c>
      <c r="EB48" s="70">
        <f>VLOOKUP($BS48,'État &amp; Plan d''action'!$B$6:$AH$1113,33,FALSE)</f>
        <v>0</v>
      </c>
      <c r="EC48" s="70">
        <v>0</v>
      </c>
      <c r="ED48" s="70">
        <v>0</v>
      </c>
      <c r="EE48" s="70">
        <v>2.5</v>
      </c>
      <c r="EF48" s="70">
        <v>0</v>
      </c>
      <c r="EG48" s="70">
        <v>0</v>
      </c>
      <c r="EH48" s="72">
        <v>31</v>
      </c>
      <c r="EI48" s="72">
        <v>961</v>
      </c>
    </row>
    <row r="49" spans="1:139" ht="19.5" customHeight="1" x14ac:dyDescent="0.35">
      <c r="A49" s="1"/>
      <c r="B49" s="520" t="s">
        <v>4764</v>
      </c>
      <c r="C49" s="520"/>
      <c r="D49" s="520"/>
      <c r="E49"/>
      <c r="F49"/>
      <c r="G49"/>
      <c r="H49"/>
      <c r="I49"/>
      <c r="J49"/>
      <c r="K49"/>
      <c r="L49"/>
      <c r="M49"/>
      <c r="N49"/>
      <c r="O49" s="70"/>
      <c r="P49" s="70"/>
      <c r="Q49" s="70"/>
      <c r="R49" s="70"/>
      <c r="S49" s="95"/>
      <c r="T49" s="70"/>
      <c r="BS49" s="486">
        <v>19105</v>
      </c>
      <c r="BT49" s="479" t="s">
        <v>135</v>
      </c>
      <c r="BU49" s="479">
        <v>12</v>
      </c>
      <c r="BV49" s="476" t="s">
        <v>1187</v>
      </c>
      <c r="BW49" s="476" t="s">
        <v>1187</v>
      </c>
      <c r="BX49" s="476" t="s">
        <v>1187</v>
      </c>
      <c r="BY49" s="476" t="s">
        <v>1187</v>
      </c>
      <c r="BZ49" s="476" t="s">
        <v>1187</v>
      </c>
      <c r="CA49" s="476" t="s">
        <v>1187</v>
      </c>
      <c r="CB49" s="476" t="s">
        <v>1187</v>
      </c>
      <c r="CC49" s="476" t="s">
        <v>1187</v>
      </c>
      <c r="CD49" s="476" t="s">
        <v>1187</v>
      </c>
      <c r="CE49" s="476" t="s">
        <v>1188</v>
      </c>
      <c r="CF49" s="476" t="s">
        <v>1188</v>
      </c>
      <c r="CG49" s="476" t="s">
        <v>1187</v>
      </c>
      <c r="CH49" s="476" t="s">
        <v>1188</v>
      </c>
      <c r="CI49" s="476" t="s">
        <v>1188</v>
      </c>
      <c r="CJ49" s="476" t="s">
        <v>1188</v>
      </c>
      <c r="CK49" s="476" t="s">
        <v>1188</v>
      </c>
      <c r="CL49" s="476" t="s">
        <v>1188</v>
      </c>
      <c r="CM49" s="476" t="str">
        <f>IF(VLOOKUP(BS49,'Données par municipalité'!$B$6:$E$1113,4,FALSE)="","non","oui")</f>
        <v>oui</v>
      </c>
      <c r="CN49" s="410">
        <v>329.09984240289236</v>
      </c>
      <c r="CO49" s="410">
        <v>345.85380213795514</v>
      </c>
      <c r="CP49" s="410"/>
      <c r="CQ49" s="410">
        <v>318.98376852505294</v>
      </c>
      <c r="CR49" s="410">
        <v>316.05420007154436</v>
      </c>
      <c r="CS49" s="410">
        <v>334.79252256923672</v>
      </c>
      <c r="CT49" s="410">
        <v>199.64883918972728</v>
      </c>
      <c r="CU49" s="410">
        <v>199</v>
      </c>
      <c r="CV49" s="410">
        <f>IF(VLOOKUP(BS49,'Données par municipalité'!$B$6:$F$1113,4,FALSE)="","",VLOOKUP(BS49,'Données par municipalité'!$B$6:$F$1113,4,FALSE))</f>
        <v>202</v>
      </c>
      <c r="CW49" s="476" t="s">
        <v>4723</v>
      </c>
      <c r="CX49" s="483">
        <v>0</v>
      </c>
      <c r="CY49" s="483" t="s">
        <v>1124</v>
      </c>
      <c r="CZ49" s="483">
        <v>1</v>
      </c>
      <c r="DA49" s="483">
        <v>1</v>
      </c>
      <c r="DB49" s="483">
        <v>1</v>
      </c>
      <c r="DC49" s="483">
        <v>1</v>
      </c>
      <c r="DD49" s="483">
        <v>0</v>
      </c>
      <c r="DE49" s="483">
        <f>IFERROR(SUM(VLOOKUP($BS49,'État &amp; Plan d''action'!$B$6:$Z$1113,18,FALSE),VLOOKUP($BS49,'État &amp; Plan d''action'!$B$6:$Z$1113,20,FALSE))/(VLOOKUP($BS49,'Données par municipalité'!$B$4:$L$1113,11,FALSE)),"")</f>
        <v>1</v>
      </c>
      <c r="DF49" s="483">
        <f>IFERROR(SUM(VLOOKUP($BS49,'État &amp; Plan d''action'!$B$6:$Z$1113,19,FALSE),VLOOKUP($BS49,'État &amp; Plan d''action'!$B$6:$Z$1113,21,FALSE))/(VLOOKUP($BS49,'Données par municipalité'!$B$4:$L$1113,11,FALSE)),"")</f>
        <v>1</v>
      </c>
      <c r="DG49" s="476" t="s">
        <v>4723</v>
      </c>
      <c r="DH49" s="484">
        <v>0</v>
      </c>
      <c r="DI49" s="484" t="s">
        <v>1124</v>
      </c>
      <c r="DJ49" s="484">
        <v>0</v>
      </c>
      <c r="DK49" s="484">
        <v>1</v>
      </c>
      <c r="DL49" s="484">
        <v>4</v>
      </c>
      <c r="DM49" s="484">
        <v>2</v>
      </c>
      <c r="DN49" s="484">
        <v>0</v>
      </c>
      <c r="DO49" s="484">
        <v>0</v>
      </c>
      <c r="DP49" s="484">
        <v>0</v>
      </c>
      <c r="DQ49" s="484">
        <f>IF(VLOOKUP($BS49,'État &amp; Plan d''action'!$B$6:$AJ$1113,28,FALSE)="","",VLOOKUP($BS49,'État &amp; Plan d''action'!$B$6:$AJ$1113,28,FALSE))</f>
        <v>0</v>
      </c>
      <c r="DR49" s="70">
        <f>IF(VLOOKUP($BS49,'État &amp; Plan d''action'!$B$6:$AJ$1113,29,FALSE)="","",VLOOKUP($BS49,'État &amp; Plan d''action'!$B$6:$AJ$1113,29,FALSE))</f>
        <v>0</v>
      </c>
      <c r="DS49" s="70">
        <f>IF(VLOOKUP($BS49,'État &amp; Plan d''action'!$B$6:$AJ$1113,30,FALSE)="","",VLOOKUP($BS49,'État &amp; Plan d''action'!$B$6:$AJ$1113,30,FALSE))</f>
        <v>0</v>
      </c>
      <c r="DT49" s="70">
        <v>148</v>
      </c>
      <c r="DU49" s="485">
        <v>1.9281480873822689</v>
      </c>
      <c r="DV49" s="485">
        <v>1.9281600932856773</v>
      </c>
      <c r="DW49" s="70">
        <v>0</v>
      </c>
      <c r="DX49" s="70">
        <v>0</v>
      </c>
      <c r="DY49" s="70">
        <v>0</v>
      </c>
      <c r="DZ49" s="70">
        <f>VLOOKUP($BS49,'État &amp; Plan d''action'!$B$6:$AH$1113,31,FALSE)</f>
        <v>0</v>
      </c>
      <c r="EA49" s="70">
        <f>VLOOKUP($BS49,'État &amp; Plan d''action'!$B$6:$AH$1113,32,FALSE)</f>
        <v>0</v>
      </c>
      <c r="EB49" s="70">
        <f>VLOOKUP($BS49,'État &amp; Plan d''action'!$B$6:$AH$1113,33,FALSE)</f>
        <v>0</v>
      </c>
      <c r="EC49" s="70">
        <v>0</v>
      </c>
      <c r="ED49" s="70">
        <v>0</v>
      </c>
      <c r="EE49" s="70">
        <v>0</v>
      </c>
      <c r="EF49" s="70">
        <v>0</v>
      </c>
      <c r="EG49" s="70">
        <v>0</v>
      </c>
      <c r="EH49" s="72">
        <v>59</v>
      </c>
      <c r="EI49" s="72">
        <v>2980</v>
      </c>
    </row>
    <row r="50" spans="1:139" s="413" customFormat="1" ht="45" customHeight="1" x14ac:dyDescent="0.65">
      <c r="A50" s="345"/>
      <c r="B50" s="343" t="s">
        <v>4719</v>
      </c>
      <c r="C50" s="343"/>
      <c r="D50" s="343"/>
      <c r="E50" s="343"/>
      <c r="F50" s="343"/>
      <c r="G50" s="343"/>
      <c r="H50" s="343"/>
      <c r="I50" s="343"/>
      <c r="J50" s="343"/>
      <c r="K50" s="343"/>
      <c r="L50" s="343"/>
      <c r="M50" s="343"/>
      <c r="N50" s="343"/>
      <c r="O50" s="346"/>
      <c r="P50" s="346"/>
      <c r="Q50" s="346"/>
      <c r="R50" s="346"/>
      <c r="S50" s="346"/>
      <c r="U50" s="357"/>
      <c r="V50" s="357"/>
      <c r="W50" s="70"/>
      <c r="X50" s="70"/>
      <c r="Y50" s="70"/>
      <c r="Z50" s="70"/>
      <c r="AA50" s="70"/>
      <c r="AB50" s="70"/>
      <c r="AC50" s="497"/>
      <c r="BR50" s="70"/>
      <c r="BS50" s="487">
        <v>21025</v>
      </c>
      <c r="BT50" s="488" t="s">
        <v>148</v>
      </c>
      <c r="BU50" s="488">
        <v>3</v>
      </c>
      <c r="BV50" s="489" t="s">
        <v>1187</v>
      </c>
      <c r="BW50" s="489" t="s">
        <v>1187</v>
      </c>
      <c r="BX50" s="489" t="s">
        <v>1187</v>
      </c>
      <c r="BY50" s="489" t="s">
        <v>1187</v>
      </c>
      <c r="BZ50" s="489" t="s">
        <v>1187</v>
      </c>
      <c r="CA50" s="489" t="s">
        <v>1187</v>
      </c>
      <c r="CB50" s="489" t="s">
        <v>1187</v>
      </c>
      <c r="CC50" s="489" t="s">
        <v>1187</v>
      </c>
      <c r="CD50" s="489" t="s">
        <v>1187</v>
      </c>
      <c r="CE50" s="489" t="s">
        <v>1188</v>
      </c>
      <c r="CF50" s="489" t="s">
        <v>1188</v>
      </c>
      <c r="CG50" s="489" t="s">
        <v>1188</v>
      </c>
      <c r="CH50" s="489" t="s">
        <v>1188</v>
      </c>
      <c r="CI50" s="489" t="s">
        <v>1188</v>
      </c>
      <c r="CJ50" s="489" t="s">
        <v>1188</v>
      </c>
      <c r="CK50" s="489" t="s">
        <v>1188</v>
      </c>
      <c r="CL50" s="489" t="s">
        <v>1188</v>
      </c>
      <c r="CM50" s="489" t="str">
        <f>IF(VLOOKUP(BS50,'Données par municipalité'!$B$6:$E$1113,4,FALSE)="","non","oui")</f>
        <v>oui</v>
      </c>
      <c r="CN50" s="490">
        <v>373.34516997872481</v>
      </c>
      <c r="CO50" s="490">
        <v>318.19335403749631</v>
      </c>
      <c r="CP50" s="490">
        <v>580.89389052209333</v>
      </c>
      <c r="CQ50" s="490">
        <v>594.90381207807036</v>
      </c>
      <c r="CR50" s="490">
        <v>502.94823766529504</v>
      </c>
      <c r="CS50" s="490">
        <v>553.88666525204792</v>
      </c>
      <c r="CT50" s="490">
        <v>516.52646302374785</v>
      </c>
      <c r="CU50" s="490">
        <v>508</v>
      </c>
      <c r="CV50" s="490">
        <f>IF(VLOOKUP(BS50,'Données par municipalité'!$B$6:$F$1113,4,FALSE)="","",VLOOKUP(BS50,'Données par municipalité'!$B$6:$F$1113,4,FALSE))</f>
        <v>479</v>
      </c>
      <c r="CW50" s="489" t="s">
        <v>4723</v>
      </c>
      <c r="CX50" s="491">
        <v>0</v>
      </c>
      <c r="CY50" s="491">
        <v>0.2</v>
      </c>
      <c r="CZ50" s="491">
        <v>0.2</v>
      </c>
      <c r="DA50" s="491">
        <v>0.2</v>
      </c>
      <c r="DB50" s="491">
        <v>0.2</v>
      </c>
      <c r="DC50" s="491">
        <v>1</v>
      </c>
      <c r="DD50" s="491">
        <v>0</v>
      </c>
      <c r="DE50" s="491">
        <f>IFERROR(SUM(VLOOKUP($BS50,'État &amp; Plan d''action'!$B$6:$Z$1113,18,FALSE),VLOOKUP($BS50,'État &amp; Plan d''action'!$B$6:$Z$1113,20,FALSE))/(VLOOKUP($BS50,'Données par municipalité'!$B$4:$L$1113,11,FALSE)),"")</f>
        <v>0</v>
      </c>
      <c r="DF50" s="491">
        <f>IFERROR(SUM(VLOOKUP($BS50,'État &amp; Plan d''action'!$B$6:$Z$1113,19,FALSE),VLOOKUP($BS50,'État &amp; Plan d''action'!$B$6:$Z$1113,21,FALSE))/(VLOOKUP($BS50,'Données par municipalité'!$B$4:$L$1113,11,FALSE)),"")</f>
        <v>0</v>
      </c>
      <c r="DG50" s="489" t="s">
        <v>4723</v>
      </c>
      <c r="DH50" s="492">
        <v>2</v>
      </c>
      <c r="DI50" s="492">
        <v>2</v>
      </c>
      <c r="DJ50" s="492">
        <v>2</v>
      </c>
      <c r="DK50" s="492">
        <v>4</v>
      </c>
      <c r="DL50" s="492">
        <v>7</v>
      </c>
      <c r="DM50" s="492">
        <v>4</v>
      </c>
      <c r="DN50" s="492">
        <v>3</v>
      </c>
      <c r="DO50" s="492">
        <v>3</v>
      </c>
      <c r="DP50" s="492">
        <v>0</v>
      </c>
      <c r="DQ50" s="492">
        <f>IF(VLOOKUP($BS50,'État &amp; Plan d''action'!$B$6:$AJ$1113,28,FALSE)="","",VLOOKUP($BS50,'État &amp; Plan d''action'!$B$6:$AJ$1113,28,FALSE))</f>
        <v>3</v>
      </c>
      <c r="DR50" s="413">
        <f>IF(VLOOKUP($BS50,'État &amp; Plan d''action'!$B$6:$AJ$1113,29,FALSE)="","",VLOOKUP($BS50,'État &amp; Plan d''action'!$B$6:$AJ$1113,29,FALSE))</f>
        <v>3</v>
      </c>
      <c r="DS50" s="413">
        <f>IF(VLOOKUP($BS50,'État &amp; Plan d''action'!$B$6:$AJ$1113,30,FALSE)="","",VLOOKUP($BS50,'État &amp; Plan d''action'!$B$6:$AJ$1113,30,FALSE))</f>
        <v>1</v>
      </c>
      <c r="DT50" s="413">
        <v>324</v>
      </c>
      <c r="DU50" s="493">
        <v>1.9207048061490557</v>
      </c>
      <c r="DV50" s="493">
        <v>1.579795720980147</v>
      </c>
      <c r="DW50" s="413">
        <v>5</v>
      </c>
      <c r="DX50" s="413">
        <v>5</v>
      </c>
      <c r="DY50" s="413">
        <v>0</v>
      </c>
      <c r="DZ50" s="413">
        <f>VLOOKUP($BS50,'État &amp; Plan d''action'!$B$6:$AH$1113,31,FALSE)</f>
        <v>4</v>
      </c>
      <c r="EA50" s="413">
        <f>VLOOKUP($BS50,'État &amp; Plan d''action'!$B$6:$AH$1113,32,FALSE)</f>
        <v>4</v>
      </c>
      <c r="EB50" s="413">
        <f>VLOOKUP($BS50,'État &amp; Plan d''action'!$B$6:$AH$1113,33,FALSE)</f>
        <v>14</v>
      </c>
      <c r="EC50" s="413">
        <v>0</v>
      </c>
      <c r="ED50" s="413">
        <v>0</v>
      </c>
      <c r="EE50" s="413">
        <v>0</v>
      </c>
      <c r="EF50" s="413">
        <v>0</v>
      </c>
      <c r="EG50" s="413">
        <v>0</v>
      </c>
      <c r="EH50" s="494">
        <v>56</v>
      </c>
      <c r="EI50" s="72">
        <v>3859</v>
      </c>
    </row>
    <row r="51" spans="1:139" ht="15.75" customHeight="1" x14ac:dyDescent="0.35">
      <c r="A51" s="542"/>
      <c r="B51" s="542"/>
      <c r="C51" s="542"/>
      <c r="D51" s="542"/>
      <c r="E51" s="542"/>
      <c r="F51" s="542"/>
      <c r="G51" s="542"/>
      <c r="H51" s="542"/>
      <c r="I51" s="542"/>
      <c r="J51" s="542"/>
      <c r="K51" s="542"/>
      <c r="L51" s="542"/>
      <c r="M51" s="542"/>
      <c r="N51" s="542"/>
      <c r="O51" s="542"/>
      <c r="P51" s="542"/>
      <c r="Q51" s="542"/>
      <c r="R51" s="542"/>
      <c r="S51" s="542"/>
      <c r="T51" s="542"/>
      <c r="BS51" s="486">
        <v>38010</v>
      </c>
      <c r="BT51" s="479" t="s">
        <v>326</v>
      </c>
      <c r="BU51" s="479">
        <v>17</v>
      </c>
      <c r="BV51" s="476" t="s">
        <v>1187</v>
      </c>
      <c r="BW51" s="476" t="s">
        <v>1187</v>
      </c>
      <c r="BX51" s="476" t="s">
        <v>1187</v>
      </c>
      <c r="BY51" s="476" t="s">
        <v>1187</v>
      </c>
      <c r="BZ51" s="476" t="s">
        <v>1187</v>
      </c>
      <c r="CA51" s="476" t="s">
        <v>1187</v>
      </c>
      <c r="CB51" s="476" t="s">
        <v>1187</v>
      </c>
      <c r="CC51" s="476" t="s">
        <v>1187</v>
      </c>
      <c r="CD51" s="476" t="s">
        <v>1187</v>
      </c>
      <c r="CE51" s="476" t="s">
        <v>1188</v>
      </c>
      <c r="CF51" s="476" t="s">
        <v>1188</v>
      </c>
      <c r="CG51" s="476" t="s">
        <v>1188</v>
      </c>
      <c r="CH51" s="476" t="s">
        <v>1188</v>
      </c>
      <c r="CI51" s="476" t="s">
        <v>1188</v>
      </c>
      <c r="CJ51" s="476" t="s">
        <v>1188</v>
      </c>
      <c r="CK51" s="476" t="s">
        <v>1188</v>
      </c>
      <c r="CL51" s="476" t="s">
        <v>1188</v>
      </c>
      <c r="CM51" s="476" t="str">
        <f>IF(VLOOKUP(BS51,'Données par municipalité'!$B$6:$E$1113,4,FALSE)="","non","oui")</f>
        <v>oui</v>
      </c>
      <c r="CN51" s="410">
        <v>851.99918672945842</v>
      </c>
      <c r="CO51" s="410">
        <v>453.71226550138505</v>
      </c>
      <c r="CP51" s="410">
        <v>444.44488169204317</v>
      </c>
      <c r="CQ51" s="410">
        <v>378.67780293243629</v>
      </c>
      <c r="CR51" s="410">
        <v>323.52000163663593</v>
      </c>
      <c r="CS51" s="410">
        <v>340.98650548622282</v>
      </c>
      <c r="CT51" s="410">
        <v>342.18509244589734</v>
      </c>
      <c r="CU51" s="410">
        <v>336</v>
      </c>
      <c r="CV51" s="410">
        <f>IF(VLOOKUP(BS51,'Données par municipalité'!$B$6:$F$1113,4,FALSE)="","",VLOOKUP(BS51,'Données par municipalité'!$B$6:$F$1113,4,FALSE))</f>
        <v>457</v>
      </c>
      <c r="CW51" s="476" t="s">
        <v>4723</v>
      </c>
      <c r="CX51" s="483">
        <v>0.2</v>
      </c>
      <c r="CY51" s="483">
        <v>0.2</v>
      </c>
      <c r="CZ51" s="483">
        <v>0.2</v>
      </c>
      <c r="DA51" s="483">
        <v>0.2</v>
      </c>
      <c r="DB51" s="483">
        <v>0.2</v>
      </c>
      <c r="DC51" s="483">
        <v>0.2</v>
      </c>
      <c r="DD51" s="483">
        <v>0.19657059908670274</v>
      </c>
      <c r="DE51" s="483">
        <f>IFERROR(SUM(VLOOKUP($BS51,'État &amp; Plan d''action'!$B$6:$Z$1113,18,FALSE),VLOOKUP($BS51,'État &amp; Plan d''action'!$B$6:$Z$1113,20,FALSE))/(VLOOKUP($BS51,'Données par municipalité'!$B$4:$L$1113,11,FALSE)),"")</f>
        <v>6.0052305558141138E-4</v>
      </c>
      <c r="DF51" s="483">
        <f>IFERROR(SUM(VLOOKUP($BS51,'État &amp; Plan d''action'!$B$6:$Z$1113,19,FALSE),VLOOKUP($BS51,'État &amp; Plan d''action'!$B$6:$Z$1113,21,FALSE))/(VLOOKUP($BS51,'Données par municipalité'!$B$4:$L$1113,11,FALSE)),"")</f>
        <v>6.0052305558141138E-4</v>
      </c>
      <c r="DG51" s="476" t="s">
        <v>4723</v>
      </c>
      <c r="DH51" s="484">
        <v>3</v>
      </c>
      <c r="DI51" s="484">
        <v>5</v>
      </c>
      <c r="DJ51" s="484">
        <v>34</v>
      </c>
      <c r="DK51" s="484">
        <v>30</v>
      </c>
      <c r="DL51" s="484">
        <v>25</v>
      </c>
      <c r="DM51" s="484">
        <v>20</v>
      </c>
      <c r="DN51" s="484">
        <v>32</v>
      </c>
      <c r="DO51" s="484">
        <v>8</v>
      </c>
      <c r="DP51" s="484">
        <v>3</v>
      </c>
      <c r="DQ51" s="484">
        <f>IF(VLOOKUP($BS51,'État &amp; Plan d''action'!$B$6:$AJ$1113,28,FALSE)="","",VLOOKUP($BS51,'État &amp; Plan d''action'!$B$6:$AJ$1113,28,FALSE))</f>
        <v>22</v>
      </c>
      <c r="DR51" s="70">
        <f>IF(VLOOKUP($BS51,'État &amp; Plan d''action'!$B$6:$AJ$1113,29,FALSE)="","",VLOOKUP($BS51,'État &amp; Plan d''action'!$B$6:$AJ$1113,29,FALSE))</f>
        <v>2</v>
      </c>
      <c r="DS51" s="70">
        <f>IF(VLOOKUP($BS51,'État &amp; Plan d''action'!$B$6:$AJ$1113,30,FALSE)="","",VLOOKUP($BS51,'État &amp; Plan d''action'!$B$6:$AJ$1113,30,FALSE))</f>
        <v>2</v>
      </c>
      <c r="DT51" s="70">
        <v>198</v>
      </c>
      <c r="DU51" s="485">
        <v>1.984827866486417</v>
      </c>
      <c r="DV51" s="485">
        <v>2.0950650765453318</v>
      </c>
      <c r="DW51" s="70">
        <v>1</v>
      </c>
      <c r="DX51" s="70">
        <v>2</v>
      </c>
      <c r="DY51" s="70">
        <v>5</v>
      </c>
      <c r="DZ51" s="70">
        <f>VLOOKUP($BS51,'État &amp; Plan d''action'!$B$6:$AH$1113,31,FALSE)</f>
        <v>1</v>
      </c>
      <c r="EA51" s="70">
        <f>VLOOKUP($BS51,'État &amp; Plan d''action'!$B$6:$AH$1113,32,FALSE)</f>
        <v>2</v>
      </c>
      <c r="EB51" s="70">
        <f>VLOOKUP($BS51,'État &amp; Plan d''action'!$B$6:$AH$1113,33,FALSE)</f>
        <v>4</v>
      </c>
      <c r="EC51" s="70">
        <v>0</v>
      </c>
      <c r="ED51" s="70">
        <v>65</v>
      </c>
      <c r="EE51" s="70">
        <v>0</v>
      </c>
      <c r="EF51" s="70">
        <v>0</v>
      </c>
      <c r="EG51" s="70">
        <v>0</v>
      </c>
      <c r="EH51" s="72">
        <v>56</v>
      </c>
      <c r="EI51" s="72">
        <v>13235</v>
      </c>
    </row>
    <row r="52" spans="1:139" ht="15.75" customHeight="1" thickBot="1" x14ac:dyDescent="0.4">
      <c r="A52" s="1"/>
      <c r="B52"/>
      <c r="C52"/>
      <c r="D52"/>
      <c r="E52"/>
      <c r="F52"/>
      <c r="G52"/>
      <c r="H52"/>
      <c r="I52"/>
      <c r="J52"/>
      <c r="K52"/>
      <c r="L52"/>
      <c r="M52"/>
      <c r="N52"/>
      <c r="O52" s="70"/>
      <c r="P52" s="70"/>
      <c r="Q52" s="70"/>
      <c r="R52" s="70"/>
      <c r="S52" s="95"/>
      <c r="T52" s="70"/>
      <c r="BS52" s="486">
        <v>46040</v>
      </c>
      <c r="BT52" s="479" t="s">
        <v>433</v>
      </c>
      <c r="BU52" s="479">
        <v>5</v>
      </c>
      <c r="BV52" s="476" t="s">
        <v>1188</v>
      </c>
      <c r="BW52" s="476" t="s">
        <v>1188</v>
      </c>
      <c r="BX52" s="476" t="s">
        <v>1188</v>
      </c>
      <c r="BY52" s="476" t="s">
        <v>1188</v>
      </c>
      <c r="BZ52" s="476" t="s">
        <v>1188</v>
      </c>
      <c r="CA52" s="476" t="s">
        <v>1188</v>
      </c>
      <c r="CB52" s="476" t="s">
        <v>1188</v>
      </c>
      <c r="CC52" s="476" t="s">
        <v>1188</v>
      </c>
      <c r="CD52" s="476" t="s">
        <v>1188</v>
      </c>
      <c r="CE52" s="476" t="s">
        <v>1187</v>
      </c>
      <c r="CF52" s="476" t="s">
        <v>1187</v>
      </c>
      <c r="CG52" s="476" t="s">
        <v>1187</v>
      </c>
      <c r="CH52" s="476" t="s">
        <v>1187</v>
      </c>
      <c r="CI52" s="476" t="s">
        <v>1187</v>
      </c>
      <c r="CJ52" s="476" t="s">
        <v>1187</v>
      </c>
      <c r="CK52" s="476" t="s">
        <v>1187</v>
      </c>
      <c r="CL52" s="476" t="s">
        <v>1187</v>
      </c>
      <c r="CM52" s="476" t="str">
        <f>IF(VLOOKUP(BS52,'Données par municipalité'!$B$6:$E$1113,4,FALSE)="","non","oui")</f>
        <v>non</v>
      </c>
      <c r="CN52" s="410" t="s">
        <v>1124</v>
      </c>
      <c r="CO52" s="410" t="s">
        <v>1124</v>
      </c>
      <c r="CP52" s="410"/>
      <c r="CQ52" s="410"/>
      <c r="CR52" s="410"/>
      <c r="CS52" s="410" t="s">
        <v>1124</v>
      </c>
      <c r="CT52" s="410"/>
      <c r="CU52" s="410" t="s">
        <v>1124</v>
      </c>
      <c r="CV52" s="410" t="str">
        <f>IF(VLOOKUP(BS52,'Données par municipalité'!$B$6:$F$1113,4,FALSE)="","",VLOOKUP(BS52,'Données par municipalité'!$B$6:$F$1113,4,FALSE))</f>
        <v/>
      </c>
      <c r="CW52" s="476" t="s">
        <v>4723</v>
      </c>
      <c r="CX52" s="483" t="s">
        <v>1124</v>
      </c>
      <c r="CY52" s="483" t="s">
        <v>1124</v>
      </c>
      <c r="CZ52" s="483" t="s">
        <v>1124</v>
      </c>
      <c r="DA52" s="483" t="s">
        <v>1124</v>
      </c>
      <c r="DB52" s="483" t="s">
        <v>1124</v>
      </c>
      <c r="DC52" s="483" t="s">
        <v>1124</v>
      </c>
      <c r="DD52" s="483" t="s">
        <v>1124</v>
      </c>
      <c r="DE52" s="483" t="str">
        <f>IFERROR(SUM(VLOOKUP($BS52,'État &amp; Plan d''action'!$B$6:$Z$1113,18,FALSE),VLOOKUP($BS52,'État &amp; Plan d''action'!$B$6:$Z$1113,20,FALSE))/(VLOOKUP($BS52,'Données par municipalité'!$B$4:$L$1113,11,FALSE)),"")</f>
        <v/>
      </c>
      <c r="DF52" s="483" t="str">
        <f>IFERROR(SUM(VLOOKUP($BS52,'État &amp; Plan d''action'!$B$6:$Z$1113,19,FALSE),VLOOKUP($BS52,'État &amp; Plan d''action'!$B$6:$Z$1113,21,FALSE))/(VLOOKUP($BS52,'Données par municipalité'!$B$4:$L$1113,11,FALSE)),"")</f>
        <v/>
      </c>
      <c r="DG52" s="476" t="s">
        <v>4723</v>
      </c>
      <c r="DH52" s="484" t="s">
        <v>1124</v>
      </c>
      <c r="DI52" s="484" t="s">
        <v>1124</v>
      </c>
      <c r="DJ52" s="484">
        <v>0</v>
      </c>
      <c r="DK52" s="484">
        <v>0</v>
      </c>
      <c r="DL52" s="484" t="s">
        <v>1124</v>
      </c>
      <c r="DM52" s="484" t="s">
        <v>1124</v>
      </c>
      <c r="DN52" s="484" t="s">
        <v>1124</v>
      </c>
      <c r="DO52" s="484" t="s">
        <v>1124</v>
      </c>
      <c r="DP52" s="484" t="s">
        <v>1124</v>
      </c>
      <c r="DQ52" s="484" t="str">
        <f>IF(VLOOKUP($BS52,'État &amp; Plan d''action'!$B$6:$AJ$1113,28,FALSE)="","",VLOOKUP($BS52,'État &amp; Plan d''action'!$B$6:$AJ$1113,28,FALSE))</f>
        <v/>
      </c>
      <c r="DR52" s="70" t="str">
        <f>IF(VLOOKUP($BS52,'État &amp; Plan d''action'!$B$6:$AJ$1113,29,FALSE)="","",VLOOKUP($BS52,'État &amp; Plan d''action'!$B$6:$AJ$1113,29,FALSE))</f>
        <v/>
      </c>
      <c r="DS52" s="70" t="str">
        <f>IF(VLOOKUP($BS52,'État &amp; Plan d''action'!$B$6:$AJ$1113,30,FALSE)="","",VLOOKUP($BS52,'État &amp; Plan d''action'!$B$6:$AJ$1113,30,FALSE))</f>
        <v/>
      </c>
      <c r="DT52" s="70" t="s">
        <v>1124</v>
      </c>
      <c r="DU52" s="485" t="s">
        <v>1124</v>
      </c>
      <c r="DV52" s="485" t="s">
        <v>1124</v>
      </c>
      <c r="DW52" s="70" t="s">
        <v>1124</v>
      </c>
      <c r="DX52" s="70" t="s">
        <v>1124</v>
      </c>
      <c r="DY52" s="70" t="s">
        <v>1124</v>
      </c>
      <c r="DZ52" s="70" t="str">
        <f>VLOOKUP($BS52,'État &amp; Plan d''action'!$B$6:$AH$1113,31,FALSE)</f>
        <v/>
      </c>
      <c r="EA52" s="70" t="str">
        <f>VLOOKUP($BS52,'État &amp; Plan d''action'!$B$6:$AH$1113,32,FALSE)</f>
        <v/>
      </c>
      <c r="EB52" s="70" t="str">
        <f>VLOOKUP($BS52,'État &amp; Plan d''action'!$B$6:$AH$1113,33,FALSE)</f>
        <v/>
      </c>
      <c r="EC52" s="70" t="s">
        <v>1124</v>
      </c>
      <c r="ED52" s="70" t="s">
        <v>1124</v>
      </c>
      <c r="EE52" s="70" t="s">
        <v>1124</v>
      </c>
      <c r="EF52" s="70" t="s">
        <v>1124</v>
      </c>
      <c r="EG52" s="70" t="s">
        <v>1124</v>
      </c>
      <c r="EH52" s="72"/>
      <c r="EI52" s="72">
        <v>701</v>
      </c>
    </row>
    <row r="53" spans="1:139" ht="20.149999999999999" customHeight="1" thickBot="1" x14ac:dyDescent="0.4">
      <c r="A53" s="1"/>
      <c r="B53"/>
      <c r="C53"/>
      <c r="D53"/>
      <c r="E53" s="95"/>
      <c r="F53" s="95"/>
      <c r="G53" s="347"/>
      <c r="H53" s="349" t="s">
        <v>4722</v>
      </c>
      <c r="I53" s="348" t="str">
        <f>IF(W20="tout le québec","",IF(AF25="non","Non disponible",VLOOKUP(W21,'Données par municipalité'!B6:H1113,7,FALSE)))</f>
        <v/>
      </c>
      <c r="J53" s="95"/>
      <c r="K53" s="95"/>
      <c r="L53" s="95"/>
      <c r="M53"/>
      <c r="N53"/>
      <c r="O53" s="70"/>
      <c r="P53" s="70"/>
      <c r="Q53" s="70"/>
      <c r="R53" s="70"/>
      <c r="S53" s="95"/>
      <c r="T53" s="70"/>
      <c r="AH53" s="476"/>
      <c r="BS53" s="486">
        <v>46035</v>
      </c>
      <c r="BT53" s="479" t="s">
        <v>432</v>
      </c>
      <c r="BU53" s="479">
        <v>5</v>
      </c>
      <c r="BV53" s="476" t="s">
        <v>1187</v>
      </c>
      <c r="BW53" s="476" t="s">
        <v>1187</v>
      </c>
      <c r="BX53" s="476" t="s">
        <v>1187</v>
      </c>
      <c r="BY53" s="476" t="s">
        <v>1187</v>
      </c>
      <c r="BZ53" s="476" t="s">
        <v>1187</v>
      </c>
      <c r="CA53" s="476" t="s">
        <v>1187</v>
      </c>
      <c r="CB53" s="476" t="s">
        <v>1187</v>
      </c>
      <c r="CC53" s="476" t="s">
        <v>1187</v>
      </c>
      <c r="CD53" s="476" t="s">
        <v>1187</v>
      </c>
      <c r="CE53" s="476" t="s">
        <v>1188</v>
      </c>
      <c r="CF53" s="476" t="s">
        <v>1188</v>
      </c>
      <c r="CG53" s="476" t="s">
        <v>1187</v>
      </c>
      <c r="CH53" s="476" t="s">
        <v>1187</v>
      </c>
      <c r="CI53" s="476" t="s">
        <v>1187</v>
      </c>
      <c r="CJ53" s="476" t="s">
        <v>1187</v>
      </c>
      <c r="CK53" s="476" t="s">
        <v>1187</v>
      </c>
      <c r="CL53" s="476" t="s">
        <v>1188</v>
      </c>
      <c r="CM53" s="476" t="str">
        <f>IF(VLOOKUP(BS53,'Données par municipalité'!$B$6:$E$1113,4,FALSE)="","non","oui")</f>
        <v>oui</v>
      </c>
      <c r="CN53" s="410">
        <v>807.51131761310489</v>
      </c>
      <c r="CO53" s="410">
        <v>866.59501756232964</v>
      </c>
      <c r="CP53" s="410"/>
      <c r="CQ53" s="410"/>
      <c r="CR53" s="410"/>
      <c r="CS53" s="410" t="s">
        <v>1124</v>
      </c>
      <c r="CT53" s="410"/>
      <c r="CU53" s="410">
        <v>732</v>
      </c>
      <c r="CV53" s="410">
        <f>IF(VLOOKUP(BS53,'Données par municipalité'!$B$6:$F$1113,4,FALSE)="","",VLOOKUP(BS53,'Données par municipalité'!$B$6:$F$1113,4,FALSE))</f>
        <v>597</v>
      </c>
      <c r="CW53" s="476" t="s">
        <v>4723</v>
      </c>
      <c r="CX53" s="483">
        <v>0.05</v>
      </c>
      <c r="CY53" s="483" t="s">
        <v>1124</v>
      </c>
      <c r="CZ53" s="483" t="s">
        <v>1124</v>
      </c>
      <c r="DA53" s="483" t="s">
        <v>1124</v>
      </c>
      <c r="DB53" s="483" t="s">
        <v>1124</v>
      </c>
      <c r="DC53" s="483" t="s">
        <v>1124</v>
      </c>
      <c r="DD53" s="483">
        <v>1.2814488915467088</v>
      </c>
      <c r="DE53" s="483">
        <f>IFERROR(SUM(VLOOKUP($BS53,'État &amp; Plan d''action'!$B$6:$Z$1113,18,FALSE),VLOOKUP($BS53,'État &amp; Plan d''action'!$B$6:$Z$1113,20,FALSE))/(VLOOKUP($BS53,'Données par municipalité'!$B$4:$L$1113,11,FALSE)),"")</f>
        <v>1</v>
      </c>
      <c r="DF53" s="483">
        <f>IFERROR(SUM(VLOOKUP($BS53,'État &amp; Plan d''action'!$B$6:$Z$1113,19,FALSE),VLOOKUP($BS53,'État &amp; Plan d''action'!$B$6:$Z$1113,21,FALSE))/(VLOOKUP($BS53,'Données par municipalité'!$B$4:$L$1113,11,FALSE)),"")</f>
        <v>1</v>
      </c>
      <c r="DG53" s="476" t="s">
        <v>4723</v>
      </c>
      <c r="DH53" s="484">
        <v>6</v>
      </c>
      <c r="DI53" s="484" t="s">
        <v>1124</v>
      </c>
      <c r="DJ53" s="484">
        <v>0</v>
      </c>
      <c r="DK53" s="484">
        <v>0</v>
      </c>
      <c r="DL53" s="484" t="s">
        <v>1124</v>
      </c>
      <c r="DM53" s="484" t="s">
        <v>1124</v>
      </c>
      <c r="DN53" s="484">
        <v>0</v>
      </c>
      <c r="DO53" s="484">
        <v>8</v>
      </c>
      <c r="DP53" s="484">
        <v>2</v>
      </c>
      <c r="DQ53" s="484">
        <f>IF(VLOOKUP($BS53,'État &amp; Plan d''action'!$B$6:$AJ$1113,28,FALSE)="","",VLOOKUP($BS53,'État &amp; Plan d''action'!$B$6:$AJ$1113,28,FALSE))</f>
        <v>1</v>
      </c>
      <c r="DR53" s="70">
        <f>IF(VLOOKUP($BS53,'État &amp; Plan d''action'!$B$6:$AJ$1113,29,FALSE)="","",VLOOKUP($BS53,'État &amp; Plan d''action'!$B$6:$AJ$1113,29,FALSE))</f>
        <v>2</v>
      </c>
      <c r="DS53" s="70">
        <f>IF(VLOOKUP($BS53,'État &amp; Plan d''action'!$B$6:$AJ$1113,30,FALSE)="","",VLOOKUP($BS53,'État &amp; Plan d''action'!$B$6:$AJ$1113,30,FALSE))</f>
        <v>0</v>
      </c>
      <c r="DT53" s="70">
        <v>270</v>
      </c>
      <c r="DU53" s="485">
        <v>3.5201877247339399</v>
      </c>
      <c r="DV53" s="485">
        <v>7.5866394481489445</v>
      </c>
      <c r="DW53" s="70">
        <v>0</v>
      </c>
      <c r="DX53" s="70">
        <v>1</v>
      </c>
      <c r="DY53" s="70">
        <v>1</v>
      </c>
      <c r="DZ53" s="70">
        <f>VLOOKUP($BS53,'État &amp; Plan d''action'!$B$6:$AH$1113,31,FALSE)</f>
        <v>1</v>
      </c>
      <c r="EA53" s="70">
        <f>VLOOKUP($BS53,'État &amp; Plan d''action'!$B$6:$AH$1113,32,FALSE)</f>
        <v>2</v>
      </c>
      <c r="EB53" s="70">
        <f>VLOOKUP($BS53,'État &amp; Plan d''action'!$B$6:$AH$1113,33,FALSE)</f>
        <v>0</v>
      </c>
      <c r="EC53" s="70">
        <v>0</v>
      </c>
      <c r="ED53" s="70">
        <v>30</v>
      </c>
      <c r="EE53" s="70">
        <v>0</v>
      </c>
      <c r="EF53" s="70">
        <v>0</v>
      </c>
      <c r="EG53" s="70">
        <v>0</v>
      </c>
      <c r="EH53" s="72">
        <v>53</v>
      </c>
      <c r="EI53" s="72">
        <v>2594</v>
      </c>
    </row>
    <row r="54" spans="1:139" ht="15.75" customHeight="1" x14ac:dyDescent="0.35">
      <c r="A54" s="1"/>
      <c r="B54"/>
      <c r="C54"/>
      <c r="D54"/>
      <c r="E54"/>
      <c r="F54"/>
      <c r="G54"/>
      <c r="H54"/>
      <c r="I54"/>
      <c r="J54"/>
      <c r="K54"/>
      <c r="L54"/>
      <c r="M54"/>
      <c r="N54"/>
      <c r="O54" s="70"/>
      <c r="P54" s="70"/>
      <c r="Q54" s="70"/>
      <c r="R54" s="70"/>
      <c r="S54" s="95"/>
      <c r="T54" s="70"/>
      <c r="AH54" s="476"/>
      <c r="BS54" s="486">
        <v>94250</v>
      </c>
      <c r="BT54" s="479" t="s">
        <v>982</v>
      </c>
      <c r="BU54" s="479">
        <v>2</v>
      </c>
      <c r="BV54" s="476" t="s">
        <v>1187</v>
      </c>
      <c r="BW54" s="476" t="s">
        <v>1187</v>
      </c>
      <c r="BX54" s="476" t="s">
        <v>1187</v>
      </c>
      <c r="BY54" s="476" t="s">
        <v>1187</v>
      </c>
      <c r="BZ54" s="476" t="s">
        <v>1187</v>
      </c>
      <c r="CA54" s="476" t="s">
        <v>1187</v>
      </c>
      <c r="CB54" s="476" t="s">
        <v>1187</v>
      </c>
      <c r="CC54" s="476" t="s">
        <v>1187</v>
      </c>
      <c r="CD54" s="476" t="s">
        <v>1187</v>
      </c>
      <c r="CE54" s="476" t="s">
        <v>1188</v>
      </c>
      <c r="CF54" s="476" t="s">
        <v>1188</v>
      </c>
      <c r="CG54" s="476" t="s">
        <v>1188</v>
      </c>
      <c r="CH54" s="476" t="s">
        <v>1188</v>
      </c>
      <c r="CI54" s="476" t="s">
        <v>1188</v>
      </c>
      <c r="CJ54" s="476" t="s">
        <v>1188</v>
      </c>
      <c r="CK54" s="476" t="s">
        <v>1187</v>
      </c>
      <c r="CL54" s="476" t="s">
        <v>1188</v>
      </c>
      <c r="CM54" s="476" t="str">
        <f>IF(VLOOKUP(BS54,'Données par municipalité'!$B$6:$E$1113,4,FALSE)="","non","oui")</f>
        <v>oui</v>
      </c>
      <c r="CN54" s="410">
        <v>443.77833993604128</v>
      </c>
      <c r="CO54" s="410">
        <v>428.89514680437884</v>
      </c>
      <c r="CP54" s="410">
        <v>514.79893855888963</v>
      </c>
      <c r="CQ54" s="410">
        <v>410.03414610196717</v>
      </c>
      <c r="CR54" s="410">
        <v>420.82636929627336</v>
      </c>
      <c r="CS54" s="410">
        <v>429.9500745891134</v>
      </c>
      <c r="CT54" s="410"/>
      <c r="CU54" s="410">
        <v>569</v>
      </c>
      <c r="CV54" s="410">
        <f>IF(VLOOKUP(BS54,'Données par municipalité'!$B$6:$F$1113,4,FALSE)="","",VLOOKUP(BS54,'Données par municipalité'!$B$6:$F$1113,4,FALSE))</f>
        <v>318</v>
      </c>
      <c r="CW54" s="476" t="s">
        <v>4723</v>
      </c>
      <c r="CX54" s="483">
        <v>0</v>
      </c>
      <c r="CY54" s="483">
        <v>0.15</v>
      </c>
      <c r="CZ54" s="483">
        <v>0</v>
      </c>
      <c r="DA54" s="483">
        <v>0</v>
      </c>
      <c r="DB54" s="483">
        <v>0</v>
      </c>
      <c r="DC54" s="483" t="s">
        <v>1124</v>
      </c>
      <c r="DD54" s="483">
        <v>0</v>
      </c>
      <c r="DE54" s="483">
        <f>IFERROR(SUM(VLOOKUP($BS54,'État &amp; Plan d''action'!$B$6:$Z$1113,18,FALSE),VLOOKUP($BS54,'État &amp; Plan d''action'!$B$6:$Z$1113,20,FALSE))/(VLOOKUP($BS54,'Données par municipalité'!$B$4:$L$1113,11,FALSE)),"")</f>
        <v>0</v>
      </c>
      <c r="DF54" s="483">
        <f>IFERROR(SUM(VLOOKUP($BS54,'État &amp; Plan d''action'!$B$6:$Z$1113,19,FALSE),VLOOKUP($BS54,'État &amp; Plan d''action'!$B$6:$Z$1113,21,FALSE))/(VLOOKUP($BS54,'Données par municipalité'!$B$4:$L$1113,11,FALSE)),"")</f>
        <v>0</v>
      </c>
      <c r="DG54" s="476" t="s">
        <v>4723</v>
      </c>
      <c r="DH54" s="484">
        <v>0</v>
      </c>
      <c r="DI54" s="484" t="s">
        <v>1124</v>
      </c>
      <c r="DJ54" s="484">
        <v>2</v>
      </c>
      <c r="DK54" s="484">
        <v>0</v>
      </c>
      <c r="DL54" s="484">
        <v>1</v>
      </c>
      <c r="DM54" s="484" t="s">
        <v>1124</v>
      </c>
      <c r="DN54" s="484">
        <v>0</v>
      </c>
      <c r="DO54" s="484">
        <v>0</v>
      </c>
      <c r="DP54" s="484">
        <v>6</v>
      </c>
      <c r="DQ54" s="484">
        <f>IF(VLOOKUP($BS54,'État &amp; Plan d''action'!$B$6:$AJ$1113,28,FALSE)="","",VLOOKUP($BS54,'État &amp; Plan d''action'!$B$6:$AJ$1113,28,FALSE))</f>
        <v>0</v>
      </c>
      <c r="DR54" s="70">
        <f>IF(VLOOKUP($BS54,'État &amp; Plan d''action'!$B$6:$AJ$1113,29,FALSE)="","",VLOOKUP($BS54,'État &amp; Plan d''action'!$B$6:$AJ$1113,29,FALSE))</f>
        <v>0</v>
      </c>
      <c r="DS54" s="70">
        <f>IF(VLOOKUP($BS54,'État &amp; Plan d''action'!$B$6:$AJ$1113,30,FALSE)="","",VLOOKUP($BS54,'État &amp; Plan d''action'!$B$6:$AJ$1113,30,FALSE))</f>
        <v>2</v>
      </c>
      <c r="DT54" s="70">
        <v>452</v>
      </c>
      <c r="DU54" s="485">
        <v>2.4182097008834496</v>
      </c>
      <c r="DV54" s="485">
        <v>0.75325903642808278</v>
      </c>
      <c r="DW54" s="70">
        <v>0</v>
      </c>
      <c r="DX54" s="70">
        <v>0</v>
      </c>
      <c r="DY54" s="70">
        <v>1</v>
      </c>
      <c r="DZ54" s="70">
        <f>VLOOKUP($BS54,'État &amp; Plan d''action'!$B$6:$AH$1113,31,FALSE)</f>
        <v>0</v>
      </c>
      <c r="EA54" s="70">
        <f>VLOOKUP($BS54,'État &amp; Plan d''action'!$B$6:$AH$1113,32,FALSE)</f>
        <v>0</v>
      </c>
      <c r="EB54" s="70">
        <f>VLOOKUP($BS54,'État &amp; Plan d''action'!$B$6:$AH$1113,33,FALSE)</f>
        <v>1</v>
      </c>
      <c r="EC54" s="70">
        <v>17.574000000000002</v>
      </c>
      <c r="ED54" s="70">
        <v>0</v>
      </c>
      <c r="EE54" s="70">
        <v>0</v>
      </c>
      <c r="EF54" s="70">
        <v>0</v>
      </c>
      <c r="EG54" s="70">
        <v>0</v>
      </c>
      <c r="EH54" s="72">
        <v>58</v>
      </c>
      <c r="EI54" s="72">
        <v>818</v>
      </c>
    </row>
    <row r="55" spans="1:139" ht="15.75" customHeight="1" x14ac:dyDescent="0.35">
      <c r="A55" s="1"/>
      <c r="B55"/>
      <c r="C55"/>
      <c r="D55"/>
      <c r="E55"/>
      <c r="F55"/>
      <c r="G55"/>
      <c r="H55"/>
      <c r="I55"/>
      <c r="J55"/>
      <c r="K55"/>
      <c r="L55"/>
      <c r="M55"/>
      <c r="N55"/>
      <c r="O55" s="70"/>
      <c r="P55" s="70"/>
      <c r="Q55" s="70"/>
      <c r="R55" s="70"/>
      <c r="S55" s="95"/>
      <c r="T55" s="70"/>
      <c r="Y55" s="544" t="s">
        <v>1194</v>
      </c>
      <c r="Z55" s="544"/>
      <c r="AA55" s="544"/>
      <c r="AB55" s="544"/>
      <c r="AC55" s="544"/>
      <c r="AD55" s="544"/>
      <c r="AE55" s="544"/>
      <c r="AF55" s="544"/>
      <c r="AG55" s="544"/>
      <c r="AH55" s="476"/>
      <c r="BS55" s="486">
        <v>89050</v>
      </c>
      <c r="BT55" s="479" t="s">
        <v>933</v>
      </c>
      <c r="BU55" s="479">
        <v>8</v>
      </c>
      <c r="BV55" s="476" t="s">
        <v>1188</v>
      </c>
      <c r="BW55" s="476" t="s">
        <v>1188</v>
      </c>
      <c r="BX55" s="476" t="s">
        <v>1188</v>
      </c>
      <c r="BY55" s="476" t="s">
        <v>1188</v>
      </c>
      <c r="BZ55" s="476" t="s">
        <v>1188</v>
      </c>
      <c r="CA55" s="476" t="s">
        <v>1188</v>
      </c>
      <c r="CB55" s="476" t="s">
        <v>1188</v>
      </c>
      <c r="CC55" s="476" t="s">
        <v>1188</v>
      </c>
      <c r="CD55" s="476" t="s">
        <v>1188</v>
      </c>
      <c r="CE55" s="476" t="s">
        <v>1187</v>
      </c>
      <c r="CF55" s="476" t="s">
        <v>1187</v>
      </c>
      <c r="CG55" s="476" t="s">
        <v>1187</v>
      </c>
      <c r="CH55" s="476" t="s">
        <v>1187</v>
      </c>
      <c r="CI55" s="476" t="s">
        <v>1187</v>
      </c>
      <c r="CJ55" s="476" t="s">
        <v>1187</v>
      </c>
      <c r="CK55" s="476" t="s">
        <v>1187</v>
      </c>
      <c r="CL55" s="476" t="s">
        <v>1187</v>
      </c>
      <c r="CM55" s="476" t="str">
        <f>IF(VLOOKUP(BS55,'Données par municipalité'!$B$6:$E$1113,4,FALSE)="","non","oui")</f>
        <v>non</v>
      </c>
      <c r="CN55" s="410" t="s">
        <v>1124</v>
      </c>
      <c r="CO55" s="410" t="s">
        <v>1124</v>
      </c>
      <c r="CP55" s="410"/>
      <c r="CQ55" s="410"/>
      <c r="CR55" s="410"/>
      <c r="CS55" s="410" t="s">
        <v>1124</v>
      </c>
      <c r="CT55" s="410"/>
      <c r="CU55" s="410" t="s">
        <v>1124</v>
      </c>
      <c r="CV55" s="410" t="str">
        <f>IF(VLOOKUP(BS55,'Données par municipalité'!$B$6:$F$1113,4,FALSE)="","",VLOOKUP(BS55,'Données par municipalité'!$B$6:$F$1113,4,FALSE))</f>
        <v/>
      </c>
      <c r="CW55" s="476" t="s">
        <v>4723</v>
      </c>
      <c r="CX55" s="483" t="s">
        <v>1124</v>
      </c>
      <c r="CY55" s="483" t="s">
        <v>1124</v>
      </c>
      <c r="CZ55" s="483" t="s">
        <v>1124</v>
      </c>
      <c r="DA55" s="483" t="s">
        <v>1124</v>
      </c>
      <c r="DB55" s="483" t="s">
        <v>1124</v>
      </c>
      <c r="DC55" s="483" t="s">
        <v>1124</v>
      </c>
      <c r="DD55" s="483" t="s">
        <v>1124</v>
      </c>
      <c r="DE55" s="483" t="str">
        <f>IFERROR(SUM(VLOOKUP($BS55,'État &amp; Plan d''action'!$B$6:$Z$1113,18,FALSE),VLOOKUP($BS55,'État &amp; Plan d''action'!$B$6:$Z$1113,20,FALSE))/(VLOOKUP($BS55,'Données par municipalité'!$B$4:$L$1113,11,FALSE)),"")</f>
        <v/>
      </c>
      <c r="DF55" s="483" t="str">
        <f>IFERROR(SUM(VLOOKUP($BS55,'État &amp; Plan d''action'!$B$6:$Z$1113,19,FALSE),VLOOKUP($BS55,'État &amp; Plan d''action'!$B$6:$Z$1113,21,FALSE))/(VLOOKUP($BS55,'Données par municipalité'!$B$4:$L$1113,11,FALSE)),"")</f>
        <v/>
      </c>
      <c r="DG55" s="476" t="s">
        <v>4723</v>
      </c>
      <c r="DH55" s="484" t="s">
        <v>1124</v>
      </c>
      <c r="DI55" s="484" t="s">
        <v>1124</v>
      </c>
      <c r="DJ55" s="484">
        <v>0</v>
      </c>
      <c r="DK55" s="484">
        <v>0</v>
      </c>
      <c r="DL55" s="484" t="s">
        <v>1124</v>
      </c>
      <c r="DM55" s="484" t="s">
        <v>1124</v>
      </c>
      <c r="DN55" s="484" t="s">
        <v>1124</v>
      </c>
      <c r="DO55" s="484" t="s">
        <v>1124</v>
      </c>
      <c r="DP55" s="484" t="s">
        <v>1124</v>
      </c>
      <c r="DQ55" s="484" t="str">
        <f>IF(VLOOKUP($BS55,'État &amp; Plan d''action'!$B$6:$AJ$1113,28,FALSE)="","",VLOOKUP($BS55,'État &amp; Plan d''action'!$B$6:$AJ$1113,28,FALSE))</f>
        <v/>
      </c>
      <c r="DR55" s="70" t="str">
        <f>IF(VLOOKUP($BS55,'État &amp; Plan d''action'!$B$6:$AJ$1113,29,FALSE)="","",VLOOKUP($BS55,'État &amp; Plan d''action'!$B$6:$AJ$1113,29,FALSE))</f>
        <v/>
      </c>
      <c r="DS55" s="70" t="str">
        <f>IF(VLOOKUP($BS55,'État &amp; Plan d''action'!$B$6:$AJ$1113,30,FALSE)="","",VLOOKUP($BS55,'État &amp; Plan d''action'!$B$6:$AJ$1113,30,FALSE))</f>
        <v/>
      </c>
      <c r="DT55" s="70" t="s">
        <v>1124</v>
      </c>
      <c r="DU55" s="485" t="s">
        <v>1124</v>
      </c>
      <c r="DV55" s="485" t="s">
        <v>1124</v>
      </c>
      <c r="DW55" s="70" t="s">
        <v>1124</v>
      </c>
      <c r="DX55" s="70" t="s">
        <v>1124</v>
      </c>
      <c r="DY55" s="70" t="s">
        <v>1124</v>
      </c>
      <c r="DZ55" s="70" t="str">
        <f>VLOOKUP($BS55,'État &amp; Plan d''action'!$B$6:$AH$1113,31,FALSE)</f>
        <v/>
      </c>
      <c r="EA55" s="70" t="str">
        <f>VLOOKUP($BS55,'État &amp; Plan d''action'!$B$6:$AH$1113,32,FALSE)</f>
        <v/>
      </c>
      <c r="EB55" s="70" t="str">
        <f>VLOOKUP($BS55,'État &amp; Plan d''action'!$B$6:$AH$1113,33,FALSE)</f>
        <v/>
      </c>
      <c r="EC55" s="70" t="s">
        <v>1124</v>
      </c>
      <c r="ED55" s="70" t="s">
        <v>1124</v>
      </c>
      <c r="EE55" s="70" t="s">
        <v>1124</v>
      </c>
      <c r="EF55" s="70" t="s">
        <v>1124</v>
      </c>
      <c r="EG55" s="70" t="s">
        <v>1124</v>
      </c>
      <c r="EH55" s="72"/>
      <c r="EI55" s="72">
        <v>225</v>
      </c>
    </row>
    <row r="56" spans="1:139" ht="15.75" customHeight="1" x14ac:dyDescent="0.35">
      <c r="A56" s="1"/>
      <c r="B56"/>
      <c r="C56"/>
      <c r="D56"/>
      <c r="E56"/>
      <c r="F56"/>
      <c r="G56"/>
      <c r="H56"/>
      <c r="I56"/>
      <c r="J56"/>
      <c r="K56"/>
      <c r="L56"/>
      <c r="M56"/>
      <c r="N56"/>
      <c r="O56" s="70"/>
      <c r="P56" s="70"/>
      <c r="Q56" s="70"/>
      <c r="R56" s="70"/>
      <c r="S56" s="95"/>
      <c r="T56" s="70"/>
      <c r="AA56" s="478">
        <v>2012</v>
      </c>
      <c r="AB56" s="478">
        <v>2013</v>
      </c>
      <c r="AC56" s="478">
        <v>2014</v>
      </c>
      <c r="AD56" s="478">
        <v>2015</v>
      </c>
      <c r="AE56" s="478">
        <v>2016</v>
      </c>
      <c r="AF56" s="478">
        <v>2017</v>
      </c>
      <c r="AG56" s="478">
        <v>2018</v>
      </c>
      <c r="AH56" s="478">
        <v>2019</v>
      </c>
      <c r="AI56" s="499" t="s">
        <v>4725</v>
      </c>
      <c r="BS56" s="486">
        <v>85065</v>
      </c>
      <c r="BT56" s="479" t="s">
        <v>881</v>
      </c>
      <c r="BU56" s="479">
        <v>8</v>
      </c>
      <c r="BV56" s="476" t="s">
        <v>1188</v>
      </c>
      <c r="BW56" s="476" t="s">
        <v>1188</v>
      </c>
      <c r="BX56" s="476" t="s">
        <v>1188</v>
      </c>
      <c r="BY56" s="476" t="s">
        <v>1188</v>
      </c>
      <c r="BZ56" s="476" t="s">
        <v>1188</v>
      </c>
      <c r="CA56" s="476" t="s">
        <v>1188</v>
      </c>
      <c r="CB56" s="476" t="s">
        <v>1188</v>
      </c>
      <c r="CC56" s="476" t="s">
        <v>1188</v>
      </c>
      <c r="CD56" s="476" t="s">
        <v>1188</v>
      </c>
      <c r="CE56" s="476" t="s">
        <v>1187</v>
      </c>
      <c r="CF56" s="476" t="s">
        <v>1187</v>
      </c>
      <c r="CG56" s="476" t="s">
        <v>1187</v>
      </c>
      <c r="CH56" s="476" t="s">
        <v>1187</v>
      </c>
      <c r="CI56" s="476" t="s">
        <v>1187</v>
      </c>
      <c r="CJ56" s="476" t="s">
        <v>1187</v>
      </c>
      <c r="CK56" s="476" t="s">
        <v>1187</v>
      </c>
      <c r="CL56" s="476" t="s">
        <v>1187</v>
      </c>
      <c r="CM56" s="476" t="str">
        <f>IF(VLOOKUP(BS56,'Données par municipalité'!$B$6:$E$1113,4,FALSE)="","non","oui")</f>
        <v>non</v>
      </c>
      <c r="CN56" s="410" t="s">
        <v>1124</v>
      </c>
      <c r="CO56" s="410" t="s">
        <v>1124</v>
      </c>
      <c r="CP56" s="410"/>
      <c r="CQ56" s="410"/>
      <c r="CR56" s="410"/>
      <c r="CS56" s="410" t="s">
        <v>1124</v>
      </c>
      <c r="CT56" s="410"/>
      <c r="CU56" s="410" t="s">
        <v>1124</v>
      </c>
      <c r="CV56" s="410" t="str">
        <f>IF(VLOOKUP(BS56,'Données par municipalité'!$B$6:$F$1113,4,FALSE)="","",VLOOKUP(BS56,'Données par municipalité'!$B$6:$F$1113,4,FALSE))</f>
        <v/>
      </c>
      <c r="CW56" s="476" t="s">
        <v>4723</v>
      </c>
      <c r="CX56" s="483" t="s">
        <v>1124</v>
      </c>
      <c r="CY56" s="483" t="s">
        <v>1124</v>
      </c>
      <c r="CZ56" s="483" t="s">
        <v>1124</v>
      </c>
      <c r="DA56" s="483" t="s">
        <v>1124</v>
      </c>
      <c r="DB56" s="483" t="s">
        <v>1124</v>
      </c>
      <c r="DC56" s="483" t="s">
        <v>1124</v>
      </c>
      <c r="DD56" s="483" t="s">
        <v>1124</v>
      </c>
      <c r="DE56" s="483" t="str">
        <f>IFERROR(SUM(VLOOKUP($BS56,'État &amp; Plan d''action'!$B$6:$Z$1113,18,FALSE),VLOOKUP($BS56,'État &amp; Plan d''action'!$B$6:$Z$1113,20,FALSE))/(VLOOKUP($BS56,'Données par municipalité'!$B$4:$L$1113,11,FALSE)),"")</f>
        <v/>
      </c>
      <c r="DF56" s="483" t="str">
        <f>IFERROR(SUM(VLOOKUP($BS56,'État &amp; Plan d''action'!$B$6:$Z$1113,19,FALSE),VLOOKUP($BS56,'État &amp; Plan d''action'!$B$6:$Z$1113,21,FALSE))/(VLOOKUP($BS56,'Données par municipalité'!$B$4:$L$1113,11,FALSE)),"")</f>
        <v/>
      </c>
      <c r="DG56" s="476" t="s">
        <v>4723</v>
      </c>
      <c r="DH56" s="484" t="s">
        <v>1124</v>
      </c>
      <c r="DI56" s="484" t="s">
        <v>1124</v>
      </c>
      <c r="DJ56" s="484">
        <v>0</v>
      </c>
      <c r="DK56" s="484">
        <v>0</v>
      </c>
      <c r="DL56" s="484" t="s">
        <v>1124</v>
      </c>
      <c r="DM56" s="484" t="s">
        <v>1124</v>
      </c>
      <c r="DN56" s="484" t="s">
        <v>1124</v>
      </c>
      <c r="DO56" s="484" t="s">
        <v>1124</v>
      </c>
      <c r="DP56" s="484" t="s">
        <v>1124</v>
      </c>
      <c r="DQ56" s="484" t="str">
        <f>IF(VLOOKUP($BS56,'État &amp; Plan d''action'!$B$6:$AJ$1113,28,FALSE)="","",VLOOKUP($BS56,'État &amp; Plan d''action'!$B$6:$AJ$1113,28,FALSE))</f>
        <v/>
      </c>
      <c r="DR56" s="70" t="str">
        <f>IF(VLOOKUP($BS56,'État &amp; Plan d''action'!$B$6:$AJ$1113,29,FALSE)="","",VLOOKUP($BS56,'État &amp; Plan d''action'!$B$6:$AJ$1113,29,FALSE))</f>
        <v/>
      </c>
      <c r="DS56" s="70" t="str">
        <f>IF(VLOOKUP($BS56,'État &amp; Plan d''action'!$B$6:$AJ$1113,30,FALSE)="","",VLOOKUP($BS56,'État &amp; Plan d''action'!$B$6:$AJ$1113,30,FALSE))</f>
        <v/>
      </c>
      <c r="DT56" s="70" t="s">
        <v>1124</v>
      </c>
      <c r="DU56" s="485" t="s">
        <v>1124</v>
      </c>
      <c r="DV56" s="485" t="s">
        <v>1124</v>
      </c>
      <c r="DW56" s="70" t="s">
        <v>1124</v>
      </c>
      <c r="DX56" s="70" t="s">
        <v>1124</v>
      </c>
      <c r="DY56" s="70" t="s">
        <v>1124</v>
      </c>
      <c r="DZ56" s="70" t="str">
        <f>VLOOKUP($BS56,'État &amp; Plan d''action'!$B$6:$AH$1113,31,FALSE)</f>
        <v/>
      </c>
      <c r="EA56" s="70" t="str">
        <f>VLOOKUP($BS56,'État &amp; Plan d''action'!$B$6:$AH$1113,32,FALSE)</f>
        <v/>
      </c>
      <c r="EB56" s="70" t="str">
        <f>VLOOKUP($BS56,'État &amp; Plan d''action'!$B$6:$AH$1113,33,FALSE)</f>
        <v/>
      </c>
      <c r="EC56" s="70" t="s">
        <v>1124</v>
      </c>
      <c r="ED56" s="70" t="s">
        <v>1124</v>
      </c>
      <c r="EE56" s="70" t="s">
        <v>1124</v>
      </c>
      <c r="EF56" s="70" t="s">
        <v>1124</v>
      </c>
      <c r="EG56" s="70" t="s">
        <v>1124</v>
      </c>
      <c r="EH56" s="72"/>
      <c r="EI56" s="72">
        <v>313</v>
      </c>
    </row>
    <row r="57" spans="1:139" ht="15.75" customHeight="1" x14ac:dyDescent="0.35">
      <c r="A57" s="1"/>
      <c r="B57"/>
      <c r="C57"/>
      <c r="D57"/>
      <c r="E57"/>
      <c r="F57"/>
      <c r="G57"/>
      <c r="H57"/>
      <c r="I57"/>
      <c r="J57"/>
      <c r="K57"/>
      <c r="L57"/>
      <c r="M57"/>
      <c r="N57"/>
      <c r="O57" s="70"/>
      <c r="P57" s="70"/>
      <c r="Q57" s="70"/>
      <c r="R57" s="70"/>
      <c r="S57" s="95"/>
      <c r="T57" s="70"/>
      <c r="Z57" s="431" t="s">
        <v>4724</v>
      </c>
      <c r="AA57" s="414">
        <f>IF($W$21="",CX$7,IF(Y$25="non","Non
disponible",IF(VLOOKUP($W$21,$BS$8:$DV$1115,32,FALSE)="","Non
disponible",VLOOKUP($W$21,$BS$8:$DV$1115,32,FALSE))))</f>
        <v>0.54</v>
      </c>
      <c r="AB57" s="414">
        <f>IF($W$21="",CY$7,IF(Z$25="non","Non
disponible",IF(VLOOKUP($W$21,$BS$8:$DV$1115,33,FALSE)="","Non
disponible",VLOOKUP($W$21,$BS$8:$DV$1115,33,FALSE))))</f>
        <v>0.56000000000000005</v>
      </c>
      <c r="AC57" s="414">
        <f>IF($W$21="",CZ$7,IF(AA$25="non","Non
disponible",IF(VLOOKUP($W$21,$BS$8:$DV$1115,34,FALSE)="","Non
disponible",VLOOKUP($W$21,$BS$8:$DV$1115,34,FALSE))))</f>
        <v>0.74</v>
      </c>
      <c r="AD57" s="414">
        <f>IF($W$21="",DA$7,IF(AB$25="non","Non
disponible",IF(VLOOKUP($W$21,$BS$8:$DV$1115,35,FALSE)="","Non
disponible",VLOOKUP($W$21,$BS$8:$DV$1115,35,FALSE))))</f>
        <v>0.78</v>
      </c>
      <c r="AE57" s="414">
        <f>IF($W$21="",DB$7,IF(AC$25="non","Non
disponible",IF(VLOOKUP($W$21,$BS$8:$DV$1115,36,FALSE)="","Non
disponible",VLOOKUP($W$21,$BS$8:$DV$1115,36,FALSE))))</f>
        <v>0.85</v>
      </c>
      <c r="AF57" s="414">
        <f>IF($W$21="",DC$7,IF(AD$25="non","Non
disponible",IF(VLOOKUP($W$21,$BS$8:$DV$1115,37,FALSE)="","Non
disponible",VLOOKUP($W$21,$BS$8:$DV$1115,37,FALSE))))</f>
        <v>0.90198866984022286</v>
      </c>
      <c r="AG57" s="414">
        <f>IF($W$21="",DD$7,IF(AE$25="non","Non
disponible",IF(VLOOKUP($W$21,$BS$8:$DV$1115,38,FALSE)="","Non
disponible",VLOOKUP($W$21,$BS$8:$DV$1115,38,FALSE))))</f>
        <v>0.88070615733702451</v>
      </c>
      <c r="AH57" s="414">
        <f>IF($W$21="",DE$7,IF(AF$25="non","Non
disponible",IF(VLOOKUP($W$21,$BS$8:$DV$1115,39,FALSE)="","Non
disponible",VLOOKUP($W$21,$BS$8:$DV$1115,39,FALSE))))</f>
        <v>1.014154604754401</v>
      </c>
      <c r="AI57" s="500">
        <f>IF($W$21="",DF$7,IF(AF$25="non","Non
disponible",IF(VLOOKUP($W$21,$BS$8:$DV$1115,40,FALSE)="","Non
disponible",VLOOKUP($W$21,$BS$8:$DV$1115,40,FALSE))))</f>
        <v>1.4295408649973096</v>
      </c>
      <c r="BS57" s="486">
        <v>57040</v>
      </c>
      <c r="BT57" s="479" t="s">
        <v>588</v>
      </c>
      <c r="BU57" s="479">
        <v>16</v>
      </c>
      <c r="BV57" s="476" t="s">
        <v>1187</v>
      </c>
      <c r="BW57" s="476" t="s">
        <v>1187</v>
      </c>
      <c r="BX57" s="476" t="s">
        <v>1187</v>
      </c>
      <c r="BY57" s="476" t="s">
        <v>1187</v>
      </c>
      <c r="BZ57" s="476" t="s">
        <v>1187</v>
      </c>
      <c r="CA57" s="476" t="s">
        <v>1187</v>
      </c>
      <c r="CB57" s="476" t="s">
        <v>1187</v>
      </c>
      <c r="CC57" s="476" t="s">
        <v>1187</v>
      </c>
      <c r="CD57" s="476" t="s">
        <v>1187</v>
      </c>
      <c r="CE57" s="476" t="s">
        <v>1188</v>
      </c>
      <c r="CF57" s="476" t="s">
        <v>1188</v>
      </c>
      <c r="CG57" s="476" t="s">
        <v>1188</v>
      </c>
      <c r="CH57" s="476" t="s">
        <v>1188</v>
      </c>
      <c r="CI57" s="476" t="s">
        <v>1188</v>
      </c>
      <c r="CJ57" s="476" t="s">
        <v>1188</v>
      </c>
      <c r="CK57" s="476" t="s">
        <v>1188</v>
      </c>
      <c r="CL57" s="476" t="s">
        <v>1188</v>
      </c>
      <c r="CM57" s="476" t="str">
        <f>IF(VLOOKUP(BS57,'Données par municipalité'!$B$6:$E$1113,4,FALSE)="","non","oui")</f>
        <v>oui</v>
      </c>
      <c r="CN57" s="410">
        <v>391.99788392530519</v>
      </c>
      <c r="CO57" s="410">
        <v>445.75814703511901</v>
      </c>
      <c r="CP57" s="410">
        <v>382.39686224164228</v>
      </c>
      <c r="CQ57" s="410">
        <v>343.97791229357864</v>
      </c>
      <c r="CR57" s="410">
        <v>360.19168432915046</v>
      </c>
      <c r="CS57" s="410">
        <v>365.34574421489253</v>
      </c>
      <c r="CT57" s="410">
        <v>357.75338853141142</v>
      </c>
      <c r="CU57" s="410">
        <v>344</v>
      </c>
      <c r="CV57" s="410">
        <f>IF(VLOOKUP(BS57,'Données par municipalité'!$B$6:$F$1113,4,FALSE)="","",VLOOKUP(BS57,'Données par municipalité'!$B$6:$F$1113,4,FALSE))</f>
        <v>330</v>
      </c>
      <c r="CW57" s="476" t="s">
        <v>4723</v>
      </c>
      <c r="CX57" s="483">
        <v>1</v>
      </c>
      <c r="CY57" s="483">
        <v>1</v>
      </c>
      <c r="CZ57" s="483">
        <v>1</v>
      </c>
      <c r="DA57" s="483">
        <v>1</v>
      </c>
      <c r="DB57" s="483">
        <v>1</v>
      </c>
      <c r="DC57" s="483">
        <v>1</v>
      </c>
      <c r="DD57" s="483">
        <v>1.0138448545598029</v>
      </c>
      <c r="DE57" s="483">
        <f>IFERROR(SUM(VLOOKUP($BS57,'État &amp; Plan d''action'!$B$6:$Z$1113,18,FALSE),VLOOKUP($BS57,'État &amp; Plan d''action'!$B$6:$Z$1113,20,FALSE))/(VLOOKUP($BS57,'Données par municipalité'!$B$4:$L$1113,11,FALSE)),"")</f>
        <v>1.0138066244183959</v>
      </c>
      <c r="DF57" s="483">
        <f>IFERROR(SUM(VLOOKUP($BS57,'État &amp; Plan d''action'!$B$6:$Z$1113,19,FALSE),VLOOKUP($BS57,'État &amp; Plan d''action'!$B$6:$Z$1113,21,FALSE))/(VLOOKUP($BS57,'Données par municipalité'!$B$4:$L$1113,11,FALSE)),"")</f>
        <v>1.0138066244183959</v>
      </c>
      <c r="DG57" s="476" t="s">
        <v>4723</v>
      </c>
      <c r="DH57" s="484">
        <v>17</v>
      </c>
      <c r="DI57" s="484">
        <v>16</v>
      </c>
      <c r="DJ57" s="484">
        <v>9</v>
      </c>
      <c r="DK57" s="484">
        <v>16</v>
      </c>
      <c r="DL57" s="484">
        <v>16</v>
      </c>
      <c r="DM57" s="484">
        <v>23</v>
      </c>
      <c r="DN57" s="484">
        <v>18</v>
      </c>
      <c r="DO57" s="484">
        <v>15</v>
      </c>
      <c r="DP57" s="484">
        <v>5</v>
      </c>
      <c r="DQ57" s="484">
        <f>IF(VLOOKUP($BS57,'État &amp; Plan d''action'!$B$6:$AJ$1113,28,FALSE)="","",VLOOKUP($BS57,'État &amp; Plan d''action'!$B$6:$AJ$1113,28,FALSE))</f>
        <v>12</v>
      </c>
      <c r="DR57" s="70">
        <f>IF(VLOOKUP($BS57,'État &amp; Plan d''action'!$B$6:$AJ$1113,29,FALSE)="","",VLOOKUP($BS57,'État &amp; Plan d''action'!$B$6:$AJ$1113,29,FALSE))</f>
        <v>5</v>
      </c>
      <c r="DS57" s="70">
        <f>IF(VLOOKUP($BS57,'État &amp; Plan d''action'!$B$6:$AJ$1113,30,FALSE)="","",VLOOKUP($BS57,'État &amp; Plan d''action'!$B$6:$AJ$1113,30,FALSE))</f>
        <v>7</v>
      </c>
      <c r="DT57" s="70">
        <v>233</v>
      </c>
      <c r="DU57" s="485">
        <v>2.4601616639226687</v>
      </c>
      <c r="DV57" s="485">
        <v>2.037532764893272</v>
      </c>
      <c r="DW57" s="70">
        <v>1</v>
      </c>
      <c r="DX57" s="70">
        <v>1</v>
      </c>
      <c r="DY57" s="70">
        <v>3</v>
      </c>
      <c r="DZ57" s="70">
        <f>VLOOKUP($BS57,'État &amp; Plan d''action'!$B$6:$AH$1113,31,FALSE)</f>
        <v>1</v>
      </c>
      <c r="EA57" s="70">
        <f>VLOOKUP($BS57,'État &amp; Plan d''action'!$B$6:$AH$1113,32,FALSE)</f>
        <v>1</v>
      </c>
      <c r="EB57" s="70">
        <f>VLOOKUP($BS57,'État &amp; Plan d''action'!$B$6:$AH$1113,33,FALSE)</f>
        <v>3</v>
      </c>
      <c r="EC57" s="70">
        <v>0</v>
      </c>
      <c r="ED57" s="70">
        <v>144.458</v>
      </c>
      <c r="EE57" s="70">
        <v>2</v>
      </c>
      <c r="EF57" s="70">
        <v>0</v>
      </c>
      <c r="EG57" s="70">
        <v>0</v>
      </c>
      <c r="EH57" s="72">
        <v>57</v>
      </c>
      <c r="EI57" s="72">
        <v>23375</v>
      </c>
    </row>
    <row r="58" spans="1:139" ht="15.75" customHeight="1" x14ac:dyDescent="0.35">
      <c r="A58" s="1"/>
      <c r="B58"/>
      <c r="C58"/>
      <c r="D58"/>
      <c r="E58"/>
      <c r="F58"/>
      <c r="G58"/>
      <c r="H58"/>
      <c r="I58"/>
      <c r="J58"/>
      <c r="K58"/>
      <c r="L58"/>
      <c r="M58"/>
      <c r="N58"/>
      <c r="O58" s="70"/>
      <c r="P58" s="70"/>
      <c r="Q58" s="70"/>
      <c r="R58" s="70"/>
      <c r="S58" s="95"/>
      <c r="T58" s="70"/>
      <c r="Z58" s="431" t="s">
        <v>1158</v>
      </c>
      <c r="AA58" s="501">
        <f>IF($W$21="",DH$7,IF(Y$25="non","Non
disponible",IF(VLOOKUP($W$21,$BS$8:$DV$1115,42,FALSE)="","Non
disponible",VLOOKUP($W$21,$BS$8:$DV$1115,42,FALSE))))</f>
        <v>9059</v>
      </c>
      <c r="AB58" s="501">
        <f>IF($W$21="",DI$7,IF(Z$25="non","Non
disponible",IF(VLOOKUP($W$21,$BS$8:$DV$1115,43,FALSE)="","Non
disponible",VLOOKUP($W$21,$BS$8:$DV$1115,43,FALSE))))</f>
        <v>8852</v>
      </c>
      <c r="AC58" s="501">
        <f>IF($W$21="",DJ$7,IF(AA$25="non","Non
disponible",IF(VLOOKUP($W$21,$BS$8:$DV$1115,44,FALSE)="","Non
disponible",VLOOKUP($W$21,$BS$8:$DV$1115,44,FALSE))))</f>
        <v>9905</v>
      </c>
      <c r="AD58" s="501">
        <f>IF($W$21="",DK$7,IF(AB$25="non","Non
disponible",IF(VLOOKUP($W$21,$BS$8:$DV$1115,45,FALSE)="","Non
disponible",VLOOKUP($W$21,$BS$8:$DV$1115,45,FALSE))))</f>
        <v>10143</v>
      </c>
      <c r="AE58" s="501">
        <f>IF($W$21="",DL$7,IF(AC$25="non","Non
disponible",IF(VLOOKUP($W$21,$BS$8:$DV$1115,46,FALSE)="","Non
disponible",VLOOKUP($W$21,$BS$8:$DV$1115,46,FALSE))))</f>
        <v>8764</v>
      </c>
      <c r="AF58" s="501">
        <f>IF($W$21="",DM$7,IF(AD$25="non","Non
disponible",IF(VLOOKUP($W$21,$BS$8:$DV$1115,47,FALSE)="","Non
disponible",VLOOKUP($W$21,$BS$8:$DV$1115,47,FALSE))))</f>
        <v>8355</v>
      </c>
      <c r="AG58" s="501">
        <f>IF($W$21="",DN$7+DO$7+DP$7,IF(AE$25="non","Non
disponible",IF(VLOOKUP($W$21,$BS$8:$DV$1115,48,FALSE)="","Non
disponible",VLOOKUP($W$21,$BS$8:$DV$1115,48,FALSE)+VLOOKUP($W$21,$BS$8:$DV$1115,49,FALSE)+VLOOKUP($W$21,$BS$8:$DV$1115,50,FALSE))))</f>
        <v>9486</v>
      </c>
      <c r="AH58" s="502">
        <f>IF($W$21="",DQ$7+DR$7+DS$7,IF(AF$25="non","Non
disponible",IF(VLOOKUP($W$21,$BS$8:$DV$1115,51,FALSE)="","Non
disponible",VLOOKUP($W$21,$BS$8:$DV$1115,51,FALSE)+VLOOKUP($W$21,$BS$8:$DV$1115,52,FALSE)+VLOOKUP($W$21,$BS$8:$DV$1115,53,FALSE))))</f>
        <v>9214</v>
      </c>
      <c r="BS58" s="486">
        <v>88070</v>
      </c>
      <c r="BT58" s="479" t="s">
        <v>923</v>
      </c>
      <c r="BU58" s="479">
        <v>8</v>
      </c>
      <c r="BV58" s="476" t="s">
        <v>1188</v>
      </c>
      <c r="BW58" s="476" t="s">
        <v>1188</v>
      </c>
      <c r="BX58" s="476" t="s">
        <v>1188</v>
      </c>
      <c r="BY58" s="476" t="s">
        <v>1188</v>
      </c>
      <c r="BZ58" s="476" t="s">
        <v>1188</v>
      </c>
      <c r="CA58" s="476" t="s">
        <v>1188</v>
      </c>
      <c r="CB58" s="476" t="s">
        <v>1188</v>
      </c>
      <c r="CC58" s="476" t="s">
        <v>1188</v>
      </c>
      <c r="CD58" s="476" t="s">
        <v>1188</v>
      </c>
      <c r="CE58" s="476" t="s">
        <v>1187</v>
      </c>
      <c r="CF58" s="476" t="s">
        <v>1187</v>
      </c>
      <c r="CG58" s="476" t="s">
        <v>1187</v>
      </c>
      <c r="CH58" s="476" t="s">
        <v>1187</v>
      </c>
      <c r="CI58" s="476" t="s">
        <v>1187</v>
      </c>
      <c r="CJ58" s="476" t="s">
        <v>1187</v>
      </c>
      <c r="CK58" s="476" t="s">
        <v>1187</v>
      </c>
      <c r="CL58" s="476" t="s">
        <v>1187</v>
      </c>
      <c r="CM58" s="476" t="str">
        <f>IF(VLOOKUP(BS58,'Données par municipalité'!$B$6:$E$1113,4,FALSE)="","non","oui")</f>
        <v>non</v>
      </c>
      <c r="CN58" s="410" t="s">
        <v>1124</v>
      </c>
      <c r="CO58" s="410" t="s">
        <v>1124</v>
      </c>
      <c r="CP58" s="410"/>
      <c r="CQ58" s="410"/>
      <c r="CR58" s="410"/>
      <c r="CS58" s="410" t="s">
        <v>1124</v>
      </c>
      <c r="CT58" s="410"/>
      <c r="CU58" s="410" t="s">
        <v>1124</v>
      </c>
      <c r="CV58" s="410" t="str">
        <f>IF(VLOOKUP(BS58,'Données par municipalité'!$B$6:$F$1113,4,FALSE)="","",VLOOKUP(BS58,'Données par municipalité'!$B$6:$F$1113,4,FALSE))</f>
        <v/>
      </c>
      <c r="CW58" s="476" t="s">
        <v>4723</v>
      </c>
      <c r="CX58" s="483" t="s">
        <v>1124</v>
      </c>
      <c r="CY58" s="483" t="s">
        <v>1124</v>
      </c>
      <c r="CZ58" s="483" t="s">
        <v>1124</v>
      </c>
      <c r="DA58" s="483" t="s">
        <v>1124</v>
      </c>
      <c r="DB58" s="483" t="s">
        <v>1124</v>
      </c>
      <c r="DC58" s="483" t="s">
        <v>1124</v>
      </c>
      <c r="DD58" s="483" t="s">
        <v>1124</v>
      </c>
      <c r="DE58" s="483" t="str">
        <f>IFERROR(SUM(VLOOKUP($BS58,'État &amp; Plan d''action'!$B$6:$Z$1113,18,FALSE),VLOOKUP($BS58,'État &amp; Plan d''action'!$B$6:$Z$1113,20,FALSE))/(VLOOKUP($BS58,'Données par municipalité'!$B$4:$L$1113,11,FALSE)),"")</f>
        <v/>
      </c>
      <c r="DF58" s="483" t="str">
        <f>IFERROR(SUM(VLOOKUP($BS58,'État &amp; Plan d''action'!$B$6:$Z$1113,19,FALSE),VLOOKUP($BS58,'État &amp; Plan d''action'!$B$6:$Z$1113,21,FALSE))/(VLOOKUP($BS58,'Données par municipalité'!$B$4:$L$1113,11,FALSE)),"")</f>
        <v/>
      </c>
      <c r="DG58" s="476" t="s">
        <v>4723</v>
      </c>
      <c r="DH58" s="484">
        <v>0</v>
      </c>
      <c r="DI58" s="484" t="s">
        <v>1124</v>
      </c>
      <c r="DJ58" s="484">
        <v>0</v>
      </c>
      <c r="DK58" s="484">
        <v>0</v>
      </c>
      <c r="DL58" s="484" t="s">
        <v>1124</v>
      </c>
      <c r="DM58" s="484" t="s">
        <v>1124</v>
      </c>
      <c r="DN58" s="484" t="s">
        <v>1124</v>
      </c>
      <c r="DO58" s="484" t="s">
        <v>1124</v>
      </c>
      <c r="DP58" s="484" t="s">
        <v>1124</v>
      </c>
      <c r="DQ58" s="484" t="str">
        <f>IF(VLOOKUP($BS58,'État &amp; Plan d''action'!$B$6:$AJ$1113,28,FALSE)="","",VLOOKUP($BS58,'État &amp; Plan d''action'!$B$6:$AJ$1113,28,FALSE))</f>
        <v/>
      </c>
      <c r="DR58" s="70" t="str">
        <f>IF(VLOOKUP($BS58,'État &amp; Plan d''action'!$B$6:$AJ$1113,29,FALSE)="","",VLOOKUP($BS58,'État &amp; Plan d''action'!$B$6:$AJ$1113,29,FALSE))</f>
        <v/>
      </c>
      <c r="DS58" s="70" t="str">
        <f>IF(VLOOKUP($BS58,'État &amp; Plan d''action'!$B$6:$AJ$1113,30,FALSE)="","",VLOOKUP($BS58,'État &amp; Plan d''action'!$B$6:$AJ$1113,30,FALSE))</f>
        <v/>
      </c>
      <c r="DT58" s="70" t="s">
        <v>1124</v>
      </c>
      <c r="DU58" s="485" t="s">
        <v>1124</v>
      </c>
      <c r="DV58" s="485" t="s">
        <v>1124</v>
      </c>
      <c r="DW58" s="70" t="s">
        <v>1124</v>
      </c>
      <c r="DX58" s="70" t="s">
        <v>1124</v>
      </c>
      <c r="DY58" s="70" t="s">
        <v>1124</v>
      </c>
      <c r="DZ58" s="70" t="str">
        <f>VLOOKUP($BS58,'État &amp; Plan d''action'!$B$6:$AH$1113,31,FALSE)</f>
        <v/>
      </c>
      <c r="EA58" s="70" t="str">
        <f>VLOOKUP($BS58,'État &amp; Plan d''action'!$B$6:$AH$1113,32,FALSE)</f>
        <v/>
      </c>
      <c r="EB58" s="70" t="str">
        <f>VLOOKUP($BS58,'État &amp; Plan d''action'!$B$6:$AH$1113,33,FALSE)</f>
        <v/>
      </c>
      <c r="EC58" s="70" t="s">
        <v>1124</v>
      </c>
      <c r="ED58" s="70" t="s">
        <v>1124</v>
      </c>
      <c r="EE58" s="70" t="s">
        <v>1124</v>
      </c>
      <c r="EF58" s="70" t="s">
        <v>1124</v>
      </c>
      <c r="EG58" s="70" t="s">
        <v>1124</v>
      </c>
      <c r="EH58" s="72"/>
      <c r="EI58" s="72">
        <v>549</v>
      </c>
    </row>
    <row r="59" spans="1:139" ht="15.75" customHeight="1" x14ac:dyDescent="0.35">
      <c r="A59" s="1"/>
      <c r="B59"/>
      <c r="C59"/>
      <c r="D59"/>
      <c r="E59"/>
      <c r="F59"/>
      <c r="G59"/>
      <c r="H59"/>
      <c r="I59"/>
      <c r="J59"/>
      <c r="K59"/>
      <c r="L59"/>
      <c r="M59"/>
      <c r="N59"/>
      <c r="O59" s="70"/>
      <c r="P59" s="70"/>
      <c r="Q59" s="70"/>
      <c r="R59" s="70"/>
      <c r="S59" s="95"/>
      <c r="T59" s="434"/>
      <c r="Z59" s="431"/>
      <c r="AA59" s="502">
        <f t="shared" ref="AA59:AH59" si="4">IF(AA58="Non
disponible","Non
disponible",AA58)</f>
        <v>9059</v>
      </c>
      <c r="AB59" s="502">
        <f t="shared" si="4"/>
        <v>8852</v>
      </c>
      <c r="AC59" s="502">
        <f t="shared" si="4"/>
        <v>9905</v>
      </c>
      <c r="AD59" s="502">
        <f t="shared" si="4"/>
        <v>10143</v>
      </c>
      <c r="AE59" s="502">
        <f t="shared" si="4"/>
        <v>8764</v>
      </c>
      <c r="AF59" s="502">
        <f t="shared" si="4"/>
        <v>8355</v>
      </c>
      <c r="AG59" s="502">
        <f t="shared" si="4"/>
        <v>9486</v>
      </c>
      <c r="AH59" s="502">
        <f t="shared" si="4"/>
        <v>9214</v>
      </c>
      <c r="BS59" s="486">
        <v>18065</v>
      </c>
      <c r="BT59" s="479" t="s">
        <v>116</v>
      </c>
      <c r="BU59" s="479">
        <v>12</v>
      </c>
      <c r="BV59" s="476" t="s">
        <v>1187</v>
      </c>
      <c r="BW59" s="476" t="s">
        <v>1187</v>
      </c>
      <c r="BX59" s="476" t="s">
        <v>1187</v>
      </c>
      <c r="BY59" s="476" t="s">
        <v>1187</v>
      </c>
      <c r="BZ59" s="476" t="s">
        <v>1187</v>
      </c>
      <c r="CA59" s="476" t="s">
        <v>1187</v>
      </c>
      <c r="CB59" s="476" t="s">
        <v>1187</v>
      </c>
      <c r="CC59" s="476" t="s">
        <v>1187</v>
      </c>
      <c r="CD59" s="476" t="s">
        <v>1187</v>
      </c>
      <c r="CE59" s="476" t="s">
        <v>1188</v>
      </c>
      <c r="CF59" s="476" t="s">
        <v>1188</v>
      </c>
      <c r="CG59" s="476" t="s">
        <v>1188</v>
      </c>
      <c r="CH59" s="476" t="s">
        <v>1188</v>
      </c>
      <c r="CI59" s="476" t="s">
        <v>1188</v>
      </c>
      <c r="CJ59" s="476" t="s">
        <v>1188</v>
      </c>
      <c r="CK59" s="476" t="s">
        <v>1188</v>
      </c>
      <c r="CL59" s="476" t="s">
        <v>1188</v>
      </c>
      <c r="CM59" s="476" t="str">
        <f>IF(VLOOKUP(BS59,'Données par municipalité'!$B$6:$E$1113,4,FALSE)="","non","oui")</f>
        <v>oui</v>
      </c>
      <c r="CN59" s="410">
        <v>273.66815932185892</v>
      </c>
      <c r="CO59" s="410">
        <v>174.03115912824981</v>
      </c>
      <c r="CP59" s="410">
        <v>286.43141521798265</v>
      </c>
      <c r="CQ59" s="410">
        <v>227.49657623528907</v>
      </c>
      <c r="CR59" s="410">
        <v>248.22975547685294</v>
      </c>
      <c r="CS59" s="410">
        <v>266.62568306010928</v>
      </c>
      <c r="CT59" s="410">
        <v>272.69896977244423</v>
      </c>
      <c r="CU59" s="410">
        <v>276</v>
      </c>
      <c r="CV59" s="410">
        <f>IF(VLOOKUP(BS59,'Données par municipalité'!$B$6:$F$1113,4,FALSE)="","",VLOOKUP(BS59,'Données par municipalité'!$B$6:$F$1113,4,FALSE))</f>
        <v>247</v>
      </c>
      <c r="CW59" s="476" t="s">
        <v>4723</v>
      </c>
      <c r="CX59" s="483">
        <v>0.2</v>
      </c>
      <c r="CY59" s="483">
        <v>1</v>
      </c>
      <c r="CZ59" s="483">
        <v>1</v>
      </c>
      <c r="DA59" s="483">
        <v>1</v>
      </c>
      <c r="DB59" s="483">
        <v>1</v>
      </c>
      <c r="DC59" s="483">
        <v>1</v>
      </c>
      <c r="DD59" s="483">
        <v>0</v>
      </c>
      <c r="DE59" s="483">
        <f>IFERROR(SUM(VLOOKUP($BS59,'État &amp; Plan d''action'!$B$6:$Z$1113,18,FALSE),VLOOKUP($BS59,'État &amp; Plan d''action'!$B$6:$Z$1113,20,FALSE))/(VLOOKUP($BS59,'Données par municipalité'!$B$4:$L$1113,11,FALSE)),"")</f>
        <v>0.95659201108289083</v>
      </c>
      <c r="DF59" s="483">
        <f>IFERROR(SUM(VLOOKUP($BS59,'État &amp; Plan d''action'!$B$6:$Z$1113,19,FALSE),VLOOKUP($BS59,'État &amp; Plan d''action'!$B$6:$Z$1113,21,FALSE))/(VLOOKUP($BS59,'Données par municipalité'!$B$4:$L$1113,11,FALSE)),"")</f>
        <v>0.95659201108289083</v>
      </c>
      <c r="DG59" s="476" t="s">
        <v>4723</v>
      </c>
      <c r="DH59" s="484">
        <v>1</v>
      </c>
      <c r="DI59" s="484">
        <v>1</v>
      </c>
      <c r="DJ59" s="484">
        <v>1</v>
      </c>
      <c r="DK59" s="484">
        <v>1</v>
      </c>
      <c r="DL59" s="484">
        <v>1</v>
      </c>
      <c r="DM59" s="484">
        <v>1</v>
      </c>
      <c r="DN59" s="484">
        <v>1</v>
      </c>
      <c r="DO59" s="484">
        <v>0</v>
      </c>
      <c r="DP59" s="484">
        <v>0</v>
      </c>
      <c r="DQ59" s="484">
        <f>IF(VLOOKUP($BS59,'État &amp; Plan d''action'!$B$6:$AJ$1113,28,FALSE)="","",VLOOKUP($BS59,'État &amp; Plan d''action'!$B$6:$AJ$1113,28,FALSE))</f>
        <v>2</v>
      </c>
      <c r="DR59" s="70">
        <f>IF(VLOOKUP($BS59,'État &amp; Plan d''action'!$B$6:$AJ$1113,29,FALSE)="","",VLOOKUP($BS59,'État &amp; Plan d''action'!$B$6:$AJ$1113,29,FALSE))</f>
        <v>0</v>
      </c>
      <c r="DS59" s="70">
        <f>IF(VLOOKUP($BS59,'État &amp; Plan d''action'!$B$6:$AJ$1113,30,FALSE)="","",VLOOKUP($BS59,'État &amp; Plan d''action'!$B$6:$AJ$1113,30,FALSE))</f>
        <v>1</v>
      </c>
      <c r="DT59" s="70">
        <v>228</v>
      </c>
      <c r="DU59" s="485">
        <v>1.1085281224156034</v>
      </c>
      <c r="DV59" s="485">
        <v>0.30824305675890346</v>
      </c>
      <c r="DW59" s="70">
        <v>2</v>
      </c>
      <c r="DX59" s="70">
        <v>0</v>
      </c>
      <c r="DY59" s="70">
        <v>0</v>
      </c>
      <c r="DZ59" s="70">
        <f>VLOOKUP($BS59,'État &amp; Plan d''action'!$B$6:$AH$1113,31,FALSE)</f>
        <v>1</v>
      </c>
      <c r="EA59" s="70">
        <f>VLOOKUP($BS59,'État &amp; Plan d''action'!$B$6:$AH$1113,32,FALSE)</f>
        <v>0</v>
      </c>
      <c r="EB59" s="70">
        <f>VLOOKUP($BS59,'État &amp; Plan d''action'!$B$6:$AH$1113,33,FALSE)</f>
        <v>1</v>
      </c>
      <c r="EC59" s="70">
        <v>0</v>
      </c>
      <c r="ED59" s="70">
        <v>0</v>
      </c>
      <c r="EE59" s="70">
        <v>0</v>
      </c>
      <c r="EF59" s="70">
        <v>0</v>
      </c>
      <c r="EG59" s="70">
        <v>0</v>
      </c>
      <c r="EH59" s="72">
        <v>34</v>
      </c>
      <c r="EI59" s="72">
        <v>1630</v>
      </c>
    </row>
    <row r="60" spans="1:139" ht="15.75" customHeight="1" x14ac:dyDescent="0.35">
      <c r="A60" s="1"/>
      <c r="B60"/>
      <c r="C60"/>
      <c r="D60"/>
      <c r="E60"/>
      <c r="F60"/>
      <c r="G60"/>
      <c r="H60"/>
      <c r="I60"/>
      <c r="J60"/>
      <c r="K60"/>
      <c r="L60"/>
      <c r="M60"/>
      <c r="N60"/>
      <c r="O60" s="70"/>
      <c r="P60" s="70"/>
      <c r="Q60" s="70"/>
      <c r="R60" s="70"/>
      <c r="S60" s="99"/>
      <c r="T60" s="70"/>
      <c r="Z60" s="431"/>
      <c r="AA60" s="414">
        <f t="shared" ref="AA60:AI60" si="5">IF(AA57="Non
disponible","Non
disponible",AA57)</f>
        <v>0.54</v>
      </c>
      <c r="AB60" s="414">
        <f t="shared" si="5"/>
        <v>0.56000000000000005</v>
      </c>
      <c r="AC60" s="414">
        <f t="shared" si="5"/>
        <v>0.74</v>
      </c>
      <c r="AD60" s="414">
        <f t="shared" si="5"/>
        <v>0.78</v>
      </c>
      <c r="AE60" s="414">
        <f t="shared" si="5"/>
        <v>0.85</v>
      </c>
      <c r="AF60" s="414">
        <f t="shared" si="5"/>
        <v>0.90198866984022286</v>
      </c>
      <c r="AG60" s="414">
        <f t="shared" si="5"/>
        <v>0.88070615733702451</v>
      </c>
      <c r="AH60" s="414">
        <f t="shared" si="5"/>
        <v>1.014154604754401</v>
      </c>
      <c r="AI60" s="500">
        <f t="shared" si="5"/>
        <v>1.4295408649973096</v>
      </c>
      <c r="BS60" s="486">
        <v>52035</v>
      </c>
      <c r="BT60" s="479" t="s">
        <v>518</v>
      </c>
      <c r="BU60" s="479">
        <v>14</v>
      </c>
      <c r="BV60" s="476" t="s">
        <v>1187</v>
      </c>
      <c r="BW60" s="476" t="s">
        <v>1187</v>
      </c>
      <c r="BX60" s="476" t="s">
        <v>1187</v>
      </c>
      <c r="BY60" s="476" t="s">
        <v>1187</v>
      </c>
      <c r="BZ60" s="476" t="s">
        <v>1187</v>
      </c>
      <c r="CA60" s="476" t="s">
        <v>1187</v>
      </c>
      <c r="CB60" s="476" t="s">
        <v>1187</v>
      </c>
      <c r="CC60" s="476" t="s">
        <v>1187</v>
      </c>
      <c r="CD60" s="476" t="s">
        <v>1187</v>
      </c>
      <c r="CE60" s="476" t="s">
        <v>1188</v>
      </c>
      <c r="CF60" s="476" t="s">
        <v>1188</v>
      </c>
      <c r="CG60" s="476" t="s">
        <v>1188</v>
      </c>
      <c r="CH60" s="476" t="s">
        <v>1187</v>
      </c>
      <c r="CI60" s="476" t="s">
        <v>1188</v>
      </c>
      <c r="CJ60" s="476" t="s">
        <v>1187</v>
      </c>
      <c r="CK60" s="476" t="s">
        <v>1188</v>
      </c>
      <c r="CL60" s="476" t="s">
        <v>1188</v>
      </c>
      <c r="CM60" s="476" t="str">
        <f>IF(VLOOKUP(BS60,'Données par municipalité'!$B$6:$E$1113,4,FALSE)="","non","oui")</f>
        <v>oui</v>
      </c>
      <c r="CN60" s="410">
        <v>1132.0216450249532</v>
      </c>
      <c r="CO60" s="410">
        <v>1115.1768235951795</v>
      </c>
      <c r="CP60" s="410">
        <v>1070.2714701246362</v>
      </c>
      <c r="CQ60" s="410"/>
      <c r="CR60" s="410">
        <v>1139.3298914500197</v>
      </c>
      <c r="CS60" s="410" t="s">
        <v>1124</v>
      </c>
      <c r="CT60" s="410">
        <v>1067.3656365078514</v>
      </c>
      <c r="CU60" s="410">
        <v>1194</v>
      </c>
      <c r="CV60" s="410">
        <f>IF(VLOOKUP(BS60,'Données par municipalité'!$B$6:$F$1113,4,FALSE)="","",VLOOKUP(BS60,'Données par municipalité'!$B$6:$F$1113,4,FALSE))</f>
        <v>1187</v>
      </c>
      <c r="CW60" s="476" t="s">
        <v>4723</v>
      </c>
      <c r="CX60" s="483">
        <v>0.01</v>
      </c>
      <c r="CY60" s="483">
        <v>0</v>
      </c>
      <c r="CZ60" s="483" t="s">
        <v>1124</v>
      </c>
      <c r="DA60" s="483">
        <v>0</v>
      </c>
      <c r="DB60" s="483" t="s">
        <v>1124</v>
      </c>
      <c r="DC60" s="483">
        <v>1</v>
      </c>
      <c r="DD60" s="483">
        <v>1</v>
      </c>
      <c r="DE60" s="483">
        <f>IFERROR(SUM(VLOOKUP($BS60,'État &amp; Plan d''action'!$B$6:$Z$1113,18,FALSE),VLOOKUP($BS60,'État &amp; Plan d''action'!$B$6:$Z$1113,20,FALSE))/(VLOOKUP($BS60,'Données par municipalité'!$B$4:$L$1113,11,FALSE)),"")</f>
        <v>6.4360418342719231E-2</v>
      </c>
      <c r="DF60" s="483">
        <f>IFERROR(SUM(VLOOKUP($BS60,'État &amp; Plan d''action'!$B$6:$Z$1113,19,FALSE),VLOOKUP($BS60,'État &amp; Plan d''action'!$B$6:$Z$1113,21,FALSE))/(VLOOKUP($BS60,'Données par municipalité'!$B$4:$L$1113,11,FALSE)),"")</f>
        <v>2</v>
      </c>
      <c r="DG60" s="476" t="s">
        <v>4723</v>
      </c>
      <c r="DH60" s="484">
        <v>11</v>
      </c>
      <c r="DI60" s="484">
        <v>6</v>
      </c>
      <c r="DJ60" s="484">
        <v>0</v>
      </c>
      <c r="DK60" s="484">
        <v>12</v>
      </c>
      <c r="DL60" s="484" t="s">
        <v>1124</v>
      </c>
      <c r="DM60" s="484">
        <v>4</v>
      </c>
      <c r="DN60" s="484">
        <v>0</v>
      </c>
      <c r="DO60" s="484">
        <v>0</v>
      </c>
      <c r="DP60" s="484">
        <v>0</v>
      </c>
      <c r="DQ60" s="484">
        <f>IF(VLOOKUP($BS60,'État &amp; Plan d''action'!$B$6:$AJ$1113,28,FALSE)="","",VLOOKUP($BS60,'État &amp; Plan d''action'!$B$6:$AJ$1113,28,FALSE))</f>
        <v>1</v>
      </c>
      <c r="DR60" s="70">
        <f>IF(VLOOKUP($BS60,'État &amp; Plan d''action'!$B$6:$AJ$1113,29,FALSE)="","",VLOOKUP($BS60,'État &amp; Plan d''action'!$B$6:$AJ$1113,29,FALSE))</f>
        <v>1</v>
      </c>
      <c r="DS60" s="70">
        <f>IF(VLOOKUP($BS60,'État &amp; Plan d''action'!$B$6:$AJ$1113,30,FALSE)="","",VLOOKUP($BS60,'État &amp; Plan d''action'!$B$6:$AJ$1113,30,FALSE))</f>
        <v>1</v>
      </c>
      <c r="DT60" s="70">
        <v>250</v>
      </c>
      <c r="DU60" s="485">
        <v>1.5990230507346588</v>
      </c>
      <c r="DV60" s="485">
        <v>8.5032381772672831</v>
      </c>
      <c r="DW60" s="70">
        <v>0</v>
      </c>
      <c r="DX60" s="70">
        <v>0</v>
      </c>
      <c r="DY60" s="70">
        <v>0</v>
      </c>
      <c r="DZ60" s="70">
        <f>VLOOKUP($BS60,'État &amp; Plan d''action'!$B$6:$AH$1113,31,FALSE)</f>
        <v>1</v>
      </c>
      <c r="EA60" s="70">
        <f>VLOOKUP($BS60,'État &amp; Plan d''action'!$B$6:$AH$1113,32,FALSE)</f>
        <v>1</v>
      </c>
      <c r="EB60" s="70">
        <f>VLOOKUP($BS60,'État &amp; Plan d''action'!$B$6:$AH$1113,33,FALSE)</f>
        <v>1</v>
      </c>
      <c r="EC60" s="70">
        <v>0</v>
      </c>
      <c r="ED60" s="70">
        <v>31.074999999999999</v>
      </c>
      <c r="EE60" s="70">
        <v>0</v>
      </c>
      <c r="EF60" s="70">
        <v>0</v>
      </c>
      <c r="EG60" s="70">
        <v>0</v>
      </c>
      <c r="EH60" s="72">
        <v>54</v>
      </c>
      <c r="EI60" s="72">
        <v>4337</v>
      </c>
    </row>
    <row r="61" spans="1:139" ht="15.75" customHeight="1" x14ac:dyDescent="0.35">
      <c r="A61" s="1"/>
      <c r="B61"/>
      <c r="C61"/>
      <c r="D61"/>
      <c r="E61"/>
      <c r="F61"/>
      <c r="G61"/>
      <c r="H61"/>
      <c r="I61"/>
      <c r="J61"/>
      <c r="K61"/>
      <c r="L61"/>
      <c r="M61"/>
      <c r="N61"/>
      <c r="O61" s="70"/>
      <c r="P61" s="70"/>
      <c r="Q61" s="70"/>
      <c r="R61" s="70"/>
      <c r="S61" s="99"/>
      <c r="T61" s="70"/>
      <c r="Z61" s="436" t="s">
        <v>4712</v>
      </c>
      <c r="BS61" s="486">
        <v>48005</v>
      </c>
      <c r="BT61" s="479" t="s">
        <v>456</v>
      </c>
      <c r="BU61" s="479">
        <v>16</v>
      </c>
      <c r="BV61" s="476" t="s">
        <v>1188</v>
      </c>
      <c r="BW61" s="476" t="s">
        <v>1188</v>
      </c>
      <c r="BX61" s="476" t="s">
        <v>1188</v>
      </c>
      <c r="BY61" s="476" t="s">
        <v>1188</v>
      </c>
      <c r="BZ61" s="476" t="s">
        <v>1188</v>
      </c>
      <c r="CA61" s="476" t="s">
        <v>1188</v>
      </c>
      <c r="CB61" s="476" t="s">
        <v>1188</v>
      </c>
      <c r="CC61" s="476" t="s">
        <v>1188</v>
      </c>
      <c r="CD61" s="476" t="s">
        <v>1188</v>
      </c>
      <c r="CE61" s="476" t="s">
        <v>1187</v>
      </c>
      <c r="CF61" s="476" t="s">
        <v>1187</v>
      </c>
      <c r="CG61" s="476" t="s">
        <v>1187</v>
      </c>
      <c r="CH61" s="476" t="s">
        <v>1187</v>
      </c>
      <c r="CI61" s="476" t="s">
        <v>1187</v>
      </c>
      <c r="CJ61" s="476" t="s">
        <v>1187</v>
      </c>
      <c r="CK61" s="476" t="s">
        <v>1187</v>
      </c>
      <c r="CL61" s="476" t="s">
        <v>1187</v>
      </c>
      <c r="CM61" s="476" t="str">
        <f>IF(VLOOKUP(BS61,'Données par municipalité'!$B$6:$E$1113,4,FALSE)="","non","oui")</f>
        <v>non</v>
      </c>
      <c r="CN61" s="410" t="s">
        <v>1124</v>
      </c>
      <c r="CO61" s="410" t="s">
        <v>1124</v>
      </c>
      <c r="CP61" s="410"/>
      <c r="CQ61" s="410"/>
      <c r="CR61" s="410"/>
      <c r="CS61" s="410" t="s">
        <v>1124</v>
      </c>
      <c r="CT61" s="410"/>
      <c r="CU61" s="410" t="s">
        <v>1124</v>
      </c>
      <c r="CV61" s="410" t="str">
        <f>IF(VLOOKUP(BS61,'Données par municipalité'!$B$6:$F$1113,4,FALSE)="","",VLOOKUP(BS61,'Données par municipalité'!$B$6:$F$1113,4,FALSE))</f>
        <v/>
      </c>
      <c r="CW61" s="476" t="s">
        <v>4723</v>
      </c>
      <c r="CX61" s="483" t="s">
        <v>1124</v>
      </c>
      <c r="CY61" s="483" t="s">
        <v>1124</v>
      </c>
      <c r="CZ61" s="483" t="s">
        <v>1124</v>
      </c>
      <c r="DA61" s="483" t="s">
        <v>1124</v>
      </c>
      <c r="DB61" s="483" t="s">
        <v>1124</v>
      </c>
      <c r="DC61" s="483" t="s">
        <v>1124</v>
      </c>
      <c r="DD61" s="483" t="s">
        <v>1124</v>
      </c>
      <c r="DE61" s="483" t="str">
        <f>IFERROR(SUM(VLOOKUP($BS61,'État &amp; Plan d''action'!$B$6:$Z$1113,18,FALSE),VLOOKUP($BS61,'État &amp; Plan d''action'!$B$6:$Z$1113,20,FALSE))/(VLOOKUP($BS61,'Données par municipalité'!$B$4:$L$1113,11,FALSE)),"")</f>
        <v/>
      </c>
      <c r="DF61" s="483" t="str">
        <f>IFERROR(SUM(VLOOKUP($BS61,'État &amp; Plan d''action'!$B$6:$Z$1113,19,FALSE),VLOOKUP($BS61,'État &amp; Plan d''action'!$B$6:$Z$1113,21,FALSE))/(VLOOKUP($BS61,'Données par municipalité'!$B$4:$L$1113,11,FALSE)),"")</f>
        <v/>
      </c>
      <c r="DG61" s="476" t="s">
        <v>4723</v>
      </c>
      <c r="DH61" s="484" t="s">
        <v>1124</v>
      </c>
      <c r="DI61" s="484" t="s">
        <v>1124</v>
      </c>
      <c r="DJ61" s="484">
        <v>0</v>
      </c>
      <c r="DK61" s="484">
        <v>0</v>
      </c>
      <c r="DL61" s="484" t="s">
        <v>1124</v>
      </c>
      <c r="DM61" s="484" t="s">
        <v>1124</v>
      </c>
      <c r="DN61" s="484" t="s">
        <v>1124</v>
      </c>
      <c r="DO61" s="484" t="s">
        <v>1124</v>
      </c>
      <c r="DP61" s="484" t="s">
        <v>1124</v>
      </c>
      <c r="DQ61" s="484" t="str">
        <f>IF(VLOOKUP($BS61,'État &amp; Plan d''action'!$B$6:$AJ$1113,28,FALSE)="","",VLOOKUP($BS61,'État &amp; Plan d''action'!$B$6:$AJ$1113,28,FALSE))</f>
        <v/>
      </c>
      <c r="DR61" s="70" t="str">
        <f>IF(VLOOKUP($BS61,'État &amp; Plan d''action'!$B$6:$AJ$1113,29,FALSE)="","",VLOOKUP($BS61,'État &amp; Plan d''action'!$B$6:$AJ$1113,29,FALSE))</f>
        <v/>
      </c>
      <c r="DS61" s="70" t="str">
        <f>IF(VLOOKUP($BS61,'État &amp; Plan d''action'!$B$6:$AJ$1113,30,FALSE)="","",VLOOKUP($BS61,'État &amp; Plan d''action'!$B$6:$AJ$1113,30,FALSE))</f>
        <v/>
      </c>
      <c r="DT61" s="70" t="s">
        <v>1124</v>
      </c>
      <c r="DU61" s="485" t="s">
        <v>1124</v>
      </c>
      <c r="DV61" s="485" t="s">
        <v>1124</v>
      </c>
      <c r="DW61" s="70" t="s">
        <v>1124</v>
      </c>
      <c r="DX61" s="70" t="s">
        <v>1124</v>
      </c>
      <c r="DY61" s="70" t="s">
        <v>1124</v>
      </c>
      <c r="DZ61" s="70" t="str">
        <f>VLOOKUP($BS61,'État &amp; Plan d''action'!$B$6:$AH$1113,31,FALSE)</f>
        <v/>
      </c>
      <c r="EA61" s="70" t="str">
        <f>VLOOKUP($BS61,'État &amp; Plan d''action'!$B$6:$AH$1113,32,FALSE)</f>
        <v/>
      </c>
      <c r="EB61" s="70" t="str">
        <f>VLOOKUP($BS61,'État &amp; Plan d''action'!$B$6:$AH$1113,33,FALSE)</f>
        <v/>
      </c>
      <c r="EC61" s="70" t="s">
        <v>1124</v>
      </c>
      <c r="ED61" s="70" t="s">
        <v>1124</v>
      </c>
      <c r="EE61" s="70" t="s">
        <v>1124</v>
      </c>
      <c r="EF61" s="70" t="s">
        <v>1124</v>
      </c>
      <c r="EG61" s="70" t="s">
        <v>1124</v>
      </c>
      <c r="EH61" s="72"/>
      <c r="EI61" s="72">
        <v>338</v>
      </c>
    </row>
    <row r="62" spans="1:139" ht="15.75" customHeight="1" x14ac:dyDescent="0.35">
      <c r="A62" s="1"/>
      <c r="B62"/>
      <c r="C62"/>
      <c r="D62"/>
      <c r="E62"/>
      <c r="F62"/>
      <c r="G62"/>
      <c r="H62"/>
      <c r="I62"/>
      <c r="J62"/>
      <c r="K62"/>
      <c r="L62"/>
      <c r="M62"/>
      <c r="N62"/>
      <c r="O62" s="70"/>
      <c r="P62" s="70"/>
      <c r="Q62" s="70"/>
      <c r="R62" s="70"/>
      <c r="S62" s="99"/>
      <c r="T62" s="70"/>
      <c r="BS62" s="486">
        <v>13055</v>
      </c>
      <c r="BT62" s="479" t="s">
        <v>50</v>
      </c>
      <c r="BU62" s="479">
        <v>1</v>
      </c>
      <c r="BV62" s="476" t="s">
        <v>1187</v>
      </c>
      <c r="BW62" s="476" t="s">
        <v>1187</v>
      </c>
      <c r="BX62" s="476" t="s">
        <v>1187</v>
      </c>
      <c r="BY62" s="476" t="s">
        <v>1187</v>
      </c>
      <c r="BZ62" s="476" t="s">
        <v>1187</v>
      </c>
      <c r="CA62" s="476" t="s">
        <v>1187</v>
      </c>
      <c r="CB62" s="476" t="s">
        <v>1187</v>
      </c>
      <c r="CC62" s="476" t="s">
        <v>1187</v>
      </c>
      <c r="CD62" s="476" t="s">
        <v>1187</v>
      </c>
      <c r="CE62" s="476" t="s">
        <v>1188</v>
      </c>
      <c r="CF62" s="476" t="s">
        <v>1188</v>
      </c>
      <c r="CG62" s="476" t="s">
        <v>1188</v>
      </c>
      <c r="CH62" s="476" t="s">
        <v>1188</v>
      </c>
      <c r="CI62" s="476" t="s">
        <v>1188</v>
      </c>
      <c r="CJ62" s="476" t="s">
        <v>1188</v>
      </c>
      <c r="CK62" s="476" t="s">
        <v>1188</v>
      </c>
      <c r="CL62" s="476" t="s">
        <v>1188</v>
      </c>
      <c r="CM62" s="476" t="str">
        <f>IF(VLOOKUP(BS62,'Données par municipalité'!$B$6:$E$1113,4,FALSE)="","non","oui")</f>
        <v>oui</v>
      </c>
      <c r="CN62" s="410">
        <v>182.55628738058755</v>
      </c>
      <c r="CO62" s="410">
        <v>384.07336373971873</v>
      </c>
      <c r="CP62" s="410">
        <v>357.93769938074689</v>
      </c>
      <c r="CQ62" s="410">
        <v>514.40000646458054</v>
      </c>
      <c r="CR62" s="410">
        <v>562.75323171908167</v>
      </c>
      <c r="CS62" s="410">
        <v>340.39072016441833</v>
      </c>
      <c r="CT62" s="410">
        <v>339.27492970146926</v>
      </c>
      <c r="CU62" s="410">
        <v>336</v>
      </c>
      <c r="CV62" s="410">
        <f>IF(VLOOKUP(BS62,'Données par municipalité'!$B$6:$F$1113,4,FALSE)="","",VLOOKUP(BS62,'Données par municipalité'!$B$6:$F$1113,4,FALSE))</f>
        <v>393</v>
      </c>
      <c r="CW62" s="476" t="s">
        <v>4723</v>
      </c>
      <c r="CX62" s="483">
        <v>0.75</v>
      </c>
      <c r="CY62" s="483">
        <v>1</v>
      </c>
      <c r="CZ62" s="483">
        <v>0</v>
      </c>
      <c r="DA62" s="483">
        <v>0.25</v>
      </c>
      <c r="DB62" s="483">
        <v>0.2</v>
      </c>
      <c r="DC62" s="483">
        <v>0.1</v>
      </c>
      <c r="DD62" s="483">
        <v>0</v>
      </c>
      <c r="DE62" s="483">
        <f>IFERROR(SUM(VLOOKUP($BS62,'État &amp; Plan d''action'!$B$6:$Z$1113,18,FALSE),VLOOKUP($BS62,'État &amp; Plan d''action'!$B$6:$Z$1113,20,FALSE))/(VLOOKUP($BS62,'Données par municipalité'!$B$4:$L$1113,11,FALSE)),"")</f>
        <v>1</v>
      </c>
      <c r="DF62" s="483">
        <f>IFERROR(SUM(VLOOKUP($BS62,'État &amp; Plan d''action'!$B$6:$Z$1113,19,FALSE),VLOOKUP($BS62,'État &amp; Plan d''action'!$B$6:$Z$1113,21,FALSE))/(VLOOKUP($BS62,'Données par municipalité'!$B$4:$L$1113,11,FALSE)),"")</f>
        <v>1</v>
      </c>
      <c r="DG62" s="476" t="s">
        <v>4723</v>
      </c>
      <c r="DH62" s="484">
        <v>0</v>
      </c>
      <c r="DI62" s="484">
        <v>1</v>
      </c>
      <c r="DJ62" s="484">
        <v>0</v>
      </c>
      <c r="DK62" s="484">
        <v>1</v>
      </c>
      <c r="DL62" s="484">
        <v>0</v>
      </c>
      <c r="DM62" s="484">
        <v>0</v>
      </c>
      <c r="DN62" s="484">
        <v>0</v>
      </c>
      <c r="DO62" s="484">
        <v>0</v>
      </c>
      <c r="DP62" s="484">
        <v>0</v>
      </c>
      <c r="DQ62" s="484">
        <f>IF(VLOOKUP($BS62,'État &amp; Plan d''action'!$B$6:$AJ$1113,28,FALSE)="","",VLOOKUP($BS62,'État &amp; Plan d''action'!$B$6:$AJ$1113,28,FALSE))</f>
        <v>2</v>
      </c>
      <c r="DR62" s="70">
        <f>IF(VLOOKUP($BS62,'État &amp; Plan d''action'!$B$6:$AJ$1113,29,FALSE)="","",VLOOKUP($BS62,'État &amp; Plan d''action'!$B$6:$AJ$1113,29,FALSE))</f>
        <v>0</v>
      </c>
      <c r="DS62" s="70">
        <f>IF(VLOOKUP($BS62,'État &amp; Plan d''action'!$B$6:$AJ$1113,30,FALSE)="","",VLOOKUP($BS62,'État &amp; Plan d''action'!$B$6:$AJ$1113,30,FALSE))</f>
        <v>0</v>
      </c>
      <c r="DT62" s="70">
        <v>248</v>
      </c>
      <c r="DU62" s="485">
        <v>1.5782823412424174</v>
      </c>
      <c r="DV62" s="485">
        <v>5.237775451359922</v>
      </c>
      <c r="DW62" s="70">
        <v>0</v>
      </c>
      <c r="DX62" s="70">
        <v>0</v>
      </c>
      <c r="DY62" s="70">
        <v>0</v>
      </c>
      <c r="DZ62" s="70">
        <f>VLOOKUP($BS62,'État &amp; Plan d''action'!$B$6:$AH$1113,31,FALSE)</f>
        <v>4</v>
      </c>
      <c r="EA62" s="70">
        <f>VLOOKUP($BS62,'État &amp; Plan d''action'!$B$6:$AH$1113,32,FALSE)</f>
        <v>0</v>
      </c>
      <c r="EB62" s="70">
        <f>VLOOKUP($BS62,'État &amp; Plan d''action'!$B$6:$AH$1113,33,FALSE)</f>
        <v>0</v>
      </c>
      <c r="EC62" s="70">
        <v>5.5049999999999999</v>
      </c>
      <c r="ED62" s="70">
        <v>0</v>
      </c>
      <c r="EE62" s="70">
        <v>0</v>
      </c>
      <c r="EF62" s="70">
        <v>0</v>
      </c>
      <c r="EG62" s="70">
        <v>0</v>
      </c>
      <c r="EH62" s="72">
        <v>59.081081081081088</v>
      </c>
      <c r="EI62" s="72">
        <v>455</v>
      </c>
    </row>
    <row r="63" spans="1:139" ht="15.75" customHeight="1" x14ac:dyDescent="0.35">
      <c r="A63" s="1"/>
      <c r="B63"/>
      <c r="C63"/>
      <c r="D63"/>
      <c r="E63"/>
      <c r="F63"/>
      <c r="G63"/>
      <c r="H63"/>
      <c r="I63"/>
      <c r="J63"/>
      <c r="K63"/>
      <c r="L63"/>
      <c r="M63"/>
      <c r="N63"/>
      <c r="O63" s="70"/>
      <c r="P63" s="70"/>
      <c r="Q63" s="70"/>
      <c r="R63" s="70"/>
      <c r="S63" s="99"/>
      <c r="T63" s="70"/>
      <c r="BS63" s="486">
        <v>73015</v>
      </c>
      <c r="BT63" s="479" t="s">
        <v>736</v>
      </c>
      <c r="BU63" s="479">
        <v>15</v>
      </c>
      <c r="BV63" s="476" t="s">
        <v>1187</v>
      </c>
      <c r="BW63" s="476" t="s">
        <v>1187</v>
      </c>
      <c r="BX63" s="476" t="s">
        <v>1187</v>
      </c>
      <c r="BY63" s="476" t="s">
        <v>1187</v>
      </c>
      <c r="BZ63" s="476" t="s">
        <v>1187</v>
      </c>
      <c r="CA63" s="476" t="s">
        <v>1187</v>
      </c>
      <c r="CB63" s="476" t="s">
        <v>1187</v>
      </c>
      <c r="CC63" s="476" t="s">
        <v>1187</v>
      </c>
      <c r="CD63" s="476" t="s">
        <v>1187</v>
      </c>
      <c r="CE63" s="476" t="s">
        <v>1188</v>
      </c>
      <c r="CF63" s="476" t="s">
        <v>1188</v>
      </c>
      <c r="CG63" s="476" t="s">
        <v>1188</v>
      </c>
      <c r="CH63" s="476" t="s">
        <v>1188</v>
      </c>
      <c r="CI63" s="476" t="s">
        <v>1188</v>
      </c>
      <c r="CJ63" s="476" t="s">
        <v>1188</v>
      </c>
      <c r="CK63" s="476" t="s">
        <v>1188</v>
      </c>
      <c r="CL63" s="476" t="s">
        <v>1188</v>
      </c>
      <c r="CM63" s="476" t="str">
        <f>IF(VLOOKUP(BS63,'Données par municipalité'!$B$6:$E$1113,4,FALSE)="","non","oui")</f>
        <v>oui</v>
      </c>
      <c r="CN63" s="410">
        <v>564.70455560837024</v>
      </c>
      <c r="CO63" s="410">
        <v>527.50520613523952</v>
      </c>
      <c r="CP63" s="410">
        <v>505.19425074711825</v>
      </c>
      <c r="CQ63" s="410">
        <v>476</v>
      </c>
      <c r="CR63" s="410">
        <v>480</v>
      </c>
      <c r="CS63" s="410">
        <v>357.80471706610626</v>
      </c>
      <c r="CT63" s="410">
        <v>340</v>
      </c>
      <c r="CU63" s="410">
        <v>381</v>
      </c>
      <c r="CV63" s="410">
        <f>IF(VLOOKUP(BS63,'Données par municipalité'!$B$6:$F$1113,4,FALSE)="","",VLOOKUP(BS63,'Données par municipalité'!$B$6:$F$1113,4,FALSE))</f>
        <v>360</v>
      </c>
      <c r="CW63" s="476" t="s">
        <v>4723</v>
      </c>
      <c r="CX63" s="483">
        <v>0</v>
      </c>
      <c r="CY63" s="483">
        <v>0.18</v>
      </c>
      <c r="CZ63" s="483">
        <v>0.18</v>
      </c>
      <c r="DA63" s="483">
        <v>0</v>
      </c>
      <c r="DB63" s="483">
        <v>0.2</v>
      </c>
      <c r="DC63" s="483">
        <v>0.2</v>
      </c>
      <c r="DD63" s="483">
        <v>7.2392948926774531E-2</v>
      </c>
      <c r="DE63" s="483">
        <f>IFERROR(SUM(VLOOKUP($BS63,'État &amp; Plan d''action'!$B$6:$Z$1113,18,FALSE),VLOOKUP($BS63,'État &amp; Plan d''action'!$B$6:$Z$1113,20,FALSE))/(VLOOKUP($BS63,'Données par municipalité'!$B$4:$L$1113,11,FALSE)),"")</f>
        <v>0</v>
      </c>
      <c r="DF63" s="483">
        <f>IFERROR(SUM(VLOOKUP($BS63,'État &amp; Plan d''action'!$B$6:$Z$1113,19,FALSE),VLOOKUP($BS63,'État &amp; Plan d''action'!$B$6:$Z$1113,21,FALSE))/(VLOOKUP($BS63,'Données par municipalité'!$B$4:$L$1113,11,FALSE)),"")</f>
        <v>1</v>
      </c>
      <c r="DG63" s="476" t="s">
        <v>4723</v>
      </c>
      <c r="DH63" s="484">
        <v>16</v>
      </c>
      <c r="DI63" s="484">
        <v>29</v>
      </c>
      <c r="DJ63" s="484">
        <v>17</v>
      </c>
      <c r="DK63" s="484">
        <v>0</v>
      </c>
      <c r="DL63" s="484">
        <v>12</v>
      </c>
      <c r="DM63" s="484">
        <v>30</v>
      </c>
      <c r="DN63" s="484">
        <v>36</v>
      </c>
      <c r="DO63" s="484">
        <v>7</v>
      </c>
      <c r="DP63" s="484">
        <v>1</v>
      </c>
      <c r="DQ63" s="484">
        <f>IF(VLOOKUP($BS63,'État &amp; Plan d''action'!$B$6:$AJ$1113,28,FALSE)="","",VLOOKUP($BS63,'État &amp; Plan d''action'!$B$6:$AJ$1113,28,FALSE))</f>
        <v>22</v>
      </c>
      <c r="DR63" s="70">
        <f>IF(VLOOKUP($BS63,'État &amp; Plan d''action'!$B$6:$AJ$1113,29,FALSE)="","",VLOOKUP($BS63,'État &amp; Plan d''action'!$B$6:$AJ$1113,29,FALSE))</f>
        <v>0</v>
      </c>
      <c r="DS63" s="70">
        <f>IF(VLOOKUP($BS63,'État &amp; Plan d''action'!$B$6:$AJ$1113,30,FALSE)="","",VLOOKUP($BS63,'État &amp; Plan d''action'!$B$6:$AJ$1113,30,FALSE))</f>
        <v>0</v>
      </c>
      <c r="DT63" s="70">
        <v>248</v>
      </c>
      <c r="DU63" s="485">
        <v>3.1853000712256612</v>
      </c>
      <c r="DV63" s="485">
        <v>5.4282103886574706</v>
      </c>
      <c r="DW63" s="70">
        <v>5</v>
      </c>
      <c r="DX63" s="70">
        <v>5</v>
      </c>
      <c r="DY63" s="70">
        <v>20</v>
      </c>
      <c r="DZ63" s="70">
        <f>VLOOKUP($BS63,'État &amp; Plan d''action'!$B$6:$AH$1113,31,FALSE)</f>
        <v>1</v>
      </c>
      <c r="EA63" s="70">
        <f>VLOOKUP($BS63,'État &amp; Plan d''action'!$B$6:$AH$1113,32,FALSE)</f>
        <v>0</v>
      </c>
      <c r="EB63" s="70">
        <f>VLOOKUP($BS63,'État &amp; Plan d''action'!$B$6:$AH$1113,33,FALSE)</f>
        <v>0</v>
      </c>
      <c r="EC63" s="70">
        <v>0</v>
      </c>
      <c r="ED63" s="70">
        <v>0</v>
      </c>
      <c r="EE63" s="70">
        <v>20</v>
      </c>
      <c r="EF63" s="70">
        <v>0</v>
      </c>
      <c r="EG63" s="70">
        <v>0</v>
      </c>
      <c r="EH63" s="72">
        <v>66</v>
      </c>
      <c r="EI63" s="72">
        <v>59591</v>
      </c>
    </row>
    <row r="64" spans="1:139" ht="15.75" customHeight="1" x14ac:dyDescent="0.35">
      <c r="A64" s="1"/>
      <c r="B64"/>
      <c r="C64"/>
      <c r="D64"/>
      <c r="E64"/>
      <c r="F64"/>
      <c r="G64"/>
      <c r="H64"/>
      <c r="I64"/>
      <c r="J64"/>
      <c r="K64"/>
      <c r="L64"/>
      <c r="M64"/>
      <c r="N64"/>
      <c r="O64" s="70"/>
      <c r="P64" s="70"/>
      <c r="Q64" s="70"/>
      <c r="R64" s="70"/>
      <c r="S64" s="99"/>
      <c r="T64" s="70"/>
      <c r="Y64" s="477"/>
      <c r="Z64" s="477"/>
      <c r="AA64" s="477"/>
      <c r="AB64" s="477"/>
      <c r="AC64" s="477"/>
      <c r="AD64" s="477"/>
      <c r="AE64" s="477"/>
      <c r="AF64" s="477"/>
      <c r="AG64" s="477"/>
      <c r="BS64" s="486">
        <v>98005</v>
      </c>
      <c r="BT64" s="479" t="s">
        <v>1006</v>
      </c>
      <c r="BU64" s="479">
        <v>9</v>
      </c>
      <c r="BV64" s="476" t="s">
        <v>1187</v>
      </c>
      <c r="BW64" s="476" t="s">
        <v>1187</v>
      </c>
      <c r="BX64" s="476" t="s">
        <v>1187</v>
      </c>
      <c r="BY64" s="476" t="s">
        <v>1187</v>
      </c>
      <c r="BZ64" s="476" t="s">
        <v>1187</v>
      </c>
      <c r="CA64" s="476" t="s">
        <v>1187</v>
      </c>
      <c r="CB64" s="476" t="s">
        <v>1187</v>
      </c>
      <c r="CC64" s="476" t="s">
        <v>1187</v>
      </c>
      <c r="CD64" s="476" t="s">
        <v>1187</v>
      </c>
      <c r="CE64" s="476" t="s">
        <v>1188</v>
      </c>
      <c r="CF64" s="476" t="s">
        <v>1188</v>
      </c>
      <c r="CG64" s="476" t="s">
        <v>1188</v>
      </c>
      <c r="CH64" s="476" t="s">
        <v>1187</v>
      </c>
      <c r="CI64" s="476" t="s">
        <v>1187</v>
      </c>
      <c r="CJ64" s="476" t="s">
        <v>1187</v>
      </c>
      <c r="CK64" s="476" t="s">
        <v>1187</v>
      </c>
      <c r="CL64" s="476" t="s">
        <v>1188</v>
      </c>
      <c r="CM64" s="476" t="str">
        <f>IF(VLOOKUP(BS64,'Données par municipalité'!$B$6:$E$1113,4,FALSE)="","non","oui")</f>
        <v>non</v>
      </c>
      <c r="CN64" s="410">
        <v>594.3875723381276</v>
      </c>
      <c r="CO64" s="410">
        <v>694.46084607555099</v>
      </c>
      <c r="CP64" s="410">
        <v>864.5585441455853</v>
      </c>
      <c r="CQ64" s="410"/>
      <c r="CR64" s="410"/>
      <c r="CS64" s="410" t="s">
        <v>1124</v>
      </c>
      <c r="CT64" s="410"/>
      <c r="CU64" s="410">
        <v>1248</v>
      </c>
      <c r="CV64" s="410" t="str">
        <f>IF(VLOOKUP(BS64,'Données par municipalité'!$B$6:$F$1113,4,FALSE)="","",VLOOKUP(BS64,'Données par municipalité'!$B$6:$F$1113,4,FALSE))</f>
        <v/>
      </c>
      <c r="CW64" s="476" t="s">
        <v>4723</v>
      </c>
      <c r="CX64" s="483">
        <v>0</v>
      </c>
      <c r="CY64" s="483">
        <v>0</v>
      </c>
      <c r="CZ64" s="483" t="s">
        <v>1124</v>
      </c>
      <c r="DA64" s="483" t="s">
        <v>1124</v>
      </c>
      <c r="DB64" s="483" t="s">
        <v>1124</v>
      </c>
      <c r="DC64" s="483" t="s">
        <v>1124</v>
      </c>
      <c r="DD64" s="483">
        <v>0</v>
      </c>
      <c r="DE64" s="483" t="str">
        <f>IFERROR(SUM(VLOOKUP($BS64,'État &amp; Plan d''action'!$B$6:$Z$1113,18,FALSE),VLOOKUP($BS64,'État &amp; Plan d''action'!$B$6:$Z$1113,20,FALSE))/(VLOOKUP($BS64,'Données par municipalité'!$B$4:$L$1113,11,FALSE)),"")</f>
        <v/>
      </c>
      <c r="DF64" s="483" t="str">
        <f>IFERROR(SUM(VLOOKUP($BS64,'État &amp; Plan d''action'!$B$6:$Z$1113,19,FALSE),VLOOKUP($BS64,'État &amp; Plan d''action'!$B$6:$Z$1113,21,FALSE))/(VLOOKUP($BS64,'Données par municipalité'!$B$4:$L$1113,11,FALSE)),"")</f>
        <v/>
      </c>
      <c r="DG64" s="476" t="s">
        <v>4723</v>
      </c>
      <c r="DH64" s="484">
        <v>4</v>
      </c>
      <c r="DI64" s="484" t="s">
        <v>1124</v>
      </c>
      <c r="DJ64" s="484">
        <v>0</v>
      </c>
      <c r="DK64" s="484">
        <v>0</v>
      </c>
      <c r="DL64" s="484" t="s">
        <v>1124</v>
      </c>
      <c r="DM64" s="484" t="s">
        <v>1124</v>
      </c>
      <c r="DN64" s="484">
        <v>3</v>
      </c>
      <c r="DO64" s="484">
        <v>0</v>
      </c>
      <c r="DP64" s="484">
        <v>0</v>
      </c>
      <c r="DQ64" s="484" t="str">
        <f>IF(VLOOKUP($BS64,'État &amp; Plan d''action'!$B$6:$AJ$1113,28,FALSE)="","",VLOOKUP($BS64,'État &amp; Plan d''action'!$B$6:$AJ$1113,28,FALSE))</f>
        <v/>
      </c>
      <c r="DR64" s="70" t="str">
        <f>IF(VLOOKUP($BS64,'État &amp; Plan d''action'!$B$6:$AJ$1113,29,FALSE)="","",VLOOKUP($BS64,'État &amp; Plan d''action'!$B$6:$AJ$1113,29,FALSE))</f>
        <v/>
      </c>
      <c r="DS64" s="70" t="str">
        <f>IF(VLOOKUP($BS64,'État &amp; Plan d''action'!$B$6:$AJ$1113,30,FALSE)="","",VLOOKUP($BS64,'État &amp; Plan d''action'!$B$6:$AJ$1113,30,FALSE))</f>
        <v/>
      </c>
      <c r="DT64" s="70">
        <v>1066</v>
      </c>
      <c r="DU64" s="485">
        <v>2.0598617916605875</v>
      </c>
      <c r="DV64" s="485" t="s">
        <v>1124</v>
      </c>
      <c r="DW64" s="70">
        <v>30</v>
      </c>
      <c r="DX64" s="70">
        <v>0</v>
      </c>
      <c r="DY64" s="70">
        <v>0</v>
      </c>
      <c r="DZ64" s="70" t="str">
        <f>VLOOKUP($BS64,'État &amp; Plan d''action'!$B$6:$AH$1113,31,FALSE)</f>
        <v/>
      </c>
      <c r="EA64" s="70" t="str">
        <f>VLOOKUP($BS64,'État &amp; Plan d''action'!$B$6:$AH$1113,32,FALSE)</f>
        <v/>
      </c>
      <c r="EB64" s="70" t="str">
        <f>VLOOKUP($BS64,'État &amp; Plan d''action'!$B$6:$AH$1113,33,FALSE)</f>
        <v/>
      </c>
      <c r="EC64" s="70">
        <v>23.263999999999999</v>
      </c>
      <c r="ED64" s="70">
        <v>0</v>
      </c>
      <c r="EE64" s="70">
        <v>0</v>
      </c>
      <c r="EF64" s="70">
        <v>0</v>
      </c>
      <c r="EG64" s="70">
        <v>0</v>
      </c>
      <c r="EH64" s="72">
        <v>36.5</v>
      </c>
      <c r="EI64" s="72">
        <v>1094</v>
      </c>
    </row>
    <row r="65" spans="1:139" ht="15.75" customHeight="1" x14ac:dyDescent="0.35">
      <c r="A65" s="1"/>
      <c r="B65"/>
      <c r="C65"/>
      <c r="D65"/>
      <c r="E65"/>
      <c r="F65"/>
      <c r="G65"/>
      <c r="H65"/>
      <c r="I65"/>
      <c r="J65"/>
      <c r="K65"/>
      <c r="L65"/>
      <c r="M65"/>
      <c r="N65"/>
      <c r="O65" s="70"/>
      <c r="P65" s="70"/>
      <c r="Q65" s="70"/>
      <c r="R65" s="70"/>
      <c r="S65" s="99"/>
      <c r="T65" s="70"/>
      <c r="AA65" s="436"/>
      <c r="AB65" s="436"/>
      <c r="AC65" s="436"/>
      <c r="AD65" s="436"/>
      <c r="AE65" s="436"/>
      <c r="BS65" s="486">
        <v>83045</v>
      </c>
      <c r="BT65" s="479" t="s">
        <v>841</v>
      </c>
      <c r="BU65" s="479">
        <v>7</v>
      </c>
      <c r="BV65" s="476" t="s">
        <v>1188</v>
      </c>
      <c r="BW65" s="476" t="s">
        <v>1188</v>
      </c>
      <c r="BX65" s="476" t="s">
        <v>1188</v>
      </c>
      <c r="BY65" s="476" t="s">
        <v>1188</v>
      </c>
      <c r="BZ65" s="476" t="s">
        <v>1188</v>
      </c>
      <c r="CA65" s="476" t="s">
        <v>1188</v>
      </c>
      <c r="CB65" s="476" t="s">
        <v>1188</v>
      </c>
      <c r="CC65" s="476" t="s">
        <v>1188</v>
      </c>
      <c r="CD65" s="476" t="s">
        <v>1188</v>
      </c>
      <c r="CE65" s="476" t="s">
        <v>1188</v>
      </c>
      <c r="CF65" s="476" t="s">
        <v>1188</v>
      </c>
      <c r="CG65" s="476" t="s">
        <v>1187</v>
      </c>
      <c r="CH65" s="476" t="s">
        <v>1187</v>
      </c>
      <c r="CI65" s="476" t="s">
        <v>1187</v>
      </c>
      <c r="CJ65" s="476" t="s">
        <v>1187</v>
      </c>
      <c r="CK65" s="476" t="s">
        <v>1187</v>
      </c>
      <c r="CL65" s="476" t="s">
        <v>1187</v>
      </c>
      <c r="CM65" s="476" t="str">
        <f>IF(VLOOKUP(BS65,'Données par municipalité'!$B$6:$E$1113,4,FALSE)="","non","oui")</f>
        <v>non</v>
      </c>
      <c r="CN65" s="410">
        <v>404.24154339078638</v>
      </c>
      <c r="CO65" s="410">
        <v>352.49043784154486</v>
      </c>
      <c r="CP65" s="410"/>
      <c r="CQ65" s="410"/>
      <c r="CR65" s="410"/>
      <c r="CS65" s="410" t="s">
        <v>1124</v>
      </c>
      <c r="CT65" s="410"/>
      <c r="CU65" s="410" t="s">
        <v>1124</v>
      </c>
      <c r="CV65" s="410" t="str">
        <f>IF(VLOOKUP(BS65,'Données par municipalité'!$B$6:$F$1113,4,FALSE)="","",VLOOKUP(BS65,'Données par municipalité'!$B$6:$F$1113,4,FALSE))</f>
        <v/>
      </c>
      <c r="CW65" s="476" t="s">
        <v>4723</v>
      </c>
      <c r="CX65" s="483" t="s">
        <v>1124</v>
      </c>
      <c r="CY65" s="483" t="s">
        <v>1124</v>
      </c>
      <c r="CZ65" s="483" t="s">
        <v>1124</v>
      </c>
      <c r="DA65" s="483" t="s">
        <v>1124</v>
      </c>
      <c r="DB65" s="483" t="s">
        <v>1124</v>
      </c>
      <c r="DC65" s="483" t="s">
        <v>1124</v>
      </c>
      <c r="DD65" s="483" t="s">
        <v>1124</v>
      </c>
      <c r="DE65" s="483" t="str">
        <f>IFERROR(SUM(VLOOKUP($BS65,'État &amp; Plan d''action'!$B$6:$Z$1113,18,FALSE),VLOOKUP($BS65,'État &amp; Plan d''action'!$B$6:$Z$1113,20,FALSE))/(VLOOKUP($BS65,'Données par municipalité'!$B$4:$L$1113,11,FALSE)),"")</f>
        <v/>
      </c>
      <c r="DF65" s="483" t="str">
        <f>IFERROR(SUM(VLOOKUP($BS65,'État &amp; Plan d''action'!$B$6:$Z$1113,19,FALSE),VLOOKUP($BS65,'État &amp; Plan d''action'!$B$6:$Z$1113,21,FALSE))/(VLOOKUP($BS65,'Données par municipalité'!$B$4:$L$1113,11,FALSE)),"")</f>
        <v/>
      </c>
      <c r="DG65" s="476" t="s">
        <v>4723</v>
      </c>
      <c r="DH65" s="484" t="s">
        <v>1124</v>
      </c>
      <c r="DI65" s="484" t="s">
        <v>1124</v>
      </c>
      <c r="DJ65" s="484">
        <v>0</v>
      </c>
      <c r="DK65" s="484">
        <v>0</v>
      </c>
      <c r="DL65" s="484" t="s">
        <v>1124</v>
      </c>
      <c r="DM65" s="484" t="s">
        <v>1124</v>
      </c>
      <c r="DN65" s="484" t="s">
        <v>1124</v>
      </c>
      <c r="DO65" s="484" t="s">
        <v>1124</v>
      </c>
      <c r="DP65" s="484" t="s">
        <v>1124</v>
      </c>
      <c r="DQ65" s="484" t="str">
        <f>IF(VLOOKUP($BS65,'État &amp; Plan d''action'!$B$6:$AJ$1113,28,FALSE)="","",VLOOKUP($BS65,'État &amp; Plan d''action'!$B$6:$AJ$1113,28,FALSE))</f>
        <v/>
      </c>
      <c r="DR65" s="70" t="str">
        <f>IF(VLOOKUP($BS65,'État &amp; Plan d''action'!$B$6:$AJ$1113,29,FALSE)="","",VLOOKUP($BS65,'État &amp; Plan d''action'!$B$6:$AJ$1113,29,FALSE))</f>
        <v/>
      </c>
      <c r="DS65" s="70" t="str">
        <f>IF(VLOOKUP($BS65,'État &amp; Plan d''action'!$B$6:$AJ$1113,30,FALSE)="","",VLOOKUP($BS65,'État &amp; Plan d''action'!$B$6:$AJ$1113,30,FALSE))</f>
        <v/>
      </c>
      <c r="DT65" s="70" t="s">
        <v>1124</v>
      </c>
      <c r="DU65" s="485" t="s">
        <v>1124</v>
      </c>
      <c r="DV65" s="485" t="s">
        <v>1124</v>
      </c>
      <c r="DW65" s="70" t="s">
        <v>1124</v>
      </c>
      <c r="DX65" s="70" t="s">
        <v>1124</v>
      </c>
      <c r="DY65" s="70" t="s">
        <v>1124</v>
      </c>
      <c r="DZ65" s="70" t="str">
        <f>VLOOKUP($BS65,'État &amp; Plan d''action'!$B$6:$AH$1113,31,FALSE)</f>
        <v/>
      </c>
      <c r="EA65" s="70" t="str">
        <f>VLOOKUP($BS65,'État &amp; Plan d''action'!$B$6:$AH$1113,32,FALSE)</f>
        <v/>
      </c>
      <c r="EB65" s="70" t="str">
        <f>VLOOKUP($BS65,'État &amp; Plan d''action'!$B$6:$AH$1113,33,FALSE)</f>
        <v/>
      </c>
      <c r="EC65" s="70" t="s">
        <v>1124</v>
      </c>
      <c r="ED65" s="70" t="s">
        <v>1124</v>
      </c>
      <c r="EE65" s="70" t="s">
        <v>1124</v>
      </c>
      <c r="EF65" s="70" t="s">
        <v>1124</v>
      </c>
      <c r="EG65" s="70" t="s">
        <v>1124</v>
      </c>
      <c r="EH65" s="72"/>
      <c r="EI65" s="72">
        <v>641</v>
      </c>
    </row>
    <row r="66" spans="1:139" ht="29.25" customHeight="1" x14ac:dyDescent="0.35">
      <c r="A66" s="1"/>
      <c r="B66"/>
      <c r="C66"/>
      <c r="D66"/>
      <c r="E66"/>
      <c r="F66"/>
      <c r="G66"/>
      <c r="H66"/>
      <c r="I66"/>
      <c r="J66"/>
      <c r="K66"/>
      <c r="L66"/>
      <c r="M66"/>
      <c r="N66"/>
      <c r="O66" s="70"/>
      <c r="P66" s="70"/>
      <c r="Q66" s="70"/>
      <c r="R66" s="70"/>
      <c r="S66" s="99"/>
      <c r="T66" s="70"/>
      <c r="AE66" s="476"/>
      <c r="BS66" s="486">
        <v>80115</v>
      </c>
      <c r="BT66" s="479" t="s">
        <v>821</v>
      </c>
      <c r="BU66" s="479">
        <v>7</v>
      </c>
      <c r="BV66" s="476" t="s">
        <v>1188</v>
      </c>
      <c r="BW66" s="476" t="s">
        <v>1188</v>
      </c>
      <c r="BX66" s="476" t="s">
        <v>1188</v>
      </c>
      <c r="BY66" s="476" t="s">
        <v>1188</v>
      </c>
      <c r="BZ66" s="476" t="s">
        <v>1188</v>
      </c>
      <c r="CA66" s="476" t="s">
        <v>1188</v>
      </c>
      <c r="CB66" s="476" t="s">
        <v>1188</v>
      </c>
      <c r="CC66" s="476" t="s">
        <v>1188</v>
      </c>
      <c r="CD66" s="476" t="s">
        <v>1188</v>
      </c>
      <c r="CE66" s="476" t="s">
        <v>1187</v>
      </c>
      <c r="CF66" s="476" t="s">
        <v>1187</v>
      </c>
      <c r="CG66" s="476" t="s">
        <v>1187</v>
      </c>
      <c r="CH66" s="476" t="s">
        <v>1187</v>
      </c>
      <c r="CI66" s="476" t="s">
        <v>1187</v>
      </c>
      <c r="CJ66" s="476" t="s">
        <v>1187</v>
      </c>
      <c r="CK66" s="476" t="s">
        <v>1187</v>
      </c>
      <c r="CL66" s="476" t="s">
        <v>1187</v>
      </c>
      <c r="CM66" s="476" t="str">
        <f>IF(VLOOKUP(BS66,'Données par municipalité'!$B$6:$E$1113,4,FALSE)="","non","oui")</f>
        <v>non</v>
      </c>
      <c r="CN66" s="410" t="s">
        <v>1124</v>
      </c>
      <c r="CO66" s="410" t="s">
        <v>1124</v>
      </c>
      <c r="CP66" s="410"/>
      <c r="CQ66" s="410"/>
      <c r="CR66" s="410"/>
      <c r="CS66" s="410" t="s">
        <v>1124</v>
      </c>
      <c r="CT66" s="410"/>
      <c r="CU66" s="410" t="s">
        <v>1124</v>
      </c>
      <c r="CV66" s="410" t="str">
        <f>IF(VLOOKUP(BS66,'Données par municipalité'!$B$6:$F$1113,4,FALSE)="","",VLOOKUP(BS66,'Données par municipalité'!$B$6:$F$1113,4,FALSE))</f>
        <v/>
      </c>
      <c r="CW66" s="476" t="s">
        <v>4723</v>
      </c>
      <c r="CX66" s="483" t="s">
        <v>1124</v>
      </c>
      <c r="CY66" s="483" t="s">
        <v>1124</v>
      </c>
      <c r="CZ66" s="483" t="s">
        <v>1124</v>
      </c>
      <c r="DA66" s="483" t="s">
        <v>1124</v>
      </c>
      <c r="DB66" s="483" t="s">
        <v>1124</v>
      </c>
      <c r="DC66" s="483" t="s">
        <v>1124</v>
      </c>
      <c r="DD66" s="483" t="s">
        <v>1124</v>
      </c>
      <c r="DE66" s="483" t="str">
        <f>IFERROR(SUM(VLOOKUP($BS66,'État &amp; Plan d''action'!$B$6:$Z$1113,18,FALSE),VLOOKUP($BS66,'État &amp; Plan d''action'!$B$6:$Z$1113,20,FALSE))/(VLOOKUP($BS66,'Données par municipalité'!$B$4:$L$1113,11,FALSE)),"")</f>
        <v/>
      </c>
      <c r="DF66" s="483" t="str">
        <f>IFERROR(SUM(VLOOKUP($BS66,'État &amp; Plan d''action'!$B$6:$Z$1113,19,FALSE),VLOOKUP($BS66,'État &amp; Plan d''action'!$B$6:$Z$1113,21,FALSE))/(VLOOKUP($BS66,'Données par municipalité'!$B$4:$L$1113,11,FALSE)),"")</f>
        <v/>
      </c>
      <c r="DG66" s="476" t="s">
        <v>4723</v>
      </c>
      <c r="DH66" s="484" t="s">
        <v>1124</v>
      </c>
      <c r="DI66" s="484" t="s">
        <v>1124</v>
      </c>
      <c r="DJ66" s="484">
        <v>0</v>
      </c>
      <c r="DK66" s="484">
        <v>0</v>
      </c>
      <c r="DL66" s="484" t="s">
        <v>1124</v>
      </c>
      <c r="DM66" s="484" t="s">
        <v>1124</v>
      </c>
      <c r="DN66" s="484" t="s">
        <v>1124</v>
      </c>
      <c r="DO66" s="484" t="s">
        <v>1124</v>
      </c>
      <c r="DP66" s="484" t="s">
        <v>1124</v>
      </c>
      <c r="DQ66" s="484" t="str">
        <f>IF(VLOOKUP($BS66,'État &amp; Plan d''action'!$B$6:$AJ$1113,28,FALSE)="","",VLOOKUP($BS66,'État &amp; Plan d''action'!$B$6:$AJ$1113,28,FALSE))</f>
        <v/>
      </c>
      <c r="DR66" s="70" t="str">
        <f>IF(VLOOKUP($BS66,'État &amp; Plan d''action'!$B$6:$AJ$1113,29,FALSE)="","",VLOOKUP($BS66,'État &amp; Plan d''action'!$B$6:$AJ$1113,29,FALSE))</f>
        <v/>
      </c>
      <c r="DS66" s="70" t="str">
        <f>IF(VLOOKUP($BS66,'État &amp; Plan d''action'!$B$6:$AJ$1113,30,FALSE)="","",VLOOKUP($BS66,'État &amp; Plan d''action'!$B$6:$AJ$1113,30,FALSE))</f>
        <v/>
      </c>
      <c r="DT66" s="70" t="s">
        <v>1124</v>
      </c>
      <c r="DU66" s="485" t="s">
        <v>1124</v>
      </c>
      <c r="DV66" s="485" t="s">
        <v>1124</v>
      </c>
      <c r="DW66" s="70" t="s">
        <v>1124</v>
      </c>
      <c r="DX66" s="70" t="s">
        <v>1124</v>
      </c>
      <c r="DY66" s="70" t="s">
        <v>1124</v>
      </c>
      <c r="DZ66" s="70" t="str">
        <f>VLOOKUP($BS66,'État &amp; Plan d''action'!$B$6:$AH$1113,31,FALSE)</f>
        <v/>
      </c>
      <c r="EA66" s="70" t="str">
        <f>VLOOKUP($BS66,'État &amp; Plan d''action'!$B$6:$AH$1113,32,FALSE)</f>
        <v/>
      </c>
      <c r="EB66" s="70" t="str">
        <f>VLOOKUP($BS66,'État &amp; Plan d''action'!$B$6:$AH$1113,33,FALSE)</f>
        <v/>
      </c>
      <c r="EC66" s="70" t="s">
        <v>1124</v>
      </c>
      <c r="ED66" s="70" t="s">
        <v>1124</v>
      </c>
      <c r="EE66" s="70" t="s">
        <v>1124</v>
      </c>
      <c r="EF66" s="70" t="s">
        <v>1124</v>
      </c>
      <c r="EG66" s="70" t="s">
        <v>1124</v>
      </c>
      <c r="EH66" s="72"/>
      <c r="EI66" s="72">
        <v>342</v>
      </c>
    </row>
    <row r="67" spans="1:139" ht="29.25" customHeight="1" x14ac:dyDescent="0.35">
      <c r="A67" s="1"/>
      <c r="B67"/>
      <c r="C67" s="67"/>
      <c r="D67"/>
      <c r="E67"/>
      <c r="F67"/>
      <c r="G67"/>
      <c r="H67"/>
      <c r="I67"/>
      <c r="J67"/>
      <c r="K67"/>
      <c r="L67"/>
      <c r="M67"/>
      <c r="N67"/>
      <c r="O67" s="70"/>
      <c r="P67" s="70"/>
      <c r="Q67" s="70"/>
      <c r="R67" s="70"/>
      <c r="S67" s="99"/>
      <c r="T67" s="70"/>
      <c r="AE67" s="476"/>
      <c r="BS67" s="486">
        <v>73005</v>
      </c>
      <c r="BT67" s="479" t="s">
        <v>734</v>
      </c>
      <c r="BU67" s="479">
        <v>15</v>
      </c>
      <c r="BV67" s="476" t="s">
        <v>1187</v>
      </c>
      <c r="BW67" s="476" t="s">
        <v>1187</v>
      </c>
      <c r="BX67" s="476" t="s">
        <v>1187</v>
      </c>
      <c r="BY67" s="476" t="s">
        <v>1187</v>
      </c>
      <c r="BZ67" s="476" t="s">
        <v>1187</v>
      </c>
      <c r="CA67" s="476" t="s">
        <v>1187</v>
      </c>
      <c r="CB67" s="476" t="s">
        <v>1187</v>
      </c>
      <c r="CC67" s="476" t="s">
        <v>1187</v>
      </c>
      <c r="CD67" s="476" t="s">
        <v>1187</v>
      </c>
      <c r="CE67" s="476" t="s">
        <v>1188</v>
      </c>
      <c r="CF67" s="476" t="s">
        <v>1188</v>
      </c>
      <c r="CG67" s="476" t="s">
        <v>1187</v>
      </c>
      <c r="CH67" s="476" t="s">
        <v>1188</v>
      </c>
      <c r="CI67" s="476" t="s">
        <v>1188</v>
      </c>
      <c r="CJ67" s="476" t="s">
        <v>1188</v>
      </c>
      <c r="CK67" s="476" t="s">
        <v>1188</v>
      </c>
      <c r="CL67" s="476" t="s">
        <v>1188</v>
      </c>
      <c r="CM67" s="476" t="str">
        <f>IF(VLOOKUP(BS67,'Données par municipalité'!$B$6:$E$1113,4,FALSE)="","non","oui")</f>
        <v>oui</v>
      </c>
      <c r="CN67" s="410">
        <v>756.9372428599487</v>
      </c>
      <c r="CO67" s="410">
        <v>759.05242298684914</v>
      </c>
      <c r="CP67" s="410"/>
      <c r="CQ67" s="410">
        <v>744.42462628213377</v>
      </c>
      <c r="CR67" s="410">
        <v>711.88873562370895</v>
      </c>
      <c r="CS67" s="410">
        <v>526.82258090676362</v>
      </c>
      <c r="CT67" s="410">
        <v>539.49715084634647</v>
      </c>
      <c r="CU67" s="410">
        <v>580</v>
      </c>
      <c r="CV67" s="410">
        <f>IF(VLOOKUP(BS67,'Données par municipalité'!$B$6:$F$1113,4,FALSE)="","",VLOOKUP(BS67,'Données par municipalité'!$B$6:$F$1113,4,FALSE))</f>
        <v>469</v>
      </c>
      <c r="CW67" s="476" t="s">
        <v>4723</v>
      </c>
      <c r="CX67" s="483">
        <v>0.5</v>
      </c>
      <c r="CY67" s="483" t="s">
        <v>1124</v>
      </c>
      <c r="CZ67" s="483">
        <v>0.5</v>
      </c>
      <c r="DA67" s="483">
        <v>1</v>
      </c>
      <c r="DB67" s="483">
        <v>1</v>
      </c>
      <c r="DC67" s="483">
        <v>0</v>
      </c>
      <c r="DD67" s="483">
        <v>1</v>
      </c>
      <c r="DE67" s="483">
        <f>IFERROR(SUM(VLOOKUP($BS67,'État &amp; Plan d''action'!$B$6:$Z$1113,18,FALSE),VLOOKUP($BS67,'État &amp; Plan d''action'!$B$6:$Z$1113,20,FALSE))/(VLOOKUP($BS67,'Données par municipalité'!$B$4:$L$1113,11,FALSE)),"")</f>
        <v>1.5</v>
      </c>
      <c r="DF67" s="483">
        <f>IFERROR(SUM(VLOOKUP($BS67,'État &amp; Plan d''action'!$B$6:$Z$1113,19,FALSE),VLOOKUP($BS67,'État &amp; Plan d''action'!$B$6:$Z$1113,21,FALSE))/(VLOOKUP($BS67,'Données par municipalité'!$B$4:$L$1113,11,FALSE)),"")</f>
        <v>2</v>
      </c>
      <c r="DG67" s="476" t="s">
        <v>4723</v>
      </c>
      <c r="DH67" s="484">
        <v>19</v>
      </c>
      <c r="DI67" s="484">
        <v>12</v>
      </c>
      <c r="DJ67" s="484">
        <v>10</v>
      </c>
      <c r="DK67" s="484">
        <v>10</v>
      </c>
      <c r="DL67" s="484">
        <v>1</v>
      </c>
      <c r="DM67" s="484">
        <v>7</v>
      </c>
      <c r="DN67" s="484">
        <v>3</v>
      </c>
      <c r="DO67" s="484">
        <v>0</v>
      </c>
      <c r="DP67" s="484">
        <v>0</v>
      </c>
      <c r="DQ67" s="484">
        <f>IF(VLOOKUP($BS67,'État &amp; Plan d''action'!$B$6:$AJ$1113,28,FALSE)="","",VLOOKUP($BS67,'État &amp; Plan d''action'!$B$6:$AJ$1113,28,FALSE))</f>
        <v>4</v>
      </c>
      <c r="DR67" s="70">
        <f>IF(VLOOKUP($BS67,'État &amp; Plan d''action'!$B$6:$AJ$1113,29,FALSE)="","",VLOOKUP($BS67,'État &amp; Plan d''action'!$B$6:$AJ$1113,29,FALSE))</f>
        <v>1</v>
      </c>
      <c r="DS67" s="70">
        <f>IF(VLOOKUP($BS67,'État &amp; Plan d''action'!$B$6:$AJ$1113,30,FALSE)="","",VLOOKUP($BS67,'État &amp; Plan d''action'!$B$6:$AJ$1113,30,FALSE))</f>
        <v>1</v>
      </c>
      <c r="DT67" s="70">
        <v>173</v>
      </c>
      <c r="DU67" s="485">
        <v>10.979228827755477</v>
      </c>
      <c r="DV67" s="485">
        <v>5.5031672672701015</v>
      </c>
      <c r="DW67" s="70">
        <v>15</v>
      </c>
      <c r="DX67" s="70">
        <v>0</v>
      </c>
      <c r="DY67" s="70">
        <v>0</v>
      </c>
      <c r="DZ67" s="70">
        <f>VLOOKUP($BS67,'État &amp; Plan d''action'!$B$6:$AH$1113,31,FALSE)</f>
        <v>8</v>
      </c>
      <c r="EA67" s="70">
        <f>VLOOKUP($BS67,'État &amp; Plan d''action'!$B$6:$AH$1113,32,FALSE)</f>
        <v>1</v>
      </c>
      <c r="EB67" s="70">
        <f>VLOOKUP($BS67,'État &amp; Plan d''action'!$B$6:$AH$1113,33,FALSE)</f>
        <v>1</v>
      </c>
      <c r="EC67" s="70">
        <v>0</v>
      </c>
      <c r="ED67" s="70">
        <v>124.6</v>
      </c>
      <c r="EE67" s="70">
        <v>0</v>
      </c>
      <c r="EF67" s="70">
        <v>0</v>
      </c>
      <c r="EG67" s="70">
        <v>0</v>
      </c>
      <c r="EH67" s="72">
        <v>67</v>
      </c>
      <c r="EI67" s="72">
        <v>26651</v>
      </c>
    </row>
    <row r="68" spans="1:139" ht="29.25" customHeight="1" x14ac:dyDescent="0.35">
      <c r="A68" s="1"/>
      <c r="B68"/>
      <c r="C68"/>
      <c r="D68"/>
      <c r="E68"/>
      <c r="F68"/>
      <c r="G68"/>
      <c r="H68"/>
      <c r="I68"/>
      <c r="J68"/>
      <c r="K68"/>
      <c r="L68"/>
      <c r="M68"/>
      <c r="N68"/>
      <c r="O68" s="70"/>
      <c r="P68" s="70"/>
      <c r="Q68" s="70"/>
      <c r="R68" s="70"/>
      <c r="S68" s="99"/>
      <c r="T68" s="70"/>
      <c r="W68" s="476" t="s">
        <v>4730</v>
      </c>
      <c r="X68" s="476">
        <v>2018</v>
      </c>
      <c r="Y68" s="476">
        <v>2019</v>
      </c>
      <c r="AE68" s="476"/>
      <c r="BS68" s="486">
        <v>21045</v>
      </c>
      <c r="BT68" s="479" t="s">
        <v>152</v>
      </c>
      <c r="BU68" s="479">
        <v>3</v>
      </c>
      <c r="BV68" s="476" t="s">
        <v>1187</v>
      </c>
      <c r="BW68" s="476" t="s">
        <v>1187</v>
      </c>
      <c r="BX68" s="476" t="s">
        <v>1187</v>
      </c>
      <c r="BY68" s="476" t="s">
        <v>1187</v>
      </c>
      <c r="BZ68" s="476" t="s">
        <v>1187</v>
      </c>
      <c r="CA68" s="476" t="s">
        <v>1187</v>
      </c>
      <c r="CB68" s="476" t="s">
        <v>1187</v>
      </c>
      <c r="CC68" s="476" t="s">
        <v>1187</v>
      </c>
      <c r="CD68" s="476" t="s">
        <v>1187</v>
      </c>
      <c r="CE68" s="476" t="s">
        <v>1188</v>
      </c>
      <c r="CF68" s="476" t="s">
        <v>1188</v>
      </c>
      <c r="CG68" s="476" t="s">
        <v>1188</v>
      </c>
      <c r="CH68" s="476" t="s">
        <v>1188</v>
      </c>
      <c r="CI68" s="476" t="s">
        <v>1188</v>
      </c>
      <c r="CJ68" s="476" t="s">
        <v>1188</v>
      </c>
      <c r="CK68" s="476" t="s">
        <v>1188</v>
      </c>
      <c r="CL68" s="476" t="s">
        <v>1188</v>
      </c>
      <c r="CM68" s="476" t="str">
        <f>IF(VLOOKUP(BS68,'Données par municipalité'!$B$6:$E$1113,4,FALSE)="","non","oui")</f>
        <v>oui</v>
      </c>
      <c r="CN68" s="410">
        <v>301.62942078858993</v>
      </c>
      <c r="CO68" s="410">
        <v>274.10389787122222</v>
      </c>
      <c r="CP68" s="410">
        <v>266.75545223821382</v>
      </c>
      <c r="CQ68" s="410">
        <v>273.85483518296172</v>
      </c>
      <c r="CR68" s="410">
        <v>268.92698847339341</v>
      </c>
      <c r="CS68" s="410">
        <v>269.23529296190043</v>
      </c>
      <c r="CT68" s="410">
        <v>254.64162875792672</v>
      </c>
      <c r="CU68" s="410">
        <v>255</v>
      </c>
      <c r="CV68" s="410">
        <f>IF(VLOOKUP(BS68,'Données par municipalité'!$B$6:$F$1113,4,FALSE)="","",VLOOKUP(BS68,'Données par municipalité'!$B$6:$F$1113,4,FALSE))</f>
        <v>249</v>
      </c>
      <c r="CW68" s="476" t="s">
        <v>4723</v>
      </c>
      <c r="CX68" s="483">
        <v>1</v>
      </c>
      <c r="CY68" s="483">
        <v>1</v>
      </c>
      <c r="CZ68" s="483">
        <v>1</v>
      </c>
      <c r="DA68" s="483">
        <v>1</v>
      </c>
      <c r="DB68" s="483">
        <v>1</v>
      </c>
      <c r="DC68" s="483">
        <v>1</v>
      </c>
      <c r="DD68" s="483">
        <v>1</v>
      </c>
      <c r="DE68" s="483">
        <f>IFERROR(SUM(VLOOKUP($BS68,'État &amp; Plan d''action'!$B$6:$Z$1113,18,FALSE),VLOOKUP($BS68,'État &amp; Plan d''action'!$B$6:$Z$1113,20,FALSE))/(VLOOKUP($BS68,'Données par municipalité'!$B$4:$L$1113,11,FALSE)),"")</f>
        <v>1</v>
      </c>
      <c r="DF68" s="483">
        <f>IFERROR(SUM(VLOOKUP($BS68,'État &amp; Plan d''action'!$B$6:$Z$1113,19,FALSE),VLOOKUP($BS68,'État &amp; Plan d''action'!$B$6:$Z$1113,21,FALSE))/(VLOOKUP($BS68,'Données par municipalité'!$B$4:$L$1113,11,FALSE)),"")</f>
        <v>1</v>
      </c>
      <c r="DG68" s="476" t="s">
        <v>4723</v>
      </c>
      <c r="DH68" s="484">
        <v>8</v>
      </c>
      <c r="DI68" s="484">
        <v>6</v>
      </c>
      <c r="DJ68" s="484">
        <v>8</v>
      </c>
      <c r="DK68" s="484">
        <v>6</v>
      </c>
      <c r="DL68" s="484">
        <v>7</v>
      </c>
      <c r="DM68" s="484">
        <v>6</v>
      </c>
      <c r="DN68" s="484">
        <v>1</v>
      </c>
      <c r="DO68" s="484">
        <v>6</v>
      </c>
      <c r="DP68" s="484">
        <v>4</v>
      </c>
      <c r="DQ68" s="484">
        <f>IF(VLOOKUP($BS68,'État &amp; Plan d''action'!$B$6:$AJ$1113,28,FALSE)="","",VLOOKUP($BS68,'État &amp; Plan d''action'!$B$6:$AJ$1113,28,FALSE))</f>
        <v>0</v>
      </c>
      <c r="DR68" s="70">
        <f>IF(VLOOKUP($BS68,'État &amp; Plan d''action'!$B$6:$AJ$1113,29,FALSE)="","",VLOOKUP($BS68,'État &amp; Plan d''action'!$B$6:$AJ$1113,29,FALSE))</f>
        <v>7</v>
      </c>
      <c r="DS68" s="70">
        <f>IF(VLOOKUP($BS68,'État &amp; Plan d''action'!$B$6:$AJ$1113,30,FALSE)="","",VLOOKUP($BS68,'État &amp; Plan d''action'!$B$6:$AJ$1113,30,FALSE))</f>
        <v>0</v>
      </c>
      <c r="DT68" s="70">
        <v>213</v>
      </c>
      <c r="DU68" s="485">
        <v>1.2852876177795036</v>
      </c>
      <c r="DV68" s="485">
        <v>1.6780467884212908</v>
      </c>
      <c r="DW68" s="70">
        <v>1</v>
      </c>
      <c r="DX68" s="70">
        <v>1</v>
      </c>
      <c r="DY68" s="70">
        <v>3</v>
      </c>
      <c r="DZ68" s="70">
        <f>VLOOKUP($BS68,'État &amp; Plan d''action'!$B$6:$AH$1113,31,FALSE)</f>
        <v>0</v>
      </c>
      <c r="EA68" s="70">
        <f>VLOOKUP($BS68,'État &amp; Plan d''action'!$B$6:$AH$1113,32,FALSE)</f>
        <v>1</v>
      </c>
      <c r="EB68" s="70">
        <f>VLOOKUP($BS68,'État &amp; Plan d''action'!$B$6:$AH$1113,33,FALSE)</f>
        <v>0</v>
      </c>
      <c r="EC68" s="70">
        <v>46.9</v>
      </c>
      <c r="ED68" s="70">
        <v>46.9</v>
      </c>
      <c r="EE68" s="70">
        <v>0</v>
      </c>
      <c r="EF68" s="70">
        <v>0</v>
      </c>
      <c r="EG68" s="70">
        <v>0</v>
      </c>
      <c r="EH68" s="72">
        <v>60</v>
      </c>
      <c r="EI68" s="72">
        <v>7960</v>
      </c>
    </row>
    <row r="69" spans="1:139" ht="19.5" customHeight="1" x14ac:dyDescent="0.35">
      <c r="A69" s="1"/>
      <c r="B69" s="520" t="s">
        <v>4764</v>
      </c>
      <c r="C69" s="520"/>
      <c r="D69" s="520"/>
      <c r="E69"/>
      <c r="F69"/>
      <c r="G69"/>
      <c r="H69"/>
      <c r="I69"/>
      <c r="J69"/>
      <c r="K69"/>
      <c r="L69"/>
      <c r="M69"/>
      <c r="N69"/>
      <c r="O69" s="70"/>
      <c r="P69" s="70"/>
      <c r="Q69" s="70"/>
      <c r="R69" s="70"/>
      <c r="S69" s="99"/>
      <c r="T69" s="70"/>
      <c r="W69" s="70" t="s">
        <v>1186</v>
      </c>
      <c r="X69" s="437">
        <f>IF($W$21="",DN7,IF(VLOOKUP($W$21,$BS$8:$EB$1115,48,FALSE)="","Non
disponible",IF(VLOOKUP($W$21,$BS$8:$EB$1115,48,FALSE)=0,"Aucune fuite
réparée",VLOOKUP($W$21,$BS$8:$EB$1115,48,FALSE))))</f>
        <v>5694</v>
      </c>
      <c r="Y69" s="437">
        <f>IF($W$21="",DQ7,IF(VLOOKUP($W$21,$BS$8:$EB$1115,51,FALSE)="","Non
disponible",IF(VLOOKUP($W$21,$BS$8:$EB$1115,51,FALSE)=0,"Aucune fuite
réparée",VLOOKUP($W$21,$BS$8:$EB$1115,51,FALSE))))</f>
        <v>5090</v>
      </c>
      <c r="AE69" s="476"/>
      <c r="BS69" s="486">
        <v>73030</v>
      </c>
      <c r="BT69" s="479" t="s">
        <v>739</v>
      </c>
      <c r="BU69" s="479">
        <v>15</v>
      </c>
      <c r="BV69" s="476" t="s">
        <v>1187</v>
      </c>
      <c r="BW69" s="476" t="s">
        <v>1187</v>
      </c>
      <c r="BX69" s="476" t="s">
        <v>1187</v>
      </c>
      <c r="BY69" s="476" t="s">
        <v>1187</v>
      </c>
      <c r="BZ69" s="476" t="s">
        <v>1187</v>
      </c>
      <c r="CA69" s="476" t="s">
        <v>1187</v>
      </c>
      <c r="CB69" s="476" t="s">
        <v>1187</v>
      </c>
      <c r="CC69" s="476" t="s">
        <v>1187</v>
      </c>
      <c r="CD69" s="476" t="s">
        <v>1187</v>
      </c>
      <c r="CE69" s="476" t="s">
        <v>1188</v>
      </c>
      <c r="CF69" s="476" t="s">
        <v>1188</v>
      </c>
      <c r="CG69" s="476" t="s">
        <v>1188</v>
      </c>
      <c r="CH69" s="476" t="s">
        <v>1188</v>
      </c>
      <c r="CI69" s="476" t="s">
        <v>1188</v>
      </c>
      <c r="CJ69" s="476" t="s">
        <v>1187</v>
      </c>
      <c r="CK69" s="476" t="s">
        <v>1187</v>
      </c>
      <c r="CL69" s="476" t="s">
        <v>1188</v>
      </c>
      <c r="CM69" s="476" t="str">
        <f>IF(VLOOKUP(BS69,'Données par municipalité'!$B$6:$E$1113,4,FALSE)="","non","oui")</f>
        <v>oui</v>
      </c>
      <c r="CN69" s="410">
        <v>335.63007594187013</v>
      </c>
      <c r="CO69" s="410">
        <v>297.97771580278527</v>
      </c>
      <c r="CP69" s="410">
        <v>281.81681526660196</v>
      </c>
      <c r="CQ69" s="410">
        <v>240.42961654560057</v>
      </c>
      <c r="CR69" s="410">
        <v>232.92014017675226</v>
      </c>
      <c r="CS69" s="410" t="s">
        <v>1124</v>
      </c>
      <c r="CT69" s="410"/>
      <c r="CU69" s="410">
        <v>299</v>
      </c>
      <c r="CV69" s="410">
        <f>IF(VLOOKUP(BS69,'Données par municipalité'!$B$6:$F$1113,4,FALSE)="","",VLOOKUP(BS69,'Données par municipalité'!$B$6:$F$1113,4,FALSE))</f>
        <v>292</v>
      </c>
      <c r="CW69" s="476" t="s">
        <v>4723</v>
      </c>
      <c r="CX69" s="483">
        <v>0</v>
      </c>
      <c r="CY69" s="483">
        <v>1</v>
      </c>
      <c r="CZ69" s="483">
        <v>1</v>
      </c>
      <c r="DA69" s="483">
        <v>1</v>
      </c>
      <c r="DB69" s="483" t="s">
        <v>1124</v>
      </c>
      <c r="DC69" s="483" t="s">
        <v>1124</v>
      </c>
      <c r="DD69" s="483">
        <v>0.99999999999999989</v>
      </c>
      <c r="DE69" s="483">
        <f>IFERROR(SUM(VLOOKUP($BS69,'État &amp; Plan d''action'!$B$6:$Z$1113,18,FALSE),VLOOKUP($BS69,'État &amp; Plan d''action'!$B$6:$Z$1113,20,FALSE))/(VLOOKUP($BS69,'Données par municipalité'!$B$4:$L$1113,11,FALSE)),"")</f>
        <v>0.99999999999999989</v>
      </c>
      <c r="DF69" s="483">
        <f>IFERROR(SUM(VLOOKUP($BS69,'État &amp; Plan d''action'!$B$6:$Z$1113,19,FALSE),VLOOKUP($BS69,'État &amp; Plan d''action'!$B$6:$Z$1113,21,FALSE))/(VLOOKUP($BS69,'Données par municipalité'!$B$4:$L$1113,11,FALSE)),"")</f>
        <v>1.0913702338072</v>
      </c>
      <c r="DG69" s="476" t="s">
        <v>4723</v>
      </c>
      <c r="DH69" s="484" t="s">
        <v>1124</v>
      </c>
      <c r="DI69" s="484" t="s">
        <v>1124</v>
      </c>
      <c r="DJ69" s="484">
        <v>8</v>
      </c>
      <c r="DK69" s="484">
        <v>11</v>
      </c>
      <c r="DL69" s="484" t="s">
        <v>1124</v>
      </c>
      <c r="DM69" s="484" t="s">
        <v>1124</v>
      </c>
      <c r="DN69" s="484">
        <v>16</v>
      </c>
      <c r="DO69" s="484">
        <v>0</v>
      </c>
      <c r="DP69" s="484">
        <v>0</v>
      </c>
      <c r="DQ69" s="484">
        <f>IF(VLOOKUP($BS69,'État &amp; Plan d''action'!$B$6:$AJ$1113,28,FALSE)="","",VLOOKUP($BS69,'État &amp; Plan d''action'!$B$6:$AJ$1113,28,FALSE))</f>
        <v>10</v>
      </c>
      <c r="DR69" s="70">
        <f>IF(VLOOKUP($BS69,'État &amp; Plan d''action'!$B$6:$AJ$1113,29,FALSE)="","",VLOOKUP($BS69,'État &amp; Plan d''action'!$B$6:$AJ$1113,29,FALSE))</f>
        <v>1</v>
      </c>
      <c r="DS69" s="70">
        <f>IF(VLOOKUP($BS69,'État &amp; Plan d''action'!$B$6:$AJ$1113,30,FALSE)="","",VLOOKUP($BS69,'État &amp; Plan d''action'!$B$6:$AJ$1113,30,FALSE))</f>
        <v>0</v>
      </c>
      <c r="DT69" s="70">
        <v>260</v>
      </c>
      <c r="DU69" s="485">
        <v>2.2046020723339401</v>
      </c>
      <c r="DV69" s="485">
        <v>4.3983118583520113</v>
      </c>
      <c r="DW69" s="70">
        <v>2</v>
      </c>
      <c r="DX69" s="70">
        <v>0</v>
      </c>
      <c r="DY69" s="70">
        <v>0</v>
      </c>
      <c r="DZ69" s="70">
        <f>VLOOKUP($BS69,'État &amp; Plan d''action'!$B$6:$AH$1113,31,FALSE)</f>
        <v>2</v>
      </c>
      <c r="EA69" s="70">
        <f>VLOOKUP($BS69,'État &amp; Plan d''action'!$B$6:$AH$1113,32,FALSE)</f>
        <v>2</v>
      </c>
      <c r="EB69" s="70">
        <f>VLOOKUP($BS69,'État &amp; Plan d''action'!$B$6:$AH$1113,33,FALSE)</f>
        <v>0</v>
      </c>
      <c r="EC69" s="70">
        <v>0</v>
      </c>
      <c r="ED69" s="70">
        <v>46.918999999999997</v>
      </c>
      <c r="EE69" s="70">
        <v>0</v>
      </c>
      <c r="EF69" s="70">
        <v>0</v>
      </c>
      <c r="EG69" s="70">
        <v>0</v>
      </c>
      <c r="EH69" s="72">
        <v>49.312707444286389</v>
      </c>
      <c r="EI69" s="72">
        <v>9874</v>
      </c>
    </row>
    <row r="70" spans="1:139" s="413" customFormat="1" ht="45" customHeight="1" x14ac:dyDescent="0.65">
      <c r="A70" s="345"/>
      <c r="B70" s="343" t="s">
        <v>4720</v>
      </c>
      <c r="C70" s="343"/>
      <c r="D70" s="343"/>
      <c r="E70" s="343"/>
      <c r="F70" s="343"/>
      <c r="G70" s="343"/>
      <c r="H70" s="343"/>
      <c r="I70" s="343"/>
      <c r="J70" s="343"/>
      <c r="K70" s="343"/>
      <c r="L70" s="343"/>
      <c r="M70" s="343"/>
      <c r="N70" s="343"/>
      <c r="O70" s="346"/>
      <c r="P70" s="346"/>
      <c r="Q70" s="346"/>
      <c r="R70" s="346"/>
      <c r="S70" s="346"/>
      <c r="U70" s="357"/>
      <c r="V70" s="357"/>
      <c r="W70" s="436" t="s">
        <v>4727</v>
      </c>
      <c r="X70" s="437">
        <f>IF($W$21="",DO7,IF(VLOOKUP($W$21,$BS$8:$EB$1115,49,FALSE)="","Non
disponible",IF(VLOOKUP($W$21,$BS$8:$EB$1115,49,FALSE)=0,"Aucune fuite
réparée",VLOOKUP($W$21,$BS$8:$EB$1115,49,FALSE))))</f>
        <v>2517</v>
      </c>
      <c r="Y70" s="437">
        <f>IF($W$21="",DR7,IF(VLOOKUP($W$21,$BS$8:$EB$1115,52,FALSE)="","Non
disponible",IF(VLOOKUP($W$21,$BS$8:$EB$1115,52,FALSE)=0,"Aucune fuite
réparée",VLOOKUP($W$21,$BS$8:$EB$1115,52,FALSE))))</f>
        <v>2667</v>
      </c>
      <c r="Z70" s="70"/>
      <c r="AA70" s="70"/>
      <c r="AB70" s="70"/>
      <c r="AC70" s="70"/>
      <c r="AE70" s="489"/>
      <c r="BR70" s="70"/>
      <c r="BS70" s="487">
        <v>83085</v>
      </c>
      <c r="BT70" s="488" t="s">
        <v>848</v>
      </c>
      <c r="BU70" s="488">
        <v>7</v>
      </c>
      <c r="BV70" s="489" t="s">
        <v>1188</v>
      </c>
      <c r="BW70" s="489" t="s">
        <v>1188</v>
      </c>
      <c r="BX70" s="489" t="s">
        <v>1188</v>
      </c>
      <c r="BY70" s="489" t="s">
        <v>1188</v>
      </c>
      <c r="BZ70" s="489" t="s">
        <v>1188</v>
      </c>
      <c r="CA70" s="489" t="s">
        <v>1188</v>
      </c>
      <c r="CB70" s="489" t="s">
        <v>1188</v>
      </c>
      <c r="CC70" s="489" t="s">
        <v>1188</v>
      </c>
      <c r="CD70" s="489" t="s">
        <v>1188</v>
      </c>
      <c r="CE70" s="489" t="s">
        <v>1188</v>
      </c>
      <c r="CF70" s="489" t="s">
        <v>1188</v>
      </c>
      <c r="CG70" s="489" t="s">
        <v>1187</v>
      </c>
      <c r="CH70" s="489" t="s">
        <v>1187</v>
      </c>
      <c r="CI70" s="489" t="s">
        <v>1188</v>
      </c>
      <c r="CJ70" s="489" t="s">
        <v>1187</v>
      </c>
      <c r="CK70" s="489" t="s">
        <v>1187</v>
      </c>
      <c r="CL70" s="489" t="s">
        <v>1187</v>
      </c>
      <c r="CM70" s="489" t="str">
        <f>IF(VLOOKUP(BS70,'Données par municipalité'!$B$6:$E$1113,4,FALSE)="","non","oui")</f>
        <v>non</v>
      </c>
      <c r="CN70" s="490">
        <v>192.13086563684055</v>
      </c>
      <c r="CO70" s="490">
        <v>470.60458086269045</v>
      </c>
      <c r="CP70" s="490"/>
      <c r="CQ70" s="490"/>
      <c r="CR70" s="490">
        <v>457.50474788452249</v>
      </c>
      <c r="CS70" s="490" t="s">
        <v>1124</v>
      </c>
      <c r="CT70" s="490"/>
      <c r="CU70" s="490" t="s">
        <v>1124</v>
      </c>
      <c r="CV70" s="490" t="str">
        <f>IF(VLOOKUP(BS70,'Données par municipalité'!$B$6:$F$1113,4,FALSE)="","",VLOOKUP(BS70,'Données par municipalité'!$B$6:$F$1113,4,FALSE))</f>
        <v/>
      </c>
      <c r="CW70" s="489" t="s">
        <v>4723</v>
      </c>
      <c r="CX70" s="491" t="s">
        <v>1124</v>
      </c>
      <c r="CY70" s="491" t="s">
        <v>1124</v>
      </c>
      <c r="CZ70" s="491" t="s">
        <v>1124</v>
      </c>
      <c r="DA70" s="491">
        <v>0</v>
      </c>
      <c r="DB70" s="491" t="s">
        <v>1124</v>
      </c>
      <c r="DC70" s="491" t="s">
        <v>1124</v>
      </c>
      <c r="DD70" s="491" t="s">
        <v>1124</v>
      </c>
      <c r="DE70" s="491" t="str">
        <f>IFERROR(SUM(VLOOKUP($BS70,'État &amp; Plan d''action'!$B$6:$Z$1113,18,FALSE),VLOOKUP($BS70,'État &amp; Plan d''action'!$B$6:$Z$1113,20,FALSE))/(VLOOKUP($BS70,'Données par municipalité'!$B$4:$L$1113,11,FALSE)),"")</f>
        <v/>
      </c>
      <c r="DF70" s="491" t="str">
        <f>IFERROR(SUM(VLOOKUP($BS70,'État &amp; Plan d''action'!$B$6:$Z$1113,19,FALSE),VLOOKUP($BS70,'État &amp; Plan d''action'!$B$6:$Z$1113,21,FALSE))/(VLOOKUP($BS70,'Données par municipalité'!$B$4:$L$1113,11,FALSE)),"")</f>
        <v/>
      </c>
      <c r="DG70" s="489" t="s">
        <v>4723</v>
      </c>
      <c r="DH70" s="492" t="s">
        <v>1124</v>
      </c>
      <c r="DI70" s="492" t="s">
        <v>1124</v>
      </c>
      <c r="DJ70" s="492">
        <v>0</v>
      </c>
      <c r="DK70" s="492">
        <v>0</v>
      </c>
      <c r="DL70" s="492" t="s">
        <v>1124</v>
      </c>
      <c r="DM70" s="492" t="s">
        <v>1124</v>
      </c>
      <c r="DN70" s="492" t="s">
        <v>1124</v>
      </c>
      <c r="DO70" s="492" t="s">
        <v>1124</v>
      </c>
      <c r="DP70" s="492" t="s">
        <v>1124</v>
      </c>
      <c r="DQ70" s="492" t="str">
        <f>IF(VLOOKUP($BS70,'État &amp; Plan d''action'!$B$6:$AJ$1113,28,FALSE)="","",VLOOKUP($BS70,'État &amp; Plan d''action'!$B$6:$AJ$1113,28,FALSE))</f>
        <v/>
      </c>
      <c r="DR70" s="413" t="str">
        <f>IF(VLOOKUP($BS70,'État &amp; Plan d''action'!$B$6:$AJ$1113,29,FALSE)="","",VLOOKUP($BS70,'État &amp; Plan d''action'!$B$6:$AJ$1113,29,FALSE))</f>
        <v/>
      </c>
      <c r="DS70" s="413" t="str">
        <f>IF(VLOOKUP($BS70,'État &amp; Plan d''action'!$B$6:$AJ$1113,30,FALSE)="","",VLOOKUP($BS70,'État &amp; Plan d''action'!$B$6:$AJ$1113,30,FALSE))</f>
        <v/>
      </c>
      <c r="DT70" s="413" t="s">
        <v>1124</v>
      </c>
      <c r="DU70" s="493" t="s">
        <v>1124</v>
      </c>
      <c r="DV70" s="493" t="s">
        <v>1124</v>
      </c>
      <c r="DW70" s="413" t="s">
        <v>1124</v>
      </c>
      <c r="DX70" s="413" t="s">
        <v>1124</v>
      </c>
      <c r="DY70" s="413" t="s">
        <v>1124</v>
      </c>
      <c r="DZ70" s="413" t="str">
        <f>VLOOKUP($BS70,'État &amp; Plan d''action'!$B$6:$AH$1113,31,FALSE)</f>
        <v/>
      </c>
      <c r="EA70" s="413" t="str">
        <f>VLOOKUP($BS70,'État &amp; Plan d''action'!$B$6:$AH$1113,32,FALSE)</f>
        <v/>
      </c>
      <c r="EB70" s="413" t="str">
        <f>VLOOKUP($BS70,'État &amp; Plan d''action'!$B$6:$AH$1113,33,FALSE)</f>
        <v/>
      </c>
      <c r="EC70" s="413" t="s">
        <v>1124</v>
      </c>
      <c r="ED70" s="413" t="s">
        <v>1124</v>
      </c>
      <c r="EE70" s="413" t="s">
        <v>1124</v>
      </c>
      <c r="EF70" s="413" t="s">
        <v>1124</v>
      </c>
      <c r="EG70" s="413" t="s">
        <v>1124</v>
      </c>
      <c r="EH70" s="494"/>
      <c r="EI70" s="72">
        <v>417</v>
      </c>
    </row>
    <row r="71" spans="1:139" x14ac:dyDescent="0.35">
      <c r="A71" s="542"/>
      <c r="B71" s="542"/>
      <c r="C71" s="542"/>
      <c r="D71" s="542"/>
      <c r="E71" s="542"/>
      <c r="F71" s="542"/>
      <c r="G71" s="542"/>
      <c r="H71" s="542"/>
      <c r="I71" s="542"/>
      <c r="J71" s="542"/>
      <c r="K71" s="542"/>
      <c r="L71" s="542"/>
      <c r="M71" s="542"/>
      <c r="N71" s="542"/>
      <c r="O71" s="542"/>
      <c r="P71" s="542"/>
      <c r="Q71" s="542"/>
      <c r="R71" s="542"/>
      <c r="S71" s="542"/>
      <c r="T71" s="542"/>
      <c r="V71" s="359"/>
      <c r="W71" s="436" t="s">
        <v>4728</v>
      </c>
      <c r="X71" s="437">
        <f>IF($W$21="",DP7,IF(VLOOKUP($W$21,$BS$8:$EB$1115,50,FALSE)="","Non
disponible",IF(VLOOKUP($W$21,$BS$8:$EB$1115,50,FALSE)=0,"Aucune fuite
réparée",VLOOKUP($W$21,$BS$8:$EB$1115,50,FALSE))))</f>
        <v>1275</v>
      </c>
      <c r="Y71" s="437">
        <f>IF($W$21="",DS7,IF(VLOOKUP($W$21,$BS$8:$EB$1115,53,FALSE)="","Non
disponible",IF(VLOOKUP($W$21,$BS$8:$EB$1115,53,FALSE)=0,"Aucune fuite
réparée",VLOOKUP($W$21,$BS$8:$EB$1115,53,FALSE))))</f>
        <v>1457</v>
      </c>
      <c r="BS71" s="486">
        <v>45095</v>
      </c>
      <c r="BT71" s="479" t="s">
        <v>423</v>
      </c>
      <c r="BU71" s="479">
        <v>5</v>
      </c>
      <c r="BV71" s="476" t="s">
        <v>1188</v>
      </c>
      <c r="BW71" s="476" t="s">
        <v>1188</v>
      </c>
      <c r="BX71" s="476" t="s">
        <v>1188</v>
      </c>
      <c r="BY71" s="476" t="s">
        <v>1188</v>
      </c>
      <c r="BZ71" s="476" t="s">
        <v>1188</v>
      </c>
      <c r="CA71" s="476" t="s">
        <v>1188</v>
      </c>
      <c r="CB71" s="476" t="s">
        <v>1188</v>
      </c>
      <c r="CC71" s="476" t="s">
        <v>1188</v>
      </c>
      <c r="CD71" s="476" t="s">
        <v>1188</v>
      </c>
      <c r="CE71" s="476" t="s">
        <v>1187</v>
      </c>
      <c r="CF71" s="476" t="s">
        <v>1187</v>
      </c>
      <c r="CG71" s="476" t="s">
        <v>1187</v>
      </c>
      <c r="CH71" s="476" t="s">
        <v>1187</v>
      </c>
      <c r="CI71" s="476" t="s">
        <v>1187</v>
      </c>
      <c r="CJ71" s="476" t="s">
        <v>1187</v>
      </c>
      <c r="CK71" s="476" t="s">
        <v>1187</v>
      </c>
      <c r="CL71" s="476" t="s">
        <v>1187</v>
      </c>
      <c r="CM71" s="476" t="str">
        <f>IF(VLOOKUP(BS71,'Données par municipalité'!$B$6:$E$1113,4,FALSE)="","non","oui")</f>
        <v>non</v>
      </c>
      <c r="CN71" s="410" t="s">
        <v>1124</v>
      </c>
      <c r="CO71" s="410" t="s">
        <v>1124</v>
      </c>
      <c r="CP71" s="410"/>
      <c r="CQ71" s="410"/>
      <c r="CR71" s="410"/>
      <c r="CS71" s="410" t="s">
        <v>1124</v>
      </c>
      <c r="CT71" s="410"/>
      <c r="CU71" s="410" t="s">
        <v>1124</v>
      </c>
      <c r="CV71" s="410" t="str">
        <f>IF(VLOOKUP(BS71,'Données par municipalité'!$B$6:$F$1113,4,FALSE)="","",VLOOKUP(BS71,'Données par municipalité'!$B$6:$F$1113,4,FALSE))</f>
        <v/>
      </c>
      <c r="CW71" s="476" t="s">
        <v>4723</v>
      </c>
      <c r="CX71" s="483" t="s">
        <v>1124</v>
      </c>
      <c r="CY71" s="483" t="s">
        <v>1124</v>
      </c>
      <c r="CZ71" s="483" t="s">
        <v>1124</v>
      </c>
      <c r="DA71" s="483" t="s">
        <v>1124</v>
      </c>
      <c r="DB71" s="483" t="s">
        <v>1124</v>
      </c>
      <c r="DC71" s="483" t="s">
        <v>1124</v>
      </c>
      <c r="DD71" s="483" t="s">
        <v>1124</v>
      </c>
      <c r="DE71" s="483" t="str">
        <f>IFERROR(SUM(VLOOKUP($BS71,'État &amp; Plan d''action'!$B$6:$Z$1113,18,FALSE),VLOOKUP($BS71,'État &amp; Plan d''action'!$B$6:$Z$1113,20,FALSE))/(VLOOKUP($BS71,'Données par municipalité'!$B$4:$L$1113,11,FALSE)),"")</f>
        <v/>
      </c>
      <c r="DF71" s="483" t="str">
        <f>IFERROR(SUM(VLOOKUP($BS71,'État &amp; Plan d''action'!$B$6:$Z$1113,19,FALSE),VLOOKUP($BS71,'État &amp; Plan d''action'!$B$6:$Z$1113,21,FALSE))/(VLOOKUP($BS71,'Données par municipalité'!$B$4:$L$1113,11,FALSE)),"")</f>
        <v/>
      </c>
      <c r="DG71" s="476" t="s">
        <v>4723</v>
      </c>
      <c r="DH71" s="484" t="s">
        <v>1124</v>
      </c>
      <c r="DI71" s="484" t="s">
        <v>1124</v>
      </c>
      <c r="DJ71" s="484">
        <v>0</v>
      </c>
      <c r="DK71" s="484">
        <v>0</v>
      </c>
      <c r="DL71" s="484" t="s">
        <v>1124</v>
      </c>
      <c r="DM71" s="484" t="s">
        <v>1124</v>
      </c>
      <c r="DN71" s="484" t="s">
        <v>1124</v>
      </c>
      <c r="DO71" s="484" t="s">
        <v>1124</v>
      </c>
      <c r="DP71" s="484" t="s">
        <v>1124</v>
      </c>
      <c r="DQ71" s="484" t="str">
        <f>IF(VLOOKUP($BS71,'État &amp; Plan d''action'!$B$6:$AJ$1113,28,FALSE)="","",VLOOKUP($BS71,'État &amp; Plan d''action'!$B$6:$AJ$1113,28,FALSE))</f>
        <v/>
      </c>
      <c r="DR71" s="70" t="str">
        <f>IF(VLOOKUP($BS71,'État &amp; Plan d''action'!$B$6:$AJ$1113,29,FALSE)="","",VLOOKUP($BS71,'État &amp; Plan d''action'!$B$6:$AJ$1113,29,FALSE))</f>
        <v/>
      </c>
      <c r="DS71" s="70" t="str">
        <f>IF(VLOOKUP($BS71,'État &amp; Plan d''action'!$B$6:$AJ$1113,30,FALSE)="","",VLOOKUP($BS71,'État &amp; Plan d''action'!$B$6:$AJ$1113,30,FALSE))</f>
        <v/>
      </c>
      <c r="DT71" s="70" t="s">
        <v>1124</v>
      </c>
      <c r="DU71" s="485" t="s">
        <v>1124</v>
      </c>
      <c r="DV71" s="485" t="s">
        <v>1124</v>
      </c>
      <c r="DW71" s="70" t="s">
        <v>1124</v>
      </c>
      <c r="DX71" s="70" t="s">
        <v>1124</v>
      </c>
      <c r="DY71" s="70" t="s">
        <v>1124</v>
      </c>
      <c r="DZ71" s="70" t="str">
        <f>VLOOKUP($BS71,'État &amp; Plan d''action'!$B$6:$AH$1113,31,FALSE)</f>
        <v/>
      </c>
      <c r="EA71" s="70" t="str">
        <f>VLOOKUP($BS71,'État &amp; Plan d''action'!$B$6:$AH$1113,32,FALSE)</f>
        <v/>
      </c>
      <c r="EB71" s="70" t="str">
        <f>VLOOKUP($BS71,'État &amp; Plan d''action'!$B$6:$AH$1113,33,FALSE)</f>
        <v/>
      </c>
      <c r="EC71" s="70" t="s">
        <v>1124</v>
      </c>
      <c r="ED71" s="70" t="s">
        <v>1124</v>
      </c>
      <c r="EE71" s="70" t="s">
        <v>1124</v>
      </c>
      <c r="EF71" s="70" t="s">
        <v>1124</v>
      </c>
      <c r="EG71" s="70" t="s">
        <v>1124</v>
      </c>
      <c r="EH71" s="72"/>
      <c r="EI71" s="72">
        <v>1005</v>
      </c>
    </row>
    <row r="72" spans="1:139" x14ac:dyDescent="0.35">
      <c r="A72" s="1"/>
      <c r="B72"/>
      <c r="C72"/>
      <c r="D72"/>
      <c r="E72"/>
      <c r="F72"/>
      <c r="G72"/>
      <c r="H72"/>
      <c r="I72"/>
      <c r="J72"/>
      <c r="K72"/>
      <c r="L72"/>
      <c r="M72"/>
      <c r="N72"/>
      <c r="O72" s="70"/>
      <c r="P72" s="70"/>
      <c r="Q72" s="70"/>
      <c r="R72" s="70"/>
      <c r="S72" s="95"/>
      <c r="T72" s="70"/>
      <c r="W72" s="476" t="s">
        <v>4729</v>
      </c>
      <c r="X72" s="476">
        <v>2018</v>
      </c>
      <c r="Y72" s="476">
        <v>2019</v>
      </c>
      <c r="BS72" s="486">
        <v>46065</v>
      </c>
      <c r="BT72" s="479" t="s">
        <v>437</v>
      </c>
      <c r="BU72" s="479">
        <v>5</v>
      </c>
      <c r="BV72" s="476" t="s">
        <v>1188</v>
      </c>
      <c r="BW72" s="476" t="s">
        <v>1188</v>
      </c>
      <c r="BX72" s="476" t="s">
        <v>1188</v>
      </c>
      <c r="BY72" s="476" t="s">
        <v>1188</v>
      </c>
      <c r="BZ72" s="476" t="s">
        <v>1188</v>
      </c>
      <c r="CA72" s="476" t="s">
        <v>1188</v>
      </c>
      <c r="CB72" s="476" t="s">
        <v>1188</v>
      </c>
      <c r="CC72" s="476" t="s">
        <v>1188</v>
      </c>
      <c r="CD72" s="476" t="s">
        <v>1188</v>
      </c>
      <c r="CE72" s="476" t="s">
        <v>1187</v>
      </c>
      <c r="CF72" s="476" t="s">
        <v>1187</v>
      </c>
      <c r="CG72" s="476" t="s">
        <v>1187</v>
      </c>
      <c r="CH72" s="476" t="s">
        <v>1187</v>
      </c>
      <c r="CI72" s="476" t="s">
        <v>1187</v>
      </c>
      <c r="CJ72" s="476" t="s">
        <v>1187</v>
      </c>
      <c r="CK72" s="476" t="s">
        <v>1187</v>
      </c>
      <c r="CL72" s="476" t="s">
        <v>1187</v>
      </c>
      <c r="CM72" s="476" t="str">
        <f>IF(VLOOKUP(BS72,'Données par municipalité'!$B$6:$E$1113,4,FALSE)="","non","oui")</f>
        <v>non</v>
      </c>
      <c r="CN72" s="410" t="s">
        <v>1124</v>
      </c>
      <c r="CO72" s="410" t="s">
        <v>1124</v>
      </c>
      <c r="CP72" s="410"/>
      <c r="CQ72" s="410"/>
      <c r="CR72" s="410"/>
      <c r="CS72" s="410" t="s">
        <v>1124</v>
      </c>
      <c r="CT72" s="410"/>
      <c r="CU72" s="410" t="s">
        <v>1124</v>
      </c>
      <c r="CV72" s="410" t="str">
        <f>IF(VLOOKUP(BS72,'Données par municipalité'!$B$6:$F$1113,4,FALSE)="","",VLOOKUP(BS72,'Données par municipalité'!$B$6:$F$1113,4,FALSE))</f>
        <v/>
      </c>
      <c r="CW72" s="476" t="s">
        <v>4723</v>
      </c>
      <c r="CX72" s="483" t="s">
        <v>1124</v>
      </c>
      <c r="CY72" s="483" t="s">
        <v>1124</v>
      </c>
      <c r="CZ72" s="483" t="s">
        <v>1124</v>
      </c>
      <c r="DA72" s="483" t="s">
        <v>1124</v>
      </c>
      <c r="DB72" s="483" t="s">
        <v>1124</v>
      </c>
      <c r="DC72" s="483" t="s">
        <v>1124</v>
      </c>
      <c r="DD72" s="483" t="s">
        <v>1124</v>
      </c>
      <c r="DE72" s="483" t="str">
        <f>IFERROR(SUM(VLOOKUP($BS72,'État &amp; Plan d''action'!$B$6:$Z$1113,18,FALSE),VLOOKUP($BS72,'État &amp; Plan d''action'!$B$6:$Z$1113,20,FALSE))/(VLOOKUP($BS72,'Données par municipalité'!$B$4:$L$1113,11,FALSE)),"")</f>
        <v/>
      </c>
      <c r="DF72" s="483" t="str">
        <f>IFERROR(SUM(VLOOKUP($BS72,'État &amp; Plan d''action'!$B$6:$Z$1113,19,FALSE),VLOOKUP($BS72,'État &amp; Plan d''action'!$B$6:$Z$1113,21,FALSE))/(VLOOKUP($BS72,'Données par municipalité'!$B$4:$L$1113,11,FALSE)),"")</f>
        <v/>
      </c>
      <c r="DG72" s="476" t="s">
        <v>4723</v>
      </c>
      <c r="DH72" s="484" t="s">
        <v>1124</v>
      </c>
      <c r="DI72" s="484" t="s">
        <v>1124</v>
      </c>
      <c r="DJ72" s="484">
        <v>0</v>
      </c>
      <c r="DK72" s="484">
        <v>0</v>
      </c>
      <c r="DL72" s="484" t="s">
        <v>1124</v>
      </c>
      <c r="DM72" s="484" t="s">
        <v>1124</v>
      </c>
      <c r="DN72" s="484" t="s">
        <v>1124</v>
      </c>
      <c r="DO72" s="484" t="s">
        <v>1124</v>
      </c>
      <c r="DP72" s="484" t="s">
        <v>1124</v>
      </c>
      <c r="DQ72" s="484" t="str">
        <f>IF(VLOOKUP($BS72,'État &amp; Plan d''action'!$B$6:$AJ$1113,28,FALSE)="","",VLOOKUP($BS72,'État &amp; Plan d''action'!$B$6:$AJ$1113,28,FALSE))</f>
        <v/>
      </c>
      <c r="DR72" s="70" t="str">
        <f>IF(VLOOKUP($BS72,'État &amp; Plan d''action'!$B$6:$AJ$1113,29,FALSE)="","",VLOOKUP($BS72,'État &amp; Plan d''action'!$B$6:$AJ$1113,29,FALSE))</f>
        <v/>
      </c>
      <c r="DS72" s="70" t="str">
        <f>IF(VLOOKUP($BS72,'État &amp; Plan d''action'!$B$6:$AJ$1113,30,FALSE)="","",VLOOKUP($BS72,'État &amp; Plan d''action'!$B$6:$AJ$1113,30,FALSE))</f>
        <v/>
      </c>
      <c r="DT72" s="70" t="s">
        <v>1124</v>
      </c>
      <c r="DU72" s="485" t="s">
        <v>1124</v>
      </c>
      <c r="DV72" s="485" t="s">
        <v>1124</v>
      </c>
      <c r="DW72" s="70" t="s">
        <v>1124</v>
      </c>
      <c r="DX72" s="70" t="s">
        <v>1124</v>
      </c>
      <c r="DY72" s="70" t="s">
        <v>1124</v>
      </c>
      <c r="DZ72" s="70" t="str">
        <f>VLOOKUP($BS72,'État &amp; Plan d''action'!$B$6:$AH$1113,31,FALSE)</f>
        <v/>
      </c>
      <c r="EA72" s="70" t="str">
        <f>VLOOKUP($BS72,'État &amp; Plan d''action'!$B$6:$AH$1113,32,FALSE)</f>
        <v/>
      </c>
      <c r="EB72" s="70" t="str">
        <f>VLOOKUP($BS72,'État &amp; Plan d''action'!$B$6:$AH$1113,33,FALSE)</f>
        <v/>
      </c>
      <c r="EC72" s="70" t="s">
        <v>1124</v>
      </c>
      <c r="ED72" s="70" t="s">
        <v>1124</v>
      </c>
      <c r="EE72" s="70" t="s">
        <v>1124</v>
      </c>
      <c r="EF72" s="70" t="s">
        <v>1124</v>
      </c>
      <c r="EG72" s="70" t="s">
        <v>1124</v>
      </c>
      <c r="EH72" s="72"/>
      <c r="EI72" s="72">
        <v>614</v>
      </c>
    </row>
    <row r="73" spans="1:139" x14ac:dyDescent="0.35">
      <c r="A73" s="1"/>
      <c r="B73"/>
      <c r="C73"/>
      <c r="D73"/>
      <c r="E73"/>
      <c r="F73"/>
      <c r="G73"/>
      <c r="H73"/>
      <c r="I73"/>
      <c r="J73"/>
      <c r="K73"/>
      <c r="L73"/>
      <c r="M73"/>
      <c r="N73"/>
      <c r="O73" s="70"/>
      <c r="P73" s="70"/>
      <c r="Q73" s="70"/>
      <c r="R73" s="70"/>
      <c r="S73" s="95"/>
      <c r="T73" s="70"/>
      <c r="W73" s="70" t="s">
        <v>1186</v>
      </c>
      <c r="X73" s="72">
        <f>IF($W$21="",DW7,IF(VLOOKUP($W$21,$BS$8:$EB$1115,57,FALSE)="","Non
disponible",IF(VLOOKUP($W$21,$BS$8:$EB$1115,57,FALSE)=0,"Aucune fuite
réparée",VLOOKUP($W$21,$BS$8:$EB$1115,57,FALSE))))</f>
        <v>5.3144235565669895</v>
      </c>
      <c r="Y73" s="72">
        <f>IF($W$21="",DZ7,IF(VLOOKUP($W$21,$BS$8:$EB$1115,60,FALSE)="","Non
disponible",IF(VLOOKUP($W$21,$BS$8:$EB$1115,60,FALSE)=0,"Aucune fuite
réparée",VLOOKUP($W$21,$BS$8:$EB$1115,60,FALSE))))</f>
        <v>4.5625311764132146</v>
      </c>
      <c r="BS73" s="486">
        <v>5045</v>
      </c>
      <c r="BT73" s="479" t="s">
        <v>1050</v>
      </c>
      <c r="BU73" s="479">
        <v>11</v>
      </c>
      <c r="BV73" s="476" t="s">
        <v>1187</v>
      </c>
      <c r="BW73" s="476" t="s">
        <v>1187</v>
      </c>
      <c r="BX73" s="476" t="s">
        <v>1187</v>
      </c>
      <c r="BY73" s="476" t="s">
        <v>1187</v>
      </c>
      <c r="BZ73" s="476" t="s">
        <v>1187</v>
      </c>
      <c r="CA73" s="476" t="s">
        <v>1187</v>
      </c>
      <c r="CB73" s="476" t="s">
        <v>1187</v>
      </c>
      <c r="CC73" s="476" t="s">
        <v>1187</v>
      </c>
      <c r="CD73" s="476" t="s">
        <v>1187</v>
      </c>
      <c r="CE73" s="476" t="s">
        <v>1187</v>
      </c>
      <c r="CF73" s="476" t="s">
        <v>1187</v>
      </c>
      <c r="CG73" s="476" t="s">
        <v>1187</v>
      </c>
      <c r="CH73" s="476" t="s">
        <v>1187</v>
      </c>
      <c r="CI73" s="476" t="s">
        <v>1187</v>
      </c>
      <c r="CJ73" s="476" t="s">
        <v>1188</v>
      </c>
      <c r="CK73" s="476" t="s">
        <v>1187</v>
      </c>
      <c r="CL73" s="476" t="s">
        <v>1188</v>
      </c>
      <c r="CM73" s="476" t="str">
        <f>IF(VLOOKUP(BS73,'Données par municipalité'!$B$6:$E$1113,4,FALSE)="","non","oui")</f>
        <v>oui</v>
      </c>
      <c r="CN73" s="410" t="s">
        <v>1124</v>
      </c>
      <c r="CO73" s="410" t="s">
        <v>1124</v>
      </c>
      <c r="CP73" s="410"/>
      <c r="CQ73" s="410"/>
      <c r="CR73" s="410"/>
      <c r="CS73" s="410">
        <v>585.16688394628522</v>
      </c>
      <c r="CT73" s="410"/>
      <c r="CU73" s="410">
        <v>533</v>
      </c>
      <c r="CV73" s="410">
        <f>IF(VLOOKUP(BS73,'Données par municipalité'!$B$6:$F$1113,4,FALSE)="","",VLOOKUP(BS73,'Données par municipalité'!$B$6:$F$1113,4,FALSE))</f>
        <v>477</v>
      </c>
      <c r="CW73" s="476" t="s">
        <v>4723</v>
      </c>
      <c r="CX73" s="483" t="s">
        <v>1124</v>
      </c>
      <c r="CY73" s="483" t="s">
        <v>1124</v>
      </c>
      <c r="CZ73" s="483" t="s">
        <v>1124</v>
      </c>
      <c r="DA73" s="483" t="s">
        <v>1124</v>
      </c>
      <c r="DB73" s="483">
        <v>1</v>
      </c>
      <c r="DC73" s="483" t="s">
        <v>1124</v>
      </c>
      <c r="DD73" s="483" t="s">
        <v>1124</v>
      </c>
      <c r="DE73" s="483">
        <f>IFERROR(SUM(VLOOKUP($BS73,'État &amp; Plan d''action'!$B$6:$Z$1113,18,FALSE),VLOOKUP($BS73,'État &amp; Plan d''action'!$B$6:$Z$1113,20,FALSE))/(VLOOKUP($BS73,'Données par municipalité'!$B$4:$L$1113,11,FALSE)),"")</f>
        <v>0</v>
      </c>
      <c r="DF73" s="483">
        <f>IFERROR(SUM(VLOOKUP($BS73,'État &amp; Plan d''action'!$B$6:$Z$1113,19,FALSE),VLOOKUP($BS73,'État &amp; Plan d''action'!$B$6:$Z$1113,21,FALSE))/(VLOOKUP($BS73,'Données par municipalité'!$B$4:$L$1113,11,FALSE)),"")</f>
        <v>0</v>
      </c>
      <c r="DG73" s="476" t="s">
        <v>4723</v>
      </c>
      <c r="DH73" s="484" t="s">
        <v>1124</v>
      </c>
      <c r="DI73" s="484" t="s">
        <v>1124</v>
      </c>
      <c r="DJ73" s="484">
        <v>0</v>
      </c>
      <c r="DK73" s="484">
        <v>0</v>
      </c>
      <c r="DL73" s="484">
        <v>6</v>
      </c>
      <c r="DM73" s="484" t="s">
        <v>1124</v>
      </c>
      <c r="DN73" s="484">
        <v>1</v>
      </c>
      <c r="DO73" s="484">
        <v>1</v>
      </c>
      <c r="DP73" s="484">
        <v>0</v>
      </c>
      <c r="DQ73" s="484">
        <f>IF(VLOOKUP($BS73,'État &amp; Plan d''action'!$B$6:$AJ$1113,28,FALSE)="","",VLOOKUP($BS73,'État &amp; Plan d''action'!$B$6:$AJ$1113,28,FALSE))</f>
        <v>1</v>
      </c>
      <c r="DR73" s="70">
        <f>IF(VLOOKUP($BS73,'État &amp; Plan d''action'!$B$6:$AJ$1113,29,FALSE)="","",VLOOKUP($BS73,'État &amp; Plan d''action'!$B$6:$AJ$1113,29,FALSE))</f>
        <v>1</v>
      </c>
      <c r="DS73" s="70">
        <f>IF(VLOOKUP($BS73,'État &amp; Plan d''action'!$B$6:$AJ$1113,30,FALSE)="","",VLOOKUP($BS73,'État &amp; Plan d''action'!$B$6:$AJ$1113,30,FALSE))</f>
        <v>0</v>
      </c>
      <c r="DT73" s="70">
        <v>419</v>
      </c>
      <c r="DU73" s="485">
        <v>2.2240894744275983</v>
      </c>
      <c r="DV73" s="485">
        <v>1.0722164793782452</v>
      </c>
      <c r="DW73" s="70">
        <v>1</v>
      </c>
      <c r="DX73" s="70">
        <v>1</v>
      </c>
      <c r="DY73" s="70">
        <v>0</v>
      </c>
      <c r="DZ73" s="70">
        <f>VLOOKUP($BS73,'État &amp; Plan d''action'!$B$6:$AH$1113,31,FALSE)</f>
        <v>1</v>
      </c>
      <c r="EA73" s="70">
        <f>VLOOKUP($BS73,'État &amp; Plan d''action'!$B$6:$AH$1113,32,FALSE)</f>
        <v>1</v>
      </c>
      <c r="EB73" s="70">
        <f>VLOOKUP($BS73,'État &amp; Plan d''action'!$B$6:$AH$1113,33,FALSE)</f>
        <v>0</v>
      </c>
      <c r="EC73" s="70">
        <v>5.9290000000000003</v>
      </c>
      <c r="ED73" s="70">
        <v>0</v>
      </c>
      <c r="EE73" s="70">
        <v>0</v>
      </c>
      <c r="EF73" s="70">
        <v>0</v>
      </c>
      <c r="EG73" s="70">
        <v>0</v>
      </c>
      <c r="EH73" s="72">
        <v>59</v>
      </c>
      <c r="EI73" s="72">
        <v>2729</v>
      </c>
    </row>
    <row r="74" spans="1:139" ht="78.75" customHeight="1" x14ac:dyDescent="0.35">
      <c r="A74" s="1"/>
      <c r="B74"/>
      <c r="C74"/>
      <c r="D74"/>
      <c r="E74"/>
      <c r="F74"/>
      <c r="G74"/>
      <c r="H74"/>
      <c r="I74"/>
      <c r="J74"/>
      <c r="K74"/>
      <c r="L74"/>
      <c r="M74"/>
      <c r="N74"/>
      <c r="O74" s="70"/>
      <c r="P74" s="70"/>
      <c r="Q74" s="70"/>
      <c r="R74" s="70"/>
      <c r="S74" s="95"/>
      <c r="T74" s="70"/>
      <c r="W74" s="436" t="s">
        <v>4727</v>
      </c>
      <c r="X74" s="72">
        <f>IF($W$21="",DX7,IF(VLOOKUP($W$21,$BS$8:$EB$1115,58,FALSE)="","Non
disponible",IF(VLOOKUP($W$21,$BS$8:$EB$1115,58,FALSE)=0,"Aucune fuite
réparée",VLOOKUP($W$21,$BS$8:$EB$1115,58,FALSE))))</f>
        <v>7.0827827086491473</v>
      </c>
      <c r="Y74" s="72">
        <f>IF($W$21="",EA7,IF(VLOOKUP($W$21,$BS$8:$EB$1115,61,FALSE)="","Non
disponible",IF(VLOOKUP($W$21,$BS$8:$EB$1115,61,FALSE)=0,"Aucune fuite
réparée",VLOOKUP($W$21,$BS$8:$EB$1115,61,FALSE))))</f>
        <v>8.0384667825612706</v>
      </c>
      <c r="BS74" s="486">
        <v>98010</v>
      </c>
      <c r="BT74" s="479" t="s">
        <v>1007</v>
      </c>
      <c r="BU74" s="479">
        <v>9</v>
      </c>
      <c r="BV74" s="476" t="s">
        <v>1187</v>
      </c>
      <c r="BW74" s="476" t="s">
        <v>1187</v>
      </c>
      <c r="BX74" s="476" t="s">
        <v>1187</v>
      </c>
      <c r="BY74" s="476" t="s">
        <v>1187</v>
      </c>
      <c r="BZ74" s="476" t="s">
        <v>1187</v>
      </c>
      <c r="CA74" s="476" t="s">
        <v>1187</v>
      </c>
      <c r="CB74" s="476" t="s">
        <v>1187</v>
      </c>
      <c r="CC74" s="476" t="s">
        <v>1187</v>
      </c>
      <c r="CD74" s="476" t="s">
        <v>1187</v>
      </c>
      <c r="CE74" s="476" t="s">
        <v>1188</v>
      </c>
      <c r="CF74" s="476" t="s">
        <v>1188</v>
      </c>
      <c r="CG74" s="476" t="s">
        <v>1187</v>
      </c>
      <c r="CH74" s="476" t="s">
        <v>1187</v>
      </c>
      <c r="CI74" s="476" t="s">
        <v>1187</v>
      </c>
      <c r="CJ74" s="476" t="s">
        <v>1187</v>
      </c>
      <c r="CK74" s="476" t="s">
        <v>1187</v>
      </c>
      <c r="CL74" s="476" t="s">
        <v>1187</v>
      </c>
      <c r="CM74" s="476" t="str">
        <f>IF(VLOOKUP(BS74,'Données par municipalité'!$B$6:$E$1113,4,FALSE)="","non","oui")</f>
        <v>non</v>
      </c>
      <c r="CN74" s="410">
        <v>589.20203084586637</v>
      </c>
      <c r="CO74" s="410">
        <v>552.54758443207834</v>
      </c>
      <c r="CP74" s="410"/>
      <c r="CQ74" s="410"/>
      <c r="CR74" s="410"/>
      <c r="CS74" s="410" t="s">
        <v>1124</v>
      </c>
      <c r="CT74" s="410"/>
      <c r="CU74" s="410" t="s">
        <v>1124</v>
      </c>
      <c r="CV74" s="410" t="str">
        <f>IF(VLOOKUP(BS74,'Données par municipalité'!$B$6:$F$1113,4,FALSE)="","",VLOOKUP(BS74,'Données par municipalité'!$B$6:$F$1113,4,FALSE))</f>
        <v/>
      </c>
      <c r="CW74" s="476" t="s">
        <v>4723</v>
      </c>
      <c r="CX74" s="483">
        <v>0.95</v>
      </c>
      <c r="CY74" s="483" t="s">
        <v>1124</v>
      </c>
      <c r="CZ74" s="483" t="s">
        <v>1124</v>
      </c>
      <c r="DA74" s="483" t="s">
        <v>1124</v>
      </c>
      <c r="DB74" s="483" t="s">
        <v>1124</v>
      </c>
      <c r="DC74" s="483" t="s">
        <v>1124</v>
      </c>
      <c r="DD74" s="483" t="s">
        <v>1124</v>
      </c>
      <c r="DE74" s="483" t="str">
        <f>IFERROR(SUM(VLOOKUP($BS74,'État &amp; Plan d''action'!$B$6:$Z$1113,18,FALSE),VLOOKUP($BS74,'État &amp; Plan d''action'!$B$6:$Z$1113,20,FALSE))/(VLOOKUP($BS74,'Données par municipalité'!$B$4:$L$1113,11,FALSE)),"")</f>
        <v/>
      </c>
      <c r="DF74" s="483" t="str">
        <f>IFERROR(SUM(VLOOKUP($BS74,'État &amp; Plan d''action'!$B$6:$Z$1113,19,FALSE),VLOOKUP($BS74,'État &amp; Plan d''action'!$B$6:$Z$1113,21,FALSE))/(VLOOKUP($BS74,'Données par municipalité'!$B$4:$L$1113,11,FALSE)),"")</f>
        <v/>
      </c>
      <c r="DG74" s="476" t="s">
        <v>4723</v>
      </c>
      <c r="DH74" s="484">
        <v>0</v>
      </c>
      <c r="DI74" s="484">
        <v>0</v>
      </c>
      <c r="DJ74" s="484">
        <v>0</v>
      </c>
      <c r="DK74" s="484">
        <v>0</v>
      </c>
      <c r="DL74" s="484" t="s">
        <v>1124</v>
      </c>
      <c r="DM74" s="484" t="s">
        <v>1124</v>
      </c>
      <c r="DN74" s="484" t="s">
        <v>1124</v>
      </c>
      <c r="DO74" s="484" t="s">
        <v>1124</v>
      </c>
      <c r="DP74" s="484" t="s">
        <v>1124</v>
      </c>
      <c r="DQ74" s="484" t="str">
        <f>IF(VLOOKUP($BS74,'État &amp; Plan d''action'!$B$6:$AJ$1113,28,FALSE)="","",VLOOKUP($BS74,'État &amp; Plan d''action'!$B$6:$AJ$1113,28,FALSE))</f>
        <v/>
      </c>
      <c r="DR74" s="70" t="str">
        <f>IF(VLOOKUP($BS74,'État &amp; Plan d''action'!$B$6:$AJ$1113,29,FALSE)="","",VLOOKUP($BS74,'État &amp; Plan d''action'!$B$6:$AJ$1113,29,FALSE))</f>
        <v/>
      </c>
      <c r="DS74" s="70" t="str">
        <f>IF(VLOOKUP($BS74,'État &amp; Plan d''action'!$B$6:$AJ$1113,30,FALSE)="","",VLOOKUP($BS74,'État &amp; Plan d''action'!$B$6:$AJ$1113,30,FALSE))</f>
        <v/>
      </c>
      <c r="DT74" s="70" t="s">
        <v>1124</v>
      </c>
      <c r="DU74" s="485" t="s">
        <v>1124</v>
      </c>
      <c r="DV74" s="485" t="s">
        <v>1124</v>
      </c>
      <c r="DW74" s="70" t="s">
        <v>1124</v>
      </c>
      <c r="DX74" s="70" t="s">
        <v>1124</v>
      </c>
      <c r="DY74" s="70" t="s">
        <v>1124</v>
      </c>
      <c r="DZ74" s="70" t="str">
        <f>VLOOKUP($BS74,'État &amp; Plan d''action'!$B$6:$AH$1113,31,FALSE)</f>
        <v/>
      </c>
      <c r="EA74" s="70" t="str">
        <f>VLOOKUP($BS74,'État &amp; Plan d''action'!$B$6:$AH$1113,32,FALSE)</f>
        <v/>
      </c>
      <c r="EB74" s="70" t="str">
        <f>VLOOKUP($BS74,'État &amp; Plan d''action'!$B$6:$AH$1113,33,FALSE)</f>
        <v/>
      </c>
      <c r="EC74" s="70" t="s">
        <v>1124</v>
      </c>
      <c r="ED74" s="70" t="s">
        <v>1124</v>
      </c>
      <c r="EE74" s="70" t="s">
        <v>1124</v>
      </c>
      <c r="EF74" s="70" t="s">
        <v>1124</v>
      </c>
      <c r="EG74" s="70" t="s">
        <v>1124</v>
      </c>
      <c r="EH74" s="72"/>
      <c r="EI74" s="72">
        <v>689</v>
      </c>
    </row>
    <row r="75" spans="1:139" ht="147" customHeight="1" x14ac:dyDescent="0.35">
      <c r="A75" s="1"/>
      <c r="B75"/>
      <c r="C75"/>
      <c r="D75"/>
      <c r="E75"/>
      <c r="F75"/>
      <c r="G75"/>
      <c r="H75"/>
      <c r="I75"/>
      <c r="J75"/>
      <c r="K75"/>
      <c r="L75"/>
      <c r="M75"/>
      <c r="N75"/>
      <c r="O75" s="70"/>
      <c r="P75" s="70"/>
      <c r="Q75" s="70"/>
      <c r="R75" s="70"/>
      <c r="S75" s="95"/>
      <c r="T75" s="70"/>
      <c r="W75" s="436" t="s">
        <v>4728</v>
      </c>
      <c r="X75" s="72">
        <f>IF($W$21="",DY7,IF(VLOOKUP($W$21,$BS$8:$EB$1115,59,FALSE)="","Non
disponible",IF(VLOOKUP($W$21,$BS$8:$EB$1115,59,FALSE)=0,"Aucune fuite
réparée",VLOOKUP($W$21,$BS$8:$EB$1115,59,FALSE))))</f>
        <v>16.6625813402284</v>
      </c>
      <c r="Y75" s="72">
        <f>IF($W$21="",EB7,IF(VLOOKUP($W$21,$BS$8:$EB$1115,62,FALSE)="","Non
disponible",IF(VLOOKUP($W$21,$BS$8:$EB$1115,62,FALSE)=0,"Aucune fuite
réparée",VLOOKUP($W$21,$BS$8:$EB$1115,62,FALSE))))</f>
        <v>16.582606137856651</v>
      </c>
      <c r="BS75" s="486">
        <v>42040</v>
      </c>
      <c r="BT75" s="479" t="s">
        <v>383</v>
      </c>
      <c r="BU75" s="479">
        <v>5</v>
      </c>
      <c r="BV75" s="476" t="s">
        <v>1187</v>
      </c>
      <c r="BW75" s="476" t="s">
        <v>1187</v>
      </c>
      <c r="BX75" s="476" t="s">
        <v>1187</v>
      </c>
      <c r="BY75" s="476" t="s">
        <v>1187</v>
      </c>
      <c r="BZ75" s="476" t="s">
        <v>1187</v>
      </c>
      <c r="CA75" s="476" t="s">
        <v>1187</v>
      </c>
      <c r="CB75" s="476" t="s">
        <v>1187</v>
      </c>
      <c r="CC75" s="476" t="s">
        <v>1187</v>
      </c>
      <c r="CD75" s="476" t="s">
        <v>1187</v>
      </c>
      <c r="CE75" s="476" t="s">
        <v>1188</v>
      </c>
      <c r="CF75" s="476" t="s">
        <v>1188</v>
      </c>
      <c r="CG75" s="476" t="s">
        <v>1187</v>
      </c>
      <c r="CH75" s="476" t="s">
        <v>1187</v>
      </c>
      <c r="CI75" s="476" t="s">
        <v>1187</v>
      </c>
      <c r="CJ75" s="476" t="s">
        <v>1187</v>
      </c>
      <c r="CK75" s="476" t="s">
        <v>1188</v>
      </c>
      <c r="CL75" s="476" t="s">
        <v>1188</v>
      </c>
      <c r="CM75" s="476" t="str">
        <f>IF(VLOOKUP(BS75,'Données par municipalité'!$B$6:$E$1113,4,FALSE)="","non","oui")</f>
        <v>oui</v>
      </c>
      <c r="CN75" s="410">
        <v>994.99374217772208</v>
      </c>
      <c r="CO75" s="410">
        <v>805.70902394106815</v>
      </c>
      <c r="CP75" s="410"/>
      <c r="CQ75" s="410"/>
      <c r="CR75" s="410"/>
      <c r="CS75" s="410" t="s">
        <v>1124</v>
      </c>
      <c r="CT75" s="410">
        <v>268.84775174435691</v>
      </c>
      <c r="CU75" s="410">
        <v>190</v>
      </c>
      <c r="CV75" s="410">
        <f>IF(VLOOKUP(BS75,'Données par municipalité'!$B$6:$F$1113,4,FALSE)="","",VLOOKUP(BS75,'Données par municipalité'!$B$6:$F$1113,4,FALSE))</f>
        <v>230</v>
      </c>
      <c r="CW75" s="476" t="s">
        <v>4723</v>
      </c>
      <c r="CX75" s="483">
        <v>0</v>
      </c>
      <c r="CY75" s="483" t="s">
        <v>1124</v>
      </c>
      <c r="CZ75" s="483" t="s">
        <v>1124</v>
      </c>
      <c r="DA75" s="483" t="s">
        <v>1124</v>
      </c>
      <c r="DB75" s="483" t="s">
        <v>1124</v>
      </c>
      <c r="DC75" s="483">
        <v>0</v>
      </c>
      <c r="DD75" s="483">
        <v>1</v>
      </c>
      <c r="DE75" s="483">
        <f>IFERROR(SUM(VLOOKUP($BS75,'État &amp; Plan d''action'!$B$6:$Z$1113,18,FALSE),VLOOKUP($BS75,'État &amp; Plan d''action'!$B$6:$Z$1113,20,FALSE))/(VLOOKUP($BS75,'Données par municipalité'!$B$4:$L$1113,11,FALSE)),"")</f>
        <v>1</v>
      </c>
      <c r="DF75" s="483">
        <f>IFERROR(SUM(VLOOKUP($BS75,'État &amp; Plan d''action'!$B$6:$Z$1113,19,FALSE),VLOOKUP($BS75,'État &amp; Plan d''action'!$B$6:$Z$1113,21,FALSE))/(VLOOKUP($BS75,'Données par municipalité'!$B$4:$L$1113,11,FALSE)),"")</f>
        <v>1</v>
      </c>
      <c r="DG75" s="476" t="s">
        <v>4723</v>
      </c>
      <c r="DH75" s="484">
        <v>0</v>
      </c>
      <c r="DI75" s="484" t="s">
        <v>1124</v>
      </c>
      <c r="DJ75" s="484">
        <v>0</v>
      </c>
      <c r="DK75" s="484">
        <v>0</v>
      </c>
      <c r="DL75" s="484" t="s">
        <v>1124</v>
      </c>
      <c r="DM75" s="484">
        <v>1</v>
      </c>
      <c r="DN75" s="484">
        <v>0</v>
      </c>
      <c r="DO75" s="484">
        <v>0</v>
      </c>
      <c r="DP75" s="484">
        <v>0</v>
      </c>
      <c r="DQ75" s="484">
        <f>IF(VLOOKUP($BS75,'État &amp; Plan d''action'!$B$6:$AJ$1113,28,FALSE)="","",VLOOKUP($BS75,'État &amp; Plan d''action'!$B$6:$AJ$1113,28,FALSE))</f>
        <v>1</v>
      </c>
      <c r="DR75" s="70">
        <f>IF(VLOOKUP($BS75,'État &amp; Plan d''action'!$B$6:$AJ$1113,29,FALSE)="","",VLOOKUP($BS75,'État &amp; Plan d''action'!$B$6:$AJ$1113,29,FALSE))</f>
        <v>1</v>
      </c>
      <c r="DS75" s="70">
        <f>IF(VLOOKUP($BS75,'État &amp; Plan d''action'!$B$6:$AJ$1113,30,FALSE)="","",VLOOKUP($BS75,'État &amp; Plan d''action'!$B$6:$AJ$1113,30,FALSE))</f>
        <v>0</v>
      </c>
      <c r="DT75" s="70">
        <v>98</v>
      </c>
      <c r="DU75" s="485">
        <v>0.39997335950542368</v>
      </c>
      <c r="DV75" s="485">
        <v>0.39367456644234616</v>
      </c>
      <c r="DW75" s="70">
        <v>0</v>
      </c>
      <c r="DX75" s="70">
        <v>0</v>
      </c>
      <c r="DY75" s="70">
        <v>0</v>
      </c>
      <c r="DZ75" s="70">
        <f>VLOOKUP($BS75,'État &amp; Plan d''action'!$B$6:$AH$1113,31,FALSE)</f>
        <v>1</v>
      </c>
      <c r="EA75" s="70">
        <f>VLOOKUP($BS75,'État &amp; Plan d''action'!$B$6:$AH$1113,32,FALSE)</f>
        <v>1</v>
      </c>
      <c r="EB75" s="70">
        <f>VLOOKUP($BS75,'État &amp; Plan d''action'!$B$6:$AH$1113,33,FALSE)</f>
        <v>0</v>
      </c>
      <c r="EC75" s="70">
        <v>0</v>
      </c>
      <c r="ED75" s="70">
        <v>0</v>
      </c>
      <c r="EE75" s="70">
        <v>9.7539999999999996</v>
      </c>
      <c r="EF75" s="70">
        <v>0</v>
      </c>
      <c r="EG75" s="70">
        <v>0</v>
      </c>
      <c r="EH75" s="72">
        <v>58</v>
      </c>
      <c r="EI75" s="72">
        <v>649</v>
      </c>
    </row>
    <row r="76" spans="1:139" x14ac:dyDescent="0.35">
      <c r="A76" s="1"/>
      <c r="B76"/>
      <c r="C76"/>
      <c r="D76"/>
      <c r="E76"/>
      <c r="F76"/>
      <c r="G76"/>
      <c r="H76"/>
      <c r="I76"/>
      <c r="J76"/>
      <c r="K76"/>
      <c r="L76"/>
      <c r="M76"/>
      <c r="N76"/>
      <c r="O76" s="70"/>
      <c r="P76" s="70"/>
      <c r="Q76" s="70"/>
      <c r="R76" s="70"/>
      <c r="S76" s="95"/>
      <c r="T76" s="70"/>
      <c r="W76" s="476" t="s">
        <v>4736</v>
      </c>
      <c r="X76" s="476">
        <v>2018</v>
      </c>
      <c r="Y76" s="476">
        <v>2019</v>
      </c>
      <c r="BS76" s="486">
        <v>58033</v>
      </c>
      <c r="BT76" s="479" t="s">
        <v>596</v>
      </c>
      <c r="BU76" s="479">
        <v>16</v>
      </c>
      <c r="BV76" s="476" t="s">
        <v>1187</v>
      </c>
      <c r="BW76" s="476" t="s">
        <v>1187</v>
      </c>
      <c r="BX76" s="476" t="s">
        <v>1187</v>
      </c>
      <c r="BY76" s="476" t="s">
        <v>1187</v>
      </c>
      <c r="BZ76" s="476" t="s">
        <v>1187</v>
      </c>
      <c r="CA76" s="476" t="s">
        <v>1187</v>
      </c>
      <c r="CB76" s="476" t="s">
        <v>1187</v>
      </c>
      <c r="CC76" s="476" t="s">
        <v>1187</v>
      </c>
      <c r="CD76" s="476" t="s">
        <v>1187</v>
      </c>
      <c r="CE76" s="476" t="s">
        <v>1188</v>
      </c>
      <c r="CF76" s="476" t="s">
        <v>1188</v>
      </c>
      <c r="CG76" s="476" t="s">
        <v>1188</v>
      </c>
      <c r="CH76" s="476" t="s">
        <v>1188</v>
      </c>
      <c r="CI76" s="476" t="s">
        <v>1188</v>
      </c>
      <c r="CJ76" s="476" t="s">
        <v>1188</v>
      </c>
      <c r="CK76" s="476" t="s">
        <v>1188</v>
      </c>
      <c r="CL76" s="476" t="s">
        <v>1187</v>
      </c>
      <c r="CM76" s="476" t="str">
        <f>IF(VLOOKUP(BS76,'Données par municipalité'!$B$6:$E$1113,4,FALSE)="","non","oui")</f>
        <v>non</v>
      </c>
      <c r="CN76" s="410">
        <v>568.87500077445816</v>
      </c>
      <c r="CO76" s="410">
        <v>556.7503758459992</v>
      </c>
      <c r="CP76" s="410">
        <v>538.25175160633728</v>
      </c>
      <c r="CQ76" s="410">
        <v>556.6982335977707</v>
      </c>
      <c r="CR76" s="410">
        <v>577.57305748339957</v>
      </c>
      <c r="CS76" s="410">
        <v>766.1369780755997</v>
      </c>
      <c r="CT76" s="410">
        <v>701.90227389729034</v>
      </c>
      <c r="CU76" s="410" t="s">
        <v>1124</v>
      </c>
      <c r="CV76" s="410" t="str">
        <f>IF(VLOOKUP(BS76,'Données par municipalité'!$B$6:$F$1113,4,FALSE)="","",VLOOKUP(BS76,'Données par municipalité'!$B$6:$F$1113,4,FALSE))</f>
        <v/>
      </c>
      <c r="CW76" s="476" t="s">
        <v>4723</v>
      </c>
      <c r="CX76" s="483">
        <v>1</v>
      </c>
      <c r="CY76" s="483">
        <v>1</v>
      </c>
      <c r="CZ76" s="483">
        <v>1</v>
      </c>
      <c r="DA76" s="483">
        <v>1</v>
      </c>
      <c r="DB76" s="483">
        <v>1</v>
      </c>
      <c r="DC76" s="483">
        <v>1</v>
      </c>
      <c r="DD76" s="483" t="s">
        <v>1124</v>
      </c>
      <c r="DE76" s="483" t="str">
        <f>IFERROR(SUM(VLOOKUP($BS76,'État &amp; Plan d''action'!$B$6:$Z$1113,18,FALSE),VLOOKUP($BS76,'État &amp; Plan d''action'!$B$6:$Z$1113,20,FALSE))/(VLOOKUP($BS76,'Données par municipalité'!$B$4:$L$1113,11,FALSE)),"")</f>
        <v/>
      </c>
      <c r="DF76" s="483" t="str">
        <f>IFERROR(SUM(VLOOKUP($BS76,'État &amp; Plan d''action'!$B$6:$Z$1113,19,FALSE),VLOOKUP($BS76,'État &amp; Plan d''action'!$B$6:$Z$1113,21,FALSE))/(VLOOKUP($BS76,'Données par municipalité'!$B$4:$L$1113,11,FALSE)),"")</f>
        <v/>
      </c>
      <c r="DG76" s="476" t="s">
        <v>4723</v>
      </c>
      <c r="DH76" s="484">
        <v>15</v>
      </c>
      <c r="DI76" s="484">
        <v>9</v>
      </c>
      <c r="DJ76" s="484">
        <v>8</v>
      </c>
      <c r="DK76" s="484">
        <v>7</v>
      </c>
      <c r="DL76" s="484">
        <v>40</v>
      </c>
      <c r="DM76" s="484">
        <v>57</v>
      </c>
      <c r="DN76" s="484" t="s">
        <v>1124</v>
      </c>
      <c r="DO76" s="484" t="s">
        <v>1124</v>
      </c>
      <c r="DP76" s="484" t="s">
        <v>1124</v>
      </c>
      <c r="DQ76" s="484" t="str">
        <f>IF(VLOOKUP($BS76,'État &amp; Plan d''action'!$B$6:$AJ$1113,28,FALSE)="","",VLOOKUP($BS76,'État &amp; Plan d''action'!$B$6:$AJ$1113,28,FALSE))</f>
        <v/>
      </c>
      <c r="DR76" s="70" t="str">
        <f>IF(VLOOKUP($BS76,'État &amp; Plan d''action'!$B$6:$AJ$1113,29,FALSE)="","",VLOOKUP($BS76,'État &amp; Plan d''action'!$B$6:$AJ$1113,29,FALSE))</f>
        <v/>
      </c>
      <c r="DS76" s="70" t="str">
        <f>IF(VLOOKUP($BS76,'État &amp; Plan d''action'!$B$6:$AJ$1113,30,FALSE)="","",VLOOKUP($BS76,'État &amp; Plan d''action'!$B$6:$AJ$1113,30,FALSE))</f>
        <v/>
      </c>
      <c r="DT76" s="70" t="s">
        <v>1124</v>
      </c>
      <c r="DU76" s="485" t="s">
        <v>1124</v>
      </c>
      <c r="DV76" s="485" t="s">
        <v>1124</v>
      </c>
      <c r="DW76" s="70" t="s">
        <v>1124</v>
      </c>
      <c r="DX76" s="70" t="s">
        <v>1124</v>
      </c>
      <c r="DY76" s="70" t="s">
        <v>1124</v>
      </c>
      <c r="DZ76" s="70" t="str">
        <f>VLOOKUP($BS76,'État &amp; Plan d''action'!$B$6:$AH$1113,31,FALSE)</f>
        <v/>
      </c>
      <c r="EA76" s="70" t="str">
        <f>VLOOKUP($BS76,'État &amp; Plan d''action'!$B$6:$AH$1113,32,FALSE)</f>
        <v/>
      </c>
      <c r="EB76" s="70" t="str">
        <f>VLOOKUP($BS76,'État &amp; Plan d''action'!$B$6:$AH$1113,33,FALSE)</f>
        <v/>
      </c>
      <c r="EC76" s="70" t="s">
        <v>1124</v>
      </c>
      <c r="ED76" s="70" t="s">
        <v>1124</v>
      </c>
      <c r="EE76" s="70" t="s">
        <v>1124</v>
      </c>
      <c r="EF76" s="70" t="s">
        <v>1124</v>
      </c>
      <c r="EG76" s="70" t="s">
        <v>1124</v>
      </c>
      <c r="EH76" s="72"/>
      <c r="EI76" s="72">
        <v>42368</v>
      </c>
    </row>
    <row r="77" spans="1:139" x14ac:dyDescent="0.35">
      <c r="A77" s="1"/>
      <c r="B77"/>
      <c r="C77"/>
      <c r="D77"/>
      <c r="E77"/>
      <c r="F77"/>
      <c r="G77"/>
      <c r="H77"/>
      <c r="I77"/>
      <c r="J77"/>
      <c r="K77"/>
      <c r="L77"/>
      <c r="M77"/>
      <c r="N77"/>
      <c r="O77" s="70"/>
      <c r="P77" s="70"/>
      <c r="Q77" s="70"/>
      <c r="R77" s="70"/>
      <c r="S77" s="95"/>
      <c r="T77" s="70"/>
      <c r="W77" s="70" t="s">
        <v>4731</v>
      </c>
      <c r="X77" s="438">
        <f>IF($W$21="",EC7,IF(VLOOKUP($W$21,$BS$8:$EG$1115,63,FALSE)="","Non
disponible",VLOOKUP($W$21,$BS$8:$EG$1115,63,FALSE)))</f>
        <v>2964.3690000000006</v>
      </c>
      <c r="Y77" s="438" t="str">
        <f>IF($W$21="",TEXT(SUM('État &amp; Plan d''action'!$Q$6:$Q$1113),"# ### ###"),VLOOKUP($W$21,'État &amp; Plan d''action'!$B$6:$Z$1113,16,FALSE))</f>
        <v>4 157</v>
      </c>
      <c r="Z77" s="409" t="str">
        <f>IF($W$21="",TEXT(X77,"# ### ###"),TEXT(X77,"# ### ##0,000"))</f>
        <v>2 964</v>
      </c>
      <c r="AA77" s="409" t="str">
        <f t="shared" ref="AA77:AA81" si="6">IF($W$21="",TEXT(Y77,"# ### ###"),TEXT(Y77,"# ### ##0,000"))</f>
        <v>4 157</v>
      </c>
      <c r="AB77" s="476"/>
      <c r="AC77" s="476"/>
      <c r="AD77" s="476"/>
      <c r="BS77" s="486">
        <v>83050</v>
      </c>
      <c r="BT77" s="479" t="s">
        <v>842</v>
      </c>
      <c r="BU77" s="479">
        <v>7</v>
      </c>
      <c r="BV77" s="476" t="s">
        <v>1187</v>
      </c>
      <c r="BW77" s="476" t="s">
        <v>1187</v>
      </c>
      <c r="BX77" s="476" t="s">
        <v>1187</v>
      </c>
      <c r="BY77" s="476" t="s">
        <v>1187</v>
      </c>
      <c r="BZ77" s="476" t="s">
        <v>1187</v>
      </c>
      <c r="CA77" s="476" t="s">
        <v>1187</v>
      </c>
      <c r="CB77" s="476" t="s">
        <v>1187</v>
      </c>
      <c r="CC77" s="476" t="s">
        <v>1187</v>
      </c>
      <c r="CD77" s="476" t="s">
        <v>1187</v>
      </c>
      <c r="CE77" s="476" t="s">
        <v>1187</v>
      </c>
      <c r="CF77" s="476" t="s">
        <v>1187</v>
      </c>
      <c r="CG77" s="476" t="s">
        <v>1187</v>
      </c>
      <c r="CH77" s="476" t="s">
        <v>1187</v>
      </c>
      <c r="CI77" s="476" t="s">
        <v>1187</v>
      </c>
      <c r="CJ77" s="476" t="s">
        <v>1187</v>
      </c>
      <c r="CK77" s="476" t="s">
        <v>1187</v>
      </c>
      <c r="CL77" s="476" t="s">
        <v>1187</v>
      </c>
      <c r="CM77" s="476" t="str">
        <f>IF(VLOOKUP(BS77,'Données par municipalité'!$B$6:$E$1113,4,FALSE)="","non","oui")</f>
        <v>non</v>
      </c>
      <c r="CN77" s="410" t="s">
        <v>1124</v>
      </c>
      <c r="CO77" s="410" t="s">
        <v>1124</v>
      </c>
      <c r="CP77" s="410"/>
      <c r="CQ77" s="410"/>
      <c r="CR77" s="410"/>
      <c r="CS77" s="410" t="s">
        <v>1124</v>
      </c>
      <c r="CT77" s="410"/>
      <c r="CU77" s="410" t="s">
        <v>1124</v>
      </c>
      <c r="CV77" s="410" t="str">
        <f>IF(VLOOKUP(BS77,'Données par municipalité'!$B$6:$F$1113,4,FALSE)="","",VLOOKUP(BS77,'Données par municipalité'!$B$6:$F$1113,4,FALSE))</f>
        <v/>
      </c>
      <c r="CW77" s="476" t="s">
        <v>4723</v>
      </c>
      <c r="CX77" s="483" t="s">
        <v>1124</v>
      </c>
      <c r="CY77" s="483" t="s">
        <v>1124</v>
      </c>
      <c r="CZ77" s="483" t="s">
        <v>1124</v>
      </c>
      <c r="DA77" s="483" t="s">
        <v>1124</v>
      </c>
      <c r="DB77" s="483" t="s">
        <v>1124</v>
      </c>
      <c r="DC77" s="483" t="s">
        <v>1124</v>
      </c>
      <c r="DD77" s="483" t="s">
        <v>1124</v>
      </c>
      <c r="DE77" s="483" t="str">
        <f>IFERROR(SUM(VLOOKUP($BS77,'État &amp; Plan d''action'!$B$6:$Z$1113,18,FALSE),VLOOKUP($BS77,'État &amp; Plan d''action'!$B$6:$Z$1113,20,FALSE))/(VLOOKUP($BS77,'Données par municipalité'!$B$4:$L$1113,11,FALSE)),"")</f>
        <v/>
      </c>
      <c r="DF77" s="483" t="str">
        <f>IFERROR(SUM(VLOOKUP($BS77,'État &amp; Plan d''action'!$B$6:$Z$1113,19,FALSE),VLOOKUP($BS77,'État &amp; Plan d''action'!$B$6:$Z$1113,21,FALSE))/(VLOOKUP($BS77,'Données par municipalité'!$B$4:$L$1113,11,FALSE)),"")</f>
        <v/>
      </c>
      <c r="DG77" s="476" t="s">
        <v>4723</v>
      </c>
      <c r="DH77" s="484">
        <v>0</v>
      </c>
      <c r="DI77" s="484" t="s">
        <v>1124</v>
      </c>
      <c r="DJ77" s="484">
        <v>0</v>
      </c>
      <c r="DK77" s="484">
        <v>0</v>
      </c>
      <c r="DL77" s="484" t="s">
        <v>1124</v>
      </c>
      <c r="DM77" s="484" t="s">
        <v>1124</v>
      </c>
      <c r="DN77" s="484" t="s">
        <v>1124</v>
      </c>
      <c r="DO77" s="484" t="s">
        <v>1124</v>
      </c>
      <c r="DP77" s="484" t="s">
        <v>1124</v>
      </c>
      <c r="DQ77" s="484" t="str">
        <f>IF(VLOOKUP($BS77,'État &amp; Plan d''action'!$B$6:$AJ$1113,28,FALSE)="","",VLOOKUP($BS77,'État &amp; Plan d''action'!$B$6:$AJ$1113,28,FALSE))</f>
        <v/>
      </c>
      <c r="DR77" s="70" t="str">
        <f>IF(VLOOKUP($BS77,'État &amp; Plan d''action'!$B$6:$AJ$1113,29,FALSE)="","",VLOOKUP($BS77,'État &amp; Plan d''action'!$B$6:$AJ$1113,29,FALSE))</f>
        <v/>
      </c>
      <c r="DS77" s="70" t="str">
        <f>IF(VLOOKUP($BS77,'État &amp; Plan d''action'!$B$6:$AJ$1113,30,FALSE)="","",VLOOKUP($BS77,'État &amp; Plan d''action'!$B$6:$AJ$1113,30,FALSE))</f>
        <v/>
      </c>
      <c r="DT77" s="70" t="s">
        <v>1124</v>
      </c>
      <c r="DU77" s="485" t="s">
        <v>1124</v>
      </c>
      <c r="DV77" s="485" t="s">
        <v>1124</v>
      </c>
      <c r="DW77" s="70" t="s">
        <v>1124</v>
      </c>
      <c r="DX77" s="70" t="s">
        <v>1124</v>
      </c>
      <c r="DY77" s="70" t="s">
        <v>1124</v>
      </c>
      <c r="DZ77" s="70" t="str">
        <f>VLOOKUP($BS77,'État &amp; Plan d''action'!$B$6:$AH$1113,31,FALSE)</f>
        <v/>
      </c>
      <c r="EA77" s="70" t="str">
        <f>VLOOKUP($BS77,'État &amp; Plan d''action'!$B$6:$AH$1113,32,FALSE)</f>
        <v/>
      </c>
      <c r="EB77" s="70" t="str">
        <f>VLOOKUP($BS77,'État &amp; Plan d''action'!$B$6:$AH$1113,33,FALSE)</f>
        <v/>
      </c>
      <c r="EC77" s="70" t="s">
        <v>1124</v>
      </c>
      <c r="ED77" s="70" t="s">
        <v>1124</v>
      </c>
      <c r="EE77" s="70" t="s">
        <v>1124</v>
      </c>
      <c r="EF77" s="70" t="s">
        <v>1124</v>
      </c>
      <c r="EG77" s="70" t="s">
        <v>1124</v>
      </c>
      <c r="EH77" s="72"/>
      <c r="EI77" s="72">
        <v>679</v>
      </c>
    </row>
    <row r="78" spans="1:139" x14ac:dyDescent="0.35">
      <c r="A78" s="1"/>
      <c r="B78"/>
      <c r="C78"/>
      <c r="D78"/>
      <c r="E78"/>
      <c r="F78"/>
      <c r="G78"/>
      <c r="H78"/>
      <c r="I78"/>
      <c r="J78"/>
      <c r="K78"/>
      <c r="L78"/>
      <c r="M78"/>
      <c r="N78"/>
      <c r="O78" s="70"/>
      <c r="P78" s="70"/>
      <c r="Q78" s="70"/>
      <c r="R78" s="70"/>
      <c r="S78" s="95"/>
      <c r="T78" s="70"/>
      <c r="W78" s="436" t="s">
        <v>4732</v>
      </c>
      <c r="X78" s="438">
        <f>IF($W$21="",ED7,IF(VLOOKUP($W$21,$BS$8:$EG$1115,64,FALSE)="","Non
disponible",VLOOKUP($W$21,$BS$8:$EG$1115,64,FALSE)))</f>
        <v>30100.840801877988</v>
      </c>
      <c r="Y78" s="438" t="str">
        <f>IF($W$21="",TEXT(SUM('État &amp; Plan d''action'!$S$6:$S$1113),"# ### ###"),VLOOKUP($W$21,'État &amp; Plan d''action'!$B$6:$Z$1113,18,FALSE))</f>
        <v>32 099</v>
      </c>
      <c r="Z78" s="409" t="str">
        <f t="shared" ref="Z78:Z81" si="7">IF($W$21="",TEXT(X78,"# ### ###"),TEXT(X78,"# ### ##0,000"))</f>
        <v>30 101</v>
      </c>
      <c r="AA78" s="409" t="str">
        <f t="shared" si="6"/>
        <v>32 099</v>
      </c>
      <c r="AB78" s="420"/>
      <c r="BS78" s="486">
        <v>80145</v>
      </c>
      <c r="BT78" s="479" t="s">
        <v>826</v>
      </c>
      <c r="BU78" s="479">
        <v>7</v>
      </c>
      <c r="BV78" s="476" t="s">
        <v>1188</v>
      </c>
      <c r="BW78" s="476" t="s">
        <v>1188</v>
      </c>
      <c r="BX78" s="476" t="s">
        <v>1188</v>
      </c>
      <c r="BY78" s="476" t="s">
        <v>1188</v>
      </c>
      <c r="BZ78" s="476" t="s">
        <v>1188</v>
      </c>
      <c r="CA78" s="476" t="s">
        <v>1188</v>
      </c>
      <c r="CB78" s="476" t="s">
        <v>1188</v>
      </c>
      <c r="CC78" s="476" t="s">
        <v>1188</v>
      </c>
      <c r="CD78" s="476" t="s">
        <v>1188</v>
      </c>
      <c r="CE78" s="476" t="s">
        <v>1188</v>
      </c>
      <c r="CF78" s="476" t="s">
        <v>1188</v>
      </c>
      <c r="CG78" s="476" t="s">
        <v>1188</v>
      </c>
      <c r="CH78" s="476" t="s">
        <v>1187</v>
      </c>
      <c r="CI78" s="476" t="s">
        <v>1187</v>
      </c>
      <c r="CJ78" s="476" t="s">
        <v>1187</v>
      </c>
      <c r="CK78" s="476" t="s">
        <v>1187</v>
      </c>
      <c r="CL78" s="476" t="s">
        <v>1187</v>
      </c>
      <c r="CM78" s="476" t="str">
        <f>IF(VLOOKUP(BS78,'Données par municipalité'!$B$6:$E$1113,4,FALSE)="","non","oui")</f>
        <v>non</v>
      </c>
      <c r="CN78" s="410">
        <v>436.80899384860601</v>
      </c>
      <c r="CO78" s="410">
        <v>431.07026087734891</v>
      </c>
      <c r="CP78" s="410">
        <v>402.56474923852738</v>
      </c>
      <c r="CQ78" s="410"/>
      <c r="CR78" s="410"/>
      <c r="CS78" s="410" t="s">
        <v>1124</v>
      </c>
      <c r="CT78" s="410"/>
      <c r="CU78" s="410" t="s">
        <v>1124</v>
      </c>
      <c r="CV78" s="410" t="str">
        <f>IF(VLOOKUP(BS78,'Données par municipalité'!$B$6:$F$1113,4,FALSE)="","",VLOOKUP(BS78,'Données par municipalité'!$B$6:$F$1113,4,FALSE))</f>
        <v/>
      </c>
      <c r="CW78" s="476" t="s">
        <v>4723</v>
      </c>
      <c r="CX78" s="483" t="s">
        <v>1124</v>
      </c>
      <c r="CY78" s="483">
        <v>0</v>
      </c>
      <c r="CZ78" s="483" t="s">
        <v>1124</v>
      </c>
      <c r="DA78" s="483" t="s">
        <v>1124</v>
      </c>
      <c r="DB78" s="483" t="s">
        <v>1124</v>
      </c>
      <c r="DC78" s="483" t="s">
        <v>1124</v>
      </c>
      <c r="DD78" s="483" t="s">
        <v>1124</v>
      </c>
      <c r="DE78" s="483" t="str">
        <f>IFERROR(SUM(VLOOKUP($BS78,'État &amp; Plan d''action'!$B$6:$Z$1113,18,FALSE),VLOOKUP($BS78,'État &amp; Plan d''action'!$B$6:$Z$1113,20,FALSE))/(VLOOKUP($BS78,'Données par municipalité'!$B$4:$L$1113,11,FALSE)),"")</f>
        <v/>
      </c>
      <c r="DF78" s="483" t="str">
        <f>IFERROR(SUM(VLOOKUP($BS78,'État &amp; Plan d''action'!$B$6:$Z$1113,19,FALSE),VLOOKUP($BS78,'État &amp; Plan d''action'!$B$6:$Z$1113,21,FALSE))/(VLOOKUP($BS78,'Données par municipalité'!$B$4:$L$1113,11,FALSE)),"")</f>
        <v/>
      </c>
      <c r="DG78" s="476" t="s">
        <v>4723</v>
      </c>
      <c r="DH78" s="484" t="s">
        <v>1124</v>
      </c>
      <c r="DI78" s="484" t="s">
        <v>1124</v>
      </c>
      <c r="DJ78" s="484">
        <v>0</v>
      </c>
      <c r="DK78" s="484">
        <v>0</v>
      </c>
      <c r="DL78" s="484" t="s">
        <v>1124</v>
      </c>
      <c r="DM78" s="484" t="s">
        <v>1124</v>
      </c>
      <c r="DN78" s="484" t="s">
        <v>1124</v>
      </c>
      <c r="DO78" s="484" t="s">
        <v>1124</v>
      </c>
      <c r="DP78" s="484" t="s">
        <v>1124</v>
      </c>
      <c r="DQ78" s="484" t="str">
        <f>IF(VLOOKUP($BS78,'État &amp; Plan d''action'!$B$6:$AJ$1113,28,FALSE)="","",VLOOKUP($BS78,'État &amp; Plan d''action'!$B$6:$AJ$1113,28,FALSE))</f>
        <v/>
      </c>
      <c r="DR78" s="70" t="str">
        <f>IF(VLOOKUP($BS78,'État &amp; Plan d''action'!$B$6:$AJ$1113,29,FALSE)="","",VLOOKUP($BS78,'État &amp; Plan d''action'!$B$6:$AJ$1113,29,FALSE))</f>
        <v/>
      </c>
      <c r="DS78" s="70" t="str">
        <f>IF(VLOOKUP($BS78,'État &amp; Plan d''action'!$B$6:$AJ$1113,30,FALSE)="","",VLOOKUP($BS78,'État &amp; Plan d''action'!$B$6:$AJ$1113,30,FALSE))</f>
        <v/>
      </c>
      <c r="DT78" s="70" t="s">
        <v>1124</v>
      </c>
      <c r="DU78" s="485" t="s">
        <v>1124</v>
      </c>
      <c r="DV78" s="485" t="s">
        <v>1124</v>
      </c>
      <c r="DW78" s="70" t="s">
        <v>1124</v>
      </c>
      <c r="DX78" s="70" t="s">
        <v>1124</v>
      </c>
      <c r="DY78" s="70" t="s">
        <v>1124</v>
      </c>
      <c r="DZ78" s="70" t="str">
        <f>VLOOKUP($BS78,'État &amp; Plan d''action'!$B$6:$AH$1113,31,FALSE)</f>
        <v/>
      </c>
      <c r="EA78" s="70" t="str">
        <f>VLOOKUP($BS78,'État &amp; Plan d''action'!$B$6:$AH$1113,32,FALSE)</f>
        <v/>
      </c>
      <c r="EB78" s="70" t="str">
        <f>VLOOKUP($BS78,'État &amp; Plan d''action'!$B$6:$AH$1113,33,FALSE)</f>
        <v/>
      </c>
      <c r="EC78" s="70" t="s">
        <v>1124</v>
      </c>
      <c r="ED78" s="70" t="s">
        <v>1124</v>
      </c>
      <c r="EE78" s="70" t="s">
        <v>1124</v>
      </c>
      <c r="EF78" s="70" t="s">
        <v>1124</v>
      </c>
      <c r="EG78" s="70" t="s">
        <v>1124</v>
      </c>
      <c r="EH78" s="72"/>
      <c r="EI78" s="72">
        <v>665</v>
      </c>
    </row>
    <row r="79" spans="1:139" ht="63.75" customHeight="1" x14ac:dyDescent="0.35">
      <c r="A79" s="1"/>
      <c r="B79"/>
      <c r="C79"/>
      <c r="D79"/>
      <c r="E79"/>
      <c r="F79"/>
      <c r="G79"/>
      <c r="H79"/>
      <c r="I79"/>
      <c r="J79"/>
      <c r="K79"/>
      <c r="L79"/>
      <c r="M79"/>
      <c r="N79"/>
      <c r="O79" s="70"/>
      <c r="P79" s="70"/>
      <c r="Q79" s="70"/>
      <c r="R79" s="70"/>
      <c r="S79" s="95"/>
      <c r="T79" s="70"/>
      <c r="W79" s="436" t="s">
        <v>4733</v>
      </c>
      <c r="X79" s="438">
        <f>IF($W$21="",EE7,IF(VLOOKUP($W$21,$BS$8:$EG$1115,65,FALSE)="","Non
disponible",VLOOKUP($W$21,$BS$8:$EG$1115,65,FALSE)))</f>
        <v>4173.9080000000022</v>
      </c>
      <c r="Y79" s="438" t="str">
        <f>IF($W$21="",TEXT(SUM('État &amp; Plan d''action'!$U$6:$U$1113),"# ### ###"),VLOOKUP($W$21,'État &amp; Plan d''action'!$B$6:$Z$1113,20,FALSE))</f>
        <v>7 416</v>
      </c>
      <c r="Z79" s="409" t="str">
        <f t="shared" si="7"/>
        <v>4 174</v>
      </c>
      <c r="AA79" s="409" t="str">
        <f t="shared" si="6"/>
        <v>7 416</v>
      </c>
      <c r="AB79" s="503"/>
      <c r="BS79" s="486">
        <v>78075</v>
      </c>
      <c r="BT79" s="479" t="s">
        <v>778</v>
      </c>
      <c r="BU79" s="479">
        <v>15</v>
      </c>
      <c r="BV79" s="476" t="s">
        <v>1187</v>
      </c>
      <c r="BW79" s="476" t="s">
        <v>1187</v>
      </c>
      <c r="BX79" s="476" t="s">
        <v>1187</v>
      </c>
      <c r="BY79" s="476" t="s">
        <v>1187</v>
      </c>
      <c r="BZ79" s="476" t="s">
        <v>1187</v>
      </c>
      <c r="CA79" s="476" t="s">
        <v>1187</v>
      </c>
      <c r="CB79" s="476" t="s">
        <v>1187</v>
      </c>
      <c r="CC79" s="476" t="s">
        <v>1187</v>
      </c>
      <c r="CD79" s="476" t="s">
        <v>1187</v>
      </c>
      <c r="CE79" s="476" t="s">
        <v>1187</v>
      </c>
      <c r="CF79" s="476" t="s">
        <v>1187</v>
      </c>
      <c r="CG79" s="476" t="s">
        <v>1187</v>
      </c>
      <c r="CH79" s="476" t="s">
        <v>1187</v>
      </c>
      <c r="CI79" s="476" t="s">
        <v>1187</v>
      </c>
      <c r="CJ79" s="476" t="s">
        <v>1188</v>
      </c>
      <c r="CK79" s="476" t="s">
        <v>1188</v>
      </c>
      <c r="CL79" s="476" t="s">
        <v>1188</v>
      </c>
      <c r="CM79" s="476" t="str">
        <f>IF(VLOOKUP(BS79,'Données par municipalité'!$B$6:$E$1113,4,FALSE)="","non","oui")</f>
        <v>oui</v>
      </c>
      <c r="CN79" s="410" t="s">
        <v>1124</v>
      </c>
      <c r="CO79" s="410" t="s">
        <v>1124</v>
      </c>
      <c r="CP79" s="410"/>
      <c r="CQ79" s="410"/>
      <c r="CR79" s="410"/>
      <c r="CS79" s="410">
        <v>377.72117637741718</v>
      </c>
      <c r="CT79" s="410">
        <v>319.05270049254557</v>
      </c>
      <c r="CU79" s="410">
        <v>301</v>
      </c>
      <c r="CV79" s="410">
        <f>IF(VLOOKUP(BS79,'Données par municipalité'!$B$6:$F$1113,4,FALSE)="","",VLOOKUP(BS79,'Données par municipalité'!$B$6:$F$1113,4,FALSE))</f>
        <v>289</v>
      </c>
      <c r="CW79" s="476" t="s">
        <v>4723</v>
      </c>
      <c r="CX79" s="483" t="s">
        <v>1124</v>
      </c>
      <c r="CY79" s="483" t="s">
        <v>1124</v>
      </c>
      <c r="CZ79" s="483" t="s">
        <v>1124</v>
      </c>
      <c r="DA79" s="483" t="s">
        <v>1124</v>
      </c>
      <c r="DB79" s="483">
        <v>0</v>
      </c>
      <c r="DC79" s="483">
        <v>0</v>
      </c>
      <c r="DD79" s="483">
        <v>0</v>
      </c>
      <c r="DE79" s="483">
        <f>IFERROR(SUM(VLOOKUP($BS79,'État &amp; Plan d''action'!$B$6:$Z$1113,18,FALSE),VLOOKUP($BS79,'État &amp; Plan d''action'!$B$6:$Z$1113,20,FALSE))/(VLOOKUP($BS79,'Données par municipalité'!$B$4:$L$1113,11,FALSE)),"")</f>
        <v>0</v>
      </c>
      <c r="DF79" s="483">
        <f>IFERROR(SUM(VLOOKUP($BS79,'État &amp; Plan d''action'!$B$6:$Z$1113,19,FALSE),VLOOKUP($BS79,'État &amp; Plan d''action'!$B$6:$Z$1113,21,FALSE))/(VLOOKUP($BS79,'Données par municipalité'!$B$4:$L$1113,11,FALSE)),"")</f>
        <v>0</v>
      </c>
      <c r="DG79" s="476" t="s">
        <v>4723</v>
      </c>
      <c r="DH79" s="484">
        <v>2</v>
      </c>
      <c r="DI79" s="484">
        <v>2</v>
      </c>
      <c r="DJ79" s="484">
        <v>5</v>
      </c>
      <c r="DK79" s="484">
        <v>6</v>
      </c>
      <c r="DL79" s="484">
        <v>1</v>
      </c>
      <c r="DM79" s="484">
        <v>2</v>
      </c>
      <c r="DN79" s="484">
        <v>1</v>
      </c>
      <c r="DO79" s="484">
        <v>1</v>
      </c>
      <c r="DP79" s="484">
        <v>0</v>
      </c>
      <c r="DQ79" s="484">
        <f>IF(VLOOKUP($BS79,'État &amp; Plan d''action'!$B$6:$AJ$1113,28,FALSE)="","",VLOOKUP($BS79,'État &amp; Plan d''action'!$B$6:$AJ$1113,28,FALSE))</f>
        <v>0</v>
      </c>
      <c r="DR79" s="70">
        <f>IF(VLOOKUP($BS79,'État &amp; Plan d''action'!$B$6:$AJ$1113,29,FALSE)="","",VLOOKUP($BS79,'État &amp; Plan d''action'!$B$6:$AJ$1113,29,FALSE))</f>
        <v>0</v>
      </c>
      <c r="DS79" s="70">
        <f>IF(VLOOKUP($BS79,'État &amp; Plan d''action'!$B$6:$AJ$1113,30,FALSE)="","",VLOOKUP($BS79,'État &amp; Plan d''action'!$B$6:$AJ$1113,30,FALSE))</f>
        <v>0</v>
      </c>
      <c r="DT79" s="70">
        <v>257</v>
      </c>
      <c r="DU79" s="485">
        <v>0.90839253405900144</v>
      </c>
      <c r="DV79" s="485">
        <v>0.96758273205830359</v>
      </c>
      <c r="DW79" s="70">
        <v>1</v>
      </c>
      <c r="DX79" s="70">
        <v>1</v>
      </c>
      <c r="DY79" s="70">
        <v>0</v>
      </c>
      <c r="DZ79" s="70">
        <f>VLOOKUP($BS79,'État &amp; Plan d''action'!$B$6:$AH$1113,31,FALSE)</f>
        <v>0</v>
      </c>
      <c r="EA79" s="70">
        <f>VLOOKUP($BS79,'État &amp; Plan d''action'!$B$6:$AH$1113,32,FALSE)</f>
        <v>0</v>
      </c>
      <c r="EB79" s="70">
        <f>VLOOKUP($BS79,'État &amp; Plan d''action'!$B$6:$AH$1113,33,FALSE)</f>
        <v>0</v>
      </c>
      <c r="EC79" s="70">
        <v>0</v>
      </c>
      <c r="ED79" s="70">
        <v>0</v>
      </c>
      <c r="EE79" s="70">
        <v>0</v>
      </c>
      <c r="EF79" s="70">
        <v>0</v>
      </c>
      <c r="EG79" s="70">
        <v>0</v>
      </c>
      <c r="EH79" s="72">
        <v>59</v>
      </c>
      <c r="EI79" s="72">
        <v>1046</v>
      </c>
    </row>
    <row r="80" spans="1:139" ht="63.75" customHeight="1" x14ac:dyDescent="0.35">
      <c r="A80" s="1"/>
      <c r="B80"/>
      <c r="C80"/>
      <c r="D80"/>
      <c r="E80"/>
      <c r="F80"/>
      <c r="G80"/>
      <c r="H80"/>
      <c r="I80"/>
      <c r="J80"/>
      <c r="K80"/>
      <c r="L80"/>
      <c r="M80"/>
      <c r="N80"/>
      <c r="O80" s="70"/>
      <c r="P80" s="70"/>
      <c r="Q80" s="70"/>
      <c r="R80" s="70"/>
      <c r="S80" s="95"/>
      <c r="T80" s="70"/>
      <c r="W80" s="70" t="s">
        <v>4734</v>
      </c>
      <c r="X80" s="438">
        <f>IF($W$21="",EF7,IF(VLOOKUP($W$21,$BS$8:$EG$1115,66,FALSE)="","Non
disponible",VLOOKUP($W$21,$BS$8:$EG$1115,66,FALSE)))</f>
        <v>1559.3639999999996</v>
      </c>
      <c r="Y80" s="438" t="str">
        <f>IF($W$21="",TEXT(SUM('État &amp; Plan d''action'!$W$6:$W$1113),"# ### ###"),VLOOKUP($W$21,'État &amp; Plan d''action'!$B$6:$Z$1113,22,FALSE))</f>
        <v>658</v>
      </c>
      <c r="Z80" s="409" t="str">
        <f t="shared" si="7"/>
        <v>1 559</v>
      </c>
      <c r="AA80" s="409" t="str">
        <f t="shared" si="6"/>
        <v>658</v>
      </c>
      <c r="BS80" s="486">
        <v>46090</v>
      </c>
      <c r="BT80" s="479" t="s">
        <v>443</v>
      </c>
      <c r="BU80" s="479">
        <v>5</v>
      </c>
      <c r="BV80" s="476" t="s">
        <v>1188</v>
      </c>
      <c r="BW80" s="476" t="s">
        <v>1188</v>
      </c>
      <c r="BX80" s="476" t="s">
        <v>1188</v>
      </c>
      <c r="BY80" s="476" t="s">
        <v>1188</v>
      </c>
      <c r="BZ80" s="476" t="s">
        <v>1188</v>
      </c>
      <c r="CA80" s="476" t="s">
        <v>1188</v>
      </c>
      <c r="CB80" s="476" t="s">
        <v>1188</v>
      </c>
      <c r="CC80" s="476" t="s">
        <v>1188</v>
      </c>
      <c r="CD80" s="476" t="s">
        <v>1188</v>
      </c>
      <c r="CE80" s="476" t="s">
        <v>1187</v>
      </c>
      <c r="CF80" s="476" t="s">
        <v>1187</v>
      </c>
      <c r="CG80" s="476" t="s">
        <v>1187</v>
      </c>
      <c r="CH80" s="476" t="s">
        <v>1187</v>
      </c>
      <c r="CI80" s="476" t="s">
        <v>1187</v>
      </c>
      <c r="CJ80" s="476" t="s">
        <v>1187</v>
      </c>
      <c r="CK80" s="476" t="s">
        <v>1187</v>
      </c>
      <c r="CL80" s="476" t="s">
        <v>1187</v>
      </c>
      <c r="CM80" s="476" t="str">
        <f>IF(VLOOKUP(BS80,'Données par municipalité'!$B$6:$E$1113,4,FALSE)="","non","oui")</f>
        <v>non</v>
      </c>
      <c r="CN80" s="410" t="s">
        <v>1124</v>
      </c>
      <c r="CO80" s="410" t="s">
        <v>1124</v>
      </c>
      <c r="CP80" s="410"/>
      <c r="CQ80" s="410"/>
      <c r="CR80" s="410"/>
      <c r="CS80" s="410" t="s">
        <v>1124</v>
      </c>
      <c r="CT80" s="410"/>
      <c r="CU80" s="410" t="s">
        <v>1124</v>
      </c>
      <c r="CV80" s="410" t="str">
        <f>IF(VLOOKUP(BS80,'Données par municipalité'!$B$6:$F$1113,4,FALSE)="","",VLOOKUP(BS80,'Données par municipalité'!$B$6:$F$1113,4,FALSE))</f>
        <v/>
      </c>
      <c r="CW80" s="476" t="s">
        <v>4723</v>
      </c>
      <c r="CX80" s="483" t="s">
        <v>1124</v>
      </c>
      <c r="CY80" s="483" t="s">
        <v>1124</v>
      </c>
      <c r="CZ80" s="483" t="s">
        <v>1124</v>
      </c>
      <c r="DA80" s="483" t="s">
        <v>1124</v>
      </c>
      <c r="DB80" s="483" t="s">
        <v>1124</v>
      </c>
      <c r="DC80" s="483" t="s">
        <v>1124</v>
      </c>
      <c r="DD80" s="483" t="s">
        <v>1124</v>
      </c>
      <c r="DE80" s="483" t="str">
        <f>IFERROR(SUM(VLOOKUP($BS80,'État &amp; Plan d''action'!$B$6:$Z$1113,18,FALSE),VLOOKUP($BS80,'État &amp; Plan d''action'!$B$6:$Z$1113,20,FALSE))/(VLOOKUP($BS80,'Données par municipalité'!$B$4:$L$1113,11,FALSE)),"")</f>
        <v/>
      </c>
      <c r="DF80" s="483" t="str">
        <f>IFERROR(SUM(VLOOKUP($BS80,'État &amp; Plan d''action'!$B$6:$Z$1113,19,FALSE),VLOOKUP($BS80,'État &amp; Plan d''action'!$B$6:$Z$1113,21,FALSE))/(VLOOKUP($BS80,'Données par municipalité'!$B$4:$L$1113,11,FALSE)),"")</f>
        <v/>
      </c>
      <c r="DG80" s="476" t="s">
        <v>4723</v>
      </c>
      <c r="DH80" s="484" t="s">
        <v>1124</v>
      </c>
      <c r="DI80" s="484" t="s">
        <v>1124</v>
      </c>
      <c r="DJ80" s="484">
        <v>0</v>
      </c>
      <c r="DK80" s="484">
        <v>0</v>
      </c>
      <c r="DL80" s="484" t="s">
        <v>1124</v>
      </c>
      <c r="DM80" s="484" t="s">
        <v>1124</v>
      </c>
      <c r="DN80" s="484" t="s">
        <v>1124</v>
      </c>
      <c r="DO80" s="484" t="s">
        <v>1124</v>
      </c>
      <c r="DP80" s="484" t="s">
        <v>1124</v>
      </c>
      <c r="DQ80" s="484" t="str">
        <f>IF(VLOOKUP($BS80,'État &amp; Plan d''action'!$B$6:$AJ$1113,28,FALSE)="","",VLOOKUP($BS80,'État &amp; Plan d''action'!$B$6:$AJ$1113,28,FALSE))</f>
        <v/>
      </c>
      <c r="DR80" s="70" t="str">
        <f>IF(VLOOKUP($BS80,'État &amp; Plan d''action'!$B$6:$AJ$1113,29,FALSE)="","",VLOOKUP($BS80,'État &amp; Plan d''action'!$B$6:$AJ$1113,29,FALSE))</f>
        <v/>
      </c>
      <c r="DS80" s="70" t="str">
        <f>IF(VLOOKUP($BS80,'État &amp; Plan d''action'!$B$6:$AJ$1113,30,FALSE)="","",VLOOKUP($BS80,'État &amp; Plan d''action'!$B$6:$AJ$1113,30,FALSE))</f>
        <v/>
      </c>
      <c r="DT80" s="70" t="s">
        <v>1124</v>
      </c>
      <c r="DU80" s="485" t="s">
        <v>1124</v>
      </c>
      <c r="DV80" s="485" t="s">
        <v>1124</v>
      </c>
      <c r="DW80" s="70" t="s">
        <v>1124</v>
      </c>
      <c r="DX80" s="70" t="s">
        <v>1124</v>
      </c>
      <c r="DY80" s="70" t="s">
        <v>1124</v>
      </c>
      <c r="DZ80" s="70" t="str">
        <f>VLOOKUP($BS80,'État &amp; Plan d''action'!$B$6:$AH$1113,31,FALSE)</f>
        <v/>
      </c>
      <c r="EA80" s="70" t="str">
        <f>VLOOKUP($BS80,'État &amp; Plan d''action'!$B$6:$AH$1113,32,FALSE)</f>
        <v/>
      </c>
      <c r="EB80" s="70" t="str">
        <f>VLOOKUP($BS80,'État &amp; Plan d''action'!$B$6:$AH$1113,33,FALSE)</f>
        <v/>
      </c>
      <c r="EC80" s="70" t="s">
        <v>1124</v>
      </c>
      <c r="ED80" s="70" t="s">
        <v>1124</v>
      </c>
      <c r="EE80" s="70" t="s">
        <v>1124</v>
      </c>
      <c r="EF80" s="70" t="s">
        <v>1124</v>
      </c>
      <c r="EG80" s="70" t="s">
        <v>1124</v>
      </c>
      <c r="EH80" s="72"/>
      <c r="EI80" s="72">
        <v>2337</v>
      </c>
    </row>
    <row r="81" spans="1:139" ht="15" customHeight="1" x14ac:dyDescent="0.35">
      <c r="A81" s="1"/>
      <c r="B81"/>
      <c r="C81"/>
      <c r="D81"/>
      <c r="E81"/>
      <c r="F81"/>
      <c r="G81"/>
      <c r="H81"/>
      <c r="I81"/>
      <c r="J81"/>
      <c r="K81"/>
      <c r="L81"/>
      <c r="M81"/>
      <c r="N81"/>
      <c r="O81" s="70"/>
      <c r="P81" s="70"/>
      <c r="Q81" s="70"/>
      <c r="R81" s="70"/>
      <c r="S81" s="95"/>
      <c r="T81" s="70"/>
      <c r="W81" s="436" t="s">
        <v>4735</v>
      </c>
      <c r="X81" s="438">
        <f>IF($W$21="",EG7,IF(VLOOKUP($W$21,$BS$8:$EG$1115,67,FALSE)="","Non
disponible",VLOOKUP($W$21,$BS$8:$EG$1115,63,FALSE)))</f>
        <v>3.5</v>
      </c>
      <c r="Y81" s="438" t="str">
        <f>IF($W$21="",TEXT(SUM('État &amp; Plan d''action'!$Y$6:$Y$1113),"# ### ###"),VLOOKUP($W$21,'État &amp; Plan d''action'!$B$6:$Z$1113,24,FALSE))</f>
        <v/>
      </c>
      <c r="Z81" s="409" t="str">
        <f t="shared" si="7"/>
        <v>4</v>
      </c>
      <c r="AA81" s="409" t="str">
        <f t="shared" si="6"/>
        <v/>
      </c>
      <c r="BS81" s="486">
        <v>84005</v>
      </c>
      <c r="BT81" s="479" t="s">
        <v>852</v>
      </c>
      <c r="BU81" s="479">
        <v>7</v>
      </c>
      <c r="BV81" s="476" t="s">
        <v>1188</v>
      </c>
      <c r="BW81" s="476" t="s">
        <v>1188</v>
      </c>
      <c r="BX81" s="476" t="s">
        <v>1188</v>
      </c>
      <c r="BY81" s="476" t="s">
        <v>1188</v>
      </c>
      <c r="BZ81" s="476" t="s">
        <v>1188</v>
      </c>
      <c r="CA81" s="476" t="s">
        <v>1188</v>
      </c>
      <c r="CB81" s="476" t="s">
        <v>1188</v>
      </c>
      <c r="CC81" s="476" t="s">
        <v>1188</v>
      </c>
      <c r="CD81" s="476" t="s">
        <v>1188</v>
      </c>
      <c r="CE81" s="476" t="s">
        <v>1188</v>
      </c>
      <c r="CF81" s="476" t="s">
        <v>1188</v>
      </c>
      <c r="CG81" s="476" t="s">
        <v>1188</v>
      </c>
      <c r="CH81" s="476" t="s">
        <v>1187</v>
      </c>
      <c r="CI81" s="476" t="s">
        <v>1187</v>
      </c>
      <c r="CJ81" s="476" t="s">
        <v>1187</v>
      </c>
      <c r="CK81" s="476" t="s">
        <v>1187</v>
      </c>
      <c r="CL81" s="476" t="s">
        <v>1187</v>
      </c>
      <c r="CM81" s="476" t="str">
        <f>IF(VLOOKUP(BS81,'Données par municipalité'!$B$6:$E$1113,4,FALSE)="","non","oui")</f>
        <v>non</v>
      </c>
      <c r="CN81" s="410">
        <v>335.40460386950997</v>
      </c>
      <c r="CO81" s="410">
        <v>341.66504033307308</v>
      </c>
      <c r="CP81" s="410">
        <v>595.31392694063925</v>
      </c>
      <c r="CQ81" s="410"/>
      <c r="CR81" s="410"/>
      <c r="CS81" s="410" t="s">
        <v>1124</v>
      </c>
      <c r="CT81" s="410"/>
      <c r="CU81" s="410" t="s">
        <v>1124</v>
      </c>
      <c r="CV81" s="410" t="str">
        <f>IF(VLOOKUP(BS81,'Données par municipalité'!$B$6:$F$1113,4,FALSE)="","",VLOOKUP(BS81,'Données par municipalité'!$B$6:$F$1113,4,FALSE))</f>
        <v/>
      </c>
      <c r="CW81" s="476" t="s">
        <v>4723</v>
      </c>
      <c r="CX81" s="483" t="s">
        <v>1124</v>
      </c>
      <c r="CY81" s="483">
        <v>0</v>
      </c>
      <c r="CZ81" s="483" t="s">
        <v>1124</v>
      </c>
      <c r="DA81" s="483" t="s">
        <v>1124</v>
      </c>
      <c r="DB81" s="483" t="s">
        <v>1124</v>
      </c>
      <c r="DC81" s="483" t="s">
        <v>1124</v>
      </c>
      <c r="DD81" s="483" t="s">
        <v>1124</v>
      </c>
      <c r="DE81" s="483" t="str">
        <f>IFERROR(SUM(VLOOKUP($BS81,'État &amp; Plan d''action'!$B$6:$Z$1113,18,FALSE),VLOOKUP($BS81,'État &amp; Plan d''action'!$B$6:$Z$1113,20,FALSE))/(VLOOKUP($BS81,'Données par municipalité'!$B$4:$L$1113,11,FALSE)),"")</f>
        <v/>
      </c>
      <c r="DF81" s="483" t="str">
        <f>IFERROR(SUM(VLOOKUP($BS81,'État &amp; Plan d''action'!$B$6:$Z$1113,19,FALSE),VLOOKUP($BS81,'État &amp; Plan d''action'!$B$6:$Z$1113,21,FALSE))/(VLOOKUP($BS81,'Données par municipalité'!$B$4:$L$1113,11,FALSE)),"")</f>
        <v/>
      </c>
      <c r="DG81" s="476" t="s">
        <v>4723</v>
      </c>
      <c r="DH81" s="484" t="s">
        <v>1124</v>
      </c>
      <c r="DI81" s="484" t="s">
        <v>1124</v>
      </c>
      <c r="DJ81" s="484">
        <v>0</v>
      </c>
      <c r="DK81" s="484">
        <v>0</v>
      </c>
      <c r="DL81" s="484" t="s">
        <v>1124</v>
      </c>
      <c r="DM81" s="484" t="s">
        <v>1124</v>
      </c>
      <c r="DN81" s="484" t="s">
        <v>1124</v>
      </c>
      <c r="DO81" s="484" t="s">
        <v>1124</v>
      </c>
      <c r="DP81" s="484" t="s">
        <v>1124</v>
      </c>
      <c r="DQ81" s="484" t="str">
        <f>IF(VLOOKUP($BS81,'État &amp; Plan d''action'!$B$6:$AJ$1113,28,FALSE)="","",VLOOKUP($BS81,'État &amp; Plan d''action'!$B$6:$AJ$1113,28,FALSE))</f>
        <v/>
      </c>
      <c r="DR81" s="70" t="str">
        <f>IF(VLOOKUP($BS81,'État &amp; Plan d''action'!$B$6:$AJ$1113,29,FALSE)="","",VLOOKUP($BS81,'État &amp; Plan d''action'!$B$6:$AJ$1113,29,FALSE))</f>
        <v/>
      </c>
      <c r="DS81" s="70" t="str">
        <f>IF(VLOOKUP($BS81,'État &amp; Plan d''action'!$B$6:$AJ$1113,30,FALSE)="","",VLOOKUP($BS81,'État &amp; Plan d''action'!$B$6:$AJ$1113,30,FALSE))</f>
        <v/>
      </c>
      <c r="DT81" s="70" t="s">
        <v>1124</v>
      </c>
      <c r="DU81" s="485" t="s">
        <v>1124</v>
      </c>
      <c r="DV81" s="485" t="s">
        <v>1124</v>
      </c>
      <c r="DW81" s="70" t="s">
        <v>1124</v>
      </c>
      <c r="DX81" s="70" t="s">
        <v>1124</v>
      </c>
      <c r="DY81" s="70" t="s">
        <v>1124</v>
      </c>
      <c r="DZ81" s="70" t="str">
        <f>VLOOKUP($BS81,'État &amp; Plan d''action'!$B$6:$AH$1113,31,FALSE)</f>
        <v/>
      </c>
      <c r="EA81" s="70" t="str">
        <f>VLOOKUP($BS81,'État &amp; Plan d''action'!$B$6:$AH$1113,32,FALSE)</f>
        <v/>
      </c>
      <c r="EB81" s="70" t="str">
        <f>VLOOKUP($BS81,'État &amp; Plan d''action'!$B$6:$AH$1113,33,FALSE)</f>
        <v/>
      </c>
      <c r="EC81" s="70" t="s">
        <v>1124</v>
      </c>
      <c r="ED81" s="70" t="s">
        <v>1124</v>
      </c>
      <c r="EE81" s="70" t="s">
        <v>1124</v>
      </c>
      <c r="EF81" s="70" t="s">
        <v>1124</v>
      </c>
      <c r="EG81" s="70" t="s">
        <v>1124</v>
      </c>
      <c r="EH81" s="72"/>
      <c r="EI81" s="72">
        <v>1033</v>
      </c>
    </row>
    <row r="82" spans="1:139" ht="15" customHeight="1" x14ac:dyDescent="0.35">
      <c r="A82" s="1"/>
      <c r="B82"/>
      <c r="C82"/>
      <c r="D82"/>
      <c r="E82"/>
      <c r="F82"/>
      <c r="G82"/>
      <c r="H82"/>
      <c r="I82"/>
      <c r="J82"/>
      <c r="K82"/>
      <c r="L82"/>
      <c r="M82"/>
      <c r="N82"/>
      <c r="O82" s="70"/>
      <c r="P82" s="70"/>
      <c r="Q82" s="70"/>
      <c r="R82" s="70"/>
      <c r="S82" s="95"/>
      <c r="T82" s="70"/>
      <c r="AE82" s="504"/>
      <c r="AF82" s="504"/>
      <c r="BS82" s="486">
        <v>46070</v>
      </c>
      <c r="BT82" s="479" t="s">
        <v>438</v>
      </c>
      <c r="BU82" s="479">
        <v>5</v>
      </c>
      <c r="BV82" s="476" t="s">
        <v>1188</v>
      </c>
      <c r="BW82" s="476" t="s">
        <v>1188</v>
      </c>
      <c r="BX82" s="476" t="s">
        <v>1188</v>
      </c>
      <c r="BY82" s="476" t="s">
        <v>1188</v>
      </c>
      <c r="BZ82" s="476" t="s">
        <v>1188</v>
      </c>
      <c r="CA82" s="476" t="s">
        <v>1188</v>
      </c>
      <c r="CB82" s="476" t="s">
        <v>1188</v>
      </c>
      <c r="CC82" s="476" t="s">
        <v>1188</v>
      </c>
      <c r="CD82" s="476" t="s">
        <v>1188</v>
      </c>
      <c r="CE82" s="476" t="s">
        <v>1187</v>
      </c>
      <c r="CF82" s="476" t="s">
        <v>1187</v>
      </c>
      <c r="CG82" s="476" t="s">
        <v>1187</v>
      </c>
      <c r="CH82" s="476" t="s">
        <v>1187</v>
      </c>
      <c r="CI82" s="476" t="s">
        <v>1187</v>
      </c>
      <c r="CJ82" s="476" t="s">
        <v>1187</v>
      </c>
      <c r="CK82" s="476" t="s">
        <v>1187</v>
      </c>
      <c r="CL82" s="476" t="s">
        <v>1187</v>
      </c>
      <c r="CM82" s="476" t="str">
        <f>IF(VLOOKUP(BS82,'Données par municipalité'!$B$6:$E$1113,4,FALSE)="","non","oui")</f>
        <v>non</v>
      </c>
      <c r="CN82" s="410" t="s">
        <v>1124</v>
      </c>
      <c r="CO82" s="410" t="s">
        <v>1124</v>
      </c>
      <c r="CP82" s="410"/>
      <c r="CQ82" s="410"/>
      <c r="CR82" s="410"/>
      <c r="CS82" s="410" t="s">
        <v>1124</v>
      </c>
      <c r="CT82" s="410"/>
      <c r="CU82" s="410" t="s">
        <v>1124</v>
      </c>
      <c r="CV82" s="410" t="str">
        <f>IF(VLOOKUP(BS82,'Données par municipalité'!$B$6:$F$1113,4,FALSE)="","",VLOOKUP(BS82,'Données par municipalité'!$B$6:$F$1113,4,FALSE))</f>
        <v/>
      </c>
      <c r="CW82" s="476" t="s">
        <v>4723</v>
      </c>
      <c r="CX82" s="483" t="s">
        <v>1124</v>
      </c>
      <c r="CY82" s="483" t="s">
        <v>1124</v>
      </c>
      <c r="CZ82" s="483" t="s">
        <v>1124</v>
      </c>
      <c r="DA82" s="483" t="s">
        <v>1124</v>
      </c>
      <c r="DB82" s="483" t="s">
        <v>1124</v>
      </c>
      <c r="DC82" s="483" t="s">
        <v>1124</v>
      </c>
      <c r="DD82" s="483" t="s">
        <v>1124</v>
      </c>
      <c r="DE82" s="483" t="str">
        <f>IFERROR(SUM(VLOOKUP($BS82,'État &amp; Plan d''action'!$B$6:$Z$1113,18,FALSE),VLOOKUP($BS82,'État &amp; Plan d''action'!$B$6:$Z$1113,20,FALSE))/(VLOOKUP($BS82,'Données par municipalité'!$B$4:$L$1113,11,FALSE)),"")</f>
        <v/>
      </c>
      <c r="DF82" s="483" t="str">
        <f>IFERROR(SUM(VLOOKUP($BS82,'État &amp; Plan d''action'!$B$6:$Z$1113,19,FALSE),VLOOKUP($BS82,'État &amp; Plan d''action'!$B$6:$Z$1113,21,FALSE))/(VLOOKUP($BS82,'Données par municipalité'!$B$4:$L$1113,11,FALSE)),"")</f>
        <v/>
      </c>
      <c r="DG82" s="476" t="s">
        <v>4723</v>
      </c>
      <c r="DH82" s="484" t="s">
        <v>1124</v>
      </c>
      <c r="DI82" s="484" t="s">
        <v>1124</v>
      </c>
      <c r="DJ82" s="484">
        <v>0</v>
      </c>
      <c r="DK82" s="484">
        <v>0</v>
      </c>
      <c r="DL82" s="484" t="s">
        <v>1124</v>
      </c>
      <c r="DM82" s="484" t="s">
        <v>1124</v>
      </c>
      <c r="DN82" s="484" t="s">
        <v>1124</v>
      </c>
      <c r="DO82" s="484" t="s">
        <v>1124</v>
      </c>
      <c r="DP82" s="484" t="s">
        <v>1124</v>
      </c>
      <c r="DQ82" s="484" t="str">
        <f>IF(VLOOKUP($BS82,'État &amp; Plan d''action'!$B$6:$AJ$1113,28,FALSE)="","",VLOOKUP($BS82,'État &amp; Plan d''action'!$B$6:$AJ$1113,28,FALSE))</f>
        <v/>
      </c>
      <c r="DR82" s="70" t="str">
        <f>IF(VLOOKUP($BS82,'État &amp; Plan d''action'!$B$6:$AJ$1113,29,FALSE)="","",VLOOKUP($BS82,'État &amp; Plan d''action'!$B$6:$AJ$1113,29,FALSE))</f>
        <v/>
      </c>
      <c r="DS82" s="70" t="str">
        <f>IF(VLOOKUP($BS82,'État &amp; Plan d''action'!$B$6:$AJ$1113,30,FALSE)="","",VLOOKUP($BS82,'État &amp; Plan d''action'!$B$6:$AJ$1113,30,FALSE))</f>
        <v/>
      </c>
      <c r="DT82" s="70" t="s">
        <v>1124</v>
      </c>
      <c r="DU82" s="485" t="s">
        <v>1124</v>
      </c>
      <c r="DV82" s="485" t="s">
        <v>1124</v>
      </c>
      <c r="DW82" s="70" t="s">
        <v>1124</v>
      </c>
      <c r="DX82" s="70" t="s">
        <v>1124</v>
      </c>
      <c r="DY82" s="70" t="s">
        <v>1124</v>
      </c>
      <c r="DZ82" s="70" t="str">
        <f>VLOOKUP($BS82,'État &amp; Plan d''action'!$B$6:$AH$1113,31,FALSE)</f>
        <v/>
      </c>
      <c r="EA82" s="70" t="str">
        <f>VLOOKUP($BS82,'État &amp; Plan d''action'!$B$6:$AH$1113,32,FALSE)</f>
        <v/>
      </c>
      <c r="EB82" s="70" t="str">
        <f>VLOOKUP($BS82,'État &amp; Plan d''action'!$B$6:$AH$1113,33,FALSE)</f>
        <v/>
      </c>
      <c r="EC82" s="70" t="s">
        <v>1124</v>
      </c>
      <c r="ED82" s="70" t="s">
        <v>1124</v>
      </c>
      <c r="EE82" s="70" t="s">
        <v>1124</v>
      </c>
      <c r="EF82" s="70" t="s">
        <v>1124</v>
      </c>
      <c r="EG82" s="70" t="s">
        <v>1124</v>
      </c>
      <c r="EH82" s="72"/>
      <c r="EI82" s="72">
        <v>302</v>
      </c>
    </row>
    <row r="83" spans="1:139" ht="15" customHeight="1" x14ac:dyDescent="0.35">
      <c r="A83" s="1"/>
      <c r="B83"/>
      <c r="C83"/>
      <c r="D83"/>
      <c r="E83"/>
      <c r="F83"/>
      <c r="G83"/>
      <c r="H83"/>
      <c r="I83"/>
      <c r="J83"/>
      <c r="K83"/>
      <c r="L83"/>
      <c r="M83"/>
      <c r="N83"/>
      <c r="O83" s="70"/>
      <c r="P83" s="70"/>
      <c r="Q83" s="70"/>
      <c r="R83" s="70"/>
      <c r="S83" s="95"/>
      <c r="T83" s="70"/>
      <c r="AE83" s="504"/>
      <c r="AF83" s="504"/>
      <c r="BS83" s="486">
        <v>46078</v>
      </c>
      <c r="BT83" s="479" t="s">
        <v>440</v>
      </c>
      <c r="BU83" s="479">
        <v>5</v>
      </c>
      <c r="BV83" s="476" t="s">
        <v>1187</v>
      </c>
      <c r="BW83" s="476" t="s">
        <v>1187</v>
      </c>
      <c r="BX83" s="476" t="s">
        <v>1187</v>
      </c>
      <c r="BY83" s="476" t="s">
        <v>1187</v>
      </c>
      <c r="BZ83" s="476" t="s">
        <v>1187</v>
      </c>
      <c r="CA83" s="476" t="s">
        <v>1187</v>
      </c>
      <c r="CB83" s="476" t="s">
        <v>1187</v>
      </c>
      <c r="CC83" s="476" t="s">
        <v>1187</v>
      </c>
      <c r="CD83" s="476" t="s">
        <v>1187</v>
      </c>
      <c r="CE83" s="476" t="s">
        <v>1188</v>
      </c>
      <c r="CF83" s="476" t="s">
        <v>1188</v>
      </c>
      <c r="CG83" s="476" t="s">
        <v>1188</v>
      </c>
      <c r="CH83" s="476" t="s">
        <v>1188</v>
      </c>
      <c r="CI83" s="476" t="s">
        <v>1188</v>
      </c>
      <c r="CJ83" s="476" t="s">
        <v>1188</v>
      </c>
      <c r="CK83" s="476" t="s">
        <v>1188</v>
      </c>
      <c r="CL83" s="476" t="s">
        <v>1188</v>
      </c>
      <c r="CM83" s="476" t="str">
        <f>IF(VLOOKUP(BS83,'Données par municipalité'!$B$6:$E$1113,4,FALSE)="","non","oui")</f>
        <v>oui</v>
      </c>
      <c r="CN83" s="410">
        <v>922.89445888728517</v>
      </c>
      <c r="CO83" s="410">
        <v>837.82482033101189</v>
      </c>
      <c r="CP83" s="410">
        <v>809.1407593883356</v>
      </c>
      <c r="CQ83" s="410">
        <v>789.44783926241769</v>
      </c>
      <c r="CR83" s="410">
        <v>794.12480722016346</v>
      </c>
      <c r="CS83" s="410">
        <v>817.25024815269808</v>
      </c>
      <c r="CT83" s="410">
        <v>788.95155719526031</v>
      </c>
      <c r="CU83" s="410">
        <v>729</v>
      </c>
      <c r="CV83" s="410">
        <f>IF(VLOOKUP(BS83,'Données par municipalité'!$B$6:$F$1113,4,FALSE)="","",VLOOKUP(BS83,'Données par municipalité'!$B$6:$F$1113,4,FALSE))</f>
        <v>731</v>
      </c>
      <c r="CW83" s="476" t="s">
        <v>4723</v>
      </c>
      <c r="CX83" s="483">
        <v>0</v>
      </c>
      <c r="CY83" s="483">
        <v>0</v>
      </c>
      <c r="CZ83" s="483">
        <v>0</v>
      </c>
      <c r="DA83" s="483">
        <v>1</v>
      </c>
      <c r="DB83" s="483">
        <v>1</v>
      </c>
      <c r="DC83" s="483">
        <v>1</v>
      </c>
      <c r="DD83" s="483">
        <v>0</v>
      </c>
      <c r="DE83" s="483">
        <f>IFERROR(SUM(VLOOKUP($BS83,'État &amp; Plan d''action'!$B$6:$Z$1113,18,FALSE),VLOOKUP($BS83,'État &amp; Plan d''action'!$B$6:$Z$1113,20,FALSE))/(VLOOKUP($BS83,'Données par municipalité'!$B$4:$L$1113,11,FALSE)),"")</f>
        <v>0</v>
      </c>
      <c r="DF83" s="483">
        <f>IFERROR(SUM(VLOOKUP($BS83,'État &amp; Plan d''action'!$B$6:$Z$1113,19,FALSE),VLOOKUP($BS83,'État &amp; Plan d''action'!$B$6:$Z$1113,21,FALSE))/(VLOOKUP($BS83,'Données par municipalité'!$B$4:$L$1113,11,FALSE)),"")</f>
        <v>0</v>
      </c>
      <c r="DG83" s="476" t="s">
        <v>4723</v>
      </c>
      <c r="DH83" s="484">
        <v>4</v>
      </c>
      <c r="DI83" s="484">
        <v>3</v>
      </c>
      <c r="DJ83" s="484">
        <v>3</v>
      </c>
      <c r="DK83" s="484">
        <v>1</v>
      </c>
      <c r="DL83" s="484">
        <v>2</v>
      </c>
      <c r="DM83" s="484">
        <v>6</v>
      </c>
      <c r="DN83" s="484">
        <v>4</v>
      </c>
      <c r="DO83" s="484">
        <v>0</v>
      </c>
      <c r="DP83" s="484">
        <v>0</v>
      </c>
      <c r="DQ83" s="484">
        <f>IF(VLOOKUP($BS83,'État &amp; Plan d''action'!$B$6:$AJ$1113,28,FALSE)="","",VLOOKUP($BS83,'État &amp; Plan d''action'!$B$6:$AJ$1113,28,FALSE))</f>
        <v>8</v>
      </c>
      <c r="DR83" s="70">
        <f>IF(VLOOKUP($BS83,'État &amp; Plan d''action'!$B$6:$AJ$1113,29,FALSE)="","",VLOOKUP($BS83,'État &amp; Plan d''action'!$B$6:$AJ$1113,29,FALSE))</f>
        <v>0</v>
      </c>
      <c r="DS83" s="70">
        <f>IF(VLOOKUP($BS83,'État &amp; Plan d''action'!$B$6:$AJ$1113,30,FALSE)="","",VLOOKUP($BS83,'État &amp; Plan d''action'!$B$6:$AJ$1113,30,FALSE))</f>
        <v>0</v>
      </c>
      <c r="DT83" s="70">
        <v>253</v>
      </c>
      <c r="DU83" s="485">
        <v>5.6334468463682361</v>
      </c>
      <c r="DV83" s="485">
        <v>1.1261183004275555</v>
      </c>
      <c r="DW83" s="70">
        <v>3</v>
      </c>
      <c r="DX83" s="70">
        <v>0</v>
      </c>
      <c r="DY83" s="70">
        <v>0</v>
      </c>
      <c r="DZ83" s="70">
        <f>VLOOKUP($BS83,'État &amp; Plan d''action'!$B$6:$AH$1113,31,FALSE)</f>
        <v>3</v>
      </c>
      <c r="EA83" s="70">
        <f>VLOOKUP($BS83,'État &amp; Plan d''action'!$B$6:$AH$1113,32,FALSE)</f>
        <v>0</v>
      </c>
      <c r="EB83" s="70">
        <f>VLOOKUP($BS83,'État &amp; Plan d''action'!$B$6:$AH$1113,33,FALSE)</f>
        <v>0</v>
      </c>
      <c r="EC83" s="70">
        <v>0</v>
      </c>
      <c r="ED83" s="70">
        <v>0</v>
      </c>
      <c r="EE83" s="70">
        <v>0</v>
      </c>
      <c r="EF83" s="70">
        <v>117.26300000000001</v>
      </c>
      <c r="EG83" s="70">
        <v>0</v>
      </c>
      <c r="EH83" s="72">
        <v>58.868421052631582</v>
      </c>
      <c r="EI83" s="72">
        <v>9817</v>
      </c>
    </row>
    <row r="84" spans="1:139" ht="15" customHeight="1" x14ac:dyDescent="0.35">
      <c r="A84" s="1"/>
      <c r="B84"/>
      <c r="C84"/>
      <c r="D84"/>
      <c r="E84"/>
      <c r="F84"/>
      <c r="G84"/>
      <c r="H84"/>
      <c r="I84"/>
      <c r="J84"/>
      <c r="K84"/>
      <c r="L84"/>
      <c r="M84"/>
      <c r="N84"/>
      <c r="O84" s="70"/>
      <c r="P84" s="70"/>
      <c r="Q84" s="70"/>
      <c r="R84" s="70"/>
      <c r="S84" s="95"/>
      <c r="T84" s="70"/>
      <c r="AC84" s="418"/>
      <c r="AD84" s="504"/>
      <c r="AE84" s="504"/>
      <c r="AF84" s="504"/>
      <c r="BS84" s="486">
        <v>58007</v>
      </c>
      <c r="BT84" s="479" t="s">
        <v>594</v>
      </c>
      <c r="BU84" s="479">
        <v>16</v>
      </c>
      <c r="BV84" s="476" t="s">
        <v>1187</v>
      </c>
      <c r="BW84" s="476" t="s">
        <v>1187</v>
      </c>
      <c r="BX84" s="476" t="s">
        <v>1187</v>
      </c>
      <c r="BY84" s="476" t="s">
        <v>1187</v>
      </c>
      <c r="BZ84" s="476" t="s">
        <v>1187</v>
      </c>
      <c r="CA84" s="476" t="s">
        <v>1187</v>
      </c>
      <c r="CB84" s="476" t="s">
        <v>1187</v>
      </c>
      <c r="CC84" s="476" t="s">
        <v>1187</v>
      </c>
      <c r="CD84" s="476" t="s">
        <v>1187</v>
      </c>
      <c r="CE84" s="476" t="s">
        <v>1188</v>
      </c>
      <c r="CF84" s="476" t="s">
        <v>1188</v>
      </c>
      <c r="CG84" s="476" t="s">
        <v>1188</v>
      </c>
      <c r="CH84" s="476" t="s">
        <v>1188</v>
      </c>
      <c r="CI84" s="476" t="s">
        <v>1188</v>
      </c>
      <c r="CJ84" s="476" t="s">
        <v>1188</v>
      </c>
      <c r="CK84" s="476" t="s">
        <v>1188</v>
      </c>
      <c r="CL84" s="476" t="s">
        <v>1188</v>
      </c>
      <c r="CM84" s="476" t="str">
        <f>IF(VLOOKUP(BS84,'Données par municipalité'!$B$6:$E$1113,4,FALSE)="","non","oui")</f>
        <v>oui</v>
      </c>
      <c r="CN84" s="410">
        <v>369.73357754808853</v>
      </c>
      <c r="CO84" s="410">
        <v>374.05241134553125</v>
      </c>
      <c r="CP84" s="410">
        <v>359.4177960403718</v>
      </c>
      <c r="CQ84" s="410">
        <v>350.76266804549897</v>
      </c>
      <c r="CR84" s="410">
        <v>338.99282267564746</v>
      </c>
      <c r="CS84" s="410">
        <v>347.52990303322082</v>
      </c>
      <c r="CT84" s="410">
        <v>337.36597918514946</v>
      </c>
      <c r="CU84" s="410">
        <v>325</v>
      </c>
      <c r="CV84" s="410">
        <f>IF(VLOOKUP(BS84,'Données par municipalité'!$B$6:$F$1113,4,FALSE)="","",VLOOKUP(BS84,'Données par municipalité'!$B$6:$F$1113,4,FALSE))</f>
        <v>330</v>
      </c>
      <c r="CW84" s="476" t="s">
        <v>4723</v>
      </c>
      <c r="CX84" s="483">
        <v>0.35</v>
      </c>
      <c r="CY84" s="483">
        <v>0.35</v>
      </c>
      <c r="CZ84" s="483">
        <v>0.35</v>
      </c>
      <c r="DA84" s="483">
        <v>1</v>
      </c>
      <c r="DB84" s="483">
        <v>1</v>
      </c>
      <c r="DC84" s="483">
        <v>1</v>
      </c>
      <c r="DD84" s="483">
        <v>1.3194888178913737</v>
      </c>
      <c r="DE84" s="483">
        <f>IFERROR(SUM(VLOOKUP($BS84,'État &amp; Plan d''action'!$B$6:$Z$1113,18,FALSE),VLOOKUP($BS84,'État &amp; Plan d''action'!$B$6:$Z$1113,20,FALSE))/(VLOOKUP($BS84,'Données par municipalité'!$B$4:$L$1113,11,FALSE)),"")</f>
        <v>1</v>
      </c>
      <c r="DF84" s="483">
        <f>IFERROR(SUM(VLOOKUP($BS84,'État &amp; Plan d''action'!$B$6:$Z$1113,19,FALSE),VLOOKUP($BS84,'État &amp; Plan d''action'!$B$6:$Z$1113,21,FALSE))/(VLOOKUP($BS84,'Données par municipalité'!$B$4:$L$1113,11,FALSE)),"")</f>
        <v>1</v>
      </c>
      <c r="DG84" s="476" t="s">
        <v>4723</v>
      </c>
      <c r="DH84" s="484">
        <v>30</v>
      </c>
      <c r="DI84" s="484">
        <v>30</v>
      </c>
      <c r="DJ84" s="484">
        <v>38</v>
      </c>
      <c r="DK84" s="484">
        <v>73</v>
      </c>
      <c r="DL84" s="484">
        <v>33</v>
      </c>
      <c r="DM84" s="484">
        <v>39</v>
      </c>
      <c r="DN84" s="484">
        <v>15</v>
      </c>
      <c r="DO84" s="484">
        <v>8</v>
      </c>
      <c r="DP84" s="484">
        <v>5</v>
      </c>
      <c r="DQ84" s="484">
        <f>IF(VLOOKUP($BS84,'État &amp; Plan d''action'!$B$6:$AJ$1113,28,FALSE)="","",VLOOKUP($BS84,'État &amp; Plan d''action'!$B$6:$AJ$1113,28,FALSE))</f>
        <v>15</v>
      </c>
      <c r="DR84" s="70">
        <f>IF(VLOOKUP($BS84,'État &amp; Plan d''action'!$B$6:$AJ$1113,29,FALSE)="","",VLOOKUP($BS84,'État &amp; Plan d''action'!$B$6:$AJ$1113,29,FALSE))</f>
        <v>10</v>
      </c>
      <c r="DS84" s="70">
        <f>IF(VLOOKUP($BS84,'État &amp; Plan d''action'!$B$6:$AJ$1113,30,FALSE)="","",VLOOKUP($BS84,'État &amp; Plan d''action'!$B$6:$AJ$1113,30,FALSE))</f>
        <v>0</v>
      </c>
      <c r="DT84" s="70">
        <v>206</v>
      </c>
      <c r="DU84" s="485">
        <v>3.9376680893093141</v>
      </c>
      <c r="DV84" s="485">
        <v>5.8096107548621578</v>
      </c>
      <c r="DW84" s="70">
        <v>5</v>
      </c>
      <c r="DX84" s="70">
        <v>5</v>
      </c>
      <c r="DY84" s="70">
        <v>10</v>
      </c>
      <c r="DZ84" s="70">
        <f>VLOOKUP($BS84,'État &amp; Plan d''action'!$B$6:$AH$1113,31,FALSE)</f>
        <v>1</v>
      </c>
      <c r="EA84" s="70">
        <f>VLOOKUP($BS84,'État &amp; Plan d''action'!$B$6:$AH$1113,32,FALSE)</f>
        <v>2</v>
      </c>
      <c r="EB84" s="70">
        <f>VLOOKUP($BS84,'État &amp; Plan d''action'!$B$6:$AH$1113,33,FALSE)</f>
        <v>0</v>
      </c>
      <c r="EC84" s="70">
        <v>0</v>
      </c>
      <c r="ED84" s="70">
        <v>313</v>
      </c>
      <c r="EE84" s="70">
        <v>100</v>
      </c>
      <c r="EF84" s="70">
        <v>0</v>
      </c>
      <c r="EG84" s="70">
        <v>0</v>
      </c>
      <c r="EH84" s="72">
        <v>65</v>
      </c>
      <c r="EI84" s="72">
        <v>88370</v>
      </c>
    </row>
    <row r="85" spans="1:139" ht="15" customHeight="1" x14ac:dyDescent="0.35">
      <c r="A85" s="1"/>
      <c r="B85"/>
      <c r="C85"/>
      <c r="D85"/>
      <c r="E85"/>
      <c r="F85"/>
      <c r="G85"/>
      <c r="H85"/>
      <c r="I85"/>
      <c r="J85"/>
      <c r="K85"/>
      <c r="L85"/>
      <c r="M85"/>
      <c r="N85"/>
      <c r="O85" s="70"/>
      <c r="P85" s="70"/>
      <c r="Q85" s="70"/>
      <c r="R85" s="70"/>
      <c r="S85" s="95"/>
      <c r="T85" s="70"/>
      <c r="AC85" s="418"/>
      <c r="AD85" s="504"/>
      <c r="AE85" s="504"/>
      <c r="AF85" s="504"/>
      <c r="BS85" s="486">
        <v>76043</v>
      </c>
      <c r="BT85" s="479" t="s">
        <v>752</v>
      </c>
      <c r="BU85" s="479">
        <v>15</v>
      </c>
      <c r="BV85" s="476" t="s">
        <v>1187</v>
      </c>
      <c r="BW85" s="476" t="s">
        <v>1187</v>
      </c>
      <c r="BX85" s="476" t="s">
        <v>1187</v>
      </c>
      <c r="BY85" s="476" t="s">
        <v>1187</v>
      </c>
      <c r="BZ85" s="476" t="s">
        <v>1187</v>
      </c>
      <c r="CA85" s="476" t="s">
        <v>1187</v>
      </c>
      <c r="CB85" s="476" t="s">
        <v>1187</v>
      </c>
      <c r="CC85" s="476" t="s">
        <v>1187</v>
      </c>
      <c r="CD85" s="476" t="s">
        <v>1187</v>
      </c>
      <c r="CE85" s="476" t="s">
        <v>1188</v>
      </c>
      <c r="CF85" s="476" t="s">
        <v>1188</v>
      </c>
      <c r="CG85" s="476" t="s">
        <v>1188</v>
      </c>
      <c r="CH85" s="476" t="s">
        <v>1187</v>
      </c>
      <c r="CI85" s="476" t="s">
        <v>1188</v>
      </c>
      <c r="CJ85" s="476" t="s">
        <v>1188</v>
      </c>
      <c r="CK85" s="476" t="s">
        <v>1188</v>
      </c>
      <c r="CL85" s="476" t="s">
        <v>1188</v>
      </c>
      <c r="CM85" s="476" t="str">
        <f>IF(VLOOKUP(BS85,'Données par municipalité'!$B$6:$E$1113,4,FALSE)="","non","oui")</f>
        <v>oui</v>
      </c>
      <c r="CN85" s="410">
        <v>688.24404761904759</v>
      </c>
      <c r="CO85" s="410">
        <v>715.57056107816936</v>
      </c>
      <c r="CP85" s="410">
        <v>550.23300438596493</v>
      </c>
      <c r="CQ85" s="410"/>
      <c r="CR85" s="410">
        <v>507.69252247724359</v>
      </c>
      <c r="CS85" s="410">
        <v>621.60881484165373</v>
      </c>
      <c r="CT85" s="410">
        <v>582</v>
      </c>
      <c r="CU85" s="410">
        <v>702</v>
      </c>
      <c r="CV85" s="410">
        <f>IF(VLOOKUP(BS85,'Données par municipalité'!$B$6:$F$1113,4,FALSE)="","",VLOOKUP(BS85,'Données par municipalité'!$B$6:$F$1113,4,FALSE))</f>
        <v>509</v>
      </c>
      <c r="CW85" s="476" t="s">
        <v>4723</v>
      </c>
      <c r="CX85" s="483">
        <v>0.75</v>
      </c>
      <c r="CY85" s="483">
        <v>0.75</v>
      </c>
      <c r="CZ85" s="483" t="s">
        <v>1124</v>
      </c>
      <c r="DA85" s="483">
        <v>0</v>
      </c>
      <c r="DB85" s="483">
        <v>1</v>
      </c>
      <c r="DC85" s="483">
        <v>1</v>
      </c>
      <c r="DD85" s="483">
        <v>1</v>
      </c>
      <c r="DE85" s="483">
        <f>IFERROR(SUM(VLOOKUP($BS85,'État &amp; Plan d''action'!$B$6:$Z$1113,18,FALSE),VLOOKUP($BS85,'État &amp; Plan d''action'!$B$6:$Z$1113,20,FALSE))/(VLOOKUP($BS85,'Données par municipalité'!$B$4:$L$1113,11,FALSE)),"")</f>
        <v>0.99999999999999978</v>
      </c>
      <c r="DF85" s="483">
        <f>IFERROR(SUM(VLOOKUP($BS85,'État &amp; Plan d''action'!$B$6:$Z$1113,19,FALSE),VLOOKUP($BS85,'État &amp; Plan d''action'!$B$6:$Z$1113,21,FALSE))/(VLOOKUP($BS85,'Données par municipalité'!$B$4:$L$1113,11,FALSE)),"")</f>
        <v>0.99999999999999978</v>
      </c>
      <c r="DG85" s="476" t="s">
        <v>4723</v>
      </c>
      <c r="DH85" s="484">
        <v>2</v>
      </c>
      <c r="DI85" s="484">
        <v>1</v>
      </c>
      <c r="DJ85" s="484">
        <v>2</v>
      </c>
      <c r="DK85" s="484">
        <v>2</v>
      </c>
      <c r="DL85" s="484">
        <v>2</v>
      </c>
      <c r="DM85" s="484">
        <v>0</v>
      </c>
      <c r="DN85" s="484">
        <v>0</v>
      </c>
      <c r="DO85" s="484">
        <v>0</v>
      </c>
      <c r="DP85" s="484">
        <v>0</v>
      </c>
      <c r="DQ85" s="484">
        <f>IF(VLOOKUP($BS85,'État &amp; Plan d''action'!$B$6:$AJ$1113,28,FALSE)="","",VLOOKUP($BS85,'État &amp; Plan d''action'!$B$6:$AJ$1113,28,FALSE))</f>
        <v>2</v>
      </c>
      <c r="DR85" s="70">
        <f>IF(VLOOKUP($BS85,'État &amp; Plan d''action'!$B$6:$AJ$1113,29,FALSE)="","",VLOOKUP($BS85,'État &amp; Plan d''action'!$B$6:$AJ$1113,29,FALSE))</f>
        <v>0</v>
      </c>
      <c r="DS85" s="70">
        <f>IF(VLOOKUP($BS85,'État &amp; Plan d''action'!$B$6:$AJ$1113,30,FALSE)="","",VLOOKUP($BS85,'État &amp; Plan d''action'!$B$6:$AJ$1113,30,FALSE))</f>
        <v>0</v>
      </c>
      <c r="DT85" s="70">
        <v>439</v>
      </c>
      <c r="DU85" s="485">
        <v>1.5206044718923546</v>
      </c>
      <c r="DV85" s="485">
        <v>5.6890281011821147</v>
      </c>
      <c r="DW85" s="70">
        <v>0</v>
      </c>
      <c r="DX85" s="70">
        <v>0</v>
      </c>
      <c r="DY85" s="70">
        <v>0</v>
      </c>
      <c r="DZ85" s="70">
        <f>VLOOKUP($BS85,'État &amp; Plan d''action'!$B$6:$AH$1113,31,FALSE)</f>
        <v>1</v>
      </c>
      <c r="EA85" s="70">
        <f>VLOOKUP($BS85,'État &amp; Plan d''action'!$B$6:$AH$1113,32,FALSE)</f>
        <v>0</v>
      </c>
      <c r="EB85" s="70">
        <f>VLOOKUP($BS85,'État &amp; Plan d''action'!$B$6:$AH$1113,33,FALSE)</f>
        <v>0</v>
      </c>
      <c r="EC85" s="70">
        <v>29.045000000000002</v>
      </c>
      <c r="ED85" s="70">
        <v>29.045000000000002</v>
      </c>
      <c r="EE85" s="70">
        <v>0</v>
      </c>
      <c r="EF85" s="70">
        <v>0</v>
      </c>
      <c r="EG85" s="70">
        <v>0</v>
      </c>
      <c r="EH85" s="72">
        <v>54.5</v>
      </c>
      <c r="EI85" s="72">
        <v>7291</v>
      </c>
    </row>
    <row r="86" spans="1:139" ht="15" customHeight="1" x14ac:dyDescent="0.35">
      <c r="A86" s="1"/>
      <c r="B86"/>
      <c r="C86"/>
      <c r="D86"/>
      <c r="E86"/>
      <c r="F86"/>
      <c r="G86"/>
      <c r="H86"/>
      <c r="I86"/>
      <c r="J86"/>
      <c r="K86"/>
      <c r="L86"/>
      <c r="M86"/>
      <c r="N86"/>
      <c r="O86" s="70"/>
      <c r="P86" s="70"/>
      <c r="Q86" s="70"/>
      <c r="R86" s="70"/>
      <c r="S86" s="95"/>
      <c r="T86" s="70"/>
      <c r="W86" s="433" t="s">
        <v>1160</v>
      </c>
      <c r="X86" s="418"/>
      <c r="Y86" s="418"/>
      <c r="Z86" s="418"/>
      <c r="AA86" s="418"/>
      <c r="AB86" s="418"/>
      <c r="AC86" s="418"/>
      <c r="AD86" s="504"/>
      <c r="AE86" s="504"/>
      <c r="AF86" s="504"/>
      <c r="BS86" s="486">
        <v>84025</v>
      </c>
      <c r="BT86" s="479" t="s">
        <v>856</v>
      </c>
      <c r="BU86" s="479">
        <v>7</v>
      </c>
      <c r="BV86" s="476" t="s">
        <v>1187</v>
      </c>
      <c r="BW86" s="476" t="s">
        <v>1187</v>
      </c>
      <c r="BX86" s="476" t="s">
        <v>1187</v>
      </c>
      <c r="BY86" s="476" t="s">
        <v>1187</v>
      </c>
      <c r="BZ86" s="476" t="s">
        <v>1187</v>
      </c>
      <c r="CA86" s="476" t="s">
        <v>1187</v>
      </c>
      <c r="CB86" s="476" t="s">
        <v>1187</v>
      </c>
      <c r="CC86" s="476" t="s">
        <v>1187</v>
      </c>
      <c r="CD86" s="476" t="s">
        <v>1187</v>
      </c>
      <c r="CE86" s="476" t="s">
        <v>1188</v>
      </c>
      <c r="CF86" s="476" t="s">
        <v>1188</v>
      </c>
      <c r="CG86" s="476" t="s">
        <v>1187</v>
      </c>
      <c r="CH86" s="476" t="s">
        <v>1187</v>
      </c>
      <c r="CI86" s="476" t="s">
        <v>1187</v>
      </c>
      <c r="CJ86" s="476" t="s">
        <v>1187</v>
      </c>
      <c r="CK86" s="476" t="s">
        <v>1187</v>
      </c>
      <c r="CL86" s="476" t="s">
        <v>1188</v>
      </c>
      <c r="CM86" s="476" t="str">
        <f>IF(VLOOKUP(BS86,'Données par municipalité'!$B$6:$E$1113,4,FALSE)="","non","oui")</f>
        <v>non</v>
      </c>
      <c r="CN86" s="410">
        <v>936.44221493343616</v>
      </c>
      <c r="CO86" s="410">
        <v>768.83348838058055</v>
      </c>
      <c r="CP86" s="410"/>
      <c r="CQ86" s="410"/>
      <c r="CR86" s="410"/>
      <c r="CS86" s="410" t="s">
        <v>1124</v>
      </c>
      <c r="CT86" s="410"/>
      <c r="CU86" s="410">
        <v>441</v>
      </c>
      <c r="CV86" s="410" t="str">
        <f>IF(VLOOKUP(BS86,'Données par municipalité'!$B$6:$F$1113,4,FALSE)="","",VLOOKUP(BS86,'Données par municipalité'!$B$6:$F$1113,4,FALSE))</f>
        <v/>
      </c>
      <c r="CW86" s="476" t="s">
        <v>4723</v>
      </c>
      <c r="CX86" s="483">
        <v>0</v>
      </c>
      <c r="CY86" s="483" t="s">
        <v>1124</v>
      </c>
      <c r="CZ86" s="483" t="s">
        <v>1124</v>
      </c>
      <c r="DA86" s="483" t="s">
        <v>1124</v>
      </c>
      <c r="DB86" s="483" t="s">
        <v>1124</v>
      </c>
      <c r="DC86" s="483" t="s">
        <v>1124</v>
      </c>
      <c r="DD86" s="483">
        <v>0.42698548249359525</v>
      </c>
      <c r="DE86" s="483" t="str">
        <f>IFERROR(SUM(VLOOKUP($BS86,'État &amp; Plan d''action'!$B$6:$Z$1113,18,FALSE),VLOOKUP($BS86,'État &amp; Plan d''action'!$B$6:$Z$1113,20,FALSE))/(VLOOKUP($BS86,'Données par municipalité'!$B$4:$L$1113,11,FALSE)),"")</f>
        <v/>
      </c>
      <c r="DF86" s="483" t="str">
        <f>IFERROR(SUM(VLOOKUP($BS86,'État &amp; Plan d''action'!$B$6:$Z$1113,19,FALSE),VLOOKUP($BS86,'État &amp; Plan d''action'!$B$6:$Z$1113,21,FALSE))/(VLOOKUP($BS86,'Données par municipalité'!$B$4:$L$1113,11,FALSE)),"")</f>
        <v/>
      </c>
      <c r="DG86" s="476" t="s">
        <v>4723</v>
      </c>
      <c r="DH86" s="484">
        <v>1</v>
      </c>
      <c r="DI86" s="484" t="s">
        <v>1124</v>
      </c>
      <c r="DJ86" s="484">
        <v>0</v>
      </c>
      <c r="DK86" s="484">
        <v>0</v>
      </c>
      <c r="DL86" s="484" t="s">
        <v>1124</v>
      </c>
      <c r="DM86" s="484" t="s">
        <v>1124</v>
      </c>
      <c r="DN86" s="484">
        <v>1</v>
      </c>
      <c r="DO86" s="484">
        <v>4</v>
      </c>
      <c r="DP86" s="484">
        <v>0</v>
      </c>
      <c r="DQ86" s="484" t="str">
        <f>IF(VLOOKUP($BS86,'État &amp; Plan d''action'!$B$6:$AJ$1113,28,FALSE)="","",VLOOKUP($BS86,'État &amp; Plan d''action'!$B$6:$AJ$1113,28,FALSE))</f>
        <v/>
      </c>
      <c r="DR86" s="70" t="str">
        <f>IF(VLOOKUP($BS86,'État &amp; Plan d''action'!$B$6:$AJ$1113,29,FALSE)="","",VLOOKUP($BS86,'État &amp; Plan d''action'!$B$6:$AJ$1113,29,FALSE))</f>
        <v/>
      </c>
      <c r="DS86" s="70" t="str">
        <f>IF(VLOOKUP($BS86,'État &amp; Plan d''action'!$B$6:$AJ$1113,30,FALSE)="","",VLOOKUP($BS86,'État &amp; Plan d''action'!$B$6:$AJ$1113,30,FALSE))</f>
        <v/>
      </c>
      <c r="DT86" s="70">
        <v>206</v>
      </c>
      <c r="DU86" s="485">
        <v>10.159142759559872</v>
      </c>
      <c r="DV86" s="485" t="s">
        <v>1124</v>
      </c>
      <c r="DW86" s="70">
        <v>1</v>
      </c>
      <c r="DX86" s="70">
        <v>1</v>
      </c>
      <c r="DY86" s="70">
        <v>0</v>
      </c>
      <c r="DZ86" s="70" t="str">
        <f>VLOOKUP($BS86,'État &amp; Plan d''action'!$B$6:$AH$1113,31,FALSE)</f>
        <v/>
      </c>
      <c r="EA86" s="70" t="str">
        <f>VLOOKUP($BS86,'État &amp; Plan d''action'!$B$6:$AH$1113,32,FALSE)</f>
        <v/>
      </c>
      <c r="EB86" s="70" t="str">
        <f>VLOOKUP($BS86,'État &amp; Plan d''action'!$B$6:$AH$1113,33,FALSE)</f>
        <v/>
      </c>
      <c r="EC86" s="70">
        <v>0</v>
      </c>
      <c r="ED86" s="70">
        <v>0</v>
      </c>
      <c r="EE86" s="70">
        <v>3</v>
      </c>
      <c r="EF86" s="70">
        <v>2</v>
      </c>
      <c r="EG86" s="70">
        <v>0</v>
      </c>
      <c r="EH86" s="72">
        <v>59</v>
      </c>
      <c r="EI86" s="72">
        <v>705</v>
      </c>
    </row>
    <row r="87" spans="1:139" ht="15" customHeight="1" x14ac:dyDescent="0.35">
      <c r="A87" s="1"/>
      <c r="B87"/>
      <c r="C87"/>
      <c r="D87"/>
      <c r="E87"/>
      <c r="F87"/>
      <c r="G87"/>
      <c r="H87"/>
      <c r="I87"/>
      <c r="J87"/>
      <c r="K87"/>
      <c r="L87"/>
      <c r="M87"/>
      <c r="N87"/>
      <c r="O87" s="70"/>
      <c r="P87" s="70"/>
      <c r="Q87" s="70"/>
      <c r="R87" s="70"/>
      <c r="S87" s="95"/>
      <c r="T87" s="70"/>
      <c r="W87" s="418"/>
      <c r="X87" s="418"/>
      <c r="Y87" s="418"/>
      <c r="Z87" s="418"/>
      <c r="AA87" s="418"/>
      <c r="AB87" s="418"/>
      <c r="AC87" s="418"/>
      <c r="AD87" s="504"/>
      <c r="AE87" s="504"/>
      <c r="BS87" s="486">
        <v>41070</v>
      </c>
      <c r="BT87" s="479" t="s">
        <v>373</v>
      </c>
      <c r="BU87" s="479">
        <v>5</v>
      </c>
      <c r="BV87" s="476" t="s">
        <v>1187</v>
      </c>
      <c r="BW87" s="476" t="s">
        <v>1187</v>
      </c>
      <c r="BX87" s="476" t="s">
        <v>1187</v>
      </c>
      <c r="BY87" s="476" t="s">
        <v>1187</v>
      </c>
      <c r="BZ87" s="476" t="s">
        <v>1187</v>
      </c>
      <c r="CA87" s="476" t="s">
        <v>1187</v>
      </c>
      <c r="CB87" s="476" t="s">
        <v>1187</v>
      </c>
      <c r="CC87" s="476" t="s">
        <v>1187</v>
      </c>
      <c r="CD87" s="476" t="s">
        <v>1187</v>
      </c>
      <c r="CE87" s="476" t="s">
        <v>1188</v>
      </c>
      <c r="CF87" s="476" t="s">
        <v>1188</v>
      </c>
      <c r="CG87" s="476" t="s">
        <v>1188</v>
      </c>
      <c r="CH87" s="476" t="s">
        <v>1187</v>
      </c>
      <c r="CI87" s="476" t="s">
        <v>1188</v>
      </c>
      <c r="CJ87" s="476" t="s">
        <v>1188</v>
      </c>
      <c r="CK87" s="476" t="s">
        <v>1188</v>
      </c>
      <c r="CL87" s="476" t="s">
        <v>1188</v>
      </c>
      <c r="CM87" s="476" t="str">
        <f>IF(VLOOKUP(BS87,'Données par municipalité'!$B$6:$E$1113,4,FALSE)="","non","oui")</f>
        <v>non</v>
      </c>
      <c r="CN87" s="410">
        <v>403.06486658294995</v>
      </c>
      <c r="CO87" s="410">
        <v>431.00079608070547</v>
      </c>
      <c r="CP87" s="410">
        <v>425.38503776734848</v>
      </c>
      <c r="CQ87" s="410"/>
      <c r="CR87" s="410">
        <v>506.76370740141442</v>
      </c>
      <c r="CS87" s="410">
        <v>455.89976433142539</v>
      </c>
      <c r="CT87" s="410">
        <v>475.91405715739751</v>
      </c>
      <c r="CU87" s="410">
        <v>568</v>
      </c>
      <c r="CV87" s="410" t="str">
        <f>IF(VLOOKUP(BS87,'Données par municipalité'!$B$6:$F$1113,4,FALSE)="","",VLOOKUP(BS87,'Données par municipalité'!$B$6:$F$1113,4,FALSE))</f>
        <v/>
      </c>
      <c r="CW87" s="476" t="s">
        <v>4723</v>
      </c>
      <c r="CX87" s="483">
        <v>0</v>
      </c>
      <c r="CY87" s="483">
        <v>0.01</v>
      </c>
      <c r="CZ87" s="483" t="s">
        <v>1124</v>
      </c>
      <c r="DA87" s="483">
        <v>0.01</v>
      </c>
      <c r="DB87" s="483">
        <v>1</v>
      </c>
      <c r="DC87" s="483">
        <v>1</v>
      </c>
      <c r="DD87" s="483">
        <v>1</v>
      </c>
      <c r="DE87" s="483" t="str">
        <f>IFERROR(SUM(VLOOKUP($BS87,'État &amp; Plan d''action'!$B$6:$Z$1113,18,FALSE),VLOOKUP($BS87,'État &amp; Plan d''action'!$B$6:$Z$1113,20,FALSE))/(VLOOKUP($BS87,'Données par municipalité'!$B$4:$L$1113,11,FALSE)),"")</f>
        <v/>
      </c>
      <c r="DF87" s="483" t="str">
        <f>IFERROR(SUM(VLOOKUP($BS87,'État &amp; Plan d''action'!$B$6:$Z$1113,19,FALSE),VLOOKUP($BS87,'État &amp; Plan d''action'!$B$6:$Z$1113,21,FALSE))/(VLOOKUP($BS87,'Données par municipalité'!$B$4:$L$1113,11,FALSE)),"")</f>
        <v/>
      </c>
      <c r="DG87" s="476" t="s">
        <v>4723</v>
      </c>
      <c r="DH87" s="484">
        <v>0</v>
      </c>
      <c r="DI87" s="484">
        <v>3</v>
      </c>
      <c r="DJ87" s="484">
        <v>0</v>
      </c>
      <c r="DK87" s="484">
        <v>4</v>
      </c>
      <c r="DL87" s="484">
        <v>4</v>
      </c>
      <c r="DM87" s="484">
        <v>4</v>
      </c>
      <c r="DN87" s="484">
        <v>2</v>
      </c>
      <c r="DO87" s="484">
        <v>0</v>
      </c>
      <c r="DP87" s="484">
        <v>0</v>
      </c>
      <c r="DQ87" s="484" t="str">
        <f>IF(VLOOKUP($BS87,'État &amp; Plan d''action'!$B$6:$AJ$1113,28,FALSE)="","",VLOOKUP($BS87,'État &amp; Plan d''action'!$B$6:$AJ$1113,28,FALSE))</f>
        <v/>
      </c>
      <c r="DR87" s="70" t="str">
        <f>IF(VLOOKUP($BS87,'État &amp; Plan d''action'!$B$6:$AJ$1113,29,FALSE)="","",VLOOKUP($BS87,'État &amp; Plan d''action'!$B$6:$AJ$1113,29,FALSE))</f>
        <v/>
      </c>
      <c r="DS87" s="70" t="str">
        <f>IF(VLOOKUP($BS87,'État &amp; Plan d''action'!$B$6:$AJ$1113,30,FALSE)="","",VLOOKUP($BS87,'État &amp; Plan d''action'!$B$6:$AJ$1113,30,FALSE))</f>
        <v/>
      </c>
      <c r="DT87" s="70">
        <v>392</v>
      </c>
      <c r="DU87" s="485">
        <v>4.0616951518008619</v>
      </c>
      <c r="DV87" s="485" t="s">
        <v>1124</v>
      </c>
      <c r="DW87" s="70">
        <v>2</v>
      </c>
      <c r="DX87" s="70">
        <v>0</v>
      </c>
      <c r="DY87" s="70">
        <v>0</v>
      </c>
      <c r="DZ87" s="70" t="str">
        <f>VLOOKUP($BS87,'État &amp; Plan d''action'!$B$6:$AH$1113,31,FALSE)</f>
        <v/>
      </c>
      <c r="EA87" s="70" t="str">
        <f>VLOOKUP($BS87,'État &amp; Plan d''action'!$B$6:$AH$1113,32,FALSE)</f>
        <v/>
      </c>
      <c r="EB87" s="70" t="str">
        <f>VLOOKUP($BS87,'État &amp; Plan d''action'!$B$6:$AH$1113,33,FALSE)</f>
        <v/>
      </c>
      <c r="EC87" s="70">
        <v>2.16</v>
      </c>
      <c r="ED87" s="70">
        <v>8.7149999999999999</v>
      </c>
      <c r="EE87" s="70">
        <v>0</v>
      </c>
      <c r="EF87" s="70">
        <v>0</v>
      </c>
      <c r="EG87" s="70">
        <v>0</v>
      </c>
      <c r="EH87" s="72">
        <v>59</v>
      </c>
      <c r="EI87" s="72">
        <v>1157</v>
      </c>
    </row>
    <row r="88" spans="1:139" ht="15" customHeight="1" x14ac:dyDescent="0.35">
      <c r="A88" s="1"/>
      <c r="B88"/>
      <c r="C88"/>
      <c r="D88"/>
      <c r="E88"/>
      <c r="F88"/>
      <c r="G88"/>
      <c r="H88"/>
      <c r="I88"/>
      <c r="J88"/>
      <c r="K88"/>
      <c r="L88"/>
      <c r="M88"/>
      <c r="N88"/>
      <c r="O88" s="70"/>
      <c r="P88" s="70"/>
      <c r="Q88" s="70"/>
      <c r="R88" s="70"/>
      <c r="S88" s="95"/>
      <c r="T88" s="70"/>
      <c r="W88" s="439" t="s">
        <v>1161</v>
      </c>
      <c r="X88" s="416" t="s">
        <v>1263</v>
      </c>
      <c r="Z88" s="416"/>
      <c r="AA88" s="416"/>
      <c r="AB88" s="418"/>
      <c r="AC88" s="418"/>
      <c r="AD88" s="504"/>
      <c r="AE88" s="504"/>
      <c r="BS88" s="486">
        <v>12057</v>
      </c>
      <c r="BT88" s="479" t="s">
        <v>37</v>
      </c>
      <c r="BU88" s="479">
        <v>1</v>
      </c>
      <c r="BV88" s="476" t="s">
        <v>1187</v>
      </c>
      <c r="BW88" s="476" t="s">
        <v>1187</v>
      </c>
      <c r="BX88" s="476" t="s">
        <v>1187</v>
      </c>
      <c r="BY88" s="476" t="s">
        <v>1187</v>
      </c>
      <c r="BZ88" s="476" t="s">
        <v>1187</v>
      </c>
      <c r="CA88" s="476" t="s">
        <v>1187</v>
      </c>
      <c r="CB88" s="476" t="s">
        <v>1187</v>
      </c>
      <c r="CC88" s="476" t="s">
        <v>1187</v>
      </c>
      <c r="CD88" s="476" t="s">
        <v>1187</v>
      </c>
      <c r="CE88" s="476" t="s">
        <v>1188</v>
      </c>
      <c r="CF88" s="476" t="s">
        <v>1188</v>
      </c>
      <c r="CG88" s="476" t="s">
        <v>1187</v>
      </c>
      <c r="CH88" s="476" t="s">
        <v>1188</v>
      </c>
      <c r="CI88" s="476" t="s">
        <v>1188</v>
      </c>
      <c r="CJ88" s="476" t="s">
        <v>1188</v>
      </c>
      <c r="CK88" s="476" t="s">
        <v>1188</v>
      </c>
      <c r="CL88" s="476" t="s">
        <v>1188</v>
      </c>
      <c r="CM88" s="476" t="str">
        <f>IF(VLOOKUP(BS88,'Données par municipalité'!$B$6:$E$1113,4,FALSE)="","non","oui")</f>
        <v>oui</v>
      </c>
      <c r="CN88" s="410">
        <v>271.29203844436915</v>
      </c>
      <c r="CO88" s="410">
        <v>374.91282406512602</v>
      </c>
      <c r="CP88" s="410"/>
      <c r="CQ88" s="410">
        <v>247.7427192559216</v>
      </c>
      <c r="CR88" s="410">
        <v>248.54595876176558</v>
      </c>
      <c r="CS88" s="410">
        <v>256.58962937708282</v>
      </c>
      <c r="CT88" s="410">
        <v>256.20699687220718</v>
      </c>
      <c r="CU88" s="410">
        <v>313</v>
      </c>
      <c r="CV88" s="410">
        <f>IF(VLOOKUP(BS88,'Données par municipalité'!$B$6:$F$1113,4,FALSE)="","",VLOOKUP(BS88,'Données par municipalité'!$B$6:$F$1113,4,FALSE))</f>
        <v>310</v>
      </c>
      <c r="CW88" s="476" t="s">
        <v>4723</v>
      </c>
      <c r="CX88" s="483">
        <v>0.15</v>
      </c>
      <c r="CY88" s="483" t="s">
        <v>1124</v>
      </c>
      <c r="CZ88" s="483">
        <v>0.2</v>
      </c>
      <c r="DA88" s="483">
        <v>0.2</v>
      </c>
      <c r="DB88" s="483">
        <v>0.2</v>
      </c>
      <c r="DC88" s="483">
        <v>0.2</v>
      </c>
      <c r="DD88" s="483">
        <v>0</v>
      </c>
      <c r="DE88" s="483">
        <f>IFERROR(SUM(VLOOKUP($BS88,'État &amp; Plan d''action'!$B$6:$Z$1113,18,FALSE),VLOOKUP($BS88,'État &amp; Plan d''action'!$B$6:$Z$1113,20,FALSE))/(VLOOKUP($BS88,'Données par municipalité'!$B$4:$L$1113,11,FALSE)),"")</f>
        <v>1.3307074040559962E-2</v>
      </c>
      <c r="DF88" s="483">
        <f>IFERROR(SUM(VLOOKUP($BS88,'État &amp; Plan d''action'!$B$6:$Z$1113,19,FALSE),VLOOKUP($BS88,'État &amp; Plan d''action'!$B$6:$Z$1113,21,FALSE))/(VLOOKUP($BS88,'Données par municipalité'!$B$4:$L$1113,11,FALSE)),"")</f>
        <v>1.3307074040559962E-2</v>
      </c>
      <c r="DG88" s="476" t="s">
        <v>4723</v>
      </c>
      <c r="DH88" s="484">
        <v>1</v>
      </c>
      <c r="DI88" s="484" t="s">
        <v>1124</v>
      </c>
      <c r="DJ88" s="484">
        <v>1</v>
      </c>
      <c r="DK88" s="484">
        <v>2</v>
      </c>
      <c r="DL88" s="484">
        <v>0</v>
      </c>
      <c r="DM88" s="484">
        <v>0</v>
      </c>
      <c r="DN88" s="484">
        <v>0</v>
      </c>
      <c r="DO88" s="484">
        <v>0</v>
      </c>
      <c r="DP88" s="484">
        <v>0</v>
      </c>
      <c r="DQ88" s="484">
        <f>IF(VLOOKUP($BS88,'État &amp; Plan d''action'!$B$6:$AJ$1113,28,FALSE)="","",VLOOKUP($BS88,'État &amp; Plan d''action'!$B$6:$AJ$1113,28,FALSE))</f>
        <v>1</v>
      </c>
      <c r="DR88" s="70">
        <f>IF(VLOOKUP($BS88,'État &amp; Plan d''action'!$B$6:$AJ$1113,29,FALSE)="","",VLOOKUP($BS88,'État &amp; Plan d''action'!$B$6:$AJ$1113,29,FALSE))</f>
        <v>3</v>
      </c>
      <c r="DS88" s="70">
        <f>IF(VLOOKUP($BS88,'État &amp; Plan d''action'!$B$6:$AJ$1113,30,FALSE)="","",VLOOKUP($BS88,'État &amp; Plan d''action'!$B$6:$AJ$1113,30,FALSE))</f>
        <v>0</v>
      </c>
      <c r="DT88" s="70">
        <v>183</v>
      </c>
      <c r="DU88" s="485">
        <v>1.5967043399592311</v>
      </c>
      <c r="DV88" s="485">
        <v>0.51185043163063015</v>
      </c>
      <c r="DW88" s="70">
        <v>0</v>
      </c>
      <c r="DX88" s="70">
        <v>0</v>
      </c>
      <c r="DY88" s="70">
        <v>0</v>
      </c>
      <c r="DZ88" s="70">
        <f>VLOOKUP($BS88,'État &amp; Plan d''action'!$B$6:$AH$1113,31,FALSE)</f>
        <v>1</v>
      </c>
      <c r="EA88" s="70">
        <f>VLOOKUP($BS88,'État &amp; Plan d''action'!$B$6:$AH$1113,32,FALSE)</f>
        <v>1</v>
      </c>
      <c r="EB88" s="70">
        <f>VLOOKUP($BS88,'État &amp; Plan d''action'!$B$6:$AH$1113,33,FALSE)</f>
        <v>0</v>
      </c>
      <c r="EC88" s="70">
        <v>0</v>
      </c>
      <c r="ED88" s="70">
        <v>0</v>
      </c>
      <c r="EE88" s="70">
        <v>0</v>
      </c>
      <c r="EF88" s="70">
        <v>0</v>
      </c>
      <c r="EG88" s="70">
        <v>0</v>
      </c>
      <c r="EH88" s="72">
        <v>73</v>
      </c>
      <c r="EI88" s="72">
        <v>1825</v>
      </c>
    </row>
    <row r="89" spans="1:139" ht="19.5" customHeight="1" x14ac:dyDescent="0.35">
      <c r="A89" s="1"/>
      <c r="B89" s="520" t="s">
        <v>4764</v>
      </c>
      <c r="C89" s="520"/>
      <c r="D89" s="520"/>
      <c r="E89"/>
      <c r="F89"/>
      <c r="G89"/>
      <c r="H89"/>
      <c r="I89"/>
      <c r="J89"/>
      <c r="K89"/>
      <c r="L89"/>
      <c r="M89"/>
      <c r="N89"/>
      <c r="O89" s="70"/>
      <c r="P89" s="70"/>
      <c r="Q89" s="70"/>
      <c r="R89" s="70"/>
      <c r="S89" s="95"/>
      <c r="T89" s="70"/>
      <c r="W89" s="418" t="str">
        <f>IF(X89="Non
disponible","",IF(SUM(X89:X90)=0,"Non
disponible",TEXT(X89,"# ##0")&amp;" branchements sans compteurs (" &amp;TEXT((X89/SUM(X89:X90)),"0%")&amp;")"))</f>
        <v>51 910 branchements sans compteurs (42%)</v>
      </c>
      <c r="X89" s="440">
        <f>IF(W21="",SUM('État &amp; Plan d''action'!$BZ$6:$BZ$1113),IF(AF25="non","Non
disponible",IF(AF25="oui",VLOOKUP(W21,'État &amp; Plan d''action'!$B$6:$CC$1113,77,FALSE),"Non
disponible")))</f>
        <v>51910</v>
      </c>
      <c r="Y89" s="418"/>
      <c r="Z89" s="418"/>
      <c r="AA89" s="440"/>
      <c r="AB89" s="418"/>
      <c r="AC89" s="418"/>
      <c r="AD89" s="504"/>
      <c r="AE89" s="504"/>
      <c r="BS89" s="486">
        <v>59030</v>
      </c>
      <c r="BT89" s="479" t="s">
        <v>603</v>
      </c>
      <c r="BU89" s="479">
        <v>16</v>
      </c>
      <c r="BV89" s="476" t="s">
        <v>1187</v>
      </c>
      <c r="BW89" s="476" t="s">
        <v>1187</v>
      </c>
      <c r="BX89" s="476" t="s">
        <v>1187</v>
      </c>
      <c r="BY89" s="476" t="s">
        <v>1187</v>
      </c>
      <c r="BZ89" s="476" t="s">
        <v>1187</v>
      </c>
      <c r="CA89" s="476" t="s">
        <v>1187</v>
      </c>
      <c r="CB89" s="476" t="s">
        <v>1187</v>
      </c>
      <c r="CC89" s="476" t="s">
        <v>1187</v>
      </c>
      <c r="CD89" s="476" t="s">
        <v>1187</v>
      </c>
      <c r="CE89" s="476" t="s">
        <v>1188</v>
      </c>
      <c r="CF89" s="476" t="s">
        <v>1188</v>
      </c>
      <c r="CG89" s="476" t="s">
        <v>1188</v>
      </c>
      <c r="CH89" s="476" t="s">
        <v>1188</v>
      </c>
      <c r="CI89" s="476" t="s">
        <v>1188</v>
      </c>
      <c r="CJ89" s="476" t="s">
        <v>1188</v>
      </c>
      <c r="CK89" s="476" t="s">
        <v>1188</v>
      </c>
      <c r="CL89" s="476" t="s">
        <v>1188</v>
      </c>
      <c r="CM89" s="476" t="str">
        <f>IF(VLOOKUP(BS89,'Données par municipalité'!$B$6:$E$1113,4,FALSE)="","non","oui")</f>
        <v>oui</v>
      </c>
      <c r="CN89" s="410">
        <v>290.20987617509678</v>
      </c>
      <c r="CO89" s="410">
        <v>301.21038163427903</v>
      </c>
      <c r="CP89" s="410">
        <v>265.04034528054046</v>
      </c>
      <c r="CQ89" s="410">
        <v>203.43018117543085</v>
      </c>
      <c r="CR89" s="410">
        <v>310.1860560212636</v>
      </c>
      <c r="CS89" s="410">
        <v>283.4959120260126</v>
      </c>
      <c r="CT89" s="410">
        <v>262.00335315006885</v>
      </c>
      <c r="CU89" s="410">
        <v>306</v>
      </c>
      <c r="CV89" s="410">
        <f>IF(VLOOKUP(BS89,'Données par municipalité'!$B$6:$F$1113,4,FALSE)="","",VLOOKUP(BS89,'Données par municipalité'!$B$6:$F$1113,4,FALSE))</f>
        <v>266</v>
      </c>
      <c r="CW89" s="476" t="s">
        <v>4723</v>
      </c>
      <c r="CX89" s="483">
        <v>0</v>
      </c>
      <c r="CY89" s="483">
        <v>0</v>
      </c>
      <c r="CZ89" s="483">
        <v>0</v>
      </c>
      <c r="DA89" s="483">
        <v>1</v>
      </c>
      <c r="DB89" s="483">
        <v>0</v>
      </c>
      <c r="DC89" s="483">
        <v>0</v>
      </c>
      <c r="DD89" s="483">
        <v>0</v>
      </c>
      <c r="DE89" s="483">
        <f>IFERROR(SUM(VLOOKUP($BS89,'État &amp; Plan d''action'!$B$6:$Z$1113,18,FALSE),VLOOKUP($BS89,'État &amp; Plan d''action'!$B$6:$Z$1113,20,FALSE))/(VLOOKUP($BS89,'Données par municipalité'!$B$4:$L$1113,11,FALSE)),"")</f>
        <v>0</v>
      </c>
      <c r="DF89" s="483">
        <f>IFERROR(SUM(VLOOKUP($BS89,'État &amp; Plan d''action'!$B$6:$Z$1113,19,FALSE),VLOOKUP($BS89,'État &amp; Plan d''action'!$B$6:$Z$1113,21,FALSE))/(VLOOKUP($BS89,'Données par municipalité'!$B$4:$L$1113,11,FALSE)),"")</f>
        <v>0</v>
      </c>
      <c r="DG89" s="476" t="s">
        <v>4723</v>
      </c>
      <c r="DH89" s="484">
        <v>0</v>
      </c>
      <c r="DI89" s="484">
        <v>0</v>
      </c>
      <c r="DJ89" s="484">
        <v>0</v>
      </c>
      <c r="DK89" s="484">
        <v>0</v>
      </c>
      <c r="DL89" s="484">
        <v>0</v>
      </c>
      <c r="DM89" s="484">
        <v>0</v>
      </c>
      <c r="DN89" s="484">
        <v>0</v>
      </c>
      <c r="DO89" s="484">
        <v>0</v>
      </c>
      <c r="DP89" s="484">
        <v>0</v>
      </c>
      <c r="DQ89" s="484">
        <f>IF(VLOOKUP($BS89,'État &amp; Plan d''action'!$B$6:$AJ$1113,28,FALSE)="","",VLOOKUP($BS89,'État &amp; Plan d''action'!$B$6:$AJ$1113,28,FALSE))</f>
        <v>0</v>
      </c>
      <c r="DR89" s="70">
        <f>IF(VLOOKUP($BS89,'État &amp; Plan d''action'!$B$6:$AJ$1113,29,FALSE)="","",VLOOKUP($BS89,'État &amp; Plan d''action'!$B$6:$AJ$1113,29,FALSE))</f>
        <v>0</v>
      </c>
      <c r="DS89" s="70">
        <f>IF(VLOOKUP($BS89,'État &amp; Plan d''action'!$B$6:$AJ$1113,30,FALSE)="","",VLOOKUP($BS89,'État &amp; Plan d''action'!$B$6:$AJ$1113,30,FALSE))</f>
        <v>0</v>
      </c>
      <c r="DT89" s="70">
        <v>200</v>
      </c>
      <c r="DU89" s="485">
        <v>1.1608041308952195</v>
      </c>
      <c r="DV89" s="485">
        <v>2.1235177992193401</v>
      </c>
      <c r="DW89" s="70">
        <v>0</v>
      </c>
      <c r="DX89" s="70">
        <v>0</v>
      </c>
      <c r="DY89" s="70">
        <v>0</v>
      </c>
      <c r="DZ89" s="70">
        <f>VLOOKUP($BS89,'État &amp; Plan d''action'!$B$6:$AH$1113,31,FALSE)</f>
        <v>0</v>
      </c>
      <c r="EA89" s="70">
        <f>VLOOKUP($BS89,'État &amp; Plan d''action'!$B$6:$AH$1113,32,FALSE)</f>
        <v>0</v>
      </c>
      <c r="EB89" s="70">
        <f>VLOOKUP($BS89,'État &amp; Plan d''action'!$B$6:$AH$1113,33,FALSE)</f>
        <v>0</v>
      </c>
      <c r="EC89" s="70">
        <v>0</v>
      </c>
      <c r="ED89" s="70">
        <v>0</v>
      </c>
      <c r="EE89" s="70">
        <v>0</v>
      </c>
      <c r="EF89" s="70">
        <v>0</v>
      </c>
      <c r="EG89" s="70">
        <v>0</v>
      </c>
      <c r="EH89" s="72">
        <v>68</v>
      </c>
      <c r="EI89" s="72">
        <v>528</v>
      </c>
    </row>
    <row r="90" spans="1:139" s="413" customFormat="1" ht="45" customHeight="1" x14ac:dyDescent="0.65">
      <c r="A90" s="345"/>
      <c r="B90" s="343" t="s">
        <v>4737</v>
      </c>
      <c r="C90" s="343"/>
      <c r="D90" s="343"/>
      <c r="E90" s="343"/>
      <c r="F90" s="343"/>
      <c r="G90" s="343"/>
      <c r="H90" s="343"/>
      <c r="I90" s="343"/>
      <c r="J90" s="343"/>
      <c r="K90" s="343"/>
      <c r="L90" s="343"/>
      <c r="M90" s="343"/>
      <c r="N90" s="343"/>
      <c r="O90" s="346"/>
      <c r="P90" s="346"/>
      <c r="Q90" s="346"/>
      <c r="R90" s="346"/>
      <c r="S90" s="346"/>
      <c r="U90" s="357"/>
      <c r="V90" s="357"/>
      <c r="W90" s="441" t="str">
        <f>IF(X90="Non
disponible","Non
disponible",IF(SUM(X89:X90)=0,"Aucun branchement non résidentiel",TEXT(X90,"# ##0")&amp;" branchements équipés de compteurs (" &amp;TEXT((X90/SUM(X89:X90)),"0%")&amp;")"))</f>
        <v>70 508 branchements équipés de compteurs (58%)</v>
      </c>
      <c r="X90" s="437">
        <f>IF(W21="",SUM('État &amp; Plan d''action'!$BX$6:$BY$1113),IF(AF25="non","Non
disponible",IF(AF25="oui",VLOOKUP(W21,'État &amp; Plan d''action'!$B$6:$CC$1113,75,FALSE)+VLOOKUP(W21,'État &amp; Plan d''action'!$B$6:$CC$1113,76,FALSE),"Non
disponible")))</f>
        <v>70508</v>
      </c>
      <c r="Y90" s="437"/>
      <c r="Z90" s="70"/>
      <c r="AA90" s="70"/>
      <c r="AB90" s="70"/>
      <c r="AC90" s="70"/>
      <c r="AE90" s="489"/>
      <c r="BR90" s="70"/>
      <c r="BS90" s="487">
        <v>84030</v>
      </c>
      <c r="BT90" s="488" t="s">
        <v>857</v>
      </c>
      <c r="BU90" s="488">
        <v>7</v>
      </c>
      <c r="BV90" s="489" t="s">
        <v>1187</v>
      </c>
      <c r="BW90" s="489" t="s">
        <v>1187</v>
      </c>
      <c r="BX90" s="489" t="s">
        <v>1187</v>
      </c>
      <c r="BY90" s="489" t="s">
        <v>1187</v>
      </c>
      <c r="BZ90" s="489" t="s">
        <v>1187</v>
      </c>
      <c r="CA90" s="489" t="s">
        <v>1187</v>
      </c>
      <c r="CB90" s="489" t="s">
        <v>1187</v>
      </c>
      <c r="CC90" s="489" t="s">
        <v>1187</v>
      </c>
      <c r="CD90" s="489" t="s">
        <v>1187</v>
      </c>
      <c r="CE90" s="489" t="s">
        <v>1187</v>
      </c>
      <c r="CF90" s="489" t="s">
        <v>1187</v>
      </c>
      <c r="CG90" s="489" t="s">
        <v>1187</v>
      </c>
      <c r="CH90" s="489" t="s">
        <v>1187</v>
      </c>
      <c r="CI90" s="489" t="s">
        <v>1187</v>
      </c>
      <c r="CJ90" s="489" t="s">
        <v>1187</v>
      </c>
      <c r="CK90" s="489" t="s">
        <v>1188</v>
      </c>
      <c r="CL90" s="489" t="s">
        <v>1188</v>
      </c>
      <c r="CM90" s="489" t="str">
        <f>IF(VLOOKUP(BS90,'Données par municipalité'!$B$6:$E$1113,4,FALSE)="","non","oui")</f>
        <v>non</v>
      </c>
      <c r="CN90" s="490" t="s">
        <v>1124</v>
      </c>
      <c r="CO90" s="490" t="s">
        <v>1124</v>
      </c>
      <c r="CP90" s="490"/>
      <c r="CQ90" s="490"/>
      <c r="CR90" s="490"/>
      <c r="CS90" s="490" t="s">
        <v>1124</v>
      </c>
      <c r="CT90" s="490">
        <v>570.20189717429923</v>
      </c>
      <c r="CU90" s="490">
        <v>483</v>
      </c>
      <c r="CV90" s="490" t="str">
        <f>IF(VLOOKUP(BS90,'Données par municipalité'!$B$6:$F$1113,4,FALSE)="","",VLOOKUP(BS90,'Données par municipalité'!$B$6:$F$1113,4,FALSE))</f>
        <v/>
      </c>
      <c r="CW90" s="489" t="s">
        <v>4723</v>
      </c>
      <c r="CX90" s="491" t="s">
        <v>1124</v>
      </c>
      <c r="CY90" s="491" t="s">
        <v>1124</v>
      </c>
      <c r="CZ90" s="491" t="s">
        <v>1124</v>
      </c>
      <c r="DA90" s="491" t="s">
        <v>1124</v>
      </c>
      <c r="DB90" s="491" t="s">
        <v>1124</v>
      </c>
      <c r="DC90" s="491">
        <v>0.6</v>
      </c>
      <c r="DD90" s="491">
        <v>1.2645102781136639</v>
      </c>
      <c r="DE90" s="491" t="str">
        <f>IFERROR(SUM(VLOOKUP($BS90,'État &amp; Plan d''action'!$B$6:$Z$1113,18,FALSE),VLOOKUP($BS90,'État &amp; Plan d''action'!$B$6:$Z$1113,20,FALSE))/(VLOOKUP($BS90,'Données par municipalité'!$B$4:$L$1113,11,FALSE)),"")</f>
        <v/>
      </c>
      <c r="DF90" s="491" t="str">
        <f>IFERROR(SUM(VLOOKUP($BS90,'État &amp; Plan d''action'!$B$6:$Z$1113,19,FALSE),VLOOKUP($BS90,'État &amp; Plan d''action'!$B$6:$Z$1113,21,FALSE))/(VLOOKUP($BS90,'Données par municipalité'!$B$4:$L$1113,11,FALSE)),"")</f>
        <v/>
      </c>
      <c r="DG90" s="489" t="s">
        <v>4723</v>
      </c>
      <c r="DH90" s="492">
        <v>2</v>
      </c>
      <c r="DI90" s="492" t="s">
        <v>1124</v>
      </c>
      <c r="DJ90" s="492">
        <v>0</v>
      </c>
      <c r="DK90" s="492">
        <v>0</v>
      </c>
      <c r="DL90" s="492" t="s">
        <v>1124</v>
      </c>
      <c r="DM90" s="492">
        <v>6</v>
      </c>
      <c r="DN90" s="492">
        <v>3</v>
      </c>
      <c r="DO90" s="492">
        <v>4</v>
      </c>
      <c r="DP90" s="492">
        <v>6</v>
      </c>
      <c r="DQ90" s="492" t="str">
        <f>IF(VLOOKUP($BS90,'État &amp; Plan d''action'!$B$6:$AJ$1113,28,FALSE)="","",VLOOKUP($BS90,'État &amp; Plan d''action'!$B$6:$AJ$1113,28,FALSE))</f>
        <v/>
      </c>
      <c r="DR90" s="413" t="str">
        <f>IF(VLOOKUP($BS90,'État &amp; Plan d''action'!$B$6:$AJ$1113,29,FALSE)="","",VLOOKUP($BS90,'État &amp; Plan d''action'!$B$6:$AJ$1113,29,FALSE))</f>
        <v/>
      </c>
      <c r="DS90" s="413" t="str">
        <f>IF(VLOOKUP($BS90,'État &amp; Plan d''action'!$B$6:$AJ$1113,30,FALSE)="","",VLOOKUP($BS90,'État &amp; Plan d''action'!$B$6:$AJ$1113,30,FALSE))</f>
        <v/>
      </c>
      <c r="DT90" s="413">
        <v>343</v>
      </c>
      <c r="DU90" s="493">
        <v>3.400674890563824</v>
      </c>
      <c r="DV90" s="493" t="s">
        <v>1124</v>
      </c>
      <c r="DW90" s="413">
        <v>3</v>
      </c>
      <c r="DX90" s="413">
        <v>3</v>
      </c>
      <c r="DY90" s="413">
        <v>3</v>
      </c>
      <c r="DZ90" s="413" t="str">
        <f>VLOOKUP($BS90,'État &amp; Plan d''action'!$B$6:$AH$1113,31,FALSE)</f>
        <v/>
      </c>
      <c r="EA90" s="413" t="str">
        <f>VLOOKUP($BS90,'État &amp; Plan d''action'!$B$6:$AH$1113,32,FALSE)</f>
        <v/>
      </c>
      <c r="EB90" s="413" t="str">
        <f>VLOOKUP($BS90,'État &amp; Plan d''action'!$B$6:$AH$1113,33,FALSE)</f>
        <v/>
      </c>
      <c r="EC90" s="413">
        <v>0</v>
      </c>
      <c r="ED90" s="413">
        <v>13.231999999999999</v>
      </c>
      <c r="EE90" s="413">
        <v>3.5</v>
      </c>
      <c r="EF90" s="413">
        <v>0</v>
      </c>
      <c r="EG90" s="413">
        <v>0</v>
      </c>
      <c r="EH90" s="494">
        <v>56</v>
      </c>
      <c r="EI90" s="72">
        <v>747</v>
      </c>
    </row>
    <row r="91" spans="1:139" x14ac:dyDescent="0.35">
      <c r="A91" s="542"/>
      <c r="B91" s="542"/>
      <c r="C91" s="542"/>
      <c r="D91" s="542"/>
      <c r="E91" s="542"/>
      <c r="F91" s="542"/>
      <c r="G91" s="542"/>
      <c r="H91" s="542"/>
      <c r="I91" s="542"/>
      <c r="J91" s="542"/>
      <c r="K91" s="542"/>
      <c r="L91" s="542"/>
      <c r="M91" s="542"/>
      <c r="N91" s="542"/>
      <c r="O91" s="542"/>
      <c r="P91" s="542"/>
      <c r="Q91" s="542"/>
      <c r="R91" s="542"/>
      <c r="S91" s="542"/>
      <c r="T91" s="542"/>
      <c r="V91" s="359"/>
      <c r="W91" s="436"/>
      <c r="X91" s="437"/>
      <c r="Y91" s="437"/>
      <c r="BS91" s="486">
        <v>67020</v>
      </c>
      <c r="BT91" s="479" t="s">
        <v>665</v>
      </c>
      <c r="BU91" s="479">
        <v>16</v>
      </c>
      <c r="BV91" s="476" t="s">
        <v>1187</v>
      </c>
      <c r="BW91" s="476" t="s">
        <v>1187</v>
      </c>
      <c r="BX91" s="476" t="s">
        <v>1187</v>
      </c>
      <c r="BY91" s="476" t="s">
        <v>1187</v>
      </c>
      <c r="BZ91" s="476" t="s">
        <v>1187</v>
      </c>
      <c r="CA91" s="476" t="s">
        <v>1187</v>
      </c>
      <c r="CB91" s="476" t="s">
        <v>1187</v>
      </c>
      <c r="CC91" s="476" t="s">
        <v>1187</v>
      </c>
      <c r="CD91" s="476" t="s">
        <v>1187</v>
      </c>
      <c r="CE91" s="476" t="s">
        <v>1188</v>
      </c>
      <c r="CF91" s="476" t="s">
        <v>1188</v>
      </c>
      <c r="CG91" s="476" t="s">
        <v>1188</v>
      </c>
      <c r="CH91" s="476" t="s">
        <v>1188</v>
      </c>
      <c r="CI91" s="476" t="s">
        <v>1188</v>
      </c>
      <c r="CJ91" s="476" t="s">
        <v>1188</v>
      </c>
      <c r="CK91" s="476" t="s">
        <v>1188</v>
      </c>
      <c r="CL91" s="476" t="s">
        <v>1187</v>
      </c>
      <c r="CM91" s="476" t="str">
        <f>IF(VLOOKUP(BS91,'Données par municipalité'!$B$6:$E$1113,4,FALSE)="","non","oui")</f>
        <v>non</v>
      </c>
      <c r="CN91" s="410">
        <v>451.58045555346285</v>
      </c>
      <c r="CO91" s="410">
        <v>588.65291960529271</v>
      </c>
      <c r="CP91" s="410">
        <v>545.21399724517244</v>
      </c>
      <c r="CQ91" s="410">
        <v>592.63004811484927</v>
      </c>
      <c r="CR91" s="410">
        <v>583.35581654603595</v>
      </c>
      <c r="CS91" s="410">
        <v>533.62306220578546</v>
      </c>
      <c r="CT91" s="410">
        <v>483.37343520787789</v>
      </c>
      <c r="CU91" s="410" t="s">
        <v>1124</v>
      </c>
      <c r="CV91" s="410" t="str">
        <f>IF(VLOOKUP(BS91,'Données par municipalité'!$B$6:$F$1113,4,FALSE)="","",VLOOKUP(BS91,'Données par municipalité'!$B$6:$F$1113,4,FALSE))</f>
        <v/>
      </c>
      <c r="CW91" s="476" t="s">
        <v>4723</v>
      </c>
      <c r="CX91" s="483">
        <v>2</v>
      </c>
      <c r="CY91" s="483">
        <v>2</v>
      </c>
      <c r="CZ91" s="483">
        <v>1</v>
      </c>
      <c r="DA91" s="483">
        <v>1</v>
      </c>
      <c r="DB91" s="483">
        <v>1</v>
      </c>
      <c r="DC91" s="483">
        <v>1</v>
      </c>
      <c r="DD91" s="483" t="s">
        <v>1124</v>
      </c>
      <c r="DE91" s="483" t="str">
        <f>IFERROR(SUM(VLOOKUP($BS91,'État &amp; Plan d''action'!$B$6:$Z$1113,18,FALSE),VLOOKUP($BS91,'État &amp; Plan d''action'!$B$6:$Z$1113,20,FALSE))/(VLOOKUP($BS91,'Données par municipalité'!$B$4:$L$1113,11,FALSE)),"")</f>
        <v/>
      </c>
      <c r="DF91" s="483" t="str">
        <f>IFERROR(SUM(VLOOKUP($BS91,'État &amp; Plan d''action'!$B$6:$Z$1113,19,FALSE),VLOOKUP($BS91,'État &amp; Plan d''action'!$B$6:$Z$1113,21,FALSE))/(VLOOKUP($BS91,'Données par municipalité'!$B$4:$L$1113,11,FALSE)),"")</f>
        <v/>
      </c>
      <c r="DG91" s="476" t="s">
        <v>4723</v>
      </c>
      <c r="DH91" s="484">
        <v>11</v>
      </c>
      <c r="DI91" s="484">
        <v>6</v>
      </c>
      <c r="DJ91" s="484">
        <v>20</v>
      </c>
      <c r="DK91" s="484">
        <v>2</v>
      </c>
      <c r="DL91" s="484">
        <v>12</v>
      </c>
      <c r="DM91" s="484">
        <v>9</v>
      </c>
      <c r="DN91" s="484" t="s">
        <v>1124</v>
      </c>
      <c r="DO91" s="484" t="s">
        <v>1124</v>
      </c>
      <c r="DP91" s="484" t="s">
        <v>1124</v>
      </c>
      <c r="DQ91" s="484" t="str">
        <f>IF(VLOOKUP($BS91,'État &amp; Plan d''action'!$B$6:$AJ$1113,28,FALSE)="","",VLOOKUP($BS91,'État &amp; Plan d''action'!$B$6:$AJ$1113,28,FALSE))</f>
        <v/>
      </c>
      <c r="DR91" s="70" t="str">
        <f>IF(VLOOKUP($BS91,'État &amp; Plan d''action'!$B$6:$AJ$1113,29,FALSE)="","",VLOOKUP($BS91,'État &amp; Plan d''action'!$B$6:$AJ$1113,29,FALSE))</f>
        <v/>
      </c>
      <c r="DS91" s="70" t="str">
        <f>IF(VLOOKUP($BS91,'État &amp; Plan d''action'!$B$6:$AJ$1113,30,FALSE)="","",VLOOKUP($BS91,'État &amp; Plan d''action'!$B$6:$AJ$1113,30,FALSE))</f>
        <v/>
      </c>
      <c r="DT91" s="70" t="s">
        <v>1124</v>
      </c>
      <c r="DU91" s="485" t="s">
        <v>1124</v>
      </c>
      <c r="DV91" s="485" t="s">
        <v>1124</v>
      </c>
      <c r="DW91" s="70" t="s">
        <v>1124</v>
      </c>
      <c r="DX91" s="70" t="s">
        <v>1124</v>
      </c>
      <c r="DY91" s="70" t="s">
        <v>1124</v>
      </c>
      <c r="DZ91" s="70" t="str">
        <f>VLOOKUP($BS91,'État &amp; Plan d''action'!$B$6:$AH$1113,31,FALSE)</f>
        <v/>
      </c>
      <c r="EA91" s="70" t="str">
        <f>VLOOKUP($BS91,'État &amp; Plan d''action'!$B$6:$AH$1113,32,FALSE)</f>
        <v/>
      </c>
      <c r="EB91" s="70" t="str">
        <f>VLOOKUP($BS91,'État &amp; Plan d''action'!$B$6:$AH$1113,33,FALSE)</f>
        <v/>
      </c>
      <c r="EC91" s="70" t="s">
        <v>1124</v>
      </c>
      <c r="ED91" s="70" t="s">
        <v>1124</v>
      </c>
      <c r="EE91" s="70" t="s">
        <v>1124</v>
      </c>
      <c r="EF91" s="70" t="s">
        <v>1124</v>
      </c>
      <c r="EG91" s="70" t="s">
        <v>1124</v>
      </c>
      <c r="EH91" s="72"/>
      <c r="EI91" s="72">
        <v>21990</v>
      </c>
    </row>
    <row r="92" spans="1:139" x14ac:dyDescent="0.35">
      <c r="A92" s="1"/>
      <c r="B92"/>
      <c r="C92"/>
      <c r="D92"/>
      <c r="E92"/>
      <c r="F92"/>
      <c r="G92"/>
      <c r="H92"/>
      <c r="I92"/>
      <c r="J92"/>
      <c r="K92"/>
      <c r="L92"/>
      <c r="M92"/>
      <c r="N92"/>
      <c r="O92" s="70"/>
      <c r="P92" s="70"/>
      <c r="Q92" s="70"/>
      <c r="R92" s="70"/>
      <c r="S92" s="95"/>
      <c r="T92" s="70"/>
      <c r="X92" s="418"/>
      <c r="Y92" s="418"/>
      <c r="Z92" s="418"/>
      <c r="AA92" s="418"/>
      <c r="AB92" s="418"/>
      <c r="AC92" s="418"/>
      <c r="AD92" s="504"/>
      <c r="AE92" s="504"/>
      <c r="AF92" s="504"/>
      <c r="BS92" s="486">
        <v>82020</v>
      </c>
      <c r="BT92" s="479" t="s">
        <v>831</v>
      </c>
      <c r="BU92" s="479">
        <v>7</v>
      </c>
      <c r="BV92" s="476" t="s">
        <v>1188</v>
      </c>
      <c r="BW92" s="476" t="s">
        <v>1188</v>
      </c>
      <c r="BX92" s="476" t="s">
        <v>1188</v>
      </c>
      <c r="BY92" s="476" t="s">
        <v>1188</v>
      </c>
      <c r="BZ92" s="476" t="s">
        <v>1188</v>
      </c>
      <c r="CA92" s="476" t="s">
        <v>1188</v>
      </c>
      <c r="CB92" s="476" t="s">
        <v>1188</v>
      </c>
      <c r="CC92" s="476" t="s">
        <v>1188</v>
      </c>
      <c r="CD92" s="476" t="s">
        <v>1188</v>
      </c>
      <c r="CE92" s="476" t="s">
        <v>1187</v>
      </c>
      <c r="CF92" s="476" t="s">
        <v>1187</v>
      </c>
      <c r="CG92" s="476" t="s">
        <v>1187</v>
      </c>
      <c r="CH92" s="476" t="s">
        <v>1187</v>
      </c>
      <c r="CI92" s="476" t="s">
        <v>1187</v>
      </c>
      <c r="CJ92" s="476" t="s">
        <v>1187</v>
      </c>
      <c r="CK92" s="476" t="s">
        <v>1187</v>
      </c>
      <c r="CL92" s="476" t="s">
        <v>1187</v>
      </c>
      <c r="CM92" s="476" t="str">
        <f>IF(VLOOKUP(BS92,'Données par municipalité'!$B$6:$E$1113,4,FALSE)="","non","oui")</f>
        <v>non</v>
      </c>
      <c r="CN92" s="410" t="s">
        <v>1124</v>
      </c>
      <c r="CO92" s="410" t="s">
        <v>1124</v>
      </c>
      <c r="CP92" s="410"/>
      <c r="CQ92" s="410"/>
      <c r="CR92" s="410"/>
      <c r="CS92" s="410" t="s">
        <v>1124</v>
      </c>
      <c r="CT92" s="410"/>
      <c r="CU92" s="410" t="s">
        <v>1124</v>
      </c>
      <c r="CV92" s="410" t="str">
        <f>IF(VLOOKUP(BS92,'Données par municipalité'!$B$6:$F$1113,4,FALSE)="","",VLOOKUP(BS92,'Données par municipalité'!$B$6:$F$1113,4,FALSE))</f>
        <v/>
      </c>
      <c r="CW92" s="476" t="s">
        <v>4723</v>
      </c>
      <c r="CX92" s="483" t="s">
        <v>1124</v>
      </c>
      <c r="CY92" s="483" t="s">
        <v>1124</v>
      </c>
      <c r="CZ92" s="483" t="s">
        <v>1124</v>
      </c>
      <c r="DA92" s="483" t="s">
        <v>1124</v>
      </c>
      <c r="DB92" s="483" t="s">
        <v>1124</v>
      </c>
      <c r="DC92" s="483" t="s">
        <v>1124</v>
      </c>
      <c r="DD92" s="483" t="s">
        <v>1124</v>
      </c>
      <c r="DE92" s="483" t="str">
        <f>IFERROR(SUM(VLOOKUP($BS92,'État &amp; Plan d''action'!$B$6:$Z$1113,18,FALSE),VLOOKUP($BS92,'État &amp; Plan d''action'!$B$6:$Z$1113,20,FALSE))/(VLOOKUP($BS92,'Données par municipalité'!$B$4:$L$1113,11,FALSE)),"")</f>
        <v/>
      </c>
      <c r="DF92" s="483" t="str">
        <f>IFERROR(SUM(VLOOKUP($BS92,'État &amp; Plan d''action'!$B$6:$Z$1113,19,FALSE),VLOOKUP($BS92,'État &amp; Plan d''action'!$B$6:$Z$1113,21,FALSE))/(VLOOKUP($BS92,'Données par municipalité'!$B$4:$L$1113,11,FALSE)),"")</f>
        <v/>
      </c>
      <c r="DG92" s="476" t="s">
        <v>4723</v>
      </c>
      <c r="DH92" s="484" t="s">
        <v>1124</v>
      </c>
      <c r="DI92" s="484" t="s">
        <v>1124</v>
      </c>
      <c r="DJ92" s="484">
        <v>0</v>
      </c>
      <c r="DK92" s="484">
        <v>0</v>
      </c>
      <c r="DL92" s="484" t="s">
        <v>1124</v>
      </c>
      <c r="DM92" s="484" t="s">
        <v>1124</v>
      </c>
      <c r="DN92" s="484" t="s">
        <v>1124</v>
      </c>
      <c r="DO92" s="484" t="s">
        <v>1124</v>
      </c>
      <c r="DP92" s="484" t="s">
        <v>1124</v>
      </c>
      <c r="DQ92" s="484" t="str">
        <f>IF(VLOOKUP($BS92,'État &amp; Plan d''action'!$B$6:$AJ$1113,28,FALSE)="","",VLOOKUP($BS92,'État &amp; Plan d''action'!$B$6:$AJ$1113,28,FALSE))</f>
        <v/>
      </c>
      <c r="DR92" s="70" t="str">
        <f>IF(VLOOKUP($BS92,'État &amp; Plan d''action'!$B$6:$AJ$1113,29,FALSE)="","",VLOOKUP($BS92,'État &amp; Plan d''action'!$B$6:$AJ$1113,29,FALSE))</f>
        <v/>
      </c>
      <c r="DS92" s="70" t="str">
        <f>IF(VLOOKUP($BS92,'État &amp; Plan d''action'!$B$6:$AJ$1113,30,FALSE)="","",VLOOKUP($BS92,'État &amp; Plan d''action'!$B$6:$AJ$1113,30,FALSE))</f>
        <v/>
      </c>
      <c r="DT92" s="70" t="s">
        <v>1124</v>
      </c>
      <c r="DU92" s="485" t="s">
        <v>1124</v>
      </c>
      <c r="DV92" s="485" t="s">
        <v>1124</v>
      </c>
      <c r="DW92" s="70" t="s">
        <v>1124</v>
      </c>
      <c r="DX92" s="70" t="s">
        <v>1124</v>
      </c>
      <c r="DY92" s="70" t="s">
        <v>1124</v>
      </c>
      <c r="DZ92" s="70" t="str">
        <f>VLOOKUP($BS92,'État &amp; Plan d''action'!$B$6:$AH$1113,31,FALSE)</f>
        <v/>
      </c>
      <c r="EA92" s="70" t="str">
        <f>VLOOKUP($BS92,'État &amp; Plan d''action'!$B$6:$AH$1113,32,FALSE)</f>
        <v/>
      </c>
      <c r="EB92" s="70" t="str">
        <f>VLOOKUP($BS92,'État &amp; Plan d''action'!$B$6:$AH$1113,33,FALSE)</f>
        <v/>
      </c>
      <c r="EC92" s="70" t="s">
        <v>1124</v>
      </c>
      <c r="ED92" s="70" t="s">
        <v>1124</v>
      </c>
      <c r="EE92" s="70" t="s">
        <v>1124</v>
      </c>
      <c r="EF92" s="70" t="s">
        <v>1124</v>
      </c>
      <c r="EG92" s="70" t="s">
        <v>1124</v>
      </c>
      <c r="EH92" s="72"/>
      <c r="EI92" s="72">
        <v>11126</v>
      </c>
    </row>
    <row r="93" spans="1:139" x14ac:dyDescent="0.35">
      <c r="A93" s="1"/>
      <c r="B93"/>
      <c r="C93"/>
      <c r="D93"/>
      <c r="E93"/>
      <c r="F93"/>
      <c r="G93"/>
      <c r="H93"/>
      <c r="I93"/>
      <c r="J93"/>
      <c r="K93"/>
      <c r="L93"/>
      <c r="M93"/>
      <c r="N93"/>
      <c r="O93" s="70"/>
      <c r="P93" s="70"/>
      <c r="Q93" s="70"/>
      <c r="R93" s="70"/>
      <c r="S93" s="95"/>
      <c r="T93" s="70"/>
      <c r="W93" s="424" t="s">
        <v>1163</v>
      </c>
      <c r="X93" s="416" t="s">
        <v>1162</v>
      </c>
      <c r="Y93" s="418"/>
      <c r="Z93" s="416"/>
      <c r="AA93" s="418"/>
      <c r="AB93" s="442"/>
      <c r="AC93" s="418"/>
      <c r="AD93" s="504"/>
      <c r="AE93" s="504"/>
      <c r="AF93" s="504"/>
      <c r="BS93" s="486">
        <v>4047</v>
      </c>
      <c r="BT93" s="479" t="s">
        <v>1043</v>
      </c>
      <c r="BU93" s="479">
        <v>11</v>
      </c>
      <c r="BV93" s="476" t="s">
        <v>1187</v>
      </c>
      <c r="BW93" s="476" t="s">
        <v>1187</v>
      </c>
      <c r="BX93" s="476" t="s">
        <v>1187</v>
      </c>
      <c r="BY93" s="476" t="s">
        <v>1187</v>
      </c>
      <c r="BZ93" s="476" t="s">
        <v>1187</v>
      </c>
      <c r="CA93" s="476" t="s">
        <v>1187</v>
      </c>
      <c r="CB93" s="476" t="s">
        <v>1187</v>
      </c>
      <c r="CC93" s="476" t="s">
        <v>1187</v>
      </c>
      <c r="CD93" s="476" t="s">
        <v>1187</v>
      </c>
      <c r="CE93" s="476" t="s">
        <v>1188</v>
      </c>
      <c r="CF93" s="476" t="s">
        <v>1188</v>
      </c>
      <c r="CG93" s="476" t="s">
        <v>1187</v>
      </c>
      <c r="CH93" s="476" t="s">
        <v>1187</v>
      </c>
      <c r="CI93" s="476" t="s">
        <v>1187</v>
      </c>
      <c r="CJ93" s="476" t="s">
        <v>1188</v>
      </c>
      <c r="CK93" s="476" t="s">
        <v>1187</v>
      </c>
      <c r="CL93" s="476" t="s">
        <v>1188</v>
      </c>
      <c r="CM93" s="476" t="str">
        <f>IF(VLOOKUP(BS93,'Données par municipalité'!$B$6:$E$1113,4,FALSE)="","non","oui")</f>
        <v>oui</v>
      </c>
      <c r="CN93" s="410">
        <v>1040.6524774519794</v>
      </c>
      <c r="CO93" s="410">
        <v>1168.541553556689</v>
      </c>
      <c r="CP93" s="410"/>
      <c r="CQ93" s="410"/>
      <c r="CR93" s="410"/>
      <c r="CS93" s="410">
        <v>1807.8154841321916</v>
      </c>
      <c r="CT93" s="410"/>
      <c r="CU93" s="410">
        <v>934</v>
      </c>
      <c r="CV93" s="410">
        <f>IF(VLOOKUP(BS93,'Données par municipalité'!$B$6:$F$1113,4,FALSE)="","",VLOOKUP(BS93,'Données par municipalité'!$B$6:$F$1113,4,FALSE))</f>
        <v>1043</v>
      </c>
      <c r="CW93" s="476" t="s">
        <v>4723</v>
      </c>
      <c r="CX93" s="483">
        <v>0.01</v>
      </c>
      <c r="CY93" s="483" t="s">
        <v>1124</v>
      </c>
      <c r="CZ93" s="483" t="s">
        <v>1124</v>
      </c>
      <c r="DA93" s="483" t="s">
        <v>1124</v>
      </c>
      <c r="DB93" s="483">
        <v>0</v>
      </c>
      <c r="DC93" s="483" t="s">
        <v>1124</v>
      </c>
      <c r="DD93" s="483" t="s">
        <v>1124</v>
      </c>
      <c r="DE93" s="483">
        <f>IFERROR(SUM(VLOOKUP($BS93,'État &amp; Plan d''action'!$B$6:$Z$1113,18,FALSE),VLOOKUP($BS93,'État &amp; Plan d''action'!$B$6:$Z$1113,20,FALSE))/(VLOOKUP($BS93,'Données par municipalité'!$B$4:$L$1113,11,FALSE)),"")</f>
        <v>1</v>
      </c>
      <c r="DF93" s="483">
        <f>IFERROR(SUM(VLOOKUP($BS93,'État &amp; Plan d''action'!$B$6:$Z$1113,19,FALSE),VLOOKUP($BS93,'État &amp; Plan d''action'!$B$6:$Z$1113,21,FALSE))/(VLOOKUP($BS93,'Données par municipalité'!$B$4:$L$1113,11,FALSE)),"")</f>
        <v>1</v>
      </c>
      <c r="DG93" s="476" t="s">
        <v>4723</v>
      </c>
      <c r="DH93" s="484">
        <v>12</v>
      </c>
      <c r="DI93" s="484" t="s">
        <v>1124</v>
      </c>
      <c r="DJ93" s="484">
        <v>0</v>
      </c>
      <c r="DK93" s="484">
        <v>0</v>
      </c>
      <c r="DL93" s="484">
        <v>5</v>
      </c>
      <c r="DM93" s="484" t="s">
        <v>1124</v>
      </c>
      <c r="DN93" s="484">
        <v>6</v>
      </c>
      <c r="DO93" s="484">
        <v>0</v>
      </c>
      <c r="DP93" s="484">
        <v>0</v>
      </c>
      <c r="DQ93" s="484">
        <f>IF(VLOOKUP($BS93,'État &amp; Plan d''action'!$B$6:$AJ$1113,28,FALSE)="","",VLOOKUP($BS93,'État &amp; Plan d''action'!$B$6:$AJ$1113,28,FALSE))</f>
        <v>8</v>
      </c>
      <c r="DR93" s="70">
        <f>IF(VLOOKUP($BS93,'État &amp; Plan d''action'!$B$6:$AJ$1113,29,FALSE)="","",VLOOKUP($BS93,'État &amp; Plan d''action'!$B$6:$AJ$1113,29,FALSE))</f>
        <v>0</v>
      </c>
      <c r="DS93" s="70">
        <f>IF(VLOOKUP($BS93,'État &amp; Plan d''action'!$B$6:$AJ$1113,30,FALSE)="","",VLOOKUP($BS93,'État &amp; Plan d''action'!$B$6:$AJ$1113,30,FALSE))</f>
        <v>0</v>
      </c>
      <c r="DT93" s="70">
        <v>354</v>
      </c>
      <c r="DU93" s="485">
        <v>6.3023679957377006</v>
      </c>
      <c r="DV93" s="485">
        <v>9.0491560635569481</v>
      </c>
      <c r="DW93" s="70">
        <v>1</v>
      </c>
      <c r="DX93" s="70">
        <v>0</v>
      </c>
      <c r="DY93" s="70">
        <v>0</v>
      </c>
      <c r="DZ93" s="70">
        <f>VLOOKUP($BS93,'État &amp; Plan d''action'!$B$6:$AH$1113,31,FALSE)</f>
        <v>12</v>
      </c>
      <c r="EA93" s="70">
        <f>VLOOKUP($BS93,'État &amp; Plan d''action'!$B$6:$AH$1113,32,FALSE)</f>
        <v>0</v>
      </c>
      <c r="EB93" s="70">
        <f>VLOOKUP($BS93,'État &amp; Plan d''action'!$B$6:$AH$1113,33,FALSE)</f>
        <v>0</v>
      </c>
      <c r="EC93" s="70">
        <v>0</v>
      </c>
      <c r="ED93" s="70">
        <v>0</v>
      </c>
      <c r="EE93" s="70">
        <v>23.327000000000002</v>
      </c>
      <c r="EF93" s="70">
        <v>0</v>
      </c>
      <c r="EG93" s="70">
        <v>0</v>
      </c>
      <c r="EH93" s="72">
        <v>62</v>
      </c>
      <c r="EI93" s="72">
        <v>2417</v>
      </c>
    </row>
    <row r="94" spans="1:139" x14ac:dyDescent="0.35">
      <c r="A94" s="1"/>
      <c r="B94"/>
      <c r="C94"/>
      <c r="D94"/>
      <c r="E94"/>
      <c r="F94"/>
      <c r="G94"/>
      <c r="H94"/>
      <c r="I94"/>
      <c r="J94"/>
      <c r="K94"/>
      <c r="L94"/>
      <c r="M94"/>
      <c r="N94"/>
      <c r="O94" s="70"/>
      <c r="P94" s="70"/>
      <c r="Q94" s="70"/>
      <c r="R94" s="70"/>
      <c r="S94" s="95"/>
      <c r="T94" s="70"/>
      <c r="W94" s="418" t="str">
        <f>IF(X94="Non
disponible","",IF(SUM(X94:X95)=0,"",TEXT(X94,"# ##0")&amp;" branchements sans compteurs (" &amp;TEXT((X94/SUM(X94:X95)),"0%")&amp;")"))</f>
        <v>1 567 086 branchements sans compteurs (87%)</v>
      </c>
      <c r="X94" s="440">
        <f>IF(W21="",SUM('État &amp; Plan d''action'!$CC$6:$CC$1113),IF(AF25="non","Non
disponible",IF(AF25="oui",VLOOKUP(W21,'État &amp; Plan d''action'!$B$6:$CC$1113,80,FALSE),"Non
disponible")))</f>
        <v>1567086</v>
      </c>
      <c r="Y94" s="418"/>
      <c r="Z94" s="418"/>
      <c r="AA94" s="440"/>
      <c r="AB94" s="442"/>
      <c r="AC94" s="418"/>
      <c r="AD94" s="504"/>
      <c r="AE94" s="504"/>
      <c r="AF94" s="504"/>
      <c r="BS94" s="486">
        <v>5060</v>
      </c>
      <c r="BT94" s="479" t="s">
        <v>1053</v>
      </c>
      <c r="BU94" s="479">
        <v>11</v>
      </c>
      <c r="BV94" s="476" t="s">
        <v>1187</v>
      </c>
      <c r="BW94" s="476" t="s">
        <v>1187</v>
      </c>
      <c r="BX94" s="476" t="s">
        <v>1187</v>
      </c>
      <c r="BY94" s="476" t="s">
        <v>1187</v>
      </c>
      <c r="BZ94" s="476" t="s">
        <v>1187</v>
      </c>
      <c r="CA94" s="476" t="s">
        <v>1187</v>
      </c>
      <c r="CB94" s="476" t="s">
        <v>1187</v>
      </c>
      <c r="CC94" s="476" t="s">
        <v>1187</v>
      </c>
      <c r="CD94" s="476" t="s">
        <v>1187</v>
      </c>
      <c r="CE94" s="476" t="s">
        <v>1188</v>
      </c>
      <c r="CF94" s="476" t="s">
        <v>1188</v>
      </c>
      <c r="CG94" s="476" t="s">
        <v>1188</v>
      </c>
      <c r="CH94" s="476" t="s">
        <v>1188</v>
      </c>
      <c r="CI94" s="476" t="s">
        <v>1188</v>
      </c>
      <c r="CJ94" s="476" t="s">
        <v>1188</v>
      </c>
      <c r="CK94" s="476" t="s">
        <v>1188</v>
      </c>
      <c r="CL94" s="476" t="s">
        <v>1188</v>
      </c>
      <c r="CM94" s="476" t="str">
        <f>IF(VLOOKUP(BS94,'Données par municipalité'!$B$6:$E$1113,4,FALSE)="","non","oui")</f>
        <v>oui</v>
      </c>
      <c r="CN94" s="410">
        <v>311.14453935834786</v>
      </c>
      <c r="CO94" s="410">
        <v>261.53864366898296</v>
      </c>
      <c r="CP94" s="410">
        <v>294.69027785933389</v>
      </c>
      <c r="CQ94" s="410">
        <v>291.57861489819646</v>
      </c>
      <c r="CR94" s="410">
        <v>313.42118462026241</v>
      </c>
      <c r="CS94" s="410">
        <v>383.71793611099008</v>
      </c>
      <c r="CT94" s="410">
        <v>355.33959273650049</v>
      </c>
      <c r="CU94" s="410">
        <v>459</v>
      </c>
      <c r="CV94" s="410">
        <f>IF(VLOOKUP(BS94,'Données par municipalité'!$B$6:$F$1113,4,FALSE)="","",VLOOKUP(BS94,'Données par municipalité'!$B$6:$F$1113,4,FALSE))</f>
        <v>438</v>
      </c>
      <c r="CW94" s="476" t="s">
        <v>4723</v>
      </c>
      <c r="CX94" s="483">
        <v>0</v>
      </c>
      <c r="CY94" s="483">
        <v>0</v>
      </c>
      <c r="CZ94" s="483">
        <v>0</v>
      </c>
      <c r="DA94" s="483">
        <v>1</v>
      </c>
      <c r="DB94" s="483">
        <v>1</v>
      </c>
      <c r="DC94" s="483">
        <v>0</v>
      </c>
      <c r="DD94" s="483" t="s">
        <v>1124</v>
      </c>
      <c r="DE94" s="483">
        <f>IFERROR(SUM(VLOOKUP($BS94,'État &amp; Plan d''action'!$B$6:$Z$1113,18,FALSE),VLOOKUP($BS94,'État &amp; Plan d''action'!$B$6:$Z$1113,20,FALSE))/(VLOOKUP($BS94,'Données par municipalité'!$B$4:$L$1113,11,FALSE)),"")</f>
        <v>0</v>
      </c>
      <c r="DF94" s="483">
        <f>IFERROR(SUM(VLOOKUP($BS94,'État &amp; Plan d''action'!$B$6:$Z$1113,19,FALSE),VLOOKUP($BS94,'État &amp; Plan d''action'!$B$6:$Z$1113,21,FALSE))/(VLOOKUP($BS94,'Données par municipalité'!$B$4:$L$1113,11,FALSE)),"")</f>
        <v>1</v>
      </c>
      <c r="DG94" s="476" t="s">
        <v>4723</v>
      </c>
      <c r="DH94" s="484">
        <v>2</v>
      </c>
      <c r="DI94" s="484">
        <v>1</v>
      </c>
      <c r="DJ94" s="484">
        <v>1</v>
      </c>
      <c r="DK94" s="484">
        <v>1</v>
      </c>
      <c r="DL94" s="484">
        <v>4</v>
      </c>
      <c r="DM94" s="484">
        <v>2</v>
      </c>
      <c r="DN94" s="484">
        <v>0</v>
      </c>
      <c r="DO94" s="484">
        <v>0</v>
      </c>
      <c r="DP94" s="484">
        <v>0</v>
      </c>
      <c r="DQ94" s="484">
        <f>IF(VLOOKUP($BS94,'État &amp; Plan d''action'!$B$6:$AJ$1113,28,FALSE)="","",VLOOKUP($BS94,'État &amp; Plan d''action'!$B$6:$AJ$1113,28,FALSE))</f>
        <v>3</v>
      </c>
      <c r="DR94" s="70">
        <f>IF(VLOOKUP($BS94,'État &amp; Plan d''action'!$B$6:$AJ$1113,29,FALSE)="","",VLOOKUP($BS94,'État &amp; Plan d''action'!$B$6:$AJ$1113,29,FALSE))</f>
        <v>6</v>
      </c>
      <c r="DS94" s="70">
        <f>IF(VLOOKUP($BS94,'État &amp; Plan d''action'!$B$6:$AJ$1113,30,FALSE)="","",VLOOKUP($BS94,'État &amp; Plan d''action'!$B$6:$AJ$1113,30,FALSE))</f>
        <v>0</v>
      </c>
      <c r="DT94" s="70">
        <v>353</v>
      </c>
      <c r="DU94" s="485">
        <v>2.7279963655839703</v>
      </c>
      <c r="DV94" s="485">
        <v>2.1940789799301075</v>
      </c>
      <c r="DW94" s="70">
        <v>0</v>
      </c>
      <c r="DX94" s="70">
        <v>0</v>
      </c>
      <c r="DY94" s="70">
        <v>0</v>
      </c>
      <c r="DZ94" s="70">
        <f>VLOOKUP($BS94,'État &amp; Plan d''action'!$B$6:$AH$1113,31,FALSE)</f>
        <v>1</v>
      </c>
      <c r="EA94" s="70">
        <f>VLOOKUP($BS94,'État &amp; Plan d''action'!$B$6:$AH$1113,32,FALSE)</f>
        <v>25</v>
      </c>
      <c r="EB94" s="70">
        <f>VLOOKUP($BS94,'État &amp; Plan d''action'!$B$6:$AH$1113,33,FALSE)</f>
        <v>0</v>
      </c>
      <c r="EC94" s="70">
        <v>22.579000000000001</v>
      </c>
      <c r="ED94" s="70">
        <v>0</v>
      </c>
      <c r="EE94" s="70">
        <v>0</v>
      </c>
      <c r="EF94" s="70">
        <v>0</v>
      </c>
      <c r="EG94" s="70">
        <v>0</v>
      </c>
      <c r="EH94" s="72">
        <v>62</v>
      </c>
      <c r="EI94" s="72">
        <v>2032</v>
      </c>
    </row>
    <row r="95" spans="1:139" x14ac:dyDescent="0.35">
      <c r="A95" s="1"/>
      <c r="B95"/>
      <c r="C95"/>
      <c r="D95"/>
      <c r="E95"/>
      <c r="F95"/>
      <c r="G95"/>
      <c r="H95"/>
      <c r="I95"/>
      <c r="J95"/>
      <c r="K95"/>
      <c r="L95"/>
      <c r="M95"/>
      <c r="N95"/>
      <c r="O95" s="70"/>
      <c r="P95" s="70"/>
      <c r="Q95" s="70"/>
      <c r="R95" s="70"/>
      <c r="S95" s="95"/>
      <c r="T95" s="70"/>
      <c r="W95" s="418" t="str">
        <f>IF(X95="Non
disponible","Non
disponible",IF(SUM(X94:X95)=0,"Aucun branchement résidentiel",TEXT(X95,"# ##0")&amp;" branchements équipés de compteurs (" &amp;TEXT((X95/SUM(X94:X95)),"0%")&amp;")"))</f>
        <v>243 369 branchements équipés de compteurs (13%)</v>
      </c>
      <c r="X95" s="440">
        <f>IF(W21="",SUM('État &amp; Plan d''action'!$CA$6:$CB$1113),IF(AF25="non","Non
disponible",IF(AF25="oui",VLOOKUP(W21,'État &amp; Plan d''action'!$B$6:$CC$1113,79,FALSE)+VLOOKUP(W21,'État &amp; Plan d''action'!$B$6:$CC$1113,78,FALSE),"Non
disponible")))</f>
        <v>243369</v>
      </c>
      <c r="Z95" s="418"/>
      <c r="AA95" s="440"/>
      <c r="AC95" s="418"/>
      <c r="AD95" s="504"/>
      <c r="AE95" s="504"/>
      <c r="AF95" s="504"/>
      <c r="BS95" s="486">
        <v>18045</v>
      </c>
      <c r="BT95" s="479" t="s">
        <v>112</v>
      </c>
      <c r="BU95" s="479">
        <v>12</v>
      </c>
      <c r="BV95" s="476" t="s">
        <v>1187</v>
      </c>
      <c r="BW95" s="476" t="s">
        <v>1187</v>
      </c>
      <c r="BX95" s="476" t="s">
        <v>1187</v>
      </c>
      <c r="BY95" s="476" t="s">
        <v>1187</v>
      </c>
      <c r="BZ95" s="476" t="s">
        <v>1187</v>
      </c>
      <c r="CA95" s="476" t="s">
        <v>1187</v>
      </c>
      <c r="CB95" s="476" t="s">
        <v>1187</v>
      </c>
      <c r="CC95" s="476" t="s">
        <v>1187</v>
      </c>
      <c r="CD95" s="476" t="s">
        <v>1187</v>
      </c>
      <c r="CE95" s="476" t="s">
        <v>1188</v>
      </c>
      <c r="CF95" s="476" t="s">
        <v>1188</v>
      </c>
      <c r="CG95" s="476" t="s">
        <v>1187</v>
      </c>
      <c r="CH95" s="476" t="s">
        <v>1187</v>
      </c>
      <c r="CI95" s="476" t="s">
        <v>1188</v>
      </c>
      <c r="CJ95" s="476" t="s">
        <v>1188</v>
      </c>
      <c r="CK95" s="476" t="s">
        <v>1187</v>
      </c>
      <c r="CL95" s="476" t="s">
        <v>1188</v>
      </c>
      <c r="CM95" s="476" t="str">
        <f>IF(VLOOKUP(BS95,'Données par municipalité'!$B$6:$E$1113,4,FALSE)="","non","oui")</f>
        <v>oui</v>
      </c>
      <c r="CN95" s="410">
        <v>611.42792547451927</v>
      </c>
      <c r="CO95" s="410">
        <v>517.34051649162006</v>
      </c>
      <c r="CP95" s="410"/>
      <c r="CQ95" s="410"/>
      <c r="CR95" s="410">
        <v>592.06134169337747</v>
      </c>
      <c r="CS95" s="410">
        <v>899.62930230274458</v>
      </c>
      <c r="CT95" s="410"/>
      <c r="CU95" s="410">
        <v>459</v>
      </c>
      <c r="CV95" s="410">
        <f>IF(VLOOKUP(BS95,'Données par municipalité'!$B$6:$F$1113,4,FALSE)="","",VLOOKUP(BS95,'Données par municipalité'!$B$6:$F$1113,4,FALSE))</f>
        <v>464</v>
      </c>
      <c r="CW95" s="476" t="s">
        <v>4723</v>
      </c>
      <c r="CX95" s="483">
        <v>0</v>
      </c>
      <c r="CY95" s="483" t="s">
        <v>1124</v>
      </c>
      <c r="CZ95" s="483" t="s">
        <v>1124</v>
      </c>
      <c r="DA95" s="483">
        <v>0</v>
      </c>
      <c r="DB95" s="483">
        <v>1</v>
      </c>
      <c r="DC95" s="483" t="s">
        <v>1124</v>
      </c>
      <c r="DD95" s="483">
        <v>1</v>
      </c>
      <c r="DE95" s="483">
        <f>IFERROR(SUM(VLOOKUP($BS95,'État &amp; Plan d''action'!$B$6:$Z$1113,18,FALSE),VLOOKUP($BS95,'État &amp; Plan d''action'!$B$6:$Z$1113,20,FALSE))/(VLOOKUP($BS95,'Données par municipalité'!$B$4:$L$1113,11,FALSE)),"")</f>
        <v>0</v>
      </c>
      <c r="DF95" s="483">
        <f>IFERROR(SUM(VLOOKUP($BS95,'État &amp; Plan d''action'!$B$6:$Z$1113,19,FALSE),VLOOKUP($BS95,'État &amp; Plan d''action'!$B$6:$Z$1113,21,FALSE))/(VLOOKUP($BS95,'Données par municipalité'!$B$4:$L$1113,11,FALSE)),"")</f>
        <v>1</v>
      </c>
      <c r="DG95" s="476" t="s">
        <v>4723</v>
      </c>
      <c r="DH95" s="484">
        <v>7</v>
      </c>
      <c r="DI95" s="484" t="s">
        <v>1124</v>
      </c>
      <c r="DJ95" s="484">
        <v>0</v>
      </c>
      <c r="DK95" s="484">
        <v>6</v>
      </c>
      <c r="DL95" s="484">
        <v>5</v>
      </c>
      <c r="DM95" s="484" t="s">
        <v>1124</v>
      </c>
      <c r="DN95" s="484">
        <v>6</v>
      </c>
      <c r="DO95" s="484">
        <v>0</v>
      </c>
      <c r="DP95" s="484">
        <v>0</v>
      </c>
      <c r="DQ95" s="484">
        <f>IF(VLOOKUP($BS95,'État &amp; Plan d''action'!$B$6:$AJ$1113,28,FALSE)="","",VLOOKUP($BS95,'État &amp; Plan d''action'!$B$6:$AJ$1113,28,FALSE))</f>
        <v>7</v>
      </c>
      <c r="DR95" s="70">
        <f>IF(VLOOKUP($BS95,'État &amp; Plan d''action'!$B$6:$AJ$1113,29,FALSE)="","",VLOOKUP($BS95,'État &amp; Plan d''action'!$B$6:$AJ$1113,29,FALSE))</f>
        <v>0</v>
      </c>
      <c r="DS95" s="70">
        <f>IF(VLOOKUP($BS95,'État &amp; Plan d''action'!$B$6:$AJ$1113,30,FALSE)="","",VLOOKUP($BS95,'État &amp; Plan d''action'!$B$6:$AJ$1113,30,FALSE))</f>
        <v>0</v>
      </c>
      <c r="DT95" s="70">
        <v>157</v>
      </c>
      <c r="DU95" s="485">
        <v>9.4917176216706629</v>
      </c>
      <c r="DV95" s="485">
        <v>10.733453533520931</v>
      </c>
      <c r="DW95" s="70">
        <v>1</v>
      </c>
      <c r="DX95" s="70">
        <v>0</v>
      </c>
      <c r="DY95" s="70">
        <v>0</v>
      </c>
      <c r="DZ95" s="70">
        <f>VLOOKUP($BS95,'État &amp; Plan d''action'!$B$6:$AH$1113,31,FALSE)</f>
        <v>1</v>
      </c>
      <c r="EA95" s="70">
        <f>VLOOKUP($BS95,'État &amp; Plan d''action'!$B$6:$AH$1113,32,FALSE)</f>
        <v>0</v>
      </c>
      <c r="EB95" s="70">
        <f>VLOOKUP($BS95,'État &amp; Plan d''action'!$B$6:$AH$1113,33,FALSE)</f>
        <v>0</v>
      </c>
      <c r="EC95" s="70">
        <v>0</v>
      </c>
      <c r="ED95" s="70">
        <v>0</v>
      </c>
      <c r="EE95" s="70">
        <v>19.969000000000001</v>
      </c>
      <c r="EF95" s="70">
        <v>0</v>
      </c>
      <c r="EG95" s="70">
        <v>0</v>
      </c>
      <c r="EH95" s="72">
        <v>45</v>
      </c>
      <c r="EI95" s="72">
        <v>3128</v>
      </c>
    </row>
    <row r="96" spans="1:139" x14ac:dyDescent="0.35">
      <c r="A96" s="1"/>
      <c r="B96"/>
      <c r="C96"/>
      <c r="D96"/>
      <c r="E96"/>
      <c r="F96"/>
      <c r="G96"/>
      <c r="H96"/>
      <c r="I96"/>
      <c r="J96"/>
      <c r="K96"/>
      <c r="L96"/>
      <c r="M96"/>
      <c r="N96"/>
      <c r="O96" s="70"/>
      <c r="P96" s="70"/>
      <c r="Q96" s="70"/>
      <c r="R96" s="70"/>
      <c r="S96" s="95"/>
      <c r="T96" s="70"/>
      <c r="Y96" s="418"/>
      <c r="Z96" s="418"/>
      <c r="AA96" s="418"/>
      <c r="AB96" s="418"/>
      <c r="AC96" s="418"/>
      <c r="AD96" s="504"/>
      <c r="AE96" s="504"/>
      <c r="AF96" s="504"/>
      <c r="BS96" s="486">
        <v>34030</v>
      </c>
      <c r="BT96" s="479" t="s">
        <v>288</v>
      </c>
      <c r="BU96" s="479">
        <v>3</v>
      </c>
      <c r="BV96" s="476" t="s">
        <v>1187</v>
      </c>
      <c r="BW96" s="476" t="s">
        <v>1187</v>
      </c>
      <c r="BX96" s="476" t="s">
        <v>1187</v>
      </c>
      <c r="BY96" s="476" t="s">
        <v>1187</v>
      </c>
      <c r="BZ96" s="476" t="s">
        <v>1187</v>
      </c>
      <c r="CA96" s="476" t="s">
        <v>1187</v>
      </c>
      <c r="CB96" s="476" t="s">
        <v>1187</v>
      </c>
      <c r="CC96" s="476" t="s">
        <v>1187</v>
      </c>
      <c r="CD96" s="476" t="s">
        <v>1187</v>
      </c>
      <c r="CE96" s="476" t="s">
        <v>1188</v>
      </c>
      <c r="CF96" s="476" t="s">
        <v>1188</v>
      </c>
      <c r="CG96" s="476" t="s">
        <v>1187</v>
      </c>
      <c r="CH96" s="476" t="s">
        <v>1187</v>
      </c>
      <c r="CI96" s="476" t="s">
        <v>1188</v>
      </c>
      <c r="CJ96" s="476" t="s">
        <v>1188</v>
      </c>
      <c r="CK96" s="476" t="s">
        <v>1188</v>
      </c>
      <c r="CL96" s="476" t="s">
        <v>1188</v>
      </c>
      <c r="CM96" s="476" t="str">
        <f>IF(VLOOKUP(BS96,'Données par municipalité'!$B$6:$E$1113,4,FALSE)="","non","oui")</f>
        <v>oui</v>
      </c>
      <c r="CN96" s="410">
        <v>434.54277274344349</v>
      </c>
      <c r="CO96" s="410">
        <v>398.67687609810457</v>
      </c>
      <c r="CP96" s="410"/>
      <c r="CQ96" s="410"/>
      <c r="CR96" s="410">
        <v>266.88075866101138</v>
      </c>
      <c r="CS96" s="410">
        <v>236.57271463543145</v>
      </c>
      <c r="CT96" s="410">
        <v>243.01409866371461</v>
      </c>
      <c r="CU96" s="410">
        <v>299</v>
      </c>
      <c r="CV96" s="410">
        <f>IF(VLOOKUP(BS96,'Données par municipalité'!$B$6:$F$1113,4,FALSE)="","",VLOOKUP(BS96,'Données par municipalité'!$B$6:$F$1113,4,FALSE))</f>
        <v>237</v>
      </c>
      <c r="CW96" s="476" t="s">
        <v>4723</v>
      </c>
      <c r="CX96" s="483">
        <v>0</v>
      </c>
      <c r="CY96" s="483" t="s">
        <v>1124</v>
      </c>
      <c r="CZ96" s="483" t="s">
        <v>1124</v>
      </c>
      <c r="DA96" s="483">
        <v>1</v>
      </c>
      <c r="DB96" s="483">
        <v>1</v>
      </c>
      <c r="DC96" s="483">
        <v>0.5</v>
      </c>
      <c r="DD96" s="483">
        <v>0</v>
      </c>
      <c r="DE96" s="483">
        <f>IFERROR(SUM(VLOOKUP($BS96,'État &amp; Plan d''action'!$B$6:$Z$1113,18,FALSE),VLOOKUP($BS96,'État &amp; Plan d''action'!$B$6:$Z$1113,20,FALSE))/(VLOOKUP($BS96,'Données par municipalité'!$B$4:$L$1113,11,FALSE)),"")</f>
        <v>0</v>
      </c>
      <c r="DF96" s="483">
        <f>IFERROR(SUM(VLOOKUP($BS96,'État &amp; Plan d''action'!$B$6:$Z$1113,19,FALSE),VLOOKUP($BS96,'État &amp; Plan d''action'!$B$6:$Z$1113,21,FALSE))/(VLOOKUP($BS96,'Données par municipalité'!$B$4:$L$1113,11,FALSE)),"")</f>
        <v>0</v>
      </c>
      <c r="DG96" s="476" t="s">
        <v>4723</v>
      </c>
      <c r="DH96" s="484">
        <v>3</v>
      </c>
      <c r="DI96" s="484" t="s">
        <v>1124</v>
      </c>
      <c r="DJ96" s="484">
        <v>0</v>
      </c>
      <c r="DK96" s="484">
        <v>7</v>
      </c>
      <c r="DL96" s="484">
        <v>7</v>
      </c>
      <c r="DM96" s="484">
        <v>6</v>
      </c>
      <c r="DN96" s="484">
        <v>3</v>
      </c>
      <c r="DO96" s="484">
        <v>2</v>
      </c>
      <c r="DP96" s="484">
        <v>2</v>
      </c>
      <c r="DQ96" s="484">
        <f>IF(VLOOKUP($BS96,'État &amp; Plan d''action'!$B$6:$AJ$1113,28,FALSE)="","",VLOOKUP($BS96,'État &amp; Plan d''action'!$B$6:$AJ$1113,28,FALSE))</f>
        <v>3</v>
      </c>
      <c r="DR96" s="70">
        <f>IF(VLOOKUP($BS96,'État &amp; Plan d''action'!$B$6:$AJ$1113,29,FALSE)="","",VLOOKUP($BS96,'État &amp; Plan d''action'!$B$6:$AJ$1113,29,FALSE))</f>
        <v>3</v>
      </c>
      <c r="DS96" s="70">
        <f>IF(VLOOKUP($BS96,'État &amp; Plan d''action'!$B$6:$AJ$1113,30,FALSE)="","",VLOOKUP($BS96,'État &amp; Plan d''action'!$B$6:$AJ$1113,30,FALSE))</f>
        <v>0</v>
      </c>
      <c r="DT96" s="70">
        <v>235</v>
      </c>
      <c r="DU96" s="485">
        <v>1.6757178492342517</v>
      </c>
      <c r="DV96" s="485">
        <v>1.3467055456294814</v>
      </c>
      <c r="DW96" s="70">
        <v>1</v>
      </c>
      <c r="DX96" s="70">
        <v>1</v>
      </c>
      <c r="DY96" s="70">
        <v>1</v>
      </c>
      <c r="DZ96" s="70">
        <f>VLOOKUP($BS96,'État &amp; Plan d''action'!$B$6:$AH$1113,31,FALSE)</f>
        <v>1</v>
      </c>
      <c r="EA96" s="70">
        <f>VLOOKUP($BS96,'État &amp; Plan d''action'!$B$6:$AH$1113,32,FALSE)</f>
        <v>4</v>
      </c>
      <c r="EB96" s="70">
        <f>VLOOKUP($BS96,'État &amp; Plan d''action'!$B$6:$AH$1113,33,FALSE)</f>
        <v>0</v>
      </c>
      <c r="EC96" s="70">
        <v>0</v>
      </c>
      <c r="ED96" s="70">
        <v>0</v>
      </c>
      <c r="EE96" s="70">
        <v>0</v>
      </c>
      <c r="EF96" s="70">
        <v>0</v>
      </c>
      <c r="EG96" s="70">
        <v>0</v>
      </c>
      <c r="EH96" s="72">
        <v>59</v>
      </c>
      <c r="EI96" s="72">
        <v>3495</v>
      </c>
    </row>
    <row r="97" spans="1:139" ht="57" customHeight="1" x14ac:dyDescent="0.35">
      <c r="A97" s="1"/>
      <c r="B97"/>
      <c r="C97"/>
      <c r="D97"/>
      <c r="E97"/>
      <c r="F97"/>
      <c r="G97"/>
      <c r="H97"/>
      <c r="I97"/>
      <c r="J97"/>
      <c r="K97"/>
      <c r="L97"/>
      <c r="M97"/>
      <c r="N97"/>
      <c r="O97" s="70"/>
      <c r="P97" s="70"/>
      <c r="Q97" s="70"/>
      <c r="R97" s="70"/>
      <c r="S97" s="95"/>
      <c r="T97" s="70"/>
      <c r="Y97" s="418"/>
      <c r="Z97" s="418"/>
      <c r="AA97" s="418"/>
      <c r="AB97" s="418"/>
      <c r="AC97" s="418"/>
      <c r="AD97" s="504"/>
      <c r="AE97" s="504"/>
      <c r="AF97" s="504"/>
      <c r="BS97" s="486">
        <v>57010</v>
      </c>
      <c r="BT97" s="479" t="s">
        <v>582</v>
      </c>
      <c r="BU97" s="479">
        <v>16</v>
      </c>
      <c r="BV97" s="476" t="s">
        <v>1187</v>
      </c>
      <c r="BW97" s="476" t="s">
        <v>1187</v>
      </c>
      <c r="BX97" s="476" t="s">
        <v>1187</v>
      </c>
      <c r="BY97" s="476" t="s">
        <v>1187</v>
      </c>
      <c r="BZ97" s="476" t="s">
        <v>1187</v>
      </c>
      <c r="CA97" s="476" t="s">
        <v>1187</v>
      </c>
      <c r="CB97" s="476" t="s">
        <v>1187</v>
      </c>
      <c r="CC97" s="476" t="s">
        <v>1187</v>
      </c>
      <c r="CD97" s="476" t="s">
        <v>1187</v>
      </c>
      <c r="CE97" s="476" t="s">
        <v>1188</v>
      </c>
      <c r="CF97" s="476" t="s">
        <v>1188</v>
      </c>
      <c r="CG97" s="476" t="s">
        <v>1187</v>
      </c>
      <c r="CH97" s="476" t="s">
        <v>1188</v>
      </c>
      <c r="CI97" s="476" t="s">
        <v>1187</v>
      </c>
      <c r="CJ97" s="476" t="s">
        <v>1187</v>
      </c>
      <c r="CK97" s="476" t="s">
        <v>1187</v>
      </c>
      <c r="CL97" s="476" t="s">
        <v>1188</v>
      </c>
      <c r="CM97" s="476" t="str">
        <f>IF(VLOOKUP(BS97,'Données par municipalité'!$B$6:$E$1113,4,FALSE)="","non","oui")</f>
        <v>oui</v>
      </c>
      <c r="CN97" s="410">
        <v>418.4631090766843</v>
      </c>
      <c r="CO97" s="410">
        <v>382.84983600580654</v>
      </c>
      <c r="CP97" s="410"/>
      <c r="CQ97" s="410">
        <v>303.67321539378628</v>
      </c>
      <c r="CR97" s="410"/>
      <c r="CS97" s="410" t="s">
        <v>1124</v>
      </c>
      <c r="CT97" s="410"/>
      <c r="CU97" s="410">
        <v>290</v>
      </c>
      <c r="CV97" s="410">
        <f>IF(VLOOKUP(BS97,'Données par municipalité'!$B$6:$F$1113,4,FALSE)="","",VLOOKUP(BS97,'Données par municipalité'!$B$6:$F$1113,4,FALSE))</f>
        <v>292</v>
      </c>
      <c r="CW97" s="476" t="s">
        <v>4723</v>
      </c>
      <c r="CX97" s="483">
        <v>0.12</v>
      </c>
      <c r="CY97" s="483" t="s">
        <v>1124</v>
      </c>
      <c r="CZ97" s="483">
        <v>0</v>
      </c>
      <c r="DA97" s="483" t="s">
        <v>1124</v>
      </c>
      <c r="DB97" s="483" t="s">
        <v>1124</v>
      </c>
      <c r="DC97" s="483" t="s">
        <v>1124</v>
      </c>
      <c r="DD97" s="483">
        <v>0</v>
      </c>
      <c r="DE97" s="483">
        <f>IFERROR(SUM(VLOOKUP($BS97,'État &amp; Plan d''action'!$B$6:$Z$1113,18,FALSE),VLOOKUP($BS97,'État &amp; Plan d''action'!$B$6:$Z$1113,20,FALSE))/(VLOOKUP($BS97,'Données par municipalité'!$B$4:$L$1113,11,FALSE)),"")</f>
        <v>1</v>
      </c>
      <c r="DF97" s="483">
        <f>IFERROR(SUM(VLOOKUP($BS97,'État &amp; Plan d''action'!$B$6:$Z$1113,19,FALSE),VLOOKUP($BS97,'État &amp; Plan d''action'!$B$6:$Z$1113,21,FALSE))/(VLOOKUP($BS97,'Données par municipalité'!$B$4:$L$1113,11,FALSE)),"")</f>
        <v>0</v>
      </c>
      <c r="DG97" s="476" t="s">
        <v>4723</v>
      </c>
      <c r="DH97" s="484">
        <v>6</v>
      </c>
      <c r="DI97" s="484" t="s">
        <v>1124</v>
      </c>
      <c r="DJ97" s="484">
        <v>0</v>
      </c>
      <c r="DK97" s="484">
        <v>0</v>
      </c>
      <c r="DL97" s="484" t="s">
        <v>1124</v>
      </c>
      <c r="DM97" s="484" t="s">
        <v>1124</v>
      </c>
      <c r="DN97" s="484">
        <v>3</v>
      </c>
      <c r="DO97" s="484">
        <v>0</v>
      </c>
      <c r="DP97" s="484">
        <v>0</v>
      </c>
      <c r="DQ97" s="484">
        <f>IF(VLOOKUP($BS97,'État &amp; Plan d''action'!$B$6:$AJ$1113,28,FALSE)="","",VLOOKUP($BS97,'État &amp; Plan d''action'!$B$6:$AJ$1113,28,FALSE))</f>
        <v>0</v>
      </c>
      <c r="DR97" s="70">
        <f>IF(VLOOKUP($BS97,'État &amp; Plan d''action'!$B$6:$AJ$1113,29,FALSE)="","",VLOOKUP($BS97,'État &amp; Plan d''action'!$B$6:$AJ$1113,29,FALSE))</f>
        <v>0</v>
      </c>
      <c r="DS97" s="70">
        <f>IF(VLOOKUP($BS97,'État &amp; Plan d''action'!$B$6:$AJ$1113,30,FALSE)="","",VLOOKUP($BS97,'État &amp; Plan d''action'!$B$6:$AJ$1113,30,FALSE))</f>
        <v>0</v>
      </c>
      <c r="DT97" s="70">
        <v>232</v>
      </c>
      <c r="DU97" s="485">
        <v>1.8065628863124383</v>
      </c>
      <c r="DV97" s="485">
        <v>1.1334600427939718</v>
      </c>
      <c r="DW97" s="70">
        <v>1</v>
      </c>
      <c r="DX97" s="70">
        <v>0</v>
      </c>
      <c r="DY97" s="70">
        <v>0</v>
      </c>
      <c r="DZ97" s="70">
        <f>VLOOKUP($BS97,'État &amp; Plan d''action'!$B$6:$AH$1113,31,FALSE)</f>
        <v>0</v>
      </c>
      <c r="EA97" s="70">
        <f>VLOOKUP($BS97,'État &amp; Plan d''action'!$B$6:$AH$1113,32,FALSE)</f>
        <v>0</v>
      </c>
      <c r="EB97" s="70">
        <f>VLOOKUP($BS97,'État &amp; Plan d''action'!$B$6:$AH$1113,33,FALSE)</f>
        <v>0</v>
      </c>
      <c r="EC97" s="70">
        <v>0</v>
      </c>
      <c r="ED97" s="70">
        <v>0</v>
      </c>
      <c r="EE97" s="70">
        <v>0</v>
      </c>
      <c r="EF97" s="70">
        <v>0</v>
      </c>
      <c r="EG97" s="70">
        <v>0</v>
      </c>
      <c r="EH97" s="72">
        <v>50.036700217936364</v>
      </c>
      <c r="EI97" s="72">
        <v>10538</v>
      </c>
    </row>
    <row r="98" spans="1:139" ht="36" customHeight="1" x14ac:dyDescent="0.35">
      <c r="A98" s="1"/>
      <c r="B98"/>
      <c r="C98"/>
      <c r="D98"/>
      <c r="E98"/>
      <c r="F98"/>
      <c r="G98"/>
      <c r="H98"/>
      <c r="I98"/>
      <c r="J98"/>
      <c r="K98"/>
      <c r="L98"/>
      <c r="M98"/>
      <c r="N98"/>
      <c r="O98" s="70"/>
      <c r="P98" s="70"/>
      <c r="Q98" s="70"/>
      <c r="R98" s="70"/>
      <c r="S98" s="95"/>
      <c r="T98" s="70"/>
      <c r="W98" s="70">
        <v>37.43</v>
      </c>
      <c r="AB98" s="418"/>
      <c r="AC98" s="418"/>
      <c r="AD98" s="504"/>
      <c r="AE98" s="504"/>
      <c r="AF98" s="504"/>
      <c r="BS98" s="486">
        <v>6013</v>
      </c>
      <c r="BT98" s="479" t="s">
        <v>1058</v>
      </c>
      <c r="BU98" s="479">
        <v>11</v>
      </c>
      <c r="BV98" s="476" t="s">
        <v>1187</v>
      </c>
      <c r="BW98" s="476" t="s">
        <v>1187</v>
      </c>
      <c r="BX98" s="476" t="s">
        <v>1187</v>
      </c>
      <c r="BY98" s="476" t="s">
        <v>1187</v>
      </c>
      <c r="BZ98" s="476" t="s">
        <v>1187</v>
      </c>
      <c r="CA98" s="476" t="s">
        <v>1187</v>
      </c>
      <c r="CB98" s="476" t="s">
        <v>1187</v>
      </c>
      <c r="CC98" s="476" t="s">
        <v>1187</v>
      </c>
      <c r="CD98" s="476" t="s">
        <v>1187</v>
      </c>
      <c r="CE98" s="476" t="s">
        <v>1188</v>
      </c>
      <c r="CF98" s="476" t="s">
        <v>1188</v>
      </c>
      <c r="CG98" s="476" t="s">
        <v>1188</v>
      </c>
      <c r="CH98" s="476" t="s">
        <v>1188</v>
      </c>
      <c r="CI98" s="476" t="s">
        <v>1187</v>
      </c>
      <c r="CJ98" s="476" t="s">
        <v>1188</v>
      </c>
      <c r="CK98" s="476" t="s">
        <v>1188</v>
      </c>
      <c r="CL98" s="476" t="s">
        <v>1187</v>
      </c>
      <c r="CM98" s="476" t="str">
        <f>IF(VLOOKUP(BS98,'Données par municipalité'!$B$6:$E$1113,4,FALSE)="","non","oui")</f>
        <v>oui</v>
      </c>
      <c r="CN98" s="410">
        <v>882.58212897728208</v>
      </c>
      <c r="CO98" s="410">
        <v>899.82769415762755</v>
      </c>
      <c r="CP98" s="410">
        <v>796.80866929810281</v>
      </c>
      <c r="CQ98" s="410">
        <v>634.16557149403047</v>
      </c>
      <c r="CR98" s="410"/>
      <c r="CS98" s="410">
        <v>754.94550740520879</v>
      </c>
      <c r="CT98" s="410">
        <v>607.48854395966532</v>
      </c>
      <c r="CU98" s="410" t="s">
        <v>1124</v>
      </c>
      <c r="CV98" s="410">
        <f>IF(VLOOKUP(BS98,'Données par municipalité'!$B$6:$F$1113,4,FALSE)="","",VLOOKUP(BS98,'Données par municipalité'!$B$6:$F$1113,4,FALSE))</f>
        <v>746</v>
      </c>
      <c r="CW98" s="476" t="s">
        <v>4723</v>
      </c>
      <c r="CX98" s="483">
        <v>0.1</v>
      </c>
      <c r="CY98" s="483">
        <v>0.85</v>
      </c>
      <c r="CZ98" s="483">
        <v>1</v>
      </c>
      <c r="DA98" s="483" t="s">
        <v>1124</v>
      </c>
      <c r="DB98" s="483">
        <v>1</v>
      </c>
      <c r="DC98" s="483">
        <v>1</v>
      </c>
      <c r="DD98" s="483" t="s">
        <v>1124</v>
      </c>
      <c r="DE98" s="483">
        <f>IFERROR(SUM(VLOOKUP($BS98,'État &amp; Plan d''action'!$B$6:$Z$1113,18,FALSE),VLOOKUP($BS98,'État &amp; Plan d''action'!$B$6:$Z$1113,20,FALSE))/(VLOOKUP($BS98,'Données par municipalité'!$B$4:$L$1113,11,FALSE)),"")</f>
        <v>0.75471698113207542</v>
      </c>
      <c r="DF98" s="483">
        <f>IFERROR(SUM(VLOOKUP($BS98,'État &amp; Plan d''action'!$B$6:$Z$1113,19,FALSE),VLOOKUP($BS98,'État &amp; Plan d''action'!$B$6:$Z$1113,21,FALSE))/(VLOOKUP($BS98,'Données par municipalité'!$B$4:$L$1113,11,FALSE)),"")</f>
        <v>2.0248504371836171</v>
      </c>
      <c r="DG98" s="476" t="s">
        <v>4723</v>
      </c>
      <c r="DH98" s="484">
        <v>6</v>
      </c>
      <c r="DI98" s="484">
        <v>5</v>
      </c>
      <c r="DJ98" s="484">
        <v>4</v>
      </c>
      <c r="DK98" s="484">
        <v>0</v>
      </c>
      <c r="DL98" s="484">
        <v>9</v>
      </c>
      <c r="DM98" s="484">
        <v>11</v>
      </c>
      <c r="DN98" s="484" t="s">
        <v>1124</v>
      </c>
      <c r="DO98" s="484" t="s">
        <v>1124</v>
      </c>
      <c r="DP98" s="484" t="s">
        <v>1124</v>
      </c>
      <c r="DQ98" s="484">
        <f>IF(VLOOKUP($BS98,'État &amp; Plan d''action'!$B$6:$AJ$1113,28,FALSE)="","",VLOOKUP($BS98,'État &amp; Plan d''action'!$B$6:$AJ$1113,28,FALSE))</f>
        <v>4</v>
      </c>
      <c r="DR98" s="70">
        <f>IF(VLOOKUP($BS98,'État &amp; Plan d''action'!$B$6:$AJ$1113,29,FALSE)="","",VLOOKUP($BS98,'État &amp; Plan d''action'!$B$6:$AJ$1113,29,FALSE))</f>
        <v>6</v>
      </c>
      <c r="DS98" s="70">
        <f>IF(VLOOKUP($BS98,'État &amp; Plan d''action'!$B$6:$AJ$1113,30,FALSE)="","",VLOOKUP($BS98,'État &amp; Plan d''action'!$B$6:$AJ$1113,30,FALSE))</f>
        <v>0</v>
      </c>
      <c r="DT98" s="70" t="s">
        <v>1124</v>
      </c>
      <c r="DU98" s="485" t="s">
        <v>1124</v>
      </c>
      <c r="DV98" s="485">
        <v>6.4113644376513399</v>
      </c>
      <c r="DW98" s="70" t="s">
        <v>1124</v>
      </c>
      <c r="DX98" s="70" t="s">
        <v>1124</v>
      </c>
      <c r="DY98" s="70" t="s">
        <v>1124</v>
      </c>
      <c r="DZ98" s="70">
        <f>VLOOKUP($BS98,'État &amp; Plan d''action'!$B$6:$AH$1113,31,FALSE)</f>
        <v>2</v>
      </c>
      <c r="EA98" s="70">
        <f>VLOOKUP($BS98,'État &amp; Plan d''action'!$B$6:$AH$1113,32,FALSE)</f>
        <v>2</v>
      </c>
      <c r="EB98" s="70">
        <f>VLOOKUP($BS98,'État &amp; Plan d''action'!$B$6:$AH$1113,33,FALSE)</f>
        <v>0</v>
      </c>
      <c r="EC98" s="70" t="s">
        <v>1124</v>
      </c>
      <c r="ED98" s="70" t="s">
        <v>1124</v>
      </c>
      <c r="EE98" s="70" t="s">
        <v>1124</v>
      </c>
      <c r="EF98" s="70" t="s">
        <v>1124</v>
      </c>
      <c r="EG98" s="70" t="s">
        <v>1124</v>
      </c>
      <c r="EH98" s="72"/>
      <c r="EI98" s="72">
        <v>4036</v>
      </c>
    </row>
    <row r="99" spans="1:139" ht="36" customHeight="1" x14ac:dyDescent="0.35">
      <c r="A99" s="1"/>
      <c r="B99"/>
      <c r="C99"/>
      <c r="D99"/>
      <c r="E99"/>
      <c r="F99"/>
      <c r="G99"/>
      <c r="H99"/>
      <c r="I99"/>
      <c r="J99"/>
      <c r="K99"/>
      <c r="L99"/>
      <c r="M99"/>
      <c r="N99"/>
      <c r="O99" s="70"/>
      <c r="P99" s="70"/>
      <c r="Q99" s="70"/>
      <c r="R99" s="70"/>
      <c r="S99" s="95"/>
      <c r="T99" s="70"/>
      <c r="AB99" s="418"/>
      <c r="AC99" s="418"/>
      <c r="AD99" s="418"/>
      <c r="AE99" s="418"/>
      <c r="AF99" s="418"/>
      <c r="AG99" s="442"/>
      <c r="AH99" s="442"/>
      <c r="AI99" s="442"/>
      <c r="BS99" s="486">
        <v>5077</v>
      </c>
      <c r="BT99" s="479" t="s">
        <v>1056</v>
      </c>
      <c r="BU99" s="479">
        <v>11</v>
      </c>
      <c r="BV99" s="476" t="s">
        <v>1188</v>
      </c>
      <c r="BW99" s="476" t="s">
        <v>1188</v>
      </c>
      <c r="BX99" s="476" t="s">
        <v>1188</v>
      </c>
      <c r="BY99" s="476" t="s">
        <v>1188</v>
      </c>
      <c r="BZ99" s="476" t="s">
        <v>1188</v>
      </c>
      <c r="CA99" s="476" t="s">
        <v>1188</v>
      </c>
      <c r="CB99" s="476" t="s">
        <v>1188</v>
      </c>
      <c r="CC99" s="476" t="s">
        <v>1188</v>
      </c>
      <c r="CD99" s="476" t="s">
        <v>1188</v>
      </c>
      <c r="CE99" s="476" t="s">
        <v>1188</v>
      </c>
      <c r="CF99" s="476" t="s">
        <v>1188</v>
      </c>
      <c r="CG99" s="476" t="s">
        <v>1187</v>
      </c>
      <c r="CH99" s="476" t="s">
        <v>1187</v>
      </c>
      <c r="CI99" s="476" t="s">
        <v>1187</v>
      </c>
      <c r="CJ99" s="476" t="s">
        <v>1187</v>
      </c>
      <c r="CK99" s="476" t="s">
        <v>1187</v>
      </c>
      <c r="CL99" s="476" t="s">
        <v>1187</v>
      </c>
      <c r="CM99" s="476" t="str">
        <f>IF(VLOOKUP(BS99,'Données par municipalité'!$B$6:$E$1113,4,FALSE)="","non","oui")</f>
        <v>non</v>
      </c>
      <c r="CN99" s="410">
        <v>755.6</v>
      </c>
      <c r="CO99" s="410">
        <v>717.96108102761912</v>
      </c>
      <c r="CP99" s="410"/>
      <c r="CQ99" s="410"/>
      <c r="CR99" s="410"/>
      <c r="CS99" s="410" t="s">
        <v>1124</v>
      </c>
      <c r="CT99" s="410"/>
      <c r="CU99" s="410" t="s">
        <v>1124</v>
      </c>
      <c r="CV99" s="410" t="str">
        <f>IF(VLOOKUP(BS99,'Données par municipalité'!$B$6:$F$1113,4,FALSE)="","",VLOOKUP(BS99,'Données par municipalité'!$B$6:$F$1113,4,FALSE))</f>
        <v/>
      </c>
      <c r="CW99" s="476" t="s">
        <v>4723</v>
      </c>
      <c r="CX99" s="483" t="s">
        <v>1124</v>
      </c>
      <c r="CY99" s="483" t="s">
        <v>1124</v>
      </c>
      <c r="CZ99" s="483" t="s">
        <v>1124</v>
      </c>
      <c r="DA99" s="483" t="s">
        <v>1124</v>
      </c>
      <c r="DB99" s="483" t="s">
        <v>1124</v>
      </c>
      <c r="DC99" s="483" t="s">
        <v>1124</v>
      </c>
      <c r="DD99" s="483" t="s">
        <v>1124</v>
      </c>
      <c r="DE99" s="483" t="str">
        <f>IFERROR(SUM(VLOOKUP($BS99,'État &amp; Plan d''action'!$B$6:$Z$1113,18,FALSE),VLOOKUP($BS99,'État &amp; Plan d''action'!$B$6:$Z$1113,20,FALSE))/(VLOOKUP($BS99,'Données par municipalité'!$B$4:$L$1113,11,FALSE)),"")</f>
        <v/>
      </c>
      <c r="DF99" s="483" t="str">
        <f>IFERROR(SUM(VLOOKUP($BS99,'État &amp; Plan d''action'!$B$6:$Z$1113,19,FALSE),VLOOKUP($BS99,'État &amp; Plan d''action'!$B$6:$Z$1113,21,FALSE))/(VLOOKUP($BS99,'Données par municipalité'!$B$4:$L$1113,11,FALSE)),"")</f>
        <v/>
      </c>
      <c r="DG99" s="476" t="s">
        <v>4723</v>
      </c>
      <c r="DH99" s="484">
        <v>3</v>
      </c>
      <c r="DI99" s="484" t="s">
        <v>1124</v>
      </c>
      <c r="DJ99" s="484">
        <v>0</v>
      </c>
      <c r="DK99" s="484">
        <v>0</v>
      </c>
      <c r="DL99" s="484" t="s">
        <v>1124</v>
      </c>
      <c r="DM99" s="484" t="s">
        <v>1124</v>
      </c>
      <c r="DN99" s="484" t="s">
        <v>1124</v>
      </c>
      <c r="DO99" s="484" t="s">
        <v>1124</v>
      </c>
      <c r="DP99" s="484" t="s">
        <v>1124</v>
      </c>
      <c r="DQ99" s="484" t="str">
        <f>IF(VLOOKUP($BS99,'État &amp; Plan d''action'!$B$6:$AJ$1113,28,FALSE)="","",VLOOKUP($BS99,'État &amp; Plan d''action'!$B$6:$AJ$1113,28,FALSE))</f>
        <v/>
      </c>
      <c r="DR99" s="70" t="str">
        <f>IF(VLOOKUP($BS99,'État &amp; Plan d''action'!$B$6:$AJ$1113,29,FALSE)="","",VLOOKUP($BS99,'État &amp; Plan d''action'!$B$6:$AJ$1113,29,FALSE))</f>
        <v/>
      </c>
      <c r="DS99" s="70" t="str">
        <f>IF(VLOOKUP($BS99,'État &amp; Plan d''action'!$B$6:$AJ$1113,30,FALSE)="","",VLOOKUP($BS99,'État &amp; Plan d''action'!$B$6:$AJ$1113,30,FALSE))</f>
        <v/>
      </c>
      <c r="DT99" s="70" t="s">
        <v>1124</v>
      </c>
      <c r="DU99" s="485" t="s">
        <v>1124</v>
      </c>
      <c r="DV99" s="485" t="s">
        <v>1124</v>
      </c>
      <c r="DW99" s="70" t="s">
        <v>1124</v>
      </c>
      <c r="DX99" s="70" t="s">
        <v>1124</v>
      </c>
      <c r="DY99" s="70" t="s">
        <v>1124</v>
      </c>
      <c r="DZ99" s="70" t="str">
        <f>VLOOKUP($BS99,'État &amp; Plan d''action'!$B$6:$AH$1113,31,FALSE)</f>
        <v/>
      </c>
      <c r="EA99" s="70" t="str">
        <f>VLOOKUP($BS99,'État &amp; Plan d''action'!$B$6:$AH$1113,32,FALSE)</f>
        <v/>
      </c>
      <c r="EB99" s="70" t="str">
        <f>VLOOKUP($BS99,'État &amp; Plan d''action'!$B$6:$AH$1113,33,FALSE)</f>
        <v/>
      </c>
      <c r="EC99" s="70" t="s">
        <v>1124</v>
      </c>
      <c r="ED99" s="70" t="s">
        <v>1124</v>
      </c>
      <c r="EE99" s="70" t="s">
        <v>1124</v>
      </c>
      <c r="EF99" s="70" t="s">
        <v>1124</v>
      </c>
      <c r="EG99" s="70" t="s">
        <v>1124</v>
      </c>
      <c r="EH99" s="72"/>
      <c r="EI99" s="72">
        <v>730</v>
      </c>
    </row>
    <row r="100" spans="1:139" ht="36" customHeight="1" x14ac:dyDescent="0.35">
      <c r="A100" s="1"/>
      <c r="B100"/>
      <c r="C100"/>
      <c r="D100"/>
      <c r="E100"/>
      <c r="F100"/>
      <c r="G100"/>
      <c r="H100"/>
      <c r="I100"/>
      <c r="J100"/>
      <c r="K100"/>
      <c r="L100"/>
      <c r="M100"/>
      <c r="N100"/>
      <c r="O100" s="70"/>
      <c r="P100" s="70"/>
      <c r="Q100" s="70"/>
      <c r="R100" s="70"/>
      <c r="S100" s="95"/>
      <c r="T100" s="70"/>
      <c r="AB100" s="418"/>
      <c r="AC100" s="418"/>
      <c r="AD100" s="418"/>
      <c r="AE100" s="418"/>
      <c r="AF100" s="418"/>
      <c r="AG100" s="442"/>
      <c r="AH100" s="442"/>
      <c r="AI100" s="442"/>
      <c r="BS100" s="486">
        <v>7018</v>
      </c>
      <c r="BT100" s="479" t="s">
        <v>1070</v>
      </c>
      <c r="BU100" s="479">
        <v>1</v>
      </c>
      <c r="BV100" s="476" t="s">
        <v>1187</v>
      </c>
      <c r="BW100" s="476" t="s">
        <v>1187</v>
      </c>
      <c r="BX100" s="476" t="s">
        <v>1187</v>
      </c>
      <c r="BY100" s="476" t="s">
        <v>1187</v>
      </c>
      <c r="BZ100" s="476" t="s">
        <v>1187</v>
      </c>
      <c r="CA100" s="476" t="s">
        <v>1187</v>
      </c>
      <c r="CB100" s="476" t="s">
        <v>1188</v>
      </c>
      <c r="CC100" s="476" t="s">
        <v>1187</v>
      </c>
      <c r="CD100" s="476" t="s">
        <v>1187</v>
      </c>
      <c r="CE100" s="476" t="s">
        <v>1187</v>
      </c>
      <c r="CF100" s="476" t="s">
        <v>1187</v>
      </c>
      <c r="CG100" s="476" t="s">
        <v>1187</v>
      </c>
      <c r="CH100" s="476" t="s">
        <v>1187</v>
      </c>
      <c r="CI100" s="476" t="s">
        <v>1187</v>
      </c>
      <c r="CJ100" s="476" t="s">
        <v>1187</v>
      </c>
      <c r="CK100" s="476" t="s">
        <v>1187</v>
      </c>
      <c r="CL100" s="476" t="s">
        <v>1187</v>
      </c>
      <c r="CM100" s="476" t="str">
        <f>IF(VLOOKUP(BS100,'Données par municipalité'!$B$6:$E$1113,4,FALSE)="","non","oui")</f>
        <v>oui</v>
      </c>
      <c r="CN100" s="410" t="s">
        <v>1124</v>
      </c>
      <c r="CO100" s="410" t="s">
        <v>1124</v>
      </c>
      <c r="CP100" s="410"/>
      <c r="CQ100" s="410"/>
      <c r="CR100" s="410"/>
      <c r="CS100" s="410" t="s">
        <v>1124</v>
      </c>
      <c r="CT100" s="410"/>
      <c r="CU100" s="410" t="s">
        <v>1124</v>
      </c>
      <c r="CV100" s="410">
        <f>IF(VLOOKUP(BS100,'Données par municipalité'!$B$6:$F$1113,4,FALSE)="","",VLOOKUP(BS100,'Données par municipalité'!$B$6:$F$1113,4,FALSE))</f>
        <v>447</v>
      </c>
      <c r="CW100" s="476" t="s">
        <v>4723</v>
      </c>
      <c r="CX100" s="483" t="s">
        <v>1124</v>
      </c>
      <c r="CY100" s="483" t="s">
        <v>1124</v>
      </c>
      <c r="CZ100" s="483" t="s">
        <v>1124</v>
      </c>
      <c r="DA100" s="483" t="s">
        <v>1124</v>
      </c>
      <c r="DB100" s="483" t="s">
        <v>1124</v>
      </c>
      <c r="DC100" s="483" t="s">
        <v>1124</v>
      </c>
      <c r="DD100" s="483" t="s">
        <v>1124</v>
      </c>
      <c r="DE100" s="483">
        <f>IFERROR(SUM(VLOOKUP($BS100,'État &amp; Plan d''action'!$B$6:$Z$1113,18,FALSE),VLOOKUP($BS100,'État &amp; Plan d''action'!$B$6:$Z$1113,20,FALSE))/(VLOOKUP($BS100,'Données par municipalité'!$B$4:$L$1113,11,FALSE)),"")</f>
        <v>0.732421875</v>
      </c>
      <c r="DF100" s="483">
        <f>IFERROR(SUM(VLOOKUP($BS100,'État &amp; Plan d''action'!$B$6:$Z$1113,19,FALSE),VLOOKUP($BS100,'État &amp; Plan d''action'!$B$6:$Z$1113,21,FALSE))/(VLOOKUP($BS100,'Données par municipalité'!$B$4:$L$1113,11,FALSE)),"")</f>
        <v>0.732421875</v>
      </c>
      <c r="DG100" s="476" t="s">
        <v>4723</v>
      </c>
      <c r="DH100" s="484" t="s">
        <v>1124</v>
      </c>
      <c r="DI100" s="484" t="s">
        <v>1124</v>
      </c>
      <c r="DJ100" s="484">
        <v>0</v>
      </c>
      <c r="DK100" s="484">
        <v>0</v>
      </c>
      <c r="DL100" s="484" t="s">
        <v>1124</v>
      </c>
      <c r="DM100" s="484" t="s">
        <v>1124</v>
      </c>
      <c r="DN100" s="484" t="s">
        <v>1124</v>
      </c>
      <c r="DO100" s="484" t="s">
        <v>1124</v>
      </c>
      <c r="DP100" s="484" t="s">
        <v>1124</v>
      </c>
      <c r="DQ100" s="484">
        <f>IF(VLOOKUP($BS100,'État &amp; Plan d''action'!$B$6:$AJ$1113,28,FALSE)="","",VLOOKUP($BS100,'État &amp; Plan d''action'!$B$6:$AJ$1113,28,FALSE))</f>
        <v>0</v>
      </c>
      <c r="DR100" s="70">
        <f>IF(VLOOKUP($BS100,'État &amp; Plan d''action'!$B$6:$AJ$1113,29,FALSE)="","",VLOOKUP($BS100,'État &amp; Plan d''action'!$B$6:$AJ$1113,29,FALSE))</f>
        <v>0</v>
      </c>
      <c r="DS100" s="70">
        <f>IF(VLOOKUP($BS100,'État &amp; Plan d''action'!$B$6:$AJ$1113,30,FALSE)="","",VLOOKUP($BS100,'État &amp; Plan d''action'!$B$6:$AJ$1113,30,FALSE))</f>
        <v>0</v>
      </c>
      <c r="DT100" s="70" t="s">
        <v>1124</v>
      </c>
      <c r="DU100" s="485" t="s">
        <v>1124</v>
      </c>
      <c r="DV100" s="485">
        <v>1.9653809340395549</v>
      </c>
      <c r="DW100" s="70" t="s">
        <v>1124</v>
      </c>
      <c r="DX100" s="70" t="s">
        <v>1124</v>
      </c>
      <c r="DY100" s="70" t="s">
        <v>1124</v>
      </c>
      <c r="DZ100" s="70">
        <f>VLOOKUP($BS100,'État &amp; Plan d''action'!$B$6:$AH$1113,31,FALSE)</f>
        <v>0</v>
      </c>
      <c r="EA100" s="70">
        <f>VLOOKUP($BS100,'État &amp; Plan d''action'!$B$6:$AH$1113,32,FALSE)</f>
        <v>0</v>
      </c>
      <c r="EB100" s="70">
        <f>VLOOKUP($BS100,'État &amp; Plan d''action'!$B$6:$AH$1113,33,FALSE)</f>
        <v>0</v>
      </c>
      <c r="EC100" s="70" t="s">
        <v>1124</v>
      </c>
      <c r="ED100" s="70" t="s">
        <v>1124</v>
      </c>
      <c r="EE100" s="70" t="s">
        <v>1124</v>
      </c>
      <c r="EF100" s="70" t="s">
        <v>1124</v>
      </c>
      <c r="EG100" s="70" t="s">
        <v>1124</v>
      </c>
      <c r="EH100" s="72"/>
      <c r="EI100" s="72">
        <v>2328</v>
      </c>
    </row>
    <row r="101" spans="1:139" ht="36" customHeight="1" x14ac:dyDescent="0.35">
      <c r="A101" s="1"/>
      <c r="B101"/>
      <c r="C101"/>
      <c r="D101"/>
      <c r="E101"/>
      <c r="F101"/>
      <c r="G101"/>
      <c r="H101"/>
      <c r="I101"/>
      <c r="J101"/>
      <c r="K101"/>
      <c r="L101"/>
      <c r="M101"/>
      <c r="N101"/>
      <c r="O101" s="70"/>
      <c r="P101" s="70"/>
      <c r="Q101" s="70"/>
      <c r="R101" s="70"/>
      <c r="S101" s="95"/>
      <c r="T101" s="70"/>
      <c r="AB101" s="418"/>
      <c r="AC101" s="418"/>
      <c r="AD101" s="418"/>
      <c r="AE101" s="418"/>
      <c r="AF101" s="418"/>
      <c r="AG101" s="442"/>
      <c r="AH101" s="442"/>
      <c r="AI101" s="442"/>
      <c r="BS101" s="486">
        <v>83040</v>
      </c>
      <c r="BT101" s="479" t="s">
        <v>840</v>
      </c>
      <c r="BU101" s="479">
        <v>7</v>
      </c>
      <c r="BV101" s="476" t="s">
        <v>1188</v>
      </c>
      <c r="BW101" s="476" t="s">
        <v>1188</v>
      </c>
      <c r="BX101" s="476" t="s">
        <v>1188</v>
      </c>
      <c r="BY101" s="476" t="s">
        <v>1188</v>
      </c>
      <c r="BZ101" s="476" t="s">
        <v>1188</v>
      </c>
      <c r="CA101" s="476" t="s">
        <v>1188</v>
      </c>
      <c r="CB101" s="476" t="s">
        <v>1188</v>
      </c>
      <c r="CC101" s="476" t="s">
        <v>1188</v>
      </c>
      <c r="CD101" s="476" t="s">
        <v>1188</v>
      </c>
      <c r="CE101" s="476" t="s">
        <v>1187</v>
      </c>
      <c r="CF101" s="476" t="s">
        <v>1187</v>
      </c>
      <c r="CG101" s="476" t="s">
        <v>1187</v>
      </c>
      <c r="CH101" s="476" t="s">
        <v>1187</v>
      </c>
      <c r="CI101" s="476" t="s">
        <v>1187</v>
      </c>
      <c r="CJ101" s="476" t="s">
        <v>1187</v>
      </c>
      <c r="CK101" s="476" t="s">
        <v>1187</v>
      </c>
      <c r="CL101" s="476" t="s">
        <v>1187</v>
      </c>
      <c r="CM101" s="476" t="str">
        <f>IF(VLOOKUP(BS101,'Données par municipalité'!$B$6:$E$1113,4,FALSE)="","non","oui")</f>
        <v>non</v>
      </c>
      <c r="CN101" s="410" t="s">
        <v>1124</v>
      </c>
      <c r="CO101" s="410" t="s">
        <v>1124</v>
      </c>
      <c r="CP101" s="410"/>
      <c r="CQ101" s="410"/>
      <c r="CR101" s="410"/>
      <c r="CS101" s="410" t="s">
        <v>1124</v>
      </c>
      <c r="CT101" s="410"/>
      <c r="CU101" s="410" t="s">
        <v>1124</v>
      </c>
      <c r="CV101" s="410" t="str">
        <f>IF(VLOOKUP(BS101,'Données par municipalité'!$B$6:$F$1113,4,FALSE)="","",VLOOKUP(BS101,'Données par municipalité'!$B$6:$F$1113,4,FALSE))</f>
        <v/>
      </c>
      <c r="CW101" s="476" t="s">
        <v>4723</v>
      </c>
      <c r="CX101" s="483" t="s">
        <v>1124</v>
      </c>
      <c r="CY101" s="483" t="s">
        <v>1124</v>
      </c>
      <c r="CZ101" s="483" t="s">
        <v>1124</v>
      </c>
      <c r="DA101" s="483" t="s">
        <v>1124</v>
      </c>
      <c r="DB101" s="483" t="s">
        <v>1124</v>
      </c>
      <c r="DC101" s="483" t="s">
        <v>1124</v>
      </c>
      <c r="DD101" s="483" t="s">
        <v>1124</v>
      </c>
      <c r="DE101" s="483" t="str">
        <f>IFERROR(SUM(VLOOKUP($BS101,'État &amp; Plan d''action'!$B$6:$Z$1113,18,FALSE),VLOOKUP($BS101,'État &amp; Plan d''action'!$B$6:$Z$1113,20,FALSE))/(VLOOKUP($BS101,'Données par municipalité'!$B$4:$L$1113,11,FALSE)),"")</f>
        <v/>
      </c>
      <c r="DF101" s="483" t="str">
        <f>IFERROR(SUM(VLOOKUP($BS101,'État &amp; Plan d''action'!$B$6:$Z$1113,19,FALSE),VLOOKUP($BS101,'État &amp; Plan d''action'!$B$6:$Z$1113,21,FALSE))/(VLOOKUP($BS101,'Données par municipalité'!$B$4:$L$1113,11,FALSE)),"")</f>
        <v/>
      </c>
      <c r="DG101" s="476" t="s">
        <v>4723</v>
      </c>
      <c r="DH101" s="484" t="s">
        <v>1124</v>
      </c>
      <c r="DI101" s="484" t="s">
        <v>1124</v>
      </c>
      <c r="DJ101" s="484">
        <v>0</v>
      </c>
      <c r="DK101" s="484">
        <v>0</v>
      </c>
      <c r="DL101" s="484" t="s">
        <v>1124</v>
      </c>
      <c r="DM101" s="484" t="s">
        <v>1124</v>
      </c>
      <c r="DN101" s="484" t="s">
        <v>1124</v>
      </c>
      <c r="DO101" s="484" t="s">
        <v>1124</v>
      </c>
      <c r="DP101" s="484" t="s">
        <v>1124</v>
      </c>
      <c r="DQ101" s="484" t="str">
        <f>IF(VLOOKUP($BS101,'État &amp; Plan d''action'!$B$6:$AJ$1113,28,FALSE)="","",VLOOKUP($BS101,'État &amp; Plan d''action'!$B$6:$AJ$1113,28,FALSE))</f>
        <v/>
      </c>
      <c r="DR101" s="70" t="str">
        <f>IF(VLOOKUP($BS101,'État &amp; Plan d''action'!$B$6:$AJ$1113,29,FALSE)="","",VLOOKUP($BS101,'État &amp; Plan d''action'!$B$6:$AJ$1113,29,FALSE))</f>
        <v/>
      </c>
      <c r="DS101" s="70" t="str">
        <f>IF(VLOOKUP($BS101,'État &amp; Plan d''action'!$B$6:$AJ$1113,30,FALSE)="","",VLOOKUP($BS101,'État &amp; Plan d''action'!$B$6:$AJ$1113,30,FALSE))</f>
        <v/>
      </c>
      <c r="DT101" s="70" t="s">
        <v>1124</v>
      </c>
      <c r="DU101" s="485" t="s">
        <v>1124</v>
      </c>
      <c r="DV101" s="485" t="s">
        <v>1124</v>
      </c>
      <c r="DW101" s="70" t="s">
        <v>1124</v>
      </c>
      <c r="DX101" s="70" t="s">
        <v>1124</v>
      </c>
      <c r="DY101" s="70" t="s">
        <v>1124</v>
      </c>
      <c r="DZ101" s="70" t="str">
        <f>VLOOKUP($BS101,'État &amp; Plan d''action'!$B$6:$AH$1113,31,FALSE)</f>
        <v/>
      </c>
      <c r="EA101" s="70" t="str">
        <f>VLOOKUP($BS101,'État &amp; Plan d''action'!$B$6:$AH$1113,32,FALSE)</f>
        <v/>
      </c>
      <c r="EB101" s="70" t="str">
        <f>VLOOKUP($BS101,'État &amp; Plan d''action'!$B$6:$AH$1113,33,FALSE)</f>
        <v/>
      </c>
      <c r="EC101" s="70" t="s">
        <v>1124</v>
      </c>
      <c r="ED101" s="70" t="s">
        <v>1124</v>
      </c>
      <c r="EE101" s="70" t="s">
        <v>1124</v>
      </c>
      <c r="EF101" s="70" t="s">
        <v>1124</v>
      </c>
      <c r="EG101" s="70" t="s">
        <v>1124</v>
      </c>
      <c r="EH101" s="72"/>
      <c r="EI101" s="72">
        <v>825</v>
      </c>
    </row>
    <row r="102" spans="1:139" x14ac:dyDescent="0.35">
      <c r="A102" s="1"/>
      <c r="B102"/>
      <c r="C102"/>
      <c r="D102"/>
      <c r="E102"/>
      <c r="F102"/>
      <c r="G102"/>
      <c r="H102"/>
      <c r="I102"/>
      <c r="J102"/>
      <c r="K102"/>
      <c r="L102"/>
      <c r="M102"/>
      <c r="N102"/>
      <c r="O102" s="70"/>
      <c r="P102" s="70"/>
      <c r="Q102" s="70"/>
      <c r="R102" s="70"/>
      <c r="S102" s="95"/>
      <c r="T102" s="70"/>
      <c r="AB102" s="418"/>
      <c r="AC102" s="418"/>
      <c r="AD102" s="418"/>
      <c r="AE102" s="418"/>
      <c r="AF102" s="418"/>
      <c r="AG102" s="442"/>
      <c r="AH102" s="442"/>
      <c r="AI102" s="442"/>
      <c r="BS102" s="486">
        <v>57005</v>
      </c>
      <c r="BT102" s="479" t="s">
        <v>581</v>
      </c>
      <c r="BU102" s="479">
        <v>16</v>
      </c>
      <c r="BV102" s="476" t="s">
        <v>1187</v>
      </c>
      <c r="BW102" s="476" t="s">
        <v>1187</v>
      </c>
      <c r="BX102" s="476" t="s">
        <v>1187</v>
      </c>
      <c r="BY102" s="476" t="s">
        <v>1187</v>
      </c>
      <c r="BZ102" s="476" t="s">
        <v>1187</v>
      </c>
      <c r="CA102" s="476" t="s">
        <v>1187</v>
      </c>
      <c r="CB102" s="476" t="s">
        <v>1187</v>
      </c>
      <c r="CC102" s="476" t="s">
        <v>1187</v>
      </c>
      <c r="CD102" s="476" t="s">
        <v>1187</v>
      </c>
      <c r="CE102" s="476" t="s">
        <v>1188</v>
      </c>
      <c r="CF102" s="476" t="s">
        <v>1188</v>
      </c>
      <c r="CG102" s="476" t="s">
        <v>1188</v>
      </c>
      <c r="CH102" s="476" t="s">
        <v>1188</v>
      </c>
      <c r="CI102" s="476" t="s">
        <v>1187</v>
      </c>
      <c r="CJ102" s="476" t="s">
        <v>1187</v>
      </c>
      <c r="CK102" s="476" t="s">
        <v>1188</v>
      </c>
      <c r="CL102" s="476" t="s">
        <v>1188</v>
      </c>
      <c r="CM102" s="476" t="str">
        <f>IF(VLOOKUP(BS102,'Données par municipalité'!$B$6:$E$1113,4,FALSE)="","non","oui")</f>
        <v>oui</v>
      </c>
      <c r="CN102" s="410">
        <v>425.35282905269764</v>
      </c>
      <c r="CO102" s="410">
        <v>403.75735333173782</v>
      </c>
      <c r="CP102" s="410">
        <v>390.4371359182166</v>
      </c>
      <c r="CQ102" s="410">
        <v>394.92781113169724</v>
      </c>
      <c r="CR102" s="410"/>
      <c r="CS102" s="410" t="s">
        <v>1124</v>
      </c>
      <c r="CT102" s="410">
        <v>352.11211059813104</v>
      </c>
      <c r="CU102" s="410">
        <v>382</v>
      </c>
      <c r="CV102" s="410">
        <f>IF(VLOOKUP(BS102,'Données par municipalité'!$B$6:$F$1113,4,FALSE)="","",VLOOKUP(BS102,'Données par municipalité'!$B$6:$F$1113,4,FALSE))</f>
        <v>370</v>
      </c>
      <c r="CW102" s="476" t="s">
        <v>4723</v>
      </c>
      <c r="CX102" s="483">
        <v>1</v>
      </c>
      <c r="CY102" s="483">
        <v>1</v>
      </c>
      <c r="CZ102" s="483">
        <v>1</v>
      </c>
      <c r="DA102" s="483" t="s">
        <v>1124</v>
      </c>
      <c r="DB102" s="483" t="s">
        <v>1124</v>
      </c>
      <c r="DC102" s="483">
        <v>0</v>
      </c>
      <c r="DD102" s="483">
        <v>2</v>
      </c>
      <c r="DE102" s="483">
        <f>IFERROR(SUM(VLOOKUP($BS102,'État &amp; Plan d''action'!$B$6:$Z$1113,18,FALSE),VLOOKUP($BS102,'État &amp; Plan d''action'!$B$6:$Z$1113,20,FALSE))/(VLOOKUP($BS102,'Données par municipalité'!$B$4:$L$1113,11,FALSE)),"")</f>
        <v>0.2630540576088386</v>
      </c>
      <c r="DF102" s="483">
        <f>IFERROR(SUM(VLOOKUP($BS102,'État &amp; Plan d''action'!$B$6:$Z$1113,19,FALSE),VLOOKUP($BS102,'État &amp; Plan d''action'!$B$6:$Z$1113,21,FALSE))/(VLOOKUP($BS102,'Données par municipalité'!$B$4:$L$1113,11,FALSE)),"")</f>
        <v>0.65763514402209655</v>
      </c>
      <c r="DG102" s="476" t="s">
        <v>4723</v>
      </c>
      <c r="DH102" s="484">
        <v>31</v>
      </c>
      <c r="DI102" s="484">
        <v>27</v>
      </c>
      <c r="DJ102" s="484">
        <v>27</v>
      </c>
      <c r="DK102" s="484">
        <v>0</v>
      </c>
      <c r="DL102" s="484" t="s">
        <v>1124</v>
      </c>
      <c r="DM102" s="484">
        <v>36</v>
      </c>
      <c r="DN102" s="484">
        <v>38</v>
      </c>
      <c r="DO102" s="484">
        <v>10</v>
      </c>
      <c r="DP102" s="484">
        <v>2</v>
      </c>
      <c r="DQ102" s="484">
        <f>IF(VLOOKUP($BS102,'État &amp; Plan d''action'!$B$6:$AJ$1113,28,FALSE)="","",VLOOKUP($BS102,'État &amp; Plan d''action'!$B$6:$AJ$1113,28,FALSE))</f>
        <v>35</v>
      </c>
      <c r="DR102" s="70">
        <f>IF(VLOOKUP($BS102,'État &amp; Plan d''action'!$B$6:$AJ$1113,29,FALSE)="","",VLOOKUP($BS102,'État &amp; Plan d''action'!$B$6:$AJ$1113,29,FALSE))</f>
        <v>2</v>
      </c>
      <c r="DS102" s="70">
        <f>IF(VLOOKUP($BS102,'État &amp; Plan d''action'!$B$6:$AJ$1113,30,FALSE)="","",VLOOKUP($BS102,'État &amp; Plan d''action'!$B$6:$AJ$1113,30,FALSE))</f>
        <v>0</v>
      </c>
      <c r="DT102" s="70">
        <v>257</v>
      </c>
      <c r="DU102" s="485">
        <v>1.7228716124291044</v>
      </c>
      <c r="DV102" s="485">
        <v>1.1237023095087677</v>
      </c>
      <c r="DW102" s="70">
        <v>10</v>
      </c>
      <c r="DX102" s="70">
        <v>10</v>
      </c>
      <c r="DY102" s="70">
        <v>20</v>
      </c>
      <c r="DZ102" s="70">
        <f>VLOOKUP($BS102,'État &amp; Plan d''action'!$B$6:$AH$1113,31,FALSE)</f>
        <v>1</v>
      </c>
      <c r="EA102" s="70">
        <f>VLOOKUP($BS102,'État &amp; Plan d''action'!$B$6:$AH$1113,32,FALSE)</f>
        <v>1</v>
      </c>
      <c r="EB102" s="70">
        <f>VLOOKUP($BS102,'État &amp; Plan d''action'!$B$6:$AH$1113,33,FALSE)</f>
        <v>0</v>
      </c>
      <c r="EC102" s="70">
        <v>0</v>
      </c>
      <c r="ED102" s="70">
        <v>152.06</v>
      </c>
      <c r="EE102" s="70">
        <v>152.06</v>
      </c>
      <c r="EF102" s="70">
        <v>0</v>
      </c>
      <c r="EG102" s="70">
        <v>0</v>
      </c>
      <c r="EH102" s="72">
        <v>42</v>
      </c>
      <c r="EI102" s="72">
        <v>30857</v>
      </c>
    </row>
    <row r="103" spans="1:139" x14ac:dyDescent="0.35">
      <c r="A103" s="1"/>
      <c r="B103"/>
      <c r="C103"/>
      <c r="D103"/>
      <c r="E103"/>
      <c r="F103"/>
      <c r="G103"/>
      <c r="H103"/>
      <c r="I103"/>
      <c r="J103"/>
      <c r="K103"/>
      <c r="L103"/>
      <c r="M103"/>
      <c r="N103"/>
      <c r="O103" s="70"/>
      <c r="P103" s="70"/>
      <c r="Q103" s="70"/>
      <c r="R103" s="70"/>
      <c r="S103" s="95"/>
      <c r="T103" s="70"/>
      <c r="W103" s="418"/>
      <c r="X103" s="418"/>
      <c r="Y103" s="418"/>
      <c r="Z103" s="418"/>
      <c r="AA103" s="418"/>
      <c r="AB103" s="418"/>
      <c r="AC103" s="418"/>
      <c r="AD103" s="418"/>
      <c r="AE103" s="418"/>
      <c r="AF103" s="418"/>
      <c r="AG103" s="442"/>
      <c r="AH103" s="442"/>
      <c r="AI103" s="442"/>
      <c r="BS103" s="486">
        <v>91020</v>
      </c>
      <c r="BT103" s="479" t="s">
        <v>940</v>
      </c>
      <c r="BU103" s="479">
        <v>2</v>
      </c>
      <c r="BV103" s="476" t="s">
        <v>1187</v>
      </c>
      <c r="BW103" s="476" t="s">
        <v>1187</v>
      </c>
      <c r="BX103" s="476" t="s">
        <v>1187</v>
      </c>
      <c r="BY103" s="476" t="s">
        <v>1187</v>
      </c>
      <c r="BZ103" s="476" t="s">
        <v>1187</v>
      </c>
      <c r="CA103" s="476" t="s">
        <v>1187</v>
      </c>
      <c r="CB103" s="476" t="s">
        <v>1187</v>
      </c>
      <c r="CC103" s="476" t="s">
        <v>1187</v>
      </c>
      <c r="CD103" s="476" t="s">
        <v>1187</v>
      </c>
      <c r="CE103" s="476" t="s">
        <v>1188</v>
      </c>
      <c r="CF103" s="476" t="s">
        <v>1188</v>
      </c>
      <c r="CG103" s="476" t="s">
        <v>1187</v>
      </c>
      <c r="CH103" s="476" t="s">
        <v>1188</v>
      </c>
      <c r="CI103" s="476" t="s">
        <v>1188</v>
      </c>
      <c r="CJ103" s="476" t="s">
        <v>1187</v>
      </c>
      <c r="CK103" s="476" t="s">
        <v>1188</v>
      </c>
      <c r="CL103" s="476" t="s">
        <v>1187</v>
      </c>
      <c r="CM103" s="476" t="str">
        <f>IF(VLOOKUP(BS103,'Données par municipalité'!$B$6:$E$1113,4,FALSE)="","non","oui")</f>
        <v>oui</v>
      </c>
      <c r="CN103" s="410">
        <v>458.11806666715586</v>
      </c>
      <c r="CO103" s="410">
        <v>439.98225185059823</v>
      </c>
      <c r="CP103" s="410"/>
      <c r="CQ103" s="410">
        <v>503.93522014115598</v>
      </c>
      <c r="CR103" s="410">
        <v>488.52090271988743</v>
      </c>
      <c r="CS103" s="410" t="s">
        <v>1124</v>
      </c>
      <c r="CT103" s="410">
        <v>417.70959579178765</v>
      </c>
      <c r="CU103" s="410" t="s">
        <v>1124</v>
      </c>
      <c r="CV103" s="410">
        <f>IF(VLOOKUP(BS103,'Données par municipalité'!$B$6:$F$1113,4,FALSE)="","",VLOOKUP(BS103,'Données par municipalité'!$B$6:$F$1113,4,FALSE))</f>
        <v>518</v>
      </c>
      <c r="CW103" s="476" t="s">
        <v>4723</v>
      </c>
      <c r="CX103" s="483">
        <v>0.01</v>
      </c>
      <c r="CY103" s="483" t="s">
        <v>1124</v>
      </c>
      <c r="CZ103" s="483">
        <v>0</v>
      </c>
      <c r="DA103" s="483">
        <v>0</v>
      </c>
      <c r="DB103" s="483" t="s">
        <v>1124</v>
      </c>
      <c r="DC103" s="483">
        <v>0</v>
      </c>
      <c r="DD103" s="483" t="s">
        <v>1124</v>
      </c>
      <c r="DE103" s="483">
        <f>IFERROR(SUM(VLOOKUP($BS103,'État &amp; Plan d''action'!$B$6:$Z$1113,18,FALSE),VLOOKUP($BS103,'État &amp; Plan d''action'!$B$6:$Z$1113,20,FALSE))/(VLOOKUP($BS103,'Données par municipalité'!$B$4:$L$1113,11,FALSE)),"")</f>
        <v>1</v>
      </c>
      <c r="DF103" s="483">
        <f>IFERROR(SUM(VLOOKUP($BS103,'État &amp; Plan d''action'!$B$6:$Z$1113,19,FALSE),VLOOKUP($BS103,'État &amp; Plan d''action'!$B$6:$Z$1113,21,FALSE))/(VLOOKUP($BS103,'Données par municipalité'!$B$4:$L$1113,11,FALSE)),"")</f>
        <v>1</v>
      </c>
      <c r="DG103" s="476" t="s">
        <v>4723</v>
      </c>
      <c r="DH103" s="484">
        <v>4</v>
      </c>
      <c r="DI103" s="484">
        <v>1</v>
      </c>
      <c r="DJ103" s="484">
        <v>3</v>
      </c>
      <c r="DK103" s="484">
        <v>3</v>
      </c>
      <c r="DL103" s="484" t="s">
        <v>1124</v>
      </c>
      <c r="DM103" s="484">
        <v>0</v>
      </c>
      <c r="DN103" s="484" t="s">
        <v>1124</v>
      </c>
      <c r="DO103" s="484" t="s">
        <v>1124</v>
      </c>
      <c r="DP103" s="484" t="s">
        <v>1124</v>
      </c>
      <c r="DQ103" s="484">
        <f>IF(VLOOKUP($BS103,'État &amp; Plan d''action'!$B$6:$AJ$1113,28,FALSE)="","",VLOOKUP($BS103,'État &amp; Plan d''action'!$B$6:$AJ$1113,28,FALSE))</f>
        <v>2</v>
      </c>
      <c r="DR103" s="70">
        <f>IF(VLOOKUP($BS103,'État &amp; Plan d''action'!$B$6:$AJ$1113,29,FALSE)="","",VLOOKUP($BS103,'État &amp; Plan d''action'!$B$6:$AJ$1113,29,FALSE))</f>
        <v>4</v>
      </c>
      <c r="DS103" s="70">
        <f>IF(VLOOKUP($BS103,'État &amp; Plan d''action'!$B$6:$AJ$1113,30,FALSE)="","",VLOOKUP($BS103,'État &amp; Plan d''action'!$B$6:$AJ$1113,30,FALSE))</f>
        <v>2</v>
      </c>
      <c r="DT103" s="70" t="s">
        <v>1124</v>
      </c>
      <c r="DU103" s="485" t="s">
        <v>1124</v>
      </c>
      <c r="DV103" s="485">
        <v>3.512528082133294</v>
      </c>
      <c r="DW103" s="70" t="s">
        <v>1124</v>
      </c>
      <c r="DX103" s="70" t="s">
        <v>1124</v>
      </c>
      <c r="DY103" s="70" t="s">
        <v>1124</v>
      </c>
      <c r="DZ103" s="70">
        <f>VLOOKUP($BS103,'État &amp; Plan d''action'!$B$6:$AH$1113,31,FALSE)</f>
        <v>1</v>
      </c>
      <c r="EA103" s="70">
        <f>VLOOKUP($BS103,'État &amp; Plan d''action'!$B$6:$AH$1113,32,FALSE)</f>
        <v>1</v>
      </c>
      <c r="EB103" s="70">
        <f>VLOOKUP($BS103,'État &amp; Plan d''action'!$B$6:$AH$1113,33,FALSE)</f>
        <v>1</v>
      </c>
      <c r="EC103" s="70" t="s">
        <v>1124</v>
      </c>
      <c r="ED103" s="70" t="s">
        <v>1124</v>
      </c>
      <c r="EE103" s="70" t="s">
        <v>1124</v>
      </c>
      <c r="EF103" s="70" t="s">
        <v>1124</v>
      </c>
      <c r="EG103" s="70" t="s">
        <v>1124</v>
      </c>
      <c r="EH103" s="72"/>
      <c r="EI103" s="72">
        <v>1760</v>
      </c>
    </row>
    <row r="104" spans="1:139" x14ac:dyDescent="0.35">
      <c r="A104" s="1"/>
      <c r="B104"/>
      <c r="C104"/>
      <c r="D104"/>
      <c r="E104"/>
      <c r="F104"/>
      <c r="G104"/>
      <c r="H104"/>
      <c r="I104"/>
      <c r="J104"/>
      <c r="K104"/>
      <c r="L104"/>
      <c r="M104"/>
      <c r="N104"/>
      <c r="O104" s="70"/>
      <c r="P104" s="70"/>
      <c r="Q104" s="70"/>
      <c r="R104" s="70"/>
      <c r="S104" s="95"/>
      <c r="T104" s="70"/>
      <c r="W104" s="418"/>
      <c r="X104" s="418"/>
      <c r="Y104" s="418"/>
      <c r="Z104" s="418"/>
      <c r="AA104" s="418"/>
      <c r="AB104" s="418"/>
      <c r="AC104" s="418"/>
      <c r="AD104" s="418"/>
      <c r="AE104" s="418"/>
      <c r="AF104" s="418"/>
      <c r="AG104" s="442"/>
      <c r="AH104" s="442"/>
      <c r="AI104" s="442"/>
      <c r="BS104" s="486">
        <v>37220</v>
      </c>
      <c r="BT104" s="479" t="s">
        <v>318</v>
      </c>
      <c r="BU104" s="479">
        <v>4</v>
      </c>
      <c r="BV104" s="476" t="s">
        <v>1187</v>
      </c>
      <c r="BW104" s="476" t="s">
        <v>1187</v>
      </c>
      <c r="BX104" s="476" t="s">
        <v>1187</v>
      </c>
      <c r="BY104" s="476" t="s">
        <v>1187</v>
      </c>
      <c r="BZ104" s="476" t="s">
        <v>1187</v>
      </c>
      <c r="CA104" s="476" t="s">
        <v>1187</v>
      </c>
      <c r="CB104" s="476" t="s">
        <v>1187</v>
      </c>
      <c r="CC104" s="476" t="s">
        <v>1187</v>
      </c>
      <c r="CD104" s="476" t="s">
        <v>1187</v>
      </c>
      <c r="CE104" s="476" t="s">
        <v>1188</v>
      </c>
      <c r="CF104" s="476" t="s">
        <v>1188</v>
      </c>
      <c r="CG104" s="476" t="s">
        <v>1187</v>
      </c>
      <c r="CH104" s="476" t="s">
        <v>1188</v>
      </c>
      <c r="CI104" s="476" t="s">
        <v>1188</v>
      </c>
      <c r="CJ104" s="476" t="s">
        <v>1188</v>
      </c>
      <c r="CK104" s="476" t="s">
        <v>1188</v>
      </c>
      <c r="CL104" s="476" t="s">
        <v>1188</v>
      </c>
      <c r="CM104" s="476" t="str">
        <f>IF(VLOOKUP(BS104,'Données par municipalité'!$B$6:$E$1113,4,FALSE)="","non","oui")</f>
        <v>non</v>
      </c>
      <c r="CN104" s="410">
        <v>427.45279526101439</v>
      </c>
      <c r="CO104" s="410">
        <v>461.02473260252265</v>
      </c>
      <c r="CP104" s="410"/>
      <c r="CQ104" s="410">
        <v>454.18994952155566</v>
      </c>
      <c r="CR104" s="410">
        <v>432.67521160732861</v>
      </c>
      <c r="CS104" s="410">
        <v>472.44686498543774</v>
      </c>
      <c r="CT104" s="410">
        <v>410.04244645957942</v>
      </c>
      <c r="CU104" s="410">
        <v>526</v>
      </c>
      <c r="CV104" s="410" t="str">
        <f>IF(VLOOKUP(BS104,'Données par municipalité'!$B$6:$F$1113,4,FALSE)="","",VLOOKUP(BS104,'Données par municipalité'!$B$6:$F$1113,4,FALSE))</f>
        <v/>
      </c>
      <c r="CW104" s="476" t="s">
        <v>4723</v>
      </c>
      <c r="CX104" s="483">
        <v>0</v>
      </c>
      <c r="CY104" s="483" t="s">
        <v>1124</v>
      </c>
      <c r="CZ104" s="483">
        <v>0</v>
      </c>
      <c r="DA104" s="483">
        <v>0</v>
      </c>
      <c r="DB104" s="483">
        <v>0</v>
      </c>
      <c r="DC104" s="483">
        <v>1</v>
      </c>
      <c r="DD104" s="483">
        <v>0.50001464943892648</v>
      </c>
      <c r="DE104" s="483" t="str">
        <f>IFERROR(SUM(VLOOKUP($BS104,'État &amp; Plan d''action'!$B$6:$Z$1113,18,FALSE),VLOOKUP($BS104,'État &amp; Plan d''action'!$B$6:$Z$1113,20,FALSE))/(VLOOKUP($BS104,'Données par municipalité'!$B$4:$L$1113,11,FALSE)),"")</f>
        <v/>
      </c>
      <c r="DF104" s="483" t="str">
        <f>IFERROR(SUM(VLOOKUP($BS104,'État &amp; Plan d''action'!$B$6:$Z$1113,19,FALSE),VLOOKUP($BS104,'État &amp; Plan d''action'!$B$6:$Z$1113,21,FALSE))/(VLOOKUP($BS104,'Données par municipalité'!$B$4:$L$1113,11,FALSE)),"")</f>
        <v/>
      </c>
      <c r="DG104" s="476" t="s">
        <v>4723</v>
      </c>
      <c r="DH104" s="484">
        <v>3</v>
      </c>
      <c r="DI104" s="484" t="s">
        <v>1124</v>
      </c>
      <c r="DJ104" s="484">
        <v>2</v>
      </c>
      <c r="DK104" s="484">
        <v>2</v>
      </c>
      <c r="DL104" s="484">
        <v>2</v>
      </c>
      <c r="DM104" s="484">
        <v>4</v>
      </c>
      <c r="DN104" s="484">
        <v>3</v>
      </c>
      <c r="DO104" s="484">
        <v>2</v>
      </c>
      <c r="DP104" s="484">
        <v>0</v>
      </c>
      <c r="DQ104" s="484" t="str">
        <f>IF(VLOOKUP($BS104,'État &amp; Plan d''action'!$B$6:$AJ$1113,28,FALSE)="","",VLOOKUP($BS104,'État &amp; Plan d''action'!$B$6:$AJ$1113,28,FALSE))</f>
        <v/>
      </c>
      <c r="DR104" s="70" t="str">
        <f>IF(VLOOKUP($BS104,'État &amp; Plan d''action'!$B$6:$AJ$1113,29,FALSE)="","",VLOOKUP($BS104,'État &amp; Plan d''action'!$B$6:$AJ$1113,29,FALSE))</f>
        <v/>
      </c>
      <c r="DS104" s="70" t="str">
        <f>IF(VLOOKUP($BS104,'État &amp; Plan d''action'!$B$6:$AJ$1113,30,FALSE)="","",VLOOKUP($BS104,'État &amp; Plan d''action'!$B$6:$AJ$1113,30,FALSE))</f>
        <v/>
      </c>
      <c r="DT104" s="70">
        <v>328</v>
      </c>
      <c r="DU104" s="485">
        <v>1.5380504423673849</v>
      </c>
      <c r="DV104" s="485" t="s">
        <v>1124</v>
      </c>
      <c r="DW104" s="70">
        <v>1</v>
      </c>
      <c r="DX104" s="70">
        <v>21</v>
      </c>
      <c r="DY104" s="70">
        <v>0</v>
      </c>
      <c r="DZ104" s="70" t="str">
        <f>VLOOKUP($BS104,'État &amp; Plan d''action'!$B$6:$AH$1113,31,FALSE)</f>
        <v/>
      </c>
      <c r="EA104" s="70" t="str">
        <f>VLOOKUP($BS104,'État &amp; Plan d''action'!$B$6:$AH$1113,32,FALSE)</f>
        <v/>
      </c>
      <c r="EB104" s="70" t="str">
        <f>VLOOKUP($BS104,'État &amp; Plan d''action'!$B$6:$AH$1113,33,FALSE)</f>
        <v/>
      </c>
      <c r="EC104" s="70">
        <v>0</v>
      </c>
      <c r="ED104" s="70">
        <v>17.065999999999999</v>
      </c>
      <c r="EE104" s="70">
        <v>0</v>
      </c>
      <c r="EF104" s="70">
        <v>0</v>
      </c>
      <c r="EG104" s="70">
        <v>0</v>
      </c>
      <c r="EH104" s="72">
        <v>56</v>
      </c>
      <c r="EI104" s="72">
        <v>1785</v>
      </c>
    </row>
    <row r="105" spans="1:139" ht="15" customHeight="1" x14ac:dyDescent="0.35">
      <c r="A105" s="1"/>
      <c r="B105"/>
      <c r="C105"/>
      <c r="D105"/>
      <c r="E105"/>
      <c r="F105"/>
      <c r="G105"/>
      <c r="H105"/>
      <c r="I105"/>
      <c r="J105"/>
      <c r="K105"/>
      <c r="L105"/>
      <c r="M105"/>
      <c r="N105"/>
      <c r="O105" s="70"/>
      <c r="P105" s="70"/>
      <c r="Q105" s="70"/>
      <c r="R105" s="70"/>
      <c r="S105" s="95"/>
      <c r="T105" s="70"/>
      <c r="W105" s="418"/>
      <c r="X105" s="418"/>
      <c r="Y105" s="418"/>
      <c r="Z105" s="418"/>
      <c r="AA105" s="418"/>
      <c r="AB105" s="418"/>
      <c r="AC105" s="418"/>
      <c r="AD105" s="418"/>
      <c r="AE105" s="418"/>
      <c r="AF105" s="418"/>
      <c r="AG105" s="442"/>
      <c r="AH105" s="442"/>
      <c r="AI105" s="442"/>
      <c r="BS105" s="486">
        <v>88005</v>
      </c>
      <c r="BT105" s="479" t="s">
        <v>911</v>
      </c>
      <c r="BU105" s="479">
        <v>8</v>
      </c>
      <c r="BV105" s="476" t="s">
        <v>1187</v>
      </c>
      <c r="BW105" s="476" t="s">
        <v>1187</v>
      </c>
      <c r="BX105" s="476" t="s">
        <v>1187</v>
      </c>
      <c r="BY105" s="476" t="s">
        <v>1187</v>
      </c>
      <c r="BZ105" s="476" t="s">
        <v>1187</v>
      </c>
      <c r="CA105" s="476" t="s">
        <v>1188</v>
      </c>
      <c r="CB105" s="476" t="s">
        <v>1188</v>
      </c>
      <c r="CC105" s="476" t="s">
        <v>1188</v>
      </c>
      <c r="CD105" s="476" t="s">
        <v>1188</v>
      </c>
      <c r="CE105" s="476" t="s">
        <v>1188</v>
      </c>
      <c r="CF105" s="476" t="s">
        <v>1188</v>
      </c>
      <c r="CG105" s="476" t="s">
        <v>1188</v>
      </c>
      <c r="CH105" s="476" t="s">
        <v>1188</v>
      </c>
      <c r="CI105" s="476" t="s">
        <v>1188</v>
      </c>
      <c r="CJ105" s="476" t="s">
        <v>1187</v>
      </c>
      <c r="CK105" s="476" t="s">
        <v>1187</v>
      </c>
      <c r="CL105" s="476" t="s">
        <v>1187</v>
      </c>
      <c r="CM105" s="476" t="str">
        <f>IF(VLOOKUP(BS105,'Données par municipalité'!$B$6:$E$1113,4,FALSE)="","non","oui")</f>
        <v>non</v>
      </c>
      <c r="CN105" s="410">
        <v>312.66413725381449</v>
      </c>
      <c r="CO105" s="410">
        <v>4177.3077452923153</v>
      </c>
      <c r="CP105" s="410">
        <v>370.58823529411768</v>
      </c>
      <c r="CQ105" s="410">
        <v>313.57123883970928</v>
      </c>
      <c r="CR105" s="410">
        <v>320.46238486000709</v>
      </c>
      <c r="CS105" s="410" t="s">
        <v>1124</v>
      </c>
      <c r="CT105" s="410"/>
      <c r="CU105" s="410" t="s">
        <v>1124</v>
      </c>
      <c r="CV105" s="410" t="str">
        <f>IF(VLOOKUP(BS105,'Données par municipalité'!$B$6:$F$1113,4,FALSE)="","",VLOOKUP(BS105,'Données par municipalité'!$B$6:$F$1113,4,FALSE))</f>
        <v/>
      </c>
      <c r="CW105" s="476" t="s">
        <v>4723</v>
      </c>
      <c r="CX105" s="483">
        <v>0</v>
      </c>
      <c r="CY105" s="483">
        <v>0</v>
      </c>
      <c r="CZ105" s="483">
        <v>0</v>
      </c>
      <c r="DA105" s="483">
        <v>0</v>
      </c>
      <c r="DB105" s="483" t="s">
        <v>1124</v>
      </c>
      <c r="DC105" s="483" t="s">
        <v>1124</v>
      </c>
      <c r="DD105" s="483" t="s">
        <v>1124</v>
      </c>
      <c r="DE105" s="483" t="str">
        <f>IFERROR(SUM(VLOOKUP($BS105,'État &amp; Plan d''action'!$B$6:$Z$1113,18,FALSE),VLOOKUP($BS105,'État &amp; Plan d''action'!$B$6:$Z$1113,20,FALSE))/(VLOOKUP($BS105,'Données par municipalité'!$B$4:$L$1113,11,FALSE)),"")</f>
        <v/>
      </c>
      <c r="DF105" s="483" t="str">
        <f>IFERROR(SUM(VLOOKUP($BS105,'État &amp; Plan d''action'!$B$6:$Z$1113,19,FALSE),VLOOKUP($BS105,'État &amp; Plan d''action'!$B$6:$Z$1113,21,FALSE))/(VLOOKUP($BS105,'Données par municipalité'!$B$4:$L$1113,11,FALSE)),"")</f>
        <v/>
      </c>
      <c r="DG105" s="476" t="s">
        <v>4723</v>
      </c>
      <c r="DH105" s="484" t="s">
        <v>1124</v>
      </c>
      <c r="DI105" s="484" t="s">
        <v>1124</v>
      </c>
      <c r="DJ105" s="484">
        <v>0</v>
      </c>
      <c r="DK105" s="484">
        <v>0</v>
      </c>
      <c r="DL105" s="484" t="s">
        <v>1124</v>
      </c>
      <c r="DM105" s="484" t="s">
        <v>1124</v>
      </c>
      <c r="DN105" s="484" t="s">
        <v>1124</v>
      </c>
      <c r="DO105" s="484" t="s">
        <v>1124</v>
      </c>
      <c r="DP105" s="484" t="s">
        <v>1124</v>
      </c>
      <c r="DQ105" s="484" t="str">
        <f>IF(VLOOKUP($BS105,'État &amp; Plan d''action'!$B$6:$AJ$1113,28,FALSE)="","",VLOOKUP($BS105,'État &amp; Plan d''action'!$B$6:$AJ$1113,28,FALSE))</f>
        <v/>
      </c>
      <c r="DR105" s="70" t="str">
        <f>IF(VLOOKUP($BS105,'État &amp; Plan d''action'!$B$6:$AJ$1113,29,FALSE)="","",VLOOKUP($BS105,'État &amp; Plan d''action'!$B$6:$AJ$1113,29,FALSE))</f>
        <v/>
      </c>
      <c r="DS105" s="70" t="str">
        <f>IF(VLOOKUP($BS105,'État &amp; Plan d''action'!$B$6:$AJ$1113,30,FALSE)="","",VLOOKUP($BS105,'État &amp; Plan d''action'!$B$6:$AJ$1113,30,FALSE))</f>
        <v/>
      </c>
      <c r="DT105" s="70" t="s">
        <v>1124</v>
      </c>
      <c r="DU105" s="485" t="s">
        <v>1124</v>
      </c>
      <c r="DV105" s="485" t="s">
        <v>1124</v>
      </c>
      <c r="DW105" s="70" t="s">
        <v>1124</v>
      </c>
      <c r="DX105" s="70" t="s">
        <v>1124</v>
      </c>
      <c r="DY105" s="70" t="s">
        <v>1124</v>
      </c>
      <c r="DZ105" s="70" t="str">
        <f>VLOOKUP($BS105,'État &amp; Plan d''action'!$B$6:$AH$1113,31,FALSE)</f>
        <v/>
      </c>
      <c r="EA105" s="70" t="str">
        <f>VLOOKUP($BS105,'État &amp; Plan d''action'!$B$6:$AH$1113,32,FALSE)</f>
        <v/>
      </c>
      <c r="EB105" s="70" t="str">
        <f>VLOOKUP($BS105,'État &amp; Plan d''action'!$B$6:$AH$1113,33,FALSE)</f>
        <v/>
      </c>
      <c r="EC105" s="70" t="s">
        <v>1124</v>
      </c>
      <c r="ED105" s="70" t="s">
        <v>1124</v>
      </c>
      <c r="EE105" s="70" t="s">
        <v>1124</v>
      </c>
      <c r="EF105" s="70" t="s">
        <v>1124</v>
      </c>
      <c r="EG105" s="70" t="s">
        <v>1124</v>
      </c>
      <c r="EH105" s="72"/>
      <c r="EI105" s="72">
        <v>131</v>
      </c>
    </row>
    <row r="106" spans="1:139" ht="15" customHeight="1" x14ac:dyDescent="0.35">
      <c r="A106" s="1"/>
      <c r="B106"/>
      <c r="C106"/>
      <c r="D106"/>
      <c r="E106"/>
      <c r="F106"/>
      <c r="G106"/>
      <c r="H106"/>
      <c r="I106"/>
      <c r="J106"/>
      <c r="K106"/>
      <c r="L106"/>
      <c r="M106"/>
      <c r="N106"/>
      <c r="O106" s="70"/>
      <c r="P106" s="70"/>
      <c r="Q106" s="70"/>
      <c r="R106" s="70"/>
      <c r="S106" s="95"/>
      <c r="T106" s="70"/>
      <c r="W106" s="418"/>
      <c r="X106" s="418"/>
      <c r="Y106" s="418"/>
      <c r="Z106" s="418"/>
      <c r="AA106" s="418"/>
      <c r="AB106" s="418"/>
      <c r="AC106" s="418"/>
      <c r="AD106" s="418"/>
      <c r="AE106" s="418"/>
      <c r="AF106" s="418"/>
      <c r="AG106" s="442"/>
      <c r="AH106" s="442"/>
      <c r="AI106" s="442"/>
      <c r="BS106" s="486">
        <v>2028</v>
      </c>
      <c r="BT106" s="479" t="s">
        <v>1029</v>
      </c>
      <c r="BU106" s="479">
        <v>11</v>
      </c>
      <c r="BV106" s="476" t="s">
        <v>1187</v>
      </c>
      <c r="BW106" s="476" t="s">
        <v>1187</v>
      </c>
      <c r="BX106" s="476" t="s">
        <v>1187</v>
      </c>
      <c r="BY106" s="476" t="s">
        <v>1187</v>
      </c>
      <c r="BZ106" s="476" t="s">
        <v>1187</v>
      </c>
      <c r="CA106" s="476" t="s">
        <v>1187</v>
      </c>
      <c r="CB106" s="476" t="s">
        <v>1187</v>
      </c>
      <c r="CC106" s="476" t="s">
        <v>1187</v>
      </c>
      <c r="CD106" s="476" t="s">
        <v>1187</v>
      </c>
      <c r="CE106" s="476" t="s">
        <v>1188</v>
      </c>
      <c r="CF106" s="476" t="s">
        <v>1188</v>
      </c>
      <c r="CG106" s="476" t="s">
        <v>1187</v>
      </c>
      <c r="CH106" s="476" t="s">
        <v>1188</v>
      </c>
      <c r="CI106" s="476" t="s">
        <v>1187</v>
      </c>
      <c r="CJ106" s="476" t="s">
        <v>1188</v>
      </c>
      <c r="CK106" s="476" t="s">
        <v>1188</v>
      </c>
      <c r="CL106" s="476" t="s">
        <v>1188</v>
      </c>
      <c r="CM106" s="476" t="str">
        <f>IF(VLOOKUP(BS106,'Données par municipalité'!$B$6:$E$1113,4,FALSE)="","non","oui")</f>
        <v>oui</v>
      </c>
      <c r="CN106" s="410">
        <v>1385.1501292020396</v>
      </c>
      <c r="CO106" s="410">
        <v>1125.271948923071</v>
      </c>
      <c r="CP106" s="410"/>
      <c r="CQ106" s="410">
        <v>1249.1393781256795</v>
      </c>
      <c r="CR106" s="410"/>
      <c r="CS106" s="410">
        <v>1029.6530175856681</v>
      </c>
      <c r="CT106" s="410">
        <v>1063.5990580541809</v>
      </c>
      <c r="CU106" s="410">
        <v>1132</v>
      </c>
      <c r="CV106" s="410">
        <f>IF(VLOOKUP(BS106,'Données par municipalité'!$B$6:$F$1113,4,FALSE)="","",VLOOKUP(BS106,'Données par municipalité'!$B$6:$F$1113,4,FALSE))</f>
        <v>947</v>
      </c>
      <c r="CW106" s="476" t="s">
        <v>4723</v>
      </c>
      <c r="CX106" s="483">
        <v>0</v>
      </c>
      <c r="CY106" s="483" t="s">
        <v>1124</v>
      </c>
      <c r="CZ106" s="483">
        <v>0</v>
      </c>
      <c r="DA106" s="483" t="s">
        <v>1124</v>
      </c>
      <c r="DB106" s="483">
        <v>1</v>
      </c>
      <c r="DC106" s="483">
        <v>1</v>
      </c>
      <c r="DD106" s="483" t="s">
        <v>1124</v>
      </c>
      <c r="DE106" s="483">
        <f>IFERROR(SUM(VLOOKUP($BS106,'État &amp; Plan d''action'!$B$6:$Z$1113,18,FALSE),VLOOKUP($BS106,'État &amp; Plan d''action'!$B$6:$Z$1113,20,FALSE))/(VLOOKUP($BS106,'Données par municipalité'!$B$4:$L$1113,11,FALSE)),"")</f>
        <v>1.0000000000000002</v>
      </c>
      <c r="DF106" s="483">
        <f>IFERROR(SUM(VLOOKUP($BS106,'État &amp; Plan d''action'!$B$6:$Z$1113,19,FALSE),VLOOKUP($BS106,'État &amp; Plan d''action'!$B$6:$Z$1113,21,FALSE))/(VLOOKUP($BS106,'Données par municipalité'!$B$4:$L$1113,11,FALSE)),"")</f>
        <v>1.0000000000000002</v>
      </c>
      <c r="DG106" s="476" t="s">
        <v>4723</v>
      </c>
      <c r="DH106" s="484">
        <v>4</v>
      </c>
      <c r="DI106" s="484" t="s">
        <v>1124</v>
      </c>
      <c r="DJ106" s="484">
        <v>12</v>
      </c>
      <c r="DK106" s="484">
        <v>0</v>
      </c>
      <c r="DL106" s="484">
        <v>28</v>
      </c>
      <c r="DM106" s="484">
        <v>34</v>
      </c>
      <c r="DN106" s="484">
        <v>9</v>
      </c>
      <c r="DO106" s="484">
        <v>26</v>
      </c>
      <c r="DP106" s="484">
        <v>0</v>
      </c>
      <c r="DQ106" s="484">
        <f>IF(VLOOKUP($BS106,'État &amp; Plan d''action'!$B$6:$AJ$1113,28,FALSE)="","",VLOOKUP($BS106,'État &amp; Plan d''action'!$B$6:$AJ$1113,28,FALSE))</f>
        <v>4</v>
      </c>
      <c r="DR106" s="70">
        <f>IF(VLOOKUP($BS106,'État &amp; Plan d''action'!$B$6:$AJ$1113,29,FALSE)="","",VLOOKUP($BS106,'État &amp; Plan d''action'!$B$6:$AJ$1113,29,FALSE))</f>
        <v>18</v>
      </c>
      <c r="DS106" s="70">
        <f>IF(VLOOKUP($BS106,'État &amp; Plan d''action'!$B$6:$AJ$1113,30,FALSE)="","",VLOOKUP($BS106,'État &amp; Plan d''action'!$B$6:$AJ$1113,30,FALSE))</f>
        <v>0</v>
      </c>
      <c r="DT106" s="70">
        <v>812</v>
      </c>
      <c r="DU106" s="485">
        <v>6.176617456420761</v>
      </c>
      <c r="DV106" s="485">
        <v>8.9227731860537745</v>
      </c>
      <c r="DW106" s="70">
        <v>1</v>
      </c>
      <c r="DX106" s="70">
        <v>1</v>
      </c>
      <c r="DY106" s="70">
        <v>0</v>
      </c>
      <c r="DZ106" s="70">
        <f>VLOOKUP($BS106,'État &amp; Plan d''action'!$B$6:$AH$1113,31,FALSE)</f>
        <v>3</v>
      </c>
      <c r="EA106" s="70">
        <f>VLOOKUP($BS106,'État &amp; Plan d''action'!$B$6:$AH$1113,32,FALSE)</f>
        <v>5</v>
      </c>
      <c r="EB106" s="70">
        <f>VLOOKUP($BS106,'État &amp; Plan d''action'!$B$6:$AH$1113,33,FALSE)</f>
        <v>0</v>
      </c>
      <c r="EC106" s="70">
        <v>0</v>
      </c>
      <c r="ED106" s="70">
        <v>81.043000000000006</v>
      </c>
      <c r="EE106" s="70">
        <v>0</v>
      </c>
      <c r="EF106" s="70">
        <v>0</v>
      </c>
      <c r="EG106" s="70">
        <v>0</v>
      </c>
      <c r="EH106" s="72">
        <v>58</v>
      </c>
      <c r="EI106" s="72">
        <v>7478</v>
      </c>
    </row>
    <row r="107" spans="1:139" ht="15" customHeight="1" x14ac:dyDescent="0.35">
      <c r="A107" s="1"/>
      <c r="B107"/>
      <c r="C107"/>
      <c r="D107"/>
      <c r="E107"/>
      <c r="F107"/>
      <c r="G107"/>
      <c r="H107"/>
      <c r="I107"/>
      <c r="J107"/>
      <c r="K107"/>
      <c r="L107"/>
      <c r="M107"/>
      <c r="N107"/>
      <c r="O107" s="70"/>
      <c r="P107" s="70"/>
      <c r="Q107" s="70"/>
      <c r="R107" s="70"/>
      <c r="S107" s="95"/>
      <c r="T107" s="70"/>
      <c r="W107" s="418"/>
      <c r="X107" s="418"/>
      <c r="Y107" s="418"/>
      <c r="Z107" s="418"/>
      <c r="AA107" s="418"/>
      <c r="AB107" s="418"/>
      <c r="AC107" s="418"/>
      <c r="AD107" s="418"/>
      <c r="AE107" s="418"/>
      <c r="AF107" s="418"/>
      <c r="AG107" s="442"/>
      <c r="AH107" s="442"/>
      <c r="AI107" s="442"/>
      <c r="BS107" s="486">
        <v>99020</v>
      </c>
      <c r="BT107" s="479" t="s">
        <v>1021</v>
      </c>
      <c r="BU107" s="479">
        <v>10</v>
      </c>
      <c r="BV107" s="476" t="s">
        <v>1187</v>
      </c>
      <c r="BW107" s="476" t="s">
        <v>1187</v>
      </c>
      <c r="BX107" s="476" t="s">
        <v>1187</v>
      </c>
      <c r="BY107" s="476" t="s">
        <v>1187</v>
      </c>
      <c r="BZ107" s="476" t="s">
        <v>1187</v>
      </c>
      <c r="CA107" s="476" t="s">
        <v>1187</v>
      </c>
      <c r="CB107" s="476" t="s">
        <v>1187</v>
      </c>
      <c r="CC107" s="476" t="s">
        <v>1187</v>
      </c>
      <c r="CD107" s="476" t="s">
        <v>1187</v>
      </c>
      <c r="CE107" s="476" t="s">
        <v>1188</v>
      </c>
      <c r="CF107" s="476" t="s">
        <v>1188</v>
      </c>
      <c r="CG107" s="476" t="s">
        <v>1188</v>
      </c>
      <c r="CH107" s="476" t="s">
        <v>1188</v>
      </c>
      <c r="CI107" s="476" t="s">
        <v>1187</v>
      </c>
      <c r="CJ107" s="476" t="s">
        <v>1188</v>
      </c>
      <c r="CK107" s="476" t="s">
        <v>1187</v>
      </c>
      <c r="CL107" s="476" t="s">
        <v>1188</v>
      </c>
      <c r="CM107" s="476" t="str">
        <f>IF(VLOOKUP(BS107,'Données par municipalité'!$B$6:$E$1113,4,FALSE)="","non","oui")</f>
        <v>oui</v>
      </c>
      <c r="CN107" s="410">
        <v>3998.9840835224595</v>
      </c>
      <c r="CO107" s="410">
        <v>3602.1979088590392</v>
      </c>
      <c r="CP107" s="410">
        <v>3492.6520925995246</v>
      </c>
      <c r="CQ107" s="410">
        <v>4107.4274302862923</v>
      </c>
      <c r="CR107" s="410"/>
      <c r="CS107" s="410">
        <v>3140.6292706919521</v>
      </c>
      <c r="CT107" s="410"/>
      <c r="CU107" s="410">
        <v>2806</v>
      </c>
      <c r="CV107" s="410">
        <f>IF(VLOOKUP(BS107,'Données par municipalité'!$B$6:$F$1113,4,FALSE)="","",VLOOKUP(BS107,'Données par municipalité'!$B$6:$F$1113,4,FALSE))</f>
        <v>2301</v>
      </c>
      <c r="CW107" s="476" t="s">
        <v>4723</v>
      </c>
      <c r="CX107" s="483">
        <v>0</v>
      </c>
      <c r="CY107" s="483">
        <v>0</v>
      </c>
      <c r="CZ107" s="483">
        <v>1</v>
      </c>
      <c r="DA107" s="483" t="s">
        <v>1124</v>
      </c>
      <c r="DB107" s="483">
        <v>1</v>
      </c>
      <c r="DC107" s="483" t="s">
        <v>1124</v>
      </c>
      <c r="DD107" s="483">
        <v>2.7173913043478264E-2</v>
      </c>
      <c r="DE107" s="483">
        <f>IFERROR(SUM(VLOOKUP($BS107,'État &amp; Plan d''action'!$B$6:$Z$1113,18,FALSE),VLOOKUP($BS107,'État &amp; Plan d''action'!$B$6:$Z$1113,20,FALSE))/(VLOOKUP($BS107,'Données par municipalité'!$B$4:$L$1113,11,FALSE)),"")</f>
        <v>1</v>
      </c>
      <c r="DF107" s="483">
        <f>IFERROR(SUM(VLOOKUP($BS107,'État &amp; Plan d''action'!$B$6:$Z$1113,19,FALSE),VLOOKUP($BS107,'État &amp; Plan d''action'!$B$6:$Z$1113,21,FALSE))/(VLOOKUP($BS107,'Données par municipalité'!$B$4:$L$1113,11,FALSE)),"")</f>
        <v>1</v>
      </c>
      <c r="DG107" s="476" t="s">
        <v>4723</v>
      </c>
      <c r="DH107" s="484">
        <v>6</v>
      </c>
      <c r="DI107" s="484">
        <v>3</v>
      </c>
      <c r="DJ107" s="484">
        <v>6</v>
      </c>
      <c r="DK107" s="484">
        <v>6</v>
      </c>
      <c r="DL107" s="484">
        <v>8</v>
      </c>
      <c r="DM107" s="484" t="s">
        <v>1124</v>
      </c>
      <c r="DN107" s="484">
        <v>0</v>
      </c>
      <c r="DO107" s="484">
        <v>2</v>
      </c>
      <c r="DP107" s="484">
        <v>0</v>
      </c>
      <c r="DQ107" s="484">
        <f>IF(VLOOKUP($BS107,'État &amp; Plan d''action'!$B$6:$AJ$1113,28,FALSE)="","",VLOOKUP($BS107,'État &amp; Plan d''action'!$B$6:$AJ$1113,28,FALSE))</f>
        <v>1</v>
      </c>
      <c r="DR107" s="70">
        <f>IF(VLOOKUP($BS107,'État &amp; Plan d''action'!$B$6:$AJ$1113,29,FALSE)="","",VLOOKUP($BS107,'État &amp; Plan d''action'!$B$6:$AJ$1113,29,FALSE))</f>
        <v>1</v>
      </c>
      <c r="DS107" s="70">
        <f>IF(VLOOKUP($BS107,'État &amp; Plan d''action'!$B$6:$AJ$1113,30,FALSE)="","",VLOOKUP($BS107,'État &amp; Plan d''action'!$B$6:$AJ$1113,30,FALSE))</f>
        <v>0</v>
      </c>
      <c r="DT107" s="70">
        <v>740</v>
      </c>
      <c r="DU107" s="485">
        <v>3.11177052544463</v>
      </c>
      <c r="DV107" s="485">
        <v>4.407666850111938</v>
      </c>
      <c r="DW107" s="70">
        <v>0</v>
      </c>
      <c r="DX107" s="70">
        <v>1</v>
      </c>
      <c r="DY107" s="70">
        <v>0</v>
      </c>
      <c r="DZ107" s="70">
        <f>VLOOKUP($BS107,'État &amp; Plan d''action'!$B$6:$AH$1113,31,FALSE)</f>
        <v>1</v>
      </c>
      <c r="EA107" s="70">
        <f>VLOOKUP($BS107,'État &amp; Plan d''action'!$B$6:$AH$1113,32,FALSE)</f>
        <v>1</v>
      </c>
      <c r="EB107" s="70">
        <f>VLOOKUP($BS107,'État &amp; Plan d''action'!$B$6:$AH$1113,33,FALSE)</f>
        <v>0</v>
      </c>
      <c r="EC107" s="70">
        <v>0</v>
      </c>
      <c r="ED107" s="70">
        <v>0</v>
      </c>
      <c r="EE107" s="70">
        <v>0.5</v>
      </c>
      <c r="EF107" s="70">
        <v>0</v>
      </c>
      <c r="EG107" s="70">
        <v>0</v>
      </c>
      <c r="EH107" s="72">
        <v>60</v>
      </c>
      <c r="EI107" s="72">
        <v>1558</v>
      </c>
    </row>
    <row r="108" spans="1:139" ht="15" customHeight="1" x14ac:dyDescent="0.35">
      <c r="A108" s="1"/>
      <c r="B108"/>
      <c r="C108"/>
      <c r="D108"/>
      <c r="E108"/>
      <c r="F108"/>
      <c r="G108"/>
      <c r="H108"/>
      <c r="I108"/>
      <c r="J108"/>
      <c r="K108"/>
      <c r="L108"/>
      <c r="M108"/>
      <c r="N108"/>
      <c r="O108" s="70"/>
      <c r="P108" s="70"/>
      <c r="Q108" s="70"/>
      <c r="R108" s="70"/>
      <c r="S108" s="95"/>
      <c r="T108" s="70"/>
      <c r="W108" s="418"/>
      <c r="X108" s="418"/>
      <c r="Y108" s="418"/>
      <c r="Z108" s="418"/>
      <c r="AA108" s="418"/>
      <c r="AB108" s="418"/>
      <c r="AC108" s="418"/>
      <c r="AD108" s="418"/>
      <c r="AE108" s="418"/>
      <c r="AF108" s="418"/>
      <c r="AG108" s="442"/>
      <c r="AH108" s="442"/>
      <c r="AI108" s="442"/>
      <c r="BS108" s="486">
        <v>51080</v>
      </c>
      <c r="BT108" s="479" t="s">
        <v>512</v>
      </c>
      <c r="BU108" s="479">
        <v>4</v>
      </c>
      <c r="BV108" s="476" t="s">
        <v>1187</v>
      </c>
      <c r="BW108" s="476" t="s">
        <v>1187</v>
      </c>
      <c r="BX108" s="476" t="s">
        <v>1187</v>
      </c>
      <c r="BY108" s="476" t="s">
        <v>1187</v>
      </c>
      <c r="BZ108" s="476" t="s">
        <v>1187</v>
      </c>
      <c r="CA108" s="476" t="s">
        <v>1187</v>
      </c>
      <c r="CB108" s="476" t="s">
        <v>1187</v>
      </c>
      <c r="CC108" s="476" t="s">
        <v>1187</v>
      </c>
      <c r="CD108" s="476" t="s">
        <v>1187</v>
      </c>
      <c r="CE108" s="476" t="s">
        <v>1188</v>
      </c>
      <c r="CF108" s="476" t="s">
        <v>1188</v>
      </c>
      <c r="CG108" s="476" t="s">
        <v>1188</v>
      </c>
      <c r="CH108" s="476" t="s">
        <v>1187</v>
      </c>
      <c r="CI108" s="476" t="s">
        <v>1188</v>
      </c>
      <c r="CJ108" s="476" t="s">
        <v>1188</v>
      </c>
      <c r="CK108" s="476" t="s">
        <v>1187</v>
      </c>
      <c r="CL108" s="476" t="s">
        <v>1188</v>
      </c>
      <c r="CM108" s="476" t="str">
        <f>IF(VLOOKUP(BS108,'Données par municipalité'!$B$6:$E$1113,4,FALSE)="","non","oui")</f>
        <v>oui</v>
      </c>
      <c r="CN108" s="410">
        <v>236.09094230516004</v>
      </c>
      <c r="CO108" s="410">
        <v>359.61150763166637</v>
      </c>
      <c r="CP108" s="410">
        <v>300.61651336537494</v>
      </c>
      <c r="CQ108" s="410"/>
      <c r="CR108" s="410">
        <v>363.4322387005144</v>
      </c>
      <c r="CS108" s="410">
        <v>358.26471153563745</v>
      </c>
      <c r="CT108" s="410"/>
      <c r="CU108" s="410">
        <v>395</v>
      </c>
      <c r="CV108" s="410">
        <f>IF(VLOOKUP(BS108,'Données par municipalité'!$B$6:$F$1113,4,FALSE)="","",VLOOKUP(BS108,'Données par municipalité'!$B$6:$F$1113,4,FALSE))</f>
        <v>393</v>
      </c>
      <c r="CW108" s="476" t="s">
        <v>4723</v>
      </c>
      <c r="CX108" s="483">
        <v>0</v>
      </c>
      <c r="CY108" s="483">
        <v>0</v>
      </c>
      <c r="CZ108" s="483" t="s">
        <v>1124</v>
      </c>
      <c r="DA108" s="483">
        <v>0</v>
      </c>
      <c r="DB108" s="483">
        <v>0</v>
      </c>
      <c r="DC108" s="483" t="s">
        <v>1124</v>
      </c>
      <c r="DD108" s="483">
        <v>0</v>
      </c>
      <c r="DE108" s="483">
        <f>IFERROR(SUM(VLOOKUP($BS108,'État &amp; Plan d''action'!$B$6:$Z$1113,18,FALSE),VLOOKUP($BS108,'État &amp; Plan d''action'!$B$6:$Z$1113,20,FALSE))/(VLOOKUP($BS108,'Données par municipalité'!$B$4:$L$1113,11,FALSE)),"")</f>
        <v>0</v>
      </c>
      <c r="DF108" s="483">
        <f>IFERROR(SUM(VLOOKUP($BS108,'État &amp; Plan d''action'!$B$6:$Z$1113,19,FALSE),VLOOKUP($BS108,'État &amp; Plan d''action'!$B$6:$Z$1113,21,FALSE))/(VLOOKUP($BS108,'Données par municipalité'!$B$4:$L$1113,11,FALSE)),"")</f>
        <v>1</v>
      </c>
      <c r="DG108" s="476" t="s">
        <v>4723</v>
      </c>
      <c r="DH108" s="484">
        <v>0</v>
      </c>
      <c r="DI108" s="484">
        <v>0</v>
      </c>
      <c r="DJ108" s="484">
        <v>0</v>
      </c>
      <c r="DK108" s="484">
        <v>0</v>
      </c>
      <c r="DL108" s="484">
        <v>0</v>
      </c>
      <c r="DM108" s="484" t="s">
        <v>1124</v>
      </c>
      <c r="DN108" s="484">
        <v>1</v>
      </c>
      <c r="DO108" s="484">
        <v>0</v>
      </c>
      <c r="DP108" s="484">
        <v>1</v>
      </c>
      <c r="DQ108" s="484">
        <f>IF(VLOOKUP($BS108,'État &amp; Plan d''action'!$B$6:$AJ$1113,28,FALSE)="","",VLOOKUP($BS108,'État &amp; Plan d''action'!$B$6:$AJ$1113,28,FALSE))</f>
        <v>0</v>
      </c>
      <c r="DR108" s="70">
        <f>IF(VLOOKUP($BS108,'État &amp; Plan d''action'!$B$6:$AJ$1113,29,FALSE)="","",VLOOKUP($BS108,'État &amp; Plan d''action'!$B$6:$AJ$1113,29,FALSE))</f>
        <v>1</v>
      </c>
      <c r="DS108" s="70">
        <f>IF(VLOOKUP($BS108,'État &amp; Plan d''action'!$B$6:$AJ$1113,30,FALSE)="","",VLOOKUP($BS108,'État &amp; Plan d''action'!$B$6:$AJ$1113,30,FALSE))</f>
        <v>1</v>
      </c>
      <c r="DT108" s="70">
        <v>261</v>
      </c>
      <c r="DU108" s="485">
        <v>2.3948014855372302</v>
      </c>
      <c r="DV108" s="485">
        <v>0.98164733480452426</v>
      </c>
      <c r="DW108" s="70">
        <v>5</v>
      </c>
      <c r="DX108" s="70">
        <v>0</v>
      </c>
      <c r="DY108" s="70">
        <v>30</v>
      </c>
      <c r="DZ108" s="70">
        <f>VLOOKUP($BS108,'État &amp; Plan d''action'!$B$6:$AH$1113,31,FALSE)</f>
        <v>0</v>
      </c>
      <c r="EA108" s="70">
        <f>VLOOKUP($BS108,'État &amp; Plan d''action'!$B$6:$AH$1113,32,FALSE)</f>
        <v>2</v>
      </c>
      <c r="EB108" s="70">
        <f>VLOOKUP($BS108,'État &amp; Plan d''action'!$B$6:$AH$1113,33,FALSE)</f>
        <v>4</v>
      </c>
      <c r="EC108" s="70">
        <v>14.226000000000001</v>
      </c>
      <c r="ED108" s="70">
        <v>0</v>
      </c>
      <c r="EE108" s="70">
        <v>0</v>
      </c>
      <c r="EF108" s="70">
        <v>0</v>
      </c>
      <c r="EG108" s="70">
        <v>0</v>
      </c>
      <c r="EH108" s="72">
        <v>50</v>
      </c>
      <c r="EI108" s="72">
        <v>970</v>
      </c>
    </row>
    <row r="109" spans="1:139" ht="19.5" customHeight="1" x14ac:dyDescent="0.35">
      <c r="A109" s="1"/>
      <c r="B109" s="520" t="s">
        <v>4764</v>
      </c>
      <c r="C109" s="520"/>
      <c r="D109" s="520"/>
      <c r="E109"/>
      <c r="F109"/>
      <c r="G109"/>
      <c r="H109"/>
      <c r="I109"/>
      <c r="J109"/>
      <c r="K109"/>
      <c r="L109"/>
      <c r="M109"/>
      <c r="N109"/>
      <c r="O109" s="70"/>
      <c r="P109" s="70"/>
      <c r="Q109" s="70"/>
      <c r="R109" s="70"/>
      <c r="S109" s="95"/>
      <c r="T109" s="70"/>
      <c r="W109" s="442"/>
      <c r="X109" s="442"/>
      <c r="Y109" s="442"/>
      <c r="Z109" s="442"/>
      <c r="AA109" s="442"/>
      <c r="AB109" s="442"/>
      <c r="AC109" s="442"/>
      <c r="AD109" s="442"/>
      <c r="AE109" s="442"/>
      <c r="AF109" s="442"/>
      <c r="AG109" s="442"/>
      <c r="AH109" s="442"/>
      <c r="AI109" s="442"/>
      <c r="BS109" s="486">
        <v>60005</v>
      </c>
      <c r="BT109" s="479" t="s">
        <v>605</v>
      </c>
      <c r="BU109" s="479">
        <v>14</v>
      </c>
      <c r="BV109" s="476" t="s">
        <v>1187</v>
      </c>
      <c r="BW109" s="476" t="s">
        <v>1187</v>
      </c>
      <c r="BX109" s="476" t="s">
        <v>1187</v>
      </c>
      <c r="BY109" s="476" t="s">
        <v>1187</v>
      </c>
      <c r="BZ109" s="476" t="s">
        <v>1187</v>
      </c>
      <c r="CA109" s="476" t="s">
        <v>1187</v>
      </c>
      <c r="CB109" s="476" t="s">
        <v>1187</v>
      </c>
      <c r="CC109" s="476" t="s">
        <v>1187</v>
      </c>
      <c r="CD109" s="476" t="s">
        <v>1187</v>
      </c>
      <c r="CE109" s="476" t="s">
        <v>1188</v>
      </c>
      <c r="CF109" s="476" t="s">
        <v>1188</v>
      </c>
      <c r="CG109" s="476" t="s">
        <v>1188</v>
      </c>
      <c r="CH109" s="476" t="s">
        <v>1188</v>
      </c>
      <c r="CI109" s="476" t="s">
        <v>1188</v>
      </c>
      <c r="CJ109" s="476" t="s">
        <v>1188</v>
      </c>
      <c r="CK109" s="476" t="s">
        <v>1188</v>
      </c>
      <c r="CL109" s="476" t="s">
        <v>1188</v>
      </c>
      <c r="CM109" s="476" t="str">
        <f>IF(VLOOKUP(BS109,'Données par municipalité'!$B$6:$E$1113,4,FALSE)="","non","oui")</f>
        <v>oui</v>
      </c>
      <c r="CN109" s="410">
        <v>433.77424732278217</v>
      </c>
      <c r="CO109" s="410">
        <v>394.59435775136296</v>
      </c>
      <c r="CP109" s="410">
        <v>364.96382533328432</v>
      </c>
      <c r="CQ109" s="410">
        <v>354.53220635383263</v>
      </c>
      <c r="CR109" s="410">
        <v>367.21315644307208</v>
      </c>
      <c r="CS109" s="410">
        <v>393.95320704152476</v>
      </c>
      <c r="CT109" s="410">
        <v>450.9471318493151</v>
      </c>
      <c r="CU109" s="410">
        <v>482</v>
      </c>
      <c r="CV109" s="410">
        <f>IF(VLOOKUP(BS109,'Données par municipalité'!$B$6:$F$1113,4,FALSE)="","",VLOOKUP(BS109,'Données par municipalité'!$B$6:$F$1113,4,FALSE))</f>
        <v>522</v>
      </c>
      <c r="CW109" s="476" t="s">
        <v>4723</v>
      </c>
      <c r="CX109" s="483">
        <v>0.2</v>
      </c>
      <c r="CY109" s="483">
        <v>0</v>
      </c>
      <c r="CZ109" s="483">
        <v>0</v>
      </c>
      <c r="DA109" s="483">
        <v>0</v>
      </c>
      <c r="DB109" s="483">
        <v>0.2</v>
      </c>
      <c r="DC109" s="483">
        <v>0.2</v>
      </c>
      <c r="DD109" s="483">
        <v>1</v>
      </c>
      <c r="DE109" s="483">
        <f>IFERROR(SUM(VLOOKUP($BS109,'État &amp; Plan d''action'!$B$6:$Z$1113,18,FALSE),VLOOKUP($BS109,'État &amp; Plan d''action'!$B$6:$Z$1113,20,FALSE))/(VLOOKUP($BS109,'Données par municipalité'!$B$4:$L$1113,11,FALSE)),"")</f>
        <v>1.0265999061179785</v>
      </c>
      <c r="DF109" s="483">
        <f>IFERROR(SUM(VLOOKUP($BS109,'État &amp; Plan d''action'!$B$6:$Z$1113,19,FALSE),VLOOKUP($BS109,'État &amp; Plan d''action'!$B$6:$Z$1113,21,FALSE))/(VLOOKUP($BS109,'Données par municipalité'!$B$4:$L$1113,11,FALSE)),"")</f>
        <v>1.0265999061179785</v>
      </c>
      <c r="DG109" s="476" t="s">
        <v>4723</v>
      </c>
      <c r="DH109" s="484">
        <v>13</v>
      </c>
      <c r="DI109" s="484">
        <v>9</v>
      </c>
      <c r="DJ109" s="484">
        <v>10</v>
      </c>
      <c r="DK109" s="484">
        <v>5</v>
      </c>
      <c r="DL109" s="484">
        <v>6</v>
      </c>
      <c r="DM109" s="484">
        <v>9</v>
      </c>
      <c r="DN109" s="484">
        <v>3</v>
      </c>
      <c r="DO109" s="484">
        <v>0</v>
      </c>
      <c r="DP109" s="484">
        <v>0</v>
      </c>
      <c r="DQ109" s="484">
        <f>IF(VLOOKUP($BS109,'État &amp; Plan d''action'!$B$6:$AJ$1113,28,FALSE)="","",VLOOKUP($BS109,'État &amp; Plan d''action'!$B$6:$AJ$1113,28,FALSE))</f>
        <v>6</v>
      </c>
      <c r="DR109" s="70">
        <f>IF(VLOOKUP($BS109,'État &amp; Plan d''action'!$B$6:$AJ$1113,29,FALSE)="","",VLOOKUP($BS109,'État &amp; Plan d''action'!$B$6:$AJ$1113,29,FALSE))</f>
        <v>0</v>
      </c>
      <c r="DS109" s="70">
        <f>IF(VLOOKUP($BS109,'État &amp; Plan d''action'!$B$6:$AJ$1113,30,FALSE)="","",VLOOKUP($BS109,'État &amp; Plan d''action'!$B$6:$AJ$1113,30,FALSE))</f>
        <v>0</v>
      </c>
      <c r="DT109" s="70">
        <v>226</v>
      </c>
      <c r="DU109" s="485">
        <v>14.163635755934855</v>
      </c>
      <c r="DV109" s="485">
        <v>20.097206157667728</v>
      </c>
      <c r="DW109" s="70">
        <v>1</v>
      </c>
      <c r="DX109" s="70">
        <v>1</v>
      </c>
      <c r="DY109" s="70">
        <v>5</v>
      </c>
      <c r="DZ109" s="70">
        <f>VLOOKUP($BS109,'État &amp; Plan d''action'!$B$6:$AH$1113,31,FALSE)</f>
        <v>1</v>
      </c>
      <c r="EA109" s="70">
        <f>VLOOKUP($BS109,'État &amp; Plan d''action'!$B$6:$AH$1113,32,FALSE)</f>
        <v>0</v>
      </c>
      <c r="EB109" s="70">
        <f>VLOOKUP($BS109,'État &amp; Plan d''action'!$B$6:$AH$1113,33,FALSE)</f>
        <v>0</v>
      </c>
      <c r="EC109" s="70">
        <v>0</v>
      </c>
      <c r="ED109" s="70">
        <v>0</v>
      </c>
      <c r="EE109" s="70">
        <v>26.244</v>
      </c>
      <c r="EF109" s="70">
        <v>0</v>
      </c>
      <c r="EG109" s="70">
        <v>0</v>
      </c>
      <c r="EH109" s="72">
        <v>57.392156862745097</v>
      </c>
      <c r="EI109" s="72">
        <v>6105</v>
      </c>
    </row>
    <row r="110" spans="1:139" ht="45" customHeight="1" x14ac:dyDescent="0.65">
      <c r="A110" s="345"/>
      <c r="B110" s="343" t="s">
        <v>4738</v>
      </c>
      <c r="C110" s="343"/>
      <c r="D110" s="343"/>
      <c r="E110" s="343"/>
      <c r="F110" s="343"/>
      <c r="G110" s="343"/>
      <c r="H110" s="343"/>
      <c r="I110" s="343"/>
      <c r="J110" s="343"/>
      <c r="K110" s="343"/>
      <c r="L110" s="343"/>
      <c r="M110" s="343"/>
      <c r="N110" s="343"/>
      <c r="O110" s="346"/>
      <c r="P110" s="346"/>
      <c r="Q110" s="346"/>
      <c r="R110" s="346"/>
      <c r="S110" s="346"/>
      <c r="T110" s="413"/>
      <c r="W110" s="442"/>
      <c r="X110" s="442"/>
      <c r="Y110" s="442"/>
      <c r="Z110" s="442"/>
      <c r="AA110" s="442"/>
      <c r="AB110" s="442"/>
      <c r="AC110" s="442"/>
      <c r="AD110" s="442"/>
      <c r="AE110" s="442"/>
      <c r="AF110" s="442"/>
      <c r="AG110" s="442"/>
      <c r="AH110" s="442"/>
      <c r="AI110" s="442"/>
      <c r="BS110" s="486">
        <v>41020</v>
      </c>
      <c r="BT110" s="479" t="s">
        <v>366</v>
      </c>
      <c r="BU110" s="479">
        <v>5</v>
      </c>
      <c r="BV110" s="476" t="s">
        <v>1188</v>
      </c>
      <c r="BW110" s="476" t="s">
        <v>1188</v>
      </c>
      <c r="BX110" s="476" t="s">
        <v>1188</v>
      </c>
      <c r="BY110" s="476" t="s">
        <v>1188</v>
      </c>
      <c r="BZ110" s="476" t="s">
        <v>1188</v>
      </c>
      <c r="CA110" s="476" t="s">
        <v>1188</v>
      </c>
      <c r="CB110" s="476" t="s">
        <v>1188</v>
      </c>
      <c r="CC110" s="476" t="s">
        <v>1188</v>
      </c>
      <c r="CD110" s="476" t="s">
        <v>1188</v>
      </c>
      <c r="CE110" s="476" t="s">
        <v>1187</v>
      </c>
      <c r="CF110" s="476" t="s">
        <v>1187</v>
      </c>
      <c r="CG110" s="476" t="s">
        <v>1187</v>
      </c>
      <c r="CH110" s="476" t="s">
        <v>1187</v>
      </c>
      <c r="CI110" s="476" t="s">
        <v>1187</v>
      </c>
      <c r="CJ110" s="476" t="s">
        <v>1187</v>
      </c>
      <c r="CK110" s="476" t="s">
        <v>1187</v>
      </c>
      <c r="CL110" s="476" t="s">
        <v>1187</v>
      </c>
      <c r="CM110" s="476" t="str">
        <f>IF(VLOOKUP(BS110,'Données par municipalité'!$B$6:$E$1113,4,FALSE)="","non","oui")</f>
        <v>non</v>
      </c>
      <c r="CN110" s="410" t="s">
        <v>1124</v>
      </c>
      <c r="CO110" s="410" t="s">
        <v>1124</v>
      </c>
      <c r="CP110" s="410"/>
      <c r="CQ110" s="410"/>
      <c r="CR110" s="410"/>
      <c r="CS110" s="410" t="s">
        <v>1124</v>
      </c>
      <c r="CT110" s="410"/>
      <c r="CU110" s="410" t="s">
        <v>1124</v>
      </c>
      <c r="CV110" s="410" t="str">
        <f>IF(VLOOKUP(BS110,'Données par municipalité'!$B$6:$F$1113,4,FALSE)="","",VLOOKUP(BS110,'Données par municipalité'!$B$6:$F$1113,4,FALSE))</f>
        <v/>
      </c>
      <c r="CW110" s="476" t="s">
        <v>4723</v>
      </c>
      <c r="CX110" s="483" t="s">
        <v>1124</v>
      </c>
      <c r="CY110" s="483" t="s">
        <v>1124</v>
      </c>
      <c r="CZ110" s="483" t="s">
        <v>1124</v>
      </c>
      <c r="DA110" s="483" t="s">
        <v>1124</v>
      </c>
      <c r="DB110" s="483" t="s">
        <v>1124</v>
      </c>
      <c r="DC110" s="483" t="s">
        <v>1124</v>
      </c>
      <c r="DD110" s="483" t="s">
        <v>1124</v>
      </c>
      <c r="DE110" s="483" t="str">
        <f>IFERROR(SUM(VLOOKUP($BS110,'État &amp; Plan d''action'!$B$6:$Z$1113,18,FALSE),VLOOKUP($BS110,'État &amp; Plan d''action'!$B$6:$Z$1113,20,FALSE))/(VLOOKUP($BS110,'Données par municipalité'!$B$4:$L$1113,11,FALSE)),"")</f>
        <v/>
      </c>
      <c r="DF110" s="483" t="str">
        <f>IFERROR(SUM(VLOOKUP($BS110,'État &amp; Plan d''action'!$B$6:$Z$1113,19,FALSE),VLOOKUP($BS110,'État &amp; Plan d''action'!$B$6:$Z$1113,21,FALSE))/(VLOOKUP($BS110,'Données par municipalité'!$B$4:$L$1113,11,FALSE)),"")</f>
        <v/>
      </c>
      <c r="DG110" s="476" t="s">
        <v>4723</v>
      </c>
      <c r="DH110" s="484" t="s">
        <v>1124</v>
      </c>
      <c r="DI110" s="484" t="s">
        <v>1124</v>
      </c>
      <c r="DJ110" s="484">
        <v>0</v>
      </c>
      <c r="DK110" s="484">
        <v>0</v>
      </c>
      <c r="DL110" s="484" t="s">
        <v>1124</v>
      </c>
      <c r="DM110" s="484" t="s">
        <v>1124</v>
      </c>
      <c r="DN110" s="484" t="s">
        <v>1124</v>
      </c>
      <c r="DO110" s="484" t="s">
        <v>1124</v>
      </c>
      <c r="DP110" s="484" t="s">
        <v>1124</v>
      </c>
      <c r="DQ110" s="484" t="str">
        <f>IF(VLOOKUP($BS110,'État &amp; Plan d''action'!$B$6:$AJ$1113,28,FALSE)="","",VLOOKUP($BS110,'État &amp; Plan d''action'!$B$6:$AJ$1113,28,FALSE))</f>
        <v/>
      </c>
      <c r="DR110" s="70" t="str">
        <f>IF(VLOOKUP($BS110,'État &amp; Plan d''action'!$B$6:$AJ$1113,29,FALSE)="","",VLOOKUP($BS110,'État &amp; Plan d''action'!$B$6:$AJ$1113,29,FALSE))</f>
        <v/>
      </c>
      <c r="DS110" s="70" t="str">
        <f>IF(VLOOKUP($BS110,'État &amp; Plan d''action'!$B$6:$AJ$1113,30,FALSE)="","",VLOOKUP($BS110,'État &amp; Plan d''action'!$B$6:$AJ$1113,30,FALSE))</f>
        <v/>
      </c>
      <c r="DT110" s="70" t="s">
        <v>1124</v>
      </c>
      <c r="DU110" s="485" t="s">
        <v>1124</v>
      </c>
      <c r="DV110" s="485" t="s">
        <v>1124</v>
      </c>
      <c r="DW110" s="70" t="s">
        <v>1124</v>
      </c>
      <c r="DX110" s="70" t="s">
        <v>1124</v>
      </c>
      <c r="DY110" s="70" t="s">
        <v>1124</v>
      </c>
      <c r="DZ110" s="70" t="str">
        <f>VLOOKUP($BS110,'État &amp; Plan d''action'!$B$6:$AH$1113,31,FALSE)</f>
        <v/>
      </c>
      <c r="EA110" s="70" t="str">
        <f>VLOOKUP($BS110,'État &amp; Plan d''action'!$B$6:$AH$1113,32,FALSE)</f>
        <v/>
      </c>
      <c r="EB110" s="70" t="str">
        <f>VLOOKUP($BS110,'État &amp; Plan d''action'!$B$6:$AH$1113,33,FALSE)</f>
        <v/>
      </c>
      <c r="EC110" s="70" t="s">
        <v>1124</v>
      </c>
      <c r="ED110" s="70" t="s">
        <v>1124</v>
      </c>
      <c r="EE110" s="70" t="s">
        <v>1124</v>
      </c>
      <c r="EF110" s="70" t="s">
        <v>1124</v>
      </c>
      <c r="EG110" s="70" t="s">
        <v>1124</v>
      </c>
      <c r="EH110" s="72"/>
      <c r="EI110" s="72">
        <v>279</v>
      </c>
    </row>
    <row r="111" spans="1:139" ht="15" customHeight="1" x14ac:dyDescent="0.35">
      <c r="A111" s="542"/>
      <c r="B111" s="542"/>
      <c r="C111" s="542"/>
      <c r="D111" s="542"/>
      <c r="E111" s="542"/>
      <c r="F111" s="542"/>
      <c r="G111" s="542"/>
      <c r="H111" s="542"/>
      <c r="I111" s="542"/>
      <c r="J111" s="542"/>
      <c r="K111" s="542"/>
      <c r="L111" s="542"/>
      <c r="M111" s="542"/>
      <c r="N111" s="542"/>
      <c r="O111" s="542"/>
      <c r="P111" s="542"/>
      <c r="Q111" s="542"/>
      <c r="R111" s="542"/>
      <c r="S111" s="542"/>
      <c r="T111" s="542"/>
      <c r="W111" s="442"/>
      <c r="X111" s="442"/>
      <c r="Y111" s="442"/>
      <c r="Z111" s="442"/>
      <c r="AA111" s="442"/>
      <c r="AB111" s="442"/>
      <c r="AC111" s="442"/>
      <c r="AD111" s="442"/>
      <c r="AE111" s="442"/>
      <c r="AF111" s="442"/>
      <c r="AG111" s="442"/>
      <c r="AH111" s="442"/>
      <c r="AI111" s="442"/>
      <c r="BS111" s="486">
        <v>67050</v>
      </c>
      <c r="BT111" s="479" t="s">
        <v>671</v>
      </c>
      <c r="BU111" s="479">
        <v>16</v>
      </c>
      <c r="BV111" s="476" t="s">
        <v>1187</v>
      </c>
      <c r="BW111" s="476" t="s">
        <v>1187</v>
      </c>
      <c r="BX111" s="476" t="s">
        <v>1187</v>
      </c>
      <c r="BY111" s="476" t="s">
        <v>1187</v>
      </c>
      <c r="BZ111" s="476" t="s">
        <v>1187</v>
      </c>
      <c r="CA111" s="476" t="s">
        <v>1187</v>
      </c>
      <c r="CB111" s="476" t="s">
        <v>1187</v>
      </c>
      <c r="CC111" s="476" t="s">
        <v>1187</v>
      </c>
      <c r="CD111" s="476" t="s">
        <v>1187</v>
      </c>
      <c r="CE111" s="476" t="s">
        <v>1187</v>
      </c>
      <c r="CF111" s="476" t="s">
        <v>1187</v>
      </c>
      <c r="CG111" s="476" t="s">
        <v>1187</v>
      </c>
      <c r="CH111" s="476" t="s">
        <v>1187</v>
      </c>
      <c r="CI111" s="476" t="s">
        <v>1187</v>
      </c>
      <c r="CJ111" s="476" t="s">
        <v>1188</v>
      </c>
      <c r="CK111" s="476" t="s">
        <v>1188</v>
      </c>
      <c r="CL111" s="476" t="s">
        <v>1187</v>
      </c>
      <c r="CM111" s="476" t="str">
        <f>IF(VLOOKUP(BS111,'Données par municipalité'!$B$6:$E$1113,4,FALSE)="","non","oui")</f>
        <v>oui</v>
      </c>
      <c r="CN111" s="410" t="s">
        <v>1124</v>
      </c>
      <c r="CO111" s="410" t="s">
        <v>1124</v>
      </c>
      <c r="CP111" s="410"/>
      <c r="CQ111" s="410"/>
      <c r="CR111" s="410"/>
      <c r="CS111" s="410">
        <v>542.19345836559876</v>
      </c>
      <c r="CT111" s="410">
        <v>517.69858041378586</v>
      </c>
      <c r="CU111" s="410" t="s">
        <v>1124</v>
      </c>
      <c r="CV111" s="410">
        <f>IF(VLOOKUP(BS111,'Données par municipalité'!$B$6:$F$1113,4,FALSE)="","",VLOOKUP(BS111,'Données par municipalité'!$B$6:$F$1113,4,FALSE))</f>
        <v>492</v>
      </c>
      <c r="CW111" s="476" t="s">
        <v>4723</v>
      </c>
      <c r="CX111" s="483" t="s">
        <v>1124</v>
      </c>
      <c r="CY111" s="483" t="s">
        <v>1124</v>
      </c>
      <c r="CZ111" s="483" t="s">
        <v>1124</v>
      </c>
      <c r="DA111" s="483" t="s">
        <v>1124</v>
      </c>
      <c r="DB111" s="483">
        <v>1</v>
      </c>
      <c r="DC111" s="483">
        <v>1</v>
      </c>
      <c r="DD111" s="483" t="s">
        <v>1124</v>
      </c>
      <c r="DE111" s="483">
        <f>IFERROR(SUM(VLOOKUP($BS111,'État &amp; Plan d''action'!$B$6:$Z$1113,18,FALSE),VLOOKUP($BS111,'État &amp; Plan d''action'!$B$6:$Z$1113,20,FALSE))/(VLOOKUP($BS111,'Données par municipalité'!$B$4:$L$1113,11,FALSE)),"")</f>
        <v>2</v>
      </c>
      <c r="DF111" s="483">
        <f>IFERROR(SUM(VLOOKUP($BS111,'État &amp; Plan d''action'!$B$6:$Z$1113,19,FALSE),VLOOKUP($BS111,'État &amp; Plan d''action'!$B$6:$Z$1113,21,FALSE))/(VLOOKUP($BS111,'Données par municipalité'!$B$4:$L$1113,11,FALSE)),"")</f>
        <v>2</v>
      </c>
      <c r="DG111" s="476" t="s">
        <v>4723</v>
      </c>
      <c r="DH111" s="484">
        <v>67</v>
      </c>
      <c r="DI111" s="484">
        <v>65</v>
      </c>
      <c r="DJ111" s="484">
        <v>67</v>
      </c>
      <c r="DK111" s="484">
        <v>57</v>
      </c>
      <c r="DL111" s="484">
        <v>83</v>
      </c>
      <c r="DM111" s="484">
        <v>61</v>
      </c>
      <c r="DN111" s="484" t="s">
        <v>1124</v>
      </c>
      <c r="DO111" s="484" t="s">
        <v>1124</v>
      </c>
      <c r="DP111" s="484" t="s">
        <v>1124</v>
      </c>
      <c r="DQ111" s="484">
        <f>IF(VLOOKUP($BS111,'État &amp; Plan d''action'!$B$6:$AJ$1113,28,FALSE)="","",VLOOKUP($BS111,'État &amp; Plan d''action'!$B$6:$AJ$1113,28,FALSE))</f>
        <v>55</v>
      </c>
      <c r="DR111" s="70">
        <f>IF(VLOOKUP($BS111,'État &amp; Plan d''action'!$B$6:$AJ$1113,29,FALSE)="","",VLOOKUP($BS111,'État &amp; Plan d''action'!$B$6:$AJ$1113,29,FALSE))</f>
        <v>0</v>
      </c>
      <c r="DS111" s="70">
        <f>IF(VLOOKUP($BS111,'État &amp; Plan d''action'!$B$6:$AJ$1113,30,FALSE)="","",VLOOKUP($BS111,'État &amp; Plan d''action'!$B$6:$AJ$1113,30,FALSE))</f>
        <v>0</v>
      </c>
      <c r="DT111" s="70" t="s">
        <v>1124</v>
      </c>
      <c r="DU111" s="485" t="s">
        <v>1124</v>
      </c>
      <c r="DV111" s="485">
        <v>9.6009682366221512</v>
      </c>
      <c r="DW111" s="70" t="s">
        <v>1124</v>
      </c>
      <c r="DX111" s="70" t="s">
        <v>1124</v>
      </c>
      <c r="DY111" s="70" t="s">
        <v>1124</v>
      </c>
      <c r="DZ111" s="70">
        <f>VLOOKUP($BS111,'État &amp; Plan d''action'!$B$6:$AH$1113,31,FALSE)</f>
        <v>1</v>
      </c>
      <c r="EA111" s="70">
        <f>VLOOKUP($BS111,'État &amp; Plan d''action'!$B$6:$AH$1113,32,FALSE)</f>
        <v>0</v>
      </c>
      <c r="EB111" s="70">
        <f>VLOOKUP($BS111,'État &amp; Plan d''action'!$B$6:$AH$1113,33,FALSE)</f>
        <v>0</v>
      </c>
      <c r="EC111" s="70" t="s">
        <v>1124</v>
      </c>
      <c r="ED111" s="70" t="s">
        <v>1124</v>
      </c>
      <c r="EE111" s="70" t="s">
        <v>1124</v>
      </c>
      <c r="EF111" s="70" t="s">
        <v>1124</v>
      </c>
      <c r="EG111" s="70" t="s">
        <v>1124</v>
      </c>
      <c r="EH111" s="72"/>
      <c r="EI111" s="72">
        <v>49414</v>
      </c>
    </row>
    <row r="112" spans="1:139" ht="12.75" customHeight="1" x14ac:dyDescent="0.35">
      <c r="A112" s="1"/>
      <c r="B112"/>
      <c r="C112" s="1"/>
      <c r="D112"/>
      <c r="E112"/>
      <c r="F112"/>
      <c r="G112"/>
      <c r="H112"/>
      <c r="I112"/>
      <c r="J112"/>
      <c r="K112"/>
      <c r="L112"/>
      <c r="M112"/>
      <c r="N112"/>
      <c r="O112" s="70"/>
      <c r="P112" s="70"/>
      <c r="Q112" s="70"/>
      <c r="R112" s="70"/>
      <c r="S112" s="95"/>
      <c r="T112" s="70"/>
      <c r="W112" s="442"/>
      <c r="X112" s="442"/>
      <c r="Y112" s="442"/>
      <c r="Z112" s="442"/>
      <c r="AA112" s="442"/>
      <c r="AB112" s="442"/>
      <c r="AC112" s="442"/>
      <c r="AD112" s="442"/>
      <c r="AE112" s="442"/>
      <c r="AF112" s="442"/>
      <c r="AG112" s="442"/>
      <c r="AH112" s="442"/>
      <c r="AI112" s="442"/>
      <c r="BS112" s="486">
        <v>21035</v>
      </c>
      <c r="BT112" s="479" t="s">
        <v>150</v>
      </c>
      <c r="BU112" s="479">
        <v>3</v>
      </c>
      <c r="BV112" s="476" t="s">
        <v>1187</v>
      </c>
      <c r="BW112" s="476" t="s">
        <v>1187</v>
      </c>
      <c r="BX112" s="476" t="s">
        <v>1187</v>
      </c>
      <c r="BY112" s="476" t="s">
        <v>1187</v>
      </c>
      <c r="BZ112" s="476" t="s">
        <v>1187</v>
      </c>
      <c r="CA112" s="476" t="s">
        <v>1187</v>
      </c>
      <c r="CB112" s="476" t="s">
        <v>1187</v>
      </c>
      <c r="CC112" s="476" t="s">
        <v>1187</v>
      </c>
      <c r="CD112" s="476" t="s">
        <v>1187</v>
      </c>
      <c r="CE112" s="476" t="s">
        <v>1188</v>
      </c>
      <c r="CF112" s="476" t="s">
        <v>1188</v>
      </c>
      <c r="CG112" s="476" t="s">
        <v>1187</v>
      </c>
      <c r="CH112" s="476" t="s">
        <v>1187</v>
      </c>
      <c r="CI112" s="476" t="s">
        <v>1188</v>
      </c>
      <c r="CJ112" s="476" t="s">
        <v>1188</v>
      </c>
      <c r="CK112" s="476" t="s">
        <v>1187</v>
      </c>
      <c r="CL112" s="476" t="s">
        <v>1187</v>
      </c>
      <c r="CM112" s="476" t="str">
        <f>IF(VLOOKUP(BS112,'Données par municipalité'!$B$6:$E$1113,4,FALSE)="","non","oui")</f>
        <v>oui</v>
      </c>
      <c r="CN112" s="410">
        <v>446.89339755753412</v>
      </c>
      <c r="CO112" s="410">
        <v>394.94480916011349</v>
      </c>
      <c r="CP112" s="410"/>
      <c r="CQ112" s="410"/>
      <c r="CR112" s="410">
        <v>479.08726290915973</v>
      </c>
      <c r="CS112" s="410">
        <v>390.85649807163088</v>
      </c>
      <c r="CT112" s="410"/>
      <c r="CU112" s="410" t="s">
        <v>1124</v>
      </c>
      <c r="CV112" s="410">
        <f>IF(VLOOKUP(BS112,'Données par municipalité'!$B$6:$F$1113,4,FALSE)="","",VLOOKUP(BS112,'Données par municipalité'!$B$6:$F$1113,4,FALSE))</f>
        <v>294</v>
      </c>
      <c r="CW112" s="476" t="s">
        <v>4723</v>
      </c>
      <c r="CX112" s="483">
        <v>0</v>
      </c>
      <c r="CY112" s="483" t="s">
        <v>1124</v>
      </c>
      <c r="CZ112" s="483" t="s">
        <v>1124</v>
      </c>
      <c r="DA112" s="483">
        <v>1</v>
      </c>
      <c r="DB112" s="483">
        <v>1</v>
      </c>
      <c r="DC112" s="483" t="s">
        <v>1124</v>
      </c>
      <c r="DD112" s="483" t="s">
        <v>1124</v>
      </c>
      <c r="DE112" s="483">
        <f>IFERROR(SUM(VLOOKUP($BS112,'État &amp; Plan d''action'!$B$6:$Z$1113,18,FALSE),VLOOKUP($BS112,'État &amp; Plan d''action'!$B$6:$Z$1113,20,FALSE))/(VLOOKUP($BS112,'Données par municipalité'!$B$4:$L$1113,11,FALSE)),"")</f>
        <v>0.98909090909090902</v>
      </c>
      <c r="DF112" s="483">
        <f>IFERROR(SUM(VLOOKUP($BS112,'État &amp; Plan d''action'!$B$6:$Z$1113,19,FALSE),VLOOKUP($BS112,'État &amp; Plan d''action'!$B$6:$Z$1113,21,FALSE))/(VLOOKUP($BS112,'Données par municipalité'!$B$4:$L$1113,11,FALSE)),"")</f>
        <v>0.98909090909090902</v>
      </c>
      <c r="DG112" s="476" t="s">
        <v>4723</v>
      </c>
      <c r="DH112" s="484">
        <v>4</v>
      </c>
      <c r="DI112" s="484" t="s">
        <v>1124</v>
      </c>
      <c r="DJ112" s="484">
        <v>0</v>
      </c>
      <c r="DK112" s="484">
        <v>1</v>
      </c>
      <c r="DL112" s="484">
        <v>1</v>
      </c>
      <c r="DM112" s="484" t="s">
        <v>1124</v>
      </c>
      <c r="DN112" s="484" t="s">
        <v>1124</v>
      </c>
      <c r="DO112" s="484" t="s">
        <v>1124</v>
      </c>
      <c r="DP112" s="484" t="s">
        <v>1124</v>
      </c>
      <c r="DQ112" s="484">
        <f>IF(VLOOKUP($BS112,'État &amp; Plan d''action'!$B$6:$AJ$1113,28,FALSE)="","",VLOOKUP($BS112,'État &amp; Plan d''action'!$B$6:$AJ$1113,28,FALSE))</f>
        <v>0</v>
      </c>
      <c r="DR112" s="70">
        <f>IF(VLOOKUP($BS112,'État &amp; Plan d''action'!$B$6:$AJ$1113,29,FALSE)="","",VLOOKUP($BS112,'État &amp; Plan d''action'!$B$6:$AJ$1113,29,FALSE))</f>
        <v>1</v>
      </c>
      <c r="DS112" s="70">
        <f>IF(VLOOKUP($BS112,'État &amp; Plan d''action'!$B$6:$AJ$1113,30,FALSE)="","",VLOOKUP($BS112,'État &amp; Plan d''action'!$B$6:$AJ$1113,30,FALSE))</f>
        <v>0</v>
      </c>
      <c r="DT112" s="70" t="s">
        <v>1124</v>
      </c>
      <c r="DU112" s="485" t="s">
        <v>1124</v>
      </c>
      <c r="DV112" s="485">
        <v>2.6927196021211972</v>
      </c>
      <c r="DW112" s="70" t="s">
        <v>1124</v>
      </c>
      <c r="DX112" s="70" t="s">
        <v>1124</v>
      </c>
      <c r="DY112" s="70" t="s">
        <v>1124</v>
      </c>
      <c r="DZ112" s="70">
        <f>VLOOKUP($BS112,'État &amp; Plan d''action'!$B$6:$AH$1113,31,FALSE)</f>
        <v>0</v>
      </c>
      <c r="EA112" s="70">
        <f>VLOOKUP($BS112,'État &amp; Plan d''action'!$B$6:$AH$1113,32,FALSE)</f>
        <v>1</v>
      </c>
      <c r="EB112" s="70">
        <f>VLOOKUP($BS112,'État &amp; Plan d''action'!$B$6:$AH$1113,33,FALSE)</f>
        <v>0</v>
      </c>
      <c r="EC112" s="70" t="s">
        <v>1124</v>
      </c>
      <c r="ED112" s="70" t="s">
        <v>1124</v>
      </c>
      <c r="EE112" s="70" t="s">
        <v>1124</v>
      </c>
      <c r="EF112" s="70" t="s">
        <v>1124</v>
      </c>
      <c r="EG112" s="70" t="s">
        <v>1124</v>
      </c>
      <c r="EH112" s="72"/>
      <c r="EI112" s="72">
        <v>4218</v>
      </c>
    </row>
    <row r="113" spans="1:139" ht="12.75" customHeight="1" x14ac:dyDescent="0.35">
      <c r="A113" s="1"/>
      <c r="B113"/>
      <c r="C113"/>
      <c r="D113"/>
      <c r="E113"/>
      <c r="F113"/>
      <c r="G113"/>
      <c r="H113"/>
      <c r="I113"/>
      <c r="J113"/>
      <c r="K113"/>
      <c r="L113"/>
      <c r="M113"/>
      <c r="N113"/>
      <c r="O113" s="70"/>
      <c r="P113" s="70"/>
      <c r="Q113" s="70"/>
      <c r="R113" s="70"/>
      <c r="S113" s="95"/>
      <c r="T113" s="70"/>
      <c r="W113" s="442"/>
      <c r="X113" s="442"/>
      <c r="Y113" s="442"/>
      <c r="Z113" s="442"/>
      <c r="AA113" s="442"/>
      <c r="AB113" s="442"/>
      <c r="AC113" s="442"/>
      <c r="AD113" s="442"/>
      <c r="AE113" s="442"/>
      <c r="AF113" s="442"/>
      <c r="AG113" s="442"/>
      <c r="AH113" s="442"/>
      <c r="AI113" s="442"/>
      <c r="BS113" s="486">
        <v>87095</v>
      </c>
      <c r="BT113" s="479" t="s">
        <v>905</v>
      </c>
      <c r="BU113" s="479">
        <v>8</v>
      </c>
      <c r="BV113" s="476" t="s">
        <v>1187</v>
      </c>
      <c r="BW113" s="476" t="s">
        <v>1187</v>
      </c>
      <c r="BX113" s="476" t="s">
        <v>1187</v>
      </c>
      <c r="BY113" s="476" t="s">
        <v>1187</v>
      </c>
      <c r="BZ113" s="476" t="s">
        <v>1187</v>
      </c>
      <c r="CA113" s="476" t="s">
        <v>1187</v>
      </c>
      <c r="CB113" s="476" t="s">
        <v>1187</v>
      </c>
      <c r="CC113" s="476" t="s">
        <v>1187</v>
      </c>
      <c r="CD113" s="476" t="s">
        <v>1187</v>
      </c>
      <c r="CE113" s="476" t="s">
        <v>1187</v>
      </c>
      <c r="CF113" s="476" t="s">
        <v>1187</v>
      </c>
      <c r="CG113" s="476" t="s">
        <v>1187</v>
      </c>
      <c r="CH113" s="476" t="s">
        <v>1187</v>
      </c>
      <c r="CI113" s="476" t="s">
        <v>1187</v>
      </c>
      <c r="CJ113" s="476" t="s">
        <v>1187</v>
      </c>
      <c r="CK113" s="476" t="s">
        <v>1187</v>
      </c>
      <c r="CL113" s="476" t="s">
        <v>1188</v>
      </c>
      <c r="CM113" s="476" t="str">
        <f>IF(VLOOKUP(BS113,'Données par municipalité'!$B$6:$E$1113,4,FALSE)="","non","oui")</f>
        <v>non</v>
      </c>
      <c r="CN113" s="410" t="s">
        <v>1124</v>
      </c>
      <c r="CO113" s="410" t="s">
        <v>1124</v>
      </c>
      <c r="CP113" s="410"/>
      <c r="CQ113" s="410"/>
      <c r="CR113" s="410"/>
      <c r="CS113" s="410" t="s">
        <v>1124</v>
      </c>
      <c r="CT113" s="410"/>
      <c r="CU113" s="410">
        <v>250</v>
      </c>
      <c r="CV113" s="410" t="str">
        <f>IF(VLOOKUP(BS113,'Données par municipalité'!$B$6:$F$1113,4,FALSE)="","",VLOOKUP(BS113,'Données par municipalité'!$B$6:$F$1113,4,FALSE))</f>
        <v/>
      </c>
      <c r="CW113" s="476" t="s">
        <v>4723</v>
      </c>
      <c r="CX113" s="483" t="s">
        <v>1124</v>
      </c>
      <c r="CY113" s="483" t="s">
        <v>1124</v>
      </c>
      <c r="CZ113" s="483" t="s">
        <v>1124</v>
      </c>
      <c r="DA113" s="483" t="s">
        <v>1124</v>
      </c>
      <c r="DB113" s="483" t="s">
        <v>1124</v>
      </c>
      <c r="DC113" s="483" t="s">
        <v>1124</v>
      </c>
      <c r="DD113" s="483">
        <v>0</v>
      </c>
      <c r="DE113" s="483" t="str">
        <f>IFERROR(SUM(VLOOKUP($BS113,'État &amp; Plan d''action'!$B$6:$Z$1113,18,FALSE),VLOOKUP($BS113,'État &amp; Plan d''action'!$B$6:$Z$1113,20,FALSE))/(VLOOKUP($BS113,'Données par municipalité'!$B$4:$L$1113,11,FALSE)),"")</f>
        <v/>
      </c>
      <c r="DF113" s="483" t="str">
        <f>IFERROR(SUM(VLOOKUP($BS113,'État &amp; Plan d''action'!$B$6:$Z$1113,19,FALSE),VLOOKUP($BS113,'État &amp; Plan d''action'!$B$6:$Z$1113,21,FALSE))/(VLOOKUP($BS113,'Données par municipalité'!$B$4:$L$1113,11,FALSE)),"")</f>
        <v/>
      </c>
      <c r="DG113" s="476" t="s">
        <v>4723</v>
      </c>
      <c r="DH113" s="484">
        <v>6</v>
      </c>
      <c r="DI113" s="484">
        <v>5</v>
      </c>
      <c r="DJ113" s="484">
        <v>14</v>
      </c>
      <c r="DK113" s="484">
        <v>11</v>
      </c>
      <c r="DL113" s="484" t="s">
        <v>1124</v>
      </c>
      <c r="DM113" s="484" t="s">
        <v>1124</v>
      </c>
      <c r="DN113" s="484">
        <v>0</v>
      </c>
      <c r="DO113" s="484">
        <v>0</v>
      </c>
      <c r="DP113" s="484">
        <v>0</v>
      </c>
      <c r="DQ113" s="484" t="str">
        <f>IF(VLOOKUP($BS113,'État &amp; Plan d''action'!$B$6:$AJ$1113,28,FALSE)="","",VLOOKUP($BS113,'État &amp; Plan d''action'!$B$6:$AJ$1113,28,FALSE))</f>
        <v/>
      </c>
      <c r="DR113" s="70" t="str">
        <f>IF(VLOOKUP($BS113,'État &amp; Plan d''action'!$B$6:$AJ$1113,29,FALSE)="","",VLOOKUP($BS113,'État &amp; Plan d''action'!$B$6:$AJ$1113,29,FALSE))</f>
        <v/>
      </c>
      <c r="DS113" s="70" t="str">
        <f>IF(VLOOKUP($BS113,'État &amp; Plan d''action'!$B$6:$AJ$1113,30,FALSE)="","",VLOOKUP($BS113,'État &amp; Plan d''action'!$B$6:$AJ$1113,30,FALSE))</f>
        <v/>
      </c>
      <c r="DT113" s="70">
        <v>147</v>
      </c>
      <c r="DU113" s="485">
        <v>2.4116441962790129</v>
      </c>
      <c r="DV113" s="485" t="s">
        <v>1124</v>
      </c>
      <c r="DW113" s="70">
        <v>0</v>
      </c>
      <c r="DX113" s="70">
        <v>0</v>
      </c>
      <c r="DY113" s="70">
        <v>0</v>
      </c>
      <c r="DZ113" s="70" t="str">
        <f>VLOOKUP($BS113,'État &amp; Plan d''action'!$B$6:$AH$1113,31,FALSE)</f>
        <v/>
      </c>
      <c r="EA113" s="70" t="str">
        <f>VLOOKUP($BS113,'État &amp; Plan d''action'!$B$6:$AH$1113,32,FALSE)</f>
        <v/>
      </c>
      <c r="EB113" s="70" t="str">
        <f>VLOOKUP($BS113,'État &amp; Plan d''action'!$B$6:$AH$1113,33,FALSE)</f>
        <v/>
      </c>
      <c r="EC113" s="70">
        <v>0</v>
      </c>
      <c r="ED113" s="70">
        <v>0</v>
      </c>
      <c r="EE113" s="70">
        <v>0</v>
      </c>
      <c r="EF113" s="70">
        <v>0</v>
      </c>
      <c r="EG113" s="70">
        <v>0</v>
      </c>
      <c r="EH113" s="72">
        <v>31</v>
      </c>
      <c r="EI113" s="72">
        <v>288</v>
      </c>
    </row>
    <row r="114" spans="1:139" ht="12.75" customHeight="1" x14ac:dyDescent="0.35">
      <c r="A114" s="1"/>
      <c r="B114"/>
      <c r="C114"/>
      <c r="D114"/>
      <c r="E114"/>
      <c r="F114"/>
      <c r="G114"/>
      <c r="H114"/>
      <c r="I114"/>
      <c r="J114"/>
      <c r="K114"/>
      <c r="L114"/>
      <c r="M114"/>
      <c r="N114"/>
      <c r="O114" s="70"/>
      <c r="P114" s="70"/>
      <c r="Q114" s="70"/>
      <c r="R114" s="70"/>
      <c r="S114" s="95"/>
      <c r="T114" s="70"/>
      <c r="W114" s="442"/>
      <c r="X114" s="442"/>
      <c r="Y114" s="442"/>
      <c r="Z114" s="442"/>
      <c r="AA114" s="442"/>
      <c r="AB114" s="442"/>
      <c r="AC114" s="442"/>
      <c r="AD114" s="442"/>
      <c r="AE114" s="442"/>
      <c r="AF114" s="442"/>
      <c r="AG114" s="442"/>
      <c r="AH114" s="442"/>
      <c r="AI114" s="442"/>
      <c r="BS114" s="486">
        <v>82025</v>
      </c>
      <c r="BT114" s="479" t="s">
        <v>832</v>
      </c>
      <c r="BU114" s="479">
        <v>7</v>
      </c>
      <c r="BV114" s="476" t="s">
        <v>1188</v>
      </c>
      <c r="BW114" s="476" t="s">
        <v>1188</v>
      </c>
      <c r="BX114" s="476" t="s">
        <v>1188</v>
      </c>
      <c r="BY114" s="476" t="s">
        <v>1188</v>
      </c>
      <c r="BZ114" s="476" t="s">
        <v>1188</v>
      </c>
      <c r="CA114" s="476" t="s">
        <v>1188</v>
      </c>
      <c r="CB114" s="476" t="s">
        <v>1188</v>
      </c>
      <c r="CC114" s="476" t="s">
        <v>1187</v>
      </c>
      <c r="CD114" s="476" t="s">
        <v>1187</v>
      </c>
      <c r="CE114" s="476" t="s">
        <v>1188</v>
      </c>
      <c r="CF114" s="476" t="s">
        <v>1187</v>
      </c>
      <c r="CG114" s="476" t="s">
        <v>1187</v>
      </c>
      <c r="CH114" s="476" t="s">
        <v>1187</v>
      </c>
      <c r="CI114" s="476" t="s">
        <v>1187</v>
      </c>
      <c r="CJ114" s="476" t="s">
        <v>1187</v>
      </c>
      <c r="CK114" s="476" t="s">
        <v>1187</v>
      </c>
      <c r="CL114" s="476" t="s">
        <v>1187</v>
      </c>
      <c r="CM114" s="476" t="str">
        <f>IF(VLOOKUP(BS114,'Données par municipalité'!$B$6:$E$1113,4,FALSE)="","non","oui")</f>
        <v>oui</v>
      </c>
      <c r="CN114" s="410">
        <v>575.68819821295892</v>
      </c>
      <c r="CO114" s="410" t="s">
        <v>1124</v>
      </c>
      <c r="CP114" s="410"/>
      <c r="CQ114" s="410"/>
      <c r="CR114" s="410"/>
      <c r="CS114" s="410" t="s">
        <v>1124</v>
      </c>
      <c r="CT114" s="410"/>
      <c r="CU114" s="410" t="s">
        <v>1124</v>
      </c>
      <c r="CV114" s="410">
        <f>IF(VLOOKUP(BS114,'Données par municipalité'!$B$6:$F$1113,4,FALSE)="","",VLOOKUP(BS114,'Données par municipalité'!$B$6:$F$1113,4,FALSE))</f>
        <v>1412</v>
      </c>
      <c r="CW114" s="476" t="s">
        <v>4723</v>
      </c>
      <c r="CX114" s="483" t="s">
        <v>1124</v>
      </c>
      <c r="CY114" s="483" t="s">
        <v>1124</v>
      </c>
      <c r="CZ114" s="483" t="s">
        <v>1124</v>
      </c>
      <c r="DA114" s="483" t="s">
        <v>1124</v>
      </c>
      <c r="DB114" s="483" t="s">
        <v>1124</v>
      </c>
      <c r="DC114" s="483" t="s">
        <v>1124</v>
      </c>
      <c r="DD114" s="483" t="s">
        <v>1124</v>
      </c>
      <c r="DE114" s="483">
        <f>IFERROR(SUM(VLOOKUP($BS114,'État &amp; Plan d''action'!$B$6:$Z$1113,18,FALSE),VLOOKUP($BS114,'État &amp; Plan d''action'!$B$6:$Z$1113,20,FALSE))/(VLOOKUP($BS114,'Données par municipalité'!$B$4:$L$1113,11,FALSE)),"")</f>
        <v>1.1092623405435387</v>
      </c>
      <c r="DF114" s="483">
        <f>IFERROR(SUM(VLOOKUP($BS114,'État &amp; Plan d''action'!$B$6:$Z$1113,19,FALSE),VLOOKUP($BS114,'État &amp; Plan d''action'!$B$6:$Z$1113,21,FALSE))/(VLOOKUP($BS114,'Données par municipalité'!$B$4:$L$1113,11,FALSE)),"")</f>
        <v>1.1092623405435387</v>
      </c>
      <c r="DG114" s="476" t="s">
        <v>4723</v>
      </c>
      <c r="DH114" s="484" t="s">
        <v>1124</v>
      </c>
      <c r="DI114" s="484" t="s">
        <v>1124</v>
      </c>
      <c r="DJ114" s="484">
        <v>0</v>
      </c>
      <c r="DK114" s="484">
        <v>0</v>
      </c>
      <c r="DL114" s="484" t="s">
        <v>1124</v>
      </c>
      <c r="DM114" s="484" t="s">
        <v>1124</v>
      </c>
      <c r="DN114" s="484" t="s">
        <v>1124</v>
      </c>
      <c r="DO114" s="484" t="s">
        <v>1124</v>
      </c>
      <c r="DP114" s="484" t="s">
        <v>1124</v>
      </c>
      <c r="DQ114" s="484">
        <f>IF(VLOOKUP($BS114,'État &amp; Plan d''action'!$B$6:$AJ$1113,28,FALSE)="","",VLOOKUP($BS114,'État &amp; Plan d''action'!$B$6:$AJ$1113,28,FALSE))</f>
        <v>0</v>
      </c>
      <c r="DR114" s="70">
        <f>IF(VLOOKUP($BS114,'État &amp; Plan d''action'!$B$6:$AJ$1113,29,FALSE)="","",VLOOKUP($BS114,'État &amp; Plan d''action'!$B$6:$AJ$1113,29,FALSE))</f>
        <v>0</v>
      </c>
      <c r="DS114" s="70">
        <f>IF(VLOOKUP($BS114,'État &amp; Plan d''action'!$B$6:$AJ$1113,30,FALSE)="","",VLOOKUP($BS114,'État &amp; Plan d''action'!$B$6:$AJ$1113,30,FALSE))</f>
        <v>1</v>
      </c>
      <c r="DT114" s="70" t="s">
        <v>1124</v>
      </c>
      <c r="DU114" s="485" t="s">
        <v>1124</v>
      </c>
      <c r="DV114" s="485">
        <v>2.1080487290746888</v>
      </c>
      <c r="DW114" s="70" t="s">
        <v>1124</v>
      </c>
      <c r="DX114" s="70" t="s">
        <v>1124</v>
      </c>
      <c r="DY114" s="70" t="s">
        <v>1124</v>
      </c>
      <c r="DZ114" s="70">
        <f>VLOOKUP($BS114,'État &amp; Plan d''action'!$B$6:$AH$1113,31,FALSE)</f>
        <v>0</v>
      </c>
      <c r="EA114" s="70">
        <f>VLOOKUP($BS114,'État &amp; Plan d''action'!$B$6:$AH$1113,32,FALSE)</f>
        <v>0</v>
      </c>
      <c r="EB114" s="70">
        <f>VLOOKUP($BS114,'État &amp; Plan d''action'!$B$6:$AH$1113,33,FALSE)</f>
        <v>2</v>
      </c>
      <c r="EC114" s="70" t="s">
        <v>1124</v>
      </c>
      <c r="ED114" s="70" t="s">
        <v>1124</v>
      </c>
      <c r="EE114" s="70" t="s">
        <v>1124</v>
      </c>
      <c r="EF114" s="70" t="s">
        <v>1124</v>
      </c>
      <c r="EG114" s="70" t="s">
        <v>1124</v>
      </c>
      <c r="EH114" s="72"/>
      <c r="EI114" s="72">
        <v>7012</v>
      </c>
    </row>
    <row r="115" spans="1:139" ht="12.75" customHeight="1" x14ac:dyDescent="0.35">
      <c r="A115" s="1"/>
      <c r="B115"/>
      <c r="C115"/>
      <c r="D115"/>
      <c r="E115"/>
      <c r="F115"/>
      <c r="G115"/>
      <c r="H115"/>
      <c r="I115"/>
      <c r="J115"/>
      <c r="K115"/>
      <c r="L115"/>
      <c r="M115"/>
      <c r="N115"/>
      <c r="O115" s="70"/>
      <c r="P115" s="70"/>
      <c r="Q115" s="70"/>
      <c r="R115" s="70"/>
      <c r="S115" s="95"/>
      <c r="T115" s="70"/>
      <c r="W115" s="442"/>
      <c r="X115" s="442"/>
      <c r="Y115" s="442"/>
      <c r="Z115" s="442"/>
      <c r="AA115" s="442"/>
      <c r="AB115" s="442"/>
      <c r="AC115" s="442"/>
      <c r="AD115" s="442"/>
      <c r="AE115" s="442"/>
      <c r="AF115" s="442"/>
      <c r="AG115" s="442"/>
      <c r="AH115" s="442"/>
      <c r="AI115" s="442"/>
      <c r="BS115" s="486">
        <v>80103</v>
      </c>
      <c r="BT115" s="479" t="s">
        <v>819</v>
      </c>
      <c r="BU115" s="479">
        <v>7</v>
      </c>
      <c r="BV115" s="476" t="s">
        <v>1187</v>
      </c>
      <c r="BW115" s="476" t="s">
        <v>1187</v>
      </c>
      <c r="BX115" s="476" t="s">
        <v>1187</v>
      </c>
      <c r="BY115" s="476" t="s">
        <v>1187</v>
      </c>
      <c r="BZ115" s="476" t="s">
        <v>1187</v>
      </c>
      <c r="CA115" s="476" t="s">
        <v>1187</v>
      </c>
      <c r="CB115" s="476" t="s">
        <v>1187</v>
      </c>
      <c r="CC115" s="476" t="s">
        <v>1187</v>
      </c>
      <c r="CD115" s="476" t="s">
        <v>1187</v>
      </c>
      <c r="CE115" s="476" t="s">
        <v>1187</v>
      </c>
      <c r="CF115" s="476" t="s">
        <v>1187</v>
      </c>
      <c r="CG115" s="476" t="s">
        <v>1187</v>
      </c>
      <c r="CH115" s="476" t="s">
        <v>1187</v>
      </c>
      <c r="CI115" s="476" t="s">
        <v>1187</v>
      </c>
      <c r="CJ115" s="476" t="s">
        <v>1188</v>
      </c>
      <c r="CK115" s="476" t="s">
        <v>1188</v>
      </c>
      <c r="CL115" s="476" t="s">
        <v>1187</v>
      </c>
      <c r="CM115" s="476" t="str">
        <f>IF(VLOOKUP(BS115,'Données par municipalité'!$B$6:$E$1113,4,FALSE)="","non","oui")</f>
        <v>oui</v>
      </c>
      <c r="CN115" s="410" t="s">
        <v>1124</v>
      </c>
      <c r="CO115" s="410" t="s">
        <v>1124</v>
      </c>
      <c r="CP115" s="410"/>
      <c r="CQ115" s="410"/>
      <c r="CR115" s="410"/>
      <c r="CS115" s="410">
        <v>408.37032127439898</v>
      </c>
      <c r="CT115" s="410">
        <v>377.59581365469228</v>
      </c>
      <c r="CU115" s="410" t="s">
        <v>1124</v>
      </c>
      <c r="CV115" s="410">
        <f>IF(VLOOKUP(BS115,'Données par municipalité'!$B$6:$F$1113,4,FALSE)="","",VLOOKUP(BS115,'Données par municipalité'!$B$6:$F$1113,4,FALSE))</f>
        <v>412</v>
      </c>
      <c r="CW115" s="476" t="s">
        <v>4723</v>
      </c>
      <c r="CX115" s="483" t="s">
        <v>1124</v>
      </c>
      <c r="CY115" s="483" t="s">
        <v>1124</v>
      </c>
      <c r="CZ115" s="483" t="s">
        <v>1124</v>
      </c>
      <c r="DA115" s="483" t="s">
        <v>1124</v>
      </c>
      <c r="DB115" s="483">
        <v>0</v>
      </c>
      <c r="DC115" s="483">
        <v>0</v>
      </c>
      <c r="DD115" s="483" t="s">
        <v>1124</v>
      </c>
      <c r="DE115" s="483">
        <f>IFERROR(SUM(VLOOKUP($BS115,'État &amp; Plan d''action'!$B$6:$Z$1113,18,FALSE),VLOOKUP($BS115,'État &amp; Plan d''action'!$B$6:$Z$1113,20,FALSE))/(VLOOKUP($BS115,'Données par municipalité'!$B$4:$L$1113,11,FALSE)),"")</f>
        <v>0</v>
      </c>
      <c r="DF115" s="483">
        <f>IFERROR(SUM(VLOOKUP($BS115,'État &amp; Plan d''action'!$B$6:$Z$1113,19,FALSE),VLOOKUP($BS115,'État &amp; Plan d''action'!$B$6:$Z$1113,21,FALSE))/(VLOOKUP($BS115,'Données par municipalité'!$B$4:$L$1113,11,FALSE)),"")</f>
        <v>1</v>
      </c>
      <c r="DG115" s="476" t="s">
        <v>4723</v>
      </c>
      <c r="DH115" s="484">
        <v>3</v>
      </c>
      <c r="DI115" s="484" t="s">
        <v>1124</v>
      </c>
      <c r="DJ115" s="484">
        <v>0</v>
      </c>
      <c r="DK115" s="484">
        <v>0</v>
      </c>
      <c r="DL115" s="484">
        <v>4</v>
      </c>
      <c r="DM115" s="484">
        <v>5</v>
      </c>
      <c r="DN115" s="484" t="s">
        <v>1124</v>
      </c>
      <c r="DO115" s="484" t="s">
        <v>1124</v>
      </c>
      <c r="DP115" s="484" t="s">
        <v>1124</v>
      </c>
      <c r="DQ115" s="484">
        <f>IF(VLOOKUP($BS115,'État &amp; Plan d''action'!$B$6:$AJ$1113,28,FALSE)="","",VLOOKUP($BS115,'État &amp; Plan d''action'!$B$6:$AJ$1113,28,FALSE))</f>
        <v>1</v>
      </c>
      <c r="DR115" s="70">
        <f>IF(VLOOKUP($BS115,'État &amp; Plan d''action'!$B$6:$AJ$1113,29,FALSE)="","",VLOOKUP($BS115,'État &amp; Plan d''action'!$B$6:$AJ$1113,29,FALSE))</f>
        <v>0</v>
      </c>
      <c r="DS115" s="70">
        <f>IF(VLOOKUP($BS115,'État &amp; Plan d''action'!$B$6:$AJ$1113,30,FALSE)="","",VLOOKUP($BS115,'État &amp; Plan d''action'!$B$6:$AJ$1113,30,FALSE))</f>
        <v>5</v>
      </c>
      <c r="DT115" s="70" t="s">
        <v>1124</v>
      </c>
      <c r="DU115" s="485" t="s">
        <v>1124</v>
      </c>
      <c r="DV115" s="485">
        <v>4.9478492522251321</v>
      </c>
      <c r="DW115" s="70" t="s">
        <v>1124</v>
      </c>
      <c r="DX115" s="70" t="s">
        <v>1124</v>
      </c>
      <c r="DY115" s="70" t="s">
        <v>1124</v>
      </c>
      <c r="DZ115" s="70">
        <f>VLOOKUP($BS115,'État &amp; Plan d''action'!$B$6:$AH$1113,31,FALSE)</f>
        <v>14</v>
      </c>
      <c r="EA115" s="70">
        <f>VLOOKUP($BS115,'État &amp; Plan d''action'!$B$6:$AH$1113,32,FALSE)</f>
        <v>0</v>
      </c>
      <c r="EB115" s="70">
        <f>VLOOKUP($BS115,'État &amp; Plan d''action'!$B$6:$AH$1113,33,FALSE)</f>
        <v>4</v>
      </c>
      <c r="EC115" s="70" t="s">
        <v>1124</v>
      </c>
      <c r="ED115" s="70" t="s">
        <v>1124</v>
      </c>
      <c r="EE115" s="70" t="s">
        <v>1124</v>
      </c>
      <c r="EF115" s="70" t="s">
        <v>1124</v>
      </c>
      <c r="EG115" s="70" t="s">
        <v>1124</v>
      </c>
      <c r="EH115" s="72"/>
      <c r="EI115" s="72">
        <v>762</v>
      </c>
    </row>
    <row r="116" spans="1:139" ht="12.75" customHeight="1" x14ac:dyDescent="0.35">
      <c r="A116" s="1"/>
      <c r="B116"/>
      <c r="C116"/>
      <c r="D116"/>
      <c r="E116"/>
      <c r="F116"/>
      <c r="G116"/>
      <c r="H116"/>
      <c r="I116"/>
      <c r="J116"/>
      <c r="K116"/>
      <c r="L116"/>
      <c r="M116"/>
      <c r="N116"/>
      <c r="O116" s="70"/>
      <c r="P116" s="70"/>
      <c r="Q116" s="70"/>
      <c r="R116" s="70"/>
      <c r="S116" s="95"/>
      <c r="T116" s="70"/>
      <c r="W116" s="442"/>
      <c r="X116" s="442"/>
      <c r="Y116" s="442"/>
      <c r="Z116" s="442"/>
      <c r="AA116" s="442"/>
      <c r="AB116" s="442"/>
      <c r="AC116" s="442"/>
      <c r="AD116" s="442"/>
      <c r="AE116" s="442"/>
      <c r="AF116" s="442"/>
      <c r="AG116" s="442"/>
      <c r="AH116" s="442"/>
      <c r="AI116" s="442"/>
      <c r="BS116" s="486">
        <v>62047</v>
      </c>
      <c r="BT116" s="479" t="s">
        <v>625</v>
      </c>
      <c r="BU116" s="479">
        <v>14</v>
      </c>
      <c r="BV116" s="476" t="s">
        <v>1187</v>
      </c>
      <c r="BW116" s="476" t="s">
        <v>1187</v>
      </c>
      <c r="BX116" s="476" t="s">
        <v>1187</v>
      </c>
      <c r="BY116" s="476" t="s">
        <v>1187</v>
      </c>
      <c r="BZ116" s="476" t="s">
        <v>1187</v>
      </c>
      <c r="CA116" s="476" t="s">
        <v>1187</v>
      </c>
      <c r="CB116" s="476" t="s">
        <v>1187</v>
      </c>
      <c r="CC116" s="476" t="s">
        <v>1187</v>
      </c>
      <c r="CD116" s="476" t="s">
        <v>1187</v>
      </c>
      <c r="CE116" s="476" t="s">
        <v>1188</v>
      </c>
      <c r="CF116" s="476" t="s">
        <v>1188</v>
      </c>
      <c r="CG116" s="476" t="s">
        <v>1187</v>
      </c>
      <c r="CH116" s="476" t="s">
        <v>1187</v>
      </c>
      <c r="CI116" s="476" t="s">
        <v>1188</v>
      </c>
      <c r="CJ116" s="476" t="s">
        <v>1188</v>
      </c>
      <c r="CK116" s="476" t="s">
        <v>1188</v>
      </c>
      <c r="CL116" s="476" t="s">
        <v>1188</v>
      </c>
      <c r="CM116" s="476" t="str">
        <f>IF(VLOOKUP(BS116,'Données par municipalité'!$B$6:$E$1113,4,FALSE)="","non","oui")</f>
        <v>oui</v>
      </c>
      <c r="CN116" s="410">
        <v>464.02984493156055</v>
      </c>
      <c r="CO116" s="410">
        <v>442.7647269667217</v>
      </c>
      <c r="CP116" s="410"/>
      <c r="CQ116" s="410"/>
      <c r="CR116" s="410">
        <v>337.19272239195783</v>
      </c>
      <c r="CS116" s="410">
        <v>336.46513277836709</v>
      </c>
      <c r="CT116" s="410">
        <v>288.38340367425729</v>
      </c>
      <c r="CU116" s="410">
        <v>346</v>
      </c>
      <c r="CV116" s="410">
        <f>IF(VLOOKUP(BS116,'Données par municipalité'!$B$6:$F$1113,4,FALSE)="","",VLOOKUP(BS116,'Données par municipalité'!$B$6:$F$1113,4,FALSE))</f>
        <v>355</v>
      </c>
      <c r="CW116" s="476" t="s">
        <v>4723</v>
      </c>
      <c r="CX116" s="483">
        <v>0</v>
      </c>
      <c r="CY116" s="483" t="s">
        <v>1124</v>
      </c>
      <c r="CZ116" s="483" t="s">
        <v>1124</v>
      </c>
      <c r="DA116" s="483">
        <v>0</v>
      </c>
      <c r="DB116" s="483">
        <v>0</v>
      </c>
      <c r="DC116" s="483">
        <v>0</v>
      </c>
      <c r="DD116" s="483">
        <v>0.57353735373537351</v>
      </c>
      <c r="DE116" s="483">
        <f>IFERROR(SUM(VLOOKUP($BS116,'État &amp; Plan d''action'!$B$6:$Z$1113,18,FALSE),VLOOKUP($BS116,'État &amp; Plan d''action'!$B$6:$Z$1113,20,FALSE))/(VLOOKUP($BS116,'Données par municipalité'!$B$4:$L$1113,11,FALSE)),"")</f>
        <v>0.99009900990098998</v>
      </c>
      <c r="DF116" s="483">
        <f>IFERROR(SUM(VLOOKUP($BS116,'État &amp; Plan d''action'!$B$6:$Z$1113,19,FALSE),VLOOKUP($BS116,'État &amp; Plan d''action'!$B$6:$Z$1113,21,FALSE))/(VLOOKUP($BS116,'Données par municipalité'!$B$4:$L$1113,11,FALSE)),"")</f>
        <v>1.0081008100810078</v>
      </c>
      <c r="DG116" s="476" t="s">
        <v>4723</v>
      </c>
      <c r="DH116" s="484">
        <v>2</v>
      </c>
      <c r="DI116" s="484" t="s">
        <v>1124</v>
      </c>
      <c r="DJ116" s="484">
        <v>0</v>
      </c>
      <c r="DK116" s="484">
        <v>1</v>
      </c>
      <c r="DL116" s="484">
        <v>0</v>
      </c>
      <c r="DM116" s="484">
        <v>0</v>
      </c>
      <c r="DN116" s="484">
        <v>2</v>
      </c>
      <c r="DO116" s="484">
        <v>0</v>
      </c>
      <c r="DP116" s="484">
        <v>0</v>
      </c>
      <c r="DQ116" s="484">
        <f>IF(VLOOKUP($BS116,'État &amp; Plan d''action'!$B$6:$AJ$1113,28,FALSE)="","",VLOOKUP($BS116,'État &amp; Plan d''action'!$B$6:$AJ$1113,28,FALSE))</f>
        <v>0</v>
      </c>
      <c r="DR116" s="70">
        <f>IF(VLOOKUP($BS116,'État &amp; Plan d''action'!$B$6:$AJ$1113,29,FALSE)="","",VLOOKUP($BS116,'État &amp; Plan d''action'!$B$6:$AJ$1113,29,FALSE))</f>
        <v>0</v>
      </c>
      <c r="DS116" s="70">
        <f>IF(VLOOKUP($BS116,'État &amp; Plan d''action'!$B$6:$AJ$1113,30,FALSE)="","",VLOOKUP($BS116,'État &amp; Plan d''action'!$B$6:$AJ$1113,30,FALSE))</f>
        <v>0</v>
      </c>
      <c r="DT116" s="70">
        <v>238</v>
      </c>
      <c r="DU116" s="485">
        <v>1.5327549856251748</v>
      </c>
      <c r="DV116" s="485">
        <v>3.0541686109225159</v>
      </c>
      <c r="DW116" s="70">
        <v>1</v>
      </c>
      <c r="DX116" s="70">
        <v>0</v>
      </c>
      <c r="DY116" s="70">
        <v>0</v>
      </c>
      <c r="DZ116" s="70">
        <f>VLOOKUP($BS116,'État &amp; Plan d''action'!$B$6:$AH$1113,31,FALSE)</f>
        <v>0</v>
      </c>
      <c r="EA116" s="70">
        <f>VLOOKUP($BS116,'État &amp; Plan d''action'!$B$6:$AH$1113,32,FALSE)</f>
        <v>0</v>
      </c>
      <c r="EB116" s="70">
        <f>VLOOKUP($BS116,'État &amp; Plan d''action'!$B$6:$AH$1113,33,FALSE)</f>
        <v>0</v>
      </c>
      <c r="EC116" s="70">
        <v>0</v>
      </c>
      <c r="ED116" s="70">
        <v>0</v>
      </c>
      <c r="EE116" s="70">
        <v>3.1859999999999999</v>
      </c>
      <c r="EF116" s="70">
        <v>0</v>
      </c>
      <c r="EG116" s="70">
        <v>0</v>
      </c>
      <c r="EH116" s="72">
        <v>59</v>
      </c>
      <c r="EI116" s="72">
        <v>4783</v>
      </c>
    </row>
    <row r="117" spans="1:139" ht="12.75" customHeight="1" x14ac:dyDescent="0.35">
      <c r="A117" s="1"/>
      <c r="B117"/>
      <c r="C117"/>
      <c r="D117"/>
      <c r="E117"/>
      <c r="F117"/>
      <c r="G117"/>
      <c r="H117"/>
      <c r="I117"/>
      <c r="J117"/>
      <c r="K117"/>
      <c r="L117"/>
      <c r="M117"/>
      <c r="N117"/>
      <c r="O117" s="70"/>
      <c r="P117" s="70"/>
      <c r="Q117" s="70"/>
      <c r="R117" s="70"/>
      <c r="S117" s="95"/>
      <c r="T117" s="70"/>
      <c r="W117" s="442"/>
      <c r="X117" s="442"/>
      <c r="Y117" s="442"/>
      <c r="Z117" s="442"/>
      <c r="AA117" s="442"/>
      <c r="AB117" s="442"/>
      <c r="AC117" s="442"/>
      <c r="AD117" s="442"/>
      <c r="AE117" s="442"/>
      <c r="AF117" s="442"/>
      <c r="AG117" s="442"/>
      <c r="AH117" s="442"/>
      <c r="AI117" s="442"/>
      <c r="BS117" s="486">
        <v>39030</v>
      </c>
      <c r="BT117" s="479" t="s">
        <v>342</v>
      </c>
      <c r="BU117" s="479">
        <v>17</v>
      </c>
      <c r="BV117" s="476" t="s">
        <v>1187</v>
      </c>
      <c r="BW117" s="476" t="s">
        <v>1187</v>
      </c>
      <c r="BX117" s="476" t="s">
        <v>1187</v>
      </c>
      <c r="BY117" s="476" t="s">
        <v>1187</v>
      </c>
      <c r="BZ117" s="476" t="s">
        <v>1187</v>
      </c>
      <c r="CA117" s="476" t="s">
        <v>1187</v>
      </c>
      <c r="CB117" s="476" t="s">
        <v>1187</v>
      </c>
      <c r="CC117" s="476" t="s">
        <v>1187</v>
      </c>
      <c r="CD117" s="476" t="s">
        <v>1187</v>
      </c>
      <c r="CE117" s="476" t="s">
        <v>1188</v>
      </c>
      <c r="CF117" s="476" t="s">
        <v>1188</v>
      </c>
      <c r="CG117" s="476" t="s">
        <v>1188</v>
      </c>
      <c r="CH117" s="476" t="s">
        <v>1188</v>
      </c>
      <c r="CI117" s="476" t="s">
        <v>1188</v>
      </c>
      <c r="CJ117" s="476" t="s">
        <v>1188</v>
      </c>
      <c r="CK117" s="476" t="s">
        <v>1188</v>
      </c>
      <c r="CL117" s="476" t="s">
        <v>1188</v>
      </c>
      <c r="CM117" s="476" t="str">
        <f>IF(VLOOKUP(BS117,'Données par municipalité'!$B$6:$E$1113,4,FALSE)="","non","oui")</f>
        <v>oui</v>
      </c>
      <c r="CN117" s="410">
        <v>447.29481834425258</v>
      </c>
      <c r="CO117" s="410">
        <v>341.8250853023423</v>
      </c>
      <c r="CP117" s="410">
        <v>281.76981409001951</v>
      </c>
      <c r="CQ117" s="410">
        <v>264.41597298368623</v>
      </c>
      <c r="CR117" s="410">
        <v>280.27436794560083</v>
      </c>
      <c r="CS117" s="410">
        <v>342.44879046432112</v>
      </c>
      <c r="CT117" s="410">
        <v>305.94679186228484</v>
      </c>
      <c r="CU117" s="410">
        <v>301</v>
      </c>
      <c r="CV117" s="410">
        <f>IF(VLOOKUP(BS117,'Données par municipalité'!$B$6:$F$1113,4,FALSE)="","",VLOOKUP(BS117,'Données par municipalité'!$B$6:$F$1113,4,FALSE))</f>
        <v>223</v>
      </c>
      <c r="CW117" s="476" t="s">
        <v>4723</v>
      </c>
      <c r="CX117" s="483">
        <v>0</v>
      </c>
      <c r="CY117" s="483">
        <v>0.05</v>
      </c>
      <c r="CZ117" s="483">
        <v>0.05</v>
      </c>
      <c r="DA117" s="483">
        <v>1</v>
      </c>
      <c r="DB117" s="483">
        <v>1</v>
      </c>
      <c r="DC117" s="483">
        <v>0</v>
      </c>
      <c r="DD117" s="483">
        <v>0</v>
      </c>
      <c r="DE117" s="483">
        <f>IFERROR(SUM(VLOOKUP($BS117,'État &amp; Plan d''action'!$B$6:$Z$1113,18,FALSE),VLOOKUP($BS117,'État &amp; Plan d''action'!$B$6:$Z$1113,20,FALSE))/(VLOOKUP($BS117,'Données par municipalité'!$B$4:$L$1113,11,FALSE)),"")</f>
        <v>0</v>
      </c>
      <c r="DF117" s="483">
        <f>IFERROR(SUM(VLOOKUP($BS117,'État &amp; Plan d''action'!$B$6:$Z$1113,19,FALSE),VLOOKUP($BS117,'État &amp; Plan d''action'!$B$6:$Z$1113,21,FALSE))/(VLOOKUP($BS117,'Données par municipalité'!$B$4:$L$1113,11,FALSE)),"")</f>
        <v>0</v>
      </c>
      <c r="DG117" s="476" t="s">
        <v>4723</v>
      </c>
      <c r="DH117" s="484">
        <v>0</v>
      </c>
      <c r="DI117" s="484">
        <v>1</v>
      </c>
      <c r="DJ117" s="484">
        <v>2</v>
      </c>
      <c r="DK117" s="484">
        <v>2</v>
      </c>
      <c r="DL117" s="484">
        <v>1</v>
      </c>
      <c r="DM117" s="484">
        <v>2</v>
      </c>
      <c r="DN117" s="484">
        <v>0</v>
      </c>
      <c r="DO117" s="484">
        <v>0</v>
      </c>
      <c r="DP117" s="484">
        <v>0</v>
      </c>
      <c r="DQ117" s="484">
        <f>IF(VLOOKUP($BS117,'État &amp; Plan d''action'!$B$6:$AJ$1113,28,FALSE)="","",VLOOKUP($BS117,'État &amp; Plan d''action'!$B$6:$AJ$1113,28,FALSE))</f>
        <v>1</v>
      </c>
      <c r="DR117" s="70">
        <f>IF(VLOOKUP($BS117,'État &amp; Plan d''action'!$B$6:$AJ$1113,29,FALSE)="","",VLOOKUP($BS117,'État &amp; Plan d''action'!$B$6:$AJ$1113,29,FALSE))</f>
        <v>0</v>
      </c>
      <c r="DS117" s="70">
        <f>IF(VLOOKUP($BS117,'État &amp; Plan d''action'!$B$6:$AJ$1113,30,FALSE)="","",VLOOKUP($BS117,'État &amp; Plan d''action'!$B$6:$AJ$1113,30,FALSE))</f>
        <v>7</v>
      </c>
      <c r="DT117" s="70">
        <v>156</v>
      </c>
      <c r="DU117" s="485">
        <v>1.0483466479225232</v>
      </c>
      <c r="DV117" s="485">
        <v>1.7916030101366007</v>
      </c>
      <c r="DW117" s="70">
        <v>0</v>
      </c>
      <c r="DX117" s="70">
        <v>0</v>
      </c>
      <c r="DY117" s="70">
        <v>0</v>
      </c>
      <c r="DZ117" s="70">
        <f>VLOOKUP($BS117,'État &amp; Plan d''action'!$B$6:$AH$1113,31,FALSE)</f>
        <v>1</v>
      </c>
      <c r="EA117" s="70">
        <f>VLOOKUP($BS117,'État &amp; Plan d''action'!$B$6:$AH$1113,32,FALSE)</f>
        <v>0</v>
      </c>
      <c r="EB117" s="70">
        <f>VLOOKUP($BS117,'État &amp; Plan d''action'!$B$6:$AH$1113,33,FALSE)</f>
        <v>3</v>
      </c>
      <c r="EC117" s="70">
        <v>0</v>
      </c>
      <c r="ED117" s="70">
        <v>0</v>
      </c>
      <c r="EE117" s="70">
        <v>0</v>
      </c>
      <c r="EF117" s="70">
        <v>0</v>
      </c>
      <c r="EG117" s="70">
        <v>0</v>
      </c>
      <c r="EH117" s="72">
        <v>36</v>
      </c>
      <c r="EI117" s="72">
        <v>950</v>
      </c>
    </row>
    <row r="118" spans="1:139" ht="12.75" customHeight="1" x14ac:dyDescent="0.35">
      <c r="A118" s="1"/>
      <c r="B118"/>
      <c r="C118"/>
      <c r="D118"/>
      <c r="E118"/>
      <c r="F118"/>
      <c r="G118"/>
      <c r="H118"/>
      <c r="I118"/>
      <c r="J118"/>
      <c r="K118"/>
      <c r="L118"/>
      <c r="M118"/>
      <c r="N118"/>
      <c r="O118" s="70"/>
      <c r="P118" s="70"/>
      <c r="Q118" s="70"/>
      <c r="R118" s="70"/>
      <c r="S118" s="95"/>
      <c r="T118" s="70"/>
      <c r="W118" s="442"/>
      <c r="X118" s="442"/>
      <c r="Y118" s="442"/>
      <c r="Z118" s="442"/>
      <c r="AA118" s="442"/>
      <c r="AB118" s="442"/>
      <c r="AC118" s="442"/>
      <c r="AD118" s="442"/>
      <c r="AE118" s="442"/>
      <c r="AF118" s="442"/>
      <c r="AG118" s="442"/>
      <c r="AH118" s="442"/>
      <c r="AI118" s="442"/>
      <c r="BS118" s="486">
        <v>99025</v>
      </c>
      <c r="BT118" s="479" t="s">
        <v>1022</v>
      </c>
      <c r="BU118" s="479">
        <v>10</v>
      </c>
      <c r="BV118" s="476" t="s">
        <v>1187</v>
      </c>
      <c r="BW118" s="476" t="s">
        <v>1187</v>
      </c>
      <c r="BX118" s="476" t="s">
        <v>1187</v>
      </c>
      <c r="BY118" s="476" t="s">
        <v>1187</v>
      </c>
      <c r="BZ118" s="476" t="s">
        <v>1187</v>
      </c>
      <c r="CA118" s="476" t="s">
        <v>1187</v>
      </c>
      <c r="CB118" s="476" t="s">
        <v>1187</v>
      </c>
      <c r="CC118" s="476" t="s">
        <v>1187</v>
      </c>
      <c r="CD118" s="476" t="s">
        <v>1187</v>
      </c>
      <c r="CE118" s="476" t="s">
        <v>1188</v>
      </c>
      <c r="CF118" s="476" t="s">
        <v>1188</v>
      </c>
      <c r="CG118" s="476" t="s">
        <v>1188</v>
      </c>
      <c r="CH118" s="476" t="s">
        <v>1188</v>
      </c>
      <c r="CI118" s="476" t="s">
        <v>1188</v>
      </c>
      <c r="CJ118" s="476" t="s">
        <v>1188</v>
      </c>
      <c r="CK118" s="476" t="s">
        <v>1188</v>
      </c>
      <c r="CL118" s="476" t="s">
        <v>1188</v>
      </c>
      <c r="CM118" s="476" t="str">
        <f>IF(VLOOKUP(BS118,'Données par municipalité'!$B$6:$E$1113,4,FALSE)="","non","oui")</f>
        <v>oui</v>
      </c>
      <c r="CN118" s="410">
        <v>1200.4136073795537</v>
      </c>
      <c r="CO118" s="410">
        <v>1180.6738500803954</v>
      </c>
      <c r="CP118" s="410">
        <v>1247.3815352922895</v>
      </c>
      <c r="CQ118" s="410">
        <v>1311.1882723044703</v>
      </c>
      <c r="CR118" s="410">
        <v>1420.0739951907333</v>
      </c>
      <c r="CS118" s="410">
        <v>1305.09518762384</v>
      </c>
      <c r="CT118" s="410">
        <v>1230.1971556184235</v>
      </c>
      <c r="CU118" s="410">
        <v>1164</v>
      </c>
      <c r="CV118" s="410">
        <f>IF(VLOOKUP(BS118,'Données par municipalité'!$B$6:$F$1113,4,FALSE)="","",VLOOKUP(BS118,'Données par municipalité'!$B$6:$F$1113,4,FALSE))</f>
        <v>1116</v>
      </c>
      <c r="CW118" s="476" t="s">
        <v>4723</v>
      </c>
      <c r="CX118" s="483">
        <v>0</v>
      </c>
      <c r="CY118" s="483">
        <v>0.1</v>
      </c>
      <c r="CZ118" s="483">
        <v>1</v>
      </c>
      <c r="DA118" s="483">
        <v>1</v>
      </c>
      <c r="DB118" s="483">
        <v>1</v>
      </c>
      <c r="DC118" s="483">
        <v>0</v>
      </c>
      <c r="DD118" s="483">
        <v>0</v>
      </c>
      <c r="DE118" s="483">
        <f>IFERROR(SUM(VLOOKUP($BS118,'État &amp; Plan d''action'!$B$6:$Z$1113,18,FALSE),VLOOKUP($BS118,'État &amp; Plan d''action'!$B$6:$Z$1113,20,FALSE))/(VLOOKUP($BS118,'Données par municipalité'!$B$4:$L$1113,11,FALSE)),"")</f>
        <v>0</v>
      </c>
      <c r="DF118" s="483">
        <f>IFERROR(SUM(VLOOKUP($BS118,'État &amp; Plan d''action'!$B$6:$Z$1113,19,FALSE),VLOOKUP($BS118,'État &amp; Plan d''action'!$B$6:$Z$1113,21,FALSE))/(VLOOKUP($BS118,'Données par municipalité'!$B$4:$L$1113,11,FALSE)),"")</f>
        <v>0</v>
      </c>
      <c r="DG118" s="476" t="s">
        <v>4723</v>
      </c>
      <c r="DH118" s="484">
        <v>0</v>
      </c>
      <c r="DI118" s="484">
        <v>0</v>
      </c>
      <c r="DJ118" s="484">
        <v>7</v>
      </c>
      <c r="DK118" s="484">
        <v>0</v>
      </c>
      <c r="DL118" s="484">
        <v>11</v>
      </c>
      <c r="DM118" s="484">
        <v>2</v>
      </c>
      <c r="DN118" s="484">
        <v>3</v>
      </c>
      <c r="DO118" s="484">
        <v>5</v>
      </c>
      <c r="DP118" s="484">
        <v>1</v>
      </c>
      <c r="DQ118" s="484">
        <f>IF(VLOOKUP($BS118,'État &amp; Plan d''action'!$B$6:$AJ$1113,28,FALSE)="","",VLOOKUP($BS118,'État &amp; Plan d''action'!$B$6:$AJ$1113,28,FALSE))</f>
        <v>5</v>
      </c>
      <c r="DR118" s="70">
        <f>IF(VLOOKUP($BS118,'État &amp; Plan d''action'!$B$6:$AJ$1113,29,FALSE)="","",VLOOKUP($BS118,'État &amp; Plan d''action'!$B$6:$AJ$1113,29,FALSE))</f>
        <v>5</v>
      </c>
      <c r="DS118" s="70">
        <f>IF(VLOOKUP($BS118,'État &amp; Plan d''action'!$B$6:$AJ$1113,30,FALSE)="","",VLOOKUP($BS118,'État &amp; Plan d''action'!$B$6:$AJ$1113,30,FALSE))</f>
        <v>0</v>
      </c>
      <c r="DT118" s="70">
        <v>830</v>
      </c>
      <c r="DU118" s="485">
        <v>6.2395166943774614</v>
      </c>
      <c r="DV118" s="485">
        <v>15.723938053342449</v>
      </c>
      <c r="DW118" s="70">
        <v>2</v>
      </c>
      <c r="DX118" s="70">
        <v>2</v>
      </c>
      <c r="DY118" s="70">
        <v>7</v>
      </c>
      <c r="DZ118" s="70">
        <f>VLOOKUP($BS118,'État &amp; Plan d''action'!$B$6:$AH$1113,31,FALSE)</f>
        <v>2</v>
      </c>
      <c r="EA118" s="70">
        <f>VLOOKUP($BS118,'État &amp; Plan d''action'!$B$6:$AH$1113,32,FALSE)</f>
        <v>5</v>
      </c>
      <c r="EB118" s="70">
        <f>VLOOKUP($BS118,'État &amp; Plan d''action'!$B$6:$AH$1113,33,FALSE)</f>
        <v>0</v>
      </c>
      <c r="EC118" s="70">
        <v>51.475999999999999</v>
      </c>
      <c r="ED118" s="70">
        <v>0</v>
      </c>
      <c r="EE118" s="70">
        <v>0</v>
      </c>
      <c r="EF118" s="70">
        <v>0</v>
      </c>
      <c r="EG118" s="70">
        <v>0</v>
      </c>
      <c r="EH118" s="72">
        <v>46</v>
      </c>
      <c r="EI118" s="72">
        <v>7478</v>
      </c>
    </row>
    <row r="119" spans="1:139" ht="12.75" customHeight="1" x14ac:dyDescent="0.35">
      <c r="A119" s="1"/>
      <c r="B119"/>
      <c r="C119"/>
      <c r="D119"/>
      <c r="E119"/>
      <c r="F119"/>
      <c r="G119"/>
      <c r="H119"/>
      <c r="I119"/>
      <c r="J119"/>
      <c r="K119"/>
      <c r="L119"/>
      <c r="M119"/>
      <c r="N119"/>
      <c r="O119" s="70"/>
      <c r="P119" s="70"/>
      <c r="Q119" s="70"/>
      <c r="R119" s="70"/>
      <c r="S119" s="95"/>
      <c r="T119" s="70"/>
      <c r="W119" s="442"/>
      <c r="X119" s="442"/>
      <c r="Y119" s="442"/>
      <c r="Z119" s="442"/>
      <c r="AA119" s="442"/>
      <c r="AB119" s="442"/>
      <c r="AC119" s="442"/>
      <c r="AD119" s="442"/>
      <c r="AE119" s="442"/>
      <c r="AF119" s="442"/>
      <c r="AG119" s="442"/>
      <c r="AH119" s="442"/>
      <c r="AI119" s="442"/>
      <c r="BS119" s="486">
        <v>84090</v>
      </c>
      <c r="BT119" s="479" t="s">
        <v>867</v>
      </c>
      <c r="BU119" s="479">
        <v>7</v>
      </c>
      <c r="BV119" s="476" t="s">
        <v>1188</v>
      </c>
      <c r="BW119" s="476" t="s">
        <v>1188</v>
      </c>
      <c r="BX119" s="476" t="s">
        <v>1188</v>
      </c>
      <c r="BY119" s="476" t="s">
        <v>1188</v>
      </c>
      <c r="BZ119" s="476" t="s">
        <v>1188</v>
      </c>
      <c r="CA119" s="476" t="s">
        <v>1188</v>
      </c>
      <c r="CB119" s="476" t="s">
        <v>1188</v>
      </c>
      <c r="CC119" s="476" t="s">
        <v>1188</v>
      </c>
      <c r="CD119" s="476" t="s">
        <v>1324</v>
      </c>
      <c r="CE119" s="476" t="s">
        <v>1187</v>
      </c>
      <c r="CF119" s="476" t="s">
        <v>1187</v>
      </c>
      <c r="CG119" s="476" t="s">
        <v>1187</v>
      </c>
      <c r="CH119" s="476" t="s">
        <v>1187</v>
      </c>
      <c r="CI119" s="476" t="s">
        <v>1187</v>
      </c>
      <c r="CJ119" s="476" t="s">
        <v>1187</v>
      </c>
      <c r="CK119" s="476" t="s">
        <v>1187</v>
      </c>
      <c r="CL119" s="476" t="s">
        <v>1187</v>
      </c>
      <c r="CM119" s="476" t="str">
        <f>IF(VLOOKUP(BS119,'Données par municipalité'!$B$6:$E$1113,4,FALSE)="","non","oui")</f>
        <v>non</v>
      </c>
      <c r="CN119" s="410" t="s">
        <v>1124</v>
      </c>
      <c r="CO119" s="410" t="s">
        <v>1124</v>
      </c>
      <c r="CP119" s="410"/>
      <c r="CQ119" s="410"/>
      <c r="CR119" s="410"/>
      <c r="CS119" s="410" t="s">
        <v>1124</v>
      </c>
      <c r="CT119" s="410"/>
      <c r="CU119" s="410" t="s">
        <v>1124</v>
      </c>
      <c r="CV119" s="410" t="str">
        <f>IF(VLOOKUP(BS119,'Données par municipalité'!$B$6:$F$1113,4,FALSE)="","",VLOOKUP(BS119,'Données par municipalité'!$B$6:$F$1113,4,FALSE))</f>
        <v/>
      </c>
      <c r="CW119" s="476" t="s">
        <v>4723</v>
      </c>
      <c r="CX119" s="483" t="s">
        <v>1124</v>
      </c>
      <c r="CY119" s="483" t="s">
        <v>1124</v>
      </c>
      <c r="CZ119" s="483" t="s">
        <v>1124</v>
      </c>
      <c r="DA119" s="483" t="s">
        <v>1124</v>
      </c>
      <c r="DB119" s="483" t="s">
        <v>1124</v>
      </c>
      <c r="DC119" s="483" t="s">
        <v>1124</v>
      </c>
      <c r="DD119" s="483" t="s">
        <v>1124</v>
      </c>
      <c r="DE119" s="483" t="str">
        <f>IFERROR(SUM(VLOOKUP($BS119,'État &amp; Plan d''action'!$B$6:$Z$1113,18,FALSE),VLOOKUP($BS119,'État &amp; Plan d''action'!$B$6:$Z$1113,20,FALSE))/(VLOOKUP($BS119,'Données par municipalité'!$B$4:$L$1113,11,FALSE)),"")</f>
        <v/>
      </c>
      <c r="DF119" s="483" t="str">
        <f>IFERROR(SUM(VLOOKUP($BS119,'État &amp; Plan d''action'!$B$6:$Z$1113,19,FALSE),VLOOKUP($BS119,'État &amp; Plan d''action'!$B$6:$Z$1113,21,FALSE))/(VLOOKUP($BS119,'Données par municipalité'!$B$4:$L$1113,11,FALSE)),"")</f>
        <v/>
      </c>
      <c r="DG119" s="476" t="s">
        <v>4723</v>
      </c>
      <c r="DH119" s="484" t="s">
        <v>1124</v>
      </c>
      <c r="DI119" s="484" t="s">
        <v>1124</v>
      </c>
      <c r="DJ119" s="484">
        <v>0</v>
      </c>
      <c r="DK119" s="484">
        <v>0</v>
      </c>
      <c r="DL119" s="484" t="s">
        <v>1124</v>
      </c>
      <c r="DM119" s="484" t="s">
        <v>1124</v>
      </c>
      <c r="DN119" s="484" t="s">
        <v>1124</v>
      </c>
      <c r="DO119" s="484" t="s">
        <v>1124</v>
      </c>
      <c r="DP119" s="484" t="s">
        <v>1124</v>
      </c>
      <c r="DQ119" s="484" t="str">
        <f>IF(VLOOKUP($BS119,'État &amp; Plan d''action'!$B$6:$AJ$1113,28,FALSE)="","",VLOOKUP($BS119,'État &amp; Plan d''action'!$B$6:$AJ$1113,28,FALSE))</f>
        <v/>
      </c>
      <c r="DR119" s="70" t="str">
        <f>IF(VLOOKUP($BS119,'État &amp; Plan d''action'!$B$6:$AJ$1113,29,FALSE)="","",VLOOKUP($BS119,'État &amp; Plan d''action'!$B$6:$AJ$1113,29,FALSE))</f>
        <v/>
      </c>
      <c r="DS119" s="70" t="str">
        <f>IF(VLOOKUP($BS119,'État &amp; Plan d''action'!$B$6:$AJ$1113,30,FALSE)="","",VLOOKUP($BS119,'État &amp; Plan d''action'!$B$6:$AJ$1113,30,FALSE))</f>
        <v/>
      </c>
      <c r="DT119" s="70" t="s">
        <v>1124</v>
      </c>
      <c r="DU119" s="485" t="s">
        <v>1124</v>
      </c>
      <c r="DV119" s="485" t="s">
        <v>1124</v>
      </c>
      <c r="DW119" s="70" t="s">
        <v>1124</v>
      </c>
      <c r="DX119" s="70" t="s">
        <v>1124</v>
      </c>
      <c r="DY119" s="70" t="s">
        <v>1124</v>
      </c>
      <c r="DZ119" s="70" t="str">
        <f>VLOOKUP($BS119,'État &amp; Plan d''action'!$B$6:$AH$1113,31,FALSE)</f>
        <v/>
      </c>
      <c r="EA119" s="70" t="str">
        <f>VLOOKUP($BS119,'État &amp; Plan d''action'!$B$6:$AH$1113,32,FALSE)</f>
        <v/>
      </c>
      <c r="EB119" s="70" t="str">
        <f>VLOOKUP($BS119,'État &amp; Plan d''action'!$B$6:$AH$1113,33,FALSE)</f>
        <v/>
      </c>
      <c r="EC119" s="70" t="s">
        <v>1124</v>
      </c>
      <c r="ED119" s="70" t="s">
        <v>1124</v>
      </c>
      <c r="EE119" s="70" t="s">
        <v>1124</v>
      </c>
      <c r="EF119" s="70" t="s">
        <v>1124</v>
      </c>
      <c r="EG119" s="70" t="s">
        <v>1124</v>
      </c>
      <c r="EH119" s="72"/>
      <c r="EI119" s="72">
        <v>347</v>
      </c>
    </row>
    <row r="120" spans="1:139" ht="12.75" customHeight="1" x14ac:dyDescent="0.35">
      <c r="A120" s="1"/>
      <c r="B120"/>
      <c r="C120"/>
      <c r="D120"/>
      <c r="E120"/>
      <c r="F120"/>
      <c r="G120"/>
      <c r="H120"/>
      <c r="I120"/>
      <c r="J120"/>
      <c r="K120"/>
      <c r="L120"/>
      <c r="M120"/>
      <c r="N120"/>
      <c r="O120" s="70"/>
      <c r="P120" s="70"/>
      <c r="Q120" s="70"/>
      <c r="R120" s="70"/>
      <c r="S120" s="95"/>
      <c r="T120" s="70"/>
      <c r="W120" s="442"/>
      <c r="X120" s="442"/>
      <c r="Y120" s="442"/>
      <c r="Z120" s="442"/>
      <c r="AA120" s="442"/>
      <c r="AB120" s="442"/>
      <c r="AC120" s="442"/>
      <c r="AD120" s="442"/>
      <c r="AE120" s="442"/>
      <c r="AF120" s="442"/>
      <c r="AG120" s="442"/>
      <c r="AH120" s="442"/>
      <c r="AI120" s="442"/>
      <c r="BS120" s="486">
        <v>96035</v>
      </c>
      <c r="BT120" s="479" t="s">
        <v>1000</v>
      </c>
      <c r="BU120" s="479">
        <v>9</v>
      </c>
      <c r="BV120" s="476" t="s">
        <v>1187</v>
      </c>
      <c r="BW120" s="476" t="s">
        <v>1187</v>
      </c>
      <c r="BX120" s="476" t="s">
        <v>1187</v>
      </c>
      <c r="BY120" s="476" t="s">
        <v>1187</v>
      </c>
      <c r="BZ120" s="476" t="s">
        <v>1187</v>
      </c>
      <c r="CA120" s="476" t="s">
        <v>1187</v>
      </c>
      <c r="CB120" s="476" t="s">
        <v>1187</v>
      </c>
      <c r="CC120" s="476" t="s">
        <v>1187</v>
      </c>
      <c r="CD120" s="476" t="s">
        <v>1187</v>
      </c>
      <c r="CE120" s="476" t="s">
        <v>1188</v>
      </c>
      <c r="CF120" s="476" t="s">
        <v>1188</v>
      </c>
      <c r="CG120" s="476" t="s">
        <v>1187</v>
      </c>
      <c r="CH120" s="476" t="s">
        <v>1187</v>
      </c>
      <c r="CI120" s="476" t="s">
        <v>1188</v>
      </c>
      <c r="CJ120" s="476" t="s">
        <v>1188</v>
      </c>
      <c r="CK120" s="476" t="s">
        <v>1187</v>
      </c>
      <c r="CL120" s="476" t="s">
        <v>1187</v>
      </c>
      <c r="CM120" s="476" t="str">
        <f>IF(VLOOKUP(BS120,'Données par municipalité'!$B$6:$E$1113,4,FALSE)="","non","oui")</f>
        <v>oui</v>
      </c>
      <c r="CN120" s="410">
        <v>471.70632489540168</v>
      </c>
      <c r="CO120" s="410">
        <v>531.12132682334925</v>
      </c>
      <c r="CP120" s="410"/>
      <c r="CQ120" s="410"/>
      <c r="CR120" s="410">
        <v>501.81039590998654</v>
      </c>
      <c r="CS120" s="410">
        <v>443.89902858257398</v>
      </c>
      <c r="CT120" s="410"/>
      <c r="CU120" s="410" t="s">
        <v>1124</v>
      </c>
      <c r="CV120" s="410">
        <f>IF(VLOOKUP(BS120,'Données par municipalité'!$B$6:$F$1113,4,FALSE)="","",VLOOKUP(BS120,'Données par municipalité'!$B$6:$F$1113,4,FALSE))</f>
        <v>601</v>
      </c>
      <c r="CW120" s="476" t="s">
        <v>4723</v>
      </c>
      <c r="CX120" s="483">
        <v>0</v>
      </c>
      <c r="CY120" s="483" t="s">
        <v>1124</v>
      </c>
      <c r="CZ120" s="483" t="s">
        <v>1124</v>
      </c>
      <c r="DA120" s="483">
        <v>0</v>
      </c>
      <c r="DB120" s="483">
        <v>0</v>
      </c>
      <c r="DC120" s="483" t="s">
        <v>1124</v>
      </c>
      <c r="DD120" s="483" t="s">
        <v>1124</v>
      </c>
      <c r="DE120" s="483">
        <f>IFERROR(SUM(VLOOKUP($BS120,'État &amp; Plan d''action'!$B$6:$Z$1113,18,FALSE),VLOOKUP($BS120,'État &amp; Plan d''action'!$B$6:$Z$1113,20,FALSE))/(VLOOKUP($BS120,'Données par municipalité'!$B$4:$L$1113,11,FALSE)),"")</f>
        <v>0</v>
      </c>
      <c r="DF120" s="483">
        <f>IFERROR(SUM(VLOOKUP($BS120,'État &amp; Plan d''action'!$B$6:$Z$1113,19,FALSE),VLOOKUP($BS120,'État &amp; Plan d''action'!$B$6:$Z$1113,21,FALSE))/(VLOOKUP($BS120,'Données par municipalité'!$B$4:$L$1113,11,FALSE)),"")</f>
        <v>0</v>
      </c>
      <c r="DG120" s="476" t="s">
        <v>4723</v>
      </c>
      <c r="DH120" s="484">
        <v>3</v>
      </c>
      <c r="DI120" s="484" t="s">
        <v>1124</v>
      </c>
      <c r="DJ120" s="484">
        <v>1</v>
      </c>
      <c r="DK120" s="484">
        <v>1</v>
      </c>
      <c r="DL120" s="484">
        <v>6</v>
      </c>
      <c r="DM120" s="484" t="s">
        <v>1124</v>
      </c>
      <c r="DN120" s="484" t="s">
        <v>1124</v>
      </c>
      <c r="DO120" s="484" t="s">
        <v>1124</v>
      </c>
      <c r="DP120" s="484" t="s">
        <v>1124</v>
      </c>
      <c r="DQ120" s="484">
        <f>IF(VLOOKUP($BS120,'État &amp; Plan d''action'!$B$6:$AJ$1113,28,FALSE)="","",VLOOKUP($BS120,'État &amp; Plan d''action'!$B$6:$AJ$1113,28,FALSE))</f>
        <v>0</v>
      </c>
      <c r="DR120" s="70">
        <f>IF(VLOOKUP($BS120,'État &amp; Plan d''action'!$B$6:$AJ$1113,29,FALSE)="","",VLOOKUP($BS120,'État &amp; Plan d''action'!$B$6:$AJ$1113,29,FALSE))</f>
        <v>16</v>
      </c>
      <c r="DS120" s="70">
        <f>IF(VLOOKUP($BS120,'État &amp; Plan d''action'!$B$6:$AJ$1113,30,FALSE)="","",VLOOKUP($BS120,'État &amp; Plan d''action'!$B$6:$AJ$1113,30,FALSE))</f>
        <v>0</v>
      </c>
      <c r="DT120" s="70" t="s">
        <v>1124</v>
      </c>
      <c r="DU120" s="485" t="s">
        <v>1124</v>
      </c>
      <c r="DV120" s="485">
        <v>0.94055941190450876</v>
      </c>
      <c r="DW120" s="70" t="s">
        <v>1124</v>
      </c>
      <c r="DX120" s="70" t="s">
        <v>1124</v>
      </c>
      <c r="DY120" s="70" t="s">
        <v>1124</v>
      </c>
      <c r="DZ120" s="70">
        <f>VLOOKUP($BS120,'État &amp; Plan d''action'!$B$6:$AH$1113,31,FALSE)</f>
        <v>0</v>
      </c>
      <c r="EA120" s="70">
        <f>VLOOKUP($BS120,'État &amp; Plan d''action'!$B$6:$AH$1113,32,FALSE)</f>
        <v>1</v>
      </c>
      <c r="EB120" s="70">
        <f>VLOOKUP($BS120,'État &amp; Plan d''action'!$B$6:$AH$1113,33,FALSE)</f>
        <v>0</v>
      </c>
      <c r="EC120" s="70" t="s">
        <v>1124</v>
      </c>
      <c r="ED120" s="70" t="s">
        <v>1124</v>
      </c>
      <c r="EE120" s="70" t="s">
        <v>1124</v>
      </c>
      <c r="EF120" s="70" t="s">
        <v>1124</v>
      </c>
      <c r="EG120" s="70" t="s">
        <v>1124</v>
      </c>
      <c r="EH120" s="72"/>
      <c r="EI120" s="72">
        <v>1517</v>
      </c>
    </row>
    <row r="121" spans="1:139" ht="12.75" customHeight="1" x14ac:dyDescent="0.35">
      <c r="A121" s="1"/>
      <c r="B121"/>
      <c r="C121"/>
      <c r="D121"/>
      <c r="E121"/>
      <c r="F121"/>
      <c r="G121"/>
      <c r="H121"/>
      <c r="I121"/>
      <c r="J121"/>
      <c r="K121"/>
      <c r="L121"/>
      <c r="M121"/>
      <c r="N121"/>
      <c r="O121" s="70"/>
      <c r="P121" s="70"/>
      <c r="Q121" s="70"/>
      <c r="R121" s="70"/>
      <c r="S121" s="95"/>
      <c r="T121" s="70"/>
      <c r="W121" s="442"/>
      <c r="X121" s="442"/>
      <c r="Y121" s="442"/>
      <c r="Z121" s="442"/>
      <c r="AA121" s="442"/>
      <c r="AB121" s="442"/>
      <c r="AC121" s="442"/>
      <c r="AD121" s="442"/>
      <c r="AE121" s="442"/>
      <c r="AF121" s="442"/>
      <c r="AG121" s="442"/>
      <c r="AH121" s="442"/>
      <c r="AI121" s="442"/>
      <c r="BS121" s="486">
        <v>79065</v>
      </c>
      <c r="BT121" s="479" t="s">
        <v>796</v>
      </c>
      <c r="BU121" s="479">
        <v>15</v>
      </c>
      <c r="BV121" s="476" t="s">
        <v>1188</v>
      </c>
      <c r="BW121" s="476" t="s">
        <v>1188</v>
      </c>
      <c r="BX121" s="476" t="s">
        <v>1188</v>
      </c>
      <c r="BY121" s="476" t="s">
        <v>1188</v>
      </c>
      <c r="BZ121" s="476" t="s">
        <v>1188</v>
      </c>
      <c r="CA121" s="476" t="s">
        <v>1188</v>
      </c>
      <c r="CB121" s="476" t="s">
        <v>1188</v>
      </c>
      <c r="CC121" s="476" t="s">
        <v>1188</v>
      </c>
      <c r="CD121" s="476" t="s">
        <v>1188</v>
      </c>
      <c r="CE121" s="476" t="s">
        <v>1188</v>
      </c>
      <c r="CF121" s="476" t="s">
        <v>1188</v>
      </c>
      <c r="CG121" s="476" t="s">
        <v>1188</v>
      </c>
      <c r="CH121" s="476" t="s">
        <v>1188</v>
      </c>
      <c r="CI121" s="476" t="s">
        <v>1188</v>
      </c>
      <c r="CJ121" s="476" t="s">
        <v>1187</v>
      </c>
      <c r="CK121" s="476" t="s">
        <v>1187</v>
      </c>
      <c r="CL121" s="476" t="s">
        <v>1187</v>
      </c>
      <c r="CM121" s="476" t="str">
        <f>IF(VLOOKUP(BS121,'Données par municipalité'!$B$6:$E$1113,4,FALSE)="","non","oui")</f>
        <v>non</v>
      </c>
      <c r="CN121" s="410">
        <v>385.83860597497801</v>
      </c>
      <c r="CO121" s="410">
        <v>357.33766062860133</v>
      </c>
      <c r="CP121" s="410">
        <v>371.3094500552337</v>
      </c>
      <c r="CQ121" s="410">
        <v>369.16347112923415</v>
      </c>
      <c r="CR121" s="410">
        <v>419.87652421742348</v>
      </c>
      <c r="CS121" s="410" t="s">
        <v>1124</v>
      </c>
      <c r="CT121" s="410"/>
      <c r="CU121" s="410" t="s">
        <v>1124</v>
      </c>
      <c r="CV121" s="410" t="str">
        <f>IF(VLOOKUP(BS121,'Données par municipalité'!$B$6:$F$1113,4,FALSE)="","",VLOOKUP(BS121,'Données par municipalité'!$B$6:$F$1113,4,FALSE))</f>
        <v/>
      </c>
      <c r="CW121" s="476" t="s">
        <v>4723</v>
      </c>
      <c r="CX121" s="483" t="s">
        <v>1124</v>
      </c>
      <c r="CY121" s="483">
        <v>0</v>
      </c>
      <c r="CZ121" s="483">
        <v>0</v>
      </c>
      <c r="DA121" s="483">
        <v>0</v>
      </c>
      <c r="DB121" s="483" t="s">
        <v>1124</v>
      </c>
      <c r="DC121" s="483" t="s">
        <v>1124</v>
      </c>
      <c r="DD121" s="483" t="s">
        <v>1124</v>
      </c>
      <c r="DE121" s="483" t="str">
        <f>IFERROR(SUM(VLOOKUP($BS121,'État &amp; Plan d''action'!$B$6:$Z$1113,18,FALSE),VLOOKUP($BS121,'État &amp; Plan d''action'!$B$6:$Z$1113,20,FALSE))/(VLOOKUP($BS121,'Données par municipalité'!$B$4:$L$1113,11,FALSE)),"")</f>
        <v/>
      </c>
      <c r="DF121" s="483" t="str">
        <f>IFERROR(SUM(VLOOKUP($BS121,'État &amp; Plan d''action'!$B$6:$Z$1113,19,FALSE),VLOOKUP($BS121,'État &amp; Plan d''action'!$B$6:$Z$1113,21,FALSE))/(VLOOKUP($BS121,'Données par municipalité'!$B$4:$L$1113,11,FALSE)),"")</f>
        <v/>
      </c>
      <c r="DG121" s="476" t="s">
        <v>4723</v>
      </c>
      <c r="DH121" s="484" t="s">
        <v>1124</v>
      </c>
      <c r="DI121" s="484" t="s">
        <v>1124</v>
      </c>
      <c r="DJ121" s="484">
        <v>0</v>
      </c>
      <c r="DK121" s="484">
        <v>0</v>
      </c>
      <c r="DL121" s="484" t="s">
        <v>1124</v>
      </c>
      <c r="DM121" s="484" t="s">
        <v>1124</v>
      </c>
      <c r="DN121" s="484" t="s">
        <v>1124</v>
      </c>
      <c r="DO121" s="484" t="s">
        <v>1124</v>
      </c>
      <c r="DP121" s="484" t="s">
        <v>1124</v>
      </c>
      <c r="DQ121" s="484" t="str">
        <f>IF(VLOOKUP($BS121,'État &amp; Plan d''action'!$B$6:$AJ$1113,28,FALSE)="","",VLOOKUP($BS121,'État &amp; Plan d''action'!$B$6:$AJ$1113,28,FALSE))</f>
        <v/>
      </c>
      <c r="DR121" s="70" t="str">
        <f>IF(VLOOKUP($BS121,'État &amp; Plan d''action'!$B$6:$AJ$1113,29,FALSE)="","",VLOOKUP($BS121,'État &amp; Plan d''action'!$B$6:$AJ$1113,29,FALSE))</f>
        <v/>
      </c>
      <c r="DS121" s="70" t="str">
        <f>IF(VLOOKUP($BS121,'État &amp; Plan d''action'!$B$6:$AJ$1113,30,FALSE)="","",VLOOKUP($BS121,'État &amp; Plan d''action'!$B$6:$AJ$1113,30,FALSE))</f>
        <v/>
      </c>
      <c r="DT121" s="70" t="s">
        <v>1124</v>
      </c>
      <c r="DU121" s="485" t="s">
        <v>1124</v>
      </c>
      <c r="DV121" s="485" t="s">
        <v>1124</v>
      </c>
      <c r="DW121" s="70" t="s">
        <v>1124</v>
      </c>
      <c r="DX121" s="70" t="s">
        <v>1124</v>
      </c>
      <c r="DY121" s="70" t="s">
        <v>1124</v>
      </c>
      <c r="DZ121" s="70" t="str">
        <f>VLOOKUP($BS121,'État &amp; Plan d''action'!$B$6:$AH$1113,31,FALSE)</f>
        <v/>
      </c>
      <c r="EA121" s="70" t="str">
        <f>VLOOKUP($BS121,'État &amp; Plan d''action'!$B$6:$AH$1113,32,FALSE)</f>
        <v/>
      </c>
      <c r="EB121" s="70" t="str">
        <f>VLOOKUP($BS121,'État &amp; Plan d''action'!$B$6:$AH$1113,33,FALSE)</f>
        <v/>
      </c>
      <c r="EC121" s="70" t="s">
        <v>1124</v>
      </c>
      <c r="ED121" s="70" t="s">
        <v>1124</v>
      </c>
      <c r="EE121" s="70" t="s">
        <v>1124</v>
      </c>
      <c r="EF121" s="70" t="s">
        <v>1124</v>
      </c>
      <c r="EG121" s="70" t="s">
        <v>1124</v>
      </c>
      <c r="EH121" s="72"/>
      <c r="EI121" s="72">
        <v>943</v>
      </c>
    </row>
    <row r="122" spans="1:139" ht="12.75" customHeight="1" x14ac:dyDescent="0.35">
      <c r="A122" s="1"/>
      <c r="B122"/>
      <c r="C122"/>
      <c r="D122"/>
      <c r="E122"/>
      <c r="F122"/>
      <c r="G122"/>
      <c r="H122"/>
      <c r="I122"/>
      <c r="J122"/>
      <c r="K122"/>
      <c r="L122"/>
      <c r="M122"/>
      <c r="N122"/>
      <c r="O122" s="70"/>
      <c r="P122" s="70"/>
      <c r="Q122" s="70"/>
      <c r="R122" s="70"/>
      <c r="S122" s="95"/>
      <c r="T122" s="70"/>
      <c r="W122" s="442"/>
      <c r="X122" s="442"/>
      <c r="Y122" s="442"/>
      <c r="Z122" s="442"/>
      <c r="AA122" s="442"/>
      <c r="AB122" s="442"/>
      <c r="AC122" s="442"/>
      <c r="AD122" s="442"/>
      <c r="AE122" s="442"/>
      <c r="AF122" s="442"/>
      <c r="AG122" s="442"/>
      <c r="AH122" s="442"/>
      <c r="AI122" s="442"/>
      <c r="BS122" s="486">
        <v>84015</v>
      </c>
      <c r="BT122" s="479" t="s">
        <v>854</v>
      </c>
      <c r="BU122" s="479">
        <v>7</v>
      </c>
      <c r="BV122" s="476" t="s">
        <v>1187</v>
      </c>
      <c r="BW122" s="476" t="s">
        <v>1187</v>
      </c>
      <c r="BX122" s="476" t="s">
        <v>1187</v>
      </c>
      <c r="BY122" s="476" t="s">
        <v>1187</v>
      </c>
      <c r="BZ122" s="476" t="s">
        <v>1188</v>
      </c>
      <c r="CA122" s="476" t="s">
        <v>1188</v>
      </c>
      <c r="CB122" s="476" t="s">
        <v>1188</v>
      </c>
      <c r="CC122" s="476" t="s">
        <v>1188</v>
      </c>
      <c r="CD122" s="476" t="s">
        <v>1188</v>
      </c>
      <c r="CE122" s="476" t="s">
        <v>1187</v>
      </c>
      <c r="CF122" s="476" t="s">
        <v>1187</v>
      </c>
      <c r="CG122" s="476" t="s">
        <v>1187</v>
      </c>
      <c r="CH122" s="476" t="s">
        <v>1187</v>
      </c>
      <c r="CI122" s="476" t="s">
        <v>1187</v>
      </c>
      <c r="CJ122" s="476" t="s">
        <v>1187</v>
      </c>
      <c r="CK122" s="476" t="s">
        <v>1187</v>
      </c>
      <c r="CL122" s="476" t="s">
        <v>1187</v>
      </c>
      <c r="CM122" s="476" t="str">
        <f>IF(VLOOKUP(BS122,'Données par municipalité'!$B$6:$E$1113,4,FALSE)="","non","oui")</f>
        <v>non</v>
      </c>
      <c r="CN122" s="410" t="s">
        <v>1124</v>
      </c>
      <c r="CO122" s="410" t="s">
        <v>1124</v>
      </c>
      <c r="CP122" s="410"/>
      <c r="CQ122" s="410"/>
      <c r="CR122" s="410"/>
      <c r="CS122" s="410" t="s">
        <v>1124</v>
      </c>
      <c r="CT122" s="410"/>
      <c r="CU122" s="410" t="s">
        <v>1124</v>
      </c>
      <c r="CV122" s="410" t="str">
        <f>IF(VLOOKUP(BS122,'Données par municipalité'!$B$6:$F$1113,4,FALSE)="","",VLOOKUP(BS122,'Données par municipalité'!$B$6:$F$1113,4,FALSE))</f>
        <v/>
      </c>
      <c r="CW122" s="476" t="s">
        <v>4723</v>
      </c>
      <c r="CX122" s="483" t="s">
        <v>1124</v>
      </c>
      <c r="CY122" s="483" t="s">
        <v>1124</v>
      </c>
      <c r="CZ122" s="483" t="s">
        <v>1124</v>
      </c>
      <c r="DA122" s="483" t="s">
        <v>1124</v>
      </c>
      <c r="DB122" s="483" t="s">
        <v>1124</v>
      </c>
      <c r="DC122" s="483" t="s">
        <v>1124</v>
      </c>
      <c r="DD122" s="483" t="s">
        <v>1124</v>
      </c>
      <c r="DE122" s="483" t="str">
        <f>IFERROR(SUM(VLOOKUP($BS122,'État &amp; Plan d''action'!$B$6:$Z$1113,18,FALSE),VLOOKUP($BS122,'État &amp; Plan d''action'!$B$6:$Z$1113,20,FALSE))/(VLOOKUP($BS122,'Données par municipalité'!$B$4:$L$1113,11,FALSE)),"")</f>
        <v/>
      </c>
      <c r="DF122" s="483" t="str">
        <f>IFERROR(SUM(VLOOKUP($BS122,'État &amp; Plan d''action'!$B$6:$Z$1113,19,FALSE),VLOOKUP($BS122,'État &amp; Plan d''action'!$B$6:$Z$1113,21,FALSE))/(VLOOKUP($BS122,'Données par municipalité'!$B$4:$L$1113,11,FALSE)),"")</f>
        <v/>
      </c>
      <c r="DG122" s="476" t="s">
        <v>4723</v>
      </c>
      <c r="DH122" s="484">
        <v>1</v>
      </c>
      <c r="DI122" s="484">
        <v>1</v>
      </c>
      <c r="DJ122" s="484">
        <v>0</v>
      </c>
      <c r="DK122" s="484">
        <v>0</v>
      </c>
      <c r="DL122" s="484" t="s">
        <v>1124</v>
      </c>
      <c r="DM122" s="484" t="s">
        <v>1124</v>
      </c>
      <c r="DN122" s="484" t="s">
        <v>1124</v>
      </c>
      <c r="DO122" s="484" t="s">
        <v>1124</v>
      </c>
      <c r="DP122" s="484" t="s">
        <v>1124</v>
      </c>
      <c r="DQ122" s="484" t="str">
        <f>IF(VLOOKUP($BS122,'État &amp; Plan d''action'!$B$6:$AJ$1113,28,FALSE)="","",VLOOKUP($BS122,'État &amp; Plan d''action'!$B$6:$AJ$1113,28,FALSE))</f>
        <v/>
      </c>
      <c r="DR122" s="70" t="str">
        <f>IF(VLOOKUP($BS122,'État &amp; Plan d''action'!$B$6:$AJ$1113,29,FALSE)="","",VLOOKUP($BS122,'État &amp; Plan d''action'!$B$6:$AJ$1113,29,FALSE))</f>
        <v/>
      </c>
      <c r="DS122" s="70" t="str">
        <f>IF(VLOOKUP($BS122,'État &amp; Plan d''action'!$B$6:$AJ$1113,30,FALSE)="","",VLOOKUP($BS122,'État &amp; Plan d''action'!$B$6:$AJ$1113,30,FALSE))</f>
        <v/>
      </c>
      <c r="DT122" s="70" t="s">
        <v>1124</v>
      </c>
      <c r="DU122" s="485" t="s">
        <v>1124</v>
      </c>
      <c r="DV122" s="485" t="s">
        <v>1124</v>
      </c>
      <c r="DW122" s="70" t="s">
        <v>1124</v>
      </c>
      <c r="DX122" s="70" t="s">
        <v>1124</v>
      </c>
      <c r="DY122" s="70" t="s">
        <v>1124</v>
      </c>
      <c r="DZ122" s="70" t="str">
        <f>VLOOKUP($BS122,'État &amp; Plan d''action'!$B$6:$AH$1113,31,FALSE)</f>
        <v/>
      </c>
      <c r="EA122" s="70" t="str">
        <f>VLOOKUP($BS122,'État &amp; Plan d''action'!$B$6:$AH$1113,32,FALSE)</f>
        <v/>
      </c>
      <c r="EB122" s="70" t="str">
        <f>VLOOKUP($BS122,'État &amp; Plan d''action'!$B$6:$AH$1113,33,FALSE)</f>
        <v/>
      </c>
      <c r="EC122" s="70" t="s">
        <v>1124</v>
      </c>
      <c r="ED122" s="70" t="s">
        <v>1124</v>
      </c>
      <c r="EE122" s="70" t="s">
        <v>1124</v>
      </c>
      <c r="EF122" s="70" t="s">
        <v>1124</v>
      </c>
      <c r="EG122" s="70" t="s">
        <v>1124</v>
      </c>
      <c r="EH122" s="72"/>
      <c r="EI122" s="72">
        <v>1274</v>
      </c>
    </row>
    <row r="123" spans="1:139" ht="12.75" customHeight="1" x14ac:dyDescent="0.35">
      <c r="A123" s="1"/>
      <c r="B123"/>
      <c r="C123"/>
      <c r="D123"/>
      <c r="E123"/>
      <c r="F123"/>
      <c r="G123"/>
      <c r="H123"/>
      <c r="I123"/>
      <c r="J123"/>
      <c r="K123"/>
      <c r="L123"/>
      <c r="M123"/>
      <c r="N123"/>
      <c r="O123" s="70"/>
      <c r="P123" s="70"/>
      <c r="Q123" s="70"/>
      <c r="R123" s="70"/>
      <c r="S123" s="95"/>
      <c r="T123" s="70"/>
      <c r="W123" s="442"/>
      <c r="X123" s="442"/>
      <c r="Y123" s="442"/>
      <c r="Z123" s="442"/>
      <c r="AA123" s="442"/>
      <c r="AB123" s="442"/>
      <c r="AC123" s="442"/>
      <c r="AD123" s="442"/>
      <c r="AE123" s="442"/>
      <c r="AF123" s="442"/>
      <c r="AG123" s="442"/>
      <c r="AH123" s="442"/>
      <c r="AI123" s="442"/>
      <c r="BS123" s="486">
        <v>15035</v>
      </c>
      <c r="BT123" s="479" t="s">
        <v>81</v>
      </c>
      <c r="BU123" s="479">
        <v>3</v>
      </c>
      <c r="BV123" s="476" t="s">
        <v>1187</v>
      </c>
      <c r="BW123" s="476" t="s">
        <v>1187</v>
      </c>
      <c r="BX123" s="476" t="s">
        <v>1187</v>
      </c>
      <c r="BY123" s="476" t="s">
        <v>1187</v>
      </c>
      <c r="BZ123" s="476" t="s">
        <v>1187</v>
      </c>
      <c r="CA123" s="476" t="s">
        <v>1187</v>
      </c>
      <c r="CB123" s="476" t="s">
        <v>1187</v>
      </c>
      <c r="CC123" s="476" t="s">
        <v>1187</v>
      </c>
      <c r="CD123" s="476" t="s">
        <v>1187</v>
      </c>
      <c r="CE123" s="476" t="s">
        <v>1188</v>
      </c>
      <c r="CF123" s="476" t="s">
        <v>1188</v>
      </c>
      <c r="CG123" s="476" t="s">
        <v>1188</v>
      </c>
      <c r="CH123" s="476" t="s">
        <v>1188</v>
      </c>
      <c r="CI123" s="476" t="s">
        <v>1188</v>
      </c>
      <c r="CJ123" s="476" t="s">
        <v>1188</v>
      </c>
      <c r="CK123" s="476" t="s">
        <v>1188</v>
      </c>
      <c r="CL123" s="476" t="s">
        <v>1188</v>
      </c>
      <c r="CM123" s="476" t="str">
        <f>IF(VLOOKUP(BS123,'Données par municipalité'!$B$6:$E$1113,4,FALSE)="","non","oui")</f>
        <v>oui</v>
      </c>
      <c r="CN123" s="410">
        <v>543.85003866327077</v>
      </c>
      <c r="CO123" s="410">
        <v>458.76215483932918</v>
      </c>
      <c r="CP123" s="410">
        <v>419.89992758224781</v>
      </c>
      <c r="CQ123" s="410">
        <v>404.1206769207372</v>
      </c>
      <c r="CR123" s="410">
        <v>415.52268357095153</v>
      </c>
      <c r="CS123" s="410">
        <v>412.27846219090895</v>
      </c>
      <c r="CT123" s="410">
        <v>401.05965626968032</v>
      </c>
      <c r="CU123" s="410">
        <v>410</v>
      </c>
      <c r="CV123" s="410">
        <f>IF(VLOOKUP(BS123,'Données par municipalité'!$B$6:$F$1113,4,FALSE)="","",VLOOKUP(BS123,'Données par municipalité'!$B$6:$F$1113,4,FALSE))</f>
        <v>400</v>
      </c>
      <c r="CW123" s="476" t="s">
        <v>4723</v>
      </c>
      <c r="CX123" s="483">
        <v>0</v>
      </c>
      <c r="CY123" s="483">
        <v>0.25</v>
      </c>
      <c r="CZ123" s="483">
        <v>0.25</v>
      </c>
      <c r="DA123" s="483">
        <v>0.25</v>
      </c>
      <c r="DB123" s="483">
        <v>0.25</v>
      </c>
      <c r="DC123" s="483">
        <v>0.25</v>
      </c>
      <c r="DD123" s="483">
        <v>0.20254629629629628</v>
      </c>
      <c r="DE123" s="483">
        <f>IFERROR(SUM(VLOOKUP($BS123,'État &amp; Plan d''action'!$B$6:$Z$1113,18,FALSE),VLOOKUP($BS123,'État &amp; Plan d''action'!$B$6:$Z$1113,20,FALSE))/(VLOOKUP($BS123,'Données par municipalité'!$B$4:$L$1113,11,FALSE)),"")</f>
        <v>1</v>
      </c>
      <c r="DF123" s="483">
        <f>IFERROR(SUM(VLOOKUP($BS123,'État &amp; Plan d''action'!$B$6:$Z$1113,19,FALSE),VLOOKUP($BS123,'État &amp; Plan d''action'!$B$6:$Z$1113,21,FALSE))/(VLOOKUP($BS123,'Données par municipalité'!$B$4:$L$1113,11,FALSE)),"")</f>
        <v>0</v>
      </c>
      <c r="DG123" s="476" t="s">
        <v>4723</v>
      </c>
      <c r="DH123" s="484">
        <v>4</v>
      </c>
      <c r="DI123" s="484">
        <v>3</v>
      </c>
      <c r="DJ123" s="484">
        <v>4</v>
      </c>
      <c r="DK123" s="484">
        <v>3</v>
      </c>
      <c r="DL123" s="484">
        <v>2</v>
      </c>
      <c r="DM123" s="484">
        <v>2</v>
      </c>
      <c r="DN123" s="484">
        <v>2</v>
      </c>
      <c r="DO123" s="484">
        <v>1</v>
      </c>
      <c r="DP123" s="484">
        <v>4</v>
      </c>
      <c r="DQ123" s="484">
        <f>IF(VLOOKUP($BS123,'État &amp; Plan d''action'!$B$6:$AJ$1113,28,FALSE)="","",VLOOKUP($BS123,'État &amp; Plan d''action'!$B$6:$AJ$1113,28,FALSE))</f>
        <v>1</v>
      </c>
      <c r="DR123" s="70">
        <f>IF(VLOOKUP($BS123,'État &amp; Plan d''action'!$B$6:$AJ$1113,29,FALSE)="","",VLOOKUP($BS123,'État &amp; Plan d''action'!$B$6:$AJ$1113,29,FALSE))</f>
        <v>3</v>
      </c>
      <c r="DS123" s="70">
        <f>IF(VLOOKUP($BS123,'État &amp; Plan d''action'!$B$6:$AJ$1113,30,FALSE)="","",VLOOKUP($BS123,'État &amp; Plan d''action'!$B$6:$AJ$1113,30,FALSE))</f>
        <v>1</v>
      </c>
      <c r="DT123" s="70">
        <v>325</v>
      </c>
      <c r="DU123" s="485">
        <v>1.367008148481246</v>
      </c>
      <c r="DV123" s="485">
        <v>1.1979181059532205</v>
      </c>
      <c r="DW123" s="70">
        <v>1</v>
      </c>
      <c r="DX123" s="70">
        <v>1</v>
      </c>
      <c r="DY123" s="70">
        <v>5</v>
      </c>
      <c r="DZ123" s="70">
        <f>VLOOKUP($BS123,'État &amp; Plan d''action'!$B$6:$AH$1113,31,FALSE)</f>
        <v>1</v>
      </c>
      <c r="EA123" s="70">
        <f>VLOOKUP($BS123,'État &amp; Plan d''action'!$B$6:$AH$1113,32,FALSE)</f>
        <v>1</v>
      </c>
      <c r="EB123" s="70">
        <f>VLOOKUP($BS123,'État &amp; Plan d''action'!$B$6:$AH$1113,33,FALSE)</f>
        <v>2</v>
      </c>
      <c r="EC123" s="70">
        <v>34.56</v>
      </c>
      <c r="ED123" s="70">
        <v>7</v>
      </c>
      <c r="EE123" s="70">
        <v>0</v>
      </c>
      <c r="EF123" s="70">
        <v>0</v>
      </c>
      <c r="EG123" s="70">
        <v>0</v>
      </c>
      <c r="EH123" s="72">
        <v>58</v>
      </c>
      <c r="EI123" s="72">
        <v>3103</v>
      </c>
    </row>
    <row r="124" spans="1:139" ht="12.75" customHeight="1" x14ac:dyDescent="0.35">
      <c r="A124" s="1"/>
      <c r="B124"/>
      <c r="C124"/>
      <c r="D124"/>
      <c r="E124"/>
      <c r="F124"/>
      <c r="G124"/>
      <c r="H124"/>
      <c r="I124"/>
      <c r="J124"/>
      <c r="K124"/>
      <c r="L124"/>
      <c r="M124"/>
      <c r="N124"/>
      <c r="O124" s="70"/>
      <c r="P124" s="70"/>
      <c r="Q124" s="70"/>
      <c r="R124" s="70"/>
      <c r="S124" s="95"/>
      <c r="T124" s="70"/>
      <c r="W124" s="442"/>
      <c r="X124" s="442"/>
      <c r="Y124" s="442"/>
      <c r="Z124" s="442"/>
      <c r="AA124" s="442"/>
      <c r="AB124" s="442"/>
      <c r="AC124" s="442"/>
      <c r="AD124" s="442"/>
      <c r="AE124" s="442"/>
      <c r="AF124" s="442"/>
      <c r="AG124" s="442"/>
      <c r="AH124" s="442"/>
      <c r="AI124" s="442"/>
      <c r="BS124" s="486">
        <v>87110</v>
      </c>
      <c r="BT124" s="479" t="s">
        <v>908</v>
      </c>
      <c r="BU124" s="479">
        <v>8</v>
      </c>
      <c r="BV124" s="476" t="s">
        <v>1188</v>
      </c>
      <c r="BW124" s="476" t="s">
        <v>1188</v>
      </c>
      <c r="BX124" s="476" t="s">
        <v>1188</v>
      </c>
      <c r="BY124" s="476" t="s">
        <v>1188</v>
      </c>
      <c r="BZ124" s="476" t="s">
        <v>1188</v>
      </c>
      <c r="CA124" s="476" t="s">
        <v>1188</v>
      </c>
      <c r="CB124" s="476" t="s">
        <v>1188</v>
      </c>
      <c r="CC124" s="476" t="s">
        <v>1188</v>
      </c>
      <c r="CD124" s="476" t="s">
        <v>1188</v>
      </c>
      <c r="CE124" s="476" t="s">
        <v>1187</v>
      </c>
      <c r="CF124" s="476" t="s">
        <v>1187</v>
      </c>
      <c r="CG124" s="476" t="s">
        <v>1187</v>
      </c>
      <c r="CH124" s="476" t="s">
        <v>1187</v>
      </c>
      <c r="CI124" s="476" t="s">
        <v>1187</v>
      </c>
      <c r="CJ124" s="476" t="s">
        <v>1187</v>
      </c>
      <c r="CK124" s="476" t="s">
        <v>1187</v>
      </c>
      <c r="CL124" s="476" t="s">
        <v>1187</v>
      </c>
      <c r="CM124" s="476" t="str">
        <f>IF(VLOOKUP(BS124,'Données par municipalité'!$B$6:$E$1113,4,FALSE)="","non","oui")</f>
        <v>non</v>
      </c>
      <c r="CN124" s="410" t="s">
        <v>1124</v>
      </c>
      <c r="CO124" s="410" t="s">
        <v>1124</v>
      </c>
      <c r="CP124" s="410"/>
      <c r="CQ124" s="410"/>
      <c r="CR124" s="410"/>
      <c r="CS124" s="410" t="s">
        <v>1124</v>
      </c>
      <c r="CT124" s="410"/>
      <c r="CU124" s="410" t="s">
        <v>1124</v>
      </c>
      <c r="CV124" s="410" t="str">
        <f>IF(VLOOKUP(BS124,'Données par municipalité'!$B$6:$F$1113,4,FALSE)="","",VLOOKUP(BS124,'Données par municipalité'!$B$6:$F$1113,4,FALSE))</f>
        <v/>
      </c>
      <c r="CW124" s="476" t="s">
        <v>4723</v>
      </c>
      <c r="CX124" s="483" t="s">
        <v>1124</v>
      </c>
      <c r="CY124" s="483" t="s">
        <v>1124</v>
      </c>
      <c r="CZ124" s="483" t="s">
        <v>1124</v>
      </c>
      <c r="DA124" s="483" t="s">
        <v>1124</v>
      </c>
      <c r="DB124" s="483" t="s">
        <v>1124</v>
      </c>
      <c r="DC124" s="483" t="s">
        <v>1124</v>
      </c>
      <c r="DD124" s="483" t="s">
        <v>1124</v>
      </c>
      <c r="DE124" s="483" t="str">
        <f>IFERROR(SUM(VLOOKUP($BS124,'État &amp; Plan d''action'!$B$6:$Z$1113,18,FALSE),VLOOKUP($BS124,'État &amp; Plan d''action'!$B$6:$Z$1113,20,FALSE))/(VLOOKUP($BS124,'Données par municipalité'!$B$4:$L$1113,11,FALSE)),"")</f>
        <v/>
      </c>
      <c r="DF124" s="483" t="str">
        <f>IFERROR(SUM(VLOOKUP($BS124,'État &amp; Plan d''action'!$B$6:$Z$1113,19,FALSE),VLOOKUP($BS124,'État &amp; Plan d''action'!$B$6:$Z$1113,21,FALSE))/(VLOOKUP($BS124,'Données par municipalité'!$B$4:$L$1113,11,FALSE)),"")</f>
        <v/>
      </c>
      <c r="DG124" s="476" t="s">
        <v>4723</v>
      </c>
      <c r="DH124" s="484" t="s">
        <v>1124</v>
      </c>
      <c r="DI124" s="484" t="s">
        <v>1124</v>
      </c>
      <c r="DJ124" s="484">
        <v>0</v>
      </c>
      <c r="DK124" s="484">
        <v>0</v>
      </c>
      <c r="DL124" s="484" t="s">
        <v>1124</v>
      </c>
      <c r="DM124" s="484" t="s">
        <v>1124</v>
      </c>
      <c r="DN124" s="484" t="s">
        <v>1124</v>
      </c>
      <c r="DO124" s="484" t="s">
        <v>1124</v>
      </c>
      <c r="DP124" s="484" t="s">
        <v>1124</v>
      </c>
      <c r="DQ124" s="484" t="str">
        <f>IF(VLOOKUP($BS124,'État &amp; Plan d''action'!$B$6:$AJ$1113,28,FALSE)="","",VLOOKUP($BS124,'État &amp; Plan d''action'!$B$6:$AJ$1113,28,FALSE))</f>
        <v/>
      </c>
      <c r="DR124" s="70" t="str">
        <f>IF(VLOOKUP($BS124,'État &amp; Plan d''action'!$B$6:$AJ$1113,29,FALSE)="","",VLOOKUP($BS124,'État &amp; Plan d''action'!$B$6:$AJ$1113,29,FALSE))</f>
        <v/>
      </c>
      <c r="DS124" s="70" t="str">
        <f>IF(VLOOKUP($BS124,'État &amp; Plan d''action'!$B$6:$AJ$1113,30,FALSE)="","",VLOOKUP($BS124,'État &amp; Plan d''action'!$B$6:$AJ$1113,30,FALSE))</f>
        <v/>
      </c>
      <c r="DT124" s="70" t="s">
        <v>1124</v>
      </c>
      <c r="DU124" s="485" t="s">
        <v>1124</v>
      </c>
      <c r="DV124" s="485" t="s">
        <v>1124</v>
      </c>
      <c r="DW124" s="70" t="s">
        <v>1124</v>
      </c>
      <c r="DX124" s="70" t="s">
        <v>1124</v>
      </c>
      <c r="DY124" s="70" t="s">
        <v>1124</v>
      </c>
      <c r="DZ124" s="70" t="str">
        <f>VLOOKUP($BS124,'État &amp; Plan d''action'!$B$6:$AH$1113,31,FALSE)</f>
        <v/>
      </c>
      <c r="EA124" s="70" t="str">
        <f>VLOOKUP($BS124,'État &amp; Plan d''action'!$B$6:$AH$1113,32,FALSE)</f>
        <v/>
      </c>
      <c r="EB124" s="70" t="str">
        <f>VLOOKUP($BS124,'État &amp; Plan d''action'!$B$6:$AH$1113,33,FALSE)</f>
        <v/>
      </c>
      <c r="EC124" s="70" t="s">
        <v>1124</v>
      </c>
      <c r="ED124" s="70" t="s">
        <v>1124</v>
      </c>
      <c r="EE124" s="70" t="s">
        <v>1124</v>
      </c>
      <c r="EF124" s="70" t="s">
        <v>1124</v>
      </c>
      <c r="EG124" s="70" t="s">
        <v>1124</v>
      </c>
      <c r="EH124" s="72"/>
      <c r="EI124" s="72">
        <v>498</v>
      </c>
    </row>
    <row r="125" spans="1:139" x14ac:dyDescent="0.35">
      <c r="A125" s="1"/>
      <c r="B125"/>
      <c r="C125"/>
      <c r="D125"/>
      <c r="E125"/>
      <c r="F125"/>
      <c r="G125"/>
      <c r="H125"/>
      <c r="I125"/>
      <c r="J125"/>
      <c r="K125"/>
      <c r="L125"/>
      <c r="M125"/>
      <c r="N125"/>
      <c r="O125" s="70"/>
      <c r="P125" s="70"/>
      <c r="Q125" s="70"/>
      <c r="R125" s="70"/>
      <c r="S125" s="95"/>
      <c r="T125" s="70"/>
      <c r="W125" s="442"/>
      <c r="X125" s="442"/>
      <c r="Y125" s="442"/>
      <c r="Z125" s="442"/>
      <c r="AA125" s="442"/>
      <c r="AB125" s="442"/>
      <c r="AC125" s="442"/>
      <c r="AD125" s="442"/>
      <c r="AE125" s="442"/>
      <c r="AF125" s="442"/>
      <c r="AG125" s="442"/>
      <c r="AH125" s="442"/>
      <c r="AI125" s="442"/>
      <c r="BS125" s="486">
        <v>87075</v>
      </c>
      <c r="BT125" s="479" t="s">
        <v>901</v>
      </c>
      <c r="BU125" s="479">
        <v>8</v>
      </c>
      <c r="BV125" s="476" t="s">
        <v>1188</v>
      </c>
      <c r="BW125" s="476" t="s">
        <v>1188</v>
      </c>
      <c r="BX125" s="476" t="s">
        <v>1188</v>
      </c>
      <c r="BY125" s="476" t="s">
        <v>1188</v>
      </c>
      <c r="BZ125" s="476" t="s">
        <v>1188</v>
      </c>
      <c r="CA125" s="476" t="s">
        <v>1188</v>
      </c>
      <c r="CB125" s="476" t="s">
        <v>1188</v>
      </c>
      <c r="CC125" s="476" t="s">
        <v>1188</v>
      </c>
      <c r="CD125" s="476" t="s">
        <v>1188</v>
      </c>
      <c r="CE125" s="476" t="s">
        <v>1187</v>
      </c>
      <c r="CF125" s="476" t="s">
        <v>1187</v>
      </c>
      <c r="CG125" s="476" t="s">
        <v>1187</v>
      </c>
      <c r="CH125" s="476" t="s">
        <v>1187</v>
      </c>
      <c r="CI125" s="476" t="s">
        <v>1187</v>
      </c>
      <c r="CJ125" s="476" t="s">
        <v>1187</v>
      </c>
      <c r="CK125" s="476" t="s">
        <v>1187</v>
      </c>
      <c r="CL125" s="476" t="s">
        <v>1187</v>
      </c>
      <c r="CM125" s="476" t="str">
        <f>IF(VLOOKUP(BS125,'Données par municipalité'!$B$6:$E$1113,4,FALSE)="","non","oui")</f>
        <v>non</v>
      </c>
      <c r="CN125" s="410" t="s">
        <v>1124</v>
      </c>
      <c r="CO125" s="410" t="s">
        <v>1124</v>
      </c>
      <c r="CP125" s="410"/>
      <c r="CQ125" s="410"/>
      <c r="CR125" s="410"/>
      <c r="CS125" s="410" t="s">
        <v>1124</v>
      </c>
      <c r="CT125" s="410"/>
      <c r="CU125" s="410" t="s">
        <v>1124</v>
      </c>
      <c r="CV125" s="410" t="str">
        <f>IF(VLOOKUP(BS125,'Données par municipalité'!$B$6:$F$1113,4,FALSE)="","",VLOOKUP(BS125,'Données par municipalité'!$B$6:$F$1113,4,FALSE))</f>
        <v/>
      </c>
      <c r="CW125" s="476" t="s">
        <v>4723</v>
      </c>
      <c r="CX125" s="483" t="s">
        <v>1124</v>
      </c>
      <c r="CY125" s="483" t="s">
        <v>1124</v>
      </c>
      <c r="CZ125" s="483" t="s">
        <v>1124</v>
      </c>
      <c r="DA125" s="483" t="s">
        <v>1124</v>
      </c>
      <c r="DB125" s="483" t="s">
        <v>1124</v>
      </c>
      <c r="DC125" s="483" t="s">
        <v>1124</v>
      </c>
      <c r="DD125" s="483" t="s">
        <v>1124</v>
      </c>
      <c r="DE125" s="483" t="str">
        <f>IFERROR(SUM(VLOOKUP($BS125,'État &amp; Plan d''action'!$B$6:$Z$1113,18,FALSE),VLOOKUP($BS125,'État &amp; Plan d''action'!$B$6:$Z$1113,20,FALSE))/(VLOOKUP($BS125,'Données par municipalité'!$B$4:$L$1113,11,FALSE)),"")</f>
        <v/>
      </c>
      <c r="DF125" s="483" t="str">
        <f>IFERROR(SUM(VLOOKUP($BS125,'État &amp; Plan d''action'!$B$6:$Z$1113,19,FALSE),VLOOKUP($BS125,'État &amp; Plan d''action'!$B$6:$Z$1113,21,FALSE))/(VLOOKUP($BS125,'Données par municipalité'!$B$4:$L$1113,11,FALSE)),"")</f>
        <v/>
      </c>
      <c r="DG125" s="476" t="s">
        <v>4723</v>
      </c>
      <c r="DH125" s="484" t="s">
        <v>1124</v>
      </c>
      <c r="DI125" s="484" t="s">
        <v>1124</v>
      </c>
      <c r="DJ125" s="484">
        <v>0</v>
      </c>
      <c r="DK125" s="484">
        <v>0</v>
      </c>
      <c r="DL125" s="484" t="s">
        <v>1124</v>
      </c>
      <c r="DM125" s="484" t="s">
        <v>1124</v>
      </c>
      <c r="DN125" s="484" t="s">
        <v>1124</v>
      </c>
      <c r="DO125" s="484" t="s">
        <v>1124</v>
      </c>
      <c r="DP125" s="484" t="s">
        <v>1124</v>
      </c>
      <c r="DQ125" s="484" t="str">
        <f>IF(VLOOKUP($BS125,'État &amp; Plan d''action'!$B$6:$AJ$1113,28,FALSE)="","",VLOOKUP($BS125,'État &amp; Plan d''action'!$B$6:$AJ$1113,28,FALSE))</f>
        <v/>
      </c>
      <c r="DR125" s="70" t="str">
        <f>IF(VLOOKUP($BS125,'État &amp; Plan d''action'!$B$6:$AJ$1113,29,FALSE)="","",VLOOKUP($BS125,'État &amp; Plan d''action'!$B$6:$AJ$1113,29,FALSE))</f>
        <v/>
      </c>
      <c r="DS125" s="70" t="str">
        <f>IF(VLOOKUP($BS125,'État &amp; Plan d''action'!$B$6:$AJ$1113,30,FALSE)="","",VLOOKUP($BS125,'État &amp; Plan d''action'!$B$6:$AJ$1113,30,FALSE))</f>
        <v/>
      </c>
      <c r="DT125" s="70" t="s">
        <v>1124</v>
      </c>
      <c r="DU125" s="485" t="s">
        <v>1124</v>
      </c>
      <c r="DV125" s="485" t="s">
        <v>1124</v>
      </c>
      <c r="DW125" s="70" t="s">
        <v>1124</v>
      </c>
      <c r="DX125" s="70" t="s">
        <v>1124</v>
      </c>
      <c r="DY125" s="70" t="s">
        <v>1124</v>
      </c>
      <c r="DZ125" s="70" t="str">
        <f>VLOOKUP($BS125,'État &amp; Plan d''action'!$B$6:$AH$1113,31,FALSE)</f>
        <v/>
      </c>
      <c r="EA125" s="70" t="str">
        <f>VLOOKUP($BS125,'État &amp; Plan d''action'!$B$6:$AH$1113,32,FALSE)</f>
        <v/>
      </c>
      <c r="EB125" s="70" t="str">
        <f>VLOOKUP($BS125,'État &amp; Plan d''action'!$B$6:$AH$1113,33,FALSE)</f>
        <v/>
      </c>
      <c r="EC125" s="70" t="s">
        <v>1124</v>
      </c>
      <c r="ED125" s="70" t="s">
        <v>1124</v>
      </c>
      <c r="EE125" s="70" t="s">
        <v>1124</v>
      </c>
      <c r="EF125" s="70" t="s">
        <v>1124</v>
      </c>
      <c r="EG125" s="70" t="s">
        <v>1124</v>
      </c>
      <c r="EH125" s="72"/>
      <c r="EI125" s="72">
        <v>380</v>
      </c>
    </row>
    <row r="126" spans="1:139" x14ac:dyDescent="0.35">
      <c r="A126" s="1"/>
      <c r="B126"/>
      <c r="C126"/>
      <c r="D126"/>
      <c r="E126"/>
      <c r="F126"/>
      <c r="G126"/>
      <c r="H126"/>
      <c r="I126"/>
      <c r="J126"/>
      <c r="K126"/>
      <c r="L126"/>
      <c r="M126"/>
      <c r="N126"/>
      <c r="O126" s="70"/>
      <c r="P126" s="70"/>
      <c r="Q126" s="70"/>
      <c r="R126" s="70"/>
      <c r="S126" s="95"/>
      <c r="T126" s="70"/>
      <c r="W126" s="442"/>
      <c r="X126" s="442"/>
      <c r="Y126" s="442"/>
      <c r="Z126" s="442"/>
      <c r="AA126" s="442"/>
      <c r="AB126" s="442"/>
      <c r="AC126" s="442"/>
      <c r="AD126" s="442"/>
      <c r="AE126" s="442"/>
      <c r="AF126" s="442"/>
      <c r="AG126" s="442"/>
      <c r="AH126" s="442"/>
      <c r="AI126" s="442"/>
      <c r="BS126" s="486">
        <v>42110</v>
      </c>
      <c r="BT126" s="479" t="s">
        <v>396</v>
      </c>
      <c r="BU126" s="479">
        <v>5</v>
      </c>
      <c r="BV126" s="476" t="s">
        <v>1188</v>
      </c>
      <c r="BW126" s="476" t="s">
        <v>1188</v>
      </c>
      <c r="BX126" s="476" t="s">
        <v>1188</v>
      </c>
      <c r="BY126" s="476" t="s">
        <v>1188</v>
      </c>
      <c r="BZ126" s="476" t="s">
        <v>1188</v>
      </c>
      <c r="CA126" s="476" t="s">
        <v>1188</v>
      </c>
      <c r="CB126" s="476" t="s">
        <v>1188</v>
      </c>
      <c r="CC126" s="476" t="s">
        <v>1188</v>
      </c>
      <c r="CD126" s="476" t="s">
        <v>1188</v>
      </c>
      <c r="CE126" s="476" t="s">
        <v>1187</v>
      </c>
      <c r="CF126" s="476" t="s">
        <v>1187</v>
      </c>
      <c r="CG126" s="476" t="s">
        <v>1187</v>
      </c>
      <c r="CH126" s="476" t="s">
        <v>1187</v>
      </c>
      <c r="CI126" s="476" t="s">
        <v>1187</v>
      </c>
      <c r="CJ126" s="476" t="s">
        <v>1187</v>
      </c>
      <c r="CK126" s="476" t="s">
        <v>1187</v>
      </c>
      <c r="CL126" s="476" t="s">
        <v>1187</v>
      </c>
      <c r="CM126" s="476" t="str">
        <f>IF(VLOOKUP(BS126,'Données par municipalité'!$B$6:$E$1113,4,FALSE)="","non","oui")</f>
        <v>non</v>
      </c>
      <c r="CN126" s="410" t="s">
        <v>1124</v>
      </c>
      <c r="CO126" s="410" t="s">
        <v>1124</v>
      </c>
      <c r="CP126" s="410"/>
      <c r="CQ126" s="410"/>
      <c r="CR126" s="410"/>
      <c r="CS126" s="410" t="s">
        <v>1124</v>
      </c>
      <c r="CT126" s="410"/>
      <c r="CU126" s="410" t="s">
        <v>1124</v>
      </c>
      <c r="CV126" s="410" t="str">
        <f>IF(VLOOKUP(BS126,'Données par municipalité'!$B$6:$F$1113,4,FALSE)="","",VLOOKUP(BS126,'Données par municipalité'!$B$6:$F$1113,4,FALSE))</f>
        <v/>
      </c>
      <c r="CW126" s="476" t="s">
        <v>4723</v>
      </c>
      <c r="CX126" s="483" t="s">
        <v>1124</v>
      </c>
      <c r="CY126" s="483" t="s">
        <v>1124</v>
      </c>
      <c r="CZ126" s="483" t="s">
        <v>1124</v>
      </c>
      <c r="DA126" s="483" t="s">
        <v>1124</v>
      </c>
      <c r="DB126" s="483" t="s">
        <v>1124</v>
      </c>
      <c r="DC126" s="483" t="s">
        <v>1124</v>
      </c>
      <c r="DD126" s="483" t="s">
        <v>1124</v>
      </c>
      <c r="DE126" s="483" t="str">
        <f>IFERROR(SUM(VLOOKUP($BS126,'État &amp; Plan d''action'!$B$6:$Z$1113,18,FALSE),VLOOKUP($BS126,'État &amp; Plan d''action'!$B$6:$Z$1113,20,FALSE))/(VLOOKUP($BS126,'Données par municipalité'!$B$4:$L$1113,11,FALSE)),"")</f>
        <v/>
      </c>
      <c r="DF126" s="483" t="str">
        <f>IFERROR(SUM(VLOOKUP($BS126,'État &amp; Plan d''action'!$B$6:$Z$1113,19,FALSE),VLOOKUP($BS126,'État &amp; Plan d''action'!$B$6:$Z$1113,21,FALSE))/(VLOOKUP($BS126,'Données par municipalité'!$B$4:$L$1113,11,FALSE)),"")</f>
        <v/>
      </c>
      <c r="DG126" s="476" t="s">
        <v>4723</v>
      </c>
      <c r="DH126" s="484" t="s">
        <v>1124</v>
      </c>
      <c r="DI126" s="484" t="s">
        <v>1124</v>
      </c>
      <c r="DJ126" s="484">
        <v>0</v>
      </c>
      <c r="DK126" s="484">
        <v>0</v>
      </c>
      <c r="DL126" s="484" t="s">
        <v>1124</v>
      </c>
      <c r="DM126" s="484" t="s">
        <v>1124</v>
      </c>
      <c r="DN126" s="484" t="s">
        <v>1124</v>
      </c>
      <c r="DO126" s="484" t="s">
        <v>1124</v>
      </c>
      <c r="DP126" s="484" t="s">
        <v>1124</v>
      </c>
      <c r="DQ126" s="484" t="str">
        <f>IF(VLOOKUP($BS126,'État &amp; Plan d''action'!$B$6:$AJ$1113,28,FALSE)="","",VLOOKUP($BS126,'État &amp; Plan d''action'!$B$6:$AJ$1113,28,FALSE))</f>
        <v/>
      </c>
      <c r="DR126" s="70" t="str">
        <f>IF(VLOOKUP($BS126,'État &amp; Plan d''action'!$B$6:$AJ$1113,29,FALSE)="","",VLOOKUP($BS126,'État &amp; Plan d''action'!$B$6:$AJ$1113,29,FALSE))</f>
        <v/>
      </c>
      <c r="DS126" s="70" t="str">
        <f>IF(VLOOKUP($BS126,'État &amp; Plan d''action'!$B$6:$AJ$1113,30,FALSE)="","",VLOOKUP($BS126,'État &amp; Plan d''action'!$B$6:$AJ$1113,30,FALSE))</f>
        <v/>
      </c>
      <c r="DT126" s="70" t="s">
        <v>1124</v>
      </c>
      <c r="DU126" s="485" t="s">
        <v>1124</v>
      </c>
      <c r="DV126" s="485" t="s">
        <v>1124</v>
      </c>
      <c r="DW126" s="70" t="s">
        <v>1124</v>
      </c>
      <c r="DX126" s="70" t="s">
        <v>1124</v>
      </c>
      <c r="DY126" s="70" t="s">
        <v>1124</v>
      </c>
      <c r="DZ126" s="70" t="str">
        <f>VLOOKUP($BS126,'État &amp; Plan d''action'!$B$6:$AH$1113,31,FALSE)</f>
        <v/>
      </c>
      <c r="EA126" s="70" t="str">
        <f>VLOOKUP($BS126,'État &amp; Plan d''action'!$B$6:$AH$1113,32,FALSE)</f>
        <v/>
      </c>
      <c r="EB126" s="70" t="str">
        <f>VLOOKUP($BS126,'État &amp; Plan d''action'!$B$6:$AH$1113,33,FALSE)</f>
        <v/>
      </c>
      <c r="EC126" s="70" t="s">
        <v>1124</v>
      </c>
      <c r="ED126" s="70" t="s">
        <v>1124</v>
      </c>
      <c r="EE126" s="70" t="s">
        <v>1124</v>
      </c>
      <c r="EF126" s="70" t="s">
        <v>1124</v>
      </c>
      <c r="EG126" s="70" t="s">
        <v>1124</v>
      </c>
      <c r="EH126" s="72"/>
      <c r="EI126" s="72">
        <v>1568</v>
      </c>
    </row>
    <row r="127" spans="1:139" x14ac:dyDescent="0.35">
      <c r="A127" s="1"/>
      <c r="B127"/>
      <c r="C127"/>
      <c r="D127"/>
      <c r="E127"/>
      <c r="F127"/>
      <c r="G127"/>
      <c r="H127"/>
      <c r="I127"/>
      <c r="J127"/>
      <c r="K127"/>
      <c r="L127"/>
      <c r="M127"/>
      <c r="N127"/>
      <c r="O127" s="70"/>
      <c r="P127" s="70"/>
      <c r="Q127" s="70"/>
      <c r="R127" s="70"/>
      <c r="S127" s="95"/>
      <c r="T127" s="70"/>
      <c r="W127" s="442"/>
      <c r="X127" s="442"/>
      <c r="Y127" s="442"/>
      <c r="Z127" s="442"/>
      <c r="AA127" s="442"/>
      <c r="AB127" s="442"/>
      <c r="AC127" s="442"/>
      <c r="AD127" s="442"/>
      <c r="AE127" s="442"/>
      <c r="AF127" s="442"/>
      <c r="AG127" s="442"/>
      <c r="AH127" s="442"/>
      <c r="AI127" s="442"/>
      <c r="BS127" s="486">
        <v>3010</v>
      </c>
      <c r="BT127" s="479" t="s">
        <v>1032</v>
      </c>
      <c r="BU127" s="479">
        <v>11</v>
      </c>
      <c r="BV127" s="476" t="s">
        <v>1187</v>
      </c>
      <c r="BW127" s="476" t="s">
        <v>1187</v>
      </c>
      <c r="BX127" s="476" t="s">
        <v>1187</v>
      </c>
      <c r="BY127" s="476" t="s">
        <v>1187</v>
      </c>
      <c r="BZ127" s="476" t="s">
        <v>1187</v>
      </c>
      <c r="CA127" s="476" t="s">
        <v>1187</v>
      </c>
      <c r="CB127" s="476" t="s">
        <v>1187</v>
      </c>
      <c r="CC127" s="476" t="s">
        <v>1187</v>
      </c>
      <c r="CD127" s="476" t="s">
        <v>1187</v>
      </c>
      <c r="CE127" s="476" t="s">
        <v>1188</v>
      </c>
      <c r="CF127" s="476" t="s">
        <v>1187</v>
      </c>
      <c r="CG127" s="476" t="s">
        <v>1187</v>
      </c>
      <c r="CH127" s="476" t="s">
        <v>1187</v>
      </c>
      <c r="CI127" s="476" t="s">
        <v>1187</v>
      </c>
      <c r="CJ127" s="476" t="s">
        <v>1188</v>
      </c>
      <c r="CK127" s="476" t="s">
        <v>1187</v>
      </c>
      <c r="CL127" s="476" t="s">
        <v>1188</v>
      </c>
      <c r="CM127" s="476" t="str">
        <f>IF(VLOOKUP(BS127,'Données par municipalité'!$B$6:$E$1113,4,FALSE)="","non","oui")</f>
        <v>non</v>
      </c>
      <c r="CN127" s="410">
        <v>1226.1400778921677</v>
      </c>
      <c r="CO127" s="410" t="s">
        <v>1124</v>
      </c>
      <c r="CP127" s="410"/>
      <c r="CQ127" s="410"/>
      <c r="CR127" s="410"/>
      <c r="CS127" s="410">
        <v>735.54581826690139</v>
      </c>
      <c r="CT127" s="410"/>
      <c r="CU127" s="410">
        <v>1262</v>
      </c>
      <c r="CV127" s="410" t="str">
        <f>IF(VLOOKUP(BS127,'Données par municipalité'!$B$6:$F$1113,4,FALSE)="","",VLOOKUP(BS127,'Données par municipalité'!$B$6:$F$1113,4,FALSE))</f>
        <v/>
      </c>
      <c r="CW127" s="476" t="s">
        <v>4723</v>
      </c>
      <c r="CX127" s="483" t="s">
        <v>1124</v>
      </c>
      <c r="CY127" s="483" t="s">
        <v>1124</v>
      </c>
      <c r="CZ127" s="483" t="s">
        <v>1124</v>
      </c>
      <c r="DA127" s="483" t="s">
        <v>1124</v>
      </c>
      <c r="DB127" s="483">
        <v>0</v>
      </c>
      <c r="DC127" s="483" t="s">
        <v>1124</v>
      </c>
      <c r="DD127" s="483" t="s">
        <v>1124</v>
      </c>
      <c r="DE127" s="483" t="str">
        <f>IFERROR(SUM(VLOOKUP($BS127,'État &amp; Plan d''action'!$B$6:$Z$1113,18,FALSE),VLOOKUP($BS127,'État &amp; Plan d''action'!$B$6:$Z$1113,20,FALSE))/(VLOOKUP($BS127,'Données par municipalité'!$B$4:$L$1113,11,FALSE)),"")</f>
        <v/>
      </c>
      <c r="DF127" s="483" t="str">
        <f>IFERROR(SUM(VLOOKUP($BS127,'État &amp; Plan d''action'!$B$6:$Z$1113,19,FALSE),VLOOKUP($BS127,'État &amp; Plan d''action'!$B$6:$Z$1113,21,FALSE))/(VLOOKUP($BS127,'Données par municipalité'!$B$4:$L$1113,11,FALSE)),"")</f>
        <v/>
      </c>
      <c r="DG127" s="476" t="s">
        <v>4723</v>
      </c>
      <c r="DH127" s="484" t="s">
        <v>1124</v>
      </c>
      <c r="DI127" s="484" t="s">
        <v>1124</v>
      </c>
      <c r="DJ127" s="484">
        <v>0</v>
      </c>
      <c r="DK127" s="484">
        <v>0</v>
      </c>
      <c r="DL127" s="484">
        <v>0</v>
      </c>
      <c r="DM127" s="484" t="s">
        <v>1124</v>
      </c>
      <c r="DN127" s="484">
        <v>0</v>
      </c>
      <c r="DO127" s="484">
        <v>0</v>
      </c>
      <c r="DP127" s="484">
        <v>0</v>
      </c>
      <c r="DQ127" s="484" t="str">
        <f>IF(VLOOKUP($BS127,'État &amp; Plan d''action'!$B$6:$AJ$1113,28,FALSE)="","",VLOOKUP($BS127,'État &amp; Plan d''action'!$B$6:$AJ$1113,28,FALSE))</f>
        <v/>
      </c>
      <c r="DR127" s="70" t="str">
        <f>IF(VLOOKUP($BS127,'État &amp; Plan d''action'!$B$6:$AJ$1113,29,FALSE)="","",VLOOKUP($BS127,'État &amp; Plan d''action'!$B$6:$AJ$1113,29,FALSE))</f>
        <v/>
      </c>
      <c r="DS127" s="70" t="str">
        <f>IF(VLOOKUP($BS127,'État &amp; Plan d''action'!$B$6:$AJ$1113,30,FALSE)="","",VLOOKUP($BS127,'État &amp; Plan d''action'!$B$6:$AJ$1113,30,FALSE))</f>
        <v/>
      </c>
      <c r="DT127" s="70">
        <v>544</v>
      </c>
      <c r="DU127" s="485">
        <v>2.2034245124025995</v>
      </c>
      <c r="DV127" s="485" t="s">
        <v>1124</v>
      </c>
      <c r="DW127" s="70">
        <v>0</v>
      </c>
      <c r="DX127" s="70">
        <v>0</v>
      </c>
      <c r="DY127" s="70">
        <v>0</v>
      </c>
      <c r="DZ127" s="70" t="str">
        <f>VLOOKUP($BS127,'État &amp; Plan d''action'!$B$6:$AH$1113,31,FALSE)</f>
        <v/>
      </c>
      <c r="EA127" s="70" t="str">
        <f>VLOOKUP($BS127,'État &amp; Plan d''action'!$B$6:$AH$1113,32,FALSE)</f>
        <v/>
      </c>
      <c r="EB127" s="70" t="str">
        <f>VLOOKUP($BS127,'État &amp; Plan d''action'!$B$6:$AH$1113,33,FALSE)</f>
        <v/>
      </c>
      <c r="EC127" s="70">
        <v>0</v>
      </c>
      <c r="ED127" s="70">
        <v>0</v>
      </c>
      <c r="EE127" s="70">
        <v>0</v>
      </c>
      <c r="EF127" s="70">
        <v>0</v>
      </c>
      <c r="EG127" s="70">
        <v>0</v>
      </c>
      <c r="EH127" s="72">
        <v>59</v>
      </c>
      <c r="EI127" s="72">
        <v>660</v>
      </c>
    </row>
    <row r="128" spans="1:139" x14ac:dyDescent="0.35">
      <c r="A128" s="1"/>
      <c r="B128"/>
      <c r="C128"/>
      <c r="D128"/>
      <c r="E128"/>
      <c r="F128"/>
      <c r="G128"/>
      <c r="H128"/>
      <c r="I128"/>
      <c r="J128"/>
      <c r="K128"/>
      <c r="L128"/>
      <c r="M128"/>
      <c r="N128"/>
      <c r="O128" s="70"/>
      <c r="P128" s="70"/>
      <c r="Q128" s="70"/>
      <c r="R128" s="70"/>
      <c r="S128" s="95"/>
      <c r="T128" s="70"/>
      <c r="W128" s="442"/>
      <c r="X128" s="442"/>
      <c r="Y128" s="442"/>
      <c r="Z128" s="442"/>
      <c r="AA128" s="442"/>
      <c r="AB128" s="442"/>
      <c r="AC128" s="442"/>
      <c r="AD128" s="442"/>
      <c r="AE128" s="442"/>
      <c r="AF128" s="442"/>
      <c r="AG128" s="442"/>
      <c r="AH128" s="442"/>
      <c r="AI128" s="442"/>
      <c r="BS128" s="486">
        <v>44037</v>
      </c>
      <c r="BT128" s="479" t="s">
        <v>403</v>
      </c>
      <c r="BU128" s="479">
        <v>5</v>
      </c>
      <c r="BV128" s="476" t="s">
        <v>1187</v>
      </c>
      <c r="BW128" s="476" t="s">
        <v>1187</v>
      </c>
      <c r="BX128" s="476" t="s">
        <v>1187</v>
      </c>
      <c r="BY128" s="476" t="s">
        <v>1187</v>
      </c>
      <c r="BZ128" s="476" t="s">
        <v>1187</v>
      </c>
      <c r="CA128" s="476" t="s">
        <v>1187</v>
      </c>
      <c r="CB128" s="476" t="s">
        <v>1187</v>
      </c>
      <c r="CC128" s="476" t="s">
        <v>1187</v>
      </c>
      <c r="CD128" s="476" t="s">
        <v>1187</v>
      </c>
      <c r="CE128" s="476" t="s">
        <v>1188</v>
      </c>
      <c r="CF128" s="476" t="s">
        <v>1188</v>
      </c>
      <c r="CG128" s="476" t="s">
        <v>1188</v>
      </c>
      <c r="CH128" s="476" t="s">
        <v>1188</v>
      </c>
      <c r="CI128" s="476" t="s">
        <v>1188</v>
      </c>
      <c r="CJ128" s="476" t="s">
        <v>1188</v>
      </c>
      <c r="CK128" s="476" t="s">
        <v>1188</v>
      </c>
      <c r="CL128" s="476" t="s">
        <v>1188</v>
      </c>
      <c r="CM128" s="476" t="str">
        <f>IF(VLOOKUP(BS128,'Données par municipalité'!$B$6:$E$1113,4,FALSE)="","non","oui")</f>
        <v>non</v>
      </c>
      <c r="CN128" s="410">
        <v>863.15163177853788</v>
      </c>
      <c r="CO128" s="410">
        <v>623.98634465748046</v>
      </c>
      <c r="CP128" s="410">
        <v>862.84428512527302</v>
      </c>
      <c r="CQ128" s="410">
        <v>854.98331941945833</v>
      </c>
      <c r="CR128" s="410">
        <v>756.81689061496638</v>
      </c>
      <c r="CS128" s="410">
        <v>617.43403480441509</v>
      </c>
      <c r="CT128" s="410">
        <v>556.73099064973962</v>
      </c>
      <c r="CU128" s="410">
        <v>534</v>
      </c>
      <c r="CV128" s="410" t="str">
        <f>IF(VLOOKUP(BS128,'Données par municipalité'!$B$6:$F$1113,4,FALSE)="","",VLOOKUP(BS128,'Données par municipalité'!$B$6:$F$1113,4,FALSE))</f>
        <v/>
      </c>
      <c r="CW128" s="476" t="s">
        <v>4723</v>
      </c>
      <c r="CX128" s="483">
        <v>0</v>
      </c>
      <c r="CY128" s="483">
        <v>1</v>
      </c>
      <c r="CZ128" s="483">
        <v>1</v>
      </c>
      <c r="DA128" s="483">
        <v>1</v>
      </c>
      <c r="DB128" s="483">
        <v>1</v>
      </c>
      <c r="DC128" s="483">
        <v>1</v>
      </c>
      <c r="DD128" s="483">
        <v>0</v>
      </c>
      <c r="DE128" s="483" t="str">
        <f>IFERROR(SUM(VLOOKUP($BS128,'État &amp; Plan d''action'!$B$6:$Z$1113,18,FALSE),VLOOKUP($BS128,'État &amp; Plan d''action'!$B$6:$Z$1113,20,FALSE))/(VLOOKUP($BS128,'Données par municipalité'!$B$4:$L$1113,11,FALSE)),"")</f>
        <v/>
      </c>
      <c r="DF128" s="483" t="str">
        <f>IFERROR(SUM(VLOOKUP($BS128,'État &amp; Plan d''action'!$B$6:$Z$1113,19,FALSE),VLOOKUP($BS128,'État &amp; Plan d''action'!$B$6:$Z$1113,21,FALSE))/(VLOOKUP($BS128,'Données par municipalité'!$B$4:$L$1113,11,FALSE)),"")</f>
        <v/>
      </c>
      <c r="DG128" s="476" t="s">
        <v>4723</v>
      </c>
      <c r="DH128" s="484">
        <v>0</v>
      </c>
      <c r="DI128" s="484">
        <v>2</v>
      </c>
      <c r="DJ128" s="484">
        <v>2</v>
      </c>
      <c r="DK128" s="484">
        <v>0</v>
      </c>
      <c r="DL128" s="484">
        <v>0</v>
      </c>
      <c r="DM128" s="484">
        <v>6</v>
      </c>
      <c r="DN128" s="484">
        <v>4</v>
      </c>
      <c r="DO128" s="484">
        <v>0</v>
      </c>
      <c r="DP128" s="484">
        <v>4</v>
      </c>
      <c r="DQ128" s="484" t="str">
        <f>IF(VLOOKUP($BS128,'État &amp; Plan d''action'!$B$6:$AJ$1113,28,FALSE)="","",VLOOKUP($BS128,'État &amp; Plan d''action'!$B$6:$AJ$1113,28,FALSE))</f>
        <v/>
      </c>
      <c r="DR128" s="70" t="str">
        <f>IF(VLOOKUP($BS128,'État &amp; Plan d''action'!$B$6:$AJ$1113,29,FALSE)="","",VLOOKUP($BS128,'État &amp; Plan d''action'!$B$6:$AJ$1113,29,FALSE))</f>
        <v/>
      </c>
      <c r="DS128" s="70" t="str">
        <f>IF(VLOOKUP($BS128,'État &amp; Plan d''action'!$B$6:$AJ$1113,30,FALSE)="","",VLOOKUP($BS128,'État &amp; Plan d''action'!$B$6:$AJ$1113,30,FALSE))</f>
        <v/>
      </c>
      <c r="DT128" s="70">
        <v>305</v>
      </c>
      <c r="DU128" s="485">
        <v>2.3328812999443178</v>
      </c>
      <c r="DV128" s="485" t="s">
        <v>1124</v>
      </c>
      <c r="DW128" s="70">
        <v>1</v>
      </c>
      <c r="DX128" s="70">
        <v>0</v>
      </c>
      <c r="DY128" s="70">
        <v>5</v>
      </c>
      <c r="DZ128" s="70" t="str">
        <f>VLOOKUP($BS128,'État &amp; Plan d''action'!$B$6:$AH$1113,31,FALSE)</f>
        <v/>
      </c>
      <c r="EA128" s="70" t="str">
        <f>VLOOKUP($BS128,'État &amp; Plan d''action'!$B$6:$AH$1113,32,FALSE)</f>
        <v/>
      </c>
      <c r="EB128" s="70" t="str">
        <f>VLOOKUP($BS128,'État &amp; Plan d''action'!$B$6:$AH$1113,33,FALSE)</f>
        <v/>
      </c>
      <c r="EC128" s="70">
        <v>0</v>
      </c>
      <c r="ED128" s="70">
        <v>0</v>
      </c>
      <c r="EE128" s="70">
        <v>0</v>
      </c>
      <c r="EF128" s="70">
        <v>0</v>
      </c>
      <c r="EG128" s="70">
        <v>0</v>
      </c>
      <c r="EH128" s="72">
        <v>67</v>
      </c>
      <c r="EI128" s="72">
        <v>8923</v>
      </c>
    </row>
    <row r="129" spans="1:139" ht="15.75" customHeight="1" x14ac:dyDescent="0.35">
      <c r="A129" s="1"/>
      <c r="B129"/>
      <c r="C129"/>
      <c r="D129"/>
      <c r="E129"/>
      <c r="F129"/>
      <c r="G129"/>
      <c r="H129"/>
      <c r="I129"/>
      <c r="J129"/>
      <c r="K129"/>
      <c r="L129"/>
      <c r="M129"/>
      <c r="N129"/>
      <c r="O129" s="70"/>
      <c r="P129" s="70"/>
      <c r="Q129" s="70"/>
      <c r="R129" s="70"/>
      <c r="S129" s="95"/>
      <c r="T129" s="70"/>
      <c r="W129" s="442"/>
      <c r="X129" s="442"/>
      <c r="Y129" s="442"/>
      <c r="Z129" s="442"/>
      <c r="AA129" s="442"/>
      <c r="AB129" s="442"/>
      <c r="AC129" s="442"/>
      <c r="AD129" s="442"/>
      <c r="AE129" s="442"/>
      <c r="AF129" s="442"/>
      <c r="AG129" s="442"/>
      <c r="AH129" s="442"/>
      <c r="AI129" s="442"/>
      <c r="BS129" s="486">
        <v>95050</v>
      </c>
      <c r="BT129" s="479" t="s">
        <v>993</v>
      </c>
      <c r="BU129" s="479">
        <v>9</v>
      </c>
      <c r="BV129" s="476" t="s">
        <v>1187</v>
      </c>
      <c r="BW129" s="476" t="s">
        <v>1187</v>
      </c>
      <c r="BX129" s="476" t="s">
        <v>1187</v>
      </c>
      <c r="BY129" s="476" t="s">
        <v>1187</v>
      </c>
      <c r="BZ129" s="476" t="s">
        <v>1187</v>
      </c>
      <c r="CA129" s="476" t="s">
        <v>1187</v>
      </c>
      <c r="CB129" s="476" t="s">
        <v>1187</v>
      </c>
      <c r="CC129" s="476" t="s">
        <v>1187</v>
      </c>
      <c r="CD129" s="476" t="s">
        <v>1187</v>
      </c>
      <c r="CE129" s="476" t="s">
        <v>1188</v>
      </c>
      <c r="CF129" s="476" t="s">
        <v>1188</v>
      </c>
      <c r="CG129" s="476" t="s">
        <v>1187</v>
      </c>
      <c r="CH129" s="476" t="s">
        <v>1187</v>
      </c>
      <c r="CI129" s="476" t="s">
        <v>1187</v>
      </c>
      <c r="CJ129" s="476" t="s">
        <v>1187</v>
      </c>
      <c r="CK129" s="476" t="s">
        <v>1187</v>
      </c>
      <c r="CL129" s="476" t="s">
        <v>1187</v>
      </c>
      <c r="CM129" s="476" t="str">
        <f>IF(VLOOKUP(BS129,'Données par municipalité'!$B$6:$E$1113,4,FALSE)="","non","oui")</f>
        <v>non</v>
      </c>
      <c r="CN129" s="410">
        <v>583.95394057481269</v>
      </c>
      <c r="CO129" s="410">
        <v>524.51732530208244</v>
      </c>
      <c r="CP129" s="410"/>
      <c r="CQ129" s="410"/>
      <c r="CR129" s="410"/>
      <c r="CS129" s="410" t="s">
        <v>1124</v>
      </c>
      <c r="CT129" s="410"/>
      <c r="CU129" s="410" t="s">
        <v>1124</v>
      </c>
      <c r="CV129" s="410" t="str">
        <f>IF(VLOOKUP(BS129,'Données par municipalité'!$B$6:$F$1113,4,FALSE)="","",VLOOKUP(BS129,'Données par municipalité'!$B$6:$F$1113,4,FALSE))</f>
        <v/>
      </c>
      <c r="CW129" s="476" t="s">
        <v>4723</v>
      </c>
      <c r="CX129" s="483">
        <v>0</v>
      </c>
      <c r="CY129" s="483" t="s">
        <v>1124</v>
      </c>
      <c r="CZ129" s="483" t="s">
        <v>1124</v>
      </c>
      <c r="DA129" s="483" t="s">
        <v>1124</v>
      </c>
      <c r="DB129" s="483" t="s">
        <v>1124</v>
      </c>
      <c r="DC129" s="483" t="s">
        <v>1124</v>
      </c>
      <c r="DD129" s="483" t="s">
        <v>1124</v>
      </c>
      <c r="DE129" s="483" t="str">
        <f>IFERROR(SUM(VLOOKUP($BS129,'État &amp; Plan d''action'!$B$6:$Z$1113,18,FALSE),VLOOKUP($BS129,'État &amp; Plan d''action'!$B$6:$Z$1113,20,FALSE))/(VLOOKUP($BS129,'Données par municipalité'!$B$4:$L$1113,11,FALSE)),"")</f>
        <v/>
      </c>
      <c r="DF129" s="483" t="str">
        <f>IFERROR(SUM(VLOOKUP($BS129,'État &amp; Plan d''action'!$B$6:$Z$1113,19,FALSE),VLOOKUP($BS129,'État &amp; Plan d''action'!$B$6:$Z$1113,21,FALSE))/(VLOOKUP($BS129,'Données par municipalité'!$B$4:$L$1113,11,FALSE)),"")</f>
        <v/>
      </c>
      <c r="DG129" s="476" t="s">
        <v>4723</v>
      </c>
      <c r="DH129" s="484">
        <v>2</v>
      </c>
      <c r="DI129" s="484" t="s">
        <v>1124</v>
      </c>
      <c r="DJ129" s="484">
        <v>0</v>
      </c>
      <c r="DK129" s="484">
        <v>3</v>
      </c>
      <c r="DL129" s="484" t="s">
        <v>1124</v>
      </c>
      <c r="DM129" s="484" t="s">
        <v>1124</v>
      </c>
      <c r="DN129" s="484" t="s">
        <v>1124</v>
      </c>
      <c r="DO129" s="484" t="s">
        <v>1124</v>
      </c>
      <c r="DP129" s="484" t="s">
        <v>1124</v>
      </c>
      <c r="DQ129" s="484" t="str">
        <f>IF(VLOOKUP($BS129,'État &amp; Plan d''action'!$B$6:$AJ$1113,28,FALSE)="","",VLOOKUP($BS129,'État &amp; Plan d''action'!$B$6:$AJ$1113,28,FALSE))</f>
        <v/>
      </c>
      <c r="DR129" s="70" t="str">
        <f>IF(VLOOKUP($BS129,'État &amp; Plan d''action'!$B$6:$AJ$1113,29,FALSE)="","",VLOOKUP($BS129,'État &amp; Plan d''action'!$B$6:$AJ$1113,29,FALSE))</f>
        <v/>
      </c>
      <c r="DS129" s="70" t="str">
        <f>IF(VLOOKUP($BS129,'État &amp; Plan d''action'!$B$6:$AJ$1113,30,FALSE)="","",VLOOKUP($BS129,'État &amp; Plan d''action'!$B$6:$AJ$1113,30,FALSE))</f>
        <v/>
      </c>
      <c r="DT129" s="70" t="s">
        <v>1124</v>
      </c>
      <c r="DU129" s="485" t="s">
        <v>1124</v>
      </c>
      <c r="DV129" s="485" t="s">
        <v>1124</v>
      </c>
      <c r="DW129" s="70" t="s">
        <v>1124</v>
      </c>
      <c r="DX129" s="70" t="s">
        <v>1124</v>
      </c>
      <c r="DY129" s="70" t="s">
        <v>1124</v>
      </c>
      <c r="DZ129" s="70" t="str">
        <f>VLOOKUP($BS129,'État &amp; Plan d''action'!$B$6:$AH$1113,31,FALSE)</f>
        <v/>
      </c>
      <c r="EA129" s="70" t="str">
        <f>VLOOKUP($BS129,'État &amp; Plan d''action'!$B$6:$AH$1113,32,FALSE)</f>
        <v/>
      </c>
      <c r="EB129" s="70" t="str">
        <f>VLOOKUP($BS129,'État &amp; Plan d''action'!$B$6:$AH$1113,33,FALSE)</f>
        <v/>
      </c>
      <c r="EC129" s="70" t="s">
        <v>1124</v>
      </c>
      <c r="ED129" s="70" t="s">
        <v>1124</v>
      </c>
      <c r="EE129" s="70" t="s">
        <v>1124</v>
      </c>
      <c r="EF129" s="70" t="s">
        <v>1124</v>
      </c>
      <c r="EG129" s="70" t="s">
        <v>1124</v>
      </c>
      <c r="EH129" s="72"/>
      <c r="EI129" s="72">
        <v>685</v>
      </c>
    </row>
    <row r="130" spans="1:139" x14ac:dyDescent="0.35">
      <c r="A130" s="1"/>
      <c r="B130"/>
      <c r="C130"/>
      <c r="D130"/>
      <c r="E130"/>
      <c r="F130"/>
      <c r="G130"/>
      <c r="H130"/>
      <c r="I130"/>
      <c r="J130"/>
      <c r="K130"/>
      <c r="L130"/>
      <c r="M130"/>
      <c r="N130"/>
      <c r="O130" s="70"/>
      <c r="P130" s="70"/>
      <c r="Q130" s="70"/>
      <c r="R130" s="70"/>
      <c r="S130" s="95"/>
      <c r="T130" s="70"/>
      <c r="W130" s="442"/>
      <c r="X130" s="442"/>
      <c r="Y130" s="442"/>
      <c r="Z130" s="442"/>
      <c r="AA130" s="442"/>
      <c r="AB130" s="442"/>
      <c r="AC130" s="442"/>
      <c r="AD130" s="442"/>
      <c r="AE130" s="442"/>
      <c r="AF130" s="442"/>
      <c r="AG130" s="442"/>
      <c r="AH130" s="442"/>
      <c r="AI130" s="442"/>
      <c r="BS130" s="486">
        <v>44071</v>
      </c>
      <c r="BT130" s="479" t="s">
        <v>408</v>
      </c>
      <c r="BU130" s="479">
        <v>5</v>
      </c>
      <c r="BV130" s="476" t="s">
        <v>1187</v>
      </c>
      <c r="BW130" s="476" t="s">
        <v>1187</v>
      </c>
      <c r="BX130" s="476" t="s">
        <v>1187</v>
      </c>
      <c r="BY130" s="476" t="s">
        <v>1187</v>
      </c>
      <c r="BZ130" s="476" t="s">
        <v>1187</v>
      </c>
      <c r="CA130" s="476" t="s">
        <v>1187</v>
      </c>
      <c r="CB130" s="476" t="s">
        <v>1187</v>
      </c>
      <c r="CC130" s="476" t="s">
        <v>1187</v>
      </c>
      <c r="CD130" s="476" t="s">
        <v>1187</v>
      </c>
      <c r="CE130" s="476" t="s">
        <v>1188</v>
      </c>
      <c r="CF130" s="476" t="s">
        <v>1188</v>
      </c>
      <c r="CG130" s="476" t="s">
        <v>1188</v>
      </c>
      <c r="CH130" s="476" t="s">
        <v>1188</v>
      </c>
      <c r="CI130" s="476" t="s">
        <v>1188</v>
      </c>
      <c r="CJ130" s="476" t="s">
        <v>1188</v>
      </c>
      <c r="CK130" s="476" t="s">
        <v>1188</v>
      </c>
      <c r="CL130" s="476" t="s">
        <v>1188</v>
      </c>
      <c r="CM130" s="476" t="str">
        <f>IF(VLOOKUP(BS130,'Données par municipalité'!$B$6:$E$1113,4,FALSE)="","non","oui")</f>
        <v>oui</v>
      </c>
      <c r="CN130" s="410">
        <v>331.36791797493686</v>
      </c>
      <c r="CO130" s="410">
        <v>261.64305793070753</v>
      </c>
      <c r="CP130" s="410">
        <v>280.91587583195258</v>
      </c>
      <c r="CQ130" s="410">
        <v>258.64194864509324</v>
      </c>
      <c r="CR130" s="410">
        <v>255.44743433714478</v>
      </c>
      <c r="CS130" s="410">
        <v>226.34535248031659</v>
      </c>
      <c r="CT130" s="410">
        <v>192.78312976334115</v>
      </c>
      <c r="CU130" s="410">
        <v>223</v>
      </c>
      <c r="CV130" s="410">
        <f>IF(VLOOKUP(BS130,'Données par municipalité'!$B$6:$F$1113,4,FALSE)="","",VLOOKUP(BS130,'Données par municipalité'!$B$6:$F$1113,4,FALSE))</f>
        <v>265</v>
      </c>
      <c r="CW130" s="476" t="s">
        <v>4723</v>
      </c>
      <c r="CX130" s="483">
        <v>0</v>
      </c>
      <c r="CY130" s="483">
        <v>0.25</v>
      </c>
      <c r="CZ130" s="483">
        <v>0.25</v>
      </c>
      <c r="DA130" s="483">
        <v>0.25</v>
      </c>
      <c r="DB130" s="483">
        <v>0.25</v>
      </c>
      <c r="DC130" s="483">
        <v>0.25</v>
      </c>
      <c r="DD130" s="483">
        <v>0.25</v>
      </c>
      <c r="DE130" s="483">
        <f>IFERROR(SUM(VLOOKUP($BS130,'État &amp; Plan d''action'!$B$6:$Z$1113,18,FALSE),VLOOKUP($BS130,'État &amp; Plan d''action'!$B$6:$Z$1113,20,FALSE))/(VLOOKUP($BS130,'Données par municipalité'!$B$4:$L$1113,11,FALSE)),"")</f>
        <v>2</v>
      </c>
      <c r="DF130" s="483">
        <f>IFERROR(SUM(VLOOKUP($BS130,'État &amp; Plan d''action'!$B$6:$Z$1113,19,FALSE),VLOOKUP($BS130,'État &amp; Plan d''action'!$B$6:$Z$1113,21,FALSE))/(VLOOKUP($BS130,'Données par municipalité'!$B$4:$L$1113,11,FALSE)),"")</f>
        <v>2</v>
      </c>
      <c r="DG130" s="476" t="s">
        <v>4723</v>
      </c>
      <c r="DH130" s="484">
        <v>1</v>
      </c>
      <c r="DI130" s="484">
        <v>2</v>
      </c>
      <c r="DJ130" s="484">
        <v>2</v>
      </c>
      <c r="DK130" s="484">
        <v>3</v>
      </c>
      <c r="DL130" s="484">
        <v>1</v>
      </c>
      <c r="DM130" s="484">
        <v>2</v>
      </c>
      <c r="DN130" s="484">
        <v>4</v>
      </c>
      <c r="DO130" s="484">
        <v>0</v>
      </c>
      <c r="DP130" s="484">
        <v>0</v>
      </c>
      <c r="DQ130" s="484">
        <f>IF(VLOOKUP($BS130,'État &amp; Plan d''action'!$B$6:$AJ$1113,28,FALSE)="","",VLOOKUP($BS130,'État &amp; Plan d''action'!$B$6:$AJ$1113,28,FALSE))</f>
        <v>2</v>
      </c>
      <c r="DR130" s="70">
        <f>IF(VLOOKUP($BS130,'État &amp; Plan d''action'!$B$6:$AJ$1113,29,FALSE)="","",VLOOKUP($BS130,'État &amp; Plan d''action'!$B$6:$AJ$1113,29,FALSE))</f>
        <v>0</v>
      </c>
      <c r="DS130" s="70">
        <f>IF(VLOOKUP($BS130,'État &amp; Plan d''action'!$B$6:$AJ$1113,30,FALSE)="","",VLOOKUP($BS130,'État &amp; Plan d''action'!$B$6:$AJ$1113,30,FALSE))</f>
        <v>0</v>
      </c>
      <c r="DT130" s="70">
        <v>155</v>
      </c>
      <c r="DU130" s="485">
        <v>1.3768251845184736</v>
      </c>
      <c r="DV130" s="485">
        <v>0.59237003697573765</v>
      </c>
      <c r="DW130" s="70">
        <v>2</v>
      </c>
      <c r="DX130" s="70">
        <v>0</v>
      </c>
      <c r="DY130" s="70">
        <v>0</v>
      </c>
      <c r="DZ130" s="70">
        <f>VLOOKUP($BS130,'État &amp; Plan d''action'!$B$6:$AH$1113,31,FALSE)</f>
        <v>2</v>
      </c>
      <c r="EA130" s="70">
        <f>VLOOKUP($BS130,'État &amp; Plan d''action'!$B$6:$AH$1113,32,FALSE)</f>
        <v>0</v>
      </c>
      <c r="EB130" s="70">
        <f>VLOOKUP($BS130,'État &amp; Plan d''action'!$B$6:$AH$1113,33,FALSE)</f>
        <v>0</v>
      </c>
      <c r="EC130" s="70">
        <v>0</v>
      </c>
      <c r="ED130" s="70">
        <v>2.8580000000000001</v>
      </c>
      <c r="EE130" s="70">
        <v>0</v>
      </c>
      <c r="EF130" s="70">
        <v>0</v>
      </c>
      <c r="EG130" s="70">
        <v>0</v>
      </c>
      <c r="EH130" s="72">
        <v>60</v>
      </c>
      <c r="EI130" s="72">
        <v>3121</v>
      </c>
    </row>
    <row r="131" spans="1:139" ht="22.5" customHeight="1" x14ac:dyDescent="0.35">
      <c r="A131" s="1"/>
      <c r="B131"/>
      <c r="C131"/>
      <c r="D131"/>
      <c r="E131"/>
      <c r="F131"/>
      <c r="G131"/>
      <c r="H131"/>
      <c r="I131"/>
      <c r="J131"/>
      <c r="K131"/>
      <c r="L131"/>
      <c r="M131"/>
      <c r="N131"/>
      <c r="O131" s="70"/>
      <c r="P131" s="70"/>
      <c r="Q131" s="70"/>
      <c r="R131" s="70"/>
      <c r="S131" s="95"/>
      <c r="T131" s="70"/>
      <c r="W131" s="442"/>
      <c r="X131" s="442"/>
      <c r="Y131" s="442"/>
      <c r="Z131" s="442"/>
      <c r="AA131" s="442"/>
      <c r="AB131" s="442"/>
      <c r="AC131" s="442"/>
      <c r="AD131" s="442"/>
      <c r="AE131" s="442"/>
      <c r="AF131" s="442"/>
      <c r="AG131" s="442"/>
      <c r="AH131" s="442"/>
      <c r="AI131" s="442"/>
      <c r="BS131" s="486">
        <v>59035</v>
      </c>
      <c r="BT131" s="479" t="s">
        <v>604</v>
      </c>
      <c r="BU131" s="479">
        <v>16</v>
      </c>
      <c r="BV131" s="476" t="s">
        <v>1187</v>
      </c>
      <c r="BW131" s="476" t="s">
        <v>1187</v>
      </c>
      <c r="BX131" s="476" t="s">
        <v>1187</v>
      </c>
      <c r="BY131" s="476" t="s">
        <v>1187</v>
      </c>
      <c r="BZ131" s="476" t="s">
        <v>1187</v>
      </c>
      <c r="CA131" s="476" t="s">
        <v>1187</v>
      </c>
      <c r="CB131" s="476" t="s">
        <v>1187</v>
      </c>
      <c r="CC131" s="476" t="s">
        <v>1187</v>
      </c>
      <c r="CD131" s="476" t="s">
        <v>1187</v>
      </c>
      <c r="CE131" s="476" t="s">
        <v>1188</v>
      </c>
      <c r="CF131" s="476" t="s">
        <v>1188</v>
      </c>
      <c r="CG131" s="476" t="s">
        <v>1188</v>
      </c>
      <c r="CH131" s="476" t="s">
        <v>1188</v>
      </c>
      <c r="CI131" s="476" t="s">
        <v>1188</v>
      </c>
      <c r="CJ131" s="476" t="s">
        <v>1188</v>
      </c>
      <c r="CK131" s="476" t="s">
        <v>1188</v>
      </c>
      <c r="CL131" s="476" t="s">
        <v>1187</v>
      </c>
      <c r="CM131" s="476" t="str">
        <f>IF(VLOOKUP(BS131,'Données par municipalité'!$B$6:$E$1113,4,FALSE)="","non","oui")</f>
        <v>oui</v>
      </c>
      <c r="CN131" s="410">
        <v>560.44919039611761</v>
      </c>
      <c r="CO131" s="410">
        <v>590.97885124679647</v>
      </c>
      <c r="CP131" s="410">
        <v>528.40259624788837</v>
      </c>
      <c r="CQ131" s="410">
        <v>475.38358217762044</v>
      </c>
      <c r="CR131" s="410">
        <v>480.55460783768262</v>
      </c>
      <c r="CS131" s="410">
        <v>500.05114442705741</v>
      </c>
      <c r="CT131" s="410">
        <v>450.11462913315495</v>
      </c>
      <c r="CU131" s="410" t="s">
        <v>1124</v>
      </c>
      <c r="CV131" s="410">
        <f>IF(VLOOKUP(BS131,'Données par municipalité'!$B$6:$F$1113,4,FALSE)="","",VLOOKUP(BS131,'Données par municipalité'!$B$6:$F$1113,4,FALSE))</f>
        <v>437</v>
      </c>
      <c r="CW131" s="476" t="s">
        <v>4723</v>
      </c>
      <c r="CX131" s="483">
        <v>0.1</v>
      </c>
      <c r="CY131" s="483">
        <v>0.1</v>
      </c>
      <c r="CZ131" s="483">
        <v>0.1</v>
      </c>
      <c r="DA131" s="483">
        <v>0.1</v>
      </c>
      <c r="DB131" s="483">
        <v>0.1</v>
      </c>
      <c r="DC131" s="483">
        <v>0.1</v>
      </c>
      <c r="DD131" s="483" t="s">
        <v>1124</v>
      </c>
      <c r="DE131" s="483">
        <f>IFERROR(SUM(VLOOKUP($BS131,'État &amp; Plan d''action'!$B$6:$Z$1113,18,FALSE),VLOOKUP($BS131,'État &amp; Plan d''action'!$B$6:$Z$1113,20,FALSE))/(VLOOKUP($BS131,'Données par municipalité'!$B$4:$L$1113,11,FALSE)),"")</f>
        <v>0</v>
      </c>
      <c r="DF131" s="483">
        <f>IFERROR(SUM(VLOOKUP($BS131,'État &amp; Plan d''action'!$B$6:$Z$1113,19,FALSE),VLOOKUP($BS131,'État &amp; Plan d''action'!$B$6:$Z$1113,21,FALSE))/(VLOOKUP($BS131,'Données par municipalité'!$B$4:$L$1113,11,FALSE)),"")</f>
        <v>0</v>
      </c>
      <c r="DG131" s="476" t="s">
        <v>4723</v>
      </c>
      <c r="DH131" s="484">
        <v>12</v>
      </c>
      <c r="DI131" s="484">
        <v>11</v>
      </c>
      <c r="DJ131" s="484">
        <v>9</v>
      </c>
      <c r="DK131" s="484">
        <v>14</v>
      </c>
      <c r="DL131" s="484">
        <v>8</v>
      </c>
      <c r="DM131" s="484">
        <v>9</v>
      </c>
      <c r="DN131" s="484" t="s">
        <v>1124</v>
      </c>
      <c r="DO131" s="484" t="s">
        <v>1124</v>
      </c>
      <c r="DP131" s="484" t="s">
        <v>1124</v>
      </c>
      <c r="DQ131" s="484">
        <f>IF(VLOOKUP($BS131,'État &amp; Plan d''action'!$B$6:$AJ$1113,28,FALSE)="","",VLOOKUP($BS131,'État &amp; Plan d''action'!$B$6:$AJ$1113,28,FALSE))</f>
        <v>7</v>
      </c>
      <c r="DR131" s="70">
        <f>IF(VLOOKUP($BS131,'État &amp; Plan d''action'!$B$6:$AJ$1113,29,FALSE)="","",VLOOKUP($BS131,'État &amp; Plan d''action'!$B$6:$AJ$1113,29,FALSE))</f>
        <v>0</v>
      </c>
      <c r="DS131" s="70">
        <f>IF(VLOOKUP($BS131,'État &amp; Plan d''action'!$B$6:$AJ$1113,30,FALSE)="","",VLOOKUP($BS131,'État &amp; Plan d''action'!$B$6:$AJ$1113,30,FALSE))</f>
        <v>1</v>
      </c>
      <c r="DT131" s="70" t="s">
        <v>1124</v>
      </c>
      <c r="DU131" s="485" t="s">
        <v>1124</v>
      </c>
      <c r="DV131" s="485">
        <v>2.2631438248237026</v>
      </c>
      <c r="DW131" s="70" t="s">
        <v>1124</v>
      </c>
      <c r="DX131" s="70" t="s">
        <v>1124</v>
      </c>
      <c r="DY131" s="70" t="s">
        <v>1124</v>
      </c>
      <c r="DZ131" s="70">
        <f>VLOOKUP($BS131,'État &amp; Plan d''action'!$B$6:$AH$1113,31,FALSE)</f>
        <v>1</v>
      </c>
      <c r="EA131" s="70">
        <f>VLOOKUP($BS131,'État &amp; Plan d''action'!$B$6:$AH$1113,32,FALSE)</f>
        <v>0</v>
      </c>
      <c r="EB131" s="70">
        <f>VLOOKUP($BS131,'État &amp; Plan d''action'!$B$6:$AH$1113,33,FALSE)</f>
        <v>7</v>
      </c>
      <c r="EC131" s="70" t="s">
        <v>1124</v>
      </c>
      <c r="ED131" s="70" t="s">
        <v>1124</v>
      </c>
      <c r="EE131" s="70" t="s">
        <v>1124</v>
      </c>
      <c r="EF131" s="70" t="s">
        <v>1124</v>
      </c>
      <c r="EG131" s="70" t="s">
        <v>1124</v>
      </c>
      <c r="EH131" s="72"/>
      <c r="EI131" s="72">
        <v>8640</v>
      </c>
    </row>
    <row r="132" spans="1:139" ht="12.75" customHeight="1" x14ac:dyDescent="0.35">
      <c r="A132" s="1"/>
      <c r="B132"/>
      <c r="C132"/>
      <c r="D132"/>
      <c r="E132"/>
      <c r="F132"/>
      <c r="G132"/>
      <c r="H132"/>
      <c r="I132"/>
      <c r="J132"/>
      <c r="K132"/>
      <c r="L132"/>
      <c r="M132"/>
      <c r="N132"/>
      <c r="O132" s="70"/>
      <c r="P132" s="70"/>
      <c r="Q132" s="70"/>
      <c r="R132" s="70"/>
      <c r="S132" s="95"/>
      <c r="T132" s="70"/>
      <c r="W132" s="442"/>
      <c r="X132" s="442"/>
      <c r="Y132" s="442"/>
      <c r="Z132" s="442"/>
      <c r="AA132" s="442"/>
      <c r="AB132" s="442"/>
      <c r="AC132" s="442"/>
      <c r="AD132" s="442"/>
      <c r="AE132" s="442"/>
      <c r="AF132" s="442"/>
      <c r="AG132" s="442"/>
      <c r="AH132" s="442"/>
      <c r="AI132" s="442"/>
      <c r="BS132" s="486">
        <v>41038</v>
      </c>
      <c r="BT132" s="479" t="s">
        <v>369</v>
      </c>
      <c r="BU132" s="479">
        <v>5</v>
      </c>
      <c r="BV132" s="476" t="s">
        <v>1187</v>
      </c>
      <c r="BW132" s="476" t="s">
        <v>1187</v>
      </c>
      <c r="BX132" s="476" t="s">
        <v>1187</v>
      </c>
      <c r="BY132" s="476" t="s">
        <v>1187</v>
      </c>
      <c r="BZ132" s="476" t="s">
        <v>1187</v>
      </c>
      <c r="CA132" s="476" t="s">
        <v>1187</v>
      </c>
      <c r="CB132" s="476" t="s">
        <v>1187</v>
      </c>
      <c r="CC132" s="476" t="s">
        <v>1187</v>
      </c>
      <c r="CD132" s="476" t="s">
        <v>1187</v>
      </c>
      <c r="CE132" s="476" t="s">
        <v>1188</v>
      </c>
      <c r="CF132" s="476" t="s">
        <v>1188</v>
      </c>
      <c r="CG132" s="476" t="s">
        <v>1188</v>
      </c>
      <c r="CH132" s="476" t="s">
        <v>1188</v>
      </c>
      <c r="CI132" s="476" t="s">
        <v>1188</v>
      </c>
      <c r="CJ132" s="476" t="s">
        <v>1188</v>
      </c>
      <c r="CK132" s="476" t="s">
        <v>1188</v>
      </c>
      <c r="CL132" s="476" t="s">
        <v>1188</v>
      </c>
      <c r="CM132" s="476" t="str">
        <f>IF(VLOOKUP(BS132,'Données par municipalité'!$B$6:$E$1113,4,FALSE)="","non","oui")</f>
        <v>oui</v>
      </c>
      <c r="CN132" s="410">
        <v>554.36905142519856</v>
      </c>
      <c r="CO132" s="410">
        <v>469.71582348454945</v>
      </c>
      <c r="CP132" s="410">
        <v>421.32006073954409</v>
      </c>
      <c r="CQ132" s="410">
        <v>424.79230545030595</v>
      </c>
      <c r="CR132" s="410">
        <v>416.64421524949239</v>
      </c>
      <c r="CS132" s="410">
        <v>425.92931974143067</v>
      </c>
      <c r="CT132" s="410">
        <v>511.34836773013706</v>
      </c>
      <c r="CU132" s="410">
        <v>497</v>
      </c>
      <c r="CV132" s="410">
        <f>IF(VLOOKUP(BS132,'Données par municipalité'!$B$6:$F$1113,4,FALSE)="","",VLOOKUP(BS132,'Données par municipalité'!$B$6:$F$1113,4,FALSE))</f>
        <v>515</v>
      </c>
      <c r="CW132" s="476" t="s">
        <v>4723</v>
      </c>
      <c r="CX132" s="483">
        <v>0.05</v>
      </c>
      <c r="CY132" s="483">
        <v>0.2</v>
      </c>
      <c r="CZ132" s="483">
        <v>1</v>
      </c>
      <c r="DA132" s="483">
        <v>1</v>
      </c>
      <c r="DB132" s="483">
        <v>1</v>
      </c>
      <c r="DC132" s="483">
        <v>1</v>
      </c>
      <c r="DD132" s="483">
        <v>1.0000000000000002</v>
      </c>
      <c r="DE132" s="483">
        <f>IFERROR(SUM(VLOOKUP($BS132,'État &amp; Plan d''action'!$B$6:$Z$1113,18,FALSE),VLOOKUP($BS132,'État &amp; Plan d''action'!$B$6:$Z$1113,20,FALSE))/(VLOOKUP($BS132,'Données par municipalité'!$B$4:$L$1113,11,FALSE)),"")</f>
        <v>1.9383595458071801</v>
      </c>
      <c r="DF132" s="483">
        <f>IFERROR(SUM(VLOOKUP($BS132,'État &amp; Plan d''action'!$B$6:$Z$1113,19,FALSE),VLOOKUP($BS132,'État &amp; Plan d''action'!$B$6:$Z$1113,21,FALSE))/(VLOOKUP($BS132,'Données par municipalité'!$B$4:$L$1113,11,FALSE)),"")</f>
        <v>0.96917977290359003</v>
      </c>
      <c r="DG132" s="476" t="s">
        <v>4723</v>
      </c>
      <c r="DH132" s="484">
        <v>23</v>
      </c>
      <c r="DI132" s="484">
        <v>8</v>
      </c>
      <c r="DJ132" s="484">
        <v>26</v>
      </c>
      <c r="DK132" s="484">
        <v>8</v>
      </c>
      <c r="DL132" s="484">
        <v>18</v>
      </c>
      <c r="DM132" s="484">
        <v>5</v>
      </c>
      <c r="DN132" s="484">
        <v>7</v>
      </c>
      <c r="DO132" s="484">
        <v>12</v>
      </c>
      <c r="DP132" s="484">
        <v>0</v>
      </c>
      <c r="DQ132" s="484">
        <f>IF(VLOOKUP($BS132,'État &amp; Plan d''action'!$B$6:$AJ$1113,28,FALSE)="","",VLOOKUP($BS132,'État &amp; Plan d''action'!$B$6:$AJ$1113,28,FALSE))</f>
        <v>6</v>
      </c>
      <c r="DR132" s="70">
        <f>IF(VLOOKUP($BS132,'État &amp; Plan d''action'!$B$6:$AJ$1113,29,FALSE)="","",VLOOKUP($BS132,'État &amp; Plan d''action'!$B$6:$AJ$1113,29,FALSE))</f>
        <v>12</v>
      </c>
      <c r="DS132" s="70">
        <f>IF(VLOOKUP($BS132,'État &amp; Plan d''action'!$B$6:$AJ$1113,30,FALSE)="","",VLOOKUP($BS132,'État &amp; Plan d''action'!$B$6:$AJ$1113,30,FALSE))</f>
        <v>0</v>
      </c>
      <c r="DT132" s="70">
        <v>298</v>
      </c>
      <c r="DU132" s="485">
        <v>5.353385520893382</v>
      </c>
      <c r="DV132" s="485">
        <v>9.6486887186137658</v>
      </c>
      <c r="DW132" s="70">
        <v>2</v>
      </c>
      <c r="DX132" s="70">
        <v>10</v>
      </c>
      <c r="DY132" s="70">
        <v>0</v>
      </c>
      <c r="DZ132" s="70">
        <f>VLOOKUP($BS132,'État &amp; Plan d''action'!$B$6:$AH$1113,31,FALSE)</f>
        <v>2</v>
      </c>
      <c r="EA132" s="70">
        <f>VLOOKUP($BS132,'État &amp; Plan d''action'!$B$6:$AH$1113,32,FALSE)</f>
        <v>5</v>
      </c>
      <c r="EB132" s="70">
        <f>VLOOKUP($BS132,'État &amp; Plan d''action'!$B$6:$AH$1113,33,FALSE)</f>
        <v>0</v>
      </c>
      <c r="EC132" s="70">
        <v>27.806000000000001</v>
      </c>
      <c r="ED132" s="70">
        <v>27.806000000000001</v>
      </c>
      <c r="EE132" s="70">
        <v>0</v>
      </c>
      <c r="EF132" s="70">
        <v>0</v>
      </c>
      <c r="EG132" s="70">
        <v>0</v>
      </c>
      <c r="EH132" s="72">
        <v>50</v>
      </c>
      <c r="EI132" s="72">
        <v>5420</v>
      </c>
    </row>
    <row r="133" spans="1:139" ht="12.75" customHeight="1" x14ac:dyDescent="0.35">
      <c r="A133" s="1"/>
      <c r="B133"/>
      <c r="C133"/>
      <c r="D133"/>
      <c r="E133"/>
      <c r="F133"/>
      <c r="G133"/>
      <c r="H133"/>
      <c r="I133"/>
      <c r="J133"/>
      <c r="K133"/>
      <c r="L133"/>
      <c r="M133"/>
      <c r="N133"/>
      <c r="O133" s="70"/>
      <c r="P133" s="70"/>
      <c r="Q133" s="70"/>
      <c r="R133" s="70"/>
      <c r="S133" s="95"/>
      <c r="T133" s="70"/>
      <c r="W133" s="442"/>
      <c r="X133" s="442"/>
      <c r="Y133" s="442"/>
      <c r="Z133" s="442"/>
      <c r="AA133" s="442"/>
      <c r="AB133" s="442"/>
      <c r="AC133" s="442"/>
      <c r="AD133" s="442"/>
      <c r="AE133" s="442"/>
      <c r="AF133" s="442"/>
      <c r="AG133" s="442"/>
      <c r="AH133" s="442"/>
      <c r="AI133" s="442"/>
      <c r="BS133" s="486">
        <v>71040</v>
      </c>
      <c r="BT133" s="479" t="s">
        <v>709</v>
      </c>
      <c r="BU133" s="479">
        <v>16</v>
      </c>
      <c r="BV133" s="476" t="s">
        <v>1187</v>
      </c>
      <c r="BW133" s="476" t="s">
        <v>1187</v>
      </c>
      <c r="BX133" s="476" t="s">
        <v>1187</v>
      </c>
      <c r="BY133" s="476" t="s">
        <v>1187</v>
      </c>
      <c r="BZ133" s="476" t="s">
        <v>1187</v>
      </c>
      <c r="CA133" s="476" t="s">
        <v>1187</v>
      </c>
      <c r="CB133" s="476" t="s">
        <v>1187</v>
      </c>
      <c r="CC133" s="476" t="s">
        <v>1187</v>
      </c>
      <c r="CD133" s="476" t="s">
        <v>1187</v>
      </c>
      <c r="CE133" s="476" t="s">
        <v>1187</v>
      </c>
      <c r="CF133" s="476" t="s">
        <v>1187</v>
      </c>
      <c r="CG133" s="476" t="s">
        <v>1187</v>
      </c>
      <c r="CH133" s="476" t="s">
        <v>1187</v>
      </c>
      <c r="CI133" s="476" t="s">
        <v>1187</v>
      </c>
      <c r="CJ133" s="476" t="s">
        <v>1188</v>
      </c>
      <c r="CK133" s="476" t="s">
        <v>1188</v>
      </c>
      <c r="CL133" s="476" t="s">
        <v>1188</v>
      </c>
      <c r="CM133" s="476" t="str">
        <f>IF(VLOOKUP(BS133,'Données par municipalité'!$B$6:$E$1113,4,FALSE)="","non","oui")</f>
        <v>oui</v>
      </c>
      <c r="CN133" s="410" t="s">
        <v>1124</v>
      </c>
      <c r="CO133" s="410" t="s">
        <v>1124</v>
      </c>
      <c r="CP133" s="410"/>
      <c r="CQ133" s="410"/>
      <c r="CR133" s="410"/>
      <c r="CS133" s="410">
        <v>342.93826090943969</v>
      </c>
      <c r="CT133" s="410">
        <v>300.60897219378222</v>
      </c>
      <c r="CU133" s="410">
        <v>343</v>
      </c>
      <c r="CV133" s="410">
        <f>IF(VLOOKUP(BS133,'Données par municipalité'!$B$6:$F$1113,4,FALSE)="","",VLOOKUP(BS133,'Données par municipalité'!$B$6:$F$1113,4,FALSE))</f>
        <v>352</v>
      </c>
      <c r="CW133" s="476" t="s">
        <v>4723</v>
      </c>
      <c r="CX133" s="483" t="s">
        <v>1124</v>
      </c>
      <c r="CY133" s="483" t="s">
        <v>1124</v>
      </c>
      <c r="CZ133" s="483" t="s">
        <v>1124</v>
      </c>
      <c r="DA133" s="483" t="s">
        <v>1124</v>
      </c>
      <c r="DB133" s="483">
        <v>0</v>
      </c>
      <c r="DC133" s="483">
        <v>0</v>
      </c>
      <c r="DD133" s="483">
        <v>0</v>
      </c>
      <c r="DE133" s="483">
        <f>IFERROR(SUM(VLOOKUP($BS133,'État &amp; Plan d''action'!$B$6:$Z$1113,18,FALSE),VLOOKUP($BS133,'État &amp; Plan d''action'!$B$6:$Z$1113,20,FALSE))/(VLOOKUP($BS133,'Données par municipalité'!$B$4:$L$1113,11,FALSE)),"")</f>
        <v>0</v>
      </c>
      <c r="DF133" s="483">
        <f>IFERROR(SUM(VLOOKUP($BS133,'État &amp; Plan d''action'!$B$6:$Z$1113,19,FALSE),VLOOKUP($BS133,'État &amp; Plan d''action'!$B$6:$Z$1113,21,FALSE))/(VLOOKUP($BS133,'Données par municipalité'!$B$4:$L$1113,11,FALSE)),"")</f>
        <v>0</v>
      </c>
      <c r="DG133" s="476" t="s">
        <v>4723</v>
      </c>
      <c r="DH133" s="484">
        <v>6</v>
      </c>
      <c r="DI133" s="484" t="s">
        <v>1124</v>
      </c>
      <c r="DJ133" s="484">
        <v>6</v>
      </c>
      <c r="DK133" s="484">
        <v>17</v>
      </c>
      <c r="DL133" s="484">
        <v>5</v>
      </c>
      <c r="DM133" s="484">
        <v>8</v>
      </c>
      <c r="DN133" s="484">
        <v>14</v>
      </c>
      <c r="DO133" s="484">
        <v>14</v>
      </c>
      <c r="DP133" s="484">
        <v>0</v>
      </c>
      <c r="DQ133" s="484">
        <f>IF(VLOOKUP($BS133,'État &amp; Plan d''action'!$B$6:$AJ$1113,28,FALSE)="","",VLOOKUP($BS133,'État &amp; Plan d''action'!$B$6:$AJ$1113,28,FALSE))</f>
        <v>8</v>
      </c>
      <c r="DR133" s="70">
        <f>IF(VLOOKUP($BS133,'État &amp; Plan d''action'!$B$6:$AJ$1113,29,FALSE)="","",VLOOKUP($BS133,'État &amp; Plan d''action'!$B$6:$AJ$1113,29,FALSE))</f>
        <v>0</v>
      </c>
      <c r="DS133" s="70">
        <f>IF(VLOOKUP($BS133,'État &amp; Plan d''action'!$B$6:$AJ$1113,30,FALSE)="","",VLOOKUP($BS133,'État &amp; Plan d''action'!$B$6:$AJ$1113,30,FALSE))</f>
        <v>0</v>
      </c>
      <c r="DT133" s="70">
        <v>265</v>
      </c>
      <c r="DU133" s="485">
        <v>2.5094376126740272</v>
      </c>
      <c r="DV133" s="485">
        <v>1.7204600428060981</v>
      </c>
      <c r="DW133" s="70">
        <v>1</v>
      </c>
      <c r="DX133" s="70">
        <v>1</v>
      </c>
      <c r="DY133" s="70">
        <v>0</v>
      </c>
      <c r="DZ133" s="70">
        <f>VLOOKUP($BS133,'État &amp; Plan d''action'!$B$6:$AH$1113,31,FALSE)</f>
        <v>1</v>
      </c>
      <c r="EA133" s="70">
        <f>VLOOKUP($BS133,'État &amp; Plan d''action'!$B$6:$AH$1113,32,FALSE)</f>
        <v>0</v>
      </c>
      <c r="EB133" s="70">
        <f>VLOOKUP($BS133,'État &amp; Plan d''action'!$B$6:$AH$1113,33,FALSE)</f>
        <v>0</v>
      </c>
      <c r="EC133" s="70">
        <v>0</v>
      </c>
      <c r="ED133" s="70">
        <v>0</v>
      </c>
      <c r="EE133" s="70">
        <v>0</v>
      </c>
      <c r="EF133" s="70">
        <v>0</v>
      </c>
      <c r="EG133" s="70">
        <v>0</v>
      </c>
      <c r="EH133" s="72">
        <v>59.5</v>
      </c>
      <c r="EI133" s="72">
        <v>7192</v>
      </c>
    </row>
    <row r="134" spans="1:139" ht="12.75" customHeight="1" x14ac:dyDescent="0.35">
      <c r="A134" s="370"/>
      <c r="B134" s="2"/>
      <c r="C134" s="2"/>
      <c r="D134" s="2"/>
      <c r="E134" s="2"/>
      <c r="F134" s="2"/>
      <c r="G134" s="2"/>
      <c r="H134" s="2"/>
      <c r="I134" s="2"/>
      <c r="J134" s="2"/>
      <c r="K134" s="2"/>
      <c r="L134" s="2"/>
      <c r="M134" s="2"/>
      <c r="N134" s="2"/>
      <c r="O134" s="95"/>
      <c r="P134" s="95"/>
      <c r="Q134" s="95"/>
      <c r="R134" s="95"/>
      <c r="S134" s="95"/>
      <c r="T134" s="70"/>
      <c r="W134" s="442"/>
      <c r="X134" s="442"/>
      <c r="Y134" s="442"/>
      <c r="Z134" s="442"/>
      <c r="AA134" s="442"/>
      <c r="AB134" s="442"/>
      <c r="AC134" s="442"/>
      <c r="AD134" s="442"/>
      <c r="AE134" s="442"/>
      <c r="AF134" s="442"/>
      <c r="AG134" s="442"/>
      <c r="AH134" s="442"/>
      <c r="AI134" s="442"/>
      <c r="BS134" s="486">
        <v>98015</v>
      </c>
      <c r="BT134" s="479" t="s">
        <v>1010</v>
      </c>
      <c r="BU134" s="479">
        <v>9</v>
      </c>
      <c r="BV134" s="476" t="s">
        <v>1187</v>
      </c>
      <c r="BW134" s="476" t="s">
        <v>1187</v>
      </c>
      <c r="BX134" s="476" t="s">
        <v>1187</v>
      </c>
      <c r="BY134" s="476" t="s">
        <v>1187</v>
      </c>
      <c r="BZ134" s="476" t="s">
        <v>1187</v>
      </c>
      <c r="CA134" s="476" t="s">
        <v>1187</v>
      </c>
      <c r="CB134" s="476" t="s">
        <v>1187</v>
      </c>
      <c r="CC134" s="476" t="s">
        <v>1187</v>
      </c>
      <c r="CD134" s="476" t="s">
        <v>1187</v>
      </c>
      <c r="CE134" s="476" t="s">
        <v>1188</v>
      </c>
      <c r="CF134" s="476" t="s">
        <v>1188</v>
      </c>
      <c r="CG134" s="476" t="s">
        <v>1187</v>
      </c>
      <c r="CH134" s="476" t="s">
        <v>1188</v>
      </c>
      <c r="CI134" s="476" t="s">
        <v>1188</v>
      </c>
      <c r="CJ134" s="476" t="s">
        <v>1187</v>
      </c>
      <c r="CK134" s="476" t="s">
        <v>1188</v>
      </c>
      <c r="CL134" s="476" t="s">
        <v>1187</v>
      </c>
      <c r="CM134" s="476" t="str">
        <f>IF(VLOOKUP(BS134,'Données par municipalité'!$B$6:$E$1113,4,FALSE)="","non","oui")</f>
        <v>non</v>
      </c>
      <c r="CN134" s="410">
        <v>312.22476171713635</v>
      </c>
      <c r="CO134" s="410">
        <v>331.71326422950079</v>
      </c>
      <c r="CP134" s="410"/>
      <c r="CQ134" s="410">
        <v>357.00027426030488</v>
      </c>
      <c r="CR134" s="410">
        <v>334.16213173203232</v>
      </c>
      <c r="CS134" s="410" t="s">
        <v>1124</v>
      </c>
      <c r="CT134" s="410">
        <v>445.04910239569654</v>
      </c>
      <c r="CU134" s="410" t="s">
        <v>1124</v>
      </c>
      <c r="CV134" s="410" t="str">
        <f>IF(VLOOKUP(BS134,'Données par municipalité'!$B$6:$F$1113,4,FALSE)="","",VLOOKUP(BS134,'Données par municipalité'!$B$6:$F$1113,4,FALSE))</f>
        <v/>
      </c>
      <c r="CW134" s="476" t="s">
        <v>4723</v>
      </c>
      <c r="CX134" s="483">
        <v>0</v>
      </c>
      <c r="CY134" s="483" t="s">
        <v>1124</v>
      </c>
      <c r="CZ134" s="483">
        <v>0</v>
      </c>
      <c r="DA134" s="483">
        <v>0.2</v>
      </c>
      <c r="DB134" s="483" t="s">
        <v>1124</v>
      </c>
      <c r="DC134" s="483">
        <v>0.2</v>
      </c>
      <c r="DD134" s="483" t="s">
        <v>1124</v>
      </c>
      <c r="DE134" s="483" t="str">
        <f>IFERROR(SUM(VLOOKUP($BS134,'État &amp; Plan d''action'!$B$6:$Z$1113,18,FALSE),VLOOKUP($BS134,'État &amp; Plan d''action'!$B$6:$Z$1113,20,FALSE))/(VLOOKUP($BS134,'Données par municipalité'!$B$4:$L$1113,11,FALSE)),"")</f>
        <v/>
      </c>
      <c r="DF134" s="483" t="str">
        <f>IFERROR(SUM(VLOOKUP($BS134,'État &amp; Plan d''action'!$B$6:$Z$1113,19,FALSE),VLOOKUP($BS134,'État &amp; Plan d''action'!$B$6:$Z$1113,21,FALSE))/(VLOOKUP($BS134,'Données par municipalité'!$B$4:$L$1113,11,FALSE)),"")</f>
        <v/>
      </c>
      <c r="DG134" s="476" t="s">
        <v>4723</v>
      </c>
      <c r="DH134" s="484">
        <v>0</v>
      </c>
      <c r="DI134" s="484">
        <v>0</v>
      </c>
      <c r="DJ134" s="484">
        <v>0</v>
      </c>
      <c r="DK134" s="484">
        <v>0</v>
      </c>
      <c r="DL134" s="484" t="s">
        <v>1124</v>
      </c>
      <c r="DM134" s="484">
        <v>0</v>
      </c>
      <c r="DN134" s="484" t="s">
        <v>1124</v>
      </c>
      <c r="DO134" s="484" t="s">
        <v>1124</v>
      </c>
      <c r="DP134" s="484" t="s">
        <v>1124</v>
      </c>
      <c r="DQ134" s="484" t="str">
        <f>IF(VLOOKUP($BS134,'État &amp; Plan d''action'!$B$6:$AJ$1113,28,FALSE)="","",VLOOKUP($BS134,'État &amp; Plan d''action'!$B$6:$AJ$1113,28,FALSE))</f>
        <v/>
      </c>
      <c r="DR134" s="70" t="str">
        <f>IF(VLOOKUP($BS134,'État &amp; Plan d''action'!$B$6:$AJ$1113,29,FALSE)="","",VLOOKUP($BS134,'État &amp; Plan d''action'!$B$6:$AJ$1113,29,FALSE))</f>
        <v/>
      </c>
      <c r="DS134" s="70" t="str">
        <f>IF(VLOOKUP($BS134,'État &amp; Plan d''action'!$B$6:$AJ$1113,30,FALSE)="","",VLOOKUP($BS134,'État &amp; Plan d''action'!$B$6:$AJ$1113,30,FALSE))</f>
        <v/>
      </c>
      <c r="DT134" s="70" t="s">
        <v>1124</v>
      </c>
      <c r="DU134" s="485" t="s">
        <v>1124</v>
      </c>
      <c r="DV134" s="485" t="s">
        <v>1124</v>
      </c>
      <c r="DW134" s="70" t="s">
        <v>1124</v>
      </c>
      <c r="DX134" s="70" t="s">
        <v>1124</v>
      </c>
      <c r="DY134" s="70" t="s">
        <v>1124</v>
      </c>
      <c r="DZ134" s="70" t="str">
        <f>VLOOKUP($BS134,'État &amp; Plan d''action'!$B$6:$AH$1113,31,FALSE)</f>
        <v/>
      </c>
      <c r="EA134" s="70" t="str">
        <f>VLOOKUP($BS134,'État &amp; Plan d''action'!$B$6:$AH$1113,32,FALSE)</f>
        <v/>
      </c>
      <c r="EB134" s="70" t="str">
        <f>VLOOKUP($BS134,'État &amp; Plan d''action'!$B$6:$AH$1113,33,FALSE)</f>
        <v/>
      </c>
      <c r="EC134" s="70" t="s">
        <v>1124</v>
      </c>
      <c r="ED134" s="70" t="s">
        <v>1124</v>
      </c>
      <c r="EE134" s="70" t="s">
        <v>1124</v>
      </c>
      <c r="EF134" s="70" t="s">
        <v>1124</v>
      </c>
      <c r="EG134" s="70" t="s">
        <v>1124</v>
      </c>
      <c r="EH134" s="72"/>
      <c r="EI134" s="72">
        <v>878</v>
      </c>
    </row>
    <row r="135" spans="1:139" ht="12.75" hidden="1" customHeight="1" x14ac:dyDescent="0.35">
      <c r="A135" s="370"/>
      <c r="B135" s="2"/>
      <c r="C135" s="2"/>
      <c r="D135" s="2"/>
      <c r="E135" s="2"/>
      <c r="F135" s="2"/>
      <c r="G135" s="2"/>
      <c r="H135" s="2"/>
      <c r="I135" s="2"/>
      <c r="J135" s="2"/>
      <c r="K135" s="2"/>
      <c r="L135" s="2"/>
      <c r="M135" s="2"/>
      <c r="N135" s="2"/>
      <c r="O135" s="95"/>
      <c r="P135" s="95"/>
      <c r="Q135" s="95"/>
      <c r="R135" s="95"/>
      <c r="S135" s="95"/>
      <c r="T135" s="70"/>
      <c r="W135" s="442"/>
      <c r="X135" s="442"/>
      <c r="Y135" s="442"/>
      <c r="Z135" s="442"/>
      <c r="AA135" s="442"/>
      <c r="AB135" s="442"/>
      <c r="AC135" s="442"/>
      <c r="AD135" s="442"/>
      <c r="AE135" s="442"/>
      <c r="AF135" s="442"/>
      <c r="AG135" s="442"/>
      <c r="AH135" s="442"/>
      <c r="AI135" s="442"/>
      <c r="BS135" s="486">
        <v>66058</v>
      </c>
      <c r="BT135" s="479" t="s">
        <v>651</v>
      </c>
      <c r="BU135" s="479">
        <v>6</v>
      </c>
      <c r="BV135" s="476" t="s">
        <v>1187</v>
      </c>
      <c r="BW135" s="476" t="s">
        <v>1187</v>
      </c>
      <c r="BX135" s="476" t="s">
        <v>1187</v>
      </c>
      <c r="BY135" s="476" t="s">
        <v>1187</v>
      </c>
      <c r="BZ135" s="476" t="s">
        <v>1187</v>
      </c>
      <c r="CA135" s="476" t="s">
        <v>1187</v>
      </c>
      <c r="CB135" s="476" t="s">
        <v>1187</v>
      </c>
      <c r="CC135" s="476" t="s">
        <v>1187</v>
      </c>
      <c r="CD135" s="476" t="s">
        <v>1187</v>
      </c>
      <c r="CE135" s="476" t="s">
        <v>1188</v>
      </c>
      <c r="CF135" s="476" t="s">
        <v>1188</v>
      </c>
      <c r="CG135" s="476" t="s">
        <v>1188</v>
      </c>
      <c r="CH135" s="476" t="s">
        <v>1188</v>
      </c>
      <c r="CI135" s="476" t="s">
        <v>1188</v>
      </c>
      <c r="CJ135" s="476" t="s">
        <v>1188</v>
      </c>
      <c r="CK135" s="476" t="s">
        <v>1188</v>
      </c>
      <c r="CL135" s="476" t="s">
        <v>1188</v>
      </c>
      <c r="CM135" s="476" t="str">
        <f>IF(VLOOKUP(BS135,'Données par municipalité'!$B$6:$E$1113,4,FALSE)="","non","oui")</f>
        <v>oui</v>
      </c>
      <c r="CN135" s="410">
        <v>638.43678397110693</v>
      </c>
      <c r="CO135" s="410">
        <v>767.07802545752713</v>
      </c>
      <c r="CP135" s="410">
        <v>680.56855992280759</v>
      </c>
      <c r="CQ135" s="410">
        <v>576.01507733340361</v>
      </c>
      <c r="CR135" s="410">
        <v>857.52079932315371</v>
      </c>
      <c r="CS135" s="410">
        <v>818</v>
      </c>
      <c r="CT135" s="410">
        <v>785.54597409430369</v>
      </c>
      <c r="CU135" s="410">
        <v>529</v>
      </c>
      <c r="CV135" s="410">
        <f>IF(VLOOKUP(BS135,'Données par municipalité'!$B$6:$F$1113,4,FALSE)="","",VLOOKUP(BS135,'Données par municipalité'!$B$6:$F$1113,4,FALSE))</f>
        <v>483</v>
      </c>
      <c r="CW135" s="476" t="s">
        <v>4723</v>
      </c>
      <c r="CX135" s="483">
        <v>1</v>
      </c>
      <c r="CY135" s="483">
        <v>1</v>
      </c>
      <c r="CZ135" s="483">
        <v>1</v>
      </c>
      <c r="DA135" s="483">
        <v>1</v>
      </c>
      <c r="DB135" s="483">
        <v>1</v>
      </c>
      <c r="DC135" s="483">
        <v>1</v>
      </c>
      <c r="DD135" s="483">
        <v>1.0771317003904863</v>
      </c>
      <c r="DE135" s="483">
        <f>IFERROR(SUM(VLOOKUP($BS135,'État &amp; Plan d''action'!$B$6:$Z$1113,18,FALSE),VLOOKUP($BS135,'État &amp; Plan d''action'!$B$6:$Z$1113,20,FALSE))/(VLOOKUP($BS135,'Données par municipalité'!$B$4:$L$1113,11,FALSE)),"")</f>
        <v>1</v>
      </c>
      <c r="DF135" s="483">
        <f>IFERROR(SUM(VLOOKUP($BS135,'État &amp; Plan d''action'!$B$6:$Z$1113,19,FALSE),VLOOKUP($BS135,'État &amp; Plan d''action'!$B$6:$Z$1113,21,FALSE))/(VLOOKUP($BS135,'Données par municipalité'!$B$4:$L$1113,11,FALSE)),"")</f>
        <v>1</v>
      </c>
      <c r="DG135" s="476" t="s">
        <v>4723</v>
      </c>
      <c r="DH135" s="484">
        <v>27</v>
      </c>
      <c r="DI135" s="484" t="s">
        <v>1124</v>
      </c>
      <c r="DJ135" s="484">
        <v>46</v>
      </c>
      <c r="DK135" s="484">
        <v>45</v>
      </c>
      <c r="DL135" s="484">
        <v>37</v>
      </c>
      <c r="DM135" s="484">
        <v>35</v>
      </c>
      <c r="DN135" s="484">
        <v>12</v>
      </c>
      <c r="DO135" s="484">
        <v>20</v>
      </c>
      <c r="DP135" s="484">
        <v>5</v>
      </c>
      <c r="DQ135" s="484">
        <f>IF(VLOOKUP($BS135,'État &amp; Plan d''action'!$B$6:$AJ$1113,28,FALSE)="","",VLOOKUP($BS135,'État &amp; Plan d''action'!$B$6:$AJ$1113,28,FALSE))</f>
        <v>6</v>
      </c>
      <c r="DR135" s="70">
        <f>IF(VLOOKUP($BS135,'État &amp; Plan d''action'!$B$6:$AJ$1113,29,FALSE)="","",VLOOKUP($BS135,'État &amp; Plan d''action'!$B$6:$AJ$1113,29,FALSE))</f>
        <v>21</v>
      </c>
      <c r="DS135" s="70">
        <f>IF(VLOOKUP($BS135,'État &amp; Plan d''action'!$B$6:$AJ$1113,30,FALSE)="","",VLOOKUP($BS135,'État &amp; Plan d''action'!$B$6:$AJ$1113,30,FALSE))</f>
        <v>5</v>
      </c>
      <c r="DT135" s="70">
        <v>386</v>
      </c>
      <c r="DU135" s="485">
        <v>6.1219262157596148</v>
      </c>
      <c r="DV135" s="485">
        <v>3.8817938892866377</v>
      </c>
      <c r="DW135" s="70">
        <v>1</v>
      </c>
      <c r="DX135" s="70">
        <v>2</v>
      </c>
      <c r="DY135" s="70">
        <v>10</v>
      </c>
      <c r="DZ135" s="70">
        <f>VLOOKUP($BS135,'État &amp; Plan d''action'!$B$6:$AH$1113,31,FALSE)</f>
        <v>1</v>
      </c>
      <c r="EA135" s="70">
        <f>VLOOKUP($BS135,'État &amp; Plan d''action'!$B$6:$AH$1113,32,FALSE)</f>
        <v>1</v>
      </c>
      <c r="EB135" s="70">
        <f>VLOOKUP($BS135,'État &amp; Plan d''action'!$B$6:$AH$1113,33,FALSE)</f>
        <v>10</v>
      </c>
      <c r="EC135" s="70">
        <v>0</v>
      </c>
      <c r="ED135" s="70">
        <v>0</v>
      </c>
      <c r="EE135" s="70">
        <v>75.856999999999999</v>
      </c>
      <c r="EF135" s="70">
        <v>0</v>
      </c>
      <c r="EG135" s="70">
        <v>0</v>
      </c>
      <c r="EH135" s="72">
        <v>48.289473684210535</v>
      </c>
      <c r="EI135" s="72">
        <v>33644</v>
      </c>
    </row>
    <row r="136" spans="1:139" ht="11.25" hidden="1" customHeight="1" x14ac:dyDescent="0.35">
      <c r="A136" s="370"/>
      <c r="B136" s="2"/>
      <c r="C136" s="2"/>
      <c r="D136" s="2"/>
      <c r="E136" s="2"/>
      <c r="F136" s="2"/>
      <c r="G136" s="2"/>
      <c r="H136" s="2"/>
      <c r="I136" s="2"/>
      <c r="J136" s="2"/>
      <c r="K136" s="2"/>
      <c r="L136" s="2"/>
      <c r="M136" s="2"/>
      <c r="N136" s="2"/>
      <c r="O136" s="95"/>
      <c r="P136" s="95"/>
      <c r="Q136" s="95"/>
      <c r="R136" s="95"/>
      <c r="S136" s="95"/>
      <c r="T136" s="70"/>
      <c r="W136" s="442"/>
      <c r="X136" s="442"/>
      <c r="Y136" s="442"/>
      <c r="Z136" s="442"/>
      <c r="AA136" s="442"/>
      <c r="AB136" s="442"/>
      <c r="AC136" s="442"/>
      <c r="AD136" s="442"/>
      <c r="AE136" s="442"/>
      <c r="AF136" s="442"/>
      <c r="AG136" s="442"/>
      <c r="AH136" s="442"/>
      <c r="AI136" s="442"/>
      <c r="BS136" s="486">
        <v>30090</v>
      </c>
      <c r="BT136" s="479" t="s">
        <v>232</v>
      </c>
      <c r="BU136" s="479">
        <v>5</v>
      </c>
      <c r="BV136" s="476" t="s">
        <v>1187</v>
      </c>
      <c r="BW136" s="476" t="s">
        <v>1187</v>
      </c>
      <c r="BX136" s="476" t="s">
        <v>1187</v>
      </c>
      <c r="BY136" s="476" t="s">
        <v>1187</v>
      </c>
      <c r="BZ136" s="476" t="s">
        <v>1187</v>
      </c>
      <c r="CA136" s="476" t="s">
        <v>1187</v>
      </c>
      <c r="CB136" s="476" t="s">
        <v>1187</v>
      </c>
      <c r="CC136" s="476" t="s">
        <v>1187</v>
      </c>
      <c r="CD136" s="476" t="s">
        <v>1187</v>
      </c>
      <c r="CE136" s="476" t="s">
        <v>1188</v>
      </c>
      <c r="CF136" s="476" t="s">
        <v>1188</v>
      </c>
      <c r="CG136" s="476" t="s">
        <v>1188</v>
      </c>
      <c r="CH136" s="476" t="s">
        <v>1188</v>
      </c>
      <c r="CI136" s="476" t="s">
        <v>1188</v>
      </c>
      <c r="CJ136" s="476" t="s">
        <v>1188</v>
      </c>
      <c r="CK136" s="476" t="s">
        <v>1188</v>
      </c>
      <c r="CL136" s="476" t="s">
        <v>1188</v>
      </c>
      <c r="CM136" s="476" t="str">
        <f>IF(VLOOKUP(BS136,'Données par municipalité'!$B$6:$E$1113,4,FALSE)="","non","oui")</f>
        <v>oui</v>
      </c>
      <c r="CN136" s="410">
        <v>224.95530506855175</v>
      </c>
      <c r="CO136" s="410">
        <v>210.75078740433651</v>
      </c>
      <c r="CP136" s="410">
        <v>233.32219706502372</v>
      </c>
      <c r="CQ136" s="410">
        <v>244.42749423604289</v>
      </c>
      <c r="CR136" s="410">
        <v>268.48723887675641</v>
      </c>
      <c r="CS136" s="410">
        <v>243.91770022833313</v>
      </c>
      <c r="CT136" s="410">
        <v>202</v>
      </c>
      <c r="CU136" s="410">
        <v>294</v>
      </c>
      <c r="CV136" s="410">
        <f>IF(VLOOKUP(BS136,'Données par municipalité'!$B$6:$F$1113,4,FALSE)="","",VLOOKUP(BS136,'Données par municipalité'!$B$6:$F$1113,4,FALSE))</f>
        <v>311</v>
      </c>
      <c r="CW136" s="476" t="s">
        <v>4723</v>
      </c>
      <c r="CX136" s="483">
        <v>0</v>
      </c>
      <c r="CY136" s="483">
        <v>0</v>
      </c>
      <c r="CZ136" s="483">
        <v>0</v>
      </c>
      <c r="DA136" s="483">
        <v>0</v>
      </c>
      <c r="DB136" s="483">
        <v>0.2</v>
      </c>
      <c r="DC136" s="483">
        <v>0</v>
      </c>
      <c r="DD136" s="483">
        <v>0</v>
      </c>
      <c r="DE136" s="483">
        <f>IFERROR(SUM(VLOOKUP($BS136,'État &amp; Plan d''action'!$B$6:$Z$1113,18,FALSE),VLOOKUP($BS136,'État &amp; Plan d''action'!$B$6:$Z$1113,20,FALSE))/(VLOOKUP($BS136,'Données par municipalité'!$B$4:$L$1113,11,FALSE)),"")</f>
        <v>0</v>
      </c>
      <c r="DF136" s="483">
        <f>IFERROR(SUM(VLOOKUP($BS136,'État &amp; Plan d''action'!$B$6:$Z$1113,19,FALSE),VLOOKUP($BS136,'État &amp; Plan d''action'!$B$6:$Z$1113,21,FALSE))/(VLOOKUP($BS136,'Données par municipalité'!$B$4:$L$1113,11,FALSE)),"")</f>
        <v>0</v>
      </c>
      <c r="DG136" s="476" t="s">
        <v>4723</v>
      </c>
      <c r="DH136" s="484">
        <v>3</v>
      </c>
      <c r="DI136" s="484">
        <v>3</v>
      </c>
      <c r="DJ136" s="484">
        <v>3</v>
      </c>
      <c r="DK136" s="484">
        <v>0</v>
      </c>
      <c r="DL136" s="484">
        <v>0</v>
      </c>
      <c r="DM136" s="484">
        <v>2</v>
      </c>
      <c r="DN136" s="484">
        <v>0</v>
      </c>
      <c r="DO136" s="484">
        <v>0</v>
      </c>
      <c r="DP136" s="484">
        <v>0</v>
      </c>
      <c r="DQ136" s="484">
        <f>IF(VLOOKUP($BS136,'État &amp; Plan d''action'!$B$6:$AJ$1113,28,FALSE)="","",VLOOKUP($BS136,'État &amp; Plan d''action'!$B$6:$AJ$1113,28,FALSE))</f>
        <v>0</v>
      </c>
      <c r="DR136" s="70">
        <f>IF(VLOOKUP($BS136,'État &amp; Plan d''action'!$B$6:$AJ$1113,29,FALSE)="","",VLOOKUP($BS136,'État &amp; Plan d''action'!$B$6:$AJ$1113,29,FALSE))</f>
        <v>0</v>
      </c>
      <c r="DS136" s="70">
        <f>IF(VLOOKUP($BS136,'État &amp; Plan d''action'!$B$6:$AJ$1113,30,FALSE)="","",VLOOKUP($BS136,'État &amp; Plan d''action'!$B$6:$AJ$1113,30,FALSE))</f>
        <v>1</v>
      </c>
      <c r="DT136" s="70">
        <v>187</v>
      </c>
      <c r="DU136" s="485">
        <v>1.5031416943208393</v>
      </c>
      <c r="DV136" s="485">
        <v>1.5999154213288262</v>
      </c>
      <c r="DW136" s="70">
        <v>0</v>
      </c>
      <c r="DX136" s="70">
        <v>0</v>
      </c>
      <c r="DY136" s="70">
        <v>0</v>
      </c>
      <c r="DZ136" s="70">
        <f>VLOOKUP($BS136,'État &amp; Plan d''action'!$B$6:$AH$1113,31,FALSE)</f>
        <v>0</v>
      </c>
      <c r="EA136" s="70">
        <f>VLOOKUP($BS136,'État &amp; Plan d''action'!$B$6:$AH$1113,32,FALSE)</f>
        <v>0</v>
      </c>
      <c r="EB136" s="70">
        <f>VLOOKUP($BS136,'État &amp; Plan d''action'!$B$6:$AH$1113,33,FALSE)</f>
        <v>1</v>
      </c>
      <c r="EC136" s="70">
        <v>0</v>
      </c>
      <c r="ED136" s="70">
        <v>0</v>
      </c>
      <c r="EE136" s="70">
        <v>0</v>
      </c>
      <c r="EF136" s="70">
        <v>0</v>
      </c>
      <c r="EG136" s="70">
        <v>0</v>
      </c>
      <c r="EH136" s="72">
        <v>51</v>
      </c>
      <c r="EI136" s="72">
        <v>797</v>
      </c>
    </row>
    <row r="137" spans="1:139" ht="11.25" hidden="1" customHeight="1" x14ac:dyDescent="0.35">
      <c r="A137" s="370"/>
      <c r="B137" s="2"/>
      <c r="C137" s="2"/>
      <c r="D137" s="2"/>
      <c r="E137" s="2"/>
      <c r="F137" s="2"/>
      <c r="G137" s="2"/>
      <c r="H137" s="2"/>
      <c r="I137" s="2"/>
      <c r="J137" s="2"/>
      <c r="K137" s="2"/>
      <c r="L137" s="2"/>
      <c r="M137" s="2"/>
      <c r="N137" s="2"/>
      <c r="O137" s="95"/>
      <c r="P137" s="95"/>
      <c r="Q137" s="95"/>
      <c r="R137" s="95"/>
      <c r="S137" s="95"/>
      <c r="T137" s="70"/>
      <c r="W137" s="442"/>
      <c r="X137" s="442"/>
      <c r="Y137" s="442"/>
      <c r="Z137" s="442"/>
      <c r="AA137" s="442"/>
      <c r="AB137" s="442"/>
      <c r="AC137" s="442"/>
      <c r="AD137" s="442"/>
      <c r="AE137" s="442"/>
      <c r="AF137" s="442"/>
      <c r="AG137" s="442"/>
      <c r="AH137" s="442"/>
      <c r="AI137" s="442"/>
      <c r="BS137" s="486">
        <v>46080</v>
      </c>
      <c r="BT137" s="479" t="s">
        <v>441</v>
      </c>
      <c r="BU137" s="479">
        <v>5</v>
      </c>
      <c r="BV137" s="476" t="s">
        <v>1187</v>
      </c>
      <c r="BW137" s="476" t="s">
        <v>1187</v>
      </c>
      <c r="BX137" s="476" t="s">
        <v>1187</v>
      </c>
      <c r="BY137" s="476" t="s">
        <v>1187</v>
      </c>
      <c r="BZ137" s="476" t="s">
        <v>1187</v>
      </c>
      <c r="CA137" s="476" t="s">
        <v>1187</v>
      </c>
      <c r="CB137" s="476" t="s">
        <v>1187</v>
      </c>
      <c r="CC137" s="476" t="s">
        <v>1187</v>
      </c>
      <c r="CD137" s="476" t="s">
        <v>1187</v>
      </c>
      <c r="CE137" s="476" t="s">
        <v>1188</v>
      </c>
      <c r="CF137" s="476" t="s">
        <v>1188</v>
      </c>
      <c r="CG137" s="476" t="s">
        <v>1188</v>
      </c>
      <c r="CH137" s="476" t="s">
        <v>1188</v>
      </c>
      <c r="CI137" s="476" t="s">
        <v>1188</v>
      </c>
      <c r="CJ137" s="476" t="s">
        <v>1188</v>
      </c>
      <c r="CK137" s="476" t="s">
        <v>1188</v>
      </c>
      <c r="CL137" s="476" t="s">
        <v>1188</v>
      </c>
      <c r="CM137" s="476" t="str">
        <f>IF(VLOOKUP(BS137,'Données par municipalité'!$B$6:$E$1113,4,FALSE)="","non","oui")</f>
        <v>oui</v>
      </c>
      <c r="CN137" s="410">
        <v>790.86081992550817</v>
      </c>
      <c r="CO137" s="410">
        <v>680.88329553309597</v>
      </c>
      <c r="CP137" s="410">
        <v>608.62885658737616</v>
      </c>
      <c r="CQ137" s="410">
        <v>605.2567286553035</v>
      </c>
      <c r="CR137" s="410">
        <v>661.65249331815835</v>
      </c>
      <c r="CS137" s="410">
        <v>613.69773151732682</v>
      </c>
      <c r="CT137" s="410">
        <v>610.08809949905003</v>
      </c>
      <c r="CU137" s="410">
        <v>534</v>
      </c>
      <c r="CV137" s="410">
        <f>IF(VLOOKUP(BS137,'Données par municipalité'!$B$6:$F$1113,4,FALSE)="","",VLOOKUP(BS137,'Données par municipalité'!$B$6:$F$1113,4,FALSE))</f>
        <v>479</v>
      </c>
      <c r="CW137" s="476" t="s">
        <v>4723</v>
      </c>
      <c r="CX137" s="483">
        <v>0.8</v>
      </c>
      <c r="CY137" s="483">
        <v>0.2</v>
      </c>
      <c r="CZ137" s="483">
        <v>1</v>
      </c>
      <c r="DA137" s="483">
        <v>1</v>
      </c>
      <c r="DB137" s="483">
        <v>1</v>
      </c>
      <c r="DC137" s="483">
        <v>1</v>
      </c>
      <c r="DD137" s="483">
        <v>1</v>
      </c>
      <c r="DE137" s="483">
        <f>IFERROR(SUM(VLOOKUP($BS137,'État &amp; Plan d''action'!$B$6:$Z$1113,18,FALSE),VLOOKUP($BS137,'État &amp; Plan d''action'!$B$6:$Z$1113,20,FALSE))/(VLOOKUP($BS137,'Données par municipalité'!$B$4:$L$1113,11,FALSE)),"")</f>
        <v>1.000559924045086</v>
      </c>
      <c r="DF137" s="483">
        <f>IFERROR(SUM(VLOOKUP($BS137,'État &amp; Plan d''action'!$B$6:$Z$1113,19,FALSE),VLOOKUP($BS137,'État &amp; Plan d''action'!$B$6:$Z$1113,21,FALSE))/(VLOOKUP($BS137,'Données par municipalité'!$B$4:$L$1113,11,FALSE)),"")</f>
        <v>1.000559924045086</v>
      </c>
      <c r="DG137" s="476" t="s">
        <v>4723</v>
      </c>
      <c r="DH137" s="484">
        <v>20</v>
      </c>
      <c r="DI137" s="484">
        <v>22</v>
      </c>
      <c r="DJ137" s="484">
        <v>28</v>
      </c>
      <c r="DK137" s="484">
        <v>28</v>
      </c>
      <c r="DL137" s="484">
        <v>21</v>
      </c>
      <c r="DM137" s="484">
        <v>21</v>
      </c>
      <c r="DN137" s="484">
        <v>23</v>
      </c>
      <c r="DO137" s="484">
        <v>23</v>
      </c>
      <c r="DP137" s="484">
        <v>3</v>
      </c>
      <c r="DQ137" s="484">
        <f>IF(VLOOKUP($BS137,'État &amp; Plan d''action'!$B$6:$AJ$1113,28,FALSE)="","",VLOOKUP($BS137,'État &amp; Plan d''action'!$B$6:$AJ$1113,28,FALSE))</f>
        <v>18</v>
      </c>
      <c r="DR137" s="70">
        <f>IF(VLOOKUP($BS137,'État &amp; Plan d''action'!$B$6:$AJ$1113,29,FALSE)="","",VLOOKUP($BS137,'État &amp; Plan d''action'!$B$6:$AJ$1113,29,FALSE))</f>
        <v>15</v>
      </c>
      <c r="DS137" s="70">
        <f>IF(VLOOKUP($BS137,'État &amp; Plan d''action'!$B$6:$AJ$1113,30,FALSE)="","",VLOOKUP($BS137,'État &amp; Plan d''action'!$B$6:$AJ$1113,30,FALSE))</f>
        <v>7</v>
      </c>
      <c r="DT137" s="70">
        <v>303</v>
      </c>
      <c r="DU137" s="485">
        <v>5.6298861253880421</v>
      </c>
      <c r="DV137" s="485">
        <v>5.5983282810108967</v>
      </c>
      <c r="DW137" s="70">
        <v>3</v>
      </c>
      <c r="DX137" s="70">
        <v>7</v>
      </c>
      <c r="DY137" s="70">
        <v>7</v>
      </c>
      <c r="DZ137" s="70">
        <f>VLOOKUP($BS137,'État &amp; Plan d''action'!$B$6:$AH$1113,31,FALSE)</f>
        <v>3</v>
      </c>
      <c r="EA137" s="70">
        <f>VLOOKUP($BS137,'État &amp; Plan d''action'!$B$6:$AH$1113,32,FALSE)</f>
        <v>3</v>
      </c>
      <c r="EB137" s="70">
        <f>VLOOKUP($BS137,'État &amp; Plan d''action'!$B$6:$AH$1113,33,FALSE)</f>
        <v>12</v>
      </c>
      <c r="EC137" s="70">
        <v>0</v>
      </c>
      <c r="ED137" s="70">
        <v>0</v>
      </c>
      <c r="EE137" s="70">
        <v>123.23099999999999</v>
      </c>
      <c r="EF137" s="70">
        <v>0</v>
      </c>
      <c r="EG137" s="70">
        <v>0</v>
      </c>
      <c r="EH137" s="72">
        <v>55</v>
      </c>
      <c r="EI137" s="72">
        <v>14354</v>
      </c>
    </row>
    <row r="138" spans="1:139" ht="11.25" hidden="1" customHeight="1" x14ac:dyDescent="0.35">
      <c r="A138" s="370"/>
      <c r="B138" s="2"/>
      <c r="C138" s="2"/>
      <c r="D138" s="2"/>
      <c r="E138" s="2"/>
      <c r="F138" s="2"/>
      <c r="G138" s="2"/>
      <c r="H138" s="2"/>
      <c r="I138" s="2"/>
      <c r="J138" s="2"/>
      <c r="K138" s="2"/>
      <c r="L138" s="2"/>
      <c r="M138" s="2"/>
      <c r="N138" s="2"/>
      <c r="O138" s="95"/>
      <c r="P138" s="95"/>
      <c r="Q138" s="95"/>
      <c r="R138" s="95"/>
      <c r="S138" s="95"/>
      <c r="T138" s="70"/>
      <c r="W138" s="442"/>
      <c r="X138" s="442"/>
      <c r="Y138" s="442"/>
      <c r="Z138" s="442"/>
      <c r="AA138" s="442"/>
      <c r="AB138" s="442"/>
      <c r="AC138" s="442"/>
      <c r="AD138" s="442"/>
      <c r="AE138" s="442"/>
      <c r="AF138" s="442"/>
      <c r="AG138" s="442"/>
      <c r="AH138" s="442"/>
      <c r="AI138" s="442"/>
      <c r="BS138" s="486">
        <v>61013</v>
      </c>
      <c r="BT138" s="479" t="s">
        <v>610</v>
      </c>
      <c r="BU138" s="479">
        <v>14</v>
      </c>
      <c r="BV138" s="476" t="s">
        <v>1187</v>
      </c>
      <c r="BW138" s="476" t="s">
        <v>1187</v>
      </c>
      <c r="BX138" s="476" t="s">
        <v>1187</v>
      </c>
      <c r="BY138" s="476" t="s">
        <v>1187</v>
      </c>
      <c r="BZ138" s="476" t="s">
        <v>1187</v>
      </c>
      <c r="CA138" s="476" t="s">
        <v>1187</v>
      </c>
      <c r="CB138" s="476" t="s">
        <v>1187</v>
      </c>
      <c r="CC138" s="476" t="s">
        <v>1187</v>
      </c>
      <c r="CD138" s="476" t="s">
        <v>1187</v>
      </c>
      <c r="CE138" s="476" t="s">
        <v>1188</v>
      </c>
      <c r="CF138" s="476" t="s">
        <v>1188</v>
      </c>
      <c r="CG138" s="476" t="s">
        <v>1188</v>
      </c>
      <c r="CH138" s="476" t="s">
        <v>1188</v>
      </c>
      <c r="CI138" s="476" t="s">
        <v>1188</v>
      </c>
      <c r="CJ138" s="476" t="s">
        <v>1188</v>
      </c>
      <c r="CK138" s="476" t="s">
        <v>1188</v>
      </c>
      <c r="CL138" s="476" t="s">
        <v>1188</v>
      </c>
      <c r="CM138" s="476" t="str">
        <f>IF(VLOOKUP(BS138,'Données par municipalité'!$B$6:$E$1113,4,FALSE)="","non","oui")</f>
        <v>oui</v>
      </c>
      <c r="CN138" s="410">
        <v>402.84061359769254</v>
      </c>
      <c r="CO138" s="410">
        <v>415.13264954502966</v>
      </c>
      <c r="CP138" s="410">
        <v>352.33444314998081</v>
      </c>
      <c r="CQ138" s="410">
        <v>331.5015518057881</v>
      </c>
      <c r="CR138" s="410">
        <v>343.0174934028376</v>
      </c>
      <c r="CS138" s="410">
        <v>395.31412911521625</v>
      </c>
      <c r="CT138" s="410">
        <v>342.427534204165</v>
      </c>
      <c r="CU138" s="410">
        <v>316</v>
      </c>
      <c r="CV138" s="410">
        <f>IF(VLOOKUP(BS138,'Données par municipalité'!$B$6:$F$1113,4,FALSE)="","",VLOOKUP(BS138,'Données par municipalité'!$B$6:$F$1113,4,FALSE))</f>
        <v>314</v>
      </c>
      <c r="CW138" s="476" t="s">
        <v>4723</v>
      </c>
      <c r="CX138" s="483">
        <v>1</v>
      </c>
      <c r="CY138" s="483">
        <v>1</v>
      </c>
      <c r="CZ138" s="483">
        <v>1</v>
      </c>
      <c r="DA138" s="483">
        <v>1</v>
      </c>
      <c r="DB138" s="483">
        <v>1</v>
      </c>
      <c r="DC138" s="483">
        <v>1</v>
      </c>
      <c r="DD138" s="483">
        <v>1</v>
      </c>
      <c r="DE138" s="483">
        <f>IFERROR(SUM(VLOOKUP($BS138,'État &amp; Plan d''action'!$B$6:$Z$1113,18,FALSE),VLOOKUP($BS138,'État &amp; Plan d''action'!$B$6:$Z$1113,20,FALSE))/(VLOOKUP($BS138,'Données par municipalité'!$B$4:$L$1113,11,FALSE)),"")</f>
        <v>0.99549572093488836</v>
      </c>
      <c r="DF138" s="483">
        <f>IFERROR(SUM(VLOOKUP($BS138,'État &amp; Plan d''action'!$B$6:$Z$1113,19,FALSE),VLOOKUP($BS138,'État &amp; Plan d''action'!$B$6:$Z$1113,21,FALSE))/(VLOOKUP($BS138,'Données par municipalité'!$B$4:$L$1113,11,FALSE)),"")</f>
        <v>0.99549572093488836</v>
      </c>
      <c r="DG138" s="476" t="s">
        <v>4723</v>
      </c>
      <c r="DH138" s="484">
        <v>6</v>
      </c>
      <c r="DI138" s="484">
        <v>3</v>
      </c>
      <c r="DJ138" s="484">
        <v>2</v>
      </c>
      <c r="DK138" s="484">
        <v>3</v>
      </c>
      <c r="DL138" s="484">
        <v>2</v>
      </c>
      <c r="DM138" s="484">
        <v>2</v>
      </c>
      <c r="DN138" s="484">
        <v>2</v>
      </c>
      <c r="DO138" s="484">
        <v>0</v>
      </c>
      <c r="DP138" s="484">
        <v>1</v>
      </c>
      <c r="DQ138" s="484">
        <f>IF(VLOOKUP($BS138,'État &amp; Plan d''action'!$B$6:$AJ$1113,28,FALSE)="","",VLOOKUP($BS138,'État &amp; Plan d''action'!$B$6:$AJ$1113,28,FALSE))</f>
        <v>1</v>
      </c>
      <c r="DR138" s="70">
        <f>IF(VLOOKUP($BS138,'État &amp; Plan d''action'!$B$6:$AJ$1113,29,FALSE)="","",VLOOKUP($BS138,'État &amp; Plan d''action'!$B$6:$AJ$1113,29,FALSE))</f>
        <v>0</v>
      </c>
      <c r="DS138" s="70">
        <f>IF(VLOOKUP($BS138,'État &amp; Plan d''action'!$B$6:$AJ$1113,30,FALSE)="","",VLOOKUP($BS138,'État &amp; Plan d''action'!$B$6:$AJ$1113,30,FALSE))</f>
        <v>0</v>
      </c>
      <c r="DT138" s="70">
        <v>201</v>
      </c>
      <c r="DU138" s="485">
        <v>1.1298674057517888</v>
      </c>
      <c r="DV138" s="485">
        <v>0.41525213418834023</v>
      </c>
      <c r="DW138" s="70">
        <v>1</v>
      </c>
      <c r="DX138" s="70">
        <v>0</v>
      </c>
      <c r="DY138" s="70">
        <v>21</v>
      </c>
      <c r="DZ138" s="70">
        <f>VLOOKUP($BS138,'État &amp; Plan d''action'!$B$6:$AH$1113,31,FALSE)</f>
        <v>1</v>
      </c>
      <c r="EA138" s="70">
        <f>VLOOKUP($BS138,'État &amp; Plan d''action'!$B$6:$AH$1113,32,FALSE)</f>
        <v>0</v>
      </c>
      <c r="EB138" s="70">
        <f>VLOOKUP($BS138,'État &amp; Plan d''action'!$B$6:$AH$1113,33,FALSE)</f>
        <v>0</v>
      </c>
      <c r="EC138" s="70">
        <v>20.809000000000001</v>
      </c>
      <c r="ED138" s="70">
        <v>20.809000000000001</v>
      </c>
      <c r="EE138" s="70">
        <v>0</v>
      </c>
      <c r="EF138" s="70">
        <v>0</v>
      </c>
      <c r="EG138" s="70">
        <v>0</v>
      </c>
      <c r="EH138" s="72">
        <v>63.201754385964918</v>
      </c>
      <c r="EI138" s="72">
        <v>4034</v>
      </c>
    </row>
    <row r="139" spans="1:139" ht="11.25" hidden="1" customHeight="1" x14ac:dyDescent="0.35">
      <c r="A139" s="370"/>
      <c r="B139" s="2"/>
      <c r="C139" s="2"/>
      <c r="D139" s="2"/>
      <c r="E139" s="2"/>
      <c r="F139" s="2"/>
      <c r="G139" s="2"/>
      <c r="H139" s="2"/>
      <c r="I139" s="2"/>
      <c r="J139" s="2"/>
      <c r="K139" s="2"/>
      <c r="L139" s="2"/>
      <c r="M139" s="2"/>
      <c r="N139" s="2"/>
      <c r="O139" s="95"/>
      <c r="P139" s="95"/>
      <c r="Q139" s="95"/>
      <c r="R139" s="95"/>
      <c r="S139" s="95"/>
      <c r="T139" s="70"/>
      <c r="W139" s="442"/>
      <c r="X139" s="442"/>
      <c r="Y139" s="442"/>
      <c r="Z139" s="442"/>
      <c r="AA139" s="442"/>
      <c r="AB139" s="442"/>
      <c r="AC139" s="442"/>
      <c r="AD139" s="442"/>
      <c r="AE139" s="442"/>
      <c r="AF139" s="442"/>
      <c r="AG139" s="442"/>
      <c r="AH139" s="442"/>
      <c r="AI139" s="442"/>
      <c r="BS139" s="486">
        <v>40047</v>
      </c>
      <c r="BT139" s="479" t="s">
        <v>364</v>
      </c>
      <c r="BU139" s="479">
        <v>5</v>
      </c>
      <c r="BV139" s="476" t="s">
        <v>1187</v>
      </c>
      <c r="BW139" s="476" t="s">
        <v>1187</v>
      </c>
      <c r="BX139" s="476" t="s">
        <v>1187</v>
      </c>
      <c r="BY139" s="476" t="s">
        <v>1187</v>
      </c>
      <c r="BZ139" s="476" t="s">
        <v>1187</v>
      </c>
      <c r="CA139" s="476" t="s">
        <v>1187</v>
      </c>
      <c r="CB139" s="476" t="s">
        <v>1187</v>
      </c>
      <c r="CC139" s="476" t="s">
        <v>1187</v>
      </c>
      <c r="CD139" s="476" t="s">
        <v>1187</v>
      </c>
      <c r="CE139" s="476" t="s">
        <v>1188</v>
      </c>
      <c r="CF139" s="476" t="s">
        <v>1188</v>
      </c>
      <c r="CG139" s="476" t="s">
        <v>1188</v>
      </c>
      <c r="CH139" s="476" t="s">
        <v>1187</v>
      </c>
      <c r="CI139" s="476" t="s">
        <v>1188</v>
      </c>
      <c r="CJ139" s="476" t="s">
        <v>1187</v>
      </c>
      <c r="CK139" s="476" t="s">
        <v>1187</v>
      </c>
      <c r="CL139" s="476" t="s">
        <v>1187</v>
      </c>
      <c r="CM139" s="476" t="str">
        <f>IF(VLOOKUP(BS139,'Données par municipalité'!$B$6:$E$1113,4,FALSE)="","non","oui")</f>
        <v>non</v>
      </c>
      <c r="CN139" s="410">
        <v>399.76396885271214</v>
      </c>
      <c r="CO139" s="410">
        <v>378.02071346375146</v>
      </c>
      <c r="CP139" s="410">
        <v>358.22018509233794</v>
      </c>
      <c r="CQ139" s="410"/>
      <c r="CR139" s="410">
        <v>316</v>
      </c>
      <c r="CS139" s="410" t="s">
        <v>1124</v>
      </c>
      <c r="CT139" s="410"/>
      <c r="CU139" s="410" t="s">
        <v>1124</v>
      </c>
      <c r="CV139" s="410" t="str">
        <f>IF(VLOOKUP(BS139,'Données par municipalité'!$B$6:$F$1113,4,FALSE)="","",VLOOKUP(BS139,'Données par municipalité'!$B$6:$F$1113,4,FALSE))</f>
        <v/>
      </c>
      <c r="CW139" s="476" t="s">
        <v>4723</v>
      </c>
      <c r="CX139" s="483">
        <v>0.01</v>
      </c>
      <c r="CY139" s="483">
        <v>0.05</v>
      </c>
      <c r="CZ139" s="483" t="s">
        <v>1124</v>
      </c>
      <c r="DA139" s="483">
        <v>1</v>
      </c>
      <c r="DB139" s="483" t="s">
        <v>1124</v>
      </c>
      <c r="DC139" s="483" t="s">
        <v>1124</v>
      </c>
      <c r="DD139" s="483" t="s">
        <v>1124</v>
      </c>
      <c r="DE139" s="483" t="str">
        <f>IFERROR(SUM(VLOOKUP($BS139,'État &amp; Plan d''action'!$B$6:$Z$1113,18,FALSE),VLOOKUP($BS139,'État &amp; Plan d''action'!$B$6:$Z$1113,20,FALSE))/(VLOOKUP($BS139,'Données par municipalité'!$B$4:$L$1113,11,FALSE)),"")</f>
        <v/>
      </c>
      <c r="DF139" s="483" t="str">
        <f>IFERROR(SUM(VLOOKUP($BS139,'État &amp; Plan d''action'!$B$6:$Z$1113,19,FALSE),VLOOKUP($BS139,'État &amp; Plan d''action'!$B$6:$Z$1113,21,FALSE))/(VLOOKUP($BS139,'Données par municipalité'!$B$4:$L$1113,11,FALSE)),"")</f>
        <v/>
      </c>
      <c r="DG139" s="476" t="s">
        <v>4723</v>
      </c>
      <c r="DH139" s="484">
        <v>3</v>
      </c>
      <c r="DI139" s="484">
        <v>4</v>
      </c>
      <c r="DJ139" s="484">
        <v>0</v>
      </c>
      <c r="DK139" s="484">
        <v>8</v>
      </c>
      <c r="DL139" s="484" t="s">
        <v>1124</v>
      </c>
      <c r="DM139" s="484" t="s">
        <v>1124</v>
      </c>
      <c r="DN139" s="484" t="s">
        <v>1124</v>
      </c>
      <c r="DO139" s="484" t="s">
        <v>1124</v>
      </c>
      <c r="DP139" s="484" t="s">
        <v>1124</v>
      </c>
      <c r="DQ139" s="484" t="str">
        <f>IF(VLOOKUP($BS139,'État &amp; Plan d''action'!$B$6:$AJ$1113,28,FALSE)="","",VLOOKUP($BS139,'État &amp; Plan d''action'!$B$6:$AJ$1113,28,FALSE))</f>
        <v/>
      </c>
      <c r="DR139" s="70" t="str">
        <f>IF(VLOOKUP($BS139,'État &amp; Plan d''action'!$B$6:$AJ$1113,29,FALSE)="","",VLOOKUP($BS139,'État &amp; Plan d''action'!$B$6:$AJ$1113,29,FALSE))</f>
        <v/>
      </c>
      <c r="DS139" s="70" t="str">
        <f>IF(VLOOKUP($BS139,'État &amp; Plan d''action'!$B$6:$AJ$1113,30,FALSE)="","",VLOOKUP($BS139,'État &amp; Plan d''action'!$B$6:$AJ$1113,30,FALSE))</f>
        <v/>
      </c>
      <c r="DT139" s="70" t="s">
        <v>1124</v>
      </c>
      <c r="DU139" s="485" t="s">
        <v>1124</v>
      </c>
      <c r="DV139" s="485" t="s">
        <v>1124</v>
      </c>
      <c r="DW139" s="70" t="s">
        <v>1124</v>
      </c>
      <c r="DX139" s="70" t="s">
        <v>1124</v>
      </c>
      <c r="DY139" s="70" t="s">
        <v>1124</v>
      </c>
      <c r="DZ139" s="70" t="str">
        <f>VLOOKUP($BS139,'État &amp; Plan d''action'!$B$6:$AH$1113,31,FALSE)</f>
        <v/>
      </c>
      <c r="EA139" s="70" t="str">
        <f>VLOOKUP($BS139,'État &amp; Plan d''action'!$B$6:$AH$1113,32,FALSE)</f>
        <v/>
      </c>
      <c r="EB139" s="70" t="str">
        <f>VLOOKUP($BS139,'État &amp; Plan d''action'!$B$6:$AH$1113,33,FALSE)</f>
        <v/>
      </c>
      <c r="EC139" s="70" t="s">
        <v>1124</v>
      </c>
      <c r="ED139" s="70" t="s">
        <v>1124</v>
      </c>
      <c r="EE139" s="70" t="s">
        <v>1124</v>
      </c>
      <c r="EF139" s="70" t="s">
        <v>1124</v>
      </c>
      <c r="EG139" s="70" t="s">
        <v>1124</v>
      </c>
      <c r="EH139" s="72"/>
      <c r="EI139" s="72">
        <v>3823</v>
      </c>
    </row>
    <row r="140" spans="1:139" ht="11.25" hidden="1" customHeight="1" x14ac:dyDescent="0.35">
      <c r="A140" s="370"/>
      <c r="B140" s="2"/>
      <c r="C140" s="371"/>
      <c r="D140" s="2"/>
      <c r="E140" s="2"/>
      <c r="F140" s="2"/>
      <c r="G140" s="2"/>
      <c r="H140" s="2"/>
      <c r="I140" s="2"/>
      <c r="J140" s="2"/>
      <c r="K140" s="2"/>
      <c r="L140" s="2"/>
      <c r="M140" s="2"/>
      <c r="N140" s="2"/>
      <c r="O140" s="95"/>
      <c r="P140" s="95"/>
      <c r="Q140" s="95"/>
      <c r="R140" s="95"/>
      <c r="S140" s="95"/>
      <c r="T140" s="70"/>
      <c r="W140" s="442"/>
      <c r="X140" s="442"/>
      <c r="Y140" s="442"/>
      <c r="Z140" s="442"/>
      <c r="AA140" s="442"/>
      <c r="AB140" s="442"/>
      <c r="AC140" s="442"/>
      <c r="AD140" s="442"/>
      <c r="AE140" s="442"/>
      <c r="AF140" s="442"/>
      <c r="AG140" s="442"/>
      <c r="AH140" s="442"/>
      <c r="AI140" s="442"/>
      <c r="BS140" s="486">
        <v>39152</v>
      </c>
      <c r="BT140" s="479" t="s">
        <v>356</v>
      </c>
      <c r="BU140" s="479">
        <v>17</v>
      </c>
      <c r="BV140" s="476" t="s">
        <v>1187</v>
      </c>
      <c r="BW140" s="476" t="s">
        <v>1187</v>
      </c>
      <c r="BX140" s="476" t="s">
        <v>1187</v>
      </c>
      <c r="BY140" s="476" t="s">
        <v>1187</v>
      </c>
      <c r="BZ140" s="476" t="s">
        <v>1187</v>
      </c>
      <c r="CA140" s="476" t="s">
        <v>1187</v>
      </c>
      <c r="CB140" s="476" t="s">
        <v>1187</v>
      </c>
      <c r="CC140" s="476" t="s">
        <v>1187</v>
      </c>
      <c r="CD140" s="476" t="s">
        <v>1187</v>
      </c>
      <c r="CE140" s="476" t="s">
        <v>1188</v>
      </c>
      <c r="CF140" s="476" t="s">
        <v>1188</v>
      </c>
      <c r="CG140" s="476" t="s">
        <v>1188</v>
      </c>
      <c r="CH140" s="476" t="s">
        <v>1188</v>
      </c>
      <c r="CI140" s="476" t="s">
        <v>1188</v>
      </c>
      <c r="CJ140" s="476" t="s">
        <v>1188</v>
      </c>
      <c r="CK140" s="476" t="s">
        <v>1188</v>
      </c>
      <c r="CL140" s="476" t="s">
        <v>1188</v>
      </c>
      <c r="CM140" s="476" t="str">
        <f>IF(VLOOKUP(BS140,'Données par municipalité'!$B$6:$E$1113,4,FALSE)="","non","oui")</f>
        <v>oui</v>
      </c>
      <c r="CN140" s="410">
        <v>462.53988034062047</v>
      </c>
      <c r="CO140" s="410">
        <v>479.24638957582823</v>
      </c>
      <c r="CP140" s="410">
        <v>431.91525567940096</v>
      </c>
      <c r="CQ140" s="410">
        <v>429.30812797354901</v>
      </c>
      <c r="CR140" s="410">
        <v>442.89032517048429</v>
      </c>
      <c r="CS140" s="410">
        <v>360.53594157366661</v>
      </c>
      <c r="CT140" s="410">
        <v>350.29354207436398</v>
      </c>
      <c r="CU140" s="410">
        <v>412</v>
      </c>
      <c r="CV140" s="410">
        <f>IF(VLOOKUP(BS140,'Données par municipalité'!$B$6:$F$1113,4,FALSE)="","",VLOOKUP(BS140,'Données par municipalité'!$B$6:$F$1113,4,FALSE))</f>
        <v>303</v>
      </c>
      <c r="CW140" s="476" t="s">
        <v>4723</v>
      </c>
      <c r="CX140" s="483" t="s">
        <v>1124</v>
      </c>
      <c r="CY140" s="483">
        <v>1</v>
      </c>
      <c r="CZ140" s="483">
        <v>1</v>
      </c>
      <c r="DA140" s="483">
        <v>1</v>
      </c>
      <c r="DB140" s="483">
        <v>1</v>
      </c>
      <c r="DC140" s="483">
        <v>1</v>
      </c>
      <c r="DD140" s="483">
        <v>0</v>
      </c>
      <c r="DE140" s="483">
        <f>IFERROR(SUM(VLOOKUP($BS140,'État &amp; Plan d''action'!$B$6:$Z$1113,18,FALSE),VLOOKUP($BS140,'État &amp; Plan d''action'!$B$6:$Z$1113,20,FALSE))/(VLOOKUP($BS140,'Données par municipalité'!$B$4:$L$1113,11,FALSE)),"")</f>
        <v>0</v>
      </c>
      <c r="DF140" s="483">
        <f>IFERROR(SUM(VLOOKUP($BS140,'État &amp; Plan d''action'!$B$6:$Z$1113,19,FALSE),VLOOKUP($BS140,'État &amp; Plan d''action'!$B$6:$Z$1113,21,FALSE))/(VLOOKUP($BS140,'Données par municipalité'!$B$4:$L$1113,11,FALSE)),"")</f>
        <v>0</v>
      </c>
      <c r="DG140" s="476" t="s">
        <v>4723</v>
      </c>
      <c r="DH140" s="484">
        <v>3</v>
      </c>
      <c r="DI140" s="484">
        <v>3</v>
      </c>
      <c r="DJ140" s="484">
        <v>0</v>
      </c>
      <c r="DK140" s="484">
        <v>1</v>
      </c>
      <c r="DL140" s="484">
        <v>1</v>
      </c>
      <c r="DM140" s="484">
        <v>3</v>
      </c>
      <c r="DN140" s="484">
        <v>2</v>
      </c>
      <c r="DO140" s="484">
        <v>0</v>
      </c>
      <c r="DP140" s="484">
        <v>0</v>
      </c>
      <c r="DQ140" s="484">
        <f>IF(VLOOKUP($BS140,'État &amp; Plan d''action'!$B$6:$AJ$1113,28,FALSE)="","",VLOOKUP($BS140,'État &amp; Plan d''action'!$B$6:$AJ$1113,28,FALSE))</f>
        <v>4</v>
      </c>
      <c r="DR140" s="70">
        <f>IF(VLOOKUP($BS140,'État &amp; Plan d''action'!$B$6:$AJ$1113,29,FALSE)="","",VLOOKUP($BS140,'État &amp; Plan d''action'!$B$6:$AJ$1113,29,FALSE))</f>
        <v>4</v>
      </c>
      <c r="DS140" s="70">
        <f>IF(VLOOKUP($BS140,'État &amp; Plan d''action'!$B$6:$AJ$1113,30,FALSE)="","",VLOOKUP($BS140,'État &amp; Plan d''action'!$B$6:$AJ$1113,30,FALSE))</f>
        <v>0</v>
      </c>
      <c r="DT140" s="70">
        <v>280</v>
      </c>
      <c r="DU140" s="485">
        <v>1.1573085911729541</v>
      </c>
      <c r="DV140" s="485">
        <v>0.52443861825402627</v>
      </c>
      <c r="DW140" s="70">
        <v>1</v>
      </c>
      <c r="DX140" s="70">
        <v>0</v>
      </c>
      <c r="DY140" s="70">
        <v>0</v>
      </c>
      <c r="DZ140" s="70">
        <f>VLOOKUP($BS140,'État &amp; Plan d''action'!$B$6:$AH$1113,31,FALSE)</f>
        <v>2</v>
      </c>
      <c r="EA140" s="70">
        <f>VLOOKUP($BS140,'État &amp; Plan d''action'!$B$6:$AH$1113,32,FALSE)</f>
        <v>2</v>
      </c>
      <c r="EB140" s="70">
        <f>VLOOKUP($BS140,'État &amp; Plan d''action'!$B$6:$AH$1113,33,FALSE)</f>
        <v>0</v>
      </c>
      <c r="EC140" s="70">
        <v>22.161000000000001</v>
      </c>
      <c r="ED140" s="70">
        <v>0</v>
      </c>
      <c r="EE140" s="70">
        <v>0</v>
      </c>
      <c r="EF140" s="70">
        <v>0</v>
      </c>
      <c r="EG140" s="70">
        <v>0</v>
      </c>
      <c r="EH140" s="72">
        <v>65.596491228070178</v>
      </c>
      <c r="EI140" s="72">
        <v>2313</v>
      </c>
    </row>
    <row r="141" spans="1:139" ht="11.25" hidden="1" customHeight="1" x14ac:dyDescent="0.35">
      <c r="A141" s="370"/>
      <c r="B141" s="2"/>
      <c r="C141" s="2"/>
      <c r="D141" s="2"/>
      <c r="E141" s="2"/>
      <c r="F141" s="2"/>
      <c r="G141" s="2"/>
      <c r="H141" s="2"/>
      <c r="I141" s="2"/>
      <c r="J141" s="2"/>
      <c r="K141" s="2"/>
      <c r="L141" s="2"/>
      <c r="M141" s="2"/>
      <c r="N141" s="2"/>
      <c r="O141" s="95"/>
      <c r="P141" s="95"/>
      <c r="Q141" s="95"/>
      <c r="R141" s="95"/>
      <c r="S141" s="95"/>
      <c r="T141" s="70"/>
      <c r="W141" s="442"/>
      <c r="X141" s="442"/>
      <c r="Y141" s="442"/>
      <c r="Z141" s="442"/>
      <c r="AA141" s="442"/>
      <c r="AB141" s="442"/>
      <c r="AC141" s="442"/>
      <c r="AD141" s="442"/>
      <c r="AE141" s="442"/>
      <c r="AF141" s="442"/>
      <c r="AG141" s="442"/>
      <c r="AH141" s="442"/>
      <c r="AI141" s="442"/>
      <c r="BS141" s="486">
        <v>13005</v>
      </c>
      <c r="BT141" s="479" t="s">
        <v>41</v>
      </c>
      <c r="BU141" s="479">
        <v>1</v>
      </c>
      <c r="BV141" s="476" t="s">
        <v>1187</v>
      </c>
      <c r="BW141" s="476" t="s">
        <v>1187</v>
      </c>
      <c r="BX141" s="476" t="s">
        <v>1187</v>
      </c>
      <c r="BY141" s="476" t="s">
        <v>1187</v>
      </c>
      <c r="BZ141" s="476" t="s">
        <v>1187</v>
      </c>
      <c r="CA141" s="476" t="s">
        <v>1187</v>
      </c>
      <c r="CB141" s="476" t="s">
        <v>1187</v>
      </c>
      <c r="CC141" s="476" t="s">
        <v>1187</v>
      </c>
      <c r="CD141" s="476" t="s">
        <v>1187</v>
      </c>
      <c r="CE141" s="476" t="s">
        <v>1188</v>
      </c>
      <c r="CF141" s="476" t="s">
        <v>1188</v>
      </c>
      <c r="CG141" s="476" t="s">
        <v>1188</v>
      </c>
      <c r="CH141" s="476" t="s">
        <v>1188</v>
      </c>
      <c r="CI141" s="476" t="s">
        <v>1188</v>
      </c>
      <c r="CJ141" s="476" t="s">
        <v>1188</v>
      </c>
      <c r="CK141" s="476" t="s">
        <v>1188</v>
      </c>
      <c r="CL141" s="476" t="s">
        <v>1187</v>
      </c>
      <c r="CM141" s="476" t="str">
        <f>IF(VLOOKUP(BS141,'Données par municipalité'!$B$6:$E$1113,4,FALSE)="","non","oui")</f>
        <v>oui</v>
      </c>
      <c r="CN141" s="410">
        <v>594.47684968720375</v>
      </c>
      <c r="CO141" s="410">
        <v>538.46543043889722</v>
      </c>
      <c r="CP141" s="410">
        <v>465.20072960213554</v>
      </c>
      <c r="CQ141" s="410">
        <v>620.95543531659928</v>
      </c>
      <c r="CR141" s="410">
        <v>600.80928796755938</v>
      </c>
      <c r="CS141" s="410">
        <v>620.61180479113011</v>
      </c>
      <c r="CT141" s="410">
        <v>572.50054887111492</v>
      </c>
      <c r="CU141" s="410" t="s">
        <v>1124</v>
      </c>
      <c r="CV141" s="410">
        <f>IF(VLOOKUP(BS141,'Données par municipalité'!$B$6:$F$1113,4,FALSE)="","",VLOOKUP(BS141,'Données par municipalité'!$B$6:$F$1113,4,FALSE))</f>
        <v>613</v>
      </c>
      <c r="CW141" s="476" t="s">
        <v>4723</v>
      </c>
      <c r="CX141" s="483">
        <v>0</v>
      </c>
      <c r="CY141" s="483">
        <v>0.1</v>
      </c>
      <c r="CZ141" s="483">
        <v>0.25</v>
      </c>
      <c r="DA141" s="483">
        <v>0.25</v>
      </c>
      <c r="DB141" s="483">
        <v>1</v>
      </c>
      <c r="DC141" s="483">
        <v>1</v>
      </c>
      <c r="DD141" s="483" t="s">
        <v>1124</v>
      </c>
      <c r="DE141" s="483">
        <f>IFERROR(SUM(VLOOKUP($BS141,'État &amp; Plan d''action'!$B$6:$Z$1113,18,FALSE),VLOOKUP($BS141,'État &amp; Plan d''action'!$B$6:$Z$1113,20,FALSE))/(VLOOKUP($BS141,'Données par municipalité'!$B$4:$L$1113,11,FALSE)),"")</f>
        <v>0.61008676789587846</v>
      </c>
      <c r="DF141" s="483">
        <f>IFERROR(SUM(VLOOKUP($BS141,'État &amp; Plan d''action'!$B$6:$Z$1113,19,FALSE),VLOOKUP($BS141,'État &amp; Plan d''action'!$B$6:$Z$1113,21,FALSE))/(VLOOKUP($BS141,'Données par municipalité'!$B$4:$L$1113,11,FALSE)),"")</f>
        <v>0.50840563991323207</v>
      </c>
      <c r="DG141" s="476" t="s">
        <v>4723</v>
      </c>
      <c r="DH141" s="484">
        <v>3</v>
      </c>
      <c r="DI141" s="484">
        <v>3</v>
      </c>
      <c r="DJ141" s="484">
        <v>10</v>
      </c>
      <c r="DK141" s="484">
        <v>9</v>
      </c>
      <c r="DL141" s="484">
        <v>3</v>
      </c>
      <c r="DM141" s="484">
        <v>3</v>
      </c>
      <c r="DN141" s="484" t="s">
        <v>1124</v>
      </c>
      <c r="DO141" s="484" t="s">
        <v>1124</v>
      </c>
      <c r="DP141" s="484" t="s">
        <v>1124</v>
      </c>
      <c r="DQ141" s="484">
        <f>IF(VLOOKUP($BS141,'État &amp; Plan d''action'!$B$6:$AJ$1113,28,FALSE)="","",VLOOKUP($BS141,'État &amp; Plan d''action'!$B$6:$AJ$1113,28,FALSE))</f>
        <v>4</v>
      </c>
      <c r="DR141" s="70">
        <f>IF(VLOOKUP($BS141,'État &amp; Plan d''action'!$B$6:$AJ$1113,29,FALSE)="","",VLOOKUP($BS141,'État &amp; Plan d''action'!$B$6:$AJ$1113,29,FALSE))</f>
        <v>0</v>
      </c>
      <c r="DS141" s="70">
        <f>IF(VLOOKUP($BS141,'État &amp; Plan d''action'!$B$6:$AJ$1113,30,FALSE)="","",VLOOKUP($BS141,'État &amp; Plan d''action'!$B$6:$AJ$1113,30,FALSE))</f>
        <v>1</v>
      </c>
      <c r="DT141" s="70" t="s">
        <v>1124</v>
      </c>
      <c r="DU141" s="485" t="s">
        <v>1124</v>
      </c>
      <c r="DV141" s="485">
        <v>7.9749037225832557</v>
      </c>
      <c r="DW141" s="70" t="s">
        <v>1124</v>
      </c>
      <c r="DX141" s="70" t="s">
        <v>1124</v>
      </c>
      <c r="DY141" s="70" t="s">
        <v>1124</v>
      </c>
      <c r="DZ141" s="70">
        <f>VLOOKUP($BS141,'État &amp; Plan d''action'!$B$6:$AH$1113,31,FALSE)</f>
        <v>1</v>
      </c>
      <c r="EA141" s="70">
        <f>VLOOKUP($BS141,'État &amp; Plan d''action'!$B$6:$AH$1113,32,FALSE)</f>
        <v>0</v>
      </c>
      <c r="EB141" s="70">
        <f>VLOOKUP($BS141,'État &amp; Plan d''action'!$B$6:$AH$1113,33,FALSE)</f>
        <v>1</v>
      </c>
      <c r="EC141" s="70" t="s">
        <v>1124</v>
      </c>
      <c r="ED141" s="70" t="s">
        <v>1124</v>
      </c>
      <c r="EE141" s="70" t="s">
        <v>1124</v>
      </c>
      <c r="EF141" s="70" t="s">
        <v>1124</v>
      </c>
      <c r="EG141" s="70" t="s">
        <v>1124</v>
      </c>
      <c r="EH141" s="72"/>
      <c r="EI141" s="72">
        <v>2902</v>
      </c>
    </row>
    <row r="142" spans="1:139" ht="11.25" hidden="1" customHeight="1" x14ac:dyDescent="0.35">
      <c r="A142" s="370"/>
      <c r="B142" s="2"/>
      <c r="C142" s="2"/>
      <c r="D142" s="2"/>
      <c r="E142" s="2"/>
      <c r="F142" s="2"/>
      <c r="G142" s="2"/>
      <c r="H142" s="2"/>
      <c r="I142" s="2"/>
      <c r="J142" s="2"/>
      <c r="K142" s="2"/>
      <c r="L142" s="2"/>
      <c r="M142" s="2"/>
      <c r="N142" s="2"/>
      <c r="O142" s="95"/>
      <c r="P142" s="95"/>
      <c r="Q142" s="95"/>
      <c r="R142" s="95"/>
      <c r="S142" s="95"/>
      <c r="T142" s="70"/>
      <c r="W142" s="442"/>
      <c r="X142" s="442"/>
      <c r="Y142" s="442"/>
      <c r="Z142" s="442"/>
      <c r="AA142" s="442"/>
      <c r="AB142" s="442"/>
      <c r="AC142" s="442"/>
      <c r="AD142" s="442"/>
      <c r="AE142" s="442"/>
      <c r="AF142" s="442"/>
      <c r="AG142" s="442"/>
      <c r="AH142" s="442"/>
      <c r="AI142" s="442"/>
      <c r="BS142" s="486">
        <v>83070</v>
      </c>
      <c r="BT142" s="479" t="s">
        <v>846</v>
      </c>
      <c r="BU142" s="479">
        <v>7</v>
      </c>
      <c r="BV142" s="476" t="s">
        <v>1187</v>
      </c>
      <c r="BW142" s="476" t="s">
        <v>1187</v>
      </c>
      <c r="BX142" s="476" t="s">
        <v>1187</v>
      </c>
      <c r="BY142" s="476" t="s">
        <v>1187</v>
      </c>
      <c r="BZ142" s="476" t="s">
        <v>1187</v>
      </c>
      <c r="CA142" s="476" t="s">
        <v>1187</v>
      </c>
      <c r="CB142" s="476" t="s">
        <v>1187</v>
      </c>
      <c r="CC142" s="476" t="s">
        <v>1187</v>
      </c>
      <c r="CD142" s="476" t="s">
        <v>1187</v>
      </c>
      <c r="CE142" s="476" t="s">
        <v>1187</v>
      </c>
      <c r="CF142" s="476" t="s">
        <v>1187</v>
      </c>
      <c r="CG142" s="476" t="s">
        <v>1187</v>
      </c>
      <c r="CH142" s="476" t="s">
        <v>1187</v>
      </c>
      <c r="CI142" s="476" t="s">
        <v>1187</v>
      </c>
      <c r="CJ142" s="476" t="s">
        <v>1187</v>
      </c>
      <c r="CK142" s="476" t="s">
        <v>1187</v>
      </c>
      <c r="CL142" s="476" t="s">
        <v>1187</v>
      </c>
      <c r="CM142" s="476" t="str">
        <f>IF(VLOOKUP(BS142,'Données par municipalité'!$B$6:$E$1113,4,FALSE)="","non","oui")</f>
        <v>non</v>
      </c>
      <c r="CN142" s="410" t="s">
        <v>1124</v>
      </c>
      <c r="CO142" s="410" t="s">
        <v>1124</v>
      </c>
      <c r="CP142" s="410"/>
      <c r="CQ142" s="410"/>
      <c r="CR142" s="410"/>
      <c r="CS142" s="410" t="s">
        <v>1124</v>
      </c>
      <c r="CT142" s="410"/>
      <c r="CU142" s="410" t="s">
        <v>1124</v>
      </c>
      <c r="CV142" s="410" t="str">
        <f>IF(VLOOKUP(BS142,'Données par municipalité'!$B$6:$F$1113,4,FALSE)="","",VLOOKUP(BS142,'Données par municipalité'!$B$6:$F$1113,4,FALSE))</f>
        <v/>
      </c>
      <c r="CW142" s="476" t="s">
        <v>4723</v>
      </c>
      <c r="CX142" s="483" t="s">
        <v>1124</v>
      </c>
      <c r="CY142" s="483" t="s">
        <v>1124</v>
      </c>
      <c r="CZ142" s="483" t="s">
        <v>1124</v>
      </c>
      <c r="DA142" s="483" t="s">
        <v>1124</v>
      </c>
      <c r="DB142" s="483" t="s">
        <v>1124</v>
      </c>
      <c r="DC142" s="483" t="s">
        <v>1124</v>
      </c>
      <c r="DD142" s="483" t="s">
        <v>1124</v>
      </c>
      <c r="DE142" s="483" t="str">
        <f>IFERROR(SUM(VLOOKUP($BS142,'État &amp; Plan d''action'!$B$6:$Z$1113,18,FALSE),VLOOKUP($BS142,'État &amp; Plan d''action'!$B$6:$Z$1113,20,FALSE))/(VLOOKUP($BS142,'Données par municipalité'!$B$4:$L$1113,11,FALSE)),"")</f>
        <v/>
      </c>
      <c r="DF142" s="483" t="str">
        <f>IFERROR(SUM(VLOOKUP($BS142,'État &amp; Plan d''action'!$B$6:$Z$1113,19,FALSE),VLOOKUP($BS142,'État &amp; Plan d''action'!$B$6:$Z$1113,21,FALSE))/(VLOOKUP($BS142,'Données par municipalité'!$B$4:$L$1113,11,FALSE)),"")</f>
        <v/>
      </c>
      <c r="DG142" s="476" t="s">
        <v>4723</v>
      </c>
      <c r="DH142" s="484" t="s">
        <v>1124</v>
      </c>
      <c r="DI142" s="484" t="s">
        <v>1124</v>
      </c>
      <c r="DJ142" s="484">
        <v>0</v>
      </c>
      <c r="DK142" s="484">
        <v>0</v>
      </c>
      <c r="DL142" s="484" t="s">
        <v>1124</v>
      </c>
      <c r="DM142" s="484" t="s">
        <v>1124</v>
      </c>
      <c r="DN142" s="484" t="s">
        <v>1124</v>
      </c>
      <c r="DO142" s="484" t="s">
        <v>1124</v>
      </c>
      <c r="DP142" s="484" t="s">
        <v>1124</v>
      </c>
      <c r="DQ142" s="484" t="str">
        <f>IF(VLOOKUP($BS142,'État &amp; Plan d''action'!$B$6:$AJ$1113,28,FALSE)="","",VLOOKUP($BS142,'État &amp; Plan d''action'!$B$6:$AJ$1113,28,FALSE))</f>
        <v/>
      </c>
      <c r="DR142" s="70" t="str">
        <f>IF(VLOOKUP($BS142,'État &amp; Plan d''action'!$B$6:$AJ$1113,29,FALSE)="","",VLOOKUP($BS142,'État &amp; Plan d''action'!$B$6:$AJ$1113,29,FALSE))</f>
        <v/>
      </c>
      <c r="DS142" s="70" t="str">
        <f>IF(VLOOKUP($BS142,'État &amp; Plan d''action'!$B$6:$AJ$1113,30,FALSE)="","",VLOOKUP($BS142,'État &amp; Plan d''action'!$B$6:$AJ$1113,30,FALSE))</f>
        <v/>
      </c>
      <c r="DT142" s="70" t="s">
        <v>1124</v>
      </c>
      <c r="DU142" s="485" t="s">
        <v>1124</v>
      </c>
      <c r="DV142" s="485" t="s">
        <v>1124</v>
      </c>
      <c r="DW142" s="70" t="s">
        <v>1124</v>
      </c>
      <c r="DX142" s="70" t="s">
        <v>1124</v>
      </c>
      <c r="DY142" s="70" t="s">
        <v>1124</v>
      </c>
      <c r="DZ142" s="70" t="str">
        <f>VLOOKUP($BS142,'État &amp; Plan d''action'!$B$6:$AH$1113,31,FALSE)</f>
        <v/>
      </c>
      <c r="EA142" s="70" t="str">
        <f>VLOOKUP($BS142,'État &amp; Plan d''action'!$B$6:$AH$1113,32,FALSE)</f>
        <v/>
      </c>
      <c r="EB142" s="70" t="str">
        <f>VLOOKUP($BS142,'État &amp; Plan d''action'!$B$6:$AH$1113,33,FALSE)</f>
        <v/>
      </c>
      <c r="EC142" s="70" t="s">
        <v>1124</v>
      </c>
      <c r="ED142" s="70" t="s">
        <v>1124</v>
      </c>
      <c r="EE142" s="70" t="s">
        <v>1124</v>
      </c>
      <c r="EF142" s="70" t="s">
        <v>1124</v>
      </c>
      <c r="EG142" s="70" t="s">
        <v>1124</v>
      </c>
      <c r="EH142" s="72"/>
      <c r="EI142" s="72">
        <v>1870</v>
      </c>
    </row>
    <row r="143" spans="1:139" ht="11.25" hidden="1" customHeight="1" x14ac:dyDescent="0.35">
      <c r="A143" s="370"/>
      <c r="B143" s="2"/>
      <c r="C143" s="2"/>
      <c r="D143" s="2"/>
      <c r="E143" s="2"/>
      <c r="F143" s="2"/>
      <c r="G143" s="2"/>
      <c r="H143" s="2"/>
      <c r="I143" s="2"/>
      <c r="J143" s="2"/>
      <c r="K143" s="2"/>
      <c r="L143" s="2"/>
      <c r="M143" s="2"/>
      <c r="N143" s="2"/>
      <c r="O143" s="95"/>
      <c r="P143" s="95"/>
      <c r="Q143" s="95"/>
      <c r="R143" s="95"/>
      <c r="S143" s="95"/>
      <c r="T143" s="70"/>
      <c r="W143" s="442"/>
      <c r="X143" s="442"/>
      <c r="Y143" s="442"/>
      <c r="Z143" s="442"/>
      <c r="AA143" s="442"/>
      <c r="AB143" s="442"/>
      <c r="AC143" s="442"/>
      <c r="AD143" s="442"/>
      <c r="AE143" s="442"/>
      <c r="AF143" s="442"/>
      <c r="AG143" s="442"/>
      <c r="AH143" s="442"/>
      <c r="AI143" s="442"/>
      <c r="BS143" s="486">
        <v>67025</v>
      </c>
      <c r="BT143" s="479" t="s">
        <v>666</v>
      </c>
      <c r="BU143" s="479">
        <v>16</v>
      </c>
      <c r="BV143" s="476" t="s">
        <v>1187</v>
      </c>
      <c r="BW143" s="476" t="s">
        <v>1187</v>
      </c>
      <c r="BX143" s="476" t="s">
        <v>1187</v>
      </c>
      <c r="BY143" s="476" t="s">
        <v>1187</v>
      </c>
      <c r="BZ143" s="476" t="s">
        <v>1187</v>
      </c>
      <c r="CA143" s="476" t="s">
        <v>1187</v>
      </c>
      <c r="CB143" s="476" t="s">
        <v>1187</v>
      </c>
      <c r="CC143" s="476" t="s">
        <v>1187</v>
      </c>
      <c r="CD143" s="476" t="s">
        <v>1187</v>
      </c>
      <c r="CE143" s="476" t="s">
        <v>1188</v>
      </c>
      <c r="CF143" s="476" t="s">
        <v>1188</v>
      </c>
      <c r="CG143" s="476" t="s">
        <v>1187</v>
      </c>
      <c r="CH143" s="476" t="s">
        <v>1188</v>
      </c>
      <c r="CI143" s="476" t="s">
        <v>1188</v>
      </c>
      <c r="CJ143" s="476" t="s">
        <v>1188</v>
      </c>
      <c r="CK143" s="476" t="s">
        <v>1188</v>
      </c>
      <c r="CL143" s="476" t="s">
        <v>1187</v>
      </c>
      <c r="CM143" s="476" t="str">
        <f>IF(VLOOKUP(BS143,'Données par municipalité'!$B$6:$E$1113,4,FALSE)="","non","oui")</f>
        <v>non</v>
      </c>
      <c r="CN143" s="410">
        <v>537.84228472220877</v>
      </c>
      <c r="CO143" s="410">
        <v>530.57725953191095</v>
      </c>
      <c r="CP143" s="410"/>
      <c r="CQ143" s="410">
        <v>488.24625724422651</v>
      </c>
      <c r="CR143" s="410">
        <v>495.60299819074692</v>
      </c>
      <c r="CS143" s="410">
        <v>536.99464820140565</v>
      </c>
      <c r="CT143" s="410">
        <v>494.47748435636601</v>
      </c>
      <c r="CU143" s="410" t="s">
        <v>1124</v>
      </c>
      <c r="CV143" s="410" t="str">
        <f>IF(VLOOKUP(BS143,'Données par municipalité'!$B$6:$F$1113,4,FALSE)="","",VLOOKUP(BS143,'Données par municipalité'!$B$6:$F$1113,4,FALSE))</f>
        <v/>
      </c>
      <c r="CW143" s="476" t="s">
        <v>4723</v>
      </c>
      <c r="CX143" s="483">
        <v>2</v>
      </c>
      <c r="CY143" s="483" t="s">
        <v>1124</v>
      </c>
      <c r="CZ143" s="483">
        <v>1</v>
      </c>
      <c r="DA143" s="483">
        <v>1</v>
      </c>
      <c r="DB143" s="483">
        <v>1</v>
      </c>
      <c r="DC143" s="483">
        <v>2</v>
      </c>
      <c r="DD143" s="483" t="s">
        <v>1124</v>
      </c>
      <c r="DE143" s="483" t="str">
        <f>IFERROR(SUM(VLOOKUP($BS143,'État &amp; Plan d''action'!$B$6:$Z$1113,18,FALSE),VLOOKUP($BS143,'État &amp; Plan d''action'!$B$6:$Z$1113,20,FALSE))/(VLOOKUP($BS143,'Données par municipalité'!$B$4:$L$1113,11,FALSE)),"")</f>
        <v/>
      </c>
      <c r="DF143" s="483" t="str">
        <f>IFERROR(SUM(VLOOKUP($BS143,'État &amp; Plan d''action'!$B$6:$Z$1113,19,FALSE),VLOOKUP($BS143,'État &amp; Plan d''action'!$B$6:$Z$1113,21,FALSE))/(VLOOKUP($BS143,'Données par municipalité'!$B$4:$L$1113,11,FALSE)),"")</f>
        <v/>
      </c>
      <c r="DG143" s="476" t="s">
        <v>4723</v>
      </c>
      <c r="DH143" s="484">
        <v>14</v>
      </c>
      <c r="DI143" s="484">
        <v>6</v>
      </c>
      <c r="DJ143" s="484">
        <v>3</v>
      </c>
      <c r="DK143" s="484">
        <v>5</v>
      </c>
      <c r="DL143" s="484">
        <v>4</v>
      </c>
      <c r="DM143" s="484">
        <v>4</v>
      </c>
      <c r="DN143" s="484" t="s">
        <v>1124</v>
      </c>
      <c r="DO143" s="484" t="s">
        <v>1124</v>
      </c>
      <c r="DP143" s="484" t="s">
        <v>1124</v>
      </c>
      <c r="DQ143" s="484" t="str">
        <f>IF(VLOOKUP($BS143,'État &amp; Plan d''action'!$B$6:$AJ$1113,28,FALSE)="","",VLOOKUP($BS143,'État &amp; Plan d''action'!$B$6:$AJ$1113,28,FALSE))</f>
        <v/>
      </c>
      <c r="DR143" s="70" t="str">
        <f>IF(VLOOKUP($BS143,'État &amp; Plan d''action'!$B$6:$AJ$1113,29,FALSE)="","",VLOOKUP($BS143,'État &amp; Plan d''action'!$B$6:$AJ$1113,29,FALSE))</f>
        <v/>
      </c>
      <c r="DS143" s="70" t="str">
        <f>IF(VLOOKUP($BS143,'État &amp; Plan d''action'!$B$6:$AJ$1113,30,FALSE)="","",VLOOKUP($BS143,'État &amp; Plan d''action'!$B$6:$AJ$1113,30,FALSE))</f>
        <v/>
      </c>
      <c r="DT143" s="70" t="s">
        <v>1124</v>
      </c>
      <c r="DU143" s="485" t="s">
        <v>1124</v>
      </c>
      <c r="DV143" s="485" t="s">
        <v>1124</v>
      </c>
      <c r="DW143" s="70" t="s">
        <v>1124</v>
      </c>
      <c r="DX143" s="70" t="s">
        <v>1124</v>
      </c>
      <c r="DY143" s="70" t="s">
        <v>1124</v>
      </c>
      <c r="DZ143" s="70" t="str">
        <f>VLOOKUP($BS143,'État &amp; Plan d''action'!$B$6:$AH$1113,31,FALSE)</f>
        <v/>
      </c>
      <c r="EA143" s="70" t="str">
        <f>VLOOKUP($BS143,'État &amp; Plan d''action'!$B$6:$AH$1113,32,FALSE)</f>
        <v/>
      </c>
      <c r="EB143" s="70" t="str">
        <f>VLOOKUP($BS143,'État &amp; Plan d''action'!$B$6:$AH$1113,33,FALSE)</f>
        <v/>
      </c>
      <c r="EC143" s="70" t="s">
        <v>1124</v>
      </c>
      <c r="ED143" s="70" t="s">
        <v>1124</v>
      </c>
      <c r="EE143" s="70" t="s">
        <v>1124</v>
      </c>
      <c r="EF143" s="70" t="s">
        <v>1124</v>
      </c>
      <c r="EG143" s="70" t="s">
        <v>1124</v>
      </c>
      <c r="EH143" s="72"/>
      <c r="EI143" s="72">
        <v>7902</v>
      </c>
    </row>
    <row r="144" spans="1:139" ht="11.25" hidden="1" customHeight="1" x14ac:dyDescent="0.35">
      <c r="A144" s="370"/>
      <c r="B144" s="2"/>
      <c r="C144" s="2"/>
      <c r="D144" s="2"/>
      <c r="E144" s="2"/>
      <c r="F144" s="2"/>
      <c r="G144" s="2"/>
      <c r="H144" s="2"/>
      <c r="I144" s="2"/>
      <c r="J144" s="2"/>
      <c r="K144" s="2"/>
      <c r="L144" s="2"/>
      <c r="M144" s="2"/>
      <c r="N144" s="2"/>
      <c r="O144" s="95"/>
      <c r="P144" s="95"/>
      <c r="Q144" s="95"/>
      <c r="R144" s="95"/>
      <c r="S144" s="95"/>
      <c r="T144" s="70"/>
      <c r="W144" s="442"/>
      <c r="X144" s="442"/>
      <c r="Y144" s="442"/>
      <c r="Z144" s="442"/>
      <c r="AA144" s="442"/>
      <c r="AB144" s="442"/>
      <c r="AC144" s="442"/>
      <c r="AD144" s="442"/>
      <c r="AE144" s="442"/>
      <c r="AF144" s="442"/>
      <c r="AG144" s="442"/>
      <c r="AH144" s="442"/>
      <c r="AI144" s="442"/>
      <c r="BS144" s="486">
        <v>83005</v>
      </c>
      <c r="BT144" s="479" t="s">
        <v>835</v>
      </c>
      <c r="BU144" s="479">
        <v>7</v>
      </c>
      <c r="BV144" s="476" t="s">
        <v>1188</v>
      </c>
      <c r="BW144" s="476" t="s">
        <v>1188</v>
      </c>
      <c r="BX144" s="476" t="s">
        <v>1188</v>
      </c>
      <c r="BY144" s="476" t="s">
        <v>1188</v>
      </c>
      <c r="BZ144" s="476" t="s">
        <v>1188</v>
      </c>
      <c r="CA144" s="476" t="s">
        <v>1188</v>
      </c>
      <c r="CB144" s="476" t="s">
        <v>1188</v>
      </c>
      <c r="CC144" s="476" t="s">
        <v>1188</v>
      </c>
      <c r="CD144" s="476" t="s">
        <v>1188</v>
      </c>
      <c r="CE144" s="476" t="s">
        <v>1188</v>
      </c>
      <c r="CF144" s="476" t="s">
        <v>1187</v>
      </c>
      <c r="CG144" s="476" t="s">
        <v>1187</v>
      </c>
      <c r="CH144" s="476" t="s">
        <v>1187</v>
      </c>
      <c r="CI144" s="476" t="s">
        <v>1188</v>
      </c>
      <c r="CJ144" s="476" t="s">
        <v>1187</v>
      </c>
      <c r="CK144" s="476" t="s">
        <v>1187</v>
      </c>
      <c r="CL144" s="476" t="s">
        <v>1187</v>
      </c>
      <c r="CM144" s="476" t="str">
        <f>IF(VLOOKUP(BS144,'Données par municipalité'!$B$6:$E$1113,4,FALSE)="","non","oui")</f>
        <v>non</v>
      </c>
      <c r="CN144" s="410">
        <v>264.86151483204276</v>
      </c>
      <c r="CO144" s="410" t="s">
        <v>1124</v>
      </c>
      <c r="CP144" s="410"/>
      <c r="CQ144" s="410"/>
      <c r="CR144" s="410">
        <v>268.96568386097596</v>
      </c>
      <c r="CS144" s="410" t="s">
        <v>1124</v>
      </c>
      <c r="CT144" s="410"/>
      <c r="CU144" s="410" t="s">
        <v>1124</v>
      </c>
      <c r="CV144" s="410" t="str">
        <f>IF(VLOOKUP(BS144,'Données par municipalité'!$B$6:$F$1113,4,FALSE)="","",VLOOKUP(BS144,'Données par municipalité'!$B$6:$F$1113,4,FALSE))</f>
        <v/>
      </c>
      <c r="CW144" s="476" t="s">
        <v>4723</v>
      </c>
      <c r="CX144" s="483" t="s">
        <v>1124</v>
      </c>
      <c r="CY144" s="483" t="s">
        <v>1124</v>
      </c>
      <c r="CZ144" s="483" t="s">
        <v>1124</v>
      </c>
      <c r="DA144" s="483">
        <v>0</v>
      </c>
      <c r="DB144" s="483" t="s">
        <v>1124</v>
      </c>
      <c r="DC144" s="483" t="s">
        <v>1124</v>
      </c>
      <c r="DD144" s="483" t="s">
        <v>1124</v>
      </c>
      <c r="DE144" s="483" t="str">
        <f>IFERROR(SUM(VLOOKUP($BS144,'État &amp; Plan d''action'!$B$6:$Z$1113,18,FALSE),VLOOKUP($BS144,'État &amp; Plan d''action'!$B$6:$Z$1113,20,FALSE))/(VLOOKUP($BS144,'Données par municipalité'!$B$4:$L$1113,11,FALSE)),"")</f>
        <v/>
      </c>
      <c r="DF144" s="483" t="str">
        <f>IFERROR(SUM(VLOOKUP($BS144,'État &amp; Plan d''action'!$B$6:$Z$1113,19,FALSE),VLOOKUP($BS144,'État &amp; Plan d''action'!$B$6:$Z$1113,21,FALSE))/(VLOOKUP($BS144,'Données par municipalité'!$B$4:$L$1113,11,FALSE)),"")</f>
        <v/>
      </c>
      <c r="DG144" s="476" t="s">
        <v>4723</v>
      </c>
      <c r="DH144" s="484" t="s">
        <v>1124</v>
      </c>
      <c r="DI144" s="484" t="s">
        <v>1124</v>
      </c>
      <c r="DJ144" s="484">
        <v>0</v>
      </c>
      <c r="DK144" s="484">
        <v>0</v>
      </c>
      <c r="DL144" s="484" t="s">
        <v>1124</v>
      </c>
      <c r="DM144" s="484" t="s">
        <v>1124</v>
      </c>
      <c r="DN144" s="484" t="s">
        <v>1124</v>
      </c>
      <c r="DO144" s="484" t="s">
        <v>1124</v>
      </c>
      <c r="DP144" s="484" t="s">
        <v>1124</v>
      </c>
      <c r="DQ144" s="484" t="str">
        <f>IF(VLOOKUP($BS144,'État &amp; Plan d''action'!$B$6:$AJ$1113,28,FALSE)="","",VLOOKUP($BS144,'État &amp; Plan d''action'!$B$6:$AJ$1113,28,FALSE))</f>
        <v/>
      </c>
      <c r="DR144" s="70" t="str">
        <f>IF(VLOOKUP($BS144,'État &amp; Plan d''action'!$B$6:$AJ$1113,29,FALSE)="","",VLOOKUP($BS144,'État &amp; Plan d''action'!$B$6:$AJ$1113,29,FALSE))</f>
        <v/>
      </c>
      <c r="DS144" s="70" t="str">
        <f>IF(VLOOKUP($BS144,'État &amp; Plan d''action'!$B$6:$AJ$1113,30,FALSE)="","",VLOOKUP($BS144,'État &amp; Plan d''action'!$B$6:$AJ$1113,30,FALSE))</f>
        <v/>
      </c>
      <c r="DT144" s="70" t="s">
        <v>1124</v>
      </c>
      <c r="DU144" s="485" t="s">
        <v>1124</v>
      </c>
      <c r="DV144" s="485" t="s">
        <v>1124</v>
      </c>
      <c r="DW144" s="70" t="s">
        <v>1124</v>
      </c>
      <c r="DX144" s="70" t="s">
        <v>1124</v>
      </c>
      <c r="DY144" s="70" t="s">
        <v>1124</v>
      </c>
      <c r="DZ144" s="70" t="str">
        <f>VLOOKUP($BS144,'État &amp; Plan d''action'!$B$6:$AH$1113,31,FALSE)</f>
        <v/>
      </c>
      <c r="EA144" s="70" t="str">
        <f>VLOOKUP($BS144,'État &amp; Plan d''action'!$B$6:$AH$1113,32,FALSE)</f>
        <v/>
      </c>
      <c r="EB144" s="70" t="str">
        <f>VLOOKUP($BS144,'État &amp; Plan d''action'!$B$6:$AH$1113,33,FALSE)</f>
        <v/>
      </c>
      <c r="EC144" s="70" t="s">
        <v>1124</v>
      </c>
      <c r="ED144" s="70" t="s">
        <v>1124</v>
      </c>
      <c r="EE144" s="70" t="s">
        <v>1124</v>
      </c>
      <c r="EF144" s="70" t="s">
        <v>1124</v>
      </c>
      <c r="EG144" s="70" t="s">
        <v>1124</v>
      </c>
      <c r="EH144" s="72"/>
      <c r="EI144" s="72">
        <v>515</v>
      </c>
    </row>
    <row r="145" spans="1:139" ht="11.25" hidden="1" customHeight="1" x14ac:dyDescent="0.35">
      <c r="A145" s="370"/>
      <c r="B145" s="2"/>
      <c r="C145" s="2"/>
      <c r="D145" s="2"/>
      <c r="E145" s="2"/>
      <c r="F145" s="2"/>
      <c r="G145" s="2"/>
      <c r="H145" s="2"/>
      <c r="I145" s="2"/>
      <c r="J145" s="2"/>
      <c r="K145" s="2"/>
      <c r="L145" s="2"/>
      <c r="M145" s="2"/>
      <c r="N145" s="2"/>
      <c r="O145" s="95"/>
      <c r="P145" s="95"/>
      <c r="Q145" s="95"/>
      <c r="R145" s="95"/>
      <c r="S145" s="95"/>
      <c r="T145" s="70"/>
      <c r="W145" s="442"/>
      <c r="X145" s="442"/>
      <c r="Y145" s="442"/>
      <c r="Z145" s="442"/>
      <c r="AA145" s="442"/>
      <c r="AB145" s="442"/>
      <c r="AC145" s="442"/>
      <c r="AD145" s="442"/>
      <c r="AE145" s="442"/>
      <c r="AF145" s="442"/>
      <c r="AG145" s="442"/>
      <c r="AH145" s="442"/>
      <c r="AI145" s="442"/>
      <c r="BS145" s="486">
        <v>93005</v>
      </c>
      <c r="BT145" s="479" t="s">
        <v>958</v>
      </c>
      <c r="BU145" s="479">
        <v>2</v>
      </c>
      <c r="BV145" s="476" t="s">
        <v>1187</v>
      </c>
      <c r="BW145" s="476" t="s">
        <v>1187</v>
      </c>
      <c r="BX145" s="476" t="s">
        <v>1187</v>
      </c>
      <c r="BY145" s="476" t="s">
        <v>1187</v>
      </c>
      <c r="BZ145" s="476" t="s">
        <v>1187</v>
      </c>
      <c r="CA145" s="476" t="s">
        <v>1187</v>
      </c>
      <c r="CB145" s="476" t="s">
        <v>1187</v>
      </c>
      <c r="CC145" s="476" t="s">
        <v>1187</v>
      </c>
      <c r="CD145" s="476" t="s">
        <v>1187</v>
      </c>
      <c r="CE145" s="476" t="s">
        <v>1188</v>
      </c>
      <c r="CF145" s="476" t="s">
        <v>1188</v>
      </c>
      <c r="CG145" s="476" t="s">
        <v>1187</v>
      </c>
      <c r="CH145" s="476" t="s">
        <v>1188</v>
      </c>
      <c r="CI145" s="476" t="s">
        <v>1188</v>
      </c>
      <c r="CJ145" s="476" t="s">
        <v>1188</v>
      </c>
      <c r="CK145" s="476" t="s">
        <v>1188</v>
      </c>
      <c r="CL145" s="476" t="s">
        <v>1187</v>
      </c>
      <c r="CM145" s="476" t="str">
        <f>IF(VLOOKUP(BS145,'Données par municipalité'!$B$6:$E$1113,4,FALSE)="","non","oui")</f>
        <v>oui</v>
      </c>
      <c r="CN145" s="410">
        <v>465.38535337718474</v>
      </c>
      <c r="CO145" s="410">
        <v>388.58589308253488</v>
      </c>
      <c r="CP145" s="410"/>
      <c r="CQ145" s="410">
        <v>409.6634989803681</v>
      </c>
      <c r="CR145" s="410">
        <v>547.88274022574944</v>
      </c>
      <c r="CS145" s="410">
        <v>320.23833747666612</v>
      </c>
      <c r="CT145" s="410">
        <v>377.00423968314487</v>
      </c>
      <c r="CU145" s="410" t="s">
        <v>1124</v>
      </c>
      <c r="CV145" s="410">
        <f>IF(VLOOKUP(BS145,'Données par municipalité'!$B$6:$F$1113,4,FALSE)="","",VLOOKUP(BS145,'Données par municipalité'!$B$6:$F$1113,4,FALSE))</f>
        <v>449</v>
      </c>
      <c r="CW145" s="476" t="s">
        <v>4723</v>
      </c>
      <c r="CX145" s="483">
        <v>0</v>
      </c>
      <c r="CY145" s="483" t="s">
        <v>1124</v>
      </c>
      <c r="CZ145" s="483">
        <v>0.01</v>
      </c>
      <c r="DA145" s="483">
        <v>1</v>
      </c>
      <c r="DB145" s="483">
        <v>1</v>
      </c>
      <c r="DC145" s="483">
        <v>1</v>
      </c>
      <c r="DD145" s="483" t="s">
        <v>1124</v>
      </c>
      <c r="DE145" s="483">
        <f>IFERROR(SUM(VLOOKUP($BS145,'État &amp; Plan d''action'!$B$6:$Z$1113,18,FALSE),VLOOKUP($BS145,'État &amp; Plan d''action'!$B$6:$Z$1113,20,FALSE))/(VLOOKUP($BS145,'Données par municipalité'!$B$4:$L$1113,11,FALSE)),"")</f>
        <v>0.9987216363055289</v>
      </c>
      <c r="DF145" s="483">
        <f>IFERROR(SUM(VLOOKUP($BS145,'État &amp; Plan d''action'!$B$6:$Z$1113,19,FALSE),VLOOKUP($BS145,'État &amp; Plan d''action'!$B$6:$Z$1113,21,FALSE))/(VLOOKUP($BS145,'Données par municipalité'!$B$4:$L$1113,11,FALSE)),"")</f>
        <v>0.9987216363055289</v>
      </c>
      <c r="DG145" s="476" t="s">
        <v>4723</v>
      </c>
      <c r="DH145" s="484">
        <v>0</v>
      </c>
      <c r="DI145" s="484">
        <v>1</v>
      </c>
      <c r="DJ145" s="484">
        <v>0</v>
      </c>
      <c r="DK145" s="484">
        <v>0</v>
      </c>
      <c r="DL145" s="484">
        <v>4</v>
      </c>
      <c r="DM145" s="484">
        <v>2</v>
      </c>
      <c r="DN145" s="484" t="s">
        <v>1124</v>
      </c>
      <c r="DO145" s="484" t="s">
        <v>1124</v>
      </c>
      <c r="DP145" s="484" t="s">
        <v>1124</v>
      </c>
      <c r="DQ145" s="484">
        <f>IF(VLOOKUP($BS145,'État &amp; Plan d''action'!$B$6:$AJ$1113,28,FALSE)="","",VLOOKUP($BS145,'État &amp; Plan d''action'!$B$6:$AJ$1113,28,FALSE))</f>
        <v>2</v>
      </c>
      <c r="DR145" s="70">
        <f>IF(VLOOKUP($BS145,'État &amp; Plan d''action'!$B$6:$AJ$1113,29,FALSE)="","",VLOOKUP($BS145,'État &amp; Plan d''action'!$B$6:$AJ$1113,29,FALSE))</f>
        <v>0</v>
      </c>
      <c r="DS145" s="70">
        <f>IF(VLOOKUP($BS145,'État &amp; Plan d''action'!$B$6:$AJ$1113,30,FALSE)="","",VLOOKUP($BS145,'État &amp; Plan d''action'!$B$6:$AJ$1113,30,FALSE))</f>
        <v>1</v>
      </c>
      <c r="DT145" s="70" t="s">
        <v>1124</v>
      </c>
      <c r="DU145" s="485" t="s">
        <v>1124</v>
      </c>
      <c r="DV145" s="485">
        <v>2.7715914402298258</v>
      </c>
      <c r="DW145" s="70" t="s">
        <v>1124</v>
      </c>
      <c r="DX145" s="70" t="s">
        <v>1124</v>
      </c>
      <c r="DY145" s="70" t="s">
        <v>1124</v>
      </c>
      <c r="DZ145" s="70">
        <f>VLOOKUP($BS145,'État &amp; Plan d''action'!$B$6:$AH$1113,31,FALSE)</f>
        <v>1</v>
      </c>
      <c r="EA145" s="70">
        <f>VLOOKUP($BS145,'État &amp; Plan d''action'!$B$6:$AH$1113,32,FALSE)</f>
        <v>0</v>
      </c>
      <c r="EB145" s="70">
        <f>VLOOKUP($BS145,'État &amp; Plan d''action'!$B$6:$AH$1113,33,FALSE)</f>
        <v>1</v>
      </c>
      <c r="EC145" s="70" t="s">
        <v>1124</v>
      </c>
      <c r="ED145" s="70" t="s">
        <v>1124</v>
      </c>
      <c r="EE145" s="70" t="s">
        <v>1124</v>
      </c>
      <c r="EF145" s="70" t="s">
        <v>1124</v>
      </c>
      <c r="EG145" s="70" t="s">
        <v>1124</v>
      </c>
      <c r="EH145" s="72"/>
      <c r="EI145" s="72">
        <v>1053</v>
      </c>
    </row>
    <row r="146" spans="1:139" ht="11.25" hidden="1" customHeight="1" x14ac:dyDescent="0.35">
      <c r="A146" s="370"/>
      <c r="B146" s="2"/>
      <c r="C146" s="2"/>
      <c r="D146" s="2"/>
      <c r="E146" s="2"/>
      <c r="F146" s="2"/>
      <c r="G146" s="2"/>
      <c r="H146" s="2"/>
      <c r="I146" s="2"/>
      <c r="J146" s="2"/>
      <c r="K146" s="2"/>
      <c r="L146" s="2"/>
      <c r="M146" s="2"/>
      <c r="N146" s="2"/>
      <c r="O146" s="95"/>
      <c r="P146" s="95"/>
      <c r="Q146" s="95"/>
      <c r="R146" s="95"/>
      <c r="S146" s="95"/>
      <c r="T146" s="70"/>
      <c r="W146" s="442"/>
      <c r="X146" s="442"/>
      <c r="Y146" s="442"/>
      <c r="Z146" s="442"/>
      <c r="AA146" s="442"/>
      <c r="AB146" s="442"/>
      <c r="AC146" s="442"/>
      <c r="AD146" s="442"/>
      <c r="AE146" s="442"/>
      <c r="AF146" s="442"/>
      <c r="AG146" s="442"/>
      <c r="AH146" s="442"/>
      <c r="AI146" s="442"/>
      <c r="BS146" s="486">
        <v>38070</v>
      </c>
      <c r="BT146" s="479" t="s">
        <v>336</v>
      </c>
      <c r="BU146" s="479">
        <v>17</v>
      </c>
      <c r="BV146" s="476" t="s">
        <v>1187</v>
      </c>
      <c r="BW146" s="476" t="s">
        <v>1187</v>
      </c>
      <c r="BX146" s="476" t="s">
        <v>1187</v>
      </c>
      <c r="BY146" s="476" t="s">
        <v>1187</v>
      </c>
      <c r="BZ146" s="476" t="s">
        <v>1187</v>
      </c>
      <c r="CA146" s="476" t="s">
        <v>1187</v>
      </c>
      <c r="CB146" s="476" t="s">
        <v>1187</v>
      </c>
      <c r="CC146" s="476" t="s">
        <v>1187</v>
      </c>
      <c r="CD146" s="476" t="s">
        <v>1187</v>
      </c>
      <c r="CE146" s="476" t="s">
        <v>1188</v>
      </c>
      <c r="CF146" s="476" t="s">
        <v>1188</v>
      </c>
      <c r="CG146" s="476" t="s">
        <v>1188</v>
      </c>
      <c r="CH146" s="476" t="s">
        <v>1188</v>
      </c>
      <c r="CI146" s="476" t="s">
        <v>1188</v>
      </c>
      <c r="CJ146" s="476" t="s">
        <v>1188</v>
      </c>
      <c r="CK146" s="476" t="s">
        <v>1188</v>
      </c>
      <c r="CL146" s="476" t="s">
        <v>1188</v>
      </c>
      <c r="CM146" s="476" t="str">
        <f>IF(VLOOKUP(BS146,'Données par municipalité'!$B$6:$E$1113,4,FALSE)="","non","oui")</f>
        <v>oui</v>
      </c>
      <c r="CN146" s="410">
        <v>411.96516518512232</v>
      </c>
      <c r="CO146" s="410">
        <v>458.00881943759748</v>
      </c>
      <c r="CP146" s="410">
        <v>422.06849210426901</v>
      </c>
      <c r="CQ146" s="410">
        <v>382.74189092895477</v>
      </c>
      <c r="CR146" s="410">
        <v>397.85906635221704</v>
      </c>
      <c r="CS146" s="410">
        <v>386.40147286366221</v>
      </c>
      <c r="CT146" s="410">
        <v>402.14638120907938</v>
      </c>
      <c r="CU146" s="410">
        <v>453</v>
      </c>
      <c r="CV146" s="410">
        <f>IF(VLOOKUP(BS146,'Données par municipalité'!$B$6:$F$1113,4,FALSE)="","",VLOOKUP(BS146,'Données par municipalité'!$B$6:$F$1113,4,FALSE))</f>
        <v>435</v>
      </c>
      <c r="CW146" s="476" t="s">
        <v>4723</v>
      </c>
      <c r="CX146" s="483">
        <v>0</v>
      </c>
      <c r="CY146" s="483">
        <v>1</v>
      </c>
      <c r="CZ146" s="483">
        <v>1</v>
      </c>
      <c r="DA146" s="483">
        <v>1</v>
      </c>
      <c r="DB146" s="483">
        <v>1</v>
      </c>
      <c r="DC146" s="483">
        <v>1</v>
      </c>
      <c r="DD146" s="483">
        <v>0.33506944444444442</v>
      </c>
      <c r="DE146" s="483">
        <f>IFERROR(SUM(VLOOKUP($BS146,'État &amp; Plan d''action'!$B$6:$Z$1113,18,FALSE),VLOOKUP($BS146,'État &amp; Plan d''action'!$B$6:$Z$1113,20,FALSE))/(VLOOKUP($BS146,'Données par municipalité'!$B$4:$L$1113,11,FALSE)),"")</f>
        <v>0.33506944444444442</v>
      </c>
      <c r="DF146" s="483">
        <f>IFERROR(SUM(VLOOKUP($BS146,'État &amp; Plan d''action'!$B$6:$Z$1113,19,FALSE),VLOOKUP($BS146,'État &amp; Plan d''action'!$B$6:$Z$1113,21,FALSE))/(VLOOKUP($BS146,'Données par municipalité'!$B$4:$L$1113,11,FALSE)),"")</f>
        <v>0.33506944444444442</v>
      </c>
      <c r="DG146" s="476" t="s">
        <v>4723</v>
      </c>
      <c r="DH146" s="484">
        <v>4</v>
      </c>
      <c r="DI146" s="484">
        <v>8</v>
      </c>
      <c r="DJ146" s="484">
        <v>4</v>
      </c>
      <c r="DK146" s="484">
        <v>5</v>
      </c>
      <c r="DL146" s="484">
        <v>5</v>
      </c>
      <c r="DM146" s="484">
        <v>1</v>
      </c>
      <c r="DN146" s="484">
        <v>2</v>
      </c>
      <c r="DO146" s="484">
        <v>1</v>
      </c>
      <c r="DP146" s="484">
        <v>1</v>
      </c>
      <c r="DQ146" s="484">
        <f>IF(VLOOKUP($BS146,'État &amp; Plan d''action'!$B$6:$AJ$1113,28,FALSE)="","",VLOOKUP($BS146,'État &amp; Plan d''action'!$B$6:$AJ$1113,28,FALSE))</f>
        <v>2</v>
      </c>
      <c r="DR146" s="70">
        <f>IF(VLOOKUP($BS146,'État &amp; Plan d''action'!$B$6:$AJ$1113,29,FALSE)="","",VLOOKUP($BS146,'État &amp; Plan d''action'!$B$6:$AJ$1113,29,FALSE))</f>
        <v>1</v>
      </c>
      <c r="DS146" s="70">
        <f>IF(VLOOKUP($BS146,'État &amp; Plan d''action'!$B$6:$AJ$1113,30,FALSE)="","",VLOOKUP($BS146,'État &amp; Plan d''action'!$B$6:$AJ$1113,30,FALSE))</f>
        <v>3</v>
      </c>
      <c r="DT146" s="70">
        <v>279</v>
      </c>
      <c r="DU146" s="485">
        <v>1.0129150937155438</v>
      </c>
      <c r="DV146" s="485">
        <v>0.81166226151714205</v>
      </c>
      <c r="DW146" s="70">
        <v>1</v>
      </c>
      <c r="DX146" s="70">
        <v>3</v>
      </c>
      <c r="DY146" s="70">
        <v>5</v>
      </c>
      <c r="DZ146" s="70">
        <f>VLOOKUP($BS146,'État &amp; Plan d''action'!$B$6:$AH$1113,31,FALSE)</f>
        <v>2</v>
      </c>
      <c r="EA146" s="70">
        <f>VLOOKUP($BS146,'État &amp; Plan d''action'!$B$6:$AH$1113,32,FALSE)</f>
        <v>3</v>
      </c>
      <c r="EB146" s="70">
        <f>VLOOKUP($BS146,'État &amp; Plan d''action'!$B$6:$AH$1113,33,FALSE)</f>
        <v>5</v>
      </c>
      <c r="EC146" s="70">
        <v>5.79</v>
      </c>
      <c r="ED146" s="70">
        <v>5.79</v>
      </c>
      <c r="EE146" s="70">
        <v>0</v>
      </c>
      <c r="EF146" s="70">
        <v>0</v>
      </c>
      <c r="EG146" s="70">
        <v>0</v>
      </c>
      <c r="EH146" s="72">
        <v>61.540540540540547</v>
      </c>
      <c r="EI146" s="72">
        <v>880</v>
      </c>
    </row>
    <row r="147" spans="1:139" ht="11.25" hidden="1" customHeight="1" x14ac:dyDescent="0.35">
      <c r="A147" s="370"/>
      <c r="B147" s="2"/>
      <c r="C147" s="2"/>
      <c r="D147" s="2"/>
      <c r="E147" s="2"/>
      <c r="F147" s="2"/>
      <c r="G147" s="2"/>
      <c r="H147" s="2"/>
      <c r="I147" s="2"/>
      <c r="J147" s="2"/>
      <c r="K147" s="2"/>
      <c r="L147" s="2"/>
      <c r="M147" s="2"/>
      <c r="N147" s="2"/>
      <c r="O147" s="95"/>
      <c r="P147" s="95"/>
      <c r="Q147" s="95"/>
      <c r="R147" s="95"/>
      <c r="S147" s="95"/>
      <c r="T147" s="70"/>
      <c r="W147" s="442"/>
      <c r="X147" s="442"/>
      <c r="Y147" s="442"/>
      <c r="Z147" s="442"/>
      <c r="AA147" s="442"/>
      <c r="AB147" s="442"/>
      <c r="AC147" s="442"/>
      <c r="AD147" s="442"/>
      <c r="AE147" s="442"/>
      <c r="AF147" s="442"/>
      <c r="AG147" s="442"/>
      <c r="AH147" s="442"/>
      <c r="AI147" s="442"/>
      <c r="BS147" s="486">
        <v>34058</v>
      </c>
      <c r="BT147" s="479" t="s">
        <v>291</v>
      </c>
      <c r="BU147" s="479">
        <v>3</v>
      </c>
      <c r="BV147" s="476" t="s">
        <v>1187</v>
      </c>
      <c r="BW147" s="476" t="s">
        <v>1187</v>
      </c>
      <c r="BX147" s="476" t="s">
        <v>1187</v>
      </c>
      <c r="BY147" s="476" t="s">
        <v>1187</v>
      </c>
      <c r="BZ147" s="476" t="s">
        <v>1187</v>
      </c>
      <c r="CA147" s="476" t="s">
        <v>1187</v>
      </c>
      <c r="CB147" s="476" t="s">
        <v>1187</v>
      </c>
      <c r="CC147" s="476" t="s">
        <v>1187</v>
      </c>
      <c r="CD147" s="476" t="s">
        <v>1187</v>
      </c>
      <c r="CE147" s="476" t="s">
        <v>1188</v>
      </c>
      <c r="CF147" s="476" t="s">
        <v>1188</v>
      </c>
      <c r="CG147" s="476" t="s">
        <v>1188</v>
      </c>
      <c r="CH147" s="476" t="s">
        <v>1188</v>
      </c>
      <c r="CI147" s="476" t="s">
        <v>1188</v>
      </c>
      <c r="CJ147" s="476" t="s">
        <v>1188</v>
      </c>
      <c r="CK147" s="476" t="s">
        <v>1188</v>
      </c>
      <c r="CL147" s="476" t="s">
        <v>1188</v>
      </c>
      <c r="CM147" s="476" t="str">
        <f>IF(VLOOKUP(BS147,'Données par municipalité'!$B$6:$E$1113,4,FALSE)="","non","oui")</f>
        <v>oui</v>
      </c>
      <c r="CN147" s="410">
        <v>530.82399966690252</v>
      </c>
      <c r="CO147" s="410">
        <v>525.66809373223589</v>
      </c>
      <c r="CP147" s="410">
        <v>408.0955318551035</v>
      </c>
      <c r="CQ147" s="410">
        <v>356.62547827010633</v>
      </c>
      <c r="CR147" s="410">
        <v>369.17862333497698</v>
      </c>
      <c r="CS147" s="410">
        <v>378.46735385675913</v>
      </c>
      <c r="CT147" s="410">
        <v>365.09177595685384</v>
      </c>
      <c r="CU147" s="410">
        <v>505</v>
      </c>
      <c r="CV147" s="410">
        <f>IF(VLOOKUP(BS147,'Données par municipalité'!$B$6:$F$1113,4,FALSE)="","",VLOOKUP(BS147,'Données par municipalité'!$B$6:$F$1113,4,FALSE))</f>
        <v>506</v>
      </c>
      <c r="CW147" s="476" t="s">
        <v>4723</v>
      </c>
      <c r="CX147" s="483">
        <v>1</v>
      </c>
      <c r="CY147" s="483">
        <v>1</v>
      </c>
      <c r="CZ147" s="483">
        <v>1</v>
      </c>
      <c r="DA147" s="483">
        <v>1</v>
      </c>
      <c r="DB147" s="483">
        <v>1</v>
      </c>
      <c r="DC147" s="483">
        <v>1</v>
      </c>
      <c r="DD147" s="483">
        <v>0</v>
      </c>
      <c r="DE147" s="483">
        <f>IFERROR(SUM(VLOOKUP($BS147,'État &amp; Plan d''action'!$B$6:$Z$1113,18,FALSE),VLOOKUP($BS147,'État &amp; Plan d''action'!$B$6:$Z$1113,20,FALSE))/(VLOOKUP($BS147,'Données par municipalité'!$B$4:$L$1113,11,FALSE)),"")</f>
        <v>1</v>
      </c>
      <c r="DF147" s="483">
        <f>IFERROR(SUM(VLOOKUP($BS147,'État &amp; Plan d''action'!$B$6:$Z$1113,19,FALSE),VLOOKUP($BS147,'État &amp; Plan d''action'!$B$6:$Z$1113,21,FALSE))/(VLOOKUP($BS147,'Données par municipalité'!$B$4:$L$1113,11,FALSE)),"")</f>
        <v>0</v>
      </c>
      <c r="DG147" s="476" t="s">
        <v>4723</v>
      </c>
      <c r="DH147" s="484">
        <v>10</v>
      </c>
      <c r="DI147" s="484">
        <v>6</v>
      </c>
      <c r="DJ147" s="484">
        <v>3</v>
      </c>
      <c r="DK147" s="484">
        <v>3</v>
      </c>
      <c r="DL147" s="484">
        <v>1</v>
      </c>
      <c r="DM147" s="484">
        <v>5</v>
      </c>
      <c r="DN147" s="484">
        <v>1</v>
      </c>
      <c r="DO147" s="484">
        <v>0</v>
      </c>
      <c r="DP147" s="484">
        <v>1</v>
      </c>
      <c r="DQ147" s="484">
        <f>IF(VLOOKUP($BS147,'État &amp; Plan d''action'!$B$6:$AJ$1113,28,FALSE)="","",VLOOKUP($BS147,'État &amp; Plan d''action'!$B$6:$AJ$1113,28,FALSE))</f>
        <v>1</v>
      </c>
      <c r="DR147" s="70">
        <f>IF(VLOOKUP($BS147,'État &amp; Plan d''action'!$B$6:$AJ$1113,29,FALSE)="","",VLOOKUP($BS147,'État &amp; Plan d''action'!$B$6:$AJ$1113,29,FALSE))</f>
        <v>5</v>
      </c>
      <c r="DS147" s="70">
        <f>IF(VLOOKUP($BS147,'État &amp; Plan d''action'!$B$6:$AJ$1113,30,FALSE)="","",VLOOKUP($BS147,'État &amp; Plan d''action'!$B$6:$AJ$1113,30,FALSE))</f>
        <v>1</v>
      </c>
      <c r="DT147" s="70">
        <v>295</v>
      </c>
      <c r="DU147" s="485">
        <v>2.0905076100794728</v>
      </c>
      <c r="DV147" s="485">
        <v>2.4204604064185529</v>
      </c>
      <c r="DW147" s="70">
        <v>1</v>
      </c>
      <c r="DX147" s="70">
        <v>0</v>
      </c>
      <c r="DY147" s="70">
        <v>1</v>
      </c>
      <c r="DZ147" s="70">
        <f>VLOOKUP($BS147,'État &amp; Plan d''action'!$B$6:$AH$1113,31,FALSE)</f>
        <v>1</v>
      </c>
      <c r="EA147" s="70">
        <f>VLOOKUP($BS147,'État &amp; Plan d''action'!$B$6:$AH$1113,32,FALSE)</f>
        <v>1</v>
      </c>
      <c r="EB147" s="70">
        <f>VLOOKUP($BS147,'État &amp; Plan d''action'!$B$6:$AH$1113,33,FALSE)</f>
        <v>1</v>
      </c>
      <c r="EC147" s="70">
        <v>0</v>
      </c>
      <c r="ED147" s="70">
        <v>0</v>
      </c>
      <c r="EE147" s="70">
        <v>0</v>
      </c>
      <c r="EF147" s="70">
        <v>0</v>
      </c>
      <c r="EG147" s="70">
        <v>0</v>
      </c>
      <c r="EH147" s="72">
        <v>52</v>
      </c>
      <c r="EI147" s="72">
        <v>2239</v>
      </c>
    </row>
    <row r="148" spans="1:139" ht="11.25" hidden="1" customHeight="1" x14ac:dyDescent="0.35">
      <c r="A148" s="370"/>
      <c r="B148" s="2"/>
      <c r="C148" s="2"/>
      <c r="D148" s="2"/>
      <c r="E148" s="2"/>
      <c r="F148" s="2"/>
      <c r="G148" s="2"/>
      <c r="H148" s="2"/>
      <c r="I148" s="2"/>
      <c r="J148" s="2"/>
      <c r="K148" s="2"/>
      <c r="L148" s="2"/>
      <c r="M148" s="2"/>
      <c r="N148" s="2"/>
      <c r="O148" s="95"/>
      <c r="P148" s="95"/>
      <c r="Q148" s="95"/>
      <c r="R148" s="95"/>
      <c r="S148" s="95"/>
      <c r="T148" s="70"/>
      <c r="W148" s="442"/>
      <c r="X148" s="442"/>
      <c r="Y148" s="442"/>
      <c r="Z148" s="443"/>
      <c r="AA148" s="442"/>
      <c r="AB148" s="505"/>
      <c r="AC148" s="442"/>
      <c r="AD148" s="442"/>
      <c r="AE148" s="442"/>
      <c r="AF148" s="442"/>
      <c r="AG148" s="442"/>
      <c r="AH148" s="442"/>
      <c r="AI148" s="442"/>
      <c r="BS148" s="486">
        <v>72010</v>
      </c>
      <c r="BT148" s="479" t="s">
        <v>728</v>
      </c>
      <c r="BU148" s="479">
        <v>15</v>
      </c>
      <c r="BV148" s="476" t="s">
        <v>1187</v>
      </c>
      <c r="BW148" s="476" t="s">
        <v>1187</v>
      </c>
      <c r="BX148" s="476" t="s">
        <v>1187</v>
      </c>
      <c r="BY148" s="476" t="s">
        <v>1187</v>
      </c>
      <c r="BZ148" s="476" t="s">
        <v>1187</v>
      </c>
      <c r="CA148" s="476" t="s">
        <v>1187</v>
      </c>
      <c r="CB148" s="476" t="s">
        <v>1187</v>
      </c>
      <c r="CC148" s="476" t="s">
        <v>1187</v>
      </c>
      <c r="CD148" s="476" t="s">
        <v>1187</v>
      </c>
      <c r="CE148" s="476" t="s">
        <v>1188</v>
      </c>
      <c r="CF148" s="476" t="s">
        <v>1188</v>
      </c>
      <c r="CG148" s="476" t="s">
        <v>1188</v>
      </c>
      <c r="CH148" s="476" t="s">
        <v>1188</v>
      </c>
      <c r="CI148" s="476" t="s">
        <v>1188</v>
      </c>
      <c r="CJ148" s="476" t="s">
        <v>1188</v>
      </c>
      <c r="CK148" s="476" t="s">
        <v>1188</v>
      </c>
      <c r="CL148" s="476" t="s">
        <v>1188</v>
      </c>
      <c r="CM148" s="476" t="str">
        <f>IF(VLOOKUP(BS148,'Données par municipalité'!$B$6:$E$1113,4,FALSE)="","non","oui")</f>
        <v>oui</v>
      </c>
      <c r="CN148" s="410">
        <v>291.92918044516301</v>
      </c>
      <c r="CO148" s="410">
        <v>264.94208706381312</v>
      </c>
      <c r="CP148" s="410">
        <v>331.55689164071566</v>
      </c>
      <c r="CQ148" s="410">
        <v>318.46278853735987</v>
      </c>
      <c r="CR148" s="410">
        <v>269.51944003346654</v>
      </c>
      <c r="CS148" s="410">
        <v>417.44963332793094</v>
      </c>
      <c r="CT148" s="410">
        <v>470.76859853996064</v>
      </c>
      <c r="CU148" s="410">
        <v>474</v>
      </c>
      <c r="CV148" s="410">
        <f>IF(VLOOKUP(BS148,'Données par municipalité'!$B$6:$F$1113,4,FALSE)="","",VLOOKUP(BS148,'Données par municipalité'!$B$6:$F$1113,4,FALSE))</f>
        <v>424</v>
      </c>
      <c r="CW148" s="476" t="s">
        <v>4723</v>
      </c>
      <c r="CX148" s="483">
        <v>2</v>
      </c>
      <c r="CY148" s="483">
        <v>1</v>
      </c>
      <c r="CZ148" s="483">
        <v>1</v>
      </c>
      <c r="DA148" s="483">
        <v>1</v>
      </c>
      <c r="DB148" s="483">
        <v>1</v>
      </c>
      <c r="DC148" s="483">
        <v>1</v>
      </c>
      <c r="DD148" s="483">
        <v>1</v>
      </c>
      <c r="DE148" s="483">
        <f>IFERROR(SUM(VLOOKUP($BS148,'État &amp; Plan d''action'!$B$6:$Z$1113,18,FALSE),VLOOKUP($BS148,'État &amp; Plan d''action'!$B$6:$Z$1113,20,FALSE))/(VLOOKUP($BS148,'Données par municipalité'!$B$4:$L$1113,11,FALSE)),"")</f>
        <v>0.75</v>
      </c>
      <c r="DF148" s="483">
        <f>IFERROR(SUM(VLOOKUP($BS148,'État &amp; Plan d''action'!$B$6:$Z$1113,19,FALSE),VLOOKUP($BS148,'État &amp; Plan d''action'!$B$6:$Z$1113,21,FALSE))/(VLOOKUP($BS148,'Données par municipalité'!$B$4:$L$1113,11,FALSE)),"")</f>
        <v>0.75</v>
      </c>
      <c r="DG148" s="476" t="s">
        <v>4723</v>
      </c>
      <c r="DH148" s="484">
        <v>35</v>
      </c>
      <c r="DI148" s="484">
        <v>27</v>
      </c>
      <c r="DJ148" s="484">
        <v>16</v>
      </c>
      <c r="DK148" s="484">
        <v>54</v>
      </c>
      <c r="DL148" s="484">
        <v>56</v>
      </c>
      <c r="DM148" s="484">
        <v>28</v>
      </c>
      <c r="DN148" s="484">
        <v>29</v>
      </c>
      <c r="DO148" s="484">
        <v>0</v>
      </c>
      <c r="DP148" s="484">
        <v>0</v>
      </c>
      <c r="DQ148" s="484">
        <f>IF(VLOOKUP($BS148,'État &amp; Plan d''action'!$B$6:$AJ$1113,28,FALSE)="","",VLOOKUP($BS148,'État &amp; Plan d''action'!$B$6:$AJ$1113,28,FALSE))</f>
        <v>26</v>
      </c>
      <c r="DR148" s="70">
        <f>IF(VLOOKUP($BS148,'État &amp; Plan d''action'!$B$6:$AJ$1113,29,FALSE)="","",VLOOKUP($BS148,'État &amp; Plan d''action'!$B$6:$AJ$1113,29,FALSE))</f>
        <v>0</v>
      </c>
      <c r="DS148" s="70">
        <f>IF(VLOOKUP($BS148,'État &amp; Plan d''action'!$B$6:$AJ$1113,30,FALSE)="","",VLOOKUP($BS148,'État &amp; Plan d''action'!$B$6:$AJ$1113,30,FALSE))</f>
        <v>0</v>
      </c>
      <c r="DT148" s="70">
        <v>385</v>
      </c>
      <c r="DU148" s="485">
        <v>3.1262169077289399</v>
      </c>
      <c r="DV148" s="485">
        <v>0.84724132815535935</v>
      </c>
      <c r="DW148" s="70">
        <v>1</v>
      </c>
      <c r="DX148" s="70">
        <v>0</v>
      </c>
      <c r="DY148" s="70">
        <v>0</v>
      </c>
      <c r="DZ148" s="70">
        <f>VLOOKUP($BS148,'État &amp; Plan d''action'!$B$6:$AH$1113,31,FALSE)</f>
        <v>1</v>
      </c>
      <c r="EA148" s="70">
        <f>VLOOKUP($BS148,'État &amp; Plan d''action'!$B$6:$AH$1113,32,FALSE)</f>
        <v>0</v>
      </c>
      <c r="EB148" s="70">
        <f>VLOOKUP($BS148,'État &amp; Plan d''action'!$B$6:$AH$1113,33,FALSE)</f>
        <v>0</v>
      </c>
      <c r="EC148" s="70">
        <v>0</v>
      </c>
      <c r="ED148" s="70">
        <v>76.040999999999997</v>
      </c>
      <c r="EE148" s="70">
        <v>0</v>
      </c>
      <c r="EF148" s="70">
        <v>0</v>
      </c>
      <c r="EG148" s="70">
        <v>0</v>
      </c>
      <c r="EH148" s="72">
        <v>61</v>
      </c>
      <c r="EI148" s="72">
        <v>17795</v>
      </c>
    </row>
    <row r="149" spans="1:139" ht="11.25" hidden="1" customHeight="1" x14ac:dyDescent="0.35">
      <c r="A149" s="370"/>
      <c r="B149" s="2"/>
      <c r="C149" s="2"/>
      <c r="D149" s="2"/>
      <c r="E149" s="2"/>
      <c r="F149" s="2"/>
      <c r="G149" s="2"/>
      <c r="H149" s="2"/>
      <c r="I149" s="2"/>
      <c r="J149" s="2"/>
      <c r="K149" s="2"/>
      <c r="L149" s="2"/>
      <c r="M149" s="2"/>
      <c r="N149" s="2"/>
      <c r="O149" s="95"/>
      <c r="P149" s="95"/>
      <c r="Q149" s="95"/>
      <c r="R149" s="95"/>
      <c r="S149" s="95"/>
      <c r="T149" s="70"/>
      <c r="W149" s="442"/>
      <c r="X149" s="442"/>
      <c r="Y149" s="442"/>
      <c r="Z149" s="443"/>
      <c r="AA149" s="442"/>
      <c r="AB149" s="505"/>
      <c r="AC149" s="442"/>
      <c r="AD149" s="442"/>
      <c r="AE149" s="442"/>
      <c r="AF149" s="442"/>
      <c r="AG149" s="442"/>
      <c r="AH149" s="442"/>
      <c r="AI149" s="442"/>
      <c r="BS149" s="486">
        <v>31020</v>
      </c>
      <c r="BT149" s="479" t="s">
        <v>239</v>
      </c>
      <c r="BU149" s="479">
        <v>12</v>
      </c>
      <c r="BV149" s="476" t="s">
        <v>1188</v>
      </c>
      <c r="BW149" s="476" t="s">
        <v>1188</v>
      </c>
      <c r="BX149" s="476" t="s">
        <v>1188</v>
      </c>
      <c r="BY149" s="476" t="s">
        <v>1188</v>
      </c>
      <c r="BZ149" s="476" t="s">
        <v>1188</v>
      </c>
      <c r="CA149" s="476" t="s">
        <v>1188</v>
      </c>
      <c r="CB149" s="476" t="s">
        <v>1188</v>
      </c>
      <c r="CC149" s="476" t="s">
        <v>1188</v>
      </c>
      <c r="CD149" s="476" t="s">
        <v>1188</v>
      </c>
      <c r="CE149" s="476" t="s">
        <v>1187</v>
      </c>
      <c r="CF149" s="476" t="s">
        <v>1187</v>
      </c>
      <c r="CG149" s="476" t="s">
        <v>1187</v>
      </c>
      <c r="CH149" s="476" t="s">
        <v>1187</v>
      </c>
      <c r="CI149" s="476" t="s">
        <v>1187</v>
      </c>
      <c r="CJ149" s="476" t="s">
        <v>1187</v>
      </c>
      <c r="CK149" s="476" t="s">
        <v>1187</v>
      </c>
      <c r="CL149" s="476" t="s">
        <v>1187</v>
      </c>
      <c r="CM149" s="476" t="str">
        <f>IF(VLOOKUP(BS149,'Données par municipalité'!$B$6:$E$1113,4,FALSE)="","non","oui")</f>
        <v>non</v>
      </c>
      <c r="CN149" s="410" t="s">
        <v>1124</v>
      </c>
      <c r="CO149" s="410" t="s">
        <v>1124</v>
      </c>
      <c r="CP149" s="410"/>
      <c r="CQ149" s="410"/>
      <c r="CR149" s="410"/>
      <c r="CS149" s="410" t="s">
        <v>1124</v>
      </c>
      <c r="CT149" s="410"/>
      <c r="CU149" s="410" t="s">
        <v>1124</v>
      </c>
      <c r="CV149" s="410" t="str">
        <f>IF(VLOOKUP(BS149,'Données par municipalité'!$B$6:$F$1113,4,FALSE)="","",VLOOKUP(BS149,'Données par municipalité'!$B$6:$F$1113,4,FALSE))</f>
        <v/>
      </c>
      <c r="CW149" s="476" t="s">
        <v>4723</v>
      </c>
      <c r="CX149" s="483" t="s">
        <v>1124</v>
      </c>
      <c r="CY149" s="483" t="s">
        <v>1124</v>
      </c>
      <c r="CZ149" s="483" t="s">
        <v>1124</v>
      </c>
      <c r="DA149" s="483" t="s">
        <v>1124</v>
      </c>
      <c r="DB149" s="483" t="s">
        <v>1124</v>
      </c>
      <c r="DC149" s="483" t="s">
        <v>1124</v>
      </c>
      <c r="DD149" s="483" t="s">
        <v>1124</v>
      </c>
      <c r="DE149" s="483" t="str">
        <f>IFERROR(SUM(VLOOKUP($BS149,'État &amp; Plan d''action'!$B$6:$Z$1113,18,FALSE),VLOOKUP($BS149,'État &amp; Plan d''action'!$B$6:$Z$1113,20,FALSE))/(VLOOKUP($BS149,'Données par municipalité'!$B$4:$L$1113,11,FALSE)),"")</f>
        <v/>
      </c>
      <c r="DF149" s="483" t="str">
        <f>IFERROR(SUM(VLOOKUP($BS149,'État &amp; Plan d''action'!$B$6:$Z$1113,19,FALSE),VLOOKUP($BS149,'État &amp; Plan d''action'!$B$6:$Z$1113,21,FALSE))/(VLOOKUP($BS149,'Données par municipalité'!$B$4:$L$1113,11,FALSE)),"")</f>
        <v/>
      </c>
      <c r="DG149" s="476" t="s">
        <v>4723</v>
      </c>
      <c r="DH149" s="484" t="s">
        <v>1124</v>
      </c>
      <c r="DI149" s="484" t="s">
        <v>1124</v>
      </c>
      <c r="DJ149" s="484">
        <v>0</v>
      </c>
      <c r="DK149" s="484">
        <v>0</v>
      </c>
      <c r="DL149" s="484" t="s">
        <v>1124</v>
      </c>
      <c r="DM149" s="484" t="s">
        <v>1124</v>
      </c>
      <c r="DN149" s="484" t="s">
        <v>1124</v>
      </c>
      <c r="DO149" s="484" t="s">
        <v>1124</v>
      </c>
      <c r="DP149" s="484" t="s">
        <v>1124</v>
      </c>
      <c r="DQ149" s="484" t="str">
        <f>IF(VLOOKUP($BS149,'État &amp; Plan d''action'!$B$6:$AJ$1113,28,FALSE)="","",VLOOKUP($BS149,'État &amp; Plan d''action'!$B$6:$AJ$1113,28,FALSE))</f>
        <v/>
      </c>
      <c r="DR149" s="70" t="str">
        <f>IF(VLOOKUP($BS149,'État &amp; Plan d''action'!$B$6:$AJ$1113,29,FALSE)="","",VLOOKUP($BS149,'État &amp; Plan d''action'!$B$6:$AJ$1113,29,FALSE))</f>
        <v/>
      </c>
      <c r="DS149" s="70" t="str">
        <f>IF(VLOOKUP($BS149,'État &amp; Plan d''action'!$B$6:$AJ$1113,30,FALSE)="","",VLOOKUP($BS149,'État &amp; Plan d''action'!$B$6:$AJ$1113,30,FALSE))</f>
        <v/>
      </c>
      <c r="DT149" s="70" t="s">
        <v>1124</v>
      </c>
      <c r="DU149" s="485" t="s">
        <v>1124</v>
      </c>
      <c r="DV149" s="485" t="s">
        <v>1124</v>
      </c>
      <c r="DW149" s="70" t="s">
        <v>1124</v>
      </c>
      <c r="DX149" s="70" t="s">
        <v>1124</v>
      </c>
      <c r="DY149" s="70" t="s">
        <v>1124</v>
      </c>
      <c r="DZ149" s="70" t="str">
        <f>VLOOKUP($BS149,'État &amp; Plan d''action'!$B$6:$AH$1113,31,FALSE)</f>
        <v/>
      </c>
      <c r="EA149" s="70" t="str">
        <f>VLOOKUP($BS149,'État &amp; Plan d''action'!$B$6:$AH$1113,32,FALSE)</f>
        <v/>
      </c>
      <c r="EB149" s="70" t="str">
        <f>VLOOKUP($BS149,'État &amp; Plan d''action'!$B$6:$AH$1113,33,FALSE)</f>
        <v/>
      </c>
      <c r="EC149" s="70" t="s">
        <v>1124</v>
      </c>
      <c r="ED149" s="70" t="s">
        <v>1124</v>
      </c>
      <c r="EE149" s="70" t="s">
        <v>1124</v>
      </c>
      <c r="EF149" s="70" t="s">
        <v>1124</v>
      </c>
      <c r="EG149" s="70" t="s">
        <v>1124</v>
      </c>
      <c r="EH149" s="72"/>
      <c r="EI149" s="72">
        <v>1135</v>
      </c>
    </row>
    <row r="150" spans="1:139" ht="11.25" hidden="1" customHeight="1" x14ac:dyDescent="0.35">
      <c r="A150" s="370"/>
      <c r="B150" s="2"/>
      <c r="C150" s="2"/>
      <c r="D150" s="2"/>
      <c r="E150" s="2"/>
      <c r="F150" s="2"/>
      <c r="G150" s="2"/>
      <c r="H150" s="2"/>
      <c r="I150" s="2"/>
      <c r="J150" s="2"/>
      <c r="K150" s="2"/>
      <c r="L150" s="2"/>
      <c r="M150" s="2"/>
      <c r="N150" s="2"/>
      <c r="O150" s="95"/>
      <c r="P150" s="95"/>
      <c r="Q150" s="95"/>
      <c r="R150" s="95"/>
      <c r="S150" s="95"/>
      <c r="T150" s="70"/>
      <c r="W150" s="442"/>
      <c r="X150" s="442"/>
      <c r="Y150" s="442"/>
      <c r="Z150" s="443"/>
      <c r="AA150" s="442"/>
      <c r="AB150" s="505"/>
      <c r="AC150" s="442"/>
      <c r="AD150" s="442"/>
      <c r="AE150" s="442"/>
      <c r="AF150" s="442"/>
      <c r="AG150" s="442"/>
      <c r="AH150" s="442"/>
      <c r="AI150" s="442"/>
      <c r="BS150" s="486">
        <v>31015</v>
      </c>
      <c r="BT150" s="479" t="s">
        <v>238</v>
      </c>
      <c r="BU150" s="479">
        <v>12</v>
      </c>
      <c r="BV150" s="476" t="s">
        <v>1187</v>
      </c>
      <c r="BW150" s="476" t="s">
        <v>1187</v>
      </c>
      <c r="BX150" s="476" t="s">
        <v>1187</v>
      </c>
      <c r="BY150" s="476" t="s">
        <v>1187</v>
      </c>
      <c r="BZ150" s="476" t="s">
        <v>1187</v>
      </c>
      <c r="CA150" s="476" t="s">
        <v>1187</v>
      </c>
      <c r="CB150" s="476" t="s">
        <v>1187</v>
      </c>
      <c r="CC150" s="476" t="s">
        <v>1187</v>
      </c>
      <c r="CD150" s="476" t="s">
        <v>1187</v>
      </c>
      <c r="CE150" s="476" t="s">
        <v>1188</v>
      </c>
      <c r="CF150" s="476" t="s">
        <v>1188</v>
      </c>
      <c r="CG150" s="476" t="s">
        <v>1188</v>
      </c>
      <c r="CH150" s="476" t="s">
        <v>1188</v>
      </c>
      <c r="CI150" s="476" t="s">
        <v>1188</v>
      </c>
      <c r="CJ150" s="476" t="s">
        <v>1188</v>
      </c>
      <c r="CK150" s="476" t="s">
        <v>1187</v>
      </c>
      <c r="CL150" s="476" t="s">
        <v>1188</v>
      </c>
      <c r="CM150" s="476" t="str">
        <f>IF(VLOOKUP(BS150,'Données par municipalité'!$B$6:$E$1113,4,FALSE)="","non","oui")</f>
        <v>oui</v>
      </c>
      <c r="CN150" s="410">
        <v>490.79260704300407</v>
      </c>
      <c r="CO150" s="410">
        <v>462.21075894459739</v>
      </c>
      <c r="CP150" s="410">
        <v>408.49872764611899</v>
      </c>
      <c r="CQ150" s="410">
        <v>412.65538934662112</v>
      </c>
      <c r="CR150" s="410">
        <v>419.71730291154842</v>
      </c>
      <c r="CS150" s="410">
        <v>370.79651691198376</v>
      </c>
      <c r="CT150" s="410"/>
      <c r="CU150" s="410">
        <v>458</v>
      </c>
      <c r="CV150" s="410">
        <f>IF(VLOOKUP(BS150,'Données par municipalité'!$B$6:$F$1113,4,FALSE)="","",VLOOKUP(BS150,'Données par municipalité'!$B$6:$F$1113,4,FALSE))</f>
        <v>444</v>
      </c>
      <c r="CW150" s="476" t="s">
        <v>4723</v>
      </c>
      <c r="CX150" s="483">
        <v>0.2</v>
      </c>
      <c r="CY150" s="483">
        <v>0.4</v>
      </c>
      <c r="CZ150" s="483">
        <v>0.4</v>
      </c>
      <c r="DA150" s="483">
        <v>1</v>
      </c>
      <c r="DB150" s="483">
        <v>1</v>
      </c>
      <c r="DC150" s="483" t="s">
        <v>1124</v>
      </c>
      <c r="DD150" s="483">
        <v>1</v>
      </c>
      <c r="DE150" s="483">
        <f>IFERROR(SUM(VLOOKUP($BS150,'État &amp; Plan d''action'!$B$6:$Z$1113,18,FALSE),VLOOKUP($BS150,'État &amp; Plan d''action'!$B$6:$Z$1113,20,FALSE))/(VLOOKUP($BS150,'Données par municipalité'!$B$4:$L$1113,11,FALSE)),"")</f>
        <v>1</v>
      </c>
      <c r="DF150" s="483">
        <f>IFERROR(SUM(VLOOKUP($BS150,'État &amp; Plan d''action'!$B$6:$Z$1113,19,FALSE),VLOOKUP($BS150,'État &amp; Plan d''action'!$B$6:$Z$1113,21,FALSE))/(VLOOKUP($BS150,'Données par municipalité'!$B$4:$L$1113,11,FALSE)),"")</f>
        <v>0.5</v>
      </c>
      <c r="DG150" s="476" t="s">
        <v>4723</v>
      </c>
      <c r="DH150" s="484">
        <v>1</v>
      </c>
      <c r="DI150" s="484">
        <v>9</v>
      </c>
      <c r="DJ150" s="484">
        <v>3</v>
      </c>
      <c r="DK150" s="484">
        <v>8</v>
      </c>
      <c r="DL150" s="484">
        <v>1</v>
      </c>
      <c r="DM150" s="484" t="s">
        <v>1124</v>
      </c>
      <c r="DN150" s="484">
        <v>5</v>
      </c>
      <c r="DO150" s="484">
        <v>3</v>
      </c>
      <c r="DP150" s="484">
        <v>0</v>
      </c>
      <c r="DQ150" s="484">
        <f>IF(VLOOKUP($BS150,'État &amp; Plan d''action'!$B$6:$AJ$1113,28,FALSE)="","",VLOOKUP($BS150,'État &amp; Plan d''action'!$B$6:$AJ$1113,28,FALSE))</f>
        <v>2</v>
      </c>
      <c r="DR150" s="70">
        <f>IF(VLOOKUP($BS150,'État &amp; Plan d''action'!$B$6:$AJ$1113,29,FALSE)="","",VLOOKUP($BS150,'État &amp; Plan d''action'!$B$6:$AJ$1113,29,FALSE))</f>
        <v>2</v>
      </c>
      <c r="DS150" s="70">
        <f>IF(VLOOKUP($BS150,'État &amp; Plan d''action'!$B$6:$AJ$1113,30,FALSE)="","",VLOOKUP($BS150,'État &amp; Plan d''action'!$B$6:$AJ$1113,30,FALSE))</f>
        <v>5</v>
      </c>
      <c r="DT150" s="70">
        <v>211</v>
      </c>
      <c r="DU150" s="485">
        <v>5.2450929943251881</v>
      </c>
      <c r="DV150" s="485">
        <v>3.8492797189424071</v>
      </c>
      <c r="DW150" s="70">
        <v>2</v>
      </c>
      <c r="DX150" s="70">
        <v>4</v>
      </c>
      <c r="DY150" s="70">
        <v>0</v>
      </c>
      <c r="DZ150" s="70">
        <f>VLOOKUP($BS150,'État &amp; Plan d''action'!$B$6:$AH$1113,31,FALSE)</f>
        <v>2</v>
      </c>
      <c r="EA150" s="70">
        <f>VLOOKUP($BS150,'État &amp; Plan d''action'!$B$6:$AH$1113,32,FALSE)</f>
        <v>4</v>
      </c>
      <c r="EB150" s="70">
        <f>VLOOKUP($BS150,'État &amp; Plan d''action'!$B$6:$AH$1113,33,FALSE)</f>
        <v>15</v>
      </c>
      <c r="EC150" s="70">
        <v>22.5</v>
      </c>
      <c r="ED150" s="70">
        <v>22.5</v>
      </c>
      <c r="EE150" s="70">
        <v>0</v>
      </c>
      <c r="EF150" s="70">
        <v>0</v>
      </c>
      <c r="EG150" s="70">
        <v>0</v>
      </c>
      <c r="EH150" s="72">
        <v>58</v>
      </c>
      <c r="EI150" s="72">
        <v>2352</v>
      </c>
    </row>
    <row r="151" spans="1:139" ht="11.25" hidden="1" customHeight="1" x14ac:dyDescent="0.35">
      <c r="A151" s="370"/>
      <c r="B151" s="2"/>
      <c r="C151" s="2"/>
      <c r="D151" s="2"/>
      <c r="E151" s="2"/>
      <c r="F151" s="2"/>
      <c r="G151" s="2"/>
      <c r="H151" s="2"/>
      <c r="I151" s="2"/>
      <c r="J151" s="2"/>
      <c r="K151" s="2"/>
      <c r="L151" s="2"/>
      <c r="M151" s="2"/>
      <c r="N151" s="2"/>
      <c r="O151" s="95"/>
      <c r="P151" s="95"/>
      <c r="Q151" s="95"/>
      <c r="R151" s="95"/>
      <c r="S151" s="95"/>
      <c r="T151" s="70"/>
      <c r="W151" s="442"/>
      <c r="X151" s="442"/>
      <c r="Y151" s="442"/>
      <c r="Z151" s="443"/>
      <c r="AA151" s="442"/>
      <c r="AB151" s="505"/>
      <c r="AC151" s="442"/>
      <c r="AD151" s="442"/>
      <c r="AE151" s="442"/>
      <c r="AF151" s="442"/>
      <c r="AG151" s="442"/>
      <c r="AH151" s="442"/>
      <c r="AI151" s="442"/>
      <c r="BS151" s="486">
        <v>44023</v>
      </c>
      <c r="BT151" s="479" t="s">
        <v>402</v>
      </c>
      <c r="BU151" s="479">
        <v>5</v>
      </c>
      <c r="BV151" s="476" t="s">
        <v>1187</v>
      </c>
      <c r="BW151" s="476" t="s">
        <v>1187</v>
      </c>
      <c r="BX151" s="476" t="s">
        <v>1187</v>
      </c>
      <c r="BY151" s="476" t="s">
        <v>1187</v>
      </c>
      <c r="BZ151" s="476" t="s">
        <v>1187</v>
      </c>
      <c r="CA151" s="476" t="s">
        <v>1187</v>
      </c>
      <c r="CB151" s="476" t="s">
        <v>1187</v>
      </c>
      <c r="CC151" s="476" t="s">
        <v>1187</v>
      </c>
      <c r="CD151" s="476" t="s">
        <v>1187</v>
      </c>
      <c r="CE151" s="476" t="s">
        <v>1188</v>
      </c>
      <c r="CF151" s="476" t="s">
        <v>1188</v>
      </c>
      <c r="CG151" s="476" t="s">
        <v>1188</v>
      </c>
      <c r="CH151" s="476" t="s">
        <v>1188</v>
      </c>
      <c r="CI151" s="476" t="s">
        <v>1188</v>
      </c>
      <c r="CJ151" s="476" t="s">
        <v>1188</v>
      </c>
      <c r="CK151" s="476" t="s">
        <v>1188</v>
      </c>
      <c r="CL151" s="476" t="s">
        <v>1188</v>
      </c>
      <c r="CM151" s="476" t="str">
        <f>IF(VLOOKUP(BS151,'Données par municipalité'!$B$6:$E$1113,4,FALSE)="","non","oui")</f>
        <v>oui</v>
      </c>
      <c r="CN151" s="410">
        <v>350.96386823785269</v>
      </c>
      <c r="CO151" s="410">
        <v>318.828177673423</v>
      </c>
      <c r="CP151" s="410">
        <v>300.40443961534169</v>
      </c>
      <c r="CQ151" s="410">
        <v>295.08922003300398</v>
      </c>
      <c r="CR151" s="410">
        <v>270.94515249907283</v>
      </c>
      <c r="CS151" s="410">
        <v>344.20050352930355</v>
      </c>
      <c r="CT151" s="410">
        <v>262.37799049917209</v>
      </c>
      <c r="CU151" s="410">
        <v>54</v>
      </c>
      <c r="CV151" s="410">
        <f>IF(VLOOKUP(BS151,'Données par municipalité'!$B$6:$F$1113,4,FALSE)="","",VLOOKUP(BS151,'Données par municipalité'!$B$6:$F$1113,4,FALSE))</f>
        <v>306</v>
      </c>
      <c r="CW151" s="476" t="s">
        <v>4723</v>
      </c>
      <c r="CX151" s="483">
        <v>0</v>
      </c>
      <c r="CY151" s="483">
        <v>1</v>
      </c>
      <c r="CZ151" s="483">
        <v>0</v>
      </c>
      <c r="DA151" s="483">
        <v>0.3</v>
      </c>
      <c r="DB151" s="483">
        <v>1</v>
      </c>
      <c r="DC151" s="483">
        <v>0</v>
      </c>
      <c r="DD151" s="483">
        <v>0</v>
      </c>
      <c r="DE151" s="483">
        <f>IFERROR(SUM(VLOOKUP($BS151,'État &amp; Plan d''action'!$B$6:$Z$1113,18,FALSE),VLOOKUP($BS151,'État &amp; Plan d''action'!$B$6:$Z$1113,20,FALSE))/(VLOOKUP($BS151,'Données par municipalité'!$B$4:$L$1113,11,FALSE)),"")</f>
        <v>0</v>
      </c>
      <c r="DF151" s="483">
        <f>IFERROR(SUM(VLOOKUP($BS151,'État &amp; Plan d''action'!$B$6:$Z$1113,19,FALSE),VLOOKUP($BS151,'État &amp; Plan d''action'!$B$6:$Z$1113,21,FALSE))/(VLOOKUP($BS151,'Données par municipalité'!$B$4:$L$1113,11,FALSE)),"")</f>
        <v>0</v>
      </c>
      <c r="DG151" s="476" t="s">
        <v>4723</v>
      </c>
      <c r="DH151" s="484">
        <v>0</v>
      </c>
      <c r="DI151" s="484">
        <v>2</v>
      </c>
      <c r="DJ151" s="484">
        <v>2</v>
      </c>
      <c r="DK151" s="484">
        <v>2</v>
      </c>
      <c r="DL151" s="484">
        <v>3</v>
      </c>
      <c r="DM151" s="484">
        <v>1</v>
      </c>
      <c r="DN151" s="484">
        <v>0</v>
      </c>
      <c r="DO151" s="484">
        <v>0</v>
      </c>
      <c r="DP151" s="484">
        <v>0</v>
      </c>
      <c r="DQ151" s="484">
        <f>IF(VLOOKUP($BS151,'État &amp; Plan d''action'!$B$6:$AJ$1113,28,FALSE)="","",VLOOKUP($BS151,'État &amp; Plan d''action'!$B$6:$AJ$1113,28,FALSE))</f>
        <v>0</v>
      </c>
      <c r="DR151" s="70">
        <f>IF(VLOOKUP($BS151,'État &amp; Plan d''action'!$B$6:$AJ$1113,29,FALSE)="","",VLOOKUP($BS151,'État &amp; Plan d''action'!$B$6:$AJ$1113,29,FALSE))</f>
        <v>0</v>
      </c>
      <c r="DS151" s="70">
        <f>IF(VLOOKUP($BS151,'État &amp; Plan d''action'!$B$6:$AJ$1113,30,FALSE)="","",VLOOKUP($BS151,'État &amp; Plan d''action'!$B$6:$AJ$1113,30,FALSE))</f>
        <v>4</v>
      </c>
      <c r="DT151" s="70">
        <v>255.85609549989755</v>
      </c>
      <c r="DU151" s="485">
        <v>0.67269224017540308</v>
      </c>
      <c r="DV151" s="485">
        <v>0.50401713072167964</v>
      </c>
      <c r="DW151" s="70">
        <v>0</v>
      </c>
      <c r="DX151" s="70">
        <v>0</v>
      </c>
      <c r="DY151" s="70">
        <v>0</v>
      </c>
      <c r="DZ151" s="70">
        <f>VLOOKUP($BS151,'État &amp; Plan d''action'!$B$6:$AH$1113,31,FALSE)</f>
        <v>0</v>
      </c>
      <c r="EA151" s="70">
        <f>VLOOKUP($BS151,'État &amp; Plan d''action'!$B$6:$AH$1113,32,FALSE)</f>
        <v>0</v>
      </c>
      <c r="EB151" s="70">
        <f>VLOOKUP($BS151,'État &amp; Plan d''action'!$B$6:$AH$1113,33,FALSE)</f>
        <v>2</v>
      </c>
      <c r="EC151" s="70">
        <v>4.0880000000000001</v>
      </c>
      <c r="ED151" s="70">
        <v>0</v>
      </c>
      <c r="EE151" s="70">
        <v>0</v>
      </c>
      <c r="EF151" s="70">
        <v>0</v>
      </c>
      <c r="EG151" s="70">
        <v>0</v>
      </c>
      <c r="EH151" s="72">
        <v>61.540540540540555</v>
      </c>
      <c r="EI151" s="72">
        <v>711</v>
      </c>
    </row>
    <row r="152" spans="1:139" ht="11.25" hidden="1" customHeight="1" x14ac:dyDescent="0.35">
      <c r="A152" s="370"/>
      <c r="B152" s="2"/>
      <c r="C152" s="2"/>
      <c r="D152" s="2"/>
      <c r="E152" s="2"/>
      <c r="F152" s="2"/>
      <c r="G152" s="2"/>
      <c r="H152" s="2"/>
      <c r="I152" s="2"/>
      <c r="J152" s="2"/>
      <c r="K152" s="2"/>
      <c r="L152" s="2"/>
      <c r="M152" s="2"/>
      <c r="N152" s="2"/>
      <c r="O152" s="95"/>
      <c r="P152" s="95"/>
      <c r="Q152" s="95"/>
      <c r="R152" s="95"/>
      <c r="S152" s="95"/>
      <c r="T152" s="70"/>
      <c r="W152" s="442"/>
      <c r="X152" s="442"/>
      <c r="Y152" s="442"/>
      <c r="Z152" s="442"/>
      <c r="AA152" s="442"/>
      <c r="AB152" s="505"/>
      <c r="AC152" s="442"/>
      <c r="AD152" s="442"/>
      <c r="AE152" s="442"/>
      <c r="AF152" s="442"/>
      <c r="AG152" s="442"/>
      <c r="AH152" s="442"/>
      <c r="AI152" s="442"/>
      <c r="BS152" s="486">
        <v>92022</v>
      </c>
      <c r="BT152" s="479" t="s">
        <v>949</v>
      </c>
      <c r="BU152" s="479">
        <v>2</v>
      </c>
      <c r="BV152" s="476" t="s">
        <v>1187</v>
      </c>
      <c r="BW152" s="476" t="s">
        <v>1187</v>
      </c>
      <c r="BX152" s="476" t="s">
        <v>1187</v>
      </c>
      <c r="BY152" s="476" t="s">
        <v>1187</v>
      </c>
      <c r="BZ152" s="476" t="s">
        <v>1187</v>
      </c>
      <c r="CA152" s="476" t="s">
        <v>1187</v>
      </c>
      <c r="CB152" s="476" t="s">
        <v>1187</v>
      </c>
      <c r="CC152" s="476" t="s">
        <v>1187</v>
      </c>
      <c r="CD152" s="476" t="s">
        <v>1187</v>
      </c>
      <c r="CE152" s="476" t="s">
        <v>1188</v>
      </c>
      <c r="CF152" s="476" t="s">
        <v>1188</v>
      </c>
      <c r="CG152" s="476" t="s">
        <v>1188</v>
      </c>
      <c r="CH152" s="476" t="s">
        <v>1188</v>
      </c>
      <c r="CI152" s="476" t="s">
        <v>1188</v>
      </c>
      <c r="CJ152" s="476" t="s">
        <v>1188</v>
      </c>
      <c r="CK152" s="476" t="s">
        <v>1188</v>
      </c>
      <c r="CL152" s="476" t="s">
        <v>1188</v>
      </c>
      <c r="CM152" s="476" t="str">
        <f>IF(VLOOKUP(BS152,'Données par municipalité'!$B$6:$E$1113,4,FALSE)="","non","oui")</f>
        <v>oui</v>
      </c>
      <c r="CN152" s="410">
        <v>498.44040921366735</v>
      </c>
      <c r="CO152" s="410">
        <v>487.82556932693205</v>
      </c>
      <c r="CP152" s="410">
        <v>487.52576334819514</v>
      </c>
      <c r="CQ152" s="410">
        <v>493.7469880440101</v>
      </c>
      <c r="CR152" s="410">
        <v>540.5899621678044</v>
      </c>
      <c r="CS152" s="410">
        <v>501.30669784136671</v>
      </c>
      <c r="CT152" s="410">
        <v>436</v>
      </c>
      <c r="CU152" s="410">
        <v>456</v>
      </c>
      <c r="CV152" s="410">
        <f>IF(VLOOKUP(BS152,'Données par municipalité'!$B$6:$F$1113,4,FALSE)="","",VLOOKUP(BS152,'Données par municipalité'!$B$6:$F$1113,4,FALSE))</f>
        <v>464</v>
      </c>
      <c r="CW152" s="476" t="s">
        <v>4723</v>
      </c>
      <c r="CX152" s="483">
        <v>1</v>
      </c>
      <c r="CY152" s="483">
        <v>1</v>
      </c>
      <c r="CZ152" s="483">
        <v>0.3</v>
      </c>
      <c r="DA152" s="483">
        <v>0.5</v>
      </c>
      <c r="DB152" s="483">
        <v>1</v>
      </c>
      <c r="DC152" s="483">
        <v>1</v>
      </c>
      <c r="DD152" s="483">
        <v>1.0031984647369263</v>
      </c>
      <c r="DE152" s="483">
        <f>IFERROR(SUM(VLOOKUP($BS152,'État &amp; Plan d''action'!$B$6:$Z$1113,18,FALSE),VLOOKUP($BS152,'État &amp; Plan d''action'!$B$6:$Z$1113,20,FALSE))/(VLOOKUP($BS152,'Données par municipalité'!$B$4:$L$1113,11,FALSE)),"")</f>
        <v>1.0000000000000002</v>
      </c>
      <c r="DF152" s="483">
        <f>IFERROR(SUM(VLOOKUP($BS152,'État &amp; Plan d''action'!$B$6:$Z$1113,19,FALSE),VLOOKUP($BS152,'État &amp; Plan d''action'!$B$6:$Z$1113,21,FALSE))/(VLOOKUP($BS152,'Données par municipalité'!$B$4:$L$1113,11,FALSE)),"")</f>
        <v>1.0000000000000002</v>
      </c>
      <c r="DG152" s="476" t="s">
        <v>4723</v>
      </c>
      <c r="DH152" s="484">
        <v>0</v>
      </c>
      <c r="DI152" s="484" t="s">
        <v>1124</v>
      </c>
      <c r="DJ152" s="484">
        <v>0</v>
      </c>
      <c r="DK152" s="484">
        <v>3</v>
      </c>
      <c r="DL152" s="484">
        <v>33</v>
      </c>
      <c r="DM152" s="484">
        <v>20</v>
      </c>
      <c r="DN152" s="484">
        <v>5</v>
      </c>
      <c r="DO152" s="484">
        <v>16</v>
      </c>
      <c r="DP152" s="484">
        <v>11</v>
      </c>
      <c r="DQ152" s="484">
        <f>IF(VLOOKUP($BS152,'État &amp; Plan d''action'!$B$6:$AJ$1113,28,FALSE)="","",VLOOKUP($BS152,'État &amp; Plan d''action'!$B$6:$AJ$1113,28,FALSE))</f>
        <v>13</v>
      </c>
      <c r="DR152" s="70">
        <f>IF(VLOOKUP($BS152,'État &amp; Plan d''action'!$B$6:$AJ$1113,29,FALSE)="","",VLOOKUP($BS152,'État &amp; Plan d''action'!$B$6:$AJ$1113,29,FALSE))</f>
        <v>14</v>
      </c>
      <c r="DS152" s="70">
        <f>IF(VLOOKUP($BS152,'État &amp; Plan d''action'!$B$6:$AJ$1113,30,FALSE)="","",VLOOKUP($BS152,'État &amp; Plan d''action'!$B$6:$AJ$1113,30,FALSE))</f>
        <v>12</v>
      </c>
      <c r="DT152" s="70">
        <v>320</v>
      </c>
      <c r="DU152" s="485">
        <v>1.2563971969095058</v>
      </c>
      <c r="DV152" s="485">
        <v>4.915514812028646</v>
      </c>
      <c r="DW152" s="70">
        <v>3</v>
      </c>
      <c r="DX152" s="70">
        <v>4</v>
      </c>
      <c r="DY152" s="70">
        <v>5</v>
      </c>
      <c r="DZ152" s="70">
        <f>VLOOKUP($BS152,'État &amp; Plan d''action'!$B$6:$AH$1113,31,FALSE)</f>
        <v>3</v>
      </c>
      <c r="EA152" s="70">
        <f>VLOOKUP($BS152,'État &amp; Plan d''action'!$B$6:$AH$1113,32,FALSE)</f>
        <v>3</v>
      </c>
      <c r="EB152" s="70">
        <f>VLOOKUP($BS152,'État &amp; Plan d''action'!$B$6:$AH$1113,33,FALSE)</f>
        <v>6</v>
      </c>
      <c r="EC152" s="70">
        <v>0</v>
      </c>
      <c r="ED152" s="70">
        <v>94.094999999999999</v>
      </c>
      <c r="EE152" s="70">
        <v>0</v>
      </c>
      <c r="EF152" s="70">
        <v>0</v>
      </c>
      <c r="EG152" s="70">
        <v>0</v>
      </c>
      <c r="EH152" s="72">
        <v>49</v>
      </c>
      <c r="EI152" s="72">
        <v>14209</v>
      </c>
    </row>
    <row r="153" spans="1:139" ht="11.25" hidden="1" customHeight="1" x14ac:dyDescent="0.35">
      <c r="A153" s="370"/>
      <c r="B153" s="2"/>
      <c r="C153" s="2"/>
      <c r="D153" s="2"/>
      <c r="E153" s="2"/>
      <c r="F153" s="2"/>
      <c r="G153" s="2"/>
      <c r="H153" s="2"/>
      <c r="I153" s="2"/>
      <c r="J153" s="2"/>
      <c r="K153" s="2"/>
      <c r="L153" s="2"/>
      <c r="M153" s="2"/>
      <c r="N153" s="2"/>
      <c r="O153" s="95"/>
      <c r="P153" s="95"/>
      <c r="Q153" s="95"/>
      <c r="R153" s="95"/>
      <c r="S153" s="95"/>
      <c r="T153" s="70"/>
      <c r="W153" s="442"/>
      <c r="X153" s="442"/>
      <c r="Y153" s="442"/>
      <c r="Z153" s="442"/>
      <c r="AA153" s="442"/>
      <c r="AB153" s="442"/>
      <c r="AC153" s="442"/>
      <c r="AD153" s="442"/>
      <c r="AE153" s="442"/>
      <c r="AF153" s="442"/>
      <c r="AG153" s="442"/>
      <c r="AH153" s="442"/>
      <c r="AI153" s="442"/>
      <c r="BS153" s="486">
        <v>66142</v>
      </c>
      <c r="BT153" s="479" t="s">
        <v>1113</v>
      </c>
      <c r="BU153" s="479">
        <v>6</v>
      </c>
      <c r="BV153" s="476" t="s">
        <v>1187</v>
      </c>
      <c r="BW153" s="476" t="s">
        <v>1187</v>
      </c>
      <c r="BX153" s="476" t="s">
        <v>1187</v>
      </c>
      <c r="BY153" s="476" t="s">
        <v>1187</v>
      </c>
      <c r="BZ153" s="476" t="s">
        <v>1187</v>
      </c>
      <c r="CA153" s="476" t="s">
        <v>1187</v>
      </c>
      <c r="CB153" s="476" t="s">
        <v>1187</v>
      </c>
      <c r="CC153" s="476" t="s">
        <v>1187</v>
      </c>
      <c r="CD153" s="476" t="s">
        <v>1187</v>
      </c>
      <c r="CE153" s="476" t="s">
        <v>1188</v>
      </c>
      <c r="CF153" s="476" t="s">
        <v>1188</v>
      </c>
      <c r="CG153" s="476" t="s">
        <v>1188</v>
      </c>
      <c r="CH153" s="476" t="s">
        <v>1188</v>
      </c>
      <c r="CI153" s="476" t="s">
        <v>1188</v>
      </c>
      <c r="CJ153" s="476" t="s">
        <v>1188</v>
      </c>
      <c r="CK153" s="476" t="s">
        <v>1188</v>
      </c>
      <c r="CL153" s="476" t="s">
        <v>1188</v>
      </c>
      <c r="CM153" s="476" t="str">
        <f>IF(VLOOKUP(BS153,'Données par municipalité'!$B$6:$E$1113,4,FALSE)="","non","oui")</f>
        <v>oui</v>
      </c>
      <c r="CN153" s="410">
        <v>339.56034182391664</v>
      </c>
      <c r="CO153" s="410">
        <v>394.8642174881</v>
      </c>
      <c r="CP153" s="410">
        <v>407.4617139824656</v>
      </c>
      <c r="CQ153" s="410">
        <v>424.2917429367173</v>
      </c>
      <c r="CR153" s="410">
        <v>413.24008948133593</v>
      </c>
      <c r="CS153" s="410">
        <v>572</v>
      </c>
      <c r="CT153" s="410">
        <v>600.33500239023624</v>
      </c>
      <c r="CU153" s="410">
        <v>505</v>
      </c>
      <c r="CV153" s="410">
        <f>IF(VLOOKUP(BS153,'Données par municipalité'!$B$6:$F$1113,4,FALSE)="","",VLOOKUP(BS153,'Données par municipalité'!$B$6:$F$1113,4,FALSE))</f>
        <v>438</v>
      </c>
      <c r="CW153" s="476" t="s">
        <v>4723</v>
      </c>
      <c r="CX153" s="483">
        <v>1</v>
      </c>
      <c r="CY153" s="483">
        <v>1</v>
      </c>
      <c r="CZ153" s="483">
        <v>0.25</v>
      </c>
      <c r="DA153" s="483">
        <v>1</v>
      </c>
      <c r="DB153" s="483">
        <v>1</v>
      </c>
      <c r="DC153" s="483">
        <v>1</v>
      </c>
      <c r="DD153" s="483">
        <v>1</v>
      </c>
      <c r="DE153" s="483">
        <f>IFERROR(SUM(VLOOKUP($BS153,'État &amp; Plan d''action'!$B$6:$Z$1113,18,FALSE),VLOOKUP($BS153,'État &amp; Plan d''action'!$B$6:$Z$1113,20,FALSE))/(VLOOKUP($BS153,'Données par municipalité'!$B$4:$L$1113,11,FALSE)),"")</f>
        <v>1</v>
      </c>
      <c r="DF153" s="483">
        <f>IFERROR(SUM(VLOOKUP($BS153,'État &amp; Plan d''action'!$B$6:$Z$1113,19,FALSE),VLOOKUP($BS153,'État &amp; Plan d''action'!$B$6:$Z$1113,21,FALSE))/(VLOOKUP($BS153,'Données par municipalité'!$B$4:$L$1113,11,FALSE)),"")</f>
        <v>1</v>
      </c>
      <c r="DG153" s="476" t="s">
        <v>4723</v>
      </c>
      <c r="DH153" s="484">
        <v>53</v>
      </c>
      <c r="DI153" s="484">
        <v>60</v>
      </c>
      <c r="DJ153" s="484">
        <v>46</v>
      </c>
      <c r="DK153" s="484">
        <v>63</v>
      </c>
      <c r="DL153" s="484">
        <v>64</v>
      </c>
      <c r="DM153" s="484">
        <v>50</v>
      </c>
      <c r="DN153" s="484">
        <v>17</v>
      </c>
      <c r="DO153" s="484">
        <v>5</v>
      </c>
      <c r="DP153" s="484">
        <v>1</v>
      </c>
      <c r="DQ153" s="484">
        <f>IF(VLOOKUP($BS153,'État &amp; Plan d''action'!$B$6:$AJ$1113,28,FALSE)="","",VLOOKUP($BS153,'État &amp; Plan d''action'!$B$6:$AJ$1113,28,FALSE))</f>
        <v>31</v>
      </c>
      <c r="DR153" s="70">
        <f>IF(VLOOKUP($BS153,'État &amp; Plan d''action'!$B$6:$AJ$1113,29,FALSE)="","",VLOOKUP($BS153,'État &amp; Plan d''action'!$B$6:$AJ$1113,29,FALSE))</f>
        <v>11</v>
      </c>
      <c r="DS153" s="70">
        <f>IF(VLOOKUP($BS153,'État &amp; Plan d''action'!$B$6:$AJ$1113,30,FALSE)="","",VLOOKUP($BS153,'État &amp; Plan d''action'!$B$6:$AJ$1113,30,FALSE))</f>
        <v>21</v>
      </c>
      <c r="DT153" s="70">
        <v>308</v>
      </c>
      <c r="DU153" s="485">
        <v>8.4450713907907247</v>
      </c>
      <c r="DV153" s="485">
        <v>5.960546888195033</v>
      </c>
      <c r="DW153" s="70">
        <v>1</v>
      </c>
      <c r="DX153" s="70">
        <v>7</v>
      </c>
      <c r="DY153" s="70">
        <v>9</v>
      </c>
      <c r="DZ153" s="70">
        <f>VLOOKUP($BS153,'État &amp; Plan d''action'!$B$6:$AH$1113,31,FALSE)</f>
        <v>13</v>
      </c>
      <c r="EA153" s="70">
        <f>VLOOKUP($BS153,'État &amp; Plan d''action'!$B$6:$AH$1113,32,FALSE)</f>
        <v>13</v>
      </c>
      <c r="EB153" s="70">
        <f>VLOOKUP($BS153,'État &amp; Plan d''action'!$B$6:$AH$1113,33,FALSE)</f>
        <v>27</v>
      </c>
      <c r="EC153" s="70">
        <v>0</v>
      </c>
      <c r="ED153" s="70">
        <v>0</v>
      </c>
      <c r="EE153" s="70">
        <v>207.22</v>
      </c>
      <c r="EF153" s="70">
        <v>0</v>
      </c>
      <c r="EG153" s="70">
        <v>0</v>
      </c>
      <c r="EH153" s="72">
        <v>51</v>
      </c>
      <c r="EI153" s="72">
        <v>49424</v>
      </c>
    </row>
    <row r="154" spans="1:139" ht="11.25" hidden="1" customHeight="1" x14ac:dyDescent="0.35">
      <c r="A154" s="370"/>
      <c r="B154" s="2"/>
      <c r="C154" s="2"/>
      <c r="D154" s="2"/>
      <c r="E154" s="2"/>
      <c r="F154" s="2"/>
      <c r="G154" s="2"/>
      <c r="H154" s="2"/>
      <c r="I154" s="2"/>
      <c r="J154" s="2"/>
      <c r="K154" s="2"/>
      <c r="L154" s="2"/>
      <c r="M154" s="2"/>
      <c r="N154" s="2"/>
      <c r="O154" s="95"/>
      <c r="P154" s="95"/>
      <c r="Q154" s="95"/>
      <c r="R154" s="95"/>
      <c r="S154" s="95"/>
      <c r="T154" s="70"/>
      <c r="W154" s="442"/>
      <c r="X154" s="442"/>
      <c r="Y154" s="442"/>
      <c r="Z154" s="442"/>
      <c r="AA154" s="442"/>
      <c r="AB154" s="442"/>
      <c r="AC154" s="442"/>
      <c r="AD154" s="442"/>
      <c r="AE154" s="442"/>
      <c r="AF154" s="442"/>
      <c r="AG154" s="442"/>
      <c r="AH154" s="442"/>
      <c r="AI154" s="442"/>
      <c r="BS154" s="486">
        <v>34025</v>
      </c>
      <c r="BT154" s="479" t="s">
        <v>287</v>
      </c>
      <c r="BU154" s="479">
        <v>3</v>
      </c>
      <c r="BV154" s="476" t="s">
        <v>1187</v>
      </c>
      <c r="BW154" s="476" t="s">
        <v>1187</v>
      </c>
      <c r="BX154" s="476" t="s">
        <v>1187</v>
      </c>
      <c r="BY154" s="476" t="s">
        <v>1187</v>
      </c>
      <c r="BZ154" s="476" t="s">
        <v>1187</v>
      </c>
      <c r="CA154" s="476" t="s">
        <v>1187</v>
      </c>
      <c r="CB154" s="476" t="s">
        <v>1187</v>
      </c>
      <c r="CC154" s="476" t="s">
        <v>1187</v>
      </c>
      <c r="CD154" s="476" t="s">
        <v>1187</v>
      </c>
      <c r="CE154" s="476" t="s">
        <v>1188</v>
      </c>
      <c r="CF154" s="476" t="s">
        <v>1188</v>
      </c>
      <c r="CG154" s="476" t="s">
        <v>1188</v>
      </c>
      <c r="CH154" s="476" t="s">
        <v>1188</v>
      </c>
      <c r="CI154" s="476" t="s">
        <v>1188</v>
      </c>
      <c r="CJ154" s="476" t="s">
        <v>1188</v>
      </c>
      <c r="CK154" s="476" t="s">
        <v>1188</v>
      </c>
      <c r="CL154" s="476" t="s">
        <v>1188</v>
      </c>
      <c r="CM154" s="476" t="str">
        <f>IF(VLOOKUP(BS154,'Données par municipalité'!$B$6:$E$1113,4,FALSE)="","non","oui")</f>
        <v>oui</v>
      </c>
      <c r="CN154" s="410">
        <v>440.14237328058312</v>
      </c>
      <c r="CO154" s="410">
        <v>470.24762770803335</v>
      </c>
      <c r="CP154" s="410">
        <v>431.29266988787072</v>
      </c>
      <c r="CQ154" s="410">
        <v>355.23187133358005</v>
      </c>
      <c r="CR154" s="410">
        <v>339.19530672899253</v>
      </c>
      <c r="CS154" s="410">
        <v>327.40198338899341</v>
      </c>
      <c r="CT154" s="410">
        <v>311.77776540644754</v>
      </c>
      <c r="CU154" s="410">
        <v>371</v>
      </c>
      <c r="CV154" s="410">
        <f>IF(VLOOKUP(BS154,'Données par municipalité'!$B$6:$F$1113,4,FALSE)="","",VLOOKUP(BS154,'Données par municipalité'!$B$6:$F$1113,4,FALSE))</f>
        <v>386</v>
      </c>
      <c r="CW154" s="476" t="s">
        <v>4723</v>
      </c>
      <c r="CX154" s="483">
        <v>1</v>
      </c>
      <c r="CY154" s="483">
        <v>0</v>
      </c>
      <c r="CZ154" s="483">
        <v>0</v>
      </c>
      <c r="DA154" s="483">
        <v>0</v>
      </c>
      <c r="DB154" s="483">
        <v>0.3</v>
      </c>
      <c r="DC154" s="483">
        <v>0</v>
      </c>
      <c r="DD154" s="483">
        <v>0</v>
      </c>
      <c r="DE154" s="483">
        <f>IFERROR(SUM(VLOOKUP($BS154,'État &amp; Plan d''action'!$B$6:$Z$1113,18,FALSE),VLOOKUP($BS154,'État &amp; Plan d''action'!$B$6:$Z$1113,20,FALSE))/(VLOOKUP($BS154,'Données par municipalité'!$B$4:$L$1113,11,FALSE)),"")</f>
        <v>0</v>
      </c>
      <c r="DF154" s="483">
        <f>IFERROR(SUM(VLOOKUP($BS154,'État &amp; Plan d''action'!$B$6:$Z$1113,19,FALSE),VLOOKUP($BS154,'État &amp; Plan d''action'!$B$6:$Z$1113,21,FALSE))/(VLOOKUP($BS154,'Données par municipalité'!$B$4:$L$1113,11,FALSE)),"")</f>
        <v>0.3518896474065733</v>
      </c>
      <c r="DG154" s="476" t="s">
        <v>4723</v>
      </c>
      <c r="DH154" s="484">
        <v>10</v>
      </c>
      <c r="DI154" s="484">
        <v>14</v>
      </c>
      <c r="DJ154" s="484">
        <v>16</v>
      </c>
      <c r="DK154" s="484">
        <v>13</v>
      </c>
      <c r="DL154" s="484">
        <v>8</v>
      </c>
      <c r="DM154" s="484">
        <v>11</v>
      </c>
      <c r="DN154" s="484">
        <v>18</v>
      </c>
      <c r="DO154" s="484">
        <v>4</v>
      </c>
      <c r="DP154" s="484">
        <v>0</v>
      </c>
      <c r="DQ154" s="484">
        <f>IF(VLOOKUP($BS154,'État &amp; Plan d''action'!$B$6:$AJ$1113,28,FALSE)="","",VLOOKUP($BS154,'État &amp; Plan d''action'!$B$6:$AJ$1113,28,FALSE))</f>
        <v>13</v>
      </c>
      <c r="DR154" s="70">
        <f>IF(VLOOKUP($BS154,'État &amp; Plan d''action'!$B$6:$AJ$1113,29,FALSE)="","",VLOOKUP($BS154,'État &amp; Plan d''action'!$B$6:$AJ$1113,29,FALSE))</f>
        <v>8</v>
      </c>
      <c r="DS154" s="70">
        <f>IF(VLOOKUP($BS154,'État &amp; Plan d''action'!$B$6:$AJ$1113,30,FALSE)="","",VLOOKUP($BS154,'État &amp; Plan d''action'!$B$6:$AJ$1113,30,FALSE))</f>
        <v>0</v>
      </c>
      <c r="DT154" s="70">
        <v>268</v>
      </c>
      <c r="DU154" s="485">
        <v>2.1208147933734209</v>
      </c>
      <c r="DV154" s="485">
        <v>2.6463680891821499</v>
      </c>
      <c r="DW154" s="70">
        <v>2</v>
      </c>
      <c r="DX154" s="70">
        <v>2</v>
      </c>
      <c r="DY154" s="70">
        <v>0</v>
      </c>
      <c r="DZ154" s="70">
        <f>VLOOKUP($BS154,'État &amp; Plan d''action'!$B$6:$AH$1113,31,FALSE)</f>
        <v>2</v>
      </c>
      <c r="EA154" s="70">
        <f>VLOOKUP($BS154,'État &amp; Plan d''action'!$B$6:$AH$1113,32,FALSE)</f>
        <v>2</v>
      </c>
      <c r="EB154" s="70">
        <f>VLOOKUP($BS154,'État &amp; Plan d''action'!$B$6:$AH$1113,33,FALSE)</f>
        <v>0</v>
      </c>
      <c r="EC154" s="70">
        <v>0</v>
      </c>
      <c r="ED154" s="70">
        <v>0</v>
      </c>
      <c r="EE154" s="70">
        <v>0</v>
      </c>
      <c r="EF154" s="70">
        <v>0</v>
      </c>
      <c r="EG154" s="70">
        <v>0</v>
      </c>
      <c r="EH154" s="72">
        <v>61</v>
      </c>
      <c r="EI154" s="72">
        <v>7302</v>
      </c>
    </row>
    <row r="155" spans="1:139" ht="11.25" hidden="1" customHeight="1" x14ac:dyDescent="0.35">
      <c r="A155" s="370"/>
      <c r="B155" s="2"/>
      <c r="C155" s="2"/>
      <c r="D155" s="2"/>
      <c r="E155" s="2"/>
      <c r="F155" s="2"/>
      <c r="G155" s="2"/>
      <c r="H155" s="2"/>
      <c r="I155" s="2"/>
      <c r="J155" s="2"/>
      <c r="K155" s="2"/>
      <c r="L155" s="2"/>
      <c r="M155" s="2"/>
      <c r="N155" s="2"/>
      <c r="O155" s="95"/>
      <c r="P155" s="95"/>
      <c r="Q155" s="95"/>
      <c r="R155" s="95"/>
      <c r="S155" s="95"/>
      <c r="T155" s="70"/>
      <c r="W155" s="442"/>
      <c r="X155" s="442"/>
      <c r="Y155" s="442"/>
      <c r="Z155" s="442"/>
      <c r="AA155" s="442"/>
      <c r="AB155" s="442"/>
      <c r="AC155" s="442"/>
      <c r="AD155" s="442"/>
      <c r="AE155" s="442"/>
      <c r="AF155" s="442"/>
      <c r="AG155" s="442"/>
      <c r="AH155" s="442"/>
      <c r="AI155" s="442"/>
      <c r="BS155" s="486">
        <v>66087</v>
      </c>
      <c r="BT155" s="479" t="s">
        <v>654</v>
      </c>
      <c r="BU155" s="479">
        <v>6</v>
      </c>
      <c r="BV155" s="476" t="s">
        <v>1187</v>
      </c>
      <c r="BW155" s="476" t="s">
        <v>1187</v>
      </c>
      <c r="BX155" s="476" t="s">
        <v>1187</v>
      </c>
      <c r="BY155" s="476" t="s">
        <v>1187</v>
      </c>
      <c r="BZ155" s="476" t="s">
        <v>1187</v>
      </c>
      <c r="CA155" s="476" t="s">
        <v>1187</v>
      </c>
      <c r="CB155" s="476" t="s">
        <v>1187</v>
      </c>
      <c r="CC155" s="476" t="s">
        <v>1187</v>
      </c>
      <c r="CD155" s="476" t="s">
        <v>1187</v>
      </c>
      <c r="CE155" s="476" t="s">
        <v>1187</v>
      </c>
      <c r="CF155" s="476" t="s">
        <v>1187</v>
      </c>
      <c r="CG155" s="476" t="s">
        <v>1187</v>
      </c>
      <c r="CH155" s="476" t="s">
        <v>1187</v>
      </c>
      <c r="CI155" s="476" t="s">
        <v>1187</v>
      </c>
      <c r="CJ155" s="476" t="s">
        <v>1188</v>
      </c>
      <c r="CK155" s="476" t="s">
        <v>1188</v>
      </c>
      <c r="CL155" s="476" t="s">
        <v>1188</v>
      </c>
      <c r="CM155" s="476" t="str">
        <f>IF(VLOOKUP(BS155,'Données par municipalité'!$B$6:$E$1113,4,FALSE)="","non","oui")</f>
        <v>oui</v>
      </c>
      <c r="CN155" s="410" t="s">
        <v>1124</v>
      </c>
      <c r="CO155" s="410" t="s">
        <v>1124</v>
      </c>
      <c r="CP155" s="410"/>
      <c r="CQ155" s="410"/>
      <c r="CR155" s="410"/>
      <c r="CS155" s="410">
        <v>1246</v>
      </c>
      <c r="CT155" s="410">
        <v>1217.3737247667648</v>
      </c>
      <c r="CU155" s="410">
        <v>1067</v>
      </c>
      <c r="CV155" s="410">
        <f>IF(VLOOKUP(BS155,'Données par municipalité'!$B$6:$F$1113,4,FALSE)="","",VLOOKUP(BS155,'Données par municipalité'!$B$6:$F$1113,4,FALSE))</f>
        <v>1138</v>
      </c>
      <c r="CW155" s="476" t="s">
        <v>4723</v>
      </c>
      <c r="CX155" s="483" t="s">
        <v>1124</v>
      </c>
      <c r="CY155" s="483" t="s">
        <v>1124</v>
      </c>
      <c r="CZ155" s="483" t="s">
        <v>1124</v>
      </c>
      <c r="DA155" s="483" t="s">
        <v>1124</v>
      </c>
      <c r="DB155" s="483">
        <v>1</v>
      </c>
      <c r="DC155" s="483">
        <v>1</v>
      </c>
      <c r="DD155" s="483">
        <v>1</v>
      </c>
      <c r="DE155" s="483">
        <f>IFERROR(SUM(VLOOKUP($BS155,'État &amp; Plan d''action'!$B$6:$Z$1113,18,FALSE),VLOOKUP($BS155,'État &amp; Plan d''action'!$B$6:$Z$1113,20,FALSE))/(VLOOKUP($BS155,'Données par municipalité'!$B$4:$L$1113,11,FALSE)),"")</f>
        <v>1</v>
      </c>
      <c r="DF155" s="483">
        <f>IFERROR(SUM(VLOOKUP($BS155,'État &amp; Plan d''action'!$B$6:$Z$1113,19,FALSE),VLOOKUP($BS155,'État &amp; Plan d''action'!$B$6:$Z$1113,21,FALSE))/(VLOOKUP($BS155,'Données par municipalité'!$B$4:$L$1113,11,FALSE)),"")</f>
        <v>3</v>
      </c>
      <c r="DG155" s="476" t="s">
        <v>4723</v>
      </c>
      <c r="DH155" s="484">
        <v>44</v>
      </c>
      <c r="DI155" s="484" t="s">
        <v>1124</v>
      </c>
      <c r="DJ155" s="484">
        <v>23</v>
      </c>
      <c r="DK155" s="484">
        <v>20</v>
      </c>
      <c r="DL155" s="484">
        <v>38</v>
      </c>
      <c r="DM155" s="484">
        <v>20</v>
      </c>
      <c r="DN155" s="484">
        <v>18</v>
      </c>
      <c r="DO155" s="484">
        <v>4</v>
      </c>
      <c r="DP155" s="484">
        <v>0</v>
      </c>
      <c r="DQ155" s="484">
        <f>IF(VLOOKUP($BS155,'État &amp; Plan d''action'!$B$6:$AJ$1113,28,FALSE)="","",VLOOKUP($BS155,'État &amp; Plan d''action'!$B$6:$AJ$1113,28,FALSE))</f>
        <v>23</v>
      </c>
      <c r="DR155" s="70">
        <f>IF(VLOOKUP($BS155,'État &amp; Plan d''action'!$B$6:$AJ$1113,29,FALSE)="","",VLOOKUP($BS155,'État &amp; Plan d''action'!$B$6:$AJ$1113,29,FALSE))</f>
        <v>7</v>
      </c>
      <c r="DS155" s="70">
        <f>IF(VLOOKUP($BS155,'État &amp; Plan d''action'!$B$6:$AJ$1113,30,FALSE)="","",VLOOKUP($BS155,'État &amp; Plan d''action'!$B$6:$AJ$1113,30,FALSE))</f>
        <v>0</v>
      </c>
      <c r="DT155" s="70">
        <v>308</v>
      </c>
      <c r="DU155" s="485">
        <v>14.31786627768966</v>
      </c>
      <c r="DV155" s="485">
        <v>18.878688740685799</v>
      </c>
      <c r="DW155" s="70">
        <v>2</v>
      </c>
      <c r="DX155" s="70">
        <v>2</v>
      </c>
      <c r="DY155" s="70">
        <v>0</v>
      </c>
      <c r="DZ155" s="70">
        <f>VLOOKUP($BS155,'État &amp; Plan d''action'!$B$6:$AH$1113,31,FALSE)</f>
        <v>2</v>
      </c>
      <c r="EA155" s="70">
        <f>VLOOKUP($BS155,'État &amp; Plan d''action'!$B$6:$AH$1113,32,FALSE)</f>
        <v>2</v>
      </c>
      <c r="EB155" s="70">
        <f>VLOOKUP($BS155,'État &amp; Plan d''action'!$B$6:$AH$1113,33,FALSE)</f>
        <v>0</v>
      </c>
      <c r="EC155" s="70">
        <v>0</v>
      </c>
      <c r="ED155" s="70">
        <v>0</v>
      </c>
      <c r="EE155" s="70">
        <v>137.96100000000001</v>
      </c>
      <c r="EF155" s="70">
        <v>0</v>
      </c>
      <c r="EG155" s="70">
        <v>0</v>
      </c>
      <c r="EH155" s="72">
        <v>51.254385964912274</v>
      </c>
      <c r="EI155" s="72">
        <v>19535</v>
      </c>
    </row>
    <row r="156" spans="1:139" ht="11.25" hidden="1" customHeight="1" x14ac:dyDescent="0.35">
      <c r="A156" s="370"/>
      <c r="B156" s="2"/>
      <c r="C156" s="2"/>
      <c r="D156" s="2"/>
      <c r="E156" s="2"/>
      <c r="F156" s="2"/>
      <c r="G156" s="2"/>
      <c r="H156" s="2"/>
      <c r="I156" s="2"/>
      <c r="J156" s="2"/>
      <c r="K156" s="2"/>
      <c r="L156" s="2"/>
      <c r="M156" s="2"/>
      <c r="N156" s="2"/>
      <c r="O156" s="95"/>
      <c r="P156" s="95"/>
      <c r="Q156" s="95"/>
      <c r="R156" s="95"/>
      <c r="S156" s="95"/>
      <c r="T156" s="70"/>
      <c r="W156" s="442"/>
      <c r="X156" s="442"/>
      <c r="Y156" s="442"/>
      <c r="Z156" s="442"/>
      <c r="AA156" s="442"/>
      <c r="AB156" s="442"/>
      <c r="AC156" s="442"/>
      <c r="AD156" s="442"/>
      <c r="AE156" s="442"/>
      <c r="AF156" s="442"/>
      <c r="AG156" s="442"/>
      <c r="AH156" s="442"/>
      <c r="AI156" s="442"/>
      <c r="BS156" s="486">
        <v>33040</v>
      </c>
      <c r="BT156" s="479" t="s">
        <v>272</v>
      </c>
      <c r="BU156" s="479">
        <v>12</v>
      </c>
      <c r="BV156" s="476" t="s">
        <v>1188</v>
      </c>
      <c r="BW156" s="476" t="s">
        <v>1188</v>
      </c>
      <c r="BX156" s="476" t="s">
        <v>1188</v>
      </c>
      <c r="BY156" s="476" t="s">
        <v>1188</v>
      </c>
      <c r="BZ156" s="476" t="s">
        <v>1188</v>
      </c>
      <c r="CA156" s="476" t="s">
        <v>1188</v>
      </c>
      <c r="CB156" s="476" t="s">
        <v>1188</v>
      </c>
      <c r="CC156" s="476" t="s">
        <v>1188</v>
      </c>
      <c r="CD156" s="476" t="s">
        <v>1188</v>
      </c>
      <c r="CE156" s="476" t="s">
        <v>1187</v>
      </c>
      <c r="CF156" s="476" t="s">
        <v>1187</v>
      </c>
      <c r="CG156" s="476" t="s">
        <v>1187</v>
      </c>
      <c r="CH156" s="476" t="s">
        <v>1187</v>
      </c>
      <c r="CI156" s="476" t="s">
        <v>1187</v>
      </c>
      <c r="CJ156" s="476" t="s">
        <v>1187</v>
      </c>
      <c r="CK156" s="476" t="s">
        <v>1187</v>
      </c>
      <c r="CL156" s="476" t="s">
        <v>1187</v>
      </c>
      <c r="CM156" s="476" t="str">
        <f>IF(VLOOKUP(BS156,'Données par municipalité'!$B$6:$E$1113,4,FALSE)="","non","oui")</f>
        <v>non</v>
      </c>
      <c r="CN156" s="410" t="s">
        <v>1124</v>
      </c>
      <c r="CO156" s="410" t="s">
        <v>1124</v>
      </c>
      <c r="CP156" s="410"/>
      <c r="CQ156" s="410"/>
      <c r="CR156" s="410"/>
      <c r="CS156" s="410" t="s">
        <v>1124</v>
      </c>
      <c r="CT156" s="410"/>
      <c r="CU156" s="410" t="s">
        <v>1124</v>
      </c>
      <c r="CV156" s="410" t="str">
        <f>IF(VLOOKUP(BS156,'Données par municipalité'!$B$6:$F$1113,4,FALSE)="","",VLOOKUP(BS156,'Données par municipalité'!$B$6:$F$1113,4,FALSE))</f>
        <v/>
      </c>
      <c r="CW156" s="476" t="s">
        <v>4723</v>
      </c>
      <c r="CX156" s="483" t="s">
        <v>1124</v>
      </c>
      <c r="CY156" s="483" t="s">
        <v>1124</v>
      </c>
      <c r="CZ156" s="483" t="s">
        <v>1124</v>
      </c>
      <c r="DA156" s="483" t="s">
        <v>1124</v>
      </c>
      <c r="DB156" s="483" t="s">
        <v>1124</v>
      </c>
      <c r="DC156" s="483" t="s">
        <v>1124</v>
      </c>
      <c r="DD156" s="483" t="s">
        <v>1124</v>
      </c>
      <c r="DE156" s="483" t="str">
        <f>IFERROR(SUM(VLOOKUP($BS156,'État &amp; Plan d''action'!$B$6:$Z$1113,18,FALSE),VLOOKUP($BS156,'État &amp; Plan d''action'!$B$6:$Z$1113,20,FALSE))/(VLOOKUP($BS156,'Données par municipalité'!$B$4:$L$1113,11,FALSE)),"")</f>
        <v/>
      </c>
      <c r="DF156" s="483" t="str">
        <f>IFERROR(SUM(VLOOKUP($BS156,'État &amp; Plan d''action'!$B$6:$Z$1113,19,FALSE),VLOOKUP($BS156,'État &amp; Plan d''action'!$B$6:$Z$1113,21,FALSE))/(VLOOKUP($BS156,'Données par municipalité'!$B$4:$L$1113,11,FALSE)),"")</f>
        <v/>
      </c>
      <c r="DG156" s="476" t="s">
        <v>4723</v>
      </c>
      <c r="DH156" s="484" t="s">
        <v>1124</v>
      </c>
      <c r="DI156" s="484" t="s">
        <v>1124</v>
      </c>
      <c r="DJ156" s="484">
        <v>0</v>
      </c>
      <c r="DK156" s="484">
        <v>0</v>
      </c>
      <c r="DL156" s="484" t="s">
        <v>1124</v>
      </c>
      <c r="DM156" s="484" t="s">
        <v>1124</v>
      </c>
      <c r="DN156" s="484" t="s">
        <v>1124</v>
      </c>
      <c r="DO156" s="484" t="s">
        <v>1124</v>
      </c>
      <c r="DP156" s="484" t="s">
        <v>1124</v>
      </c>
      <c r="DQ156" s="484" t="str">
        <f>IF(VLOOKUP($BS156,'État &amp; Plan d''action'!$B$6:$AJ$1113,28,FALSE)="","",VLOOKUP($BS156,'État &amp; Plan d''action'!$B$6:$AJ$1113,28,FALSE))</f>
        <v/>
      </c>
      <c r="DR156" s="70" t="str">
        <f>IF(VLOOKUP($BS156,'État &amp; Plan d''action'!$B$6:$AJ$1113,29,FALSE)="","",VLOOKUP($BS156,'État &amp; Plan d''action'!$B$6:$AJ$1113,29,FALSE))</f>
        <v/>
      </c>
      <c r="DS156" s="70" t="str">
        <f>IF(VLOOKUP($BS156,'État &amp; Plan d''action'!$B$6:$AJ$1113,30,FALSE)="","",VLOOKUP($BS156,'État &amp; Plan d''action'!$B$6:$AJ$1113,30,FALSE))</f>
        <v/>
      </c>
      <c r="DT156" s="70" t="s">
        <v>1124</v>
      </c>
      <c r="DU156" s="485" t="s">
        <v>1124</v>
      </c>
      <c r="DV156" s="485" t="s">
        <v>1124</v>
      </c>
      <c r="DW156" s="70" t="s">
        <v>1124</v>
      </c>
      <c r="DX156" s="70" t="s">
        <v>1124</v>
      </c>
      <c r="DY156" s="70" t="s">
        <v>1124</v>
      </c>
      <c r="DZ156" s="70" t="str">
        <f>VLOOKUP($BS156,'État &amp; Plan d''action'!$B$6:$AH$1113,31,FALSE)</f>
        <v/>
      </c>
      <c r="EA156" s="70" t="str">
        <f>VLOOKUP($BS156,'État &amp; Plan d''action'!$B$6:$AH$1113,32,FALSE)</f>
        <v/>
      </c>
      <c r="EB156" s="70" t="str">
        <f>VLOOKUP($BS156,'État &amp; Plan d''action'!$B$6:$AH$1113,33,FALSE)</f>
        <v/>
      </c>
      <c r="EC156" s="70" t="s">
        <v>1124</v>
      </c>
      <c r="ED156" s="70" t="s">
        <v>1124</v>
      </c>
      <c r="EE156" s="70" t="s">
        <v>1124</v>
      </c>
      <c r="EF156" s="70" t="s">
        <v>1124</v>
      </c>
      <c r="EG156" s="70" t="s">
        <v>1124</v>
      </c>
      <c r="EH156" s="72"/>
      <c r="EI156" s="72">
        <v>986</v>
      </c>
    </row>
    <row r="157" spans="1:139" ht="11.25" hidden="1" customHeight="1" x14ac:dyDescent="0.35">
      <c r="A157" s="370"/>
      <c r="B157" s="2"/>
      <c r="C157" s="2"/>
      <c r="D157" s="2"/>
      <c r="E157" s="2"/>
      <c r="F157" s="2"/>
      <c r="G157" s="2"/>
      <c r="H157" s="2"/>
      <c r="I157" s="2"/>
      <c r="J157" s="2"/>
      <c r="K157" s="2"/>
      <c r="L157" s="2"/>
      <c r="M157" s="2"/>
      <c r="N157" s="2"/>
      <c r="O157" s="95"/>
      <c r="P157" s="95"/>
      <c r="Q157" s="95"/>
      <c r="R157" s="95"/>
      <c r="S157" s="95"/>
      <c r="T157" s="70"/>
      <c r="BS157" s="486">
        <v>49058</v>
      </c>
      <c r="BT157" s="479" t="s">
        <v>471</v>
      </c>
      <c r="BU157" s="479">
        <v>17</v>
      </c>
      <c r="BV157" s="476" t="s">
        <v>1187</v>
      </c>
      <c r="BW157" s="476" t="s">
        <v>1187</v>
      </c>
      <c r="BX157" s="476" t="s">
        <v>1187</v>
      </c>
      <c r="BY157" s="476" t="s">
        <v>1187</v>
      </c>
      <c r="BZ157" s="476" t="s">
        <v>1187</v>
      </c>
      <c r="CA157" s="476" t="s">
        <v>1187</v>
      </c>
      <c r="CB157" s="476" t="s">
        <v>1187</v>
      </c>
      <c r="CC157" s="476" t="s">
        <v>1187</v>
      </c>
      <c r="CD157" s="476" t="s">
        <v>1187</v>
      </c>
      <c r="CE157" s="476" t="s">
        <v>1188</v>
      </c>
      <c r="CF157" s="476" t="s">
        <v>1188</v>
      </c>
      <c r="CG157" s="476" t="s">
        <v>1188</v>
      </c>
      <c r="CH157" s="476" t="s">
        <v>1188</v>
      </c>
      <c r="CI157" s="476" t="s">
        <v>1188</v>
      </c>
      <c r="CJ157" s="476" t="s">
        <v>1188</v>
      </c>
      <c r="CK157" s="476" t="s">
        <v>1188</v>
      </c>
      <c r="CL157" s="476" t="s">
        <v>1188</v>
      </c>
      <c r="CM157" s="476" t="str">
        <f>IF(VLOOKUP(BS157,'Données par municipalité'!$B$6:$E$1113,4,FALSE)="","non","oui")</f>
        <v>oui</v>
      </c>
      <c r="CN157" s="410">
        <v>482.3891754542434</v>
      </c>
      <c r="CO157" s="410">
        <v>517.19156598048642</v>
      </c>
      <c r="CP157" s="410">
        <v>493.62520256969776</v>
      </c>
      <c r="CQ157" s="410">
        <v>487.52882983523756</v>
      </c>
      <c r="CR157" s="410">
        <v>460.94135279232387</v>
      </c>
      <c r="CS157" s="410">
        <v>458.34030368895264</v>
      </c>
      <c r="CT157" s="410">
        <v>480.64870239569217</v>
      </c>
      <c r="CU157" s="410">
        <v>488</v>
      </c>
      <c r="CV157" s="410">
        <f>IF(VLOOKUP(BS157,'Données par municipalité'!$B$6:$F$1113,4,FALSE)="","",VLOOKUP(BS157,'Données par municipalité'!$B$6:$F$1113,4,FALSE))</f>
        <v>509</v>
      </c>
      <c r="CW157" s="476" t="s">
        <v>4723</v>
      </c>
      <c r="CX157" s="483">
        <v>0</v>
      </c>
      <c r="CY157" s="483">
        <v>0</v>
      </c>
      <c r="CZ157" s="483">
        <v>0</v>
      </c>
      <c r="DA157" s="483">
        <v>0</v>
      </c>
      <c r="DB157" s="483">
        <v>0</v>
      </c>
      <c r="DC157" s="483">
        <v>0.25</v>
      </c>
      <c r="DD157" s="483">
        <v>0.52874566226389486</v>
      </c>
      <c r="DE157" s="483">
        <f>IFERROR(SUM(VLOOKUP($BS157,'État &amp; Plan d''action'!$B$6:$Z$1113,18,FALSE),VLOOKUP($BS157,'État &amp; Plan d''action'!$B$6:$Z$1113,20,FALSE))/(VLOOKUP($BS157,'Données par municipalité'!$B$4:$L$1113,11,FALSE)),"")</f>
        <v>1.1963266217497917</v>
      </c>
      <c r="DF157" s="483">
        <f>IFERROR(SUM(VLOOKUP($BS157,'État &amp; Plan d''action'!$B$6:$Z$1113,19,FALSE),VLOOKUP($BS157,'État &amp; Plan d''action'!$B$6:$Z$1113,21,FALSE))/(VLOOKUP($BS157,'Données par municipalité'!$B$4:$L$1113,11,FALSE)),"")</f>
        <v>1.6900162036705104</v>
      </c>
      <c r="DG157" s="476" t="s">
        <v>4723</v>
      </c>
      <c r="DH157" s="484">
        <v>48</v>
      </c>
      <c r="DI157" s="484">
        <v>62</v>
      </c>
      <c r="DJ157" s="484">
        <v>67</v>
      </c>
      <c r="DK157" s="484">
        <v>70</v>
      </c>
      <c r="DL157" s="484">
        <v>76</v>
      </c>
      <c r="DM157" s="484">
        <v>50</v>
      </c>
      <c r="DN157" s="484">
        <v>33</v>
      </c>
      <c r="DO157" s="484">
        <v>7</v>
      </c>
      <c r="DP157" s="484">
        <v>5</v>
      </c>
      <c r="DQ157" s="484">
        <f>IF(VLOOKUP($BS157,'État &amp; Plan d''action'!$B$6:$AJ$1113,28,FALSE)="","",VLOOKUP($BS157,'État &amp; Plan d''action'!$B$6:$AJ$1113,28,FALSE))</f>
        <v>58</v>
      </c>
      <c r="DR157" s="70">
        <f>IF(VLOOKUP($BS157,'État &amp; Plan d''action'!$B$6:$AJ$1113,29,FALSE)="","",VLOOKUP($BS157,'État &amp; Plan d''action'!$B$6:$AJ$1113,29,FALSE))</f>
        <v>12</v>
      </c>
      <c r="DS157" s="70">
        <f>IF(VLOOKUP($BS157,'État &amp; Plan d''action'!$B$6:$AJ$1113,30,FALSE)="","",VLOOKUP($BS157,'État &amp; Plan d''action'!$B$6:$AJ$1113,30,FALSE))</f>
        <v>9</v>
      </c>
      <c r="DT157" s="70">
        <v>191</v>
      </c>
      <c r="DU157" s="485">
        <v>2.2295245860726927</v>
      </c>
      <c r="DV157" s="485">
        <v>5.2632159211184923</v>
      </c>
      <c r="DW157" s="70">
        <v>1</v>
      </c>
      <c r="DX157" s="70">
        <v>1</v>
      </c>
      <c r="DY157" s="70">
        <v>3</v>
      </c>
      <c r="DZ157" s="70">
        <f>VLOOKUP($BS157,'État &amp; Plan d''action'!$B$6:$AH$1113,31,FALSE)</f>
        <v>1</v>
      </c>
      <c r="EA157" s="70">
        <f>VLOOKUP($BS157,'État &amp; Plan d''action'!$B$6:$AH$1113,32,FALSE)</f>
        <v>3</v>
      </c>
      <c r="EB157" s="70">
        <f>VLOOKUP($BS157,'État &amp; Plan d''action'!$B$6:$AH$1113,33,FALSE)</f>
        <v>19</v>
      </c>
      <c r="EC157" s="70">
        <v>0</v>
      </c>
      <c r="ED157" s="70">
        <v>250</v>
      </c>
      <c r="EE157" s="70">
        <v>5</v>
      </c>
      <c r="EF157" s="70">
        <v>0</v>
      </c>
      <c r="EG157" s="70">
        <v>0</v>
      </c>
      <c r="EH157" s="72">
        <v>56.334537437846969</v>
      </c>
      <c r="EI157" s="72">
        <v>77746</v>
      </c>
    </row>
    <row r="158" spans="1:139" ht="11.25" hidden="1" customHeight="1" x14ac:dyDescent="0.35">
      <c r="A158" s="370"/>
      <c r="B158" s="2"/>
      <c r="C158" s="2"/>
      <c r="D158" s="2"/>
      <c r="E158" s="2"/>
      <c r="F158" s="2"/>
      <c r="G158" s="2"/>
      <c r="H158" s="2"/>
      <c r="I158" s="2"/>
      <c r="J158" s="2"/>
      <c r="K158" s="2"/>
      <c r="L158" s="2"/>
      <c r="M158" s="2"/>
      <c r="N158" s="2"/>
      <c r="O158" s="95"/>
      <c r="P158" s="95"/>
      <c r="Q158" s="95"/>
      <c r="R158" s="95"/>
      <c r="S158" s="95"/>
      <c r="T158" s="70"/>
      <c r="BS158" s="486">
        <v>41117</v>
      </c>
      <c r="BT158" s="479" t="s">
        <v>378</v>
      </c>
      <c r="BU158" s="479">
        <v>5</v>
      </c>
      <c r="BV158" s="476" t="s">
        <v>1187</v>
      </c>
      <c r="BW158" s="476" t="s">
        <v>1187</v>
      </c>
      <c r="BX158" s="476" t="s">
        <v>1187</v>
      </c>
      <c r="BY158" s="476" t="s">
        <v>1187</v>
      </c>
      <c r="BZ158" s="476" t="s">
        <v>1187</v>
      </c>
      <c r="CA158" s="476" t="s">
        <v>1187</v>
      </c>
      <c r="CB158" s="476" t="s">
        <v>1187</v>
      </c>
      <c r="CC158" s="476" t="s">
        <v>1187</v>
      </c>
      <c r="CD158" s="476" t="s">
        <v>1187</v>
      </c>
      <c r="CE158" s="476" t="s">
        <v>1188</v>
      </c>
      <c r="CF158" s="476" t="s">
        <v>1188</v>
      </c>
      <c r="CG158" s="476" t="s">
        <v>1188</v>
      </c>
      <c r="CH158" s="476" t="s">
        <v>1188</v>
      </c>
      <c r="CI158" s="476" t="s">
        <v>1188</v>
      </c>
      <c r="CJ158" s="476" t="s">
        <v>1188</v>
      </c>
      <c r="CK158" s="476" t="s">
        <v>1188</v>
      </c>
      <c r="CL158" s="476" t="s">
        <v>1188</v>
      </c>
      <c r="CM158" s="476" t="str">
        <f>IF(VLOOKUP(BS158,'Données par municipalité'!$B$6:$E$1113,4,FALSE)="","non","oui")</f>
        <v>oui</v>
      </c>
      <c r="CN158" s="410">
        <v>254.79186148030297</v>
      </c>
      <c r="CO158" s="410">
        <v>257.28000189517252</v>
      </c>
      <c r="CP158" s="410">
        <v>332.79347644309985</v>
      </c>
      <c r="CQ158" s="410">
        <v>326.40554537327893</v>
      </c>
      <c r="CR158" s="410">
        <v>224.709799298212</v>
      </c>
      <c r="CS158" s="410">
        <v>278.90330388378783</v>
      </c>
      <c r="CT158" s="410">
        <v>237.16296667863983</v>
      </c>
      <c r="CU158" s="410">
        <v>260</v>
      </c>
      <c r="CV158" s="410">
        <f>IF(VLOOKUP(BS158,'Données par municipalité'!$B$6:$F$1113,4,FALSE)="","",VLOOKUP(BS158,'Données par municipalité'!$B$6:$F$1113,4,FALSE))</f>
        <v>335</v>
      </c>
      <c r="CW158" s="476" t="s">
        <v>4723</v>
      </c>
      <c r="CX158" s="483">
        <v>0</v>
      </c>
      <c r="CY158" s="483">
        <v>0</v>
      </c>
      <c r="CZ158" s="483">
        <v>0</v>
      </c>
      <c r="DA158" s="483">
        <v>0</v>
      </c>
      <c r="DB158" s="483">
        <v>0</v>
      </c>
      <c r="DC158" s="483">
        <v>0</v>
      </c>
      <c r="DD158" s="483">
        <v>0</v>
      </c>
      <c r="DE158" s="483">
        <f>IFERROR(SUM(VLOOKUP($BS158,'État &amp; Plan d''action'!$B$6:$Z$1113,18,FALSE),VLOOKUP($BS158,'État &amp; Plan d''action'!$B$6:$Z$1113,20,FALSE))/(VLOOKUP($BS158,'Données par municipalité'!$B$4:$L$1113,11,FALSE)),"")</f>
        <v>0</v>
      </c>
      <c r="DF158" s="483">
        <f>IFERROR(SUM(VLOOKUP($BS158,'État &amp; Plan d''action'!$B$6:$Z$1113,19,FALSE),VLOOKUP($BS158,'État &amp; Plan d''action'!$B$6:$Z$1113,21,FALSE))/(VLOOKUP($BS158,'Données par municipalité'!$B$4:$L$1113,11,FALSE)),"")</f>
        <v>0</v>
      </c>
      <c r="DG158" s="476" t="s">
        <v>4723</v>
      </c>
      <c r="DH158" s="484">
        <v>0</v>
      </c>
      <c r="DI158" s="484">
        <v>1</v>
      </c>
      <c r="DJ158" s="484">
        <v>4</v>
      </c>
      <c r="DK158" s="484">
        <v>1</v>
      </c>
      <c r="DL158" s="484">
        <v>1</v>
      </c>
      <c r="DM158" s="484">
        <v>0</v>
      </c>
      <c r="DN158" s="484">
        <v>0</v>
      </c>
      <c r="DO158" s="484">
        <v>1</v>
      </c>
      <c r="DP158" s="484">
        <v>0</v>
      </c>
      <c r="DQ158" s="484">
        <f>IF(VLOOKUP($BS158,'État &amp; Plan d''action'!$B$6:$AJ$1113,28,FALSE)="","",VLOOKUP($BS158,'État &amp; Plan d''action'!$B$6:$AJ$1113,28,FALSE))</f>
        <v>0</v>
      </c>
      <c r="DR158" s="70">
        <f>IF(VLOOKUP($BS158,'État &amp; Plan d''action'!$B$6:$AJ$1113,29,FALSE)="","",VLOOKUP($BS158,'État &amp; Plan d''action'!$B$6:$AJ$1113,29,FALSE))</f>
        <v>2</v>
      </c>
      <c r="DS158" s="70">
        <f>IF(VLOOKUP($BS158,'État &amp; Plan d''action'!$B$6:$AJ$1113,30,FALSE)="","",VLOOKUP($BS158,'État &amp; Plan d''action'!$B$6:$AJ$1113,30,FALSE))</f>
        <v>4</v>
      </c>
      <c r="DT158" s="70">
        <v>177</v>
      </c>
      <c r="DU158" s="485">
        <v>1.6262264003732205</v>
      </c>
      <c r="DV158" s="485">
        <v>2.6215597359666352</v>
      </c>
      <c r="DW158" s="70">
        <v>0</v>
      </c>
      <c r="DX158" s="70">
        <v>1</v>
      </c>
      <c r="DY158" s="70">
        <v>0</v>
      </c>
      <c r="DZ158" s="70">
        <f>VLOOKUP($BS158,'État &amp; Plan d''action'!$B$6:$AH$1113,31,FALSE)</f>
        <v>0</v>
      </c>
      <c r="EA158" s="70">
        <f>VLOOKUP($BS158,'État &amp; Plan d''action'!$B$6:$AH$1113,32,FALSE)</f>
        <v>3</v>
      </c>
      <c r="EB158" s="70">
        <f>VLOOKUP($BS158,'État &amp; Plan d''action'!$B$6:$AH$1113,33,FALSE)</f>
        <v>5</v>
      </c>
      <c r="EC158" s="70">
        <v>0</v>
      </c>
      <c r="ED158" s="70">
        <v>0</v>
      </c>
      <c r="EE158" s="70">
        <v>0</v>
      </c>
      <c r="EF158" s="70">
        <v>0</v>
      </c>
      <c r="EG158" s="70">
        <v>0</v>
      </c>
      <c r="EH158" s="72">
        <v>57</v>
      </c>
      <c r="EI158" s="72">
        <v>1772</v>
      </c>
    </row>
    <row r="159" spans="1:139" ht="11.25" hidden="1" customHeight="1" x14ac:dyDescent="0.35">
      <c r="A159" s="370"/>
      <c r="B159" s="2"/>
      <c r="C159" s="2"/>
      <c r="D159" s="2"/>
      <c r="E159" s="2"/>
      <c r="F159" s="2"/>
      <c r="G159" s="2"/>
      <c r="H159" s="2"/>
      <c r="I159" s="2"/>
      <c r="J159" s="2"/>
      <c r="K159" s="2"/>
      <c r="L159" s="2"/>
      <c r="M159" s="2"/>
      <c r="N159" s="2"/>
      <c r="O159" s="95"/>
      <c r="P159" s="95"/>
      <c r="Q159" s="95"/>
      <c r="R159" s="95"/>
      <c r="S159" s="95"/>
      <c r="T159" s="70"/>
      <c r="BS159" s="486">
        <v>80135</v>
      </c>
      <c r="BT159" s="479" t="s">
        <v>824</v>
      </c>
      <c r="BU159" s="479">
        <v>7</v>
      </c>
      <c r="BV159" s="476" t="s">
        <v>1187</v>
      </c>
      <c r="BW159" s="476" t="s">
        <v>1187</v>
      </c>
      <c r="BX159" s="476" t="s">
        <v>1187</v>
      </c>
      <c r="BY159" s="476" t="s">
        <v>1187</v>
      </c>
      <c r="BZ159" s="476" t="s">
        <v>1187</v>
      </c>
      <c r="CA159" s="476" t="s">
        <v>1187</v>
      </c>
      <c r="CB159" s="476" t="s">
        <v>1187</v>
      </c>
      <c r="CC159" s="476" t="s">
        <v>1187</v>
      </c>
      <c r="CD159" s="476" t="s">
        <v>1187</v>
      </c>
      <c r="CE159" s="476" t="s">
        <v>1188</v>
      </c>
      <c r="CF159" s="476" t="s">
        <v>1188</v>
      </c>
      <c r="CG159" s="476" t="s">
        <v>1188</v>
      </c>
      <c r="CH159" s="476" t="s">
        <v>1188</v>
      </c>
      <c r="CI159" s="476" t="s">
        <v>1187</v>
      </c>
      <c r="CJ159" s="476" t="s">
        <v>1188</v>
      </c>
      <c r="CK159" s="476" t="s">
        <v>1188</v>
      </c>
      <c r="CL159" s="476" t="s">
        <v>1188</v>
      </c>
      <c r="CM159" s="476" t="str">
        <f>IF(VLOOKUP(BS159,'Données par municipalité'!$B$6:$E$1113,4,FALSE)="","non","oui")</f>
        <v>oui</v>
      </c>
      <c r="CN159" s="410">
        <v>408.40767643283124</v>
      </c>
      <c r="CO159" s="410">
        <v>380.30082493999004</v>
      </c>
      <c r="CP159" s="410">
        <v>541.38233331113508</v>
      </c>
      <c r="CQ159" s="410">
        <v>437.34125239011416</v>
      </c>
      <c r="CR159" s="410"/>
      <c r="CS159" s="410">
        <v>461.71495559482292</v>
      </c>
      <c r="CT159" s="410">
        <v>352.96457505733429</v>
      </c>
      <c r="CU159" s="410">
        <v>785</v>
      </c>
      <c r="CV159" s="410">
        <f>IF(VLOOKUP(BS159,'Données par municipalité'!$B$6:$F$1113,4,FALSE)="","",VLOOKUP(BS159,'Données par municipalité'!$B$6:$F$1113,4,FALSE))</f>
        <v>582</v>
      </c>
      <c r="CW159" s="476" t="s">
        <v>4723</v>
      </c>
      <c r="CX159" s="483">
        <v>1</v>
      </c>
      <c r="CY159" s="483">
        <v>1</v>
      </c>
      <c r="CZ159" s="483">
        <v>1</v>
      </c>
      <c r="DA159" s="483" t="s">
        <v>1124</v>
      </c>
      <c r="DB159" s="483">
        <v>1</v>
      </c>
      <c r="DC159" s="483">
        <v>1</v>
      </c>
      <c r="DD159" s="483">
        <v>0</v>
      </c>
      <c r="DE159" s="483">
        <f>IFERROR(SUM(VLOOKUP($BS159,'État &amp; Plan d''action'!$B$6:$Z$1113,18,FALSE),VLOOKUP($BS159,'État &amp; Plan d''action'!$B$6:$Z$1113,20,FALSE))/(VLOOKUP($BS159,'Données par municipalité'!$B$4:$L$1113,11,FALSE)),"")</f>
        <v>0</v>
      </c>
      <c r="DF159" s="483">
        <f>IFERROR(SUM(VLOOKUP($BS159,'État &amp; Plan d''action'!$B$6:$Z$1113,19,FALSE),VLOOKUP($BS159,'État &amp; Plan d''action'!$B$6:$Z$1113,21,FALSE))/(VLOOKUP($BS159,'Données par municipalité'!$B$4:$L$1113,11,FALSE)),"")</f>
        <v>0</v>
      </c>
      <c r="DG159" s="476" t="s">
        <v>4723</v>
      </c>
      <c r="DH159" s="484">
        <v>0</v>
      </c>
      <c r="DI159" s="484">
        <v>0</v>
      </c>
      <c r="DJ159" s="484">
        <v>1</v>
      </c>
      <c r="DK159" s="484">
        <v>3</v>
      </c>
      <c r="DL159" s="484">
        <v>1</v>
      </c>
      <c r="DM159" s="484">
        <v>0</v>
      </c>
      <c r="DN159" s="484">
        <v>0</v>
      </c>
      <c r="DO159" s="484">
        <v>0</v>
      </c>
      <c r="DP159" s="484">
        <v>0</v>
      </c>
      <c r="DQ159" s="484">
        <f>IF(VLOOKUP($BS159,'État &amp; Plan d''action'!$B$6:$AJ$1113,28,FALSE)="","",VLOOKUP($BS159,'État &amp; Plan d''action'!$B$6:$AJ$1113,28,FALSE))</f>
        <v>0</v>
      </c>
      <c r="DR159" s="70">
        <f>IF(VLOOKUP($BS159,'État &amp; Plan d''action'!$B$6:$AJ$1113,29,FALSE)="","",VLOOKUP($BS159,'État &amp; Plan d''action'!$B$6:$AJ$1113,29,FALSE))</f>
        <v>0</v>
      </c>
      <c r="DS159" s="70">
        <f>IF(VLOOKUP($BS159,'État &amp; Plan d''action'!$B$6:$AJ$1113,30,FALSE)="","",VLOOKUP($BS159,'État &amp; Plan d''action'!$B$6:$AJ$1113,30,FALSE))</f>
        <v>0</v>
      </c>
      <c r="DT159" s="70">
        <v>425</v>
      </c>
      <c r="DU159" s="485">
        <v>2.5133018308693273</v>
      </c>
      <c r="DV159" s="485">
        <v>1.5540828759732317</v>
      </c>
      <c r="DW159" s="70">
        <v>0</v>
      </c>
      <c r="DX159" s="70">
        <v>0</v>
      </c>
      <c r="DY159" s="70">
        <v>0</v>
      </c>
      <c r="DZ159" s="70">
        <f>VLOOKUP($BS159,'État &amp; Plan d''action'!$B$6:$AH$1113,31,FALSE)</f>
        <v>0</v>
      </c>
      <c r="EA159" s="70">
        <f>VLOOKUP($BS159,'État &amp; Plan d''action'!$B$6:$AH$1113,32,FALSE)</f>
        <v>0</v>
      </c>
      <c r="EB159" s="70">
        <f>VLOOKUP($BS159,'État &amp; Plan d''action'!$B$6:$AH$1113,33,FALSE)</f>
        <v>0</v>
      </c>
      <c r="EC159" s="70">
        <v>0</v>
      </c>
      <c r="ED159" s="70">
        <v>0</v>
      </c>
      <c r="EE159" s="70">
        <v>0</v>
      </c>
      <c r="EF159" s="70">
        <v>0</v>
      </c>
      <c r="EG159" s="70">
        <v>0</v>
      </c>
      <c r="EH159" s="72">
        <v>47</v>
      </c>
      <c r="EI159" s="72">
        <v>431</v>
      </c>
    </row>
    <row r="160" spans="1:139" ht="11.25" hidden="1" customHeight="1" x14ac:dyDescent="0.35">
      <c r="A160" s="370"/>
      <c r="B160" s="2"/>
      <c r="C160" s="2"/>
      <c r="D160" s="2"/>
      <c r="E160" s="2"/>
      <c r="F160" s="2"/>
      <c r="G160" s="2"/>
      <c r="H160" s="2"/>
      <c r="I160" s="2"/>
      <c r="J160" s="2"/>
      <c r="K160" s="2"/>
      <c r="L160" s="2"/>
      <c r="M160" s="2"/>
      <c r="N160" s="2"/>
      <c r="O160" s="95"/>
      <c r="P160" s="95"/>
      <c r="Q160" s="95"/>
      <c r="R160" s="95"/>
      <c r="S160" s="95"/>
      <c r="T160" s="70"/>
      <c r="BS160" s="486">
        <v>85030</v>
      </c>
      <c r="BT160" s="479" t="s">
        <v>875</v>
      </c>
      <c r="BU160" s="479">
        <v>8</v>
      </c>
      <c r="BV160" s="476" t="s">
        <v>1188</v>
      </c>
      <c r="BW160" s="476" t="s">
        <v>1188</v>
      </c>
      <c r="BX160" s="476" t="s">
        <v>1188</v>
      </c>
      <c r="BY160" s="476" t="s">
        <v>1188</v>
      </c>
      <c r="BZ160" s="476" t="s">
        <v>1188</v>
      </c>
      <c r="CA160" s="476" t="s">
        <v>1188</v>
      </c>
      <c r="CB160" s="476" t="s">
        <v>1188</v>
      </c>
      <c r="CC160" s="476" t="s">
        <v>1188</v>
      </c>
      <c r="CD160" s="476" t="s">
        <v>1188</v>
      </c>
      <c r="CE160" s="476" t="s">
        <v>1188</v>
      </c>
      <c r="CF160" s="476" t="s">
        <v>1188</v>
      </c>
      <c r="CG160" s="476" t="s">
        <v>1188</v>
      </c>
      <c r="CH160" s="476" t="s">
        <v>1188</v>
      </c>
      <c r="CI160" s="476" t="s">
        <v>1188</v>
      </c>
      <c r="CJ160" s="476" t="s">
        <v>1187</v>
      </c>
      <c r="CK160" s="476" t="s">
        <v>1187</v>
      </c>
      <c r="CL160" s="476" t="s">
        <v>1187</v>
      </c>
      <c r="CM160" s="476" t="str">
        <f>IF(VLOOKUP(BS160,'Données par municipalité'!$B$6:$E$1113,4,FALSE)="","non","oui")</f>
        <v>non</v>
      </c>
      <c r="CN160" s="410">
        <v>409.04544466188298</v>
      </c>
      <c r="CO160" s="410">
        <v>331.82648042615187</v>
      </c>
      <c r="CP160" s="410">
        <v>316.13604148787266</v>
      </c>
      <c r="CQ160" s="410">
        <v>290.14940988969511</v>
      </c>
      <c r="CR160" s="410">
        <v>278.41324150197863</v>
      </c>
      <c r="CS160" s="410" t="s">
        <v>1124</v>
      </c>
      <c r="CT160" s="410"/>
      <c r="CU160" s="410" t="s">
        <v>1124</v>
      </c>
      <c r="CV160" s="410" t="str">
        <f>IF(VLOOKUP(BS160,'Données par municipalité'!$B$6:$F$1113,4,FALSE)="","",VLOOKUP(BS160,'Données par municipalité'!$B$6:$F$1113,4,FALSE))</f>
        <v/>
      </c>
      <c r="CW160" s="476" t="s">
        <v>4723</v>
      </c>
      <c r="CX160" s="483" t="s">
        <v>1124</v>
      </c>
      <c r="CY160" s="483">
        <v>0</v>
      </c>
      <c r="CZ160" s="483">
        <v>0</v>
      </c>
      <c r="DA160" s="483">
        <v>0</v>
      </c>
      <c r="DB160" s="483" t="s">
        <v>1124</v>
      </c>
      <c r="DC160" s="483" t="s">
        <v>1124</v>
      </c>
      <c r="DD160" s="483" t="s">
        <v>1124</v>
      </c>
      <c r="DE160" s="483" t="str">
        <f>IFERROR(SUM(VLOOKUP($BS160,'État &amp; Plan d''action'!$B$6:$Z$1113,18,FALSE),VLOOKUP($BS160,'État &amp; Plan d''action'!$B$6:$Z$1113,20,FALSE))/(VLOOKUP($BS160,'Données par municipalité'!$B$4:$L$1113,11,FALSE)),"")</f>
        <v/>
      </c>
      <c r="DF160" s="483" t="str">
        <f>IFERROR(SUM(VLOOKUP($BS160,'État &amp; Plan d''action'!$B$6:$Z$1113,19,FALSE),VLOOKUP($BS160,'État &amp; Plan d''action'!$B$6:$Z$1113,21,FALSE))/(VLOOKUP($BS160,'Données par municipalité'!$B$4:$L$1113,11,FALSE)),"")</f>
        <v/>
      </c>
      <c r="DG160" s="476" t="s">
        <v>4723</v>
      </c>
      <c r="DH160" s="484" t="s">
        <v>1124</v>
      </c>
      <c r="DI160" s="484" t="s">
        <v>1124</v>
      </c>
      <c r="DJ160" s="484">
        <v>0</v>
      </c>
      <c r="DK160" s="484">
        <v>0</v>
      </c>
      <c r="DL160" s="484" t="s">
        <v>1124</v>
      </c>
      <c r="DM160" s="484" t="s">
        <v>1124</v>
      </c>
      <c r="DN160" s="484" t="s">
        <v>1124</v>
      </c>
      <c r="DO160" s="484" t="s">
        <v>1124</v>
      </c>
      <c r="DP160" s="484" t="s">
        <v>1124</v>
      </c>
      <c r="DQ160" s="484" t="str">
        <f>IF(VLOOKUP($BS160,'État &amp; Plan d''action'!$B$6:$AJ$1113,28,FALSE)="","",VLOOKUP($BS160,'État &amp; Plan d''action'!$B$6:$AJ$1113,28,FALSE))</f>
        <v/>
      </c>
      <c r="DR160" s="70" t="str">
        <f>IF(VLOOKUP($BS160,'État &amp; Plan d''action'!$B$6:$AJ$1113,29,FALSE)="","",VLOOKUP($BS160,'État &amp; Plan d''action'!$B$6:$AJ$1113,29,FALSE))</f>
        <v/>
      </c>
      <c r="DS160" s="70" t="str">
        <f>IF(VLOOKUP($BS160,'État &amp; Plan d''action'!$B$6:$AJ$1113,30,FALSE)="","",VLOOKUP($BS160,'État &amp; Plan d''action'!$B$6:$AJ$1113,30,FALSE))</f>
        <v/>
      </c>
      <c r="DT160" s="70" t="s">
        <v>1124</v>
      </c>
      <c r="DU160" s="485" t="s">
        <v>1124</v>
      </c>
      <c r="DV160" s="485" t="s">
        <v>1124</v>
      </c>
      <c r="DW160" s="70" t="s">
        <v>1124</v>
      </c>
      <c r="DX160" s="70" t="s">
        <v>1124</v>
      </c>
      <c r="DY160" s="70" t="s">
        <v>1124</v>
      </c>
      <c r="DZ160" s="70" t="str">
        <f>VLOOKUP($BS160,'État &amp; Plan d''action'!$B$6:$AH$1113,31,FALSE)</f>
        <v/>
      </c>
      <c r="EA160" s="70" t="str">
        <f>VLOOKUP($BS160,'État &amp; Plan d''action'!$B$6:$AH$1113,32,FALSE)</f>
        <v/>
      </c>
      <c r="EB160" s="70" t="str">
        <f>VLOOKUP($BS160,'État &amp; Plan d''action'!$B$6:$AH$1113,33,FALSE)</f>
        <v/>
      </c>
      <c r="EC160" s="70" t="s">
        <v>1124</v>
      </c>
      <c r="ED160" s="70" t="s">
        <v>1124</v>
      </c>
      <c r="EE160" s="70" t="s">
        <v>1124</v>
      </c>
      <c r="EF160" s="70" t="s">
        <v>1124</v>
      </c>
      <c r="EG160" s="70" t="s">
        <v>1124</v>
      </c>
      <c r="EH160" s="72"/>
      <c r="EI160" s="72">
        <v>892</v>
      </c>
    </row>
    <row r="161" spans="1:139" ht="11.25" hidden="1" customHeight="1" x14ac:dyDescent="0.35">
      <c r="A161" s="370"/>
      <c r="B161" s="2"/>
      <c r="C161" s="2"/>
      <c r="D161" s="2"/>
      <c r="E161" s="2"/>
      <c r="F161" s="2"/>
      <c r="G161" s="2"/>
      <c r="H161" s="2"/>
      <c r="I161" s="2"/>
      <c r="J161" s="2"/>
      <c r="K161" s="2"/>
      <c r="L161" s="2"/>
      <c r="M161" s="2"/>
      <c r="N161" s="2"/>
      <c r="O161" s="95"/>
      <c r="P161" s="95"/>
      <c r="Q161" s="95"/>
      <c r="R161" s="95"/>
      <c r="S161" s="95"/>
      <c r="T161" s="70"/>
      <c r="BS161" s="486">
        <v>69075</v>
      </c>
      <c r="BT161" s="479" t="s">
        <v>696</v>
      </c>
      <c r="BU161" s="479">
        <v>16</v>
      </c>
      <c r="BV161" s="476" t="s">
        <v>1188</v>
      </c>
      <c r="BW161" s="476" t="s">
        <v>1188</v>
      </c>
      <c r="BX161" s="476" t="s">
        <v>1188</v>
      </c>
      <c r="BY161" s="476" t="s">
        <v>1188</v>
      </c>
      <c r="BZ161" s="476" t="s">
        <v>1188</v>
      </c>
      <c r="CA161" s="476" t="s">
        <v>1188</v>
      </c>
      <c r="CB161" s="476" t="s">
        <v>1188</v>
      </c>
      <c r="CC161" s="476" t="s">
        <v>1188</v>
      </c>
      <c r="CD161" s="476" t="s">
        <v>1188</v>
      </c>
      <c r="CE161" s="476" t="s">
        <v>1188</v>
      </c>
      <c r="CF161" s="476" t="s">
        <v>1188</v>
      </c>
      <c r="CG161" s="476" t="s">
        <v>1188</v>
      </c>
      <c r="CH161" s="476" t="s">
        <v>1187</v>
      </c>
      <c r="CI161" s="476" t="s">
        <v>1187</v>
      </c>
      <c r="CJ161" s="476" t="s">
        <v>1187</v>
      </c>
      <c r="CK161" s="476" t="s">
        <v>1187</v>
      </c>
      <c r="CL161" s="476" t="s">
        <v>1187</v>
      </c>
      <c r="CM161" s="476" t="str">
        <f>IF(VLOOKUP(BS161,'Données par municipalité'!$B$6:$E$1113,4,FALSE)="","non","oui")</f>
        <v>non</v>
      </c>
      <c r="CN161" s="410">
        <v>439</v>
      </c>
      <c r="CO161" s="410">
        <v>601.17206286626958</v>
      </c>
      <c r="CP161" s="410">
        <v>338.5149560473792</v>
      </c>
      <c r="CQ161" s="410"/>
      <c r="CR161" s="410"/>
      <c r="CS161" s="410" t="s">
        <v>1124</v>
      </c>
      <c r="CT161" s="410"/>
      <c r="CU161" s="410" t="s">
        <v>1124</v>
      </c>
      <c r="CV161" s="410" t="str">
        <f>IF(VLOOKUP(BS161,'Données par municipalité'!$B$6:$F$1113,4,FALSE)="","",VLOOKUP(BS161,'Données par municipalité'!$B$6:$F$1113,4,FALSE))</f>
        <v/>
      </c>
      <c r="CW161" s="476" t="s">
        <v>4723</v>
      </c>
      <c r="CX161" s="483" t="s">
        <v>1124</v>
      </c>
      <c r="CY161" s="483">
        <v>0</v>
      </c>
      <c r="CZ161" s="483" t="s">
        <v>1124</v>
      </c>
      <c r="DA161" s="483" t="s">
        <v>1124</v>
      </c>
      <c r="DB161" s="483" t="s">
        <v>1124</v>
      </c>
      <c r="DC161" s="483" t="s">
        <v>1124</v>
      </c>
      <c r="DD161" s="483" t="s">
        <v>1124</v>
      </c>
      <c r="DE161" s="483" t="str">
        <f>IFERROR(SUM(VLOOKUP($BS161,'État &amp; Plan d''action'!$B$6:$Z$1113,18,FALSE),VLOOKUP($BS161,'État &amp; Plan d''action'!$B$6:$Z$1113,20,FALSE))/(VLOOKUP($BS161,'Données par municipalité'!$B$4:$L$1113,11,FALSE)),"")</f>
        <v/>
      </c>
      <c r="DF161" s="483" t="str">
        <f>IFERROR(SUM(VLOOKUP($BS161,'État &amp; Plan d''action'!$B$6:$Z$1113,19,FALSE),VLOOKUP($BS161,'État &amp; Plan d''action'!$B$6:$Z$1113,21,FALSE))/(VLOOKUP($BS161,'Données par municipalité'!$B$4:$L$1113,11,FALSE)),"")</f>
        <v/>
      </c>
      <c r="DG161" s="476" t="s">
        <v>4723</v>
      </c>
      <c r="DH161" s="484" t="s">
        <v>1124</v>
      </c>
      <c r="DI161" s="484" t="s">
        <v>1124</v>
      </c>
      <c r="DJ161" s="484">
        <v>0</v>
      </c>
      <c r="DK161" s="484">
        <v>0</v>
      </c>
      <c r="DL161" s="484" t="s">
        <v>1124</v>
      </c>
      <c r="DM161" s="484" t="s">
        <v>1124</v>
      </c>
      <c r="DN161" s="484" t="s">
        <v>1124</v>
      </c>
      <c r="DO161" s="484" t="s">
        <v>1124</v>
      </c>
      <c r="DP161" s="484" t="s">
        <v>1124</v>
      </c>
      <c r="DQ161" s="484" t="str">
        <f>IF(VLOOKUP($BS161,'État &amp; Plan d''action'!$B$6:$AJ$1113,28,FALSE)="","",VLOOKUP($BS161,'État &amp; Plan d''action'!$B$6:$AJ$1113,28,FALSE))</f>
        <v/>
      </c>
      <c r="DR161" s="70" t="str">
        <f>IF(VLOOKUP($BS161,'État &amp; Plan d''action'!$B$6:$AJ$1113,29,FALSE)="","",VLOOKUP($BS161,'État &amp; Plan d''action'!$B$6:$AJ$1113,29,FALSE))</f>
        <v/>
      </c>
      <c r="DS161" s="70" t="str">
        <f>IF(VLOOKUP($BS161,'État &amp; Plan d''action'!$B$6:$AJ$1113,30,FALSE)="","",VLOOKUP($BS161,'État &amp; Plan d''action'!$B$6:$AJ$1113,30,FALSE))</f>
        <v/>
      </c>
      <c r="DT161" s="70" t="s">
        <v>1124</v>
      </c>
      <c r="DU161" s="485" t="s">
        <v>1124</v>
      </c>
      <c r="DV161" s="485" t="s">
        <v>1124</v>
      </c>
      <c r="DW161" s="70" t="s">
        <v>1124</v>
      </c>
      <c r="DX161" s="70" t="s">
        <v>1124</v>
      </c>
      <c r="DY161" s="70" t="s">
        <v>1124</v>
      </c>
      <c r="DZ161" s="70" t="str">
        <f>VLOOKUP($BS161,'État &amp; Plan d''action'!$B$6:$AH$1113,31,FALSE)</f>
        <v/>
      </c>
      <c r="EA161" s="70" t="str">
        <f>VLOOKUP($BS161,'État &amp; Plan d''action'!$B$6:$AH$1113,32,FALSE)</f>
        <v/>
      </c>
      <c r="EB161" s="70" t="str">
        <f>VLOOKUP($BS161,'État &amp; Plan d''action'!$B$6:$AH$1113,33,FALSE)</f>
        <v/>
      </c>
      <c r="EC161" s="70" t="s">
        <v>1124</v>
      </c>
      <c r="ED161" s="70" t="s">
        <v>1124</v>
      </c>
      <c r="EE161" s="70" t="s">
        <v>1124</v>
      </c>
      <c r="EF161" s="70" t="s">
        <v>1124</v>
      </c>
      <c r="EG161" s="70" t="s">
        <v>1124</v>
      </c>
      <c r="EH161" s="72"/>
      <c r="EI161" s="72">
        <v>370</v>
      </c>
    </row>
    <row r="162" spans="1:139" ht="19.5" customHeight="1" x14ac:dyDescent="0.35">
      <c r="A162" s="370"/>
      <c r="B162" s="520" t="s">
        <v>4764</v>
      </c>
      <c r="C162" s="520"/>
      <c r="D162" s="520"/>
      <c r="E162" s="2"/>
      <c r="F162" s="2"/>
      <c r="G162" s="2"/>
      <c r="H162" s="2"/>
      <c r="I162" s="2"/>
      <c r="J162" s="2"/>
      <c r="K162" s="2"/>
      <c r="L162" s="2"/>
      <c r="M162" s="2"/>
      <c r="N162" s="2"/>
      <c r="O162" s="95"/>
      <c r="P162" s="95"/>
      <c r="Q162" s="95"/>
      <c r="R162" s="95"/>
      <c r="S162" s="95"/>
      <c r="T162" s="70"/>
      <c r="BS162" s="486">
        <v>46050</v>
      </c>
      <c r="BT162" s="479" t="s">
        <v>435</v>
      </c>
      <c r="BU162" s="479">
        <v>5</v>
      </c>
      <c r="BV162" s="476" t="s">
        <v>1188</v>
      </c>
      <c r="BW162" s="476" t="s">
        <v>1188</v>
      </c>
      <c r="BX162" s="476" t="s">
        <v>1188</v>
      </c>
      <c r="BY162" s="476" t="s">
        <v>1188</v>
      </c>
      <c r="BZ162" s="476" t="s">
        <v>1188</v>
      </c>
      <c r="CA162" s="476" t="s">
        <v>1188</v>
      </c>
      <c r="CB162" s="476" t="s">
        <v>1188</v>
      </c>
      <c r="CC162" s="476" t="s">
        <v>1188</v>
      </c>
      <c r="CD162" s="476" t="s">
        <v>1188</v>
      </c>
      <c r="CE162" s="476" t="s">
        <v>1187</v>
      </c>
      <c r="CF162" s="476" t="s">
        <v>1187</v>
      </c>
      <c r="CG162" s="476" t="s">
        <v>1187</v>
      </c>
      <c r="CH162" s="476" t="s">
        <v>1187</v>
      </c>
      <c r="CI162" s="476" t="s">
        <v>1187</v>
      </c>
      <c r="CJ162" s="476" t="s">
        <v>1187</v>
      </c>
      <c r="CK162" s="476" t="s">
        <v>1187</v>
      </c>
      <c r="CL162" s="476" t="s">
        <v>1187</v>
      </c>
      <c r="CM162" s="476" t="str">
        <f>IF(VLOOKUP(BS162,'Données par municipalité'!$B$6:$E$1113,4,FALSE)="","non","oui")</f>
        <v>non</v>
      </c>
      <c r="CN162" s="410" t="s">
        <v>1124</v>
      </c>
      <c r="CO162" s="410" t="s">
        <v>1124</v>
      </c>
      <c r="CP162" s="410"/>
      <c r="CQ162" s="410"/>
      <c r="CR162" s="410"/>
      <c r="CS162" s="410" t="s">
        <v>1124</v>
      </c>
      <c r="CT162" s="410"/>
      <c r="CU162" s="410" t="s">
        <v>1124</v>
      </c>
      <c r="CV162" s="410" t="str">
        <f>IF(VLOOKUP(BS162,'Données par municipalité'!$B$6:$F$1113,4,FALSE)="","",VLOOKUP(BS162,'Données par municipalité'!$B$6:$F$1113,4,FALSE))</f>
        <v/>
      </c>
      <c r="CW162" s="476" t="s">
        <v>4723</v>
      </c>
      <c r="CX162" s="483" t="s">
        <v>1124</v>
      </c>
      <c r="CY162" s="483" t="s">
        <v>1124</v>
      </c>
      <c r="CZ162" s="483" t="s">
        <v>1124</v>
      </c>
      <c r="DA162" s="483" t="s">
        <v>1124</v>
      </c>
      <c r="DB162" s="483" t="s">
        <v>1124</v>
      </c>
      <c r="DC162" s="483" t="s">
        <v>1124</v>
      </c>
      <c r="DD162" s="483" t="s">
        <v>1124</v>
      </c>
      <c r="DE162" s="483" t="str">
        <f>IFERROR(SUM(VLOOKUP($BS162,'État &amp; Plan d''action'!$B$6:$Z$1113,18,FALSE),VLOOKUP($BS162,'État &amp; Plan d''action'!$B$6:$Z$1113,20,FALSE))/(VLOOKUP($BS162,'Données par municipalité'!$B$4:$L$1113,11,FALSE)),"")</f>
        <v/>
      </c>
      <c r="DF162" s="483" t="str">
        <f>IFERROR(SUM(VLOOKUP($BS162,'État &amp; Plan d''action'!$B$6:$Z$1113,19,FALSE),VLOOKUP($BS162,'État &amp; Plan d''action'!$B$6:$Z$1113,21,FALSE))/(VLOOKUP($BS162,'Données par municipalité'!$B$4:$L$1113,11,FALSE)),"")</f>
        <v/>
      </c>
      <c r="DG162" s="476" t="s">
        <v>4723</v>
      </c>
      <c r="DH162" s="484" t="s">
        <v>1124</v>
      </c>
      <c r="DI162" s="484" t="s">
        <v>1124</v>
      </c>
      <c r="DJ162" s="484">
        <v>0</v>
      </c>
      <c r="DK162" s="484">
        <v>0</v>
      </c>
      <c r="DL162" s="484" t="s">
        <v>1124</v>
      </c>
      <c r="DM162" s="484" t="s">
        <v>1124</v>
      </c>
      <c r="DN162" s="484" t="s">
        <v>1124</v>
      </c>
      <c r="DO162" s="484" t="s">
        <v>1124</v>
      </c>
      <c r="DP162" s="484" t="s">
        <v>1124</v>
      </c>
      <c r="DQ162" s="484" t="str">
        <f>IF(VLOOKUP($BS162,'État &amp; Plan d''action'!$B$6:$AJ$1113,28,FALSE)="","",VLOOKUP($BS162,'État &amp; Plan d''action'!$B$6:$AJ$1113,28,FALSE))</f>
        <v/>
      </c>
      <c r="DR162" s="70" t="str">
        <f>IF(VLOOKUP($BS162,'État &amp; Plan d''action'!$B$6:$AJ$1113,29,FALSE)="","",VLOOKUP($BS162,'État &amp; Plan d''action'!$B$6:$AJ$1113,29,FALSE))</f>
        <v/>
      </c>
      <c r="DS162" s="70" t="str">
        <f>IF(VLOOKUP($BS162,'État &amp; Plan d''action'!$B$6:$AJ$1113,30,FALSE)="","",VLOOKUP($BS162,'État &amp; Plan d''action'!$B$6:$AJ$1113,30,FALSE))</f>
        <v/>
      </c>
      <c r="DT162" s="70" t="s">
        <v>1124</v>
      </c>
      <c r="DU162" s="485" t="s">
        <v>1124</v>
      </c>
      <c r="DV162" s="485" t="s">
        <v>1124</v>
      </c>
      <c r="DW162" s="70" t="s">
        <v>1124</v>
      </c>
      <c r="DX162" s="70" t="s">
        <v>1124</v>
      </c>
      <c r="DY162" s="70" t="s">
        <v>1124</v>
      </c>
      <c r="DZ162" s="70" t="str">
        <f>VLOOKUP($BS162,'État &amp; Plan d''action'!$B$6:$AH$1113,31,FALSE)</f>
        <v/>
      </c>
      <c r="EA162" s="70" t="str">
        <f>VLOOKUP($BS162,'État &amp; Plan d''action'!$B$6:$AH$1113,32,FALSE)</f>
        <v/>
      </c>
      <c r="EB162" s="70" t="str">
        <f>VLOOKUP($BS162,'État &amp; Plan d''action'!$B$6:$AH$1113,33,FALSE)</f>
        <v/>
      </c>
      <c r="EC162" s="70" t="s">
        <v>1124</v>
      </c>
      <c r="ED162" s="70" t="s">
        <v>1124</v>
      </c>
      <c r="EE162" s="70" t="s">
        <v>1124</v>
      </c>
      <c r="EF162" s="70" t="s">
        <v>1124</v>
      </c>
      <c r="EG162" s="70" t="s">
        <v>1124</v>
      </c>
      <c r="EH162" s="72"/>
      <c r="EI162" s="72">
        <v>3525</v>
      </c>
    </row>
    <row r="163" spans="1:139" ht="45" customHeight="1" x14ac:dyDescent="0.65">
      <c r="A163" s="345"/>
      <c r="B163" s="343" t="s">
        <v>4739</v>
      </c>
      <c r="C163" s="343"/>
      <c r="D163" s="343"/>
      <c r="E163" s="343"/>
      <c r="F163" s="343"/>
      <c r="G163" s="343"/>
      <c r="H163" s="343"/>
      <c r="I163" s="343"/>
      <c r="J163" s="343"/>
      <c r="K163" s="343"/>
      <c r="L163" s="343"/>
      <c r="M163" s="343"/>
      <c r="N163" s="343"/>
      <c r="O163" s="346"/>
      <c r="P163" s="346"/>
      <c r="Q163" s="346"/>
      <c r="R163" s="346"/>
      <c r="S163" s="346"/>
      <c r="T163" s="413"/>
      <c r="BS163" s="486">
        <v>87005</v>
      </c>
      <c r="BT163" s="479" t="s">
        <v>890</v>
      </c>
      <c r="BU163" s="479">
        <v>8</v>
      </c>
      <c r="BV163" s="476" t="s">
        <v>1187</v>
      </c>
      <c r="BW163" s="476" t="s">
        <v>1187</v>
      </c>
      <c r="BX163" s="476" t="s">
        <v>1187</v>
      </c>
      <c r="BY163" s="476" t="s">
        <v>1187</v>
      </c>
      <c r="BZ163" s="476" t="s">
        <v>1187</v>
      </c>
      <c r="CA163" s="476" t="s">
        <v>1187</v>
      </c>
      <c r="CB163" s="476" t="s">
        <v>1187</v>
      </c>
      <c r="CC163" s="476" t="s">
        <v>1187</v>
      </c>
      <c r="CD163" s="476" t="s">
        <v>1187</v>
      </c>
      <c r="CE163" s="476" t="s">
        <v>1188</v>
      </c>
      <c r="CF163" s="476" t="s">
        <v>1188</v>
      </c>
      <c r="CG163" s="476" t="s">
        <v>1188</v>
      </c>
      <c r="CH163" s="476" t="s">
        <v>1187</v>
      </c>
      <c r="CI163" s="476" t="s">
        <v>1187</v>
      </c>
      <c r="CJ163" s="476" t="s">
        <v>1187</v>
      </c>
      <c r="CK163" s="476" t="s">
        <v>1188</v>
      </c>
      <c r="CL163" s="476" t="s">
        <v>1188</v>
      </c>
      <c r="CM163" s="476" t="str">
        <f>IF(VLOOKUP(BS163,'Données par municipalité'!$B$6:$E$1113,4,FALSE)="","non","oui")</f>
        <v>non</v>
      </c>
      <c r="CN163" s="410">
        <v>533.92584821016214</v>
      </c>
      <c r="CO163" s="410">
        <v>475.73041383172972</v>
      </c>
      <c r="CP163" s="410">
        <v>422.88483072879325</v>
      </c>
      <c r="CQ163" s="410"/>
      <c r="CR163" s="410"/>
      <c r="CS163" s="410" t="s">
        <v>1124</v>
      </c>
      <c r="CT163" s="410">
        <v>517.8591347589695</v>
      </c>
      <c r="CU163" s="410">
        <v>498</v>
      </c>
      <c r="CV163" s="410" t="str">
        <f>IF(VLOOKUP(BS163,'Données par municipalité'!$B$6:$F$1113,4,FALSE)="","",VLOOKUP(BS163,'Données par municipalité'!$B$6:$F$1113,4,FALSE))</f>
        <v/>
      </c>
      <c r="CW163" s="476" t="s">
        <v>4723</v>
      </c>
      <c r="CX163" s="483">
        <v>0.1</v>
      </c>
      <c r="CY163" s="483">
        <v>0.1</v>
      </c>
      <c r="CZ163" s="483" t="s">
        <v>1124</v>
      </c>
      <c r="DA163" s="483" t="s">
        <v>1124</v>
      </c>
      <c r="DB163" s="483" t="s">
        <v>1124</v>
      </c>
      <c r="DC163" s="483">
        <v>0</v>
      </c>
      <c r="DD163" s="483">
        <v>0</v>
      </c>
      <c r="DE163" s="483" t="str">
        <f>IFERROR(SUM(VLOOKUP($BS163,'État &amp; Plan d''action'!$B$6:$Z$1113,18,FALSE),VLOOKUP($BS163,'État &amp; Plan d''action'!$B$6:$Z$1113,20,FALSE))/(VLOOKUP($BS163,'Données par municipalité'!$B$4:$L$1113,11,FALSE)),"")</f>
        <v/>
      </c>
      <c r="DF163" s="483" t="str">
        <f>IFERROR(SUM(VLOOKUP($BS163,'État &amp; Plan d''action'!$B$6:$Z$1113,19,FALSE),VLOOKUP($BS163,'État &amp; Plan d''action'!$B$6:$Z$1113,21,FALSE))/(VLOOKUP($BS163,'Données par municipalité'!$B$4:$L$1113,11,FALSE)),"")</f>
        <v/>
      </c>
      <c r="DG163" s="476" t="s">
        <v>4723</v>
      </c>
      <c r="DH163" s="484">
        <v>14</v>
      </c>
      <c r="DI163" s="484">
        <v>37</v>
      </c>
      <c r="DJ163" s="484">
        <v>64</v>
      </c>
      <c r="DK163" s="484">
        <v>71</v>
      </c>
      <c r="DL163" s="484" t="s">
        <v>1124</v>
      </c>
      <c r="DM163" s="484">
        <v>0</v>
      </c>
      <c r="DN163" s="484">
        <v>0</v>
      </c>
      <c r="DO163" s="484">
        <v>0</v>
      </c>
      <c r="DP163" s="484">
        <v>0</v>
      </c>
      <c r="DQ163" s="484" t="str">
        <f>IF(VLOOKUP($BS163,'État &amp; Plan d''action'!$B$6:$AJ$1113,28,FALSE)="","",VLOOKUP($BS163,'État &amp; Plan d''action'!$B$6:$AJ$1113,28,FALSE))</f>
        <v/>
      </c>
      <c r="DR163" s="70" t="str">
        <f>IF(VLOOKUP($BS163,'État &amp; Plan d''action'!$B$6:$AJ$1113,29,FALSE)="","",VLOOKUP($BS163,'État &amp; Plan d''action'!$B$6:$AJ$1113,29,FALSE))</f>
        <v/>
      </c>
      <c r="DS163" s="70" t="str">
        <f>IF(VLOOKUP($BS163,'État &amp; Plan d''action'!$B$6:$AJ$1113,30,FALSE)="","",VLOOKUP($BS163,'État &amp; Plan d''action'!$B$6:$AJ$1113,30,FALSE))</f>
        <v/>
      </c>
      <c r="DT163" s="70">
        <v>445</v>
      </c>
      <c r="DU163" s="485">
        <v>0.80780664340183528</v>
      </c>
      <c r="DV163" s="485" t="s">
        <v>1124</v>
      </c>
      <c r="DW163" s="70">
        <v>0</v>
      </c>
      <c r="DX163" s="70">
        <v>0</v>
      </c>
      <c r="DY163" s="70">
        <v>0</v>
      </c>
      <c r="DZ163" s="70" t="str">
        <f>VLOOKUP($BS163,'État &amp; Plan d''action'!$B$6:$AH$1113,31,FALSE)</f>
        <v/>
      </c>
      <c r="EA163" s="70" t="str">
        <f>VLOOKUP($BS163,'État &amp; Plan d''action'!$B$6:$AH$1113,32,FALSE)</f>
        <v/>
      </c>
      <c r="EB163" s="70" t="str">
        <f>VLOOKUP($BS163,'État &amp; Plan d''action'!$B$6:$AH$1113,33,FALSE)</f>
        <v/>
      </c>
      <c r="EC163" s="70">
        <v>0</v>
      </c>
      <c r="ED163" s="70">
        <v>0</v>
      </c>
      <c r="EE163" s="70">
        <v>0</v>
      </c>
      <c r="EF163" s="70">
        <v>0</v>
      </c>
      <c r="EG163" s="70">
        <v>0</v>
      </c>
      <c r="EH163" s="72">
        <v>43</v>
      </c>
      <c r="EI163" s="72">
        <v>694</v>
      </c>
    </row>
    <row r="164" spans="1:139" ht="15" customHeight="1" x14ac:dyDescent="0.35">
      <c r="A164" s="542"/>
      <c r="B164" s="542"/>
      <c r="C164" s="542"/>
      <c r="D164" s="542"/>
      <c r="E164" s="542"/>
      <c r="F164" s="542"/>
      <c r="G164" s="542"/>
      <c r="H164" s="542"/>
      <c r="I164" s="542"/>
      <c r="J164" s="542"/>
      <c r="K164" s="542"/>
      <c r="L164" s="542"/>
      <c r="M164" s="542"/>
      <c r="N164" s="542"/>
      <c r="O164" s="542"/>
      <c r="P164" s="542"/>
      <c r="Q164" s="542"/>
      <c r="R164" s="542"/>
      <c r="S164" s="542"/>
      <c r="T164" s="542"/>
      <c r="BS164" s="486">
        <v>87085</v>
      </c>
      <c r="BT164" s="479" t="s">
        <v>903</v>
      </c>
      <c r="BU164" s="479">
        <v>8</v>
      </c>
      <c r="BV164" s="476" t="s">
        <v>1187</v>
      </c>
      <c r="BW164" s="476" t="s">
        <v>1187</v>
      </c>
      <c r="BX164" s="476" t="s">
        <v>1187</v>
      </c>
      <c r="BY164" s="476" t="s">
        <v>1187</v>
      </c>
      <c r="BZ164" s="476" t="s">
        <v>1187</v>
      </c>
      <c r="CA164" s="476" t="s">
        <v>1187</v>
      </c>
      <c r="CB164" s="476" t="s">
        <v>1187</v>
      </c>
      <c r="CC164" s="476" t="s">
        <v>1187</v>
      </c>
      <c r="CD164" s="476" t="s">
        <v>1187</v>
      </c>
      <c r="CE164" s="476" t="s">
        <v>1188</v>
      </c>
      <c r="CF164" s="476" t="s">
        <v>1188</v>
      </c>
      <c r="CG164" s="476" t="s">
        <v>1187</v>
      </c>
      <c r="CH164" s="476" t="s">
        <v>1187</v>
      </c>
      <c r="CI164" s="476" t="s">
        <v>1187</v>
      </c>
      <c r="CJ164" s="476" t="s">
        <v>1187</v>
      </c>
      <c r="CK164" s="476" t="s">
        <v>1187</v>
      </c>
      <c r="CL164" s="476" t="s">
        <v>1188</v>
      </c>
      <c r="CM164" s="476" t="str">
        <f>IF(VLOOKUP(BS164,'Données par municipalité'!$B$6:$E$1113,4,FALSE)="","non","oui")</f>
        <v>oui</v>
      </c>
      <c r="CN164" s="410">
        <v>344.764548486276</v>
      </c>
      <c r="CO164" s="410">
        <v>366.49340658415059</v>
      </c>
      <c r="CP164" s="410"/>
      <c r="CQ164" s="410"/>
      <c r="CR164" s="410"/>
      <c r="CS164" s="410" t="s">
        <v>1124</v>
      </c>
      <c r="CT164" s="410"/>
      <c r="CU164" s="410">
        <v>341</v>
      </c>
      <c r="CV164" s="410">
        <f>IF(VLOOKUP(BS164,'Données par municipalité'!$B$6:$F$1113,4,FALSE)="","",VLOOKUP(BS164,'Données par municipalité'!$B$6:$F$1113,4,FALSE))</f>
        <v>364</v>
      </c>
      <c r="CW164" s="476" t="s">
        <v>4723</v>
      </c>
      <c r="CX164" s="483">
        <v>0</v>
      </c>
      <c r="CY164" s="483" t="s">
        <v>1124</v>
      </c>
      <c r="CZ164" s="483" t="s">
        <v>1124</v>
      </c>
      <c r="DA164" s="483" t="s">
        <v>1124</v>
      </c>
      <c r="DB164" s="483" t="s">
        <v>1124</v>
      </c>
      <c r="DC164" s="483" t="s">
        <v>1124</v>
      </c>
      <c r="DD164" s="483">
        <v>0</v>
      </c>
      <c r="DE164" s="483">
        <f>IFERROR(SUM(VLOOKUP($BS164,'État &amp; Plan d''action'!$B$6:$Z$1113,18,FALSE),VLOOKUP($BS164,'État &amp; Plan d''action'!$B$6:$Z$1113,20,FALSE))/(VLOOKUP($BS164,'Données par municipalité'!$B$4:$L$1113,11,FALSE)),"")</f>
        <v>0</v>
      </c>
      <c r="DF164" s="483">
        <f>IFERROR(SUM(VLOOKUP($BS164,'État &amp; Plan d''action'!$B$6:$Z$1113,19,FALSE),VLOOKUP($BS164,'État &amp; Plan d''action'!$B$6:$Z$1113,21,FALSE))/(VLOOKUP($BS164,'Données par municipalité'!$B$4:$L$1113,11,FALSE)),"")</f>
        <v>1.000014223114112</v>
      </c>
      <c r="DG164" s="476" t="s">
        <v>4723</v>
      </c>
      <c r="DH164" s="484">
        <v>0</v>
      </c>
      <c r="DI164" s="484">
        <v>0</v>
      </c>
      <c r="DJ164" s="484">
        <v>0</v>
      </c>
      <c r="DK164" s="484">
        <v>0</v>
      </c>
      <c r="DL164" s="484" t="s">
        <v>1124</v>
      </c>
      <c r="DM164" s="484" t="s">
        <v>1124</v>
      </c>
      <c r="DN164" s="484">
        <v>0</v>
      </c>
      <c r="DO164" s="484">
        <v>0</v>
      </c>
      <c r="DP164" s="484">
        <v>2</v>
      </c>
      <c r="DQ164" s="484">
        <f>IF(VLOOKUP($BS164,'État &amp; Plan d''action'!$B$6:$AJ$1113,28,FALSE)="","",VLOOKUP($BS164,'État &amp; Plan d''action'!$B$6:$AJ$1113,28,FALSE))</f>
        <v>0</v>
      </c>
      <c r="DR164" s="70">
        <f>IF(VLOOKUP($BS164,'État &amp; Plan d''action'!$B$6:$AJ$1113,29,FALSE)="","",VLOOKUP($BS164,'État &amp; Plan d''action'!$B$6:$AJ$1113,29,FALSE))</f>
        <v>0</v>
      </c>
      <c r="DS164" s="70">
        <f>IF(VLOOKUP($BS164,'État &amp; Plan d''action'!$B$6:$AJ$1113,30,FALSE)="","",VLOOKUP($BS164,'État &amp; Plan d''action'!$B$6:$AJ$1113,30,FALSE))</f>
        <v>3</v>
      </c>
      <c r="DT164" s="70">
        <v>265</v>
      </c>
      <c r="DU164" s="485">
        <v>1.2951879589300075</v>
      </c>
      <c r="DV164" s="485">
        <v>5.3411067571407429</v>
      </c>
      <c r="DW164" s="70">
        <v>0</v>
      </c>
      <c r="DX164" s="70">
        <v>0</v>
      </c>
      <c r="DY164" s="70">
        <v>1</v>
      </c>
      <c r="DZ164" s="70">
        <f>VLOOKUP($BS164,'État &amp; Plan d''action'!$B$6:$AH$1113,31,FALSE)</f>
        <v>0</v>
      </c>
      <c r="EA164" s="70">
        <f>VLOOKUP($BS164,'État &amp; Plan d''action'!$B$6:$AH$1113,32,FALSE)</f>
        <v>0</v>
      </c>
      <c r="EB164" s="70">
        <f>VLOOKUP($BS164,'État &amp; Plan d''action'!$B$6:$AH$1113,33,FALSE)</f>
        <v>60</v>
      </c>
      <c r="EC164" s="70">
        <v>0</v>
      </c>
      <c r="ED164" s="70">
        <v>0</v>
      </c>
      <c r="EE164" s="70">
        <v>0</v>
      </c>
      <c r="EF164" s="70">
        <v>0</v>
      </c>
      <c r="EG164" s="70">
        <v>0</v>
      </c>
      <c r="EH164" s="72">
        <v>44</v>
      </c>
      <c r="EI164" s="72">
        <v>920</v>
      </c>
    </row>
    <row r="165" spans="1:139" ht="3.25" customHeight="1" x14ac:dyDescent="0.35">
      <c r="A165" s="1"/>
      <c r="B165"/>
      <c r="C165"/>
      <c r="D165"/>
      <c r="E165"/>
      <c r="F165"/>
      <c r="G165"/>
      <c r="H165"/>
      <c r="I165"/>
      <c r="J165"/>
      <c r="K165"/>
      <c r="L165"/>
      <c r="M165"/>
      <c r="N165"/>
      <c r="O165" s="70"/>
      <c r="P165" s="70"/>
      <c r="Q165" s="70"/>
      <c r="R165" s="70"/>
      <c r="S165" s="95"/>
      <c r="T165" s="70"/>
      <c r="BS165" s="486">
        <v>49015</v>
      </c>
      <c r="BT165" s="479" t="s">
        <v>465</v>
      </c>
      <c r="BU165" s="479">
        <v>17</v>
      </c>
      <c r="BV165" s="476" t="s">
        <v>1187</v>
      </c>
      <c r="BW165" s="476" t="s">
        <v>1187</v>
      </c>
      <c r="BX165" s="476" t="s">
        <v>1187</v>
      </c>
      <c r="BY165" s="476" t="s">
        <v>1187</v>
      </c>
      <c r="BZ165" s="476" t="s">
        <v>1187</v>
      </c>
      <c r="CA165" s="476" t="s">
        <v>1187</v>
      </c>
      <c r="CB165" s="476" t="s">
        <v>1187</v>
      </c>
      <c r="CC165" s="476" t="s">
        <v>1187</v>
      </c>
      <c r="CD165" s="476" t="s">
        <v>1187</v>
      </c>
      <c r="CE165" s="476" t="s">
        <v>1188</v>
      </c>
      <c r="CF165" s="476" t="s">
        <v>1188</v>
      </c>
      <c r="CG165" s="476" t="s">
        <v>1188</v>
      </c>
      <c r="CH165" s="476" t="s">
        <v>1188</v>
      </c>
      <c r="CI165" s="476" t="s">
        <v>1188</v>
      </c>
      <c r="CJ165" s="476" t="s">
        <v>1188</v>
      </c>
      <c r="CK165" s="476" t="s">
        <v>1188</v>
      </c>
      <c r="CL165" s="476" t="s">
        <v>1188</v>
      </c>
      <c r="CM165" s="476" t="str">
        <f>IF(VLOOKUP(BS165,'Données par municipalité'!$B$6:$E$1113,4,FALSE)="","non","oui")</f>
        <v>oui</v>
      </c>
      <c r="CN165" s="410">
        <v>274.29467084639498</v>
      </c>
      <c r="CO165" s="410">
        <v>315.57467207254484</v>
      </c>
      <c r="CP165" s="410">
        <v>304.69971208536151</v>
      </c>
      <c r="CQ165" s="410">
        <v>242.30576383823967</v>
      </c>
      <c r="CR165" s="410">
        <v>245.63426921770633</v>
      </c>
      <c r="CS165" s="410">
        <v>240.14075550960794</v>
      </c>
      <c r="CT165" s="410">
        <v>201.46723735516358</v>
      </c>
      <c r="CU165" s="410">
        <v>236</v>
      </c>
      <c r="CV165" s="410">
        <f>IF(VLOOKUP(BS165,'Données par municipalité'!$B$6:$F$1113,4,FALSE)="","",VLOOKUP(BS165,'Données par municipalité'!$B$6:$F$1113,4,FALSE))</f>
        <v>220</v>
      </c>
      <c r="CW165" s="476" t="s">
        <v>4723</v>
      </c>
      <c r="CX165" s="483">
        <v>1</v>
      </c>
      <c r="CY165" s="483">
        <v>1</v>
      </c>
      <c r="CZ165" s="483">
        <v>0</v>
      </c>
      <c r="DA165" s="483">
        <v>0</v>
      </c>
      <c r="DB165" s="483">
        <v>0</v>
      </c>
      <c r="DC165" s="483">
        <v>1</v>
      </c>
      <c r="DD165" s="483">
        <v>0</v>
      </c>
      <c r="DE165" s="483">
        <f>IFERROR(SUM(VLOOKUP($BS165,'État &amp; Plan d''action'!$B$6:$Z$1113,18,FALSE),VLOOKUP($BS165,'État &amp; Plan d''action'!$B$6:$Z$1113,20,FALSE))/(VLOOKUP($BS165,'Données par municipalité'!$B$4:$L$1113,11,FALSE)),"")</f>
        <v>0</v>
      </c>
      <c r="DF165" s="483">
        <f>IFERROR(SUM(VLOOKUP($BS165,'État &amp; Plan d''action'!$B$6:$Z$1113,19,FALSE),VLOOKUP($BS165,'État &amp; Plan d''action'!$B$6:$Z$1113,21,FALSE))/(VLOOKUP($BS165,'Données par municipalité'!$B$4:$L$1113,11,FALSE)),"")</f>
        <v>0</v>
      </c>
      <c r="DG165" s="476" t="s">
        <v>4723</v>
      </c>
      <c r="DH165" s="484">
        <v>1</v>
      </c>
      <c r="DI165" s="484">
        <v>0</v>
      </c>
      <c r="DJ165" s="484">
        <v>0</v>
      </c>
      <c r="DK165" s="484">
        <v>0</v>
      </c>
      <c r="DL165" s="484">
        <v>1</v>
      </c>
      <c r="DM165" s="484">
        <v>1</v>
      </c>
      <c r="DN165" s="484">
        <v>1</v>
      </c>
      <c r="DO165" s="484">
        <v>0</v>
      </c>
      <c r="DP165" s="484">
        <v>2</v>
      </c>
      <c r="DQ165" s="484">
        <f>IF(VLOOKUP($BS165,'État &amp; Plan d''action'!$B$6:$AJ$1113,28,FALSE)="","",VLOOKUP($BS165,'État &amp; Plan d''action'!$B$6:$AJ$1113,28,FALSE))</f>
        <v>0</v>
      </c>
      <c r="DR165" s="70">
        <f>IF(VLOOKUP($BS165,'État &amp; Plan d''action'!$B$6:$AJ$1113,29,FALSE)="","",VLOOKUP($BS165,'État &amp; Plan d''action'!$B$6:$AJ$1113,29,FALSE))</f>
        <v>1</v>
      </c>
      <c r="DS165" s="70">
        <f>IF(VLOOKUP($BS165,'État &amp; Plan d''action'!$B$6:$AJ$1113,30,FALSE)="","",VLOOKUP($BS165,'État &amp; Plan d''action'!$B$6:$AJ$1113,30,FALSE))</f>
        <v>1</v>
      </c>
      <c r="DT165" s="70">
        <v>181</v>
      </c>
      <c r="DU165" s="485">
        <v>1.1145357755851817</v>
      </c>
      <c r="DV165" s="485">
        <v>1.0518487016675113</v>
      </c>
      <c r="DW165" s="70">
        <v>3</v>
      </c>
      <c r="DX165" s="70">
        <v>0</v>
      </c>
      <c r="DY165" s="70">
        <v>0</v>
      </c>
      <c r="DZ165" s="70">
        <f>VLOOKUP($BS165,'État &amp; Plan d''action'!$B$6:$AH$1113,31,FALSE)</f>
        <v>0</v>
      </c>
      <c r="EA165" s="70">
        <f>VLOOKUP($BS165,'État &amp; Plan d''action'!$B$6:$AH$1113,32,FALSE)</f>
        <v>2</v>
      </c>
      <c r="EB165" s="70">
        <f>VLOOKUP($BS165,'État &amp; Plan d''action'!$B$6:$AH$1113,33,FALSE)</f>
        <v>3</v>
      </c>
      <c r="EC165" s="70">
        <v>6.202</v>
      </c>
      <c r="ED165" s="70">
        <v>0</v>
      </c>
      <c r="EE165" s="70">
        <v>0</v>
      </c>
      <c r="EF165" s="70">
        <v>0</v>
      </c>
      <c r="EG165" s="70">
        <v>0</v>
      </c>
      <c r="EH165" s="72">
        <v>45</v>
      </c>
      <c r="EI165" s="72">
        <v>1071</v>
      </c>
    </row>
    <row r="166" spans="1:139" ht="3.25" customHeight="1" x14ac:dyDescent="0.35">
      <c r="A166" s="1"/>
      <c r="B166"/>
      <c r="C166"/>
      <c r="D166"/>
      <c r="E166"/>
      <c r="F166"/>
      <c r="G166"/>
      <c r="H166"/>
      <c r="I166"/>
      <c r="J166"/>
      <c r="K166"/>
      <c r="L166"/>
      <c r="M166"/>
      <c r="N166"/>
      <c r="O166" s="70"/>
      <c r="P166" s="70"/>
      <c r="Q166" s="70"/>
      <c r="R166" s="70"/>
      <c r="S166" s="95"/>
      <c r="T166" s="70"/>
      <c r="BS166" s="486">
        <v>41060</v>
      </c>
      <c r="BT166" s="479" t="s">
        <v>371</v>
      </c>
      <c r="BU166" s="479">
        <v>5</v>
      </c>
      <c r="BV166" s="476" t="s">
        <v>1187</v>
      </c>
      <c r="BW166" s="476" t="s">
        <v>1187</v>
      </c>
      <c r="BX166" s="476" t="s">
        <v>1187</v>
      </c>
      <c r="BY166" s="476" t="s">
        <v>1187</v>
      </c>
      <c r="BZ166" s="476" t="s">
        <v>1187</v>
      </c>
      <c r="CA166" s="476" t="s">
        <v>1187</v>
      </c>
      <c r="CB166" s="476" t="s">
        <v>1187</v>
      </c>
      <c r="CC166" s="476" t="s">
        <v>1187</v>
      </c>
      <c r="CD166" s="476" t="s">
        <v>1187</v>
      </c>
      <c r="CE166" s="476" t="s">
        <v>1188</v>
      </c>
      <c r="CF166" s="476" t="s">
        <v>1187</v>
      </c>
      <c r="CG166" s="476" t="s">
        <v>1187</v>
      </c>
      <c r="CH166" s="476" t="s">
        <v>1187</v>
      </c>
      <c r="CI166" s="476" t="s">
        <v>1187</v>
      </c>
      <c r="CJ166" s="476" t="s">
        <v>1188</v>
      </c>
      <c r="CK166" s="476" t="s">
        <v>1188</v>
      </c>
      <c r="CL166" s="476" t="s">
        <v>1188</v>
      </c>
      <c r="CM166" s="476" t="str">
        <f>IF(VLOOKUP(BS166,'Données par municipalité'!$B$6:$E$1113,4,FALSE)="","non","oui")</f>
        <v>non</v>
      </c>
      <c r="CN166" s="410">
        <v>552.50808512065726</v>
      </c>
      <c r="CO166" s="410" t="s">
        <v>1124</v>
      </c>
      <c r="CP166" s="410"/>
      <c r="CQ166" s="410"/>
      <c r="CR166" s="410"/>
      <c r="CS166" s="410">
        <v>419.98312596821177</v>
      </c>
      <c r="CT166" s="410">
        <v>462.28684376194121</v>
      </c>
      <c r="CU166" s="410">
        <v>437</v>
      </c>
      <c r="CV166" s="410" t="str">
        <f>IF(VLOOKUP(BS166,'Données par municipalité'!$B$6:$F$1113,4,FALSE)="","",VLOOKUP(BS166,'Données par municipalité'!$B$6:$F$1113,4,FALSE))</f>
        <v/>
      </c>
      <c r="CW166" s="476" t="s">
        <v>4723</v>
      </c>
      <c r="CX166" s="483" t="s">
        <v>1124</v>
      </c>
      <c r="CY166" s="483" t="s">
        <v>1124</v>
      </c>
      <c r="CZ166" s="483" t="s">
        <v>1124</v>
      </c>
      <c r="DA166" s="483" t="s">
        <v>1124</v>
      </c>
      <c r="DB166" s="483">
        <v>0</v>
      </c>
      <c r="DC166" s="483">
        <v>0</v>
      </c>
      <c r="DD166" s="483">
        <v>1</v>
      </c>
      <c r="DE166" s="483" t="str">
        <f>IFERROR(SUM(VLOOKUP($BS166,'État &amp; Plan d''action'!$B$6:$Z$1113,18,FALSE),VLOOKUP($BS166,'État &amp; Plan d''action'!$B$6:$Z$1113,20,FALSE))/(VLOOKUP($BS166,'Données par municipalité'!$B$4:$L$1113,11,FALSE)),"")</f>
        <v/>
      </c>
      <c r="DF166" s="483" t="str">
        <f>IFERROR(SUM(VLOOKUP($BS166,'État &amp; Plan d''action'!$B$6:$Z$1113,19,FALSE),VLOOKUP($BS166,'État &amp; Plan d''action'!$B$6:$Z$1113,21,FALSE))/(VLOOKUP($BS166,'Données par municipalité'!$B$4:$L$1113,11,FALSE)),"")</f>
        <v/>
      </c>
      <c r="DG166" s="476" t="s">
        <v>4723</v>
      </c>
      <c r="DH166" s="484" t="s">
        <v>1124</v>
      </c>
      <c r="DI166" s="484" t="s">
        <v>1124</v>
      </c>
      <c r="DJ166" s="484">
        <v>0</v>
      </c>
      <c r="DK166" s="484">
        <v>0</v>
      </c>
      <c r="DL166" s="484">
        <v>8</v>
      </c>
      <c r="DM166" s="484">
        <v>8</v>
      </c>
      <c r="DN166" s="484">
        <v>6</v>
      </c>
      <c r="DO166" s="484">
        <v>1</v>
      </c>
      <c r="DP166" s="484">
        <v>1</v>
      </c>
      <c r="DQ166" s="484" t="str">
        <f>IF(VLOOKUP($BS166,'État &amp; Plan d''action'!$B$6:$AJ$1113,28,FALSE)="","",VLOOKUP($BS166,'État &amp; Plan d''action'!$B$6:$AJ$1113,28,FALSE))</f>
        <v/>
      </c>
      <c r="DR166" s="70" t="str">
        <f>IF(VLOOKUP($BS166,'État &amp; Plan d''action'!$B$6:$AJ$1113,29,FALSE)="","",VLOOKUP($BS166,'État &amp; Plan d''action'!$B$6:$AJ$1113,29,FALSE))</f>
        <v/>
      </c>
      <c r="DS166" s="70" t="str">
        <f>IF(VLOOKUP($BS166,'État &amp; Plan d''action'!$B$6:$AJ$1113,30,FALSE)="","",VLOOKUP($BS166,'État &amp; Plan d''action'!$B$6:$AJ$1113,30,FALSE))</f>
        <v/>
      </c>
      <c r="DT166" s="70">
        <v>249</v>
      </c>
      <c r="DU166" s="485">
        <v>5.5587820385939635</v>
      </c>
      <c r="DV166" s="485" t="s">
        <v>1124</v>
      </c>
      <c r="DW166" s="70">
        <v>2</v>
      </c>
      <c r="DX166" s="70">
        <v>2</v>
      </c>
      <c r="DY166" s="70">
        <v>2</v>
      </c>
      <c r="DZ166" s="70" t="str">
        <f>VLOOKUP($BS166,'État &amp; Plan d''action'!$B$6:$AH$1113,31,FALSE)</f>
        <v/>
      </c>
      <c r="EA166" s="70" t="str">
        <f>VLOOKUP($BS166,'État &amp; Plan d''action'!$B$6:$AH$1113,32,FALSE)</f>
        <v/>
      </c>
      <c r="EB166" s="70" t="str">
        <f>VLOOKUP($BS166,'État &amp; Plan d''action'!$B$6:$AH$1113,33,FALSE)</f>
        <v/>
      </c>
      <c r="EC166" s="70">
        <v>41.009</v>
      </c>
      <c r="ED166" s="70">
        <v>0</v>
      </c>
      <c r="EE166" s="70">
        <v>41.009</v>
      </c>
      <c r="EF166" s="70">
        <v>0</v>
      </c>
      <c r="EG166" s="70">
        <v>0</v>
      </c>
      <c r="EH166" s="72">
        <v>62</v>
      </c>
      <c r="EI166" s="72">
        <v>3828</v>
      </c>
    </row>
    <row r="167" spans="1:139" ht="3.25" customHeight="1" x14ac:dyDescent="0.35">
      <c r="A167" s="1"/>
      <c r="B167"/>
      <c r="C167"/>
      <c r="D167"/>
      <c r="E167"/>
      <c r="F167"/>
      <c r="G167"/>
      <c r="H167"/>
      <c r="I167"/>
      <c r="J167"/>
      <c r="K167"/>
      <c r="L167"/>
      <c r="M167"/>
      <c r="N167"/>
      <c r="O167" s="70"/>
      <c r="P167" s="70"/>
      <c r="Q167" s="70"/>
      <c r="R167" s="70"/>
      <c r="S167" s="95"/>
      <c r="T167" s="70"/>
      <c r="BS167" s="486">
        <v>31122</v>
      </c>
      <c r="BT167" s="479" t="s">
        <v>252</v>
      </c>
      <c r="BU167" s="479">
        <v>12</v>
      </c>
      <c r="BV167" s="476" t="s">
        <v>1187</v>
      </c>
      <c r="BW167" s="476" t="s">
        <v>1187</v>
      </c>
      <c r="BX167" s="476" t="s">
        <v>1187</v>
      </c>
      <c r="BY167" s="476" t="s">
        <v>1187</v>
      </c>
      <c r="BZ167" s="476" t="s">
        <v>1187</v>
      </c>
      <c r="CA167" s="476" t="s">
        <v>1187</v>
      </c>
      <c r="CB167" s="476" t="s">
        <v>1187</v>
      </c>
      <c r="CC167" s="476" t="s">
        <v>1187</v>
      </c>
      <c r="CD167" s="476" t="s">
        <v>1187</v>
      </c>
      <c r="CE167" s="476" t="s">
        <v>1188</v>
      </c>
      <c r="CF167" s="476" t="s">
        <v>1188</v>
      </c>
      <c r="CG167" s="476" t="s">
        <v>1187</v>
      </c>
      <c r="CH167" s="476" t="s">
        <v>1187</v>
      </c>
      <c r="CI167" s="476" t="s">
        <v>1188</v>
      </c>
      <c r="CJ167" s="476" t="s">
        <v>1188</v>
      </c>
      <c r="CK167" s="476" t="s">
        <v>1188</v>
      </c>
      <c r="CL167" s="476" t="s">
        <v>1187</v>
      </c>
      <c r="CM167" s="476" t="str">
        <f>IF(VLOOKUP(BS167,'Données par municipalité'!$B$6:$E$1113,4,FALSE)="","non","oui")</f>
        <v>non</v>
      </c>
      <c r="CN167" s="410">
        <v>500.8650865086509</v>
      </c>
      <c r="CO167" s="410">
        <v>318.48639400741075</v>
      </c>
      <c r="CP167" s="410"/>
      <c r="CQ167" s="410"/>
      <c r="CR167" s="410">
        <v>397.02827133720911</v>
      </c>
      <c r="CS167" s="410">
        <v>401.08776520690623</v>
      </c>
      <c r="CT167" s="410">
        <v>391.67459423643663</v>
      </c>
      <c r="CU167" s="410" t="s">
        <v>1124</v>
      </c>
      <c r="CV167" s="410" t="str">
        <f>IF(VLOOKUP(BS167,'Données par municipalité'!$B$6:$F$1113,4,FALSE)="","",VLOOKUP(BS167,'Données par municipalité'!$B$6:$F$1113,4,FALSE))</f>
        <v/>
      </c>
      <c r="CW167" s="476" t="s">
        <v>4723</v>
      </c>
      <c r="CX167" s="483">
        <v>0.1</v>
      </c>
      <c r="CY167" s="483" t="s">
        <v>1124</v>
      </c>
      <c r="CZ167" s="483" t="s">
        <v>1124</v>
      </c>
      <c r="DA167" s="483">
        <v>0</v>
      </c>
      <c r="DB167" s="483">
        <v>1</v>
      </c>
      <c r="DC167" s="483">
        <v>0</v>
      </c>
      <c r="DD167" s="483" t="s">
        <v>1124</v>
      </c>
      <c r="DE167" s="483" t="str">
        <f>IFERROR(SUM(VLOOKUP($BS167,'État &amp; Plan d''action'!$B$6:$Z$1113,18,FALSE),VLOOKUP($BS167,'État &amp; Plan d''action'!$B$6:$Z$1113,20,FALSE))/(VLOOKUP($BS167,'Données par municipalité'!$B$4:$L$1113,11,FALSE)),"")</f>
        <v/>
      </c>
      <c r="DF167" s="483" t="str">
        <f>IFERROR(SUM(VLOOKUP($BS167,'État &amp; Plan d''action'!$B$6:$Z$1113,19,FALSE),VLOOKUP($BS167,'État &amp; Plan d''action'!$B$6:$Z$1113,21,FALSE))/(VLOOKUP($BS167,'Données par municipalité'!$B$4:$L$1113,11,FALSE)),"")</f>
        <v/>
      </c>
      <c r="DG167" s="476" t="s">
        <v>4723</v>
      </c>
      <c r="DH167" s="484">
        <v>8</v>
      </c>
      <c r="DI167" s="484" t="s">
        <v>1124</v>
      </c>
      <c r="DJ167" s="484">
        <v>0</v>
      </c>
      <c r="DK167" s="484">
        <v>6</v>
      </c>
      <c r="DL167" s="484">
        <v>19</v>
      </c>
      <c r="DM167" s="484">
        <v>15</v>
      </c>
      <c r="DN167" s="484" t="s">
        <v>1124</v>
      </c>
      <c r="DO167" s="484" t="s">
        <v>1124</v>
      </c>
      <c r="DP167" s="484" t="s">
        <v>1124</v>
      </c>
      <c r="DQ167" s="484" t="str">
        <f>IF(VLOOKUP($BS167,'État &amp; Plan d''action'!$B$6:$AJ$1113,28,FALSE)="","",VLOOKUP($BS167,'État &amp; Plan d''action'!$B$6:$AJ$1113,28,FALSE))</f>
        <v/>
      </c>
      <c r="DR167" s="70" t="str">
        <f>IF(VLOOKUP($BS167,'État &amp; Plan d''action'!$B$6:$AJ$1113,29,FALSE)="","",VLOOKUP($BS167,'État &amp; Plan d''action'!$B$6:$AJ$1113,29,FALSE))</f>
        <v/>
      </c>
      <c r="DS167" s="70" t="str">
        <f>IF(VLOOKUP($BS167,'État &amp; Plan d''action'!$B$6:$AJ$1113,30,FALSE)="","",VLOOKUP($BS167,'État &amp; Plan d''action'!$B$6:$AJ$1113,30,FALSE))</f>
        <v/>
      </c>
      <c r="DT167" s="70" t="s">
        <v>1124</v>
      </c>
      <c r="DU167" s="485" t="s">
        <v>1124</v>
      </c>
      <c r="DV167" s="485" t="s">
        <v>1124</v>
      </c>
      <c r="DW167" s="70" t="s">
        <v>1124</v>
      </c>
      <c r="DX167" s="70" t="s">
        <v>1124</v>
      </c>
      <c r="DY167" s="70" t="s">
        <v>1124</v>
      </c>
      <c r="DZ167" s="70" t="str">
        <f>VLOOKUP($BS167,'État &amp; Plan d''action'!$B$6:$AH$1113,31,FALSE)</f>
        <v/>
      </c>
      <c r="EA167" s="70" t="str">
        <f>VLOOKUP($BS167,'État &amp; Plan d''action'!$B$6:$AH$1113,32,FALSE)</f>
        <v/>
      </c>
      <c r="EB167" s="70" t="str">
        <f>VLOOKUP($BS167,'État &amp; Plan d''action'!$B$6:$AH$1113,33,FALSE)</f>
        <v/>
      </c>
      <c r="EC167" s="70" t="s">
        <v>1124</v>
      </c>
      <c r="ED167" s="70" t="s">
        <v>1124</v>
      </c>
      <c r="EE167" s="70" t="s">
        <v>1124</v>
      </c>
      <c r="EF167" s="70" t="s">
        <v>1124</v>
      </c>
      <c r="EG167" s="70" t="s">
        <v>1124</v>
      </c>
      <c r="EH167" s="72"/>
      <c r="EI167" s="72">
        <v>2190</v>
      </c>
    </row>
    <row r="168" spans="1:139" ht="15.75" customHeight="1" x14ac:dyDescent="0.35">
      <c r="A168" s="1"/>
      <c r="B168"/>
      <c r="C168" s="533" t="s">
        <v>1265</v>
      </c>
      <c r="D168" s="534"/>
      <c r="E168" s="535"/>
      <c r="F168" s="521" t="s">
        <v>1259</v>
      </c>
      <c r="G168" s="533" t="s">
        <v>1260</v>
      </c>
      <c r="H168" s="535"/>
      <c r="I168" s="521" t="s">
        <v>1117</v>
      </c>
      <c r="J168" s="521" t="s">
        <v>4646</v>
      </c>
      <c r="K168" s="533" t="s">
        <v>4645</v>
      </c>
      <c r="L168" s="535"/>
      <c r="M168" s="521" t="s">
        <v>1115</v>
      </c>
      <c r="N168" s="376" t="s">
        <v>4762</v>
      </c>
      <c r="O168" s="70"/>
      <c r="P168" s="70"/>
      <c r="Q168" s="70"/>
      <c r="R168" s="70"/>
      <c r="S168" s="95"/>
      <c r="T168" s="70"/>
      <c r="BS168" s="486">
        <v>46085</v>
      </c>
      <c r="BT168" s="479" t="s">
        <v>442</v>
      </c>
      <c r="BU168" s="479">
        <v>5</v>
      </c>
      <c r="BV168" s="476" t="s">
        <v>1188</v>
      </c>
      <c r="BW168" s="476" t="s">
        <v>1188</v>
      </c>
      <c r="BX168" s="476" t="s">
        <v>1188</v>
      </c>
      <c r="BY168" s="476" t="s">
        <v>1188</v>
      </c>
      <c r="BZ168" s="476" t="s">
        <v>1188</v>
      </c>
      <c r="CA168" s="476" t="s">
        <v>1188</v>
      </c>
      <c r="CB168" s="476" t="s">
        <v>1188</v>
      </c>
      <c r="CC168" s="476" t="s">
        <v>1188</v>
      </c>
      <c r="CD168" s="476" t="s">
        <v>1188</v>
      </c>
      <c r="CE168" s="476" t="s">
        <v>1187</v>
      </c>
      <c r="CF168" s="476" t="s">
        <v>1187</v>
      </c>
      <c r="CG168" s="476" t="s">
        <v>1187</v>
      </c>
      <c r="CH168" s="476" t="s">
        <v>1187</v>
      </c>
      <c r="CI168" s="476" t="s">
        <v>1187</v>
      </c>
      <c r="CJ168" s="476" t="s">
        <v>1187</v>
      </c>
      <c r="CK168" s="476" t="s">
        <v>1187</v>
      </c>
      <c r="CL168" s="476" t="s">
        <v>1187</v>
      </c>
      <c r="CM168" s="476" t="str">
        <f>IF(VLOOKUP(BS168,'Données par municipalité'!$B$6:$E$1113,4,FALSE)="","non","oui")</f>
        <v>non</v>
      </c>
      <c r="CN168" s="410" t="s">
        <v>1124</v>
      </c>
      <c r="CO168" s="410" t="s">
        <v>1124</v>
      </c>
      <c r="CP168" s="410"/>
      <c r="CQ168" s="410"/>
      <c r="CR168" s="410"/>
      <c r="CS168" s="410" t="s">
        <v>1124</v>
      </c>
      <c r="CT168" s="410"/>
      <c r="CU168" s="410" t="s">
        <v>1124</v>
      </c>
      <c r="CV168" s="410" t="str">
        <f>IF(VLOOKUP(BS168,'Données par municipalité'!$B$6:$F$1113,4,FALSE)="","",VLOOKUP(BS168,'Données par municipalité'!$B$6:$F$1113,4,FALSE))</f>
        <v/>
      </c>
      <c r="CW168" s="476" t="s">
        <v>4723</v>
      </c>
      <c r="CX168" s="483" t="s">
        <v>1124</v>
      </c>
      <c r="CY168" s="483" t="s">
        <v>1124</v>
      </c>
      <c r="CZ168" s="483" t="s">
        <v>1124</v>
      </c>
      <c r="DA168" s="483" t="s">
        <v>1124</v>
      </c>
      <c r="DB168" s="483" t="s">
        <v>1124</v>
      </c>
      <c r="DC168" s="483" t="s">
        <v>1124</v>
      </c>
      <c r="DD168" s="483" t="s">
        <v>1124</v>
      </c>
      <c r="DE168" s="483" t="str">
        <f>IFERROR(SUM(VLOOKUP($BS168,'État &amp; Plan d''action'!$B$6:$Z$1113,18,FALSE),VLOOKUP($BS168,'État &amp; Plan d''action'!$B$6:$Z$1113,20,FALSE))/(VLOOKUP($BS168,'Données par municipalité'!$B$4:$L$1113,11,FALSE)),"")</f>
        <v/>
      </c>
      <c r="DF168" s="483" t="str">
        <f>IFERROR(SUM(VLOOKUP($BS168,'État &amp; Plan d''action'!$B$6:$Z$1113,19,FALSE),VLOOKUP($BS168,'État &amp; Plan d''action'!$B$6:$Z$1113,21,FALSE))/(VLOOKUP($BS168,'Données par municipalité'!$B$4:$L$1113,11,FALSE)),"")</f>
        <v/>
      </c>
      <c r="DG168" s="476" t="s">
        <v>4723</v>
      </c>
      <c r="DH168" s="484" t="s">
        <v>1124</v>
      </c>
      <c r="DI168" s="484" t="s">
        <v>1124</v>
      </c>
      <c r="DJ168" s="484">
        <v>0</v>
      </c>
      <c r="DK168" s="484">
        <v>0</v>
      </c>
      <c r="DL168" s="484" t="s">
        <v>1124</v>
      </c>
      <c r="DM168" s="484" t="s">
        <v>1124</v>
      </c>
      <c r="DN168" s="484" t="s">
        <v>1124</v>
      </c>
      <c r="DO168" s="484" t="s">
        <v>1124</v>
      </c>
      <c r="DP168" s="484" t="s">
        <v>1124</v>
      </c>
      <c r="DQ168" s="484" t="str">
        <f>IF(VLOOKUP($BS168,'État &amp; Plan d''action'!$B$6:$AJ$1113,28,FALSE)="","",VLOOKUP($BS168,'État &amp; Plan d''action'!$B$6:$AJ$1113,28,FALSE))</f>
        <v/>
      </c>
      <c r="DR168" s="70" t="str">
        <f>IF(VLOOKUP($BS168,'État &amp; Plan d''action'!$B$6:$AJ$1113,29,FALSE)="","",VLOOKUP($BS168,'État &amp; Plan d''action'!$B$6:$AJ$1113,29,FALSE))</f>
        <v/>
      </c>
      <c r="DS168" s="70" t="str">
        <f>IF(VLOOKUP($BS168,'État &amp; Plan d''action'!$B$6:$AJ$1113,30,FALSE)="","",VLOOKUP($BS168,'État &amp; Plan d''action'!$B$6:$AJ$1113,30,FALSE))</f>
        <v/>
      </c>
      <c r="DT168" s="70" t="s">
        <v>1124</v>
      </c>
      <c r="DU168" s="485" t="s">
        <v>1124</v>
      </c>
      <c r="DV168" s="485" t="s">
        <v>1124</v>
      </c>
      <c r="DW168" s="70" t="s">
        <v>1124</v>
      </c>
      <c r="DX168" s="70" t="s">
        <v>1124</v>
      </c>
      <c r="DY168" s="70" t="s">
        <v>1124</v>
      </c>
      <c r="DZ168" s="70" t="str">
        <f>VLOOKUP($BS168,'État &amp; Plan d''action'!$B$6:$AH$1113,31,FALSE)</f>
        <v/>
      </c>
      <c r="EA168" s="70" t="str">
        <f>VLOOKUP($BS168,'État &amp; Plan d''action'!$B$6:$AH$1113,32,FALSE)</f>
        <v/>
      </c>
      <c r="EB168" s="70" t="str">
        <f>VLOOKUP($BS168,'État &amp; Plan d''action'!$B$6:$AH$1113,33,FALSE)</f>
        <v/>
      </c>
      <c r="EC168" s="70" t="s">
        <v>1124</v>
      </c>
      <c r="ED168" s="70" t="s">
        <v>1124</v>
      </c>
      <c r="EE168" s="70" t="s">
        <v>1124</v>
      </c>
      <c r="EF168" s="70" t="s">
        <v>1124</v>
      </c>
      <c r="EG168" s="70" t="s">
        <v>1124</v>
      </c>
      <c r="EH168" s="72"/>
      <c r="EI168" s="72">
        <v>559</v>
      </c>
    </row>
    <row r="169" spans="1:139" ht="63" customHeight="1" x14ac:dyDescent="0.35">
      <c r="A169" s="1"/>
      <c r="B169" s="47" t="e">
        <f>MATCH(N169,'Données par municipalité'!H4:O4,0)</f>
        <v>#N/A</v>
      </c>
      <c r="C169" s="536"/>
      <c r="D169" s="537"/>
      <c r="E169" s="538"/>
      <c r="F169" s="522"/>
      <c r="G169" s="536"/>
      <c r="H169" s="538"/>
      <c r="I169" s="522"/>
      <c r="J169" s="522"/>
      <c r="K169" s="536"/>
      <c r="L169" s="538"/>
      <c r="M169" s="522"/>
      <c r="N169" s="470" t="s">
        <v>4763</v>
      </c>
      <c r="O169" s="70"/>
      <c r="P169" s="70"/>
      <c r="Q169" s="70"/>
      <c r="R169" s="70"/>
      <c r="T169" s="361"/>
      <c r="U169" s="361"/>
      <c r="V169" s="361"/>
      <c r="W169" s="444" t="s">
        <v>1120</v>
      </c>
      <c r="X169" s="444" t="s">
        <v>1121</v>
      </c>
      <c r="Y169" s="444" t="s">
        <v>1119</v>
      </c>
      <c r="Z169" s="445" t="s">
        <v>1261</v>
      </c>
      <c r="AA169" s="444" t="s">
        <v>1258</v>
      </c>
      <c r="AB169" s="444" t="s">
        <v>1118</v>
      </c>
      <c r="AC169" s="444" t="s">
        <v>1189</v>
      </c>
      <c r="AD169" s="444" t="s">
        <v>1190</v>
      </c>
      <c r="AE169" s="444" t="s">
        <v>1191</v>
      </c>
      <c r="AF169" s="444" t="s">
        <v>1158</v>
      </c>
      <c r="AG169" s="445" t="s">
        <v>1157</v>
      </c>
      <c r="AH169" s="444" t="s">
        <v>1116</v>
      </c>
      <c r="AI169" s="444" t="s">
        <v>1195</v>
      </c>
      <c r="AJ169" s="444" t="s">
        <v>1228</v>
      </c>
      <c r="AK169" s="444" t="s">
        <v>1115</v>
      </c>
      <c r="AL169" s="444" t="s">
        <v>1216</v>
      </c>
      <c r="AM169" s="444" t="s">
        <v>1220</v>
      </c>
      <c r="AN169" s="444" t="s">
        <v>1217</v>
      </c>
      <c r="AO169" s="444" t="s">
        <v>1218</v>
      </c>
      <c r="AP169" s="436"/>
      <c r="BS169" s="486">
        <v>44010</v>
      </c>
      <c r="BT169" s="479" t="s">
        <v>400</v>
      </c>
      <c r="BU169" s="479">
        <v>5</v>
      </c>
      <c r="BV169" s="476" t="s">
        <v>1187</v>
      </c>
      <c r="BW169" s="476" t="s">
        <v>1187</v>
      </c>
      <c r="BX169" s="476" t="s">
        <v>1187</v>
      </c>
      <c r="BY169" s="476" t="s">
        <v>1187</v>
      </c>
      <c r="BZ169" s="476" t="s">
        <v>1187</v>
      </c>
      <c r="CA169" s="476" t="s">
        <v>1187</v>
      </c>
      <c r="CB169" s="476" t="s">
        <v>1187</v>
      </c>
      <c r="CC169" s="476" t="s">
        <v>1187</v>
      </c>
      <c r="CD169" s="476" t="s">
        <v>1187</v>
      </c>
      <c r="CE169" s="476" t="s">
        <v>1188</v>
      </c>
      <c r="CF169" s="476" t="s">
        <v>1188</v>
      </c>
      <c r="CG169" s="476" t="s">
        <v>1188</v>
      </c>
      <c r="CH169" s="476" t="s">
        <v>1188</v>
      </c>
      <c r="CI169" s="476" t="s">
        <v>1188</v>
      </c>
      <c r="CJ169" s="476" t="s">
        <v>1188</v>
      </c>
      <c r="CK169" s="476" t="s">
        <v>1188</v>
      </c>
      <c r="CL169" s="476" t="s">
        <v>1188</v>
      </c>
      <c r="CM169" s="476" t="str">
        <f>IF(VLOOKUP(BS169,'Données par municipalité'!$B$6:$E$1113,4,FALSE)="","non","oui")</f>
        <v>oui</v>
      </c>
      <c r="CN169" s="410">
        <v>308.88030888030886</v>
      </c>
      <c r="CO169" s="410">
        <v>271.57836993902566</v>
      </c>
      <c r="CP169" s="410">
        <v>274.58751902587517</v>
      </c>
      <c r="CQ169" s="410">
        <v>317.23744292237438</v>
      </c>
      <c r="CR169" s="410">
        <v>190.72605410024295</v>
      </c>
      <c r="CS169" s="410">
        <v>200.80940055055672</v>
      </c>
      <c r="CT169" s="410">
        <v>158.84407575178739</v>
      </c>
      <c r="CU169" s="410">
        <v>186</v>
      </c>
      <c r="CV169" s="410">
        <f>IF(VLOOKUP(BS169,'Données par municipalité'!$B$6:$F$1113,4,FALSE)="","",VLOOKUP(BS169,'Données par municipalité'!$B$6:$F$1113,4,FALSE))</f>
        <v>209</v>
      </c>
      <c r="CW169" s="476" t="s">
        <v>4723</v>
      </c>
      <c r="CX169" s="483">
        <v>0.05</v>
      </c>
      <c r="CY169" s="483">
        <v>0.05</v>
      </c>
      <c r="CZ169" s="483">
        <v>0.05</v>
      </c>
      <c r="DA169" s="483">
        <v>0.05</v>
      </c>
      <c r="DB169" s="483">
        <v>0.05</v>
      </c>
      <c r="DC169" s="483">
        <v>0</v>
      </c>
      <c r="DD169" s="483">
        <v>0</v>
      </c>
      <c r="DE169" s="483">
        <f>IFERROR(SUM(VLOOKUP($BS169,'État &amp; Plan d''action'!$B$6:$Z$1113,18,FALSE),VLOOKUP($BS169,'État &amp; Plan d''action'!$B$6:$Z$1113,20,FALSE))/(VLOOKUP($BS169,'Données par municipalité'!$B$4:$L$1113,11,FALSE)),"")</f>
        <v>0</v>
      </c>
      <c r="DF169" s="483">
        <f>IFERROR(SUM(VLOOKUP($BS169,'État &amp; Plan d''action'!$B$6:$Z$1113,19,FALSE),VLOOKUP($BS169,'État &amp; Plan d''action'!$B$6:$Z$1113,21,FALSE))/(VLOOKUP($BS169,'Données par municipalité'!$B$4:$L$1113,11,FALSE)),"")</f>
        <v>0</v>
      </c>
      <c r="DG169" s="476" t="s">
        <v>4723</v>
      </c>
      <c r="DH169" s="484">
        <v>0</v>
      </c>
      <c r="DI169" s="484">
        <v>0</v>
      </c>
      <c r="DJ169" s="484">
        <v>0</v>
      </c>
      <c r="DK169" s="484">
        <v>0</v>
      </c>
      <c r="DL169" s="484">
        <v>0</v>
      </c>
      <c r="DM169" s="484">
        <v>0</v>
      </c>
      <c r="DN169" s="484">
        <v>0</v>
      </c>
      <c r="DO169" s="484">
        <v>0</v>
      </c>
      <c r="DP169" s="484">
        <v>0</v>
      </c>
      <c r="DQ169" s="484">
        <f>IF(VLOOKUP($BS169,'État &amp; Plan d''action'!$B$6:$AJ$1113,28,FALSE)="","",VLOOKUP($BS169,'État &amp; Plan d''action'!$B$6:$AJ$1113,28,FALSE))</f>
        <v>0</v>
      </c>
      <c r="DR169" s="70">
        <f>IF(VLOOKUP($BS169,'État &amp; Plan d''action'!$B$6:$AJ$1113,29,FALSE)="","",VLOOKUP($BS169,'État &amp; Plan d''action'!$B$6:$AJ$1113,29,FALSE))</f>
        <v>0</v>
      </c>
      <c r="DS169" s="70">
        <f>IF(VLOOKUP($BS169,'État &amp; Plan d''action'!$B$6:$AJ$1113,30,FALSE)="","",VLOOKUP($BS169,'État &amp; Plan d''action'!$B$6:$AJ$1113,30,FALSE))</f>
        <v>0</v>
      </c>
      <c r="DT169" s="70">
        <v>158</v>
      </c>
      <c r="DU169" s="485">
        <v>0.64268250087320999</v>
      </c>
      <c r="DV169" s="485">
        <v>0.6425868066354391</v>
      </c>
      <c r="DW169" s="70">
        <v>0</v>
      </c>
      <c r="DX169" s="70">
        <v>0</v>
      </c>
      <c r="DY169" s="70">
        <v>0</v>
      </c>
      <c r="DZ169" s="70">
        <f>VLOOKUP($BS169,'État &amp; Plan d''action'!$B$6:$AH$1113,31,FALSE)</f>
        <v>0</v>
      </c>
      <c r="EA169" s="70">
        <f>VLOOKUP($BS169,'État &amp; Plan d''action'!$B$6:$AH$1113,32,FALSE)</f>
        <v>0</v>
      </c>
      <c r="EB169" s="70">
        <f>VLOOKUP($BS169,'État &amp; Plan d''action'!$B$6:$AH$1113,33,FALSE)</f>
        <v>0</v>
      </c>
      <c r="EC169" s="70">
        <v>0</v>
      </c>
      <c r="ED169" s="70">
        <v>0</v>
      </c>
      <c r="EE169" s="70">
        <v>0</v>
      </c>
      <c r="EF169" s="70">
        <v>0</v>
      </c>
      <c r="EG169" s="70">
        <v>0</v>
      </c>
      <c r="EH169" s="72">
        <v>59</v>
      </c>
      <c r="EI169" s="72">
        <v>275</v>
      </c>
    </row>
    <row r="170" spans="1:139" ht="29.25" customHeight="1" x14ac:dyDescent="0.35">
      <c r="A170" s="1"/>
      <c r="B170" s="47"/>
      <c r="C170" s="539"/>
      <c r="D170" s="540"/>
      <c r="E170" s="541"/>
      <c r="F170" s="400" t="s">
        <v>1122</v>
      </c>
      <c r="G170" s="539" t="s">
        <v>1122</v>
      </c>
      <c r="H170" s="541"/>
      <c r="I170" s="400" t="s">
        <v>1266</v>
      </c>
      <c r="J170" s="400" t="s">
        <v>1266</v>
      </c>
      <c r="K170" s="539" t="s">
        <v>1266</v>
      </c>
      <c r="L170" s="541"/>
      <c r="M170" s="400" t="s">
        <v>1267</v>
      </c>
      <c r="N170" s="393" t="str">
        <f>IF(N169=$S$177,"Moy. Pondérée",IF(N169=$S$170,"","Total"))</f>
        <v/>
      </c>
      <c r="O170" s="70"/>
      <c r="P170" s="70"/>
      <c r="Q170" s="70"/>
      <c r="R170" s="70"/>
      <c r="S170" s="355" t="s">
        <v>4763</v>
      </c>
      <c r="T170" s="361"/>
      <c r="U170" s="361"/>
      <c r="V170" s="361"/>
      <c r="W170" s="446" t="s">
        <v>1178</v>
      </c>
      <c r="X170" s="446" t="s">
        <v>1178</v>
      </c>
      <c r="Y170" s="446" t="s">
        <v>1178</v>
      </c>
      <c r="Z170" s="446" t="s">
        <v>1178</v>
      </c>
      <c r="AA170" s="446" t="s">
        <v>1178</v>
      </c>
      <c r="AB170" s="445" t="s">
        <v>1178</v>
      </c>
      <c r="AC170" s="446" t="s">
        <v>1178</v>
      </c>
      <c r="AD170" s="446" t="s">
        <v>1178</v>
      </c>
      <c r="AE170" s="446" t="s">
        <v>1178</v>
      </c>
      <c r="AF170" s="446" t="s">
        <v>1178</v>
      </c>
      <c r="AG170" s="446" t="s">
        <v>1179</v>
      </c>
      <c r="AH170" s="446" t="s">
        <v>1178</v>
      </c>
      <c r="AI170" s="506" t="s">
        <v>1179</v>
      </c>
      <c r="AJ170" s="506" t="s">
        <v>1179</v>
      </c>
      <c r="AK170" s="506" t="s">
        <v>1197</v>
      </c>
      <c r="AL170" s="506" t="s">
        <v>1197</v>
      </c>
      <c r="AM170" s="506" t="s">
        <v>1179</v>
      </c>
      <c r="AN170" s="506" t="s">
        <v>1122</v>
      </c>
      <c r="AO170" s="506" t="s">
        <v>1122</v>
      </c>
      <c r="BS170" s="486">
        <v>45093</v>
      </c>
      <c r="BT170" s="479" t="s">
        <v>422</v>
      </c>
      <c r="BU170" s="479">
        <v>5</v>
      </c>
      <c r="BV170" s="476" t="s">
        <v>1187</v>
      </c>
      <c r="BW170" s="476" t="s">
        <v>1187</v>
      </c>
      <c r="BX170" s="476" t="s">
        <v>1187</v>
      </c>
      <c r="BY170" s="476" t="s">
        <v>1187</v>
      </c>
      <c r="BZ170" s="476" t="s">
        <v>1187</v>
      </c>
      <c r="CA170" s="476" t="s">
        <v>1187</v>
      </c>
      <c r="CB170" s="476" t="s">
        <v>1187</v>
      </c>
      <c r="CC170" s="476" t="s">
        <v>1187</v>
      </c>
      <c r="CD170" s="476" t="s">
        <v>1187</v>
      </c>
      <c r="CE170" s="476" t="s">
        <v>1188</v>
      </c>
      <c r="CF170" s="476" t="s">
        <v>1188</v>
      </c>
      <c r="CG170" s="476" t="s">
        <v>1187</v>
      </c>
      <c r="CH170" s="476" t="s">
        <v>1188</v>
      </c>
      <c r="CI170" s="476" t="s">
        <v>1188</v>
      </c>
      <c r="CJ170" s="476" t="s">
        <v>1188</v>
      </c>
      <c r="CK170" s="476" t="s">
        <v>1188</v>
      </c>
      <c r="CL170" s="476" t="s">
        <v>1188</v>
      </c>
      <c r="CM170" s="476" t="str">
        <f>IF(VLOOKUP(BS170,'Données par municipalité'!$B$6:$E$1113,4,FALSE)="","non","oui")</f>
        <v>oui</v>
      </c>
      <c r="CN170" s="410">
        <v>656.95770490291045</v>
      </c>
      <c r="CO170" s="410">
        <v>649.33496608771702</v>
      </c>
      <c r="CP170" s="410"/>
      <c r="CQ170" s="410">
        <v>876.79307494419334</v>
      </c>
      <c r="CR170" s="410">
        <v>676.44513569021558</v>
      </c>
      <c r="CS170" s="410">
        <v>556.17570727069608</v>
      </c>
      <c r="CT170" s="410">
        <v>470.14143790901642</v>
      </c>
      <c r="CU170" s="410">
        <v>542</v>
      </c>
      <c r="CV170" s="410">
        <f>IF(VLOOKUP(BS170,'Données par municipalité'!$B$6:$F$1113,4,FALSE)="","",VLOOKUP(BS170,'Données par municipalité'!$B$6:$F$1113,4,FALSE))</f>
        <v>660</v>
      </c>
      <c r="CW170" s="476" t="s">
        <v>4723</v>
      </c>
      <c r="CX170" s="483">
        <v>0.1</v>
      </c>
      <c r="CY170" s="483" t="s">
        <v>1124</v>
      </c>
      <c r="CZ170" s="483">
        <v>1</v>
      </c>
      <c r="DA170" s="483">
        <v>1</v>
      </c>
      <c r="DB170" s="483">
        <v>1</v>
      </c>
      <c r="DC170" s="483">
        <v>1</v>
      </c>
      <c r="DD170" s="483">
        <v>7.3072707343807081E-2</v>
      </c>
      <c r="DE170" s="483">
        <f>IFERROR(SUM(VLOOKUP($BS170,'État &amp; Plan d''action'!$B$6:$Z$1113,18,FALSE),VLOOKUP($BS170,'État &amp; Plan d''action'!$B$6:$Z$1113,20,FALSE))/(VLOOKUP($BS170,'Données par municipalité'!$B$4:$L$1113,11,FALSE)),"")</f>
        <v>1</v>
      </c>
      <c r="DF170" s="483">
        <f>IFERROR(SUM(VLOOKUP($BS170,'État &amp; Plan d''action'!$B$6:$Z$1113,19,FALSE),VLOOKUP($BS170,'État &amp; Plan d''action'!$B$6:$Z$1113,21,FALSE))/(VLOOKUP($BS170,'Données par municipalité'!$B$4:$L$1113,11,FALSE)),"")</f>
        <v>1</v>
      </c>
      <c r="DG170" s="476" t="s">
        <v>4723</v>
      </c>
      <c r="DH170" s="484">
        <v>5</v>
      </c>
      <c r="DI170" s="484" t="s">
        <v>1124</v>
      </c>
      <c r="DJ170" s="484">
        <v>9</v>
      </c>
      <c r="DK170" s="484">
        <v>5</v>
      </c>
      <c r="DL170" s="484">
        <v>3</v>
      </c>
      <c r="DM170" s="484">
        <v>2</v>
      </c>
      <c r="DN170" s="484">
        <v>2</v>
      </c>
      <c r="DO170" s="484">
        <v>1</v>
      </c>
      <c r="DP170" s="484">
        <v>1</v>
      </c>
      <c r="DQ170" s="484">
        <f>IF(VLOOKUP($BS170,'État &amp; Plan d''action'!$B$6:$AJ$1113,28,FALSE)="","",VLOOKUP($BS170,'État &amp; Plan d''action'!$B$6:$AJ$1113,28,FALSE))</f>
        <v>3</v>
      </c>
      <c r="DR170" s="70">
        <f>IF(VLOOKUP($BS170,'État &amp; Plan d''action'!$B$6:$AJ$1113,29,FALSE)="","",VLOOKUP($BS170,'État &amp; Plan d''action'!$B$6:$AJ$1113,29,FALSE))</f>
        <v>0</v>
      </c>
      <c r="DS170" s="70">
        <f>IF(VLOOKUP($BS170,'État &amp; Plan d''action'!$B$6:$AJ$1113,30,FALSE)="","",VLOOKUP($BS170,'État &amp; Plan d''action'!$B$6:$AJ$1113,30,FALSE))</f>
        <v>2</v>
      </c>
      <c r="DT170" s="70">
        <v>214</v>
      </c>
      <c r="DU170" s="485">
        <v>5.5463293609948474</v>
      </c>
      <c r="DV170" s="485">
        <v>9.9693229929112519</v>
      </c>
      <c r="DW170" s="70">
        <v>1</v>
      </c>
      <c r="DX170" s="70">
        <v>1</v>
      </c>
      <c r="DY170" s="70">
        <v>1</v>
      </c>
      <c r="DZ170" s="70">
        <f>VLOOKUP($BS170,'État &amp; Plan d''action'!$B$6:$AH$1113,31,FALSE)</f>
        <v>1</v>
      </c>
      <c r="EA170" s="70">
        <f>VLOOKUP($BS170,'État &amp; Plan d''action'!$B$6:$AH$1113,32,FALSE)</f>
        <v>0</v>
      </c>
      <c r="EB170" s="70">
        <f>VLOOKUP($BS170,'État &amp; Plan d''action'!$B$6:$AH$1113,33,FALSE)</f>
        <v>1</v>
      </c>
      <c r="EC170" s="70">
        <v>13.685</v>
      </c>
      <c r="ED170" s="70">
        <v>0</v>
      </c>
      <c r="EE170" s="70">
        <v>1</v>
      </c>
      <c r="EF170" s="70">
        <v>0</v>
      </c>
      <c r="EG170" s="70">
        <v>0</v>
      </c>
      <c r="EH170" s="72">
        <v>47.891891891891902</v>
      </c>
      <c r="EI170" s="72">
        <v>2012</v>
      </c>
    </row>
    <row r="171" spans="1:139" ht="15.75" customHeight="1" x14ac:dyDescent="0.35">
      <c r="A171" s="1"/>
      <c r="B171" s="47"/>
      <c r="C171" s="394">
        <v>1</v>
      </c>
      <c r="D171" s="395" t="s">
        <v>1123</v>
      </c>
      <c r="E171" s="396" t="s">
        <v>1164</v>
      </c>
      <c r="F171" s="397">
        <v>74</v>
      </c>
      <c r="G171" s="549">
        <v>73</v>
      </c>
      <c r="H171" s="549"/>
      <c r="I171" s="398">
        <v>4.0613592484346821</v>
      </c>
      <c r="J171" s="399">
        <v>242.56278100411066</v>
      </c>
      <c r="K171" s="551">
        <v>461.94708617684756</v>
      </c>
      <c r="L171" s="551"/>
      <c r="M171" s="399">
        <v>56.17978397764643</v>
      </c>
      <c r="N171" s="401" t="str">
        <f>IF($N$169=$S$170,"",IF($N$169=$S$171,TEXT(AN171,"#"),IF($N$169=$S$172,TEXT(AO171,"# ###"),IF($N$169=$S$173,TEXT(AB171,"# ###"),IF($N$169=$S$174,Y171,IF($N$169=$S$175,AA171,IF($N$169=$S$176,W171,IF($N$169=$S$177,TEXT(AG171,"0%"),IF($N$169=$S$178,TEXT(AF171,"# ###"))))))))))</f>
        <v/>
      </c>
      <c r="O171" s="70"/>
      <c r="P171" s="70"/>
      <c r="Q171" s="70"/>
      <c r="R171" s="70"/>
      <c r="S171" s="355" t="s">
        <v>1217</v>
      </c>
      <c r="T171" s="358">
        <v>1</v>
      </c>
      <c r="U171" s="358" t="s">
        <v>1123</v>
      </c>
      <c r="V171" s="358" t="s">
        <v>1164</v>
      </c>
      <c r="W171" s="447">
        <f>SUMIF('Données par réseau'!$D$6:$D$748,$C171,'Données par réseau'!$W$6:$W$748)</f>
        <v>6949.356558999988</v>
      </c>
      <c r="X171" s="447">
        <f>SUMIF('Données par réseau'!$D$6:$D$748,$C171,'Données par réseau'!$X$6:$X$748)</f>
        <v>1711.0913203943703</v>
      </c>
      <c r="Y171" s="447">
        <f>SUMIF('Données par réseau'!$D$6:$D$748,$C171,'Données par réseau'!$N$6:$N$748)</f>
        <v>1497.6063999999997</v>
      </c>
      <c r="Z171" s="447">
        <f>SUMIF('État &amp; Plan d''action'!$D$6:$D$1113,$C171,'État &amp; Plan d''action'!$S$6:$S$1113)+SUMIF('État &amp; Plan d''action'!$D$6:$D$1113,$C171,'État &amp; Plan d''action'!$U$6:$U$1113)</f>
        <v>1211.8294000000001</v>
      </c>
      <c r="AA171" s="447">
        <f>SUMIF('Données par réseau'!$D$6:$D$748,$C171,'Données par réseau'!$V$6:$V$748)</f>
        <v>25641.08065171264</v>
      </c>
      <c r="AB171" s="507">
        <f>SUMIF('Données par réseau'!$D$6:$D$748,$C171,'Données par réseau'!$M$6:$M$748)</f>
        <v>152072.68999894883</v>
      </c>
      <c r="AC171" s="507">
        <f>SUMIF('État &amp; Plan d''action'!$D$6:$D$1113,C171,'État &amp; Plan d''action'!$AC$6:$AC$1113)</f>
        <v>142</v>
      </c>
      <c r="AD171" s="508">
        <f>SUMIF('État &amp; Plan d''action'!$D$6:$D$1113,C171,'État &amp; Plan d''action'!$AD$6:$AD$1113)</f>
        <v>94</v>
      </c>
      <c r="AE171" s="508">
        <f>SUMIF('État &amp; Plan d''action'!$D$6:$D$1113,C171,'État &amp; Plan d''action'!$AE$6:$AE$1113)</f>
        <v>62</v>
      </c>
      <c r="AF171" s="447">
        <f t="shared" ref="AF171:AF187" si="8">SUM(AC171:AE171)</f>
        <v>298</v>
      </c>
      <c r="AG171" s="509">
        <f>Z171/Y171</f>
        <v>0.80917749817308493</v>
      </c>
      <c r="AH171" s="510">
        <f>(SUMIF('Données par municipalité'!$D$6:$D$1113,Évolution!$T171,'Données par municipalité'!$O$6:$O$1113)*1000000/365)/SUMIF('Données par municipalité'!$D$6:$D$1113,Évolution!$T171,'Données par municipalité'!$K$6:$K$1113)</f>
        <v>242.56278100411066</v>
      </c>
      <c r="AI171" s="511">
        <f>W171/X171</f>
        <v>4.0613592484346821</v>
      </c>
      <c r="AJ171" s="510"/>
      <c r="AK171" s="510">
        <f>AVERAGEIF('Données par réseau'!$D$6:$D$748,Évolution!$T171,'Données par réseau'!$I$6:$I$748)</f>
        <v>56.17978397764643</v>
      </c>
      <c r="AL171" s="511"/>
      <c r="AM171" s="510">
        <f>(SUMIF('Données par municipalité'!$D$6:$D$1113,Évolution!$T171,'Données par municipalité'!$N$6:$N$1113)*1000000/365)/SUMIF('Données par municipalité'!$D$6:$D$1113,Évolution!$T171,'Données par municipalité'!$K$6:$K$1113)</f>
        <v>461.94708617684756</v>
      </c>
      <c r="AN171" s="510">
        <f>SUMIFS('Données par municipalité'!$H$6:$H$1113,'Données par municipalité'!$D$6:$D$1113,Évolution!T171)</f>
        <v>82</v>
      </c>
      <c r="AO171" s="447">
        <f>SUMIFS('Données par municipalité'!$I$6:$I$1113,'Données par municipalité'!$D$6:$D$1113,Évolution!T171)</f>
        <v>72317</v>
      </c>
      <c r="BS171" s="486">
        <v>83075</v>
      </c>
      <c r="BT171" s="479" t="s">
        <v>847</v>
      </c>
      <c r="BU171" s="479">
        <v>7</v>
      </c>
      <c r="BV171" s="476" t="s">
        <v>1188</v>
      </c>
      <c r="BW171" s="476" t="s">
        <v>1188</v>
      </c>
      <c r="BX171" s="476" t="s">
        <v>1188</v>
      </c>
      <c r="BY171" s="476" t="s">
        <v>1188</v>
      </c>
      <c r="BZ171" s="476" t="s">
        <v>1188</v>
      </c>
      <c r="CA171" s="476" t="s">
        <v>1188</v>
      </c>
      <c r="CB171" s="476" t="s">
        <v>1188</v>
      </c>
      <c r="CC171" s="476" t="s">
        <v>1188</v>
      </c>
      <c r="CD171" s="476" t="s">
        <v>1188</v>
      </c>
      <c r="CE171" s="476" t="s">
        <v>1187</v>
      </c>
      <c r="CF171" s="476" t="s">
        <v>1187</v>
      </c>
      <c r="CG171" s="476" t="s">
        <v>1187</v>
      </c>
      <c r="CH171" s="476" t="s">
        <v>1187</v>
      </c>
      <c r="CI171" s="476" t="s">
        <v>1187</v>
      </c>
      <c r="CJ171" s="476" t="s">
        <v>1187</v>
      </c>
      <c r="CK171" s="476" t="s">
        <v>1187</v>
      </c>
      <c r="CL171" s="476" t="s">
        <v>1187</v>
      </c>
      <c r="CM171" s="476" t="str">
        <f>IF(VLOOKUP(BS171,'Données par municipalité'!$B$6:$E$1113,4,FALSE)="","non","oui")</f>
        <v>non</v>
      </c>
      <c r="CN171" s="410" t="s">
        <v>1124</v>
      </c>
      <c r="CO171" s="410" t="s">
        <v>1124</v>
      </c>
      <c r="CP171" s="410"/>
      <c r="CQ171" s="410"/>
      <c r="CR171" s="410"/>
      <c r="CS171" s="410" t="s">
        <v>1124</v>
      </c>
      <c r="CT171" s="410"/>
      <c r="CU171" s="410" t="s">
        <v>1124</v>
      </c>
      <c r="CV171" s="410" t="str">
        <f>IF(VLOOKUP(BS171,'Données par municipalité'!$B$6:$F$1113,4,FALSE)="","",VLOOKUP(BS171,'Données par municipalité'!$B$6:$F$1113,4,FALSE))</f>
        <v/>
      </c>
      <c r="CW171" s="476" t="s">
        <v>4723</v>
      </c>
      <c r="CX171" s="483" t="s">
        <v>1124</v>
      </c>
      <c r="CY171" s="483" t="s">
        <v>1124</v>
      </c>
      <c r="CZ171" s="483" t="s">
        <v>1124</v>
      </c>
      <c r="DA171" s="483" t="s">
        <v>1124</v>
      </c>
      <c r="DB171" s="483" t="s">
        <v>1124</v>
      </c>
      <c r="DC171" s="483" t="s">
        <v>1124</v>
      </c>
      <c r="DD171" s="483" t="s">
        <v>1124</v>
      </c>
      <c r="DE171" s="483" t="str">
        <f>IFERROR(SUM(VLOOKUP($BS171,'État &amp; Plan d''action'!$B$6:$Z$1113,18,FALSE),VLOOKUP($BS171,'État &amp; Plan d''action'!$B$6:$Z$1113,20,FALSE))/(VLOOKUP($BS171,'Données par municipalité'!$B$4:$L$1113,11,FALSE)),"")</f>
        <v/>
      </c>
      <c r="DF171" s="483" t="str">
        <f>IFERROR(SUM(VLOOKUP($BS171,'État &amp; Plan d''action'!$B$6:$Z$1113,19,FALSE),VLOOKUP($BS171,'État &amp; Plan d''action'!$B$6:$Z$1113,21,FALSE))/(VLOOKUP($BS171,'Données par municipalité'!$B$4:$L$1113,11,FALSE)),"")</f>
        <v/>
      </c>
      <c r="DG171" s="476" t="s">
        <v>4723</v>
      </c>
      <c r="DH171" s="484" t="s">
        <v>1124</v>
      </c>
      <c r="DI171" s="484" t="s">
        <v>1124</v>
      </c>
      <c r="DJ171" s="484">
        <v>0</v>
      </c>
      <c r="DK171" s="484">
        <v>0</v>
      </c>
      <c r="DL171" s="484" t="s">
        <v>1124</v>
      </c>
      <c r="DM171" s="484" t="s">
        <v>1124</v>
      </c>
      <c r="DN171" s="484" t="s">
        <v>1124</v>
      </c>
      <c r="DO171" s="484" t="s">
        <v>1124</v>
      </c>
      <c r="DP171" s="484" t="s">
        <v>1124</v>
      </c>
      <c r="DQ171" s="484" t="str">
        <f>IF(VLOOKUP($BS171,'État &amp; Plan d''action'!$B$6:$AJ$1113,28,FALSE)="","",VLOOKUP($BS171,'État &amp; Plan d''action'!$B$6:$AJ$1113,28,FALSE))</f>
        <v/>
      </c>
      <c r="DR171" s="70" t="str">
        <f>IF(VLOOKUP($BS171,'État &amp; Plan d''action'!$B$6:$AJ$1113,29,FALSE)="","",VLOOKUP($BS171,'État &amp; Plan d''action'!$B$6:$AJ$1113,29,FALSE))</f>
        <v/>
      </c>
      <c r="DS171" s="70" t="str">
        <f>IF(VLOOKUP($BS171,'État &amp; Plan d''action'!$B$6:$AJ$1113,30,FALSE)="","",VLOOKUP($BS171,'État &amp; Plan d''action'!$B$6:$AJ$1113,30,FALSE))</f>
        <v/>
      </c>
      <c r="DT171" s="70" t="s">
        <v>1124</v>
      </c>
      <c r="DU171" s="485" t="s">
        <v>1124</v>
      </c>
      <c r="DV171" s="485" t="s">
        <v>1124</v>
      </c>
      <c r="DW171" s="70" t="s">
        <v>1124</v>
      </c>
      <c r="DX171" s="70" t="s">
        <v>1124</v>
      </c>
      <c r="DY171" s="70" t="s">
        <v>1124</v>
      </c>
      <c r="DZ171" s="70" t="str">
        <f>VLOOKUP($BS171,'État &amp; Plan d''action'!$B$6:$AH$1113,31,FALSE)</f>
        <v/>
      </c>
      <c r="EA171" s="70" t="str">
        <f>VLOOKUP($BS171,'État &amp; Plan d''action'!$B$6:$AH$1113,32,FALSE)</f>
        <v/>
      </c>
      <c r="EB171" s="70" t="str">
        <f>VLOOKUP($BS171,'État &amp; Plan d''action'!$B$6:$AH$1113,33,FALSE)</f>
        <v/>
      </c>
      <c r="EC171" s="70" t="s">
        <v>1124</v>
      </c>
      <c r="ED171" s="70" t="s">
        <v>1124</v>
      </c>
      <c r="EE171" s="70" t="s">
        <v>1124</v>
      </c>
      <c r="EF171" s="70" t="s">
        <v>1124</v>
      </c>
      <c r="EG171" s="70" t="s">
        <v>1124</v>
      </c>
      <c r="EH171" s="72"/>
      <c r="EI171" s="72">
        <v>506</v>
      </c>
    </row>
    <row r="172" spans="1:139" ht="15.75" customHeight="1" x14ac:dyDescent="0.35">
      <c r="A172" s="1"/>
      <c r="B172" s="47"/>
      <c r="C172" s="377">
        <v>2</v>
      </c>
      <c r="D172" s="378" t="s">
        <v>1123</v>
      </c>
      <c r="E172" s="379" t="s">
        <v>1165</v>
      </c>
      <c r="F172" s="380">
        <v>47</v>
      </c>
      <c r="G172" s="550">
        <v>40</v>
      </c>
      <c r="H172" s="550"/>
      <c r="I172" s="381">
        <v>4.0488400211813147</v>
      </c>
      <c r="J172" s="382">
        <v>252.54867171272986</v>
      </c>
      <c r="K172" s="548">
        <v>505.79607124599687</v>
      </c>
      <c r="L172" s="548"/>
      <c r="M172" s="382">
        <v>55.386516138099182</v>
      </c>
      <c r="N172" s="401" t="str">
        <f t="shared" ref="N172:N187" si="9">IF($N$169=$S$170,"",IF($N$169=$S$171,TEXT(AN172,"#"),IF($N$169=$S$172,TEXT(AO172,"# ###"),IF($N$169=$S$173,TEXT(AB172,"# ###"),IF($N$169=$S$174,Y172,IF($N$169=$S$175,AA172,IF($N$169=$S$176,W172,IF($N$169=$S$177,TEXT(AG172,"0%"),IF($N$169=$S$178,TEXT(AF172,"# ###"))))))))))</f>
        <v/>
      </c>
      <c r="O172" s="70"/>
      <c r="P172" s="70"/>
      <c r="Q172" s="70"/>
      <c r="R172" s="70"/>
      <c r="S172" s="360" t="s">
        <v>4767</v>
      </c>
      <c r="T172" s="358">
        <v>2</v>
      </c>
      <c r="U172" s="358" t="s">
        <v>1123</v>
      </c>
      <c r="V172" s="358" t="s">
        <v>1165</v>
      </c>
      <c r="W172" s="447">
        <f>SUMIF('Données par réseau'!$D$6:$D$748,$C172,'Données par réseau'!$W$6:$W$748)</f>
        <v>12623.420255100351</v>
      </c>
      <c r="X172" s="447">
        <f>SUMIF('Données par réseau'!$D$6:$D$748,$C172,'Données par réseau'!$X$6:$X$748)</f>
        <v>3117.7868695877155</v>
      </c>
      <c r="Y172" s="447">
        <f>SUMIF('Données par réseau'!$D$6:$D$748,$C172,'Données par réseau'!$N$6:$N$748)</f>
        <v>2616.6230400000009</v>
      </c>
      <c r="Z172" s="447">
        <f>SUMIF('État &amp; Plan d''action'!$D$6:$D$1113,$C172,'État &amp; Plan d''action'!$S$6:$S$1113)+SUMIF('État &amp; Plan d''action'!$D$6:$D$1113,$C172,'État &amp; Plan d''action'!$U$6:$U$1113)</f>
        <v>2598.2812499999995</v>
      </c>
      <c r="AA172" s="447">
        <f>SUMIF('Données par réseau'!$D$6:$D$748,$C172,'Données par réseau'!$V$6:$V$748)</f>
        <v>45065.469819999998</v>
      </c>
      <c r="AB172" s="507">
        <f>SUMIF('Données par réseau'!$D$6:$D$748,$C172,'Données par réseau'!$M$6:$M$748)</f>
        <v>244104.38835277312</v>
      </c>
      <c r="AC172" s="507">
        <f>SUMIF('État &amp; Plan d''action'!$D$6:$D$1113,C172,'État &amp; Plan d''action'!$AC$6:$AC$1113)</f>
        <v>363</v>
      </c>
      <c r="AD172" s="508">
        <f>SUMIF('État &amp; Plan d''action'!$D$6:$D$1113,C172,'État &amp; Plan d''action'!$AD$6:$AD$1113)</f>
        <v>131</v>
      </c>
      <c r="AE172" s="508">
        <f>SUMIF('État &amp; Plan d''action'!$D$6:$D$1113,C172,'État &amp; Plan d''action'!$AE$6:$AE$1113)</f>
        <v>72</v>
      </c>
      <c r="AF172" s="447">
        <f t="shared" si="8"/>
        <v>566</v>
      </c>
      <c r="AG172" s="509">
        <f t="shared" ref="AG172:AG188" si="10">Z172/Y172</f>
        <v>0.99299028185580707</v>
      </c>
      <c r="AH172" s="510">
        <f>(SUMIF('Données par municipalité'!$D$6:$D$1113,Évolution!$T172,'Données par municipalité'!$O$6:$O$1113)*1000000/365)/SUMIF('Données par municipalité'!$D$6:$D$1113,Évolution!$T172,'Données par municipalité'!$K$6:$K$1113)</f>
        <v>252.54867171272986</v>
      </c>
      <c r="AI172" s="511">
        <f t="shared" ref="AI172:AI187" si="11">W172/X172</f>
        <v>4.0488400211813147</v>
      </c>
      <c r="AJ172" s="510"/>
      <c r="AK172" s="510">
        <f>AVERAGEIF('Données par réseau'!$D$6:$D$748,Évolution!$T172,'Données par réseau'!$I$6:$I$748)</f>
        <v>55.386516138099182</v>
      </c>
      <c r="AL172" s="511"/>
      <c r="AM172" s="510">
        <f>(SUMIF('Données par municipalité'!$D$6:$D$1113,Évolution!$T172,'Données par municipalité'!$N$6:$N$1113)*1000000/365)/SUMIF('Données par municipalité'!$D$6:$D$1113,Évolution!$T172,'Données par municipalité'!$K$6:$K$1113)</f>
        <v>505.79607124599687</v>
      </c>
      <c r="AN172" s="510">
        <f>SUMIFS('Données par municipalité'!$H$6:$H$1113,'Données par municipalité'!$D$6:$D$1113,Évolution!T172)</f>
        <v>52</v>
      </c>
      <c r="AO172" s="447">
        <f>SUMIFS('Données par municipalité'!$I$6:$I$1113,'Données par municipalité'!$D$6:$D$1113,Évolution!T172)</f>
        <v>113619</v>
      </c>
      <c r="BS172" s="486">
        <v>69050</v>
      </c>
      <c r="BT172" s="479" t="s">
        <v>691</v>
      </c>
      <c r="BU172" s="479">
        <v>16</v>
      </c>
      <c r="BV172" s="476" t="s">
        <v>1188</v>
      </c>
      <c r="BW172" s="476" t="s">
        <v>1188</v>
      </c>
      <c r="BX172" s="476" t="s">
        <v>1188</v>
      </c>
      <c r="BY172" s="476" t="s">
        <v>1188</v>
      </c>
      <c r="BZ172" s="476" t="s">
        <v>1188</v>
      </c>
      <c r="CA172" s="476" t="s">
        <v>1188</v>
      </c>
      <c r="CB172" s="476" t="s">
        <v>1188</v>
      </c>
      <c r="CC172" s="476" t="s">
        <v>1188</v>
      </c>
      <c r="CD172" s="476" t="s">
        <v>1188</v>
      </c>
      <c r="CE172" s="476" t="s">
        <v>1188</v>
      </c>
      <c r="CF172" s="476" t="s">
        <v>1188</v>
      </c>
      <c r="CG172" s="476" t="s">
        <v>1187</v>
      </c>
      <c r="CH172" s="476" t="s">
        <v>1188</v>
      </c>
      <c r="CI172" s="476" t="s">
        <v>1187</v>
      </c>
      <c r="CJ172" s="476" t="s">
        <v>1187</v>
      </c>
      <c r="CK172" s="476" t="s">
        <v>1187</v>
      </c>
      <c r="CL172" s="476" t="s">
        <v>1187</v>
      </c>
      <c r="CM172" s="476" t="str">
        <f>IF(VLOOKUP(BS172,'Données par municipalité'!$B$6:$E$1113,4,FALSE)="","non","oui")</f>
        <v>non</v>
      </c>
      <c r="CN172" s="410">
        <v>1247.3605967169722</v>
      </c>
      <c r="CO172" s="410">
        <v>1468.0539673727114</v>
      </c>
      <c r="CP172" s="410"/>
      <c r="CQ172" s="410">
        <v>1188.6148241392079</v>
      </c>
      <c r="CR172" s="410"/>
      <c r="CS172" s="410" t="s">
        <v>1124</v>
      </c>
      <c r="CT172" s="410"/>
      <c r="CU172" s="410" t="s">
        <v>1124</v>
      </c>
      <c r="CV172" s="410" t="str">
        <f>IF(VLOOKUP(BS172,'Données par municipalité'!$B$6:$F$1113,4,FALSE)="","",VLOOKUP(BS172,'Données par municipalité'!$B$6:$F$1113,4,FALSE))</f>
        <v/>
      </c>
      <c r="CW172" s="476" t="s">
        <v>4723</v>
      </c>
      <c r="CX172" s="483" t="s">
        <v>1124</v>
      </c>
      <c r="CY172" s="483" t="s">
        <v>1124</v>
      </c>
      <c r="CZ172" s="483">
        <v>0</v>
      </c>
      <c r="DA172" s="483" t="s">
        <v>1124</v>
      </c>
      <c r="DB172" s="483" t="s">
        <v>1124</v>
      </c>
      <c r="DC172" s="483" t="s">
        <v>1124</v>
      </c>
      <c r="DD172" s="483" t="s">
        <v>1124</v>
      </c>
      <c r="DE172" s="483" t="str">
        <f>IFERROR(SUM(VLOOKUP($BS172,'État &amp; Plan d''action'!$B$6:$Z$1113,18,FALSE),VLOOKUP($BS172,'État &amp; Plan d''action'!$B$6:$Z$1113,20,FALSE))/(VLOOKUP($BS172,'Données par municipalité'!$B$4:$L$1113,11,FALSE)),"")</f>
        <v/>
      </c>
      <c r="DF172" s="483" t="str">
        <f>IFERROR(SUM(VLOOKUP($BS172,'État &amp; Plan d''action'!$B$6:$Z$1113,19,FALSE),VLOOKUP($BS172,'État &amp; Plan d''action'!$B$6:$Z$1113,21,FALSE))/(VLOOKUP($BS172,'Données par municipalité'!$B$4:$L$1113,11,FALSE)),"")</f>
        <v/>
      </c>
      <c r="DG172" s="476" t="s">
        <v>4723</v>
      </c>
      <c r="DH172" s="484" t="s">
        <v>1124</v>
      </c>
      <c r="DI172" s="484" t="s">
        <v>1124</v>
      </c>
      <c r="DJ172" s="484">
        <v>0</v>
      </c>
      <c r="DK172" s="484">
        <v>0</v>
      </c>
      <c r="DL172" s="484" t="s">
        <v>1124</v>
      </c>
      <c r="DM172" s="484" t="s">
        <v>1124</v>
      </c>
      <c r="DN172" s="484" t="s">
        <v>1124</v>
      </c>
      <c r="DO172" s="484" t="s">
        <v>1124</v>
      </c>
      <c r="DP172" s="484" t="s">
        <v>1124</v>
      </c>
      <c r="DQ172" s="484" t="str">
        <f>IF(VLOOKUP($BS172,'État &amp; Plan d''action'!$B$6:$AJ$1113,28,FALSE)="","",VLOOKUP($BS172,'État &amp; Plan d''action'!$B$6:$AJ$1113,28,FALSE))</f>
        <v/>
      </c>
      <c r="DR172" s="70" t="str">
        <f>IF(VLOOKUP($BS172,'État &amp; Plan d''action'!$B$6:$AJ$1113,29,FALSE)="","",VLOOKUP($BS172,'État &amp; Plan d''action'!$B$6:$AJ$1113,29,FALSE))</f>
        <v/>
      </c>
      <c r="DS172" s="70" t="str">
        <f>IF(VLOOKUP($BS172,'État &amp; Plan d''action'!$B$6:$AJ$1113,30,FALSE)="","",VLOOKUP($BS172,'État &amp; Plan d''action'!$B$6:$AJ$1113,30,FALSE))</f>
        <v/>
      </c>
      <c r="DT172" s="70" t="s">
        <v>1124</v>
      </c>
      <c r="DU172" s="485" t="s">
        <v>1124</v>
      </c>
      <c r="DV172" s="485" t="s">
        <v>1124</v>
      </c>
      <c r="DW172" s="70" t="s">
        <v>1124</v>
      </c>
      <c r="DX172" s="70" t="s">
        <v>1124</v>
      </c>
      <c r="DY172" s="70" t="s">
        <v>1124</v>
      </c>
      <c r="DZ172" s="70" t="str">
        <f>VLOOKUP($BS172,'État &amp; Plan d''action'!$B$6:$AH$1113,31,FALSE)</f>
        <v/>
      </c>
      <c r="EA172" s="70" t="str">
        <f>VLOOKUP($BS172,'État &amp; Plan d''action'!$B$6:$AH$1113,32,FALSE)</f>
        <v/>
      </c>
      <c r="EB172" s="70" t="str">
        <f>VLOOKUP($BS172,'État &amp; Plan d''action'!$B$6:$AH$1113,33,FALSE)</f>
        <v/>
      </c>
      <c r="EC172" s="70" t="s">
        <v>1124</v>
      </c>
      <c r="ED172" s="70" t="s">
        <v>1124</v>
      </c>
      <c r="EE172" s="70" t="s">
        <v>1124</v>
      </c>
      <c r="EF172" s="70" t="s">
        <v>1124</v>
      </c>
      <c r="EG172" s="70" t="s">
        <v>1124</v>
      </c>
      <c r="EH172" s="72"/>
      <c r="EI172" s="72">
        <v>416</v>
      </c>
    </row>
    <row r="173" spans="1:139" ht="15.75" customHeight="1" x14ac:dyDescent="0.35">
      <c r="A173" s="1"/>
      <c r="B173" s="47"/>
      <c r="C173" s="377">
        <v>3</v>
      </c>
      <c r="D173" s="378" t="s">
        <v>1123</v>
      </c>
      <c r="E173" s="379" t="s">
        <v>1166</v>
      </c>
      <c r="F173" s="380">
        <v>48</v>
      </c>
      <c r="G173" s="550">
        <v>40</v>
      </c>
      <c r="H173" s="550"/>
      <c r="I173" s="381">
        <v>2.9275383150559477</v>
      </c>
      <c r="J173" s="382">
        <v>225.86364507536038</v>
      </c>
      <c r="K173" s="548">
        <v>393.63080033430589</v>
      </c>
      <c r="L173" s="548"/>
      <c r="M173" s="382">
        <v>57.258649522081093</v>
      </c>
      <c r="N173" s="401" t="str">
        <f t="shared" si="9"/>
        <v/>
      </c>
      <c r="O173" s="70"/>
      <c r="P173" s="70"/>
      <c r="Q173" s="70"/>
      <c r="R173" s="70"/>
      <c r="S173" s="360" t="s">
        <v>4766</v>
      </c>
      <c r="T173" s="358">
        <v>3</v>
      </c>
      <c r="U173" s="358" t="s">
        <v>1123</v>
      </c>
      <c r="V173" s="358" t="s">
        <v>1166</v>
      </c>
      <c r="W173" s="447">
        <f>SUMIF('Données par réseau'!$D$6:$D$748,$C173,'Données par réseau'!$W$6:$W$748)</f>
        <v>16799.027974752786</v>
      </c>
      <c r="X173" s="447">
        <f>SUMIF('Données par réseau'!$D$6:$D$748,$C173,'Données par réseau'!$X$6:$X$748)</f>
        <v>5738.2777497249399</v>
      </c>
      <c r="Y173" s="447">
        <f>SUMIF('Données par réseau'!$D$6:$D$748,$C173,'Données par réseau'!$N$6:$N$748)</f>
        <v>4045.1940000000009</v>
      </c>
      <c r="Z173" s="447">
        <f>SUMIF('État &amp; Plan d''action'!$D$6:$D$1113,$C173,'État &amp; Plan d''action'!$S$6:$S$1113)+SUMIF('État &amp; Plan d''action'!$D$6:$D$1113,$C173,'État &amp; Plan d''action'!$U$6:$U$1113)</f>
        <v>6761.3544600000014</v>
      </c>
      <c r="AA173" s="447">
        <f>SUMIF('Données par réseau'!$D$6:$D$748,$C173,'Données par réseau'!$V$6:$V$748)</f>
        <v>99662.899879278193</v>
      </c>
      <c r="AB173" s="507">
        <f>SUMIF('Données par réseau'!$D$6:$D$748,$C173,'Données par réseau'!$M$6:$M$748)</f>
        <v>693667.87490523723</v>
      </c>
      <c r="AC173" s="507">
        <f>SUMIF('État &amp; Plan d''action'!$D$6:$D$1113,C173,'État &amp; Plan d''action'!$AC$6:$AC$1113)</f>
        <v>505</v>
      </c>
      <c r="AD173" s="508">
        <f>SUMIF('État &amp; Plan d''action'!$D$6:$D$1113,C173,'État &amp; Plan d''action'!$AD$6:$AD$1113)</f>
        <v>208</v>
      </c>
      <c r="AE173" s="508">
        <f>SUMIF('État &amp; Plan d''action'!$D$6:$D$1113,C173,'État &amp; Plan d''action'!$AE$6:$AE$1113)</f>
        <v>199</v>
      </c>
      <c r="AF173" s="447">
        <f t="shared" si="8"/>
        <v>912</v>
      </c>
      <c r="AG173" s="509">
        <f t="shared" si="10"/>
        <v>1.6714536954222714</v>
      </c>
      <c r="AH173" s="510">
        <f>(SUMIF('Données par municipalité'!$D$6:$D$1113,Évolution!$T173,'Données par municipalité'!$O$6:$O$1113)*1000000/365)/SUMIF('Données par municipalité'!$D$6:$D$1113,Évolution!$T173,'Données par municipalité'!$K$6:$K$1113)</f>
        <v>225.86364507536038</v>
      </c>
      <c r="AI173" s="511">
        <f t="shared" si="11"/>
        <v>2.9275383150559477</v>
      </c>
      <c r="AJ173" s="510"/>
      <c r="AK173" s="510">
        <f>AVERAGEIF('Données par réseau'!$D$6:$D$748,Évolution!$T173,'Données par réseau'!$I$6:$I$748)</f>
        <v>57.258649522081093</v>
      </c>
      <c r="AL173" s="511"/>
      <c r="AM173" s="510">
        <f>(SUMIF('Données par municipalité'!$D$6:$D$1113,Évolution!$T173,'Données par municipalité'!$N$6:$N$1113)*1000000/365)/SUMIF('Données par municipalité'!$D$6:$D$1113,Évolution!$T173,'Données par municipalité'!$K$6:$K$1113)</f>
        <v>393.63080033430589</v>
      </c>
      <c r="AN173" s="510">
        <f>SUMIFS('Données par municipalité'!$H$6:$H$1113,'Données par municipalité'!$D$6:$D$1113,Évolution!T173)</f>
        <v>57</v>
      </c>
      <c r="AO173" s="447">
        <f>SUMIFS('Données par municipalité'!$I$6:$I$1113,'Données par municipalité'!$D$6:$D$1113,Évolution!T173)</f>
        <v>340242.96578895097</v>
      </c>
      <c r="BS173" s="486">
        <v>62053</v>
      </c>
      <c r="BT173" s="479" t="s">
        <v>626</v>
      </c>
      <c r="BU173" s="479">
        <v>14</v>
      </c>
      <c r="BV173" s="476" t="s">
        <v>1188</v>
      </c>
      <c r="BW173" s="476" t="s">
        <v>1188</v>
      </c>
      <c r="BX173" s="476" t="s">
        <v>1188</v>
      </c>
      <c r="BY173" s="476" t="s">
        <v>1188</v>
      </c>
      <c r="BZ173" s="476" t="s">
        <v>1188</v>
      </c>
      <c r="CA173" s="476" t="s">
        <v>1188</v>
      </c>
      <c r="CB173" s="476" t="s">
        <v>1188</v>
      </c>
      <c r="CC173" s="476" t="s">
        <v>1188</v>
      </c>
      <c r="CD173" s="476" t="s">
        <v>1324</v>
      </c>
      <c r="CE173" s="476" t="s">
        <v>1187</v>
      </c>
      <c r="CF173" s="476" t="s">
        <v>1187</v>
      </c>
      <c r="CG173" s="476" t="s">
        <v>1187</v>
      </c>
      <c r="CH173" s="476" t="s">
        <v>1187</v>
      </c>
      <c r="CI173" s="476" t="s">
        <v>1187</v>
      </c>
      <c r="CJ173" s="476" t="s">
        <v>1187</v>
      </c>
      <c r="CK173" s="476" t="s">
        <v>1187</v>
      </c>
      <c r="CL173" s="476" t="s">
        <v>1187</v>
      </c>
      <c r="CM173" s="476" t="str">
        <f>IF(VLOOKUP(BS173,'Données par municipalité'!$B$6:$E$1113,4,FALSE)="","non","oui")</f>
        <v>non</v>
      </c>
      <c r="CN173" s="410" t="s">
        <v>1124</v>
      </c>
      <c r="CO173" s="410" t="s">
        <v>1124</v>
      </c>
      <c r="CP173" s="410"/>
      <c r="CQ173" s="410"/>
      <c r="CR173" s="410"/>
      <c r="CS173" s="410" t="s">
        <v>1124</v>
      </c>
      <c r="CT173" s="410"/>
      <c r="CU173" s="410" t="s">
        <v>1124</v>
      </c>
      <c r="CV173" s="410" t="str">
        <f>IF(VLOOKUP(BS173,'Données par municipalité'!$B$6:$F$1113,4,FALSE)="","",VLOOKUP(BS173,'Données par municipalité'!$B$6:$F$1113,4,FALSE))</f>
        <v/>
      </c>
      <c r="CW173" s="476" t="s">
        <v>4723</v>
      </c>
      <c r="CX173" s="483" t="s">
        <v>1124</v>
      </c>
      <c r="CY173" s="483" t="s">
        <v>1124</v>
      </c>
      <c r="CZ173" s="483" t="s">
        <v>1124</v>
      </c>
      <c r="DA173" s="483" t="s">
        <v>1124</v>
      </c>
      <c r="DB173" s="483" t="s">
        <v>1124</v>
      </c>
      <c r="DC173" s="483" t="s">
        <v>1124</v>
      </c>
      <c r="DD173" s="483" t="s">
        <v>1124</v>
      </c>
      <c r="DE173" s="483" t="str">
        <f>IFERROR(SUM(VLOOKUP($BS173,'État &amp; Plan d''action'!$B$6:$Z$1113,18,FALSE),VLOOKUP($BS173,'État &amp; Plan d''action'!$B$6:$Z$1113,20,FALSE))/(VLOOKUP($BS173,'Données par municipalité'!$B$4:$L$1113,11,FALSE)),"")</f>
        <v/>
      </c>
      <c r="DF173" s="483" t="str">
        <f>IFERROR(SUM(VLOOKUP($BS173,'État &amp; Plan d''action'!$B$6:$Z$1113,19,FALSE),VLOOKUP($BS173,'État &amp; Plan d''action'!$B$6:$Z$1113,21,FALSE))/(VLOOKUP($BS173,'Données par municipalité'!$B$4:$L$1113,11,FALSE)),"")</f>
        <v/>
      </c>
      <c r="DG173" s="476" t="s">
        <v>4723</v>
      </c>
      <c r="DH173" s="484" t="s">
        <v>1124</v>
      </c>
      <c r="DI173" s="484" t="s">
        <v>1124</v>
      </c>
      <c r="DJ173" s="484">
        <v>0</v>
      </c>
      <c r="DK173" s="484">
        <v>0</v>
      </c>
      <c r="DL173" s="484" t="s">
        <v>1124</v>
      </c>
      <c r="DM173" s="484" t="s">
        <v>1124</v>
      </c>
      <c r="DN173" s="484" t="s">
        <v>1124</v>
      </c>
      <c r="DO173" s="484" t="s">
        <v>1124</v>
      </c>
      <c r="DP173" s="484" t="s">
        <v>1124</v>
      </c>
      <c r="DQ173" s="484" t="str">
        <f>IF(VLOOKUP($BS173,'État &amp; Plan d''action'!$B$6:$AJ$1113,28,FALSE)="","",VLOOKUP($BS173,'État &amp; Plan d''action'!$B$6:$AJ$1113,28,FALSE))</f>
        <v/>
      </c>
      <c r="DR173" s="70" t="str">
        <f>IF(VLOOKUP($BS173,'État &amp; Plan d''action'!$B$6:$AJ$1113,29,FALSE)="","",VLOOKUP($BS173,'État &amp; Plan d''action'!$B$6:$AJ$1113,29,FALSE))</f>
        <v/>
      </c>
      <c r="DS173" s="70" t="str">
        <f>IF(VLOOKUP($BS173,'État &amp; Plan d''action'!$B$6:$AJ$1113,30,FALSE)="","",VLOOKUP($BS173,'État &amp; Plan d''action'!$B$6:$AJ$1113,30,FALSE))</f>
        <v/>
      </c>
      <c r="DT173" s="70" t="s">
        <v>1124</v>
      </c>
      <c r="DU173" s="485" t="s">
        <v>1124</v>
      </c>
      <c r="DV173" s="485" t="s">
        <v>1124</v>
      </c>
      <c r="DW173" s="70" t="s">
        <v>1124</v>
      </c>
      <c r="DX173" s="70" t="s">
        <v>1124</v>
      </c>
      <c r="DY173" s="70" t="s">
        <v>1124</v>
      </c>
      <c r="DZ173" s="70" t="str">
        <f>VLOOKUP($BS173,'État &amp; Plan d''action'!$B$6:$AH$1113,31,FALSE)</f>
        <v/>
      </c>
      <c r="EA173" s="70" t="str">
        <f>VLOOKUP($BS173,'État &amp; Plan d''action'!$B$6:$AH$1113,32,FALSE)</f>
        <v/>
      </c>
      <c r="EB173" s="70" t="str">
        <f>VLOOKUP($BS173,'État &amp; Plan d''action'!$B$6:$AH$1113,33,FALSE)</f>
        <v/>
      </c>
      <c r="EC173" s="70" t="s">
        <v>1124</v>
      </c>
      <c r="ED173" s="70" t="s">
        <v>1124</v>
      </c>
      <c r="EE173" s="70" t="s">
        <v>1124</v>
      </c>
      <c r="EF173" s="70" t="s">
        <v>1124</v>
      </c>
      <c r="EG173" s="70" t="s">
        <v>1124</v>
      </c>
      <c r="EH173" s="72"/>
      <c r="EI173" s="72">
        <v>922</v>
      </c>
    </row>
    <row r="174" spans="1:139" ht="15.75" customHeight="1" x14ac:dyDescent="0.35">
      <c r="A174" s="1"/>
      <c r="B174" s="47"/>
      <c r="C174" s="377">
        <v>4</v>
      </c>
      <c r="D174" s="378" t="s">
        <v>1123</v>
      </c>
      <c r="E174" s="379" t="s">
        <v>1167</v>
      </c>
      <c r="F174" s="380">
        <v>39</v>
      </c>
      <c r="G174" s="550">
        <v>24</v>
      </c>
      <c r="H174" s="550"/>
      <c r="I174" s="381">
        <v>3.8453967997640723</v>
      </c>
      <c r="J174" s="382">
        <v>284.3381827254691</v>
      </c>
      <c r="K174" s="548">
        <v>437.37826328849013</v>
      </c>
      <c r="L174" s="548"/>
      <c r="M174" s="382">
        <v>58.945334655047745</v>
      </c>
      <c r="N174" s="401" t="str">
        <f t="shared" si="9"/>
        <v/>
      </c>
      <c r="O174" s="70"/>
      <c r="P174" s="70"/>
      <c r="Q174" s="70"/>
      <c r="R174" s="70"/>
      <c r="S174" s="360" t="s">
        <v>4768</v>
      </c>
      <c r="T174" s="358">
        <v>4</v>
      </c>
      <c r="U174" s="358" t="s">
        <v>1123</v>
      </c>
      <c r="V174" s="358" t="s">
        <v>1167</v>
      </c>
      <c r="W174" s="447">
        <f>SUMIF('Données par réseau'!$D$6:$D$748,$C174,'Données par réseau'!$W$6:$W$748)</f>
        <v>9041.3973934964797</v>
      </c>
      <c r="X174" s="447">
        <f>SUMIF('Données par réseau'!$D$6:$D$748,$C174,'Données par réseau'!$X$6:$X$748)</f>
        <v>2351.2261189927654</v>
      </c>
      <c r="Y174" s="447">
        <f>SUMIF('Données par réseau'!$D$6:$D$748,$C174,'Données par réseau'!$N$6:$N$748)</f>
        <v>2288.3661381999996</v>
      </c>
      <c r="Z174" s="447">
        <f>SUMIF('État &amp; Plan d''action'!$D$6:$D$1113,$C174,'État &amp; Plan d''action'!$S$6:$S$1113)+SUMIF('État &amp; Plan d''action'!$D$6:$D$1113,$C174,'État &amp; Plan d''action'!$U$6:$U$1113)</f>
        <v>2051.9872073000001</v>
      </c>
      <c r="AA174" s="447">
        <f>SUMIF('Données par réseau'!$D$6:$D$748,$C174,'Données par réseau'!$V$6:$V$748)</f>
        <v>37580.674946692605</v>
      </c>
      <c r="AB174" s="507">
        <f>SUMIF('Données par réseau'!$D$6:$D$748,$C174,'Données par réseau'!$M$6:$M$748)</f>
        <v>235404.36715918366</v>
      </c>
      <c r="AC174" s="507">
        <f>SUMIF('État &amp; Plan d''action'!$D$6:$D$1113,C174,'État &amp; Plan d''action'!$AC$6:$AC$1113)</f>
        <v>155</v>
      </c>
      <c r="AD174" s="508">
        <f>SUMIF('État &amp; Plan d''action'!$D$6:$D$1113,C174,'État &amp; Plan d''action'!$AD$6:$AD$1113)</f>
        <v>232</v>
      </c>
      <c r="AE174" s="508">
        <f>SUMIF('État &amp; Plan d''action'!$D$6:$D$1113,C174,'État &amp; Plan d''action'!$AE$6:$AE$1113)</f>
        <v>228</v>
      </c>
      <c r="AF174" s="447">
        <f t="shared" si="8"/>
        <v>615</v>
      </c>
      <c r="AG174" s="509">
        <f t="shared" si="10"/>
        <v>0.89670406017896587</v>
      </c>
      <c r="AH174" s="510">
        <f>(SUMIF('Données par municipalité'!$D$6:$D$1113,Évolution!$T174,'Données par municipalité'!$O$6:$O$1113)*1000000/365)/SUMIF('Données par municipalité'!$D$6:$D$1113,Évolution!$T174,'Données par municipalité'!$K$6:$K$1113)</f>
        <v>284.3381827254691</v>
      </c>
      <c r="AI174" s="511">
        <f t="shared" si="11"/>
        <v>3.8453967997640723</v>
      </c>
      <c r="AJ174" s="510"/>
      <c r="AK174" s="510">
        <f>AVERAGEIF('Données par réseau'!$D$6:$D$748,Évolution!$T174,'Données par réseau'!$I$6:$I$748)</f>
        <v>58.945334655047745</v>
      </c>
      <c r="AL174" s="511"/>
      <c r="AM174" s="510">
        <f>(SUMIF('Données par municipalité'!$D$6:$D$1113,Évolution!$T174,'Données par municipalité'!$N$6:$N$1113)*1000000/365)/SUMIF('Données par municipalité'!$D$6:$D$1113,Évolution!$T174,'Données par municipalité'!$K$6:$K$1113)</f>
        <v>437.37826328849013</v>
      </c>
      <c r="AN174" s="510">
        <f>SUMIFS('Données par municipalité'!$H$6:$H$1113,'Données par municipalité'!$D$6:$D$1113,Évolution!T174)</f>
        <v>33</v>
      </c>
      <c r="AO174" s="447">
        <f>SUMIFS('Données par municipalité'!$I$6:$I$1113,'Données par municipalité'!$D$6:$D$1113,Évolution!T174)</f>
        <v>120836</v>
      </c>
      <c r="BS174" s="486">
        <v>6025</v>
      </c>
      <c r="BT174" s="479" t="s">
        <v>1060</v>
      </c>
      <c r="BU174" s="479">
        <v>11</v>
      </c>
      <c r="BV174" s="476" t="s">
        <v>1188</v>
      </c>
      <c r="BW174" s="476" t="s">
        <v>1188</v>
      </c>
      <c r="BX174" s="476" t="s">
        <v>1188</v>
      </c>
      <c r="BY174" s="476" t="s">
        <v>1188</v>
      </c>
      <c r="BZ174" s="476" t="s">
        <v>1188</v>
      </c>
      <c r="CA174" s="476" t="s">
        <v>1188</v>
      </c>
      <c r="CB174" s="476" t="s">
        <v>1188</v>
      </c>
      <c r="CC174" s="476" t="s">
        <v>1188</v>
      </c>
      <c r="CD174" s="476" t="s">
        <v>1188</v>
      </c>
      <c r="CE174" s="476" t="s">
        <v>1188</v>
      </c>
      <c r="CF174" s="476" t="s">
        <v>1187</v>
      </c>
      <c r="CG174" s="476" t="s">
        <v>1187</v>
      </c>
      <c r="CH174" s="476" t="s">
        <v>1188</v>
      </c>
      <c r="CI174" s="476" t="s">
        <v>1188</v>
      </c>
      <c r="CJ174" s="476" t="s">
        <v>1187</v>
      </c>
      <c r="CK174" s="476" t="s">
        <v>1187</v>
      </c>
      <c r="CL174" s="476" t="s">
        <v>1187</v>
      </c>
      <c r="CM174" s="476" t="str">
        <f>IF(VLOOKUP(BS174,'Données par municipalité'!$B$6:$E$1113,4,FALSE)="","non","oui")</f>
        <v>non</v>
      </c>
      <c r="CN174" s="410">
        <v>819.51154667880814</v>
      </c>
      <c r="CO174" s="410" t="s">
        <v>1124</v>
      </c>
      <c r="CP174" s="410"/>
      <c r="CQ174" s="410">
        <v>762.97913666576142</v>
      </c>
      <c r="CR174" s="410">
        <v>928.30259251466919</v>
      </c>
      <c r="CS174" s="410" t="s">
        <v>1124</v>
      </c>
      <c r="CT174" s="410"/>
      <c r="CU174" s="410" t="s">
        <v>1124</v>
      </c>
      <c r="CV174" s="410" t="str">
        <f>IF(VLOOKUP(BS174,'Données par municipalité'!$B$6:$F$1113,4,FALSE)="","",VLOOKUP(BS174,'Données par municipalité'!$B$6:$F$1113,4,FALSE))</f>
        <v/>
      </c>
      <c r="CW174" s="476" t="s">
        <v>4723</v>
      </c>
      <c r="CX174" s="483" t="s">
        <v>1124</v>
      </c>
      <c r="CY174" s="483" t="s">
        <v>1124</v>
      </c>
      <c r="CZ174" s="483">
        <v>0</v>
      </c>
      <c r="DA174" s="483">
        <v>0</v>
      </c>
      <c r="DB174" s="483" t="s">
        <v>1124</v>
      </c>
      <c r="DC174" s="483" t="s">
        <v>1124</v>
      </c>
      <c r="DD174" s="483" t="s">
        <v>1124</v>
      </c>
      <c r="DE174" s="483" t="str">
        <f>IFERROR(SUM(VLOOKUP($BS174,'État &amp; Plan d''action'!$B$6:$Z$1113,18,FALSE),VLOOKUP($BS174,'État &amp; Plan d''action'!$B$6:$Z$1113,20,FALSE))/(VLOOKUP($BS174,'Données par municipalité'!$B$4:$L$1113,11,FALSE)),"")</f>
        <v/>
      </c>
      <c r="DF174" s="483" t="str">
        <f>IFERROR(SUM(VLOOKUP($BS174,'État &amp; Plan d''action'!$B$6:$Z$1113,19,FALSE),VLOOKUP($BS174,'État &amp; Plan d''action'!$B$6:$Z$1113,21,FALSE))/(VLOOKUP($BS174,'Données par municipalité'!$B$4:$L$1113,11,FALSE)),"")</f>
        <v/>
      </c>
      <c r="DG174" s="476" t="s">
        <v>4723</v>
      </c>
      <c r="DH174" s="484" t="s">
        <v>1124</v>
      </c>
      <c r="DI174" s="484" t="s">
        <v>1124</v>
      </c>
      <c r="DJ174" s="484">
        <v>1</v>
      </c>
      <c r="DK174" s="484">
        <v>1</v>
      </c>
      <c r="DL174" s="484" t="s">
        <v>1124</v>
      </c>
      <c r="DM174" s="484" t="s">
        <v>1124</v>
      </c>
      <c r="DN174" s="484" t="s">
        <v>1124</v>
      </c>
      <c r="DO174" s="484" t="s">
        <v>1124</v>
      </c>
      <c r="DP174" s="484" t="s">
        <v>1124</v>
      </c>
      <c r="DQ174" s="484" t="str">
        <f>IF(VLOOKUP($BS174,'État &amp; Plan d''action'!$B$6:$AJ$1113,28,FALSE)="","",VLOOKUP($BS174,'État &amp; Plan d''action'!$B$6:$AJ$1113,28,FALSE))</f>
        <v/>
      </c>
      <c r="DR174" s="70" t="str">
        <f>IF(VLOOKUP($BS174,'État &amp; Plan d''action'!$B$6:$AJ$1113,29,FALSE)="","",VLOOKUP($BS174,'État &amp; Plan d''action'!$B$6:$AJ$1113,29,FALSE))</f>
        <v/>
      </c>
      <c r="DS174" s="70" t="str">
        <f>IF(VLOOKUP($BS174,'État &amp; Plan d''action'!$B$6:$AJ$1113,30,FALSE)="","",VLOOKUP($BS174,'État &amp; Plan d''action'!$B$6:$AJ$1113,30,FALSE))</f>
        <v/>
      </c>
      <c r="DT174" s="70" t="s">
        <v>1124</v>
      </c>
      <c r="DU174" s="485" t="s">
        <v>1124</v>
      </c>
      <c r="DV174" s="485" t="s">
        <v>1124</v>
      </c>
      <c r="DW174" s="70" t="s">
        <v>1124</v>
      </c>
      <c r="DX174" s="70" t="s">
        <v>1124</v>
      </c>
      <c r="DY174" s="70" t="s">
        <v>1124</v>
      </c>
      <c r="DZ174" s="70" t="str">
        <f>VLOOKUP($BS174,'État &amp; Plan d''action'!$B$6:$AH$1113,31,FALSE)</f>
        <v/>
      </c>
      <c r="EA174" s="70" t="str">
        <f>VLOOKUP($BS174,'État &amp; Plan d''action'!$B$6:$AH$1113,32,FALSE)</f>
        <v/>
      </c>
      <c r="EB174" s="70" t="str">
        <f>VLOOKUP($BS174,'État &amp; Plan d''action'!$B$6:$AH$1113,33,FALSE)</f>
        <v/>
      </c>
      <c r="EC174" s="70" t="s">
        <v>1124</v>
      </c>
      <c r="ED174" s="70" t="s">
        <v>1124</v>
      </c>
      <c r="EE174" s="70" t="s">
        <v>1124</v>
      </c>
      <c r="EF174" s="70" t="s">
        <v>1124</v>
      </c>
      <c r="EG174" s="70" t="s">
        <v>1124</v>
      </c>
      <c r="EH174" s="72"/>
      <c r="EI174" s="72">
        <v>544</v>
      </c>
    </row>
    <row r="175" spans="1:139" ht="15.75" customHeight="1" x14ac:dyDescent="0.35">
      <c r="A175" s="1"/>
      <c r="B175" s="47"/>
      <c r="C175" s="377">
        <v>5</v>
      </c>
      <c r="D175" s="378" t="s">
        <v>1123</v>
      </c>
      <c r="E175" s="379" t="s">
        <v>1168</v>
      </c>
      <c r="F175" s="380">
        <v>70</v>
      </c>
      <c r="G175" s="550">
        <v>51</v>
      </c>
      <c r="H175" s="550"/>
      <c r="I175" s="381">
        <v>2.2234215650743665</v>
      </c>
      <c r="J175" s="382">
        <v>243.24906773714068</v>
      </c>
      <c r="K175" s="548">
        <v>429.40676194965789</v>
      </c>
      <c r="L175" s="548"/>
      <c r="M175" s="382">
        <v>58.233349783619943</v>
      </c>
      <c r="N175" s="401" t="str">
        <f t="shared" si="9"/>
        <v/>
      </c>
      <c r="O175" s="70"/>
      <c r="P175" s="70"/>
      <c r="Q175" s="70"/>
      <c r="R175" s="70"/>
      <c r="S175" s="360" t="s">
        <v>4772</v>
      </c>
      <c r="T175" s="358">
        <v>5</v>
      </c>
      <c r="U175" s="358" t="s">
        <v>1123</v>
      </c>
      <c r="V175" s="358" t="s">
        <v>1168</v>
      </c>
      <c r="W175" s="447">
        <f>SUMIF('Données par réseau'!$D$6:$D$748,$C175,'Données par réseau'!$W$6:$W$748)</f>
        <v>6516.1622267443272</v>
      </c>
      <c r="X175" s="447">
        <f>SUMIF('Données par réseau'!$D$6:$D$748,$C175,'Données par réseau'!$X$6:$X$748)</f>
        <v>2930.691295389312</v>
      </c>
      <c r="Y175" s="447">
        <f>SUMIF('Données par réseau'!$D$6:$D$748,$C175,'Données par réseau'!$N$6:$N$748)</f>
        <v>2251.5189999999998</v>
      </c>
      <c r="Z175" s="447">
        <f>SUMIF('État &amp; Plan d''action'!$D$6:$D$1113,$C175,'État &amp; Plan d''action'!$S$6:$S$1113)+SUMIF('État &amp; Plan d''action'!$D$6:$D$1113,$C175,'État &amp; Plan d''action'!$U$6:$U$1113)</f>
        <v>2268.7936099999997</v>
      </c>
      <c r="AA175" s="447">
        <f>SUMIF('Données par réseau'!$D$6:$D$748,$C175,'Données par réseau'!$V$6:$V$748)</f>
        <v>50728.381409999995</v>
      </c>
      <c r="AB175" s="507">
        <f>SUMIF('Données par réseau'!$D$6:$D$748,$C175,'Données par réseau'!$M$6:$M$748)</f>
        <v>323660.17303892865</v>
      </c>
      <c r="AC175" s="507">
        <f>SUMIF('État &amp; Plan d''action'!$D$6:$D$1113,C175,'État &amp; Plan d''action'!$AC$6:$AC$1113)</f>
        <v>242</v>
      </c>
      <c r="AD175" s="508">
        <f>SUMIF('État &amp; Plan d''action'!$D$6:$D$1113,C175,'État &amp; Plan d''action'!$AD$6:$AD$1113)</f>
        <v>123</v>
      </c>
      <c r="AE175" s="508">
        <f>SUMIF('État &amp; Plan d''action'!$D$6:$D$1113,C175,'État &amp; Plan d''action'!$AE$6:$AE$1113)</f>
        <v>60</v>
      </c>
      <c r="AF175" s="447">
        <f t="shared" si="8"/>
        <v>425</v>
      </c>
      <c r="AG175" s="509">
        <f t="shared" si="10"/>
        <v>1.0076724247052766</v>
      </c>
      <c r="AH175" s="510">
        <f>(SUMIF('Données par municipalité'!$D$6:$D$1113,Évolution!$T175,'Données par municipalité'!$O$6:$O$1113)*1000000/365)/SUMIF('Données par municipalité'!$D$6:$D$1113,Évolution!$T175,'Données par municipalité'!$K$6:$K$1113)</f>
        <v>243.24906773714068</v>
      </c>
      <c r="AI175" s="511">
        <f t="shared" si="11"/>
        <v>2.2234215650743665</v>
      </c>
      <c r="AJ175" s="510"/>
      <c r="AK175" s="510">
        <f>AVERAGEIF('Données par réseau'!$D$6:$D$748,Évolution!$T175,'Données par réseau'!$I$6:$I$748)</f>
        <v>58.233349783619943</v>
      </c>
      <c r="AL175" s="511"/>
      <c r="AM175" s="510">
        <f>(SUMIF('Données par municipalité'!$D$6:$D$1113,Évolution!$T175,'Données par municipalité'!$N$6:$N$1113)*1000000/365)/SUMIF('Données par municipalité'!$D$6:$D$1113,Évolution!$T175,'Données par municipalité'!$K$6:$K$1113)</f>
        <v>429.40676194965789</v>
      </c>
      <c r="AN175" s="510">
        <f>SUMIFS('Données par municipalité'!$H$6:$H$1113,'Données par municipalité'!$D$6:$D$1113,Évolution!T175)</f>
        <v>59</v>
      </c>
      <c r="AO175" s="447">
        <f>SUMIFS('Données par municipalité'!$I$6:$I$1113,'Données par municipalité'!$D$6:$D$1113,Évolution!T175)</f>
        <v>155369</v>
      </c>
      <c r="BS175" s="486">
        <v>10005</v>
      </c>
      <c r="BT175" s="479" t="s">
        <v>8</v>
      </c>
      <c r="BU175" s="479">
        <v>1</v>
      </c>
      <c r="BV175" s="476" t="s">
        <v>1188</v>
      </c>
      <c r="BW175" s="476" t="s">
        <v>1188</v>
      </c>
      <c r="BX175" s="476" t="s">
        <v>1188</v>
      </c>
      <c r="BY175" s="476" t="s">
        <v>1188</v>
      </c>
      <c r="BZ175" s="476" t="s">
        <v>1188</v>
      </c>
      <c r="CA175" s="476" t="s">
        <v>1188</v>
      </c>
      <c r="CB175" s="476" t="s">
        <v>1188</v>
      </c>
      <c r="CC175" s="476" t="s">
        <v>1188</v>
      </c>
      <c r="CD175" s="476" t="s">
        <v>1188</v>
      </c>
      <c r="CE175" s="476" t="s">
        <v>1187</v>
      </c>
      <c r="CF175" s="476" t="s">
        <v>1187</v>
      </c>
      <c r="CG175" s="476" t="s">
        <v>1187</v>
      </c>
      <c r="CH175" s="476" t="s">
        <v>1187</v>
      </c>
      <c r="CI175" s="476" t="s">
        <v>1187</v>
      </c>
      <c r="CJ175" s="476" t="s">
        <v>1187</v>
      </c>
      <c r="CK175" s="476" t="s">
        <v>1187</v>
      </c>
      <c r="CL175" s="476" t="s">
        <v>1187</v>
      </c>
      <c r="CM175" s="476" t="str">
        <f>IF(VLOOKUP(BS175,'Données par municipalité'!$B$6:$E$1113,4,FALSE)="","non","oui")</f>
        <v>non</v>
      </c>
      <c r="CN175" s="410" t="s">
        <v>1124</v>
      </c>
      <c r="CO175" s="410" t="s">
        <v>1124</v>
      </c>
      <c r="CP175" s="410"/>
      <c r="CQ175" s="410"/>
      <c r="CR175" s="410"/>
      <c r="CS175" s="410" t="s">
        <v>1124</v>
      </c>
      <c r="CT175" s="410"/>
      <c r="CU175" s="410" t="s">
        <v>1124</v>
      </c>
      <c r="CV175" s="410" t="str">
        <f>IF(VLOOKUP(BS175,'Données par municipalité'!$B$6:$F$1113,4,FALSE)="","",VLOOKUP(BS175,'Données par municipalité'!$B$6:$F$1113,4,FALSE))</f>
        <v/>
      </c>
      <c r="CW175" s="476" t="s">
        <v>4723</v>
      </c>
      <c r="CX175" s="483" t="s">
        <v>1124</v>
      </c>
      <c r="CY175" s="483" t="s">
        <v>1124</v>
      </c>
      <c r="CZ175" s="483" t="s">
        <v>1124</v>
      </c>
      <c r="DA175" s="483" t="s">
        <v>1124</v>
      </c>
      <c r="DB175" s="483" t="s">
        <v>1124</v>
      </c>
      <c r="DC175" s="483" t="s">
        <v>1124</v>
      </c>
      <c r="DD175" s="483" t="s">
        <v>1124</v>
      </c>
      <c r="DE175" s="483" t="str">
        <f>IFERROR(SUM(VLOOKUP($BS175,'État &amp; Plan d''action'!$B$6:$Z$1113,18,FALSE),VLOOKUP($BS175,'État &amp; Plan d''action'!$B$6:$Z$1113,20,FALSE))/(VLOOKUP($BS175,'Données par municipalité'!$B$4:$L$1113,11,FALSE)),"")</f>
        <v/>
      </c>
      <c r="DF175" s="483" t="str">
        <f>IFERROR(SUM(VLOOKUP($BS175,'État &amp; Plan d''action'!$B$6:$Z$1113,19,FALSE),VLOOKUP($BS175,'État &amp; Plan d''action'!$B$6:$Z$1113,21,FALSE))/(VLOOKUP($BS175,'Données par municipalité'!$B$4:$L$1113,11,FALSE)),"")</f>
        <v/>
      </c>
      <c r="DG175" s="476" t="s">
        <v>4723</v>
      </c>
      <c r="DH175" s="484">
        <v>0</v>
      </c>
      <c r="DI175" s="484">
        <v>0</v>
      </c>
      <c r="DJ175" s="484">
        <v>0</v>
      </c>
      <c r="DK175" s="484">
        <v>0</v>
      </c>
      <c r="DL175" s="484" t="s">
        <v>1124</v>
      </c>
      <c r="DM175" s="484" t="s">
        <v>1124</v>
      </c>
      <c r="DN175" s="484" t="s">
        <v>1124</v>
      </c>
      <c r="DO175" s="484" t="s">
        <v>1124</v>
      </c>
      <c r="DP175" s="484" t="s">
        <v>1124</v>
      </c>
      <c r="DQ175" s="484" t="str">
        <f>IF(VLOOKUP($BS175,'État &amp; Plan d''action'!$B$6:$AJ$1113,28,FALSE)="","",VLOOKUP($BS175,'État &amp; Plan d''action'!$B$6:$AJ$1113,28,FALSE))</f>
        <v/>
      </c>
      <c r="DR175" s="70" t="str">
        <f>IF(VLOOKUP($BS175,'État &amp; Plan d''action'!$B$6:$AJ$1113,29,FALSE)="","",VLOOKUP($BS175,'État &amp; Plan d''action'!$B$6:$AJ$1113,29,FALSE))</f>
        <v/>
      </c>
      <c r="DS175" s="70" t="str">
        <f>IF(VLOOKUP($BS175,'État &amp; Plan d''action'!$B$6:$AJ$1113,30,FALSE)="","",VLOOKUP($BS175,'État &amp; Plan d''action'!$B$6:$AJ$1113,30,FALSE))</f>
        <v/>
      </c>
      <c r="DT175" s="70" t="s">
        <v>1124</v>
      </c>
      <c r="DU175" s="485" t="s">
        <v>1124</v>
      </c>
      <c r="DV175" s="485" t="s">
        <v>1124</v>
      </c>
      <c r="DW175" s="70" t="s">
        <v>1124</v>
      </c>
      <c r="DX175" s="70" t="s">
        <v>1124</v>
      </c>
      <c r="DY175" s="70" t="s">
        <v>1124</v>
      </c>
      <c r="DZ175" s="70" t="str">
        <f>VLOOKUP($BS175,'État &amp; Plan d''action'!$B$6:$AH$1113,31,FALSE)</f>
        <v/>
      </c>
      <c r="EA175" s="70" t="str">
        <f>VLOOKUP($BS175,'État &amp; Plan d''action'!$B$6:$AH$1113,32,FALSE)</f>
        <v/>
      </c>
      <c r="EB175" s="70" t="str">
        <f>VLOOKUP($BS175,'État &amp; Plan d''action'!$B$6:$AH$1113,33,FALSE)</f>
        <v/>
      </c>
      <c r="EC175" s="70" t="s">
        <v>1124</v>
      </c>
      <c r="ED175" s="70" t="s">
        <v>1124</v>
      </c>
      <c r="EE175" s="70" t="s">
        <v>1124</v>
      </c>
      <c r="EF175" s="70" t="s">
        <v>1124</v>
      </c>
      <c r="EG175" s="70" t="s">
        <v>1124</v>
      </c>
      <c r="EH175" s="72"/>
      <c r="EI175" s="72">
        <v>338</v>
      </c>
    </row>
    <row r="176" spans="1:139" ht="15.75" customHeight="1" x14ac:dyDescent="0.35">
      <c r="A176" s="1"/>
      <c r="B176" s="47"/>
      <c r="C176" s="377">
        <v>6</v>
      </c>
      <c r="D176" s="378" t="s">
        <v>1123</v>
      </c>
      <c r="E176" s="379" t="s">
        <v>1141</v>
      </c>
      <c r="F176" s="380">
        <v>15</v>
      </c>
      <c r="G176" s="550">
        <v>12</v>
      </c>
      <c r="H176" s="550"/>
      <c r="I176" s="381">
        <v>20.261659599241177</v>
      </c>
      <c r="J176" s="382">
        <v>298.56183260777448</v>
      </c>
      <c r="K176" s="548">
        <v>739.90416361213681</v>
      </c>
      <c r="L176" s="548"/>
      <c r="M176" s="382">
        <v>55.651683952893045</v>
      </c>
      <c r="N176" s="401" t="str">
        <f t="shared" si="9"/>
        <v/>
      </c>
      <c r="O176" s="70"/>
      <c r="P176" s="70"/>
      <c r="Q176" s="70"/>
      <c r="R176" s="70"/>
      <c r="S176" s="360" t="s">
        <v>4771</v>
      </c>
      <c r="T176" s="358">
        <v>6</v>
      </c>
      <c r="U176" s="358" t="s">
        <v>1123</v>
      </c>
      <c r="V176" s="358" t="s">
        <v>1141</v>
      </c>
      <c r="W176" s="447">
        <f>SUMIF('Données par réseau'!$D$6:$D$748,$C176,'Données par réseau'!$W$6:$W$748)</f>
        <v>164969.01390373596</v>
      </c>
      <c r="X176" s="447">
        <f>SUMIF('Données par réseau'!$D$6:$D$748,$C176,'Données par réseau'!$X$6:$X$748)</f>
        <v>8141.9299882974165</v>
      </c>
      <c r="Y176" s="447">
        <f>SUMIF('Données par réseau'!$D$6:$D$748,$C176,'Données par réseau'!$N$6:$N$748)</f>
        <v>5698.3575100000007</v>
      </c>
      <c r="Z176" s="447">
        <f>SUMIF('État &amp; Plan d''action'!$D$6:$D$1113,$C176,'État &amp; Plan d''action'!$S$6:$S$1113)+SUMIF('État &amp; Plan d''action'!$D$6:$D$1113,$C176,'État &amp; Plan d''action'!$U$6:$U$1113)</f>
        <v>7960.7838170858877</v>
      </c>
      <c r="AA176" s="447">
        <f>SUMIF('Données par réseau'!$D$6:$D$748,$C176,'Données par réseau'!$V$6:$V$748)</f>
        <v>558604.17799999996</v>
      </c>
      <c r="AB176" s="507">
        <f>SUMIF('Données par réseau'!$D$6:$D$748,$C176,'Données par réseau'!$M$6:$M$748)</f>
        <v>2068406.2622489994</v>
      </c>
      <c r="AC176" s="507">
        <f>SUMIF('État &amp; Plan d''action'!$D$6:$D$1113,C176,'État &amp; Plan d''action'!$AC$6:$AC$1113)</f>
        <v>892</v>
      </c>
      <c r="AD176" s="508">
        <f>SUMIF('État &amp; Plan d''action'!$D$6:$D$1113,C176,'État &amp; Plan d''action'!$AD$6:$AD$1113)</f>
        <v>1124</v>
      </c>
      <c r="AE176" s="508">
        <f>SUMIF('État &amp; Plan d''action'!$D$6:$D$1113,C176,'État &amp; Plan d''action'!$AE$6:$AE$1113)</f>
        <v>64</v>
      </c>
      <c r="AF176" s="447">
        <f t="shared" si="8"/>
        <v>2080</v>
      </c>
      <c r="AG176" s="509">
        <f t="shared" si="10"/>
        <v>1.3970313029878476</v>
      </c>
      <c r="AH176" s="510">
        <f>(SUMIF('Données par municipalité'!$D$6:$D$1113,Évolution!$T176,'Données par municipalité'!$O$6:$O$1113)*1000000/365)/SUMIF('Données par municipalité'!$D$6:$D$1113,Évolution!$T176,'Données par municipalité'!$K$6:$K$1113)</f>
        <v>298.56183260777448</v>
      </c>
      <c r="AI176" s="511">
        <f t="shared" si="11"/>
        <v>20.261659599241177</v>
      </c>
      <c r="AJ176" s="510"/>
      <c r="AK176" s="510">
        <f>AVERAGEIF('Données par réseau'!$D$6:$D$748,Évolution!$T176,'Données par réseau'!$I$6:$I$748)</f>
        <v>55.651683952893045</v>
      </c>
      <c r="AL176" s="511"/>
      <c r="AM176" s="510">
        <f>(SUMIF('Données par municipalité'!$D$6:$D$1113,Évolution!$T176,'Données par municipalité'!$N$6:$N$1113)*1000000/365)/SUMIF('Données par municipalité'!$D$6:$D$1113,Évolution!$T176,'Données par municipalité'!$K$6:$K$1113)</f>
        <v>739.90416361213681</v>
      </c>
      <c r="AN176" s="510">
        <f>SUMIFS('Données par municipalité'!$H$6:$H$1113,'Données par municipalité'!$D$6:$D$1113,Évolution!T176)</f>
        <v>15</v>
      </c>
      <c r="AO176" s="447">
        <f>SUMIFS('Données par municipalité'!$I$6:$I$1113,'Données par municipalité'!$D$6:$D$1113,Évolution!T176)</f>
        <v>993286</v>
      </c>
      <c r="BS176" s="486">
        <v>77011</v>
      </c>
      <c r="BT176" s="479" t="s">
        <v>756</v>
      </c>
      <c r="BU176" s="479">
        <v>15</v>
      </c>
      <c r="BV176" s="476" t="s">
        <v>1187</v>
      </c>
      <c r="BW176" s="476" t="s">
        <v>1187</v>
      </c>
      <c r="BX176" s="476" t="s">
        <v>1187</v>
      </c>
      <c r="BY176" s="476" t="s">
        <v>1187</v>
      </c>
      <c r="BZ176" s="476" t="s">
        <v>1187</v>
      </c>
      <c r="CA176" s="476" t="s">
        <v>1187</v>
      </c>
      <c r="CB176" s="476" t="s">
        <v>1187</v>
      </c>
      <c r="CC176" s="476" t="s">
        <v>1187</v>
      </c>
      <c r="CD176" s="476" t="s">
        <v>1187</v>
      </c>
      <c r="CE176" s="476" t="s">
        <v>1188</v>
      </c>
      <c r="CF176" s="476" t="s">
        <v>1188</v>
      </c>
      <c r="CG176" s="476" t="s">
        <v>1187</v>
      </c>
      <c r="CH176" s="476" t="s">
        <v>1188</v>
      </c>
      <c r="CI176" s="476" t="s">
        <v>1187</v>
      </c>
      <c r="CJ176" s="476" t="s">
        <v>1188</v>
      </c>
      <c r="CK176" s="476" t="s">
        <v>1188</v>
      </c>
      <c r="CL176" s="476" t="s">
        <v>1188</v>
      </c>
      <c r="CM176" s="476" t="str">
        <f>IF(VLOOKUP(BS176,'Données par municipalité'!$B$6:$E$1113,4,FALSE)="","non","oui")</f>
        <v>oui</v>
      </c>
      <c r="CN176" s="410">
        <v>867.15381953632277</v>
      </c>
      <c r="CO176" s="410">
        <v>769.92613883949468</v>
      </c>
      <c r="CP176" s="410"/>
      <c r="CQ176" s="410">
        <v>664.78957150220003</v>
      </c>
      <c r="CR176" s="410"/>
      <c r="CS176" s="410">
        <v>1966.9844753869722</v>
      </c>
      <c r="CT176" s="410">
        <v>2147.188628417493</v>
      </c>
      <c r="CU176" s="410">
        <v>2826</v>
      </c>
      <c r="CV176" s="410">
        <f>IF(VLOOKUP(BS176,'Données par municipalité'!$B$6:$F$1113,4,FALSE)="","",VLOOKUP(BS176,'Données par municipalité'!$B$6:$F$1113,4,FALSE))</f>
        <v>2299</v>
      </c>
      <c r="CW176" s="476" t="s">
        <v>4723</v>
      </c>
      <c r="CX176" s="483">
        <v>0</v>
      </c>
      <c r="CY176" s="483" t="s">
        <v>1124</v>
      </c>
      <c r="CZ176" s="483">
        <v>1</v>
      </c>
      <c r="DA176" s="483" t="s">
        <v>1124</v>
      </c>
      <c r="DB176" s="483">
        <v>0</v>
      </c>
      <c r="DC176" s="483">
        <v>0</v>
      </c>
      <c r="DD176" s="483">
        <v>0</v>
      </c>
      <c r="DE176" s="483">
        <f>IFERROR(SUM(VLOOKUP($BS176,'État &amp; Plan d''action'!$B$6:$Z$1113,18,FALSE),VLOOKUP($BS176,'État &amp; Plan d''action'!$B$6:$Z$1113,20,FALSE))/(VLOOKUP($BS176,'Données par municipalité'!$B$4:$L$1113,11,FALSE)),"")</f>
        <v>0</v>
      </c>
      <c r="DF176" s="483">
        <f>IFERROR(SUM(VLOOKUP($BS176,'État &amp; Plan d''action'!$B$6:$Z$1113,19,FALSE),VLOOKUP($BS176,'État &amp; Plan d''action'!$B$6:$Z$1113,21,FALSE))/(VLOOKUP($BS176,'Données par municipalité'!$B$4:$L$1113,11,FALSE)),"")</f>
        <v>0</v>
      </c>
      <c r="DG176" s="476" t="s">
        <v>4723</v>
      </c>
      <c r="DH176" s="484">
        <v>0</v>
      </c>
      <c r="DI176" s="484">
        <v>1</v>
      </c>
      <c r="DJ176" s="484">
        <v>0</v>
      </c>
      <c r="DK176" s="484">
        <v>0</v>
      </c>
      <c r="DL176" s="484">
        <v>0</v>
      </c>
      <c r="DM176" s="484">
        <v>0</v>
      </c>
      <c r="DN176" s="484">
        <v>0</v>
      </c>
      <c r="DO176" s="484">
        <v>0</v>
      </c>
      <c r="DP176" s="484">
        <v>0</v>
      </c>
      <c r="DQ176" s="484">
        <f>IF(VLOOKUP($BS176,'État &amp; Plan d''action'!$B$6:$AJ$1113,28,FALSE)="","",VLOOKUP($BS176,'État &amp; Plan d''action'!$B$6:$AJ$1113,28,FALSE))</f>
        <v>0</v>
      </c>
      <c r="DR176" s="70">
        <f>IF(VLOOKUP($BS176,'État &amp; Plan d''action'!$B$6:$AJ$1113,29,FALSE)="","",VLOOKUP($BS176,'État &amp; Plan d''action'!$B$6:$AJ$1113,29,FALSE))</f>
        <v>0</v>
      </c>
      <c r="DS176" s="70">
        <f>IF(VLOOKUP($BS176,'État &amp; Plan d''action'!$B$6:$AJ$1113,30,FALSE)="","",VLOOKUP($BS176,'État &amp; Plan d''action'!$B$6:$AJ$1113,30,FALSE))</f>
        <v>0</v>
      </c>
      <c r="DT176" s="70">
        <v>219</v>
      </c>
      <c r="DU176" s="485">
        <v>1.0326962985601402</v>
      </c>
      <c r="DV176" s="485">
        <v>0.63564256590951285</v>
      </c>
      <c r="DW176" s="70">
        <v>0</v>
      </c>
      <c r="DX176" s="70">
        <v>0</v>
      </c>
      <c r="DY176" s="70">
        <v>0</v>
      </c>
      <c r="DZ176" s="70">
        <f>VLOOKUP($BS176,'État &amp; Plan d''action'!$B$6:$AH$1113,31,FALSE)</f>
        <v>0</v>
      </c>
      <c r="EA176" s="70">
        <f>VLOOKUP($BS176,'État &amp; Plan d''action'!$B$6:$AH$1113,32,FALSE)</f>
        <v>0</v>
      </c>
      <c r="EB176" s="70">
        <f>VLOOKUP($BS176,'État &amp; Plan d''action'!$B$6:$AH$1113,33,FALSE)</f>
        <v>0</v>
      </c>
      <c r="EC176" s="70">
        <v>0</v>
      </c>
      <c r="ED176" s="70">
        <v>0</v>
      </c>
      <c r="EE176" s="70">
        <v>0</v>
      </c>
      <c r="EF176" s="70">
        <v>0</v>
      </c>
      <c r="EG176" s="70">
        <v>0</v>
      </c>
      <c r="EH176" s="72">
        <v>62</v>
      </c>
      <c r="EI176" s="72">
        <v>198</v>
      </c>
    </row>
    <row r="177" spans="1:139" ht="15.75" customHeight="1" x14ac:dyDescent="0.35">
      <c r="A177" s="1"/>
      <c r="B177" s="47"/>
      <c r="C177" s="377">
        <v>7</v>
      </c>
      <c r="D177" s="378" t="s">
        <v>1123</v>
      </c>
      <c r="E177" s="379" t="s">
        <v>1169</v>
      </c>
      <c r="F177" s="380">
        <v>33</v>
      </c>
      <c r="G177" s="550">
        <v>11</v>
      </c>
      <c r="H177" s="550"/>
      <c r="I177" s="381">
        <v>3.2578134037846818</v>
      </c>
      <c r="J177" s="382">
        <v>248.16596416925151</v>
      </c>
      <c r="K177" s="548">
        <v>376.36053292838739</v>
      </c>
      <c r="L177" s="548"/>
      <c r="M177" s="382">
        <v>51.013190353000326</v>
      </c>
      <c r="N177" s="401" t="str">
        <f t="shared" si="9"/>
        <v/>
      </c>
      <c r="O177" s="70"/>
      <c r="P177" s="70"/>
      <c r="Q177" s="70"/>
      <c r="R177" s="70"/>
      <c r="S177" s="355" t="s">
        <v>4769</v>
      </c>
      <c r="T177" s="358">
        <v>7</v>
      </c>
      <c r="U177" s="358" t="s">
        <v>1123</v>
      </c>
      <c r="V177" s="358" t="s">
        <v>1169</v>
      </c>
      <c r="W177" s="447">
        <f>SUMIF('Données par réseau'!$D$6:$D$748,$C177,'Données par réseau'!$W$6:$W$748)</f>
        <v>7943.3081406158344</v>
      </c>
      <c r="X177" s="447">
        <f>SUMIF('Données par réseau'!$D$6:$D$748,$C177,'Données par réseau'!$X$6:$X$748)</f>
        <v>2438.2329974417498</v>
      </c>
      <c r="Y177" s="447">
        <f>SUMIF('Données par réseau'!$D$6:$D$748,$C177,'Données par réseau'!$N$6:$N$748)</f>
        <v>1486.278</v>
      </c>
      <c r="Z177" s="447">
        <f>SUMIF('État &amp; Plan d''action'!$D$6:$D$1113,$C177,'État &amp; Plan d''action'!$S$6:$S$1113)+SUMIF('État &amp; Plan d''action'!$D$6:$D$1113,$C177,'État &amp; Plan d''action'!$U$6:$U$1113)</f>
        <v>2014.135</v>
      </c>
      <c r="AA177" s="447">
        <f>SUMIF('Données par réseau'!$D$6:$D$748,$C177,'Données par réseau'!$V$6:$V$748)</f>
        <v>40956.988144381503</v>
      </c>
      <c r="AB177" s="507">
        <f>SUMIF('Données par réseau'!$D$6:$D$748,$C177,'Données par réseau'!$M$6:$M$748)</f>
        <v>298147.43206433422</v>
      </c>
      <c r="AC177" s="507">
        <f>SUMIF('État &amp; Plan d''action'!$D$6:$D$1113,C177,'État &amp; Plan d''action'!$AC$6:$AC$1113)</f>
        <v>329</v>
      </c>
      <c r="AD177" s="508">
        <f>SUMIF('État &amp; Plan d''action'!$D$6:$D$1113,C177,'État &amp; Plan d''action'!$AD$6:$AD$1113)</f>
        <v>51</v>
      </c>
      <c r="AE177" s="508">
        <f>SUMIF('État &amp; Plan d''action'!$D$6:$D$1113,C177,'État &amp; Plan d''action'!$AE$6:$AE$1113)</f>
        <v>57</v>
      </c>
      <c r="AF177" s="447">
        <f t="shared" si="8"/>
        <v>437</v>
      </c>
      <c r="AG177" s="509">
        <f t="shared" si="10"/>
        <v>1.3551536119084047</v>
      </c>
      <c r="AH177" s="510">
        <f>(SUMIF('Données par municipalité'!$D$6:$D$1113,Évolution!$T177,'Données par municipalité'!$O$6:$O$1113)*1000000/365)/SUMIF('Données par municipalité'!$D$6:$D$1113,Évolution!$T177,'Données par municipalité'!$K$6:$K$1113)</f>
        <v>248.16596416925151</v>
      </c>
      <c r="AI177" s="511">
        <f t="shared" si="11"/>
        <v>3.2578134037846818</v>
      </c>
      <c r="AJ177" s="510"/>
      <c r="AK177" s="510">
        <f>AVERAGEIF('Données par réseau'!$D$6:$D$748,Évolution!$T177,'Données par réseau'!$I$6:$I$748)</f>
        <v>51.013190353000326</v>
      </c>
      <c r="AL177" s="511"/>
      <c r="AM177" s="510">
        <f>(SUMIF('Données par municipalité'!$D$6:$D$1113,Évolution!$T177,'Données par municipalité'!$N$6:$N$1113)*1000000/365)/SUMIF('Données par municipalité'!$D$6:$D$1113,Évolution!$T177,'Données par municipalité'!$K$6:$K$1113)</f>
        <v>376.36053292838739</v>
      </c>
      <c r="AN177" s="510">
        <f>SUMIFS('Données par municipalité'!$H$6:$H$1113,'Données par municipalité'!$D$6:$D$1113,Évolution!T177)</f>
        <v>11</v>
      </c>
      <c r="AO177" s="447">
        <f>SUMIFS('Données par municipalité'!$I$6:$I$1113,'Données par municipalité'!$D$6:$D$1113,Évolution!T177)</f>
        <v>135128</v>
      </c>
      <c r="BS177" s="486">
        <v>46112</v>
      </c>
      <c r="BT177" s="479" t="s">
        <v>447</v>
      </c>
      <c r="BU177" s="479">
        <v>5</v>
      </c>
      <c r="BV177" s="476" t="s">
        <v>1187</v>
      </c>
      <c r="BW177" s="476" t="s">
        <v>1187</v>
      </c>
      <c r="BX177" s="476" t="s">
        <v>1187</v>
      </c>
      <c r="BY177" s="476" t="s">
        <v>1187</v>
      </c>
      <c r="BZ177" s="476" t="s">
        <v>1187</v>
      </c>
      <c r="CA177" s="476" t="s">
        <v>1187</v>
      </c>
      <c r="CB177" s="476" t="s">
        <v>1187</v>
      </c>
      <c r="CC177" s="476" t="s">
        <v>1187</v>
      </c>
      <c r="CD177" s="476" t="s">
        <v>1187</v>
      </c>
      <c r="CE177" s="476" t="s">
        <v>1188</v>
      </c>
      <c r="CF177" s="476" t="s">
        <v>1188</v>
      </c>
      <c r="CG177" s="476" t="s">
        <v>1188</v>
      </c>
      <c r="CH177" s="476" t="s">
        <v>1188</v>
      </c>
      <c r="CI177" s="476" t="s">
        <v>1188</v>
      </c>
      <c r="CJ177" s="476" t="s">
        <v>1188</v>
      </c>
      <c r="CK177" s="476" t="s">
        <v>1188</v>
      </c>
      <c r="CL177" s="476" t="s">
        <v>1188</v>
      </c>
      <c r="CM177" s="476" t="str">
        <f>IF(VLOOKUP(BS177,'Données par municipalité'!$B$6:$E$1113,4,FALSE)="","non","oui")</f>
        <v>oui</v>
      </c>
      <c r="CN177" s="410">
        <v>583.47287196395587</v>
      </c>
      <c r="CO177" s="410">
        <v>551.81977435253032</v>
      </c>
      <c r="CP177" s="410">
        <v>630.85832802920572</v>
      </c>
      <c r="CQ177" s="410">
        <v>443.98108306802919</v>
      </c>
      <c r="CR177" s="410">
        <v>446.21872664618127</v>
      </c>
      <c r="CS177" s="410">
        <v>362.49164621294187</v>
      </c>
      <c r="CT177" s="410">
        <v>356.05606723735826</v>
      </c>
      <c r="CU177" s="410">
        <v>351</v>
      </c>
      <c r="CV177" s="410">
        <f>IF(VLOOKUP(BS177,'Données par municipalité'!$B$6:$F$1113,4,FALSE)="","",VLOOKUP(BS177,'Données par municipalité'!$B$6:$F$1113,4,FALSE))</f>
        <v>349</v>
      </c>
      <c r="CW177" s="476" t="s">
        <v>4723</v>
      </c>
      <c r="CX177" s="483">
        <v>0.3</v>
      </c>
      <c r="CY177" s="483">
        <v>0.3</v>
      </c>
      <c r="CZ177" s="483">
        <v>0.3</v>
      </c>
      <c r="DA177" s="483">
        <v>0.3</v>
      </c>
      <c r="DB177" s="483">
        <v>0.3</v>
      </c>
      <c r="DC177" s="483">
        <v>0.3</v>
      </c>
      <c r="DD177" s="483">
        <v>1</v>
      </c>
      <c r="DE177" s="483">
        <f>IFERROR(SUM(VLOOKUP($BS177,'État &amp; Plan d''action'!$B$6:$Z$1113,18,FALSE),VLOOKUP($BS177,'État &amp; Plan d''action'!$B$6:$Z$1113,20,FALSE))/(VLOOKUP($BS177,'Données par municipalité'!$B$4:$L$1113,11,FALSE)),"")</f>
        <v>0</v>
      </c>
      <c r="DF177" s="483">
        <f>IFERROR(SUM(VLOOKUP($BS177,'État &amp; Plan d''action'!$B$6:$Z$1113,19,FALSE),VLOOKUP($BS177,'État &amp; Plan d''action'!$B$6:$Z$1113,21,FALSE))/(VLOOKUP($BS177,'Données par municipalité'!$B$4:$L$1113,11,FALSE)),"")</f>
        <v>0.04</v>
      </c>
      <c r="DG177" s="476" t="s">
        <v>4723</v>
      </c>
      <c r="DH177" s="484">
        <v>8</v>
      </c>
      <c r="DI177" s="484">
        <v>14</v>
      </c>
      <c r="DJ177" s="484">
        <v>12</v>
      </c>
      <c r="DK177" s="484">
        <v>16</v>
      </c>
      <c r="DL177" s="484">
        <v>7</v>
      </c>
      <c r="DM177" s="484">
        <v>7</v>
      </c>
      <c r="DN177" s="484">
        <v>9</v>
      </c>
      <c r="DO177" s="484">
        <v>0</v>
      </c>
      <c r="DP177" s="484">
        <v>1</v>
      </c>
      <c r="DQ177" s="484">
        <f>IF(VLOOKUP($BS177,'État &amp; Plan d''action'!$B$6:$AJ$1113,28,FALSE)="","",VLOOKUP($BS177,'État &amp; Plan d''action'!$B$6:$AJ$1113,28,FALSE))</f>
        <v>6</v>
      </c>
      <c r="DR177" s="70">
        <f>IF(VLOOKUP($BS177,'État &amp; Plan d''action'!$B$6:$AJ$1113,29,FALSE)="","",VLOOKUP($BS177,'État &amp; Plan d''action'!$B$6:$AJ$1113,29,FALSE))</f>
        <v>1</v>
      </c>
      <c r="DS177" s="70">
        <f>IF(VLOOKUP($BS177,'État &amp; Plan d''action'!$B$6:$AJ$1113,30,FALSE)="","",VLOOKUP($BS177,'État &amp; Plan d''action'!$B$6:$AJ$1113,30,FALSE))</f>
        <v>0</v>
      </c>
      <c r="DT177" s="70">
        <v>241</v>
      </c>
      <c r="DU177" s="485">
        <v>1.9707792635562511</v>
      </c>
      <c r="DV177" s="485">
        <v>0.43306885125430655</v>
      </c>
      <c r="DW177" s="70">
        <v>1</v>
      </c>
      <c r="DX177" s="70">
        <v>1</v>
      </c>
      <c r="DY177" s="70">
        <v>2</v>
      </c>
      <c r="DZ177" s="70">
        <f>VLOOKUP($BS177,'État &amp; Plan d''action'!$B$6:$AH$1113,31,FALSE)</f>
        <v>1</v>
      </c>
      <c r="EA177" s="70">
        <f>VLOOKUP($BS177,'État &amp; Plan d''action'!$B$6:$AH$1113,32,FALSE)</f>
        <v>1</v>
      </c>
      <c r="EB177" s="70">
        <f>VLOOKUP($BS177,'État &amp; Plan d''action'!$B$6:$AH$1113,33,FALSE)</f>
        <v>0</v>
      </c>
      <c r="EC177" s="70">
        <v>0</v>
      </c>
      <c r="ED177" s="70">
        <v>49.012999999999998</v>
      </c>
      <c r="EE177" s="70">
        <v>0</v>
      </c>
      <c r="EF177" s="70">
        <v>0</v>
      </c>
      <c r="EG177" s="70">
        <v>0</v>
      </c>
      <c r="EH177" s="72">
        <v>56</v>
      </c>
      <c r="EI177" s="72">
        <v>9361</v>
      </c>
    </row>
    <row r="178" spans="1:139" ht="15.75" customHeight="1" x14ac:dyDescent="0.35">
      <c r="A178" s="1"/>
      <c r="B178" s="47"/>
      <c r="C178" s="377">
        <v>8</v>
      </c>
      <c r="D178" s="378" t="s">
        <v>1123</v>
      </c>
      <c r="E178" s="379" t="s">
        <v>1170</v>
      </c>
      <c r="F178" s="380">
        <v>34</v>
      </c>
      <c r="G178" s="550">
        <v>21</v>
      </c>
      <c r="H178" s="550"/>
      <c r="I178" s="381">
        <v>4.2719105642344397</v>
      </c>
      <c r="J178" s="382">
        <v>184.4888373305283</v>
      </c>
      <c r="K178" s="548">
        <v>385.22364287043257</v>
      </c>
      <c r="L178" s="548"/>
      <c r="M178" s="382">
        <v>57.945990441996031</v>
      </c>
      <c r="N178" s="401" t="str">
        <f t="shared" si="9"/>
        <v/>
      </c>
      <c r="O178" s="70"/>
      <c r="P178" s="70"/>
      <c r="Q178" s="70"/>
      <c r="R178" s="70"/>
      <c r="S178" s="355" t="s">
        <v>4770</v>
      </c>
      <c r="T178" s="358">
        <v>8</v>
      </c>
      <c r="U178" s="358" t="s">
        <v>1123</v>
      </c>
      <c r="V178" s="358" t="s">
        <v>1170</v>
      </c>
      <c r="W178" s="447">
        <f>SUMIF('Données par réseau'!$D$6:$D$748,$C178,'Données par réseau'!$W$6:$W$748)</f>
        <v>3488.0022528220566</v>
      </c>
      <c r="X178" s="447">
        <f>SUMIF('Données par réseau'!$D$6:$D$748,$C178,'Données par réseau'!$X$6:$X$748)</f>
        <v>816.49702173648711</v>
      </c>
      <c r="Y178" s="447">
        <f>SUMIF('Données par réseau'!$D$6:$D$748,$C178,'Données par réseau'!$N$6:$N$748)</f>
        <v>691.11415999999986</v>
      </c>
      <c r="Z178" s="447">
        <f>SUMIF('État &amp; Plan d''action'!$D$6:$D$1113,$C178,'État &amp; Plan d''action'!$S$6:$S$1113)+SUMIF('État &amp; Plan d''action'!$D$6:$D$1113,$C178,'État &amp; Plan d''action'!$U$6:$U$1113)</f>
        <v>447.858</v>
      </c>
      <c r="AA178" s="447">
        <f>SUMIF('Données par réseau'!$D$6:$D$748,$C178,'Données par réseau'!$V$6:$V$748)</f>
        <v>13600.841079443895</v>
      </c>
      <c r="AB178" s="507">
        <f>SUMIF('Données par réseau'!$D$6:$D$748,$C178,'Données par réseau'!$M$6:$M$748)</f>
        <v>96729.728274698107</v>
      </c>
      <c r="AC178" s="507">
        <f>SUMIF('État &amp; Plan d''action'!$D$6:$D$1113,C178,'État &amp; Plan d''action'!$AC$6:$AC$1113)</f>
        <v>79</v>
      </c>
      <c r="AD178" s="508">
        <f>SUMIF('État &amp; Plan d''action'!$D$6:$D$1113,C178,'État &amp; Plan d''action'!$AD$6:$AD$1113)</f>
        <v>23</v>
      </c>
      <c r="AE178" s="508">
        <f>SUMIF('État &amp; Plan d''action'!$D$6:$D$1113,C178,'État &amp; Plan d''action'!$AE$6:$AE$1113)</f>
        <v>19</v>
      </c>
      <c r="AF178" s="447">
        <f t="shared" si="8"/>
        <v>121</v>
      </c>
      <c r="AG178" s="509">
        <f t="shared" si="10"/>
        <v>0.64802318621282495</v>
      </c>
      <c r="AH178" s="510">
        <f>(SUMIF('Données par municipalité'!$D$6:$D$1113,Évolution!$T178,'Données par municipalité'!$O$6:$O$1113)*1000000/365)/SUMIF('Données par municipalité'!$D$6:$D$1113,Évolution!$T178,'Données par municipalité'!$K$6:$K$1113)</f>
        <v>184.4888373305283</v>
      </c>
      <c r="AI178" s="511">
        <f t="shared" si="11"/>
        <v>4.2719105642344397</v>
      </c>
      <c r="AJ178" s="510"/>
      <c r="AK178" s="510">
        <f>AVERAGEIF('Données par réseau'!$D$6:$D$748,Évolution!$T178,'Données par réseau'!$I$6:$I$748)</f>
        <v>57.945990441996031</v>
      </c>
      <c r="AL178" s="511"/>
      <c r="AM178" s="510">
        <f>(SUMIF('Données par municipalité'!$D$6:$D$1113,Évolution!$T178,'Données par municipalité'!$N$6:$N$1113)*1000000/365)/SUMIF('Données par municipalité'!$D$6:$D$1113,Évolution!$T178,'Données par municipalité'!$K$6:$K$1113)</f>
        <v>385.22364287043257</v>
      </c>
      <c r="AN178" s="510">
        <f>SUMIFS('Données par municipalité'!$H$6:$H$1113,'Données par municipalité'!$D$6:$D$1113,Évolution!T178)</f>
        <v>26</v>
      </c>
      <c r="AO178" s="447">
        <f>SUMIFS('Données par municipalité'!$I$6:$I$1113,'Données par municipalité'!$D$6:$D$1113,Évolution!T178)</f>
        <v>42738</v>
      </c>
      <c r="BS178" s="486">
        <v>80005</v>
      </c>
      <c r="BT178" s="479" t="s">
        <v>803</v>
      </c>
      <c r="BU178" s="479">
        <v>7</v>
      </c>
      <c r="BV178" s="476" t="s">
        <v>1187</v>
      </c>
      <c r="BW178" s="476" t="s">
        <v>1187</v>
      </c>
      <c r="BX178" s="476" t="s">
        <v>1187</v>
      </c>
      <c r="BY178" s="476" t="s">
        <v>1187</v>
      </c>
      <c r="BZ178" s="476" t="s">
        <v>1187</v>
      </c>
      <c r="CA178" s="476" t="s">
        <v>1187</v>
      </c>
      <c r="CB178" s="476" t="s">
        <v>1187</v>
      </c>
      <c r="CC178" s="476" t="s">
        <v>1187</v>
      </c>
      <c r="CD178" s="476" t="s">
        <v>1187</v>
      </c>
      <c r="CE178" s="476" t="s">
        <v>1188</v>
      </c>
      <c r="CF178" s="476" t="s">
        <v>1188</v>
      </c>
      <c r="CG178" s="476" t="s">
        <v>1187</v>
      </c>
      <c r="CH178" s="476" t="s">
        <v>1188</v>
      </c>
      <c r="CI178" s="476" t="s">
        <v>1188</v>
      </c>
      <c r="CJ178" s="476" t="s">
        <v>1188</v>
      </c>
      <c r="CK178" s="476" t="s">
        <v>1187</v>
      </c>
      <c r="CL178" s="476" t="s">
        <v>1187</v>
      </c>
      <c r="CM178" s="476" t="str">
        <f>IF(VLOOKUP(BS178,'Données par municipalité'!$B$6:$E$1113,4,FALSE)="","non","oui")</f>
        <v>oui</v>
      </c>
      <c r="CN178" s="410">
        <v>1146.4049001873771</v>
      </c>
      <c r="CO178" s="410">
        <v>961.56427911183391</v>
      </c>
      <c r="CP178" s="410"/>
      <c r="CQ178" s="410">
        <v>861.65437892130103</v>
      </c>
      <c r="CR178" s="410">
        <v>838.30885300971681</v>
      </c>
      <c r="CS178" s="410">
        <v>288.30330048027747</v>
      </c>
      <c r="CT178" s="410"/>
      <c r="CU178" s="410" t="s">
        <v>1124</v>
      </c>
      <c r="CV178" s="410">
        <f>IF(VLOOKUP(BS178,'Données par municipalité'!$B$6:$F$1113,4,FALSE)="","",VLOOKUP(BS178,'Données par municipalité'!$B$6:$F$1113,4,FALSE))</f>
        <v>209</v>
      </c>
      <c r="CW178" s="476" t="s">
        <v>4723</v>
      </c>
      <c r="CX178" s="483">
        <v>1</v>
      </c>
      <c r="CY178" s="483" t="s">
        <v>1124</v>
      </c>
      <c r="CZ178" s="483">
        <v>0</v>
      </c>
      <c r="DA178" s="483">
        <v>0</v>
      </c>
      <c r="DB178" s="483">
        <v>0</v>
      </c>
      <c r="DC178" s="483" t="s">
        <v>1124</v>
      </c>
      <c r="DD178" s="483" t="s">
        <v>1124</v>
      </c>
      <c r="DE178" s="483">
        <f>IFERROR(SUM(VLOOKUP($BS178,'État &amp; Plan d''action'!$B$6:$Z$1113,18,FALSE),VLOOKUP($BS178,'État &amp; Plan d''action'!$B$6:$Z$1113,20,FALSE))/(VLOOKUP($BS178,'Données par municipalité'!$B$4:$L$1113,11,FALSE)),"")</f>
        <v>0.16733930504970959</v>
      </c>
      <c r="DF178" s="483">
        <f>IFERROR(SUM(VLOOKUP($BS178,'État &amp; Plan d''action'!$B$6:$Z$1113,19,FALSE),VLOOKUP($BS178,'État &amp; Plan d''action'!$B$6:$Z$1113,21,FALSE))/(VLOOKUP($BS178,'Données par municipalité'!$B$4:$L$1113,11,FALSE)),"")</f>
        <v>1.2151786593168619</v>
      </c>
      <c r="DG178" s="476" t="s">
        <v>4723</v>
      </c>
      <c r="DH178" s="484">
        <v>1</v>
      </c>
      <c r="DI178" s="484" t="s">
        <v>1124</v>
      </c>
      <c r="DJ178" s="484">
        <v>0</v>
      </c>
      <c r="DK178" s="484">
        <v>2</v>
      </c>
      <c r="DL178" s="484">
        <v>3</v>
      </c>
      <c r="DM178" s="484" t="s">
        <v>1124</v>
      </c>
      <c r="DN178" s="484" t="s">
        <v>1124</v>
      </c>
      <c r="DO178" s="484" t="s">
        <v>1124</v>
      </c>
      <c r="DP178" s="484" t="s">
        <v>1124</v>
      </c>
      <c r="DQ178" s="484">
        <f>IF(VLOOKUP($BS178,'État &amp; Plan d''action'!$B$6:$AJ$1113,28,FALSE)="","",VLOOKUP($BS178,'État &amp; Plan d''action'!$B$6:$AJ$1113,28,FALSE))</f>
        <v>1</v>
      </c>
      <c r="DR178" s="70">
        <f>IF(VLOOKUP($BS178,'État &amp; Plan d''action'!$B$6:$AJ$1113,29,FALSE)="","",VLOOKUP($BS178,'État &amp; Plan d''action'!$B$6:$AJ$1113,29,FALSE))</f>
        <v>0</v>
      </c>
      <c r="DS178" s="70">
        <f>IF(VLOOKUP($BS178,'État &amp; Plan d''action'!$B$6:$AJ$1113,30,FALSE)="","",VLOOKUP($BS178,'État &amp; Plan d''action'!$B$6:$AJ$1113,30,FALSE))</f>
        <v>0</v>
      </c>
      <c r="DT178" s="70" t="s">
        <v>1124</v>
      </c>
      <c r="DU178" s="485" t="s">
        <v>1124</v>
      </c>
      <c r="DV178" s="485">
        <v>1.5715105885316654</v>
      </c>
      <c r="DW178" s="70" t="s">
        <v>1124</v>
      </c>
      <c r="DX178" s="70" t="s">
        <v>1124</v>
      </c>
      <c r="DY178" s="70" t="s">
        <v>1124</v>
      </c>
      <c r="DZ178" s="70">
        <f>VLOOKUP($BS178,'État &amp; Plan d''action'!$B$6:$AH$1113,31,FALSE)</f>
        <v>1</v>
      </c>
      <c r="EA178" s="70">
        <f>VLOOKUP($BS178,'État &amp; Plan d''action'!$B$6:$AH$1113,32,FALSE)</f>
        <v>0</v>
      </c>
      <c r="EB178" s="70">
        <f>VLOOKUP($BS178,'État &amp; Plan d''action'!$B$6:$AH$1113,33,FALSE)</f>
        <v>0</v>
      </c>
      <c r="EC178" s="70" t="s">
        <v>1124</v>
      </c>
      <c r="ED178" s="70" t="s">
        <v>1124</v>
      </c>
      <c r="EE178" s="70" t="s">
        <v>1124</v>
      </c>
      <c r="EF178" s="70" t="s">
        <v>1124</v>
      </c>
      <c r="EG178" s="70" t="s">
        <v>1124</v>
      </c>
      <c r="EH178" s="72"/>
      <c r="EI178" s="72">
        <v>450</v>
      </c>
    </row>
    <row r="179" spans="1:139" ht="15.75" customHeight="1" x14ac:dyDescent="0.35">
      <c r="A179" s="1"/>
      <c r="B179" s="47"/>
      <c r="C179" s="377">
        <v>9</v>
      </c>
      <c r="D179" s="378" t="s">
        <v>1123</v>
      </c>
      <c r="E179" s="379" t="s">
        <v>1171</v>
      </c>
      <c r="F179" s="380">
        <v>32</v>
      </c>
      <c r="G179" s="550">
        <v>18</v>
      </c>
      <c r="H179" s="550"/>
      <c r="I179" s="381">
        <v>5.6595486690136427</v>
      </c>
      <c r="J179" s="382">
        <v>305.22563174545826</v>
      </c>
      <c r="K179" s="548">
        <v>586.4094018074336</v>
      </c>
      <c r="L179" s="548"/>
      <c r="M179" s="382">
        <v>56.63037932945317</v>
      </c>
      <c r="N179" s="401" t="str">
        <f t="shared" si="9"/>
        <v/>
      </c>
      <c r="O179" s="70"/>
      <c r="P179" s="70"/>
      <c r="Q179" s="70"/>
      <c r="R179" s="70"/>
      <c r="T179" s="358">
        <v>9</v>
      </c>
      <c r="U179" s="358" t="s">
        <v>1123</v>
      </c>
      <c r="V179" s="358" t="s">
        <v>1171</v>
      </c>
      <c r="W179" s="447">
        <f>SUMIF('Données par réseau'!$D$6:$D$748,$C179,'Données par réseau'!$W$6:$W$748)</f>
        <v>4285.970280350517</v>
      </c>
      <c r="X179" s="447">
        <f>SUMIF('Données par réseau'!$D$6:$D$748,$C179,'Données par réseau'!$X$6:$X$748)</f>
        <v>757.29895279750008</v>
      </c>
      <c r="Y179" s="447">
        <f>SUMIF('Données par réseau'!$D$6:$D$748,$C179,'Données par réseau'!$N$6:$N$748)</f>
        <v>669.27800000000002</v>
      </c>
      <c r="Z179" s="447">
        <f>SUMIF('État &amp; Plan d''action'!$D$6:$D$1113,$C179,'État &amp; Plan d''action'!$S$6:$S$1113)+SUMIF('État &amp; Plan d''action'!$D$6:$D$1113,$C179,'État &amp; Plan d''action'!$U$6:$U$1113)</f>
        <v>615.33400000000006</v>
      </c>
      <c r="AA179" s="447">
        <f>SUMIF('Données par réseau'!$D$6:$D$748,$C179,'Données par réseau'!$V$6:$V$748)</f>
        <v>15307.414166666669</v>
      </c>
      <c r="AB179" s="507">
        <f>SUMIF('Données par réseau'!$D$6:$D$748,$C179,'Données par réseau'!$M$6:$M$748)</f>
        <v>71516.795050189088</v>
      </c>
      <c r="AC179" s="507">
        <f>SUMIF('État &amp; Plan d''action'!$D$6:$D$1113,C179,'État &amp; Plan d''action'!$AC$6:$AC$1113)</f>
        <v>57</v>
      </c>
      <c r="AD179" s="508">
        <f>SUMIF('État &amp; Plan d''action'!$D$6:$D$1113,C179,'État &amp; Plan d''action'!$AD$6:$AD$1113)</f>
        <v>135</v>
      </c>
      <c r="AE179" s="508">
        <f>SUMIF('État &amp; Plan d''action'!$D$6:$D$1113,C179,'État &amp; Plan d''action'!$AE$6:$AE$1113)</f>
        <v>114</v>
      </c>
      <c r="AF179" s="447">
        <f t="shared" si="8"/>
        <v>306</v>
      </c>
      <c r="AG179" s="509">
        <f t="shared" si="10"/>
        <v>0.91939971133071763</v>
      </c>
      <c r="AH179" s="510">
        <f>(SUMIF('Données par municipalité'!$D$6:$D$1113,Évolution!$T179,'Données par municipalité'!$O$6:$O$1113)*1000000/365)/SUMIF('Données par municipalité'!$D$6:$D$1113,Évolution!$T179,'Données par municipalité'!$K$6:$K$1113)</f>
        <v>305.22563174545826</v>
      </c>
      <c r="AI179" s="511">
        <f t="shared" si="11"/>
        <v>5.6595486690136427</v>
      </c>
      <c r="AJ179" s="510"/>
      <c r="AK179" s="510">
        <f>AVERAGEIF('Données par réseau'!$D$6:$D$748,Évolution!$T179,'Données par réseau'!$I$6:$I$748)</f>
        <v>56.63037932945317</v>
      </c>
      <c r="AL179" s="511"/>
      <c r="AM179" s="510">
        <f>(SUMIF('Données par municipalité'!$D$6:$D$1113,Évolution!$T179,'Données par municipalité'!$N$6:$N$1113)*1000000/365)/SUMIF('Données par municipalité'!$D$6:$D$1113,Évolution!$T179,'Données par municipalité'!$K$6:$K$1113)</f>
        <v>586.4094018074336</v>
      </c>
      <c r="AN179" s="510">
        <f>SUMIFS('Données par municipalité'!$H$6:$H$1113,'Données par municipalité'!$D$6:$D$1113,Évolution!T179)</f>
        <v>23</v>
      </c>
      <c r="AO179" s="447">
        <f>SUMIFS('Données par municipalité'!$I$6:$I$1113,'Données par municipalité'!$D$6:$D$1113,Évolution!T179)</f>
        <v>31733</v>
      </c>
      <c r="BS179" s="486">
        <v>94220</v>
      </c>
      <c r="BT179" s="479" t="s">
        <v>976</v>
      </c>
      <c r="BU179" s="479">
        <v>2</v>
      </c>
      <c r="BV179" s="476" t="s">
        <v>1187</v>
      </c>
      <c r="BW179" s="476" t="s">
        <v>1187</v>
      </c>
      <c r="BX179" s="476" t="s">
        <v>1187</v>
      </c>
      <c r="BY179" s="476" t="s">
        <v>1187</v>
      </c>
      <c r="BZ179" s="476" t="s">
        <v>1187</v>
      </c>
      <c r="CA179" s="476" t="s">
        <v>1187</v>
      </c>
      <c r="CB179" s="476" t="s">
        <v>1187</v>
      </c>
      <c r="CC179" s="476" t="s">
        <v>1187</v>
      </c>
      <c r="CD179" s="476" t="s">
        <v>1187</v>
      </c>
      <c r="CE179" s="476" t="s">
        <v>1188</v>
      </c>
      <c r="CF179" s="476" t="s">
        <v>1188</v>
      </c>
      <c r="CG179" s="476" t="s">
        <v>1188</v>
      </c>
      <c r="CH179" s="476" t="s">
        <v>1188</v>
      </c>
      <c r="CI179" s="476" t="s">
        <v>1188</v>
      </c>
      <c r="CJ179" s="476" t="s">
        <v>1188</v>
      </c>
      <c r="CK179" s="476" t="s">
        <v>1188</v>
      </c>
      <c r="CL179" s="476" t="s">
        <v>1188</v>
      </c>
      <c r="CM179" s="476" t="str">
        <f>IF(VLOOKUP(BS179,'Données par municipalité'!$B$6:$E$1113,4,FALSE)="","non","oui")</f>
        <v>oui</v>
      </c>
      <c r="CN179" s="410">
        <v>353.76590246294069</v>
      </c>
      <c r="CO179" s="410">
        <v>294.19640271100047</v>
      </c>
      <c r="CP179" s="410">
        <v>219.85733211503907</v>
      </c>
      <c r="CQ179" s="410">
        <v>228.54786420150359</v>
      </c>
      <c r="CR179" s="410">
        <v>247.23170659243712</v>
      </c>
      <c r="CS179" s="410">
        <v>291.60696215341028</v>
      </c>
      <c r="CT179" s="410">
        <v>256.56879524895214</v>
      </c>
      <c r="CU179" s="410">
        <v>207</v>
      </c>
      <c r="CV179" s="410">
        <f>IF(VLOOKUP(BS179,'Données par municipalité'!$B$6:$F$1113,4,FALSE)="","",VLOOKUP(BS179,'Données par municipalité'!$B$6:$F$1113,4,FALSE))</f>
        <v>226</v>
      </c>
      <c r="CW179" s="476" t="s">
        <v>4723</v>
      </c>
      <c r="CX179" s="483">
        <v>0</v>
      </c>
      <c r="CY179" s="483">
        <v>1</v>
      </c>
      <c r="CZ179" s="483">
        <v>1</v>
      </c>
      <c r="DA179" s="483">
        <v>1</v>
      </c>
      <c r="DB179" s="483">
        <v>1</v>
      </c>
      <c r="DC179" s="483">
        <v>1</v>
      </c>
      <c r="DD179" s="483">
        <v>0</v>
      </c>
      <c r="DE179" s="483">
        <f>IFERROR(SUM(VLOOKUP($BS179,'État &amp; Plan d''action'!$B$6:$Z$1113,18,FALSE),VLOOKUP($BS179,'État &amp; Plan d''action'!$B$6:$Z$1113,20,FALSE))/(VLOOKUP($BS179,'Données par municipalité'!$B$4:$L$1113,11,FALSE)),"")</f>
        <v>0</v>
      </c>
      <c r="DF179" s="483">
        <f>IFERROR(SUM(VLOOKUP($BS179,'État &amp; Plan d''action'!$B$6:$Z$1113,19,FALSE),VLOOKUP($BS179,'État &amp; Plan d''action'!$B$6:$Z$1113,21,FALSE))/(VLOOKUP($BS179,'Données par municipalité'!$B$4:$L$1113,11,FALSE)),"")</f>
        <v>0</v>
      </c>
      <c r="DG179" s="476" t="s">
        <v>4723</v>
      </c>
      <c r="DH179" s="484" t="s">
        <v>1124</v>
      </c>
      <c r="DI179" s="484" t="s">
        <v>1124</v>
      </c>
      <c r="DJ179" s="484">
        <v>0</v>
      </c>
      <c r="DK179" s="484">
        <v>0</v>
      </c>
      <c r="DL179" s="484">
        <v>1</v>
      </c>
      <c r="DM179" s="484">
        <v>1</v>
      </c>
      <c r="DN179" s="484">
        <v>0</v>
      </c>
      <c r="DO179" s="484">
        <v>0</v>
      </c>
      <c r="DP179" s="484">
        <v>0</v>
      </c>
      <c r="DQ179" s="484">
        <f>IF(VLOOKUP($BS179,'État &amp; Plan d''action'!$B$6:$AJ$1113,28,FALSE)="","",VLOOKUP($BS179,'État &amp; Plan d''action'!$B$6:$AJ$1113,28,FALSE))</f>
        <v>0</v>
      </c>
      <c r="DR179" s="70">
        <f>IF(VLOOKUP($BS179,'État &amp; Plan d''action'!$B$6:$AJ$1113,29,FALSE)="","",VLOOKUP($BS179,'État &amp; Plan d''action'!$B$6:$AJ$1113,29,FALSE))</f>
        <v>0</v>
      </c>
      <c r="DS179" s="70">
        <f>IF(VLOOKUP($BS179,'État &amp; Plan d''action'!$B$6:$AJ$1113,30,FALSE)="","",VLOOKUP($BS179,'État &amp; Plan d''action'!$B$6:$AJ$1113,30,FALSE))</f>
        <v>0</v>
      </c>
      <c r="DT179" s="70">
        <v>145</v>
      </c>
      <c r="DU179" s="485">
        <v>1.1158279873891681</v>
      </c>
      <c r="DV179" s="485">
        <v>0.56742051107574998</v>
      </c>
      <c r="DW179" s="70">
        <v>0</v>
      </c>
      <c r="DX179" s="70">
        <v>0</v>
      </c>
      <c r="DY179" s="70">
        <v>0</v>
      </c>
      <c r="DZ179" s="70">
        <f>VLOOKUP($BS179,'État &amp; Plan d''action'!$B$6:$AH$1113,31,FALSE)</f>
        <v>0</v>
      </c>
      <c r="EA179" s="70">
        <f>VLOOKUP($BS179,'État &amp; Plan d''action'!$B$6:$AH$1113,32,FALSE)</f>
        <v>0</v>
      </c>
      <c r="EB179" s="70">
        <f>VLOOKUP($BS179,'État &amp; Plan d''action'!$B$6:$AH$1113,33,FALSE)</f>
        <v>0</v>
      </c>
      <c r="EC179" s="70">
        <v>0</v>
      </c>
      <c r="ED179" s="70">
        <v>0</v>
      </c>
      <c r="EE179" s="70">
        <v>0</v>
      </c>
      <c r="EF179" s="70">
        <v>0</v>
      </c>
      <c r="EG179" s="70">
        <v>0</v>
      </c>
      <c r="EH179" s="72">
        <v>58.378378378378386</v>
      </c>
      <c r="EI179" s="72">
        <v>549</v>
      </c>
    </row>
    <row r="180" spans="1:139" ht="15.75" customHeight="1" x14ac:dyDescent="0.35">
      <c r="A180" s="1"/>
      <c r="B180" s="47"/>
      <c r="C180" s="377">
        <v>10</v>
      </c>
      <c r="D180" s="378" t="s">
        <v>1123</v>
      </c>
      <c r="E180" s="379" t="s">
        <v>1172</v>
      </c>
      <c r="F180" s="380">
        <v>5</v>
      </c>
      <c r="G180" s="550">
        <v>2</v>
      </c>
      <c r="H180" s="550"/>
      <c r="I180" s="381">
        <v>12.379995592890928</v>
      </c>
      <c r="J180" s="382">
        <v>602.63899637909549</v>
      </c>
      <c r="K180" s="548">
        <v>1319.7968630221612</v>
      </c>
      <c r="L180" s="548"/>
      <c r="M180" s="382">
        <v>59.460784313725483</v>
      </c>
      <c r="N180" s="401" t="str">
        <f t="shared" si="9"/>
        <v/>
      </c>
      <c r="O180" s="70"/>
      <c r="P180" s="70"/>
      <c r="Q180" s="70"/>
      <c r="R180" s="70"/>
      <c r="T180" s="358">
        <v>10</v>
      </c>
      <c r="U180" s="358" t="s">
        <v>1123</v>
      </c>
      <c r="V180" s="358" t="s">
        <v>1172</v>
      </c>
      <c r="W180" s="447">
        <f>SUMIF('Données par réseau'!$D$6:$D$748,$C180,'Données par réseau'!$W$6:$W$748)</f>
        <v>1014.4878697251966</v>
      </c>
      <c r="X180" s="447">
        <f>SUMIF('Données par réseau'!$D$6:$D$748,$C180,'Données par réseau'!$X$6:$X$748)</f>
        <v>81.94573754999999</v>
      </c>
      <c r="Y180" s="447">
        <f>SUMIF('Données par réseau'!$D$6:$D$748,$C180,'Données par réseau'!$N$6:$N$748)</f>
        <v>69.876000000000005</v>
      </c>
      <c r="Z180" s="447">
        <f>SUMIF('État &amp; Plan d''action'!$D$6:$D$1113,$C180,'État &amp; Plan d''action'!$S$6:$S$1113)+SUMIF('État &amp; Plan d''action'!$D$6:$D$1113,$C180,'État &amp; Plan d''action'!$U$6:$U$1113)</f>
        <v>18.399999999999999</v>
      </c>
      <c r="AA180" s="447">
        <f>SUMIF('Données par réseau'!$D$6:$D$748,$C180,'Données par réseau'!$V$6:$V$748)</f>
        <v>4793.5096768765716</v>
      </c>
      <c r="AB180" s="507">
        <f>SUMIF('Données par réseau'!$D$6:$D$748,$C180,'Données par réseau'!$M$6:$M$748)</f>
        <v>9950.7004390408638</v>
      </c>
      <c r="AC180" s="507">
        <f>SUMIF('État &amp; Plan d''action'!$D$6:$D$1113,C180,'État &amp; Plan d''action'!$AC$6:$AC$1113)</f>
        <v>6</v>
      </c>
      <c r="AD180" s="508">
        <f>SUMIF('État &amp; Plan d''action'!$D$6:$D$1113,C180,'État &amp; Plan d''action'!$AD$6:$AD$1113)</f>
        <v>6</v>
      </c>
      <c r="AE180" s="508">
        <f>SUMIF('État &amp; Plan d''action'!$D$6:$D$1113,C180,'État &amp; Plan d''action'!$AE$6:$AE$1113)</f>
        <v>0</v>
      </c>
      <c r="AF180" s="447">
        <f t="shared" si="8"/>
        <v>12</v>
      </c>
      <c r="AG180" s="509">
        <f t="shared" si="10"/>
        <v>0.26332360180891862</v>
      </c>
      <c r="AH180" s="510">
        <f>(SUMIF('Données par municipalité'!$D$6:$D$1113,Évolution!$T180,'Données par municipalité'!$O$6:$O$1113)*1000000/365)/SUMIF('Données par municipalité'!$D$6:$D$1113,Évolution!$T180,'Données par municipalité'!$K$6:$K$1113)</f>
        <v>602.63899637909549</v>
      </c>
      <c r="AI180" s="511">
        <f t="shared" si="11"/>
        <v>12.379995592890928</v>
      </c>
      <c r="AJ180" s="510"/>
      <c r="AK180" s="510">
        <f>AVERAGEIF('Données par réseau'!$D$6:$D$748,Évolution!$T180,'Données par réseau'!$I$6:$I$748)</f>
        <v>59.460784313725483</v>
      </c>
      <c r="AL180" s="511"/>
      <c r="AM180" s="510">
        <f>(SUMIF('Données par municipalité'!$D$6:$D$1113,Évolution!$T180,'Données par municipalité'!$N$6:$N$1113)*1000000/365)/SUMIF('Données par municipalité'!$D$6:$D$1113,Évolution!$T180,'Données par municipalité'!$K$6:$K$1113)</f>
        <v>1319.7968630221612</v>
      </c>
      <c r="AN180" s="510">
        <f>SUMIFS('Données par municipalité'!$H$6:$H$1113,'Données par municipalité'!$D$6:$D$1113,Évolution!T180)</f>
        <v>2</v>
      </c>
      <c r="AO180" s="447">
        <f>SUMIFS('Données par municipalité'!$I$6:$I$1113,'Données par municipalité'!$D$6:$D$1113,Évolution!T180)</f>
        <v>3972</v>
      </c>
      <c r="BS180" s="486">
        <v>79097</v>
      </c>
      <c r="BT180" s="479" t="s">
        <v>799</v>
      </c>
      <c r="BU180" s="479">
        <v>15</v>
      </c>
      <c r="BV180" s="476" t="s">
        <v>1187</v>
      </c>
      <c r="BW180" s="476" t="s">
        <v>1187</v>
      </c>
      <c r="BX180" s="476" t="s">
        <v>1187</v>
      </c>
      <c r="BY180" s="476" t="s">
        <v>1187</v>
      </c>
      <c r="BZ180" s="476" t="s">
        <v>1187</v>
      </c>
      <c r="CA180" s="476" t="s">
        <v>1187</v>
      </c>
      <c r="CB180" s="476" t="s">
        <v>1187</v>
      </c>
      <c r="CC180" s="476" t="s">
        <v>1187</v>
      </c>
      <c r="CD180" s="476" t="s">
        <v>1187</v>
      </c>
      <c r="CE180" s="476" t="s">
        <v>1188</v>
      </c>
      <c r="CF180" s="476" t="s">
        <v>1188</v>
      </c>
      <c r="CG180" s="476" t="s">
        <v>1187</v>
      </c>
      <c r="CH180" s="476" t="s">
        <v>1187</v>
      </c>
      <c r="CI180" s="476" t="s">
        <v>1187</v>
      </c>
      <c r="CJ180" s="476" t="s">
        <v>1188</v>
      </c>
      <c r="CK180" s="476" t="s">
        <v>1188</v>
      </c>
      <c r="CL180" s="476" t="s">
        <v>1188</v>
      </c>
      <c r="CM180" s="476" t="str">
        <f>IF(VLOOKUP(BS180,'Données par municipalité'!$B$6:$E$1113,4,FALSE)="","non","oui")</f>
        <v>oui</v>
      </c>
      <c r="CN180" s="410">
        <v>344.86803519061584</v>
      </c>
      <c r="CO180" s="410">
        <v>356.68131300077539</v>
      </c>
      <c r="CP180" s="410"/>
      <c r="CQ180" s="410"/>
      <c r="CR180" s="410"/>
      <c r="CS180" s="410">
        <v>246.80533505937819</v>
      </c>
      <c r="CT180" s="410">
        <v>237.68121507614904</v>
      </c>
      <c r="CU180" s="410">
        <v>304</v>
      </c>
      <c r="CV180" s="410">
        <f>IF(VLOOKUP(BS180,'Données par municipalité'!$B$6:$F$1113,4,FALSE)="","",VLOOKUP(BS180,'Données par municipalité'!$B$6:$F$1113,4,FALSE))</f>
        <v>299</v>
      </c>
      <c r="CW180" s="476" t="s">
        <v>4723</v>
      </c>
      <c r="CX180" s="483">
        <v>0</v>
      </c>
      <c r="CY180" s="483" t="s">
        <v>1124</v>
      </c>
      <c r="CZ180" s="483" t="s">
        <v>1124</v>
      </c>
      <c r="DA180" s="483" t="s">
        <v>1124</v>
      </c>
      <c r="DB180" s="483">
        <v>1</v>
      </c>
      <c r="DC180" s="483">
        <v>1</v>
      </c>
      <c r="DD180" s="483">
        <v>0</v>
      </c>
      <c r="DE180" s="483">
        <f>IFERROR(SUM(VLOOKUP($BS180,'État &amp; Plan d''action'!$B$6:$Z$1113,18,FALSE),VLOOKUP($BS180,'État &amp; Plan d''action'!$B$6:$Z$1113,20,FALSE))/(VLOOKUP($BS180,'Données par municipalité'!$B$4:$L$1113,11,FALSE)),"")</f>
        <v>0.49997810953986249</v>
      </c>
      <c r="DF180" s="483">
        <f>IFERROR(SUM(VLOOKUP($BS180,'État &amp; Plan d''action'!$B$6:$Z$1113,19,FALSE),VLOOKUP($BS180,'État &amp; Plan d''action'!$B$6:$Z$1113,21,FALSE))/(VLOOKUP($BS180,'Données par municipalité'!$B$4:$L$1113,11,FALSE)),"")</f>
        <v>0.49997810953986249</v>
      </c>
      <c r="DG180" s="476" t="s">
        <v>4723</v>
      </c>
      <c r="DH180" s="484" t="s">
        <v>1124</v>
      </c>
      <c r="DI180" s="484" t="s">
        <v>1124</v>
      </c>
      <c r="DJ180" s="484">
        <v>0</v>
      </c>
      <c r="DK180" s="484">
        <v>0</v>
      </c>
      <c r="DL180" s="484">
        <v>1</v>
      </c>
      <c r="DM180" s="484">
        <v>1</v>
      </c>
      <c r="DN180" s="484">
        <v>1</v>
      </c>
      <c r="DO180" s="484">
        <v>0</v>
      </c>
      <c r="DP180" s="484">
        <v>1</v>
      </c>
      <c r="DQ180" s="484">
        <f>IF(VLOOKUP($BS180,'État &amp; Plan d''action'!$B$6:$AJ$1113,28,FALSE)="","",VLOOKUP($BS180,'État &amp; Plan d''action'!$B$6:$AJ$1113,28,FALSE))</f>
        <v>0</v>
      </c>
      <c r="DR180" s="70">
        <f>IF(VLOOKUP($BS180,'État &amp; Plan d''action'!$B$6:$AJ$1113,29,FALSE)="","",VLOOKUP($BS180,'État &amp; Plan d''action'!$B$6:$AJ$1113,29,FALSE))</f>
        <v>0</v>
      </c>
      <c r="DS180" s="70">
        <f>IF(VLOOKUP($BS180,'État &amp; Plan d''action'!$B$6:$AJ$1113,30,FALSE)="","",VLOOKUP($BS180,'État &amp; Plan d''action'!$B$6:$AJ$1113,30,FALSE))</f>
        <v>1</v>
      </c>
      <c r="DT180" s="70">
        <v>230</v>
      </c>
      <c r="DU180" s="485">
        <v>1.3647056880830726</v>
      </c>
      <c r="DV180" s="485">
        <v>2.408983156412118</v>
      </c>
      <c r="DW180" s="70">
        <v>1</v>
      </c>
      <c r="DX180" s="70">
        <v>0</v>
      </c>
      <c r="DY180" s="70">
        <v>3</v>
      </c>
      <c r="DZ180" s="70">
        <f>VLOOKUP($BS180,'État &amp; Plan d''action'!$B$6:$AH$1113,31,FALSE)</f>
        <v>0</v>
      </c>
      <c r="EA180" s="70">
        <f>VLOOKUP($BS180,'État &amp; Plan d''action'!$B$6:$AH$1113,32,FALSE)</f>
        <v>0</v>
      </c>
      <c r="EB180" s="70">
        <f>VLOOKUP($BS180,'État &amp; Plan d''action'!$B$6:$AH$1113,33,FALSE)</f>
        <v>30</v>
      </c>
      <c r="EC180" s="70">
        <v>22.841000000000001</v>
      </c>
      <c r="ED180" s="70">
        <v>0</v>
      </c>
      <c r="EE180" s="70">
        <v>0</v>
      </c>
      <c r="EF180" s="70">
        <v>0</v>
      </c>
      <c r="EG180" s="70">
        <v>0</v>
      </c>
      <c r="EH180" s="72">
        <v>58</v>
      </c>
      <c r="EI180" s="72">
        <v>2731</v>
      </c>
    </row>
    <row r="181" spans="1:139" ht="15.75" customHeight="1" x14ac:dyDescent="0.35">
      <c r="A181" s="1"/>
      <c r="B181" s="47"/>
      <c r="C181" s="377">
        <v>11</v>
      </c>
      <c r="D181" s="378" t="s">
        <v>1123</v>
      </c>
      <c r="E181" s="383" t="s">
        <v>1180</v>
      </c>
      <c r="F181" s="380">
        <v>32</v>
      </c>
      <c r="G181" s="550">
        <v>27</v>
      </c>
      <c r="H181" s="550"/>
      <c r="I181" s="381">
        <v>5.6166104651251452</v>
      </c>
      <c r="J181" s="382">
        <v>447.1704150863672</v>
      </c>
      <c r="K181" s="548">
        <v>802.0700354914718</v>
      </c>
      <c r="L181" s="548"/>
      <c r="M181" s="382">
        <v>55.80831063412198</v>
      </c>
      <c r="N181" s="401" t="str">
        <f t="shared" si="9"/>
        <v/>
      </c>
      <c r="O181" s="70"/>
      <c r="P181" s="70"/>
      <c r="Q181" s="70"/>
      <c r="R181" s="70"/>
      <c r="T181" s="358">
        <v>11</v>
      </c>
      <c r="U181" s="358" t="s">
        <v>1123</v>
      </c>
      <c r="V181" s="358" t="s">
        <v>1180</v>
      </c>
      <c r="W181" s="447">
        <f>SUMIF('Données par réseau'!$D$6:$D$748,$C181,'Données par réseau'!$W$6:$W$748)</f>
        <v>4607.0179090674292</v>
      </c>
      <c r="X181" s="447">
        <f>SUMIF('Données par réseau'!$D$6:$D$748,$C181,'Données par réseau'!$X$6:$X$748)</f>
        <v>820.24878486295006</v>
      </c>
      <c r="Y181" s="447">
        <f>SUMIF('Données par réseau'!$D$6:$D$748,$C181,'Données par réseau'!$N$6:$N$748)</f>
        <v>686.46299999999997</v>
      </c>
      <c r="Z181" s="447">
        <f>SUMIF('État &amp; Plan d''action'!$D$6:$D$1113,$C181,'État &amp; Plan d''action'!$S$6:$S$1113)+SUMIF('État &amp; Plan d''action'!$D$6:$D$1113,$C181,'État &amp; Plan d''action'!$U$6:$U$1113)</f>
        <v>662.23799999999994</v>
      </c>
      <c r="AA181" s="447">
        <f>SUMIF('Données par réseau'!$D$6:$D$748,$C181,'Données par réseau'!$V$6:$V$748)</f>
        <v>15872.632000000001</v>
      </c>
      <c r="AB181" s="507">
        <f>SUMIF('Données par réseau'!$D$6:$D$748,$C181,'Données par réseau'!$M$6:$M$748)</f>
        <v>54218.037190545336</v>
      </c>
      <c r="AC181" s="507">
        <f>SUMIF('État &amp; Plan d''action'!$D$6:$D$1113,C181,'État &amp; Plan d''action'!$AC$6:$AC$1113)</f>
        <v>59</v>
      </c>
      <c r="AD181" s="508">
        <f>SUMIF('État &amp; Plan d''action'!$D$6:$D$1113,C181,'État &amp; Plan d''action'!$AD$6:$AD$1113)</f>
        <v>62</v>
      </c>
      <c r="AE181" s="508">
        <f>SUMIF('État &amp; Plan d''action'!$D$6:$D$1113,C181,'État &amp; Plan d''action'!$AE$6:$AE$1113)</f>
        <v>14</v>
      </c>
      <c r="AF181" s="447">
        <f t="shared" si="8"/>
        <v>135</v>
      </c>
      <c r="AG181" s="509">
        <f t="shared" si="10"/>
        <v>0.96471040682454845</v>
      </c>
      <c r="AH181" s="510">
        <f>(SUMIF('Données par municipalité'!$D$6:$D$1113,Évolution!$T181,'Données par municipalité'!$O$6:$O$1113)*1000000/365)/SUMIF('Données par municipalité'!$D$6:$D$1113,Évolution!$T181,'Données par municipalité'!$K$6:$K$1113)</f>
        <v>447.1704150863672</v>
      </c>
      <c r="AI181" s="511">
        <f t="shared" si="11"/>
        <v>5.6166104651251452</v>
      </c>
      <c r="AJ181" s="510"/>
      <c r="AK181" s="510">
        <f>AVERAGEIF('Données par réseau'!$D$6:$D$748,Évolution!$T181,'Données par réseau'!$I$6:$I$748)</f>
        <v>55.80831063412198</v>
      </c>
      <c r="AL181" s="511"/>
      <c r="AM181" s="510">
        <f>(SUMIF('Données par municipalité'!$D$6:$D$1113,Évolution!$T181,'Données par municipalité'!$N$6:$N$1113)*1000000/365)/SUMIF('Données par municipalité'!$D$6:$D$1113,Évolution!$T181,'Données par municipalité'!$K$6:$K$1113)</f>
        <v>802.0700354914718</v>
      </c>
      <c r="AN181" s="510">
        <f>SUMIFS('Données par municipalité'!$H$6:$H$1113,'Données par municipalité'!$D$6:$D$1113,Évolution!T181)</f>
        <v>32</v>
      </c>
      <c r="AO181" s="447">
        <f>SUMIFS('Données par municipalité'!$I$6:$I$1113,'Données par municipalité'!$D$6:$D$1113,Évolution!T181)</f>
        <v>25876</v>
      </c>
      <c r="BS181" s="486">
        <v>97035</v>
      </c>
      <c r="BT181" s="479" t="s">
        <v>1004</v>
      </c>
      <c r="BU181" s="479">
        <v>9</v>
      </c>
      <c r="BV181" s="476" t="s">
        <v>1187</v>
      </c>
      <c r="BW181" s="476" t="s">
        <v>1187</v>
      </c>
      <c r="BX181" s="476" t="s">
        <v>1187</v>
      </c>
      <c r="BY181" s="476" t="s">
        <v>1187</v>
      </c>
      <c r="BZ181" s="476" t="s">
        <v>1187</v>
      </c>
      <c r="CA181" s="476" t="s">
        <v>1187</v>
      </c>
      <c r="CB181" s="476" t="s">
        <v>1187</v>
      </c>
      <c r="CC181" s="476" t="s">
        <v>1187</v>
      </c>
      <c r="CD181" s="476" t="s">
        <v>1187</v>
      </c>
      <c r="CE181" s="476" t="s">
        <v>1188</v>
      </c>
      <c r="CF181" s="476" t="s">
        <v>1188</v>
      </c>
      <c r="CG181" s="476" t="s">
        <v>1187</v>
      </c>
      <c r="CH181" s="476" t="s">
        <v>1187</v>
      </c>
      <c r="CI181" s="476" t="s">
        <v>1188</v>
      </c>
      <c r="CJ181" s="476" t="s">
        <v>1187</v>
      </c>
      <c r="CK181" s="476" t="s">
        <v>1187</v>
      </c>
      <c r="CL181" s="476" t="s">
        <v>1187</v>
      </c>
      <c r="CM181" s="476" t="str">
        <f>IF(VLOOKUP(BS181,'Données par municipalité'!$B$6:$E$1113,4,FALSE)="","non","oui")</f>
        <v>oui</v>
      </c>
      <c r="CN181" s="410">
        <v>912.2957226481534</v>
      </c>
      <c r="CO181" s="410">
        <v>776.14487448161208</v>
      </c>
      <c r="CP181" s="410"/>
      <c r="CQ181" s="410"/>
      <c r="CR181" s="410">
        <v>530.14184769682765</v>
      </c>
      <c r="CS181" s="410" t="s">
        <v>1124</v>
      </c>
      <c r="CT181" s="410"/>
      <c r="CU181" s="410" t="s">
        <v>1124</v>
      </c>
      <c r="CV181" s="410">
        <f>IF(VLOOKUP(BS181,'Données par municipalité'!$B$6:$F$1113,4,FALSE)="","",VLOOKUP(BS181,'Données par municipalité'!$B$6:$F$1113,4,FALSE))</f>
        <v>501</v>
      </c>
      <c r="CW181" s="476" t="s">
        <v>4723</v>
      </c>
      <c r="CX181" s="483">
        <v>0</v>
      </c>
      <c r="CY181" s="483" t="s">
        <v>1124</v>
      </c>
      <c r="CZ181" s="483" t="s">
        <v>1124</v>
      </c>
      <c r="DA181" s="483">
        <v>0</v>
      </c>
      <c r="DB181" s="483" t="s">
        <v>1124</v>
      </c>
      <c r="DC181" s="483" t="s">
        <v>1124</v>
      </c>
      <c r="DD181" s="483" t="s">
        <v>1124</v>
      </c>
      <c r="DE181" s="483">
        <f>IFERROR(SUM(VLOOKUP($BS181,'État &amp; Plan d''action'!$B$6:$Z$1113,18,FALSE),VLOOKUP($BS181,'État &amp; Plan d''action'!$B$6:$Z$1113,20,FALSE))/(VLOOKUP($BS181,'Données par municipalité'!$B$4:$L$1113,11,FALSE)),"")</f>
        <v>0</v>
      </c>
      <c r="DF181" s="483">
        <f>IFERROR(SUM(VLOOKUP($BS181,'État &amp; Plan d''action'!$B$6:$Z$1113,19,FALSE),VLOOKUP($BS181,'État &amp; Plan d''action'!$B$6:$Z$1113,21,FALSE))/(VLOOKUP($BS181,'Données par municipalité'!$B$4:$L$1113,11,FALSE)),"")</f>
        <v>1</v>
      </c>
      <c r="DG181" s="476" t="s">
        <v>4723</v>
      </c>
      <c r="DH181" s="484">
        <v>4</v>
      </c>
      <c r="DI181" s="484">
        <v>15</v>
      </c>
      <c r="DJ181" s="484">
        <v>10</v>
      </c>
      <c r="DK181" s="484">
        <v>6</v>
      </c>
      <c r="DL181" s="484" t="s">
        <v>1124</v>
      </c>
      <c r="DM181" s="484" t="s">
        <v>1124</v>
      </c>
      <c r="DN181" s="484" t="s">
        <v>1124</v>
      </c>
      <c r="DO181" s="484" t="s">
        <v>1124</v>
      </c>
      <c r="DP181" s="484" t="s">
        <v>1124</v>
      </c>
      <c r="DQ181" s="484">
        <f>IF(VLOOKUP($BS181,'État &amp; Plan d''action'!$B$6:$AJ$1113,28,FALSE)="","",VLOOKUP($BS181,'État &amp; Plan d''action'!$B$6:$AJ$1113,28,FALSE))</f>
        <v>0</v>
      </c>
      <c r="DR181" s="70">
        <f>IF(VLOOKUP($BS181,'État &amp; Plan d''action'!$B$6:$AJ$1113,29,FALSE)="","",VLOOKUP($BS181,'État &amp; Plan d''action'!$B$6:$AJ$1113,29,FALSE))</f>
        <v>0</v>
      </c>
      <c r="DS181" s="70">
        <f>IF(VLOOKUP($BS181,'État &amp; Plan d''action'!$B$6:$AJ$1113,30,FALSE)="","",VLOOKUP($BS181,'État &amp; Plan d''action'!$B$6:$AJ$1113,30,FALSE))</f>
        <v>0</v>
      </c>
      <c r="DT181" s="70" t="s">
        <v>1124</v>
      </c>
      <c r="DU181" s="485" t="s">
        <v>1124</v>
      </c>
      <c r="DV181" s="485">
        <v>3.2430211961683995</v>
      </c>
      <c r="DW181" s="70" t="s">
        <v>1124</v>
      </c>
      <c r="DX181" s="70" t="s">
        <v>1124</v>
      </c>
      <c r="DY181" s="70" t="s">
        <v>1124</v>
      </c>
      <c r="DZ181" s="70">
        <f>VLOOKUP($BS181,'État &amp; Plan d''action'!$B$6:$AH$1113,31,FALSE)</f>
        <v>0</v>
      </c>
      <c r="EA181" s="70">
        <f>VLOOKUP($BS181,'État &amp; Plan d''action'!$B$6:$AH$1113,32,FALSE)</f>
        <v>0</v>
      </c>
      <c r="EB181" s="70">
        <f>VLOOKUP($BS181,'État &amp; Plan d''action'!$B$6:$AH$1113,33,FALSE)</f>
        <v>0</v>
      </c>
      <c r="EC181" s="70" t="s">
        <v>1124</v>
      </c>
      <c r="ED181" s="70" t="s">
        <v>1124</v>
      </c>
      <c r="EE181" s="70" t="s">
        <v>1124</v>
      </c>
      <c r="EF181" s="70" t="s">
        <v>1124</v>
      </c>
      <c r="EG181" s="70" t="s">
        <v>1124</v>
      </c>
      <c r="EH181" s="72"/>
      <c r="EI181" s="72">
        <v>2417</v>
      </c>
    </row>
    <row r="182" spans="1:139" ht="15.75" customHeight="1" x14ac:dyDescent="0.35">
      <c r="A182" s="1"/>
      <c r="B182" s="47"/>
      <c r="C182" s="377">
        <v>12</v>
      </c>
      <c r="D182" s="378" t="s">
        <v>1123</v>
      </c>
      <c r="E182" s="379" t="s">
        <v>1173</v>
      </c>
      <c r="F182" s="380">
        <v>96</v>
      </c>
      <c r="G182" s="550">
        <v>82</v>
      </c>
      <c r="H182" s="550"/>
      <c r="I182" s="381">
        <v>2.1028060577377641</v>
      </c>
      <c r="J182" s="382">
        <v>227.6774833735698</v>
      </c>
      <c r="K182" s="548">
        <v>355.73699993500094</v>
      </c>
      <c r="L182" s="548"/>
      <c r="M182" s="382">
        <v>58.421553925633631</v>
      </c>
      <c r="N182" s="401" t="str">
        <f t="shared" si="9"/>
        <v/>
      </c>
      <c r="O182" s="70"/>
      <c r="P182" s="70"/>
      <c r="Q182" s="70"/>
      <c r="R182" s="70"/>
      <c r="T182" s="358">
        <v>12</v>
      </c>
      <c r="U182" s="358" t="s">
        <v>1123</v>
      </c>
      <c r="V182" s="358" t="s">
        <v>1173</v>
      </c>
      <c r="W182" s="447">
        <f>SUMIF('Données par réseau'!$D$6:$D$748,$C182,'Données par réseau'!$W$6:$W$748)</f>
        <v>6535.0366482738336</v>
      </c>
      <c r="X182" s="447">
        <f>SUMIF('Données par réseau'!$D$6:$D$748,$C182,'Données par réseau'!$X$6:$X$748)</f>
        <v>3107.7695559353397</v>
      </c>
      <c r="Y182" s="447">
        <f>SUMIF('Données par réseau'!$D$6:$D$748,$C182,'Données par réseau'!$N$6:$N$748)</f>
        <v>2579.6537700000003</v>
      </c>
      <c r="Z182" s="447">
        <f>SUMIF('État &amp; Plan d''action'!$D$6:$D$1113,$C182,'État &amp; Plan d''action'!$S$6:$S$1113)+SUMIF('État &amp; Plan d''action'!$D$6:$D$1113,$C182,'État &amp; Plan d''action'!$U$6:$U$1113)</f>
        <v>2102.2426</v>
      </c>
      <c r="AA182" s="447">
        <f>SUMIF('Données par réseau'!$D$6:$D$748,$C182,'Données par réseau'!$V$6:$V$748)</f>
        <v>42388.391998265834</v>
      </c>
      <c r="AB182" s="507">
        <f>SUMIF('Données par réseau'!$D$6:$D$748,$C182,'Données par réseau'!$M$6:$M$748)</f>
        <v>326456.28888304008</v>
      </c>
      <c r="AC182" s="507">
        <f>SUMIF('État &amp; Plan d''action'!$D$6:$D$1113,C182,'État &amp; Plan d''action'!$AC$6:$AC$1113)</f>
        <v>354</v>
      </c>
      <c r="AD182" s="508">
        <f>SUMIF('État &amp; Plan d''action'!$D$6:$D$1113,C182,'État &amp; Plan d''action'!$AD$6:$AD$1113)</f>
        <v>130</v>
      </c>
      <c r="AE182" s="508">
        <f>SUMIF('État &amp; Plan d''action'!$D$6:$D$1113,C182,'État &amp; Plan d''action'!$AE$6:$AE$1113)</f>
        <v>51</v>
      </c>
      <c r="AF182" s="447">
        <f t="shared" si="8"/>
        <v>535</v>
      </c>
      <c r="AG182" s="509">
        <f t="shared" si="10"/>
        <v>0.81493207516759114</v>
      </c>
      <c r="AH182" s="510">
        <f>(SUMIF('Données par municipalité'!$D$6:$D$1113,Évolution!$T182,'Données par municipalité'!$O$6:$O$1113)*1000000/365)/SUMIF('Données par municipalité'!$D$6:$D$1113,Évolution!$T182,'Données par municipalité'!$K$6:$K$1113)</f>
        <v>227.6774833735698</v>
      </c>
      <c r="AI182" s="511">
        <f t="shared" si="11"/>
        <v>2.1028060577377641</v>
      </c>
      <c r="AJ182" s="510"/>
      <c r="AK182" s="510">
        <f>AVERAGEIF('Données par réseau'!$D$6:$D$748,Évolution!$T182,'Données par réseau'!$I$6:$I$748)</f>
        <v>58.421553925633631</v>
      </c>
      <c r="AL182" s="511"/>
      <c r="AM182" s="510">
        <f>(SUMIF('Données par municipalité'!$D$6:$D$1113,Évolution!$T182,'Données par municipalité'!$N$6:$N$1113)*1000000/365)/SUMIF('Données par municipalité'!$D$6:$D$1113,Évolution!$T182,'Données par municipalité'!$K$6:$K$1113)</f>
        <v>355.73699993500094</v>
      </c>
      <c r="AN182" s="510">
        <f>SUMIFS('Données par municipalité'!$H$6:$H$1113,'Données par municipalité'!$D$6:$D$1113,Évolution!T182)</f>
        <v>89</v>
      </c>
      <c r="AO182" s="447">
        <f>SUMIFS('Données par municipalité'!$I$6:$I$1113,'Données par municipalité'!$D$6:$D$1113,Évolution!T182)</f>
        <v>146204</v>
      </c>
      <c r="BS182" s="486">
        <v>95045</v>
      </c>
      <c r="BT182" s="479" t="s">
        <v>992</v>
      </c>
      <c r="BU182" s="479">
        <v>9</v>
      </c>
      <c r="BV182" s="476" t="s">
        <v>1187</v>
      </c>
      <c r="BW182" s="476" t="s">
        <v>1187</v>
      </c>
      <c r="BX182" s="476" t="s">
        <v>1187</v>
      </c>
      <c r="BY182" s="476" t="s">
        <v>1187</v>
      </c>
      <c r="BZ182" s="476" t="s">
        <v>1187</v>
      </c>
      <c r="CA182" s="476" t="s">
        <v>1187</v>
      </c>
      <c r="CB182" s="476" t="s">
        <v>1187</v>
      </c>
      <c r="CC182" s="476" t="s">
        <v>1187</v>
      </c>
      <c r="CD182" s="476" t="s">
        <v>1187</v>
      </c>
      <c r="CE182" s="476" t="s">
        <v>1188</v>
      </c>
      <c r="CF182" s="476" t="s">
        <v>1188</v>
      </c>
      <c r="CG182" s="476" t="s">
        <v>1187</v>
      </c>
      <c r="CH182" s="476" t="s">
        <v>1187</v>
      </c>
      <c r="CI182" s="476" t="s">
        <v>1188</v>
      </c>
      <c r="CJ182" s="476" t="s">
        <v>1188</v>
      </c>
      <c r="CK182" s="476" t="s">
        <v>1187</v>
      </c>
      <c r="CL182" s="476" t="s">
        <v>1187</v>
      </c>
      <c r="CM182" s="476" t="str">
        <f>IF(VLOOKUP(BS182,'Données par municipalité'!$B$6:$E$1113,4,FALSE)="","non","oui")</f>
        <v>non</v>
      </c>
      <c r="CN182" s="410">
        <v>598.99215451743373</v>
      </c>
      <c r="CO182" s="410">
        <v>519.67162343456494</v>
      </c>
      <c r="CP182" s="410"/>
      <c r="CQ182" s="410"/>
      <c r="CR182" s="410">
        <v>704.75519280768765</v>
      </c>
      <c r="CS182" s="410">
        <v>734.47496202137188</v>
      </c>
      <c r="CT182" s="410"/>
      <c r="CU182" s="410" t="s">
        <v>1124</v>
      </c>
      <c r="CV182" s="410" t="str">
        <f>IF(VLOOKUP(BS182,'Données par municipalité'!$B$6:$F$1113,4,FALSE)="","",VLOOKUP(BS182,'Données par municipalité'!$B$6:$F$1113,4,FALSE))</f>
        <v/>
      </c>
      <c r="CW182" s="476" t="s">
        <v>4723</v>
      </c>
      <c r="CX182" s="483">
        <v>0</v>
      </c>
      <c r="CY182" s="483" t="s">
        <v>1124</v>
      </c>
      <c r="CZ182" s="483" t="s">
        <v>1124</v>
      </c>
      <c r="DA182" s="483">
        <v>0</v>
      </c>
      <c r="DB182" s="483">
        <v>1</v>
      </c>
      <c r="DC182" s="483" t="s">
        <v>1124</v>
      </c>
      <c r="DD182" s="483" t="s">
        <v>1124</v>
      </c>
      <c r="DE182" s="483" t="str">
        <f>IFERROR(SUM(VLOOKUP($BS182,'État &amp; Plan d''action'!$B$6:$Z$1113,18,FALSE),VLOOKUP($BS182,'État &amp; Plan d''action'!$B$6:$Z$1113,20,FALSE))/(VLOOKUP($BS182,'Données par municipalité'!$B$4:$L$1113,11,FALSE)),"")</f>
        <v/>
      </c>
      <c r="DF182" s="483" t="str">
        <f>IFERROR(SUM(VLOOKUP($BS182,'État &amp; Plan d''action'!$B$6:$Z$1113,19,FALSE),VLOOKUP($BS182,'État &amp; Plan d''action'!$B$6:$Z$1113,21,FALSE))/(VLOOKUP($BS182,'Données par municipalité'!$B$4:$L$1113,11,FALSE)),"")</f>
        <v/>
      </c>
      <c r="DG182" s="476" t="s">
        <v>4723</v>
      </c>
      <c r="DH182" s="484">
        <v>1</v>
      </c>
      <c r="DI182" s="484">
        <v>1</v>
      </c>
      <c r="DJ182" s="484">
        <v>0</v>
      </c>
      <c r="DK182" s="484">
        <v>0</v>
      </c>
      <c r="DL182" s="484">
        <v>9</v>
      </c>
      <c r="DM182" s="484" t="s">
        <v>1124</v>
      </c>
      <c r="DN182" s="484" t="s">
        <v>1124</v>
      </c>
      <c r="DO182" s="484" t="s">
        <v>1124</v>
      </c>
      <c r="DP182" s="484" t="s">
        <v>1124</v>
      </c>
      <c r="DQ182" s="484" t="str">
        <f>IF(VLOOKUP($BS182,'État &amp; Plan d''action'!$B$6:$AJ$1113,28,FALSE)="","",VLOOKUP($BS182,'État &amp; Plan d''action'!$B$6:$AJ$1113,28,FALSE))</f>
        <v/>
      </c>
      <c r="DR182" s="70" t="str">
        <f>IF(VLOOKUP($BS182,'État &amp; Plan d''action'!$B$6:$AJ$1113,29,FALSE)="","",VLOOKUP($BS182,'État &amp; Plan d''action'!$B$6:$AJ$1113,29,FALSE))</f>
        <v/>
      </c>
      <c r="DS182" s="70" t="str">
        <f>IF(VLOOKUP($BS182,'État &amp; Plan d''action'!$B$6:$AJ$1113,30,FALSE)="","",VLOOKUP($BS182,'État &amp; Plan d''action'!$B$6:$AJ$1113,30,FALSE))</f>
        <v/>
      </c>
      <c r="DT182" s="70" t="s">
        <v>1124</v>
      </c>
      <c r="DU182" s="485" t="s">
        <v>1124</v>
      </c>
      <c r="DV182" s="485" t="s">
        <v>1124</v>
      </c>
      <c r="DW182" s="70" t="s">
        <v>1124</v>
      </c>
      <c r="DX182" s="70" t="s">
        <v>1124</v>
      </c>
      <c r="DY182" s="70" t="s">
        <v>1124</v>
      </c>
      <c r="DZ182" s="70" t="str">
        <f>VLOOKUP($BS182,'État &amp; Plan d''action'!$B$6:$AH$1113,31,FALSE)</f>
        <v/>
      </c>
      <c r="EA182" s="70" t="str">
        <f>VLOOKUP($BS182,'État &amp; Plan d''action'!$B$6:$AH$1113,32,FALSE)</f>
        <v/>
      </c>
      <c r="EB182" s="70" t="str">
        <f>VLOOKUP($BS182,'État &amp; Plan d''action'!$B$6:$AH$1113,33,FALSE)</f>
        <v/>
      </c>
      <c r="EC182" s="70" t="s">
        <v>1124</v>
      </c>
      <c r="ED182" s="70" t="s">
        <v>1124</v>
      </c>
      <c r="EE182" s="70" t="s">
        <v>1124</v>
      </c>
      <c r="EF182" s="70" t="s">
        <v>1124</v>
      </c>
      <c r="EG182" s="70" t="s">
        <v>1124</v>
      </c>
      <c r="EH182" s="72"/>
      <c r="EI182" s="72">
        <v>2992</v>
      </c>
    </row>
    <row r="183" spans="1:139" ht="15.75" customHeight="1" x14ac:dyDescent="0.35">
      <c r="A183" s="1"/>
      <c r="B183" s="47"/>
      <c r="C183" s="377">
        <v>13</v>
      </c>
      <c r="D183" s="378" t="s">
        <v>1123</v>
      </c>
      <c r="E183" s="379" t="s">
        <v>1140</v>
      </c>
      <c r="F183" s="380">
        <v>1</v>
      </c>
      <c r="G183" s="550">
        <v>1</v>
      </c>
      <c r="H183" s="550"/>
      <c r="I183" s="381">
        <v>9.9756024190553383</v>
      </c>
      <c r="J183" s="382">
        <v>245.00026866120243</v>
      </c>
      <c r="K183" s="548">
        <v>463.9465398449197</v>
      </c>
      <c r="L183" s="548"/>
      <c r="M183" s="382">
        <v>69.359649122807014</v>
      </c>
      <c r="N183" s="401" t="str">
        <f t="shared" si="9"/>
        <v/>
      </c>
      <c r="O183" s="70"/>
      <c r="P183" s="70"/>
      <c r="Q183" s="70"/>
      <c r="R183" s="70"/>
      <c r="T183" s="358">
        <v>13</v>
      </c>
      <c r="U183" s="358" t="s">
        <v>1123</v>
      </c>
      <c r="V183" s="358" t="s">
        <v>1140</v>
      </c>
      <c r="W183" s="447">
        <f>SUMIF('Données par réseau'!$D$6:$D$748,$C183,'Données par réseau'!$W$6:$W$748)</f>
        <v>21474.645127551019</v>
      </c>
      <c r="X183" s="447">
        <f>SUMIF('Données par réseau'!$D$6:$D$748,$C183,'Données par réseau'!$X$6:$X$748)</f>
        <v>2152.7166205551935</v>
      </c>
      <c r="Y183" s="447">
        <f>SUMIF('Données par réseau'!$D$6:$D$748,$C183,'Données par réseau'!$N$6:$N$748)</f>
        <v>1688</v>
      </c>
      <c r="Z183" s="447">
        <f>SUMIF('État &amp; Plan d''action'!$D$6:$D$1113,$C183,'État &amp; Plan d''action'!$S$6:$S$1113)+SUMIF('État &amp; Plan d''action'!$D$6:$D$1113,$C183,'État &amp; Plan d''action'!$U$6:$U$1113)</f>
        <v>1421</v>
      </c>
      <c r="AA183" s="447">
        <f>SUMIF('Données par réseau'!$D$6:$D$748,$C183,'Données par réseau'!$V$6:$V$748)</f>
        <v>73002.263999999996</v>
      </c>
      <c r="AB183" s="507">
        <f>SUMIF('Données par réseau'!$D$6:$D$748,$C183,'Données par réseau'!$M$6:$M$748)</f>
        <v>431097.51999999996</v>
      </c>
      <c r="AC183" s="507">
        <f>SUMIF('État &amp; Plan d''action'!$D$6:$D$1113,C183,'État &amp; Plan d''action'!$AC$6:$AC$1113)</f>
        <v>345</v>
      </c>
      <c r="AD183" s="508">
        <f>SUMIF('État &amp; Plan d''action'!$D$6:$D$1113,C183,'État &amp; Plan d''action'!$AD$6:$AD$1113)</f>
        <v>40</v>
      </c>
      <c r="AE183" s="508">
        <f>SUMIF('État &amp; Plan d''action'!$D$6:$D$1113,C183,'État &amp; Plan d''action'!$AE$6:$AE$1113)</f>
        <v>203</v>
      </c>
      <c r="AF183" s="447">
        <f t="shared" si="8"/>
        <v>588</v>
      </c>
      <c r="AG183" s="509">
        <f t="shared" si="10"/>
        <v>0.84182464454976302</v>
      </c>
      <c r="AH183" s="510">
        <f>(SUMIF('Données par municipalité'!$D$6:$D$1113,Évolution!$T183,'Données par municipalité'!$O$6:$O$1113)*1000000/365)/SUMIF('Données par municipalité'!$D$6:$D$1113,Évolution!$T183,'Données par municipalité'!$K$6:$K$1113)</f>
        <v>245.00026866120243</v>
      </c>
      <c r="AI183" s="511">
        <f t="shared" si="11"/>
        <v>9.9756024190553383</v>
      </c>
      <c r="AJ183" s="510"/>
      <c r="AK183" s="510">
        <f>AVERAGEIF('Données par réseau'!$D$6:$D$748,Évolution!$T183,'Données par réseau'!$I$6:$I$748)</f>
        <v>69.359649122807014</v>
      </c>
      <c r="AL183" s="511"/>
      <c r="AM183" s="510">
        <f>(SUMIF('Données par municipalité'!$D$6:$D$1113,Évolution!$T183,'Données par municipalité'!$N$6:$N$1113)*1000000/365)/SUMIF('Données par municipalité'!$D$6:$D$1113,Évolution!$T183,'Données par municipalité'!$K$6:$K$1113)</f>
        <v>463.9465398449197</v>
      </c>
      <c r="AN183" s="510">
        <f>SUMIFS('Données par municipalité'!$H$6:$H$1113,'Données par municipalité'!$D$6:$D$1113,Évolution!T183)</f>
        <v>1</v>
      </c>
      <c r="AO183" s="447">
        <f>SUMIFS('Données par municipalité'!$I$6:$I$1113,'Données par municipalité'!$D$6:$D$1113,Évolution!T183)</f>
        <v>171752</v>
      </c>
      <c r="BS183" s="486">
        <v>84060</v>
      </c>
      <c r="BT183" s="479" t="s">
        <v>863</v>
      </c>
      <c r="BU183" s="479">
        <v>7</v>
      </c>
      <c r="BV183" s="476" t="s">
        <v>1187</v>
      </c>
      <c r="BW183" s="476" t="s">
        <v>1187</v>
      </c>
      <c r="BX183" s="476" t="s">
        <v>1187</v>
      </c>
      <c r="BY183" s="476" t="s">
        <v>1187</v>
      </c>
      <c r="BZ183" s="476" t="s">
        <v>1187</v>
      </c>
      <c r="CA183" s="476" t="s">
        <v>1187</v>
      </c>
      <c r="CB183" s="476" t="s">
        <v>1187</v>
      </c>
      <c r="CC183" s="476" t="s">
        <v>1187</v>
      </c>
      <c r="CD183" s="476" t="s">
        <v>1187</v>
      </c>
      <c r="CE183" s="476" t="s">
        <v>1188</v>
      </c>
      <c r="CF183" s="476" t="s">
        <v>1188</v>
      </c>
      <c r="CG183" s="476" t="s">
        <v>1187</v>
      </c>
      <c r="CH183" s="476" t="s">
        <v>1187</v>
      </c>
      <c r="CI183" s="476" t="s">
        <v>1187</v>
      </c>
      <c r="CJ183" s="476" t="s">
        <v>1187</v>
      </c>
      <c r="CK183" s="476" t="s">
        <v>1187</v>
      </c>
      <c r="CL183" s="476" t="s">
        <v>1187</v>
      </c>
      <c r="CM183" s="476" t="str">
        <f>IF(VLOOKUP(BS183,'Données par municipalité'!$B$6:$E$1113,4,FALSE)="","non","oui")</f>
        <v>non</v>
      </c>
      <c r="CN183" s="410">
        <v>298.35281210477399</v>
      </c>
      <c r="CO183" s="410">
        <v>218.13927465015192</v>
      </c>
      <c r="CP183" s="410"/>
      <c r="CQ183" s="410"/>
      <c r="CR183" s="410"/>
      <c r="CS183" s="410" t="s">
        <v>1124</v>
      </c>
      <c r="CT183" s="410"/>
      <c r="CU183" s="410" t="s">
        <v>1124</v>
      </c>
      <c r="CV183" s="410" t="str">
        <f>IF(VLOOKUP(BS183,'Données par municipalité'!$B$6:$F$1113,4,FALSE)="","",VLOOKUP(BS183,'Données par municipalité'!$B$6:$F$1113,4,FALSE))</f>
        <v/>
      </c>
      <c r="CW183" s="476" t="s">
        <v>4723</v>
      </c>
      <c r="CX183" s="483">
        <v>0</v>
      </c>
      <c r="CY183" s="483" t="s">
        <v>1124</v>
      </c>
      <c r="CZ183" s="483" t="s">
        <v>1124</v>
      </c>
      <c r="DA183" s="483" t="s">
        <v>1124</v>
      </c>
      <c r="DB183" s="483" t="s">
        <v>1124</v>
      </c>
      <c r="DC183" s="483" t="s">
        <v>1124</v>
      </c>
      <c r="DD183" s="483" t="s">
        <v>1124</v>
      </c>
      <c r="DE183" s="483" t="str">
        <f>IFERROR(SUM(VLOOKUP($BS183,'État &amp; Plan d''action'!$B$6:$Z$1113,18,FALSE),VLOOKUP($BS183,'État &amp; Plan d''action'!$B$6:$Z$1113,20,FALSE))/(VLOOKUP($BS183,'Données par municipalité'!$B$4:$L$1113,11,FALSE)),"")</f>
        <v/>
      </c>
      <c r="DF183" s="483" t="str">
        <f>IFERROR(SUM(VLOOKUP($BS183,'État &amp; Plan d''action'!$B$6:$Z$1113,19,FALSE),VLOOKUP($BS183,'État &amp; Plan d''action'!$B$6:$Z$1113,21,FALSE))/(VLOOKUP($BS183,'Données par municipalité'!$B$4:$L$1113,11,FALSE)),"")</f>
        <v/>
      </c>
      <c r="DG183" s="476" t="s">
        <v>4723</v>
      </c>
      <c r="DH183" s="484">
        <v>4</v>
      </c>
      <c r="DI183" s="484" t="s">
        <v>1124</v>
      </c>
      <c r="DJ183" s="484">
        <v>0</v>
      </c>
      <c r="DK183" s="484">
        <v>8</v>
      </c>
      <c r="DL183" s="484" t="s">
        <v>1124</v>
      </c>
      <c r="DM183" s="484" t="s">
        <v>1124</v>
      </c>
      <c r="DN183" s="484" t="s">
        <v>1124</v>
      </c>
      <c r="DO183" s="484" t="s">
        <v>1124</v>
      </c>
      <c r="DP183" s="484" t="s">
        <v>1124</v>
      </c>
      <c r="DQ183" s="484" t="str">
        <f>IF(VLOOKUP($BS183,'État &amp; Plan d''action'!$B$6:$AJ$1113,28,FALSE)="","",VLOOKUP($BS183,'État &amp; Plan d''action'!$B$6:$AJ$1113,28,FALSE))</f>
        <v/>
      </c>
      <c r="DR183" s="70" t="str">
        <f>IF(VLOOKUP($BS183,'État &amp; Plan d''action'!$B$6:$AJ$1113,29,FALSE)="","",VLOOKUP($BS183,'État &amp; Plan d''action'!$B$6:$AJ$1113,29,FALSE))</f>
        <v/>
      </c>
      <c r="DS183" s="70" t="str">
        <f>IF(VLOOKUP($BS183,'État &amp; Plan d''action'!$B$6:$AJ$1113,30,FALSE)="","",VLOOKUP($BS183,'État &amp; Plan d''action'!$B$6:$AJ$1113,30,FALSE))</f>
        <v/>
      </c>
      <c r="DT183" s="70" t="s">
        <v>1124</v>
      </c>
      <c r="DU183" s="485" t="s">
        <v>1124</v>
      </c>
      <c r="DV183" s="485" t="s">
        <v>1124</v>
      </c>
      <c r="DW183" s="70" t="s">
        <v>1124</v>
      </c>
      <c r="DX183" s="70" t="s">
        <v>1124</v>
      </c>
      <c r="DY183" s="70" t="s">
        <v>1124</v>
      </c>
      <c r="DZ183" s="70" t="str">
        <f>VLOOKUP($BS183,'État &amp; Plan d''action'!$B$6:$AH$1113,31,FALSE)</f>
        <v/>
      </c>
      <c r="EA183" s="70" t="str">
        <f>VLOOKUP($BS183,'État &amp; Plan d''action'!$B$6:$AH$1113,32,FALSE)</f>
        <v/>
      </c>
      <c r="EB183" s="70" t="str">
        <f>VLOOKUP($BS183,'État &amp; Plan d''action'!$B$6:$AH$1113,33,FALSE)</f>
        <v/>
      </c>
      <c r="EC183" s="70" t="s">
        <v>1124</v>
      </c>
      <c r="ED183" s="70" t="s">
        <v>1124</v>
      </c>
      <c r="EE183" s="70" t="s">
        <v>1124</v>
      </c>
      <c r="EF183" s="70" t="s">
        <v>1124</v>
      </c>
      <c r="EG183" s="70" t="s">
        <v>1124</v>
      </c>
      <c r="EH183" s="72"/>
      <c r="EI183" s="72">
        <v>1425</v>
      </c>
    </row>
    <row r="184" spans="1:139" ht="15.75" customHeight="1" x14ac:dyDescent="0.35">
      <c r="A184" s="1"/>
      <c r="B184" s="47"/>
      <c r="C184" s="377">
        <v>14</v>
      </c>
      <c r="D184" s="378" t="s">
        <v>1123</v>
      </c>
      <c r="E184" s="379" t="s">
        <v>1174</v>
      </c>
      <c r="F184" s="380">
        <v>50</v>
      </c>
      <c r="G184" s="550">
        <v>44</v>
      </c>
      <c r="H184" s="550"/>
      <c r="I184" s="381">
        <v>2.4149878548945014</v>
      </c>
      <c r="J184" s="382">
        <v>234.61102449464582</v>
      </c>
      <c r="K184" s="548">
        <v>359.48329838128825</v>
      </c>
      <c r="L184" s="548"/>
      <c r="M184" s="382">
        <v>58.7499860310635</v>
      </c>
      <c r="N184" s="401" t="str">
        <f t="shared" si="9"/>
        <v/>
      </c>
      <c r="O184" s="70"/>
      <c r="P184" s="70"/>
      <c r="Q184" s="70"/>
      <c r="R184" s="70"/>
      <c r="T184" s="358">
        <v>14</v>
      </c>
      <c r="U184" s="358" t="s">
        <v>1123</v>
      </c>
      <c r="V184" s="358" t="s">
        <v>1174</v>
      </c>
      <c r="W184" s="447">
        <f>SUMIF('Données par réseau'!$D$6:$D$748,$C184,'Données par réseau'!$W$6:$W$748)</f>
        <v>7629.1620452400439</v>
      </c>
      <c r="X184" s="447">
        <f>SUMIF('Données par réseau'!$D$6:$D$748,$C184,'Données par réseau'!$X$6:$X$748)</f>
        <v>3159.089197810199</v>
      </c>
      <c r="Y184" s="447">
        <f>SUMIF('Données par réseau'!$D$6:$D$748,$C184,'Données par réseau'!$N$6:$N$748)</f>
        <v>2598.7210000000005</v>
      </c>
      <c r="Z184" s="447">
        <f>SUMIF('État &amp; Plan d''action'!$D$6:$D$1113,$C184,'État &amp; Plan d''action'!$S$6:$S$1113)+SUMIF('État &amp; Plan d''action'!$D$6:$D$1113,$C184,'État &amp; Plan d''action'!$U$6:$U$1113)</f>
        <v>1451.2104999999999</v>
      </c>
      <c r="AA184" s="447">
        <f>SUMIF('Données par réseau'!$D$6:$D$748,$C184,'Données par réseau'!$V$6:$V$748)</f>
        <v>55457.093466999992</v>
      </c>
      <c r="AB184" s="507">
        <f>SUMIF('Données par réseau'!$D$6:$D$748,$C184,'Données par réseau'!$M$6:$M$748)</f>
        <v>422654.52403351798</v>
      </c>
      <c r="AC184" s="507">
        <f>SUMIF('État &amp; Plan d''action'!$D$6:$D$1113,C184,'État &amp; Plan d''action'!$AC$6:$AC$1113)</f>
        <v>290</v>
      </c>
      <c r="AD184" s="508">
        <f>SUMIF('État &amp; Plan d''action'!$D$6:$D$1113,C184,'État &amp; Plan d''action'!$AD$6:$AD$1113)</f>
        <v>59</v>
      </c>
      <c r="AE184" s="508">
        <f>SUMIF('État &amp; Plan d''action'!$D$6:$D$1113,C184,'État &amp; Plan d''action'!$AE$6:$AE$1113)</f>
        <v>81</v>
      </c>
      <c r="AF184" s="447">
        <f t="shared" si="8"/>
        <v>430</v>
      </c>
      <c r="AG184" s="509">
        <f t="shared" si="10"/>
        <v>0.5584325904935542</v>
      </c>
      <c r="AH184" s="510">
        <f>(SUMIF('Données par municipalité'!$D$6:$D$1113,Évolution!$T184,'Données par municipalité'!$O$6:$O$1113)*1000000/365)/SUMIF('Données par municipalité'!$D$6:$D$1113,Évolution!$T184,'Données par municipalité'!$K$6:$K$1113)</f>
        <v>234.61102449464582</v>
      </c>
      <c r="AI184" s="511">
        <f t="shared" si="11"/>
        <v>2.4149878548945014</v>
      </c>
      <c r="AJ184" s="510"/>
      <c r="AK184" s="510">
        <f>AVERAGEIF('Données par réseau'!$D$6:$D$748,Évolution!$T184,'Données par réseau'!$I$6:$I$748)</f>
        <v>58.7499860310635</v>
      </c>
      <c r="AL184" s="511"/>
      <c r="AM184" s="510">
        <f>(SUMIF('Données par municipalité'!$D$6:$D$1113,Évolution!$T184,'Données par municipalité'!$N$6:$N$1113)*1000000/365)/SUMIF('Données par municipalité'!$D$6:$D$1113,Évolution!$T184,'Données par municipalité'!$K$6:$K$1113)</f>
        <v>359.48329838128825</v>
      </c>
      <c r="AN184" s="510">
        <f>SUMIFS('Données par municipalité'!$H$6:$H$1113,'Données par municipalité'!$D$6:$D$1113,Évolution!T184)</f>
        <v>54</v>
      </c>
      <c r="AO184" s="447">
        <f>SUMIFS('Données par municipalité'!$I$6:$I$1113,'Données par municipalité'!$D$6:$D$1113,Évolution!T184)</f>
        <v>174013</v>
      </c>
      <c r="BS184" s="486">
        <v>38047</v>
      </c>
      <c r="BT184" s="479" t="s">
        <v>332</v>
      </c>
      <c r="BU184" s="479">
        <v>17</v>
      </c>
      <c r="BV184" s="476" t="s">
        <v>1187</v>
      </c>
      <c r="BW184" s="476" t="s">
        <v>1187</v>
      </c>
      <c r="BX184" s="476" t="s">
        <v>1187</v>
      </c>
      <c r="BY184" s="476" t="s">
        <v>1187</v>
      </c>
      <c r="BZ184" s="476" t="s">
        <v>1187</v>
      </c>
      <c r="CA184" s="476" t="s">
        <v>1187</v>
      </c>
      <c r="CB184" s="476" t="s">
        <v>1187</v>
      </c>
      <c r="CC184" s="476" t="s">
        <v>1187</v>
      </c>
      <c r="CD184" s="476" t="s">
        <v>1187</v>
      </c>
      <c r="CE184" s="476" t="s">
        <v>1188</v>
      </c>
      <c r="CF184" s="476" t="s">
        <v>1188</v>
      </c>
      <c r="CG184" s="476" t="s">
        <v>1188</v>
      </c>
      <c r="CH184" s="476" t="s">
        <v>1188</v>
      </c>
      <c r="CI184" s="476" t="s">
        <v>1188</v>
      </c>
      <c r="CJ184" s="476" t="s">
        <v>1188</v>
      </c>
      <c r="CK184" s="476" t="s">
        <v>1188</v>
      </c>
      <c r="CL184" s="476" t="s">
        <v>1188</v>
      </c>
      <c r="CM184" s="476" t="str">
        <f>IF(VLOOKUP(BS184,'Données par municipalité'!$B$6:$E$1113,4,FALSE)="","non","oui")</f>
        <v>oui</v>
      </c>
      <c r="CN184" s="410">
        <v>300.52973299089109</v>
      </c>
      <c r="CO184" s="410">
        <v>315.23794884818193</v>
      </c>
      <c r="CP184" s="410">
        <v>315.49820951514801</v>
      </c>
      <c r="CQ184" s="410">
        <v>280.76045302219683</v>
      </c>
      <c r="CR184" s="410">
        <v>262.40576467916446</v>
      </c>
      <c r="CS184" s="410">
        <v>251.57515882777281</v>
      </c>
      <c r="CT184" s="410">
        <v>242.0329947819879</v>
      </c>
      <c r="CU184" s="410">
        <v>310</v>
      </c>
      <c r="CV184" s="410">
        <f>IF(VLOOKUP(BS184,'Données par municipalité'!$B$6:$F$1113,4,FALSE)="","",VLOOKUP(BS184,'Données par municipalité'!$B$6:$F$1113,4,FALSE))</f>
        <v>296</v>
      </c>
      <c r="CW184" s="476" t="s">
        <v>4723</v>
      </c>
      <c r="CX184" s="483">
        <v>0</v>
      </c>
      <c r="CY184" s="483">
        <v>0</v>
      </c>
      <c r="CZ184" s="483">
        <v>0</v>
      </c>
      <c r="DA184" s="483">
        <v>0</v>
      </c>
      <c r="DB184" s="483">
        <v>0</v>
      </c>
      <c r="DC184" s="483">
        <v>0</v>
      </c>
      <c r="DD184" s="483">
        <v>0</v>
      </c>
      <c r="DE184" s="483">
        <f>IFERROR(SUM(VLOOKUP($BS184,'État &amp; Plan d''action'!$B$6:$Z$1113,18,FALSE),VLOOKUP($BS184,'État &amp; Plan d''action'!$B$6:$Z$1113,20,FALSE))/(VLOOKUP($BS184,'Données par municipalité'!$B$4:$L$1113,11,FALSE)),"")</f>
        <v>0</v>
      </c>
      <c r="DF184" s="483">
        <f>IFERROR(SUM(VLOOKUP($BS184,'État &amp; Plan d''action'!$B$6:$Z$1113,19,FALSE),VLOOKUP($BS184,'État &amp; Plan d''action'!$B$6:$Z$1113,21,FALSE))/(VLOOKUP($BS184,'Données par municipalité'!$B$4:$L$1113,11,FALSE)),"")</f>
        <v>0</v>
      </c>
      <c r="DG184" s="476" t="s">
        <v>4723</v>
      </c>
      <c r="DH184" s="484">
        <v>0</v>
      </c>
      <c r="DI184" s="484">
        <v>1</v>
      </c>
      <c r="DJ184" s="484">
        <v>0</v>
      </c>
      <c r="DK184" s="484">
        <v>0</v>
      </c>
      <c r="DL184" s="484">
        <v>0</v>
      </c>
      <c r="DM184" s="484">
        <v>0</v>
      </c>
      <c r="DN184" s="484">
        <v>0</v>
      </c>
      <c r="DO184" s="484">
        <v>0</v>
      </c>
      <c r="DP184" s="484">
        <v>0</v>
      </c>
      <c r="DQ184" s="484">
        <f>IF(VLOOKUP($BS184,'État &amp; Plan d''action'!$B$6:$AJ$1113,28,FALSE)="","",VLOOKUP($BS184,'État &amp; Plan d''action'!$B$6:$AJ$1113,28,FALSE))</f>
        <v>0</v>
      </c>
      <c r="DR184" s="70">
        <f>IF(VLOOKUP($BS184,'État &amp; Plan d''action'!$B$6:$AJ$1113,29,FALSE)="","",VLOOKUP($BS184,'État &amp; Plan d''action'!$B$6:$AJ$1113,29,FALSE))</f>
        <v>0</v>
      </c>
      <c r="DS184" s="70">
        <f>IF(VLOOKUP($BS184,'État &amp; Plan d''action'!$B$6:$AJ$1113,30,FALSE)="","",VLOOKUP($BS184,'État &amp; Plan d''action'!$B$6:$AJ$1113,30,FALSE))</f>
        <v>0</v>
      </c>
      <c r="DT184" s="70">
        <v>221</v>
      </c>
      <c r="DU184" s="485">
        <v>1.2571161517162508</v>
      </c>
      <c r="DV184" s="485">
        <v>2.3820280981946889</v>
      </c>
      <c r="DW184" s="70">
        <v>0</v>
      </c>
      <c r="DX184" s="70">
        <v>0</v>
      </c>
      <c r="DY184" s="70">
        <v>0</v>
      </c>
      <c r="DZ184" s="70">
        <f>VLOOKUP($BS184,'État &amp; Plan d''action'!$B$6:$AH$1113,31,FALSE)</f>
        <v>0</v>
      </c>
      <c r="EA184" s="70">
        <f>VLOOKUP($BS184,'État &amp; Plan d''action'!$B$6:$AH$1113,32,FALSE)</f>
        <v>0</v>
      </c>
      <c r="EB184" s="70">
        <f>VLOOKUP($BS184,'État &amp; Plan d''action'!$B$6:$AH$1113,33,FALSE)</f>
        <v>0</v>
      </c>
      <c r="EC184" s="70">
        <v>4.5010000000000003</v>
      </c>
      <c r="ED184" s="70">
        <v>0</v>
      </c>
      <c r="EE184" s="70">
        <v>0</v>
      </c>
      <c r="EF184" s="70">
        <v>0</v>
      </c>
      <c r="EG184" s="70">
        <v>0</v>
      </c>
      <c r="EH184" s="72">
        <v>59</v>
      </c>
      <c r="EI184" s="72">
        <v>671</v>
      </c>
    </row>
    <row r="185" spans="1:139" ht="15.75" customHeight="1" x14ac:dyDescent="0.35">
      <c r="A185" s="1"/>
      <c r="B185" s="47"/>
      <c r="C185" s="377">
        <v>15</v>
      </c>
      <c r="D185" s="378" t="s">
        <v>1123</v>
      </c>
      <c r="E185" s="379" t="s">
        <v>1175</v>
      </c>
      <c r="F185" s="380">
        <v>56</v>
      </c>
      <c r="G185" s="550">
        <v>52</v>
      </c>
      <c r="H185" s="550"/>
      <c r="I185" s="381">
        <v>4.0898958562806769</v>
      </c>
      <c r="J185" s="382">
        <v>251.9658276002562</v>
      </c>
      <c r="K185" s="548">
        <v>439.69358442051737</v>
      </c>
      <c r="L185" s="548"/>
      <c r="M185" s="382">
        <v>57.406256788190113</v>
      </c>
      <c r="N185" s="401" t="str">
        <f t="shared" si="9"/>
        <v/>
      </c>
      <c r="O185" s="70"/>
      <c r="P185" s="70"/>
      <c r="Q185" s="70"/>
      <c r="R185" s="70"/>
      <c r="T185" s="358">
        <v>15</v>
      </c>
      <c r="U185" s="358" t="s">
        <v>1123</v>
      </c>
      <c r="V185" s="358" t="s">
        <v>1175</v>
      </c>
      <c r="W185" s="447">
        <f>SUMIF('Données par réseau'!$D$6:$D$748,$C185,'Données par réseau'!$W$6:$W$748)</f>
        <v>15720.637589625963</v>
      </c>
      <c r="X185" s="447">
        <f>SUMIF('Données par réseau'!$D$6:$D$748,$C185,'Données par réseau'!$X$6:$X$748)</f>
        <v>3843.7745463578144</v>
      </c>
      <c r="Y185" s="447">
        <f>SUMIF('Données par réseau'!$D$6:$D$748,$C185,'Données par réseau'!$N$6:$N$748)</f>
        <v>2741.5481399999999</v>
      </c>
      <c r="Z185" s="447">
        <f>SUMIF('État &amp; Plan d''action'!$D$6:$D$1113,$C185,'État &amp; Plan d''action'!$S$6:$S$1113)+SUMIF('État &amp; Plan d''action'!$D$6:$D$1113,$C185,'État &amp; Plan d''action'!$U$6:$U$1113)</f>
        <v>2051.2642499999997</v>
      </c>
      <c r="AA185" s="447">
        <f>SUMIF('Données par réseau'!$D$6:$D$748,$C185,'Données par réseau'!$V$6:$V$748)</f>
        <v>65210.301811217207</v>
      </c>
      <c r="AB185" s="507">
        <f>SUMIF('Données par réseau'!$D$6:$D$748,$C185,'Données par réseau'!$M$6:$M$748)</f>
        <v>406324.69396177476</v>
      </c>
      <c r="AC185" s="507">
        <f>SUMIF('État &amp; Plan d''action'!$D$6:$D$1113,C185,'État &amp; Plan d''action'!$AC$6:$AC$1113)</f>
        <v>346</v>
      </c>
      <c r="AD185" s="508">
        <f>SUMIF('État &amp; Plan d''action'!$D$6:$D$1113,C185,'État &amp; Plan d''action'!$AD$6:$AD$1113)</f>
        <v>91</v>
      </c>
      <c r="AE185" s="508">
        <f>SUMIF('État &amp; Plan d''action'!$D$6:$D$1113,C185,'État &amp; Plan d''action'!$AE$6:$AE$1113)</f>
        <v>92</v>
      </c>
      <c r="AF185" s="447">
        <f t="shared" si="8"/>
        <v>529</v>
      </c>
      <c r="AG185" s="509">
        <f t="shared" si="10"/>
        <v>0.7482138358511552</v>
      </c>
      <c r="AH185" s="510">
        <f>(SUMIF('Données par municipalité'!$D$6:$D$1113,Évolution!$T185,'Données par municipalité'!$O$6:$O$1113)*1000000/365)/SUMIF('Données par municipalité'!$D$6:$D$1113,Évolution!$T185,'Données par municipalité'!$K$6:$K$1113)</f>
        <v>251.9658276002562</v>
      </c>
      <c r="AI185" s="511">
        <f t="shared" si="11"/>
        <v>4.0898958562806769</v>
      </c>
      <c r="AJ185" s="510"/>
      <c r="AK185" s="510">
        <f>AVERAGEIF('Données par réseau'!$D$6:$D$748,Évolution!$T185,'Données par réseau'!$I$6:$I$748)</f>
        <v>57.406256788190113</v>
      </c>
      <c r="AL185" s="511"/>
      <c r="AM185" s="510">
        <f>(SUMIF('Données par municipalité'!$D$6:$D$1113,Évolution!$T185,'Données par municipalité'!$N$6:$N$1113)*1000000/365)/SUMIF('Données par municipalité'!$D$6:$D$1113,Évolution!$T185,'Données par municipalité'!$K$6:$K$1113)</f>
        <v>439.69358442051737</v>
      </c>
      <c r="AN185" s="510">
        <f>SUMIFS('Données par municipalité'!$H$6:$H$1113,'Données par municipalité'!$D$6:$D$1113,Évolution!T185)</f>
        <v>80</v>
      </c>
      <c r="AO185" s="447">
        <f>SUMIFS('Données par municipalité'!$I$6:$I$1113,'Données par municipalité'!$D$6:$D$1113,Évolution!T185)</f>
        <v>177484</v>
      </c>
      <c r="BS185" s="486">
        <v>22010</v>
      </c>
      <c r="BT185" s="479" t="s">
        <v>154</v>
      </c>
      <c r="BU185" s="479">
        <v>3</v>
      </c>
      <c r="BV185" s="476" t="s">
        <v>1187</v>
      </c>
      <c r="BW185" s="476" t="s">
        <v>1187</v>
      </c>
      <c r="BX185" s="476" t="s">
        <v>1187</v>
      </c>
      <c r="BY185" s="476" t="s">
        <v>1187</v>
      </c>
      <c r="BZ185" s="476" t="s">
        <v>1187</v>
      </c>
      <c r="CA185" s="476" t="s">
        <v>1187</v>
      </c>
      <c r="CB185" s="476" t="s">
        <v>1187</v>
      </c>
      <c r="CC185" s="476" t="s">
        <v>1187</v>
      </c>
      <c r="CD185" s="476" t="s">
        <v>1187</v>
      </c>
      <c r="CE185" s="476" t="s">
        <v>1188</v>
      </c>
      <c r="CF185" s="476" t="s">
        <v>1188</v>
      </c>
      <c r="CG185" s="476" t="s">
        <v>1188</v>
      </c>
      <c r="CH185" s="476" t="s">
        <v>1188</v>
      </c>
      <c r="CI185" s="476" t="s">
        <v>1188</v>
      </c>
      <c r="CJ185" s="476" t="s">
        <v>1188</v>
      </c>
      <c r="CK185" s="476" t="s">
        <v>1188</v>
      </c>
      <c r="CL185" s="476" t="s">
        <v>1188</v>
      </c>
      <c r="CM185" s="476" t="str">
        <f>IF(VLOOKUP(BS185,'Données par municipalité'!$B$6:$E$1113,4,FALSE)="","non","oui")</f>
        <v>oui</v>
      </c>
      <c r="CN185" s="410">
        <v>415.06871419310198</v>
      </c>
      <c r="CO185" s="410">
        <v>512.3759892943425</v>
      </c>
      <c r="CP185" s="410">
        <v>308.84184308841844</v>
      </c>
      <c r="CQ185" s="410">
        <v>286.10083428130582</v>
      </c>
      <c r="CR185" s="410">
        <v>327.72589123437643</v>
      </c>
      <c r="CS185" s="410">
        <v>510.70161266160113</v>
      </c>
      <c r="CT185" s="410">
        <v>280.61908185516921</v>
      </c>
      <c r="CU185" s="410">
        <v>273</v>
      </c>
      <c r="CV185" s="410">
        <f>IF(VLOOKUP(BS185,'Données par municipalité'!$B$6:$F$1113,4,FALSE)="","",VLOOKUP(BS185,'Données par municipalité'!$B$6:$F$1113,4,FALSE))</f>
        <v>286</v>
      </c>
      <c r="CW185" s="476" t="s">
        <v>4723</v>
      </c>
      <c r="CX185" s="483">
        <v>0.3</v>
      </c>
      <c r="CY185" s="483">
        <v>0</v>
      </c>
      <c r="CZ185" s="483">
        <v>0</v>
      </c>
      <c r="DA185" s="483">
        <v>0</v>
      </c>
      <c r="DB185" s="483">
        <v>0</v>
      </c>
      <c r="DC185" s="483">
        <v>0.11</v>
      </c>
      <c r="DD185" s="483">
        <v>1.3455095314145911</v>
      </c>
      <c r="DE185" s="483">
        <f>IFERROR(SUM(VLOOKUP($BS185,'État &amp; Plan d''action'!$B$6:$Z$1113,18,FALSE),VLOOKUP($BS185,'État &amp; Plan d''action'!$B$6:$Z$1113,20,FALSE))/(VLOOKUP($BS185,'Données par municipalité'!$B$4:$L$1113,11,FALSE)),"")</f>
        <v>0</v>
      </c>
      <c r="DF185" s="483">
        <f>IFERROR(SUM(VLOOKUP($BS185,'État &amp; Plan d''action'!$B$6:$Z$1113,19,FALSE),VLOOKUP($BS185,'État &amp; Plan d''action'!$B$6:$Z$1113,21,FALSE))/(VLOOKUP($BS185,'Données par municipalité'!$B$4:$L$1113,11,FALSE)),"")</f>
        <v>0</v>
      </c>
      <c r="DG185" s="476" t="s">
        <v>4723</v>
      </c>
      <c r="DH185" s="484">
        <v>19</v>
      </c>
      <c r="DI185" s="484">
        <v>13</v>
      </c>
      <c r="DJ185" s="484">
        <v>14</v>
      </c>
      <c r="DK185" s="484">
        <v>25</v>
      </c>
      <c r="DL185" s="484">
        <v>15</v>
      </c>
      <c r="DM185" s="484">
        <v>11</v>
      </c>
      <c r="DN185" s="484">
        <v>0</v>
      </c>
      <c r="DO185" s="484">
        <v>2</v>
      </c>
      <c r="DP185" s="484">
        <v>12</v>
      </c>
      <c r="DQ185" s="484">
        <f>IF(VLOOKUP($BS185,'État &amp; Plan d''action'!$B$6:$AJ$1113,28,FALSE)="","",VLOOKUP($BS185,'État &amp; Plan d''action'!$B$6:$AJ$1113,28,FALSE))</f>
        <v>1</v>
      </c>
      <c r="DR185" s="70">
        <f>IF(VLOOKUP($BS185,'État &amp; Plan d''action'!$B$6:$AJ$1113,29,FALSE)="","",VLOOKUP($BS185,'État &amp; Plan d''action'!$B$6:$AJ$1113,29,FALSE))</f>
        <v>6</v>
      </c>
      <c r="DS185" s="70">
        <f>IF(VLOOKUP($BS185,'État &amp; Plan d''action'!$B$6:$AJ$1113,30,FALSE)="","",VLOOKUP($BS185,'État &amp; Plan d''action'!$B$6:$AJ$1113,30,FALSE))</f>
        <v>0</v>
      </c>
      <c r="DT185" s="70">
        <v>220</v>
      </c>
      <c r="DU185" s="485">
        <v>0.56260304206691669</v>
      </c>
      <c r="DV185" s="485">
        <v>0.73418045221270489</v>
      </c>
      <c r="DW185" s="70">
        <v>0</v>
      </c>
      <c r="DX185" s="70">
        <v>1</v>
      </c>
      <c r="DY185" s="70">
        <v>2</v>
      </c>
      <c r="DZ185" s="70">
        <f>VLOOKUP($BS185,'État &amp; Plan d''action'!$B$6:$AH$1113,31,FALSE)</f>
        <v>3</v>
      </c>
      <c r="EA185" s="70">
        <f>VLOOKUP($BS185,'État &amp; Plan d''action'!$B$6:$AH$1113,32,FALSE)</f>
        <v>3</v>
      </c>
      <c r="EB185" s="70">
        <f>VLOOKUP($BS185,'État &amp; Plan d''action'!$B$6:$AH$1113,33,FALSE)</f>
        <v>0</v>
      </c>
      <c r="EC185" s="70">
        <v>0</v>
      </c>
      <c r="ED185" s="70">
        <v>0</v>
      </c>
      <c r="EE185" s="70">
        <v>39.597000000000001</v>
      </c>
      <c r="EF185" s="70">
        <v>0</v>
      </c>
      <c r="EG185" s="70">
        <v>0</v>
      </c>
      <c r="EH185" s="72">
        <v>55</v>
      </c>
      <c r="EI185" s="72">
        <v>2118</v>
      </c>
    </row>
    <row r="186" spans="1:139" ht="15.75" customHeight="1" x14ac:dyDescent="0.35">
      <c r="A186" s="1"/>
      <c r="B186" s="47"/>
      <c r="C186" s="377">
        <v>16</v>
      </c>
      <c r="D186" s="378" t="s">
        <v>1123</v>
      </c>
      <c r="E186" s="379" t="s">
        <v>1176</v>
      </c>
      <c r="F186" s="380">
        <v>114</v>
      </c>
      <c r="G186" s="550">
        <v>62</v>
      </c>
      <c r="H186" s="550"/>
      <c r="I186" s="381">
        <v>4.4631067921772845</v>
      </c>
      <c r="J186" s="382">
        <v>254.13885965397279</v>
      </c>
      <c r="K186" s="548">
        <v>448.93672846033456</v>
      </c>
      <c r="L186" s="548"/>
      <c r="M186" s="382">
        <v>59.589600670275409</v>
      </c>
      <c r="N186" s="401" t="str">
        <f t="shared" si="9"/>
        <v/>
      </c>
      <c r="O186" s="70"/>
      <c r="P186" s="70"/>
      <c r="Q186" s="70"/>
      <c r="R186" s="70"/>
      <c r="T186" s="358">
        <v>16</v>
      </c>
      <c r="U186" s="358" t="s">
        <v>1123</v>
      </c>
      <c r="V186" s="358" t="s">
        <v>1176</v>
      </c>
      <c r="W186" s="447">
        <f>SUMIF('Données par réseau'!$D$6:$D$748,$C186,'Données par réseau'!$W$6:$W$748)</f>
        <v>29783.215960647314</v>
      </c>
      <c r="X186" s="447">
        <f>SUMIF('Données par réseau'!$D$6:$D$748,$C186,'Données par réseau'!$X$6:$X$748)</f>
        <v>6673.2026248733009</v>
      </c>
      <c r="Y186" s="447">
        <f>SUMIF('Données par réseau'!$D$6:$D$748,$C186,'Données par réseau'!$N$6:$N$748)</f>
        <v>5386.4669999999987</v>
      </c>
      <c r="Z186" s="447">
        <f>SUMIF('État &amp; Plan d''action'!$D$6:$D$1113,$C186,'État &amp; Plan d''action'!$S$6:$S$1113)+SUMIF('État &amp; Plan d''action'!$D$6:$D$1113,$C186,'État &amp; Plan d''action'!$U$6:$U$1113)</f>
        <v>3869.9229999999998</v>
      </c>
      <c r="AA186" s="447">
        <f>SUMIF('Données par réseau'!$D$6:$D$748,$C186,'Données par réseau'!$V$6:$V$748)</f>
        <v>146432.50251552599</v>
      </c>
      <c r="AB186" s="507">
        <f>SUMIF('Données par réseau'!$D$6:$D$748,$C186,'Données par réseau'!$M$6:$M$748)</f>
        <v>893633.58568277117</v>
      </c>
      <c r="AC186" s="507">
        <f>SUMIF('État &amp; Plan d''action'!$D$6:$D$1113,C186,'État &amp; Plan d''action'!$AC$6:$AC$1113)</f>
        <v>697</v>
      </c>
      <c r="AD186" s="508">
        <f>SUMIF('État &amp; Plan d''action'!$D$6:$D$1113,C186,'État &amp; Plan d''action'!$AD$6:$AD$1113)</f>
        <v>99</v>
      </c>
      <c r="AE186" s="508">
        <f>SUMIF('État &amp; Plan d''action'!$D$6:$D$1113,C186,'État &amp; Plan d''action'!$AE$6:$AE$1113)</f>
        <v>69</v>
      </c>
      <c r="AF186" s="447">
        <f t="shared" si="8"/>
        <v>865</v>
      </c>
      <c r="AG186" s="509">
        <f t="shared" si="10"/>
        <v>0.71845293027878954</v>
      </c>
      <c r="AH186" s="510">
        <f>(SUMIF('Données par municipalité'!$D$6:$D$1113,Évolution!$T186,'Données par municipalité'!$O$6:$O$1113)*1000000/365)/SUMIF('Données par municipalité'!$D$6:$D$1113,Évolution!$T186,'Données par municipalité'!$K$6:$K$1113)</f>
        <v>254.13885965397279</v>
      </c>
      <c r="AI186" s="511">
        <f t="shared" si="11"/>
        <v>4.4631067921772845</v>
      </c>
      <c r="AJ186" s="510"/>
      <c r="AK186" s="510">
        <f>AVERAGEIF('Données par réseau'!$D$6:$D$748,Évolution!$T186,'Données par réseau'!$I$6:$I$748)</f>
        <v>59.589600670275409</v>
      </c>
      <c r="AL186" s="511"/>
      <c r="AM186" s="510">
        <f>(SUMIF('Données par municipalité'!$D$6:$D$1113,Évolution!$T186,'Données par municipalité'!$N$6:$N$1113)*1000000/365)/SUMIF('Données par municipalité'!$D$6:$D$1113,Évolution!$T186,'Données par municipalité'!$K$6:$K$1113)</f>
        <v>448.93672846033456</v>
      </c>
      <c r="AN186" s="510">
        <f>SUMIFS('Données par municipalité'!$H$6:$H$1113,'Données par municipalité'!$D$6:$D$1113,Évolution!T186)</f>
        <v>74</v>
      </c>
      <c r="AO186" s="447">
        <f>SUMIFS('Données par municipalité'!$I$6:$I$1113,'Données par municipalité'!$D$6:$D$1113,Évolution!T186)</f>
        <v>377668</v>
      </c>
      <c r="BS186" s="486">
        <v>26005</v>
      </c>
      <c r="BT186" s="479" t="s">
        <v>167</v>
      </c>
      <c r="BU186" s="479">
        <v>12</v>
      </c>
      <c r="BV186" s="476" t="s">
        <v>1187</v>
      </c>
      <c r="BW186" s="476" t="s">
        <v>1187</v>
      </c>
      <c r="BX186" s="476" t="s">
        <v>1187</v>
      </c>
      <c r="BY186" s="476" t="s">
        <v>1187</v>
      </c>
      <c r="BZ186" s="476" t="s">
        <v>1187</v>
      </c>
      <c r="CA186" s="476" t="s">
        <v>1187</v>
      </c>
      <c r="CB186" s="476" t="s">
        <v>1187</v>
      </c>
      <c r="CC186" s="476" t="s">
        <v>1187</v>
      </c>
      <c r="CD186" s="476" t="s">
        <v>1187</v>
      </c>
      <c r="CE186" s="476" t="s">
        <v>1188</v>
      </c>
      <c r="CF186" s="476" t="s">
        <v>1188</v>
      </c>
      <c r="CG186" s="476" t="s">
        <v>1188</v>
      </c>
      <c r="CH186" s="476" t="s">
        <v>1188</v>
      </c>
      <c r="CI186" s="476" t="s">
        <v>1188</v>
      </c>
      <c r="CJ186" s="476" t="s">
        <v>1188</v>
      </c>
      <c r="CK186" s="476" t="s">
        <v>1188</v>
      </c>
      <c r="CL186" s="476" t="s">
        <v>1188</v>
      </c>
      <c r="CM186" s="476" t="str">
        <f>IF(VLOOKUP(BS186,'Données par municipalité'!$B$6:$E$1113,4,FALSE)="","non","oui")</f>
        <v>oui</v>
      </c>
      <c r="CN186" s="410">
        <v>693.60730593607309</v>
      </c>
      <c r="CO186" s="410">
        <v>467.81556528527307</v>
      </c>
      <c r="CP186" s="410">
        <v>527.4620490063669</v>
      </c>
      <c r="CQ186" s="410">
        <v>500.9766560465842</v>
      </c>
      <c r="CR186" s="410">
        <v>417.49830146190357</v>
      </c>
      <c r="CS186" s="410">
        <v>354.84510486044576</v>
      </c>
      <c r="CT186" s="410">
        <v>274.5917374458532</v>
      </c>
      <c r="CU186" s="410">
        <v>300</v>
      </c>
      <c r="CV186" s="410">
        <f>IF(VLOOKUP(BS186,'Données par municipalité'!$B$6:$F$1113,4,FALSE)="","",VLOOKUP(BS186,'Données par municipalité'!$B$6:$F$1113,4,FALSE))</f>
        <v>304</v>
      </c>
      <c r="CW186" s="476" t="s">
        <v>4723</v>
      </c>
      <c r="CX186" s="483">
        <v>0.75</v>
      </c>
      <c r="CY186" s="483">
        <v>0.5</v>
      </c>
      <c r="CZ186" s="483">
        <v>0.5</v>
      </c>
      <c r="DA186" s="483">
        <v>0.5</v>
      </c>
      <c r="DB186" s="483">
        <v>0.5</v>
      </c>
      <c r="DC186" s="483">
        <v>0.1</v>
      </c>
      <c r="DD186" s="483">
        <v>1</v>
      </c>
      <c r="DE186" s="483">
        <f>IFERROR(SUM(VLOOKUP($BS186,'État &amp; Plan d''action'!$B$6:$Z$1113,18,FALSE),VLOOKUP($BS186,'État &amp; Plan d''action'!$B$6:$Z$1113,20,FALSE))/(VLOOKUP($BS186,'Données par municipalité'!$B$4:$L$1113,11,FALSE)),"")</f>
        <v>0</v>
      </c>
      <c r="DF186" s="483">
        <f>IFERROR(SUM(VLOOKUP($BS186,'État &amp; Plan d''action'!$B$6:$Z$1113,19,FALSE),VLOOKUP($BS186,'État &amp; Plan d''action'!$B$6:$Z$1113,21,FALSE))/(VLOOKUP($BS186,'Données par municipalité'!$B$4:$L$1113,11,FALSE)),"")</f>
        <v>0</v>
      </c>
      <c r="DG186" s="476" t="s">
        <v>4723</v>
      </c>
      <c r="DH186" s="484">
        <v>1</v>
      </c>
      <c r="DI186" s="484">
        <v>0</v>
      </c>
      <c r="DJ186" s="484">
        <v>1</v>
      </c>
      <c r="DK186" s="484">
        <v>3</v>
      </c>
      <c r="DL186" s="484">
        <v>0</v>
      </c>
      <c r="DM186" s="484">
        <v>1</v>
      </c>
      <c r="DN186" s="484">
        <v>0</v>
      </c>
      <c r="DO186" s="484">
        <v>0</v>
      </c>
      <c r="DP186" s="484">
        <v>0</v>
      </c>
      <c r="DQ186" s="484">
        <f>IF(VLOOKUP($BS186,'État &amp; Plan d''action'!$B$6:$AJ$1113,28,FALSE)="","",VLOOKUP($BS186,'État &amp; Plan d''action'!$B$6:$AJ$1113,28,FALSE))</f>
        <v>2</v>
      </c>
      <c r="DR186" s="70">
        <f>IF(VLOOKUP($BS186,'État &amp; Plan d''action'!$B$6:$AJ$1113,29,FALSE)="","",VLOOKUP($BS186,'État &amp; Plan d''action'!$B$6:$AJ$1113,29,FALSE))</f>
        <v>0</v>
      </c>
      <c r="DS186" s="70">
        <f>IF(VLOOKUP($BS186,'État &amp; Plan d''action'!$B$6:$AJ$1113,30,FALSE)="","",VLOOKUP($BS186,'État &amp; Plan d''action'!$B$6:$AJ$1113,30,FALSE))</f>
        <v>0</v>
      </c>
      <c r="DT186" s="70">
        <v>266</v>
      </c>
      <c r="DU186" s="485">
        <v>0.73036282599288271</v>
      </c>
      <c r="DV186" s="485">
        <v>1.3083727476203657</v>
      </c>
      <c r="DW186" s="70">
        <v>0</v>
      </c>
      <c r="DX186" s="70">
        <v>0</v>
      </c>
      <c r="DY186" s="70">
        <v>0</v>
      </c>
      <c r="DZ186" s="70">
        <f>VLOOKUP($BS186,'État &amp; Plan d''action'!$B$6:$AH$1113,31,FALSE)</f>
        <v>1</v>
      </c>
      <c r="EA186" s="70">
        <f>VLOOKUP($BS186,'État &amp; Plan d''action'!$B$6:$AH$1113,32,FALSE)</f>
        <v>0</v>
      </c>
      <c r="EB186" s="70">
        <f>VLOOKUP($BS186,'État &amp; Plan d''action'!$B$6:$AH$1113,33,FALSE)</f>
        <v>0</v>
      </c>
      <c r="EC186" s="70">
        <v>0</v>
      </c>
      <c r="ED186" s="70">
        <v>0</v>
      </c>
      <c r="EE186" s="70">
        <v>8.67</v>
      </c>
      <c r="EF186" s="70">
        <v>0</v>
      </c>
      <c r="EG186" s="70">
        <v>0</v>
      </c>
      <c r="EH186" s="72">
        <v>59</v>
      </c>
      <c r="EI186" s="72">
        <v>1317</v>
      </c>
    </row>
    <row r="187" spans="1:139" ht="15.75" customHeight="1" thickBot="1" x14ac:dyDescent="0.4">
      <c r="A187" s="1"/>
      <c r="B187" s="47"/>
      <c r="C187" s="384">
        <v>17</v>
      </c>
      <c r="D187" s="385" t="s">
        <v>1123</v>
      </c>
      <c r="E187" s="386" t="s">
        <v>1177</v>
      </c>
      <c r="F187" s="387">
        <v>57</v>
      </c>
      <c r="G187" s="555">
        <v>47</v>
      </c>
      <c r="H187" s="555"/>
      <c r="I187" s="388">
        <v>4.4270397305578681</v>
      </c>
      <c r="J187" s="389">
        <v>221.14054510020372</v>
      </c>
      <c r="K187" s="560">
        <v>492.65360597117478</v>
      </c>
      <c r="L187" s="560"/>
      <c r="M187" s="389">
        <v>60.447197362455803</v>
      </c>
      <c r="N187" s="402" t="str">
        <f t="shared" si="9"/>
        <v/>
      </c>
      <c r="O187" s="70"/>
      <c r="P187" s="70"/>
      <c r="Q187" s="70"/>
      <c r="R187" s="70"/>
      <c r="T187" s="358">
        <v>17</v>
      </c>
      <c r="U187" s="358" t="s">
        <v>1123</v>
      </c>
      <c r="V187" s="358" t="s">
        <v>1177</v>
      </c>
      <c r="W187" s="447">
        <f>SUMIF('Données par réseau'!$D$6:$D$748,$C187,'Données par réseau'!$W$6:$W$748)</f>
        <v>8166.7135656252112</v>
      </c>
      <c r="X187" s="447">
        <f>SUMIF('Données par réseau'!$D$6:$D$748,$C187,'Données par réseau'!$X$6:$X$748)</f>
        <v>1844.7346449714587</v>
      </c>
      <c r="Y187" s="447">
        <f>SUMIF('Données par réseau'!$D$6:$D$748,$C187,'Données par réseau'!$N$6:$N$748)</f>
        <v>1968.7169999999999</v>
      </c>
      <c r="Z187" s="447">
        <f>SUMIF('État &amp; Plan d''action'!$D$6:$D$1113,$C187,'État &amp; Plan d''action'!$S$6:$S$1113)+SUMIF('État &amp; Plan d''action'!$D$6:$D$1113,$C187,'État &amp; Plan d''action'!$U$6:$U$1113)</f>
        <v>2008.664</v>
      </c>
      <c r="AA187" s="447">
        <f>SUMIF('Données par réseau'!$D$6:$D$748,$C187,'Données par réseau'!$V$6:$V$748)</f>
        <v>34816.665372000003</v>
      </c>
      <c r="AB187" s="507">
        <f>SUMIF('Données par réseau'!$D$6:$D$748,$C187,'Données par réseau'!$M$6:$M$748)</f>
        <v>193621.08213703099</v>
      </c>
      <c r="AC187" s="507">
        <f>SUMIF('État &amp; Plan d''action'!$D$6:$D$1113,C187,'État &amp; Plan d''action'!$AC$6:$AC$1113)</f>
        <v>229</v>
      </c>
      <c r="AD187" s="508">
        <f>SUMIF('État &amp; Plan d''action'!$D$6:$D$1113,C187,'État &amp; Plan d''action'!$AD$6:$AD$1113)</f>
        <v>59</v>
      </c>
      <c r="AE187" s="508">
        <f>SUMIF('État &amp; Plan d''action'!$D$6:$D$1113,C187,'État &amp; Plan d''action'!$AE$6:$AE$1113)</f>
        <v>72</v>
      </c>
      <c r="AF187" s="447">
        <f t="shared" si="8"/>
        <v>360</v>
      </c>
      <c r="AG187" s="509">
        <f t="shared" si="10"/>
        <v>1.0202908797963344</v>
      </c>
      <c r="AH187" s="510">
        <f>(SUMIF('Données par municipalité'!$D$6:$D$1113,Évolution!$T187,'Données par municipalité'!$O$6:$O$1113)*1000000/365)/SUMIF('Données par municipalité'!$D$6:$D$1113,Évolution!$T187,'Données par municipalité'!$K$6:$K$1113)</f>
        <v>221.14054510020372</v>
      </c>
      <c r="AI187" s="511">
        <f t="shared" si="11"/>
        <v>4.4270397305578681</v>
      </c>
      <c r="AJ187" s="510"/>
      <c r="AK187" s="510">
        <f>AVERAGEIF('Données par réseau'!$D$6:$D$748,Évolution!$T187,'Données par réseau'!$I$6:$I$748)</f>
        <v>60.447197362455803</v>
      </c>
      <c r="AL187" s="511"/>
      <c r="AM187" s="510">
        <f>(SUMIF('Données par municipalité'!$D$6:$D$1113,Évolution!$T187,'Données par municipalité'!$N$6:$N$1113)*1000000/365)/SUMIF('Données par municipalité'!$D$6:$D$1113,Évolution!$T187,'Données par municipalité'!$K$6:$K$1113)</f>
        <v>492.65360597117478</v>
      </c>
      <c r="AN187" s="510">
        <f>SUMIFS('Données par municipalité'!$H$6:$H$1113,'Données par municipalité'!$D$6:$D$1113,Évolution!T187)</f>
        <v>53</v>
      </c>
      <c r="AO187" s="447">
        <f>SUMIFS('Données par municipalité'!$I$6:$I$1113,'Données par municipalité'!$D$6:$D$1113,Évolution!T187)</f>
        <v>89514</v>
      </c>
      <c r="BS187" s="486">
        <v>69010</v>
      </c>
      <c r="BT187" s="479" t="s">
        <v>685</v>
      </c>
      <c r="BU187" s="479">
        <v>16</v>
      </c>
      <c r="BV187" s="476" t="s">
        <v>1187</v>
      </c>
      <c r="BW187" s="476" t="s">
        <v>1187</v>
      </c>
      <c r="BX187" s="476" t="s">
        <v>1187</v>
      </c>
      <c r="BY187" s="476" t="s">
        <v>1187</v>
      </c>
      <c r="BZ187" s="476" t="s">
        <v>1187</v>
      </c>
      <c r="CA187" s="476" t="s">
        <v>1187</v>
      </c>
      <c r="CB187" s="476" t="s">
        <v>1187</v>
      </c>
      <c r="CC187" s="476" t="s">
        <v>1187</v>
      </c>
      <c r="CD187" s="476" t="s">
        <v>1187</v>
      </c>
      <c r="CE187" s="476" t="s">
        <v>1188</v>
      </c>
      <c r="CF187" s="476" t="s">
        <v>1188</v>
      </c>
      <c r="CG187" s="476" t="s">
        <v>1188</v>
      </c>
      <c r="CH187" s="476" t="s">
        <v>1188</v>
      </c>
      <c r="CI187" s="476" t="s">
        <v>1188</v>
      </c>
      <c r="CJ187" s="476" t="s">
        <v>1188</v>
      </c>
      <c r="CK187" s="476" t="s">
        <v>1188</v>
      </c>
      <c r="CL187" s="476" t="s">
        <v>1188</v>
      </c>
      <c r="CM187" s="476" t="str">
        <f>IF(VLOOKUP(BS187,'Données par municipalité'!$B$6:$E$1113,4,FALSE)="","non","oui")</f>
        <v>non</v>
      </c>
      <c r="CN187" s="410">
        <v>513.31376386170905</v>
      </c>
      <c r="CO187" s="410">
        <v>509.89445807713713</v>
      </c>
      <c r="CP187" s="410">
        <v>534.5432537710351</v>
      </c>
      <c r="CQ187" s="410">
        <v>356.27574701887806</v>
      </c>
      <c r="CR187" s="410">
        <v>361.8809194038177</v>
      </c>
      <c r="CS187" s="410">
        <v>326.54716817748852</v>
      </c>
      <c r="CT187" s="410">
        <v>471.34941218138403</v>
      </c>
      <c r="CU187" s="410">
        <v>391</v>
      </c>
      <c r="CV187" s="410" t="str">
        <f>IF(VLOOKUP(BS187,'Données par municipalité'!$B$6:$F$1113,4,FALSE)="","",VLOOKUP(BS187,'Données par municipalité'!$B$6:$F$1113,4,FALSE))</f>
        <v/>
      </c>
      <c r="CW187" s="476" t="s">
        <v>4723</v>
      </c>
      <c r="CX187" s="483">
        <v>0</v>
      </c>
      <c r="CY187" s="483">
        <v>0</v>
      </c>
      <c r="CZ187" s="483">
        <v>0</v>
      </c>
      <c r="DA187" s="483">
        <v>0</v>
      </c>
      <c r="DB187" s="483">
        <v>0</v>
      </c>
      <c r="DC187" s="483">
        <v>1</v>
      </c>
      <c r="DD187" s="483">
        <v>0</v>
      </c>
      <c r="DE187" s="483" t="str">
        <f>IFERROR(SUM(VLOOKUP($BS187,'État &amp; Plan d''action'!$B$6:$Z$1113,18,FALSE),VLOOKUP($BS187,'État &amp; Plan d''action'!$B$6:$Z$1113,20,FALSE))/(VLOOKUP($BS187,'Données par municipalité'!$B$4:$L$1113,11,FALSE)),"")</f>
        <v/>
      </c>
      <c r="DF187" s="483" t="str">
        <f>IFERROR(SUM(VLOOKUP($BS187,'État &amp; Plan d''action'!$B$6:$Z$1113,19,FALSE),VLOOKUP($BS187,'État &amp; Plan d''action'!$B$6:$Z$1113,21,FALSE))/(VLOOKUP($BS187,'Données par municipalité'!$B$4:$L$1113,11,FALSE)),"")</f>
        <v/>
      </c>
      <c r="DG187" s="476" t="s">
        <v>4723</v>
      </c>
      <c r="DH187" s="484">
        <v>0</v>
      </c>
      <c r="DI187" s="484">
        <v>0</v>
      </c>
      <c r="DJ187" s="484">
        <v>0</v>
      </c>
      <c r="DK187" s="484">
        <v>0</v>
      </c>
      <c r="DL187" s="484">
        <v>0</v>
      </c>
      <c r="DM187" s="484">
        <v>1</v>
      </c>
      <c r="DN187" s="484">
        <v>1</v>
      </c>
      <c r="DO187" s="484">
        <v>0</v>
      </c>
      <c r="DP187" s="484">
        <v>0</v>
      </c>
      <c r="DQ187" s="484" t="str">
        <f>IF(VLOOKUP($BS187,'État &amp; Plan d''action'!$B$6:$AJ$1113,28,FALSE)="","",VLOOKUP($BS187,'État &amp; Plan d''action'!$B$6:$AJ$1113,28,FALSE))</f>
        <v/>
      </c>
      <c r="DR187" s="70" t="str">
        <f>IF(VLOOKUP($BS187,'État &amp; Plan d''action'!$B$6:$AJ$1113,29,FALSE)="","",VLOOKUP($BS187,'État &amp; Plan d''action'!$B$6:$AJ$1113,29,FALSE))</f>
        <v/>
      </c>
      <c r="DS187" s="70" t="str">
        <f>IF(VLOOKUP($BS187,'État &amp; Plan d''action'!$B$6:$AJ$1113,30,FALSE)="","",VLOOKUP($BS187,'État &amp; Plan d''action'!$B$6:$AJ$1113,30,FALSE))</f>
        <v/>
      </c>
      <c r="DT187" s="70">
        <v>322</v>
      </c>
      <c r="DU187" s="485">
        <v>1.2566503897043007</v>
      </c>
      <c r="DV187" s="485" t="s">
        <v>1124</v>
      </c>
      <c r="DW187" s="70">
        <v>2</v>
      </c>
      <c r="DX187" s="70">
        <v>0</v>
      </c>
      <c r="DY187" s="70">
        <v>0</v>
      </c>
      <c r="DZ187" s="70" t="str">
        <f>VLOOKUP($BS187,'État &amp; Plan d''action'!$B$6:$AH$1113,31,FALSE)</f>
        <v/>
      </c>
      <c r="EA187" s="70" t="str">
        <f>VLOOKUP($BS187,'État &amp; Plan d''action'!$B$6:$AH$1113,32,FALSE)</f>
        <v/>
      </c>
      <c r="EB187" s="70" t="str">
        <f>VLOOKUP($BS187,'État &amp; Plan d''action'!$B$6:$AH$1113,33,FALSE)</f>
        <v/>
      </c>
      <c r="EC187" s="70">
        <v>0</v>
      </c>
      <c r="ED187" s="70">
        <v>0</v>
      </c>
      <c r="EE187" s="70">
        <v>0</v>
      </c>
      <c r="EF187" s="70">
        <v>0</v>
      </c>
      <c r="EG187" s="70">
        <v>0</v>
      </c>
      <c r="EH187" s="72">
        <v>61.716216216216225</v>
      </c>
      <c r="EI187" s="72">
        <v>1702</v>
      </c>
    </row>
    <row r="188" spans="1:139" ht="15.75" customHeight="1" thickTop="1" x14ac:dyDescent="0.35">
      <c r="A188" s="1"/>
      <c r="B188" s="47"/>
      <c r="C188" s="552" t="s">
        <v>1155</v>
      </c>
      <c r="D188" s="553"/>
      <c r="E188" s="553"/>
      <c r="F188" s="390">
        <v>803</v>
      </c>
      <c r="G188" s="554">
        <v>607</v>
      </c>
      <c r="H188" s="554"/>
      <c r="I188" s="391">
        <v>6.59226315459658</v>
      </c>
      <c r="J188" s="392">
        <v>262.03759569882743</v>
      </c>
      <c r="K188" s="559">
        <v>524.50800277549979</v>
      </c>
      <c r="L188" s="559"/>
      <c r="M188" s="392">
        <v>57.723499076943824</v>
      </c>
      <c r="N188" s="403" t="str">
        <f>IF($N$169=$S$170,"",IF($N$169=$S$171,TEXT(AN188,"#"),IF($N$169=$S$172,TEXT(AO188,"# ###"),IF($N$169=$S$173,TEXT(AB188,"# ###"),IF($N$169=$S$174,Y188,IF($N$169=$S$175,AA188,IF($N$169=$S$176,W188,IF($N$169=$S$177,TEXT(AG188,"0%"),IF($N$169=$S$178,TEXT(AF188,"# ###"))))))))))</f>
        <v/>
      </c>
      <c r="O188" s="70"/>
      <c r="P188" s="70"/>
      <c r="Q188" s="70"/>
      <c r="R188" s="70"/>
      <c r="V188" s="358" t="s">
        <v>1122</v>
      </c>
      <c r="W188" s="447">
        <f>SUM(W171:W187)</f>
        <v>327546.57570237428</v>
      </c>
      <c r="X188" s="447">
        <f t="shared" ref="X188:Y188" si="12">SUM(X171:X187)</f>
        <v>49686.514027278514</v>
      </c>
      <c r="Y188" s="447">
        <f t="shared" si="12"/>
        <v>38963.782158199996</v>
      </c>
      <c r="Z188" s="447">
        <f t="shared" ref="Z188" si="13">SUM(Z171:Z187)</f>
        <v>39515.299094385889</v>
      </c>
      <c r="AA188" s="447">
        <f t="shared" ref="AA188" si="14">SUM(AA171:AA187)</f>
        <v>1325121.2889390611</v>
      </c>
      <c r="AB188" s="507">
        <f t="shared" ref="AB188" si="15">SUM(AB171:AB187)</f>
        <v>6921666.143421012</v>
      </c>
      <c r="AC188" s="507">
        <f t="shared" ref="AC188" si="16">SUM(AC171:AC187)</f>
        <v>5090</v>
      </c>
      <c r="AD188" s="508">
        <f t="shared" ref="AD188" si="17">SUM(AD171:AD187)</f>
        <v>2667</v>
      </c>
      <c r="AE188" s="508">
        <f t="shared" ref="AE188" si="18">SUM(AE171:AE187)</f>
        <v>1457</v>
      </c>
      <c r="AF188" s="447">
        <f t="shared" ref="AF188" si="19">SUM(AF171:AF187)</f>
        <v>9214</v>
      </c>
      <c r="AG188" s="509">
        <f t="shared" si="10"/>
        <v>1.0141546047544008</v>
      </c>
      <c r="AH188" s="510">
        <f>SUMPRODUCT(AB171:AB187,AH171:AH187)/SUM(AB171:AB187)</f>
        <v>262.03759569882743</v>
      </c>
      <c r="AI188" s="511">
        <f>W188/X188</f>
        <v>6.59226315459658</v>
      </c>
      <c r="AJ188" s="510"/>
      <c r="AK188" s="510">
        <f>AVERAGE('Données par réseau'!$I$6:$I$748)</f>
        <v>57.723499076943824</v>
      </c>
      <c r="AL188" s="511"/>
      <c r="AM188" s="510">
        <f>SUMPRODUCT(AB171:AB187,AM171:AM187)/SUM(AB171:AB187)</f>
        <v>524.50800277549979</v>
      </c>
      <c r="AN188" s="510">
        <f t="shared" ref="AN188:AO188" si="20">SUM(AN171:AN187)</f>
        <v>743</v>
      </c>
      <c r="AO188" s="447">
        <f t="shared" si="20"/>
        <v>3171751.9657889511</v>
      </c>
      <c r="BS188" s="486">
        <v>96015</v>
      </c>
      <c r="BT188" s="479" t="s">
        <v>996</v>
      </c>
      <c r="BU188" s="479">
        <v>9</v>
      </c>
      <c r="BV188" s="476" t="s">
        <v>1187</v>
      </c>
      <c r="BW188" s="476" t="s">
        <v>1187</v>
      </c>
      <c r="BX188" s="476" t="s">
        <v>1187</v>
      </c>
      <c r="BY188" s="476" t="s">
        <v>1187</v>
      </c>
      <c r="BZ188" s="476" t="s">
        <v>1187</v>
      </c>
      <c r="CA188" s="476" t="s">
        <v>1187</v>
      </c>
      <c r="CB188" s="476" t="s">
        <v>1187</v>
      </c>
      <c r="CC188" s="476" t="s">
        <v>1187</v>
      </c>
      <c r="CD188" s="476" t="s">
        <v>1187</v>
      </c>
      <c r="CE188" s="476" t="s">
        <v>1188</v>
      </c>
      <c r="CF188" s="476" t="s">
        <v>1188</v>
      </c>
      <c r="CG188" s="476" t="s">
        <v>1187</v>
      </c>
      <c r="CH188" s="476" t="s">
        <v>1187</v>
      </c>
      <c r="CI188" s="476" t="s">
        <v>1188</v>
      </c>
      <c r="CJ188" s="476" t="s">
        <v>1188</v>
      </c>
      <c r="CK188" s="476" t="s">
        <v>1188</v>
      </c>
      <c r="CL188" s="476" t="s">
        <v>1187</v>
      </c>
      <c r="CM188" s="476" t="str">
        <f>IF(VLOOKUP(BS188,'Données par municipalité'!$B$6:$E$1113,4,FALSE)="","non","oui")</f>
        <v>non</v>
      </c>
      <c r="CN188" s="410">
        <v>502.59543378995431</v>
      </c>
      <c r="CO188" s="410">
        <v>480.5826958105647</v>
      </c>
      <c r="CP188" s="410"/>
      <c r="CQ188" s="410"/>
      <c r="CR188" s="410">
        <v>462.66010311573149</v>
      </c>
      <c r="CS188" s="410">
        <v>297.8207515980036</v>
      </c>
      <c r="CT188" s="410">
        <v>374.02254566210041</v>
      </c>
      <c r="CU188" s="410" t="s">
        <v>1124</v>
      </c>
      <c r="CV188" s="410" t="str">
        <f>IF(VLOOKUP(BS188,'Données par municipalité'!$B$6:$F$1113,4,FALSE)="","",VLOOKUP(BS188,'Données par municipalité'!$B$6:$F$1113,4,FALSE))</f>
        <v/>
      </c>
      <c r="CW188" s="476" t="s">
        <v>4723</v>
      </c>
      <c r="CX188" s="483">
        <v>1</v>
      </c>
      <c r="CY188" s="483" t="s">
        <v>1124</v>
      </c>
      <c r="CZ188" s="483" t="s">
        <v>1124</v>
      </c>
      <c r="DA188" s="483">
        <v>0</v>
      </c>
      <c r="DB188" s="483">
        <v>0</v>
      </c>
      <c r="DC188" s="483">
        <v>0</v>
      </c>
      <c r="DD188" s="483" t="s">
        <v>1124</v>
      </c>
      <c r="DE188" s="483" t="str">
        <f>IFERROR(SUM(VLOOKUP($BS188,'État &amp; Plan d''action'!$B$6:$Z$1113,18,FALSE),VLOOKUP($BS188,'État &amp; Plan d''action'!$B$6:$Z$1113,20,FALSE))/(VLOOKUP($BS188,'Données par municipalité'!$B$4:$L$1113,11,FALSE)),"")</f>
        <v/>
      </c>
      <c r="DF188" s="483" t="str">
        <f>IFERROR(SUM(VLOOKUP($BS188,'État &amp; Plan d''action'!$B$6:$Z$1113,19,FALSE),VLOOKUP($BS188,'État &amp; Plan d''action'!$B$6:$Z$1113,21,FALSE))/(VLOOKUP($BS188,'Données par municipalité'!$B$4:$L$1113,11,FALSE)),"")</f>
        <v/>
      </c>
      <c r="DG188" s="476" t="s">
        <v>4723</v>
      </c>
      <c r="DH188" s="484" t="s">
        <v>1124</v>
      </c>
      <c r="DI188" s="484" t="s">
        <v>1124</v>
      </c>
      <c r="DJ188" s="484">
        <v>0</v>
      </c>
      <c r="DK188" s="484">
        <v>0</v>
      </c>
      <c r="DL188" s="484">
        <v>0</v>
      </c>
      <c r="DM188" s="484">
        <v>0</v>
      </c>
      <c r="DN188" s="484" t="s">
        <v>1124</v>
      </c>
      <c r="DO188" s="484" t="s">
        <v>1124</v>
      </c>
      <c r="DP188" s="484" t="s">
        <v>1124</v>
      </c>
      <c r="DQ188" s="484" t="str">
        <f>IF(VLOOKUP($BS188,'État &amp; Plan d''action'!$B$6:$AJ$1113,28,FALSE)="","",VLOOKUP($BS188,'État &amp; Plan d''action'!$B$6:$AJ$1113,28,FALSE))</f>
        <v/>
      </c>
      <c r="DR188" s="70" t="str">
        <f>IF(VLOOKUP($BS188,'État &amp; Plan d''action'!$B$6:$AJ$1113,29,FALSE)="","",VLOOKUP($BS188,'État &amp; Plan d''action'!$B$6:$AJ$1113,29,FALSE))</f>
        <v/>
      </c>
      <c r="DS188" s="70" t="str">
        <f>IF(VLOOKUP($BS188,'État &amp; Plan d''action'!$B$6:$AJ$1113,30,FALSE)="","",VLOOKUP($BS188,'État &amp; Plan d''action'!$B$6:$AJ$1113,30,FALSE))</f>
        <v/>
      </c>
      <c r="DT188" s="70" t="s">
        <v>1124</v>
      </c>
      <c r="DU188" s="485" t="s">
        <v>1124</v>
      </c>
      <c r="DV188" s="485" t="s">
        <v>1124</v>
      </c>
      <c r="DW188" s="70" t="s">
        <v>1124</v>
      </c>
      <c r="DX188" s="70" t="s">
        <v>1124</v>
      </c>
      <c r="DY188" s="70" t="s">
        <v>1124</v>
      </c>
      <c r="DZ188" s="70" t="str">
        <f>VLOOKUP($BS188,'État &amp; Plan d''action'!$B$6:$AH$1113,31,FALSE)</f>
        <v/>
      </c>
      <c r="EA188" s="70" t="str">
        <f>VLOOKUP($BS188,'État &amp; Plan d''action'!$B$6:$AH$1113,32,FALSE)</f>
        <v/>
      </c>
      <c r="EB188" s="70" t="str">
        <f>VLOOKUP($BS188,'État &amp; Plan d''action'!$B$6:$AH$1113,33,FALSE)</f>
        <v/>
      </c>
      <c r="EC188" s="70" t="s">
        <v>1124</v>
      </c>
      <c r="ED188" s="70" t="s">
        <v>1124</v>
      </c>
      <c r="EE188" s="70" t="s">
        <v>1124</v>
      </c>
      <c r="EF188" s="70" t="s">
        <v>1124</v>
      </c>
      <c r="EG188" s="70" t="s">
        <v>1124</v>
      </c>
      <c r="EH188" s="72"/>
      <c r="EI188" s="72">
        <v>304</v>
      </c>
    </row>
    <row r="189" spans="1:139" x14ac:dyDescent="0.35">
      <c r="A189" s="1"/>
      <c r="B189" s="47"/>
      <c r="C189"/>
      <c r="D189"/>
      <c r="E189"/>
      <c r="F189"/>
      <c r="G189"/>
      <c r="H189"/>
      <c r="I189"/>
      <c r="J189"/>
      <c r="K189"/>
      <c r="L189"/>
      <c r="M189"/>
      <c r="N189"/>
      <c r="O189" s="70"/>
      <c r="P189" s="70"/>
      <c r="Q189" s="70"/>
      <c r="R189" s="70"/>
      <c r="X189" s="438"/>
      <c r="BS189" s="486">
        <v>46010</v>
      </c>
      <c r="BT189" s="479" t="s">
        <v>428</v>
      </c>
      <c r="BU189" s="479">
        <v>5</v>
      </c>
      <c r="BV189" s="476" t="s">
        <v>1187</v>
      </c>
      <c r="BW189" s="476" t="s">
        <v>1187</v>
      </c>
      <c r="BX189" s="476" t="s">
        <v>1187</v>
      </c>
      <c r="BY189" s="476" t="s">
        <v>1187</v>
      </c>
      <c r="BZ189" s="476" t="s">
        <v>1187</v>
      </c>
      <c r="CA189" s="476" t="s">
        <v>1187</v>
      </c>
      <c r="CB189" s="476" t="s">
        <v>1187</v>
      </c>
      <c r="CC189" s="476" t="s">
        <v>1187</v>
      </c>
      <c r="CD189" s="476" t="s">
        <v>1187</v>
      </c>
      <c r="CE189" s="476" t="s">
        <v>1188</v>
      </c>
      <c r="CF189" s="476" t="s">
        <v>1188</v>
      </c>
      <c r="CG189" s="476" t="s">
        <v>1187</v>
      </c>
      <c r="CH189" s="476" t="s">
        <v>1188</v>
      </c>
      <c r="CI189" s="476" t="s">
        <v>1188</v>
      </c>
      <c r="CJ189" s="476" t="s">
        <v>1188</v>
      </c>
      <c r="CK189" s="476" t="s">
        <v>1187</v>
      </c>
      <c r="CL189" s="476" t="s">
        <v>1187</v>
      </c>
      <c r="CM189" s="476" t="str">
        <f>IF(VLOOKUP(BS189,'Données par municipalité'!$B$6:$E$1113,4,FALSE)="","non","oui")</f>
        <v>non</v>
      </c>
      <c r="CN189" s="410">
        <v>217.68771768771768</v>
      </c>
      <c r="CO189" s="410">
        <v>366.2543162694023</v>
      </c>
      <c r="CP189" s="410"/>
      <c r="CQ189" s="410">
        <v>251.6496393599061</v>
      </c>
      <c r="CR189" s="410">
        <v>363.53519400078108</v>
      </c>
      <c r="CS189" s="410">
        <v>333.07884754655447</v>
      </c>
      <c r="CT189" s="410"/>
      <c r="CU189" s="410" t="s">
        <v>1124</v>
      </c>
      <c r="CV189" s="410" t="str">
        <f>IF(VLOOKUP(BS189,'Données par municipalité'!$B$6:$F$1113,4,FALSE)="","",VLOOKUP(BS189,'Données par municipalité'!$B$6:$F$1113,4,FALSE))</f>
        <v/>
      </c>
      <c r="CW189" s="476" t="s">
        <v>4723</v>
      </c>
      <c r="CX189" s="483">
        <v>0</v>
      </c>
      <c r="CY189" s="483" t="s">
        <v>1124</v>
      </c>
      <c r="CZ189" s="483">
        <v>0</v>
      </c>
      <c r="DA189" s="483">
        <v>0</v>
      </c>
      <c r="DB189" s="483">
        <v>0</v>
      </c>
      <c r="DC189" s="483" t="s">
        <v>1124</v>
      </c>
      <c r="DD189" s="483" t="s">
        <v>1124</v>
      </c>
      <c r="DE189" s="483" t="str">
        <f>IFERROR(SUM(VLOOKUP($BS189,'État &amp; Plan d''action'!$B$6:$Z$1113,18,FALSE),VLOOKUP($BS189,'État &amp; Plan d''action'!$B$6:$Z$1113,20,FALSE))/(VLOOKUP($BS189,'Données par municipalité'!$B$4:$L$1113,11,FALSE)),"")</f>
        <v/>
      </c>
      <c r="DF189" s="483" t="str">
        <f>IFERROR(SUM(VLOOKUP($BS189,'État &amp; Plan d''action'!$B$6:$Z$1113,19,FALSE),VLOOKUP($BS189,'État &amp; Plan d''action'!$B$6:$Z$1113,21,FALSE))/(VLOOKUP($BS189,'Données par municipalité'!$B$4:$L$1113,11,FALSE)),"")</f>
        <v/>
      </c>
      <c r="DG189" s="476" t="s">
        <v>4723</v>
      </c>
      <c r="DH189" s="484">
        <v>0</v>
      </c>
      <c r="DI189" s="484" t="s">
        <v>1124</v>
      </c>
      <c r="DJ189" s="484">
        <v>1</v>
      </c>
      <c r="DK189" s="484">
        <v>1</v>
      </c>
      <c r="DL189" s="484">
        <v>0</v>
      </c>
      <c r="DM189" s="484" t="s">
        <v>1124</v>
      </c>
      <c r="DN189" s="484" t="s">
        <v>1124</v>
      </c>
      <c r="DO189" s="484" t="s">
        <v>1124</v>
      </c>
      <c r="DP189" s="484" t="s">
        <v>1124</v>
      </c>
      <c r="DQ189" s="484" t="str">
        <f>IF(VLOOKUP($BS189,'État &amp; Plan d''action'!$B$6:$AJ$1113,28,FALSE)="","",VLOOKUP($BS189,'État &amp; Plan d''action'!$B$6:$AJ$1113,28,FALSE))</f>
        <v/>
      </c>
      <c r="DR189" s="70" t="str">
        <f>IF(VLOOKUP($BS189,'État &amp; Plan d''action'!$B$6:$AJ$1113,29,FALSE)="","",VLOOKUP($BS189,'État &amp; Plan d''action'!$B$6:$AJ$1113,29,FALSE))</f>
        <v/>
      </c>
      <c r="DS189" s="70" t="str">
        <f>IF(VLOOKUP($BS189,'État &amp; Plan d''action'!$B$6:$AJ$1113,30,FALSE)="","",VLOOKUP($BS189,'État &amp; Plan d''action'!$B$6:$AJ$1113,30,FALSE))</f>
        <v/>
      </c>
      <c r="DT189" s="70" t="s">
        <v>1124</v>
      </c>
      <c r="DU189" s="485" t="s">
        <v>1124</v>
      </c>
      <c r="DV189" s="485" t="s">
        <v>1124</v>
      </c>
      <c r="DW189" s="70" t="s">
        <v>1124</v>
      </c>
      <c r="DX189" s="70" t="s">
        <v>1124</v>
      </c>
      <c r="DY189" s="70" t="s">
        <v>1124</v>
      </c>
      <c r="DZ189" s="70" t="str">
        <f>VLOOKUP($BS189,'État &amp; Plan d''action'!$B$6:$AH$1113,31,FALSE)</f>
        <v/>
      </c>
      <c r="EA189" s="70" t="str">
        <f>VLOOKUP($BS189,'État &amp; Plan d''action'!$B$6:$AH$1113,32,FALSE)</f>
        <v/>
      </c>
      <c r="EB189" s="70" t="str">
        <f>VLOOKUP($BS189,'État &amp; Plan d''action'!$B$6:$AH$1113,33,FALSE)</f>
        <v/>
      </c>
      <c r="EC189" s="70" t="s">
        <v>1124</v>
      </c>
      <c r="ED189" s="70" t="s">
        <v>1124</v>
      </c>
      <c r="EE189" s="70" t="s">
        <v>1124</v>
      </c>
      <c r="EF189" s="70" t="s">
        <v>1124</v>
      </c>
      <c r="EG189" s="70" t="s">
        <v>1124</v>
      </c>
      <c r="EH189" s="72"/>
      <c r="EI189" s="72">
        <v>1180</v>
      </c>
    </row>
    <row r="190" spans="1:139" ht="19.5" customHeight="1" x14ac:dyDescent="0.35">
      <c r="A190" s="1"/>
      <c r="B190" s="520" t="s">
        <v>4764</v>
      </c>
      <c r="C190" s="520"/>
      <c r="D190" s="520"/>
      <c r="E190"/>
      <c r="F190"/>
      <c r="G190"/>
      <c r="H190"/>
      <c r="I190"/>
      <c r="J190"/>
      <c r="K190"/>
      <c r="L190"/>
      <c r="M190"/>
      <c r="N190"/>
      <c r="O190" s="70"/>
      <c r="P190" s="70"/>
      <c r="Q190" s="70"/>
      <c r="R190" s="70"/>
      <c r="BS190" s="486">
        <v>30025</v>
      </c>
      <c r="BT190" s="479" t="s">
        <v>221</v>
      </c>
      <c r="BU190" s="479">
        <v>5</v>
      </c>
      <c r="BV190" s="476" t="s">
        <v>1187</v>
      </c>
      <c r="BW190" s="476" t="s">
        <v>1187</v>
      </c>
      <c r="BX190" s="476" t="s">
        <v>1187</v>
      </c>
      <c r="BY190" s="476" t="s">
        <v>1187</v>
      </c>
      <c r="BZ190" s="476" t="s">
        <v>1187</v>
      </c>
      <c r="CA190" s="476" t="s">
        <v>1187</v>
      </c>
      <c r="CB190" s="476" t="s">
        <v>1187</v>
      </c>
      <c r="CC190" s="476" t="s">
        <v>1187</v>
      </c>
      <c r="CD190" s="476" t="s">
        <v>1187</v>
      </c>
      <c r="CE190" s="476" t="s">
        <v>1188</v>
      </c>
      <c r="CF190" s="476" t="s">
        <v>1188</v>
      </c>
      <c r="CG190" s="476" t="s">
        <v>1187</v>
      </c>
      <c r="CH190" s="476" t="s">
        <v>1188</v>
      </c>
      <c r="CI190" s="476" t="s">
        <v>1188</v>
      </c>
      <c r="CJ190" s="476" t="s">
        <v>1188</v>
      </c>
      <c r="CK190" s="476" t="s">
        <v>1188</v>
      </c>
      <c r="CL190" s="476" t="s">
        <v>1187</v>
      </c>
      <c r="CM190" s="476" t="str">
        <f>IF(VLOOKUP(BS190,'Données par municipalité'!$B$6:$E$1113,4,FALSE)="","non","oui")</f>
        <v>oui</v>
      </c>
      <c r="CN190" s="410">
        <v>390.63753373994842</v>
      </c>
      <c r="CO190" s="410">
        <v>429.70690511674115</v>
      </c>
      <c r="CP190" s="410"/>
      <c r="CQ190" s="410">
        <v>269.35969998632623</v>
      </c>
      <c r="CR190" s="410">
        <v>252.38263203745379</v>
      </c>
      <c r="CS190" s="410">
        <v>245.21603366934801</v>
      </c>
      <c r="CT190" s="410">
        <v>212.05421651927634</v>
      </c>
      <c r="CU190" s="410" t="s">
        <v>1124</v>
      </c>
      <c r="CV190" s="410">
        <f>IF(VLOOKUP(BS190,'Données par municipalité'!$B$6:$F$1113,4,FALSE)="","",VLOOKUP(BS190,'Données par municipalité'!$B$6:$F$1113,4,FALSE))</f>
        <v>222</v>
      </c>
      <c r="CW190" s="476" t="s">
        <v>4723</v>
      </c>
      <c r="CX190" s="483">
        <v>1</v>
      </c>
      <c r="CY190" s="483" t="s">
        <v>1124</v>
      </c>
      <c r="CZ190" s="483">
        <v>1</v>
      </c>
      <c r="DA190" s="483">
        <v>1</v>
      </c>
      <c r="DB190" s="483">
        <v>1</v>
      </c>
      <c r="DC190" s="483">
        <v>1</v>
      </c>
      <c r="DD190" s="483" t="s">
        <v>1124</v>
      </c>
      <c r="DE190" s="483">
        <f>IFERROR(SUM(VLOOKUP($BS190,'État &amp; Plan d''action'!$B$6:$Z$1113,18,FALSE),VLOOKUP($BS190,'État &amp; Plan d''action'!$B$6:$Z$1113,20,FALSE))/(VLOOKUP($BS190,'Données par municipalité'!$B$4:$L$1113,11,FALSE)),"")</f>
        <v>0</v>
      </c>
      <c r="DF190" s="483">
        <f>IFERROR(SUM(VLOOKUP($BS190,'État &amp; Plan d''action'!$B$6:$Z$1113,19,FALSE),VLOOKUP($BS190,'État &amp; Plan d''action'!$B$6:$Z$1113,21,FALSE))/(VLOOKUP($BS190,'Données par municipalité'!$B$4:$L$1113,11,FALSE)),"")</f>
        <v>0</v>
      </c>
      <c r="DG190" s="476" t="s">
        <v>4723</v>
      </c>
      <c r="DH190" s="484">
        <v>0</v>
      </c>
      <c r="DI190" s="484" t="s">
        <v>1124</v>
      </c>
      <c r="DJ190" s="484">
        <v>1</v>
      </c>
      <c r="DK190" s="484">
        <v>2</v>
      </c>
      <c r="DL190" s="484">
        <v>1</v>
      </c>
      <c r="DM190" s="484">
        <v>0</v>
      </c>
      <c r="DN190" s="484" t="s">
        <v>1124</v>
      </c>
      <c r="DO190" s="484" t="s">
        <v>1124</v>
      </c>
      <c r="DP190" s="484" t="s">
        <v>1124</v>
      </c>
      <c r="DQ190" s="484">
        <f>IF(VLOOKUP($BS190,'État &amp; Plan d''action'!$B$6:$AJ$1113,28,FALSE)="","",VLOOKUP($BS190,'État &amp; Plan d''action'!$B$6:$AJ$1113,28,FALSE))</f>
        <v>0</v>
      </c>
      <c r="DR190" s="70">
        <f>IF(VLOOKUP($BS190,'État &amp; Plan d''action'!$B$6:$AJ$1113,29,FALSE)="","",VLOOKUP($BS190,'État &amp; Plan d''action'!$B$6:$AJ$1113,29,FALSE))</f>
        <v>1</v>
      </c>
      <c r="DS190" s="70">
        <f>IF(VLOOKUP($BS190,'État &amp; Plan d''action'!$B$6:$AJ$1113,30,FALSE)="","",VLOOKUP($BS190,'État &amp; Plan d''action'!$B$6:$AJ$1113,30,FALSE))</f>
        <v>0</v>
      </c>
      <c r="DT190" s="70" t="s">
        <v>1124</v>
      </c>
      <c r="DU190" s="485" t="s">
        <v>1124</v>
      </c>
      <c r="DV190" s="485">
        <v>0.60734434418521654</v>
      </c>
      <c r="DW190" s="70" t="s">
        <v>1124</v>
      </c>
      <c r="DX190" s="70" t="s">
        <v>1124</v>
      </c>
      <c r="DY190" s="70" t="s">
        <v>1124</v>
      </c>
      <c r="DZ190" s="70">
        <f>VLOOKUP($BS190,'État &amp; Plan d''action'!$B$6:$AH$1113,31,FALSE)</f>
        <v>0</v>
      </c>
      <c r="EA190" s="70">
        <f>VLOOKUP($BS190,'État &amp; Plan d''action'!$B$6:$AH$1113,32,FALSE)</f>
        <v>7</v>
      </c>
      <c r="EB190" s="70">
        <f>VLOOKUP($BS190,'État &amp; Plan d''action'!$B$6:$AH$1113,33,FALSE)</f>
        <v>0</v>
      </c>
      <c r="EC190" s="70" t="s">
        <v>1124</v>
      </c>
      <c r="ED190" s="70" t="s">
        <v>1124</v>
      </c>
      <c r="EE190" s="70" t="s">
        <v>1124</v>
      </c>
      <c r="EF190" s="70" t="s">
        <v>1124</v>
      </c>
      <c r="EG190" s="70" t="s">
        <v>1124</v>
      </c>
      <c r="EH190" s="72"/>
      <c r="EI190" s="72">
        <v>1753</v>
      </c>
    </row>
    <row r="191" spans="1:139" ht="24.75" customHeight="1" x14ac:dyDescent="0.65">
      <c r="A191" s="345"/>
      <c r="B191" s="343" t="s">
        <v>4740</v>
      </c>
      <c r="C191" s="343"/>
      <c r="D191" s="343"/>
      <c r="E191" s="343"/>
      <c r="F191" s="343"/>
      <c r="G191" s="343"/>
      <c r="H191" s="343"/>
      <c r="I191" s="343"/>
      <c r="J191" s="343"/>
      <c r="K191" s="343"/>
      <c r="L191" s="343"/>
      <c r="M191" s="343"/>
      <c r="N191" s="343"/>
      <c r="O191" s="346"/>
      <c r="P191" s="346"/>
      <c r="Q191" s="346"/>
      <c r="R191" s="346"/>
      <c r="S191" s="346"/>
      <c r="T191" s="413"/>
      <c r="BS191" s="486">
        <v>85055</v>
      </c>
      <c r="BT191" s="479" t="s">
        <v>879</v>
      </c>
      <c r="BU191" s="479">
        <v>8</v>
      </c>
      <c r="BV191" s="476" t="s">
        <v>1188</v>
      </c>
      <c r="BW191" s="476" t="s">
        <v>1188</v>
      </c>
      <c r="BX191" s="476" t="s">
        <v>1188</v>
      </c>
      <c r="BY191" s="476" t="s">
        <v>1188</v>
      </c>
      <c r="BZ191" s="476" t="s">
        <v>1188</v>
      </c>
      <c r="CA191" s="476" t="s">
        <v>1188</v>
      </c>
      <c r="CB191" s="476" t="s">
        <v>1188</v>
      </c>
      <c r="CC191" s="476" t="s">
        <v>1188</v>
      </c>
      <c r="CD191" s="476" t="s">
        <v>1188</v>
      </c>
      <c r="CE191" s="476" t="s">
        <v>1188</v>
      </c>
      <c r="CF191" s="476" t="s">
        <v>1188</v>
      </c>
      <c r="CG191" s="476" t="s">
        <v>1188</v>
      </c>
      <c r="CH191" s="476" t="s">
        <v>1188</v>
      </c>
      <c r="CI191" s="476" t="s">
        <v>1188</v>
      </c>
      <c r="CJ191" s="476" t="s">
        <v>1187</v>
      </c>
      <c r="CK191" s="476" t="s">
        <v>1187</v>
      </c>
      <c r="CL191" s="476" t="s">
        <v>1187</v>
      </c>
      <c r="CM191" s="476" t="str">
        <f>IF(VLOOKUP(BS191,'Données par municipalité'!$B$6:$E$1113,4,FALSE)="","non","oui")</f>
        <v>non</v>
      </c>
      <c r="CN191" s="410">
        <v>337.22201968647465</v>
      </c>
      <c r="CO191" s="410">
        <v>337.40343968846901</v>
      </c>
      <c r="CP191" s="410">
        <v>331.6879530407536</v>
      </c>
      <c r="CQ191" s="410">
        <v>305.2596447627854</v>
      </c>
      <c r="CR191" s="410">
        <v>407.05620513463521</v>
      </c>
      <c r="CS191" s="410" t="s">
        <v>1124</v>
      </c>
      <c r="CT191" s="410"/>
      <c r="CU191" s="410" t="s">
        <v>1124</v>
      </c>
      <c r="CV191" s="410" t="str">
        <f>IF(VLOOKUP(BS191,'Données par municipalité'!$B$6:$F$1113,4,FALSE)="","",VLOOKUP(BS191,'Données par municipalité'!$B$6:$F$1113,4,FALSE))</f>
        <v/>
      </c>
      <c r="CW191" s="476" t="s">
        <v>4723</v>
      </c>
      <c r="CX191" s="483" t="s">
        <v>1124</v>
      </c>
      <c r="CY191" s="483">
        <v>0</v>
      </c>
      <c r="CZ191" s="483">
        <v>0</v>
      </c>
      <c r="DA191" s="483">
        <v>0</v>
      </c>
      <c r="DB191" s="483" t="s">
        <v>1124</v>
      </c>
      <c r="DC191" s="483" t="s">
        <v>1124</v>
      </c>
      <c r="DD191" s="483" t="s">
        <v>1124</v>
      </c>
      <c r="DE191" s="483" t="str">
        <f>IFERROR(SUM(VLOOKUP($BS191,'État &amp; Plan d''action'!$B$6:$Z$1113,18,FALSE),VLOOKUP($BS191,'État &amp; Plan d''action'!$B$6:$Z$1113,20,FALSE))/(VLOOKUP($BS191,'Données par municipalité'!$B$4:$L$1113,11,FALSE)),"")</f>
        <v/>
      </c>
      <c r="DF191" s="483" t="str">
        <f>IFERROR(SUM(VLOOKUP($BS191,'État &amp; Plan d''action'!$B$6:$Z$1113,19,FALSE),VLOOKUP($BS191,'État &amp; Plan d''action'!$B$6:$Z$1113,21,FALSE))/(VLOOKUP($BS191,'Données par municipalité'!$B$4:$L$1113,11,FALSE)),"")</f>
        <v/>
      </c>
      <c r="DG191" s="476" t="s">
        <v>4723</v>
      </c>
      <c r="DH191" s="484" t="s">
        <v>1124</v>
      </c>
      <c r="DI191" s="484" t="s">
        <v>1124</v>
      </c>
      <c r="DJ191" s="484">
        <v>0</v>
      </c>
      <c r="DK191" s="484">
        <v>0</v>
      </c>
      <c r="DL191" s="484" t="s">
        <v>1124</v>
      </c>
      <c r="DM191" s="484" t="s">
        <v>1124</v>
      </c>
      <c r="DN191" s="484" t="s">
        <v>1124</v>
      </c>
      <c r="DO191" s="484" t="s">
        <v>1124</v>
      </c>
      <c r="DP191" s="484" t="s">
        <v>1124</v>
      </c>
      <c r="DQ191" s="484" t="str">
        <f>IF(VLOOKUP($BS191,'État &amp; Plan d''action'!$B$6:$AJ$1113,28,FALSE)="","",VLOOKUP($BS191,'État &amp; Plan d''action'!$B$6:$AJ$1113,28,FALSE))</f>
        <v/>
      </c>
      <c r="DR191" s="70" t="str">
        <f>IF(VLOOKUP($BS191,'État &amp; Plan d''action'!$B$6:$AJ$1113,29,FALSE)="","",VLOOKUP($BS191,'État &amp; Plan d''action'!$B$6:$AJ$1113,29,FALSE))</f>
        <v/>
      </c>
      <c r="DS191" s="70" t="str">
        <f>IF(VLOOKUP($BS191,'État &amp; Plan d''action'!$B$6:$AJ$1113,30,FALSE)="","",VLOOKUP($BS191,'État &amp; Plan d''action'!$B$6:$AJ$1113,30,FALSE))</f>
        <v/>
      </c>
      <c r="DT191" s="70" t="s">
        <v>1124</v>
      </c>
      <c r="DU191" s="485" t="s">
        <v>1124</v>
      </c>
      <c r="DV191" s="485" t="s">
        <v>1124</v>
      </c>
      <c r="DW191" s="70" t="s">
        <v>1124</v>
      </c>
      <c r="DX191" s="70" t="s">
        <v>1124</v>
      </c>
      <c r="DY191" s="70" t="s">
        <v>1124</v>
      </c>
      <c r="DZ191" s="70" t="str">
        <f>VLOOKUP($BS191,'État &amp; Plan d''action'!$B$6:$AH$1113,31,FALSE)</f>
        <v/>
      </c>
      <c r="EA191" s="70" t="str">
        <f>VLOOKUP($BS191,'État &amp; Plan d''action'!$B$6:$AH$1113,32,FALSE)</f>
        <v/>
      </c>
      <c r="EB191" s="70" t="str">
        <f>VLOOKUP($BS191,'État &amp; Plan d''action'!$B$6:$AH$1113,33,FALSE)</f>
        <v/>
      </c>
      <c r="EC191" s="70" t="s">
        <v>1124</v>
      </c>
      <c r="ED191" s="70" t="s">
        <v>1124</v>
      </c>
      <c r="EE191" s="70" t="s">
        <v>1124</v>
      </c>
      <c r="EF191" s="70" t="s">
        <v>1124</v>
      </c>
      <c r="EG191" s="70" t="s">
        <v>1124</v>
      </c>
      <c r="EH191" s="72"/>
      <c r="EI191" s="72">
        <v>353</v>
      </c>
    </row>
    <row r="192" spans="1:139" x14ac:dyDescent="0.35">
      <c r="A192" s="542"/>
      <c r="B192" s="542"/>
      <c r="C192" s="542"/>
      <c r="D192" s="542"/>
      <c r="E192" s="542"/>
      <c r="F192" s="542"/>
      <c r="G192" s="542"/>
      <c r="H192" s="542"/>
      <c r="I192" s="542"/>
      <c r="J192" s="542"/>
      <c r="K192" s="542"/>
      <c r="L192" s="542"/>
      <c r="M192" s="542"/>
      <c r="N192" s="542"/>
      <c r="O192" s="542"/>
      <c r="P192" s="542"/>
      <c r="Q192" s="542"/>
      <c r="R192" s="542"/>
      <c r="S192" s="542"/>
      <c r="T192" s="542"/>
      <c r="BS192" s="486">
        <v>87020</v>
      </c>
      <c r="BT192" s="479" t="s">
        <v>893</v>
      </c>
      <c r="BU192" s="479">
        <v>8</v>
      </c>
      <c r="BV192" s="476" t="s">
        <v>1187</v>
      </c>
      <c r="BW192" s="476" t="s">
        <v>1187</v>
      </c>
      <c r="BX192" s="476" t="s">
        <v>1187</v>
      </c>
      <c r="BY192" s="476" t="s">
        <v>1187</v>
      </c>
      <c r="BZ192" s="476" t="s">
        <v>1187</v>
      </c>
      <c r="CA192" s="476" t="s">
        <v>1187</v>
      </c>
      <c r="CB192" s="476" t="s">
        <v>1187</v>
      </c>
      <c r="CC192" s="476" t="s">
        <v>1187</v>
      </c>
      <c r="CD192" s="476" t="s">
        <v>1187</v>
      </c>
      <c r="CE192" s="476" t="s">
        <v>1187</v>
      </c>
      <c r="CF192" s="476" t="s">
        <v>1187</v>
      </c>
      <c r="CG192" s="476" t="s">
        <v>1187</v>
      </c>
      <c r="CH192" s="476" t="s">
        <v>1187</v>
      </c>
      <c r="CI192" s="476" t="s">
        <v>1187</v>
      </c>
      <c r="CJ192" s="476" t="s">
        <v>1187</v>
      </c>
      <c r="CK192" s="476" t="s">
        <v>1187</v>
      </c>
      <c r="CL192" s="476" t="s">
        <v>1187</v>
      </c>
      <c r="CM192" s="476" t="str">
        <f>IF(VLOOKUP(BS192,'Données par municipalité'!$B$6:$E$1113,4,FALSE)="","non","oui")</f>
        <v>non</v>
      </c>
      <c r="CN192" s="410" t="s">
        <v>1124</v>
      </c>
      <c r="CO192" s="410" t="s">
        <v>1124</v>
      </c>
      <c r="CP192" s="410"/>
      <c r="CQ192" s="410"/>
      <c r="CR192" s="410"/>
      <c r="CS192" s="410" t="s">
        <v>1124</v>
      </c>
      <c r="CT192" s="410"/>
      <c r="CU192" s="410" t="s">
        <v>1124</v>
      </c>
      <c r="CV192" s="410" t="str">
        <f>IF(VLOOKUP(BS192,'Données par municipalité'!$B$6:$F$1113,4,FALSE)="","",VLOOKUP(BS192,'Données par municipalité'!$B$6:$F$1113,4,FALSE))</f>
        <v/>
      </c>
      <c r="CW192" s="476" t="s">
        <v>4723</v>
      </c>
      <c r="CX192" s="483" t="s">
        <v>1124</v>
      </c>
      <c r="CY192" s="483" t="s">
        <v>1124</v>
      </c>
      <c r="CZ192" s="483" t="s">
        <v>1124</v>
      </c>
      <c r="DA192" s="483" t="s">
        <v>1124</v>
      </c>
      <c r="DB192" s="483" t="s">
        <v>1124</v>
      </c>
      <c r="DC192" s="483" t="s">
        <v>1124</v>
      </c>
      <c r="DD192" s="483" t="s">
        <v>1124</v>
      </c>
      <c r="DE192" s="483" t="str">
        <f>IFERROR(SUM(VLOOKUP($BS192,'État &amp; Plan d''action'!$B$6:$Z$1113,18,FALSE),VLOOKUP($BS192,'État &amp; Plan d''action'!$B$6:$Z$1113,20,FALSE))/(VLOOKUP($BS192,'Données par municipalité'!$B$4:$L$1113,11,FALSE)),"")</f>
        <v/>
      </c>
      <c r="DF192" s="483" t="str">
        <f>IFERROR(SUM(VLOOKUP($BS192,'État &amp; Plan d''action'!$B$6:$Z$1113,19,FALSE),VLOOKUP($BS192,'État &amp; Plan d''action'!$B$6:$Z$1113,21,FALSE))/(VLOOKUP($BS192,'Données par municipalité'!$B$4:$L$1113,11,FALSE)),"")</f>
        <v/>
      </c>
      <c r="DG192" s="476" t="s">
        <v>4723</v>
      </c>
      <c r="DH192" s="484" t="s">
        <v>1124</v>
      </c>
      <c r="DI192" s="484" t="s">
        <v>1124</v>
      </c>
      <c r="DJ192" s="484">
        <v>0</v>
      </c>
      <c r="DK192" s="484">
        <v>0</v>
      </c>
      <c r="DL192" s="484" t="s">
        <v>1124</v>
      </c>
      <c r="DM192" s="484" t="s">
        <v>1124</v>
      </c>
      <c r="DN192" s="484" t="s">
        <v>1124</v>
      </c>
      <c r="DO192" s="484" t="s">
        <v>1124</v>
      </c>
      <c r="DP192" s="484" t="s">
        <v>1124</v>
      </c>
      <c r="DQ192" s="484" t="str">
        <f>IF(VLOOKUP($BS192,'État &amp; Plan d''action'!$B$6:$AJ$1113,28,FALSE)="","",VLOOKUP($BS192,'État &amp; Plan d''action'!$B$6:$AJ$1113,28,FALSE))</f>
        <v/>
      </c>
      <c r="DR192" s="70" t="str">
        <f>IF(VLOOKUP($BS192,'État &amp; Plan d''action'!$B$6:$AJ$1113,29,FALSE)="","",VLOOKUP($BS192,'État &amp; Plan d''action'!$B$6:$AJ$1113,29,FALSE))</f>
        <v/>
      </c>
      <c r="DS192" s="70" t="str">
        <f>IF(VLOOKUP($BS192,'État &amp; Plan d''action'!$B$6:$AJ$1113,30,FALSE)="","",VLOOKUP($BS192,'État &amp; Plan d''action'!$B$6:$AJ$1113,30,FALSE))</f>
        <v/>
      </c>
      <c r="DT192" s="70" t="s">
        <v>1124</v>
      </c>
      <c r="DU192" s="485" t="s">
        <v>1124</v>
      </c>
      <c r="DV192" s="485" t="s">
        <v>1124</v>
      </c>
      <c r="DW192" s="70" t="s">
        <v>1124</v>
      </c>
      <c r="DX192" s="70" t="s">
        <v>1124</v>
      </c>
      <c r="DY192" s="70" t="s">
        <v>1124</v>
      </c>
      <c r="DZ192" s="70" t="str">
        <f>VLOOKUP($BS192,'État &amp; Plan d''action'!$B$6:$AH$1113,31,FALSE)</f>
        <v/>
      </c>
      <c r="EA192" s="70" t="str">
        <f>VLOOKUP($BS192,'État &amp; Plan d''action'!$B$6:$AH$1113,32,FALSE)</f>
        <v/>
      </c>
      <c r="EB192" s="70" t="str">
        <f>VLOOKUP($BS192,'État &amp; Plan d''action'!$B$6:$AH$1113,33,FALSE)</f>
        <v/>
      </c>
      <c r="EC192" s="70" t="s">
        <v>1124</v>
      </c>
      <c r="ED192" s="70" t="s">
        <v>1124</v>
      </c>
      <c r="EE192" s="70" t="s">
        <v>1124</v>
      </c>
      <c r="EF192" s="70" t="s">
        <v>1124</v>
      </c>
      <c r="EG192" s="70" t="s">
        <v>1124</v>
      </c>
      <c r="EH192" s="72"/>
      <c r="EI192" s="72">
        <v>488</v>
      </c>
    </row>
    <row r="193" spans="1:139" ht="3" customHeight="1" x14ac:dyDescent="0.35">
      <c r="A193" s="1"/>
      <c r="B193" s="47"/>
      <c r="C193"/>
      <c r="D193"/>
      <c r="E193"/>
      <c r="F193"/>
      <c r="G193"/>
      <c r="H193"/>
      <c r="I193"/>
      <c r="J193"/>
      <c r="K193"/>
      <c r="L193"/>
      <c r="M193"/>
      <c r="N193"/>
      <c r="O193" s="70"/>
      <c r="P193" s="70"/>
      <c r="Q193" s="70"/>
      <c r="R193" s="70"/>
      <c r="S193" s="95"/>
      <c r="T193" s="70"/>
      <c r="AI193" s="512"/>
      <c r="BS193" s="486">
        <v>3005</v>
      </c>
      <c r="BT193" s="479" t="s">
        <v>1031</v>
      </c>
      <c r="BU193" s="479">
        <v>11</v>
      </c>
      <c r="BV193" s="476" t="s">
        <v>1187</v>
      </c>
      <c r="BW193" s="476" t="s">
        <v>1187</v>
      </c>
      <c r="BX193" s="476" t="s">
        <v>1187</v>
      </c>
      <c r="BY193" s="476" t="s">
        <v>1187</v>
      </c>
      <c r="BZ193" s="476" t="s">
        <v>1187</v>
      </c>
      <c r="CA193" s="476" t="s">
        <v>1187</v>
      </c>
      <c r="CB193" s="476" t="s">
        <v>1187</v>
      </c>
      <c r="CC193" s="476" t="s">
        <v>1187</v>
      </c>
      <c r="CD193" s="476" t="s">
        <v>1187</v>
      </c>
      <c r="CE193" s="476" t="s">
        <v>1188</v>
      </c>
      <c r="CF193" s="476" t="s">
        <v>1188</v>
      </c>
      <c r="CG193" s="476" t="s">
        <v>1188</v>
      </c>
      <c r="CH193" s="476" t="s">
        <v>1188</v>
      </c>
      <c r="CI193" s="476" t="s">
        <v>1188</v>
      </c>
      <c r="CJ193" s="476" t="s">
        <v>1187</v>
      </c>
      <c r="CK193" s="476" t="s">
        <v>1188</v>
      </c>
      <c r="CL193" s="476" t="s">
        <v>1188</v>
      </c>
      <c r="CM193" s="476" t="str">
        <f>IF(VLOOKUP(BS193,'Données par municipalité'!$B$6:$E$1113,4,FALSE)="","non","oui")</f>
        <v>oui</v>
      </c>
      <c r="CN193" s="410">
        <v>567.91536687915368</v>
      </c>
      <c r="CO193" s="410">
        <v>509.05697127089769</v>
      </c>
      <c r="CP193" s="410">
        <v>473.08084877786723</v>
      </c>
      <c r="CQ193" s="410">
        <v>436.67293401378816</v>
      </c>
      <c r="CR193" s="410">
        <v>691.75391727770511</v>
      </c>
      <c r="CS193" s="410" t="s">
        <v>1124</v>
      </c>
      <c r="CT193" s="410">
        <v>869.66907510615408</v>
      </c>
      <c r="CU193" s="410">
        <v>859</v>
      </c>
      <c r="CV193" s="410">
        <f>IF(VLOOKUP(BS193,'Données par municipalité'!$B$6:$F$1113,4,FALSE)="","",VLOOKUP(BS193,'Données par municipalité'!$B$6:$F$1113,4,FALSE))</f>
        <v>875</v>
      </c>
      <c r="CW193" s="476" t="s">
        <v>4723</v>
      </c>
      <c r="CX193" s="483">
        <v>0</v>
      </c>
      <c r="CY193" s="483">
        <v>0</v>
      </c>
      <c r="CZ193" s="483">
        <v>1</v>
      </c>
      <c r="DA193" s="483">
        <v>0</v>
      </c>
      <c r="DB193" s="483" t="s">
        <v>1124</v>
      </c>
      <c r="DC193" s="483">
        <v>1</v>
      </c>
      <c r="DD193" s="483" t="s">
        <v>1124</v>
      </c>
      <c r="DE193" s="483">
        <f>IFERROR(SUM(VLOOKUP($BS193,'État &amp; Plan d''action'!$B$6:$Z$1113,18,FALSE),VLOOKUP($BS193,'État &amp; Plan d''action'!$B$6:$Z$1113,20,FALSE))/(VLOOKUP($BS193,'Données par municipalité'!$B$4:$L$1113,11,FALSE)),"")</f>
        <v>1</v>
      </c>
      <c r="DF193" s="483">
        <f>IFERROR(SUM(VLOOKUP($BS193,'État &amp; Plan d''action'!$B$6:$Z$1113,19,FALSE),VLOOKUP($BS193,'État &amp; Plan d''action'!$B$6:$Z$1113,21,FALSE))/(VLOOKUP($BS193,'Données par municipalité'!$B$4:$L$1113,11,FALSE)),"")</f>
        <v>1</v>
      </c>
      <c r="DG193" s="476" t="s">
        <v>4723</v>
      </c>
      <c r="DH193" s="484">
        <v>5</v>
      </c>
      <c r="DI193" s="484">
        <v>11</v>
      </c>
      <c r="DJ193" s="484">
        <v>2</v>
      </c>
      <c r="DK193" s="484">
        <v>3</v>
      </c>
      <c r="DL193" s="484" t="s">
        <v>1124</v>
      </c>
      <c r="DM193" s="484">
        <v>25</v>
      </c>
      <c r="DN193" s="484">
        <v>1</v>
      </c>
      <c r="DO193" s="484">
        <v>10</v>
      </c>
      <c r="DP193" s="484">
        <v>8</v>
      </c>
      <c r="DQ193" s="484">
        <f>IF(VLOOKUP($BS193,'État &amp; Plan d''action'!$B$6:$AJ$1113,28,FALSE)="","",VLOOKUP($BS193,'État &amp; Plan d''action'!$B$6:$AJ$1113,28,FALSE))</f>
        <v>5</v>
      </c>
      <c r="DR193" s="70">
        <f>IF(VLOOKUP($BS193,'État &amp; Plan d''action'!$B$6:$AJ$1113,29,FALSE)="","",VLOOKUP($BS193,'État &amp; Plan d''action'!$B$6:$AJ$1113,29,FALSE))</f>
        <v>10</v>
      </c>
      <c r="DS193" s="70">
        <f>IF(VLOOKUP($BS193,'État &amp; Plan d''action'!$B$6:$AJ$1113,30,FALSE)="","",VLOOKUP($BS193,'État &amp; Plan d''action'!$B$6:$AJ$1113,30,FALSE))</f>
        <v>5</v>
      </c>
      <c r="DT193" s="70">
        <v>355</v>
      </c>
      <c r="DU193" s="485">
        <v>7.4672321367389012</v>
      </c>
      <c r="DV193" s="485">
        <v>4.0297649650901617</v>
      </c>
      <c r="DW193" s="70">
        <v>1</v>
      </c>
      <c r="DX193" s="70">
        <v>1</v>
      </c>
      <c r="DY193" s="70">
        <v>5</v>
      </c>
      <c r="DZ193" s="70">
        <f>VLOOKUP($BS193,'État &amp; Plan d''action'!$B$6:$AH$1113,31,FALSE)</f>
        <v>2</v>
      </c>
      <c r="EA193" s="70">
        <f>VLOOKUP($BS193,'État &amp; Plan d''action'!$B$6:$AH$1113,32,FALSE)</f>
        <v>2</v>
      </c>
      <c r="EB193" s="70">
        <f>VLOOKUP($BS193,'État &amp; Plan d''action'!$B$6:$AH$1113,33,FALSE)</f>
        <v>15</v>
      </c>
      <c r="EC193" s="70">
        <v>109.64</v>
      </c>
      <c r="ED193" s="70">
        <v>109.64</v>
      </c>
      <c r="EE193" s="70">
        <v>0</v>
      </c>
      <c r="EF193" s="70">
        <v>0</v>
      </c>
      <c r="EG193" s="70">
        <v>0</v>
      </c>
      <c r="EH193" s="72">
        <v>61</v>
      </c>
      <c r="EI193" s="72">
        <v>14793</v>
      </c>
    </row>
    <row r="194" spans="1:139" ht="3" customHeight="1" x14ac:dyDescent="0.35">
      <c r="A194" s="1"/>
      <c r="B194" s="47"/>
      <c r="C194"/>
      <c r="D194"/>
      <c r="E194"/>
      <c r="F194"/>
      <c r="G194"/>
      <c r="H194"/>
      <c r="I194"/>
      <c r="J194"/>
      <c r="K194"/>
      <c r="L194"/>
      <c r="M194"/>
      <c r="N194"/>
      <c r="O194" s="70"/>
      <c r="P194" s="70"/>
      <c r="Q194" s="70"/>
      <c r="R194" s="70"/>
      <c r="S194" s="95"/>
      <c r="T194" s="70"/>
      <c r="BS194" s="486">
        <v>81017</v>
      </c>
      <c r="BT194" s="479" t="s">
        <v>827</v>
      </c>
      <c r="BU194" s="479">
        <v>7</v>
      </c>
      <c r="BV194" s="476" t="s">
        <v>1187</v>
      </c>
      <c r="BW194" s="476" t="s">
        <v>1187</v>
      </c>
      <c r="BX194" s="476" t="s">
        <v>1187</v>
      </c>
      <c r="BY194" s="476" t="s">
        <v>1187</v>
      </c>
      <c r="BZ194" s="476" t="s">
        <v>1187</v>
      </c>
      <c r="CA194" s="476" t="s">
        <v>1187</v>
      </c>
      <c r="CB194" s="476" t="s">
        <v>1187</v>
      </c>
      <c r="CC194" s="476" t="s">
        <v>1187</v>
      </c>
      <c r="CD194" s="476" t="s">
        <v>1187</v>
      </c>
      <c r="CE194" s="476" t="s">
        <v>1187</v>
      </c>
      <c r="CF194" s="476" t="s">
        <v>1187</v>
      </c>
      <c r="CG194" s="476" t="s">
        <v>1187</v>
      </c>
      <c r="CH194" s="476" t="s">
        <v>1187</v>
      </c>
      <c r="CI194" s="476" t="s">
        <v>1187</v>
      </c>
      <c r="CJ194" s="476" t="s">
        <v>1188</v>
      </c>
      <c r="CK194" s="476" t="s">
        <v>1188</v>
      </c>
      <c r="CL194" s="476" t="s">
        <v>1188</v>
      </c>
      <c r="CM194" s="476" t="str">
        <f>IF(VLOOKUP(BS194,'Données par municipalité'!$B$6:$E$1113,4,FALSE)="","non","oui")</f>
        <v>oui</v>
      </c>
      <c r="CN194" s="410" t="s">
        <v>1124</v>
      </c>
      <c r="CO194" s="410" t="s">
        <v>1124</v>
      </c>
      <c r="CP194" s="410"/>
      <c r="CQ194" s="410"/>
      <c r="CR194" s="410"/>
      <c r="CS194" s="410">
        <v>406.07957033718475</v>
      </c>
      <c r="CT194" s="410">
        <v>365.93907208136113</v>
      </c>
      <c r="CU194" s="410">
        <v>374</v>
      </c>
      <c r="CV194" s="410">
        <f>IF(VLOOKUP(BS194,'Données par municipalité'!$B$6:$F$1113,4,FALSE)="","",VLOOKUP(BS194,'Données par municipalité'!$B$6:$F$1113,4,FALSE))</f>
        <v>373</v>
      </c>
      <c r="CW194" s="476" t="s">
        <v>4723</v>
      </c>
      <c r="CX194" s="483" t="s">
        <v>1124</v>
      </c>
      <c r="CY194" s="483" t="s">
        <v>1124</v>
      </c>
      <c r="CZ194" s="483" t="s">
        <v>1124</v>
      </c>
      <c r="DA194" s="483" t="s">
        <v>1124</v>
      </c>
      <c r="DB194" s="483">
        <v>1</v>
      </c>
      <c r="DC194" s="483">
        <v>1</v>
      </c>
      <c r="DD194" s="483">
        <v>0.44994802494802499</v>
      </c>
      <c r="DE194" s="483">
        <f>IFERROR(SUM(VLOOKUP($BS194,'État &amp; Plan d''action'!$B$6:$Z$1113,18,FALSE),VLOOKUP($BS194,'État &amp; Plan d''action'!$B$6:$Z$1113,20,FALSE))/(VLOOKUP($BS194,'Données par municipalité'!$B$4:$L$1113,11,FALSE)),"")</f>
        <v>1.4044768820391225</v>
      </c>
      <c r="DF194" s="483">
        <f>IFERROR(SUM(VLOOKUP($BS194,'État &amp; Plan d''action'!$B$6:$Z$1113,19,FALSE),VLOOKUP($BS194,'État &amp; Plan d''action'!$B$6:$Z$1113,21,FALSE))/(VLOOKUP($BS194,'Données par municipalité'!$B$4:$L$1113,11,FALSE)),"")</f>
        <v>1.3352104327208061</v>
      </c>
      <c r="DG194" s="476" t="s">
        <v>4723</v>
      </c>
      <c r="DH194" s="484">
        <v>293</v>
      </c>
      <c r="DI194" s="484">
        <v>330</v>
      </c>
      <c r="DJ194" s="484">
        <v>0</v>
      </c>
      <c r="DK194" s="484">
        <v>0</v>
      </c>
      <c r="DL194" s="484">
        <v>329</v>
      </c>
      <c r="DM194" s="484">
        <v>240</v>
      </c>
      <c r="DN194" s="484">
        <v>301</v>
      </c>
      <c r="DO194" s="484">
        <v>30</v>
      </c>
      <c r="DP194" s="484">
        <v>19</v>
      </c>
      <c r="DQ194" s="484">
        <f>IF(VLOOKUP($BS194,'État &amp; Plan d''action'!$B$6:$AJ$1113,28,FALSE)="","",VLOOKUP($BS194,'État &amp; Plan d''action'!$B$6:$AJ$1113,28,FALSE))</f>
        <v>311</v>
      </c>
      <c r="DR194" s="70">
        <f>IF(VLOOKUP($BS194,'État &amp; Plan d''action'!$B$6:$AJ$1113,29,FALSE)="","",VLOOKUP($BS194,'État &amp; Plan d''action'!$B$6:$AJ$1113,29,FALSE))</f>
        <v>41</v>
      </c>
      <c r="DS194" s="70">
        <f>IF(VLOOKUP($BS194,'État &amp; Plan d''action'!$B$6:$AJ$1113,30,FALSE)="","",VLOOKUP($BS194,'État &amp; Plan d''action'!$B$6:$AJ$1113,30,FALSE))</f>
        <v>41</v>
      </c>
      <c r="DT194" s="70">
        <v>250</v>
      </c>
      <c r="DU194" s="485">
        <v>2.9723777591363842</v>
      </c>
      <c r="DV194" s="485">
        <v>3.3580888523890624</v>
      </c>
      <c r="DW194" s="70">
        <v>5</v>
      </c>
      <c r="DX194" s="70">
        <v>19</v>
      </c>
      <c r="DY194" s="70">
        <v>15</v>
      </c>
      <c r="DZ194" s="70">
        <f>VLOOKUP($BS194,'État &amp; Plan d''action'!$B$6:$AH$1113,31,FALSE)</f>
        <v>6</v>
      </c>
      <c r="EA194" s="70">
        <f>VLOOKUP($BS194,'État &amp; Plan d''action'!$B$6:$AH$1113,32,FALSE)</f>
        <v>7</v>
      </c>
      <c r="EB194" s="70">
        <f>VLOOKUP($BS194,'État &amp; Plan d''action'!$B$6:$AH$1113,33,FALSE)</f>
        <v>38</v>
      </c>
      <c r="EC194" s="70">
        <v>0</v>
      </c>
      <c r="ED194" s="70">
        <v>605.99</v>
      </c>
      <c r="EE194" s="70">
        <v>0</v>
      </c>
      <c r="EF194" s="70">
        <v>1250</v>
      </c>
      <c r="EG194" s="70">
        <v>0</v>
      </c>
      <c r="EH194" s="72">
        <v>76.885964912280699</v>
      </c>
      <c r="EI194" s="72">
        <v>283961</v>
      </c>
    </row>
    <row r="195" spans="1:139" ht="3" customHeight="1" x14ac:dyDescent="0.35">
      <c r="A195" s="1"/>
      <c r="B195" s="47"/>
      <c r="C195"/>
      <c r="D195"/>
      <c r="E195"/>
      <c r="F195"/>
      <c r="G195"/>
      <c r="H195"/>
      <c r="I195"/>
      <c r="J195"/>
      <c r="K195"/>
      <c r="L195"/>
      <c r="M195"/>
      <c r="N195"/>
      <c r="O195" s="70"/>
      <c r="P195" s="70"/>
      <c r="Q195" s="70"/>
      <c r="R195" s="70"/>
      <c r="S195" s="95"/>
      <c r="T195" s="70"/>
      <c r="Z195" s="438"/>
      <c r="BS195" s="486">
        <v>92055</v>
      </c>
      <c r="BT195" s="479" t="s">
        <v>954</v>
      </c>
      <c r="BU195" s="479">
        <v>2</v>
      </c>
      <c r="BV195" s="476" t="s">
        <v>1187</v>
      </c>
      <c r="BW195" s="476" t="s">
        <v>1187</v>
      </c>
      <c r="BX195" s="476" t="s">
        <v>1187</v>
      </c>
      <c r="BY195" s="476" t="s">
        <v>1187</v>
      </c>
      <c r="BZ195" s="476" t="s">
        <v>1187</v>
      </c>
      <c r="CA195" s="476" t="s">
        <v>1187</v>
      </c>
      <c r="CB195" s="476" t="s">
        <v>1187</v>
      </c>
      <c r="CC195" s="476" t="s">
        <v>1187</v>
      </c>
      <c r="CD195" s="476" t="s">
        <v>1187</v>
      </c>
      <c r="CE195" s="476" t="s">
        <v>1188</v>
      </c>
      <c r="CF195" s="476" t="s">
        <v>1188</v>
      </c>
      <c r="CG195" s="476" t="s">
        <v>1187</v>
      </c>
      <c r="CH195" s="476" t="s">
        <v>1188</v>
      </c>
      <c r="CI195" s="476" t="s">
        <v>1188</v>
      </c>
      <c r="CJ195" s="476" t="s">
        <v>1187</v>
      </c>
      <c r="CK195" s="476" t="s">
        <v>1188</v>
      </c>
      <c r="CL195" s="476" t="s">
        <v>1188</v>
      </c>
      <c r="CM195" s="476" t="str">
        <f>IF(VLOOKUP(BS195,'Données par municipalité'!$B$6:$E$1113,4,FALSE)="","non","oui")</f>
        <v>oui</v>
      </c>
      <c r="CN195" s="410">
        <v>499.37578027465673</v>
      </c>
      <c r="CO195" s="410">
        <v>518.49471046026531</v>
      </c>
      <c r="CP195" s="410"/>
      <c r="CQ195" s="410">
        <v>286.44609813568178</v>
      </c>
      <c r="CR195" s="410">
        <v>299.45346472936677</v>
      </c>
      <c r="CS195" s="410" t="s">
        <v>1124</v>
      </c>
      <c r="CT195" s="410">
        <v>214.30448478914062</v>
      </c>
      <c r="CU195" s="410">
        <v>385</v>
      </c>
      <c r="CV195" s="410">
        <f>IF(VLOOKUP(BS195,'Données par municipalité'!$B$6:$F$1113,4,FALSE)="","",VLOOKUP(BS195,'Données par municipalité'!$B$6:$F$1113,4,FALSE))</f>
        <v>318</v>
      </c>
      <c r="CW195" s="476" t="s">
        <v>4723</v>
      </c>
      <c r="CX195" s="483">
        <v>0</v>
      </c>
      <c r="CY195" s="483" t="s">
        <v>1124</v>
      </c>
      <c r="CZ195" s="483">
        <v>0</v>
      </c>
      <c r="DA195" s="483">
        <v>0</v>
      </c>
      <c r="DB195" s="483" t="s">
        <v>1124</v>
      </c>
      <c r="DC195" s="483">
        <v>0</v>
      </c>
      <c r="DD195" s="483">
        <v>0</v>
      </c>
      <c r="DE195" s="483">
        <f>IFERROR(SUM(VLOOKUP($BS195,'État &amp; Plan d''action'!$B$6:$Z$1113,18,FALSE),VLOOKUP($BS195,'État &amp; Plan d''action'!$B$6:$Z$1113,20,FALSE))/(VLOOKUP($BS195,'Données par municipalité'!$B$4:$L$1113,11,FALSE)),"")</f>
        <v>0</v>
      </c>
      <c r="DF195" s="483">
        <f>IFERROR(SUM(VLOOKUP($BS195,'État &amp; Plan d''action'!$B$6:$Z$1113,19,FALSE),VLOOKUP($BS195,'État &amp; Plan d''action'!$B$6:$Z$1113,21,FALSE))/(VLOOKUP($BS195,'Données par municipalité'!$B$4:$L$1113,11,FALSE)),"")</f>
        <v>0</v>
      </c>
      <c r="DG195" s="476" t="s">
        <v>4723</v>
      </c>
      <c r="DH195" s="484">
        <v>0</v>
      </c>
      <c r="DI195" s="484">
        <v>2</v>
      </c>
      <c r="DJ195" s="484">
        <v>2</v>
      </c>
      <c r="DK195" s="484">
        <v>3</v>
      </c>
      <c r="DL195" s="484" t="s">
        <v>1124</v>
      </c>
      <c r="DM195" s="484">
        <v>1</v>
      </c>
      <c r="DN195" s="484">
        <v>2</v>
      </c>
      <c r="DO195" s="484">
        <v>0</v>
      </c>
      <c r="DP195" s="484">
        <v>2</v>
      </c>
      <c r="DQ195" s="484">
        <f>IF(VLOOKUP($BS195,'État &amp; Plan d''action'!$B$6:$AJ$1113,28,FALSE)="","",VLOOKUP($BS195,'État &amp; Plan d''action'!$B$6:$AJ$1113,28,FALSE))</f>
        <v>0</v>
      </c>
      <c r="DR195" s="70">
        <f>IF(VLOOKUP($BS195,'État &amp; Plan d''action'!$B$6:$AJ$1113,29,FALSE)="","",VLOOKUP($BS195,'État &amp; Plan d''action'!$B$6:$AJ$1113,29,FALSE))</f>
        <v>0</v>
      </c>
      <c r="DS195" s="70">
        <f>IF(VLOOKUP($BS195,'État &amp; Plan d''action'!$B$6:$AJ$1113,30,FALSE)="","",VLOOKUP($BS195,'État &amp; Plan d''action'!$B$6:$AJ$1113,30,FALSE))</f>
        <v>0</v>
      </c>
      <c r="DT195" s="70">
        <v>276</v>
      </c>
      <c r="DU195" s="485">
        <v>1.1591090483816175</v>
      </c>
      <c r="DV195" s="485">
        <v>1.2612254482194034</v>
      </c>
      <c r="DW195" s="70">
        <v>2</v>
      </c>
      <c r="DX195" s="70">
        <v>0</v>
      </c>
      <c r="DY195" s="70">
        <v>3</v>
      </c>
      <c r="DZ195" s="70">
        <f>VLOOKUP($BS195,'État &amp; Plan d''action'!$B$6:$AH$1113,31,FALSE)</f>
        <v>0</v>
      </c>
      <c r="EA195" s="70">
        <f>VLOOKUP($BS195,'État &amp; Plan d''action'!$B$6:$AH$1113,32,FALSE)</f>
        <v>0</v>
      </c>
      <c r="EB195" s="70">
        <f>VLOOKUP($BS195,'État &amp; Plan d''action'!$B$6:$AH$1113,33,FALSE)</f>
        <v>0</v>
      </c>
      <c r="EC195" s="70">
        <v>11.048</v>
      </c>
      <c r="ED195" s="70">
        <v>0</v>
      </c>
      <c r="EE195" s="70">
        <v>0</v>
      </c>
      <c r="EF195" s="70">
        <v>0</v>
      </c>
      <c r="EG195" s="70">
        <v>0</v>
      </c>
      <c r="EH195" s="72">
        <v>56</v>
      </c>
      <c r="EI195" s="72">
        <v>1032</v>
      </c>
    </row>
    <row r="196" spans="1:139" ht="15.75" customHeight="1" x14ac:dyDescent="0.35">
      <c r="A196" s="1"/>
      <c r="B196" s="47"/>
      <c r="C196" s="527" t="s">
        <v>4765</v>
      </c>
      <c r="D196" s="527"/>
      <c r="E196" s="527"/>
      <c r="F196" s="525" t="str">
        <f>F168</f>
        <v>Nombre de municipalité</v>
      </c>
      <c r="G196" s="525" t="str">
        <f>G168</f>
        <v>Nombre de formulaires importés</v>
      </c>
      <c r="H196" s="525"/>
      <c r="I196" s="521" t="str">
        <f>I168</f>
        <v>Indice de fuites dans les infrastructures</v>
      </c>
      <c r="J196" s="521" t="str">
        <f>J168</f>
        <v>Consommation résidentielle
[L/pers/d]</v>
      </c>
      <c r="K196" s="521" t="str">
        <f>K168</f>
        <v>Quantité d'eau distribuée
[L/pers/d]</v>
      </c>
      <c r="L196" s="521"/>
      <c r="M196" s="521" t="str">
        <f>M168</f>
        <v>Résultat de validité des données</v>
      </c>
      <c r="N196" s="465" t="s">
        <v>4762</v>
      </c>
      <c r="O196" s="70"/>
      <c r="P196" s="70"/>
      <c r="Q196" s="70"/>
      <c r="R196" s="70"/>
      <c r="S196" s="95"/>
      <c r="T196" s="70"/>
      <c r="AO196" s="437"/>
      <c r="AP196" s="437"/>
      <c r="BS196" s="486">
        <v>96010</v>
      </c>
      <c r="BT196" s="479" t="s">
        <v>995</v>
      </c>
      <c r="BU196" s="479">
        <v>9</v>
      </c>
      <c r="BV196" s="476" t="s">
        <v>1188</v>
      </c>
      <c r="BW196" s="476" t="s">
        <v>1188</v>
      </c>
      <c r="BX196" s="476" t="s">
        <v>1188</v>
      </c>
      <c r="BY196" s="476" t="s">
        <v>1188</v>
      </c>
      <c r="BZ196" s="476" t="s">
        <v>1188</v>
      </c>
      <c r="CA196" s="476" t="s">
        <v>1188</v>
      </c>
      <c r="CB196" s="476" t="s">
        <v>1188</v>
      </c>
      <c r="CC196" s="476" t="s">
        <v>1188</v>
      </c>
      <c r="CD196" s="476" t="s">
        <v>1188</v>
      </c>
      <c r="CE196" s="476" t="s">
        <v>1187</v>
      </c>
      <c r="CF196" s="476" t="s">
        <v>1187</v>
      </c>
      <c r="CG196" s="476" t="s">
        <v>1187</v>
      </c>
      <c r="CH196" s="476" t="s">
        <v>1187</v>
      </c>
      <c r="CI196" s="476" t="s">
        <v>1187</v>
      </c>
      <c r="CJ196" s="476" t="s">
        <v>1187</v>
      </c>
      <c r="CK196" s="476" t="s">
        <v>1187</v>
      </c>
      <c r="CL196" s="476" t="s">
        <v>1187</v>
      </c>
      <c r="CM196" s="476" t="str">
        <f>IF(VLOOKUP(BS196,'Données par municipalité'!$B$6:$E$1113,4,FALSE)="","non","oui")</f>
        <v>non</v>
      </c>
      <c r="CN196" s="410" t="s">
        <v>1124</v>
      </c>
      <c r="CO196" s="410" t="s">
        <v>1124</v>
      </c>
      <c r="CP196" s="410"/>
      <c r="CQ196" s="410"/>
      <c r="CR196" s="410"/>
      <c r="CS196" s="410" t="s">
        <v>1124</v>
      </c>
      <c r="CT196" s="410"/>
      <c r="CU196" s="410" t="s">
        <v>1124</v>
      </c>
      <c r="CV196" s="410" t="str">
        <f>IF(VLOOKUP(BS196,'Données par municipalité'!$B$6:$F$1113,4,FALSE)="","",VLOOKUP(BS196,'Données par municipalité'!$B$6:$F$1113,4,FALSE))</f>
        <v/>
      </c>
      <c r="CW196" s="476" t="s">
        <v>4723</v>
      </c>
      <c r="CX196" s="483" t="s">
        <v>1124</v>
      </c>
      <c r="CY196" s="483" t="s">
        <v>1124</v>
      </c>
      <c r="CZ196" s="483" t="s">
        <v>1124</v>
      </c>
      <c r="DA196" s="483" t="s">
        <v>1124</v>
      </c>
      <c r="DB196" s="483" t="s">
        <v>1124</v>
      </c>
      <c r="DC196" s="483" t="s">
        <v>1124</v>
      </c>
      <c r="DD196" s="483" t="s">
        <v>1124</v>
      </c>
      <c r="DE196" s="483" t="str">
        <f>IFERROR(SUM(VLOOKUP($BS196,'État &amp; Plan d''action'!$B$6:$Z$1113,18,FALSE),VLOOKUP($BS196,'État &amp; Plan d''action'!$B$6:$Z$1113,20,FALSE))/(VLOOKUP($BS196,'Données par municipalité'!$B$4:$L$1113,11,FALSE)),"")</f>
        <v/>
      </c>
      <c r="DF196" s="483" t="str">
        <f>IFERROR(SUM(VLOOKUP($BS196,'État &amp; Plan d''action'!$B$6:$Z$1113,19,FALSE),VLOOKUP($BS196,'État &amp; Plan d''action'!$B$6:$Z$1113,21,FALSE))/(VLOOKUP($BS196,'Données par municipalité'!$B$4:$L$1113,11,FALSE)),"")</f>
        <v/>
      </c>
      <c r="DG196" s="476" t="s">
        <v>4723</v>
      </c>
      <c r="DH196" s="484">
        <v>1</v>
      </c>
      <c r="DI196" s="484" t="s">
        <v>1124</v>
      </c>
      <c r="DJ196" s="484">
        <v>0</v>
      </c>
      <c r="DK196" s="484">
        <v>0</v>
      </c>
      <c r="DL196" s="484" t="s">
        <v>1124</v>
      </c>
      <c r="DM196" s="484" t="s">
        <v>1124</v>
      </c>
      <c r="DN196" s="484" t="s">
        <v>1124</v>
      </c>
      <c r="DO196" s="484" t="s">
        <v>1124</v>
      </c>
      <c r="DP196" s="484" t="s">
        <v>1124</v>
      </c>
      <c r="DQ196" s="484" t="str">
        <f>IF(VLOOKUP($BS196,'État &amp; Plan d''action'!$B$6:$AJ$1113,28,FALSE)="","",VLOOKUP($BS196,'État &amp; Plan d''action'!$B$6:$AJ$1113,28,FALSE))</f>
        <v/>
      </c>
      <c r="DR196" s="70" t="str">
        <f>IF(VLOOKUP($BS196,'État &amp; Plan d''action'!$B$6:$AJ$1113,29,FALSE)="","",VLOOKUP($BS196,'État &amp; Plan d''action'!$B$6:$AJ$1113,29,FALSE))</f>
        <v/>
      </c>
      <c r="DS196" s="70" t="str">
        <f>IF(VLOOKUP($BS196,'État &amp; Plan d''action'!$B$6:$AJ$1113,30,FALSE)="","",VLOOKUP($BS196,'État &amp; Plan d''action'!$B$6:$AJ$1113,30,FALSE))</f>
        <v/>
      </c>
      <c r="DT196" s="70" t="s">
        <v>1124</v>
      </c>
      <c r="DU196" s="485" t="s">
        <v>1124</v>
      </c>
      <c r="DV196" s="485" t="s">
        <v>1124</v>
      </c>
      <c r="DW196" s="70" t="s">
        <v>1124</v>
      </c>
      <c r="DX196" s="70" t="s">
        <v>1124</v>
      </c>
      <c r="DY196" s="70" t="s">
        <v>1124</v>
      </c>
      <c r="DZ196" s="70" t="str">
        <f>VLOOKUP($BS196,'État &amp; Plan d''action'!$B$6:$AH$1113,31,FALSE)</f>
        <v/>
      </c>
      <c r="EA196" s="70" t="str">
        <f>VLOOKUP($BS196,'État &amp; Plan d''action'!$B$6:$AH$1113,32,FALSE)</f>
        <v/>
      </c>
      <c r="EB196" s="70" t="str">
        <f>VLOOKUP($BS196,'État &amp; Plan d''action'!$B$6:$AH$1113,33,FALSE)</f>
        <v/>
      </c>
      <c r="EC196" s="70" t="s">
        <v>1124</v>
      </c>
      <c r="ED196" s="70" t="s">
        <v>1124</v>
      </c>
      <c r="EE196" s="70" t="s">
        <v>1124</v>
      </c>
      <c r="EF196" s="70" t="s">
        <v>1124</v>
      </c>
      <c r="EG196" s="70" t="s">
        <v>1124</v>
      </c>
      <c r="EH196" s="72"/>
      <c r="EI196" s="72">
        <v>257</v>
      </c>
    </row>
    <row r="197" spans="1:139" ht="63" customHeight="1" x14ac:dyDescent="0.35">
      <c r="A197" s="1"/>
      <c r="B197" s="47" t="e">
        <f>MATCH(N197,'Données par municipalité'!H4:O4,0)</f>
        <v>#N/A</v>
      </c>
      <c r="C197" s="527"/>
      <c r="D197" s="527"/>
      <c r="E197" s="527"/>
      <c r="F197" s="526"/>
      <c r="G197" s="526"/>
      <c r="H197" s="526"/>
      <c r="I197" s="522"/>
      <c r="J197" s="522"/>
      <c r="K197" s="522"/>
      <c r="L197" s="522"/>
      <c r="M197" s="522"/>
      <c r="N197" s="471" t="s">
        <v>4763</v>
      </c>
      <c r="O197" s="70"/>
      <c r="P197" s="70"/>
      <c r="Q197" s="70"/>
      <c r="R197" s="70"/>
      <c r="S197" s="95"/>
      <c r="T197" s="70"/>
      <c r="V197" s="361" t="s">
        <v>4716</v>
      </c>
      <c r="W197" s="444" t="s">
        <v>1120</v>
      </c>
      <c r="X197" s="444" t="s">
        <v>1121</v>
      </c>
      <c r="Y197" s="444" t="s">
        <v>1119</v>
      </c>
      <c r="Z197" s="445" t="s">
        <v>1261</v>
      </c>
      <c r="AA197" s="444" t="s">
        <v>1258</v>
      </c>
      <c r="AB197" s="444" t="s">
        <v>1118</v>
      </c>
      <c r="AC197" s="444" t="s">
        <v>1189</v>
      </c>
      <c r="AD197" s="444" t="s">
        <v>1190</v>
      </c>
      <c r="AE197" s="444" t="s">
        <v>1191</v>
      </c>
      <c r="AF197" s="444" t="s">
        <v>1262</v>
      </c>
      <c r="AG197" s="444" t="s">
        <v>1157</v>
      </c>
      <c r="AH197" s="444" t="s">
        <v>1116</v>
      </c>
      <c r="AI197" s="444" t="s">
        <v>1195</v>
      </c>
      <c r="AJ197" s="444" t="s">
        <v>1196</v>
      </c>
      <c r="AK197" s="444" t="s">
        <v>1115</v>
      </c>
      <c r="AL197" s="444" t="s">
        <v>1216</v>
      </c>
      <c r="AM197" s="444" t="s">
        <v>1220</v>
      </c>
      <c r="AN197" s="444" t="s">
        <v>1217</v>
      </c>
      <c r="AO197" s="444" t="s">
        <v>1218</v>
      </c>
      <c r="BS197" s="486">
        <v>69060</v>
      </c>
      <c r="BT197" s="479" t="s">
        <v>693</v>
      </c>
      <c r="BU197" s="479">
        <v>16</v>
      </c>
      <c r="BV197" s="476" t="s">
        <v>1188</v>
      </c>
      <c r="BW197" s="476" t="s">
        <v>1188</v>
      </c>
      <c r="BX197" s="476" t="s">
        <v>1188</v>
      </c>
      <c r="BY197" s="476" t="s">
        <v>1188</v>
      </c>
      <c r="BZ197" s="476" t="s">
        <v>1188</v>
      </c>
      <c r="CA197" s="476" t="s">
        <v>1188</v>
      </c>
      <c r="CB197" s="476" t="s">
        <v>1188</v>
      </c>
      <c r="CC197" s="476" t="s">
        <v>1188</v>
      </c>
      <c r="CD197" s="476" t="s">
        <v>1188</v>
      </c>
      <c r="CE197" s="476" t="s">
        <v>1187</v>
      </c>
      <c r="CF197" s="476" t="s">
        <v>1187</v>
      </c>
      <c r="CG197" s="476" t="s">
        <v>1187</v>
      </c>
      <c r="CH197" s="476" t="s">
        <v>1187</v>
      </c>
      <c r="CI197" s="476" t="s">
        <v>1188</v>
      </c>
      <c r="CJ197" s="476" t="s">
        <v>1187</v>
      </c>
      <c r="CK197" s="476" t="s">
        <v>1187</v>
      </c>
      <c r="CL197" s="476" t="s">
        <v>1187</v>
      </c>
      <c r="CM197" s="476" t="str">
        <f>IF(VLOOKUP(BS197,'Données par municipalité'!$B$6:$E$1113,4,FALSE)="","non","oui")</f>
        <v>non</v>
      </c>
      <c r="CN197" s="410" t="s">
        <v>1124</v>
      </c>
      <c r="CO197" s="410" t="s">
        <v>1124</v>
      </c>
      <c r="CP197" s="410"/>
      <c r="CQ197" s="410"/>
      <c r="CR197" s="410">
        <v>357.40987935285278</v>
      </c>
      <c r="CS197" s="410" t="s">
        <v>1124</v>
      </c>
      <c r="CT197" s="410"/>
      <c r="CU197" s="410" t="s">
        <v>1124</v>
      </c>
      <c r="CV197" s="410" t="str">
        <f>IF(VLOOKUP(BS197,'Données par municipalité'!$B$6:$F$1113,4,FALSE)="","",VLOOKUP(BS197,'Données par municipalité'!$B$6:$F$1113,4,FALSE))</f>
        <v/>
      </c>
      <c r="CW197" s="476" t="s">
        <v>4723</v>
      </c>
      <c r="CX197" s="483" t="s">
        <v>1124</v>
      </c>
      <c r="CY197" s="483" t="s">
        <v>1124</v>
      </c>
      <c r="CZ197" s="483" t="s">
        <v>1124</v>
      </c>
      <c r="DA197" s="483">
        <v>0</v>
      </c>
      <c r="DB197" s="483" t="s">
        <v>1124</v>
      </c>
      <c r="DC197" s="483" t="s">
        <v>1124</v>
      </c>
      <c r="DD197" s="483" t="s">
        <v>1124</v>
      </c>
      <c r="DE197" s="483" t="str">
        <f>IFERROR(SUM(VLOOKUP($BS197,'État &amp; Plan d''action'!$B$6:$Z$1113,18,FALSE),VLOOKUP($BS197,'État &amp; Plan d''action'!$B$6:$Z$1113,20,FALSE))/(VLOOKUP($BS197,'Données par municipalité'!$B$4:$L$1113,11,FALSE)),"")</f>
        <v/>
      </c>
      <c r="DF197" s="483" t="str">
        <f>IFERROR(SUM(VLOOKUP($BS197,'État &amp; Plan d''action'!$B$6:$Z$1113,19,FALSE),VLOOKUP($BS197,'État &amp; Plan d''action'!$B$6:$Z$1113,21,FALSE))/(VLOOKUP($BS197,'Données par municipalité'!$B$4:$L$1113,11,FALSE)),"")</f>
        <v/>
      </c>
      <c r="DG197" s="476" t="s">
        <v>4723</v>
      </c>
      <c r="DH197" s="484" t="s">
        <v>1124</v>
      </c>
      <c r="DI197" s="484" t="s">
        <v>1124</v>
      </c>
      <c r="DJ197" s="484">
        <v>0</v>
      </c>
      <c r="DK197" s="484">
        <v>0</v>
      </c>
      <c r="DL197" s="484" t="s">
        <v>1124</v>
      </c>
      <c r="DM197" s="484" t="s">
        <v>1124</v>
      </c>
      <c r="DN197" s="484" t="s">
        <v>1124</v>
      </c>
      <c r="DO197" s="484" t="s">
        <v>1124</v>
      </c>
      <c r="DP197" s="484" t="s">
        <v>1124</v>
      </c>
      <c r="DQ197" s="484" t="str">
        <f>IF(VLOOKUP($BS197,'État &amp; Plan d''action'!$B$6:$AJ$1113,28,FALSE)="","",VLOOKUP($BS197,'État &amp; Plan d''action'!$B$6:$AJ$1113,28,FALSE))</f>
        <v/>
      </c>
      <c r="DR197" s="70" t="str">
        <f>IF(VLOOKUP($BS197,'État &amp; Plan d''action'!$B$6:$AJ$1113,29,FALSE)="","",VLOOKUP($BS197,'État &amp; Plan d''action'!$B$6:$AJ$1113,29,FALSE))</f>
        <v/>
      </c>
      <c r="DS197" s="70" t="str">
        <f>IF(VLOOKUP($BS197,'État &amp; Plan d''action'!$B$6:$AJ$1113,30,FALSE)="","",VLOOKUP($BS197,'État &amp; Plan d''action'!$B$6:$AJ$1113,30,FALSE))</f>
        <v/>
      </c>
      <c r="DT197" s="70" t="s">
        <v>1124</v>
      </c>
      <c r="DU197" s="485" t="s">
        <v>1124</v>
      </c>
      <c r="DV197" s="485" t="s">
        <v>1124</v>
      </c>
      <c r="DW197" s="70" t="s">
        <v>1124</v>
      </c>
      <c r="DX197" s="70" t="s">
        <v>1124</v>
      </c>
      <c r="DY197" s="70" t="s">
        <v>1124</v>
      </c>
      <c r="DZ197" s="70" t="str">
        <f>VLOOKUP($BS197,'État &amp; Plan d''action'!$B$6:$AH$1113,31,FALSE)</f>
        <v/>
      </c>
      <c r="EA197" s="70" t="str">
        <f>VLOOKUP($BS197,'État &amp; Plan d''action'!$B$6:$AH$1113,32,FALSE)</f>
        <v/>
      </c>
      <c r="EB197" s="70" t="str">
        <f>VLOOKUP($BS197,'État &amp; Plan d''action'!$B$6:$AH$1113,33,FALSE)</f>
        <v/>
      </c>
      <c r="EC197" s="70" t="s">
        <v>1124</v>
      </c>
      <c r="ED197" s="70" t="s">
        <v>1124</v>
      </c>
      <c r="EE197" s="70" t="s">
        <v>1124</v>
      </c>
      <c r="EF197" s="70" t="s">
        <v>1124</v>
      </c>
      <c r="EG197" s="70" t="s">
        <v>1124</v>
      </c>
      <c r="EH197" s="72"/>
      <c r="EI197" s="72">
        <v>1420</v>
      </c>
    </row>
    <row r="198" spans="1:139" ht="29.25" customHeight="1" x14ac:dyDescent="0.35">
      <c r="A198" s="1"/>
      <c r="B198" s="47"/>
      <c r="C198" s="527"/>
      <c r="D198" s="527"/>
      <c r="E198" s="527"/>
      <c r="F198" s="466" t="s">
        <v>1122</v>
      </c>
      <c r="G198" s="524" t="s">
        <v>1122</v>
      </c>
      <c r="H198" s="524"/>
      <c r="I198" s="466" t="s">
        <v>1266</v>
      </c>
      <c r="J198" s="466" t="s">
        <v>1266</v>
      </c>
      <c r="K198" s="523" t="s">
        <v>1266</v>
      </c>
      <c r="L198" s="523"/>
      <c r="M198" s="400" t="s">
        <v>1267</v>
      </c>
      <c r="N198" s="467" t="str">
        <f>IF(N197=$S$177,"Moy. Pondérée",IF(N197=$S$170,"","Total"))</f>
        <v/>
      </c>
      <c r="O198" s="70"/>
      <c r="P198" s="70"/>
      <c r="Q198" s="70"/>
      <c r="R198" s="70"/>
      <c r="S198" s="95"/>
      <c r="T198" s="70"/>
      <c r="V198" s="361"/>
      <c r="W198" s="446" t="s">
        <v>1178</v>
      </c>
      <c r="X198" s="446" t="s">
        <v>1178</v>
      </c>
      <c r="Y198" s="446" t="s">
        <v>1178</v>
      </c>
      <c r="Z198" s="446" t="s">
        <v>1178</v>
      </c>
      <c r="AA198" s="446" t="s">
        <v>1178</v>
      </c>
      <c r="AB198" s="446" t="s">
        <v>1178</v>
      </c>
      <c r="AC198" s="446" t="s">
        <v>1178</v>
      </c>
      <c r="AD198" s="446" t="s">
        <v>1178</v>
      </c>
      <c r="AE198" s="446" t="s">
        <v>1178</v>
      </c>
      <c r="AF198" s="446" t="s">
        <v>1178</v>
      </c>
      <c r="AG198" s="446" t="s">
        <v>1179</v>
      </c>
      <c r="AH198" s="446" t="s">
        <v>1178</v>
      </c>
      <c r="AI198" s="506" t="s">
        <v>1179</v>
      </c>
      <c r="AJ198" s="506" t="s">
        <v>1179</v>
      </c>
      <c r="AK198" s="506" t="s">
        <v>1197</v>
      </c>
      <c r="AL198" s="506"/>
      <c r="AM198" s="506" t="s">
        <v>1179</v>
      </c>
      <c r="AN198" s="506" t="s">
        <v>1122</v>
      </c>
      <c r="AO198" s="506" t="s">
        <v>1122</v>
      </c>
      <c r="BS198" s="486">
        <v>76025</v>
      </c>
      <c r="BT198" s="479" t="s">
        <v>749</v>
      </c>
      <c r="BU198" s="479">
        <v>15</v>
      </c>
      <c r="BV198" s="476" t="s">
        <v>1188</v>
      </c>
      <c r="BW198" s="476" t="s">
        <v>1188</v>
      </c>
      <c r="BX198" s="476" t="s">
        <v>1188</v>
      </c>
      <c r="BY198" s="476" t="s">
        <v>1188</v>
      </c>
      <c r="BZ198" s="476" t="s">
        <v>1188</v>
      </c>
      <c r="CA198" s="476" t="s">
        <v>1188</v>
      </c>
      <c r="CB198" s="476" t="s">
        <v>1188</v>
      </c>
      <c r="CC198" s="476" t="s">
        <v>1188</v>
      </c>
      <c r="CD198" s="476" t="s">
        <v>1188</v>
      </c>
      <c r="CE198" s="476" t="s">
        <v>1187</v>
      </c>
      <c r="CF198" s="476" t="s">
        <v>1187</v>
      </c>
      <c r="CG198" s="476" t="s">
        <v>1187</v>
      </c>
      <c r="CH198" s="476" t="s">
        <v>1187</v>
      </c>
      <c r="CI198" s="476" t="s">
        <v>1187</v>
      </c>
      <c r="CJ198" s="476" t="s">
        <v>1187</v>
      </c>
      <c r="CK198" s="476" t="s">
        <v>1187</v>
      </c>
      <c r="CL198" s="476" t="s">
        <v>1187</v>
      </c>
      <c r="CM198" s="476" t="str">
        <f>IF(VLOOKUP(BS198,'Données par municipalité'!$B$6:$E$1113,4,FALSE)="","non","oui")</f>
        <v>non</v>
      </c>
      <c r="CN198" s="410" t="s">
        <v>1124</v>
      </c>
      <c r="CO198" s="410" t="s">
        <v>1124</v>
      </c>
      <c r="CP198" s="410"/>
      <c r="CQ198" s="410"/>
      <c r="CR198" s="410"/>
      <c r="CS198" s="410" t="s">
        <v>1124</v>
      </c>
      <c r="CT198" s="410"/>
      <c r="CU198" s="410" t="s">
        <v>1124</v>
      </c>
      <c r="CV198" s="410" t="str">
        <f>IF(VLOOKUP(BS198,'Données par municipalité'!$B$6:$F$1113,4,FALSE)="","",VLOOKUP(BS198,'Données par municipalité'!$B$6:$F$1113,4,FALSE))</f>
        <v/>
      </c>
      <c r="CW198" s="476" t="s">
        <v>4723</v>
      </c>
      <c r="CX198" s="483" t="s">
        <v>1124</v>
      </c>
      <c r="CY198" s="483" t="s">
        <v>1124</v>
      </c>
      <c r="CZ198" s="483" t="s">
        <v>1124</v>
      </c>
      <c r="DA198" s="483" t="s">
        <v>1124</v>
      </c>
      <c r="DB198" s="483" t="s">
        <v>1124</v>
      </c>
      <c r="DC198" s="483" t="s">
        <v>1124</v>
      </c>
      <c r="DD198" s="483" t="s">
        <v>1124</v>
      </c>
      <c r="DE198" s="483" t="str">
        <f>IFERROR(SUM(VLOOKUP($BS198,'État &amp; Plan d''action'!$B$6:$Z$1113,18,FALSE),VLOOKUP($BS198,'État &amp; Plan d''action'!$B$6:$Z$1113,20,FALSE))/(VLOOKUP($BS198,'Données par municipalité'!$B$4:$L$1113,11,FALSE)),"")</f>
        <v/>
      </c>
      <c r="DF198" s="483" t="str">
        <f>IFERROR(SUM(VLOOKUP($BS198,'État &amp; Plan d''action'!$B$6:$Z$1113,19,FALSE),VLOOKUP($BS198,'État &amp; Plan d''action'!$B$6:$Z$1113,21,FALSE))/(VLOOKUP($BS198,'Données par municipalité'!$B$4:$L$1113,11,FALSE)),"")</f>
        <v/>
      </c>
      <c r="DG198" s="476" t="s">
        <v>4723</v>
      </c>
      <c r="DH198" s="484" t="s">
        <v>1124</v>
      </c>
      <c r="DI198" s="484" t="s">
        <v>1124</v>
      </c>
      <c r="DJ198" s="484">
        <v>0</v>
      </c>
      <c r="DK198" s="484">
        <v>0</v>
      </c>
      <c r="DL198" s="484" t="s">
        <v>1124</v>
      </c>
      <c r="DM198" s="484" t="s">
        <v>1124</v>
      </c>
      <c r="DN198" s="484" t="s">
        <v>1124</v>
      </c>
      <c r="DO198" s="484" t="s">
        <v>1124</v>
      </c>
      <c r="DP198" s="484" t="s">
        <v>1124</v>
      </c>
      <c r="DQ198" s="484" t="str">
        <f>IF(VLOOKUP($BS198,'État &amp; Plan d''action'!$B$6:$AJ$1113,28,FALSE)="","",VLOOKUP($BS198,'État &amp; Plan d''action'!$B$6:$AJ$1113,28,FALSE))</f>
        <v/>
      </c>
      <c r="DR198" s="70" t="str">
        <f>IF(VLOOKUP($BS198,'État &amp; Plan d''action'!$B$6:$AJ$1113,29,FALSE)="","",VLOOKUP($BS198,'État &amp; Plan d''action'!$B$6:$AJ$1113,29,FALSE))</f>
        <v/>
      </c>
      <c r="DS198" s="70" t="str">
        <f>IF(VLOOKUP($BS198,'État &amp; Plan d''action'!$B$6:$AJ$1113,30,FALSE)="","",VLOOKUP($BS198,'État &amp; Plan d''action'!$B$6:$AJ$1113,30,FALSE))</f>
        <v/>
      </c>
      <c r="DT198" s="70" t="s">
        <v>1124</v>
      </c>
      <c r="DU198" s="485" t="s">
        <v>1124</v>
      </c>
      <c r="DV198" s="485" t="s">
        <v>1124</v>
      </c>
      <c r="DW198" s="70" t="s">
        <v>1124</v>
      </c>
      <c r="DX198" s="70" t="s">
        <v>1124</v>
      </c>
      <c r="DY198" s="70" t="s">
        <v>1124</v>
      </c>
      <c r="DZ198" s="70" t="str">
        <f>VLOOKUP($BS198,'État &amp; Plan d''action'!$B$6:$AH$1113,31,FALSE)</f>
        <v/>
      </c>
      <c r="EA198" s="70" t="str">
        <f>VLOOKUP($BS198,'État &amp; Plan d''action'!$B$6:$AH$1113,32,FALSE)</f>
        <v/>
      </c>
      <c r="EB198" s="70" t="str">
        <f>VLOOKUP($BS198,'État &amp; Plan d''action'!$B$6:$AH$1113,33,FALSE)</f>
        <v/>
      </c>
      <c r="EC198" s="70" t="s">
        <v>1124</v>
      </c>
      <c r="ED198" s="70" t="s">
        <v>1124</v>
      </c>
      <c r="EE198" s="70" t="s">
        <v>1124</v>
      </c>
      <c r="EF198" s="70" t="s">
        <v>1124</v>
      </c>
      <c r="EG198" s="70" t="s">
        <v>1124</v>
      </c>
      <c r="EH198" s="72"/>
      <c r="EI198" s="72">
        <v>1962</v>
      </c>
    </row>
    <row r="199" spans="1:139" ht="15.5" x14ac:dyDescent="0.35">
      <c r="A199" s="1"/>
      <c r="B199" s="47" t="str">
        <f>IF(AND(C199&lt;=IF(W21="","",VLOOKUP($W$21,'Données par municipalité'!$B$6:$K$1113,10,FALSE)),IF(W21="","",VLOOKUP($W$21,'Données par municipalité'!$B$6:$K$1113,10,FALSE))&lt;999),$W$20,"")</f>
        <v/>
      </c>
      <c r="C199" s="462">
        <v>0</v>
      </c>
      <c r="D199" s="463" t="s">
        <v>1181</v>
      </c>
      <c r="E199" s="464" t="s">
        <v>1222</v>
      </c>
      <c r="F199" s="397">
        <v>247</v>
      </c>
      <c r="G199" s="551">
        <v>179</v>
      </c>
      <c r="H199" s="549"/>
      <c r="I199" s="398">
        <v>2.5121339932485478</v>
      </c>
      <c r="J199" s="399">
        <v>221.58046482104388</v>
      </c>
      <c r="K199" s="558">
        <v>409.24266540610074</v>
      </c>
      <c r="L199" s="558"/>
      <c r="M199" s="399">
        <v>56.380523973339017</v>
      </c>
      <c r="N199" s="468" t="str">
        <f t="shared" ref="N199:N204" si="21">IF($N$197=$S$170,"",IF($N$197=$S$171,TEXT(AN199,"#"),IF($N$197=$S$172,TEXT(AO199,"# ###"),IF($N$197=$S$173,TEXT(AB199,"# ###"),IF($N$197=$S$174,Y199,IF($N$197=$S$175,AA199,IF($N$197=$S$176,W199,IF($N$197=$S$177,TEXT(AG199,"0%"),IF($N$197=$S$178,TEXT(AF199,"# ###"))))))))))</f>
        <v/>
      </c>
      <c r="O199" s="70"/>
      <c r="P199" s="70"/>
      <c r="Q199" s="72"/>
      <c r="R199" s="70"/>
      <c r="S199" s="95"/>
      <c r="T199" s="70"/>
      <c r="V199" s="361" t="s">
        <v>1222</v>
      </c>
      <c r="W199" s="447">
        <f>SUMIFS('Données par municipalité'!$P$6:$P$1113,'Données par municipalité'!$K$6:$K$1113,"&lt;1000")</f>
        <v>5092.5742761814709</v>
      </c>
      <c r="X199" s="447">
        <f>SUMIFS('Données par municipalité'!$Q$6:$Q$1113,'Données par municipalité'!$K$6:$K$1113,"&lt;1000")</f>
        <v>2027.1905439231946</v>
      </c>
      <c r="Y199" s="447">
        <f>SUMIFS('Données par municipalité'!$L$6:$L$1113,'Données par municipalité'!$K$6:$K$1113,"&lt;1000")</f>
        <v>2485.8738700000022</v>
      </c>
      <c r="Z199" s="447">
        <f>SUMIFS('État &amp; Plan d''action'!$S$6:$S$1113,'Données par municipalité'!$K$6:$K$1113,"&lt;1000")+SUMIFS('État &amp; Plan d''action'!$U$6:$U$1113,'Données par municipalité'!$K$6:$K$1113,"&lt;1000")</f>
        <v>1041.2489999999998</v>
      </c>
      <c r="AA199" s="447">
        <f>SUMIFS('Données par municipalité'!$N$6:$N$1113,'Données par municipalité'!$K$6:$K$1113,"&lt;1000")</f>
        <v>19821.511615599553</v>
      </c>
      <c r="AB199" s="507">
        <f>SUMIFS('Données par municipalité'!$K$6:$K$1113,'Données par municipalité'!$K$6:$K$1113,"&lt;1000")</f>
        <v>132697.57986188127</v>
      </c>
      <c r="AC199" s="507">
        <f>SUMIFS('État &amp; Plan d''action'!$AC$6:$AC$1113,'Données par municipalité'!$K$6:$K$1113,"&lt;1000")</f>
        <v>174</v>
      </c>
      <c r="AD199" s="508">
        <f>SUMIFS('État &amp; Plan d''action'!$AD$6:$AD$1113,'Données par municipalité'!$K$6:$K$1113,"&lt;1000")</f>
        <v>135</v>
      </c>
      <c r="AE199" s="508">
        <f>SUMIFS('État &amp; Plan d''action'!$AE$6:$AE$1113,'Données par municipalité'!$K$6:$K$1113,"&lt;1000")</f>
        <v>180</v>
      </c>
      <c r="AF199" s="447">
        <f>SUM(AC199:AE199)</f>
        <v>489</v>
      </c>
      <c r="AG199" s="509">
        <f>Z199/Y199</f>
        <v>0.41886638439946228</v>
      </c>
      <c r="AH199" s="510">
        <f>(SUMIFS('Données par municipalité'!$O$6:$O$1113,'Données par municipalité'!$K$6:$K$1113,"&lt;1000")*1000000/365)/SUMIFS('Données par municipalité'!$K$6:$K$1113,'Données par municipalité'!$K$6:$K$1113,"&lt;1000")</f>
        <v>221.58046482104388</v>
      </c>
      <c r="AI199" s="511">
        <f t="shared" ref="AI199:AI204" si="22">W199/X199</f>
        <v>2.5121339932485478</v>
      </c>
      <c r="AJ199" s="510"/>
      <c r="AK199" s="510">
        <f>AVERAGEIFS('Données par municipalité'!$S$6:$S$1113,'Données par municipalité'!$K$6:$K$1113,"&lt;1000")</f>
        <v>56.380523973339017</v>
      </c>
      <c r="AL199" s="511"/>
      <c r="AM199" s="510">
        <f>(SUMIFS('Données par municipalité'!$N$6:$N$1113,'Données par municipalité'!$K$6:$K$1113,"&lt;1000")*1000000/365)/SUMIFS('Données par municipalité'!$K$6:$K$1113,'Données par municipalité'!$K$6:$K$1113,"&lt;1000")</f>
        <v>409.24266540610074</v>
      </c>
      <c r="AN199" s="437">
        <f>SUMIFS('Données par municipalité'!$H$6:$H$1113,'Données par municipalité'!$K$6:$K$1113,"&lt;1000")+SUMIFS('Données par municipalité'!H6:H1113,'Données par municipalité'!K6:K1113,"")</f>
        <v>310</v>
      </c>
      <c r="AO199" s="437">
        <f>SUMIFS('Données par municipalité'!$I$6:$I$1113,'Données par municipalité'!$K$6:$K$1113,"&lt;1000")+SUMIFS('Données par municipalité'!I6:I1113,'Données par municipalité'!K6:K1113,"")</f>
        <v>65153</v>
      </c>
      <c r="BS199" s="486">
        <v>99060</v>
      </c>
      <c r="BT199" s="479" t="s">
        <v>1023</v>
      </c>
      <c r="BU199" s="479">
        <v>10</v>
      </c>
      <c r="BV199" s="476" t="s">
        <v>1187</v>
      </c>
      <c r="BW199" s="476" t="s">
        <v>1187</v>
      </c>
      <c r="BX199" s="476" t="s">
        <v>1187</v>
      </c>
      <c r="BY199" s="476" t="s">
        <v>1187</v>
      </c>
      <c r="BZ199" s="476" t="s">
        <v>1187</v>
      </c>
      <c r="CA199" s="476" t="s">
        <v>1187</v>
      </c>
      <c r="CB199" s="476" t="s">
        <v>1187</v>
      </c>
      <c r="CC199" s="476" t="s">
        <v>1187</v>
      </c>
      <c r="CD199" s="476" t="s">
        <v>1187</v>
      </c>
      <c r="CE199" s="476" t="s">
        <v>1188</v>
      </c>
      <c r="CF199" s="476" t="s">
        <v>1187</v>
      </c>
      <c r="CG199" s="476" t="s">
        <v>1187</v>
      </c>
      <c r="CH199" s="476" t="s">
        <v>1188</v>
      </c>
      <c r="CI199" s="476" t="s">
        <v>1188</v>
      </c>
      <c r="CJ199" s="476" t="s">
        <v>1187</v>
      </c>
      <c r="CK199" s="476" t="s">
        <v>1187</v>
      </c>
      <c r="CL199" s="476" t="s">
        <v>1187</v>
      </c>
      <c r="CM199" s="476" t="str">
        <f>IF(VLOOKUP(BS199,'Données par municipalité'!$B$6:$E$1113,4,FALSE)="","non","oui")</f>
        <v>non</v>
      </c>
      <c r="CN199" s="410">
        <v>4252.590787948483</v>
      </c>
      <c r="CO199" s="410" t="s">
        <v>1124</v>
      </c>
      <c r="CP199" s="410"/>
      <c r="CQ199" s="410">
        <v>892</v>
      </c>
      <c r="CR199" s="410">
        <v>857.52079932315371</v>
      </c>
      <c r="CS199" s="410" t="s">
        <v>1124</v>
      </c>
      <c r="CT199" s="410"/>
      <c r="CU199" s="410" t="s">
        <v>1124</v>
      </c>
      <c r="CV199" s="410" t="str">
        <f>IF(VLOOKUP(BS199,'Données par municipalité'!$B$6:$F$1113,4,FALSE)="","",VLOOKUP(BS199,'Données par municipalité'!$B$6:$F$1113,4,FALSE))</f>
        <v/>
      </c>
      <c r="CW199" s="476" t="s">
        <v>4723</v>
      </c>
      <c r="CX199" s="483" t="s">
        <v>1124</v>
      </c>
      <c r="CY199" s="483" t="s">
        <v>1124</v>
      </c>
      <c r="CZ199" s="483">
        <v>1</v>
      </c>
      <c r="DA199" s="483">
        <v>1</v>
      </c>
      <c r="DB199" s="483" t="s">
        <v>1124</v>
      </c>
      <c r="DC199" s="483" t="s">
        <v>1124</v>
      </c>
      <c r="DD199" s="483" t="s">
        <v>1124</v>
      </c>
      <c r="DE199" s="483" t="str">
        <f>IFERROR(SUM(VLOOKUP($BS199,'État &amp; Plan d''action'!$B$6:$Z$1113,18,FALSE),VLOOKUP($BS199,'État &amp; Plan d''action'!$B$6:$Z$1113,20,FALSE))/(VLOOKUP($BS199,'Données par municipalité'!$B$4:$L$1113,11,FALSE)),"")</f>
        <v/>
      </c>
      <c r="DF199" s="483" t="str">
        <f>IFERROR(SUM(VLOOKUP($BS199,'État &amp; Plan d''action'!$B$6:$Z$1113,19,FALSE),VLOOKUP($BS199,'État &amp; Plan d''action'!$B$6:$Z$1113,21,FALSE))/(VLOOKUP($BS199,'Données par municipalité'!$B$4:$L$1113,11,FALSE)),"")</f>
        <v/>
      </c>
      <c r="DG199" s="476" t="s">
        <v>4723</v>
      </c>
      <c r="DH199" s="484">
        <v>17</v>
      </c>
      <c r="DI199" s="484">
        <v>18</v>
      </c>
      <c r="DJ199" s="484">
        <v>13</v>
      </c>
      <c r="DK199" s="484">
        <v>9</v>
      </c>
      <c r="DL199" s="484" t="s">
        <v>1124</v>
      </c>
      <c r="DM199" s="484" t="s">
        <v>1124</v>
      </c>
      <c r="DN199" s="484" t="s">
        <v>1124</v>
      </c>
      <c r="DO199" s="484" t="s">
        <v>1124</v>
      </c>
      <c r="DP199" s="484" t="s">
        <v>1124</v>
      </c>
      <c r="DQ199" s="484" t="str">
        <f>IF(VLOOKUP($BS199,'État &amp; Plan d''action'!$B$6:$AJ$1113,28,FALSE)="","",VLOOKUP($BS199,'État &amp; Plan d''action'!$B$6:$AJ$1113,28,FALSE))</f>
        <v/>
      </c>
      <c r="DR199" s="70" t="str">
        <f>IF(VLOOKUP($BS199,'État &amp; Plan d''action'!$B$6:$AJ$1113,29,FALSE)="","",VLOOKUP($BS199,'État &amp; Plan d''action'!$B$6:$AJ$1113,29,FALSE))</f>
        <v/>
      </c>
      <c r="DS199" s="70" t="str">
        <f>IF(VLOOKUP($BS199,'État &amp; Plan d''action'!$B$6:$AJ$1113,30,FALSE)="","",VLOOKUP($BS199,'État &amp; Plan d''action'!$B$6:$AJ$1113,30,FALSE))</f>
        <v/>
      </c>
      <c r="DT199" s="70" t="s">
        <v>1124</v>
      </c>
      <c r="DU199" s="485" t="s">
        <v>1124</v>
      </c>
      <c r="DV199" s="485" t="s">
        <v>1124</v>
      </c>
      <c r="DW199" s="70" t="s">
        <v>1124</v>
      </c>
      <c r="DX199" s="70" t="s">
        <v>1124</v>
      </c>
      <c r="DY199" s="70" t="s">
        <v>1124</v>
      </c>
      <c r="DZ199" s="70" t="str">
        <f>VLOOKUP($BS199,'État &amp; Plan d''action'!$B$6:$AH$1113,31,FALSE)</f>
        <v/>
      </c>
      <c r="EA199" s="70" t="str">
        <f>VLOOKUP($BS199,'État &amp; Plan d''action'!$B$6:$AH$1113,32,FALSE)</f>
        <v/>
      </c>
      <c r="EB199" s="70" t="str">
        <f>VLOOKUP($BS199,'État &amp; Plan d''action'!$B$6:$AH$1113,33,FALSE)</f>
        <v/>
      </c>
      <c r="EC199" s="70" t="s">
        <v>1124</v>
      </c>
      <c r="ED199" s="70" t="s">
        <v>1124</v>
      </c>
      <c r="EE199" s="70" t="s">
        <v>1124</v>
      </c>
      <c r="EF199" s="70" t="s">
        <v>1124</v>
      </c>
      <c r="EG199" s="70" t="s">
        <v>1124</v>
      </c>
      <c r="EH199" s="72"/>
      <c r="EI199" s="72">
        <v>1581</v>
      </c>
    </row>
    <row r="200" spans="1:139" ht="15.5" x14ac:dyDescent="0.35">
      <c r="A200" s="1"/>
      <c r="B200" s="47" t="str">
        <f>IF(AND(C200&lt;=IF(W21="","",VLOOKUP($W$21,'Données par municipalité'!$B$6:$K$1113,10,FALSE)),IF(W21="","",VLOOKUP($W$21,'Données par municipalité'!$B$6:$K$1113,10,FALSE))&lt;4999),$W$20,"")</f>
        <v/>
      </c>
      <c r="C200" s="58">
        <v>1000</v>
      </c>
      <c r="D200" s="59" t="s">
        <v>1181</v>
      </c>
      <c r="E200" s="406" t="s">
        <v>1223</v>
      </c>
      <c r="F200" s="51">
        <v>377</v>
      </c>
      <c r="G200" s="556">
        <v>279</v>
      </c>
      <c r="H200" s="556"/>
      <c r="I200" s="49">
        <v>2.9547491436411342</v>
      </c>
      <c r="J200" s="50">
        <v>238.58395500764215</v>
      </c>
      <c r="K200" s="557">
        <v>455.38431162941151</v>
      </c>
      <c r="L200" s="557"/>
      <c r="M200" s="50">
        <v>58.419417171882259</v>
      </c>
      <c r="N200" s="469" t="str">
        <f t="shared" si="21"/>
        <v/>
      </c>
      <c r="O200" s="70"/>
      <c r="P200" s="70"/>
      <c r="Q200" s="70"/>
      <c r="R200" s="70"/>
      <c r="S200" s="95"/>
      <c r="T200" s="70"/>
      <c r="V200" s="361" t="s">
        <v>1223</v>
      </c>
      <c r="W200" s="447">
        <f>SUMIFS('Données par municipalité'!$P$6:$P$1113,'Données par municipalité'!$K$6:$K$1113,"&lt;5000")-SUM($W$199:$W199)</f>
        <v>16111.924190410047</v>
      </c>
      <c r="X200" s="447">
        <f>SUMIFS('Données par municipalité'!$Q$6:$Q$1113,'Données par municipalité'!$K$6:$K$1113,"&lt;5000")-SUM($X$199:$X199)</f>
        <v>5452.8907217332635</v>
      </c>
      <c r="Y200" s="447">
        <f>SUMIFS('Données par municipalité'!$L$6:$L$1113,'Données par municipalité'!$K$6:$K$1113,"&lt;5000")-SUM($Y$199:$Y199)</f>
        <v>5398.7597299999943</v>
      </c>
      <c r="Z200" s="447">
        <f>(SUMIFS('État &amp; Plan d''action'!$S$6:$S$1113,'Données par municipalité'!$K$6:$K$1113,"&lt;5000"))+(SUMIFS('État &amp; Plan d''action'!$U$6:$U$1113,'Données par municipalité'!$K$6:$K$1113,"&lt;5000"))-Z199</f>
        <v>3306.1392599999981</v>
      </c>
      <c r="AA200" s="447">
        <f>SUMIFS('Données par municipalité'!$N$6:$N$1113,'Données par municipalité'!$K$6:$K$1113,"&lt;5000")-SUM($AA$199:$AA199)</f>
        <v>74987.238289374509</v>
      </c>
      <c r="AB200" s="507">
        <f>SUMIFS('Données par municipalité'!$K$6:$K$1113,'Données par municipalité'!$K$6:$K$1113,"&lt;5000")-SUM($AB$199:$AB199)</f>
        <v>451145.292486994</v>
      </c>
      <c r="AC200" s="507">
        <f>SUMIFS('État &amp; Plan d''action'!$AC$6:$AC$1113,'Données par municipalité'!$K$6:$K$1113,"&lt;5000")-SUM($AC$199:$AC199)</f>
        <v>529</v>
      </c>
      <c r="AD200" s="508">
        <f>SUMIFS('État &amp; Plan d''action'!$AD$6:$AD$1113,'Données par municipalité'!$K$6:$K$1113,"&lt;5000")-SUM($AD$199:$AD199)</f>
        <v>312</v>
      </c>
      <c r="AE200" s="508">
        <f>SUMIFS('État &amp; Plan d''action'!$AE$6:$AE$1113,'Données par municipalité'!$K$6:$K$1113,"&lt;5000")-SUM($AE$199:$AE199)</f>
        <v>217</v>
      </c>
      <c r="AF200" s="447">
        <f t="shared" ref="AF200:AF204" si="23">SUM(AC200:AE200)</f>
        <v>1058</v>
      </c>
      <c r="AG200" s="509">
        <f t="shared" ref="AG200:AG205" si="24">Z200/Y200</f>
        <v>0.6123886643127201</v>
      </c>
      <c r="AH200" s="510">
        <f>(SUMIFS('Données par municipalité'!$O$6:$O$1113,'Données par municipalité'!$K$6:$K$1113,"&lt;5000",'Données par municipalité'!$K$6:$K$1113,"&gt;=1000")*1000000/365)/SUMIFS('Données par municipalité'!$K$6:$K$1113,'Données par municipalité'!$K$6:$K$1113,"&lt;5000",'Données par municipalité'!$K$6:$K$1113,"&gt;=1000")</f>
        <v>238.58395500764215</v>
      </c>
      <c r="AI200" s="511">
        <f t="shared" si="22"/>
        <v>2.9547491436411342</v>
      </c>
      <c r="AJ200" s="510"/>
      <c r="AK200" s="510">
        <f>AVERAGEIFS('Données par municipalité'!$S$6:$S$1113,'Données par municipalité'!$K$6:$K$1113,"&lt;5000",'Données par municipalité'!$K$6:$K$1113,"&gt;=1000")</f>
        <v>58.419417171882259</v>
      </c>
      <c r="AL200" s="511"/>
      <c r="AM200" s="510">
        <f>(SUMIFS('Données par municipalité'!$N$6:$N$1113,'Données par municipalité'!$K$6:$K$1113,"&lt;5000",'Données par municipalité'!$K$6:$K$1113,"&gt;=1000")*1000000/365)/SUMIFS('Données par municipalité'!$K$6:$K$1113,'Données par municipalité'!$K$6:$K$1113,"&lt;5000",'Données par municipalité'!$K$6:$K$1113,"&gt;=1000")</f>
        <v>455.38431162941151</v>
      </c>
      <c r="AN200" s="437">
        <f>SUMIFS('Données par municipalité'!$H$6:$H$1113,'Données par municipalité'!$K$6:$K$1113,"&lt;5000")-AN199+SUMIFS('Données par municipalité'!H6:H1113,'Données par municipalité'!K6:K1113,"")</f>
        <v>240</v>
      </c>
      <c r="AO200" s="437">
        <f>SUMIFS('Données par municipalité'!$I$6:$I$1113,'Données par municipalité'!$K$6:$K$1113,"&lt;5000")-AO199+SUMIFS('Données par municipalité'!I6:I1113,'Données par municipalité'!K6:K1113,"")</f>
        <v>202691</v>
      </c>
      <c r="BS200" s="486">
        <v>83032</v>
      </c>
      <c r="BT200" s="479" t="s">
        <v>839</v>
      </c>
      <c r="BU200" s="479">
        <v>7</v>
      </c>
      <c r="BV200" s="476" t="s">
        <v>1187</v>
      </c>
      <c r="BW200" s="476" t="s">
        <v>1187</v>
      </c>
      <c r="BX200" s="476" t="s">
        <v>1187</v>
      </c>
      <c r="BY200" s="476" t="s">
        <v>1187</v>
      </c>
      <c r="BZ200" s="476" t="s">
        <v>1187</v>
      </c>
      <c r="CA200" s="476" t="s">
        <v>1187</v>
      </c>
      <c r="CB200" s="476" t="s">
        <v>1187</v>
      </c>
      <c r="CC200" s="476" t="s">
        <v>1187</v>
      </c>
      <c r="CD200" s="476" t="s">
        <v>1187</v>
      </c>
      <c r="CE200" s="476" t="s">
        <v>1187</v>
      </c>
      <c r="CF200" s="476" t="s">
        <v>1187</v>
      </c>
      <c r="CG200" s="476" t="s">
        <v>1187</v>
      </c>
      <c r="CH200" s="476" t="s">
        <v>1187</v>
      </c>
      <c r="CI200" s="476" t="s">
        <v>1187</v>
      </c>
      <c r="CJ200" s="476" t="s">
        <v>1188</v>
      </c>
      <c r="CK200" s="476" t="s">
        <v>1188</v>
      </c>
      <c r="CL200" s="476" t="s">
        <v>1187</v>
      </c>
      <c r="CM200" s="476" t="str">
        <f>IF(VLOOKUP(BS200,'Données par municipalité'!$B$6:$E$1113,4,FALSE)="","non","oui")</f>
        <v>non</v>
      </c>
      <c r="CN200" s="410" t="s">
        <v>1124</v>
      </c>
      <c r="CO200" s="410" t="s">
        <v>1124</v>
      </c>
      <c r="CP200" s="410"/>
      <c r="CQ200" s="410"/>
      <c r="CR200" s="410"/>
      <c r="CS200" s="410">
        <v>700.46033151686379</v>
      </c>
      <c r="CT200" s="410">
        <v>582.71953374176826</v>
      </c>
      <c r="CU200" s="410" t="s">
        <v>1124</v>
      </c>
      <c r="CV200" s="410" t="str">
        <f>IF(VLOOKUP(BS200,'Données par municipalité'!$B$6:$F$1113,4,FALSE)="","",VLOOKUP(BS200,'Données par municipalité'!$B$6:$F$1113,4,FALSE))</f>
        <v/>
      </c>
      <c r="CW200" s="476" t="s">
        <v>4723</v>
      </c>
      <c r="CX200" s="483" t="s">
        <v>1124</v>
      </c>
      <c r="CY200" s="483" t="s">
        <v>1124</v>
      </c>
      <c r="CZ200" s="483" t="s">
        <v>1124</v>
      </c>
      <c r="DA200" s="483" t="s">
        <v>1124</v>
      </c>
      <c r="DB200" s="483">
        <v>0</v>
      </c>
      <c r="DC200" s="483">
        <v>1</v>
      </c>
      <c r="DD200" s="483" t="s">
        <v>1124</v>
      </c>
      <c r="DE200" s="483" t="str">
        <f>IFERROR(SUM(VLOOKUP($BS200,'État &amp; Plan d''action'!$B$6:$Z$1113,18,FALSE),VLOOKUP($BS200,'État &amp; Plan d''action'!$B$6:$Z$1113,20,FALSE))/(VLOOKUP($BS200,'Données par municipalité'!$B$4:$L$1113,11,FALSE)),"")</f>
        <v/>
      </c>
      <c r="DF200" s="483" t="str">
        <f>IFERROR(SUM(VLOOKUP($BS200,'État &amp; Plan d''action'!$B$6:$Z$1113,19,FALSE),VLOOKUP($BS200,'État &amp; Plan d''action'!$B$6:$Z$1113,21,FALSE))/(VLOOKUP($BS200,'Données par municipalité'!$B$4:$L$1113,11,FALSE)),"")</f>
        <v/>
      </c>
      <c r="DG200" s="476" t="s">
        <v>4723</v>
      </c>
      <c r="DH200" s="484">
        <v>0</v>
      </c>
      <c r="DI200" s="484">
        <v>0</v>
      </c>
      <c r="DJ200" s="484">
        <v>2</v>
      </c>
      <c r="DK200" s="484">
        <v>6</v>
      </c>
      <c r="DL200" s="484">
        <v>2</v>
      </c>
      <c r="DM200" s="484">
        <v>2</v>
      </c>
      <c r="DN200" s="484" t="s">
        <v>1124</v>
      </c>
      <c r="DO200" s="484" t="s">
        <v>1124</v>
      </c>
      <c r="DP200" s="484" t="s">
        <v>1124</v>
      </c>
      <c r="DQ200" s="484" t="str">
        <f>IF(VLOOKUP($BS200,'État &amp; Plan d''action'!$B$6:$AJ$1113,28,FALSE)="","",VLOOKUP($BS200,'État &amp; Plan d''action'!$B$6:$AJ$1113,28,FALSE))</f>
        <v/>
      </c>
      <c r="DR200" s="70" t="str">
        <f>IF(VLOOKUP($BS200,'État &amp; Plan d''action'!$B$6:$AJ$1113,29,FALSE)="","",VLOOKUP($BS200,'État &amp; Plan d''action'!$B$6:$AJ$1113,29,FALSE))</f>
        <v/>
      </c>
      <c r="DS200" s="70" t="str">
        <f>IF(VLOOKUP($BS200,'État &amp; Plan d''action'!$B$6:$AJ$1113,30,FALSE)="","",VLOOKUP($BS200,'État &amp; Plan d''action'!$B$6:$AJ$1113,30,FALSE))</f>
        <v/>
      </c>
      <c r="DT200" s="70" t="s">
        <v>1124</v>
      </c>
      <c r="DU200" s="485" t="s">
        <v>1124</v>
      </c>
      <c r="DV200" s="485" t="s">
        <v>1124</v>
      </c>
      <c r="DW200" s="70" t="s">
        <v>1124</v>
      </c>
      <c r="DX200" s="70" t="s">
        <v>1124</v>
      </c>
      <c r="DY200" s="70" t="s">
        <v>1124</v>
      </c>
      <c r="DZ200" s="70" t="str">
        <f>VLOOKUP($BS200,'État &amp; Plan d''action'!$B$6:$AH$1113,31,FALSE)</f>
        <v/>
      </c>
      <c r="EA200" s="70" t="str">
        <f>VLOOKUP($BS200,'État &amp; Plan d''action'!$B$6:$AH$1113,32,FALSE)</f>
        <v/>
      </c>
      <c r="EB200" s="70" t="str">
        <f>VLOOKUP($BS200,'État &amp; Plan d''action'!$B$6:$AH$1113,33,FALSE)</f>
        <v/>
      </c>
      <c r="EC200" s="70" t="s">
        <v>1124</v>
      </c>
      <c r="ED200" s="70" t="s">
        <v>1124</v>
      </c>
      <c r="EE200" s="70" t="s">
        <v>1124</v>
      </c>
      <c r="EF200" s="70" t="s">
        <v>1124</v>
      </c>
      <c r="EG200" s="70" t="s">
        <v>1124</v>
      </c>
      <c r="EH200" s="72"/>
      <c r="EI200" s="72">
        <v>2437</v>
      </c>
    </row>
    <row r="201" spans="1:139" ht="15.5" x14ac:dyDescent="0.35">
      <c r="A201" s="1"/>
      <c r="B201" s="47" t="str">
        <f>IF(AND(C201&lt;=IF(W21="","",VLOOKUP($W$21,'Données par municipalité'!$B$6:$K$1113,10,FALSE)),IF(W21="","",VLOOKUP($W$21,'Données par municipalité'!$B$6:$K$1113,10,FALSE))&lt;9999),$W$20,"")</f>
        <v/>
      </c>
      <c r="C201" s="58">
        <v>5000</v>
      </c>
      <c r="D201" s="59" t="s">
        <v>1181</v>
      </c>
      <c r="E201" s="406" t="s">
        <v>1224</v>
      </c>
      <c r="F201" s="51">
        <v>76</v>
      </c>
      <c r="G201" s="556">
        <v>67</v>
      </c>
      <c r="H201" s="556"/>
      <c r="I201" s="49">
        <v>3.8401381629888949</v>
      </c>
      <c r="J201" s="50">
        <v>281.6093613003132</v>
      </c>
      <c r="K201" s="557">
        <v>512.10573208345204</v>
      </c>
      <c r="L201" s="557"/>
      <c r="M201" s="50">
        <v>58.16137989255089</v>
      </c>
      <c r="N201" s="469" t="str">
        <f t="shared" si="21"/>
        <v/>
      </c>
      <c r="O201" s="70"/>
      <c r="P201" s="70"/>
      <c r="Q201" s="70"/>
      <c r="R201" s="70"/>
      <c r="S201" s="95"/>
      <c r="T201" s="70"/>
      <c r="V201" s="361" t="s">
        <v>1224</v>
      </c>
      <c r="W201" s="447">
        <f>SUMIFS('Données par municipalité'!$P$6:$P$1113,'Données par municipalité'!$K$6:$K$1113,"&lt;10000")-SUM($W$199:$W200)</f>
        <v>17124.501189638417</v>
      </c>
      <c r="X201" s="447">
        <f>SUMIFS('Données par municipalité'!$Q$6:$Q$1113,'Données par municipalité'!$K$6:$K$1113,"&lt;10000")-SUM($X$199:$X200)</f>
        <v>4459.3450711444984</v>
      </c>
      <c r="Y201" s="447">
        <f>SUMIFS('Données par municipalité'!$L$6:$L$1113,'Données par municipalité'!$K$6:$K$1113,"&lt;10000")-SUM($Y$199:$Y200)</f>
        <v>3683.8917782000071</v>
      </c>
      <c r="Z201" s="447">
        <f>(SUMIFS('État &amp; Plan d''action'!$S$6:$S$1113,'Données par municipalité'!$K$6:$K$1113,"&lt;10000"))+(SUMIFS('État &amp; Plan d''action'!$U$6:$U$1113,'Données par municipalité'!$K$6:$K$1113,"&lt;10000"))-SUM(Z199:Z200)</f>
        <v>2146.7527073000037</v>
      </c>
      <c r="AA201" s="447">
        <f>SUMIFS('Données par municipalité'!$N$6:$N$1113,'Données par municipalité'!$K$6:$K$1113,"&lt;10000")-SUM($AA$199:$AA200)</f>
        <v>73600.554711476536</v>
      </c>
      <c r="AB201" s="507">
        <f>SUMIFS('Données par municipalité'!$K$6:$K$1113,'Données par municipalité'!$K$6:$K$1113,"&lt;10000")-SUM($AB$199:$AB200)</f>
        <v>393757.27069785772</v>
      </c>
      <c r="AC201" s="507">
        <f>SUMIFS('État &amp; Plan d''action'!$AC$6:$AC$1113,'Données par municipalité'!$K$6:$K$1113,"&lt;10000")-SUM($AC$199:$AC200)</f>
        <v>321</v>
      </c>
      <c r="AD201" s="508">
        <f>SUMIFS('État &amp; Plan d''action'!$AD$6:$AD$1113,'Données par municipalité'!$K$6:$K$1113,"&lt;10000")-SUM($AD$199:$AD200)</f>
        <v>162</v>
      </c>
      <c r="AE201" s="508">
        <f>SUMIFS('État &amp; Plan d''action'!$AE$6:$AE$1113,'Données par municipalité'!$K$6:$K$1113,"&lt;10000")-SUM($AE$199:$AE200)</f>
        <v>109</v>
      </c>
      <c r="AF201" s="447">
        <f t="shared" si="23"/>
        <v>592</v>
      </c>
      <c r="AG201" s="509">
        <f t="shared" si="24"/>
        <v>0.58274043770876793</v>
      </c>
      <c r="AH201" s="510">
        <f>(SUMIFS('Données par municipalité'!$O$6:$O$1113,'Données par municipalité'!$K$6:$K$1113,"&lt;10000",'Données par municipalité'!$K$6:$K$1113,"&gt;=5000")*1000000/365)/SUMIFS('Données par municipalité'!$K$6:$K$1113,'Données par municipalité'!$K$6:$K$1113,"&lt;10000",'Données par municipalité'!$K$6:$K$1113,"&gt;=5000")</f>
        <v>281.6093613003132</v>
      </c>
      <c r="AI201" s="511">
        <f t="shared" si="22"/>
        <v>3.8401381629888949</v>
      </c>
      <c r="AJ201" s="510"/>
      <c r="AK201" s="510">
        <f>AVERAGEIFS('Données par municipalité'!$S$6:$S$1113,'Données par municipalité'!$K$6:$K$1113,"&lt;10000",'Données par municipalité'!$K$6:$K$1113,"&gt;=5000")</f>
        <v>58.16137989255089</v>
      </c>
      <c r="AL201" s="511"/>
      <c r="AM201" s="510">
        <f>(SUMIFS('Données par municipalité'!$N$6:$N$1113,'Données par municipalité'!$K$6:$K$1113,"&lt;10000",'Données par municipalité'!$K$6:$K$1113,"&gt;=5000")*1000000/365)/SUMIFS('Données par municipalité'!$K$6:$K$1113,'Données par municipalité'!$K$6:$K$1113,"&lt;10000",'Données par municipalité'!$K$6:$K$1113,"&gt;=5000")</f>
        <v>512.10573208345204</v>
      </c>
      <c r="AN201" s="437">
        <f>SUMIFS('Données par municipalité'!$H$6:$H$1113,'Données par municipalité'!$K$6:$K$1113,"&lt;10000")-SUM(AN199:AN200)+SUMIFS('Données par municipalité'!H6:H1113,'Données par municipalité'!K6:K1113,"")</f>
        <v>80</v>
      </c>
      <c r="AO201" s="437">
        <f>SUMIFS('Données par municipalité'!$I$6:$I$1113,'Données par municipalité'!$K$6:$K$1113,"&lt;10000")-SUM(AO199:AO200)+SUMIFS('Données par municipalité'!I6:I1113,'Données par municipalité'!K6:K1113,"")</f>
        <v>180417</v>
      </c>
      <c r="BS201" s="486">
        <v>47017</v>
      </c>
      <c r="BT201" s="479" t="s">
        <v>449</v>
      </c>
      <c r="BU201" s="479">
        <v>5</v>
      </c>
      <c r="BV201" s="476" t="s">
        <v>1187</v>
      </c>
      <c r="BW201" s="476" t="s">
        <v>1187</v>
      </c>
      <c r="BX201" s="476" t="s">
        <v>1187</v>
      </c>
      <c r="BY201" s="476" t="s">
        <v>1187</v>
      </c>
      <c r="BZ201" s="476" t="s">
        <v>1187</v>
      </c>
      <c r="CA201" s="476" t="s">
        <v>1187</v>
      </c>
      <c r="CB201" s="476" t="s">
        <v>1187</v>
      </c>
      <c r="CC201" s="476" t="s">
        <v>1187</v>
      </c>
      <c r="CD201" s="476" t="s">
        <v>1187</v>
      </c>
      <c r="CE201" s="476" t="s">
        <v>1188</v>
      </c>
      <c r="CF201" s="476" t="s">
        <v>1188</v>
      </c>
      <c r="CG201" s="476" t="s">
        <v>1188</v>
      </c>
      <c r="CH201" s="476" t="s">
        <v>1188</v>
      </c>
      <c r="CI201" s="476" t="s">
        <v>1188</v>
      </c>
      <c r="CJ201" s="476" t="s">
        <v>1188</v>
      </c>
      <c r="CK201" s="476" t="s">
        <v>1188</v>
      </c>
      <c r="CL201" s="476" t="s">
        <v>1188</v>
      </c>
      <c r="CM201" s="476" t="str">
        <f>IF(VLOOKUP(BS201,'Données par municipalité'!$B$6:$E$1113,4,FALSE)="","non","oui")</f>
        <v>oui</v>
      </c>
      <c r="CN201" s="410">
        <v>599.02619709338956</v>
      </c>
      <c r="CO201" s="410">
        <v>562.55713824513543</v>
      </c>
      <c r="CP201" s="410">
        <v>535.87783811994177</v>
      </c>
      <c r="CQ201" s="410">
        <v>517.45244910313238</v>
      </c>
      <c r="CR201" s="410">
        <v>477.2835955437705</v>
      </c>
      <c r="CS201" s="410">
        <v>453.62045727177099</v>
      </c>
      <c r="CT201" s="410">
        <v>441.24235879594914</v>
      </c>
      <c r="CU201" s="410">
        <v>425</v>
      </c>
      <c r="CV201" s="410">
        <f>IF(VLOOKUP(BS201,'Données par municipalité'!$B$6:$F$1113,4,FALSE)="","",VLOOKUP(BS201,'Données par municipalité'!$B$6:$F$1113,4,FALSE))</f>
        <v>465</v>
      </c>
      <c r="CW201" s="476" t="s">
        <v>4723</v>
      </c>
      <c r="CX201" s="483">
        <v>0.6</v>
      </c>
      <c r="CY201" s="483">
        <v>0.4</v>
      </c>
      <c r="CZ201" s="483">
        <v>1</v>
      </c>
      <c r="DA201" s="483">
        <v>1</v>
      </c>
      <c r="DB201" s="483">
        <v>1</v>
      </c>
      <c r="DC201" s="483">
        <v>1</v>
      </c>
      <c r="DD201" s="483">
        <v>2</v>
      </c>
      <c r="DE201" s="483">
        <f>IFERROR(SUM(VLOOKUP($BS201,'État &amp; Plan d''action'!$B$6:$Z$1113,18,FALSE),VLOOKUP($BS201,'État &amp; Plan d''action'!$B$6:$Z$1113,20,FALSE))/(VLOOKUP($BS201,'Données par municipalité'!$B$4:$L$1113,11,FALSE)),"")</f>
        <v>2</v>
      </c>
      <c r="DF201" s="483">
        <f>IFERROR(SUM(VLOOKUP($BS201,'État &amp; Plan d''action'!$B$6:$Z$1113,19,FALSE),VLOOKUP($BS201,'État &amp; Plan d''action'!$B$6:$Z$1113,21,FALSE))/(VLOOKUP($BS201,'Données par municipalité'!$B$4:$L$1113,11,FALSE)),"")</f>
        <v>2</v>
      </c>
      <c r="DG201" s="476" t="s">
        <v>4723</v>
      </c>
      <c r="DH201" s="484">
        <v>51</v>
      </c>
      <c r="DI201" s="484">
        <v>55</v>
      </c>
      <c r="DJ201" s="484">
        <v>62</v>
      </c>
      <c r="DK201" s="484">
        <v>72</v>
      </c>
      <c r="DL201" s="484">
        <v>55</v>
      </c>
      <c r="DM201" s="484">
        <v>35</v>
      </c>
      <c r="DN201" s="484">
        <v>39</v>
      </c>
      <c r="DO201" s="484">
        <v>20</v>
      </c>
      <c r="DP201" s="484">
        <v>6</v>
      </c>
      <c r="DQ201" s="484">
        <f>IF(VLOOKUP($BS201,'État &amp; Plan d''action'!$B$6:$AJ$1113,28,FALSE)="","",VLOOKUP($BS201,'État &amp; Plan d''action'!$B$6:$AJ$1113,28,FALSE))</f>
        <v>38</v>
      </c>
      <c r="DR201" s="70">
        <f>IF(VLOOKUP($BS201,'État &amp; Plan d''action'!$B$6:$AJ$1113,29,FALSE)="","",VLOOKUP($BS201,'État &amp; Plan d''action'!$B$6:$AJ$1113,29,FALSE))</f>
        <v>18</v>
      </c>
      <c r="DS201" s="70">
        <f>IF(VLOOKUP($BS201,'État &amp; Plan d''action'!$B$6:$AJ$1113,30,FALSE)="","",VLOOKUP($BS201,'État &amp; Plan d''action'!$B$6:$AJ$1113,30,FALSE))</f>
        <v>6</v>
      </c>
      <c r="DT201" s="70">
        <v>207</v>
      </c>
      <c r="DU201" s="485">
        <v>2.0660631516778198</v>
      </c>
      <c r="DV201" s="485">
        <v>7.8309333649224072E-2</v>
      </c>
      <c r="DW201" s="70">
        <v>3</v>
      </c>
      <c r="DX201" s="70">
        <v>3</v>
      </c>
      <c r="DY201" s="70">
        <v>10</v>
      </c>
      <c r="DZ201" s="70">
        <f>VLOOKUP($BS201,'État &amp; Plan d''action'!$B$6:$AH$1113,31,FALSE)</f>
        <v>3</v>
      </c>
      <c r="EA201" s="70">
        <f>VLOOKUP($BS201,'État &amp; Plan d''action'!$B$6:$AH$1113,32,FALSE)</f>
        <v>3</v>
      </c>
      <c r="EB201" s="70">
        <f>VLOOKUP($BS201,'État &amp; Plan d''action'!$B$6:$AH$1113,33,FALSE)</f>
        <v>10</v>
      </c>
      <c r="EC201" s="70">
        <v>0</v>
      </c>
      <c r="ED201" s="70">
        <v>544.74</v>
      </c>
      <c r="EE201" s="70">
        <v>0</v>
      </c>
      <c r="EF201" s="70">
        <v>0</v>
      </c>
      <c r="EG201" s="70">
        <v>0</v>
      </c>
      <c r="EH201" s="72">
        <v>57</v>
      </c>
      <c r="EI201" s="72">
        <v>68045</v>
      </c>
    </row>
    <row r="202" spans="1:139" ht="15.5" x14ac:dyDescent="0.35">
      <c r="A202" s="1"/>
      <c r="B202" s="47" t="str">
        <f>IF(AND(C202&lt;=IF(W21="","",VLOOKUP($W$21,'Données par municipalité'!$B$6:$K$1113,10,FALSE)),IF(W21="","",VLOOKUP($W$21,'Données par municipalité'!$B$6:$K$1113,10,FALSE))&lt;49999),$W$20,"")</f>
        <v/>
      </c>
      <c r="C202" s="58">
        <v>10000</v>
      </c>
      <c r="D202" s="59" t="s">
        <v>1181</v>
      </c>
      <c r="E202" s="406" t="s">
        <v>1182</v>
      </c>
      <c r="F202" s="51">
        <v>84</v>
      </c>
      <c r="G202" s="556">
        <v>65</v>
      </c>
      <c r="H202" s="556"/>
      <c r="I202" s="49">
        <v>4.2266423839626484</v>
      </c>
      <c r="J202" s="50">
        <v>257.97266851897399</v>
      </c>
      <c r="K202" s="557">
        <v>457.84322036519188</v>
      </c>
      <c r="L202" s="557"/>
      <c r="M202" s="50">
        <v>59.57836806742322</v>
      </c>
      <c r="N202" s="469" t="str">
        <f t="shared" si="21"/>
        <v/>
      </c>
      <c r="O202" s="70"/>
      <c r="P202" s="70"/>
      <c r="Q202" s="70"/>
      <c r="R202" s="70"/>
      <c r="S202" s="95"/>
      <c r="T202" s="70"/>
      <c r="V202" s="361" t="s">
        <v>1182</v>
      </c>
      <c r="W202" s="447">
        <f>SUMIFS('Données par municipalité'!$P$6:$P$1113,'Données par municipalité'!$K$6:$K$1113,"&lt;50000")-SUM($W$199:$W201)</f>
        <v>46355.408456014804</v>
      </c>
      <c r="X202" s="447">
        <f>SUMIFS('Données par municipalité'!$Q$6:$Q$1113,'Données par municipalité'!$K$6:$K$1113,"&lt;50000")-SUM($X$199:$X201)</f>
        <v>10967.430940432376</v>
      </c>
      <c r="Y202" s="447">
        <f>SUMIFS('Données par municipalité'!$L$6:$L$1113,'Données par municipalité'!$K$6:$K$1113,"&lt;50000")-SUM($Y$199:$Y201)</f>
        <v>8457.7237800000003</v>
      </c>
      <c r="Z202" s="447">
        <f>(SUMIFS('État &amp; Plan d''action'!$S$6:$S$1113,'Données par municipalité'!$K$6:$K$1113,"&lt;50000"))+(SUMIFS('État &amp; Plan d''action'!$U$6:$U$1113,'Données par municipalité'!$K$6:$K$1113,"&lt;50000"))-SUM(Z199:Z201)</f>
        <v>8690.0198500000006</v>
      </c>
      <c r="AA202" s="447">
        <f>SUMIFS('Données par municipalité'!$N$6:$N$1113,'Données par municipalité'!$K$6:$K$1113,"&lt;50000")-SUM($AA$199:$AA201)</f>
        <v>210510.93893799515</v>
      </c>
      <c r="AB202" s="507">
        <f>SUMIFS('Données par municipalité'!$K$6:$K$1113,'Données par municipalité'!$K$6:$K$1113,"&lt;50000")-SUM($AB$199:$AB201)</f>
        <v>1259693.8707539039</v>
      </c>
      <c r="AC202" s="507">
        <f>SUMIFS('État &amp; Plan d''action'!$AC$6:$AC$1113,'Données par municipalité'!$K$6:$K$1113,"&lt;50000")-SUM($AC$199:$AC201)</f>
        <v>1085</v>
      </c>
      <c r="AD202" s="508">
        <f>SUMIFS('État &amp; Plan d''action'!$AD$6:$AD$1113,'Données par municipalité'!$K$6:$K$1113,"&lt;50000")-SUM($AD$199:$AD201)</f>
        <v>514</v>
      </c>
      <c r="AE202" s="508">
        <f>SUMIFS('État &amp; Plan d''action'!$AE$6:$AE$1113,'Données par municipalité'!$K$6:$K$1113,"&lt;50000")-SUM($AE$199:$AE201)</f>
        <v>272</v>
      </c>
      <c r="AF202" s="447">
        <f t="shared" si="23"/>
        <v>1871</v>
      </c>
      <c r="AG202" s="509">
        <f t="shared" si="24"/>
        <v>1.0274655540949813</v>
      </c>
      <c r="AH202" s="510">
        <f>(SUMIFS('Données par municipalité'!$O$6:$O$1113,'Données par municipalité'!$K$6:$K$1113,"&lt;50000",'Données par municipalité'!$K$6:$K$1113,"&gt;=10000")*1000000/365)/SUMIFS('Données par municipalité'!$K$6:$K$1113,'Données par municipalité'!$K$6:$K$1113,"&lt;50000",'Données par municipalité'!$K$6:$K$1113,"&gt;=10000")</f>
        <v>257.97266851897399</v>
      </c>
      <c r="AI202" s="511">
        <f t="shared" si="22"/>
        <v>4.2266423839626484</v>
      </c>
      <c r="AJ202" s="510"/>
      <c r="AK202" s="510">
        <f>AVERAGEIFS('Données par municipalité'!$S$6:$S$1113,'Données par municipalité'!$K$6:$K$1113,"&lt;50000",'Données par municipalité'!$K$6:$K$1113,"&gt;=10000")</f>
        <v>59.57836806742322</v>
      </c>
      <c r="AL202" s="511"/>
      <c r="AM202" s="510">
        <f>(SUMIFS('Données par municipalité'!$N$6:$N$1113,'Données par municipalité'!$K$6:$K$1113,"&lt;50000",'Données par municipalité'!$K$6:$K$1113,"&gt;=10000")*1000000/365)/SUMIFS('Données par municipalité'!$K$6:$K$1113,'Données par municipalité'!$K$6:$K$1113,"&lt;50000",'Données par municipalité'!$K$6:$K$1113,"&gt;=10000")</f>
        <v>457.84322036519188</v>
      </c>
      <c r="AN202" s="437">
        <f>SUMIFS('Données par municipalité'!$H$6:$H$1113,'Données par municipalité'!$K$6:$K$1113,"&lt;50000")-SUM(AN199:AN201)+SUMIFS('Données par municipalité'!H6:H1113,'Données par municipalité'!K6:K1113,"")</f>
        <v>73</v>
      </c>
      <c r="AO202" s="437">
        <f>SUMIFS('Données par municipalité'!$I$6:$I$1113,'Données par municipalité'!$K$6:$K$1113,"&lt;50000")-SUM(AO199:AO201)+SUMIFS('Données par municipalité'!I6:I1113,'Données par municipalité'!K6:K1113,"")</f>
        <v>546343</v>
      </c>
      <c r="BS202" s="486">
        <v>2015</v>
      </c>
      <c r="BT202" s="479" t="s">
        <v>1028</v>
      </c>
      <c r="BU202" s="479">
        <v>11</v>
      </c>
      <c r="BV202" s="476" t="s">
        <v>1187</v>
      </c>
      <c r="BW202" s="476" t="s">
        <v>1187</v>
      </c>
      <c r="BX202" s="476" t="s">
        <v>1187</v>
      </c>
      <c r="BY202" s="476" t="s">
        <v>1187</v>
      </c>
      <c r="BZ202" s="476" t="s">
        <v>1187</v>
      </c>
      <c r="CA202" s="476" t="s">
        <v>1187</v>
      </c>
      <c r="CB202" s="476" t="s">
        <v>1187</v>
      </c>
      <c r="CC202" s="476" t="s">
        <v>1187</v>
      </c>
      <c r="CD202" s="476" t="s">
        <v>1187</v>
      </c>
      <c r="CE202" s="476" t="s">
        <v>1188</v>
      </c>
      <c r="CF202" s="476" t="s">
        <v>1188</v>
      </c>
      <c r="CG202" s="476" t="s">
        <v>1187</v>
      </c>
      <c r="CH202" s="476" t="s">
        <v>1188</v>
      </c>
      <c r="CI202" s="476" t="s">
        <v>1188</v>
      </c>
      <c r="CJ202" s="476" t="s">
        <v>1187</v>
      </c>
      <c r="CK202" s="476" t="s">
        <v>1187</v>
      </c>
      <c r="CL202" s="476" t="s">
        <v>1188</v>
      </c>
      <c r="CM202" s="476" t="str">
        <f>IF(VLOOKUP(BS202,'Données par municipalité'!$B$6:$E$1113,4,FALSE)="","non","oui")</f>
        <v>oui</v>
      </c>
      <c r="CN202" s="410">
        <v>1854.0264613246445</v>
      </c>
      <c r="CO202" s="410">
        <v>2564.6049470710914</v>
      </c>
      <c r="CP202" s="410"/>
      <c r="CQ202" s="410">
        <v>2451.8212259103366</v>
      </c>
      <c r="CR202" s="410">
        <v>3714.9363841300196</v>
      </c>
      <c r="CS202" s="410" t="s">
        <v>1124</v>
      </c>
      <c r="CT202" s="410"/>
      <c r="CU202" s="410">
        <v>846</v>
      </c>
      <c r="CV202" s="410">
        <f>IF(VLOOKUP(BS202,'Données par municipalité'!$B$6:$F$1113,4,FALSE)="","",VLOOKUP(BS202,'Données par municipalité'!$B$6:$F$1113,4,FALSE))</f>
        <v>1031</v>
      </c>
      <c r="CW202" s="476" t="s">
        <v>4723</v>
      </c>
      <c r="CX202" s="483">
        <v>0</v>
      </c>
      <c r="CY202" s="483" t="s">
        <v>1124</v>
      </c>
      <c r="CZ202" s="483">
        <v>1</v>
      </c>
      <c r="DA202" s="483">
        <v>0</v>
      </c>
      <c r="DB202" s="483" t="s">
        <v>1124</v>
      </c>
      <c r="DC202" s="483" t="s">
        <v>1124</v>
      </c>
      <c r="DD202" s="483" t="s">
        <v>1124</v>
      </c>
      <c r="DE202" s="483">
        <f>IFERROR(SUM(VLOOKUP($BS202,'État &amp; Plan d''action'!$B$6:$Z$1113,18,FALSE),VLOOKUP($BS202,'État &amp; Plan d''action'!$B$6:$Z$1113,20,FALSE))/(VLOOKUP($BS202,'Données par municipalité'!$B$4:$L$1113,11,FALSE)),"")</f>
        <v>1</v>
      </c>
      <c r="DF202" s="483">
        <f>IFERROR(SUM(VLOOKUP($BS202,'État &amp; Plan d''action'!$B$6:$Z$1113,19,FALSE),VLOOKUP($BS202,'État &amp; Plan d''action'!$B$6:$Z$1113,21,FALSE))/(VLOOKUP($BS202,'Données par municipalité'!$B$4:$L$1113,11,FALSE)),"")</f>
        <v>2</v>
      </c>
      <c r="DG202" s="476" t="s">
        <v>4723</v>
      </c>
      <c r="DH202" s="484">
        <v>2</v>
      </c>
      <c r="DI202" s="484" t="s">
        <v>1124</v>
      </c>
      <c r="DJ202" s="484">
        <v>0</v>
      </c>
      <c r="DK202" s="484">
        <v>0</v>
      </c>
      <c r="DL202" s="484" t="s">
        <v>1124</v>
      </c>
      <c r="DM202" s="484" t="s">
        <v>1124</v>
      </c>
      <c r="DN202" s="484">
        <v>3</v>
      </c>
      <c r="DO202" s="484">
        <v>0</v>
      </c>
      <c r="DP202" s="484">
        <v>1</v>
      </c>
      <c r="DQ202" s="484">
        <f>IF(VLOOKUP($BS202,'État &amp; Plan d''action'!$B$6:$AJ$1113,28,FALSE)="","",VLOOKUP($BS202,'État &amp; Plan d''action'!$B$6:$AJ$1113,28,FALSE))</f>
        <v>2</v>
      </c>
      <c r="DR202" s="70">
        <f>IF(VLOOKUP($BS202,'État &amp; Plan d''action'!$B$6:$AJ$1113,29,FALSE)="","",VLOOKUP($BS202,'État &amp; Plan d''action'!$B$6:$AJ$1113,29,FALSE))</f>
        <v>2</v>
      </c>
      <c r="DS202" s="70">
        <f>IF(VLOOKUP($BS202,'État &amp; Plan d''action'!$B$6:$AJ$1113,30,FALSE)="","",VLOOKUP($BS202,'État &amp; Plan d''action'!$B$6:$AJ$1113,30,FALSE))</f>
        <v>0</v>
      </c>
      <c r="DT202" s="70">
        <v>454</v>
      </c>
      <c r="DU202" s="485">
        <v>8.8576985642421366</v>
      </c>
      <c r="DV202" s="485">
        <v>14.696251830646807</v>
      </c>
      <c r="DW202" s="70">
        <v>2</v>
      </c>
      <c r="DX202" s="70">
        <v>0</v>
      </c>
      <c r="DY202" s="70">
        <v>20</v>
      </c>
      <c r="DZ202" s="70">
        <f>VLOOKUP($BS202,'État &amp; Plan d''action'!$B$6:$AH$1113,31,FALSE)</f>
        <v>2</v>
      </c>
      <c r="EA202" s="70">
        <f>VLOOKUP($BS202,'État &amp; Plan d''action'!$B$6:$AH$1113,32,FALSE)</f>
        <v>3</v>
      </c>
      <c r="EB202" s="70">
        <f>VLOOKUP($BS202,'État &amp; Plan d''action'!$B$6:$AH$1113,33,FALSE)</f>
        <v>0</v>
      </c>
      <c r="EC202" s="70">
        <v>0</v>
      </c>
      <c r="ED202" s="70">
        <v>0</v>
      </c>
      <c r="EE202" s="70">
        <v>14.4</v>
      </c>
      <c r="EF202" s="70">
        <v>0</v>
      </c>
      <c r="EG202" s="70">
        <v>0</v>
      </c>
      <c r="EH202" s="72">
        <v>56</v>
      </c>
      <c r="EI202" s="72">
        <v>3444</v>
      </c>
    </row>
    <row r="203" spans="1:139" ht="15.5" x14ac:dyDescent="0.35">
      <c r="A203" s="1"/>
      <c r="B203" s="47" t="str">
        <f>IF(AND(C203&lt;=IF(W21="","",VLOOKUP($W$21,'Données par municipalité'!$B$6:$K$1113,10,FALSE)),IF(W21="","",VLOOKUP($W$21,'Données par municipalité'!$B$6:$K$1113,10,FALSE))&lt;99999),$W$20,"")</f>
        <v/>
      </c>
      <c r="C203" s="58">
        <v>50000</v>
      </c>
      <c r="D203" s="59" t="s">
        <v>1181</v>
      </c>
      <c r="E203" s="406" t="s">
        <v>1183</v>
      </c>
      <c r="F203" s="51">
        <v>9</v>
      </c>
      <c r="G203" s="556">
        <v>7</v>
      </c>
      <c r="H203" s="556"/>
      <c r="I203" s="49">
        <v>3.5805789649642779</v>
      </c>
      <c r="J203" s="50">
        <v>230.23420818697153</v>
      </c>
      <c r="K203" s="557">
        <v>390.17027651576967</v>
      </c>
      <c r="L203" s="557"/>
      <c r="M203" s="50">
        <v>62.531800294887539</v>
      </c>
      <c r="N203" s="469" t="str">
        <f t="shared" si="21"/>
        <v/>
      </c>
      <c r="O203" s="70"/>
      <c r="P203" s="70"/>
      <c r="Q203" s="70"/>
      <c r="R203" s="70"/>
      <c r="S203" s="95"/>
      <c r="T203" s="70"/>
      <c r="V203" s="361" t="s">
        <v>1183</v>
      </c>
      <c r="W203" s="447">
        <f>SUMIFS('Données par municipalité'!$P$6:$P$1113,'Données par municipalité'!$K$6:$K$1113,"&lt;100000")-SUM($W$199:$W202)</f>
        <v>13029.154389546398</v>
      </c>
      <c r="X203" s="447">
        <f>SUMIFS('Données par municipalité'!$Q$6:$Q$1113,'Données par municipalité'!$K$6:$K$1113,"&lt;100000")-SUM($X$199:$X202)</f>
        <v>3638.8401197224775</v>
      </c>
      <c r="Y203" s="447">
        <f>SUMIFS('Données par municipalité'!$L$6:$L$1113,'Données par municipalité'!$K$6:$K$1113,"&lt;100000")-SUM($Y$199:$Y202)</f>
        <v>2828.273000000001</v>
      </c>
      <c r="Z203" s="447">
        <f>(SUMIFS('État &amp; Plan d''action'!$S$6:$S$1113,'Données par municipalité'!$K$6:$K$1113,"&lt;100000"))+(SUMIFS('État &amp; Plan d''action'!$U$6:$U$1113,'Données par municipalité'!$K$6:$K$1113,"&lt;100000"))-SUM(Z199:Z202)</f>
        <v>2528.8800000000047</v>
      </c>
      <c r="AA203" s="447">
        <f>SUMIFS('Données par municipalité'!$N$6:$N$1113,'Données par municipalité'!$K$6:$K$1113,"&lt;100000")-SUM($AA$199:$AA202)</f>
        <v>80609.229384615319</v>
      </c>
      <c r="AB203" s="507">
        <f>SUMIFS('Données par municipalité'!$K$6:$K$1113,'Données par municipalité'!$K$6:$K$1113,"&lt;100000")-SUM($AB$199:$AB202)</f>
        <v>566027.75015471969</v>
      </c>
      <c r="AC203" s="507">
        <f>SUMIFS('État &amp; Plan d''action'!$AC$6:$AC$1113,'Données par municipalité'!$K$6:$K$1113,"&lt;100000")-SUM($AC$199:$AC202)</f>
        <v>432</v>
      </c>
      <c r="AD203" s="508">
        <f>SUMIFS('État &amp; Plan d''action'!$AD$6:$AD$1113,'Données par municipalité'!$K$6:$K$1113,"&lt;100000")-SUM($AD$199:$AD202)</f>
        <v>89</v>
      </c>
      <c r="AE203" s="508">
        <f>SUMIFS('État &amp; Plan d''action'!$AE$6:$AE$1113,'Données par municipalité'!$K$6:$K$1113,"&lt;100000")-SUM($AE$199:$AE202)</f>
        <v>28</v>
      </c>
      <c r="AF203" s="447">
        <f t="shared" si="23"/>
        <v>549</v>
      </c>
      <c r="AG203" s="509">
        <f t="shared" si="24"/>
        <v>0.89414282143202006</v>
      </c>
      <c r="AH203" s="510">
        <f>(SUMIFS('Données par municipalité'!$O$6:$O$1113,'Données par municipalité'!$K$6:$K$1113,"&lt;100000",'Données par municipalité'!$K$6:$K$1113,"&gt;=50000")*1000000/365)/SUMIFS('Données par municipalité'!$K$6:$K$1113,'Données par municipalité'!$K$6:$K$1113,"&lt;100000",'Données par municipalité'!$K$6:$K$1113,"&gt;=50000")</f>
        <v>230.23420818697153</v>
      </c>
      <c r="AI203" s="511">
        <f t="shared" si="22"/>
        <v>3.5805789649642779</v>
      </c>
      <c r="AJ203" s="510"/>
      <c r="AK203" s="510">
        <f>AVERAGEIFS('Données par municipalité'!$S$6:$S$1113,'Données par municipalité'!$K$6:$K$1113,"&lt;100000",'Données par municipalité'!$K$6:$K$1113,"&gt;=50000")</f>
        <v>62.531800294887539</v>
      </c>
      <c r="AL203" s="511"/>
      <c r="AM203" s="510">
        <f>(SUMIFS('Données par municipalité'!$N$6:$N$1113,'Données par municipalité'!$K$6:$K$1113,"&lt;100000",'Données par municipalité'!$K$6:$K$1113,"&gt;=50000")*1000000/365)/SUMIFS('Données par municipalité'!$K$6:$K$1113,'Données par municipalité'!$K$6:$K$1113,"&lt;100000",'Données par municipalité'!$K$6:$K$1113,"&gt;=50000")</f>
        <v>390.17027651576967</v>
      </c>
      <c r="AN203" s="437">
        <f>SUMIFS('Données par municipalité'!$H$6:$H$1113,'Données par municipalité'!$K$6:$K$1113,"&lt;100000")-SUM(AN199:AN202)+SUMIFS('Données par municipalité'!H6:H1113,'Données par municipalité'!K6:K1113,"")</f>
        <v>17</v>
      </c>
      <c r="AO203" s="437">
        <f>SUMIFS('Données par municipalité'!$I$6:$I$1113,'Données par municipalité'!$K$6:$K$1113,"&lt;100000")-SUM(AO199:AO202)+SUMIFS('Données par municipalité'!I6:I1113,'Données par municipalité'!K6:K1113,"")</f>
        <v>236126</v>
      </c>
      <c r="BS203" s="486">
        <v>35040</v>
      </c>
      <c r="BT203" s="479" t="s">
        <v>309</v>
      </c>
      <c r="BU203" s="479">
        <v>4</v>
      </c>
      <c r="BV203" s="476" t="s">
        <v>1187</v>
      </c>
      <c r="BW203" s="476" t="s">
        <v>1187</v>
      </c>
      <c r="BX203" s="476" t="s">
        <v>1187</v>
      </c>
      <c r="BY203" s="476" t="s">
        <v>1187</v>
      </c>
      <c r="BZ203" s="476" t="s">
        <v>1187</v>
      </c>
      <c r="CA203" s="476" t="s">
        <v>1187</v>
      </c>
      <c r="CB203" s="476" t="s">
        <v>1187</v>
      </c>
      <c r="CC203" s="476" t="s">
        <v>1187</v>
      </c>
      <c r="CD203" s="476" t="s">
        <v>1187</v>
      </c>
      <c r="CE203" s="476" t="s">
        <v>1188</v>
      </c>
      <c r="CF203" s="476" t="s">
        <v>1188</v>
      </c>
      <c r="CG203" s="476" t="s">
        <v>1188</v>
      </c>
      <c r="CH203" s="476" t="s">
        <v>1187</v>
      </c>
      <c r="CI203" s="476" t="s">
        <v>1187</v>
      </c>
      <c r="CJ203" s="476" t="s">
        <v>1187</v>
      </c>
      <c r="CK203" s="476" t="s">
        <v>1187</v>
      </c>
      <c r="CL203" s="476" t="s">
        <v>1188</v>
      </c>
      <c r="CM203" s="476" t="str">
        <f>IF(VLOOKUP(BS203,'Données par municipalité'!$B$6:$E$1113,4,FALSE)="","non","oui")</f>
        <v>non</v>
      </c>
      <c r="CN203" s="410">
        <v>460.88941830454638</v>
      </c>
      <c r="CO203" s="410">
        <v>467.52155409195257</v>
      </c>
      <c r="CP203" s="410">
        <v>548.03013698630127</v>
      </c>
      <c r="CQ203" s="410"/>
      <c r="CR203" s="410"/>
      <c r="CS203" s="410" t="s">
        <v>1124</v>
      </c>
      <c r="CT203" s="410"/>
      <c r="CU203" s="410">
        <v>551</v>
      </c>
      <c r="CV203" s="410" t="str">
        <f>IF(VLOOKUP(BS203,'Données par municipalité'!$B$6:$F$1113,4,FALSE)="","",VLOOKUP(BS203,'Données par municipalité'!$B$6:$F$1113,4,FALSE))</f>
        <v/>
      </c>
      <c r="CW203" s="476" t="s">
        <v>4723</v>
      </c>
      <c r="CX203" s="483">
        <v>0.95</v>
      </c>
      <c r="CY203" s="483">
        <v>0</v>
      </c>
      <c r="CZ203" s="483" t="s">
        <v>1124</v>
      </c>
      <c r="DA203" s="483" t="s">
        <v>1124</v>
      </c>
      <c r="DB203" s="483" t="s">
        <v>1124</v>
      </c>
      <c r="DC203" s="483" t="s">
        <v>1124</v>
      </c>
      <c r="DD203" s="483">
        <v>0</v>
      </c>
      <c r="DE203" s="483" t="str">
        <f>IFERROR(SUM(VLOOKUP($BS203,'État &amp; Plan d''action'!$B$6:$Z$1113,18,FALSE),VLOOKUP($BS203,'État &amp; Plan d''action'!$B$6:$Z$1113,20,FALSE))/(VLOOKUP($BS203,'Données par municipalité'!$B$4:$L$1113,11,FALSE)),"")</f>
        <v/>
      </c>
      <c r="DF203" s="483" t="str">
        <f>IFERROR(SUM(VLOOKUP($BS203,'État &amp; Plan d''action'!$B$6:$Z$1113,19,FALSE),VLOOKUP($BS203,'État &amp; Plan d''action'!$B$6:$Z$1113,21,FALSE))/(VLOOKUP($BS203,'Données par municipalité'!$B$4:$L$1113,11,FALSE)),"")</f>
        <v/>
      </c>
      <c r="DG203" s="476" t="s">
        <v>4723</v>
      </c>
      <c r="DH203" s="484">
        <v>2</v>
      </c>
      <c r="DI203" s="484">
        <v>0</v>
      </c>
      <c r="DJ203" s="484">
        <v>0</v>
      </c>
      <c r="DK203" s="484">
        <v>0</v>
      </c>
      <c r="DL203" s="484" t="s">
        <v>1124</v>
      </c>
      <c r="DM203" s="484" t="s">
        <v>1124</v>
      </c>
      <c r="DN203" s="484">
        <v>0</v>
      </c>
      <c r="DO203" s="484">
        <v>0</v>
      </c>
      <c r="DP203" s="484">
        <v>0</v>
      </c>
      <c r="DQ203" s="484" t="str">
        <f>IF(VLOOKUP($BS203,'État &amp; Plan d''action'!$B$6:$AJ$1113,28,FALSE)="","",VLOOKUP($BS203,'État &amp; Plan d''action'!$B$6:$AJ$1113,28,FALSE))</f>
        <v/>
      </c>
      <c r="DR203" s="70" t="str">
        <f>IF(VLOOKUP($BS203,'État &amp; Plan d''action'!$B$6:$AJ$1113,29,FALSE)="","",VLOOKUP($BS203,'État &amp; Plan d''action'!$B$6:$AJ$1113,29,FALSE))</f>
        <v/>
      </c>
      <c r="DS203" s="70" t="str">
        <f>IF(VLOOKUP($BS203,'État &amp; Plan d''action'!$B$6:$AJ$1113,30,FALSE)="","",VLOOKUP($BS203,'État &amp; Plan d''action'!$B$6:$AJ$1113,30,FALSE))</f>
        <v/>
      </c>
      <c r="DT203" s="70">
        <v>422</v>
      </c>
      <c r="DU203" s="485">
        <v>1.8480821964709802</v>
      </c>
      <c r="DV203" s="485" t="s">
        <v>1124</v>
      </c>
      <c r="DW203" s="70">
        <v>0</v>
      </c>
      <c r="DX203" s="70">
        <v>0</v>
      </c>
      <c r="DY203" s="70">
        <v>0</v>
      </c>
      <c r="DZ203" s="70" t="str">
        <f>VLOOKUP($BS203,'État &amp; Plan d''action'!$B$6:$AH$1113,31,FALSE)</f>
        <v/>
      </c>
      <c r="EA203" s="70" t="str">
        <f>VLOOKUP($BS203,'État &amp; Plan d''action'!$B$6:$AH$1113,32,FALSE)</f>
        <v/>
      </c>
      <c r="EB203" s="70" t="str">
        <f>VLOOKUP($BS203,'État &amp; Plan d''action'!$B$6:$AH$1113,33,FALSE)</f>
        <v/>
      </c>
      <c r="EC203" s="70">
        <v>0</v>
      </c>
      <c r="ED203" s="70">
        <v>0</v>
      </c>
      <c r="EE203" s="70">
        <v>0</v>
      </c>
      <c r="EF203" s="70">
        <v>0</v>
      </c>
      <c r="EG203" s="70">
        <v>0</v>
      </c>
      <c r="EH203" s="72">
        <v>39</v>
      </c>
      <c r="EI203" s="72">
        <v>447</v>
      </c>
    </row>
    <row r="204" spans="1:139" ht="16" thickBot="1" x14ac:dyDescent="0.4">
      <c r="A204" s="1"/>
      <c r="B204" s="47" t="str">
        <f>IF(C204&lt;=IF(W21="","",VLOOKUP($W$21,'Données par municipalité'!$B$6:$K$1113,10,FALSE)),$W$20,"")</f>
        <v>TOUT LE QUÉBEC</v>
      </c>
      <c r="C204" s="60">
        <v>100000</v>
      </c>
      <c r="D204" s="61" t="s">
        <v>1184</v>
      </c>
      <c r="E204" s="407" t="s">
        <v>1185</v>
      </c>
      <c r="F204" s="57">
        <v>10</v>
      </c>
      <c r="G204" s="531">
        <v>10</v>
      </c>
      <c r="H204" s="532"/>
      <c r="I204" s="55">
        <v>9.935278314300847</v>
      </c>
      <c r="J204" s="56">
        <v>269.65356920257648</v>
      </c>
      <c r="K204" s="529">
        <v>575.83441521346356</v>
      </c>
      <c r="L204" s="529"/>
      <c r="M204" s="56">
        <v>56.866454331787466</v>
      </c>
      <c r="N204" s="374" t="str">
        <f t="shared" si="21"/>
        <v/>
      </c>
      <c r="O204" s="70"/>
      <c r="P204" s="70"/>
      <c r="Q204" s="70"/>
      <c r="R204" s="70"/>
      <c r="S204" s="95"/>
      <c r="T204" s="70"/>
      <c r="V204" s="361" t="s">
        <v>1185</v>
      </c>
      <c r="W204" s="447">
        <f>SUMIFS('Données par municipalité'!$P$6:$P$1113,'Données par municipalité'!$K$6:$K$1113,"&gt;=100000")</f>
        <v>229829.56238347403</v>
      </c>
      <c r="X204" s="447">
        <f>SUMIFS('Données par municipalité'!$Q$6:$Q$1113,'Données par municipalité'!$K$6:$K$1113,"&gt;=100000")</f>
        <v>23132.674809185486</v>
      </c>
      <c r="Y204" s="447">
        <f>SUMIFS('Données par municipalité'!$L$6:$L$1113,'Données par municipalité'!$K$6:$K$1113,"&gt;=100000")</f>
        <v>16109.26</v>
      </c>
      <c r="Z204" s="447">
        <f>SUM('État &amp; Plan d''action'!$S$6:$S$1113,'État &amp; Plan d''action'!$U$6:$U$1113)-SUM(Z199:Z203)</f>
        <v>21802.258277085904</v>
      </c>
      <c r="AA204" s="447">
        <f>SUMIFS('Données par municipalité'!$N$6:$N$1113,'Données par municipalité'!$K$6:$K$1113,"&gt;=100000")</f>
        <v>865591.81599999999</v>
      </c>
      <c r="AB204" s="507">
        <f>SUMIFS('Données par municipalité'!$K$6:$K$1113,'Données par municipalité'!$K$6:$K$1113,"&gt;=100000")</f>
        <v>4118344.3794656554</v>
      </c>
      <c r="AC204" s="507">
        <f>SUM('État &amp; Plan d''action'!$AC$6:$AC$1113)-SUM(AC199:AC203)</f>
        <v>2549</v>
      </c>
      <c r="AD204" s="447">
        <f>SUM('État &amp; Plan d''action'!$AD$6:$AD$1113)-SUM(AD199:AD203)</f>
        <v>1455</v>
      </c>
      <c r="AE204" s="447">
        <f>SUM('État &amp; Plan d''action'!$AE$6:$AE$1113)-SUM(AE199:AE203)</f>
        <v>651</v>
      </c>
      <c r="AF204" s="447">
        <f t="shared" si="23"/>
        <v>4655</v>
      </c>
      <c r="AG204" s="509">
        <f t="shared" si="24"/>
        <v>1.3533991180902105</v>
      </c>
      <c r="AH204" s="510">
        <f>(SUMIFS('Données par municipalité'!$O$6:$O$1113,'Données par municipalité'!$K$6:$K$1113,"&gt;=100000")*1000000/365)/SUMIFS('Données par municipalité'!$K$6:$K$1113,'Données par municipalité'!$K$6:$K$1113,"&gt;=100000")</f>
        <v>269.65356920257648</v>
      </c>
      <c r="AI204" s="511">
        <f t="shared" si="22"/>
        <v>9.935278314300847</v>
      </c>
      <c r="AJ204" s="510"/>
      <c r="AK204" s="510">
        <f>AVERAGEIFS('Données par municipalité'!$S$6:$S$1113,'Données par municipalité'!$K$6:$K$1113,"&gt;=100000")</f>
        <v>56.866454331787466</v>
      </c>
      <c r="AL204" s="511"/>
      <c r="AM204" s="510">
        <f>(SUMIFS('Données par municipalité'!$N$6:$N$1113,'Données par municipalité'!$K$6:$K$1113,"&gt;=100000")*1000000/365)/SUMIFS('Données par municipalité'!$K$6:$K$1113,'Données par municipalité'!$K$6:$K$1113,"&gt;=100000")</f>
        <v>575.83441521346356</v>
      </c>
      <c r="AN204" s="70">
        <f>SUMIFS('Données par municipalité'!$H$6:$H$1113,'Données par municipalité'!$K$6:$K$1113,"&gt;=100000")</f>
        <v>23</v>
      </c>
      <c r="AO204" s="437">
        <f>SUMIFS('Données par municipalité'!$I$6:$I$1113,'Données par municipalité'!$K$6:$K$1113,"&gt;=100000")</f>
        <v>1941021.9657889509</v>
      </c>
      <c r="BS204" s="486">
        <v>3020</v>
      </c>
      <c r="BT204" s="479" t="s">
        <v>1034</v>
      </c>
      <c r="BU204" s="479">
        <v>11</v>
      </c>
      <c r="BV204" s="476" t="s">
        <v>1187</v>
      </c>
      <c r="BW204" s="476" t="s">
        <v>1187</v>
      </c>
      <c r="BX204" s="476" t="s">
        <v>1187</v>
      </c>
      <c r="BY204" s="476" t="s">
        <v>1187</v>
      </c>
      <c r="BZ204" s="476" t="s">
        <v>1187</v>
      </c>
      <c r="CA204" s="476" t="s">
        <v>1187</v>
      </c>
      <c r="CB204" s="476" t="s">
        <v>1187</v>
      </c>
      <c r="CC204" s="476" t="s">
        <v>1187</v>
      </c>
      <c r="CD204" s="476" t="s">
        <v>1187</v>
      </c>
      <c r="CE204" s="476" t="s">
        <v>1188</v>
      </c>
      <c r="CF204" s="476" t="s">
        <v>1188</v>
      </c>
      <c r="CG204" s="476" t="s">
        <v>1187</v>
      </c>
      <c r="CH204" s="476" t="s">
        <v>1188</v>
      </c>
      <c r="CI204" s="476" t="s">
        <v>1188</v>
      </c>
      <c r="CJ204" s="476" t="s">
        <v>1188</v>
      </c>
      <c r="CK204" s="476" t="s">
        <v>1187</v>
      </c>
      <c r="CL204" s="476" t="s">
        <v>1188</v>
      </c>
      <c r="CM204" s="476" t="str">
        <f>IF(VLOOKUP(BS204,'Données par municipalité'!$B$6:$E$1113,4,FALSE)="","non","oui")</f>
        <v>oui</v>
      </c>
      <c r="CN204" s="410">
        <v>1365.0282030620467</v>
      </c>
      <c r="CO204" s="410">
        <v>1442.671734358657</v>
      </c>
      <c r="CP204" s="410"/>
      <c r="CQ204" s="410">
        <v>328.67792981960616</v>
      </c>
      <c r="CR204" s="410">
        <v>323.03363977628425</v>
      </c>
      <c r="CS204" s="410">
        <v>1212.6100143572962</v>
      </c>
      <c r="CT204" s="410"/>
      <c r="CU204" s="410">
        <v>910</v>
      </c>
      <c r="CV204" s="410">
        <f>IF(VLOOKUP(BS204,'Données par municipalité'!$B$6:$F$1113,4,FALSE)="","",VLOOKUP(BS204,'Données par municipalité'!$B$6:$F$1113,4,FALSE))</f>
        <v>584</v>
      </c>
      <c r="CW204" s="476" t="s">
        <v>4723</v>
      </c>
      <c r="CX204" s="483">
        <v>0.1</v>
      </c>
      <c r="CY204" s="483" t="s">
        <v>1124</v>
      </c>
      <c r="CZ204" s="483">
        <v>0.15</v>
      </c>
      <c r="DA204" s="483">
        <v>0.15</v>
      </c>
      <c r="DB204" s="483">
        <v>1</v>
      </c>
      <c r="DC204" s="483" t="s">
        <v>1124</v>
      </c>
      <c r="DD204" s="483" t="s">
        <v>1124</v>
      </c>
      <c r="DE204" s="483">
        <f>IFERROR(SUM(VLOOKUP($BS204,'État &amp; Plan d''action'!$B$6:$Z$1113,18,FALSE),VLOOKUP($BS204,'État &amp; Plan d''action'!$B$6:$Z$1113,20,FALSE))/(VLOOKUP($BS204,'Données par municipalité'!$B$4:$L$1113,11,FALSE)),"")</f>
        <v>1</v>
      </c>
      <c r="DF204" s="483">
        <f>IFERROR(SUM(VLOOKUP($BS204,'État &amp; Plan d''action'!$B$6:$Z$1113,19,FALSE),VLOOKUP($BS204,'État &amp; Plan d''action'!$B$6:$Z$1113,21,FALSE))/(VLOOKUP($BS204,'Données par municipalité'!$B$4:$L$1113,11,FALSE)),"")</f>
        <v>1</v>
      </c>
      <c r="DG204" s="476" t="s">
        <v>4723</v>
      </c>
      <c r="DH204" s="484">
        <v>3</v>
      </c>
      <c r="DI204" s="484" t="s">
        <v>1124</v>
      </c>
      <c r="DJ204" s="484">
        <v>2</v>
      </c>
      <c r="DK204" s="484">
        <v>0</v>
      </c>
      <c r="DL204" s="484">
        <v>4</v>
      </c>
      <c r="DM204" s="484" t="s">
        <v>1124</v>
      </c>
      <c r="DN204" s="484">
        <v>6</v>
      </c>
      <c r="DO204" s="484">
        <v>0</v>
      </c>
      <c r="DP204" s="484">
        <v>1</v>
      </c>
      <c r="DQ204" s="484">
        <f>IF(VLOOKUP($BS204,'État &amp; Plan d''action'!$B$6:$AJ$1113,28,FALSE)="","",VLOOKUP($BS204,'État &amp; Plan d''action'!$B$6:$AJ$1113,28,FALSE))</f>
        <v>5</v>
      </c>
      <c r="DR204" s="70">
        <f>IF(VLOOKUP($BS204,'État &amp; Plan d''action'!$B$6:$AJ$1113,29,FALSE)="","",VLOOKUP($BS204,'État &amp; Plan d''action'!$B$6:$AJ$1113,29,FALSE))</f>
        <v>0</v>
      </c>
      <c r="DS204" s="70">
        <f>IF(VLOOKUP($BS204,'État &amp; Plan d''action'!$B$6:$AJ$1113,30,FALSE)="","",VLOOKUP($BS204,'État &amp; Plan d''action'!$B$6:$AJ$1113,30,FALSE))</f>
        <v>0</v>
      </c>
      <c r="DT204" s="70">
        <v>681</v>
      </c>
      <c r="DU204" s="485">
        <v>6.3506025809794719</v>
      </c>
      <c r="DV204" s="485">
        <v>5.6551199764363211</v>
      </c>
      <c r="DW204" s="70">
        <v>7</v>
      </c>
      <c r="DX204" s="70">
        <v>0</v>
      </c>
      <c r="DY204" s="70">
        <v>7</v>
      </c>
      <c r="DZ204" s="70">
        <f>VLOOKUP($BS204,'État &amp; Plan d''action'!$B$6:$AH$1113,31,FALSE)</f>
        <v>5</v>
      </c>
      <c r="EA204" s="70">
        <f>VLOOKUP($BS204,'État &amp; Plan d''action'!$B$6:$AH$1113,32,FALSE)</f>
        <v>0</v>
      </c>
      <c r="EB204" s="70">
        <f>VLOOKUP($BS204,'État &amp; Plan d''action'!$B$6:$AH$1113,33,FALSE)</f>
        <v>0</v>
      </c>
      <c r="EC204" s="70">
        <v>18.698</v>
      </c>
      <c r="ED204" s="70">
        <v>0</v>
      </c>
      <c r="EE204" s="70">
        <v>0</v>
      </c>
      <c r="EF204" s="70">
        <v>0</v>
      </c>
      <c r="EG204" s="70">
        <v>0</v>
      </c>
      <c r="EH204" s="72">
        <v>46</v>
      </c>
      <c r="EI204" s="72">
        <v>1082</v>
      </c>
    </row>
    <row r="205" spans="1:139" ht="16" thickTop="1" x14ac:dyDescent="0.35">
      <c r="A205" s="1"/>
      <c r="B205" s="47"/>
      <c r="C205" s="404"/>
      <c r="D205" s="405"/>
      <c r="E205" s="408" t="s">
        <v>1155</v>
      </c>
      <c r="F205" s="52">
        <v>803</v>
      </c>
      <c r="G205" s="530">
        <v>607</v>
      </c>
      <c r="H205" s="530"/>
      <c r="I205" s="53">
        <v>6.59226315459658</v>
      </c>
      <c r="J205" s="54">
        <v>262.03759569882737</v>
      </c>
      <c r="K205" s="528">
        <v>536.32018669637034</v>
      </c>
      <c r="L205" s="528"/>
      <c r="M205" s="62">
        <v>57.723499076943824</v>
      </c>
      <c r="N205" s="373" t="str">
        <f>IF($N$197=$S$170,"",IF($N$197=$S$171,TEXT(AN205,"#"),IF($N$197=$S$172,TEXT(AO205,"# ###"),IF($N$197=$S$173,TEXT(AB205,"# ###"),IF($N$197=$S$174,Y205,IF($N$197=$S$175,AA205,IF($N$197=$S$176,W205,IF($N$197=$S$177,TEXT(AG205,"0%"),IF($N$197=$S$178,TEXT(AF205,"# ###"))))))))))</f>
        <v/>
      </c>
      <c r="O205" s="70"/>
      <c r="P205" s="70"/>
      <c r="Q205" s="70"/>
      <c r="R205" s="70"/>
      <c r="S205" s="95"/>
      <c r="T205" s="70"/>
      <c r="V205" s="361"/>
      <c r="W205" s="447">
        <f t="shared" ref="W205:Y205" si="25">SUM(W199:W204)</f>
        <v>327543.12488526513</v>
      </c>
      <c r="X205" s="447">
        <f t="shared" si="25"/>
        <v>49678.372206141299</v>
      </c>
      <c r="Y205" s="447">
        <f t="shared" si="25"/>
        <v>38963.782158200003</v>
      </c>
      <c r="Z205" s="447">
        <f>SUM(Z199:Z204)</f>
        <v>39515.299094385911</v>
      </c>
      <c r="AA205" s="447">
        <f t="shared" ref="AA205:AF205" si="26">SUM(AA199:AA204)</f>
        <v>1325121.2889390611</v>
      </c>
      <c r="AB205" s="447">
        <f t="shared" si="26"/>
        <v>6921666.143421012</v>
      </c>
      <c r="AC205" s="447">
        <f t="shared" si="26"/>
        <v>5090</v>
      </c>
      <c r="AD205" s="447">
        <f t="shared" si="26"/>
        <v>2667</v>
      </c>
      <c r="AE205" s="447">
        <f t="shared" si="26"/>
        <v>1457</v>
      </c>
      <c r="AF205" s="447">
        <f t="shared" si="26"/>
        <v>9214</v>
      </c>
      <c r="AG205" s="509">
        <f t="shared" si="24"/>
        <v>1.0141546047544012</v>
      </c>
      <c r="AH205" s="510">
        <f>SUMPRODUCT(AB199:AB204,AH199:AH204)/SUM(AB199:AB204)</f>
        <v>262.03759569882737</v>
      </c>
      <c r="AI205" s="511">
        <f t="shared" ref="AI205" si="27">AI188</f>
        <v>6.59226315459658</v>
      </c>
      <c r="AJ205" s="510"/>
      <c r="AK205" s="510">
        <f>AK188</f>
        <v>57.723499076943824</v>
      </c>
      <c r="AL205" s="511"/>
      <c r="AM205" s="510">
        <f>SUMPRODUCT(AB199:AB204,AM199:AM204)/SUM(AB199:AB204)</f>
        <v>524.50800277549968</v>
      </c>
      <c r="AN205" s="70">
        <f>SUM(AN199:AN204)</f>
        <v>743</v>
      </c>
      <c r="AO205" s="437">
        <f>SUM(AO199:AO204)</f>
        <v>3171751.9657889511</v>
      </c>
      <c r="BS205" s="486">
        <v>9060</v>
      </c>
      <c r="BT205" s="479" t="s">
        <v>1107</v>
      </c>
      <c r="BU205" s="479">
        <v>1</v>
      </c>
      <c r="BV205" s="476" t="s">
        <v>1187</v>
      </c>
      <c r="BW205" s="476" t="s">
        <v>1187</v>
      </c>
      <c r="BX205" s="476" t="s">
        <v>1187</v>
      </c>
      <c r="BY205" s="476" t="s">
        <v>1187</v>
      </c>
      <c r="BZ205" s="476" t="s">
        <v>1187</v>
      </c>
      <c r="CA205" s="476" t="s">
        <v>1187</v>
      </c>
      <c r="CB205" s="476" t="s">
        <v>1187</v>
      </c>
      <c r="CC205" s="476" t="s">
        <v>1187</v>
      </c>
      <c r="CD205" s="476" t="s">
        <v>1187</v>
      </c>
      <c r="CE205" s="476" t="s">
        <v>1188</v>
      </c>
      <c r="CF205" s="476" t="s">
        <v>1188</v>
      </c>
      <c r="CG205" s="476" t="s">
        <v>1187</v>
      </c>
      <c r="CH205" s="476" t="s">
        <v>1187</v>
      </c>
      <c r="CI205" s="476" t="s">
        <v>1188</v>
      </c>
      <c r="CJ205" s="476" t="s">
        <v>1188</v>
      </c>
      <c r="CK205" s="476" t="s">
        <v>1188</v>
      </c>
      <c r="CL205" s="476" t="s">
        <v>1188</v>
      </c>
      <c r="CM205" s="476" t="str">
        <f>IF(VLOOKUP(BS205,'Données par municipalité'!$B$6:$E$1113,4,FALSE)="","non","oui")</f>
        <v>oui</v>
      </c>
      <c r="CN205" s="410">
        <v>403.69344413665743</v>
      </c>
      <c r="CO205" s="410">
        <v>312.69981149390253</v>
      </c>
      <c r="CP205" s="410"/>
      <c r="CQ205" s="410"/>
      <c r="CR205" s="410">
        <v>247.86671246285505</v>
      </c>
      <c r="CS205" s="410">
        <v>287</v>
      </c>
      <c r="CT205" s="410">
        <v>299</v>
      </c>
      <c r="CU205" s="410">
        <v>309</v>
      </c>
      <c r="CV205" s="410">
        <f>IF(VLOOKUP(BS205,'Données par municipalité'!$B$6:$F$1113,4,FALSE)="","",VLOOKUP(BS205,'Données par municipalité'!$B$6:$F$1113,4,FALSE))</f>
        <v>286</v>
      </c>
      <c r="CW205" s="476" t="s">
        <v>4723</v>
      </c>
      <c r="CX205" s="483">
        <v>0</v>
      </c>
      <c r="CY205" s="483" t="s">
        <v>1124</v>
      </c>
      <c r="CZ205" s="483" t="s">
        <v>1124</v>
      </c>
      <c r="DA205" s="483">
        <v>0</v>
      </c>
      <c r="DB205" s="483">
        <v>0</v>
      </c>
      <c r="DC205" s="483">
        <v>0</v>
      </c>
      <c r="DD205" s="483" t="s">
        <v>1124</v>
      </c>
      <c r="DE205" s="483" t="str">
        <f>IFERROR(SUM(VLOOKUP($BS205,'État &amp; Plan d''action'!$B$6:$Z$1113,18,FALSE),VLOOKUP($BS205,'État &amp; Plan d''action'!$B$6:$Z$1113,20,FALSE))/(VLOOKUP($BS205,'Données par municipalité'!$B$4:$L$1113,11,FALSE)),"")</f>
        <v/>
      </c>
      <c r="DF205" s="483" t="str">
        <f>IFERROR(SUM(VLOOKUP($BS205,'État &amp; Plan d''action'!$B$6:$Z$1113,19,FALSE),VLOOKUP($BS205,'État &amp; Plan d''action'!$B$6:$Z$1113,21,FALSE))/(VLOOKUP($BS205,'Données par municipalité'!$B$4:$L$1113,11,FALSE)),"")</f>
        <v/>
      </c>
      <c r="DG205" s="476" t="s">
        <v>4723</v>
      </c>
      <c r="DH205" s="484">
        <v>0</v>
      </c>
      <c r="DI205" s="484" t="s">
        <v>1124</v>
      </c>
      <c r="DJ205" s="484">
        <v>0</v>
      </c>
      <c r="DK205" s="484">
        <v>0</v>
      </c>
      <c r="DL205" s="484">
        <v>0</v>
      </c>
      <c r="DM205" s="484">
        <v>0</v>
      </c>
      <c r="DN205" s="484">
        <v>0</v>
      </c>
      <c r="DO205" s="484">
        <v>0</v>
      </c>
      <c r="DP205" s="484">
        <v>0</v>
      </c>
      <c r="DQ205" s="484">
        <f>IF(VLOOKUP($BS205,'État &amp; Plan d''action'!$B$6:$AJ$1113,28,FALSE)="","",VLOOKUP($BS205,'État &amp; Plan d''action'!$B$6:$AJ$1113,28,FALSE))</f>
        <v>0</v>
      </c>
      <c r="DR205" s="70">
        <f>IF(VLOOKUP($BS205,'État &amp; Plan d''action'!$B$6:$AJ$1113,29,FALSE)="","",VLOOKUP($BS205,'État &amp; Plan d''action'!$B$6:$AJ$1113,29,FALSE))</f>
        <v>0</v>
      </c>
      <c r="DS205" s="70">
        <f>IF(VLOOKUP($BS205,'État &amp; Plan d''action'!$B$6:$AJ$1113,30,FALSE)="","",VLOOKUP($BS205,'État &amp; Plan d''action'!$B$6:$AJ$1113,30,FALSE))</f>
        <v>0</v>
      </c>
      <c r="DT205" s="70">
        <v>109</v>
      </c>
      <c r="DU205" s="485" t="s">
        <v>1124</v>
      </c>
      <c r="DV205" s="485">
        <v>0.1</v>
      </c>
      <c r="DW205" s="70">
        <v>0</v>
      </c>
      <c r="DX205" s="70">
        <v>0</v>
      </c>
      <c r="DY205" s="70">
        <v>0</v>
      </c>
      <c r="DZ205" s="70">
        <f>VLOOKUP($BS205,'État &amp; Plan d''action'!$B$6:$AH$1113,31,FALSE)</f>
        <v>0</v>
      </c>
      <c r="EA205" s="70">
        <f>VLOOKUP($BS205,'État &amp; Plan d''action'!$B$6:$AH$1113,32,FALSE)</f>
        <v>0</v>
      </c>
      <c r="EB205" s="70">
        <f>VLOOKUP($BS205,'État &amp; Plan d''action'!$B$6:$AH$1113,33,FALSE)</f>
        <v>0</v>
      </c>
      <c r="EC205" s="70">
        <v>0</v>
      </c>
      <c r="ED205" s="70">
        <v>0.6</v>
      </c>
      <c r="EE205" s="70">
        <v>0</v>
      </c>
      <c r="EF205" s="70">
        <v>0</v>
      </c>
      <c r="EG205" s="70">
        <v>0</v>
      </c>
      <c r="EH205" s="72">
        <v>63</v>
      </c>
      <c r="EI205" s="72">
        <v>212</v>
      </c>
    </row>
    <row r="206" spans="1:139" ht="19.5" customHeight="1" x14ac:dyDescent="0.35">
      <c r="B206" s="520" t="s">
        <v>4764</v>
      </c>
      <c r="C206" s="520"/>
      <c r="D206" s="520"/>
      <c r="E206" s="359"/>
      <c r="F206" s="359"/>
      <c r="G206" s="359"/>
      <c r="H206" s="359"/>
      <c r="I206" s="359"/>
      <c r="J206" s="359"/>
      <c r="K206" s="359"/>
      <c r="L206" s="359"/>
      <c r="M206" s="359"/>
      <c r="N206" s="359"/>
      <c r="Z206" s="438"/>
      <c r="BS206" s="486">
        <v>83095</v>
      </c>
      <c r="BT206" s="479" t="s">
        <v>851</v>
      </c>
      <c r="BU206" s="479">
        <v>7</v>
      </c>
      <c r="BV206" s="476" t="s">
        <v>1188</v>
      </c>
      <c r="BW206" s="476" t="s">
        <v>1188</v>
      </c>
      <c r="BX206" s="476" t="s">
        <v>1188</v>
      </c>
      <c r="BY206" s="476" t="s">
        <v>1188</v>
      </c>
      <c r="BZ206" s="476" t="s">
        <v>1188</v>
      </c>
      <c r="CA206" s="476" t="s">
        <v>1188</v>
      </c>
      <c r="CB206" s="476" t="s">
        <v>1188</v>
      </c>
      <c r="CC206" s="476" t="s">
        <v>1188</v>
      </c>
      <c r="CD206" s="476" t="s">
        <v>1188</v>
      </c>
      <c r="CE206" s="476" t="s">
        <v>1187</v>
      </c>
      <c r="CF206" s="476" t="s">
        <v>1187</v>
      </c>
      <c r="CG206" s="476" t="s">
        <v>1187</v>
      </c>
      <c r="CH206" s="476" t="s">
        <v>1187</v>
      </c>
      <c r="CI206" s="476" t="s">
        <v>1187</v>
      </c>
      <c r="CJ206" s="476" t="s">
        <v>1187</v>
      </c>
      <c r="CK206" s="476" t="s">
        <v>1187</v>
      </c>
      <c r="CL206" s="476" t="s">
        <v>1187</v>
      </c>
      <c r="CM206" s="476" t="str">
        <f>IF(VLOOKUP(BS206,'Données par municipalité'!$B$6:$E$1113,4,FALSE)="","non","oui")</f>
        <v>non</v>
      </c>
      <c r="CN206" s="410" t="s">
        <v>1124</v>
      </c>
      <c r="CO206" s="410" t="s">
        <v>1124</v>
      </c>
      <c r="CP206" s="410"/>
      <c r="CQ206" s="410"/>
      <c r="CR206" s="410"/>
      <c r="CS206" s="410" t="s">
        <v>1124</v>
      </c>
      <c r="CT206" s="410"/>
      <c r="CU206" s="410" t="s">
        <v>1124</v>
      </c>
      <c r="CV206" s="410" t="str">
        <f>IF(VLOOKUP(BS206,'Données par municipalité'!$B$6:$F$1113,4,FALSE)="","",VLOOKUP(BS206,'Données par municipalité'!$B$6:$F$1113,4,FALSE))</f>
        <v/>
      </c>
      <c r="CW206" s="476" t="s">
        <v>4723</v>
      </c>
      <c r="CX206" s="483" t="s">
        <v>1124</v>
      </c>
      <c r="CY206" s="483" t="s">
        <v>1124</v>
      </c>
      <c r="CZ206" s="483" t="s">
        <v>1124</v>
      </c>
      <c r="DA206" s="483" t="s">
        <v>1124</v>
      </c>
      <c r="DB206" s="483" t="s">
        <v>1124</v>
      </c>
      <c r="DC206" s="483" t="s">
        <v>1124</v>
      </c>
      <c r="DD206" s="483" t="s">
        <v>1124</v>
      </c>
      <c r="DE206" s="483" t="str">
        <f>IFERROR(SUM(VLOOKUP($BS206,'État &amp; Plan d''action'!$B$6:$Z$1113,18,FALSE),VLOOKUP($BS206,'État &amp; Plan d''action'!$B$6:$Z$1113,20,FALSE))/(VLOOKUP($BS206,'Données par municipalité'!$B$4:$L$1113,11,FALSE)),"")</f>
        <v/>
      </c>
      <c r="DF206" s="483" t="str">
        <f>IFERROR(SUM(VLOOKUP($BS206,'État &amp; Plan d''action'!$B$6:$Z$1113,19,FALSE),VLOOKUP($BS206,'État &amp; Plan d''action'!$B$6:$Z$1113,21,FALSE))/(VLOOKUP($BS206,'Données par municipalité'!$B$4:$L$1113,11,FALSE)),"")</f>
        <v/>
      </c>
      <c r="DG206" s="476" t="s">
        <v>4723</v>
      </c>
      <c r="DH206" s="484" t="s">
        <v>1124</v>
      </c>
      <c r="DI206" s="484" t="s">
        <v>1124</v>
      </c>
      <c r="DJ206" s="484">
        <v>0</v>
      </c>
      <c r="DK206" s="484">
        <v>0</v>
      </c>
      <c r="DL206" s="484" t="s">
        <v>1124</v>
      </c>
      <c r="DM206" s="484" t="s">
        <v>1124</v>
      </c>
      <c r="DN206" s="484" t="s">
        <v>1124</v>
      </c>
      <c r="DO206" s="484" t="s">
        <v>1124</v>
      </c>
      <c r="DP206" s="484" t="s">
        <v>1124</v>
      </c>
      <c r="DQ206" s="484" t="str">
        <f>IF(VLOOKUP($BS206,'État &amp; Plan d''action'!$B$6:$AJ$1113,28,FALSE)="","",VLOOKUP($BS206,'État &amp; Plan d''action'!$B$6:$AJ$1113,28,FALSE))</f>
        <v/>
      </c>
      <c r="DR206" s="70" t="str">
        <f>IF(VLOOKUP($BS206,'État &amp; Plan d''action'!$B$6:$AJ$1113,29,FALSE)="","",VLOOKUP($BS206,'État &amp; Plan d''action'!$B$6:$AJ$1113,29,FALSE))</f>
        <v/>
      </c>
      <c r="DS206" s="70" t="str">
        <f>IF(VLOOKUP($BS206,'État &amp; Plan d''action'!$B$6:$AJ$1113,30,FALSE)="","",VLOOKUP($BS206,'État &amp; Plan d''action'!$B$6:$AJ$1113,30,FALSE))</f>
        <v/>
      </c>
      <c r="DT206" s="70" t="s">
        <v>1124</v>
      </c>
      <c r="DU206" s="485" t="s">
        <v>1124</v>
      </c>
      <c r="DV206" s="485" t="s">
        <v>1124</v>
      </c>
      <c r="DW206" s="70" t="s">
        <v>1124</v>
      </c>
      <c r="DX206" s="70" t="s">
        <v>1124</v>
      </c>
      <c r="DY206" s="70" t="s">
        <v>1124</v>
      </c>
      <c r="DZ206" s="70" t="str">
        <f>VLOOKUP($BS206,'État &amp; Plan d''action'!$B$6:$AH$1113,31,FALSE)</f>
        <v/>
      </c>
      <c r="EA206" s="70" t="str">
        <f>VLOOKUP($BS206,'État &amp; Plan d''action'!$B$6:$AH$1113,32,FALSE)</f>
        <v/>
      </c>
      <c r="EB206" s="70" t="str">
        <f>VLOOKUP($BS206,'État &amp; Plan d''action'!$B$6:$AH$1113,33,FALSE)</f>
        <v/>
      </c>
      <c r="EC206" s="70" t="s">
        <v>1124</v>
      </c>
      <c r="ED206" s="70" t="s">
        <v>1124</v>
      </c>
      <c r="EE206" s="70" t="s">
        <v>1124</v>
      </c>
      <c r="EF206" s="70" t="s">
        <v>1124</v>
      </c>
      <c r="EG206" s="70" t="s">
        <v>1124</v>
      </c>
      <c r="EH206" s="72"/>
      <c r="EI206" s="72">
        <v>1180</v>
      </c>
    </row>
    <row r="207" spans="1:139" ht="15.5" x14ac:dyDescent="0.35">
      <c r="B207" s="359"/>
      <c r="C207" s="372"/>
      <c r="D207" s="359"/>
      <c r="E207" s="359"/>
      <c r="F207" s="359"/>
      <c r="G207" s="359"/>
      <c r="H207" s="359"/>
      <c r="I207" s="359"/>
      <c r="J207" s="359"/>
      <c r="K207" s="359"/>
      <c r="L207" s="359"/>
      <c r="M207" s="359"/>
      <c r="N207" s="359"/>
      <c r="BS207" s="486">
        <v>50065</v>
      </c>
      <c r="BT207" s="479" t="s">
        <v>490</v>
      </c>
      <c r="BU207" s="479">
        <v>17</v>
      </c>
      <c r="BV207" s="476" t="s">
        <v>1187</v>
      </c>
      <c r="BW207" s="476" t="s">
        <v>1187</v>
      </c>
      <c r="BX207" s="476" t="s">
        <v>1187</v>
      </c>
      <c r="BY207" s="476" t="s">
        <v>1187</v>
      </c>
      <c r="BZ207" s="476" t="s">
        <v>1187</v>
      </c>
      <c r="CA207" s="476" t="s">
        <v>1187</v>
      </c>
      <c r="CB207" s="476" t="s">
        <v>1187</v>
      </c>
      <c r="CC207" s="476" t="s">
        <v>1187</v>
      </c>
      <c r="CD207" s="476" t="s">
        <v>1187</v>
      </c>
      <c r="CE207" s="476" t="s">
        <v>1188</v>
      </c>
      <c r="CF207" s="476" t="s">
        <v>1188</v>
      </c>
      <c r="CG207" s="476" t="s">
        <v>1188</v>
      </c>
      <c r="CH207" s="476" t="s">
        <v>1188</v>
      </c>
      <c r="CI207" s="476" t="s">
        <v>1188</v>
      </c>
      <c r="CJ207" s="476" t="s">
        <v>1188</v>
      </c>
      <c r="CK207" s="476" t="s">
        <v>1188</v>
      </c>
      <c r="CL207" s="476" t="s">
        <v>1188</v>
      </c>
      <c r="CM207" s="476" t="str">
        <f>IF(VLOOKUP(BS207,'Données par municipalité'!$B$6:$E$1113,4,FALSE)="","non","oui")</f>
        <v>oui</v>
      </c>
      <c r="CN207" s="410">
        <v>343.42212937521208</v>
      </c>
      <c r="CO207" s="410">
        <v>345.46434464862801</v>
      </c>
      <c r="CP207" s="410">
        <v>268.82038998088734</v>
      </c>
      <c r="CQ207" s="410">
        <v>270.23418515848215</v>
      </c>
      <c r="CR207" s="410">
        <v>259.5529920692141</v>
      </c>
      <c r="CS207" s="410">
        <v>243.64234335585604</v>
      </c>
      <c r="CT207" s="410">
        <v>180.65610346631206</v>
      </c>
      <c r="CU207" s="410">
        <v>310</v>
      </c>
      <c r="CV207" s="410">
        <f>IF(VLOOKUP(BS207,'Données par municipalité'!$B$6:$F$1113,4,FALSE)="","",VLOOKUP(BS207,'Données par municipalité'!$B$6:$F$1113,4,FALSE))</f>
        <v>311</v>
      </c>
      <c r="CW207" s="476" t="s">
        <v>4723</v>
      </c>
      <c r="CX207" s="483">
        <v>0</v>
      </c>
      <c r="CY207" s="483">
        <v>0</v>
      </c>
      <c r="CZ207" s="483">
        <v>1</v>
      </c>
      <c r="DA207" s="483">
        <v>1</v>
      </c>
      <c r="DB207" s="483">
        <v>0</v>
      </c>
      <c r="DC207" s="483">
        <v>0</v>
      </c>
      <c r="DD207" s="483">
        <v>0</v>
      </c>
      <c r="DE207" s="483">
        <f>IFERROR(SUM(VLOOKUP($BS207,'État &amp; Plan d''action'!$B$6:$Z$1113,18,FALSE),VLOOKUP($BS207,'État &amp; Plan d''action'!$B$6:$Z$1113,20,FALSE))/(VLOOKUP($BS207,'Données par municipalité'!$B$4:$L$1113,11,FALSE)),"")</f>
        <v>0</v>
      </c>
      <c r="DF207" s="483">
        <f>IFERROR(SUM(VLOOKUP($BS207,'État &amp; Plan d''action'!$B$6:$Z$1113,19,FALSE),VLOOKUP($BS207,'État &amp; Plan d''action'!$B$6:$Z$1113,21,FALSE))/(VLOOKUP($BS207,'Données par municipalité'!$B$4:$L$1113,11,FALSE)),"")</f>
        <v>0</v>
      </c>
      <c r="DG207" s="476" t="s">
        <v>4723</v>
      </c>
      <c r="DH207" s="484">
        <v>1</v>
      </c>
      <c r="DI207" s="484">
        <v>0</v>
      </c>
      <c r="DJ207" s="484">
        <v>0</v>
      </c>
      <c r="DK207" s="484">
        <v>0</v>
      </c>
      <c r="DL207" s="484">
        <v>1</v>
      </c>
      <c r="DM207" s="484">
        <v>0</v>
      </c>
      <c r="DN207" s="484">
        <v>0</v>
      </c>
      <c r="DO207" s="484">
        <v>0</v>
      </c>
      <c r="DP207" s="484">
        <v>0</v>
      </c>
      <c r="DQ207" s="484">
        <f>IF(VLOOKUP($BS207,'État &amp; Plan d''action'!$B$6:$AJ$1113,28,FALSE)="","",VLOOKUP($BS207,'État &amp; Plan d''action'!$B$6:$AJ$1113,28,FALSE))</f>
        <v>0</v>
      </c>
      <c r="DR207" s="70">
        <f>IF(VLOOKUP($BS207,'État &amp; Plan d''action'!$B$6:$AJ$1113,29,FALSE)="","",VLOOKUP($BS207,'État &amp; Plan d''action'!$B$6:$AJ$1113,29,FALSE))</f>
        <v>2</v>
      </c>
      <c r="DS207" s="70">
        <f>IF(VLOOKUP($BS207,'État &amp; Plan d''action'!$B$6:$AJ$1113,30,FALSE)="","",VLOOKUP($BS207,'État &amp; Plan d''action'!$B$6:$AJ$1113,30,FALSE))</f>
        <v>1</v>
      </c>
      <c r="DT207" s="70">
        <v>168</v>
      </c>
      <c r="DU207" s="485">
        <v>0.76776390156843444</v>
      </c>
      <c r="DV207" s="485">
        <v>0.78556167093955032</v>
      </c>
      <c r="DW207" s="70">
        <v>0</v>
      </c>
      <c r="DX207" s="70">
        <v>0</v>
      </c>
      <c r="DY207" s="70">
        <v>0</v>
      </c>
      <c r="DZ207" s="70">
        <f>VLOOKUP($BS207,'État &amp; Plan d''action'!$B$6:$AH$1113,31,FALSE)</f>
        <v>0</v>
      </c>
      <c r="EA207" s="70">
        <f>VLOOKUP($BS207,'État &amp; Plan d''action'!$B$6:$AH$1113,32,FALSE)</f>
        <v>1</v>
      </c>
      <c r="EB207" s="70">
        <f>VLOOKUP($BS207,'État &amp; Plan d''action'!$B$6:$AH$1113,33,FALSE)</f>
        <v>1</v>
      </c>
      <c r="EC207" s="70">
        <v>0</v>
      </c>
      <c r="ED207" s="70">
        <v>0</v>
      </c>
      <c r="EE207" s="70">
        <v>0</v>
      </c>
      <c r="EF207" s="70">
        <v>0</v>
      </c>
      <c r="EG207" s="70">
        <v>0</v>
      </c>
      <c r="EH207" s="72">
        <v>73</v>
      </c>
      <c r="EI207" s="72">
        <v>464</v>
      </c>
    </row>
    <row r="208" spans="1:139" x14ac:dyDescent="0.35">
      <c r="B208" s="359"/>
      <c r="C208" s="359"/>
      <c r="D208" s="359"/>
      <c r="E208" s="359"/>
      <c r="F208" s="359"/>
      <c r="G208" s="359"/>
      <c r="H208" s="359"/>
      <c r="I208" s="359"/>
      <c r="J208" s="359"/>
      <c r="K208" s="359"/>
      <c r="L208" s="359"/>
      <c r="M208" s="359"/>
      <c r="N208" s="359"/>
      <c r="BS208" s="486">
        <v>76055</v>
      </c>
      <c r="BT208" s="479" t="s">
        <v>754</v>
      </c>
      <c r="BU208" s="479">
        <v>15</v>
      </c>
      <c r="BV208" s="476" t="s">
        <v>1187</v>
      </c>
      <c r="BW208" s="476" t="s">
        <v>1187</v>
      </c>
      <c r="BX208" s="476" t="s">
        <v>1187</v>
      </c>
      <c r="BY208" s="476" t="s">
        <v>1187</v>
      </c>
      <c r="BZ208" s="476" t="s">
        <v>1187</v>
      </c>
      <c r="CA208" s="476" t="s">
        <v>1187</v>
      </c>
      <c r="CB208" s="476" t="s">
        <v>1187</v>
      </c>
      <c r="CC208" s="476" t="s">
        <v>1187</v>
      </c>
      <c r="CD208" s="476" t="s">
        <v>1187</v>
      </c>
      <c r="CE208" s="476" t="s">
        <v>1187</v>
      </c>
      <c r="CF208" s="476" t="s">
        <v>1187</v>
      </c>
      <c r="CG208" s="476" t="s">
        <v>1187</v>
      </c>
      <c r="CH208" s="476" t="s">
        <v>1187</v>
      </c>
      <c r="CI208" s="476" t="s">
        <v>1187</v>
      </c>
      <c r="CJ208" s="476" t="s">
        <v>1188</v>
      </c>
      <c r="CK208" s="476" t="s">
        <v>1188</v>
      </c>
      <c r="CL208" s="476" t="s">
        <v>1188</v>
      </c>
      <c r="CM208" s="476" t="str">
        <f>IF(VLOOKUP(BS208,'Données par municipalité'!$B$6:$E$1113,4,FALSE)="","non","oui")</f>
        <v>oui</v>
      </c>
      <c r="CN208" s="410" t="s">
        <v>1124</v>
      </c>
      <c r="CO208" s="410" t="s">
        <v>1124</v>
      </c>
      <c r="CP208" s="410"/>
      <c r="CQ208" s="410"/>
      <c r="CR208" s="410"/>
      <c r="CS208" s="410">
        <v>508.79953177806647</v>
      </c>
      <c r="CT208" s="410">
        <v>496.86774087638827</v>
      </c>
      <c r="CU208" s="410">
        <v>499</v>
      </c>
      <c r="CV208" s="410">
        <f>IF(VLOOKUP(BS208,'Données par municipalité'!$B$6:$F$1113,4,FALSE)="","",VLOOKUP(BS208,'Données par municipalité'!$B$6:$F$1113,4,FALSE))</f>
        <v>515</v>
      </c>
      <c r="CW208" s="476" t="s">
        <v>4723</v>
      </c>
      <c r="CX208" s="483" t="s">
        <v>1124</v>
      </c>
      <c r="CY208" s="483" t="s">
        <v>1124</v>
      </c>
      <c r="CZ208" s="483" t="s">
        <v>1124</v>
      </c>
      <c r="DA208" s="483" t="s">
        <v>1124</v>
      </c>
      <c r="DB208" s="483">
        <v>1</v>
      </c>
      <c r="DC208" s="483">
        <v>1</v>
      </c>
      <c r="DD208" s="483">
        <v>0</v>
      </c>
      <c r="DE208" s="483">
        <f>IFERROR(SUM(VLOOKUP($BS208,'État &amp; Plan d''action'!$B$6:$Z$1113,18,FALSE),VLOOKUP($BS208,'État &amp; Plan d''action'!$B$6:$Z$1113,20,FALSE))/(VLOOKUP($BS208,'Données par municipalité'!$B$4:$L$1113,11,FALSE)),"")</f>
        <v>1</v>
      </c>
      <c r="DF208" s="483">
        <f>IFERROR(SUM(VLOOKUP($BS208,'État &amp; Plan d''action'!$B$6:$Z$1113,19,FALSE),VLOOKUP($BS208,'État &amp; Plan d''action'!$B$6:$Z$1113,21,FALSE))/(VLOOKUP($BS208,'Données par municipalité'!$B$4:$L$1113,11,FALSE)),"")</f>
        <v>1</v>
      </c>
      <c r="DG208" s="476" t="s">
        <v>4723</v>
      </c>
      <c r="DH208" s="484">
        <v>2</v>
      </c>
      <c r="DI208" s="484">
        <v>1</v>
      </c>
      <c r="DJ208" s="484">
        <v>4</v>
      </c>
      <c r="DK208" s="484">
        <v>1</v>
      </c>
      <c r="DL208" s="484">
        <v>4</v>
      </c>
      <c r="DM208" s="484">
        <v>4</v>
      </c>
      <c r="DN208" s="484">
        <v>1</v>
      </c>
      <c r="DO208" s="484">
        <v>0</v>
      </c>
      <c r="DP208" s="484">
        <v>0</v>
      </c>
      <c r="DQ208" s="484">
        <f>IF(VLOOKUP($BS208,'État &amp; Plan d''action'!$B$6:$AJ$1113,28,FALSE)="","",VLOOKUP($BS208,'État &amp; Plan d''action'!$B$6:$AJ$1113,28,FALSE))</f>
        <v>1</v>
      </c>
      <c r="DR208" s="70">
        <f>IF(VLOOKUP($BS208,'État &amp; Plan d''action'!$B$6:$AJ$1113,29,FALSE)="","",VLOOKUP($BS208,'État &amp; Plan d''action'!$B$6:$AJ$1113,29,FALSE))</f>
        <v>2</v>
      </c>
      <c r="DS208" s="70">
        <f>IF(VLOOKUP($BS208,'État &amp; Plan d''action'!$B$6:$AJ$1113,30,FALSE)="","",VLOOKUP($BS208,'État &amp; Plan d''action'!$B$6:$AJ$1113,30,FALSE))</f>
        <v>0</v>
      </c>
      <c r="DT208" s="70">
        <v>304</v>
      </c>
      <c r="DU208" s="485">
        <v>5.2225031682402188</v>
      </c>
      <c r="DV208" s="485">
        <v>7.5929487203244648</v>
      </c>
      <c r="DW208" s="70">
        <v>1</v>
      </c>
      <c r="DX208" s="70">
        <v>0</v>
      </c>
      <c r="DY208" s="70">
        <v>0</v>
      </c>
      <c r="DZ208" s="70">
        <f>VLOOKUP($BS208,'État &amp; Plan d''action'!$B$6:$AH$1113,31,FALSE)</f>
        <v>5</v>
      </c>
      <c r="EA208" s="70">
        <f>VLOOKUP($BS208,'État &amp; Plan d''action'!$B$6:$AH$1113,32,FALSE)</f>
        <v>5</v>
      </c>
      <c r="EB208" s="70">
        <f>VLOOKUP($BS208,'État &amp; Plan d''action'!$B$6:$AH$1113,33,FALSE)</f>
        <v>0</v>
      </c>
      <c r="EC208" s="70">
        <v>0</v>
      </c>
      <c r="ED208" s="70">
        <v>0</v>
      </c>
      <c r="EE208" s="70">
        <v>0</v>
      </c>
      <c r="EF208" s="70">
        <v>0</v>
      </c>
      <c r="EG208" s="70">
        <v>0</v>
      </c>
      <c r="EH208" s="72">
        <v>57</v>
      </c>
      <c r="EI208" s="72">
        <v>1799</v>
      </c>
    </row>
    <row r="209" spans="23:139" x14ac:dyDescent="0.35">
      <c r="BS209" s="486">
        <v>76052</v>
      </c>
      <c r="BT209" s="479" t="s">
        <v>753</v>
      </c>
      <c r="BU209" s="479">
        <v>15</v>
      </c>
      <c r="BV209" s="476" t="s">
        <v>1187</v>
      </c>
      <c r="BW209" s="476" t="s">
        <v>1187</v>
      </c>
      <c r="BX209" s="476" t="s">
        <v>1187</v>
      </c>
      <c r="BY209" s="476" t="s">
        <v>1187</v>
      </c>
      <c r="BZ209" s="476" t="s">
        <v>1187</v>
      </c>
      <c r="CA209" s="476" t="s">
        <v>1187</v>
      </c>
      <c r="CB209" s="476" t="s">
        <v>1187</v>
      </c>
      <c r="CC209" s="476" t="s">
        <v>1187</v>
      </c>
      <c r="CD209" s="476" t="s">
        <v>1187</v>
      </c>
      <c r="CE209" s="476" t="s">
        <v>1188</v>
      </c>
      <c r="CF209" s="476" t="s">
        <v>1188</v>
      </c>
      <c r="CG209" s="476" t="s">
        <v>1188</v>
      </c>
      <c r="CH209" s="476" t="s">
        <v>1188</v>
      </c>
      <c r="CI209" s="476" t="s">
        <v>1188</v>
      </c>
      <c r="CJ209" s="476" t="s">
        <v>1188</v>
      </c>
      <c r="CK209" s="476" t="s">
        <v>1188</v>
      </c>
      <c r="CL209" s="476" t="s">
        <v>1188</v>
      </c>
      <c r="CM209" s="476" t="str">
        <f>IF(VLOOKUP(BS209,'Données par municipalité'!$B$6:$E$1113,4,FALSE)="","non","oui")</f>
        <v>oui</v>
      </c>
      <c r="CN209" s="410">
        <v>540.5957477655711</v>
      </c>
      <c r="CO209" s="410">
        <v>534.42729006744719</v>
      </c>
      <c r="CP209" s="410">
        <v>462.36693286932535</v>
      </c>
      <c r="CQ209" s="410">
        <v>518.29757287114774</v>
      </c>
      <c r="CR209" s="410">
        <v>618.4599957949896</v>
      </c>
      <c r="CS209" s="410">
        <v>432.09551795418059</v>
      </c>
      <c r="CT209" s="410">
        <v>308.44254292424154</v>
      </c>
      <c r="CU209" s="410">
        <v>353</v>
      </c>
      <c r="CV209" s="410">
        <f>IF(VLOOKUP(BS209,'Données par municipalité'!$B$6:$F$1113,4,FALSE)="","",VLOOKUP(BS209,'Données par municipalité'!$B$6:$F$1113,4,FALSE))</f>
        <v>538</v>
      </c>
      <c r="CW209" s="476" t="s">
        <v>4723</v>
      </c>
      <c r="CX209" s="483">
        <v>0</v>
      </c>
      <c r="CY209" s="483">
        <v>1</v>
      </c>
      <c r="CZ209" s="483">
        <v>0</v>
      </c>
      <c r="DA209" s="483">
        <v>1</v>
      </c>
      <c r="DB209" s="483">
        <v>1</v>
      </c>
      <c r="DC209" s="483">
        <v>1</v>
      </c>
      <c r="DD209" s="483">
        <v>1</v>
      </c>
      <c r="DE209" s="483">
        <f>IFERROR(SUM(VLOOKUP($BS209,'État &amp; Plan d''action'!$B$6:$Z$1113,18,FALSE),VLOOKUP($BS209,'État &amp; Plan d''action'!$B$6:$Z$1113,20,FALSE))/(VLOOKUP($BS209,'Données par municipalité'!$B$4:$L$1113,11,FALSE)),"")</f>
        <v>0</v>
      </c>
      <c r="DF209" s="483">
        <f>IFERROR(SUM(VLOOKUP($BS209,'État &amp; Plan d''action'!$B$6:$Z$1113,19,FALSE),VLOOKUP($BS209,'État &amp; Plan d''action'!$B$6:$Z$1113,21,FALSE))/(VLOOKUP($BS209,'Données par municipalité'!$B$4:$L$1113,11,FALSE)),"")</f>
        <v>1</v>
      </c>
      <c r="DG209" s="476" t="s">
        <v>4723</v>
      </c>
      <c r="DH209" s="484">
        <v>0</v>
      </c>
      <c r="DI209" s="484">
        <v>0</v>
      </c>
      <c r="DJ209" s="484">
        <v>0</v>
      </c>
      <c r="DK209" s="484">
        <v>1</v>
      </c>
      <c r="DL209" s="484">
        <v>0</v>
      </c>
      <c r="DM209" s="484">
        <v>1</v>
      </c>
      <c r="DN209" s="484">
        <v>2</v>
      </c>
      <c r="DO209" s="484">
        <v>0</v>
      </c>
      <c r="DP209" s="484">
        <v>1</v>
      </c>
      <c r="DQ209" s="484">
        <f>IF(VLOOKUP($BS209,'État &amp; Plan d''action'!$B$6:$AJ$1113,28,FALSE)="","",VLOOKUP($BS209,'État &amp; Plan d''action'!$B$6:$AJ$1113,28,FALSE))</f>
        <v>3</v>
      </c>
      <c r="DR209" s="70">
        <f>IF(VLOOKUP($BS209,'État &amp; Plan d''action'!$B$6:$AJ$1113,29,FALSE)="","",VLOOKUP($BS209,'État &amp; Plan d''action'!$B$6:$AJ$1113,29,FALSE))</f>
        <v>1</v>
      </c>
      <c r="DS209" s="70">
        <f>IF(VLOOKUP($BS209,'État &amp; Plan d''action'!$B$6:$AJ$1113,30,FALSE)="","",VLOOKUP($BS209,'État &amp; Plan d''action'!$B$6:$AJ$1113,30,FALSE))</f>
        <v>0</v>
      </c>
      <c r="DT209" s="70">
        <v>259</v>
      </c>
      <c r="DU209" s="485">
        <v>2.719235398297049</v>
      </c>
      <c r="DV209" s="485">
        <v>4.4783199523954034</v>
      </c>
      <c r="DW209" s="70">
        <v>1</v>
      </c>
      <c r="DX209" s="70">
        <v>0</v>
      </c>
      <c r="DY209" s="70">
        <v>5</v>
      </c>
      <c r="DZ209" s="70">
        <f>VLOOKUP($BS209,'État &amp; Plan d''action'!$B$6:$AH$1113,31,FALSE)</f>
        <v>1</v>
      </c>
      <c r="EA209" s="70">
        <f>VLOOKUP($BS209,'État &amp; Plan d''action'!$B$6:$AH$1113,32,FALSE)</f>
        <v>1</v>
      </c>
      <c r="EB209" s="70">
        <f>VLOOKUP($BS209,'État &amp; Plan d''action'!$B$6:$AH$1113,33,FALSE)</f>
        <v>0</v>
      </c>
      <c r="EC209" s="70">
        <v>0</v>
      </c>
      <c r="ED209" s="70">
        <v>9.141</v>
      </c>
      <c r="EE209" s="70">
        <v>0</v>
      </c>
      <c r="EF209" s="70">
        <v>0</v>
      </c>
      <c r="EG209" s="70">
        <v>0</v>
      </c>
      <c r="EH209" s="72">
        <v>51</v>
      </c>
      <c r="EI209" s="72">
        <v>2840</v>
      </c>
    </row>
    <row r="210" spans="23:139" x14ac:dyDescent="0.35">
      <c r="BS210" s="486">
        <v>98014</v>
      </c>
      <c r="BT210" s="479" t="s">
        <v>1009</v>
      </c>
      <c r="BU210" s="479">
        <v>9</v>
      </c>
      <c r="BV210" s="476" t="s">
        <v>1187</v>
      </c>
      <c r="BW210" s="476" t="s">
        <v>1187</v>
      </c>
      <c r="BX210" s="476" t="s">
        <v>1187</v>
      </c>
      <c r="BY210" s="476" t="s">
        <v>1187</v>
      </c>
      <c r="BZ210" s="476" t="s">
        <v>1187</v>
      </c>
      <c r="CA210" s="476" t="s">
        <v>1187</v>
      </c>
      <c r="CB210" s="476" t="s">
        <v>1187</v>
      </c>
      <c r="CC210" s="476" t="s">
        <v>1187</v>
      </c>
      <c r="CD210" s="476" t="s">
        <v>1187</v>
      </c>
      <c r="CE210" s="476" t="s">
        <v>1188</v>
      </c>
      <c r="CF210" s="476" t="s">
        <v>1188</v>
      </c>
      <c r="CG210" s="476" t="s">
        <v>1188</v>
      </c>
      <c r="CH210" s="476" t="s">
        <v>1187</v>
      </c>
      <c r="CI210" s="476" t="s">
        <v>1187</v>
      </c>
      <c r="CJ210" s="476" t="s">
        <v>1187</v>
      </c>
      <c r="CK210" s="476" t="s">
        <v>1187</v>
      </c>
      <c r="CL210" s="476" t="s">
        <v>1188</v>
      </c>
      <c r="CM210" s="476" t="str">
        <f>IF(VLOOKUP(BS210,'Données par municipalité'!$B$6:$E$1113,4,FALSE)="","non","oui")</f>
        <v>non</v>
      </c>
      <c r="CN210" s="410">
        <v>451.91117644325607</v>
      </c>
      <c r="CO210" s="410">
        <v>400.22110984580564</v>
      </c>
      <c r="CP210" s="410">
        <v>250.80168799079584</v>
      </c>
      <c r="CQ210" s="410"/>
      <c r="CR210" s="410"/>
      <c r="CS210" s="410"/>
      <c r="CT210" s="410"/>
      <c r="CU210" s="410">
        <v>385</v>
      </c>
      <c r="CV210" s="410" t="str">
        <f>IF(VLOOKUP(BS210,'Données par municipalité'!$B$6:$F$1113,4,FALSE)="","",VLOOKUP(BS210,'Données par municipalité'!$B$6:$F$1113,4,FALSE))</f>
        <v/>
      </c>
      <c r="CW210" s="476" t="s">
        <v>4723</v>
      </c>
      <c r="CX210" s="483">
        <v>0</v>
      </c>
      <c r="CY210" s="483">
        <v>0</v>
      </c>
      <c r="CZ210" s="483" t="s">
        <v>1124</v>
      </c>
      <c r="DA210" s="483" t="s">
        <v>1124</v>
      </c>
      <c r="DB210" s="483" t="s">
        <v>1124</v>
      </c>
      <c r="DC210" s="483" t="s">
        <v>1124</v>
      </c>
      <c r="DD210" s="483">
        <v>0</v>
      </c>
      <c r="DE210" s="483" t="str">
        <f>IFERROR(SUM(VLOOKUP($BS210,'État &amp; Plan d''action'!$B$6:$Z$1113,18,FALSE),VLOOKUP($BS210,'État &amp; Plan d''action'!$B$6:$Z$1113,20,FALSE))/(VLOOKUP($BS210,'Données par municipalité'!$B$4:$L$1113,11,FALSE)),"")</f>
        <v/>
      </c>
      <c r="DF210" s="483" t="str">
        <f>IFERROR(SUM(VLOOKUP($BS210,'État &amp; Plan d''action'!$B$6:$Z$1113,19,FALSE),VLOOKUP($BS210,'État &amp; Plan d''action'!$B$6:$Z$1113,21,FALSE))/(VLOOKUP($BS210,'Données par municipalité'!$B$4:$L$1113,11,FALSE)),"")</f>
        <v/>
      </c>
      <c r="DG210" s="476" t="s">
        <v>4723</v>
      </c>
      <c r="DH210" s="484" t="s">
        <v>1124</v>
      </c>
      <c r="DI210" s="484" t="s">
        <v>1124</v>
      </c>
      <c r="DJ210" s="484">
        <v>0</v>
      </c>
      <c r="DK210" s="484">
        <v>0</v>
      </c>
      <c r="DL210" s="484" t="s">
        <v>1124</v>
      </c>
      <c r="DM210" s="484" t="s">
        <v>1124</v>
      </c>
      <c r="DN210" s="484">
        <v>3</v>
      </c>
      <c r="DO210" s="484">
        <v>2</v>
      </c>
      <c r="DP210" s="484">
        <v>0</v>
      </c>
      <c r="DQ210" s="484" t="str">
        <f>IF(VLOOKUP($BS210,'État &amp; Plan d''action'!$B$6:$AJ$1113,28,FALSE)="","",VLOOKUP($BS210,'État &amp; Plan d''action'!$B$6:$AJ$1113,28,FALSE))</f>
        <v/>
      </c>
      <c r="DR210" s="70" t="str">
        <f>IF(VLOOKUP($BS210,'État &amp; Plan d''action'!$B$6:$AJ$1113,29,FALSE)="","",VLOOKUP($BS210,'État &amp; Plan d''action'!$B$6:$AJ$1113,29,FALSE))</f>
        <v/>
      </c>
      <c r="DS210" s="70" t="str">
        <f>IF(VLOOKUP($BS210,'État &amp; Plan d''action'!$B$6:$AJ$1113,30,FALSE)="","",VLOOKUP($BS210,'État &amp; Plan d''action'!$B$6:$AJ$1113,30,FALSE))</f>
        <v/>
      </c>
      <c r="DT210" s="70">
        <v>253</v>
      </c>
      <c r="DU210" s="485">
        <v>1.0910842458641148</v>
      </c>
      <c r="DV210" s="485" t="s">
        <v>1124</v>
      </c>
      <c r="DW210" s="70">
        <v>124</v>
      </c>
      <c r="DX210" s="70">
        <v>5</v>
      </c>
      <c r="DY210" s="70">
        <v>0</v>
      </c>
      <c r="DZ210" s="70" t="str">
        <f>VLOOKUP($BS210,'État &amp; Plan d''action'!$B$6:$AH$1113,31,FALSE)</f>
        <v/>
      </c>
      <c r="EA210" s="70" t="str">
        <f>VLOOKUP($BS210,'État &amp; Plan d''action'!$B$6:$AH$1113,32,FALSE)</f>
        <v/>
      </c>
      <c r="EB210" s="70" t="str">
        <f>VLOOKUP($BS210,'État &amp; Plan d''action'!$B$6:$AH$1113,33,FALSE)</f>
        <v/>
      </c>
      <c r="EC210" s="70">
        <v>0</v>
      </c>
      <c r="ED210" s="70">
        <v>0</v>
      </c>
      <c r="EE210" s="70">
        <v>0</v>
      </c>
      <c r="EF210" s="70">
        <v>0.2</v>
      </c>
      <c r="EG210" s="70">
        <v>0</v>
      </c>
      <c r="EH210" s="72">
        <v>34.5</v>
      </c>
      <c r="EI210" s="72">
        <v>434</v>
      </c>
    </row>
    <row r="211" spans="23:139" x14ac:dyDescent="0.35">
      <c r="BS211" s="486">
        <v>1042</v>
      </c>
      <c r="BT211" s="479" t="s">
        <v>1025</v>
      </c>
      <c r="BU211" s="479">
        <v>11</v>
      </c>
      <c r="BV211" s="476" t="s">
        <v>1188</v>
      </c>
      <c r="BW211" s="476" t="s">
        <v>1188</v>
      </c>
      <c r="BX211" s="476" t="s">
        <v>1188</v>
      </c>
      <c r="BY211" s="476" t="s">
        <v>1188</v>
      </c>
      <c r="BZ211" s="476" t="s">
        <v>1188</v>
      </c>
      <c r="CA211" s="476" t="s">
        <v>1188</v>
      </c>
      <c r="CB211" s="476" t="s">
        <v>1188</v>
      </c>
      <c r="CC211" s="476" t="s">
        <v>1188</v>
      </c>
      <c r="CD211" s="476" t="s">
        <v>1188</v>
      </c>
      <c r="CE211" s="476" t="s">
        <v>1188</v>
      </c>
      <c r="CF211" s="476" t="s">
        <v>1188</v>
      </c>
      <c r="CG211" s="476" t="s">
        <v>1187</v>
      </c>
      <c r="CH211" s="476" t="s">
        <v>1187</v>
      </c>
      <c r="CI211" s="476" t="s">
        <v>1188</v>
      </c>
      <c r="CJ211" s="476" t="s">
        <v>1187</v>
      </c>
      <c r="CK211" s="476" t="s">
        <v>1187</v>
      </c>
      <c r="CL211" s="476" t="s">
        <v>1187</v>
      </c>
      <c r="CM211" s="476" t="str">
        <f>IF(VLOOKUP(BS211,'Données par municipalité'!$B$6:$E$1113,4,FALSE)="","non","oui")</f>
        <v>non</v>
      </c>
      <c r="CN211" s="410">
        <v>509.92716589937436</v>
      </c>
      <c r="CO211" s="410">
        <v>517.20152151656532</v>
      </c>
      <c r="CP211" s="410"/>
      <c r="CQ211" s="410"/>
      <c r="CR211" s="410">
        <v>540.83460813769921</v>
      </c>
      <c r="CS211" s="410" t="s">
        <v>1124</v>
      </c>
      <c r="CT211" s="410"/>
      <c r="CU211" s="410" t="s">
        <v>1124</v>
      </c>
      <c r="CV211" s="410" t="str">
        <f>IF(VLOOKUP(BS211,'Données par municipalité'!$B$6:$F$1113,4,FALSE)="","",VLOOKUP(BS211,'Données par municipalité'!$B$6:$F$1113,4,FALSE))</f>
        <v/>
      </c>
      <c r="CW211" s="476" t="s">
        <v>4723</v>
      </c>
      <c r="CX211" s="483" t="s">
        <v>1124</v>
      </c>
      <c r="CY211" s="483" t="s">
        <v>1124</v>
      </c>
      <c r="CZ211" s="483" t="s">
        <v>1124</v>
      </c>
      <c r="DA211" s="483">
        <v>0</v>
      </c>
      <c r="DB211" s="483" t="s">
        <v>1124</v>
      </c>
      <c r="DC211" s="483" t="s">
        <v>1124</v>
      </c>
      <c r="DD211" s="483" t="s">
        <v>1124</v>
      </c>
      <c r="DE211" s="483" t="str">
        <f>IFERROR(SUM(VLOOKUP($BS211,'État &amp; Plan d''action'!$B$6:$Z$1113,18,FALSE),VLOOKUP($BS211,'État &amp; Plan d''action'!$B$6:$Z$1113,20,FALSE))/(VLOOKUP($BS211,'Données par municipalité'!$B$4:$L$1113,11,FALSE)),"")</f>
        <v/>
      </c>
      <c r="DF211" s="483" t="str">
        <f>IFERROR(SUM(VLOOKUP($BS211,'État &amp; Plan d''action'!$B$6:$Z$1113,19,FALSE),VLOOKUP($BS211,'État &amp; Plan d''action'!$B$6:$Z$1113,21,FALSE))/(VLOOKUP($BS211,'Données par municipalité'!$B$4:$L$1113,11,FALSE)),"")</f>
        <v/>
      </c>
      <c r="DG211" s="476" t="s">
        <v>4723</v>
      </c>
      <c r="DH211" s="484">
        <v>23</v>
      </c>
      <c r="DI211" s="484" t="s">
        <v>1124</v>
      </c>
      <c r="DJ211" s="484">
        <v>0</v>
      </c>
      <c r="DK211" s="484">
        <v>42</v>
      </c>
      <c r="DL211" s="484" t="s">
        <v>1124</v>
      </c>
      <c r="DM211" s="484" t="s">
        <v>1124</v>
      </c>
      <c r="DN211" s="484" t="s">
        <v>1124</v>
      </c>
      <c r="DO211" s="484" t="s">
        <v>1124</v>
      </c>
      <c r="DP211" s="484" t="s">
        <v>1124</v>
      </c>
      <c r="DQ211" s="484" t="str">
        <f>IF(VLOOKUP($BS211,'État &amp; Plan d''action'!$B$6:$AJ$1113,28,FALSE)="","",VLOOKUP($BS211,'État &amp; Plan d''action'!$B$6:$AJ$1113,28,FALSE))</f>
        <v/>
      </c>
      <c r="DR211" s="70" t="str">
        <f>IF(VLOOKUP($BS211,'État &amp; Plan d''action'!$B$6:$AJ$1113,29,FALSE)="","",VLOOKUP($BS211,'État &amp; Plan d''action'!$B$6:$AJ$1113,29,FALSE))</f>
        <v/>
      </c>
      <c r="DS211" s="70" t="str">
        <f>IF(VLOOKUP($BS211,'État &amp; Plan d''action'!$B$6:$AJ$1113,30,FALSE)="","",VLOOKUP($BS211,'État &amp; Plan d''action'!$B$6:$AJ$1113,30,FALSE))</f>
        <v/>
      </c>
      <c r="DT211" s="70" t="s">
        <v>1124</v>
      </c>
      <c r="DU211" s="485" t="s">
        <v>1124</v>
      </c>
      <c r="DV211" s="485" t="s">
        <v>1124</v>
      </c>
      <c r="DW211" s="70" t="s">
        <v>1124</v>
      </c>
      <c r="DX211" s="70" t="s">
        <v>1124</v>
      </c>
      <c r="DY211" s="70" t="s">
        <v>1124</v>
      </c>
      <c r="DZ211" s="70" t="str">
        <f>VLOOKUP($BS211,'État &amp; Plan d''action'!$B$6:$AH$1113,31,FALSE)</f>
        <v/>
      </c>
      <c r="EA211" s="70" t="str">
        <f>VLOOKUP($BS211,'État &amp; Plan d''action'!$B$6:$AH$1113,32,FALSE)</f>
        <v/>
      </c>
      <c r="EB211" s="70" t="str">
        <f>VLOOKUP($BS211,'État &amp; Plan d''action'!$B$6:$AH$1113,33,FALSE)</f>
        <v/>
      </c>
      <c r="EC211" s="70" t="s">
        <v>1124</v>
      </c>
      <c r="ED211" s="70" t="s">
        <v>1124</v>
      </c>
      <c r="EE211" s="70" t="s">
        <v>1124</v>
      </c>
      <c r="EF211" s="70" t="s">
        <v>1124</v>
      </c>
      <c r="EG211" s="70" t="s">
        <v>1124</v>
      </c>
      <c r="EH211" s="72"/>
      <c r="EI211" s="72">
        <v>465</v>
      </c>
    </row>
    <row r="212" spans="23:139" x14ac:dyDescent="0.35">
      <c r="BS212" s="486">
        <v>8015</v>
      </c>
      <c r="BT212" s="479" t="s">
        <v>1088</v>
      </c>
      <c r="BU212" s="479">
        <v>1</v>
      </c>
      <c r="BV212" s="476" t="s">
        <v>1187</v>
      </c>
      <c r="BW212" s="476" t="s">
        <v>1187</v>
      </c>
      <c r="BX212" s="476" t="s">
        <v>1187</v>
      </c>
      <c r="BY212" s="476" t="s">
        <v>1187</v>
      </c>
      <c r="BZ212" s="476" t="s">
        <v>1187</v>
      </c>
      <c r="CA212" s="476" t="s">
        <v>1187</v>
      </c>
      <c r="CB212" s="476" t="s">
        <v>1187</v>
      </c>
      <c r="CC212" s="476" t="s">
        <v>1187</v>
      </c>
      <c r="CD212" s="476" t="s">
        <v>1187</v>
      </c>
      <c r="CE212" s="476" t="s">
        <v>1187</v>
      </c>
      <c r="CF212" s="476" t="s">
        <v>1187</v>
      </c>
      <c r="CG212" s="476" t="s">
        <v>1187</v>
      </c>
      <c r="CH212" s="476" t="s">
        <v>1187</v>
      </c>
      <c r="CI212" s="476" t="s">
        <v>1187</v>
      </c>
      <c r="CJ212" s="476" t="s">
        <v>1187</v>
      </c>
      <c r="CK212" s="476" t="s">
        <v>1188</v>
      </c>
      <c r="CL212" s="476" t="s">
        <v>1188</v>
      </c>
      <c r="CM212" s="476" t="str">
        <f>IF(VLOOKUP(BS212,'Données par municipalité'!$B$6:$E$1113,4,FALSE)="","non","oui")</f>
        <v>oui</v>
      </c>
      <c r="CN212" s="410" t="s">
        <v>1124</v>
      </c>
      <c r="CO212" s="410" t="s">
        <v>1124</v>
      </c>
      <c r="CP212" s="410"/>
      <c r="CQ212" s="410"/>
      <c r="CR212" s="410"/>
      <c r="CS212" s="410" t="s">
        <v>1124</v>
      </c>
      <c r="CT212" s="410">
        <v>332.0004029008864</v>
      </c>
      <c r="CU212" s="410">
        <v>461</v>
      </c>
      <c r="CV212" s="410">
        <f>IF(VLOOKUP(BS212,'Données par municipalité'!$B$6:$F$1113,4,FALSE)="","",VLOOKUP(BS212,'Données par municipalité'!$B$6:$F$1113,4,FALSE))</f>
        <v>427</v>
      </c>
      <c r="CW212" s="476" t="s">
        <v>4723</v>
      </c>
      <c r="CX212" s="483" t="s">
        <v>1124</v>
      </c>
      <c r="CY212" s="483" t="s">
        <v>1124</v>
      </c>
      <c r="CZ212" s="483" t="s">
        <v>1124</v>
      </c>
      <c r="DA212" s="483" t="s">
        <v>1124</v>
      </c>
      <c r="DB212" s="483" t="s">
        <v>1124</v>
      </c>
      <c r="DC212" s="483">
        <v>1</v>
      </c>
      <c r="DD212" s="483" t="s">
        <v>1124</v>
      </c>
      <c r="DE212" s="483">
        <f>IFERROR(SUM(VLOOKUP($BS212,'État &amp; Plan d''action'!$B$6:$Z$1113,18,FALSE),VLOOKUP($BS212,'État &amp; Plan d''action'!$B$6:$Z$1113,20,FALSE))/(VLOOKUP($BS212,'Données par municipalité'!$B$4:$L$1113,11,FALSE)),"")</f>
        <v>0</v>
      </c>
      <c r="DF212" s="483">
        <f>IFERROR(SUM(VLOOKUP($BS212,'État &amp; Plan d''action'!$B$6:$Z$1113,19,FALSE),VLOOKUP($BS212,'État &amp; Plan d''action'!$B$6:$Z$1113,21,FALSE))/(VLOOKUP($BS212,'Données par municipalité'!$B$4:$L$1113,11,FALSE)),"")</f>
        <v>0</v>
      </c>
      <c r="DG212" s="476" t="s">
        <v>4723</v>
      </c>
      <c r="DH212" s="484" t="s">
        <v>1124</v>
      </c>
      <c r="DI212" s="484" t="s">
        <v>1124</v>
      </c>
      <c r="DJ212" s="484">
        <v>0</v>
      </c>
      <c r="DK212" s="484">
        <v>0</v>
      </c>
      <c r="DL212" s="484" t="s">
        <v>1124</v>
      </c>
      <c r="DM212" s="484">
        <v>17</v>
      </c>
      <c r="DN212" s="484">
        <v>1</v>
      </c>
      <c r="DO212" s="484">
        <v>0</v>
      </c>
      <c r="DP212" s="484">
        <v>0</v>
      </c>
      <c r="DQ212" s="484">
        <f>IF(VLOOKUP($BS212,'État &amp; Plan d''action'!$B$6:$AJ$1113,28,FALSE)="","",VLOOKUP($BS212,'État &amp; Plan d''action'!$B$6:$AJ$1113,28,FALSE))</f>
        <v>1</v>
      </c>
      <c r="DR212" s="70">
        <f>IF(VLOOKUP($BS212,'État &amp; Plan d''action'!$B$6:$AJ$1113,29,FALSE)="","",VLOOKUP($BS212,'État &amp; Plan d''action'!$B$6:$AJ$1113,29,FALSE))</f>
        <v>0</v>
      </c>
      <c r="DS212" s="70">
        <f>IF(VLOOKUP($BS212,'État &amp; Plan d''action'!$B$6:$AJ$1113,30,FALSE)="","",VLOOKUP($BS212,'État &amp; Plan d''action'!$B$6:$AJ$1113,30,FALSE))</f>
        <v>1</v>
      </c>
      <c r="DT212" s="70">
        <v>348</v>
      </c>
      <c r="DU212" s="485">
        <v>1.3816891822004558</v>
      </c>
      <c r="DV212" s="485">
        <v>1.8059346507348091</v>
      </c>
      <c r="DW212" s="70">
        <v>2</v>
      </c>
      <c r="DX212" s="70">
        <v>0</v>
      </c>
      <c r="DY212" s="70">
        <v>0</v>
      </c>
      <c r="DZ212" s="70">
        <f>VLOOKUP($BS212,'État &amp; Plan d''action'!$B$6:$AH$1113,31,FALSE)</f>
        <v>4</v>
      </c>
      <c r="EA212" s="70">
        <f>VLOOKUP($BS212,'État &amp; Plan d''action'!$B$6:$AH$1113,32,FALSE)</f>
        <v>0</v>
      </c>
      <c r="EB212" s="70">
        <f>VLOOKUP($BS212,'État &amp; Plan d''action'!$B$6:$AH$1113,33,FALSE)</f>
        <v>2</v>
      </c>
      <c r="EC212" s="70">
        <v>0</v>
      </c>
      <c r="ED212" s="70">
        <v>0</v>
      </c>
      <c r="EE212" s="70">
        <v>0</v>
      </c>
      <c r="EF212" s="70">
        <v>0</v>
      </c>
      <c r="EG212" s="70">
        <v>0</v>
      </c>
      <c r="EH212" s="72">
        <v>59</v>
      </c>
      <c r="EI212" s="72">
        <v>388</v>
      </c>
    </row>
    <row r="213" spans="23:139" x14ac:dyDescent="0.35">
      <c r="W213" s="448"/>
      <c r="X213" s="449"/>
      <c r="Y213" s="450"/>
      <c r="Z213" s="450"/>
      <c r="AA213" s="450"/>
      <c r="AB213" s="450"/>
      <c r="AC213" s="450"/>
      <c r="AD213" s="451"/>
      <c r="AE213" s="450"/>
      <c r="AF213" s="452"/>
      <c r="AG213" s="513"/>
      <c r="AH213" s="514"/>
      <c r="AI213" s="515"/>
      <c r="AK213" s="423"/>
      <c r="BS213" s="486">
        <v>85095</v>
      </c>
      <c r="BT213" s="479" t="s">
        <v>886</v>
      </c>
      <c r="BU213" s="479">
        <v>8</v>
      </c>
      <c r="BV213" s="476" t="s">
        <v>1187</v>
      </c>
      <c r="BW213" s="476" t="s">
        <v>1187</v>
      </c>
      <c r="BX213" s="476" t="s">
        <v>1187</v>
      </c>
      <c r="BY213" s="476" t="s">
        <v>1187</v>
      </c>
      <c r="BZ213" s="476" t="s">
        <v>1187</v>
      </c>
      <c r="CA213" s="476" t="s">
        <v>1187</v>
      </c>
      <c r="CB213" s="476" t="s">
        <v>1187</v>
      </c>
      <c r="CC213" s="476" t="s">
        <v>1187</v>
      </c>
      <c r="CD213" s="476" t="s">
        <v>1187</v>
      </c>
      <c r="CE213" s="476" t="s">
        <v>1187</v>
      </c>
      <c r="CF213" s="476" t="s">
        <v>1187</v>
      </c>
      <c r="CG213" s="476" t="s">
        <v>1187</v>
      </c>
      <c r="CH213" s="476" t="s">
        <v>1187</v>
      </c>
      <c r="CI213" s="476" t="s">
        <v>1188</v>
      </c>
      <c r="CJ213" s="476" t="s">
        <v>1188</v>
      </c>
      <c r="CK213" s="476" t="s">
        <v>1188</v>
      </c>
      <c r="CL213" s="476" t="s">
        <v>1187</v>
      </c>
      <c r="CM213" s="476" t="str">
        <f>IF(VLOOKUP(BS213,'Données par municipalité'!$B$6:$E$1113,4,FALSE)="","non","oui")</f>
        <v>non</v>
      </c>
      <c r="CN213" s="410" t="s">
        <v>1124</v>
      </c>
      <c r="CO213" s="410" t="s">
        <v>1124</v>
      </c>
      <c r="CP213" s="410"/>
      <c r="CQ213" s="410"/>
      <c r="CR213" s="410">
        <v>508.58184689706422</v>
      </c>
      <c r="CS213" s="410">
        <v>619.74324922532094</v>
      </c>
      <c r="CT213" s="410">
        <v>428.1162883313421</v>
      </c>
      <c r="CU213" s="410" t="s">
        <v>1124</v>
      </c>
      <c r="CV213" s="410" t="str">
        <f>IF(VLOOKUP(BS213,'Données par municipalité'!$B$6:$F$1113,4,FALSE)="","",VLOOKUP(BS213,'Données par municipalité'!$B$6:$F$1113,4,FALSE))</f>
        <v/>
      </c>
      <c r="CW213" s="476" t="s">
        <v>4723</v>
      </c>
      <c r="CX213" s="483" t="s">
        <v>1124</v>
      </c>
      <c r="CY213" s="483" t="s">
        <v>1124</v>
      </c>
      <c r="CZ213" s="483" t="s">
        <v>1124</v>
      </c>
      <c r="DA213" s="483">
        <v>0</v>
      </c>
      <c r="DB213" s="483">
        <v>0</v>
      </c>
      <c r="DC213" s="483">
        <v>1</v>
      </c>
      <c r="DD213" s="483" t="s">
        <v>1124</v>
      </c>
      <c r="DE213" s="483" t="str">
        <f>IFERROR(SUM(VLOOKUP($BS213,'État &amp; Plan d''action'!$B$6:$Z$1113,18,FALSE),VLOOKUP($BS213,'État &amp; Plan d''action'!$B$6:$Z$1113,20,FALSE))/(VLOOKUP($BS213,'Données par municipalité'!$B$4:$L$1113,11,FALSE)),"")</f>
        <v/>
      </c>
      <c r="DF213" s="483" t="str">
        <f>IFERROR(SUM(VLOOKUP($BS213,'État &amp; Plan d''action'!$B$6:$Z$1113,19,FALSE),VLOOKUP($BS213,'État &amp; Plan d''action'!$B$6:$Z$1113,21,FALSE))/(VLOOKUP($BS213,'Données par municipalité'!$B$4:$L$1113,11,FALSE)),"")</f>
        <v/>
      </c>
      <c r="DG213" s="476" t="s">
        <v>4723</v>
      </c>
      <c r="DH213" s="484">
        <v>2</v>
      </c>
      <c r="DI213" s="484">
        <v>1</v>
      </c>
      <c r="DJ213" s="484">
        <v>4</v>
      </c>
      <c r="DK213" s="484">
        <v>3</v>
      </c>
      <c r="DL213" s="484">
        <v>3</v>
      </c>
      <c r="DM213" s="484">
        <v>2</v>
      </c>
      <c r="DN213" s="484" t="s">
        <v>1124</v>
      </c>
      <c r="DO213" s="484" t="s">
        <v>1124</v>
      </c>
      <c r="DP213" s="484" t="s">
        <v>1124</v>
      </c>
      <c r="DQ213" s="484" t="str">
        <f>IF(VLOOKUP($BS213,'État &amp; Plan d''action'!$B$6:$AJ$1113,28,FALSE)="","",VLOOKUP($BS213,'État &amp; Plan d''action'!$B$6:$AJ$1113,28,FALSE))</f>
        <v/>
      </c>
      <c r="DR213" s="70" t="str">
        <f>IF(VLOOKUP($BS213,'État &amp; Plan d''action'!$B$6:$AJ$1113,29,FALSE)="","",VLOOKUP($BS213,'État &amp; Plan d''action'!$B$6:$AJ$1113,29,FALSE))</f>
        <v/>
      </c>
      <c r="DS213" s="70" t="str">
        <f>IF(VLOOKUP($BS213,'État &amp; Plan d''action'!$B$6:$AJ$1113,30,FALSE)="","",VLOOKUP($BS213,'État &amp; Plan d''action'!$B$6:$AJ$1113,30,FALSE))</f>
        <v/>
      </c>
      <c r="DT213" s="70" t="s">
        <v>1124</v>
      </c>
      <c r="DU213" s="485" t="s">
        <v>1124</v>
      </c>
      <c r="DV213" s="485" t="s">
        <v>1124</v>
      </c>
      <c r="DW213" s="70" t="s">
        <v>1124</v>
      </c>
      <c r="DX213" s="70" t="s">
        <v>1124</v>
      </c>
      <c r="DY213" s="70" t="s">
        <v>1124</v>
      </c>
      <c r="DZ213" s="70" t="str">
        <f>VLOOKUP($BS213,'État &amp; Plan d''action'!$B$6:$AH$1113,31,FALSE)</f>
        <v/>
      </c>
      <c r="EA213" s="70" t="str">
        <f>VLOOKUP($BS213,'État &amp; Plan d''action'!$B$6:$AH$1113,32,FALSE)</f>
        <v/>
      </c>
      <c r="EB213" s="70" t="str">
        <f>VLOOKUP($BS213,'État &amp; Plan d''action'!$B$6:$AH$1113,33,FALSE)</f>
        <v/>
      </c>
      <c r="EC213" s="70" t="s">
        <v>1124</v>
      </c>
      <c r="ED213" s="70" t="s">
        <v>1124</v>
      </c>
      <c r="EE213" s="70" t="s">
        <v>1124</v>
      </c>
      <c r="EF213" s="70" t="s">
        <v>1124</v>
      </c>
      <c r="EG213" s="70" t="s">
        <v>1124</v>
      </c>
      <c r="EH213" s="72"/>
      <c r="EI213" s="72">
        <v>339</v>
      </c>
    </row>
    <row r="214" spans="23:139" x14ac:dyDescent="0.35">
      <c r="W214" s="450"/>
      <c r="Y214" s="450"/>
      <c r="AA214" s="450"/>
      <c r="AB214" s="450"/>
      <c r="AC214" s="450"/>
      <c r="AG214" s="516"/>
      <c r="BS214" s="486">
        <v>39010</v>
      </c>
      <c r="BT214" s="479" t="s">
        <v>338</v>
      </c>
      <c r="BU214" s="479">
        <v>17</v>
      </c>
      <c r="BV214" s="476" t="s">
        <v>1187</v>
      </c>
      <c r="BW214" s="476" t="s">
        <v>1187</v>
      </c>
      <c r="BX214" s="476" t="s">
        <v>1187</v>
      </c>
      <c r="BY214" s="476" t="s">
        <v>1187</v>
      </c>
      <c r="BZ214" s="476" t="s">
        <v>1187</v>
      </c>
      <c r="CA214" s="476" t="s">
        <v>1187</v>
      </c>
      <c r="CB214" s="476" t="s">
        <v>1187</v>
      </c>
      <c r="CC214" s="476" t="s">
        <v>1187</v>
      </c>
      <c r="CD214" s="476" t="s">
        <v>1187</v>
      </c>
      <c r="CE214" s="476" t="s">
        <v>1188</v>
      </c>
      <c r="CF214" s="476" t="s">
        <v>1188</v>
      </c>
      <c r="CG214" s="476" t="s">
        <v>1187</v>
      </c>
      <c r="CH214" s="476" t="s">
        <v>1188</v>
      </c>
      <c r="CI214" s="476" t="s">
        <v>1188</v>
      </c>
      <c r="CJ214" s="476" t="s">
        <v>1188</v>
      </c>
      <c r="CK214" s="476" t="s">
        <v>1188</v>
      </c>
      <c r="CL214" s="476" t="s">
        <v>1188</v>
      </c>
      <c r="CM214" s="476" t="str">
        <f>IF(VLOOKUP(BS214,'Données par municipalité'!$B$6:$E$1113,4,FALSE)="","non","oui")</f>
        <v>oui</v>
      </c>
      <c r="CN214" s="410">
        <v>187.45305413615949</v>
      </c>
      <c r="CO214" s="410">
        <v>295.19469940506497</v>
      </c>
      <c r="CP214" s="410"/>
      <c r="CQ214" s="410">
        <v>184.61844262973946</v>
      </c>
      <c r="CR214" s="410">
        <v>165.57645670839614</v>
      </c>
      <c r="CS214" s="410">
        <v>218.78456804038856</v>
      </c>
      <c r="CT214" s="410">
        <v>200.05853368744758</v>
      </c>
      <c r="CU214" s="410">
        <v>233</v>
      </c>
      <c r="CV214" s="410">
        <f>IF(VLOOKUP(BS214,'Données par municipalité'!$B$6:$F$1113,4,FALSE)="","",VLOOKUP(BS214,'Données par municipalité'!$B$6:$F$1113,4,FALSE))</f>
        <v>233</v>
      </c>
      <c r="CW214" s="476" t="s">
        <v>4723</v>
      </c>
      <c r="CX214" s="483">
        <v>0</v>
      </c>
      <c r="CY214" s="483" t="s">
        <v>1124</v>
      </c>
      <c r="CZ214" s="483">
        <v>0</v>
      </c>
      <c r="DA214" s="483">
        <v>0</v>
      </c>
      <c r="DB214" s="483">
        <v>0</v>
      </c>
      <c r="DC214" s="483">
        <v>0</v>
      </c>
      <c r="DD214" s="483">
        <v>0.25306845501708214</v>
      </c>
      <c r="DE214" s="483">
        <f>IFERROR(SUM(VLOOKUP($BS214,'État &amp; Plan d''action'!$B$6:$Z$1113,18,FALSE),VLOOKUP($BS214,'État &amp; Plan d''action'!$B$6:$Z$1113,20,FALSE))/(VLOOKUP($BS214,'Données par municipalité'!$B$4:$L$1113,11,FALSE)),"")</f>
        <v>0</v>
      </c>
      <c r="DF214" s="483">
        <f>IFERROR(SUM(VLOOKUP($BS214,'État &amp; Plan d''action'!$B$6:$Z$1113,19,FALSE),VLOOKUP($BS214,'État &amp; Plan d''action'!$B$6:$Z$1113,21,FALSE))/(VLOOKUP($BS214,'Données par municipalité'!$B$4:$L$1113,11,FALSE)),"")</f>
        <v>0</v>
      </c>
      <c r="DG214" s="476" t="s">
        <v>4723</v>
      </c>
      <c r="DH214" s="484">
        <v>0</v>
      </c>
      <c r="DI214" s="484" t="s">
        <v>1124</v>
      </c>
      <c r="DJ214" s="484">
        <v>0</v>
      </c>
      <c r="DK214" s="484">
        <v>0</v>
      </c>
      <c r="DL214" s="484">
        <v>0</v>
      </c>
      <c r="DM214" s="484">
        <v>0</v>
      </c>
      <c r="DN214" s="484">
        <v>0</v>
      </c>
      <c r="DO214" s="484">
        <v>1</v>
      </c>
      <c r="DP214" s="484">
        <v>0</v>
      </c>
      <c r="DQ214" s="484">
        <f>IF(VLOOKUP($BS214,'État &amp; Plan d''action'!$B$6:$AJ$1113,28,FALSE)="","",VLOOKUP($BS214,'État &amp; Plan d''action'!$B$6:$AJ$1113,28,FALSE))</f>
        <v>0</v>
      </c>
      <c r="DR214" s="70">
        <f>IF(VLOOKUP($BS214,'État &amp; Plan d''action'!$B$6:$AJ$1113,29,FALSE)="","",VLOOKUP($BS214,'État &amp; Plan d''action'!$B$6:$AJ$1113,29,FALSE))</f>
        <v>0</v>
      </c>
      <c r="DS214" s="70">
        <f>IF(VLOOKUP($BS214,'État &amp; Plan d''action'!$B$6:$AJ$1113,30,FALSE)="","",VLOOKUP($BS214,'État &amp; Plan d''action'!$B$6:$AJ$1113,30,FALSE))</f>
        <v>0</v>
      </c>
      <c r="DT214" s="70">
        <v>187</v>
      </c>
      <c r="DU214" s="485">
        <v>0.7222040256409854</v>
      </c>
      <c r="DV214" s="485">
        <v>1.5329445633884016</v>
      </c>
      <c r="DW214" s="70">
        <v>0</v>
      </c>
      <c r="DX214" s="70">
        <v>1</v>
      </c>
      <c r="DY214" s="70">
        <v>0</v>
      </c>
      <c r="DZ214" s="70">
        <f>VLOOKUP($BS214,'État &amp; Plan d''action'!$B$6:$AH$1113,31,FALSE)</f>
        <v>0</v>
      </c>
      <c r="EA214" s="70">
        <f>VLOOKUP($BS214,'État &amp; Plan d''action'!$B$6:$AH$1113,32,FALSE)</f>
        <v>0</v>
      </c>
      <c r="EB214" s="70">
        <f>VLOOKUP($BS214,'État &amp; Plan d''action'!$B$6:$AH$1113,33,FALSE)</f>
        <v>0</v>
      </c>
      <c r="EC214" s="70">
        <v>1.3</v>
      </c>
      <c r="ED214" s="70">
        <v>1</v>
      </c>
      <c r="EE214" s="70">
        <v>1</v>
      </c>
      <c r="EF214" s="70">
        <v>1</v>
      </c>
      <c r="EG214" s="70">
        <v>0</v>
      </c>
      <c r="EH214" s="72">
        <v>44</v>
      </c>
      <c r="EI214" s="72">
        <v>907</v>
      </c>
    </row>
    <row r="215" spans="23:139" x14ac:dyDescent="0.35">
      <c r="Z215" s="437"/>
      <c r="BS215" s="486">
        <v>41075</v>
      </c>
      <c r="BT215" s="479" t="s">
        <v>374</v>
      </c>
      <c r="BU215" s="479">
        <v>5</v>
      </c>
      <c r="BV215" s="476" t="s">
        <v>1188</v>
      </c>
      <c r="BW215" s="476" t="s">
        <v>1188</v>
      </c>
      <c r="BX215" s="476" t="s">
        <v>1188</v>
      </c>
      <c r="BY215" s="476" t="s">
        <v>1188</v>
      </c>
      <c r="BZ215" s="476" t="s">
        <v>1188</v>
      </c>
      <c r="CA215" s="476" t="s">
        <v>1188</v>
      </c>
      <c r="CB215" s="476" t="s">
        <v>1188</v>
      </c>
      <c r="CC215" s="476" t="s">
        <v>1188</v>
      </c>
      <c r="CD215" s="476" t="s">
        <v>1188</v>
      </c>
      <c r="CE215" s="476" t="s">
        <v>1187</v>
      </c>
      <c r="CF215" s="476" t="s">
        <v>1187</v>
      </c>
      <c r="CG215" s="476" t="s">
        <v>1187</v>
      </c>
      <c r="CH215" s="476" t="s">
        <v>1187</v>
      </c>
      <c r="CI215" s="476" t="s">
        <v>1187</v>
      </c>
      <c r="CJ215" s="476" t="s">
        <v>1187</v>
      </c>
      <c r="CK215" s="476" t="s">
        <v>1187</v>
      </c>
      <c r="CL215" s="476" t="s">
        <v>1187</v>
      </c>
      <c r="CM215" s="476" t="str">
        <f>IF(VLOOKUP(BS215,'Données par municipalité'!$B$6:$E$1113,4,FALSE)="","non","oui")</f>
        <v>non</v>
      </c>
      <c r="CN215" s="410" t="s">
        <v>1124</v>
      </c>
      <c r="CO215" s="410" t="s">
        <v>1124</v>
      </c>
      <c r="CP215" s="410"/>
      <c r="CQ215" s="410"/>
      <c r="CR215" s="410"/>
      <c r="CS215" s="410" t="s">
        <v>1124</v>
      </c>
      <c r="CT215" s="410"/>
      <c r="CU215" s="410" t="s">
        <v>1124</v>
      </c>
      <c r="CV215" s="410" t="str">
        <f>IF(VLOOKUP(BS215,'Données par municipalité'!$B$6:$F$1113,4,FALSE)="","",VLOOKUP(BS215,'Données par municipalité'!$B$6:$F$1113,4,FALSE))</f>
        <v/>
      </c>
      <c r="CW215" s="476" t="s">
        <v>4723</v>
      </c>
      <c r="CX215" s="483" t="s">
        <v>1124</v>
      </c>
      <c r="CY215" s="483" t="s">
        <v>1124</v>
      </c>
      <c r="CZ215" s="483" t="s">
        <v>1124</v>
      </c>
      <c r="DA215" s="483" t="s">
        <v>1124</v>
      </c>
      <c r="DB215" s="483" t="s">
        <v>1124</v>
      </c>
      <c r="DC215" s="483" t="s">
        <v>1124</v>
      </c>
      <c r="DD215" s="483" t="s">
        <v>1124</v>
      </c>
      <c r="DE215" s="483" t="str">
        <f>IFERROR(SUM(VLOOKUP($BS215,'État &amp; Plan d''action'!$B$6:$Z$1113,18,FALSE),VLOOKUP($BS215,'État &amp; Plan d''action'!$B$6:$Z$1113,20,FALSE))/(VLOOKUP($BS215,'Données par municipalité'!$B$4:$L$1113,11,FALSE)),"")</f>
        <v/>
      </c>
      <c r="DF215" s="483" t="str">
        <f>IFERROR(SUM(VLOOKUP($BS215,'État &amp; Plan d''action'!$B$6:$Z$1113,19,FALSE),VLOOKUP($BS215,'État &amp; Plan d''action'!$B$6:$Z$1113,21,FALSE))/(VLOOKUP($BS215,'Données par municipalité'!$B$4:$L$1113,11,FALSE)),"")</f>
        <v/>
      </c>
      <c r="DG215" s="476" t="s">
        <v>4723</v>
      </c>
      <c r="DH215" s="484" t="s">
        <v>1124</v>
      </c>
      <c r="DI215" s="484" t="s">
        <v>1124</v>
      </c>
      <c r="DJ215" s="484">
        <v>0</v>
      </c>
      <c r="DK215" s="484">
        <v>0</v>
      </c>
      <c r="DL215" s="484" t="s">
        <v>1124</v>
      </c>
      <c r="DM215" s="484" t="s">
        <v>1124</v>
      </c>
      <c r="DN215" s="484" t="s">
        <v>1124</v>
      </c>
      <c r="DO215" s="484" t="s">
        <v>1124</v>
      </c>
      <c r="DP215" s="484" t="s">
        <v>1124</v>
      </c>
      <c r="DQ215" s="484" t="str">
        <f>IF(VLOOKUP($BS215,'État &amp; Plan d''action'!$B$6:$AJ$1113,28,FALSE)="","",VLOOKUP($BS215,'État &amp; Plan d''action'!$B$6:$AJ$1113,28,FALSE))</f>
        <v/>
      </c>
      <c r="DR215" s="70" t="str">
        <f>IF(VLOOKUP($BS215,'État &amp; Plan d''action'!$B$6:$AJ$1113,29,FALSE)="","",VLOOKUP($BS215,'État &amp; Plan d''action'!$B$6:$AJ$1113,29,FALSE))</f>
        <v/>
      </c>
      <c r="DS215" s="70" t="str">
        <f>IF(VLOOKUP($BS215,'État &amp; Plan d''action'!$B$6:$AJ$1113,30,FALSE)="","",VLOOKUP($BS215,'État &amp; Plan d''action'!$B$6:$AJ$1113,30,FALSE))</f>
        <v/>
      </c>
      <c r="DT215" s="70" t="s">
        <v>1124</v>
      </c>
      <c r="DU215" s="485" t="s">
        <v>1124</v>
      </c>
      <c r="DV215" s="485" t="s">
        <v>1124</v>
      </c>
      <c r="DW215" s="70" t="s">
        <v>1124</v>
      </c>
      <c r="DX215" s="70" t="s">
        <v>1124</v>
      </c>
      <c r="DY215" s="70" t="s">
        <v>1124</v>
      </c>
      <c r="DZ215" s="70" t="str">
        <f>VLOOKUP($BS215,'État &amp; Plan d''action'!$B$6:$AH$1113,31,FALSE)</f>
        <v/>
      </c>
      <c r="EA215" s="70" t="str">
        <f>VLOOKUP($BS215,'État &amp; Plan d''action'!$B$6:$AH$1113,32,FALSE)</f>
        <v/>
      </c>
      <c r="EB215" s="70" t="str">
        <f>VLOOKUP($BS215,'État &amp; Plan d''action'!$B$6:$AH$1113,33,FALSE)</f>
        <v/>
      </c>
      <c r="EC215" s="70" t="s">
        <v>1124</v>
      </c>
      <c r="ED215" s="70" t="s">
        <v>1124</v>
      </c>
      <c r="EE215" s="70" t="s">
        <v>1124</v>
      </c>
      <c r="EF215" s="70" t="s">
        <v>1124</v>
      </c>
      <c r="EG215" s="70" t="s">
        <v>1124</v>
      </c>
      <c r="EH215" s="72"/>
      <c r="EI215" s="72">
        <v>174</v>
      </c>
    </row>
    <row r="216" spans="23:139" x14ac:dyDescent="0.35">
      <c r="BS216" s="486">
        <v>66062</v>
      </c>
      <c r="BT216" s="479" t="s">
        <v>652</v>
      </c>
      <c r="BU216" s="479">
        <v>6</v>
      </c>
      <c r="BV216" s="476" t="s">
        <v>1187</v>
      </c>
      <c r="BW216" s="476" t="s">
        <v>1187</v>
      </c>
      <c r="BX216" s="476" t="s">
        <v>1187</v>
      </c>
      <c r="BY216" s="476" t="s">
        <v>1187</v>
      </c>
      <c r="BZ216" s="476" t="s">
        <v>1187</v>
      </c>
      <c r="CA216" s="476" t="s">
        <v>1187</v>
      </c>
      <c r="CB216" s="476" t="s">
        <v>1187</v>
      </c>
      <c r="CC216" s="476" t="s">
        <v>1187</v>
      </c>
      <c r="CD216" s="476" t="s">
        <v>1187</v>
      </c>
      <c r="CE216" s="476" t="s">
        <v>1188</v>
      </c>
      <c r="CF216" s="476" t="s">
        <v>1188</v>
      </c>
      <c r="CG216" s="476" t="s">
        <v>1188</v>
      </c>
      <c r="CH216" s="476" t="s">
        <v>1188</v>
      </c>
      <c r="CI216" s="476" t="s">
        <v>1188</v>
      </c>
      <c r="CJ216" s="476" t="s">
        <v>1188</v>
      </c>
      <c r="CK216" s="476" t="s">
        <v>1188</v>
      </c>
      <c r="CL216" s="476" t="s">
        <v>1188</v>
      </c>
      <c r="CM216" s="476" t="str">
        <f>IF(VLOOKUP(BS216,'Données par municipalité'!$B$6:$E$1113,4,FALSE)="","non","oui")</f>
        <v>oui</v>
      </c>
      <c r="CN216" s="410">
        <v>921</v>
      </c>
      <c r="CO216" s="410">
        <v>941.14353287169013</v>
      </c>
      <c r="CP216" s="410">
        <v>923</v>
      </c>
      <c r="CQ216" s="410">
        <v>892</v>
      </c>
      <c r="CR216" s="410">
        <v>857.52079932315371</v>
      </c>
      <c r="CS216" s="410">
        <v>818</v>
      </c>
      <c r="CT216" s="410">
        <v>785.54597409430369</v>
      </c>
      <c r="CU216" s="410">
        <v>572</v>
      </c>
      <c r="CV216" s="410">
        <f>IF(VLOOKUP(BS216,'Données par municipalité'!$B$6:$F$1113,4,FALSE)="","",VLOOKUP(BS216,'Données par municipalité'!$B$6:$F$1113,4,FALSE))</f>
        <v>574</v>
      </c>
      <c r="CW216" s="476" t="s">
        <v>4723</v>
      </c>
      <c r="CX216" s="483">
        <v>1</v>
      </c>
      <c r="CY216" s="483">
        <v>1</v>
      </c>
      <c r="CZ216" s="483">
        <v>1</v>
      </c>
      <c r="DA216" s="483">
        <v>1</v>
      </c>
      <c r="DB216" s="483">
        <v>1</v>
      </c>
      <c r="DC216" s="483">
        <v>1</v>
      </c>
      <c r="DD216" s="483">
        <v>1</v>
      </c>
      <c r="DE216" s="483">
        <f>IFERROR(SUM(VLOOKUP($BS216,'État &amp; Plan d''action'!$B$6:$Z$1113,18,FALSE),VLOOKUP($BS216,'État &amp; Plan d''action'!$B$6:$Z$1113,20,FALSE))/(VLOOKUP($BS216,'Données par municipalité'!$B$4:$L$1113,11,FALSE)),"")</f>
        <v>1</v>
      </c>
      <c r="DF216" s="483">
        <f>IFERROR(SUM(VLOOKUP($BS216,'État &amp; Plan d''action'!$B$6:$Z$1113,19,FALSE),VLOOKUP($BS216,'État &amp; Plan d''action'!$B$6:$Z$1113,21,FALSE))/(VLOOKUP($BS216,'Données par municipalité'!$B$4:$L$1113,11,FALSE)),"")</f>
        <v>1</v>
      </c>
      <c r="DG216" s="476" t="s">
        <v>4723</v>
      </c>
      <c r="DH216" s="484">
        <v>7</v>
      </c>
      <c r="DI216" s="484">
        <v>15</v>
      </c>
      <c r="DJ216" s="484">
        <v>10</v>
      </c>
      <c r="DK216" s="484">
        <v>6</v>
      </c>
      <c r="DL216" s="484">
        <v>4</v>
      </c>
      <c r="DM216" s="484">
        <v>7</v>
      </c>
      <c r="DN216" s="484">
        <v>0</v>
      </c>
      <c r="DO216" s="484">
        <v>3</v>
      </c>
      <c r="DP216" s="484">
        <v>0</v>
      </c>
      <c r="DQ216" s="484">
        <f>IF(VLOOKUP($BS216,'État &amp; Plan d''action'!$B$6:$AJ$1113,28,FALSE)="","",VLOOKUP($BS216,'État &amp; Plan d''action'!$B$6:$AJ$1113,28,FALSE))</f>
        <v>3</v>
      </c>
      <c r="DR216" s="70">
        <f>IF(VLOOKUP($BS216,'État &amp; Plan d''action'!$B$6:$AJ$1113,29,FALSE)="","",VLOOKUP($BS216,'État &amp; Plan d''action'!$B$6:$AJ$1113,29,FALSE))</f>
        <v>5</v>
      </c>
      <c r="DS216" s="70">
        <f>IF(VLOOKUP($BS216,'État &amp; Plan d''action'!$B$6:$AJ$1113,30,FALSE)="","",VLOOKUP($BS216,'État &amp; Plan d''action'!$B$6:$AJ$1113,30,FALSE))</f>
        <v>0</v>
      </c>
      <c r="DT216" s="70">
        <v>394</v>
      </c>
      <c r="DU216" s="485">
        <v>0.75507496403528895</v>
      </c>
      <c r="DV216" s="485">
        <v>6.1215107406841769</v>
      </c>
      <c r="DW216" s="70">
        <v>0</v>
      </c>
      <c r="DX216" s="70">
        <v>3</v>
      </c>
      <c r="DY216" s="70">
        <v>0</v>
      </c>
      <c r="DZ216" s="70">
        <f>VLOOKUP($BS216,'État &amp; Plan d''action'!$B$6:$AH$1113,31,FALSE)</f>
        <v>1</v>
      </c>
      <c r="EA216" s="70">
        <f>VLOOKUP($BS216,'État &amp; Plan d''action'!$B$6:$AH$1113,32,FALSE)</f>
        <v>3</v>
      </c>
      <c r="EB216" s="70">
        <f>VLOOKUP($BS216,'État &amp; Plan d''action'!$B$6:$AH$1113,33,FALSE)</f>
        <v>0</v>
      </c>
      <c r="EC216" s="70">
        <v>0</v>
      </c>
      <c r="ED216" s="70">
        <v>0</v>
      </c>
      <c r="EE216" s="70">
        <v>28.431000000000001</v>
      </c>
      <c r="EF216" s="70">
        <v>0</v>
      </c>
      <c r="EG216" s="70">
        <v>0</v>
      </c>
      <c r="EH216" s="72">
        <v>60</v>
      </c>
      <c r="EI216" s="72">
        <v>7143</v>
      </c>
    </row>
    <row r="217" spans="23:139" x14ac:dyDescent="0.35">
      <c r="BS217" s="486">
        <v>40005</v>
      </c>
      <c r="BT217" s="479" t="s">
        <v>358</v>
      </c>
      <c r="BU217" s="479">
        <v>5</v>
      </c>
      <c r="BV217" s="476" t="s">
        <v>1188</v>
      </c>
      <c r="BW217" s="476" t="s">
        <v>1188</v>
      </c>
      <c r="BX217" s="476" t="s">
        <v>1188</v>
      </c>
      <c r="BY217" s="476" t="s">
        <v>1188</v>
      </c>
      <c r="BZ217" s="476" t="s">
        <v>1188</v>
      </c>
      <c r="CA217" s="476" t="s">
        <v>1188</v>
      </c>
      <c r="CB217" s="476" t="s">
        <v>1188</v>
      </c>
      <c r="CC217" s="476" t="s">
        <v>1188</v>
      </c>
      <c r="CD217" s="476" t="s">
        <v>1188</v>
      </c>
      <c r="CE217" s="476" t="s">
        <v>1187</v>
      </c>
      <c r="CF217" s="476" t="s">
        <v>1187</v>
      </c>
      <c r="CG217" s="476" t="s">
        <v>1187</v>
      </c>
      <c r="CH217" s="476" t="s">
        <v>1187</v>
      </c>
      <c r="CI217" s="476" t="s">
        <v>1187</v>
      </c>
      <c r="CJ217" s="476" t="s">
        <v>1187</v>
      </c>
      <c r="CK217" s="476" t="s">
        <v>1187</v>
      </c>
      <c r="CL217" s="476" t="s">
        <v>1187</v>
      </c>
      <c r="CM217" s="476" t="str">
        <f>IF(VLOOKUP(BS217,'Données par municipalité'!$B$6:$E$1113,4,FALSE)="","non","oui")</f>
        <v>non</v>
      </c>
      <c r="CN217" s="410" t="s">
        <v>1124</v>
      </c>
      <c r="CO217" s="410" t="s">
        <v>1124</v>
      </c>
      <c r="CP217" s="410"/>
      <c r="CQ217" s="410"/>
      <c r="CR217" s="410"/>
      <c r="CS217" s="410" t="s">
        <v>1124</v>
      </c>
      <c r="CT217" s="410"/>
      <c r="CU217" s="410" t="s">
        <v>1124</v>
      </c>
      <c r="CV217" s="410" t="str">
        <f>IF(VLOOKUP(BS217,'Données par municipalité'!$B$6:$F$1113,4,FALSE)="","",VLOOKUP(BS217,'Données par municipalité'!$B$6:$F$1113,4,FALSE))</f>
        <v/>
      </c>
      <c r="CW217" s="476" t="s">
        <v>4723</v>
      </c>
      <c r="CX217" s="483" t="s">
        <v>1124</v>
      </c>
      <c r="CY217" s="483" t="s">
        <v>1124</v>
      </c>
      <c r="CZ217" s="483" t="s">
        <v>1124</v>
      </c>
      <c r="DA217" s="483" t="s">
        <v>1124</v>
      </c>
      <c r="DB217" s="483" t="s">
        <v>1124</v>
      </c>
      <c r="DC217" s="483" t="s">
        <v>1124</v>
      </c>
      <c r="DD217" s="483" t="s">
        <v>1124</v>
      </c>
      <c r="DE217" s="483" t="str">
        <f>IFERROR(SUM(VLOOKUP($BS217,'État &amp; Plan d''action'!$B$6:$Z$1113,18,FALSE),VLOOKUP($BS217,'État &amp; Plan d''action'!$B$6:$Z$1113,20,FALSE))/(VLOOKUP($BS217,'Données par municipalité'!$B$4:$L$1113,11,FALSE)),"")</f>
        <v/>
      </c>
      <c r="DF217" s="483" t="str">
        <f>IFERROR(SUM(VLOOKUP($BS217,'État &amp; Plan d''action'!$B$6:$Z$1113,19,FALSE),VLOOKUP($BS217,'État &amp; Plan d''action'!$B$6:$Z$1113,21,FALSE))/(VLOOKUP($BS217,'Données par municipalité'!$B$4:$L$1113,11,FALSE)),"")</f>
        <v/>
      </c>
      <c r="DG217" s="476" t="s">
        <v>4723</v>
      </c>
      <c r="DH217" s="484" t="s">
        <v>1124</v>
      </c>
      <c r="DI217" s="484" t="s">
        <v>1124</v>
      </c>
      <c r="DJ217" s="484">
        <v>0</v>
      </c>
      <c r="DK217" s="484">
        <v>0</v>
      </c>
      <c r="DL217" s="484" t="s">
        <v>1124</v>
      </c>
      <c r="DM217" s="484" t="s">
        <v>1124</v>
      </c>
      <c r="DN217" s="484" t="s">
        <v>1124</v>
      </c>
      <c r="DO217" s="484" t="s">
        <v>1124</v>
      </c>
      <c r="DP217" s="484" t="s">
        <v>1124</v>
      </c>
      <c r="DQ217" s="484" t="str">
        <f>IF(VLOOKUP($BS217,'État &amp; Plan d''action'!$B$6:$AJ$1113,28,FALSE)="","",VLOOKUP($BS217,'État &amp; Plan d''action'!$B$6:$AJ$1113,28,FALSE))</f>
        <v/>
      </c>
      <c r="DR217" s="70" t="str">
        <f>IF(VLOOKUP($BS217,'État &amp; Plan d''action'!$B$6:$AJ$1113,29,FALSE)="","",VLOOKUP($BS217,'État &amp; Plan d''action'!$B$6:$AJ$1113,29,FALSE))</f>
        <v/>
      </c>
      <c r="DS217" s="70" t="str">
        <f>IF(VLOOKUP($BS217,'État &amp; Plan d''action'!$B$6:$AJ$1113,30,FALSE)="","",VLOOKUP($BS217,'État &amp; Plan d''action'!$B$6:$AJ$1113,30,FALSE))</f>
        <v/>
      </c>
      <c r="DT217" s="70" t="s">
        <v>1124</v>
      </c>
      <c r="DU217" s="485" t="s">
        <v>1124</v>
      </c>
      <c r="DV217" s="485" t="s">
        <v>1124</v>
      </c>
      <c r="DW217" s="70" t="s">
        <v>1124</v>
      </c>
      <c r="DX217" s="70" t="s">
        <v>1124</v>
      </c>
      <c r="DY217" s="70" t="s">
        <v>1124</v>
      </c>
      <c r="DZ217" s="70" t="str">
        <f>VLOOKUP($BS217,'État &amp; Plan d''action'!$B$6:$AH$1113,31,FALSE)</f>
        <v/>
      </c>
      <c r="EA217" s="70" t="str">
        <f>VLOOKUP($BS217,'État &amp; Plan d''action'!$B$6:$AH$1113,32,FALSE)</f>
        <v/>
      </c>
      <c r="EB217" s="70" t="str">
        <f>VLOOKUP($BS217,'État &amp; Plan d''action'!$B$6:$AH$1113,33,FALSE)</f>
        <v/>
      </c>
      <c r="EC217" s="70" t="s">
        <v>1124</v>
      </c>
      <c r="ED217" s="70" t="s">
        <v>1124</v>
      </c>
      <c r="EE217" s="70" t="s">
        <v>1124</v>
      </c>
      <c r="EF217" s="70" t="s">
        <v>1124</v>
      </c>
      <c r="EG217" s="70" t="s">
        <v>1124</v>
      </c>
      <c r="EH217" s="72"/>
      <c r="EI217" s="72">
        <v>240</v>
      </c>
    </row>
    <row r="218" spans="23:139" x14ac:dyDescent="0.35">
      <c r="BS218" s="486">
        <v>76065</v>
      </c>
      <c r="BT218" s="479" t="s">
        <v>755</v>
      </c>
      <c r="BU218" s="479">
        <v>15</v>
      </c>
      <c r="BV218" s="476" t="s">
        <v>1188</v>
      </c>
      <c r="BW218" s="476" t="s">
        <v>1188</v>
      </c>
      <c r="BX218" s="476" t="s">
        <v>1188</v>
      </c>
      <c r="BY218" s="476" t="s">
        <v>1188</v>
      </c>
      <c r="BZ218" s="476" t="s">
        <v>1188</v>
      </c>
      <c r="CA218" s="476" t="s">
        <v>1188</v>
      </c>
      <c r="CB218" s="476" t="s">
        <v>1188</v>
      </c>
      <c r="CC218" s="476" t="s">
        <v>1188</v>
      </c>
      <c r="CD218" s="476" t="s">
        <v>1188</v>
      </c>
      <c r="CE218" s="476" t="s">
        <v>1188</v>
      </c>
      <c r="CF218" s="476" t="s">
        <v>1188</v>
      </c>
      <c r="CG218" s="476" t="s">
        <v>1188</v>
      </c>
      <c r="CH218" s="476" t="s">
        <v>1188</v>
      </c>
      <c r="CI218" s="476" t="s">
        <v>1188</v>
      </c>
      <c r="CJ218" s="476" t="s">
        <v>1187</v>
      </c>
      <c r="CK218" s="476" t="s">
        <v>1187</v>
      </c>
      <c r="CL218" s="476" t="s">
        <v>1187</v>
      </c>
      <c r="CM218" s="476" t="str">
        <f>IF(VLOOKUP(BS218,'Données par municipalité'!$B$6:$E$1113,4,FALSE)="","non","oui")</f>
        <v>non</v>
      </c>
      <c r="CN218" s="410">
        <v>3659.177549947774</v>
      </c>
      <c r="CO218" s="410">
        <v>1028.2674470890397</v>
      </c>
      <c r="CP218" s="410">
        <v>462.16159416136486</v>
      </c>
      <c r="CQ218" s="410">
        <v>1487.0178254141113</v>
      </c>
      <c r="CR218" s="410">
        <v>2037.332110582526</v>
      </c>
      <c r="CS218" s="410" t="s">
        <v>1124</v>
      </c>
      <c r="CT218" s="410"/>
      <c r="CU218" s="410" t="s">
        <v>1124</v>
      </c>
      <c r="CV218" s="410" t="str">
        <f>IF(VLOOKUP(BS218,'Données par municipalité'!$B$6:$F$1113,4,FALSE)="","",VLOOKUP(BS218,'Données par municipalité'!$B$6:$F$1113,4,FALSE))</f>
        <v/>
      </c>
      <c r="CW218" s="476" t="s">
        <v>4723</v>
      </c>
      <c r="CX218" s="483" t="s">
        <v>1124</v>
      </c>
      <c r="CY218" s="483">
        <v>0</v>
      </c>
      <c r="CZ218" s="483">
        <v>0</v>
      </c>
      <c r="DA218" s="483">
        <v>0</v>
      </c>
      <c r="DB218" s="483" t="s">
        <v>1124</v>
      </c>
      <c r="DC218" s="483" t="s">
        <v>1124</v>
      </c>
      <c r="DD218" s="483" t="s">
        <v>1124</v>
      </c>
      <c r="DE218" s="483" t="str">
        <f>IFERROR(SUM(VLOOKUP($BS218,'État &amp; Plan d''action'!$B$6:$Z$1113,18,FALSE),VLOOKUP($BS218,'État &amp; Plan d''action'!$B$6:$Z$1113,20,FALSE))/(VLOOKUP($BS218,'Données par municipalité'!$B$4:$L$1113,11,FALSE)),"")</f>
        <v/>
      </c>
      <c r="DF218" s="483" t="str">
        <f>IFERROR(SUM(VLOOKUP($BS218,'État &amp; Plan d''action'!$B$6:$Z$1113,19,FALSE),VLOOKUP($BS218,'État &amp; Plan d''action'!$B$6:$Z$1113,21,FALSE))/(VLOOKUP($BS218,'Données par municipalité'!$B$4:$L$1113,11,FALSE)),"")</f>
        <v/>
      </c>
      <c r="DG218" s="476" t="s">
        <v>4723</v>
      </c>
      <c r="DH218" s="484" t="s">
        <v>1124</v>
      </c>
      <c r="DI218" s="484" t="s">
        <v>1124</v>
      </c>
      <c r="DJ218" s="484">
        <v>0</v>
      </c>
      <c r="DK218" s="484">
        <v>0</v>
      </c>
      <c r="DL218" s="484" t="s">
        <v>1124</v>
      </c>
      <c r="DM218" s="484" t="s">
        <v>1124</v>
      </c>
      <c r="DN218" s="484" t="s">
        <v>1124</v>
      </c>
      <c r="DO218" s="484" t="s">
        <v>1124</v>
      </c>
      <c r="DP218" s="484" t="s">
        <v>1124</v>
      </c>
      <c r="DQ218" s="484" t="str">
        <f>IF(VLOOKUP($BS218,'État &amp; Plan d''action'!$B$6:$AJ$1113,28,FALSE)="","",VLOOKUP($BS218,'État &amp; Plan d''action'!$B$6:$AJ$1113,28,FALSE))</f>
        <v/>
      </c>
      <c r="DR218" s="70" t="str">
        <f>IF(VLOOKUP($BS218,'État &amp; Plan d''action'!$B$6:$AJ$1113,29,FALSE)="","",VLOOKUP($BS218,'État &amp; Plan d''action'!$B$6:$AJ$1113,29,FALSE))</f>
        <v/>
      </c>
      <c r="DS218" s="70" t="str">
        <f>IF(VLOOKUP($BS218,'État &amp; Plan d''action'!$B$6:$AJ$1113,30,FALSE)="","",VLOOKUP($BS218,'État &amp; Plan d''action'!$B$6:$AJ$1113,30,FALSE))</f>
        <v/>
      </c>
      <c r="DT218" s="70" t="s">
        <v>1124</v>
      </c>
      <c r="DU218" s="485" t="s">
        <v>1124</v>
      </c>
      <c r="DV218" s="485" t="s">
        <v>1124</v>
      </c>
      <c r="DW218" s="70" t="s">
        <v>1124</v>
      </c>
      <c r="DX218" s="70" t="s">
        <v>1124</v>
      </c>
      <c r="DY218" s="70" t="s">
        <v>1124</v>
      </c>
      <c r="DZ218" s="70" t="str">
        <f>VLOOKUP($BS218,'État &amp; Plan d''action'!$B$6:$AH$1113,31,FALSE)</f>
        <v/>
      </c>
      <c r="EA218" s="70" t="str">
        <f>VLOOKUP($BS218,'État &amp; Plan d''action'!$B$6:$AH$1113,32,FALSE)</f>
        <v/>
      </c>
      <c r="EB218" s="70" t="str">
        <f>VLOOKUP($BS218,'État &amp; Plan d''action'!$B$6:$AH$1113,33,FALSE)</f>
        <v/>
      </c>
      <c r="EC218" s="70" t="s">
        <v>1124</v>
      </c>
      <c r="ED218" s="70" t="s">
        <v>1124</v>
      </c>
      <c r="EE218" s="70" t="s">
        <v>1124</v>
      </c>
      <c r="EF218" s="70" t="s">
        <v>1124</v>
      </c>
      <c r="EG218" s="70" t="s">
        <v>1124</v>
      </c>
      <c r="EH218" s="72"/>
      <c r="EI218" s="72">
        <v>857</v>
      </c>
    </row>
    <row r="219" spans="23:139" x14ac:dyDescent="0.35">
      <c r="BS219" s="486">
        <v>45055</v>
      </c>
      <c r="BT219" s="479" t="s">
        <v>417</v>
      </c>
      <c r="BU219" s="479">
        <v>5</v>
      </c>
      <c r="BV219" s="476" t="s">
        <v>1187</v>
      </c>
      <c r="BW219" s="476" t="s">
        <v>1187</v>
      </c>
      <c r="BX219" s="476" t="s">
        <v>1187</v>
      </c>
      <c r="BY219" s="476" t="s">
        <v>1187</v>
      </c>
      <c r="BZ219" s="476" t="s">
        <v>1187</v>
      </c>
      <c r="CA219" s="476" t="s">
        <v>1187</v>
      </c>
      <c r="CB219" s="476" t="s">
        <v>1187</v>
      </c>
      <c r="CC219" s="476" t="s">
        <v>1187</v>
      </c>
      <c r="CD219" s="476" t="s">
        <v>1187</v>
      </c>
      <c r="CE219" s="476" t="s">
        <v>1188</v>
      </c>
      <c r="CF219" s="476" t="s">
        <v>1188</v>
      </c>
      <c r="CG219" s="476" t="s">
        <v>1187</v>
      </c>
      <c r="CH219" s="476" t="s">
        <v>1188</v>
      </c>
      <c r="CI219" s="476" t="s">
        <v>1188</v>
      </c>
      <c r="CJ219" s="476" t="s">
        <v>1188</v>
      </c>
      <c r="CK219" s="476" t="s">
        <v>1188</v>
      </c>
      <c r="CL219" s="476" t="s">
        <v>1187</v>
      </c>
      <c r="CM219" s="476" t="str">
        <f>IF(VLOOKUP(BS219,'Données par municipalité'!$B$6:$E$1113,4,FALSE)="","non","oui")</f>
        <v>oui</v>
      </c>
      <c r="CN219" s="410">
        <v>756.68623613829084</v>
      </c>
      <c r="CO219" s="410">
        <v>151.19846195999426</v>
      </c>
      <c r="CP219" s="410"/>
      <c r="CQ219" s="410">
        <v>176.83607960778295</v>
      </c>
      <c r="CR219" s="410">
        <v>738</v>
      </c>
      <c r="CS219" s="410">
        <v>708.94221604156212</v>
      </c>
      <c r="CT219" s="410">
        <v>567</v>
      </c>
      <c r="CU219" s="410" t="s">
        <v>1124</v>
      </c>
      <c r="CV219" s="410">
        <f>IF(VLOOKUP(BS219,'Données par municipalité'!$B$6:$F$1113,4,FALSE)="","",VLOOKUP(BS219,'Données par municipalité'!$B$6:$F$1113,4,FALSE))</f>
        <v>229</v>
      </c>
      <c r="CW219" s="476" t="s">
        <v>4723</v>
      </c>
      <c r="CX219" s="483">
        <v>0</v>
      </c>
      <c r="CY219" s="483" t="s">
        <v>1124</v>
      </c>
      <c r="CZ219" s="483">
        <v>0</v>
      </c>
      <c r="DA219" s="483">
        <v>0</v>
      </c>
      <c r="DB219" s="483">
        <v>1</v>
      </c>
      <c r="DC219" s="483">
        <v>1</v>
      </c>
      <c r="DD219" s="483" t="s">
        <v>1124</v>
      </c>
      <c r="DE219" s="483">
        <f>IFERROR(SUM(VLOOKUP($BS219,'État &amp; Plan d''action'!$B$6:$Z$1113,18,FALSE),VLOOKUP($BS219,'État &amp; Plan d''action'!$B$6:$Z$1113,20,FALSE))/(VLOOKUP($BS219,'Données par municipalité'!$B$4:$L$1113,11,FALSE)),"")</f>
        <v>1</v>
      </c>
      <c r="DF219" s="483">
        <f>IFERROR(SUM(VLOOKUP($BS219,'État &amp; Plan d''action'!$B$6:$Z$1113,19,FALSE),VLOOKUP($BS219,'État &amp; Plan d''action'!$B$6:$Z$1113,21,FALSE))/(VLOOKUP($BS219,'Données par municipalité'!$B$4:$L$1113,11,FALSE)),"")</f>
        <v>0</v>
      </c>
      <c r="DG219" s="476" t="s">
        <v>4723</v>
      </c>
      <c r="DH219" s="484">
        <v>0</v>
      </c>
      <c r="DI219" s="484" t="s">
        <v>1124</v>
      </c>
      <c r="DJ219" s="484">
        <v>0</v>
      </c>
      <c r="DK219" s="484">
        <v>2</v>
      </c>
      <c r="DL219" s="484">
        <v>2</v>
      </c>
      <c r="DM219" s="484">
        <v>1</v>
      </c>
      <c r="DN219" s="484" t="s">
        <v>1124</v>
      </c>
      <c r="DO219" s="484" t="s">
        <v>1124</v>
      </c>
      <c r="DP219" s="484" t="s">
        <v>1124</v>
      </c>
      <c r="DQ219" s="484">
        <f>IF(VLOOKUP($BS219,'État &amp; Plan d''action'!$B$6:$AJ$1113,28,FALSE)="","",VLOOKUP($BS219,'État &amp; Plan d''action'!$B$6:$AJ$1113,28,FALSE))</f>
        <v>1</v>
      </c>
      <c r="DR219" s="70">
        <f>IF(VLOOKUP($BS219,'État &amp; Plan d''action'!$B$6:$AJ$1113,29,FALSE)="","",VLOOKUP($BS219,'État &amp; Plan d''action'!$B$6:$AJ$1113,29,FALSE))</f>
        <v>0</v>
      </c>
      <c r="DS219" s="70">
        <f>IF(VLOOKUP($BS219,'État &amp; Plan d''action'!$B$6:$AJ$1113,30,FALSE)="","",VLOOKUP($BS219,'État &amp; Plan d''action'!$B$6:$AJ$1113,30,FALSE))</f>
        <v>1</v>
      </c>
      <c r="DT219" s="70" t="s">
        <v>1124</v>
      </c>
      <c r="DU219" s="485" t="s">
        <v>1124</v>
      </c>
      <c r="DV219" s="485">
        <v>1.5739008591590447</v>
      </c>
      <c r="DW219" s="70" t="s">
        <v>1124</v>
      </c>
      <c r="DX219" s="70" t="s">
        <v>1124</v>
      </c>
      <c r="DY219" s="70" t="s">
        <v>1124</v>
      </c>
      <c r="DZ219" s="70">
        <f>VLOOKUP($BS219,'État &amp; Plan d''action'!$B$6:$AH$1113,31,FALSE)</f>
        <v>2</v>
      </c>
      <c r="EA219" s="70">
        <f>VLOOKUP($BS219,'État &amp; Plan d''action'!$B$6:$AH$1113,32,FALSE)</f>
        <v>0</v>
      </c>
      <c r="EB219" s="70">
        <f>VLOOKUP($BS219,'État &amp; Plan d''action'!$B$6:$AH$1113,33,FALSE)</f>
        <v>3</v>
      </c>
      <c r="EC219" s="70" t="s">
        <v>1124</v>
      </c>
      <c r="ED219" s="70" t="s">
        <v>1124</v>
      </c>
      <c r="EE219" s="70" t="s">
        <v>1124</v>
      </c>
      <c r="EF219" s="70" t="s">
        <v>1124</v>
      </c>
      <c r="EG219" s="70" t="s">
        <v>1124</v>
      </c>
      <c r="EH219" s="72"/>
      <c r="EI219" s="72">
        <v>2231</v>
      </c>
    </row>
    <row r="220" spans="23:139" x14ac:dyDescent="0.35">
      <c r="BS220" s="486">
        <v>45043</v>
      </c>
      <c r="BT220" s="479" t="s">
        <v>415</v>
      </c>
      <c r="BU220" s="479">
        <v>5</v>
      </c>
      <c r="BV220" s="476" t="s">
        <v>1187</v>
      </c>
      <c r="BW220" s="476" t="s">
        <v>1187</v>
      </c>
      <c r="BX220" s="476" t="s">
        <v>1187</v>
      </c>
      <c r="BY220" s="476" t="s">
        <v>1187</v>
      </c>
      <c r="BZ220" s="476" t="s">
        <v>1187</v>
      </c>
      <c r="CA220" s="476" t="s">
        <v>1187</v>
      </c>
      <c r="CB220" s="476" t="s">
        <v>1187</v>
      </c>
      <c r="CC220" s="476" t="s">
        <v>1187</v>
      </c>
      <c r="CD220" s="476" t="s">
        <v>1187</v>
      </c>
      <c r="CE220" s="476" t="s">
        <v>1188</v>
      </c>
      <c r="CF220" s="476" t="s">
        <v>1187</v>
      </c>
      <c r="CG220" s="476" t="s">
        <v>1187</v>
      </c>
      <c r="CH220" s="476" t="s">
        <v>1187</v>
      </c>
      <c r="CI220" s="476" t="s">
        <v>1187</v>
      </c>
      <c r="CJ220" s="476" t="s">
        <v>1188</v>
      </c>
      <c r="CK220" s="476" t="s">
        <v>1188</v>
      </c>
      <c r="CL220" s="476" t="s">
        <v>1188</v>
      </c>
      <c r="CM220" s="476" t="str">
        <f>IF(VLOOKUP(BS220,'Données par municipalité'!$B$6:$E$1113,4,FALSE)="","non","oui")</f>
        <v>oui</v>
      </c>
      <c r="CN220" s="410">
        <v>297.96968311035187</v>
      </c>
      <c r="CO220" s="410" t="s">
        <v>1124</v>
      </c>
      <c r="CP220" s="410"/>
      <c r="CQ220" s="410"/>
      <c r="CR220" s="410"/>
      <c r="CS220" s="410">
        <v>218.46711552345889</v>
      </c>
      <c r="CT220" s="410">
        <v>241.46155491291853</v>
      </c>
      <c r="CU220" s="410">
        <v>295</v>
      </c>
      <c r="CV220" s="410">
        <f>IF(VLOOKUP(BS220,'Données par municipalité'!$B$6:$F$1113,4,FALSE)="","",VLOOKUP(BS220,'Données par municipalité'!$B$6:$F$1113,4,FALSE))</f>
        <v>232</v>
      </c>
      <c r="CW220" s="476" t="s">
        <v>4723</v>
      </c>
      <c r="CX220" s="483" t="s">
        <v>1124</v>
      </c>
      <c r="CY220" s="483" t="s">
        <v>1124</v>
      </c>
      <c r="CZ220" s="483" t="s">
        <v>1124</v>
      </c>
      <c r="DA220" s="483" t="s">
        <v>1124</v>
      </c>
      <c r="DB220" s="483">
        <v>0</v>
      </c>
      <c r="DC220" s="483">
        <v>0</v>
      </c>
      <c r="DD220" s="483">
        <v>4.9910161708923935E-2</v>
      </c>
      <c r="DE220" s="483">
        <f>IFERROR(SUM(VLOOKUP($BS220,'État &amp; Plan d''action'!$B$6:$Z$1113,18,FALSE),VLOOKUP($BS220,'État &amp; Plan d''action'!$B$6:$Z$1113,20,FALSE))/(VLOOKUP($BS220,'Données par municipalité'!$B$4:$L$1113,11,FALSE)),"")</f>
        <v>0.47953683369934119</v>
      </c>
      <c r="DF220" s="483">
        <f>IFERROR(SUM(VLOOKUP($BS220,'État &amp; Plan d''action'!$B$6:$Z$1113,19,FALSE),VLOOKUP($BS220,'État &amp; Plan d''action'!$B$6:$Z$1113,21,FALSE))/(VLOOKUP($BS220,'Données par municipalité'!$B$4:$L$1113,11,FALSE)),"")</f>
        <v>0</v>
      </c>
      <c r="DG220" s="476" t="s">
        <v>4723</v>
      </c>
      <c r="DH220" s="484" t="s">
        <v>1124</v>
      </c>
      <c r="DI220" s="484" t="s">
        <v>1124</v>
      </c>
      <c r="DJ220" s="484">
        <v>0</v>
      </c>
      <c r="DK220" s="484">
        <v>0</v>
      </c>
      <c r="DL220" s="484">
        <v>0</v>
      </c>
      <c r="DM220" s="484">
        <v>1</v>
      </c>
      <c r="DN220" s="484">
        <v>0</v>
      </c>
      <c r="DO220" s="484">
        <v>0</v>
      </c>
      <c r="DP220" s="484">
        <v>1</v>
      </c>
      <c r="DQ220" s="484">
        <f>IF(VLOOKUP($BS220,'État &amp; Plan d''action'!$B$6:$AJ$1113,28,FALSE)="","",VLOOKUP($BS220,'État &amp; Plan d''action'!$B$6:$AJ$1113,28,FALSE))</f>
        <v>0</v>
      </c>
      <c r="DR220" s="70">
        <f>IF(VLOOKUP($BS220,'État &amp; Plan d''action'!$B$6:$AJ$1113,29,FALSE)="","",VLOOKUP($BS220,'État &amp; Plan d''action'!$B$6:$AJ$1113,29,FALSE))</f>
        <v>0</v>
      </c>
      <c r="DS220" s="70">
        <f>IF(VLOOKUP($BS220,'État &amp; Plan d''action'!$B$6:$AJ$1113,30,FALSE)="","",VLOOKUP($BS220,'État &amp; Plan d''action'!$B$6:$AJ$1113,30,FALSE))</f>
        <v>0</v>
      </c>
      <c r="DT220" s="70">
        <v>176</v>
      </c>
      <c r="DU220" s="485">
        <v>1.1330499801942862</v>
      </c>
      <c r="DV220" s="485">
        <v>1.0876743343880948</v>
      </c>
      <c r="DW220" s="70">
        <v>0</v>
      </c>
      <c r="DX220" s="70">
        <v>0</v>
      </c>
      <c r="DY220" s="70">
        <v>10</v>
      </c>
      <c r="DZ220" s="70">
        <f>VLOOKUP($BS220,'État &amp; Plan d''action'!$B$6:$AH$1113,31,FALSE)</f>
        <v>0</v>
      </c>
      <c r="EA220" s="70">
        <f>VLOOKUP($BS220,'État &amp; Plan d''action'!$B$6:$AH$1113,32,FALSE)</f>
        <v>0</v>
      </c>
      <c r="EB220" s="70">
        <f>VLOOKUP($BS220,'État &amp; Plan d''action'!$B$6:$AH$1113,33,FALSE)</f>
        <v>0</v>
      </c>
      <c r="EC220" s="70">
        <v>0</v>
      </c>
      <c r="ED220" s="70">
        <v>0.25</v>
      </c>
      <c r="EE220" s="70">
        <v>0</v>
      </c>
      <c r="EF220" s="70">
        <v>0</v>
      </c>
      <c r="EG220" s="70">
        <v>0</v>
      </c>
      <c r="EH220" s="72">
        <v>47.5</v>
      </c>
      <c r="EI220" s="72">
        <v>680</v>
      </c>
    </row>
    <row r="221" spans="23:139" x14ac:dyDescent="0.35">
      <c r="BS221" s="486">
        <v>69005</v>
      </c>
      <c r="BT221" s="479" t="s">
        <v>684</v>
      </c>
      <c r="BU221" s="479">
        <v>16</v>
      </c>
      <c r="BV221" s="476" t="s">
        <v>1188</v>
      </c>
      <c r="BW221" s="476" t="s">
        <v>1188</v>
      </c>
      <c r="BX221" s="476" t="s">
        <v>1188</v>
      </c>
      <c r="BY221" s="476" t="s">
        <v>1188</v>
      </c>
      <c r="BZ221" s="476" t="s">
        <v>1188</v>
      </c>
      <c r="CA221" s="476" t="s">
        <v>1188</v>
      </c>
      <c r="CB221" s="476" t="s">
        <v>1188</v>
      </c>
      <c r="CC221" s="476" t="s">
        <v>1188</v>
      </c>
      <c r="CD221" s="476" t="s">
        <v>1188</v>
      </c>
      <c r="CE221" s="476" t="s">
        <v>1188</v>
      </c>
      <c r="CF221" s="476" t="s">
        <v>1188</v>
      </c>
      <c r="CG221" s="476" t="s">
        <v>1188</v>
      </c>
      <c r="CH221" s="476" t="s">
        <v>1188</v>
      </c>
      <c r="CI221" s="476" t="s">
        <v>1188</v>
      </c>
      <c r="CJ221" s="476" t="s">
        <v>1187</v>
      </c>
      <c r="CK221" s="476" t="s">
        <v>1187</v>
      </c>
      <c r="CL221" s="476" t="s">
        <v>1187</v>
      </c>
      <c r="CM221" s="476" t="str">
        <f>IF(VLOOKUP(BS221,'Données par municipalité'!$B$6:$E$1113,4,FALSE)="","non","oui")</f>
        <v>non</v>
      </c>
      <c r="CN221" s="410">
        <v>320.80379137437319</v>
      </c>
      <c r="CO221" s="410">
        <v>207.80931848125527</v>
      </c>
      <c r="CP221" s="410">
        <v>309.00377454514614</v>
      </c>
      <c r="CQ221" s="410">
        <v>344.76361535899349</v>
      </c>
      <c r="CR221" s="410">
        <v>317.50050297412116</v>
      </c>
      <c r="CS221" s="410" t="s">
        <v>1124</v>
      </c>
      <c r="CT221" s="410"/>
      <c r="CU221" s="410" t="s">
        <v>1124</v>
      </c>
      <c r="CV221" s="410" t="str">
        <f>IF(VLOOKUP(BS221,'Données par municipalité'!$B$6:$F$1113,4,FALSE)="","",VLOOKUP(BS221,'Données par municipalité'!$B$6:$F$1113,4,FALSE))</f>
        <v/>
      </c>
      <c r="CW221" s="476" t="s">
        <v>4723</v>
      </c>
      <c r="CX221" s="483" t="s">
        <v>1124</v>
      </c>
      <c r="CY221" s="483">
        <v>0</v>
      </c>
      <c r="CZ221" s="483">
        <v>0</v>
      </c>
      <c r="DA221" s="483">
        <v>0</v>
      </c>
      <c r="DB221" s="483" t="s">
        <v>1124</v>
      </c>
      <c r="DC221" s="483" t="s">
        <v>1124</v>
      </c>
      <c r="DD221" s="483" t="s">
        <v>1124</v>
      </c>
      <c r="DE221" s="483" t="str">
        <f>IFERROR(SUM(VLOOKUP($BS221,'État &amp; Plan d''action'!$B$6:$Z$1113,18,FALSE),VLOOKUP($BS221,'État &amp; Plan d''action'!$B$6:$Z$1113,20,FALSE))/(VLOOKUP($BS221,'Données par municipalité'!$B$4:$L$1113,11,FALSE)),"")</f>
        <v/>
      </c>
      <c r="DF221" s="483" t="str">
        <f>IFERROR(SUM(VLOOKUP($BS221,'État &amp; Plan d''action'!$B$6:$Z$1113,19,FALSE),VLOOKUP($BS221,'État &amp; Plan d''action'!$B$6:$Z$1113,21,FALSE))/(VLOOKUP($BS221,'Données par municipalité'!$B$4:$L$1113,11,FALSE)),"")</f>
        <v/>
      </c>
      <c r="DG221" s="476" t="s">
        <v>4723</v>
      </c>
      <c r="DH221" s="484" t="s">
        <v>1124</v>
      </c>
      <c r="DI221" s="484" t="s">
        <v>1124</v>
      </c>
      <c r="DJ221" s="484">
        <v>0</v>
      </c>
      <c r="DK221" s="484">
        <v>0</v>
      </c>
      <c r="DL221" s="484" t="s">
        <v>1124</v>
      </c>
      <c r="DM221" s="484" t="s">
        <v>1124</v>
      </c>
      <c r="DN221" s="484" t="s">
        <v>1124</v>
      </c>
      <c r="DO221" s="484" t="s">
        <v>1124</v>
      </c>
      <c r="DP221" s="484" t="s">
        <v>1124</v>
      </c>
      <c r="DQ221" s="484" t="str">
        <f>IF(VLOOKUP($BS221,'État &amp; Plan d''action'!$B$6:$AJ$1113,28,FALSE)="","",VLOOKUP($BS221,'État &amp; Plan d''action'!$B$6:$AJ$1113,28,FALSE))</f>
        <v/>
      </c>
      <c r="DR221" s="70" t="str">
        <f>IF(VLOOKUP($BS221,'État &amp; Plan d''action'!$B$6:$AJ$1113,29,FALSE)="","",VLOOKUP($BS221,'État &amp; Plan d''action'!$B$6:$AJ$1113,29,FALSE))</f>
        <v/>
      </c>
      <c r="DS221" s="70" t="str">
        <f>IF(VLOOKUP($BS221,'État &amp; Plan d''action'!$B$6:$AJ$1113,30,FALSE)="","",VLOOKUP($BS221,'État &amp; Plan d''action'!$B$6:$AJ$1113,30,FALSE))</f>
        <v/>
      </c>
      <c r="DT221" s="70" t="s">
        <v>1124</v>
      </c>
      <c r="DU221" s="485" t="s">
        <v>1124</v>
      </c>
      <c r="DV221" s="485" t="s">
        <v>1124</v>
      </c>
      <c r="DW221" s="70" t="s">
        <v>1124</v>
      </c>
      <c r="DX221" s="70" t="s">
        <v>1124</v>
      </c>
      <c r="DY221" s="70" t="s">
        <v>1124</v>
      </c>
      <c r="DZ221" s="70" t="str">
        <f>VLOOKUP($BS221,'État &amp; Plan d''action'!$B$6:$AH$1113,31,FALSE)</f>
        <v/>
      </c>
      <c r="EA221" s="70" t="str">
        <f>VLOOKUP($BS221,'État &amp; Plan d''action'!$B$6:$AH$1113,32,FALSE)</f>
        <v/>
      </c>
      <c r="EB221" s="70" t="str">
        <f>VLOOKUP($BS221,'État &amp; Plan d''action'!$B$6:$AH$1113,33,FALSE)</f>
        <v/>
      </c>
      <c r="EC221" s="70" t="s">
        <v>1124</v>
      </c>
      <c r="ED221" s="70" t="s">
        <v>1124</v>
      </c>
      <c r="EE221" s="70" t="s">
        <v>1124</v>
      </c>
      <c r="EF221" s="70" t="s">
        <v>1124</v>
      </c>
      <c r="EG221" s="70" t="s">
        <v>1124</v>
      </c>
      <c r="EH221" s="72"/>
      <c r="EI221" s="72">
        <v>740</v>
      </c>
    </row>
    <row r="222" spans="23:139" x14ac:dyDescent="0.35">
      <c r="BS222" s="486">
        <v>98040</v>
      </c>
      <c r="BT222" s="479" t="s">
        <v>1015</v>
      </c>
      <c r="BU222" s="479">
        <v>9</v>
      </c>
      <c r="BV222" s="476" t="s">
        <v>1187</v>
      </c>
      <c r="BW222" s="476" t="s">
        <v>1187</v>
      </c>
      <c r="BX222" s="476" t="s">
        <v>1187</v>
      </c>
      <c r="BY222" s="476" t="s">
        <v>1187</v>
      </c>
      <c r="BZ222" s="476" t="s">
        <v>1187</v>
      </c>
      <c r="CA222" s="476" t="s">
        <v>1187</v>
      </c>
      <c r="CB222" s="476" t="s">
        <v>1187</v>
      </c>
      <c r="CC222" s="476" t="s">
        <v>1187</v>
      </c>
      <c r="CD222" s="476" t="s">
        <v>1187</v>
      </c>
      <c r="CE222" s="476" t="s">
        <v>1188</v>
      </c>
      <c r="CF222" s="476" t="s">
        <v>1188</v>
      </c>
      <c r="CG222" s="476" t="s">
        <v>1188</v>
      </c>
      <c r="CH222" s="476" t="s">
        <v>1188</v>
      </c>
      <c r="CI222" s="476" t="s">
        <v>1188</v>
      </c>
      <c r="CJ222" s="476" t="s">
        <v>1188</v>
      </c>
      <c r="CK222" s="476" t="s">
        <v>1187</v>
      </c>
      <c r="CL222" s="476" t="s">
        <v>1187</v>
      </c>
      <c r="CM222" s="476" t="str">
        <f>IF(VLOOKUP(BS222,'Données par municipalité'!$B$6:$E$1113,4,FALSE)="","non","oui")</f>
        <v>non</v>
      </c>
      <c r="CN222" s="410">
        <v>399.97012864326177</v>
      </c>
      <c r="CO222" s="410">
        <v>424.36247723132971</v>
      </c>
      <c r="CP222" s="410">
        <v>352.68959048987949</v>
      </c>
      <c r="CQ222" s="410">
        <v>396.27835717630319</v>
      </c>
      <c r="CR222" s="410">
        <v>482.40677548003583</v>
      </c>
      <c r="CS222" s="410">
        <v>556.51665624901386</v>
      </c>
      <c r="CT222" s="410"/>
      <c r="CU222" s="410" t="s">
        <v>1124</v>
      </c>
      <c r="CV222" s="410" t="str">
        <f>IF(VLOOKUP(BS222,'Données par municipalité'!$B$6:$F$1113,4,FALSE)="","",VLOOKUP(BS222,'Données par municipalité'!$B$6:$F$1113,4,FALSE))</f>
        <v/>
      </c>
      <c r="CW222" s="476" t="s">
        <v>4723</v>
      </c>
      <c r="CX222" s="483">
        <v>0</v>
      </c>
      <c r="CY222" s="483">
        <v>0</v>
      </c>
      <c r="CZ222" s="483">
        <v>0</v>
      </c>
      <c r="DA222" s="483">
        <v>0</v>
      </c>
      <c r="DB222" s="483">
        <v>0</v>
      </c>
      <c r="DC222" s="483" t="s">
        <v>1124</v>
      </c>
      <c r="DD222" s="483" t="s">
        <v>1124</v>
      </c>
      <c r="DE222" s="483" t="str">
        <f>IFERROR(SUM(VLOOKUP($BS222,'État &amp; Plan d''action'!$B$6:$Z$1113,18,FALSE),VLOOKUP($BS222,'État &amp; Plan d''action'!$B$6:$Z$1113,20,FALSE))/(VLOOKUP($BS222,'Données par municipalité'!$B$4:$L$1113,11,FALSE)),"")</f>
        <v/>
      </c>
      <c r="DF222" s="483" t="str">
        <f>IFERROR(SUM(VLOOKUP($BS222,'État &amp; Plan d''action'!$B$6:$Z$1113,19,FALSE),VLOOKUP($BS222,'État &amp; Plan d''action'!$B$6:$Z$1113,21,FALSE))/(VLOOKUP($BS222,'Données par municipalité'!$B$4:$L$1113,11,FALSE)),"")</f>
        <v/>
      </c>
      <c r="DG222" s="476" t="s">
        <v>4723</v>
      </c>
      <c r="DH222" s="484">
        <v>0</v>
      </c>
      <c r="DI222" s="484" t="s">
        <v>1124</v>
      </c>
      <c r="DJ222" s="484">
        <v>0</v>
      </c>
      <c r="DK222" s="484">
        <v>0</v>
      </c>
      <c r="DL222" s="484">
        <v>5</v>
      </c>
      <c r="DM222" s="484" t="s">
        <v>1124</v>
      </c>
      <c r="DN222" s="484" t="s">
        <v>1124</v>
      </c>
      <c r="DO222" s="484" t="s">
        <v>1124</v>
      </c>
      <c r="DP222" s="484" t="s">
        <v>1124</v>
      </c>
      <c r="DQ222" s="484" t="str">
        <f>IF(VLOOKUP($BS222,'État &amp; Plan d''action'!$B$6:$AJ$1113,28,FALSE)="","",VLOOKUP($BS222,'État &amp; Plan d''action'!$B$6:$AJ$1113,28,FALSE))</f>
        <v/>
      </c>
      <c r="DR222" s="70" t="str">
        <f>IF(VLOOKUP($BS222,'État &amp; Plan d''action'!$B$6:$AJ$1113,29,FALSE)="","",VLOOKUP($BS222,'État &amp; Plan d''action'!$B$6:$AJ$1113,29,FALSE))</f>
        <v/>
      </c>
      <c r="DS222" s="70" t="str">
        <f>IF(VLOOKUP($BS222,'État &amp; Plan d''action'!$B$6:$AJ$1113,30,FALSE)="","",VLOOKUP($BS222,'État &amp; Plan d''action'!$B$6:$AJ$1113,30,FALSE))</f>
        <v/>
      </c>
      <c r="DT222" s="70" t="s">
        <v>1124</v>
      </c>
      <c r="DU222" s="485" t="s">
        <v>1124</v>
      </c>
      <c r="DV222" s="485" t="s">
        <v>1124</v>
      </c>
      <c r="DW222" s="70" t="s">
        <v>1124</v>
      </c>
      <c r="DX222" s="70" t="s">
        <v>1124</v>
      </c>
      <c r="DY222" s="70" t="s">
        <v>1124</v>
      </c>
      <c r="DZ222" s="70" t="str">
        <f>VLOOKUP($BS222,'État &amp; Plan d''action'!$B$6:$AH$1113,31,FALSE)</f>
        <v/>
      </c>
      <c r="EA222" s="70" t="str">
        <f>VLOOKUP($BS222,'État &amp; Plan d''action'!$B$6:$AH$1113,32,FALSE)</f>
        <v/>
      </c>
      <c r="EB222" s="70" t="str">
        <f>VLOOKUP($BS222,'État &amp; Plan d''action'!$B$6:$AH$1113,33,FALSE)</f>
        <v/>
      </c>
      <c r="EC222" s="70" t="s">
        <v>1124</v>
      </c>
      <c r="ED222" s="70" t="s">
        <v>1124</v>
      </c>
      <c r="EE222" s="70" t="s">
        <v>1124</v>
      </c>
      <c r="EF222" s="70" t="s">
        <v>1124</v>
      </c>
      <c r="EG222" s="70" t="s">
        <v>1124</v>
      </c>
      <c r="EH222" s="72"/>
      <c r="EI222" s="72">
        <v>3417</v>
      </c>
    </row>
    <row r="223" spans="23:139" x14ac:dyDescent="0.35">
      <c r="BS223" s="486">
        <v>93020</v>
      </c>
      <c r="BT223" s="479" t="s">
        <v>960</v>
      </c>
      <c r="BU223" s="479">
        <v>2</v>
      </c>
      <c r="BV223" s="476" t="s">
        <v>1187</v>
      </c>
      <c r="BW223" s="476" t="s">
        <v>1187</v>
      </c>
      <c r="BX223" s="476" t="s">
        <v>1187</v>
      </c>
      <c r="BY223" s="476" t="s">
        <v>1187</v>
      </c>
      <c r="BZ223" s="476" t="s">
        <v>1187</v>
      </c>
      <c r="CA223" s="476" t="s">
        <v>1187</v>
      </c>
      <c r="CB223" s="476" t="s">
        <v>1187</v>
      </c>
      <c r="CC223" s="476" t="s">
        <v>1187</v>
      </c>
      <c r="CD223" s="476" t="s">
        <v>1187</v>
      </c>
      <c r="CE223" s="476" t="s">
        <v>1188</v>
      </c>
      <c r="CF223" s="476" t="s">
        <v>1188</v>
      </c>
      <c r="CG223" s="476" t="s">
        <v>1188</v>
      </c>
      <c r="CH223" s="476" t="s">
        <v>1188</v>
      </c>
      <c r="CI223" s="476" t="s">
        <v>1188</v>
      </c>
      <c r="CJ223" s="476" t="s">
        <v>1188</v>
      </c>
      <c r="CK223" s="476" t="s">
        <v>1187</v>
      </c>
      <c r="CL223" s="476" t="s">
        <v>1188</v>
      </c>
      <c r="CM223" s="476" t="str">
        <f>IF(VLOOKUP(BS223,'Données par municipalité'!$B$6:$E$1113,4,FALSE)="","non","oui")</f>
        <v>oui</v>
      </c>
      <c r="CN223" s="410">
        <v>461.0601864138805</v>
      </c>
      <c r="CO223" s="410">
        <v>618.24414380321218</v>
      </c>
      <c r="CP223" s="410">
        <v>623.20226933319111</v>
      </c>
      <c r="CQ223" s="410">
        <v>553.83481993847101</v>
      </c>
      <c r="CR223" s="410">
        <v>541.17577040975516</v>
      </c>
      <c r="CS223" s="410">
        <v>524.48812821033789</v>
      </c>
      <c r="CT223" s="410"/>
      <c r="CU223" s="410">
        <v>552</v>
      </c>
      <c r="CV223" s="410">
        <f>IF(VLOOKUP(BS223,'Données par municipalité'!$B$6:$F$1113,4,FALSE)="","",VLOOKUP(BS223,'Données par municipalité'!$B$6:$F$1113,4,FALSE))</f>
        <v>506</v>
      </c>
      <c r="CW223" s="476" t="s">
        <v>4723</v>
      </c>
      <c r="CX223" s="483">
        <v>0.6</v>
      </c>
      <c r="CY223" s="483">
        <v>0.6</v>
      </c>
      <c r="CZ223" s="483">
        <v>1</v>
      </c>
      <c r="DA223" s="483">
        <v>1</v>
      </c>
      <c r="DB223" s="483">
        <v>1</v>
      </c>
      <c r="DC223" s="483" t="s">
        <v>1124</v>
      </c>
      <c r="DD223" s="483">
        <v>1</v>
      </c>
      <c r="DE223" s="483">
        <f>IFERROR(SUM(VLOOKUP($BS223,'État &amp; Plan d''action'!$B$6:$Z$1113,18,FALSE),VLOOKUP($BS223,'État &amp; Plan d''action'!$B$6:$Z$1113,20,FALSE))/(VLOOKUP($BS223,'Données par municipalité'!$B$4:$L$1113,11,FALSE)),"")</f>
        <v>1</v>
      </c>
      <c r="DF223" s="483">
        <f>IFERROR(SUM(VLOOKUP($BS223,'État &amp; Plan d''action'!$B$6:$Z$1113,19,FALSE),VLOOKUP($BS223,'État &amp; Plan d''action'!$B$6:$Z$1113,21,FALSE))/(VLOOKUP($BS223,'Données par municipalité'!$B$4:$L$1113,11,FALSE)),"")</f>
        <v>1</v>
      </c>
      <c r="DG223" s="476" t="s">
        <v>4723</v>
      </c>
      <c r="DH223" s="484" t="s">
        <v>1124</v>
      </c>
      <c r="DI223" s="484" t="s">
        <v>1124</v>
      </c>
      <c r="DJ223" s="484">
        <v>0</v>
      </c>
      <c r="DK223" s="484">
        <v>0</v>
      </c>
      <c r="DL223" s="484">
        <v>3</v>
      </c>
      <c r="DM223" s="484" t="s">
        <v>1124</v>
      </c>
      <c r="DN223" s="484">
        <v>4</v>
      </c>
      <c r="DO223" s="484">
        <v>6</v>
      </c>
      <c r="DP223" s="484">
        <v>0</v>
      </c>
      <c r="DQ223" s="484">
        <f>IF(VLOOKUP($BS223,'État &amp; Plan d''action'!$B$6:$AJ$1113,28,FALSE)="","",VLOOKUP($BS223,'État &amp; Plan d''action'!$B$6:$AJ$1113,28,FALSE))</f>
        <v>1</v>
      </c>
      <c r="DR223" s="70">
        <f>IF(VLOOKUP($BS223,'État &amp; Plan d''action'!$B$6:$AJ$1113,29,FALSE)="","",VLOOKUP($BS223,'État &amp; Plan d''action'!$B$6:$AJ$1113,29,FALSE))</f>
        <v>1</v>
      </c>
      <c r="DS223" s="70">
        <f>IF(VLOOKUP($BS223,'État &amp; Plan d''action'!$B$6:$AJ$1113,30,FALSE)="","",VLOOKUP($BS223,'État &amp; Plan d''action'!$B$6:$AJ$1113,30,FALSE))</f>
        <v>0</v>
      </c>
      <c r="DT223" s="70">
        <v>336</v>
      </c>
      <c r="DU223" s="485">
        <v>4.4405992124223514</v>
      </c>
      <c r="DV223" s="485">
        <v>4.7682754012049573</v>
      </c>
      <c r="DW223" s="70">
        <v>1</v>
      </c>
      <c r="DX223" s="70">
        <v>1</v>
      </c>
      <c r="DY223" s="70">
        <v>0</v>
      </c>
      <c r="DZ223" s="70">
        <f>VLOOKUP($BS223,'État &amp; Plan d''action'!$B$6:$AH$1113,31,FALSE)</f>
        <v>1</v>
      </c>
      <c r="EA223" s="70">
        <f>VLOOKUP($BS223,'État &amp; Plan d''action'!$B$6:$AH$1113,32,FALSE)</f>
        <v>1</v>
      </c>
      <c r="EB223" s="70">
        <f>VLOOKUP($BS223,'État &amp; Plan d''action'!$B$6:$AH$1113,33,FALSE)</f>
        <v>0</v>
      </c>
      <c r="EC223" s="70">
        <v>0</v>
      </c>
      <c r="ED223" s="70">
        <v>65.188999999999993</v>
      </c>
      <c r="EE223" s="70">
        <v>0</v>
      </c>
      <c r="EF223" s="70">
        <v>0</v>
      </c>
      <c r="EG223" s="70">
        <v>0</v>
      </c>
      <c r="EH223" s="72">
        <v>58.905405405405403</v>
      </c>
      <c r="EI223" s="72">
        <v>2572</v>
      </c>
    </row>
    <row r="224" spans="23:139" x14ac:dyDescent="0.35">
      <c r="BS224" s="486">
        <v>93025</v>
      </c>
      <c r="BT224" s="479" t="s">
        <v>961</v>
      </c>
      <c r="BU224" s="479">
        <v>2</v>
      </c>
      <c r="BV224" s="476" t="s">
        <v>1187</v>
      </c>
      <c r="BW224" s="476" t="s">
        <v>1187</v>
      </c>
      <c r="BX224" s="476" t="s">
        <v>1187</v>
      </c>
      <c r="BY224" s="476" t="s">
        <v>1187</v>
      </c>
      <c r="BZ224" s="476" t="s">
        <v>1187</v>
      </c>
      <c r="CA224" s="476" t="s">
        <v>1187</v>
      </c>
      <c r="CB224" s="476" t="s">
        <v>1187</v>
      </c>
      <c r="CC224" s="476" t="s">
        <v>1187</v>
      </c>
      <c r="CD224" s="476" t="s">
        <v>1187</v>
      </c>
      <c r="CE224" s="476" t="s">
        <v>1188</v>
      </c>
      <c r="CF224" s="476" t="s">
        <v>1188</v>
      </c>
      <c r="CG224" s="476" t="s">
        <v>1187</v>
      </c>
      <c r="CH224" s="476" t="s">
        <v>1188</v>
      </c>
      <c r="CI224" s="476" t="s">
        <v>1188</v>
      </c>
      <c r="CJ224" s="476" t="s">
        <v>1188</v>
      </c>
      <c r="CK224" s="476" t="s">
        <v>1188</v>
      </c>
      <c r="CL224" s="476" t="s">
        <v>1187</v>
      </c>
      <c r="CM224" s="476" t="str">
        <f>IF(VLOOKUP(BS224,'Données par municipalité'!$B$6:$E$1113,4,FALSE)="","non","oui")</f>
        <v>oui</v>
      </c>
      <c r="CN224" s="410">
        <v>676.10055168822487</v>
      </c>
      <c r="CO224" s="410">
        <v>664.19543633863054</v>
      </c>
      <c r="CP224" s="410"/>
      <c r="CQ224" s="410">
        <v>616.85811357537227</v>
      </c>
      <c r="CR224" s="410">
        <v>520.94005449302836</v>
      </c>
      <c r="CS224" s="410">
        <v>522.16311841029028</v>
      </c>
      <c r="CT224" s="410">
        <v>516.20630059731366</v>
      </c>
      <c r="CU224" s="410" t="s">
        <v>1124</v>
      </c>
      <c r="CV224" s="410">
        <f>IF(VLOOKUP(BS224,'Données par municipalité'!$B$6:$F$1113,4,FALSE)="","",VLOOKUP(BS224,'Données par municipalité'!$B$6:$F$1113,4,FALSE))</f>
        <v>495</v>
      </c>
      <c r="CW224" s="476" t="s">
        <v>4723</v>
      </c>
      <c r="CX224" s="483">
        <v>0</v>
      </c>
      <c r="CY224" s="483" t="s">
        <v>1124</v>
      </c>
      <c r="CZ224" s="483">
        <v>0</v>
      </c>
      <c r="DA224" s="483">
        <v>1</v>
      </c>
      <c r="DB224" s="483">
        <v>1</v>
      </c>
      <c r="DC224" s="483">
        <v>1</v>
      </c>
      <c r="DD224" s="483" t="s">
        <v>1124</v>
      </c>
      <c r="DE224" s="483">
        <f>IFERROR(SUM(VLOOKUP($BS224,'État &amp; Plan d''action'!$B$6:$Z$1113,18,FALSE),VLOOKUP($BS224,'État &amp; Plan d''action'!$B$6:$Z$1113,20,FALSE))/(VLOOKUP($BS224,'Données par municipalité'!$B$4:$L$1113,11,FALSE)),"")</f>
        <v>0</v>
      </c>
      <c r="DF224" s="483">
        <f>IFERROR(SUM(VLOOKUP($BS224,'État &amp; Plan d''action'!$B$6:$Z$1113,19,FALSE),VLOOKUP($BS224,'État &amp; Plan d''action'!$B$6:$Z$1113,21,FALSE))/(VLOOKUP($BS224,'Données par municipalité'!$B$4:$L$1113,11,FALSE)),"")</f>
        <v>1</v>
      </c>
      <c r="DG224" s="476" t="s">
        <v>4723</v>
      </c>
      <c r="DH224" s="484">
        <v>6</v>
      </c>
      <c r="DI224" s="484">
        <v>6</v>
      </c>
      <c r="DJ224" s="484">
        <v>6</v>
      </c>
      <c r="DK224" s="484">
        <v>4</v>
      </c>
      <c r="DL224" s="484">
        <v>2</v>
      </c>
      <c r="DM224" s="484">
        <v>3</v>
      </c>
      <c r="DN224" s="484" t="s">
        <v>1124</v>
      </c>
      <c r="DO224" s="484" t="s">
        <v>1124</v>
      </c>
      <c r="DP224" s="484" t="s">
        <v>1124</v>
      </c>
      <c r="DQ224" s="484">
        <f>IF(VLOOKUP($BS224,'État &amp; Plan d''action'!$B$6:$AJ$1113,28,FALSE)="","",VLOOKUP($BS224,'État &amp; Plan d''action'!$B$6:$AJ$1113,28,FALSE))</f>
        <v>0</v>
      </c>
      <c r="DR224" s="70">
        <f>IF(VLOOKUP($BS224,'État &amp; Plan d''action'!$B$6:$AJ$1113,29,FALSE)="","",VLOOKUP($BS224,'État &amp; Plan d''action'!$B$6:$AJ$1113,29,FALSE))</f>
        <v>1</v>
      </c>
      <c r="DS224" s="70">
        <f>IF(VLOOKUP($BS224,'État &amp; Plan d''action'!$B$6:$AJ$1113,30,FALSE)="","",VLOOKUP($BS224,'État &amp; Plan d''action'!$B$6:$AJ$1113,30,FALSE))</f>
        <v>0</v>
      </c>
      <c r="DT224" s="70" t="s">
        <v>1124</v>
      </c>
      <c r="DU224" s="485" t="s">
        <v>1124</v>
      </c>
      <c r="DV224" s="485">
        <v>6.9373537189751673</v>
      </c>
      <c r="DW224" s="70" t="s">
        <v>1124</v>
      </c>
      <c r="DX224" s="70" t="s">
        <v>1124</v>
      </c>
      <c r="DY224" s="70" t="s">
        <v>1124</v>
      </c>
      <c r="DZ224" s="70">
        <f>VLOOKUP($BS224,'État &amp; Plan d''action'!$B$6:$AH$1113,31,FALSE)</f>
        <v>0</v>
      </c>
      <c r="EA224" s="70">
        <f>VLOOKUP($BS224,'État &amp; Plan d''action'!$B$6:$AH$1113,32,FALSE)</f>
        <v>2</v>
      </c>
      <c r="EB224" s="70">
        <f>VLOOKUP($BS224,'État &amp; Plan d''action'!$B$6:$AH$1113,33,FALSE)</f>
        <v>0</v>
      </c>
      <c r="EC224" s="70" t="s">
        <v>1124</v>
      </c>
      <c r="ED224" s="70" t="s">
        <v>1124</v>
      </c>
      <c r="EE224" s="70" t="s">
        <v>1124</v>
      </c>
      <c r="EF224" s="70" t="s">
        <v>1124</v>
      </c>
      <c r="EG224" s="70" t="s">
        <v>1124</v>
      </c>
      <c r="EH224" s="72"/>
      <c r="EI224" s="72">
        <v>1321</v>
      </c>
    </row>
    <row r="225" spans="1:139" x14ac:dyDescent="0.35">
      <c r="AN225" s="437"/>
      <c r="BS225" s="486">
        <v>68015</v>
      </c>
      <c r="BT225" s="479" t="s">
        <v>675</v>
      </c>
      <c r="BU225" s="479">
        <v>16</v>
      </c>
      <c r="BV225" s="476" t="s">
        <v>1188</v>
      </c>
      <c r="BW225" s="476" t="s">
        <v>1188</v>
      </c>
      <c r="BX225" s="476" t="s">
        <v>1188</v>
      </c>
      <c r="BY225" s="476" t="s">
        <v>1188</v>
      </c>
      <c r="BZ225" s="476" t="s">
        <v>1188</v>
      </c>
      <c r="CA225" s="476" t="s">
        <v>1188</v>
      </c>
      <c r="CB225" s="476" t="s">
        <v>1188</v>
      </c>
      <c r="CC225" s="476" t="s">
        <v>1188</v>
      </c>
      <c r="CD225" s="476" t="s">
        <v>1188</v>
      </c>
      <c r="CE225" s="476" t="s">
        <v>1187</v>
      </c>
      <c r="CF225" s="476" t="s">
        <v>1187</v>
      </c>
      <c r="CG225" s="476" t="s">
        <v>1187</v>
      </c>
      <c r="CH225" s="476" t="s">
        <v>1187</v>
      </c>
      <c r="CI225" s="476" t="s">
        <v>1187</v>
      </c>
      <c r="CJ225" s="476" t="s">
        <v>1187</v>
      </c>
      <c r="CK225" s="476" t="s">
        <v>1187</v>
      </c>
      <c r="CL225" s="476" t="s">
        <v>1187</v>
      </c>
      <c r="CM225" s="476" t="str">
        <f>IF(VLOOKUP(BS225,'Données par municipalité'!$B$6:$E$1113,4,FALSE)="","non","oui")</f>
        <v>non</v>
      </c>
      <c r="CN225" s="410" t="s">
        <v>1124</v>
      </c>
      <c r="CO225" s="410" t="s">
        <v>1124</v>
      </c>
      <c r="CP225" s="410"/>
      <c r="CQ225" s="410"/>
      <c r="CR225" s="410"/>
      <c r="CS225" s="410" t="s">
        <v>1124</v>
      </c>
      <c r="CT225" s="410"/>
      <c r="CU225" s="410" t="s">
        <v>1124</v>
      </c>
      <c r="CV225" s="410" t="str">
        <f>IF(VLOOKUP(BS225,'Données par municipalité'!$B$6:$F$1113,4,FALSE)="","",VLOOKUP(BS225,'Données par municipalité'!$B$6:$F$1113,4,FALSE))</f>
        <v/>
      </c>
      <c r="CW225" s="476" t="s">
        <v>4723</v>
      </c>
      <c r="CX225" s="483" t="s">
        <v>1124</v>
      </c>
      <c r="CY225" s="483" t="s">
        <v>1124</v>
      </c>
      <c r="CZ225" s="483" t="s">
        <v>1124</v>
      </c>
      <c r="DA225" s="483" t="s">
        <v>1124</v>
      </c>
      <c r="DB225" s="483" t="s">
        <v>1124</v>
      </c>
      <c r="DC225" s="483" t="s">
        <v>1124</v>
      </c>
      <c r="DD225" s="483" t="s">
        <v>1124</v>
      </c>
      <c r="DE225" s="483" t="str">
        <f>IFERROR(SUM(VLOOKUP($BS225,'État &amp; Plan d''action'!$B$6:$Z$1113,18,FALSE),VLOOKUP($BS225,'État &amp; Plan d''action'!$B$6:$Z$1113,20,FALSE))/(VLOOKUP($BS225,'Données par municipalité'!$B$4:$L$1113,11,FALSE)),"")</f>
        <v/>
      </c>
      <c r="DF225" s="483" t="str">
        <f>IFERROR(SUM(VLOOKUP($BS225,'État &amp; Plan d''action'!$B$6:$Z$1113,19,FALSE),VLOOKUP($BS225,'État &amp; Plan d''action'!$B$6:$Z$1113,21,FALSE))/(VLOOKUP($BS225,'Données par municipalité'!$B$4:$L$1113,11,FALSE)),"")</f>
        <v/>
      </c>
      <c r="DG225" s="476" t="s">
        <v>4723</v>
      </c>
      <c r="DH225" s="484" t="s">
        <v>1124</v>
      </c>
      <c r="DI225" s="484" t="s">
        <v>1124</v>
      </c>
      <c r="DJ225" s="484">
        <v>0</v>
      </c>
      <c r="DK225" s="484">
        <v>0</v>
      </c>
      <c r="DL225" s="484" t="s">
        <v>1124</v>
      </c>
      <c r="DM225" s="484" t="s">
        <v>1124</v>
      </c>
      <c r="DN225" s="484" t="s">
        <v>1124</v>
      </c>
      <c r="DO225" s="484" t="s">
        <v>1124</v>
      </c>
      <c r="DP225" s="484" t="s">
        <v>1124</v>
      </c>
      <c r="DQ225" s="484" t="str">
        <f>IF(VLOOKUP($BS225,'État &amp; Plan d''action'!$B$6:$AJ$1113,28,FALSE)="","",VLOOKUP($BS225,'État &amp; Plan d''action'!$B$6:$AJ$1113,28,FALSE))</f>
        <v/>
      </c>
      <c r="DR225" s="70" t="str">
        <f>IF(VLOOKUP($BS225,'État &amp; Plan d''action'!$B$6:$AJ$1113,29,FALSE)="","",VLOOKUP($BS225,'État &amp; Plan d''action'!$B$6:$AJ$1113,29,FALSE))</f>
        <v/>
      </c>
      <c r="DS225" s="70" t="str">
        <f>IF(VLOOKUP($BS225,'État &amp; Plan d''action'!$B$6:$AJ$1113,30,FALSE)="","",VLOOKUP($BS225,'État &amp; Plan d''action'!$B$6:$AJ$1113,30,FALSE))</f>
        <v/>
      </c>
      <c r="DT225" s="70" t="s">
        <v>1124</v>
      </c>
      <c r="DU225" s="485" t="s">
        <v>1124</v>
      </c>
      <c r="DV225" s="485" t="s">
        <v>1124</v>
      </c>
      <c r="DW225" s="70" t="s">
        <v>1124</v>
      </c>
      <c r="DX225" s="70" t="s">
        <v>1124</v>
      </c>
      <c r="DY225" s="70" t="s">
        <v>1124</v>
      </c>
      <c r="DZ225" s="70" t="str">
        <f>VLOOKUP($BS225,'État &amp; Plan d''action'!$B$6:$AH$1113,31,FALSE)</f>
        <v/>
      </c>
      <c r="EA225" s="70" t="str">
        <f>VLOOKUP($BS225,'État &amp; Plan d''action'!$B$6:$AH$1113,32,FALSE)</f>
        <v/>
      </c>
      <c r="EB225" s="70" t="str">
        <f>VLOOKUP($BS225,'État &amp; Plan d''action'!$B$6:$AH$1113,33,FALSE)</f>
        <v/>
      </c>
      <c r="EC225" s="70" t="s">
        <v>1124</v>
      </c>
      <c r="ED225" s="70" t="s">
        <v>1124</v>
      </c>
      <c r="EE225" s="70" t="s">
        <v>1124</v>
      </c>
      <c r="EF225" s="70" t="s">
        <v>1124</v>
      </c>
      <c r="EG225" s="70" t="s">
        <v>1124</v>
      </c>
      <c r="EH225" s="72"/>
      <c r="EI225" s="72">
        <v>1947</v>
      </c>
    </row>
    <row r="226" spans="1:139" x14ac:dyDescent="0.35">
      <c r="A226" s="355" t="str">
        <f>W21</f>
        <v/>
      </c>
      <c r="BS226" s="486">
        <v>68010</v>
      </c>
      <c r="BT226" s="479" t="s">
        <v>674</v>
      </c>
      <c r="BU226" s="479">
        <v>16</v>
      </c>
      <c r="BV226" s="476" t="s">
        <v>1187</v>
      </c>
      <c r="BW226" s="476" t="s">
        <v>1187</v>
      </c>
      <c r="BX226" s="476" t="s">
        <v>1187</v>
      </c>
      <c r="BY226" s="476" t="s">
        <v>1187</v>
      </c>
      <c r="BZ226" s="476" t="s">
        <v>1187</v>
      </c>
      <c r="CA226" s="476" t="s">
        <v>1187</v>
      </c>
      <c r="CB226" s="476" t="s">
        <v>1187</v>
      </c>
      <c r="CC226" s="476" t="s">
        <v>1187</v>
      </c>
      <c r="CD226" s="476" t="s">
        <v>1187</v>
      </c>
      <c r="CE226" s="476" t="s">
        <v>1187</v>
      </c>
      <c r="CF226" s="476" t="s">
        <v>1187</v>
      </c>
      <c r="CG226" s="476" t="s">
        <v>1187</v>
      </c>
      <c r="CH226" s="476" t="s">
        <v>1187</v>
      </c>
      <c r="CI226" s="476" t="s">
        <v>1187</v>
      </c>
      <c r="CJ226" s="476" t="s">
        <v>1188</v>
      </c>
      <c r="CK226" s="476" t="s">
        <v>1188</v>
      </c>
      <c r="CL226" s="476" t="s">
        <v>1188</v>
      </c>
      <c r="CM226" s="476" t="str">
        <f>IF(VLOOKUP(BS226,'Données par municipalité'!$B$6:$E$1113,4,FALSE)="","non","oui")</f>
        <v>oui</v>
      </c>
      <c r="CN226" s="410" t="s">
        <v>1124</v>
      </c>
      <c r="CO226" s="410" t="s">
        <v>1124</v>
      </c>
      <c r="CP226" s="410"/>
      <c r="CQ226" s="410"/>
      <c r="CR226" s="410"/>
      <c r="CS226" s="410">
        <v>326.50639276511561</v>
      </c>
      <c r="CT226" s="410">
        <v>286.53029062537985</v>
      </c>
      <c r="CU226" s="410">
        <v>327</v>
      </c>
      <c r="CV226" s="410">
        <f>IF(VLOOKUP(BS226,'Données par municipalité'!$B$6:$F$1113,4,FALSE)="","",VLOOKUP(BS226,'Données par municipalité'!$B$6:$F$1113,4,FALSE))</f>
        <v>305</v>
      </c>
      <c r="CW226" s="476" t="s">
        <v>4723</v>
      </c>
      <c r="CX226" s="483" t="s">
        <v>1124</v>
      </c>
      <c r="CY226" s="483" t="s">
        <v>1124</v>
      </c>
      <c r="CZ226" s="483" t="s">
        <v>1124</v>
      </c>
      <c r="DA226" s="483" t="s">
        <v>1124</v>
      </c>
      <c r="DB226" s="483">
        <v>0</v>
      </c>
      <c r="DC226" s="483">
        <v>0</v>
      </c>
      <c r="DD226" s="483">
        <v>0.59753687091379049</v>
      </c>
      <c r="DE226" s="483">
        <f>IFERROR(SUM(VLOOKUP($BS226,'État &amp; Plan d''action'!$B$6:$Z$1113,18,FALSE),VLOOKUP($BS226,'État &amp; Plan d''action'!$B$6:$Z$1113,20,FALSE))/(VLOOKUP($BS226,'Données par municipalité'!$B$4:$L$1113,11,FALSE)),"")</f>
        <v>0.23715415019762845</v>
      </c>
      <c r="DF226" s="483">
        <f>IFERROR(SUM(VLOOKUP($BS226,'État &amp; Plan d''action'!$B$6:$Z$1113,19,FALSE),VLOOKUP($BS226,'État &amp; Plan d''action'!$B$6:$Z$1113,21,FALSE))/(VLOOKUP($BS226,'Données par municipalité'!$B$4:$L$1113,11,FALSE)),"")</f>
        <v>0.39525691699604742</v>
      </c>
      <c r="DG226" s="476" t="s">
        <v>4723</v>
      </c>
      <c r="DH226" s="484">
        <v>4</v>
      </c>
      <c r="DI226" s="484">
        <v>1</v>
      </c>
      <c r="DJ226" s="484">
        <v>4</v>
      </c>
      <c r="DK226" s="484">
        <v>1</v>
      </c>
      <c r="DL226" s="484">
        <v>1</v>
      </c>
      <c r="DM226" s="484">
        <v>2</v>
      </c>
      <c r="DN226" s="484">
        <v>3</v>
      </c>
      <c r="DO226" s="484">
        <v>0</v>
      </c>
      <c r="DP226" s="484">
        <v>0</v>
      </c>
      <c r="DQ226" s="484">
        <f>IF(VLOOKUP($BS226,'État &amp; Plan d''action'!$B$6:$AJ$1113,28,FALSE)="","",VLOOKUP($BS226,'État &amp; Plan d''action'!$B$6:$AJ$1113,28,FALSE))</f>
        <v>4</v>
      </c>
      <c r="DR226" s="70">
        <f>IF(VLOOKUP($BS226,'État &amp; Plan d''action'!$B$6:$AJ$1113,29,FALSE)="","",VLOOKUP($BS226,'État &amp; Plan d''action'!$B$6:$AJ$1113,29,FALSE))</f>
        <v>0</v>
      </c>
      <c r="DS226" s="70">
        <f>IF(VLOOKUP($BS226,'État &amp; Plan d''action'!$B$6:$AJ$1113,30,FALSE)="","",VLOOKUP($BS226,'État &amp; Plan d''action'!$B$6:$AJ$1113,30,FALSE))</f>
        <v>0</v>
      </c>
      <c r="DT226" s="70">
        <v>267</v>
      </c>
      <c r="DU226" s="485">
        <v>1.8184220961550452</v>
      </c>
      <c r="DV226" s="485">
        <v>2.1389541626502915</v>
      </c>
      <c r="DW226" s="70">
        <v>3</v>
      </c>
      <c r="DX226" s="70">
        <v>0</v>
      </c>
      <c r="DY226" s="70">
        <v>0</v>
      </c>
      <c r="DZ226" s="70">
        <f>VLOOKUP($BS226,'État &amp; Plan d''action'!$B$6:$AH$1113,31,FALSE)</f>
        <v>2</v>
      </c>
      <c r="EA226" s="70">
        <f>VLOOKUP($BS226,'État &amp; Plan d''action'!$B$6:$AH$1113,32,FALSE)</f>
        <v>0</v>
      </c>
      <c r="EB226" s="70">
        <f>VLOOKUP($BS226,'État &amp; Plan d''action'!$B$6:$AH$1113,33,FALSE)</f>
        <v>0</v>
      </c>
      <c r="EC226" s="70">
        <v>0</v>
      </c>
      <c r="ED226" s="70">
        <v>3.93</v>
      </c>
      <c r="EE226" s="70">
        <v>0</v>
      </c>
      <c r="EF226" s="70">
        <v>0</v>
      </c>
      <c r="EG226" s="70">
        <v>0</v>
      </c>
      <c r="EH226" s="72">
        <v>54</v>
      </c>
      <c r="EI226" s="72">
        <v>774</v>
      </c>
    </row>
    <row r="227" spans="1:139" x14ac:dyDescent="0.35">
      <c r="BS227" s="486">
        <v>56042</v>
      </c>
      <c r="BT227" s="479" t="s">
        <v>573</v>
      </c>
      <c r="BU227" s="479">
        <v>16</v>
      </c>
      <c r="BV227" s="476" t="s">
        <v>1187</v>
      </c>
      <c r="BW227" s="476" t="s">
        <v>1187</v>
      </c>
      <c r="BX227" s="476" t="s">
        <v>1187</v>
      </c>
      <c r="BY227" s="476" t="s">
        <v>1187</v>
      </c>
      <c r="BZ227" s="476" t="s">
        <v>1187</v>
      </c>
      <c r="CA227" s="476" t="s">
        <v>1187</v>
      </c>
      <c r="CB227" s="476" t="s">
        <v>1187</v>
      </c>
      <c r="CC227" s="476" t="s">
        <v>1187</v>
      </c>
      <c r="CD227" s="476" t="s">
        <v>1187</v>
      </c>
      <c r="CE227" s="476" t="s">
        <v>1188</v>
      </c>
      <c r="CF227" s="476" t="s">
        <v>1188</v>
      </c>
      <c r="CG227" s="476" t="s">
        <v>1188</v>
      </c>
      <c r="CH227" s="476" t="s">
        <v>1188</v>
      </c>
      <c r="CI227" s="476" t="s">
        <v>1188</v>
      </c>
      <c r="CJ227" s="476" t="s">
        <v>1188</v>
      </c>
      <c r="CK227" s="476" t="s">
        <v>1188</v>
      </c>
      <c r="CL227" s="476" t="s">
        <v>1187</v>
      </c>
      <c r="CM227" s="476" t="str">
        <f>IF(VLOOKUP(BS227,'Données par municipalité'!$B$6:$E$1113,4,FALSE)="","non","oui")</f>
        <v>non</v>
      </c>
      <c r="CN227" s="410">
        <v>340.55272776961704</v>
      </c>
      <c r="CO227" s="410">
        <v>324.33261109521277</v>
      </c>
      <c r="CP227" s="410">
        <v>394.01448481488114</v>
      </c>
      <c r="CQ227" s="410">
        <v>255.91752983761322</v>
      </c>
      <c r="CR227" s="410">
        <v>309.11901081916534</v>
      </c>
      <c r="CS227" s="410">
        <v>293.0719905865331</v>
      </c>
      <c r="CT227" s="410">
        <v>282.41933657873881</v>
      </c>
      <c r="CU227" s="410" t="s">
        <v>1124</v>
      </c>
      <c r="CV227" s="410" t="str">
        <f>IF(VLOOKUP(BS227,'Données par municipalité'!$B$6:$F$1113,4,FALSE)="","",VLOOKUP(BS227,'Données par municipalité'!$B$6:$F$1113,4,FALSE))</f>
        <v/>
      </c>
      <c r="CW227" s="476" t="s">
        <v>4723</v>
      </c>
      <c r="CX227" s="483">
        <v>0.5</v>
      </c>
      <c r="CY227" s="483">
        <v>0</v>
      </c>
      <c r="CZ227" s="483">
        <v>0</v>
      </c>
      <c r="DA227" s="483">
        <v>0.25</v>
      </c>
      <c r="DB227" s="483">
        <v>0.75</v>
      </c>
      <c r="DC227" s="483">
        <v>0.1</v>
      </c>
      <c r="DD227" s="483" t="s">
        <v>1124</v>
      </c>
      <c r="DE227" s="483" t="str">
        <f>IFERROR(SUM(VLOOKUP($BS227,'État &amp; Plan d''action'!$B$6:$Z$1113,18,FALSE),VLOOKUP($BS227,'État &amp; Plan d''action'!$B$6:$Z$1113,20,FALSE))/(VLOOKUP($BS227,'Données par municipalité'!$B$4:$L$1113,11,FALSE)),"")</f>
        <v/>
      </c>
      <c r="DF227" s="483" t="str">
        <f>IFERROR(SUM(VLOOKUP($BS227,'État &amp; Plan d''action'!$B$6:$Z$1113,19,FALSE),VLOOKUP($BS227,'État &amp; Plan d''action'!$B$6:$Z$1113,21,FALSE))/(VLOOKUP($BS227,'Données par municipalité'!$B$4:$L$1113,11,FALSE)),"")</f>
        <v/>
      </c>
      <c r="DG227" s="476" t="s">
        <v>4723</v>
      </c>
      <c r="DH227" s="484">
        <v>0</v>
      </c>
      <c r="DI227" s="484">
        <v>1</v>
      </c>
      <c r="DJ227" s="484">
        <v>1</v>
      </c>
      <c r="DK227" s="484">
        <v>1</v>
      </c>
      <c r="DL227" s="484">
        <v>0</v>
      </c>
      <c r="DM227" s="484">
        <v>0</v>
      </c>
      <c r="DN227" s="484" t="s">
        <v>1124</v>
      </c>
      <c r="DO227" s="484" t="s">
        <v>1124</v>
      </c>
      <c r="DP227" s="484" t="s">
        <v>1124</v>
      </c>
      <c r="DQ227" s="484" t="str">
        <f>IF(VLOOKUP($BS227,'État &amp; Plan d''action'!$B$6:$AJ$1113,28,FALSE)="","",VLOOKUP($BS227,'État &amp; Plan d''action'!$B$6:$AJ$1113,28,FALSE))</f>
        <v/>
      </c>
      <c r="DR227" s="70" t="str">
        <f>IF(VLOOKUP($BS227,'État &amp; Plan d''action'!$B$6:$AJ$1113,29,FALSE)="","",VLOOKUP($BS227,'État &amp; Plan d''action'!$B$6:$AJ$1113,29,FALSE))</f>
        <v/>
      </c>
      <c r="DS227" s="70" t="str">
        <f>IF(VLOOKUP($BS227,'État &amp; Plan d''action'!$B$6:$AJ$1113,30,FALSE)="","",VLOOKUP($BS227,'État &amp; Plan d''action'!$B$6:$AJ$1113,30,FALSE))</f>
        <v/>
      </c>
      <c r="DT227" s="70" t="s">
        <v>1124</v>
      </c>
      <c r="DU227" s="485" t="s">
        <v>1124</v>
      </c>
      <c r="DV227" s="485" t="s">
        <v>1124</v>
      </c>
      <c r="DW227" s="70" t="s">
        <v>1124</v>
      </c>
      <c r="DX227" s="70" t="s">
        <v>1124</v>
      </c>
      <c r="DY227" s="70" t="s">
        <v>1124</v>
      </c>
      <c r="DZ227" s="70" t="str">
        <f>VLOOKUP($BS227,'État &amp; Plan d''action'!$B$6:$AH$1113,31,FALSE)</f>
        <v/>
      </c>
      <c r="EA227" s="70" t="str">
        <f>VLOOKUP($BS227,'État &amp; Plan d''action'!$B$6:$AH$1113,32,FALSE)</f>
        <v/>
      </c>
      <c r="EB227" s="70" t="str">
        <f>VLOOKUP($BS227,'État &amp; Plan d''action'!$B$6:$AH$1113,33,FALSE)</f>
        <v/>
      </c>
      <c r="EC227" s="70" t="s">
        <v>1124</v>
      </c>
      <c r="ED227" s="70" t="s">
        <v>1124</v>
      </c>
      <c r="EE227" s="70" t="s">
        <v>1124</v>
      </c>
      <c r="EF227" s="70" t="s">
        <v>1124</v>
      </c>
      <c r="EG227" s="70" t="s">
        <v>1124</v>
      </c>
      <c r="EH227" s="72"/>
      <c r="EI227" s="72">
        <v>1446</v>
      </c>
    </row>
    <row r="228" spans="1:139" x14ac:dyDescent="0.35">
      <c r="BS228" s="486">
        <v>35035</v>
      </c>
      <c r="BT228" s="479" t="s">
        <v>308</v>
      </c>
      <c r="BU228" s="479">
        <v>4</v>
      </c>
      <c r="BV228" s="476" t="s">
        <v>1187</v>
      </c>
      <c r="BW228" s="476" t="s">
        <v>1187</v>
      </c>
      <c r="BX228" s="476" t="s">
        <v>1187</v>
      </c>
      <c r="BY228" s="476" t="s">
        <v>1187</v>
      </c>
      <c r="BZ228" s="476" t="s">
        <v>1187</v>
      </c>
      <c r="CA228" s="476" t="s">
        <v>1187</v>
      </c>
      <c r="CB228" s="476" t="s">
        <v>1187</v>
      </c>
      <c r="CC228" s="476" t="s">
        <v>1187</v>
      </c>
      <c r="CD228" s="476" t="s">
        <v>1187</v>
      </c>
      <c r="CE228" s="476" t="s">
        <v>1188</v>
      </c>
      <c r="CF228" s="476" t="s">
        <v>1188</v>
      </c>
      <c r="CG228" s="476" t="s">
        <v>1187</v>
      </c>
      <c r="CH228" s="476" t="s">
        <v>1187</v>
      </c>
      <c r="CI228" s="476" t="s">
        <v>1188</v>
      </c>
      <c r="CJ228" s="476" t="s">
        <v>1187</v>
      </c>
      <c r="CK228" s="476" t="s">
        <v>1187</v>
      </c>
      <c r="CL228" s="476" t="s">
        <v>1188</v>
      </c>
      <c r="CM228" s="476" t="str">
        <f>IF(VLOOKUP(BS228,'Données par municipalité'!$B$6:$E$1113,4,FALSE)="","non","oui")</f>
        <v>non</v>
      </c>
      <c r="CN228" s="410">
        <v>408.67311623714244</v>
      </c>
      <c r="CO228" s="410">
        <v>497.98547965042269</v>
      </c>
      <c r="CP228" s="410"/>
      <c r="CQ228" s="410"/>
      <c r="CR228" s="410">
        <v>440.81235202097082</v>
      </c>
      <c r="CS228" s="410" t="s">
        <v>1124</v>
      </c>
      <c r="CT228" s="410"/>
      <c r="CU228" s="410">
        <v>453</v>
      </c>
      <c r="CV228" s="410" t="str">
        <f>IF(VLOOKUP(BS228,'Données par municipalité'!$B$6:$F$1113,4,FALSE)="","",VLOOKUP(BS228,'Données par municipalité'!$B$6:$F$1113,4,FALSE))</f>
        <v/>
      </c>
      <c r="CW228" s="476" t="s">
        <v>4723</v>
      </c>
      <c r="CX228" s="483">
        <v>0</v>
      </c>
      <c r="CY228" s="483" t="s">
        <v>1124</v>
      </c>
      <c r="CZ228" s="483" t="s">
        <v>1124</v>
      </c>
      <c r="DA228" s="483">
        <v>0.75</v>
      </c>
      <c r="DB228" s="483" t="s">
        <v>1124</v>
      </c>
      <c r="DC228" s="483" t="s">
        <v>1124</v>
      </c>
      <c r="DD228" s="483">
        <v>1.0982294751433432</v>
      </c>
      <c r="DE228" s="483" t="str">
        <f>IFERROR(SUM(VLOOKUP($BS228,'État &amp; Plan d''action'!$B$6:$Z$1113,18,FALSE),VLOOKUP($BS228,'État &amp; Plan d''action'!$B$6:$Z$1113,20,FALSE))/(VLOOKUP($BS228,'Données par municipalité'!$B$4:$L$1113,11,FALSE)),"")</f>
        <v/>
      </c>
      <c r="DF228" s="483" t="str">
        <f>IFERROR(SUM(VLOOKUP($BS228,'État &amp; Plan d''action'!$B$6:$Z$1113,19,FALSE),VLOOKUP($BS228,'État &amp; Plan d''action'!$B$6:$Z$1113,21,FALSE))/(VLOOKUP($BS228,'Données par municipalité'!$B$4:$L$1113,11,FALSE)),"")</f>
        <v/>
      </c>
      <c r="DG228" s="476" t="s">
        <v>4723</v>
      </c>
      <c r="DH228" s="484">
        <v>4</v>
      </c>
      <c r="DI228" s="484" t="s">
        <v>1124</v>
      </c>
      <c r="DJ228" s="484">
        <v>0</v>
      </c>
      <c r="DK228" s="484">
        <v>10</v>
      </c>
      <c r="DL228" s="484" t="s">
        <v>1124</v>
      </c>
      <c r="DM228" s="484" t="s">
        <v>1124</v>
      </c>
      <c r="DN228" s="484">
        <v>0</v>
      </c>
      <c r="DO228" s="484">
        <v>4</v>
      </c>
      <c r="DP228" s="484">
        <v>2</v>
      </c>
      <c r="DQ228" s="484" t="str">
        <f>IF(VLOOKUP($BS228,'État &amp; Plan d''action'!$B$6:$AJ$1113,28,FALSE)="","",VLOOKUP($BS228,'État &amp; Plan d''action'!$B$6:$AJ$1113,28,FALSE))</f>
        <v/>
      </c>
      <c r="DR228" s="70" t="str">
        <f>IF(VLOOKUP($BS228,'État &amp; Plan d''action'!$B$6:$AJ$1113,29,FALSE)="","",VLOOKUP($BS228,'État &amp; Plan d''action'!$B$6:$AJ$1113,29,FALSE))</f>
        <v/>
      </c>
      <c r="DS228" s="70" t="str">
        <f>IF(VLOOKUP($BS228,'État &amp; Plan d''action'!$B$6:$AJ$1113,30,FALSE)="","",VLOOKUP($BS228,'État &amp; Plan d''action'!$B$6:$AJ$1113,30,FALSE))</f>
        <v/>
      </c>
      <c r="DT228" s="70">
        <v>299</v>
      </c>
      <c r="DU228" s="485">
        <v>2.1968245611705632</v>
      </c>
      <c r="DV228" s="485" t="s">
        <v>1124</v>
      </c>
      <c r="DW228" s="70">
        <v>0</v>
      </c>
      <c r="DX228" s="70">
        <v>2</v>
      </c>
      <c r="DY228" s="70">
        <v>5</v>
      </c>
      <c r="DZ228" s="70" t="str">
        <f>VLOOKUP($BS228,'État &amp; Plan d''action'!$B$6:$AH$1113,31,FALSE)</f>
        <v/>
      </c>
      <c r="EA228" s="70" t="str">
        <f>VLOOKUP($BS228,'État &amp; Plan d''action'!$B$6:$AH$1113,32,FALSE)</f>
        <v/>
      </c>
      <c r="EB228" s="70" t="str">
        <f>VLOOKUP($BS228,'État &amp; Plan d''action'!$B$6:$AH$1113,33,FALSE)</f>
        <v/>
      </c>
      <c r="EC228" s="70">
        <v>0</v>
      </c>
      <c r="ED228" s="70">
        <v>0</v>
      </c>
      <c r="EE228" s="70">
        <v>34.86</v>
      </c>
      <c r="EF228" s="70">
        <v>0</v>
      </c>
      <c r="EG228" s="70">
        <v>0</v>
      </c>
      <c r="EH228" s="72">
        <v>54.5</v>
      </c>
      <c r="EI228" s="72">
        <v>1306</v>
      </c>
    </row>
    <row r="229" spans="1:139" x14ac:dyDescent="0.35">
      <c r="BS229" s="486">
        <v>69045</v>
      </c>
      <c r="BT229" s="479" t="s">
        <v>690</v>
      </c>
      <c r="BU229" s="479">
        <v>16</v>
      </c>
      <c r="BV229" s="476" t="s">
        <v>1188</v>
      </c>
      <c r="BW229" s="476" t="s">
        <v>1188</v>
      </c>
      <c r="BX229" s="476" t="s">
        <v>1188</v>
      </c>
      <c r="BY229" s="476" t="s">
        <v>1188</v>
      </c>
      <c r="BZ229" s="476" t="s">
        <v>1188</v>
      </c>
      <c r="CA229" s="476" t="s">
        <v>1188</v>
      </c>
      <c r="CB229" s="476" t="s">
        <v>1188</v>
      </c>
      <c r="CC229" s="476" t="s">
        <v>1188</v>
      </c>
      <c r="CD229" s="476" t="s">
        <v>1188</v>
      </c>
      <c r="CE229" s="476" t="s">
        <v>1187</v>
      </c>
      <c r="CF229" s="476" t="s">
        <v>1187</v>
      </c>
      <c r="CG229" s="476" t="s">
        <v>1187</v>
      </c>
      <c r="CH229" s="476" t="s">
        <v>1187</v>
      </c>
      <c r="CI229" s="476" t="s">
        <v>1187</v>
      </c>
      <c r="CJ229" s="476" t="s">
        <v>1187</v>
      </c>
      <c r="CK229" s="476" t="s">
        <v>1187</v>
      </c>
      <c r="CL229" s="476" t="s">
        <v>1187</v>
      </c>
      <c r="CM229" s="476" t="str">
        <f>IF(VLOOKUP(BS229,'Données par municipalité'!$B$6:$E$1113,4,FALSE)="","non","oui")</f>
        <v>non</v>
      </c>
      <c r="CN229" s="410" t="s">
        <v>1124</v>
      </c>
      <c r="CO229" s="410" t="s">
        <v>1124</v>
      </c>
      <c r="CP229" s="410"/>
      <c r="CQ229" s="410"/>
      <c r="CR229" s="410"/>
      <c r="CS229" s="410" t="s">
        <v>1124</v>
      </c>
      <c r="CT229" s="410"/>
      <c r="CU229" s="410" t="s">
        <v>1124</v>
      </c>
      <c r="CV229" s="410" t="str">
        <f>IF(VLOOKUP(BS229,'Données par municipalité'!$B$6:$F$1113,4,FALSE)="","",VLOOKUP(BS229,'Données par municipalité'!$B$6:$F$1113,4,FALSE))</f>
        <v/>
      </c>
      <c r="CW229" s="476" t="s">
        <v>4723</v>
      </c>
      <c r="CX229" s="483" t="s">
        <v>1124</v>
      </c>
      <c r="CY229" s="483" t="s">
        <v>1124</v>
      </c>
      <c r="CZ229" s="483" t="s">
        <v>1124</v>
      </c>
      <c r="DA229" s="483" t="s">
        <v>1124</v>
      </c>
      <c r="DB229" s="483" t="s">
        <v>1124</v>
      </c>
      <c r="DC229" s="483" t="s">
        <v>1124</v>
      </c>
      <c r="DD229" s="483" t="s">
        <v>1124</v>
      </c>
      <c r="DE229" s="483" t="str">
        <f>IFERROR(SUM(VLOOKUP($BS229,'État &amp; Plan d''action'!$B$6:$Z$1113,18,FALSE),VLOOKUP($BS229,'État &amp; Plan d''action'!$B$6:$Z$1113,20,FALSE))/(VLOOKUP($BS229,'Données par municipalité'!$B$4:$L$1113,11,FALSE)),"")</f>
        <v/>
      </c>
      <c r="DF229" s="483" t="str">
        <f>IFERROR(SUM(VLOOKUP($BS229,'État &amp; Plan d''action'!$B$6:$Z$1113,19,FALSE),VLOOKUP($BS229,'État &amp; Plan d''action'!$B$6:$Z$1113,21,FALSE))/(VLOOKUP($BS229,'Données par municipalité'!$B$4:$L$1113,11,FALSE)),"")</f>
        <v/>
      </c>
      <c r="DG229" s="476" t="s">
        <v>4723</v>
      </c>
      <c r="DH229" s="484" t="s">
        <v>1124</v>
      </c>
      <c r="DI229" s="484" t="s">
        <v>1124</v>
      </c>
      <c r="DJ229" s="484">
        <v>0</v>
      </c>
      <c r="DK229" s="484">
        <v>0</v>
      </c>
      <c r="DL229" s="484" t="s">
        <v>1124</v>
      </c>
      <c r="DM229" s="484" t="s">
        <v>1124</v>
      </c>
      <c r="DN229" s="484" t="s">
        <v>1124</v>
      </c>
      <c r="DO229" s="484" t="s">
        <v>1124</v>
      </c>
      <c r="DP229" s="484" t="s">
        <v>1124</v>
      </c>
      <c r="DQ229" s="484" t="str">
        <f>IF(VLOOKUP($BS229,'État &amp; Plan d''action'!$B$6:$AJ$1113,28,FALSE)="","",VLOOKUP($BS229,'État &amp; Plan d''action'!$B$6:$AJ$1113,28,FALSE))</f>
        <v/>
      </c>
      <c r="DR229" s="70" t="str">
        <f>IF(VLOOKUP($BS229,'État &amp; Plan d''action'!$B$6:$AJ$1113,29,FALSE)="","",VLOOKUP($BS229,'État &amp; Plan d''action'!$B$6:$AJ$1113,29,FALSE))</f>
        <v/>
      </c>
      <c r="DS229" s="70" t="str">
        <f>IF(VLOOKUP($BS229,'État &amp; Plan d''action'!$B$6:$AJ$1113,30,FALSE)="","",VLOOKUP($BS229,'État &amp; Plan d''action'!$B$6:$AJ$1113,30,FALSE))</f>
        <v/>
      </c>
      <c r="DT229" s="70" t="s">
        <v>1124</v>
      </c>
      <c r="DU229" s="485" t="s">
        <v>1124</v>
      </c>
      <c r="DV229" s="485" t="s">
        <v>1124</v>
      </c>
      <c r="DW229" s="70" t="s">
        <v>1124</v>
      </c>
      <c r="DX229" s="70" t="s">
        <v>1124</v>
      </c>
      <c r="DY229" s="70" t="s">
        <v>1124</v>
      </c>
      <c r="DZ229" s="70" t="str">
        <f>VLOOKUP($BS229,'État &amp; Plan d''action'!$B$6:$AH$1113,31,FALSE)</f>
        <v/>
      </c>
      <c r="EA229" s="70" t="str">
        <f>VLOOKUP($BS229,'État &amp; Plan d''action'!$B$6:$AH$1113,32,FALSE)</f>
        <v/>
      </c>
      <c r="EB229" s="70" t="str">
        <f>VLOOKUP($BS229,'État &amp; Plan d''action'!$B$6:$AH$1113,33,FALSE)</f>
        <v/>
      </c>
      <c r="EC229" s="70" t="s">
        <v>1124</v>
      </c>
      <c r="ED229" s="70" t="s">
        <v>1124</v>
      </c>
      <c r="EE229" s="70" t="s">
        <v>1124</v>
      </c>
      <c r="EF229" s="70" t="s">
        <v>1124</v>
      </c>
      <c r="EG229" s="70" t="s">
        <v>1124</v>
      </c>
      <c r="EH229" s="72"/>
      <c r="EI229" s="72">
        <v>2153</v>
      </c>
    </row>
    <row r="230" spans="1:139" x14ac:dyDescent="0.35">
      <c r="BS230" s="486">
        <v>19070</v>
      </c>
      <c r="BT230" s="479" t="s">
        <v>130</v>
      </c>
      <c r="BU230" s="479">
        <v>12</v>
      </c>
      <c r="BV230" s="476" t="s">
        <v>1187</v>
      </c>
      <c r="BW230" s="476" t="s">
        <v>1187</v>
      </c>
      <c r="BX230" s="476" t="s">
        <v>1187</v>
      </c>
      <c r="BY230" s="476" t="s">
        <v>1187</v>
      </c>
      <c r="BZ230" s="476" t="s">
        <v>1187</v>
      </c>
      <c r="CA230" s="476" t="s">
        <v>1187</v>
      </c>
      <c r="CB230" s="476" t="s">
        <v>1187</v>
      </c>
      <c r="CC230" s="476" t="s">
        <v>1187</v>
      </c>
      <c r="CD230" s="476" t="s">
        <v>1187</v>
      </c>
      <c r="CE230" s="476" t="s">
        <v>1188</v>
      </c>
      <c r="CF230" s="476" t="s">
        <v>1188</v>
      </c>
      <c r="CG230" s="476" t="s">
        <v>1188</v>
      </c>
      <c r="CH230" s="476" t="s">
        <v>1188</v>
      </c>
      <c r="CI230" s="476" t="s">
        <v>1188</v>
      </c>
      <c r="CJ230" s="476" t="s">
        <v>1188</v>
      </c>
      <c r="CK230" s="476" t="s">
        <v>1188</v>
      </c>
      <c r="CL230" s="476" t="s">
        <v>1188</v>
      </c>
      <c r="CM230" s="476" t="str">
        <f>IF(VLOOKUP(BS230,'Données par municipalité'!$B$6:$E$1113,4,FALSE)="","non","oui")</f>
        <v>oui</v>
      </c>
      <c r="CN230" s="410">
        <v>259.84203534544952</v>
      </c>
      <c r="CO230" s="410">
        <v>286.1524504622555</v>
      </c>
      <c r="CP230" s="410">
        <v>295.59183569002244</v>
      </c>
      <c r="CQ230" s="410">
        <v>222.8785925540144</v>
      </c>
      <c r="CR230" s="410">
        <v>220.52998543536449</v>
      </c>
      <c r="CS230" s="410">
        <v>257.2301413143029</v>
      </c>
      <c r="CT230" s="410">
        <v>170.85111161015044</v>
      </c>
      <c r="CU230" s="410">
        <v>210</v>
      </c>
      <c r="CV230" s="410">
        <f>IF(VLOOKUP(BS230,'Données par municipalité'!$B$6:$F$1113,4,FALSE)="","",VLOOKUP(BS230,'Données par municipalité'!$B$6:$F$1113,4,FALSE))</f>
        <v>188</v>
      </c>
      <c r="CW230" s="476" t="s">
        <v>4723</v>
      </c>
      <c r="CX230" s="483">
        <v>0</v>
      </c>
      <c r="CY230" s="483">
        <v>0</v>
      </c>
      <c r="CZ230" s="483">
        <v>0</v>
      </c>
      <c r="DA230" s="483">
        <v>0</v>
      </c>
      <c r="DB230" s="483">
        <v>0</v>
      </c>
      <c r="DC230" s="483">
        <v>0</v>
      </c>
      <c r="DD230" s="483">
        <v>0</v>
      </c>
      <c r="DE230" s="483">
        <f>IFERROR(SUM(VLOOKUP($BS230,'État &amp; Plan d''action'!$B$6:$Z$1113,18,FALSE),VLOOKUP($BS230,'État &amp; Plan d''action'!$B$6:$Z$1113,20,FALSE))/(VLOOKUP($BS230,'Données par municipalité'!$B$4:$L$1113,11,FALSE)),"")</f>
        <v>0</v>
      </c>
      <c r="DF230" s="483">
        <f>IFERROR(SUM(VLOOKUP($BS230,'État &amp; Plan d''action'!$B$6:$Z$1113,19,FALSE),VLOOKUP($BS230,'État &amp; Plan d''action'!$B$6:$Z$1113,21,FALSE))/(VLOOKUP($BS230,'Données par municipalité'!$B$4:$L$1113,11,FALSE)),"")</f>
        <v>0</v>
      </c>
      <c r="DG230" s="476" t="s">
        <v>4723</v>
      </c>
      <c r="DH230" s="484">
        <v>0</v>
      </c>
      <c r="DI230" s="484">
        <v>0</v>
      </c>
      <c r="DJ230" s="484">
        <v>0</v>
      </c>
      <c r="DK230" s="484">
        <v>0</v>
      </c>
      <c r="DL230" s="484">
        <v>0</v>
      </c>
      <c r="DM230" s="484">
        <v>0</v>
      </c>
      <c r="DN230" s="484">
        <v>0</v>
      </c>
      <c r="DO230" s="484">
        <v>0</v>
      </c>
      <c r="DP230" s="484">
        <v>0</v>
      </c>
      <c r="DQ230" s="484">
        <f>IF(VLOOKUP($BS230,'État &amp; Plan d''action'!$B$6:$AJ$1113,28,FALSE)="","",VLOOKUP($BS230,'État &amp; Plan d''action'!$B$6:$AJ$1113,28,FALSE))</f>
        <v>0</v>
      </c>
      <c r="DR230" s="70">
        <f>IF(VLOOKUP($BS230,'État &amp; Plan d''action'!$B$6:$AJ$1113,29,FALSE)="","",VLOOKUP($BS230,'État &amp; Plan d''action'!$B$6:$AJ$1113,29,FALSE))</f>
        <v>0</v>
      </c>
      <c r="DS230" s="70">
        <f>IF(VLOOKUP($BS230,'État &amp; Plan d''action'!$B$6:$AJ$1113,30,FALSE)="","",VLOOKUP($BS230,'État &amp; Plan d''action'!$B$6:$AJ$1113,30,FALSE))</f>
        <v>0</v>
      </c>
      <c r="DT230" s="70">
        <v>178</v>
      </c>
      <c r="DU230" s="485">
        <v>0.5669638231993035</v>
      </c>
      <c r="DV230" s="485">
        <v>0.6391053679887343</v>
      </c>
      <c r="DW230" s="70">
        <v>0</v>
      </c>
      <c r="DX230" s="70">
        <v>0</v>
      </c>
      <c r="DY230" s="70">
        <v>0</v>
      </c>
      <c r="DZ230" s="70">
        <f>VLOOKUP($BS230,'État &amp; Plan d''action'!$B$6:$AH$1113,31,FALSE)</f>
        <v>0</v>
      </c>
      <c r="EA230" s="70">
        <f>VLOOKUP($BS230,'État &amp; Plan d''action'!$B$6:$AH$1113,32,FALSE)</f>
        <v>0</v>
      </c>
      <c r="EB230" s="70">
        <f>VLOOKUP($BS230,'État &amp; Plan d''action'!$B$6:$AH$1113,33,FALSE)</f>
        <v>0</v>
      </c>
      <c r="EC230" s="70">
        <v>0</v>
      </c>
      <c r="ED230" s="70">
        <v>0</v>
      </c>
      <c r="EE230" s="70">
        <v>0</v>
      </c>
      <c r="EF230" s="70">
        <v>0</v>
      </c>
      <c r="EG230" s="70">
        <v>0</v>
      </c>
      <c r="EH230" s="72">
        <v>60</v>
      </c>
      <c r="EI230" s="72">
        <v>883</v>
      </c>
    </row>
    <row r="231" spans="1:139" x14ac:dyDescent="0.35">
      <c r="BS231" s="486">
        <v>5025</v>
      </c>
      <c r="BT231" s="479" t="s">
        <v>1047</v>
      </c>
      <c r="BU231" s="479">
        <v>11</v>
      </c>
      <c r="BV231" s="476" t="s">
        <v>1188</v>
      </c>
      <c r="BW231" s="476" t="s">
        <v>1188</v>
      </c>
      <c r="BX231" s="476" t="s">
        <v>1188</v>
      </c>
      <c r="BY231" s="476" t="s">
        <v>1188</v>
      </c>
      <c r="BZ231" s="476" t="s">
        <v>1188</v>
      </c>
      <c r="CA231" s="476" t="s">
        <v>1188</v>
      </c>
      <c r="CB231" s="476" t="s">
        <v>1188</v>
      </c>
      <c r="CC231" s="476" t="s">
        <v>1188</v>
      </c>
      <c r="CD231" s="476" t="s">
        <v>1188</v>
      </c>
      <c r="CE231" s="476" t="s">
        <v>1187</v>
      </c>
      <c r="CF231" s="476" t="s">
        <v>1187</v>
      </c>
      <c r="CG231" s="476" t="s">
        <v>1187</v>
      </c>
      <c r="CH231" s="476" t="s">
        <v>1187</v>
      </c>
      <c r="CI231" s="476" t="s">
        <v>1187</v>
      </c>
      <c r="CJ231" s="476" t="s">
        <v>1187</v>
      </c>
      <c r="CK231" s="476" t="s">
        <v>1187</v>
      </c>
      <c r="CL231" s="476" t="s">
        <v>1187</v>
      </c>
      <c r="CM231" s="476" t="str">
        <f>IF(VLOOKUP(BS231,'Données par municipalité'!$B$6:$E$1113,4,FALSE)="","non","oui")</f>
        <v>non</v>
      </c>
      <c r="CN231" s="410" t="s">
        <v>1124</v>
      </c>
      <c r="CO231" s="410" t="s">
        <v>1124</v>
      </c>
      <c r="CP231" s="410"/>
      <c r="CQ231" s="410"/>
      <c r="CR231" s="410"/>
      <c r="CS231" s="410" t="s">
        <v>1124</v>
      </c>
      <c r="CT231" s="410"/>
      <c r="CU231" s="410" t="s">
        <v>1124</v>
      </c>
      <c r="CV231" s="410" t="str">
        <f>IF(VLOOKUP(BS231,'Données par municipalité'!$B$6:$F$1113,4,FALSE)="","",VLOOKUP(BS231,'Données par municipalité'!$B$6:$F$1113,4,FALSE))</f>
        <v/>
      </c>
      <c r="CW231" s="476" t="s">
        <v>4723</v>
      </c>
      <c r="CX231" s="483" t="s">
        <v>1124</v>
      </c>
      <c r="CY231" s="483" t="s">
        <v>1124</v>
      </c>
      <c r="CZ231" s="483" t="s">
        <v>1124</v>
      </c>
      <c r="DA231" s="483" t="s">
        <v>1124</v>
      </c>
      <c r="DB231" s="483" t="s">
        <v>1124</v>
      </c>
      <c r="DC231" s="483" t="s">
        <v>1124</v>
      </c>
      <c r="DD231" s="483" t="s">
        <v>1124</v>
      </c>
      <c r="DE231" s="483" t="str">
        <f>IFERROR(SUM(VLOOKUP($BS231,'État &amp; Plan d''action'!$B$6:$Z$1113,18,FALSE),VLOOKUP($BS231,'État &amp; Plan d''action'!$B$6:$Z$1113,20,FALSE))/(VLOOKUP($BS231,'Données par municipalité'!$B$4:$L$1113,11,FALSE)),"")</f>
        <v/>
      </c>
      <c r="DF231" s="483" t="str">
        <f>IFERROR(SUM(VLOOKUP($BS231,'État &amp; Plan d''action'!$B$6:$Z$1113,19,FALSE),VLOOKUP($BS231,'État &amp; Plan d''action'!$B$6:$Z$1113,21,FALSE))/(VLOOKUP($BS231,'Données par municipalité'!$B$4:$L$1113,11,FALSE)),"")</f>
        <v/>
      </c>
      <c r="DG231" s="476" t="s">
        <v>4723</v>
      </c>
      <c r="DH231" s="484" t="s">
        <v>1124</v>
      </c>
      <c r="DI231" s="484" t="s">
        <v>1124</v>
      </c>
      <c r="DJ231" s="484">
        <v>0</v>
      </c>
      <c r="DK231" s="484">
        <v>0</v>
      </c>
      <c r="DL231" s="484" t="s">
        <v>1124</v>
      </c>
      <c r="DM231" s="484" t="s">
        <v>1124</v>
      </c>
      <c r="DN231" s="484" t="s">
        <v>1124</v>
      </c>
      <c r="DO231" s="484" t="s">
        <v>1124</v>
      </c>
      <c r="DP231" s="484" t="s">
        <v>1124</v>
      </c>
      <c r="DQ231" s="484" t="str">
        <f>IF(VLOOKUP($BS231,'État &amp; Plan d''action'!$B$6:$AJ$1113,28,FALSE)="","",VLOOKUP($BS231,'État &amp; Plan d''action'!$B$6:$AJ$1113,28,FALSE))</f>
        <v/>
      </c>
      <c r="DR231" s="70" t="str">
        <f>IF(VLOOKUP($BS231,'État &amp; Plan d''action'!$B$6:$AJ$1113,29,FALSE)="","",VLOOKUP($BS231,'État &amp; Plan d''action'!$B$6:$AJ$1113,29,FALSE))</f>
        <v/>
      </c>
      <c r="DS231" s="70" t="str">
        <f>IF(VLOOKUP($BS231,'État &amp; Plan d''action'!$B$6:$AJ$1113,30,FALSE)="","",VLOOKUP($BS231,'État &amp; Plan d''action'!$B$6:$AJ$1113,30,FALSE))</f>
        <v/>
      </c>
      <c r="DT231" s="70" t="s">
        <v>1124</v>
      </c>
      <c r="DU231" s="485" t="s">
        <v>1124</v>
      </c>
      <c r="DV231" s="485" t="s">
        <v>1124</v>
      </c>
      <c r="DW231" s="70" t="s">
        <v>1124</v>
      </c>
      <c r="DX231" s="70" t="s">
        <v>1124</v>
      </c>
      <c r="DY231" s="70" t="s">
        <v>1124</v>
      </c>
      <c r="DZ231" s="70" t="str">
        <f>VLOOKUP($BS231,'État &amp; Plan d''action'!$B$6:$AH$1113,31,FALSE)</f>
        <v/>
      </c>
      <c r="EA231" s="70" t="str">
        <f>VLOOKUP($BS231,'État &amp; Plan d''action'!$B$6:$AH$1113,32,FALSE)</f>
        <v/>
      </c>
      <c r="EB231" s="70" t="str">
        <f>VLOOKUP($BS231,'État &amp; Plan d''action'!$B$6:$AH$1113,33,FALSE)</f>
        <v/>
      </c>
      <c r="EC231" s="70" t="s">
        <v>1124</v>
      </c>
      <c r="ED231" s="70" t="s">
        <v>1124</v>
      </c>
      <c r="EE231" s="70" t="s">
        <v>1124</v>
      </c>
      <c r="EF231" s="70" t="s">
        <v>1124</v>
      </c>
      <c r="EG231" s="70" t="s">
        <v>1124</v>
      </c>
      <c r="EH231" s="72"/>
      <c r="EI231" s="72">
        <v>580</v>
      </c>
    </row>
    <row r="232" spans="1:139" x14ac:dyDescent="0.35">
      <c r="BS232" s="486">
        <v>5020</v>
      </c>
      <c r="BT232" s="479" t="s">
        <v>1046</v>
      </c>
      <c r="BU232" s="479">
        <v>11</v>
      </c>
      <c r="BV232" s="476" t="s">
        <v>1188</v>
      </c>
      <c r="BW232" s="476" t="s">
        <v>1188</v>
      </c>
      <c r="BX232" s="476" t="s">
        <v>1188</v>
      </c>
      <c r="BY232" s="476" t="s">
        <v>1188</v>
      </c>
      <c r="BZ232" s="476" t="s">
        <v>1188</v>
      </c>
      <c r="CA232" s="476" t="s">
        <v>1188</v>
      </c>
      <c r="CB232" s="476" t="s">
        <v>1188</v>
      </c>
      <c r="CC232" s="476" t="s">
        <v>1188</v>
      </c>
      <c r="CD232" s="476" t="s">
        <v>1188</v>
      </c>
      <c r="CE232" s="476" t="s">
        <v>1187</v>
      </c>
      <c r="CF232" s="476" t="s">
        <v>1187</v>
      </c>
      <c r="CG232" s="476" t="s">
        <v>1187</v>
      </c>
      <c r="CH232" s="476" t="s">
        <v>1187</v>
      </c>
      <c r="CI232" s="476" t="s">
        <v>1187</v>
      </c>
      <c r="CJ232" s="476" t="s">
        <v>1187</v>
      </c>
      <c r="CK232" s="476" t="s">
        <v>1187</v>
      </c>
      <c r="CL232" s="476" t="s">
        <v>1187</v>
      </c>
      <c r="CM232" s="476" t="str">
        <f>IF(VLOOKUP(BS232,'Données par municipalité'!$B$6:$E$1113,4,FALSE)="","non","oui")</f>
        <v>non</v>
      </c>
      <c r="CN232" s="410" t="s">
        <v>1124</v>
      </c>
      <c r="CO232" s="410" t="s">
        <v>1124</v>
      </c>
      <c r="CP232" s="410"/>
      <c r="CQ232" s="410"/>
      <c r="CR232" s="410"/>
      <c r="CS232" s="410" t="s">
        <v>1124</v>
      </c>
      <c r="CT232" s="410"/>
      <c r="CU232" s="410" t="s">
        <v>1124</v>
      </c>
      <c r="CV232" s="410" t="str">
        <f>IF(VLOOKUP(BS232,'Données par municipalité'!$B$6:$F$1113,4,FALSE)="","",VLOOKUP(BS232,'Données par municipalité'!$B$6:$F$1113,4,FALSE))</f>
        <v/>
      </c>
      <c r="CW232" s="476" t="s">
        <v>4723</v>
      </c>
      <c r="CX232" s="483" t="s">
        <v>1124</v>
      </c>
      <c r="CY232" s="483" t="s">
        <v>1124</v>
      </c>
      <c r="CZ232" s="483" t="s">
        <v>1124</v>
      </c>
      <c r="DA232" s="483" t="s">
        <v>1124</v>
      </c>
      <c r="DB232" s="483" t="s">
        <v>1124</v>
      </c>
      <c r="DC232" s="483" t="s">
        <v>1124</v>
      </c>
      <c r="DD232" s="483" t="s">
        <v>1124</v>
      </c>
      <c r="DE232" s="483" t="str">
        <f>IFERROR(SUM(VLOOKUP($BS232,'État &amp; Plan d''action'!$B$6:$Z$1113,18,FALSE),VLOOKUP($BS232,'État &amp; Plan d''action'!$B$6:$Z$1113,20,FALSE))/(VLOOKUP($BS232,'Données par municipalité'!$B$4:$L$1113,11,FALSE)),"")</f>
        <v/>
      </c>
      <c r="DF232" s="483" t="str">
        <f>IFERROR(SUM(VLOOKUP($BS232,'État &amp; Plan d''action'!$B$6:$Z$1113,19,FALSE),VLOOKUP($BS232,'État &amp; Plan d''action'!$B$6:$Z$1113,21,FALSE))/(VLOOKUP($BS232,'Données par municipalité'!$B$4:$L$1113,11,FALSE)),"")</f>
        <v/>
      </c>
      <c r="DG232" s="476" t="s">
        <v>4723</v>
      </c>
      <c r="DH232" s="484" t="s">
        <v>1124</v>
      </c>
      <c r="DI232" s="484" t="s">
        <v>1124</v>
      </c>
      <c r="DJ232" s="484">
        <v>0</v>
      </c>
      <c r="DK232" s="484">
        <v>0</v>
      </c>
      <c r="DL232" s="484" t="s">
        <v>1124</v>
      </c>
      <c r="DM232" s="484" t="s">
        <v>1124</v>
      </c>
      <c r="DN232" s="484" t="s">
        <v>1124</v>
      </c>
      <c r="DO232" s="484" t="s">
        <v>1124</v>
      </c>
      <c r="DP232" s="484" t="s">
        <v>1124</v>
      </c>
      <c r="DQ232" s="484" t="str">
        <f>IF(VLOOKUP($BS232,'État &amp; Plan d''action'!$B$6:$AJ$1113,28,FALSE)="","",VLOOKUP($BS232,'État &amp; Plan d''action'!$B$6:$AJ$1113,28,FALSE))</f>
        <v/>
      </c>
      <c r="DR232" s="70" t="str">
        <f>IF(VLOOKUP($BS232,'État &amp; Plan d''action'!$B$6:$AJ$1113,29,FALSE)="","",VLOOKUP($BS232,'État &amp; Plan d''action'!$B$6:$AJ$1113,29,FALSE))</f>
        <v/>
      </c>
      <c r="DS232" s="70" t="str">
        <f>IF(VLOOKUP($BS232,'État &amp; Plan d''action'!$B$6:$AJ$1113,30,FALSE)="","",VLOOKUP($BS232,'État &amp; Plan d''action'!$B$6:$AJ$1113,30,FALSE))</f>
        <v/>
      </c>
      <c r="DT232" s="70" t="s">
        <v>1124</v>
      </c>
      <c r="DU232" s="485" t="s">
        <v>1124</v>
      </c>
      <c r="DV232" s="485" t="s">
        <v>1124</v>
      </c>
      <c r="DW232" s="70" t="s">
        <v>1124</v>
      </c>
      <c r="DX232" s="70" t="s">
        <v>1124</v>
      </c>
      <c r="DY232" s="70" t="s">
        <v>1124</v>
      </c>
      <c r="DZ232" s="70" t="str">
        <f>VLOOKUP($BS232,'État &amp; Plan d''action'!$B$6:$AH$1113,31,FALSE)</f>
        <v/>
      </c>
      <c r="EA232" s="70" t="str">
        <f>VLOOKUP($BS232,'État &amp; Plan d''action'!$B$6:$AH$1113,32,FALSE)</f>
        <v/>
      </c>
      <c r="EB232" s="70" t="str">
        <f>VLOOKUP($BS232,'État &amp; Plan d''action'!$B$6:$AH$1113,33,FALSE)</f>
        <v/>
      </c>
      <c r="EC232" s="70" t="s">
        <v>1124</v>
      </c>
      <c r="ED232" s="70" t="s">
        <v>1124</v>
      </c>
      <c r="EE232" s="70" t="s">
        <v>1124</v>
      </c>
      <c r="EF232" s="70" t="s">
        <v>1124</v>
      </c>
      <c r="EG232" s="70" t="s">
        <v>1124</v>
      </c>
      <c r="EH232" s="72"/>
      <c r="EI232" s="72">
        <v>360</v>
      </c>
    </row>
    <row r="233" spans="1:139" x14ac:dyDescent="0.35">
      <c r="BS233" s="486">
        <v>69025</v>
      </c>
      <c r="BT233" s="479" t="s">
        <v>687</v>
      </c>
      <c r="BU233" s="479">
        <v>16</v>
      </c>
      <c r="BV233" s="476" t="s">
        <v>1187</v>
      </c>
      <c r="BW233" s="476" t="s">
        <v>1187</v>
      </c>
      <c r="BX233" s="476" t="s">
        <v>1187</v>
      </c>
      <c r="BY233" s="476" t="s">
        <v>1187</v>
      </c>
      <c r="BZ233" s="476" t="s">
        <v>1187</v>
      </c>
      <c r="CA233" s="476" t="s">
        <v>1187</v>
      </c>
      <c r="CB233" s="476" t="s">
        <v>1187</v>
      </c>
      <c r="CC233" s="476" t="s">
        <v>1187</v>
      </c>
      <c r="CD233" s="476" t="s">
        <v>1187</v>
      </c>
      <c r="CE233" s="476" t="s">
        <v>1187</v>
      </c>
      <c r="CF233" s="476" t="s">
        <v>1187</v>
      </c>
      <c r="CG233" s="476" t="s">
        <v>1187</v>
      </c>
      <c r="CH233" s="476" t="s">
        <v>1187</v>
      </c>
      <c r="CI233" s="476" t="s">
        <v>1187</v>
      </c>
      <c r="CJ233" s="476" t="s">
        <v>1187</v>
      </c>
      <c r="CK233" s="476" t="s">
        <v>1187</v>
      </c>
      <c r="CL233" s="476" t="s">
        <v>1187</v>
      </c>
      <c r="CM233" s="476" t="str">
        <f>IF(VLOOKUP(BS233,'Données par municipalité'!$B$6:$E$1113,4,FALSE)="","non","oui")</f>
        <v>non</v>
      </c>
      <c r="CN233" s="410" t="s">
        <v>1124</v>
      </c>
      <c r="CO233" s="410" t="s">
        <v>1124</v>
      </c>
      <c r="CP233" s="410"/>
      <c r="CQ233" s="410"/>
      <c r="CR233" s="410"/>
      <c r="CS233" s="410" t="s">
        <v>1124</v>
      </c>
      <c r="CT233" s="410"/>
      <c r="CU233" s="410" t="s">
        <v>1124</v>
      </c>
      <c r="CV233" s="410" t="str">
        <f>IF(VLOOKUP(BS233,'Données par municipalité'!$B$6:$F$1113,4,FALSE)="","",VLOOKUP(BS233,'Données par municipalité'!$B$6:$F$1113,4,FALSE))</f>
        <v/>
      </c>
      <c r="CW233" s="476" t="s">
        <v>4723</v>
      </c>
      <c r="CX233" s="483" t="s">
        <v>1124</v>
      </c>
      <c r="CY233" s="483" t="s">
        <v>1124</v>
      </c>
      <c r="CZ233" s="483" t="s">
        <v>1124</v>
      </c>
      <c r="DA233" s="483" t="s">
        <v>1124</v>
      </c>
      <c r="DB233" s="483" t="s">
        <v>1124</v>
      </c>
      <c r="DC233" s="483" t="s">
        <v>1124</v>
      </c>
      <c r="DD233" s="483" t="s">
        <v>1124</v>
      </c>
      <c r="DE233" s="483" t="str">
        <f>IFERROR(SUM(VLOOKUP($BS233,'État &amp; Plan d''action'!$B$6:$Z$1113,18,FALSE),VLOOKUP($BS233,'État &amp; Plan d''action'!$B$6:$Z$1113,20,FALSE))/(VLOOKUP($BS233,'Données par municipalité'!$B$4:$L$1113,11,FALSE)),"")</f>
        <v/>
      </c>
      <c r="DF233" s="483" t="str">
        <f>IFERROR(SUM(VLOOKUP($BS233,'État &amp; Plan d''action'!$B$6:$Z$1113,19,FALSE),VLOOKUP($BS233,'État &amp; Plan d''action'!$B$6:$Z$1113,21,FALSE))/(VLOOKUP($BS233,'Données par municipalité'!$B$4:$L$1113,11,FALSE)),"")</f>
        <v/>
      </c>
      <c r="DG233" s="476" t="s">
        <v>4723</v>
      </c>
      <c r="DH233" s="484">
        <v>0</v>
      </c>
      <c r="DI233" s="484" t="s">
        <v>1124</v>
      </c>
      <c r="DJ233" s="484">
        <v>0</v>
      </c>
      <c r="DK233" s="484">
        <v>1</v>
      </c>
      <c r="DL233" s="484" t="s">
        <v>1124</v>
      </c>
      <c r="DM233" s="484" t="s">
        <v>1124</v>
      </c>
      <c r="DN233" s="484" t="s">
        <v>1124</v>
      </c>
      <c r="DO233" s="484" t="s">
        <v>1124</v>
      </c>
      <c r="DP233" s="484" t="s">
        <v>1124</v>
      </c>
      <c r="DQ233" s="484" t="str">
        <f>IF(VLOOKUP($BS233,'État &amp; Plan d''action'!$B$6:$AJ$1113,28,FALSE)="","",VLOOKUP($BS233,'État &amp; Plan d''action'!$B$6:$AJ$1113,28,FALSE))</f>
        <v/>
      </c>
      <c r="DR233" s="70" t="str">
        <f>IF(VLOOKUP($BS233,'État &amp; Plan d''action'!$B$6:$AJ$1113,29,FALSE)="","",VLOOKUP($BS233,'État &amp; Plan d''action'!$B$6:$AJ$1113,29,FALSE))</f>
        <v/>
      </c>
      <c r="DS233" s="70" t="str">
        <f>IF(VLOOKUP($BS233,'État &amp; Plan d''action'!$B$6:$AJ$1113,30,FALSE)="","",VLOOKUP($BS233,'État &amp; Plan d''action'!$B$6:$AJ$1113,30,FALSE))</f>
        <v/>
      </c>
      <c r="DT233" s="70" t="s">
        <v>1124</v>
      </c>
      <c r="DU233" s="485" t="s">
        <v>1124</v>
      </c>
      <c r="DV233" s="485" t="s">
        <v>1124</v>
      </c>
      <c r="DW233" s="70" t="s">
        <v>1124</v>
      </c>
      <c r="DX233" s="70" t="s">
        <v>1124</v>
      </c>
      <c r="DY233" s="70" t="s">
        <v>1124</v>
      </c>
      <c r="DZ233" s="70" t="str">
        <f>VLOOKUP($BS233,'État &amp; Plan d''action'!$B$6:$AH$1113,31,FALSE)</f>
        <v/>
      </c>
      <c r="EA233" s="70" t="str">
        <f>VLOOKUP($BS233,'État &amp; Plan d''action'!$B$6:$AH$1113,32,FALSE)</f>
        <v/>
      </c>
      <c r="EB233" s="70" t="str">
        <f>VLOOKUP($BS233,'État &amp; Plan d''action'!$B$6:$AH$1113,33,FALSE)</f>
        <v/>
      </c>
      <c r="EC233" s="70" t="s">
        <v>1124</v>
      </c>
      <c r="ED233" s="70" t="s">
        <v>1124</v>
      </c>
      <c r="EE233" s="70" t="s">
        <v>1124</v>
      </c>
      <c r="EF233" s="70" t="s">
        <v>1124</v>
      </c>
      <c r="EG233" s="70" t="s">
        <v>1124</v>
      </c>
      <c r="EH233" s="72"/>
      <c r="EI233" s="72">
        <v>810</v>
      </c>
    </row>
    <row r="234" spans="1:139" x14ac:dyDescent="0.35">
      <c r="BS234" s="486">
        <v>78065</v>
      </c>
      <c r="BT234" s="479" t="s">
        <v>776</v>
      </c>
      <c r="BU234" s="479">
        <v>15</v>
      </c>
      <c r="BV234" s="476" t="s">
        <v>1187</v>
      </c>
      <c r="BW234" s="476" t="s">
        <v>1187</v>
      </c>
      <c r="BX234" s="476" t="s">
        <v>1187</v>
      </c>
      <c r="BY234" s="476" t="s">
        <v>1187</v>
      </c>
      <c r="BZ234" s="476" t="s">
        <v>1187</v>
      </c>
      <c r="CA234" s="476" t="s">
        <v>1187</v>
      </c>
      <c r="CB234" s="476" t="s">
        <v>1187</v>
      </c>
      <c r="CC234" s="476" t="s">
        <v>1187</v>
      </c>
      <c r="CD234" s="476" t="s">
        <v>1187</v>
      </c>
      <c r="CE234" s="476" t="s">
        <v>1188</v>
      </c>
      <c r="CF234" s="476" t="s">
        <v>1188</v>
      </c>
      <c r="CG234" s="476" t="s">
        <v>1188</v>
      </c>
      <c r="CH234" s="476" t="s">
        <v>1188</v>
      </c>
      <c r="CI234" s="476" t="s">
        <v>1188</v>
      </c>
      <c r="CJ234" s="476" t="s">
        <v>1188</v>
      </c>
      <c r="CK234" s="476" t="s">
        <v>1188</v>
      </c>
      <c r="CL234" s="476" t="s">
        <v>1188</v>
      </c>
      <c r="CM234" s="476" t="str">
        <f>IF(VLOOKUP(BS234,'Données par municipalité'!$B$6:$E$1113,4,FALSE)="","non","oui")</f>
        <v>oui</v>
      </c>
      <c r="CN234" s="410">
        <v>382.45925875285207</v>
      </c>
      <c r="CO234" s="410">
        <v>317.17747683535282</v>
      </c>
      <c r="CP234" s="410">
        <v>303.25648773004383</v>
      </c>
      <c r="CQ234" s="410">
        <v>319.19686312896596</v>
      </c>
      <c r="CR234" s="410">
        <v>332.99767572942199</v>
      </c>
      <c r="CS234" s="410">
        <v>472.12548486650252</v>
      </c>
      <c r="CT234" s="410">
        <v>430.73129043842323</v>
      </c>
      <c r="CU234" s="410">
        <v>453</v>
      </c>
      <c r="CV234" s="410">
        <f>IF(VLOOKUP(BS234,'Données par municipalité'!$B$6:$F$1113,4,FALSE)="","",VLOOKUP(BS234,'Données par municipalité'!$B$6:$F$1113,4,FALSE))</f>
        <v>515</v>
      </c>
      <c r="CW234" s="476" t="s">
        <v>4723</v>
      </c>
      <c r="CX234" s="483">
        <v>1</v>
      </c>
      <c r="CY234" s="483">
        <v>0.1</v>
      </c>
      <c r="CZ234" s="483">
        <v>0.1</v>
      </c>
      <c r="DA234" s="483">
        <v>1</v>
      </c>
      <c r="DB234" s="483">
        <v>1</v>
      </c>
      <c r="DC234" s="483">
        <v>1</v>
      </c>
      <c r="DD234" s="483">
        <v>0.99939649969824973</v>
      </c>
      <c r="DE234" s="483">
        <f>IFERROR(SUM(VLOOKUP($BS234,'État &amp; Plan d''action'!$B$6:$Z$1113,18,FALSE),VLOOKUP($BS234,'État &amp; Plan d''action'!$B$6:$Z$1113,20,FALSE))/(VLOOKUP($BS234,'Données par municipalité'!$B$4:$L$1113,11,FALSE)),"")</f>
        <v>0.99939649969824973</v>
      </c>
      <c r="DF234" s="483">
        <f>IFERROR(SUM(VLOOKUP($BS234,'État &amp; Plan d''action'!$B$6:$Z$1113,19,FALSE),VLOOKUP($BS234,'État &amp; Plan d''action'!$B$6:$Z$1113,21,FALSE))/(VLOOKUP($BS234,'Données par municipalité'!$B$4:$L$1113,11,FALSE)),"")</f>
        <v>0.99939649969824973</v>
      </c>
      <c r="DG234" s="476" t="s">
        <v>4723</v>
      </c>
      <c r="DH234" s="484">
        <v>1</v>
      </c>
      <c r="DI234" s="484">
        <v>0</v>
      </c>
      <c r="DJ234" s="484">
        <v>0</v>
      </c>
      <c r="DK234" s="484">
        <v>0</v>
      </c>
      <c r="DL234" s="484">
        <v>1</v>
      </c>
      <c r="DM234" s="484">
        <v>0</v>
      </c>
      <c r="DN234" s="484">
        <v>0</v>
      </c>
      <c r="DO234" s="484">
        <v>0</v>
      </c>
      <c r="DP234" s="484">
        <v>0</v>
      </c>
      <c r="DQ234" s="484">
        <f>IF(VLOOKUP($BS234,'État &amp; Plan d''action'!$B$6:$AJ$1113,28,FALSE)="","",VLOOKUP($BS234,'État &amp; Plan d''action'!$B$6:$AJ$1113,28,FALSE))</f>
        <v>0</v>
      </c>
      <c r="DR234" s="70">
        <f>IF(VLOOKUP($BS234,'État &amp; Plan d''action'!$B$6:$AJ$1113,29,FALSE)="","",VLOOKUP($BS234,'État &amp; Plan d''action'!$B$6:$AJ$1113,29,FALSE))</f>
        <v>0</v>
      </c>
      <c r="DS234" s="70">
        <f>IF(VLOOKUP($BS234,'État &amp; Plan d''action'!$B$6:$AJ$1113,30,FALSE)="","",VLOOKUP($BS234,'État &amp; Plan d''action'!$B$6:$AJ$1113,30,FALSE))</f>
        <v>0</v>
      </c>
      <c r="DT234" s="70">
        <v>273</v>
      </c>
      <c r="DU234" s="485">
        <v>2.0808598314512916</v>
      </c>
      <c r="DV234" s="485">
        <v>5.3264376293397513</v>
      </c>
      <c r="DW234" s="70">
        <v>0</v>
      </c>
      <c r="DX234" s="70">
        <v>0</v>
      </c>
      <c r="DY234" s="70">
        <v>0</v>
      </c>
      <c r="DZ234" s="70">
        <f>VLOOKUP($BS234,'État &amp; Plan d''action'!$B$6:$AH$1113,31,FALSE)</f>
        <v>0</v>
      </c>
      <c r="EA234" s="70">
        <f>VLOOKUP($BS234,'État &amp; Plan d''action'!$B$6:$AH$1113,32,FALSE)</f>
        <v>0</v>
      </c>
      <c r="EB234" s="70">
        <f>VLOOKUP($BS234,'État &amp; Plan d''action'!$B$6:$AH$1113,33,FALSE)</f>
        <v>0</v>
      </c>
      <c r="EC234" s="70">
        <v>8.2799999999999994</v>
      </c>
      <c r="ED234" s="70">
        <v>8.2799999999999994</v>
      </c>
      <c r="EE234" s="70">
        <v>0</v>
      </c>
      <c r="EF234" s="70">
        <v>0</v>
      </c>
      <c r="EG234" s="70">
        <v>0</v>
      </c>
      <c r="EH234" s="72">
        <v>59</v>
      </c>
      <c r="EI234" s="72">
        <v>886</v>
      </c>
    </row>
    <row r="235" spans="1:139" x14ac:dyDescent="0.35">
      <c r="BS235" s="486">
        <v>71100</v>
      </c>
      <c r="BT235" s="479" t="s">
        <v>720</v>
      </c>
      <c r="BU235" s="479">
        <v>16</v>
      </c>
      <c r="BV235" s="476" t="s">
        <v>1187</v>
      </c>
      <c r="BW235" s="476" t="s">
        <v>1187</v>
      </c>
      <c r="BX235" s="476" t="s">
        <v>1187</v>
      </c>
      <c r="BY235" s="476" t="s">
        <v>1187</v>
      </c>
      <c r="BZ235" s="476" t="s">
        <v>1187</v>
      </c>
      <c r="CA235" s="476" t="s">
        <v>1187</v>
      </c>
      <c r="CB235" s="476" t="s">
        <v>1187</v>
      </c>
      <c r="CC235" s="476" t="s">
        <v>1187</v>
      </c>
      <c r="CD235" s="476" t="s">
        <v>1187</v>
      </c>
      <c r="CE235" s="476" t="s">
        <v>1188</v>
      </c>
      <c r="CF235" s="476" t="s">
        <v>1188</v>
      </c>
      <c r="CG235" s="476" t="s">
        <v>1187</v>
      </c>
      <c r="CH235" s="476" t="s">
        <v>1188</v>
      </c>
      <c r="CI235" s="476" t="s">
        <v>1188</v>
      </c>
      <c r="CJ235" s="476" t="s">
        <v>1187</v>
      </c>
      <c r="CK235" s="476" t="s">
        <v>1187</v>
      </c>
      <c r="CL235" s="476" t="s">
        <v>1187</v>
      </c>
      <c r="CM235" s="476" t="str">
        <f>IF(VLOOKUP(BS235,'Données par municipalité'!$B$6:$E$1113,4,FALSE)="","non","oui")</f>
        <v>oui</v>
      </c>
      <c r="CN235" s="410">
        <v>343.33110426797214</v>
      </c>
      <c r="CO235" s="410">
        <v>294.61189225605091</v>
      </c>
      <c r="CP235" s="410"/>
      <c r="CQ235" s="410">
        <v>307.36509853601382</v>
      </c>
      <c r="CR235" s="410">
        <v>301.94380846242512</v>
      </c>
      <c r="CS235" s="410" t="s">
        <v>1124</v>
      </c>
      <c r="CT235" s="410"/>
      <c r="CU235" s="410" t="s">
        <v>1124</v>
      </c>
      <c r="CV235" s="410">
        <f>IF(VLOOKUP(BS235,'Données par municipalité'!$B$6:$F$1113,4,FALSE)="","",VLOOKUP(BS235,'Données par municipalité'!$B$6:$F$1113,4,FALSE))</f>
        <v>494</v>
      </c>
      <c r="CW235" s="476" t="s">
        <v>4723</v>
      </c>
      <c r="CX235" s="483">
        <v>0</v>
      </c>
      <c r="CY235" s="483" t="s">
        <v>1124</v>
      </c>
      <c r="CZ235" s="483">
        <v>0</v>
      </c>
      <c r="DA235" s="483">
        <v>0</v>
      </c>
      <c r="DB235" s="483" t="s">
        <v>1124</v>
      </c>
      <c r="DC235" s="483" t="s">
        <v>1124</v>
      </c>
      <c r="DD235" s="483" t="s">
        <v>1124</v>
      </c>
      <c r="DE235" s="483">
        <f>IFERROR(SUM(VLOOKUP($BS235,'État &amp; Plan d''action'!$B$6:$Z$1113,18,FALSE),VLOOKUP($BS235,'État &amp; Plan d''action'!$B$6:$Z$1113,20,FALSE))/(VLOOKUP($BS235,'Données par municipalité'!$B$4:$L$1113,11,FALSE)),"")</f>
        <v>0</v>
      </c>
      <c r="DF235" s="483">
        <f>IFERROR(SUM(VLOOKUP($BS235,'État &amp; Plan d''action'!$B$6:$Z$1113,19,FALSE),VLOOKUP($BS235,'État &amp; Plan d''action'!$B$6:$Z$1113,21,FALSE))/(VLOOKUP($BS235,'Données par municipalité'!$B$4:$L$1113,11,FALSE)),"")</f>
        <v>0.85174921596193365</v>
      </c>
      <c r="DG235" s="476" t="s">
        <v>4723</v>
      </c>
      <c r="DH235" s="484">
        <v>50</v>
      </c>
      <c r="DI235" s="484">
        <v>25</v>
      </c>
      <c r="DJ235" s="484">
        <v>0</v>
      </c>
      <c r="DK235" s="484">
        <v>0</v>
      </c>
      <c r="DL235" s="484" t="s">
        <v>1124</v>
      </c>
      <c r="DM235" s="484" t="s">
        <v>1124</v>
      </c>
      <c r="DN235" s="484" t="s">
        <v>1124</v>
      </c>
      <c r="DO235" s="484" t="s">
        <v>1124</v>
      </c>
      <c r="DP235" s="484" t="s">
        <v>1124</v>
      </c>
      <c r="DQ235" s="484">
        <f>IF(VLOOKUP($BS235,'État &amp; Plan d''action'!$B$6:$AJ$1113,28,FALSE)="","",VLOOKUP($BS235,'État &amp; Plan d''action'!$B$6:$AJ$1113,28,FALSE))</f>
        <v>0</v>
      </c>
      <c r="DR235" s="70">
        <f>IF(VLOOKUP($BS235,'État &amp; Plan d''action'!$B$6:$AJ$1113,29,FALSE)="","",VLOOKUP($BS235,'État &amp; Plan d''action'!$B$6:$AJ$1113,29,FALSE))</f>
        <v>0</v>
      </c>
      <c r="DS235" s="70">
        <f>IF(VLOOKUP($BS235,'État &amp; Plan d''action'!$B$6:$AJ$1113,30,FALSE)="","",VLOOKUP($BS235,'État &amp; Plan d''action'!$B$6:$AJ$1113,30,FALSE))</f>
        <v>0</v>
      </c>
      <c r="DT235" s="70" t="s">
        <v>1124</v>
      </c>
      <c r="DU235" s="485" t="s">
        <v>1124</v>
      </c>
      <c r="DV235" s="485">
        <v>4.3572445722215329</v>
      </c>
      <c r="DW235" s="70" t="s">
        <v>1124</v>
      </c>
      <c r="DX235" s="70" t="s">
        <v>1124</v>
      </c>
      <c r="DY235" s="70" t="s">
        <v>1124</v>
      </c>
      <c r="DZ235" s="70">
        <f>VLOOKUP($BS235,'État &amp; Plan d''action'!$B$6:$AH$1113,31,FALSE)</f>
        <v>0</v>
      </c>
      <c r="EA235" s="70">
        <f>VLOOKUP($BS235,'État &amp; Plan d''action'!$B$6:$AH$1113,32,FALSE)</f>
        <v>0</v>
      </c>
      <c r="EB235" s="70">
        <f>VLOOKUP($BS235,'État &amp; Plan d''action'!$B$6:$AH$1113,33,FALSE)</f>
        <v>0</v>
      </c>
      <c r="EC235" s="70" t="s">
        <v>1124</v>
      </c>
      <c r="ED235" s="70" t="s">
        <v>1124</v>
      </c>
      <c r="EE235" s="70" t="s">
        <v>1124</v>
      </c>
      <c r="EF235" s="70" t="s">
        <v>1124</v>
      </c>
      <c r="EG235" s="70" t="s">
        <v>1124</v>
      </c>
      <c r="EH235" s="72"/>
      <c r="EI235" s="72">
        <v>5311</v>
      </c>
    </row>
    <row r="236" spans="1:139" x14ac:dyDescent="0.35">
      <c r="W236" s="433" t="s">
        <v>1198</v>
      </c>
      <c r="X236" s="418"/>
      <c r="Y236" s="418"/>
      <c r="Z236" s="418"/>
      <c r="AA236" s="418"/>
      <c r="AB236" s="418"/>
      <c r="BS236" s="486">
        <v>69055</v>
      </c>
      <c r="BT236" s="479" t="s">
        <v>692</v>
      </c>
      <c r="BU236" s="479">
        <v>16</v>
      </c>
      <c r="BV236" s="476" t="s">
        <v>1187</v>
      </c>
      <c r="BW236" s="476" t="s">
        <v>1187</v>
      </c>
      <c r="BX236" s="476" t="s">
        <v>1187</v>
      </c>
      <c r="BY236" s="476" t="s">
        <v>1187</v>
      </c>
      <c r="BZ236" s="476" t="s">
        <v>1187</v>
      </c>
      <c r="CA236" s="476" t="s">
        <v>1187</v>
      </c>
      <c r="CB236" s="476" t="s">
        <v>1187</v>
      </c>
      <c r="CC236" s="476" t="s">
        <v>1187</v>
      </c>
      <c r="CD236" s="476" t="s">
        <v>1187</v>
      </c>
      <c r="CE236" s="476" t="s">
        <v>1187</v>
      </c>
      <c r="CF236" s="476" t="s">
        <v>1187</v>
      </c>
      <c r="CG236" s="476" t="s">
        <v>1187</v>
      </c>
      <c r="CH236" s="476" t="s">
        <v>1187</v>
      </c>
      <c r="CI236" s="476" t="s">
        <v>1187</v>
      </c>
      <c r="CJ236" s="476" t="s">
        <v>1187</v>
      </c>
      <c r="CK236" s="476" t="s">
        <v>1187</v>
      </c>
      <c r="CL236" s="476" t="s">
        <v>1187</v>
      </c>
      <c r="CM236" s="476" t="str">
        <f>IF(VLOOKUP(BS236,'Données par municipalité'!$B$6:$E$1113,4,FALSE)="","non","oui")</f>
        <v>non</v>
      </c>
      <c r="CN236" s="410" t="s">
        <v>1124</v>
      </c>
      <c r="CO236" s="410" t="s">
        <v>1124</v>
      </c>
      <c r="CP236" s="410"/>
      <c r="CQ236" s="410"/>
      <c r="CR236" s="410"/>
      <c r="CS236" s="410" t="s">
        <v>1124</v>
      </c>
      <c r="CT236" s="410"/>
      <c r="CU236" s="410" t="s">
        <v>1124</v>
      </c>
      <c r="CV236" s="410" t="str">
        <f>IF(VLOOKUP(BS236,'Données par municipalité'!$B$6:$F$1113,4,FALSE)="","",VLOOKUP(BS236,'Données par municipalité'!$B$6:$F$1113,4,FALSE))</f>
        <v/>
      </c>
      <c r="CW236" s="476" t="s">
        <v>4723</v>
      </c>
      <c r="CX236" s="483" t="s">
        <v>1124</v>
      </c>
      <c r="CY236" s="483" t="s">
        <v>1124</v>
      </c>
      <c r="CZ236" s="483" t="s">
        <v>1124</v>
      </c>
      <c r="DA236" s="483" t="s">
        <v>1124</v>
      </c>
      <c r="DB236" s="483" t="s">
        <v>1124</v>
      </c>
      <c r="DC236" s="483" t="s">
        <v>1124</v>
      </c>
      <c r="DD236" s="483" t="s">
        <v>1124</v>
      </c>
      <c r="DE236" s="483" t="str">
        <f>IFERROR(SUM(VLOOKUP($BS236,'État &amp; Plan d''action'!$B$6:$Z$1113,18,FALSE),VLOOKUP($BS236,'État &amp; Plan d''action'!$B$6:$Z$1113,20,FALSE))/(VLOOKUP($BS236,'Données par municipalité'!$B$4:$L$1113,11,FALSE)),"")</f>
        <v/>
      </c>
      <c r="DF236" s="483" t="str">
        <f>IFERROR(SUM(VLOOKUP($BS236,'État &amp; Plan d''action'!$B$6:$Z$1113,19,FALSE),VLOOKUP($BS236,'État &amp; Plan d''action'!$B$6:$Z$1113,21,FALSE))/(VLOOKUP($BS236,'Données par municipalité'!$B$4:$L$1113,11,FALSE)),"")</f>
        <v/>
      </c>
      <c r="DG236" s="476" t="s">
        <v>4723</v>
      </c>
      <c r="DH236" s="484">
        <v>10</v>
      </c>
      <c r="DI236" s="484" t="s">
        <v>1124</v>
      </c>
      <c r="DJ236" s="484">
        <v>4</v>
      </c>
      <c r="DK236" s="484">
        <v>0</v>
      </c>
      <c r="DL236" s="484" t="s">
        <v>1124</v>
      </c>
      <c r="DM236" s="484" t="s">
        <v>1124</v>
      </c>
      <c r="DN236" s="484" t="s">
        <v>1124</v>
      </c>
      <c r="DO236" s="484" t="s">
        <v>1124</v>
      </c>
      <c r="DP236" s="484" t="s">
        <v>1124</v>
      </c>
      <c r="DQ236" s="484" t="str">
        <f>IF(VLOOKUP($BS236,'État &amp; Plan d''action'!$B$6:$AJ$1113,28,FALSE)="","",VLOOKUP($BS236,'État &amp; Plan d''action'!$B$6:$AJ$1113,28,FALSE))</f>
        <v/>
      </c>
      <c r="DR236" s="70" t="str">
        <f>IF(VLOOKUP($BS236,'État &amp; Plan d''action'!$B$6:$AJ$1113,29,FALSE)="","",VLOOKUP($BS236,'État &amp; Plan d''action'!$B$6:$AJ$1113,29,FALSE))</f>
        <v/>
      </c>
      <c r="DS236" s="70" t="str">
        <f>IF(VLOOKUP($BS236,'État &amp; Plan d''action'!$B$6:$AJ$1113,30,FALSE)="","",VLOOKUP($BS236,'État &amp; Plan d''action'!$B$6:$AJ$1113,30,FALSE))</f>
        <v/>
      </c>
      <c r="DT236" s="70" t="s">
        <v>1124</v>
      </c>
      <c r="DU236" s="485" t="s">
        <v>1124</v>
      </c>
      <c r="DV236" s="485" t="s">
        <v>1124</v>
      </c>
      <c r="DW236" s="70" t="s">
        <v>1124</v>
      </c>
      <c r="DX236" s="70" t="s">
        <v>1124</v>
      </c>
      <c r="DY236" s="70" t="s">
        <v>1124</v>
      </c>
      <c r="DZ236" s="70" t="str">
        <f>VLOOKUP($BS236,'État &amp; Plan d''action'!$B$6:$AH$1113,31,FALSE)</f>
        <v/>
      </c>
      <c r="EA236" s="70" t="str">
        <f>VLOOKUP($BS236,'État &amp; Plan d''action'!$B$6:$AH$1113,32,FALSE)</f>
        <v/>
      </c>
      <c r="EB236" s="70" t="str">
        <f>VLOOKUP($BS236,'État &amp; Plan d''action'!$B$6:$AH$1113,33,FALSE)</f>
        <v/>
      </c>
      <c r="EC236" s="70" t="s">
        <v>1124</v>
      </c>
      <c r="ED236" s="70" t="s">
        <v>1124</v>
      </c>
      <c r="EE236" s="70" t="s">
        <v>1124</v>
      </c>
      <c r="EF236" s="70" t="s">
        <v>1124</v>
      </c>
      <c r="EG236" s="70" t="s">
        <v>1124</v>
      </c>
      <c r="EH236" s="72"/>
      <c r="EI236" s="72">
        <v>2488</v>
      </c>
    </row>
    <row r="237" spans="1:139" x14ac:dyDescent="0.35">
      <c r="W237" s="418"/>
      <c r="X237" s="418"/>
      <c r="Y237" s="418"/>
      <c r="Z237" s="418"/>
      <c r="AA237" s="418"/>
      <c r="AB237" s="418"/>
      <c r="BS237" s="486">
        <v>32058</v>
      </c>
      <c r="BT237" s="479" t="s">
        <v>262</v>
      </c>
      <c r="BU237" s="479">
        <v>17</v>
      </c>
      <c r="BV237" s="476" t="s">
        <v>1188</v>
      </c>
      <c r="BW237" s="476" t="s">
        <v>1188</v>
      </c>
      <c r="BX237" s="476" t="s">
        <v>1188</v>
      </c>
      <c r="BY237" s="476" t="s">
        <v>1188</v>
      </c>
      <c r="BZ237" s="476" t="s">
        <v>1188</v>
      </c>
      <c r="CA237" s="476" t="s">
        <v>1188</v>
      </c>
      <c r="CB237" s="476" t="s">
        <v>1188</v>
      </c>
      <c r="CC237" s="476" t="s">
        <v>1188</v>
      </c>
      <c r="CD237" s="476" t="s">
        <v>1188</v>
      </c>
      <c r="CE237" s="476" t="s">
        <v>1187</v>
      </c>
      <c r="CF237" s="476" t="s">
        <v>1187</v>
      </c>
      <c r="CG237" s="476" t="s">
        <v>1187</v>
      </c>
      <c r="CH237" s="476" t="s">
        <v>1187</v>
      </c>
      <c r="CI237" s="476" t="s">
        <v>1187</v>
      </c>
      <c r="CJ237" s="476" t="s">
        <v>1187</v>
      </c>
      <c r="CK237" s="476" t="s">
        <v>1187</v>
      </c>
      <c r="CL237" s="476" t="s">
        <v>1187</v>
      </c>
      <c r="CM237" s="476" t="str">
        <f>IF(VLOOKUP(BS237,'Données par municipalité'!$B$6:$E$1113,4,FALSE)="","non","oui")</f>
        <v>non</v>
      </c>
      <c r="CN237" s="410" t="s">
        <v>1124</v>
      </c>
      <c r="CO237" s="410" t="s">
        <v>1124</v>
      </c>
      <c r="CP237" s="410"/>
      <c r="CQ237" s="410"/>
      <c r="CR237" s="410"/>
      <c r="CS237" s="410" t="s">
        <v>1124</v>
      </c>
      <c r="CT237" s="410"/>
      <c r="CU237" s="410" t="s">
        <v>1124</v>
      </c>
      <c r="CV237" s="410" t="str">
        <f>IF(VLOOKUP(BS237,'Données par municipalité'!$B$6:$F$1113,4,FALSE)="","",VLOOKUP(BS237,'Données par municipalité'!$B$6:$F$1113,4,FALSE))</f>
        <v/>
      </c>
      <c r="CW237" s="476" t="s">
        <v>4723</v>
      </c>
      <c r="CX237" s="483" t="s">
        <v>1124</v>
      </c>
      <c r="CY237" s="483" t="s">
        <v>1124</v>
      </c>
      <c r="CZ237" s="483" t="s">
        <v>1124</v>
      </c>
      <c r="DA237" s="483" t="s">
        <v>1124</v>
      </c>
      <c r="DB237" s="483" t="s">
        <v>1124</v>
      </c>
      <c r="DC237" s="483" t="s">
        <v>1124</v>
      </c>
      <c r="DD237" s="483" t="s">
        <v>1124</v>
      </c>
      <c r="DE237" s="483" t="str">
        <f>IFERROR(SUM(VLOOKUP($BS237,'État &amp; Plan d''action'!$B$6:$Z$1113,18,FALSE),VLOOKUP($BS237,'État &amp; Plan d''action'!$B$6:$Z$1113,20,FALSE))/(VLOOKUP($BS237,'Données par municipalité'!$B$4:$L$1113,11,FALSE)),"")</f>
        <v/>
      </c>
      <c r="DF237" s="483" t="str">
        <f>IFERROR(SUM(VLOOKUP($BS237,'État &amp; Plan d''action'!$B$6:$Z$1113,19,FALSE),VLOOKUP($BS237,'État &amp; Plan d''action'!$B$6:$Z$1113,21,FALSE))/(VLOOKUP($BS237,'Données par municipalité'!$B$4:$L$1113,11,FALSE)),"")</f>
        <v/>
      </c>
      <c r="DG237" s="476" t="s">
        <v>4723</v>
      </c>
      <c r="DH237" s="484" t="s">
        <v>1124</v>
      </c>
      <c r="DI237" s="484" t="s">
        <v>1124</v>
      </c>
      <c r="DJ237" s="484">
        <v>0</v>
      </c>
      <c r="DK237" s="484">
        <v>0</v>
      </c>
      <c r="DL237" s="484" t="s">
        <v>1124</v>
      </c>
      <c r="DM237" s="484" t="s">
        <v>1124</v>
      </c>
      <c r="DN237" s="484" t="s">
        <v>1124</v>
      </c>
      <c r="DO237" s="484" t="s">
        <v>1124</v>
      </c>
      <c r="DP237" s="484" t="s">
        <v>1124</v>
      </c>
      <c r="DQ237" s="484" t="str">
        <f>IF(VLOOKUP($BS237,'État &amp; Plan d''action'!$B$6:$AJ$1113,28,FALSE)="","",VLOOKUP($BS237,'État &amp; Plan d''action'!$B$6:$AJ$1113,28,FALSE))</f>
        <v/>
      </c>
      <c r="DR237" s="70" t="str">
        <f>IF(VLOOKUP($BS237,'État &amp; Plan d''action'!$B$6:$AJ$1113,29,FALSE)="","",VLOOKUP($BS237,'État &amp; Plan d''action'!$B$6:$AJ$1113,29,FALSE))</f>
        <v/>
      </c>
      <c r="DS237" s="70" t="str">
        <f>IF(VLOOKUP($BS237,'État &amp; Plan d''action'!$B$6:$AJ$1113,30,FALSE)="","",VLOOKUP($BS237,'État &amp; Plan d''action'!$B$6:$AJ$1113,30,FALSE))</f>
        <v/>
      </c>
      <c r="DT237" s="70" t="s">
        <v>1124</v>
      </c>
      <c r="DU237" s="485" t="s">
        <v>1124</v>
      </c>
      <c r="DV237" s="485" t="s">
        <v>1124</v>
      </c>
      <c r="DW237" s="70" t="s">
        <v>1124</v>
      </c>
      <c r="DX237" s="70" t="s">
        <v>1124</v>
      </c>
      <c r="DY237" s="70" t="s">
        <v>1124</v>
      </c>
      <c r="DZ237" s="70" t="str">
        <f>VLOOKUP($BS237,'État &amp; Plan d''action'!$B$6:$AH$1113,31,FALSE)</f>
        <v/>
      </c>
      <c r="EA237" s="70" t="str">
        <f>VLOOKUP($BS237,'État &amp; Plan d''action'!$B$6:$AH$1113,32,FALSE)</f>
        <v/>
      </c>
      <c r="EB237" s="70" t="str">
        <f>VLOOKUP($BS237,'État &amp; Plan d''action'!$B$6:$AH$1113,33,FALSE)</f>
        <v/>
      </c>
      <c r="EC237" s="70" t="s">
        <v>1124</v>
      </c>
      <c r="ED237" s="70" t="s">
        <v>1124</v>
      </c>
      <c r="EE237" s="70" t="s">
        <v>1124</v>
      </c>
      <c r="EF237" s="70" t="s">
        <v>1124</v>
      </c>
      <c r="EG237" s="70" t="s">
        <v>1124</v>
      </c>
      <c r="EH237" s="72"/>
      <c r="EI237" s="72">
        <v>928</v>
      </c>
    </row>
    <row r="238" spans="1:139" x14ac:dyDescent="0.35">
      <c r="W238" s="416" t="str">
        <f>W20</f>
        <v>TOUT LE QUÉBEC</v>
      </c>
      <c r="X238" s="418"/>
      <c r="Y238" s="418"/>
      <c r="Z238" s="418"/>
      <c r="AA238" s="418"/>
      <c r="AB238" s="418"/>
      <c r="BS238" s="486">
        <v>31040</v>
      </c>
      <c r="BT238" s="479" t="s">
        <v>243</v>
      </c>
      <c r="BU238" s="479">
        <v>12</v>
      </c>
      <c r="BV238" s="476" t="s">
        <v>1188</v>
      </c>
      <c r="BW238" s="476" t="s">
        <v>1188</v>
      </c>
      <c r="BX238" s="476" t="s">
        <v>1188</v>
      </c>
      <c r="BY238" s="476" t="s">
        <v>1188</v>
      </c>
      <c r="BZ238" s="476" t="s">
        <v>1188</v>
      </c>
      <c r="CA238" s="476" t="s">
        <v>1188</v>
      </c>
      <c r="CB238" s="476" t="s">
        <v>1188</v>
      </c>
      <c r="CC238" s="476" t="s">
        <v>1188</v>
      </c>
      <c r="CD238" s="476" t="s">
        <v>1188</v>
      </c>
      <c r="CE238" s="476" t="s">
        <v>1187</v>
      </c>
      <c r="CF238" s="476" t="s">
        <v>1187</v>
      </c>
      <c r="CG238" s="476" t="s">
        <v>1187</v>
      </c>
      <c r="CH238" s="476" t="s">
        <v>1187</v>
      </c>
      <c r="CI238" s="476" t="s">
        <v>1187</v>
      </c>
      <c r="CJ238" s="476" t="s">
        <v>1187</v>
      </c>
      <c r="CK238" s="476" t="s">
        <v>1187</v>
      </c>
      <c r="CL238" s="476" t="s">
        <v>1187</v>
      </c>
      <c r="CM238" s="476" t="str">
        <f>IF(VLOOKUP(BS238,'Données par municipalité'!$B$6:$E$1113,4,FALSE)="","non","oui")</f>
        <v>non</v>
      </c>
      <c r="CN238" s="410" t="s">
        <v>1124</v>
      </c>
      <c r="CO238" s="410" t="s">
        <v>1124</v>
      </c>
      <c r="CP238" s="410"/>
      <c r="CQ238" s="410"/>
      <c r="CR238" s="410"/>
      <c r="CS238" s="410" t="s">
        <v>1124</v>
      </c>
      <c r="CT238" s="410"/>
      <c r="CU238" s="410" t="s">
        <v>1124</v>
      </c>
      <c r="CV238" s="410" t="str">
        <f>IF(VLOOKUP(BS238,'Données par municipalité'!$B$6:$F$1113,4,FALSE)="","",VLOOKUP(BS238,'Données par municipalité'!$B$6:$F$1113,4,FALSE))</f>
        <v/>
      </c>
      <c r="CW238" s="476" t="s">
        <v>4723</v>
      </c>
      <c r="CX238" s="483" t="s">
        <v>1124</v>
      </c>
      <c r="CY238" s="483" t="s">
        <v>1124</v>
      </c>
      <c r="CZ238" s="483" t="s">
        <v>1124</v>
      </c>
      <c r="DA238" s="483" t="s">
        <v>1124</v>
      </c>
      <c r="DB238" s="483" t="s">
        <v>1124</v>
      </c>
      <c r="DC238" s="483" t="s">
        <v>1124</v>
      </c>
      <c r="DD238" s="483" t="s">
        <v>1124</v>
      </c>
      <c r="DE238" s="483" t="str">
        <f>IFERROR(SUM(VLOOKUP($BS238,'État &amp; Plan d''action'!$B$6:$Z$1113,18,FALSE),VLOOKUP($BS238,'État &amp; Plan d''action'!$B$6:$Z$1113,20,FALSE))/(VLOOKUP($BS238,'Données par municipalité'!$B$4:$L$1113,11,FALSE)),"")</f>
        <v/>
      </c>
      <c r="DF238" s="483" t="str">
        <f>IFERROR(SUM(VLOOKUP($BS238,'État &amp; Plan d''action'!$B$6:$Z$1113,19,FALSE),VLOOKUP($BS238,'État &amp; Plan d''action'!$B$6:$Z$1113,21,FALSE))/(VLOOKUP($BS238,'Données par municipalité'!$B$4:$L$1113,11,FALSE)),"")</f>
        <v/>
      </c>
      <c r="DG238" s="476" t="s">
        <v>4723</v>
      </c>
      <c r="DH238" s="484" t="s">
        <v>1124</v>
      </c>
      <c r="DI238" s="484" t="s">
        <v>1124</v>
      </c>
      <c r="DJ238" s="484">
        <v>0</v>
      </c>
      <c r="DK238" s="484">
        <v>0</v>
      </c>
      <c r="DL238" s="484" t="s">
        <v>1124</v>
      </c>
      <c r="DM238" s="484" t="s">
        <v>1124</v>
      </c>
      <c r="DN238" s="484" t="s">
        <v>1124</v>
      </c>
      <c r="DO238" s="484" t="s">
        <v>1124</v>
      </c>
      <c r="DP238" s="484" t="s">
        <v>1124</v>
      </c>
      <c r="DQ238" s="484" t="str">
        <f>IF(VLOOKUP($BS238,'État &amp; Plan d''action'!$B$6:$AJ$1113,28,FALSE)="","",VLOOKUP($BS238,'État &amp; Plan d''action'!$B$6:$AJ$1113,28,FALSE))</f>
        <v/>
      </c>
      <c r="DR238" s="70" t="str">
        <f>IF(VLOOKUP($BS238,'État &amp; Plan d''action'!$B$6:$AJ$1113,29,FALSE)="","",VLOOKUP($BS238,'État &amp; Plan d''action'!$B$6:$AJ$1113,29,FALSE))</f>
        <v/>
      </c>
      <c r="DS238" s="70" t="str">
        <f>IF(VLOOKUP($BS238,'État &amp; Plan d''action'!$B$6:$AJ$1113,30,FALSE)="","",VLOOKUP($BS238,'État &amp; Plan d''action'!$B$6:$AJ$1113,30,FALSE))</f>
        <v/>
      </c>
      <c r="DT238" s="70" t="s">
        <v>1124</v>
      </c>
      <c r="DU238" s="485" t="s">
        <v>1124</v>
      </c>
      <c r="DV238" s="485" t="s">
        <v>1124</v>
      </c>
      <c r="DW238" s="70" t="s">
        <v>1124</v>
      </c>
      <c r="DX238" s="70" t="s">
        <v>1124</v>
      </c>
      <c r="DY238" s="70" t="s">
        <v>1124</v>
      </c>
      <c r="DZ238" s="70" t="str">
        <f>VLOOKUP($BS238,'État &amp; Plan d''action'!$B$6:$AH$1113,31,FALSE)</f>
        <v/>
      </c>
      <c r="EA238" s="70" t="str">
        <f>VLOOKUP($BS238,'État &amp; Plan d''action'!$B$6:$AH$1113,32,FALSE)</f>
        <v/>
      </c>
      <c r="EB238" s="70" t="str">
        <f>VLOOKUP($BS238,'État &amp; Plan d''action'!$B$6:$AH$1113,33,FALSE)</f>
        <v/>
      </c>
      <c r="EC238" s="70" t="s">
        <v>1124</v>
      </c>
      <c r="ED238" s="70" t="s">
        <v>1124</v>
      </c>
      <c r="EE238" s="70" t="s">
        <v>1124</v>
      </c>
      <c r="EF238" s="70" t="s">
        <v>1124</v>
      </c>
      <c r="EG238" s="70" t="s">
        <v>1124</v>
      </c>
      <c r="EH238" s="72"/>
      <c r="EI238" s="72">
        <v>903</v>
      </c>
    </row>
    <row r="239" spans="1:139" x14ac:dyDescent="0.35">
      <c r="W239" s="416" t="str">
        <f>W21</f>
        <v/>
      </c>
      <c r="X239" s="418"/>
      <c r="Y239" s="418"/>
      <c r="Z239" s="418"/>
      <c r="AA239" s="418"/>
      <c r="AB239" s="418"/>
      <c r="BS239" s="486">
        <v>78042</v>
      </c>
      <c r="BT239" s="479" t="s">
        <v>771</v>
      </c>
      <c r="BU239" s="479">
        <v>15</v>
      </c>
      <c r="BV239" s="476" t="s">
        <v>1188</v>
      </c>
      <c r="BW239" s="476" t="s">
        <v>1188</v>
      </c>
      <c r="BX239" s="476" t="s">
        <v>1188</v>
      </c>
      <c r="BY239" s="476" t="s">
        <v>1188</v>
      </c>
      <c r="BZ239" s="476" t="s">
        <v>1188</v>
      </c>
      <c r="CA239" s="476" t="s">
        <v>1188</v>
      </c>
      <c r="CB239" s="476" t="s">
        <v>1188</v>
      </c>
      <c r="CC239" s="476" t="s">
        <v>1188</v>
      </c>
      <c r="CD239" s="476" t="s">
        <v>1188</v>
      </c>
      <c r="CE239" s="476" t="s">
        <v>1188</v>
      </c>
      <c r="CF239" s="476" t="s">
        <v>1188</v>
      </c>
      <c r="CG239" s="476" t="s">
        <v>1187</v>
      </c>
      <c r="CH239" s="476" t="s">
        <v>1187</v>
      </c>
      <c r="CI239" s="476" t="s">
        <v>1187</v>
      </c>
      <c r="CJ239" s="476" t="s">
        <v>1187</v>
      </c>
      <c r="CK239" s="476" t="s">
        <v>1187</v>
      </c>
      <c r="CL239" s="476" t="s">
        <v>1187</v>
      </c>
      <c r="CM239" s="476" t="str">
        <f>IF(VLOOKUP(BS239,'Données par municipalité'!$B$6:$E$1113,4,FALSE)="","non","oui")</f>
        <v>non</v>
      </c>
      <c r="CN239" s="410">
        <v>367.87873996067162</v>
      </c>
      <c r="CO239" s="410">
        <v>368.70776922066352</v>
      </c>
      <c r="CP239" s="410"/>
      <c r="CQ239" s="410"/>
      <c r="CR239" s="410"/>
      <c r="CS239" s="410" t="s">
        <v>1124</v>
      </c>
      <c r="CT239" s="410"/>
      <c r="CU239" s="410" t="s">
        <v>1124</v>
      </c>
      <c r="CV239" s="410" t="str">
        <f>IF(VLOOKUP(BS239,'Données par municipalité'!$B$6:$F$1113,4,FALSE)="","",VLOOKUP(BS239,'Données par municipalité'!$B$6:$F$1113,4,FALSE))</f>
        <v/>
      </c>
      <c r="CW239" s="476" t="s">
        <v>4723</v>
      </c>
      <c r="CX239" s="483" t="s">
        <v>1124</v>
      </c>
      <c r="CY239" s="483" t="s">
        <v>1124</v>
      </c>
      <c r="CZ239" s="483" t="s">
        <v>1124</v>
      </c>
      <c r="DA239" s="483" t="s">
        <v>1124</v>
      </c>
      <c r="DB239" s="483" t="s">
        <v>1124</v>
      </c>
      <c r="DC239" s="483" t="s">
        <v>1124</v>
      </c>
      <c r="DD239" s="483" t="s">
        <v>1124</v>
      </c>
      <c r="DE239" s="483" t="str">
        <f>IFERROR(SUM(VLOOKUP($BS239,'État &amp; Plan d''action'!$B$6:$Z$1113,18,FALSE),VLOOKUP($BS239,'État &amp; Plan d''action'!$B$6:$Z$1113,20,FALSE))/(VLOOKUP($BS239,'Données par municipalité'!$B$4:$L$1113,11,FALSE)),"")</f>
        <v/>
      </c>
      <c r="DF239" s="483" t="str">
        <f>IFERROR(SUM(VLOOKUP($BS239,'État &amp; Plan d''action'!$B$6:$Z$1113,19,FALSE),VLOOKUP($BS239,'État &amp; Plan d''action'!$B$6:$Z$1113,21,FALSE))/(VLOOKUP($BS239,'Données par municipalité'!$B$4:$L$1113,11,FALSE)),"")</f>
        <v/>
      </c>
      <c r="DG239" s="476" t="s">
        <v>4723</v>
      </c>
      <c r="DH239" s="484" t="s">
        <v>1124</v>
      </c>
      <c r="DI239" s="484" t="s">
        <v>1124</v>
      </c>
      <c r="DJ239" s="484">
        <v>0</v>
      </c>
      <c r="DK239" s="484">
        <v>0</v>
      </c>
      <c r="DL239" s="484" t="s">
        <v>1124</v>
      </c>
      <c r="DM239" s="484" t="s">
        <v>1124</v>
      </c>
      <c r="DN239" s="484" t="s">
        <v>1124</v>
      </c>
      <c r="DO239" s="484" t="s">
        <v>1124</v>
      </c>
      <c r="DP239" s="484" t="s">
        <v>1124</v>
      </c>
      <c r="DQ239" s="484" t="str">
        <f>IF(VLOOKUP($BS239,'État &amp; Plan d''action'!$B$6:$AJ$1113,28,FALSE)="","",VLOOKUP($BS239,'État &amp; Plan d''action'!$B$6:$AJ$1113,28,FALSE))</f>
        <v/>
      </c>
      <c r="DR239" s="70" t="str">
        <f>IF(VLOOKUP($BS239,'État &amp; Plan d''action'!$B$6:$AJ$1113,29,FALSE)="","",VLOOKUP($BS239,'État &amp; Plan d''action'!$B$6:$AJ$1113,29,FALSE))</f>
        <v/>
      </c>
      <c r="DS239" s="70" t="str">
        <f>IF(VLOOKUP($BS239,'État &amp; Plan d''action'!$B$6:$AJ$1113,30,FALSE)="","",VLOOKUP($BS239,'État &amp; Plan d''action'!$B$6:$AJ$1113,30,FALSE))</f>
        <v/>
      </c>
      <c r="DT239" s="70" t="s">
        <v>1124</v>
      </c>
      <c r="DU239" s="485" t="s">
        <v>1124</v>
      </c>
      <c r="DV239" s="485" t="s">
        <v>1124</v>
      </c>
      <c r="DW239" s="70" t="s">
        <v>1124</v>
      </c>
      <c r="DX239" s="70" t="s">
        <v>1124</v>
      </c>
      <c r="DY239" s="70" t="s">
        <v>1124</v>
      </c>
      <c r="DZ239" s="70" t="str">
        <f>VLOOKUP($BS239,'État &amp; Plan d''action'!$B$6:$AH$1113,31,FALSE)</f>
        <v/>
      </c>
      <c r="EA239" s="70" t="str">
        <f>VLOOKUP($BS239,'État &amp; Plan d''action'!$B$6:$AH$1113,32,FALSE)</f>
        <v/>
      </c>
      <c r="EB239" s="70" t="str">
        <f>VLOOKUP($BS239,'État &amp; Plan d''action'!$B$6:$AH$1113,33,FALSE)</f>
        <v/>
      </c>
      <c r="EC239" s="70" t="s">
        <v>1124</v>
      </c>
      <c r="ED239" s="70" t="s">
        <v>1124</v>
      </c>
      <c r="EE239" s="70" t="s">
        <v>1124</v>
      </c>
      <c r="EF239" s="70" t="s">
        <v>1124</v>
      </c>
      <c r="EG239" s="70" t="s">
        <v>1124</v>
      </c>
      <c r="EH239" s="72"/>
      <c r="EI239" s="72">
        <v>379</v>
      </c>
    </row>
    <row r="240" spans="1:139" x14ac:dyDescent="0.35">
      <c r="W240" s="424" t="s">
        <v>1204</v>
      </c>
      <c r="X240" s="418"/>
      <c r="Y240" s="418"/>
      <c r="Z240" s="418"/>
      <c r="AA240" s="418"/>
      <c r="AB240" s="418"/>
      <c r="BS240" s="486">
        <v>61025</v>
      </c>
      <c r="BT240" s="479" t="s">
        <v>612</v>
      </c>
      <c r="BU240" s="479">
        <v>14</v>
      </c>
      <c r="BV240" s="476" t="s">
        <v>1187</v>
      </c>
      <c r="BW240" s="476" t="s">
        <v>1187</v>
      </c>
      <c r="BX240" s="476" t="s">
        <v>1187</v>
      </c>
      <c r="BY240" s="476" t="s">
        <v>1187</v>
      </c>
      <c r="BZ240" s="476" t="s">
        <v>1187</v>
      </c>
      <c r="CA240" s="476" t="s">
        <v>1187</v>
      </c>
      <c r="CB240" s="476" t="s">
        <v>1187</v>
      </c>
      <c r="CC240" s="476" t="s">
        <v>1187</v>
      </c>
      <c r="CD240" s="476" t="s">
        <v>1187</v>
      </c>
      <c r="CE240" s="476" t="s">
        <v>1188</v>
      </c>
      <c r="CF240" s="476" t="s">
        <v>1188</v>
      </c>
      <c r="CG240" s="476" t="s">
        <v>1188</v>
      </c>
      <c r="CH240" s="476" t="s">
        <v>1188</v>
      </c>
      <c r="CI240" s="476" t="s">
        <v>1188</v>
      </c>
      <c r="CJ240" s="476" t="s">
        <v>1188</v>
      </c>
      <c r="CK240" s="476" t="s">
        <v>1188</v>
      </c>
      <c r="CL240" s="476" t="s">
        <v>1188</v>
      </c>
      <c r="CM240" s="476" t="str">
        <f>IF(VLOOKUP(BS240,'Données par municipalité'!$B$6:$E$1113,4,FALSE)="","non","oui")</f>
        <v>oui</v>
      </c>
      <c r="CN240" s="410">
        <v>693.06688217863007</v>
      </c>
      <c r="CO240" s="410">
        <v>746.5505887609695</v>
      </c>
      <c r="CP240" s="410">
        <v>693.37468489780406</v>
      </c>
      <c r="CQ240" s="410">
        <v>658.04526100777002</v>
      </c>
      <c r="CR240" s="410">
        <v>412.10684674560821</v>
      </c>
      <c r="CS240" s="410">
        <v>733.25526597179669</v>
      </c>
      <c r="CT240" s="410">
        <v>719.89809874387936</v>
      </c>
      <c r="CU240" s="410">
        <v>627</v>
      </c>
      <c r="CV240" s="410">
        <f>IF(VLOOKUP(BS240,'Données par municipalité'!$B$6:$F$1113,4,FALSE)="","",VLOOKUP(BS240,'Données par municipalité'!$B$6:$F$1113,4,FALSE))</f>
        <v>567</v>
      </c>
      <c r="CW240" s="476" t="s">
        <v>4723</v>
      </c>
      <c r="CX240" s="483">
        <v>1</v>
      </c>
      <c r="CY240" s="483">
        <v>1</v>
      </c>
      <c r="CZ240" s="483">
        <v>1</v>
      </c>
      <c r="DA240" s="483">
        <v>1</v>
      </c>
      <c r="DB240" s="483">
        <v>1</v>
      </c>
      <c r="DC240" s="483">
        <v>1</v>
      </c>
      <c r="DD240" s="483">
        <v>1.0442692822389135</v>
      </c>
      <c r="DE240" s="483">
        <f>IFERROR(SUM(VLOOKUP($BS240,'État &amp; Plan d''action'!$B$6:$Z$1113,18,FALSE),VLOOKUP($BS240,'État &amp; Plan d''action'!$B$6:$Z$1113,20,FALSE))/(VLOOKUP($BS240,'Données par municipalité'!$B$4:$L$1113,11,FALSE)),"")</f>
        <v>1</v>
      </c>
      <c r="DF240" s="483">
        <f>IFERROR(SUM(VLOOKUP($BS240,'État &amp; Plan d''action'!$B$6:$Z$1113,19,FALSE),VLOOKUP($BS240,'État &amp; Plan d''action'!$B$6:$Z$1113,21,FALSE))/(VLOOKUP($BS240,'Données par municipalité'!$B$4:$L$1113,11,FALSE)),"")</f>
        <v>1</v>
      </c>
      <c r="DG240" s="476" t="s">
        <v>4723</v>
      </c>
      <c r="DH240" s="484">
        <v>13</v>
      </c>
      <c r="DI240" s="484">
        <v>10</v>
      </c>
      <c r="DJ240" s="484">
        <v>21</v>
      </c>
      <c r="DK240" s="484">
        <v>21</v>
      </c>
      <c r="DL240" s="484">
        <v>15</v>
      </c>
      <c r="DM240" s="484">
        <v>12</v>
      </c>
      <c r="DN240" s="484">
        <v>18</v>
      </c>
      <c r="DO240" s="484">
        <v>4</v>
      </c>
      <c r="DP240" s="484">
        <v>0</v>
      </c>
      <c r="DQ240" s="484">
        <f>IF(VLOOKUP($BS240,'État &amp; Plan d''action'!$B$6:$AJ$1113,28,FALSE)="","",VLOOKUP($BS240,'État &amp; Plan d''action'!$B$6:$AJ$1113,28,FALSE))</f>
        <v>18</v>
      </c>
      <c r="DR240" s="70">
        <f>IF(VLOOKUP($BS240,'État &amp; Plan d''action'!$B$6:$AJ$1113,29,FALSE)="","",VLOOKUP($BS240,'État &amp; Plan d''action'!$B$6:$AJ$1113,29,FALSE))</f>
        <v>0</v>
      </c>
      <c r="DS240" s="70">
        <f>IF(VLOOKUP($BS240,'État &amp; Plan d''action'!$B$6:$AJ$1113,30,FALSE)="","",VLOOKUP($BS240,'État &amp; Plan d''action'!$B$6:$AJ$1113,30,FALSE))</f>
        <v>0</v>
      </c>
      <c r="DT240" s="70">
        <v>312</v>
      </c>
      <c r="DU240" s="485">
        <v>2.7484828700450259</v>
      </c>
      <c r="DV240" s="485">
        <v>2.7476739777370578</v>
      </c>
      <c r="DW240" s="70">
        <v>1</v>
      </c>
      <c r="DX240" s="70">
        <v>2</v>
      </c>
      <c r="DY240" s="70">
        <v>0</v>
      </c>
      <c r="DZ240" s="70">
        <f>VLOOKUP($BS240,'État &amp; Plan d''action'!$B$6:$AH$1113,31,FALSE)</f>
        <v>2</v>
      </c>
      <c r="EA240" s="70">
        <f>VLOOKUP($BS240,'État &amp; Plan d''action'!$B$6:$AH$1113,32,FALSE)</f>
        <v>0</v>
      </c>
      <c r="EB240" s="70">
        <f>VLOOKUP($BS240,'État &amp; Plan d''action'!$B$6:$AH$1113,33,FALSE)</f>
        <v>0</v>
      </c>
      <c r="EC240" s="70">
        <v>0</v>
      </c>
      <c r="ED240" s="70">
        <v>135</v>
      </c>
      <c r="EE240" s="70">
        <v>0</v>
      </c>
      <c r="EF240" s="70">
        <v>0</v>
      </c>
      <c r="EG240" s="70">
        <v>0</v>
      </c>
      <c r="EH240" s="72">
        <v>56</v>
      </c>
      <c r="EI240" s="72">
        <v>20830</v>
      </c>
    </row>
    <row r="241" spans="23:139" x14ac:dyDescent="0.35">
      <c r="W241" s="418"/>
      <c r="X241" s="418" t="s">
        <v>1199</v>
      </c>
      <c r="Y241" s="418" t="s">
        <v>1159</v>
      </c>
      <c r="Z241" s="418"/>
      <c r="AA241" s="418"/>
      <c r="AB241" s="418"/>
      <c r="BS241" s="486">
        <v>14050</v>
      </c>
      <c r="BT241" s="479" t="s">
        <v>68</v>
      </c>
      <c r="BU241" s="479">
        <v>1</v>
      </c>
      <c r="BV241" s="476" t="s">
        <v>1187</v>
      </c>
      <c r="BW241" s="476" t="s">
        <v>1187</v>
      </c>
      <c r="BX241" s="476" t="s">
        <v>1187</v>
      </c>
      <c r="BY241" s="476" t="s">
        <v>1187</v>
      </c>
      <c r="BZ241" s="476" t="s">
        <v>1187</v>
      </c>
      <c r="CA241" s="476" t="s">
        <v>1187</v>
      </c>
      <c r="CB241" s="476" t="s">
        <v>1187</v>
      </c>
      <c r="CC241" s="476" t="s">
        <v>1187</v>
      </c>
      <c r="CD241" s="476" t="s">
        <v>1187</v>
      </c>
      <c r="CE241" s="476" t="s">
        <v>1188</v>
      </c>
      <c r="CF241" s="476" t="s">
        <v>1188</v>
      </c>
      <c r="CG241" s="476" t="s">
        <v>1188</v>
      </c>
      <c r="CH241" s="476" t="s">
        <v>1188</v>
      </c>
      <c r="CI241" s="476" t="s">
        <v>1188</v>
      </c>
      <c r="CJ241" s="476" t="s">
        <v>1188</v>
      </c>
      <c r="CK241" s="476" t="s">
        <v>1188</v>
      </c>
      <c r="CL241" s="476" t="s">
        <v>1188</v>
      </c>
      <c r="CM241" s="476" t="str">
        <f>IF(VLOOKUP(BS241,'Données par municipalité'!$B$6:$E$1113,4,FALSE)="","non","oui")</f>
        <v>oui</v>
      </c>
      <c r="CN241" s="410">
        <v>356.9956436070371</v>
      </c>
      <c r="CO241" s="410">
        <v>242.73154760897739</v>
      </c>
      <c r="CP241" s="410">
        <v>329.46874447767834</v>
      </c>
      <c r="CQ241" s="410">
        <v>355.10087067222776</v>
      </c>
      <c r="CR241" s="410">
        <v>473.12274968029817</v>
      </c>
      <c r="CS241" s="410">
        <v>327.01893580201431</v>
      </c>
      <c r="CT241" s="410">
        <v>277.88019449722844</v>
      </c>
      <c r="CU241" s="410">
        <v>490</v>
      </c>
      <c r="CV241" s="410">
        <f>IF(VLOOKUP(BS241,'Données par municipalité'!$B$6:$F$1113,4,FALSE)="","",VLOOKUP(BS241,'Données par municipalité'!$B$6:$F$1113,4,FALSE))</f>
        <v>525</v>
      </c>
      <c r="CW241" s="476" t="s">
        <v>4723</v>
      </c>
      <c r="CX241" s="483">
        <v>0.95</v>
      </c>
      <c r="CY241" s="483">
        <v>0.95</v>
      </c>
      <c r="CZ241" s="483">
        <v>0</v>
      </c>
      <c r="DA241" s="483">
        <v>1</v>
      </c>
      <c r="DB241" s="483">
        <v>1</v>
      </c>
      <c r="DC241" s="483">
        <v>1</v>
      </c>
      <c r="DD241" s="483">
        <v>0</v>
      </c>
      <c r="DE241" s="483">
        <f>IFERROR(SUM(VLOOKUP($BS241,'État &amp; Plan d''action'!$B$6:$Z$1113,18,FALSE),VLOOKUP($BS241,'État &amp; Plan d''action'!$B$6:$Z$1113,20,FALSE))/(VLOOKUP($BS241,'Données par municipalité'!$B$4:$L$1113,11,FALSE)),"")</f>
        <v>0</v>
      </c>
      <c r="DF241" s="483">
        <f>IFERROR(SUM(VLOOKUP($BS241,'État &amp; Plan d''action'!$B$6:$Z$1113,19,FALSE),VLOOKUP($BS241,'État &amp; Plan d''action'!$B$6:$Z$1113,21,FALSE))/(VLOOKUP($BS241,'Données par municipalité'!$B$4:$L$1113,11,FALSE)),"")</f>
        <v>1.0113268608414239</v>
      </c>
      <c r="DG241" s="476" t="s">
        <v>4723</v>
      </c>
      <c r="DH241" s="484">
        <v>1</v>
      </c>
      <c r="DI241" s="484">
        <v>1</v>
      </c>
      <c r="DJ241" s="484">
        <v>0</v>
      </c>
      <c r="DK241" s="484">
        <v>1</v>
      </c>
      <c r="DL241" s="484">
        <v>0</v>
      </c>
      <c r="DM241" s="484">
        <v>1</v>
      </c>
      <c r="DN241" s="484">
        <v>0</v>
      </c>
      <c r="DO241" s="484">
        <v>0</v>
      </c>
      <c r="DP241" s="484">
        <v>0</v>
      </c>
      <c r="DQ241" s="484">
        <f>IF(VLOOKUP($BS241,'État &amp; Plan d''action'!$B$6:$AJ$1113,28,FALSE)="","",VLOOKUP($BS241,'État &amp; Plan d''action'!$B$6:$AJ$1113,28,FALSE))</f>
        <v>0</v>
      </c>
      <c r="DR241" s="70">
        <f>IF(VLOOKUP($BS241,'État &amp; Plan d''action'!$B$6:$AJ$1113,29,FALSE)="","",VLOOKUP($BS241,'État &amp; Plan d''action'!$B$6:$AJ$1113,29,FALSE))</f>
        <v>0</v>
      </c>
      <c r="DS241" s="70">
        <f>IF(VLOOKUP($BS241,'État &amp; Plan d''action'!$B$6:$AJ$1113,30,FALSE)="","",VLOOKUP($BS241,'État &amp; Plan d''action'!$B$6:$AJ$1113,30,FALSE))</f>
        <v>0</v>
      </c>
      <c r="DT241" s="70">
        <v>171</v>
      </c>
      <c r="DU241" s="485">
        <v>1.5788291929100977</v>
      </c>
      <c r="DV241" s="485">
        <v>2.2035398768772065</v>
      </c>
      <c r="DW241" s="70">
        <v>0</v>
      </c>
      <c r="DX241" s="70">
        <v>0</v>
      </c>
      <c r="DY241" s="70">
        <v>0</v>
      </c>
      <c r="DZ241" s="70">
        <f>VLOOKUP($BS241,'État &amp; Plan d''action'!$B$6:$AH$1113,31,FALSE)</f>
        <v>0</v>
      </c>
      <c r="EA241" s="70">
        <f>VLOOKUP($BS241,'État &amp; Plan d''action'!$B$6:$AH$1113,32,FALSE)</f>
        <v>0</v>
      </c>
      <c r="EB241" s="70">
        <f>VLOOKUP($BS241,'État &amp; Plan d''action'!$B$6:$AH$1113,33,FALSE)</f>
        <v>0</v>
      </c>
      <c r="EC241" s="70">
        <v>0</v>
      </c>
      <c r="ED241" s="70">
        <v>0</v>
      </c>
      <c r="EE241" s="70">
        <v>0</v>
      </c>
      <c r="EF241" s="70">
        <v>0</v>
      </c>
      <c r="EG241" s="70">
        <v>0</v>
      </c>
      <c r="EH241" s="72">
        <v>35</v>
      </c>
      <c r="EI241" s="72">
        <v>608</v>
      </c>
    </row>
    <row r="242" spans="23:139" x14ac:dyDescent="0.35">
      <c r="W242" s="418" t="s">
        <v>1203</v>
      </c>
      <c r="X242" s="452" t="str">
        <f>IF($W$21="","ND",IF(AE$25="non","ND",SUM(INDEX(Coût!$B$6:$EL$1113,MATCH($W$21,Coût!$B$6:$B$1113,0),4):INDEX(Coût!$B$6:$EL$1113,MATCH($W$21,Coût!$B$6:$B$1113,0),19))))</f>
        <v>ND</v>
      </c>
      <c r="Y242" s="451" t="str">
        <f>IF(ISERROR(IF(X242=0,"",TEXT(IF(X242="","",X242),"# ##0")&amp;" ( "&amp;TEXT(IF(X242="","",X242)/SUM($X$242:$X$246),"0%")&amp;")")),"ND",IF(X242=0,"",TEXT(IF(X242="","",X242),"# ##0")&amp;" ( "&amp;TEXT(IF(X242="","",X242)/SUM($X$242:$X$246),"0%")&amp;")"))</f>
        <v>ND</v>
      </c>
      <c r="Z242" s="418"/>
      <c r="AA242" s="418"/>
      <c r="AB242" s="418"/>
      <c r="BS242" s="486">
        <v>83015</v>
      </c>
      <c r="BT242" s="479" t="s">
        <v>837</v>
      </c>
      <c r="BU242" s="479">
        <v>7</v>
      </c>
      <c r="BV242" s="476" t="s">
        <v>1188</v>
      </c>
      <c r="BW242" s="476" t="s">
        <v>1188</v>
      </c>
      <c r="BX242" s="476" t="s">
        <v>1188</v>
      </c>
      <c r="BY242" s="476" t="s">
        <v>1188</v>
      </c>
      <c r="BZ242" s="476" t="s">
        <v>1188</v>
      </c>
      <c r="CA242" s="476" t="s">
        <v>1188</v>
      </c>
      <c r="CB242" s="476" t="s">
        <v>1188</v>
      </c>
      <c r="CC242" s="476" t="s">
        <v>1188</v>
      </c>
      <c r="CD242" s="476" t="s">
        <v>1188</v>
      </c>
      <c r="CE242" s="476" t="s">
        <v>1188</v>
      </c>
      <c r="CF242" s="476" t="s">
        <v>1188</v>
      </c>
      <c r="CG242" s="476" t="s">
        <v>1188</v>
      </c>
      <c r="CH242" s="476" t="s">
        <v>1188</v>
      </c>
      <c r="CI242" s="476" t="s">
        <v>1188</v>
      </c>
      <c r="CJ242" s="476" t="s">
        <v>1187</v>
      </c>
      <c r="CK242" s="476" t="s">
        <v>1187</v>
      </c>
      <c r="CL242" s="476" t="s">
        <v>1187</v>
      </c>
      <c r="CM242" s="476" t="str">
        <f>IF(VLOOKUP(BS242,'Données par municipalité'!$B$6:$E$1113,4,FALSE)="","non","oui")</f>
        <v>non</v>
      </c>
      <c r="CN242" s="410">
        <v>156.31776590680698</v>
      </c>
      <c r="CO242" s="410">
        <v>259.09933068192839</v>
      </c>
      <c r="CP242" s="410">
        <v>200.16609871138093</v>
      </c>
      <c r="CQ242" s="410">
        <v>200</v>
      </c>
      <c r="CR242" s="410">
        <v>4545.3494620930205</v>
      </c>
      <c r="CS242" s="410" t="s">
        <v>1124</v>
      </c>
      <c r="CT242" s="410"/>
      <c r="CU242" s="410" t="s">
        <v>1124</v>
      </c>
      <c r="CV242" s="410" t="str">
        <f>IF(VLOOKUP(BS242,'Données par municipalité'!$B$6:$F$1113,4,FALSE)="","",VLOOKUP(BS242,'Données par municipalité'!$B$6:$F$1113,4,FALSE))</f>
        <v/>
      </c>
      <c r="CW242" s="476" t="s">
        <v>4723</v>
      </c>
      <c r="CX242" s="483" t="s">
        <v>1124</v>
      </c>
      <c r="CY242" s="483">
        <v>0</v>
      </c>
      <c r="CZ242" s="483">
        <v>0</v>
      </c>
      <c r="DA242" s="483">
        <v>0</v>
      </c>
      <c r="DB242" s="483" t="s">
        <v>1124</v>
      </c>
      <c r="DC242" s="483" t="s">
        <v>1124</v>
      </c>
      <c r="DD242" s="483" t="s">
        <v>1124</v>
      </c>
      <c r="DE242" s="483" t="str">
        <f>IFERROR(SUM(VLOOKUP($BS242,'État &amp; Plan d''action'!$B$6:$Z$1113,18,FALSE),VLOOKUP($BS242,'État &amp; Plan d''action'!$B$6:$Z$1113,20,FALSE))/(VLOOKUP($BS242,'Données par municipalité'!$B$4:$L$1113,11,FALSE)),"")</f>
        <v/>
      </c>
      <c r="DF242" s="483" t="str">
        <f>IFERROR(SUM(VLOOKUP($BS242,'État &amp; Plan d''action'!$B$6:$Z$1113,19,FALSE),VLOOKUP($BS242,'État &amp; Plan d''action'!$B$6:$Z$1113,21,FALSE))/(VLOOKUP($BS242,'Données par municipalité'!$B$4:$L$1113,11,FALSE)),"")</f>
        <v/>
      </c>
      <c r="DG242" s="476" t="s">
        <v>4723</v>
      </c>
      <c r="DH242" s="484" t="s">
        <v>1124</v>
      </c>
      <c r="DI242" s="484" t="s">
        <v>1124</v>
      </c>
      <c r="DJ242" s="484">
        <v>0</v>
      </c>
      <c r="DK242" s="484">
        <v>0</v>
      </c>
      <c r="DL242" s="484" t="s">
        <v>1124</v>
      </c>
      <c r="DM242" s="484" t="s">
        <v>1124</v>
      </c>
      <c r="DN242" s="484" t="s">
        <v>1124</v>
      </c>
      <c r="DO242" s="484" t="s">
        <v>1124</v>
      </c>
      <c r="DP242" s="484" t="s">
        <v>1124</v>
      </c>
      <c r="DQ242" s="484" t="str">
        <f>IF(VLOOKUP($BS242,'État &amp; Plan d''action'!$B$6:$AJ$1113,28,FALSE)="","",VLOOKUP($BS242,'État &amp; Plan d''action'!$B$6:$AJ$1113,28,FALSE))</f>
        <v/>
      </c>
      <c r="DR242" s="70" t="str">
        <f>IF(VLOOKUP($BS242,'État &amp; Plan d''action'!$B$6:$AJ$1113,29,FALSE)="","",VLOOKUP($BS242,'État &amp; Plan d''action'!$B$6:$AJ$1113,29,FALSE))</f>
        <v/>
      </c>
      <c r="DS242" s="70" t="str">
        <f>IF(VLOOKUP($BS242,'État &amp; Plan d''action'!$B$6:$AJ$1113,30,FALSE)="","",VLOOKUP($BS242,'État &amp; Plan d''action'!$B$6:$AJ$1113,30,FALSE))</f>
        <v/>
      </c>
      <c r="DT242" s="70" t="s">
        <v>1124</v>
      </c>
      <c r="DU242" s="485" t="s">
        <v>1124</v>
      </c>
      <c r="DV242" s="485" t="s">
        <v>1124</v>
      </c>
      <c r="DW242" s="70" t="s">
        <v>1124</v>
      </c>
      <c r="DX242" s="70" t="s">
        <v>1124</v>
      </c>
      <c r="DY242" s="70" t="s">
        <v>1124</v>
      </c>
      <c r="DZ242" s="70" t="str">
        <f>VLOOKUP($BS242,'État &amp; Plan d''action'!$B$6:$AH$1113,31,FALSE)</f>
        <v/>
      </c>
      <c r="EA242" s="70" t="str">
        <f>VLOOKUP($BS242,'État &amp; Plan d''action'!$B$6:$AH$1113,32,FALSE)</f>
        <v/>
      </c>
      <c r="EB242" s="70" t="str">
        <f>VLOOKUP($BS242,'État &amp; Plan d''action'!$B$6:$AH$1113,33,FALSE)</f>
        <v/>
      </c>
      <c r="EC242" s="70" t="s">
        <v>1124</v>
      </c>
      <c r="ED242" s="70" t="s">
        <v>1124</v>
      </c>
      <c r="EE242" s="70" t="s">
        <v>1124</v>
      </c>
      <c r="EF242" s="70" t="s">
        <v>1124</v>
      </c>
      <c r="EG242" s="70" t="s">
        <v>1124</v>
      </c>
      <c r="EH242" s="72"/>
      <c r="EI242" s="72">
        <v>976</v>
      </c>
    </row>
    <row r="243" spans="23:139" x14ac:dyDescent="0.35">
      <c r="W243" s="418" t="s">
        <v>1199</v>
      </c>
      <c r="X243" s="452" t="e">
        <f>IF($W$21="","ND",IF(AE$25="non","ND",SUM(INDEX(Coût!$B$6:$EL$1113,MATCH($W$21,Coût!$B$6:$B$1113,0),34):INDEX(Coût!$B$6:$EL$1113,MATCH($W$21,Coût!$B$6:$B$1113,0),43))))/10</f>
        <v>#VALUE!</v>
      </c>
      <c r="Y243" s="451" t="str">
        <f>IF(ISERROR(IF(X243=0,"",TEXT(IF(X243="","",X243),"# ##0")&amp;" ( "&amp;TEXT(IF(X243="","",X243)/SUM($X$242:$X$246),"0%")&amp;")")),"ND",IF(X243=0,"",TEXT(IF(X243="","",X243),"# ##0")&amp;" ( "&amp;TEXT(IF(X243="","",X243)/SUM($X$242:$X$246),"0%")&amp;")"))</f>
        <v>ND</v>
      </c>
      <c r="Z243" s="418"/>
      <c r="AA243" s="418"/>
      <c r="AB243" s="418"/>
      <c r="BS243" s="486">
        <v>79025</v>
      </c>
      <c r="BT243" s="479" t="s">
        <v>790</v>
      </c>
      <c r="BU243" s="479">
        <v>15</v>
      </c>
      <c r="BV243" s="476" t="s">
        <v>1187</v>
      </c>
      <c r="BW243" s="476" t="s">
        <v>1187</v>
      </c>
      <c r="BX243" s="476" t="s">
        <v>1187</v>
      </c>
      <c r="BY243" s="476" t="s">
        <v>1187</v>
      </c>
      <c r="BZ243" s="476" t="s">
        <v>1187</v>
      </c>
      <c r="CA243" s="476" t="s">
        <v>1187</v>
      </c>
      <c r="CB243" s="476" t="s">
        <v>1187</v>
      </c>
      <c r="CC243" s="476" t="s">
        <v>1187</v>
      </c>
      <c r="CD243" s="476" t="s">
        <v>1187</v>
      </c>
      <c r="CE243" s="476" t="s">
        <v>1188</v>
      </c>
      <c r="CF243" s="476" t="s">
        <v>1188</v>
      </c>
      <c r="CG243" s="476" t="s">
        <v>1187</v>
      </c>
      <c r="CH243" s="476" t="s">
        <v>1188</v>
      </c>
      <c r="CI243" s="476" t="s">
        <v>1188</v>
      </c>
      <c r="CJ243" s="476" t="s">
        <v>1188</v>
      </c>
      <c r="CK243" s="476" t="s">
        <v>1188</v>
      </c>
      <c r="CL243" s="476" t="s">
        <v>1188</v>
      </c>
      <c r="CM243" s="476" t="str">
        <f>IF(VLOOKUP(BS243,'Données par municipalité'!$B$6:$E$1113,4,FALSE)="","non","oui")</f>
        <v>oui</v>
      </c>
      <c r="CN243" s="410">
        <v>2213.0453444299751</v>
      </c>
      <c r="CO243" s="410">
        <v>980.97293417855167</v>
      </c>
      <c r="CP243" s="410"/>
      <c r="CQ243" s="410">
        <v>964.43135464231341</v>
      </c>
      <c r="CR243" s="410">
        <v>1151.5220700152208</v>
      </c>
      <c r="CS243" s="410">
        <v>417.79700979168399</v>
      </c>
      <c r="CT243" s="410">
        <v>445.89041095890411</v>
      </c>
      <c r="CU243" s="410">
        <v>752</v>
      </c>
      <c r="CV243" s="410">
        <f>IF(VLOOKUP(BS243,'Données par municipalité'!$B$6:$F$1113,4,FALSE)="","",VLOOKUP(BS243,'Données par municipalité'!$B$6:$F$1113,4,FALSE))</f>
        <v>463</v>
      </c>
      <c r="CW243" s="476" t="s">
        <v>4723</v>
      </c>
      <c r="CX243" s="483">
        <v>0</v>
      </c>
      <c r="CY243" s="483" t="s">
        <v>1124</v>
      </c>
      <c r="CZ243" s="483">
        <v>1</v>
      </c>
      <c r="DA243" s="483">
        <v>0</v>
      </c>
      <c r="DB243" s="483">
        <v>1</v>
      </c>
      <c r="DC243" s="483">
        <v>1</v>
      </c>
      <c r="DD243" s="483">
        <v>1</v>
      </c>
      <c r="DE243" s="483">
        <f>IFERROR(SUM(VLOOKUP($BS243,'État &amp; Plan d''action'!$B$6:$Z$1113,18,FALSE),VLOOKUP($BS243,'État &amp; Plan d''action'!$B$6:$Z$1113,20,FALSE))/(VLOOKUP($BS243,'Données par municipalité'!$B$4:$L$1113,11,FALSE)),"")</f>
        <v>1</v>
      </c>
      <c r="DF243" s="483">
        <f>IFERROR(SUM(VLOOKUP($BS243,'État &amp; Plan d''action'!$B$6:$Z$1113,19,FALSE),VLOOKUP($BS243,'État &amp; Plan d''action'!$B$6:$Z$1113,21,FALSE))/(VLOOKUP($BS243,'Données par municipalité'!$B$4:$L$1113,11,FALSE)),"")</f>
        <v>1</v>
      </c>
      <c r="DG243" s="476" t="s">
        <v>4723</v>
      </c>
      <c r="DH243" s="484">
        <v>0</v>
      </c>
      <c r="DI243" s="484">
        <v>1</v>
      </c>
      <c r="DJ243" s="484">
        <v>2</v>
      </c>
      <c r="DK243" s="484">
        <v>0</v>
      </c>
      <c r="DL243" s="484">
        <v>1</v>
      </c>
      <c r="DM243" s="484">
        <v>0</v>
      </c>
      <c r="DN243" s="484">
        <v>0</v>
      </c>
      <c r="DO243" s="484">
        <v>1</v>
      </c>
      <c r="DP243" s="484">
        <v>0</v>
      </c>
      <c r="DQ243" s="484">
        <f>IF(VLOOKUP($BS243,'État &amp; Plan d''action'!$B$6:$AJ$1113,28,FALSE)="","",VLOOKUP($BS243,'État &amp; Plan d''action'!$B$6:$AJ$1113,28,FALSE))</f>
        <v>0</v>
      </c>
      <c r="DR243" s="70">
        <f>IF(VLOOKUP($BS243,'État &amp; Plan d''action'!$B$6:$AJ$1113,29,FALSE)="","",VLOOKUP($BS243,'État &amp; Plan d''action'!$B$6:$AJ$1113,29,FALSE))</f>
        <v>0</v>
      </c>
      <c r="DS243" s="70">
        <f>IF(VLOOKUP($BS243,'État &amp; Plan d''action'!$B$6:$AJ$1113,30,FALSE)="","",VLOOKUP($BS243,'État &amp; Plan d''action'!$B$6:$AJ$1113,30,FALSE))</f>
        <v>0</v>
      </c>
      <c r="DT243" s="70">
        <v>130</v>
      </c>
      <c r="DU243" s="485">
        <v>2.5791195053979656</v>
      </c>
      <c r="DV243" s="485">
        <v>3.0630073851978992</v>
      </c>
      <c r="DW243" s="70">
        <v>0</v>
      </c>
      <c r="DX243" s="70">
        <v>2</v>
      </c>
      <c r="DY243" s="70">
        <v>0</v>
      </c>
      <c r="DZ243" s="70">
        <f>VLOOKUP($BS243,'État &amp; Plan d''action'!$B$6:$AH$1113,31,FALSE)</f>
        <v>0</v>
      </c>
      <c r="EA243" s="70">
        <f>VLOOKUP($BS243,'État &amp; Plan d''action'!$B$6:$AH$1113,32,FALSE)</f>
        <v>0</v>
      </c>
      <c r="EB243" s="70">
        <f>VLOOKUP($BS243,'État &amp; Plan d''action'!$B$6:$AH$1113,33,FALSE)</f>
        <v>0</v>
      </c>
      <c r="EC243" s="70">
        <v>4.2489999999999997</v>
      </c>
      <c r="ED243" s="70">
        <v>4.2489999999999997</v>
      </c>
      <c r="EE243" s="70">
        <v>0</v>
      </c>
      <c r="EF243" s="70">
        <v>0</v>
      </c>
      <c r="EG243" s="70">
        <v>0</v>
      </c>
      <c r="EH243" s="72">
        <v>54.513513513513523</v>
      </c>
      <c r="EI243" s="72">
        <v>785</v>
      </c>
    </row>
    <row r="244" spans="23:139" x14ac:dyDescent="0.35">
      <c r="W244" s="418" t="s">
        <v>1200</v>
      </c>
      <c r="X244" s="452" t="e">
        <f>IF($W$21="","ND",IF(AE$25="non","ND",INDEX(Coût!$B$6:$EL$1113,MATCH($W$21,Coût!$B$6:$B$1113,0),44)))/10</f>
        <v>#VALUE!</v>
      </c>
      <c r="Y244" s="451" t="str">
        <f t="shared" ref="Y244:Y246" si="28">IF(ISERROR(IF(X244=0,"",TEXT(IF(X244="","",X244),"# ##0")&amp;" ( "&amp;TEXT(IF(X244="","",X244)/SUM($X$242:$X$246),"0%")&amp;")")),"ND",IF(X244=0,"",TEXT(IF(X244="","",X244),"# ##0")&amp;" ( "&amp;TEXT(IF(X244="","",X244)/SUM($X$242:$X$246),"0%")&amp;")"))</f>
        <v>ND</v>
      </c>
      <c r="Z244" s="418"/>
      <c r="AA244" s="418"/>
      <c r="AB244" s="418"/>
      <c r="BS244" s="486">
        <v>42070</v>
      </c>
      <c r="BT244" s="479" t="s">
        <v>389</v>
      </c>
      <c r="BU244" s="479">
        <v>5</v>
      </c>
      <c r="BV244" s="476" t="s">
        <v>1187</v>
      </c>
      <c r="BW244" s="476" t="s">
        <v>1187</v>
      </c>
      <c r="BX244" s="476" t="s">
        <v>1187</v>
      </c>
      <c r="BY244" s="476" t="s">
        <v>1187</v>
      </c>
      <c r="BZ244" s="476" t="s">
        <v>1187</v>
      </c>
      <c r="CA244" s="476" t="s">
        <v>1187</v>
      </c>
      <c r="CB244" s="476" t="s">
        <v>1187</v>
      </c>
      <c r="CC244" s="476" t="s">
        <v>1187</v>
      </c>
      <c r="CD244" s="476" t="s">
        <v>1187</v>
      </c>
      <c r="CE244" s="476" t="s">
        <v>1188</v>
      </c>
      <c r="CF244" s="476" t="s">
        <v>1188</v>
      </c>
      <c r="CG244" s="476" t="s">
        <v>1187</v>
      </c>
      <c r="CH244" s="476" t="s">
        <v>1187</v>
      </c>
      <c r="CI244" s="476" t="s">
        <v>1187</v>
      </c>
      <c r="CJ244" s="476" t="s">
        <v>1187</v>
      </c>
      <c r="CK244" s="476" t="s">
        <v>1187</v>
      </c>
      <c r="CL244" s="476" t="s">
        <v>1188</v>
      </c>
      <c r="CM244" s="476" t="str">
        <f>IF(VLOOKUP(BS244,'Données par municipalité'!$B$6:$E$1113,4,FALSE)="","non","oui")</f>
        <v>non</v>
      </c>
      <c r="CN244" s="410">
        <v>854.70085470085473</v>
      </c>
      <c r="CO244" s="410">
        <v>633.98140321217249</v>
      </c>
      <c r="CP244" s="410"/>
      <c r="CQ244" s="410"/>
      <c r="CR244" s="410"/>
      <c r="CS244" s="410" t="s">
        <v>1124</v>
      </c>
      <c r="CT244" s="410"/>
      <c r="CU244" s="410">
        <v>184</v>
      </c>
      <c r="CV244" s="410" t="str">
        <f>IF(VLOOKUP(BS244,'Données par municipalité'!$B$6:$F$1113,4,FALSE)="","",VLOOKUP(BS244,'Données par municipalité'!$B$6:$F$1113,4,FALSE))</f>
        <v/>
      </c>
      <c r="CW244" s="476" t="s">
        <v>4723</v>
      </c>
      <c r="CX244" s="483">
        <v>0</v>
      </c>
      <c r="CY244" s="483" t="s">
        <v>1124</v>
      </c>
      <c r="CZ244" s="483" t="s">
        <v>1124</v>
      </c>
      <c r="DA244" s="483" t="s">
        <v>1124</v>
      </c>
      <c r="DB244" s="483" t="s">
        <v>1124</v>
      </c>
      <c r="DC244" s="483" t="s">
        <v>1124</v>
      </c>
      <c r="DD244" s="483">
        <v>0.99212034383954162</v>
      </c>
      <c r="DE244" s="483" t="str">
        <f>IFERROR(SUM(VLOOKUP($BS244,'État &amp; Plan d''action'!$B$6:$Z$1113,18,FALSE),VLOOKUP($BS244,'État &amp; Plan d''action'!$B$6:$Z$1113,20,FALSE))/(VLOOKUP($BS244,'Données par municipalité'!$B$4:$L$1113,11,FALSE)),"")</f>
        <v/>
      </c>
      <c r="DF244" s="483" t="str">
        <f>IFERROR(SUM(VLOOKUP($BS244,'État &amp; Plan d''action'!$B$6:$Z$1113,19,FALSE),VLOOKUP($BS244,'État &amp; Plan d''action'!$B$6:$Z$1113,21,FALSE))/(VLOOKUP($BS244,'Données par municipalité'!$B$4:$L$1113,11,FALSE)),"")</f>
        <v/>
      </c>
      <c r="DG244" s="476" t="s">
        <v>4723</v>
      </c>
      <c r="DH244" s="484">
        <v>0</v>
      </c>
      <c r="DI244" s="484" t="s">
        <v>1124</v>
      </c>
      <c r="DJ244" s="484">
        <v>0</v>
      </c>
      <c r="DK244" s="484">
        <v>0</v>
      </c>
      <c r="DL244" s="484" t="s">
        <v>1124</v>
      </c>
      <c r="DM244" s="484" t="s">
        <v>1124</v>
      </c>
      <c r="DN244" s="484">
        <v>0</v>
      </c>
      <c r="DO244" s="484">
        <v>0</v>
      </c>
      <c r="DP244" s="484">
        <v>0</v>
      </c>
      <c r="DQ244" s="484" t="str">
        <f>IF(VLOOKUP($BS244,'État &amp; Plan d''action'!$B$6:$AJ$1113,28,FALSE)="","",VLOOKUP($BS244,'État &amp; Plan d''action'!$B$6:$AJ$1113,28,FALSE))</f>
        <v/>
      </c>
      <c r="DR244" s="70" t="str">
        <f>IF(VLOOKUP($BS244,'État &amp; Plan d''action'!$B$6:$AJ$1113,29,FALSE)="","",VLOOKUP($BS244,'État &amp; Plan d''action'!$B$6:$AJ$1113,29,FALSE))</f>
        <v/>
      </c>
      <c r="DS244" s="70" t="str">
        <f>IF(VLOOKUP($BS244,'État &amp; Plan d''action'!$B$6:$AJ$1113,30,FALSE)="","",VLOOKUP($BS244,'État &amp; Plan d''action'!$B$6:$AJ$1113,30,FALSE))</f>
        <v/>
      </c>
      <c r="DT244" s="70">
        <v>136</v>
      </c>
      <c r="DU244" s="485">
        <v>1.0203316383924266</v>
      </c>
      <c r="DV244" s="485" t="s">
        <v>1124</v>
      </c>
      <c r="DW244" s="70">
        <v>0</v>
      </c>
      <c r="DX244" s="70">
        <v>0</v>
      </c>
      <c r="DY244" s="70">
        <v>0</v>
      </c>
      <c r="DZ244" s="70" t="str">
        <f>VLOOKUP($BS244,'État &amp; Plan d''action'!$B$6:$AH$1113,31,FALSE)</f>
        <v/>
      </c>
      <c r="EA244" s="70" t="str">
        <f>VLOOKUP($BS244,'État &amp; Plan d''action'!$B$6:$AH$1113,32,FALSE)</f>
        <v/>
      </c>
      <c r="EB244" s="70" t="str">
        <f>VLOOKUP($BS244,'État &amp; Plan d''action'!$B$6:$AH$1113,33,FALSE)</f>
        <v/>
      </c>
      <c r="EC244" s="70">
        <v>0</v>
      </c>
      <c r="ED244" s="70">
        <v>5.54</v>
      </c>
      <c r="EE244" s="70">
        <v>0</v>
      </c>
      <c r="EF244" s="70">
        <v>0</v>
      </c>
      <c r="EG244" s="70">
        <v>0</v>
      </c>
      <c r="EH244" s="72">
        <v>45</v>
      </c>
      <c r="EI244" s="72">
        <v>142</v>
      </c>
    </row>
    <row r="245" spans="23:139" x14ac:dyDescent="0.35">
      <c r="W245" s="418" t="s">
        <v>1201</v>
      </c>
      <c r="X245" s="452" t="e">
        <f>IF($W$21="","ND",IF(AE$25="non","ND",SUM(INDEX(Coût!$B$6:$EL$1113,MATCH($W$21,Coût!$B$6:$B$1113,0),45):INDEX(Coût!$B$6:$EL$1113,MATCH($W$21,Coût!$B$6:$B$1113,0),54))))/10</f>
        <v>#VALUE!</v>
      </c>
      <c r="Y245" s="451" t="str">
        <f t="shared" si="28"/>
        <v>ND</v>
      </c>
      <c r="Z245" s="418"/>
      <c r="AA245" s="418"/>
      <c r="AB245" s="418"/>
      <c r="BS245" s="486">
        <v>39097</v>
      </c>
      <c r="BT245" s="479" t="s">
        <v>350</v>
      </c>
      <c r="BU245" s="479">
        <v>17</v>
      </c>
      <c r="BV245" s="476" t="s">
        <v>1187</v>
      </c>
      <c r="BW245" s="476" t="s">
        <v>1187</v>
      </c>
      <c r="BX245" s="476" t="s">
        <v>1187</v>
      </c>
      <c r="BY245" s="476" t="s">
        <v>1187</v>
      </c>
      <c r="BZ245" s="476" t="s">
        <v>1187</v>
      </c>
      <c r="CA245" s="476" t="s">
        <v>1187</v>
      </c>
      <c r="CB245" s="476" t="s">
        <v>1187</v>
      </c>
      <c r="CC245" s="476" t="s">
        <v>1187</v>
      </c>
      <c r="CD245" s="476" t="s">
        <v>1187</v>
      </c>
      <c r="CE245" s="476" t="s">
        <v>1188</v>
      </c>
      <c r="CF245" s="476" t="s">
        <v>1188</v>
      </c>
      <c r="CG245" s="476" t="s">
        <v>1187</v>
      </c>
      <c r="CH245" s="476" t="s">
        <v>1188</v>
      </c>
      <c r="CI245" s="476" t="s">
        <v>1188</v>
      </c>
      <c r="CJ245" s="476" t="s">
        <v>1187</v>
      </c>
      <c r="CK245" s="476" t="s">
        <v>1188</v>
      </c>
      <c r="CL245" s="476" t="s">
        <v>1188</v>
      </c>
      <c r="CM245" s="476" t="str">
        <f>IF(VLOOKUP(BS245,'Données par municipalité'!$B$6:$E$1113,4,FALSE)="","non","oui")</f>
        <v>oui</v>
      </c>
      <c r="CN245" s="410">
        <v>331.41231783015064</v>
      </c>
      <c r="CO245" s="410">
        <v>438.2447321369317</v>
      </c>
      <c r="CP245" s="410"/>
      <c r="CQ245" s="410">
        <v>323.30291736730942</v>
      </c>
      <c r="CR245" s="410">
        <v>348.8043586450267</v>
      </c>
      <c r="CS245" s="410" t="s">
        <v>1124</v>
      </c>
      <c r="CT245" s="410">
        <v>333.61467921866426</v>
      </c>
      <c r="CU245" s="410">
        <v>389</v>
      </c>
      <c r="CV245" s="410">
        <f>IF(VLOOKUP(BS245,'Données par municipalité'!$B$6:$F$1113,4,FALSE)="","",VLOOKUP(BS245,'Données par municipalité'!$B$6:$F$1113,4,FALSE))</f>
        <v>344</v>
      </c>
      <c r="CW245" s="476" t="s">
        <v>4723</v>
      </c>
      <c r="CX245" s="483">
        <v>1</v>
      </c>
      <c r="CY245" s="483" t="s">
        <v>1124</v>
      </c>
      <c r="CZ245" s="483">
        <v>1</v>
      </c>
      <c r="DA245" s="483">
        <v>0</v>
      </c>
      <c r="DB245" s="483" t="s">
        <v>1124</v>
      </c>
      <c r="DC245" s="483">
        <v>0.5</v>
      </c>
      <c r="DD245" s="483">
        <v>1</v>
      </c>
      <c r="DE245" s="483">
        <f>IFERROR(SUM(VLOOKUP($BS245,'État &amp; Plan d''action'!$B$6:$Z$1113,18,FALSE),VLOOKUP($BS245,'État &amp; Plan d''action'!$B$6:$Z$1113,20,FALSE))/(VLOOKUP($BS245,'Données par municipalité'!$B$4:$L$1113,11,FALSE)),"")</f>
        <v>1</v>
      </c>
      <c r="DF245" s="483">
        <f>IFERROR(SUM(VLOOKUP($BS245,'État &amp; Plan d''action'!$B$6:$Z$1113,19,FALSE),VLOOKUP($BS245,'État &amp; Plan d''action'!$B$6:$Z$1113,21,FALSE))/(VLOOKUP($BS245,'Données par municipalité'!$B$4:$L$1113,11,FALSE)),"")</f>
        <v>1</v>
      </c>
      <c r="DG245" s="476" t="s">
        <v>4723</v>
      </c>
      <c r="DH245" s="484">
        <v>0</v>
      </c>
      <c r="DI245" s="484" t="s">
        <v>1124</v>
      </c>
      <c r="DJ245" s="484">
        <v>0</v>
      </c>
      <c r="DK245" s="484">
        <v>1</v>
      </c>
      <c r="DL245" s="484" t="s">
        <v>1124</v>
      </c>
      <c r="DM245" s="484">
        <v>0</v>
      </c>
      <c r="DN245" s="484">
        <v>1</v>
      </c>
      <c r="DO245" s="484">
        <v>0</v>
      </c>
      <c r="DP245" s="484">
        <v>0</v>
      </c>
      <c r="DQ245" s="484">
        <f>IF(VLOOKUP($BS245,'État &amp; Plan d''action'!$B$6:$AJ$1113,28,FALSE)="","",VLOOKUP($BS245,'État &amp; Plan d''action'!$B$6:$AJ$1113,28,FALSE))</f>
        <v>0</v>
      </c>
      <c r="DR245" s="70">
        <f>IF(VLOOKUP($BS245,'État &amp; Plan d''action'!$B$6:$AJ$1113,29,FALSE)="","",VLOOKUP($BS245,'État &amp; Plan d''action'!$B$6:$AJ$1113,29,FALSE))</f>
        <v>0</v>
      </c>
      <c r="DS245" s="70">
        <f>IF(VLOOKUP($BS245,'État &amp; Plan d''action'!$B$6:$AJ$1113,30,FALSE)="","",VLOOKUP($BS245,'État &amp; Plan d''action'!$B$6:$AJ$1113,30,FALSE))</f>
        <v>0</v>
      </c>
      <c r="DT245" s="70">
        <v>238</v>
      </c>
      <c r="DU245" s="485">
        <v>4.1857335895265955</v>
      </c>
      <c r="DV245" s="485">
        <v>5.099339550166178</v>
      </c>
      <c r="DW245" s="70">
        <v>1</v>
      </c>
      <c r="DX245" s="70">
        <v>0</v>
      </c>
      <c r="DY245" s="70">
        <v>0</v>
      </c>
      <c r="DZ245" s="70">
        <f>VLOOKUP($BS245,'État &amp; Plan d''action'!$B$6:$AH$1113,31,FALSE)</f>
        <v>0</v>
      </c>
      <c r="EA245" s="70">
        <f>VLOOKUP($BS245,'État &amp; Plan d''action'!$B$6:$AH$1113,32,FALSE)</f>
        <v>0</v>
      </c>
      <c r="EB245" s="70">
        <f>VLOOKUP($BS245,'État &amp; Plan d''action'!$B$6:$AH$1113,33,FALSE)</f>
        <v>0</v>
      </c>
      <c r="EC245" s="70">
        <v>0</v>
      </c>
      <c r="ED245" s="70">
        <v>0</v>
      </c>
      <c r="EE245" s="70">
        <v>13.099</v>
      </c>
      <c r="EF245" s="70">
        <v>0</v>
      </c>
      <c r="EG245" s="70">
        <v>0</v>
      </c>
      <c r="EH245" s="72">
        <v>61</v>
      </c>
      <c r="EI245" s="72">
        <v>1928</v>
      </c>
    </row>
    <row r="246" spans="23:139" x14ac:dyDescent="0.35">
      <c r="W246" s="418" t="s">
        <v>1202</v>
      </c>
      <c r="X246" s="452" t="e">
        <f>IF($W$21="","ND",IF(AE$25="non","ND",SUM(INDEX(Coût!$B$6:$EL$1113,MATCH($W$21,Coût!$B$6:$B$1113,0),55):INDEX(Coût!$B$6:$EL$1113,MATCH($W$21,Coût!$B$6:$B$1113,0),64))))/10</f>
        <v>#VALUE!</v>
      </c>
      <c r="Y246" s="451" t="str">
        <f t="shared" si="28"/>
        <v>ND</v>
      </c>
      <c r="Z246" s="418"/>
      <c r="AA246" s="418"/>
      <c r="AB246" s="418"/>
      <c r="BS246" s="486">
        <v>31105</v>
      </c>
      <c r="BT246" s="479" t="s">
        <v>251</v>
      </c>
      <c r="BU246" s="479">
        <v>12</v>
      </c>
      <c r="BV246" s="476" t="s">
        <v>1188</v>
      </c>
      <c r="BW246" s="476" t="s">
        <v>1188</v>
      </c>
      <c r="BX246" s="476" t="s">
        <v>1188</v>
      </c>
      <c r="BY246" s="476" t="s">
        <v>1188</v>
      </c>
      <c r="BZ246" s="476" t="s">
        <v>1188</v>
      </c>
      <c r="CA246" s="476" t="s">
        <v>1188</v>
      </c>
      <c r="CB246" s="476" t="s">
        <v>1188</v>
      </c>
      <c r="CC246" s="476" t="s">
        <v>1188</v>
      </c>
      <c r="CD246" s="476" t="s">
        <v>1188</v>
      </c>
      <c r="CE246" s="476" t="s">
        <v>1187</v>
      </c>
      <c r="CF246" s="476" t="s">
        <v>1187</v>
      </c>
      <c r="CG246" s="476" t="s">
        <v>1187</v>
      </c>
      <c r="CH246" s="476" t="s">
        <v>1187</v>
      </c>
      <c r="CI246" s="476" t="s">
        <v>1187</v>
      </c>
      <c r="CJ246" s="476" t="s">
        <v>1187</v>
      </c>
      <c r="CK246" s="476" t="s">
        <v>1187</v>
      </c>
      <c r="CL246" s="476" t="s">
        <v>1187</v>
      </c>
      <c r="CM246" s="476" t="str">
        <f>IF(VLOOKUP(BS246,'Données par municipalité'!$B$6:$E$1113,4,FALSE)="","non","oui")</f>
        <v>non</v>
      </c>
      <c r="CN246" s="410" t="s">
        <v>1124</v>
      </c>
      <c r="CO246" s="410" t="s">
        <v>1124</v>
      </c>
      <c r="CP246" s="410"/>
      <c r="CQ246" s="410"/>
      <c r="CR246" s="410"/>
      <c r="CS246" s="410" t="s">
        <v>1124</v>
      </c>
      <c r="CT246" s="410"/>
      <c r="CU246" s="410" t="s">
        <v>1124</v>
      </c>
      <c r="CV246" s="410" t="str">
        <f>IF(VLOOKUP(BS246,'Données par municipalité'!$B$6:$F$1113,4,FALSE)="","",VLOOKUP(BS246,'Données par municipalité'!$B$6:$F$1113,4,FALSE))</f>
        <v/>
      </c>
      <c r="CW246" s="476" t="s">
        <v>4723</v>
      </c>
      <c r="CX246" s="483" t="s">
        <v>1124</v>
      </c>
      <c r="CY246" s="483" t="s">
        <v>1124</v>
      </c>
      <c r="CZ246" s="483" t="s">
        <v>1124</v>
      </c>
      <c r="DA246" s="483" t="s">
        <v>1124</v>
      </c>
      <c r="DB246" s="483" t="s">
        <v>1124</v>
      </c>
      <c r="DC246" s="483" t="s">
        <v>1124</v>
      </c>
      <c r="DD246" s="483" t="s">
        <v>1124</v>
      </c>
      <c r="DE246" s="483" t="str">
        <f>IFERROR(SUM(VLOOKUP($BS246,'État &amp; Plan d''action'!$B$6:$Z$1113,18,FALSE),VLOOKUP($BS246,'État &amp; Plan d''action'!$B$6:$Z$1113,20,FALSE))/(VLOOKUP($BS246,'Données par municipalité'!$B$4:$L$1113,11,FALSE)),"")</f>
        <v/>
      </c>
      <c r="DF246" s="483" t="str">
        <f>IFERROR(SUM(VLOOKUP($BS246,'État &amp; Plan d''action'!$B$6:$Z$1113,19,FALSE),VLOOKUP($BS246,'État &amp; Plan d''action'!$B$6:$Z$1113,21,FALSE))/(VLOOKUP($BS246,'Données par municipalité'!$B$4:$L$1113,11,FALSE)),"")</f>
        <v/>
      </c>
      <c r="DG246" s="476" t="s">
        <v>4723</v>
      </c>
      <c r="DH246" s="484" t="s">
        <v>1124</v>
      </c>
      <c r="DI246" s="484" t="s">
        <v>1124</v>
      </c>
      <c r="DJ246" s="484">
        <v>0</v>
      </c>
      <c r="DK246" s="484">
        <v>0</v>
      </c>
      <c r="DL246" s="484" t="s">
        <v>1124</v>
      </c>
      <c r="DM246" s="484" t="s">
        <v>1124</v>
      </c>
      <c r="DN246" s="484" t="s">
        <v>1124</v>
      </c>
      <c r="DO246" s="484" t="s">
        <v>1124</v>
      </c>
      <c r="DP246" s="484" t="s">
        <v>1124</v>
      </c>
      <c r="DQ246" s="484" t="str">
        <f>IF(VLOOKUP($BS246,'État &amp; Plan d''action'!$B$6:$AJ$1113,28,FALSE)="","",VLOOKUP($BS246,'État &amp; Plan d''action'!$B$6:$AJ$1113,28,FALSE))</f>
        <v/>
      </c>
      <c r="DR246" s="70" t="str">
        <f>IF(VLOOKUP($BS246,'État &amp; Plan d''action'!$B$6:$AJ$1113,29,FALSE)="","",VLOOKUP($BS246,'État &amp; Plan d''action'!$B$6:$AJ$1113,29,FALSE))</f>
        <v/>
      </c>
      <c r="DS246" s="70" t="str">
        <f>IF(VLOOKUP($BS246,'État &amp; Plan d''action'!$B$6:$AJ$1113,30,FALSE)="","",VLOOKUP($BS246,'État &amp; Plan d''action'!$B$6:$AJ$1113,30,FALSE))</f>
        <v/>
      </c>
      <c r="DT246" s="70" t="s">
        <v>1124</v>
      </c>
      <c r="DU246" s="485" t="s">
        <v>1124</v>
      </c>
      <c r="DV246" s="485" t="s">
        <v>1124</v>
      </c>
      <c r="DW246" s="70" t="s">
        <v>1124</v>
      </c>
      <c r="DX246" s="70" t="s">
        <v>1124</v>
      </c>
      <c r="DY246" s="70" t="s">
        <v>1124</v>
      </c>
      <c r="DZ246" s="70" t="str">
        <f>VLOOKUP($BS246,'État &amp; Plan d''action'!$B$6:$AH$1113,31,FALSE)</f>
        <v/>
      </c>
      <c r="EA246" s="70" t="str">
        <f>VLOOKUP($BS246,'État &amp; Plan d''action'!$B$6:$AH$1113,32,FALSE)</f>
        <v/>
      </c>
      <c r="EB246" s="70" t="str">
        <f>VLOOKUP($BS246,'État &amp; Plan d''action'!$B$6:$AH$1113,33,FALSE)</f>
        <v/>
      </c>
      <c r="EC246" s="70" t="s">
        <v>1124</v>
      </c>
      <c r="ED246" s="70" t="s">
        <v>1124</v>
      </c>
      <c r="EE246" s="70" t="s">
        <v>1124</v>
      </c>
      <c r="EF246" s="70" t="s">
        <v>1124</v>
      </c>
      <c r="EG246" s="70" t="s">
        <v>1124</v>
      </c>
      <c r="EH246" s="72"/>
      <c r="EI246" s="72">
        <v>343</v>
      </c>
    </row>
    <row r="247" spans="23:139" x14ac:dyDescent="0.35">
      <c r="W247" s="418"/>
      <c r="X247" s="418"/>
      <c r="Y247" s="418"/>
      <c r="Z247" s="418"/>
      <c r="AA247" s="418"/>
      <c r="AB247" s="418"/>
      <c r="BS247" s="486">
        <v>85010</v>
      </c>
      <c r="BT247" s="479" t="s">
        <v>871</v>
      </c>
      <c r="BU247" s="479">
        <v>8</v>
      </c>
      <c r="BV247" s="476" t="s">
        <v>1187</v>
      </c>
      <c r="BW247" s="476" t="s">
        <v>1187</v>
      </c>
      <c r="BX247" s="476" t="s">
        <v>1187</v>
      </c>
      <c r="BY247" s="476" t="s">
        <v>1187</v>
      </c>
      <c r="BZ247" s="476" t="s">
        <v>1187</v>
      </c>
      <c r="CA247" s="476" t="s">
        <v>1187</v>
      </c>
      <c r="CB247" s="476" t="s">
        <v>1187</v>
      </c>
      <c r="CC247" s="476" t="s">
        <v>1187</v>
      </c>
      <c r="CD247" s="476" t="s">
        <v>1187</v>
      </c>
      <c r="CE247" s="476" t="s">
        <v>1188</v>
      </c>
      <c r="CF247" s="476" t="s">
        <v>1188</v>
      </c>
      <c r="CG247" s="476" t="s">
        <v>1188</v>
      </c>
      <c r="CH247" s="476" t="s">
        <v>1187</v>
      </c>
      <c r="CI247" s="476" t="s">
        <v>1188</v>
      </c>
      <c r="CJ247" s="476" t="s">
        <v>1188</v>
      </c>
      <c r="CK247" s="476" t="s">
        <v>1188</v>
      </c>
      <c r="CL247" s="476" t="s">
        <v>1188</v>
      </c>
      <c r="CM247" s="476" t="str">
        <f>IF(VLOOKUP(BS247,'Données par municipalité'!$B$6:$E$1113,4,FALSE)="","non","oui")</f>
        <v>oui</v>
      </c>
      <c r="CN247" s="410">
        <v>452.11116748407466</v>
      </c>
      <c r="CO247" s="410">
        <v>535.1266491561754</v>
      </c>
      <c r="CP247" s="410">
        <v>551.02335894884152</v>
      </c>
      <c r="CQ247" s="410"/>
      <c r="CR247" s="410">
        <v>590.42900167936602</v>
      </c>
      <c r="CS247" s="410">
        <v>202.76678600590415</v>
      </c>
      <c r="CT247" s="410">
        <v>127.66785049890073</v>
      </c>
      <c r="CU247" s="410">
        <v>154</v>
      </c>
      <c r="CV247" s="410">
        <f>IF(VLOOKUP(BS247,'Données par municipalité'!$B$6:$F$1113,4,FALSE)="","",VLOOKUP(BS247,'Données par municipalité'!$B$6:$F$1113,4,FALSE))</f>
        <v>163</v>
      </c>
      <c r="CW247" s="476" t="s">
        <v>4723</v>
      </c>
      <c r="CX247" s="483">
        <v>0</v>
      </c>
      <c r="CY247" s="483">
        <v>1E-3</v>
      </c>
      <c r="CZ247" s="483" t="s">
        <v>1124</v>
      </c>
      <c r="DA247" s="483">
        <v>0</v>
      </c>
      <c r="DB247" s="483">
        <v>0</v>
      </c>
      <c r="DC247" s="483">
        <v>0</v>
      </c>
      <c r="DD247" s="483">
        <v>0</v>
      </c>
      <c r="DE247" s="483">
        <f>IFERROR(SUM(VLOOKUP($BS247,'État &amp; Plan d''action'!$B$6:$Z$1113,18,FALSE),VLOOKUP($BS247,'État &amp; Plan d''action'!$B$6:$Z$1113,20,FALSE))/(VLOOKUP($BS247,'Données par municipalité'!$B$4:$L$1113,11,FALSE)),"")</f>
        <v>0</v>
      </c>
      <c r="DF247" s="483">
        <f>IFERROR(SUM(VLOOKUP($BS247,'État &amp; Plan d''action'!$B$6:$Z$1113,19,FALSE),VLOOKUP($BS247,'État &amp; Plan d''action'!$B$6:$Z$1113,21,FALSE))/(VLOOKUP($BS247,'Données par municipalité'!$B$4:$L$1113,11,FALSE)),"")</f>
        <v>0</v>
      </c>
      <c r="DG247" s="476" t="s">
        <v>4723</v>
      </c>
      <c r="DH247" s="484">
        <v>0</v>
      </c>
      <c r="DI247" s="484">
        <v>0</v>
      </c>
      <c r="DJ247" s="484">
        <v>0</v>
      </c>
      <c r="DK247" s="484">
        <v>0</v>
      </c>
      <c r="DL247" s="484">
        <v>0</v>
      </c>
      <c r="DM247" s="484">
        <v>0</v>
      </c>
      <c r="DN247" s="484">
        <v>0</v>
      </c>
      <c r="DO247" s="484">
        <v>0</v>
      </c>
      <c r="DP247" s="484">
        <v>0</v>
      </c>
      <c r="DQ247" s="484">
        <f>IF(VLOOKUP($BS247,'État &amp; Plan d''action'!$B$6:$AJ$1113,28,FALSE)="","",VLOOKUP($BS247,'État &amp; Plan d''action'!$B$6:$AJ$1113,28,FALSE))</f>
        <v>0</v>
      </c>
      <c r="DR247" s="70">
        <f>IF(VLOOKUP($BS247,'État &amp; Plan d''action'!$B$6:$AJ$1113,29,FALSE)="","",VLOOKUP($BS247,'État &amp; Plan d''action'!$B$6:$AJ$1113,29,FALSE))</f>
        <v>0</v>
      </c>
      <c r="DS247" s="70">
        <f>IF(VLOOKUP($BS247,'État &amp; Plan d''action'!$B$6:$AJ$1113,30,FALSE)="","",VLOOKUP($BS247,'État &amp; Plan d''action'!$B$6:$AJ$1113,30,FALSE))</f>
        <v>0</v>
      </c>
      <c r="DT247" s="70">
        <v>120</v>
      </c>
      <c r="DU247" s="485">
        <v>0.67358210965916743</v>
      </c>
      <c r="DV247" s="485">
        <v>0.67345600524594362</v>
      </c>
      <c r="DW247" s="70">
        <v>0</v>
      </c>
      <c r="DX247" s="70">
        <v>0</v>
      </c>
      <c r="DY247" s="70">
        <v>0</v>
      </c>
      <c r="DZ247" s="70">
        <f>VLOOKUP($BS247,'État &amp; Plan d''action'!$B$6:$AH$1113,31,FALSE)</f>
        <v>0</v>
      </c>
      <c r="EA247" s="70">
        <f>VLOOKUP($BS247,'État &amp; Plan d''action'!$B$6:$AH$1113,32,FALSE)</f>
        <v>0</v>
      </c>
      <c r="EB247" s="70">
        <f>VLOOKUP($BS247,'État &amp; Plan d''action'!$B$6:$AH$1113,33,FALSE)</f>
        <v>0</v>
      </c>
      <c r="EC247" s="70">
        <v>0</v>
      </c>
      <c r="ED247" s="70">
        <v>0</v>
      </c>
      <c r="EE247" s="70">
        <v>0</v>
      </c>
      <c r="EF247" s="70">
        <v>0</v>
      </c>
      <c r="EG247" s="70">
        <v>0</v>
      </c>
      <c r="EH247" s="72">
        <v>45</v>
      </c>
      <c r="EI247" s="72">
        <v>505</v>
      </c>
    </row>
    <row r="248" spans="23:139" x14ac:dyDescent="0.35">
      <c r="W248" s="453" t="s">
        <v>1205</v>
      </c>
      <c r="X248" s="418"/>
      <c r="Y248" s="418"/>
      <c r="Z248" s="418"/>
      <c r="AA248" s="418"/>
      <c r="AB248" s="418"/>
      <c r="BS248" s="486">
        <v>66102</v>
      </c>
      <c r="BT248" s="479" t="s">
        <v>657</v>
      </c>
      <c r="BU248" s="479">
        <v>6</v>
      </c>
      <c r="BV248" s="476" t="s">
        <v>1187</v>
      </c>
      <c r="BW248" s="476" t="s">
        <v>1187</v>
      </c>
      <c r="BX248" s="476" t="s">
        <v>1187</v>
      </c>
      <c r="BY248" s="476" t="s">
        <v>1187</v>
      </c>
      <c r="BZ248" s="476" t="s">
        <v>1187</v>
      </c>
      <c r="CA248" s="476" t="s">
        <v>1187</v>
      </c>
      <c r="CB248" s="476" t="s">
        <v>1187</v>
      </c>
      <c r="CC248" s="476" t="s">
        <v>1187</v>
      </c>
      <c r="CD248" s="476" t="s">
        <v>1187</v>
      </c>
      <c r="CE248" s="476" t="s">
        <v>1188</v>
      </c>
      <c r="CF248" s="476" t="s">
        <v>1188</v>
      </c>
      <c r="CG248" s="476" t="s">
        <v>1187</v>
      </c>
      <c r="CH248" s="476" t="s">
        <v>1188</v>
      </c>
      <c r="CI248" s="476" t="s">
        <v>1188</v>
      </c>
      <c r="CJ248" s="476" t="s">
        <v>1188</v>
      </c>
      <c r="CK248" s="476" t="s">
        <v>1188</v>
      </c>
      <c r="CL248" s="476" t="s">
        <v>1188</v>
      </c>
      <c r="CM248" s="476" t="str">
        <f>IF(VLOOKUP(BS248,'Données par municipalité'!$B$6:$E$1113,4,FALSE)="","non","oui")</f>
        <v>oui</v>
      </c>
      <c r="CN248" s="410">
        <v>532.27049748402567</v>
      </c>
      <c r="CO248" s="410">
        <v>522.37515292143212</v>
      </c>
      <c r="CP248" s="410"/>
      <c r="CQ248" s="410">
        <v>403.79657806880164</v>
      </c>
      <c r="CR248" s="410">
        <v>548.4040133423706</v>
      </c>
      <c r="CS248" s="410">
        <v>572</v>
      </c>
      <c r="CT248" s="410">
        <v>600.33500239023624</v>
      </c>
      <c r="CU248" s="410">
        <v>558</v>
      </c>
      <c r="CV248" s="410">
        <f>IF(VLOOKUP(BS248,'Données par municipalité'!$B$6:$F$1113,4,FALSE)="","",VLOOKUP(BS248,'Données par municipalité'!$B$6:$F$1113,4,FALSE))</f>
        <v>602</v>
      </c>
      <c r="CW248" s="476" t="s">
        <v>4723</v>
      </c>
      <c r="CX248" s="483">
        <v>0</v>
      </c>
      <c r="CY248" s="483" t="s">
        <v>1124</v>
      </c>
      <c r="CZ248" s="483">
        <v>1</v>
      </c>
      <c r="DA248" s="483">
        <v>1</v>
      </c>
      <c r="DB248" s="483">
        <v>1</v>
      </c>
      <c r="DC248" s="483">
        <v>1</v>
      </c>
      <c r="DD248" s="483">
        <v>1</v>
      </c>
      <c r="DE248" s="483">
        <f>IFERROR(SUM(VLOOKUP($BS248,'État &amp; Plan d''action'!$B$6:$Z$1113,18,FALSE),VLOOKUP($BS248,'État &amp; Plan d''action'!$B$6:$Z$1113,20,FALSE))/(VLOOKUP($BS248,'Données par municipalité'!$B$4:$L$1113,11,FALSE)),"")</f>
        <v>1.0069020120828243</v>
      </c>
      <c r="DF248" s="483">
        <f>IFERROR(SUM(VLOOKUP($BS248,'État &amp; Plan d''action'!$B$6:$Z$1113,19,FALSE),VLOOKUP($BS248,'État &amp; Plan d''action'!$B$6:$Z$1113,21,FALSE))/(VLOOKUP($BS248,'Données par municipalité'!$B$4:$L$1113,11,FALSE)),"")</f>
        <v>1.0069020120828243</v>
      </c>
      <c r="DG248" s="476" t="s">
        <v>4723</v>
      </c>
      <c r="DH248" s="484">
        <v>9</v>
      </c>
      <c r="DI248" s="484" t="s">
        <v>1124</v>
      </c>
      <c r="DJ248" s="484">
        <v>10</v>
      </c>
      <c r="DK248" s="484">
        <v>9</v>
      </c>
      <c r="DL248" s="484">
        <v>12</v>
      </c>
      <c r="DM248" s="484">
        <v>12</v>
      </c>
      <c r="DN248" s="484">
        <v>10</v>
      </c>
      <c r="DO248" s="484">
        <v>0</v>
      </c>
      <c r="DP248" s="484">
        <v>1</v>
      </c>
      <c r="DQ248" s="484">
        <f>IF(VLOOKUP($BS248,'État &amp; Plan d''action'!$B$6:$AJ$1113,28,FALSE)="","",VLOOKUP($BS248,'État &amp; Plan d''action'!$B$6:$AJ$1113,28,FALSE))</f>
        <v>7</v>
      </c>
      <c r="DR248" s="70">
        <f>IF(VLOOKUP($BS248,'État &amp; Plan d''action'!$B$6:$AJ$1113,29,FALSE)="","",VLOOKUP($BS248,'État &amp; Plan d''action'!$B$6:$AJ$1113,29,FALSE))</f>
        <v>0</v>
      </c>
      <c r="DS248" s="70">
        <f>IF(VLOOKUP($BS248,'État &amp; Plan d''action'!$B$6:$AJ$1113,30,FALSE)="","",VLOOKUP($BS248,'État &amp; Plan d''action'!$B$6:$AJ$1113,30,FALSE))</f>
        <v>3</v>
      </c>
      <c r="DT248" s="70">
        <v>284</v>
      </c>
      <c r="DU248" s="485">
        <v>6.8539548796410976</v>
      </c>
      <c r="DV248" s="485">
        <v>1.5598182576522688</v>
      </c>
      <c r="DW248" s="70">
        <v>30</v>
      </c>
      <c r="DX248" s="70">
        <v>0</v>
      </c>
      <c r="DY248" s="70">
        <v>30</v>
      </c>
      <c r="DZ248" s="70">
        <f>VLOOKUP($BS248,'État &amp; Plan d''action'!$B$6:$AH$1113,31,FALSE)</f>
        <v>1</v>
      </c>
      <c r="EA248" s="70">
        <f>VLOOKUP($BS248,'État &amp; Plan d''action'!$B$6:$AH$1113,32,FALSE)</f>
        <v>0</v>
      </c>
      <c r="EB248" s="70">
        <f>VLOOKUP($BS248,'État &amp; Plan d''action'!$B$6:$AH$1113,33,FALSE)</f>
        <v>30</v>
      </c>
      <c r="EC248" s="70">
        <v>0</v>
      </c>
      <c r="ED248" s="70">
        <v>116.19799999999999</v>
      </c>
      <c r="EE248" s="70">
        <v>0</v>
      </c>
      <c r="EF248" s="70">
        <v>0</v>
      </c>
      <c r="EG248" s="70">
        <v>0</v>
      </c>
      <c r="EH248" s="72">
        <v>56</v>
      </c>
      <c r="EI248" s="72">
        <v>19951</v>
      </c>
    </row>
    <row r="249" spans="23:139" x14ac:dyDescent="0.35">
      <c r="W249" s="418"/>
      <c r="X249" s="451" t="s">
        <v>1212</v>
      </c>
      <c r="Y249" s="451" t="s">
        <v>1159</v>
      </c>
      <c r="Z249" s="418"/>
      <c r="AA249" s="418"/>
      <c r="AB249" s="418"/>
      <c r="BS249" s="486">
        <v>90017</v>
      </c>
      <c r="BT249" s="479" t="s">
        <v>935</v>
      </c>
      <c r="BU249" s="479">
        <v>4</v>
      </c>
      <c r="BV249" s="476" t="s">
        <v>1188</v>
      </c>
      <c r="BW249" s="476" t="s">
        <v>1188</v>
      </c>
      <c r="BX249" s="476" t="s">
        <v>1188</v>
      </c>
      <c r="BY249" s="476" t="s">
        <v>1188</v>
      </c>
      <c r="BZ249" s="476" t="s">
        <v>1188</v>
      </c>
      <c r="CA249" s="476" t="s">
        <v>1188</v>
      </c>
      <c r="CB249" s="476" t="s">
        <v>1188</v>
      </c>
      <c r="CC249" s="476" t="s">
        <v>1188</v>
      </c>
      <c r="CD249" s="476" t="s">
        <v>1188</v>
      </c>
      <c r="CE249" s="476" t="s">
        <v>1187</v>
      </c>
      <c r="CF249" s="476" t="s">
        <v>1187</v>
      </c>
      <c r="CG249" s="476" t="s">
        <v>1187</v>
      </c>
      <c r="CH249" s="476" t="s">
        <v>1187</v>
      </c>
      <c r="CI249" s="476" t="s">
        <v>1187</v>
      </c>
      <c r="CJ249" s="476" t="s">
        <v>1187</v>
      </c>
      <c r="CK249" s="476" t="s">
        <v>1187</v>
      </c>
      <c r="CL249" s="476" t="s">
        <v>1187</v>
      </c>
      <c r="CM249" s="476" t="str">
        <f>IF(VLOOKUP(BS249,'Données par municipalité'!$B$6:$E$1113,4,FALSE)="","non","oui")</f>
        <v>non</v>
      </c>
      <c r="CN249" s="410" t="s">
        <v>1124</v>
      </c>
      <c r="CO249" s="410" t="s">
        <v>1124</v>
      </c>
      <c r="CP249" s="410"/>
      <c r="CQ249" s="410"/>
      <c r="CR249" s="410"/>
      <c r="CS249" s="410" t="s">
        <v>1124</v>
      </c>
      <c r="CT249" s="410"/>
      <c r="CU249" s="410" t="s">
        <v>1124</v>
      </c>
      <c r="CV249" s="410" t="str">
        <f>IF(VLOOKUP(BS249,'Données par municipalité'!$B$6:$F$1113,4,FALSE)="","",VLOOKUP(BS249,'Données par municipalité'!$B$6:$F$1113,4,FALSE))</f>
        <v/>
      </c>
      <c r="CW249" s="476" t="s">
        <v>4723</v>
      </c>
      <c r="CX249" s="483" t="s">
        <v>1124</v>
      </c>
      <c r="CY249" s="483" t="s">
        <v>1124</v>
      </c>
      <c r="CZ249" s="483" t="s">
        <v>1124</v>
      </c>
      <c r="DA249" s="483" t="s">
        <v>1124</v>
      </c>
      <c r="DB249" s="483" t="s">
        <v>1124</v>
      </c>
      <c r="DC249" s="483" t="s">
        <v>1124</v>
      </c>
      <c r="DD249" s="483" t="s">
        <v>1124</v>
      </c>
      <c r="DE249" s="483" t="str">
        <f>IFERROR(SUM(VLOOKUP($BS249,'État &amp; Plan d''action'!$B$6:$Z$1113,18,FALSE),VLOOKUP($BS249,'État &amp; Plan d''action'!$B$6:$Z$1113,20,FALSE))/(VLOOKUP($BS249,'Données par municipalité'!$B$4:$L$1113,11,FALSE)),"")</f>
        <v/>
      </c>
      <c r="DF249" s="483" t="str">
        <f>IFERROR(SUM(VLOOKUP($BS249,'État &amp; Plan d''action'!$B$6:$Z$1113,19,FALSE),VLOOKUP($BS249,'État &amp; Plan d''action'!$B$6:$Z$1113,21,FALSE))/(VLOOKUP($BS249,'Données par municipalité'!$B$4:$L$1113,11,FALSE)),"")</f>
        <v/>
      </c>
      <c r="DG249" s="476" t="s">
        <v>4723</v>
      </c>
      <c r="DH249" s="484">
        <v>13</v>
      </c>
      <c r="DI249" s="484">
        <v>3</v>
      </c>
      <c r="DJ249" s="484">
        <v>8</v>
      </c>
      <c r="DK249" s="484">
        <v>8</v>
      </c>
      <c r="DL249" s="484" t="s">
        <v>1124</v>
      </c>
      <c r="DM249" s="484" t="s">
        <v>1124</v>
      </c>
      <c r="DN249" s="484" t="s">
        <v>1124</v>
      </c>
      <c r="DO249" s="484" t="s">
        <v>1124</v>
      </c>
      <c r="DP249" s="484" t="s">
        <v>1124</v>
      </c>
      <c r="DQ249" s="484" t="str">
        <f>IF(VLOOKUP($BS249,'État &amp; Plan d''action'!$B$6:$AJ$1113,28,FALSE)="","",VLOOKUP($BS249,'État &amp; Plan d''action'!$B$6:$AJ$1113,28,FALSE))</f>
        <v/>
      </c>
      <c r="DR249" s="70" t="str">
        <f>IF(VLOOKUP($BS249,'État &amp; Plan d''action'!$B$6:$AJ$1113,29,FALSE)="","",VLOOKUP($BS249,'État &amp; Plan d''action'!$B$6:$AJ$1113,29,FALSE))</f>
        <v/>
      </c>
      <c r="DS249" s="70" t="str">
        <f>IF(VLOOKUP($BS249,'État &amp; Plan d''action'!$B$6:$AJ$1113,30,FALSE)="","",VLOOKUP($BS249,'État &amp; Plan d''action'!$B$6:$AJ$1113,30,FALSE))</f>
        <v/>
      </c>
      <c r="DT249" s="70" t="s">
        <v>1124</v>
      </c>
      <c r="DU249" s="485" t="s">
        <v>1124</v>
      </c>
      <c r="DV249" s="485" t="s">
        <v>1124</v>
      </c>
      <c r="DW249" s="70" t="s">
        <v>1124</v>
      </c>
      <c r="DX249" s="70" t="s">
        <v>1124</v>
      </c>
      <c r="DY249" s="70" t="s">
        <v>1124</v>
      </c>
      <c r="DZ249" s="70" t="str">
        <f>VLOOKUP($BS249,'État &amp; Plan d''action'!$B$6:$AH$1113,31,FALSE)</f>
        <v/>
      </c>
      <c r="EA249" s="70" t="str">
        <f>VLOOKUP($BS249,'État &amp; Plan d''action'!$B$6:$AH$1113,32,FALSE)</f>
        <v/>
      </c>
      <c r="EB249" s="70" t="str">
        <f>VLOOKUP($BS249,'État &amp; Plan d''action'!$B$6:$AH$1113,33,FALSE)</f>
        <v/>
      </c>
      <c r="EC249" s="70" t="s">
        <v>1124</v>
      </c>
      <c r="ED249" s="70" t="s">
        <v>1124</v>
      </c>
      <c r="EE249" s="70" t="s">
        <v>1124</v>
      </c>
      <c r="EF249" s="70" t="s">
        <v>1124</v>
      </c>
      <c r="EG249" s="70" t="s">
        <v>1124</v>
      </c>
      <c r="EH249" s="72"/>
      <c r="EI249" s="72">
        <v>632</v>
      </c>
    </row>
    <row r="250" spans="23:139" x14ac:dyDescent="0.35">
      <c r="W250" s="418" t="s">
        <v>1206</v>
      </c>
      <c r="X250" s="452" t="str">
        <f>IF($W$21="","ND",IF(AE$25="non","ND",SUM(INDEX(Coût!$B$6:$EL$1113,MATCH($W$21,Coût!$B$6:$B$1113,0),20):INDEX(Coût!$B$6:$EL$1113,MATCH($W$21,Coût!$B$6:$B$1113,0),21))))</f>
        <v>ND</v>
      </c>
      <c r="Y250" s="452" t="str">
        <f>IF(ISERROR(IF(X250=0,"",TEXT(IF(X250="","",X250),"# ##0")&amp;" ( "&amp;TEXT(IF(X250="","",X250)/SUM($X$250:$X$255),"0%")&amp;")")),"ND",IF(X250=0,"",TEXT(IF(X250="","",X250),"# ##0")&amp;" ( "&amp;TEXT(IF(X250="","",X250)/SUM($X$250:$X$255),"0%")&amp;")"))</f>
        <v>ND</v>
      </c>
      <c r="Z250" s="418"/>
      <c r="AA250" s="418"/>
      <c r="AB250" s="418"/>
      <c r="BS250" s="486">
        <v>78115</v>
      </c>
      <c r="BT250" s="479" t="s">
        <v>782</v>
      </c>
      <c r="BU250" s="479">
        <v>15</v>
      </c>
      <c r="BV250" s="476" t="s">
        <v>1187</v>
      </c>
      <c r="BW250" s="476" t="s">
        <v>1187</v>
      </c>
      <c r="BX250" s="476" t="s">
        <v>1187</v>
      </c>
      <c r="BY250" s="476" t="s">
        <v>1187</v>
      </c>
      <c r="BZ250" s="476" t="s">
        <v>1187</v>
      </c>
      <c r="CA250" s="476" t="s">
        <v>1187</v>
      </c>
      <c r="CB250" s="476" t="s">
        <v>1187</v>
      </c>
      <c r="CC250" s="476" t="s">
        <v>1187</v>
      </c>
      <c r="CD250" s="476" t="s">
        <v>1187</v>
      </c>
      <c r="CE250" s="476" t="s">
        <v>1188</v>
      </c>
      <c r="CF250" s="476" t="s">
        <v>1188</v>
      </c>
      <c r="CG250" s="476" t="s">
        <v>1188</v>
      </c>
      <c r="CH250" s="476" t="s">
        <v>1188</v>
      </c>
      <c r="CI250" s="476" t="s">
        <v>1188</v>
      </c>
      <c r="CJ250" s="476" t="s">
        <v>1188</v>
      </c>
      <c r="CK250" s="476" t="s">
        <v>1188</v>
      </c>
      <c r="CL250" s="476" t="s">
        <v>1188</v>
      </c>
      <c r="CM250" s="476" t="str">
        <f>IF(VLOOKUP(BS250,'Données par municipalité'!$B$6:$E$1113,4,FALSE)="","non","oui")</f>
        <v>oui</v>
      </c>
      <c r="CN250" s="410">
        <v>640.79701120797017</v>
      </c>
      <c r="CO250" s="410">
        <v>589.29593695401661</v>
      </c>
      <c r="CP250" s="410">
        <v>503.21756343188628</v>
      </c>
      <c r="CQ250" s="410">
        <v>488.07623087276374</v>
      </c>
      <c r="CR250" s="410">
        <v>558.63213829750532</v>
      </c>
      <c r="CS250" s="410">
        <v>451.18893990981343</v>
      </c>
      <c r="CT250" s="410">
        <v>262.76345081980531</v>
      </c>
      <c r="CU250" s="410">
        <v>419</v>
      </c>
      <c r="CV250" s="410">
        <f>IF(VLOOKUP(BS250,'Données par municipalité'!$B$6:$F$1113,4,FALSE)="","",VLOOKUP(BS250,'Données par municipalité'!$B$6:$F$1113,4,FALSE))</f>
        <v>230</v>
      </c>
      <c r="CW250" s="476" t="s">
        <v>4723</v>
      </c>
      <c r="CX250" s="483">
        <v>0</v>
      </c>
      <c r="CY250" s="483">
        <v>0</v>
      </c>
      <c r="CZ250" s="483">
        <v>0</v>
      </c>
      <c r="DA250" s="483">
        <v>0</v>
      </c>
      <c r="DB250" s="483">
        <v>0</v>
      </c>
      <c r="DC250" s="483">
        <v>0</v>
      </c>
      <c r="DD250" s="483">
        <v>0</v>
      </c>
      <c r="DE250" s="483">
        <f>IFERROR(SUM(VLOOKUP($BS250,'État &amp; Plan d''action'!$B$6:$Z$1113,18,FALSE),VLOOKUP($BS250,'État &amp; Plan d''action'!$B$6:$Z$1113,20,FALSE))/(VLOOKUP($BS250,'Données par municipalité'!$B$4:$L$1113,11,FALSE)),"")</f>
        <v>0</v>
      </c>
      <c r="DF250" s="483">
        <f>IFERROR(SUM(VLOOKUP($BS250,'État &amp; Plan d''action'!$B$6:$Z$1113,19,FALSE),VLOOKUP($BS250,'État &amp; Plan d''action'!$B$6:$Z$1113,21,FALSE))/(VLOOKUP($BS250,'Données par municipalité'!$B$4:$L$1113,11,FALSE)),"")</f>
        <v>0</v>
      </c>
      <c r="DG250" s="476" t="s">
        <v>4723</v>
      </c>
      <c r="DH250" s="484">
        <v>0</v>
      </c>
      <c r="DI250" s="484">
        <v>2</v>
      </c>
      <c r="DJ250" s="484">
        <v>4</v>
      </c>
      <c r="DK250" s="484">
        <v>2</v>
      </c>
      <c r="DL250" s="484">
        <v>1</v>
      </c>
      <c r="DM250" s="484">
        <v>0</v>
      </c>
      <c r="DN250" s="484">
        <v>0</v>
      </c>
      <c r="DO250" s="484">
        <v>0</v>
      </c>
      <c r="DP250" s="484">
        <v>0</v>
      </c>
      <c r="DQ250" s="484">
        <f>IF(VLOOKUP($BS250,'État &amp; Plan d''action'!$B$6:$AJ$1113,28,FALSE)="","",VLOOKUP($BS250,'État &amp; Plan d''action'!$B$6:$AJ$1113,28,FALSE))</f>
        <v>0</v>
      </c>
      <c r="DR250" s="70">
        <f>IF(VLOOKUP($BS250,'État &amp; Plan d''action'!$B$6:$AJ$1113,29,FALSE)="","",VLOOKUP($BS250,'État &amp; Plan d''action'!$B$6:$AJ$1113,29,FALSE))</f>
        <v>0</v>
      </c>
      <c r="DS250" s="70">
        <f>IF(VLOOKUP($BS250,'État &amp; Plan d''action'!$B$6:$AJ$1113,30,FALSE)="","",VLOOKUP($BS250,'État &amp; Plan d''action'!$B$6:$AJ$1113,30,FALSE))</f>
        <v>1</v>
      </c>
      <c r="DT250" s="70">
        <v>360</v>
      </c>
      <c r="DU250" s="485">
        <v>0.69231851912151887</v>
      </c>
      <c r="DV250" s="485">
        <v>1.0150822143881282</v>
      </c>
      <c r="DW250" s="70">
        <v>0</v>
      </c>
      <c r="DX250" s="70">
        <v>0</v>
      </c>
      <c r="DY250" s="70">
        <v>0</v>
      </c>
      <c r="DZ250" s="70">
        <f>VLOOKUP($BS250,'État &amp; Plan d''action'!$B$6:$AH$1113,31,FALSE)</f>
        <v>0</v>
      </c>
      <c r="EA250" s="70">
        <f>VLOOKUP($BS250,'État &amp; Plan d''action'!$B$6:$AH$1113,32,FALSE)</f>
        <v>0</v>
      </c>
      <c r="EB250" s="70">
        <f>VLOOKUP($BS250,'État &amp; Plan d''action'!$B$6:$AH$1113,33,FALSE)</f>
        <v>5</v>
      </c>
      <c r="EC250" s="70">
        <v>10.49</v>
      </c>
      <c r="ED250" s="70">
        <v>0</v>
      </c>
      <c r="EE250" s="70">
        <v>0</v>
      </c>
      <c r="EF250" s="70">
        <v>0</v>
      </c>
      <c r="EG250" s="70">
        <v>0</v>
      </c>
      <c r="EH250" s="72">
        <v>63.64864864864866</v>
      </c>
      <c r="EI250" s="72">
        <v>1317</v>
      </c>
    </row>
    <row r="251" spans="23:139" x14ac:dyDescent="0.35">
      <c r="W251" s="418" t="s">
        <v>1207</v>
      </c>
      <c r="X251" s="452" t="str">
        <f>IF($W$21="","ND",IF(AE$25="non","ND",SUM(INDEX(Coût!$B$6:$EL$1113,MATCH($W$21,Coût!$B$6:$B$1113,0),22):INDEX(Coût!$B$6:$EL$1113,MATCH($W$21,Coût!$B$6:$B$1113,0),23))))</f>
        <v>ND</v>
      </c>
      <c r="Y251" s="452" t="str">
        <f t="shared" ref="Y251:Y254" si="29">IF(ISERROR(IF(X251=0,"",TEXT(IF(X251="","",X251),"# ##0")&amp;" ( "&amp;TEXT(IF(X251="","",X251)/SUM($X$250:$X$255),"0%")&amp;")")),"ND",IF(X251=0,"",TEXT(IF(X251="","",X251),"# ##0")&amp;" ( "&amp;TEXT(IF(X251="","",X251)/SUM($X$250:$X$255),"0%")&amp;")"))</f>
        <v>ND</v>
      </c>
      <c r="Z251" s="418"/>
      <c r="AA251" s="418"/>
      <c r="AB251" s="418"/>
      <c r="BS251" s="486">
        <v>88030</v>
      </c>
      <c r="BT251" s="479" t="s">
        <v>915</v>
      </c>
      <c r="BU251" s="479">
        <v>8</v>
      </c>
      <c r="BV251" s="476" t="s">
        <v>1188</v>
      </c>
      <c r="BW251" s="476" t="s">
        <v>1188</v>
      </c>
      <c r="BX251" s="476" t="s">
        <v>1188</v>
      </c>
      <c r="BY251" s="476" t="s">
        <v>1188</v>
      </c>
      <c r="BZ251" s="476" t="s">
        <v>1188</v>
      </c>
      <c r="CA251" s="476" t="s">
        <v>1188</v>
      </c>
      <c r="CB251" s="476" t="s">
        <v>1188</v>
      </c>
      <c r="CC251" s="476" t="s">
        <v>1188</v>
      </c>
      <c r="CD251" s="476" t="s">
        <v>1188</v>
      </c>
      <c r="CE251" s="476" t="s">
        <v>1187</v>
      </c>
      <c r="CF251" s="476" t="s">
        <v>1187</v>
      </c>
      <c r="CG251" s="476" t="s">
        <v>1187</v>
      </c>
      <c r="CH251" s="476" t="s">
        <v>1187</v>
      </c>
      <c r="CI251" s="476" t="s">
        <v>1187</v>
      </c>
      <c r="CJ251" s="476" t="s">
        <v>1187</v>
      </c>
      <c r="CK251" s="476" t="s">
        <v>1187</v>
      </c>
      <c r="CL251" s="476" t="s">
        <v>1187</v>
      </c>
      <c r="CM251" s="476" t="str">
        <f>IF(VLOOKUP(BS251,'Données par municipalité'!$B$6:$E$1113,4,FALSE)="","non","oui")</f>
        <v>non</v>
      </c>
      <c r="CN251" s="410" t="s">
        <v>1124</v>
      </c>
      <c r="CO251" s="410" t="s">
        <v>1124</v>
      </c>
      <c r="CP251" s="410"/>
      <c r="CQ251" s="410"/>
      <c r="CR251" s="410"/>
      <c r="CS251" s="410" t="s">
        <v>1124</v>
      </c>
      <c r="CT251" s="410"/>
      <c r="CU251" s="410" t="s">
        <v>1124</v>
      </c>
      <c r="CV251" s="410" t="str">
        <f>IF(VLOOKUP(BS251,'Données par municipalité'!$B$6:$F$1113,4,FALSE)="","",VLOOKUP(BS251,'Données par municipalité'!$B$6:$F$1113,4,FALSE))</f>
        <v/>
      </c>
      <c r="CW251" s="476" t="s">
        <v>4723</v>
      </c>
      <c r="CX251" s="483" t="s">
        <v>1124</v>
      </c>
      <c r="CY251" s="483" t="s">
        <v>1124</v>
      </c>
      <c r="CZ251" s="483" t="s">
        <v>1124</v>
      </c>
      <c r="DA251" s="483" t="s">
        <v>1124</v>
      </c>
      <c r="DB251" s="483" t="s">
        <v>1124</v>
      </c>
      <c r="DC251" s="483" t="s">
        <v>1124</v>
      </c>
      <c r="DD251" s="483" t="s">
        <v>1124</v>
      </c>
      <c r="DE251" s="483" t="str">
        <f>IFERROR(SUM(VLOOKUP($BS251,'État &amp; Plan d''action'!$B$6:$Z$1113,18,FALSE),VLOOKUP($BS251,'État &amp; Plan d''action'!$B$6:$Z$1113,20,FALSE))/(VLOOKUP($BS251,'Données par municipalité'!$B$4:$L$1113,11,FALSE)),"")</f>
        <v/>
      </c>
      <c r="DF251" s="483" t="str">
        <f>IFERROR(SUM(VLOOKUP($BS251,'État &amp; Plan d''action'!$B$6:$Z$1113,19,FALSE),VLOOKUP($BS251,'État &amp; Plan d''action'!$B$6:$Z$1113,21,FALSE))/(VLOOKUP($BS251,'Données par municipalité'!$B$4:$L$1113,11,FALSE)),"")</f>
        <v/>
      </c>
      <c r="DG251" s="476" t="s">
        <v>4723</v>
      </c>
      <c r="DH251" s="484">
        <v>0</v>
      </c>
      <c r="DI251" s="484">
        <v>1</v>
      </c>
      <c r="DJ251" s="484">
        <v>1</v>
      </c>
      <c r="DK251" s="484">
        <v>3</v>
      </c>
      <c r="DL251" s="484" t="s">
        <v>1124</v>
      </c>
      <c r="DM251" s="484" t="s">
        <v>1124</v>
      </c>
      <c r="DN251" s="484" t="s">
        <v>1124</v>
      </c>
      <c r="DO251" s="484" t="s">
        <v>1124</v>
      </c>
      <c r="DP251" s="484" t="s">
        <v>1124</v>
      </c>
      <c r="DQ251" s="484" t="str">
        <f>IF(VLOOKUP($BS251,'État &amp; Plan d''action'!$B$6:$AJ$1113,28,FALSE)="","",VLOOKUP($BS251,'État &amp; Plan d''action'!$B$6:$AJ$1113,28,FALSE))</f>
        <v/>
      </c>
      <c r="DR251" s="70" t="str">
        <f>IF(VLOOKUP($BS251,'État &amp; Plan d''action'!$B$6:$AJ$1113,29,FALSE)="","",VLOOKUP($BS251,'État &amp; Plan d''action'!$B$6:$AJ$1113,29,FALSE))</f>
        <v/>
      </c>
      <c r="DS251" s="70" t="str">
        <f>IF(VLOOKUP($BS251,'État &amp; Plan d''action'!$B$6:$AJ$1113,30,FALSE)="","",VLOOKUP($BS251,'État &amp; Plan d''action'!$B$6:$AJ$1113,30,FALSE))</f>
        <v/>
      </c>
      <c r="DT251" s="70" t="s">
        <v>1124</v>
      </c>
      <c r="DU251" s="485" t="s">
        <v>1124</v>
      </c>
      <c r="DV251" s="485" t="s">
        <v>1124</v>
      </c>
      <c r="DW251" s="70" t="s">
        <v>1124</v>
      </c>
      <c r="DX251" s="70" t="s">
        <v>1124</v>
      </c>
      <c r="DY251" s="70" t="s">
        <v>1124</v>
      </c>
      <c r="DZ251" s="70" t="str">
        <f>VLOOKUP($BS251,'État &amp; Plan d''action'!$B$6:$AH$1113,31,FALSE)</f>
        <v/>
      </c>
      <c r="EA251" s="70" t="str">
        <f>VLOOKUP($BS251,'État &amp; Plan d''action'!$B$6:$AH$1113,32,FALSE)</f>
        <v/>
      </c>
      <c r="EB251" s="70" t="str">
        <f>VLOOKUP($BS251,'État &amp; Plan d''action'!$B$6:$AH$1113,33,FALSE)</f>
        <v/>
      </c>
      <c r="EC251" s="70" t="s">
        <v>1124</v>
      </c>
      <c r="ED251" s="70" t="s">
        <v>1124</v>
      </c>
      <c r="EE251" s="70" t="s">
        <v>1124</v>
      </c>
      <c r="EF251" s="70" t="s">
        <v>1124</v>
      </c>
      <c r="EG251" s="70" t="s">
        <v>1124</v>
      </c>
      <c r="EH251" s="72"/>
      <c r="EI251" s="72">
        <v>748</v>
      </c>
    </row>
    <row r="252" spans="23:139" x14ac:dyDescent="0.35">
      <c r="W252" s="418" t="s">
        <v>1208</v>
      </c>
      <c r="X252" s="452" t="str">
        <f>IF($W$21="","ND",IF(AE$25="non","ND",SUM(INDEX(Coût!$B$6:$EL$1113,MATCH($W$21,Coût!$B$6:$B$1113,0),24):INDEX(Coût!$B$6:$EL$1113,MATCH($W$21,Coût!$B$6:$B$1113,0),25))))</f>
        <v>ND</v>
      </c>
      <c r="Y252" s="452" t="str">
        <f t="shared" si="29"/>
        <v>ND</v>
      </c>
      <c r="Z252" s="418"/>
      <c r="AA252" s="418"/>
      <c r="AB252" s="418"/>
      <c r="BS252" s="486">
        <v>91050</v>
      </c>
      <c r="BT252" s="479" t="s">
        <v>945</v>
      </c>
      <c r="BU252" s="479">
        <v>2</v>
      </c>
      <c r="BV252" s="476" t="s">
        <v>1187</v>
      </c>
      <c r="BW252" s="476" t="s">
        <v>1187</v>
      </c>
      <c r="BX252" s="476" t="s">
        <v>1187</v>
      </c>
      <c r="BY252" s="476" t="s">
        <v>1187</v>
      </c>
      <c r="BZ252" s="476" t="s">
        <v>1187</v>
      </c>
      <c r="CA252" s="476" t="s">
        <v>1187</v>
      </c>
      <c r="CB252" s="476" t="s">
        <v>1187</v>
      </c>
      <c r="CC252" s="476" t="s">
        <v>1187</v>
      </c>
      <c r="CD252" s="476" t="s">
        <v>1187</v>
      </c>
      <c r="CE252" s="476" t="s">
        <v>1188</v>
      </c>
      <c r="CF252" s="476" t="s">
        <v>1188</v>
      </c>
      <c r="CG252" s="476" t="s">
        <v>1188</v>
      </c>
      <c r="CH252" s="476" t="s">
        <v>1188</v>
      </c>
      <c r="CI252" s="476" t="s">
        <v>1188</v>
      </c>
      <c r="CJ252" s="476" t="s">
        <v>1188</v>
      </c>
      <c r="CK252" s="476" t="s">
        <v>1188</v>
      </c>
      <c r="CL252" s="476" t="s">
        <v>1188</v>
      </c>
      <c r="CM252" s="476" t="str">
        <f>IF(VLOOKUP(BS252,'Données par municipalité'!$B$6:$E$1113,4,FALSE)="","non","oui")</f>
        <v>oui</v>
      </c>
      <c r="CN252" s="410">
        <v>520.30514935249141</v>
      </c>
      <c r="CO252" s="410">
        <v>583.72022325994487</v>
      </c>
      <c r="CP252" s="410">
        <v>421.01804287163884</v>
      </c>
      <c r="CQ252" s="410">
        <v>437.19970489653167</v>
      </c>
      <c r="CR252" s="410">
        <v>484.97531864574768</v>
      </c>
      <c r="CS252" s="410">
        <v>467.65704444738083</v>
      </c>
      <c r="CT252" s="410">
        <v>364.26536097561672</v>
      </c>
      <c r="CU252" s="410">
        <v>426</v>
      </c>
      <c r="CV252" s="410">
        <f>IF(VLOOKUP(BS252,'Données par municipalité'!$B$6:$F$1113,4,FALSE)="","",VLOOKUP(BS252,'Données par municipalité'!$B$6:$F$1113,4,FALSE))</f>
        <v>465</v>
      </c>
      <c r="CW252" s="476" t="s">
        <v>4723</v>
      </c>
      <c r="CX252" s="483">
        <v>0</v>
      </c>
      <c r="CY252" s="483">
        <v>0</v>
      </c>
      <c r="CZ252" s="483">
        <v>0</v>
      </c>
      <c r="DA252" s="483">
        <v>0</v>
      </c>
      <c r="DB252" s="483">
        <v>0</v>
      </c>
      <c r="DC252" s="483">
        <v>0</v>
      </c>
      <c r="DD252" s="483">
        <v>0.9865771812080536</v>
      </c>
      <c r="DE252" s="483">
        <f>IFERROR(SUM(VLOOKUP($BS252,'État &amp; Plan d''action'!$B$6:$Z$1113,18,FALSE),VLOOKUP($BS252,'État &amp; Plan d''action'!$B$6:$Z$1113,20,FALSE))/(VLOOKUP($BS252,'Données par municipalité'!$B$4:$L$1113,11,FALSE)),"")</f>
        <v>0</v>
      </c>
      <c r="DF252" s="483">
        <f>IFERROR(SUM(VLOOKUP($BS252,'État &amp; Plan d''action'!$B$6:$Z$1113,19,FALSE),VLOOKUP($BS252,'État &amp; Plan d''action'!$B$6:$Z$1113,21,FALSE))/(VLOOKUP($BS252,'Données par municipalité'!$B$4:$L$1113,11,FALSE)),"")</f>
        <v>0</v>
      </c>
      <c r="DG252" s="476" t="s">
        <v>4723</v>
      </c>
      <c r="DH252" s="484">
        <v>2</v>
      </c>
      <c r="DI252" s="484">
        <v>3</v>
      </c>
      <c r="DJ252" s="484">
        <v>5</v>
      </c>
      <c r="DK252" s="484">
        <v>9</v>
      </c>
      <c r="DL252" s="484">
        <v>5</v>
      </c>
      <c r="DM252" s="484">
        <v>9</v>
      </c>
      <c r="DN252" s="484">
        <v>2</v>
      </c>
      <c r="DO252" s="484">
        <v>1</v>
      </c>
      <c r="DP252" s="484">
        <v>0</v>
      </c>
      <c r="DQ252" s="484">
        <f>IF(VLOOKUP($BS252,'État &amp; Plan d''action'!$B$6:$AJ$1113,28,FALSE)="","",VLOOKUP($BS252,'État &amp; Plan d''action'!$B$6:$AJ$1113,28,FALSE))</f>
        <v>3</v>
      </c>
      <c r="DR252" s="70">
        <f>IF(VLOOKUP($BS252,'État &amp; Plan d''action'!$B$6:$AJ$1113,29,FALSE)="","",VLOOKUP($BS252,'État &amp; Plan d''action'!$B$6:$AJ$1113,29,FALSE))</f>
        <v>3</v>
      </c>
      <c r="DS252" s="70">
        <f>IF(VLOOKUP($BS252,'État &amp; Plan d''action'!$B$6:$AJ$1113,30,FALSE)="","",VLOOKUP($BS252,'État &amp; Plan d''action'!$B$6:$AJ$1113,30,FALSE))</f>
        <v>1</v>
      </c>
      <c r="DT252" s="70">
        <v>250</v>
      </c>
      <c r="DU252" s="485">
        <v>2.528002941381982</v>
      </c>
      <c r="DV252" s="485">
        <v>3.9142493615654024</v>
      </c>
      <c r="DW252" s="70">
        <v>1</v>
      </c>
      <c r="DX252" s="70">
        <v>1</v>
      </c>
      <c r="DY252" s="70">
        <v>0</v>
      </c>
      <c r="DZ252" s="70">
        <f>VLOOKUP($BS252,'État &amp; Plan d''action'!$B$6:$AH$1113,31,FALSE)</f>
        <v>1</v>
      </c>
      <c r="EA252" s="70">
        <f>VLOOKUP($BS252,'État &amp; Plan d''action'!$B$6:$AH$1113,32,FALSE)</f>
        <v>1</v>
      </c>
      <c r="EB252" s="70">
        <f>VLOOKUP($BS252,'État &amp; Plan d''action'!$B$6:$AH$1113,33,FALSE)</f>
        <v>30</v>
      </c>
      <c r="EC252" s="70">
        <v>20.58</v>
      </c>
      <c r="ED252" s="70">
        <v>0</v>
      </c>
      <c r="EE252" s="70">
        <v>20.58</v>
      </c>
      <c r="EF252" s="70">
        <v>0</v>
      </c>
      <c r="EG252" s="70">
        <v>0</v>
      </c>
      <c r="EH252" s="72">
        <v>55</v>
      </c>
      <c r="EI252" s="72">
        <v>1389</v>
      </c>
    </row>
    <row r="253" spans="23:139" x14ac:dyDescent="0.35">
      <c r="W253" s="418" t="s">
        <v>1209</v>
      </c>
      <c r="X253" s="452" t="str">
        <f>IF($W$21="","ND",IF(AE$25="non","ND",SUM(INDEX(Coût!$B$6:$EL$1113,MATCH($W$21,Coût!$B$6:$B$1113,0),26):INDEX(Coût!$B$6:$EL$1113,MATCH($W$21,Coût!$B$6:$B$1113,0),27))))</f>
        <v>ND</v>
      </c>
      <c r="Y253" s="452" t="str">
        <f t="shared" si="29"/>
        <v>ND</v>
      </c>
      <c r="Z253" s="418"/>
      <c r="AA253" s="418"/>
      <c r="AB253" s="418"/>
      <c r="BS253" s="486">
        <v>19090</v>
      </c>
      <c r="BT253" s="479" t="s">
        <v>133</v>
      </c>
      <c r="BU253" s="479">
        <v>12</v>
      </c>
      <c r="BV253" s="476" t="s">
        <v>1187</v>
      </c>
      <c r="BW253" s="476" t="s">
        <v>1187</v>
      </c>
      <c r="BX253" s="476" t="s">
        <v>1187</v>
      </c>
      <c r="BY253" s="476" t="s">
        <v>1187</v>
      </c>
      <c r="BZ253" s="476" t="s">
        <v>1187</v>
      </c>
      <c r="CA253" s="476" t="s">
        <v>1187</v>
      </c>
      <c r="CB253" s="476" t="s">
        <v>1187</v>
      </c>
      <c r="CC253" s="476" t="s">
        <v>1187</v>
      </c>
      <c r="CD253" s="476" t="s">
        <v>1187</v>
      </c>
      <c r="CE253" s="476" t="s">
        <v>1188</v>
      </c>
      <c r="CF253" s="476" t="s">
        <v>1188</v>
      </c>
      <c r="CG253" s="476" t="s">
        <v>1187</v>
      </c>
      <c r="CH253" s="476" t="s">
        <v>1188</v>
      </c>
      <c r="CI253" s="476" t="s">
        <v>1188</v>
      </c>
      <c r="CJ253" s="476" t="s">
        <v>1188</v>
      </c>
      <c r="CK253" s="476" t="s">
        <v>1188</v>
      </c>
      <c r="CL253" s="476" t="s">
        <v>1188</v>
      </c>
      <c r="CM253" s="476" t="str">
        <f>IF(VLOOKUP(BS253,'Données par municipalité'!$B$6:$E$1113,4,FALSE)="","non","oui")</f>
        <v>oui</v>
      </c>
      <c r="CN253" s="410">
        <v>506.39305617416051</v>
      </c>
      <c r="CO253" s="410">
        <v>447.87965028003657</v>
      </c>
      <c r="CP253" s="410"/>
      <c r="CQ253" s="410">
        <v>501.72548029375241</v>
      </c>
      <c r="CR253" s="410">
        <v>445.18591099697369</v>
      </c>
      <c r="CS253" s="410">
        <v>533.77931981329345</v>
      </c>
      <c r="CT253" s="410">
        <v>321.80409978977804</v>
      </c>
      <c r="CU253" s="410">
        <v>449</v>
      </c>
      <c r="CV253" s="410">
        <f>IF(VLOOKUP(BS253,'Données par municipalité'!$B$6:$F$1113,4,FALSE)="","",VLOOKUP(BS253,'Données par municipalité'!$B$6:$F$1113,4,FALSE))</f>
        <v>300</v>
      </c>
      <c r="CW253" s="476" t="s">
        <v>4723</v>
      </c>
      <c r="CX253" s="483">
        <v>0</v>
      </c>
      <c r="CY253" s="483" t="s">
        <v>1124</v>
      </c>
      <c r="CZ253" s="483">
        <v>1</v>
      </c>
      <c r="DA253" s="483">
        <v>1</v>
      </c>
      <c r="DB253" s="483">
        <v>1</v>
      </c>
      <c r="DC253" s="483">
        <v>1</v>
      </c>
      <c r="DD253" s="483">
        <v>1</v>
      </c>
      <c r="DE253" s="483">
        <f>IFERROR(SUM(VLOOKUP($BS253,'État &amp; Plan d''action'!$B$6:$Z$1113,18,FALSE),VLOOKUP($BS253,'État &amp; Plan d''action'!$B$6:$Z$1113,20,FALSE))/(VLOOKUP($BS253,'Données par municipalité'!$B$4:$L$1113,11,FALSE)),"")</f>
        <v>0</v>
      </c>
      <c r="DF253" s="483">
        <f>IFERROR(SUM(VLOOKUP($BS253,'État &amp; Plan d''action'!$B$6:$Z$1113,19,FALSE),VLOOKUP($BS253,'État &amp; Plan d''action'!$B$6:$Z$1113,21,FALSE))/(VLOOKUP($BS253,'Données par municipalité'!$B$4:$L$1113,11,FALSE)),"")</f>
        <v>0</v>
      </c>
      <c r="DG253" s="476" t="s">
        <v>4723</v>
      </c>
      <c r="DH253" s="484">
        <v>2</v>
      </c>
      <c r="DI253" s="484" t="s">
        <v>1124</v>
      </c>
      <c r="DJ253" s="484">
        <v>2</v>
      </c>
      <c r="DK253" s="484">
        <v>3</v>
      </c>
      <c r="DL253" s="484">
        <v>2</v>
      </c>
      <c r="DM253" s="484">
        <v>2</v>
      </c>
      <c r="DN253" s="484">
        <v>0</v>
      </c>
      <c r="DO253" s="484">
        <v>3</v>
      </c>
      <c r="DP253" s="484">
        <v>1</v>
      </c>
      <c r="DQ253" s="484">
        <f>IF(VLOOKUP($BS253,'État &amp; Plan d''action'!$B$6:$AJ$1113,28,FALSE)="","",VLOOKUP($BS253,'État &amp; Plan d''action'!$B$6:$AJ$1113,28,FALSE))</f>
        <v>0</v>
      </c>
      <c r="DR253" s="70">
        <f>IF(VLOOKUP($BS253,'État &amp; Plan d''action'!$B$6:$AJ$1113,29,FALSE)="","",VLOOKUP($BS253,'État &amp; Plan d''action'!$B$6:$AJ$1113,29,FALSE))</f>
        <v>0</v>
      </c>
      <c r="DS253" s="70">
        <f>IF(VLOOKUP($BS253,'État &amp; Plan d''action'!$B$6:$AJ$1113,30,FALSE)="","",VLOOKUP($BS253,'État &amp; Plan d''action'!$B$6:$AJ$1113,30,FALSE))</f>
        <v>1</v>
      </c>
      <c r="DT253" s="70">
        <v>378</v>
      </c>
      <c r="DU253" s="485">
        <v>0.7763351336951948</v>
      </c>
      <c r="DV253" s="485">
        <v>1.1897583187227758</v>
      </c>
      <c r="DW253" s="70">
        <v>0</v>
      </c>
      <c r="DX253" s="70">
        <v>15</v>
      </c>
      <c r="DY253" s="70">
        <v>7</v>
      </c>
      <c r="DZ253" s="70">
        <f>VLOOKUP($BS253,'État &amp; Plan d''action'!$B$6:$AH$1113,31,FALSE)</f>
        <v>0</v>
      </c>
      <c r="EA253" s="70">
        <f>VLOOKUP($BS253,'État &amp; Plan d''action'!$B$6:$AH$1113,32,FALSE)</f>
        <v>0</v>
      </c>
      <c r="EB253" s="70">
        <f>VLOOKUP($BS253,'État &amp; Plan d''action'!$B$6:$AH$1113,33,FALSE)</f>
        <v>5</v>
      </c>
      <c r="EC253" s="70">
        <v>0</v>
      </c>
      <c r="ED253" s="70">
        <v>4.5259999999999998</v>
      </c>
      <c r="EE253" s="70">
        <v>0</v>
      </c>
      <c r="EF253" s="70">
        <v>0</v>
      </c>
      <c r="EG253" s="70">
        <v>0</v>
      </c>
      <c r="EH253" s="72">
        <v>47.540540540540547</v>
      </c>
      <c r="EI253" s="72">
        <v>794</v>
      </c>
    </row>
    <row r="254" spans="23:139" x14ac:dyDescent="0.35">
      <c r="W254" s="418" t="s">
        <v>1210</v>
      </c>
      <c r="X254" s="452" t="str">
        <f>IF($W$21="","ND",IF(AE$25="non","ND",SUM(INDEX(Coût!$B$6:$EL$1113,MATCH($W$21,Coût!$B$6:$B$1113,0),28):INDEX(Coût!$B$6:$EL$1113,MATCH($W$21,Coût!$B$6:$B$1113,0),29))))</f>
        <v>ND</v>
      </c>
      <c r="Y254" s="452" t="str">
        <f t="shared" si="29"/>
        <v>ND</v>
      </c>
      <c r="Z254" s="418"/>
      <c r="AA254" s="418"/>
      <c r="AB254" s="418"/>
      <c r="BS254" s="486">
        <v>29030</v>
      </c>
      <c r="BT254" s="479" t="s">
        <v>205</v>
      </c>
      <c r="BU254" s="479">
        <v>12</v>
      </c>
      <c r="BV254" s="476" t="s">
        <v>1187</v>
      </c>
      <c r="BW254" s="476" t="s">
        <v>1187</v>
      </c>
      <c r="BX254" s="476" t="s">
        <v>1187</v>
      </c>
      <c r="BY254" s="476" t="s">
        <v>1187</v>
      </c>
      <c r="BZ254" s="476" t="s">
        <v>1187</v>
      </c>
      <c r="CA254" s="476" t="s">
        <v>1187</v>
      </c>
      <c r="CB254" s="476" t="s">
        <v>1187</v>
      </c>
      <c r="CC254" s="476" t="s">
        <v>1187</v>
      </c>
      <c r="CD254" s="476" t="s">
        <v>1187</v>
      </c>
      <c r="CE254" s="476" t="s">
        <v>1188</v>
      </c>
      <c r="CF254" s="476" t="s">
        <v>1188</v>
      </c>
      <c r="CG254" s="476" t="s">
        <v>1188</v>
      </c>
      <c r="CH254" s="476" t="s">
        <v>1188</v>
      </c>
      <c r="CI254" s="476" t="s">
        <v>1188</v>
      </c>
      <c r="CJ254" s="476" t="s">
        <v>1188</v>
      </c>
      <c r="CK254" s="476" t="s">
        <v>1188</v>
      </c>
      <c r="CL254" s="476" t="s">
        <v>1188</v>
      </c>
      <c r="CM254" s="476" t="str">
        <f>IF(VLOOKUP(BS254,'Données par municipalité'!$B$6:$E$1113,4,FALSE)="","non","oui")</f>
        <v>oui</v>
      </c>
      <c r="CN254" s="410">
        <v>286.05413465534895</v>
      </c>
      <c r="CO254" s="410">
        <v>242.35473356665753</v>
      </c>
      <c r="CP254" s="410">
        <v>251.13963697937686</v>
      </c>
      <c r="CQ254" s="410">
        <v>258.9270077525606</v>
      </c>
      <c r="CR254" s="410">
        <v>273.84808427073443</v>
      </c>
      <c r="CS254" s="410">
        <v>298.41549158131113</v>
      </c>
      <c r="CT254" s="410">
        <v>257.07281903388605</v>
      </c>
      <c r="CU254" s="410">
        <v>285</v>
      </c>
      <c r="CV254" s="410">
        <f>IF(VLOOKUP(BS254,'Données par municipalité'!$B$6:$F$1113,4,FALSE)="","",VLOOKUP(BS254,'Données par municipalité'!$B$6:$F$1113,4,FALSE))</f>
        <v>269</v>
      </c>
      <c r="CW254" s="476" t="s">
        <v>4723</v>
      </c>
      <c r="CX254" s="483">
        <v>0</v>
      </c>
      <c r="CY254" s="483">
        <v>0</v>
      </c>
      <c r="CZ254" s="483">
        <v>0</v>
      </c>
      <c r="DA254" s="483">
        <v>1</v>
      </c>
      <c r="DB254" s="483">
        <v>1</v>
      </c>
      <c r="DC254" s="483">
        <v>1</v>
      </c>
      <c r="DD254" s="483">
        <v>0.9959210671370301</v>
      </c>
      <c r="DE254" s="483">
        <f>IFERROR(SUM(VLOOKUP($BS254,'État &amp; Plan d''action'!$B$6:$Z$1113,18,FALSE),VLOOKUP($BS254,'État &amp; Plan d''action'!$B$6:$Z$1113,20,FALSE))/(VLOOKUP($BS254,'Données par municipalité'!$B$4:$L$1113,11,FALSE)),"")</f>
        <v>1</v>
      </c>
      <c r="DF254" s="483">
        <f>IFERROR(SUM(VLOOKUP($BS254,'État &amp; Plan d''action'!$B$6:$Z$1113,19,FALSE),VLOOKUP($BS254,'État &amp; Plan d''action'!$B$6:$Z$1113,21,FALSE))/(VLOOKUP($BS254,'Données par municipalité'!$B$4:$L$1113,11,FALSE)),"")</f>
        <v>1</v>
      </c>
      <c r="DG254" s="476" t="s">
        <v>4723</v>
      </c>
      <c r="DH254" s="484">
        <v>1</v>
      </c>
      <c r="DI254" s="484">
        <v>2</v>
      </c>
      <c r="DJ254" s="484">
        <v>6</v>
      </c>
      <c r="DK254" s="484">
        <v>4</v>
      </c>
      <c r="DL254" s="484">
        <v>1</v>
      </c>
      <c r="DM254" s="484">
        <v>3</v>
      </c>
      <c r="DN254" s="484">
        <v>5</v>
      </c>
      <c r="DO254" s="484">
        <v>0</v>
      </c>
      <c r="DP254" s="484">
        <v>5</v>
      </c>
      <c r="DQ254" s="484">
        <f>IF(VLOOKUP($BS254,'État &amp; Plan d''action'!$B$6:$AJ$1113,28,FALSE)="","",VLOOKUP($BS254,'État &amp; Plan d''action'!$B$6:$AJ$1113,28,FALSE))</f>
        <v>7</v>
      </c>
      <c r="DR254" s="70">
        <f>IF(VLOOKUP($BS254,'État &amp; Plan d''action'!$B$6:$AJ$1113,29,FALSE)="","",VLOOKUP($BS254,'État &amp; Plan d''action'!$B$6:$AJ$1113,29,FALSE))</f>
        <v>0</v>
      </c>
      <c r="DS254" s="70">
        <f>IF(VLOOKUP($BS254,'État &amp; Plan d''action'!$B$6:$AJ$1113,30,FALSE)="","",VLOOKUP($BS254,'État &amp; Plan d''action'!$B$6:$AJ$1113,30,FALSE))</f>
        <v>4</v>
      </c>
      <c r="DT254" s="70">
        <v>152</v>
      </c>
      <c r="DU254" s="485">
        <v>2.0907390749585257</v>
      </c>
      <c r="DV254" s="485">
        <v>1.1009873421239416</v>
      </c>
      <c r="DW254" s="70">
        <v>2</v>
      </c>
      <c r="DX254" s="70">
        <v>0</v>
      </c>
      <c r="DY254" s="70">
        <v>2</v>
      </c>
      <c r="DZ254" s="70">
        <f>VLOOKUP($BS254,'État &amp; Plan d''action'!$B$6:$AH$1113,31,FALSE)</f>
        <v>2</v>
      </c>
      <c r="EA254" s="70">
        <f>VLOOKUP($BS254,'État &amp; Plan d''action'!$B$6:$AH$1113,32,FALSE)</f>
        <v>0</v>
      </c>
      <c r="EB254" s="70">
        <f>VLOOKUP($BS254,'État &amp; Plan d''action'!$B$6:$AH$1113,33,FALSE)</f>
        <v>3</v>
      </c>
      <c r="EC254" s="70">
        <v>27.102</v>
      </c>
      <c r="ED254" s="70">
        <v>27.102</v>
      </c>
      <c r="EE254" s="70">
        <v>0</v>
      </c>
      <c r="EF254" s="70">
        <v>0</v>
      </c>
      <c r="EG254" s="70">
        <v>0</v>
      </c>
      <c r="EH254" s="72">
        <v>69</v>
      </c>
      <c r="EI254" s="72">
        <v>1789</v>
      </c>
    </row>
    <row r="255" spans="23:139" x14ac:dyDescent="0.35">
      <c r="W255" s="418" t="s">
        <v>1211</v>
      </c>
      <c r="X255" s="452" t="str">
        <f>IF($W$21="","ND",IF(AE$25="non","ND",SUM(INDEX(Coût!$B$6:$EL$1113,MATCH($W$21,Coût!$B$6:$B$1113,0),30):INDEX(Coût!$B$6:$EL$1113,MATCH($W$21,Coût!$B$6:$B$1113,0),31))))</f>
        <v>ND</v>
      </c>
      <c r="Y255" s="452" t="str">
        <f t="shared" ref="Y255" si="30">IF(ISERROR(IF(X255=0,"",TEXT(IF(X255="","",X255),"# ##0")&amp;" | "&amp;TEXT(IF(X255="","",X255)/SUM($X$250:$X$255),"0%"))),"ND",IF(X255=0,"",TEXT(IF(X255="","",X255),"# ##0")&amp;" | "&amp;TEXT(IF(X255="","",X255)/SUM($X$250:$X$255),"0%")))</f>
        <v>ND</v>
      </c>
      <c r="Z255" s="418"/>
      <c r="AA255" s="418"/>
      <c r="AB255" s="418"/>
      <c r="BS255" s="486">
        <v>79047</v>
      </c>
      <c r="BT255" s="479" t="s">
        <v>793</v>
      </c>
      <c r="BU255" s="479">
        <v>15</v>
      </c>
      <c r="BV255" s="476" t="s">
        <v>1187</v>
      </c>
      <c r="BW255" s="476" t="s">
        <v>1187</v>
      </c>
      <c r="BX255" s="476" t="s">
        <v>1187</v>
      </c>
      <c r="BY255" s="476" t="s">
        <v>1187</v>
      </c>
      <c r="BZ255" s="476" t="s">
        <v>1187</v>
      </c>
      <c r="CA255" s="476" t="s">
        <v>1187</v>
      </c>
      <c r="CB255" s="476" t="s">
        <v>1187</v>
      </c>
      <c r="CC255" s="476" t="s">
        <v>1187</v>
      </c>
      <c r="CD255" s="476" t="s">
        <v>1187</v>
      </c>
      <c r="CE255" s="476" t="s">
        <v>1188</v>
      </c>
      <c r="CF255" s="476" t="s">
        <v>1188</v>
      </c>
      <c r="CG255" s="476" t="s">
        <v>1187</v>
      </c>
      <c r="CH255" s="476" t="s">
        <v>1188</v>
      </c>
      <c r="CI255" s="476" t="s">
        <v>1188</v>
      </c>
      <c r="CJ255" s="476" t="s">
        <v>1188</v>
      </c>
      <c r="CK255" s="476" t="s">
        <v>1188</v>
      </c>
      <c r="CL255" s="476" t="s">
        <v>1188</v>
      </c>
      <c r="CM255" s="476" t="str">
        <f>IF(VLOOKUP(BS255,'Données par municipalité'!$B$6:$E$1113,4,FALSE)="","non","oui")</f>
        <v>oui</v>
      </c>
      <c r="CN255" s="410">
        <v>417.73270426783222</v>
      </c>
      <c r="CO255" s="410">
        <v>265.16553998397234</v>
      </c>
      <c r="CP255" s="410"/>
      <c r="CQ255" s="410">
        <v>340.77723464631276</v>
      </c>
      <c r="CR255" s="410">
        <v>317.731160083389</v>
      </c>
      <c r="CS255" s="410">
        <v>263.27615009656313</v>
      </c>
      <c r="CT255" s="410">
        <v>265.6545663189205</v>
      </c>
      <c r="CU255" s="410">
        <v>207</v>
      </c>
      <c r="CV255" s="410">
        <f>IF(VLOOKUP(BS255,'Données par municipalité'!$B$6:$F$1113,4,FALSE)="","",VLOOKUP(BS255,'Données par municipalité'!$B$6:$F$1113,4,FALSE))</f>
        <v>202</v>
      </c>
      <c r="CW255" s="476" t="s">
        <v>4723</v>
      </c>
      <c r="CX255" s="483">
        <v>0</v>
      </c>
      <c r="CY255" s="483" t="s">
        <v>1124</v>
      </c>
      <c r="CZ255" s="483">
        <v>0</v>
      </c>
      <c r="DA255" s="483">
        <v>1</v>
      </c>
      <c r="DB255" s="483">
        <v>1</v>
      </c>
      <c r="DC255" s="483">
        <v>0</v>
      </c>
      <c r="DD255" s="483">
        <v>0</v>
      </c>
      <c r="DE255" s="483">
        <f>IFERROR(SUM(VLOOKUP($BS255,'État &amp; Plan d''action'!$B$6:$Z$1113,18,FALSE),VLOOKUP($BS255,'État &amp; Plan d''action'!$B$6:$Z$1113,20,FALSE))/(VLOOKUP($BS255,'Données par municipalité'!$B$4:$L$1113,11,FALSE)),"")</f>
        <v>0</v>
      </c>
      <c r="DF255" s="483">
        <f>IFERROR(SUM(VLOOKUP($BS255,'État &amp; Plan d''action'!$B$6:$Z$1113,19,FALSE),VLOOKUP($BS255,'État &amp; Plan d''action'!$B$6:$Z$1113,21,FALSE))/(VLOOKUP($BS255,'Données par municipalité'!$B$4:$L$1113,11,FALSE)),"")</f>
        <v>0</v>
      </c>
      <c r="DG255" s="476" t="s">
        <v>4723</v>
      </c>
      <c r="DH255" s="484">
        <v>0</v>
      </c>
      <c r="DI255" s="484">
        <v>0</v>
      </c>
      <c r="DJ255" s="484">
        <v>0</v>
      </c>
      <c r="DK255" s="484">
        <v>1</v>
      </c>
      <c r="DL255" s="484">
        <v>0</v>
      </c>
      <c r="DM255" s="484">
        <v>0</v>
      </c>
      <c r="DN255" s="484">
        <v>0</v>
      </c>
      <c r="DO255" s="484">
        <v>0</v>
      </c>
      <c r="DP255" s="484">
        <v>0</v>
      </c>
      <c r="DQ255" s="484">
        <f>IF(VLOOKUP($BS255,'État &amp; Plan d''action'!$B$6:$AJ$1113,28,FALSE)="","",VLOOKUP($BS255,'État &amp; Plan d''action'!$B$6:$AJ$1113,28,FALSE))</f>
        <v>0</v>
      </c>
      <c r="DR255" s="70">
        <f>IF(VLOOKUP($BS255,'État &amp; Plan d''action'!$B$6:$AJ$1113,29,FALSE)="","",VLOOKUP($BS255,'État &amp; Plan d''action'!$B$6:$AJ$1113,29,FALSE))</f>
        <v>0</v>
      </c>
      <c r="DS255" s="70">
        <f>IF(VLOOKUP($BS255,'État &amp; Plan d''action'!$B$6:$AJ$1113,30,FALSE)="","",VLOOKUP($BS255,'État &amp; Plan d''action'!$B$6:$AJ$1113,30,FALSE))</f>
        <v>0</v>
      </c>
      <c r="DT255" s="70">
        <v>156</v>
      </c>
      <c r="DU255" s="485">
        <v>0.94674593099184656</v>
      </c>
      <c r="DV255" s="485">
        <v>0.64779848622202019</v>
      </c>
      <c r="DW255" s="70">
        <v>0</v>
      </c>
      <c r="DX255" s="70">
        <v>0</v>
      </c>
      <c r="DY255" s="70">
        <v>0</v>
      </c>
      <c r="DZ255" s="70">
        <f>VLOOKUP($BS255,'État &amp; Plan d''action'!$B$6:$AH$1113,31,FALSE)</f>
        <v>0</v>
      </c>
      <c r="EA255" s="70">
        <f>VLOOKUP($BS255,'État &amp; Plan d''action'!$B$6:$AH$1113,32,FALSE)</f>
        <v>0</v>
      </c>
      <c r="EB255" s="70">
        <f>VLOOKUP($BS255,'État &amp; Plan d''action'!$B$6:$AH$1113,33,FALSE)</f>
        <v>0</v>
      </c>
      <c r="EC255" s="70">
        <v>2.0939999999999999</v>
      </c>
      <c r="ED255" s="70">
        <v>0</v>
      </c>
      <c r="EE255" s="70">
        <v>0</v>
      </c>
      <c r="EF255" s="70">
        <v>0</v>
      </c>
      <c r="EG255" s="70">
        <v>0</v>
      </c>
      <c r="EH255" s="72">
        <v>60</v>
      </c>
      <c r="EI255" s="72">
        <v>1108</v>
      </c>
    </row>
    <row r="256" spans="23:139" x14ac:dyDescent="0.35">
      <c r="W256" s="418"/>
      <c r="X256" s="418"/>
      <c r="Y256" s="418"/>
      <c r="Z256" s="418"/>
      <c r="AA256" s="418"/>
      <c r="AB256" s="418"/>
      <c r="BS256" s="486">
        <v>15013</v>
      </c>
      <c r="BT256" s="479" t="s">
        <v>78</v>
      </c>
      <c r="BU256" s="479">
        <v>3</v>
      </c>
      <c r="BV256" s="476" t="s">
        <v>1187</v>
      </c>
      <c r="BW256" s="476" t="s">
        <v>1187</v>
      </c>
      <c r="BX256" s="476" t="s">
        <v>1187</v>
      </c>
      <c r="BY256" s="476" t="s">
        <v>1187</v>
      </c>
      <c r="BZ256" s="476" t="s">
        <v>1187</v>
      </c>
      <c r="CA256" s="476" t="s">
        <v>1187</v>
      </c>
      <c r="CB256" s="476" t="s">
        <v>1187</v>
      </c>
      <c r="CC256" s="476" t="s">
        <v>1187</v>
      </c>
      <c r="CD256" s="476" t="s">
        <v>1187</v>
      </c>
      <c r="CE256" s="476" t="s">
        <v>1188</v>
      </c>
      <c r="CF256" s="476" t="s">
        <v>1188</v>
      </c>
      <c r="CG256" s="476" t="s">
        <v>1188</v>
      </c>
      <c r="CH256" s="476" t="s">
        <v>1188</v>
      </c>
      <c r="CI256" s="476" t="s">
        <v>1188</v>
      </c>
      <c r="CJ256" s="476" t="s">
        <v>1188</v>
      </c>
      <c r="CK256" s="476" t="s">
        <v>1188</v>
      </c>
      <c r="CL256" s="476" t="s">
        <v>1188</v>
      </c>
      <c r="CM256" s="476" t="str">
        <f>IF(VLOOKUP(BS256,'Données par municipalité'!$B$6:$E$1113,4,FALSE)="","non","oui")</f>
        <v>oui</v>
      </c>
      <c r="CN256" s="410">
        <v>621.90687617096773</v>
      </c>
      <c r="CO256" s="410">
        <v>621.72460891440812</v>
      </c>
      <c r="CP256" s="410">
        <v>545.49350268906335</v>
      </c>
      <c r="CQ256" s="410">
        <v>545.29008463612956</v>
      </c>
      <c r="CR256" s="410">
        <v>573.58725855134549</v>
      </c>
      <c r="CS256" s="410">
        <v>578.85285826536733</v>
      </c>
      <c r="CT256" s="410">
        <v>585.13876371824267</v>
      </c>
      <c r="CU256" s="410">
        <v>638</v>
      </c>
      <c r="CV256" s="410">
        <f>IF(VLOOKUP(BS256,'Données par municipalité'!$B$6:$F$1113,4,FALSE)="","",VLOOKUP(BS256,'Données par municipalité'!$B$6:$F$1113,4,FALSE))</f>
        <v>577</v>
      </c>
      <c r="CW256" s="476" t="s">
        <v>4723</v>
      </c>
      <c r="CX256" s="483">
        <v>0</v>
      </c>
      <c r="CY256" s="483">
        <v>1</v>
      </c>
      <c r="CZ256" s="483">
        <v>1</v>
      </c>
      <c r="DA256" s="483">
        <v>1</v>
      </c>
      <c r="DB256" s="483">
        <v>0</v>
      </c>
      <c r="DC256" s="483">
        <v>0.2</v>
      </c>
      <c r="DD256" s="483">
        <v>0.20572978010572457</v>
      </c>
      <c r="DE256" s="483">
        <f>IFERROR(SUM(VLOOKUP($BS256,'État &amp; Plan d''action'!$B$6:$Z$1113,18,FALSE),VLOOKUP($BS256,'État &amp; Plan d''action'!$B$6:$Z$1113,20,FALSE))/(VLOOKUP($BS256,'Données par municipalité'!$B$4:$L$1113,11,FALSE)),"")</f>
        <v>0.49681636767610271</v>
      </c>
      <c r="DF256" s="483">
        <f>IFERROR(SUM(VLOOKUP($BS256,'État &amp; Plan d''action'!$B$6:$Z$1113,19,FALSE),VLOOKUP($BS256,'État &amp; Plan d''action'!$B$6:$Z$1113,21,FALSE))/(VLOOKUP($BS256,'Données par municipalité'!$B$4:$L$1113,11,FALSE)),"")</f>
        <v>1.3022239137590521</v>
      </c>
      <c r="DG256" s="476" t="s">
        <v>4723</v>
      </c>
      <c r="DH256" s="484">
        <v>13</v>
      </c>
      <c r="DI256" s="484">
        <v>14</v>
      </c>
      <c r="DJ256" s="484">
        <v>19</v>
      </c>
      <c r="DK256" s="484">
        <v>18</v>
      </c>
      <c r="DL256" s="484">
        <v>27</v>
      </c>
      <c r="DM256" s="484">
        <v>22</v>
      </c>
      <c r="DN256" s="484">
        <v>18</v>
      </c>
      <c r="DO256" s="484">
        <v>0</v>
      </c>
      <c r="DP256" s="484">
        <v>0</v>
      </c>
      <c r="DQ256" s="484">
        <f>IF(VLOOKUP($BS256,'État &amp; Plan d''action'!$B$6:$AJ$1113,28,FALSE)="","",VLOOKUP($BS256,'État &amp; Plan d''action'!$B$6:$AJ$1113,28,FALSE))</f>
        <v>13</v>
      </c>
      <c r="DR256" s="70">
        <f>IF(VLOOKUP($BS256,'État &amp; Plan d''action'!$B$6:$AJ$1113,29,FALSE)="","",VLOOKUP($BS256,'État &amp; Plan d''action'!$B$6:$AJ$1113,29,FALSE))</f>
        <v>13</v>
      </c>
      <c r="DS256" s="70">
        <f>IF(VLOOKUP($BS256,'État &amp; Plan d''action'!$B$6:$AJ$1113,30,FALSE)="","",VLOOKUP($BS256,'État &amp; Plan d''action'!$B$6:$AJ$1113,30,FALSE))</f>
        <v>0</v>
      </c>
      <c r="DT256" s="70">
        <v>365</v>
      </c>
      <c r="DU256" s="485">
        <v>2.4221785295936096</v>
      </c>
      <c r="DV256" s="485">
        <v>3.0385499374135088</v>
      </c>
      <c r="DW256" s="70">
        <v>2</v>
      </c>
      <c r="DX256" s="70">
        <v>0</v>
      </c>
      <c r="DY256" s="70">
        <v>0</v>
      </c>
      <c r="DZ256" s="70">
        <f>VLOOKUP($BS256,'État &amp; Plan d''action'!$B$6:$AH$1113,31,FALSE)</f>
        <v>2</v>
      </c>
      <c r="EA256" s="70">
        <f>VLOOKUP($BS256,'État &amp; Plan d''action'!$B$6:$AH$1113,32,FALSE)</f>
        <v>2</v>
      </c>
      <c r="EB256" s="70">
        <f>VLOOKUP($BS256,'État &amp; Plan d''action'!$B$6:$AH$1113,33,FALSE)</f>
        <v>0</v>
      </c>
      <c r="EC256" s="70">
        <v>0</v>
      </c>
      <c r="ED256" s="70">
        <v>20</v>
      </c>
      <c r="EE256" s="70">
        <v>0</v>
      </c>
      <c r="EF256" s="70">
        <v>0</v>
      </c>
      <c r="EG256" s="70">
        <v>0</v>
      </c>
      <c r="EH256" s="72">
        <v>55.666666666666664</v>
      </c>
      <c r="EI256" s="72">
        <v>8161</v>
      </c>
    </row>
    <row r="257" spans="23:139" x14ac:dyDescent="0.35">
      <c r="W257" s="454" t="s">
        <v>1215</v>
      </c>
      <c r="X257" s="418"/>
      <c r="Y257" s="418"/>
      <c r="Z257" s="418"/>
      <c r="AA257" s="418"/>
      <c r="AB257" s="418"/>
      <c r="BS257" s="486">
        <v>4030</v>
      </c>
      <c r="BT257" s="479" t="s">
        <v>1041</v>
      </c>
      <c r="BU257" s="479">
        <v>11</v>
      </c>
      <c r="BV257" s="476" t="s">
        <v>1187</v>
      </c>
      <c r="BW257" s="476" t="s">
        <v>1188</v>
      </c>
      <c r="BX257" s="476" t="s">
        <v>1188</v>
      </c>
      <c r="BY257" s="476" t="s">
        <v>1188</v>
      </c>
      <c r="BZ257" s="476" t="s">
        <v>1188</v>
      </c>
      <c r="CA257" s="476" t="s">
        <v>1188</v>
      </c>
      <c r="CB257" s="476" t="s">
        <v>1188</v>
      </c>
      <c r="CC257" s="476" t="s">
        <v>1188</v>
      </c>
      <c r="CD257" s="476" t="s">
        <v>1188</v>
      </c>
      <c r="CE257" s="476" t="s">
        <v>1188</v>
      </c>
      <c r="CF257" s="476" t="s">
        <v>1188</v>
      </c>
      <c r="CG257" s="476" t="s">
        <v>1188</v>
      </c>
      <c r="CH257" s="476" t="s">
        <v>1188</v>
      </c>
      <c r="CI257" s="476" t="s">
        <v>1187</v>
      </c>
      <c r="CJ257" s="476" t="s">
        <v>1187</v>
      </c>
      <c r="CK257" s="476" t="s">
        <v>1187</v>
      </c>
      <c r="CL257" s="476" t="s">
        <v>1187</v>
      </c>
      <c r="CM257" s="476" t="str">
        <f>IF(VLOOKUP(BS257,'Données par municipalité'!$B$6:$E$1113,4,FALSE)="","non","oui")</f>
        <v>non</v>
      </c>
      <c r="CN257" s="410">
        <v>824.22586520947175</v>
      </c>
      <c r="CO257" s="410">
        <v>790.5311112766035</v>
      </c>
      <c r="CP257" s="410">
        <v>720.4514754597709</v>
      </c>
      <c r="CQ257" s="410">
        <v>832.90741383908949</v>
      </c>
      <c r="CR257" s="410"/>
      <c r="CS257" s="410" t="s">
        <v>1124</v>
      </c>
      <c r="CT257" s="410"/>
      <c r="CU257" s="410" t="s">
        <v>1124</v>
      </c>
      <c r="CV257" s="410" t="str">
        <f>IF(VLOOKUP(BS257,'Données par municipalité'!$B$6:$F$1113,4,FALSE)="","",VLOOKUP(BS257,'Données par municipalité'!$B$6:$F$1113,4,FALSE))</f>
        <v/>
      </c>
      <c r="CW257" s="476" t="s">
        <v>4723</v>
      </c>
      <c r="CX257" s="483">
        <v>0</v>
      </c>
      <c r="CY257" s="483">
        <v>0</v>
      </c>
      <c r="CZ257" s="483">
        <v>0</v>
      </c>
      <c r="DA257" s="483" t="s">
        <v>1124</v>
      </c>
      <c r="DB257" s="483" t="s">
        <v>1124</v>
      </c>
      <c r="DC257" s="483" t="s">
        <v>1124</v>
      </c>
      <c r="DD257" s="483" t="s">
        <v>1124</v>
      </c>
      <c r="DE257" s="483" t="str">
        <f>IFERROR(SUM(VLOOKUP($BS257,'État &amp; Plan d''action'!$B$6:$Z$1113,18,FALSE),VLOOKUP($BS257,'État &amp; Plan d''action'!$B$6:$Z$1113,20,FALSE))/(VLOOKUP($BS257,'Données par municipalité'!$B$4:$L$1113,11,FALSE)),"")</f>
        <v/>
      </c>
      <c r="DF257" s="483" t="str">
        <f>IFERROR(SUM(VLOOKUP($BS257,'État &amp; Plan d''action'!$B$6:$Z$1113,19,FALSE),VLOOKUP($BS257,'État &amp; Plan d''action'!$B$6:$Z$1113,21,FALSE))/(VLOOKUP($BS257,'Données par municipalité'!$B$4:$L$1113,11,FALSE)),"")</f>
        <v/>
      </c>
      <c r="DG257" s="476" t="s">
        <v>4723</v>
      </c>
      <c r="DH257" s="484">
        <v>2</v>
      </c>
      <c r="DI257" s="484">
        <v>2</v>
      </c>
      <c r="DJ257" s="484">
        <v>0</v>
      </c>
      <c r="DK257" s="484">
        <v>0</v>
      </c>
      <c r="DL257" s="484" t="s">
        <v>1124</v>
      </c>
      <c r="DM257" s="484" t="s">
        <v>1124</v>
      </c>
      <c r="DN257" s="484" t="s">
        <v>1124</v>
      </c>
      <c r="DO257" s="484" t="s">
        <v>1124</v>
      </c>
      <c r="DP257" s="484" t="s">
        <v>1124</v>
      </c>
      <c r="DQ257" s="484" t="str">
        <f>IF(VLOOKUP($BS257,'État &amp; Plan d''action'!$B$6:$AJ$1113,28,FALSE)="","",VLOOKUP($BS257,'État &amp; Plan d''action'!$B$6:$AJ$1113,28,FALSE))</f>
        <v/>
      </c>
      <c r="DR257" s="70" t="str">
        <f>IF(VLOOKUP($BS257,'État &amp; Plan d''action'!$B$6:$AJ$1113,29,FALSE)="","",VLOOKUP($BS257,'État &amp; Plan d''action'!$B$6:$AJ$1113,29,FALSE))</f>
        <v/>
      </c>
      <c r="DS257" s="70" t="str">
        <f>IF(VLOOKUP($BS257,'État &amp; Plan d''action'!$B$6:$AJ$1113,30,FALSE)="","",VLOOKUP($BS257,'État &amp; Plan d''action'!$B$6:$AJ$1113,30,FALSE))</f>
        <v/>
      </c>
      <c r="DT257" s="70" t="s">
        <v>1124</v>
      </c>
      <c r="DU257" s="485" t="s">
        <v>1124</v>
      </c>
      <c r="DV257" s="485" t="s">
        <v>1124</v>
      </c>
      <c r="DW257" s="70" t="s">
        <v>1124</v>
      </c>
      <c r="DX257" s="70" t="s">
        <v>1124</v>
      </c>
      <c r="DY257" s="70" t="s">
        <v>1124</v>
      </c>
      <c r="DZ257" s="70" t="str">
        <f>VLOOKUP($BS257,'État &amp; Plan d''action'!$B$6:$AH$1113,31,FALSE)</f>
        <v/>
      </c>
      <c r="EA257" s="70" t="str">
        <f>VLOOKUP($BS257,'État &amp; Plan d''action'!$B$6:$AH$1113,32,FALSE)</f>
        <v/>
      </c>
      <c r="EB257" s="70" t="str">
        <f>VLOOKUP($BS257,'État &amp; Plan d''action'!$B$6:$AH$1113,33,FALSE)</f>
        <v/>
      </c>
      <c r="EC257" s="70" t="s">
        <v>1124</v>
      </c>
      <c r="ED257" s="70" t="s">
        <v>1124</v>
      </c>
      <c r="EE257" s="70" t="s">
        <v>1124</v>
      </c>
      <c r="EF257" s="70" t="s">
        <v>1124</v>
      </c>
      <c r="EG257" s="70" t="s">
        <v>1124</v>
      </c>
      <c r="EH257" s="72"/>
      <c r="EI257" s="72">
        <v>231</v>
      </c>
    </row>
    <row r="258" spans="23:139" x14ac:dyDescent="0.35">
      <c r="X258" s="416">
        <v>2018</v>
      </c>
      <c r="Y258" s="416">
        <v>2019</v>
      </c>
      <c r="Z258" s="416">
        <v>2020</v>
      </c>
      <c r="AA258" s="416">
        <v>2021</v>
      </c>
      <c r="AB258" s="416">
        <v>2022</v>
      </c>
      <c r="AC258" s="416">
        <v>2023</v>
      </c>
      <c r="AD258" s="416">
        <v>2024</v>
      </c>
      <c r="AE258" s="416">
        <v>2025</v>
      </c>
      <c r="AF258" s="416">
        <v>2026</v>
      </c>
      <c r="AG258" s="416">
        <v>2027</v>
      </c>
      <c r="AH258" s="416">
        <v>2028</v>
      </c>
      <c r="BS258" s="486">
        <v>78130</v>
      </c>
      <c r="BT258" s="479" t="s">
        <v>785</v>
      </c>
      <c r="BU258" s="479">
        <v>15</v>
      </c>
      <c r="BV258" s="476" t="s">
        <v>1187</v>
      </c>
      <c r="BW258" s="476" t="s">
        <v>1187</v>
      </c>
      <c r="BX258" s="476" t="s">
        <v>1187</v>
      </c>
      <c r="BY258" s="476" t="s">
        <v>1187</v>
      </c>
      <c r="BZ258" s="476" t="s">
        <v>1187</v>
      </c>
      <c r="CA258" s="476" t="s">
        <v>1187</v>
      </c>
      <c r="CB258" s="476" t="s">
        <v>1187</v>
      </c>
      <c r="CC258" s="476" t="s">
        <v>1187</v>
      </c>
      <c r="CD258" s="476" t="s">
        <v>1187</v>
      </c>
      <c r="CE258" s="476" t="s">
        <v>1187</v>
      </c>
      <c r="CF258" s="476" t="s">
        <v>1187</v>
      </c>
      <c r="CG258" s="476" t="s">
        <v>1187</v>
      </c>
      <c r="CH258" s="476" t="s">
        <v>1187</v>
      </c>
      <c r="CI258" s="476" t="s">
        <v>1187</v>
      </c>
      <c r="CJ258" s="476" t="s">
        <v>1187</v>
      </c>
      <c r="CK258" s="476" t="s">
        <v>1187</v>
      </c>
      <c r="CL258" s="476" t="s">
        <v>1188</v>
      </c>
      <c r="CM258" s="476" t="str">
        <f>IF(VLOOKUP(BS258,'Données par municipalité'!$B$6:$E$1113,4,FALSE)="","non","oui")</f>
        <v>oui</v>
      </c>
      <c r="CN258" s="410" t="s">
        <v>1124</v>
      </c>
      <c r="CO258" s="410" t="s">
        <v>1124</v>
      </c>
      <c r="CP258" s="410"/>
      <c r="CQ258" s="410"/>
      <c r="CR258" s="410"/>
      <c r="CS258" s="410" t="s">
        <v>1124</v>
      </c>
      <c r="CT258" s="410"/>
      <c r="CU258" s="410">
        <v>453</v>
      </c>
      <c r="CV258" s="410">
        <f>IF(VLOOKUP(BS258,'Données par municipalité'!$B$6:$F$1113,4,FALSE)="","",VLOOKUP(BS258,'Données par municipalité'!$B$6:$F$1113,4,FALSE))</f>
        <v>374</v>
      </c>
      <c r="CW258" s="476" t="s">
        <v>4723</v>
      </c>
      <c r="CX258" s="483" t="s">
        <v>1124</v>
      </c>
      <c r="CY258" s="483" t="s">
        <v>1124</v>
      </c>
      <c r="CZ258" s="483" t="s">
        <v>1124</v>
      </c>
      <c r="DA258" s="483" t="s">
        <v>1124</v>
      </c>
      <c r="DB258" s="483" t="s">
        <v>1124</v>
      </c>
      <c r="DC258" s="483" t="s">
        <v>1124</v>
      </c>
      <c r="DD258" s="483">
        <v>1</v>
      </c>
      <c r="DE258" s="483">
        <f>IFERROR(SUM(VLOOKUP($BS258,'État &amp; Plan d''action'!$B$6:$Z$1113,18,FALSE),VLOOKUP($BS258,'État &amp; Plan d''action'!$B$6:$Z$1113,20,FALSE))/(VLOOKUP($BS258,'Données par municipalité'!$B$4:$L$1113,11,FALSE)),"")</f>
        <v>0</v>
      </c>
      <c r="DF258" s="483">
        <f>IFERROR(SUM(VLOOKUP($BS258,'État &amp; Plan d''action'!$B$6:$Z$1113,19,FALSE),VLOOKUP($BS258,'État &amp; Plan d''action'!$B$6:$Z$1113,21,FALSE))/(VLOOKUP($BS258,'Données par municipalité'!$B$4:$L$1113,11,FALSE)),"")</f>
        <v>1</v>
      </c>
      <c r="DG258" s="476" t="s">
        <v>4723</v>
      </c>
      <c r="DH258" s="484">
        <v>2</v>
      </c>
      <c r="DI258" s="484">
        <v>0</v>
      </c>
      <c r="DJ258" s="484">
        <v>0</v>
      </c>
      <c r="DK258" s="484">
        <v>0</v>
      </c>
      <c r="DL258" s="484" t="s">
        <v>1124</v>
      </c>
      <c r="DM258" s="484" t="s">
        <v>1124</v>
      </c>
      <c r="DN258" s="484">
        <v>1</v>
      </c>
      <c r="DO258" s="484">
        <v>1</v>
      </c>
      <c r="DP258" s="484">
        <v>0</v>
      </c>
      <c r="DQ258" s="484">
        <f>IF(VLOOKUP($BS258,'État &amp; Plan d''action'!$B$6:$AJ$1113,28,FALSE)="","",VLOOKUP($BS258,'État &amp; Plan d''action'!$B$6:$AJ$1113,28,FALSE))</f>
        <v>0</v>
      </c>
      <c r="DR258" s="70">
        <f>IF(VLOOKUP($BS258,'État &amp; Plan d''action'!$B$6:$AJ$1113,29,FALSE)="","",VLOOKUP($BS258,'État &amp; Plan d''action'!$B$6:$AJ$1113,29,FALSE))</f>
        <v>0</v>
      </c>
      <c r="DS258" s="70">
        <f>IF(VLOOKUP($BS258,'État &amp; Plan d''action'!$B$6:$AJ$1113,30,FALSE)="","",VLOOKUP($BS258,'État &amp; Plan d''action'!$B$6:$AJ$1113,30,FALSE))</f>
        <v>0</v>
      </c>
      <c r="DT258" s="70">
        <v>297</v>
      </c>
      <c r="DU258" s="485">
        <v>4.2651807350580828</v>
      </c>
      <c r="DV258" s="485">
        <v>0.49512459904639605</v>
      </c>
      <c r="DW258" s="70">
        <v>12</v>
      </c>
      <c r="DX258" s="70">
        <v>1</v>
      </c>
      <c r="DY258" s="70">
        <v>0</v>
      </c>
      <c r="DZ258" s="70">
        <f>VLOOKUP($BS258,'État &amp; Plan d''action'!$B$6:$AH$1113,31,FALSE)</f>
        <v>0</v>
      </c>
      <c r="EA258" s="70">
        <f>VLOOKUP($BS258,'État &amp; Plan d''action'!$B$6:$AH$1113,32,FALSE)</f>
        <v>0</v>
      </c>
      <c r="EB258" s="70">
        <f>VLOOKUP($BS258,'État &amp; Plan d''action'!$B$6:$AH$1113,33,FALSE)</f>
        <v>0</v>
      </c>
      <c r="EC258" s="70">
        <v>0</v>
      </c>
      <c r="ED258" s="70">
        <v>3.0329999999999999</v>
      </c>
      <c r="EE258" s="70">
        <v>0</v>
      </c>
      <c r="EF258" s="70">
        <v>3.0329999999999999</v>
      </c>
      <c r="EG258" s="70">
        <v>0</v>
      </c>
      <c r="EH258" s="72">
        <v>63.121621621621628</v>
      </c>
      <c r="EI258" s="72">
        <v>1236</v>
      </c>
    </row>
    <row r="259" spans="23:139" x14ac:dyDescent="0.35">
      <c r="W259" s="418" t="s">
        <v>1214</v>
      </c>
      <c r="X259" s="452"/>
      <c r="Y259" s="452" t="str">
        <f>IF($W$21="","ND",IF(AE$25="non","ND",IF(INDEX(Coût!$B$6:$EL$1113,MATCH($W$21,Coût!$B$6:$B$1113,0),34+Y258-$Y$258)=0,"ND",INDEX(Coût!$B$6:$EL$1113,MATCH($W$21,Coût!$B$6:$B$1113,0),34+Y258-$Y$258))))</f>
        <v>ND</v>
      </c>
      <c r="Z259" s="452" t="str">
        <f>IF($W$21="","ND",IF(AG$25="non","ND",IF(INDEX(Coût!$B$6:$EL$1113,MATCH($W$21,Coût!$B$6:$B$1113,0),34+Z258-$Y$258)=0,"ND",INDEX(Coût!$B$6:$EL$1113,MATCH($W$21,Coût!$B$6:$B$1113,0),34+Z258-$Y$258))))</f>
        <v>ND</v>
      </c>
      <c r="AA259" s="452" t="str">
        <f>IF($W$21="","ND",IF(T$177="non","ND",IF(INDEX(Coût!$B$6:$EL$1113,MATCH($W$21,Coût!$B$6:$B$1113,0),34+AA258-$Y$258)=0,"ND",INDEX(Coût!$B$6:$EL$1113,MATCH($W$21,Coût!$B$6:$B$1113,0),34+AA258-$Y$258))))</f>
        <v>ND</v>
      </c>
      <c r="AB259" s="452" t="str">
        <f>IF($W$21="","ND",IF(U$177="non","ND",IF(INDEX(Coût!$B$6:$EL$1113,MATCH($W$21,Coût!$B$6:$B$1113,0),34+AB258-$Y$258)=0,"ND",INDEX(Coût!$B$6:$EL$1113,MATCH($W$21,Coût!$B$6:$B$1113,0),34+AB258-$Y$258))))</f>
        <v>ND</v>
      </c>
      <c r="AC259" s="452" t="str">
        <f>IF($W$21="","ND",IF(V$177="non","ND",IF(INDEX(Coût!$B$6:$EL$1113,MATCH($W$21,Coût!$B$6:$B$1113,0),34+AC258-$Y$258)=0,"ND",INDEX(Coût!$B$6:$EL$1113,MATCH($W$21,Coût!$B$6:$B$1113,0),34+AC258-$Y$258))))</f>
        <v>ND</v>
      </c>
      <c r="AD259" s="452" t="str">
        <f>IF($W$21="","ND",IF(AM$177="non","ND",IF(INDEX(Coût!$B$6:$EL$1113,MATCH($W$21,Coût!$B$6:$B$1113,0),34+AD258-$Y$258)=0,"ND",INDEX(Coût!$B$6:$EL$1113,MATCH($W$21,Coût!$B$6:$B$1113,0),34+AD258-$Y$258))))</f>
        <v>ND</v>
      </c>
      <c r="AE259" s="452" t="str">
        <f>IF($W$21="","ND",IF(AH$177="non","ND",IF(INDEX(Coût!$B$6:$EL$1113,MATCH($W$21,Coût!$B$6:$B$1113,0),34+AE258-$Y$258)=0,"ND",INDEX(Coût!$B$6:$EL$1113,MATCH($W$21,Coût!$B$6:$B$1113,0),34+AE258-$Y$258))))</f>
        <v>ND</v>
      </c>
      <c r="AF259" s="452" t="str">
        <f>IF($W$21="","ND",IF(AI$177="non","ND",IF(INDEX(Coût!$B$6:$EL$1113,MATCH($W$21,Coût!$B$6:$B$1113,0),34+AF258-$Y$258)=0,"ND",INDEX(Coût!$B$6:$EL$1113,MATCH($W$21,Coût!$B$6:$B$1113,0),34+AF258-$Y$258))))</f>
        <v>ND</v>
      </c>
      <c r="AG259" s="452" t="str">
        <f>IF($W$21="","ND",IF(AM$25="non","ND",IF(INDEX(Coût!$B$6:$EL$1113,MATCH($W$21,Coût!$B$6:$B$1113,0),34+AG258-$Y$258)=0,"ND",INDEX(Coût!$B$6:$EL$1113,MATCH($W$21,Coût!$B$6:$B$1113,0),34+AG258-$Y$258))))</f>
        <v>ND</v>
      </c>
      <c r="AH259" s="452" t="str">
        <f>IF($W$21="","ND",IF(AN$25="non","ND",IF(INDEX(Coût!$B$6:$EL$1113,MATCH($W$21,Coût!$B$6:$B$1113,0),34+AH258-$Y$258)=0,"ND",INDEX(Coût!$B$6:$EL$1113,MATCH($W$21,Coût!$B$6:$B$1113,0),34+AH258-$Y$258))))</f>
        <v>ND</v>
      </c>
      <c r="BS259" s="486">
        <v>88015</v>
      </c>
      <c r="BT259" s="479" t="s">
        <v>913</v>
      </c>
      <c r="BU259" s="479">
        <v>8</v>
      </c>
      <c r="BV259" s="476" t="s">
        <v>1188</v>
      </c>
      <c r="BW259" s="476" t="s">
        <v>1188</v>
      </c>
      <c r="BX259" s="476" t="s">
        <v>1188</v>
      </c>
      <c r="BY259" s="476" t="s">
        <v>1188</v>
      </c>
      <c r="BZ259" s="476" t="s">
        <v>1188</v>
      </c>
      <c r="CA259" s="476" t="s">
        <v>1188</v>
      </c>
      <c r="CB259" s="476" t="s">
        <v>1188</v>
      </c>
      <c r="CC259" s="476" t="s">
        <v>1188</v>
      </c>
      <c r="CD259" s="476" t="s">
        <v>1188</v>
      </c>
      <c r="CE259" s="476" t="s">
        <v>1187</v>
      </c>
      <c r="CF259" s="476" t="s">
        <v>1187</v>
      </c>
      <c r="CG259" s="476" t="s">
        <v>1187</v>
      </c>
      <c r="CH259" s="476" t="s">
        <v>1187</v>
      </c>
      <c r="CI259" s="476" t="s">
        <v>1187</v>
      </c>
      <c r="CJ259" s="476" t="s">
        <v>1187</v>
      </c>
      <c r="CK259" s="476" t="s">
        <v>1187</v>
      </c>
      <c r="CL259" s="476" t="s">
        <v>1187</v>
      </c>
      <c r="CM259" s="476" t="str">
        <f>IF(VLOOKUP(BS259,'Données par municipalité'!$B$6:$E$1113,4,FALSE)="","non","oui")</f>
        <v>non</v>
      </c>
      <c r="CN259" s="410" t="s">
        <v>1124</v>
      </c>
      <c r="CO259" s="410" t="s">
        <v>1124</v>
      </c>
      <c r="CP259" s="410"/>
      <c r="CQ259" s="410"/>
      <c r="CR259" s="410"/>
      <c r="CS259" s="410" t="s">
        <v>1124</v>
      </c>
      <c r="CT259" s="410"/>
      <c r="CU259" s="410" t="s">
        <v>1124</v>
      </c>
      <c r="CV259" s="410" t="str">
        <f>IF(VLOOKUP(BS259,'Données par municipalité'!$B$6:$F$1113,4,FALSE)="","",VLOOKUP(BS259,'Données par municipalité'!$B$6:$F$1113,4,FALSE))</f>
        <v/>
      </c>
      <c r="CW259" s="476" t="s">
        <v>4723</v>
      </c>
      <c r="CX259" s="483" t="s">
        <v>1124</v>
      </c>
      <c r="CY259" s="483" t="s">
        <v>1124</v>
      </c>
      <c r="CZ259" s="483" t="s">
        <v>1124</v>
      </c>
      <c r="DA259" s="483" t="s">
        <v>1124</v>
      </c>
      <c r="DB259" s="483" t="s">
        <v>1124</v>
      </c>
      <c r="DC259" s="483" t="s">
        <v>1124</v>
      </c>
      <c r="DD259" s="483" t="s">
        <v>1124</v>
      </c>
      <c r="DE259" s="483" t="str">
        <f>IFERROR(SUM(VLOOKUP($BS259,'État &amp; Plan d''action'!$B$6:$Z$1113,18,FALSE),VLOOKUP($BS259,'État &amp; Plan d''action'!$B$6:$Z$1113,20,FALSE))/(VLOOKUP($BS259,'Données par municipalité'!$B$4:$L$1113,11,FALSE)),"")</f>
        <v/>
      </c>
      <c r="DF259" s="483" t="str">
        <f>IFERROR(SUM(VLOOKUP($BS259,'État &amp; Plan d''action'!$B$6:$Z$1113,19,FALSE),VLOOKUP($BS259,'État &amp; Plan d''action'!$B$6:$Z$1113,21,FALSE))/(VLOOKUP($BS259,'Données par municipalité'!$B$4:$L$1113,11,FALSE)),"")</f>
        <v/>
      </c>
      <c r="DG259" s="476" t="s">
        <v>4723</v>
      </c>
      <c r="DH259" s="484" t="s">
        <v>1124</v>
      </c>
      <c r="DI259" s="484" t="s">
        <v>1124</v>
      </c>
      <c r="DJ259" s="484">
        <v>0</v>
      </c>
      <c r="DK259" s="484">
        <v>0</v>
      </c>
      <c r="DL259" s="484" t="s">
        <v>1124</v>
      </c>
      <c r="DM259" s="484" t="s">
        <v>1124</v>
      </c>
      <c r="DN259" s="484" t="s">
        <v>1124</v>
      </c>
      <c r="DO259" s="484" t="s">
        <v>1124</v>
      </c>
      <c r="DP259" s="484" t="s">
        <v>1124</v>
      </c>
      <c r="DQ259" s="484" t="str">
        <f>IF(VLOOKUP($BS259,'État &amp; Plan d''action'!$B$6:$AJ$1113,28,FALSE)="","",VLOOKUP($BS259,'État &amp; Plan d''action'!$B$6:$AJ$1113,28,FALSE))</f>
        <v/>
      </c>
      <c r="DR259" s="70" t="str">
        <f>IF(VLOOKUP($BS259,'État &amp; Plan d''action'!$B$6:$AJ$1113,29,FALSE)="","",VLOOKUP($BS259,'État &amp; Plan d''action'!$B$6:$AJ$1113,29,FALSE))</f>
        <v/>
      </c>
      <c r="DS259" s="70" t="str">
        <f>IF(VLOOKUP($BS259,'État &amp; Plan d''action'!$B$6:$AJ$1113,30,FALSE)="","",VLOOKUP($BS259,'État &amp; Plan d''action'!$B$6:$AJ$1113,30,FALSE))</f>
        <v/>
      </c>
      <c r="DT259" s="70" t="s">
        <v>1124</v>
      </c>
      <c r="DU259" s="485" t="s">
        <v>1124</v>
      </c>
      <c r="DV259" s="485" t="s">
        <v>1124</v>
      </c>
      <c r="DW259" s="70" t="s">
        <v>1124</v>
      </c>
      <c r="DX259" s="70" t="s">
        <v>1124</v>
      </c>
      <c r="DY259" s="70" t="s">
        <v>1124</v>
      </c>
      <c r="DZ259" s="70" t="str">
        <f>VLOOKUP($BS259,'État &amp; Plan d''action'!$B$6:$AH$1113,31,FALSE)</f>
        <v/>
      </c>
      <c r="EA259" s="70" t="str">
        <f>VLOOKUP($BS259,'État &amp; Plan d''action'!$B$6:$AH$1113,32,FALSE)</f>
        <v/>
      </c>
      <c r="EB259" s="70" t="str">
        <f>VLOOKUP($BS259,'État &amp; Plan d''action'!$B$6:$AH$1113,33,FALSE)</f>
        <v/>
      </c>
      <c r="EC259" s="70" t="s">
        <v>1124</v>
      </c>
      <c r="ED259" s="70" t="s">
        <v>1124</v>
      </c>
      <c r="EE259" s="70" t="s">
        <v>1124</v>
      </c>
      <c r="EF259" s="70" t="s">
        <v>1124</v>
      </c>
      <c r="EG259" s="70" t="s">
        <v>1124</v>
      </c>
      <c r="EH259" s="72"/>
      <c r="EI259" s="72">
        <v>201</v>
      </c>
    </row>
    <row r="260" spans="23:139" x14ac:dyDescent="0.35">
      <c r="W260" s="418" t="s">
        <v>1126</v>
      </c>
      <c r="X260" s="452" t="str">
        <f>IF($W$21="","ND",IF(AE$25="non","ND",IF(SUM(INDEX(Coût!$B$6:$EL$1113,MATCH($W$21,Coût!$B$6:$B$1113,0),65+X258-$X$258),INDEX(Coût!$B$6:$EL$1113,MATCH($W$21,Coût!$B$6:$B$1113,0),76+X258-$X$258),INDEX(Coût!$B$6:$EL$1113,MATCH($W$21,Coût!$B$6:$B$1113,0),87+X258-$X$258))=0,0,SUM(INDEX(Coût!$B$6:$EL$1113,MATCH($W$21,Coût!$B$6:$B$1113,0),65+X258-$X$258),INDEX(Coût!$B$6:$EL$1113,MATCH($W$21,Coût!$B$6:$B$1113,0),76+X258-$X$258),INDEX(Coût!$B$6:$EL$1113,MATCH($W$21,Coût!$B$6:$B$1113,0),87+X258-$X$258)))))</f>
        <v>ND</v>
      </c>
      <c r="Y260" s="452" t="str">
        <f>IF($W$21="","ND",IF(AG$25="non","ND",IF(SUM(INDEX(Coût!$B$6:$EL$1113,MATCH($W$21,Coût!$B$6:$B$1113,0),65+Y258-$X$258),INDEX(Coût!$B$6:$EL$1113,MATCH($W$21,Coût!$B$6:$B$1113,0),76+Y258-$X$258),INDEX(Coût!$B$6:$EL$1113,MATCH($W$21,Coût!$B$6:$B$1113,0),87+Y258-$X$258))=0,0,SUM(INDEX(Coût!$B$6:$EL$1113,MATCH($W$21,Coût!$B$6:$B$1113,0),65+Y258-$X$258),INDEX(Coût!$B$6:$EL$1113,MATCH($W$21,Coût!$B$6:$B$1113,0),76+Y258-$X$258),INDEX(Coût!$B$6:$EL$1113,MATCH($W$21,Coût!$B$6:$B$1113,0),87+Y258-$X$258)))))</f>
        <v>ND</v>
      </c>
      <c r="Z260" s="452" t="str">
        <f>IF($W$21="","ND",IF(T$177="non","ND",IF(SUM(INDEX(Coût!$B$6:$EL$1113,MATCH($W$21,Coût!$B$6:$B$1113,0),65+Z258-$X$258),INDEX(Coût!$B$6:$EL$1113,MATCH($W$21,Coût!$B$6:$B$1113,0),76+Z258-$X$258),INDEX(Coût!$B$6:$EL$1113,MATCH($W$21,Coût!$B$6:$B$1113,0),87+Z258-$X$258))=0,0,SUM(INDEX(Coût!$B$6:$EL$1113,MATCH($W$21,Coût!$B$6:$B$1113,0),65+Z258-$X$258),INDEX(Coût!$B$6:$EL$1113,MATCH($W$21,Coût!$B$6:$B$1113,0),76+Z258-$X$258),INDEX(Coût!$B$6:$EL$1113,MATCH($W$21,Coût!$B$6:$B$1113,0),87+Z258-$X$258)))))</f>
        <v>ND</v>
      </c>
      <c r="AA260" s="452" t="str">
        <f>IF($W$21="","ND",IF(U$177="non","ND",IF(SUM(INDEX(Coût!$B$6:$EL$1113,MATCH($W$21,Coût!$B$6:$B$1113,0),65+AA258-$X$258),INDEX(Coût!$B$6:$EL$1113,MATCH($W$21,Coût!$B$6:$B$1113,0),76+AA258-$X$258),INDEX(Coût!$B$6:$EL$1113,MATCH($W$21,Coût!$B$6:$B$1113,0),87+AA258-$X$258))=0,0,SUM(INDEX(Coût!$B$6:$EL$1113,MATCH($W$21,Coût!$B$6:$B$1113,0),65+AA258-$X$258),INDEX(Coût!$B$6:$EL$1113,MATCH($W$21,Coût!$B$6:$B$1113,0),76+AA258-$X$258),INDEX(Coût!$B$6:$EL$1113,MATCH($W$21,Coût!$B$6:$B$1113,0),87+AA258-$X$258)))))</f>
        <v>ND</v>
      </c>
      <c r="AB260" s="452" t="str">
        <f>IF($W$21="","ND",IF(V$177="non","ND",IF(SUM(INDEX(Coût!$B$6:$EL$1113,MATCH($W$21,Coût!$B$6:$B$1113,0),65+AB258-$X$258),INDEX(Coût!$B$6:$EL$1113,MATCH($W$21,Coût!$B$6:$B$1113,0),76+AB258-$X$258),INDEX(Coût!$B$6:$EL$1113,MATCH($W$21,Coût!$B$6:$B$1113,0),87+AB258-$X$258))=0,0,SUM(INDEX(Coût!$B$6:$EL$1113,MATCH($W$21,Coût!$B$6:$B$1113,0),65+AB258-$X$258),INDEX(Coût!$B$6:$EL$1113,MATCH($W$21,Coût!$B$6:$B$1113,0),76+AB258-$X$258),INDEX(Coût!$B$6:$EL$1113,MATCH($W$21,Coût!$B$6:$B$1113,0),87+AB258-$X$258)))))</f>
        <v>ND</v>
      </c>
      <c r="AC260" s="452" t="str">
        <f>IF($W$21="","ND",IF(AM$177="non","ND",IF(SUM(INDEX(Coût!$B$6:$EL$1113,MATCH($W$21,Coût!$B$6:$B$1113,0),65+AC258-$X$258),INDEX(Coût!$B$6:$EL$1113,MATCH($W$21,Coût!$B$6:$B$1113,0),76+AC258-$X$258),INDEX(Coût!$B$6:$EL$1113,MATCH($W$21,Coût!$B$6:$B$1113,0),87+AC258-$X$258))=0,0,SUM(INDEX(Coût!$B$6:$EL$1113,MATCH($W$21,Coût!$B$6:$B$1113,0),65+AC258-$X$258),INDEX(Coût!$B$6:$EL$1113,MATCH($W$21,Coût!$B$6:$B$1113,0),76+AC258-$X$258),INDEX(Coût!$B$6:$EL$1113,MATCH($W$21,Coût!$B$6:$B$1113,0),87+AC258-$X$258)))))</f>
        <v>ND</v>
      </c>
      <c r="AD260" s="452" t="str">
        <f>IF($W$21="","ND",IF(AH$177="non","ND",IF(SUM(INDEX(Coût!$B$6:$EL$1113,MATCH($W$21,Coût!$B$6:$B$1113,0),65+AD258-$X$258),INDEX(Coût!$B$6:$EL$1113,MATCH($W$21,Coût!$B$6:$B$1113,0),76+AD258-$X$258),INDEX(Coût!$B$6:$EL$1113,MATCH($W$21,Coût!$B$6:$B$1113,0),87+AD258-$X$258))=0,0,SUM(INDEX(Coût!$B$6:$EL$1113,MATCH($W$21,Coût!$B$6:$B$1113,0),65+AD258-$X$258),INDEX(Coût!$B$6:$EL$1113,MATCH($W$21,Coût!$B$6:$B$1113,0),76+AD258-$X$258),INDEX(Coût!$B$6:$EL$1113,MATCH($W$21,Coût!$B$6:$B$1113,0),87+AD258-$X$258)))))</f>
        <v>ND</v>
      </c>
      <c r="AE260" s="452" t="str">
        <f>IF($W$21="","ND",IF(AI$177="non","ND",IF(SUM(INDEX(Coût!$B$6:$EL$1113,MATCH($W$21,Coût!$B$6:$B$1113,0),65+AE258-$X$258),INDEX(Coût!$B$6:$EL$1113,MATCH($W$21,Coût!$B$6:$B$1113,0),76+AE258-$X$258),INDEX(Coût!$B$6:$EL$1113,MATCH($W$21,Coût!$B$6:$B$1113,0),87+AE258-$X$258))=0,0,SUM(INDEX(Coût!$B$6:$EL$1113,MATCH($W$21,Coût!$B$6:$B$1113,0),65+AE258-$X$258),INDEX(Coût!$B$6:$EL$1113,MATCH($W$21,Coût!$B$6:$B$1113,0),76+AE258-$X$258),INDEX(Coût!$B$6:$EL$1113,MATCH($W$21,Coût!$B$6:$B$1113,0),87+AE258-$X$258)))))</f>
        <v>ND</v>
      </c>
      <c r="AF260" s="452" t="str">
        <f>IF($W$21="","ND",IF(AM$25="non","ND",IF(SUM(INDEX(Coût!$B$6:$EL$1113,MATCH($W$21,Coût!$B$6:$B$1113,0),65+AF258-$X$258),INDEX(Coût!$B$6:$EL$1113,MATCH($W$21,Coût!$B$6:$B$1113,0),76+AF258-$X$258),INDEX(Coût!$B$6:$EL$1113,MATCH($W$21,Coût!$B$6:$B$1113,0),87+AF258-$X$258))=0,0,SUM(INDEX(Coût!$B$6:$EL$1113,MATCH($W$21,Coût!$B$6:$B$1113,0),65+AF258-$X$258),INDEX(Coût!$B$6:$EL$1113,MATCH($W$21,Coût!$B$6:$B$1113,0),76+AF258-$X$258),INDEX(Coût!$B$6:$EL$1113,MATCH($W$21,Coût!$B$6:$B$1113,0),87+AF258-$X$258)))))</f>
        <v>ND</v>
      </c>
      <c r="AG260" s="452" t="str">
        <f>IF($W$21="","ND",IF(AN$25="non","ND",IF(SUM(INDEX(Coût!$B$6:$EL$1113,MATCH($W$21,Coût!$B$6:$B$1113,0),65+AG258-$X$258),INDEX(Coût!$B$6:$EL$1113,MATCH($W$21,Coût!$B$6:$B$1113,0),76+AG258-$X$258),INDEX(Coût!$B$6:$EL$1113,MATCH($W$21,Coût!$B$6:$B$1113,0),87+AG258-$X$258))=0,0,SUM(INDEX(Coût!$B$6:$EL$1113,MATCH($W$21,Coût!$B$6:$B$1113,0),65+AG258-$X$258),INDEX(Coût!$B$6:$EL$1113,MATCH($W$21,Coût!$B$6:$B$1113,0),76+AG258-$X$258),INDEX(Coût!$B$6:$EL$1113,MATCH($W$21,Coût!$B$6:$B$1113,0),87+AG258-$X$258)))))</f>
        <v>ND</v>
      </c>
      <c r="AH260" s="452" t="str">
        <f>IF($W$21="","ND",IF(AO$25="non","ND",IF(SUM(INDEX(Coût!$B$6:$EL$1113,MATCH($W$21,Coût!$B$6:$B$1113,0),65+AH258-$X$258),INDEX(Coût!$B$6:$EL$1113,MATCH($W$21,Coût!$B$6:$B$1113,0),76+AH258-$X$258),INDEX(Coût!$B$6:$EL$1113,MATCH($W$21,Coût!$B$6:$B$1113,0),87+AH258-$X$258))=0,0,SUM(INDEX(Coût!$B$6:$EL$1113,MATCH($W$21,Coût!$B$6:$B$1113,0),65+AH258-$X$258),INDEX(Coût!$B$6:$EL$1113,MATCH($W$21,Coût!$B$6:$B$1113,0),76+AH258-$X$258),INDEX(Coût!$B$6:$EL$1113,MATCH($W$21,Coût!$B$6:$B$1113,0),87+AH258-$X$258)))))</f>
        <v>ND</v>
      </c>
      <c r="BS260" s="486">
        <v>88045</v>
      </c>
      <c r="BT260" s="479" t="s">
        <v>918</v>
      </c>
      <c r="BU260" s="479">
        <v>8</v>
      </c>
      <c r="BV260" s="476" t="s">
        <v>1188</v>
      </c>
      <c r="BW260" s="476" t="s">
        <v>1188</v>
      </c>
      <c r="BX260" s="476" t="s">
        <v>1188</v>
      </c>
      <c r="BY260" s="476" t="s">
        <v>1188</v>
      </c>
      <c r="BZ260" s="476" t="s">
        <v>1188</v>
      </c>
      <c r="CA260" s="476" t="s">
        <v>1188</v>
      </c>
      <c r="CB260" s="476" t="s">
        <v>1188</v>
      </c>
      <c r="CC260" s="476" t="s">
        <v>1188</v>
      </c>
      <c r="CD260" s="476" t="s">
        <v>1188</v>
      </c>
      <c r="CE260" s="476" t="s">
        <v>1187</v>
      </c>
      <c r="CF260" s="476" t="s">
        <v>1187</v>
      </c>
      <c r="CG260" s="476" t="s">
        <v>1187</v>
      </c>
      <c r="CH260" s="476" t="s">
        <v>1187</v>
      </c>
      <c r="CI260" s="476" t="s">
        <v>1187</v>
      </c>
      <c r="CJ260" s="476" t="s">
        <v>1187</v>
      </c>
      <c r="CK260" s="476" t="s">
        <v>1187</v>
      </c>
      <c r="CL260" s="476" t="s">
        <v>1187</v>
      </c>
      <c r="CM260" s="476" t="str">
        <f>IF(VLOOKUP(BS260,'Données par municipalité'!$B$6:$E$1113,4,FALSE)="","non","oui")</f>
        <v>non</v>
      </c>
      <c r="CN260" s="410" t="s">
        <v>1124</v>
      </c>
      <c r="CO260" s="410" t="s">
        <v>1124</v>
      </c>
      <c r="CP260" s="410"/>
      <c r="CQ260" s="410"/>
      <c r="CR260" s="410"/>
      <c r="CS260" s="410" t="s">
        <v>1124</v>
      </c>
      <c r="CT260" s="410"/>
      <c r="CU260" s="410" t="s">
        <v>1124</v>
      </c>
      <c r="CV260" s="410" t="str">
        <f>IF(VLOOKUP(BS260,'Données par municipalité'!$B$6:$F$1113,4,FALSE)="","",VLOOKUP(BS260,'Données par municipalité'!$B$6:$F$1113,4,FALSE))</f>
        <v/>
      </c>
      <c r="CW260" s="476" t="s">
        <v>4723</v>
      </c>
      <c r="CX260" s="483" t="s">
        <v>1124</v>
      </c>
      <c r="CY260" s="483" t="s">
        <v>1124</v>
      </c>
      <c r="CZ260" s="483" t="s">
        <v>1124</v>
      </c>
      <c r="DA260" s="483" t="s">
        <v>1124</v>
      </c>
      <c r="DB260" s="483" t="s">
        <v>1124</v>
      </c>
      <c r="DC260" s="483" t="s">
        <v>1124</v>
      </c>
      <c r="DD260" s="483" t="s">
        <v>1124</v>
      </c>
      <c r="DE260" s="483" t="str">
        <f>IFERROR(SUM(VLOOKUP($BS260,'État &amp; Plan d''action'!$B$6:$Z$1113,18,FALSE),VLOOKUP($BS260,'État &amp; Plan d''action'!$B$6:$Z$1113,20,FALSE))/(VLOOKUP($BS260,'Données par municipalité'!$B$4:$L$1113,11,FALSE)),"")</f>
        <v/>
      </c>
      <c r="DF260" s="483" t="str">
        <f>IFERROR(SUM(VLOOKUP($BS260,'État &amp; Plan d''action'!$B$6:$Z$1113,19,FALSE),VLOOKUP($BS260,'État &amp; Plan d''action'!$B$6:$Z$1113,21,FALSE))/(VLOOKUP($BS260,'Données par municipalité'!$B$4:$L$1113,11,FALSE)),"")</f>
        <v/>
      </c>
      <c r="DG260" s="476" t="s">
        <v>4723</v>
      </c>
      <c r="DH260" s="484" t="s">
        <v>1124</v>
      </c>
      <c r="DI260" s="484" t="s">
        <v>1124</v>
      </c>
      <c r="DJ260" s="484">
        <v>0</v>
      </c>
      <c r="DK260" s="484">
        <v>0</v>
      </c>
      <c r="DL260" s="484" t="s">
        <v>1124</v>
      </c>
      <c r="DM260" s="484" t="s">
        <v>1124</v>
      </c>
      <c r="DN260" s="484" t="s">
        <v>1124</v>
      </c>
      <c r="DO260" s="484" t="s">
        <v>1124</v>
      </c>
      <c r="DP260" s="484" t="s">
        <v>1124</v>
      </c>
      <c r="DQ260" s="484" t="str">
        <f>IF(VLOOKUP($BS260,'État &amp; Plan d''action'!$B$6:$AJ$1113,28,FALSE)="","",VLOOKUP($BS260,'État &amp; Plan d''action'!$B$6:$AJ$1113,28,FALSE))</f>
        <v/>
      </c>
      <c r="DR260" s="70" t="str">
        <f>IF(VLOOKUP($BS260,'État &amp; Plan d''action'!$B$6:$AJ$1113,29,FALSE)="","",VLOOKUP($BS260,'État &amp; Plan d''action'!$B$6:$AJ$1113,29,FALSE))</f>
        <v/>
      </c>
      <c r="DS260" s="70" t="str">
        <f>IF(VLOOKUP($BS260,'État &amp; Plan d''action'!$B$6:$AJ$1113,30,FALSE)="","",VLOOKUP($BS260,'État &amp; Plan d''action'!$B$6:$AJ$1113,30,FALSE))</f>
        <v/>
      </c>
      <c r="DT260" s="70" t="s">
        <v>1124</v>
      </c>
      <c r="DU260" s="485" t="s">
        <v>1124</v>
      </c>
      <c r="DV260" s="485" t="s">
        <v>1124</v>
      </c>
      <c r="DW260" s="70" t="s">
        <v>1124</v>
      </c>
      <c r="DX260" s="70" t="s">
        <v>1124</v>
      </c>
      <c r="DY260" s="70" t="s">
        <v>1124</v>
      </c>
      <c r="DZ260" s="70" t="str">
        <f>VLOOKUP($BS260,'État &amp; Plan d''action'!$B$6:$AH$1113,31,FALSE)</f>
        <v/>
      </c>
      <c r="EA260" s="70" t="str">
        <f>VLOOKUP($BS260,'État &amp; Plan d''action'!$B$6:$AH$1113,32,FALSE)</f>
        <v/>
      </c>
      <c r="EB260" s="70" t="str">
        <f>VLOOKUP($BS260,'État &amp; Plan d''action'!$B$6:$AH$1113,33,FALSE)</f>
        <v/>
      </c>
      <c r="EC260" s="70" t="s">
        <v>1124</v>
      </c>
      <c r="ED260" s="70" t="s">
        <v>1124</v>
      </c>
      <c r="EE260" s="70" t="s">
        <v>1124</v>
      </c>
      <c r="EF260" s="70" t="s">
        <v>1124</v>
      </c>
      <c r="EG260" s="70" t="s">
        <v>1124</v>
      </c>
      <c r="EH260" s="72"/>
      <c r="EI260" s="72">
        <v>451</v>
      </c>
    </row>
    <row r="261" spans="23:139" x14ac:dyDescent="0.35">
      <c r="W261" s="418" t="s">
        <v>1213</v>
      </c>
      <c r="X261" s="452" t="str">
        <f>IF($W$21="","ND",IF(AE$25="non","ND",IF(INDEX(Coût!$B$6:$EL$1113,MATCH($W$21,Coût!$B$6:$B$1113,0),44)=0,"ND",INDEX(Coût!$B$6:$EL$1113,MATCH($W$21,Coût!$B$6:$B$1113,0),44))))</f>
        <v>ND</v>
      </c>
      <c r="Y261" s="452" t="e">
        <f>IF(OR(Y259="",X261="",Y260=""),"",IF((Y259+X261-Y260)&lt;=0,0,Y259+X261-Y260))</f>
        <v>#VALUE!</v>
      </c>
      <c r="Z261" s="452" t="e">
        <f t="shared" ref="Z261:AH261" si="31">IF(OR(Z259="",Y261="",Z260=""),"",IF((Z259+Y261-Z260)&lt;=0,0,Z259+Y261-Z260))</f>
        <v>#VALUE!</v>
      </c>
      <c r="AA261" s="452" t="e">
        <f t="shared" si="31"/>
        <v>#VALUE!</v>
      </c>
      <c r="AB261" s="452" t="e">
        <f t="shared" si="31"/>
        <v>#VALUE!</v>
      </c>
      <c r="AC261" s="452" t="e">
        <f t="shared" si="31"/>
        <v>#VALUE!</v>
      </c>
      <c r="AD261" s="452" t="e">
        <f t="shared" si="31"/>
        <v>#VALUE!</v>
      </c>
      <c r="AE261" s="452" t="e">
        <f t="shared" si="31"/>
        <v>#VALUE!</v>
      </c>
      <c r="AF261" s="452" t="e">
        <f t="shared" si="31"/>
        <v>#VALUE!</v>
      </c>
      <c r="AG261" s="452" t="e">
        <f t="shared" si="31"/>
        <v>#VALUE!</v>
      </c>
      <c r="AH261" s="452" t="e">
        <f t="shared" si="31"/>
        <v>#VALUE!</v>
      </c>
      <c r="BS261" s="486">
        <v>41027</v>
      </c>
      <c r="BT261" s="479" t="s">
        <v>367</v>
      </c>
      <c r="BU261" s="479">
        <v>5</v>
      </c>
      <c r="BV261" s="476" t="s">
        <v>1187</v>
      </c>
      <c r="BW261" s="476" t="s">
        <v>1187</v>
      </c>
      <c r="BX261" s="476" t="s">
        <v>1187</v>
      </c>
      <c r="BY261" s="476" t="s">
        <v>1187</v>
      </c>
      <c r="BZ261" s="476" t="s">
        <v>1187</v>
      </c>
      <c r="CA261" s="476" t="s">
        <v>1187</v>
      </c>
      <c r="CB261" s="476" t="s">
        <v>1187</v>
      </c>
      <c r="CC261" s="476" t="s">
        <v>1187</v>
      </c>
      <c r="CD261" s="476" t="s">
        <v>1187</v>
      </c>
      <c r="CE261" s="476" t="s">
        <v>1188</v>
      </c>
      <c r="CF261" s="476" t="s">
        <v>1188</v>
      </c>
      <c r="CG261" s="476" t="s">
        <v>1188</v>
      </c>
      <c r="CH261" s="476" t="s">
        <v>1188</v>
      </c>
      <c r="CI261" s="476" t="s">
        <v>1188</v>
      </c>
      <c r="CJ261" s="476" t="s">
        <v>1188</v>
      </c>
      <c r="CK261" s="476" t="s">
        <v>1188</v>
      </c>
      <c r="CL261" s="476" t="s">
        <v>1188</v>
      </c>
      <c r="CM261" s="476" t="str">
        <f>IF(VLOOKUP(BS261,'Données par municipalité'!$B$6:$E$1113,4,FALSE)="","non","oui")</f>
        <v>oui</v>
      </c>
      <c r="CN261" s="410">
        <v>339.96990824966321</v>
      </c>
      <c r="CO261" s="410">
        <v>551.31925231122216</v>
      </c>
      <c r="CP261" s="410">
        <v>595.84336842650168</v>
      </c>
      <c r="CQ261" s="410">
        <v>423.14246762099521</v>
      </c>
      <c r="CR261" s="410">
        <v>516.01405005461788</v>
      </c>
      <c r="CS261" s="410">
        <v>489.06931335210027</v>
      </c>
      <c r="CT261" s="410">
        <v>337.08190246172808</v>
      </c>
      <c r="CU261" s="410">
        <v>245</v>
      </c>
      <c r="CV261" s="410">
        <f>IF(VLOOKUP(BS261,'Données par municipalité'!$B$6:$F$1113,4,FALSE)="","",VLOOKUP(BS261,'Données par municipalité'!$B$6:$F$1113,4,FALSE))</f>
        <v>259</v>
      </c>
      <c r="CW261" s="476" t="s">
        <v>4723</v>
      </c>
      <c r="CX261" s="483">
        <v>0.01</v>
      </c>
      <c r="CY261" s="483">
        <v>0</v>
      </c>
      <c r="CZ261" s="483">
        <v>0</v>
      </c>
      <c r="DA261" s="483">
        <v>0</v>
      </c>
      <c r="DB261" s="483">
        <v>1</v>
      </c>
      <c r="DC261" s="483">
        <v>1</v>
      </c>
      <c r="DD261" s="483">
        <v>1</v>
      </c>
      <c r="DE261" s="483">
        <f>IFERROR(SUM(VLOOKUP($BS261,'État &amp; Plan d''action'!$B$6:$Z$1113,18,FALSE),VLOOKUP($BS261,'État &amp; Plan d''action'!$B$6:$Z$1113,20,FALSE))/(VLOOKUP($BS261,'Données par municipalité'!$B$4:$L$1113,11,FALSE)),"")</f>
        <v>1</v>
      </c>
      <c r="DF261" s="483">
        <f>IFERROR(SUM(VLOOKUP($BS261,'État &amp; Plan d''action'!$B$6:$Z$1113,19,FALSE),VLOOKUP($BS261,'État &amp; Plan d''action'!$B$6:$Z$1113,21,FALSE))/(VLOOKUP($BS261,'Données par municipalité'!$B$4:$L$1113,11,FALSE)),"")</f>
        <v>1</v>
      </c>
      <c r="DG261" s="476" t="s">
        <v>4723</v>
      </c>
      <c r="DH261" s="484">
        <v>3</v>
      </c>
      <c r="DI261" s="484">
        <v>1</v>
      </c>
      <c r="DJ261" s="484">
        <v>3</v>
      </c>
      <c r="DK261" s="484">
        <v>12</v>
      </c>
      <c r="DL261" s="484">
        <v>6</v>
      </c>
      <c r="DM261" s="484">
        <v>7</v>
      </c>
      <c r="DN261" s="484">
        <v>0</v>
      </c>
      <c r="DO261" s="484">
        <v>5</v>
      </c>
      <c r="DP261" s="484">
        <v>2</v>
      </c>
      <c r="DQ261" s="484">
        <f>IF(VLOOKUP($BS261,'État &amp; Plan d''action'!$B$6:$AJ$1113,28,FALSE)="","",VLOOKUP($BS261,'État &amp; Plan d''action'!$B$6:$AJ$1113,28,FALSE))</f>
        <v>1</v>
      </c>
      <c r="DR261" s="70">
        <f>IF(VLOOKUP($BS261,'État &amp; Plan d''action'!$B$6:$AJ$1113,29,FALSE)="","",VLOOKUP($BS261,'État &amp; Plan d''action'!$B$6:$AJ$1113,29,FALSE))</f>
        <v>3</v>
      </c>
      <c r="DS261" s="70">
        <f>IF(VLOOKUP($BS261,'État &amp; Plan d''action'!$B$6:$AJ$1113,30,FALSE)="","",VLOOKUP($BS261,'État &amp; Plan d''action'!$B$6:$AJ$1113,30,FALSE))</f>
        <v>0</v>
      </c>
      <c r="DT261" s="70">
        <v>185</v>
      </c>
      <c r="DU261" s="485">
        <v>1.6362126585592327</v>
      </c>
      <c r="DV261" s="485">
        <v>2.3880838326815761</v>
      </c>
      <c r="DW261" s="70">
        <v>0</v>
      </c>
      <c r="DX261" s="70">
        <v>1</v>
      </c>
      <c r="DY261" s="70">
        <v>1</v>
      </c>
      <c r="DZ261" s="70">
        <f>VLOOKUP($BS261,'État &amp; Plan d''action'!$B$6:$AH$1113,31,FALSE)</f>
        <v>2</v>
      </c>
      <c r="EA261" s="70">
        <f>VLOOKUP($BS261,'État &amp; Plan d''action'!$B$6:$AH$1113,32,FALSE)</f>
        <v>2</v>
      </c>
      <c r="EB261" s="70">
        <f>VLOOKUP($BS261,'État &amp; Plan d''action'!$B$6:$AH$1113,33,FALSE)</f>
        <v>0</v>
      </c>
      <c r="EC261" s="70">
        <v>0</v>
      </c>
      <c r="ED261" s="70">
        <v>0</v>
      </c>
      <c r="EE261" s="70">
        <v>7.3419999999999996</v>
      </c>
      <c r="EF261" s="70">
        <v>0</v>
      </c>
      <c r="EG261" s="70">
        <v>0</v>
      </c>
      <c r="EH261" s="72">
        <v>44</v>
      </c>
      <c r="EI261" s="72">
        <v>805</v>
      </c>
    </row>
    <row r="262" spans="23:139" x14ac:dyDescent="0.35">
      <c r="W262" s="418"/>
      <c r="X262" s="418"/>
      <c r="Y262" s="418"/>
      <c r="Z262" s="418"/>
      <c r="AA262" s="418"/>
      <c r="AB262" s="418"/>
      <c r="BS262" s="486">
        <v>82035</v>
      </c>
      <c r="BT262" s="479" t="s">
        <v>834</v>
      </c>
      <c r="BU262" s="479">
        <v>7</v>
      </c>
      <c r="BV262" s="476" t="s">
        <v>1188</v>
      </c>
      <c r="BW262" s="476" t="s">
        <v>1188</v>
      </c>
      <c r="BX262" s="476" t="s">
        <v>1188</v>
      </c>
      <c r="BY262" s="476" t="s">
        <v>1188</v>
      </c>
      <c r="BZ262" s="476" t="s">
        <v>1188</v>
      </c>
      <c r="CA262" s="476" t="s">
        <v>1188</v>
      </c>
      <c r="CB262" s="476" t="s">
        <v>1188</v>
      </c>
      <c r="CC262" s="476" t="s">
        <v>1188</v>
      </c>
      <c r="CD262" s="476" t="s">
        <v>1188</v>
      </c>
      <c r="CE262" s="476" t="s">
        <v>1187</v>
      </c>
      <c r="CF262" s="476" t="s">
        <v>1187</v>
      </c>
      <c r="CG262" s="476" t="s">
        <v>1187</v>
      </c>
      <c r="CH262" s="476" t="s">
        <v>1187</v>
      </c>
      <c r="CI262" s="476" t="s">
        <v>1187</v>
      </c>
      <c r="CJ262" s="476" t="s">
        <v>1187</v>
      </c>
      <c r="CK262" s="476" t="s">
        <v>1187</v>
      </c>
      <c r="CL262" s="476" t="s">
        <v>1187</v>
      </c>
      <c r="CM262" s="476" t="str">
        <f>IF(VLOOKUP(BS262,'Données par municipalité'!$B$6:$E$1113,4,FALSE)="","non","oui")</f>
        <v>non</v>
      </c>
      <c r="CN262" s="410" t="s">
        <v>1124</v>
      </c>
      <c r="CO262" s="410" t="s">
        <v>1124</v>
      </c>
      <c r="CP262" s="410"/>
      <c r="CQ262" s="410"/>
      <c r="CR262" s="410"/>
      <c r="CS262" s="410" t="s">
        <v>1124</v>
      </c>
      <c r="CT262" s="410"/>
      <c r="CU262" s="410" t="s">
        <v>1124</v>
      </c>
      <c r="CV262" s="410" t="str">
        <f>IF(VLOOKUP(BS262,'Données par municipalité'!$B$6:$F$1113,4,FALSE)="","",VLOOKUP(BS262,'Données par municipalité'!$B$6:$F$1113,4,FALSE))</f>
        <v/>
      </c>
      <c r="CW262" s="476" t="s">
        <v>4723</v>
      </c>
      <c r="CX262" s="483" t="s">
        <v>1124</v>
      </c>
      <c r="CY262" s="483" t="s">
        <v>1124</v>
      </c>
      <c r="CZ262" s="483" t="s">
        <v>1124</v>
      </c>
      <c r="DA262" s="483" t="s">
        <v>1124</v>
      </c>
      <c r="DB262" s="483" t="s">
        <v>1124</v>
      </c>
      <c r="DC262" s="483" t="s">
        <v>1124</v>
      </c>
      <c r="DD262" s="483" t="s">
        <v>1124</v>
      </c>
      <c r="DE262" s="483" t="str">
        <f>IFERROR(SUM(VLOOKUP($BS262,'État &amp; Plan d''action'!$B$6:$Z$1113,18,FALSE),VLOOKUP($BS262,'État &amp; Plan d''action'!$B$6:$Z$1113,20,FALSE))/(VLOOKUP($BS262,'Données par municipalité'!$B$4:$L$1113,11,FALSE)),"")</f>
        <v/>
      </c>
      <c r="DF262" s="483" t="str">
        <f>IFERROR(SUM(VLOOKUP($BS262,'État &amp; Plan d''action'!$B$6:$Z$1113,19,FALSE),VLOOKUP($BS262,'État &amp; Plan d''action'!$B$6:$Z$1113,21,FALSE))/(VLOOKUP($BS262,'Données par municipalité'!$B$4:$L$1113,11,FALSE)),"")</f>
        <v/>
      </c>
      <c r="DG262" s="476" t="s">
        <v>4723</v>
      </c>
      <c r="DH262" s="484" t="s">
        <v>1124</v>
      </c>
      <c r="DI262" s="484" t="s">
        <v>1124</v>
      </c>
      <c r="DJ262" s="484">
        <v>0</v>
      </c>
      <c r="DK262" s="484">
        <v>0</v>
      </c>
      <c r="DL262" s="484" t="s">
        <v>1124</v>
      </c>
      <c r="DM262" s="484" t="s">
        <v>1124</v>
      </c>
      <c r="DN262" s="484" t="s">
        <v>1124</v>
      </c>
      <c r="DO262" s="484" t="s">
        <v>1124</v>
      </c>
      <c r="DP262" s="484" t="s">
        <v>1124</v>
      </c>
      <c r="DQ262" s="484" t="str">
        <f>IF(VLOOKUP($BS262,'État &amp; Plan d''action'!$B$6:$AJ$1113,28,FALSE)="","",VLOOKUP($BS262,'État &amp; Plan d''action'!$B$6:$AJ$1113,28,FALSE))</f>
        <v/>
      </c>
      <c r="DR262" s="70" t="str">
        <f>IF(VLOOKUP($BS262,'État &amp; Plan d''action'!$B$6:$AJ$1113,29,FALSE)="","",VLOOKUP($BS262,'État &amp; Plan d''action'!$B$6:$AJ$1113,29,FALSE))</f>
        <v/>
      </c>
      <c r="DS262" s="70" t="str">
        <f>IF(VLOOKUP($BS262,'État &amp; Plan d''action'!$B$6:$AJ$1113,30,FALSE)="","",VLOOKUP($BS262,'État &amp; Plan d''action'!$B$6:$AJ$1113,30,FALSE))</f>
        <v/>
      </c>
      <c r="DT262" s="70" t="s">
        <v>1124</v>
      </c>
      <c r="DU262" s="485" t="s">
        <v>1124</v>
      </c>
      <c r="DV262" s="485" t="s">
        <v>1124</v>
      </c>
      <c r="DW262" s="70" t="s">
        <v>1124</v>
      </c>
      <c r="DX262" s="70" t="s">
        <v>1124</v>
      </c>
      <c r="DY262" s="70" t="s">
        <v>1124</v>
      </c>
      <c r="DZ262" s="70" t="str">
        <f>VLOOKUP($BS262,'État &amp; Plan d''action'!$B$6:$AH$1113,31,FALSE)</f>
        <v/>
      </c>
      <c r="EA262" s="70" t="str">
        <f>VLOOKUP($BS262,'État &amp; Plan d''action'!$B$6:$AH$1113,32,FALSE)</f>
        <v/>
      </c>
      <c r="EB262" s="70" t="str">
        <f>VLOOKUP($BS262,'État &amp; Plan d''action'!$B$6:$AH$1113,33,FALSE)</f>
        <v/>
      </c>
      <c r="EC262" s="70" t="s">
        <v>1124</v>
      </c>
      <c r="ED262" s="70" t="s">
        <v>1124</v>
      </c>
      <c r="EE262" s="70" t="s">
        <v>1124</v>
      </c>
      <c r="EF262" s="70" t="s">
        <v>1124</v>
      </c>
      <c r="EG262" s="70" t="s">
        <v>1124</v>
      </c>
      <c r="EH262" s="72"/>
      <c r="EI262" s="72">
        <v>8075</v>
      </c>
    </row>
    <row r="263" spans="23:139" x14ac:dyDescent="0.35">
      <c r="W263" s="455"/>
      <c r="X263" s="418"/>
      <c r="Y263" s="418"/>
      <c r="Z263" s="418"/>
      <c r="AA263" s="418"/>
      <c r="AB263" s="418"/>
      <c r="AC263" s="418"/>
      <c r="AD263" s="418"/>
      <c r="AE263" s="418"/>
      <c r="AF263" s="418"/>
      <c r="AG263" s="418"/>
      <c r="AH263" s="418"/>
      <c r="AI263" s="418"/>
      <c r="AJ263" s="418"/>
      <c r="BS263" s="486">
        <v>14085</v>
      </c>
      <c r="BT263" s="479" t="s">
        <v>75</v>
      </c>
      <c r="BU263" s="479">
        <v>1</v>
      </c>
      <c r="BV263" s="476" t="s">
        <v>1187</v>
      </c>
      <c r="BW263" s="476" t="s">
        <v>1187</v>
      </c>
      <c r="BX263" s="476" t="s">
        <v>1187</v>
      </c>
      <c r="BY263" s="476" t="s">
        <v>1187</v>
      </c>
      <c r="BZ263" s="476" t="s">
        <v>1187</v>
      </c>
      <c r="CA263" s="476" t="s">
        <v>1187</v>
      </c>
      <c r="CB263" s="476" t="s">
        <v>1187</v>
      </c>
      <c r="CC263" s="476" t="s">
        <v>1187</v>
      </c>
      <c r="CD263" s="476" t="s">
        <v>1187</v>
      </c>
      <c r="CE263" s="476" t="s">
        <v>1188</v>
      </c>
      <c r="CF263" s="476" t="s">
        <v>1188</v>
      </c>
      <c r="CG263" s="476" t="s">
        <v>1188</v>
      </c>
      <c r="CH263" s="476" t="s">
        <v>1188</v>
      </c>
      <c r="CI263" s="476" t="s">
        <v>1188</v>
      </c>
      <c r="CJ263" s="476" t="s">
        <v>1188</v>
      </c>
      <c r="CK263" s="476" t="s">
        <v>1187</v>
      </c>
      <c r="CL263" s="476" t="s">
        <v>1187</v>
      </c>
      <c r="CM263" s="476" t="str">
        <f>IF(VLOOKUP(BS263,'Données par municipalité'!$B$6:$E$1113,4,FALSE)="","non","oui")</f>
        <v>oui</v>
      </c>
      <c r="CN263" s="410">
        <v>497.26555854890381</v>
      </c>
      <c r="CO263" s="410">
        <v>590.53659602968685</v>
      </c>
      <c r="CP263" s="410">
        <v>522.12917109774799</v>
      </c>
      <c r="CQ263" s="410">
        <v>538.85618651153754</v>
      </c>
      <c r="CR263" s="410">
        <v>523.44466770413635</v>
      </c>
      <c r="CS263" s="410">
        <v>522.98315150464191</v>
      </c>
      <c r="CT263" s="410"/>
      <c r="CU263" s="410" t="s">
        <v>1124</v>
      </c>
      <c r="CV263" s="410">
        <f>IF(VLOOKUP(BS263,'Données par municipalité'!$B$6:$F$1113,4,FALSE)="","",VLOOKUP(BS263,'Données par municipalité'!$B$6:$F$1113,4,FALSE))</f>
        <v>531</v>
      </c>
      <c r="CW263" s="476" t="s">
        <v>4723</v>
      </c>
      <c r="CX263" s="483">
        <v>0.28000000000000003</v>
      </c>
      <c r="CY263" s="483">
        <v>1</v>
      </c>
      <c r="CZ263" s="483">
        <v>1</v>
      </c>
      <c r="DA263" s="483">
        <v>1</v>
      </c>
      <c r="DB263" s="483">
        <v>1</v>
      </c>
      <c r="DC263" s="483" t="s">
        <v>1124</v>
      </c>
      <c r="DD263" s="483" t="s">
        <v>1124</v>
      </c>
      <c r="DE263" s="483">
        <f>IFERROR(SUM(VLOOKUP($BS263,'État &amp; Plan d''action'!$B$6:$Z$1113,18,FALSE),VLOOKUP($BS263,'État &amp; Plan d''action'!$B$6:$Z$1113,20,FALSE))/(VLOOKUP($BS263,'Données par municipalité'!$B$4:$L$1113,11,FALSE)),"")</f>
        <v>1</v>
      </c>
      <c r="DF263" s="483">
        <f>IFERROR(SUM(VLOOKUP($BS263,'État &amp; Plan d''action'!$B$6:$Z$1113,19,FALSE),VLOOKUP($BS263,'État &amp; Plan d''action'!$B$6:$Z$1113,21,FALSE))/(VLOOKUP($BS263,'Données par municipalité'!$B$4:$L$1113,11,FALSE)),"")</f>
        <v>1</v>
      </c>
      <c r="DG263" s="476" t="s">
        <v>4723</v>
      </c>
      <c r="DH263" s="484">
        <v>14</v>
      </c>
      <c r="DI263" s="484">
        <v>11</v>
      </c>
      <c r="DJ263" s="484">
        <v>13</v>
      </c>
      <c r="DK263" s="484">
        <v>11</v>
      </c>
      <c r="DL263" s="484">
        <v>9</v>
      </c>
      <c r="DM263" s="484" t="s">
        <v>1124</v>
      </c>
      <c r="DN263" s="484" t="s">
        <v>1124</v>
      </c>
      <c r="DO263" s="484" t="s">
        <v>1124</v>
      </c>
      <c r="DP263" s="484" t="s">
        <v>1124</v>
      </c>
      <c r="DQ263" s="484">
        <f>IF(VLOOKUP($BS263,'État &amp; Plan d''action'!$B$6:$AJ$1113,28,FALSE)="","",VLOOKUP($BS263,'État &amp; Plan d''action'!$B$6:$AJ$1113,28,FALSE))</f>
        <v>19</v>
      </c>
      <c r="DR263" s="70">
        <f>IF(VLOOKUP($BS263,'État &amp; Plan d''action'!$B$6:$AJ$1113,29,FALSE)="","",VLOOKUP($BS263,'État &amp; Plan d''action'!$B$6:$AJ$1113,29,FALSE))</f>
        <v>0</v>
      </c>
      <c r="DS263" s="70">
        <f>IF(VLOOKUP($BS263,'État &amp; Plan d''action'!$B$6:$AJ$1113,30,FALSE)="","",VLOOKUP($BS263,'État &amp; Plan d''action'!$B$6:$AJ$1113,30,FALSE))</f>
        <v>0</v>
      </c>
      <c r="DT263" s="70" t="s">
        <v>1124</v>
      </c>
      <c r="DU263" s="485" t="s">
        <v>1124</v>
      </c>
      <c r="DV263" s="485">
        <v>4.7086026664226788</v>
      </c>
      <c r="DW263" s="70" t="s">
        <v>1124</v>
      </c>
      <c r="DX263" s="70" t="s">
        <v>1124</v>
      </c>
      <c r="DY263" s="70" t="s">
        <v>1124</v>
      </c>
      <c r="DZ263" s="70">
        <f>VLOOKUP($BS263,'État &amp; Plan d''action'!$B$6:$AH$1113,31,FALSE)</f>
        <v>1</v>
      </c>
      <c r="EA263" s="70">
        <f>VLOOKUP($BS263,'État &amp; Plan d''action'!$B$6:$AH$1113,32,FALSE)</f>
        <v>0</v>
      </c>
      <c r="EB263" s="70">
        <f>VLOOKUP($BS263,'État &amp; Plan d''action'!$B$6:$AH$1113,33,FALSE)</f>
        <v>0</v>
      </c>
      <c r="EC263" s="70" t="s">
        <v>1124</v>
      </c>
      <c r="ED263" s="70" t="s">
        <v>1124</v>
      </c>
      <c r="EE263" s="70" t="s">
        <v>1124</v>
      </c>
      <c r="EF263" s="70" t="s">
        <v>1124</v>
      </c>
      <c r="EG263" s="70" t="s">
        <v>1124</v>
      </c>
      <c r="EH263" s="72"/>
      <c r="EI263" s="72">
        <v>4098</v>
      </c>
    </row>
    <row r="264" spans="23:139" x14ac:dyDescent="0.35">
      <c r="W264" s="456"/>
      <c r="X264" s="456"/>
      <c r="Y264" s="456"/>
      <c r="Z264" s="456"/>
      <c r="AA264" s="456"/>
      <c r="AB264" s="456"/>
      <c r="AC264" s="456"/>
      <c r="AD264" s="456"/>
      <c r="AE264" s="456"/>
      <c r="AF264" s="456"/>
      <c r="AG264" s="456"/>
      <c r="AH264" s="456"/>
      <c r="AI264" s="517"/>
      <c r="AJ264" s="418"/>
      <c r="BS264" s="486">
        <v>67015</v>
      </c>
      <c r="BT264" s="479" t="s">
        <v>664</v>
      </c>
      <c r="BU264" s="479">
        <v>16</v>
      </c>
      <c r="BV264" s="476" t="s">
        <v>1187</v>
      </c>
      <c r="BW264" s="476" t="s">
        <v>1187</v>
      </c>
      <c r="BX264" s="476" t="s">
        <v>1187</v>
      </c>
      <c r="BY264" s="476" t="s">
        <v>1187</v>
      </c>
      <c r="BZ264" s="476" t="s">
        <v>1187</v>
      </c>
      <c r="CA264" s="476" t="s">
        <v>1187</v>
      </c>
      <c r="CB264" s="476" t="s">
        <v>1187</v>
      </c>
      <c r="CC264" s="476" t="s">
        <v>1187</v>
      </c>
      <c r="CD264" s="476" t="s">
        <v>1187</v>
      </c>
      <c r="CE264" s="476" t="s">
        <v>1188</v>
      </c>
      <c r="CF264" s="476" t="s">
        <v>1188</v>
      </c>
      <c r="CG264" s="476" t="s">
        <v>1188</v>
      </c>
      <c r="CH264" s="476" t="s">
        <v>1188</v>
      </c>
      <c r="CI264" s="476" t="s">
        <v>1188</v>
      </c>
      <c r="CJ264" s="476" t="s">
        <v>1188</v>
      </c>
      <c r="CK264" s="476" t="s">
        <v>1188</v>
      </c>
      <c r="CL264" s="476" t="s">
        <v>1188</v>
      </c>
      <c r="CM264" s="476" t="str">
        <f>IF(VLOOKUP(BS264,'Données par municipalité'!$B$6:$E$1113,4,FALSE)="","non","oui")</f>
        <v>oui</v>
      </c>
      <c r="CN264" s="410">
        <v>570.87743983613552</v>
      </c>
      <c r="CO264" s="410">
        <v>575.5196469202732</v>
      </c>
      <c r="CP264" s="410">
        <v>565.20669793215984</v>
      </c>
      <c r="CQ264" s="410">
        <v>545.99143088233257</v>
      </c>
      <c r="CR264" s="410">
        <v>479.77229770036359</v>
      </c>
      <c r="CS264" s="410">
        <v>437.71336905675366</v>
      </c>
      <c r="CT264" s="410">
        <v>391.80061099903548</v>
      </c>
      <c r="CU264" s="410">
        <v>407</v>
      </c>
      <c r="CV264" s="410">
        <f>IF(VLOOKUP(BS264,'Données par municipalité'!$B$6:$F$1113,4,FALSE)="","",VLOOKUP(BS264,'Données par municipalité'!$B$6:$F$1113,4,FALSE))</f>
        <v>368</v>
      </c>
      <c r="CW264" s="476" t="s">
        <v>4723</v>
      </c>
      <c r="CX264" s="483">
        <v>0.48</v>
      </c>
      <c r="CY264" s="483">
        <v>1</v>
      </c>
      <c r="CZ264" s="483">
        <v>1</v>
      </c>
      <c r="DA264" s="483">
        <v>1</v>
      </c>
      <c r="DB264" s="483">
        <v>1</v>
      </c>
      <c r="DC264" s="483">
        <v>1</v>
      </c>
      <c r="DD264" s="483">
        <v>1</v>
      </c>
      <c r="DE264" s="483">
        <f>IFERROR(SUM(VLOOKUP($BS264,'État &amp; Plan d''action'!$B$6:$Z$1113,18,FALSE),VLOOKUP($BS264,'État &amp; Plan d''action'!$B$6:$Z$1113,20,FALSE))/(VLOOKUP($BS264,'Données par municipalité'!$B$4:$L$1113,11,FALSE)),"")</f>
        <v>1</v>
      </c>
      <c r="DF264" s="483">
        <f>IFERROR(SUM(VLOOKUP($BS264,'État &amp; Plan d''action'!$B$6:$Z$1113,19,FALSE),VLOOKUP($BS264,'État &amp; Plan d''action'!$B$6:$Z$1113,21,FALSE))/(VLOOKUP($BS264,'Données par municipalité'!$B$4:$L$1113,11,FALSE)),"")</f>
        <v>1</v>
      </c>
      <c r="DG264" s="476" t="s">
        <v>4723</v>
      </c>
      <c r="DH264" s="484">
        <v>4</v>
      </c>
      <c r="DI264" s="484">
        <v>12</v>
      </c>
      <c r="DJ264" s="484">
        <v>11</v>
      </c>
      <c r="DK264" s="484">
        <v>14</v>
      </c>
      <c r="DL264" s="484">
        <v>14</v>
      </c>
      <c r="DM264" s="484">
        <v>7</v>
      </c>
      <c r="DN264" s="484">
        <v>10</v>
      </c>
      <c r="DO264" s="484">
        <v>1</v>
      </c>
      <c r="DP264" s="484">
        <v>1</v>
      </c>
      <c r="DQ264" s="484">
        <f>IF(VLOOKUP($BS264,'État &amp; Plan d''action'!$B$6:$AJ$1113,28,FALSE)="","",VLOOKUP($BS264,'État &amp; Plan d''action'!$B$6:$AJ$1113,28,FALSE))</f>
        <v>3</v>
      </c>
      <c r="DR264" s="70">
        <f>IF(VLOOKUP($BS264,'État &amp; Plan d''action'!$B$6:$AJ$1113,29,FALSE)="","",VLOOKUP($BS264,'État &amp; Plan d''action'!$B$6:$AJ$1113,29,FALSE))</f>
        <v>0</v>
      </c>
      <c r="DS264" s="70">
        <f>IF(VLOOKUP($BS264,'État &amp; Plan d''action'!$B$6:$AJ$1113,30,FALSE)="","",VLOOKUP($BS264,'État &amp; Plan d''action'!$B$6:$AJ$1113,30,FALSE))</f>
        <v>0</v>
      </c>
      <c r="DT264" s="70">
        <v>337</v>
      </c>
      <c r="DU264" s="485">
        <v>0.85858267060138682</v>
      </c>
      <c r="DV264" s="485">
        <v>1.3732133732181753</v>
      </c>
      <c r="DW264" s="70">
        <v>2</v>
      </c>
      <c r="DX264" s="70">
        <v>2</v>
      </c>
      <c r="DY264" s="70">
        <v>2</v>
      </c>
      <c r="DZ264" s="70">
        <f>VLOOKUP($BS264,'État &amp; Plan d''action'!$B$6:$AH$1113,31,FALSE)</f>
        <v>1</v>
      </c>
      <c r="EA264" s="70">
        <f>VLOOKUP($BS264,'État &amp; Plan d''action'!$B$6:$AH$1113,32,FALSE)</f>
        <v>0</v>
      </c>
      <c r="EB264" s="70">
        <f>VLOOKUP($BS264,'État &amp; Plan d''action'!$B$6:$AH$1113,33,FALSE)</f>
        <v>0</v>
      </c>
      <c r="EC264" s="70">
        <v>0</v>
      </c>
      <c r="ED264" s="70">
        <v>123.373</v>
      </c>
      <c r="EE264" s="70">
        <v>0</v>
      </c>
      <c r="EF264" s="70">
        <v>0</v>
      </c>
      <c r="EG264" s="70">
        <v>0</v>
      </c>
      <c r="EH264" s="72">
        <v>44</v>
      </c>
      <c r="EI264" s="72">
        <v>25604</v>
      </c>
    </row>
    <row r="265" spans="23:139" x14ac:dyDescent="0.35">
      <c r="W265" s="457"/>
      <c r="X265" s="458"/>
      <c r="Y265" s="458"/>
      <c r="Z265" s="458"/>
      <c r="AA265" s="458"/>
      <c r="AB265" s="458"/>
      <c r="AC265" s="458"/>
      <c r="AD265" s="458"/>
      <c r="AE265" s="458"/>
      <c r="AF265" s="458"/>
      <c r="AG265" s="458"/>
      <c r="AH265" s="458"/>
      <c r="AI265" s="458"/>
      <c r="AJ265" s="418"/>
      <c r="BS265" s="486">
        <v>54035</v>
      </c>
      <c r="BT265" s="479" t="s">
        <v>546</v>
      </c>
      <c r="BU265" s="479">
        <v>16</v>
      </c>
      <c r="BV265" s="476" t="s">
        <v>1187</v>
      </c>
      <c r="BW265" s="476" t="s">
        <v>1187</v>
      </c>
      <c r="BX265" s="476" t="s">
        <v>1187</v>
      </c>
      <c r="BY265" s="476" t="s">
        <v>1187</v>
      </c>
      <c r="BZ265" s="476" t="s">
        <v>1187</v>
      </c>
      <c r="CA265" s="476" t="s">
        <v>1187</v>
      </c>
      <c r="CB265" s="476" t="s">
        <v>1187</v>
      </c>
      <c r="CC265" s="476" t="s">
        <v>1187</v>
      </c>
      <c r="CD265" s="476" t="s">
        <v>1187</v>
      </c>
      <c r="CE265" s="476" t="s">
        <v>1188</v>
      </c>
      <c r="CF265" s="476" t="s">
        <v>1188</v>
      </c>
      <c r="CG265" s="476" t="s">
        <v>1188</v>
      </c>
      <c r="CH265" s="476" t="s">
        <v>1188</v>
      </c>
      <c r="CI265" s="476" t="s">
        <v>1188</v>
      </c>
      <c r="CJ265" s="476" t="s">
        <v>1188</v>
      </c>
      <c r="CK265" s="476" t="s">
        <v>1188</v>
      </c>
      <c r="CL265" s="476" t="s">
        <v>1188</v>
      </c>
      <c r="CM265" s="476" t="str">
        <f>IF(VLOOKUP(BS265,'Données par municipalité'!$B$6:$E$1113,4,FALSE)="","non","oui")</f>
        <v>oui</v>
      </c>
      <c r="CN265" s="410">
        <v>450.82295145679825</v>
      </c>
      <c r="CO265" s="410">
        <v>447.64209205174387</v>
      </c>
      <c r="CP265" s="410">
        <v>416.07049220840685</v>
      </c>
      <c r="CQ265" s="410">
        <v>423.55187276333436</v>
      </c>
      <c r="CR265" s="410">
        <v>429.24140644152095</v>
      </c>
      <c r="CS265" s="410">
        <v>435.20018607038588</v>
      </c>
      <c r="CT265" s="410">
        <v>416.03756272454001</v>
      </c>
      <c r="CU265" s="410">
        <v>443</v>
      </c>
      <c r="CV265" s="410">
        <f>IF(VLOOKUP(BS265,'Données par municipalité'!$B$6:$F$1113,4,FALSE)="","",VLOOKUP(BS265,'Données par municipalité'!$B$6:$F$1113,4,FALSE))</f>
        <v>523</v>
      </c>
      <c r="CW265" s="476" t="s">
        <v>4723</v>
      </c>
      <c r="CX265" s="483">
        <v>1</v>
      </c>
      <c r="CY265" s="483">
        <v>1</v>
      </c>
      <c r="CZ265" s="483">
        <v>1</v>
      </c>
      <c r="DA265" s="483">
        <v>1</v>
      </c>
      <c r="DB265" s="483">
        <v>1</v>
      </c>
      <c r="DC265" s="483">
        <v>1</v>
      </c>
      <c r="DD265" s="483">
        <v>0</v>
      </c>
      <c r="DE265" s="483">
        <f>IFERROR(SUM(VLOOKUP($BS265,'État &amp; Plan d''action'!$B$6:$Z$1113,18,FALSE),VLOOKUP($BS265,'État &amp; Plan d''action'!$B$6:$Z$1113,20,FALSE))/(VLOOKUP($BS265,'Données par municipalité'!$B$4:$L$1113,11,FALSE)),"")</f>
        <v>0</v>
      </c>
      <c r="DF265" s="483">
        <f>IFERROR(SUM(VLOOKUP($BS265,'État &amp; Plan d''action'!$B$6:$Z$1113,19,FALSE),VLOOKUP($BS265,'État &amp; Plan d''action'!$B$6:$Z$1113,21,FALSE))/(VLOOKUP($BS265,'Données par municipalité'!$B$4:$L$1113,11,FALSE)),"")</f>
        <v>0</v>
      </c>
      <c r="DG265" s="476" t="s">
        <v>4723</v>
      </c>
      <c r="DH265" s="484">
        <v>2</v>
      </c>
      <c r="DI265" s="484">
        <v>1</v>
      </c>
      <c r="DJ265" s="484">
        <v>1</v>
      </c>
      <c r="DK265" s="484">
        <v>1</v>
      </c>
      <c r="DL265" s="484">
        <v>0</v>
      </c>
      <c r="DM265" s="484">
        <v>2</v>
      </c>
      <c r="DN265" s="484">
        <v>1</v>
      </c>
      <c r="DO265" s="484">
        <v>3</v>
      </c>
      <c r="DP265" s="484">
        <v>2</v>
      </c>
      <c r="DQ265" s="484">
        <f>IF(VLOOKUP($BS265,'État &amp; Plan d''action'!$B$6:$AJ$1113,28,FALSE)="","",VLOOKUP($BS265,'État &amp; Plan d''action'!$B$6:$AJ$1113,28,FALSE))</f>
        <v>0</v>
      </c>
      <c r="DR265" s="70">
        <f>IF(VLOOKUP($BS265,'État &amp; Plan d''action'!$B$6:$AJ$1113,29,FALSE)="","",VLOOKUP($BS265,'État &amp; Plan d''action'!$B$6:$AJ$1113,29,FALSE))</f>
        <v>1</v>
      </c>
      <c r="DS265" s="70">
        <f>IF(VLOOKUP($BS265,'État &amp; Plan d''action'!$B$6:$AJ$1113,30,FALSE)="","",VLOOKUP($BS265,'État &amp; Plan d''action'!$B$6:$AJ$1113,30,FALSE))</f>
        <v>0</v>
      </c>
      <c r="DT265" s="70">
        <v>167</v>
      </c>
      <c r="DU265" s="485">
        <v>0.91562235894986677</v>
      </c>
      <c r="DV265" s="485">
        <v>2.4864258594752187</v>
      </c>
      <c r="DW265" s="70">
        <v>5</v>
      </c>
      <c r="DX265" s="70">
        <v>5</v>
      </c>
      <c r="DY265" s="70">
        <v>5</v>
      </c>
      <c r="DZ265" s="70">
        <f>VLOOKUP($BS265,'État &amp; Plan d''action'!$B$6:$AH$1113,31,FALSE)</f>
        <v>0</v>
      </c>
      <c r="EA265" s="70">
        <f>VLOOKUP($BS265,'État &amp; Plan d''action'!$B$6:$AH$1113,32,FALSE)</f>
        <v>5</v>
      </c>
      <c r="EB265" s="70">
        <f>VLOOKUP($BS265,'État &amp; Plan d''action'!$B$6:$AH$1113,33,FALSE)</f>
        <v>0</v>
      </c>
      <c r="EC265" s="70">
        <v>0</v>
      </c>
      <c r="ED265" s="70">
        <v>0</v>
      </c>
      <c r="EE265" s="70">
        <v>0</v>
      </c>
      <c r="EF265" s="70">
        <v>0</v>
      </c>
      <c r="EG265" s="70">
        <v>0</v>
      </c>
      <c r="EH265" s="72">
        <v>67.95098039215685</v>
      </c>
      <c r="EI265" s="72">
        <v>2548</v>
      </c>
    </row>
    <row r="266" spans="23:139" x14ac:dyDescent="0.35">
      <c r="W266" s="457"/>
      <c r="X266" s="458"/>
      <c r="Y266" s="458"/>
      <c r="Z266" s="458"/>
      <c r="AA266" s="458"/>
      <c r="AB266" s="458"/>
      <c r="AC266" s="458"/>
      <c r="AD266" s="458"/>
      <c r="AE266" s="458"/>
      <c r="AF266" s="458"/>
      <c r="AG266" s="458"/>
      <c r="AH266" s="458"/>
      <c r="AI266" s="458"/>
      <c r="AJ266" s="418"/>
      <c r="BS266" s="486">
        <v>9005</v>
      </c>
      <c r="BT266" s="479" t="s">
        <v>1097</v>
      </c>
      <c r="BU266" s="479">
        <v>1</v>
      </c>
      <c r="BV266" s="476" t="s">
        <v>1187</v>
      </c>
      <c r="BW266" s="476" t="s">
        <v>1187</v>
      </c>
      <c r="BX266" s="476" t="s">
        <v>1187</v>
      </c>
      <c r="BY266" s="476" t="s">
        <v>1187</v>
      </c>
      <c r="BZ266" s="476" t="s">
        <v>1188</v>
      </c>
      <c r="CA266" s="476" t="s">
        <v>1188</v>
      </c>
      <c r="CB266" s="476" t="s">
        <v>1188</v>
      </c>
      <c r="CC266" s="476" t="s">
        <v>1188</v>
      </c>
      <c r="CD266" s="476" t="s">
        <v>1188</v>
      </c>
      <c r="CE266" s="476" t="s">
        <v>1188</v>
      </c>
      <c r="CF266" s="476" t="s">
        <v>1188</v>
      </c>
      <c r="CG266" s="476" t="s">
        <v>1188</v>
      </c>
      <c r="CH266" s="476" t="s">
        <v>1188</v>
      </c>
      <c r="CI266" s="476" t="s">
        <v>1188</v>
      </c>
      <c r="CJ266" s="476" t="s">
        <v>1187</v>
      </c>
      <c r="CK266" s="476" t="s">
        <v>1187</v>
      </c>
      <c r="CL266" s="476" t="s">
        <v>1187</v>
      </c>
      <c r="CM266" s="476" t="str">
        <f>IF(VLOOKUP(BS266,'Données par municipalité'!$B$6:$E$1113,4,FALSE)="","non","oui")</f>
        <v>non</v>
      </c>
      <c r="CN266" s="410">
        <v>166.99351117519828</v>
      </c>
      <c r="CO266" s="410">
        <v>222.04889670429407</v>
      </c>
      <c r="CP266" s="410">
        <v>183.69988216232139</v>
      </c>
      <c r="CQ266" s="410">
        <v>170.45836581375883</v>
      </c>
      <c r="CR266" s="410">
        <v>160.34280413385338</v>
      </c>
      <c r="CS266" s="410" t="s">
        <v>1124</v>
      </c>
      <c r="CT266" s="410"/>
      <c r="CU266" s="410" t="s">
        <v>1124</v>
      </c>
      <c r="CV266" s="410" t="str">
        <f>IF(VLOOKUP(BS266,'Données par municipalité'!$B$6:$F$1113,4,FALSE)="","",VLOOKUP(BS266,'Données par municipalité'!$B$6:$F$1113,4,FALSE))</f>
        <v/>
      </c>
      <c r="CW266" s="476" t="s">
        <v>4723</v>
      </c>
      <c r="CX266" s="483">
        <v>0</v>
      </c>
      <c r="CY266" s="483">
        <v>0</v>
      </c>
      <c r="CZ266" s="483">
        <v>0</v>
      </c>
      <c r="DA266" s="483">
        <v>0</v>
      </c>
      <c r="DB266" s="483" t="s">
        <v>1124</v>
      </c>
      <c r="DC266" s="483" t="s">
        <v>1124</v>
      </c>
      <c r="DD266" s="483" t="s">
        <v>1124</v>
      </c>
      <c r="DE266" s="483" t="str">
        <f>IFERROR(SUM(VLOOKUP($BS266,'État &amp; Plan d''action'!$B$6:$Z$1113,18,FALSE),VLOOKUP($BS266,'État &amp; Plan d''action'!$B$6:$Z$1113,20,FALSE))/(VLOOKUP($BS266,'Données par municipalité'!$B$4:$L$1113,11,FALSE)),"")</f>
        <v/>
      </c>
      <c r="DF266" s="483" t="str">
        <f>IFERROR(SUM(VLOOKUP($BS266,'État &amp; Plan d''action'!$B$6:$Z$1113,19,FALSE),VLOOKUP($BS266,'État &amp; Plan d''action'!$B$6:$Z$1113,21,FALSE))/(VLOOKUP($BS266,'Données par municipalité'!$B$4:$L$1113,11,FALSE)),"")</f>
        <v/>
      </c>
      <c r="DG266" s="476" t="s">
        <v>4723</v>
      </c>
      <c r="DH266" s="484">
        <v>0</v>
      </c>
      <c r="DI266" s="484">
        <v>0</v>
      </c>
      <c r="DJ266" s="484">
        <v>0</v>
      </c>
      <c r="DK266" s="484">
        <v>0</v>
      </c>
      <c r="DL266" s="484" t="s">
        <v>1124</v>
      </c>
      <c r="DM266" s="484" t="s">
        <v>1124</v>
      </c>
      <c r="DN266" s="484" t="s">
        <v>1124</v>
      </c>
      <c r="DO266" s="484" t="s">
        <v>1124</v>
      </c>
      <c r="DP266" s="484" t="s">
        <v>1124</v>
      </c>
      <c r="DQ266" s="484" t="str">
        <f>IF(VLOOKUP($BS266,'État &amp; Plan d''action'!$B$6:$AJ$1113,28,FALSE)="","",VLOOKUP($BS266,'État &amp; Plan d''action'!$B$6:$AJ$1113,28,FALSE))</f>
        <v/>
      </c>
      <c r="DR266" s="70" t="str">
        <f>IF(VLOOKUP($BS266,'État &amp; Plan d''action'!$B$6:$AJ$1113,29,FALSE)="","",VLOOKUP($BS266,'État &amp; Plan d''action'!$B$6:$AJ$1113,29,FALSE))</f>
        <v/>
      </c>
      <c r="DS266" s="70" t="str">
        <f>IF(VLOOKUP($BS266,'État &amp; Plan d''action'!$B$6:$AJ$1113,30,FALSE)="","",VLOOKUP($BS266,'État &amp; Plan d''action'!$B$6:$AJ$1113,30,FALSE))</f>
        <v/>
      </c>
      <c r="DT266" s="70" t="s">
        <v>1124</v>
      </c>
      <c r="DU266" s="485" t="s">
        <v>1124</v>
      </c>
      <c r="DV266" s="485" t="s">
        <v>1124</v>
      </c>
      <c r="DW266" s="70" t="s">
        <v>1124</v>
      </c>
      <c r="DX266" s="70" t="s">
        <v>1124</v>
      </c>
      <c r="DY266" s="70" t="s">
        <v>1124</v>
      </c>
      <c r="DZ266" s="70" t="str">
        <f>VLOOKUP($BS266,'État &amp; Plan d''action'!$B$6:$AH$1113,31,FALSE)</f>
        <v/>
      </c>
      <c r="EA266" s="70" t="str">
        <f>VLOOKUP($BS266,'État &amp; Plan d''action'!$B$6:$AH$1113,32,FALSE)</f>
        <v/>
      </c>
      <c r="EB266" s="70" t="str">
        <f>VLOOKUP($BS266,'État &amp; Plan d''action'!$B$6:$AH$1113,33,FALSE)</f>
        <v/>
      </c>
      <c r="EC266" s="70" t="s">
        <v>1124</v>
      </c>
      <c r="ED266" s="70" t="s">
        <v>1124</v>
      </c>
      <c r="EE266" s="70" t="s">
        <v>1124</v>
      </c>
      <c r="EF266" s="70" t="s">
        <v>1124</v>
      </c>
      <c r="EG266" s="70" t="s">
        <v>1124</v>
      </c>
      <c r="EH266" s="72"/>
      <c r="EI266" s="72">
        <v>448</v>
      </c>
    </row>
    <row r="267" spans="23:139" x14ac:dyDescent="0.35">
      <c r="W267" s="457"/>
      <c r="X267" s="458"/>
      <c r="Y267" s="458"/>
      <c r="Z267" s="458"/>
      <c r="AA267" s="458"/>
      <c r="AB267" s="458"/>
      <c r="AC267" s="458"/>
      <c r="AD267" s="458"/>
      <c r="AE267" s="458"/>
      <c r="AF267" s="458"/>
      <c r="AG267" s="458"/>
      <c r="AH267" s="458"/>
      <c r="AI267" s="458"/>
      <c r="AJ267" s="418"/>
      <c r="BS267" s="486">
        <v>87080</v>
      </c>
      <c r="BT267" s="479" t="s">
        <v>902</v>
      </c>
      <c r="BU267" s="479">
        <v>8</v>
      </c>
      <c r="BV267" s="476" t="s">
        <v>1187</v>
      </c>
      <c r="BW267" s="476" t="s">
        <v>1187</v>
      </c>
      <c r="BX267" s="476" t="s">
        <v>1187</v>
      </c>
      <c r="BY267" s="476" t="s">
        <v>1187</v>
      </c>
      <c r="BZ267" s="476" t="s">
        <v>1187</v>
      </c>
      <c r="CA267" s="476" t="s">
        <v>1187</v>
      </c>
      <c r="CB267" s="476" t="s">
        <v>1188</v>
      </c>
      <c r="CC267" s="476" t="s">
        <v>1188</v>
      </c>
      <c r="CD267" s="476" t="s">
        <v>1187</v>
      </c>
      <c r="CE267" s="476" t="s">
        <v>1188</v>
      </c>
      <c r="CF267" s="476" t="s">
        <v>1188</v>
      </c>
      <c r="CG267" s="476" t="s">
        <v>1188</v>
      </c>
      <c r="CH267" s="476" t="s">
        <v>1187</v>
      </c>
      <c r="CI267" s="476" t="s">
        <v>1188</v>
      </c>
      <c r="CJ267" s="476" t="s">
        <v>1187</v>
      </c>
      <c r="CK267" s="476" t="s">
        <v>1187</v>
      </c>
      <c r="CL267" s="476" t="s">
        <v>1187</v>
      </c>
      <c r="CM267" s="476" t="str">
        <f>IF(VLOOKUP(BS267,'Données par municipalité'!$B$6:$E$1113,4,FALSE)="","non","oui")</f>
        <v>oui</v>
      </c>
      <c r="CN267" s="410">
        <v>322.2996515679443</v>
      </c>
      <c r="CO267" s="410">
        <v>367.06732686632188</v>
      </c>
      <c r="CP267" s="410">
        <v>328.66611467434518</v>
      </c>
      <c r="CQ267" s="410"/>
      <c r="CR267" s="410">
        <v>241.13009394494151</v>
      </c>
      <c r="CS267" s="410" t="s">
        <v>1124</v>
      </c>
      <c r="CT267" s="410"/>
      <c r="CU267" s="410" t="s">
        <v>1124</v>
      </c>
      <c r="CV267" s="410">
        <f>IF(VLOOKUP(BS267,'Données par municipalité'!$B$6:$F$1113,4,FALSE)="","",VLOOKUP(BS267,'Données par municipalité'!$B$6:$F$1113,4,FALSE))</f>
        <v>186</v>
      </c>
      <c r="CW267" s="476" t="s">
        <v>4723</v>
      </c>
      <c r="CX267" s="483">
        <v>0</v>
      </c>
      <c r="CY267" s="483">
        <v>0</v>
      </c>
      <c r="CZ267" s="483" t="s">
        <v>1124</v>
      </c>
      <c r="DA267" s="483">
        <v>0</v>
      </c>
      <c r="DB267" s="483" t="s">
        <v>1124</v>
      </c>
      <c r="DC267" s="483" t="s">
        <v>1124</v>
      </c>
      <c r="DD267" s="483" t="s">
        <v>1124</v>
      </c>
      <c r="DE267" s="483">
        <f>IFERROR(SUM(VLOOKUP($BS267,'État &amp; Plan d''action'!$B$6:$Z$1113,18,FALSE),VLOOKUP($BS267,'État &amp; Plan d''action'!$B$6:$Z$1113,20,FALSE))/(VLOOKUP($BS267,'Données par municipalité'!$B$4:$L$1113,11,FALSE)),"")</f>
        <v>0</v>
      </c>
      <c r="DF267" s="483">
        <f>IFERROR(SUM(VLOOKUP($BS267,'État &amp; Plan d''action'!$B$6:$Z$1113,19,FALSE),VLOOKUP($BS267,'État &amp; Plan d''action'!$B$6:$Z$1113,21,FALSE))/(VLOOKUP($BS267,'Données par municipalité'!$B$4:$L$1113,11,FALSE)),"")</f>
        <v>0</v>
      </c>
      <c r="DG267" s="476" t="s">
        <v>4723</v>
      </c>
      <c r="DH267" s="484" t="s">
        <v>1124</v>
      </c>
      <c r="DI267" s="484" t="s">
        <v>1124</v>
      </c>
      <c r="DJ267" s="484">
        <v>0</v>
      </c>
      <c r="DK267" s="484">
        <v>0</v>
      </c>
      <c r="DL267" s="484" t="s">
        <v>1124</v>
      </c>
      <c r="DM267" s="484" t="s">
        <v>1124</v>
      </c>
      <c r="DN267" s="484" t="s">
        <v>1124</v>
      </c>
      <c r="DO267" s="484" t="s">
        <v>1124</v>
      </c>
      <c r="DP267" s="484" t="s">
        <v>1124</v>
      </c>
      <c r="DQ267" s="484">
        <f>IF(VLOOKUP($BS267,'État &amp; Plan d''action'!$B$6:$AJ$1113,28,FALSE)="","",VLOOKUP($BS267,'État &amp; Plan d''action'!$B$6:$AJ$1113,28,FALSE))</f>
        <v>0</v>
      </c>
      <c r="DR267" s="70">
        <f>IF(VLOOKUP($BS267,'État &amp; Plan d''action'!$B$6:$AJ$1113,29,FALSE)="","",VLOOKUP($BS267,'État &amp; Plan d''action'!$B$6:$AJ$1113,29,FALSE))</f>
        <v>0</v>
      </c>
      <c r="DS267" s="70">
        <f>IF(VLOOKUP($BS267,'État &amp; Plan d''action'!$B$6:$AJ$1113,30,FALSE)="","",VLOOKUP($BS267,'État &amp; Plan d''action'!$B$6:$AJ$1113,30,FALSE))</f>
        <v>0</v>
      </c>
      <c r="DT267" s="70" t="s">
        <v>1124</v>
      </c>
      <c r="DU267" s="485" t="s">
        <v>1124</v>
      </c>
      <c r="DV267" s="485">
        <v>1.0193123186120365</v>
      </c>
      <c r="DW267" s="70" t="s">
        <v>1124</v>
      </c>
      <c r="DX267" s="70" t="s">
        <v>1124</v>
      </c>
      <c r="DY267" s="70" t="s">
        <v>1124</v>
      </c>
      <c r="DZ267" s="70">
        <f>VLOOKUP($BS267,'État &amp; Plan d''action'!$B$6:$AH$1113,31,FALSE)</f>
        <v>0</v>
      </c>
      <c r="EA267" s="70">
        <f>VLOOKUP($BS267,'État &amp; Plan d''action'!$B$6:$AH$1113,32,FALSE)</f>
        <v>0</v>
      </c>
      <c r="EB267" s="70">
        <f>VLOOKUP($BS267,'État &amp; Plan d''action'!$B$6:$AH$1113,33,FALSE)</f>
        <v>0</v>
      </c>
      <c r="EC267" s="70" t="s">
        <v>1124</v>
      </c>
      <c r="ED267" s="70" t="s">
        <v>1124</v>
      </c>
      <c r="EE267" s="70" t="s">
        <v>1124</v>
      </c>
      <c r="EF267" s="70" t="s">
        <v>1124</v>
      </c>
      <c r="EG267" s="70" t="s">
        <v>1124</v>
      </c>
      <c r="EH267" s="72"/>
      <c r="EI267" s="72">
        <v>367</v>
      </c>
    </row>
    <row r="268" spans="23:139" x14ac:dyDescent="0.35">
      <c r="W268" s="457"/>
      <c r="X268" s="458"/>
      <c r="Y268" s="458"/>
      <c r="Z268" s="458"/>
      <c r="AA268" s="458"/>
      <c r="AB268" s="458"/>
      <c r="AC268" s="458"/>
      <c r="AD268" s="458"/>
      <c r="AE268" s="458"/>
      <c r="AF268" s="458"/>
      <c r="AG268" s="458"/>
      <c r="AH268" s="458"/>
      <c r="AI268" s="458"/>
      <c r="AJ268" s="418"/>
      <c r="BS268" s="486">
        <v>87090</v>
      </c>
      <c r="BT268" s="479" t="s">
        <v>904</v>
      </c>
      <c r="BU268" s="479">
        <v>8</v>
      </c>
      <c r="BV268" s="476" t="s">
        <v>1187</v>
      </c>
      <c r="BW268" s="476" t="s">
        <v>1187</v>
      </c>
      <c r="BX268" s="476" t="s">
        <v>1187</v>
      </c>
      <c r="BY268" s="476" t="s">
        <v>1187</v>
      </c>
      <c r="BZ268" s="476" t="s">
        <v>1187</v>
      </c>
      <c r="CA268" s="476" t="s">
        <v>1187</v>
      </c>
      <c r="CB268" s="476" t="s">
        <v>1187</v>
      </c>
      <c r="CC268" s="476" t="s">
        <v>1187</v>
      </c>
      <c r="CD268" s="476" t="s">
        <v>1187</v>
      </c>
      <c r="CE268" s="476" t="s">
        <v>1188</v>
      </c>
      <c r="CF268" s="476" t="s">
        <v>1188</v>
      </c>
      <c r="CG268" s="476" t="s">
        <v>1188</v>
      </c>
      <c r="CH268" s="476" t="s">
        <v>1188</v>
      </c>
      <c r="CI268" s="476" t="s">
        <v>1188</v>
      </c>
      <c r="CJ268" s="476" t="s">
        <v>1188</v>
      </c>
      <c r="CK268" s="476" t="s">
        <v>1188</v>
      </c>
      <c r="CL268" s="476" t="s">
        <v>1188</v>
      </c>
      <c r="CM268" s="476" t="str">
        <f>IF(VLOOKUP(BS268,'Données par municipalité'!$B$6:$E$1113,4,FALSE)="","non","oui")</f>
        <v>oui</v>
      </c>
      <c r="CN268" s="410">
        <v>498.9557841549269</v>
      </c>
      <c r="CO268" s="410">
        <v>479.94542294217581</v>
      </c>
      <c r="CP268" s="410">
        <v>469.47598411715529</v>
      </c>
      <c r="CQ268" s="410">
        <v>451.22678031159234</v>
      </c>
      <c r="CR268" s="410">
        <v>460</v>
      </c>
      <c r="CS268" s="410">
        <v>430.11729353695694</v>
      </c>
      <c r="CT268" s="410">
        <v>368.85069354699749</v>
      </c>
      <c r="CU268" s="410">
        <v>394</v>
      </c>
      <c r="CV268" s="410">
        <f>IF(VLOOKUP(BS268,'Données par municipalité'!$B$6:$F$1113,4,FALSE)="","",VLOOKUP(BS268,'Données par municipalité'!$B$6:$F$1113,4,FALSE))</f>
        <v>387</v>
      </c>
      <c r="CW268" s="476" t="s">
        <v>4723</v>
      </c>
      <c r="CX268" s="483">
        <v>0</v>
      </c>
      <c r="CY268" s="483">
        <v>0</v>
      </c>
      <c r="CZ268" s="483">
        <v>0</v>
      </c>
      <c r="DA268" s="483">
        <v>0</v>
      </c>
      <c r="DB268" s="483">
        <v>0</v>
      </c>
      <c r="DC268" s="483">
        <v>0</v>
      </c>
      <c r="DD268" s="483">
        <v>0</v>
      </c>
      <c r="DE268" s="483">
        <f>IFERROR(SUM(VLOOKUP($BS268,'État &amp; Plan d''action'!$B$6:$Z$1113,18,FALSE),VLOOKUP($BS268,'État &amp; Plan d''action'!$B$6:$Z$1113,20,FALSE))/(VLOOKUP($BS268,'Données par municipalité'!$B$4:$L$1113,11,FALSE)),"")</f>
        <v>0</v>
      </c>
      <c r="DF268" s="483">
        <f>IFERROR(SUM(VLOOKUP($BS268,'État &amp; Plan d''action'!$B$6:$Z$1113,19,FALSE),VLOOKUP($BS268,'État &amp; Plan d''action'!$B$6:$Z$1113,21,FALSE))/(VLOOKUP($BS268,'Données par municipalité'!$B$4:$L$1113,11,FALSE)),"")</f>
        <v>2</v>
      </c>
      <c r="DG268" s="476" t="s">
        <v>4723</v>
      </c>
      <c r="DH268" s="484">
        <v>1</v>
      </c>
      <c r="DI268" s="484" t="s">
        <v>1124</v>
      </c>
      <c r="DJ268" s="484">
        <v>0</v>
      </c>
      <c r="DK268" s="484">
        <v>0</v>
      </c>
      <c r="DL268" s="484">
        <v>4</v>
      </c>
      <c r="DM268" s="484">
        <v>10</v>
      </c>
      <c r="DN268" s="484">
        <v>8</v>
      </c>
      <c r="DO268" s="484">
        <v>0</v>
      </c>
      <c r="DP268" s="484">
        <v>0</v>
      </c>
      <c r="DQ268" s="484">
        <f>IF(VLOOKUP($BS268,'État &amp; Plan d''action'!$B$6:$AJ$1113,28,FALSE)="","",VLOOKUP($BS268,'État &amp; Plan d''action'!$B$6:$AJ$1113,28,FALSE))</f>
        <v>6</v>
      </c>
      <c r="DR268" s="70">
        <f>IF(VLOOKUP($BS268,'État &amp; Plan d''action'!$B$6:$AJ$1113,29,FALSE)="","",VLOOKUP($BS268,'État &amp; Plan d''action'!$B$6:$AJ$1113,29,FALSE))</f>
        <v>0</v>
      </c>
      <c r="DS268" s="70">
        <f>IF(VLOOKUP($BS268,'État &amp; Plan d''action'!$B$6:$AJ$1113,30,FALSE)="","",VLOOKUP($BS268,'État &amp; Plan d''action'!$B$6:$AJ$1113,30,FALSE))</f>
        <v>0</v>
      </c>
      <c r="DT268" s="70">
        <v>271</v>
      </c>
      <c r="DU268" s="485">
        <v>3.0225992579877423</v>
      </c>
      <c r="DV268" s="485">
        <v>3.2727337951075963</v>
      </c>
      <c r="DW268" s="70">
        <v>2</v>
      </c>
      <c r="DX268" s="70">
        <v>0</v>
      </c>
      <c r="DY268" s="70">
        <v>0</v>
      </c>
      <c r="DZ268" s="70">
        <f>VLOOKUP($BS268,'État &amp; Plan d''action'!$B$6:$AH$1113,31,FALSE)</f>
        <v>2</v>
      </c>
      <c r="EA268" s="70">
        <f>VLOOKUP($BS268,'État &amp; Plan d''action'!$B$6:$AH$1113,32,FALSE)</f>
        <v>0</v>
      </c>
      <c r="EB268" s="70">
        <f>VLOOKUP($BS268,'État &amp; Plan d''action'!$B$6:$AH$1113,33,FALSE)</f>
        <v>0</v>
      </c>
      <c r="EC268" s="70">
        <v>0</v>
      </c>
      <c r="ED268" s="70">
        <v>0</v>
      </c>
      <c r="EE268" s="70">
        <v>0</v>
      </c>
      <c r="EF268" s="70">
        <v>0</v>
      </c>
      <c r="EG268" s="70">
        <v>0</v>
      </c>
      <c r="EH268" s="72">
        <v>54</v>
      </c>
      <c r="EI268" s="72">
        <v>7349</v>
      </c>
    </row>
    <row r="269" spans="23:139" x14ac:dyDescent="0.35">
      <c r="W269" s="457"/>
      <c r="X269" s="459"/>
      <c r="Y269" s="459"/>
      <c r="Z269" s="459"/>
      <c r="AA269" s="459"/>
      <c r="AB269" s="459"/>
      <c r="AC269" s="459"/>
      <c r="AD269" s="459"/>
      <c r="AE269" s="459"/>
      <c r="AF269" s="459"/>
      <c r="AG269" s="459"/>
      <c r="AH269" s="459"/>
      <c r="AI269" s="458"/>
      <c r="AJ269" s="418"/>
      <c r="BS269" s="486">
        <v>10010</v>
      </c>
      <c r="BT269" s="479" t="s">
        <v>9</v>
      </c>
      <c r="BU269" s="479">
        <v>1</v>
      </c>
      <c r="BV269" s="476" t="s">
        <v>1188</v>
      </c>
      <c r="BW269" s="476" t="s">
        <v>1188</v>
      </c>
      <c r="BX269" s="476" t="s">
        <v>1188</v>
      </c>
      <c r="BY269" s="476" t="s">
        <v>1188</v>
      </c>
      <c r="BZ269" s="476" t="s">
        <v>1188</v>
      </c>
      <c r="CA269" s="476" t="s">
        <v>1188</v>
      </c>
      <c r="CB269" s="476" t="s">
        <v>1188</v>
      </c>
      <c r="CC269" s="476" t="s">
        <v>1188</v>
      </c>
      <c r="CD269" s="476" t="s">
        <v>1188</v>
      </c>
      <c r="CE269" s="476" t="s">
        <v>1187</v>
      </c>
      <c r="CF269" s="476" t="s">
        <v>1187</v>
      </c>
      <c r="CG269" s="476" t="s">
        <v>1187</v>
      </c>
      <c r="CH269" s="476" t="s">
        <v>1187</v>
      </c>
      <c r="CI269" s="476" t="s">
        <v>1187</v>
      </c>
      <c r="CJ269" s="476" t="s">
        <v>1187</v>
      </c>
      <c r="CK269" s="476" t="s">
        <v>1187</v>
      </c>
      <c r="CL269" s="476" t="s">
        <v>1187</v>
      </c>
      <c r="CM269" s="476" t="str">
        <f>IF(VLOOKUP(BS269,'Données par municipalité'!$B$6:$E$1113,4,FALSE)="","non","oui")</f>
        <v>non</v>
      </c>
      <c r="CN269" s="410" t="s">
        <v>1124</v>
      </c>
      <c r="CO269" s="410" t="s">
        <v>1124</v>
      </c>
      <c r="CP269" s="410"/>
      <c r="CQ269" s="410"/>
      <c r="CR269" s="410"/>
      <c r="CS269" s="410" t="s">
        <v>1124</v>
      </c>
      <c r="CT269" s="410"/>
      <c r="CU269" s="410" t="s">
        <v>1124</v>
      </c>
      <c r="CV269" s="410" t="str">
        <f>IF(VLOOKUP(BS269,'Données par municipalité'!$B$6:$F$1113,4,FALSE)="","",VLOOKUP(BS269,'Données par municipalité'!$B$6:$F$1113,4,FALSE))</f>
        <v/>
      </c>
      <c r="CW269" s="476" t="s">
        <v>4723</v>
      </c>
      <c r="CX269" s="483" t="s">
        <v>1124</v>
      </c>
      <c r="CY269" s="483" t="s">
        <v>1124</v>
      </c>
      <c r="CZ269" s="483" t="s">
        <v>1124</v>
      </c>
      <c r="DA269" s="483" t="s">
        <v>1124</v>
      </c>
      <c r="DB269" s="483" t="s">
        <v>1124</v>
      </c>
      <c r="DC269" s="483" t="s">
        <v>1124</v>
      </c>
      <c r="DD269" s="483" t="s">
        <v>1124</v>
      </c>
      <c r="DE269" s="483" t="str">
        <f>IFERROR(SUM(VLOOKUP($BS269,'État &amp; Plan d''action'!$B$6:$Z$1113,18,FALSE),VLOOKUP($BS269,'État &amp; Plan d''action'!$B$6:$Z$1113,20,FALSE))/(VLOOKUP($BS269,'Données par municipalité'!$B$4:$L$1113,11,FALSE)),"")</f>
        <v/>
      </c>
      <c r="DF269" s="483" t="str">
        <f>IFERROR(SUM(VLOOKUP($BS269,'État &amp; Plan d''action'!$B$6:$Z$1113,19,FALSE),VLOOKUP($BS269,'État &amp; Plan d''action'!$B$6:$Z$1113,21,FALSE))/(VLOOKUP($BS269,'Données par municipalité'!$B$4:$L$1113,11,FALSE)),"")</f>
        <v/>
      </c>
      <c r="DG269" s="476" t="s">
        <v>4723</v>
      </c>
      <c r="DH269" s="484" t="s">
        <v>1124</v>
      </c>
      <c r="DI269" s="484" t="s">
        <v>1124</v>
      </c>
      <c r="DJ269" s="484">
        <v>0</v>
      </c>
      <c r="DK269" s="484">
        <v>0</v>
      </c>
      <c r="DL269" s="484" t="s">
        <v>1124</v>
      </c>
      <c r="DM269" s="484" t="s">
        <v>1124</v>
      </c>
      <c r="DN269" s="484" t="s">
        <v>1124</v>
      </c>
      <c r="DO269" s="484" t="s">
        <v>1124</v>
      </c>
      <c r="DP269" s="484" t="s">
        <v>1124</v>
      </c>
      <c r="DQ269" s="484" t="str">
        <f>IF(VLOOKUP($BS269,'État &amp; Plan d''action'!$B$6:$AJ$1113,28,FALSE)="","",VLOOKUP($BS269,'État &amp; Plan d''action'!$B$6:$AJ$1113,28,FALSE))</f>
        <v/>
      </c>
      <c r="DR269" s="70" t="str">
        <f>IF(VLOOKUP($BS269,'État &amp; Plan d''action'!$B$6:$AJ$1113,29,FALSE)="","",VLOOKUP($BS269,'État &amp; Plan d''action'!$B$6:$AJ$1113,29,FALSE))</f>
        <v/>
      </c>
      <c r="DS269" s="70" t="str">
        <f>IF(VLOOKUP($BS269,'État &amp; Plan d''action'!$B$6:$AJ$1113,30,FALSE)="","",VLOOKUP($BS269,'État &amp; Plan d''action'!$B$6:$AJ$1113,30,FALSE))</f>
        <v/>
      </c>
      <c r="DT269" s="70" t="s">
        <v>1124</v>
      </c>
      <c r="DU269" s="485" t="s">
        <v>1124</v>
      </c>
      <c r="DV269" s="485" t="s">
        <v>1124</v>
      </c>
      <c r="DW269" s="70" t="s">
        <v>1124</v>
      </c>
      <c r="DX269" s="70" t="s">
        <v>1124</v>
      </c>
      <c r="DY269" s="70" t="s">
        <v>1124</v>
      </c>
      <c r="DZ269" s="70" t="str">
        <f>VLOOKUP($BS269,'État &amp; Plan d''action'!$B$6:$AH$1113,31,FALSE)</f>
        <v/>
      </c>
      <c r="EA269" s="70" t="str">
        <f>VLOOKUP($BS269,'État &amp; Plan d''action'!$B$6:$AH$1113,32,FALSE)</f>
        <v/>
      </c>
      <c r="EB269" s="70" t="str">
        <f>VLOOKUP($BS269,'État &amp; Plan d''action'!$B$6:$AH$1113,33,FALSE)</f>
        <v/>
      </c>
      <c r="EC269" s="70" t="s">
        <v>1124</v>
      </c>
      <c r="ED269" s="70" t="s">
        <v>1124</v>
      </c>
      <c r="EE269" s="70" t="s">
        <v>1124</v>
      </c>
      <c r="EF269" s="70" t="s">
        <v>1124</v>
      </c>
      <c r="EG269" s="70" t="s">
        <v>1124</v>
      </c>
      <c r="EH269" s="72"/>
      <c r="EI269" s="72">
        <v>227</v>
      </c>
    </row>
    <row r="270" spans="23:139" x14ac:dyDescent="0.35">
      <c r="W270" s="460"/>
      <c r="X270" s="458"/>
      <c r="Y270" s="458"/>
      <c r="Z270" s="458"/>
      <c r="AA270" s="458"/>
      <c r="AB270" s="458"/>
      <c r="AC270" s="458"/>
      <c r="AD270" s="458"/>
      <c r="AE270" s="458"/>
      <c r="AF270" s="458"/>
      <c r="AG270" s="458"/>
      <c r="AH270" s="458"/>
      <c r="AI270" s="518"/>
      <c r="AJ270" s="418"/>
      <c r="BS270" s="486">
        <v>90012</v>
      </c>
      <c r="BT270" s="479" t="s">
        <v>934</v>
      </c>
      <c r="BU270" s="479">
        <v>4</v>
      </c>
      <c r="BV270" s="476" t="s">
        <v>1187</v>
      </c>
      <c r="BW270" s="476" t="s">
        <v>1187</v>
      </c>
      <c r="BX270" s="476" t="s">
        <v>1187</v>
      </c>
      <c r="BY270" s="476" t="s">
        <v>1187</v>
      </c>
      <c r="BZ270" s="476" t="s">
        <v>1187</v>
      </c>
      <c r="CA270" s="476" t="s">
        <v>1187</v>
      </c>
      <c r="CB270" s="476" t="s">
        <v>1187</v>
      </c>
      <c r="CC270" s="476" t="s">
        <v>1187</v>
      </c>
      <c r="CD270" s="476" t="s">
        <v>1187</v>
      </c>
      <c r="CE270" s="476" t="s">
        <v>1188</v>
      </c>
      <c r="CF270" s="476" t="s">
        <v>1188</v>
      </c>
      <c r="CG270" s="476" t="s">
        <v>1188</v>
      </c>
      <c r="CH270" s="476" t="s">
        <v>1188</v>
      </c>
      <c r="CI270" s="476" t="s">
        <v>1188</v>
      </c>
      <c r="CJ270" s="476" t="s">
        <v>1188</v>
      </c>
      <c r="CK270" s="476" t="s">
        <v>1187</v>
      </c>
      <c r="CL270" s="476" t="s">
        <v>1188</v>
      </c>
      <c r="CM270" s="476" t="str">
        <f>IF(VLOOKUP(BS270,'Données par municipalité'!$B$6:$E$1113,4,FALSE)="","non","oui")</f>
        <v>oui</v>
      </c>
      <c r="CN270" s="410">
        <v>1326.7670911449081</v>
      </c>
      <c r="CO270" s="410">
        <v>1164.1424423382755</v>
      </c>
      <c r="CP270" s="410">
        <v>1306.4064114499577</v>
      </c>
      <c r="CQ270" s="410">
        <v>1396.7515316414497</v>
      </c>
      <c r="CR270" s="410">
        <v>1366.8358643075112</v>
      </c>
      <c r="CS270" s="410">
        <v>1290.1585071842233</v>
      </c>
      <c r="CT270" s="410"/>
      <c r="CU270" s="410">
        <v>1140</v>
      </c>
      <c r="CV270" s="410">
        <f>IF(VLOOKUP(BS270,'Données par municipalité'!$B$6:$F$1113,4,FALSE)="","",VLOOKUP(BS270,'Données par municipalité'!$B$6:$F$1113,4,FALSE))</f>
        <v>991</v>
      </c>
      <c r="CW270" s="476" t="s">
        <v>4723</v>
      </c>
      <c r="CX270" s="483">
        <v>0</v>
      </c>
      <c r="CY270" s="483">
        <v>0.1</v>
      </c>
      <c r="CZ270" s="483">
        <v>1</v>
      </c>
      <c r="DA270" s="483">
        <v>1</v>
      </c>
      <c r="DB270" s="483">
        <v>1</v>
      </c>
      <c r="DC270" s="483" t="s">
        <v>1124</v>
      </c>
      <c r="DD270" s="483">
        <v>0.99999845657534858</v>
      </c>
      <c r="DE270" s="483">
        <f>IFERROR(SUM(VLOOKUP($BS270,'État &amp; Plan d''action'!$B$6:$Z$1113,18,FALSE),VLOOKUP($BS270,'État &amp; Plan d''action'!$B$6:$Z$1113,20,FALSE))/(VLOOKUP($BS270,'Données par municipalité'!$B$4:$L$1113,11,FALSE)),"")</f>
        <v>1.5000000000000002</v>
      </c>
      <c r="DF270" s="483">
        <f>IFERROR(SUM(VLOOKUP($BS270,'État &amp; Plan d''action'!$B$6:$Z$1113,19,FALSE),VLOOKUP($BS270,'État &amp; Plan d''action'!$B$6:$Z$1113,21,FALSE))/(VLOOKUP($BS270,'Données par municipalité'!$B$4:$L$1113,11,FALSE)),"")</f>
        <v>1.8020543768339097</v>
      </c>
      <c r="DG270" s="476" t="s">
        <v>4723</v>
      </c>
      <c r="DH270" s="484" t="s">
        <v>1124</v>
      </c>
      <c r="DI270" s="484" t="s">
        <v>1124</v>
      </c>
      <c r="DJ270" s="484">
        <v>0</v>
      </c>
      <c r="DK270" s="484">
        <v>0</v>
      </c>
      <c r="DL270" s="484">
        <v>5</v>
      </c>
      <c r="DM270" s="484" t="s">
        <v>1124</v>
      </c>
      <c r="DN270" s="484">
        <v>4</v>
      </c>
      <c r="DO270" s="484">
        <v>5</v>
      </c>
      <c r="DP270" s="484">
        <v>8</v>
      </c>
      <c r="DQ270" s="484">
        <f>IF(VLOOKUP($BS270,'État &amp; Plan d''action'!$B$6:$AJ$1113,28,FALSE)="","",VLOOKUP($BS270,'État &amp; Plan d''action'!$B$6:$AJ$1113,28,FALSE))</f>
        <v>4</v>
      </c>
      <c r="DR270" s="70">
        <f>IF(VLOOKUP($BS270,'État &amp; Plan d''action'!$B$6:$AJ$1113,29,FALSE)="","",VLOOKUP($BS270,'État &amp; Plan d''action'!$B$6:$AJ$1113,29,FALSE))</f>
        <v>9</v>
      </c>
      <c r="DS270" s="70">
        <f>IF(VLOOKUP($BS270,'État &amp; Plan d''action'!$B$6:$AJ$1113,30,FALSE)="","",VLOOKUP($BS270,'État &amp; Plan d''action'!$B$6:$AJ$1113,30,FALSE))</f>
        <v>7</v>
      </c>
      <c r="DT270" s="70">
        <v>730</v>
      </c>
      <c r="DU270" s="485">
        <v>3.2902837207727265</v>
      </c>
      <c r="DV270" s="485">
        <v>3.2628069751992537</v>
      </c>
      <c r="DW270" s="70">
        <v>2</v>
      </c>
      <c r="DX270" s="70">
        <v>3</v>
      </c>
      <c r="DY270" s="70">
        <v>3</v>
      </c>
      <c r="DZ270" s="70">
        <f>VLOOKUP($BS270,'État &amp; Plan d''action'!$B$6:$AH$1113,31,FALSE)</f>
        <v>2</v>
      </c>
      <c r="EA270" s="70">
        <f>VLOOKUP($BS270,'État &amp; Plan d''action'!$B$6:$AH$1113,32,FALSE)</f>
        <v>4</v>
      </c>
      <c r="EB270" s="70">
        <f>VLOOKUP($BS270,'État &amp; Plan d''action'!$B$6:$AH$1113,33,FALSE)</f>
        <v>4</v>
      </c>
      <c r="EC270" s="70">
        <v>0</v>
      </c>
      <c r="ED270" s="70">
        <v>89.540999999999997</v>
      </c>
      <c r="EE270" s="70">
        <v>0</v>
      </c>
      <c r="EF270" s="70">
        <v>0</v>
      </c>
      <c r="EG270" s="70">
        <v>0</v>
      </c>
      <c r="EH270" s="72">
        <v>45.689189189189186</v>
      </c>
      <c r="EI270" s="72">
        <v>11033</v>
      </c>
    </row>
    <row r="271" spans="23:139" x14ac:dyDescent="0.35">
      <c r="W271" s="418"/>
      <c r="X271" s="461"/>
      <c r="Y271" s="461"/>
      <c r="Z271" s="461"/>
      <c r="AA271" s="461"/>
      <c r="AB271" s="461"/>
      <c r="AC271" s="461"/>
      <c r="AD271" s="461"/>
      <c r="AE271" s="461"/>
      <c r="AF271" s="461"/>
      <c r="AG271" s="461"/>
      <c r="AH271" s="461"/>
      <c r="AI271" s="418"/>
      <c r="AJ271" s="418"/>
      <c r="BS271" s="486">
        <v>52050</v>
      </c>
      <c r="BT271" s="479" t="s">
        <v>521</v>
      </c>
      <c r="BU271" s="479">
        <v>14</v>
      </c>
      <c r="BV271" s="476" t="s">
        <v>1187</v>
      </c>
      <c r="BW271" s="476" t="s">
        <v>1187</v>
      </c>
      <c r="BX271" s="476" t="s">
        <v>1187</v>
      </c>
      <c r="BY271" s="476" t="s">
        <v>1187</v>
      </c>
      <c r="BZ271" s="476" t="s">
        <v>1187</v>
      </c>
      <c r="CA271" s="476" t="s">
        <v>1187</v>
      </c>
      <c r="CB271" s="476" t="s">
        <v>1187</v>
      </c>
      <c r="CC271" s="476" t="s">
        <v>1187</v>
      </c>
      <c r="CD271" s="476" t="s">
        <v>1187</v>
      </c>
      <c r="CE271" s="476" t="s">
        <v>1188</v>
      </c>
      <c r="CF271" s="476" t="s">
        <v>1188</v>
      </c>
      <c r="CG271" s="476" t="s">
        <v>1188</v>
      </c>
      <c r="CH271" s="476" t="s">
        <v>1188</v>
      </c>
      <c r="CI271" s="476" t="s">
        <v>1188</v>
      </c>
      <c r="CJ271" s="476" t="s">
        <v>1188</v>
      </c>
      <c r="CK271" s="476" t="s">
        <v>1188</v>
      </c>
      <c r="CL271" s="476" t="s">
        <v>1188</v>
      </c>
      <c r="CM271" s="476" t="str">
        <f>IF(VLOOKUP(BS271,'Données par municipalité'!$B$6:$E$1113,4,FALSE)="","non","oui")</f>
        <v>oui</v>
      </c>
      <c r="CN271" s="410">
        <v>329.61109461809241</v>
      </c>
      <c r="CO271" s="410">
        <v>316.52932148547859</v>
      </c>
      <c r="CP271" s="410">
        <v>280.73378101992375</v>
      </c>
      <c r="CQ271" s="410">
        <v>356.54937774196435</v>
      </c>
      <c r="CR271" s="410">
        <v>348.74017516281162</v>
      </c>
      <c r="CS271" s="410">
        <v>322.34191422127242</v>
      </c>
      <c r="CT271" s="410">
        <v>314.66526464933605</v>
      </c>
      <c r="CU271" s="410">
        <v>329</v>
      </c>
      <c r="CV271" s="410">
        <f>IF(VLOOKUP(BS271,'Données par municipalité'!$B$6:$F$1113,4,FALSE)="","",VLOOKUP(BS271,'Données par municipalité'!$B$6:$F$1113,4,FALSE))</f>
        <v>310</v>
      </c>
      <c r="CW271" s="476" t="s">
        <v>4723</v>
      </c>
      <c r="CX271" s="483">
        <v>0</v>
      </c>
      <c r="CY271" s="483">
        <v>0</v>
      </c>
      <c r="CZ271" s="483">
        <v>0</v>
      </c>
      <c r="DA271" s="483">
        <v>1</v>
      </c>
      <c r="DB271" s="483">
        <v>0</v>
      </c>
      <c r="DC271" s="483">
        <v>0</v>
      </c>
      <c r="DD271" s="483">
        <v>0</v>
      </c>
      <c r="DE271" s="483">
        <f>IFERROR(SUM(VLOOKUP($BS271,'État &amp; Plan d''action'!$B$6:$Z$1113,18,FALSE),VLOOKUP($BS271,'État &amp; Plan d''action'!$B$6:$Z$1113,20,FALSE))/(VLOOKUP($BS271,'Données par municipalité'!$B$4:$L$1113,11,FALSE)),"")</f>
        <v>0</v>
      </c>
      <c r="DF271" s="483">
        <f>IFERROR(SUM(VLOOKUP($BS271,'État &amp; Plan d''action'!$B$6:$Z$1113,19,FALSE),VLOOKUP($BS271,'État &amp; Plan d''action'!$B$6:$Z$1113,21,FALSE))/(VLOOKUP($BS271,'Données par municipalité'!$B$4:$L$1113,11,FALSE)),"")</f>
        <v>0</v>
      </c>
      <c r="DG271" s="476" t="s">
        <v>4723</v>
      </c>
      <c r="DH271" s="484">
        <v>0</v>
      </c>
      <c r="DI271" s="484">
        <v>3</v>
      </c>
      <c r="DJ271" s="484">
        <v>2</v>
      </c>
      <c r="DK271" s="484">
        <v>4</v>
      </c>
      <c r="DL271" s="484">
        <v>0</v>
      </c>
      <c r="DM271" s="484">
        <v>3</v>
      </c>
      <c r="DN271" s="484">
        <v>0</v>
      </c>
      <c r="DO271" s="484">
        <v>0</v>
      </c>
      <c r="DP271" s="484">
        <v>3</v>
      </c>
      <c r="DQ271" s="484">
        <f>IF(VLOOKUP($BS271,'État &amp; Plan d''action'!$B$6:$AJ$1113,28,FALSE)="","",VLOOKUP($BS271,'État &amp; Plan d''action'!$B$6:$AJ$1113,28,FALSE))</f>
        <v>0</v>
      </c>
      <c r="DR271" s="70">
        <f>IF(VLOOKUP($BS271,'État &amp; Plan d''action'!$B$6:$AJ$1113,29,FALSE)="","",VLOOKUP($BS271,'État &amp; Plan d''action'!$B$6:$AJ$1113,29,FALSE))</f>
        <v>0</v>
      </c>
      <c r="DS271" s="70">
        <f>IF(VLOOKUP($BS271,'État &amp; Plan d''action'!$B$6:$AJ$1113,30,FALSE)="","",VLOOKUP($BS271,'État &amp; Plan d''action'!$B$6:$AJ$1113,30,FALSE))</f>
        <v>2</v>
      </c>
      <c r="DT271" s="70">
        <v>161</v>
      </c>
      <c r="DU271" s="485">
        <v>1.3769032958630609</v>
      </c>
      <c r="DV271" s="485">
        <v>0.53706146728654924</v>
      </c>
      <c r="DW271" s="70">
        <v>0</v>
      </c>
      <c r="DX271" s="70">
        <v>0</v>
      </c>
      <c r="DY271" s="70">
        <v>7</v>
      </c>
      <c r="DZ271" s="70">
        <f>VLOOKUP($BS271,'État &amp; Plan d''action'!$B$6:$AH$1113,31,FALSE)</f>
        <v>0</v>
      </c>
      <c r="EA271" s="70">
        <f>VLOOKUP($BS271,'État &amp; Plan d''action'!$B$6:$AH$1113,32,FALSE)</f>
        <v>0</v>
      </c>
      <c r="EB271" s="70">
        <f>VLOOKUP($BS271,'État &amp; Plan d''action'!$B$6:$AH$1113,33,FALSE)</f>
        <v>7</v>
      </c>
      <c r="EC271" s="70">
        <v>0</v>
      </c>
      <c r="ED271" s="70">
        <v>0</v>
      </c>
      <c r="EE271" s="70">
        <v>0</v>
      </c>
      <c r="EF271" s="70">
        <v>0</v>
      </c>
      <c r="EG271" s="70">
        <v>0</v>
      </c>
      <c r="EH271" s="72">
        <v>57</v>
      </c>
      <c r="EI271" s="72">
        <v>625</v>
      </c>
    </row>
    <row r="272" spans="23:139" x14ac:dyDescent="0.35">
      <c r="BS272" s="486">
        <v>50085</v>
      </c>
      <c r="BT272" s="479" t="s">
        <v>492</v>
      </c>
      <c r="BU272" s="479">
        <v>17</v>
      </c>
      <c r="BV272" s="476" t="s">
        <v>1187</v>
      </c>
      <c r="BW272" s="476" t="s">
        <v>1187</v>
      </c>
      <c r="BX272" s="476" t="s">
        <v>1187</v>
      </c>
      <c r="BY272" s="476" t="s">
        <v>1187</v>
      </c>
      <c r="BZ272" s="476" t="s">
        <v>1187</v>
      </c>
      <c r="CA272" s="476" t="s">
        <v>1187</v>
      </c>
      <c r="CB272" s="476" t="s">
        <v>1187</v>
      </c>
      <c r="CC272" s="476" t="s">
        <v>1187</v>
      </c>
      <c r="CD272" s="476" t="s">
        <v>1187</v>
      </c>
      <c r="CE272" s="476" t="s">
        <v>1188</v>
      </c>
      <c r="CF272" s="476" t="s">
        <v>1188</v>
      </c>
      <c r="CG272" s="476" t="s">
        <v>1188</v>
      </c>
      <c r="CH272" s="476" t="s">
        <v>1188</v>
      </c>
      <c r="CI272" s="476" t="s">
        <v>1188</v>
      </c>
      <c r="CJ272" s="476" t="s">
        <v>1188</v>
      </c>
      <c r="CK272" s="476" t="s">
        <v>1188</v>
      </c>
      <c r="CL272" s="476" t="s">
        <v>1188</v>
      </c>
      <c r="CM272" s="476" t="str">
        <f>IF(VLOOKUP(BS272,'Données par municipalité'!$B$6:$E$1113,4,FALSE)="","non","oui")</f>
        <v>oui</v>
      </c>
      <c r="CN272" s="410">
        <v>759.09521173045664</v>
      </c>
      <c r="CO272" s="410">
        <v>1143.1628778213146</v>
      </c>
      <c r="CP272" s="410">
        <v>776.646041678796</v>
      </c>
      <c r="CQ272" s="410">
        <v>748.78105409798002</v>
      </c>
      <c r="CR272" s="410">
        <v>843.65121180189681</v>
      </c>
      <c r="CS272" s="410">
        <v>895.5798343704837</v>
      </c>
      <c r="CT272" s="410">
        <v>775.39613362920443</v>
      </c>
      <c r="CU272" s="410">
        <v>871</v>
      </c>
      <c r="CV272" s="410">
        <f>IF(VLOOKUP(BS272,'Données par municipalité'!$B$6:$F$1113,4,FALSE)="","",VLOOKUP(BS272,'Données par municipalité'!$B$6:$F$1113,4,FALSE))</f>
        <v>959</v>
      </c>
      <c r="CW272" s="476" t="s">
        <v>4723</v>
      </c>
      <c r="CX272" s="483">
        <v>0</v>
      </c>
      <c r="CY272" s="483">
        <v>0</v>
      </c>
      <c r="CZ272" s="483">
        <v>0</v>
      </c>
      <c r="DA272" s="483">
        <v>1</v>
      </c>
      <c r="DB272" s="483">
        <v>0</v>
      </c>
      <c r="DC272" s="483">
        <v>0</v>
      </c>
      <c r="DD272" s="483">
        <v>0</v>
      </c>
      <c r="DE272" s="483">
        <f>IFERROR(SUM(VLOOKUP($BS272,'État &amp; Plan d''action'!$B$6:$Z$1113,18,FALSE),VLOOKUP($BS272,'État &amp; Plan d''action'!$B$6:$Z$1113,20,FALSE))/(VLOOKUP($BS272,'Données par municipalité'!$B$4:$L$1113,11,FALSE)),"")</f>
        <v>0</v>
      </c>
      <c r="DF272" s="483">
        <f>IFERROR(SUM(VLOOKUP($BS272,'État &amp; Plan d''action'!$B$6:$Z$1113,19,FALSE),VLOOKUP($BS272,'État &amp; Plan d''action'!$B$6:$Z$1113,21,FALSE))/(VLOOKUP($BS272,'Données par municipalité'!$B$4:$L$1113,11,FALSE)),"")</f>
        <v>0</v>
      </c>
      <c r="DG272" s="476" t="s">
        <v>4723</v>
      </c>
      <c r="DH272" s="484">
        <v>0</v>
      </c>
      <c r="DI272" s="484">
        <v>0</v>
      </c>
      <c r="DJ272" s="484">
        <v>0</v>
      </c>
      <c r="DK272" s="484">
        <v>0</v>
      </c>
      <c r="DL272" s="484">
        <v>2</v>
      </c>
      <c r="DM272" s="484">
        <v>0</v>
      </c>
      <c r="DN272" s="484">
        <v>0</v>
      </c>
      <c r="DO272" s="484">
        <v>0</v>
      </c>
      <c r="DP272" s="484">
        <v>0</v>
      </c>
      <c r="DQ272" s="484">
        <f>IF(VLOOKUP($BS272,'État &amp; Plan d''action'!$B$6:$AJ$1113,28,FALSE)="","",VLOOKUP($BS272,'État &amp; Plan d''action'!$B$6:$AJ$1113,28,FALSE))</f>
        <v>1</v>
      </c>
      <c r="DR272" s="70">
        <f>IF(VLOOKUP($BS272,'État &amp; Plan d''action'!$B$6:$AJ$1113,29,FALSE)="","",VLOOKUP($BS272,'État &amp; Plan d''action'!$B$6:$AJ$1113,29,FALSE))</f>
        <v>0</v>
      </c>
      <c r="DS272" s="70">
        <f>IF(VLOOKUP($BS272,'État &amp; Plan d''action'!$B$6:$AJ$1113,30,FALSE)="","",VLOOKUP($BS272,'État &amp; Plan d''action'!$B$6:$AJ$1113,30,FALSE))</f>
        <v>0</v>
      </c>
      <c r="DT272" s="70">
        <v>195</v>
      </c>
      <c r="DU272" s="485">
        <v>0.31515087002735143</v>
      </c>
      <c r="DV272" s="485">
        <v>0.17253418857819583</v>
      </c>
      <c r="DW272" s="70">
        <v>0</v>
      </c>
      <c r="DX272" s="70">
        <v>0</v>
      </c>
      <c r="DY272" s="70">
        <v>0</v>
      </c>
      <c r="DZ272" s="70">
        <f>VLOOKUP($BS272,'État &amp; Plan d''action'!$B$6:$AH$1113,31,FALSE)</f>
        <v>1</v>
      </c>
      <c r="EA272" s="70">
        <f>VLOOKUP($BS272,'État &amp; Plan d''action'!$B$6:$AH$1113,32,FALSE)</f>
        <v>0</v>
      </c>
      <c r="EB272" s="70">
        <f>VLOOKUP($BS272,'État &amp; Plan d''action'!$B$6:$AH$1113,33,FALSE)</f>
        <v>0</v>
      </c>
      <c r="EC272" s="70">
        <v>0</v>
      </c>
      <c r="ED272" s="70">
        <v>0</v>
      </c>
      <c r="EE272" s="70">
        <v>0</v>
      </c>
      <c r="EF272" s="70">
        <v>0</v>
      </c>
      <c r="EG272" s="70">
        <v>0</v>
      </c>
      <c r="EH272" s="72">
        <v>65</v>
      </c>
      <c r="EI272" s="72">
        <v>318</v>
      </c>
    </row>
    <row r="273" spans="71:139" x14ac:dyDescent="0.35">
      <c r="BS273" s="486">
        <v>78120</v>
      </c>
      <c r="BT273" s="479" t="s">
        <v>783</v>
      </c>
      <c r="BU273" s="479">
        <v>15</v>
      </c>
      <c r="BV273" s="476" t="s">
        <v>1187</v>
      </c>
      <c r="BW273" s="476" t="s">
        <v>1187</v>
      </c>
      <c r="BX273" s="476" t="s">
        <v>1187</v>
      </c>
      <c r="BY273" s="476" t="s">
        <v>1187</v>
      </c>
      <c r="BZ273" s="476" t="s">
        <v>1187</v>
      </c>
      <c r="CA273" s="476" t="s">
        <v>1187</v>
      </c>
      <c r="CB273" s="476" t="s">
        <v>1187</v>
      </c>
      <c r="CC273" s="476" t="s">
        <v>1187</v>
      </c>
      <c r="CD273" s="476" t="s">
        <v>1187</v>
      </c>
      <c r="CE273" s="476" t="s">
        <v>1187</v>
      </c>
      <c r="CF273" s="476" t="s">
        <v>1187</v>
      </c>
      <c r="CG273" s="476" t="s">
        <v>1187</v>
      </c>
      <c r="CH273" s="476" t="s">
        <v>1187</v>
      </c>
      <c r="CI273" s="476" t="s">
        <v>1187</v>
      </c>
      <c r="CJ273" s="476" t="s">
        <v>1188</v>
      </c>
      <c r="CK273" s="476" t="s">
        <v>1188</v>
      </c>
      <c r="CL273" s="476" t="s">
        <v>1188</v>
      </c>
      <c r="CM273" s="476" t="str">
        <f>IF(VLOOKUP(BS273,'Données par municipalité'!$B$6:$E$1113,4,FALSE)="","non","oui")</f>
        <v>oui</v>
      </c>
      <c r="CN273" s="410" t="s">
        <v>1124</v>
      </c>
      <c r="CO273" s="410" t="s">
        <v>1124</v>
      </c>
      <c r="CP273" s="410"/>
      <c r="CQ273" s="410"/>
      <c r="CR273" s="410"/>
      <c r="CS273" s="410">
        <v>485.25660865803343</v>
      </c>
      <c r="CT273" s="410">
        <v>502.75109270791404</v>
      </c>
      <c r="CU273" s="410">
        <v>538</v>
      </c>
      <c r="CV273" s="410">
        <f>IF(VLOOKUP(BS273,'Données par municipalité'!$B$6:$F$1113,4,FALSE)="","",VLOOKUP(BS273,'Données par municipalité'!$B$6:$F$1113,4,FALSE))</f>
        <v>593</v>
      </c>
      <c r="CW273" s="476" t="s">
        <v>4723</v>
      </c>
      <c r="CX273" s="483" t="s">
        <v>1124</v>
      </c>
      <c r="CY273" s="483" t="s">
        <v>1124</v>
      </c>
      <c r="CZ273" s="483" t="s">
        <v>1124</v>
      </c>
      <c r="DA273" s="483" t="s">
        <v>1124</v>
      </c>
      <c r="DB273" s="483">
        <v>1</v>
      </c>
      <c r="DC273" s="483">
        <v>1</v>
      </c>
      <c r="DD273" s="483">
        <v>1</v>
      </c>
      <c r="DE273" s="483">
        <f>IFERROR(SUM(VLOOKUP($BS273,'État &amp; Plan d''action'!$B$6:$Z$1113,18,FALSE),VLOOKUP($BS273,'État &amp; Plan d''action'!$B$6:$Z$1113,20,FALSE))/(VLOOKUP($BS273,'Données par municipalité'!$B$4:$L$1113,11,FALSE)),"")</f>
        <v>2</v>
      </c>
      <c r="DF273" s="483">
        <f>IFERROR(SUM(VLOOKUP($BS273,'État &amp; Plan d''action'!$B$6:$Z$1113,19,FALSE),VLOOKUP($BS273,'État &amp; Plan d''action'!$B$6:$Z$1113,21,FALSE))/(VLOOKUP($BS273,'Données par municipalité'!$B$4:$L$1113,11,FALSE)),"")</f>
        <v>2</v>
      </c>
      <c r="DG273" s="476" t="s">
        <v>4723</v>
      </c>
      <c r="DH273" s="484">
        <v>2</v>
      </c>
      <c r="DI273" s="484">
        <v>1</v>
      </c>
      <c r="DJ273" s="484">
        <v>7</v>
      </c>
      <c r="DK273" s="484">
        <v>10</v>
      </c>
      <c r="DL273" s="484">
        <v>2</v>
      </c>
      <c r="DM273" s="484">
        <v>1</v>
      </c>
      <c r="DN273" s="484">
        <v>2</v>
      </c>
      <c r="DO273" s="484">
        <v>4</v>
      </c>
      <c r="DP273" s="484">
        <v>0</v>
      </c>
      <c r="DQ273" s="484">
        <f>IF(VLOOKUP($BS273,'État &amp; Plan d''action'!$B$6:$AJ$1113,28,FALSE)="","",VLOOKUP($BS273,'État &amp; Plan d''action'!$B$6:$AJ$1113,28,FALSE))</f>
        <v>0</v>
      </c>
      <c r="DR273" s="70">
        <f>IF(VLOOKUP($BS273,'État &amp; Plan d''action'!$B$6:$AJ$1113,29,FALSE)="","",VLOOKUP($BS273,'État &amp; Plan d''action'!$B$6:$AJ$1113,29,FALSE))</f>
        <v>3</v>
      </c>
      <c r="DS273" s="70">
        <f>IF(VLOOKUP($BS273,'État &amp; Plan d''action'!$B$6:$AJ$1113,30,FALSE)="","",VLOOKUP($BS273,'État &amp; Plan d''action'!$B$6:$AJ$1113,30,FALSE))</f>
        <v>1</v>
      </c>
      <c r="DT273" s="70">
        <v>336</v>
      </c>
      <c r="DU273" s="485">
        <v>2.309485106950643</v>
      </c>
      <c r="DV273" s="485">
        <v>1.0045470055056935</v>
      </c>
      <c r="DW273" s="70">
        <v>2</v>
      </c>
      <c r="DX273" s="70">
        <v>3</v>
      </c>
      <c r="DY273" s="70">
        <v>0</v>
      </c>
      <c r="DZ273" s="70">
        <f>VLOOKUP($BS273,'État &amp; Plan d''action'!$B$6:$AH$1113,31,FALSE)</f>
        <v>0</v>
      </c>
      <c r="EA273" s="70">
        <f>VLOOKUP($BS273,'État &amp; Plan d''action'!$B$6:$AH$1113,32,FALSE)</f>
        <v>2</v>
      </c>
      <c r="EB273" s="70">
        <f>VLOOKUP($BS273,'État &amp; Plan d''action'!$B$6:$AH$1113,33,FALSE)</f>
        <v>2</v>
      </c>
      <c r="EC273" s="70">
        <v>0</v>
      </c>
      <c r="ED273" s="70">
        <v>0</v>
      </c>
      <c r="EE273" s="70">
        <v>22.206</v>
      </c>
      <c r="EF273" s="70">
        <v>0</v>
      </c>
      <c r="EG273" s="70">
        <v>0</v>
      </c>
      <c r="EH273" s="72">
        <v>56</v>
      </c>
      <c r="EI273" s="72">
        <v>2444</v>
      </c>
    </row>
    <row r="274" spans="71:139" x14ac:dyDescent="0.35">
      <c r="BS274" s="486">
        <v>93055</v>
      </c>
      <c r="BT274" s="479" t="s">
        <v>966</v>
      </c>
      <c r="BU274" s="479">
        <v>2</v>
      </c>
      <c r="BV274" s="476" t="s">
        <v>1187</v>
      </c>
      <c r="BW274" s="476" t="s">
        <v>1187</v>
      </c>
      <c r="BX274" s="476" t="s">
        <v>1187</v>
      </c>
      <c r="BY274" s="476" t="s">
        <v>1187</v>
      </c>
      <c r="BZ274" s="476" t="s">
        <v>1187</v>
      </c>
      <c r="CA274" s="476" t="s">
        <v>1187</v>
      </c>
      <c r="CB274" s="476" t="s">
        <v>1187</v>
      </c>
      <c r="CC274" s="476" t="s">
        <v>1187</v>
      </c>
      <c r="CD274" s="476" t="s">
        <v>1187</v>
      </c>
      <c r="CE274" s="476" t="s">
        <v>1188</v>
      </c>
      <c r="CF274" s="476" t="s">
        <v>1188</v>
      </c>
      <c r="CG274" s="476" t="s">
        <v>1188</v>
      </c>
      <c r="CH274" s="476" t="s">
        <v>1188</v>
      </c>
      <c r="CI274" s="476" t="s">
        <v>1188</v>
      </c>
      <c r="CJ274" s="476" t="s">
        <v>1188</v>
      </c>
      <c r="CK274" s="476" t="s">
        <v>1188</v>
      </c>
      <c r="CL274" s="476" t="s">
        <v>1188</v>
      </c>
      <c r="CM274" s="476" t="str">
        <f>IF(VLOOKUP(BS274,'Données par municipalité'!$B$6:$E$1113,4,FALSE)="","non","oui")</f>
        <v>oui</v>
      </c>
      <c r="CN274" s="410">
        <v>512.56244017406823</v>
      </c>
      <c r="CO274" s="410">
        <v>431.15033662520125</v>
      </c>
      <c r="CP274" s="410">
        <v>544.46272723092056</v>
      </c>
      <c r="CQ274" s="410">
        <v>652.46476357019833</v>
      </c>
      <c r="CR274" s="410">
        <v>565.59823839896478</v>
      </c>
      <c r="CS274" s="410">
        <v>537.75102295291538</v>
      </c>
      <c r="CT274" s="410">
        <v>522.93267500998934</v>
      </c>
      <c r="CU274" s="410">
        <v>528</v>
      </c>
      <c r="CV274" s="410">
        <f>IF(VLOOKUP(BS274,'Données par municipalité'!$B$6:$F$1113,4,FALSE)="","",VLOOKUP(BS274,'Données par municipalité'!$B$6:$F$1113,4,FALSE))</f>
        <v>461</v>
      </c>
      <c r="CW274" s="476" t="s">
        <v>4723</v>
      </c>
      <c r="CX274" s="483">
        <v>0</v>
      </c>
      <c r="CY274" s="483">
        <v>1</v>
      </c>
      <c r="CZ274" s="483">
        <v>1</v>
      </c>
      <c r="DA274" s="483">
        <v>1</v>
      </c>
      <c r="DB274" s="483">
        <v>1</v>
      </c>
      <c r="DC274" s="483">
        <v>1</v>
      </c>
      <c r="DD274" s="483">
        <v>0</v>
      </c>
      <c r="DE274" s="483">
        <f>IFERROR(SUM(VLOOKUP($BS274,'État &amp; Plan d''action'!$B$6:$Z$1113,18,FALSE),VLOOKUP($BS274,'État &amp; Plan d''action'!$B$6:$Z$1113,20,FALSE))/(VLOOKUP($BS274,'Données par municipalité'!$B$4:$L$1113,11,FALSE)),"")</f>
        <v>1</v>
      </c>
      <c r="DF274" s="483">
        <f>IFERROR(SUM(VLOOKUP($BS274,'État &amp; Plan d''action'!$B$6:$Z$1113,19,FALSE),VLOOKUP($BS274,'État &amp; Plan d''action'!$B$6:$Z$1113,21,FALSE))/(VLOOKUP($BS274,'Données par municipalité'!$B$4:$L$1113,11,FALSE)),"")</f>
        <v>1</v>
      </c>
      <c r="DG274" s="476" t="s">
        <v>4723</v>
      </c>
      <c r="DH274" s="484">
        <v>6</v>
      </c>
      <c r="DI274" s="484">
        <v>7</v>
      </c>
      <c r="DJ274" s="484">
        <v>0</v>
      </c>
      <c r="DK274" s="484">
        <v>4</v>
      </c>
      <c r="DL274" s="484">
        <v>1</v>
      </c>
      <c r="DM274" s="484">
        <v>0</v>
      </c>
      <c r="DN274" s="484">
        <v>0</v>
      </c>
      <c r="DO274" s="484">
        <v>0</v>
      </c>
      <c r="DP274" s="484">
        <v>5</v>
      </c>
      <c r="DQ274" s="484">
        <f>IF(VLOOKUP($BS274,'État &amp; Plan d''action'!$B$6:$AJ$1113,28,FALSE)="","",VLOOKUP($BS274,'État &amp; Plan d''action'!$B$6:$AJ$1113,28,FALSE))</f>
        <v>1</v>
      </c>
      <c r="DR274" s="70">
        <f>IF(VLOOKUP($BS274,'État &amp; Plan d''action'!$B$6:$AJ$1113,29,FALSE)="","",VLOOKUP($BS274,'État &amp; Plan d''action'!$B$6:$AJ$1113,29,FALSE))</f>
        <v>2</v>
      </c>
      <c r="DS274" s="70">
        <f>IF(VLOOKUP($BS274,'État &amp; Plan d''action'!$B$6:$AJ$1113,30,FALSE)="","",VLOOKUP($BS274,'État &amp; Plan d''action'!$B$6:$AJ$1113,30,FALSE))</f>
        <v>5</v>
      </c>
      <c r="DT274" s="70">
        <v>393</v>
      </c>
      <c r="DU274" s="485">
        <v>2.2488328663500172</v>
      </c>
      <c r="DV274" s="485">
        <v>3.4783391131848549</v>
      </c>
      <c r="DW274" s="70">
        <v>0</v>
      </c>
      <c r="DX274" s="70">
        <v>0</v>
      </c>
      <c r="DY274" s="70">
        <v>2</v>
      </c>
      <c r="DZ274" s="70">
        <f>VLOOKUP($BS274,'État &amp; Plan d''action'!$B$6:$AH$1113,31,FALSE)</f>
        <v>3</v>
      </c>
      <c r="EA274" s="70">
        <f>VLOOKUP($BS274,'État &amp; Plan d''action'!$B$6:$AH$1113,32,FALSE)</f>
        <v>1</v>
      </c>
      <c r="EB274" s="70">
        <f>VLOOKUP($BS274,'État &amp; Plan d''action'!$B$6:$AH$1113,33,FALSE)</f>
        <v>1</v>
      </c>
      <c r="EC274" s="70">
        <v>25.981999999999999</v>
      </c>
      <c r="ED274" s="70">
        <v>0</v>
      </c>
      <c r="EE274" s="70">
        <v>0</v>
      </c>
      <c r="EF274" s="70">
        <v>0</v>
      </c>
      <c r="EG274" s="70">
        <v>0</v>
      </c>
      <c r="EH274" s="72">
        <v>46.662162162162161</v>
      </c>
      <c r="EI274" s="72">
        <v>1342</v>
      </c>
    </row>
    <row r="275" spans="71:139" x14ac:dyDescent="0.35">
      <c r="BS275" s="486">
        <v>7057</v>
      </c>
      <c r="BT275" s="479" t="s">
        <v>1076</v>
      </c>
      <c r="BU275" s="479">
        <v>1</v>
      </c>
      <c r="BV275" s="476" t="s">
        <v>1187</v>
      </c>
      <c r="BW275" s="476" t="s">
        <v>1187</v>
      </c>
      <c r="BX275" s="476" t="s">
        <v>1187</v>
      </c>
      <c r="BY275" s="476" t="s">
        <v>1187</v>
      </c>
      <c r="BZ275" s="476" t="s">
        <v>1187</v>
      </c>
      <c r="CA275" s="476" t="s">
        <v>1187</v>
      </c>
      <c r="CB275" s="476" t="s">
        <v>1187</v>
      </c>
      <c r="CC275" s="476" t="s">
        <v>1187</v>
      </c>
      <c r="CD275" s="476" t="s">
        <v>1187</v>
      </c>
      <c r="CE275" s="476" t="s">
        <v>1188</v>
      </c>
      <c r="CF275" s="476" t="s">
        <v>1188</v>
      </c>
      <c r="CG275" s="476" t="s">
        <v>1188</v>
      </c>
      <c r="CH275" s="476" t="s">
        <v>1188</v>
      </c>
      <c r="CI275" s="476" t="s">
        <v>1188</v>
      </c>
      <c r="CJ275" s="476" t="s">
        <v>1188</v>
      </c>
      <c r="CK275" s="476" t="s">
        <v>1188</v>
      </c>
      <c r="CL275" s="476" t="s">
        <v>1188</v>
      </c>
      <c r="CM275" s="476" t="str">
        <f>IF(VLOOKUP(BS275,'Données par municipalité'!$B$6:$E$1113,4,FALSE)="","non","oui")</f>
        <v>oui</v>
      </c>
      <c r="CN275" s="410">
        <v>553.17512180192398</v>
      </c>
      <c r="CO275" s="410">
        <v>556.94574076830793</v>
      </c>
      <c r="CP275" s="410">
        <v>680.30058831598876</v>
      </c>
      <c r="CQ275" s="410">
        <v>470.63014825293055</v>
      </c>
      <c r="CR275" s="410">
        <v>504.72865187768855</v>
      </c>
      <c r="CS275" s="410">
        <v>920.93312334929976</v>
      </c>
      <c r="CT275" s="410">
        <v>1180.9099804305283</v>
      </c>
      <c r="CU275" s="410">
        <v>1002</v>
      </c>
      <c r="CV275" s="410">
        <f>IF(VLOOKUP(BS275,'Données par municipalité'!$B$6:$F$1113,4,FALSE)="","",VLOOKUP(BS275,'Données par municipalité'!$B$6:$F$1113,4,FALSE))</f>
        <v>814</v>
      </c>
      <c r="CW275" s="476" t="s">
        <v>4723</v>
      </c>
      <c r="CX275" s="483">
        <v>0</v>
      </c>
      <c r="CY275" s="483">
        <v>0</v>
      </c>
      <c r="CZ275" s="483">
        <v>1</v>
      </c>
      <c r="DA275" s="483">
        <v>1</v>
      </c>
      <c r="DB275" s="483">
        <v>1</v>
      </c>
      <c r="DC275" s="483">
        <v>0.15</v>
      </c>
      <c r="DD275" s="483" t="s">
        <v>1124</v>
      </c>
      <c r="DE275" s="483">
        <f>IFERROR(SUM(VLOOKUP($BS275,'État &amp; Plan d''action'!$B$6:$Z$1113,18,FALSE),VLOOKUP($BS275,'État &amp; Plan d''action'!$B$6:$Z$1113,20,FALSE))/(VLOOKUP($BS275,'Données par municipalité'!$B$4:$L$1113,11,FALSE)),"")</f>
        <v>0.75174184085075169</v>
      </c>
      <c r="DF275" s="483">
        <f>IFERROR(SUM(VLOOKUP($BS275,'État &amp; Plan d''action'!$B$6:$Z$1113,19,FALSE),VLOOKUP($BS275,'État &amp; Plan d''action'!$B$6:$Z$1113,21,FALSE))/(VLOOKUP($BS275,'Données par municipalité'!$B$4:$L$1113,11,FALSE)),"")</f>
        <v>1</v>
      </c>
      <c r="DG275" s="476" t="s">
        <v>4723</v>
      </c>
      <c r="DH275" s="484">
        <v>5</v>
      </c>
      <c r="DI275" s="484">
        <v>7</v>
      </c>
      <c r="DJ275" s="484">
        <v>11</v>
      </c>
      <c r="DK275" s="484">
        <v>5</v>
      </c>
      <c r="DL275" s="484">
        <v>10</v>
      </c>
      <c r="DM275" s="484">
        <v>2</v>
      </c>
      <c r="DN275" s="484">
        <v>6</v>
      </c>
      <c r="DO275" s="484">
        <v>7</v>
      </c>
      <c r="DP275" s="484">
        <v>1</v>
      </c>
      <c r="DQ275" s="484">
        <f>IF(VLOOKUP($BS275,'État &amp; Plan d''action'!$B$6:$AJ$1113,28,FALSE)="","",VLOOKUP($BS275,'État &amp; Plan d''action'!$B$6:$AJ$1113,28,FALSE))</f>
        <v>3</v>
      </c>
      <c r="DR275" s="70">
        <f>IF(VLOOKUP($BS275,'État &amp; Plan d''action'!$B$6:$AJ$1113,29,FALSE)="","",VLOOKUP($BS275,'État &amp; Plan d''action'!$B$6:$AJ$1113,29,FALSE))</f>
        <v>0</v>
      </c>
      <c r="DS275" s="70">
        <f>IF(VLOOKUP($BS275,'État &amp; Plan d''action'!$B$6:$AJ$1113,30,FALSE)="","",VLOOKUP($BS275,'État &amp; Plan d''action'!$B$6:$AJ$1113,30,FALSE))</f>
        <v>0</v>
      </c>
      <c r="DT275" s="70">
        <v>400</v>
      </c>
      <c r="DU275" s="485">
        <v>16.599595879582751</v>
      </c>
      <c r="DV275" s="485">
        <v>19.970077881472619</v>
      </c>
      <c r="DW275" s="70">
        <v>30</v>
      </c>
      <c r="DX275" s="70">
        <v>30</v>
      </c>
      <c r="DY275" s="70">
        <v>15</v>
      </c>
      <c r="DZ275" s="70">
        <f>VLOOKUP($BS275,'État &amp; Plan d''action'!$B$6:$AH$1113,31,FALSE)</f>
        <v>7</v>
      </c>
      <c r="EA275" s="70">
        <f>VLOOKUP($BS275,'État &amp; Plan d''action'!$B$6:$AH$1113,32,FALSE)</f>
        <v>0</v>
      </c>
      <c r="EB275" s="70">
        <f>VLOOKUP($BS275,'État &amp; Plan d''action'!$B$6:$AH$1113,33,FALSE)</f>
        <v>0</v>
      </c>
      <c r="EC275" s="70">
        <v>0</v>
      </c>
      <c r="ED275" s="70">
        <v>10.869</v>
      </c>
      <c r="EE275" s="70">
        <v>0</v>
      </c>
      <c r="EF275" s="70">
        <v>0</v>
      </c>
      <c r="EG275" s="70">
        <v>0</v>
      </c>
      <c r="EH275" s="72">
        <v>44.547297297297291</v>
      </c>
      <c r="EI275" s="72">
        <v>1406</v>
      </c>
    </row>
    <row r="276" spans="71:139" x14ac:dyDescent="0.35">
      <c r="BS276" s="486">
        <v>35010</v>
      </c>
      <c r="BT276" s="479" t="s">
        <v>304</v>
      </c>
      <c r="BU276" s="479">
        <v>4</v>
      </c>
      <c r="BV276" s="476" t="s">
        <v>1187</v>
      </c>
      <c r="BW276" s="476" t="s">
        <v>1187</v>
      </c>
      <c r="BX276" s="476" t="s">
        <v>1187</v>
      </c>
      <c r="BY276" s="476" t="s">
        <v>1187</v>
      </c>
      <c r="BZ276" s="476" t="s">
        <v>1187</v>
      </c>
      <c r="CA276" s="476" t="s">
        <v>1187</v>
      </c>
      <c r="CB276" s="476" t="s">
        <v>1187</v>
      </c>
      <c r="CC276" s="476" t="s">
        <v>1187</v>
      </c>
      <c r="CD276" s="476" t="s">
        <v>1187</v>
      </c>
      <c r="CE276" s="476" t="s">
        <v>1188</v>
      </c>
      <c r="CF276" s="476" t="s">
        <v>1188</v>
      </c>
      <c r="CG276" s="476" t="s">
        <v>1187</v>
      </c>
      <c r="CH276" s="476" t="s">
        <v>1187</v>
      </c>
      <c r="CI276" s="476" t="s">
        <v>1188</v>
      </c>
      <c r="CJ276" s="476" t="s">
        <v>1187</v>
      </c>
      <c r="CK276" s="476" t="s">
        <v>1187</v>
      </c>
      <c r="CL276" s="476" t="s">
        <v>1188</v>
      </c>
      <c r="CM276" s="476" t="str">
        <f>IF(VLOOKUP(BS276,'Données par municipalité'!$B$6:$E$1113,4,FALSE)="","non","oui")</f>
        <v>non</v>
      </c>
      <c r="CN276" s="410">
        <v>465.93408799308133</v>
      </c>
      <c r="CO276" s="410">
        <v>440.17969735182845</v>
      </c>
      <c r="CP276" s="410"/>
      <c r="CQ276" s="410"/>
      <c r="CR276" s="410">
        <v>381.62053983350739</v>
      </c>
      <c r="CS276" s="410" t="s">
        <v>1124</v>
      </c>
      <c r="CT276" s="410"/>
      <c r="CU276" s="410">
        <v>423</v>
      </c>
      <c r="CV276" s="410" t="str">
        <f>IF(VLOOKUP(BS276,'Données par municipalité'!$B$6:$F$1113,4,FALSE)="","",VLOOKUP(BS276,'Données par municipalité'!$B$6:$F$1113,4,FALSE))</f>
        <v/>
      </c>
      <c r="CW276" s="476" t="s">
        <v>4723</v>
      </c>
      <c r="CX276" s="483">
        <v>0</v>
      </c>
      <c r="CY276" s="483" t="s">
        <v>1124</v>
      </c>
      <c r="CZ276" s="483" t="s">
        <v>1124</v>
      </c>
      <c r="DA276" s="483">
        <v>0</v>
      </c>
      <c r="DB276" s="483" t="s">
        <v>1124</v>
      </c>
      <c r="DC276" s="483" t="s">
        <v>1124</v>
      </c>
      <c r="DD276" s="483">
        <v>0</v>
      </c>
      <c r="DE276" s="483" t="str">
        <f>IFERROR(SUM(VLOOKUP($BS276,'État &amp; Plan d''action'!$B$6:$Z$1113,18,FALSE),VLOOKUP($BS276,'État &amp; Plan d''action'!$B$6:$Z$1113,20,FALSE))/(VLOOKUP($BS276,'Données par municipalité'!$B$4:$L$1113,11,FALSE)),"")</f>
        <v/>
      </c>
      <c r="DF276" s="483" t="str">
        <f>IFERROR(SUM(VLOOKUP($BS276,'État &amp; Plan d''action'!$B$6:$Z$1113,19,FALSE),VLOOKUP($BS276,'État &amp; Plan d''action'!$B$6:$Z$1113,21,FALSE))/(VLOOKUP($BS276,'Données par municipalité'!$B$4:$L$1113,11,FALSE)),"")</f>
        <v/>
      </c>
      <c r="DG276" s="476" t="s">
        <v>4723</v>
      </c>
      <c r="DH276" s="484">
        <v>2</v>
      </c>
      <c r="DI276" s="484" t="s">
        <v>1124</v>
      </c>
      <c r="DJ276" s="484">
        <v>0</v>
      </c>
      <c r="DK276" s="484">
        <v>5</v>
      </c>
      <c r="DL276" s="484" t="s">
        <v>1124</v>
      </c>
      <c r="DM276" s="484" t="s">
        <v>1124</v>
      </c>
      <c r="DN276" s="484">
        <v>0</v>
      </c>
      <c r="DO276" s="484">
        <v>0</v>
      </c>
      <c r="DP276" s="484">
        <v>0</v>
      </c>
      <c r="DQ276" s="484" t="str">
        <f>IF(VLOOKUP($BS276,'État &amp; Plan d''action'!$B$6:$AJ$1113,28,FALSE)="","",VLOOKUP($BS276,'État &amp; Plan d''action'!$B$6:$AJ$1113,28,FALSE))</f>
        <v/>
      </c>
      <c r="DR276" s="70" t="str">
        <f>IF(VLOOKUP($BS276,'État &amp; Plan d''action'!$B$6:$AJ$1113,29,FALSE)="","",VLOOKUP($BS276,'État &amp; Plan d''action'!$B$6:$AJ$1113,29,FALSE))</f>
        <v/>
      </c>
      <c r="DS276" s="70" t="str">
        <f>IF(VLOOKUP($BS276,'État &amp; Plan d''action'!$B$6:$AJ$1113,30,FALSE)="","",VLOOKUP($BS276,'État &amp; Plan d''action'!$B$6:$AJ$1113,30,FALSE))</f>
        <v/>
      </c>
      <c r="DT276" s="70">
        <v>323</v>
      </c>
      <c r="DU276" s="485">
        <v>0.80358537293010956</v>
      </c>
      <c r="DV276" s="485" t="s">
        <v>1124</v>
      </c>
      <c r="DW276" s="70">
        <v>0</v>
      </c>
      <c r="DX276" s="70">
        <v>0</v>
      </c>
      <c r="DY276" s="70">
        <v>0</v>
      </c>
      <c r="DZ276" s="70" t="str">
        <f>VLOOKUP($BS276,'État &amp; Plan d''action'!$B$6:$AH$1113,31,FALSE)</f>
        <v/>
      </c>
      <c r="EA276" s="70" t="str">
        <f>VLOOKUP($BS276,'État &amp; Plan d''action'!$B$6:$AH$1113,32,FALSE)</f>
        <v/>
      </c>
      <c r="EB276" s="70" t="str">
        <f>VLOOKUP($BS276,'État &amp; Plan d''action'!$B$6:$AH$1113,33,FALSE)</f>
        <v/>
      </c>
      <c r="EC276" s="70">
        <v>0</v>
      </c>
      <c r="ED276" s="70">
        <v>0</v>
      </c>
      <c r="EE276" s="70">
        <v>0</v>
      </c>
      <c r="EF276" s="70">
        <v>0</v>
      </c>
      <c r="EG276" s="70">
        <v>0</v>
      </c>
      <c r="EH276" s="72">
        <v>59</v>
      </c>
      <c r="EI276" s="72">
        <v>1289</v>
      </c>
    </row>
    <row r="277" spans="71:139" x14ac:dyDescent="0.35">
      <c r="BS277" s="486">
        <v>22040</v>
      </c>
      <c r="BT277" s="479" t="s">
        <v>160</v>
      </c>
      <c r="BU277" s="479">
        <v>3</v>
      </c>
      <c r="BV277" s="476" t="s">
        <v>1187</v>
      </c>
      <c r="BW277" s="476" t="s">
        <v>1187</v>
      </c>
      <c r="BX277" s="476" t="s">
        <v>1187</v>
      </c>
      <c r="BY277" s="476" t="s">
        <v>1187</v>
      </c>
      <c r="BZ277" s="476" t="s">
        <v>1187</v>
      </c>
      <c r="CA277" s="476" t="s">
        <v>1187</v>
      </c>
      <c r="CB277" s="476" t="s">
        <v>1187</v>
      </c>
      <c r="CC277" s="476" t="s">
        <v>1187</v>
      </c>
      <c r="CD277" s="476" t="s">
        <v>1187</v>
      </c>
      <c r="CE277" s="476" t="s">
        <v>1188</v>
      </c>
      <c r="CF277" s="476" t="s">
        <v>1188</v>
      </c>
      <c r="CG277" s="476" t="s">
        <v>1188</v>
      </c>
      <c r="CH277" s="476" t="s">
        <v>1188</v>
      </c>
      <c r="CI277" s="476" t="s">
        <v>1188</v>
      </c>
      <c r="CJ277" s="476" t="s">
        <v>1188</v>
      </c>
      <c r="CK277" s="476" t="s">
        <v>1188</v>
      </c>
      <c r="CL277" s="476" t="s">
        <v>1188</v>
      </c>
      <c r="CM277" s="476" t="str">
        <f>IF(VLOOKUP(BS277,'Données par municipalité'!$B$6:$E$1113,4,FALSE)="","non","oui")</f>
        <v>oui</v>
      </c>
      <c r="CN277" s="410">
        <v>324.65292082525309</v>
      </c>
      <c r="CO277" s="410">
        <v>328.43275593046627</v>
      </c>
      <c r="CP277" s="410">
        <v>294.14211540595454</v>
      </c>
      <c r="CQ277" s="410">
        <v>282.33405789722036</v>
      </c>
      <c r="CR277" s="410">
        <v>288.30340482468881</v>
      </c>
      <c r="CS277" s="410">
        <v>306.90365140091683</v>
      </c>
      <c r="CT277" s="410">
        <v>375.6168941090682</v>
      </c>
      <c r="CU277" s="410">
        <v>283</v>
      </c>
      <c r="CV277" s="410">
        <f>IF(VLOOKUP(BS277,'Données par municipalité'!$B$6:$F$1113,4,FALSE)="","",VLOOKUP(BS277,'Données par municipalité'!$B$6:$F$1113,4,FALSE))</f>
        <v>276</v>
      </c>
      <c r="CW277" s="476" t="s">
        <v>4723</v>
      </c>
      <c r="CX277" s="483">
        <v>0</v>
      </c>
      <c r="CY277" s="483">
        <v>0</v>
      </c>
      <c r="CZ277" s="483">
        <v>0</v>
      </c>
      <c r="DA277" s="483">
        <v>0</v>
      </c>
      <c r="DB277" s="483">
        <v>0</v>
      </c>
      <c r="DC277" s="483">
        <v>0</v>
      </c>
      <c r="DD277" s="483">
        <v>0</v>
      </c>
      <c r="DE277" s="483">
        <f>IFERROR(SUM(VLOOKUP($BS277,'État &amp; Plan d''action'!$B$6:$Z$1113,18,FALSE),VLOOKUP($BS277,'État &amp; Plan d''action'!$B$6:$Z$1113,20,FALSE))/(VLOOKUP($BS277,'Données par municipalité'!$B$4:$L$1113,11,FALSE)),"")</f>
        <v>6.2774639045825489E-2</v>
      </c>
      <c r="DF277" s="483">
        <f>IFERROR(SUM(VLOOKUP($BS277,'État &amp; Plan d''action'!$B$6:$Z$1113,19,FALSE),VLOOKUP($BS277,'État &amp; Plan d''action'!$B$6:$Z$1113,21,FALSE))/(VLOOKUP($BS277,'Données par municipalité'!$B$4:$L$1113,11,FALSE)),"")</f>
        <v>0</v>
      </c>
      <c r="DG277" s="476" t="s">
        <v>4723</v>
      </c>
      <c r="DH277" s="484">
        <v>2</v>
      </c>
      <c r="DI277" s="484">
        <v>1</v>
      </c>
      <c r="DJ277" s="484">
        <v>3</v>
      </c>
      <c r="DK277" s="484">
        <v>1</v>
      </c>
      <c r="DL277" s="484">
        <v>1</v>
      </c>
      <c r="DM277" s="484">
        <v>3</v>
      </c>
      <c r="DN277" s="484">
        <v>1</v>
      </c>
      <c r="DO277" s="484">
        <v>0</v>
      </c>
      <c r="DP277" s="484">
        <v>0</v>
      </c>
      <c r="DQ277" s="484">
        <f>IF(VLOOKUP($BS277,'État &amp; Plan d''action'!$B$6:$AJ$1113,28,FALSE)="","",VLOOKUP($BS277,'État &amp; Plan d''action'!$B$6:$AJ$1113,28,FALSE))</f>
        <v>1</v>
      </c>
      <c r="DR277" s="70">
        <f>IF(VLOOKUP($BS277,'État &amp; Plan d''action'!$B$6:$AJ$1113,29,FALSE)="","",VLOOKUP($BS277,'État &amp; Plan d''action'!$B$6:$AJ$1113,29,FALSE))</f>
        <v>1</v>
      </c>
      <c r="DS277" s="70">
        <f>IF(VLOOKUP($BS277,'État &amp; Plan d''action'!$B$6:$AJ$1113,30,FALSE)="","",VLOOKUP($BS277,'État &amp; Plan d''action'!$B$6:$AJ$1113,30,FALSE))</f>
        <v>0</v>
      </c>
      <c r="DT277" s="70">
        <v>216</v>
      </c>
      <c r="DU277" s="485">
        <v>0.87909457112739142</v>
      </c>
      <c r="DV277" s="485">
        <v>1.3001279308184359</v>
      </c>
      <c r="DW277" s="70">
        <v>1</v>
      </c>
      <c r="DX277" s="70">
        <v>0</v>
      </c>
      <c r="DY277" s="70">
        <v>0</v>
      </c>
      <c r="DZ277" s="70">
        <f>VLOOKUP($BS277,'État &amp; Plan d''action'!$B$6:$AH$1113,31,FALSE)</f>
        <v>1</v>
      </c>
      <c r="EA277" s="70">
        <f>VLOOKUP($BS277,'État &amp; Plan d''action'!$B$6:$AH$1113,32,FALSE)</f>
        <v>1</v>
      </c>
      <c r="EB277" s="70">
        <f>VLOOKUP($BS277,'État &amp; Plan d''action'!$B$6:$AH$1113,33,FALSE)</f>
        <v>0</v>
      </c>
      <c r="EC277" s="70">
        <v>0</v>
      </c>
      <c r="ED277" s="70">
        <v>0</v>
      </c>
      <c r="EE277" s="70">
        <v>0</v>
      </c>
      <c r="EF277" s="70">
        <v>0</v>
      </c>
      <c r="EG277" s="70">
        <v>0</v>
      </c>
      <c r="EH277" s="72">
        <v>47</v>
      </c>
      <c r="EI277" s="72">
        <v>7934</v>
      </c>
    </row>
    <row r="278" spans="71:139" x14ac:dyDescent="0.35">
      <c r="BS278" s="486">
        <v>91005</v>
      </c>
      <c r="BT278" s="479" t="s">
        <v>937</v>
      </c>
      <c r="BU278" s="479">
        <v>2</v>
      </c>
      <c r="BV278" s="476" t="s">
        <v>1187</v>
      </c>
      <c r="BW278" s="476" t="s">
        <v>1187</v>
      </c>
      <c r="BX278" s="476" t="s">
        <v>1187</v>
      </c>
      <c r="BY278" s="476" t="s">
        <v>1187</v>
      </c>
      <c r="BZ278" s="476" t="s">
        <v>1187</v>
      </c>
      <c r="CA278" s="476" t="s">
        <v>1187</v>
      </c>
      <c r="CB278" s="476" t="s">
        <v>1187</v>
      </c>
      <c r="CC278" s="476" t="s">
        <v>1187</v>
      </c>
      <c r="CD278" s="476" t="s">
        <v>1187</v>
      </c>
      <c r="CE278" s="476" t="s">
        <v>1188</v>
      </c>
      <c r="CF278" s="476" t="s">
        <v>1188</v>
      </c>
      <c r="CG278" s="476" t="s">
        <v>1188</v>
      </c>
      <c r="CH278" s="476" t="s">
        <v>1188</v>
      </c>
      <c r="CI278" s="476" t="s">
        <v>1188</v>
      </c>
      <c r="CJ278" s="476" t="s">
        <v>1188</v>
      </c>
      <c r="CK278" s="476" t="s">
        <v>1188</v>
      </c>
      <c r="CL278" s="476" t="s">
        <v>1188</v>
      </c>
      <c r="CM278" s="476" t="str">
        <f>IF(VLOOKUP(BS278,'Données par municipalité'!$B$6:$E$1113,4,FALSE)="","non","oui")</f>
        <v>oui</v>
      </c>
      <c r="CN278" s="410">
        <v>466.123140608597</v>
      </c>
      <c r="CO278" s="410">
        <v>443.38764890020167</v>
      </c>
      <c r="CP278" s="410">
        <v>446.50609448305613</v>
      </c>
      <c r="CQ278" s="410">
        <v>484.88223204702336</v>
      </c>
      <c r="CR278" s="410">
        <v>492.47577414486904</v>
      </c>
      <c r="CS278" s="410">
        <v>422.85545776170187</v>
      </c>
      <c r="CT278" s="410">
        <v>459.17473747964647</v>
      </c>
      <c r="CU278" s="410">
        <v>422</v>
      </c>
      <c r="CV278" s="410">
        <f>IF(VLOOKUP(BS278,'Données par municipalité'!$B$6:$F$1113,4,FALSE)="","",VLOOKUP(BS278,'Données par municipalité'!$B$6:$F$1113,4,FALSE))</f>
        <v>422</v>
      </c>
      <c r="CW278" s="476" t="s">
        <v>4723</v>
      </c>
      <c r="CX278" s="483">
        <v>1</v>
      </c>
      <c r="CY278" s="483">
        <v>0</v>
      </c>
      <c r="CZ278" s="483">
        <v>0</v>
      </c>
      <c r="DA278" s="483">
        <v>0</v>
      </c>
      <c r="DB278" s="483">
        <v>0.3</v>
      </c>
      <c r="DC278" s="483">
        <v>0.25</v>
      </c>
      <c r="DD278" s="483">
        <v>0</v>
      </c>
      <c r="DE278" s="483">
        <f>IFERROR(SUM(VLOOKUP($BS278,'État &amp; Plan d''action'!$B$6:$Z$1113,18,FALSE),VLOOKUP($BS278,'État &amp; Plan d''action'!$B$6:$Z$1113,20,FALSE))/(VLOOKUP($BS278,'Données par municipalité'!$B$4:$L$1113,11,FALSE)),"")</f>
        <v>0</v>
      </c>
      <c r="DF278" s="483">
        <f>IFERROR(SUM(VLOOKUP($BS278,'État &amp; Plan d''action'!$B$6:$Z$1113,19,FALSE),VLOOKUP($BS278,'État &amp; Plan d''action'!$B$6:$Z$1113,21,FALSE))/(VLOOKUP($BS278,'Données par municipalité'!$B$4:$L$1113,11,FALSE)),"")</f>
        <v>0</v>
      </c>
      <c r="DG278" s="476" t="s">
        <v>4723</v>
      </c>
      <c r="DH278" s="484" t="s">
        <v>1124</v>
      </c>
      <c r="DI278" s="484" t="s">
        <v>1124</v>
      </c>
      <c r="DJ278" s="484">
        <v>0</v>
      </c>
      <c r="DK278" s="484">
        <v>0</v>
      </c>
      <c r="DL278" s="484">
        <v>1</v>
      </c>
      <c r="DM278" s="484">
        <v>1</v>
      </c>
      <c r="DN278" s="484">
        <v>1</v>
      </c>
      <c r="DO278" s="484">
        <v>0</v>
      </c>
      <c r="DP278" s="484">
        <v>0</v>
      </c>
      <c r="DQ278" s="484">
        <f>IF(VLOOKUP($BS278,'État &amp; Plan d''action'!$B$6:$AJ$1113,28,FALSE)="","",VLOOKUP($BS278,'État &amp; Plan d''action'!$B$6:$AJ$1113,28,FALSE))</f>
        <v>1</v>
      </c>
      <c r="DR278" s="70">
        <f>IF(VLOOKUP($BS278,'État &amp; Plan d''action'!$B$6:$AJ$1113,29,FALSE)="","",VLOOKUP($BS278,'État &amp; Plan d''action'!$B$6:$AJ$1113,29,FALSE))</f>
        <v>0</v>
      </c>
      <c r="DS278" s="70">
        <f>IF(VLOOKUP($BS278,'État &amp; Plan d''action'!$B$6:$AJ$1113,30,FALSE)="","",VLOOKUP($BS278,'État &amp; Plan d''action'!$B$6:$AJ$1113,30,FALSE))</f>
        <v>1</v>
      </c>
      <c r="DT278" s="70">
        <v>226</v>
      </c>
      <c r="DU278" s="485">
        <v>4.7693849754146909</v>
      </c>
      <c r="DV278" s="485">
        <v>4.1727976017675434</v>
      </c>
      <c r="DW278" s="70">
        <v>180</v>
      </c>
      <c r="DX278" s="70">
        <v>0</v>
      </c>
      <c r="DY278" s="70">
        <v>0</v>
      </c>
      <c r="DZ278" s="70">
        <f>VLOOKUP($BS278,'État &amp; Plan d''action'!$B$6:$AH$1113,31,FALSE)</f>
        <v>1</v>
      </c>
      <c r="EA278" s="70">
        <f>VLOOKUP($BS278,'État &amp; Plan d''action'!$B$6:$AH$1113,32,FALSE)</f>
        <v>0</v>
      </c>
      <c r="EB278" s="70">
        <f>VLOOKUP($BS278,'État &amp; Plan d''action'!$B$6:$AH$1113,33,FALSE)</f>
        <v>1</v>
      </c>
      <c r="EC278" s="70">
        <v>13.343999999999999</v>
      </c>
      <c r="ED278" s="70">
        <v>0</v>
      </c>
      <c r="EE278" s="70">
        <v>0</v>
      </c>
      <c r="EF278" s="70">
        <v>0</v>
      </c>
      <c r="EG278" s="70">
        <v>0</v>
      </c>
      <c r="EH278" s="72">
        <v>58.729729729729726</v>
      </c>
      <c r="EI278" s="72">
        <v>1166</v>
      </c>
    </row>
    <row r="279" spans="71:139" x14ac:dyDescent="0.35">
      <c r="BS279" s="486">
        <v>46075</v>
      </c>
      <c r="BT279" s="479" t="s">
        <v>439</v>
      </c>
      <c r="BU279" s="479">
        <v>5</v>
      </c>
      <c r="BV279" s="476" t="s">
        <v>1187</v>
      </c>
      <c r="BW279" s="476" t="s">
        <v>1187</v>
      </c>
      <c r="BX279" s="476" t="s">
        <v>1187</v>
      </c>
      <c r="BY279" s="476" t="s">
        <v>1187</v>
      </c>
      <c r="BZ279" s="476" t="s">
        <v>1187</v>
      </c>
      <c r="CA279" s="476" t="s">
        <v>1187</v>
      </c>
      <c r="CB279" s="476" t="s">
        <v>1187</v>
      </c>
      <c r="CC279" s="476" t="s">
        <v>1187</v>
      </c>
      <c r="CD279" s="476" t="s">
        <v>1187</v>
      </c>
      <c r="CE279" s="476" t="s">
        <v>1188</v>
      </c>
      <c r="CF279" s="476" t="s">
        <v>1188</v>
      </c>
      <c r="CG279" s="476" t="s">
        <v>1187</v>
      </c>
      <c r="CH279" s="476" t="s">
        <v>1188</v>
      </c>
      <c r="CI279" s="476" t="s">
        <v>1188</v>
      </c>
      <c r="CJ279" s="476" t="s">
        <v>1188</v>
      </c>
      <c r="CK279" s="476" t="s">
        <v>1188</v>
      </c>
      <c r="CL279" s="476" t="s">
        <v>1188</v>
      </c>
      <c r="CM279" s="476" t="str">
        <f>IF(VLOOKUP(BS279,'Données par municipalité'!$B$6:$E$1113,4,FALSE)="","non","oui")</f>
        <v>non</v>
      </c>
      <c r="CN279" s="410">
        <v>832.52851608873107</v>
      </c>
      <c r="CO279" s="410">
        <v>1015.2463997104284</v>
      </c>
      <c r="CP279" s="410"/>
      <c r="CQ279" s="410">
        <v>883.23794127765109</v>
      </c>
      <c r="CR279" s="410">
        <v>788.44381507983599</v>
      </c>
      <c r="CS279" s="410">
        <v>734.95945240547542</v>
      </c>
      <c r="CT279" s="410">
        <v>619.77976987130569</v>
      </c>
      <c r="CU279" s="410">
        <v>673</v>
      </c>
      <c r="CV279" s="410" t="str">
        <f>IF(VLOOKUP(BS279,'Données par municipalité'!$B$6:$F$1113,4,FALSE)="","",VLOOKUP(BS279,'Données par municipalité'!$B$6:$F$1113,4,FALSE))</f>
        <v/>
      </c>
      <c r="CW279" s="476" t="s">
        <v>4723</v>
      </c>
      <c r="CX279" s="483">
        <v>0</v>
      </c>
      <c r="CY279" s="483" t="s">
        <v>1124</v>
      </c>
      <c r="CZ279" s="483">
        <v>0</v>
      </c>
      <c r="DA279" s="483">
        <v>1</v>
      </c>
      <c r="DB279" s="483">
        <v>0</v>
      </c>
      <c r="DC279" s="483">
        <v>0</v>
      </c>
      <c r="DD279" s="483">
        <v>1</v>
      </c>
      <c r="DE279" s="483" t="str">
        <f>IFERROR(SUM(VLOOKUP($BS279,'État &amp; Plan d''action'!$B$6:$Z$1113,18,FALSE),VLOOKUP($BS279,'État &amp; Plan d''action'!$B$6:$Z$1113,20,FALSE))/(VLOOKUP($BS279,'Données par municipalité'!$B$4:$L$1113,11,FALSE)),"")</f>
        <v/>
      </c>
      <c r="DF279" s="483" t="str">
        <f>IFERROR(SUM(VLOOKUP($BS279,'État &amp; Plan d''action'!$B$6:$Z$1113,19,FALSE),VLOOKUP($BS279,'État &amp; Plan d''action'!$B$6:$Z$1113,21,FALSE))/(VLOOKUP($BS279,'Données par municipalité'!$B$4:$L$1113,11,FALSE)),"")</f>
        <v/>
      </c>
      <c r="DG279" s="476" t="s">
        <v>4723</v>
      </c>
      <c r="DH279" s="484">
        <v>1</v>
      </c>
      <c r="DI279" s="484" t="s">
        <v>1124</v>
      </c>
      <c r="DJ279" s="484">
        <v>6</v>
      </c>
      <c r="DK279" s="484">
        <v>2</v>
      </c>
      <c r="DL279" s="484">
        <v>5</v>
      </c>
      <c r="DM279" s="484">
        <v>11</v>
      </c>
      <c r="DN279" s="484">
        <v>2</v>
      </c>
      <c r="DO279" s="484">
        <v>13</v>
      </c>
      <c r="DP279" s="484">
        <v>2</v>
      </c>
      <c r="DQ279" s="484" t="str">
        <f>IF(VLOOKUP($BS279,'État &amp; Plan d''action'!$B$6:$AJ$1113,28,FALSE)="","",VLOOKUP($BS279,'État &amp; Plan d''action'!$B$6:$AJ$1113,28,FALSE))</f>
        <v/>
      </c>
      <c r="DR279" s="70" t="str">
        <f>IF(VLOOKUP($BS279,'État &amp; Plan d''action'!$B$6:$AJ$1113,29,FALSE)="","",VLOOKUP($BS279,'État &amp; Plan d''action'!$B$6:$AJ$1113,29,FALSE))</f>
        <v/>
      </c>
      <c r="DS279" s="70" t="str">
        <f>IF(VLOOKUP($BS279,'État &amp; Plan d''action'!$B$6:$AJ$1113,30,FALSE)="","",VLOOKUP($BS279,'État &amp; Plan d''action'!$B$6:$AJ$1113,30,FALSE))</f>
        <v/>
      </c>
      <c r="DT279" s="70">
        <v>330</v>
      </c>
      <c r="DU279" s="485">
        <v>3.737563027337889</v>
      </c>
      <c r="DV279" s="485" t="s">
        <v>1124</v>
      </c>
      <c r="DW279" s="70">
        <v>1</v>
      </c>
      <c r="DX279" s="70">
        <v>3</v>
      </c>
      <c r="DY279" s="70">
        <v>10</v>
      </c>
      <c r="DZ279" s="70" t="str">
        <f>VLOOKUP($BS279,'État &amp; Plan d''action'!$B$6:$AH$1113,31,FALSE)</f>
        <v/>
      </c>
      <c r="EA279" s="70" t="str">
        <f>VLOOKUP($BS279,'État &amp; Plan d''action'!$B$6:$AH$1113,32,FALSE)</f>
        <v/>
      </c>
      <c r="EB279" s="70" t="str">
        <f>VLOOKUP($BS279,'État &amp; Plan d''action'!$B$6:$AH$1113,33,FALSE)</f>
        <v/>
      </c>
      <c r="EC279" s="70">
        <v>12</v>
      </c>
      <c r="ED279" s="70">
        <v>47.540999999999997</v>
      </c>
      <c r="EE279" s="70">
        <v>0</v>
      </c>
      <c r="EF279" s="70">
        <v>0</v>
      </c>
      <c r="EG279" s="70">
        <v>0</v>
      </c>
      <c r="EH279" s="72">
        <v>56</v>
      </c>
      <c r="EI279" s="72">
        <v>5623</v>
      </c>
    </row>
    <row r="280" spans="71:139" x14ac:dyDescent="0.35">
      <c r="BS280" s="486">
        <v>22030</v>
      </c>
      <c r="BT280" s="479" t="s">
        <v>158</v>
      </c>
      <c r="BU280" s="479">
        <v>3</v>
      </c>
      <c r="BV280" s="476" t="s">
        <v>1187</v>
      </c>
      <c r="BW280" s="476" t="s">
        <v>1187</v>
      </c>
      <c r="BX280" s="476" t="s">
        <v>1187</v>
      </c>
      <c r="BY280" s="476" t="s">
        <v>1187</v>
      </c>
      <c r="BZ280" s="476" t="s">
        <v>1187</v>
      </c>
      <c r="CA280" s="476" t="s">
        <v>1187</v>
      </c>
      <c r="CB280" s="476" t="s">
        <v>1187</v>
      </c>
      <c r="CC280" s="476" t="s">
        <v>1187</v>
      </c>
      <c r="CD280" s="476" t="s">
        <v>1187</v>
      </c>
      <c r="CE280" s="476" t="s">
        <v>1188</v>
      </c>
      <c r="CF280" s="476" t="s">
        <v>1188</v>
      </c>
      <c r="CG280" s="476" t="s">
        <v>1187</v>
      </c>
      <c r="CH280" s="476" t="s">
        <v>1188</v>
      </c>
      <c r="CI280" s="476" t="s">
        <v>1188</v>
      </c>
      <c r="CJ280" s="476" t="s">
        <v>1188</v>
      </c>
      <c r="CK280" s="476" t="s">
        <v>1188</v>
      </c>
      <c r="CL280" s="476" t="s">
        <v>1188</v>
      </c>
      <c r="CM280" s="476" t="str">
        <f>IF(VLOOKUP(BS280,'Données par municipalité'!$B$6:$E$1113,4,FALSE)="","non","oui")</f>
        <v>oui</v>
      </c>
      <c r="CN280" s="410">
        <v>852.46606033944784</v>
      </c>
      <c r="CO280" s="410">
        <v>368.79383951983482</v>
      </c>
      <c r="CP280" s="410"/>
      <c r="CQ280" s="410">
        <v>347.74191796340045</v>
      </c>
      <c r="CR280" s="410">
        <v>369.92579908675799</v>
      </c>
      <c r="CS280" s="410">
        <v>322.67943471328664</v>
      </c>
      <c r="CT280" s="410">
        <v>245.9352657554017</v>
      </c>
      <c r="CU280" s="410">
        <v>267</v>
      </c>
      <c r="CV280" s="410">
        <f>IF(VLOOKUP(BS280,'Données par municipalité'!$B$6:$F$1113,4,FALSE)="","",VLOOKUP(BS280,'Données par municipalité'!$B$6:$F$1113,4,FALSE))</f>
        <v>274</v>
      </c>
      <c r="CW280" s="476" t="s">
        <v>4723</v>
      </c>
      <c r="CX280" s="483">
        <v>1</v>
      </c>
      <c r="CY280" s="483" t="s">
        <v>1124</v>
      </c>
      <c r="CZ280" s="483">
        <v>1</v>
      </c>
      <c r="DA280" s="483">
        <v>1</v>
      </c>
      <c r="DB280" s="483">
        <v>1</v>
      </c>
      <c r="DC280" s="483">
        <v>1</v>
      </c>
      <c r="DD280" s="483">
        <v>1</v>
      </c>
      <c r="DE280" s="483">
        <f>IFERROR(SUM(VLOOKUP($BS280,'État &amp; Plan d''action'!$B$6:$Z$1113,18,FALSE),VLOOKUP($BS280,'État &amp; Plan d''action'!$B$6:$Z$1113,20,FALSE))/(VLOOKUP($BS280,'Données par municipalité'!$B$4:$L$1113,11,FALSE)),"")</f>
        <v>1</v>
      </c>
      <c r="DF280" s="483">
        <f>IFERROR(SUM(VLOOKUP($BS280,'État &amp; Plan d''action'!$B$6:$Z$1113,19,FALSE),VLOOKUP($BS280,'État &amp; Plan d''action'!$B$6:$Z$1113,21,FALSE))/(VLOOKUP($BS280,'Données par municipalité'!$B$4:$L$1113,11,FALSE)),"")</f>
        <v>1</v>
      </c>
      <c r="DG280" s="476" t="s">
        <v>4723</v>
      </c>
      <c r="DH280" s="484">
        <v>2</v>
      </c>
      <c r="DI280" s="484" t="s">
        <v>1124</v>
      </c>
      <c r="DJ280" s="484">
        <v>2</v>
      </c>
      <c r="DK280" s="484">
        <v>3</v>
      </c>
      <c r="DL280" s="484">
        <v>1</v>
      </c>
      <c r="DM280" s="484">
        <v>1</v>
      </c>
      <c r="DN280" s="484">
        <v>0</v>
      </c>
      <c r="DO280" s="484">
        <v>0</v>
      </c>
      <c r="DP280" s="484">
        <v>2</v>
      </c>
      <c r="DQ280" s="484">
        <f>IF(VLOOKUP($BS280,'État &amp; Plan d''action'!$B$6:$AJ$1113,28,FALSE)="","",VLOOKUP($BS280,'État &amp; Plan d''action'!$B$6:$AJ$1113,28,FALSE))</f>
        <v>1</v>
      </c>
      <c r="DR280" s="70">
        <f>IF(VLOOKUP($BS280,'État &amp; Plan d''action'!$B$6:$AJ$1113,29,FALSE)="","",VLOOKUP($BS280,'État &amp; Plan d''action'!$B$6:$AJ$1113,29,FALSE))</f>
        <v>1</v>
      </c>
      <c r="DS280" s="70">
        <f>IF(VLOOKUP($BS280,'État &amp; Plan d''action'!$B$6:$AJ$1113,30,FALSE)="","",VLOOKUP($BS280,'État &amp; Plan d''action'!$B$6:$AJ$1113,30,FALSE))</f>
        <v>1</v>
      </c>
      <c r="DT280" s="70">
        <v>232</v>
      </c>
      <c r="DU280" s="485">
        <v>1.3172838988343658</v>
      </c>
      <c r="DV280" s="485">
        <v>1.3172541816012115</v>
      </c>
      <c r="DW280" s="70">
        <v>0</v>
      </c>
      <c r="DX280" s="70">
        <v>0</v>
      </c>
      <c r="DY280" s="70">
        <v>3</v>
      </c>
      <c r="DZ280" s="70">
        <f>VLOOKUP($BS280,'État &amp; Plan d''action'!$B$6:$AH$1113,31,FALSE)</f>
        <v>1</v>
      </c>
      <c r="EA280" s="70">
        <f>VLOOKUP($BS280,'État &amp; Plan d''action'!$B$6:$AH$1113,32,FALSE)</f>
        <v>1</v>
      </c>
      <c r="EB280" s="70">
        <f>VLOOKUP($BS280,'État &amp; Plan d''action'!$B$6:$AH$1113,33,FALSE)</f>
        <v>1</v>
      </c>
      <c r="EC280" s="70">
        <v>0</v>
      </c>
      <c r="ED280" s="70">
        <v>6.2809999999999997</v>
      </c>
      <c r="EE280" s="70">
        <v>0</v>
      </c>
      <c r="EF280" s="70">
        <v>0</v>
      </c>
      <c r="EG280" s="70">
        <v>0</v>
      </c>
      <c r="EH280" s="72">
        <v>59</v>
      </c>
      <c r="EI280" s="72">
        <v>674</v>
      </c>
    </row>
    <row r="281" spans="71:139" x14ac:dyDescent="0.35">
      <c r="BS281" s="486">
        <v>13060</v>
      </c>
      <c r="BT281" s="479" t="s">
        <v>51</v>
      </c>
      <c r="BU281" s="479">
        <v>1</v>
      </c>
      <c r="BV281" s="476" t="s">
        <v>1187</v>
      </c>
      <c r="BW281" s="476" t="s">
        <v>1187</v>
      </c>
      <c r="BX281" s="476" t="s">
        <v>1187</v>
      </c>
      <c r="BY281" s="476" t="s">
        <v>1187</v>
      </c>
      <c r="BZ281" s="476" t="s">
        <v>1187</v>
      </c>
      <c r="CA281" s="476" t="s">
        <v>1187</v>
      </c>
      <c r="CB281" s="476" t="s">
        <v>1187</v>
      </c>
      <c r="CC281" s="476" t="s">
        <v>1187</v>
      </c>
      <c r="CD281" s="476" t="s">
        <v>1187</v>
      </c>
      <c r="CE281" s="476" t="s">
        <v>1187</v>
      </c>
      <c r="CF281" s="476" t="s">
        <v>1187</v>
      </c>
      <c r="CG281" s="476" t="s">
        <v>1187</v>
      </c>
      <c r="CH281" s="476" t="s">
        <v>1187</v>
      </c>
      <c r="CI281" s="476" t="s">
        <v>1188</v>
      </c>
      <c r="CJ281" s="476" t="s">
        <v>1188</v>
      </c>
      <c r="CK281" s="476" t="s">
        <v>1188</v>
      </c>
      <c r="CL281" s="476" t="s">
        <v>1188</v>
      </c>
      <c r="CM281" s="476" t="str">
        <f>IF(VLOOKUP(BS281,'Données par municipalité'!$B$6:$E$1113,4,FALSE)="","non","oui")</f>
        <v>oui</v>
      </c>
      <c r="CN281" s="410" t="s">
        <v>1124</v>
      </c>
      <c r="CO281" s="410" t="s">
        <v>1124</v>
      </c>
      <c r="CP281" s="410"/>
      <c r="CQ281" s="410"/>
      <c r="CR281" s="410">
        <v>279.70006081977499</v>
      </c>
      <c r="CS281" s="410">
        <v>276.00825611784273</v>
      </c>
      <c r="CT281" s="410">
        <v>283.70165487434866</v>
      </c>
      <c r="CU281" s="410">
        <v>272</v>
      </c>
      <c r="CV281" s="410">
        <f>IF(VLOOKUP(BS281,'Données par municipalité'!$B$6:$F$1113,4,FALSE)="","",VLOOKUP(BS281,'Données par municipalité'!$B$6:$F$1113,4,FALSE))</f>
        <v>343</v>
      </c>
      <c r="CW281" s="476" t="s">
        <v>4723</v>
      </c>
      <c r="CX281" s="483" t="s">
        <v>1124</v>
      </c>
      <c r="CY281" s="483" t="s">
        <v>1124</v>
      </c>
      <c r="CZ281" s="483" t="s">
        <v>1124</v>
      </c>
      <c r="DA281" s="483">
        <v>0</v>
      </c>
      <c r="DB281" s="483">
        <v>0</v>
      </c>
      <c r="DC281" s="483">
        <v>0</v>
      </c>
      <c r="DD281" s="483">
        <v>0</v>
      </c>
      <c r="DE281" s="483">
        <f>IFERROR(SUM(VLOOKUP($BS281,'État &amp; Plan d''action'!$B$6:$Z$1113,18,FALSE),VLOOKUP($BS281,'État &amp; Plan d''action'!$B$6:$Z$1113,20,FALSE))/(VLOOKUP($BS281,'Données par municipalité'!$B$4:$L$1113,11,FALSE)),"")</f>
        <v>0</v>
      </c>
      <c r="DF281" s="483">
        <f>IFERROR(SUM(VLOOKUP($BS281,'État &amp; Plan d''action'!$B$6:$Z$1113,19,FALSE),VLOOKUP($BS281,'État &amp; Plan d''action'!$B$6:$Z$1113,21,FALSE))/(VLOOKUP($BS281,'Données par municipalité'!$B$4:$L$1113,11,FALSE)),"")</f>
        <v>0</v>
      </c>
      <c r="DG281" s="476" t="s">
        <v>4723</v>
      </c>
      <c r="DH281" s="484" t="s">
        <v>1124</v>
      </c>
      <c r="DI281" s="484" t="s">
        <v>1124</v>
      </c>
      <c r="DJ281" s="484">
        <v>0</v>
      </c>
      <c r="DK281" s="484">
        <v>0</v>
      </c>
      <c r="DL281" s="484">
        <v>0</v>
      </c>
      <c r="DM281" s="484">
        <v>0</v>
      </c>
      <c r="DN281" s="484">
        <v>0</v>
      </c>
      <c r="DO281" s="484">
        <v>0</v>
      </c>
      <c r="DP281" s="484">
        <v>0</v>
      </c>
      <c r="DQ281" s="484">
        <f>IF(VLOOKUP($BS281,'État &amp; Plan d''action'!$B$6:$AJ$1113,28,FALSE)="","",VLOOKUP($BS281,'État &amp; Plan d''action'!$B$6:$AJ$1113,28,FALSE))</f>
        <v>0</v>
      </c>
      <c r="DR281" s="70">
        <f>IF(VLOOKUP($BS281,'État &amp; Plan d''action'!$B$6:$AJ$1113,29,FALSE)="","",VLOOKUP($BS281,'État &amp; Plan d''action'!$B$6:$AJ$1113,29,FALSE))</f>
        <v>0</v>
      </c>
      <c r="DS281" s="70">
        <f>IF(VLOOKUP($BS281,'État &amp; Plan d''action'!$B$6:$AJ$1113,30,FALSE)="","",VLOOKUP($BS281,'État &amp; Plan d''action'!$B$6:$AJ$1113,30,FALSE))</f>
        <v>0</v>
      </c>
      <c r="DT281" s="70">
        <v>204</v>
      </c>
      <c r="DU281" s="485">
        <v>0.86752657593608229</v>
      </c>
      <c r="DV281" s="485">
        <v>0.57687592922266995</v>
      </c>
      <c r="DW281" s="70">
        <v>0</v>
      </c>
      <c r="DX281" s="70">
        <v>0</v>
      </c>
      <c r="DY281" s="70">
        <v>0</v>
      </c>
      <c r="DZ281" s="70">
        <f>VLOOKUP($BS281,'État &amp; Plan d''action'!$B$6:$AH$1113,31,FALSE)</f>
        <v>0</v>
      </c>
      <c r="EA281" s="70">
        <f>VLOOKUP($BS281,'État &amp; Plan d''action'!$B$6:$AH$1113,32,FALSE)</f>
        <v>0</v>
      </c>
      <c r="EB281" s="70">
        <f>VLOOKUP($BS281,'État &amp; Plan d''action'!$B$6:$AH$1113,33,FALSE)</f>
        <v>0</v>
      </c>
      <c r="EC281" s="70">
        <v>0</v>
      </c>
      <c r="ED281" s="70">
        <v>0</v>
      </c>
      <c r="EE281" s="70">
        <v>0</v>
      </c>
      <c r="EF281" s="70">
        <v>0</v>
      </c>
      <c r="EG281" s="70">
        <v>0</v>
      </c>
      <c r="EH281" s="72">
        <v>58</v>
      </c>
      <c r="EI281" s="72">
        <v>519</v>
      </c>
    </row>
    <row r="282" spans="71:139" x14ac:dyDescent="0.35">
      <c r="BS282" s="486">
        <v>79078</v>
      </c>
      <c r="BT282" s="479" t="s">
        <v>797</v>
      </c>
      <c r="BU282" s="479">
        <v>15</v>
      </c>
      <c r="BV282" s="476" t="s">
        <v>1187</v>
      </c>
      <c r="BW282" s="476" t="s">
        <v>1187</v>
      </c>
      <c r="BX282" s="476" t="s">
        <v>1187</v>
      </c>
      <c r="BY282" s="476" t="s">
        <v>1187</v>
      </c>
      <c r="BZ282" s="476" t="s">
        <v>1187</v>
      </c>
      <c r="CA282" s="476" t="s">
        <v>1187</v>
      </c>
      <c r="CB282" s="476" t="s">
        <v>1187</v>
      </c>
      <c r="CC282" s="476" t="s">
        <v>1187</v>
      </c>
      <c r="CD282" s="476" t="s">
        <v>1187</v>
      </c>
      <c r="CE282" s="476" t="s">
        <v>1188</v>
      </c>
      <c r="CF282" s="476" t="s">
        <v>1188</v>
      </c>
      <c r="CG282" s="476" t="s">
        <v>1187</v>
      </c>
      <c r="CH282" s="476" t="s">
        <v>1188</v>
      </c>
      <c r="CI282" s="476" t="s">
        <v>1188</v>
      </c>
      <c r="CJ282" s="476" t="s">
        <v>1188</v>
      </c>
      <c r="CK282" s="476" t="s">
        <v>1188</v>
      </c>
      <c r="CL282" s="476" t="s">
        <v>1188</v>
      </c>
      <c r="CM282" s="476" t="str">
        <f>IF(VLOOKUP(BS282,'Données par municipalité'!$B$6:$E$1113,4,FALSE)="","non","oui")</f>
        <v>oui</v>
      </c>
      <c r="CN282" s="410">
        <v>859.72564264785774</v>
      </c>
      <c r="CO282" s="410">
        <v>721.86828743830154</v>
      </c>
      <c r="CP282" s="410"/>
      <c r="CQ282" s="410">
        <v>806.26658674445071</v>
      </c>
      <c r="CR282" s="410">
        <v>860.99444923153931</v>
      </c>
      <c r="CS282" s="410">
        <v>386.93890554674408</v>
      </c>
      <c r="CT282" s="410">
        <v>378.42328803643227</v>
      </c>
      <c r="CU282" s="410">
        <v>493</v>
      </c>
      <c r="CV282" s="410">
        <f>IF(VLOOKUP(BS282,'Données par municipalité'!$B$6:$F$1113,4,FALSE)="","",VLOOKUP(BS282,'Données par municipalité'!$B$6:$F$1113,4,FALSE))</f>
        <v>358</v>
      </c>
      <c r="CW282" s="476" t="s">
        <v>4723</v>
      </c>
      <c r="CX282" s="483">
        <v>0</v>
      </c>
      <c r="CY282" s="483" t="s">
        <v>1124</v>
      </c>
      <c r="CZ282" s="483">
        <v>1</v>
      </c>
      <c r="DA282" s="483">
        <v>0</v>
      </c>
      <c r="DB282" s="483">
        <v>1</v>
      </c>
      <c r="DC282" s="483">
        <v>1</v>
      </c>
      <c r="DD282" s="483">
        <v>0.99999999999999989</v>
      </c>
      <c r="DE282" s="483">
        <f>IFERROR(SUM(VLOOKUP($BS282,'État &amp; Plan d''action'!$B$6:$Z$1113,18,FALSE),VLOOKUP($BS282,'État &amp; Plan d''action'!$B$6:$Z$1113,20,FALSE))/(VLOOKUP($BS282,'Données par municipalité'!$B$4:$L$1113,11,FALSE)),"")</f>
        <v>0.9979435152179873</v>
      </c>
      <c r="DF282" s="483">
        <f>IFERROR(SUM(VLOOKUP($BS282,'État &amp; Plan d''action'!$B$6:$Z$1113,19,FALSE),VLOOKUP($BS282,'État &amp; Plan d''action'!$B$6:$Z$1113,21,FALSE))/(VLOOKUP($BS282,'Données par municipalité'!$B$4:$L$1113,11,FALSE)),"")</f>
        <v>0.9979435152179873</v>
      </c>
      <c r="DG282" s="476" t="s">
        <v>4723</v>
      </c>
      <c r="DH282" s="484">
        <v>5</v>
      </c>
      <c r="DI282" s="484">
        <v>2</v>
      </c>
      <c r="DJ282" s="484">
        <v>0</v>
      </c>
      <c r="DK282" s="484">
        <v>4</v>
      </c>
      <c r="DL282" s="484">
        <v>2</v>
      </c>
      <c r="DM282" s="484">
        <v>2</v>
      </c>
      <c r="DN282" s="484">
        <v>4</v>
      </c>
      <c r="DO282" s="484">
        <v>0</v>
      </c>
      <c r="DP282" s="484">
        <v>0</v>
      </c>
      <c r="DQ282" s="484">
        <f>IF(VLOOKUP($BS282,'État &amp; Plan d''action'!$B$6:$AJ$1113,28,FALSE)="","",VLOOKUP($BS282,'État &amp; Plan d''action'!$B$6:$AJ$1113,28,FALSE))</f>
        <v>0</v>
      </c>
      <c r="DR282" s="70">
        <f>IF(VLOOKUP($BS282,'État &amp; Plan d''action'!$B$6:$AJ$1113,29,FALSE)="","",VLOOKUP($BS282,'État &amp; Plan d''action'!$B$6:$AJ$1113,29,FALSE))</f>
        <v>0</v>
      </c>
      <c r="DS282" s="70">
        <f>IF(VLOOKUP($BS282,'État &amp; Plan d''action'!$B$6:$AJ$1113,30,FALSE)="","",VLOOKUP($BS282,'État &amp; Plan d''action'!$B$6:$AJ$1113,30,FALSE))</f>
        <v>5</v>
      </c>
      <c r="DT282" s="70">
        <v>217</v>
      </c>
      <c r="DU282" s="485">
        <v>5.839466866102577</v>
      </c>
      <c r="DV282" s="485">
        <v>3.9363062605096029</v>
      </c>
      <c r="DW282" s="70">
        <v>2</v>
      </c>
      <c r="DX282" s="70">
        <v>0</v>
      </c>
      <c r="DY282" s="70">
        <v>0</v>
      </c>
      <c r="DZ282" s="70">
        <f>VLOOKUP($BS282,'État &amp; Plan d''action'!$B$6:$AH$1113,31,FALSE)</f>
        <v>0</v>
      </c>
      <c r="EA282" s="70">
        <f>VLOOKUP($BS282,'État &amp; Plan d''action'!$B$6:$AH$1113,32,FALSE)</f>
        <v>0</v>
      </c>
      <c r="EB282" s="70">
        <f>VLOOKUP($BS282,'État &amp; Plan d''action'!$B$6:$AH$1113,33,FALSE)</f>
        <v>1</v>
      </c>
      <c r="EC282" s="70">
        <v>14.587999999999999</v>
      </c>
      <c r="ED282" s="70">
        <v>14.587999999999999</v>
      </c>
      <c r="EE282" s="70">
        <v>0</v>
      </c>
      <c r="EF282" s="70">
        <v>0</v>
      </c>
      <c r="EG282" s="70">
        <v>0</v>
      </c>
      <c r="EH282" s="72">
        <v>57.718100277917792</v>
      </c>
      <c r="EI282" s="72">
        <v>2791</v>
      </c>
    </row>
    <row r="283" spans="71:139" x14ac:dyDescent="0.35">
      <c r="BS283" s="486">
        <v>80130</v>
      </c>
      <c r="BT283" s="479" t="s">
        <v>823</v>
      </c>
      <c r="BU283" s="479">
        <v>7</v>
      </c>
      <c r="BV283" s="476" t="s">
        <v>1188</v>
      </c>
      <c r="BW283" s="476" t="s">
        <v>1188</v>
      </c>
      <c r="BX283" s="476" t="s">
        <v>1188</v>
      </c>
      <c r="BY283" s="476" t="s">
        <v>1188</v>
      </c>
      <c r="BZ283" s="476" t="s">
        <v>1188</v>
      </c>
      <c r="CA283" s="476" t="s">
        <v>1188</v>
      </c>
      <c r="CB283" s="476" t="s">
        <v>1188</v>
      </c>
      <c r="CC283" s="476" t="s">
        <v>1188</v>
      </c>
      <c r="CD283" s="476" t="s">
        <v>1188</v>
      </c>
      <c r="CE283" s="476" t="s">
        <v>1188</v>
      </c>
      <c r="CF283" s="476" t="s">
        <v>1188</v>
      </c>
      <c r="CG283" s="476" t="s">
        <v>1188</v>
      </c>
      <c r="CH283" s="476" t="s">
        <v>1188</v>
      </c>
      <c r="CI283" s="476" t="s">
        <v>1188</v>
      </c>
      <c r="CJ283" s="476" t="s">
        <v>1187</v>
      </c>
      <c r="CK283" s="476" t="s">
        <v>1187</v>
      </c>
      <c r="CL283" s="476" t="s">
        <v>1187</v>
      </c>
      <c r="CM283" s="476" t="str">
        <f>IF(VLOOKUP(BS283,'Données par municipalité'!$B$6:$E$1113,4,FALSE)="","non","oui")</f>
        <v>non</v>
      </c>
      <c r="CN283" s="410">
        <v>329.3329362715902</v>
      </c>
      <c r="CO283" s="410">
        <v>493.20897517500589</v>
      </c>
      <c r="CP283" s="410">
        <v>464.95122802226979</v>
      </c>
      <c r="CQ283" s="410">
        <v>378.20372678930096</v>
      </c>
      <c r="CR283" s="410">
        <v>546.80073024903402</v>
      </c>
      <c r="CS283" s="410" t="s">
        <v>1124</v>
      </c>
      <c r="CT283" s="410"/>
      <c r="CU283" s="410" t="s">
        <v>1124</v>
      </c>
      <c r="CV283" s="410" t="str">
        <f>IF(VLOOKUP(BS283,'Données par municipalité'!$B$6:$F$1113,4,FALSE)="","",VLOOKUP(BS283,'Données par municipalité'!$B$6:$F$1113,4,FALSE))</f>
        <v/>
      </c>
      <c r="CW283" s="476" t="s">
        <v>4723</v>
      </c>
      <c r="CX283" s="483" t="s">
        <v>1124</v>
      </c>
      <c r="CY283" s="483">
        <v>0</v>
      </c>
      <c r="CZ283" s="483">
        <v>0</v>
      </c>
      <c r="DA283" s="483">
        <v>0</v>
      </c>
      <c r="DB283" s="483" t="s">
        <v>1124</v>
      </c>
      <c r="DC283" s="483" t="s">
        <v>1124</v>
      </c>
      <c r="DD283" s="483" t="s">
        <v>1124</v>
      </c>
      <c r="DE283" s="483" t="str">
        <f>IFERROR(SUM(VLOOKUP($BS283,'État &amp; Plan d''action'!$B$6:$Z$1113,18,FALSE),VLOOKUP($BS283,'État &amp; Plan d''action'!$B$6:$Z$1113,20,FALSE))/(VLOOKUP($BS283,'Données par municipalité'!$B$4:$L$1113,11,FALSE)),"")</f>
        <v/>
      </c>
      <c r="DF283" s="483" t="str">
        <f>IFERROR(SUM(VLOOKUP($BS283,'État &amp; Plan d''action'!$B$6:$Z$1113,19,FALSE),VLOOKUP($BS283,'État &amp; Plan d''action'!$B$6:$Z$1113,21,FALSE))/(VLOOKUP($BS283,'Données par municipalité'!$B$4:$L$1113,11,FALSE)),"")</f>
        <v/>
      </c>
      <c r="DG283" s="476" t="s">
        <v>4723</v>
      </c>
      <c r="DH283" s="484" t="s">
        <v>1124</v>
      </c>
      <c r="DI283" s="484" t="s">
        <v>1124</v>
      </c>
      <c r="DJ283" s="484">
        <v>0</v>
      </c>
      <c r="DK283" s="484">
        <v>0</v>
      </c>
      <c r="DL283" s="484" t="s">
        <v>1124</v>
      </c>
      <c r="DM283" s="484" t="s">
        <v>1124</v>
      </c>
      <c r="DN283" s="484" t="s">
        <v>1124</v>
      </c>
      <c r="DO283" s="484" t="s">
        <v>1124</v>
      </c>
      <c r="DP283" s="484" t="s">
        <v>1124</v>
      </c>
      <c r="DQ283" s="484" t="str">
        <f>IF(VLOOKUP($BS283,'État &amp; Plan d''action'!$B$6:$AJ$1113,28,FALSE)="","",VLOOKUP($BS283,'État &amp; Plan d''action'!$B$6:$AJ$1113,28,FALSE))</f>
        <v/>
      </c>
      <c r="DR283" s="70" t="str">
        <f>IF(VLOOKUP($BS283,'État &amp; Plan d''action'!$B$6:$AJ$1113,29,FALSE)="","",VLOOKUP($BS283,'État &amp; Plan d''action'!$B$6:$AJ$1113,29,FALSE))</f>
        <v/>
      </c>
      <c r="DS283" s="70" t="str">
        <f>IF(VLOOKUP($BS283,'État &amp; Plan d''action'!$B$6:$AJ$1113,30,FALSE)="","",VLOOKUP($BS283,'État &amp; Plan d''action'!$B$6:$AJ$1113,30,FALSE))</f>
        <v/>
      </c>
      <c r="DT283" s="70" t="s">
        <v>1124</v>
      </c>
      <c r="DU283" s="485" t="s">
        <v>1124</v>
      </c>
      <c r="DV283" s="485" t="s">
        <v>1124</v>
      </c>
      <c r="DW283" s="70" t="s">
        <v>1124</v>
      </c>
      <c r="DX283" s="70" t="s">
        <v>1124</v>
      </c>
      <c r="DY283" s="70" t="s">
        <v>1124</v>
      </c>
      <c r="DZ283" s="70" t="str">
        <f>VLOOKUP($BS283,'État &amp; Plan d''action'!$B$6:$AH$1113,31,FALSE)</f>
        <v/>
      </c>
      <c r="EA283" s="70" t="str">
        <f>VLOOKUP($BS283,'État &amp; Plan d''action'!$B$6:$AH$1113,32,FALSE)</f>
        <v/>
      </c>
      <c r="EB283" s="70" t="str">
        <f>VLOOKUP($BS283,'État &amp; Plan d''action'!$B$6:$AH$1113,33,FALSE)</f>
        <v/>
      </c>
      <c r="EC283" s="70" t="s">
        <v>1124</v>
      </c>
      <c r="ED283" s="70" t="s">
        <v>1124</v>
      </c>
      <c r="EE283" s="70" t="s">
        <v>1124</v>
      </c>
      <c r="EF283" s="70" t="s">
        <v>1124</v>
      </c>
      <c r="EG283" s="70" t="s">
        <v>1124</v>
      </c>
      <c r="EH283" s="72"/>
      <c r="EI283" s="72">
        <v>449</v>
      </c>
    </row>
    <row r="284" spans="71:139" x14ac:dyDescent="0.35">
      <c r="BS284" s="486">
        <v>77055</v>
      </c>
      <c r="BT284" s="479" t="s">
        <v>763</v>
      </c>
      <c r="BU284" s="479">
        <v>15</v>
      </c>
      <c r="BV284" s="476" t="s">
        <v>1188</v>
      </c>
      <c r="BW284" s="476" t="s">
        <v>1188</v>
      </c>
      <c r="BX284" s="476" t="s">
        <v>1188</v>
      </c>
      <c r="BY284" s="476" t="s">
        <v>1188</v>
      </c>
      <c r="BZ284" s="476" t="s">
        <v>1188</v>
      </c>
      <c r="CA284" s="476" t="s">
        <v>1188</v>
      </c>
      <c r="CB284" s="476" t="s">
        <v>1188</v>
      </c>
      <c r="CC284" s="476" t="s">
        <v>1188</v>
      </c>
      <c r="CD284" s="476" t="s">
        <v>1188</v>
      </c>
      <c r="CE284" s="476" t="s">
        <v>1187</v>
      </c>
      <c r="CF284" s="476" t="s">
        <v>1187</v>
      </c>
      <c r="CG284" s="476" t="s">
        <v>1187</v>
      </c>
      <c r="CH284" s="476" t="s">
        <v>1187</v>
      </c>
      <c r="CI284" s="476" t="s">
        <v>1187</v>
      </c>
      <c r="CJ284" s="476" t="s">
        <v>1187</v>
      </c>
      <c r="CK284" s="476" t="s">
        <v>1187</v>
      </c>
      <c r="CL284" s="476" t="s">
        <v>1187</v>
      </c>
      <c r="CM284" s="476" t="str">
        <f>IF(VLOOKUP(BS284,'Données par municipalité'!$B$6:$E$1113,4,FALSE)="","non","oui")</f>
        <v>non</v>
      </c>
      <c r="CN284" s="410" t="s">
        <v>1124</v>
      </c>
      <c r="CO284" s="410" t="s">
        <v>1124</v>
      </c>
      <c r="CP284" s="410"/>
      <c r="CQ284" s="410"/>
      <c r="CR284" s="410"/>
      <c r="CS284" s="410" t="s">
        <v>1124</v>
      </c>
      <c r="CT284" s="410"/>
      <c r="CU284" s="410" t="s">
        <v>1124</v>
      </c>
      <c r="CV284" s="410" t="str">
        <f>IF(VLOOKUP(BS284,'Données par municipalité'!$B$6:$F$1113,4,FALSE)="","",VLOOKUP(BS284,'Données par municipalité'!$B$6:$F$1113,4,FALSE))</f>
        <v/>
      </c>
      <c r="CW284" s="476" t="s">
        <v>4723</v>
      </c>
      <c r="CX284" s="483" t="s">
        <v>1124</v>
      </c>
      <c r="CY284" s="483" t="s">
        <v>1124</v>
      </c>
      <c r="CZ284" s="483" t="s">
        <v>1124</v>
      </c>
      <c r="DA284" s="483" t="s">
        <v>1124</v>
      </c>
      <c r="DB284" s="483" t="s">
        <v>1124</v>
      </c>
      <c r="DC284" s="483" t="s">
        <v>1124</v>
      </c>
      <c r="DD284" s="483" t="s">
        <v>1124</v>
      </c>
      <c r="DE284" s="483" t="str">
        <f>IFERROR(SUM(VLOOKUP($BS284,'État &amp; Plan d''action'!$B$6:$Z$1113,18,FALSE),VLOOKUP($BS284,'État &amp; Plan d''action'!$B$6:$Z$1113,20,FALSE))/(VLOOKUP($BS284,'Données par municipalité'!$B$4:$L$1113,11,FALSE)),"")</f>
        <v/>
      </c>
      <c r="DF284" s="483" t="str">
        <f>IFERROR(SUM(VLOOKUP($BS284,'État &amp; Plan d''action'!$B$6:$Z$1113,19,FALSE),VLOOKUP($BS284,'État &amp; Plan d''action'!$B$6:$Z$1113,21,FALSE))/(VLOOKUP($BS284,'Données par municipalité'!$B$4:$L$1113,11,FALSE)),"")</f>
        <v/>
      </c>
      <c r="DG284" s="476" t="s">
        <v>4723</v>
      </c>
      <c r="DH284" s="484" t="s">
        <v>1124</v>
      </c>
      <c r="DI284" s="484" t="s">
        <v>1124</v>
      </c>
      <c r="DJ284" s="484">
        <v>0</v>
      </c>
      <c r="DK284" s="484">
        <v>0</v>
      </c>
      <c r="DL284" s="484" t="s">
        <v>1124</v>
      </c>
      <c r="DM284" s="484" t="s">
        <v>1124</v>
      </c>
      <c r="DN284" s="484" t="s">
        <v>1124</v>
      </c>
      <c r="DO284" s="484" t="s">
        <v>1124</v>
      </c>
      <c r="DP284" s="484" t="s">
        <v>1124</v>
      </c>
      <c r="DQ284" s="484" t="str">
        <f>IF(VLOOKUP($BS284,'État &amp; Plan d''action'!$B$6:$AJ$1113,28,FALSE)="","",VLOOKUP($BS284,'État &amp; Plan d''action'!$B$6:$AJ$1113,28,FALSE))</f>
        <v/>
      </c>
      <c r="DR284" s="70" t="str">
        <f>IF(VLOOKUP($BS284,'État &amp; Plan d''action'!$B$6:$AJ$1113,29,FALSE)="","",VLOOKUP($BS284,'État &amp; Plan d''action'!$B$6:$AJ$1113,29,FALSE))</f>
        <v/>
      </c>
      <c r="DS284" s="70" t="str">
        <f>IF(VLOOKUP($BS284,'État &amp; Plan d''action'!$B$6:$AJ$1113,30,FALSE)="","",VLOOKUP($BS284,'État &amp; Plan d''action'!$B$6:$AJ$1113,30,FALSE))</f>
        <v/>
      </c>
      <c r="DT284" s="70" t="s">
        <v>1124</v>
      </c>
      <c r="DU284" s="485" t="s">
        <v>1124</v>
      </c>
      <c r="DV284" s="485" t="s">
        <v>1124</v>
      </c>
      <c r="DW284" s="70" t="s">
        <v>1124</v>
      </c>
      <c r="DX284" s="70" t="s">
        <v>1124</v>
      </c>
      <c r="DY284" s="70" t="s">
        <v>1124</v>
      </c>
      <c r="DZ284" s="70" t="str">
        <f>VLOOKUP($BS284,'État &amp; Plan d''action'!$B$6:$AH$1113,31,FALSE)</f>
        <v/>
      </c>
      <c r="EA284" s="70" t="str">
        <f>VLOOKUP($BS284,'État &amp; Plan d''action'!$B$6:$AH$1113,32,FALSE)</f>
        <v/>
      </c>
      <c r="EB284" s="70" t="str">
        <f>VLOOKUP($BS284,'État &amp; Plan d''action'!$B$6:$AH$1113,33,FALSE)</f>
        <v/>
      </c>
      <c r="EC284" s="70" t="s">
        <v>1124</v>
      </c>
      <c r="ED284" s="70" t="s">
        <v>1124</v>
      </c>
      <c r="EE284" s="70" t="s">
        <v>1124</v>
      </c>
      <c r="EF284" s="70" t="s">
        <v>1124</v>
      </c>
      <c r="EG284" s="70" t="s">
        <v>1124</v>
      </c>
      <c r="EH284" s="72"/>
      <c r="EI284" s="72">
        <v>161</v>
      </c>
    </row>
    <row r="285" spans="71:139" x14ac:dyDescent="0.35">
      <c r="BS285" s="486">
        <v>30080</v>
      </c>
      <c r="BT285" s="479" t="s">
        <v>230</v>
      </c>
      <c r="BU285" s="479">
        <v>5</v>
      </c>
      <c r="BV285" s="476" t="s">
        <v>1187</v>
      </c>
      <c r="BW285" s="476" t="s">
        <v>1187</v>
      </c>
      <c r="BX285" s="476" t="s">
        <v>1187</v>
      </c>
      <c r="BY285" s="476" t="s">
        <v>1187</v>
      </c>
      <c r="BZ285" s="476" t="s">
        <v>1187</v>
      </c>
      <c r="CA285" s="476" t="s">
        <v>1187</v>
      </c>
      <c r="CB285" s="476" t="s">
        <v>1187</v>
      </c>
      <c r="CC285" s="476" t="s">
        <v>1187</v>
      </c>
      <c r="CD285" s="476" t="s">
        <v>1187</v>
      </c>
      <c r="CE285" s="476" t="s">
        <v>1188</v>
      </c>
      <c r="CF285" s="476" t="s">
        <v>1188</v>
      </c>
      <c r="CG285" s="476" t="s">
        <v>1187</v>
      </c>
      <c r="CH285" s="476" t="s">
        <v>1188</v>
      </c>
      <c r="CI285" s="476" t="s">
        <v>1188</v>
      </c>
      <c r="CJ285" s="476" t="s">
        <v>1187</v>
      </c>
      <c r="CK285" s="476" t="s">
        <v>1188</v>
      </c>
      <c r="CL285" s="476" t="s">
        <v>1188</v>
      </c>
      <c r="CM285" s="476" t="str">
        <f>IF(VLOOKUP(BS285,'Données par municipalité'!$B$6:$E$1113,4,FALSE)="","non","oui")</f>
        <v>oui</v>
      </c>
      <c r="CN285" s="410">
        <v>252.56363189481641</v>
      </c>
      <c r="CO285" s="410">
        <v>269.89005984907624</v>
      </c>
      <c r="CP285" s="410"/>
      <c r="CQ285" s="410">
        <v>273.50264756094032</v>
      </c>
      <c r="CR285" s="410">
        <v>287.63796762625827</v>
      </c>
      <c r="CS285" s="410" t="s">
        <v>1124</v>
      </c>
      <c r="CT285" s="410">
        <v>271.04482134740329</v>
      </c>
      <c r="CU285" s="410">
        <v>274</v>
      </c>
      <c r="CV285" s="410">
        <f>IF(VLOOKUP(BS285,'Données par municipalité'!$B$6:$F$1113,4,FALSE)="","",VLOOKUP(BS285,'Données par municipalité'!$B$6:$F$1113,4,FALSE))</f>
        <v>301</v>
      </c>
      <c r="CW285" s="476" t="s">
        <v>4723</v>
      </c>
      <c r="CX285" s="483">
        <v>1</v>
      </c>
      <c r="CY285" s="483" t="s">
        <v>1124</v>
      </c>
      <c r="CZ285" s="483">
        <v>1</v>
      </c>
      <c r="DA285" s="483">
        <v>1</v>
      </c>
      <c r="DB285" s="483" t="s">
        <v>1124</v>
      </c>
      <c r="DC285" s="483">
        <v>1</v>
      </c>
      <c r="DD285" s="483">
        <v>1.3067484662576687</v>
      </c>
      <c r="DE285" s="483">
        <f>IFERROR(SUM(VLOOKUP($BS285,'État &amp; Plan d''action'!$B$6:$Z$1113,18,FALSE),VLOOKUP($BS285,'État &amp; Plan d''action'!$B$6:$Z$1113,20,FALSE))/(VLOOKUP($BS285,'Données par municipalité'!$B$4:$L$1113,11,FALSE)),"")</f>
        <v>1.3067484662576687</v>
      </c>
      <c r="DF285" s="483">
        <f>IFERROR(SUM(VLOOKUP($BS285,'État &amp; Plan d''action'!$B$6:$Z$1113,19,FALSE),VLOOKUP($BS285,'État &amp; Plan d''action'!$B$6:$Z$1113,21,FALSE))/(VLOOKUP($BS285,'Données par municipalité'!$B$4:$L$1113,11,FALSE)),"")</f>
        <v>1.3067484662576687</v>
      </c>
      <c r="DG285" s="476" t="s">
        <v>4723</v>
      </c>
      <c r="DH285" s="484">
        <v>4</v>
      </c>
      <c r="DI285" s="484" t="s">
        <v>1124</v>
      </c>
      <c r="DJ285" s="484">
        <v>3</v>
      </c>
      <c r="DK285" s="484">
        <v>4</v>
      </c>
      <c r="DL285" s="484" t="s">
        <v>1124</v>
      </c>
      <c r="DM285" s="484">
        <v>3</v>
      </c>
      <c r="DN285" s="484">
        <v>1</v>
      </c>
      <c r="DO285" s="484">
        <v>1</v>
      </c>
      <c r="DP285" s="484">
        <v>3</v>
      </c>
      <c r="DQ285" s="484">
        <f>IF(VLOOKUP($BS285,'État &amp; Plan d''action'!$B$6:$AJ$1113,28,FALSE)="","",VLOOKUP($BS285,'État &amp; Plan d''action'!$B$6:$AJ$1113,28,FALSE))</f>
        <v>0</v>
      </c>
      <c r="DR285" s="70">
        <f>IF(VLOOKUP($BS285,'État &amp; Plan d''action'!$B$6:$AJ$1113,29,FALSE)="","",VLOOKUP($BS285,'État &amp; Plan d''action'!$B$6:$AJ$1113,29,FALSE))</f>
        <v>4</v>
      </c>
      <c r="DS285" s="70">
        <f>IF(VLOOKUP($BS285,'État &amp; Plan d''action'!$B$6:$AJ$1113,30,FALSE)="","",VLOOKUP($BS285,'État &amp; Plan d''action'!$B$6:$AJ$1113,30,FALSE))</f>
        <v>1</v>
      </c>
      <c r="DT285" s="70">
        <v>150</v>
      </c>
      <c r="DU285" s="485">
        <v>1.5524611915015174</v>
      </c>
      <c r="DV285" s="485">
        <v>1.5908613006098293</v>
      </c>
      <c r="DW285" s="70">
        <v>1</v>
      </c>
      <c r="DX285" s="70">
        <v>2</v>
      </c>
      <c r="DY285" s="70">
        <v>9</v>
      </c>
      <c r="DZ285" s="70">
        <f>VLOOKUP($BS285,'État &amp; Plan d''action'!$B$6:$AH$1113,31,FALSE)</f>
        <v>0</v>
      </c>
      <c r="EA285" s="70">
        <f>VLOOKUP($BS285,'État &amp; Plan d''action'!$B$6:$AH$1113,32,FALSE)</f>
        <v>2</v>
      </c>
      <c r="EB285" s="70">
        <f>VLOOKUP($BS285,'État &amp; Plan d''action'!$B$6:$AH$1113,33,FALSE)</f>
        <v>2</v>
      </c>
      <c r="EC285" s="70">
        <v>8.15</v>
      </c>
      <c r="ED285" s="70">
        <v>8.15</v>
      </c>
      <c r="EE285" s="70">
        <v>2.5</v>
      </c>
      <c r="EF285" s="70">
        <v>0</v>
      </c>
      <c r="EG285" s="70">
        <v>0</v>
      </c>
      <c r="EH285" s="72">
        <v>57</v>
      </c>
      <c r="EI285" s="72">
        <v>1029</v>
      </c>
    </row>
    <row r="286" spans="71:139" x14ac:dyDescent="0.35">
      <c r="BS286" s="486">
        <v>79015</v>
      </c>
      <c r="BT286" s="479" t="s">
        <v>788</v>
      </c>
      <c r="BU286" s="479">
        <v>15</v>
      </c>
      <c r="BV286" s="476" t="s">
        <v>1188</v>
      </c>
      <c r="BW286" s="476" t="s">
        <v>1188</v>
      </c>
      <c r="BX286" s="476" t="s">
        <v>1188</v>
      </c>
      <c r="BY286" s="476" t="s">
        <v>1188</v>
      </c>
      <c r="BZ286" s="476" t="s">
        <v>1188</v>
      </c>
      <c r="CA286" s="476" t="s">
        <v>1188</v>
      </c>
      <c r="CB286" s="476" t="s">
        <v>1188</v>
      </c>
      <c r="CC286" s="476" t="s">
        <v>1188</v>
      </c>
      <c r="CD286" s="476" t="s">
        <v>1188</v>
      </c>
      <c r="CE286" s="476" t="s">
        <v>1188</v>
      </c>
      <c r="CF286" s="476" t="s">
        <v>1188</v>
      </c>
      <c r="CG286" s="476" t="s">
        <v>1187</v>
      </c>
      <c r="CH286" s="476" t="s">
        <v>1188</v>
      </c>
      <c r="CI286" s="476" t="s">
        <v>1188</v>
      </c>
      <c r="CJ286" s="476" t="s">
        <v>1187</v>
      </c>
      <c r="CK286" s="476" t="s">
        <v>1187</v>
      </c>
      <c r="CL286" s="476" t="s">
        <v>1187</v>
      </c>
      <c r="CM286" s="476" t="str">
        <f>IF(VLOOKUP(BS286,'Données par municipalité'!$B$6:$E$1113,4,FALSE)="","non","oui")</f>
        <v>non</v>
      </c>
      <c r="CN286" s="410">
        <v>277.10843373493975</v>
      </c>
      <c r="CO286" s="410">
        <v>290.96174299166927</v>
      </c>
      <c r="CP286" s="410"/>
      <c r="CQ286" s="410">
        <v>175.83726336645768</v>
      </c>
      <c r="CR286" s="410">
        <v>175.25167561216588</v>
      </c>
      <c r="CS286" s="410" t="s">
        <v>1124</v>
      </c>
      <c r="CT286" s="410"/>
      <c r="CU286" s="410" t="s">
        <v>1124</v>
      </c>
      <c r="CV286" s="410" t="str">
        <f>IF(VLOOKUP(BS286,'Données par municipalité'!$B$6:$F$1113,4,FALSE)="","",VLOOKUP(BS286,'Données par municipalité'!$B$6:$F$1113,4,FALSE))</f>
        <v/>
      </c>
      <c r="CW286" s="476" t="s">
        <v>4723</v>
      </c>
      <c r="CX286" s="483" t="s">
        <v>1124</v>
      </c>
      <c r="CY286" s="483" t="s">
        <v>1124</v>
      </c>
      <c r="CZ286" s="483">
        <v>0</v>
      </c>
      <c r="DA286" s="483">
        <v>0</v>
      </c>
      <c r="DB286" s="483" t="s">
        <v>1124</v>
      </c>
      <c r="DC286" s="483" t="s">
        <v>1124</v>
      </c>
      <c r="DD286" s="483" t="s">
        <v>1124</v>
      </c>
      <c r="DE286" s="483" t="str">
        <f>IFERROR(SUM(VLOOKUP($BS286,'État &amp; Plan d''action'!$B$6:$Z$1113,18,FALSE),VLOOKUP($BS286,'État &amp; Plan d''action'!$B$6:$Z$1113,20,FALSE))/(VLOOKUP($BS286,'Données par municipalité'!$B$4:$L$1113,11,FALSE)),"")</f>
        <v/>
      </c>
      <c r="DF286" s="483" t="str">
        <f>IFERROR(SUM(VLOOKUP($BS286,'État &amp; Plan d''action'!$B$6:$Z$1113,19,FALSE),VLOOKUP($BS286,'État &amp; Plan d''action'!$B$6:$Z$1113,21,FALSE))/(VLOOKUP($BS286,'Données par municipalité'!$B$4:$L$1113,11,FALSE)),"")</f>
        <v/>
      </c>
      <c r="DG286" s="476" t="s">
        <v>4723</v>
      </c>
      <c r="DH286" s="484" t="s">
        <v>1124</v>
      </c>
      <c r="DI286" s="484" t="s">
        <v>1124</v>
      </c>
      <c r="DJ286" s="484">
        <v>0</v>
      </c>
      <c r="DK286" s="484">
        <v>0</v>
      </c>
      <c r="DL286" s="484" t="s">
        <v>1124</v>
      </c>
      <c r="DM286" s="484" t="s">
        <v>1124</v>
      </c>
      <c r="DN286" s="484" t="s">
        <v>1124</v>
      </c>
      <c r="DO286" s="484" t="s">
        <v>1124</v>
      </c>
      <c r="DP286" s="484" t="s">
        <v>1124</v>
      </c>
      <c r="DQ286" s="484" t="str">
        <f>IF(VLOOKUP($BS286,'État &amp; Plan d''action'!$B$6:$AJ$1113,28,FALSE)="","",VLOOKUP($BS286,'État &amp; Plan d''action'!$B$6:$AJ$1113,28,FALSE))</f>
        <v/>
      </c>
      <c r="DR286" s="70" t="str">
        <f>IF(VLOOKUP($BS286,'État &amp; Plan d''action'!$B$6:$AJ$1113,29,FALSE)="","",VLOOKUP($BS286,'État &amp; Plan d''action'!$B$6:$AJ$1113,29,FALSE))</f>
        <v/>
      </c>
      <c r="DS286" s="70" t="str">
        <f>IF(VLOOKUP($BS286,'État &amp; Plan d''action'!$B$6:$AJ$1113,30,FALSE)="","",VLOOKUP($BS286,'État &amp; Plan d''action'!$B$6:$AJ$1113,30,FALSE))</f>
        <v/>
      </c>
      <c r="DT286" s="70" t="s">
        <v>1124</v>
      </c>
      <c r="DU286" s="485" t="s">
        <v>1124</v>
      </c>
      <c r="DV286" s="485" t="s">
        <v>1124</v>
      </c>
      <c r="DW286" s="70" t="s">
        <v>1124</v>
      </c>
      <c r="DX286" s="70" t="s">
        <v>1124</v>
      </c>
      <c r="DY286" s="70" t="s">
        <v>1124</v>
      </c>
      <c r="DZ286" s="70" t="str">
        <f>VLOOKUP($BS286,'État &amp; Plan d''action'!$B$6:$AH$1113,31,FALSE)</f>
        <v/>
      </c>
      <c r="EA286" s="70" t="str">
        <f>VLOOKUP($BS286,'État &amp; Plan d''action'!$B$6:$AH$1113,32,FALSE)</f>
        <v/>
      </c>
      <c r="EB286" s="70" t="str">
        <f>VLOOKUP($BS286,'État &amp; Plan d''action'!$B$6:$AH$1113,33,FALSE)</f>
        <v/>
      </c>
      <c r="EC286" s="70" t="s">
        <v>1124</v>
      </c>
      <c r="ED286" s="70" t="s">
        <v>1124</v>
      </c>
      <c r="EE286" s="70" t="s">
        <v>1124</v>
      </c>
      <c r="EF286" s="70" t="s">
        <v>1124</v>
      </c>
      <c r="EG286" s="70" t="s">
        <v>1124</v>
      </c>
      <c r="EH286" s="72"/>
      <c r="EI286" s="72">
        <v>452</v>
      </c>
    </row>
    <row r="287" spans="71:139" x14ac:dyDescent="0.35">
      <c r="BS287" s="486">
        <v>90027</v>
      </c>
      <c r="BT287" s="479" t="s">
        <v>936</v>
      </c>
      <c r="BU287" s="479">
        <v>4</v>
      </c>
      <c r="BV287" s="476" t="s">
        <v>1188</v>
      </c>
      <c r="BW287" s="476" t="s">
        <v>1188</v>
      </c>
      <c r="BX287" s="476" t="s">
        <v>1188</v>
      </c>
      <c r="BY287" s="476" t="s">
        <v>1188</v>
      </c>
      <c r="BZ287" s="476" t="s">
        <v>1188</v>
      </c>
      <c r="CA287" s="476" t="s">
        <v>1188</v>
      </c>
      <c r="CB287" s="476" t="s">
        <v>1188</v>
      </c>
      <c r="CC287" s="476" t="s">
        <v>1188</v>
      </c>
      <c r="CD287" s="476" t="s">
        <v>1188</v>
      </c>
      <c r="CE287" s="476" t="s">
        <v>1187</v>
      </c>
      <c r="CF287" s="476" t="s">
        <v>1187</v>
      </c>
      <c r="CG287" s="476" t="s">
        <v>1187</v>
      </c>
      <c r="CH287" s="476" t="s">
        <v>1187</v>
      </c>
      <c r="CI287" s="476" t="s">
        <v>1187</v>
      </c>
      <c r="CJ287" s="476" t="s">
        <v>1187</v>
      </c>
      <c r="CK287" s="476" t="s">
        <v>1187</v>
      </c>
      <c r="CL287" s="476" t="s">
        <v>1187</v>
      </c>
      <c r="CM287" s="476" t="str">
        <f>IF(VLOOKUP(BS287,'Données par municipalité'!$B$6:$E$1113,4,FALSE)="","non","oui")</f>
        <v>non</v>
      </c>
      <c r="CN287" s="410" t="s">
        <v>1124</v>
      </c>
      <c r="CO287" s="410" t="s">
        <v>1124</v>
      </c>
      <c r="CP287" s="410"/>
      <c r="CQ287" s="410"/>
      <c r="CR287" s="410"/>
      <c r="CS287" s="410" t="s">
        <v>1124</v>
      </c>
      <c r="CT287" s="410"/>
      <c r="CU287" s="410" t="s">
        <v>1124</v>
      </c>
      <c r="CV287" s="410" t="str">
        <f>IF(VLOOKUP(BS287,'Données par municipalité'!$B$6:$F$1113,4,FALSE)="","",VLOOKUP(BS287,'Données par municipalité'!$B$6:$F$1113,4,FALSE))</f>
        <v/>
      </c>
      <c r="CW287" s="476" t="s">
        <v>4723</v>
      </c>
      <c r="CX287" s="483" t="s">
        <v>1124</v>
      </c>
      <c r="CY287" s="483" t="s">
        <v>1124</v>
      </c>
      <c r="CZ287" s="483" t="s">
        <v>1124</v>
      </c>
      <c r="DA287" s="483" t="s">
        <v>1124</v>
      </c>
      <c r="DB287" s="483" t="s">
        <v>1124</v>
      </c>
      <c r="DC287" s="483" t="s">
        <v>1124</v>
      </c>
      <c r="DD287" s="483" t="s">
        <v>1124</v>
      </c>
      <c r="DE287" s="483" t="str">
        <f>IFERROR(SUM(VLOOKUP($BS287,'État &amp; Plan d''action'!$B$6:$Z$1113,18,FALSE),VLOOKUP($BS287,'État &amp; Plan d''action'!$B$6:$Z$1113,20,FALSE))/(VLOOKUP($BS287,'Données par municipalité'!$B$4:$L$1113,11,FALSE)),"")</f>
        <v/>
      </c>
      <c r="DF287" s="483" t="str">
        <f>IFERROR(SUM(VLOOKUP($BS287,'État &amp; Plan d''action'!$B$6:$Z$1113,19,FALSE),VLOOKUP($BS287,'État &amp; Plan d''action'!$B$6:$Z$1113,21,FALSE))/(VLOOKUP($BS287,'Données par municipalité'!$B$4:$L$1113,11,FALSE)),"")</f>
        <v/>
      </c>
      <c r="DG287" s="476" t="s">
        <v>4723</v>
      </c>
      <c r="DH287" s="484" t="s">
        <v>1124</v>
      </c>
      <c r="DI287" s="484" t="s">
        <v>1124</v>
      </c>
      <c r="DJ287" s="484">
        <v>0</v>
      </c>
      <c r="DK287" s="484">
        <v>0</v>
      </c>
      <c r="DL287" s="484" t="s">
        <v>1124</v>
      </c>
      <c r="DM287" s="484" t="s">
        <v>1124</v>
      </c>
      <c r="DN287" s="484" t="s">
        <v>1124</v>
      </c>
      <c r="DO287" s="484" t="s">
        <v>1124</v>
      </c>
      <c r="DP287" s="484" t="s">
        <v>1124</v>
      </c>
      <c r="DQ287" s="484" t="str">
        <f>IF(VLOOKUP($BS287,'État &amp; Plan d''action'!$B$6:$AJ$1113,28,FALSE)="","",VLOOKUP($BS287,'État &amp; Plan d''action'!$B$6:$AJ$1113,28,FALSE))</f>
        <v/>
      </c>
      <c r="DR287" s="70" t="str">
        <f>IF(VLOOKUP($BS287,'État &amp; Plan d''action'!$B$6:$AJ$1113,29,FALSE)="","",VLOOKUP($BS287,'État &amp; Plan d''action'!$B$6:$AJ$1113,29,FALSE))</f>
        <v/>
      </c>
      <c r="DS287" s="70" t="str">
        <f>IF(VLOOKUP($BS287,'État &amp; Plan d''action'!$B$6:$AJ$1113,30,FALSE)="","",VLOOKUP($BS287,'État &amp; Plan d''action'!$B$6:$AJ$1113,30,FALSE))</f>
        <v/>
      </c>
      <c r="DT287" s="70" t="s">
        <v>1124</v>
      </c>
      <c r="DU287" s="485" t="s">
        <v>1124</v>
      </c>
      <c r="DV287" s="485" t="s">
        <v>1124</v>
      </c>
      <c r="DW287" s="70" t="s">
        <v>1124</v>
      </c>
      <c r="DX287" s="70" t="s">
        <v>1124</v>
      </c>
      <c r="DY287" s="70" t="s">
        <v>1124</v>
      </c>
      <c r="DZ287" s="70" t="str">
        <f>VLOOKUP($BS287,'État &amp; Plan d''action'!$B$6:$AH$1113,31,FALSE)</f>
        <v/>
      </c>
      <c r="EA287" s="70" t="str">
        <f>VLOOKUP($BS287,'État &amp; Plan d''action'!$B$6:$AH$1113,32,FALSE)</f>
        <v/>
      </c>
      <c r="EB287" s="70" t="str">
        <f>VLOOKUP($BS287,'État &amp; Plan d''action'!$B$6:$AH$1113,33,FALSE)</f>
        <v/>
      </c>
      <c r="EC287" s="70" t="s">
        <v>1124</v>
      </c>
      <c r="ED287" s="70" t="s">
        <v>1124</v>
      </c>
      <c r="EE287" s="70" t="s">
        <v>1124</v>
      </c>
      <c r="EF287" s="70" t="s">
        <v>1124</v>
      </c>
      <c r="EG287" s="70" t="s">
        <v>1124</v>
      </c>
      <c r="EH287" s="72"/>
      <c r="EI287" s="72">
        <v>196</v>
      </c>
    </row>
    <row r="288" spans="71:139" x14ac:dyDescent="0.35">
      <c r="BS288" s="486">
        <v>28053</v>
      </c>
      <c r="BT288" s="479" t="s">
        <v>196</v>
      </c>
      <c r="BU288" s="479">
        <v>12</v>
      </c>
      <c r="BV288" s="476" t="s">
        <v>1187</v>
      </c>
      <c r="BW288" s="476" t="s">
        <v>1187</v>
      </c>
      <c r="BX288" s="476" t="s">
        <v>1187</v>
      </c>
      <c r="BY288" s="476" t="s">
        <v>1187</v>
      </c>
      <c r="BZ288" s="476" t="s">
        <v>1187</v>
      </c>
      <c r="CA288" s="476" t="s">
        <v>1187</v>
      </c>
      <c r="CB288" s="476" t="s">
        <v>1187</v>
      </c>
      <c r="CC288" s="476" t="s">
        <v>1187</v>
      </c>
      <c r="CD288" s="476" t="s">
        <v>1187</v>
      </c>
      <c r="CE288" s="476" t="s">
        <v>1188</v>
      </c>
      <c r="CF288" s="476" t="s">
        <v>1188</v>
      </c>
      <c r="CG288" s="476" t="s">
        <v>1188</v>
      </c>
      <c r="CH288" s="476" t="s">
        <v>1188</v>
      </c>
      <c r="CI288" s="476" t="s">
        <v>1188</v>
      </c>
      <c r="CJ288" s="476" t="s">
        <v>1188</v>
      </c>
      <c r="CK288" s="476" t="s">
        <v>1188</v>
      </c>
      <c r="CL288" s="476" t="s">
        <v>1188</v>
      </c>
      <c r="CM288" s="476" t="str">
        <f>IF(VLOOKUP(BS288,'Données par municipalité'!$B$6:$E$1113,4,FALSE)="","non","oui")</f>
        <v>oui</v>
      </c>
      <c r="CN288" s="410">
        <v>386.91663020430138</v>
      </c>
      <c r="CO288" s="410">
        <v>336.51089403295964</v>
      </c>
      <c r="CP288" s="410">
        <v>385.08297177255656</v>
      </c>
      <c r="CQ288" s="410">
        <v>425.50414052427345</v>
      </c>
      <c r="CR288" s="410">
        <v>459.76854196032275</v>
      </c>
      <c r="CS288" s="410">
        <v>430.94521482192624</v>
      </c>
      <c r="CT288" s="410">
        <v>330.68932214092064</v>
      </c>
      <c r="CU288" s="410">
        <v>353</v>
      </c>
      <c r="CV288" s="410">
        <f>IF(VLOOKUP(BS288,'Données par municipalité'!$B$6:$F$1113,4,FALSE)="","",VLOOKUP(BS288,'Données par municipalité'!$B$6:$F$1113,4,FALSE))</f>
        <v>343</v>
      </c>
      <c r="CW288" s="476" t="s">
        <v>4723</v>
      </c>
      <c r="CX288" s="483">
        <v>0</v>
      </c>
      <c r="CY288" s="483">
        <v>0</v>
      </c>
      <c r="CZ288" s="483">
        <v>0</v>
      </c>
      <c r="DA288" s="483">
        <v>0.85</v>
      </c>
      <c r="DB288" s="483">
        <v>1</v>
      </c>
      <c r="DC288" s="483">
        <v>1</v>
      </c>
      <c r="DD288" s="483">
        <v>0</v>
      </c>
      <c r="DE288" s="483">
        <f>IFERROR(SUM(VLOOKUP($BS288,'État &amp; Plan d''action'!$B$6:$Z$1113,18,FALSE),VLOOKUP($BS288,'État &amp; Plan d''action'!$B$6:$Z$1113,20,FALSE))/(VLOOKUP($BS288,'Données par municipalité'!$B$4:$L$1113,11,FALSE)),"")</f>
        <v>0</v>
      </c>
      <c r="DF288" s="483">
        <f>IFERROR(SUM(VLOOKUP($BS288,'État &amp; Plan d''action'!$B$6:$Z$1113,19,FALSE),VLOOKUP($BS288,'État &amp; Plan d''action'!$B$6:$Z$1113,21,FALSE))/(VLOOKUP($BS288,'Données par municipalité'!$B$4:$L$1113,11,FALSE)),"")</f>
        <v>0</v>
      </c>
      <c r="DG288" s="476" t="s">
        <v>4723</v>
      </c>
      <c r="DH288" s="484">
        <v>4</v>
      </c>
      <c r="DI288" s="484">
        <v>2</v>
      </c>
      <c r="DJ288" s="484">
        <v>3</v>
      </c>
      <c r="DK288" s="484">
        <v>2</v>
      </c>
      <c r="DL288" s="484">
        <v>1</v>
      </c>
      <c r="DM288" s="484">
        <v>4</v>
      </c>
      <c r="DN288" s="484">
        <v>4</v>
      </c>
      <c r="DO288" s="484">
        <v>0</v>
      </c>
      <c r="DP288" s="484">
        <v>0</v>
      </c>
      <c r="DQ288" s="484">
        <f>IF(VLOOKUP($BS288,'État &amp; Plan d''action'!$B$6:$AJ$1113,28,FALSE)="","",VLOOKUP($BS288,'État &amp; Plan d''action'!$B$6:$AJ$1113,28,FALSE))</f>
        <v>4</v>
      </c>
      <c r="DR288" s="70">
        <f>IF(VLOOKUP($BS288,'État &amp; Plan d''action'!$B$6:$AJ$1113,29,FALSE)="","",VLOOKUP($BS288,'État &amp; Plan d''action'!$B$6:$AJ$1113,29,FALSE))</f>
        <v>0</v>
      </c>
      <c r="DS288" s="70">
        <f>IF(VLOOKUP($BS288,'État &amp; Plan d''action'!$B$6:$AJ$1113,30,FALSE)="","",VLOOKUP($BS288,'État &amp; Plan d''action'!$B$6:$AJ$1113,30,FALSE))</f>
        <v>0</v>
      </c>
      <c r="DT288" s="70">
        <v>273</v>
      </c>
      <c r="DU288" s="485">
        <v>2.2597923657224648</v>
      </c>
      <c r="DV288" s="485">
        <v>0.63675538198141179</v>
      </c>
      <c r="DW288" s="70">
        <v>3</v>
      </c>
      <c r="DX288" s="70">
        <v>0</v>
      </c>
      <c r="DY288" s="70">
        <v>0</v>
      </c>
      <c r="DZ288" s="70">
        <f>VLOOKUP($BS288,'État &amp; Plan d''action'!$B$6:$AH$1113,31,FALSE)</f>
        <v>2</v>
      </c>
      <c r="EA288" s="70">
        <f>VLOOKUP($BS288,'État &amp; Plan d''action'!$B$6:$AH$1113,32,FALSE)</f>
        <v>0</v>
      </c>
      <c r="EB288" s="70">
        <f>VLOOKUP($BS288,'État &amp; Plan d''action'!$B$6:$AH$1113,33,FALSE)</f>
        <v>0</v>
      </c>
      <c r="EC288" s="70">
        <v>25.196000000000002</v>
      </c>
      <c r="ED288" s="70">
        <v>0</v>
      </c>
      <c r="EE288" s="70">
        <v>0</v>
      </c>
      <c r="EF288" s="70">
        <v>0</v>
      </c>
      <c r="EG288" s="70">
        <v>0</v>
      </c>
      <c r="EH288" s="72">
        <v>52.837391947835854</v>
      </c>
      <c r="EI288" s="72">
        <v>3886</v>
      </c>
    </row>
    <row r="289" spans="71:139" x14ac:dyDescent="0.35">
      <c r="BS289" s="486">
        <v>18010</v>
      </c>
      <c r="BT289" s="479" t="s">
        <v>105</v>
      </c>
      <c r="BU289" s="479">
        <v>12</v>
      </c>
      <c r="BV289" s="476" t="s">
        <v>1187</v>
      </c>
      <c r="BW289" s="476" t="s">
        <v>1187</v>
      </c>
      <c r="BX289" s="476" t="s">
        <v>1187</v>
      </c>
      <c r="BY289" s="476" t="s">
        <v>1187</v>
      </c>
      <c r="BZ289" s="476" t="s">
        <v>1187</v>
      </c>
      <c r="CA289" s="476" t="s">
        <v>1187</v>
      </c>
      <c r="CB289" s="476" t="s">
        <v>1187</v>
      </c>
      <c r="CC289" s="476" t="s">
        <v>1187</v>
      </c>
      <c r="CD289" s="476" t="s">
        <v>1187</v>
      </c>
      <c r="CE289" s="476" t="s">
        <v>1188</v>
      </c>
      <c r="CF289" s="476" t="s">
        <v>1188</v>
      </c>
      <c r="CG289" s="476" t="s">
        <v>1187</v>
      </c>
      <c r="CH289" s="476" t="s">
        <v>1188</v>
      </c>
      <c r="CI289" s="476" t="s">
        <v>1188</v>
      </c>
      <c r="CJ289" s="476" t="s">
        <v>1188</v>
      </c>
      <c r="CK289" s="476" t="s">
        <v>1188</v>
      </c>
      <c r="CL289" s="476" t="s">
        <v>1188</v>
      </c>
      <c r="CM289" s="476" t="str">
        <f>IF(VLOOKUP(BS289,'Données par municipalité'!$B$6:$E$1113,4,FALSE)="","non","oui")</f>
        <v>oui</v>
      </c>
      <c r="CN289" s="410">
        <v>318.1436958344982</v>
      </c>
      <c r="CO289" s="410">
        <v>311.58892128279888</v>
      </c>
      <c r="CP289" s="410"/>
      <c r="CQ289" s="410">
        <v>293.68642343686423</v>
      </c>
      <c r="CR289" s="410">
        <v>304.53252488958753</v>
      </c>
      <c r="CS289" s="410">
        <v>327.81862745098039</v>
      </c>
      <c r="CT289" s="410">
        <v>734.19814373332542</v>
      </c>
      <c r="CU289" s="410">
        <v>890</v>
      </c>
      <c r="CV289" s="410">
        <f>IF(VLOOKUP(BS289,'Données par municipalité'!$B$6:$F$1113,4,FALSE)="","",VLOOKUP(BS289,'Données par municipalité'!$B$6:$F$1113,4,FALSE))</f>
        <v>412</v>
      </c>
      <c r="CW289" s="476" t="s">
        <v>4723</v>
      </c>
      <c r="CX289" s="483">
        <v>0.4</v>
      </c>
      <c r="CY289" s="483" t="s">
        <v>1124</v>
      </c>
      <c r="CZ289" s="483">
        <v>0.4</v>
      </c>
      <c r="DA289" s="483">
        <v>0</v>
      </c>
      <c r="DB289" s="483">
        <v>0</v>
      </c>
      <c r="DC289" s="483">
        <v>1</v>
      </c>
      <c r="DD289" s="483">
        <v>0</v>
      </c>
      <c r="DE289" s="483">
        <f>IFERROR(SUM(VLOOKUP($BS289,'État &amp; Plan d''action'!$B$6:$Z$1113,18,FALSE),VLOOKUP($BS289,'État &amp; Plan d''action'!$B$6:$Z$1113,20,FALSE))/(VLOOKUP($BS289,'Données par municipalité'!$B$4:$L$1113,11,FALSE)),"")</f>
        <v>1</v>
      </c>
      <c r="DF289" s="483">
        <f>IFERROR(SUM(VLOOKUP($BS289,'État &amp; Plan d''action'!$B$6:$Z$1113,19,FALSE),VLOOKUP($BS289,'État &amp; Plan d''action'!$B$6:$Z$1113,21,FALSE))/(VLOOKUP($BS289,'Données par municipalité'!$B$4:$L$1113,11,FALSE)),"")</f>
        <v>1</v>
      </c>
      <c r="DG289" s="476" t="s">
        <v>4723</v>
      </c>
      <c r="DH289" s="484">
        <v>1</v>
      </c>
      <c r="DI289" s="484" t="s">
        <v>1124</v>
      </c>
      <c r="DJ289" s="484">
        <v>0</v>
      </c>
      <c r="DK289" s="484">
        <v>2</v>
      </c>
      <c r="DL289" s="484">
        <v>1</v>
      </c>
      <c r="DM289" s="484">
        <v>2</v>
      </c>
      <c r="DN289" s="484">
        <v>1</v>
      </c>
      <c r="DO289" s="484">
        <v>0</v>
      </c>
      <c r="DP289" s="484">
        <v>1</v>
      </c>
      <c r="DQ289" s="484">
        <f>IF(VLOOKUP($BS289,'État &amp; Plan d''action'!$B$6:$AJ$1113,28,FALSE)="","",VLOOKUP($BS289,'État &amp; Plan d''action'!$B$6:$AJ$1113,28,FALSE))</f>
        <v>3</v>
      </c>
      <c r="DR289" s="70">
        <f>IF(VLOOKUP($BS289,'État &amp; Plan d''action'!$B$6:$AJ$1113,29,FALSE)="","",VLOOKUP($BS289,'État &amp; Plan d''action'!$B$6:$AJ$1113,29,FALSE))</f>
        <v>2</v>
      </c>
      <c r="DS289" s="70">
        <f>IF(VLOOKUP($BS289,'État &amp; Plan d''action'!$B$6:$AJ$1113,30,FALSE)="","",VLOOKUP($BS289,'État &amp; Plan d''action'!$B$6:$AJ$1113,30,FALSE))</f>
        <v>1</v>
      </c>
      <c r="DT289" s="70">
        <v>791</v>
      </c>
      <c r="DU289" s="485">
        <v>1.3973076675860951</v>
      </c>
      <c r="DV289" s="485">
        <v>2.4281139171494468</v>
      </c>
      <c r="DW289" s="70">
        <v>5</v>
      </c>
      <c r="DX289" s="70">
        <v>0</v>
      </c>
      <c r="DY289" s="70">
        <v>5</v>
      </c>
      <c r="DZ289" s="70">
        <f>VLOOKUP($BS289,'État &amp; Plan d''action'!$B$6:$AH$1113,31,FALSE)</f>
        <v>2</v>
      </c>
      <c r="EA289" s="70">
        <f>VLOOKUP($BS289,'État &amp; Plan d''action'!$B$6:$AH$1113,32,FALSE)</f>
        <v>2</v>
      </c>
      <c r="EB289" s="70">
        <f>VLOOKUP($BS289,'État &amp; Plan d''action'!$B$6:$AH$1113,33,FALSE)</f>
        <v>2</v>
      </c>
      <c r="EC289" s="70">
        <v>0</v>
      </c>
      <c r="ED289" s="70">
        <v>0</v>
      </c>
      <c r="EE289" s="70">
        <v>0</v>
      </c>
      <c r="EF289" s="70">
        <v>0</v>
      </c>
      <c r="EG289" s="70">
        <v>0</v>
      </c>
      <c r="EH289" s="72">
        <v>59</v>
      </c>
      <c r="EI289" s="72">
        <v>177</v>
      </c>
    </row>
    <row r="290" spans="71:139" x14ac:dyDescent="0.35">
      <c r="BS290" s="486">
        <v>76020</v>
      </c>
      <c r="BT290" s="479" t="s">
        <v>748</v>
      </c>
      <c r="BU290" s="479">
        <v>15</v>
      </c>
      <c r="BV290" s="476" t="s">
        <v>1187</v>
      </c>
      <c r="BW290" s="476" t="s">
        <v>1187</v>
      </c>
      <c r="BX290" s="476" t="s">
        <v>1187</v>
      </c>
      <c r="BY290" s="476" t="s">
        <v>1187</v>
      </c>
      <c r="BZ290" s="476" t="s">
        <v>1187</v>
      </c>
      <c r="CA290" s="476" t="s">
        <v>1187</v>
      </c>
      <c r="CB290" s="476" t="s">
        <v>1187</v>
      </c>
      <c r="CC290" s="476" t="s">
        <v>1187</v>
      </c>
      <c r="CD290" s="476" t="s">
        <v>1187</v>
      </c>
      <c r="CE290" s="476" t="s">
        <v>1187</v>
      </c>
      <c r="CF290" s="476" t="s">
        <v>1187</v>
      </c>
      <c r="CG290" s="476" t="s">
        <v>1187</v>
      </c>
      <c r="CH290" s="476" t="s">
        <v>1187</v>
      </c>
      <c r="CI290" s="476" t="s">
        <v>1187</v>
      </c>
      <c r="CJ290" s="476" t="s">
        <v>1188</v>
      </c>
      <c r="CK290" s="476" t="s">
        <v>1188</v>
      </c>
      <c r="CL290" s="476" t="s">
        <v>1188</v>
      </c>
      <c r="CM290" s="476" t="str">
        <f>IF(VLOOKUP(BS290,'Données par municipalité'!$B$6:$E$1113,4,FALSE)="","non","oui")</f>
        <v>oui</v>
      </c>
      <c r="CN290" s="410" t="s">
        <v>1124</v>
      </c>
      <c r="CO290" s="410" t="s">
        <v>1124</v>
      </c>
      <c r="CP290" s="410"/>
      <c r="CQ290" s="410"/>
      <c r="CR290" s="410"/>
      <c r="CS290" s="410">
        <v>552.0266857156987</v>
      </c>
      <c r="CT290" s="410">
        <v>527.17106122775454</v>
      </c>
      <c r="CU290" s="410">
        <v>610</v>
      </c>
      <c r="CV290" s="410">
        <f>IF(VLOOKUP(BS290,'Données par municipalité'!$B$6:$F$1113,4,FALSE)="","",VLOOKUP(BS290,'Données par municipalité'!$B$6:$F$1113,4,FALSE))</f>
        <v>574</v>
      </c>
      <c r="CW290" s="476" t="s">
        <v>4723</v>
      </c>
      <c r="CX290" s="483" t="s">
        <v>1124</v>
      </c>
      <c r="CY290" s="483" t="s">
        <v>1124</v>
      </c>
      <c r="CZ290" s="483" t="s">
        <v>1124</v>
      </c>
      <c r="DA290" s="483" t="s">
        <v>1124</v>
      </c>
      <c r="DB290" s="483">
        <v>0</v>
      </c>
      <c r="DC290" s="483">
        <v>0</v>
      </c>
      <c r="DD290" s="483">
        <v>0.85104454742506919</v>
      </c>
      <c r="DE290" s="483">
        <f>IFERROR(SUM(VLOOKUP($BS290,'État &amp; Plan d''action'!$B$6:$Z$1113,18,FALSE),VLOOKUP($BS290,'État &amp; Plan d''action'!$B$6:$Z$1113,20,FALSE))/(VLOOKUP($BS290,'Données par municipalité'!$B$4:$L$1113,11,FALSE)),"")</f>
        <v>1.5791283598849044</v>
      </c>
      <c r="DF290" s="483">
        <f>IFERROR(SUM(VLOOKUP($BS290,'État &amp; Plan d''action'!$B$6:$Z$1113,19,FALSE),VLOOKUP($BS290,'État &amp; Plan d''action'!$B$6:$Z$1113,21,FALSE))/(VLOOKUP($BS290,'Données par municipalité'!$B$4:$L$1113,11,FALSE)),"")</f>
        <v>1.7295148531726539</v>
      </c>
      <c r="DG290" s="476" t="s">
        <v>4723</v>
      </c>
      <c r="DH290" s="484">
        <v>11</v>
      </c>
      <c r="DI290" s="484">
        <v>7</v>
      </c>
      <c r="DJ290" s="484">
        <v>7</v>
      </c>
      <c r="DK290" s="484">
        <v>14</v>
      </c>
      <c r="DL290" s="484">
        <v>11</v>
      </c>
      <c r="DM290" s="484">
        <v>12</v>
      </c>
      <c r="DN290" s="484">
        <v>14</v>
      </c>
      <c r="DO290" s="484">
        <v>4</v>
      </c>
      <c r="DP290" s="484">
        <v>0</v>
      </c>
      <c r="DQ290" s="484">
        <f>IF(VLOOKUP($BS290,'État &amp; Plan d''action'!$B$6:$AJ$1113,28,FALSE)="","",VLOOKUP($BS290,'État &amp; Plan d''action'!$B$6:$AJ$1113,28,FALSE))</f>
        <v>18</v>
      </c>
      <c r="DR290" s="70">
        <f>IF(VLOOKUP($BS290,'État &amp; Plan d''action'!$B$6:$AJ$1113,29,FALSE)="","",VLOOKUP($BS290,'État &amp; Plan d''action'!$B$6:$AJ$1113,29,FALSE))</f>
        <v>0</v>
      </c>
      <c r="DS290" s="70">
        <f>IF(VLOOKUP($BS290,'État &amp; Plan d''action'!$B$6:$AJ$1113,30,FALSE)="","",VLOOKUP($BS290,'État &amp; Plan d''action'!$B$6:$AJ$1113,30,FALSE))</f>
        <v>0</v>
      </c>
      <c r="DT290" s="70">
        <v>437</v>
      </c>
      <c r="DU290" s="485">
        <v>2.3052486699309496</v>
      </c>
      <c r="DV290" s="485">
        <v>10.629810988365993</v>
      </c>
      <c r="DW290" s="70">
        <v>2</v>
      </c>
      <c r="DX290" s="70">
        <v>2</v>
      </c>
      <c r="DY290" s="70">
        <v>0</v>
      </c>
      <c r="DZ290" s="70">
        <f>VLOOKUP($BS290,'État &amp; Plan d''action'!$B$6:$AH$1113,31,FALSE)</f>
        <v>2</v>
      </c>
      <c r="EA290" s="70">
        <f>VLOOKUP($BS290,'État &amp; Plan d''action'!$B$6:$AH$1113,32,FALSE)</f>
        <v>0</v>
      </c>
      <c r="EB290" s="70">
        <f>VLOOKUP($BS290,'État &amp; Plan d''action'!$B$6:$AH$1113,33,FALSE)</f>
        <v>0</v>
      </c>
      <c r="EC290" s="70">
        <v>0</v>
      </c>
      <c r="ED290" s="70">
        <v>91.088999999999999</v>
      </c>
      <c r="EE290" s="70">
        <v>0</v>
      </c>
      <c r="EF290" s="70">
        <v>0</v>
      </c>
      <c r="EG290" s="70">
        <v>0</v>
      </c>
      <c r="EH290" s="72">
        <v>55</v>
      </c>
      <c r="EI290" s="72">
        <v>13179</v>
      </c>
    </row>
    <row r="291" spans="71:139" x14ac:dyDescent="0.35">
      <c r="BS291" s="486">
        <v>30030</v>
      </c>
      <c r="BT291" s="479" t="s">
        <v>222</v>
      </c>
      <c r="BU291" s="479">
        <v>5</v>
      </c>
      <c r="BV291" s="476" t="s">
        <v>1187</v>
      </c>
      <c r="BW291" s="476" t="s">
        <v>1187</v>
      </c>
      <c r="BX291" s="476" t="s">
        <v>1187</v>
      </c>
      <c r="BY291" s="476" t="s">
        <v>1187</v>
      </c>
      <c r="BZ291" s="476" t="s">
        <v>1187</v>
      </c>
      <c r="CA291" s="476" t="s">
        <v>1187</v>
      </c>
      <c r="CB291" s="476" t="s">
        <v>1187</v>
      </c>
      <c r="CC291" s="476" t="s">
        <v>1187</v>
      </c>
      <c r="CD291" s="476" t="s">
        <v>1187</v>
      </c>
      <c r="CE291" s="476" t="s">
        <v>1188</v>
      </c>
      <c r="CF291" s="476" t="s">
        <v>1188</v>
      </c>
      <c r="CG291" s="476" t="s">
        <v>1188</v>
      </c>
      <c r="CH291" s="476" t="s">
        <v>1188</v>
      </c>
      <c r="CI291" s="476" t="s">
        <v>1188</v>
      </c>
      <c r="CJ291" s="476" t="s">
        <v>1188</v>
      </c>
      <c r="CK291" s="476" t="s">
        <v>1188</v>
      </c>
      <c r="CL291" s="476" t="s">
        <v>1188</v>
      </c>
      <c r="CM291" s="476" t="str">
        <f>IF(VLOOKUP(BS291,'Données par municipalité'!$B$6:$E$1113,4,FALSE)="","non","oui")</f>
        <v>oui</v>
      </c>
      <c r="CN291" s="410">
        <v>504.89335993740946</v>
      </c>
      <c r="CO291" s="410">
        <v>521.74402201071621</v>
      </c>
      <c r="CP291" s="410">
        <v>578.28302568883896</v>
      </c>
      <c r="CQ291" s="410">
        <v>514.03477240490781</v>
      </c>
      <c r="CR291" s="410">
        <v>450.30471929613213</v>
      </c>
      <c r="CS291" s="410">
        <v>436.84441016600084</v>
      </c>
      <c r="CT291" s="410">
        <v>443.76705262682822</v>
      </c>
      <c r="CU291" s="410">
        <v>472</v>
      </c>
      <c r="CV291" s="410">
        <f>IF(VLOOKUP(BS291,'Données par municipalité'!$B$6:$F$1113,4,FALSE)="","",VLOOKUP(BS291,'Données par municipalité'!$B$6:$F$1113,4,FALSE))</f>
        <v>453</v>
      </c>
      <c r="CW291" s="476" t="s">
        <v>4723</v>
      </c>
      <c r="CX291" s="483">
        <v>0</v>
      </c>
      <c r="CY291" s="483">
        <v>0</v>
      </c>
      <c r="CZ291" s="483">
        <v>0</v>
      </c>
      <c r="DA291" s="483">
        <v>0</v>
      </c>
      <c r="DB291" s="483">
        <v>0</v>
      </c>
      <c r="DC291" s="483">
        <v>0</v>
      </c>
      <c r="DD291" s="483">
        <v>0.99328009849015964</v>
      </c>
      <c r="DE291" s="483">
        <f>IFERROR(SUM(VLOOKUP($BS291,'État &amp; Plan d''action'!$B$6:$Z$1113,18,FALSE),VLOOKUP($BS291,'État &amp; Plan d''action'!$B$6:$Z$1113,20,FALSE))/(VLOOKUP($BS291,'Données par municipalité'!$B$4:$L$1113,11,FALSE)),"")</f>
        <v>0.98678399130257544</v>
      </c>
      <c r="DF291" s="483">
        <f>IFERROR(SUM(VLOOKUP($BS291,'État &amp; Plan d''action'!$B$6:$Z$1113,19,FALSE),VLOOKUP($BS291,'État &amp; Plan d''action'!$B$6:$Z$1113,21,FALSE))/(VLOOKUP($BS291,'Données par municipalité'!$B$4:$L$1113,11,FALSE)),"")</f>
        <v>0.98678399130257544</v>
      </c>
      <c r="DG291" s="476" t="s">
        <v>4723</v>
      </c>
      <c r="DH291" s="484">
        <v>19</v>
      </c>
      <c r="DI291" s="484">
        <v>63</v>
      </c>
      <c r="DJ291" s="484">
        <v>7</v>
      </c>
      <c r="DK291" s="484">
        <v>10</v>
      </c>
      <c r="DL291" s="484">
        <v>3</v>
      </c>
      <c r="DM291" s="484">
        <v>6</v>
      </c>
      <c r="DN291" s="484">
        <v>2</v>
      </c>
      <c r="DO291" s="484">
        <v>4</v>
      </c>
      <c r="DP291" s="484">
        <v>0</v>
      </c>
      <c r="DQ291" s="484">
        <f>IF(VLOOKUP($BS291,'État &amp; Plan d''action'!$B$6:$AJ$1113,28,FALSE)="","",VLOOKUP($BS291,'État &amp; Plan d''action'!$B$6:$AJ$1113,28,FALSE))</f>
        <v>4</v>
      </c>
      <c r="DR291" s="70">
        <f>IF(VLOOKUP($BS291,'État &amp; Plan d''action'!$B$6:$AJ$1113,29,FALSE)="","",VLOOKUP($BS291,'État &amp; Plan d''action'!$B$6:$AJ$1113,29,FALSE))</f>
        <v>1</v>
      </c>
      <c r="DS291" s="70">
        <f>IF(VLOOKUP($BS291,'État &amp; Plan d''action'!$B$6:$AJ$1113,30,FALSE)="","",VLOOKUP($BS291,'État &amp; Plan d''action'!$B$6:$AJ$1113,30,FALSE))</f>
        <v>2</v>
      </c>
      <c r="DT291" s="70">
        <v>197</v>
      </c>
      <c r="DU291" s="485">
        <v>0.80250814205277954</v>
      </c>
      <c r="DV291" s="485">
        <v>1.1255216058575326</v>
      </c>
      <c r="DW291" s="70">
        <v>3</v>
      </c>
      <c r="DX291" s="70">
        <v>3</v>
      </c>
      <c r="DY291" s="70">
        <v>0</v>
      </c>
      <c r="DZ291" s="70">
        <f>VLOOKUP($BS291,'État &amp; Plan d''action'!$B$6:$AH$1113,31,FALSE)</f>
        <v>7</v>
      </c>
      <c r="EA291" s="70">
        <f>VLOOKUP($BS291,'État &amp; Plan d''action'!$B$6:$AH$1113,32,FALSE)</f>
        <v>1</v>
      </c>
      <c r="EB291" s="70">
        <f>VLOOKUP($BS291,'État &amp; Plan d''action'!$B$6:$AH$1113,33,FALSE)</f>
        <v>7</v>
      </c>
      <c r="EC291" s="70">
        <v>58.09</v>
      </c>
      <c r="ED291" s="70">
        <v>58.09</v>
      </c>
      <c r="EE291" s="70">
        <v>0</v>
      </c>
      <c r="EF291" s="70">
        <v>0</v>
      </c>
      <c r="EG291" s="70">
        <v>0</v>
      </c>
      <c r="EH291" s="72">
        <v>65</v>
      </c>
      <c r="EI291" s="72">
        <v>5632</v>
      </c>
    </row>
    <row r="292" spans="71:139" x14ac:dyDescent="0.35">
      <c r="BS292" s="486">
        <v>56023</v>
      </c>
      <c r="BT292" s="479" t="s">
        <v>570</v>
      </c>
      <c r="BU292" s="479">
        <v>16</v>
      </c>
      <c r="BV292" s="476" t="s">
        <v>1187</v>
      </c>
      <c r="BW292" s="476" t="s">
        <v>1187</v>
      </c>
      <c r="BX292" s="476" t="s">
        <v>1187</v>
      </c>
      <c r="BY292" s="476" t="s">
        <v>1187</v>
      </c>
      <c r="BZ292" s="476" t="s">
        <v>1187</v>
      </c>
      <c r="CA292" s="476" t="s">
        <v>1187</v>
      </c>
      <c r="CB292" s="476" t="s">
        <v>1187</v>
      </c>
      <c r="CC292" s="476" t="s">
        <v>1187</v>
      </c>
      <c r="CD292" s="476" t="s">
        <v>1187</v>
      </c>
      <c r="CE292" s="476" t="s">
        <v>1188</v>
      </c>
      <c r="CF292" s="476" t="s">
        <v>1188</v>
      </c>
      <c r="CG292" s="476" t="s">
        <v>1187</v>
      </c>
      <c r="CH292" s="476" t="s">
        <v>1187</v>
      </c>
      <c r="CI292" s="476" t="s">
        <v>1187</v>
      </c>
      <c r="CJ292" s="476" t="s">
        <v>1188</v>
      </c>
      <c r="CK292" s="476" t="s">
        <v>1187</v>
      </c>
      <c r="CL292" s="476" t="s">
        <v>1187</v>
      </c>
      <c r="CM292" s="476" t="str">
        <f>IF(VLOOKUP(BS292,'Données par municipalité'!$B$6:$E$1113,4,FALSE)="","non","oui")</f>
        <v>non</v>
      </c>
      <c r="CN292" s="410">
        <v>966.45827465624745</v>
      </c>
      <c r="CO292" s="410">
        <v>517.34544789747895</v>
      </c>
      <c r="CP292" s="410"/>
      <c r="CQ292" s="410"/>
      <c r="CR292" s="410"/>
      <c r="CS292" s="410">
        <v>377.13669554753801</v>
      </c>
      <c r="CT292" s="410"/>
      <c r="CU292" s="410" t="s">
        <v>1124</v>
      </c>
      <c r="CV292" s="410" t="str">
        <f>IF(VLOOKUP(BS292,'Données par municipalité'!$B$6:$F$1113,4,FALSE)="","",VLOOKUP(BS292,'Données par municipalité'!$B$6:$F$1113,4,FALSE))</f>
        <v/>
      </c>
      <c r="CW292" s="476" t="s">
        <v>4723</v>
      </c>
      <c r="CX292" s="483">
        <v>1</v>
      </c>
      <c r="CY292" s="483" t="s">
        <v>1124</v>
      </c>
      <c r="CZ292" s="483" t="s">
        <v>1124</v>
      </c>
      <c r="DA292" s="483" t="s">
        <v>1124</v>
      </c>
      <c r="DB292" s="483">
        <v>0</v>
      </c>
      <c r="DC292" s="483" t="s">
        <v>1124</v>
      </c>
      <c r="DD292" s="483" t="s">
        <v>1124</v>
      </c>
      <c r="DE292" s="483" t="str">
        <f>IFERROR(SUM(VLOOKUP($BS292,'État &amp; Plan d''action'!$B$6:$Z$1113,18,FALSE),VLOOKUP($BS292,'État &amp; Plan d''action'!$B$6:$Z$1113,20,FALSE))/(VLOOKUP($BS292,'Données par municipalité'!$B$4:$L$1113,11,FALSE)),"")</f>
        <v/>
      </c>
      <c r="DF292" s="483" t="str">
        <f>IFERROR(SUM(VLOOKUP($BS292,'État &amp; Plan d''action'!$B$6:$Z$1113,19,FALSE),VLOOKUP($BS292,'État &amp; Plan d''action'!$B$6:$Z$1113,21,FALSE))/(VLOOKUP($BS292,'Données par municipalité'!$B$4:$L$1113,11,FALSE)),"")</f>
        <v/>
      </c>
      <c r="DG292" s="476" t="s">
        <v>4723</v>
      </c>
      <c r="DH292" s="484">
        <v>9</v>
      </c>
      <c r="DI292" s="484" t="s">
        <v>1124</v>
      </c>
      <c r="DJ292" s="484">
        <v>0</v>
      </c>
      <c r="DK292" s="484">
        <v>0</v>
      </c>
      <c r="DL292" s="484">
        <v>5</v>
      </c>
      <c r="DM292" s="484" t="s">
        <v>1124</v>
      </c>
      <c r="DN292" s="484" t="s">
        <v>1124</v>
      </c>
      <c r="DO292" s="484" t="s">
        <v>1124</v>
      </c>
      <c r="DP292" s="484" t="s">
        <v>1124</v>
      </c>
      <c r="DQ292" s="484" t="str">
        <f>IF(VLOOKUP($BS292,'État &amp; Plan d''action'!$B$6:$AJ$1113,28,FALSE)="","",VLOOKUP($BS292,'État &amp; Plan d''action'!$B$6:$AJ$1113,28,FALSE))</f>
        <v/>
      </c>
      <c r="DR292" s="70" t="str">
        <f>IF(VLOOKUP($BS292,'État &amp; Plan d''action'!$B$6:$AJ$1113,29,FALSE)="","",VLOOKUP($BS292,'État &amp; Plan d''action'!$B$6:$AJ$1113,29,FALSE))</f>
        <v/>
      </c>
      <c r="DS292" s="70" t="str">
        <f>IF(VLOOKUP($BS292,'État &amp; Plan d''action'!$B$6:$AJ$1113,30,FALSE)="","",VLOOKUP($BS292,'État &amp; Plan d''action'!$B$6:$AJ$1113,30,FALSE))</f>
        <v/>
      </c>
      <c r="DT292" s="70" t="s">
        <v>1124</v>
      </c>
      <c r="DU292" s="485" t="s">
        <v>1124</v>
      </c>
      <c r="DV292" s="485" t="s">
        <v>1124</v>
      </c>
      <c r="DW292" s="70" t="s">
        <v>1124</v>
      </c>
      <c r="DX292" s="70" t="s">
        <v>1124</v>
      </c>
      <c r="DY292" s="70" t="s">
        <v>1124</v>
      </c>
      <c r="DZ292" s="70" t="str">
        <f>VLOOKUP($BS292,'État &amp; Plan d''action'!$B$6:$AH$1113,31,FALSE)</f>
        <v/>
      </c>
      <c r="EA292" s="70" t="str">
        <f>VLOOKUP($BS292,'État &amp; Plan d''action'!$B$6:$AH$1113,32,FALSE)</f>
        <v/>
      </c>
      <c r="EB292" s="70" t="str">
        <f>VLOOKUP($BS292,'État &amp; Plan d''action'!$B$6:$AH$1113,33,FALSE)</f>
        <v/>
      </c>
      <c r="EC292" s="70" t="s">
        <v>1124</v>
      </c>
      <c r="ED292" s="70" t="s">
        <v>1124</v>
      </c>
      <c r="EE292" s="70" t="s">
        <v>1124</v>
      </c>
      <c r="EF292" s="70" t="s">
        <v>1124</v>
      </c>
      <c r="EG292" s="70" t="s">
        <v>1124</v>
      </c>
      <c r="EH292" s="72"/>
      <c r="EI292" s="72">
        <v>2693</v>
      </c>
    </row>
    <row r="293" spans="71:139" x14ac:dyDescent="0.35">
      <c r="BS293" s="486">
        <v>29095</v>
      </c>
      <c r="BT293" s="479" t="s">
        <v>212</v>
      </c>
      <c r="BU293" s="479">
        <v>12</v>
      </c>
      <c r="BV293" s="476" t="s">
        <v>1188</v>
      </c>
      <c r="BW293" s="476" t="s">
        <v>1188</v>
      </c>
      <c r="BX293" s="476" t="s">
        <v>1188</v>
      </c>
      <c r="BY293" s="476" t="s">
        <v>1188</v>
      </c>
      <c r="BZ293" s="476" t="s">
        <v>1188</v>
      </c>
      <c r="CA293" s="476" t="s">
        <v>1188</v>
      </c>
      <c r="CB293" s="476" t="s">
        <v>1188</v>
      </c>
      <c r="CC293" s="476" t="s">
        <v>1188</v>
      </c>
      <c r="CD293" s="476" t="s">
        <v>1188</v>
      </c>
      <c r="CE293" s="476" t="s">
        <v>1187</v>
      </c>
      <c r="CF293" s="476" t="s">
        <v>1187</v>
      </c>
      <c r="CG293" s="476" t="s">
        <v>1187</v>
      </c>
      <c r="CH293" s="476" t="s">
        <v>1187</v>
      </c>
      <c r="CI293" s="476" t="s">
        <v>1187</v>
      </c>
      <c r="CJ293" s="476" t="s">
        <v>1187</v>
      </c>
      <c r="CK293" s="476" t="s">
        <v>1187</v>
      </c>
      <c r="CL293" s="476" t="s">
        <v>1187</v>
      </c>
      <c r="CM293" s="476" t="str">
        <f>IF(VLOOKUP(BS293,'Données par municipalité'!$B$6:$E$1113,4,FALSE)="","non","oui")</f>
        <v>non</v>
      </c>
      <c r="CN293" s="410" t="s">
        <v>1124</v>
      </c>
      <c r="CO293" s="410" t="s">
        <v>1124</v>
      </c>
      <c r="CP293" s="410"/>
      <c r="CQ293" s="410"/>
      <c r="CR293" s="410"/>
      <c r="CS293" s="410" t="s">
        <v>1124</v>
      </c>
      <c r="CT293" s="410"/>
      <c r="CU293" s="410" t="s">
        <v>1124</v>
      </c>
      <c r="CV293" s="410" t="str">
        <f>IF(VLOOKUP(BS293,'Données par municipalité'!$B$6:$F$1113,4,FALSE)="","",VLOOKUP(BS293,'Données par municipalité'!$B$6:$F$1113,4,FALSE))</f>
        <v/>
      </c>
      <c r="CW293" s="476" t="s">
        <v>4723</v>
      </c>
      <c r="CX293" s="483" t="s">
        <v>1124</v>
      </c>
      <c r="CY293" s="483" t="s">
        <v>1124</v>
      </c>
      <c r="CZ293" s="483" t="s">
        <v>1124</v>
      </c>
      <c r="DA293" s="483" t="s">
        <v>1124</v>
      </c>
      <c r="DB293" s="483" t="s">
        <v>1124</v>
      </c>
      <c r="DC293" s="483" t="s">
        <v>1124</v>
      </c>
      <c r="DD293" s="483" t="s">
        <v>1124</v>
      </c>
      <c r="DE293" s="483" t="str">
        <f>IFERROR(SUM(VLOOKUP($BS293,'État &amp; Plan d''action'!$B$6:$Z$1113,18,FALSE),VLOOKUP($BS293,'État &amp; Plan d''action'!$B$6:$Z$1113,20,FALSE))/(VLOOKUP($BS293,'Données par municipalité'!$B$4:$L$1113,11,FALSE)),"")</f>
        <v/>
      </c>
      <c r="DF293" s="483" t="str">
        <f>IFERROR(SUM(VLOOKUP($BS293,'État &amp; Plan d''action'!$B$6:$Z$1113,19,FALSE),VLOOKUP($BS293,'État &amp; Plan d''action'!$B$6:$Z$1113,21,FALSE))/(VLOOKUP($BS293,'Données par municipalité'!$B$4:$L$1113,11,FALSE)),"")</f>
        <v/>
      </c>
      <c r="DG293" s="476" t="s">
        <v>4723</v>
      </c>
      <c r="DH293" s="484" t="s">
        <v>1124</v>
      </c>
      <c r="DI293" s="484" t="s">
        <v>1124</v>
      </c>
      <c r="DJ293" s="484">
        <v>0</v>
      </c>
      <c r="DK293" s="484">
        <v>0</v>
      </c>
      <c r="DL293" s="484" t="s">
        <v>1124</v>
      </c>
      <c r="DM293" s="484" t="s">
        <v>1124</v>
      </c>
      <c r="DN293" s="484" t="s">
        <v>1124</v>
      </c>
      <c r="DO293" s="484" t="s">
        <v>1124</v>
      </c>
      <c r="DP293" s="484" t="s">
        <v>1124</v>
      </c>
      <c r="DQ293" s="484" t="str">
        <f>IF(VLOOKUP($BS293,'État &amp; Plan d''action'!$B$6:$AJ$1113,28,FALSE)="","",VLOOKUP($BS293,'État &amp; Plan d''action'!$B$6:$AJ$1113,28,FALSE))</f>
        <v/>
      </c>
      <c r="DR293" s="70" t="str">
        <f>IF(VLOOKUP($BS293,'État &amp; Plan d''action'!$B$6:$AJ$1113,29,FALSE)="","",VLOOKUP($BS293,'État &amp; Plan d''action'!$B$6:$AJ$1113,29,FALSE))</f>
        <v/>
      </c>
      <c r="DS293" s="70" t="str">
        <f>IF(VLOOKUP($BS293,'État &amp; Plan d''action'!$B$6:$AJ$1113,30,FALSE)="","",VLOOKUP($BS293,'État &amp; Plan d''action'!$B$6:$AJ$1113,30,FALSE))</f>
        <v/>
      </c>
      <c r="DT293" s="70" t="s">
        <v>1124</v>
      </c>
      <c r="DU293" s="485" t="s">
        <v>1124</v>
      </c>
      <c r="DV293" s="485" t="s">
        <v>1124</v>
      </c>
      <c r="DW293" s="70" t="s">
        <v>1124</v>
      </c>
      <c r="DX293" s="70" t="s">
        <v>1124</v>
      </c>
      <c r="DY293" s="70" t="s">
        <v>1124</v>
      </c>
      <c r="DZ293" s="70" t="str">
        <f>VLOOKUP($BS293,'État &amp; Plan d''action'!$B$6:$AH$1113,31,FALSE)</f>
        <v/>
      </c>
      <c r="EA293" s="70" t="str">
        <f>VLOOKUP($BS293,'État &amp; Plan d''action'!$B$6:$AH$1113,32,FALSE)</f>
        <v/>
      </c>
      <c r="EB293" s="70" t="str">
        <f>VLOOKUP($BS293,'État &amp; Plan d''action'!$B$6:$AH$1113,33,FALSE)</f>
        <v/>
      </c>
      <c r="EC293" s="70" t="s">
        <v>1124</v>
      </c>
      <c r="ED293" s="70" t="s">
        <v>1124</v>
      </c>
      <c r="EE293" s="70" t="s">
        <v>1124</v>
      </c>
      <c r="EF293" s="70" t="s">
        <v>1124</v>
      </c>
      <c r="EG293" s="70" t="s">
        <v>1124</v>
      </c>
      <c r="EH293" s="72"/>
      <c r="EI293" s="72">
        <v>153</v>
      </c>
    </row>
    <row r="294" spans="71:139" x14ac:dyDescent="0.35">
      <c r="BS294" s="486">
        <v>79060</v>
      </c>
      <c r="BT294" s="479" t="s">
        <v>795</v>
      </c>
      <c r="BU294" s="479">
        <v>15</v>
      </c>
      <c r="BV294" s="476" t="s">
        <v>1188</v>
      </c>
      <c r="BW294" s="476" t="s">
        <v>1188</v>
      </c>
      <c r="BX294" s="476" t="s">
        <v>1188</v>
      </c>
      <c r="BY294" s="476" t="s">
        <v>1188</v>
      </c>
      <c r="BZ294" s="476" t="s">
        <v>1188</v>
      </c>
      <c r="CA294" s="476" t="s">
        <v>1188</v>
      </c>
      <c r="CB294" s="476" t="s">
        <v>1188</v>
      </c>
      <c r="CC294" s="476" t="s">
        <v>1188</v>
      </c>
      <c r="CD294" s="476" t="s">
        <v>1188</v>
      </c>
      <c r="CE294" s="476" t="s">
        <v>1187</v>
      </c>
      <c r="CF294" s="476" t="s">
        <v>1187</v>
      </c>
      <c r="CG294" s="476" t="s">
        <v>1187</v>
      </c>
      <c r="CH294" s="476" t="s">
        <v>1187</v>
      </c>
      <c r="CI294" s="476" t="s">
        <v>1187</v>
      </c>
      <c r="CJ294" s="476" t="s">
        <v>1187</v>
      </c>
      <c r="CK294" s="476" t="s">
        <v>1187</v>
      </c>
      <c r="CL294" s="476" t="s">
        <v>1187</v>
      </c>
      <c r="CM294" s="476" t="str">
        <f>IF(VLOOKUP(BS294,'Données par municipalité'!$B$6:$E$1113,4,FALSE)="","non","oui")</f>
        <v>non</v>
      </c>
      <c r="CN294" s="410" t="s">
        <v>1124</v>
      </c>
      <c r="CO294" s="410" t="s">
        <v>1124</v>
      </c>
      <c r="CP294" s="410"/>
      <c r="CQ294" s="410"/>
      <c r="CR294" s="410"/>
      <c r="CS294" s="410" t="s">
        <v>1124</v>
      </c>
      <c r="CT294" s="410"/>
      <c r="CU294" s="410" t="s">
        <v>1124</v>
      </c>
      <c r="CV294" s="410" t="str">
        <f>IF(VLOOKUP(BS294,'Données par municipalité'!$B$6:$F$1113,4,FALSE)="","",VLOOKUP(BS294,'Données par municipalité'!$B$6:$F$1113,4,FALSE))</f>
        <v/>
      </c>
      <c r="CW294" s="476" t="s">
        <v>4723</v>
      </c>
      <c r="CX294" s="483" t="s">
        <v>1124</v>
      </c>
      <c r="CY294" s="483" t="s">
        <v>1124</v>
      </c>
      <c r="CZ294" s="483" t="s">
        <v>1124</v>
      </c>
      <c r="DA294" s="483" t="s">
        <v>1124</v>
      </c>
      <c r="DB294" s="483" t="s">
        <v>1124</v>
      </c>
      <c r="DC294" s="483" t="s">
        <v>1124</v>
      </c>
      <c r="DD294" s="483" t="s">
        <v>1124</v>
      </c>
      <c r="DE294" s="483" t="str">
        <f>IFERROR(SUM(VLOOKUP($BS294,'État &amp; Plan d''action'!$B$6:$Z$1113,18,FALSE),VLOOKUP($BS294,'État &amp; Plan d''action'!$B$6:$Z$1113,20,FALSE))/(VLOOKUP($BS294,'Données par municipalité'!$B$4:$L$1113,11,FALSE)),"")</f>
        <v/>
      </c>
      <c r="DF294" s="483" t="str">
        <f>IFERROR(SUM(VLOOKUP($BS294,'État &amp; Plan d''action'!$B$6:$Z$1113,19,FALSE),VLOOKUP($BS294,'État &amp; Plan d''action'!$B$6:$Z$1113,21,FALSE))/(VLOOKUP($BS294,'Données par municipalité'!$B$4:$L$1113,11,FALSE)),"")</f>
        <v/>
      </c>
      <c r="DG294" s="476" t="s">
        <v>4723</v>
      </c>
      <c r="DH294" s="484" t="s">
        <v>1124</v>
      </c>
      <c r="DI294" s="484" t="s">
        <v>1124</v>
      </c>
      <c r="DJ294" s="484">
        <v>0</v>
      </c>
      <c r="DK294" s="484">
        <v>0</v>
      </c>
      <c r="DL294" s="484" t="s">
        <v>1124</v>
      </c>
      <c r="DM294" s="484" t="s">
        <v>1124</v>
      </c>
      <c r="DN294" s="484" t="s">
        <v>1124</v>
      </c>
      <c r="DO294" s="484" t="s">
        <v>1124</v>
      </c>
      <c r="DP294" s="484" t="s">
        <v>1124</v>
      </c>
      <c r="DQ294" s="484" t="str">
        <f>IF(VLOOKUP($BS294,'État &amp; Plan d''action'!$B$6:$AJ$1113,28,FALSE)="","",VLOOKUP($BS294,'État &amp; Plan d''action'!$B$6:$AJ$1113,28,FALSE))</f>
        <v/>
      </c>
      <c r="DR294" s="70" t="str">
        <f>IF(VLOOKUP($BS294,'État &amp; Plan d''action'!$B$6:$AJ$1113,29,FALSE)="","",VLOOKUP($BS294,'État &amp; Plan d''action'!$B$6:$AJ$1113,29,FALSE))</f>
        <v/>
      </c>
      <c r="DS294" s="70" t="str">
        <f>IF(VLOOKUP($BS294,'État &amp; Plan d''action'!$B$6:$AJ$1113,30,FALSE)="","",VLOOKUP($BS294,'État &amp; Plan d''action'!$B$6:$AJ$1113,30,FALSE))</f>
        <v/>
      </c>
      <c r="DT294" s="70" t="s">
        <v>1124</v>
      </c>
      <c r="DU294" s="485" t="s">
        <v>1124</v>
      </c>
      <c r="DV294" s="485" t="s">
        <v>1124</v>
      </c>
      <c r="DW294" s="70" t="s">
        <v>1124</v>
      </c>
      <c r="DX294" s="70" t="s">
        <v>1124</v>
      </c>
      <c r="DY294" s="70" t="s">
        <v>1124</v>
      </c>
      <c r="DZ294" s="70" t="str">
        <f>VLOOKUP($BS294,'État &amp; Plan d''action'!$B$6:$AH$1113,31,FALSE)</f>
        <v/>
      </c>
      <c r="EA294" s="70" t="str">
        <f>VLOOKUP($BS294,'État &amp; Plan d''action'!$B$6:$AH$1113,32,FALSE)</f>
        <v/>
      </c>
      <c r="EB294" s="70" t="str">
        <f>VLOOKUP($BS294,'État &amp; Plan d''action'!$B$6:$AH$1113,33,FALSE)</f>
        <v/>
      </c>
      <c r="EC294" s="70" t="s">
        <v>1124</v>
      </c>
      <c r="ED294" s="70" t="s">
        <v>1124</v>
      </c>
      <c r="EE294" s="70" t="s">
        <v>1124</v>
      </c>
      <c r="EF294" s="70" t="s">
        <v>1124</v>
      </c>
      <c r="EG294" s="70" t="s">
        <v>1124</v>
      </c>
      <c r="EH294" s="72"/>
      <c r="EI294" s="72">
        <v>452</v>
      </c>
    </row>
    <row r="295" spans="71:139" x14ac:dyDescent="0.35">
      <c r="BS295" s="486">
        <v>83020</v>
      </c>
      <c r="BT295" s="479" t="s">
        <v>838</v>
      </c>
      <c r="BU295" s="479">
        <v>7</v>
      </c>
      <c r="BV295" s="476" t="s">
        <v>1187</v>
      </c>
      <c r="BW295" s="476" t="s">
        <v>1187</v>
      </c>
      <c r="BX295" s="476" t="s">
        <v>1187</v>
      </c>
      <c r="BY295" s="476" t="s">
        <v>1187</v>
      </c>
      <c r="BZ295" s="476" t="s">
        <v>1187</v>
      </c>
      <c r="CA295" s="476" t="s">
        <v>1187</v>
      </c>
      <c r="CB295" s="476" t="s">
        <v>1188</v>
      </c>
      <c r="CC295" s="476" t="s">
        <v>1187</v>
      </c>
      <c r="CD295" s="476" t="s">
        <v>1187</v>
      </c>
      <c r="CE295" s="476" t="s">
        <v>1188</v>
      </c>
      <c r="CF295" s="476" t="s">
        <v>1188</v>
      </c>
      <c r="CG295" s="476" t="s">
        <v>1188</v>
      </c>
      <c r="CH295" s="476" t="s">
        <v>1188</v>
      </c>
      <c r="CI295" s="476" t="s">
        <v>1188</v>
      </c>
      <c r="CJ295" s="476" t="s">
        <v>1188</v>
      </c>
      <c r="CK295" s="476" t="s">
        <v>1187</v>
      </c>
      <c r="CL295" s="476" t="s">
        <v>1188</v>
      </c>
      <c r="CM295" s="476" t="str">
        <f>IF(VLOOKUP(BS295,'Données par municipalité'!$B$6:$E$1113,4,FALSE)="","non","oui")</f>
        <v>non</v>
      </c>
      <c r="CN295" s="410">
        <v>550.06988094448582</v>
      </c>
      <c r="CO295" s="410">
        <v>547.5708029301976</v>
      </c>
      <c r="CP295" s="410">
        <v>452.5735019875118</v>
      </c>
      <c r="CQ295" s="410">
        <v>400.82553323123392</v>
      </c>
      <c r="CR295" s="410">
        <v>439.02594085461857</v>
      </c>
      <c r="CS295" s="410">
        <v>3887.3966859009952</v>
      </c>
      <c r="CT295" s="410"/>
      <c r="CU295" s="410">
        <v>6237</v>
      </c>
      <c r="CV295" s="410" t="str">
        <f>IF(VLOOKUP(BS295,'Données par municipalité'!$B$6:$F$1113,4,FALSE)="","",VLOOKUP(BS295,'Données par municipalité'!$B$6:$F$1113,4,FALSE))</f>
        <v/>
      </c>
      <c r="CW295" s="476" t="s">
        <v>4723</v>
      </c>
      <c r="CX295" s="483">
        <v>0</v>
      </c>
      <c r="CY295" s="483">
        <v>0</v>
      </c>
      <c r="CZ295" s="483">
        <v>0</v>
      </c>
      <c r="DA295" s="483">
        <v>0</v>
      </c>
      <c r="DB295" s="483">
        <v>0</v>
      </c>
      <c r="DC295" s="483" t="s">
        <v>1124</v>
      </c>
      <c r="DD295" s="483">
        <v>0</v>
      </c>
      <c r="DE295" s="483" t="str">
        <f>IFERROR(SUM(VLOOKUP($BS295,'État &amp; Plan d''action'!$B$6:$Z$1113,18,FALSE),VLOOKUP($BS295,'État &amp; Plan d''action'!$B$6:$Z$1113,20,FALSE))/(VLOOKUP($BS295,'Données par municipalité'!$B$4:$L$1113,11,FALSE)),"")</f>
        <v/>
      </c>
      <c r="DF295" s="483" t="str">
        <f>IFERROR(SUM(VLOOKUP($BS295,'État &amp; Plan d''action'!$B$6:$Z$1113,19,FALSE),VLOOKUP($BS295,'État &amp; Plan d''action'!$B$6:$Z$1113,21,FALSE))/(VLOOKUP($BS295,'Données par municipalité'!$B$4:$L$1113,11,FALSE)),"")</f>
        <v/>
      </c>
      <c r="DG295" s="476" t="s">
        <v>4723</v>
      </c>
      <c r="DH295" s="484">
        <v>0</v>
      </c>
      <c r="DI295" s="484">
        <v>0</v>
      </c>
      <c r="DJ295" s="484">
        <v>0</v>
      </c>
      <c r="DK295" s="484">
        <v>0</v>
      </c>
      <c r="DL295" s="484">
        <v>0</v>
      </c>
      <c r="DM295" s="484" t="s">
        <v>1124</v>
      </c>
      <c r="DN295" s="484">
        <v>0</v>
      </c>
      <c r="DO295" s="484">
        <v>0</v>
      </c>
      <c r="DP295" s="484">
        <v>0</v>
      </c>
      <c r="DQ295" s="484" t="str">
        <f>IF(VLOOKUP($BS295,'État &amp; Plan d''action'!$B$6:$AJ$1113,28,FALSE)="","",VLOOKUP($BS295,'État &amp; Plan d''action'!$B$6:$AJ$1113,28,FALSE))</f>
        <v/>
      </c>
      <c r="DR295" s="70" t="str">
        <f>IF(VLOOKUP($BS295,'État &amp; Plan d''action'!$B$6:$AJ$1113,29,FALSE)="","",VLOOKUP($BS295,'État &amp; Plan d''action'!$B$6:$AJ$1113,29,FALSE))</f>
        <v/>
      </c>
      <c r="DS295" s="70" t="str">
        <f>IF(VLOOKUP($BS295,'État &amp; Plan d''action'!$B$6:$AJ$1113,30,FALSE)="","",VLOOKUP($BS295,'État &amp; Plan d''action'!$B$6:$AJ$1113,30,FALSE))</f>
        <v/>
      </c>
      <c r="DT295" s="70">
        <v>332</v>
      </c>
      <c r="DU295" s="485">
        <v>0.94481768679813327</v>
      </c>
      <c r="DV295" s="485" t="s">
        <v>1124</v>
      </c>
      <c r="DW295" s="70">
        <v>0</v>
      </c>
      <c r="DX295" s="70">
        <v>0</v>
      </c>
      <c r="DY295" s="70">
        <v>0</v>
      </c>
      <c r="DZ295" s="70" t="str">
        <f>VLOOKUP($BS295,'État &amp; Plan d''action'!$B$6:$AH$1113,31,FALSE)</f>
        <v/>
      </c>
      <c r="EA295" s="70" t="str">
        <f>VLOOKUP($BS295,'État &amp; Plan d''action'!$B$6:$AH$1113,32,FALSE)</f>
        <v/>
      </c>
      <c r="EB295" s="70" t="str">
        <f>VLOOKUP($BS295,'État &amp; Plan d''action'!$B$6:$AH$1113,33,FALSE)</f>
        <v/>
      </c>
      <c r="EC295" s="70">
        <v>0</v>
      </c>
      <c r="ED295" s="70">
        <v>0</v>
      </c>
      <c r="EE295" s="70">
        <v>0</v>
      </c>
      <c r="EF295" s="70">
        <v>0</v>
      </c>
      <c r="EG295" s="70">
        <v>0</v>
      </c>
      <c r="EH295" s="72">
        <v>48</v>
      </c>
      <c r="EI295" s="72">
        <v>607</v>
      </c>
    </row>
    <row r="296" spans="71:139" x14ac:dyDescent="0.35">
      <c r="BS296" s="486">
        <v>22015</v>
      </c>
      <c r="BT296" s="479" t="s">
        <v>155</v>
      </c>
      <c r="BU296" s="479">
        <v>3</v>
      </c>
      <c r="BV296" s="476" t="s">
        <v>1188</v>
      </c>
      <c r="BW296" s="476" t="s">
        <v>1188</v>
      </c>
      <c r="BX296" s="476" t="s">
        <v>1188</v>
      </c>
      <c r="BY296" s="476" t="s">
        <v>1188</v>
      </c>
      <c r="BZ296" s="476" t="s">
        <v>1188</v>
      </c>
      <c r="CA296" s="476" t="s">
        <v>1188</v>
      </c>
      <c r="CB296" s="476" t="s">
        <v>1188</v>
      </c>
      <c r="CC296" s="476" t="s">
        <v>1188</v>
      </c>
      <c r="CD296" s="476" t="s">
        <v>1188</v>
      </c>
      <c r="CE296" s="476" t="s">
        <v>1187</v>
      </c>
      <c r="CF296" s="476" t="s">
        <v>1187</v>
      </c>
      <c r="CG296" s="476" t="s">
        <v>1187</v>
      </c>
      <c r="CH296" s="476" t="s">
        <v>1187</v>
      </c>
      <c r="CI296" s="476" t="s">
        <v>1187</v>
      </c>
      <c r="CJ296" s="476" t="s">
        <v>1187</v>
      </c>
      <c r="CK296" s="476" t="s">
        <v>1187</v>
      </c>
      <c r="CL296" s="476" t="s">
        <v>1187</v>
      </c>
      <c r="CM296" s="476" t="str">
        <f>IF(VLOOKUP(BS296,'Données par municipalité'!$B$6:$E$1113,4,FALSE)="","non","oui")</f>
        <v>non</v>
      </c>
      <c r="CN296" s="410" t="s">
        <v>1124</v>
      </c>
      <c r="CO296" s="410" t="s">
        <v>1124</v>
      </c>
      <c r="CP296" s="410"/>
      <c r="CQ296" s="410"/>
      <c r="CR296" s="410"/>
      <c r="CS296" s="410" t="s">
        <v>1124</v>
      </c>
      <c r="CT296" s="410"/>
      <c r="CU296" s="410" t="s">
        <v>1124</v>
      </c>
      <c r="CV296" s="410" t="str">
        <f>IF(VLOOKUP(BS296,'Données par municipalité'!$B$6:$F$1113,4,FALSE)="","",VLOOKUP(BS296,'Données par municipalité'!$B$6:$F$1113,4,FALSE))</f>
        <v/>
      </c>
      <c r="CW296" s="476" t="s">
        <v>4723</v>
      </c>
      <c r="CX296" s="483" t="s">
        <v>1124</v>
      </c>
      <c r="CY296" s="483" t="s">
        <v>1124</v>
      </c>
      <c r="CZ296" s="483" t="s">
        <v>1124</v>
      </c>
      <c r="DA296" s="483" t="s">
        <v>1124</v>
      </c>
      <c r="DB296" s="483" t="s">
        <v>1124</v>
      </c>
      <c r="DC296" s="483" t="s">
        <v>1124</v>
      </c>
      <c r="DD296" s="483" t="s">
        <v>1124</v>
      </c>
      <c r="DE296" s="483" t="str">
        <f>IFERROR(SUM(VLOOKUP($BS296,'État &amp; Plan d''action'!$B$6:$Z$1113,18,FALSE),VLOOKUP($BS296,'État &amp; Plan d''action'!$B$6:$Z$1113,20,FALSE))/(VLOOKUP($BS296,'Données par municipalité'!$B$4:$L$1113,11,FALSE)),"")</f>
        <v/>
      </c>
      <c r="DF296" s="483" t="str">
        <f>IFERROR(SUM(VLOOKUP($BS296,'État &amp; Plan d''action'!$B$6:$Z$1113,19,FALSE),VLOOKUP($BS296,'État &amp; Plan d''action'!$B$6:$Z$1113,21,FALSE))/(VLOOKUP($BS296,'Données par municipalité'!$B$4:$L$1113,11,FALSE)),"")</f>
        <v/>
      </c>
      <c r="DG296" s="476" t="s">
        <v>4723</v>
      </c>
      <c r="DH296" s="484" t="s">
        <v>1124</v>
      </c>
      <c r="DI296" s="484" t="s">
        <v>1124</v>
      </c>
      <c r="DJ296" s="484">
        <v>0</v>
      </c>
      <c r="DK296" s="484">
        <v>0</v>
      </c>
      <c r="DL296" s="484" t="s">
        <v>1124</v>
      </c>
      <c r="DM296" s="484" t="s">
        <v>1124</v>
      </c>
      <c r="DN296" s="484" t="s">
        <v>1124</v>
      </c>
      <c r="DO296" s="484" t="s">
        <v>1124</v>
      </c>
      <c r="DP296" s="484" t="s">
        <v>1124</v>
      </c>
      <c r="DQ296" s="484" t="str">
        <f>IF(VLOOKUP($BS296,'État &amp; Plan d''action'!$B$6:$AJ$1113,28,FALSE)="","",VLOOKUP($BS296,'État &amp; Plan d''action'!$B$6:$AJ$1113,28,FALSE))</f>
        <v/>
      </c>
      <c r="DR296" s="70" t="str">
        <f>IF(VLOOKUP($BS296,'État &amp; Plan d''action'!$B$6:$AJ$1113,29,FALSE)="","",VLOOKUP($BS296,'État &amp; Plan d''action'!$B$6:$AJ$1113,29,FALSE))</f>
        <v/>
      </c>
      <c r="DS296" s="70" t="str">
        <f>IF(VLOOKUP($BS296,'État &amp; Plan d''action'!$B$6:$AJ$1113,30,FALSE)="","",VLOOKUP($BS296,'État &amp; Plan d''action'!$B$6:$AJ$1113,30,FALSE))</f>
        <v/>
      </c>
      <c r="DT296" s="70" t="s">
        <v>1124</v>
      </c>
      <c r="DU296" s="485" t="s">
        <v>1124</v>
      </c>
      <c r="DV296" s="485" t="s">
        <v>1124</v>
      </c>
      <c r="DW296" s="70" t="s">
        <v>1124</v>
      </c>
      <c r="DX296" s="70" t="s">
        <v>1124</v>
      </c>
      <c r="DY296" s="70" t="s">
        <v>1124</v>
      </c>
      <c r="DZ296" s="70" t="str">
        <f>VLOOKUP($BS296,'État &amp; Plan d''action'!$B$6:$AH$1113,31,FALSE)</f>
        <v/>
      </c>
      <c r="EA296" s="70" t="str">
        <f>VLOOKUP($BS296,'État &amp; Plan d''action'!$B$6:$AH$1113,32,FALSE)</f>
        <v/>
      </c>
      <c r="EB296" s="70" t="str">
        <f>VLOOKUP($BS296,'État &amp; Plan d''action'!$B$6:$AH$1113,33,FALSE)</f>
        <v/>
      </c>
      <c r="EC296" s="70" t="s">
        <v>1124</v>
      </c>
      <c r="ED296" s="70" t="s">
        <v>1124</v>
      </c>
      <c r="EE296" s="70" t="s">
        <v>1124</v>
      </c>
      <c r="EF296" s="70" t="s">
        <v>1124</v>
      </c>
      <c r="EG296" s="70" t="s">
        <v>1124</v>
      </c>
      <c r="EH296" s="72"/>
      <c r="EI296" s="72">
        <v>261</v>
      </c>
    </row>
    <row r="297" spans="71:139" x14ac:dyDescent="0.35">
      <c r="BS297" s="486">
        <v>79105</v>
      </c>
      <c r="BT297" s="479" t="s">
        <v>800</v>
      </c>
      <c r="BU297" s="479">
        <v>15</v>
      </c>
      <c r="BV297" s="476" t="s">
        <v>1187</v>
      </c>
      <c r="BW297" s="476" t="s">
        <v>1187</v>
      </c>
      <c r="BX297" s="476" t="s">
        <v>1188</v>
      </c>
      <c r="BY297" s="476" t="s">
        <v>1188</v>
      </c>
      <c r="BZ297" s="476" t="s">
        <v>1188</v>
      </c>
      <c r="CA297" s="476" t="s">
        <v>1188</v>
      </c>
      <c r="CB297" s="476" t="s">
        <v>1188</v>
      </c>
      <c r="CC297" s="476" t="s">
        <v>1188</v>
      </c>
      <c r="CD297" s="476" t="s">
        <v>1188</v>
      </c>
      <c r="CE297" s="476" t="s">
        <v>1188</v>
      </c>
      <c r="CF297" s="476" t="s">
        <v>1188</v>
      </c>
      <c r="CG297" s="476" t="s">
        <v>1188</v>
      </c>
      <c r="CH297" s="476" t="s">
        <v>1187</v>
      </c>
      <c r="CI297" s="476" t="s">
        <v>1188</v>
      </c>
      <c r="CJ297" s="476" t="s">
        <v>1187</v>
      </c>
      <c r="CK297" s="476" t="s">
        <v>1187</v>
      </c>
      <c r="CL297" s="476" t="s">
        <v>1187</v>
      </c>
      <c r="CM297" s="476" t="str">
        <f>IF(VLOOKUP(BS297,'Données par municipalité'!$B$6:$E$1113,4,FALSE)="","non","oui")</f>
        <v>non</v>
      </c>
      <c r="CN297" s="410">
        <v>283.97319575401769</v>
      </c>
      <c r="CO297" s="410">
        <v>484.41060787159682</v>
      </c>
      <c r="CP297" s="410">
        <v>473.96222441150684</v>
      </c>
      <c r="CQ297" s="410"/>
      <c r="CR297" s="410">
        <v>330.5118682057809</v>
      </c>
      <c r="CS297" s="410" t="s">
        <v>1124</v>
      </c>
      <c r="CT297" s="410"/>
      <c r="CU297" s="410" t="s">
        <v>1124</v>
      </c>
      <c r="CV297" s="410" t="str">
        <f>IF(VLOOKUP(BS297,'Données par municipalité'!$B$6:$F$1113,4,FALSE)="","",VLOOKUP(BS297,'Données par municipalité'!$B$6:$F$1113,4,FALSE))</f>
        <v/>
      </c>
      <c r="CW297" s="476" t="s">
        <v>4723</v>
      </c>
      <c r="CX297" s="483">
        <v>0</v>
      </c>
      <c r="CY297" s="483">
        <v>0</v>
      </c>
      <c r="CZ297" s="483" t="s">
        <v>1124</v>
      </c>
      <c r="DA297" s="483">
        <v>0</v>
      </c>
      <c r="DB297" s="483" t="s">
        <v>1124</v>
      </c>
      <c r="DC297" s="483" t="s">
        <v>1124</v>
      </c>
      <c r="DD297" s="483" t="s">
        <v>1124</v>
      </c>
      <c r="DE297" s="483" t="str">
        <f>IFERROR(SUM(VLOOKUP($BS297,'État &amp; Plan d''action'!$B$6:$Z$1113,18,FALSE),VLOOKUP($BS297,'État &amp; Plan d''action'!$B$6:$Z$1113,20,FALSE))/(VLOOKUP($BS297,'Données par municipalité'!$B$4:$L$1113,11,FALSE)),"")</f>
        <v/>
      </c>
      <c r="DF297" s="483" t="str">
        <f>IFERROR(SUM(VLOOKUP($BS297,'État &amp; Plan d''action'!$B$6:$Z$1113,19,FALSE),VLOOKUP($BS297,'État &amp; Plan d''action'!$B$6:$Z$1113,21,FALSE))/(VLOOKUP($BS297,'Données par municipalité'!$B$4:$L$1113,11,FALSE)),"")</f>
        <v/>
      </c>
      <c r="DG297" s="476" t="s">
        <v>4723</v>
      </c>
      <c r="DH297" s="484">
        <v>0</v>
      </c>
      <c r="DI297" s="484" t="s">
        <v>1124</v>
      </c>
      <c r="DJ297" s="484">
        <v>0</v>
      </c>
      <c r="DK297" s="484">
        <v>0</v>
      </c>
      <c r="DL297" s="484" t="s">
        <v>1124</v>
      </c>
      <c r="DM297" s="484" t="s">
        <v>1124</v>
      </c>
      <c r="DN297" s="484" t="s">
        <v>1124</v>
      </c>
      <c r="DO297" s="484" t="s">
        <v>1124</v>
      </c>
      <c r="DP297" s="484" t="s">
        <v>1124</v>
      </c>
      <c r="DQ297" s="484" t="str">
        <f>IF(VLOOKUP($BS297,'État &amp; Plan d''action'!$B$6:$AJ$1113,28,FALSE)="","",VLOOKUP($BS297,'État &amp; Plan d''action'!$B$6:$AJ$1113,28,FALSE))</f>
        <v/>
      </c>
      <c r="DR297" s="70" t="str">
        <f>IF(VLOOKUP($BS297,'État &amp; Plan d''action'!$B$6:$AJ$1113,29,FALSE)="","",VLOOKUP($BS297,'État &amp; Plan d''action'!$B$6:$AJ$1113,29,FALSE))</f>
        <v/>
      </c>
      <c r="DS297" s="70" t="str">
        <f>IF(VLOOKUP($BS297,'État &amp; Plan d''action'!$B$6:$AJ$1113,30,FALSE)="","",VLOOKUP($BS297,'État &amp; Plan d''action'!$B$6:$AJ$1113,30,FALSE))</f>
        <v/>
      </c>
      <c r="DT297" s="70" t="s">
        <v>1124</v>
      </c>
      <c r="DU297" s="485" t="s">
        <v>1124</v>
      </c>
      <c r="DV297" s="485" t="s">
        <v>1124</v>
      </c>
      <c r="DW297" s="70" t="s">
        <v>1124</v>
      </c>
      <c r="DX297" s="70" t="s">
        <v>1124</v>
      </c>
      <c r="DY297" s="70" t="s">
        <v>1124</v>
      </c>
      <c r="DZ297" s="70" t="str">
        <f>VLOOKUP($BS297,'État &amp; Plan d''action'!$B$6:$AH$1113,31,FALSE)</f>
        <v/>
      </c>
      <c r="EA297" s="70" t="str">
        <f>VLOOKUP($BS297,'État &amp; Plan d''action'!$B$6:$AH$1113,32,FALSE)</f>
        <v/>
      </c>
      <c r="EB297" s="70" t="str">
        <f>VLOOKUP($BS297,'État &amp; Plan d''action'!$B$6:$AH$1113,33,FALSE)</f>
        <v/>
      </c>
      <c r="EC297" s="70" t="s">
        <v>1124</v>
      </c>
      <c r="ED297" s="70" t="s">
        <v>1124</v>
      </c>
      <c r="EE297" s="70" t="s">
        <v>1124</v>
      </c>
      <c r="EF297" s="70" t="s">
        <v>1124</v>
      </c>
      <c r="EG297" s="70" t="s">
        <v>1124</v>
      </c>
      <c r="EH297" s="72"/>
      <c r="EI297" s="72">
        <v>487</v>
      </c>
    </row>
    <row r="298" spans="71:139" x14ac:dyDescent="0.35">
      <c r="BS298" s="486">
        <v>34120</v>
      </c>
      <c r="BT298" s="479" t="s">
        <v>300</v>
      </c>
      <c r="BU298" s="479">
        <v>3</v>
      </c>
      <c r="BV298" s="476" t="s">
        <v>1188</v>
      </c>
      <c r="BW298" s="476" t="s">
        <v>1188</v>
      </c>
      <c r="BX298" s="476" t="s">
        <v>1188</v>
      </c>
      <c r="BY298" s="476" t="s">
        <v>1188</v>
      </c>
      <c r="BZ298" s="476" t="s">
        <v>1188</v>
      </c>
      <c r="CA298" s="476" t="s">
        <v>1188</v>
      </c>
      <c r="CB298" s="476" t="s">
        <v>1188</v>
      </c>
      <c r="CC298" s="476" t="s">
        <v>1188</v>
      </c>
      <c r="CD298" s="476" t="s">
        <v>1188</v>
      </c>
      <c r="CE298" s="476" t="s">
        <v>1187</v>
      </c>
      <c r="CF298" s="476" t="s">
        <v>1187</v>
      </c>
      <c r="CG298" s="476" t="s">
        <v>1187</v>
      </c>
      <c r="CH298" s="476" t="s">
        <v>1187</v>
      </c>
      <c r="CI298" s="476" t="s">
        <v>1187</v>
      </c>
      <c r="CJ298" s="476" t="s">
        <v>1187</v>
      </c>
      <c r="CK298" s="476" t="s">
        <v>1187</v>
      </c>
      <c r="CL298" s="476" t="s">
        <v>1187</v>
      </c>
      <c r="CM298" s="476" t="str">
        <f>IF(VLOOKUP(BS298,'Données par municipalité'!$B$6:$E$1113,4,FALSE)="","non","oui")</f>
        <v>non</v>
      </c>
      <c r="CN298" s="410" t="s">
        <v>1124</v>
      </c>
      <c r="CO298" s="410" t="s">
        <v>1124</v>
      </c>
      <c r="CP298" s="410"/>
      <c r="CQ298" s="410"/>
      <c r="CR298" s="410"/>
      <c r="CS298" s="410" t="s">
        <v>1124</v>
      </c>
      <c r="CT298" s="410"/>
      <c r="CU298" s="410" t="s">
        <v>1124</v>
      </c>
      <c r="CV298" s="410" t="str">
        <f>IF(VLOOKUP(BS298,'Données par municipalité'!$B$6:$F$1113,4,FALSE)="","",VLOOKUP(BS298,'Données par municipalité'!$B$6:$F$1113,4,FALSE))</f>
        <v/>
      </c>
      <c r="CW298" s="476" t="s">
        <v>4723</v>
      </c>
      <c r="CX298" s="483" t="s">
        <v>1124</v>
      </c>
      <c r="CY298" s="483" t="s">
        <v>1124</v>
      </c>
      <c r="CZ298" s="483" t="s">
        <v>1124</v>
      </c>
      <c r="DA298" s="483" t="s">
        <v>1124</v>
      </c>
      <c r="DB298" s="483" t="s">
        <v>1124</v>
      </c>
      <c r="DC298" s="483" t="s">
        <v>1124</v>
      </c>
      <c r="DD298" s="483" t="s">
        <v>1124</v>
      </c>
      <c r="DE298" s="483" t="str">
        <f>IFERROR(SUM(VLOOKUP($BS298,'État &amp; Plan d''action'!$B$6:$Z$1113,18,FALSE),VLOOKUP($BS298,'État &amp; Plan d''action'!$B$6:$Z$1113,20,FALSE))/(VLOOKUP($BS298,'Données par municipalité'!$B$4:$L$1113,11,FALSE)),"")</f>
        <v/>
      </c>
      <c r="DF298" s="483" t="str">
        <f>IFERROR(SUM(VLOOKUP($BS298,'État &amp; Plan d''action'!$B$6:$Z$1113,19,FALSE),VLOOKUP($BS298,'État &amp; Plan d''action'!$B$6:$Z$1113,21,FALSE))/(VLOOKUP($BS298,'Données par municipalité'!$B$4:$L$1113,11,FALSE)),"")</f>
        <v/>
      </c>
      <c r="DG298" s="476" t="s">
        <v>4723</v>
      </c>
      <c r="DH298" s="484" t="s">
        <v>1124</v>
      </c>
      <c r="DI298" s="484" t="s">
        <v>1124</v>
      </c>
      <c r="DJ298" s="484">
        <v>0</v>
      </c>
      <c r="DK298" s="484">
        <v>0</v>
      </c>
      <c r="DL298" s="484" t="s">
        <v>1124</v>
      </c>
      <c r="DM298" s="484" t="s">
        <v>1124</v>
      </c>
      <c r="DN298" s="484" t="s">
        <v>1124</v>
      </c>
      <c r="DO298" s="484" t="s">
        <v>1124</v>
      </c>
      <c r="DP298" s="484" t="s">
        <v>1124</v>
      </c>
      <c r="DQ298" s="484" t="str">
        <f>IF(VLOOKUP($BS298,'État &amp; Plan d''action'!$B$6:$AJ$1113,28,FALSE)="","",VLOOKUP($BS298,'État &amp; Plan d''action'!$B$6:$AJ$1113,28,FALSE))</f>
        <v/>
      </c>
      <c r="DR298" s="70" t="str">
        <f>IF(VLOOKUP($BS298,'État &amp; Plan d''action'!$B$6:$AJ$1113,29,FALSE)="","",VLOOKUP($BS298,'État &amp; Plan d''action'!$B$6:$AJ$1113,29,FALSE))</f>
        <v/>
      </c>
      <c r="DS298" s="70" t="str">
        <f>IF(VLOOKUP($BS298,'État &amp; Plan d''action'!$B$6:$AJ$1113,30,FALSE)="","",VLOOKUP($BS298,'État &amp; Plan d''action'!$B$6:$AJ$1113,30,FALSE))</f>
        <v/>
      </c>
      <c r="DT298" s="70" t="s">
        <v>1124</v>
      </c>
      <c r="DU298" s="485" t="s">
        <v>1124</v>
      </c>
      <c r="DV298" s="485" t="s">
        <v>1124</v>
      </c>
      <c r="DW298" s="70" t="s">
        <v>1124</v>
      </c>
      <c r="DX298" s="70" t="s">
        <v>1124</v>
      </c>
      <c r="DY298" s="70" t="s">
        <v>1124</v>
      </c>
      <c r="DZ298" s="70" t="str">
        <f>VLOOKUP($BS298,'État &amp; Plan d''action'!$B$6:$AH$1113,31,FALSE)</f>
        <v/>
      </c>
      <c r="EA298" s="70" t="str">
        <f>VLOOKUP($BS298,'État &amp; Plan d''action'!$B$6:$AH$1113,32,FALSE)</f>
        <v/>
      </c>
      <c r="EB298" s="70" t="str">
        <f>VLOOKUP($BS298,'État &amp; Plan d''action'!$B$6:$AH$1113,33,FALSE)</f>
        <v/>
      </c>
      <c r="EC298" s="70" t="s">
        <v>1124</v>
      </c>
      <c r="ED298" s="70" t="s">
        <v>1124</v>
      </c>
      <c r="EE298" s="70" t="s">
        <v>1124</v>
      </c>
      <c r="EF298" s="70" t="s">
        <v>1124</v>
      </c>
      <c r="EG298" s="70" t="s">
        <v>1124</v>
      </c>
      <c r="EH298" s="72"/>
      <c r="EI298" s="72">
        <v>532</v>
      </c>
    </row>
    <row r="299" spans="71:139" x14ac:dyDescent="0.35">
      <c r="BS299" s="486">
        <v>80095</v>
      </c>
      <c r="BT299" s="479" t="s">
        <v>818</v>
      </c>
      <c r="BU299" s="479">
        <v>7</v>
      </c>
      <c r="BV299" s="476" t="s">
        <v>1188</v>
      </c>
      <c r="BW299" s="476" t="s">
        <v>1188</v>
      </c>
      <c r="BX299" s="476" t="s">
        <v>1188</v>
      </c>
      <c r="BY299" s="476" t="s">
        <v>1188</v>
      </c>
      <c r="BZ299" s="476" t="s">
        <v>1188</v>
      </c>
      <c r="CA299" s="476" t="s">
        <v>1188</v>
      </c>
      <c r="CB299" s="476" t="s">
        <v>1188</v>
      </c>
      <c r="CC299" s="476" t="s">
        <v>1188</v>
      </c>
      <c r="CD299" s="476" t="s">
        <v>1188</v>
      </c>
      <c r="CE299" s="476" t="s">
        <v>1188</v>
      </c>
      <c r="CF299" s="476" t="s">
        <v>1188</v>
      </c>
      <c r="CG299" s="476" t="s">
        <v>1187</v>
      </c>
      <c r="CH299" s="476" t="s">
        <v>1187</v>
      </c>
      <c r="CI299" s="476" t="s">
        <v>1187</v>
      </c>
      <c r="CJ299" s="476" t="s">
        <v>1187</v>
      </c>
      <c r="CK299" s="476" t="s">
        <v>1187</v>
      </c>
      <c r="CL299" s="476" t="s">
        <v>1187</v>
      </c>
      <c r="CM299" s="476" t="str">
        <f>IF(VLOOKUP(BS299,'Données par municipalité'!$B$6:$E$1113,4,FALSE)="","non","oui")</f>
        <v>non</v>
      </c>
      <c r="CN299" s="410">
        <v>522.9237418956468</v>
      </c>
      <c r="CO299" s="410">
        <v>451.06460685540236</v>
      </c>
      <c r="CP299" s="410"/>
      <c r="CQ299" s="410"/>
      <c r="CR299" s="410"/>
      <c r="CS299" s="410" t="s">
        <v>1124</v>
      </c>
      <c r="CT299" s="410"/>
      <c r="CU299" s="410" t="s">
        <v>1124</v>
      </c>
      <c r="CV299" s="410" t="str">
        <f>IF(VLOOKUP(BS299,'Données par municipalité'!$B$6:$F$1113,4,FALSE)="","",VLOOKUP(BS299,'Données par municipalité'!$B$6:$F$1113,4,FALSE))</f>
        <v/>
      </c>
      <c r="CW299" s="476" t="s">
        <v>4723</v>
      </c>
      <c r="CX299" s="483" t="s">
        <v>1124</v>
      </c>
      <c r="CY299" s="483" t="s">
        <v>1124</v>
      </c>
      <c r="CZ299" s="483" t="s">
        <v>1124</v>
      </c>
      <c r="DA299" s="483" t="s">
        <v>1124</v>
      </c>
      <c r="DB299" s="483" t="s">
        <v>1124</v>
      </c>
      <c r="DC299" s="483" t="s">
        <v>1124</v>
      </c>
      <c r="DD299" s="483" t="s">
        <v>1124</v>
      </c>
      <c r="DE299" s="483" t="str">
        <f>IFERROR(SUM(VLOOKUP($BS299,'État &amp; Plan d''action'!$B$6:$Z$1113,18,FALSE),VLOOKUP($BS299,'État &amp; Plan d''action'!$B$6:$Z$1113,20,FALSE))/(VLOOKUP($BS299,'Données par municipalité'!$B$4:$L$1113,11,FALSE)),"")</f>
        <v/>
      </c>
      <c r="DF299" s="483" t="str">
        <f>IFERROR(SUM(VLOOKUP($BS299,'État &amp; Plan d''action'!$B$6:$Z$1113,19,FALSE),VLOOKUP($BS299,'État &amp; Plan d''action'!$B$6:$Z$1113,21,FALSE))/(VLOOKUP($BS299,'Données par municipalité'!$B$4:$L$1113,11,FALSE)),"")</f>
        <v/>
      </c>
      <c r="DG299" s="476" t="s">
        <v>4723</v>
      </c>
      <c r="DH299" s="484" t="s">
        <v>1124</v>
      </c>
      <c r="DI299" s="484" t="s">
        <v>1124</v>
      </c>
      <c r="DJ299" s="484">
        <v>0</v>
      </c>
      <c r="DK299" s="484">
        <v>0</v>
      </c>
      <c r="DL299" s="484" t="s">
        <v>1124</v>
      </c>
      <c r="DM299" s="484" t="s">
        <v>1124</v>
      </c>
      <c r="DN299" s="484" t="s">
        <v>1124</v>
      </c>
      <c r="DO299" s="484" t="s">
        <v>1124</v>
      </c>
      <c r="DP299" s="484" t="s">
        <v>1124</v>
      </c>
      <c r="DQ299" s="484" t="str">
        <f>IF(VLOOKUP($BS299,'État &amp; Plan d''action'!$B$6:$AJ$1113,28,FALSE)="","",VLOOKUP($BS299,'État &amp; Plan d''action'!$B$6:$AJ$1113,28,FALSE))</f>
        <v/>
      </c>
      <c r="DR299" s="70" t="str">
        <f>IF(VLOOKUP($BS299,'État &amp; Plan d''action'!$B$6:$AJ$1113,29,FALSE)="","",VLOOKUP($BS299,'État &amp; Plan d''action'!$B$6:$AJ$1113,29,FALSE))</f>
        <v/>
      </c>
      <c r="DS299" s="70" t="str">
        <f>IF(VLOOKUP($BS299,'État &amp; Plan d''action'!$B$6:$AJ$1113,30,FALSE)="","",VLOOKUP($BS299,'État &amp; Plan d''action'!$B$6:$AJ$1113,30,FALSE))</f>
        <v/>
      </c>
      <c r="DT299" s="70" t="s">
        <v>1124</v>
      </c>
      <c r="DU299" s="485" t="s">
        <v>1124</v>
      </c>
      <c r="DV299" s="485" t="s">
        <v>1124</v>
      </c>
      <c r="DW299" s="70" t="s">
        <v>1124</v>
      </c>
      <c r="DX299" s="70" t="s">
        <v>1124</v>
      </c>
      <c r="DY299" s="70" t="s">
        <v>1124</v>
      </c>
      <c r="DZ299" s="70" t="str">
        <f>VLOOKUP($BS299,'État &amp; Plan d''action'!$B$6:$AH$1113,31,FALSE)</f>
        <v/>
      </c>
      <c r="EA299" s="70" t="str">
        <f>VLOOKUP($BS299,'État &amp; Plan d''action'!$B$6:$AH$1113,32,FALSE)</f>
        <v/>
      </c>
      <c r="EB299" s="70" t="str">
        <f>VLOOKUP($BS299,'État &amp; Plan d''action'!$B$6:$AH$1113,33,FALSE)</f>
        <v/>
      </c>
      <c r="EC299" s="70" t="s">
        <v>1124</v>
      </c>
      <c r="ED299" s="70" t="s">
        <v>1124</v>
      </c>
      <c r="EE299" s="70" t="s">
        <v>1124</v>
      </c>
      <c r="EF299" s="70" t="s">
        <v>1124</v>
      </c>
      <c r="EG299" s="70" t="s">
        <v>1124</v>
      </c>
      <c r="EH299" s="72"/>
      <c r="EI299" s="72">
        <v>961</v>
      </c>
    </row>
    <row r="300" spans="71:139" x14ac:dyDescent="0.35">
      <c r="BS300" s="486">
        <v>78095</v>
      </c>
      <c r="BT300" s="479" t="s">
        <v>779</v>
      </c>
      <c r="BU300" s="479">
        <v>15</v>
      </c>
      <c r="BV300" s="476" t="s">
        <v>1188</v>
      </c>
      <c r="BW300" s="476" t="s">
        <v>1188</v>
      </c>
      <c r="BX300" s="476" t="s">
        <v>1188</v>
      </c>
      <c r="BY300" s="476" t="s">
        <v>1188</v>
      </c>
      <c r="BZ300" s="476" t="s">
        <v>1188</v>
      </c>
      <c r="CA300" s="476" t="s">
        <v>1188</v>
      </c>
      <c r="CB300" s="476" t="s">
        <v>1188</v>
      </c>
      <c r="CC300" s="476" t="s">
        <v>1188</v>
      </c>
      <c r="CD300" s="476" t="s">
        <v>1188</v>
      </c>
      <c r="CE300" s="476" t="s">
        <v>1187</v>
      </c>
      <c r="CF300" s="476" t="s">
        <v>1187</v>
      </c>
      <c r="CG300" s="476" t="s">
        <v>1187</v>
      </c>
      <c r="CH300" s="476" t="s">
        <v>1187</v>
      </c>
      <c r="CI300" s="476" t="s">
        <v>1187</v>
      </c>
      <c r="CJ300" s="476" t="s">
        <v>1187</v>
      </c>
      <c r="CK300" s="476" t="s">
        <v>1187</v>
      </c>
      <c r="CL300" s="476" t="s">
        <v>1187</v>
      </c>
      <c r="CM300" s="476" t="str">
        <f>IF(VLOOKUP(BS300,'Données par municipalité'!$B$6:$E$1113,4,FALSE)="","non","oui")</f>
        <v>non</v>
      </c>
      <c r="CN300" s="410" t="s">
        <v>1124</v>
      </c>
      <c r="CO300" s="410" t="s">
        <v>1124</v>
      </c>
      <c r="CP300" s="410"/>
      <c r="CQ300" s="410"/>
      <c r="CR300" s="410"/>
      <c r="CS300" s="410" t="s">
        <v>1124</v>
      </c>
      <c r="CT300" s="410"/>
      <c r="CU300" s="410" t="s">
        <v>1124</v>
      </c>
      <c r="CV300" s="410" t="str">
        <f>IF(VLOOKUP(BS300,'Données par municipalité'!$B$6:$F$1113,4,FALSE)="","",VLOOKUP(BS300,'Données par municipalité'!$B$6:$F$1113,4,FALSE))</f>
        <v/>
      </c>
      <c r="CW300" s="476" t="s">
        <v>4723</v>
      </c>
      <c r="CX300" s="483" t="s">
        <v>1124</v>
      </c>
      <c r="CY300" s="483" t="s">
        <v>1124</v>
      </c>
      <c r="CZ300" s="483" t="s">
        <v>1124</v>
      </c>
      <c r="DA300" s="483" t="s">
        <v>1124</v>
      </c>
      <c r="DB300" s="483" t="s">
        <v>1124</v>
      </c>
      <c r="DC300" s="483" t="s">
        <v>1124</v>
      </c>
      <c r="DD300" s="483" t="s">
        <v>1124</v>
      </c>
      <c r="DE300" s="483" t="str">
        <f>IFERROR(SUM(VLOOKUP($BS300,'État &amp; Plan d''action'!$B$6:$Z$1113,18,FALSE),VLOOKUP($BS300,'État &amp; Plan d''action'!$B$6:$Z$1113,20,FALSE))/(VLOOKUP($BS300,'Données par municipalité'!$B$4:$L$1113,11,FALSE)),"")</f>
        <v/>
      </c>
      <c r="DF300" s="483" t="str">
        <f>IFERROR(SUM(VLOOKUP($BS300,'État &amp; Plan d''action'!$B$6:$Z$1113,19,FALSE),VLOOKUP($BS300,'État &amp; Plan d''action'!$B$6:$Z$1113,21,FALSE))/(VLOOKUP($BS300,'Données par municipalité'!$B$4:$L$1113,11,FALSE)),"")</f>
        <v/>
      </c>
      <c r="DG300" s="476" t="s">
        <v>4723</v>
      </c>
      <c r="DH300" s="484" t="s">
        <v>1124</v>
      </c>
      <c r="DI300" s="484" t="s">
        <v>1124</v>
      </c>
      <c r="DJ300" s="484">
        <v>0</v>
      </c>
      <c r="DK300" s="484">
        <v>0</v>
      </c>
      <c r="DL300" s="484" t="s">
        <v>1124</v>
      </c>
      <c r="DM300" s="484" t="s">
        <v>1124</v>
      </c>
      <c r="DN300" s="484" t="s">
        <v>1124</v>
      </c>
      <c r="DO300" s="484" t="s">
        <v>1124</v>
      </c>
      <c r="DP300" s="484" t="s">
        <v>1124</v>
      </c>
      <c r="DQ300" s="484" t="str">
        <f>IF(VLOOKUP($BS300,'État &amp; Plan d''action'!$B$6:$AJ$1113,28,FALSE)="","",VLOOKUP($BS300,'État &amp; Plan d''action'!$B$6:$AJ$1113,28,FALSE))</f>
        <v/>
      </c>
      <c r="DR300" s="70" t="str">
        <f>IF(VLOOKUP($BS300,'État &amp; Plan d''action'!$B$6:$AJ$1113,29,FALSE)="","",VLOOKUP($BS300,'État &amp; Plan d''action'!$B$6:$AJ$1113,29,FALSE))</f>
        <v/>
      </c>
      <c r="DS300" s="70" t="str">
        <f>IF(VLOOKUP($BS300,'État &amp; Plan d''action'!$B$6:$AJ$1113,30,FALSE)="","",VLOOKUP($BS300,'État &amp; Plan d''action'!$B$6:$AJ$1113,30,FALSE))</f>
        <v/>
      </c>
      <c r="DT300" s="70" t="s">
        <v>1124</v>
      </c>
      <c r="DU300" s="485" t="s">
        <v>1124</v>
      </c>
      <c r="DV300" s="485" t="s">
        <v>1124</v>
      </c>
      <c r="DW300" s="70" t="s">
        <v>1124</v>
      </c>
      <c r="DX300" s="70" t="s">
        <v>1124</v>
      </c>
      <c r="DY300" s="70" t="s">
        <v>1124</v>
      </c>
      <c r="DZ300" s="70" t="str">
        <f>VLOOKUP($BS300,'État &amp; Plan d''action'!$B$6:$AH$1113,31,FALSE)</f>
        <v/>
      </c>
      <c r="EA300" s="70" t="str">
        <f>VLOOKUP($BS300,'État &amp; Plan d''action'!$B$6:$AH$1113,32,FALSE)</f>
        <v/>
      </c>
      <c r="EB300" s="70" t="str">
        <f>VLOOKUP($BS300,'État &amp; Plan d''action'!$B$6:$AH$1113,33,FALSE)</f>
        <v/>
      </c>
      <c r="EC300" s="70" t="s">
        <v>1124</v>
      </c>
      <c r="ED300" s="70" t="s">
        <v>1124</v>
      </c>
      <c r="EE300" s="70" t="s">
        <v>1124</v>
      </c>
      <c r="EF300" s="70" t="s">
        <v>1124</v>
      </c>
      <c r="EG300" s="70" t="s">
        <v>1124</v>
      </c>
      <c r="EH300" s="72"/>
      <c r="EI300" s="72">
        <v>1892</v>
      </c>
    </row>
    <row r="301" spans="71:139" x14ac:dyDescent="0.35">
      <c r="BS301" s="486">
        <v>78127</v>
      </c>
      <c r="BT301" s="479" t="s">
        <v>784</v>
      </c>
      <c r="BU301" s="479">
        <v>15</v>
      </c>
      <c r="BV301" s="476" t="s">
        <v>1188</v>
      </c>
      <c r="BW301" s="476" t="s">
        <v>1188</v>
      </c>
      <c r="BX301" s="476" t="s">
        <v>1188</v>
      </c>
      <c r="BY301" s="476" t="s">
        <v>1188</v>
      </c>
      <c r="BZ301" s="476" t="s">
        <v>1188</v>
      </c>
      <c r="CA301" s="476" t="s">
        <v>1188</v>
      </c>
      <c r="CB301" s="476" t="s">
        <v>1188</v>
      </c>
      <c r="CC301" s="476" t="s">
        <v>1188</v>
      </c>
      <c r="CD301" s="476" t="s">
        <v>1188</v>
      </c>
      <c r="CE301" s="476" t="s">
        <v>1188</v>
      </c>
      <c r="CF301" s="476" t="s">
        <v>1188</v>
      </c>
      <c r="CG301" s="476" t="s">
        <v>1188</v>
      </c>
      <c r="CH301" s="476" t="s">
        <v>1188</v>
      </c>
      <c r="CI301" s="476" t="s">
        <v>1188</v>
      </c>
      <c r="CJ301" s="476" t="s">
        <v>1187</v>
      </c>
      <c r="CK301" s="476" t="s">
        <v>1187</v>
      </c>
      <c r="CL301" s="476" t="s">
        <v>1187</v>
      </c>
      <c r="CM301" s="476" t="str">
        <f>IF(VLOOKUP(BS301,'Données par municipalité'!$B$6:$E$1113,4,FALSE)="","non","oui")</f>
        <v>non</v>
      </c>
      <c r="CN301" s="410">
        <v>642.09584650509305</v>
      </c>
      <c r="CO301" s="410">
        <v>476.06307077625576</v>
      </c>
      <c r="CP301" s="410">
        <v>483.60212475457558</v>
      </c>
      <c r="CQ301" s="410">
        <v>461.44326563847119</v>
      </c>
      <c r="CR301" s="410">
        <v>503.18963201719043</v>
      </c>
      <c r="CS301" s="410" t="s">
        <v>1124</v>
      </c>
      <c r="CT301" s="410"/>
      <c r="CU301" s="410" t="s">
        <v>1124</v>
      </c>
      <c r="CV301" s="410" t="str">
        <f>IF(VLOOKUP(BS301,'Données par municipalité'!$B$6:$F$1113,4,FALSE)="","",VLOOKUP(BS301,'Données par municipalité'!$B$6:$F$1113,4,FALSE))</f>
        <v/>
      </c>
      <c r="CW301" s="476" t="s">
        <v>4723</v>
      </c>
      <c r="CX301" s="483" t="s">
        <v>1124</v>
      </c>
      <c r="CY301" s="483">
        <v>0</v>
      </c>
      <c r="CZ301" s="483">
        <v>0</v>
      </c>
      <c r="DA301" s="483">
        <v>0</v>
      </c>
      <c r="DB301" s="483" t="s">
        <v>1124</v>
      </c>
      <c r="DC301" s="483" t="s">
        <v>1124</v>
      </c>
      <c r="DD301" s="483" t="s">
        <v>1124</v>
      </c>
      <c r="DE301" s="483" t="str">
        <f>IFERROR(SUM(VLOOKUP($BS301,'État &amp; Plan d''action'!$B$6:$Z$1113,18,FALSE),VLOOKUP($BS301,'État &amp; Plan d''action'!$B$6:$Z$1113,20,FALSE))/(VLOOKUP($BS301,'Données par municipalité'!$B$4:$L$1113,11,FALSE)),"")</f>
        <v/>
      </c>
      <c r="DF301" s="483" t="str">
        <f>IFERROR(SUM(VLOOKUP($BS301,'État &amp; Plan d''action'!$B$6:$Z$1113,19,FALSE),VLOOKUP($BS301,'État &amp; Plan d''action'!$B$6:$Z$1113,21,FALSE))/(VLOOKUP($BS301,'Données par municipalité'!$B$4:$L$1113,11,FALSE)),"")</f>
        <v/>
      </c>
      <c r="DG301" s="476" t="s">
        <v>4723</v>
      </c>
      <c r="DH301" s="484" t="s">
        <v>1124</v>
      </c>
      <c r="DI301" s="484" t="s">
        <v>1124</v>
      </c>
      <c r="DJ301" s="484">
        <v>0</v>
      </c>
      <c r="DK301" s="484">
        <v>0</v>
      </c>
      <c r="DL301" s="484" t="s">
        <v>1124</v>
      </c>
      <c r="DM301" s="484" t="s">
        <v>1124</v>
      </c>
      <c r="DN301" s="484" t="s">
        <v>1124</v>
      </c>
      <c r="DO301" s="484" t="s">
        <v>1124</v>
      </c>
      <c r="DP301" s="484" t="s">
        <v>1124</v>
      </c>
      <c r="DQ301" s="484" t="str">
        <f>IF(VLOOKUP($BS301,'État &amp; Plan d''action'!$B$6:$AJ$1113,28,FALSE)="","",VLOOKUP($BS301,'État &amp; Plan d''action'!$B$6:$AJ$1113,28,FALSE))</f>
        <v/>
      </c>
      <c r="DR301" s="70" t="str">
        <f>IF(VLOOKUP($BS301,'État &amp; Plan d''action'!$B$6:$AJ$1113,29,FALSE)="","",VLOOKUP($BS301,'État &amp; Plan d''action'!$B$6:$AJ$1113,29,FALSE))</f>
        <v/>
      </c>
      <c r="DS301" s="70" t="str">
        <f>IF(VLOOKUP($BS301,'État &amp; Plan d''action'!$B$6:$AJ$1113,30,FALSE)="","",VLOOKUP($BS301,'État &amp; Plan d''action'!$B$6:$AJ$1113,30,FALSE))</f>
        <v/>
      </c>
      <c r="DT301" s="70" t="s">
        <v>1124</v>
      </c>
      <c r="DU301" s="485" t="s">
        <v>1124</v>
      </c>
      <c r="DV301" s="485" t="s">
        <v>1124</v>
      </c>
      <c r="DW301" s="70" t="s">
        <v>1124</v>
      </c>
      <c r="DX301" s="70" t="s">
        <v>1124</v>
      </c>
      <c r="DY301" s="70" t="s">
        <v>1124</v>
      </c>
      <c r="DZ301" s="70" t="str">
        <f>VLOOKUP($BS301,'État &amp; Plan d''action'!$B$6:$AH$1113,31,FALSE)</f>
        <v/>
      </c>
      <c r="EA301" s="70" t="str">
        <f>VLOOKUP($BS301,'État &amp; Plan d''action'!$B$6:$AH$1113,32,FALSE)</f>
        <v/>
      </c>
      <c r="EB301" s="70" t="str">
        <f>VLOOKUP($BS301,'État &amp; Plan d''action'!$B$6:$AH$1113,33,FALSE)</f>
        <v/>
      </c>
      <c r="EC301" s="70" t="s">
        <v>1124</v>
      </c>
      <c r="ED301" s="70" t="s">
        <v>1124</v>
      </c>
      <c r="EE301" s="70" t="s">
        <v>1124</v>
      </c>
      <c r="EF301" s="70" t="s">
        <v>1124</v>
      </c>
      <c r="EG301" s="70" t="s">
        <v>1124</v>
      </c>
      <c r="EH301" s="72"/>
      <c r="EI301" s="72">
        <v>42</v>
      </c>
    </row>
    <row r="302" spans="71:139" x14ac:dyDescent="0.35">
      <c r="BS302" s="486">
        <v>85070</v>
      </c>
      <c r="BT302" s="479" t="s">
        <v>882</v>
      </c>
      <c r="BU302" s="479">
        <v>8</v>
      </c>
      <c r="BV302" s="476" t="s">
        <v>1188</v>
      </c>
      <c r="BW302" s="476" t="s">
        <v>1188</v>
      </c>
      <c r="BX302" s="476" t="s">
        <v>1188</v>
      </c>
      <c r="BY302" s="476" t="s">
        <v>1188</v>
      </c>
      <c r="BZ302" s="476" t="s">
        <v>1188</v>
      </c>
      <c r="CA302" s="476" t="s">
        <v>1188</v>
      </c>
      <c r="CB302" s="476" t="s">
        <v>1188</v>
      </c>
      <c r="CC302" s="476" t="s">
        <v>1188</v>
      </c>
      <c r="CD302" s="476" t="s">
        <v>1188</v>
      </c>
      <c r="CE302" s="476" t="s">
        <v>1187</v>
      </c>
      <c r="CF302" s="476" t="s">
        <v>1187</v>
      </c>
      <c r="CG302" s="476" t="s">
        <v>1187</v>
      </c>
      <c r="CH302" s="476" t="s">
        <v>1187</v>
      </c>
      <c r="CI302" s="476" t="s">
        <v>1187</v>
      </c>
      <c r="CJ302" s="476" t="s">
        <v>1187</v>
      </c>
      <c r="CK302" s="476" t="s">
        <v>1187</v>
      </c>
      <c r="CL302" s="476" t="s">
        <v>1187</v>
      </c>
      <c r="CM302" s="476" t="str">
        <f>IF(VLOOKUP(BS302,'Données par municipalité'!$B$6:$E$1113,4,FALSE)="","non","oui")</f>
        <v>non</v>
      </c>
      <c r="CN302" s="410" t="s">
        <v>1124</v>
      </c>
      <c r="CO302" s="410" t="s">
        <v>1124</v>
      </c>
      <c r="CP302" s="410"/>
      <c r="CQ302" s="410"/>
      <c r="CR302" s="410"/>
      <c r="CS302" s="410" t="s">
        <v>1124</v>
      </c>
      <c r="CT302" s="410"/>
      <c r="CU302" s="410" t="s">
        <v>1124</v>
      </c>
      <c r="CV302" s="410" t="str">
        <f>IF(VLOOKUP(BS302,'Données par municipalité'!$B$6:$F$1113,4,FALSE)="","",VLOOKUP(BS302,'Données par municipalité'!$B$6:$F$1113,4,FALSE))</f>
        <v/>
      </c>
      <c r="CW302" s="476" t="s">
        <v>4723</v>
      </c>
      <c r="CX302" s="483" t="s">
        <v>1124</v>
      </c>
      <c r="CY302" s="483" t="s">
        <v>1124</v>
      </c>
      <c r="CZ302" s="483" t="s">
        <v>1124</v>
      </c>
      <c r="DA302" s="483" t="s">
        <v>1124</v>
      </c>
      <c r="DB302" s="483" t="s">
        <v>1124</v>
      </c>
      <c r="DC302" s="483" t="s">
        <v>1124</v>
      </c>
      <c r="DD302" s="483" t="s">
        <v>1124</v>
      </c>
      <c r="DE302" s="483" t="str">
        <f>IFERROR(SUM(VLOOKUP($BS302,'État &amp; Plan d''action'!$B$6:$Z$1113,18,FALSE),VLOOKUP($BS302,'État &amp; Plan d''action'!$B$6:$Z$1113,20,FALSE))/(VLOOKUP($BS302,'Données par municipalité'!$B$4:$L$1113,11,FALSE)),"")</f>
        <v/>
      </c>
      <c r="DF302" s="483" t="str">
        <f>IFERROR(SUM(VLOOKUP($BS302,'État &amp; Plan d''action'!$B$6:$Z$1113,19,FALSE),VLOOKUP($BS302,'État &amp; Plan d''action'!$B$6:$Z$1113,21,FALSE))/(VLOOKUP($BS302,'Données par municipalité'!$B$4:$L$1113,11,FALSE)),"")</f>
        <v/>
      </c>
      <c r="DG302" s="476" t="s">
        <v>4723</v>
      </c>
      <c r="DH302" s="484" t="s">
        <v>1124</v>
      </c>
      <c r="DI302" s="484" t="s">
        <v>1124</v>
      </c>
      <c r="DJ302" s="484">
        <v>0</v>
      </c>
      <c r="DK302" s="484">
        <v>0</v>
      </c>
      <c r="DL302" s="484" t="s">
        <v>1124</v>
      </c>
      <c r="DM302" s="484" t="s">
        <v>1124</v>
      </c>
      <c r="DN302" s="484" t="s">
        <v>1124</v>
      </c>
      <c r="DO302" s="484" t="s">
        <v>1124</v>
      </c>
      <c r="DP302" s="484" t="s">
        <v>1124</v>
      </c>
      <c r="DQ302" s="484" t="str">
        <f>IF(VLOOKUP($BS302,'État &amp; Plan d''action'!$B$6:$AJ$1113,28,FALSE)="","",VLOOKUP($BS302,'État &amp; Plan d''action'!$B$6:$AJ$1113,28,FALSE))</f>
        <v/>
      </c>
      <c r="DR302" s="70" t="str">
        <f>IF(VLOOKUP($BS302,'État &amp; Plan d''action'!$B$6:$AJ$1113,29,FALSE)="","",VLOOKUP($BS302,'État &amp; Plan d''action'!$B$6:$AJ$1113,29,FALSE))</f>
        <v/>
      </c>
      <c r="DS302" s="70" t="str">
        <f>IF(VLOOKUP($BS302,'État &amp; Plan d''action'!$B$6:$AJ$1113,30,FALSE)="","",VLOOKUP($BS302,'État &amp; Plan d''action'!$B$6:$AJ$1113,30,FALSE))</f>
        <v/>
      </c>
      <c r="DT302" s="70" t="s">
        <v>1124</v>
      </c>
      <c r="DU302" s="485" t="s">
        <v>1124</v>
      </c>
      <c r="DV302" s="485" t="s">
        <v>1124</v>
      </c>
      <c r="DW302" s="70" t="s">
        <v>1124</v>
      </c>
      <c r="DX302" s="70" t="s">
        <v>1124</v>
      </c>
      <c r="DY302" s="70" t="s">
        <v>1124</v>
      </c>
      <c r="DZ302" s="70" t="str">
        <f>VLOOKUP($BS302,'État &amp; Plan d''action'!$B$6:$AH$1113,31,FALSE)</f>
        <v/>
      </c>
      <c r="EA302" s="70" t="str">
        <f>VLOOKUP($BS302,'État &amp; Plan d''action'!$B$6:$AH$1113,32,FALSE)</f>
        <v/>
      </c>
      <c r="EB302" s="70" t="str">
        <f>VLOOKUP($BS302,'État &amp; Plan d''action'!$B$6:$AH$1113,33,FALSE)</f>
        <v/>
      </c>
      <c r="EC302" s="70" t="s">
        <v>1124</v>
      </c>
      <c r="ED302" s="70" t="s">
        <v>1124</v>
      </c>
      <c r="EE302" s="70" t="s">
        <v>1124</v>
      </c>
      <c r="EF302" s="70" t="s">
        <v>1124</v>
      </c>
      <c r="EG302" s="70" t="s">
        <v>1124</v>
      </c>
      <c r="EH302" s="72"/>
      <c r="EI302" s="72">
        <v>349</v>
      </c>
    </row>
    <row r="303" spans="71:139" x14ac:dyDescent="0.35">
      <c r="BS303" s="486">
        <v>93060</v>
      </c>
      <c r="BT303" s="479" t="s">
        <v>967</v>
      </c>
      <c r="BU303" s="479">
        <v>2</v>
      </c>
      <c r="BV303" s="476" t="s">
        <v>1187</v>
      </c>
      <c r="BW303" s="476" t="s">
        <v>1187</v>
      </c>
      <c r="BX303" s="476" t="s">
        <v>1187</v>
      </c>
      <c r="BY303" s="476" t="s">
        <v>1187</v>
      </c>
      <c r="BZ303" s="476" t="s">
        <v>1187</v>
      </c>
      <c r="CA303" s="476" t="s">
        <v>1187</v>
      </c>
      <c r="CB303" s="476" t="s">
        <v>1187</v>
      </c>
      <c r="CC303" s="476" t="s">
        <v>1187</v>
      </c>
      <c r="CD303" s="476" t="s">
        <v>1187</v>
      </c>
      <c r="CE303" s="476" t="s">
        <v>1188</v>
      </c>
      <c r="CF303" s="476" t="s">
        <v>1188</v>
      </c>
      <c r="CG303" s="476" t="s">
        <v>1188</v>
      </c>
      <c r="CH303" s="476" t="s">
        <v>1188</v>
      </c>
      <c r="CI303" s="476" t="s">
        <v>1188</v>
      </c>
      <c r="CJ303" s="476" t="s">
        <v>1187</v>
      </c>
      <c r="CK303" s="476" t="s">
        <v>1188</v>
      </c>
      <c r="CL303" s="476" t="s">
        <v>1187</v>
      </c>
      <c r="CM303" s="476" t="str">
        <f>IF(VLOOKUP(BS303,'Données par municipalité'!$B$6:$E$1113,4,FALSE)="","non","oui")</f>
        <v>oui</v>
      </c>
      <c r="CN303" s="410">
        <v>333.86706620769081</v>
      </c>
      <c r="CO303" s="410">
        <v>358.74421812750472</v>
      </c>
      <c r="CP303" s="410">
        <v>147.48810038158652</v>
      </c>
      <c r="CQ303" s="410">
        <v>120.01651255816628</v>
      </c>
      <c r="CR303" s="410">
        <v>100.12123023567106</v>
      </c>
      <c r="CS303" s="410" t="s">
        <v>1124</v>
      </c>
      <c r="CT303" s="410">
        <v>503.69263145472956</v>
      </c>
      <c r="CU303" s="410" t="s">
        <v>1124</v>
      </c>
      <c r="CV303" s="410">
        <f>IF(VLOOKUP(BS303,'Données par municipalité'!$B$6:$F$1113,4,FALSE)="","",VLOOKUP(BS303,'Données par municipalité'!$B$6:$F$1113,4,FALSE))</f>
        <v>300</v>
      </c>
      <c r="CW303" s="476" t="s">
        <v>4723</v>
      </c>
      <c r="CX303" s="483">
        <v>0</v>
      </c>
      <c r="CY303" s="483">
        <v>0</v>
      </c>
      <c r="CZ303" s="483">
        <v>0</v>
      </c>
      <c r="DA303" s="483">
        <v>0</v>
      </c>
      <c r="DB303" s="483" t="s">
        <v>1124</v>
      </c>
      <c r="DC303" s="483">
        <v>0</v>
      </c>
      <c r="DD303" s="483" t="s">
        <v>1124</v>
      </c>
      <c r="DE303" s="483">
        <f>IFERROR(SUM(VLOOKUP($BS303,'État &amp; Plan d''action'!$B$6:$Z$1113,18,FALSE),VLOOKUP($BS303,'État &amp; Plan d''action'!$B$6:$Z$1113,20,FALSE))/(VLOOKUP($BS303,'Données par municipalité'!$B$4:$L$1113,11,FALSE)),"")</f>
        <v>0</v>
      </c>
      <c r="DF303" s="483">
        <f>IFERROR(SUM(VLOOKUP($BS303,'État &amp; Plan d''action'!$B$6:$Z$1113,19,FALSE),VLOOKUP($BS303,'État &amp; Plan d''action'!$B$6:$Z$1113,21,FALSE))/(VLOOKUP($BS303,'Données par municipalité'!$B$4:$L$1113,11,FALSE)),"")</f>
        <v>1</v>
      </c>
      <c r="DG303" s="476" t="s">
        <v>4723</v>
      </c>
      <c r="DH303" s="484">
        <v>0</v>
      </c>
      <c r="DI303" s="484">
        <v>1</v>
      </c>
      <c r="DJ303" s="484">
        <v>0</v>
      </c>
      <c r="DK303" s="484">
        <v>0</v>
      </c>
      <c r="DL303" s="484" t="s">
        <v>1124</v>
      </c>
      <c r="DM303" s="484">
        <v>4</v>
      </c>
      <c r="DN303" s="484" t="s">
        <v>1124</v>
      </c>
      <c r="DO303" s="484" t="s">
        <v>1124</v>
      </c>
      <c r="DP303" s="484" t="s">
        <v>1124</v>
      </c>
      <c r="DQ303" s="484">
        <f>IF(VLOOKUP($BS303,'État &amp; Plan d''action'!$B$6:$AJ$1113,28,FALSE)="","",VLOOKUP($BS303,'État &amp; Plan d''action'!$B$6:$AJ$1113,28,FALSE))</f>
        <v>2</v>
      </c>
      <c r="DR303" s="70">
        <f>IF(VLOOKUP($BS303,'État &amp; Plan d''action'!$B$6:$AJ$1113,29,FALSE)="","",VLOOKUP($BS303,'État &amp; Plan d''action'!$B$6:$AJ$1113,29,FALSE))</f>
        <v>0</v>
      </c>
      <c r="DS303" s="70">
        <f>IF(VLOOKUP($BS303,'État &amp; Plan d''action'!$B$6:$AJ$1113,30,FALSE)="","",VLOOKUP($BS303,'État &amp; Plan d''action'!$B$6:$AJ$1113,30,FALSE))</f>
        <v>0</v>
      </c>
      <c r="DT303" s="70" t="s">
        <v>1124</v>
      </c>
      <c r="DU303" s="485" t="s">
        <v>1124</v>
      </c>
      <c r="DV303" s="485">
        <v>1.8333023301953275</v>
      </c>
      <c r="DW303" s="70" t="s">
        <v>1124</v>
      </c>
      <c r="DX303" s="70" t="s">
        <v>1124</v>
      </c>
      <c r="DY303" s="70" t="s">
        <v>1124</v>
      </c>
      <c r="DZ303" s="70">
        <f>VLOOKUP($BS303,'État &amp; Plan d''action'!$B$6:$AH$1113,31,FALSE)</f>
        <v>3</v>
      </c>
      <c r="EA303" s="70">
        <f>VLOOKUP($BS303,'État &amp; Plan d''action'!$B$6:$AH$1113,32,FALSE)</f>
        <v>0</v>
      </c>
      <c r="EB303" s="70">
        <f>VLOOKUP($BS303,'État &amp; Plan d''action'!$B$6:$AH$1113,33,FALSE)</f>
        <v>0</v>
      </c>
      <c r="EC303" s="70" t="s">
        <v>1124</v>
      </c>
      <c r="ED303" s="70" t="s">
        <v>1124</v>
      </c>
      <c r="EE303" s="70" t="s">
        <v>1124</v>
      </c>
      <c r="EF303" s="70" t="s">
        <v>1124</v>
      </c>
      <c r="EG303" s="70" t="s">
        <v>1124</v>
      </c>
      <c r="EH303" s="72"/>
      <c r="EI303" s="72">
        <v>483</v>
      </c>
    </row>
    <row r="304" spans="71:139" x14ac:dyDescent="0.35">
      <c r="BS304" s="486">
        <v>30095</v>
      </c>
      <c r="BT304" s="479" t="s">
        <v>233</v>
      </c>
      <c r="BU304" s="479">
        <v>5</v>
      </c>
      <c r="BV304" s="476" t="s">
        <v>1187</v>
      </c>
      <c r="BW304" s="476" t="s">
        <v>1187</v>
      </c>
      <c r="BX304" s="476" t="s">
        <v>1187</v>
      </c>
      <c r="BY304" s="476" t="s">
        <v>1187</v>
      </c>
      <c r="BZ304" s="476" t="s">
        <v>1187</v>
      </c>
      <c r="CA304" s="476" t="s">
        <v>1187</v>
      </c>
      <c r="CB304" s="476" t="s">
        <v>1187</v>
      </c>
      <c r="CC304" s="476" t="s">
        <v>1187</v>
      </c>
      <c r="CD304" s="476" t="s">
        <v>1187</v>
      </c>
      <c r="CE304" s="476" t="s">
        <v>1188</v>
      </c>
      <c r="CF304" s="476" t="s">
        <v>1188</v>
      </c>
      <c r="CG304" s="476" t="s">
        <v>1187</v>
      </c>
      <c r="CH304" s="476" t="s">
        <v>1188</v>
      </c>
      <c r="CI304" s="476" t="s">
        <v>1188</v>
      </c>
      <c r="CJ304" s="476" t="s">
        <v>1188</v>
      </c>
      <c r="CK304" s="476" t="s">
        <v>1188</v>
      </c>
      <c r="CL304" s="476" t="s">
        <v>1188</v>
      </c>
      <c r="CM304" s="476" t="str">
        <f>IF(VLOOKUP(BS304,'Données par municipalité'!$B$6:$E$1113,4,FALSE)="","non","oui")</f>
        <v>oui</v>
      </c>
      <c r="CN304" s="410">
        <v>583.37503782165663</v>
      </c>
      <c r="CO304" s="410">
        <v>518.17343842906507</v>
      </c>
      <c r="CP304" s="410"/>
      <c r="CQ304" s="410">
        <v>394.51907936614293</v>
      </c>
      <c r="CR304" s="410">
        <v>360.85896934116113</v>
      </c>
      <c r="CS304" s="410">
        <v>347.21448429817718</v>
      </c>
      <c r="CT304" s="410">
        <v>409.03601973645914</v>
      </c>
      <c r="CU304" s="410">
        <v>347</v>
      </c>
      <c r="CV304" s="410">
        <f>IF(VLOOKUP(BS304,'Données par municipalité'!$B$6:$F$1113,4,FALSE)="","",VLOOKUP(BS304,'Données par municipalité'!$B$6:$F$1113,4,FALSE))</f>
        <v>413</v>
      </c>
      <c r="CW304" s="476" t="s">
        <v>4723</v>
      </c>
      <c r="CX304" s="483">
        <v>0</v>
      </c>
      <c r="CY304" s="483" t="s">
        <v>1124</v>
      </c>
      <c r="CZ304" s="483">
        <v>0</v>
      </c>
      <c r="DA304" s="483">
        <v>1</v>
      </c>
      <c r="DB304" s="483">
        <v>1</v>
      </c>
      <c r="DC304" s="483">
        <v>1</v>
      </c>
      <c r="DD304" s="483">
        <v>0.33333333333333331</v>
      </c>
      <c r="DE304" s="483">
        <f>IFERROR(SUM(VLOOKUP($BS304,'État &amp; Plan d''action'!$B$6:$Z$1113,18,FALSE),VLOOKUP($BS304,'État &amp; Plan d''action'!$B$6:$Z$1113,20,FALSE))/(VLOOKUP($BS304,'Données par municipalité'!$B$4:$L$1113,11,FALSE)),"")</f>
        <v>0.5</v>
      </c>
      <c r="DF304" s="483">
        <f>IFERROR(SUM(VLOOKUP($BS304,'État &amp; Plan d''action'!$B$6:$Z$1113,19,FALSE),VLOOKUP($BS304,'État &amp; Plan d''action'!$B$6:$Z$1113,21,FALSE))/(VLOOKUP($BS304,'Données par municipalité'!$B$4:$L$1113,11,FALSE)),"")</f>
        <v>1</v>
      </c>
      <c r="DG304" s="476" t="s">
        <v>4723</v>
      </c>
      <c r="DH304" s="484">
        <v>2</v>
      </c>
      <c r="DI304" s="484" t="s">
        <v>1124</v>
      </c>
      <c r="DJ304" s="484">
        <v>1</v>
      </c>
      <c r="DK304" s="484">
        <v>1</v>
      </c>
      <c r="DL304" s="484">
        <v>1</v>
      </c>
      <c r="DM304" s="484">
        <v>3</v>
      </c>
      <c r="DN304" s="484">
        <v>4</v>
      </c>
      <c r="DO304" s="484">
        <v>0</v>
      </c>
      <c r="DP304" s="484">
        <v>3</v>
      </c>
      <c r="DQ304" s="484">
        <f>IF(VLOOKUP($BS304,'État &amp; Plan d''action'!$B$6:$AJ$1113,28,FALSE)="","",VLOOKUP($BS304,'État &amp; Plan d''action'!$B$6:$AJ$1113,28,FALSE))</f>
        <v>3</v>
      </c>
      <c r="DR304" s="70">
        <f>IF(VLOOKUP($BS304,'État &amp; Plan d''action'!$B$6:$AJ$1113,29,FALSE)="","",VLOOKUP($BS304,'État &amp; Plan d''action'!$B$6:$AJ$1113,29,FALSE))</f>
        <v>0</v>
      </c>
      <c r="DS304" s="70">
        <f>IF(VLOOKUP($BS304,'État &amp; Plan d''action'!$B$6:$AJ$1113,30,FALSE)="","",VLOOKUP($BS304,'État &amp; Plan d''action'!$B$6:$AJ$1113,30,FALSE))</f>
        <v>0</v>
      </c>
      <c r="DT304" s="70">
        <v>125</v>
      </c>
      <c r="DU304" s="485">
        <v>5.3959754677632397</v>
      </c>
      <c r="DV304" s="485">
        <v>7.3937688874311087</v>
      </c>
      <c r="DW304" s="70">
        <v>8</v>
      </c>
      <c r="DX304" s="70">
        <v>0</v>
      </c>
      <c r="DY304" s="70">
        <v>4</v>
      </c>
      <c r="DZ304" s="70">
        <f>VLOOKUP($BS304,'État &amp; Plan d''action'!$B$6:$AH$1113,31,FALSE)</f>
        <v>7</v>
      </c>
      <c r="EA304" s="70">
        <f>VLOOKUP($BS304,'État &amp; Plan d''action'!$B$6:$AH$1113,32,FALSE)</f>
        <v>0</v>
      </c>
      <c r="EB304" s="70">
        <f>VLOOKUP($BS304,'État &amp; Plan d''action'!$B$6:$AH$1113,33,FALSE)</f>
        <v>0</v>
      </c>
      <c r="EC304" s="70">
        <v>14.691000000000001</v>
      </c>
      <c r="ED304" s="70">
        <v>4.8970000000000002</v>
      </c>
      <c r="EE304" s="70">
        <v>0</v>
      </c>
      <c r="EF304" s="70">
        <v>0</v>
      </c>
      <c r="EG304" s="70">
        <v>0</v>
      </c>
      <c r="EH304" s="72">
        <v>71</v>
      </c>
      <c r="EI304" s="72">
        <v>1626</v>
      </c>
    </row>
    <row r="305" spans="71:139" x14ac:dyDescent="0.35">
      <c r="BS305" s="486">
        <v>23057</v>
      </c>
      <c r="BT305" s="479" t="s">
        <v>164</v>
      </c>
      <c r="BU305" s="479">
        <v>3</v>
      </c>
      <c r="BV305" s="476" t="s">
        <v>1187</v>
      </c>
      <c r="BW305" s="476" t="s">
        <v>1187</v>
      </c>
      <c r="BX305" s="476" t="s">
        <v>1187</v>
      </c>
      <c r="BY305" s="476" t="s">
        <v>1187</v>
      </c>
      <c r="BZ305" s="476" t="s">
        <v>1187</v>
      </c>
      <c r="CA305" s="476" t="s">
        <v>1187</v>
      </c>
      <c r="CB305" s="476" t="s">
        <v>1187</v>
      </c>
      <c r="CC305" s="476" t="s">
        <v>1187</v>
      </c>
      <c r="CD305" s="476" t="s">
        <v>1187</v>
      </c>
      <c r="CE305" s="476" t="s">
        <v>1188</v>
      </c>
      <c r="CF305" s="476" t="s">
        <v>1188</v>
      </c>
      <c r="CG305" s="476" t="s">
        <v>1188</v>
      </c>
      <c r="CH305" s="476" t="s">
        <v>1188</v>
      </c>
      <c r="CI305" s="476" t="s">
        <v>1188</v>
      </c>
      <c r="CJ305" s="476" t="s">
        <v>1188</v>
      </c>
      <c r="CK305" s="476" t="s">
        <v>1188</v>
      </c>
      <c r="CL305" s="476" t="s">
        <v>1188</v>
      </c>
      <c r="CM305" s="476" t="str">
        <f>IF(VLOOKUP(BS305,'Données par municipalité'!$B$6:$E$1113,4,FALSE)="","non","oui")</f>
        <v>non</v>
      </c>
      <c r="CN305" s="410">
        <v>282.82056314890394</v>
      </c>
      <c r="CO305" s="410">
        <v>296.38458850094452</v>
      </c>
      <c r="CP305" s="410">
        <v>284.48347686826389</v>
      </c>
      <c r="CQ305" s="410">
        <v>284.14179255435351</v>
      </c>
      <c r="CR305" s="410">
        <v>422</v>
      </c>
      <c r="CS305" s="410">
        <v>406.24777596811504</v>
      </c>
      <c r="CT305" s="410">
        <v>413</v>
      </c>
      <c r="CU305" s="410">
        <v>409</v>
      </c>
      <c r="CV305" s="410" t="str">
        <f>IF(VLOOKUP(BS305,'Données par municipalité'!$B$6:$F$1113,4,FALSE)="","",VLOOKUP(BS305,'Données par municipalité'!$B$6:$F$1113,4,FALSE))</f>
        <v/>
      </c>
      <c r="CW305" s="476" t="s">
        <v>4723</v>
      </c>
      <c r="CX305" s="483">
        <v>0.2</v>
      </c>
      <c r="CY305" s="483">
        <v>0.2</v>
      </c>
      <c r="CZ305" s="483">
        <v>0.2</v>
      </c>
      <c r="DA305" s="483">
        <v>0.2</v>
      </c>
      <c r="DB305" s="483">
        <v>0.15</v>
      </c>
      <c r="DC305" s="483">
        <v>0.1</v>
      </c>
      <c r="DD305" s="483" t="s">
        <v>1124</v>
      </c>
      <c r="DE305" s="483" t="str">
        <f>IFERROR(SUM(VLOOKUP($BS305,'État &amp; Plan d''action'!$B$6:$Z$1113,18,FALSE),VLOOKUP($BS305,'État &amp; Plan d''action'!$B$6:$Z$1113,20,FALSE))/(VLOOKUP($BS305,'Données par municipalité'!$B$4:$L$1113,11,FALSE)),"")</f>
        <v/>
      </c>
      <c r="DF305" s="483" t="str">
        <f>IFERROR(SUM(VLOOKUP($BS305,'État &amp; Plan d''action'!$B$6:$Z$1113,19,FALSE),VLOOKUP($BS305,'État &amp; Plan d''action'!$B$6:$Z$1113,21,FALSE))/(VLOOKUP($BS305,'Données par municipalité'!$B$4:$L$1113,11,FALSE)),"")</f>
        <v/>
      </c>
      <c r="DG305" s="476" t="s">
        <v>4723</v>
      </c>
      <c r="DH305" s="484">
        <v>15</v>
      </c>
      <c r="DI305" s="484">
        <v>11</v>
      </c>
      <c r="DJ305" s="484">
        <v>14</v>
      </c>
      <c r="DK305" s="484">
        <v>18</v>
      </c>
      <c r="DL305" s="484">
        <v>10</v>
      </c>
      <c r="DM305" s="484">
        <v>9</v>
      </c>
      <c r="DN305" s="484">
        <v>11</v>
      </c>
      <c r="DO305" s="484">
        <v>0</v>
      </c>
      <c r="DP305" s="484">
        <v>0</v>
      </c>
      <c r="DQ305" s="484" t="str">
        <f>IF(VLOOKUP($BS305,'État &amp; Plan d''action'!$B$6:$AJ$1113,28,FALSE)="","",VLOOKUP($BS305,'État &amp; Plan d''action'!$B$6:$AJ$1113,28,FALSE))</f>
        <v/>
      </c>
      <c r="DR305" s="70" t="str">
        <f>IF(VLOOKUP($BS305,'État &amp; Plan d''action'!$B$6:$AJ$1113,29,FALSE)="","",VLOOKUP($BS305,'État &amp; Plan d''action'!$B$6:$AJ$1113,29,FALSE))</f>
        <v/>
      </c>
      <c r="DS305" s="70" t="str">
        <f>IF(VLOOKUP($BS305,'État &amp; Plan d''action'!$B$6:$AJ$1113,30,FALSE)="","",VLOOKUP($BS305,'État &amp; Plan d''action'!$B$6:$AJ$1113,30,FALSE))</f>
        <v/>
      </c>
      <c r="DT305" s="70">
        <v>208</v>
      </c>
      <c r="DU305" s="485" t="s">
        <v>1124</v>
      </c>
      <c r="DV305" s="485" t="s">
        <v>1124</v>
      </c>
      <c r="DW305" s="70">
        <v>1</v>
      </c>
      <c r="DX305" s="70">
        <v>0</v>
      </c>
      <c r="DY305" s="70">
        <v>0</v>
      </c>
      <c r="DZ305" s="70" t="str">
        <f>VLOOKUP($BS305,'État &amp; Plan d''action'!$B$6:$AH$1113,31,FALSE)</f>
        <v/>
      </c>
      <c r="EA305" s="70" t="str">
        <f>VLOOKUP($BS305,'État &amp; Plan d''action'!$B$6:$AH$1113,32,FALSE)</f>
        <v/>
      </c>
      <c r="EB305" s="70" t="str">
        <f>VLOOKUP($BS305,'État &amp; Plan d''action'!$B$6:$AH$1113,33,FALSE)</f>
        <v/>
      </c>
      <c r="EC305" s="70">
        <v>0</v>
      </c>
      <c r="ED305" s="70">
        <v>27</v>
      </c>
      <c r="EE305" s="70">
        <v>8</v>
      </c>
      <c r="EF305" s="70">
        <v>0</v>
      </c>
      <c r="EG305" s="70">
        <v>0</v>
      </c>
      <c r="EH305" s="72">
        <v>56</v>
      </c>
      <c r="EI305" s="72">
        <v>16583</v>
      </c>
    </row>
    <row r="306" spans="71:139" x14ac:dyDescent="0.35">
      <c r="BS306" s="486">
        <v>88035</v>
      </c>
      <c r="BT306" s="479" t="s">
        <v>916</v>
      </c>
      <c r="BU306" s="479">
        <v>8</v>
      </c>
      <c r="BV306" s="476" t="s">
        <v>1187</v>
      </c>
      <c r="BW306" s="476" t="s">
        <v>1187</v>
      </c>
      <c r="BX306" s="476" t="s">
        <v>1187</v>
      </c>
      <c r="BY306" s="476" t="s">
        <v>1187</v>
      </c>
      <c r="BZ306" s="476" t="s">
        <v>1187</v>
      </c>
      <c r="CA306" s="476" t="s">
        <v>1187</v>
      </c>
      <c r="CB306" s="476" t="s">
        <v>1187</v>
      </c>
      <c r="CC306" s="476" t="s">
        <v>1187</v>
      </c>
      <c r="CD306" s="476" t="s">
        <v>1187</v>
      </c>
      <c r="CE306" s="476" t="s">
        <v>1188</v>
      </c>
      <c r="CF306" s="476" t="s">
        <v>1188</v>
      </c>
      <c r="CG306" s="476" t="s">
        <v>1188</v>
      </c>
      <c r="CH306" s="476" t="s">
        <v>1188</v>
      </c>
      <c r="CI306" s="476" t="s">
        <v>1188</v>
      </c>
      <c r="CJ306" s="476" t="s">
        <v>1188</v>
      </c>
      <c r="CK306" s="476" t="s">
        <v>1188</v>
      </c>
      <c r="CL306" s="476" t="s">
        <v>1188</v>
      </c>
      <c r="CM306" s="476" t="str">
        <f>IF(VLOOKUP(BS306,'Données par municipalité'!$B$6:$E$1113,4,FALSE)="","non","oui")</f>
        <v>oui</v>
      </c>
      <c r="CN306" s="410">
        <v>106.32967767076769</v>
      </c>
      <c r="CO306" s="410">
        <v>235.57492735574928</v>
      </c>
      <c r="CP306" s="410">
        <v>221.19173645837526</v>
      </c>
      <c r="CQ306" s="410">
        <v>191.00338856366474</v>
      </c>
      <c r="CR306" s="410">
        <v>182.91666224920462</v>
      </c>
      <c r="CS306" s="410">
        <v>215.0502459635949</v>
      </c>
      <c r="CT306" s="410">
        <v>200.02022377006764</v>
      </c>
      <c r="CU306" s="410">
        <v>239</v>
      </c>
      <c r="CV306" s="410">
        <f>IF(VLOOKUP(BS306,'Données par municipalité'!$B$6:$F$1113,4,FALSE)="","",VLOOKUP(BS306,'Données par municipalité'!$B$6:$F$1113,4,FALSE))</f>
        <v>156</v>
      </c>
      <c r="CW306" s="476" t="s">
        <v>4723</v>
      </c>
      <c r="CX306" s="483">
        <v>0</v>
      </c>
      <c r="CY306" s="483">
        <v>0</v>
      </c>
      <c r="CZ306" s="483">
        <v>0</v>
      </c>
      <c r="DA306" s="483">
        <v>0</v>
      </c>
      <c r="DB306" s="483">
        <v>0</v>
      </c>
      <c r="DC306" s="483">
        <v>1</v>
      </c>
      <c r="DD306" s="483">
        <v>0</v>
      </c>
      <c r="DE306" s="483">
        <f>IFERROR(SUM(VLOOKUP($BS306,'État &amp; Plan d''action'!$B$6:$Z$1113,18,FALSE),VLOOKUP($BS306,'État &amp; Plan d''action'!$B$6:$Z$1113,20,FALSE))/(VLOOKUP($BS306,'Données par municipalité'!$B$4:$L$1113,11,FALSE)),"")</f>
        <v>1</v>
      </c>
      <c r="DF306" s="483">
        <f>IFERROR(SUM(VLOOKUP($BS306,'État &amp; Plan d''action'!$B$6:$Z$1113,19,FALSE),VLOOKUP($BS306,'État &amp; Plan d''action'!$B$6:$Z$1113,21,FALSE))/(VLOOKUP($BS306,'Données par municipalité'!$B$4:$L$1113,11,FALSE)),"")</f>
        <v>0</v>
      </c>
      <c r="DG306" s="476" t="s">
        <v>4723</v>
      </c>
      <c r="DH306" s="484" t="s">
        <v>1124</v>
      </c>
      <c r="DI306" s="484" t="s">
        <v>1124</v>
      </c>
      <c r="DJ306" s="484">
        <v>0</v>
      </c>
      <c r="DK306" s="484">
        <v>0</v>
      </c>
      <c r="DL306" s="484">
        <v>1</v>
      </c>
      <c r="DM306" s="484">
        <v>1</v>
      </c>
      <c r="DN306" s="484">
        <v>0</v>
      </c>
      <c r="DO306" s="484">
        <v>0</v>
      </c>
      <c r="DP306" s="484">
        <v>0</v>
      </c>
      <c r="DQ306" s="484">
        <f>IF(VLOOKUP($BS306,'État &amp; Plan d''action'!$B$6:$AJ$1113,28,FALSE)="","",VLOOKUP($BS306,'État &amp; Plan d''action'!$B$6:$AJ$1113,28,FALSE))</f>
        <v>0</v>
      </c>
      <c r="DR306" s="70">
        <f>IF(VLOOKUP($BS306,'État &amp; Plan d''action'!$B$6:$AJ$1113,29,FALSE)="","",VLOOKUP($BS306,'État &amp; Plan d''action'!$B$6:$AJ$1113,29,FALSE))</f>
        <v>0</v>
      </c>
      <c r="DS306" s="70">
        <f>IF(VLOOKUP($BS306,'État &amp; Plan d''action'!$B$6:$AJ$1113,30,FALSE)="","",VLOOKUP($BS306,'État &amp; Plan d''action'!$B$6:$AJ$1113,30,FALSE))</f>
        <v>0</v>
      </c>
      <c r="DT306" s="70">
        <v>131</v>
      </c>
      <c r="DU306" s="485">
        <v>1.5939244532109316</v>
      </c>
      <c r="DV306" s="485">
        <v>0.50558696075922382</v>
      </c>
      <c r="DW306" s="70">
        <v>0</v>
      </c>
      <c r="DX306" s="70">
        <v>0</v>
      </c>
      <c r="DY306" s="70">
        <v>0</v>
      </c>
      <c r="DZ306" s="70">
        <f>VLOOKUP($BS306,'État &amp; Plan d''action'!$B$6:$AH$1113,31,FALSE)</f>
        <v>0</v>
      </c>
      <c r="EA306" s="70">
        <f>VLOOKUP($BS306,'État &amp; Plan d''action'!$B$6:$AH$1113,32,FALSE)</f>
        <v>0</v>
      </c>
      <c r="EB306" s="70">
        <f>VLOOKUP($BS306,'État &amp; Plan d''action'!$B$6:$AH$1113,33,FALSE)</f>
        <v>0</v>
      </c>
      <c r="EC306" s="70">
        <v>0</v>
      </c>
      <c r="ED306" s="70">
        <v>0</v>
      </c>
      <c r="EE306" s="70">
        <v>0</v>
      </c>
      <c r="EF306" s="70">
        <v>0</v>
      </c>
      <c r="EG306" s="70">
        <v>0</v>
      </c>
      <c r="EH306" s="72">
        <v>55</v>
      </c>
      <c r="EI306" s="72">
        <v>961</v>
      </c>
    </row>
    <row r="307" spans="71:139" x14ac:dyDescent="0.35">
      <c r="BS307" s="486">
        <v>21040</v>
      </c>
      <c r="BT307" s="479" t="s">
        <v>151</v>
      </c>
      <c r="BU307" s="479">
        <v>3</v>
      </c>
      <c r="BV307" s="476" t="s">
        <v>1187</v>
      </c>
      <c r="BW307" s="476" t="s">
        <v>1187</v>
      </c>
      <c r="BX307" s="476" t="s">
        <v>1187</v>
      </c>
      <c r="BY307" s="476" t="s">
        <v>1187</v>
      </c>
      <c r="BZ307" s="476" t="s">
        <v>1187</v>
      </c>
      <c r="CA307" s="476" t="s">
        <v>1187</v>
      </c>
      <c r="CB307" s="476" t="s">
        <v>1187</v>
      </c>
      <c r="CC307" s="476" t="s">
        <v>1187</v>
      </c>
      <c r="CD307" s="476" t="s">
        <v>1187</v>
      </c>
      <c r="CE307" s="476" t="s">
        <v>1188</v>
      </c>
      <c r="CF307" s="476" t="s">
        <v>1188</v>
      </c>
      <c r="CG307" s="476" t="s">
        <v>1188</v>
      </c>
      <c r="CH307" s="476" t="s">
        <v>1188</v>
      </c>
      <c r="CI307" s="476" t="s">
        <v>1188</v>
      </c>
      <c r="CJ307" s="476" t="s">
        <v>1188</v>
      </c>
      <c r="CK307" s="476" t="s">
        <v>1188</v>
      </c>
      <c r="CL307" s="476" t="s">
        <v>1188</v>
      </c>
      <c r="CM307" s="476" t="str">
        <f>IF(VLOOKUP(BS307,'Données par municipalité'!$B$6:$E$1113,4,FALSE)="","non","oui")</f>
        <v>oui</v>
      </c>
      <c r="CN307" s="410">
        <v>272.76699498158922</v>
      </c>
      <c r="CO307" s="410">
        <v>339.70488919020784</v>
      </c>
      <c r="CP307" s="410">
        <v>338.51149580173433</v>
      </c>
      <c r="CQ307" s="410">
        <v>352.96320564639109</v>
      </c>
      <c r="CR307" s="410">
        <v>300.83730510946117</v>
      </c>
      <c r="CS307" s="410">
        <v>269.56387478207967</v>
      </c>
      <c r="CT307" s="410">
        <v>267.70116702007789</v>
      </c>
      <c r="CU307" s="410">
        <v>330</v>
      </c>
      <c r="CV307" s="410">
        <f>IF(VLOOKUP(BS307,'Données par municipalité'!$B$6:$F$1113,4,FALSE)="","",VLOOKUP(BS307,'Données par municipalité'!$B$6:$F$1113,4,FALSE))</f>
        <v>312</v>
      </c>
      <c r="CW307" s="476" t="s">
        <v>4723</v>
      </c>
      <c r="CX307" s="483">
        <v>1</v>
      </c>
      <c r="CY307" s="483">
        <v>1</v>
      </c>
      <c r="CZ307" s="483">
        <v>1</v>
      </c>
      <c r="DA307" s="483">
        <v>1</v>
      </c>
      <c r="DB307" s="483">
        <v>1</v>
      </c>
      <c r="DC307" s="483">
        <v>1</v>
      </c>
      <c r="DD307" s="483">
        <v>0.99999999999999989</v>
      </c>
      <c r="DE307" s="483">
        <f>IFERROR(SUM(VLOOKUP($BS307,'État &amp; Plan d''action'!$B$6:$Z$1113,18,FALSE),VLOOKUP($BS307,'État &amp; Plan d''action'!$B$6:$Z$1113,20,FALSE))/(VLOOKUP($BS307,'Données par municipalité'!$B$4:$L$1113,11,FALSE)),"")</f>
        <v>0.99999999999999989</v>
      </c>
      <c r="DF307" s="483">
        <f>IFERROR(SUM(VLOOKUP($BS307,'État &amp; Plan d''action'!$B$6:$Z$1113,19,FALSE),VLOOKUP($BS307,'État &amp; Plan d''action'!$B$6:$Z$1113,21,FALSE))/(VLOOKUP($BS307,'Données par municipalité'!$B$4:$L$1113,11,FALSE)),"")</f>
        <v>0.99999999999999989</v>
      </c>
      <c r="DG307" s="476" t="s">
        <v>4723</v>
      </c>
      <c r="DH307" s="484">
        <v>8</v>
      </c>
      <c r="DI307" s="484">
        <v>10</v>
      </c>
      <c r="DJ307" s="484">
        <v>6</v>
      </c>
      <c r="DK307" s="484">
        <v>3</v>
      </c>
      <c r="DL307" s="484">
        <v>5</v>
      </c>
      <c r="DM307" s="484">
        <v>6</v>
      </c>
      <c r="DN307" s="484">
        <v>6</v>
      </c>
      <c r="DO307" s="484">
        <v>0</v>
      </c>
      <c r="DP307" s="484">
        <v>0</v>
      </c>
      <c r="DQ307" s="484">
        <f>IF(VLOOKUP($BS307,'État &amp; Plan d''action'!$B$6:$AJ$1113,28,FALSE)="","",VLOOKUP($BS307,'État &amp; Plan d''action'!$B$6:$AJ$1113,28,FALSE))</f>
        <v>1</v>
      </c>
      <c r="DR307" s="70">
        <f>IF(VLOOKUP($BS307,'État &amp; Plan d''action'!$B$6:$AJ$1113,29,FALSE)="","",VLOOKUP($BS307,'État &amp; Plan d''action'!$B$6:$AJ$1113,29,FALSE))</f>
        <v>1</v>
      </c>
      <c r="DS307" s="70">
        <f>IF(VLOOKUP($BS307,'État &amp; Plan d''action'!$B$6:$AJ$1113,30,FALSE)="","",VLOOKUP($BS307,'État &amp; Plan d''action'!$B$6:$AJ$1113,30,FALSE))</f>
        <v>2</v>
      </c>
      <c r="DT307" s="70">
        <v>256</v>
      </c>
      <c r="DU307" s="485">
        <v>2.0970702299040904</v>
      </c>
      <c r="DV307" s="485">
        <v>2.0970586200327048</v>
      </c>
      <c r="DW307" s="70">
        <v>2</v>
      </c>
      <c r="DX307" s="70">
        <v>0</v>
      </c>
      <c r="DY307" s="70">
        <v>0</v>
      </c>
      <c r="DZ307" s="70">
        <f>VLOOKUP($BS307,'État &amp; Plan d''action'!$B$6:$AH$1113,31,FALSE)</f>
        <v>1</v>
      </c>
      <c r="EA307" s="70">
        <f>VLOOKUP($BS307,'État &amp; Plan d''action'!$B$6:$AH$1113,32,FALSE)</f>
        <v>1</v>
      </c>
      <c r="EB307" s="70">
        <f>VLOOKUP($BS307,'État &amp; Plan d''action'!$B$6:$AH$1113,33,FALSE)</f>
        <v>1</v>
      </c>
      <c r="EC307" s="70">
        <v>23.677</v>
      </c>
      <c r="ED307" s="70">
        <v>23.677</v>
      </c>
      <c r="EE307" s="70">
        <v>0</v>
      </c>
      <c r="EF307" s="70">
        <v>0</v>
      </c>
      <c r="EG307" s="70">
        <v>0</v>
      </c>
      <c r="EH307" s="72">
        <v>60</v>
      </c>
      <c r="EI307" s="72">
        <v>3848</v>
      </c>
    </row>
    <row r="308" spans="71:139" x14ac:dyDescent="0.35">
      <c r="BS308" s="486">
        <v>82005</v>
      </c>
      <c r="BT308" s="479" t="s">
        <v>828</v>
      </c>
      <c r="BU308" s="479">
        <v>7</v>
      </c>
      <c r="BV308" s="476" t="s">
        <v>1188</v>
      </c>
      <c r="BW308" s="476" t="s">
        <v>1188</v>
      </c>
      <c r="BX308" s="476" t="s">
        <v>1188</v>
      </c>
      <c r="BY308" s="476" t="s">
        <v>1188</v>
      </c>
      <c r="BZ308" s="476" t="s">
        <v>1188</v>
      </c>
      <c r="CA308" s="476" t="s">
        <v>1188</v>
      </c>
      <c r="CB308" s="476" t="s">
        <v>1188</v>
      </c>
      <c r="CC308" s="476" t="s">
        <v>1188</v>
      </c>
      <c r="CD308" s="476" t="s">
        <v>1188</v>
      </c>
      <c r="CE308" s="476" t="s">
        <v>1188</v>
      </c>
      <c r="CF308" s="476" t="s">
        <v>1188</v>
      </c>
      <c r="CG308" s="476" t="s">
        <v>1187</v>
      </c>
      <c r="CH308" s="476" t="s">
        <v>1187</v>
      </c>
      <c r="CI308" s="476" t="s">
        <v>1187</v>
      </c>
      <c r="CJ308" s="476" t="s">
        <v>1187</v>
      </c>
      <c r="CK308" s="476" t="s">
        <v>1187</v>
      </c>
      <c r="CL308" s="476" t="s">
        <v>1187</v>
      </c>
      <c r="CM308" s="476" t="str">
        <f>IF(VLOOKUP(BS308,'Données par municipalité'!$B$6:$E$1113,4,FALSE)="","non","oui")</f>
        <v>non</v>
      </c>
      <c r="CN308" s="410">
        <v>1108.286957762557</v>
      </c>
      <c r="CO308" s="410">
        <v>1201.3699149969643</v>
      </c>
      <c r="CP308" s="410"/>
      <c r="CQ308" s="410"/>
      <c r="CR308" s="410"/>
      <c r="CS308" s="410" t="s">
        <v>1124</v>
      </c>
      <c r="CT308" s="410"/>
      <c r="CU308" s="410" t="s">
        <v>1124</v>
      </c>
      <c r="CV308" s="410" t="str">
        <f>IF(VLOOKUP(BS308,'Données par municipalité'!$B$6:$F$1113,4,FALSE)="","",VLOOKUP(BS308,'Données par municipalité'!$B$6:$F$1113,4,FALSE))</f>
        <v/>
      </c>
      <c r="CW308" s="476" t="s">
        <v>4723</v>
      </c>
      <c r="CX308" s="483" t="s">
        <v>1124</v>
      </c>
      <c r="CY308" s="483" t="s">
        <v>1124</v>
      </c>
      <c r="CZ308" s="483" t="s">
        <v>1124</v>
      </c>
      <c r="DA308" s="483" t="s">
        <v>1124</v>
      </c>
      <c r="DB308" s="483" t="s">
        <v>1124</v>
      </c>
      <c r="DC308" s="483" t="s">
        <v>1124</v>
      </c>
      <c r="DD308" s="483" t="s">
        <v>1124</v>
      </c>
      <c r="DE308" s="483" t="str">
        <f>IFERROR(SUM(VLOOKUP($BS308,'État &amp; Plan d''action'!$B$6:$Z$1113,18,FALSE),VLOOKUP($BS308,'État &amp; Plan d''action'!$B$6:$Z$1113,20,FALSE))/(VLOOKUP($BS308,'Données par municipalité'!$B$4:$L$1113,11,FALSE)),"")</f>
        <v/>
      </c>
      <c r="DF308" s="483" t="str">
        <f>IFERROR(SUM(VLOOKUP($BS308,'État &amp; Plan d''action'!$B$6:$Z$1113,19,FALSE),VLOOKUP($BS308,'État &amp; Plan d''action'!$B$6:$Z$1113,21,FALSE))/(VLOOKUP($BS308,'Données par municipalité'!$B$4:$L$1113,11,FALSE)),"")</f>
        <v/>
      </c>
      <c r="DG308" s="476" t="s">
        <v>4723</v>
      </c>
      <c r="DH308" s="484" t="s">
        <v>1124</v>
      </c>
      <c r="DI308" s="484" t="s">
        <v>1124</v>
      </c>
      <c r="DJ308" s="484">
        <v>0</v>
      </c>
      <c r="DK308" s="484">
        <v>0</v>
      </c>
      <c r="DL308" s="484" t="s">
        <v>1124</v>
      </c>
      <c r="DM308" s="484" t="s">
        <v>1124</v>
      </c>
      <c r="DN308" s="484" t="s">
        <v>1124</v>
      </c>
      <c r="DO308" s="484" t="s">
        <v>1124</v>
      </c>
      <c r="DP308" s="484" t="s">
        <v>1124</v>
      </c>
      <c r="DQ308" s="484" t="str">
        <f>IF(VLOOKUP($BS308,'État &amp; Plan d''action'!$B$6:$AJ$1113,28,FALSE)="","",VLOOKUP($BS308,'État &amp; Plan d''action'!$B$6:$AJ$1113,28,FALSE))</f>
        <v/>
      </c>
      <c r="DR308" s="70" t="str">
        <f>IF(VLOOKUP($BS308,'État &amp; Plan d''action'!$B$6:$AJ$1113,29,FALSE)="","",VLOOKUP($BS308,'État &amp; Plan d''action'!$B$6:$AJ$1113,29,FALSE))</f>
        <v/>
      </c>
      <c r="DS308" s="70" t="str">
        <f>IF(VLOOKUP($BS308,'État &amp; Plan d''action'!$B$6:$AJ$1113,30,FALSE)="","",VLOOKUP($BS308,'État &amp; Plan d''action'!$B$6:$AJ$1113,30,FALSE))</f>
        <v/>
      </c>
      <c r="DT308" s="70" t="s">
        <v>1124</v>
      </c>
      <c r="DU308" s="485" t="s">
        <v>1124</v>
      </c>
      <c r="DV308" s="485" t="s">
        <v>1124</v>
      </c>
      <c r="DW308" s="70" t="s">
        <v>1124</v>
      </c>
      <c r="DX308" s="70" t="s">
        <v>1124</v>
      </c>
      <c r="DY308" s="70" t="s">
        <v>1124</v>
      </c>
      <c r="DZ308" s="70" t="str">
        <f>VLOOKUP($BS308,'État &amp; Plan d''action'!$B$6:$AH$1113,31,FALSE)</f>
        <v/>
      </c>
      <c r="EA308" s="70" t="str">
        <f>VLOOKUP($BS308,'État &amp; Plan d''action'!$B$6:$AH$1113,32,FALSE)</f>
        <v/>
      </c>
      <c r="EB308" s="70" t="str">
        <f>VLOOKUP($BS308,'État &amp; Plan d''action'!$B$6:$AH$1113,33,FALSE)</f>
        <v/>
      </c>
      <c r="EC308" s="70" t="s">
        <v>1124</v>
      </c>
      <c r="ED308" s="70" t="s">
        <v>1124</v>
      </c>
      <c r="EE308" s="70" t="s">
        <v>1124</v>
      </c>
      <c r="EF308" s="70" t="s">
        <v>1124</v>
      </c>
      <c r="EG308" s="70" t="s">
        <v>1124</v>
      </c>
      <c r="EH308" s="72"/>
      <c r="EI308" s="72">
        <v>5719</v>
      </c>
    </row>
    <row r="309" spans="71:139" x14ac:dyDescent="0.35">
      <c r="BS309" s="486">
        <v>52017</v>
      </c>
      <c r="BT309" s="479" t="s">
        <v>516</v>
      </c>
      <c r="BU309" s="479">
        <v>14</v>
      </c>
      <c r="BV309" s="476" t="s">
        <v>1187</v>
      </c>
      <c r="BW309" s="476" t="s">
        <v>1187</v>
      </c>
      <c r="BX309" s="476" t="s">
        <v>1187</v>
      </c>
      <c r="BY309" s="476" t="s">
        <v>1187</v>
      </c>
      <c r="BZ309" s="476" t="s">
        <v>1187</v>
      </c>
      <c r="CA309" s="476" t="s">
        <v>1187</v>
      </c>
      <c r="CB309" s="476" t="s">
        <v>1187</v>
      </c>
      <c r="CC309" s="476" t="s">
        <v>1187</v>
      </c>
      <c r="CD309" s="476" t="s">
        <v>1187</v>
      </c>
      <c r="CE309" s="476" t="s">
        <v>1188</v>
      </c>
      <c r="CF309" s="476" t="s">
        <v>1188</v>
      </c>
      <c r="CG309" s="476" t="s">
        <v>1187</v>
      </c>
      <c r="CH309" s="476" t="s">
        <v>1188</v>
      </c>
      <c r="CI309" s="476" t="s">
        <v>1188</v>
      </c>
      <c r="CJ309" s="476" t="s">
        <v>1188</v>
      </c>
      <c r="CK309" s="476" t="s">
        <v>1188</v>
      </c>
      <c r="CL309" s="476" t="s">
        <v>1188</v>
      </c>
      <c r="CM309" s="476" t="str">
        <f>IF(VLOOKUP(BS309,'Données par municipalité'!$B$6:$E$1113,4,FALSE)="","non","oui")</f>
        <v>oui</v>
      </c>
      <c r="CN309" s="410">
        <v>264.82024496728559</v>
      </c>
      <c r="CO309" s="410">
        <v>269.96706836029387</v>
      </c>
      <c r="CP309" s="410"/>
      <c r="CQ309" s="410">
        <v>285.42688122546281</v>
      </c>
      <c r="CR309" s="410">
        <v>294.79079176731199</v>
      </c>
      <c r="CS309" s="410">
        <v>288.88138724204293</v>
      </c>
      <c r="CT309" s="410">
        <v>254.53397559142778</v>
      </c>
      <c r="CU309" s="410">
        <v>262</v>
      </c>
      <c r="CV309" s="410">
        <f>IF(VLOOKUP(BS309,'Données par municipalité'!$B$6:$F$1113,4,FALSE)="","",VLOOKUP(BS309,'Données par municipalité'!$B$6:$F$1113,4,FALSE))</f>
        <v>269</v>
      </c>
      <c r="CW309" s="476" t="s">
        <v>4723</v>
      </c>
      <c r="CX309" s="483">
        <v>1</v>
      </c>
      <c r="CY309" s="483" t="s">
        <v>1124</v>
      </c>
      <c r="CZ309" s="483">
        <v>1</v>
      </c>
      <c r="DA309" s="483">
        <v>0</v>
      </c>
      <c r="DB309" s="483">
        <v>0</v>
      </c>
      <c r="DC309" s="483">
        <v>0</v>
      </c>
      <c r="DD309" s="483">
        <v>1</v>
      </c>
      <c r="DE309" s="483">
        <f>IFERROR(SUM(VLOOKUP($BS309,'État &amp; Plan d''action'!$B$6:$Z$1113,18,FALSE),VLOOKUP($BS309,'État &amp; Plan d''action'!$B$6:$Z$1113,20,FALSE))/(VLOOKUP($BS309,'Données par municipalité'!$B$4:$L$1113,11,FALSE)),"")</f>
        <v>1.2607436928976949</v>
      </c>
      <c r="DF309" s="483">
        <f>IFERROR(SUM(VLOOKUP($BS309,'État &amp; Plan d''action'!$B$6:$Z$1113,19,FALSE),VLOOKUP($BS309,'État &amp; Plan d''action'!$B$6:$Z$1113,21,FALSE))/(VLOOKUP($BS309,'Données par municipalité'!$B$4:$L$1113,11,FALSE)),"")</f>
        <v>1.568785953303004</v>
      </c>
      <c r="DG309" s="476" t="s">
        <v>4723</v>
      </c>
      <c r="DH309" s="484">
        <v>1</v>
      </c>
      <c r="DI309" s="484" t="s">
        <v>1124</v>
      </c>
      <c r="DJ309" s="484">
        <v>1</v>
      </c>
      <c r="DK309" s="484">
        <v>0</v>
      </c>
      <c r="DL309" s="484">
        <v>0</v>
      </c>
      <c r="DM309" s="484">
        <v>0</v>
      </c>
      <c r="DN309" s="484">
        <v>0</v>
      </c>
      <c r="DO309" s="484">
        <v>1</v>
      </c>
      <c r="DP309" s="484">
        <v>1</v>
      </c>
      <c r="DQ309" s="484">
        <f>IF(VLOOKUP($BS309,'État &amp; Plan d''action'!$B$6:$AJ$1113,28,FALSE)="","",VLOOKUP($BS309,'État &amp; Plan d''action'!$B$6:$AJ$1113,28,FALSE))</f>
        <v>0</v>
      </c>
      <c r="DR309" s="70">
        <f>IF(VLOOKUP($BS309,'État &amp; Plan d''action'!$B$6:$AJ$1113,29,FALSE)="","",VLOOKUP($BS309,'État &amp; Plan d''action'!$B$6:$AJ$1113,29,FALSE))</f>
        <v>0</v>
      </c>
      <c r="DS309" s="70">
        <f>IF(VLOOKUP($BS309,'État &amp; Plan d''action'!$B$6:$AJ$1113,30,FALSE)="","",VLOOKUP($BS309,'État &amp; Plan d''action'!$B$6:$AJ$1113,30,FALSE))</f>
        <v>1</v>
      </c>
      <c r="DT309" s="70">
        <v>152</v>
      </c>
      <c r="DU309" s="485">
        <v>2.7179961741624883</v>
      </c>
      <c r="DV309" s="485">
        <v>3.8645718984320134</v>
      </c>
      <c r="DW309" s="70">
        <v>0</v>
      </c>
      <c r="DX309" s="70">
        <v>1</v>
      </c>
      <c r="DY309" s="70">
        <v>1</v>
      </c>
      <c r="DZ309" s="70">
        <f>VLOOKUP($BS309,'État &amp; Plan d''action'!$B$6:$AH$1113,31,FALSE)</f>
        <v>0</v>
      </c>
      <c r="EA309" s="70">
        <f>VLOOKUP($BS309,'État &amp; Plan d''action'!$B$6:$AH$1113,32,FALSE)</f>
        <v>0</v>
      </c>
      <c r="EB309" s="70">
        <f>VLOOKUP($BS309,'État &amp; Plan d''action'!$B$6:$AH$1113,33,FALSE)</f>
        <v>1</v>
      </c>
      <c r="EC309" s="70">
        <v>0</v>
      </c>
      <c r="ED309" s="70">
        <v>26.824999999999999</v>
      </c>
      <c r="EE309" s="70">
        <v>0</v>
      </c>
      <c r="EF309" s="70">
        <v>0</v>
      </c>
      <c r="EG309" s="70">
        <v>0</v>
      </c>
      <c r="EH309" s="72">
        <v>62.555555555555536</v>
      </c>
      <c r="EI309" s="72">
        <v>5070</v>
      </c>
    </row>
    <row r="310" spans="71:139" x14ac:dyDescent="0.35">
      <c r="BS310" s="486">
        <v>94210</v>
      </c>
      <c r="BT310" s="479" t="s">
        <v>974</v>
      </c>
      <c r="BU310" s="479">
        <v>2</v>
      </c>
      <c r="BV310" s="476" t="s">
        <v>1187</v>
      </c>
      <c r="BW310" s="476" t="s">
        <v>1187</v>
      </c>
      <c r="BX310" s="476" t="s">
        <v>1187</v>
      </c>
      <c r="BY310" s="476" t="s">
        <v>1187</v>
      </c>
      <c r="BZ310" s="476" t="s">
        <v>1187</v>
      </c>
      <c r="CA310" s="476" t="s">
        <v>1187</v>
      </c>
      <c r="CB310" s="476" t="s">
        <v>1187</v>
      </c>
      <c r="CC310" s="476" t="s">
        <v>1187</v>
      </c>
      <c r="CD310" s="476" t="s">
        <v>1187</v>
      </c>
      <c r="CE310" s="476" t="s">
        <v>1188</v>
      </c>
      <c r="CF310" s="476" t="s">
        <v>1188</v>
      </c>
      <c r="CG310" s="476" t="s">
        <v>1188</v>
      </c>
      <c r="CH310" s="476" t="s">
        <v>1187</v>
      </c>
      <c r="CI310" s="476" t="s">
        <v>1188</v>
      </c>
      <c r="CJ310" s="476" t="s">
        <v>1188</v>
      </c>
      <c r="CK310" s="476" t="s">
        <v>1188</v>
      </c>
      <c r="CL310" s="476" t="s">
        <v>1187</v>
      </c>
      <c r="CM310" s="476" t="str">
        <f>IF(VLOOKUP(BS310,'Données par municipalité'!$B$6:$E$1113,4,FALSE)="","non","oui")</f>
        <v>non</v>
      </c>
      <c r="CN310" s="410">
        <v>386.15631736318755</v>
      </c>
      <c r="CO310" s="410">
        <v>403.74776959964316</v>
      </c>
      <c r="CP310" s="410">
        <v>617.81413846476096</v>
      </c>
      <c r="CQ310" s="410"/>
      <c r="CR310" s="410">
        <v>796.80622557246954</v>
      </c>
      <c r="CS310" s="410">
        <v>800.90868680460767</v>
      </c>
      <c r="CT310" s="410">
        <v>802.53242311641736</v>
      </c>
      <c r="CU310" s="410" t="s">
        <v>1124</v>
      </c>
      <c r="CV310" s="410" t="str">
        <f>IF(VLOOKUP(BS310,'Données par municipalité'!$B$6:$F$1113,4,FALSE)="","",VLOOKUP(BS310,'Données par municipalité'!$B$6:$F$1113,4,FALSE))</f>
        <v/>
      </c>
      <c r="CW310" s="476" t="s">
        <v>4723</v>
      </c>
      <c r="CX310" s="483">
        <v>0</v>
      </c>
      <c r="CY310" s="483">
        <v>0</v>
      </c>
      <c r="CZ310" s="483" t="s">
        <v>1124</v>
      </c>
      <c r="DA310" s="483">
        <v>1</v>
      </c>
      <c r="DB310" s="483">
        <v>1</v>
      </c>
      <c r="DC310" s="483">
        <v>1</v>
      </c>
      <c r="DD310" s="483" t="s">
        <v>1124</v>
      </c>
      <c r="DE310" s="483" t="str">
        <f>IFERROR(SUM(VLOOKUP($BS310,'État &amp; Plan d''action'!$B$6:$Z$1113,18,FALSE),VLOOKUP($BS310,'État &amp; Plan d''action'!$B$6:$Z$1113,20,FALSE))/(VLOOKUP($BS310,'Données par municipalité'!$B$4:$L$1113,11,FALSE)),"")</f>
        <v/>
      </c>
      <c r="DF310" s="483" t="str">
        <f>IFERROR(SUM(VLOOKUP($BS310,'État &amp; Plan d''action'!$B$6:$Z$1113,19,FALSE),VLOOKUP($BS310,'État &amp; Plan d''action'!$B$6:$Z$1113,21,FALSE))/(VLOOKUP($BS310,'Données par municipalité'!$B$4:$L$1113,11,FALSE)),"")</f>
        <v/>
      </c>
      <c r="DG310" s="476" t="s">
        <v>4723</v>
      </c>
      <c r="DH310" s="484">
        <v>3</v>
      </c>
      <c r="DI310" s="484">
        <v>3</v>
      </c>
      <c r="DJ310" s="484">
        <v>0</v>
      </c>
      <c r="DK310" s="484">
        <v>0</v>
      </c>
      <c r="DL310" s="484">
        <v>2</v>
      </c>
      <c r="DM310" s="484">
        <v>2</v>
      </c>
      <c r="DN310" s="484" t="s">
        <v>1124</v>
      </c>
      <c r="DO310" s="484" t="s">
        <v>1124</v>
      </c>
      <c r="DP310" s="484" t="s">
        <v>1124</v>
      </c>
      <c r="DQ310" s="484" t="str">
        <f>IF(VLOOKUP($BS310,'État &amp; Plan d''action'!$B$6:$AJ$1113,28,FALSE)="","",VLOOKUP($BS310,'État &amp; Plan d''action'!$B$6:$AJ$1113,28,FALSE))</f>
        <v/>
      </c>
      <c r="DR310" s="70" t="str">
        <f>IF(VLOOKUP($BS310,'État &amp; Plan d''action'!$B$6:$AJ$1113,29,FALSE)="","",VLOOKUP($BS310,'État &amp; Plan d''action'!$B$6:$AJ$1113,29,FALSE))</f>
        <v/>
      </c>
      <c r="DS310" s="70" t="str">
        <f>IF(VLOOKUP($BS310,'État &amp; Plan d''action'!$B$6:$AJ$1113,30,FALSE)="","",VLOOKUP($BS310,'État &amp; Plan d''action'!$B$6:$AJ$1113,30,FALSE))</f>
        <v/>
      </c>
      <c r="DT310" s="70" t="s">
        <v>1124</v>
      </c>
      <c r="DU310" s="485" t="s">
        <v>1124</v>
      </c>
      <c r="DV310" s="485" t="s">
        <v>1124</v>
      </c>
      <c r="DW310" s="70" t="s">
        <v>1124</v>
      </c>
      <c r="DX310" s="70" t="s">
        <v>1124</v>
      </c>
      <c r="DY310" s="70" t="s">
        <v>1124</v>
      </c>
      <c r="DZ310" s="70" t="str">
        <f>VLOOKUP($BS310,'État &amp; Plan d''action'!$B$6:$AH$1113,31,FALSE)</f>
        <v/>
      </c>
      <c r="EA310" s="70" t="str">
        <f>VLOOKUP($BS310,'État &amp; Plan d''action'!$B$6:$AH$1113,32,FALSE)</f>
        <v/>
      </c>
      <c r="EB310" s="70" t="str">
        <f>VLOOKUP($BS310,'État &amp; Plan d''action'!$B$6:$AH$1113,33,FALSE)</f>
        <v/>
      </c>
      <c r="EC310" s="70" t="s">
        <v>1124</v>
      </c>
      <c r="ED310" s="70" t="s">
        <v>1124</v>
      </c>
      <c r="EE310" s="70" t="s">
        <v>1124</v>
      </c>
      <c r="EF310" s="70" t="s">
        <v>1124</v>
      </c>
      <c r="EG310" s="70" t="s">
        <v>1124</v>
      </c>
      <c r="EH310" s="72"/>
      <c r="EI310" s="72">
        <v>1219</v>
      </c>
    </row>
    <row r="311" spans="71:139" x14ac:dyDescent="0.35">
      <c r="BS311" s="486">
        <v>78015</v>
      </c>
      <c r="BT311" s="479" t="s">
        <v>768</v>
      </c>
      <c r="BU311" s="479">
        <v>15</v>
      </c>
      <c r="BV311" s="476" t="s">
        <v>1188</v>
      </c>
      <c r="BW311" s="476" t="s">
        <v>1188</v>
      </c>
      <c r="BX311" s="476" t="s">
        <v>1188</v>
      </c>
      <c r="BY311" s="476" t="s">
        <v>1188</v>
      </c>
      <c r="BZ311" s="476" t="s">
        <v>1188</v>
      </c>
      <c r="CA311" s="476" t="s">
        <v>1188</v>
      </c>
      <c r="CB311" s="476" t="s">
        <v>1188</v>
      </c>
      <c r="CC311" s="476" t="s">
        <v>1188</v>
      </c>
      <c r="CD311" s="476" t="s">
        <v>1188</v>
      </c>
      <c r="CE311" s="476" t="s">
        <v>1188</v>
      </c>
      <c r="CF311" s="476" t="s">
        <v>1188</v>
      </c>
      <c r="CG311" s="476" t="s">
        <v>1187</v>
      </c>
      <c r="CH311" s="476" t="s">
        <v>1188</v>
      </c>
      <c r="CI311" s="476" t="s">
        <v>1188</v>
      </c>
      <c r="CJ311" s="476" t="s">
        <v>1187</v>
      </c>
      <c r="CK311" s="476" t="s">
        <v>1187</v>
      </c>
      <c r="CL311" s="476" t="s">
        <v>1187</v>
      </c>
      <c r="CM311" s="476" t="str">
        <f>IF(VLOOKUP(BS311,'Données par municipalité'!$B$6:$E$1113,4,FALSE)="","non","oui")</f>
        <v>non</v>
      </c>
      <c r="CN311" s="410">
        <v>499.4429182402418</v>
      </c>
      <c r="CO311" s="410">
        <v>673.2139298154807</v>
      </c>
      <c r="CP311" s="410"/>
      <c r="CQ311" s="410">
        <v>381.25521883733785</v>
      </c>
      <c r="CR311" s="410">
        <v>453.89230203127261</v>
      </c>
      <c r="CS311" s="410" t="s">
        <v>1124</v>
      </c>
      <c r="CT311" s="410"/>
      <c r="CU311" s="410" t="s">
        <v>1124</v>
      </c>
      <c r="CV311" s="410" t="str">
        <f>IF(VLOOKUP(BS311,'Données par municipalité'!$B$6:$F$1113,4,FALSE)="","",VLOOKUP(BS311,'Données par municipalité'!$B$6:$F$1113,4,FALSE))</f>
        <v/>
      </c>
      <c r="CW311" s="476" t="s">
        <v>4723</v>
      </c>
      <c r="CX311" s="483" t="s">
        <v>1124</v>
      </c>
      <c r="CY311" s="483" t="s">
        <v>1124</v>
      </c>
      <c r="CZ311" s="483">
        <v>0</v>
      </c>
      <c r="DA311" s="483">
        <v>0</v>
      </c>
      <c r="DB311" s="483" t="s">
        <v>1124</v>
      </c>
      <c r="DC311" s="483" t="s">
        <v>1124</v>
      </c>
      <c r="DD311" s="483" t="s">
        <v>1124</v>
      </c>
      <c r="DE311" s="483" t="str">
        <f>IFERROR(SUM(VLOOKUP($BS311,'État &amp; Plan d''action'!$B$6:$Z$1113,18,FALSE),VLOOKUP($BS311,'État &amp; Plan d''action'!$B$6:$Z$1113,20,FALSE))/(VLOOKUP($BS311,'Données par municipalité'!$B$4:$L$1113,11,FALSE)),"")</f>
        <v/>
      </c>
      <c r="DF311" s="483" t="str">
        <f>IFERROR(SUM(VLOOKUP($BS311,'État &amp; Plan d''action'!$B$6:$Z$1113,19,FALSE),VLOOKUP($BS311,'État &amp; Plan d''action'!$B$6:$Z$1113,21,FALSE))/(VLOOKUP($BS311,'Données par municipalité'!$B$4:$L$1113,11,FALSE)),"")</f>
        <v/>
      </c>
      <c r="DG311" s="476" t="s">
        <v>4723</v>
      </c>
      <c r="DH311" s="484" t="s">
        <v>1124</v>
      </c>
      <c r="DI311" s="484" t="s">
        <v>1124</v>
      </c>
      <c r="DJ311" s="484">
        <v>0</v>
      </c>
      <c r="DK311" s="484">
        <v>0</v>
      </c>
      <c r="DL311" s="484" t="s">
        <v>1124</v>
      </c>
      <c r="DM311" s="484" t="s">
        <v>1124</v>
      </c>
      <c r="DN311" s="484" t="s">
        <v>1124</v>
      </c>
      <c r="DO311" s="484" t="s">
        <v>1124</v>
      </c>
      <c r="DP311" s="484" t="s">
        <v>1124</v>
      </c>
      <c r="DQ311" s="484" t="str">
        <f>IF(VLOOKUP($BS311,'État &amp; Plan d''action'!$B$6:$AJ$1113,28,FALSE)="","",VLOOKUP($BS311,'État &amp; Plan d''action'!$B$6:$AJ$1113,28,FALSE))</f>
        <v/>
      </c>
      <c r="DR311" s="70" t="str">
        <f>IF(VLOOKUP($BS311,'État &amp; Plan d''action'!$B$6:$AJ$1113,29,FALSE)="","",VLOOKUP($BS311,'État &amp; Plan d''action'!$B$6:$AJ$1113,29,FALSE))</f>
        <v/>
      </c>
      <c r="DS311" s="70" t="str">
        <f>IF(VLOOKUP($BS311,'État &amp; Plan d''action'!$B$6:$AJ$1113,30,FALSE)="","",VLOOKUP($BS311,'État &amp; Plan d''action'!$B$6:$AJ$1113,30,FALSE))</f>
        <v/>
      </c>
      <c r="DT311" s="70" t="s">
        <v>1124</v>
      </c>
      <c r="DU311" s="485" t="s">
        <v>1124</v>
      </c>
      <c r="DV311" s="485" t="s">
        <v>1124</v>
      </c>
      <c r="DW311" s="70" t="s">
        <v>1124</v>
      </c>
      <c r="DX311" s="70" t="s">
        <v>1124</v>
      </c>
      <c r="DY311" s="70" t="s">
        <v>1124</v>
      </c>
      <c r="DZ311" s="70" t="str">
        <f>VLOOKUP($BS311,'État &amp; Plan d''action'!$B$6:$AH$1113,31,FALSE)</f>
        <v/>
      </c>
      <c r="EA311" s="70" t="str">
        <f>VLOOKUP($BS311,'État &amp; Plan d''action'!$B$6:$AH$1113,32,FALSE)</f>
        <v/>
      </c>
      <c r="EB311" s="70" t="str">
        <f>VLOOKUP($BS311,'État &amp; Plan d''action'!$B$6:$AH$1113,33,FALSE)</f>
        <v/>
      </c>
      <c r="EC311" s="70" t="s">
        <v>1124</v>
      </c>
      <c r="ED311" s="70" t="s">
        <v>1124</v>
      </c>
      <c r="EE311" s="70" t="s">
        <v>1124</v>
      </c>
      <c r="EF311" s="70" t="s">
        <v>1124</v>
      </c>
      <c r="EG311" s="70" t="s">
        <v>1124</v>
      </c>
      <c r="EH311" s="72"/>
      <c r="EI311" s="72">
        <v>869</v>
      </c>
    </row>
    <row r="312" spans="71:139" x14ac:dyDescent="0.35">
      <c r="BS312" s="486">
        <v>94265</v>
      </c>
      <c r="BT312" s="479" t="s">
        <v>985</v>
      </c>
      <c r="BU312" s="479">
        <v>2</v>
      </c>
      <c r="BV312" s="476" t="s">
        <v>1187</v>
      </c>
      <c r="BW312" s="476" t="s">
        <v>1187</v>
      </c>
      <c r="BX312" s="476" t="s">
        <v>1187</v>
      </c>
      <c r="BY312" s="476" t="s">
        <v>1187</v>
      </c>
      <c r="BZ312" s="476" t="s">
        <v>1187</v>
      </c>
      <c r="CA312" s="476" t="s">
        <v>1187</v>
      </c>
      <c r="CB312" s="476" t="s">
        <v>1187</v>
      </c>
      <c r="CC312" s="476" t="s">
        <v>1187</v>
      </c>
      <c r="CD312" s="476" t="s">
        <v>1187</v>
      </c>
      <c r="CE312" s="476" t="s">
        <v>1188</v>
      </c>
      <c r="CF312" s="476" t="s">
        <v>1187</v>
      </c>
      <c r="CG312" s="476" t="s">
        <v>1187</v>
      </c>
      <c r="CH312" s="476" t="s">
        <v>1188</v>
      </c>
      <c r="CI312" s="476" t="s">
        <v>1187</v>
      </c>
      <c r="CJ312" s="476" t="s">
        <v>1187</v>
      </c>
      <c r="CK312" s="476" t="s">
        <v>1188</v>
      </c>
      <c r="CL312" s="476" t="s">
        <v>1188</v>
      </c>
      <c r="CM312" s="476" t="str">
        <f>IF(VLOOKUP(BS312,'Données par municipalité'!$B$6:$E$1113,4,FALSE)="","non","oui")</f>
        <v>oui</v>
      </c>
      <c r="CN312" s="410">
        <v>260.95034246575341</v>
      </c>
      <c r="CO312" s="410" t="s">
        <v>1124</v>
      </c>
      <c r="CP312" s="410"/>
      <c r="CQ312" s="410">
        <v>428.30991515102716</v>
      </c>
      <c r="CR312" s="410"/>
      <c r="CS312" s="410" t="s">
        <v>1124</v>
      </c>
      <c r="CT312" s="410">
        <v>223.99103947124007</v>
      </c>
      <c r="CU312" s="410">
        <v>474.24918731749852</v>
      </c>
      <c r="CV312" s="410">
        <f>IF(VLOOKUP(BS312,'Données par municipalité'!$B$6:$F$1113,4,FALSE)="","",VLOOKUP(BS312,'Données par municipalité'!$B$6:$F$1113,4,FALSE))</f>
        <v>423</v>
      </c>
      <c r="CW312" s="476" t="s">
        <v>4723</v>
      </c>
      <c r="CX312" s="483" t="s">
        <v>1124</v>
      </c>
      <c r="CY312" s="483" t="s">
        <v>1124</v>
      </c>
      <c r="CZ312" s="483">
        <v>1</v>
      </c>
      <c r="DA312" s="483" t="s">
        <v>1124</v>
      </c>
      <c r="DB312" s="483" t="s">
        <v>1124</v>
      </c>
      <c r="DC312" s="483">
        <v>1</v>
      </c>
      <c r="DD312" s="483">
        <v>0.99999999999999989</v>
      </c>
      <c r="DE312" s="483">
        <f>IFERROR(SUM(VLOOKUP($BS312,'État &amp; Plan d''action'!$B$6:$Z$1113,18,FALSE),VLOOKUP($BS312,'État &amp; Plan d''action'!$B$6:$Z$1113,20,FALSE))/(VLOOKUP($BS312,'Données par municipalité'!$B$4:$L$1113,11,FALSE)),"")</f>
        <v>1</v>
      </c>
      <c r="DF312" s="483">
        <f>IFERROR(SUM(VLOOKUP($BS312,'État &amp; Plan d''action'!$B$6:$Z$1113,19,FALSE),VLOOKUP($BS312,'État &amp; Plan d''action'!$B$6:$Z$1113,21,FALSE))/(VLOOKUP($BS312,'Données par municipalité'!$B$4:$L$1113,11,FALSE)),"")</f>
        <v>1</v>
      </c>
      <c r="DG312" s="476" t="s">
        <v>4723</v>
      </c>
      <c r="DH312" s="484">
        <v>2</v>
      </c>
      <c r="DI312" s="484">
        <v>3</v>
      </c>
      <c r="DJ312" s="484">
        <v>1</v>
      </c>
      <c r="DK312" s="484">
        <v>2</v>
      </c>
      <c r="DL312" s="484" t="s">
        <v>1124</v>
      </c>
      <c r="DM312" s="484">
        <v>2</v>
      </c>
      <c r="DN312" s="484">
        <v>3</v>
      </c>
      <c r="DO312" s="484">
        <v>0</v>
      </c>
      <c r="DP312" s="484">
        <v>1</v>
      </c>
      <c r="DQ312" s="484">
        <f>IF(VLOOKUP($BS312,'État &amp; Plan d''action'!$B$6:$AJ$1113,28,FALSE)="","",VLOOKUP($BS312,'État &amp; Plan d''action'!$B$6:$AJ$1113,28,FALSE))</f>
        <v>1</v>
      </c>
      <c r="DR312" s="70">
        <f>IF(VLOOKUP($BS312,'État &amp; Plan d''action'!$B$6:$AJ$1113,29,FALSE)="","",VLOOKUP($BS312,'État &amp; Plan d''action'!$B$6:$AJ$1113,29,FALSE))</f>
        <v>2</v>
      </c>
      <c r="DS312" s="70">
        <f>IF(VLOOKUP($BS312,'État &amp; Plan d''action'!$B$6:$AJ$1113,30,FALSE)="","",VLOOKUP($BS312,'État &amp; Plan d''action'!$B$6:$AJ$1113,30,FALSE))</f>
        <v>1</v>
      </c>
      <c r="DT312" s="70">
        <v>306.43037106222033</v>
      </c>
      <c r="DU312" s="485">
        <v>3.8662760984728859</v>
      </c>
      <c r="DV312" s="485">
        <v>5.3735321858109462</v>
      </c>
      <c r="DW312" s="70">
        <v>3</v>
      </c>
      <c r="DX312" s="70">
        <v>0</v>
      </c>
      <c r="DY312" s="70">
        <v>5</v>
      </c>
      <c r="DZ312" s="70">
        <f>VLOOKUP($BS312,'État &amp; Plan d''action'!$B$6:$AH$1113,31,FALSE)</f>
        <v>30</v>
      </c>
      <c r="EA312" s="70">
        <f>VLOOKUP($BS312,'État &amp; Plan d''action'!$B$6:$AH$1113,32,FALSE)</f>
        <v>30</v>
      </c>
      <c r="EB312" s="70">
        <f>VLOOKUP($BS312,'État &amp; Plan d''action'!$B$6:$AH$1113,33,FALSE)</f>
        <v>1</v>
      </c>
      <c r="EC312" s="70">
        <v>0</v>
      </c>
      <c r="ED312" s="70">
        <v>0</v>
      </c>
      <c r="EE312" s="70">
        <v>14.994999999999999</v>
      </c>
      <c r="EF312" s="70">
        <v>0</v>
      </c>
      <c r="EG312" s="70">
        <v>0</v>
      </c>
      <c r="EH312" s="72">
        <v>60.5</v>
      </c>
      <c r="EI312" s="72">
        <v>1536</v>
      </c>
    </row>
    <row r="313" spans="71:139" x14ac:dyDescent="0.35">
      <c r="BS313" s="486">
        <v>79050</v>
      </c>
      <c r="BT313" s="479" t="s">
        <v>794</v>
      </c>
      <c r="BU313" s="479">
        <v>15</v>
      </c>
      <c r="BV313" s="476" t="s">
        <v>1187</v>
      </c>
      <c r="BW313" s="476" t="s">
        <v>1187</v>
      </c>
      <c r="BX313" s="476" t="s">
        <v>1187</v>
      </c>
      <c r="BY313" s="476" t="s">
        <v>1187</v>
      </c>
      <c r="BZ313" s="476" t="s">
        <v>1187</v>
      </c>
      <c r="CA313" s="476" t="s">
        <v>1187</v>
      </c>
      <c r="CB313" s="476" t="s">
        <v>1187</v>
      </c>
      <c r="CC313" s="476" t="s">
        <v>1187</v>
      </c>
      <c r="CD313" s="476" t="s">
        <v>1187</v>
      </c>
      <c r="CE313" s="476" t="s">
        <v>1187</v>
      </c>
      <c r="CF313" s="476" t="s">
        <v>1187</v>
      </c>
      <c r="CG313" s="476" t="s">
        <v>1187</v>
      </c>
      <c r="CH313" s="476" t="s">
        <v>1187</v>
      </c>
      <c r="CI313" s="476" t="s">
        <v>1187</v>
      </c>
      <c r="CJ313" s="476" t="s">
        <v>1188</v>
      </c>
      <c r="CK313" s="476" t="s">
        <v>1188</v>
      </c>
      <c r="CL313" s="476" t="s">
        <v>1188</v>
      </c>
      <c r="CM313" s="476" t="str">
        <f>IF(VLOOKUP(BS313,'Données par municipalité'!$B$6:$E$1113,4,FALSE)="","non","oui")</f>
        <v>oui</v>
      </c>
      <c r="CN313" s="410" t="s">
        <v>1124</v>
      </c>
      <c r="CO313" s="410" t="s">
        <v>1124</v>
      </c>
      <c r="CP313" s="410"/>
      <c r="CQ313" s="410"/>
      <c r="CR313" s="410"/>
      <c r="CS313" s="410">
        <v>352.72886730081626</v>
      </c>
      <c r="CT313" s="410">
        <v>331.46321125388386</v>
      </c>
      <c r="CU313" s="410">
        <v>380</v>
      </c>
      <c r="CV313" s="410">
        <f>IF(VLOOKUP(BS313,'Données par municipalité'!$B$6:$F$1113,4,FALSE)="","",VLOOKUP(BS313,'Données par municipalité'!$B$6:$F$1113,4,FALSE))</f>
        <v>316</v>
      </c>
      <c r="CW313" s="476" t="s">
        <v>4723</v>
      </c>
      <c r="CX313" s="483" t="s">
        <v>1124</v>
      </c>
      <c r="CY313" s="483" t="s">
        <v>1124</v>
      </c>
      <c r="CZ313" s="483" t="s">
        <v>1124</v>
      </c>
      <c r="DA313" s="483" t="s">
        <v>1124</v>
      </c>
      <c r="DB313" s="483">
        <v>0</v>
      </c>
      <c r="DC313" s="483">
        <v>0</v>
      </c>
      <c r="DD313" s="483">
        <v>0</v>
      </c>
      <c r="DE313" s="483">
        <f>IFERROR(SUM(VLOOKUP($BS313,'État &amp; Plan d''action'!$B$6:$Z$1113,18,FALSE),VLOOKUP($BS313,'État &amp; Plan d''action'!$B$6:$Z$1113,20,FALSE))/(VLOOKUP($BS313,'Données par municipalité'!$B$4:$L$1113,11,FALSE)),"")</f>
        <v>0</v>
      </c>
      <c r="DF313" s="483">
        <f>IFERROR(SUM(VLOOKUP($BS313,'État &amp; Plan d''action'!$B$6:$Z$1113,19,FALSE),VLOOKUP($BS313,'État &amp; Plan d''action'!$B$6:$Z$1113,21,FALSE))/(VLOOKUP($BS313,'Données par municipalité'!$B$4:$L$1113,11,FALSE)),"")</f>
        <v>0</v>
      </c>
      <c r="DG313" s="476" t="s">
        <v>4723</v>
      </c>
      <c r="DH313" s="484">
        <v>0</v>
      </c>
      <c r="DI313" s="484" t="s">
        <v>1124</v>
      </c>
      <c r="DJ313" s="484">
        <v>0</v>
      </c>
      <c r="DK313" s="484">
        <v>0</v>
      </c>
      <c r="DL313" s="484">
        <v>0</v>
      </c>
      <c r="DM313" s="484">
        <v>0</v>
      </c>
      <c r="DN313" s="484">
        <v>0</v>
      </c>
      <c r="DO313" s="484">
        <v>0</v>
      </c>
      <c r="DP313" s="484">
        <v>1</v>
      </c>
      <c r="DQ313" s="484">
        <f>IF(VLOOKUP($BS313,'État &amp; Plan d''action'!$B$6:$AJ$1113,28,FALSE)="","",VLOOKUP($BS313,'État &amp; Plan d''action'!$B$6:$AJ$1113,28,FALSE))</f>
        <v>0</v>
      </c>
      <c r="DR313" s="70">
        <f>IF(VLOOKUP($BS313,'État &amp; Plan d''action'!$B$6:$AJ$1113,29,FALSE)="","",VLOOKUP($BS313,'État &amp; Plan d''action'!$B$6:$AJ$1113,29,FALSE))</f>
        <v>0</v>
      </c>
      <c r="DS313" s="70">
        <f>IF(VLOOKUP($BS313,'État &amp; Plan d''action'!$B$6:$AJ$1113,30,FALSE)="","",VLOOKUP($BS313,'État &amp; Plan d''action'!$B$6:$AJ$1113,30,FALSE))</f>
        <v>0</v>
      </c>
      <c r="DT313" s="70">
        <v>263</v>
      </c>
      <c r="DU313" s="485">
        <v>2.0431467401192354</v>
      </c>
      <c r="DV313" s="485">
        <v>1.3110212348624559</v>
      </c>
      <c r="DW313" s="70">
        <v>0</v>
      </c>
      <c r="DX313" s="70">
        <v>0</v>
      </c>
      <c r="DY313" s="70">
        <v>10</v>
      </c>
      <c r="DZ313" s="70">
        <f>VLOOKUP($BS313,'État &amp; Plan d''action'!$B$6:$AH$1113,31,FALSE)</f>
        <v>0</v>
      </c>
      <c r="EA313" s="70">
        <f>VLOOKUP($BS313,'État &amp; Plan d''action'!$B$6:$AH$1113,32,FALSE)</f>
        <v>0</v>
      </c>
      <c r="EB313" s="70">
        <f>VLOOKUP($BS313,'État &amp; Plan d''action'!$B$6:$AH$1113,33,FALSE)</f>
        <v>0</v>
      </c>
      <c r="EC313" s="70">
        <v>0</v>
      </c>
      <c r="ED313" s="70">
        <v>0</v>
      </c>
      <c r="EE313" s="70">
        <v>0</v>
      </c>
      <c r="EF313" s="70">
        <v>0</v>
      </c>
      <c r="EG313" s="70">
        <v>0</v>
      </c>
      <c r="EH313" s="72">
        <v>61</v>
      </c>
      <c r="EI313" s="72">
        <v>821</v>
      </c>
    </row>
    <row r="314" spans="71:139" x14ac:dyDescent="0.35">
      <c r="BS314" s="486">
        <v>93065</v>
      </c>
      <c r="BT314" s="479" t="s">
        <v>968</v>
      </c>
      <c r="BU314" s="479">
        <v>2</v>
      </c>
      <c r="BV314" s="476" t="s">
        <v>1187</v>
      </c>
      <c r="BW314" s="476" t="s">
        <v>1187</v>
      </c>
      <c r="BX314" s="476" t="s">
        <v>1187</v>
      </c>
      <c r="BY314" s="476" t="s">
        <v>1187</v>
      </c>
      <c r="BZ314" s="476" t="s">
        <v>1187</v>
      </c>
      <c r="CA314" s="476" t="s">
        <v>1187</v>
      </c>
      <c r="CB314" s="476" t="s">
        <v>1187</v>
      </c>
      <c r="CC314" s="476" t="s">
        <v>1187</v>
      </c>
      <c r="CD314" s="476" t="s">
        <v>1187</v>
      </c>
      <c r="CE314" s="476" t="s">
        <v>1188</v>
      </c>
      <c r="CF314" s="476" t="s">
        <v>1188</v>
      </c>
      <c r="CG314" s="476" t="s">
        <v>1188</v>
      </c>
      <c r="CH314" s="476" t="s">
        <v>1188</v>
      </c>
      <c r="CI314" s="476" t="s">
        <v>1188</v>
      </c>
      <c r="CJ314" s="476" t="s">
        <v>1188</v>
      </c>
      <c r="CK314" s="476" t="s">
        <v>1188</v>
      </c>
      <c r="CL314" s="476" t="s">
        <v>1188</v>
      </c>
      <c r="CM314" s="476" t="str">
        <f>IF(VLOOKUP(BS314,'Données par municipalité'!$B$6:$E$1113,4,FALSE)="","non","oui")</f>
        <v>oui</v>
      </c>
      <c r="CN314" s="410">
        <v>504.82883121358401</v>
      </c>
      <c r="CO314" s="410">
        <v>572.88354207334885</v>
      </c>
      <c r="CP314" s="410">
        <v>323.89801298338597</v>
      </c>
      <c r="CQ314" s="410">
        <v>342.44086225517299</v>
      </c>
      <c r="CR314" s="410">
        <v>384.33473540144962</v>
      </c>
      <c r="CS314" s="410">
        <v>459.91518076758172</v>
      </c>
      <c r="CT314" s="410">
        <v>421.08997809173377</v>
      </c>
      <c r="CU314" s="410">
        <v>355</v>
      </c>
      <c r="CV314" s="410">
        <f>IF(VLOOKUP(BS314,'Données par municipalité'!$B$6:$F$1113,4,FALSE)="","",VLOOKUP(BS314,'Données par municipalité'!$B$6:$F$1113,4,FALSE))</f>
        <v>312</v>
      </c>
      <c r="CW314" s="476" t="s">
        <v>4723</v>
      </c>
      <c r="CX314" s="483">
        <v>0</v>
      </c>
      <c r="CY314" s="483">
        <v>1</v>
      </c>
      <c r="CZ314" s="483">
        <v>1</v>
      </c>
      <c r="DA314" s="483">
        <v>1</v>
      </c>
      <c r="DB314" s="483">
        <v>1</v>
      </c>
      <c r="DC314" s="483">
        <v>1</v>
      </c>
      <c r="DD314" s="483">
        <v>0</v>
      </c>
      <c r="DE314" s="483">
        <f>IFERROR(SUM(VLOOKUP($BS314,'État &amp; Plan d''action'!$B$6:$Z$1113,18,FALSE),VLOOKUP($BS314,'État &amp; Plan d''action'!$B$6:$Z$1113,20,FALSE))/(VLOOKUP($BS314,'Données par municipalité'!$B$4:$L$1113,11,FALSE)),"")</f>
        <v>0</v>
      </c>
      <c r="DF314" s="483">
        <f>IFERROR(SUM(VLOOKUP($BS314,'État &amp; Plan d''action'!$B$6:$Z$1113,19,FALSE),VLOOKUP($BS314,'État &amp; Plan d''action'!$B$6:$Z$1113,21,FALSE))/(VLOOKUP($BS314,'Données par municipalité'!$B$4:$L$1113,11,FALSE)),"")</f>
        <v>0</v>
      </c>
      <c r="DG314" s="476" t="s">
        <v>4723</v>
      </c>
      <c r="DH314" s="484">
        <v>5</v>
      </c>
      <c r="DI314" s="484">
        <v>3</v>
      </c>
      <c r="DJ314" s="484">
        <v>3</v>
      </c>
      <c r="DK314" s="484">
        <v>1</v>
      </c>
      <c r="DL314" s="484">
        <v>0</v>
      </c>
      <c r="DM314" s="484">
        <v>7</v>
      </c>
      <c r="DN314" s="484">
        <v>2</v>
      </c>
      <c r="DO314" s="484">
        <v>0</v>
      </c>
      <c r="DP314" s="484">
        <v>0</v>
      </c>
      <c r="DQ314" s="484">
        <f>IF(VLOOKUP($BS314,'État &amp; Plan d''action'!$B$6:$AJ$1113,28,FALSE)="","",VLOOKUP($BS314,'État &amp; Plan d''action'!$B$6:$AJ$1113,28,FALSE))</f>
        <v>1</v>
      </c>
      <c r="DR314" s="70">
        <f>IF(VLOOKUP($BS314,'État &amp; Plan d''action'!$B$6:$AJ$1113,29,FALSE)="","",VLOOKUP($BS314,'État &amp; Plan d''action'!$B$6:$AJ$1113,29,FALSE))</f>
        <v>1</v>
      </c>
      <c r="DS314" s="70">
        <f>IF(VLOOKUP($BS314,'État &amp; Plan d''action'!$B$6:$AJ$1113,30,FALSE)="","",VLOOKUP($BS314,'État &amp; Plan d''action'!$B$6:$AJ$1113,30,FALSE))</f>
        <v>1</v>
      </c>
      <c r="DT314" s="70">
        <v>234</v>
      </c>
      <c r="DU314" s="485">
        <v>1.1000456948785864</v>
      </c>
      <c r="DV314" s="485">
        <v>0.51282704280787805</v>
      </c>
      <c r="DW314" s="70">
        <v>1</v>
      </c>
      <c r="DX314" s="70">
        <v>0</v>
      </c>
      <c r="DY314" s="70">
        <v>0</v>
      </c>
      <c r="DZ314" s="70">
        <f>VLOOKUP($BS314,'État &amp; Plan d''action'!$B$6:$AH$1113,31,FALSE)</f>
        <v>1</v>
      </c>
      <c r="EA314" s="70">
        <f>VLOOKUP($BS314,'État &amp; Plan d''action'!$B$6:$AH$1113,32,FALSE)</f>
        <v>1</v>
      </c>
      <c r="EB314" s="70">
        <f>VLOOKUP($BS314,'État &amp; Plan d''action'!$B$6:$AH$1113,33,FALSE)</f>
        <v>1</v>
      </c>
      <c r="EC314" s="70">
        <v>21.3</v>
      </c>
      <c r="ED314" s="70">
        <v>0</v>
      </c>
      <c r="EE314" s="70">
        <v>0</v>
      </c>
      <c r="EF314" s="70">
        <v>0</v>
      </c>
      <c r="EG314" s="70">
        <v>0</v>
      </c>
      <c r="EH314" s="72">
        <v>52</v>
      </c>
      <c r="EI314" s="72">
        <v>2012</v>
      </c>
    </row>
    <row r="315" spans="71:139" x14ac:dyDescent="0.35">
      <c r="BS315" s="486">
        <v>6060</v>
      </c>
      <c r="BT315" s="479" t="s">
        <v>1067</v>
      </c>
      <c r="BU315" s="479">
        <v>11</v>
      </c>
      <c r="BV315" s="476" t="s">
        <v>1188</v>
      </c>
      <c r="BW315" s="476" t="s">
        <v>1188</v>
      </c>
      <c r="BX315" s="476" t="s">
        <v>1188</v>
      </c>
      <c r="BY315" s="476" t="s">
        <v>1188</v>
      </c>
      <c r="BZ315" s="476" t="s">
        <v>1188</v>
      </c>
      <c r="CA315" s="476" t="s">
        <v>1188</v>
      </c>
      <c r="CB315" s="476" t="s">
        <v>1188</v>
      </c>
      <c r="CC315" s="476" t="s">
        <v>1188</v>
      </c>
      <c r="CD315" s="476" t="s">
        <v>1188</v>
      </c>
      <c r="CE315" s="476" t="s">
        <v>1188</v>
      </c>
      <c r="CF315" s="476" t="s">
        <v>1188</v>
      </c>
      <c r="CG315" s="476" t="s">
        <v>1188</v>
      </c>
      <c r="CH315" s="476" t="s">
        <v>1188</v>
      </c>
      <c r="CI315" s="476" t="s">
        <v>1188</v>
      </c>
      <c r="CJ315" s="476" t="s">
        <v>1187</v>
      </c>
      <c r="CK315" s="476" t="s">
        <v>1187</v>
      </c>
      <c r="CL315" s="476" t="s">
        <v>1187</v>
      </c>
      <c r="CM315" s="476" t="str">
        <f>IF(VLOOKUP(BS315,'Données par municipalité'!$B$6:$E$1113,4,FALSE)="","non","oui")</f>
        <v>non</v>
      </c>
      <c r="CN315" s="410">
        <v>528.41929720071471</v>
      </c>
      <c r="CO315" s="410">
        <v>442.42779078844649</v>
      </c>
      <c r="CP315" s="410">
        <v>363.63431426135867</v>
      </c>
      <c r="CQ315" s="410">
        <v>355.66108295255418</v>
      </c>
      <c r="CR315" s="410">
        <v>354.89315068493153</v>
      </c>
      <c r="CS315" s="410" t="s">
        <v>1124</v>
      </c>
      <c r="CT315" s="410"/>
      <c r="CU315" s="410" t="s">
        <v>1124</v>
      </c>
      <c r="CV315" s="410" t="str">
        <f>IF(VLOOKUP(BS315,'Données par municipalité'!$B$6:$F$1113,4,FALSE)="","",VLOOKUP(BS315,'Données par municipalité'!$B$6:$F$1113,4,FALSE))</f>
        <v/>
      </c>
      <c r="CW315" s="476" t="s">
        <v>4723</v>
      </c>
      <c r="CX315" s="483" t="s">
        <v>1124</v>
      </c>
      <c r="CY315" s="483">
        <v>0</v>
      </c>
      <c r="CZ315" s="483">
        <v>0</v>
      </c>
      <c r="DA315" s="483">
        <v>0</v>
      </c>
      <c r="DB315" s="483" t="s">
        <v>1124</v>
      </c>
      <c r="DC315" s="483" t="s">
        <v>1124</v>
      </c>
      <c r="DD315" s="483" t="s">
        <v>1124</v>
      </c>
      <c r="DE315" s="483" t="str">
        <f>IFERROR(SUM(VLOOKUP($BS315,'État &amp; Plan d''action'!$B$6:$Z$1113,18,FALSE),VLOOKUP($BS315,'État &amp; Plan d''action'!$B$6:$Z$1113,20,FALSE))/(VLOOKUP($BS315,'Données par municipalité'!$B$4:$L$1113,11,FALSE)),"")</f>
        <v/>
      </c>
      <c r="DF315" s="483" t="str">
        <f>IFERROR(SUM(VLOOKUP($BS315,'État &amp; Plan d''action'!$B$6:$Z$1113,19,FALSE),VLOOKUP($BS315,'État &amp; Plan d''action'!$B$6:$Z$1113,21,FALSE))/(VLOOKUP($BS315,'Données par municipalité'!$B$4:$L$1113,11,FALSE)),"")</f>
        <v/>
      </c>
      <c r="DG315" s="476" t="s">
        <v>4723</v>
      </c>
      <c r="DH315" s="484">
        <v>6</v>
      </c>
      <c r="DI315" s="484">
        <v>3</v>
      </c>
      <c r="DJ315" s="484">
        <v>2</v>
      </c>
      <c r="DK315" s="484">
        <v>0</v>
      </c>
      <c r="DL315" s="484" t="s">
        <v>1124</v>
      </c>
      <c r="DM315" s="484" t="s">
        <v>1124</v>
      </c>
      <c r="DN315" s="484" t="s">
        <v>1124</v>
      </c>
      <c r="DO315" s="484" t="s">
        <v>1124</v>
      </c>
      <c r="DP315" s="484" t="s">
        <v>1124</v>
      </c>
      <c r="DQ315" s="484" t="str">
        <f>IF(VLOOKUP($BS315,'État &amp; Plan d''action'!$B$6:$AJ$1113,28,FALSE)="","",VLOOKUP($BS315,'État &amp; Plan d''action'!$B$6:$AJ$1113,28,FALSE))</f>
        <v/>
      </c>
      <c r="DR315" s="70" t="str">
        <f>IF(VLOOKUP($BS315,'État &amp; Plan d''action'!$B$6:$AJ$1113,29,FALSE)="","",VLOOKUP($BS315,'État &amp; Plan d''action'!$B$6:$AJ$1113,29,FALSE))</f>
        <v/>
      </c>
      <c r="DS315" s="70" t="str">
        <f>IF(VLOOKUP($BS315,'État &amp; Plan d''action'!$B$6:$AJ$1113,30,FALSE)="","",VLOOKUP($BS315,'État &amp; Plan d''action'!$B$6:$AJ$1113,30,FALSE))</f>
        <v/>
      </c>
      <c r="DT315" s="70" t="s">
        <v>1124</v>
      </c>
      <c r="DU315" s="485" t="s">
        <v>1124</v>
      </c>
      <c r="DV315" s="485" t="s">
        <v>1124</v>
      </c>
      <c r="DW315" s="70" t="s">
        <v>1124</v>
      </c>
      <c r="DX315" s="70" t="s">
        <v>1124</v>
      </c>
      <c r="DY315" s="70" t="s">
        <v>1124</v>
      </c>
      <c r="DZ315" s="70" t="str">
        <f>VLOOKUP($BS315,'État &amp; Plan d''action'!$B$6:$AH$1113,31,FALSE)</f>
        <v/>
      </c>
      <c r="EA315" s="70" t="str">
        <f>VLOOKUP($BS315,'État &amp; Plan d''action'!$B$6:$AH$1113,32,FALSE)</f>
        <v/>
      </c>
      <c r="EB315" s="70" t="str">
        <f>VLOOKUP($BS315,'État &amp; Plan d''action'!$B$6:$AH$1113,33,FALSE)</f>
        <v/>
      </c>
      <c r="EC315" s="70" t="s">
        <v>1124</v>
      </c>
      <c r="ED315" s="70" t="s">
        <v>1124</v>
      </c>
      <c r="EE315" s="70" t="s">
        <v>1124</v>
      </c>
      <c r="EF315" s="70" t="s">
        <v>1124</v>
      </c>
      <c r="EG315" s="70" t="s">
        <v>1124</v>
      </c>
      <c r="EH315" s="72"/>
      <c r="EI315" s="72">
        <v>159</v>
      </c>
    </row>
    <row r="316" spans="71:139" x14ac:dyDescent="0.35">
      <c r="BS316" s="486">
        <v>60028</v>
      </c>
      <c r="BT316" s="479" t="s">
        <v>608</v>
      </c>
      <c r="BU316" s="479">
        <v>14</v>
      </c>
      <c r="BV316" s="476" t="s">
        <v>1187</v>
      </c>
      <c r="BW316" s="476" t="s">
        <v>1187</v>
      </c>
      <c r="BX316" s="476" t="s">
        <v>1187</v>
      </c>
      <c r="BY316" s="476" t="s">
        <v>1187</v>
      </c>
      <c r="BZ316" s="476" t="s">
        <v>1187</v>
      </c>
      <c r="CA316" s="476" t="s">
        <v>1187</v>
      </c>
      <c r="CB316" s="476" t="s">
        <v>1187</v>
      </c>
      <c r="CC316" s="476" t="s">
        <v>1187</v>
      </c>
      <c r="CD316" s="476" t="s">
        <v>1187</v>
      </c>
      <c r="CE316" s="476" t="s">
        <v>1188</v>
      </c>
      <c r="CF316" s="476" t="s">
        <v>1188</v>
      </c>
      <c r="CG316" s="476" t="s">
        <v>1187</v>
      </c>
      <c r="CH316" s="476" t="s">
        <v>1188</v>
      </c>
      <c r="CI316" s="476" t="s">
        <v>1188</v>
      </c>
      <c r="CJ316" s="476" t="s">
        <v>1188</v>
      </c>
      <c r="CK316" s="476" t="s">
        <v>1188</v>
      </c>
      <c r="CL316" s="476" t="s">
        <v>1188</v>
      </c>
      <c r="CM316" s="476" t="str">
        <f>IF(VLOOKUP(BS316,'Données par municipalité'!$B$6:$E$1113,4,FALSE)="","non","oui")</f>
        <v>oui</v>
      </c>
      <c r="CN316" s="410">
        <v>448.33518911832641</v>
      </c>
      <c r="CO316" s="410">
        <v>418.62479371629161</v>
      </c>
      <c r="CP316" s="410"/>
      <c r="CQ316" s="410">
        <v>381.71455783415746</v>
      </c>
      <c r="CR316" s="410">
        <v>365.88019556083162</v>
      </c>
      <c r="CS316" s="410">
        <v>356.9471491695121</v>
      </c>
      <c r="CT316" s="410">
        <v>404.05463964643366</v>
      </c>
      <c r="CU316" s="410">
        <v>268</v>
      </c>
      <c r="CV316" s="410">
        <f>IF(VLOOKUP(BS316,'Données par municipalité'!$B$6:$F$1113,4,FALSE)="","",VLOOKUP(BS316,'Données par municipalité'!$B$6:$F$1113,4,FALSE))</f>
        <v>325</v>
      </c>
      <c r="CW316" s="476" t="s">
        <v>4723</v>
      </c>
      <c r="CX316" s="483">
        <v>0</v>
      </c>
      <c r="CY316" s="483" t="s">
        <v>1124</v>
      </c>
      <c r="CZ316" s="483">
        <v>0.2</v>
      </c>
      <c r="DA316" s="483">
        <v>0.2</v>
      </c>
      <c r="DB316" s="483">
        <v>0.5</v>
      </c>
      <c r="DC316" s="483">
        <v>0.5</v>
      </c>
      <c r="DD316" s="483">
        <v>0</v>
      </c>
      <c r="DE316" s="483">
        <f>IFERROR(SUM(VLOOKUP($BS316,'État &amp; Plan d''action'!$B$6:$Z$1113,18,FALSE),VLOOKUP($BS316,'État &amp; Plan d''action'!$B$6:$Z$1113,20,FALSE))/(VLOOKUP($BS316,'Données par municipalité'!$B$4:$L$1113,11,FALSE)),"")</f>
        <v>0.3546099290780142</v>
      </c>
      <c r="DF316" s="483">
        <f>IFERROR(SUM(VLOOKUP($BS316,'État &amp; Plan d''action'!$B$6:$Z$1113,19,FALSE),VLOOKUP($BS316,'État &amp; Plan d''action'!$B$6:$Z$1113,21,FALSE))/(VLOOKUP($BS316,'Données par municipalité'!$B$4:$L$1113,11,FALSE)),"")</f>
        <v>0.44326241134751776</v>
      </c>
      <c r="DG316" s="476" t="s">
        <v>4723</v>
      </c>
      <c r="DH316" s="484">
        <v>14</v>
      </c>
      <c r="DI316" s="484" t="s">
        <v>1124</v>
      </c>
      <c r="DJ316" s="484">
        <v>31</v>
      </c>
      <c r="DK316" s="484">
        <v>26</v>
      </c>
      <c r="DL316" s="484">
        <v>22</v>
      </c>
      <c r="DM316" s="484">
        <v>21</v>
      </c>
      <c r="DN316" s="484" t="s">
        <v>1124</v>
      </c>
      <c r="DO316" s="484" t="s">
        <v>1124</v>
      </c>
      <c r="DP316" s="484" t="s">
        <v>1124</v>
      </c>
      <c r="DQ316" s="484">
        <f>IF(VLOOKUP($BS316,'État &amp; Plan d''action'!$B$6:$AJ$1113,28,FALSE)="","",VLOOKUP($BS316,'État &amp; Plan d''action'!$B$6:$AJ$1113,28,FALSE))</f>
        <v>27</v>
      </c>
      <c r="DR316" s="70">
        <f>IF(VLOOKUP($BS316,'État &amp; Plan d''action'!$B$6:$AJ$1113,29,FALSE)="","",VLOOKUP($BS316,'État &amp; Plan d''action'!$B$6:$AJ$1113,29,FALSE))</f>
        <v>22</v>
      </c>
      <c r="DS316" s="70">
        <f>IF(VLOOKUP($BS316,'État &amp; Plan d''action'!$B$6:$AJ$1113,30,FALSE)="","",VLOOKUP($BS316,'État &amp; Plan d''action'!$B$6:$AJ$1113,30,FALSE))</f>
        <v>5</v>
      </c>
      <c r="DT316" s="70">
        <v>194</v>
      </c>
      <c r="DU316" s="485">
        <v>1.0835430122951626</v>
      </c>
      <c r="DV316" s="485">
        <v>1.1153123562669269</v>
      </c>
      <c r="DW316" s="70" t="s">
        <v>1124</v>
      </c>
      <c r="DX316" s="70" t="s">
        <v>1124</v>
      </c>
      <c r="DY316" s="70" t="s">
        <v>1124</v>
      </c>
      <c r="DZ316" s="70">
        <f>VLOOKUP($BS316,'État &amp; Plan d''action'!$B$6:$AH$1113,31,FALSE)</f>
        <v>1</v>
      </c>
      <c r="EA316" s="70">
        <f>VLOOKUP($BS316,'État &amp; Plan d''action'!$B$6:$AH$1113,32,FALSE)</f>
        <v>1</v>
      </c>
      <c r="EB316" s="70">
        <f>VLOOKUP($BS316,'État &amp; Plan d''action'!$B$6:$AH$1113,33,FALSE)</f>
        <v>4</v>
      </c>
      <c r="EC316" s="70">
        <v>0</v>
      </c>
      <c r="ED316" s="70">
        <v>0</v>
      </c>
      <c r="EE316" s="70">
        <v>0</v>
      </c>
      <c r="EF316" s="70">
        <v>0</v>
      </c>
      <c r="EG316" s="70">
        <v>0</v>
      </c>
      <c r="EH316" s="72">
        <v>52</v>
      </c>
      <c r="EI316" s="72">
        <v>23181</v>
      </c>
    </row>
    <row r="317" spans="71:139" x14ac:dyDescent="0.35">
      <c r="BS317" s="486">
        <v>85060</v>
      </c>
      <c r="BT317" s="479" t="s">
        <v>880</v>
      </c>
      <c r="BU317" s="479">
        <v>8</v>
      </c>
      <c r="BV317" s="476" t="s">
        <v>1187</v>
      </c>
      <c r="BW317" s="476" t="s">
        <v>1187</v>
      </c>
      <c r="BX317" s="476" t="s">
        <v>1187</v>
      </c>
      <c r="BY317" s="476" t="s">
        <v>1187</v>
      </c>
      <c r="BZ317" s="476" t="s">
        <v>1187</v>
      </c>
      <c r="CA317" s="476" t="s">
        <v>1187</v>
      </c>
      <c r="CB317" s="476" t="s">
        <v>1187</v>
      </c>
      <c r="CC317" s="476" t="s">
        <v>1187</v>
      </c>
      <c r="CD317" s="476" t="s">
        <v>1187</v>
      </c>
      <c r="CE317" s="476" t="s">
        <v>1187</v>
      </c>
      <c r="CF317" s="476" t="s">
        <v>1187</v>
      </c>
      <c r="CG317" s="476" t="s">
        <v>1187</v>
      </c>
      <c r="CH317" s="476" t="s">
        <v>1187</v>
      </c>
      <c r="CI317" s="476" t="s">
        <v>1187</v>
      </c>
      <c r="CJ317" s="476" t="s">
        <v>1188</v>
      </c>
      <c r="CK317" s="476" t="s">
        <v>1188</v>
      </c>
      <c r="CL317" s="476" t="s">
        <v>1188</v>
      </c>
      <c r="CM317" s="476" t="str">
        <f>IF(VLOOKUP(BS317,'Données par municipalité'!$B$6:$E$1113,4,FALSE)="","non","oui")</f>
        <v>oui</v>
      </c>
      <c r="CN317" s="410" t="s">
        <v>1124</v>
      </c>
      <c r="CO317" s="410" t="s">
        <v>1124</v>
      </c>
      <c r="CP317" s="410"/>
      <c r="CQ317" s="410"/>
      <c r="CR317" s="410"/>
      <c r="CS317" s="410">
        <v>426.68869840128997</v>
      </c>
      <c r="CT317" s="410">
        <v>260.55365533149933</v>
      </c>
      <c r="CU317" s="410">
        <v>244</v>
      </c>
      <c r="CV317" s="410">
        <f>IF(VLOOKUP(BS317,'Données par municipalité'!$B$6:$F$1113,4,FALSE)="","",VLOOKUP(BS317,'Données par municipalité'!$B$6:$F$1113,4,FALSE))</f>
        <v>239</v>
      </c>
      <c r="CW317" s="476" t="s">
        <v>4723</v>
      </c>
      <c r="CX317" s="483" t="s">
        <v>1124</v>
      </c>
      <c r="CY317" s="483" t="s">
        <v>1124</v>
      </c>
      <c r="CZ317" s="483" t="s">
        <v>1124</v>
      </c>
      <c r="DA317" s="483" t="s">
        <v>1124</v>
      </c>
      <c r="DB317" s="483">
        <v>1</v>
      </c>
      <c r="DC317" s="483">
        <v>1</v>
      </c>
      <c r="DD317" s="483">
        <v>0</v>
      </c>
      <c r="DE317" s="483">
        <f>IFERROR(SUM(VLOOKUP($BS317,'État &amp; Plan d''action'!$B$6:$Z$1113,18,FALSE),VLOOKUP($BS317,'État &amp; Plan d''action'!$B$6:$Z$1113,20,FALSE))/(VLOOKUP($BS317,'Données par municipalité'!$B$4:$L$1113,11,FALSE)),"")</f>
        <v>0.46296296296296291</v>
      </c>
      <c r="DF317" s="483">
        <f>IFERROR(SUM(VLOOKUP($BS317,'État &amp; Plan d''action'!$B$6:$Z$1113,19,FALSE),VLOOKUP($BS317,'État &amp; Plan d''action'!$B$6:$Z$1113,21,FALSE))/(VLOOKUP($BS317,'Données par municipalité'!$B$4:$L$1113,11,FALSE)),"")</f>
        <v>0.46296296296296291</v>
      </c>
      <c r="DG317" s="476" t="s">
        <v>4723</v>
      </c>
      <c r="DH317" s="484">
        <v>1</v>
      </c>
      <c r="DI317" s="484">
        <v>1</v>
      </c>
      <c r="DJ317" s="484">
        <v>2</v>
      </c>
      <c r="DK317" s="484">
        <v>1</v>
      </c>
      <c r="DL317" s="484">
        <v>1</v>
      </c>
      <c r="DM317" s="484">
        <v>1</v>
      </c>
      <c r="DN317" s="484">
        <v>1</v>
      </c>
      <c r="DO317" s="484">
        <v>0</v>
      </c>
      <c r="DP317" s="484">
        <v>0</v>
      </c>
      <c r="DQ317" s="484">
        <f>IF(VLOOKUP($BS317,'État &amp; Plan d''action'!$B$6:$AJ$1113,28,FALSE)="","",VLOOKUP($BS317,'État &amp; Plan d''action'!$B$6:$AJ$1113,28,FALSE))</f>
        <v>0</v>
      </c>
      <c r="DR317" s="70">
        <f>IF(VLOOKUP($BS317,'État &amp; Plan d''action'!$B$6:$AJ$1113,29,FALSE)="","",VLOOKUP($BS317,'État &amp; Plan d''action'!$B$6:$AJ$1113,29,FALSE))</f>
        <v>1</v>
      </c>
      <c r="DS317" s="70">
        <f>IF(VLOOKUP($BS317,'État &amp; Plan d''action'!$B$6:$AJ$1113,30,FALSE)="","",VLOOKUP($BS317,'État &amp; Plan d''action'!$B$6:$AJ$1113,30,FALSE))</f>
        <v>0</v>
      </c>
      <c r="DT317" s="70">
        <v>165</v>
      </c>
      <c r="DU317" s="485">
        <v>2.1509287123563037</v>
      </c>
      <c r="DV317" s="485">
        <v>0.61647804766827152</v>
      </c>
      <c r="DW317" s="70">
        <v>1</v>
      </c>
      <c r="DX317" s="70">
        <v>0</v>
      </c>
      <c r="DY317" s="70">
        <v>0</v>
      </c>
      <c r="DZ317" s="70">
        <f>VLOOKUP($BS317,'État &amp; Plan d''action'!$B$6:$AH$1113,31,FALSE)</f>
        <v>0</v>
      </c>
      <c r="EA317" s="70">
        <f>VLOOKUP($BS317,'État &amp; Plan d''action'!$B$6:$AH$1113,32,FALSE)</f>
        <v>2</v>
      </c>
      <c r="EB317" s="70">
        <f>VLOOKUP($BS317,'État &amp; Plan d''action'!$B$6:$AH$1113,33,FALSE)</f>
        <v>0</v>
      </c>
      <c r="EC317" s="70">
        <v>0</v>
      </c>
      <c r="ED317" s="70">
        <v>0</v>
      </c>
      <c r="EE317" s="70">
        <v>0</v>
      </c>
      <c r="EF317" s="70">
        <v>0</v>
      </c>
      <c r="EG317" s="70">
        <v>0</v>
      </c>
      <c r="EH317" s="72">
        <v>47</v>
      </c>
      <c r="EI317" s="72">
        <v>305</v>
      </c>
    </row>
    <row r="318" spans="71:139" x14ac:dyDescent="0.35">
      <c r="BS318" s="486">
        <v>88080</v>
      </c>
      <c r="BT318" s="479" t="s">
        <v>925</v>
      </c>
      <c r="BU318" s="479">
        <v>8</v>
      </c>
      <c r="BV318" s="476" t="s">
        <v>1188</v>
      </c>
      <c r="BW318" s="476" t="s">
        <v>1188</v>
      </c>
      <c r="BX318" s="476" t="s">
        <v>1188</v>
      </c>
      <c r="BY318" s="476" t="s">
        <v>1188</v>
      </c>
      <c r="BZ318" s="476" t="s">
        <v>1188</v>
      </c>
      <c r="CA318" s="476" t="s">
        <v>1188</v>
      </c>
      <c r="CB318" s="476" t="s">
        <v>1188</v>
      </c>
      <c r="CC318" s="476" t="s">
        <v>1188</v>
      </c>
      <c r="CD318" s="476" t="s">
        <v>1188</v>
      </c>
      <c r="CE318" s="476" t="s">
        <v>1187</v>
      </c>
      <c r="CF318" s="476" t="s">
        <v>1187</v>
      </c>
      <c r="CG318" s="476" t="s">
        <v>1187</v>
      </c>
      <c r="CH318" s="476" t="s">
        <v>1187</v>
      </c>
      <c r="CI318" s="476" t="s">
        <v>1187</v>
      </c>
      <c r="CJ318" s="476" t="s">
        <v>1187</v>
      </c>
      <c r="CK318" s="476" t="s">
        <v>1187</v>
      </c>
      <c r="CL318" s="476" t="s">
        <v>1187</v>
      </c>
      <c r="CM318" s="476" t="str">
        <f>IF(VLOOKUP(BS318,'Données par municipalité'!$B$6:$E$1113,4,FALSE)="","non","oui")</f>
        <v>non</v>
      </c>
      <c r="CN318" s="410" t="s">
        <v>1124</v>
      </c>
      <c r="CO318" s="410" t="s">
        <v>1124</v>
      </c>
      <c r="CP318" s="410"/>
      <c r="CQ318" s="410"/>
      <c r="CR318" s="410"/>
      <c r="CS318" s="410" t="s">
        <v>1124</v>
      </c>
      <c r="CT318" s="410"/>
      <c r="CU318" s="410" t="s">
        <v>1124</v>
      </c>
      <c r="CV318" s="410" t="str">
        <f>IF(VLOOKUP(BS318,'Données par municipalité'!$B$6:$F$1113,4,FALSE)="","",VLOOKUP(BS318,'Données par municipalité'!$B$6:$F$1113,4,FALSE))</f>
        <v/>
      </c>
      <c r="CW318" s="476" t="s">
        <v>4723</v>
      </c>
      <c r="CX318" s="483" t="s">
        <v>1124</v>
      </c>
      <c r="CY318" s="483" t="s">
        <v>1124</v>
      </c>
      <c r="CZ318" s="483" t="s">
        <v>1124</v>
      </c>
      <c r="DA318" s="483" t="s">
        <v>1124</v>
      </c>
      <c r="DB318" s="483" t="s">
        <v>1124</v>
      </c>
      <c r="DC318" s="483" t="s">
        <v>1124</v>
      </c>
      <c r="DD318" s="483" t="s">
        <v>1124</v>
      </c>
      <c r="DE318" s="483" t="str">
        <f>IFERROR(SUM(VLOOKUP($BS318,'État &amp; Plan d''action'!$B$6:$Z$1113,18,FALSE),VLOOKUP($BS318,'État &amp; Plan d''action'!$B$6:$Z$1113,20,FALSE))/(VLOOKUP($BS318,'Données par municipalité'!$B$4:$L$1113,11,FALSE)),"")</f>
        <v/>
      </c>
      <c r="DF318" s="483" t="str">
        <f>IFERROR(SUM(VLOOKUP($BS318,'État &amp; Plan d''action'!$B$6:$Z$1113,19,FALSE),VLOOKUP($BS318,'État &amp; Plan d''action'!$B$6:$Z$1113,21,FALSE))/(VLOOKUP($BS318,'Données par municipalité'!$B$4:$L$1113,11,FALSE)),"")</f>
        <v/>
      </c>
      <c r="DG318" s="476" t="s">
        <v>4723</v>
      </c>
      <c r="DH318" s="484" t="s">
        <v>1124</v>
      </c>
      <c r="DI318" s="484" t="s">
        <v>1124</v>
      </c>
      <c r="DJ318" s="484">
        <v>0</v>
      </c>
      <c r="DK318" s="484">
        <v>0</v>
      </c>
      <c r="DL318" s="484" t="s">
        <v>1124</v>
      </c>
      <c r="DM318" s="484" t="s">
        <v>1124</v>
      </c>
      <c r="DN318" s="484" t="s">
        <v>1124</v>
      </c>
      <c r="DO318" s="484" t="s">
        <v>1124</v>
      </c>
      <c r="DP318" s="484" t="s">
        <v>1124</v>
      </c>
      <c r="DQ318" s="484" t="str">
        <f>IF(VLOOKUP($BS318,'État &amp; Plan d''action'!$B$6:$AJ$1113,28,FALSE)="","",VLOOKUP($BS318,'État &amp; Plan d''action'!$B$6:$AJ$1113,28,FALSE))</f>
        <v/>
      </c>
      <c r="DR318" s="70" t="str">
        <f>IF(VLOOKUP($BS318,'État &amp; Plan d''action'!$B$6:$AJ$1113,29,FALSE)="","",VLOOKUP($BS318,'État &amp; Plan d''action'!$B$6:$AJ$1113,29,FALSE))</f>
        <v/>
      </c>
      <c r="DS318" s="70" t="str">
        <f>IF(VLOOKUP($BS318,'État &amp; Plan d''action'!$B$6:$AJ$1113,30,FALSE)="","",VLOOKUP($BS318,'État &amp; Plan d''action'!$B$6:$AJ$1113,30,FALSE))</f>
        <v/>
      </c>
      <c r="DT318" s="70" t="s">
        <v>1124</v>
      </c>
      <c r="DU318" s="485" t="s">
        <v>1124</v>
      </c>
      <c r="DV318" s="485" t="s">
        <v>1124</v>
      </c>
      <c r="DW318" s="70" t="s">
        <v>1124</v>
      </c>
      <c r="DX318" s="70" t="s">
        <v>1124</v>
      </c>
      <c r="DY318" s="70" t="s">
        <v>1124</v>
      </c>
      <c r="DZ318" s="70" t="str">
        <f>VLOOKUP($BS318,'État &amp; Plan d''action'!$B$6:$AH$1113,31,FALSE)</f>
        <v/>
      </c>
      <c r="EA318" s="70" t="str">
        <f>VLOOKUP($BS318,'État &amp; Plan d''action'!$B$6:$AH$1113,32,FALSE)</f>
        <v/>
      </c>
      <c r="EB318" s="70" t="str">
        <f>VLOOKUP($BS318,'État &amp; Plan d''action'!$B$6:$AH$1113,33,FALSE)</f>
        <v/>
      </c>
      <c r="EC318" s="70" t="s">
        <v>1124</v>
      </c>
      <c r="ED318" s="70" t="s">
        <v>1124</v>
      </c>
      <c r="EE318" s="70" t="s">
        <v>1124</v>
      </c>
      <c r="EF318" s="70" t="s">
        <v>1124</v>
      </c>
      <c r="EG318" s="70" t="s">
        <v>1124</v>
      </c>
      <c r="EH318" s="72"/>
      <c r="EI318" s="72">
        <v>224</v>
      </c>
    </row>
    <row r="319" spans="71:139" x14ac:dyDescent="0.35">
      <c r="BS319" s="486">
        <v>33060</v>
      </c>
      <c r="BT319" s="479" t="s">
        <v>275</v>
      </c>
      <c r="BU319" s="479">
        <v>12</v>
      </c>
      <c r="BV319" s="476" t="s">
        <v>1187</v>
      </c>
      <c r="BW319" s="476" t="s">
        <v>1187</v>
      </c>
      <c r="BX319" s="476" t="s">
        <v>1187</v>
      </c>
      <c r="BY319" s="476" t="s">
        <v>1187</v>
      </c>
      <c r="BZ319" s="476" t="s">
        <v>1187</v>
      </c>
      <c r="CA319" s="476" t="s">
        <v>1187</v>
      </c>
      <c r="CB319" s="476" t="s">
        <v>1187</v>
      </c>
      <c r="CC319" s="476" t="s">
        <v>1187</v>
      </c>
      <c r="CD319" s="476" t="s">
        <v>1187</v>
      </c>
      <c r="CE319" s="476" t="s">
        <v>1188</v>
      </c>
      <c r="CF319" s="476" t="s">
        <v>1188</v>
      </c>
      <c r="CG319" s="476" t="s">
        <v>1187</v>
      </c>
      <c r="CH319" s="476" t="s">
        <v>1188</v>
      </c>
      <c r="CI319" s="476" t="s">
        <v>1188</v>
      </c>
      <c r="CJ319" s="476" t="s">
        <v>1188</v>
      </c>
      <c r="CK319" s="476" t="s">
        <v>1188</v>
      </c>
      <c r="CL319" s="476" t="s">
        <v>1188</v>
      </c>
      <c r="CM319" s="476" t="str">
        <f>IF(VLOOKUP(BS319,'Données par municipalité'!$B$6:$E$1113,4,FALSE)="","non","oui")</f>
        <v>oui</v>
      </c>
      <c r="CN319" s="410">
        <v>268.66814858570865</v>
      </c>
      <c r="CO319" s="410">
        <v>256.59865394915465</v>
      </c>
      <c r="CP319" s="410"/>
      <c r="CQ319" s="410">
        <v>245.199848929762</v>
      </c>
      <c r="CR319" s="410">
        <v>243.53487087750472</v>
      </c>
      <c r="CS319" s="410">
        <v>234.30460421308251</v>
      </c>
      <c r="CT319" s="410">
        <v>232.8129366853122</v>
      </c>
      <c r="CU319" s="410">
        <v>213</v>
      </c>
      <c r="CV319" s="410">
        <f>IF(VLOOKUP(BS319,'Données par municipalité'!$B$6:$F$1113,4,FALSE)="","",VLOOKUP(BS319,'Données par municipalité'!$B$6:$F$1113,4,FALSE))</f>
        <v>225</v>
      </c>
      <c r="CW319" s="476" t="s">
        <v>4723</v>
      </c>
      <c r="CX319" s="483">
        <v>0</v>
      </c>
      <c r="CY319" s="483" t="s">
        <v>1124</v>
      </c>
      <c r="CZ319" s="483">
        <v>1</v>
      </c>
      <c r="DA319" s="483">
        <v>1</v>
      </c>
      <c r="DB319" s="483">
        <v>1</v>
      </c>
      <c r="DC319" s="483">
        <v>1</v>
      </c>
      <c r="DD319" s="483">
        <v>0</v>
      </c>
      <c r="DE319" s="483">
        <f>IFERROR(SUM(VLOOKUP($BS319,'État &amp; Plan d''action'!$B$6:$Z$1113,18,FALSE),VLOOKUP($BS319,'État &amp; Plan d''action'!$B$6:$Z$1113,20,FALSE))/(VLOOKUP($BS319,'Données par municipalité'!$B$4:$L$1113,11,FALSE)),"")</f>
        <v>1</v>
      </c>
      <c r="DF319" s="483">
        <f>IFERROR(SUM(VLOOKUP($BS319,'État &amp; Plan d''action'!$B$6:$Z$1113,19,FALSE),VLOOKUP($BS319,'État &amp; Plan d''action'!$B$6:$Z$1113,21,FALSE))/(VLOOKUP($BS319,'Données par municipalité'!$B$4:$L$1113,11,FALSE)),"")</f>
        <v>1</v>
      </c>
      <c r="DG319" s="476" t="s">
        <v>4723</v>
      </c>
      <c r="DH319" s="484">
        <v>2</v>
      </c>
      <c r="DI319" s="484" t="s">
        <v>1124</v>
      </c>
      <c r="DJ319" s="484">
        <v>3</v>
      </c>
      <c r="DK319" s="484">
        <v>6</v>
      </c>
      <c r="DL319" s="484">
        <v>1</v>
      </c>
      <c r="DM319" s="484">
        <v>0</v>
      </c>
      <c r="DN319" s="484">
        <v>3</v>
      </c>
      <c r="DO319" s="484">
        <v>0</v>
      </c>
      <c r="DP319" s="484">
        <v>0</v>
      </c>
      <c r="DQ319" s="484">
        <f>IF(VLOOKUP($BS319,'État &amp; Plan d''action'!$B$6:$AJ$1113,28,FALSE)="","",VLOOKUP($BS319,'État &amp; Plan d''action'!$B$6:$AJ$1113,28,FALSE))</f>
        <v>0</v>
      </c>
      <c r="DR319" s="70">
        <f>IF(VLOOKUP($BS319,'État &amp; Plan d''action'!$B$6:$AJ$1113,29,FALSE)="","",VLOOKUP($BS319,'État &amp; Plan d''action'!$B$6:$AJ$1113,29,FALSE))</f>
        <v>0</v>
      </c>
      <c r="DS319" s="70">
        <f>IF(VLOOKUP($BS319,'État &amp; Plan d''action'!$B$6:$AJ$1113,30,FALSE)="","",VLOOKUP($BS319,'État &amp; Plan d''action'!$B$6:$AJ$1113,30,FALSE))</f>
        <v>0</v>
      </c>
      <c r="DT319" s="70">
        <v>135</v>
      </c>
      <c r="DU319" s="485">
        <v>0.91330695326021982</v>
      </c>
      <c r="DV319" s="485">
        <v>1.0499034195372119</v>
      </c>
      <c r="DW319" s="70">
        <v>1</v>
      </c>
      <c r="DX319" s="70">
        <v>0</v>
      </c>
      <c r="DY319" s="70">
        <v>0</v>
      </c>
      <c r="DZ319" s="70">
        <f>VLOOKUP($BS319,'État &amp; Plan d''action'!$B$6:$AH$1113,31,FALSE)</f>
        <v>0</v>
      </c>
      <c r="EA319" s="70">
        <f>VLOOKUP($BS319,'État &amp; Plan d''action'!$B$6:$AH$1113,32,FALSE)</f>
        <v>0</v>
      </c>
      <c r="EB319" s="70">
        <f>VLOOKUP($BS319,'État &amp; Plan d''action'!$B$6:$AH$1113,33,FALSE)</f>
        <v>0</v>
      </c>
      <c r="EC319" s="70">
        <v>30.382000000000001</v>
      </c>
      <c r="ED319" s="70">
        <v>0</v>
      </c>
      <c r="EE319" s="70">
        <v>0</v>
      </c>
      <c r="EF319" s="70">
        <v>0</v>
      </c>
      <c r="EG319" s="70">
        <v>0</v>
      </c>
      <c r="EH319" s="72">
        <v>62</v>
      </c>
      <c r="EI319" s="72">
        <v>2602</v>
      </c>
    </row>
    <row r="320" spans="71:139" x14ac:dyDescent="0.35">
      <c r="BS320" s="486">
        <v>32072</v>
      </c>
      <c r="BT320" s="479" t="s">
        <v>264</v>
      </c>
      <c r="BU320" s="479">
        <v>17</v>
      </c>
      <c r="BV320" s="476" t="s">
        <v>1187</v>
      </c>
      <c r="BW320" s="476" t="s">
        <v>1187</v>
      </c>
      <c r="BX320" s="476" t="s">
        <v>1187</v>
      </c>
      <c r="BY320" s="476" t="s">
        <v>1187</v>
      </c>
      <c r="BZ320" s="476" t="s">
        <v>1187</v>
      </c>
      <c r="CA320" s="476" t="s">
        <v>1187</v>
      </c>
      <c r="CB320" s="476" t="s">
        <v>1187</v>
      </c>
      <c r="CC320" s="476" t="s">
        <v>1187</v>
      </c>
      <c r="CD320" s="476" t="s">
        <v>1187</v>
      </c>
      <c r="CE320" s="476" t="s">
        <v>1188</v>
      </c>
      <c r="CF320" s="476" t="s">
        <v>1188</v>
      </c>
      <c r="CG320" s="476" t="s">
        <v>1188</v>
      </c>
      <c r="CH320" s="476" t="s">
        <v>1188</v>
      </c>
      <c r="CI320" s="476" t="s">
        <v>1188</v>
      </c>
      <c r="CJ320" s="476" t="s">
        <v>1188</v>
      </c>
      <c r="CK320" s="476" t="s">
        <v>1188</v>
      </c>
      <c r="CL320" s="476" t="s">
        <v>1188</v>
      </c>
      <c r="CM320" s="476" t="str">
        <f>IF(VLOOKUP(BS320,'Données par municipalité'!$B$6:$E$1113,4,FALSE)="","non","oui")</f>
        <v>oui</v>
      </c>
      <c r="CN320" s="410">
        <v>414.82639293610055</v>
      </c>
      <c r="CO320" s="410">
        <v>423.82286562928982</v>
      </c>
      <c r="CP320" s="410">
        <v>377.1077755233261</v>
      </c>
      <c r="CQ320" s="410">
        <v>387.86519203522931</v>
      </c>
      <c r="CR320" s="410">
        <v>335.03526892448866</v>
      </c>
      <c r="CS320" s="410">
        <v>329.56054736030927</v>
      </c>
      <c r="CT320" s="410">
        <v>346.39276206407658</v>
      </c>
      <c r="CU320" s="410">
        <v>364</v>
      </c>
      <c r="CV320" s="410">
        <f>IF(VLOOKUP(BS320,'Données par municipalité'!$B$6:$F$1113,4,FALSE)="","",VLOOKUP(BS320,'Données par municipalité'!$B$6:$F$1113,4,FALSE))</f>
        <v>367</v>
      </c>
      <c r="CW320" s="476" t="s">
        <v>4723</v>
      </c>
      <c r="CX320" s="483">
        <v>1</v>
      </c>
      <c r="CY320" s="483">
        <v>1</v>
      </c>
      <c r="CZ320" s="483">
        <v>1</v>
      </c>
      <c r="DA320" s="483">
        <v>1</v>
      </c>
      <c r="DB320" s="483">
        <v>1</v>
      </c>
      <c r="DC320" s="483">
        <v>1</v>
      </c>
      <c r="DD320" s="483">
        <v>1</v>
      </c>
      <c r="DE320" s="483">
        <f>IFERROR(SUM(VLOOKUP($BS320,'État &amp; Plan d''action'!$B$6:$Z$1113,18,FALSE),VLOOKUP($BS320,'État &amp; Plan d''action'!$B$6:$Z$1113,20,FALSE))/(VLOOKUP($BS320,'Données par municipalité'!$B$4:$L$1113,11,FALSE)),"")</f>
        <v>1</v>
      </c>
      <c r="DF320" s="483">
        <f>IFERROR(SUM(VLOOKUP($BS320,'État &amp; Plan d''action'!$B$6:$Z$1113,19,FALSE),VLOOKUP($BS320,'État &amp; Plan d''action'!$B$6:$Z$1113,21,FALSE))/(VLOOKUP($BS320,'Données par municipalité'!$B$4:$L$1113,11,FALSE)),"")</f>
        <v>2</v>
      </c>
      <c r="DG320" s="476" t="s">
        <v>4723</v>
      </c>
      <c r="DH320" s="484">
        <v>2</v>
      </c>
      <c r="DI320" s="484">
        <v>1</v>
      </c>
      <c r="DJ320" s="484">
        <v>1</v>
      </c>
      <c r="DK320" s="484">
        <v>1</v>
      </c>
      <c r="DL320" s="484">
        <v>1</v>
      </c>
      <c r="DM320" s="484">
        <v>1</v>
      </c>
      <c r="DN320" s="484">
        <v>1</v>
      </c>
      <c r="DO320" s="484">
        <v>0</v>
      </c>
      <c r="DP320" s="484">
        <v>2</v>
      </c>
      <c r="DQ320" s="484">
        <f>IF(VLOOKUP($BS320,'État &amp; Plan d''action'!$B$6:$AJ$1113,28,FALSE)="","",VLOOKUP($BS320,'État &amp; Plan d''action'!$B$6:$AJ$1113,28,FALSE))</f>
        <v>2</v>
      </c>
      <c r="DR320" s="70">
        <f>IF(VLOOKUP($BS320,'État &amp; Plan d''action'!$B$6:$AJ$1113,29,FALSE)="","",VLOOKUP($BS320,'État &amp; Plan d''action'!$B$6:$AJ$1113,29,FALSE))</f>
        <v>1</v>
      </c>
      <c r="DS320" s="70">
        <f>IF(VLOOKUP($BS320,'État &amp; Plan d''action'!$B$6:$AJ$1113,30,FALSE)="","",VLOOKUP($BS320,'État &amp; Plan d''action'!$B$6:$AJ$1113,30,FALSE))</f>
        <v>0</v>
      </c>
      <c r="DT320" s="70">
        <v>277</v>
      </c>
      <c r="DU320" s="485">
        <v>1.3556486533644823</v>
      </c>
      <c r="DV320" s="485">
        <v>2.4722414803107475</v>
      </c>
      <c r="DW320" s="70">
        <v>1</v>
      </c>
      <c r="DX320" s="70">
        <v>0</v>
      </c>
      <c r="DY320" s="70">
        <v>1</v>
      </c>
      <c r="DZ320" s="70">
        <f>VLOOKUP($BS320,'État &amp; Plan d''action'!$B$6:$AH$1113,31,FALSE)</f>
        <v>1</v>
      </c>
      <c r="EA320" s="70">
        <f>VLOOKUP($BS320,'État &amp; Plan d''action'!$B$6:$AH$1113,32,FALSE)</f>
        <v>3</v>
      </c>
      <c r="EB320" s="70">
        <f>VLOOKUP($BS320,'État &amp; Plan d''action'!$B$6:$AH$1113,33,FALSE)</f>
        <v>0</v>
      </c>
      <c r="EC320" s="70">
        <v>0</v>
      </c>
      <c r="ED320" s="70">
        <v>10.763999999999999</v>
      </c>
      <c r="EE320" s="70">
        <v>0</v>
      </c>
      <c r="EF320" s="70">
        <v>0</v>
      </c>
      <c r="EG320" s="70">
        <v>0</v>
      </c>
      <c r="EH320" s="72">
        <v>45</v>
      </c>
      <c r="EI320" s="72">
        <v>1327</v>
      </c>
    </row>
    <row r="321" spans="71:139" x14ac:dyDescent="0.35">
      <c r="BS321" s="486">
        <v>65005</v>
      </c>
      <c r="BT321" s="479" t="s">
        <v>646</v>
      </c>
      <c r="BU321" s="479">
        <v>13</v>
      </c>
      <c r="BV321" s="476" t="s">
        <v>1187</v>
      </c>
      <c r="BW321" s="476" t="s">
        <v>1187</v>
      </c>
      <c r="BX321" s="476" t="s">
        <v>1187</v>
      </c>
      <c r="BY321" s="476" t="s">
        <v>1187</v>
      </c>
      <c r="BZ321" s="476" t="s">
        <v>1187</v>
      </c>
      <c r="CA321" s="476" t="s">
        <v>1187</v>
      </c>
      <c r="CB321" s="476" t="s">
        <v>1187</v>
      </c>
      <c r="CC321" s="476" t="s">
        <v>1187</v>
      </c>
      <c r="CD321" s="476" t="s">
        <v>1187</v>
      </c>
      <c r="CE321" s="476" t="s">
        <v>1188</v>
      </c>
      <c r="CF321" s="476" t="s">
        <v>1188</v>
      </c>
      <c r="CG321" s="476" t="s">
        <v>1188</v>
      </c>
      <c r="CH321" s="476" t="s">
        <v>1188</v>
      </c>
      <c r="CI321" s="476" t="s">
        <v>1188</v>
      </c>
      <c r="CJ321" s="476" t="s">
        <v>1188</v>
      </c>
      <c r="CK321" s="476" t="s">
        <v>1188</v>
      </c>
      <c r="CL321" s="476" t="s">
        <v>1188</v>
      </c>
      <c r="CM321" s="476" t="str">
        <f>IF(VLOOKUP(BS321,'Données par municipalité'!$B$6:$E$1113,4,FALSE)="","non","oui")</f>
        <v>oui</v>
      </c>
      <c r="CN321" s="410">
        <v>508.25002562048599</v>
      </c>
      <c r="CO321" s="410">
        <v>544.0724457454761</v>
      </c>
      <c r="CP321" s="410">
        <v>509.75399759702782</v>
      </c>
      <c r="CQ321" s="410">
        <v>511.93735870583055</v>
      </c>
      <c r="CR321" s="410">
        <v>500.50621442186321</v>
      </c>
      <c r="CS321" s="410">
        <v>471.28479304536245</v>
      </c>
      <c r="CT321" s="410">
        <v>454.89113772977629</v>
      </c>
      <c r="CU321" s="410">
        <v>483</v>
      </c>
      <c r="CV321" s="410">
        <f>IF(VLOOKUP(BS321,'Données par municipalité'!$B$6:$F$1113,4,FALSE)="","",VLOOKUP(BS321,'Données par municipalité'!$B$6:$F$1113,4,FALSE))</f>
        <v>464</v>
      </c>
      <c r="CW321" s="476" t="s">
        <v>4723</v>
      </c>
      <c r="CX321" s="483">
        <v>0.77</v>
      </c>
      <c r="CY321" s="483">
        <v>0.82</v>
      </c>
      <c r="CZ321" s="483">
        <v>1</v>
      </c>
      <c r="DA321" s="483">
        <v>1.54</v>
      </c>
      <c r="DB321" s="483">
        <v>1.28</v>
      </c>
      <c r="DC321" s="483">
        <v>1.19</v>
      </c>
      <c r="DD321" s="483">
        <v>0.99080685734365193</v>
      </c>
      <c r="DE321" s="483">
        <f>IFERROR(SUM(VLOOKUP($BS321,'État &amp; Plan d''action'!$B$6:$Z$1113,18,FALSE),VLOOKUP($BS321,'État &amp; Plan d''action'!$B$6:$Z$1113,20,FALSE))/(VLOOKUP($BS321,'Données par municipalité'!$B$4:$L$1113,11,FALSE)),"")</f>
        <v>0.84182464454976302</v>
      </c>
      <c r="DF321" s="483">
        <f>IFERROR(SUM(VLOOKUP($BS321,'État &amp; Plan d''action'!$B$6:$Z$1113,19,FALSE),VLOOKUP($BS321,'État &amp; Plan d''action'!$B$6:$Z$1113,21,FALSE))/(VLOOKUP($BS321,'Données par municipalité'!$B$4:$L$1113,11,FALSE)),"")</f>
        <v>1.481042654028436</v>
      </c>
      <c r="DG321" s="476" t="s">
        <v>4723</v>
      </c>
      <c r="DH321" s="484">
        <v>338</v>
      </c>
      <c r="DI321" s="484">
        <v>667</v>
      </c>
      <c r="DJ321" s="484">
        <v>578</v>
      </c>
      <c r="DK321" s="484">
        <v>614</v>
      </c>
      <c r="DL321" s="484">
        <v>489</v>
      </c>
      <c r="DM321" s="484">
        <v>602</v>
      </c>
      <c r="DN321" s="484">
        <v>368</v>
      </c>
      <c r="DO321" s="484">
        <v>55</v>
      </c>
      <c r="DP321" s="484">
        <v>251</v>
      </c>
      <c r="DQ321" s="484">
        <f>IF(VLOOKUP($BS321,'État &amp; Plan d''action'!$B$6:$AJ$1113,28,FALSE)="","",VLOOKUP($BS321,'État &amp; Plan d''action'!$B$6:$AJ$1113,28,FALSE))</f>
        <v>345</v>
      </c>
      <c r="DR321" s="70">
        <f>IF(VLOOKUP($BS321,'État &amp; Plan d''action'!$B$6:$AJ$1113,29,FALSE)="","",VLOOKUP($BS321,'État &amp; Plan d''action'!$B$6:$AJ$1113,29,FALSE))</f>
        <v>40</v>
      </c>
      <c r="DS321" s="70">
        <f>IF(VLOOKUP($BS321,'État &amp; Plan d''action'!$B$6:$AJ$1113,30,FALSE)="","",VLOOKUP($BS321,'État &amp; Plan d''action'!$B$6:$AJ$1113,30,FALSE))</f>
        <v>203</v>
      </c>
      <c r="DT321" s="70">
        <v>247</v>
      </c>
      <c r="DU321" s="485">
        <v>8.939316314224536</v>
      </c>
      <c r="DV321" s="485">
        <v>9.9756024190553383</v>
      </c>
      <c r="DW321" s="70">
        <v>18</v>
      </c>
      <c r="DX321" s="70">
        <v>13</v>
      </c>
      <c r="DY321" s="70">
        <v>37</v>
      </c>
      <c r="DZ321" s="70">
        <f>VLOOKUP($BS321,'État &amp; Plan d''action'!$B$6:$AH$1113,31,FALSE)</f>
        <v>15</v>
      </c>
      <c r="EA321" s="70">
        <f>VLOOKUP($BS321,'État &amp; Plan d''action'!$B$6:$AH$1113,32,FALSE)</f>
        <v>16</v>
      </c>
      <c r="EB321" s="70">
        <f>VLOOKUP($BS321,'État &amp; Plan d''action'!$B$6:$AH$1113,33,FALSE)</f>
        <v>42</v>
      </c>
      <c r="EC321" s="70">
        <v>33.43</v>
      </c>
      <c r="ED321" s="70">
        <v>1618.2460000000001</v>
      </c>
      <c r="EE321" s="70">
        <v>51</v>
      </c>
      <c r="EF321" s="70">
        <v>0</v>
      </c>
      <c r="EG321" s="70">
        <v>0</v>
      </c>
      <c r="EH321" s="72">
        <v>69.098039215686271</v>
      </c>
      <c r="EI321" s="72">
        <v>434998</v>
      </c>
    </row>
    <row r="322" spans="71:139" x14ac:dyDescent="0.35">
      <c r="BS322" s="486">
        <v>52007</v>
      </c>
      <c r="BT322" s="479" t="s">
        <v>515</v>
      </c>
      <c r="BU322" s="479">
        <v>14</v>
      </c>
      <c r="BV322" s="476" t="s">
        <v>1187</v>
      </c>
      <c r="BW322" s="476" t="s">
        <v>1187</v>
      </c>
      <c r="BX322" s="476" t="s">
        <v>1187</v>
      </c>
      <c r="BY322" s="476" t="s">
        <v>1187</v>
      </c>
      <c r="BZ322" s="476" t="s">
        <v>1187</v>
      </c>
      <c r="CA322" s="476" t="s">
        <v>1187</v>
      </c>
      <c r="CB322" s="476" t="s">
        <v>1187</v>
      </c>
      <c r="CC322" s="476" t="s">
        <v>1187</v>
      </c>
      <c r="CD322" s="476" t="s">
        <v>1187</v>
      </c>
      <c r="CE322" s="476" t="s">
        <v>1188</v>
      </c>
      <c r="CF322" s="476" t="s">
        <v>1188</v>
      </c>
      <c r="CG322" s="476" t="s">
        <v>1188</v>
      </c>
      <c r="CH322" s="476" t="s">
        <v>1188</v>
      </c>
      <c r="CI322" s="476" t="s">
        <v>1188</v>
      </c>
      <c r="CJ322" s="476" t="s">
        <v>1188</v>
      </c>
      <c r="CK322" s="476" t="s">
        <v>1187</v>
      </c>
      <c r="CL322" s="476" t="s">
        <v>1188</v>
      </c>
      <c r="CM322" s="476" t="str">
        <f>IF(VLOOKUP(BS322,'Données par municipalité'!$B$6:$E$1113,4,FALSE)="","non","oui")</f>
        <v>oui</v>
      </c>
      <c r="CN322" s="410">
        <v>274.10356438304626</v>
      </c>
      <c r="CO322" s="410">
        <v>271.68510371533768</v>
      </c>
      <c r="CP322" s="410">
        <v>321.14102370225868</v>
      </c>
      <c r="CQ322" s="410">
        <v>329.8922948501741</v>
      </c>
      <c r="CR322" s="410">
        <v>351.59663259459495</v>
      </c>
      <c r="CS322" s="410">
        <v>345.09855912025392</v>
      </c>
      <c r="CT322" s="410"/>
      <c r="CU322" s="410">
        <v>323</v>
      </c>
      <c r="CV322" s="410">
        <f>IF(VLOOKUP(BS322,'Données par municipalité'!$B$6:$F$1113,4,FALSE)="","",VLOOKUP(BS322,'Données par municipalité'!$B$6:$F$1113,4,FALSE))</f>
        <v>281</v>
      </c>
      <c r="CW322" s="476" t="s">
        <v>4723</v>
      </c>
      <c r="CX322" s="483">
        <v>0</v>
      </c>
      <c r="CY322" s="483">
        <v>0</v>
      </c>
      <c r="CZ322" s="483">
        <v>0.01</v>
      </c>
      <c r="DA322" s="483">
        <v>0.01</v>
      </c>
      <c r="DB322" s="483">
        <v>0.01</v>
      </c>
      <c r="DC322" s="483" t="s">
        <v>1124</v>
      </c>
      <c r="DD322" s="483">
        <v>0</v>
      </c>
      <c r="DE322" s="483">
        <f>IFERROR(SUM(VLOOKUP($BS322,'État &amp; Plan d''action'!$B$6:$Z$1113,18,FALSE),VLOOKUP($BS322,'État &amp; Plan d''action'!$B$6:$Z$1113,20,FALSE))/(VLOOKUP($BS322,'Données par municipalité'!$B$4:$L$1113,11,FALSE)),"")</f>
        <v>0</v>
      </c>
      <c r="DF322" s="483">
        <f>IFERROR(SUM(VLOOKUP($BS322,'État &amp; Plan d''action'!$B$6:$Z$1113,19,FALSE),VLOOKUP($BS322,'État &amp; Plan d''action'!$B$6:$Z$1113,21,FALSE))/(VLOOKUP($BS322,'Données par municipalité'!$B$4:$L$1113,11,FALSE)),"")</f>
        <v>0</v>
      </c>
      <c r="DG322" s="476" t="s">
        <v>4723</v>
      </c>
      <c r="DH322" s="484">
        <v>5</v>
      </c>
      <c r="DI322" s="484">
        <v>4</v>
      </c>
      <c r="DJ322" s="484">
        <v>5</v>
      </c>
      <c r="DK322" s="484">
        <v>11</v>
      </c>
      <c r="DL322" s="484">
        <v>9</v>
      </c>
      <c r="DM322" s="484" t="s">
        <v>1124</v>
      </c>
      <c r="DN322" s="484">
        <v>4</v>
      </c>
      <c r="DO322" s="484">
        <v>0</v>
      </c>
      <c r="DP322" s="484">
        <v>10</v>
      </c>
      <c r="DQ322" s="484">
        <f>IF(VLOOKUP($BS322,'État &amp; Plan d''action'!$B$6:$AJ$1113,28,FALSE)="","",VLOOKUP($BS322,'État &amp; Plan d''action'!$B$6:$AJ$1113,28,FALSE))</f>
        <v>3</v>
      </c>
      <c r="DR322" s="70">
        <f>IF(VLOOKUP($BS322,'État &amp; Plan d''action'!$B$6:$AJ$1113,29,FALSE)="","",VLOOKUP($BS322,'État &amp; Plan d''action'!$B$6:$AJ$1113,29,FALSE))</f>
        <v>0</v>
      </c>
      <c r="DS322" s="70">
        <f>IF(VLOOKUP($BS322,'État &amp; Plan d''action'!$B$6:$AJ$1113,30,FALSE)="","",VLOOKUP($BS322,'État &amp; Plan d''action'!$B$6:$AJ$1113,30,FALSE))</f>
        <v>3</v>
      </c>
      <c r="DT322" s="70">
        <v>270</v>
      </c>
      <c r="DU322" s="485">
        <v>1.7457062744587897</v>
      </c>
      <c r="DV322" s="485">
        <v>2.9890588359725148</v>
      </c>
      <c r="DW322" s="70">
        <v>1</v>
      </c>
      <c r="DX322" s="70">
        <v>0</v>
      </c>
      <c r="DY322" s="70">
        <v>1</v>
      </c>
      <c r="DZ322" s="70">
        <f>VLOOKUP($BS322,'État &amp; Plan d''action'!$B$6:$AH$1113,31,FALSE)</f>
        <v>1</v>
      </c>
      <c r="EA322" s="70">
        <f>VLOOKUP($BS322,'État &amp; Plan d''action'!$B$6:$AH$1113,32,FALSE)</f>
        <v>0</v>
      </c>
      <c r="EB322" s="70">
        <f>VLOOKUP($BS322,'État &amp; Plan d''action'!$B$6:$AH$1113,33,FALSE)</f>
        <v>1</v>
      </c>
      <c r="EC322" s="70">
        <v>74.2</v>
      </c>
      <c r="ED322" s="70">
        <v>0</v>
      </c>
      <c r="EE322" s="70">
        <v>0</v>
      </c>
      <c r="EF322" s="70">
        <v>0</v>
      </c>
      <c r="EG322" s="70">
        <v>0</v>
      </c>
      <c r="EH322" s="72">
        <v>62</v>
      </c>
      <c r="EI322" s="72">
        <v>14033</v>
      </c>
    </row>
    <row r="323" spans="71:139" x14ac:dyDescent="0.35">
      <c r="BS323" s="486">
        <v>49025</v>
      </c>
      <c r="BT323" s="479" t="s">
        <v>467</v>
      </c>
      <c r="BU323" s="479">
        <v>17</v>
      </c>
      <c r="BV323" s="476" t="s">
        <v>1188</v>
      </c>
      <c r="BW323" s="476" t="s">
        <v>1188</v>
      </c>
      <c r="BX323" s="476" t="s">
        <v>1188</v>
      </c>
      <c r="BY323" s="476" t="s">
        <v>1188</v>
      </c>
      <c r="BZ323" s="476" t="s">
        <v>1188</v>
      </c>
      <c r="CA323" s="476" t="s">
        <v>1188</v>
      </c>
      <c r="CB323" s="476" t="s">
        <v>1188</v>
      </c>
      <c r="CC323" s="476" t="s">
        <v>1188</v>
      </c>
      <c r="CD323" s="476" t="s">
        <v>1188</v>
      </c>
      <c r="CE323" s="476" t="s">
        <v>1187</v>
      </c>
      <c r="CF323" s="476" t="s">
        <v>1187</v>
      </c>
      <c r="CG323" s="476" t="s">
        <v>1187</v>
      </c>
      <c r="CH323" s="476" t="s">
        <v>1187</v>
      </c>
      <c r="CI323" s="476" t="s">
        <v>1187</v>
      </c>
      <c r="CJ323" s="476" t="s">
        <v>1187</v>
      </c>
      <c r="CK323" s="476" t="s">
        <v>1187</v>
      </c>
      <c r="CL323" s="476" t="s">
        <v>1187</v>
      </c>
      <c r="CM323" s="476" t="str">
        <f>IF(VLOOKUP(BS323,'Données par municipalité'!$B$6:$E$1113,4,FALSE)="","non","oui")</f>
        <v>non</v>
      </c>
      <c r="CN323" s="410" t="s">
        <v>1124</v>
      </c>
      <c r="CO323" s="410" t="s">
        <v>1124</v>
      </c>
      <c r="CP323" s="410"/>
      <c r="CQ323" s="410"/>
      <c r="CR323" s="410"/>
      <c r="CS323" s="410" t="s">
        <v>1124</v>
      </c>
      <c r="CT323" s="410"/>
      <c r="CU323" s="410" t="s">
        <v>1124</v>
      </c>
      <c r="CV323" s="410" t="str">
        <f>IF(VLOOKUP(BS323,'Données par municipalité'!$B$6:$F$1113,4,FALSE)="","",VLOOKUP(BS323,'Données par municipalité'!$B$6:$F$1113,4,FALSE))</f>
        <v/>
      </c>
      <c r="CW323" s="476" t="s">
        <v>4723</v>
      </c>
      <c r="CX323" s="483" t="s">
        <v>1124</v>
      </c>
      <c r="CY323" s="483" t="s">
        <v>1124</v>
      </c>
      <c r="CZ323" s="483" t="s">
        <v>1124</v>
      </c>
      <c r="DA323" s="483" t="s">
        <v>1124</v>
      </c>
      <c r="DB323" s="483" t="s">
        <v>1124</v>
      </c>
      <c r="DC323" s="483" t="s">
        <v>1124</v>
      </c>
      <c r="DD323" s="483" t="s">
        <v>1124</v>
      </c>
      <c r="DE323" s="483" t="str">
        <f>IFERROR(SUM(VLOOKUP($BS323,'État &amp; Plan d''action'!$B$6:$Z$1113,18,FALSE),VLOOKUP($BS323,'État &amp; Plan d''action'!$B$6:$Z$1113,20,FALSE))/(VLOOKUP($BS323,'Données par municipalité'!$B$4:$L$1113,11,FALSE)),"")</f>
        <v/>
      </c>
      <c r="DF323" s="483" t="str">
        <f>IFERROR(SUM(VLOOKUP($BS323,'État &amp; Plan d''action'!$B$6:$Z$1113,19,FALSE),VLOOKUP($BS323,'État &amp; Plan d''action'!$B$6:$Z$1113,21,FALSE))/(VLOOKUP($BS323,'Données par municipalité'!$B$4:$L$1113,11,FALSE)),"")</f>
        <v/>
      </c>
      <c r="DG323" s="476" t="s">
        <v>4723</v>
      </c>
      <c r="DH323" s="484" t="s">
        <v>1124</v>
      </c>
      <c r="DI323" s="484" t="s">
        <v>1124</v>
      </c>
      <c r="DJ323" s="484">
        <v>0</v>
      </c>
      <c r="DK323" s="484">
        <v>0</v>
      </c>
      <c r="DL323" s="484" t="s">
        <v>1124</v>
      </c>
      <c r="DM323" s="484" t="s">
        <v>1124</v>
      </c>
      <c r="DN323" s="484" t="s">
        <v>1124</v>
      </c>
      <c r="DO323" s="484" t="s">
        <v>1124</v>
      </c>
      <c r="DP323" s="484" t="s">
        <v>1124</v>
      </c>
      <c r="DQ323" s="484" t="str">
        <f>IF(VLOOKUP($BS323,'État &amp; Plan d''action'!$B$6:$AJ$1113,28,FALSE)="","",VLOOKUP($BS323,'État &amp; Plan d''action'!$B$6:$AJ$1113,28,FALSE))</f>
        <v/>
      </c>
      <c r="DR323" s="70" t="str">
        <f>IF(VLOOKUP($BS323,'État &amp; Plan d''action'!$B$6:$AJ$1113,29,FALSE)="","",VLOOKUP($BS323,'État &amp; Plan d''action'!$B$6:$AJ$1113,29,FALSE))</f>
        <v/>
      </c>
      <c r="DS323" s="70" t="str">
        <f>IF(VLOOKUP($BS323,'État &amp; Plan d''action'!$B$6:$AJ$1113,30,FALSE)="","",VLOOKUP($BS323,'État &amp; Plan d''action'!$B$6:$AJ$1113,30,FALSE))</f>
        <v/>
      </c>
      <c r="DT323" s="70" t="s">
        <v>1124</v>
      </c>
      <c r="DU323" s="485" t="s">
        <v>1124</v>
      </c>
      <c r="DV323" s="485" t="s">
        <v>1124</v>
      </c>
      <c r="DW323" s="70" t="s">
        <v>1124</v>
      </c>
      <c r="DX323" s="70" t="s">
        <v>1124</v>
      </c>
      <c r="DY323" s="70" t="s">
        <v>1124</v>
      </c>
      <c r="DZ323" s="70" t="str">
        <f>VLOOKUP($BS323,'État &amp; Plan d''action'!$B$6:$AH$1113,31,FALSE)</f>
        <v/>
      </c>
      <c r="EA323" s="70" t="str">
        <f>VLOOKUP($BS323,'État &amp; Plan d''action'!$B$6:$AH$1113,32,FALSE)</f>
        <v/>
      </c>
      <c r="EB323" s="70" t="str">
        <f>VLOOKUP($BS323,'État &amp; Plan d''action'!$B$6:$AH$1113,33,FALSE)</f>
        <v/>
      </c>
      <c r="EC323" s="70" t="s">
        <v>1124</v>
      </c>
      <c r="ED323" s="70" t="s">
        <v>1124</v>
      </c>
      <c r="EE323" s="70" t="s">
        <v>1124</v>
      </c>
      <c r="EF323" s="70" t="s">
        <v>1124</v>
      </c>
      <c r="EG323" s="70" t="s">
        <v>1124</v>
      </c>
      <c r="EH323" s="72"/>
      <c r="EI323" s="72">
        <v>1382</v>
      </c>
    </row>
    <row r="324" spans="71:139" x14ac:dyDescent="0.35">
      <c r="BS324" s="486">
        <v>85052</v>
      </c>
      <c r="BT324" s="479" t="s">
        <v>878</v>
      </c>
      <c r="BU324" s="479">
        <v>8</v>
      </c>
      <c r="BV324" s="476">
        <v>0</v>
      </c>
      <c r="BW324" s="476">
        <v>0</v>
      </c>
      <c r="BX324" s="476">
        <v>0</v>
      </c>
      <c r="BY324" s="476">
        <v>0</v>
      </c>
      <c r="BZ324" s="476">
        <v>0</v>
      </c>
      <c r="CA324" s="476">
        <v>0</v>
      </c>
      <c r="CB324" s="476" t="s">
        <v>1187</v>
      </c>
      <c r="CC324" s="476" t="s">
        <v>1187</v>
      </c>
      <c r="CD324" s="476" t="s">
        <v>1187</v>
      </c>
      <c r="CE324" s="476" t="s">
        <v>1187</v>
      </c>
      <c r="CF324" s="476" t="s">
        <v>1187</v>
      </c>
      <c r="CG324" s="476" t="s">
        <v>1187</v>
      </c>
      <c r="CH324" s="476" t="s">
        <v>1187</v>
      </c>
      <c r="CI324" s="476" t="s">
        <v>1187</v>
      </c>
      <c r="CJ324" s="476" t="s">
        <v>1187</v>
      </c>
      <c r="CK324" s="476" t="s">
        <v>1188</v>
      </c>
      <c r="CL324" s="476" t="s">
        <v>1187</v>
      </c>
      <c r="CM324" s="476" t="str">
        <f>IF(VLOOKUP(BS324,'Données par municipalité'!$B$6:$E$1113,4,FALSE)="","non","oui")</f>
        <v>oui</v>
      </c>
      <c r="CN324" s="410" t="s">
        <v>1124</v>
      </c>
      <c r="CO324" s="410" t="s">
        <v>1124</v>
      </c>
      <c r="CP324" s="410"/>
      <c r="CQ324" s="410"/>
      <c r="CR324" s="410"/>
      <c r="CS324" s="410"/>
      <c r="CT324" s="410">
        <v>1261.4079393275788</v>
      </c>
      <c r="CU324" s="410" t="s">
        <v>1124</v>
      </c>
      <c r="CV324" s="410">
        <f>IF(VLOOKUP(BS324,'Données par municipalité'!$B$6:$F$1113,4,FALSE)="","",VLOOKUP(BS324,'Données par municipalité'!$B$6:$F$1113,4,FALSE))</f>
        <v>1264</v>
      </c>
      <c r="CW324" s="476" t="s">
        <v>4723</v>
      </c>
      <c r="CX324" s="483" t="s">
        <v>1124</v>
      </c>
      <c r="CY324" s="483" t="s">
        <v>1124</v>
      </c>
      <c r="CZ324" s="483" t="s">
        <v>1124</v>
      </c>
      <c r="DA324" s="483" t="s">
        <v>1124</v>
      </c>
      <c r="DB324" s="483" t="s">
        <v>1124</v>
      </c>
      <c r="DC324" s="483">
        <v>0</v>
      </c>
      <c r="DD324" s="483" t="s">
        <v>1124</v>
      </c>
      <c r="DE324" s="483">
        <f>IFERROR(SUM(VLOOKUP($BS324,'État &amp; Plan d''action'!$B$6:$Z$1113,18,FALSE),VLOOKUP($BS324,'État &amp; Plan d''action'!$B$6:$Z$1113,20,FALSE))/(VLOOKUP($BS324,'Données par municipalité'!$B$4:$L$1113,11,FALSE)),"")</f>
        <v>0.59606596463341943</v>
      </c>
      <c r="DF324" s="483">
        <f>IFERROR(SUM(VLOOKUP($BS324,'État &amp; Plan d''action'!$B$6:$Z$1113,19,FALSE),VLOOKUP($BS324,'État &amp; Plan d''action'!$B$6:$Z$1113,21,FALSE))/(VLOOKUP($BS324,'Données par municipalité'!$B$4:$L$1113,11,FALSE)),"")</f>
        <v>1.6888535664613549</v>
      </c>
      <c r="DG324" s="476" t="s">
        <v>4723</v>
      </c>
      <c r="DH324" s="484">
        <v>0</v>
      </c>
      <c r="DI324" s="484">
        <v>0</v>
      </c>
      <c r="DJ324" s="484">
        <v>0</v>
      </c>
      <c r="DK324" s="484">
        <v>1</v>
      </c>
      <c r="DL324" s="484">
        <v>0</v>
      </c>
      <c r="DM324" s="484">
        <v>1</v>
      </c>
      <c r="DN324" s="484" t="s">
        <v>1124</v>
      </c>
      <c r="DO324" s="484" t="s">
        <v>1124</v>
      </c>
      <c r="DP324" s="484" t="s">
        <v>1124</v>
      </c>
      <c r="DQ324" s="484">
        <f>IF(VLOOKUP($BS324,'État &amp; Plan d''action'!$B$6:$AJ$1113,28,FALSE)="","",VLOOKUP($BS324,'État &amp; Plan d''action'!$B$6:$AJ$1113,28,FALSE))</f>
        <v>1</v>
      </c>
      <c r="DR324" s="70">
        <f>IF(VLOOKUP($BS324,'État &amp; Plan d''action'!$B$6:$AJ$1113,29,FALSE)="","",VLOOKUP($BS324,'État &amp; Plan d''action'!$B$6:$AJ$1113,29,FALSE))</f>
        <v>0</v>
      </c>
      <c r="DS324" s="70">
        <f>IF(VLOOKUP($BS324,'État &amp; Plan d''action'!$B$6:$AJ$1113,30,FALSE)="","",VLOOKUP($BS324,'État &amp; Plan d''action'!$B$6:$AJ$1113,30,FALSE))</f>
        <v>0</v>
      </c>
      <c r="DT324" s="70" t="s">
        <v>1124</v>
      </c>
      <c r="DU324" s="485" t="s">
        <v>1124</v>
      </c>
      <c r="DV324" s="485">
        <v>28.783629679719553</v>
      </c>
      <c r="DW324" s="70" t="s">
        <v>1124</v>
      </c>
      <c r="DX324" s="70" t="s">
        <v>1124</v>
      </c>
      <c r="DY324" s="70" t="s">
        <v>1124</v>
      </c>
      <c r="DZ324" s="70">
        <f>VLOOKUP($BS324,'État &amp; Plan d''action'!$B$6:$AH$1113,31,FALSE)</f>
        <v>3</v>
      </c>
      <c r="EA324" s="70">
        <f>VLOOKUP($BS324,'État &amp; Plan d''action'!$B$6:$AH$1113,32,FALSE)</f>
        <v>0</v>
      </c>
      <c r="EB324" s="70">
        <f>VLOOKUP($BS324,'État &amp; Plan d''action'!$B$6:$AH$1113,33,FALSE)</f>
        <v>0</v>
      </c>
      <c r="EC324" s="70" t="s">
        <v>1124</v>
      </c>
      <c r="ED324" s="70" t="s">
        <v>1124</v>
      </c>
      <c r="EE324" s="70" t="s">
        <v>1124</v>
      </c>
      <c r="EF324" s="70" t="s">
        <v>1124</v>
      </c>
      <c r="EG324" s="70" t="s">
        <v>1124</v>
      </c>
      <c r="EH324" s="72"/>
      <c r="EI324" s="72">
        <v>981</v>
      </c>
    </row>
    <row r="325" spans="71:139" x14ac:dyDescent="0.35">
      <c r="BS325" s="486">
        <v>42045</v>
      </c>
      <c r="BT325" s="479" t="s">
        <v>384</v>
      </c>
      <c r="BU325" s="479">
        <v>5</v>
      </c>
      <c r="BV325" s="476" t="s">
        <v>1187</v>
      </c>
      <c r="BW325" s="476" t="s">
        <v>1187</v>
      </c>
      <c r="BX325" s="476" t="s">
        <v>1187</v>
      </c>
      <c r="BY325" s="476" t="s">
        <v>1187</v>
      </c>
      <c r="BZ325" s="476" t="s">
        <v>1187</v>
      </c>
      <c r="CA325" s="476" t="s">
        <v>1187</v>
      </c>
      <c r="CB325" s="476" t="s">
        <v>1187</v>
      </c>
      <c r="CC325" s="476" t="s">
        <v>1187</v>
      </c>
      <c r="CD325" s="476" t="s">
        <v>1187</v>
      </c>
      <c r="CE325" s="476" t="s">
        <v>1188</v>
      </c>
      <c r="CF325" s="476" t="s">
        <v>1188</v>
      </c>
      <c r="CG325" s="476" t="s">
        <v>1188</v>
      </c>
      <c r="CH325" s="476" t="s">
        <v>1188</v>
      </c>
      <c r="CI325" s="476" t="s">
        <v>1187</v>
      </c>
      <c r="CJ325" s="476" t="s">
        <v>1188</v>
      </c>
      <c r="CK325" s="476" t="s">
        <v>1188</v>
      </c>
      <c r="CL325" s="476" t="s">
        <v>1188</v>
      </c>
      <c r="CM325" s="476" t="str">
        <f>IF(VLOOKUP(BS325,'Données par municipalité'!$B$6:$E$1113,4,FALSE)="","non","oui")</f>
        <v>non</v>
      </c>
      <c r="CN325" s="410">
        <v>289.33024714403047</v>
      </c>
      <c r="CO325" s="410">
        <v>232.88163016646618</v>
      </c>
      <c r="CP325" s="410">
        <v>223.55746104778839</v>
      </c>
      <c r="CQ325" s="410">
        <v>418.11135716545397</v>
      </c>
      <c r="CR325" s="410"/>
      <c r="CS325" s="410">
        <v>410.78476017000611</v>
      </c>
      <c r="CT325" s="410">
        <v>358.6889113863474</v>
      </c>
      <c r="CU325" s="410">
        <v>521</v>
      </c>
      <c r="CV325" s="410" t="str">
        <f>IF(VLOOKUP(BS325,'Données par municipalité'!$B$6:$F$1113,4,FALSE)="","",VLOOKUP(BS325,'Données par municipalité'!$B$6:$F$1113,4,FALSE))</f>
        <v/>
      </c>
      <c r="CW325" s="476" t="s">
        <v>4723</v>
      </c>
      <c r="CX325" s="483">
        <v>0</v>
      </c>
      <c r="CY325" s="483">
        <v>0</v>
      </c>
      <c r="CZ325" s="483">
        <v>0</v>
      </c>
      <c r="DA325" s="483" t="s">
        <v>1124</v>
      </c>
      <c r="DB325" s="483">
        <v>0</v>
      </c>
      <c r="DC325" s="483">
        <v>1</v>
      </c>
      <c r="DD325" s="483">
        <v>0.52252252252252251</v>
      </c>
      <c r="DE325" s="483" t="str">
        <f>IFERROR(SUM(VLOOKUP($BS325,'État &amp; Plan d''action'!$B$6:$Z$1113,18,FALSE),VLOOKUP($BS325,'État &amp; Plan d''action'!$B$6:$Z$1113,20,FALSE))/(VLOOKUP($BS325,'Données par municipalité'!$B$4:$L$1113,11,FALSE)),"")</f>
        <v/>
      </c>
      <c r="DF325" s="483" t="str">
        <f>IFERROR(SUM(VLOOKUP($BS325,'État &amp; Plan d''action'!$B$6:$Z$1113,19,FALSE),VLOOKUP($BS325,'État &amp; Plan d''action'!$B$6:$Z$1113,21,FALSE))/(VLOOKUP($BS325,'Données par municipalité'!$B$4:$L$1113,11,FALSE)),"")</f>
        <v/>
      </c>
      <c r="DG325" s="476" t="s">
        <v>4723</v>
      </c>
      <c r="DH325" s="484">
        <v>0</v>
      </c>
      <c r="DI325" s="484">
        <v>2</v>
      </c>
      <c r="DJ325" s="484">
        <v>2</v>
      </c>
      <c r="DK325" s="484">
        <v>0</v>
      </c>
      <c r="DL325" s="484">
        <v>3</v>
      </c>
      <c r="DM325" s="484">
        <v>2</v>
      </c>
      <c r="DN325" s="484">
        <v>0</v>
      </c>
      <c r="DO325" s="484">
        <v>0</v>
      </c>
      <c r="DP325" s="484">
        <v>0</v>
      </c>
      <c r="DQ325" s="484" t="str">
        <f>IF(VLOOKUP($BS325,'État &amp; Plan d''action'!$B$6:$AJ$1113,28,FALSE)="","",VLOOKUP($BS325,'État &amp; Plan d''action'!$B$6:$AJ$1113,28,FALSE))</f>
        <v/>
      </c>
      <c r="DR325" s="70" t="str">
        <f>IF(VLOOKUP($BS325,'État &amp; Plan d''action'!$B$6:$AJ$1113,29,FALSE)="","",VLOOKUP($BS325,'État &amp; Plan d''action'!$B$6:$AJ$1113,29,FALSE))</f>
        <v/>
      </c>
      <c r="DS325" s="70" t="str">
        <f>IF(VLOOKUP($BS325,'État &amp; Plan d''action'!$B$6:$AJ$1113,30,FALSE)="","",VLOOKUP($BS325,'État &amp; Plan d''action'!$B$6:$AJ$1113,30,FALSE))</f>
        <v/>
      </c>
      <c r="DT325" s="70">
        <v>445</v>
      </c>
      <c r="DU325" s="485">
        <v>0.82383251470648478</v>
      </c>
      <c r="DV325" s="485" t="s">
        <v>1124</v>
      </c>
      <c r="DW325" s="70">
        <v>0</v>
      </c>
      <c r="DX325" s="70">
        <v>0</v>
      </c>
      <c r="DY325" s="70">
        <v>0</v>
      </c>
      <c r="DZ325" s="70" t="str">
        <f>VLOOKUP($BS325,'État &amp; Plan d''action'!$B$6:$AH$1113,31,FALSE)</f>
        <v/>
      </c>
      <c r="EA325" s="70" t="str">
        <f>VLOOKUP($BS325,'État &amp; Plan d''action'!$B$6:$AH$1113,32,FALSE)</f>
        <v/>
      </c>
      <c r="EB325" s="70" t="str">
        <f>VLOOKUP($BS325,'État &amp; Plan d''action'!$B$6:$AH$1113,33,FALSE)</f>
        <v/>
      </c>
      <c r="EC325" s="70">
        <v>0</v>
      </c>
      <c r="ED325" s="70">
        <v>5.1040000000000001</v>
      </c>
      <c r="EE325" s="70">
        <v>0</v>
      </c>
      <c r="EF325" s="70">
        <v>0</v>
      </c>
      <c r="EG325" s="70">
        <v>0</v>
      </c>
      <c r="EH325" s="72">
        <v>55</v>
      </c>
      <c r="EI325" s="72">
        <v>640</v>
      </c>
    </row>
    <row r="326" spans="71:139" x14ac:dyDescent="0.35">
      <c r="BS326" s="486">
        <v>99005</v>
      </c>
      <c r="BT326" s="479" t="s">
        <v>1019</v>
      </c>
      <c r="BU326" s="479">
        <v>10</v>
      </c>
      <c r="BV326" s="476" t="s">
        <v>1187</v>
      </c>
      <c r="BW326" s="476" t="s">
        <v>1187</v>
      </c>
      <c r="BX326" s="476" t="s">
        <v>1187</v>
      </c>
      <c r="BY326" s="476" t="s">
        <v>1187</v>
      </c>
      <c r="BZ326" s="476" t="s">
        <v>1187</v>
      </c>
      <c r="CA326" s="476" t="s">
        <v>1187</v>
      </c>
      <c r="CB326" s="476" t="s">
        <v>1187</v>
      </c>
      <c r="CC326" s="476" t="s">
        <v>1187</v>
      </c>
      <c r="CD326" s="476" t="s">
        <v>1187</v>
      </c>
      <c r="CE326" s="476" t="s">
        <v>1187</v>
      </c>
      <c r="CF326" s="476" t="s">
        <v>1187</v>
      </c>
      <c r="CG326" s="476" t="s">
        <v>1187</v>
      </c>
      <c r="CH326" s="476" t="s">
        <v>1187</v>
      </c>
      <c r="CI326" s="476" t="s">
        <v>1187</v>
      </c>
      <c r="CJ326" s="476" t="s">
        <v>1187</v>
      </c>
      <c r="CK326" s="476" t="s">
        <v>1187</v>
      </c>
      <c r="CL326" s="476" t="s">
        <v>1187</v>
      </c>
      <c r="CM326" s="476" t="str">
        <f>IF(VLOOKUP(BS326,'Données par municipalité'!$B$6:$E$1113,4,FALSE)="","non","oui")</f>
        <v>non</v>
      </c>
      <c r="CN326" s="410" t="s">
        <v>1124</v>
      </c>
      <c r="CO326" s="410" t="s">
        <v>1124</v>
      </c>
      <c r="CP326" s="410"/>
      <c r="CQ326" s="410"/>
      <c r="CR326" s="410"/>
      <c r="CS326" s="410" t="s">
        <v>1124</v>
      </c>
      <c r="CT326" s="410"/>
      <c r="CU326" s="410" t="s">
        <v>1124</v>
      </c>
      <c r="CV326" s="410" t="str">
        <f>IF(VLOOKUP(BS326,'Données par municipalité'!$B$6:$F$1113,4,FALSE)="","",VLOOKUP(BS326,'Données par municipalité'!$B$6:$F$1113,4,FALSE))</f>
        <v/>
      </c>
      <c r="CW326" s="476" t="s">
        <v>4723</v>
      </c>
      <c r="CX326" s="483" t="s">
        <v>1124</v>
      </c>
      <c r="CY326" s="483" t="s">
        <v>1124</v>
      </c>
      <c r="CZ326" s="483" t="s">
        <v>1124</v>
      </c>
      <c r="DA326" s="483" t="s">
        <v>1124</v>
      </c>
      <c r="DB326" s="483" t="s">
        <v>1124</v>
      </c>
      <c r="DC326" s="483" t="s">
        <v>1124</v>
      </c>
      <c r="DD326" s="483" t="s">
        <v>1124</v>
      </c>
      <c r="DE326" s="483" t="str">
        <f>IFERROR(SUM(VLOOKUP($BS326,'État &amp; Plan d''action'!$B$6:$Z$1113,18,FALSE),VLOOKUP($BS326,'État &amp; Plan d''action'!$B$6:$Z$1113,20,FALSE))/(VLOOKUP($BS326,'Données par municipalité'!$B$4:$L$1113,11,FALSE)),"")</f>
        <v/>
      </c>
      <c r="DF326" s="483" t="str">
        <f>IFERROR(SUM(VLOOKUP($BS326,'État &amp; Plan d''action'!$B$6:$Z$1113,19,FALSE),VLOOKUP($BS326,'État &amp; Plan d''action'!$B$6:$Z$1113,21,FALSE))/(VLOOKUP($BS326,'Données par municipalité'!$B$4:$L$1113,11,FALSE)),"")</f>
        <v/>
      </c>
      <c r="DG326" s="476" t="s">
        <v>4723</v>
      </c>
      <c r="DH326" s="484">
        <v>4</v>
      </c>
      <c r="DI326" s="484">
        <v>3</v>
      </c>
      <c r="DJ326" s="484">
        <v>0</v>
      </c>
      <c r="DK326" s="484">
        <v>1</v>
      </c>
      <c r="DL326" s="484" t="s">
        <v>1124</v>
      </c>
      <c r="DM326" s="484" t="s">
        <v>1124</v>
      </c>
      <c r="DN326" s="484" t="s">
        <v>1124</v>
      </c>
      <c r="DO326" s="484" t="s">
        <v>1124</v>
      </c>
      <c r="DP326" s="484" t="s">
        <v>1124</v>
      </c>
      <c r="DQ326" s="484" t="str">
        <f>IF(VLOOKUP($BS326,'État &amp; Plan d''action'!$B$6:$AJ$1113,28,FALSE)="","",VLOOKUP($BS326,'État &amp; Plan d''action'!$B$6:$AJ$1113,28,FALSE))</f>
        <v/>
      </c>
      <c r="DR326" s="70" t="str">
        <f>IF(VLOOKUP($BS326,'État &amp; Plan d''action'!$B$6:$AJ$1113,29,FALSE)="","",VLOOKUP($BS326,'État &amp; Plan d''action'!$B$6:$AJ$1113,29,FALSE))</f>
        <v/>
      </c>
      <c r="DS326" s="70" t="str">
        <f>IF(VLOOKUP($BS326,'État &amp; Plan d''action'!$B$6:$AJ$1113,30,FALSE)="","",VLOOKUP($BS326,'État &amp; Plan d''action'!$B$6:$AJ$1113,30,FALSE))</f>
        <v/>
      </c>
      <c r="DT326" s="70" t="s">
        <v>1124</v>
      </c>
      <c r="DU326" s="485" t="s">
        <v>1124</v>
      </c>
      <c r="DV326" s="485" t="s">
        <v>1124</v>
      </c>
      <c r="DW326" s="70" t="s">
        <v>1124</v>
      </c>
      <c r="DX326" s="70" t="s">
        <v>1124</v>
      </c>
      <c r="DY326" s="70" t="s">
        <v>1124</v>
      </c>
      <c r="DZ326" s="70" t="str">
        <f>VLOOKUP($BS326,'État &amp; Plan d''action'!$B$6:$AH$1113,31,FALSE)</f>
        <v/>
      </c>
      <c r="EA326" s="70" t="str">
        <f>VLOOKUP($BS326,'État &amp; Plan d''action'!$B$6:$AH$1113,32,FALSE)</f>
        <v/>
      </c>
      <c r="EB326" s="70" t="str">
        <f>VLOOKUP($BS326,'État &amp; Plan d''action'!$B$6:$AH$1113,33,FALSE)</f>
        <v/>
      </c>
      <c r="EC326" s="70" t="s">
        <v>1124</v>
      </c>
      <c r="ED326" s="70" t="s">
        <v>1124</v>
      </c>
      <c r="EE326" s="70" t="s">
        <v>1124</v>
      </c>
      <c r="EF326" s="70" t="s">
        <v>1124</v>
      </c>
      <c r="EG326" s="70" t="s">
        <v>1124</v>
      </c>
      <c r="EH326" s="72"/>
      <c r="EI326" s="72">
        <v>2193</v>
      </c>
    </row>
    <row r="327" spans="71:139" x14ac:dyDescent="0.35">
      <c r="BS327" s="486">
        <v>33123</v>
      </c>
      <c r="BT327" s="479" t="s">
        <v>284</v>
      </c>
      <c r="BU327" s="479">
        <v>12</v>
      </c>
      <c r="BV327" s="476" t="s">
        <v>1188</v>
      </c>
      <c r="BW327" s="476" t="s">
        <v>1188</v>
      </c>
      <c r="BX327" s="476" t="s">
        <v>1187</v>
      </c>
      <c r="BY327" s="476" t="s">
        <v>1187</v>
      </c>
      <c r="BZ327" s="476" t="s">
        <v>1187</v>
      </c>
      <c r="CA327" s="476" t="s">
        <v>1187</v>
      </c>
      <c r="CB327" s="476" t="s">
        <v>1187</v>
      </c>
      <c r="CC327" s="476" t="s">
        <v>1187</v>
      </c>
      <c r="CD327" s="476" t="s">
        <v>1187</v>
      </c>
      <c r="CE327" s="476" t="s">
        <v>1187</v>
      </c>
      <c r="CF327" s="476" t="s">
        <v>1187</v>
      </c>
      <c r="CG327" s="476" t="s">
        <v>1187</v>
      </c>
      <c r="CH327" s="476" t="s">
        <v>1188</v>
      </c>
      <c r="CI327" s="476" t="s">
        <v>1187</v>
      </c>
      <c r="CJ327" s="476" t="s">
        <v>1187</v>
      </c>
      <c r="CK327" s="476" t="s">
        <v>1187</v>
      </c>
      <c r="CL327" s="476" t="s">
        <v>1188</v>
      </c>
      <c r="CM327" s="476" t="str">
        <f>IF(VLOOKUP(BS327,'Données par municipalité'!$B$6:$E$1113,4,FALSE)="","non","oui")</f>
        <v>non</v>
      </c>
      <c r="CN327" s="410" t="s">
        <v>1124</v>
      </c>
      <c r="CO327" s="410" t="s">
        <v>1124</v>
      </c>
      <c r="CP327" s="410"/>
      <c r="CQ327" s="410">
        <v>217.61335119537057</v>
      </c>
      <c r="CR327" s="410"/>
      <c r="CS327" s="410" t="s">
        <v>1124</v>
      </c>
      <c r="CT327" s="410"/>
      <c r="CU327" s="410">
        <v>489</v>
      </c>
      <c r="CV327" s="410" t="str">
        <f>IF(VLOOKUP(BS327,'Données par municipalité'!$B$6:$F$1113,4,FALSE)="","",VLOOKUP(BS327,'Données par municipalité'!$B$6:$F$1113,4,FALSE))</f>
        <v/>
      </c>
      <c r="CW327" s="476" t="s">
        <v>4723</v>
      </c>
      <c r="CX327" s="483" t="s">
        <v>1124</v>
      </c>
      <c r="CY327" s="483" t="s">
        <v>1124</v>
      </c>
      <c r="CZ327" s="483">
        <v>0</v>
      </c>
      <c r="DA327" s="483" t="s">
        <v>1124</v>
      </c>
      <c r="DB327" s="483" t="s">
        <v>1124</v>
      </c>
      <c r="DC327" s="483" t="s">
        <v>1124</v>
      </c>
      <c r="DD327" s="483" t="s">
        <v>1124</v>
      </c>
      <c r="DE327" s="483" t="str">
        <f>IFERROR(SUM(VLOOKUP($BS327,'État &amp; Plan d''action'!$B$6:$Z$1113,18,FALSE),VLOOKUP($BS327,'État &amp; Plan d''action'!$B$6:$Z$1113,20,FALSE))/(VLOOKUP($BS327,'Données par municipalité'!$B$4:$L$1113,11,FALSE)),"")</f>
        <v/>
      </c>
      <c r="DF327" s="483" t="str">
        <f>IFERROR(SUM(VLOOKUP($BS327,'État &amp; Plan d''action'!$B$6:$Z$1113,19,FALSE),VLOOKUP($BS327,'État &amp; Plan d''action'!$B$6:$Z$1113,21,FALSE))/(VLOOKUP($BS327,'Données par municipalité'!$B$4:$L$1113,11,FALSE)),"")</f>
        <v/>
      </c>
      <c r="DG327" s="476" t="s">
        <v>4723</v>
      </c>
      <c r="DH327" s="484" t="s">
        <v>1124</v>
      </c>
      <c r="DI327" s="484" t="s">
        <v>1124</v>
      </c>
      <c r="DJ327" s="484">
        <v>0</v>
      </c>
      <c r="DK327" s="484">
        <v>0</v>
      </c>
      <c r="DL327" s="484" t="s">
        <v>1124</v>
      </c>
      <c r="DM327" s="484" t="s">
        <v>1124</v>
      </c>
      <c r="DN327" s="484">
        <v>0</v>
      </c>
      <c r="DO327" s="484">
        <v>0</v>
      </c>
      <c r="DP327" s="484">
        <v>0</v>
      </c>
      <c r="DQ327" s="484" t="str">
        <f>IF(VLOOKUP($BS327,'État &amp; Plan d''action'!$B$6:$AJ$1113,28,FALSE)="","",VLOOKUP($BS327,'État &amp; Plan d''action'!$B$6:$AJ$1113,28,FALSE))</f>
        <v/>
      </c>
      <c r="DR327" s="70" t="str">
        <f>IF(VLOOKUP($BS327,'État &amp; Plan d''action'!$B$6:$AJ$1113,29,FALSE)="","",VLOOKUP($BS327,'État &amp; Plan d''action'!$B$6:$AJ$1113,29,FALSE))</f>
        <v/>
      </c>
      <c r="DS327" s="70" t="str">
        <f>IF(VLOOKUP($BS327,'État &amp; Plan d''action'!$B$6:$AJ$1113,30,FALSE)="","",VLOOKUP($BS327,'État &amp; Plan d''action'!$B$6:$AJ$1113,30,FALSE))</f>
        <v/>
      </c>
      <c r="DT327" s="70">
        <v>221</v>
      </c>
      <c r="DU327" s="485" t="s">
        <v>1124</v>
      </c>
      <c r="DV327" s="485" t="s">
        <v>1124</v>
      </c>
      <c r="DW327" s="70">
        <v>0</v>
      </c>
      <c r="DX327" s="70">
        <v>0</v>
      </c>
      <c r="DY327" s="70">
        <v>0</v>
      </c>
      <c r="DZ327" s="70" t="str">
        <f>VLOOKUP($BS327,'État &amp; Plan d''action'!$B$6:$AH$1113,31,FALSE)</f>
        <v/>
      </c>
      <c r="EA327" s="70" t="str">
        <f>VLOOKUP($BS327,'État &amp; Plan d''action'!$B$6:$AH$1113,32,FALSE)</f>
        <v/>
      </c>
      <c r="EB327" s="70" t="str">
        <f>VLOOKUP($BS327,'État &amp; Plan d''action'!$B$6:$AH$1113,33,FALSE)</f>
        <v/>
      </c>
      <c r="EC327" s="70">
        <v>0</v>
      </c>
      <c r="ED327" s="70">
        <v>0</v>
      </c>
      <c r="EE327" s="70">
        <v>0</v>
      </c>
      <c r="EF327" s="70">
        <v>0</v>
      </c>
      <c r="EG327" s="70">
        <v>0</v>
      </c>
      <c r="EH327" s="72">
        <v>56</v>
      </c>
      <c r="EI327" s="72">
        <v>502</v>
      </c>
    </row>
    <row r="328" spans="71:139" x14ac:dyDescent="0.35">
      <c r="BS328" s="486">
        <v>49020</v>
      </c>
      <c r="BT328" s="479" t="s">
        <v>466</v>
      </c>
      <c r="BU328" s="479">
        <v>17</v>
      </c>
      <c r="BV328" s="476" t="s">
        <v>1188</v>
      </c>
      <c r="BW328" s="476" t="s">
        <v>1188</v>
      </c>
      <c r="BX328" s="476" t="s">
        <v>1188</v>
      </c>
      <c r="BY328" s="476" t="s">
        <v>1188</v>
      </c>
      <c r="BZ328" s="476" t="s">
        <v>1188</v>
      </c>
      <c r="CA328" s="476" t="s">
        <v>1188</v>
      </c>
      <c r="CB328" s="476" t="s">
        <v>1188</v>
      </c>
      <c r="CC328" s="476" t="s">
        <v>1188</v>
      </c>
      <c r="CD328" s="476" t="s">
        <v>1188</v>
      </c>
      <c r="CE328" s="476" t="s">
        <v>1187</v>
      </c>
      <c r="CF328" s="476" t="s">
        <v>1187</v>
      </c>
      <c r="CG328" s="476" t="s">
        <v>1187</v>
      </c>
      <c r="CH328" s="476" t="s">
        <v>1187</v>
      </c>
      <c r="CI328" s="476" t="s">
        <v>1187</v>
      </c>
      <c r="CJ328" s="476" t="s">
        <v>1187</v>
      </c>
      <c r="CK328" s="476" t="s">
        <v>1187</v>
      </c>
      <c r="CL328" s="476" t="s">
        <v>1187</v>
      </c>
      <c r="CM328" s="476" t="str">
        <f>IF(VLOOKUP(BS328,'Données par municipalité'!$B$6:$E$1113,4,FALSE)="","non","oui")</f>
        <v>non</v>
      </c>
      <c r="CN328" s="410" t="s">
        <v>1124</v>
      </c>
      <c r="CO328" s="410" t="s">
        <v>1124</v>
      </c>
      <c r="CP328" s="410"/>
      <c r="CQ328" s="410"/>
      <c r="CR328" s="410"/>
      <c r="CS328" s="410" t="s">
        <v>1124</v>
      </c>
      <c r="CT328" s="410"/>
      <c r="CU328" s="410" t="s">
        <v>1124</v>
      </c>
      <c r="CV328" s="410" t="str">
        <f>IF(VLOOKUP(BS328,'Données par municipalité'!$B$6:$F$1113,4,FALSE)="","",VLOOKUP(BS328,'Données par municipalité'!$B$6:$F$1113,4,FALSE))</f>
        <v/>
      </c>
      <c r="CW328" s="476" t="s">
        <v>4723</v>
      </c>
      <c r="CX328" s="483" t="s">
        <v>1124</v>
      </c>
      <c r="CY328" s="483" t="s">
        <v>1124</v>
      </c>
      <c r="CZ328" s="483" t="s">
        <v>1124</v>
      </c>
      <c r="DA328" s="483" t="s">
        <v>1124</v>
      </c>
      <c r="DB328" s="483" t="s">
        <v>1124</v>
      </c>
      <c r="DC328" s="483" t="s">
        <v>1124</v>
      </c>
      <c r="DD328" s="483" t="s">
        <v>1124</v>
      </c>
      <c r="DE328" s="483" t="str">
        <f>IFERROR(SUM(VLOOKUP($BS328,'État &amp; Plan d''action'!$B$6:$Z$1113,18,FALSE),VLOOKUP($BS328,'État &amp; Plan d''action'!$B$6:$Z$1113,20,FALSE))/(VLOOKUP($BS328,'Données par municipalité'!$B$4:$L$1113,11,FALSE)),"")</f>
        <v/>
      </c>
      <c r="DF328" s="483" t="str">
        <f>IFERROR(SUM(VLOOKUP($BS328,'État &amp; Plan d''action'!$B$6:$Z$1113,19,FALSE),VLOOKUP($BS328,'État &amp; Plan d''action'!$B$6:$Z$1113,21,FALSE))/(VLOOKUP($BS328,'Données par municipalité'!$B$4:$L$1113,11,FALSE)),"")</f>
        <v/>
      </c>
      <c r="DG328" s="476" t="s">
        <v>4723</v>
      </c>
      <c r="DH328" s="484" t="s">
        <v>1124</v>
      </c>
      <c r="DI328" s="484" t="s">
        <v>1124</v>
      </c>
      <c r="DJ328" s="484">
        <v>0</v>
      </c>
      <c r="DK328" s="484">
        <v>0</v>
      </c>
      <c r="DL328" s="484" t="s">
        <v>1124</v>
      </c>
      <c r="DM328" s="484" t="s">
        <v>1124</v>
      </c>
      <c r="DN328" s="484" t="s">
        <v>1124</v>
      </c>
      <c r="DO328" s="484" t="s">
        <v>1124</v>
      </c>
      <c r="DP328" s="484" t="s">
        <v>1124</v>
      </c>
      <c r="DQ328" s="484" t="str">
        <f>IF(VLOOKUP($BS328,'État &amp; Plan d''action'!$B$6:$AJ$1113,28,FALSE)="","",VLOOKUP($BS328,'État &amp; Plan d''action'!$B$6:$AJ$1113,28,FALSE))</f>
        <v/>
      </c>
      <c r="DR328" s="70" t="str">
        <f>IF(VLOOKUP($BS328,'État &amp; Plan d''action'!$B$6:$AJ$1113,29,FALSE)="","",VLOOKUP($BS328,'État &amp; Plan d''action'!$B$6:$AJ$1113,29,FALSE))</f>
        <v/>
      </c>
      <c r="DS328" s="70" t="str">
        <f>IF(VLOOKUP($BS328,'État &amp; Plan d''action'!$B$6:$AJ$1113,30,FALSE)="","",VLOOKUP($BS328,'État &amp; Plan d''action'!$B$6:$AJ$1113,30,FALSE))</f>
        <v/>
      </c>
      <c r="DT328" s="70" t="s">
        <v>1124</v>
      </c>
      <c r="DU328" s="485" t="s">
        <v>1124</v>
      </c>
      <c r="DV328" s="485" t="s">
        <v>1124</v>
      </c>
      <c r="DW328" s="70" t="s">
        <v>1124</v>
      </c>
      <c r="DX328" s="70" t="s">
        <v>1124</v>
      </c>
      <c r="DY328" s="70" t="s">
        <v>1124</v>
      </c>
      <c r="DZ328" s="70" t="str">
        <f>VLOOKUP($BS328,'État &amp; Plan d''action'!$B$6:$AH$1113,31,FALSE)</f>
        <v/>
      </c>
      <c r="EA328" s="70" t="str">
        <f>VLOOKUP($BS328,'État &amp; Plan d''action'!$B$6:$AH$1113,32,FALSE)</f>
        <v/>
      </c>
      <c r="EB328" s="70" t="str">
        <f>VLOOKUP($BS328,'État &amp; Plan d''action'!$B$6:$AH$1113,33,FALSE)</f>
        <v/>
      </c>
      <c r="EC328" s="70" t="s">
        <v>1124</v>
      </c>
      <c r="ED328" s="70" t="s">
        <v>1124</v>
      </c>
      <c r="EE328" s="70" t="s">
        <v>1124</v>
      </c>
      <c r="EF328" s="70" t="s">
        <v>1124</v>
      </c>
      <c r="EG328" s="70" t="s">
        <v>1124</v>
      </c>
      <c r="EH328" s="72"/>
      <c r="EI328" s="72">
        <v>928</v>
      </c>
    </row>
    <row r="329" spans="71:139" x14ac:dyDescent="0.35">
      <c r="BS329" s="486">
        <v>13050</v>
      </c>
      <c r="BT329" s="479" t="s">
        <v>49</v>
      </c>
      <c r="BU329" s="479">
        <v>1</v>
      </c>
      <c r="BV329" s="476" t="s">
        <v>1187</v>
      </c>
      <c r="BW329" s="476" t="s">
        <v>1187</v>
      </c>
      <c r="BX329" s="476" t="s">
        <v>1187</v>
      </c>
      <c r="BY329" s="476" t="s">
        <v>1187</v>
      </c>
      <c r="BZ329" s="476" t="s">
        <v>1187</v>
      </c>
      <c r="CA329" s="476" t="s">
        <v>1187</v>
      </c>
      <c r="CB329" s="476" t="s">
        <v>1187</v>
      </c>
      <c r="CC329" s="476" t="s">
        <v>1187</v>
      </c>
      <c r="CD329" s="476" t="s">
        <v>1187</v>
      </c>
      <c r="CE329" s="476" t="s">
        <v>1188</v>
      </c>
      <c r="CF329" s="476" t="s">
        <v>1188</v>
      </c>
      <c r="CG329" s="476" t="s">
        <v>1187</v>
      </c>
      <c r="CH329" s="476" t="s">
        <v>1188</v>
      </c>
      <c r="CI329" s="476" t="s">
        <v>1188</v>
      </c>
      <c r="CJ329" s="476" t="s">
        <v>1188</v>
      </c>
      <c r="CK329" s="476" t="s">
        <v>1188</v>
      </c>
      <c r="CL329" s="476" t="s">
        <v>1188</v>
      </c>
      <c r="CM329" s="476" t="str">
        <f>IF(VLOOKUP(BS329,'Données par municipalité'!$B$6:$E$1113,4,FALSE)="","non","oui")</f>
        <v>oui</v>
      </c>
      <c r="CN329" s="410">
        <v>346.53702461921642</v>
      </c>
      <c r="CO329" s="410">
        <v>354.48670182276743</v>
      </c>
      <c r="CP329" s="410"/>
      <c r="CQ329" s="410">
        <v>297.12675590633245</v>
      </c>
      <c r="CR329" s="410">
        <v>363.48295276042109</v>
      </c>
      <c r="CS329" s="410">
        <v>321.21317485051014</v>
      </c>
      <c r="CT329" s="410">
        <v>301.83978012250628</v>
      </c>
      <c r="CU329" s="410">
        <v>442</v>
      </c>
      <c r="CV329" s="410">
        <f>IF(VLOOKUP(BS329,'Données par municipalité'!$B$6:$F$1113,4,FALSE)="","",VLOOKUP(BS329,'Données par municipalité'!$B$6:$F$1113,4,FALSE))</f>
        <v>369</v>
      </c>
      <c r="CW329" s="476" t="s">
        <v>4723</v>
      </c>
      <c r="CX329" s="483">
        <v>0.75</v>
      </c>
      <c r="CY329" s="483" t="s">
        <v>1124</v>
      </c>
      <c r="CZ329" s="483">
        <v>0</v>
      </c>
      <c r="DA329" s="483">
        <v>1</v>
      </c>
      <c r="DB329" s="483">
        <v>0</v>
      </c>
      <c r="DC329" s="483">
        <v>0</v>
      </c>
      <c r="DD329" s="483">
        <v>0</v>
      </c>
      <c r="DE329" s="483">
        <f>IFERROR(SUM(VLOOKUP($BS329,'État &amp; Plan d''action'!$B$6:$Z$1113,18,FALSE),VLOOKUP($BS329,'État &amp; Plan d''action'!$B$6:$Z$1113,20,FALSE))/(VLOOKUP($BS329,'Données par municipalité'!$B$4:$L$1113,11,FALSE)),"")</f>
        <v>1</v>
      </c>
      <c r="DF329" s="483">
        <f>IFERROR(SUM(VLOOKUP($BS329,'État &amp; Plan d''action'!$B$6:$Z$1113,19,FALSE),VLOOKUP($BS329,'État &amp; Plan d''action'!$B$6:$Z$1113,21,FALSE))/(VLOOKUP($BS329,'Données par municipalité'!$B$4:$L$1113,11,FALSE)),"")</f>
        <v>1</v>
      </c>
      <c r="DG329" s="476" t="s">
        <v>4723</v>
      </c>
      <c r="DH329" s="484">
        <v>0</v>
      </c>
      <c r="DI329" s="484" t="s">
        <v>1124</v>
      </c>
      <c r="DJ329" s="484">
        <v>0</v>
      </c>
      <c r="DK329" s="484">
        <v>2</v>
      </c>
      <c r="DL329" s="484">
        <v>0</v>
      </c>
      <c r="DM329" s="484">
        <v>0</v>
      </c>
      <c r="DN329" s="484">
        <v>0</v>
      </c>
      <c r="DO329" s="484">
        <v>0</v>
      </c>
      <c r="DP329" s="484">
        <v>0</v>
      </c>
      <c r="DQ329" s="484">
        <f>IF(VLOOKUP($BS329,'État &amp; Plan d''action'!$B$6:$AJ$1113,28,FALSE)="","",VLOOKUP($BS329,'État &amp; Plan d''action'!$B$6:$AJ$1113,28,FALSE))</f>
        <v>0</v>
      </c>
      <c r="DR329" s="70">
        <f>IF(VLOOKUP($BS329,'État &amp; Plan d''action'!$B$6:$AJ$1113,29,FALSE)="","",VLOOKUP($BS329,'État &amp; Plan d''action'!$B$6:$AJ$1113,29,FALSE))</f>
        <v>0</v>
      </c>
      <c r="DS329" s="70">
        <f>IF(VLOOKUP($BS329,'État &amp; Plan d''action'!$B$6:$AJ$1113,30,FALSE)="","",VLOOKUP($BS329,'État &amp; Plan d''action'!$B$6:$AJ$1113,30,FALSE))</f>
        <v>1</v>
      </c>
      <c r="DT329" s="70">
        <v>315</v>
      </c>
      <c r="DU329" s="485">
        <v>1.2605667753307983</v>
      </c>
      <c r="DV329" s="485">
        <v>2.8043372119471996</v>
      </c>
      <c r="DW329" s="70">
        <v>0</v>
      </c>
      <c r="DX329" s="70">
        <v>0</v>
      </c>
      <c r="DY329" s="70">
        <v>0</v>
      </c>
      <c r="DZ329" s="70">
        <f>VLOOKUP($BS329,'État &amp; Plan d''action'!$B$6:$AH$1113,31,FALSE)</f>
        <v>0</v>
      </c>
      <c r="EA329" s="70">
        <f>VLOOKUP($BS329,'État &amp; Plan d''action'!$B$6:$AH$1113,32,FALSE)</f>
        <v>0</v>
      </c>
      <c r="EB329" s="70">
        <f>VLOOKUP($BS329,'État &amp; Plan d''action'!$B$6:$AH$1113,33,FALSE)</f>
        <v>3</v>
      </c>
      <c r="EC329" s="70">
        <v>0</v>
      </c>
      <c r="ED329" s="70">
        <v>0</v>
      </c>
      <c r="EE329" s="70">
        <v>0</v>
      </c>
      <c r="EF329" s="70">
        <v>0</v>
      </c>
      <c r="EG329" s="70">
        <v>0</v>
      </c>
      <c r="EH329" s="72">
        <v>61.364864864864877</v>
      </c>
      <c r="EI329" s="72">
        <v>270</v>
      </c>
    </row>
    <row r="330" spans="71:139" x14ac:dyDescent="0.35">
      <c r="BS330" s="486">
        <v>38020</v>
      </c>
      <c r="BT330" s="479" t="s">
        <v>328</v>
      </c>
      <c r="BU330" s="479">
        <v>17</v>
      </c>
      <c r="BV330" s="476" t="s">
        <v>1188</v>
      </c>
      <c r="BW330" s="476" t="s">
        <v>1188</v>
      </c>
      <c r="BX330" s="476" t="s">
        <v>1188</v>
      </c>
      <c r="BY330" s="476" t="s">
        <v>1188</v>
      </c>
      <c r="BZ330" s="476" t="s">
        <v>1188</v>
      </c>
      <c r="CA330" s="476" t="s">
        <v>1188</v>
      </c>
      <c r="CB330" s="476" t="s">
        <v>1188</v>
      </c>
      <c r="CC330" s="476" t="s">
        <v>1188</v>
      </c>
      <c r="CD330" s="476" t="s">
        <v>1188</v>
      </c>
      <c r="CE330" s="476" t="s">
        <v>1187</v>
      </c>
      <c r="CF330" s="476" t="s">
        <v>1187</v>
      </c>
      <c r="CG330" s="476" t="s">
        <v>1187</v>
      </c>
      <c r="CH330" s="476" t="s">
        <v>1187</v>
      </c>
      <c r="CI330" s="476" t="s">
        <v>1187</v>
      </c>
      <c r="CJ330" s="476" t="s">
        <v>1187</v>
      </c>
      <c r="CK330" s="476" t="s">
        <v>1187</v>
      </c>
      <c r="CL330" s="476" t="s">
        <v>1187</v>
      </c>
      <c r="CM330" s="476" t="str">
        <f>IF(VLOOKUP(BS330,'Données par municipalité'!$B$6:$E$1113,4,FALSE)="","non","oui")</f>
        <v>non</v>
      </c>
      <c r="CN330" s="410" t="s">
        <v>1124</v>
      </c>
      <c r="CO330" s="410" t="s">
        <v>1124</v>
      </c>
      <c r="CP330" s="410"/>
      <c r="CQ330" s="410"/>
      <c r="CR330" s="410"/>
      <c r="CS330" s="410" t="s">
        <v>1124</v>
      </c>
      <c r="CT330" s="410"/>
      <c r="CU330" s="410" t="s">
        <v>1124</v>
      </c>
      <c r="CV330" s="410" t="str">
        <f>IF(VLOOKUP(BS330,'Données par municipalité'!$B$6:$F$1113,4,FALSE)="","",VLOOKUP(BS330,'Données par municipalité'!$B$6:$F$1113,4,FALSE))</f>
        <v/>
      </c>
      <c r="CW330" s="476" t="s">
        <v>4723</v>
      </c>
      <c r="CX330" s="483" t="s">
        <v>1124</v>
      </c>
      <c r="CY330" s="483" t="s">
        <v>1124</v>
      </c>
      <c r="CZ330" s="483" t="s">
        <v>1124</v>
      </c>
      <c r="DA330" s="483" t="s">
        <v>1124</v>
      </c>
      <c r="DB330" s="483" t="s">
        <v>1124</v>
      </c>
      <c r="DC330" s="483" t="s">
        <v>1124</v>
      </c>
      <c r="DD330" s="483" t="s">
        <v>1124</v>
      </c>
      <c r="DE330" s="483" t="str">
        <f>IFERROR(SUM(VLOOKUP($BS330,'État &amp; Plan d''action'!$B$6:$Z$1113,18,FALSE),VLOOKUP($BS330,'État &amp; Plan d''action'!$B$6:$Z$1113,20,FALSE))/(VLOOKUP($BS330,'Données par municipalité'!$B$4:$L$1113,11,FALSE)),"")</f>
        <v/>
      </c>
      <c r="DF330" s="483" t="str">
        <f>IFERROR(SUM(VLOOKUP($BS330,'État &amp; Plan d''action'!$B$6:$Z$1113,19,FALSE),VLOOKUP($BS330,'État &amp; Plan d''action'!$B$6:$Z$1113,21,FALSE))/(VLOOKUP($BS330,'Données par municipalité'!$B$4:$L$1113,11,FALSE)),"")</f>
        <v/>
      </c>
      <c r="DG330" s="476" t="s">
        <v>4723</v>
      </c>
      <c r="DH330" s="484" t="s">
        <v>1124</v>
      </c>
      <c r="DI330" s="484" t="s">
        <v>1124</v>
      </c>
      <c r="DJ330" s="484">
        <v>0</v>
      </c>
      <c r="DK330" s="484">
        <v>0</v>
      </c>
      <c r="DL330" s="484" t="s">
        <v>1124</v>
      </c>
      <c r="DM330" s="484" t="s">
        <v>1124</v>
      </c>
      <c r="DN330" s="484" t="s">
        <v>1124</v>
      </c>
      <c r="DO330" s="484" t="s">
        <v>1124</v>
      </c>
      <c r="DP330" s="484" t="s">
        <v>1124</v>
      </c>
      <c r="DQ330" s="484" t="str">
        <f>IF(VLOOKUP($BS330,'État &amp; Plan d''action'!$B$6:$AJ$1113,28,FALSE)="","",VLOOKUP($BS330,'État &amp; Plan d''action'!$B$6:$AJ$1113,28,FALSE))</f>
        <v/>
      </c>
      <c r="DR330" s="70" t="str">
        <f>IF(VLOOKUP($BS330,'État &amp; Plan d''action'!$B$6:$AJ$1113,29,FALSE)="","",VLOOKUP($BS330,'État &amp; Plan d''action'!$B$6:$AJ$1113,29,FALSE))</f>
        <v/>
      </c>
      <c r="DS330" s="70" t="str">
        <f>IF(VLOOKUP($BS330,'État &amp; Plan d''action'!$B$6:$AJ$1113,30,FALSE)="","",VLOOKUP($BS330,'État &amp; Plan d''action'!$B$6:$AJ$1113,30,FALSE))</f>
        <v/>
      </c>
      <c r="DT330" s="70" t="s">
        <v>1124</v>
      </c>
      <c r="DU330" s="485" t="s">
        <v>1124</v>
      </c>
      <c r="DV330" s="485" t="s">
        <v>1124</v>
      </c>
      <c r="DW330" s="70" t="s">
        <v>1124</v>
      </c>
      <c r="DX330" s="70" t="s">
        <v>1124</v>
      </c>
      <c r="DY330" s="70" t="s">
        <v>1124</v>
      </c>
      <c r="DZ330" s="70" t="str">
        <f>VLOOKUP($BS330,'État &amp; Plan d''action'!$B$6:$AH$1113,31,FALSE)</f>
        <v/>
      </c>
      <c r="EA330" s="70" t="str">
        <f>VLOOKUP($BS330,'État &amp; Plan d''action'!$B$6:$AH$1113,32,FALSE)</f>
        <v/>
      </c>
      <c r="EB330" s="70" t="str">
        <f>VLOOKUP($BS330,'État &amp; Plan d''action'!$B$6:$AH$1113,33,FALSE)</f>
        <v/>
      </c>
      <c r="EC330" s="70" t="s">
        <v>1124</v>
      </c>
      <c r="ED330" s="70" t="s">
        <v>1124</v>
      </c>
      <c r="EE330" s="70" t="s">
        <v>1124</v>
      </c>
      <c r="EF330" s="70" t="s">
        <v>1124</v>
      </c>
      <c r="EG330" s="70" t="s">
        <v>1124</v>
      </c>
      <c r="EH330" s="72"/>
      <c r="EI330" s="72">
        <v>325</v>
      </c>
    </row>
    <row r="331" spans="71:139" x14ac:dyDescent="0.35">
      <c r="BS331" s="486">
        <v>60037</v>
      </c>
      <c r="BT331" s="479" t="s">
        <v>1125</v>
      </c>
      <c r="BU331" s="479">
        <v>14</v>
      </c>
      <c r="BV331" s="476" t="s">
        <v>1188</v>
      </c>
      <c r="BW331" s="476" t="s">
        <v>1188</v>
      </c>
      <c r="BX331" s="476" t="s">
        <v>1188</v>
      </c>
      <c r="BY331" s="476" t="s">
        <v>1188</v>
      </c>
      <c r="BZ331" s="476" t="s">
        <v>1188</v>
      </c>
      <c r="CA331" s="476" t="s">
        <v>1188</v>
      </c>
      <c r="CB331" s="476" t="s">
        <v>1188</v>
      </c>
      <c r="CC331" s="476" t="s">
        <v>1187</v>
      </c>
      <c r="CD331" s="476" t="s">
        <v>1187</v>
      </c>
      <c r="CE331" s="476" t="s">
        <v>1187</v>
      </c>
      <c r="CF331" s="476" t="s">
        <v>1187</v>
      </c>
      <c r="CG331" s="476" t="s">
        <v>1187</v>
      </c>
      <c r="CH331" s="476" t="s">
        <v>1187</v>
      </c>
      <c r="CI331" s="476" t="s">
        <v>1187</v>
      </c>
      <c r="CJ331" s="476" t="s">
        <v>1187</v>
      </c>
      <c r="CK331" s="476" t="s">
        <v>1187</v>
      </c>
      <c r="CL331" s="476" t="s">
        <v>1188</v>
      </c>
      <c r="CM331" s="476" t="str">
        <f>IF(VLOOKUP(BS331,'Données par municipalité'!$B$6:$E$1113,4,FALSE)="","non","oui")</f>
        <v>oui</v>
      </c>
      <c r="CN331" s="410"/>
      <c r="CO331" s="410"/>
      <c r="CP331" s="410"/>
      <c r="CQ331" s="410"/>
      <c r="CR331" s="410"/>
      <c r="CS331" s="410"/>
      <c r="CT331" s="410"/>
      <c r="CU331" s="410">
        <v>288</v>
      </c>
      <c r="CV331" s="410">
        <f>IF(VLOOKUP(BS331,'Données par municipalité'!$B$6:$F$1113,4,FALSE)="","",VLOOKUP(BS331,'Données par municipalité'!$B$6:$F$1113,4,FALSE))</f>
        <v>270</v>
      </c>
      <c r="CW331" s="476" t="s">
        <v>4723</v>
      </c>
      <c r="CX331" s="483" t="s">
        <v>1124</v>
      </c>
      <c r="CY331" s="483" t="s">
        <v>1124</v>
      </c>
      <c r="CZ331" s="483" t="s">
        <v>1124</v>
      </c>
      <c r="DA331" s="483" t="s">
        <v>1124</v>
      </c>
      <c r="DB331" s="483" t="s">
        <v>1124</v>
      </c>
      <c r="DC331" s="483"/>
      <c r="DD331" s="483">
        <v>0</v>
      </c>
      <c r="DE331" s="483">
        <f>IFERROR(SUM(VLOOKUP($BS331,'État &amp; Plan d''action'!$B$6:$Z$1113,18,FALSE),VLOOKUP($BS331,'État &amp; Plan d''action'!$B$6:$Z$1113,20,FALSE))/(VLOOKUP($BS331,'Données par municipalité'!$B$4:$L$1113,11,FALSE)),"")</f>
        <v>1</v>
      </c>
      <c r="DF331" s="483">
        <f>IFERROR(SUM(VLOOKUP($BS331,'État &amp; Plan d''action'!$B$6:$Z$1113,19,FALSE),VLOOKUP($BS331,'État &amp; Plan d''action'!$B$6:$Z$1113,21,FALSE))/(VLOOKUP($BS331,'Données par municipalité'!$B$4:$L$1113,11,FALSE)),"")</f>
        <v>1</v>
      </c>
      <c r="DG331" s="476" t="s">
        <v>4723</v>
      </c>
      <c r="DH331" s="484"/>
      <c r="DI331" s="484"/>
      <c r="DJ331" s="484"/>
      <c r="DK331" s="484"/>
      <c r="DL331" s="484"/>
      <c r="DM331" s="484"/>
      <c r="DN331" s="484">
        <v>5</v>
      </c>
      <c r="DO331" s="484">
        <v>0</v>
      </c>
      <c r="DP331" s="484">
        <v>0</v>
      </c>
      <c r="DQ331" s="484">
        <f>IF(VLOOKUP($BS331,'État &amp; Plan d''action'!$B$6:$AJ$1113,28,FALSE)="","",VLOOKUP($BS331,'État &amp; Plan d''action'!$B$6:$AJ$1113,28,FALSE))</f>
        <v>0</v>
      </c>
      <c r="DR331" s="70">
        <f>IF(VLOOKUP($BS331,'État &amp; Plan d''action'!$B$6:$AJ$1113,29,FALSE)="","",VLOOKUP($BS331,'État &amp; Plan d''action'!$B$6:$AJ$1113,29,FALSE))</f>
        <v>7</v>
      </c>
      <c r="DS331" s="70">
        <f>IF(VLOOKUP($BS331,'État &amp; Plan d''action'!$B$6:$AJ$1113,30,FALSE)="","",VLOOKUP($BS331,'État &amp; Plan d''action'!$B$6:$AJ$1113,30,FALSE))</f>
        <v>0</v>
      </c>
      <c r="DT331" s="70">
        <v>182</v>
      </c>
      <c r="DU331" s="485">
        <v>3.8910940186329626</v>
      </c>
      <c r="DV331" s="485">
        <v>3.6187331675482812</v>
      </c>
      <c r="DW331" s="70">
        <v>2</v>
      </c>
      <c r="DX331" s="70">
        <v>0</v>
      </c>
      <c r="DY331" s="70">
        <v>0</v>
      </c>
      <c r="DZ331" s="70">
        <f>VLOOKUP($BS331,'État &amp; Plan d''action'!$B$6:$AH$1113,31,FALSE)</f>
        <v>0</v>
      </c>
      <c r="EA331" s="70">
        <f>VLOOKUP($BS331,'État &amp; Plan d''action'!$B$6:$AH$1113,32,FALSE)</f>
        <v>1</v>
      </c>
      <c r="EB331" s="70">
        <f>VLOOKUP($BS331,'État &amp; Plan d''action'!$B$6:$AH$1113,33,FALSE)</f>
        <v>0</v>
      </c>
      <c r="EC331" s="70">
        <v>30.315999999999999</v>
      </c>
      <c r="ED331" s="70">
        <v>0</v>
      </c>
      <c r="EE331" s="70">
        <v>0</v>
      </c>
      <c r="EF331" s="70">
        <v>0</v>
      </c>
      <c r="EG331" s="70">
        <v>0</v>
      </c>
      <c r="EH331" s="72">
        <v>46</v>
      </c>
      <c r="EI331" s="72">
        <v>8825</v>
      </c>
    </row>
    <row r="332" spans="71:139" x14ac:dyDescent="0.35">
      <c r="BS332" s="486">
        <v>67055</v>
      </c>
      <c r="BT332" s="479" t="s">
        <v>672</v>
      </c>
      <c r="BU332" s="479">
        <v>16</v>
      </c>
      <c r="BV332" s="476" t="s">
        <v>1187</v>
      </c>
      <c r="BW332" s="476" t="s">
        <v>1187</v>
      </c>
      <c r="BX332" s="476" t="s">
        <v>1187</v>
      </c>
      <c r="BY332" s="476" t="s">
        <v>1187</v>
      </c>
      <c r="BZ332" s="476" t="s">
        <v>1187</v>
      </c>
      <c r="CA332" s="476" t="s">
        <v>1187</v>
      </c>
      <c r="CB332" s="476" t="s">
        <v>1187</v>
      </c>
      <c r="CC332" s="476" t="s">
        <v>1187</v>
      </c>
      <c r="CD332" s="476" t="s">
        <v>1187</v>
      </c>
      <c r="CE332" s="476" t="s">
        <v>1187</v>
      </c>
      <c r="CF332" s="476" t="s">
        <v>1187</v>
      </c>
      <c r="CG332" s="476" t="s">
        <v>1187</v>
      </c>
      <c r="CH332" s="476" t="s">
        <v>1187</v>
      </c>
      <c r="CI332" s="476" t="s">
        <v>1187</v>
      </c>
      <c r="CJ332" s="476" t="s">
        <v>1187</v>
      </c>
      <c r="CK332" s="476" t="s">
        <v>1187</v>
      </c>
      <c r="CL332" s="476" t="s">
        <v>1187</v>
      </c>
      <c r="CM332" s="476" t="str">
        <f>IF(VLOOKUP(BS332,'Données par municipalité'!$B$6:$E$1113,4,FALSE)="","non","oui")</f>
        <v>non</v>
      </c>
      <c r="CN332" s="410" t="s">
        <v>1124</v>
      </c>
      <c r="CO332" s="410" t="s">
        <v>1124</v>
      </c>
      <c r="CP332" s="410"/>
      <c r="CQ332" s="410"/>
      <c r="CR332" s="410"/>
      <c r="CS332" s="410" t="s">
        <v>1124</v>
      </c>
      <c r="CT332" s="410"/>
      <c r="CU332" s="410" t="s">
        <v>1124</v>
      </c>
      <c r="CV332" s="410" t="str">
        <f>IF(VLOOKUP(BS332,'Données par municipalité'!$B$6:$F$1113,4,FALSE)="","",VLOOKUP(BS332,'Données par municipalité'!$B$6:$F$1113,4,FALSE))</f>
        <v/>
      </c>
      <c r="CW332" s="476" t="s">
        <v>4723</v>
      </c>
      <c r="CX332" s="483" t="s">
        <v>1124</v>
      </c>
      <c r="CY332" s="483" t="s">
        <v>1124</v>
      </c>
      <c r="CZ332" s="483" t="s">
        <v>1124</v>
      </c>
      <c r="DA332" s="483" t="s">
        <v>1124</v>
      </c>
      <c r="DB332" s="483" t="s">
        <v>1124</v>
      </c>
      <c r="DC332" s="483" t="s">
        <v>1124</v>
      </c>
      <c r="DD332" s="483" t="s">
        <v>1124</v>
      </c>
      <c r="DE332" s="483" t="str">
        <f>IFERROR(SUM(VLOOKUP($BS332,'État &amp; Plan d''action'!$B$6:$Z$1113,18,FALSE),VLOOKUP($BS332,'État &amp; Plan d''action'!$B$6:$Z$1113,20,FALSE))/(VLOOKUP($BS332,'Données par municipalité'!$B$4:$L$1113,11,FALSE)),"")</f>
        <v/>
      </c>
      <c r="DF332" s="483" t="str">
        <f>IFERROR(SUM(VLOOKUP($BS332,'État &amp; Plan d''action'!$B$6:$Z$1113,19,FALSE),VLOOKUP($BS332,'État &amp; Plan d''action'!$B$6:$Z$1113,21,FALSE))/(VLOOKUP($BS332,'Données par municipalité'!$B$4:$L$1113,11,FALSE)),"")</f>
        <v/>
      </c>
      <c r="DG332" s="476" t="s">
        <v>4723</v>
      </c>
      <c r="DH332" s="484" t="s">
        <v>1124</v>
      </c>
      <c r="DI332" s="484" t="s">
        <v>1124</v>
      </c>
      <c r="DJ332" s="484">
        <v>0</v>
      </c>
      <c r="DK332" s="484">
        <v>0</v>
      </c>
      <c r="DL332" s="484" t="s">
        <v>1124</v>
      </c>
      <c r="DM332" s="484" t="s">
        <v>1124</v>
      </c>
      <c r="DN332" s="484" t="s">
        <v>1124</v>
      </c>
      <c r="DO332" s="484" t="s">
        <v>1124</v>
      </c>
      <c r="DP332" s="484" t="s">
        <v>1124</v>
      </c>
      <c r="DQ332" s="484" t="str">
        <f>IF(VLOOKUP($BS332,'État &amp; Plan d''action'!$B$6:$AJ$1113,28,FALSE)="","",VLOOKUP($BS332,'État &amp; Plan d''action'!$B$6:$AJ$1113,28,FALSE))</f>
        <v/>
      </c>
      <c r="DR332" s="70" t="str">
        <f>IF(VLOOKUP($BS332,'État &amp; Plan d''action'!$B$6:$AJ$1113,29,FALSE)="","",VLOOKUP($BS332,'État &amp; Plan d''action'!$B$6:$AJ$1113,29,FALSE))</f>
        <v/>
      </c>
      <c r="DS332" s="70" t="str">
        <f>IF(VLOOKUP($BS332,'État &amp; Plan d''action'!$B$6:$AJ$1113,30,FALSE)="","",VLOOKUP($BS332,'État &amp; Plan d''action'!$B$6:$AJ$1113,30,FALSE))</f>
        <v/>
      </c>
      <c r="DT332" s="70" t="s">
        <v>1124</v>
      </c>
      <c r="DU332" s="485" t="s">
        <v>1124</v>
      </c>
      <c r="DV332" s="485" t="s">
        <v>1124</v>
      </c>
      <c r="DW332" s="70" t="s">
        <v>1124</v>
      </c>
      <c r="DX332" s="70" t="s">
        <v>1124</v>
      </c>
      <c r="DY332" s="70" t="s">
        <v>1124</v>
      </c>
      <c r="DZ332" s="70" t="str">
        <f>VLOOKUP($BS332,'État &amp; Plan d''action'!$B$6:$AH$1113,31,FALSE)</f>
        <v/>
      </c>
      <c r="EA332" s="70" t="str">
        <f>VLOOKUP($BS332,'État &amp; Plan d''action'!$B$6:$AH$1113,32,FALSE)</f>
        <v/>
      </c>
      <c r="EB332" s="70" t="str">
        <f>VLOOKUP($BS332,'État &amp; Plan d''action'!$B$6:$AH$1113,33,FALSE)</f>
        <v/>
      </c>
      <c r="EC332" s="70" t="s">
        <v>1124</v>
      </c>
      <c r="ED332" s="70" t="s">
        <v>1124</v>
      </c>
      <c r="EE332" s="70" t="s">
        <v>1124</v>
      </c>
      <c r="EF332" s="70" t="s">
        <v>1124</v>
      </c>
      <c r="EG332" s="70" t="s">
        <v>1124</v>
      </c>
      <c r="EH332" s="72"/>
      <c r="EI332" s="72">
        <v>2341</v>
      </c>
    </row>
    <row r="333" spans="71:139" x14ac:dyDescent="0.35">
      <c r="BS333" s="486">
        <v>95018</v>
      </c>
      <c r="BT333" s="479" t="s">
        <v>988</v>
      </c>
      <c r="BU333" s="479">
        <v>9</v>
      </c>
      <c r="BV333" s="476" t="s">
        <v>1187</v>
      </c>
      <c r="BW333" s="476" t="s">
        <v>1187</v>
      </c>
      <c r="BX333" s="476" t="s">
        <v>1187</v>
      </c>
      <c r="BY333" s="476" t="s">
        <v>1187</v>
      </c>
      <c r="BZ333" s="476" t="s">
        <v>1187</v>
      </c>
      <c r="CA333" s="476" t="s">
        <v>1187</v>
      </c>
      <c r="CB333" s="476" t="s">
        <v>1187</v>
      </c>
      <c r="CC333" s="476" t="s">
        <v>1187</v>
      </c>
      <c r="CD333" s="476" t="s">
        <v>1187</v>
      </c>
      <c r="CE333" s="476" t="s">
        <v>1188</v>
      </c>
      <c r="CF333" s="476" t="s">
        <v>1188</v>
      </c>
      <c r="CG333" s="476" t="s">
        <v>1188</v>
      </c>
      <c r="CH333" s="476" t="s">
        <v>1188</v>
      </c>
      <c r="CI333" s="476" t="s">
        <v>1188</v>
      </c>
      <c r="CJ333" s="476" t="s">
        <v>1188</v>
      </c>
      <c r="CK333" s="476" t="s">
        <v>1188</v>
      </c>
      <c r="CL333" s="476" t="s">
        <v>1188</v>
      </c>
      <c r="CM333" s="476" t="str">
        <f>IF(VLOOKUP(BS333,'Données par municipalité'!$B$6:$E$1113,4,FALSE)="","non","oui")</f>
        <v>oui</v>
      </c>
      <c r="CN333" s="410">
        <v>447.01056218171482</v>
      </c>
      <c r="CO333" s="410">
        <v>433.88479308898621</v>
      </c>
      <c r="CP333" s="410">
        <v>788.35505548203946</v>
      </c>
      <c r="CQ333" s="410">
        <v>604.85355880883003</v>
      </c>
      <c r="CR333" s="410">
        <v>410.87962962962962</v>
      </c>
      <c r="CS333" s="410">
        <v>430.46315727331631</v>
      </c>
      <c r="CT333" s="410">
        <v>484.82792838610663</v>
      </c>
      <c r="CU333" s="410">
        <v>502</v>
      </c>
      <c r="CV333" s="410">
        <f>IF(VLOOKUP(BS333,'Données par municipalité'!$B$6:$F$1113,4,FALSE)="","",VLOOKUP(BS333,'Données par municipalité'!$B$6:$F$1113,4,FALSE))</f>
        <v>691</v>
      </c>
      <c r="CW333" s="476" t="s">
        <v>4723</v>
      </c>
      <c r="CX333" s="483">
        <v>0.2</v>
      </c>
      <c r="CY333" s="483">
        <v>0</v>
      </c>
      <c r="CZ333" s="483">
        <v>1</v>
      </c>
      <c r="DA333" s="483">
        <v>1</v>
      </c>
      <c r="DB333" s="483">
        <v>1</v>
      </c>
      <c r="DC333" s="483">
        <v>1</v>
      </c>
      <c r="DD333" s="483">
        <v>0</v>
      </c>
      <c r="DE333" s="483">
        <f>IFERROR(SUM(VLOOKUP($BS333,'État &amp; Plan d''action'!$B$6:$Z$1113,18,FALSE),VLOOKUP($BS333,'État &amp; Plan d''action'!$B$6:$Z$1113,20,FALSE))/(VLOOKUP($BS333,'Données par municipalité'!$B$4:$L$1113,11,FALSE)),"")</f>
        <v>0</v>
      </c>
      <c r="DF333" s="483">
        <f>IFERROR(SUM(VLOOKUP($BS333,'État &amp; Plan d''action'!$B$6:$Z$1113,19,FALSE),VLOOKUP($BS333,'État &amp; Plan d''action'!$B$6:$Z$1113,21,FALSE))/(VLOOKUP($BS333,'Données par municipalité'!$B$4:$L$1113,11,FALSE)),"")</f>
        <v>0.64409525352340835</v>
      </c>
      <c r="DG333" s="476" t="s">
        <v>4723</v>
      </c>
      <c r="DH333" s="484">
        <v>0</v>
      </c>
      <c r="DI333" s="484">
        <v>0</v>
      </c>
      <c r="DJ333" s="484">
        <v>0</v>
      </c>
      <c r="DK333" s="484">
        <v>0</v>
      </c>
      <c r="DL333" s="484">
        <v>1</v>
      </c>
      <c r="DM333" s="484">
        <v>3</v>
      </c>
      <c r="DN333" s="484">
        <v>2</v>
      </c>
      <c r="DO333" s="484">
        <v>0</v>
      </c>
      <c r="DP333" s="484">
        <v>1</v>
      </c>
      <c r="DQ333" s="484">
        <f>IF(VLOOKUP($BS333,'État &amp; Plan d''action'!$B$6:$AJ$1113,28,FALSE)="","",VLOOKUP($BS333,'État &amp; Plan d''action'!$B$6:$AJ$1113,28,FALSE))</f>
        <v>3</v>
      </c>
      <c r="DR333" s="70">
        <f>IF(VLOOKUP($BS333,'État &amp; Plan d''action'!$B$6:$AJ$1113,29,FALSE)="","",VLOOKUP($BS333,'État &amp; Plan d''action'!$B$6:$AJ$1113,29,FALSE))</f>
        <v>0</v>
      </c>
      <c r="DS333" s="70">
        <f>IF(VLOOKUP($BS333,'État &amp; Plan d''action'!$B$6:$AJ$1113,30,FALSE)="","",VLOOKUP($BS333,'État &amp; Plan d''action'!$B$6:$AJ$1113,30,FALSE))</f>
        <v>2</v>
      </c>
      <c r="DT333" s="70">
        <v>227</v>
      </c>
      <c r="DU333" s="485">
        <v>1.0215111514980466</v>
      </c>
      <c r="DV333" s="485">
        <v>1.3368948985884412</v>
      </c>
      <c r="DW333" s="70">
        <v>60</v>
      </c>
      <c r="DX333" s="70">
        <v>0</v>
      </c>
      <c r="DY333" s="70">
        <v>0</v>
      </c>
      <c r="DZ333" s="70">
        <f>VLOOKUP($BS333,'État &amp; Plan d''action'!$B$6:$AH$1113,31,FALSE)</f>
        <v>10</v>
      </c>
      <c r="EA333" s="70">
        <f>VLOOKUP($BS333,'État &amp; Plan d''action'!$B$6:$AH$1113,32,FALSE)</f>
        <v>0</v>
      </c>
      <c r="EB333" s="70">
        <f>VLOOKUP($BS333,'État &amp; Plan d''action'!$B$6:$AH$1113,33,FALSE)</f>
        <v>1</v>
      </c>
      <c r="EC333" s="70">
        <v>0</v>
      </c>
      <c r="ED333" s="70">
        <v>0</v>
      </c>
      <c r="EE333" s="70">
        <v>0</v>
      </c>
      <c r="EF333" s="70">
        <v>0</v>
      </c>
      <c r="EG333" s="70">
        <v>0</v>
      </c>
      <c r="EH333" s="72">
        <v>59</v>
      </c>
      <c r="EI333" s="72">
        <v>676</v>
      </c>
    </row>
    <row r="334" spans="71:139" x14ac:dyDescent="0.35">
      <c r="BS334" s="486">
        <v>71050</v>
      </c>
      <c r="BT334" s="479" t="s">
        <v>711</v>
      </c>
      <c r="BU334" s="479">
        <v>16</v>
      </c>
      <c r="BV334" s="476" t="s">
        <v>1187</v>
      </c>
      <c r="BW334" s="476" t="s">
        <v>1187</v>
      </c>
      <c r="BX334" s="476" t="s">
        <v>1187</v>
      </c>
      <c r="BY334" s="476" t="s">
        <v>1187</v>
      </c>
      <c r="BZ334" s="476" t="s">
        <v>1187</v>
      </c>
      <c r="CA334" s="476" t="s">
        <v>1187</v>
      </c>
      <c r="CB334" s="476" t="s">
        <v>1187</v>
      </c>
      <c r="CC334" s="476" t="s">
        <v>1187</v>
      </c>
      <c r="CD334" s="476" t="s">
        <v>1187</v>
      </c>
      <c r="CE334" s="476" t="s">
        <v>1188</v>
      </c>
      <c r="CF334" s="476" t="s">
        <v>1188</v>
      </c>
      <c r="CG334" s="476" t="s">
        <v>1188</v>
      </c>
      <c r="CH334" s="476" t="s">
        <v>1188</v>
      </c>
      <c r="CI334" s="476" t="s">
        <v>1188</v>
      </c>
      <c r="CJ334" s="476" t="s">
        <v>1188</v>
      </c>
      <c r="CK334" s="476" t="s">
        <v>1188</v>
      </c>
      <c r="CL334" s="476" t="s">
        <v>1188</v>
      </c>
      <c r="CM334" s="476" t="str">
        <f>IF(VLOOKUP(BS334,'Données par municipalité'!$B$6:$E$1113,4,FALSE)="","non","oui")</f>
        <v>non</v>
      </c>
      <c r="CN334" s="410">
        <v>473.42475287466249</v>
      </c>
      <c r="CO334" s="410">
        <v>496.04384325409126</v>
      </c>
      <c r="CP334" s="410">
        <v>473.49529486933193</v>
      </c>
      <c r="CQ334" s="410">
        <v>300.65554371819979</v>
      </c>
      <c r="CR334" s="410">
        <v>265.31933330720966</v>
      </c>
      <c r="CS334" s="410">
        <v>325.76939484429272</v>
      </c>
      <c r="CT334" s="410">
        <v>275.6906710605308</v>
      </c>
      <c r="CU334" s="410">
        <v>298</v>
      </c>
      <c r="CV334" s="410" t="str">
        <f>IF(VLOOKUP(BS334,'Données par municipalité'!$B$6:$F$1113,4,FALSE)="","",VLOOKUP(BS334,'Données par municipalité'!$B$6:$F$1113,4,FALSE))</f>
        <v/>
      </c>
      <c r="CW334" s="476" t="s">
        <v>4723</v>
      </c>
      <c r="CX334" s="483">
        <v>0</v>
      </c>
      <c r="CY334" s="483">
        <v>0</v>
      </c>
      <c r="CZ334" s="483">
        <v>0</v>
      </c>
      <c r="DA334" s="483">
        <v>0</v>
      </c>
      <c r="DB334" s="483">
        <v>0</v>
      </c>
      <c r="DC334" s="483">
        <v>0</v>
      </c>
      <c r="DD334" s="483">
        <v>0</v>
      </c>
      <c r="DE334" s="483" t="str">
        <f>IFERROR(SUM(VLOOKUP($BS334,'État &amp; Plan d''action'!$B$6:$Z$1113,18,FALSE),VLOOKUP($BS334,'État &amp; Plan d''action'!$B$6:$Z$1113,20,FALSE))/(VLOOKUP($BS334,'Données par municipalité'!$B$4:$L$1113,11,FALSE)),"")</f>
        <v/>
      </c>
      <c r="DF334" s="483" t="str">
        <f>IFERROR(SUM(VLOOKUP($BS334,'État &amp; Plan d''action'!$B$6:$Z$1113,19,FALSE),VLOOKUP($BS334,'État &amp; Plan d''action'!$B$6:$Z$1113,21,FALSE))/(VLOOKUP($BS334,'Données par municipalité'!$B$4:$L$1113,11,FALSE)),"")</f>
        <v/>
      </c>
      <c r="DG334" s="476" t="s">
        <v>4723</v>
      </c>
      <c r="DH334" s="484" t="s">
        <v>1124</v>
      </c>
      <c r="DI334" s="484" t="s">
        <v>1124</v>
      </c>
      <c r="DJ334" s="484">
        <v>0</v>
      </c>
      <c r="DK334" s="484">
        <v>2</v>
      </c>
      <c r="DL334" s="484">
        <v>1</v>
      </c>
      <c r="DM334" s="484">
        <v>2</v>
      </c>
      <c r="DN334" s="484">
        <v>0</v>
      </c>
      <c r="DO334" s="484">
        <v>0</v>
      </c>
      <c r="DP334" s="484">
        <v>5</v>
      </c>
      <c r="DQ334" s="484" t="str">
        <f>IF(VLOOKUP($BS334,'État &amp; Plan d''action'!$B$6:$AJ$1113,28,FALSE)="","",VLOOKUP($BS334,'État &amp; Plan d''action'!$B$6:$AJ$1113,28,FALSE))</f>
        <v/>
      </c>
      <c r="DR334" s="70" t="str">
        <f>IF(VLOOKUP($BS334,'État &amp; Plan d''action'!$B$6:$AJ$1113,29,FALSE)="","",VLOOKUP($BS334,'État &amp; Plan d''action'!$B$6:$AJ$1113,29,FALSE))</f>
        <v/>
      </c>
      <c r="DS334" s="70" t="str">
        <f>IF(VLOOKUP($BS334,'État &amp; Plan d''action'!$B$6:$AJ$1113,30,FALSE)="","",VLOOKUP($BS334,'État &amp; Plan d''action'!$B$6:$AJ$1113,30,FALSE))</f>
        <v/>
      </c>
      <c r="DT334" s="70">
        <v>263</v>
      </c>
      <c r="DU334" s="485">
        <v>0.6271424036820884</v>
      </c>
      <c r="DV334" s="485" t="s">
        <v>1124</v>
      </c>
      <c r="DW334" s="70">
        <v>0</v>
      </c>
      <c r="DX334" s="70">
        <v>0</v>
      </c>
      <c r="DY334" s="70">
        <v>3</v>
      </c>
      <c r="DZ334" s="70" t="str">
        <f>VLOOKUP($BS334,'État &amp; Plan d''action'!$B$6:$AH$1113,31,FALSE)</f>
        <v/>
      </c>
      <c r="EA334" s="70" t="str">
        <f>VLOOKUP($BS334,'État &amp; Plan d''action'!$B$6:$AH$1113,32,FALSE)</f>
        <v/>
      </c>
      <c r="EB334" s="70" t="str">
        <f>VLOOKUP($BS334,'État &amp; Plan d''action'!$B$6:$AH$1113,33,FALSE)</f>
        <v/>
      </c>
      <c r="EC334" s="70">
        <v>0</v>
      </c>
      <c r="ED334" s="70">
        <v>0</v>
      </c>
      <c r="EE334" s="70">
        <v>0</v>
      </c>
      <c r="EF334" s="70">
        <v>0</v>
      </c>
      <c r="EG334" s="70">
        <v>0</v>
      </c>
      <c r="EH334" s="72">
        <v>59</v>
      </c>
      <c r="EI334" s="72">
        <v>7040</v>
      </c>
    </row>
    <row r="335" spans="71:139" x14ac:dyDescent="0.35">
      <c r="BS335" s="486">
        <v>71033</v>
      </c>
      <c r="BT335" s="479" t="s">
        <v>708</v>
      </c>
      <c r="BU335" s="479">
        <v>16</v>
      </c>
      <c r="BV335" s="476" t="s">
        <v>1187</v>
      </c>
      <c r="BW335" s="476" t="s">
        <v>1187</v>
      </c>
      <c r="BX335" s="476" t="s">
        <v>1187</v>
      </c>
      <c r="BY335" s="476" t="s">
        <v>1187</v>
      </c>
      <c r="BZ335" s="476" t="s">
        <v>1187</v>
      </c>
      <c r="CA335" s="476" t="s">
        <v>1187</v>
      </c>
      <c r="CB335" s="476" t="s">
        <v>1187</v>
      </c>
      <c r="CC335" s="476" t="s">
        <v>1187</v>
      </c>
      <c r="CD335" s="476" t="s">
        <v>1187</v>
      </c>
      <c r="CE335" s="476" t="s">
        <v>1188</v>
      </c>
      <c r="CF335" s="476" t="s">
        <v>1188</v>
      </c>
      <c r="CG335" s="476" t="s">
        <v>1187</v>
      </c>
      <c r="CH335" s="476" t="s">
        <v>1188</v>
      </c>
      <c r="CI335" s="476" t="s">
        <v>1188</v>
      </c>
      <c r="CJ335" s="476" t="s">
        <v>1188</v>
      </c>
      <c r="CK335" s="476" t="s">
        <v>1188</v>
      </c>
      <c r="CL335" s="476" t="s">
        <v>1188</v>
      </c>
      <c r="CM335" s="476" t="str">
        <f>IF(VLOOKUP(BS335,'Données par municipalité'!$B$6:$E$1113,4,FALSE)="","non","oui")</f>
        <v>oui</v>
      </c>
      <c r="CN335" s="410">
        <v>345.85134963211482</v>
      </c>
      <c r="CO335" s="410">
        <v>305.83567881482549</v>
      </c>
      <c r="CP335" s="410"/>
      <c r="CQ335" s="410">
        <v>291.30423844425218</v>
      </c>
      <c r="CR335" s="410">
        <v>311.92160210289552</v>
      </c>
      <c r="CS335" s="410">
        <v>327.19054710773491</v>
      </c>
      <c r="CT335" s="410">
        <v>308.12329900911817</v>
      </c>
      <c r="CU335" s="410">
        <v>365</v>
      </c>
      <c r="CV335" s="410">
        <f>IF(VLOOKUP(BS335,'Données par municipalité'!$B$6:$F$1113,4,FALSE)="","",VLOOKUP(BS335,'Données par municipalité'!$B$6:$F$1113,4,FALSE))</f>
        <v>367</v>
      </c>
      <c r="CW335" s="476" t="s">
        <v>4723</v>
      </c>
      <c r="CX335" s="483">
        <v>0</v>
      </c>
      <c r="CY335" s="483" t="s">
        <v>1124</v>
      </c>
      <c r="CZ335" s="483">
        <v>0</v>
      </c>
      <c r="DA335" s="483">
        <v>0</v>
      </c>
      <c r="DB335" s="483">
        <v>0</v>
      </c>
      <c r="DC335" s="483">
        <v>0</v>
      </c>
      <c r="DD335" s="483">
        <v>0</v>
      </c>
      <c r="DE335" s="483">
        <f>IFERROR(SUM(VLOOKUP($BS335,'État &amp; Plan d''action'!$B$6:$Z$1113,18,FALSE),VLOOKUP($BS335,'État &amp; Plan d''action'!$B$6:$Z$1113,20,FALSE))/(VLOOKUP($BS335,'Données par municipalité'!$B$4:$L$1113,11,FALSE)),"")</f>
        <v>0</v>
      </c>
      <c r="DF335" s="483">
        <f>IFERROR(SUM(VLOOKUP($BS335,'État &amp; Plan d''action'!$B$6:$Z$1113,19,FALSE),VLOOKUP($BS335,'État &amp; Plan d''action'!$B$6:$Z$1113,21,FALSE))/(VLOOKUP($BS335,'Données par municipalité'!$B$4:$L$1113,11,FALSE)),"")</f>
        <v>0</v>
      </c>
      <c r="DG335" s="476" t="s">
        <v>4723</v>
      </c>
      <c r="DH335" s="484">
        <v>13</v>
      </c>
      <c r="DI335" s="484" t="s">
        <v>1124</v>
      </c>
      <c r="DJ335" s="484">
        <v>17</v>
      </c>
      <c r="DK335" s="484">
        <v>8</v>
      </c>
      <c r="DL335" s="484">
        <v>2</v>
      </c>
      <c r="DM335" s="484">
        <v>3</v>
      </c>
      <c r="DN335" s="484">
        <v>2</v>
      </c>
      <c r="DO335" s="484">
        <v>0</v>
      </c>
      <c r="DP335" s="484">
        <v>0</v>
      </c>
      <c r="DQ335" s="484">
        <f>IF(VLOOKUP($BS335,'État &amp; Plan d''action'!$B$6:$AJ$1113,28,FALSE)="","",VLOOKUP($BS335,'État &amp; Plan d''action'!$B$6:$AJ$1113,28,FALSE))</f>
        <v>8</v>
      </c>
      <c r="DR335" s="70">
        <f>IF(VLOOKUP($BS335,'État &amp; Plan d''action'!$B$6:$AJ$1113,29,FALSE)="","",VLOOKUP($BS335,'État &amp; Plan d''action'!$B$6:$AJ$1113,29,FALSE))</f>
        <v>0</v>
      </c>
      <c r="DS335" s="70">
        <f>IF(VLOOKUP($BS335,'État &amp; Plan d''action'!$B$6:$AJ$1113,30,FALSE)="","",VLOOKUP($BS335,'État &amp; Plan d''action'!$B$6:$AJ$1113,30,FALSE))</f>
        <v>0</v>
      </c>
      <c r="DT335" s="70">
        <v>308</v>
      </c>
      <c r="DU335" s="485">
        <v>1.1993078582707355</v>
      </c>
      <c r="DV335" s="485">
        <v>1.7694661487268286</v>
      </c>
      <c r="DW335" s="70">
        <v>5</v>
      </c>
      <c r="DX335" s="70">
        <v>0</v>
      </c>
      <c r="DY335" s="70">
        <v>0</v>
      </c>
      <c r="DZ335" s="70">
        <f>VLOOKUP($BS335,'État &amp; Plan d''action'!$B$6:$AH$1113,31,FALSE)</f>
        <v>2</v>
      </c>
      <c r="EA335" s="70">
        <f>VLOOKUP($BS335,'État &amp; Plan d''action'!$B$6:$AH$1113,32,FALSE)</f>
        <v>0</v>
      </c>
      <c r="EB335" s="70">
        <f>VLOOKUP($BS335,'État &amp; Plan d''action'!$B$6:$AH$1113,33,FALSE)</f>
        <v>0</v>
      </c>
      <c r="EC335" s="70">
        <v>0</v>
      </c>
      <c r="ED335" s="70">
        <v>0</v>
      </c>
      <c r="EE335" s="70">
        <v>0</v>
      </c>
      <c r="EF335" s="70">
        <v>0</v>
      </c>
      <c r="EG335" s="70">
        <v>0</v>
      </c>
      <c r="EH335" s="72">
        <v>46</v>
      </c>
      <c r="EI335" s="72">
        <v>5436</v>
      </c>
    </row>
    <row r="336" spans="71:139" x14ac:dyDescent="0.35">
      <c r="BS336" s="486">
        <v>16048</v>
      </c>
      <c r="BT336" s="479" t="s">
        <v>87</v>
      </c>
      <c r="BU336" s="479">
        <v>3</v>
      </c>
      <c r="BV336" s="476" t="s">
        <v>1187</v>
      </c>
      <c r="BW336" s="476" t="s">
        <v>1187</v>
      </c>
      <c r="BX336" s="476" t="s">
        <v>1187</v>
      </c>
      <c r="BY336" s="476" t="s">
        <v>1187</v>
      </c>
      <c r="BZ336" s="476" t="s">
        <v>1187</v>
      </c>
      <c r="CA336" s="476" t="s">
        <v>1187</v>
      </c>
      <c r="CB336" s="476" t="s">
        <v>1187</v>
      </c>
      <c r="CC336" s="476" t="s">
        <v>1187</v>
      </c>
      <c r="CD336" s="476" t="s">
        <v>1187</v>
      </c>
      <c r="CE336" s="476" t="s">
        <v>1187</v>
      </c>
      <c r="CF336" s="476" t="s">
        <v>1187</v>
      </c>
      <c r="CG336" s="476" t="s">
        <v>1187</v>
      </c>
      <c r="CH336" s="476" t="s">
        <v>1188</v>
      </c>
      <c r="CI336" s="476" t="s">
        <v>1187</v>
      </c>
      <c r="CJ336" s="476" t="s">
        <v>1187</v>
      </c>
      <c r="CK336" s="476" t="s">
        <v>1188</v>
      </c>
      <c r="CL336" s="476" t="s">
        <v>1188</v>
      </c>
      <c r="CM336" s="476" t="str">
        <f>IF(VLOOKUP(BS336,'Données par municipalité'!$B$6:$E$1113,4,FALSE)="","non","oui")</f>
        <v>oui</v>
      </c>
      <c r="CN336" s="410" t="s">
        <v>1124</v>
      </c>
      <c r="CO336" s="410" t="s">
        <v>1124</v>
      </c>
      <c r="CP336" s="410"/>
      <c r="CQ336" s="410">
        <v>1272.0607771875871</v>
      </c>
      <c r="CR336" s="410"/>
      <c r="CS336" s="410" t="s">
        <v>1124</v>
      </c>
      <c r="CT336" s="410">
        <v>730.76662862415867</v>
      </c>
      <c r="CU336" s="410">
        <v>731</v>
      </c>
      <c r="CV336" s="410">
        <f>IF(VLOOKUP(BS336,'Données par municipalité'!$B$6:$F$1113,4,FALSE)="","",VLOOKUP(BS336,'Données par municipalité'!$B$6:$F$1113,4,FALSE))</f>
        <v>712</v>
      </c>
      <c r="CW336" s="476" t="s">
        <v>4723</v>
      </c>
      <c r="CX336" s="483" t="s">
        <v>1124</v>
      </c>
      <c r="CY336" s="483" t="s">
        <v>1124</v>
      </c>
      <c r="CZ336" s="483">
        <v>0</v>
      </c>
      <c r="DA336" s="483" t="s">
        <v>1124</v>
      </c>
      <c r="DB336" s="483" t="s">
        <v>1124</v>
      </c>
      <c r="DC336" s="483">
        <v>0</v>
      </c>
      <c r="DD336" s="483">
        <v>0</v>
      </c>
      <c r="DE336" s="483">
        <f>IFERROR(SUM(VLOOKUP($BS336,'État &amp; Plan d''action'!$B$6:$Z$1113,18,FALSE),VLOOKUP($BS336,'État &amp; Plan d''action'!$B$6:$Z$1113,20,FALSE))/(VLOOKUP($BS336,'Données par municipalité'!$B$4:$L$1113,11,FALSE)),"")</f>
        <v>1.6477919263072338</v>
      </c>
      <c r="DF336" s="483">
        <f>IFERROR(SUM(VLOOKUP($BS336,'État &amp; Plan d''action'!$B$6:$Z$1113,19,FALSE),VLOOKUP($BS336,'État &amp; Plan d''action'!$B$6:$Z$1113,21,FALSE))/(VLOOKUP($BS336,'Données par municipalité'!$B$4:$L$1113,11,FALSE)),"")</f>
        <v>1.6477919263072338</v>
      </c>
      <c r="DG336" s="476" t="s">
        <v>4723</v>
      </c>
      <c r="DH336" s="484" t="s">
        <v>1124</v>
      </c>
      <c r="DI336" s="484" t="s">
        <v>1124</v>
      </c>
      <c r="DJ336" s="484">
        <v>2</v>
      </c>
      <c r="DK336" s="484">
        <v>0</v>
      </c>
      <c r="DL336" s="484" t="s">
        <v>1124</v>
      </c>
      <c r="DM336" s="484">
        <v>5</v>
      </c>
      <c r="DN336" s="484">
        <v>1</v>
      </c>
      <c r="DO336" s="484">
        <v>1</v>
      </c>
      <c r="DP336" s="484">
        <v>1</v>
      </c>
      <c r="DQ336" s="484">
        <f>IF(VLOOKUP($BS336,'État &amp; Plan d''action'!$B$6:$AJ$1113,28,FALSE)="","",VLOOKUP($BS336,'État &amp; Plan d''action'!$B$6:$AJ$1113,28,FALSE))</f>
        <v>0</v>
      </c>
      <c r="DR336" s="70">
        <f>IF(VLOOKUP($BS336,'État &amp; Plan d''action'!$B$6:$AJ$1113,29,FALSE)="","",VLOOKUP($BS336,'État &amp; Plan d''action'!$B$6:$AJ$1113,29,FALSE))</f>
        <v>0</v>
      </c>
      <c r="DS336" s="70">
        <f>IF(VLOOKUP($BS336,'État &amp; Plan d''action'!$B$6:$AJ$1113,30,FALSE)="","",VLOOKUP($BS336,'État &amp; Plan d''action'!$B$6:$AJ$1113,30,FALSE))</f>
        <v>0</v>
      </c>
      <c r="DT336" s="70">
        <v>548</v>
      </c>
      <c r="DU336" s="485">
        <v>1.0484050861942711</v>
      </c>
      <c r="DV336" s="485">
        <v>3.384385559316851</v>
      </c>
      <c r="DW336" s="70">
        <v>1</v>
      </c>
      <c r="DX336" s="70">
        <v>1</v>
      </c>
      <c r="DY336" s="70">
        <v>1</v>
      </c>
      <c r="DZ336" s="70">
        <f>VLOOKUP($BS336,'État &amp; Plan d''action'!$B$6:$AH$1113,31,FALSE)</f>
        <v>0</v>
      </c>
      <c r="EA336" s="70">
        <f>VLOOKUP($BS336,'État &amp; Plan d''action'!$B$6:$AH$1113,32,FALSE)</f>
        <v>0</v>
      </c>
      <c r="EB336" s="70">
        <f>VLOOKUP($BS336,'État &amp; Plan d''action'!$B$6:$AH$1113,33,FALSE)</f>
        <v>0</v>
      </c>
      <c r="EC336" s="70">
        <v>12.164</v>
      </c>
      <c r="ED336" s="70">
        <v>0</v>
      </c>
      <c r="EE336" s="70">
        <v>0</v>
      </c>
      <c r="EF336" s="70">
        <v>0</v>
      </c>
      <c r="EG336" s="70">
        <v>0</v>
      </c>
      <c r="EH336" s="72">
        <v>63.297297297297305</v>
      </c>
      <c r="EI336" s="72">
        <v>1353</v>
      </c>
    </row>
    <row r="337" spans="71:139" x14ac:dyDescent="0.35">
      <c r="BS337" s="486">
        <v>95025</v>
      </c>
      <c r="BT337" s="479" t="s">
        <v>989</v>
      </c>
      <c r="BU337" s="479">
        <v>9</v>
      </c>
      <c r="BV337" s="476" t="s">
        <v>1187</v>
      </c>
      <c r="BW337" s="476" t="s">
        <v>1187</v>
      </c>
      <c r="BX337" s="476" t="s">
        <v>1187</v>
      </c>
      <c r="BY337" s="476" t="s">
        <v>1187</v>
      </c>
      <c r="BZ337" s="476" t="s">
        <v>1187</v>
      </c>
      <c r="CA337" s="476" t="s">
        <v>1187</v>
      </c>
      <c r="CB337" s="476" t="s">
        <v>1187</v>
      </c>
      <c r="CC337" s="476" t="s">
        <v>1187</v>
      </c>
      <c r="CD337" s="476" t="s">
        <v>1187</v>
      </c>
      <c r="CE337" s="476" t="s">
        <v>1188</v>
      </c>
      <c r="CF337" s="476" t="s">
        <v>1188</v>
      </c>
      <c r="CG337" s="476" t="s">
        <v>1187</v>
      </c>
      <c r="CH337" s="476" t="s">
        <v>1187</v>
      </c>
      <c r="CI337" s="476" t="s">
        <v>1187</v>
      </c>
      <c r="CJ337" s="476" t="s">
        <v>1187</v>
      </c>
      <c r="CK337" s="476" t="s">
        <v>1187</v>
      </c>
      <c r="CL337" s="476" t="s">
        <v>1187</v>
      </c>
      <c r="CM337" s="476" t="str">
        <f>IF(VLOOKUP(BS337,'Données par municipalité'!$B$6:$E$1113,4,FALSE)="","non","oui")</f>
        <v>non</v>
      </c>
      <c r="CN337" s="410">
        <v>439.37213257980238</v>
      </c>
      <c r="CO337" s="410">
        <v>473.01662840993322</v>
      </c>
      <c r="CP337" s="410"/>
      <c r="CQ337" s="410"/>
      <c r="CR337" s="410"/>
      <c r="CS337" s="410" t="s">
        <v>1124</v>
      </c>
      <c r="CT337" s="410"/>
      <c r="CU337" s="410" t="s">
        <v>1124</v>
      </c>
      <c r="CV337" s="410" t="str">
        <f>IF(VLOOKUP(BS337,'Données par municipalité'!$B$6:$F$1113,4,FALSE)="","",VLOOKUP(BS337,'Données par municipalité'!$B$6:$F$1113,4,FALSE))</f>
        <v/>
      </c>
      <c r="CW337" s="476" t="s">
        <v>4723</v>
      </c>
      <c r="CX337" s="483">
        <v>0.1</v>
      </c>
      <c r="CY337" s="483" t="s">
        <v>1124</v>
      </c>
      <c r="CZ337" s="483" t="s">
        <v>1124</v>
      </c>
      <c r="DA337" s="483" t="s">
        <v>1124</v>
      </c>
      <c r="DB337" s="483" t="s">
        <v>1124</v>
      </c>
      <c r="DC337" s="483" t="s">
        <v>1124</v>
      </c>
      <c r="DD337" s="483" t="s">
        <v>1124</v>
      </c>
      <c r="DE337" s="483" t="str">
        <f>IFERROR(SUM(VLOOKUP($BS337,'État &amp; Plan d''action'!$B$6:$Z$1113,18,FALSE),VLOOKUP($BS337,'État &amp; Plan d''action'!$B$6:$Z$1113,20,FALSE))/(VLOOKUP($BS337,'Données par municipalité'!$B$4:$L$1113,11,FALSE)),"")</f>
        <v/>
      </c>
      <c r="DF337" s="483" t="str">
        <f>IFERROR(SUM(VLOOKUP($BS337,'État &amp; Plan d''action'!$B$6:$Z$1113,19,FALSE),VLOOKUP($BS337,'État &amp; Plan d''action'!$B$6:$Z$1113,21,FALSE))/(VLOOKUP($BS337,'Données par municipalité'!$B$4:$L$1113,11,FALSE)),"")</f>
        <v/>
      </c>
      <c r="DG337" s="476" t="s">
        <v>4723</v>
      </c>
      <c r="DH337" s="484">
        <v>0</v>
      </c>
      <c r="DI337" s="484">
        <v>0</v>
      </c>
      <c r="DJ337" s="484">
        <v>0</v>
      </c>
      <c r="DK337" s="484">
        <v>0</v>
      </c>
      <c r="DL337" s="484" t="s">
        <v>1124</v>
      </c>
      <c r="DM337" s="484" t="s">
        <v>1124</v>
      </c>
      <c r="DN337" s="484" t="s">
        <v>1124</v>
      </c>
      <c r="DO337" s="484" t="s">
        <v>1124</v>
      </c>
      <c r="DP337" s="484" t="s">
        <v>1124</v>
      </c>
      <c r="DQ337" s="484" t="str">
        <f>IF(VLOOKUP($BS337,'État &amp; Plan d''action'!$B$6:$AJ$1113,28,FALSE)="","",VLOOKUP($BS337,'État &amp; Plan d''action'!$B$6:$AJ$1113,28,FALSE))</f>
        <v/>
      </c>
      <c r="DR337" s="70" t="str">
        <f>IF(VLOOKUP($BS337,'État &amp; Plan d''action'!$B$6:$AJ$1113,29,FALSE)="","",VLOOKUP($BS337,'État &amp; Plan d''action'!$B$6:$AJ$1113,29,FALSE))</f>
        <v/>
      </c>
      <c r="DS337" s="70" t="str">
        <f>IF(VLOOKUP($BS337,'État &amp; Plan d''action'!$B$6:$AJ$1113,30,FALSE)="","",VLOOKUP($BS337,'État &amp; Plan d''action'!$B$6:$AJ$1113,30,FALSE))</f>
        <v/>
      </c>
      <c r="DT337" s="70" t="s">
        <v>1124</v>
      </c>
      <c r="DU337" s="485" t="s">
        <v>1124</v>
      </c>
      <c r="DV337" s="485" t="s">
        <v>1124</v>
      </c>
      <c r="DW337" s="70" t="s">
        <v>1124</v>
      </c>
      <c r="DX337" s="70" t="s">
        <v>1124</v>
      </c>
      <c r="DY337" s="70" t="s">
        <v>1124</v>
      </c>
      <c r="DZ337" s="70" t="str">
        <f>VLOOKUP($BS337,'État &amp; Plan d''action'!$B$6:$AH$1113,31,FALSE)</f>
        <v/>
      </c>
      <c r="EA337" s="70" t="str">
        <f>VLOOKUP($BS337,'État &amp; Plan d''action'!$B$6:$AH$1113,32,FALSE)</f>
        <v/>
      </c>
      <c r="EB337" s="70" t="str">
        <f>VLOOKUP($BS337,'État &amp; Plan d''action'!$B$6:$AH$1113,33,FALSE)</f>
        <v/>
      </c>
      <c r="EC337" s="70" t="s">
        <v>1124</v>
      </c>
      <c r="ED337" s="70" t="s">
        <v>1124</v>
      </c>
      <c r="EE337" s="70" t="s">
        <v>1124</v>
      </c>
      <c r="EF337" s="70" t="s">
        <v>1124</v>
      </c>
      <c r="EG337" s="70" t="s">
        <v>1124</v>
      </c>
      <c r="EH337" s="72"/>
      <c r="EI337" s="72">
        <v>1867</v>
      </c>
    </row>
    <row r="338" spans="71:139" x14ac:dyDescent="0.35">
      <c r="BS338" s="486">
        <v>9015</v>
      </c>
      <c r="BT338" s="479" t="s">
        <v>1099</v>
      </c>
      <c r="BU338" s="479">
        <v>1</v>
      </c>
      <c r="BV338" s="476" t="s">
        <v>1188</v>
      </c>
      <c r="BW338" s="476" t="s">
        <v>1188</v>
      </c>
      <c r="BX338" s="476" t="s">
        <v>1188</v>
      </c>
      <c r="BY338" s="476" t="s">
        <v>1188</v>
      </c>
      <c r="BZ338" s="476" t="s">
        <v>1188</v>
      </c>
      <c r="CA338" s="476" t="s">
        <v>1188</v>
      </c>
      <c r="CB338" s="476" t="s">
        <v>1188</v>
      </c>
      <c r="CC338" s="476" t="s">
        <v>1188</v>
      </c>
      <c r="CD338" s="476" t="s">
        <v>1188</v>
      </c>
      <c r="CE338" s="476" t="s">
        <v>1187</v>
      </c>
      <c r="CF338" s="476" t="s">
        <v>1187</v>
      </c>
      <c r="CG338" s="476" t="s">
        <v>1187</v>
      </c>
      <c r="CH338" s="476" t="s">
        <v>1187</v>
      </c>
      <c r="CI338" s="476" t="s">
        <v>1187</v>
      </c>
      <c r="CJ338" s="476" t="s">
        <v>1187</v>
      </c>
      <c r="CK338" s="476" t="s">
        <v>1187</v>
      </c>
      <c r="CL338" s="476" t="s">
        <v>1187</v>
      </c>
      <c r="CM338" s="476" t="str">
        <f>IF(VLOOKUP(BS338,'Données par municipalité'!$B$6:$E$1113,4,FALSE)="","non","oui")</f>
        <v>non</v>
      </c>
      <c r="CN338" s="410" t="s">
        <v>1124</v>
      </c>
      <c r="CO338" s="410" t="s">
        <v>1124</v>
      </c>
      <c r="CP338" s="410"/>
      <c r="CQ338" s="410"/>
      <c r="CR338" s="410"/>
      <c r="CS338" s="410" t="s">
        <v>1124</v>
      </c>
      <c r="CT338" s="410"/>
      <c r="CU338" s="410" t="s">
        <v>1124</v>
      </c>
      <c r="CV338" s="410" t="str">
        <f>IF(VLOOKUP(BS338,'Données par municipalité'!$B$6:$F$1113,4,FALSE)="","",VLOOKUP(BS338,'Données par municipalité'!$B$6:$F$1113,4,FALSE))</f>
        <v/>
      </c>
      <c r="CW338" s="476" t="s">
        <v>4723</v>
      </c>
      <c r="CX338" s="483" t="s">
        <v>1124</v>
      </c>
      <c r="CY338" s="483" t="s">
        <v>1124</v>
      </c>
      <c r="CZ338" s="483" t="s">
        <v>1124</v>
      </c>
      <c r="DA338" s="483" t="s">
        <v>1124</v>
      </c>
      <c r="DB338" s="483" t="s">
        <v>1124</v>
      </c>
      <c r="DC338" s="483" t="s">
        <v>1124</v>
      </c>
      <c r="DD338" s="483" t="s">
        <v>1124</v>
      </c>
      <c r="DE338" s="483" t="str">
        <f>IFERROR(SUM(VLOOKUP($BS338,'État &amp; Plan d''action'!$B$6:$Z$1113,18,FALSE),VLOOKUP($BS338,'État &amp; Plan d''action'!$B$6:$Z$1113,20,FALSE))/(VLOOKUP($BS338,'Données par municipalité'!$B$4:$L$1113,11,FALSE)),"")</f>
        <v/>
      </c>
      <c r="DF338" s="483" t="str">
        <f>IFERROR(SUM(VLOOKUP($BS338,'État &amp; Plan d''action'!$B$6:$Z$1113,19,FALSE),VLOOKUP($BS338,'État &amp; Plan d''action'!$B$6:$Z$1113,21,FALSE))/(VLOOKUP($BS338,'Données par municipalité'!$B$4:$L$1113,11,FALSE)),"")</f>
        <v/>
      </c>
      <c r="DG338" s="476" t="s">
        <v>4723</v>
      </c>
      <c r="DH338" s="484" t="s">
        <v>1124</v>
      </c>
      <c r="DI338" s="484" t="s">
        <v>1124</v>
      </c>
      <c r="DJ338" s="484">
        <v>0</v>
      </c>
      <c r="DK338" s="484">
        <v>0</v>
      </c>
      <c r="DL338" s="484" t="s">
        <v>1124</v>
      </c>
      <c r="DM338" s="484" t="s">
        <v>1124</v>
      </c>
      <c r="DN338" s="484" t="s">
        <v>1124</v>
      </c>
      <c r="DO338" s="484" t="s">
        <v>1124</v>
      </c>
      <c r="DP338" s="484" t="s">
        <v>1124</v>
      </c>
      <c r="DQ338" s="484" t="str">
        <f>IF(VLOOKUP($BS338,'État &amp; Plan d''action'!$B$6:$AJ$1113,28,FALSE)="","",VLOOKUP($BS338,'État &amp; Plan d''action'!$B$6:$AJ$1113,28,FALSE))</f>
        <v/>
      </c>
      <c r="DR338" s="70" t="str">
        <f>IF(VLOOKUP($BS338,'État &amp; Plan d''action'!$B$6:$AJ$1113,29,FALSE)="","",VLOOKUP($BS338,'État &amp; Plan d''action'!$B$6:$AJ$1113,29,FALSE))</f>
        <v/>
      </c>
      <c r="DS338" s="70" t="str">
        <f>IF(VLOOKUP($BS338,'État &amp; Plan d''action'!$B$6:$AJ$1113,30,FALSE)="","",VLOOKUP($BS338,'État &amp; Plan d''action'!$B$6:$AJ$1113,30,FALSE))</f>
        <v/>
      </c>
      <c r="DT338" s="70" t="s">
        <v>1124</v>
      </c>
      <c r="DU338" s="485" t="s">
        <v>1124</v>
      </c>
      <c r="DV338" s="485" t="s">
        <v>1124</v>
      </c>
      <c r="DW338" s="70" t="s">
        <v>1124</v>
      </c>
      <c r="DX338" s="70" t="s">
        <v>1124</v>
      </c>
      <c r="DY338" s="70" t="s">
        <v>1124</v>
      </c>
      <c r="DZ338" s="70" t="str">
        <f>VLOOKUP($BS338,'État &amp; Plan d''action'!$B$6:$AH$1113,31,FALSE)</f>
        <v/>
      </c>
      <c r="EA338" s="70" t="str">
        <f>VLOOKUP($BS338,'État &amp; Plan d''action'!$B$6:$AH$1113,32,FALSE)</f>
        <v/>
      </c>
      <c r="EB338" s="70" t="str">
        <f>VLOOKUP($BS338,'État &amp; Plan d''action'!$B$6:$AH$1113,33,FALSE)</f>
        <v/>
      </c>
      <c r="EC338" s="70" t="s">
        <v>1124</v>
      </c>
      <c r="ED338" s="70" t="s">
        <v>1124</v>
      </c>
      <c r="EE338" s="70" t="s">
        <v>1124</v>
      </c>
      <c r="EF338" s="70" t="s">
        <v>1124</v>
      </c>
      <c r="EG338" s="70" t="s">
        <v>1124</v>
      </c>
      <c r="EH338" s="72"/>
      <c r="EI338" s="72">
        <v>493</v>
      </c>
    </row>
    <row r="339" spans="71:139" x14ac:dyDescent="0.35">
      <c r="BS339" s="486">
        <v>1023</v>
      </c>
      <c r="BT339" s="479" t="s">
        <v>1024</v>
      </c>
      <c r="BU339" s="479">
        <v>11</v>
      </c>
      <c r="BV339" s="476" t="s">
        <v>1187</v>
      </c>
      <c r="BW339" s="476" t="s">
        <v>1187</v>
      </c>
      <c r="BX339" s="476" t="s">
        <v>1187</v>
      </c>
      <c r="BY339" s="476" t="s">
        <v>1187</v>
      </c>
      <c r="BZ339" s="476" t="s">
        <v>1187</v>
      </c>
      <c r="CA339" s="476" t="s">
        <v>1187</v>
      </c>
      <c r="CB339" s="476" t="s">
        <v>1187</v>
      </c>
      <c r="CC339" s="476" t="s">
        <v>1187</v>
      </c>
      <c r="CD339" s="476" t="s">
        <v>1187</v>
      </c>
      <c r="CE339" s="476" t="s">
        <v>1188</v>
      </c>
      <c r="CF339" s="476" t="s">
        <v>1188</v>
      </c>
      <c r="CG339" s="476" t="s">
        <v>1188</v>
      </c>
      <c r="CH339" s="476" t="s">
        <v>1188</v>
      </c>
      <c r="CI339" s="476" t="s">
        <v>1188</v>
      </c>
      <c r="CJ339" s="476" t="s">
        <v>1188</v>
      </c>
      <c r="CK339" s="476" t="s">
        <v>1188</v>
      </c>
      <c r="CL339" s="476" t="s">
        <v>1187</v>
      </c>
      <c r="CM339" s="476" t="str">
        <f>IF(VLOOKUP(BS339,'Données par municipalité'!$B$6:$E$1113,4,FALSE)="","non","oui")</f>
        <v>non</v>
      </c>
      <c r="CN339" s="410">
        <v>609.63378355219982</v>
      </c>
      <c r="CO339" s="410">
        <v>619.68748033694021</v>
      </c>
      <c r="CP339" s="410">
        <v>543.69249642199952</v>
      </c>
      <c r="CQ339" s="410">
        <v>518.17188603304612</v>
      </c>
      <c r="CR339" s="410">
        <v>483.02217200960314</v>
      </c>
      <c r="CS339" s="410">
        <v>480.71756596825554</v>
      </c>
      <c r="CT339" s="410">
        <v>472.40134958130892</v>
      </c>
      <c r="CU339" s="410" t="s">
        <v>1124</v>
      </c>
      <c r="CV339" s="410" t="str">
        <f>IF(VLOOKUP(BS339,'Données par municipalité'!$B$6:$F$1113,4,FALSE)="","",VLOOKUP(BS339,'Données par municipalité'!$B$6:$F$1113,4,FALSE))</f>
        <v/>
      </c>
      <c r="CW339" s="476" t="s">
        <v>4723</v>
      </c>
      <c r="CX339" s="483">
        <v>0.3</v>
      </c>
      <c r="CY339" s="483">
        <v>0.3</v>
      </c>
      <c r="CZ339" s="483">
        <v>0.02</v>
      </c>
      <c r="DA339" s="483">
        <v>1</v>
      </c>
      <c r="DB339" s="483">
        <v>1</v>
      </c>
      <c r="DC339" s="483">
        <v>1</v>
      </c>
      <c r="DD339" s="483" t="s">
        <v>1124</v>
      </c>
      <c r="DE339" s="483" t="str">
        <f>IFERROR(SUM(VLOOKUP($BS339,'État &amp; Plan d''action'!$B$6:$Z$1113,18,FALSE),VLOOKUP($BS339,'État &amp; Plan d''action'!$B$6:$Z$1113,20,FALSE))/(VLOOKUP($BS339,'Données par municipalité'!$B$4:$L$1113,11,FALSE)),"")</f>
        <v/>
      </c>
      <c r="DF339" s="483" t="str">
        <f>IFERROR(SUM(VLOOKUP($BS339,'État &amp; Plan d''action'!$B$6:$Z$1113,19,FALSE),VLOOKUP($BS339,'État &amp; Plan d''action'!$B$6:$Z$1113,21,FALSE))/(VLOOKUP($BS339,'Données par municipalité'!$B$4:$L$1113,11,FALSE)),"")</f>
        <v/>
      </c>
      <c r="DG339" s="476" t="s">
        <v>4723</v>
      </c>
      <c r="DH339" s="484">
        <v>8</v>
      </c>
      <c r="DI339" s="484">
        <v>4</v>
      </c>
      <c r="DJ339" s="484">
        <v>3</v>
      </c>
      <c r="DK339" s="484">
        <v>11</v>
      </c>
      <c r="DL339" s="484">
        <v>58</v>
      </c>
      <c r="DM339" s="484">
        <v>51</v>
      </c>
      <c r="DN339" s="484" t="s">
        <v>1124</v>
      </c>
      <c r="DO339" s="484" t="s">
        <v>1124</v>
      </c>
      <c r="DP339" s="484" t="s">
        <v>1124</v>
      </c>
      <c r="DQ339" s="484" t="str">
        <f>IF(VLOOKUP($BS339,'État &amp; Plan d''action'!$B$6:$AJ$1113,28,FALSE)="","",VLOOKUP($BS339,'État &amp; Plan d''action'!$B$6:$AJ$1113,28,FALSE))</f>
        <v/>
      </c>
      <c r="DR339" s="70" t="str">
        <f>IF(VLOOKUP($BS339,'État &amp; Plan d''action'!$B$6:$AJ$1113,29,FALSE)="","",VLOOKUP($BS339,'État &amp; Plan d''action'!$B$6:$AJ$1113,29,FALSE))</f>
        <v/>
      </c>
      <c r="DS339" s="70" t="str">
        <f>IF(VLOOKUP($BS339,'État &amp; Plan d''action'!$B$6:$AJ$1113,30,FALSE)="","",VLOOKUP($BS339,'État &amp; Plan d''action'!$B$6:$AJ$1113,30,FALSE))</f>
        <v/>
      </c>
      <c r="DT339" s="70" t="s">
        <v>1124</v>
      </c>
      <c r="DU339" s="485" t="s">
        <v>1124</v>
      </c>
      <c r="DV339" s="485" t="s">
        <v>1124</v>
      </c>
      <c r="DW339" s="70" t="s">
        <v>1124</v>
      </c>
      <c r="DX339" s="70" t="s">
        <v>1124</v>
      </c>
      <c r="DY339" s="70" t="s">
        <v>1124</v>
      </c>
      <c r="DZ339" s="70" t="str">
        <f>VLOOKUP($BS339,'État &amp; Plan d''action'!$B$6:$AH$1113,31,FALSE)</f>
        <v/>
      </c>
      <c r="EA339" s="70" t="str">
        <f>VLOOKUP($BS339,'État &amp; Plan d''action'!$B$6:$AH$1113,32,FALSE)</f>
        <v/>
      </c>
      <c r="EB339" s="70" t="str">
        <f>VLOOKUP($BS339,'État &amp; Plan d''action'!$B$6:$AH$1113,33,FALSE)</f>
        <v/>
      </c>
      <c r="EC339" s="70" t="s">
        <v>1124</v>
      </c>
      <c r="ED339" s="70" t="s">
        <v>1124</v>
      </c>
      <c r="EE339" s="70" t="s">
        <v>1124</v>
      </c>
      <c r="EF339" s="70" t="s">
        <v>1124</v>
      </c>
      <c r="EG339" s="70" t="s">
        <v>1124</v>
      </c>
      <c r="EH339" s="72"/>
      <c r="EI339" s="72">
        <v>12367</v>
      </c>
    </row>
    <row r="340" spans="71:139" x14ac:dyDescent="0.35">
      <c r="BS340" s="486">
        <v>8005</v>
      </c>
      <c r="BT340" s="479" t="s">
        <v>1086</v>
      </c>
      <c r="BU340" s="479">
        <v>1</v>
      </c>
      <c r="BV340" s="476" t="s">
        <v>1187</v>
      </c>
      <c r="BW340" s="476" t="s">
        <v>1187</v>
      </c>
      <c r="BX340" s="476" t="s">
        <v>1187</v>
      </c>
      <c r="BY340" s="476" t="s">
        <v>1187</v>
      </c>
      <c r="BZ340" s="476" t="s">
        <v>1187</v>
      </c>
      <c r="CA340" s="476" t="s">
        <v>1187</v>
      </c>
      <c r="CB340" s="476" t="s">
        <v>1187</v>
      </c>
      <c r="CC340" s="476" t="s">
        <v>1187</v>
      </c>
      <c r="CD340" s="476" t="s">
        <v>1187</v>
      </c>
      <c r="CE340" s="476" t="s">
        <v>1188</v>
      </c>
      <c r="CF340" s="476" t="s">
        <v>1188</v>
      </c>
      <c r="CG340" s="476" t="s">
        <v>1188</v>
      </c>
      <c r="CH340" s="476" t="s">
        <v>1187</v>
      </c>
      <c r="CI340" s="476" t="s">
        <v>1188</v>
      </c>
      <c r="CJ340" s="476" t="s">
        <v>1187</v>
      </c>
      <c r="CK340" s="476" t="s">
        <v>1187</v>
      </c>
      <c r="CL340" s="476" t="s">
        <v>1188</v>
      </c>
      <c r="CM340" s="476" t="str">
        <f>IF(VLOOKUP(BS340,'Données par municipalité'!$B$6:$E$1113,4,FALSE)="","non","oui")</f>
        <v>oui</v>
      </c>
      <c r="CN340" s="410">
        <v>597.10873664362043</v>
      </c>
      <c r="CO340" s="410">
        <v>335.90218397690762</v>
      </c>
      <c r="CP340" s="410">
        <v>316.02117750572677</v>
      </c>
      <c r="CQ340" s="410">
        <v>316.35471459638291</v>
      </c>
      <c r="CR340" s="410">
        <v>354.33020368375151</v>
      </c>
      <c r="CS340" s="410" t="s">
        <v>1124</v>
      </c>
      <c r="CT340" s="410"/>
      <c r="CU340" s="410">
        <v>1308</v>
      </c>
      <c r="CV340" s="410">
        <f>IF(VLOOKUP(BS340,'Données par municipalité'!$B$6:$F$1113,4,FALSE)="","",VLOOKUP(BS340,'Données par municipalité'!$B$6:$F$1113,4,FALSE))</f>
        <v>1106</v>
      </c>
      <c r="CW340" s="476" t="s">
        <v>4723</v>
      </c>
      <c r="CX340" s="483">
        <v>0</v>
      </c>
      <c r="CY340" s="483">
        <v>0</v>
      </c>
      <c r="CZ340" s="483" t="s">
        <v>1124</v>
      </c>
      <c r="DA340" s="483">
        <v>0</v>
      </c>
      <c r="DB340" s="483" t="s">
        <v>1124</v>
      </c>
      <c r="DC340" s="483" t="s">
        <v>1124</v>
      </c>
      <c r="DD340" s="483" t="s">
        <v>1124</v>
      </c>
      <c r="DE340" s="483">
        <f>IFERROR(SUM(VLOOKUP($BS340,'État &amp; Plan d''action'!$B$6:$Z$1113,18,FALSE),VLOOKUP($BS340,'État &amp; Plan d''action'!$B$6:$Z$1113,20,FALSE))/(VLOOKUP($BS340,'Données par municipalité'!$B$4:$L$1113,11,FALSE)),"")</f>
        <v>1</v>
      </c>
      <c r="DF340" s="483">
        <f>IFERROR(SUM(VLOOKUP($BS340,'État &amp; Plan d''action'!$B$6:$Z$1113,19,FALSE),VLOOKUP($BS340,'État &amp; Plan d''action'!$B$6:$Z$1113,21,FALSE))/(VLOOKUP($BS340,'Données par municipalité'!$B$4:$L$1113,11,FALSE)),"")</f>
        <v>1</v>
      </c>
      <c r="DG340" s="476" t="s">
        <v>4723</v>
      </c>
      <c r="DH340" s="484">
        <v>1</v>
      </c>
      <c r="DI340" s="484">
        <v>0</v>
      </c>
      <c r="DJ340" s="484">
        <v>1</v>
      </c>
      <c r="DK340" s="484">
        <v>2</v>
      </c>
      <c r="DL340" s="484" t="s">
        <v>1124</v>
      </c>
      <c r="DM340" s="484" t="s">
        <v>1124</v>
      </c>
      <c r="DN340" s="484">
        <v>2</v>
      </c>
      <c r="DO340" s="484">
        <v>0</v>
      </c>
      <c r="DP340" s="484">
        <v>0</v>
      </c>
      <c r="DQ340" s="484">
        <f>IF(VLOOKUP($BS340,'État &amp; Plan d''action'!$B$6:$AJ$1113,28,FALSE)="","",VLOOKUP($BS340,'État &amp; Plan d''action'!$B$6:$AJ$1113,28,FALSE))</f>
        <v>0</v>
      </c>
      <c r="DR340" s="70">
        <f>IF(VLOOKUP($BS340,'État &amp; Plan d''action'!$B$6:$AJ$1113,29,FALSE)="","",VLOOKUP($BS340,'État &amp; Plan d''action'!$B$6:$AJ$1113,29,FALSE))</f>
        <v>10</v>
      </c>
      <c r="DS340" s="70">
        <f>IF(VLOOKUP($BS340,'État &amp; Plan d''action'!$B$6:$AJ$1113,30,FALSE)="","",VLOOKUP($BS340,'État &amp; Plan d''action'!$B$6:$AJ$1113,30,FALSE))</f>
        <v>6</v>
      </c>
      <c r="DT340" s="70">
        <v>211</v>
      </c>
      <c r="DU340" s="485">
        <v>13.743164584957869</v>
      </c>
      <c r="DV340" s="485">
        <v>12.912483014426547</v>
      </c>
      <c r="DW340" s="70">
        <v>1</v>
      </c>
      <c r="DX340" s="70">
        <v>0</v>
      </c>
      <c r="DY340" s="70">
        <v>0</v>
      </c>
      <c r="DZ340" s="70">
        <f>VLOOKUP($BS340,'État &amp; Plan d''action'!$B$6:$AH$1113,31,FALSE)</f>
        <v>0</v>
      </c>
      <c r="EA340" s="70">
        <f>VLOOKUP($BS340,'État &amp; Plan d''action'!$B$6:$AH$1113,32,FALSE)</f>
        <v>31</v>
      </c>
      <c r="EB340" s="70">
        <f>VLOOKUP($BS340,'État &amp; Plan d''action'!$B$6:$AH$1113,33,FALSE)</f>
        <v>31</v>
      </c>
      <c r="EC340" s="70">
        <v>0</v>
      </c>
      <c r="ED340" s="70">
        <v>0</v>
      </c>
      <c r="EE340" s="70">
        <v>0</v>
      </c>
      <c r="EF340" s="70">
        <v>0</v>
      </c>
      <c r="EG340" s="70">
        <v>0</v>
      </c>
      <c r="EH340" s="72">
        <v>50.568627450980394</v>
      </c>
      <c r="EI340" s="72">
        <v>977</v>
      </c>
    </row>
    <row r="341" spans="71:139" x14ac:dyDescent="0.35">
      <c r="BS341" s="486">
        <v>25213</v>
      </c>
      <c r="BT341" s="479" t="s">
        <v>166</v>
      </c>
      <c r="BU341" s="479">
        <v>12</v>
      </c>
      <c r="BV341" s="476" t="s">
        <v>1187</v>
      </c>
      <c r="BW341" s="476" t="s">
        <v>1187</v>
      </c>
      <c r="BX341" s="476" t="s">
        <v>1187</v>
      </c>
      <c r="BY341" s="476" t="s">
        <v>1187</v>
      </c>
      <c r="BZ341" s="476" t="s">
        <v>1187</v>
      </c>
      <c r="CA341" s="476" t="s">
        <v>1187</v>
      </c>
      <c r="CB341" s="476" t="s">
        <v>1187</v>
      </c>
      <c r="CC341" s="476" t="s">
        <v>1187</v>
      </c>
      <c r="CD341" s="476" t="s">
        <v>1187</v>
      </c>
      <c r="CE341" s="476" t="s">
        <v>1188</v>
      </c>
      <c r="CF341" s="476" t="s">
        <v>1188</v>
      </c>
      <c r="CG341" s="476" t="s">
        <v>1188</v>
      </c>
      <c r="CH341" s="476" t="s">
        <v>1188</v>
      </c>
      <c r="CI341" s="476" t="s">
        <v>1188</v>
      </c>
      <c r="CJ341" s="476" t="s">
        <v>1188</v>
      </c>
      <c r="CK341" s="476" t="s">
        <v>1188</v>
      </c>
      <c r="CL341" s="476" t="s">
        <v>1188</v>
      </c>
      <c r="CM341" s="476" t="str">
        <f>IF(VLOOKUP(BS341,'Données par municipalité'!$B$6:$E$1113,4,FALSE)="","non","oui")</f>
        <v>oui</v>
      </c>
      <c r="CN341" s="410">
        <v>425.6331495936094</v>
      </c>
      <c r="CO341" s="410">
        <v>403.64637355734789</v>
      </c>
      <c r="CP341" s="410">
        <v>385.28614062739092</v>
      </c>
      <c r="CQ341" s="410">
        <v>397.73447464633745</v>
      </c>
      <c r="CR341" s="410">
        <v>368.76736046991834</v>
      </c>
      <c r="CS341" s="410">
        <v>342.02508096990914</v>
      </c>
      <c r="CT341" s="410">
        <v>354.66980488155713</v>
      </c>
      <c r="CU341" s="410">
        <v>377</v>
      </c>
      <c r="CV341" s="410">
        <f>IF(VLOOKUP(BS341,'Données par municipalité'!$B$6:$F$1113,4,FALSE)="","",VLOOKUP(BS341,'Données par municipalité'!$B$6:$F$1113,4,FALSE))</f>
        <v>343</v>
      </c>
      <c r="CW341" s="476" t="s">
        <v>4723</v>
      </c>
      <c r="CX341" s="483">
        <v>0.2</v>
      </c>
      <c r="CY341" s="483">
        <v>0</v>
      </c>
      <c r="CZ341" s="483">
        <v>1</v>
      </c>
      <c r="DA341" s="483">
        <v>1</v>
      </c>
      <c r="DB341" s="483">
        <v>0.43</v>
      </c>
      <c r="DC341" s="483">
        <v>0.41</v>
      </c>
      <c r="DD341" s="483">
        <v>0.41801330798479086</v>
      </c>
      <c r="DE341" s="483">
        <f>IFERROR(SUM(VLOOKUP($BS341,'État &amp; Plan d''action'!$B$6:$Z$1113,18,FALSE),VLOOKUP($BS341,'État &amp; Plan d''action'!$B$6:$Z$1113,20,FALSE))/(VLOOKUP($BS341,'Données par municipalité'!$B$4:$L$1113,11,FALSE)),"")</f>
        <v>0.39922022684310016</v>
      </c>
      <c r="DF341" s="483">
        <f>IFERROR(SUM(VLOOKUP($BS341,'État &amp; Plan d''action'!$B$6:$Z$1113,19,FALSE),VLOOKUP($BS341,'État &amp; Plan d''action'!$B$6:$Z$1113,21,FALSE))/(VLOOKUP($BS341,'Données par municipalité'!$B$4:$L$1113,11,FALSE)),"")</f>
        <v>0.79844045368620031</v>
      </c>
      <c r="DG341" s="476" t="s">
        <v>4723</v>
      </c>
      <c r="DH341" s="484">
        <v>139</v>
      </c>
      <c r="DI341" s="484">
        <v>185</v>
      </c>
      <c r="DJ341" s="484">
        <v>70</v>
      </c>
      <c r="DK341" s="484">
        <v>77</v>
      </c>
      <c r="DL341" s="484">
        <v>70</v>
      </c>
      <c r="DM341" s="484">
        <v>136</v>
      </c>
      <c r="DN341" s="484">
        <v>138</v>
      </c>
      <c r="DO341" s="484">
        <v>0</v>
      </c>
      <c r="DP341" s="484">
        <v>5</v>
      </c>
      <c r="DQ341" s="484">
        <f>IF(VLOOKUP($BS341,'État &amp; Plan d''action'!$B$6:$AJ$1113,28,FALSE)="","",VLOOKUP($BS341,'État &amp; Plan d''action'!$B$6:$AJ$1113,28,FALSE))</f>
        <v>108</v>
      </c>
      <c r="DR341" s="70">
        <f>IF(VLOOKUP($BS341,'État &amp; Plan d''action'!$B$6:$AJ$1113,29,FALSE)="","",VLOOKUP($BS341,'État &amp; Plan d''action'!$B$6:$AJ$1113,29,FALSE))</f>
        <v>27</v>
      </c>
      <c r="DS341" s="70">
        <f>IF(VLOOKUP($BS341,'État &amp; Plan d''action'!$B$6:$AJ$1113,30,FALSE)="","",VLOOKUP($BS341,'État &amp; Plan d''action'!$B$6:$AJ$1113,30,FALSE))</f>
        <v>5</v>
      </c>
      <c r="DT341" s="70">
        <v>227</v>
      </c>
      <c r="DU341" s="485">
        <v>3.2124322384141104</v>
      </c>
      <c r="DV341" s="485">
        <v>2.6325822160069641</v>
      </c>
      <c r="DW341" s="70">
        <v>2</v>
      </c>
      <c r="DX341" s="70">
        <v>10</v>
      </c>
      <c r="DY341" s="70">
        <v>46</v>
      </c>
      <c r="DZ341" s="70">
        <f>VLOOKUP($BS341,'État &amp; Plan d''action'!$B$6:$AH$1113,31,FALSE)</f>
        <v>3</v>
      </c>
      <c r="EA341" s="70">
        <f>VLOOKUP($BS341,'État &amp; Plan d''action'!$B$6:$AH$1113,32,FALSE)</f>
        <v>5</v>
      </c>
      <c r="EB341" s="70">
        <f>VLOOKUP($BS341,'État &amp; Plan d''action'!$B$6:$AH$1113,33,FALSE)</f>
        <v>18</v>
      </c>
      <c r="EC341" s="70">
        <v>0</v>
      </c>
      <c r="ED341" s="70">
        <v>351.8</v>
      </c>
      <c r="EE341" s="70">
        <v>0</v>
      </c>
      <c r="EF341" s="70">
        <v>0</v>
      </c>
      <c r="EG341" s="70">
        <v>0</v>
      </c>
      <c r="EH341" s="72">
        <v>60</v>
      </c>
      <c r="EI341" s="72">
        <v>146794</v>
      </c>
    </row>
    <row r="342" spans="71:139" x14ac:dyDescent="0.35">
      <c r="BS342" s="486">
        <v>71095</v>
      </c>
      <c r="BT342" s="479" t="s">
        <v>719</v>
      </c>
      <c r="BU342" s="479">
        <v>16</v>
      </c>
      <c r="BV342" s="476" t="s">
        <v>1187</v>
      </c>
      <c r="BW342" s="476" t="s">
        <v>1187</v>
      </c>
      <c r="BX342" s="476" t="s">
        <v>1187</v>
      </c>
      <c r="BY342" s="476" t="s">
        <v>1187</v>
      </c>
      <c r="BZ342" s="476" t="s">
        <v>1187</v>
      </c>
      <c r="CA342" s="476" t="s">
        <v>1187</v>
      </c>
      <c r="CB342" s="476" t="s">
        <v>1187</v>
      </c>
      <c r="CC342" s="476" t="s">
        <v>1187</v>
      </c>
      <c r="CD342" s="476" t="s">
        <v>1187</v>
      </c>
      <c r="CE342" s="476" t="s">
        <v>1188</v>
      </c>
      <c r="CF342" s="476" t="s">
        <v>1188</v>
      </c>
      <c r="CG342" s="476" t="s">
        <v>1188</v>
      </c>
      <c r="CH342" s="476" t="s">
        <v>1187</v>
      </c>
      <c r="CI342" s="476" t="s">
        <v>1187</v>
      </c>
      <c r="CJ342" s="476" t="s">
        <v>1187</v>
      </c>
      <c r="CK342" s="476" t="s">
        <v>1188</v>
      </c>
      <c r="CL342" s="476" t="s">
        <v>1188</v>
      </c>
      <c r="CM342" s="476" t="str">
        <f>IF(VLOOKUP(BS342,'Données par municipalité'!$B$6:$E$1113,4,FALSE)="","non","oui")</f>
        <v>non</v>
      </c>
      <c r="CN342" s="410">
        <v>506.80714834530966</v>
      </c>
      <c r="CO342" s="410">
        <v>528.15968792014905</v>
      </c>
      <c r="CP342" s="410">
        <v>463.78491640707455</v>
      </c>
      <c r="CQ342" s="410"/>
      <c r="CR342" s="410"/>
      <c r="CS342" s="410" t="s">
        <v>1124</v>
      </c>
      <c r="CT342" s="410">
        <v>343</v>
      </c>
      <c r="CU342" s="410">
        <v>280</v>
      </c>
      <c r="CV342" s="410" t="str">
        <f>IF(VLOOKUP(BS342,'Données par municipalité'!$B$6:$F$1113,4,FALSE)="","",VLOOKUP(BS342,'Données par municipalité'!$B$6:$F$1113,4,FALSE))</f>
        <v/>
      </c>
      <c r="CW342" s="476" t="s">
        <v>4723</v>
      </c>
      <c r="CX342" s="483">
        <v>0</v>
      </c>
      <c r="CY342" s="483">
        <v>0</v>
      </c>
      <c r="CZ342" s="483" t="s">
        <v>1124</v>
      </c>
      <c r="DA342" s="483" t="s">
        <v>1124</v>
      </c>
      <c r="DB342" s="483" t="s">
        <v>1124</v>
      </c>
      <c r="DC342" s="483">
        <v>0</v>
      </c>
      <c r="DD342" s="483" t="s">
        <v>1124</v>
      </c>
      <c r="DE342" s="483" t="str">
        <f>IFERROR(SUM(VLOOKUP($BS342,'État &amp; Plan d''action'!$B$6:$Z$1113,18,FALSE),VLOOKUP($BS342,'État &amp; Plan d''action'!$B$6:$Z$1113,20,FALSE))/(VLOOKUP($BS342,'Données par municipalité'!$B$4:$L$1113,11,FALSE)),"")</f>
        <v/>
      </c>
      <c r="DF342" s="483" t="str">
        <f>IFERROR(SUM(VLOOKUP($BS342,'État &amp; Plan d''action'!$B$6:$Z$1113,19,FALSE),VLOOKUP($BS342,'État &amp; Plan d''action'!$B$6:$Z$1113,21,FALSE))/(VLOOKUP($BS342,'Données par municipalité'!$B$4:$L$1113,11,FALSE)),"")</f>
        <v/>
      </c>
      <c r="DG342" s="476" t="s">
        <v>4723</v>
      </c>
      <c r="DH342" s="484">
        <v>0</v>
      </c>
      <c r="DI342" s="484" t="s">
        <v>1124</v>
      </c>
      <c r="DJ342" s="484">
        <v>0</v>
      </c>
      <c r="DK342" s="484">
        <v>0</v>
      </c>
      <c r="DL342" s="484" t="s">
        <v>1124</v>
      </c>
      <c r="DM342" s="484">
        <v>0</v>
      </c>
      <c r="DN342" s="484">
        <v>1</v>
      </c>
      <c r="DO342" s="484">
        <v>0</v>
      </c>
      <c r="DP342" s="484">
        <v>0</v>
      </c>
      <c r="DQ342" s="484" t="str">
        <f>IF(VLOOKUP($BS342,'État &amp; Plan d''action'!$B$6:$AJ$1113,28,FALSE)="","",VLOOKUP($BS342,'État &amp; Plan d''action'!$B$6:$AJ$1113,28,FALSE))</f>
        <v/>
      </c>
      <c r="DR342" s="70" t="str">
        <f>IF(VLOOKUP($BS342,'État &amp; Plan d''action'!$B$6:$AJ$1113,29,FALSE)="","",VLOOKUP($BS342,'État &amp; Plan d''action'!$B$6:$AJ$1113,29,FALSE))</f>
        <v/>
      </c>
      <c r="DS342" s="70" t="str">
        <f>IF(VLOOKUP($BS342,'État &amp; Plan d''action'!$B$6:$AJ$1113,30,FALSE)="","",VLOOKUP($BS342,'État &amp; Plan d''action'!$B$6:$AJ$1113,30,FALSE))</f>
        <v/>
      </c>
      <c r="DT342" s="70">
        <v>227</v>
      </c>
      <c r="DU342" s="485" t="s">
        <v>1124</v>
      </c>
      <c r="DV342" s="485" t="s">
        <v>1124</v>
      </c>
      <c r="DW342" s="70">
        <v>2</v>
      </c>
      <c r="DX342" s="70">
        <v>0</v>
      </c>
      <c r="DY342" s="70">
        <v>0</v>
      </c>
      <c r="DZ342" s="70" t="str">
        <f>VLOOKUP($BS342,'État &amp; Plan d''action'!$B$6:$AH$1113,31,FALSE)</f>
        <v/>
      </c>
      <c r="EA342" s="70" t="str">
        <f>VLOOKUP($BS342,'État &amp; Plan d''action'!$B$6:$AH$1113,32,FALSE)</f>
        <v/>
      </c>
      <c r="EB342" s="70" t="str">
        <f>VLOOKUP($BS342,'État &amp; Plan d''action'!$B$6:$AH$1113,33,FALSE)</f>
        <v/>
      </c>
      <c r="EC342" s="70">
        <v>0</v>
      </c>
      <c r="ED342" s="70">
        <v>0</v>
      </c>
      <c r="EE342" s="70">
        <v>0</v>
      </c>
      <c r="EF342" s="70">
        <v>0</v>
      </c>
      <c r="EG342" s="70">
        <v>0</v>
      </c>
      <c r="EH342" s="72">
        <v>43</v>
      </c>
      <c r="EI342" s="72">
        <v>139</v>
      </c>
    </row>
    <row r="343" spans="71:139" x14ac:dyDescent="0.35">
      <c r="BS343" s="486">
        <v>98020</v>
      </c>
      <c r="BT343" s="479" t="s">
        <v>1011</v>
      </c>
      <c r="BU343" s="479">
        <v>9</v>
      </c>
      <c r="BV343" s="476" t="s">
        <v>1187</v>
      </c>
      <c r="BW343" s="476" t="s">
        <v>1187</v>
      </c>
      <c r="BX343" s="476" t="s">
        <v>1187</v>
      </c>
      <c r="BY343" s="476" t="s">
        <v>1187</v>
      </c>
      <c r="BZ343" s="476" t="s">
        <v>1187</v>
      </c>
      <c r="CA343" s="476" t="s">
        <v>1187</v>
      </c>
      <c r="CB343" s="476" t="s">
        <v>1187</v>
      </c>
      <c r="CC343" s="476" t="s">
        <v>1187</v>
      </c>
      <c r="CD343" s="476" t="s">
        <v>1187</v>
      </c>
      <c r="CE343" s="476" t="s">
        <v>1188</v>
      </c>
      <c r="CF343" s="476" t="s">
        <v>1187</v>
      </c>
      <c r="CG343" s="476" t="s">
        <v>1187</v>
      </c>
      <c r="CH343" s="476" t="s">
        <v>1187</v>
      </c>
      <c r="CI343" s="476" t="s">
        <v>1187</v>
      </c>
      <c r="CJ343" s="476" t="s">
        <v>1187</v>
      </c>
      <c r="CK343" s="476" t="s">
        <v>1187</v>
      </c>
      <c r="CL343" s="476" t="s">
        <v>1187</v>
      </c>
      <c r="CM343" s="476" t="str">
        <f>IF(VLOOKUP(BS343,'Données par municipalité'!$B$6:$E$1113,4,FALSE)="","non","oui")</f>
        <v>non</v>
      </c>
      <c r="CN343" s="410">
        <v>1071.8401128965211</v>
      </c>
      <c r="CO343" s="410" t="s">
        <v>1124</v>
      </c>
      <c r="CP343" s="410"/>
      <c r="CQ343" s="410"/>
      <c r="CR343" s="410"/>
      <c r="CS343" s="410" t="s">
        <v>1124</v>
      </c>
      <c r="CT343" s="410"/>
      <c r="CU343" s="410" t="s">
        <v>1124</v>
      </c>
      <c r="CV343" s="410" t="str">
        <f>IF(VLOOKUP(BS343,'Données par municipalité'!$B$6:$F$1113,4,FALSE)="","",VLOOKUP(BS343,'Données par municipalité'!$B$6:$F$1113,4,FALSE))</f>
        <v/>
      </c>
      <c r="CW343" s="476" t="s">
        <v>4723</v>
      </c>
      <c r="CX343" s="483" t="s">
        <v>1124</v>
      </c>
      <c r="CY343" s="483" t="s">
        <v>1124</v>
      </c>
      <c r="CZ343" s="483" t="s">
        <v>1124</v>
      </c>
      <c r="DA343" s="483" t="s">
        <v>1124</v>
      </c>
      <c r="DB343" s="483" t="s">
        <v>1124</v>
      </c>
      <c r="DC343" s="483" t="s">
        <v>1124</v>
      </c>
      <c r="DD343" s="483" t="s">
        <v>1124</v>
      </c>
      <c r="DE343" s="483" t="str">
        <f>IFERROR(SUM(VLOOKUP($BS343,'État &amp; Plan d''action'!$B$6:$Z$1113,18,FALSE),VLOOKUP($BS343,'État &amp; Plan d''action'!$B$6:$Z$1113,20,FALSE))/(VLOOKUP($BS343,'Données par municipalité'!$B$4:$L$1113,11,FALSE)),"")</f>
        <v/>
      </c>
      <c r="DF343" s="483" t="str">
        <f>IFERROR(SUM(VLOOKUP($BS343,'État &amp; Plan d''action'!$B$6:$Z$1113,19,FALSE),VLOOKUP($BS343,'État &amp; Plan d''action'!$B$6:$Z$1113,21,FALSE))/(VLOOKUP($BS343,'Données par municipalité'!$B$4:$L$1113,11,FALSE)),"")</f>
        <v/>
      </c>
      <c r="DG343" s="476" t="s">
        <v>4723</v>
      </c>
      <c r="DH343" s="484">
        <v>3</v>
      </c>
      <c r="DI343" s="484" t="s">
        <v>1124</v>
      </c>
      <c r="DJ343" s="484">
        <v>2</v>
      </c>
      <c r="DK343" s="484">
        <v>3</v>
      </c>
      <c r="DL343" s="484" t="s">
        <v>1124</v>
      </c>
      <c r="DM343" s="484" t="s">
        <v>1124</v>
      </c>
      <c r="DN343" s="484" t="s">
        <v>1124</v>
      </c>
      <c r="DO343" s="484" t="s">
        <v>1124</v>
      </c>
      <c r="DP343" s="484" t="s">
        <v>1124</v>
      </c>
      <c r="DQ343" s="484" t="str">
        <f>IF(VLOOKUP($BS343,'État &amp; Plan d''action'!$B$6:$AJ$1113,28,FALSE)="","",VLOOKUP($BS343,'État &amp; Plan d''action'!$B$6:$AJ$1113,28,FALSE))</f>
        <v/>
      </c>
      <c r="DR343" s="70" t="str">
        <f>IF(VLOOKUP($BS343,'État &amp; Plan d''action'!$B$6:$AJ$1113,29,FALSE)="","",VLOOKUP($BS343,'État &amp; Plan d''action'!$B$6:$AJ$1113,29,FALSE))</f>
        <v/>
      </c>
      <c r="DS343" s="70" t="str">
        <f>IF(VLOOKUP($BS343,'État &amp; Plan d''action'!$B$6:$AJ$1113,30,FALSE)="","",VLOOKUP($BS343,'État &amp; Plan d''action'!$B$6:$AJ$1113,30,FALSE))</f>
        <v/>
      </c>
      <c r="DT343" s="70" t="s">
        <v>1124</v>
      </c>
      <c r="DU343" s="485" t="s">
        <v>1124</v>
      </c>
      <c r="DV343" s="485" t="s">
        <v>1124</v>
      </c>
      <c r="DW343" s="70" t="s">
        <v>1124</v>
      </c>
      <c r="DX343" s="70" t="s">
        <v>1124</v>
      </c>
      <c r="DY343" s="70" t="s">
        <v>1124</v>
      </c>
      <c r="DZ343" s="70" t="str">
        <f>VLOOKUP($BS343,'État &amp; Plan d''action'!$B$6:$AH$1113,31,FALSE)</f>
        <v/>
      </c>
      <c r="EA343" s="70" t="str">
        <f>VLOOKUP($BS343,'État &amp; Plan d''action'!$B$6:$AH$1113,32,FALSE)</f>
        <v/>
      </c>
      <c r="EB343" s="70" t="str">
        <f>VLOOKUP($BS343,'État &amp; Plan d''action'!$B$6:$AH$1113,33,FALSE)</f>
        <v/>
      </c>
      <c r="EC343" s="70" t="s">
        <v>1124</v>
      </c>
      <c r="ED343" s="70" t="s">
        <v>1124</v>
      </c>
      <c r="EE343" s="70" t="s">
        <v>1124</v>
      </c>
      <c r="EF343" s="70" t="s">
        <v>1124</v>
      </c>
      <c r="EG343" s="70" t="s">
        <v>1124</v>
      </c>
      <c r="EH343" s="72"/>
      <c r="EI343" s="72">
        <v>207</v>
      </c>
    </row>
    <row r="344" spans="71:139" x14ac:dyDescent="0.35">
      <c r="BS344" s="486">
        <v>66092</v>
      </c>
      <c r="BT344" s="479" t="s">
        <v>655</v>
      </c>
      <c r="BU344" s="479">
        <v>6</v>
      </c>
      <c r="BV344" s="476" t="s">
        <v>1188</v>
      </c>
      <c r="BW344" s="476" t="s">
        <v>1188</v>
      </c>
      <c r="BX344" s="476" t="s">
        <v>1188</v>
      </c>
      <c r="BY344" s="476" t="s">
        <v>1188</v>
      </c>
      <c r="BZ344" s="476" t="s">
        <v>1188</v>
      </c>
      <c r="CA344" s="476" t="s">
        <v>1188</v>
      </c>
      <c r="CB344" s="476" t="s">
        <v>1188</v>
      </c>
      <c r="CC344" s="476" t="s">
        <v>1188</v>
      </c>
      <c r="CD344" s="476" t="s">
        <v>1188</v>
      </c>
      <c r="CE344" s="476" t="s">
        <v>1188</v>
      </c>
      <c r="CF344" s="476" t="s">
        <v>1188</v>
      </c>
      <c r="CG344" s="476" t="s">
        <v>1188</v>
      </c>
      <c r="CH344" s="476" t="s">
        <v>1188</v>
      </c>
      <c r="CI344" s="476" t="s">
        <v>1188</v>
      </c>
      <c r="CJ344" s="476" t="s">
        <v>1187</v>
      </c>
      <c r="CK344" s="476" t="s">
        <v>1187</v>
      </c>
      <c r="CL344" s="476" t="s">
        <v>1187</v>
      </c>
      <c r="CM344" s="476" t="str">
        <f>IF(VLOOKUP(BS344,'Données par municipalité'!$B$6:$E$1113,4,FALSE)="","non","oui")</f>
        <v>non</v>
      </c>
      <c r="CN344" s="410">
        <v>809.32915760812216</v>
      </c>
      <c r="CO344" s="410">
        <v>713.42016083489432</v>
      </c>
      <c r="CP344" s="410">
        <v>659.58138380456489</v>
      </c>
      <c r="CQ344" s="410">
        <v>664.57464341802051</v>
      </c>
      <c r="CR344" s="410">
        <v>548.4040133423706</v>
      </c>
      <c r="CS344" s="410" t="s">
        <v>1124</v>
      </c>
      <c r="CT344" s="410"/>
      <c r="CU344" s="410" t="s">
        <v>1124</v>
      </c>
      <c r="CV344" s="410" t="str">
        <f>IF(VLOOKUP(BS344,'Données par municipalité'!$B$6:$F$1113,4,FALSE)="","",VLOOKUP(BS344,'Données par municipalité'!$B$6:$F$1113,4,FALSE))</f>
        <v/>
      </c>
      <c r="CW344" s="476" t="s">
        <v>4723</v>
      </c>
      <c r="CX344" s="483">
        <v>0</v>
      </c>
      <c r="CY344" s="483">
        <v>0</v>
      </c>
      <c r="CZ344" s="483">
        <v>0</v>
      </c>
      <c r="DA344" s="483">
        <v>0</v>
      </c>
      <c r="DB344" s="483" t="s">
        <v>1124</v>
      </c>
      <c r="DC344" s="483" t="s">
        <v>1124</v>
      </c>
      <c r="DD344" s="483" t="s">
        <v>1124</v>
      </c>
      <c r="DE344" s="483" t="str">
        <f>IFERROR(SUM(VLOOKUP($BS344,'État &amp; Plan d''action'!$B$6:$Z$1113,18,FALSE),VLOOKUP($BS344,'État &amp; Plan d''action'!$B$6:$Z$1113,20,FALSE))/(VLOOKUP($BS344,'Données par municipalité'!$B$4:$L$1113,11,FALSE)),"")</f>
        <v/>
      </c>
      <c r="DF344" s="483" t="str">
        <f>IFERROR(SUM(VLOOKUP($BS344,'État &amp; Plan d''action'!$B$6:$Z$1113,19,FALSE),VLOOKUP($BS344,'État &amp; Plan d''action'!$B$6:$Z$1113,21,FALSE))/(VLOOKUP($BS344,'Données par municipalité'!$B$4:$L$1113,11,FALSE)),"")</f>
        <v/>
      </c>
      <c r="DG344" s="476" t="s">
        <v>4723</v>
      </c>
      <c r="DH344" s="484" t="s">
        <v>1124</v>
      </c>
      <c r="DI344" s="484" t="s">
        <v>1124</v>
      </c>
      <c r="DJ344" s="484">
        <v>0</v>
      </c>
      <c r="DK344" s="484">
        <v>0</v>
      </c>
      <c r="DL344" s="484" t="s">
        <v>1124</v>
      </c>
      <c r="DM344" s="484" t="s">
        <v>1124</v>
      </c>
      <c r="DN344" s="484" t="s">
        <v>1124</v>
      </c>
      <c r="DO344" s="484" t="s">
        <v>1124</v>
      </c>
      <c r="DP344" s="484" t="s">
        <v>1124</v>
      </c>
      <c r="DQ344" s="484" t="str">
        <f>IF(VLOOKUP($BS344,'État &amp; Plan d''action'!$B$6:$AJ$1113,28,FALSE)="","",VLOOKUP($BS344,'État &amp; Plan d''action'!$B$6:$AJ$1113,28,FALSE))</f>
        <v/>
      </c>
      <c r="DR344" s="70" t="str">
        <f>IF(VLOOKUP($BS344,'État &amp; Plan d''action'!$B$6:$AJ$1113,29,FALSE)="","",VLOOKUP($BS344,'État &amp; Plan d''action'!$B$6:$AJ$1113,29,FALSE))</f>
        <v/>
      </c>
      <c r="DS344" s="70" t="str">
        <f>IF(VLOOKUP($BS344,'État &amp; Plan d''action'!$B$6:$AJ$1113,30,FALSE)="","",VLOOKUP($BS344,'État &amp; Plan d''action'!$B$6:$AJ$1113,30,FALSE))</f>
        <v/>
      </c>
      <c r="DT344" s="70" t="s">
        <v>1124</v>
      </c>
      <c r="DU344" s="485" t="s">
        <v>1124</v>
      </c>
      <c r="DV344" s="485" t="s">
        <v>1124</v>
      </c>
      <c r="DW344" s="70" t="s">
        <v>1124</v>
      </c>
      <c r="DX344" s="70" t="s">
        <v>1124</v>
      </c>
      <c r="DY344" s="70" t="s">
        <v>1124</v>
      </c>
      <c r="DZ344" s="70" t="str">
        <f>VLOOKUP($BS344,'État &amp; Plan d''action'!$B$6:$AH$1113,31,FALSE)</f>
        <v/>
      </c>
      <c r="EA344" s="70" t="str">
        <f>VLOOKUP($BS344,'État &amp; Plan d''action'!$B$6:$AH$1113,32,FALSE)</f>
        <v/>
      </c>
      <c r="EB344" s="70" t="str">
        <f>VLOOKUP($BS344,'État &amp; Plan d''action'!$B$6:$AH$1113,33,FALSE)</f>
        <v/>
      </c>
      <c r="EC344" s="70" t="s">
        <v>1124</v>
      </c>
      <c r="ED344" s="70" t="s">
        <v>1124</v>
      </c>
      <c r="EE344" s="70" t="s">
        <v>1124</v>
      </c>
      <c r="EF344" s="70" t="s">
        <v>1124</v>
      </c>
      <c r="EG344" s="70" t="s">
        <v>1124</v>
      </c>
      <c r="EH344" s="72"/>
      <c r="EI344" s="72">
        <v>5</v>
      </c>
    </row>
    <row r="345" spans="71:139" x14ac:dyDescent="0.35">
      <c r="BS345" s="486">
        <v>84035</v>
      </c>
      <c r="BT345" s="479" t="s">
        <v>858</v>
      </c>
      <c r="BU345" s="479">
        <v>7</v>
      </c>
      <c r="BV345" s="476" t="s">
        <v>1187</v>
      </c>
      <c r="BW345" s="476" t="s">
        <v>1187</v>
      </c>
      <c r="BX345" s="476" t="s">
        <v>1187</v>
      </c>
      <c r="BY345" s="476" t="s">
        <v>1187</v>
      </c>
      <c r="BZ345" s="476" t="s">
        <v>1187</v>
      </c>
      <c r="CA345" s="476" t="s">
        <v>1187</v>
      </c>
      <c r="CB345" s="476" t="s">
        <v>1187</v>
      </c>
      <c r="CC345" s="476" t="s">
        <v>1187</v>
      </c>
      <c r="CD345" s="476" t="s">
        <v>1187</v>
      </c>
      <c r="CE345" s="476" t="s">
        <v>1187</v>
      </c>
      <c r="CF345" s="476" t="s">
        <v>1187</v>
      </c>
      <c r="CG345" s="476" t="s">
        <v>1187</v>
      </c>
      <c r="CH345" s="476" t="s">
        <v>1187</v>
      </c>
      <c r="CI345" s="476" t="s">
        <v>1187</v>
      </c>
      <c r="CJ345" s="476" t="s">
        <v>1187</v>
      </c>
      <c r="CK345" s="476" t="s">
        <v>1187</v>
      </c>
      <c r="CL345" s="476" t="s">
        <v>1188</v>
      </c>
      <c r="CM345" s="476" t="str">
        <f>IF(VLOOKUP(BS345,'Données par municipalité'!$B$6:$E$1113,4,FALSE)="","non","oui")</f>
        <v>non</v>
      </c>
      <c r="CN345" s="410" t="s">
        <v>1124</v>
      </c>
      <c r="CO345" s="410" t="s">
        <v>1124</v>
      </c>
      <c r="CP345" s="410"/>
      <c r="CQ345" s="410"/>
      <c r="CR345" s="410"/>
      <c r="CS345" s="410" t="s">
        <v>1124</v>
      </c>
      <c r="CT345" s="410"/>
      <c r="CU345" s="410">
        <v>363</v>
      </c>
      <c r="CV345" s="410" t="str">
        <f>IF(VLOOKUP(BS345,'Données par municipalité'!$B$6:$F$1113,4,FALSE)="","",VLOOKUP(BS345,'Données par municipalité'!$B$6:$F$1113,4,FALSE))</f>
        <v/>
      </c>
      <c r="CW345" s="476" t="s">
        <v>4723</v>
      </c>
      <c r="CX345" s="483" t="s">
        <v>1124</v>
      </c>
      <c r="CY345" s="483" t="s">
        <v>1124</v>
      </c>
      <c r="CZ345" s="483" t="s">
        <v>1124</v>
      </c>
      <c r="DA345" s="483" t="s">
        <v>1124</v>
      </c>
      <c r="DB345" s="483" t="s">
        <v>1124</v>
      </c>
      <c r="DC345" s="483" t="s">
        <v>1124</v>
      </c>
      <c r="DD345" s="483">
        <v>0</v>
      </c>
      <c r="DE345" s="483" t="str">
        <f>IFERROR(SUM(VLOOKUP($BS345,'État &amp; Plan d''action'!$B$6:$Z$1113,18,FALSE),VLOOKUP($BS345,'État &amp; Plan d''action'!$B$6:$Z$1113,20,FALSE))/(VLOOKUP($BS345,'Données par municipalité'!$B$4:$L$1113,11,FALSE)),"")</f>
        <v/>
      </c>
      <c r="DF345" s="483" t="str">
        <f>IFERROR(SUM(VLOOKUP($BS345,'État &amp; Plan d''action'!$B$6:$Z$1113,19,FALSE),VLOOKUP($BS345,'État &amp; Plan d''action'!$B$6:$Z$1113,21,FALSE))/(VLOOKUP($BS345,'Données par municipalité'!$B$4:$L$1113,11,FALSE)),"")</f>
        <v/>
      </c>
      <c r="DG345" s="476" t="s">
        <v>4723</v>
      </c>
      <c r="DH345" s="484" t="s">
        <v>1124</v>
      </c>
      <c r="DI345" s="484" t="s">
        <v>1124</v>
      </c>
      <c r="DJ345" s="484">
        <v>0</v>
      </c>
      <c r="DK345" s="484">
        <v>0</v>
      </c>
      <c r="DL345" s="484" t="s">
        <v>1124</v>
      </c>
      <c r="DM345" s="484" t="s">
        <v>1124</v>
      </c>
      <c r="DN345" s="484">
        <v>0</v>
      </c>
      <c r="DO345" s="484">
        <v>0</v>
      </c>
      <c r="DP345" s="484">
        <v>0</v>
      </c>
      <c r="DQ345" s="484" t="str">
        <f>IF(VLOOKUP($BS345,'État &amp; Plan d''action'!$B$6:$AJ$1113,28,FALSE)="","",VLOOKUP($BS345,'État &amp; Plan d''action'!$B$6:$AJ$1113,28,FALSE))</f>
        <v/>
      </c>
      <c r="DR345" s="70" t="str">
        <f>IF(VLOOKUP($BS345,'État &amp; Plan d''action'!$B$6:$AJ$1113,29,FALSE)="","",VLOOKUP($BS345,'État &amp; Plan d''action'!$B$6:$AJ$1113,29,FALSE))</f>
        <v/>
      </c>
      <c r="DS345" s="70" t="str">
        <f>IF(VLOOKUP($BS345,'État &amp; Plan d''action'!$B$6:$AJ$1113,30,FALSE)="","",VLOOKUP($BS345,'État &amp; Plan d''action'!$B$6:$AJ$1113,30,FALSE))</f>
        <v/>
      </c>
      <c r="DT345" s="70">
        <v>250</v>
      </c>
      <c r="DU345" s="485">
        <v>1.9476093475966649</v>
      </c>
      <c r="DV345" s="485" t="s">
        <v>1124</v>
      </c>
      <c r="DW345" s="70">
        <v>0</v>
      </c>
      <c r="DX345" s="70">
        <v>0</v>
      </c>
      <c r="DY345" s="70">
        <v>0</v>
      </c>
      <c r="DZ345" s="70" t="str">
        <f>VLOOKUP($BS345,'État &amp; Plan d''action'!$B$6:$AH$1113,31,FALSE)</f>
        <v/>
      </c>
      <c r="EA345" s="70" t="str">
        <f>VLOOKUP($BS345,'État &amp; Plan d''action'!$B$6:$AH$1113,32,FALSE)</f>
        <v/>
      </c>
      <c r="EB345" s="70" t="str">
        <f>VLOOKUP($BS345,'État &amp; Plan d''action'!$B$6:$AH$1113,33,FALSE)</f>
        <v/>
      </c>
      <c r="EC345" s="70">
        <v>0</v>
      </c>
      <c r="ED345" s="70">
        <v>0</v>
      </c>
      <c r="EE345" s="70">
        <v>0</v>
      </c>
      <c r="EF345" s="70">
        <v>0</v>
      </c>
      <c r="EG345" s="70">
        <v>0</v>
      </c>
      <c r="EH345" s="72">
        <v>41</v>
      </c>
      <c r="EI345" s="72">
        <v>665</v>
      </c>
    </row>
    <row r="346" spans="71:139" x14ac:dyDescent="0.35">
      <c r="BS346" s="486">
        <v>71060</v>
      </c>
      <c r="BT346" s="479" t="s">
        <v>713</v>
      </c>
      <c r="BU346" s="479">
        <v>16</v>
      </c>
      <c r="BV346" s="476" t="s">
        <v>1187</v>
      </c>
      <c r="BW346" s="476" t="s">
        <v>1187</v>
      </c>
      <c r="BX346" s="476" t="s">
        <v>1187</v>
      </c>
      <c r="BY346" s="476" t="s">
        <v>1187</v>
      </c>
      <c r="BZ346" s="476" t="s">
        <v>1187</v>
      </c>
      <c r="CA346" s="476" t="s">
        <v>1187</v>
      </c>
      <c r="CB346" s="476" t="s">
        <v>1187</v>
      </c>
      <c r="CC346" s="476" t="s">
        <v>1187</v>
      </c>
      <c r="CD346" s="476" t="s">
        <v>1187</v>
      </c>
      <c r="CE346" s="476" t="s">
        <v>1188</v>
      </c>
      <c r="CF346" s="476" t="s">
        <v>1188</v>
      </c>
      <c r="CG346" s="476" t="s">
        <v>1188</v>
      </c>
      <c r="CH346" s="476" t="s">
        <v>1188</v>
      </c>
      <c r="CI346" s="476" t="s">
        <v>1188</v>
      </c>
      <c r="CJ346" s="476" t="s">
        <v>1188</v>
      </c>
      <c r="CK346" s="476" t="s">
        <v>1188</v>
      </c>
      <c r="CL346" s="476" t="s">
        <v>1187</v>
      </c>
      <c r="CM346" s="476" t="str">
        <f>IF(VLOOKUP(BS346,'Données par municipalité'!$B$6:$E$1113,4,FALSE)="","non","oui")</f>
        <v>non</v>
      </c>
      <c r="CN346" s="410">
        <v>335.35332092686536</v>
      </c>
      <c r="CO346" s="410">
        <v>332.23878165471945</v>
      </c>
      <c r="CP346" s="410">
        <v>363.79988971980191</v>
      </c>
      <c r="CQ346" s="410">
        <v>306.54968125947431</v>
      </c>
      <c r="CR346" s="410">
        <v>347.11003222594985</v>
      </c>
      <c r="CS346" s="410">
        <v>462.42559320389739</v>
      </c>
      <c r="CT346" s="410">
        <v>497.74411748039427</v>
      </c>
      <c r="CU346" s="410" t="s">
        <v>1124</v>
      </c>
      <c r="CV346" s="410" t="str">
        <f>IF(VLOOKUP(BS346,'Données par municipalité'!$B$6:$F$1113,4,FALSE)="","",VLOOKUP(BS346,'Données par municipalité'!$B$6:$F$1113,4,FALSE))</f>
        <v/>
      </c>
      <c r="CW346" s="476" t="s">
        <v>4723</v>
      </c>
      <c r="CX346" s="483">
        <v>1</v>
      </c>
      <c r="CY346" s="483">
        <v>1</v>
      </c>
      <c r="CZ346" s="483">
        <v>1</v>
      </c>
      <c r="DA346" s="483">
        <v>1</v>
      </c>
      <c r="DB346" s="483">
        <v>1</v>
      </c>
      <c r="DC346" s="483">
        <v>1</v>
      </c>
      <c r="DD346" s="483" t="s">
        <v>1124</v>
      </c>
      <c r="DE346" s="483" t="str">
        <f>IFERROR(SUM(VLOOKUP($BS346,'État &amp; Plan d''action'!$B$6:$Z$1113,18,FALSE),VLOOKUP($BS346,'État &amp; Plan d''action'!$B$6:$Z$1113,20,FALSE))/(VLOOKUP($BS346,'Données par municipalité'!$B$4:$L$1113,11,FALSE)),"")</f>
        <v/>
      </c>
      <c r="DF346" s="483" t="str">
        <f>IFERROR(SUM(VLOOKUP($BS346,'État &amp; Plan d''action'!$B$6:$Z$1113,19,FALSE),VLOOKUP($BS346,'État &amp; Plan d''action'!$B$6:$Z$1113,21,FALSE))/(VLOOKUP($BS346,'Données par municipalité'!$B$4:$L$1113,11,FALSE)),"")</f>
        <v/>
      </c>
      <c r="DG346" s="476" t="s">
        <v>4723</v>
      </c>
      <c r="DH346" s="484">
        <v>14</v>
      </c>
      <c r="DI346" s="484" t="s">
        <v>1124</v>
      </c>
      <c r="DJ346" s="484">
        <v>3</v>
      </c>
      <c r="DK346" s="484">
        <v>12</v>
      </c>
      <c r="DL346" s="484">
        <v>10</v>
      </c>
      <c r="DM346" s="484">
        <v>17</v>
      </c>
      <c r="DN346" s="484" t="s">
        <v>1124</v>
      </c>
      <c r="DO346" s="484" t="s">
        <v>1124</v>
      </c>
      <c r="DP346" s="484" t="s">
        <v>1124</v>
      </c>
      <c r="DQ346" s="484" t="str">
        <f>IF(VLOOKUP($BS346,'État &amp; Plan d''action'!$B$6:$AJ$1113,28,FALSE)="","",VLOOKUP($BS346,'État &amp; Plan d''action'!$B$6:$AJ$1113,28,FALSE))</f>
        <v/>
      </c>
      <c r="DR346" s="70" t="str">
        <f>IF(VLOOKUP($BS346,'État &amp; Plan d''action'!$B$6:$AJ$1113,29,FALSE)="","",VLOOKUP($BS346,'État &amp; Plan d''action'!$B$6:$AJ$1113,29,FALSE))</f>
        <v/>
      </c>
      <c r="DS346" s="70" t="str">
        <f>IF(VLOOKUP($BS346,'État &amp; Plan d''action'!$B$6:$AJ$1113,30,FALSE)="","",VLOOKUP($BS346,'État &amp; Plan d''action'!$B$6:$AJ$1113,30,FALSE))</f>
        <v/>
      </c>
      <c r="DT346" s="70" t="s">
        <v>1124</v>
      </c>
      <c r="DU346" s="485" t="s">
        <v>1124</v>
      </c>
      <c r="DV346" s="485" t="s">
        <v>1124</v>
      </c>
      <c r="DW346" s="70" t="s">
        <v>1124</v>
      </c>
      <c r="DX346" s="70" t="s">
        <v>1124</v>
      </c>
      <c r="DY346" s="70" t="s">
        <v>1124</v>
      </c>
      <c r="DZ346" s="70" t="str">
        <f>VLOOKUP($BS346,'État &amp; Plan d''action'!$B$6:$AH$1113,31,FALSE)</f>
        <v/>
      </c>
      <c r="EA346" s="70" t="str">
        <f>VLOOKUP($BS346,'État &amp; Plan d''action'!$B$6:$AH$1113,32,FALSE)</f>
        <v/>
      </c>
      <c r="EB346" s="70" t="str">
        <f>VLOOKUP($BS346,'État &amp; Plan d''action'!$B$6:$AH$1113,33,FALSE)</f>
        <v/>
      </c>
      <c r="EC346" s="70" t="s">
        <v>1124</v>
      </c>
      <c r="ED346" s="70" t="s">
        <v>1124</v>
      </c>
      <c r="EE346" s="70" t="s">
        <v>1124</v>
      </c>
      <c r="EF346" s="70" t="s">
        <v>1124</v>
      </c>
      <c r="EG346" s="70" t="s">
        <v>1124</v>
      </c>
      <c r="EH346" s="72"/>
      <c r="EI346" s="72">
        <v>11298</v>
      </c>
    </row>
    <row r="347" spans="71:139" x14ac:dyDescent="0.35">
      <c r="BS347" s="486">
        <v>41085</v>
      </c>
      <c r="BT347" s="479" t="s">
        <v>376</v>
      </c>
      <c r="BU347" s="479">
        <v>5</v>
      </c>
      <c r="BV347" s="476" t="s">
        <v>1188</v>
      </c>
      <c r="BW347" s="476" t="s">
        <v>1188</v>
      </c>
      <c r="BX347" s="476" t="s">
        <v>1188</v>
      </c>
      <c r="BY347" s="476" t="s">
        <v>1188</v>
      </c>
      <c r="BZ347" s="476" t="s">
        <v>1188</v>
      </c>
      <c r="CA347" s="476" t="s">
        <v>1188</v>
      </c>
      <c r="CB347" s="476" t="s">
        <v>1188</v>
      </c>
      <c r="CC347" s="476" t="s">
        <v>1188</v>
      </c>
      <c r="CD347" s="476" t="s">
        <v>1188</v>
      </c>
      <c r="CE347" s="476" t="s">
        <v>1187</v>
      </c>
      <c r="CF347" s="476" t="s">
        <v>1187</v>
      </c>
      <c r="CG347" s="476" t="s">
        <v>1187</v>
      </c>
      <c r="CH347" s="476" t="s">
        <v>1187</v>
      </c>
      <c r="CI347" s="476" t="s">
        <v>1187</v>
      </c>
      <c r="CJ347" s="476" t="s">
        <v>1187</v>
      </c>
      <c r="CK347" s="476" t="s">
        <v>1187</v>
      </c>
      <c r="CL347" s="476" t="s">
        <v>1187</v>
      </c>
      <c r="CM347" s="476" t="str">
        <f>IF(VLOOKUP(BS347,'Données par municipalité'!$B$6:$E$1113,4,FALSE)="","non","oui")</f>
        <v>non</v>
      </c>
      <c r="CN347" s="410" t="s">
        <v>1124</v>
      </c>
      <c r="CO347" s="410" t="s">
        <v>1124</v>
      </c>
      <c r="CP347" s="410"/>
      <c r="CQ347" s="410"/>
      <c r="CR347" s="410"/>
      <c r="CS347" s="410" t="s">
        <v>1124</v>
      </c>
      <c r="CT347" s="410"/>
      <c r="CU347" s="410" t="s">
        <v>1124</v>
      </c>
      <c r="CV347" s="410" t="str">
        <f>IF(VLOOKUP(BS347,'Données par municipalité'!$B$6:$F$1113,4,FALSE)="","",VLOOKUP(BS347,'Données par municipalité'!$B$6:$F$1113,4,FALSE))</f>
        <v/>
      </c>
      <c r="CW347" s="476" t="s">
        <v>4723</v>
      </c>
      <c r="CX347" s="483" t="s">
        <v>1124</v>
      </c>
      <c r="CY347" s="483" t="s">
        <v>1124</v>
      </c>
      <c r="CZ347" s="483" t="s">
        <v>1124</v>
      </c>
      <c r="DA347" s="483" t="s">
        <v>1124</v>
      </c>
      <c r="DB347" s="483" t="s">
        <v>1124</v>
      </c>
      <c r="DC347" s="483" t="s">
        <v>1124</v>
      </c>
      <c r="DD347" s="483" t="s">
        <v>1124</v>
      </c>
      <c r="DE347" s="483" t="str">
        <f>IFERROR(SUM(VLOOKUP($BS347,'État &amp; Plan d''action'!$B$6:$Z$1113,18,FALSE),VLOOKUP($BS347,'État &amp; Plan d''action'!$B$6:$Z$1113,20,FALSE))/(VLOOKUP($BS347,'Données par municipalité'!$B$4:$L$1113,11,FALSE)),"")</f>
        <v/>
      </c>
      <c r="DF347" s="483" t="str">
        <f>IFERROR(SUM(VLOOKUP($BS347,'État &amp; Plan d''action'!$B$6:$Z$1113,19,FALSE),VLOOKUP($BS347,'État &amp; Plan d''action'!$B$6:$Z$1113,21,FALSE))/(VLOOKUP($BS347,'Données par municipalité'!$B$4:$L$1113,11,FALSE)),"")</f>
        <v/>
      </c>
      <c r="DG347" s="476" t="s">
        <v>4723</v>
      </c>
      <c r="DH347" s="484" t="s">
        <v>1124</v>
      </c>
      <c r="DI347" s="484" t="s">
        <v>1124</v>
      </c>
      <c r="DJ347" s="484">
        <v>0</v>
      </c>
      <c r="DK347" s="484">
        <v>0</v>
      </c>
      <c r="DL347" s="484" t="s">
        <v>1124</v>
      </c>
      <c r="DM347" s="484" t="s">
        <v>1124</v>
      </c>
      <c r="DN347" s="484" t="s">
        <v>1124</v>
      </c>
      <c r="DO347" s="484" t="s">
        <v>1124</v>
      </c>
      <c r="DP347" s="484" t="s">
        <v>1124</v>
      </c>
      <c r="DQ347" s="484" t="str">
        <f>IF(VLOOKUP($BS347,'État &amp; Plan d''action'!$B$6:$AJ$1113,28,FALSE)="","",VLOOKUP($BS347,'État &amp; Plan d''action'!$B$6:$AJ$1113,28,FALSE))</f>
        <v/>
      </c>
      <c r="DR347" s="70" t="str">
        <f>IF(VLOOKUP($BS347,'État &amp; Plan d''action'!$B$6:$AJ$1113,29,FALSE)="","",VLOOKUP($BS347,'État &amp; Plan d''action'!$B$6:$AJ$1113,29,FALSE))</f>
        <v/>
      </c>
      <c r="DS347" s="70" t="str">
        <f>IF(VLOOKUP($BS347,'État &amp; Plan d''action'!$B$6:$AJ$1113,30,FALSE)="","",VLOOKUP($BS347,'État &amp; Plan d''action'!$B$6:$AJ$1113,30,FALSE))</f>
        <v/>
      </c>
      <c r="DT347" s="70" t="s">
        <v>1124</v>
      </c>
      <c r="DU347" s="485" t="s">
        <v>1124</v>
      </c>
      <c r="DV347" s="485" t="s">
        <v>1124</v>
      </c>
      <c r="DW347" s="70" t="s">
        <v>1124</v>
      </c>
      <c r="DX347" s="70" t="s">
        <v>1124</v>
      </c>
      <c r="DY347" s="70" t="s">
        <v>1124</v>
      </c>
      <c r="DZ347" s="70" t="str">
        <f>VLOOKUP($BS347,'État &amp; Plan d''action'!$B$6:$AH$1113,31,FALSE)</f>
        <v/>
      </c>
      <c r="EA347" s="70" t="str">
        <f>VLOOKUP($BS347,'État &amp; Plan d''action'!$B$6:$AH$1113,32,FALSE)</f>
        <v/>
      </c>
      <c r="EB347" s="70" t="str">
        <f>VLOOKUP($BS347,'État &amp; Plan d''action'!$B$6:$AH$1113,33,FALSE)</f>
        <v/>
      </c>
      <c r="EC347" s="70" t="s">
        <v>1124</v>
      </c>
      <c r="ED347" s="70" t="s">
        <v>1124</v>
      </c>
      <c r="EE347" s="70" t="s">
        <v>1124</v>
      </c>
      <c r="EF347" s="70" t="s">
        <v>1124</v>
      </c>
      <c r="EG347" s="70" t="s">
        <v>1124</v>
      </c>
      <c r="EH347" s="72"/>
      <c r="EI347" s="72">
        <v>472</v>
      </c>
    </row>
    <row r="348" spans="71:139" x14ac:dyDescent="0.35">
      <c r="BS348" s="486">
        <v>84082</v>
      </c>
      <c r="BT348" s="479" t="s">
        <v>866</v>
      </c>
      <c r="BU348" s="479">
        <v>7</v>
      </c>
      <c r="BV348" s="476" t="s">
        <v>1187</v>
      </c>
      <c r="BW348" s="476" t="s">
        <v>1187</v>
      </c>
      <c r="BX348" s="476" t="s">
        <v>1187</v>
      </c>
      <c r="BY348" s="476" t="s">
        <v>1187</v>
      </c>
      <c r="BZ348" s="476" t="s">
        <v>1187</v>
      </c>
      <c r="CA348" s="476" t="s">
        <v>1187</v>
      </c>
      <c r="CB348" s="476" t="s">
        <v>1187</v>
      </c>
      <c r="CC348" s="476" t="s">
        <v>1187</v>
      </c>
      <c r="CD348" s="476" t="s">
        <v>1187</v>
      </c>
      <c r="CE348" s="476" t="s">
        <v>1187</v>
      </c>
      <c r="CF348" s="476" t="s">
        <v>1187</v>
      </c>
      <c r="CG348" s="476" t="s">
        <v>1187</v>
      </c>
      <c r="CH348" s="476" t="s">
        <v>1187</v>
      </c>
      <c r="CI348" s="476" t="s">
        <v>1187</v>
      </c>
      <c r="CJ348" s="476" t="s">
        <v>1188</v>
      </c>
      <c r="CK348" s="476" t="s">
        <v>1187</v>
      </c>
      <c r="CL348" s="476" t="s">
        <v>1188</v>
      </c>
      <c r="CM348" s="476" t="str">
        <f>IF(VLOOKUP(BS348,'Données par municipalité'!$B$6:$E$1113,4,FALSE)="","non","oui")</f>
        <v>non</v>
      </c>
      <c r="CN348" s="410" t="s">
        <v>1124</v>
      </c>
      <c r="CO348" s="410" t="s">
        <v>1124</v>
      </c>
      <c r="CP348" s="410"/>
      <c r="CQ348" s="410"/>
      <c r="CR348" s="410"/>
      <c r="CS348" s="410">
        <v>550.18385089341791</v>
      </c>
      <c r="CT348" s="410"/>
      <c r="CU348" s="410">
        <v>315</v>
      </c>
      <c r="CV348" s="410" t="str">
        <f>IF(VLOOKUP(BS348,'Données par municipalité'!$B$6:$F$1113,4,FALSE)="","",VLOOKUP(BS348,'Données par municipalité'!$B$6:$F$1113,4,FALSE))</f>
        <v/>
      </c>
      <c r="CW348" s="476" t="s">
        <v>4723</v>
      </c>
      <c r="CX348" s="483" t="s">
        <v>1124</v>
      </c>
      <c r="CY348" s="483" t="s">
        <v>1124</v>
      </c>
      <c r="CZ348" s="483" t="s">
        <v>1124</v>
      </c>
      <c r="DA348" s="483" t="s">
        <v>1124</v>
      </c>
      <c r="DB348" s="483">
        <v>1</v>
      </c>
      <c r="DC348" s="483" t="s">
        <v>1124</v>
      </c>
      <c r="DD348" s="483">
        <v>0</v>
      </c>
      <c r="DE348" s="483" t="str">
        <f>IFERROR(SUM(VLOOKUP($BS348,'État &amp; Plan d''action'!$B$6:$Z$1113,18,FALSE),VLOOKUP($BS348,'État &amp; Plan d''action'!$B$6:$Z$1113,20,FALSE))/(VLOOKUP($BS348,'Données par municipalité'!$B$4:$L$1113,11,FALSE)),"")</f>
        <v/>
      </c>
      <c r="DF348" s="483" t="str">
        <f>IFERROR(SUM(VLOOKUP($BS348,'État &amp; Plan d''action'!$B$6:$Z$1113,19,FALSE),VLOOKUP($BS348,'État &amp; Plan d''action'!$B$6:$Z$1113,21,FALSE))/(VLOOKUP($BS348,'Données par municipalité'!$B$4:$L$1113,11,FALSE)),"")</f>
        <v/>
      </c>
      <c r="DG348" s="476" t="s">
        <v>4723</v>
      </c>
      <c r="DH348" s="484">
        <v>0</v>
      </c>
      <c r="DI348" s="484">
        <v>2</v>
      </c>
      <c r="DJ348" s="484">
        <v>1</v>
      </c>
      <c r="DK348" s="484">
        <v>0</v>
      </c>
      <c r="DL348" s="484">
        <v>1</v>
      </c>
      <c r="DM348" s="484" t="s">
        <v>1124</v>
      </c>
      <c r="DN348" s="484">
        <v>0</v>
      </c>
      <c r="DO348" s="484">
        <v>1</v>
      </c>
      <c r="DP348" s="484">
        <v>0</v>
      </c>
      <c r="DQ348" s="484" t="str">
        <f>IF(VLOOKUP($BS348,'État &amp; Plan d''action'!$B$6:$AJ$1113,28,FALSE)="","",VLOOKUP($BS348,'État &amp; Plan d''action'!$B$6:$AJ$1113,28,FALSE))</f>
        <v/>
      </c>
      <c r="DR348" s="70" t="str">
        <f>IF(VLOOKUP($BS348,'État &amp; Plan d''action'!$B$6:$AJ$1113,29,FALSE)="","",VLOOKUP($BS348,'État &amp; Plan d''action'!$B$6:$AJ$1113,29,FALSE))</f>
        <v/>
      </c>
      <c r="DS348" s="70" t="str">
        <f>IF(VLOOKUP($BS348,'État &amp; Plan d''action'!$B$6:$AJ$1113,30,FALSE)="","",VLOOKUP($BS348,'État &amp; Plan d''action'!$B$6:$AJ$1113,30,FALSE))</f>
        <v/>
      </c>
      <c r="DT348" s="70">
        <v>256</v>
      </c>
      <c r="DU348" s="485">
        <v>1.6548397244256867</v>
      </c>
      <c r="DV348" s="485" t="s">
        <v>1124</v>
      </c>
      <c r="DW348" s="70">
        <v>0</v>
      </c>
      <c r="DX348" s="70">
        <v>1</v>
      </c>
      <c r="DY348" s="70">
        <v>0</v>
      </c>
      <c r="DZ348" s="70" t="str">
        <f>VLOOKUP($BS348,'État &amp; Plan d''action'!$B$6:$AH$1113,31,FALSE)</f>
        <v/>
      </c>
      <c r="EA348" s="70" t="str">
        <f>VLOOKUP($BS348,'État &amp; Plan d''action'!$B$6:$AH$1113,32,FALSE)</f>
        <v/>
      </c>
      <c r="EB348" s="70" t="str">
        <f>VLOOKUP($BS348,'État &amp; Plan d''action'!$B$6:$AH$1113,33,FALSE)</f>
        <v/>
      </c>
      <c r="EC348" s="70">
        <v>0</v>
      </c>
      <c r="ED348" s="70">
        <v>0</v>
      </c>
      <c r="EE348" s="70">
        <v>0</v>
      </c>
      <c r="EF348" s="70">
        <v>0</v>
      </c>
      <c r="EG348" s="70">
        <v>0</v>
      </c>
      <c r="EH348" s="72">
        <v>52</v>
      </c>
      <c r="EI348" s="72">
        <v>1339</v>
      </c>
    </row>
    <row r="349" spans="71:139" x14ac:dyDescent="0.35">
      <c r="BS349" s="486">
        <v>16023</v>
      </c>
      <c r="BT349" s="479" t="s">
        <v>86</v>
      </c>
      <c r="BU349" s="479">
        <v>3</v>
      </c>
      <c r="BV349" s="476" t="s">
        <v>1187</v>
      </c>
      <c r="BW349" s="476" t="s">
        <v>1187</v>
      </c>
      <c r="BX349" s="476" t="s">
        <v>1187</v>
      </c>
      <c r="BY349" s="476" t="s">
        <v>1187</v>
      </c>
      <c r="BZ349" s="476" t="s">
        <v>1187</v>
      </c>
      <c r="CA349" s="476" t="s">
        <v>1187</v>
      </c>
      <c r="CB349" s="476" t="s">
        <v>1187</v>
      </c>
      <c r="CC349" s="476" t="s">
        <v>1187</v>
      </c>
      <c r="CD349" s="476" t="s">
        <v>1187</v>
      </c>
      <c r="CE349" s="476" t="s">
        <v>1188</v>
      </c>
      <c r="CF349" s="476" t="s">
        <v>1188</v>
      </c>
      <c r="CG349" s="476" t="s">
        <v>1188</v>
      </c>
      <c r="CH349" s="476" t="s">
        <v>1188</v>
      </c>
      <c r="CI349" s="476" t="s">
        <v>1188</v>
      </c>
      <c r="CJ349" s="476" t="s">
        <v>1188</v>
      </c>
      <c r="CK349" s="476" t="s">
        <v>1188</v>
      </c>
      <c r="CL349" s="476" t="s">
        <v>1188</v>
      </c>
      <c r="CM349" s="476" t="str">
        <f>IF(VLOOKUP(BS349,'Données par municipalité'!$B$6:$E$1113,4,FALSE)="","non","oui")</f>
        <v>oui</v>
      </c>
      <c r="CN349" s="410">
        <v>228.6391180637404</v>
      </c>
      <c r="CO349" s="410">
        <v>341.48617702293006</v>
      </c>
      <c r="CP349" s="410">
        <v>323.21602043392744</v>
      </c>
      <c r="CQ349" s="410">
        <v>321.11548617385716</v>
      </c>
      <c r="CR349" s="410">
        <v>324.97183182114691</v>
      </c>
      <c r="CS349" s="410">
        <v>329.94973425777846</v>
      </c>
      <c r="CT349" s="410">
        <v>281.92093661024131</v>
      </c>
      <c r="CU349" s="410">
        <v>298</v>
      </c>
      <c r="CV349" s="410">
        <f>IF(VLOOKUP(BS349,'Données par municipalité'!$B$6:$F$1113,4,FALSE)="","",VLOOKUP(BS349,'Données par municipalité'!$B$6:$F$1113,4,FALSE))</f>
        <v>305</v>
      </c>
      <c r="CW349" s="476" t="s">
        <v>4723</v>
      </c>
      <c r="CX349" s="483">
        <v>0</v>
      </c>
      <c r="CY349" s="483">
        <v>1</v>
      </c>
      <c r="CZ349" s="483">
        <v>1</v>
      </c>
      <c r="DA349" s="483">
        <v>0</v>
      </c>
      <c r="DB349" s="483">
        <v>0</v>
      </c>
      <c r="DC349" s="483">
        <v>0</v>
      </c>
      <c r="DD349" s="483">
        <v>0</v>
      </c>
      <c r="DE349" s="483">
        <f>IFERROR(SUM(VLOOKUP($BS349,'État &amp; Plan d''action'!$B$6:$Z$1113,18,FALSE),VLOOKUP($BS349,'État &amp; Plan d''action'!$B$6:$Z$1113,20,FALSE))/(VLOOKUP($BS349,'Données par municipalité'!$B$4:$L$1113,11,FALSE)),"")</f>
        <v>0</v>
      </c>
      <c r="DF349" s="483">
        <f>IFERROR(SUM(VLOOKUP($BS349,'État &amp; Plan d''action'!$B$6:$Z$1113,19,FALSE),VLOOKUP($BS349,'État &amp; Plan d''action'!$B$6:$Z$1113,21,FALSE))/(VLOOKUP($BS349,'Données par municipalité'!$B$4:$L$1113,11,FALSE)),"")</f>
        <v>0</v>
      </c>
      <c r="DG349" s="476" t="s">
        <v>4723</v>
      </c>
      <c r="DH349" s="484">
        <v>0</v>
      </c>
      <c r="DI349" s="484">
        <v>2</v>
      </c>
      <c r="DJ349" s="484">
        <v>0</v>
      </c>
      <c r="DK349" s="484">
        <v>1</v>
      </c>
      <c r="DL349" s="484">
        <v>0</v>
      </c>
      <c r="DM349" s="484">
        <v>0</v>
      </c>
      <c r="DN349" s="484">
        <v>0</v>
      </c>
      <c r="DO349" s="484">
        <v>0</v>
      </c>
      <c r="DP349" s="484">
        <v>2</v>
      </c>
      <c r="DQ349" s="484">
        <f>IF(VLOOKUP($BS349,'État &amp; Plan d''action'!$B$6:$AJ$1113,28,FALSE)="","",VLOOKUP($BS349,'État &amp; Plan d''action'!$B$6:$AJ$1113,28,FALSE))</f>
        <v>0</v>
      </c>
      <c r="DR349" s="70">
        <f>IF(VLOOKUP($BS349,'État &amp; Plan d''action'!$B$6:$AJ$1113,29,FALSE)="","",VLOOKUP($BS349,'État &amp; Plan d''action'!$B$6:$AJ$1113,29,FALSE))</f>
        <v>0</v>
      </c>
      <c r="DS349" s="70">
        <f>IF(VLOOKUP($BS349,'État &amp; Plan d''action'!$B$6:$AJ$1113,30,FALSE)="","",VLOOKUP($BS349,'État &amp; Plan d''action'!$B$6:$AJ$1113,30,FALSE))</f>
        <v>0</v>
      </c>
      <c r="DT349" s="70">
        <v>224</v>
      </c>
      <c r="DU349" s="485">
        <v>0.79957681236529532</v>
      </c>
      <c r="DV349" s="485">
        <v>1.1351970307194188</v>
      </c>
      <c r="DW349" s="70">
        <v>0</v>
      </c>
      <c r="DX349" s="70">
        <v>0</v>
      </c>
      <c r="DY349" s="70">
        <v>1</v>
      </c>
      <c r="DZ349" s="70">
        <f>VLOOKUP($BS349,'État &amp; Plan d''action'!$B$6:$AH$1113,31,FALSE)</f>
        <v>0</v>
      </c>
      <c r="EA349" s="70">
        <f>VLOOKUP($BS349,'État &amp; Plan d''action'!$B$6:$AH$1113,32,FALSE)</f>
        <v>0</v>
      </c>
      <c r="EB349" s="70">
        <f>VLOOKUP($BS349,'État &amp; Plan d''action'!$B$6:$AH$1113,33,FALSE)</f>
        <v>0</v>
      </c>
      <c r="EC349" s="70">
        <v>0</v>
      </c>
      <c r="ED349" s="70">
        <v>0</v>
      </c>
      <c r="EE349" s="70">
        <v>0</v>
      </c>
      <c r="EF349" s="70">
        <v>0</v>
      </c>
      <c r="EG349" s="70">
        <v>0</v>
      </c>
      <c r="EH349" s="72">
        <v>55</v>
      </c>
      <c r="EI349" s="72">
        <v>1111</v>
      </c>
    </row>
    <row r="350" spans="71:139" x14ac:dyDescent="0.35">
      <c r="BS350" s="486">
        <v>17078</v>
      </c>
      <c r="BT350" s="479" t="s">
        <v>103</v>
      </c>
      <c r="BU350" s="479">
        <v>12</v>
      </c>
      <c r="BV350" s="476" t="s">
        <v>1187</v>
      </c>
      <c r="BW350" s="476" t="s">
        <v>1187</v>
      </c>
      <c r="BX350" s="476" t="s">
        <v>1187</v>
      </c>
      <c r="BY350" s="476" t="s">
        <v>1187</v>
      </c>
      <c r="BZ350" s="476" t="s">
        <v>1187</v>
      </c>
      <c r="CA350" s="476" t="s">
        <v>1187</v>
      </c>
      <c r="CB350" s="476" t="s">
        <v>1187</v>
      </c>
      <c r="CC350" s="476" t="s">
        <v>1187</v>
      </c>
      <c r="CD350" s="476" t="s">
        <v>1187</v>
      </c>
      <c r="CE350" s="476" t="s">
        <v>1188</v>
      </c>
      <c r="CF350" s="476" t="s">
        <v>1188</v>
      </c>
      <c r="CG350" s="476" t="s">
        <v>1188</v>
      </c>
      <c r="CH350" s="476" t="s">
        <v>1188</v>
      </c>
      <c r="CI350" s="476" t="s">
        <v>1188</v>
      </c>
      <c r="CJ350" s="476" t="s">
        <v>1188</v>
      </c>
      <c r="CK350" s="476" t="s">
        <v>1188</v>
      </c>
      <c r="CL350" s="476" t="s">
        <v>1188</v>
      </c>
      <c r="CM350" s="476" t="str">
        <f>IF(VLOOKUP(BS350,'Données par municipalité'!$B$6:$E$1113,4,FALSE)="","non","oui")</f>
        <v>oui</v>
      </c>
      <c r="CN350" s="410">
        <v>364.45496589074054</v>
      </c>
      <c r="CO350" s="410">
        <v>359.57159173310959</v>
      </c>
      <c r="CP350" s="410">
        <v>333.26685809491488</v>
      </c>
      <c r="CQ350" s="410">
        <v>325.25597719731132</v>
      </c>
      <c r="CR350" s="410">
        <v>343.59498020297633</v>
      </c>
      <c r="CS350" s="410">
        <v>354.86824625636683</v>
      </c>
      <c r="CT350" s="410">
        <v>331.55659094487629</v>
      </c>
      <c r="CU350" s="410">
        <v>400</v>
      </c>
      <c r="CV350" s="410">
        <f>IF(VLOOKUP(BS350,'Données par municipalité'!$B$6:$F$1113,4,FALSE)="","",VLOOKUP(BS350,'Données par municipalité'!$B$6:$F$1113,4,FALSE))</f>
        <v>403</v>
      </c>
      <c r="CW350" s="476" t="s">
        <v>4723</v>
      </c>
      <c r="CX350" s="483">
        <v>0</v>
      </c>
      <c r="CY350" s="483">
        <v>0</v>
      </c>
      <c r="CZ350" s="483">
        <v>0</v>
      </c>
      <c r="DA350" s="483">
        <v>0</v>
      </c>
      <c r="DB350" s="483">
        <v>0</v>
      </c>
      <c r="DC350" s="483">
        <v>0</v>
      </c>
      <c r="DD350" s="483">
        <v>0</v>
      </c>
      <c r="DE350" s="483">
        <f>IFERROR(SUM(VLOOKUP($BS350,'État &amp; Plan d''action'!$B$6:$Z$1113,18,FALSE),VLOOKUP($BS350,'État &amp; Plan d''action'!$B$6:$Z$1113,20,FALSE))/(VLOOKUP($BS350,'Données par municipalité'!$B$4:$L$1113,11,FALSE)),"")</f>
        <v>0</v>
      </c>
      <c r="DF350" s="483">
        <f>IFERROR(SUM(VLOOKUP($BS350,'État &amp; Plan d''action'!$B$6:$Z$1113,19,FALSE),VLOOKUP($BS350,'État &amp; Plan d''action'!$B$6:$Z$1113,21,FALSE))/(VLOOKUP($BS350,'Données par municipalité'!$B$4:$L$1113,11,FALSE)),"")</f>
        <v>0</v>
      </c>
      <c r="DG350" s="476" t="s">
        <v>4723</v>
      </c>
      <c r="DH350" s="484">
        <v>6</v>
      </c>
      <c r="DI350" s="484">
        <v>1</v>
      </c>
      <c r="DJ350" s="484">
        <v>5</v>
      </c>
      <c r="DK350" s="484">
        <v>10</v>
      </c>
      <c r="DL350" s="484">
        <v>8</v>
      </c>
      <c r="DM350" s="484">
        <v>11</v>
      </c>
      <c r="DN350" s="484">
        <v>9</v>
      </c>
      <c r="DO350" s="484">
        <v>0</v>
      </c>
      <c r="DP350" s="484">
        <v>0</v>
      </c>
      <c r="DQ350" s="484">
        <f>IF(VLOOKUP($BS350,'État &amp; Plan d''action'!$B$6:$AJ$1113,28,FALSE)="","",VLOOKUP($BS350,'État &amp; Plan d''action'!$B$6:$AJ$1113,28,FALSE))</f>
        <v>7</v>
      </c>
      <c r="DR350" s="70">
        <f>IF(VLOOKUP($BS350,'État &amp; Plan d''action'!$B$6:$AJ$1113,29,FALSE)="","",VLOOKUP($BS350,'État &amp; Plan d''action'!$B$6:$AJ$1113,29,FALSE))</f>
        <v>0</v>
      </c>
      <c r="DS350" s="70">
        <f>IF(VLOOKUP($BS350,'État &amp; Plan d''action'!$B$6:$AJ$1113,30,FALSE)="","",VLOOKUP($BS350,'État &amp; Plan d''action'!$B$6:$AJ$1113,30,FALSE))</f>
        <v>1</v>
      </c>
      <c r="DT350" s="70">
        <v>226</v>
      </c>
      <c r="DU350" s="485">
        <v>1.364647202300671</v>
      </c>
      <c r="DV350" s="485">
        <v>1.9528509715131674</v>
      </c>
      <c r="DW350" s="70">
        <v>1</v>
      </c>
      <c r="DX350" s="70">
        <v>0</v>
      </c>
      <c r="DY350" s="70">
        <v>0</v>
      </c>
      <c r="DZ350" s="70">
        <f>VLOOKUP($BS350,'État &amp; Plan d''action'!$B$6:$AH$1113,31,FALSE)</f>
        <v>1</v>
      </c>
      <c r="EA350" s="70">
        <f>VLOOKUP($BS350,'État &amp; Plan d''action'!$B$6:$AH$1113,32,FALSE)</f>
        <v>0</v>
      </c>
      <c r="EB350" s="70">
        <f>VLOOKUP($BS350,'État &amp; Plan d''action'!$B$6:$AH$1113,33,FALSE)</f>
        <v>1</v>
      </c>
      <c r="EC350" s="70">
        <v>0</v>
      </c>
      <c r="ED350" s="70">
        <v>0</v>
      </c>
      <c r="EE350" s="70">
        <v>0</v>
      </c>
      <c r="EF350" s="70">
        <v>0</v>
      </c>
      <c r="EG350" s="70">
        <v>0</v>
      </c>
      <c r="EH350" s="72">
        <v>60</v>
      </c>
      <c r="EI350" s="72">
        <v>3848</v>
      </c>
    </row>
    <row r="351" spans="71:139" x14ac:dyDescent="0.35">
      <c r="BS351" s="486">
        <v>12043</v>
      </c>
      <c r="BT351" s="479" t="s">
        <v>35</v>
      </c>
      <c r="BU351" s="479">
        <v>1</v>
      </c>
      <c r="BV351" s="476" t="s">
        <v>1187</v>
      </c>
      <c r="BW351" s="476" t="s">
        <v>1187</v>
      </c>
      <c r="BX351" s="476" t="s">
        <v>1187</v>
      </c>
      <c r="BY351" s="476" t="s">
        <v>1187</v>
      </c>
      <c r="BZ351" s="476" t="s">
        <v>1187</v>
      </c>
      <c r="CA351" s="476" t="s">
        <v>1187</v>
      </c>
      <c r="CB351" s="476" t="s">
        <v>1187</v>
      </c>
      <c r="CC351" s="476" t="s">
        <v>1187</v>
      </c>
      <c r="CD351" s="476" t="s">
        <v>1187</v>
      </c>
      <c r="CE351" s="476" t="s">
        <v>1188</v>
      </c>
      <c r="CF351" s="476" t="s">
        <v>1187</v>
      </c>
      <c r="CG351" s="476" t="s">
        <v>1187</v>
      </c>
      <c r="CH351" s="476" t="s">
        <v>1187</v>
      </c>
      <c r="CI351" s="476" t="s">
        <v>1188</v>
      </c>
      <c r="CJ351" s="476" t="s">
        <v>1188</v>
      </c>
      <c r="CK351" s="476" t="s">
        <v>1188</v>
      </c>
      <c r="CL351" s="476" t="s">
        <v>1188</v>
      </c>
      <c r="CM351" s="476" t="str">
        <f>IF(VLOOKUP(BS351,'Données par municipalité'!$B$6:$E$1113,4,FALSE)="","non","oui")</f>
        <v>oui</v>
      </c>
      <c r="CN351" s="410">
        <v>379.69567606027033</v>
      </c>
      <c r="CO351" s="410" t="s">
        <v>1124</v>
      </c>
      <c r="CP351" s="410"/>
      <c r="CQ351" s="410"/>
      <c r="CR351" s="410">
        <v>263.88605345572154</v>
      </c>
      <c r="CS351" s="410">
        <v>250.08765590228336</v>
      </c>
      <c r="CT351" s="410">
        <v>229.10119663347007</v>
      </c>
      <c r="CU351" s="410">
        <v>225</v>
      </c>
      <c r="CV351" s="410">
        <f>IF(VLOOKUP(BS351,'Données par municipalité'!$B$6:$F$1113,4,FALSE)="","",VLOOKUP(BS351,'Données par municipalité'!$B$6:$F$1113,4,FALSE))</f>
        <v>239</v>
      </c>
      <c r="CW351" s="476" t="s">
        <v>4723</v>
      </c>
      <c r="CX351" s="483" t="s">
        <v>1124</v>
      </c>
      <c r="CY351" s="483" t="s">
        <v>1124</v>
      </c>
      <c r="CZ351" s="483" t="s">
        <v>1124</v>
      </c>
      <c r="DA351" s="483">
        <v>0</v>
      </c>
      <c r="DB351" s="483">
        <v>0</v>
      </c>
      <c r="DC351" s="483">
        <v>0</v>
      </c>
      <c r="DD351" s="483">
        <v>0</v>
      </c>
      <c r="DE351" s="483">
        <f>IFERROR(SUM(VLOOKUP($BS351,'État &amp; Plan d''action'!$B$6:$Z$1113,18,FALSE),VLOOKUP($BS351,'État &amp; Plan d''action'!$B$6:$Z$1113,20,FALSE))/(VLOOKUP($BS351,'Données par municipalité'!$B$4:$L$1113,11,FALSE)),"")</f>
        <v>0</v>
      </c>
      <c r="DF351" s="483">
        <f>IFERROR(SUM(VLOOKUP($BS351,'État &amp; Plan d''action'!$B$6:$Z$1113,19,FALSE),VLOOKUP($BS351,'État &amp; Plan d''action'!$B$6:$Z$1113,21,FALSE))/(VLOOKUP($BS351,'Données par municipalité'!$B$4:$L$1113,11,FALSE)),"")</f>
        <v>0</v>
      </c>
      <c r="DG351" s="476" t="s">
        <v>4723</v>
      </c>
      <c r="DH351" s="484" t="s">
        <v>1124</v>
      </c>
      <c r="DI351" s="484" t="s">
        <v>1124</v>
      </c>
      <c r="DJ351" s="484">
        <v>0</v>
      </c>
      <c r="DK351" s="484">
        <v>0</v>
      </c>
      <c r="DL351" s="484">
        <v>0</v>
      </c>
      <c r="DM351" s="484">
        <v>0</v>
      </c>
      <c r="DN351" s="484">
        <v>2</v>
      </c>
      <c r="DO351" s="484">
        <v>2</v>
      </c>
      <c r="DP351" s="484">
        <v>0</v>
      </c>
      <c r="DQ351" s="484">
        <f>IF(VLOOKUP($BS351,'État &amp; Plan d''action'!$B$6:$AJ$1113,28,FALSE)="","",VLOOKUP($BS351,'État &amp; Plan d''action'!$B$6:$AJ$1113,28,FALSE))</f>
        <v>1</v>
      </c>
      <c r="DR351" s="70">
        <f>IF(VLOOKUP($BS351,'État &amp; Plan d''action'!$B$6:$AJ$1113,29,FALSE)="","",VLOOKUP($BS351,'État &amp; Plan d''action'!$B$6:$AJ$1113,29,FALSE))</f>
        <v>1</v>
      </c>
      <c r="DS351" s="70">
        <f>IF(VLOOKUP($BS351,'État &amp; Plan d''action'!$B$6:$AJ$1113,30,FALSE)="","",VLOOKUP($BS351,'État &amp; Plan d''action'!$B$6:$AJ$1113,30,FALSE))</f>
        <v>0</v>
      </c>
      <c r="DT351" s="70">
        <v>182</v>
      </c>
      <c r="DU351" s="485">
        <v>0.83006252079733855</v>
      </c>
      <c r="DV351" s="485">
        <v>0.56290028979329865</v>
      </c>
      <c r="DW351" s="70">
        <v>5</v>
      </c>
      <c r="DX351" s="70">
        <v>5</v>
      </c>
      <c r="DY351" s="70">
        <v>0</v>
      </c>
      <c r="DZ351" s="70">
        <f>VLOOKUP($BS351,'État &amp; Plan d''action'!$B$6:$AH$1113,31,FALSE)</f>
        <v>2</v>
      </c>
      <c r="EA351" s="70">
        <f>VLOOKUP($BS351,'État &amp; Plan d''action'!$B$6:$AH$1113,32,FALSE)</f>
        <v>5</v>
      </c>
      <c r="EB351" s="70">
        <f>VLOOKUP($BS351,'État &amp; Plan d''action'!$B$6:$AH$1113,33,FALSE)</f>
        <v>0</v>
      </c>
      <c r="EC351" s="70">
        <v>0</v>
      </c>
      <c r="ED351" s="70">
        <v>0</v>
      </c>
      <c r="EE351" s="70">
        <v>0</v>
      </c>
      <c r="EF351" s="70">
        <v>0</v>
      </c>
      <c r="EG351" s="70">
        <v>0</v>
      </c>
      <c r="EH351" s="72">
        <v>59</v>
      </c>
      <c r="EI351" s="72">
        <v>1288</v>
      </c>
    </row>
    <row r="352" spans="71:139" x14ac:dyDescent="0.35">
      <c r="BS352" s="486">
        <v>84040</v>
      </c>
      <c r="BT352" s="479" t="s">
        <v>859</v>
      </c>
      <c r="BU352" s="479">
        <v>7</v>
      </c>
      <c r="BV352" s="476" t="s">
        <v>1188</v>
      </c>
      <c r="BW352" s="476" t="s">
        <v>1188</v>
      </c>
      <c r="BX352" s="476" t="s">
        <v>1188</v>
      </c>
      <c r="BY352" s="476" t="s">
        <v>1188</v>
      </c>
      <c r="BZ352" s="476" t="s">
        <v>1188</v>
      </c>
      <c r="CA352" s="476" t="s">
        <v>1188</v>
      </c>
      <c r="CB352" s="476" t="s">
        <v>1188</v>
      </c>
      <c r="CC352" s="476" t="s">
        <v>1188</v>
      </c>
      <c r="CD352" s="476" t="s">
        <v>1188</v>
      </c>
      <c r="CE352" s="476" t="s">
        <v>1187</v>
      </c>
      <c r="CF352" s="476" t="s">
        <v>1187</v>
      </c>
      <c r="CG352" s="476" t="s">
        <v>1187</v>
      </c>
      <c r="CH352" s="476" t="s">
        <v>1187</v>
      </c>
      <c r="CI352" s="476" t="s">
        <v>1187</v>
      </c>
      <c r="CJ352" s="476" t="s">
        <v>1187</v>
      </c>
      <c r="CK352" s="476" t="s">
        <v>1187</v>
      </c>
      <c r="CL352" s="476" t="s">
        <v>1187</v>
      </c>
      <c r="CM352" s="476" t="str">
        <f>IF(VLOOKUP(BS352,'Données par municipalité'!$B$6:$E$1113,4,FALSE)="","non","oui")</f>
        <v>non</v>
      </c>
      <c r="CN352" s="410" t="s">
        <v>1124</v>
      </c>
      <c r="CO352" s="410" t="s">
        <v>1124</v>
      </c>
      <c r="CP352" s="410"/>
      <c r="CQ352" s="410"/>
      <c r="CR352" s="410"/>
      <c r="CS352" s="410" t="s">
        <v>1124</v>
      </c>
      <c r="CT352" s="410"/>
      <c r="CU352" s="410" t="s">
        <v>1124</v>
      </c>
      <c r="CV352" s="410" t="str">
        <f>IF(VLOOKUP(BS352,'Données par municipalité'!$B$6:$F$1113,4,FALSE)="","",VLOOKUP(BS352,'Données par municipalité'!$B$6:$F$1113,4,FALSE))</f>
        <v/>
      </c>
      <c r="CW352" s="476" t="s">
        <v>4723</v>
      </c>
      <c r="CX352" s="483" t="s">
        <v>1124</v>
      </c>
      <c r="CY352" s="483" t="s">
        <v>1124</v>
      </c>
      <c r="CZ352" s="483" t="s">
        <v>1124</v>
      </c>
      <c r="DA352" s="483" t="s">
        <v>1124</v>
      </c>
      <c r="DB352" s="483" t="s">
        <v>1124</v>
      </c>
      <c r="DC352" s="483" t="s">
        <v>1124</v>
      </c>
      <c r="DD352" s="483" t="s">
        <v>1124</v>
      </c>
      <c r="DE352" s="483" t="str">
        <f>IFERROR(SUM(VLOOKUP($BS352,'État &amp; Plan d''action'!$B$6:$Z$1113,18,FALSE),VLOOKUP($BS352,'État &amp; Plan d''action'!$B$6:$Z$1113,20,FALSE))/(VLOOKUP($BS352,'Données par municipalité'!$B$4:$L$1113,11,FALSE)),"")</f>
        <v/>
      </c>
      <c r="DF352" s="483" t="str">
        <f>IFERROR(SUM(VLOOKUP($BS352,'État &amp; Plan d''action'!$B$6:$Z$1113,19,FALSE),VLOOKUP($BS352,'État &amp; Plan d''action'!$B$6:$Z$1113,21,FALSE))/(VLOOKUP($BS352,'Données par municipalité'!$B$4:$L$1113,11,FALSE)),"")</f>
        <v/>
      </c>
      <c r="DG352" s="476" t="s">
        <v>4723</v>
      </c>
      <c r="DH352" s="484" t="s">
        <v>1124</v>
      </c>
      <c r="DI352" s="484" t="s">
        <v>1124</v>
      </c>
      <c r="DJ352" s="484">
        <v>0</v>
      </c>
      <c r="DK352" s="484">
        <v>0</v>
      </c>
      <c r="DL352" s="484" t="s">
        <v>1124</v>
      </c>
      <c r="DM352" s="484" t="s">
        <v>1124</v>
      </c>
      <c r="DN352" s="484" t="s">
        <v>1124</v>
      </c>
      <c r="DO352" s="484" t="s">
        <v>1124</v>
      </c>
      <c r="DP352" s="484" t="s">
        <v>1124</v>
      </c>
      <c r="DQ352" s="484" t="str">
        <f>IF(VLOOKUP($BS352,'État &amp; Plan d''action'!$B$6:$AJ$1113,28,FALSE)="","",VLOOKUP($BS352,'État &amp; Plan d''action'!$B$6:$AJ$1113,28,FALSE))</f>
        <v/>
      </c>
      <c r="DR352" s="70" t="str">
        <f>IF(VLOOKUP($BS352,'État &amp; Plan d''action'!$B$6:$AJ$1113,29,FALSE)="","",VLOOKUP($BS352,'État &amp; Plan d''action'!$B$6:$AJ$1113,29,FALSE))</f>
        <v/>
      </c>
      <c r="DS352" s="70" t="str">
        <f>IF(VLOOKUP($BS352,'État &amp; Plan d''action'!$B$6:$AJ$1113,30,FALSE)="","",VLOOKUP($BS352,'État &amp; Plan d''action'!$B$6:$AJ$1113,30,FALSE))</f>
        <v/>
      </c>
      <c r="DT352" s="70" t="s">
        <v>1124</v>
      </c>
      <c r="DU352" s="485" t="s">
        <v>1124</v>
      </c>
      <c r="DV352" s="485" t="s">
        <v>1124</v>
      </c>
      <c r="DW352" s="70" t="s">
        <v>1124</v>
      </c>
      <c r="DX352" s="70" t="s">
        <v>1124</v>
      </c>
      <c r="DY352" s="70" t="s">
        <v>1124</v>
      </c>
      <c r="DZ352" s="70" t="str">
        <f>VLOOKUP($BS352,'État &amp; Plan d''action'!$B$6:$AH$1113,31,FALSE)</f>
        <v/>
      </c>
      <c r="EA352" s="70" t="str">
        <f>VLOOKUP($BS352,'État &amp; Plan d''action'!$B$6:$AH$1113,32,FALSE)</f>
        <v/>
      </c>
      <c r="EB352" s="70" t="str">
        <f>VLOOKUP($BS352,'État &amp; Plan d''action'!$B$6:$AH$1113,33,FALSE)</f>
        <v/>
      </c>
      <c r="EC352" s="70" t="s">
        <v>1124</v>
      </c>
      <c r="ED352" s="70" t="s">
        <v>1124</v>
      </c>
      <c r="EE352" s="70" t="s">
        <v>1124</v>
      </c>
      <c r="EF352" s="70" t="s">
        <v>1124</v>
      </c>
      <c r="EG352" s="70" t="s">
        <v>1124</v>
      </c>
      <c r="EH352" s="72"/>
      <c r="EI352" s="72">
        <v>454</v>
      </c>
    </row>
    <row r="353" spans="71:139" x14ac:dyDescent="0.35">
      <c r="BS353" s="486">
        <v>80055</v>
      </c>
      <c r="BT353" s="479" t="s">
        <v>811</v>
      </c>
      <c r="BU353" s="479">
        <v>7</v>
      </c>
      <c r="BV353" s="476" t="s">
        <v>1188</v>
      </c>
      <c r="BW353" s="476" t="s">
        <v>1188</v>
      </c>
      <c r="BX353" s="476" t="s">
        <v>1188</v>
      </c>
      <c r="BY353" s="476" t="s">
        <v>1188</v>
      </c>
      <c r="BZ353" s="476" t="s">
        <v>1188</v>
      </c>
      <c r="CA353" s="476" t="s">
        <v>1188</v>
      </c>
      <c r="CB353" s="476" t="s">
        <v>1188</v>
      </c>
      <c r="CC353" s="476" t="s">
        <v>1188</v>
      </c>
      <c r="CD353" s="476" t="s">
        <v>1188</v>
      </c>
      <c r="CE353" s="476" t="s">
        <v>1187</v>
      </c>
      <c r="CF353" s="476" t="s">
        <v>1187</v>
      </c>
      <c r="CG353" s="476" t="s">
        <v>1187</v>
      </c>
      <c r="CH353" s="476" t="s">
        <v>1187</v>
      </c>
      <c r="CI353" s="476" t="s">
        <v>1187</v>
      </c>
      <c r="CJ353" s="476" t="s">
        <v>1187</v>
      </c>
      <c r="CK353" s="476" t="s">
        <v>1187</v>
      </c>
      <c r="CL353" s="476" t="s">
        <v>1187</v>
      </c>
      <c r="CM353" s="476" t="str">
        <f>IF(VLOOKUP(BS353,'Données par municipalité'!$B$6:$E$1113,4,FALSE)="","non","oui")</f>
        <v>non</v>
      </c>
      <c r="CN353" s="410" t="s">
        <v>1124</v>
      </c>
      <c r="CO353" s="410" t="s">
        <v>1124</v>
      </c>
      <c r="CP353" s="410"/>
      <c r="CQ353" s="410"/>
      <c r="CR353" s="410"/>
      <c r="CS353" s="410" t="s">
        <v>1124</v>
      </c>
      <c r="CT353" s="410"/>
      <c r="CU353" s="410" t="s">
        <v>1124</v>
      </c>
      <c r="CV353" s="410" t="str">
        <f>IF(VLOOKUP(BS353,'Données par municipalité'!$B$6:$F$1113,4,FALSE)="","",VLOOKUP(BS353,'Données par municipalité'!$B$6:$F$1113,4,FALSE))</f>
        <v/>
      </c>
      <c r="CW353" s="476" t="s">
        <v>4723</v>
      </c>
      <c r="CX353" s="483" t="s">
        <v>1124</v>
      </c>
      <c r="CY353" s="483" t="s">
        <v>1124</v>
      </c>
      <c r="CZ353" s="483" t="s">
        <v>1124</v>
      </c>
      <c r="DA353" s="483" t="s">
        <v>1124</v>
      </c>
      <c r="DB353" s="483" t="s">
        <v>1124</v>
      </c>
      <c r="DC353" s="483" t="s">
        <v>1124</v>
      </c>
      <c r="DD353" s="483" t="s">
        <v>1124</v>
      </c>
      <c r="DE353" s="483" t="str">
        <f>IFERROR(SUM(VLOOKUP($BS353,'État &amp; Plan d''action'!$B$6:$Z$1113,18,FALSE),VLOOKUP($BS353,'État &amp; Plan d''action'!$B$6:$Z$1113,20,FALSE))/(VLOOKUP($BS353,'Données par municipalité'!$B$4:$L$1113,11,FALSE)),"")</f>
        <v/>
      </c>
      <c r="DF353" s="483" t="str">
        <f>IFERROR(SUM(VLOOKUP($BS353,'État &amp; Plan d''action'!$B$6:$Z$1113,19,FALSE),VLOOKUP($BS353,'État &amp; Plan d''action'!$B$6:$Z$1113,21,FALSE))/(VLOOKUP($BS353,'Données par municipalité'!$B$4:$L$1113,11,FALSE)),"")</f>
        <v/>
      </c>
      <c r="DG353" s="476" t="s">
        <v>4723</v>
      </c>
      <c r="DH353" s="484" t="s">
        <v>1124</v>
      </c>
      <c r="DI353" s="484" t="s">
        <v>1124</v>
      </c>
      <c r="DJ353" s="484">
        <v>0</v>
      </c>
      <c r="DK353" s="484">
        <v>0</v>
      </c>
      <c r="DL353" s="484" t="s">
        <v>1124</v>
      </c>
      <c r="DM353" s="484" t="s">
        <v>1124</v>
      </c>
      <c r="DN353" s="484" t="s">
        <v>1124</v>
      </c>
      <c r="DO353" s="484" t="s">
        <v>1124</v>
      </c>
      <c r="DP353" s="484" t="s">
        <v>1124</v>
      </c>
      <c r="DQ353" s="484" t="str">
        <f>IF(VLOOKUP($BS353,'État &amp; Plan d''action'!$B$6:$AJ$1113,28,FALSE)="","",VLOOKUP($BS353,'État &amp; Plan d''action'!$B$6:$AJ$1113,28,FALSE))</f>
        <v/>
      </c>
      <c r="DR353" s="70" t="str">
        <f>IF(VLOOKUP($BS353,'État &amp; Plan d''action'!$B$6:$AJ$1113,29,FALSE)="","",VLOOKUP($BS353,'État &amp; Plan d''action'!$B$6:$AJ$1113,29,FALSE))</f>
        <v/>
      </c>
      <c r="DS353" s="70" t="str">
        <f>IF(VLOOKUP($BS353,'État &amp; Plan d''action'!$B$6:$AJ$1113,30,FALSE)="","",VLOOKUP($BS353,'État &amp; Plan d''action'!$B$6:$AJ$1113,30,FALSE))</f>
        <v/>
      </c>
      <c r="DT353" s="70" t="s">
        <v>1124</v>
      </c>
      <c r="DU353" s="485" t="s">
        <v>1124</v>
      </c>
      <c r="DV353" s="485" t="s">
        <v>1124</v>
      </c>
      <c r="DW353" s="70" t="s">
        <v>1124</v>
      </c>
      <c r="DX353" s="70" t="s">
        <v>1124</v>
      </c>
      <c r="DY353" s="70" t="s">
        <v>1124</v>
      </c>
      <c r="DZ353" s="70" t="str">
        <f>VLOOKUP($BS353,'État &amp; Plan d''action'!$B$6:$AH$1113,31,FALSE)</f>
        <v/>
      </c>
      <c r="EA353" s="70" t="str">
        <f>VLOOKUP($BS353,'État &amp; Plan d''action'!$B$6:$AH$1113,32,FALSE)</f>
        <v/>
      </c>
      <c r="EB353" s="70" t="str">
        <f>VLOOKUP($BS353,'État &amp; Plan d''action'!$B$6:$AH$1113,33,FALSE)</f>
        <v/>
      </c>
      <c r="EC353" s="70" t="s">
        <v>1124</v>
      </c>
      <c r="ED353" s="70" t="s">
        <v>1124</v>
      </c>
      <c r="EE353" s="70" t="s">
        <v>1124</v>
      </c>
      <c r="EF353" s="70" t="s">
        <v>1124</v>
      </c>
      <c r="EG353" s="70" t="s">
        <v>1124</v>
      </c>
      <c r="EH353" s="72"/>
      <c r="EI353" s="72">
        <v>439</v>
      </c>
    </row>
    <row r="354" spans="71:139" x14ac:dyDescent="0.35">
      <c r="BS354" s="486">
        <v>80060</v>
      </c>
      <c r="BT354" s="479" t="s">
        <v>812</v>
      </c>
      <c r="BU354" s="479">
        <v>7</v>
      </c>
      <c r="BV354" s="476" t="s">
        <v>1188</v>
      </c>
      <c r="BW354" s="476" t="s">
        <v>1188</v>
      </c>
      <c r="BX354" s="476" t="s">
        <v>1188</v>
      </c>
      <c r="BY354" s="476" t="s">
        <v>1188</v>
      </c>
      <c r="BZ354" s="476" t="s">
        <v>1188</v>
      </c>
      <c r="CA354" s="476" t="s">
        <v>1188</v>
      </c>
      <c r="CB354" s="476" t="s">
        <v>1188</v>
      </c>
      <c r="CC354" s="476" t="s">
        <v>1188</v>
      </c>
      <c r="CD354" s="476" t="s">
        <v>1188</v>
      </c>
      <c r="CE354" s="476" t="s">
        <v>1187</v>
      </c>
      <c r="CF354" s="476" t="s">
        <v>1187</v>
      </c>
      <c r="CG354" s="476" t="s">
        <v>1187</v>
      </c>
      <c r="CH354" s="476" t="s">
        <v>1187</v>
      </c>
      <c r="CI354" s="476" t="s">
        <v>1187</v>
      </c>
      <c r="CJ354" s="476" t="s">
        <v>1187</v>
      </c>
      <c r="CK354" s="476" t="s">
        <v>1187</v>
      </c>
      <c r="CL354" s="476" t="s">
        <v>1187</v>
      </c>
      <c r="CM354" s="476" t="str">
        <f>IF(VLOOKUP(BS354,'Données par municipalité'!$B$6:$E$1113,4,FALSE)="","non","oui")</f>
        <v>non</v>
      </c>
      <c r="CN354" s="410" t="s">
        <v>1124</v>
      </c>
      <c r="CO354" s="410" t="s">
        <v>1124</v>
      </c>
      <c r="CP354" s="410"/>
      <c r="CQ354" s="410"/>
      <c r="CR354" s="410"/>
      <c r="CS354" s="410" t="s">
        <v>1124</v>
      </c>
      <c r="CT354" s="410"/>
      <c r="CU354" s="410" t="s">
        <v>1124</v>
      </c>
      <c r="CV354" s="410" t="str">
        <f>IF(VLOOKUP(BS354,'Données par municipalité'!$B$6:$F$1113,4,FALSE)="","",VLOOKUP(BS354,'Données par municipalité'!$B$6:$F$1113,4,FALSE))</f>
        <v/>
      </c>
      <c r="CW354" s="476" t="s">
        <v>4723</v>
      </c>
      <c r="CX354" s="483" t="s">
        <v>1124</v>
      </c>
      <c r="CY354" s="483" t="s">
        <v>1124</v>
      </c>
      <c r="CZ354" s="483" t="s">
        <v>1124</v>
      </c>
      <c r="DA354" s="483" t="s">
        <v>1124</v>
      </c>
      <c r="DB354" s="483" t="s">
        <v>1124</v>
      </c>
      <c r="DC354" s="483" t="s">
        <v>1124</v>
      </c>
      <c r="DD354" s="483" t="s">
        <v>1124</v>
      </c>
      <c r="DE354" s="483" t="str">
        <f>IFERROR(SUM(VLOOKUP($BS354,'État &amp; Plan d''action'!$B$6:$Z$1113,18,FALSE),VLOOKUP($BS354,'État &amp; Plan d''action'!$B$6:$Z$1113,20,FALSE))/(VLOOKUP($BS354,'Données par municipalité'!$B$4:$L$1113,11,FALSE)),"")</f>
        <v/>
      </c>
      <c r="DF354" s="483" t="str">
        <f>IFERROR(SUM(VLOOKUP($BS354,'État &amp; Plan d''action'!$B$6:$Z$1113,19,FALSE),VLOOKUP($BS354,'État &amp; Plan d''action'!$B$6:$Z$1113,21,FALSE))/(VLOOKUP($BS354,'Données par municipalité'!$B$4:$L$1113,11,FALSE)),"")</f>
        <v/>
      </c>
      <c r="DG354" s="476" t="s">
        <v>4723</v>
      </c>
      <c r="DH354" s="484" t="s">
        <v>1124</v>
      </c>
      <c r="DI354" s="484" t="s">
        <v>1124</v>
      </c>
      <c r="DJ354" s="484">
        <v>0</v>
      </c>
      <c r="DK354" s="484">
        <v>0</v>
      </c>
      <c r="DL354" s="484" t="s">
        <v>1124</v>
      </c>
      <c r="DM354" s="484" t="s">
        <v>1124</v>
      </c>
      <c r="DN354" s="484" t="s">
        <v>1124</v>
      </c>
      <c r="DO354" s="484" t="s">
        <v>1124</v>
      </c>
      <c r="DP354" s="484" t="s">
        <v>1124</v>
      </c>
      <c r="DQ354" s="484" t="str">
        <f>IF(VLOOKUP($BS354,'État &amp; Plan d''action'!$B$6:$AJ$1113,28,FALSE)="","",VLOOKUP($BS354,'État &amp; Plan d''action'!$B$6:$AJ$1113,28,FALSE))</f>
        <v/>
      </c>
      <c r="DR354" s="70" t="str">
        <f>IF(VLOOKUP($BS354,'État &amp; Plan d''action'!$B$6:$AJ$1113,29,FALSE)="","",VLOOKUP($BS354,'État &amp; Plan d''action'!$B$6:$AJ$1113,29,FALSE))</f>
        <v/>
      </c>
      <c r="DS354" s="70" t="str">
        <f>IF(VLOOKUP($BS354,'État &amp; Plan d''action'!$B$6:$AJ$1113,30,FALSE)="","",VLOOKUP($BS354,'État &amp; Plan d''action'!$B$6:$AJ$1113,30,FALSE))</f>
        <v/>
      </c>
      <c r="DT354" s="70" t="s">
        <v>1124</v>
      </c>
      <c r="DU354" s="485" t="s">
        <v>1124</v>
      </c>
      <c r="DV354" s="485" t="s">
        <v>1124</v>
      </c>
      <c r="DW354" s="70" t="s">
        <v>1124</v>
      </c>
      <c r="DX354" s="70" t="s">
        <v>1124</v>
      </c>
      <c r="DY354" s="70" t="s">
        <v>1124</v>
      </c>
      <c r="DZ354" s="70" t="str">
        <f>VLOOKUP($BS354,'État &amp; Plan d''action'!$B$6:$AH$1113,31,FALSE)</f>
        <v/>
      </c>
      <c r="EA354" s="70" t="str">
        <f>VLOOKUP($BS354,'État &amp; Plan d''action'!$B$6:$AH$1113,32,FALSE)</f>
        <v/>
      </c>
      <c r="EB354" s="70" t="str">
        <f>VLOOKUP($BS354,'État &amp; Plan d''action'!$B$6:$AH$1113,33,FALSE)</f>
        <v/>
      </c>
      <c r="EC354" s="70" t="s">
        <v>1124</v>
      </c>
      <c r="ED354" s="70" t="s">
        <v>1124</v>
      </c>
      <c r="EE354" s="70" t="s">
        <v>1124</v>
      </c>
      <c r="EF354" s="70" t="s">
        <v>1124</v>
      </c>
      <c r="EG354" s="70" t="s">
        <v>1124</v>
      </c>
      <c r="EH354" s="72"/>
      <c r="EI354" s="72">
        <v>892</v>
      </c>
    </row>
    <row r="355" spans="71:139" x14ac:dyDescent="0.35">
      <c r="BS355" s="486">
        <v>98045</v>
      </c>
      <c r="BT355" s="479" t="s">
        <v>1016</v>
      </c>
      <c r="BU355" s="479">
        <v>9</v>
      </c>
      <c r="BV355" s="476" t="s">
        <v>1187</v>
      </c>
      <c r="BW355" s="476" t="s">
        <v>1187</v>
      </c>
      <c r="BX355" s="476" t="s">
        <v>1187</v>
      </c>
      <c r="BY355" s="476" t="s">
        <v>1187</v>
      </c>
      <c r="BZ355" s="476" t="s">
        <v>1187</v>
      </c>
      <c r="CA355" s="476" t="s">
        <v>1187</v>
      </c>
      <c r="CB355" s="476" t="s">
        <v>1187</v>
      </c>
      <c r="CC355" s="476" t="s">
        <v>1187</v>
      </c>
      <c r="CD355" s="476" t="s">
        <v>1187</v>
      </c>
      <c r="CE355" s="476" t="s">
        <v>1188</v>
      </c>
      <c r="CF355" s="476" t="s">
        <v>1188</v>
      </c>
      <c r="CG355" s="476" t="s">
        <v>1188</v>
      </c>
      <c r="CH355" s="476" t="s">
        <v>1188</v>
      </c>
      <c r="CI355" s="476" t="s">
        <v>1188</v>
      </c>
      <c r="CJ355" s="476" t="s">
        <v>1188</v>
      </c>
      <c r="CK355" s="476" t="s">
        <v>1188</v>
      </c>
      <c r="CL355" s="476" t="s">
        <v>1188</v>
      </c>
      <c r="CM355" s="476" t="str">
        <f>IF(VLOOKUP(BS355,'Données par municipalité'!$B$6:$E$1113,4,FALSE)="","non","oui")</f>
        <v>oui</v>
      </c>
      <c r="CN355" s="410">
        <v>895.36382025680382</v>
      </c>
      <c r="CO355" s="410">
        <v>752.61896573371985</v>
      </c>
      <c r="CP355" s="410">
        <v>670.29956345024834</v>
      </c>
      <c r="CQ355" s="410">
        <v>593.70677930112311</v>
      </c>
      <c r="CR355" s="410">
        <v>539.07801442351456</v>
      </c>
      <c r="CS355" s="410">
        <v>565.73231688122974</v>
      </c>
      <c r="CT355" s="410">
        <v>576.01058261354365</v>
      </c>
      <c r="CU355" s="410">
        <v>555</v>
      </c>
      <c r="CV355" s="410">
        <f>IF(VLOOKUP(BS355,'Données par municipalité'!$B$6:$F$1113,4,FALSE)="","",VLOOKUP(BS355,'Données par municipalité'!$B$6:$F$1113,4,FALSE))</f>
        <v>652</v>
      </c>
      <c r="CW355" s="476" t="s">
        <v>4723</v>
      </c>
      <c r="CX355" s="483">
        <v>0.75</v>
      </c>
      <c r="CY355" s="483">
        <v>0</v>
      </c>
      <c r="CZ355" s="483">
        <v>0</v>
      </c>
      <c r="DA355" s="483">
        <v>0.8</v>
      </c>
      <c r="DB355" s="483">
        <v>0.8</v>
      </c>
      <c r="DC355" s="483">
        <v>0.8</v>
      </c>
      <c r="DD355" s="483">
        <v>0</v>
      </c>
      <c r="DE355" s="483">
        <f>IFERROR(SUM(VLOOKUP($BS355,'État &amp; Plan d''action'!$B$6:$Z$1113,18,FALSE),VLOOKUP($BS355,'État &amp; Plan d''action'!$B$6:$Z$1113,20,FALSE))/(VLOOKUP($BS355,'Données par municipalité'!$B$4:$L$1113,11,FALSE)),"")</f>
        <v>0</v>
      </c>
      <c r="DF355" s="483">
        <f>IFERROR(SUM(VLOOKUP($BS355,'État &amp; Plan d''action'!$B$6:$Z$1113,19,FALSE),VLOOKUP($BS355,'État &amp; Plan d''action'!$B$6:$Z$1113,21,FALSE))/(VLOOKUP($BS355,'Données par municipalité'!$B$4:$L$1113,11,FALSE)),"")</f>
        <v>1</v>
      </c>
      <c r="DG355" s="476" t="s">
        <v>4723</v>
      </c>
      <c r="DH355" s="484">
        <v>1</v>
      </c>
      <c r="DI355" s="484">
        <v>1</v>
      </c>
      <c r="DJ355" s="484">
        <v>3</v>
      </c>
      <c r="DK355" s="484">
        <v>1</v>
      </c>
      <c r="DL355" s="484">
        <v>0</v>
      </c>
      <c r="DM355" s="484">
        <v>2</v>
      </c>
      <c r="DN355" s="484">
        <v>1</v>
      </c>
      <c r="DO355" s="484">
        <v>0</v>
      </c>
      <c r="DP355" s="484">
        <v>1</v>
      </c>
      <c r="DQ355" s="484">
        <f>IF(VLOOKUP($BS355,'État &amp; Plan d''action'!$B$6:$AJ$1113,28,FALSE)="","",VLOOKUP($BS355,'État &amp; Plan d''action'!$B$6:$AJ$1113,28,FALSE))</f>
        <v>2</v>
      </c>
      <c r="DR355" s="70">
        <f>IF(VLOOKUP($BS355,'État &amp; Plan d''action'!$B$6:$AJ$1113,29,FALSE)="","",VLOOKUP($BS355,'État &amp; Plan d''action'!$B$6:$AJ$1113,29,FALSE))</f>
        <v>0</v>
      </c>
      <c r="DS355" s="70">
        <f>IF(VLOOKUP($BS355,'État &amp; Plan d''action'!$B$6:$AJ$1113,30,FALSE)="","",VLOOKUP($BS355,'État &amp; Plan d''action'!$B$6:$AJ$1113,30,FALSE))</f>
        <v>2</v>
      </c>
      <c r="DT355" s="70">
        <v>359</v>
      </c>
      <c r="DU355" s="485">
        <v>1.9043708551028273</v>
      </c>
      <c r="DV355" s="485">
        <v>4.0224337205869576</v>
      </c>
      <c r="DW355" s="70">
        <v>1</v>
      </c>
      <c r="DX355" s="70">
        <v>0</v>
      </c>
      <c r="DY355" s="70">
        <v>1</v>
      </c>
      <c r="DZ355" s="70">
        <f>VLOOKUP($BS355,'État &amp; Plan d''action'!$B$6:$AH$1113,31,FALSE)</f>
        <v>1</v>
      </c>
      <c r="EA355" s="70">
        <f>VLOOKUP($BS355,'État &amp; Plan d''action'!$B$6:$AH$1113,32,FALSE)</f>
        <v>0</v>
      </c>
      <c r="EB355" s="70">
        <f>VLOOKUP($BS355,'État &amp; Plan d''action'!$B$6:$AH$1113,33,FALSE)</f>
        <v>1</v>
      </c>
      <c r="EC355" s="70">
        <v>0</v>
      </c>
      <c r="ED355" s="70">
        <v>0</v>
      </c>
      <c r="EE355" s="70">
        <v>0</v>
      </c>
      <c r="EF355" s="70">
        <v>0</v>
      </c>
      <c r="EG355" s="70">
        <v>0</v>
      </c>
      <c r="EH355" s="72">
        <v>45</v>
      </c>
      <c r="EI355" s="72">
        <v>455</v>
      </c>
    </row>
    <row r="356" spans="71:139" x14ac:dyDescent="0.35">
      <c r="BS356" s="486">
        <v>95032</v>
      </c>
      <c r="BT356" s="479" t="s">
        <v>990</v>
      </c>
      <c r="BU356" s="479">
        <v>9</v>
      </c>
      <c r="BV356" s="476" t="s">
        <v>1187</v>
      </c>
      <c r="BW356" s="476" t="s">
        <v>1187</v>
      </c>
      <c r="BX356" s="476" t="s">
        <v>1187</v>
      </c>
      <c r="BY356" s="476" t="s">
        <v>1187</v>
      </c>
      <c r="BZ356" s="476" t="s">
        <v>1187</v>
      </c>
      <c r="CA356" s="476" t="s">
        <v>1187</v>
      </c>
      <c r="CB356" s="476" t="s">
        <v>1187</v>
      </c>
      <c r="CC356" s="476" t="s">
        <v>1187</v>
      </c>
      <c r="CD356" s="476" t="s">
        <v>1187</v>
      </c>
      <c r="CE356" s="476" t="s">
        <v>1188</v>
      </c>
      <c r="CF356" s="476" t="s">
        <v>1188</v>
      </c>
      <c r="CG356" s="476" t="s">
        <v>1187</v>
      </c>
      <c r="CH356" s="476" t="s">
        <v>1187</v>
      </c>
      <c r="CI356" s="476" t="s">
        <v>1187</v>
      </c>
      <c r="CJ356" s="476" t="s">
        <v>1187</v>
      </c>
      <c r="CK356" s="476" t="s">
        <v>1187</v>
      </c>
      <c r="CL356" s="476" t="s">
        <v>1188</v>
      </c>
      <c r="CM356" s="476" t="str">
        <f>IF(VLOOKUP(BS356,'Données par municipalité'!$B$6:$E$1113,4,FALSE)="","non","oui")</f>
        <v>oui</v>
      </c>
      <c r="CN356" s="410">
        <v>796.23364560715004</v>
      </c>
      <c r="CO356" s="410">
        <v>886.31732303780007</v>
      </c>
      <c r="CP356" s="410"/>
      <c r="CQ356" s="410"/>
      <c r="CR356" s="410"/>
      <c r="CS356" s="410" t="s">
        <v>1124</v>
      </c>
      <c r="CT356" s="410"/>
      <c r="CU356" s="410">
        <v>568</v>
      </c>
      <c r="CV356" s="410">
        <f>IF(VLOOKUP(BS356,'Données par municipalité'!$B$6:$F$1113,4,FALSE)="","",VLOOKUP(BS356,'Données par municipalité'!$B$6:$F$1113,4,FALSE))</f>
        <v>529</v>
      </c>
      <c r="CW356" s="476" t="s">
        <v>4723</v>
      </c>
      <c r="CX356" s="483">
        <v>0</v>
      </c>
      <c r="CY356" s="483" t="s">
        <v>1124</v>
      </c>
      <c r="CZ356" s="483" t="s">
        <v>1124</v>
      </c>
      <c r="DA356" s="483" t="s">
        <v>1124</v>
      </c>
      <c r="DB356" s="483" t="s">
        <v>1124</v>
      </c>
      <c r="DC356" s="483" t="s">
        <v>1124</v>
      </c>
      <c r="DD356" s="483">
        <v>0</v>
      </c>
      <c r="DE356" s="483">
        <f>IFERROR(SUM(VLOOKUP($BS356,'État &amp; Plan d''action'!$B$6:$Z$1113,18,FALSE),VLOOKUP($BS356,'État &amp; Plan d''action'!$B$6:$Z$1113,20,FALSE))/(VLOOKUP($BS356,'Données par municipalité'!$B$4:$L$1113,11,FALSE)),"")</f>
        <v>0</v>
      </c>
      <c r="DF356" s="483">
        <f>IFERROR(SUM(VLOOKUP($BS356,'État &amp; Plan d''action'!$B$6:$Z$1113,19,FALSE),VLOOKUP($BS356,'État &amp; Plan d''action'!$B$6:$Z$1113,21,FALSE))/(VLOOKUP($BS356,'Données par municipalité'!$B$4:$L$1113,11,FALSE)),"")</f>
        <v>0</v>
      </c>
      <c r="DG356" s="476" t="s">
        <v>4723</v>
      </c>
      <c r="DH356" s="484">
        <v>1</v>
      </c>
      <c r="DI356" s="484" t="s">
        <v>1124</v>
      </c>
      <c r="DJ356" s="484">
        <v>0</v>
      </c>
      <c r="DK356" s="484">
        <v>0</v>
      </c>
      <c r="DL356" s="484" t="s">
        <v>1124</v>
      </c>
      <c r="DM356" s="484" t="s">
        <v>1124</v>
      </c>
      <c r="DN356" s="484">
        <v>2</v>
      </c>
      <c r="DO356" s="484">
        <v>4</v>
      </c>
      <c r="DP356" s="484">
        <v>4</v>
      </c>
      <c r="DQ356" s="484">
        <f>IF(VLOOKUP($BS356,'État &amp; Plan d''action'!$B$6:$AJ$1113,28,FALSE)="","",VLOOKUP($BS356,'État &amp; Plan d''action'!$B$6:$AJ$1113,28,FALSE))</f>
        <v>1</v>
      </c>
      <c r="DR356" s="70">
        <f>IF(VLOOKUP($BS356,'État &amp; Plan d''action'!$B$6:$AJ$1113,29,FALSE)="","",VLOOKUP($BS356,'État &amp; Plan d''action'!$B$6:$AJ$1113,29,FALSE))</f>
        <v>1</v>
      </c>
      <c r="DS356" s="70">
        <f>IF(VLOOKUP($BS356,'État &amp; Plan d''action'!$B$6:$AJ$1113,30,FALSE)="","",VLOOKUP($BS356,'État &amp; Plan d''action'!$B$6:$AJ$1113,30,FALSE))</f>
        <v>4</v>
      </c>
      <c r="DT356" s="70">
        <v>447</v>
      </c>
      <c r="DU356" s="485">
        <v>2.6498391996731088</v>
      </c>
      <c r="DV356" s="485">
        <v>6.6549588686569923</v>
      </c>
      <c r="DW356" s="70">
        <v>1</v>
      </c>
      <c r="DX356" s="70">
        <v>2</v>
      </c>
      <c r="DY356" s="70">
        <v>5</v>
      </c>
      <c r="DZ356" s="70">
        <f>VLOOKUP($BS356,'État &amp; Plan d''action'!$B$6:$AH$1113,31,FALSE)</f>
        <v>5</v>
      </c>
      <c r="EA356" s="70">
        <f>VLOOKUP($BS356,'État &amp; Plan d''action'!$B$6:$AH$1113,32,FALSE)</f>
        <v>8</v>
      </c>
      <c r="EB356" s="70">
        <f>VLOOKUP($BS356,'État &amp; Plan d''action'!$B$6:$AH$1113,33,FALSE)</f>
        <v>4</v>
      </c>
      <c r="EC356" s="70">
        <v>0</v>
      </c>
      <c r="ED356" s="70">
        <v>0</v>
      </c>
      <c r="EE356" s="70">
        <v>0</v>
      </c>
      <c r="EF356" s="70">
        <v>0</v>
      </c>
      <c r="EG356" s="70">
        <v>0</v>
      </c>
      <c r="EH356" s="72">
        <v>58</v>
      </c>
      <c r="EI356" s="72">
        <v>978</v>
      </c>
    </row>
    <row r="357" spans="71:139" x14ac:dyDescent="0.35">
      <c r="BS357" s="486">
        <v>58227</v>
      </c>
      <c r="BT357" s="479" t="s">
        <v>598</v>
      </c>
      <c r="BU357" s="479">
        <v>16</v>
      </c>
      <c r="BV357" s="476" t="s">
        <v>1187</v>
      </c>
      <c r="BW357" s="476" t="s">
        <v>1187</v>
      </c>
      <c r="BX357" s="476" t="s">
        <v>1187</v>
      </c>
      <c r="BY357" s="476" t="s">
        <v>1187</v>
      </c>
      <c r="BZ357" s="476" t="s">
        <v>1187</v>
      </c>
      <c r="CA357" s="476" t="s">
        <v>1187</v>
      </c>
      <c r="CB357" s="476" t="s">
        <v>1187</v>
      </c>
      <c r="CC357" s="476" t="s">
        <v>1187</v>
      </c>
      <c r="CD357" s="476" t="s">
        <v>1187</v>
      </c>
      <c r="CE357" s="476" t="s">
        <v>1188</v>
      </c>
      <c r="CF357" s="476" t="s">
        <v>1188</v>
      </c>
      <c r="CG357" s="476" t="s">
        <v>1188</v>
      </c>
      <c r="CH357" s="476" t="s">
        <v>1188</v>
      </c>
      <c r="CI357" s="476" t="s">
        <v>1188</v>
      </c>
      <c r="CJ357" s="476" t="s">
        <v>1188</v>
      </c>
      <c r="CK357" s="476" t="s">
        <v>1188</v>
      </c>
      <c r="CL357" s="476" t="s">
        <v>1188</v>
      </c>
      <c r="CM357" s="476" t="str">
        <f>IF(VLOOKUP(BS357,'Données par municipalité'!$B$6:$E$1113,4,FALSE)="","non","oui")</f>
        <v>oui</v>
      </c>
      <c r="CN357" s="410">
        <v>606.89510092704074</v>
      </c>
      <c r="CO357" s="410">
        <v>571.19538553619088</v>
      </c>
      <c r="CP357" s="410">
        <v>570.29071656295423</v>
      </c>
      <c r="CQ357" s="410">
        <v>587.88361923454727</v>
      </c>
      <c r="CR357" s="410">
        <v>566.0081219072631</v>
      </c>
      <c r="CS357" s="410">
        <v>547.58010040733654</v>
      </c>
      <c r="CT357" s="410">
        <v>554.96783934891778</v>
      </c>
      <c r="CU357" s="410">
        <v>582</v>
      </c>
      <c r="CV357" s="410">
        <f>IF(VLOOKUP(BS357,'Données par municipalité'!$B$6:$F$1113,4,FALSE)="","",VLOOKUP(BS357,'Données par municipalité'!$B$6:$F$1113,4,FALSE))</f>
        <v>571</v>
      </c>
      <c r="CW357" s="476" t="s">
        <v>4723</v>
      </c>
      <c r="CX357" s="483">
        <v>1</v>
      </c>
      <c r="CY357" s="483">
        <v>1</v>
      </c>
      <c r="CZ357" s="483">
        <v>1</v>
      </c>
      <c r="DA357" s="483">
        <v>1</v>
      </c>
      <c r="DB357" s="483">
        <v>1</v>
      </c>
      <c r="DC357" s="483">
        <v>1</v>
      </c>
      <c r="DD357" s="483">
        <v>0.9980994974874372</v>
      </c>
      <c r="DE357" s="483">
        <f>IFERROR(SUM(VLOOKUP($BS357,'État &amp; Plan d''action'!$B$6:$Z$1113,18,FALSE),VLOOKUP($BS357,'État &amp; Plan d''action'!$B$6:$Z$1113,20,FALSE))/(VLOOKUP($BS357,'Données par municipalité'!$B$4:$L$1113,11,FALSE)),"")</f>
        <v>1</v>
      </c>
      <c r="DF357" s="483">
        <f>IFERROR(SUM(VLOOKUP($BS357,'État &amp; Plan d''action'!$B$6:$Z$1113,19,FALSE),VLOOKUP($BS357,'État &amp; Plan d''action'!$B$6:$Z$1113,21,FALSE))/(VLOOKUP($BS357,'Données par municipalité'!$B$4:$L$1113,11,FALSE)),"")</f>
        <v>1</v>
      </c>
      <c r="DG357" s="476" t="s">
        <v>4723</v>
      </c>
      <c r="DH357" s="484">
        <v>294</v>
      </c>
      <c r="DI357" s="484">
        <v>308</v>
      </c>
      <c r="DJ357" s="484">
        <v>290</v>
      </c>
      <c r="DK357" s="484">
        <v>246</v>
      </c>
      <c r="DL357" s="484">
        <v>256</v>
      </c>
      <c r="DM357" s="484">
        <v>224</v>
      </c>
      <c r="DN357" s="484">
        <v>266</v>
      </c>
      <c r="DO357" s="484">
        <v>118</v>
      </c>
      <c r="DP357" s="484">
        <v>0</v>
      </c>
      <c r="DQ357" s="484">
        <f>IF(VLOOKUP($BS357,'État &amp; Plan d''action'!$B$6:$AJ$1113,28,FALSE)="","",VLOOKUP($BS357,'État &amp; Plan d''action'!$B$6:$AJ$1113,28,FALSE))</f>
        <v>189</v>
      </c>
      <c r="DR357" s="70">
        <f>IF(VLOOKUP($BS357,'État &amp; Plan d''action'!$B$6:$AJ$1113,29,FALSE)="","",VLOOKUP($BS357,'État &amp; Plan d''action'!$B$6:$AJ$1113,29,FALSE))</f>
        <v>0</v>
      </c>
      <c r="DS357" s="70">
        <f>IF(VLOOKUP($BS357,'État &amp; Plan d''action'!$B$6:$AJ$1113,30,FALSE)="","",VLOOKUP($BS357,'État &amp; Plan d''action'!$B$6:$AJ$1113,30,FALSE))</f>
        <v>0</v>
      </c>
      <c r="DT357" s="70">
        <v>279</v>
      </c>
      <c r="DU357" s="485">
        <v>8.4783575479044284</v>
      </c>
      <c r="DV357" s="485">
        <v>8.202170405647248</v>
      </c>
      <c r="DW357" s="70">
        <v>5</v>
      </c>
      <c r="DX357" s="70">
        <v>49</v>
      </c>
      <c r="DY357" s="70">
        <v>0</v>
      </c>
      <c r="DZ357" s="70">
        <f>VLOOKUP($BS357,'État &amp; Plan d''action'!$B$6:$AH$1113,31,FALSE)</f>
        <v>5</v>
      </c>
      <c r="EA357" s="70">
        <f>VLOOKUP($BS357,'État &amp; Plan d''action'!$B$6:$AH$1113,32,FALSE)</f>
        <v>0</v>
      </c>
      <c r="EB357" s="70">
        <f>VLOOKUP($BS357,'État &amp; Plan d''action'!$B$6:$AH$1113,33,FALSE)</f>
        <v>0</v>
      </c>
      <c r="EC357" s="70">
        <v>0</v>
      </c>
      <c r="ED357" s="70">
        <v>993.10900000000004</v>
      </c>
      <c r="EE357" s="70">
        <v>0</v>
      </c>
      <c r="EF357" s="70">
        <v>0</v>
      </c>
      <c r="EG357" s="70">
        <v>0</v>
      </c>
      <c r="EH357" s="72">
        <v>44</v>
      </c>
      <c r="EI357" s="72">
        <v>246406</v>
      </c>
    </row>
    <row r="358" spans="71:139" x14ac:dyDescent="0.35">
      <c r="BS358" s="486">
        <v>73025</v>
      </c>
      <c r="BT358" s="479" t="s">
        <v>738</v>
      </c>
      <c r="BU358" s="479">
        <v>15</v>
      </c>
      <c r="BV358" s="476" t="s">
        <v>1187</v>
      </c>
      <c r="BW358" s="476" t="s">
        <v>1187</v>
      </c>
      <c r="BX358" s="476" t="s">
        <v>1187</v>
      </c>
      <c r="BY358" s="476" t="s">
        <v>1187</v>
      </c>
      <c r="BZ358" s="476" t="s">
        <v>1187</v>
      </c>
      <c r="CA358" s="476" t="s">
        <v>1187</v>
      </c>
      <c r="CB358" s="476" t="s">
        <v>1187</v>
      </c>
      <c r="CC358" s="476" t="s">
        <v>1187</v>
      </c>
      <c r="CD358" s="476" t="s">
        <v>1187</v>
      </c>
      <c r="CE358" s="476" t="s">
        <v>1187</v>
      </c>
      <c r="CF358" s="476" t="s">
        <v>1187</v>
      </c>
      <c r="CG358" s="476" t="s">
        <v>1187</v>
      </c>
      <c r="CH358" s="476" t="s">
        <v>1188</v>
      </c>
      <c r="CI358" s="476" t="s">
        <v>1188</v>
      </c>
      <c r="CJ358" s="476" t="s">
        <v>1188</v>
      </c>
      <c r="CK358" s="476" t="s">
        <v>1188</v>
      </c>
      <c r="CL358" s="476" t="s">
        <v>1188</v>
      </c>
      <c r="CM358" s="476" t="str">
        <f>IF(VLOOKUP(BS358,'Données par municipalité'!$B$6:$E$1113,4,FALSE)="","non","oui")</f>
        <v>oui</v>
      </c>
      <c r="CN358" s="410" t="s">
        <v>1124</v>
      </c>
      <c r="CO358" s="410" t="s">
        <v>1124</v>
      </c>
      <c r="CP358" s="410"/>
      <c r="CQ358" s="410">
        <v>329.8907525470712</v>
      </c>
      <c r="CR358" s="410">
        <v>338.9043367370935</v>
      </c>
      <c r="CS358" s="410">
        <v>403.14462545094847</v>
      </c>
      <c r="CT358" s="410">
        <v>373.54990877940503</v>
      </c>
      <c r="CU358" s="410">
        <v>341</v>
      </c>
      <c r="CV358" s="410">
        <f>IF(VLOOKUP(BS358,'Données par municipalité'!$B$6:$F$1113,4,FALSE)="","",VLOOKUP(BS358,'Données par municipalité'!$B$6:$F$1113,4,FALSE))</f>
        <v>322</v>
      </c>
      <c r="CW358" s="476" t="s">
        <v>4723</v>
      </c>
      <c r="CX358" s="483" t="s">
        <v>1124</v>
      </c>
      <c r="CY358" s="483" t="s">
        <v>1124</v>
      </c>
      <c r="CZ358" s="483">
        <v>1</v>
      </c>
      <c r="DA358" s="483">
        <v>1</v>
      </c>
      <c r="DB358" s="483">
        <v>1</v>
      </c>
      <c r="DC358" s="483">
        <v>1</v>
      </c>
      <c r="DD358" s="483">
        <v>0.85657180927001053</v>
      </c>
      <c r="DE358" s="483">
        <f>IFERROR(SUM(VLOOKUP($BS358,'État &amp; Plan d''action'!$B$6:$Z$1113,18,FALSE),VLOOKUP($BS358,'État &amp; Plan d''action'!$B$6:$Z$1113,20,FALSE))/(VLOOKUP($BS358,'Données par municipalité'!$B$4:$L$1113,11,FALSE)),"")</f>
        <v>0.85657180927001053</v>
      </c>
      <c r="DF358" s="483">
        <f>IFERROR(SUM(VLOOKUP($BS358,'État &amp; Plan d''action'!$B$6:$Z$1113,19,FALSE),VLOOKUP($BS358,'État &amp; Plan d''action'!$B$6:$Z$1113,21,FALSE))/(VLOOKUP($BS358,'Données par municipalité'!$B$4:$L$1113,11,FALSE)),"")</f>
        <v>1.0088512420291236</v>
      </c>
      <c r="DG358" s="476" t="s">
        <v>4723</v>
      </c>
      <c r="DH358" s="484">
        <v>4</v>
      </c>
      <c r="DI358" s="484">
        <v>10</v>
      </c>
      <c r="DJ358" s="484">
        <v>15</v>
      </c>
      <c r="DK358" s="484">
        <v>8</v>
      </c>
      <c r="DL358" s="484">
        <v>7</v>
      </c>
      <c r="DM358" s="484">
        <v>5</v>
      </c>
      <c r="DN358" s="484">
        <v>6</v>
      </c>
      <c r="DO358" s="484">
        <v>0</v>
      </c>
      <c r="DP358" s="484">
        <v>0</v>
      </c>
      <c r="DQ358" s="484">
        <f>IF(VLOOKUP($BS358,'État &amp; Plan d''action'!$B$6:$AJ$1113,28,FALSE)="","",VLOOKUP($BS358,'État &amp; Plan d''action'!$B$6:$AJ$1113,28,FALSE))</f>
        <v>7</v>
      </c>
      <c r="DR358" s="70">
        <f>IF(VLOOKUP($BS358,'État &amp; Plan d''action'!$B$6:$AJ$1113,29,FALSE)="","",VLOOKUP($BS358,'État &amp; Plan d''action'!$B$6:$AJ$1113,29,FALSE))</f>
        <v>0</v>
      </c>
      <c r="DS358" s="70">
        <f>IF(VLOOKUP($BS358,'État &amp; Plan d''action'!$B$6:$AJ$1113,30,FALSE)="","",VLOOKUP($BS358,'État &amp; Plan d''action'!$B$6:$AJ$1113,30,FALSE))</f>
        <v>0</v>
      </c>
      <c r="DT358" s="70">
        <v>310</v>
      </c>
      <c r="DU358" s="485">
        <v>0.73118001926978504</v>
      </c>
      <c r="DV358" s="485">
        <v>0.3654126528403685</v>
      </c>
      <c r="DW358" s="70">
        <v>2</v>
      </c>
      <c r="DX358" s="70">
        <v>0</v>
      </c>
      <c r="DY358" s="70">
        <v>0</v>
      </c>
      <c r="DZ358" s="70">
        <f>VLOOKUP($BS358,'État &amp; Plan d''action'!$B$6:$AH$1113,31,FALSE)</f>
        <v>2</v>
      </c>
      <c r="EA358" s="70">
        <f>VLOOKUP($BS358,'État &amp; Plan d''action'!$B$6:$AH$1113,32,FALSE)</f>
        <v>0</v>
      </c>
      <c r="EB358" s="70">
        <f>VLOOKUP($BS358,'État &amp; Plan d''action'!$B$6:$AH$1113,33,FALSE)</f>
        <v>0</v>
      </c>
      <c r="EC358" s="70">
        <v>0</v>
      </c>
      <c r="ED358" s="70">
        <v>0</v>
      </c>
      <c r="EE358" s="70">
        <v>45</v>
      </c>
      <c r="EF358" s="70">
        <v>0</v>
      </c>
      <c r="EG358" s="70">
        <v>0</v>
      </c>
      <c r="EH358" s="72">
        <v>68.147058823529392</v>
      </c>
      <c r="EI358" s="72">
        <v>9462</v>
      </c>
    </row>
    <row r="359" spans="71:139" x14ac:dyDescent="0.35">
      <c r="BS359" s="486">
        <v>85037</v>
      </c>
      <c r="BT359" s="479" t="s">
        <v>876</v>
      </c>
      <c r="BU359" s="479">
        <v>8</v>
      </c>
      <c r="BV359" s="476" t="s">
        <v>1187</v>
      </c>
      <c r="BW359" s="476" t="s">
        <v>1187</v>
      </c>
      <c r="BX359" s="476" t="s">
        <v>1187</v>
      </c>
      <c r="BY359" s="476" t="s">
        <v>1187</v>
      </c>
      <c r="BZ359" s="476" t="s">
        <v>1187</v>
      </c>
      <c r="CA359" s="476" t="s">
        <v>1187</v>
      </c>
      <c r="CB359" s="476" t="s">
        <v>1187</v>
      </c>
      <c r="CC359" s="476" t="s">
        <v>1187</v>
      </c>
      <c r="CD359" s="476" t="s">
        <v>1187</v>
      </c>
      <c r="CE359" s="476" t="s">
        <v>1188</v>
      </c>
      <c r="CF359" s="476" t="s">
        <v>1187</v>
      </c>
      <c r="CG359" s="476" t="s">
        <v>1187</v>
      </c>
      <c r="CH359" s="476" t="s">
        <v>1187</v>
      </c>
      <c r="CI359" s="476" t="s">
        <v>1187</v>
      </c>
      <c r="CJ359" s="476" t="s">
        <v>1188</v>
      </c>
      <c r="CK359" s="476" t="s">
        <v>1188</v>
      </c>
      <c r="CL359" s="476" t="s">
        <v>1188</v>
      </c>
      <c r="CM359" s="476" t="str">
        <f>IF(VLOOKUP(BS359,'Données par municipalité'!$B$6:$E$1113,4,FALSE)="","non","oui")</f>
        <v>oui</v>
      </c>
      <c r="CN359" s="410">
        <v>291.78233588275856</v>
      </c>
      <c r="CO359" s="410" t="s">
        <v>1124</v>
      </c>
      <c r="CP359" s="410"/>
      <c r="CQ359" s="410"/>
      <c r="CR359" s="410"/>
      <c r="CS359" s="410">
        <v>314.56717092788961</v>
      </c>
      <c r="CT359" s="410">
        <v>337.11432543251084</v>
      </c>
      <c r="CU359" s="410">
        <v>311</v>
      </c>
      <c r="CV359" s="410">
        <f>IF(VLOOKUP(BS359,'Données par municipalité'!$B$6:$F$1113,4,FALSE)="","",VLOOKUP(BS359,'Données par municipalité'!$B$6:$F$1113,4,FALSE))</f>
        <v>321</v>
      </c>
      <c r="CW359" s="476" t="s">
        <v>4723</v>
      </c>
      <c r="CX359" s="483" t="s">
        <v>1124</v>
      </c>
      <c r="CY359" s="483" t="s">
        <v>1124</v>
      </c>
      <c r="CZ359" s="483" t="s">
        <v>1124</v>
      </c>
      <c r="DA359" s="483" t="s">
        <v>1124</v>
      </c>
      <c r="DB359" s="483">
        <v>1</v>
      </c>
      <c r="DC359" s="483">
        <v>1</v>
      </c>
      <c r="DD359" s="483">
        <v>0</v>
      </c>
      <c r="DE359" s="483">
        <f>IFERROR(SUM(VLOOKUP($BS359,'État &amp; Plan d''action'!$B$6:$Z$1113,18,FALSE),VLOOKUP($BS359,'État &amp; Plan d''action'!$B$6:$Z$1113,20,FALSE))/(VLOOKUP($BS359,'Données par municipalité'!$B$4:$L$1113,11,FALSE)),"")</f>
        <v>4.2819095032699511E-2</v>
      </c>
      <c r="DF359" s="483">
        <f>IFERROR(SUM(VLOOKUP($BS359,'État &amp; Plan d''action'!$B$6:$Z$1113,19,FALSE),VLOOKUP($BS359,'État &amp; Plan d''action'!$B$6:$Z$1113,21,FALSE))/(VLOOKUP($BS359,'Données par municipalité'!$B$4:$L$1113,11,FALSE)),"")</f>
        <v>4.2819095032699511E-2</v>
      </c>
      <c r="DG359" s="476" t="s">
        <v>4723</v>
      </c>
      <c r="DH359" s="484">
        <v>2</v>
      </c>
      <c r="DI359" s="484">
        <v>3</v>
      </c>
      <c r="DJ359" s="484">
        <v>7</v>
      </c>
      <c r="DK359" s="484">
        <v>3</v>
      </c>
      <c r="DL359" s="484">
        <v>5</v>
      </c>
      <c r="DM359" s="484">
        <v>0</v>
      </c>
      <c r="DN359" s="484">
        <v>0</v>
      </c>
      <c r="DO359" s="484">
        <v>2</v>
      </c>
      <c r="DP359" s="484">
        <v>1</v>
      </c>
      <c r="DQ359" s="484">
        <f>IF(VLOOKUP($BS359,'État &amp; Plan d''action'!$B$6:$AJ$1113,28,FALSE)="","",VLOOKUP($BS359,'État &amp; Plan d''action'!$B$6:$AJ$1113,28,FALSE))</f>
        <v>0</v>
      </c>
      <c r="DR359" s="70">
        <f>IF(VLOOKUP($BS359,'État &amp; Plan d''action'!$B$6:$AJ$1113,29,FALSE)="","",VLOOKUP($BS359,'État &amp; Plan d''action'!$B$6:$AJ$1113,29,FALSE))</f>
        <v>1</v>
      </c>
      <c r="DS359" s="70">
        <f>IF(VLOOKUP($BS359,'État &amp; Plan d''action'!$B$6:$AJ$1113,30,FALSE)="","",VLOOKUP($BS359,'État &amp; Plan d''action'!$B$6:$AJ$1113,30,FALSE))</f>
        <v>0</v>
      </c>
      <c r="DT359" s="70">
        <v>274</v>
      </c>
      <c r="DU359" s="485">
        <v>0.66281909569720054</v>
      </c>
      <c r="DV359" s="485">
        <v>1.5497068032922861</v>
      </c>
      <c r="DW359" s="70">
        <v>0</v>
      </c>
      <c r="DX359" s="70">
        <v>3</v>
      </c>
      <c r="DY359" s="70">
        <v>5</v>
      </c>
      <c r="DZ359" s="70">
        <f>VLOOKUP($BS359,'État &amp; Plan d''action'!$B$6:$AH$1113,31,FALSE)</f>
        <v>0</v>
      </c>
      <c r="EA359" s="70">
        <f>VLOOKUP($BS359,'État &amp; Plan d''action'!$B$6:$AH$1113,32,FALSE)</f>
        <v>2</v>
      </c>
      <c r="EB359" s="70">
        <f>VLOOKUP($BS359,'État &amp; Plan d''action'!$B$6:$AH$1113,33,FALSE)</f>
        <v>0</v>
      </c>
      <c r="EC359" s="70">
        <v>0</v>
      </c>
      <c r="ED359" s="70">
        <v>0</v>
      </c>
      <c r="EE359" s="70">
        <v>0</v>
      </c>
      <c r="EF359" s="70">
        <v>0</v>
      </c>
      <c r="EG359" s="70">
        <v>0</v>
      </c>
      <c r="EH359" s="72">
        <v>48.243243243243242</v>
      </c>
      <c r="EI359" s="72">
        <v>1260</v>
      </c>
    </row>
    <row r="360" spans="71:139" x14ac:dyDescent="0.35">
      <c r="BS360" s="486">
        <v>33115</v>
      </c>
      <c r="BT360" s="479" t="s">
        <v>283</v>
      </c>
      <c r="BU360" s="479">
        <v>12</v>
      </c>
      <c r="BV360" s="476" t="s">
        <v>1187</v>
      </c>
      <c r="BW360" s="476" t="s">
        <v>1187</v>
      </c>
      <c r="BX360" s="476" t="s">
        <v>1187</v>
      </c>
      <c r="BY360" s="476" t="s">
        <v>1187</v>
      </c>
      <c r="BZ360" s="476" t="s">
        <v>1187</v>
      </c>
      <c r="CA360" s="476" t="s">
        <v>1187</v>
      </c>
      <c r="CB360" s="476" t="s">
        <v>1187</v>
      </c>
      <c r="CC360" s="476" t="s">
        <v>1187</v>
      </c>
      <c r="CD360" s="476" t="s">
        <v>1187</v>
      </c>
      <c r="CE360" s="476" t="s">
        <v>1188</v>
      </c>
      <c r="CF360" s="476" t="s">
        <v>1188</v>
      </c>
      <c r="CG360" s="476" t="s">
        <v>1187</v>
      </c>
      <c r="CH360" s="476" t="s">
        <v>1188</v>
      </c>
      <c r="CI360" s="476" t="s">
        <v>1187</v>
      </c>
      <c r="CJ360" s="476" t="s">
        <v>1187</v>
      </c>
      <c r="CK360" s="476" t="s">
        <v>1187</v>
      </c>
      <c r="CL360" s="476" t="s">
        <v>1188</v>
      </c>
      <c r="CM360" s="476" t="str">
        <f>IF(VLOOKUP(BS360,'Données par municipalité'!$B$6:$E$1113,4,FALSE)="","non","oui")</f>
        <v>non</v>
      </c>
      <c r="CN360" s="410">
        <v>651.85352051978634</v>
      </c>
      <c r="CO360" s="410">
        <v>765.63365227357599</v>
      </c>
      <c r="CP360" s="410"/>
      <c r="CQ360" s="410">
        <v>577.10099806492246</v>
      </c>
      <c r="CR360" s="410"/>
      <c r="CS360" s="410" t="s">
        <v>1124</v>
      </c>
      <c r="CT360" s="410"/>
      <c r="CU360" s="410">
        <v>489</v>
      </c>
      <c r="CV360" s="410" t="str">
        <f>IF(VLOOKUP(BS360,'Données par municipalité'!$B$6:$F$1113,4,FALSE)="","",VLOOKUP(BS360,'Données par municipalité'!$B$6:$F$1113,4,FALSE))</f>
        <v/>
      </c>
      <c r="CW360" s="476" t="s">
        <v>4723</v>
      </c>
      <c r="CX360" s="483">
        <v>0</v>
      </c>
      <c r="CY360" s="483" t="s">
        <v>1124</v>
      </c>
      <c r="CZ360" s="483">
        <v>0.1</v>
      </c>
      <c r="DA360" s="483" t="s">
        <v>1124</v>
      </c>
      <c r="DB360" s="483" t="s">
        <v>1124</v>
      </c>
      <c r="DC360" s="483" t="s">
        <v>1124</v>
      </c>
      <c r="DD360" s="483">
        <v>3.6503151548369417E-2</v>
      </c>
      <c r="DE360" s="483" t="str">
        <f>IFERROR(SUM(VLOOKUP($BS360,'État &amp; Plan d''action'!$B$6:$Z$1113,18,FALSE),VLOOKUP($BS360,'État &amp; Plan d''action'!$B$6:$Z$1113,20,FALSE))/(VLOOKUP($BS360,'Données par municipalité'!$B$4:$L$1113,11,FALSE)),"")</f>
        <v/>
      </c>
      <c r="DF360" s="483" t="str">
        <f>IFERROR(SUM(VLOOKUP($BS360,'État &amp; Plan d''action'!$B$6:$Z$1113,19,FALSE),VLOOKUP($BS360,'État &amp; Plan d''action'!$B$6:$Z$1113,21,FALSE))/(VLOOKUP($BS360,'Données par municipalité'!$B$4:$L$1113,11,FALSE)),"")</f>
        <v/>
      </c>
      <c r="DG360" s="476" t="s">
        <v>4723</v>
      </c>
      <c r="DH360" s="484">
        <v>0</v>
      </c>
      <c r="DI360" s="484" t="s">
        <v>1124</v>
      </c>
      <c r="DJ360" s="484">
        <v>1</v>
      </c>
      <c r="DK360" s="484">
        <v>0</v>
      </c>
      <c r="DL360" s="484" t="s">
        <v>1124</v>
      </c>
      <c r="DM360" s="484" t="s">
        <v>1124</v>
      </c>
      <c r="DN360" s="484">
        <v>0</v>
      </c>
      <c r="DO360" s="484">
        <v>0</v>
      </c>
      <c r="DP360" s="484">
        <v>2</v>
      </c>
      <c r="DQ360" s="484" t="str">
        <f>IF(VLOOKUP($BS360,'État &amp; Plan d''action'!$B$6:$AJ$1113,28,FALSE)="","",VLOOKUP($BS360,'État &amp; Plan d''action'!$B$6:$AJ$1113,28,FALSE))</f>
        <v/>
      </c>
      <c r="DR360" s="70" t="str">
        <f>IF(VLOOKUP($BS360,'État &amp; Plan d''action'!$B$6:$AJ$1113,29,FALSE)="","",VLOOKUP($BS360,'État &amp; Plan d''action'!$B$6:$AJ$1113,29,FALSE))</f>
        <v/>
      </c>
      <c r="DS360" s="70" t="str">
        <f>IF(VLOOKUP($BS360,'État &amp; Plan d''action'!$B$6:$AJ$1113,30,FALSE)="","",VLOOKUP($BS360,'État &amp; Plan d''action'!$B$6:$AJ$1113,30,FALSE))</f>
        <v/>
      </c>
      <c r="DT360" s="70">
        <v>330</v>
      </c>
      <c r="DU360" s="485">
        <v>1.8341921541819206</v>
      </c>
      <c r="DV360" s="485" t="s">
        <v>1124</v>
      </c>
      <c r="DW360" s="70">
        <v>0</v>
      </c>
      <c r="DX360" s="70">
        <v>0</v>
      </c>
      <c r="DY360" s="70">
        <v>1</v>
      </c>
      <c r="DZ360" s="70" t="str">
        <f>VLOOKUP($BS360,'État &amp; Plan d''action'!$B$6:$AH$1113,31,FALSE)</f>
        <v/>
      </c>
      <c r="EA360" s="70" t="str">
        <f>VLOOKUP($BS360,'État &amp; Plan d''action'!$B$6:$AH$1113,32,FALSE)</f>
        <v/>
      </c>
      <c r="EB360" s="70" t="str">
        <f>VLOOKUP($BS360,'État &amp; Plan d''action'!$B$6:$AH$1113,33,FALSE)</f>
        <v/>
      </c>
      <c r="EC360" s="70">
        <v>0</v>
      </c>
      <c r="ED360" s="70">
        <v>0</v>
      </c>
      <c r="EE360" s="70">
        <v>0.66600000000000004</v>
      </c>
      <c r="EF360" s="70">
        <v>0</v>
      </c>
      <c r="EG360" s="70">
        <v>0</v>
      </c>
      <c r="EH360" s="72">
        <v>56</v>
      </c>
      <c r="EI360" s="72">
        <v>799</v>
      </c>
    </row>
    <row r="361" spans="71:139" x14ac:dyDescent="0.35">
      <c r="BS361" s="486">
        <v>51015</v>
      </c>
      <c r="BT361" s="479" t="s">
        <v>499</v>
      </c>
      <c r="BU361" s="479">
        <v>4</v>
      </c>
      <c r="BV361" s="476" t="s">
        <v>1187</v>
      </c>
      <c r="BW361" s="476" t="s">
        <v>1187</v>
      </c>
      <c r="BX361" s="476" t="s">
        <v>1187</v>
      </c>
      <c r="BY361" s="476" t="s">
        <v>1187</v>
      </c>
      <c r="BZ361" s="476" t="s">
        <v>1187</v>
      </c>
      <c r="CA361" s="476" t="s">
        <v>1187</v>
      </c>
      <c r="CB361" s="476" t="s">
        <v>1187</v>
      </c>
      <c r="CC361" s="476" t="s">
        <v>1187</v>
      </c>
      <c r="CD361" s="476" t="s">
        <v>1187</v>
      </c>
      <c r="CE361" s="476" t="s">
        <v>1188</v>
      </c>
      <c r="CF361" s="476" t="s">
        <v>1188</v>
      </c>
      <c r="CG361" s="476" t="s">
        <v>1187</v>
      </c>
      <c r="CH361" s="476" t="s">
        <v>1188</v>
      </c>
      <c r="CI361" s="476" t="s">
        <v>1188</v>
      </c>
      <c r="CJ361" s="476" t="s">
        <v>1188</v>
      </c>
      <c r="CK361" s="476" t="s">
        <v>1187</v>
      </c>
      <c r="CL361" s="476" t="s">
        <v>1188</v>
      </c>
      <c r="CM361" s="476" t="str">
        <f>IF(VLOOKUP(BS361,'Données par municipalité'!$B$6:$E$1113,4,FALSE)="","non","oui")</f>
        <v>oui</v>
      </c>
      <c r="CN361" s="410">
        <v>536.29403117944821</v>
      </c>
      <c r="CO361" s="410">
        <v>479.71955602253377</v>
      </c>
      <c r="CP361" s="410"/>
      <c r="CQ361" s="410">
        <v>394.58938011749404</v>
      </c>
      <c r="CR361" s="410">
        <v>468.37701725857738</v>
      </c>
      <c r="CS361" s="410">
        <v>482.12577856404056</v>
      </c>
      <c r="CT361" s="410"/>
      <c r="CU361" s="410">
        <v>576</v>
      </c>
      <c r="CV361" s="410">
        <f>IF(VLOOKUP(BS361,'Données par municipalité'!$B$6:$F$1113,4,FALSE)="","",VLOOKUP(BS361,'Données par municipalité'!$B$6:$F$1113,4,FALSE))</f>
        <v>529</v>
      </c>
      <c r="CW361" s="476" t="s">
        <v>4723</v>
      </c>
      <c r="CX361" s="483">
        <v>1</v>
      </c>
      <c r="CY361" s="483" t="s">
        <v>1124</v>
      </c>
      <c r="CZ361" s="483">
        <v>1</v>
      </c>
      <c r="DA361" s="483">
        <v>0</v>
      </c>
      <c r="DB361" s="483">
        <v>1</v>
      </c>
      <c r="DC361" s="483" t="s">
        <v>1124</v>
      </c>
      <c r="DD361" s="483">
        <v>1</v>
      </c>
      <c r="DE361" s="483">
        <f>IFERROR(SUM(VLOOKUP($BS361,'État &amp; Plan d''action'!$B$6:$Z$1113,18,FALSE),VLOOKUP($BS361,'État &amp; Plan d''action'!$B$6:$Z$1113,20,FALSE))/(VLOOKUP($BS361,'Données par municipalité'!$B$4:$L$1113,11,FALSE)),"")</f>
        <v>1.0064773293472846</v>
      </c>
      <c r="DF361" s="483">
        <f>IFERROR(SUM(VLOOKUP($BS361,'État &amp; Plan d''action'!$B$6:$Z$1113,19,FALSE),VLOOKUP($BS361,'État &amp; Plan d''action'!$B$6:$Z$1113,21,FALSE))/(VLOOKUP($BS361,'Données par municipalité'!$B$4:$L$1113,11,FALSE)),"")</f>
        <v>1.0064773293472846</v>
      </c>
      <c r="DG361" s="476" t="s">
        <v>4723</v>
      </c>
      <c r="DH361" s="484">
        <v>15</v>
      </c>
      <c r="DI361" s="484" t="s">
        <v>1124</v>
      </c>
      <c r="DJ361" s="484">
        <v>13</v>
      </c>
      <c r="DK361" s="484">
        <v>10</v>
      </c>
      <c r="DL361" s="484">
        <v>13</v>
      </c>
      <c r="DM361" s="484" t="s">
        <v>1124</v>
      </c>
      <c r="DN361" s="484">
        <v>6</v>
      </c>
      <c r="DO361" s="484">
        <v>1</v>
      </c>
      <c r="DP361" s="484">
        <v>3</v>
      </c>
      <c r="DQ361" s="484">
        <f>IF(VLOOKUP($BS361,'État &amp; Plan d''action'!$B$6:$AJ$1113,28,FALSE)="","",VLOOKUP($BS361,'État &amp; Plan d''action'!$B$6:$AJ$1113,28,FALSE))</f>
        <v>6</v>
      </c>
      <c r="DR361" s="70">
        <f>IF(VLOOKUP($BS361,'État &amp; Plan d''action'!$B$6:$AJ$1113,29,FALSE)="","",VLOOKUP($BS361,'État &amp; Plan d''action'!$B$6:$AJ$1113,29,FALSE))</f>
        <v>5</v>
      </c>
      <c r="DS361" s="70">
        <f>IF(VLOOKUP($BS361,'État &amp; Plan d''action'!$B$6:$AJ$1113,30,FALSE)="","",VLOOKUP($BS361,'État &amp; Plan d''action'!$B$6:$AJ$1113,30,FALSE))</f>
        <v>2</v>
      </c>
      <c r="DT361" s="70">
        <v>379</v>
      </c>
      <c r="DU361" s="485">
        <v>1.6065950262008546</v>
      </c>
      <c r="DV361" s="485">
        <v>1.1405801851939785</v>
      </c>
      <c r="DW361" s="70">
        <v>1</v>
      </c>
      <c r="DX361" s="70">
        <v>3</v>
      </c>
      <c r="DY361" s="70">
        <v>5</v>
      </c>
      <c r="DZ361" s="70">
        <f>VLOOKUP($BS361,'État &amp; Plan d''action'!$B$6:$AH$1113,31,FALSE)</f>
        <v>4</v>
      </c>
      <c r="EA361" s="70">
        <f>VLOOKUP($BS361,'État &amp; Plan d''action'!$B$6:$AH$1113,32,FALSE)</f>
        <v>4</v>
      </c>
      <c r="EB361" s="70">
        <f>VLOOKUP($BS361,'État &amp; Plan d''action'!$B$6:$AH$1113,33,FALSE)</f>
        <v>7</v>
      </c>
      <c r="EC361" s="70">
        <v>0</v>
      </c>
      <c r="ED361" s="70">
        <v>101.962</v>
      </c>
      <c r="EE361" s="70">
        <v>0</v>
      </c>
      <c r="EF361" s="70">
        <v>0</v>
      </c>
      <c r="EG361" s="70">
        <v>0</v>
      </c>
      <c r="EH361" s="72">
        <v>56</v>
      </c>
      <c r="EI361" s="72">
        <v>7220</v>
      </c>
    </row>
    <row r="362" spans="71:139" x14ac:dyDescent="0.35">
      <c r="BS362" s="486">
        <v>83010</v>
      </c>
      <c r="BT362" s="479" t="s">
        <v>836</v>
      </c>
      <c r="BU362" s="479">
        <v>7</v>
      </c>
      <c r="BV362" s="476" t="s">
        <v>1187</v>
      </c>
      <c r="BW362" s="476" t="s">
        <v>1187</v>
      </c>
      <c r="BX362" s="476" t="s">
        <v>1187</v>
      </c>
      <c r="BY362" s="476" t="s">
        <v>1187</v>
      </c>
      <c r="BZ362" s="476" t="s">
        <v>1187</v>
      </c>
      <c r="CA362" s="476" t="s">
        <v>1187</v>
      </c>
      <c r="CB362" s="476" t="s">
        <v>1187</v>
      </c>
      <c r="CC362" s="476" t="s">
        <v>1187</v>
      </c>
      <c r="CD362" s="476" t="s">
        <v>1187</v>
      </c>
      <c r="CE362" s="476" t="s">
        <v>1187</v>
      </c>
      <c r="CF362" s="476" t="s">
        <v>1187</v>
      </c>
      <c r="CG362" s="476" t="s">
        <v>1187</v>
      </c>
      <c r="CH362" s="476" t="s">
        <v>1187</v>
      </c>
      <c r="CI362" s="476" t="s">
        <v>1187</v>
      </c>
      <c r="CJ362" s="476" t="s">
        <v>1187</v>
      </c>
      <c r="CK362" s="476" t="s">
        <v>1187</v>
      </c>
      <c r="CL362" s="476" t="s">
        <v>1188</v>
      </c>
      <c r="CM362" s="476" t="str">
        <f>IF(VLOOKUP(BS362,'Données par municipalité'!$B$6:$E$1113,4,FALSE)="","non","oui")</f>
        <v>non</v>
      </c>
      <c r="CN362" s="410" t="s">
        <v>1124</v>
      </c>
      <c r="CO362" s="410" t="s">
        <v>1124</v>
      </c>
      <c r="CP362" s="410"/>
      <c r="CQ362" s="410"/>
      <c r="CR362" s="410"/>
      <c r="CS362" s="410" t="s">
        <v>1124</v>
      </c>
      <c r="CT362" s="410"/>
      <c r="CU362" s="410">
        <v>242</v>
      </c>
      <c r="CV362" s="410" t="str">
        <f>IF(VLOOKUP(BS362,'Données par municipalité'!$B$6:$F$1113,4,FALSE)="","",VLOOKUP(BS362,'Données par municipalité'!$B$6:$F$1113,4,FALSE))</f>
        <v/>
      </c>
      <c r="CW362" s="476" t="s">
        <v>4723</v>
      </c>
      <c r="CX362" s="483" t="s">
        <v>1124</v>
      </c>
      <c r="CY362" s="483" t="s">
        <v>1124</v>
      </c>
      <c r="CZ362" s="483" t="s">
        <v>1124</v>
      </c>
      <c r="DA362" s="483" t="s">
        <v>1124</v>
      </c>
      <c r="DB362" s="483" t="s">
        <v>1124</v>
      </c>
      <c r="DC362" s="483" t="s">
        <v>1124</v>
      </c>
      <c r="DD362" s="483">
        <v>0</v>
      </c>
      <c r="DE362" s="483" t="str">
        <f>IFERROR(SUM(VLOOKUP($BS362,'État &amp; Plan d''action'!$B$6:$Z$1113,18,FALSE),VLOOKUP($BS362,'État &amp; Plan d''action'!$B$6:$Z$1113,20,FALSE))/(VLOOKUP($BS362,'Données par municipalité'!$B$4:$L$1113,11,FALSE)),"")</f>
        <v/>
      </c>
      <c r="DF362" s="483" t="str">
        <f>IFERROR(SUM(VLOOKUP($BS362,'État &amp; Plan d''action'!$B$6:$Z$1113,19,FALSE),VLOOKUP($BS362,'État &amp; Plan d''action'!$B$6:$Z$1113,21,FALSE))/(VLOOKUP($BS362,'Données par municipalité'!$B$4:$L$1113,11,FALSE)),"")</f>
        <v/>
      </c>
      <c r="DG362" s="476" t="s">
        <v>4723</v>
      </c>
      <c r="DH362" s="484" t="s">
        <v>1124</v>
      </c>
      <c r="DI362" s="484" t="s">
        <v>1124</v>
      </c>
      <c r="DJ362" s="484">
        <v>0</v>
      </c>
      <c r="DK362" s="484">
        <v>0</v>
      </c>
      <c r="DL362" s="484" t="s">
        <v>1124</v>
      </c>
      <c r="DM362" s="484" t="s">
        <v>1124</v>
      </c>
      <c r="DN362" s="484">
        <v>0</v>
      </c>
      <c r="DO362" s="484">
        <v>0</v>
      </c>
      <c r="DP362" s="484">
        <v>0</v>
      </c>
      <c r="DQ362" s="484" t="str">
        <f>IF(VLOOKUP($BS362,'État &amp; Plan d''action'!$B$6:$AJ$1113,28,FALSE)="","",VLOOKUP($BS362,'État &amp; Plan d''action'!$B$6:$AJ$1113,28,FALSE))</f>
        <v/>
      </c>
      <c r="DR362" s="70" t="str">
        <f>IF(VLOOKUP($BS362,'État &amp; Plan d''action'!$B$6:$AJ$1113,29,FALSE)="","",VLOOKUP($BS362,'État &amp; Plan d''action'!$B$6:$AJ$1113,29,FALSE))</f>
        <v/>
      </c>
      <c r="DS362" s="70" t="str">
        <f>IF(VLOOKUP($BS362,'État &amp; Plan d''action'!$B$6:$AJ$1113,30,FALSE)="","",VLOOKUP($BS362,'État &amp; Plan d''action'!$B$6:$AJ$1113,30,FALSE))</f>
        <v/>
      </c>
      <c r="DT362" s="70">
        <v>150</v>
      </c>
      <c r="DU362" s="485">
        <v>2.0081420736207893</v>
      </c>
      <c r="DV362" s="485" t="s">
        <v>1124</v>
      </c>
      <c r="DW362" s="70">
        <v>0</v>
      </c>
      <c r="DX362" s="70">
        <v>0</v>
      </c>
      <c r="DY362" s="70">
        <v>0</v>
      </c>
      <c r="DZ362" s="70" t="str">
        <f>VLOOKUP($BS362,'État &amp; Plan d''action'!$B$6:$AH$1113,31,FALSE)</f>
        <v/>
      </c>
      <c r="EA362" s="70" t="str">
        <f>VLOOKUP($BS362,'État &amp; Plan d''action'!$B$6:$AH$1113,32,FALSE)</f>
        <v/>
      </c>
      <c r="EB362" s="70" t="str">
        <f>VLOOKUP($BS362,'État &amp; Plan d''action'!$B$6:$AH$1113,33,FALSE)</f>
        <v/>
      </c>
      <c r="EC362" s="70">
        <v>0</v>
      </c>
      <c r="ED362" s="70">
        <v>0</v>
      </c>
      <c r="EE362" s="70">
        <v>0</v>
      </c>
      <c r="EF362" s="70">
        <v>0</v>
      </c>
      <c r="EG362" s="70">
        <v>0</v>
      </c>
      <c r="EH362" s="72">
        <v>26.666666666666668</v>
      </c>
      <c r="EI362" s="72">
        <v>1027</v>
      </c>
    </row>
    <row r="363" spans="71:139" x14ac:dyDescent="0.35">
      <c r="BS363" s="486">
        <v>32065</v>
      </c>
      <c r="BT363" s="479" t="s">
        <v>263</v>
      </c>
      <c r="BU363" s="479">
        <v>17</v>
      </c>
      <c r="BV363" s="476" t="s">
        <v>1187</v>
      </c>
      <c r="BW363" s="476" t="s">
        <v>1187</v>
      </c>
      <c r="BX363" s="476" t="s">
        <v>1187</v>
      </c>
      <c r="BY363" s="476" t="s">
        <v>1187</v>
      </c>
      <c r="BZ363" s="476" t="s">
        <v>1187</v>
      </c>
      <c r="CA363" s="476" t="s">
        <v>1187</v>
      </c>
      <c r="CB363" s="476" t="s">
        <v>1187</v>
      </c>
      <c r="CC363" s="476" t="s">
        <v>1187</v>
      </c>
      <c r="CD363" s="476" t="s">
        <v>1187</v>
      </c>
      <c r="CE363" s="476" t="s">
        <v>1188</v>
      </c>
      <c r="CF363" s="476" t="s">
        <v>1188</v>
      </c>
      <c r="CG363" s="476" t="s">
        <v>1187</v>
      </c>
      <c r="CH363" s="476" t="s">
        <v>1187</v>
      </c>
      <c r="CI363" s="476" t="s">
        <v>1188</v>
      </c>
      <c r="CJ363" s="476" t="s">
        <v>1187</v>
      </c>
      <c r="CK363" s="476" t="s">
        <v>1188</v>
      </c>
      <c r="CL363" s="476" t="s">
        <v>1188</v>
      </c>
      <c r="CM363" s="476" t="str">
        <f>IF(VLOOKUP(BS363,'Données par municipalité'!$B$6:$E$1113,4,FALSE)="","non","oui")</f>
        <v>oui</v>
      </c>
      <c r="CN363" s="410">
        <v>285.13697857369971</v>
      </c>
      <c r="CO363" s="410">
        <v>293.05073393840382</v>
      </c>
      <c r="CP363" s="410"/>
      <c r="CQ363" s="410"/>
      <c r="CR363" s="410">
        <v>274.00389601245473</v>
      </c>
      <c r="CS363" s="410" t="s">
        <v>1124</v>
      </c>
      <c r="CT363" s="410">
        <v>213.60428261476949</v>
      </c>
      <c r="CU363" s="410">
        <v>210</v>
      </c>
      <c r="CV363" s="410">
        <f>IF(VLOOKUP(BS363,'Données par municipalité'!$B$6:$F$1113,4,FALSE)="","",VLOOKUP(BS363,'Données par municipalité'!$B$6:$F$1113,4,FALSE))</f>
        <v>233</v>
      </c>
      <c r="CW363" s="476" t="s">
        <v>4723</v>
      </c>
      <c r="CX363" s="483">
        <v>0</v>
      </c>
      <c r="CY363" s="483" t="s">
        <v>1124</v>
      </c>
      <c r="CZ363" s="483" t="s">
        <v>1124</v>
      </c>
      <c r="DA363" s="483">
        <v>0</v>
      </c>
      <c r="DB363" s="483" t="s">
        <v>1124</v>
      </c>
      <c r="DC363" s="483">
        <v>0</v>
      </c>
      <c r="DD363" s="483">
        <v>0</v>
      </c>
      <c r="DE363" s="483">
        <f>IFERROR(SUM(VLOOKUP($BS363,'État &amp; Plan d''action'!$B$6:$Z$1113,18,FALSE),VLOOKUP($BS363,'État &amp; Plan d''action'!$B$6:$Z$1113,20,FALSE))/(VLOOKUP($BS363,'Données par municipalité'!$B$4:$L$1113,11,FALSE)),"")</f>
        <v>0</v>
      </c>
      <c r="DF363" s="483">
        <f>IFERROR(SUM(VLOOKUP($BS363,'État &amp; Plan d''action'!$B$6:$Z$1113,19,FALSE),VLOOKUP($BS363,'État &amp; Plan d''action'!$B$6:$Z$1113,21,FALSE))/(VLOOKUP($BS363,'Données par municipalité'!$B$4:$L$1113,11,FALSE)),"")</f>
        <v>0</v>
      </c>
      <c r="DG363" s="476" t="s">
        <v>4723</v>
      </c>
      <c r="DH363" s="484">
        <v>0</v>
      </c>
      <c r="DI363" s="484" t="s">
        <v>1124</v>
      </c>
      <c r="DJ363" s="484">
        <v>0</v>
      </c>
      <c r="DK363" s="484">
        <v>0</v>
      </c>
      <c r="DL363" s="484" t="s">
        <v>1124</v>
      </c>
      <c r="DM363" s="484">
        <v>1</v>
      </c>
      <c r="DN363" s="484">
        <v>1</v>
      </c>
      <c r="DO363" s="484">
        <v>0</v>
      </c>
      <c r="DP363" s="484">
        <v>0</v>
      </c>
      <c r="DQ363" s="484">
        <f>IF(VLOOKUP($BS363,'État &amp; Plan d''action'!$B$6:$AJ$1113,28,FALSE)="","",VLOOKUP($BS363,'État &amp; Plan d''action'!$B$6:$AJ$1113,28,FALSE))</f>
        <v>1</v>
      </c>
      <c r="DR363" s="70">
        <f>IF(VLOOKUP($BS363,'État &amp; Plan d''action'!$B$6:$AJ$1113,29,FALSE)="","",VLOOKUP($BS363,'État &amp; Plan d''action'!$B$6:$AJ$1113,29,FALSE))</f>
        <v>0</v>
      </c>
      <c r="DS363" s="70">
        <f>IF(VLOOKUP($BS363,'État &amp; Plan d''action'!$B$6:$AJ$1113,30,FALSE)="","",VLOOKUP($BS363,'État &amp; Plan d''action'!$B$6:$AJ$1113,30,FALSE))</f>
        <v>1</v>
      </c>
      <c r="DT363" s="70">
        <v>175</v>
      </c>
      <c r="DU363" s="485">
        <v>0.64106333653508218</v>
      </c>
      <c r="DV363" s="485">
        <v>1.4330290832654864</v>
      </c>
      <c r="DW363" s="70">
        <v>1</v>
      </c>
      <c r="DX363" s="70">
        <v>0</v>
      </c>
      <c r="DY363" s="70">
        <v>0</v>
      </c>
      <c r="DZ363" s="70">
        <f>VLOOKUP($BS363,'État &amp; Plan d''action'!$B$6:$AH$1113,31,FALSE)</f>
        <v>5</v>
      </c>
      <c r="EA363" s="70">
        <f>VLOOKUP($BS363,'État &amp; Plan d''action'!$B$6:$AH$1113,32,FALSE)</f>
        <v>0</v>
      </c>
      <c r="EB363" s="70">
        <f>VLOOKUP($BS363,'État &amp; Plan d''action'!$B$6:$AH$1113,33,FALSE)</f>
        <v>1</v>
      </c>
      <c r="EC363" s="70">
        <v>0</v>
      </c>
      <c r="ED363" s="70">
        <v>0</v>
      </c>
      <c r="EE363" s="70">
        <v>0</v>
      </c>
      <c r="EF363" s="70">
        <v>0</v>
      </c>
      <c r="EG363" s="70">
        <v>0</v>
      </c>
      <c r="EH363" s="72">
        <v>52</v>
      </c>
      <c r="EI363" s="72">
        <v>1603</v>
      </c>
    </row>
    <row r="364" spans="71:139" x14ac:dyDescent="0.35">
      <c r="BS364" s="486">
        <v>87058</v>
      </c>
      <c r="BT364" s="479" t="s">
        <v>899</v>
      </c>
      <c r="BU364" s="479">
        <v>8</v>
      </c>
      <c r="BV364" s="476" t="s">
        <v>1187</v>
      </c>
      <c r="BW364" s="476" t="s">
        <v>1187</v>
      </c>
      <c r="BX364" s="476" t="s">
        <v>1187</v>
      </c>
      <c r="BY364" s="476" t="s">
        <v>1187</v>
      </c>
      <c r="BZ364" s="476" t="s">
        <v>1187</v>
      </c>
      <c r="CA364" s="476" t="s">
        <v>1187</v>
      </c>
      <c r="CB364" s="476" t="s">
        <v>1187</v>
      </c>
      <c r="CC364" s="476" t="s">
        <v>1187</v>
      </c>
      <c r="CD364" s="476" t="s">
        <v>1187</v>
      </c>
      <c r="CE364" s="476" t="s">
        <v>1188</v>
      </c>
      <c r="CF364" s="476" t="s">
        <v>1188</v>
      </c>
      <c r="CG364" s="476" t="s">
        <v>1188</v>
      </c>
      <c r="CH364" s="476" t="s">
        <v>1188</v>
      </c>
      <c r="CI364" s="476" t="s">
        <v>1188</v>
      </c>
      <c r="CJ364" s="476" t="s">
        <v>1188</v>
      </c>
      <c r="CK364" s="476" t="s">
        <v>1188</v>
      </c>
      <c r="CL364" s="476" t="s">
        <v>1188</v>
      </c>
      <c r="CM364" s="476" t="str">
        <f>IF(VLOOKUP(BS364,'Données par municipalité'!$B$6:$E$1113,4,FALSE)="","non","oui")</f>
        <v>oui</v>
      </c>
      <c r="CN364" s="410">
        <v>330.27289070292363</v>
      </c>
      <c r="CO364" s="410">
        <v>324.5061849689348</v>
      </c>
      <c r="CP364" s="410">
        <v>341.52138921713083</v>
      </c>
      <c r="CQ364" s="410">
        <v>277.12944258439637</v>
      </c>
      <c r="CR364" s="410">
        <v>250.09775516591685</v>
      </c>
      <c r="CS364" s="410">
        <v>448.01642181980174</v>
      </c>
      <c r="CT364" s="410">
        <v>386.79543368916615</v>
      </c>
      <c r="CU364" s="410">
        <v>528</v>
      </c>
      <c r="CV364" s="410">
        <f>IF(VLOOKUP(BS364,'Données par municipalité'!$B$6:$F$1113,4,FALSE)="","",VLOOKUP(BS364,'Données par municipalité'!$B$6:$F$1113,4,FALSE))</f>
        <v>416</v>
      </c>
      <c r="CW364" s="476" t="s">
        <v>4723</v>
      </c>
      <c r="CX364" s="483">
        <v>0</v>
      </c>
      <c r="CY364" s="483">
        <v>0</v>
      </c>
      <c r="CZ364" s="483">
        <v>0</v>
      </c>
      <c r="DA364" s="483">
        <v>0</v>
      </c>
      <c r="DB364" s="483">
        <v>0</v>
      </c>
      <c r="DC364" s="483">
        <v>0</v>
      </c>
      <c r="DD364" s="483">
        <v>0</v>
      </c>
      <c r="DE364" s="483">
        <f>IFERROR(SUM(VLOOKUP($BS364,'État &amp; Plan d''action'!$B$6:$Z$1113,18,FALSE),VLOOKUP($BS364,'État &amp; Plan d''action'!$B$6:$Z$1113,20,FALSE))/(VLOOKUP($BS364,'Données par municipalité'!$B$4:$L$1113,11,FALSE)),"")</f>
        <v>1.3292884721456151</v>
      </c>
      <c r="DF364" s="483">
        <f>IFERROR(SUM(VLOOKUP($BS364,'État &amp; Plan d''action'!$B$6:$Z$1113,19,FALSE),VLOOKUP($BS364,'État &amp; Plan d''action'!$B$6:$Z$1113,21,FALSE))/(VLOOKUP($BS364,'Données par municipalité'!$B$4:$L$1113,11,FALSE)),"")</f>
        <v>1.5499172642029786</v>
      </c>
      <c r="DG364" s="476" t="s">
        <v>4723</v>
      </c>
      <c r="DH364" s="484" t="s">
        <v>1124</v>
      </c>
      <c r="DI364" s="484" t="s">
        <v>1124</v>
      </c>
      <c r="DJ364" s="484">
        <v>0</v>
      </c>
      <c r="DK364" s="484">
        <v>0</v>
      </c>
      <c r="DL364" s="484">
        <v>21</v>
      </c>
      <c r="DM364" s="484">
        <v>17</v>
      </c>
      <c r="DN364" s="484">
        <v>5</v>
      </c>
      <c r="DO364" s="484">
        <v>0</v>
      </c>
      <c r="DP364" s="484">
        <v>1</v>
      </c>
      <c r="DQ364" s="484">
        <f>IF(VLOOKUP($BS364,'État &amp; Plan d''action'!$B$6:$AJ$1113,28,FALSE)="","",VLOOKUP($BS364,'État &amp; Plan d''action'!$B$6:$AJ$1113,28,FALSE))</f>
        <v>0</v>
      </c>
      <c r="DR364" s="70">
        <f>IF(VLOOKUP($BS364,'État &amp; Plan d''action'!$B$6:$AJ$1113,29,FALSE)="","",VLOOKUP($BS364,'État &amp; Plan d''action'!$B$6:$AJ$1113,29,FALSE))</f>
        <v>1</v>
      </c>
      <c r="DS364" s="70">
        <f>IF(VLOOKUP($BS364,'État &amp; Plan d''action'!$B$6:$AJ$1113,30,FALSE)="","",VLOOKUP($BS364,'État &amp; Plan d''action'!$B$6:$AJ$1113,30,FALSE))</f>
        <v>2</v>
      </c>
      <c r="DT364" s="70">
        <v>350</v>
      </c>
      <c r="DU364" s="485">
        <v>3.4569462261789869</v>
      </c>
      <c r="DV364" s="485">
        <v>3.1561922299658893</v>
      </c>
      <c r="DW364" s="70">
        <v>1</v>
      </c>
      <c r="DX364" s="70">
        <v>0</v>
      </c>
      <c r="DY364" s="70">
        <v>1</v>
      </c>
      <c r="DZ364" s="70">
        <f>VLOOKUP($BS364,'État &amp; Plan d''action'!$B$6:$AH$1113,31,FALSE)</f>
        <v>0</v>
      </c>
      <c r="EA364" s="70">
        <f>VLOOKUP($BS364,'État &amp; Plan d''action'!$B$6:$AH$1113,32,FALSE)</f>
        <v>1</v>
      </c>
      <c r="EB364" s="70">
        <f>VLOOKUP($BS364,'État &amp; Plan d''action'!$B$6:$AH$1113,33,FALSE)</f>
        <v>2</v>
      </c>
      <c r="EC364" s="70">
        <v>0</v>
      </c>
      <c r="ED364" s="70">
        <v>0</v>
      </c>
      <c r="EE364" s="70">
        <v>0</v>
      </c>
      <c r="EF364" s="70">
        <v>0</v>
      </c>
      <c r="EG364" s="70">
        <v>0</v>
      </c>
      <c r="EH364" s="72">
        <v>62</v>
      </c>
      <c r="EI364" s="72">
        <v>2760</v>
      </c>
    </row>
    <row r="365" spans="71:139" x14ac:dyDescent="0.35">
      <c r="BS365" s="486">
        <v>39165</v>
      </c>
      <c r="BT365" s="479" t="s">
        <v>1114</v>
      </c>
      <c r="BU365" s="479">
        <v>17</v>
      </c>
      <c r="BV365" s="476" t="s">
        <v>1188</v>
      </c>
      <c r="BW365" s="476" t="s">
        <v>1188</v>
      </c>
      <c r="BX365" s="476" t="s">
        <v>1188</v>
      </c>
      <c r="BY365" s="476" t="s">
        <v>1188</v>
      </c>
      <c r="BZ365" s="476" t="s">
        <v>1188</v>
      </c>
      <c r="CA365" s="476" t="s">
        <v>1188</v>
      </c>
      <c r="CB365" s="476" t="s">
        <v>1188</v>
      </c>
      <c r="CC365" s="476" t="s">
        <v>1188</v>
      </c>
      <c r="CD365" s="476" t="s">
        <v>1188</v>
      </c>
      <c r="CE365" s="476" t="s">
        <v>1187</v>
      </c>
      <c r="CF365" s="476" t="s">
        <v>1187</v>
      </c>
      <c r="CG365" s="476" t="s">
        <v>1187</v>
      </c>
      <c r="CH365" s="476" t="s">
        <v>1187</v>
      </c>
      <c r="CI365" s="476" t="s">
        <v>1187</v>
      </c>
      <c r="CJ365" s="476" t="s">
        <v>1187</v>
      </c>
      <c r="CK365" s="476" t="s">
        <v>1187</v>
      </c>
      <c r="CL365" s="476" t="s">
        <v>1187</v>
      </c>
      <c r="CM365" s="476" t="str">
        <f>IF(VLOOKUP(BS365,'Données par municipalité'!$B$6:$E$1113,4,FALSE)="","non","oui")</f>
        <v>non</v>
      </c>
      <c r="CN365" s="410" t="s">
        <v>1124</v>
      </c>
      <c r="CO365" s="410" t="s">
        <v>1124</v>
      </c>
      <c r="CP365" s="410"/>
      <c r="CQ365" s="410"/>
      <c r="CR365" s="410"/>
      <c r="CS365" s="410" t="s">
        <v>1124</v>
      </c>
      <c r="CT365" s="410"/>
      <c r="CU365" s="410" t="s">
        <v>1124</v>
      </c>
      <c r="CV365" s="410" t="str">
        <f>IF(VLOOKUP(BS365,'Données par municipalité'!$B$6:$F$1113,4,FALSE)="","",VLOOKUP(BS365,'Données par municipalité'!$B$6:$F$1113,4,FALSE))</f>
        <v/>
      </c>
      <c r="CW365" s="476" t="s">
        <v>4723</v>
      </c>
      <c r="CX365" s="483" t="s">
        <v>1124</v>
      </c>
      <c r="CY365" s="483" t="s">
        <v>1124</v>
      </c>
      <c r="CZ365" s="483" t="s">
        <v>1124</v>
      </c>
      <c r="DA365" s="483" t="s">
        <v>1124</v>
      </c>
      <c r="DB365" s="483" t="s">
        <v>1124</v>
      </c>
      <c r="DC365" s="483" t="s">
        <v>1124</v>
      </c>
      <c r="DD365" s="483" t="s">
        <v>1124</v>
      </c>
      <c r="DE365" s="483" t="str">
        <f>IFERROR(SUM(VLOOKUP($BS365,'État &amp; Plan d''action'!$B$6:$Z$1113,18,FALSE),VLOOKUP($BS365,'État &amp; Plan d''action'!$B$6:$Z$1113,20,FALSE))/(VLOOKUP($BS365,'Données par municipalité'!$B$4:$L$1113,11,FALSE)),"")</f>
        <v/>
      </c>
      <c r="DF365" s="483" t="str">
        <f>IFERROR(SUM(VLOOKUP($BS365,'État &amp; Plan d''action'!$B$6:$Z$1113,19,FALSE),VLOOKUP($BS365,'État &amp; Plan d''action'!$B$6:$Z$1113,21,FALSE))/(VLOOKUP($BS365,'Données par municipalité'!$B$4:$L$1113,11,FALSE)),"")</f>
        <v/>
      </c>
      <c r="DG365" s="476" t="s">
        <v>4723</v>
      </c>
      <c r="DH365" s="484" t="s">
        <v>1124</v>
      </c>
      <c r="DI365" s="484" t="s">
        <v>1124</v>
      </c>
      <c r="DJ365" s="484">
        <v>0</v>
      </c>
      <c r="DK365" s="484">
        <v>0</v>
      </c>
      <c r="DL365" s="484" t="s">
        <v>1124</v>
      </c>
      <c r="DM365" s="484" t="s">
        <v>1124</v>
      </c>
      <c r="DN365" s="484" t="s">
        <v>1124</v>
      </c>
      <c r="DO365" s="484" t="s">
        <v>1124</v>
      </c>
      <c r="DP365" s="484" t="s">
        <v>1124</v>
      </c>
      <c r="DQ365" s="484" t="str">
        <f>IF(VLOOKUP($BS365,'État &amp; Plan d''action'!$B$6:$AJ$1113,28,FALSE)="","",VLOOKUP($BS365,'État &amp; Plan d''action'!$B$6:$AJ$1113,28,FALSE))</f>
        <v/>
      </c>
      <c r="DR365" s="70" t="str">
        <f>IF(VLOOKUP($BS365,'État &amp; Plan d''action'!$B$6:$AJ$1113,29,FALSE)="","",VLOOKUP($BS365,'État &amp; Plan d''action'!$B$6:$AJ$1113,29,FALSE))</f>
        <v/>
      </c>
      <c r="DS365" s="70" t="str">
        <f>IF(VLOOKUP($BS365,'État &amp; Plan d''action'!$B$6:$AJ$1113,30,FALSE)="","",VLOOKUP($BS365,'État &amp; Plan d''action'!$B$6:$AJ$1113,30,FALSE))</f>
        <v/>
      </c>
      <c r="DT365" s="70" t="s">
        <v>1124</v>
      </c>
      <c r="DU365" s="485" t="s">
        <v>1124</v>
      </c>
      <c r="DV365" s="485" t="s">
        <v>1124</v>
      </c>
      <c r="DW365" s="70" t="s">
        <v>1124</v>
      </c>
      <c r="DX365" s="70" t="s">
        <v>1124</v>
      </c>
      <c r="DY365" s="70" t="s">
        <v>1124</v>
      </c>
      <c r="DZ365" s="70" t="str">
        <f>VLOOKUP($BS365,'État &amp; Plan d''action'!$B$6:$AH$1113,31,FALSE)</f>
        <v/>
      </c>
      <c r="EA365" s="70" t="str">
        <f>VLOOKUP($BS365,'État &amp; Plan d''action'!$B$6:$AH$1113,32,FALSE)</f>
        <v/>
      </c>
      <c r="EB365" s="70" t="str">
        <f>VLOOKUP($BS365,'État &amp; Plan d''action'!$B$6:$AH$1113,33,FALSE)</f>
        <v/>
      </c>
      <c r="EC365" s="70" t="s">
        <v>1124</v>
      </c>
      <c r="ED365" s="70" t="s">
        <v>1124</v>
      </c>
      <c r="EE365" s="70" t="s">
        <v>1124</v>
      </c>
      <c r="EF365" s="70" t="s">
        <v>1124</v>
      </c>
      <c r="EG365" s="70" t="s">
        <v>1124</v>
      </c>
      <c r="EH365" s="72"/>
      <c r="EI365" s="72">
        <v>437</v>
      </c>
    </row>
    <row r="366" spans="71:139" x14ac:dyDescent="0.35">
      <c r="BS366" s="486">
        <v>45072</v>
      </c>
      <c r="BT366" s="479" t="s">
        <v>419</v>
      </c>
      <c r="BU366" s="479">
        <v>5</v>
      </c>
      <c r="BV366" s="476" t="s">
        <v>1187</v>
      </c>
      <c r="BW366" s="476" t="s">
        <v>1187</v>
      </c>
      <c r="BX366" s="476" t="s">
        <v>1187</v>
      </c>
      <c r="BY366" s="476" t="s">
        <v>1187</v>
      </c>
      <c r="BZ366" s="476" t="s">
        <v>1187</v>
      </c>
      <c r="CA366" s="476" t="s">
        <v>1187</v>
      </c>
      <c r="CB366" s="476" t="s">
        <v>1187</v>
      </c>
      <c r="CC366" s="476" t="s">
        <v>1187</v>
      </c>
      <c r="CD366" s="476" t="s">
        <v>1187</v>
      </c>
      <c r="CE366" s="476" t="s">
        <v>1188</v>
      </c>
      <c r="CF366" s="476" t="s">
        <v>1188</v>
      </c>
      <c r="CG366" s="476" t="s">
        <v>1188</v>
      </c>
      <c r="CH366" s="476" t="s">
        <v>1188</v>
      </c>
      <c r="CI366" s="476" t="s">
        <v>1188</v>
      </c>
      <c r="CJ366" s="476" t="s">
        <v>1188</v>
      </c>
      <c r="CK366" s="476" t="s">
        <v>1188</v>
      </c>
      <c r="CL366" s="476" t="s">
        <v>1188</v>
      </c>
      <c r="CM366" s="476" t="str">
        <f>IF(VLOOKUP(BS366,'Données par municipalité'!$B$6:$E$1113,4,FALSE)="","non","oui")</f>
        <v>oui</v>
      </c>
      <c r="CN366" s="410">
        <v>457.75284964718662</v>
      </c>
      <c r="CO366" s="410">
        <v>497.40900859057291</v>
      </c>
      <c r="CP366" s="410">
        <v>494.13107890013458</v>
      </c>
      <c r="CQ366" s="410">
        <v>462.9218647947896</v>
      </c>
      <c r="CR366" s="410">
        <v>466.53788816661609</v>
      </c>
      <c r="CS366" s="410">
        <v>443.7431619645476</v>
      </c>
      <c r="CT366" s="410">
        <v>409.15115263029571</v>
      </c>
      <c r="CU366" s="410">
        <v>428</v>
      </c>
      <c r="CV366" s="410">
        <f>IF(VLOOKUP(BS366,'Données par municipalité'!$B$6:$F$1113,4,FALSE)="","",VLOOKUP(BS366,'Données par municipalité'!$B$6:$F$1113,4,FALSE))</f>
        <v>418</v>
      </c>
      <c r="CW366" s="476" t="s">
        <v>4723</v>
      </c>
      <c r="CX366" s="483">
        <v>0.01</v>
      </c>
      <c r="CY366" s="483">
        <v>0.05</v>
      </c>
      <c r="CZ366" s="483">
        <v>0.05</v>
      </c>
      <c r="DA366" s="483">
        <v>0.05</v>
      </c>
      <c r="DB366" s="483">
        <v>0.05</v>
      </c>
      <c r="DC366" s="483">
        <v>0.05</v>
      </c>
      <c r="DD366" s="483">
        <v>0</v>
      </c>
      <c r="DE366" s="483">
        <f>IFERROR(SUM(VLOOKUP($BS366,'État &amp; Plan d''action'!$B$6:$Z$1113,18,FALSE),VLOOKUP($BS366,'État &amp; Plan d''action'!$B$6:$Z$1113,20,FALSE))/(VLOOKUP($BS366,'Données par municipalité'!$B$4:$L$1113,11,FALSE)),"")</f>
        <v>0</v>
      </c>
      <c r="DF366" s="483">
        <f>IFERROR(SUM(VLOOKUP($BS366,'État &amp; Plan d''action'!$B$6:$Z$1113,19,FALSE),VLOOKUP($BS366,'État &amp; Plan d''action'!$B$6:$Z$1113,21,FALSE))/(VLOOKUP($BS366,'Données par municipalité'!$B$4:$L$1113,11,FALSE)),"")</f>
        <v>0</v>
      </c>
      <c r="DG366" s="476" t="s">
        <v>4723</v>
      </c>
      <c r="DH366" s="484">
        <v>11</v>
      </c>
      <c r="DI366" s="484">
        <v>13</v>
      </c>
      <c r="DJ366" s="484">
        <v>19</v>
      </c>
      <c r="DK366" s="484">
        <v>38</v>
      </c>
      <c r="DL366" s="484">
        <v>18</v>
      </c>
      <c r="DM366" s="484">
        <v>15</v>
      </c>
      <c r="DN366" s="484">
        <v>19</v>
      </c>
      <c r="DO366" s="484">
        <v>1</v>
      </c>
      <c r="DP366" s="484">
        <v>0</v>
      </c>
      <c r="DQ366" s="484">
        <f>IF(VLOOKUP($BS366,'État &amp; Plan d''action'!$B$6:$AJ$1113,28,FALSE)="","",VLOOKUP($BS366,'État &amp; Plan d''action'!$B$6:$AJ$1113,28,FALSE))</f>
        <v>15</v>
      </c>
      <c r="DR366" s="70">
        <f>IF(VLOOKUP($BS366,'État &amp; Plan d''action'!$B$6:$AJ$1113,29,FALSE)="","",VLOOKUP($BS366,'État &amp; Plan d''action'!$B$6:$AJ$1113,29,FALSE))</f>
        <v>0</v>
      </c>
      <c r="DS366" s="70">
        <f>IF(VLOOKUP($BS366,'État &amp; Plan d''action'!$B$6:$AJ$1113,30,FALSE)="","",VLOOKUP($BS366,'État &amp; Plan d''action'!$B$6:$AJ$1113,30,FALSE))</f>
        <v>3</v>
      </c>
      <c r="DT366" s="70">
        <v>325</v>
      </c>
      <c r="DU366" s="485">
        <v>1.1110556804624157</v>
      </c>
      <c r="DV366" s="485">
        <v>2.833539604404872</v>
      </c>
      <c r="DW366" s="70">
        <v>1</v>
      </c>
      <c r="DX366" s="70">
        <v>1</v>
      </c>
      <c r="DY366" s="70">
        <v>0</v>
      </c>
      <c r="DZ366" s="70">
        <f>VLOOKUP($BS366,'État &amp; Plan d''action'!$B$6:$AH$1113,31,FALSE)</f>
        <v>1</v>
      </c>
      <c r="EA366" s="70">
        <f>VLOOKUP($BS366,'État &amp; Plan d''action'!$B$6:$AH$1113,32,FALSE)</f>
        <v>0</v>
      </c>
      <c r="EB366" s="70">
        <f>VLOOKUP($BS366,'État &amp; Plan d''action'!$B$6:$AH$1113,33,FALSE)</f>
        <v>1</v>
      </c>
      <c r="EC366" s="70">
        <v>0</v>
      </c>
      <c r="ED366" s="70">
        <v>0</v>
      </c>
      <c r="EE366" s="70">
        <v>0</v>
      </c>
      <c r="EF366" s="70">
        <v>0</v>
      </c>
      <c r="EG366" s="70">
        <v>0</v>
      </c>
      <c r="EH366" s="72">
        <v>66</v>
      </c>
      <c r="EI366" s="72">
        <v>27205</v>
      </c>
    </row>
    <row r="367" spans="71:139" x14ac:dyDescent="0.35">
      <c r="BS367" s="486">
        <v>89015</v>
      </c>
      <c r="BT367" s="479" t="s">
        <v>930</v>
      </c>
      <c r="BU367" s="479">
        <v>8</v>
      </c>
      <c r="BV367" s="476" t="s">
        <v>1187</v>
      </c>
      <c r="BW367" s="476" t="s">
        <v>1187</v>
      </c>
      <c r="BX367" s="476" t="s">
        <v>1187</v>
      </c>
      <c r="BY367" s="476" t="s">
        <v>1187</v>
      </c>
      <c r="BZ367" s="476" t="s">
        <v>1187</v>
      </c>
      <c r="CA367" s="476" t="s">
        <v>1187</v>
      </c>
      <c r="CB367" s="476" t="s">
        <v>1187</v>
      </c>
      <c r="CC367" s="476" t="s">
        <v>1187</v>
      </c>
      <c r="CD367" s="476" t="s">
        <v>1187</v>
      </c>
      <c r="CE367" s="476" t="s">
        <v>1188</v>
      </c>
      <c r="CF367" s="476" t="s">
        <v>1188</v>
      </c>
      <c r="CG367" s="476" t="s">
        <v>1188</v>
      </c>
      <c r="CH367" s="476" t="s">
        <v>1188</v>
      </c>
      <c r="CI367" s="476" t="s">
        <v>1188</v>
      </c>
      <c r="CJ367" s="476" t="s">
        <v>1188</v>
      </c>
      <c r="CK367" s="476" t="s">
        <v>1188</v>
      </c>
      <c r="CL367" s="476" t="s">
        <v>1187</v>
      </c>
      <c r="CM367" s="476" t="str">
        <f>IF(VLOOKUP(BS367,'Données par municipalité'!$B$6:$E$1113,4,FALSE)="","non","oui")</f>
        <v>non</v>
      </c>
      <c r="CN367" s="410">
        <v>462.95250146879374</v>
      </c>
      <c r="CO367" s="410">
        <v>439.67896096611577</v>
      </c>
      <c r="CP367" s="410">
        <v>444.85936564931171</v>
      </c>
      <c r="CQ367" s="410">
        <v>490.44585987261138</v>
      </c>
      <c r="CR367" s="410">
        <v>430.1932597105864</v>
      </c>
      <c r="CS367" s="410">
        <v>437.13298682282726</v>
      </c>
      <c r="CT367" s="410">
        <v>396.07898518820042</v>
      </c>
      <c r="CU367" s="410" t="s">
        <v>1124</v>
      </c>
      <c r="CV367" s="410" t="str">
        <f>IF(VLOOKUP(BS367,'Données par municipalité'!$B$6:$F$1113,4,FALSE)="","",VLOOKUP(BS367,'Données par municipalité'!$B$6:$F$1113,4,FALSE))</f>
        <v/>
      </c>
      <c r="CW367" s="476" t="s">
        <v>4723</v>
      </c>
      <c r="CX367" s="483">
        <v>1</v>
      </c>
      <c r="CY367" s="483">
        <v>1</v>
      </c>
      <c r="CZ367" s="483">
        <v>1</v>
      </c>
      <c r="DA367" s="483">
        <v>1</v>
      </c>
      <c r="DB367" s="483">
        <v>1</v>
      </c>
      <c r="DC367" s="483">
        <v>1</v>
      </c>
      <c r="DD367" s="483" t="s">
        <v>1124</v>
      </c>
      <c r="DE367" s="483" t="str">
        <f>IFERROR(SUM(VLOOKUP($BS367,'État &amp; Plan d''action'!$B$6:$Z$1113,18,FALSE),VLOOKUP($BS367,'État &amp; Plan d''action'!$B$6:$Z$1113,20,FALSE))/(VLOOKUP($BS367,'Données par municipalité'!$B$4:$L$1113,11,FALSE)),"")</f>
        <v/>
      </c>
      <c r="DF367" s="483" t="str">
        <f>IFERROR(SUM(VLOOKUP($BS367,'État &amp; Plan d''action'!$B$6:$Z$1113,19,FALSE),VLOOKUP($BS367,'État &amp; Plan d''action'!$B$6:$Z$1113,21,FALSE))/(VLOOKUP($BS367,'Données par municipalité'!$B$4:$L$1113,11,FALSE)),"")</f>
        <v/>
      </c>
      <c r="DG367" s="476" t="s">
        <v>4723</v>
      </c>
      <c r="DH367" s="484">
        <v>0</v>
      </c>
      <c r="DI367" s="484">
        <v>0</v>
      </c>
      <c r="DJ367" s="484">
        <v>0</v>
      </c>
      <c r="DK367" s="484">
        <v>0</v>
      </c>
      <c r="DL367" s="484">
        <v>5</v>
      </c>
      <c r="DM367" s="484">
        <v>1</v>
      </c>
      <c r="DN367" s="484" t="s">
        <v>1124</v>
      </c>
      <c r="DO367" s="484" t="s">
        <v>1124</v>
      </c>
      <c r="DP367" s="484" t="s">
        <v>1124</v>
      </c>
      <c r="DQ367" s="484" t="str">
        <f>IF(VLOOKUP($BS367,'État &amp; Plan d''action'!$B$6:$AJ$1113,28,FALSE)="","",VLOOKUP($BS367,'État &amp; Plan d''action'!$B$6:$AJ$1113,28,FALSE))</f>
        <v/>
      </c>
      <c r="DR367" s="70" t="str">
        <f>IF(VLOOKUP($BS367,'État &amp; Plan d''action'!$B$6:$AJ$1113,29,FALSE)="","",VLOOKUP($BS367,'État &amp; Plan d''action'!$B$6:$AJ$1113,29,FALSE))</f>
        <v/>
      </c>
      <c r="DS367" s="70" t="str">
        <f>IF(VLOOKUP($BS367,'État &amp; Plan d''action'!$B$6:$AJ$1113,30,FALSE)="","",VLOOKUP($BS367,'État &amp; Plan d''action'!$B$6:$AJ$1113,30,FALSE))</f>
        <v/>
      </c>
      <c r="DT367" s="70" t="s">
        <v>1124</v>
      </c>
      <c r="DU367" s="485" t="s">
        <v>1124</v>
      </c>
      <c r="DV367" s="485" t="s">
        <v>1124</v>
      </c>
      <c r="DW367" s="70" t="s">
        <v>1124</v>
      </c>
      <c r="DX367" s="70" t="s">
        <v>1124</v>
      </c>
      <c r="DY367" s="70" t="s">
        <v>1124</v>
      </c>
      <c r="DZ367" s="70" t="str">
        <f>VLOOKUP($BS367,'État &amp; Plan d''action'!$B$6:$AH$1113,31,FALSE)</f>
        <v/>
      </c>
      <c r="EA367" s="70" t="str">
        <f>VLOOKUP($BS367,'État &amp; Plan d''action'!$B$6:$AH$1113,32,FALSE)</f>
        <v/>
      </c>
      <c r="EB367" s="70" t="str">
        <f>VLOOKUP($BS367,'État &amp; Plan d''action'!$B$6:$AH$1113,33,FALSE)</f>
        <v/>
      </c>
      <c r="EC367" s="70" t="s">
        <v>1124</v>
      </c>
      <c r="ED367" s="70" t="s">
        <v>1124</v>
      </c>
      <c r="EE367" s="70" t="s">
        <v>1124</v>
      </c>
      <c r="EF367" s="70" t="s">
        <v>1124</v>
      </c>
      <c r="EG367" s="70" t="s">
        <v>1124</v>
      </c>
      <c r="EH367" s="72"/>
      <c r="EI367" s="72">
        <v>3254</v>
      </c>
    </row>
    <row r="368" spans="71:139" x14ac:dyDescent="0.35">
      <c r="BS368" s="486">
        <v>52095</v>
      </c>
      <c r="BT368" s="479" t="s">
        <v>529</v>
      </c>
      <c r="BU368" s="479">
        <v>14</v>
      </c>
      <c r="BV368" s="476" t="s">
        <v>1187</v>
      </c>
      <c r="BW368" s="476" t="s">
        <v>1187</v>
      </c>
      <c r="BX368" s="476" t="s">
        <v>1187</v>
      </c>
      <c r="BY368" s="476" t="s">
        <v>1187</v>
      </c>
      <c r="BZ368" s="476" t="s">
        <v>1187</v>
      </c>
      <c r="CA368" s="476" t="s">
        <v>1187</v>
      </c>
      <c r="CB368" s="476" t="s">
        <v>1187</v>
      </c>
      <c r="CC368" s="476" t="s">
        <v>1187</v>
      </c>
      <c r="CD368" s="476" t="s">
        <v>1187</v>
      </c>
      <c r="CE368" s="476" t="s">
        <v>1188</v>
      </c>
      <c r="CF368" s="476" t="s">
        <v>1188</v>
      </c>
      <c r="CG368" s="476" t="s">
        <v>1188</v>
      </c>
      <c r="CH368" s="476" t="s">
        <v>1188</v>
      </c>
      <c r="CI368" s="476" t="s">
        <v>1188</v>
      </c>
      <c r="CJ368" s="476" t="s">
        <v>1187</v>
      </c>
      <c r="CK368" s="476" t="s">
        <v>1187</v>
      </c>
      <c r="CL368" s="476" t="s">
        <v>1188</v>
      </c>
      <c r="CM368" s="476" t="str">
        <f>IF(VLOOKUP(BS368,'Données par municipalité'!$B$6:$E$1113,4,FALSE)="","non","oui")</f>
        <v>oui</v>
      </c>
      <c r="CN368" s="410">
        <v>190.99626400996263</v>
      </c>
      <c r="CO368" s="410">
        <v>272.03645731893664</v>
      </c>
      <c r="CP368" s="410">
        <v>259.25558781155445</v>
      </c>
      <c r="CQ368" s="410">
        <v>332.62596323531619</v>
      </c>
      <c r="CR368" s="410">
        <v>360.04933501390758</v>
      </c>
      <c r="CS368" s="410" t="s">
        <v>1124</v>
      </c>
      <c r="CT368" s="410"/>
      <c r="CU368" s="410">
        <v>530</v>
      </c>
      <c r="CV368" s="410">
        <f>IF(VLOOKUP(BS368,'Données par municipalité'!$B$6:$F$1113,4,FALSE)="","",VLOOKUP(BS368,'Données par municipalité'!$B$6:$F$1113,4,FALSE))</f>
        <v>285</v>
      </c>
      <c r="CW368" s="476" t="s">
        <v>4723</v>
      </c>
      <c r="CX368" s="483">
        <v>0.01</v>
      </c>
      <c r="CY368" s="483">
        <v>0</v>
      </c>
      <c r="CZ368" s="483">
        <v>0</v>
      </c>
      <c r="DA368" s="483">
        <v>0</v>
      </c>
      <c r="DB368" s="483" t="s">
        <v>1124</v>
      </c>
      <c r="DC368" s="483" t="s">
        <v>1124</v>
      </c>
      <c r="DD368" s="483">
        <v>0</v>
      </c>
      <c r="DE368" s="483">
        <f>IFERROR(SUM(VLOOKUP($BS368,'État &amp; Plan d''action'!$B$6:$Z$1113,18,FALSE),VLOOKUP($BS368,'État &amp; Plan d''action'!$B$6:$Z$1113,20,FALSE))/(VLOOKUP($BS368,'Données par municipalité'!$B$4:$L$1113,11,FALSE)),"")</f>
        <v>0</v>
      </c>
      <c r="DF368" s="483">
        <f>IFERROR(SUM(VLOOKUP($BS368,'État &amp; Plan d''action'!$B$6:$Z$1113,19,FALSE),VLOOKUP($BS368,'État &amp; Plan d''action'!$B$6:$Z$1113,21,FALSE))/(VLOOKUP($BS368,'Données par municipalité'!$B$4:$L$1113,11,FALSE)),"")</f>
        <v>0</v>
      </c>
      <c r="DG368" s="476" t="s">
        <v>4723</v>
      </c>
      <c r="DH368" s="484">
        <v>1</v>
      </c>
      <c r="DI368" s="484">
        <v>1</v>
      </c>
      <c r="DJ368" s="484">
        <v>1</v>
      </c>
      <c r="DK368" s="484">
        <v>0</v>
      </c>
      <c r="DL368" s="484" t="s">
        <v>1124</v>
      </c>
      <c r="DM368" s="484" t="s">
        <v>1124</v>
      </c>
      <c r="DN368" s="484">
        <v>1</v>
      </c>
      <c r="DO368" s="484">
        <v>1</v>
      </c>
      <c r="DP368" s="484">
        <v>0</v>
      </c>
      <c r="DQ368" s="484">
        <f>IF(VLOOKUP($BS368,'État &amp; Plan d''action'!$B$6:$AJ$1113,28,FALSE)="","",VLOOKUP($BS368,'État &amp; Plan d''action'!$B$6:$AJ$1113,28,FALSE))</f>
        <v>0</v>
      </c>
      <c r="DR368" s="70">
        <f>IF(VLOOKUP($BS368,'État &amp; Plan d''action'!$B$6:$AJ$1113,29,FALSE)="","",VLOOKUP($BS368,'État &amp; Plan d''action'!$B$6:$AJ$1113,29,FALSE))</f>
        <v>0</v>
      </c>
      <c r="DS368" s="70">
        <f>IF(VLOOKUP($BS368,'État &amp; Plan d''action'!$B$6:$AJ$1113,30,FALSE)="","",VLOOKUP($BS368,'État &amp; Plan d''action'!$B$6:$AJ$1113,30,FALSE))</f>
        <v>0</v>
      </c>
      <c r="DT368" s="70">
        <v>250</v>
      </c>
      <c r="DU368" s="485">
        <v>1.1632388507474436</v>
      </c>
      <c r="DV368" s="485">
        <v>1.9143476153045011</v>
      </c>
      <c r="DW368" s="70">
        <v>15</v>
      </c>
      <c r="DX368" s="70">
        <v>2</v>
      </c>
      <c r="DY368" s="70">
        <v>0</v>
      </c>
      <c r="DZ368" s="70">
        <f>VLOOKUP($BS368,'État &amp; Plan d''action'!$B$6:$AH$1113,31,FALSE)</f>
        <v>0</v>
      </c>
      <c r="EA368" s="70">
        <f>VLOOKUP($BS368,'État &amp; Plan d''action'!$B$6:$AH$1113,32,FALSE)</f>
        <v>0</v>
      </c>
      <c r="EB368" s="70">
        <f>VLOOKUP($BS368,'État &amp; Plan d''action'!$B$6:$AH$1113,33,FALSE)</f>
        <v>0</v>
      </c>
      <c r="EC368" s="70">
        <v>0</v>
      </c>
      <c r="ED368" s="70">
        <v>0</v>
      </c>
      <c r="EE368" s="70">
        <v>0</v>
      </c>
      <c r="EF368" s="70">
        <v>0</v>
      </c>
      <c r="EG368" s="70">
        <v>0</v>
      </c>
      <c r="EH368" s="72">
        <v>42</v>
      </c>
      <c r="EI368" s="72">
        <v>2212</v>
      </c>
    </row>
    <row r="369" spans="71:139" x14ac:dyDescent="0.35">
      <c r="BS369" s="486">
        <v>83065</v>
      </c>
      <c r="BT369" s="479" t="s">
        <v>845</v>
      </c>
      <c r="BU369" s="479">
        <v>7</v>
      </c>
      <c r="BV369" s="476" t="s">
        <v>1187</v>
      </c>
      <c r="BW369" s="476" t="s">
        <v>1187</v>
      </c>
      <c r="BX369" s="476" t="s">
        <v>1187</v>
      </c>
      <c r="BY369" s="476" t="s">
        <v>1187</v>
      </c>
      <c r="BZ369" s="476" t="s">
        <v>1187</v>
      </c>
      <c r="CA369" s="476" t="s">
        <v>1187</v>
      </c>
      <c r="CB369" s="476" t="s">
        <v>1187</v>
      </c>
      <c r="CC369" s="476" t="s">
        <v>1187</v>
      </c>
      <c r="CD369" s="476" t="s">
        <v>1187</v>
      </c>
      <c r="CE369" s="476" t="s">
        <v>1187</v>
      </c>
      <c r="CF369" s="476" t="s">
        <v>1187</v>
      </c>
      <c r="CG369" s="476" t="s">
        <v>1187</v>
      </c>
      <c r="CH369" s="476" t="s">
        <v>1187</v>
      </c>
      <c r="CI369" s="476" t="s">
        <v>1187</v>
      </c>
      <c r="CJ369" s="476" t="s">
        <v>1187</v>
      </c>
      <c r="CK369" s="476" t="s">
        <v>1187</v>
      </c>
      <c r="CL369" s="476" t="s">
        <v>1188</v>
      </c>
      <c r="CM369" s="476" t="str">
        <f>IF(VLOOKUP(BS369,'Données par municipalité'!$B$6:$E$1113,4,FALSE)="","non","oui")</f>
        <v>oui</v>
      </c>
      <c r="CN369" s="410" t="s">
        <v>1124</v>
      </c>
      <c r="CO369" s="410" t="s">
        <v>1124</v>
      </c>
      <c r="CP369" s="410"/>
      <c r="CQ369" s="410"/>
      <c r="CR369" s="410"/>
      <c r="CS369" s="410" t="s">
        <v>1124</v>
      </c>
      <c r="CT369" s="410"/>
      <c r="CU369" s="410">
        <v>540</v>
      </c>
      <c r="CV369" s="410">
        <f>IF(VLOOKUP(BS369,'Données par municipalité'!$B$6:$F$1113,4,FALSE)="","",VLOOKUP(BS369,'Données par municipalité'!$B$6:$F$1113,4,FALSE))</f>
        <v>550</v>
      </c>
      <c r="CW369" s="476" t="s">
        <v>4723</v>
      </c>
      <c r="CX369" s="483" t="s">
        <v>1124</v>
      </c>
      <c r="CY369" s="483" t="s">
        <v>1124</v>
      </c>
      <c r="CZ369" s="483" t="s">
        <v>1124</v>
      </c>
      <c r="DA369" s="483" t="s">
        <v>1124</v>
      </c>
      <c r="DB369" s="483" t="s">
        <v>1124</v>
      </c>
      <c r="DC369" s="483" t="s">
        <v>1124</v>
      </c>
      <c r="DD369" s="483">
        <v>1</v>
      </c>
      <c r="DE369" s="483">
        <f>IFERROR(SUM(VLOOKUP($BS369,'État &amp; Plan d''action'!$B$6:$Z$1113,18,FALSE),VLOOKUP($BS369,'État &amp; Plan d''action'!$B$6:$Z$1113,20,FALSE))/(VLOOKUP($BS369,'Données par municipalité'!$B$4:$L$1113,11,FALSE)),"")</f>
        <v>1.4691740570573779</v>
      </c>
      <c r="DF369" s="483">
        <f>IFERROR(SUM(VLOOKUP($BS369,'État &amp; Plan d''action'!$B$6:$Z$1113,19,FALSE),VLOOKUP($BS369,'État &amp; Plan d''action'!$B$6:$Z$1113,21,FALSE))/(VLOOKUP($BS369,'Données par municipalité'!$B$4:$L$1113,11,FALSE)),"")</f>
        <v>1.4691740570573779</v>
      </c>
      <c r="DG369" s="476" t="s">
        <v>4723</v>
      </c>
      <c r="DH369" s="484">
        <v>5</v>
      </c>
      <c r="DI369" s="484">
        <v>13</v>
      </c>
      <c r="DJ369" s="484">
        <v>41</v>
      </c>
      <c r="DK369" s="484">
        <v>0</v>
      </c>
      <c r="DL369" s="484" t="s">
        <v>1124</v>
      </c>
      <c r="DM369" s="484" t="s">
        <v>1124</v>
      </c>
      <c r="DN369" s="484">
        <v>11</v>
      </c>
      <c r="DO369" s="484">
        <v>2</v>
      </c>
      <c r="DP369" s="484">
        <v>6</v>
      </c>
      <c r="DQ369" s="484">
        <f>IF(VLOOKUP($BS369,'État &amp; Plan d''action'!$B$6:$AJ$1113,28,FALSE)="","",VLOOKUP($BS369,'État &amp; Plan d''action'!$B$6:$AJ$1113,28,FALSE))</f>
        <v>4</v>
      </c>
      <c r="DR369" s="70">
        <f>IF(VLOOKUP($BS369,'État &amp; Plan d''action'!$B$6:$AJ$1113,29,FALSE)="","",VLOOKUP($BS369,'État &amp; Plan d''action'!$B$6:$AJ$1113,29,FALSE))</f>
        <v>6</v>
      </c>
      <c r="DS369" s="70">
        <f>IF(VLOOKUP($BS369,'État &amp; Plan d''action'!$B$6:$AJ$1113,30,FALSE)="","",VLOOKUP($BS369,'État &amp; Plan d''action'!$B$6:$AJ$1113,30,FALSE))</f>
        <v>6</v>
      </c>
      <c r="DT369" s="70">
        <v>305</v>
      </c>
      <c r="DU369" s="485">
        <v>3.1639234021901048</v>
      </c>
      <c r="DV369" s="485">
        <v>0.59160206901300672</v>
      </c>
      <c r="DW369" s="70">
        <v>1</v>
      </c>
      <c r="DX369" s="70">
        <v>2</v>
      </c>
      <c r="DY369" s="70">
        <v>4</v>
      </c>
      <c r="DZ369" s="70">
        <f>VLOOKUP($BS369,'État &amp; Plan d''action'!$B$6:$AH$1113,31,FALSE)</f>
        <v>1</v>
      </c>
      <c r="EA369" s="70">
        <f>VLOOKUP($BS369,'État &amp; Plan d''action'!$B$6:$AH$1113,32,FALSE)</f>
        <v>1</v>
      </c>
      <c r="EB369" s="70">
        <f>VLOOKUP($BS369,'État &amp; Plan d''action'!$B$6:$AH$1113,33,FALSE)</f>
        <v>7</v>
      </c>
      <c r="EC369" s="70">
        <v>0</v>
      </c>
      <c r="ED369" s="70">
        <v>37.436</v>
      </c>
      <c r="EE369" s="70">
        <v>0</v>
      </c>
      <c r="EF369" s="70">
        <v>5</v>
      </c>
      <c r="EG369" s="70">
        <v>0</v>
      </c>
      <c r="EH369" s="72">
        <v>60</v>
      </c>
      <c r="EI369" s="72">
        <v>3844</v>
      </c>
    </row>
    <row r="370" spans="71:139" x14ac:dyDescent="0.35">
      <c r="BS370" s="486">
        <v>38028</v>
      </c>
      <c r="BT370" s="479" t="s">
        <v>329</v>
      </c>
      <c r="BU370" s="479">
        <v>17</v>
      </c>
      <c r="BV370" s="476" t="s">
        <v>1188</v>
      </c>
      <c r="BW370" s="476" t="s">
        <v>1188</v>
      </c>
      <c r="BX370" s="476" t="s">
        <v>1188</v>
      </c>
      <c r="BY370" s="476" t="s">
        <v>1188</v>
      </c>
      <c r="BZ370" s="476" t="s">
        <v>1188</v>
      </c>
      <c r="CA370" s="476" t="s">
        <v>1188</v>
      </c>
      <c r="CB370" s="476" t="s">
        <v>1188</v>
      </c>
      <c r="CC370" s="476" t="s">
        <v>1188</v>
      </c>
      <c r="CD370" s="476" t="s">
        <v>1187</v>
      </c>
      <c r="CE370" s="476" t="s">
        <v>1187</v>
      </c>
      <c r="CF370" s="476" t="s">
        <v>1187</v>
      </c>
      <c r="CG370" s="476" t="s">
        <v>1187</v>
      </c>
      <c r="CH370" s="476" t="s">
        <v>1187</v>
      </c>
      <c r="CI370" s="476" t="s">
        <v>1187</v>
      </c>
      <c r="CJ370" s="476" t="s">
        <v>1187</v>
      </c>
      <c r="CK370" s="476" t="s">
        <v>1187</v>
      </c>
      <c r="CL370" s="476" t="s">
        <v>1187</v>
      </c>
      <c r="CM370" s="476" t="str">
        <f>IF(VLOOKUP(BS370,'Données par municipalité'!$B$6:$E$1113,4,FALSE)="","non","oui")</f>
        <v>non</v>
      </c>
      <c r="CN370" s="410" t="s">
        <v>1124</v>
      </c>
      <c r="CO370" s="410" t="s">
        <v>1124</v>
      </c>
      <c r="CP370" s="410"/>
      <c r="CQ370" s="410"/>
      <c r="CR370" s="410"/>
      <c r="CS370" s="410" t="s">
        <v>1124</v>
      </c>
      <c r="CT370" s="410"/>
      <c r="CU370" s="410" t="s">
        <v>1124</v>
      </c>
      <c r="CV370" s="410" t="str">
        <f>IF(VLOOKUP(BS370,'Données par municipalité'!$B$6:$F$1113,4,FALSE)="","",VLOOKUP(BS370,'Données par municipalité'!$B$6:$F$1113,4,FALSE))</f>
        <v/>
      </c>
      <c r="CW370" s="476" t="s">
        <v>4723</v>
      </c>
      <c r="CX370" s="483" t="s">
        <v>1124</v>
      </c>
      <c r="CY370" s="483" t="s">
        <v>1124</v>
      </c>
      <c r="CZ370" s="483" t="s">
        <v>1124</v>
      </c>
      <c r="DA370" s="483" t="s">
        <v>1124</v>
      </c>
      <c r="DB370" s="483" t="s">
        <v>1124</v>
      </c>
      <c r="DC370" s="483" t="s">
        <v>1124</v>
      </c>
      <c r="DD370" s="483" t="s">
        <v>1124</v>
      </c>
      <c r="DE370" s="483" t="str">
        <f>IFERROR(SUM(VLOOKUP($BS370,'État &amp; Plan d''action'!$B$6:$Z$1113,18,FALSE),VLOOKUP($BS370,'État &amp; Plan d''action'!$B$6:$Z$1113,20,FALSE))/(VLOOKUP($BS370,'Données par municipalité'!$B$4:$L$1113,11,FALSE)),"")</f>
        <v/>
      </c>
      <c r="DF370" s="483" t="str">
        <f>IFERROR(SUM(VLOOKUP($BS370,'État &amp; Plan d''action'!$B$6:$Z$1113,19,FALSE),VLOOKUP($BS370,'État &amp; Plan d''action'!$B$6:$Z$1113,21,FALSE))/(VLOOKUP($BS370,'Données par municipalité'!$B$4:$L$1113,11,FALSE)),"")</f>
        <v/>
      </c>
      <c r="DG370" s="476" t="s">
        <v>4723</v>
      </c>
      <c r="DH370" s="484" t="s">
        <v>1124</v>
      </c>
      <c r="DI370" s="484" t="s">
        <v>1124</v>
      </c>
      <c r="DJ370" s="484">
        <v>0</v>
      </c>
      <c r="DK370" s="484">
        <v>0</v>
      </c>
      <c r="DL370" s="484" t="s">
        <v>1124</v>
      </c>
      <c r="DM370" s="484" t="s">
        <v>1124</v>
      </c>
      <c r="DN370" s="484" t="s">
        <v>1124</v>
      </c>
      <c r="DO370" s="484" t="s">
        <v>1124</v>
      </c>
      <c r="DP370" s="484" t="s">
        <v>1124</v>
      </c>
      <c r="DQ370" s="484" t="str">
        <f>IF(VLOOKUP($BS370,'État &amp; Plan d''action'!$B$6:$AJ$1113,28,FALSE)="","",VLOOKUP($BS370,'État &amp; Plan d''action'!$B$6:$AJ$1113,28,FALSE))</f>
        <v/>
      </c>
      <c r="DR370" s="70" t="str">
        <f>IF(VLOOKUP($BS370,'État &amp; Plan d''action'!$B$6:$AJ$1113,29,FALSE)="","",VLOOKUP($BS370,'État &amp; Plan d''action'!$B$6:$AJ$1113,29,FALSE))</f>
        <v/>
      </c>
      <c r="DS370" s="70" t="str">
        <f>IF(VLOOKUP($BS370,'État &amp; Plan d''action'!$B$6:$AJ$1113,30,FALSE)="","",VLOOKUP($BS370,'État &amp; Plan d''action'!$B$6:$AJ$1113,30,FALSE))</f>
        <v/>
      </c>
      <c r="DT370" s="70" t="s">
        <v>1124</v>
      </c>
      <c r="DU370" s="485" t="s">
        <v>1124</v>
      </c>
      <c r="DV370" s="485" t="s">
        <v>1124</v>
      </c>
      <c r="DW370" s="70" t="s">
        <v>1124</v>
      </c>
      <c r="DX370" s="70" t="s">
        <v>1124</v>
      </c>
      <c r="DY370" s="70" t="s">
        <v>1124</v>
      </c>
      <c r="DZ370" s="70" t="str">
        <f>VLOOKUP($BS370,'État &amp; Plan d''action'!$B$6:$AH$1113,31,FALSE)</f>
        <v/>
      </c>
      <c r="EA370" s="70" t="str">
        <f>VLOOKUP($BS370,'État &amp; Plan d''action'!$B$6:$AH$1113,32,FALSE)</f>
        <v/>
      </c>
      <c r="EB370" s="70" t="str">
        <f>VLOOKUP($BS370,'État &amp; Plan d''action'!$B$6:$AH$1113,33,FALSE)</f>
        <v/>
      </c>
      <c r="EC370" s="70" t="s">
        <v>1124</v>
      </c>
      <c r="ED370" s="70" t="s">
        <v>1124</v>
      </c>
      <c r="EE370" s="70" t="s">
        <v>1124</v>
      </c>
      <c r="EF370" s="70" t="s">
        <v>1124</v>
      </c>
      <c r="EG370" s="70" t="s">
        <v>1124</v>
      </c>
      <c r="EH370" s="72"/>
      <c r="EI370" s="72">
        <v>819</v>
      </c>
    </row>
    <row r="371" spans="71:139" x14ac:dyDescent="0.35">
      <c r="BS371" s="486">
        <v>84065</v>
      </c>
      <c r="BT371" s="479" t="s">
        <v>864</v>
      </c>
      <c r="BU371" s="479">
        <v>7</v>
      </c>
      <c r="BV371" s="476" t="s">
        <v>1187</v>
      </c>
      <c r="BW371" s="476" t="s">
        <v>1187</v>
      </c>
      <c r="BX371" s="476" t="s">
        <v>1187</v>
      </c>
      <c r="BY371" s="476" t="s">
        <v>1187</v>
      </c>
      <c r="BZ371" s="476" t="s">
        <v>1187</v>
      </c>
      <c r="CA371" s="476" t="s">
        <v>1187</v>
      </c>
      <c r="CB371" s="476" t="s">
        <v>1187</v>
      </c>
      <c r="CC371" s="476" t="s">
        <v>1187</v>
      </c>
      <c r="CD371" s="476" t="s">
        <v>1187</v>
      </c>
      <c r="CE371" s="476" t="s">
        <v>1187</v>
      </c>
      <c r="CF371" s="476" t="s">
        <v>1187</v>
      </c>
      <c r="CG371" s="476" t="s">
        <v>1187</v>
      </c>
      <c r="CH371" s="476" t="s">
        <v>1187</v>
      </c>
      <c r="CI371" s="476" t="s">
        <v>1187</v>
      </c>
      <c r="CJ371" s="476" t="s">
        <v>1187</v>
      </c>
      <c r="CK371" s="476" t="s">
        <v>1187</v>
      </c>
      <c r="CL371" s="476" t="s">
        <v>1187</v>
      </c>
      <c r="CM371" s="476" t="str">
        <f>IF(VLOOKUP(BS371,'Données par municipalité'!$B$6:$E$1113,4,FALSE)="","non","oui")</f>
        <v>non</v>
      </c>
      <c r="CN371" s="410" t="s">
        <v>1124</v>
      </c>
      <c r="CO371" s="410" t="s">
        <v>1124</v>
      </c>
      <c r="CP371" s="410"/>
      <c r="CQ371" s="410"/>
      <c r="CR371" s="410"/>
      <c r="CS371" s="410" t="s">
        <v>1124</v>
      </c>
      <c r="CT371" s="410"/>
      <c r="CU371" s="410" t="s">
        <v>1124</v>
      </c>
      <c r="CV371" s="410" t="str">
        <f>IF(VLOOKUP(BS371,'Données par municipalité'!$B$6:$F$1113,4,FALSE)="","",VLOOKUP(BS371,'Données par municipalité'!$B$6:$F$1113,4,FALSE))</f>
        <v/>
      </c>
      <c r="CW371" s="476" t="s">
        <v>4723</v>
      </c>
      <c r="CX371" s="483" t="s">
        <v>1124</v>
      </c>
      <c r="CY371" s="483" t="s">
        <v>1124</v>
      </c>
      <c r="CZ371" s="483" t="s">
        <v>1124</v>
      </c>
      <c r="DA371" s="483" t="s">
        <v>1124</v>
      </c>
      <c r="DB371" s="483" t="s">
        <v>1124</v>
      </c>
      <c r="DC371" s="483" t="s">
        <v>1124</v>
      </c>
      <c r="DD371" s="483" t="s">
        <v>1124</v>
      </c>
      <c r="DE371" s="483" t="str">
        <f>IFERROR(SUM(VLOOKUP($BS371,'État &amp; Plan d''action'!$B$6:$Z$1113,18,FALSE),VLOOKUP($BS371,'État &amp; Plan d''action'!$B$6:$Z$1113,20,FALSE))/(VLOOKUP($BS371,'Données par municipalité'!$B$4:$L$1113,11,FALSE)),"")</f>
        <v/>
      </c>
      <c r="DF371" s="483" t="str">
        <f>IFERROR(SUM(VLOOKUP($BS371,'État &amp; Plan d''action'!$B$6:$Z$1113,19,FALSE),VLOOKUP($BS371,'État &amp; Plan d''action'!$B$6:$Z$1113,21,FALSE))/(VLOOKUP($BS371,'Données par municipalité'!$B$4:$L$1113,11,FALSE)),"")</f>
        <v/>
      </c>
      <c r="DG371" s="476" t="s">
        <v>4723</v>
      </c>
      <c r="DH371" s="484">
        <v>2</v>
      </c>
      <c r="DI371" s="484" t="s">
        <v>1124</v>
      </c>
      <c r="DJ371" s="484">
        <v>0</v>
      </c>
      <c r="DK371" s="484">
        <v>0</v>
      </c>
      <c r="DL371" s="484" t="s">
        <v>1124</v>
      </c>
      <c r="DM371" s="484" t="s">
        <v>1124</v>
      </c>
      <c r="DN371" s="484" t="s">
        <v>1124</v>
      </c>
      <c r="DO371" s="484" t="s">
        <v>1124</v>
      </c>
      <c r="DP371" s="484" t="s">
        <v>1124</v>
      </c>
      <c r="DQ371" s="484" t="str">
        <f>IF(VLOOKUP($BS371,'État &amp; Plan d''action'!$B$6:$AJ$1113,28,FALSE)="","",VLOOKUP($BS371,'État &amp; Plan d''action'!$B$6:$AJ$1113,28,FALSE))</f>
        <v/>
      </c>
      <c r="DR371" s="70" t="str">
        <f>IF(VLOOKUP($BS371,'État &amp; Plan d''action'!$B$6:$AJ$1113,29,FALSE)="","",VLOOKUP($BS371,'État &amp; Plan d''action'!$B$6:$AJ$1113,29,FALSE))</f>
        <v/>
      </c>
      <c r="DS371" s="70" t="str">
        <f>IF(VLOOKUP($BS371,'État &amp; Plan d''action'!$B$6:$AJ$1113,30,FALSE)="","",VLOOKUP($BS371,'État &amp; Plan d''action'!$B$6:$AJ$1113,30,FALSE))</f>
        <v/>
      </c>
      <c r="DT371" s="70" t="s">
        <v>1124</v>
      </c>
      <c r="DU371" s="485" t="s">
        <v>1124</v>
      </c>
      <c r="DV371" s="485" t="s">
        <v>1124</v>
      </c>
      <c r="DW371" s="70" t="s">
        <v>1124</v>
      </c>
      <c r="DX371" s="70" t="s">
        <v>1124</v>
      </c>
      <c r="DY371" s="70" t="s">
        <v>1124</v>
      </c>
      <c r="DZ371" s="70" t="str">
        <f>VLOOKUP($BS371,'État &amp; Plan d''action'!$B$6:$AH$1113,31,FALSE)</f>
        <v/>
      </c>
      <c r="EA371" s="70" t="str">
        <f>VLOOKUP($BS371,'État &amp; Plan d''action'!$B$6:$AH$1113,32,FALSE)</f>
        <v/>
      </c>
      <c r="EB371" s="70" t="str">
        <f>VLOOKUP($BS371,'État &amp; Plan d''action'!$B$6:$AH$1113,33,FALSE)</f>
        <v/>
      </c>
      <c r="EC371" s="70" t="s">
        <v>1124</v>
      </c>
      <c r="ED371" s="70" t="s">
        <v>1124</v>
      </c>
      <c r="EE371" s="70" t="s">
        <v>1124</v>
      </c>
      <c r="EF371" s="70" t="s">
        <v>1124</v>
      </c>
      <c r="EG371" s="70" t="s">
        <v>1124</v>
      </c>
      <c r="EH371" s="72"/>
      <c r="EI371" s="72">
        <v>2330</v>
      </c>
    </row>
    <row r="372" spans="71:139" x14ac:dyDescent="0.35">
      <c r="BS372" s="486">
        <v>6005</v>
      </c>
      <c r="BT372" s="479" t="s">
        <v>1057</v>
      </c>
      <c r="BU372" s="479">
        <v>11</v>
      </c>
      <c r="BV372" s="476" t="s">
        <v>1187</v>
      </c>
      <c r="BW372" s="476" t="s">
        <v>1187</v>
      </c>
      <c r="BX372" s="476" t="s">
        <v>1187</v>
      </c>
      <c r="BY372" s="476" t="s">
        <v>1187</v>
      </c>
      <c r="BZ372" s="476" t="s">
        <v>1187</v>
      </c>
      <c r="CA372" s="476" t="s">
        <v>1187</v>
      </c>
      <c r="CB372" s="476" t="s">
        <v>1187</v>
      </c>
      <c r="CC372" s="476" t="s">
        <v>1187</v>
      </c>
      <c r="CD372" s="476" t="s">
        <v>1187</v>
      </c>
      <c r="CE372" s="476" t="s">
        <v>1187</v>
      </c>
      <c r="CF372" s="476" t="s">
        <v>1187</v>
      </c>
      <c r="CG372" s="476" t="s">
        <v>1187</v>
      </c>
      <c r="CH372" s="476" t="s">
        <v>1187</v>
      </c>
      <c r="CI372" s="476" t="s">
        <v>1187</v>
      </c>
      <c r="CJ372" s="476" t="s">
        <v>1188</v>
      </c>
      <c r="CK372" s="476" t="s">
        <v>1188</v>
      </c>
      <c r="CL372" s="476" t="s">
        <v>1188</v>
      </c>
      <c r="CM372" s="476" t="str">
        <f>IF(VLOOKUP(BS372,'Données par municipalité'!$B$6:$E$1113,4,FALSE)="","non","oui")</f>
        <v>oui</v>
      </c>
      <c r="CN372" s="410" t="s">
        <v>1124</v>
      </c>
      <c r="CO372" s="410" t="s">
        <v>1124</v>
      </c>
      <c r="CP372" s="410"/>
      <c r="CQ372" s="410"/>
      <c r="CR372" s="410"/>
      <c r="CS372" s="410">
        <v>439.93065259196209</v>
      </c>
      <c r="CT372" s="410">
        <v>471.33419766990608</v>
      </c>
      <c r="CU372" s="410">
        <v>504</v>
      </c>
      <c r="CV372" s="410">
        <f>IF(VLOOKUP(BS372,'Données par municipalité'!$B$6:$F$1113,4,FALSE)="","",VLOOKUP(BS372,'Données par municipalité'!$B$6:$F$1113,4,FALSE))</f>
        <v>459</v>
      </c>
      <c r="CW372" s="476" t="s">
        <v>4723</v>
      </c>
      <c r="CX372" s="483" t="s">
        <v>1124</v>
      </c>
      <c r="CY372" s="483" t="s">
        <v>1124</v>
      </c>
      <c r="CZ372" s="483" t="s">
        <v>1124</v>
      </c>
      <c r="DA372" s="483" t="s">
        <v>1124</v>
      </c>
      <c r="DB372" s="483">
        <v>1</v>
      </c>
      <c r="DC372" s="483">
        <v>1</v>
      </c>
      <c r="DD372" s="483" t="s">
        <v>1124</v>
      </c>
      <c r="DE372" s="483">
        <f>IFERROR(SUM(VLOOKUP($BS372,'État &amp; Plan d''action'!$B$6:$Z$1113,18,FALSE),VLOOKUP($BS372,'État &amp; Plan d''action'!$B$6:$Z$1113,20,FALSE))/(VLOOKUP($BS372,'Données par municipalité'!$B$4:$L$1113,11,FALSE)),"")</f>
        <v>1.9036287923854849</v>
      </c>
      <c r="DF372" s="483">
        <f>IFERROR(SUM(VLOOKUP($BS372,'État &amp; Plan d''action'!$B$6:$Z$1113,19,FALSE),VLOOKUP($BS372,'État &amp; Plan d''action'!$B$6:$Z$1113,21,FALSE))/(VLOOKUP($BS372,'Données par municipalité'!$B$4:$L$1113,11,FALSE)),"")</f>
        <v>1</v>
      </c>
      <c r="DG372" s="476" t="s">
        <v>4723</v>
      </c>
      <c r="DH372" s="484" t="s">
        <v>1124</v>
      </c>
      <c r="DI372" s="484" t="s">
        <v>1124</v>
      </c>
      <c r="DJ372" s="484">
        <v>0</v>
      </c>
      <c r="DK372" s="484">
        <v>0</v>
      </c>
      <c r="DL372" s="484">
        <v>3</v>
      </c>
      <c r="DM372" s="484">
        <v>1</v>
      </c>
      <c r="DN372" s="484">
        <v>0</v>
      </c>
      <c r="DO372" s="484">
        <v>0</v>
      </c>
      <c r="DP372" s="484">
        <v>0</v>
      </c>
      <c r="DQ372" s="484">
        <f>IF(VLOOKUP($BS372,'État &amp; Plan d''action'!$B$6:$AJ$1113,28,FALSE)="","",VLOOKUP($BS372,'État &amp; Plan d''action'!$B$6:$AJ$1113,28,FALSE))</f>
        <v>3</v>
      </c>
      <c r="DR372" s="70">
        <f>IF(VLOOKUP($BS372,'État &amp; Plan d''action'!$B$6:$AJ$1113,29,FALSE)="","",VLOOKUP($BS372,'État &amp; Plan d''action'!$B$6:$AJ$1113,29,FALSE))</f>
        <v>2</v>
      </c>
      <c r="DS372" s="70">
        <f>IF(VLOOKUP($BS372,'État &amp; Plan d''action'!$B$6:$AJ$1113,30,FALSE)="","",VLOOKUP($BS372,'État &amp; Plan d''action'!$B$6:$AJ$1113,30,FALSE))</f>
        <v>0</v>
      </c>
      <c r="DT372" s="70">
        <v>272</v>
      </c>
      <c r="DU372" s="485">
        <v>5.1315144965284532</v>
      </c>
      <c r="DV372" s="485">
        <v>4.5201387207498067</v>
      </c>
      <c r="DW372" s="70">
        <v>0</v>
      </c>
      <c r="DX372" s="70">
        <v>0</v>
      </c>
      <c r="DY372" s="70">
        <v>0</v>
      </c>
      <c r="DZ372" s="70">
        <f>VLOOKUP($BS372,'État &amp; Plan d''action'!$B$6:$AH$1113,31,FALSE)</f>
        <v>1</v>
      </c>
      <c r="EA372" s="70">
        <f>VLOOKUP($BS372,'État &amp; Plan d''action'!$B$6:$AH$1113,32,FALSE)</f>
        <v>7</v>
      </c>
      <c r="EB372" s="70">
        <f>VLOOKUP($BS372,'État &amp; Plan d''action'!$B$6:$AH$1113,33,FALSE)</f>
        <v>0</v>
      </c>
      <c r="EC372" s="70">
        <v>0</v>
      </c>
      <c r="ED372" s="70">
        <v>25.215</v>
      </c>
      <c r="EE372" s="70">
        <v>0</v>
      </c>
      <c r="EF372" s="70">
        <v>0</v>
      </c>
      <c r="EG372" s="70">
        <v>0</v>
      </c>
      <c r="EH372" s="72">
        <v>54</v>
      </c>
      <c r="EI372" s="72">
        <v>2664</v>
      </c>
    </row>
    <row r="373" spans="71:139" x14ac:dyDescent="0.35">
      <c r="BS373" s="486">
        <v>42065</v>
      </c>
      <c r="BT373" s="479" t="s">
        <v>388</v>
      </c>
      <c r="BU373" s="479">
        <v>5</v>
      </c>
      <c r="BV373" s="476" t="s">
        <v>1188</v>
      </c>
      <c r="BW373" s="476" t="s">
        <v>1188</v>
      </c>
      <c r="BX373" s="476" t="s">
        <v>1188</v>
      </c>
      <c r="BY373" s="476" t="s">
        <v>1188</v>
      </c>
      <c r="BZ373" s="476" t="s">
        <v>1188</v>
      </c>
      <c r="CA373" s="476" t="s">
        <v>1188</v>
      </c>
      <c r="CB373" s="476" t="s">
        <v>1188</v>
      </c>
      <c r="CC373" s="476" t="s">
        <v>1188</v>
      </c>
      <c r="CD373" s="476" t="s">
        <v>1188</v>
      </c>
      <c r="CE373" s="476" t="s">
        <v>1187</v>
      </c>
      <c r="CF373" s="476" t="s">
        <v>1187</v>
      </c>
      <c r="CG373" s="476" t="s">
        <v>1187</v>
      </c>
      <c r="CH373" s="476" t="s">
        <v>1187</v>
      </c>
      <c r="CI373" s="476" t="s">
        <v>1187</v>
      </c>
      <c r="CJ373" s="476" t="s">
        <v>1187</v>
      </c>
      <c r="CK373" s="476" t="s">
        <v>1187</v>
      </c>
      <c r="CL373" s="476" t="s">
        <v>1187</v>
      </c>
      <c r="CM373" s="476" t="str">
        <f>IF(VLOOKUP(BS373,'Données par municipalité'!$B$6:$E$1113,4,FALSE)="","non","oui")</f>
        <v>non</v>
      </c>
      <c r="CN373" s="410" t="s">
        <v>1124</v>
      </c>
      <c r="CO373" s="410" t="s">
        <v>1124</v>
      </c>
      <c r="CP373" s="410"/>
      <c r="CQ373" s="410"/>
      <c r="CR373" s="410"/>
      <c r="CS373" s="410" t="s">
        <v>1124</v>
      </c>
      <c r="CT373" s="410"/>
      <c r="CU373" s="410" t="s">
        <v>1124</v>
      </c>
      <c r="CV373" s="410" t="str">
        <f>IF(VLOOKUP(BS373,'Données par municipalité'!$B$6:$F$1113,4,FALSE)="","",VLOOKUP(BS373,'Données par municipalité'!$B$6:$F$1113,4,FALSE))</f>
        <v/>
      </c>
      <c r="CW373" s="476" t="s">
        <v>4723</v>
      </c>
      <c r="CX373" s="483" t="s">
        <v>1124</v>
      </c>
      <c r="CY373" s="483" t="s">
        <v>1124</v>
      </c>
      <c r="CZ373" s="483" t="s">
        <v>1124</v>
      </c>
      <c r="DA373" s="483" t="s">
        <v>1124</v>
      </c>
      <c r="DB373" s="483" t="s">
        <v>1124</v>
      </c>
      <c r="DC373" s="483" t="s">
        <v>1124</v>
      </c>
      <c r="DD373" s="483" t="s">
        <v>1124</v>
      </c>
      <c r="DE373" s="483" t="str">
        <f>IFERROR(SUM(VLOOKUP($BS373,'État &amp; Plan d''action'!$B$6:$Z$1113,18,FALSE),VLOOKUP($BS373,'État &amp; Plan d''action'!$B$6:$Z$1113,20,FALSE))/(VLOOKUP($BS373,'Données par municipalité'!$B$4:$L$1113,11,FALSE)),"")</f>
        <v/>
      </c>
      <c r="DF373" s="483" t="str">
        <f>IFERROR(SUM(VLOOKUP($BS373,'État &amp; Plan d''action'!$B$6:$Z$1113,19,FALSE),VLOOKUP($BS373,'État &amp; Plan d''action'!$B$6:$Z$1113,21,FALSE))/(VLOOKUP($BS373,'Données par municipalité'!$B$4:$L$1113,11,FALSE)),"")</f>
        <v/>
      </c>
      <c r="DG373" s="476" t="s">
        <v>4723</v>
      </c>
      <c r="DH373" s="484" t="s">
        <v>1124</v>
      </c>
      <c r="DI373" s="484" t="s">
        <v>1124</v>
      </c>
      <c r="DJ373" s="484">
        <v>0</v>
      </c>
      <c r="DK373" s="484">
        <v>0</v>
      </c>
      <c r="DL373" s="484" t="s">
        <v>1124</v>
      </c>
      <c r="DM373" s="484" t="s">
        <v>1124</v>
      </c>
      <c r="DN373" s="484" t="s">
        <v>1124</v>
      </c>
      <c r="DO373" s="484" t="s">
        <v>1124</v>
      </c>
      <c r="DP373" s="484" t="s">
        <v>1124</v>
      </c>
      <c r="DQ373" s="484" t="str">
        <f>IF(VLOOKUP($BS373,'État &amp; Plan d''action'!$B$6:$AJ$1113,28,FALSE)="","",VLOOKUP($BS373,'État &amp; Plan d''action'!$B$6:$AJ$1113,28,FALSE))</f>
        <v/>
      </c>
      <c r="DR373" s="70" t="str">
        <f>IF(VLOOKUP($BS373,'État &amp; Plan d''action'!$B$6:$AJ$1113,29,FALSE)="","",VLOOKUP($BS373,'État &amp; Plan d''action'!$B$6:$AJ$1113,29,FALSE))</f>
        <v/>
      </c>
      <c r="DS373" s="70" t="str">
        <f>IF(VLOOKUP($BS373,'État &amp; Plan d''action'!$B$6:$AJ$1113,30,FALSE)="","",VLOOKUP($BS373,'État &amp; Plan d''action'!$B$6:$AJ$1113,30,FALSE))</f>
        <v/>
      </c>
      <c r="DT373" s="70" t="s">
        <v>1124</v>
      </c>
      <c r="DU373" s="485" t="s">
        <v>1124</v>
      </c>
      <c r="DV373" s="485" t="s">
        <v>1124</v>
      </c>
      <c r="DW373" s="70" t="s">
        <v>1124</v>
      </c>
      <c r="DX373" s="70" t="s">
        <v>1124</v>
      </c>
      <c r="DY373" s="70" t="s">
        <v>1124</v>
      </c>
      <c r="DZ373" s="70" t="str">
        <f>VLOOKUP($BS373,'État &amp; Plan d''action'!$B$6:$AH$1113,31,FALSE)</f>
        <v/>
      </c>
      <c r="EA373" s="70" t="str">
        <f>VLOOKUP($BS373,'État &amp; Plan d''action'!$B$6:$AH$1113,32,FALSE)</f>
        <v/>
      </c>
      <c r="EB373" s="70" t="str">
        <f>VLOOKUP($BS373,'État &amp; Plan d''action'!$B$6:$AH$1113,33,FALSE)</f>
        <v/>
      </c>
      <c r="EC373" s="70" t="s">
        <v>1124</v>
      </c>
      <c r="ED373" s="70" t="s">
        <v>1124</v>
      </c>
      <c r="EE373" s="70" t="s">
        <v>1124</v>
      </c>
      <c r="EF373" s="70" t="s">
        <v>1124</v>
      </c>
      <c r="EG373" s="70" t="s">
        <v>1124</v>
      </c>
      <c r="EH373" s="72"/>
      <c r="EI373" s="72">
        <v>421</v>
      </c>
    </row>
    <row r="374" spans="71:139" x14ac:dyDescent="0.35">
      <c r="BS374" s="486">
        <v>55048</v>
      </c>
      <c r="BT374" s="479" t="s">
        <v>564</v>
      </c>
      <c r="BU374" s="479">
        <v>16</v>
      </c>
      <c r="BV374" s="476" t="s">
        <v>1187</v>
      </c>
      <c r="BW374" s="476" t="s">
        <v>1187</v>
      </c>
      <c r="BX374" s="476" t="s">
        <v>1187</v>
      </c>
      <c r="BY374" s="476" t="s">
        <v>1187</v>
      </c>
      <c r="BZ374" s="476" t="s">
        <v>1187</v>
      </c>
      <c r="CA374" s="476" t="s">
        <v>1187</v>
      </c>
      <c r="CB374" s="476" t="s">
        <v>1187</v>
      </c>
      <c r="CC374" s="476" t="s">
        <v>1187</v>
      </c>
      <c r="CD374" s="476" t="s">
        <v>1187</v>
      </c>
      <c r="CE374" s="476" t="s">
        <v>1188</v>
      </c>
      <c r="CF374" s="476" t="s">
        <v>1188</v>
      </c>
      <c r="CG374" s="476" t="s">
        <v>1188</v>
      </c>
      <c r="CH374" s="476" t="s">
        <v>1188</v>
      </c>
      <c r="CI374" s="476" t="s">
        <v>1188</v>
      </c>
      <c r="CJ374" s="476" t="s">
        <v>1188</v>
      </c>
      <c r="CK374" s="476" t="s">
        <v>1188</v>
      </c>
      <c r="CL374" s="476" t="s">
        <v>1188</v>
      </c>
      <c r="CM374" s="476" t="str">
        <f>IF(VLOOKUP(BS374,'Données par municipalité'!$B$6:$E$1113,4,FALSE)="","non","oui")</f>
        <v>oui</v>
      </c>
      <c r="CN374" s="410">
        <v>416.96776811705354</v>
      </c>
      <c r="CO374" s="410">
        <v>433.56007150670519</v>
      </c>
      <c r="CP374" s="410">
        <v>401.21722317015417</v>
      </c>
      <c r="CQ374" s="410">
        <v>393.71605718052945</v>
      </c>
      <c r="CR374" s="410">
        <v>418.88880606499754</v>
      </c>
      <c r="CS374" s="410">
        <v>446.50121156437575</v>
      </c>
      <c r="CT374" s="410">
        <v>432.4721570963402</v>
      </c>
      <c r="CU374" s="410">
        <v>413</v>
      </c>
      <c r="CV374" s="410">
        <f>IF(VLOOKUP(BS374,'Données par municipalité'!$B$6:$F$1113,4,FALSE)="","",VLOOKUP(BS374,'Données par municipalité'!$B$6:$F$1113,4,FALSE))</f>
        <v>389</v>
      </c>
      <c r="CW374" s="476" t="s">
        <v>4723</v>
      </c>
      <c r="CX374" s="483">
        <v>0</v>
      </c>
      <c r="CY374" s="483">
        <v>0</v>
      </c>
      <c r="CZ374" s="483">
        <v>0</v>
      </c>
      <c r="DA374" s="483">
        <v>0</v>
      </c>
      <c r="DB374" s="483">
        <v>0</v>
      </c>
      <c r="DC374" s="483">
        <v>0</v>
      </c>
      <c r="DD374" s="483">
        <v>0</v>
      </c>
      <c r="DE374" s="483">
        <f>IFERROR(SUM(VLOOKUP($BS374,'État &amp; Plan d''action'!$B$6:$Z$1113,18,FALSE),VLOOKUP($BS374,'État &amp; Plan d''action'!$B$6:$Z$1113,20,FALSE))/(VLOOKUP($BS374,'Données par municipalité'!$B$4:$L$1113,11,FALSE)),"")</f>
        <v>1</v>
      </c>
      <c r="DF374" s="483">
        <f>IFERROR(SUM(VLOOKUP($BS374,'État &amp; Plan d''action'!$B$6:$Z$1113,19,FALSE),VLOOKUP($BS374,'État &amp; Plan d''action'!$B$6:$Z$1113,21,FALSE))/(VLOOKUP($BS374,'Données par municipalité'!$B$4:$L$1113,11,FALSE)),"")</f>
        <v>0</v>
      </c>
      <c r="DG374" s="476" t="s">
        <v>4723</v>
      </c>
      <c r="DH374" s="484">
        <v>7</v>
      </c>
      <c r="DI374" s="484">
        <v>9</v>
      </c>
      <c r="DJ374" s="484">
        <v>22</v>
      </c>
      <c r="DK374" s="484">
        <v>13</v>
      </c>
      <c r="DL374" s="484">
        <v>7</v>
      </c>
      <c r="DM374" s="484">
        <v>4</v>
      </c>
      <c r="DN374" s="484">
        <v>4</v>
      </c>
      <c r="DO374" s="484">
        <v>1</v>
      </c>
      <c r="DP374" s="484">
        <v>1</v>
      </c>
      <c r="DQ374" s="484">
        <f>IF(VLOOKUP($BS374,'État &amp; Plan d''action'!$B$6:$AJ$1113,28,FALSE)="","",VLOOKUP($BS374,'État &amp; Plan d''action'!$B$6:$AJ$1113,28,FALSE))</f>
        <v>6</v>
      </c>
      <c r="DR374" s="70">
        <f>IF(VLOOKUP($BS374,'État &amp; Plan d''action'!$B$6:$AJ$1113,29,FALSE)="","",VLOOKUP($BS374,'État &amp; Plan d''action'!$B$6:$AJ$1113,29,FALSE))</f>
        <v>0</v>
      </c>
      <c r="DS374" s="70">
        <f>IF(VLOOKUP($BS374,'État &amp; Plan d''action'!$B$6:$AJ$1113,30,FALSE)="","",VLOOKUP($BS374,'État &amp; Plan d''action'!$B$6:$AJ$1113,30,FALSE))</f>
        <v>0</v>
      </c>
      <c r="DT374" s="70">
        <v>303</v>
      </c>
      <c r="DU374" s="485">
        <v>1.0378312035232116</v>
      </c>
      <c r="DV374" s="485">
        <v>1.2674612071993165</v>
      </c>
      <c r="DW374" s="70">
        <v>3</v>
      </c>
      <c r="DX374" s="70">
        <v>1</v>
      </c>
      <c r="DY374" s="70">
        <v>15</v>
      </c>
      <c r="DZ374" s="70">
        <f>VLOOKUP($BS374,'État &amp; Plan d''action'!$B$6:$AH$1113,31,FALSE)</f>
        <v>3</v>
      </c>
      <c r="EA374" s="70">
        <f>VLOOKUP($BS374,'État &amp; Plan d''action'!$B$6:$AH$1113,32,FALSE)</f>
        <v>0</v>
      </c>
      <c r="EB374" s="70">
        <f>VLOOKUP($BS374,'État &amp; Plan d''action'!$B$6:$AH$1113,33,FALSE)</f>
        <v>0</v>
      </c>
      <c r="EC374" s="70">
        <v>0</v>
      </c>
      <c r="ED374" s="70">
        <v>0</v>
      </c>
      <c r="EE374" s="70">
        <v>0</v>
      </c>
      <c r="EF374" s="70">
        <v>0</v>
      </c>
      <c r="EG374" s="70">
        <v>0</v>
      </c>
      <c r="EH374" s="72">
        <v>63</v>
      </c>
      <c r="EI374" s="72">
        <v>11056</v>
      </c>
    </row>
    <row r="375" spans="71:139" x14ac:dyDescent="0.35">
      <c r="BS375" s="486">
        <v>4025</v>
      </c>
      <c r="BT375" s="479" t="s">
        <v>1040</v>
      </c>
      <c r="BU375" s="479">
        <v>11</v>
      </c>
      <c r="BV375" s="476" t="s">
        <v>1187</v>
      </c>
      <c r="BW375" s="476" t="s">
        <v>1187</v>
      </c>
      <c r="BX375" s="476" t="s">
        <v>1187</v>
      </c>
      <c r="BY375" s="476" t="s">
        <v>1187</v>
      </c>
      <c r="BZ375" s="476" t="s">
        <v>1187</v>
      </c>
      <c r="CA375" s="476" t="s">
        <v>1187</v>
      </c>
      <c r="CB375" s="476" t="s">
        <v>1187</v>
      </c>
      <c r="CC375" s="476" t="s">
        <v>1187</v>
      </c>
      <c r="CD375" s="476" t="s">
        <v>1187</v>
      </c>
      <c r="CE375" s="476" t="s">
        <v>1187</v>
      </c>
      <c r="CF375" s="476" t="s">
        <v>1187</v>
      </c>
      <c r="CG375" s="476" t="s">
        <v>1187</v>
      </c>
      <c r="CH375" s="476" t="s">
        <v>1187</v>
      </c>
      <c r="CI375" s="476" t="s">
        <v>1187</v>
      </c>
      <c r="CJ375" s="476" t="s">
        <v>1188</v>
      </c>
      <c r="CK375" s="476" t="s">
        <v>1187</v>
      </c>
      <c r="CL375" s="476" t="s">
        <v>1188</v>
      </c>
      <c r="CM375" s="476" t="str">
        <f>IF(VLOOKUP(BS375,'Données par municipalité'!$B$6:$E$1113,4,FALSE)="","non","oui")</f>
        <v>oui</v>
      </c>
      <c r="CN375" s="410" t="s">
        <v>1124</v>
      </c>
      <c r="CO375" s="410" t="s">
        <v>1124</v>
      </c>
      <c r="CP375" s="410"/>
      <c r="CQ375" s="410"/>
      <c r="CR375" s="410"/>
      <c r="CS375" s="410">
        <v>751.69393713964485</v>
      </c>
      <c r="CT375" s="410"/>
      <c r="CU375" s="410">
        <v>753</v>
      </c>
      <c r="CV375" s="410">
        <f>IF(VLOOKUP(BS375,'Données par municipalité'!$B$6:$F$1113,4,FALSE)="","",VLOOKUP(BS375,'Données par municipalité'!$B$6:$F$1113,4,FALSE))</f>
        <v>762</v>
      </c>
      <c r="CW375" s="476" t="s">
        <v>4723</v>
      </c>
      <c r="CX375" s="483" t="s">
        <v>1124</v>
      </c>
      <c r="CY375" s="483" t="s">
        <v>1124</v>
      </c>
      <c r="CZ375" s="483" t="s">
        <v>1124</v>
      </c>
      <c r="DA375" s="483" t="s">
        <v>1124</v>
      </c>
      <c r="DB375" s="483">
        <v>1</v>
      </c>
      <c r="DC375" s="483" t="s">
        <v>1124</v>
      </c>
      <c r="DD375" s="483" t="s">
        <v>1124</v>
      </c>
      <c r="DE375" s="483">
        <f>IFERROR(SUM(VLOOKUP($BS375,'État &amp; Plan d''action'!$B$6:$Z$1113,18,FALSE),VLOOKUP($BS375,'État &amp; Plan d''action'!$B$6:$Z$1113,20,FALSE))/(VLOOKUP($BS375,'Données par municipalité'!$B$4:$L$1113,11,FALSE)),"")</f>
        <v>1</v>
      </c>
      <c r="DF375" s="483">
        <f>IFERROR(SUM(VLOOKUP($BS375,'État &amp; Plan d''action'!$B$6:$Z$1113,19,FALSE),VLOOKUP($BS375,'État &amp; Plan d''action'!$B$6:$Z$1113,21,FALSE))/(VLOOKUP($BS375,'Données par municipalité'!$B$4:$L$1113,11,FALSE)),"")</f>
        <v>1.4812286689419794</v>
      </c>
      <c r="DG375" s="476" t="s">
        <v>4723</v>
      </c>
      <c r="DH375" s="484" t="s">
        <v>1124</v>
      </c>
      <c r="DI375" s="484" t="s">
        <v>1124</v>
      </c>
      <c r="DJ375" s="484">
        <v>0</v>
      </c>
      <c r="DK375" s="484">
        <v>0</v>
      </c>
      <c r="DL375" s="484">
        <v>0</v>
      </c>
      <c r="DM375" s="484" t="s">
        <v>1124</v>
      </c>
      <c r="DN375" s="484">
        <v>2</v>
      </c>
      <c r="DO375" s="484">
        <v>1</v>
      </c>
      <c r="DP375" s="484">
        <v>0</v>
      </c>
      <c r="DQ375" s="484">
        <f>IF(VLOOKUP($BS375,'État &amp; Plan d''action'!$B$6:$AJ$1113,28,FALSE)="","",VLOOKUP($BS375,'État &amp; Plan d''action'!$B$6:$AJ$1113,28,FALSE))</f>
        <v>0</v>
      </c>
      <c r="DR375" s="70">
        <f>IF(VLOOKUP($BS375,'État &amp; Plan d''action'!$B$6:$AJ$1113,29,FALSE)="","",VLOOKUP($BS375,'État &amp; Plan d''action'!$B$6:$AJ$1113,29,FALSE))</f>
        <v>2</v>
      </c>
      <c r="DS375" s="70">
        <f>IF(VLOOKUP($BS375,'État &amp; Plan d''action'!$B$6:$AJ$1113,30,FALSE)="","",VLOOKUP($BS375,'État &amp; Plan d''action'!$B$6:$AJ$1113,30,FALSE))</f>
        <v>0</v>
      </c>
      <c r="DT375" s="70">
        <v>356</v>
      </c>
      <c r="DU375" s="485">
        <v>5.1388286682404329</v>
      </c>
      <c r="DV375" s="485">
        <v>5.7496965304558163</v>
      </c>
      <c r="DW375" s="70">
        <v>1</v>
      </c>
      <c r="DX375" s="70">
        <v>1</v>
      </c>
      <c r="DY375" s="70">
        <v>0</v>
      </c>
      <c r="DZ375" s="70">
        <f>VLOOKUP($BS375,'État &amp; Plan d''action'!$B$6:$AH$1113,31,FALSE)</f>
        <v>0</v>
      </c>
      <c r="EA375" s="70">
        <f>VLOOKUP($BS375,'État &amp; Plan d''action'!$B$6:$AH$1113,32,FALSE)</f>
        <v>5</v>
      </c>
      <c r="EB375" s="70">
        <f>VLOOKUP($BS375,'État &amp; Plan d''action'!$B$6:$AH$1113,33,FALSE)</f>
        <v>0</v>
      </c>
      <c r="EC375" s="70">
        <v>0</v>
      </c>
      <c r="ED375" s="70">
        <v>0</v>
      </c>
      <c r="EE375" s="70">
        <v>17.25</v>
      </c>
      <c r="EF375" s="70">
        <v>0</v>
      </c>
      <c r="EG375" s="70">
        <v>0</v>
      </c>
      <c r="EH375" s="72">
        <v>59</v>
      </c>
      <c r="EI375" s="72">
        <v>289</v>
      </c>
    </row>
    <row r="376" spans="71:139" x14ac:dyDescent="0.35">
      <c r="BS376" s="486">
        <v>30035</v>
      </c>
      <c r="BT376" s="479" t="s">
        <v>223</v>
      </c>
      <c r="BU376" s="479">
        <v>5</v>
      </c>
      <c r="BV376" s="476" t="s">
        <v>1188</v>
      </c>
      <c r="BW376" s="476" t="s">
        <v>1188</v>
      </c>
      <c r="BX376" s="476" t="s">
        <v>1188</v>
      </c>
      <c r="BY376" s="476" t="s">
        <v>1188</v>
      </c>
      <c r="BZ376" s="476" t="s">
        <v>1188</v>
      </c>
      <c r="CA376" s="476" t="s">
        <v>1188</v>
      </c>
      <c r="CB376" s="476" t="s">
        <v>1188</v>
      </c>
      <c r="CC376" s="476" t="s">
        <v>1188</v>
      </c>
      <c r="CD376" s="476" t="s">
        <v>1188</v>
      </c>
      <c r="CE376" s="476" t="s">
        <v>1187</v>
      </c>
      <c r="CF376" s="476" t="s">
        <v>1187</v>
      </c>
      <c r="CG376" s="476" t="s">
        <v>1187</v>
      </c>
      <c r="CH376" s="476" t="s">
        <v>1187</v>
      </c>
      <c r="CI376" s="476" t="s">
        <v>1187</v>
      </c>
      <c r="CJ376" s="476" t="s">
        <v>1187</v>
      </c>
      <c r="CK376" s="476" t="s">
        <v>1187</v>
      </c>
      <c r="CL376" s="476" t="s">
        <v>1187</v>
      </c>
      <c r="CM376" s="476" t="str">
        <f>IF(VLOOKUP(BS376,'Données par municipalité'!$B$6:$E$1113,4,FALSE)="","non","oui")</f>
        <v>non</v>
      </c>
      <c r="CN376" s="410" t="s">
        <v>1124</v>
      </c>
      <c r="CO376" s="410" t="s">
        <v>1124</v>
      </c>
      <c r="CP376" s="410"/>
      <c r="CQ376" s="410"/>
      <c r="CR376" s="410"/>
      <c r="CS376" s="410" t="s">
        <v>1124</v>
      </c>
      <c r="CT376" s="410"/>
      <c r="CU376" s="410" t="s">
        <v>1124</v>
      </c>
      <c r="CV376" s="410" t="str">
        <f>IF(VLOOKUP(BS376,'Données par municipalité'!$B$6:$F$1113,4,FALSE)="","",VLOOKUP(BS376,'Données par municipalité'!$B$6:$F$1113,4,FALSE))</f>
        <v/>
      </c>
      <c r="CW376" s="476" t="s">
        <v>4723</v>
      </c>
      <c r="CX376" s="483" t="s">
        <v>1124</v>
      </c>
      <c r="CY376" s="483" t="s">
        <v>1124</v>
      </c>
      <c r="CZ376" s="483" t="s">
        <v>1124</v>
      </c>
      <c r="DA376" s="483" t="s">
        <v>1124</v>
      </c>
      <c r="DB376" s="483" t="s">
        <v>1124</v>
      </c>
      <c r="DC376" s="483" t="s">
        <v>1124</v>
      </c>
      <c r="DD376" s="483" t="s">
        <v>1124</v>
      </c>
      <c r="DE376" s="483" t="str">
        <f>IFERROR(SUM(VLOOKUP($BS376,'État &amp; Plan d''action'!$B$6:$Z$1113,18,FALSE),VLOOKUP($BS376,'État &amp; Plan d''action'!$B$6:$Z$1113,20,FALSE))/(VLOOKUP($BS376,'Données par municipalité'!$B$4:$L$1113,11,FALSE)),"")</f>
        <v/>
      </c>
      <c r="DF376" s="483" t="str">
        <f>IFERROR(SUM(VLOOKUP($BS376,'État &amp; Plan d''action'!$B$6:$Z$1113,19,FALSE),VLOOKUP($BS376,'État &amp; Plan d''action'!$B$6:$Z$1113,21,FALSE))/(VLOOKUP($BS376,'Données par municipalité'!$B$4:$L$1113,11,FALSE)),"")</f>
        <v/>
      </c>
      <c r="DG376" s="476" t="s">
        <v>4723</v>
      </c>
      <c r="DH376" s="484" t="s">
        <v>1124</v>
      </c>
      <c r="DI376" s="484" t="s">
        <v>1124</v>
      </c>
      <c r="DJ376" s="484">
        <v>0</v>
      </c>
      <c r="DK376" s="484">
        <v>0</v>
      </c>
      <c r="DL376" s="484" t="s">
        <v>1124</v>
      </c>
      <c r="DM376" s="484" t="s">
        <v>1124</v>
      </c>
      <c r="DN376" s="484" t="s">
        <v>1124</v>
      </c>
      <c r="DO376" s="484" t="s">
        <v>1124</v>
      </c>
      <c r="DP376" s="484" t="s">
        <v>1124</v>
      </c>
      <c r="DQ376" s="484" t="str">
        <f>IF(VLOOKUP($BS376,'État &amp; Plan d''action'!$B$6:$AJ$1113,28,FALSE)="","",VLOOKUP($BS376,'État &amp; Plan d''action'!$B$6:$AJ$1113,28,FALSE))</f>
        <v/>
      </c>
      <c r="DR376" s="70" t="str">
        <f>IF(VLOOKUP($BS376,'État &amp; Plan d''action'!$B$6:$AJ$1113,29,FALSE)="","",VLOOKUP($BS376,'État &amp; Plan d''action'!$B$6:$AJ$1113,29,FALSE))</f>
        <v/>
      </c>
      <c r="DS376" s="70" t="str">
        <f>IF(VLOOKUP($BS376,'État &amp; Plan d''action'!$B$6:$AJ$1113,30,FALSE)="","",VLOOKUP($BS376,'État &amp; Plan d''action'!$B$6:$AJ$1113,30,FALSE))</f>
        <v/>
      </c>
      <c r="DT376" s="70" t="s">
        <v>1124</v>
      </c>
      <c r="DU376" s="485" t="s">
        <v>1124</v>
      </c>
      <c r="DV376" s="485" t="s">
        <v>1124</v>
      </c>
      <c r="DW376" s="70" t="s">
        <v>1124</v>
      </c>
      <c r="DX376" s="70" t="s">
        <v>1124</v>
      </c>
      <c r="DY376" s="70" t="s">
        <v>1124</v>
      </c>
      <c r="DZ376" s="70" t="str">
        <f>VLOOKUP($BS376,'État &amp; Plan d''action'!$B$6:$AH$1113,31,FALSE)</f>
        <v/>
      </c>
      <c r="EA376" s="70" t="str">
        <f>VLOOKUP($BS376,'État &amp; Plan d''action'!$B$6:$AH$1113,32,FALSE)</f>
        <v/>
      </c>
      <c r="EB376" s="70" t="str">
        <f>VLOOKUP($BS376,'État &amp; Plan d''action'!$B$6:$AH$1113,33,FALSE)</f>
        <v/>
      </c>
      <c r="EC376" s="70" t="s">
        <v>1124</v>
      </c>
      <c r="ED376" s="70" t="s">
        <v>1124</v>
      </c>
      <c r="EE376" s="70" t="s">
        <v>1124</v>
      </c>
      <c r="EF376" s="70" t="s">
        <v>1124</v>
      </c>
      <c r="EG376" s="70" t="s">
        <v>1124</v>
      </c>
      <c r="EH376" s="72"/>
      <c r="EI376" s="72">
        <v>719</v>
      </c>
    </row>
    <row r="377" spans="71:139" x14ac:dyDescent="0.35">
      <c r="BS377" s="486">
        <v>44060</v>
      </c>
      <c r="BT377" s="479" t="s">
        <v>407</v>
      </c>
      <c r="BU377" s="479">
        <v>5</v>
      </c>
      <c r="BV377" s="476" t="s">
        <v>1187</v>
      </c>
      <c r="BW377" s="476" t="s">
        <v>1187</v>
      </c>
      <c r="BX377" s="476" t="s">
        <v>1187</v>
      </c>
      <c r="BY377" s="476" t="s">
        <v>1187</v>
      </c>
      <c r="BZ377" s="476" t="s">
        <v>1187</v>
      </c>
      <c r="CA377" s="476" t="s">
        <v>1187</v>
      </c>
      <c r="CB377" s="476" t="s">
        <v>1187</v>
      </c>
      <c r="CC377" s="476" t="s">
        <v>1187</v>
      </c>
      <c r="CD377" s="476" t="s">
        <v>1187</v>
      </c>
      <c r="CE377" s="476" t="s">
        <v>1188</v>
      </c>
      <c r="CF377" s="476" t="s">
        <v>1188</v>
      </c>
      <c r="CG377" s="476" t="s">
        <v>1188</v>
      </c>
      <c r="CH377" s="476" t="s">
        <v>1188</v>
      </c>
      <c r="CI377" s="476" t="s">
        <v>1188</v>
      </c>
      <c r="CJ377" s="476" t="s">
        <v>1188</v>
      </c>
      <c r="CK377" s="476" t="s">
        <v>1188</v>
      </c>
      <c r="CL377" s="476" t="s">
        <v>1188</v>
      </c>
      <c r="CM377" s="476" t="str">
        <f>IF(VLOOKUP(BS377,'Données par municipalité'!$B$6:$E$1113,4,FALSE)="","non","oui")</f>
        <v>oui</v>
      </c>
      <c r="CN377" s="410">
        <v>329.13542103593971</v>
      </c>
      <c r="CO377" s="410">
        <v>274.37496977610135</v>
      </c>
      <c r="CP377" s="410">
        <v>241.38333983993238</v>
      </c>
      <c r="CQ377" s="410">
        <v>254.74749221722587</v>
      </c>
      <c r="CR377" s="410">
        <v>282.86338681306967</v>
      </c>
      <c r="CS377" s="410">
        <v>251.44539038803779</v>
      </c>
      <c r="CT377" s="410">
        <v>224</v>
      </c>
      <c r="CU377" s="410">
        <v>221</v>
      </c>
      <c r="CV377" s="410">
        <f>IF(VLOOKUP(BS377,'Données par municipalité'!$B$6:$F$1113,4,FALSE)="","",VLOOKUP(BS377,'Données par municipalité'!$B$6:$F$1113,4,FALSE))</f>
        <v>227</v>
      </c>
      <c r="CW377" s="476" t="s">
        <v>4723</v>
      </c>
      <c r="CX377" s="483">
        <v>0</v>
      </c>
      <c r="CY377" s="483">
        <v>0</v>
      </c>
      <c r="CZ377" s="483">
        <v>0</v>
      </c>
      <c r="DA377" s="483">
        <v>0</v>
      </c>
      <c r="DB377" s="483">
        <v>0</v>
      </c>
      <c r="DC377" s="483">
        <v>0</v>
      </c>
      <c r="DD377" s="483">
        <v>0</v>
      </c>
      <c r="DE377" s="483">
        <f>IFERROR(SUM(VLOOKUP($BS377,'État &amp; Plan d''action'!$B$6:$Z$1113,18,FALSE),VLOOKUP($BS377,'État &amp; Plan d''action'!$B$6:$Z$1113,20,FALSE))/(VLOOKUP($BS377,'Données par municipalité'!$B$4:$L$1113,11,FALSE)),"")</f>
        <v>0</v>
      </c>
      <c r="DF377" s="483">
        <f>IFERROR(SUM(VLOOKUP($BS377,'État &amp; Plan d''action'!$B$6:$Z$1113,19,FALSE),VLOOKUP($BS377,'État &amp; Plan d''action'!$B$6:$Z$1113,21,FALSE))/(VLOOKUP($BS377,'Données par municipalité'!$B$4:$L$1113,11,FALSE)),"")</f>
        <v>0</v>
      </c>
      <c r="DG377" s="476" t="s">
        <v>4723</v>
      </c>
      <c r="DH377" s="484">
        <v>0</v>
      </c>
      <c r="DI377" s="484">
        <v>1</v>
      </c>
      <c r="DJ377" s="484">
        <v>0</v>
      </c>
      <c r="DK377" s="484">
        <v>2</v>
      </c>
      <c r="DL377" s="484">
        <v>0</v>
      </c>
      <c r="DM377" s="484">
        <v>0</v>
      </c>
      <c r="DN377" s="484">
        <v>0</v>
      </c>
      <c r="DO377" s="484">
        <v>0</v>
      </c>
      <c r="DP377" s="484">
        <v>0</v>
      </c>
      <c r="DQ377" s="484">
        <f>IF(VLOOKUP($BS377,'État &amp; Plan d''action'!$B$6:$AJ$1113,28,FALSE)="","",VLOOKUP($BS377,'État &amp; Plan d''action'!$B$6:$AJ$1113,28,FALSE))</f>
        <v>0</v>
      </c>
      <c r="DR377" s="70">
        <f>IF(VLOOKUP($BS377,'État &amp; Plan d''action'!$B$6:$AJ$1113,29,FALSE)="","",VLOOKUP($BS377,'État &amp; Plan d''action'!$B$6:$AJ$1113,29,FALSE))</f>
        <v>0</v>
      </c>
      <c r="DS377" s="70">
        <f>IF(VLOOKUP($BS377,'État &amp; Plan d''action'!$B$6:$AJ$1113,30,FALSE)="","",VLOOKUP($BS377,'État &amp; Plan d''action'!$B$6:$AJ$1113,30,FALSE))</f>
        <v>0</v>
      </c>
      <c r="DT377" s="70">
        <v>156</v>
      </c>
      <c r="DU377" s="485">
        <v>1.936331670239577</v>
      </c>
      <c r="DV377" s="485">
        <v>0.88753992627127676</v>
      </c>
      <c r="DW377" s="70">
        <v>0</v>
      </c>
      <c r="DX377" s="70">
        <v>0</v>
      </c>
      <c r="DY377" s="70">
        <v>0</v>
      </c>
      <c r="DZ377" s="70">
        <f>VLOOKUP($BS377,'État &amp; Plan d''action'!$B$6:$AH$1113,31,FALSE)</f>
        <v>0</v>
      </c>
      <c r="EA377" s="70">
        <f>VLOOKUP($BS377,'État &amp; Plan d''action'!$B$6:$AH$1113,32,FALSE)</f>
        <v>0</v>
      </c>
      <c r="EB377" s="70">
        <f>VLOOKUP($BS377,'État &amp; Plan d''action'!$B$6:$AH$1113,33,FALSE)</f>
        <v>0</v>
      </c>
      <c r="EC377" s="70">
        <v>0</v>
      </c>
      <c r="ED377" s="70">
        <v>0</v>
      </c>
      <c r="EE377" s="70">
        <v>0</v>
      </c>
      <c r="EF377" s="70">
        <v>0</v>
      </c>
      <c r="EG377" s="70">
        <v>0</v>
      </c>
      <c r="EH377" s="72">
        <v>60</v>
      </c>
      <c r="EI377" s="72">
        <v>441</v>
      </c>
    </row>
    <row r="378" spans="71:139" x14ac:dyDescent="0.35">
      <c r="BS378" s="486">
        <v>64015</v>
      </c>
      <c r="BT378" s="479" t="s">
        <v>645</v>
      </c>
      <c r="BU378" s="479">
        <v>14</v>
      </c>
      <c r="BV378" s="476" t="s">
        <v>1187</v>
      </c>
      <c r="BW378" s="476" t="s">
        <v>1187</v>
      </c>
      <c r="BX378" s="476" t="s">
        <v>1187</v>
      </c>
      <c r="BY378" s="476" t="s">
        <v>1187</v>
      </c>
      <c r="BZ378" s="476" t="s">
        <v>1187</v>
      </c>
      <c r="CA378" s="476" t="s">
        <v>1187</v>
      </c>
      <c r="CB378" s="476" t="s">
        <v>1187</v>
      </c>
      <c r="CC378" s="476" t="s">
        <v>1187</v>
      </c>
      <c r="CD378" s="476" t="s">
        <v>1187</v>
      </c>
      <c r="CE378" s="476" t="s">
        <v>1188</v>
      </c>
      <c r="CF378" s="476" t="s">
        <v>1188</v>
      </c>
      <c r="CG378" s="476" t="s">
        <v>1187</v>
      </c>
      <c r="CH378" s="476" t="s">
        <v>1188</v>
      </c>
      <c r="CI378" s="476" t="s">
        <v>1188</v>
      </c>
      <c r="CJ378" s="476" t="s">
        <v>1188</v>
      </c>
      <c r="CK378" s="476" t="s">
        <v>1188</v>
      </c>
      <c r="CL378" s="476" t="s">
        <v>1188</v>
      </c>
      <c r="CM378" s="476" t="str">
        <f>IF(VLOOKUP(BS378,'Données par municipalité'!$B$6:$E$1113,4,FALSE)="","non","oui")</f>
        <v>oui</v>
      </c>
      <c r="CN378" s="410">
        <v>359.83524439664046</v>
      </c>
      <c r="CO378" s="410">
        <v>368.89026697509536</v>
      </c>
      <c r="CP378" s="410"/>
      <c r="CQ378" s="410">
        <v>355.34446030274643</v>
      </c>
      <c r="CR378" s="410">
        <v>343.67595128597435</v>
      </c>
      <c r="CS378" s="410">
        <v>332.30697827066001</v>
      </c>
      <c r="CT378" s="410">
        <v>308.87493945130598</v>
      </c>
      <c r="CU378" s="410">
        <v>326</v>
      </c>
      <c r="CV378" s="410">
        <f>IF(VLOOKUP(BS378,'Données par municipalité'!$B$6:$F$1113,4,FALSE)="","",VLOOKUP(BS378,'Données par municipalité'!$B$6:$F$1113,4,FALSE))</f>
        <v>296</v>
      </c>
      <c r="CW378" s="476" t="s">
        <v>4723</v>
      </c>
      <c r="CX378" s="483">
        <v>0.05</v>
      </c>
      <c r="CY378" s="483" t="s">
        <v>1124</v>
      </c>
      <c r="CZ378" s="483">
        <v>0.01</v>
      </c>
      <c r="DA378" s="483">
        <v>9.5000000000000001E-2</v>
      </c>
      <c r="DB378" s="483">
        <v>0.5</v>
      </c>
      <c r="DC378" s="483">
        <v>0.5</v>
      </c>
      <c r="DD378" s="483">
        <v>0.5</v>
      </c>
      <c r="DE378" s="483">
        <f>IFERROR(SUM(VLOOKUP($BS378,'État &amp; Plan d''action'!$B$6:$Z$1113,18,FALSE),VLOOKUP($BS378,'État &amp; Plan d''action'!$B$6:$Z$1113,20,FALSE))/(VLOOKUP($BS378,'Données par municipalité'!$B$4:$L$1113,11,FALSE)),"")</f>
        <v>0</v>
      </c>
      <c r="DF378" s="483">
        <f>IFERROR(SUM(VLOOKUP($BS378,'État &amp; Plan d''action'!$B$6:$Z$1113,19,FALSE),VLOOKUP($BS378,'État &amp; Plan d''action'!$B$6:$Z$1113,21,FALSE))/(VLOOKUP($BS378,'Données par municipalité'!$B$4:$L$1113,11,FALSE)),"")</f>
        <v>2</v>
      </c>
      <c r="DG378" s="476" t="s">
        <v>4723</v>
      </c>
      <c r="DH378" s="484">
        <v>71</v>
      </c>
      <c r="DI378" s="484" t="s">
        <v>1124</v>
      </c>
      <c r="DJ378" s="484">
        <v>44</v>
      </c>
      <c r="DK378" s="484">
        <v>48</v>
      </c>
      <c r="DL378" s="484">
        <v>26</v>
      </c>
      <c r="DM378" s="484">
        <v>27</v>
      </c>
      <c r="DN378" s="484">
        <v>26</v>
      </c>
      <c r="DO378" s="484">
        <v>0</v>
      </c>
      <c r="DP378" s="484">
        <v>0</v>
      </c>
      <c r="DQ378" s="484">
        <f>IF(VLOOKUP($BS378,'État &amp; Plan d''action'!$B$6:$AJ$1113,28,FALSE)="","",VLOOKUP($BS378,'État &amp; Plan d''action'!$B$6:$AJ$1113,28,FALSE))</f>
        <v>18</v>
      </c>
      <c r="DR378" s="70">
        <f>IF(VLOOKUP($BS378,'État &amp; Plan d''action'!$B$6:$AJ$1113,29,FALSE)="","",VLOOKUP($BS378,'État &amp; Plan d''action'!$B$6:$AJ$1113,29,FALSE))</f>
        <v>0</v>
      </c>
      <c r="DS378" s="70">
        <f>IF(VLOOKUP($BS378,'État &amp; Plan d''action'!$B$6:$AJ$1113,30,FALSE)="","",VLOOKUP($BS378,'État &amp; Plan d''action'!$B$6:$AJ$1113,30,FALSE))</f>
        <v>0</v>
      </c>
      <c r="DT378" s="70">
        <v>256</v>
      </c>
      <c r="DU378" s="485">
        <v>2.2442110828233672</v>
      </c>
      <c r="DV378" s="485">
        <v>3.7704960066224955</v>
      </c>
      <c r="DW378" s="70">
        <v>1</v>
      </c>
      <c r="DX378" s="70">
        <v>0</v>
      </c>
      <c r="DY378" s="70">
        <v>0</v>
      </c>
      <c r="DZ378" s="70">
        <f>VLOOKUP($BS378,'État &amp; Plan d''action'!$B$6:$AH$1113,31,FALSE)</f>
        <v>1</v>
      </c>
      <c r="EA378" s="70">
        <f>VLOOKUP($BS378,'État &amp; Plan d''action'!$B$6:$AH$1113,32,FALSE)</f>
        <v>0</v>
      </c>
      <c r="EB378" s="70">
        <f>VLOOKUP($BS378,'État &amp; Plan d''action'!$B$6:$AH$1113,33,FALSE)</f>
        <v>0</v>
      </c>
      <c r="EC378" s="70">
        <v>0</v>
      </c>
      <c r="ED378" s="70">
        <v>113.675</v>
      </c>
      <c r="EE378" s="70">
        <v>0</v>
      </c>
      <c r="EF378" s="70">
        <v>0</v>
      </c>
      <c r="EG378" s="70">
        <v>0</v>
      </c>
      <c r="EH378" s="72">
        <v>65</v>
      </c>
      <c r="EI378" s="72">
        <v>48423</v>
      </c>
    </row>
    <row r="379" spans="71:139" x14ac:dyDescent="0.35">
      <c r="BS379" s="486">
        <v>51008</v>
      </c>
      <c r="BT379" s="479" t="s">
        <v>498</v>
      </c>
      <c r="BU379" s="479">
        <v>4</v>
      </c>
      <c r="BV379" s="476" t="s">
        <v>1187</v>
      </c>
      <c r="BW379" s="476" t="s">
        <v>1187</v>
      </c>
      <c r="BX379" s="476" t="s">
        <v>1187</v>
      </c>
      <c r="BY379" s="476" t="s">
        <v>1187</v>
      </c>
      <c r="BZ379" s="476" t="s">
        <v>1187</v>
      </c>
      <c r="CA379" s="476" t="s">
        <v>1187</v>
      </c>
      <c r="CB379" s="476" t="s">
        <v>1187</v>
      </c>
      <c r="CC379" s="476" t="s">
        <v>1187</v>
      </c>
      <c r="CD379" s="476" t="s">
        <v>1187</v>
      </c>
      <c r="CE379" s="476" t="s">
        <v>1188</v>
      </c>
      <c r="CF379" s="476" t="s">
        <v>1188</v>
      </c>
      <c r="CG379" s="476" t="s">
        <v>1188</v>
      </c>
      <c r="CH379" s="476" t="s">
        <v>1188</v>
      </c>
      <c r="CI379" s="476" t="s">
        <v>1188</v>
      </c>
      <c r="CJ379" s="476" t="s">
        <v>1188</v>
      </c>
      <c r="CK379" s="476" t="s">
        <v>1188</v>
      </c>
      <c r="CL379" s="476" t="s">
        <v>1188</v>
      </c>
      <c r="CM379" s="476" t="str">
        <f>IF(VLOOKUP(BS379,'Données par municipalité'!$B$6:$E$1113,4,FALSE)="","non","oui")</f>
        <v>oui</v>
      </c>
      <c r="CN379" s="410">
        <v>365.91706746392828</v>
      </c>
      <c r="CO379" s="410">
        <v>374.58644368578388</v>
      </c>
      <c r="CP379" s="410">
        <v>339.19793643963072</v>
      </c>
      <c r="CQ379" s="410">
        <v>292.0786215147096</v>
      </c>
      <c r="CR379" s="410">
        <v>301.66899811287124</v>
      </c>
      <c r="CS379" s="410">
        <v>345.73853295680561</v>
      </c>
      <c r="CT379" s="410">
        <v>384.2913466816575</v>
      </c>
      <c r="CU379" s="410">
        <v>404</v>
      </c>
      <c r="CV379" s="410">
        <f>IF(VLOOKUP(BS379,'Données par municipalité'!$B$6:$F$1113,4,FALSE)="","",VLOOKUP(BS379,'Données par municipalité'!$B$6:$F$1113,4,FALSE))</f>
        <v>378</v>
      </c>
      <c r="CW379" s="476" t="s">
        <v>4723</v>
      </c>
      <c r="CX379" s="483">
        <v>0</v>
      </c>
      <c r="CY379" s="483">
        <v>0</v>
      </c>
      <c r="CZ379" s="483">
        <v>0</v>
      </c>
      <c r="DA379" s="483">
        <v>1</v>
      </c>
      <c r="DB379" s="483">
        <v>1</v>
      </c>
      <c r="DC379" s="483">
        <v>1</v>
      </c>
      <c r="DD379" s="483">
        <v>0</v>
      </c>
      <c r="DE379" s="483">
        <f>IFERROR(SUM(VLOOKUP($BS379,'État &amp; Plan d''action'!$B$6:$Z$1113,18,FALSE),VLOOKUP($BS379,'État &amp; Plan d''action'!$B$6:$Z$1113,20,FALSE))/(VLOOKUP($BS379,'Données par municipalité'!$B$4:$L$1113,11,FALSE)),"")</f>
        <v>0.5</v>
      </c>
      <c r="DF379" s="483">
        <f>IFERROR(SUM(VLOOKUP($BS379,'État &amp; Plan d''action'!$B$6:$Z$1113,19,FALSE),VLOOKUP($BS379,'État &amp; Plan d''action'!$B$6:$Z$1113,21,FALSE))/(VLOOKUP($BS379,'Données par municipalité'!$B$4:$L$1113,11,FALSE)),"")</f>
        <v>0.5</v>
      </c>
      <c r="DG379" s="476" t="s">
        <v>4723</v>
      </c>
      <c r="DH379" s="484">
        <v>1</v>
      </c>
      <c r="DI379" s="484">
        <v>1</v>
      </c>
      <c r="DJ379" s="484">
        <v>1</v>
      </c>
      <c r="DK379" s="484">
        <v>5</v>
      </c>
      <c r="DL379" s="484">
        <v>1</v>
      </c>
      <c r="DM379" s="484">
        <v>0</v>
      </c>
      <c r="DN379" s="484">
        <v>1</v>
      </c>
      <c r="DO379" s="484">
        <v>0</v>
      </c>
      <c r="DP379" s="484">
        <v>2</v>
      </c>
      <c r="DQ379" s="484">
        <f>IF(VLOOKUP($BS379,'État &amp; Plan d''action'!$B$6:$AJ$1113,28,FALSE)="","",VLOOKUP($BS379,'État &amp; Plan d''action'!$B$6:$AJ$1113,28,FALSE))</f>
        <v>2</v>
      </c>
      <c r="DR379" s="70">
        <f>IF(VLOOKUP($BS379,'État &amp; Plan d''action'!$B$6:$AJ$1113,29,FALSE)="","",VLOOKUP($BS379,'État &amp; Plan d''action'!$B$6:$AJ$1113,29,FALSE))</f>
        <v>2</v>
      </c>
      <c r="DS379" s="70">
        <f>IF(VLOOKUP($BS379,'État &amp; Plan d''action'!$B$6:$AJ$1113,30,FALSE)="","",VLOOKUP($BS379,'État &amp; Plan d''action'!$B$6:$AJ$1113,30,FALSE))</f>
        <v>2</v>
      </c>
      <c r="DT379" s="70">
        <v>312</v>
      </c>
      <c r="DU379" s="485">
        <v>2.0542744574077823</v>
      </c>
      <c r="DV379" s="485">
        <v>1.445623657957714</v>
      </c>
      <c r="DW379" s="70">
        <v>1</v>
      </c>
      <c r="DX379" s="70">
        <v>0</v>
      </c>
      <c r="DY379" s="70">
        <v>3</v>
      </c>
      <c r="DZ379" s="70">
        <f>VLOOKUP($BS379,'État &amp; Plan d''action'!$B$6:$AH$1113,31,FALSE)</f>
        <v>4</v>
      </c>
      <c r="EA379" s="70">
        <f>VLOOKUP($BS379,'État &amp; Plan d''action'!$B$6:$AH$1113,32,FALSE)</f>
        <v>2</v>
      </c>
      <c r="EB379" s="70">
        <f>VLOOKUP($BS379,'État &amp; Plan d''action'!$B$6:$AH$1113,33,FALSE)</f>
        <v>8</v>
      </c>
      <c r="EC379" s="70">
        <v>5</v>
      </c>
      <c r="ED379" s="70">
        <v>0</v>
      </c>
      <c r="EE379" s="70">
        <v>0</v>
      </c>
      <c r="EF379" s="70">
        <v>0</v>
      </c>
      <c r="EG379" s="70">
        <v>0</v>
      </c>
      <c r="EH379" s="72">
        <v>57</v>
      </c>
      <c r="EI379" s="72">
        <v>2332</v>
      </c>
    </row>
    <row r="380" spans="71:139" x14ac:dyDescent="0.35">
      <c r="BS380" s="486">
        <v>53010</v>
      </c>
      <c r="BT380" s="479" t="s">
        <v>531</v>
      </c>
      <c r="BU380" s="479">
        <v>16</v>
      </c>
      <c r="BV380" s="476" t="s">
        <v>1187</v>
      </c>
      <c r="BW380" s="476" t="s">
        <v>1187</v>
      </c>
      <c r="BX380" s="476" t="s">
        <v>1187</v>
      </c>
      <c r="BY380" s="476" t="s">
        <v>1187</v>
      </c>
      <c r="BZ380" s="476" t="s">
        <v>1187</v>
      </c>
      <c r="CA380" s="476" t="s">
        <v>1187</v>
      </c>
      <c r="CB380" s="476" t="s">
        <v>1187</v>
      </c>
      <c r="CC380" s="476" t="s">
        <v>1187</v>
      </c>
      <c r="CD380" s="476" t="s">
        <v>1187</v>
      </c>
      <c r="CE380" s="476" t="s">
        <v>1188</v>
      </c>
      <c r="CF380" s="476" t="s">
        <v>1188</v>
      </c>
      <c r="CG380" s="476" t="s">
        <v>1188</v>
      </c>
      <c r="CH380" s="476" t="s">
        <v>1188</v>
      </c>
      <c r="CI380" s="476" t="s">
        <v>1188</v>
      </c>
      <c r="CJ380" s="476" t="s">
        <v>1188</v>
      </c>
      <c r="CK380" s="476" t="s">
        <v>1188</v>
      </c>
      <c r="CL380" s="476" t="s">
        <v>1188</v>
      </c>
      <c r="CM380" s="476" t="str">
        <f>IF(VLOOKUP(BS380,'Données par municipalité'!$B$6:$E$1113,4,FALSE)="","non","oui")</f>
        <v>non</v>
      </c>
      <c r="CN380" s="410">
        <v>504.74109926161049</v>
      </c>
      <c r="CO380" s="410">
        <v>574.2920539423942</v>
      </c>
      <c r="CP380" s="410">
        <v>419.44225893871845</v>
      </c>
      <c r="CQ380" s="410">
        <v>411.01894214734682</v>
      </c>
      <c r="CR380" s="410">
        <v>406.63212203331773</v>
      </c>
      <c r="CS380" s="410">
        <v>417.3118563529805</v>
      </c>
      <c r="CT380" s="410">
        <v>418.91077328802453</v>
      </c>
      <c r="CU380" s="410">
        <v>367</v>
      </c>
      <c r="CV380" s="410" t="str">
        <f>IF(VLOOKUP(BS380,'Données par municipalité'!$B$6:$F$1113,4,FALSE)="","",VLOOKUP(BS380,'Données par municipalité'!$B$6:$F$1113,4,FALSE))</f>
        <v/>
      </c>
      <c r="CW380" s="476" t="s">
        <v>4723</v>
      </c>
      <c r="CX380" s="483">
        <v>0</v>
      </c>
      <c r="CY380" s="483">
        <v>0</v>
      </c>
      <c r="CZ380" s="483">
        <v>0</v>
      </c>
      <c r="DA380" s="483">
        <v>0</v>
      </c>
      <c r="DB380" s="483">
        <v>0</v>
      </c>
      <c r="DC380" s="483">
        <v>0</v>
      </c>
      <c r="DD380" s="483">
        <v>0</v>
      </c>
      <c r="DE380" s="483" t="str">
        <f>IFERROR(SUM(VLOOKUP($BS380,'État &amp; Plan d''action'!$B$6:$Z$1113,18,FALSE),VLOOKUP($BS380,'État &amp; Plan d''action'!$B$6:$Z$1113,20,FALSE))/(VLOOKUP($BS380,'Données par municipalité'!$B$4:$L$1113,11,FALSE)),"")</f>
        <v/>
      </c>
      <c r="DF380" s="483" t="str">
        <f>IFERROR(SUM(VLOOKUP($BS380,'État &amp; Plan d''action'!$B$6:$Z$1113,19,FALSE),VLOOKUP($BS380,'État &amp; Plan d''action'!$B$6:$Z$1113,21,FALSE))/(VLOOKUP($BS380,'Données par municipalité'!$B$4:$L$1113,11,FALSE)),"")</f>
        <v/>
      </c>
      <c r="DG380" s="476" t="s">
        <v>4723</v>
      </c>
      <c r="DH380" s="484">
        <v>0</v>
      </c>
      <c r="DI380" s="484">
        <v>0</v>
      </c>
      <c r="DJ380" s="484">
        <v>0</v>
      </c>
      <c r="DK380" s="484">
        <v>0</v>
      </c>
      <c r="DL380" s="484">
        <v>0</v>
      </c>
      <c r="DM380" s="484">
        <v>1</v>
      </c>
      <c r="DN380" s="484">
        <v>0</v>
      </c>
      <c r="DO380" s="484">
        <v>0</v>
      </c>
      <c r="DP380" s="484">
        <v>0</v>
      </c>
      <c r="DQ380" s="484" t="str">
        <f>IF(VLOOKUP($BS380,'État &amp; Plan d''action'!$B$6:$AJ$1113,28,FALSE)="","",VLOOKUP($BS380,'État &amp; Plan d''action'!$B$6:$AJ$1113,28,FALSE))</f>
        <v/>
      </c>
      <c r="DR380" s="70" t="str">
        <f>IF(VLOOKUP($BS380,'État &amp; Plan d''action'!$B$6:$AJ$1113,29,FALSE)="","",VLOOKUP($BS380,'État &amp; Plan d''action'!$B$6:$AJ$1113,29,FALSE))</f>
        <v/>
      </c>
      <c r="DS380" s="70" t="str">
        <f>IF(VLOOKUP($BS380,'État &amp; Plan d''action'!$B$6:$AJ$1113,30,FALSE)="","",VLOOKUP($BS380,'État &amp; Plan d''action'!$B$6:$AJ$1113,30,FALSE))</f>
        <v/>
      </c>
      <c r="DT380" s="70">
        <v>222</v>
      </c>
      <c r="DU380" s="485">
        <v>0.68864018641654356</v>
      </c>
      <c r="DV380" s="485" t="s">
        <v>1124</v>
      </c>
      <c r="DW380" s="70">
        <v>0</v>
      </c>
      <c r="DX380" s="70">
        <v>0</v>
      </c>
      <c r="DY380" s="70">
        <v>0</v>
      </c>
      <c r="DZ380" s="70" t="str">
        <f>VLOOKUP($BS380,'État &amp; Plan d''action'!$B$6:$AH$1113,31,FALSE)</f>
        <v/>
      </c>
      <c r="EA380" s="70" t="str">
        <f>VLOOKUP($BS380,'État &amp; Plan d''action'!$B$6:$AH$1113,32,FALSE)</f>
        <v/>
      </c>
      <c r="EB380" s="70" t="str">
        <f>VLOOKUP($BS380,'État &amp; Plan d''action'!$B$6:$AH$1113,33,FALSE)</f>
        <v/>
      </c>
      <c r="EC380" s="70">
        <v>0</v>
      </c>
      <c r="ED380" s="70">
        <v>0</v>
      </c>
      <c r="EE380" s="70">
        <v>0</v>
      </c>
      <c r="EF380" s="70">
        <v>0</v>
      </c>
      <c r="EG380" s="70">
        <v>0</v>
      </c>
      <c r="EH380" s="72">
        <v>55.803921568627452</v>
      </c>
      <c r="EI380" s="72">
        <v>549</v>
      </c>
    </row>
    <row r="381" spans="71:139" x14ac:dyDescent="0.35">
      <c r="BS381" s="486">
        <v>99015</v>
      </c>
      <c r="BT381" s="479" t="s">
        <v>1020</v>
      </c>
      <c r="BU381" s="479">
        <v>10</v>
      </c>
      <c r="BV381" s="476" t="s">
        <v>1187</v>
      </c>
      <c r="BW381" s="476" t="s">
        <v>1187</v>
      </c>
      <c r="BX381" s="476" t="s">
        <v>1187</v>
      </c>
      <c r="BY381" s="476" t="s">
        <v>1187</v>
      </c>
      <c r="BZ381" s="476" t="s">
        <v>1187</v>
      </c>
      <c r="CA381" s="476" t="s">
        <v>1187</v>
      </c>
      <c r="CB381" s="476" t="s">
        <v>1187</v>
      </c>
      <c r="CC381" s="476" t="s">
        <v>1187</v>
      </c>
      <c r="CD381" s="476" t="s">
        <v>1187</v>
      </c>
      <c r="CE381" s="476" t="s">
        <v>1188</v>
      </c>
      <c r="CF381" s="476" t="s">
        <v>1188</v>
      </c>
      <c r="CG381" s="476" t="s">
        <v>1188</v>
      </c>
      <c r="CH381" s="476" t="s">
        <v>1188</v>
      </c>
      <c r="CI381" s="476" t="s">
        <v>1188</v>
      </c>
      <c r="CJ381" s="476" t="s">
        <v>1188</v>
      </c>
      <c r="CK381" s="476" t="s">
        <v>1188</v>
      </c>
      <c r="CL381" s="476" t="s">
        <v>1187</v>
      </c>
      <c r="CM381" s="476" t="str">
        <f>IF(VLOOKUP(BS381,'Données par municipalité'!$B$6:$E$1113,4,FALSE)="","non","oui")</f>
        <v>non</v>
      </c>
      <c r="CN381" s="410">
        <v>466.45174510670097</v>
      </c>
      <c r="CO381" s="410">
        <v>475.40769774396381</v>
      </c>
      <c r="CP381" s="410">
        <v>435.00187048801052</v>
      </c>
      <c r="CQ381" s="410">
        <v>476.5679787882201</v>
      </c>
      <c r="CR381" s="410">
        <v>475.61431713389385</v>
      </c>
      <c r="CS381" s="410">
        <v>400.14505661580165</v>
      </c>
      <c r="CT381" s="410">
        <v>395.02868547109028</v>
      </c>
      <c r="CU381" s="410" t="s">
        <v>1124</v>
      </c>
      <c r="CV381" s="410" t="str">
        <f>IF(VLOOKUP(BS381,'Données par municipalité'!$B$6:$F$1113,4,FALSE)="","",VLOOKUP(BS381,'Données par municipalité'!$B$6:$F$1113,4,FALSE))</f>
        <v/>
      </c>
      <c r="CW381" s="476" t="s">
        <v>4723</v>
      </c>
      <c r="CX381" s="483">
        <v>0.1</v>
      </c>
      <c r="CY381" s="483">
        <v>0.15</v>
      </c>
      <c r="CZ381" s="483">
        <v>0.15</v>
      </c>
      <c r="DA381" s="483">
        <v>0.15</v>
      </c>
      <c r="DB381" s="483">
        <v>0.15</v>
      </c>
      <c r="DC381" s="483">
        <v>0.25</v>
      </c>
      <c r="DD381" s="483" t="s">
        <v>1124</v>
      </c>
      <c r="DE381" s="483" t="str">
        <f>IFERROR(SUM(VLOOKUP($BS381,'État &amp; Plan d''action'!$B$6:$Z$1113,18,FALSE),VLOOKUP($BS381,'État &amp; Plan d''action'!$B$6:$Z$1113,20,FALSE))/(VLOOKUP($BS381,'Données par municipalité'!$B$4:$L$1113,11,FALSE)),"")</f>
        <v/>
      </c>
      <c r="DF381" s="483" t="str">
        <f>IFERROR(SUM(VLOOKUP($BS381,'État &amp; Plan d''action'!$B$6:$Z$1113,19,FALSE),VLOOKUP($BS381,'État &amp; Plan d''action'!$B$6:$Z$1113,21,FALSE))/(VLOOKUP($BS381,'Données par municipalité'!$B$4:$L$1113,11,FALSE)),"")</f>
        <v/>
      </c>
      <c r="DG381" s="476" t="s">
        <v>4723</v>
      </c>
      <c r="DH381" s="484" t="s">
        <v>1124</v>
      </c>
      <c r="DI381" s="484" t="s">
        <v>1124</v>
      </c>
      <c r="DJ381" s="484">
        <v>0</v>
      </c>
      <c r="DK381" s="484">
        <v>0</v>
      </c>
      <c r="DL381" s="484">
        <v>6</v>
      </c>
      <c r="DM381" s="484">
        <v>2</v>
      </c>
      <c r="DN381" s="484" t="s">
        <v>1124</v>
      </c>
      <c r="DO381" s="484" t="s">
        <v>1124</v>
      </c>
      <c r="DP381" s="484" t="s">
        <v>1124</v>
      </c>
      <c r="DQ381" s="484" t="str">
        <f>IF(VLOOKUP($BS381,'État &amp; Plan d''action'!$B$6:$AJ$1113,28,FALSE)="","",VLOOKUP($BS381,'État &amp; Plan d''action'!$B$6:$AJ$1113,28,FALSE))</f>
        <v/>
      </c>
      <c r="DR381" s="70" t="str">
        <f>IF(VLOOKUP($BS381,'État &amp; Plan d''action'!$B$6:$AJ$1113,29,FALSE)="","",VLOOKUP($BS381,'État &amp; Plan d''action'!$B$6:$AJ$1113,29,FALSE))</f>
        <v/>
      </c>
      <c r="DS381" s="70" t="str">
        <f>IF(VLOOKUP($BS381,'État &amp; Plan d''action'!$B$6:$AJ$1113,30,FALSE)="","",VLOOKUP($BS381,'État &amp; Plan d''action'!$B$6:$AJ$1113,30,FALSE))</f>
        <v/>
      </c>
      <c r="DT381" s="70" t="s">
        <v>1124</v>
      </c>
      <c r="DU381" s="485" t="s">
        <v>1124</v>
      </c>
      <c r="DV381" s="485" t="s">
        <v>1124</v>
      </c>
      <c r="DW381" s="70" t="s">
        <v>1124</v>
      </c>
      <c r="DX381" s="70" t="s">
        <v>1124</v>
      </c>
      <c r="DY381" s="70" t="s">
        <v>1124</v>
      </c>
      <c r="DZ381" s="70" t="str">
        <f>VLOOKUP($BS381,'État &amp; Plan d''action'!$B$6:$AH$1113,31,FALSE)</f>
        <v/>
      </c>
      <c r="EA381" s="70" t="str">
        <f>VLOOKUP($BS381,'État &amp; Plan d''action'!$B$6:$AH$1113,32,FALSE)</f>
        <v/>
      </c>
      <c r="EB381" s="70" t="str">
        <f>VLOOKUP($BS381,'État &amp; Plan d''action'!$B$6:$AH$1113,33,FALSE)</f>
        <v/>
      </c>
      <c r="EC381" s="70" t="s">
        <v>1124</v>
      </c>
      <c r="ED381" s="70" t="s">
        <v>1124</v>
      </c>
      <c r="EE381" s="70" t="s">
        <v>1124</v>
      </c>
      <c r="EF381" s="70" t="s">
        <v>1124</v>
      </c>
      <c r="EG381" s="70" t="s">
        <v>1124</v>
      </c>
      <c r="EH381" s="72"/>
      <c r="EI381" s="72">
        <v>1423</v>
      </c>
    </row>
    <row r="382" spans="71:139" x14ac:dyDescent="0.35">
      <c r="BS382" s="486">
        <v>8053</v>
      </c>
      <c r="BT382" s="479" t="s">
        <v>1093</v>
      </c>
      <c r="BU382" s="479">
        <v>1</v>
      </c>
      <c r="BV382" s="476" t="s">
        <v>1187</v>
      </c>
      <c r="BW382" s="476" t="s">
        <v>1187</v>
      </c>
      <c r="BX382" s="476" t="s">
        <v>1187</v>
      </c>
      <c r="BY382" s="476" t="s">
        <v>1187</v>
      </c>
      <c r="BZ382" s="476" t="s">
        <v>1187</v>
      </c>
      <c r="CA382" s="476" t="s">
        <v>1187</v>
      </c>
      <c r="CB382" s="476" t="s">
        <v>1187</v>
      </c>
      <c r="CC382" s="476" t="s">
        <v>1187</v>
      </c>
      <c r="CD382" s="476" t="s">
        <v>1187</v>
      </c>
      <c r="CE382" s="476" t="s">
        <v>1187</v>
      </c>
      <c r="CF382" s="476" t="s">
        <v>1187</v>
      </c>
      <c r="CG382" s="476" t="s">
        <v>1187</v>
      </c>
      <c r="CH382" s="476" t="s">
        <v>1187</v>
      </c>
      <c r="CI382" s="476" t="s">
        <v>1187</v>
      </c>
      <c r="CJ382" s="476" t="s">
        <v>1188</v>
      </c>
      <c r="CK382" s="476" t="s">
        <v>1188</v>
      </c>
      <c r="CL382" s="476" t="s">
        <v>1187</v>
      </c>
      <c r="CM382" s="476" t="str">
        <f>IF(VLOOKUP(BS382,'Données par municipalité'!$B$6:$E$1113,4,FALSE)="","non","oui")</f>
        <v>oui</v>
      </c>
      <c r="CN382" s="410" t="s">
        <v>1124</v>
      </c>
      <c r="CO382" s="410" t="s">
        <v>1124</v>
      </c>
      <c r="CP382" s="410"/>
      <c r="CQ382" s="410"/>
      <c r="CR382" s="410"/>
      <c r="CS382" s="410">
        <v>619.49522101719879</v>
      </c>
      <c r="CT382" s="410">
        <v>536.00938146478973</v>
      </c>
      <c r="CU382" s="410" t="s">
        <v>1124</v>
      </c>
      <c r="CV382" s="410">
        <f>IF(VLOOKUP(BS382,'Données par municipalité'!$B$6:$F$1113,4,FALSE)="","",VLOOKUP(BS382,'Données par municipalité'!$B$6:$F$1113,4,FALSE))</f>
        <v>648</v>
      </c>
      <c r="CW382" s="476" t="s">
        <v>4723</v>
      </c>
      <c r="CX382" s="483" t="s">
        <v>1124</v>
      </c>
      <c r="CY382" s="483" t="s">
        <v>1124</v>
      </c>
      <c r="CZ382" s="483" t="s">
        <v>1124</v>
      </c>
      <c r="DA382" s="483" t="s">
        <v>1124</v>
      </c>
      <c r="DB382" s="483">
        <v>4</v>
      </c>
      <c r="DC382" s="483">
        <v>4</v>
      </c>
      <c r="DD382" s="483" t="s">
        <v>1124</v>
      </c>
      <c r="DE382" s="483">
        <f>IFERROR(SUM(VLOOKUP($BS382,'État &amp; Plan d''action'!$B$6:$Z$1113,18,FALSE),VLOOKUP($BS382,'État &amp; Plan d''action'!$B$6:$Z$1113,20,FALSE))/(VLOOKUP($BS382,'Données par municipalité'!$B$4:$L$1113,11,FALSE)),"")</f>
        <v>0</v>
      </c>
      <c r="DF382" s="483">
        <f>IFERROR(SUM(VLOOKUP($BS382,'État &amp; Plan d''action'!$B$6:$Z$1113,19,FALSE),VLOOKUP($BS382,'État &amp; Plan d''action'!$B$6:$Z$1113,21,FALSE))/(VLOOKUP($BS382,'Données par municipalité'!$B$4:$L$1113,11,FALSE)),"")</f>
        <v>0</v>
      </c>
      <c r="DG382" s="476" t="s">
        <v>4723</v>
      </c>
      <c r="DH382" s="484" t="s">
        <v>1124</v>
      </c>
      <c r="DI382" s="484" t="s">
        <v>1124</v>
      </c>
      <c r="DJ382" s="484">
        <v>0</v>
      </c>
      <c r="DK382" s="484">
        <v>0</v>
      </c>
      <c r="DL382" s="484">
        <v>20</v>
      </c>
      <c r="DM382" s="484">
        <v>15</v>
      </c>
      <c r="DN382" s="484" t="s">
        <v>1124</v>
      </c>
      <c r="DO382" s="484" t="s">
        <v>1124</v>
      </c>
      <c r="DP382" s="484" t="s">
        <v>1124</v>
      </c>
      <c r="DQ382" s="484">
        <f>IF(VLOOKUP($BS382,'État &amp; Plan d''action'!$B$6:$AJ$1113,28,FALSE)="","",VLOOKUP($BS382,'État &amp; Plan d''action'!$B$6:$AJ$1113,28,FALSE))</f>
        <v>13</v>
      </c>
      <c r="DR382" s="70">
        <f>IF(VLOOKUP($BS382,'État &amp; Plan d''action'!$B$6:$AJ$1113,29,FALSE)="","",VLOOKUP($BS382,'État &amp; Plan d''action'!$B$6:$AJ$1113,29,FALSE))</f>
        <v>2</v>
      </c>
      <c r="DS382" s="70">
        <f>IF(VLOOKUP($BS382,'État &amp; Plan d''action'!$B$6:$AJ$1113,30,FALSE)="","",VLOOKUP($BS382,'État &amp; Plan d''action'!$B$6:$AJ$1113,30,FALSE))</f>
        <v>2</v>
      </c>
      <c r="DT382" s="70" t="s">
        <v>1124</v>
      </c>
      <c r="DU382" s="485" t="s">
        <v>1124</v>
      </c>
      <c r="DV382" s="485">
        <v>1.2315221162766306</v>
      </c>
      <c r="DW382" s="70" t="s">
        <v>1124</v>
      </c>
      <c r="DX382" s="70" t="s">
        <v>1124</v>
      </c>
      <c r="DY382" s="70" t="s">
        <v>1124</v>
      </c>
      <c r="DZ382" s="70">
        <f>VLOOKUP($BS382,'État &amp; Plan d''action'!$B$6:$AH$1113,31,FALSE)</f>
        <v>1</v>
      </c>
      <c r="EA382" s="70">
        <f>VLOOKUP($BS382,'État &amp; Plan d''action'!$B$6:$AH$1113,32,FALSE)</f>
        <v>2</v>
      </c>
      <c r="EB382" s="70">
        <f>VLOOKUP($BS382,'État &amp; Plan d''action'!$B$6:$AH$1113,33,FALSE)</f>
        <v>2</v>
      </c>
      <c r="EC382" s="70" t="s">
        <v>1124</v>
      </c>
      <c r="ED382" s="70" t="s">
        <v>1124</v>
      </c>
      <c r="EE382" s="70" t="s">
        <v>1124</v>
      </c>
      <c r="EF382" s="70" t="s">
        <v>1124</v>
      </c>
      <c r="EG382" s="70" t="s">
        <v>1124</v>
      </c>
      <c r="EH382" s="72"/>
      <c r="EI382" s="72">
        <v>14224</v>
      </c>
    </row>
    <row r="383" spans="71:139" x14ac:dyDescent="0.35">
      <c r="BS383" s="486">
        <v>6045</v>
      </c>
      <c r="BT383" s="479" t="s">
        <v>1064</v>
      </c>
      <c r="BU383" s="479">
        <v>11</v>
      </c>
      <c r="BV383" s="476" t="s">
        <v>1187</v>
      </c>
      <c r="BW383" s="476" t="s">
        <v>1187</v>
      </c>
      <c r="BX383" s="476" t="s">
        <v>1187</v>
      </c>
      <c r="BY383" s="476" t="s">
        <v>1187</v>
      </c>
      <c r="BZ383" s="476" t="s">
        <v>1187</v>
      </c>
      <c r="CA383" s="476" t="s">
        <v>1187</v>
      </c>
      <c r="CB383" s="476" t="s">
        <v>1187</v>
      </c>
      <c r="CC383" s="476" t="s">
        <v>1187</v>
      </c>
      <c r="CD383" s="476" t="s">
        <v>1187</v>
      </c>
      <c r="CE383" s="476" t="s">
        <v>1187</v>
      </c>
      <c r="CF383" s="476" t="s">
        <v>1187</v>
      </c>
      <c r="CG383" s="476" t="s">
        <v>1187</v>
      </c>
      <c r="CH383" s="476" t="s">
        <v>1187</v>
      </c>
      <c r="CI383" s="476" t="s">
        <v>1187</v>
      </c>
      <c r="CJ383" s="476" t="s">
        <v>1187</v>
      </c>
      <c r="CK383" s="476" t="s">
        <v>1187</v>
      </c>
      <c r="CL383" s="476" t="s">
        <v>1187</v>
      </c>
      <c r="CM383" s="476" t="str">
        <f>IF(VLOOKUP(BS383,'Données par municipalité'!$B$6:$E$1113,4,FALSE)="","non","oui")</f>
        <v>non</v>
      </c>
      <c r="CN383" s="410" t="s">
        <v>1124</v>
      </c>
      <c r="CO383" s="410" t="s">
        <v>1124</v>
      </c>
      <c r="CP383" s="410"/>
      <c r="CQ383" s="410"/>
      <c r="CR383" s="410"/>
      <c r="CS383" s="410" t="s">
        <v>1124</v>
      </c>
      <c r="CT383" s="410"/>
      <c r="CU383" s="410" t="s">
        <v>1124</v>
      </c>
      <c r="CV383" s="410" t="str">
        <f>IF(VLOOKUP(BS383,'Données par municipalité'!$B$6:$F$1113,4,FALSE)="","",VLOOKUP(BS383,'Données par municipalité'!$B$6:$F$1113,4,FALSE))</f>
        <v/>
      </c>
      <c r="CW383" s="476" t="s">
        <v>4723</v>
      </c>
      <c r="CX383" s="483" t="s">
        <v>1124</v>
      </c>
      <c r="CY383" s="483" t="s">
        <v>1124</v>
      </c>
      <c r="CZ383" s="483" t="s">
        <v>1124</v>
      </c>
      <c r="DA383" s="483" t="s">
        <v>1124</v>
      </c>
      <c r="DB383" s="483" t="s">
        <v>1124</v>
      </c>
      <c r="DC383" s="483" t="s">
        <v>1124</v>
      </c>
      <c r="DD383" s="483" t="s">
        <v>1124</v>
      </c>
      <c r="DE383" s="483" t="str">
        <f>IFERROR(SUM(VLOOKUP($BS383,'État &amp; Plan d''action'!$B$6:$Z$1113,18,FALSE),VLOOKUP($BS383,'État &amp; Plan d''action'!$B$6:$Z$1113,20,FALSE))/(VLOOKUP($BS383,'Données par municipalité'!$B$4:$L$1113,11,FALSE)),"")</f>
        <v/>
      </c>
      <c r="DF383" s="483" t="str">
        <f>IFERROR(SUM(VLOOKUP($BS383,'État &amp; Plan d''action'!$B$6:$Z$1113,19,FALSE),VLOOKUP($BS383,'État &amp; Plan d''action'!$B$6:$Z$1113,21,FALSE))/(VLOOKUP($BS383,'Données par municipalité'!$B$4:$L$1113,11,FALSE)),"")</f>
        <v/>
      </c>
      <c r="DG383" s="476" t="s">
        <v>4723</v>
      </c>
      <c r="DH383" s="484" t="s">
        <v>1124</v>
      </c>
      <c r="DI383" s="484" t="s">
        <v>1124</v>
      </c>
      <c r="DJ383" s="484">
        <v>0</v>
      </c>
      <c r="DK383" s="484">
        <v>0</v>
      </c>
      <c r="DL383" s="484" t="s">
        <v>1124</v>
      </c>
      <c r="DM383" s="484" t="s">
        <v>1124</v>
      </c>
      <c r="DN383" s="484" t="s">
        <v>1124</v>
      </c>
      <c r="DO383" s="484" t="s">
        <v>1124</v>
      </c>
      <c r="DP383" s="484" t="s">
        <v>1124</v>
      </c>
      <c r="DQ383" s="484" t="str">
        <f>IF(VLOOKUP($BS383,'État &amp; Plan d''action'!$B$6:$AJ$1113,28,FALSE)="","",VLOOKUP($BS383,'État &amp; Plan d''action'!$B$6:$AJ$1113,28,FALSE))</f>
        <v/>
      </c>
      <c r="DR383" s="70" t="str">
        <f>IF(VLOOKUP($BS383,'État &amp; Plan d''action'!$B$6:$AJ$1113,29,FALSE)="","",VLOOKUP($BS383,'État &amp; Plan d''action'!$B$6:$AJ$1113,29,FALSE))</f>
        <v/>
      </c>
      <c r="DS383" s="70" t="str">
        <f>IF(VLOOKUP($BS383,'État &amp; Plan d''action'!$B$6:$AJ$1113,30,FALSE)="","",VLOOKUP($BS383,'État &amp; Plan d''action'!$B$6:$AJ$1113,30,FALSE))</f>
        <v/>
      </c>
      <c r="DT383" s="70" t="s">
        <v>1124</v>
      </c>
      <c r="DU383" s="485" t="s">
        <v>1124</v>
      </c>
      <c r="DV383" s="485" t="s">
        <v>1124</v>
      </c>
      <c r="DW383" s="70" t="s">
        <v>1124</v>
      </c>
      <c r="DX383" s="70" t="s">
        <v>1124</v>
      </c>
      <c r="DY383" s="70" t="s">
        <v>1124</v>
      </c>
      <c r="DZ383" s="70" t="str">
        <f>VLOOKUP($BS383,'État &amp; Plan d''action'!$B$6:$AH$1113,31,FALSE)</f>
        <v/>
      </c>
      <c r="EA383" s="70" t="str">
        <f>VLOOKUP($BS383,'État &amp; Plan d''action'!$B$6:$AH$1113,32,FALSE)</f>
        <v/>
      </c>
      <c r="EB383" s="70" t="str">
        <f>VLOOKUP($BS383,'État &amp; Plan d''action'!$B$6:$AH$1113,33,FALSE)</f>
        <v/>
      </c>
      <c r="EC383" s="70" t="s">
        <v>1124</v>
      </c>
      <c r="ED383" s="70" t="s">
        <v>1124</v>
      </c>
      <c r="EE383" s="70" t="s">
        <v>1124</v>
      </c>
      <c r="EF383" s="70" t="s">
        <v>1124</v>
      </c>
      <c r="EG383" s="70" t="s">
        <v>1124</v>
      </c>
      <c r="EH383" s="72"/>
      <c r="EI383" s="72">
        <v>637</v>
      </c>
    </row>
    <row r="384" spans="71:139" x14ac:dyDescent="0.35">
      <c r="BS384" s="486">
        <v>80065</v>
      </c>
      <c r="BT384" s="479" t="s">
        <v>813</v>
      </c>
      <c r="BU384" s="479">
        <v>7</v>
      </c>
      <c r="BV384" s="476" t="s">
        <v>1188</v>
      </c>
      <c r="BW384" s="476" t="s">
        <v>1188</v>
      </c>
      <c r="BX384" s="476" t="s">
        <v>1188</v>
      </c>
      <c r="BY384" s="476" t="s">
        <v>1188</v>
      </c>
      <c r="BZ384" s="476" t="s">
        <v>1188</v>
      </c>
      <c r="CA384" s="476" t="s">
        <v>1188</v>
      </c>
      <c r="CB384" s="476" t="s">
        <v>1188</v>
      </c>
      <c r="CC384" s="476" t="s">
        <v>1188</v>
      </c>
      <c r="CD384" s="476" t="s">
        <v>1188</v>
      </c>
      <c r="CE384" s="476" t="s">
        <v>1188</v>
      </c>
      <c r="CF384" s="476" t="s">
        <v>1188</v>
      </c>
      <c r="CG384" s="476" t="s">
        <v>1188</v>
      </c>
      <c r="CH384" s="476" t="s">
        <v>1188</v>
      </c>
      <c r="CI384" s="476" t="s">
        <v>1187</v>
      </c>
      <c r="CJ384" s="476" t="s">
        <v>1187</v>
      </c>
      <c r="CK384" s="476" t="s">
        <v>1187</v>
      </c>
      <c r="CL384" s="476" t="s">
        <v>1187</v>
      </c>
      <c r="CM384" s="476" t="str">
        <f>IF(VLOOKUP(BS384,'Données par municipalité'!$B$6:$E$1113,4,FALSE)="","non","oui")</f>
        <v>non</v>
      </c>
      <c r="CN384" s="410">
        <v>449.29396662387677</v>
      </c>
      <c r="CO384" s="410">
        <v>448.06638748009567</v>
      </c>
      <c r="CP384" s="410">
        <v>448.8721804511278</v>
      </c>
      <c r="CQ384" s="410">
        <v>474.57799397393558</v>
      </c>
      <c r="CR384" s="410"/>
      <c r="CS384" s="410" t="s">
        <v>1124</v>
      </c>
      <c r="CT384" s="410"/>
      <c r="CU384" s="410" t="s">
        <v>1124</v>
      </c>
      <c r="CV384" s="410" t="str">
        <f>IF(VLOOKUP(BS384,'Données par municipalité'!$B$6:$F$1113,4,FALSE)="","",VLOOKUP(BS384,'Données par municipalité'!$B$6:$F$1113,4,FALSE))</f>
        <v/>
      </c>
      <c r="CW384" s="476" t="s">
        <v>4723</v>
      </c>
      <c r="CX384" s="483" t="s">
        <v>1124</v>
      </c>
      <c r="CY384" s="483">
        <v>0</v>
      </c>
      <c r="CZ384" s="483">
        <v>0</v>
      </c>
      <c r="DA384" s="483" t="s">
        <v>1124</v>
      </c>
      <c r="DB384" s="483" t="s">
        <v>1124</v>
      </c>
      <c r="DC384" s="483" t="s">
        <v>1124</v>
      </c>
      <c r="DD384" s="483" t="s">
        <v>1124</v>
      </c>
      <c r="DE384" s="483" t="str">
        <f>IFERROR(SUM(VLOOKUP($BS384,'État &amp; Plan d''action'!$B$6:$Z$1113,18,FALSE),VLOOKUP($BS384,'État &amp; Plan d''action'!$B$6:$Z$1113,20,FALSE))/(VLOOKUP($BS384,'Données par municipalité'!$B$4:$L$1113,11,FALSE)),"")</f>
        <v/>
      </c>
      <c r="DF384" s="483" t="str">
        <f>IFERROR(SUM(VLOOKUP($BS384,'État &amp; Plan d''action'!$B$6:$Z$1113,19,FALSE),VLOOKUP($BS384,'État &amp; Plan d''action'!$B$6:$Z$1113,21,FALSE))/(VLOOKUP($BS384,'Données par municipalité'!$B$4:$L$1113,11,FALSE)),"")</f>
        <v/>
      </c>
      <c r="DG384" s="476" t="s">
        <v>4723</v>
      </c>
      <c r="DH384" s="484" t="s">
        <v>1124</v>
      </c>
      <c r="DI384" s="484" t="s">
        <v>1124</v>
      </c>
      <c r="DJ384" s="484">
        <v>0</v>
      </c>
      <c r="DK384" s="484">
        <v>0</v>
      </c>
      <c r="DL384" s="484" t="s">
        <v>1124</v>
      </c>
      <c r="DM384" s="484" t="s">
        <v>1124</v>
      </c>
      <c r="DN384" s="484" t="s">
        <v>1124</v>
      </c>
      <c r="DO384" s="484" t="s">
        <v>1124</v>
      </c>
      <c r="DP384" s="484" t="s">
        <v>1124</v>
      </c>
      <c r="DQ384" s="484" t="str">
        <f>IF(VLOOKUP($BS384,'État &amp; Plan d''action'!$B$6:$AJ$1113,28,FALSE)="","",VLOOKUP($BS384,'État &amp; Plan d''action'!$B$6:$AJ$1113,28,FALSE))</f>
        <v/>
      </c>
      <c r="DR384" s="70" t="str">
        <f>IF(VLOOKUP($BS384,'État &amp; Plan d''action'!$B$6:$AJ$1113,29,FALSE)="","",VLOOKUP($BS384,'État &amp; Plan d''action'!$B$6:$AJ$1113,29,FALSE))</f>
        <v/>
      </c>
      <c r="DS384" s="70" t="str">
        <f>IF(VLOOKUP($BS384,'État &amp; Plan d''action'!$B$6:$AJ$1113,30,FALSE)="","",VLOOKUP($BS384,'État &amp; Plan d''action'!$B$6:$AJ$1113,30,FALSE))</f>
        <v/>
      </c>
      <c r="DT384" s="70" t="s">
        <v>1124</v>
      </c>
      <c r="DU384" s="485" t="s">
        <v>1124</v>
      </c>
      <c r="DV384" s="485" t="s">
        <v>1124</v>
      </c>
      <c r="DW384" s="70" t="s">
        <v>1124</v>
      </c>
      <c r="DX384" s="70" t="s">
        <v>1124</v>
      </c>
      <c r="DY384" s="70" t="s">
        <v>1124</v>
      </c>
      <c r="DZ384" s="70" t="str">
        <f>VLOOKUP($BS384,'État &amp; Plan d''action'!$B$6:$AH$1113,31,FALSE)</f>
        <v/>
      </c>
      <c r="EA384" s="70" t="str">
        <f>VLOOKUP($BS384,'État &amp; Plan d''action'!$B$6:$AH$1113,32,FALSE)</f>
        <v/>
      </c>
      <c r="EB384" s="70" t="str">
        <f>VLOOKUP($BS384,'État &amp; Plan d''action'!$B$6:$AH$1113,33,FALSE)</f>
        <v/>
      </c>
      <c r="EC384" s="70" t="s">
        <v>1124</v>
      </c>
      <c r="ED384" s="70" t="s">
        <v>1124</v>
      </c>
      <c r="EE384" s="70" t="s">
        <v>1124</v>
      </c>
      <c r="EF384" s="70" t="s">
        <v>1124</v>
      </c>
      <c r="EG384" s="70" t="s">
        <v>1124</v>
      </c>
      <c r="EH384" s="72"/>
      <c r="EI384" s="72">
        <v>632</v>
      </c>
    </row>
    <row r="385" spans="71:139" x14ac:dyDescent="0.35">
      <c r="BS385" s="486">
        <v>57025</v>
      </c>
      <c r="BT385" s="479" t="s">
        <v>584</v>
      </c>
      <c r="BU385" s="479">
        <v>16</v>
      </c>
      <c r="BV385" s="476" t="s">
        <v>1187</v>
      </c>
      <c r="BW385" s="476" t="s">
        <v>1187</v>
      </c>
      <c r="BX385" s="476" t="s">
        <v>1187</v>
      </c>
      <c r="BY385" s="476" t="s">
        <v>1187</v>
      </c>
      <c r="BZ385" s="476" t="s">
        <v>1187</v>
      </c>
      <c r="CA385" s="476" t="s">
        <v>1187</v>
      </c>
      <c r="CB385" s="476" t="s">
        <v>1187</v>
      </c>
      <c r="CC385" s="476" t="s">
        <v>1187</v>
      </c>
      <c r="CD385" s="476" t="s">
        <v>1187</v>
      </c>
      <c r="CE385" s="476" t="s">
        <v>1188</v>
      </c>
      <c r="CF385" s="476" t="s">
        <v>1188</v>
      </c>
      <c r="CG385" s="476" t="s">
        <v>1188</v>
      </c>
      <c r="CH385" s="476" t="s">
        <v>1188</v>
      </c>
      <c r="CI385" s="476" t="s">
        <v>1188</v>
      </c>
      <c r="CJ385" s="476" t="s">
        <v>1187</v>
      </c>
      <c r="CK385" s="476" t="s">
        <v>1187</v>
      </c>
      <c r="CL385" s="476" t="s">
        <v>1188</v>
      </c>
      <c r="CM385" s="476" t="str">
        <f>IF(VLOOKUP(BS385,'Données par municipalité'!$B$6:$E$1113,4,FALSE)="","non","oui")</f>
        <v>non</v>
      </c>
      <c r="CN385" s="410">
        <v>337.2730475098125</v>
      </c>
      <c r="CO385" s="410">
        <v>330.89760053113793</v>
      </c>
      <c r="CP385" s="410">
        <v>342.37208696307005</v>
      </c>
      <c r="CQ385" s="410">
        <v>345.15688729282749</v>
      </c>
      <c r="CR385" s="410">
        <v>291.84516764096685</v>
      </c>
      <c r="CS385" s="410" t="s">
        <v>1124</v>
      </c>
      <c r="CT385" s="410"/>
      <c r="CU385" s="410">
        <v>340</v>
      </c>
      <c r="CV385" s="410" t="str">
        <f>IF(VLOOKUP(BS385,'Données par municipalité'!$B$6:$F$1113,4,FALSE)="","",VLOOKUP(BS385,'Données par municipalité'!$B$6:$F$1113,4,FALSE))</f>
        <v/>
      </c>
      <c r="CW385" s="476" t="s">
        <v>4723</v>
      </c>
      <c r="CX385" s="483">
        <v>0</v>
      </c>
      <c r="CY385" s="483">
        <v>1</v>
      </c>
      <c r="CZ385" s="483">
        <v>1</v>
      </c>
      <c r="DA385" s="483">
        <v>0</v>
      </c>
      <c r="DB385" s="483" t="s">
        <v>1124</v>
      </c>
      <c r="DC385" s="483" t="s">
        <v>1124</v>
      </c>
      <c r="DD385" s="483">
        <v>1.0000149725254159</v>
      </c>
      <c r="DE385" s="483" t="str">
        <f>IFERROR(SUM(VLOOKUP($BS385,'État &amp; Plan d''action'!$B$6:$Z$1113,18,FALSE),VLOOKUP($BS385,'État &amp; Plan d''action'!$B$6:$Z$1113,20,FALSE))/(VLOOKUP($BS385,'Données par municipalité'!$B$4:$L$1113,11,FALSE)),"")</f>
        <v/>
      </c>
      <c r="DF385" s="483" t="str">
        <f>IFERROR(SUM(VLOOKUP($BS385,'État &amp; Plan d''action'!$B$6:$Z$1113,19,FALSE),VLOOKUP($BS385,'État &amp; Plan d''action'!$B$6:$Z$1113,21,FALSE))/(VLOOKUP($BS385,'Données par municipalité'!$B$4:$L$1113,11,FALSE)),"")</f>
        <v/>
      </c>
      <c r="DG385" s="476" t="s">
        <v>4723</v>
      </c>
      <c r="DH385" s="484">
        <v>5</v>
      </c>
      <c r="DI385" s="484">
        <v>1</v>
      </c>
      <c r="DJ385" s="484">
        <v>19</v>
      </c>
      <c r="DK385" s="484">
        <v>6</v>
      </c>
      <c r="DL385" s="484" t="s">
        <v>1124</v>
      </c>
      <c r="DM385" s="484" t="s">
        <v>1124</v>
      </c>
      <c r="DN385" s="484">
        <v>4</v>
      </c>
      <c r="DO385" s="484">
        <v>0</v>
      </c>
      <c r="DP385" s="484">
        <v>0</v>
      </c>
      <c r="DQ385" s="484" t="str">
        <f>IF(VLOOKUP($BS385,'État &amp; Plan d''action'!$B$6:$AJ$1113,28,FALSE)="","",VLOOKUP($BS385,'État &amp; Plan d''action'!$B$6:$AJ$1113,28,FALSE))</f>
        <v/>
      </c>
      <c r="DR385" s="70" t="str">
        <f>IF(VLOOKUP($BS385,'État &amp; Plan d''action'!$B$6:$AJ$1113,29,FALSE)="","",VLOOKUP($BS385,'État &amp; Plan d''action'!$B$6:$AJ$1113,29,FALSE))</f>
        <v/>
      </c>
      <c r="DS385" s="70" t="str">
        <f>IF(VLOOKUP($BS385,'État &amp; Plan d''action'!$B$6:$AJ$1113,30,FALSE)="","",VLOOKUP($BS385,'État &amp; Plan d''action'!$B$6:$AJ$1113,30,FALSE))</f>
        <v/>
      </c>
      <c r="DT385" s="70">
        <v>295</v>
      </c>
      <c r="DU385" s="485">
        <v>1.3233107355677938</v>
      </c>
      <c r="DV385" s="485" t="s">
        <v>1124</v>
      </c>
      <c r="DW385" s="70">
        <v>1</v>
      </c>
      <c r="DX385" s="70">
        <v>0</v>
      </c>
      <c r="DY385" s="70">
        <v>0</v>
      </c>
      <c r="DZ385" s="70" t="str">
        <f>VLOOKUP($BS385,'État &amp; Plan d''action'!$B$6:$AH$1113,31,FALSE)</f>
        <v/>
      </c>
      <c r="EA385" s="70" t="str">
        <f>VLOOKUP($BS385,'État &amp; Plan d''action'!$B$6:$AH$1113,32,FALSE)</f>
        <v/>
      </c>
      <c r="EB385" s="70" t="str">
        <f>VLOOKUP($BS385,'État &amp; Plan d''action'!$B$6:$AH$1113,33,FALSE)</f>
        <v/>
      </c>
      <c r="EC385" s="70">
        <v>0</v>
      </c>
      <c r="ED385" s="70">
        <v>33.395000000000003</v>
      </c>
      <c r="EE385" s="70">
        <v>0</v>
      </c>
      <c r="EF385" s="70">
        <v>0</v>
      </c>
      <c r="EG385" s="70">
        <v>0</v>
      </c>
      <c r="EH385" s="72">
        <v>63</v>
      </c>
      <c r="EI385" s="72">
        <v>5887</v>
      </c>
    </row>
    <row r="386" spans="71:139" x14ac:dyDescent="0.35">
      <c r="BS386" s="486">
        <v>42075</v>
      </c>
      <c r="BT386" s="479" t="s">
        <v>390</v>
      </c>
      <c r="BU386" s="479">
        <v>5</v>
      </c>
      <c r="BV386" s="476" t="s">
        <v>1188</v>
      </c>
      <c r="BW386" s="476" t="s">
        <v>1188</v>
      </c>
      <c r="BX386" s="476" t="s">
        <v>1188</v>
      </c>
      <c r="BY386" s="476" t="s">
        <v>1187</v>
      </c>
      <c r="BZ386" s="476" t="s">
        <v>1187</v>
      </c>
      <c r="CA386" s="476" t="s">
        <v>1187</v>
      </c>
      <c r="CB386" s="476" t="s">
        <v>1187</v>
      </c>
      <c r="CC386" s="476" t="s">
        <v>1187</v>
      </c>
      <c r="CD386" s="476" t="s">
        <v>1187</v>
      </c>
      <c r="CE386" s="476" t="s">
        <v>1187</v>
      </c>
      <c r="CF386" s="476" t="s">
        <v>1187</v>
      </c>
      <c r="CG386" s="476" t="s">
        <v>1187</v>
      </c>
      <c r="CH386" s="476" t="s">
        <v>1188</v>
      </c>
      <c r="CI386" s="476" t="s">
        <v>1188</v>
      </c>
      <c r="CJ386" s="476" t="s">
        <v>1188</v>
      </c>
      <c r="CK386" s="476" t="s">
        <v>1188</v>
      </c>
      <c r="CL386" s="476" t="s">
        <v>1188</v>
      </c>
      <c r="CM386" s="476" t="str">
        <f>IF(VLOOKUP(BS386,'Données par municipalité'!$B$6:$E$1113,4,FALSE)="","non","oui")</f>
        <v>oui</v>
      </c>
      <c r="CN386" s="410" t="s">
        <v>1124</v>
      </c>
      <c r="CO386" s="410" t="s">
        <v>1124</v>
      </c>
      <c r="CP386" s="410"/>
      <c r="CQ386" s="410">
        <v>620</v>
      </c>
      <c r="CR386" s="410">
        <v>501</v>
      </c>
      <c r="CS386" s="410">
        <v>461.63825110991263</v>
      </c>
      <c r="CT386" s="410">
        <v>443</v>
      </c>
      <c r="CU386" s="410">
        <v>370</v>
      </c>
      <c r="CV386" s="410">
        <f>IF(VLOOKUP(BS386,'Données par municipalité'!$B$6:$F$1113,4,FALSE)="","",VLOOKUP(BS386,'Données par municipalité'!$B$6:$F$1113,4,FALSE))</f>
        <v>346</v>
      </c>
      <c r="CW386" s="476" t="s">
        <v>4723</v>
      </c>
      <c r="CX386" s="483" t="s">
        <v>1124</v>
      </c>
      <c r="CY386" s="483" t="s">
        <v>1124</v>
      </c>
      <c r="CZ386" s="483">
        <v>0</v>
      </c>
      <c r="DA386" s="483">
        <v>1</v>
      </c>
      <c r="DB386" s="483">
        <v>1</v>
      </c>
      <c r="DC386" s="483">
        <v>1</v>
      </c>
      <c r="DD386" s="483">
        <v>12</v>
      </c>
      <c r="DE386" s="483">
        <f>IFERROR(SUM(VLOOKUP($BS386,'État &amp; Plan d''action'!$B$6:$Z$1113,18,FALSE),VLOOKUP($BS386,'État &amp; Plan d''action'!$B$6:$Z$1113,20,FALSE))/(VLOOKUP($BS386,'Données par municipalité'!$B$4:$L$1113,11,FALSE)),"")</f>
        <v>12</v>
      </c>
      <c r="DF386" s="483">
        <f>IFERROR(SUM(VLOOKUP($BS386,'État &amp; Plan d''action'!$B$6:$Z$1113,19,FALSE),VLOOKUP($BS386,'État &amp; Plan d''action'!$B$6:$Z$1113,21,FALSE))/(VLOOKUP($BS386,'Données par municipalité'!$B$4:$L$1113,11,FALSE)),"")</f>
        <v>12</v>
      </c>
      <c r="DG386" s="476" t="s">
        <v>4723</v>
      </c>
      <c r="DH386" s="484" t="s">
        <v>1124</v>
      </c>
      <c r="DI386" s="484" t="s">
        <v>1124</v>
      </c>
      <c r="DJ386" s="484">
        <v>0</v>
      </c>
      <c r="DK386" s="484">
        <v>0</v>
      </c>
      <c r="DL386" s="484">
        <v>0</v>
      </c>
      <c r="DM386" s="484">
        <v>0</v>
      </c>
      <c r="DN386" s="484">
        <v>0</v>
      </c>
      <c r="DO386" s="484">
        <v>0</v>
      </c>
      <c r="DP386" s="484">
        <v>1</v>
      </c>
      <c r="DQ386" s="484">
        <f>IF(VLOOKUP($BS386,'État &amp; Plan d''action'!$B$6:$AJ$1113,28,FALSE)="","",VLOOKUP($BS386,'État &amp; Plan d''action'!$B$6:$AJ$1113,28,FALSE))</f>
        <v>0</v>
      </c>
      <c r="DR386" s="70">
        <f>IF(VLOOKUP($BS386,'État &amp; Plan d''action'!$B$6:$AJ$1113,29,FALSE)="","",VLOOKUP($BS386,'État &amp; Plan d''action'!$B$6:$AJ$1113,29,FALSE))</f>
        <v>0</v>
      </c>
      <c r="DS386" s="70">
        <f>IF(VLOOKUP($BS386,'État &amp; Plan d''action'!$B$6:$AJ$1113,30,FALSE)="","",VLOOKUP($BS386,'État &amp; Plan d''action'!$B$6:$AJ$1113,30,FALSE))</f>
        <v>1</v>
      </c>
      <c r="DT386" s="70">
        <v>234</v>
      </c>
      <c r="DU386" s="485">
        <v>1.2387951594076911</v>
      </c>
      <c r="DV386" s="485">
        <v>0.50111242612325413</v>
      </c>
      <c r="DW386" s="70">
        <v>0</v>
      </c>
      <c r="DX386" s="70">
        <v>0</v>
      </c>
      <c r="DY386" s="70">
        <v>7</v>
      </c>
      <c r="DZ386" s="70">
        <f>VLOOKUP($BS386,'État &amp; Plan d''action'!$B$6:$AH$1113,31,FALSE)</f>
        <v>0</v>
      </c>
      <c r="EA386" s="70">
        <f>VLOOKUP($BS386,'État &amp; Plan d''action'!$B$6:$AH$1113,32,FALSE)</f>
        <v>0</v>
      </c>
      <c r="EB386" s="70">
        <f>VLOOKUP($BS386,'État &amp; Plan d''action'!$B$6:$AH$1113,33,FALSE)</f>
        <v>4</v>
      </c>
      <c r="EC386" s="70">
        <v>0</v>
      </c>
      <c r="ED386" s="70">
        <v>37.356000000000002</v>
      </c>
      <c r="EE386" s="70">
        <v>0</v>
      </c>
      <c r="EF386" s="70">
        <v>0</v>
      </c>
      <c r="EG386" s="70">
        <v>0</v>
      </c>
      <c r="EH386" s="72">
        <v>57.127450980392162</v>
      </c>
      <c r="EI386" s="72">
        <v>1063</v>
      </c>
    </row>
    <row r="387" spans="71:139" x14ac:dyDescent="0.35">
      <c r="BS387" s="486">
        <v>67045</v>
      </c>
      <c r="BT387" s="479" t="s">
        <v>670</v>
      </c>
      <c r="BU387" s="479">
        <v>16</v>
      </c>
      <c r="BV387" s="476" t="s">
        <v>1187</v>
      </c>
      <c r="BW387" s="476" t="s">
        <v>1187</v>
      </c>
      <c r="BX387" s="476" t="s">
        <v>1187</v>
      </c>
      <c r="BY387" s="476" t="s">
        <v>1187</v>
      </c>
      <c r="BZ387" s="476" t="s">
        <v>1187</v>
      </c>
      <c r="CA387" s="476" t="s">
        <v>1187</v>
      </c>
      <c r="CB387" s="476" t="s">
        <v>1187</v>
      </c>
      <c r="CC387" s="476" t="s">
        <v>1187</v>
      </c>
      <c r="CD387" s="476" t="s">
        <v>1187</v>
      </c>
      <c r="CE387" s="476" t="s">
        <v>1188</v>
      </c>
      <c r="CF387" s="476" t="s">
        <v>1188</v>
      </c>
      <c r="CG387" s="476" t="s">
        <v>1188</v>
      </c>
      <c r="CH387" s="476" t="s">
        <v>1188</v>
      </c>
      <c r="CI387" s="476" t="s">
        <v>1188</v>
      </c>
      <c r="CJ387" s="476" t="s">
        <v>1187</v>
      </c>
      <c r="CK387" s="476" t="s">
        <v>1187</v>
      </c>
      <c r="CL387" s="476" t="s">
        <v>1188</v>
      </c>
      <c r="CM387" s="476" t="str">
        <f>IF(VLOOKUP(BS387,'Données par municipalité'!$B$6:$E$1113,4,FALSE)="","non","oui")</f>
        <v>oui</v>
      </c>
      <c r="CN387" s="410">
        <v>658.14849437716748</v>
      </c>
      <c r="CO387" s="410">
        <v>611.38569418515601</v>
      </c>
      <c r="CP387" s="410">
        <v>605.16186456527112</v>
      </c>
      <c r="CQ387" s="410">
        <v>595.9513338969781</v>
      </c>
      <c r="CR387" s="410">
        <v>560.7047528763926</v>
      </c>
      <c r="CS387" s="410" t="s">
        <v>1124</v>
      </c>
      <c r="CT387" s="410"/>
      <c r="CU387" s="410">
        <v>428</v>
      </c>
      <c r="CV387" s="410">
        <f>IF(VLOOKUP(BS387,'Données par municipalité'!$B$6:$F$1113,4,FALSE)="","",VLOOKUP(BS387,'Données par municipalité'!$B$6:$F$1113,4,FALSE))</f>
        <v>401</v>
      </c>
      <c r="CW387" s="476" t="s">
        <v>4723</v>
      </c>
      <c r="CX387" s="483">
        <v>1</v>
      </c>
      <c r="CY387" s="483">
        <v>1</v>
      </c>
      <c r="CZ387" s="483">
        <v>1</v>
      </c>
      <c r="DA387" s="483">
        <v>0</v>
      </c>
      <c r="DB387" s="483" t="s">
        <v>1124</v>
      </c>
      <c r="DC387" s="483" t="s">
        <v>1124</v>
      </c>
      <c r="DD387" s="483">
        <v>0</v>
      </c>
      <c r="DE387" s="483">
        <f>IFERROR(SUM(VLOOKUP($BS387,'État &amp; Plan d''action'!$B$6:$Z$1113,18,FALSE),VLOOKUP($BS387,'État &amp; Plan d''action'!$B$6:$Z$1113,20,FALSE))/(VLOOKUP($BS387,'Données par municipalité'!$B$4:$L$1113,11,FALSE)),"")</f>
        <v>0</v>
      </c>
      <c r="DF387" s="483">
        <f>IFERROR(SUM(VLOOKUP($BS387,'État &amp; Plan d''action'!$B$6:$Z$1113,19,FALSE),VLOOKUP($BS387,'État &amp; Plan d''action'!$B$6:$Z$1113,21,FALSE))/(VLOOKUP($BS387,'Données par municipalité'!$B$4:$L$1113,11,FALSE)),"")</f>
        <v>1</v>
      </c>
      <c r="DG387" s="476" t="s">
        <v>4723</v>
      </c>
      <c r="DH387" s="484">
        <v>16</v>
      </c>
      <c r="DI387" s="484">
        <v>27</v>
      </c>
      <c r="DJ387" s="484">
        <v>10</v>
      </c>
      <c r="DK387" s="484">
        <v>0</v>
      </c>
      <c r="DL387" s="484" t="s">
        <v>1124</v>
      </c>
      <c r="DM387" s="484" t="s">
        <v>1124</v>
      </c>
      <c r="DN387" s="484">
        <v>6</v>
      </c>
      <c r="DO387" s="484">
        <v>0</v>
      </c>
      <c r="DP387" s="484">
        <v>0</v>
      </c>
      <c r="DQ387" s="484">
        <f>IF(VLOOKUP($BS387,'État &amp; Plan d''action'!$B$6:$AJ$1113,28,FALSE)="","",VLOOKUP($BS387,'État &amp; Plan d''action'!$B$6:$AJ$1113,28,FALSE))</f>
        <v>29</v>
      </c>
      <c r="DR387" s="70">
        <f>IF(VLOOKUP($BS387,'État &amp; Plan d''action'!$B$6:$AJ$1113,29,FALSE)="","",VLOOKUP($BS387,'État &amp; Plan d''action'!$B$6:$AJ$1113,29,FALSE))</f>
        <v>0</v>
      </c>
      <c r="DS387" s="70">
        <f>IF(VLOOKUP($BS387,'État &amp; Plan d''action'!$B$6:$AJ$1113,30,FALSE)="","",VLOOKUP($BS387,'État &amp; Plan d''action'!$B$6:$AJ$1113,30,FALSE))</f>
        <v>0</v>
      </c>
      <c r="DT387" s="70">
        <v>373</v>
      </c>
      <c r="DU387" s="485">
        <v>0.60110746798919668</v>
      </c>
      <c r="DV387" s="485">
        <v>5.3894802393191599</v>
      </c>
      <c r="DW387" s="70">
        <v>1</v>
      </c>
      <c r="DX387" s="70">
        <v>0</v>
      </c>
      <c r="DY387" s="70">
        <v>0</v>
      </c>
      <c r="DZ387" s="70">
        <f>VLOOKUP($BS387,'État &amp; Plan d''action'!$B$6:$AH$1113,31,FALSE)</f>
        <v>2</v>
      </c>
      <c r="EA387" s="70">
        <f>VLOOKUP($BS387,'État &amp; Plan d''action'!$B$6:$AH$1113,32,FALSE)</f>
        <v>0</v>
      </c>
      <c r="EB387" s="70">
        <f>VLOOKUP($BS387,'État &amp; Plan d''action'!$B$6:$AH$1113,33,FALSE)</f>
        <v>0</v>
      </c>
      <c r="EC387" s="70">
        <v>0</v>
      </c>
      <c r="ED387" s="70">
        <v>0</v>
      </c>
      <c r="EE387" s="70">
        <v>0</v>
      </c>
      <c r="EF387" s="70">
        <v>0</v>
      </c>
      <c r="EG387" s="70">
        <v>0</v>
      </c>
      <c r="EH387" s="72">
        <v>61</v>
      </c>
      <c r="EI387" s="72">
        <v>13900</v>
      </c>
    </row>
    <row r="388" spans="71:139" x14ac:dyDescent="0.35">
      <c r="BS388" s="486">
        <v>83060</v>
      </c>
      <c r="BT388" s="479" t="s">
        <v>844</v>
      </c>
      <c r="BU388" s="479">
        <v>7</v>
      </c>
      <c r="BV388" s="476" t="s">
        <v>1188</v>
      </c>
      <c r="BW388" s="476" t="s">
        <v>1188</v>
      </c>
      <c r="BX388" s="476" t="s">
        <v>1188</v>
      </c>
      <c r="BY388" s="476" t="s">
        <v>1188</v>
      </c>
      <c r="BZ388" s="476" t="s">
        <v>1188</v>
      </c>
      <c r="CA388" s="476" t="s">
        <v>1188</v>
      </c>
      <c r="CB388" s="476" t="s">
        <v>1188</v>
      </c>
      <c r="CC388" s="476" t="s">
        <v>1188</v>
      </c>
      <c r="CD388" s="476" t="s">
        <v>1188</v>
      </c>
      <c r="CE388" s="476" t="s">
        <v>1188</v>
      </c>
      <c r="CF388" s="476" t="s">
        <v>1188</v>
      </c>
      <c r="CG388" s="476" t="s">
        <v>1188</v>
      </c>
      <c r="CH388" s="476" t="s">
        <v>1188</v>
      </c>
      <c r="CI388" s="476" t="s">
        <v>1187</v>
      </c>
      <c r="CJ388" s="476" t="s">
        <v>1187</v>
      </c>
      <c r="CK388" s="476" t="s">
        <v>1187</v>
      </c>
      <c r="CL388" s="476" t="s">
        <v>1187</v>
      </c>
      <c r="CM388" s="476" t="str">
        <f>IF(VLOOKUP(BS388,'Données par municipalité'!$B$6:$E$1113,4,FALSE)="","non","oui")</f>
        <v>non</v>
      </c>
      <c r="CN388" s="410">
        <v>570.08502353947972</v>
      </c>
      <c r="CO388" s="410">
        <v>531.85071758842253</v>
      </c>
      <c r="CP388" s="410">
        <v>489.98843327346515</v>
      </c>
      <c r="CQ388" s="410">
        <v>520.14375223692809</v>
      </c>
      <c r="CR388" s="410"/>
      <c r="CS388" s="410" t="s">
        <v>1124</v>
      </c>
      <c r="CT388" s="410"/>
      <c r="CU388" s="410" t="s">
        <v>1124</v>
      </c>
      <c r="CV388" s="410" t="str">
        <f>IF(VLOOKUP(BS388,'Données par municipalité'!$B$6:$F$1113,4,FALSE)="","",VLOOKUP(BS388,'Données par municipalité'!$B$6:$F$1113,4,FALSE))</f>
        <v/>
      </c>
      <c r="CW388" s="476" t="s">
        <v>4723</v>
      </c>
      <c r="CX388" s="483" t="s">
        <v>1124</v>
      </c>
      <c r="CY388" s="483">
        <v>0</v>
      </c>
      <c r="CZ388" s="483">
        <v>0</v>
      </c>
      <c r="DA388" s="483" t="s">
        <v>1124</v>
      </c>
      <c r="DB388" s="483" t="s">
        <v>1124</v>
      </c>
      <c r="DC388" s="483" t="s">
        <v>1124</v>
      </c>
      <c r="DD388" s="483" t="s">
        <v>1124</v>
      </c>
      <c r="DE388" s="483" t="str">
        <f>IFERROR(SUM(VLOOKUP($BS388,'État &amp; Plan d''action'!$B$6:$Z$1113,18,FALSE),VLOOKUP($BS388,'État &amp; Plan d''action'!$B$6:$Z$1113,20,FALSE))/(VLOOKUP($BS388,'Données par municipalité'!$B$4:$L$1113,11,FALSE)),"")</f>
        <v/>
      </c>
      <c r="DF388" s="483" t="str">
        <f>IFERROR(SUM(VLOOKUP($BS388,'État &amp; Plan d''action'!$B$6:$Z$1113,19,FALSE),VLOOKUP($BS388,'État &amp; Plan d''action'!$B$6:$Z$1113,21,FALSE))/(VLOOKUP($BS388,'Données par municipalité'!$B$4:$L$1113,11,FALSE)),"")</f>
        <v/>
      </c>
      <c r="DG388" s="476" t="s">
        <v>4723</v>
      </c>
      <c r="DH388" s="484" t="s">
        <v>1124</v>
      </c>
      <c r="DI388" s="484" t="s">
        <v>1124</v>
      </c>
      <c r="DJ388" s="484">
        <v>0</v>
      </c>
      <c r="DK388" s="484">
        <v>0</v>
      </c>
      <c r="DL388" s="484" t="s">
        <v>1124</v>
      </c>
      <c r="DM388" s="484" t="s">
        <v>1124</v>
      </c>
      <c r="DN388" s="484" t="s">
        <v>1124</v>
      </c>
      <c r="DO388" s="484" t="s">
        <v>1124</v>
      </c>
      <c r="DP388" s="484" t="s">
        <v>1124</v>
      </c>
      <c r="DQ388" s="484" t="str">
        <f>IF(VLOOKUP($BS388,'État &amp; Plan d''action'!$B$6:$AJ$1113,28,FALSE)="","",VLOOKUP($BS388,'État &amp; Plan d''action'!$B$6:$AJ$1113,28,FALSE))</f>
        <v/>
      </c>
      <c r="DR388" s="70" t="str">
        <f>IF(VLOOKUP($BS388,'État &amp; Plan d''action'!$B$6:$AJ$1113,29,FALSE)="","",VLOOKUP($BS388,'État &amp; Plan d''action'!$B$6:$AJ$1113,29,FALSE))</f>
        <v/>
      </c>
      <c r="DS388" s="70" t="str">
        <f>IF(VLOOKUP($BS388,'État &amp; Plan d''action'!$B$6:$AJ$1113,30,FALSE)="","",VLOOKUP($BS388,'État &amp; Plan d''action'!$B$6:$AJ$1113,30,FALSE))</f>
        <v/>
      </c>
      <c r="DT388" s="70" t="s">
        <v>1124</v>
      </c>
      <c r="DU388" s="485" t="s">
        <v>1124</v>
      </c>
      <c r="DV388" s="485" t="s">
        <v>1124</v>
      </c>
      <c r="DW388" s="70" t="s">
        <v>1124</v>
      </c>
      <c r="DX388" s="70" t="s">
        <v>1124</v>
      </c>
      <c r="DY388" s="70" t="s">
        <v>1124</v>
      </c>
      <c r="DZ388" s="70" t="str">
        <f>VLOOKUP($BS388,'État &amp; Plan d''action'!$B$6:$AH$1113,31,FALSE)</f>
        <v/>
      </c>
      <c r="EA388" s="70" t="str">
        <f>VLOOKUP($BS388,'État &amp; Plan d''action'!$B$6:$AH$1113,32,FALSE)</f>
        <v/>
      </c>
      <c r="EB388" s="70" t="str">
        <f>VLOOKUP($BS388,'État &amp; Plan d''action'!$B$6:$AH$1113,33,FALSE)</f>
        <v/>
      </c>
      <c r="EC388" s="70" t="s">
        <v>1124</v>
      </c>
      <c r="ED388" s="70" t="s">
        <v>1124</v>
      </c>
      <c r="EE388" s="70" t="s">
        <v>1124</v>
      </c>
      <c r="EF388" s="70" t="s">
        <v>1124</v>
      </c>
      <c r="EG388" s="70" t="s">
        <v>1124</v>
      </c>
      <c r="EH388" s="72"/>
      <c r="EI388" s="72">
        <v>1606</v>
      </c>
    </row>
    <row r="389" spans="71:139" x14ac:dyDescent="0.35">
      <c r="BS389" s="486">
        <v>93012</v>
      </c>
      <c r="BT389" s="479" t="s">
        <v>959</v>
      </c>
      <c r="BU389" s="479">
        <v>2</v>
      </c>
      <c r="BV389" s="476" t="s">
        <v>1187</v>
      </c>
      <c r="BW389" s="476" t="s">
        <v>1187</v>
      </c>
      <c r="BX389" s="476" t="s">
        <v>1187</v>
      </c>
      <c r="BY389" s="476" t="s">
        <v>1187</v>
      </c>
      <c r="BZ389" s="476" t="s">
        <v>1187</v>
      </c>
      <c r="CA389" s="476" t="s">
        <v>1187</v>
      </c>
      <c r="CB389" s="476" t="s">
        <v>1187</v>
      </c>
      <c r="CC389" s="476" t="s">
        <v>1187</v>
      </c>
      <c r="CD389" s="476" t="s">
        <v>1187</v>
      </c>
      <c r="CE389" s="476" t="s">
        <v>1187</v>
      </c>
      <c r="CF389" s="476" t="s">
        <v>1187</v>
      </c>
      <c r="CG389" s="476" t="s">
        <v>1187</v>
      </c>
      <c r="CH389" s="476" t="s">
        <v>1187</v>
      </c>
      <c r="CI389" s="476" t="s">
        <v>1187</v>
      </c>
      <c r="CJ389" s="476" t="s">
        <v>1187</v>
      </c>
      <c r="CK389" s="476" t="s">
        <v>1187</v>
      </c>
      <c r="CL389" s="476" t="s">
        <v>1188</v>
      </c>
      <c r="CM389" s="476" t="str">
        <f>IF(VLOOKUP(BS389,'Données par municipalité'!$B$6:$E$1113,4,FALSE)="","non","oui")</f>
        <v>oui</v>
      </c>
      <c r="CN389" s="410" t="s">
        <v>1124</v>
      </c>
      <c r="CO389" s="410" t="s">
        <v>1124</v>
      </c>
      <c r="CP389" s="410"/>
      <c r="CQ389" s="410"/>
      <c r="CR389" s="410"/>
      <c r="CS389" s="410" t="s">
        <v>1124</v>
      </c>
      <c r="CT389" s="410"/>
      <c r="CU389" s="410">
        <v>458</v>
      </c>
      <c r="CV389" s="410">
        <f>IF(VLOOKUP(BS389,'Données par municipalité'!$B$6:$F$1113,4,FALSE)="","",VLOOKUP(BS389,'Données par municipalité'!$B$6:$F$1113,4,FALSE))</f>
        <v>471</v>
      </c>
      <c r="CW389" s="476" t="s">
        <v>4723</v>
      </c>
      <c r="CX389" s="483" t="s">
        <v>1124</v>
      </c>
      <c r="CY389" s="483" t="s">
        <v>1124</v>
      </c>
      <c r="CZ389" s="483" t="s">
        <v>1124</v>
      </c>
      <c r="DA389" s="483" t="s">
        <v>1124</v>
      </c>
      <c r="DB389" s="483" t="s">
        <v>1124</v>
      </c>
      <c r="DC389" s="483" t="s">
        <v>1124</v>
      </c>
      <c r="DD389" s="483">
        <v>0</v>
      </c>
      <c r="DE389" s="483">
        <f>IFERROR(SUM(VLOOKUP($BS389,'État &amp; Plan d''action'!$B$6:$Z$1113,18,FALSE),VLOOKUP($BS389,'État &amp; Plan d''action'!$B$6:$Z$1113,20,FALSE))/(VLOOKUP($BS389,'Données par municipalité'!$B$4:$L$1113,11,FALSE)),"")</f>
        <v>0</v>
      </c>
      <c r="DF389" s="483">
        <f>IFERROR(SUM(VLOOKUP($BS389,'État &amp; Plan d''action'!$B$6:$Z$1113,19,FALSE),VLOOKUP($BS389,'État &amp; Plan d''action'!$B$6:$Z$1113,21,FALSE))/(VLOOKUP($BS389,'Données par municipalité'!$B$4:$L$1113,11,FALSE)),"")</f>
        <v>2</v>
      </c>
      <c r="DG389" s="476" t="s">
        <v>4723</v>
      </c>
      <c r="DH389" s="484">
        <v>0</v>
      </c>
      <c r="DI389" s="484" t="s">
        <v>1124</v>
      </c>
      <c r="DJ389" s="484">
        <v>0</v>
      </c>
      <c r="DK389" s="484">
        <v>3</v>
      </c>
      <c r="DL389" s="484" t="s">
        <v>1124</v>
      </c>
      <c r="DM389" s="484" t="s">
        <v>1124</v>
      </c>
      <c r="DN389" s="484">
        <v>2</v>
      </c>
      <c r="DO389" s="484">
        <v>6</v>
      </c>
      <c r="DP389" s="484">
        <v>0</v>
      </c>
      <c r="DQ389" s="484">
        <f>IF(VLOOKUP($BS389,'État &amp; Plan d''action'!$B$6:$AJ$1113,28,FALSE)="","",VLOOKUP($BS389,'État &amp; Plan d''action'!$B$6:$AJ$1113,28,FALSE))</f>
        <v>6</v>
      </c>
      <c r="DR389" s="70">
        <f>IF(VLOOKUP($BS389,'État &amp; Plan d''action'!$B$6:$AJ$1113,29,FALSE)="","",VLOOKUP($BS389,'État &amp; Plan d''action'!$B$6:$AJ$1113,29,FALSE))</f>
        <v>0</v>
      </c>
      <c r="DS389" s="70">
        <f>IF(VLOOKUP($BS389,'État &amp; Plan d''action'!$B$6:$AJ$1113,30,FALSE)="","",VLOOKUP($BS389,'État &amp; Plan d''action'!$B$6:$AJ$1113,30,FALSE))</f>
        <v>1</v>
      </c>
      <c r="DT389" s="70">
        <v>293</v>
      </c>
      <c r="DU389" s="485">
        <v>1.7085621244479108</v>
      </c>
      <c r="DV389" s="485">
        <v>2.504491206899929</v>
      </c>
      <c r="DW389" s="70">
        <v>1</v>
      </c>
      <c r="DX389" s="70">
        <v>2</v>
      </c>
      <c r="DY389" s="70">
        <v>0</v>
      </c>
      <c r="DZ389" s="70">
        <f>VLOOKUP($BS389,'État &amp; Plan d''action'!$B$6:$AH$1113,31,FALSE)</f>
        <v>1</v>
      </c>
      <c r="EA389" s="70">
        <f>VLOOKUP($BS389,'État &amp; Plan d''action'!$B$6:$AH$1113,32,FALSE)</f>
        <v>0</v>
      </c>
      <c r="EB389" s="70">
        <f>VLOOKUP($BS389,'État &amp; Plan d''action'!$B$6:$AH$1113,33,FALSE)</f>
        <v>2</v>
      </c>
      <c r="EC389" s="70">
        <v>0</v>
      </c>
      <c r="ED389" s="70">
        <v>0</v>
      </c>
      <c r="EE389" s="70">
        <v>0</v>
      </c>
      <c r="EF389" s="70">
        <v>0</v>
      </c>
      <c r="EG389" s="70">
        <v>0</v>
      </c>
      <c r="EH389" s="72">
        <v>60</v>
      </c>
      <c r="EI389" s="72">
        <v>3928</v>
      </c>
    </row>
    <row r="390" spans="71:139" x14ac:dyDescent="0.35">
      <c r="BS390" s="486">
        <v>9048</v>
      </c>
      <c r="BT390" s="479" t="s">
        <v>1105</v>
      </c>
      <c r="BU390" s="479">
        <v>1</v>
      </c>
      <c r="BV390" s="476" t="s">
        <v>1187</v>
      </c>
      <c r="BW390" s="476" t="s">
        <v>1187</v>
      </c>
      <c r="BX390" s="476" t="s">
        <v>1187</v>
      </c>
      <c r="BY390" s="476" t="s">
        <v>1187</v>
      </c>
      <c r="BZ390" s="476" t="s">
        <v>1187</v>
      </c>
      <c r="CA390" s="476" t="s">
        <v>1187</v>
      </c>
      <c r="CB390" s="476" t="s">
        <v>1187</v>
      </c>
      <c r="CC390" s="476" t="s">
        <v>1187</v>
      </c>
      <c r="CD390" s="476" t="s">
        <v>1187</v>
      </c>
      <c r="CE390" s="476" t="s">
        <v>1187</v>
      </c>
      <c r="CF390" s="476" t="s">
        <v>1187</v>
      </c>
      <c r="CG390" s="476" t="s">
        <v>1187</v>
      </c>
      <c r="CH390" s="476" t="s">
        <v>1187</v>
      </c>
      <c r="CI390" s="476" t="s">
        <v>1187</v>
      </c>
      <c r="CJ390" s="476" t="s">
        <v>1188</v>
      </c>
      <c r="CK390" s="476" t="s">
        <v>1188</v>
      </c>
      <c r="CL390" s="476" t="s">
        <v>1188</v>
      </c>
      <c r="CM390" s="476" t="str">
        <f>IF(VLOOKUP(BS390,'Données par municipalité'!$B$6:$E$1113,4,FALSE)="","non","oui")</f>
        <v>oui</v>
      </c>
      <c r="CN390" s="410" t="s">
        <v>1124</v>
      </c>
      <c r="CO390" s="410" t="s">
        <v>1124</v>
      </c>
      <c r="CP390" s="410"/>
      <c r="CQ390" s="410"/>
      <c r="CR390" s="410"/>
      <c r="CS390" s="410">
        <v>893.84203431907326</v>
      </c>
      <c r="CT390" s="410">
        <v>1093.7752935966157</v>
      </c>
      <c r="CU390" s="410">
        <v>1011</v>
      </c>
      <c r="CV390" s="410">
        <f>IF(VLOOKUP(BS390,'Données par municipalité'!$B$6:$F$1113,4,FALSE)="","",VLOOKUP(BS390,'Données par municipalité'!$B$6:$F$1113,4,FALSE))</f>
        <v>1079</v>
      </c>
      <c r="CW390" s="476" t="s">
        <v>4723</v>
      </c>
      <c r="CX390" s="483" t="s">
        <v>1124</v>
      </c>
      <c r="CY390" s="483" t="s">
        <v>1124</v>
      </c>
      <c r="CZ390" s="483" t="s">
        <v>1124</v>
      </c>
      <c r="DA390" s="483" t="s">
        <v>1124</v>
      </c>
      <c r="DB390" s="483">
        <v>1</v>
      </c>
      <c r="DC390" s="483">
        <v>1</v>
      </c>
      <c r="DD390" s="483" t="s">
        <v>1124</v>
      </c>
      <c r="DE390" s="483">
        <f>IFERROR(SUM(VLOOKUP($BS390,'État &amp; Plan d''action'!$B$6:$Z$1113,18,FALSE),VLOOKUP($BS390,'État &amp; Plan d''action'!$B$6:$Z$1113,20,FALSE))/(VLOOKUP($BS390,'Données par municipalité'!$B$4:$L$1113,11,FALSE)),"")</f>
        <v>2</v>
      </c>
      <c r="DF390" s="483">
        <f>IFERROR(SUM(VLOOKUP($BS390,'État &amp; Plan d''action'!$B$6:$Z$1113,19,FALSE),VLOOKUP($BS390,'État &amp; Plan d''action'!$B$6:$Z$1113,21,FALSE))/(VLOOKUP($BS390,'Données par municipalité'!$B$4:$L$1113,11,FALSE)),"")</f>
        <v>2</v>
      </c>
      <c r="DG390" s="476" t="s">
        <v>4723</v>
      </c>
      <c r="DH390" s="484" t="s">
        <v>1124</v>
      </c>
      <c r="DI390" s="484" t="s">
        <v>1124</v>
      </c>
      <c r="DJ390" s="484">
        <v>0</v>
      </c>
      <c r="DK390" s="484">
        <v>0</v>
      </c>
      <c r="DL390" s="484">
        <v>6</v>
      </c>
      <c r="DM390" s="484">
        <v>7</v>
      </c>
      <c r="DN390" s="484">
        <v>3</v>
      </c>
      <c r="DO390" s="484">
        <v>0</v>
      </c>
      <c r="DP390" s="484">
        <v>3</v>
      </c>
      <c r="DQ390" s="484">
        <f>IF(VLOOKUP($BS390,'État &amp; Plan d''action'!$B$6:$AJ$1113,28,FALSE)="","",VLOOKUP($BS390,'État &amp; Plan d''action'!$B$6:$AJ$1113,28,FALSE))</f>
        <v>3</v>
      </c>
      <c r="DR390" s="70">
        <f>IF(VLOOKUP($BS390,'État &amp; Plan d''action'!$B$6:$AJ$1113,29,FALSE)="","",VLOOKUP($BS390,'État &amp; Plan d''action'!$B$6:$AJ$1113,29,FALSE))</f>
        <v>0</v>
      </c>
      <c r="DS390" s="70">
        <f>IF(VLOOKUP($BS390,'État &amp; Plan d''action'!$B$6:$AJ$1113,30,FALSE)="","",VLOOKUP($BS390,'État &amp; Plan d''action'!$B$6:$AJ$1113,30,FALSE))</f>
        <v>1</v>
      </c>
      <c r="DT390" s="70">
        <v>296</v>
      </c>
      <c r="DU390" s="485">
        <v>4.6489716734897719</v>
      </c>
      <c r="DV390" s="485">
        <v>6.6019102514935639</v>
      </c>
      <c r="DW390" s="70">
        <v>1</v>
      </c>
      <c r="DX390" s="70">
        <v>0</v>
      </c>
      <c r="DY390" s="70">
        <v>1</v>
      </c>
      <c r="DZ390" s="70">
        <f>VLOOKUP($BS390,'État &amp; Plan d''action'!$B$6:$AH$1113,31,FALSE)</f>
        <v>4</v>
      </c>
      <c r="EA390" s="70">
        <f>VLOOKUP($BS390,'État &amp; Plan d''action'!$B$6:$AH$1113,32,FALSE)</f>
        <v>0</v>
      </c>
      <c r="EB390" s="70">
        <f>VLOOKUP($BS390,'État &amp; Plan d''action'!$B$6:$AH$1113,33,FALSE)</f>
        <v>3</v>
      </c>
      <c r="EC390" s="70">
        <v>0</v>
      </c>
      <c r="ED390" s="70">
        <v>12.590999999999999</v>
      </c>
      <c r="EE390" s="70">
        <v>0</v>
      </c>
      <c r="EF390" s="70">
        <v>0</v>
      </c>
      <c r="EG390" s="70">
        <v>0</v>
      </c>
      <c r="EH390" s="72">
        <v>61</v>
      </c>
      <c r="EI390" s="72">
        <v>541</v>
      </c>
    </row>
    <row r="391" spans="71:139" x14ac:dyDescent="0.35">
      <c r="BS391" s="486">
        <v>30040</v>
      </c>
      <c r="BT391" s="479" t="s">
        <v>224</v>
      </c>
      <c r="BU391" s="479">
        <v>5</v>
      </c>
      <c r="BV391" s="476" t="s">
        <v>1188</v>
      </c>
      <c r="BW391" s="476" t="s">
        <v>1188</v>
      </c>
      <c r="BX391" s="476" t="s">
        <v>1188</v>
      </c>
      <c r="BY391" s="476" t="s">
        <v>1188</v>
      </c>
      <c r="BZ391" s="476" t="s">
        <v>1188</v>
      </c>
      <c r="CA391" s="476" t="s">
        <v>1188</v>
      </c>
      <c r="CB391" s="476" t="s">
        <v>1188</v>
      </c>
      <c r="CC391" s="476" t="s">
        <v>1188</v>
      </c>
      <c r="CD391" s="476" t="s">
        <v>1188</v>
      </c>
      <c r="CE391" s="476" t="s">
        <v>1187</v>
      </c>
      <c r="CF391" s="476" t="s">
        <v>1187</v>
      </c>
      <c r="CG391" s="476" t="s">
        <v>1187</v>
      </c>
      <c r="CH391" s="476" t="s">
        <v>1187</v>
      </c>
      <c r="CI391" s="476" t="s">
        <v>1187</v>
      </c>
      <c r="CJ391" s="476" t="s">
        <v>1187</v>
      </c>
      <c r="CK391" s="476" t="s">
        <v>1187</v>
      </c>
      <c r="CL391" s="476" t="s">
        <v>1187</v>
      </c>
      <c r="CM391" s="476" t="str">
        <f>IF(VLOOKUP(BS391,'Données par municipalité'!$B$6:$E$1113,4,FALSE)="","non","oui")</f>
        <v>non</v>
      </c>
      <c r="CN391" s="410" t="s">
        <v>1124</v>
      </c>
      <c r="CO391" s="410" t="s">
        <v>1124</v>
      </c>
      <c r="CP391" s="410"/>
      <c r="CQ391" s="410"/>
      <c r="CR391" s="410"/>
      <c r="CS391" s="410" t="s">
        <v>1124</v>
      </c>
      <c r="CT391" s="410"/>
      <c r="CU391" s="410" t="s">
        <v>1124</v>
      </c>
      <c r="CV391" s="410" t="str">
        <f>IF(VLOOKUP(BS391,'Données par municipalité'!$B$6:$F$1113,4,FALSE)="","",VLOOKUP(BS391,'Données par municipalité'!$B$6:$F$1113,4,FALSE))</f>
        <v/>
      </c>
      <c r="CW391" s="476" t="s">
        <v>4723</v>
      </c>
      <c r="CX391" s="483" t="s">
        <v>1124</v>
      </c>
      <c r="CY391" s="483" t="s">
        <v>1124</v>
      </c>
      <c r="CZ391" s="483" t="s">
        <v>1124</v>
      </c>
      <c r="DA391" s="483" t="s">
        <v>1124</v>
      </c>
      <c r="DB391" s="483" t="s">
        <v>1124</v>
      </c>
      <c r="DC391" s="483" t="s">
        <v>1124</v>
      </c>
      <c r="DD391" s="483" t="s">
        <v>1124</v>
      </c>
      <c r="DE391" s="483" t="str">
        <f>IFERROR(SUM(VLOOKUP($BS391,'État &amp; Plan d''action'!$B$6:$Z$1113,18,FALSE),VLOOKUP($BS391,'État &amp; Plan d''action'!$B$6:$Z$1113,20,FALSE))/(VLOOKUP($BS391,'Données par municipalité'!$B$4:$L$1113,11,FALSE)),"")</f>
        <v/>
      </c>
      <c r="DF391" s="483" t="str">
        <f>IFERROR(SUM(VLOOKUP($BS391,'État &amp; Plan d''action'!$B$6:$Z$1113,19,FALSE),VLOOKUP($BS391,'État &amp; Plan d''action'!$B$6:$Z$1113,21,FALSE))/(VLOOKUP($BS391,'Données par municipalité'!$B$4:$L$1113,11,FALSE)),"")</f>
        <v/>
      </c>
      <c r="DG391" s="476" t="s">
        <v>4723</v>
      </c>
      <c r="DH391" s="484" t="s">
        <v>1124</v>
      </c>
      <c r="DI391" s="484" t="s">
        <v>1124</v>
      </c>
      <c r="DJ391" s="484">
        <v>0</v>
      </c>
      <c r="DK391" s="484">
        <v>0</v>
      </c>
      <c r="DL391" s="484" t="s">
        <v>1124</v>
      </c>
      <c r="DM391" s="484" t="s">
        <v>1124</v>
      </c>
      <c r="DN391" s="484" t="s">
        <v>1124</v>
      </c>
      <c r="DO391" s="484" t="s">
        <v>1124</v>
      </c>
      <c r="DP391" s="484" t="s">
        <v>1124</v>
      </c>
      <c r="DQ391" s="484" t="str">
        <f>IF(VLOOKUP($BS391,'État &amp; Plan d''action'!$B$6:$AJ$1113,28,FALSE)="","",VLOOKUP($BS391,'État &amp; Plan d''action'!$B$6:$AJ$1113,28,FALSE))</f>
        <v/>
      </c>
      <c r="DR391" s="70" t="str">
        <f>IF(VLOOKUP($BS391,'État &amp; Plan d''action'!$B$6:$AJ$1113,29,FALSE)="","",VLOOKUP($BS391,'État &amp; Plan d''action'!$B$6:$AJ$1113,29,FALSE))</f>
        <v/>
      </c>
      <c r="DS391" s="70" t="str">
        <f>IF(VLOOKUP($BS391,'État &amp; Plan d''action'!$B$6:$AJ$1113,30,FALSE)="","",VLOOKUP($BS391,'État &amp; Plan d''action'!$B$6:$AJ$1113,30,FALSE))</f>
        <v/>
      </c>
      <c r="DT391" s="70" t="s">
        <v>1124</v>
      </c>
      <c r="DU391" s="485" t="s">
        <v>1124</v>
      </c>
      <c r="DV391" s="485" t="s">
        <v>1124</v>
      </c>
      <c r="DW391" s="70" t="s">
        <v>1124</v>
      </c>
      <c r="DX391" s="70" t="s">
        <v>1124</v>
      </c>
      <c r="DY391" s="70" t="s">
        <v>1124</v>
      </c>
      <c r="DZ391" s="70" t="str">
        <f>VLOOKUP($BS391,'État &amp; Plan d''action'!$B$6:$AH$1113,31,FALSE)</f>
        <v/>
      </c>
      <c r="EA391" s="70" t="str">
        <f>VLOOKUP($BS391,'État &amp; Plan d''action'!$B$6:$AH$1113,32,FALSE)</f>
        <v/>
      </c>
      <c r="EB391" s="70" t="str">
        <f>VLOOKUP($BS391,'État &amp; Plan d''action'!$B$6:$AH$1113,33,FALSE)</f>
        <v/>
      </c>
      <c r="EC391" s="70" t="s">
        <v>1124</v>
      </c>
      <c r="ED391" s="70" t="s">
        <v>1124</v>
      </c>
      <c r="EE391" s="70" t="s">
        <v>1124</v>
      </c>
      <c r="EF391" s="70" t="s">
        <v>1124</v>
      </c>
      <c r="EG391" s="70" t="s">
        <v>1124</v>
      </c>
      <c r="EH391" s="72"/>
      <c r="EI391" s="72">
        <v>303</v>
      </c>
    </row>
    <row r="392" spans="71:139" x14ac:dyDescent="0.35">
      <c r="BS392" s="486">
        <v>76030</v>
      </c>
      <c r="BT392" s="479" t="s">
        <v>750</v>
      </c>
      <c r="BU392" s="479">
        <v>15</v>
      </c>
      <c r="BV392" s="476" t="s">
        <v>1188</v>
      </c>
      <c r="BW392" s="476" t="s">
        <v>1188</v>
      </c>
      <c r="BX392" s="476" t="s">
        <v>1188</v>
      </c>
      <c r="BY392" s="476" t="s">
        <v>1188</v>
      </c>
      <c r="BZ392" s="476" t="s">
        <v>1188</v>
      </c>
      <c r="CA392" s="476" t="s">
        <v>1188</v>
      </c>
      <c r="CB392" s="476" t="s">
        <v>1188</v>
      </c>
      <c r="CC392" s="476" t="s">
        <v>1188</v>
      </c>
      <c r="CD392" s="476" t="s">
        <v>1188</v>
      </c>
      <c r="CE392" s="476" t="s">
        <v>1187</v>
      </c>
      <c r="CF392" s="476" t="s">
        <v>1187</v>
      </c>
      <c r="CG392" s="476" t="s">
        <v>1187</v>
      </c>
      <c r="CH392" s="476" t="s">
        <v>1187</v>
      </c>
      <c r="CI392" s="476" t="s">
        <v>1187</v>
      </c>
      <c r="CJ392" s="476" t="s">
        <v>1187</v>
      </c>
      <c r="CK392" s="476" t="s">
        <v>1187</v>
      </c>
      <c r="CL392" s="476" t="s">
        <v>1187</v>
      </c>
      <c r="CM392" s="476" t="str">
        <f>IF(VLOOKUP(BS392,'Données par municipalité'!$B$6:$E$1113,4,FALSE)="","non","oui")</f>
        <v>non</v>
      </c>
      <c r="CN392" s="410" t="s">
        <v>1124</v>
      </c>
      <c r="CO392" s="410" t="s">
        <v>1124</v>
      </c>
      <c r="CP392" s="410"/>
      <c r="CQ392" s="410"/>
      <c r="CR392" s="410"/>
      <c r="CS392" s="410" t="s">
        <v>1124</v>
      </c>
      <c r="CT392" s="410"/>
      <c r="CU392" s="410" t="s">
        <v>1124</v>
      </c>
      <c r="CV392" s="410" t="str">
        <f>IF(VLOOKUP(BS392,'Données par municipalité'!$B$6:$F$1113,4,FALSE)="","",VLOOKUP(BS392,'Données par municipalité'!$B$6:$F$1113,4,FALSE))</f>
        <v/>
      </c>
      <c r="CW392" s="476" t="s">
        <v>4723</v>
      </c>
      <c r="CX392" s="483" t="s">
        <v>1124</v>
      </c>
      <c r="CY392" s="483" t="s">
        <v>1124</v>
      </c>
      <c r="CZ392" s="483" t="s">
        <v>1124</v>
      </c>
      <c r="DA392" s="483" t="s">
        <v>1124</v>
      </c>
      <c r="DB392" s="483" t="s">
        <v>1124</v>
      </c>
      <c r="DC392" s="483" t="s">
        <v>1124</v>
      </c>
      <c r="DD392" s="483" t="s">
        <v>1124</v>
      </c>
      <c r="DE392" s="483" t="str">
        <f>IFERROR(SUM(VLOOKUP($BS392,'État &amp; Plan d''action'!$B$6:$Z$1113,18,FALSE),VLOOKUP($BS392,'État &amp; Plan d''action'!$B$6:$Z$1113,20,FALSE))/(VLOOKUP($BS392,'Données par municipalité'!$B$4:$L$1113,11,FALSE)),"")</f>
        <v/>
      </c>
      <c r="DF392" s="483" t="str">
        <f>IFERROR(SUM(VLOOKUP($BS392,'État &amp; Plan d''action'!$B$6:$Z$1113,19,FALSE),VLOOKUP($BS392,'État &amp; Plan d''action'!$B$6:$Z$1113,21,FALSE))/(VLOOKUP($BS392,'Données par municipalité'!$B$4:$L$1113,11,FALSE)),"")</f>
        <v/>
      </c>
      <c r="DG392" s="476" t="s">
        <v>4723</v>
      </c>
      <c r="DH392" s="484" t="s">
        <v>1124</v>
      </c>
      <c r="DI392" s="484" t="s">
        <v>1124</v>
      </c>
      <c r="DJ392" s="484">
        <v>0</v>
      </c>
      <c r="DK392" s="484">
        <v>0</v>
      </c>
      <c r="DL392" s="484" t="s">
        <v>1124</v>
      </c>
      <c r="DM392" s="484" t="s">
        <v>1124</v>
      </c>
      <c r="DN392" s="484" t="s">
        <v>1124</v>
      </c>
      <c r="DO392" s="484" t="s">
        <v>1124</v>
      </c>
      <c r="DP392" s="484" t="s">
        <v>1124</v>
      </c>
      <c r="DQ392" s="484" t="str">
        <f>IF(VLOOKUP($BS392,'État &amp; Plan d''action'!$B$6:$AJ$1113,28,FALSE)="","",VLOOKUP($BS392,'État &amp; Plan d''action'!$B$6:$AJ$1113,28,FALSE))</f>
        <v/>
      </c>
      <c r="DR392" s="70" t="str">
        <f>IF(VLOOKUP($BS392,'État &amp; Plan d''action'!$B$6:$AJ$1113,29,FALSE)="","",VLOOKUP($BS392,'État &amp; Plan d''action'!$B$6:$AJ$1113,29,FALSE))</f>
        <v/>
      </c>
      <c r="DS392" s="70" t="str">
        <f>IF(VLOOKUP($BS392,'État &amp; Plan d''action'!$B$6:$AJ$1113,30,FALSE)="","",VLOOKUP($BS392,'État &amp; Plan d''action'!$B$6:$AJ$1113,30,FALSE))</f>
        <v/>
      </c>
      <c r="DT392" s="70" t="s">
        <v>1124</v>
      </c>
      <c r="DU392" s="485" t="s">
        <v>1124</v>
      </c>
      <c r="DV392" s="485" t="s">
        <v>1124</v>
      </c>
      <c r="DW392" s="70" t="s">
        <v>1124</v>
      </c>
      <c r="DX392" s="70" t="s">
        <v>1124</v>
      </c>
      <c r="DY392" s="70" t="s">
        <v>1124</v>
      </c>
      <c r="DZ392" s="70" t="str">
        <f>VLOOKUP($BS392,'État &amp; Plan d''action'!$B$6:$AH$1113,31,FALSE)</f>
        <v/>
      </c>
      <c r="EA392" s="70" t="str">
        <f>VLOOKUP($BS392,'État &amp; Plan d''action'!$B$6:$AH$1113,32,FALSE)</f>
        <v/>
      </c>
      <c r="EB392" s="70" t="str">
        <f>VLOOKUP($BS392,'État &amp; Plan d''action'!$B$6:$AH$1113,33,FALSE)</f>
        <v/>
      </c>
      <c r="EC392" s="70" t="s">
        <v>1124</v>
      </c>
      <c r="ED392" s="70" t="s">
        <v>1124</v>
      </c>
      <c r="EE392" s="70" t="s">
        <v>1124</v>
      </c>
      <c r="EF392" s="70" t="s">
        <v>1124</v>
      </c>
      <c r="EG392" s="70" t="s">
        <v>1124</v>
      </c>
      <c r="EH392" s="72"/>
      <c r="EI392" s="72">
        <v>1644</v>
      </c>
    </row>
    <row r="393" spans="71:139" x14ac:dyDescent="0.35">
      <c r="BS393" s="486">
        <v>74005</v>
      </c>
      <c r="BT393" s="479" t="s">
        <v>741</v>
      </c>
      <c r="BU393" s="479">
        <v>15</v>
      </c>
      <c r="BV393" s="476" t="s">
        <v>1187</v>
      </c>
      <c r="BW393" s="476" t="s">
        <v>1187</v>
      </c>
      <c r="BX393" s="476" t="s">
        <v>1187</v>
      </c>
      <c r="BY393" s="476" t="s">
        <v>1187</v>
      </c>
      <c r="BZ393" s="476" t="s">
        <v>1187</v>
      </c>
      <c r="CA393" s="476" t="s">
        <v>1187</v>
      </c>
      <c r="CB393" s="476" t="s">
        <v>1187</v>
      </c>
      <c r="CC393" s="476" t="s">
        <v>1187</v>
      </c>
      <c r="CD393" s="476" t="s">
        <v>1187</v>
      </c>
      <c r="CE393" s="476" t="s">
        <v>1188</v>
      </c>
      <c r="CF393" s="476" t="s">
        <v>1188</v>
      </c>
      <c r="CG393" s="476" t="s">
        <v>1188</v>
      </c>
      <c r="CH393" s="476" t="s">
        <v>1188</v>
      </c>
      <c r="CI393" s="476" t="s">
        <v>1188</v>
      </c>
      <c r="CJ393" s="476" t="s">
        <v>1188</v>
      </c>
      <c r="CK393" s="476" t="s">
        <v>1188</v>
      </c>
      <c r="CL393" s="476" t="s">
        <v>1188</v>
      </c>
      <c r="CM393" s="476" t="str">
        <f>IF(VLOOKUP(BS393,'Données par municipalité'!$B$6:$E$1113,4,FALSE)="","non","oui")</f>
        <v>oui</v>
      </c>
      <c r="CN393" s="410">
        <v>221.41401977018413</v>
      </c>
      <c r="CO393" s="410">
        <v>237.15325938245161</v>
      </c>
      <c r="CP393" s="410">
        <v>251.37866501400751</v>
      </c>
      <c r="CQ393" s="410">
        <v>243.72112998930635</v>
      </c>
      <c r="CR393" s="410">
        <v>230.6108372213626</v>
      </c>
      <c r="CS393" s="410">
        <v>314.38476282729232</v>
      </c>
      <c r="CT393" s="410">
        <v>266</v>
      </c>
      <c r="CU393" s="410">
        <v>289</v>
      </c>
      <c r="CV393" s="410">
        <f>IF(VLOOKUP(BS393,'Données par municipalité'!$B$6:$F$1113,4,FALSE)="","",VLOOKUP(BS393,'Données par municipalité'!$B$6:$F$1113,4,FALSE))</f>
        <v>270</v>
      </c>
      <c r="CW393" s="476" t="s">
        <v>4723</v>
      </c>
      <c r="CX393" s="483">
        <v>0.1</v>
      </c>
      <c r="CY393" s="483">
        <v>0</v>
      </c>
      <c r="CZ393" s="483">
        <v>0.01</v>
      </c>
      <c r="DA393" s="483">
        <v>0.2</v>
      </c>
      <c r="DB393" s="483">
        <v>0.22</v>
      </c>
      <c r="DC393" s="483">
        <v>0.3</v>
      </c>
      <c r="DD393" s="483">
        <v>0.29999923900553244</v>
      </c>
      <c r="DE393" s="483">
        <f>IFERROR(SUM(VLOOKUP($BS393,'État &amp; Plan d''action'!$B$6:$Z$1113,18,FALSE),VLOOKUP($BS393,'État &amp; Plan d''action'!$B$6:$Z$1113,20,FALSE))/(VLOOKUP($BS393,'Données par municipalité'!$B$4:$L$1113,11,FALSE)),"")</f>
        <v>0</v>
      </c>
      <c r="DF393" s="483">
        <f>IFERROR(SUM(VLOOKUP($BS393,'État &amp; Plan d''action'!$B$6:$Z$1113,19,FALSE),VLOOKUP($BS393,'État &amp; Plan d''action'!$B$6:$Z$1113,21,FALSE))/(VLOOKUP($BS393,'Données par municipalité'!$B$4:$L$1113,11,FALSE)),"")</f>
        <v>0.33569500422483606</v>
      </c>
      <c r="DG393" s="476" t="s">
        <v>4723</v>
      </c>
      <c r="DH393" s="484">
        <v>23</v>
      </c>
      <c r="DI393" s="484">
        <v>22</v>
      </c>
      <c r="DJ393" s="484">
        <v>18</v>
      </c>
      <c r="DK393" s="484">
        <v>19</v>
      </c>
      <c r="DL393" s="484">
        <v>16</v>
      </c>
      <c r="DM393" s="484">
        <v>15</v>
      </c>
      <c r="DN393" s="484">
        <v>19</v>
      </c>
      <c r="DO393" s="484">
        <v>4</v>
      </c>
      <c r="DP393" s="484">
        <v>2</v>
      </c>
      <c r="DQ393" s="484">
        <f>IF(VLOOKUP($BS393,'État &amp; Plan d''action'!$B$6:$AJ$1113,28,FALSE)="","",VLOOKUP($BS393,'État &amp; Plan d''action'!$B$6:$AJ$1113,28,FALSE))</f>
        <v>28</v>
      </c>
      <c r="DR393" s="70">
        <f>IF(VLOOKUP($BS393,'État &amp; Plan d''action'!$B$6:$AJ$1113,29,FALSE)="","",VLOOKUP($BS393,'État &amp; Plan d''action'!$B$6:$AJ$1113,29,FALSE))</f>
        <v>7</v>
      </c>
      <c r="DS393" s="70">
        <f>IF(VLOOKUP($BS393,'État &amp; Plan d''action'!$B$6:$AJ$1113,30,FALSE)="","",VLOOKUP($BS393,'État &amp; Plan d''action'!$B$6:$AJ$1113,30,FALSE))</f>
        <v>0</v>
      </c>
      <c r="DT393" s="70">
        <v>190</v>
      </c>
      <c r="DU393" s="485">
        <v>1.227735321058993</v>
      </c>
      <c r="DV393" s="485">
        <v>2.0466689691830577</v>
      </c>
      <c r="DW393" s="70">
        <v>2</v>
      </c>
      <c r="DX393" s="70">
        <v>2</v>
      </c>
      <c r="DY393" s="70">
        <v>7</v>
      </c>
      <c r="DZ393" s="70">
        <f>VLOOKUP($BS393,'État &amp; Plan d''action'!$B$6:$AH$1113,31,FALSE)</f>
        <v>2</v>
      </c>
      <c r="EA393" s="70">
        <f>VLOOKUP($BS393,'État &amp; Plan d''action'!$B$6:$AH$1113,32,FALSE)</f>
        <v>2</v>
      </c>
      <c r="EB393" s="70">
        <f>VLOOKUP($BS393,'État &amp; Plan d''action'!$B$6:$AH$1113,33,FALSE)</f>
        <v>0</v>
      </c>
      <c r="EC393" s="70">
        <v>0</v>
      </c>
      <c r="ED393" s="70">
        <v>0</v>
      </c>
      <c r="EE393" s="70">
        <v>78.843999999999994</v>
      </c>
      <c r="EF393" s="70">
        <v>0</v>
      </c>
      <c r="EG393" s="70">
        <v>0</v>
      </c>
      <c r="EH393" s="72">
        <v>59.555555555555557</v>
      </c>
      <c r="EI393" s="72">
        <v>55020</v>
      </c>
    </row>
    <row r="394" spans="71:139" x14ac:dyDescent="0.35">
      <c r="BS394" s="486">
        <v>85075</v>
      </c>
      <c r="BT394" s="479" t="s">
        <v>883</v>
      </c>
      <c r="BU394" s="479">
        <v>8</v>
      </c>
      <c r="BV394" s="476" t="s">
        <v>1188</v>
      </c>
      <c r="BW394" s="476" t="s">
        <v>1188</v>
      </c>
      <c r="BX394" s="476" t="s">
        <v>1188</v>
      </c>
      <c r="BY394" s="476" t="s">
        <v>1188</v>
      </c>
      <c r="BZ394" s="476" t="s">
        <v>1188</v>
      </c>
      <c r="CA394" s="476" t="s">
        <v>1188</v>
      </c>
      <c r="CB394" s="476" t="s">
        <v>1188</v>
      </c>
      <c r="CC394" s="476" t="s">
        <v>1188</v>
      </c>
      <c r="CD394" s="476" t="s">
        <v>1188</v>
      </c>
      <c r="CE394" s="476" t="s">
        <v>1188</v>
      </c>
      <c r="CF394" s="476" t="s">
        <v>1188</v>
      </c>
      <c r="CG394" s="476" t="s">
        <v>1187</v>
      </c>
      <c r="CH394" s="476" t="s">
        <v>1187</v>
      </c>
      <c r="CI394" s="476" t="s">
        <v>1187</v>
      </c>
      <c r="CJ394" s="476" t="s">
        <v>1187</v>
      </c>
      <c r="CK394" s="476" t="s">
        <v>1187</v>
      </c>
      <c r="CL394" s="476" t="s">
        <v>1187</v>
      </c>
      <c r="CM394" s="476" t="str">
        <f>IF(VLOOKUP(BS394,'Données par municipalité'!$B$6:$E$1113,4,FALSE)="","non","oui")</f>
        <v>non</v>
      </c>
      <c r="CN394" s="410">
        <v>1522.6170394363185</v>
      </c>
      <c r="CO394" s="410">
        <v>4590.0405269990761</v>
      </c>
      <c r="CP394" s="410"/>
      <c r="CQ394" s="410"/>
      <c r="CR394" s="410"/>
      <c r="CS394" s="410" t="s">
        <v>1124</v>
      </c>
      <c r="CT394" s="410"/>
      <c r="CU394" s="410" t="s">
        <v>1124</v>
      </c>
      <c r="CV394" s="410" t="str">
        <f>IF(VLOOKUP(BS394,'Données par municipalité'!$B$6:$F$1113,4,FALSE)="","",VLOOKUP(BS394,'Données par municipalité'!$B$6:$F$1113,4,FALSE))</f>
        <v/>
      </c>
      <c r="CW394" s="476" t="s">
        <v>4723</v>
      </c>
      <c r="CX394" s="483" t="s">
        <v>1124</v>
      </c>
      <c r="CY394" s="483" t="s">
        <v>1124</v>
      </c>
      <c r="CZ394" s="483" t="s">
        <v>1124</v>
      </c>
      <c r="DA394" s="483" t="s">
        <v>1124</v>
      </c>
      <c r="DB394" s="483" t="s">
        <v>1124</v>
      </c>
      <c r="DC394" s="483" t="s">
        <v>1124</v>
      </c>
      <c r="DD394" s="483" t="s">
        <v>1124</v>
      </c>
      <c r="DE394" s="483" t="str">
        <f>IFERROR(SUM(VLOOKUP($BS394,'État &amp; Plan d''action'!$B$6:$Z$1113,18,FALSE),VLOOKUP($BS394,'État &amp; Plan d''action'!$B$6:$Z$1113,20,FALSE))/(VLOOKUP($BS394,'Données par municipalité'!$B$4:$L$1113,11,FALSE)),"")</f>
        <v/>
      </c>
      <c r="DF394" s="483" t="str">
        <f>IFERROR(SUM(VLOOKUP($BS394,'État &amp; Plan d''action'!$B$6:$Z$1113,19,FALSE),VLOOKUP($BS394,'État &amp; Plan d''action'!$B$6:$Z$1113,21,FALSE))/(VLOOKUP($BS394,'Données par municipalité'!$B$4:$L$1113,11,FALSE)),"")</f>
        <v/>
      </c>
      <c r="DG394" s="476" t="s">
        <v>4723</v>
      </c>
      <c r="DH394" s="484" t="s">
        <v>1124</v>
      </c>
      <c r="DI394" s="484" t="s">
        <v>1124</v>
      </c>
      <c r="DJ394" s="484">
        <v>0</v>
      </c>
      <c r="DK394" s="484">
        <v>0</v>
      </c>
      <c r="DL394" s="484" t="s">
        <v>1124</v>
      </c>
      <c r="DM394" s="484" t="s">
        <v>1124</v>
      </c>
      <c r="DN394" s="484" t="s">
        <v>1124</v>
      </c>
      <c r="DO394" s="484" t="s">
        <v>1124</v>
      </c>
      <c r="DP394" s="484" t="s">
        <v>1124</v>
      </c>
      <c r="DQ394" s="484" t="str">
        <f>IF(VLOOKUP($BS394,'État &amp; Plan d''action'!$B$6:$AJ$1113,28,FALSE)="","",VLOOKUP($BS394,'État &amp; Plan d''action'!$B$6:$AJ$1113,28,FALSE))</f>
        <v/>
      </c>
      <c r="DR394" s="70" t="str">
        <f>IF(VLOOKUP($BS394,'État &amp; Plan d''action'!$B$6:$AJ$1113,29,FALSE)="","",VLOOKUP($BS394,'État &amp; Plan d''action'!$B$6:$AJ$1113,29,FALSE))</f>
        <v/>
      </c>
      <c r="DS394" s="70" t="str">
        <f>IF(VLOOKUP($BS394,'État &amp; Plan d''action'!$B$6:$AJ$1113,30,FALSE)="","",VLOOKUP($BS394,'État &amp; Plan d''action'!$B$6:$AJ$1113,30,FALSE))</f>
        <v/>
      </c>
      <c r="DT394" s="70" t="s">
        <v>1124</v>
      </c>
      <c r="DU394" s="485" t="s">
        <v>1124</v>
      </c>
      <c r="DV394" s="485" t="s">
        <v>1124</v>
      </c>
      <c r="DW394" s="70" t="s">
        <v>1124</v>
      </c>
      <c r="DX394" s="70" t="s">
        <v>1124</v>
      </c>
      <c r="DY394" s="70" t="s">
        <v>1124</v>
      </c>
      <c r="DZ394" s="70" t="str">
        <f>VLOOKUP($BS394,'État &amp; Plan d''action'!$B$6:$AH$1113,31,FALSE)</f>
        <v/>
      </c>
      <c r="EA394" s="70" t="str">
        <f>VLOOKUP($BS394,'État &amp; Plan d''action'!$B$6:$AH$1113,32,FALSE)</f>
        <v/>
      </c>
      <c r="EB394" s="70" t="str">
        <f>VLOOKUP($BS394,'État &amp; Plan d''action'!$B$6:$AH$1113,33,FALSE)</f>
        <v/>
      </c>
      <c r="EC394" s="70" t="s">
        <v>1124</v>
      </c>
      <c r="ED394" s="70" t="s">
        <v>1124</v>
      </c>
      <c r="EE394" s="70" t="s">
        <v>1124</v>
      </c>
      <c r="EF394" s="70" t="s">
        <v>1124</v>
      </c>
      <c r="EG394" s="70" t="s">
        <v>1124</v>
      </c>
      <c r="EH394" s="72"/>
      <c r="EI394" s="72">
        <v>200</v>
      </c>
    </row>
    <row r="395" spans="71:139" x14ac:dyDescent="0.35">
      <c r="BS395" s="486">
        <v>78055</v>
      </c>
      <c r="BT395" s="479" t="s">
        <v>774</v>
      </c>
      <c r="BU395" s="479">
        <v>15</v>
      </c>
      <c r="BV395" s="476" t="s">
        <v>1188</v>
      </c>
      <c r="BW395" s="476" t="s">
        <v>1188</v>
      </c>
      <c r="BX395" s="476" t="s">
        <v>1188</v>
      </c>
      <c r="BY395" s="476" t="s">
        <v>1188</v>
      </c>
      <c r="BZ395" s="476" t="s">
        <v>1188</v>
      </c>
      <c r="CA395" s="476" t="s">
        <v>1188</v>
      </c>
      <c r="CB395" s="476" t="s">
        <v>1188</v>
      </c>
      <c r="CC395" s="476" t="s">
        <v>1188</v>
      </c>
      <c r="CD395" s="476" t="s">
        <v>1188</v>
      </c>
      <c r="CE395" s="476" t="s">
        <v>1187</v>
      </c>
      <c r="CF395" s="476" t="s">
        <v>1187</v>
      </c>
      <c r="CG395" s="476" t="s">
        <v>1187</v>
      </c>
      <c r="CH395" s="476" t="s">
        <v>1187</v>
      </c>
      <c r="CI395" s="476" t="s">
        <v>1187</v>
      </c>
      <c r="CJ395" s="476" t="s">
        <v>1187</v>
      </c>
      <c r="CK395" s="476" t="s">
        <v>1187</v>
      </c>
      <c r="CL395" s="476" t="s">
        <v>1187</v>
      </c>
      <c r="CM395" s="476" t="str">
        <f>IF(VLOOKUP(BS395,'Données par municipalité'!$B$6:$E$1113,4,FALSE)="","non","oui")</f>
        <v>non</v>
      </c>
      <c r="CN395" s="410" t="s">
        <v>1124</v>
      </c>
      <c r="CO395" s="410" t="s">
        <v>1124</v>
      </c>
      <c r="CP395" s="410"/>
      <c r="CQ395" s="410"/>
      <c r="CR395" s="410"/>
      <c r="CS395" s="410" t="s">
        <v>1124</v>
      </c>
      <c r="CT395" s="410"/>
      <c r="CU395" s="410" t="s">
        <v>1124</v>
      </c>
      <c r="CV395" s="410" t="str">
        <f>IF(VLOOKUP(BS395,'Données par municipalité'!$B$6:$F$1113,4,FALSE)="","",VLOOKUP(BS395,'Données par municipalité'!$B$6:$F$1113,4,FALSE))</f>
        <v/>
      </c>
      <c r="CW395" s="476" t="s">
        <v>4723</v>
      </c>
      <c r="CX395" s="483" t="s">
        <v>1124</v>
      </c>
      <c r="CY395" s="483" t="s">
        <v>1124</v>
      </c>
      <c r="CZ395" s="483" t="s">
        <v>1124</v>
      </c>
      <c r="DA395" s="483" t="s">
        <v>1124</v>
      </c>
      <c r="DB395" s="483" t="s">
        <v>1124</v>
      </c>
      <c r="DC395" s="483" t="s">
        <v>1124</v>
      </c>
      <c r="DD395" s="483" t="s">
        <v>1124</v>
      </c>
      <c r="DE395" s="483" t="str">
        <f>IFERROR(SUM(VLOOKUP($BS395,'État &amp; Plan d''action'!$B$6:$Z$1113,18,FALSE),VLOOKUP($BS395,'État &amp; Plan d''action'!$B$6:$Z$1113,20,FALSE))/(VLOOKUP($BS395,'Données par municipalité'!$B$4:$L$1113,11,FALSE)),"")</f>
        <v/>
      </c>
      <c r="DF395" s="483" t="str">
        <f>IFERROR(SUM(VLOOKUP($BS395,'État &amp; Plan d''action'!$B$6:$Z$1113,19,FALSE),VLOOKUP($BS395,'État &amp; Plan d''action'!$B$6:$Z$1113,21,FALSE))/(VLOOKUP($BS395,'Données par municipalité'!$B$4:$L$1113,11,FALSE)),"")</f>
        <v/>
      </c>
      <c r="DG395" s="476" t="s">
        <v>4723</v>
      </c>
      <c r="DH395" s="484" t="s">
        <v>1124</v>
      </c>
      <c r="DI395" s="484" t="s">
        <v>1124</v>
      </c>
      <c r="DJ395" s="484">
        <v>0</v>
      </c>
      <c r="DK395" s="484">
        <v>0</v>
      </c>
      <c r="DL395" s="484" t="s">
        <v>1124</v>
      </c>
      <c r="DM395" s="484" t="s">
        <v>1124</v>
      </c>
      <c r="DN395" s="484" t="s">
        <v>1124</v>
      </c>
      <c r="DO395" s="484" t="s">
        <v>1124</v>
      </c>
      <c r="DP395" s="484" t="s">
        <v>1124</v>
      </c>
      <c r="DQ395" s="484" t="str">
        <f>IF(VLOOKUP($BS395,'État &amp; Plan d''action'!$B$6:$AJ$1113,28,FALSE)="","",VLOOKUP($BS395,'État &amp; Plan d''action'!$B$6:$AJ$1113,28,FALSE))</f>
        <v/>
      </c>
      <c r="DR395" s="70" t="str">
        <f>IF(VLOOKUP($BS395,'État &amp; Plan d''action'!$B$6:$AJ$1113,29,FALSE)="","",VLOOKUP($BS395,'État &amp; Plan d''action'!$B$6:$AJ$1113,29,FALSE))</f>
        <v/>
      </c>
      <c r="DS395" s="70" t="str">
        <f>IF(VLOOKUP($BS395,'État &amp; Plan d''action'!$B$6:$AJ$1113,30,FALSE)="","",VLOOKUP($BS395,'État &amp; Plan d''action'!$B$6:$AJ$1113,30,FALSE))</f>
        <v/>
      </c>
      <c r="DT395" s="70" t="s">
        <v>1124</v>
      </c>
      <c r="DU395" s="485" t="s">
        <v>1124</v>
      </c>
      <c r="DV395" s="485" t="s">
        <v>1124</v>
      </c>
      <c r="DW395" s="70" t="s">
        <v>1124</v>
      </c>
      <c r="DX395" s="70" t="s">
        <v>1124</v>
      </c>
      <c r="DY395" s="70" t="s">
        <v>1124</v>
      </c>
      <c r="DZ395" s="70" t="str">
        <f>VLOOKUP($BS395,'État &amp; Plan d''action'!$B$6:$AH$1113,31,FALSE)</f>
        <v/>
      </c>
      <c r="EA395" s="70" t="str">
        <f>VLOOKUP($BS395,'État &amp; Plan d''action'!$B$6:$AH$1113,32,FALSE)</f>
        <v/>
      </c>
      <c r="EB395" s="70" t="str">
        <f>VLOOKUP($BS395,'État &amp; Plan d''action'!$B$6:$AH$1113,33,FALSE)</f>
        <v/>
      </c>
      <c r="EC395" s="70" t="s">
        <v>1124</v>
      </c>
      <c r="ED395" s="70" t="s">
        <v>1124</v>
      </c>
      <c r="EE395" s="70" t="s">
        <v>1124</v>
      </c>
      <c r="EF395" s="70" t="s">
        <v>1124</v>
      </c>
      <c r="EG395" s="70" t="s">
        <v>1124</v>
      </c>
      <c r="EH395" s="72"/>
      <c r="EI395" s="72">
        <v>641</v>
      </c>
    </row>
    <row r="396" spans="71:139" x14ac:dyDescent="0.35">
      <c r="BS396" s="486">
        <v>14005</v>
      </c>
      <c r="BT396" s="479" t="s">
        <v>60</v>
      </c>
      <c r="BU396" s="479">
        <v>1</v>
      </c>
      <c r="BV396" s="476" t="s">
        <v>1187</v>
      </c>
      <c r="BW396" s="476" t="s">
        <v>1187</v>
      </c>
      <c r="BX396" s="476" t="s">
        <v>1187</v>
      </c>
      <c r="BY396" s="476" t="s">
        <v>1187</v>
      </c>
      <c r="BZ396" s="476" t="s">
        <v>1187</v>
      </c>
      <c r="CA396" s="476" t="s">
        <v>1187</v>
      </c>
      <c r="CB396" s="476" t="s">
        <v>1187</v>
      </c>
      <c r="CC396" s="476" t="s">
        <v>1187</v>
      </c>
      <c r="CD396" s="476" t="s">
        <v>1187</v>
      </c>
      <c r="CE396" s="476" t="s">
        <v>1188</v>
      </c>
      <c r="CF396" s="476" t="s">
        <v>1188</v>
      </c>
      <c r="CG396" s="476" t="s">
        <v>1188</v>
      </c>
      <c r="CH396" s="476" t="s">
        <v>1188</v>
      </c>
      <c r="CI396" s="476" t="s">
        <v>1188</v>
      </c>
      <c r="CJ396" s="476" t="s">
        <v>1188</v>
      </c>
      <c r="CK396" s="476" t="s">
        <v>1188</v>
      </c>
      <c r="CL396" s="476" t="s">
        <v>1188</v>
      </c>
      <c r="CM396" s="476" t="str">
        <f>IF(VLOOKUP(BS396,'Données par municipalité'!$B$6:$E$1113,4,FALSE)="","non","oui")</f>
        <v>oui</v>
      </c>
      <c r="CN396" s="410">
        <v>439.31731984829332</v>
      </c>
      <c r="CO396" s="410">
        <v>316.55640950437208</v>
      </c>
      <c r="CP396" s="410">
        <v>349.38877407614422</v>
      </c>
      <c r="CQ396" s="410">
        <v>423.94559161555964</v>
      </c>
      <c r="CR396" s="410">
        <v>331.40906820431223</v>
      </c>
      <c r="CS396" s="410">
        <v>328.89575025845517</v>
      </c>
      <c r="CT396" s="410">
        <v>352.31783746755258</v>
      </c>
      <c r="CU396" s="410">
        <v>365</v>
      </c>
      <c r="CV396" s="410">
        <f>IF(VLOOKUP(BS396,'Données par municipalité'!$B$6:$F$1113,4,FALSE)="","",VLOOKUP(BS396,'Données par municipalité'!$B$6:$F$1113,4,FALSE))</f>
        <v>357</v>
      </c>
      <c r="CW396" s="476" t="s">
        <v>4723</v>
      </c>
      <c r="CX396" s="483">
        <v>0</v>
      </c>
      <c r="CY396" s="483">
        <v>0</v>
      </c>
      <c r="CZ396" s="483">
        <v>0.95</v>
      </c>
      <c r="DA396" s="483">
        <v>0</v>
      </c>
      <c r="DB396" s="483">
        <v>0</v>
      </c>
      <c r="DC396" s="483">
        <v>0</v>
      </c>
      <c r="DD396" s="483">
        <v>0</v>
      </c>
      <c r="DE396" s="483">
        <f>IFERROR(SUM(VLOOKUP($BS396,'État &amp; Plan d''action'!$B$6:$Z$1113,18,FALSE),VLOOKUP($BS396,'État &amp; Plan d''action'!$B$6:$Z$1113,20,FALSE))/(VLOOKUP($BS396,'Données par municipalité'!$B$4:$L$1113,11,FALSE)),"")</f>
        <v>0</v>
      </c>
      <c r="DF396" s="483">
        <f>IFERROR(SUM(VLOOKUP($BS396,'État &amp; Plan d''action'!$B$6:$Z$1113,19,FALSE),VLOOKUP($BS396,'État &amp; Plan d''action'!$B$6:$Z$1113,21,FALSE))/(VLOOKUP($BS396,'Données par municipalité'!$B$4:$L$1113,11,FALSE)),"")</f>
        <v>0</v>
      </c>
      <c r="DG396" s="476" t="s">
        <v>4723</v>
      </c>
      <c r="DH396" s="484">
        <v>0</v>
      </c>
      <c r="DI396" s="484">
        <v>0</v>
      </c>
      <c r="DJ396" s="484">
        <v>1</v>
      </c>
      <c r="DK396" s="484">
        <v>0</v>
      </c>
      <c r="DL396" s="484">
        <v>0</v>
      </c>
      <c r="DM396" s="484">
        <v>0</v>
      </c>
      <c r="DN396" s="484">
        <v>0</v>
      </c>
      <c r="DO396" s="484">
        <v>0</v>
      </c>
      <c r="DP396" s="484">
        <v>0</v>
      </c>
      <c r="DQ396" s="484">
        <f>IF(VLOOKUP($BS396,'État &amp; Plan d''action'!$B$6:$AJ$1113,28,FALSE)="","",VLOOKUP($BS396,'État &amp; Plan d''action'!$B$6:$AJ$1113,28,FALSE))</f>
        <v>0</v>
      </c>
      <c r="DR396" s="70">
        <f>IF(VLOOKUP($BS396,'État &amp; Plan d''action'!$B$6:$AJ$1113,29,FALSE)="","",VLOOKUP($BS396,'État &amp; Plan d''action'!$B$6:$AJ$1113,29,FALSE))</f>
        <v>0</v>
      </c>
      <c r="DS396" s="70">
        <f>IF(VLOOKUP($BS396,'État &amp; Plan d''action'!$B$6:$AJ$1113,30,FALSE)="","",VLOOKUP($BS396,'État &amp; Plan d''action'!$B$6:$AJ$1113,30,FALSE))</f>
        <v>0</v>
      </c>
      <c r="DT396" s="70">
        <v>282</v>
      </c>
      <c r="DU396" s="485">
        <v>2.1077283372365336</v>
      </c>
      <c r="DV396" s="485">
        <v>1.0999810565323906</v>
      </c>
      <c r="DW396" s="70">
        <v>0</v>
      </c>
      <c r="DX396" s="70">
        <v>0</v>
      </c>
      <c r="DY396" s="70">
        <v>0</v>
      </c>
      <c r="DZ396" s="70">
        <f>VLOOKUP($BS396,'État &amp; Plan d''action'!$B$6:$AH$1113,31,FALSE)</f>
        <v>0</v>
      </c>
      <c r="EA396" s="70">
        <f>VLOOKUP($BS396,'État &amp; Plan d''action'!$B$6:$AH$1113,32,FALSE)</f>
        <v>0</v>
      </c>
      <c r="EB396" s="70">
        <f>VLOOKUP($BS396,'État &amp; Plan d''action'!$B$6:$AH$1113,33,FALSE)</f>
        <v>0</v>
      </c>
      <c r="EC396" s="70">
        <v>0</v>
      </c>
      <c r="ED396" s="70">
        <v>0</v>
      </c>
      <c r="EE396" s="70">
        <v>0</v>
      </c>
      <c r="EF396" s="70">
        <v>0</v>
      </c>
      <c r="EG396" s="70">
        <v>0</v>
      </c>
      <c r="EH396" s="72">
        <v>59</v>
      </c>
      <c r="EI396" s="72">
        <v>1175</v>
      </c>
    </row>
    <row r="397" spans="71:139" x14ac:dyDescent="0.35">
      <c r="BS397" s="486">
        <v>83088</v>
      </c>
      <c r="BT397" s="479" t="s">
        <v>849</v>
      </c>
      <c r="BU397" s="479">
        <v>7</v>
      </c>
      <c r="BV397" s="476" t="s">
        <v>1187</v>
      </c>
      <c r="BW397" s="476" t="s">
        <v>1187</v>
      </c>
      <c r="BX397" s="476" t="s">
        <v>1187</v>
      </c>
      <c r="BY397" s="476" t="s">
        <v>1187</v>
      </c>
      <c r="BZ397" s="476" t="s">
        <v>1187</v>
      </c>
      <c r="CA397" s="476" t="s">
        <v>1187</v>
      </c>
      <c r="CB397" s="476" t="s">
        <v>1187</v>
      </c>
      <c r="CC397" s="476" t="s">
        <v>1187</v>
      </c>
      <c r="CD397" s="476" t="s">
        <v>1187</v>
      </c>
      <c r="CE397" s="476" t="s">
        <v>1187</v>
      </c>
      <c r="CF397" s="476" t="s">
        <v>1187</v>
      </c>
      <c r="CG397" s="476" t="s">
        <v>1187</v>
      </c>
      <c r="CH397" s="476" t="s">
        <v>1187</v>
      </c>
      <c r="CI397" s="476" t="s">
        <v>1187</v>
      </c>
      <c r="CJ397" s="476" t="s">
        <v>1188</v>
      </c>
      <c r="CK397" s="476" t="s">
        <v>1187</v>
      </c>
      <c r="CL397" s="476" t="s">
        <v>1188</v>
      </c>
      <c r="CM397" s="476" t="str">
        <f>IF(VLOOKUP(BS397,'Données par municipalité'!$B$6:$E$1113,4,FALSE)="","non","oui")</f>
        <v>non</v>
      </c>
      <c r="CN397" s="410" t="s">
        <v>1124</v>
      </c>
      <c r="CO397" s="410" t="s">
        <v>1124</v>
      </c>
      <c r="CP397" s="410"/>
      <c r="CQ397" s="410"/>
      <c r="CR397" s="410"/>
      <c r="CS397" s="410">
        <v>342.87841107107215</v>
      </c>
      <c r="CT397" s="410"/>
      <c r="CU397" s="410">
        <v>270</v>
      </c>
      <c r="CV397" s="410" t="str">
        <f>IF(VLOOKUP(BS397,'Données par municipalité'!$B$6:$F$1113,4,FALSE)="","",VLOOKUP(BS397,'Données par municipalité'!$B$6:$F$1113,4,FALSE))</f>
        <v/>
      </c>
      <c r="CW397" s="476" t="s">
        <v>4723</v>
      </c>
      <c r="CX397" s="483" t="s">
        <v>1124</v>
      </c>
      <c r="CY397" s="483" t="s">
        <v>1124</v>
      </c>
      <c r="CZ397" s="483" t="s">
        <v>1124</v>
      </c>
      <c r="DA397" s="483" t="s">
        <v>1124</v>
      </c>
      <c r="DB397" s="483">
        <v>0.25</v>
      </c>
      <c r="DC397" s="483" t="s">
        <v>1124</v>
      </c>
      <c r="DD397" s="483">
        <v>0</v>
      </c>
      <c r="DE397" s="483" t="str">
        <f>IFERROR(SUM(VLOOKUP($BS397,'État &amp; Plan d''action'!$B$6:$Z$1113,18,FALSE),VLOOKUP($BS397,'État &amp; Plan d''action'!$B$6:$Z$1113,20,FALSE))/(VLOOKUP($BS397,'Données par municipalité'!$B$4:$L$1113,11,FALSE)),"")</f>
        <v/>
      </c>
      <c r="DF397" s="483" t="str">
        <f>IFERROR(SUM(VLOOKUP($BS397,'État &amp; Plan d''action'!$B$6:$Z$1113,19,FALSE),VLOOKUP($BS397,'État &amp; Plan d''action'!$B$6:$Z$1113,21,FALSE))/(VLOOKUP($BS397,'Données par municipalité'!$B$4:$L$1113,11,FALSE)),"")</f>
        <v/>
      </c>
      <c r="DG397" s="476" t="s">
        <v>4723</v>
      </c>
      <c r="DH397" s="484">
        <v>0</v>
      </c>
      <c r="DI397" s="484" t="s">
        <v>1124</v>
      </c>
      <c r="DJ397" s="484">
        <v>0</v>
      </c>
      <c r="DK397" s="484">
        <v>1</v>
      </c>
      <c r="DL397" s="484">
        <v>3</v>
      </c>
      <c r="DM397" s="484" t="s">
        <v>1124</v>
      </c>
      <c r="DN397" s="484">
        <v>0</v>
      </c>
      <c r="DO397" s="484">
        <v>0</v>
      </c>
      <c r="DP397" s="484">
        <v>1</v>
      </c>
      <c r="DQ397" s="484" t="str">
        <f>IF(VLOOKUP($BS397,'État &amp; Plan d''action'!$B$6:$AJ$1113,28,FALSE)="","",VLOOKUP($BS397,'État &amp; Plan d''action'!$B$6:$AJ$1113,28,FALSE))</f>
        <v/>
      </c>
      <c r="DR397" s="70" t="str">
        <f>IF(VLOOKUP($BS397,'État &amp; Plan d''action'!$B$6:$AJ$1113,29,FALSE)="","",VLOOKUP($BS397,'État &amp; Plan d''action'!$B$6:$AJ$1113,29,FALSE))</f>
        <v/>
      </c>
      <c r="DS397" s="70" t="str">
        <f>IF(VLOOKUP($BS397,'État &amp; Plan d''action'!$B$6:$AJ$1113,30,FALSE)="","",VLOOKUP($BS397,'État &amp; Plan d''action'!$B$6:$AJ$1113,30,FALSE))</f>
        <v/>
      </c>
      <c r="DT397" s="70">
        <v>204</v>
      </c>
      <c r="DU397" s="485">
        <v>1.0177340152151233</v>
      </c>
      <c r="DV397" s="485" t="s">
        <v>1124</v>
      </c>
      <c r="DW397" s="70">
        <v>0</v>
      </c>
      <c r="DX397" s="70">
        <v>0</v>
      </c>
      <c r="DY397" s="70">
        <v>1</v>
      </c>
      <c r="DZ397" s="70" t="str">
        <f>VLOOKUP($BS397,'État &amp; Plan d''action'!$B$6:$AH$1113,31,FALSE)</f>
        <v/>
      </c>
      <c r="EA397" s="70" t="str">
        <f>VLOOKUP($BS397,'État &amp; Plan d''action'!$B$6:$AH$1113,32,FALSE)</f>
        <v/>
      </c>
      <c r="EB397" s="70" t="str">
        <f>VLOOKUP($BS397,'État &amp; Plan d''action'!$B$6:$AH$1113,33,FALSE)</f>
        <v/>
      </c>
      <c r="EC397" s="70">
        <v>0</v>
      </c>
      <c r="ED397" s="70">
        <v>0</v>
      </c>
      <c r="EE397" s="70">
        <v>0</v>
      </c>
      <c r="EF397" s="70">
        <v>0</v>
      </c>
      <c r="EG397" s="70">
        <v>0</v>
      </c>
      <c r="EH397" s="72">
        <v>37</v>
      </c>
      <c r="EI397" s="72">
        <v>636</v>
      </c>
    </row>
    <row r="398" spans="71:139" x14ac:dyDescent="0.35">
      <c r="BS398" s="486">
        <v>80010</v>
      </c>
      <c r="BT398" s="479" t="s">
        <v>804</v>
      </c>
      <c r="BU398" s="479">
        <v>7</v>
      </c>
      <c r="BV398" s="476" t="s">
        <v>1187</v>
      </c>
      <c r="BW398" s="476" t="s">
        <v>1187</v>
      </c>
      <c r="BX398" s="476" t="s">
        <v>1187</v>
      </c>
      <c r="BY398" s="476" t="s">
        <v>1187</v>
      </c>
      <c r="BZ398" s="476" t="s">
        <v>1187</v>
      </c>
      <c r="CA398" s="476" t="s">
        <v>1187</v>
      </c>
      <c r="CB398" s="476" t="s">
        <v>1187</v>
      </c>
      <c r="CC398" s="476" t="s">
        <v>1187</v>
      </c>
      <c r="CD398" s="476" t="s">
        <v>1187</v>
      </c>
      <c r="CE398" s="476" t="s">
        <v>1188</v>
      </c>
      <c r="CF398" s="476" t="s">
        <v>1188</v>
      </c>
      <c r="CG398" s="476" t="s">
        <v>1187</v>
      </c>
      <c r="CH398" s="476" t="s">
        <v>1187</v>
      </c>
      <c r="CI398" s="476" t="s">
        <v>1188</v>
      </c>
      <c r="CJ398" s="476" t="s">
        <v>1188</v>
      </c>
      <c r="CK398" s="476" t="s">
        <v>1188</v>
      </c>
      <c r="CL398" s="476" t="s">
        <v>1187</v>
      </c>
      <c r="CM398" s="476" t="str">
        <f>IF(VLOOKUP(BS398,'Données par municipalité'!$B$6:$E$1113,4,FALSE)="","non","oui")</f>
        <v>non</v>
      </c>
      <c r="CN398" s="410">
        <v>527.96803652968026</v>
      </c>
      <c r="CO398" s="410">
        <v>500</v>
      </c>
      <c r="CP398" s="410"/>
      <c r="CQ398" s="410"/>
      <c r="CR398" s="410">
        <v>256</v>
      </c>
      <c r="CS398" s="410">
        <v>838.83421861895442</v>
      </c>
      <c r="CT398" s="410">
        <v>845.92014799950186</v>
      </c>
      <c r="CU398" s="410" t="s">
        <v>1124</v>
      </c>
      <c r="CV398" s="410" t="str">
        <f>IF(VLOOKUP(BS398,'Données par municipalité'!$B$6:$F$1113,4,FALSE)="","",VLOOKUP(BS398,'Données par municipalité'!$B$6:$F$1113,4,FALSE))</f>
        <v/>
      </c>
      <c r="CW398" s="476" t="s">
        <v>4723</v>
      </c>
      <c r="CX398" s="483">
        <v>1</v>
      </c>
      <c r="CY398" s="483" t="s">
        <v>1124</v>
      </c>
      <c r="CZ398" s="483" t="s">
        <v>1124</v>
      </c>
      <c r="DA398" s="483">
        <v>0</v>
      </c>
      <c r="DB398" s="483">
        <v>1</v>
      </c>
      <c r="DC398" s="483">
        <v>1</v>
      </c>
      <c r="DD398" s="483" t="s">
        <v>1124</v>
      </c>
      <c r="DE398" s="483" t="str">
        <f>IFERROR(SUM(VLOOKUP($BS398,'État &amp; Plan d''action'!$B$6:$Z$1113,18,FALSE),VLOOKUP($BS398,'État &amp; Plan d''action'!$B$6:$Z$1113,20,FALSE))/(VLOOKUP($BS398,'Données par municipalité'!$B$4:$L$1113,11,FALSE)),"")</f>
        <v/>
      </c>
      <c r="DF398" s="483" t="str">
        <f>IFERROR(SUM(VLOOKUP($BS398,'État &amp; Plan d''action'!$B$6:$Z$1113,19,FALSE),VLOOKUP($BS398,'État &amp; Plan d''action'!$B$6:$Z$1113,21,FALSE))/(VLOOKUP($BS398,'Données par municipalité'!$B$4:$L$1113,11,FALSE)),"")</f>
        <v/>
      </c>
      <c r="DG398" s="476" t="s">
        <v>4723</v>
      </c>
      <c r="DH398" s="484">
        <v>3</v>
      </c>
      <c r="DI398" s="484" t="s">
        <v>1124</v>
      </c>
      <c r="DJ398" s="484">
        <v>6</v>
      </c>
      <c r="DK398" s="484">
        <v>2</v>
      </c>
      <c r="DL398" s="484">
        <v>2</v>
      </c>
      <c r="DM398" s="484">
        <v>3</v>
      </c>
      <c r="DN398" s="484" t="s">
        <v>1124</v>
      </c>
      <c r="DO398" s="484" t="s">
        <v>1124</v>
      </c>
      <c r="DP398" s="484" t="s">
        <v>1124</v>
      </c>
      <c r="DQ398" s="484" t="str">
        <f>IF(VLOOKUP($BS398,'État &amp; Plan d''action'!$B$6:$AJ$1113,28,FALSE)="","",VLOOKUP($BS398,'État &amp; Plan d''action'!$B$6:$AJ$1113,28,FALSE))</f>
        <v/>
      </c>
      <c r="DR398" s="70" t="str">
        <f>IF(VLOOKUP($BS398,'État &amp; Plan d''action'!$B$6:$AJ$1113,29,FALSE)="","",VLOOKUP($BS398,'État &amp; Plan d''action'!$B$6:$AJ$1113,29,FALSE))</f>
        <v/>
      </c>
      <c r="DS398" s="70" t="str">
        <f>IF(VLOOKUP($BS398,'État &amp; Plan d''action'!$B$6:$AJ$1113,30,FALSE)="","",VLOOKUP($BS398,'État &amp; Plan d''action'!$B$6:$AJ$1113,30,FALSE))</f>
        <v/>
      </c>
      <c r="DT398" s="70" t="s">
        <v>1124</v>
      </c>
      <c r="DU398" s="485" t="s">
        <v>1124</v>
      </c>
      <c r="DV398" s="485" t="s">
        <v>1124</v>
      </c>
      <c r="DW398" s="70" t="s">
        <v>1124</v>
      </c>
      <c r="DX398" s="70" t="s">
        <v>1124</v>
      </c>
      <c r="DY398" s="70" t="s">
        <v>1124</v>
      </c>
      <c r="DZ398" s="70" t="str">
        <f>VLOOKUP($BS398,'État &amp; Plan d''action'!$B$6:$AH$1113,31,FALSE)</f>
        <v/>
      </c>
      <c r="EA398" s="70" t="str">
        <f>VLOOKUP($BS398,'État &amp; Plan d''action'!$B$6:$AH$1113,32,FALSE)</f>
        <v/>
      </c>
      <c r="EB398" s="70" t="str">
        <f>VLOOKUP($BS398,'État &amp; Plan d''action'!$B$6:$AH$1113,33,FALSE)</f>
        <v/>
      </c>
      <c r="EC398" s="70" t="s">
        <v>1124</v>
      </c>
      <c r="ED398" s="70" t="s">
        <v>1124</v>
      </c>
      <c r="EE398" s="70" t="s">
        <v>1124</v>
      </c>
      <c r="EF398" s="70" t="s">
        <v>1124</v>
      </c>
      <c r="EG398" s="70" t="s">
        <v>1124</v>
      </c>
      <c r="EH398" s="72"/>
      <c r="EI398" s="72">
        <v>969</v>
      </c>
    </row>
    <row r="399" spans="71:139" x14ac:dyDescent="0.35">
      <c r="BS399" s="486">
        <v>9077</v>
      </c>
      <c r="BT399" s="479" t="s">
        <v>1110</v>
      </c>
      <c r="BU399" s="479">
        <v>1</v>
      </c>
      <c r="BV399" s="476" t="s">
        <v>1187</v>
      </c>
      <c r="BW399" s="476" t="s">
        <v>1187</v>
      </c>
      <c r="BX399" s="476" t="s">
        <v>1187</v>
      </c>
      <c r="BY399" s="476" t="s">
        <v>1187</v>
      </c>
      <c r="BZ399" s="476" t="s">
        <v>1187</v>
      </c>
      <c r="CA399" s="476" t="s">
        <v>1187</v>
      </c>
      <c r="CB399" s="476" t="s">
        <v>1187</v>
      </c>
      <c r="CC399" s="476" t="s">
        <v>1187</v>
      </c>
      <c r="CD399" s="476" t="s">
        <v>1187</v>
      </c>
      <c r="CE399" s="476" t="s">
        <v>1187</v>
      </c>
      <c r="CF399" s="476" t="s">
        <v>1187</v>
      </c>
      <c r="CG399" s="476" t="s">
        <v>1187</v>
      </c>
      <c r="CH399" s="476" t="s">
        <v>1187</v>
      </c>
      <c r="CI399" s="476" t="s">
        <v>1187</v>
      </c>
      <c r="CJ399" s="476" t="s">
        <v>1188</v>
      </c>
      <c r="CK399" s="476" t="s">
        <v>1188</v>
      </c>
      <c r="CL399" s="476" t="s">
        <v>1188</v>
      </c>
      <c r="CM399" s="476" t="str">
        <f>IF(VLOOKUP(BS399,'Données par municipalité'!$B$6:$E$1113,4,FALSE)="","non","oui")</f>
        <v>oui</v>
      </c>
      <c r="CN399" s="410" t="s">
        <v>1124</v>
      </c>
      <c r="CO399" s="410" t="s">
        <v>1124</v>
      </c>
      <c r="CP399" s="410"/>
      <c r="CQ399" s="410"/>
      <c r="CR399" s="410"/>
      <c r="CS399" s="410">
        <v>506.51596150132633</v>
      </c>
      <c r="CT399" s="410">
        <v>419.79885384847012</v>
      </c>
      <c r="CU399" s="410">
        <v>442</v>
      </c>
      <c r="CV399" s="410">
        <f>IF(VLOOKUP(BS399,'Données par municipalité'!$B$6:$F$1113,4,FALSE)="","",VLOOKUP(BS399,'Données par municipalité'!$B$6:$F$1113,4,FALSE))</f>
        <v>507</v>
      </c>
      <c r="CW399" s="476" t="s">
        <v>4723</v>
      </c>
      <c r="CX399" s="483" t="s">
        <v>1124</v>
      </c>
      <c r="CY399" s="483" t="s">
        <v>1124</v>
      </c>
      <c r="CZ399" s="483" t="s">
        <v>1124</v>
      </c>
      <c r="DA399" s="483" t="s">
        <v>1124</v>
      </c>
      <c r="DB399" s="483">
        <v>1</v>
      </c>
      <c r="DC399" s="483">
        <v>1</v>
      </c>
      <c r="DD399" s="483" t="s">
        <v>1124</v>
      </c>
      <c r="DE399" s="483">
        <f>IFERROR(SUM(VLOOKUP($BS399,'État &amp; Plan d''action'!$B$6:$Z$1113,18,FALSE),VLOOKUP($BS399,'État &amp; Plan d''action'!$B$6:$Z$1113,20,FALSE))/(VLOOKUP($BS399,'Données par municipalité'!$B$4:$L$1113,11,FALSE)),"")</f>
        <v>0</v>
      </c>
      <c r="DF399" s="483">
        <f>IFERROR(SUM(VLOOKUP($BS399,'État &amp; Plan d''action'!$B$6:$Z$1113,19,FALSE),VLOOKUP($BS399,'État &amp; Plan d''action'!$B$6:$Z$1113,21,FALSE))/(VLOOKUP($BS399,'Données par municipalité'!$B$4:$L$1113,11,FALSE)),"")</f>
        <v>1</v>
      </c>
      <c r="DG399" s="476" t="s">
        <v>4723</v>
      </c>
      <c r="DH399" s="484" t="s">
        <v>1124</v>
      </c>
      <c r="DI399" s="484" t="s">
        <v>1124</v>
      </c>
      <c r="DJ399" s="484">
        <v>0</v>
      </c>
      <c r="DK399" s="484">
        <v>0</v>
      </c>
      <c r="DL399" s="484">
        <v>6</v>
      </c>
      <c r="DM399" s="484">
        <v>13</v>
      </c>
      <c r="DN399" s="484">
        <v>4</v>
      </c>
      <c r="DO399" s="484">
        <v>7</v>
      </c>
      <c r="DP399" s="484">
        <v>1</v>
      </c>
      <c r="DQ399" s="484">
        <f>IF(VLOOKUP($BS399,'État &amp; Plan d''action'!$B$6:$AJ$1113,28,FALSE)="","",VLOOKUP($BS399,'État &amp; Plan d''action'!$B$6:$AJ$1113,28,FALSE))</f>
        <v>9</v>
      </c>
      <c r="DR399" s="70">
        <f>IF(VLOOKUP($BS399,'État &amp; Plan d''action'!$B$6:$AJ$1113,29,FALSE)="","",VLOOKUP($BS399,'État &amp; Plan d''action'!$B$6:$AJ$1113,29,FALSE))</f>
        <v>1</v>
      </c>
      <c r="DS399" s="70">
        <f>IF(VLOOKUP($BS399,'État &amp; Plan d''action'!$B$6:$AJ$1113,30,FALSE)="","",VLOOKUP($BS399,'État &amp; Plan d''action'!$B$6:$AJ$1113,30,FALSE))</f>
        <v>0</v>
      </c>
      <c r="DT399" s="70">
        <v>357</v>
      </c>
      <c r="DU399" s="485">
        <v>2.2872645447685351</v>
      </c>
      <c r="DV399" s="485">
        <v>10.735242718599126</v>
      </c>
      <c r="DW399" s="70">
        <v>2</v>
      </c>
      <c r="DX399" s="70">
        <v>1</v>
      </c>
      <c r="DY399" s="70">
        <v>5</v>
      </c>
      <c r="DZ399" s="70">
        <f>VLOOKUP($BS399,'État &amp; Plan d''action'!$B$6:$AH$1113,31,FALSE)</f>
        <v>3</v>
      </c>
      <c r="EA399" s="70">
        <f>VLOOKUP($BS399,'État &amp; Plan d''action'!$B$6:$AH$1113,32,FALSE)</f>
        <v>1</v>
      </c>
      <c r="EB399" s="70">
        <f>VLOOKUP($BS399,'État &amp; Plan d''action'!$B$6:$AH$1113,33,FALSE)</f>
        <v>0</v>
      </c>
      <c r="EC399" s="70">
        <v>0</v>
      </c>
      <c r="ED399" s="70">
        <v>25</v>
      </c>
      <c r="EE399" s="70">
        <v>18</v>
      </c>
      <c r="EF399" s="70">
        <v>0</v>
      </c>
      <c r="EG399" s="70">
        <v>0</v>
      </c>
      <c r="EH399" s="72">
        <v>59</v>
      </c>
      <c r="EI399" s="72">
        <v>6233</v>
      </c>
    </row>
    <row r="400" spans="71:139" x14ac:dyDescent="0.35">
      <c r="BS400" s="486">
        <v>79088</v>
      </c>
      <c r="BT400" s="479" t="s">
        <v>798</v>
      </c>
      <c r="BU400" s="479">
        <v>15</v>
      </c>
      <c r="BV400" s="476" t="s">
        <v>1187</v>
      </c>
      <c r="BW400" s="476" t="s">
        <v>1187</v>
      </c>
      <c r="BX400" s="476" t="s">
        <v>1187</v>
      </c>
      <c r="BY400" s="476" t="s">
        <v>1187</v>
      </c>
      <c r="BZ400" s="476" t="s">
        <v>1187</v>
      </c>
      <c r="CA400" s="476" t="s">
        <v>1187</v>
      </c>
      <c r="CB400" s="476" t="s">
        <v>1187</v>
      </c>
      <c r="CC400" s="476" t="s">
        <v>1187</v>
      </c>
      <c r="CD400" s="476" t="s">
        <v>1187</v>
      </c>
      <c r="CE400" s="476" t="s">
        <v>1187</v>
      </c>
      <c r="CF400" s="476" t="s">
        <v>1187</v>
      </c>
      <c r="CG400" s="476" t="s">
        <v>1187</v>
      </c>
      <c r="CH400" s="476" t="s">
        <v>1187</v>
      </c>
      <c r="CI400" s="476" t="s">
        <v>1187</v>
      </c>
      <c r="CJ400" s="476" t="s">
        <v>1188</v>
      </c>
      <c r="CK400" s="476" t="s">
        <v>1187</v>
      </c>
      <c r="CL400" s="476" t="s">
        <v>1187</v>
      </c>
      <c r="CM400" s="476" t="str">
        <f>IF(VLOOKUP(BS400,'Données par municipalité'!$B$6:$E$1113,4,FALSE)="","non","oui")</f>
        <v>non</v>
      </c>
      <c r="CN400" s="410" t="s">
        <v>1124</v>
      </c>
      <c r="CO400" s="410" t="s">
        <v>1124</v>
      </c>
      <c r="CP400" s="410"/>
      <c r="CQ400" s="410"/>
      <c r="CR400" s="410"/>
      <c r="CS400" s="410">
        <v>679.1760556692393</v>
      </c>
      <c r="CT400" s="410"/>
      <c r="CU400" s="410" t="s">
        <v>1124</v>
      </c>
      <c r="CV400" s="410" t="str">
        <f>IF(VLOOKUP(BS400,'Données par municipalité'!$B$6:$F$1113,4,FALSE)="","",VLOOKUP(BS400,'Données par municipalité'!$B$6:$F$1113,4,FALSE))</f>
        <v/>
      </c>
      <c r="CW400" s="476" t="s">
        <v>4723</v>
      </c>
      <c r="CX400" s="483" t="s">
        <v>1124</v>
      </c>
      <c r="CY400" s="483" t="s">
        <v>1124</v>
      </c>
      <c r="CZ400" s="483" t="s">
        <v>1124</v>
      </c>
      <c r="DA400" s="483" t="s">
        <v>1124</v>
      </c>
      <c r="DB400" s="483">
        <v>0</v>
      </c>
      <c r="DC400" s="483" t="s">
        <v>1124</v>
      </c>
      <c r="DD400" s="483" t="s">
        <v>1124</v>
      </c>
      <c r="DE400" s="483" t="str">
        <f>IFERROR(SUM(VLOOKUP($BS400,'État &amp; Plan d''action'!$B$6:$Z$1113,18,FALSE),VLOOKUP($BS400,'État &amp; Plan d''action'!$B$6:$Z$1113,20,FALSE))/(VLOOKUP($BS400,'Données par municipalité'!$B$4:$L$1113,11,FALSE)),"")</f>
        <v/>
      </c>
      <c r="DF400" s="483" t="str">
        <f>IFERROR(SUM(VLOOKUP($BS400,'État &amp; Plan d''action'!$B$6:$Z$1113,19,FALSE),VLOOKUP($BS400,'État &amp; Plan d''action'!$B$6:$Z$1113,21,FALSE))/(VLOOKUP($BS400,'Données par municipalité'!$B$4:$L$1113,11,FALSE)),"")</f>
        <v/>
      </c>
      <c r="DG400" s="476" t="s">
        <v>4723</v>
      </c>
      <c r="DH400" s="484">
        <v>40</v>
      </c>
      <c r="DI400" s="484" t="s">
        <v>1124</v>
      </c>
      <c r="DJ400" s="484">
        <v>49</v>
      </c>
      <c r="DK400" s="484">
        <v>63</v>
      </c>
      <c r="DL400" s="484">
        <v>18</v>
      </c>
      <c r="DM400" s="484" t="s">
        <v>1124</v>
      </c>
      <c r="DN400" s="484" t="s">
        <v>1124</v>
      </c>
      <c r="DO400" s="484" t="s">
        <v>1124</v>
      </c>
      <c r="DP400" s="484" t="s">
        <v>1124</v>
      </c>
      <c r="DQ400" s="484" t="str">
        <f>IF(VLOOKUP($BS400,'État &amp; Plan d''action'!$B$6:$AJ$1113,28,FALSE)="","",VLOOKUP($BS400,'État &amp; Plan d''action'!$B$6:$AJ$1113,28,FALSE))</f>
        <v/>
      </c>
      <c r="DR400" s="70" t="str">
        <f>IF(VLOOKUP($BS400,'État &amp; Plan d''action'!$B$6:$AJ$1113,29,FALSE)="","",VLOOKUP($BS400,'État &amp; Plan d''action'!$B$6:$AJ$1113,29,FALSE))</f>
        <v/>
      </c>
      <c r="DS400" s="70" t="str">
        <f>IF(VLOOKUP($BS400,'État &amp; Plan d''action'!$B$6:$AJ$1113,30,FALSE)="","",VLOOKUP($BS400,'État &amp; Plan d''action'!$B$6:$AJ$1113,30,FALSE))</f>
        <v/>
      </c>
      <c r="DT400" s="70" t="s">
        <v>1124</v>
      </c>
      <c r="DU400" s="485" t="s">
        <v>1124</v>
      </c>
      <c r="DV400" s="485" t="s">
        <v>1124</v>
      </c>
      <c r="DW400" s="70" t="s">
        <v>1124</v>
      </c>
      <c r="DX400" s="70" t="s">
        <v>1124</v>
      </c>
      <c r="DY400" s="70" t="s">
        <v>1124</v>
      </c>
      <c r="DZ400" s="70" t="str">
        <f>VLOOKUP($BS400,'État &amp; Plan d''action'!$B$6:$AH$1113,31,FALSE)</f>
        <v/>
      </c>
      <c r="EA400" s="70" t="str">
        <f>VLOOKUP($BS400,'État &amp; Plan d''action'!$B$6:$AH$1113,32,FALSE)</f>
        <v/>
      </c>
      <c r="EB400" s="70" t="str">
        <f>VLOOKUP($BS400,'État &amp; Plan d''action'!$B$6:$AH$1113,33,FALSE)</f>
        <v/>
      </c>
      <c r="EC400" s="70" t="s">
        <v>1124</v>
      </c>
      <c r="ED400" s="70" t="s">
        <v>1124</v>
      </c>
      <c r="EE400" s="70" t="s">
        <v>1124</v>
      </c>
      <c r="EF400" s="70" t="s">
        <v>1124</v>
      </c>
      <c r="EG400" s="70" t="s">
        <v>1124</v>
      </c>
      <c r="EH400" s="72"/>
      <c r="EI400" s="72">
        <v>14232</v>
      </c>
    </row>
    <row r="401" spans="71:139" x14ac:dyDescent="0.35">
      <c r="BS401" s="486">
        <v>18050</v>
      </c>
      <c r="BT401" s="479" t="s">
        <v>113</v>
      </c>
      <c r="BU401" s="479">
        <v>12</v>
      </c>
      <c r="BV401" s="476" t="s">
        <v>1187</v>
      </c>
      <c r="BW401" s="476" t="s">
        <v>1187</v>
      </c>
      <c r="BX401" s="476" t="s">
        <v>1187</v>
      </c>
      <c r="BY401" s="476" t="s">
        <v>1187</v>
      </c>
      <c r="BZ401" s="476" t="s">
        <v>1187</v>
      </c>
      <c r="CA401" s="476" t="s">
        <v>1187</v>
      </c>
      <c r="CB401" s="476" t="s">
        <v>1187</v>
      </c>
      <c r="CC401" s="476" t="s">
        <v>1187</v>
      </c>
      <c r="CD401" s="476" t="s">
        <v>1187</v>
      </c>
      <c r="CE401" s="476" t="s">
        <v>1188</v>
      </c>
      <c r="CF401" s="476" t="s">
        <v>1188</v>
      </c>
      <c r="CG401" s="476" t="s">
        <v>1188</v>
      </c>
      <c r="CH401" s="476" t="s">
        <v>1188</v>
      </c>
      <c r="CI401" s="476" t="s">
        <v>1188</v>
      </c>
      <c r="CJ401" s="476" t="s">
        <v>1188</v>
      </c>
      <c r="CK401" s="476" t="s">
        <v>1188</v>
      </c>
      <c r="CL401" s="476" t="s">
        <v>1188</v>
      </c>
      <c r="CM401" s="476" t="str">
        <f>IF(VLOOKUP(BS401,'Données par municipalité'!$B$6:$E$1113,4,FALSE)="","non","oui")</f>
        <v>oui</v>
      </c>
      <c r="CN401" s="410">
        <v>521.44382813352138</v>
      </c>
      <c r="CO401" s="410">
        <v>525.63433788329189</v>
      </c>
      <c r="CP401" s="410">
        <v>487.52524435281043</v>
      </c>
      <c r="CQ401" s="410">
        <v>420.77181759083686</v>
      </c>
      <c r="CR401" s="410">
        <v>437.29185041404241</v>
      </c>
      <c r="CS401" s="410">
        <v>348.83806507621154</v>
      </c>
      <c r="CT401" s="410">
        <v>416.81879804084451</v>
      </c>
      <c r="CU401" s="410">
        <v>415</v>
      </c>
      <c r="CV401" s="410">
        <f>IF(VLOOKUP(BS401,'Données par municipalité'!$B$6:$F$1113,4,FALSE)="","",VLOOKUP(BS401,'Données par municipalité'!$B$6:$F$1113,4,FALSE))</f>
        <v>413</v>
      </c>
      <c r="CW401" s="476" t="s">
        <v>4723</v>
      </c>
      <c r="CX401" s="483">
        <v>0.1</v>
      </c>
      <c r="CY401" s="483">
        <v>5.5E-2</v>
      </c>
      <c r="CZ401" s="483">
        <v>0.05</v>
      </c>
      <c r="DA401" s="483">
        <v>0.3</v>
      </c>
      <c r="DB401" s="483">
        <v>0</v>
      </c>
      <c r="DC401" s="483">
        <v>1</v>
      </c>
      <c r="DD401" s="483">
        <v>0.23338698551391124</v>
      </c>
      <c r="DE401" s="483">
        <f>IFERROR(SUM(VLOOKUP($BS401,'État &amp; Plan d''action'!$B$6:$Z$1113,18,FALSE),VLOOKUP($BS401,'État &amp; Plan d''action'!$B$6:$Z$1113,20,FALSE))/(VLOOKUP($BS401,'Données par municipalité'!$B$4:$L$1113,11,FALSE)),"")</f>
        <v>0.77642369893462104</v>
      </c>
      <c r="DF401" s="483">
        <f>IFERROR(SUM(VLOOKUP($BS401,'État &amp; Plan d''action'!$B$6:$Z$1113,19,FALSE),VLOOKUP($BS401,'État &amp; Plan d''action'!$B$6:$Z$1113,21,FALSE))/(VLOOKUP($BS401,'Données par municipalité'!$B$4:$L$1113,11,FALSE)),"")</f>
        <v>0</v>
      </c>
      <c r="DG401" s="476" t="s">
        <v>4723</v>
      </c>
      <c r="DH401" s="484">
        <v>15</v>
      </c>
      <c r="DI401" s="484">
        <v>6</v>
      </c>
      <c r="DJ401" s="484">
        <v>4</v>
      </c>
      <c r="DK401" s="484">
        <v>13</v>
      </c>
      <c r="DL401" s="484">
        <v>5</v>
      </c>
      <c r="DM401" s="484">
        <v>4</v>
      </c>
      <c r="DN401" s="484">
        <v>8</v>
      </c>
      <c r="DO401" s="484">
        <v>0</v>
      </c>
      <c r="DP401" s="484">
        <v>0</v>
      </c>
      <c r="DQ401" s="484">
        <f>IF(VLOOKUP($BS401,'État &amp; Plan d''action'!$B$6:$AJ$1113,28,FALSE)="","",VLOOKUP($BS401,'État &amp; Plan d''action'!$B$6:$AJ$1113,28,FALSE))</f>
        <v>6</v>
      </c>
      <c r="DR401" s="70">
        <f>IF(VLOOKUP($BS401,'État &amp; Plan d''action'!$B$6:$AJ$1113,29,FALSE)="","",VLOOKUP($BS401,'État &amp; Plan d''action'!$B$6:$AJ$1113,29,FALSE))</f>
        <v>4</v>
      </c>
      <c r="DS401" s="70">
        <f>IF(VLOOKUP($BS401,'État &amp; Plan d''action'!$B$6:$AJ$1113,30,FALSE)="","",VLOOKUP($BS401,'État &amp; Plan d''action'!$B$6:$AJ$1113,30,FALSE))</f>
        <v>2</v>
      </c>
      <c r="DT401" s="70">
        <v>290</v>
      </c>
      <c r="DU401" s="485">
        <v>1.5562040259364478</v>
      </c>
      <c r="DV401" s="485">
        <v>1.5512425722034866</v>
      </c>
      <c r="DW401" s="70">
        <v>1</v>
      </c>
      <c r="DX401" s="70">
        <v>0</v>
      </c>
      <c r="DY401" s="70">
        <v>0</v>
      </c>
      <c r="DZ401" s="70">
        <f>VLOOKUP($BS401,'État &amp; Plan d''action'!$B$6:$AH$1113,31,FALSE)</f>
        <v>1</v>
      </c>
      <c r="EA401" s="70">
        <f>VLOOKUP($BS401,'État &amp; Plan d''action'!$B$6:$AH$1113,32,FALSE)</f>
        <v>2</v>
      </c>
      <c r="EB401" s="70">
        <f>VLOOKUP($BS401,'État &amp; Plan d''action'!$B$6:$AH$1113,33,FALSE)</f>
        <v>30</v>
      </c>
      <c r="EC401" s="70">
        <v>0</v>
      </c>
      <c r="ED401" s="70">
        <v>0</v>
      </c>
      <c r="EE401" s="70">
        <v>18.27</v>
      </c>
      <c r="EF401" s="70">
        <v>0</v>
      </c>
      <c r="EG401" s="70">
        <v>0</v>
      </c>
      <c r="EH401" s="72">
        <v>63</v>
      </c>
      <c r="EI401" s="72">
        <v>11267</v>
      </c>
    </row>
    <row r="402" spans="71:139" x14ac:dyDescent="0.35">
      <c r="BS402" s="486">
        <v>80090</v>
      </c>
      <c r="BT402" s="479" t="s">
        <v>817</v>
      </c>
      <c r="BU402" s="479">
        <v>7</v>
      </c>
      <c r="BV402" s="476" t="s">
        <v>1187</v>
      </c>
      <c r="BW402" s="476" t="s">
        <v>1187</v>
      </c>
      <c r="BX402" s="476" t="s">
        <v>1187</v>
      </c>
      <c r="BY402" s="476" t="s">
        <v>1187</v>
      </c>
      <c r="BZ402" s="476" t="s">
        <v>1187</v>
      </c>
      <c r="CA402" s="476" t="s">
        <v>1187</v>
      </c>
      <c r="CB402" s="476" t="s">
        <v>1187</v>
      </c>
      <c r="CC402" s="476" t="s">
        <v>1187</v>
      </c>
      <c r="CD402" s="476" t="s">
        <v>1187</v>
      </c>
      <c r="CE402" s="476" t="s">
        <v>1187</v>
      </c>
      <c r="CF402" s="476" t="s">
        <v>1187</v>
      </c>
      <c r="CG402" s="476" t="s">
        <v>1187</v>
      </c>
      <c r="CH402" s="476" t="s">
        <v>1187</v>
      </c>
      <c r="CI402" s="476" t="s">
        <v>1187</v>
      </c>
      <c r="CJ402" s="476" t="s">
        <v>1188</v>
      </c>
      <c r="CK402" s="476" t="s">
        <v>1188</v>
      </c>
      <c r="CL402" s="476" t="s">
        <v>1188</v>
      </c>
      <c r="CM402" s="476" t="str">
        <f>IF(VLOOKUP(BS402,'Données par municipalité'!$B$6:$E$1113,4,FALSE)="","non","oui")</f>
        <v>oui</v>
      </c>
      <c r="CN402" s="410" t="s">
        <v>1124</v>
      </c>
      <c r="CO402" s="410" t="s">
        <v>1124</v>
      </c>
      <c r="CP402" s="410"/>
      <c r="CQ402" s="410"/>
      <c r="CR402" s="410"/>
      <c r="CS402" s="410">
        <v>291.80327868852464</v>
      </c>
      <c r="CT402" s="410">
        <v>327.39726027397262</v>
      </c>
      <c r="CU402" s="410">
        <v>273</v>
      </c>
      <c r="CV402" s="410">
        <f>IF(VLOOKUP(BS402,'Données par municipalité'!$B$6:$F$1113,4,FALSE)="","",VLOOKUP(BS402,'Données par municipalité'!$B$6:$F$1113,4,FALSE))</f>
        <v>228</v>
      </c>
      <c r="CW402" s="476" t="s">
        <v>4723</v>
      </c>
      <c r="CX402" s="483" t="s">
        <v>1124</v>
      </c>
      <c r="CY402" s="483" t="s">
        <v>1124</v>
      </c>
      <c r="CZ402" s="483" t="s">
        <v>1124</v>
      </c>
      <c r="DA402" s="483" t="s">
        <v>1124</v>
      </c>
      <c r="DB402" s="483">
        <v>0.5</v>
      </c>
      <c r="DC402" s="483">
        <v>1</v>
      </c>
      <c r="DD402" s="483">
        <v>0</v>
      </c>
      <c r="DE402" s="483">
        <f>IFERROR(SUM(VLOOKUP($BS402,'État &amp; Plan d''action'!$B$6:$Z$1113,18,FALSE),VLOOKUP($BS402,'État &amp; Plan d''action'!$B$6:$Z$1113,20,FALSE))/(VLOOKUP($BS402,'Données par municipalité'!$B$4:$L$1113,11,FALSE)),"")</f>
        <v>0</v>
      </c>
      <c r="DF402" s="483">
        <f>IFERROR(SUM(VLOOKUP($BS402,'État &amp; Plan d''action'!$B$6:$Z$1113,19,FALSE),VLOOKUP($BS402,'État &amp; Plan d''action'!$B$6:$Z$1113,21,FALSE))/(VLOOKUP($BS402,'Données par municipalité'!$B$4:$L$1113,11,FALSE)),"")</f>
        <v>0</v>
      </c>
      <c r="DG402" s="476" t="s">
        <v>4723</v>
      </c>
      <c r="DH402" s="484">
        <v>1</v>
      </c>
      <c r="DI402" s="484">
        <v>0</v>
      </c>
      <c r="DJ402" s="484">
        <v>1</v>
      </c>
      <c r="DK402" s="484">
        <v>2</v>
      </c>
      <c r="DL402" s="484">
        <v>0</v>
      </c>
      <c r="DM402" s="484">
        <v>0</v>
      </c>
      <c r="DN402" s="484">
        <v>0</v>
      </c>
      <c r="DO402" s="484">
        <v>0</v>
      </c>
      <c r="DP402" s="484">
        <v>0</v>
      </c>
      <c r="DQ402" s="484">
        <f>IF(VLOOKUP($BS402,'État &amp; Plan d''action'!$B$6:$AJ$1113,28,FALSE)="","",VLOOKUP($BS402,'État &amp; Plan d''action'!$B$6:$AJ$1113,28,FALSE))</f>
        <v>0</v>
      </c>
      <c r="DR402" s="70">
        <f>IF(VLOOKUP($BS402,'État &amp; Plan d''action'!$B$6:$AJ$1113,29,FALSE)="","",VLOOKUP($BS402,'État &amp; Plan d''action'!$B$6:$AJ$1113,29,FALSE))</f>
        <v>0</v>
      </c>
      <c r="DS402" s="70">
        <f>IF(VLOOKUP($BS402,'État &amp; Plan d''action'!$B$6:$AJ$1113,30,FALSE)="","",VLOOKUP($BS402,'État &amp; Plan d''action'!$B$6:$AJ$1113,30,FALSE))</f>
        <v>0</v>
      </c>
      <c r="DT402" s="70">
        <v>176</v>
      </c>
      <c r="DU402" s="485">
        <v>2.2849432384325037</v>
      </c>
      <c r="DV402" s="485">
        <v>0.72537597605615667</v>
      </c>
      <c r="DW402" s="70">
        <v>0</v>
      </c>
      <c r="DX402" s="70">
        <v>0</v>
      </c>
      <c r="DY402" s="70">
        <v>0</v>
      </c>
      <c r="DZ402" s="70">
        <f>VLOOKUP($BS402,'État &amp; Plan d''action'!$B$6:$AH$1113,31,FALSE)</f>
        <v>0</v>
      </c>
      <c r="EA402" s="70">
        <f>VLOOKUP($BS402,'État &amp; Plan d''action'!$B$6:$AH$1113,32,FALSE)</f>
        <v>0</v>
      </c>
      <c r="EB402" s="70">
        <f>VLOOKUP($BS402,'État &amp; Plan d''action'!$B$6:$AH$1113,33,FALSE)</f>
        <v>0</v>
      </c>
      <c r="EC402" s="70">
        <v>4.2329999999999997</v>
      </c>
      <c r="ED402" s="70">
        <v>0</v>
      </c>
      <c r="EE402" s="70">
        <v>0</v>
      </c>
      <c r="EF402" s="70">
        <v>0</v>
      </c>
      <c r="EG402" s="70">
        <v>0</v>
      </c>
      <c r="EH402" s="72">
        <v>44.378378378378386</v>
      </c>
      <c r="EI402" s="72">
        <v>1019</v>
      </c>
    </row>
    <row r="403" spans="71:139" x14ac:dyDescent="0.35">
      <c r="BS403" s="486">
        <v>66023</v>
      </c>
      <c r="BT403" s="479" t="s">
        <v>648</v>
      </c>
      <c r="BU403" s="479">
        <v>6</v>
      </c>
      <c r="BV403" s="476" t="s">
        <v>1187</v>
      </c>
      <c r="BW403" s="476" t="s">
        <v>1187</v>
      </c>
      <c r="BX403" s="476" t="s">
        <v>1187</v>
      </c>
      <c r="BY403" s="476" t="s">
        <v>1187</v>
      </c>
      <c r="BZ403" s="476" t="s">
        <v>1187</v>
      </c>
      <c r="CA403" s="476" t="s">
        <v>1187</v>
      </c>
      <c r="CB403" s="476" t="s">
        <v>1187</v>
      </c>
      <c r="CC403" s="476" t="s">
        <v>1187</v>
      </c>
      <c r="CD403" s="476" t="s">
        <v>1187</v>
      </c>
      <c r="CE403" s="476" t="s">
        <v>1188</v>
      </c>
      <c r="CF403" s="476" t="s">
        <v>1188</v>
      </c>
      <c r="CG403" s="476" t="s">
        <v>1188</v>
      </c>
      <c r="CH403" s="476" t="s">
        <v>1187</v>
      </c>
      <c r="CI403" s="476" t="s">
        <v>1187</v>
      </c>
      <c r="CJ403" s="476" t="s">
        <v>1188</v>
      </c>
      <c r="CK403" s="476" t="s">
        <v>1188</v>
      </c>
      <c r="CL403" s="476" t="s">
        <v>1188</v>
      </c>
      <c r="CM403" s="476" t="str">
        <f>IF(VLOOKUP(BS403,'Données par municipalité'!$B$6:$E$1113,4,FALSE)="","non","oui")</f>
        <v>oui</v>
      </c>
      <c r="CN403" s="410">
        <v>915</v>
      </c>
      <c r="CO403" s="410">
        <v>941.14353287169013</v>
      </c>
      <c r="CP403" s="410">
        <v>923</v>
      </c>
      <c r="CQ403" s="410"/>
      <c r="CR403" s="410"/>
      <c r="CS403" s="410">
        <v>798.07890872294581</v>
      </c>
      <c r="CT403" s="410">
        <v>768.1210118841235</v>
      </c>
      <c r="CU403" s="410">
        <v>773</v>
      </c>
      <c r="CV403" s="410">
        <f>IF(VLOOKUP(BS403,'Données par municipalité'!$B$6:$F$1113,4,FALSE)="","",VLOOKUP(BS403,'Données par municipalité'!$B$6:$F$1113,4,FALSE))</f>
        <v>752</v>
      </c>
      <c r="CW403" s="476" t="s">
        <v>4723</v>
      </c>
      <c r="CX403" s="483">
        <v>0.9</v>
      </c>
      <c r="CY403" s="483">
        <v>0.8</v>
      </c>
      <c r="CZ403" s="483" t="s">
        <v>1124</v>
      </c>
      <c r="DA403" s="483" t="s">
        <v>1124</v>
      </c>
      <c r="DB403" s="483">
        <v>1</v>
      </c>
      <c r="DC403" s="483">
        <v>1</v>
      </c>
      <c r="DD403" s="483">
        <v>1.0054963347909669</v>
      </c>
      <c r="DE403" s="483">
        <f>IFERROR(SUM(VLOOKUP($BS403,'État &amp; Plan d''action'!$B$6:$Z$1113,18,FALSE),VLOOKUP($BS403,'État &amp; Plan d''action'!$B$6:$Z$1113,20,FALSE))/(VLOOKUP($BS403,'Données par municipalité'!$B$4:$L$1113,11,FALSE)),"")</f>
        <v>1.3991869609577894</v>
      </c>
      <c r="DF403" s="483">
        <f>IFERROR(SUM(VLOOKUP($BS403,'État &amp; Plan d''action'!$B$6:$Z$1113,19,FALSE),VLOOKUP($BS403,'État &amp; Plan d''action'!$B$6:$Z$1113,21,FALSE))/(VLOOKUP($BS403,'Données par municipalité'!$B$4:$L$1113,11,FALSE)),"")</f>
        <v>1.8585461689587426</v>
      </c>
      <c r="DG403" s="476" t="s">
        <v>4723</v>
      </c>
      <c r="DH403" s="484">
        <v>2218</v>
      </c>
      <c r="DI403" s="484">
        <v>2112</v>
      </c>
      <c r="DJ403" s="484">
        <v>2442</v>
      </c>
      <c r="DK403" s="484">
        <v>2215</v>
      </c>
      <c r="DL403" s="484">
        <v>2115</v>
      </c>
      <c r="DM403" s="484">
        <v>1862</v>
      </c>
      <c r="DN403" s="484">
        <v>987</v>
      </c>
      <c r="DO403" s="484">
        <v>927</v>
      </c>
      <c r="DP403" s="484">
        <v>126</v>
      </c>
      <c r="DQ403" s="484">
        <f>IF(VLOOKUP($BS403,'État &amp; Plan d''action'!$B$6:$AJ$1113,28,FALSE)="","",VLOOKUP($BS403,'État &amp; Plan d''action'!$B$6:$AJ$1113,28,FALSE))</f>
        <v>731</v>
      </c>
      <c r="DR403" s="70">
        <f>IF(VLOOKUP($BS403,'État &amp; Plan d''action'!$B$6:$AJ$1113,29,FALSE)="","",VLOOKUP($BS403,'État &amp; Plan d''action'!$B$6:$AJ$1113,29,FALSE))</f>
        <v>1076</v>
      </c>
      <c r="DS403" s="70">
        <f>IF(VLOOKUP($BS403,'État &amp; Plan d''action'!$B$6:$AJ$1113,30,FALSE)="","",VLOOKUP($BS403,'État &amp; Plan d''action'!$B$6:$AJ$1113,30,FALSE))</f>
        <v>26</v>
      </c>
      <c r="DT403" s="70">
        <v>305</v>
      </c>
      <c r="DU403" s="485">
        <v>21.18037484068228</v>
      </c>
      <c r="DV403" s="485">
        <v>22.835029248857225</v>
      </c>
      <c r="DW403" s="70">
        <v>9</v>
      </c>
      <c r="DX403" s="70">
        <v>5</v>
      </c>
      <c r="DY403" s="70">
        <v>7</v>
      </c>
      <c r="DZ403" s="70">
        <f>VLOOKUP($BS403,'État &amp; Plan d''action'!$B$6:$AH$1113,31,FALSE)</f>
        <v>8</v>
      </c>
      <c r="EA403" s="70">
        <f>VLOOKUP($BS403,'État &amp; Plan d''action'!$B$6:$AH$1113,32,FALSE)</f>
        <v>12</v>
      </c>
      <c r="EB403" s="70">
        <f>VLOOKUP($BS403,'État &amp; Plan d''action'!$B$6:$AH$1113,33,FALSE)</f>
        <v>5</v>
      </c>
      <c r="EC403" s="70">
        <v>0</v>
      </c>
      <c r="ED403" s="70">
        <v>4759.7179999999998</v>
      </c>
      <c r="EE403" s="70">
        <v>0</v>
      </c>
      <c r="EF403" s="70">
        <v>25</v>
      </c>
      <c r="EG403" s="70">
        <v>0</v>
      </c>
      <c r="EH403" s="72">
        <v>47.694066739753424</v>
      </c>
      <c r="EI403" s="72">
        <v>1757366</v>
      </c>
    </row>
    <row r="404" spans="71:139" x14ac:dyDescent="0.35">
      <c r="BS404" s="486">
        <v>66007</v>
      </c>
      <c r="BT404" s="479" t="s">
        <v>647</v>
      </c>
      <c r="BU404" s="479">
        <v>6</v>
      </c>
      <c r="BV404" s="476" t="s">
        <v>1187</v>
      </c>
      <c r="BW404" s="476" t="s">
        <v>1187</v>
      </c>
      <c r="BX404" s="476" t="s">
        <v>1187</v>
      </c>
      <c r="BY404" s="476" t="s">
        <v>1187</v>
      </c>
      <c r="BZ404" s="476" t="s">
        <v>1187</v>
      </c>
      <c r="CA404" s="476" t="s">
        <v>1187</v>
      </c>
      <c r="CB404" s="476" t="s">
        <v>1187</v>
      </c>
      <c r="CC404" s="476" t="s">
        <v>1187</v>
      </c>
      <c r="CD404" s="476" t="s">
        <v>1187</v>
      </c>
      <c r="CE404" s="476" t="s">
        <v>1188</v>
      </c>
      <c r="CF404" s="476" t="s">
        <v>1188</v>
      </c>
      <c r="CG404" s="476" t="s">
        <v>1188</v>
      </c>
      <c r="CH404" s="476" t="s">
        <v>1188</v>
      </c>
      <c r="CI404" s="476" t="s">
        <v>1188</v>
      </c>
      <c r="CJ404" s="476" t="s">
        <v>1188</v>
      </c>
      <c r="CK404" s="476" t="s">
        <v>1188</v>
      </c>
      <c r="CL404" s="476" t="s">
        <v>1188</v>
      </c>
      <c r="CM404" s="476" t="str">
        <f>IF(VLOOKUP(BS404,'Données par municipalité'!$B$6:$E$1113,4,FALSE)="","non","oui")</f>
        <v>non</v>
      </c>
      <c r="CN404" s="410">
        <v>921.02599086310966</v>
      </c>
      <c r="CO404" s="410">
        <v>941.14353287169013</v>
      </c>
      <c r="CP404" s="410">
        <v>922.85351334466282</v>
      </c>
      <c r="CQ404" s="410">
        <v>891.54485290418336</v>
      </c>
      <c r="CR404" s="410">
        <v>823.44722064685516</v>
      </c>
      <c r="CS404" s="410">
        <v>818</v>
      </c>
      <c r="CT404" s="410">
        <v>785.54597409430369</v>
      </c>
      <c r="CU404" s="410">
        <v>3577</v>
      </c>
      <c r="CV404" s="410" t="str">
        <f>IF(VLOOKUP(BS404,'Données par municipalité'!$B$6:$F$1113,4,FALSE)="","",VLOOKUP(BS404,'Données par municipalité'!$B$6:$F$1113,4,FALSE))</f>
        <v/>
      </c>
      <c r="CW404" s="476" t="s">
        <v>4723</v>
      </c>
      <c r="CX404" s="483">
        <v>0</v>
      </c>
      <c r="CY404" s="483">
        <v>0</v>
      </c>
      <c r="CZ404" s="483">
        <v>1</v>
      </c>
      <c r="DA404" s="483">
        <v>1</v>
      </c>
      <c r="DB404" s="483">
        <v>1</v>
      </c>
      <c r="DC404" s="483">
        <v>1</v>
      </c>
      <c r="DD404" s="483">
        <v>1.9999999999999998</v>
      </c>
      <c r="DE404" s="483" t="str">
        <f>IFERROR(SUM(VLOOKUP($BS404,'État &amp; Plan d''action'!$B$6:$Z$1113,18,FALSE),VLOOKUP($BS404,'État &amp; Plan d''action'!$B$6:$Z$1113,20,FALSE))/(VLOOKUP($BS404,'Données par municipalité'!$B$4:$L$1113,11,FALSE)),"")</f>
        <v/>
      </c>
      <c r="DF404" s="483" t="str">
        <f>IFERROR(SUM(VLOOKUP($BS404,'État &amp; Plan d''action'!$B$6:$Z$1113,19,FALSE),VLOOKUP($BS404,'État &amp; Plan d''action'!$B$6:$Z$1113,21,FALSE))/(VLOOKUP($BS404,'Données par municipalité'!$B$4:$L$1113,11,FALSE)),"")</f>
        <v/>
      </c>
      <c r="DG404" s="476" t="s">
        <v>4723</v>
      </c>
      <c r="DH404" s="484" t="s">
        <v>1124</v>
      </c>
      <c r="DI404" s="484" t="s">
        <v>1124</v>
      </c>
      <c r="DJ404" s="484">
        <v>24</v>
      </c>
      <c r="DK404" s="484">
        <v>5</v>
      </c>
      <c r="DL404" s="484">
        <v>6</v>
      </c>
      <c r="DM404" s="484">
        <v>5</v>
      </c>
      <c r="DN404" s="484">
        <v>1</v>
      </c>
      <c r="DO404" s="484">
        <v>1</v>
      </c>
      <c r="DP404" s="484">
        <v>0</v>
      </c>
      <c r="DQ404" s="484" t="str">
        <f>IF(VLOOKUP($BS404,'État &amp; Plan d''action'!$B$6:$AJ$1113,28,FALSE)="","",VLOOKUP($BS404,'État &amp; Plan d''action'!$B$6:$AJ$1113,28,FALSE))</f>
        <v/>
      </c>
      <c r="DR404" s="70" t="str">
        <f>IF(VLOOKUP($BS404,'État &amp; Plan d''action'!$B$6:$AJ$1113,29,FALSE)="","",VLOOKUP($BS404,'État &amp; Plan d''action'!$B$6:$AJ$1113,29,FALSE))</f>
        <v/>
      </c>
      <c r="DS404" s="70" t="str">
        <f>IF(VLOOKUP($BS404,'État &amp; Plan d''action'!$B$6:$AJ$1113,30,FALSE)="","",VLOOKUP($BS404,'État &amp; Plan d''action'!$B$6:$AJ$1113,30,FALSE))</f>
        <v/>
      </c>
      <c r="DT404" s="70">
        <v>308</v>
      </c>
      <c r="DU404" s="485">
        <v>56.549549984318546</v>
      </c>
      <c r="DV404" s="485" t="s">
        <v>1124</v>
      </c>
      <c r="DW404" s="70">
        <v>5</v>
      </c>
      <c r="DX404" s="70">
        <v>3</v>
      </c>
      <c r="DY404" s="70">
        <v>0</v>
      </c>
      <c r="DZ404" s="70" t="str">
        <f>VLOOKUP($BS404,'État &amp; Plan d''action'!$B$6:$AH$1113,31,FALSE)</f>
        <v/>
      </c>
      <c r="EA404" s="70" t="str">
        <f>VLOOKUP($BS404,'État &amp; Plan d''action'!$B$6:$AH$1113,32,FALSE)</f>
        <v/>
      </c>
      <c r="EB404" s="70" t="str">
        <f>VLOOKUP($BS404,'État &amp; Plan d''action'!$B$6:$AH$1113,33,FALSE)</f>
        <v/>
      </c>
      <c r="EC404" s="70">
        <v>0</v>
      </c>
      <c r="ED404" s="70">
        <v>94.775999999999996</v>
      </c>
      <c r="EE404" s="70">
        <v>0</v>
      </c>
      <c r="EF404" s="70">
        <v>0</v>
      </c>
      <c r="EG404" s="70">
        <v>0</v>
      </c>
      <c r="EH404" s="72">
        <v>57.646143661039403</v>
      </c>
      <c r="EI404" s="72">
        <v>3874</v>
      </c>
    </row>
    <row r="405" spans="71:139" x14ac:dyDescent="0.35">
      <c r="BS405" s="486">
        <v>66047</v>
      </c>
      <c r="BT405" s="479" t="s">
        <v>650</v>
      </c>
      <c r="BU405" s="479">
        <v>6</v>
      </c>
      <c r="BV405" s="476" t="s">
        <v>1187</v>
      </c>
      <c r="BW405" s="476" t="s">
        <v>1187</v>
      </c>
      <c r="BX405" s="476" t="s">
        <v>1187</v>
      </c>
      <c r="BY405" s="476" t="s">
        <v>1187</v>
      </c>
      <c r="BZ405" s="476" t="s">
        <v>1187</v>
      </c>
      <c r="CA405" s="476" t="s">
        <v>1187</v>
      </c>
      <c r="CB405" s="476" t="s">
        <v>1187</v>
      </c>
      <c r="CC405" s="476" t="s">
        <v>1187</v>
      </c>
      <c r="CD405" s="476" t="s">
        <v>1187</v>
      </c>
      <c r="CE405" s="476" t="s">
        <v>1188</v>
      </c>
      <c r="CF405" s="476" t="s">
        <v>1188</v>
      </c>
      <c r="CG405" s="476" t="s">
        <v>1187</v>
      </c>
      <c r="CH405" s="476" t="s">
        <v>1188</v>
      </c>
      <c r="CI405" s="476" t="s">
        <v>1188</v>
      </c>
      <c r="CJ405" s="476" t="s">
        <v>1188</v>
      </c>
      <c r="CK405" s="476" t="s">
        <v>1188</v>
      </c>
      <c r="CL405" s="476" t="s">
        <v>1188</v>
      </c>
      <c r="CM405" s="476" t="str">
        <f>IF(VLOOKUP(BS405,'Données par municipalité'!$B$6:$E$1113,4,FALSE)="","non","oui")</f>
        <v>oui</v>
      </c>
      <c r="CN405" s="410">
        <v>689.96569580761457</v>
      </c>
      <c r="CO405" s="410">
        <v>542.28294330273491</v>
      </c>
      <c r="CP405" s="410"/>
      <c r="CQ405" s="410">
        <v>559.49599936987613</v>
      </c>
      <c r="CR405" s="410">
        <v>857.52079932315371</v>
      </c>
      <c r="CS405" s="410">
        <v>818</v>
      </c>
      <c r="CT405" s="410">
        <v>785.54597409430369</v>
      </c>
      <c r="CU405" s="410">
        <v>509</v>
      </c>
      <c r="CV405" s="410">
        <f>IF(VLOOKUP(BS405,'Données par municipalité'!$B$6:$F$1113,4,FALSE)="","",VLOOKUP(BS405,'Données par municipalité'!$B$6:$F$1113,4,FALSE))</f>
        <v>416</v>
      </c>
      <c r="CW405" s="476" t="s">
        <v>4723</v>
      </c>
      <c r="CX405" s="483">
        <v>0</v>
      </c>
      <c r="CY405" s="483" t="s">
        <v>1124</v>
      </c>
      <c r="CZ405" s="483">
        <v>0</v>
      </c>
      <c r="DA405" s="483">
        <v>0</v>
      </c>
      <c r="DB405" s="483">
        <v>0</v>
      </c>
      <c r="DC405" s="483">
        <v>1</v>
      </c>
      <c r="DD405" s="483">
        <v>1.0000170665938493</v>
      </c>
      <c r="DE405" s="483">
        <f>IFERROR(SUM(VLOOKUP($BS405,'État &amp; Plan d''action'!$B$6:$Z$1113,18,FALSE),VLOOKUP($BS405,'État &amp; Plan d''action'!$B$6:$Z$1113,20,FALSE))/(VLOOKUP($BS405,'Données par municipalité'!$B$4:$L$1113,11,FALSE)),"")</f>
        <v>1.5</v>
      </c>
      <c r="DF405" s="483">
        <f>IFERROR(SUM(VLOOKUP($BS405,'État &amp; Plan d''action'!$B$6:$Z$1113,19,FALSE),VLOOKUP($BS405,'État &amp; Plan d''action'!$B$6:$Z$1113,21,FALSE))/(VLOOKUP($BS405,'Données par municipalité'!$B$4:$L$1113,11,FALSE)),"")</f>
        <v>1</v>
      </c>
      <c r="DG405" s="476" t="s">
        <v>4723</v>
      </c>
      <c r="DH405" s="484">
        <v>18</v>
      </c>
      <c r="DI405" s="484">
        <v>13</v>
      </c>
      <c r="DJ405" s="484">
        <v>10</v>
      </c>
      <c r="DK405" s="484">
        <v>13</v>
      </c>
      <c r="DL405" s="484">
        <v>15</v>
      </c>
      <c r="DM405" s="484">
        <v>15</v>
      </c>
      <c r="DN405" s="484">
        <v>10</v>
      </c>
      <c r="DO405" s="484">
        <v>0</v>
      </c>
      <c r="DP405" s="484">
        <v>0</v>
      </c>
      <c r="DQ405" s="484">
        <f>IF(VLOOKUP($BS405,'État &amp; Plan d''action'!$B$6:$AJ$1113,28,FALSE)="","",VLOOKUP($BS405,'État &amp; Plan d''action'!$B$6:$AJ$1113,28,FALSE))</f>
        <v>8</v>
      </c>
      <c r="DR405" s="70">
        <f>IF(VLOOKUP($BS405,'État &amp; Plan d''action'!$B$6:$AJ$1113,29,FALSE)="","",VLOOKUP($BS405,'État &amp; Plan d''action'!$B$6:$AJ$1113,29,FALSE))</f>
        <v>0</v>
      </c>
      <c r="DS405" s="70">
        <f>IF(VLOOKUP($BS405,'État &amp; Plan d''action'!$B$6:$AJ$1113,30,FALSE)="","",VLOOKUP($BS405,'État &amp; Plan d''action'!$B$6:$AJ$1113,30,FALSE))</f>
        <v>0</v>
      </c>
      <c r="DT405" s="70">
        <v>207</v>
      </c>
      <c r="DU405" s="485">
        <v>13.502263910620989</v>
      </c>
      <c r="DV405" s="485">
        <v>8.0833065821114634</v>
      </c>
      <c r="DW405" s="70">
        <v>1</v>
      </c>
      <c r="DX405" s="70">
        <v>0</v>
      </c>
      <c r="DY405" s="70">
        <v>0</v>
      </c>
      <c r="DZ405" s="70">
        <f>VLOOKUP($BS405,'État &amp; Plan d''action'!$B$6:$AH$1113,31,FALSE)</f>
        <v>1</v>
      </c>
      <c r="EA405" s="70">
        <f>VLOOKUP($BS405,'État &amp; Plan d''action'!$B$6:$AH$1113,32,FALSE)</f>
        <v>0</v>
      </c>
      <c r="EB405" s="70">
        <f>VLOOKUP($BS405,'État &amp; Plan d''action'!$B$6:$AH$1113,33,FALSE)</f>
        <v>0</v>
      </c>
      <c r="EC405" s="70">
        <v>0</v>
      </c>
      <c r="ED405" s="70">
        <v>23.437999999999999</v>
      </c>
      <c r="EE405" s="70">
        <v>0</v>
      </c>
      <c r="EF405" s="70">
        <v>0</v>
      </c>
      <c r="EG405" s="70">
        <v>0</v>
      </c>
      <c r="EH405" s="72">
        <v>50.50980392156864</v>
      </c>
      <c r="EI405" s="72">
        <v>5183</v>
      </c>
    </row>
    <row r="406" spans="71:139" x14ac:dyDescent="0.35">
      <c r="BS406" s="486">
        <v>66072</v>
      </c>
      <c r="BT406" s="479" t="s">
        <v>653</v>
      </c>
      <c r="BU406" s="479">
        <v>6</v>
      </c>
      <c r="BV406" s="476" t="s">
        <v>1187</v>
      </c>
      <c r="BW406" s="476" t="s">
        <v>1187</v>
      </c>
      <c r="BX406" s="476" t="s">
        <v>1187</v>
      </c>
      <c r="BY406" s="476" t="s">
        <v>1187</v>
      </c>
      <c r="BZ406" s="476" t="s">
        <v>1187</v>
      </c>
      <c r="CA406" s="476" t="s">
        <v>1187</v>
      </c>
      <c r="CB406" s="476" t="s">
        <v>1187</v>
      </c>
      <c r="CC406" s="476" t="s">
        <v>1187</v>
      </c>
      <c r="CD406" s="476" t="s">
        <v>1187</v>
      </c>
      <c r="CE406" s="476" t="s">
        <v>1188</v>
      </c>
      <c r="CF406" s="476" t="s">
        <v>1188</v>
      </c>
      <c r="CG406" s="476" t="s">
        <v>1187</v>
      </c>
      <c r="CH406" s="476" t="s">
        <v>1188</v>
      </c>
      <c r="CI406" s="476" t="s">
        <v>1188</v>
      </c>
      <c r="CJ406" s="476" t="s">
        <v>1188</v>
      </c>
      <c r="CK406" s="476" t="s">
        <v>1188</v>
      </c>
      <c r="CL406" s="476" t="s">
        <v>1188</v>
      </c>
      <c r="CM406" s="476" t="str">
        <f>IF(VLOOKUP(BS406,'Données par municipalité'!$B$6:$E$1113,4,FALSE)="","non","oui")</f>
        <v>oui</v>
      </c>
      <c r="CN406" s="410">
        <v>1449.2138097498334</v>
      </c>
      <c r="CO406" s="410">
        <v>1477.8745155145657</v>
      </c>
      <c r="CP406" s="410"/>
      <c r="CQ406" s="410">
        <v>1571.8276988159296</v>
      </c>
      <c r="CR406" s="410">
        <v>1433.1866800844405</v>
      </c>
      <c r="CS406" s="410">
        <v>818</v>
      </c>
      <c r="CT406" s="410">
        <v>785.54597409430369</v>
      </c>
      <c r="CU406" s="410">
        <v>763</v>
      </c>
      <c r="CV406" s="410">
        <f>IF(VLOOKUP(BS406,'Données par municipalité'!$B$6:$F$1113,4,FALSE)="","",VLOOKUP(BS406,'Données par municipalité'!$B$6:$F$1113,4,FALSE))</f>
        <v>792</v>
      </c>
      <c r="CW406" s="476" t="s">
        <v>4723</v>
      </c>
      <c r="CX406" s="483">
        <v>1.1499999999999999</v>
      </c>
      <c r="CY406" s="483" t="s">
        <v>1124</v>
      </c>
      <c r="CZ406" s="483">
        <v>1</v>
      </c>
      <c r="DA406" s="483">
        <v>1</v>
      </c>
      <c r="DB406" s="483">
        <v>1</v>
      </c>
      <c r="DC406" s="483">
        <v>1</v>
      </c>
      <c r="DD406" s="483">
        <v>1.0000837561235527</v>
      </c>
      <c r="DE406" s="483">
        <f>IFERROR(SUM(VLOOKUP($BS406,'État &amp; Plan d''action'!$B$6:$Z$1113,18,FALSE),VLOOKUP($BS406,'État &amp; Plan d''action'!$B$6:$Z$1113,20,FALSE))/(VLOOKUP($BS406,'Données par municipalité'!$B$4:$L$1113,11,FALSE)),"")</f>
        <v>1.0000837561235527</v>
      </c>
      <c r="DF406" s="483">
        <f>IFERROR(SUM(VLOOKUP($BS406,'État &amp; Plan d''action'!$B$6:$Z$1113,19,FALSE),VLOOKUP($BS406,'État &amp; Plan d''action'!$B$6:$Z$1113,21,FALSE))/(VLOOKUP($BS406,'Données par municipalité'!$B$4:$L$1113,11,FALSE)),"")</f>
        <v>1.0000837561235527</v>
      </c>
      <c r="DG406" s="476" t="s">
        <v>4723</v>
      </c>
      <c r="DH406" s="484">
        <v>28</v>
      </c>
      <c r="DI406" s="484">
        <v>46</v>
      </c>
      <c r="DJ406" s="484">
        <v>42</v>
      </c>
      <c r="DK406" s="484">
        <v>19</v>
      </c>
      <c r="DL406" s="484">
        <v>18</v>
      </c>
      <c r="DM406" s="484">
        <v>16</v>
      </c>
      <c r="DN406" s="484">
        <v>10</v>
      </c>
      <c r="DO406" s="484">
        <v>6</v>
      </c>
      <c r="DP406" s="484">
        <v>0</v>
      </c>
      <c r="DQ406" s="484">
        <f>IF(VLOOKUP($BS406,'État &amp; Plan d''action'!$B$6:$AJ$1113,28,FALSE)="","",VLOOKUP($BS406,'État &amp; Plan d''action'!$B$6:$AJ$1113,28,FALSE))</f>
        <v>14</v>
      </c>
      <c r="DR406" s="70">
        <f>IF(VLOOKUP($BS406,'État &amp; Plan d''action'!$B$6:$AJ$1113,29,FALSE)="","",VLOOKUP($BS406,'État &amp; Plan d''action'!$B$6:$AJ$1113,29,FALSE))</f>
        <v>0</v>
      </c>
      <c r="DS406" s="70">
        <f>IF(VLOOKUP($BS406,'État &amp; Plan d''action'!$B$6:$AJ$1113,30,FALSE)="","",VLOOKUP($BS406,'État &amp; Plan d''action'!$B$6:$AJ$1113,30,FALSE))</f>
        <v>6</v>
      </c>
      <c r="DT406" s="70">
        <v>221</v>
      </c>
      <c r="DU406" s="485">
        <v>10.486610249973305</v>
      </c>
      <c r="DV406" s="485">
        <v>12.445079045809887</v>
      </c>
      <c r="DW406" s="70">
        <v>1</v>
      </c>
      <c r="DX406" s="70">
        <v>1</v>
      </c>
      <c r="DY406" s="70">
        <v>0</v>
      </c>
      <c r="DZ406" s="70">
        <f>VLOOKUP($BS406,'État &amp; Plan d''action'!$B$6:$AH$1113,31,FALSE)</f>
        <v>1</v>
      </c>
      <c r="EA406" s="70">
        <f>VLOOKUP($BS406,'État &amp; Plan d''action'!$B$6:$AH$1113,32,FALSE)</f>
        <v>0</v>
      </c>
      <c r="EB406" s="70">
        <f>VLOOKUP($BS406,'État &amp; Plan d''action'!$B$6:$AH$1113,33,FALSE)</f>
        <v>1</v>
      </c>
      <c r="EC406" s="70">
        <v>0</v>
      </c>
      <c r="ED406" s="70">
        <v>0</v>
      </c>
      <c r="EE406" s="70">
        <v>95.403999999999996</v>
      </c>
      <c r="EF406" s="70">
        <v>0</v>
      </c>
      <c r="EG406" s="70">
        <v>0</v>
      </c>
      <c r="EH406" s="72">
        <v>47.891891891891895</v>
      </c>
      <c r="EI406" s="72">
        <v>21146</v>
      </c>
    </row>
    <row r="407" spans="71:139" x14ac:dyDescent="0.35">
      <c r="BS407" s="486">
        <v>56097</v>
      </c>
      <c r="BT407" s="479" t="s">
        <v>579</v>
      </c>
      <c r="BU407" s="479">
        <v>16</v>
      </c>
      <c r="BV407" s="476" t="s">
        <v>1188</v>
      </c>
      <c r="BW407" s="476" t="s">
        <v>1188</v>
      </c>
      <c r="BX407" s="476" t="s">
        <v>1188</v>
      </c>
      <c r="BY407" s="476" t="s">
        <v>1188</v>
      </c>
      <c r="BZ407" s="476" t="s">
        <v>1188</v>
      </c>
      <c r="CA407" s="476" t="s">
        <v>1188</v>
      </c>
      <c r="CB407" s="476" t="s">
        <v>1188</v>
      </c>
      <c r="CC407" s="476" t="s">
        <v>1188</v>
      </c>
      <c r="CD407" s="476" t="s">
        <v>1188</v>
      </c>
      <c r="CE407" s="476" t="s">
        <v>1187</v>
      </c>
      <c r="CF407" s="476" t="s">
        <v>1187</v>
      </c>
      <c r="CG407" s="476" t="s">
        <v>1187</v>
      </c>
      <c r="CH407" s="476" t="s">
        <v>1187</v>
      </c>
      <c r="CI407" s="476" t="s">
        <v>1187</v>
      </c>
      <c r="CJ407" s="476" t="s">
        <v>1187</v>
      </c>
      <c r="CK407" s="476" t="s">
        <v>1187</v>
      </c>
      <c r="CL407" s="476" t="s">
        <v>1187</v>
      </c>
      <c r="CM407" s="476" t="str">
        <f>IF(VLOOKUP(BS407,'Données par municipalité'!$B$6:$E$1113,4,FALSE)="","non","oui")</f>
        <v>non</v>
      </c>
      <c r="CN407" s="410" t="s">
        <v>1124</v>
      </c>
      <c r="CO407" s="410" t="s">
        <v>1124</v>
      </c>
      <c r="CP407" s="410"/>
      <c r="CQ407" s="410"/>
      <c r="CR407" s="410"/>
      <c r="CS407" s="410" t="s">
        <v>1124</v>
      </c>
      <c r="CT407" s="410"/>
      <c r="CU407" s="410" t="s">
        <v>1124</v>
      </c>
      <c r="CV407" s="410" t="str">
        <f>IF(VLOOKUP(BS407,'Données par municipalité'!$B$6:$F$1113,4,FALSE)="","",VLOOKUP(BS407,'Données par municipalité'!$B$6:$F$1113,4,FALSE))</f>
        <v/>
      </c>
      <c r="CW407" s="476" t="s">
        <v>4723</v>
      </c>
      <c r="CX407" s="483" t="s">
        <v>1124</v>
      </c>
      <c r="CY407" s="483" t="s">
        <v>1124</v>
      </c>
      <c r="CZ407" s="483" t="s">
        <v>1124</v>
      </c>
      <c r="DA407" s="483" t="s">
        <v>1124</v>
      </c>
      <c r="DB407" s="483" t="s">
        <v>1124</v>
      </c>
      <c r="DC407" s="483" t="s">
        <v>1124</v>
      </c>
      <c r="DD407" s="483" t="s">
        <v>1124</v>
      </c>
      <c r="DE407" s="483" t="str">
        <f>IFERROR(SUM(VLOOKUP($BS407,'État &amp; Plan d''action'!$B$6:$Z$1113,18,FALSE),VLOOKUP($BS407,'État &amp; Plan d''action'!$B$6:$Z$1113,20,FALSE))/(VLOOKUP($BS407,'Données par municipalité'!$B$4:$L$1113,11,FALSE)),"")</f>
        <v/>
      </c>
      <c r="DF407" s="483" t="str">
        <f>IFERROR(SUM(VLOOKUP($BS407,'État &amp; Plan d''action'!$B$6:$Z$1113,19,FALSE),VLOOKUP($BS407,'État &amp; Plan d''action'!$B$6:$Z$1113,21,FALSE))/(VLOOKUP($BS407,'Données par municipalité'!$B$4:$L$1113,11,FALSE)),"")</f>
        <v/>
      </c>
      <c r="DG407" s="476" t="s">
        <v>4723</v>
      </c>
      <c r="DH407" s="484" t="s">
        <v>1124</v>
      </c>
      <c r="DI407" s="484" t="s">
        <v>1124</v>
      </c>
      <c r="DJ407" s="484">
        <v>0</v>
      </c>
      <c r="DK407" s="484">
        <v>0</v>
      </c>
      <c r="DL407" s="484" t="s">
        <v>1124</v>
      </c>
      <c r="DM407" s="484" t="s">
        <v>1124</v>
      </c>
      <c r="DN407" s="484" t="s">
        <v>1124</v>
      </c>
      <c r="DO407" s="484" t="s">
        <v>1124</v>
      </c>
      <c r="DP407" s="484" t="s">
        <v>1124</v>
      </c>
      <c r="DQ407" s="484" t="str">
        <f>IF(VLOOKUP($BS407,'État &amp; Plan d''action'!$B$6:$AJ$1113,28,FALSE)="","",VLOOKUP($BS407,'État &amp; Plan d''action'!$B$6:$AJ$1113,28,FALSE))</f>
        <v/>
      </c>
      <c r="DR407" s="70" t="str">
        <f>IF(VLOOKUP($BS407,'État &amp; Plan d''action'!$B$6:$AJ$1113,29,FALSE)="","",VLOOKUP($BS407,'État &amp; Plan d''action'!$B$6:$AJ$1113,29,FALSE))</f>
        <v/>
      </c>
      <c r="DS407" s="70" t="str">
        <f>IF(VLOOKUP($BS407,'État &amp; Plan d''action'!$B$6:$AJ$1113,30,FALSE)="","",VLOOKUP($BS407,'État &amp; Plan d''action'!$B$6:$AJ$1113,30,FALSE))</f>
        <v/>
      </c>
      <c r="DT407" s="70" t="s">
        <v>1124</v>
      </c>
      <c r="DU407" s="485" t="s">
        <v>1124</v>
      </c>
      <c r="DV407" s="485" t="s">
        <v>1124</v>
      </c>
      <c r="DW407" s="70" t="s">
        <v>1124</v>
      </c>
      <c r="DX407" s="70" t="s">
        <v>1124</v>
      </c>
      <c r="DY407" s="70" t="s">
        <v>1124</v>
      </c>
      <c r="DZ407" s="70" t="str">
        <f>VLOOKUP($BS407,'État &amp; Plan d''action'!$B$6:$AH$1113,31,FALSE)</f>
        <v/>
      </c>
      <c r="EA407" s="70" t="str">
        <f>VLOOKUP($BS407,'État &amp; Plan d''action'!$B$6:$AH$1113,32,FALSE)</f>
        <v/>
      </c>
      <c r="EB407" s="70" t="str">
        <f>VLOOKUP($BS407,'État &amp; Plan d''action'!$B$6:$AH$1113,33,FALSE)</f>
        <v/>
      </c>
      <c r="EC407" s="70" t="s">
        <v>1124</v>
      </c>
      <c r="ED407" s="70" t="s">
        <v>1124</v>
      </c>
      <c r="EE407" s="70" t="s">
        <v>1124</v>
      </c>
      <c r="EF407" s="70" t="s">
        <v>1124</v>
      </c>
      <c r="EG407" s="70" t="s">
        <v>1124</v>
      </c>
      <c r="EH407" s="72"/>
      <c r="EI407" s="72">
        <v>3165</v>
      </c>
    </row>
    <row r="408" spans="71:139" x14ac:dyDescent="0.35">
      <c r="BS408" s="486">
        <v>57035</v>
      </c>
      <c r="BT408" s="479" t="s">
        <v>587</v>
      </c>
      <c r="BU408" s="479">
        <v>16</v>
      </c>
      <c r="BV408" s="476" t="s">
        <v>1187</v>
      </c>
      <c r="BW408" s="476" t="s">
        <v>1187</v>
      </c>
      <c r="BX408" s="476" t="s">
        <v>1187</v>
      </c>
      <c r="BY408" s="476" t="s">
        <v>1187</v>
      </c>
      <c r="BZ408" s="476" t="s">
        <v>1187</v>
      </c>
      <c r="CA408" s="476" t="s">
        <v>1187</v>
      </c>
      <c r="CB408" s="476" t="s">
        <v>1187</v>
      </c>
      <c r="CC408" s="476" t="s">
        <v>1187</v>
      </c>
      <c r="CD408" s="476" t="s">
        <v>1187</v>
      </c>
      <c r="CE408" s="476" t="s">
        <v>1188</v>
      </c>
      <c r="CF408" s="476" t="s">
        <v>1188</v>
      </c>
      <c r="CG408" s="476" t="s">
        <v>1188</v>
      </c>
      <c r="CH408" s="476" t="s">
        <v>1188</v>
      </c>
      <c r="CI408" s="476" t="s">
        <v>1188</v>
      </c>
      <c r="CJ408" s="476" t="s">
        <v>1188</v>
      </c>
      <c r="CK408" s="476" t="s">
        <v>1188</v>
      </c>
      <c r="CL408" s="476" t="s">
        <v>1188</v>
      </c>
      <c r="CM408" s="476" t="str">
        <f>IF(VLOOKUP(BS408,'Données par municipalité'!$B$6:$E$1113,4,FALSE)="","non","oui")</f>
        <v>oui</v>
      </c>
      <c r="CN408" s="410">
        <v>500.40533039322776</v>
      </c>
      <c r="CO408" s="410">
        <v>456.69504579343283</v>
      </c>
      <c r="CP408" s="410">
        <v>417.70134347155835</v>
      </c>
      <c r="CQ408" s="410">
        <v>376.47778405816382</v>
      </c>
      <c r="CR408" s="410">
        <v>421.17466912908679</v>
      </c>
      <c r="CS408" s="410">
        <v>400.32260435793802</v>
      </c>
      <c r="CT408" s="410">
        <v>360.19068474876599</v>
      </c>
      <c r="CU408" s="410">
        <v>414</v>
      </c>
      <c r="CV408" s="410">
        <f>IF(VLOOKUP(BS408,'Données par municipalité'!$B$6:$F$1113,4,FALSE)="","",VLOOKUP(BS408,'Données par municipalité'!$B$6:$F$1113,4,FALSE))</f>
        <v>393</v>
      </c>
      <c r="CW408" s="476" t="s">
        <v>4723</v>
      </c>
      <c r="CX408" s="483">
        <v>0.95</v>
      </c>
      <c r="CY408" s="483">
        <v>0.95</v>
      </c>
      <c r="CZ408" s="483">
        <v>3</v>
      </c>
      <c r="DA408" s="483">
        <v>3</v>
      </c>
      <c r="DB408" s="483">
        <v>3</v>
      </c>
      <c r="DC408" s="483">
        <v>3</v>
      </c>
      <c r="DD408" s="483">
        <v>1.2466500704914076</v>
      </c>
      <c r="DE408" s="483">
        <f>IFERROR(SUM(VLOOKUP($BS408,'État &amp; Plan d''action'!$B$6:$Z$1113,18,FALSE),VLOOKUP($BS408,'État &amp; Plan d''action'!$B$6:$Z$1113,20,FALSE))/(VLOOKUP($BS408,'Données par municipalité'!$B$4:$L$1113,11,FALSE)),"")</f>
        <v>1.2466500704914076</v>
      </c>
      <c r="DF408" s="483">
        <f>IFERROR(SUM(VLOOKUP($BS408,'État &amp; Plan d''action'!$B$6:$Z$1113,19,FALSE),VLOOKUP($BS408,'État &amp; Plan d''action'!$B$6:$Z$1113,21,FALSE))/(VLOOKUP($BS408,'Données par municipalité'!$B$4:$L$1113,11,FALSE)),"")</f>
        <v>1.2466500704914076</v>
      </c>
      <c r="DG408" s="476" t="s">
        <v>4723</v>
      </c>
      <c r="DH408" s="484">
        <v>23</v>
      </c>
      <c r="DI408" s="484">
        <v>14</v>
      </c>
      <c r="DJ408" s="484">
        <v>16</v>
      </c>
      <c r="DK408" s="484">
        <v>13</v>
      </c>
      <c r="DL408" s="484">
        <v>11</v>
      </c>
      <c r="DM408" s="484">
        <v>15</v>
      </c>
      <c r="DN408" s="484">
        <v>13</v>
      </c>
      <c r="DO408" s="484">
        <v>0</v>
      </c>
      <c r="DP408" s="484">
        <v>0</v>
      </c>
      <c r="DQ408" s="484">
        <f>IF(VLOOKUP($BS408,'État &amp; Plan d''action'!$B$6:$AJ$1113,28,FALSE)="","",VLOOKUP($BS408,'État &amp; Plan d''action'!$B$6:$AJ$1113,28,FALSE))</f>
        <v>7</v>
      </c>
      <c r="DR408" s="70">
        <f>IF(VLOOKUP($BS408,'État &amp; Plan d''action'!$B$6:$AJ$1113,29,FALSE)="","",VLOOKUP($BS408,'État &amp; Plan d''action'!$B$6:$AJ$1113,29,FALSE))</f>
        <v>2</v>
      </c>
      <c r="DS408" s="70">
        <f>IF(VLOOKUP($BS408,'État &amp; Plan d''action'!$B$6:$AJ$1113,30,FALSE)="","",VLOOKUP($BS408,'État &amp; Plan d''action'!$B$6:$AJ$1113,30,FALSE))</f>
        <v>1</v>
      </c>
      <c r="DT408" s="70">
        <v>298</v>
      </c>
      <c r="DU408" s="485">
        <v>2.0194934848924433</v>
      </c>
      <c r="DV408" s="485">
        <v>3.1302868491311266</v>
      </c>
      <c r="DW408" s="70">
        <v>3</v>
      </c>
      <c r="DX408" s="70">
        <v>0</v>
      </c>
      <c r="DY408" s="70">
        <v>0</v>
      </c>
      <c r="DZ408" s="70">
        <f>VLOOKUP($BS408,'État &amp; Plan d''action'!$B$6:$AH$1113,31,FALSE)</f>
        <v>1</v>
      </c>
      <c r="EA408" s="70">
        <f>VLOOKUP($BS408,'État &amp; Plan d''action'!$B$6:$AH$1113,32,FALSE)</f>
        <v>1</v>
      </c>
      <c r="EB408" s="70">
        <f>VLOOKUP($BS408,'État &amp; Plan d''action'!$B$6:$AH$1113,33,FALSE)</f>
        <v>3</v>
      </c>
      <c r="EC408" s="70">
        <v>0</v>
      </c>
      <c r="ED408" s="70">
        <v>113.94</v>
      </c>
      <c r="EE408" s="70">
        <v>82.364999999999995</v>
      </c>
      <c r="EF408" s="70">
        <v>0</v>
      </c>
      <c r="EG408" s="70">
        <v>0</v>
      </c>
      <c r="EH408" s="72">
        <v>61</v>
      </c>
      <c r="EI408" s="72">
        <v>18975</v>
      </c>
    </row>
    <row r="409" spans="71:139" x14ac:dyDescent="0.35">
      <c r="BS409" s="486">
        <v>79110</v>
      </c>
      <c r="BT409" s="479" t="s">
        <v>801</v>
      </c>
      <c r="BU409" s="479">
        <v>15</v>
      </c>
      <c r="BV409" s="476" t="s">
        <v>1187</v>
      </c>
      <c r="BW409" s="476" t="s">
        <v>1187</v>
      </c>
      <c r="BX409" s="476" t="s">
        <v>1187</v>
      </c>
      <c r="BY409" s="476" t="s">
        <v>1187</v>
      </c>
      <c r="BZ409" s="476" t="s">
        <v>1187</v>
      </c>
      <c r="CA409" s="476" t="s">
        <v>1187</v>
      </c>
      <c r="CB409" s="476" t="s">
        <v>1187</v>
      </c>
      <c r="CC409" s="476" t="s">
        <v>1187</v>
      </c>
      <c r="CD409" s="476" t="s">
        <v>1187</v>
      </c>
      <c r="CE409" s="476" t="s">
        <v>1188</v>
      </c>
      <c r="CF409" s="476" t="s">
        <v>1188</v>
      </c>
      <c r="CG409" s="476" t="s">
        <v>1188</v>
      </c>
      <c r="CH409" s="476" t="s">
        <v>1188</v>
      </c>
      <c r="CI409" s="476" t="s">
        <v>1188</v>
      </c>
      <c r="CJ409" s="476" t="s">
        <v>1188</v>
      </c>
      <c r="CK409" s="476" t="s">
        <v>1188</v>
      </c>
      <c r="CL409" s="476" t="s">
        <v>1188</v>
      </c>
      <c r="CM409" s="476" t="str">
        <f>IF(VLOOKUP(BS409,'Données par municipalité'!$B$6:$E$1113,4,FALSE)="","non","oui")</f>
        <v>oui</v>
      </c>
      <c r="CN409" s="410">
        <v>424.51153945638299</v>
      </c>
      <c r="CO409" s="410">
        <v>412.91365197439853</v>
      </c>
      <c r="CP409" s="410">
        <v>350.30570389288755</v>
      </c>
      <c r="CQ409" s="410">
        <v>227.62274354831322</v>
      </c>
      <c r="CR409" s="410">
        <v>175.50344799743638</v>
      </c>
      <c r="CS409" s="410">
        <v>326.17515179470735</v>
      </c>
      <c r="CT409" s="410">
        <v>279.06433150014749</v>
      </c>
      <c r="CU409" s="410">
        <v>308</v>
      </c>
      <c r="CV409" s="410">
        <f>IF(VLOOKUP(BS409,'Données par municipalité'!$B$6:$F$1113,4,FALSE)="","",VLOOKUP(BS409,'Données par municipalité'!$B$6:$F$1113,4,FALSE))</f>
        <v>309</v>
      </c>
      <c r="CW409" s="476" t="s">
        <v>4723</v>
      </c>
      <c r="CX409" s="483">
        <v>1</v>
      </c>
      <c r="CY409" s="483">
        <v>0</v>
      </c>
      <c r="CZ409" s="483">
        <v>1</v>
      </c>
      <c r="DA409" s="483">
        <v>1</v>
      </c>
      <c r="DB409" s="483">
        <v>0</v>
      </c>
      <c r="DC409" s="483">
        <v>0.5</v>
      </c>
      <c r="DD409" s="483">
        <v>0</v>
      </c>
      <c r="DE409" s="483">
        <f>IFERROR(SUM(VLOOKUP($BS409,'État &amp; Plan d''action'!$B$6:$Z$1113,18,FALSE),VLOOKUP($BS409,'État &amp; Plan d''action'!$B$6:$Z$1113,20,FALSE))/(VLOOKUP($BS409,'Données par municipalité'!$B$4:$L$1113,11,FALSE)),"")</f>
        <v>1</v>
      </c>
      <c r="DF409" s="483">
        <f>IFERROR(SUM(VLOOKUP($BS409,'État &amp; Plan d''action'!$B$6:$Z$1113,19,FALSE),VLOOKUP($BS409,'État &amp; Plan d''action'!$B$6:$Z$1113,21,FALSE))/(VLOOKUP($BS409,'Données par municipalité'!$B$4:$L$1113,11,FALSE)),"")</f>
        <v>0</v>
      </c>
      <c r="DG409" s="476" t="s">
        <v>4723</v>
      </c>
      <c r="DH409" s="484">
        <v>0</v>
      </c>
      <c r="DI409" s="484">
        <v>0</v>
      </c>
      <c r="DJ409" s="484">
        <v>0</v>
      </c>
      <c r="DK409" s="484">
        <v>0</v>
      </c>
      <c r="DL409" s="484">
        <v>0</v>
      </c>
      <c r="DM409" s="484">
        <v>0</v>
      </c>
      <c r="DN409" s="484">
        <v>0</v>
      </c>
      <c r="DO409" s="484">
        <v>0</v>
      </c>
      <c r="DP409" s="484">
        <v>1</v>
      </c>
      <c r="DQ409" s="484">
        <f>IF(VLOOKUP($BS409,'État &amp; Plan d''action'!$B$6:$AJ$1113,28,FALSE)="","",VLOOKUP($BS409,'État &amp; Plan d''action'!$B$6:$AJ$1113,28,FALSE))</f>
        <v>2</v>
      </c>
      <c r="DR409" s="70">
        <f>IF(VLOOKUP($BS409,'État &amp; Plan d''action'!$B$6:$AJ$1113,29,FALSE)="","",VLOOKUP($BS409,'État &amp; Plan d''action'!$B$6:$AJ$1113,29,FALSE))</f>
        <v>0</v>
      </c>
      <c r="DS409" s="70">
        <f>IF(VLOOKUP($BS409,'État &amp; Plan d''action'!$B$6:$AJ$1113,30,FALSE)="","",VLOOKUP($BS409,'État &amp; Plan d''action'!$B$6:$AJ$1113,30,FALSE))</f>
        <v>0</v>
      </c>
      <c r="DT409" s="70">
        <v>218</v>
      </c>
      <c r="DU409" s="485">
        <v>1.8441678192715536</v>
      </c>
      <c r="DV409" s="485">
        <v>1.3822168687762255</v>
      </c>
      <c r="DW409" s="70">
        <v>0</v>
      </c>
      <c r="DX409" s="70">
        <v>0</v>
      </c>
      <c r="DY409" s="70">
        <v>2</v>
      </c>
      <c r="DZ409" s="70">
        <f>VLOOKUP($BS409,'État &amp; Plan d''action'!$B$6:$AH$1113,31,FALSE)</f>
        <v>1</v>
      </c>
      <c r="EA409" s="70">
        <f>VLOOKUP($BS409,'État &amp; Plan d''action'!$B$6:$AH$1113,32,FALSE)</f>
        <v>0</v>
      </c>
      <c r="EB409" s="70">
        <f>VLOOKUP($BS409,'État &amp; Plan d''action'!$B$6:$AH$1113,33,FALSE)</f>
        <v>0</v>
      </c>
      <c r="EC409" s="70">
        <v>3.4249999999999998</v>
      </c>
      <c r="ED409" s="70">
        <v>0</v>
      </c>
      <c r="EE409" s="70">
        <v>0</v>
      </c>
      <c r="EF409" s="70">
        <v>0</v>
      </c>
      <c r="EG409" s="70">
        <v>0</v>
      </c>
      <c r="EH409" s="72">
        <v>60</v>
      </c>
      <c r="EI409" s="72">
        <v>612</v>
      </c>
    </row>
    <row r="410" spans="71:139" x14ac:dyDescent="0.35">
      <c r="BS410" s="486">
        <v>4015</v>
      </c>
      <c r="BT410" s="479" t="s">
        <v>1038</v>
      </c>
      <c r="BU410" s="479">
        <v>11</v>
      </c>
      <c r="BV410" s="476" t="s">
        <v>1187</v>
      </c>
      <c r="BW410" s="476" t="s">
        <v>1187</v>
      </c>
      <c r="BX410" s="476" t="s">
        <v>1187</v>
      </c>
      <c r="BY410" s="476" t="s">
        <v>1187</v>
      </c>
      <c r="BZ410" s="476" t="s">
        <v>1187</v>
      </c>
      <c r="CA410" s="476" t="s">
        <v>1187</v>
      </c>
      <c r="CB410" s="476" t="s">
        <v>1187</v>
      </c>
      <c r="CC410" s="476" t="s">
        <v>1187</v>
      </c>
      <c r="CD410" s="476" t="s">
        <v>1187</v>
      </c>
      <c r="CE410" s="476" t="s">
        <v>1188</v>
      </c>
      <c r="CF410" s="476" t="s">
        <v>1188</v>
      </c>
      <c r="CG410" s="476" t="s">
        <v>1188</v>
      </c>
      <c r="CH410" s="476" t="s">
        <v>1187</v>
      </c>
      <c r="CI410" s="476" t="s">
        <v>1188</v>
      </c>
      <c r="CJ410" s="476" t="s">
        <v>1187</v>
      </c>
      <c r="CK410" s="476" t="s">
        <v>1187</v>
      </c>
      <c r="CL410" s="476" t="s">
        <v>1187</v>
      </c>
      <c r="CM410" s="476" t="str">
        <f>IF(VLOOKUP(BS410,'Données par municipalité'!$B$6:$E$1113,4,FALSE)="","non","oui")</f>
        <v>oui</v>
      </c>
      <c r="CN410" s="410">
        <v>608.87577678739558</v>
      </c>
      <c r="CO410" s="410">
        <v>682.99874963999844</v>
      </c>
      <c r="CP410" s="410">
        <v>568.62768546366658</v>
      </c>
      <c r="CQ410" s="410">
        <v>548.4637630142679</v>
      </c>
      <c r="CR410" s="410">
        <v>598.35079283572759</v>
      </c>
      <c r="CS410" s="410" t="s">
        <v>1124</v>
      </c>
      <c r="CT410" s="410"/>
      <c r="CU410" s="410" t="s">
        <v>1124</v>
      </c>
      <c r="CV410" s="410">
        <f>IF(VLOOKUP(BS410,'Données par municipalité'!$B$6:$F$1113,4,FALSE)="","",VLOOKUP(BS410,'Données par municipalité'!$B$6:$F$1113,4,FALSE))</f>
        <v>1029</v>
      </c>
      <c r="CW410" s="476" t="s">
        <v>4723</v>
      </c>
      <c r="CX410" s="483">
        <v>0.25</v>
      </c>
      <c r="CY410" s="483">
        <v>0</v>
      </c>
      <c r="CZ410" s="483" t="s">
        <v>1124</v>
      </c>
      <c r="DA410" s="483">
        <v>0</v>
      </c>
      <c r="DB410" s="483" t="s">
        <v>1124</v>
      </c>
      <c r="DC410" s="483" t="s">
        <v>1124</v>
      </c>
      <c r="DD410" s="483" t="s">
        <v>1124</v>
      </c>
      <c r="DE410" s="483">
        <f>IFERROR(SUM(VLOOKUP($BS410,'État &amp; Plan d''action'!$B$6:$Z$1113,18,FALSE),VLOOKUP($BS410,'État &amp; Plan d''action'!$B$6:$Z$1113,20,FALSE))/(VLOOKUP($BS410,'Données par municipalité'!$B$4:$L$1113,11,FALSE)),"")</f>
        <v>0</v>
      </c>
      <c r="DF410" s="483">
        <f>IFERROR(SUM(VLOOKUP($BS410,'État &amp; Plan d''action'!$B$6:$Z$1113,19,FALSE),VLOOKUP($BS410,'État &amp; Plan d''action'!$B$6:$Z$1113,21,FALSE))/(VLOOKUP($BS410,'Données par municipalité'!$B$4:$L$1113,11,FALSE)),"")</f>
        <v>0</v>
      </c>
      <c r="DG410" s="476" t="s">
        <v>4723</v>
      </c>
      <c r="DH410" s="484">
        <v>1</v>
      </c>
      <c r="DI410" s="484">
        <v>0</v>
      </c>
      <c r="DJ410" s="484">
        <v>1</v>
      </c>
      <c r="DK410" s="484">
        <v>1</v>
      </c>
      <c r="DL410" s="484" t="s">
        <v>1124</v>
      </c>
      <c r="DM410" s="484" t="s">
        <v>1124</v>
      </c>
      <c r="DN410" s="484" t="s">
        <v>1124</v>
      </c>
      <c r="DO410" s="484" t="s">
        <v>1124</v>
      </c>
      <c r="DP410" s="484" t="s">
        <v>1124</v>
      </c>
      <c r="DQ410" s="484">
        <f>IF(VLOOKUP($BS410,'État &amp; Plan d''action'!$B$6:$AJ$1113,28,FALSE)="","",VLOOKUP($BS410,'État &amp; Plan d''action'!$B$6:$AJ$1113,28,FALSE))</f>
        <v>0</v>
      </c>
      <c r="DR410" s="70">
        <f>IF(VLOOKUP($BS410,'État &amp; Plan d''action'!$B$6:$AJ$1113,29,FALSE)="","",VLOOKUP($BS410,'État &amp; Plan d''action'!$B$6:$AJ$1113,29,FALSE))</f>
        <v>0</v>
      </c>
      <c r="DS410" s="70">
        <f>IF(VLOOKUP($BS410,'État &amp; Plan d''action'!$B$6:$AJ$1113,30,FALSE)="","",VLOOKUP($BS410,'État &amp; Plan d''action'!$B$6:$AJ$1113,30,FALSE))</f>
        <v>0</v>
      </c>
      <c r="DT410" s="70" t="s">
        <v>1124</v>
      </c>
      <c r="DU410" s="485" t="s">
        <v>1124</v>
      </c>
      <c r="DV410" s="485">
        <v>1.0000102979677958</v>
      </c>
      <c r="DW410" s="70" t="s">
        <v>1124</v>
      </c>
      <c r="DX410" s="70" t="s">
        <v>1124</v>
      </c>
      <c r="DY410" s="70" t="s">
        <v>1124</v>
      </c>
      <c r="DZ410" s="70">
        <f>VLOOKUP($BS410,'État &amp; Plan d''action'!$B$6:$AH$1113,31,FALSE)</f>
        <v>0</v>
      </c>
      <c r="EA410" s="70">
        <f>VLOOKUP($BS410,'État &amp; Plan d''action'!$B$6:$AH$1113,32,FALSE)</f>
        <v>0</v>
      </c>
      <c r="EB410" s="70">
        <f>VLOOKUP($BS410,'État &amp; Plan d''action'!$B$6:$AH$1113,33,FALSE)</f>
        <v>0</v>
      </c>
      <c r="EC410" s="70" t="s">
        <v>1124</v>
      </c>
      <c r="ED410" s="70" t="s">
        <v>1124</v>
      </c>
      <c r="EE410" s="70" t="s">
        <v>1124</v>
      </c>
      <c r="EF410" s="70" t="s">
        <v>1124</v>
      </c>
      <c r="EG410" s="70" t="s">
        <v>1124</v>
      </c>
      <c r="EH410" s="72"/>
      <c r="EI410" s="72">
        <v>160</v>
      </c>
    </row>
    <row r="411" spans="71:139" x14ac:dyDescent="0.35">
      <c r="BS411" s="486">
        <v>78102</v>
      </c>
      <c r="BT411" s="479" t="s">
        <v>781</v>
      </c>
      <c r="BU411" s="479">
        <v>15</v>
      </c>
      <c r="BV411" s="476" t="s">
        <v>1187</v>
      </c>
      <c r="BW411" s="476" t="s">
        <v>1187</v>
      </c>
      <c r="BX411" s="476" t="s">
        <v>1187</v>
      </c>
      <c r="BY411" s="476" t="s">
        <v>1187</v>
      </c>
      <c r="BZ411" s="476" t="s">
        <v>1187</v>
      </c>
      <c r="CA411" s="476" t="s">
        <v>1187</v>
      </c>
      <c r="CB411" s="476" t="s">
        <v>1187</v>
      </c>
      <c r="CC411" s="476" t="s">
        <v>1187</v>
      </c>
      <c r="CD411" s="476" t="s">
        <v>1187</v>
      </c>
      <c r="CE411" s="476" t="s">
        <v>1188</v>
      </c>
      <c r="CF411" s="476" t="s">
        <v>1188</v>
      </c>
      <c r="CG411" s="476" t="s">
        <v>1188</v>
      </c>
      <c r="CH411" s="476" t="s">
        <v>1188</v>
      </c>
      <c r="CI411" s="476" t="s">
        <v>1188</v>
      </c>
      <c r="CJ411" s="476" t="s">
        <v>1188</v>
      </c>
      <c r="CK411" s="476" t="s">
        <v>1188</v>
      </c>
      <c r="CL411" s="476" t="s">
        <v>1187</v>
      </c>
      <c r="CM411" s="476" t="str">
        <f>IF(VLOOKUP(BS411,'Données par municipalité'!$B$6:$E$1113,4,FALSE)="","non","oui")</f>
        <v>oui</v>
      </c>
      <c r="CN411" s="410">
        <v>449.24742093691862</v>
      </c>
      <c r="CO411" s="410">
        <v>371.16053345561545</v>
      </c>
      <c r="CP411" s="410">
        <v>339.09804525165464</v>
      </c>
      <c r="CQ411" s="410">
        <v>483.10544346754074</v>
      </c>
      <c r="CR411" s="410">
        <v>374.29322434124532</v>
      </c>
      <c r="CS411" s="410">
        <v>929.06483977457845</v>
      </c>
      <c r="CT411" s="410">
        <v>965.88541532025317</v>
      </c>
      <c r="CU411" s="410" t="s">
        <v>1124</v>
      </c>
      <c r="CV411" s="410">
        <f>IF(VLOOKUP(BS411,'Données par municipalité'!$B$6:$F$1113,4,FALSE)="","",VLOOKUP(BS411,'Données par municipalité'!$B$6:$F$1113,4,FALSE))</f>
        <v>1175</v>
      </c>
      <c r="CW411" s="476" t="s">
        <v>4723</v>
      </c>
      <c r="CX411" s="483">
        <v>0</v>
      </c>
      <c r="CY411" s="483">
        <v>1</v>
      </c>
      <c r="CZ411" s="483">
        <v>1</v>
      </c>
      <c r="DA411" s="483">
        <v>1</v>
      </c>
      <c r="DB411" s="483">
        <v>1</v>
      </c>
      <c r="DC411" s="483">
        <v>1</v>
      </c>
      <c r="DD411" s="483" t="s">
        <v>1124</v>
      </c>
      <c r="DE411" s="483">
        <f>IFERROR(SUM(VLOOKUP($BS411,'État &amp; Plan d''action'!$B$6:$Z$1113,18,FALSE),VLOOKUP($BS411,'État &amp; Plan d''action'!$B$6:$Z$1113,20,FALSE))/(VLOOKUP($BS411,'Données par municipalité'!$B$4:$L$1113,11,FALSE)),"")</f>
        <v>0</v>
      </c>
      <c r="DF411" s="483">
        <f>IFERROR(SUM(VLOOKUP($BS411,'État &amp; Plan d''action'!$B$6:$Z$1113,19,FALSE),VLOOKUP($BS411,'État &amp; Plan d''action'!$B$6:$Z$1113,21,FALSE))/(VLOOKUP($BS411,'Données par municipalité'!$B$4:$L$1113,11,FALSE)),"")</f>
        <v>0.47039369371847911</v>
      </c>
      <c r="DG411" s="476" t="s">
        <v>4723</v>
      </c>
      <c r="DH411" s="484">
        <v>9</v>
      </c>
      <c r="DI411" s="484" t="s">
        <v>1124</v>
      </c>
      <c r="DJ411" s="484">
        <v>11</v>
      </c>
      <c r="DK411" s="484">
        <v>13</v>
      </c>
      <c r="DL411" s="484">
        <v>12</v>
      </c>
      <c r="DM411" s="484">
        <v>4</v>
      </c>
      <c r="DN411" s="484" t="s">
        <v>1124</v>
      </c>
      <c r="DO411" s="484" t="s">
        <v>1124</v>
      </c>
      <c r="DP411" s="484" t="s">
        <v>1124</v>
      </c>
      <c r="DQ411" s="484">
        <f>IF(VLOOKUP($BS411,'État &amp; Plan d''action'!$B$6:$AJ$1113,28,FALSE)="","",VLOOKUP($BS411,'État &amp; Plan d''action'!$B$6:$AJ$1113,28,FALSE))</f>
        <v>5</v>
      </c>
      <c r="DR411" s="70">
        <f>IF(VLOOKUP($BS411,'État &amp; Plan d''action'!$B$6:$AJ$1113,29,FALSE)="","",VLOOKUP($BS411,'État &amp; Plan d''action'!$B$6:$AJ$1113,29,FALSE))</f>
        <v>2</v>
      </c>
      <c r="DS411" s="70">
        <f>IF(VLOOKUP($BS411,'État &amp; Plan d''action'!$B$6:$AJ$1113,30,FALSE)="","",VLOOKUP($BS411,'État &amp; Plan d''action'!$B$6:$AJ$1113,30,FALSE))</f>
        <v>0</v>
      </c>
      <c r="DT411" s="70" t="s">
        <v>1124</v>
      </c>
      <c r="DU411" s="485" t="s">
        <v>1124</v>
      </c>
      <c r="DV411" s="485">
        <v>3.7682525030959586</v>
      </c>
      <c r="DW411" s="70" t="s">
        <v>1124</v>
      </c>
      <c r="DX411" s="70" t="s">
        <v>1124</v>
      </c>
      <c r="DY411" s="70" t="s">
        <v>1124</v>
      </c>
      <c r="DZ411" s="70">
        <f>VLOOKUP($BS411,'État &amp; Plan d''action'!$B$6:$AH$1113,31,FALSE)</f>
        <v>1</v>
      </c>
      <c r="EA411" s="70">
        <f>VLOOKUP($BS411,'État &amp; Plan d''action'!$B$6:$AH$1113,32,FALSE)</f>
        <v>1</v>
      </c>
      <c r="EB411" s="70">
        <f>VLOOKUP($BS411,'État &amp; Plan d''action'!$B$6:$AH$1113,33,FALSE)</f>
        <v>0</v>
      </c>
      <c r="EC411" s="70" t="s">
        <v>1124</v>
      </c>
      <c r="ED411" s="70" t="s">
        <v>1124</v>
      </c>
      <c r="EE411" s="70" t="s">
        <v>1124</v>
      </c>
      <c r="EF411" s="70" t="s">
        <v>1124</v>
      </c>
      <c r="EG411" s="70" t="s">
        <v>1124</v>
      </c>
      <c r="EH411" s="72"/>
      <c r="EI411" s="72">
        <v>10010</v>
      </c>
    </row>
    <row r="412" spans="71:139" x14ac:dyDescent="0.35">
      <c r="BS412" s="486">
        <v>77050</v>
      </c>
      <c r="BT412" s="479" t="s">
        <v>762</v>
      </c>
      <c r="BU412" s="479">
        <v>15</v>
      </c>
      <c r="BV412" s="476" t="s">
        <v>1187</v>
      </c>
      <c r="BW412" s="476" t="s">
        <v>1187</v>
      </c>
      <c r="BX412" s="476" t="s">
        <v>1187</v>
      </c>
      <c r="BY412" s="476" t="s">
        <v>1187</v>
      </c>
      <c r="BZ412" s="476" t="s">
        <v>1187</v>
      </c>
      <c r="CA412" s="476" t="s">
        <v>1187</v>
      </c>
      <c r="CB412" s="476" t="s">
        <v>1187</v>
      </c>
      <c r="CC412" s="476" t="s">
        <v>1187</v>
      </c>
      <c r="CD412" s="476" t="s">
        <v>1187</v>
      </c>
      <c r="CE412" s="476" t="s">
        <v>1187</v>
      </c>
      <c r="CF412" s="476" t="s">
        <v>1187</v>
      </c>
      <c r="CG412" s="476" t="s">
        <v>1187</v>
      </c>
      <c r="CH412" s="476" t="s">
        <v>1187</v>
      </c>
      <c r="CI412" s="476" t="s">
        <v>1187</v>
      </c>
      <c r="CJ412" s="476" t="s">
        <v>1187</v>
      </c>
      <c r="CK412" s="476" t="s">
        <v>1188</v>
      </c>
      <c r="CL412" s="476" t="s">
        <v>1188</v>
      </c>
      <c r="CM412" s="476" t="str">
        <f>IF(VLOOKUP(BS412,'Données par municipalité'!$B$6:$E$1113,4,FALSE)="","non","oui")</f>
        <v>oui</v>
      </c>
      <c r="CN412" s="410" t="s">
        <v>1124</v>
      </c>
      <c r="CO412" s="410" t="s">
        <v>1124</v>
      </c>
      <c r="CP412" s="410"/>
      <c r="CQ412" s="410"/>
      <c r="CR412" s="410"/>
      <c r="CS412" s="410" t="s">
        <v>1124</v>
      </c>
      <c r="CT412" s="410">
        <v>274.28643852213526</v>
      </c>
      <c r="CU412" s="410">
        <v>320</v>
      </c>
      <c r="CV412" s="410">
        <f>IF(VLOOKUP(BS412,'Données par municipalité'!$B$6:$F$1113,4,FALSE)="","",VLOOKUP(BS412,'Données par municipalité'!$B$6:$F$1113,4,FALSE))</f>
        <v>369</v>
      </c>
      <c r="CW412" s="476" t="s">
        <v>4723</v>
      </c>
      <c r="CX412" s="483" t="s">
        <v>1124</v>
      </c>
      <c r="CY412" s="483" t="s">
        <v>1124</v>
      </c>
      <c r="CZ412" s="483" t="s">
        <v>1124</v>
      </c>
      <c r="DA412" s="483" t="s">
        <v>1124</v>
      </c>
      <c r="DB412" s="483" t="s">
        <v>1124</v>
      </c>
      <c r="DC412" s="483">
        <v>1</v>
      </c>
      <c r="DD412" s="483">
        <v>0.99999999999999978</v>
      </c>
      <c r="DE412" s="483">
        <f>IFERROR(SUM(VLOOKUP($BS412,'État &amp; Plan d''action'!$B$6:$Z$1113,18,FALSE),VLOOKUP($BS412,'État &amp; Plan d''action'!$B$6:$Z$1113,20,FALSE))/(VLOOKUP($BS412,'Données par municipalité'!$B$4:$L$1113,11,FALSE)),"")</f>
        <v>0.98530992475815127</v>
      </c>
      <c r="DF412" s="483">
        <f>IFERROR(SUM(VLOOKUP($BS412,'État &amp; Plan d''action'!$B$6:$Z$1113,19,FALSE),VLOOKUP($BS412,'État &amp; Plan d''action'!$B$6:$Z$1113,21,FALSE))/(VLOOKUP($BS412,'Données par municipalité'!$B$4:$L$1113,11,FALSE)),"")</f>
        <v>0.98530992475815127</v>
      </c>
      <c r="DG412" s="476" t="s">
        <v>4723</v>
      </c>
      <c r="DH412" s="484">
        <v>8</v>
      </c>
      <c r="DI412" s="484">
        <v>13</v>
      </c>
      <c r="DJ412" s="484">
        <v>12</v>
      </c>
      <c r="DK412" s="484">
        <v>23</v>
      </c>
      <c r="DL412" s="484" t="s">
        <v>1124</v>
      </c>
      <c r="DM412" s="484">
        <v>9</v>
      </c>
      <c r="DN412" s="484">
        <v>9</v>
      </c>
      <c r="DO412" s="484">
        <v>5</v>
      </c>
      <c r="DP412" s="484">
        <v>13</v>
      </c>
      <c r="DQ412" s="484">
        <f>IF(VLOOKUP($BS412,'État &amp; Plan d''action'!$B$6:$AJ$1113,28,FALSE)="","",VLOOKUP($BS412,'État &amp; Plan d''action'!$B$6:$AJ$1113,28,FALSE))</f>
        <v>1</v>
      </c>
      <c r="DR412" s="70">
        <f>IF(VLOOKUP($BS412,'État &amp; Plan d''action'!$B$6:$AJ$1113,29,FALSE)="","",VLOOKUP($BS412,'État &amp; Plan d''action'!$B$6:$AJ$1113,29,FALSE))</f>
        <v>9</v>
      </c>
      <c r="DS412" s="70">
        <f>IF(VLOOKUP($BS412,'État &amp; Plan d''action'!$B$6:$AJ$1113,30,FALSE)="","",VLOOKUP($BS412,'État &amp; Plan d''action'!$B$6:$AJ$1113,30,FALSE))</f>
        <v>4</v>
      </c>
      <c r="DT412" s="70">
        <v>188</v>
      </c>
      <c r="DU412" s="485">
        <v>1.9409984208184656</v>
      </c>
      <c r="DV412" s="485">
        <v>1.5588037818324585</v>
      </c>
      <c r="DW412" s="70">
        <v>1</v>
      </c>
      <c r="DX412" s="70">
        <v>5</v>
      </c>
      <c r="DY412" s="70">
        <v>20</v>
      </c>
      <c r="DZ412" s="70">
        <f>VLOOKUP($BS412,'État &amp; Plan d''action'!$B$6:$AH$1113,31,FALSE)</f>
        <v>2</v>
      </c>
      <c r="EA412" s="70">
        <f>VLOOKUP($BS412,'État &amp; Plan d''action'!$B$6:$AH$1113,32,FALSE)</f>
        <v>5</v>
      </c>
      <c r="EB412" s="70">
        <f>VLOOKUP($BS412,'État &amp; Plan d''action'!$B$6:$AH$1113,33,FALSE)</f>
        <v>15</v>
      </c>
      <c r="EC412" s="70">
        <v>0</v>
      </c>
      <c r="ED412" s="70">
        <v>0</v>
      </c>
      <c r="EE412" s="70">
        <v>32.875999999999998</v>
      </c>
      <c r="EF412" s="70">
        <v>0</v>
      </c>
      <c r="EG412" s="70">
        <v>0</v>
      </c>
      <c r="EH412" s="72">
        <v>65.672514619883046</v>
      </c>
      <c r="EI412" s="72">
        <v>4271</v>
      </c>
    </row>
    <row r="413" spans="71:139" x14ac:dyDescent="0.35">
      <c r="BS413" s="486">
        <v>80085</v>
      </c>
      <c r="BT413" s="479" t="s">
        <v>816</v>
      </c>
      <c r="BU413" s="479">
        <v>7</v>
      </c>
      <c r="BV413" s="476" t="s">
        <v>1188</v>
      </c>
      <c r="BW413" s="476" t="s">
        <v>1188</v>
      </c>
      <c r="BX413" s="476" t="s">
        <v>1188</v>
      </c>
      <c r="BY413" s="476" t="s">
        <v>1188</v>
      </c>
      <c r="BZ413" s="476" t="s">
        <v>1188</v>
      </c>
      <c r="CA413" s="476" t="s">
        <v>1188</v>
      </c>
      <c r="CB413" s="476" t="s">
        <v>1188</v>
      </c>
      <c r="CC413" s="476" t="s">
        <v>1188</v>
      </c>
      <c r="CD413" s="476" t="s">
        <v>1188</v>
      </c>
      <c r="CE413" s="476" t="s">
        <v>1188</v>
      </c>
      <c r="CF413" s="476" t="s">
        <v>1188</v>
      </c>
      <c r="CG413" s="476" t="s">
        <v>1188</v>
      </c>
      <c r="CH413" s="476" t="s">
        <v>1188</v>
      </c>
      <c r="CI413" s="476" t="s">
        <v>1188</v>
      </c>
      <c r="CJ413" s="476" t="s">
        <v>1187</v>
      </c>
      <c r="CK413" s="476" t="s">
        <v>1187</v>
      </c>
      <c r="CL413" s="476" t="s">
        <v>1187</v>
      </c>
      <c r="CM413" s="476" t="str">
        <f>IF(VLOOKUP(BS413,'Données par municipalité'!$B$6:$E$1113,4,FALSE)="","non","oui")</f>
        <v>non</v>
      </c>
      <c r="CN413" s="410">
        <v>323.63636363636363</v>
      </c>
      <c r="CO413" s="410">
        <v>299.17536015896673</v>
      </c>
      <c r="CP413" s="410">
        <v>255.85056039850562</v>
      </c>
      <c r="CQ413" s="410">
        <v>338.49285538512015</v>
      </c>
      <c r="CR413" s="410">
        <v>335.78082191780823</v>
      </c>
      <c r="CS413" s="410" t="s">
        <v>1124</v>
      </c>
      <c r="CT413" s="410"/>
      <c r="CU413" s="410" t="s">
        <v>1124</v>
      </c>
      <c r="CV413" s="410" t="str">
        <f>IF(VLOOKUP(BS413,'Données par municipalité'!$B$6:$F$1113,4,FALSE)="","",VLOOKUP(BS413,'Données par municipalité'!$B$6:$F$1113,4,FALSE))</f>
        <v/>
      </c>
      <c r="CW413" s="476" t="s">
        <v>4723</v>
      </c>
      <c r="CX413" s="483" t="s">
        <v>1124</v>
      </c>
      <c r="CY413" s="483">
        <v>0</v>
      </c>
      <c r="CZ413" s="483">
        <v>0</v>
      </c>
      <c r="DA413" s="483">
        <v>0</v>
      </c>
      <c r="DB413" s="483" t="s">
        <v>1124</v>
      </c>
      <c r="DC413" s="483" t="s">
        <v>1124</v>
      </c>
      <c r="DD413" s="483" t="s">
        <v>1124</v>
      </c>
      <c r="DE413" s="483" t="str">
        <f>IFERROR(SUM(VLOOKUP($BS413,'État &amp; Plan d''action'!$B$6:$Z$1113,18,FALSE),VLOOKUP($BS413,'État &amp; Plan d''action'!$B$6:$Z$1113,20,FALSE))/(VLOOKUP($BS413,'Données par municipalité'!$B$4:$L$1113,11,FALSE)),"")</f>
        <v/>
      </c>
      <c r="DF413" s="483" t="str">
        <f>IFERROR(SUM(VLOOKUP($BS413,'État &amp; Plan d''action'!$B$6:$Z$1113,19,FALSE),VLOOKUP($BS413,'État &amp; Plan d''action'!$B$6:$Z$1113,21,FALSE))/(VLOOKUP($BS413,'Données par municipalité'!$B$4:$L$1113,11,FALSE)),"")</f>
        <v/>
      </c>
      <c r="DG413" s="476" t="s">
        <v>4723</v>
      </c>
      <c r="DH413" s="484" t="s">
        <v>1124</v>
      </c>
      <c r="DI413" s="484" t="s">
        <v>1124</v>
      </c>
      <c r="DJ413" s="484">
        <v>0</v>
      </c>
      <c r="DK413" s="484">
        <v>0</v>
      </c>
      <c r="DL413" s="484" t="s">
        <v>1124</v>
      </c>
      <c r="DM413" s="484" t="s">
        <v>1124</v>
      </c>
      <c r="DN413" s="484" t="s">
        <v>1124</v>
      </c>
      <c r="DO413" s="484" t="s">
        <v>1124</v>
      </c>
      <c r="DP413" s="484" t="s">
        <v>1124</v>
      </c>
      <c r="DQ413" s="484" t="str">
        <f>IF(VLOOKUP($BS413,'État &amp; Plan d''action'!$B$6:$AJ$1113,28,FALSE)="","",VLOOKUP($BS413,'État &amp; Plan d''action'!$B$6:$AJ$1113,28,FALSE))</f>
        <v/>
      </c>
      <c r="DR413" s="70" t="str">
        <f>IF(VLOOKUP($BS413,'État &amp; Plan d''action'!$B$6:$AJ$1113,29,FALSE)="","",VLOOKUP($BS413,'État &amp; Plan d''action'!$B$6:$AJ$1113,29,FALSE))</f>
        <v/>
      </c>
      <c r="DS413" s="70" t="str">
        <f>IF(VLOOKUP($BS413,'État &amp; Plan d''action'!$B$6:$AJ$1113,30,FALSE)="","",VLOOKUP($BS413,'État &amp; Plan d''action'!$B$6:$AJ$1113,30,FALSE))</f>
        <v/>
      </c>
      <c r="DT413" s="70" t="s">
        <v>1124</v>
      </c>
      <c r="DU413" s="485" t="s">
        <v>1124</v>
      </c>
      <c r="DV413" s="485" t="s">
        <v>1124</v>
      </c>
      <c r="DW413" s="70" t="s">
        <v>1124</v>
      </c>
      <c r="DX413" s="70" t="s">
        <v>1124</v>
      </c>
      <c r="DY413" s="70" t="s">
        <v>1124</v>
      </c>
      <c r="DZ413" s="70" t="str">
        <f>VLOOKUP($BS413,'État &amp; Plan d''action'!$B$6:$AH$1113,31,FALSE)</f>
        <v/>
      </c>
      <c r="EA413" s="70" t="str">
        <f>VLOOKUP($BS413,'État &amp; Plan d''action'!$B$6:$AH$1113,32,FALSE)</f>
        <v/>
      </c>
      <c r="EB413" s="70" t="str">
        <f>VLOOKUP($BS413,'État &amp; Plan d''action'!$B$6:$AH$1113,33,FALSE)</f>
        <v/>
      </c>
      <c r="EC413" s="70" t="s">
        <v>1124</v>
      </c>
      <c r="ED413" s="70" t="s">
        <v>1124</v>
      </c>
      <c r="EE413" s="70" t="s">
        <v>1124</v>
      </c>
      <c r="EF413" s="70" t="s">
        <v>1124</v>
      </c>
      <c r="EG413" s="70" t="s">
        <v>1124</v>
      </c>
      <c r="EH413" s="72"/>
      <c r="EI413" s="72">
        <v>367</v>
      </c>
    </row>
    <row r="414" spans="71:139" x14ac:dyDescent="0.35">
      <c r="BS414" s="486">
        <v>3025</v>
      </c>
      <c r="BT414" s="479" t="s">
        <v>1035</v>
      </c>
      <c r="BU414" s="479">
        <v>11</v>
      </c>
      <c r="BV414" s="476" t="s">
        <v>1187</v>
      </c>
      <c r="BW414" s="476" t="s">
        <v>1187</v>
      </c>
      <c r="BX414" s="476" t="s">
        <v>1187</v>
      </c>
      <c r="BY414" s="476" t="s">
        <v>1187</v>
      </c>
      <c r="BZ414" s="476" t="s">
        <v>1187</v>
      </c>
      <c r="CA414" s="476" t="s">
        <v>1187</v>
      </c>
      <c r="CB414" s="476" t="s">
        <v>1187</v>
      </c>
      <c r="CC414" s="476" t="s">
        <v>1187</v>
      </c>
      <c r="CD414" s="476" t="s">
        <v>1187</v>
      </c>
      <c r="CE414" s="476" t="s">
        <v>1188</v>
      </c>
      <c r="CF414" s="476" t="s">
        <v>1188</v>
      </c>
      <c r="CG414" s="476" t="s">
        <v>1188</v>
      </c>
      <c r="CH414" s="476" t="s">
        <v>1188</v>
      </c>
      <c r="CI414" s="476" t="s">
        <v>1188</v>
      </c>
      <c r="CJ414" s="476" t="s">
        <v>1188</v>
      </c>
      <c r="CK414" s="476" t="s">
        <v>1188</v>
      </c>
      <c r="CL414" s="476" t="s">
        <v>1188</v>
      </c>
      <c r="CM414" s="476" t="str">
        <f>IF(VLOOKUP(BS414,'Données par municipalité'!$B$6:$E$1113,4,FALSE)="","non","oui")</f>
        <v>oui</v>
      </c>
      <c r="CN414" s="410">
        <v>895.31540673093195</v>
      </c>
      <c r="CO414" s="410">
        <v>925.15828791574893</v>
      </c>
      <c r="CP414" s="410">
        <v>921.64182157160099</v>
      </c>
      <c r="CQ414" s="410">
        <v>910.0417633494045</v>
      </c>
      <c r="CR414" s="410">
        <v>1043.8771274387714</v>
      </c>
      <c r="CS414" s="410">
        <v>1331.5577191326051</v>
      </c>
      <c r="CT414" s="410">
        <v>1353.692226161975</v>
      </c>
      <c r="CU414" s="410">
        <v>1435</v>
      </c>
      <c r="CV414" s="410">
        <f>IF(VLOOKUP(BS414,'Données par municipalité'!$B$6:$F$1113,4,FALSE)="","",VLOOKUP(BS414,'Données par municipalité'!$B$6:$F$1113,4,FALSE))</f>
        <v>1219</v>
      </c>
      <c r="CW414" s="476" t="s">
        <v>4723</v>
      </c>
      <c r="CX414" s="483">
        <v>0</v>
      </c>
      <c r="CY414" s="483">
        <v>0.9</v>
      </c>
      <c r="CZ414" s="483">
        <v>1</v>
      </c>
      <c r="DA414" s="483">
        <v>0</v>
      </c>
      <c r="DB414" s="483">
        <v>1</v>
      </c>
      <c r="DC414" s="483">
        <v>1</v>
      </c>
      <c r="DD414" s="483" t="s">
        <v>1124</v>
      </c>
      <c r="DE414" s="483">
        <f>IFERROR(SUM(VLOOKUP($BS414,'État &amp; Plan d''action'!$B$6:$Z$1113,18,FALSE),VLOOKUP($BS414,'État &amp; Plan d''action'!$B$6:$Z$1113,20,FALSE))/(VLOOKUP($BS414,'Données par municipalité'!$B$4:$L$1113,11,FALSE)),"")</f>
        <v>1</v>
      </c>
      <c r="DF414" s="483">
        <f>IFERROR(SUM(VLOOKUP($BS414,'État &amp; Plan d''action'!$B$6:$Z$1113,19,FALSE),VLOOKUP($BS414,'État &amp; Plan d''action'!$B$6:$Z$1113,21,FALSE))/(VLOOKUP($BS414,'Données par municipalité'!$B$4:$L$1113,11,FALSE)),"")</f>
        <v>1</v>
      </c>
      <c r="DG414" s="476" t="s">
        <v>4723</v>
      </c>
      <c r="DH414" s="484">
        <v>6</v>
      </c>
      <c r="DI414" s="484">
        <v>5</v>
      </c>
      <c r="DJ414" s="484">
        <v>6</v>
      </c>
      <c r="DK414" s="484">
        <v>14</v>
      </c>
      <c r="DL414" s="484">
        <v>4</v>
      </c>
      <c r="DM414" s="484">
        <v>1</v>
      </c>
      <c r="DN414" s="484">
        <v>0</v>
      </c>
      <c r="DO414" s="484">
        <v>11</v>
      </c>
      <c r="DP414" s="484">
        <v>0</v>
      </c>
      <c r="DQ414" s="484">
        <f>IF(VLOOKUP($BS414,'État &amp; Plan d''action'!$B$6:$AJ$1113,28,FALSE)="","",VLOOKUP($BS414,'État &amp; Plan d''action'!$B$6:$AJ$1113,28,FALSE))</f>
        <v>2</v>
      </c>
      <c r="DR414" s="70">
        <f>IF(VLOOKUP($BS414,'État &amp; Plan d''action'!$B$6:$AJ$1113,29,FALSE)="","",VLOOKUP($BS414,'État &amp; Plan d''action'!$B$6:$AJ$1113,29,FALSE))</f>
        <v>2</v>
      </c>
      <c r="DS414" s="70">
        <f>IF(VLOOKUP($BS414,'État &amp; Plan d''action'!$B$6:$AJ$1113,30,FALSE)="","",VLOOKUP($BS414,'État &amp; Plan d''action'!$B$6:$AJ$1113,30,FALSE))</f>
        <v>0</v>
      </c>
      <c r="DT414" s="70">
        <v>395</v>
      </c>
      <c r="DU414" s="485">
        <v>13.035240994271348</v>
      </c>
      <c r="DV414" s="485">
        <v>12.747172121949816</v>
      </c>
      <c r="DW414" s="70">
        <v>1</v>
      </c>
      <c r="DX414" s="70">
        <v>15</v>
      </c>
      <c r="DY414" s="70">
        <v>1</v>
      </c>
      <c r="DZ414" s="70">
        <f>VLOOKUP($BS414,'État &amp; Plan d''action'!$B$6:$AH$1113,31,FALSE)</f>
        <v>14</v>
      </c>
      <c r="EA414" s="70">
        <f>VLOOKUP($BS414,'État &amp; Plan d''action'!$B$6:$AH$1113,32,FALSE)</f>
        <v>14</v>
      </c>
      <c r="EB414" s="70">
        <f>VLOOKUP($BS414,'État &amp; Plan d''action'!$B$6:$AH$1113,33,FALSE)</f>
        <v>0</v>
      </c>
      <c r="EC414" s="70">
        <v>0</v>
      </c>
      <c r="ED414" s="70">
        <v>0</v>
      </c>
      <c r="EE414" s="70">
        <v>14.04</v>
      </c>
      <c r="EF414" s="70">
        <v>0</v>
      </c>
      <c r="EG414" s="70">
        <v>0</v>
      </c>
      <c r="EH414" s="72">
        <v>56</v>
      </c>
      <c r="EI414" s="72">
        <v>635</v>
      </c>
    </row>
    <row r="415" spans="71:139" x14ac:dyDescent="0.35">
      <c r="BS415" s="486">
        <v>80110</v>
      </c>
      <c r="BT415" s="479" t="s">
        <v>820</v>
      </c>
      <c r="BU415" s="479">
        <v>7</v>
      </c>
      <c r="BV415" s="476" t="s">
        <v>1188</v>
      </c>
      <c r="BW415" s="476" t="s">
        <v>1188</v>
      </c>
      <c r="BX415" s="476" t="s">
        <v>1188</v>
      </c>
      <c r="BY415" s="476" t="s">
        <v>1188</v>
      </c>
      <c r="BZ415" s="476" t="s">
        <v>1188</v>
      </c>
      <c r="CA415" s="476" t="s">
        <v>1188</v>
      </c>
      <c r="CB415" s="476" t="s">
        <v>1188</v>
      </c>
      <c r="CC415" s="476" t="s">
        <v>1188</v>
      </c>
      <c r="CD415" s="476" t="s">
        <v>1188</v>
      </c>
      <c r="CE415" s="476" t="s">
        <v>1187</v>
      </c>
      <c r="CF415" s="476" t="s">
        <v>1187</v>
      </c>
      <c r="CG415" s="476" t="s">
        <v>1187</v>
      </c>
      <c r="CH415" s="476" t="s">
        <v>1187</v>
      </c>
      <c r="CI415" s="476" t="s">
        <v>1187</v>
      </c>
      <c r="CJ415" s="476" t="s">
        <v>1187</v>
      </c>
      <c r="CK415" s="476" t="s">
        <v>1187</v>
      </c>
      <c r="CL415" s="476" t="s">
        <v>1187</v>
      </c>
      <c r="CM415" s="476" t="str">
        <f>IF(VLOOKUP(BS415,'Données par municipalité'!$B$6:$E$1113,4,FALSE)="","non","oui")</f>
        <v>non</v>
      </c>
      <c r="CN415" s="410" t="s">
        <v>1124</v>
      </c>
      <c r="CO415" s="410" t="s">
        <v>1124</v>
      </c>
      <c r="CP415" s="410"/>
      <c r="CQ415" s="410"/>
      <c r="CR415" s="410"/>
      <c r="CS415" s="410" t="s">
        <v>1124</v>
      </c>
      <c r="CT415" s="410"/>
      <c r="CU415" s="410" t="s">
        <v>1124</v>
      </c>
      <c r="CV415" s="410" t="str">
        <f>IF(VLOOKUP(BS415,'Données par municipalité'!$B$6:$F$1113,4,FALSE)="","",VLOOKUP(BS415,'Données par municipalité'!$B$6:$F$1113,4,FALSE))</f>
        <v/>
      </c>
      <c r="CW415" s="476" t="s">
        <v>4723</v>
      </c>
      <c r="CX415" s="483" t="s">
        <v>1124</v>
      </c>
      <c r="CY415" s="483" t="s">
        <v>1124</v>
      </c>
      <c r="CZ415" s="483" t="s">
        <v>1124</v>
      </c>
      <c r="DA415" s="483" t="s">
        <v>1124</v>
      </c>
      <c r="DB415" s="483" t="s">
        <v>1124</v>
      </c>
      <c r="DC415" s="483" t="s">
        <v>1124</v>
      </c>
      <c r="DD415" s="483" t="s">
        <v>1124</v>
      </c>
      <c r="DE415" s="483" t="str">
        <f>IFERROR(SUM(VLOOKUP($BS415,'État &amp; Plan d''action'!$B$6:$Z$1113,18,FALSE),VLOOKUP($BS415,'État &amp; Plan d''action'!$B$6:$Z$1113,20,FALSE))/(VLOOKUP($BS415,'Données par municipalité'!$B$4:$L$1113,11,FALSE)),"")</f>
        <v/>
      </c>
      <c r="DF415" s="483" t="str">
        <f>IFERROR(SUM(VLOOKUP($BS415,'État &amp; Plan d''action'!$B$6:$Z$1113,19,FALSE),VLOOKUP($BS415,'État &amp; Plan d''action'!$B$6:$Z$1113,21,FALSE))/(VLOOKUP($BS415,'Données par municipalité'!$B$4:$L$1113,11,FALSE)),"")</f>
        <v/>
      </c>
      <c r="DG415" s="476" t="s">
        <v>4723</v>
      </c>
      <c r="DH415" s="484" t="s">
        <v>1124</v>
      </c>
      <c r="DI415" s="484" t="s">
        <v>1124</v>
      </c>
      <c r="DJ415" s="484">
        <v>0</v>
      </c>
      <c r="DK415" s="484">
        <v>0</v>
      </c>
      <c r="DL415" s="484" t="s">
        <v>1124</v>
      </c>
      <c r="DM415" s="484" t="s">
        <v>1124</v>
      </c>
      <c r="DN415" s="484" t="s">
        <v>1124</v>
      </c>
      <c r="DO415" s="484" t="s">
        <v>1124</v>
      </c>
      <c r="DP415" s="484" t="s">
        <v>1124</v>
      </c>
      <c r="DQ415" s="484" t="str">
        <f>IF(VLOOKUP($BS415,'État &amp; Plan d''action'!$B$6:$AJ$1113,28,FALSE)="","",VLOOKUP($BS415,'État &amp; Plan d''action'!$B$6:$AJ$1113,28,FALSE))</f>
        <v/>
      </c>
      <c r="DR415" s="70" t="str">
        <f>IF(VLOOKUP($BS415,'État &amp; Plan d''action'!$B$6:$AJ$1113,29,FALSE)="","",VLOOKUP($BS415,'État &amp; Plan d''action'!$B$6:$AJ$1113,29,FALSE))</f>
        <v/>
      </c>
      <c r="DS415" s="70" t="str">
        <f>IF(VLOOKUP($BS415,'État &amp; Plan d''action'!$B$6:$AJ$1113,30,FALSE)="","",VLOOKUP($BS415,'État &amp; Plan d''action'!$B$6:$AJ$1113,30,FALSE))</f>
        <v/>
      </c>
      <c r="DT415" s="70" t="s">
        <v>1124</v>
      </c>
      <c r="DU415" s="485" t="s">
        <v>1124</v>
      </c>
      <c r="DV415" s="485" t="s">
        <v>1124</v>
      </c>
      <c r="DW415" s="70" t="s">
        <v>1124</v>
      </c>
      <c r="DX415" s="70" t="s">
        <v>1124</v>
      </c>
      <c r="DY415" s="70" t="s">
        <v>1124</v>
      </c>
      <c r="DZ415" s="70" t="str">
        <f>VLOOKUP($BS415,'État &amp; Plan d''action'!$B$6:$AH$1113,31,FALSE)</f>
        <v/>
      </c>
      <c r="EA415" s="70" t="str">
        <f>VLOOKUP($BS415,'État &amp; Plan d''action'!$B$6:$AH$1113,32,FALSE)</f>
        <v/>
      </c>
      <c r="EB415" s="70" t="str">
        <f>VLOOKUP($BS415,'État &amp; Plan d''action'!$B$6:$AH$1113,33,FALSE)</f>
        <v/>
      </c>
      <c r="EC415" s="70" t="s">
        <v>1124</v>
      </c>
      <c r="ED415" s="70" t="s">
        <v>1124</v>
      </c>
      <c r="EE415" s="70" t="s">
        <v>1124</v>
      </c>
      <c r="EF415" s="70" t="s">
        <v>1124</v>
      </c>
      <c r="EG415" s="70" t="s">
        <v>1124</v>
      </c>
      <c r="EH415" s="72"/>
      <c r="EI415" s="72">
        <v>578</v>
      </c>
    </row>
    <row r="416" spans="71:139" x14ac:dyDescent="0.35">
      <c r="BS416" s="486">
        <v>30045</v>
      </c>
      <c r="BT416" s="479" t="s">
        <v>225</v>
      </c>
      <c r="BU416" s="479">
        <v>5</v>
      </c>
      <c r="BV416" s="476" t="s">
        <v>1187</v>
      </c>
      <c r="BW416" s="476" t="s">
        <v>1187</v>
      </c>
      <c r="BX416" s="476" t="s">
        <v>1187</v>
      </c>
      <c r="BY416" s="476" t="s">
        <v>1187</v>
      </c>
      <c r="BZ416" s="476" t="s">
        <v>1187</v>
      </c>
      <c r="CA416" s="476" t="s">
        <v>1187</v>
      </c>
      <c r="CB416" s="476" t="s">
        <v>1187</v>
      </c>
      <c r="CC416" s="476" t="s">
        <v>1187</v>
      </c>
      <c r="CD416" s="476" t="s">
        <v>1187</v>
      </c>
      <c r="CE416" s="476" t="s">
        <v>1188</v>
      </c>
      <c r="CF416" s="476" t="s">
        <v>1188</v>
      </c>
      <c r="CG416" s="476" t="s">
        <v>1187</v>
      </c>
      <c r="CH416" s="476" t="s">
        <v>1188</v>
      </c>
      <c r="CI416" s="476" t="s">
        <v>1188</v>
      </c>
      <c r="CJ416" s="476" t="s">
        <v>1187</v>
      </c>
      <c r="CK416" s="476" t="s">
        <v>1188</v>
      </c>
      <c r="CL416" s="476" t="s">
        <v>1188</v>
      </c>
      <c r="CM416" s="476" t="str">
        <f>IF(VLOOKUP(BS416,'Données par municipalité'!$B$6:$E$1113,4,FALSE)="","non","oui")</f>
        <v>oui</v>
      </c>
      <c r="CN416" s="410">
        <v>451.23806415231257</v>
      </c>
      <c r="CO416" s="410">
        <v>346.61986393445869</v>
      </c>
      <c r="CP416" s="410"/>
      <c r="CQ416" s="410">
        <v>281.59356541410074</v>
      </c>
      <c r="CR416" s="410">
        <v>248.66597634046067</v>
      </c>
      <c r="CS416" s="410" t="s">
        <v>1124</v>
      </c>
      <c r="CT416" s="410">
        <v>227.25920164595291</v>
      </c>
      <c r="CU416" s="410">
        <v>201</v>
      </c>
      <c r="CV416" s="410">
        <f>IF(VLOOKUP(BS416,'Données par municipalité'!$B$6:$F$1113,4,FALSE)="","",VLOOKUP(BS416,'Données par municipalité'!$B$6:$F$1113,4,FALSE))</f>
        <v>207</v>
      </c>
      <c r="CW416" s="476" t="s">
        <v>4723</v>
      </c>
      <c r="CX416" s="483">
        <v>1</v>
      </c>
      <c r="CY416" s="483" t="s">
        <v>1124</v>
      </c>
      <c r="CZ416" s="483">
        <v>1</v>
      </c>
      <c r="DA416" s="483">
        <v>1</v>
      </c>
      <c r="DB416" s="483" t="s">
        <v>1124</v>
      </c>
      <c r="DC416" s="483">
        <v>1</v>
      </c>
      <c r="DD416" s="483">
        <v>1</v>
      </c>
      <c r="DE416" s="483">
        <f>IFERROR(SUM(VLOOKUP($BS416,'État &amp; Plan d''action'!$B$6:$Z$1113,18,FALSE),VLOOKUP($BS416,'État &amp; Plan d''action'!$B$6:$Z$1113,20,FALSE))/(VLOOKUP($BS416,'Données par municipalité'!$B$4:$L$1113,11,FALSE)),"")</f>
        <v>0.54079110012360943</v>
      </c>
      <c r="DF416" s="483">
        <f>IFERROR(SUM(VLOOKUP($BS416,'État &amp; Plan d''action'!$B$6:$Z$1113,19,FALSE),VLOOKUP($BS416,'État &amp; Plan d''action'!$B$6:$Z$1113,21,FALSE))/(VLOOKUP($BS416,'Données par municipalité'!$B$4:$L$1113,11,FALSE)),"")</f>
        <v>0.54079110012360943</v>
      </c>
      <c r="DG416" s="476" t="s">
        <v>4723</v>
      </c>
      <c r="DH416" s="484">
        <v>3</v>
      </c>
      <c r="DI416" s="484" t="s">
        <v>1124</v>
      </c>
      <c r="DJ416" s="484">
        <v>6</v>
      </c>
      <c r="DK416" s="484">
        <v>6</v>
      </c>
      <c r="DL416" s="484" t="s">
        <v>1124</v>
      </c>
      <c r="DM416" s="484">
        <v>2</v>
      </c>
      <c r="DN416" s="484">
        <v>0</v>
      </c>
      <c r="DO416" s="484">
        <v>0</v>
      </c>
      <c r="DP416" s="484">
        <v>2</v>
      </c>
      <c r="DQ416" s="484">
        <f>IF(VLOOKUP($BS416,'État &amp; Plan d''action'!$B$6:$AJ$1113,28,FALSE)="","",VLOOKUP($BS416,'État &amp; Plan d''action'!$B$6:$AJ$1113,28,FALSE))</f>
        <v>0</v>
      </c>
      <c r="DR416" s="70">
        <f>IF(VLOOKUP($BS416,'État &amp; Plan d''action'!$B$6:$AJ$1113,29,FALSE)="","",VLOOKUP($BS416,'État &amp; Plan d''action'!$B$6:$AJ$1113,29,FALSE))</f>
        <v>0</v>
      </c>
      <c r="DS416" s="70">
        <f>IF(VLOOKUP($BS416,'État &amp; Plan d''action'!$B$6:$AJ$1113,30,FALSE)="","",VLOOKUP($BS416,'État &amp; Plan d''action'!$B$6:$AJ$1113,30,FALSE))</f>
        <v>1</v>
      </c>
      <c r="DT416" s="70">
        <v>157</v>
      </c>
      <c r="DU416" s="485">
        <v>0.83722102386344965</v>
      </c>
      <c r="DV416" s="485">
        <v>1.0198872543782926</v>
      </c>
      <c r="DW416" s="70">
        <v>0</v>
      </c>
      <c r="DX416" s="70">
        <v>0</v>
      </c>
      <c r="DY416" s="70">
        <v>2</v>
      </c>
      <c r="DZ416" s="70">
        <f>VLOOKUP($BS416,'État &amp; Plan d''action'!$B$6:$AH$1113,31,FALSE)</f>
        <v>0</v>
      </c>
      <c r="EA416" s="70">
        <f>VLOOKUP($BS416,'État &amp; Plan d''action'!$B$6:$AH$1113,32,FALSE)</f>
        <v>0</v>
      </c>
      <c r="EB416" s="70">
        <f>VLOOKUP($BS416,'État &amp; Plan d''action'!$B$6:$AH$1113,33,FALSE)</f>
        <v>20</v>
      </c>
      <c r="EC416" s="70">
        <v>3.7149999999999999</v>
      </c>
      <c r="ED416" s="70">
        <v>4.0449999999999999</v>
      </c>
      <c r="EE416" s="70">
        <v>4.0449999999999999</v>
      </c>
      <c r="EF416" s="70">
        <v>0</v>
      </c>
      <c r="EG416" s="70">
        <v>0</v>
      </c>
      <c r="EH416" s="72">
        <v>56</v>
      </c>
      <c r="EI416" s="72">
        <v>1426</v>
      </c>
    </row>
    <row r="417" spans="71:139" x14ac:dyDescent="0.35">
      <c r="BS417" s="486">
        <v>68030</v>
      </c>
      <c r="BT417" s="479" t="s">
        <v>678</v>
      </c>
      <c r="BU417" s="479">
        <v>16</v>
      </c>
      <c r="BV417" s="476" t="s">
        <v>1187</v>
      </c>
      <c r="BW417" s="476" t="s">
        <v>1187</v>
      </c>
      <c r="BX417" s="476" t="s">
        <v>1187</v>
      </c>
      <c r="BY417" s="476" t="s">
        <v>1187</v>
      </c>
      <c r="BZ417" s="476" t="s">
        <v>1187</v>
      </c>
      <c r="CA417" s="476" t="s">
        <v>1187</v>
      </c>
      <c r="CB417" s="476" t="s">
        <v>1187</v>
      </c>
      <c r="CC417" s="476" t="s">
        <v>1187</v>
      </c>
      <c r="CD417" s="476" t="s">
        <v>1187</v>
      </c>
      <c r="CE417" s="476" t="s">
        <v>1188</v>
      </c>
      <c r="CF417" s="476" t="s">
        <v>1188</v>
      </c>
      <c r="CG417" s="476" t="s">
        <v>1188</v>
      </c>
      <c r="CH417" s="476" t="s">
        <v>1188</v>
      </c>
      <c r="CI417" s="476" t="s">
        <v>1188</v>
      </c>
      <c r="CJ417" s="476" t="s">
        <v>1188</v>
      </c>
      <c r="CK417" s="476" t="s">
        <v>1188</v>
      </c>
      <c r="CL417" s="476" t="s">
        <v>1188</v>
      </c>
      <c r="CM417" s="476" t="str">
        <f>IF(VLOOKUP(BS417,'Données par municipalité'!$B$6:$E$1113,4,FALSE)="","non","oui")</f>
        <v>oui</v>
      </c>
      <c r="CN417" s="410">
        <v>368.27672634871658</v>
      </c>
      <c r="CO417" s="410">
        <v>340.4741137800126</v>
      </c>
      <c r="CP417" s="410">
        <v>330.47245899251533</v>
      </c>
      <c r="CQ417" s="410">
        <v>291.45440567170215</v>
      </c>
      <c r="CR417" s="410">
        <v>294.53357707834721</v>
      </c>
      <c r="CS417" s="410">
        <v>352.0140459091001</v>
      </c>
      <c r="CT417" s="410">
        <v>323.35063700979043</v>
      </c>
      <c r="CU417" s="410">
        <v>327</v>
      </c>
      <c r="CV417" s="410">
        <f>IF(VLOOKUP(BS417,'Données par municipalité'!$B$6:$F$1113,4,FALSE)="","",VLOOKUP(BS417,'Données par municipalité'!$B$6:$F$1113,4,FALSE))</f>
        <v>303</v>
      </c>
      <c r="CW417" s="476" t="s">
        <v>4723</v>
      </c>
      <c r="CX417" s="483">
        <v>1.1599999999999999</v>
      </c>
      <c r="CY417" s="483">
        <v>1</v>
      </c>
      <c r="CZ417" s="483">
        <v>1</v>
      </c>
      <c r="DA417" s="483">
        <v>1</v>
      </c>
      <c r="DB417" s="483">
        <v>1</v>
      </c>
      <c r="DC417" s="483">
        <v>1</v>
      </c>
      <c r="DD417" s="483">
        <v>1</v>
      </c>
      <c r="DE417" s="483">
        <f>IFERROR(SUM(VLOOKUP($BS417,'État &amp; Plan d''action'!$B$6:$Z$1113,18,FALSE),VLOOKUP($BS417,'État &amp; Plan d''action'!$B$6:$Z$1113,20,FALSE))/(VLOOKUP($BS417,'Données par municipalité'!$B$4:$L$1113,11,FALSE)),"")</f>
        <v>1.5</v>
      </c>
      <c r="DF417" s="483">
        <f>IFERROR(SUM(VLOOKUP($BS417,'État &amp; Plan d''action'!$B$6:$Z$1113,19,FALSE),VLOOKUP($BS417,'État &amp; Plan d''action'!$B$6:$Z$1113,21,FALSE))/(VLOOKUP($BS417,'Données par municipalité'!$B$4:$L$1113,11,FALSE)),"")</f>
        <v>2.0001302422505862</v>
      </c>
      <c r="DG417" s="476" t="s">
        <v>4723</v>
      </c>
      <c r="DH417" s="484">
        <v>2</v>
      </c>
      <c r="DI417" s="484">
        <v>6</v>
      </c>
      <c r="DJ417" s="484">
        <v>7</v>
      </c>
      <c r="DK417" s="484">
        <v>9</v>
      </c>
      <c r="DL417" s="484">
        <v>2</v>
      </c>
      <c r="DM417" s="484">
        <v>3</v>
      </c>
      <c r="DN417" s="484">
        <v>2</v>
      </c>
      <c r="DO417" s="484">
        <v>0</v>
      </c>
      <c r="DP417" s="484">
        <v>0</v>
      </c>
      <c r="DQ417" s="484">
        <f>IF(VLOOKUP($BS417,'État &amp; Plan d''action'!$B$6:$AJ$1113,28,FALSE)="","",VLOOKUP($BS417,'État &amp; Plan d''action'!$B$6:$AJ$1113,28,FALSE))</f>
        <v>5</v>
      </c>
      <c r="DR417" s="70">
        <f>IF(VLOOKUP($BS417,'État &amp; Plan d''action'!$B$6:$AJ$1113,29,FALSE)="","",VLOOKUP($BS417,'État &amp; Plan d''action'!$B$6:$AJ$1113,29,FALSE))</f>
        <v>0</v>
      </c>
      <c r="DS417" s="70">
        <f>IF(VLOOKUP($BS417,'État &amp; Plan d''action'!$B$6:$AJ$1113,30,FALSE)="","",VLOOKUP($BS417,'État &amp; Plan d''action'!$B$6:$AJ$1113,30,FALSE))</f>
        <v>0</v>
      </c>
      <c r="DT417" s="70">
        <v>253</v>
      </c>
      <c r="DU417" s="485">
        <v>3.1296586888714177</v>
      </c>
      <c r="DV417" s="485">
        <v>4.1477542496662183</v>
      </c>
      <c r="DW417" s="70">
        <v>2</v>
      </c>
      <c r="DX417" s="70">
        <v>0</v>
      </c>
      <c r="DY417" s="70">
        <v>0</v>
      </c>
      <c r="DZ417" s="70">
        <f>VLOOKUP($BS417,'État &amp; Plan d''action'!$B$6:$AH$1113,31,FALSE)</f>
        <v>1</v>
      </c>
      <c r="EA417" s="70">
        <f>VLOOKUP($BS417,'État &amp; Plan d''action'!$B$6:$AH$1113,32,FALSE)</f>
        <v>0</v>
      </c>
      <c r="EB417" s="70">
        <f>VLOOKUP($BS417,'État &amp; Plan d''action'!$B$6:$AH$1113,33,FALSE)</f>
        <v>0</v>
      </c>
      <c r="EC417" s="70">
        <v>0</v>
      </c>
      <c r="ED417" s="70">
        <v>0</v>
      </c>
      <c r="EE417" s="70">
        <v>30.018000000000001</v>
      </c>
      <c r="EF417" s="70">
        <v>0</v>
      </c>
      <c r="EG417" s="70">
        <v>0</v>
      </c>
      <c r="EH417" s="72">
        <v>42</v>
      </c>
      <c r="EI417" s="72">
        <v>4059</v>
      </c>
    </row>
    <row r="418" spans="71:139" x14ac:dyDescent="0.35">
      <c r="BS418" s="486">
        <v>98025</v>
      </c>
      <c r="BT418" s="479" t="s">
        <v>1012</v>
      </c>
      <c r="BU418" s="479">
        <v>9</v>
      </c>
      <c r="BV418" s="476" t="s">
        <v>1187</v>
      </c>
      <c r="BW418" s="476" t="s">
        <v>1187</v>
      </c>
      <c r="BX418" s="476" t="s">
        <v>1187</v>
      </c>
      <c r="BY418" s="476" t="s">
        <v>1187</v>
      </c>
      <c r="BZ418" s="476" t="s">
        <v>1187</v>
      </c>
      <c r="CA418" s="476" t="s">
        <v>1187</v>
      </c>
      <c r="CB418" s="476" t="s">
        <v>1187</v>
      </c>
      <c r="CC418" s="476" t="s">
        <v>1187</v>
      </c>
      <c r="CD418" s="476" t="s">
        <v>1187</v>
      </c>
      <c r="CE418" s="476" t="s">
        <v>1187</v>
      </c>
      <c r="CF418" s="476" t="s">
        <v>1187</v>
      </c>
      <c r="CG418" s="476" t="s">
        <v>1187</v>
      </c>
      <c r="CH418" s="476" t="s">
        <v>1187</v>
      </c>
      <c r="CI418" s="476" t="s">
        <v>1187</v>
      </c>
      <c r="CJ418" s="476" t="s">
        <v>1187</v>
      </c>
      <c r="CK418" s="476" t="s">
        <v>1187</v>
      </c>
      <c r="CL418" s="476" t="s">
        <v>1188</v>
      </c>
      <c r="CM418" s="476" t="str">
        <f>IF(VLOOKUP(BS418,'Données par municipalité'!$B$6:$E$1113,4,FALSE)="","non","oui")</f>
        <v>non</v>
      </c>
      <c r="CN418" s="410" t="s">
        <v>1124</v>
      </c>
      <c r="CO418" s="410" t="s">
        <v>1124</v>
      </c>
      <c r="CP418" s="410"/>
      <c r="CQ418" s="410"/>
      <c r="CR418" s="410"/>
      <c r="CS418" s="410" t="s">
        <v>1124</v>
      </c>
      <c r="CT418" s="410"/>
      <c r="CU418" s="410">
        <v>411</v>
      </c>
      <c r="CV418" s="410" t="str">
        <f>IF(VLOOKUP(BS418,'Données par municipalité'!$B$6:$F$1113,4,FALSE)="","",VLOOKUP(BS418,'Données par municipalité'!$B$6:$F$1113,4,FALSE))</f>
        <v/>
      </c>
      <c r="CW418" s="476" t="s">
        <v>4723</v>
      </c>
      <c r="CX418" s="483" t="s">
        <v>1124</v>
      </c>
      <c r="CY418" s="483" t="s">
        <v>1124</v>
      </c>
      <c r="CZ418" s="483" t="s">
        <v>1124</v>
      </c>
      <c r="DA418" s="483" t="s">
        <v>1124</v>
      </c>
      <c r="DB418" s="483" t="s">
        <v>1124</v>
      </c>
      <c r="DC418" s="483" t="s">
        <v>1124</v>
      </c>
      <c r="DD418" s="483">
        <v>0</v>
      </c>
      <c r="DE418" s="483" t="str">
        <f>IFERROR(SUM(VLOOKUP($BS418,'État &amp; Plan d''action'!$B$6:$Z$1113,18,FALSE),VLOOKUP($BS418,'État &amp; Plan d''action'!$B$6:$Z$1113,20,FALSE))/(VLOOKUP($BS418,'Données par municipalité'!$B$4:$L$1113,11,FALSE)),"")</f>
        <v/>
      </c>
      <c r="DF418" s="483" t="str">
        <f>IFERROR(SUM(VLOOKUP($BS418,'État &amp; Plan d''action'!$B$6:$Z$1113,19,FALSE),VLOOKUP($BS418,'État &amp; Plan d''action'!$B$6:$Z$1113,21,FALSE))/(VLOOKUP($BS418,'Données par municipalité'!$B$4:$L$1113,11,FALSE)),"")</f>
        <v/>
      </c>
      <c r="DG418" s="476" t="s">
        <v>4723</v>
      </c>
      <c r="DH418" s="484" t="s">
        <v>1124</v>
      </c>
      <c r="DI418" s="484" t="s">
        <v>1124</v>
      </c>
      <c r="DJ418" s="484">
        <v>0</v>
      </c>
      <c r="DK418" s="484">
        <v>0</v>
      </c>
      <c r="DL418" s="484" t="s">
        <v>1124</v>
      </c>
      <c r="DM418" s="484" t="s">
        <v>1124</v>
      </c>
      <c r="DN418" s="484">
        <v>0</v>
      </c>
      <c r="DO418" s="484">
        <v>2</v>
      </c>
      <c r="DP418" s="484">
        <v>2</v>
      </c>
      <c r="DQ418" s="484" t="str">
        <f>IF(VLOOKUP($BS418,'État &amp; Plan d''action'!$B$6:$AJ$1113,28,FALSE)="","",VLOOKUP($BS418,'État &amp; Plan d''action'!$B$6:$AJ$1113,28,FALSE))</f>
        <v/>
      </c>
      <c r="DR418" s="70" t="str">
        <f>IF(VLOOKUP($BS418,'État &amp; Plan d''action'!$B$6:$AJ$1113,29,FALSE)="","",VLOOKUP($BS418,'État &amp; Plan d''action'!$B$6:$AJ$1113,29,FALSE))</f>
        <v/>
      </c>
      <c r="DS418" s="70" t="str">
        <f>IF(VLOOKUP($BS418,'État &amp; Plan d''action'!$B$6:$AJ$1113,30,FALSE)="","",VLOOKUP($BS418,'État &amp; Plan d''action'!$B$6:$AJ$1113,30,FALSE))</f>
        <v/>
      </c>
      <c r="DT418" s="70">
        <v>304</v>
      </c>
      <c r="DU418" s="485">
        <v>2.3069792306003105</v>
      </c>
      <c r="DV418" s="485" t="s">
        <v>1124</v>
      </c>
      <c r="DW418" s="70">
        <v>0</v>
      </c>
      <c r="DX418" s="70">
        <v>1</v>
      </c>
      <c r="DY418" s="70">
        <v>1</v>
      </c>
      <c r="DZ418" s="70" t="str">
        <f>VLOOKUP($BS418,'État &amp; Plan d''action'!$B$6:$AH$1113,31,FALSE)</f>
        <v/>
      </c>
      <c r="EA418" s="70" t="str">
        <f>VLOOKUP($BS418,'État &amp; Plan d''action'!$B$6:$AH$1113,32,FALSE)</f>
        <v/>
      </c>
      <c r="EB418" s="70" t="str">
        <f>VLOOKUP($BS418,'État &amp; Plan d''action'!$B$6:$AH$1113,33,FALSE)</f>
        <v/>
      </c>
      <c r="EC418" s="70">
        <v>0</v>
      </c>
      <c r="ED418" s="70">
        <v>0</v>
      </c>
      <c r="EE418" s="70">
        <v>0</v>
      </c>
      <c r="EF418" s="70">
        <v>0</v>
      </c>
      <c r="EG418" s="70">
        <v>0</v>
      </c>
      <c r="EH418" s="72">
        <v>43.851351351351354</v>
      </c>
      <c r="EI418" s="72">
        <v>270</v>
      </c>
    </row>
    <row r="419" spans="71:139" x14ac:dyDescent="0.35">
      <c r="BS419" s="486">
        <v>85100</v>
      </c>
      <c r="BT419" s="479" t="s">
        <v>887</v>
      </c>
      <c r="BU419" s="479">
        <v>8</v>
      </c>
      <c r="BV419" s="476" t="s">
        <v>1187</v>
      </c>
      <c r="BW419" s="476" t="s">
        <v>1187</v>
      </c>
      <c r="BX419" s="476" t="s">
        <v>1187</v>
      </c>
      <c r="BY419" s="476" t="s">
        <v>1187</v>
      </c>
      <c r="BZ419" s="476" t="s">
        <v>1187</v>
      </c>
      <c r="CA419" s="476" t="s">
        <v>1187</v>
      </c>
      <c r="CB419" s="476" t="s">
        <v>1187</v>
      </c>
      <c r="CC419" s="476" t="s">
        <v>1187</v>
      </c>
      <c r="CD419" s="476" t="s">
        <v>1187</v>
      </c>
      <c r="CE419" s="476" t="s">
        <v>1188</v>
      </c>
      <c r="CF419" s="476" t="s">
        <v>1188</v>
      </c>
      <c r="CG419" s="476" t="s">
        <v>1188</v>
      </c>
      <c r="CH419" s="476" t="s">
        <v>1187</v>
      </c>
      <c r="CI419" s="476" t="s">
        <v>1187</v>
      </c>
      <c r="CJ419" s="476" t="s">
        <v>1187</v>
      </c>
      <c r="CK419" s="476" t="s">
        <v>1187</v>
      </c>
      <c r="CL419" s="476" t="s">
        <v>1188</v>
      </c>
      <c r="CM419" s="476" t="str">
        <f>IF(VLOOKUP(BS419,'Données par municipalité'!$B$6:$E$1113,4,FALSE)="","non","oui")</f>
        <v>oui</v>
      </c>
      <c r="CN419" s="410">
        <v>288.24704243273493</v>
      </c>
      <c r="CO419" s="410">
        <v>288.14804610368736</v>
      </c>
      <c r="CP419" s="410">
        <v>147.99930639847406</v>
      </c>
      <c r="CQ419" s="410"/>
      <c r="CR419" s="410"/>
      <c r="CS419" s="410" t="s">
        <v>1124</v>
      </c>
      <c r="CT419" s="410"/>
      <c r="CU419" s="410">
        <v>204</v>
      </c>
      <c r="CV419" s="410">
        <f>IF(VLOOKUP(BS419,'Données par municipalité'!$B$6:$F$1113,4,FALSE)="","",VLOOKUP(BS419,'Données par municipalité'!$B$6:$F$1113,4,FALSE))</f>
        <v>237</v>
      </c>
      <c r="CW419" s="476" t="s">
        <v>4723</v>
      </c>
      <c r="CX419" s="483">
        <v>0</v>
      </c>
      <c r="CY419" s="483">
        <v>0</v>
      </c>
      <c r="CZ419" s="483" t="s">
        <v>1124</v>
      </c>
      <c r="DA419" s="483" t="s">
        <v>1124</v>
      </c>
      <c r="DB419" s="483" t="s">
        <v>1124</v>
      </c>
      <c r="DC419" s="483" t="s">
        <v>1124</v>
      </c>
      <c r="DD419" s="483">
        <v>0</v>
      </c>
      <c r="DE419" s="483">
        <f>IFERROR(SUM(VLOOKUP($BS419,'État &amp; Plan d''action'!$B$6:$Z$1113,18,FALSE),VLOOKUP($BS419,'État &amp; Plan d''action'!$B$6:$Z$1113,20,FALSE))/(VLOOKUP($BS419,'Données par municipalité'!$B$4:$L$1113,11,FALSE)),"")</f>
        <v>0</v>
      </c>
      <c r="DF419" s="483">
        <f>IFERROR(SUM(VLOOKUP($BS419,'État &amp; Plan d''action'!$B$6:$Z$1113,19,FALSE),VLOOKUP($BS419,'État &amp; Plan d''action'!$B$6:$Z$1113,21,FALSE))/(VLOOKUP($BS419,'Données par municipalité'!$B$4:$L$1113,11,FALSE)),"")</f>
        <v>0</v>
      </c>
      <c r="DG419" s="476" t="s">
        <v>4723</v>
      </c>
      <c r="DH419" s="484" t="s">
        <v>1124</v>
      </c>
      <c r="DI419" s="484" t="s">
        <v>1124</v>
      </c>
      <c r="DJ419" s="484">
        <v>0</v>
      </c>
      <c r="DK419" s="484">
        <v>1</v>
      </c>
      <c r="DL419" s="484" t="s">
        <v>1124</v>
      </c>
      <c r="DM419" s="484" t="s">
        <v>1124</v>
      </c>
      <c r="DN419" s="484">
        <v>0</v>
      </c>
      <c r="DO419" s="484">
        <v>0</v>
      </c>
      <c r="DP419" s="484">
        <v>0</v>
      </c>
      <c r="DQ419" s="484">
        <f>IF(VLOOKUP($BS419,'État &amp; Plan d''action'!$B$6:$AJ$1113,28,FALSE)="","",VLOOKUP($BS419,'État &amp; Plan d''action'!$B$6:$AJ$1113,28,FALSE))</f>
        <v>0</v>
      </c>
      <c r="DR419" s="70">
        <f>IF(VLOOKUP($BS419,'État &amp; Plan d''action'!$B$6:$AJ$1113,29,FALSE)="","",VLOOKUP($BS419,'État &amp; Plan d''action'!$B$6:$AJ$1113,29,FALSE))</f>
        <v>0</v>
      </c>
      <c r="DS419" s="70">
        <f>IF(VLOOKUP($BS419,'État &amp; Plan d''action'!$B$6:$AJ$1113,30,FALSE)="","",VLOOKUP($BS419,'État &amp; Plan d''action'!$B$6:$AJ$1113,30,FALSE))</f>
        <v>0</v>
      </c>
      <c r="DT419" s="70">
        <v>161</v>
      </c>
      <c r="DU419" s="485">
        <v>1.0012461055976469</v>
      </c>
      <c r="DV419" s="485">
        <v>1.1779611015335476</v>
      </c>
      <c r="DW419" s="70">
        <v>0</v>
      </c>
      <c r="DX419" s="70">
        <v>0</v>
      </c>
      <c r="DY419" s="70">
        <v>0</v>
      </c>
      <c r="DZ419" s="70">
        <f>VLOOKUP($BS419,'État &amp; Plan d''action'!$B$6:$AH$1113,31,FALSE)</f>
        <v>0</v>
      </c>
      <c r="EA419" s="70">
        <f>VLOOKUP($BS419,'État &amp; Plan d''action'!$B$6:$AH$1113,32,FALSE)</f>
        <v>0</v>
      </c>
      <c r="EB419" s="70">
        <f>VLOOKUP($BS419,'État &amp; Plan d''action'!$B$6:$AH$1113,33,FALSE)</f>
        <v>0</v>
      </c>
      <c r="EC419" s="70">
        <v>1.913</v>
      </c>
      <c r="ED419" s="70">
        <v>0</v>
      </c>
      <c r="EE419" s="70">
        <v>0</v>
      </c>
      <c r="EF419" s="70">
        <v>0</v>
      </c>
      <c r="EG419" s="70">
        <v>0</v>
      </c>
      <c r="EH419" s="72">
        <v>43.689189189189193</v>
      </c>
      <c r="EI419" s="72">
        <v>342</v>
      </c>
    </row>
    <row r="420" spans="71:139" x14ac:dyDescent="0.35">
      <c r="BS420" s="486">
        <v>34007</v>
      </c>
      <c r="BT420" s="479" t="s">
        <v>285</v>
      </c>
      <c r="BU420" s="479">
        <v>3</v>
      </c>
      <c r="BV420" s="476" t="s">
        <v>1187</v>
      </c>
      <c r="BW420" s="476" t="s">
        <v>1187</v>
      </c>
      <c r="BX420" s="476" t="s">
        <v>1187</v>
      </c>
      <c r="BY420" s="476" t="s">
        <v>1187</v>
      </c>
      <c r="BZ420" s="476" t="s">
        <v>1187</v>
      </c>
      <c r="CA420" s="476" t="s">
        <v>1187</v>
      </c>
      <c r="CB420" s="476" t="s">
        <v>1187</v>
      </c>
      <c r="CC420" s="476" t="s">
        <v>1187</v>
      </c>
      <c r="CD420" s="476" t="s">
        <v>1187</v>
      </c>
      <c r="CE420" s="476" t="s">
        <v>1188</v>
      </c>
      <c r="CF420" s="476" t="s">
        <v>1188</v>
      </c>
      <c r="CG420" s="476" t="s">
        <v>1187</v>
      </c>
      <c r="CH420" s="476" t="s">
        <v>1188</v>
      </c>
      <c r="CI420" s="476" t="s">
        <v>1188</v>
      </c>
      <c r="CJ420" s="476" t="s">
        <v>1188</v>
      </c>
      <c r="CK420" s="476" t="s">
        <v>1188</v>
      </c>
      <c r="CL420" s="476" t="s">
        <v>1188</v>
      </c>
      <c r="CM420" s="476" t="str">
        <f>IF(VLOOKUP(BS420,'Données par municipalité'!$B$6:$E$1113,4,FALSE)="","non","oui")</f>
        <v>oui</v>
      </c>
      <c r="CN420" s="410">
        <v>352.36860929291691</v>
      </c>
      <c r="CO420" s="410">
        <v>326.38393917795207</v>
      </c>
      <c r="CP420" s="410"/>
      <c r="CQ420" s="410">
        <v>277.30115026894902</v>
      </c>
      <c r="CR420" s="410">
        <v>286.58071734532137</v>
      </c>
      <c r="CS420" s="410">
        <v>284.3151055997065</v>
      </c>
      <c r="CT420" s="410">
        <v>302.11647772842474</v>
      </c>
      <c r="CU420" s="410">
        <v>288</v>
      </c>
      <c r="CV420" s="410">
        <f>IF(VLOOKUP(BS420,'Données par municipalité'!$B$6:$F$1113,4,FALSE)="","",VLOOKUP(BS420,'Données par municipalité'!$B$6:$F$1113,4,FALSE))</f>
        <v>310</v>
      </c>
      <c r="CW420" s="476" t="s">
        <v>4723</v>
      </c>
      <c r="CX420" s="483">
        <v>0.01</v>
      </c>
      <c r="CY420" s="483" t="s">
        <v>1124</v>
      </c>
      <c r="CZ420" s="483">
        <v>0</v>
      </c>
      <c r="DA420" s="483">
        <v>0</v>
      </c>
      <c r="DB420" s="483">
        <v>0</v>
      </c>
      <c r="DC420" s="483">
        <v>0</v>
      </c>
      <c r="DD420" s="483">
        <v>0</v>
      </c>
      <c r="DE420" s="483">
        <f>IFERROR(SUM(VLOOKUP($BS420,'État &amp; Plan d''action'!$B$6:$Z$1113,18,FALSE),VLOOKUP($BS420,'État &amp; Plan d''action'!$B$6:$Z$1113,20,FALSE))/(VLOOKUP($BS420,'Données par municipalité'!$B$4:$L$1113,11,FALSE)),"")</f>
        <v>0</v>
      </c>
      <c r="DF420" s="483">
        <f>IFERROR(SUM(VLOOKUP($BS420,'État &amp; Plan d''action'!$B$6:$Z$1113,19,FALSE),VLOOKUP($BS420,'État &amp; Plan d''action'!$B$6:$Z$1113,21,FALSE))/(VLOOKUP($BS420,'Données par municipalité'!$B$4:$L$1113,11,FALSE)),"")</f>
        <v>0</v>
      </c>
      <c r="DG420" s="476" t="s">
        <v>4723</v>
      </c>
      <c r="DH420" s="484">
        <v>2</v>
      </c>
      <c r="DI420" s="484" t="s">
        <v>1124</v>
      </c>
      <c r="DJ420" s="484">
        <v>0</v>
      </c>
      <c r="DK420" s="484">
        <v>2</v>
      </c>
      <c r="DL420" s="484">
        <v>0</v>
      </c>
      <c r="DM420" s="484">
        <v>0</v>
      </c>
      <c r="DN420" s="484">
        <v>0</v>
      </c>
      <c r="DO420" s="484">
        <v>1</v>
      </c>
      <c r="DP420" s="484">
        <v>0</v>
      </c>
      <c r="DQ420" s="484">
        <f>IF(VLOOKUP($BS420,'État &amp; Plan d''action'!$B$6:$AJ$1113,28,FALSE)="","",VLOOKUP($BS420,'État &amp; Plan d''action'!$B$6:$AJ$1113,28,FALSE))</f>
        <v>0</v>
      </c>
      <c r="DR420" s="70">
        <f>IF(VLOOKUP($BS420,'État &amp; Plan d''action'!$B$6:$AJ$1113,29,FALSE)="","",VLOOKUP($BS420,'État &amp; Plan d''action'!$B$6:$AJ$1113,29,FALSE))</f>
        <v>0</v>
      </c>
      <c r="DS420" s="70">
        <f>IF(VLOOKUP($BS420,'État &amp; Plan d''action'!$B$6:$AJ$1113,30,FALSE)="","",VLOOKUP($BS420,'État &amp; Plan d''action'!$B$6:$AJ$1113,30,FALSE))</f>
        <v>0</v>
      </c>
      <c r="DT420" s="70">
        <v>236</v>
      </c>
      <c r="DU420" s="485">
        <v>1.2091848649550989</v>
      </c>
      <c r="DV420" s="485">
        <v>1.8277346047585727</v>
      </c>
      <c r="DW420" s="70">
        <v>0</v>
      </c>
      <c r="DX420" s="70">
        <v>3</v>
      </c>
      <c r="DY420" s="70">
        <v>0</v>
      </c>
      <c r="DZ420" s="70">
        <f>VLOOKUP($BS420,'État &amp; Plan d''action'!$B$6:$AH$1113,31,FALSE)</f>
        <v>0</v>
      </c>
      <c r="EA420" s="70">
        <f>VLOOKUP($BS420,'État &amp; Plan d''action'!$B$6:$AH$1113,32,FALSE)</f>
        <v>0</v>
      </c>
      <c r="EB420" s="70">
        <f>VLOOKUP($BS420,'État &amp; Plan d''action'!$B$6:$AH$1113,33,FALSE)</f>
        <v>0</v>
      </c>
      <c r="EC420" s="70">
        <v>0</v>
      </c>
      <c r="ED420" s="70">
        <v>0</v>
      </c>
      <c r="EE420" s="70">
        <v>0</v>
      </c>
      <c r="EF420" s="70">
        <v>0</v>
      </c>
      <c r="EG420" s="70">
        <v>0</v>
      </c>
      <c r="EH420" s="72">
        <v>59</v>
      </c>
      <c r="EI420" s="72">
        <v>4486</v>
      </c>
    </row>
    <row r="421" spans="71:139" x14ac:dyDescent="0.35">
      <c r="BS421" s="486">
        <v>5040</v>
      </c>
      <c r="BT421" s="479" t="s">
        <v>1049</v>
      </c>
      <c r="BU421" s="479">
        <v>11</v>
      </c>
      <c r="BV421" s="476" t="s">
        <v>1187</v>
      </c>
      <c r="BW421" s="476" t="s">
        <v>1187</v>
      </c>
      <c r="BX421" s="476" t="s">
        <v>1187</v>
      </c>
      <c r="BY421" s="476" t="s">
        <v>1187</v>
      </c>
      <c r="BZ421" s="476" t="s">
        <v>1187</v>
      </c>
      <c r="CA421" s="476" t="s">
        <v>1187</v>
      </c>
      <c r="CB421" s="476" t="s">
        <v>1187</v>
      </c>
      <c r="CC421" s="476" t="s">
        <v>1187</v>
      </c>
      <c r="CD421" s="476" t="s">
        <v>1187</v>
      </c>
      <c r="CE421" s="476" t="s">
        <v>1188</v>
      </c>
      <c r="CF421" s="476" t="s">
        <v>1188</v>
      </c>
      <c r="CG421" s="476" t="s">
        <v>1187</v>
      </c>
      <c r="CH421" s="476" t="s">
        <v>1187</v>
      </c>
      <c r="CI421" s="476" t="s">
        <v>1188</v>
      </c>
      <c r="CJ421" s="476" t="s">
        <v>1187</v>
      </c>
      <c r="CK421" s="476" t="s">
        <v>1187</v>
      </c>
      <c r="CL421" s="476" t="s">
        <v>1188</v>
      </c>
      <c r="CM421" s="476" t="str">
        <f>IF(VLOOKUP(BS421,'Données par municipalité'!$B$6:$E$1113,4,FALSE)="","non","oui")</f>
        <v>oui</v>
      </c>
      <c r="CN421" s="410">
        <v>579.29569806703842</v>
      </c>
      <c r="CO421" s="410">
        <v>551.98595269960765</v>
      </c>
      <c r="CP421" s="410"/>
      <c r="CQ421" s="410"/>
      <c r="CR421" s="410">
        <v>667.02550603460759</v>
      </c>
      <c r="CS421" s="410" t="s">
        <v>1124</v>
      </c>
      <c r="CT421" s="410"/>
      <c r="CU421" s="410">
        <v>785</v>
      </c>
      <c r="CV421" s="410">
        <f>IF(VLOOKUP(BS421,'Données par municipalité'!$B$6:$F$1113,4,FALSE)="","",VLOOKUP(BS421,'Données par municipalité'!$B$6:$F$1113,4,FALSE))</f>
        <v>701</v>
      </c>
      <c r="CW421" s="476" t="s">
        <v>4723</v>
      </c>
      <c r="CX421" s="483">
        <v>0</v>
      </c>
      <c r="CY421" s="483" t="s">
        <v>1124</v>
      </c>
      <c r="CZ421" s="483" t="s">
        <v>1124</v>
      </c>
      <c r="DA421" s="483">
        <v>0</v>
      </c>
      <c r="DB421" s="483" t="s">
        <v>1124</v>
      </c>
      <c r="DC421" s="483" t="s">
        <v>1124</v>
      </c>
      <c r="DD421" s="483" t="s">
        <v>1124</v>
      </c>
      <c r="DE421" s="483">
        <f>IFERROR(SUM(VLOOKUP($BS421,'État &amp; Plan d''action'!$B$6:$Z$1113,18,FALSE),VLOOKUP($BS421,'État &amp; Plan d''action'!$B$6:$Z$1113,20,FALSE))/(VLOOKUP($BS421,'Données par municipalité'!$B$4:$L$1113,11,FALSE)),"")</f>
        <v>1.0281014393420151</v>
      </c>
      <c r="DF421" s="483">
        <f>IFERROR(SUM(VLOOKUP($BS421,'État &amp; Plan d''action'!$B$6:$Z$1113,19,FALSE),VLOOKUP($BS421,'État &amp; Plan d''action'!$B$6:$Z$1113,21,FALSE))/(VLOOKUP($BS421,'Données par municipalité'!$B$4:$L$1113,11,FALSE)),"")</f>
        <v>1.0281014393420151</v>
      </c>
      <c r="DG421" s="476" t="s">
        <v>4723</v>
      </c>
      <c r="DH421" s="484">
        <v>4</v>
      </c>
      <c r="DI421" s="484" t="s">
        <v>1124</v>
      </c>
      <c r="DJ421" s="484">
        <v>0</v>
      </c>
      <c r="DK421" s="484">
        <v>10</v>
      </c>
      <c r="DL421" s="484" t="s">
        <v>1124</v>
      </c>
      <c r="DM421" s="484" t="s">
        <v>1124</v>
      </c>
      <c r="DN421" s="484">
        <v>2</v>
      </c>
      <c r="DO421" s="484">
        <v>0</v>
      </c>
      <c r="DP421" s="484">
        <v>0</v>
      </c>
      <c r="DQ421" s="484">
        <f>IF(VLOOKUP($BS421,'État &amp; Plan d''action'!$B$6:$AJ$1113,28,FALSE)="","",VLOOKUP($BS421,'État &amp; Plan d''action'!$B$6:$AJ$1113,28,FALSE))</f>
        <v>0</v>
      </c>
      <c r="DR421" s="70">
        <f>IF(VLOOKUP($BS421,'État &amp; Plan d''action'!$B$6:$AJ$1113,29,FALSE)="","",VLOOKUP($BS421,'État &amp; Plan d''action'!$B$6:$AJ$1113,29,FALSE))</f>
        <v>2</v>
      </c>
      <c r="DS421" s="70">
        <f>IF(VLOOKUP($BS421,'État &amp; Plan d''action'!$B$6:$AJ$1113,30,FALSE)="","",VLOOKUP($BS421,'État &amp; Plan d''action'!$B$6:$AJ$1113,30,FALSE))</f>
        <v>3</v>
      </c>
      <c r="DT421" s="70">
        <v>542</v>
      </c>
      <c r="DU421" s="485">
        <v>7.6077446840884013</v>
      </c>
      <c r="DV421" s="485">
        <v>6.5919425950939514</v>
      </c>
      <c r="DW421" s="70">
        <v>1</v>
      </c>
      <c r="DX421" s="70">
        <v>0</v>
      </c>
      <c r="DY421" s="70">
        <v>0</v>
      </c>
      <c r="DZ421" s="70">
        <f>VLOOKUP($BS421,'État &amp; Plan d''action'!$B$6:$AH$1113,31,FALSE)</f>
        <v>0</v>
      </c>
      <c r="EA421" s="70">
        <f>VLOOKUP($BS421,'État &amp; Plan d''action'!$B$6:$AH$1113,32,FALSE)</f>
        <v>1</v>
      </c>
      <c r="EB421" s="70">
        <f>VLOOKUP($BS421,'État &amp; Plan d''action'!$B$6:$AH$1113,33,FALSE)</f>
        <v>16</v>
      </c>
      <c r="EC421" s="70">
        <v>0</v>
      </c>
      <c r="ED421" s="70">
        <v>0</v>
      </c>
      <c r="EE421" s="70">
        <v>0</v>
      </c>
      <c r="EF421" s="70">
        <v>0</v>
      </c>
      <c r="EG421" s="70">
        <v>0</v>
      </c>
      <c r="EH421" s="72">
        <v>45</v>
      </c>
      <c r="EI421" s="72">
        <v>1404</v>
      </c>
    </row>
    <row r="422" spans="71:139" x14ac:dyDescent="0.35">
      <c r="BS422" s="486">
        <v>5070</v>
      </c>
      <c r="BT422" s="479" t="s">
        <v>1055</v>
      </c>
      <c r="BU422" s="479">
        <v>11</v>
      </c>
      <c r="BV422" s="476" t="s">
        <v>1187</v>
      </c>
      <c r="BW422" s="476" t="s">
        <v>1187</v>
      </c>
      <c r="BX422" s="476" t="s">
        <v>1187</v>
      </c>
      <c r="BY422" s="476" t="s">
        <v>1187</v>
      </c>
      <c r="BZ422" s="476" t="s">
        <v>1187</v>
      </c>
      <c r="CA422" s="476" t="s">
        <v>1187</v>
      </c>
      <c r="CB422" s="476" t="s">
        <v>1187</v>
      </c>
      <c r="CC422" s="476" t="s">
        <v>1187</v>
      </c>
      <c r="CD422" s="476" t="s">
        <v>1187</v>
      </c>
      <c r="CE422" s="476" t="s">
        <v>1188</v>
      </c>
      <c r="CF422" s="476" t="s">
        <v>1188</v>
      </c>
      <c r="CG422" s="476" t="s">
        <v>1188</v>
      </c>
      <c r="CH422" s="476" t="s">
        <v>1188</v>
      </c>
      <c r="CI422" s="476" t="s">
        <v>1188</v>
      </c>
      <c r="CJ422" s="476" t="s">
        <v>1188</v>
      </c>
      <c r="CK422" s="476" t="s">
        <v>1188</v>
      </c>
      <c r="CL422" s="476" t="s">
        <v>1188</v>
      </c>
      <c r="CM422" s="476" t="str">
        <f>IF(VLOOKUP(BS422,'Données par municipalité'!$B$6:$E$1113,4,FALSE)="","non","oui")</f>
        <v>oui</v>
      </c>
      <c r="CN422" s="410">
        <v>323.41022751981654</v>
      </c>
      <c r="CO422" s="410">
        <v>334.2735518263097</v>
      </c>
      <c r="CP422" s="410">
        <v>290.19173621913347</v>
      </c>
      <c r="CQ422" s="410">
        <v>232.19133837113688</v>
      </c>
      <c r="CR422" s="410">
        <v>250.66271690480664</v>
      </c>
      <c r="CS422" s="410">
        <v>593.62664717943881</v>
      </c>
      <c r="CT422" s="410">
        <v>377.47822079911401</v>
      </c>
      <c r="CU422" s="410">
        <v>440</v>
      </c>
      <c r="CV422" s="410">
        <f>IF(VLOOKUP(BS422,'Données par municipalité'!$B$6:$F$1113,4,FALSE)="","",VLOOKUP(BS422,'Données par municipalité'!$B$6:$F$1113,4,FALSE))</f>
        <v>429</v>
      </c>
      <c r="CW422" s="476" t="s">
        <v>4723</v>
      </c>
      <c r="CX422" s="483">
        <v>0.3</v>
      </c>
      <c r="CY422" s="483">
        <v>0.3</v>
      </c>
      <c r="CZ422" s="483">
        <v>1</v>
      </c>
      <c r="DA422" s="483">
        <v>0</v>
      </c>
      <c r="DB422" s="483">
        <v>1</v>
      </c>
      <c r="DC422" s="483">
        <v>1</v>
      </c>
      <c r="DD422" s="483" t="s">
        <v>1124</v>
      </c>
      <c r="DE422" s="483">
        <f>IFERROR(SUM(VLOOKUP($BS422,'État &amp; Plan d''action'!$B$6:$Z$1113,18,FALSE),VLOOKUP($BS422,'État &amp; Plan d''action'!$B$6:$Z$1113,20,FALSE))/(VLOOKUP($BS422,'Données par municipalité'!$B$4:$L$1113,11,FALSE)),"")</f>
        <v>1</v>
      </c>
      <c r="DF422" s="483">
        <f>IFERROR(SUM(VLOOKUP($BS422,'État &amp; Plan d''action'!$B$6:$Z$1113,19,FALSE),VLOOKUP($BS422,'État &amp; Plan d''action'!$B$6:$Z$1113,21,FALSE))/(VLOOKUP($BS422,'Données par municipalité'!$B$4:$L$1113,11,FALSE)),"")</f>
        <v>1</v>
      </c>
      <c r="DG422" s="476" t="s">
        <v>4723</v>
      </c>
      <c r="DH422" s="484">
        <v>1</v>
      </c>
      <c r="DI422" s="484">
        <v>1</v>
      </c>
      <c r="DJ422" s="484">
        <v>1</v>
      </c>
      <c r="DK422" s="484">
        <v>3</v>
      </c>
      <c r="DL422" s="484">
        <v>8</v>
      </c>
      <c r="DM422" s="484">
        <v>13</v>
      </c>
      <c r="DN422" s="484">
        <v>4</v>
      </c>
      <c r="DO422" s="484">
        <v>2</v>
      </c>
      <c r="DP422" s="484">
        <v>1</v>
      </c>
      <c r="DQ422" s="484">
        <f>IF(VLOOKUP($BS422,'État &amp; Plan d''action'!$B$6:$AJ$1113,28,FALSE)="","",VLOOKUP($BS422,'État &amp; Plan d''action'!$B$6:$AJ$1113,28,FALSE))</f>
        <v>6</v>
      </c>
      <c r="DR422" s="70">
        <f>IF(VLOOKUP($BS422,'État &amp; Plan d''action'!$B$6:$AJ$1113,29,FALSE)="","",VLOOKUP($BS422,'État &amp; Plan d''action'!$B$6:$AJ$1113,29,FALSE))</f>
        <v>5</v>
      </c>
      <c r="DS422" s="70">
        <f>IF(VLOOKUP($BS422,'État &amp; Plan d''action'!$B$6:$AJ$1113,30,FALSE)="","",VLOOKUP($BS422,'État &amp; Plan d''action'!$B$6:$AJ$1113,30,FALSE))</f>
        <v>0</v>
      </c>
      <c r="DT422" s="70">
        <v>328</v>
      </c>
      <c r="DU422" s="485">
        <v>1.7788834643192875</v>
      </c>
      <c r="DV422" s="485">
        <v>1.7116986511491377</v>
      </c>
      <c r="DW422" s="70">
        <v>1</v>
      </c>
      <c r="DX422" s="70">
        <v>5</v>
      </c>
      <c r="DY422" s="70">
        <v>5</v>
      </c>
      <c r="DZ422" s="70">
        <f>VLOOKUP($BS422,'État &amp; Plan d''action'!$B$6:$AH$1113,31,FALSE)</f>
        <v>2</v>
      </c>
      <c r="EA422" s="70">
        <f>VLOOKUP($BS422,'État &amp; Plan d''action'!$B$6:$AH$1113,32,FALSE)</f>
        <v>2</v>
      </c>
      <c r="EB422" s="70">
        <f>VLOOKUP($BS422,'État &amp; Plan d''action'!$B$6:$AH$1113,33,FALSE)</f>
        <v>0</v>
      </c>
      <c r="EC422" s="70">
        <v>0</v>
      </c>
      <c r="ED422" s="70">
        <v>32.384999999999998</v>
      </c>
      <c r="EE422" s="70">
        <v>5</v>
      </c>
      <c r="EF422" s="70">
        <v>0</v>
      </c>
      <c r="EG422" s="70">
        <v>0</v>
      </c>
      <c r="EH422" s="72">
        <v>62</v>
      </c>
      <c r="EI422" s="72">
        <v>3745</v>
      </c>
    </row>
    <row r="423" spans="71:139" x14ac:dyDescent="0.35">
      <c r="BS423" s="486">
        <v>41037</v>
      </c>
      <c r="BT423" s="479" t="s">
        <v>368</v>
      </c>
      <c r="BU423" s="479">
        <v>5</v>
      </c>
      <c r="BV423" s="476" t="s">
        <v>1188</v>
      </c>
      <c r="BW423" s="476" t="s">
        <v>1188</v>
      </c>
      <c r="BX423" s="476" t="s">
        <v>1188</v>
      </c>
      <c r="BY423" s="476" t="s">
        <v>1188</v>
      </c>
      <c r="BZ423" s="476" t="s">
        <v>1188</v>
      </c>
      <c r="CA423" s="476" t="s">
        <v>1188</v>
      </c>
      <c r="CB423" s="476" t="s">
        <v>1188</v>
      </c>
      <c r="CC423" s="476" t="s">
        <v>1188</v>
      </c>
      <c r="CD423" s="476" t="s">
        <v>1188</v>
      </c>
      <c r="CE423" s="476" t="s">
        <v>1187</v>
      </c>
      <c r="CF423" s="476" t="s">
        <v>1187</v>
      </c>
      <c r="CG423" s="476" t="s">
        <v>1187</v>
      </c>
      <c r="CH423" s="476" t="s">
        <v>1187</v>
      </c>
      <c r="CI423" s="476" t="s">
        <v>1187</v>
      </c>
      <c r="CJ423" s="476" t="s">
        <v>1187</v>
      </c>
      <c r="CK423" s="476" t="s">
        <v>1187</v>
      </c>
      <c r="CL423" s="476" t="s">
        <v>1187</v>
      </c>
      <c r="CM423" s="476" t="str">
        <f>IF(VLOOKUP(BS423,'Données par municipalité'!$B$6:$E$1113,4,FALSE)="","non","oui")</f>
        <v>non</v>
      </c>
      <c r="CN423" s="410" t="s">
        <v>1124</v>
      </c>
      <c r="CO423" s="410" t="s">
        <v>1124</v>
      </c>
      <c r="CP423" s="410"/>
      <c r="CQ423" s="410"/>
      <c r="CR423" s="410"/>
      <c r="CS423" s="410" t="s">
        <v>1124</v>
      </c>
      <c r="CT423" s="410"/>
      <c r="CU423" s="410" t="s">
        <v>1124</v>
      </c>
      <c r="CV423" s="410" t="str">
        <f>IF(VLOOKUP(BS423,'Données par municipalité'!$B$6:$F$1113,4,FALSE)="","",VLOOKUP(BS423,'Données par municipalité'!$B$6:$F$1113,4,FALSE))</f>
        <v/>
      </c>
      <c r="CW423" s="476" t="s">
        <v>4723</v>
      </c>
      <c r="CX423" s="483" t="s">
        <v>1124</v>
      </c>
      <c r="CY423" s="483" t="s">
        <v>1124</v>
      </c>
      <c r="CZ423" s="483" t="s">
        <v>1124</v>
      </c>
      <c r="DA423" s="483" t="s">
        <v>1124</v>
      </c>
      <c r="DB423" s="483" t="s">
        <v>1124</v>
      </c>
      <c r="DC423" s="483" t="s">
        <v>1124</v>
      </c>
      <c r="DD423" s="483" t="s">
        <v>1124</v>
      </c>
      <c r="DE423" s="483" t="str">
        <f>IFERROR(SUM(VLOOKUP($BS423,'État &amp; Plan d''action'!$B$6:$Z$1113,18,FALSE),VLOOKUP($BS423,'État &amp; Plan d''action'!$B$6:$Z$1113,20,FALSE))/(VLOOKUP($BS423,'Données par municipalité'!$B$4:$L$1113,11,FALSE)),"")</f>
        <v/>
      </c>
      <c r="DF423" s="483" t="str">
        <f>IFERROR(SUM(VLOOKUP($BS423,'État &amp; Plan d''action'!$B$6:$Z$1113,19,FALSE),VLOOKUP($BS423,'État &amp; Plan d''action'!$B$6:$Z$1113,21,FALSE))/(VLOOKUP($BS423,'Données par municipalité'!$B$4:$L$1113,11,FALSE)),"")</f>
        <v/>
      </c>
      <c r="DG423" s="476" t="s">
        <v>4723</v>
      </c>
      <c r="DH423" s="484" t="s">
        <v>1124</v>
      </c>
      <c r="DI423" s="484" t="s">
        <v>1124</v>
      </c>
      <c r="DJ423" s="484">
        <v>0</v>
      </c>
      <c r="DK423" s="484">
        <v>0</v>
      </c>
      <c r="DL423" s="484" t="s">
        <v>1124</v>
      </c>
      <c r="DM423" s="484" t="s">
        <v>1124</v>
      </c>
      <c r="DN423" s="484" t="s">
        <v>1124</v>
      </c>
      <c r="DO423" s="484" t="s">
        <v>1124</v>
      </c>
      <c r="DP423" s="484" t="s">
        <v>1124</v>
      </c>
      <c r="DQ423" s="484" t="str">
        <f>IF(VLOOKUP($BS423,'État &amp; Plan d''action'!$B$6:$AJ$1113,28,FALSE)="","",VLOOKUP($BS423,'État &amp; Plan d''action'!$B$6:$AJ$1113,28,FALSE))</f>
        <v/>
      </c>
      <c r="DR423" s="70" t="str">
        <f>IF(VLOOKUP($BS423,'État &amp; Plan d''action'!$B$6:$AJ$1113,29,FALSE)="","",VLOOKUP($BS423,'État &amp; Plan d''action'!$B$6:$AJ$1113,29,FALSE))</f>
        <v/>
      </c>
      <c r="DS423" s="70" t="str">
        <f>IF(VLOOKUP($BS423,'État &amp; Plan d''action'!$B$6:$AJ$1113,30,FALSE)="","",VLOOKUP($BS423,'État &amp; Plan d''action'!$B$6:$AJ$1113,30,FALSE))</f>
        <v/>
      </c>
      <c r="DT423" s="70" t="s">
        <v>1124</v>
      </c>
      <c r="DU423" s="485" t="s">
        <v>1124</v>
      </c>
      <c r="DV423" s="485" t="s">
        <v>1124</v>
      </c>
      <c r="DW423" s="70" t="s">
        <v>1124</v>
      </c>
      <c r="DX423" s="70" t="s">
        <v>1124</v>
      </c>
      <c r="DY423" s="70" t="s">
        <v>1124</v>
      </c>
      <c r="DZ423" s="70" t="str">
        <f>VLOOKUP($BS423,'État &amp; Plan d''action'!$B$6:$AH$1113,31,FALSE)</f>
        <v/>
      </c>
      <c r="EA423" s="70" t="str">
        <f>VLOOKUP($BS423,'État &amp; Plan d''action'!$B$6:$AH$1113,32,FALSE)</f>
        <v/>
      </c>
      <c r="EB423" s="70" t="str">
        <f>VLOOKUP($BS423,'État &amp; Plan d''action'!$B$6:$AH$1113,33,FALSE)</f>
        <v/>
      </c>
      <c r="EC423" s="70" t="s">
        <v>1124</v>
      </c>
      <c r="ED423" s="70" t="s">
        <v>1124</v>
      </c>
      <c r="EE423" s="70" t="s">
        <v>1124</v>
      </c>
      <c r="EF423" s="70" t="s">
        <v>1124</v>
      </c>
      <c r="EG423" s="70" t="s">
        <v>1124</v>
      </c>
      <c r="EH423" s="72"/>
      <c r="EI423" s="72">
        <v>777</v>
      </c>
    </row>
    <row r="424" spans="71:139" x14ac:dyDescent="0.35">
      <c r="BS424" s="486">
        <v>50072</v>
      </c>
      <c r="BT424" s="479" t="s">
        <v>491</v>
      </c>
      <c r="BU424" s="479">
        <v>17</v>
      </c>
      <c r="BV424" s="476" t="s">
        <v>1187</v>
      </c>
      <c r="BW424" s="476" t="s">
        <v>1187</v>
      </c>
      <c r="BX424" s="476" t="s">
        <v>1187</v>
      </c>
      <c r="BY424" s="476" t="s">
        <v>1187</v>
      </c>
      <c r="BZ424" s="476" t="s">
        <v>1187</v>
      </c>
      <c r="CA424" s="476" t="s">
        <v>1187</v>
      </c>
      <c r="CB424" s="476" t="s">
        <v>1187</v>
      </c>
      <c r="CC424" s="476" t="s">
        <v>1187</v>
      </c>
      <c r="CD424" s="476" t="s">
        <v>1187</v>
      </c>
      <c r="CE424" s="476" t="s">
        <v>1188</v>
      </c>
      <c r="CF424" s="476" t="s">
        <v>1188</v>
      </c>
      <c r="CG424" s="476" t="s">
        <v>1188</v>
      </c>
      <c r="CH424" s="476" t="s">
        <v>1188</v>
      </c>
      <c r="CI424" s="476" t="s">
        <v>1188</v>
      </c>
      <c r="CJ424" s="476" t="s">
        <v>1188</v>
      </c>
      <c r="CK424" s="476" t="s">
        <v>1188</v>
      </c>
      <c r="CL424" s="476" t="s">
        <v>1188</v>
      </c>
      <c r="CM424" s="476" t="str">
        <f>IF(VLOOKUP(BS424,'Données par municipalité'!$B$6:$E$1113,4,FALSE)="","non","oui")</f>
        <v>oui</v>
      </c>
      <c r="CN424" s="410">
        <v>393.09118618436662</v>
      </c>
      <c r="CO424" s="410">
        <v>381.34773193737163</v>
      </c>
      <c r="CP424" s="410">
        <v>385.17342797320453</v>
      </c>
      <c r="CQ424" s="410">
        <v>393.06833713946901</v>
      </c>
      <c r="CR424" s="410">
        <v>434.80814091285856</v>
      </c>
      <c r="CS424" s="410">
        <v>454.28028718226983</v>
      </c>
      <c r="CT424" s="410">
        <v>437.01062687897661</v>
      </c>
      <c r="CU424" s="410">
        <v>391</v>
      </c>
      <c r="CV424" s="410">
        <f>IF(VLOOKUP(BS424,'Données par municipalité'!$B$6:$F$1113,4,FALSE)="","",VLOOKUP(BS424,'Données par municipalité'!$B$6:$F$1113,4,FALSE))</f>
        <v>410</v>
      </c>
      <c r="CW424" s="476" t="s">
        <v>4723</v>
      </c>
      <c r="CX424" s="483">
        <v>0</v>
      </c>
      <c r="CY424" s="483">
        <v>0</v>
      </c>
      <c r="CZ424" s="483">
        <v>0</v>
      </c>
      <c r="DA424" s="483">
        <v>0</v>
      </c>
      <c r="DB424" s="483">
        <v>0</v>
      </c>
      <c r="DC424" s="483">
        <v>0</v>
      </c>
      <c r="DD424" s="483">
        <v>0</v>
      </c>
      <c r="DE424" s="483">
        <f>IFERROR(SUM(VLOOKUP($BS424,'État &amp; Plan d''action'!$B$6:$Z$1113,18,FALSE),VLOOKUP($BS424,'État &amp; Plan d''action'!$B$6:$Z$1113,20,FALSE))/(VLOOKUP($BS424,'Données par municipalité'!$B$4:$L$1113,11,FALSE)),"")</f>
        <v>0</v>
      </c>
      <c r="DF424" s="483">
        <f>IFERROR(SUM(VLOOKUP($BS424,'État &amp; Plan d''action'!$B$6:$Z$1113,19,FALSE),VLOOKUP($BS424,'État &amp; Plan d''action'!$B$6:$Z$1113,21,FALSE))/(VLOOKUP($BS424,'Données par municipalité'!$B$4:$L$1113,11,FALSE)),"")</f>
        <v>0</v>
      </c>
      <c r="DG424" s="476" t="s">
        <v>4723</v>
      </c>
      <c r="DH424" s="484">
        <v>12</v>
      </c>
      <c r="DI424" s="484">
        <v>32</v>
      </c>
      <c r="DJ424" s="484">
        <v>28</v>
      </c>
      <c r="DK424" s="484">
        <v>27</v>
      </c>
      <c r="DL424" s="484">
        <v>21</v>
      </c>
      <c r="DM424" s="484">
        <v>22</v>
      </c>
      <c r="DN424" s="484">
        <v>30</v>
      </c>
      <c r="DO424" s="484">
        <v>0</v>
      </c>
      <c r="DP424" s="484">
        <v>0</v>
      </c>
      <c r="DQ424" s="484">
        <f>IF(VLOOKUP($BS424,'État &amp; Plan d''action'!$B$6:$AJ$1113,28,FALSE)="","",VLOOKUP($BS424,'État &amp; Plan d''action'!$B$6:$AJ$1113,28,FALSE))</f>
        <v>19</v>
      </c>
      <c r="DR424" s="70">
        <f>IF(VLOOKUP($BS424,'État &amp; Plan d''action'!$B$6:$AJ$1113,29,FALSE)="","",VLOOKUP($BS424,'État &amp; Plan d''action'!$B$6:$AJ$1113,29,FALSE))</f>
        <v>0</v>
      </c>
      <c r="DS424" s="70">
        <f>IF(VLOOKUP($BS424,'État &amp; Plan d''action'!$B$6:$AJ$1113,30,FALSE)="","",VLOOKUP($BS424,'État &amp; Plan d''action'!$B$6:$AJ$1113,30,FALSE))</f>
        <v>3</v>
      </c>
      <c r="DT424" s="70">
        <v>225</v>
      </c>
      <c r="DU424" s="485">
        <v>2.740726918498857</v>
      </c>
      <c r="DV424" s="485">
        <v>3.1904905252810805</v>
      </c>
      <c r="DW424" s="70">
        <v>1</v>
      </c>
      <c r="DX424" s="70">
        <v>0</v>
      </c>
      <c r="DY424" s="70">
        <v>0</v>
      </c>
      <c r="DZ424" s="70">
        <f>VLOOKUP($BS424,'État &amp; Plan d''action'!$B$6:$AH$1113,31,FALSE)</f>
        <v>5</v>
      </c>
      <c r="EA424" s="70">
        <f>VLOOKUP($BS424,'État &amp; Plan d''action'!$B$6:$AH$1113,32,FALSE)</f>
        <v>0</v>
      </c>
      <c r="EB424" s="70">
        <f>VLOOKUP($BS424,'État &amp; Plan d''action'!$B$6:$AH$1113,33,FALSE)</f>
        <v>14</v>
      </c>
      <c r="EC424" s="70">
        <v>0</v>
      </c>
      <c r="ED424" s="70">
        <v>0</v>
      </c>
      <c r="EE424" s="70">
        <v>0</v>
      </c>
      <c r="EF424" s="70">
        <v>0</v>
      </c>
      <c r="EG424" s="70">
        <v>0</v>
      </c>
      <c r="EH424" s="72">
        <v>64</v>
      </c>
      <c r="EI424" s="72">
        <v>8463</v>
      </c>
    </row>
    <row r="425" spans="71:139" x14ac:dyDescent="0.35">
      <c r="BS425" s="486">
        <v>79030</v>
      </c>
      <c r="BT425" s="479" t="s">
        <v>791</v>
      </c>
      <c r="BU425" s="479">
        <v>15</v>
      </c>
      <c r="BV425" s="476" t="s">
        <v>1187</v>
      </c>
      <c r="BW425" s="476" t="s">
        <v>1187</v>
      </c>
      <c r="BX425" s="476" t="s">
        <v>1187</v>
      </c>
      <c r="BY425" s="476" t="s">
        <v>1187</v>
      </c>
      <c r="BZ425" s="476" t="s">
        <v>1187</v>
      </c>
      <c r="CA425" s="476" t="s">
        <v>1187</v>
      </c>
      <c r="CB425" s="476" t="s">
        <v>1187</v>
      </c>
      <c r="CC425" s="476" t="s">
        <v>1187</v>
      </c>
      <c r="CD425" s="476" t="s">
        <v>1187</v>
      </c>
      <c r="CE425" s="476" t="s">
        <v>1188</v>
      </c>
      <c r="CF425" s="476" t="s">
        <v>1188</v>
      </c>
      <c r="CG425" s="476" t="s">
        <v>1187</v>
      </c>
      <c r="CH425" s="476" t="s">
        <v>1188</v>
      </c>
      <c r="CI425" s="476" t="s">
        <v>1188</v>
      </c>
      <c r="CJ425" s="476" t="s">
        <v>1188</v>
      </c>
      <c r="CK425" s="476" t="s">
        <v>1187</v>
      </c>
      <c r="CL425" s="476" t="s">
        <v>1188</v>
      </c>
      <c r="CM425" s="476" t="str">
        <f>IF(VLOOKUP(BS425,'Données par municipalité'!$B$6:$E$1113,4,FALSE)="","non","oui")</f>
        <v>oui</v>
      </c>
      <c r="CN425" s="410">
        <v>460.54596276985905</v>
      </c>
      <c r="CO425" s="410">
        <v>464.89495790018537</v>
      </c>
      <c r="CP425" s="410"/>
      <c r="CQ425" s="410">
        <v>554.23602941865272</v>
      </c>
      <c r="CR425" s="410">
        <v>529.65108377347303</v>
      </c>
      <c r="CS425" s="410">
        <v>1210.4969348977836</v>
      </c>
      <c r="CT425" s="410"/>
      <c r="CU425" s="410">
        <v>1188</v>
      </c>
      <c r="CV425" s="410">
        <f>IF(VLOOKUP(BS425,'Données par municipalité'!$B$6:$F$1113,4,FALSE)="","",VLOOKUP(BS425,'Données par municipalité'!$B$6:$F$1113,4,FALSE))</f>
        <v>1138</v>
      </c>
      <c r="CW425" s="476" t="s">
        <v>4723</v>
      </c>
      <c r="CX425" s="483">
        <v>0</v>
      </c>
      <c r="CY425" s="483" t="s">
        <v>1124</v>
      </c>
      <c r="CZ425" s="483">
        <v>1</v>
      </c>
      <c r="DA425" s="483">
        <v>1</v>
      </c>
      <c r="DB425" s="483">
        <v>0</v>
      </c>
      <c r="DC425" s="483" t="s">
        <v>1124</v>
      </c>
      <c r="DD425" s="483">
        <v>0</v>
      </c>
      <c r="DE425" s="483">
        <f>IFERROR(SUM(VLOOKUP($BS425,'État &amp; Plan d''action'!$B$6:$Z$1113,18,FALSE),VLOOKUP($BS425,'État &amp; Plan d''action'!$B$6:$Z$1113,20,FALSE))/(VLOOKUP($BS425,'Données par municipalité'!$B$4:$L$1113,11,FALSE)),"")</f>
        <v>0</v>
      </c>
      <c r="DF425" s="483">
        <f>IFERROR(SUM(VLOOKUP($BS425,'État &amp; Plan d''action'!$B$6:$Z$1113,19,FALSE),VLOOKUP($BS425,'État &amp; Plan d''action'!$B$6:$Z$1113,21,FALSE))/(VLOOKUP($BS425,'Données par municipalité'!$B$4:$L$1113,11,FALSE)),"")</f>
        <v>0</v>
      </c>
      <c r="DG425" s="476" t="s">
        <v>4723</v>
      </c>
      <c r="DH425" s="484">
        <v>12</v>
      </c>
      <c r="DI425" s="484" t="s">
        <v>1124</v>
      </c>
      <c r="DJ425" s="484">
        <v>10</v>
      </c>
      <c r="DK425" s="484">
        <v>14</v>
      </c>
      <c r="DL425" s="484">
        <v>3</v>
      </c>
      <c r="DM425" s="484" t="s">
        <v>1124</v>
      </c>
      <c r="DN425" s="484">
        <v>3</v>
      </c>
      <c r="DO425" s="484">
        <v>0</v>
      </c>
      <c r="DP425" s="484">
        <v>1</v>
      </c>
      <c r="DQ425" s="484">
        <f>IF(VLOOKUP($BS425,'État &amp; Plan d''action'!$B$6:$AJ$1113,28,FALSE)="","",VLOOKUP($BS425,'État &amp; Plan d''action'!$B$6:$AJ$1113,28,FALSE))</f>
        <v>4</v>
      </c>
      <c r="DR425" s="70">
        <f>IF(VLOOKUP($BS425,'État &amp; Plan d''action'!$B$6:$AJ$1113,29,FALSE)="","",VLOOKUP($BS425,'État &amp; Plan d''action'!$B$6:$AJ$1113,29,FALSE))</f>
        <v>0</v>
      </c>
      <c r="DS425" s="70">
        <f>IF(VLOOKUP($BS425,'État &amp; Plan d''action'!$B$6:$AJ$1113,30,FALSE)="","",VLOOKUP($BS425,'État &amp; Plan d''action'!$B$6:$AJ$1113,30,FALSE))</f>
        <v>4</v>
      </c>
      <c r="DT425" s="70">
        <v>262</v>
      </c>
      <c r="DU425" s="485">
        <v>11.78682193125738</v>
      </c>
      <c r="DV425" s="485">
        <v>7.435411364795967</v>
      </c>
      <c r="DW425" s="70">
        <v>4</v>
      </c>
      <c r="DX425" s="70">
        <v>0</v>
      </c>
      <c r="DY425" s="70">
        <v>5</v>
      </c>
      <c r="DZ425" s="70">
        <f>VLOOKUP($BS425,'État &amp; Plan d''action'!$B$6:$AH$1113,31,FALSE)</f>
        <v>27</v>
      </c>
      <c r="EA425" s="70">
        <f>VLOOKUP($BS425,'État &amp; Plan d''action'!$B$6:$AH$1113,32,FALSE)</f>
        <v>0</v>
      </c>
      <c r="EB425" s="70">
        <f>VLOOKUP($BS425,'État &amp; Plan d''action'!$B$6:$AH$1113,33,FALSE)</f>
        <v>10</v>
      </c>
      <c r="EC425" s="70">
        <v>17.286999999999999</v>
      </c>
      <c r="ED425" s="70">
        <v>0</v>
      </c>
      <c r="EE425" s="70">
        <v>0</v>
      </c>
      <c r="EF425" s="70">
        <v>0</v>
      </c>
      <c r="EG425" s="70">
        <v>0</v>
      </c>
      <c r="EH425" s="72">
        <v>48</v>
      </c>
      <c r="EI425" s="72">
        <v>2091</v>
      </c>
    </row>
    <row r="426" spans="71:139" x14ac:dyDescent="0.35">
      <c r="BS426" s="486">
        <v>92040</v>
      </c>
      <c r="BT426" s="479" t="s">
        <v>951</v>
      </c>
      <c r="BU426" s="479">
        <v>2</v>
      </c>
      <c r="BV426" s="476" t="s">
        <v>1187</v>
      </c>
      <c r="BW426" s="476" t="s">
        <v>1187</v>
      </c>
      <c r="BX426" s="476" t="s">
        <v>1187</v>
      </c>
      <c r="BY426" s="476" t="s">
        <v>1187</v>
      </c>
      <c r="BZ426" s="476" t="s">
        <v>1187</v>
      </c>
      <c r="CA426" s="476" t="s">
        <v>1187</v>
      </c>
      <c r="CB426" s="476" t="s">
        <v>1187</v>
      </c>
      <c r="CC426" s="476" t="s">
        <v>1187</v>
      </c>
      <c r="CD426" s="476" t="s">
        <v>1187</v>
      </c>
      <c r="CE426" s="476" t="s">
        <v>1188</v>
      </c>
      <c r="CF426" s="476" t="s">
        <v>1188</v>
      </c>
      <c r="CG426" s="476" t="s">
        <v>1188</v>
      </c>
      <c r="CH426" s="476" t="s">
        <v>1188</v>
      </c>
      <c r="CI426" s="476" t="s">
        <v>1188</v>
      </c>
      <c r="CJ426" s="476" t="s">
        <v>1188</v>
      </c>
      <c r="CK426" s="476" t="s">
        <v>1187</v>
      </c>
      <c r="CL426" s="476" t="s">
        <v>1187</v>
      </c>
      <c r="CM426" s="476" t="str">
        <f>IF(VLOOKUP(BS426,'Données par municipalité'!$B$6:$E$1113,4,FALSE)="","non","oui")</f>
        <v>non</v>
      </c>
      <c r="CN426" s="410">
        <v>537.18665369150813</v>
      </c>
      <c r="CO426" s="410">
        <v>619.2817752813844</v>
      </c>
      <c r="CP426" s="410">
        <v>615.97960742727469</v>
      </c>
      <c r="CQ426" s="410">
        <v>526.45629498154722</v>
      </c>
      <c r="CR426" s="410">
        <v>564.06395637761432</v>
      </c>
      <c r="CS426" s="410">
        <v>488.76151647599119</v>
      </c>
      <c r="CT426" s="410"/>
      <c r="CU426" s="410" t="s">
        <v>1124</v>
      </c>
      <c r="CV426" s="410" t="str">
        <f>IF(VLOOKUP(BS426,'Données par municipalité'!$B$6:$F$1113,4,FALSE)="","",VLOOKUP(BS426,'Données par municipalité'!$B$6:$F$1113,4,FALSE))</f>
        <v/>
      </c>
      <c r="CW426" s="476" t="s">
        <v>4723</v>
      </c>
      <c r="CX426" s="483">
        <v>0</v>
      </c>
      <c r="CY426" s="483">
        <v>0</v>
      </c>
      <c r="CZ426" s="483">
        <v>0</v>
      </c>
      <c r="DA426" s="483">
        <v>0</v>
      </c>
      <c r="DB426" s="483">
        <v>0</v>
      </c>
      <c r="DC426" s="483" t="s">
        <v>1124</v>
      </c>
      <c r="DD426" s="483" t="s">
        <v>1124</v>
      </c>
      <c r="DE426" s="483" t="str">
        <f>IFERROR(SUM(VLOOKUP($BS426,'État &amp; Plan d''action'!$B$6:$Z$1113,18,FALSE),VLOOKUP($BS426,'État &amp; Plan d''action'!$B$6:$Z$1113,20,FALSE))/(VLOOKUP($BS426,'Données par municipalité'!$B$4:$L$1113,11,FALSE)),"")</f>
        <v/>
      </c>
      <c r="DF426" s="483" t="str">
        <f>IFERROR(SUM(VLOOKUP($BS426,'État &amp; Plan d''action'!$B$6:$Z$1113,19,FALSE),VLOOKUP($BS426,'État &amp; Plan d''action'!$B$6:$Z$1113,21,FALSE))/(VLOOKUP($BS426,'Données par municipalité'!$B$4:$L$1113,11,FALSE)),"")</f>
        <v/>
      </c>
      <c r="DG426" s="476" t="s">
        <v>4723</v>
      </c>
      <c r="DH426" s="484">
        <v>3</v>
      </c>
      <c r="DI426" s="484">
        <v>0</v>
      </c>
      <c r="DJ426" s="484">
        <v>3</v>
      </c>
      <c r="DK426" s="484">
        <v>2</v>
      </c>
      <c r="DL426" s="484">
        <v>13</v>
      </c>
      <c r="DM426" s="484" t="s">
        <v>1124</v>
      </c>
      <c r="DN426" s="484" t="s">
        <v>1124</v>
      </c>
      <c r="DO426" s="484" t="s">
        <v>1124</v>
      </c>
      <c r="DP426" s="484" t="s">
        <v>1124</v>
      </c>
      <c r="DQ426" s="484" t="str">
        <f>IF(VLOOKUP($BS426,'État &amp; Plan d''action'!$B$6:$AJ$1113,28,FALSE)="","",VLOOKUP($BS426,'État &amp; Plan d''action'!$B$6:$AJ$1113,28,FALSE))</f>
        <v/>
      </c>
      <c r="DR426" s="70" t="str">
        <f>IF(VLOOKUP($BS426,'État &amp; Plan d''action'!$B$6:$AJ$1113,29,FALSE)="","",VLOOKUP($BS426,'État &amp; Plan d''action'!$B$6:$AJ$1113,29,FALSE))</f>
        <v/>
      </c>
      <c r="DS426" s="70" t="str">
        <f>IF(VLOOKUP($BS426,'État &amp; Plan d''action'!$B$6:$AJ$1113,30,FALSE)="","",VLOOKUP($BS426,'État &amp; Plan d''action'!$B$6:$AJ$1113,30,FALSE))</f>
        <v/>
      </c>
      <c r="DT426" s="70" t="s">
        <v>1124</v>
      </c>
      <c r="DU426" s="485" t="s">
        <v>1124</v>
      </c>
      <c r="DV426" s="485" t="s">
        <v>1124</v>
      </c>
      <c r="DW426" s="70" t="s">
        <v>1124</v>
      </c>
      <c r="DX426" s="70" t="s">
        <v>1124</v>
      </c>
      <c r="DY426" s="70" t="s">
        <v>1124</v>
      </c>
      <c r="DZ426" s="70" t="str">
        <f>VLOOKUP($BS426,'État &amp; Plan d''action'!$B$6:$AH$1113,31,FALSE)</f>
        <v/>
      </c>
      <c r="EA426" s="70" t="str">
        <f>VLOOKUP($BS426,'État &amp; Plan d''action'!$B$6:$AH$1113,32,FALSE)</f>
        <v/>
      </c>
      <c r="EB426" s="70" t="str">
        <f>VLOOKUP($BS426,'État &amp; Plan d''action'!$B$6:$AH$1113,33,FALSE)</f>
        <v/>
      </c>
      <c r="EC426" s="70" t="s">
        <v>1124</v>
      </c>
      <c r="ED426" s="70" t="s">
        <v>1124</v>
      </c>
      <c r="EE426" s="70" t="s">
        <v>1124</v>
      </c>
      <c r="EF426" s="70" t="s">
        <v>1124</v>
      </c>
      <c r="EG426" s="70" t="s">
        <v>1124</v>
      </c>
      <c r="EH426" s="72"/>
      <c r="EI426" s="72">
        <v>3064</v>
      </c>
    </row>
    <row r="427" spans="71:139" x14ac:dyDescent="0.35">
      <c r="BS427" s="486">
        <v>87115</v>
      </c>
      <c r="BT427" s="479" t="s">
        <v>909</v>
      </c>
      <c r="BU427" s="479">
        <v>8</v>
      </c>
      <c r="BV427" s="476" t="s">
        <v>1187</v>
      </c>
      <c r="BW427" s="476" t="s">
        <v>1187</v>
      </c>
      <c r="BX427" s="476" t="s">
        <v>1187</v>
      </c>
      <c r="BY427" s="476" t="s">
        <v>1187</v>
      </c>
      <c r="BZ427" s="476" t="s">
        <v>1187</v>
      </c>
      <c r="CA427" s="476" t="s">
        <v>1187</v>
      </c>
      <c r="CB427" s="476" t="s">
        <v>1187</v>
      </c>
      <c r="CC427" s="476" t="s">
        <v>1187</v>
      </c>
      <c r="CD427" s="476" t="s">
        <v>1187</v>
      </c>
      <c r="CE427" s="476" t="s">
        <v>1188</v>
      </c>
      <c r="CF427" s="476" t="s">
        <v>1188</v>
      </c>
      <c r="CG427" s="476" t="s">
        <v>1187</v>
      </c>
      <c r="CH427" s="476" t="s">
        <v>1187</v>
      </c>
      <c r="CI427" s="476" t="s">
        <v>1188</v>
      </c>
      <c r="CJ427" s="476" t="s">
        <v>1188</v>
      </c>
      <c r="CK427" s="476" t="s">
        <v>1188</v>
      </c>
      <c r="CL427" s="476" t="s">
        <v>1187</v>
      </c>
      <c r="CM427" s="476" t="str">
        <f>IF(VLOOKUP(BS427,'Données par municipalité'!$B$6:$E$1113,4,FALSE)="","non","oui")</f>
        <v>non</v>
      </c>
      <c r="CN427" s="410">
        <v>322.61072261072263</v>
      </c>
      <c r="CO427" s="410">
        <v>431.56022018898557</v>
      </c>
      <c r="CP427" s="410"/>
      <c r="CQ427" s="410"/>
      <c r="CR427" s="410">
        <v>235.07206929778377</v>
      </c>
      <c r="CS427" s="410">
        <v>552.27069442425113</v>
      </c>
      <c r="CT427" s="410">
        <v>500.45143368757908</v>
      </c>
      <c r="CU427" s="410" t="s">
        <v>1124</v>
      </c>
      <c r="CV427" s="410" t="str">
        <f>IF(VLOOKUP(BS427,'Données par municipalité'!$B$6:$F$1113,4,FALSE)="","",VLOOKUP(BS427,'Données par municipalité'!$B$6:$F$1113,4,FALSE))</f>
        <v/>
      </c>
      <c r="CW427" s="476" t="s">
        <v>4723</v>
      </c>
      <c r="CX427" s="483">
        <v>0.02</v>
      </c>
      <c r="CY427" s="483" t="s">
        <v>1124</v>
      </c>
      <c r="CZ427" s="483" t="s">
        <v>1124</v>
      </c>
      <c r="DA427" s="483">
        <v>0</v>
      </c>
      <c r="DB427" s="483">
        <v>0</v>
      </c>
      <c r="DC427" s="483">
        <v>0</v>
      </c>
      <c r="DD427" s="483" t="s">
        <v>1124</v>
      </c>
      <c r="DE427" s="483" t="str">
        <f>IFERROR(SUM(VLOOKUP($BS427,'État &amp; Plan d''action'!$B$6:$Z$1113,18,FALSE),VLOOKUP($BS427,'État &amp; Plan d''action'!$B$6:$Z$1113,20,FALSE))/(VLOOKUP($BS427,'Données par municipalité'!$B$4:$L$1113,11,FALSE)),"")</f>
        <v/>
      </c>
      <c r="DF427" s="483" t="str">
        <f>IFERROR(SUM(VLOOKUP($BS427,'État &amp; Plan d''action'!$B$6:$Z$1113,19,FALSE),VLOOKUP($BS427,'État &amp; Plan d''action'!$B$6:$Z$1113,21,FALSE))/(VLOOKUP($BS427,'Données par municipalité'!$B$4:$L$1113,11,FALSE)),"")</f>
        <v/>
      </c>
      <c r="DG427" s="476" t="s">
        <v>4723</v>
      </c>
      <c r="DH427" s="484" t="s">
        <v>1124</v>
      </c>
      <c r="DI427" s="484" t="s">
        <v>1124</v>
      </c>
      <c r="DJ427" s="484">
        <v>0</v>
      </c>
      <c r="DK427" s="484">
        <v>0</v>
      </c>
      <c r="DL427" s="484">
        <v>1</v>
      </c>
      <c r="DM427" s="484">
        <v>3</v>
      </c>
      <c r="DN427" s="484" t="s">
        <v>1124</v>
      </c>
      <c r="DO427" s="484" t="s">
        <v>1124</v>
      </c>
      <c r="DP427" s="484" t="s">
        <v>1124</v>
      </c>
      <c r="DQ427" s="484" t="str">
        <f>IF(VLOOKUP($BS427,'État &amp; Plan d''action'!$B$6:$AJ$1113,28,FALSE)="","",VLOOKUP($BS427,'État &amp; Plan d''action'!$B$6:$AJ$1113,28,FALSE))</f>
        <v/>
      </c>
      <c r="DR427" s="70" t="str">
        <f>IF(VLOOKUP($BS427,'État &amp; Plan d''action'!$B$6:$AJ$1113,29,FALSE)="","",VLOOKUP($BS427,'État &amp; Plan d''action'!$B$6:$AJ$1113,29,FALSE))</f>
        <v/>
      </c>
      <c r="DS427" s="70" t="str">
        <f>IF(VLOOKUP($BS427,'État &amp; Plan d''action'!$B$6:$AJ$1113,30,FALSE)="","",VLOOKUP($BS427,'État &amp; Plan d''action'!$B$6:$AJ$1113,30,FALSE))</f>
        <v/>
      </c>
      <c r="DT427" s="70" t="s">
        <v>1124</v>
      </c>
      <c r="DU427" s="485" t="s">
        <v>1124</v>
      </c>
      <c r="DV427" s="485" t="s">
        <v>1124</v>
      </c>
      <c r="DW427" s="70" t="s">
        <v>1124</v>
      </c>
      <c r="DX427" s="70" t="s">
        <v>1124</v>
      </c>
      <c r="DY427" s="70" t="s">
        <v>1124</v>
      </c>
      <c r="DZ427" s="70" t="str">
        <f>VLOOKUP($BS427,'État &amp; Plan d''action'!$B$6:$AH$1113,31,FALSE)</f>
        <v/>
      </c>
      <c r="EA427" s="70" t="str">
        <f>VLOOKUP($BS427,'État &amp; Plan d''action'!$B$6:$AH$1113,32,FALSE)</f>
        <v/>
      </c>
      <c r="EB427" s="70" t="str">
        <f>VLOOKUP($BS427,'État &amp; Plan d''action'!$B$6:$AH$1113,33,FALSE)</f>
        <v/>
      </c>
      <c r="EC427" s="70" t="s">
        <v>1124</v>
      </c>
      <c r="ED427" s="70" t="s">
        <v>1124</v>
      </c>
      <c r="EE427" s="70" t="s">
        <v>1124</v>
      </c>
      <c r="EF427" s="70" t="s">
        <v>1124</v>
      </c>
      <c r="EG427" s="70" t="s">
        <v>1124</v>
      </c>
      <c r="EH427" s="72"/>
      <c r="EI427" s="72">
        <v>800</v>
      </c>
    </row>
    <row r="428" spans="71:139" x14ac:dyDescent="0.35">
      <c r="BS428" s="486">
        <v>45050</v>
      </c>
      <c r="BT428" s="479" t="s">
        <v>416</v>
      </c>
      <c r="BU428" s="479">
        <v>5</v>
      </c>
      <c r="BV428" s="476" t="s">
        <v>1187</v>
      </c>
      <c r="BW428" s="476" t="s">
        <v>1187</v>
      </c>
      <c r="BX428" s="476" t="s">
        <v>1187</v>
      </c>
      <c r="BY428" s="476" t="s">
        <v>1187</v>
      </c>
      <c r="BZ428" s="476" t="s">
        <v>1187</v>
      </c>
      <c r="CA428" s="476" t="s">
        <v>1187</v>
      </c>
      <c r="CB428" s="476" t="s">
        <v>1187</v>
      </c>
      <c r="CC428" s="476" t="s">
        <v>1187</v>
      </c>
      <c r="CD428" s="476" t="s">
        <v>1187</v>
      </c>
      <c r="CE428" s="476" t="s">
        <v>1188</v>
      </c>
      <c r="CF428" s="476" t="s">
        <v>1188</v>
      </c>
      <c r="CG428" s="476" t="s">
        <v>1187</v>
      </c>
      <c r="CH428" s="476" t="s">
        <v>1187</v>
      </c>
      <c r="CI428" s="476" t="s">
        <v>1188</v>
      </c>
      <c r="CJ428" s="476" t="s">
        <v>1188</v>
      </c>
      <c r="CK428" s="476" t="s">
        <v>1188</v>
      </c>
      <c r="CL428" s="476" t="s">
        <v>1187</v>
      </c>
      <c r="CM428" s="476" t="str">
        <f>IF(VLOOKUP(BS428,'Données par municipalité'!$B$6:$E$1113,4,FALSE)="","non","oui")</f>
        <v>non</v>
      </c>
      <c r="CN428" s="410">
        <v>989.6924833600973</v>
      </c>
      <c r="CO428" s="410">
        <v>989.69248336009741</v>
      </c>
      <c r="CP428" s="410"/>
      <c r="CQ428" s="410"/>
      <c r="CR428" s="410">
        <v>738.21955236170379</v>
      </c>
      <c r="CS428" s="410">
        <v>708.94221604156212</v>
      </c>
      <c r="CT428" s="410">
        <v>566.51673141143613</v>
      </c>
      <c r="CU428" s="410" t="s">
        <v>1124</v>
      </c>
      <c r="CV428" s="410" t="str">
        <f>IF(VLOOKUP(BS428,'Données par municipalité'!$B$6:$F$1113,4,FALSE)="","",VLOOKUP(BS428,'Données par municipalité'!$B$6:$F$1113,4,FALSE))</f>
        <v/>
      </c>
      <c r="CW428" s="476" t="s">
        <v>4723</v>
      </c>
      <c r="CX428" s="483">
        <v>0</v>
      </c>
      <c r="CY428" s="483" t="s">
        <v>1124</v>
      </c>
      <c r="CZ428" s="483" t="s">
        <v>1124</v>
      </c>
      <c r="DA428" s="483">
        <v>1</v>
      </c>
      <c r="DB428" s="483">
        <v>1</v>
      </c>
      <c r="DC428" s="483">
        <v>1</v>
      </c>
      <c r="DD428" s="483" t="s">
        <v>1124</v>
      </c>
      <c r="DE428" s="483" t="str">
        <f>IFERROR(SUM(VLOOKUP($BS428,'État &amp; Plan d''action'!$B$6:$Z$1113,18,FALSE),VLOOKUP($BS428,'État &amp; Plan d''action'!$B$6:$Z$1113,20,FALSE))/(VLOOKUP($BS428,'Données par municipalité'!$B$4:$L$1113,11,FALSE)),"")</f>
        <v/>
      </c>
      <c r="DF428" s="483" t="str">
        <f>IFERROR(SUM(VLOOKUP($BS428,'État &amp; Plan d''action'!$B$6:$Z$1113,19,FALSE),VLOOKUP($BS428,'État &amp; Plan d''action'!$B$6:$Z$1113,21,FALSE))/(VLOOKUP($BS428,'Données par municipalité'!$B$4:$L$1113,11,FALSE)),"")</f>
        <v/>
      </c>
      <c r="DG428" s="476" t="s">
        <v>4723</v>
      </c>
      <c r="DH428" s="484" t="s">
        <v>1271</v>
      </c>
      <c r="DI428" s="484" t="s">
        <v>1124</v>
      </c>
      <c r="DJ428" s="484">
        <v>0</v>
      </c>
      <c r="DK428" s="484">
        <v>3</v>
      </c>
      <c r="DL428" s="484">
        <v>10</v>
      </c>
      <c r="DM428" s="484">
        <v>10</v>
      </c>
      <c r="DN428" s="484" t="s">
        <v>1124</v>
      </c>
      <c r="DO428" s="484" t="s">
        <v>1124</v>
      </c>
      <c r="DP428" s="484" t="s">
        <v>1124</v>
      </c>
      <c r="DQ428" s="484" t="str">
        <f>IF(VLOOKUP($BS428,'État &amp; Plan d''action'!$B$6:$AJ$1113,28,FALSE)="","",VLOOKUP($BS428,'État &amp; Plan d''action'!$B$6:$AJ$1113,28,FALSE))</f>
        <v/>
      </c>
      <c r="DR428" s="70" t="str">
        <f>IF(VLOOKUP($BS428,'État &amp; Plan d''action'!$B$6:$AJ$1113,29,FALSE)="","",VLOOKUP($BS428,'État &amp; Plan d''action'!$B$6:$AJ$1113,29,FALSE))</f>
        <v/>
      </c>
      <c r="DS428" s="70" t="str">
        <f>IF(VLOOKUP($BS428,'État &amp; Plan d''action'!$B$6:$AJ$1113,30,FALSE)="","",VLOOKUP($BS428,'État &amp; Plan d''action'!$B$6:$AJ$1113,30,FALSE))</f>
        <v/>
      </c>
      <c r="DT428" s="70" t="s">
        <v>1124</v>
      </c>
      <c r="DU428" s="485" t="s">
        <v>1124</v>
      </c>
      <c r="DV428" s="485" t="s">
        <v>1124</v>
      </c>
      <c r="DW428" s="70" t="s">
        <v>1124</v>
      </c>
      <c r="DX428" s="70" t="s">
        <v>1124</v>
      </c>
      <c r="DY428" s="70" t="s">
        <v>1124</v>
      </c>
      <c r="DZ428" s="70" t="str">
        <f>VLOOKUP($BS428,'État &amp; Plan d''action'!$B$6:$AH$1113,31,FALSE)</f>
        <v/>
      </c>
      <c r="EA428" s="70" t="str">
        <f>VLOOKUP($BS428,'État &amp; Plan d''action'!$B$6:$AH$1113,32,FALSE)</f>
        <v/>
      </c>
      <c r="EB428" s="70" t="str">
        <f>VLOOKUP($BS428,'État &amp; Plan d''action'!$B$6:$AH$1113,33,FALSE)</f>
        <v/>
      </c>
      <c r="EC428" s="70" t="s">
        <v>1124</v>
      </c>
      <c r="ED428" s="70" t="s">
        <v>1124</v>
      </c>
      <c r="EE428" s="70" t="s">
        <v>1124</v>
      </c>
      <c r="EF428" s="70" t="s">
        <v>1124</v>
      </c>
      <c r="EG428" s="70" t="s">
        <v>1124</v>
      </c>
      <c r="EH428" s="72"/>
      <c r="EI428" s="72">
        <v>666</v>
      </c>
    </row>
    <row r="429" spans="71:139" x14ac:dyDescent="0.35">
      <c r="BS429" s="486">
        <v>19010</v>
      </c>
      <c r="BT429" s="479" t="s">
        <v>119</v>
      </c>
      <c r="BU429" s="479">
        <v>12</v>
      </c>
      <c r="BV429" s="476" t="s">
        <v>1187</v>
      </c>
      <c r="BW429" s="476" t="s">
        <v>1187</v>
      </c>
      <c r="BX429" s="476" t="s">
        <v>1187</v>
      </c>
      <c r="BY429" s="476" t="s">
        <v>1187</v>
      </c>
      <c r="BZ429" s="476" t="s">
        <v>1187</v>
      </c>
      <c r="CA429" s="476" t="s">
        <v>1187</v>
      </c>
      <c r="CB429" s="476" t="s">
        <v>1187</v>
      </c>
      <c r="CC429" s="476" t="s">
        <v>1187</v>
      </c>
      <c r="CD429" s="476" t="s">
        <v>1187</v>
      </c>
      <c r="CE429" s="476" t="s">
        <v>1188</v>
      </c>
      <c r="CF429" s="476" t="s">
        <v>1188</v>
      </c>
      <c r="CG429" s="476" t="s">
        <v>1188</v>
      </c>
      <c r="CH429" s="476" t="s">
        <v>1188</v>
      </c>
      <c r="CI429" s="476" t="s">
        <v>1188</v>
      </c>
      <c r="CJ429" s="476" t="s">
        <v>1188</v>
      </c>
      <c r="CK429" s="476" t="s">
        <v>1188</v>
      </c>
      <c r="CL429" s="476" t="s">
        <v>1188</v>
      </c>
      <c r="CM429" s="476" t="str">
        <f>IF(VLOOKUP(BS429,'Données par municipalité'!$B$6:$E$1113,4,FALSE)="","non","oui")</f>
        <v>oui</v>
      </c>
      <c r="CN429" s="410">
        <v>391.25715684197934</v>
      </c>
      <c r="CO429" s="410">
        <v>483.76938873026734</v>
      </c>
      <c r="CP429" s="410">
        <v>575.13530310485021</v>
      </c>
      <c r="CQ429" s="410">
        <v>449.30348162629627</v>
      </c>
      <c r="CR429" s="410">
        <v>419.08788781428007</v>
      </c>
      <c r="CS429" s="410">
        <v>388.32578070464336</v>
      </c>
      <c r="CT429" s="410">
        <v>358.76964128292644</v>
      </c>
      <c r="CU429" s="410">
        <v>424</v>
      </c>
      <c r="CV429" s="410">
        <f>IF(VLOOKUP(BS429,'Données par municipalité'!$B$6:$F$1113,4,FALSE)="","",VLOOKUP(BS429,'Données par municipalité'!$B$6:$F$1113,4,FALSE))</f>
        <v>388</v>
      </c>
      <c r="CW429" s="476" t="s">
        <v>4723</v>
      </c>
      <c r="CX429" s="483">
        <v>1</v>
      </c>
      <c r="CY429" s="483">
        <v>0.5</v>
      </c>
      <c r="CZ429" s="483">
        <v>1</v>
      </c>
      <c r="DA429" s="483">
        <v>0</v>
      </c>
      <c r="DB429" s="483">
        <v>0</v>
      </c>
      <c r="DC429" s="483">
        <v>0</v>
      </c>
      <c r="DD429" s="483">
        <v>1</v>
      </c>
      <c r="DE429" s="483">
        <f>IFERROR(SUM(VLOOKUP($BS429,'État &amp; Plan d''action'!$B$6:$Z$1113,18,FALSE),VLOOKUP($BS429,'État &amp; Plan d''action'!$B$6:$Z$1113,20,FALSE))/(VLOOKUP($BS429,'Données par municipalité'!$B$4:$L$1113,11,FALSE)),"")</f>
        <v>0</v>
      </c>
      <c r="DF429" s="483">
        <f>IFERROR(SUM(VLOOKUP($BS429,'État &amp; Plan d''action'!$B$6:$Z$1113,19,FALSE),VLOOKUP($BS429,'État &amp; Plan d''action'!$B$6:$Z$1113,21,FALSE))/(VLOOKUP($BS429,'Données par municipalité'!$B$4:$L$1113,11,FALSE)),"")</f>
        <v>0</v>
      </c>
      <c r="DG429" s="476" t="s">
        <v>4723</v>
      </c>
      <c r="DH429" s="484">
        <v>3</v>
      </c>
      <c r="DI429" s="484">
        <v>1</v>
      </c>
      <c r="DJ429" s="484">
        <v>2</v>
      </c>
      <c r="DK429" s="484">
        <v>0</v>
      </c>
      <c r="DL429" s="484">
        <v>0</v>
      </c>
      <c r="DM429" s="484">
        <v>0</v>
      </c>
      <c r="DN429" s="484">
        <v>1</v>
      </c>
      <c r="DO429" s="484">
        <v>0</v>
      </c>
      <c r="DP429" s="484">
        <v>0</v>
      </c>
      <c r="DQ429" s="484">
        <f>IF(VLOOKUP($BS429,'État &amp; Plan d''action'!$B$6:$AJ$1113,28,FALSE)="","",VLOOKUP($BS429,'État &amp; Plan d''action'!$B$6:$AJ$1113,28,FALSE))</f>
        <v>0</v>
      </c>
      <c r="DR429" s="70">
        <f>IF(VLOOKUP($BS429,'État &amp; Plan d''action'!$B$6:$AJ$1113,29,FALSE)="","",VLOOKUP($BS429,'État &amp; Plan d''action'!$B$6:$AJ$1113,29,FALSE))</f>
        <v>0</v>
      </c>
      <c r="DS429" s="70">
        <f>IF(VLOOKUP($BS429,'État &amp; Plan d''action'!$B$6:$AJ$1113,30,FALSE)="","",VLOOKUP($BS429,'État &amp; Plan d''action'!$B$6:$AJ$1113,30,FALSE))</f>
        <v>0</v>
      </c>
      <c r="DT429" s="70">
        <v>339</v>
      </c>
      <c r="DU429" s="485">
        <v>0.65189388210629529</v>
      </c>
      <c r="DV429" s="485">
        <v>1.1133805324575332</v>
      </c>
      <c r="DW429" s="70">
        <v>1</v>
      </c>
      <c r="DX429" s="70">
        <v>0</v>
      </c>
      <c r="DY429" s="70">
        <v>0</v>
      </c>
      <c r="DZ429" s="70">
        <f>VLOOKUP($BS429,'État &amp; Plan d''action'!$B$6:$AH$1113,31,FALSE)</f>
        <v>0</v>
      </c>
      <c r="EA429" s="70">
        <f>VLOOKUP($BS429,'État &amp; Plan d''action'!$B$6:$AH$1113,32,FALSE)</f>
        <v>0</v>
      </c>
      <c r="EB429" s="70">
        <f>VLOOKUP($BS429,'État &amp; Plan d''action'!$B$6:$AH$1113,33,FALSE)</f>
        <v>0</v>
      </c>
      <c r="EC429" s="70">
        <v>0</v>
      </c>
      <c r="ED429" s="70">
        <v>0</v>
      </c>
      <c r="EE429" s="70">
        <v>7.1609999999999996</v>
      </c>
      <c r="EF429" s="70">
        <v>0</v>
      </c>
      <c r="EG429" s="70">
        <v>0</v>
      </c>
      <c r="EH429" s="72">
        <v>59</v>
      </c>
      <c r="EI429" s="72">
        <v>788</v>
      </c>
    </row>
    <row r="430" spans="71:139" x14ac:dyDescent="0.35">
      <c r="BS430" s="486">
        <v>80015</v>
      </c>
      <c r="BT430" s="479" t="s">
        <v>805</v>
      </c>
      <c r="BU430" s="479">
        <v>7</v>
      </c>
      <c r="BV430" s="476" t="s">
        <v>1187</v>
      </c>
      <c r="BW430" s="476" t="s">
        <v>1187</v>
      </c>
      <c r="BX430" s="476" t="s">
        <v>1187</v>
      </c>
      <c r="BY430" s="476" t="s">
        <v>1187</v>
      </c>
      <c r="BZ430" s="476" t="s">
        <v>1187</v>
      </c>
      <c r="CA430" s="476" t="s">
        <v>1187</v>
      </c>
      <c r="CB430" s="476" t="s">
        <v>1187</v>
      </c>
      <c r="CC430" s="476" t="s">
        <v>1187</v>
      </c>
      <c r="CD430" s="476" t="s">
        <v>1187</v>
      </c>
      <c r="CE430" s="476" t="s">
        <v>1188</v>
      </c>
      <c r="CF430" s="476" t="s">
        <v>1188</v>
      </c>
      <c r="CG430" s="476" t="s">
        <v>1187</v>
      </c>
      <c r="CH430" s="476" t="s">
        <v>1188</v>
      </c>
      <c r="CI430" s="476" t="s">
        <v>1188</v>
      </c>
      <c r="CJ430" s="476" t="s">
        <v>1187</v>
      </c>
      <c r="CK430" s="476" t="s">
        <v>1187</v>
      </c>
      <c r="CL430" s="476" t="s">
        <v>1187</v>
      </c>
      <c r="CM430" s="476" t="str">
        <f>IF(VLOOKUP(BS430,'Données par municipalité'!$B$6:$E$1113,4,FALSE)="","non","oui")</f>
        <v>oui</v>
      </c>
      <c r="CN430" s="410">
        <v>405.18469228950249</v>
      </c>
      <c r="CO430" s="410">
        <v>585.81484501682462</v>
      </c>
      <c r="CP430" s="410"/>
      <c r="CQ430" s="410">
        <v>365.89922468186677</v>
      </c>
      <c r="CR430" s="410">
        <v>315.7675107079869</v>
      </c>
      <c r="CS430" s="410" t="s">
        <v>1124</v>
      </c>
      <c r="CT430" s="410"/>
      <c r="CU430" s="410" t="s">
        <v>1124</v>
      </c>
      <c r="CV430" s="410">
        <f>IF(VLOOKUP(BS430,'Données par municipalité'!$B$6:$F$1113,4,FALSE)="","",VLOOKUP(BS430,'Données par municipalité'!$B$6:$F$1113,4,FALSE))</f>
        <v>374</v>
      </c>
      <c r="CW430" s="476" t="s">
        <v>4723</v>
      </c>
      <c r="CX430" s="483">
        <v>0.5</v>
      </c>
      <c r="CY430" s="483" t="s">
        <v>1124</v>
      </c>
      <c r="CZ430" s="483">
        <v>0</v>
      </c>
      <c r="DA430" s="483">
        <v>0</v>
      </c>
      <c r="DB430" s="483" t="s">
        <v>1124</v>
      </c>
      <c r="DC430" s="483" t="s">
        <v>1124</v>
      </c>
      <c r="DD430" s="483" t="s">
        <v>1124</v>
      </c>
      <c r="DE430" s="483">
        <f>IFERROR(SUM(VLOOKUP($BS430,'État &amp; Plan d''action'!$B$6:$Z$1113,18,FALSE),VLOOKUP($BS430,'État &amp; Plan d''action'!$B$6:$Z$1113,20,FALSE))/(VLOOKUP($BS430,'Données par municipalité'!$B$4:$L$1113,11,FALSE)),"")</f>
        <v>0</v>
      </c>
      <c r="DF430" s="483">
        <f>IFERROR(SUM(VLOOKUP($BS430,'État &amp; Plan d''action'!$B$6:$Z$1113,19,FALSE),VLOOKUP($BS430,'État &amp; Plan d''action'!$B$6:$Z$1113,21,FALSE))/(VLOOKUP($BS430,'Données par municipalité'!$B$4:$L$1113,11,FALSE)),"")</f>
        <v>0</v>
      </c>
      <c r="DG430" s="476" t="s">
        <v>4723</v>
      </c>
      <c r="DH430" s="484">
        <v>0</v>
      </c>
      <c r="DI430" s="484" t="s">
        <v>1124</v>
      </c>
      <c r="DJ430" s="484">
        <v>0</v>
      </c>
      <c r="DK430" s="484">
        <v>0</v>
      </c>
      <c r="DL430" s="484" t="s">
        <v>1124</v>
      </c>
      <c r="DM430" s="484" t="s">
        <v>1124</v>
      </c>
      <c r="DN430" s="484" t="s">
        <v>1124</v>
      </c>
      <c r="DO430" s="484" t="s">
        <v>1124</v>
      </c>
      <c r="DP430" s="484" t="s">
        <v>1124</v>
      </c>
      <c r="DQ430" s="484">
        <f>IF(VLOOKUP($BS430,'État &amp; Plan d''action'!$B$6:$AJ$1113,28,FALSE)="","",VLOOKUP($BS430,'État &amp; Plan d''action'!$B$6:$AJ$1113,28,FALSE))</f>
        <v>0</v>
      </c>
      <c r="DR430" s="70">
        <f>IF(VLOOKUP($BS430,'État &amp; Plan d''action'!$B$6:$AJ$1113,29,FALSE)="","",VLOOKUP($BS430,'État &amp; Plan d''action'!$B$6:$AJ$1113,29,FALSE))</f>
        <v>0</v>
      </c>
      <c r="DS430" s="70">
        <f>IF(VLOOKUP($BS430,'État &amp; Plan d''action'!$B$6:$AJ$1113,30,FALSE)="","",VLOOKUP($BS430,'État &amp; Plan d''action'!$B$6:$AJ$1113,30,FALSE))</f>
        <v>0</v>
      </c>
      <c r="DT430" s="70" t="s">
        <v>1124</v>
      </c>
      <c r="DU430" s="485" t="s">
        <v>1124</v>
      </c>
      <c r="DV430" s="485">
        <v>0.27104921477896216</v>
      </c>
      <c r="DW430" s="70" t="s">
        <v>1124</v>
      </c>
      <c r="DX430" s="70" t="s">
        <v>1124</v>
      </c>
      <c r="DY430" s="70" t="s">
        <v>1124</v>
      </c>
      <c r="DZ430" s="70">
        <f>VLOOKUP($BS430,'État &amp; Plan d''action'!$B$6:$AH$1113,31,FALSE)</f>
        <v>0</v>
      </c>
      <c r="EA430" s="70">
        <f>VLOOKUP($BS430,'État &amp; Plan d''action'!$B$6:$AH$1113,32,FALSE)</f>
        <v>0</v>
      </c>
      <c r="EB430" s="70">
        <f>VLOOKUP($BS430,'État &amp; Plan d''action'!$B$6:$AH$1113,33,FALSE)</f>
        <v>0</v>
      </c>
      <c r="EC430" s="70" t="s">
        <v>1124</v>
      </c>
      <c r="ED430" s="70" t="s">
        <v>1124</v>
      </c>
      <c r="EE430" s="70" t="s">
        <v>1124</v>
      </c>
      <c r="EF430" s="70" t="s">
        <v>1124</v>
      </c>
      <c r="EG430" s="70" t="s">
        <v>1124</v>
      </c>
      <c r="EH430" s="72"/>
      <c r="EI430" s="72">
        <v>308</v>
      </c>
    </row>
    <row r="431" spans="71:139" x14ac:dyDescent="0.35">
      <c r="BS431" s="486">
        <v>39015</v>
      </c>
      <c r="BT431" s="479" t="s">
        <v>339</v>
      </c>
      <c r="BU431" s="479">
        <v>17</v>
      </c>
      <c r="BV431" s="476" t="s">
        <v>1187</v>
      </c>
      <c r="BW431" s="476" t="s">
        <v>1187</v>
      </c>
      <c r="BX431" s="476" t="s">
        <v>1187</v>
      </c>
      <c r="BY431" s="476" t="s">
        <v>1187</v>
      </c>
      <c r="BZ431" s="476" t="s">
        <v>1187</v>
      </c>
      <c r="CA431" s="476" t="s">
        <v>1187</v>
      </c>
      <c r="CB431" s="476" t="s">
        <v>1187</v>
      </c>
      <c r="CC431" s="476" t="s">
        <v>1187</v>
      </c>
      <c r="CD431" s="476" t="s">
        <v>1187</v>
      </c>
      <c r="CE431" s="476" t="s">
        <v>1188</v>
      </c>
      <c r="CF431" s="476" t="s">
        <v>1188</v>
      </c>
      <c r="CG431" s="476" t="s">
        <v>1188</v>
      </c>
      <c r="CH431" s="476" t="s">
        <v>1188</v>
      </c>
      <c r="CI431" s="476" t="s">
        <v>1188</v>
      </c>
      <c r="CJ431" s="476" t="s">
        <v>1188</v>
      </c>
      <c r="CK431" s="476" t="s">
        <v>1188</v>
      </c>
      <c r="CL431" s="476" t="s">
        <v>1188</v>
      </c>
      <c r="CM431" s="476" t="str">
        <f>IF(VLOOKUP(BS431,'Données par municipalité'!$B$6:$E$1113,4,FALSE)="","non","oui")</f>
        <v>oui</v>
      </c>
      <c r="CN431" s="410">
        <v>326.08695652173913</v>
      </c>
      <c r="CO431" s="410">
        <v>369.54091881034145</v>
      </c>
      <c r="CP431" s="410">
        <v>285.68295897125972</v>
      </c>
      <c r="CQ431" s="410">
        <v>260.66641541587467</v>
      </c>
      <c r="CR431" s="410">
        <v>277.15685943720905</v>
      </c>
      <c r="CS431" s="410">
        <v>227.8613987766644</v>
      </c>
      <c r="CT431" s="410">
        <v>215.15331997762013</v>
      </c>
      <c r="CU431" s="410">
        <v>238</v>
      </c>
      <c r="CV431" s="410">
        <f>IF(VLOOKUP(BS431,'Données par municipalité'!$B$6:$F$1113,4,FALSE)="","",VLOOKUP(BS431,'Données par municipalité'!$B$6:$F$1113,4,FALSE))</f>
        <v>229</v>
      </c>
      <c r="CW431" s="476" t="s">
        <v>4723</v>
      </c>
      <c r="CX431" s="483">
        <v>0</v>
      </c>
      <c r="CY431" s="483">
        <v>0</v>
      </c>
      <c r="CZ431" s="483">
        <v>1</v>
      </c>
      <c r="DA431" s="483">
        <v>1</v>
      </c>
      <c r="DB431" s="483">
        <v>0</v>
      </c>
      <c r="DC431" s="483">
        <v>0</v>
      </c>
      <c r="DD431" s="483">
        <v>0</v>
      </c>
      <c r="DE431" s="483">
        <f>IFERROR(SUM(VLOOKUP($BS431,'État &amp; Plan d''action'!$B$6:$Z$1113,18,FALSE),VLOOKUP($BS431,'État &amp; Plan d''action'!$B$6:$Z$1113,20,FALSE))/(VLOOKUP($BS431,'Données par municipalité'!$B$4:$L$1113,11,FALSE)),"")</f>
        <v>0</v>
      </c>
      <c r="DF431" s="483">
        <f>IFERROR(SUM(VLOOKUP($BS431,'État &amp; Plan d''action'!$B$6:$Z$1113,19,FALSE),VLOOKUP($BS431,'État &amp; Plan d''action'!$B$6:$Z$1113,21,FALSE))/(VLOOKUP($BS431,'Données par municipalité'!$B$4:$L$1113,11,FALSE)),"")</f>
        <v>0</v>
      </c>
      <c r="DG431" s="476" t="s">
        <v>4723</v>
      </c>
      <c r="DH431" s="484">
        <v>1</v>
      </c>
      <c r="DI431" s="484">
        <v>1</v>
      </c>
      <c r="DJ431" s="484">
        <v>1</v>
      </c>
      <c r="DK431" s="484">
        <v>1</v>
      </c>
      <c r="DL431" s="484">
        <v>1</v>
      </c>
      <c r="DM431" s="484">
        <v>0</v>
      </c>
      <c r="DN431" s="484">
        <v>0</v>
      </c>
      <c r="DO431" s="484">
        <v>0</v>
      </c>
      <c r="DP431" s="484">
        <v>1</v>
      </c>
      <c r="DQ431" s="484">
        <f>IF(VLOOKUP($BS431,'État &amp; Plan d''action'!$B$6:$AJ$1113,28,FALSE)="","",VLOOKUP($BS431,'État &amp; Plan d''action'!$B$6:$AJ$1113,28,FALSE))</f>
        <v>1</v>
      </c>
      <c r="DR431" s="70">
        <f>IF(VLOOKUP($BS431,'État &amp; Plan d''action'!$B$6:$AJ$1113,29,FALSE)="","",VLOOKUP($BS431,'État &amp; Plan d''action'!$B$6:$AJ$1113,29,FALSE))</f>
        <v>1</v>
      </c>
      <c r="DS431" s="70">
        <f>IF(VLOOKUP($BS431,'État &amp; Plan d''action'!$B$6:$AJ$1113,30,FALSE)="","",VLOOKUP($BS431,'État &amp; Plan d''action'!$B$6:$AJ$1113,30,FALSE))</f>
        <v>0</v>
      </c>
      <c r="DT431" s="70">
        <v>158</v>
      </c>
      <c r="DU431" s="485">
        <v>1.8217089854286372</v>
      </c>
      <c r="DV431" s="485">
        <v>0.9406901702553746</v>
      </c>
      <c r="DW431" s="70">
        <v>0</v>
      </c>
      <c r="DX431" s="70">
        <v>0</v>
      </c>
      <c r="DY431" s="70">
        <v>1</v>
      </c>
      <c r="DZ431" s="70">
        <f>VLOOKUP($BS431,'État &amp; Plan d''action'!$B$6:$AH$1113,31,FALSE)</f>
        <v>1</v>
      </c>
      <c r="EA431" s="70">
        <f>VLOOKUP($BS431,'État &amp; Plan d''action'!$B$6:$AH$1113,32,FALSE)</f>
        <v>1</v>
      </c>
      <c r="EB431" s="70">
        <f>VLOOKUP($BS431,'État &amp; Plan d''action'!$B$6:$AH$1113,33,FALSE)</f>
        <v>0</v>
      </c>
      <c r="EC431" s="70">
        <v>0</v>
      </c>
      <c r="ED431" s="70">
        <v>0</v>
      </c>
      <c r="EE431" s="70">
        <v>0</v>
      </c>
      <c r="EF431" s="70">
        <v>0</v>
      </c>
      <c r="EG431" s="70">
        <v>0</v>
      </c>
      <c r="EH431" s="72">
        <v>59</v>
      </c>
      <c r="EI431" s="72">
        <v>402</v>
      </c>
    </row>
    <row r="432" spans="71:139" x14ac:dyDescent="0.35">
      <c r="BS432" s="486">
        <v>62055</v>
      </c>
      <c r="BT432" s="479" t="s">
        <v>627</v>
      </c>
      <c r="BU432" s="479">
        <v>14</v>
      </c>
      <c r="BV432" s="476" t="s">
        <v>1188</v>
      </c>
      <c r="BW432" s="476" t="s">
        <v>1188</v>
      </c>
      <c r="BX432" s="476" t="s">
        <v>1188</v>
      </c>
      <c r="BY432" s="476" t="s">
        <v>1188</v>
      </c>
      <c r="BZ432" s="476" t="s">
        <v>1188</v>
      </c>
      <c r="CA432" s="476" t="s">
        <v>1188</v>
      </c>
      <c r="CB432" s="476" t="s">
        <v>1188</v>
      </c>
      <c r="CC432" s="476" t="s">
        <v>1188</v>
      </c>
      <c r="CD432" s="476" t="s">
        <v>1188</v>
      </c>
      <c r="CE432" s="476" t="s">
        <v>1187</v>
      </c>
      <c r="CF432" s="476" t="s">
        <v>1187</v>
      </c>
      <c r="CG432" s="476" t="s">
        <v>1187</v>
      </c>
      <c r="CH432" s="476" t="s">
        <v>1187</v>
      </c>
      <c r="CI432" s="476" t="s">
        <v>1187</v>
      </c>
      <c r="CJ432" s="476" t="s">
        <v>1187</v>
      </c>
      <c r="CK432" s="476" t="s">
        <v>1187</v>
      </c>
      <c r="CL432" s="476" t="s">
        <v>1187</v>
      </c>
      <c r="CM432" s="476" t="str">
        <f>IF(VLOOKUP(BS432,'Données par municipalité'!$B$6:$E$1113,4,FALSE)="","non","oui")</f>
        <v>non</v>
      </c>
      <c r="CN432" s="410" t="s">
        <v>1124</v>
      </c>
      <c r="CO432" s="410" t="s">
        <v>1124</v>
      </c>
      <c r="CP432" s="410"/>
      <c r="CQ432" s="410"/>
      <c r="CR432" s="410"/>
      <c r="CS432" s="410" t="s">
        <v>1124</v>
      </c>
      <c r="CT432" s="410"/>
      <c r="CU432" s="410" t="s">
        <v>1124</v>
      </c>
      <c r="CV432" s="410" t="str">
        <f>IF(VLOOKUP(BS432,'Données par municipalité'!$B$6:$F$1113,4,FALSE)="","",VLOOKUP(BS432,'Données par municipalité'!$B$6:$F$1113,4,FALSE))</f>
        <v/>
      </c>
      <c r="CW432" s="476" t="s">
        <v>4723</v>
      </c>
      <c r="CX432" s="483" t="s">
        <v>1124</v>
      </c>
      <c r="CY432" s="483" t="s">
        <v>1124</v>
      </c>
      <c r="CZ432" s="483" t="s">
        <v>1124</v>
      </c>
      <c r="DA432" s="483" t="s">
        <v>1124</v>
      </c>
      <c r="DB432" s="483" t="s">
        <v>1124</v>
      </c>
      <c r="DC432" s="483" t="s">
        <v>1124</v>
      </c>
      <c r="DD432" s="483" t="s">
        <v>1124</v>
      </c>
      <c r="DE432" s="483" t="str">
        <f>IFERROR(SUM(VLOOKUP($BS432,'État &amp; Plan d''action'!$B$6:$Z$1113,18,FALSE),VLOOKUP($BS432,'État &amp; Plan d''action'!$B$6:$Z$1113,20,FALSE))/(VLOOKUP($BS432,'Données par municipalité'!$B$4:$L$1113,11,FALSE)),"")</f>
        <v/>
      </c>
      <c r="DF432" s="483" t="str">
        <f>IFERROR(SUM(VLOOKUP($BS432,'État &amp; Plan d''action'!$B$6:$Z$1113,19,FALSE),VLOOKUP($BS432,'État &amp; Plan d''action'!$B$6:$Z$1113,21,FALSE))/(VLOOKUP($BS432,'Données par municipalité'!$B$4:$L$1113,11,FALSE)),"")</f>
        <v/>
      </c>
      <c r="DG432" s="476" t="s">
        <v>4723</v>
      </c>
      <c r="DH432" s="484" t="s">
        <v>1124</v>
      </c>
      <c r="DI432" s="484" t="s">
        <v>1124</v>
      </c>
      <c r="DJ432" s="484">
        <v>0</v>
      </c>
      <c r="DK432" s="484">
        <v>0</v>
      </c>
      <c r="DL432" s="484" t="s">
        <v>1124</v>
      </c>
      <c r="DM432" s="484" t="s">
        <v>1124</v>
      </c>
      <c r="DN432" s="484" t="s">
        <v>1124</v>
      </c>
      <c r="DO432" s="484" t="s">
        <v>1124</v>
      </c>
      <c r="DP432" s="484" t="s">
        <v>1124</v>
      </c>
      <c r="DQ432" s="484" t="str">
        <f>IF(VLOOKUP($BS432,'État &amp; Plan d''action'!$B$6:$AJ$1113,28,FALSE)="","",VLOOKUP($BS432,'État &amp; Plan d''action'!$B$6:$AJ$1113,28,FALSE))</f>
        <v/>
      </c>
      <c r="DR432" s="70" t="str">
        <f>IF(VLOOKUP($BS432,'État &amp; Plan d''action'!$B$6:$AJ$1113,29,FALSE)="","",VLOOKUP($BS432,'État &amp; Plan d''action'!$B$6:$AJ$1113,29,FALSE))</f>
        <v/>
      </c>
      <c r="DS432" s="70" t="str">
        <f>IF(VLOOKUP($BS432,'État &amp; Plan d''action'!$B$6:$AJ$1113,30,FALSE)="","",VLOOKUP($BS432,'État &amp; Plan d''action'!$B$6:$AJ$1113,30,FALSE))</f>
        <v/>
      </c>
      <c r="DT432" s="70" t="s">
        <v>1124</v>
      </c>
      <c r="DU432" s="485" t="s">
        <v>1124</v>
      </c>
      <c r="DV432" s="485" t="s">
        <v>1124</v>
      </c>
      <c r="DW432" s="70" t="s">
        <v>1124</v>
      </c>
      <c r="DX432" s="70" t="s">
        <v>1124</v>
      </c>
      <c r="DY432" s="70" t="s">
        <v>1124</v>
      </c>
      <c r="DZ432" s="70" t="str">
        <f>VLOOKUP($BS432,'État &amp; Plan d''action'!$B$6:$AH$1113,31,FALSE)</f>
        <v/>
      </c>
      <c r="EA432" s="70" t="str">
        <f>VLOOKUP($BS432,'État &amp; Plan d''action'!$B$6:$AH$1113,32,FALSE)</f>
        <v/>
      </c>
      <c r="EB432" s="70" t="str">
        <f>VLOOKUP($BS432,'État &amp; Plan d''action'!$B$6:$AH$1113,33,FALSE)</f>
        <v/>
      </c>
      <c r="EC432" s="70" t="s">
        <v>1124</v>
      </c>
      <c r="ED432" s="70" t="s">
        <v>1124</v>
      </c>
      <c r="EE432" s="70" t="s">
        <v>1124</v>
      </c>
      <c r="EF432" s="70" t="s">
        <v>1124</v>
      </c>
      <c r="EG432" s="70" t="s">
        <v>1124</v>
      </c>
      <c r="EH432" s="72"/>
      <c r="EI432" s="72">
        <v>926</v>
      </c>
    </row>
    <row r="433" spans="71:139" x14ac:dyDescent="0.35">
      <c r="BS433" s="486">
        <v>80020</v>
      </c>
      <c r="BT433" s="479" t="s">
        <v>806</v>
      </c>
      <c r="BU433" s="479">
        <v>7</v>
      </c>
      <c r="BV433" s="476" t="s">
        <v>1187</v>
      </c>
      <c r="BW433" s="476" t="s">
        <v>1187</v>
      </c>
      <c r="BX433" s="476" t="s">
        <v>1187</v>
      </c>
      <c r="BY433" s="476" t="s">
        <v>1187</v>
      </c>
      <c r="BZ433" s="476" t="s">
        <v>1187</v>
      </c>
      <c r="CA433" s="476" t="s">
        <v>1187</v>
      </c>
      <c r="CB433" s="476" t="s">
        <v>1187</v>
      </c>
      <c r="CC433" s="476" t="s">
        <v>1187</v>
      </c>
      <c r="CD433" s="476" t="s">
        <v>1187</v>
      </c>
      <c r="CE433" s="476" t="s">
        <v>1188</v>
      </c>
      <c r="CF433" s="476" t="s">
        <v>1188</v>
      </c>
      <c r="CG433" s="476" t="s">
        <v>1187</v>
      </c>
      <c r="CH433" s="476" t="s">
        <v>1188</v>
      </c>
      <c r="CI433" s="476" t="s">
        <v>1187</v>
      </c>
      <c r="CJ433" s="476" t="s">
        <v>1188</v>
      </c>
      <c r="CK433" s="476" t="s">
        <v>1187</v>
      </c>
      <c r="CL433" s="476" t="s">
        <v>1187</v>
      </c>
      <c r="CM433" s="476" t="str">
        <f>IF(VLOOKUP(BS433,'Données par municipalité'!$B$6:$E$1113,4,FALSE)="","non","oui")</f>
        <v>non</v>
      </c>
      <c r="CN433" s="410">
        <v>681.14681861430131</v>
      </c>
      <c r="CO433" s="410">
        <v>692.67203278492491</v>
      </c>
      <c r="CP433" s="410"/>
      <c r="CQ433" s="410">
        <v>399.71376224979235</v>
      </c>
      <c r="CR433" s="410"/>
      <c r="CS433" s="410">
        <v>283.29255717515036</v>
      </c>
      <c r="CT433" s="410"/>
      <c r="CU433" s="410" t="s">
        <v>1124</v>
      </c>
      <c r="CV433" s="410" t="str">
        <f>IF(VLOOKUP(BS433,'Données par municipalité'!$B$6:$F$1113,4,FALSE)="","",VLOOKUP(BS433,'Données par municipalité'!$B$6:$F$1113,4,FALSE))</f>
        <v/>
      </c>
      <c r="CW433" s="476" t="s">
        <v>4723</v>
      </c>
      <c r="CX433" s="483">
        <v>0</v>
      </c>
      <c r="CY433" s="483" t="s">
        <v>1124</v>
      </c>
      <c r="CZ433" s="483">
        <v>0</v>
      </c>
      <c r="DA433" s="483" t="s">
        <v>1124</v>
      </c>
      <c r="DB433" s="483">
        <v>0</v>
      </c>
      <c r="DC433" s="483" t="s">
        <v>1124</v>
      </c>
      <c r="DD433" s="483" t="s">
        <v>1124</v>
      </c>
      <c r="DE433" s="483" t="str">
        <f>IFERROR(SUM(VLOOKUP($BS433,'État &amp; Plan d''action'!$B$6:$Z$1113,18,FALSE),VLOOKUP($BS433,'État &amp; Plan d''action'!$B$6:$Z$1113,20,FALSE))/(VLOOKUP($BS433,'Données par municipalité'!$B$4:$L$1113,11,FALSE)),"")</f>
        <v/>
      </c>
      <c r="DF433" s="483" t="str">
        <f>IFERROR(SUM(VLOOKUP($BS433,'État &amp; Plan d''action'!$B$6:$Z$1113,19,FALSE),VLOOKUP($BS433,'État &amp; Plan d''action'!$B$6:$Z$1113,21,FALSE))/(VLOOKUP($BS433,'Données par municipalité'!$B$4:$L$1113,11,FALSE)),"")</f>
        <v/>
      </c>
      <c r="DG433" s="476" t="s">
        <v>4723</v>
      </c>
      <c r="DH433" s="484">
        <v>0</v>
      </c>
      <c r="DI433" s="484" t="s">
        <v>1124</v>
      </c>
      <c r="DJ433" s="484">
        <v>0</v>
      </c>
      <c r="DK433" s="484">
        <v>0</v>
      </c>
      <c r="DL433" s="484">
        <v>0</v>
      </c>
      <c r="DM433" s="484" t="s">
        <v>1124</v>
      </c>
      <c r="DN433" s="484" t="s">
        <v>1124</v>
      </c>
      <c r="DO433" s="484" t="s">
        <v>1124</v>
      </c>
      <c r="DP433" s="484" t="s">
        <v>1124</v>
      </c>
      <c r="DQ433" s="484" t="str">
        <f>IF(VLOOKUP($BS433,'État &amp; Plan d''action'!$B$6:$AJ$1113,28,FALSE)="","",VLOOKUP($BS433,'État &amp; Plan d''action'!$B$6:$AJ$1113,28,FALSE))</f>
        <v/>
      </c>
      <c r="DR433" s="70" t="str">
        <f>IF(VLOOKUP($BS433,'État &amp; Plan d''action'!$B$6:$AJ$1113,29,FALSE)="","",VLOOKUP($BS433,'État &amp; Plan d''action'!$B$6:$AJ$1113,29,FALSE))</f>
        <v/>
      </c>
      <c r="DS433" s="70" t="str">
        <f>IF(VLOOKUP($BS433,'État &amp; Plan d''action'!$B$6:$AJ$1113,30,FALSE)="","",VLOOKUP($BS433,'État &amp; Plan d''action'!$B$6:$AJ$1113,30,FALSE))</f>
        <v/>
      </c>
      <c r="DT433" s="70" t="s">
        <v>1124</v>
      </c>
      <c r="DU433" s="485" t="s">
        <v>1124</v>
      </c>
      <c r="DV433" s="485" t="s">
        <v>1124</v>
      </c>
      <c r="DW433" s="70" t="s">
        <v>1124</v>
      </c>
      <c r="DX433" s="70" t="s">
        <v>1124</v>
      </c>
      <c r="DY433" s="70" t="s">
        <v>1124</v>
      </c>
      <c r="DZ433" s="70" t="str">
        <f>VLOOKUP($BS433,'État &amp; Plan d''action'!$B$6:$AH$1113,31,FALSE)</f>
        <v/>
      </c>
      <c r="EA433" s="70" t="str">
        <f>VLOOKUP($BS433,'État &amp; Plan d''action'!$B$6:$AH$1113,32,FALSE)</f>
        <v/>
      </c>
      <c r="EB433" s="70" t="str">
        <f>VLOOKUP($BS433,'État &amp; Plan d''action'!$B$6:$AH$1113,33,FALSE)</f>
        <v/>
      </c>
      <c r="EC433" s="70" t="s">
        <v>1124</v>
      </c>
      <c r="ED433" s="70" t="s">
        <v>1124</v>
      </c>
      <c r="EE433" s="70" t="s">
        <v>1124</v>
      </c>
      <c r="EF433" s="70" t="s">
        <v>1124</v>
      </c>
      <c r="EG433" s="70" t="s">
        <v>1124</v>
      </c>
      <c r="EH433" s="72"/>
      <c r="EI433" s="72">
        <v>672</v>
      </c>
    </row>
    <row r="434" spans="71:139" x14ac:dyDescent="0.35">
      <c r="BS434" s="486">
        <v>82010</v>
      </c>
      <c r="BT434" s="479" t="s">
        <v>829</v>
      </c>
      <c r="BU434" s="479">
        <v>7</v>
      </c>
      <c r="BV434" s="476" t="s">
        <v>1187</v>
      </c>
      <c r="BW434" s="476" t="s">
        <v>1187</v>
      </c>
      <c r="BX434" s="476" t="s">
        <v>1187</v>
      </c>
      <c r="BY434" s="476" t="s">
        <v>1187</v>
      </c>
      <c r="BZ434" s="476" t="s">
        <v>1187</v>
      </c>
      <c r="CA434" s="476" t="s">
        <v>1187</v>
      </c>
      <c r="CB434" s="476" t="s">
        <v>1187</v>
      </c>
      <c r="CC434" s="476" t="s">
        <v>1187</v>
      </c>
      <c r="CD434" s="476" t="s">
        <v>1187</v>
      </c>
      <c r="CE434" s="476" t="s">
        <v>1187</v>
      </c>
      <c r="CF434" s="476" t="s">
        <v>1187</v>
      </c>
      <c r="CG434" s="476" t="s">
        <v>1187</v>
      </c>
      <c r="CH434" s="476" t="s">
        <v>1187</v>
      </c>
      <c r="CI434" s="476" t="s">
        <v>1187</v>
      </c>
      <c r="CJ434" s="476" t="s">
        <v>1187</v>
      </c>
      <c r="CK434" s="476" t="s">
        <v>1187</v>
      </c>
      <c r="CL434" s="476" t="s">
        <v>1188</v>
      </c>
      <c r="CM434" s="476" t="str">
        <f>IF(VLOOKUP(BS434,'Données par municipalité'!$B$6:$E$1113,4,FALSE)="","non","oui")</f>
        <v>non</v>
      </c>
      <c r="CN434" s="410" t="s">
        <v>1124</v>
      </c>
      <c r="CO434" s="410" t="s">
        <v>1124</v>
      </c>
      <c r="CP434" s="410"/>
      <c r="CQ434" s="410"/>
      <c r="CR434" s="410"/>
      <c r="CS434" s="410" t="s">
        <v>1124</v>
      </c>
      <c r="CT434" s="410"/>
      <c r="CU434" s="410">
        <v>1039</v>
      </c>
      <c r="CV434" s="410" t="str">
        <f>IF(VLOOKUP(BS434,'Données par municipalité'!$B$6:$F$1113,4,FALSE)="","",VLOOKUP(BS434,'Données par municipalité'!$B$6:$F$1113,4,FALSE))</f>
        <v/>
      </c>
      <c r="CW434" s="476" t="s">
        <v>4723</v>
      </c>
      <c r="CX434" s="483" t="s">
        <v>1124</v>
      </c>
      <c r="CY434" s="483" t="s">
        <v>1124</v>
      </c>
      <c r="CZ434" s="483" t="s">
        <v>1124</v>
      </c>
      <c r="DA434" s="483" t="s">
        <v>1124</v>
      </c>
      <c r="DB434" s="483" t="s">
        <v>1124</v>
      </c>
      <c r="DC434" s="483" t="s">
        <v>1124</v>
      </c>
      <c r="DD434" s="483">
        <v>0</v>
      </c>
      <c r="DE434" s="483" t="str">
        <f>IFERROR(SUM(VLOOKUP($BS434,'État &amp; Plan d''action'!$B$6:$Z$1113,18,FALSE),VLOOKUP($BS434,'État &amp; Plan d''action'!$B$6:$Z$1113,20,FALSE))/(VLOOKUP($BS434,'Données par municipalité'!$B$4:$L$1113,11,FALSE)),"")</f>
        <v/>
      </c>
      <c r="DF434" s="483" t="str">
        <f>IFERROR(SUM(VLOOKUP($BS434,'État &amp; Plan d''action'!$B$6:$Z$1113,19,FALSE),VLOOKUP($BS434,'État &amp; Plan d''action'!$B$6:$Z$1113,21,FALSE))/(VLOOKUP($BS434,'Données par municipalité'!$B$4:$L$1113,11,FALSE)),"")</f>
        <v/>
      </c>
      <c r="DG434" s="476" t="s">
        <v>4723</v>
      </c>
      <c r="DH434" s="484">
        <v>1</v>
      </c>
      <c r="DI434" s="484" t="s">
        <v>1124</v>
      </c>
      <c r="DJ434" s="484">
        <v>0</v>
      </c>
      <c r="DK434" s="484">
        <v>0</v>
      </c>
      <c r="DL434" s="484" t="s">
        <v>1124</v>
      </c>
      <c r="DM434" s="484" t="s">
        <v>1124</v>
      </c>
      <c r="DN434" s="484">
        <v>0</v>
      </c>
      <c r="DO434" s="484">
        <v>3</v>
      </c>
      <c r="DP434" s="484">
        <v>1</v>
      </c>
      <c r="DQ434" s="484" t="str">
        <f>IF(VLOOKUP($BS434,'État &amp; Plan d''action'!$B$6:$AJ$1113,28,FALSE)="","",VLOOKUP($BS434,'État &amp; Plan d''action'!$B$6:$AJ$1113,28,FALSE))</f>
        <v/>
      </c>
      <c r="DR434" s="70" t="str">
        <f>IF(VLOOKUP($BS434,'État &amp; Plan d''action'!$B$6:$AJ$1113,29,FALSE)="","",VLOOKUP($BS434,'État &amp; Plan d''action'!$B$6:$AJ$1113,29,FALSE))</f>
        <v/>
      </c>
      <c r="DS434" s="70" t="str">
        <f>IF(VLOOKUP($BS434,'État &amp; Plan d''action'!$B$6:$AJ$1113,30,FALSE)="","",VLOOKUP($BS434,'État &amp; Plan d''action'!$B$6:$AJ$1113,30,FALSE))</f>
        <v/>
      </c>
      <c r="DT434" s="70">
        <v>658</v>
      </c>
      <c r="DU434" s="485">
        <v>3.9735577001399256</v>
      </c>
      <c r="DV434" s="485" t="s">
        <v>1124</v>
      </c>
      <c r="DW434" s="70">
        <v>0</v>
      </c>
      <c r="DX434" s="70">
        <v>1</v>
      </c>
      <c r="DY434" s="70">
        <v>1</v>
      </c>
      <c r="DZ434" s="70" t="str">
        <f>VLOOKUP($BS434,'État &amp; Plan d''action'!$B$6:$AH$1113,31,FALSE)</f>
        <v/>
      </c>
      <c r="EA434" s="70" t="str">
        <f>VLOOKUP($BS434,'État &amp; Plan d''action'!$B$6:$AH$1113,32,FALSE)</f>
        <v/>
      </c>
      <c r="EB434" s="70" t="str">
        <f>VLOOKUP($BS434,'État &amp; Plan d''action'!$B$6:$AH$1113,33,FALSE)</f>
        <v/>
      </c>
      <c r="EC434" s="70">
        <v>0</v>
      </c>
      <c r="ED434" s="70">
        <v>0</v>
      </c>
      <c r="EE434" s="70">
        <v>0</v>
      </c>
      <c r="EF434" s="70">
        <v>0</v>
      </c>
      <c r="EG434" s="70">
        <v>0</v>
      </c>
      <c r="EH434" s="72">
        <v>30</v>
      </c>
      <c r="EI434" s="72">
        <v>762</v>
      </c>
    </row>
    <row r="435" spans="71:139" x14ac:dyDescent="0.35">
      <c r="BS435" s="486">
        <v>71065</v>
      </c>
      <c r="BT435" s="479" t="s">
        <v>714</v>
      </c>
      <c r="BU435" s="479">
        <v>16</v>
      </c>
      <c r="BV435" s="476" t="s">
        <v>1187</v>
      </c>
      <c r="BW435" s="476" t="s">
        <v>1187</v>
      </c>
      <c r="BX435" s="476" t="s">
        <v>1187</v>
      </c>
      <c r="BY435" s="476" t="s">
        <v>1187</v>
      </c>
      <c r="BZ435" s="476" t="s">
        <v>1187</v>
      </c>
      <c r="CA435" s="476" t="s">
        <v>1187</v>
      </c>
      <c r="CB435" s="476" t="s">
        <v>1187</v>
      </c>
      <c r="CC435" s="476" t="s">
        <v>1187</v>
      </c>
      <c r="CD435" s="476" t="s">
        <v>1187</v>
      </c>
      <c r="CE435" s="476" t="s">
        <v>1188</v>
      </c>
      <c r="CF435" s="476" t="s">
        <v>1188</v>
      </c>
      <c r="CG435" s="476" t="s">
        <v>1188</v>
      </c>
      <c r="CH435" s="476" t="s">
        <v>1188</v>
      </c>
      <c r="CI435" s="476" t="s">
        <v>1188</v>
      </c>
      <c r="CJ435" s="476" t="s">
        <v>1188</v>
      </c>
      <c r="CK435" s="476" t="s">
        <v>1188</v>
      </c>
      <c r="CL435" s="476" t="s">
        <v>1188</v>
      </c>
      <c r="CM435" s="476" t="str">
        <f>IF(VLOOKUP(BS435,'Données par municipalité'!$B$6:$E$1113,4,FALSE)="","non","oui")</f>
        <v>oui</v>
      </c>
      <c r="CN435" s="410">
        <v>398.4112605969537</v>
      </c>
      <c r="CO435" s="410">
        <v>302.61446716786423</v>
      </c>
      <c r="CP435" s="410">
        <v>275.78853011744729</v>
      </c>
      <c r="CQ435" s="410">
        <v>268.09704571711501</v>
      </c>
      <c r="CR435" s="410">
        <v>274.72935147520184</v>
      </c>
      <c r="CS435" s="410">
        <v>373.27181455792066</v>
      </c>
      <c r="CT435" s="410">
        <v>286.13782747276355</v>
      </c>
      <c r="CU435" s="410">
        <v>317</v>
      </c>
      <c r="CV435" s="410">
        <f>IF(VLOOKUP(BS435,'Données par municipalité'!$B$6:$F$1113,4,FALSE)="","",VLOOKUP(BS435,'Données par municipalité'!$B$6:$F$1113,4,FALSE))</f>
        <v>342</v>
      </c>
      <c r="CW435" s="476" t="s">
        <v>4723</v>
      </c>
      <c r="CX435" s="483">
        <v>0.03</v>
      </c>
      <c r="CY435" s="483">
        <v>0.02</v>
      </c>
      <c r="CZ435" s="483">
        <v>0.02</v>
      </c>
      <c r="DA435" s="483">
        <v>0.02</v>
      </c>
      <c r="DB435" s="483">
        <v>0.02</v>
      </c>
      <c r="DC435" s="483">
        <v>0.02</v>
      </c>
      <c r="DD435" s="483">
        <v>0</v>
      </c>
      <c r="DE435" s="483">
        <f>IFERROR(SUM(VLOOKUP($BS435,'État &amp; Plan d''action'!$B$6:$Z$1113,18,FALSE),VLOOKUP($BS435,'État &amp; Plan d''action'!$B$6:$Z$1113,20,FALSE))/(VLOOKUP($BS435,'Données par municipalité'!$B$4:$L$1113,11,FALSE)),"")</f>
        <v>0</v>
      </c>
      <c r="DF435" s="483">
        <f>IFERROR(SUM(VLOOKUP($BS435,'État &amp; Plan d''action'!$B$6:$Z$1113,19,FALSE),VLOOKUP($BS435,'État &amp; Plan d''action'!$B$6:$Z$1113,21,FALSE))/(VLOOKUP($BS435,'Données par municipalité'!$B$4:$L$1113,11,FALSE)),"")</f>
        <v>0</v>
      </c>
      <c r="DG435" s="476" t="s">
        <v>4723</v>
      </c>
      <c r="DH435" s="484">
        <v>4</v>
      </c>
      <c r="DI435" s="484">
        <v>5</v>
      </c>
      <c r="DJ435" s="484">
        <v>12</v>
      </c>
      <c r="DK435" s="484">
        <v>12</v>
      </c>
      <c r="DL435" s="484">
        <v>11</v>
      </c>
      <c r="DM435" s="484">
        <v>8</v>
      </c>
      <c r="DN435" s="484">
        <v>5</v>
      </c>
      <c r="DO435" s="484">
        <v>1</v>
      </c>
      <c r="DP435" s="484">
        <v>0</v>
      </c>
      <c r="DQ435" s="484">
        <f>IF(VLOOKUP($BS435,'État &amp; Plan d''action'!$B$6:$AJ$1113,28,FALSE)="","",VLOOKUP($BS435,'État &amp; Plan d''action'!$B$6:$AJ$1113,28,FALSE))</f>
        <v>2</v>
      </c>
      <c r="DR435" s="70">
        <f>IF(VLOOKUP($BS435,'État &amp; Plan d''action'!$B$6:$AJ$1113,29,FALSE)="","",VLOOKUP($BS435,'État &amp; Plan d''action'!$B$6:$AJ$1113,29,FALSE))</f>
        <v>0</v>
      </c>
      <c r="DS435" s="70">
        <f>IF(VLOOKUP($BS435,'État &amp; Plan d''action'!$B$6:$AJ$1113,30,FALSE)="","",VLOOKUP($BS435,'État &amp; Plan d''action'!$B$6:$AJ$1113,30,FALSE))</f>
        <v>0</v>
      </c>
      <c r="DT435" s="70">
        <v>204</v>
      </c>
      <c r="DU435" s="485">
        <v>3.0106580062732058</v>
      </c>
      <c r="DV435" s="485">
        <v>2.1103751740819616</v>
      </c>
      <c r="DW435" s="70">
        <v>1</v>
      </c>
      <c r="DX435" s="70">
        <v>2</v>
      </c>
      <c r="DY435" s="70">
        <v>0</v>
      </c>
      <c r="DZ435" s="70">
        <f>VLOOKUP($BS435,'État &amp; Plan d''action'!$B$6:$AH$1113,31,FALSE)</f>
        <v>1</v>
      </c>
      <c r="EA435" s="70">
        <f>VLOOKUP($BS435,'État &amp; Plan d''action'!$B$6:$AH$1113,32,FALSE)</f>
        <v>0</v>
      </c>
      <c r="EB435" s="70">
        <f>VLOOKUP($BS435,'État &amp; Plan d''action'!$B$6:$AH$1113,33,FALSE)</f>
        <v>0</v>
      </c>
      <c r="EC435" s="70">
        <v>0</v>
      </c>
      <c r="ED435" s="70">
        <v>0</v>
      </c>
      <c r="EE435" s="70">
        <v>0</v>
      </c>
      <c r="EF435" s="70">
        <v>0</v>
      </c>
      <c r="EG435" s="70">
        <v>0</v>
      </c>
      <c r="EH435" s="72">
        <v>75</v>
      </c>
      <c r="EI435" s="72">
        <v>11115</v>
      </c>
    </row>
    <row r="436" spans="71:139" x14ac:dyDescent="0.35">
      <c r="BS436" s="486">
        <v>92060</v>
      </c>
      <c r="BT436" s="479" t="s">
        <v>955</v>
      </c>
      <c r="BU436" s="479">
        <v>2</v>
      </c>
      <c r="BV436" s="476" t="s">
        <v>1187</v>
      </c>
      <c r="BW436" s="476" t="s">
        <v>1187</v>
      </c>
      <c r="BX436" s="476" t="s">
        <v>1187</v>
      </c>
      <c r="BY436" s="476" t="s">
        <v>1187</v>
      </c>
      <c r="BZ436" s="476" t="s">
        <v>1187</v>
      </c>
      <c r="CA436" s="476" t="s">
        <v>1187</v>
      </c>
      <c r="CB436" s="476" t="s">
        <v>1187</v>
      </c>
      <c r="CC436" s="476" t="s">
        <v>1188</v>
      </c>
      <c r="CD436" s="476" t="s">
        <v>1188</v>
      </c>
      <c r="CE436" s="476" t="s">
        <v>1188</v>
      </c>
      <c r="CF436" s="476" t="s">
        <v>1188</v>
      </c>
      <c r="CG436" s="476" t="s">
        <v>1188</v>
      </c>
      <c r="CH436" s="476" t="s">
        <v>1187</v>
      </c>
      <c r="CI436" s="476" t="s">
        <v>1187</v>
      </c>
      <c r="CJ436" s="476" t="s">
        <v>1187</v>
      </c>
      <c r="CK436" s="476" t="s">
        <v>1187</v>
      </c>
      <c r="CL436" s="476" t="s">
        <v>1187</v>
      </c>
      <c r="CM436" s="476" t="str">
        <f>IF(VLOOKUP(BS436,'Données par municipalité'!$B$6:$E$1113,4,FALSE)="","non","oui")</f>
        <v>non</v>
      </c>
      <c r="CN436" s="410">
        <v>323.09475514343671</v>
      </c>
      <c r="CO436" s="410">
        <v>874.12182058475742</v>
      </c>
      <c r="CP436" s="410">
        <v>756.75287022404029</v>
      </c>
      <c r="CQ436" s="410"/>
      <c r="CR436" s="410"/>
      <c r="CS436" s="410" t="s">
        <v>1124</v>
      </c>
      <c r="CT436" s="410"/>
      <c r="CU436" s="410" t="s">
        <v>1124</v>
      </c>
      <c r="CV436" s="410" t="str">
        <f>IF(VLOOKUP(BS436,'Données par municipalité'!$B$6:$F$1113,4,FALSE)="","",VLOOKUP(BS436,'Données par municipalité'!$B$6:$F$1113,4,FALSE))</f>
        <v/>
      </c>
      <c r="CW436" s="476" t="s">
        <v>4723</v>
      </c>
      <c r="CX436" s="483">
        <v>0.8</v>
      </c>
      <c r="CY436" s="483">
        <v>0.2</v>
      </c>
      <c r="CZ436" s="483" t="s">
        <v>1124</v>
      </c>
      <c r="DA436" s="483" t="s">
        <v>1124</v>
      </c>
      <c r="DB436" s="483" t="s">
        <v>1124</v>
      </c>
      <c r="DC436" s="483" t="s">
        <v>1124</v>
      </c>
      <c r="DD436" s="483" t="s">
        <v>1124</v>
      </c>
      <c r="DE436" s="483" t="str">
        <f>IFERROR(SUM(VLOOKUP($BS436,'État &amp; Plan d''action'!$B$6:$Z$1113,18,FALSE),VLOOKUP($BS436,'État &amp; Plan d''action'!$B$6:$Z$1113,20,FALSE))/(VLOOKUP($BS436,'Données par municipalité'!$B$4:$L$1113,11,FALSE)),"")</f>
        <v/>
      </c>
      <c r="DF436" s="483" t="str">
        <f>IFERROR(SUM(VLOOKUP($BS436,'État &amp; Plan d''action'!$B$6:$Z$1113,19,FALSE),VLOOKUP($BS436,'État &amp; Plan d''action'!$B$6:$Z$1113,21,FALSE))/(VLOOKUP($BS436,'Données par municipalité'!$B$4:$L$1113,11,FALSE)),"")</f>
        <v/>
      </c>
      <c r="DG436" s="476" t="s">
        <v>4723</v>
      </c>
      <c r="DH436" s="484">
        <v>0</v>
      </c>
      <c r="DI436" s="484" t="s">
        <v>1124</v>
      </c>
      <c r="DJ436" s="484">
        <v>2</v>
      </c>
      <c r="DK436" s="484">
        <v>2</v>
      </c>
      <c r="DL436" s="484" t="s">
        <v>1124</v>
      </c>
      <c r="DM436" s="484" t="s">
        <v>1124</v>
      </c>
      <c r="DN436" s="484" t="s">
        <v>1124</v>
      </c>
      <c r="DO436" s="484" t="s">
        <v>1124</v>
      </c>
      <c r="DP436" s="484" t="s">
        <v>1124</v>
      </c>
      <c r="DQ436" s="484" t="str">
        <f>IF(VLOOKUP($BS436,'État &amp; Plan d''action'!$B$6:$AJ$1113,28,FALSE)="","",VLOOKUP($BS436,'État &amp; Plan d''action'!$B$6:$AJ$1113,28,FALSE))</f>
        <v/>
      </c>
      <c r="DR436" s="70" t="str">
        <f>IF(VLOOKUP($BS436,'État &amp; Plan d''action'!$B$6:$AJ$1113,29,FALSE)="","",VLOOKUP($BS436,'État &amp; Plan d''action'!$B$6:$AJ$1113,29,FALSE))</f>
        <v/>
      </c>
      <c r="DS436" s="70" t="str">
        <f>IF(VLOOKUP($BS436,'État &amp; Plan d''action'!$B$6:$AJ$1113,30,FALSE)="","",VLOOKUP($BS436,'État &amp; Plan d''action'!$B$6:$AJ$1113,30,FALSE))</f>
        <v/>
      </c>
      <c r="DT436" s="70" t="s">
        <v>1124</v>
      </c>
      <c r="DU436" s="485" t="s">
        <v>1124</v>
      </c>
      <c r="DV436" s="485" t="s">
        <v>1124</v>
      </c>
      <c r="DW436" s="70" t="s">
        <v>1124</v>
      </c>
      <c r="DX436" s="70" t="s">
        <v>1124</v>
      </c>
      <c r="DY436" s="70" t="s">
        <v>1124</v>
      </c>
      <c r="DZ436" s="70" t="str">
        <f>VLOOKUP($BS436,'État &amp; Plan d''action'!$B$6:$AH$1113,31,FALSE)</f>
        <v/>
      </c>
      <c r="EA436" s="70" t="str">
        <f>VLOOKUP($BS436,'État &amp; Plan d''action'!$B$6:$AH$1113,32,FALSE)</f>
        <v/>
      </c>
      <c r="EB436" s="70" t="str">
        <f>VLOOKUP($BS436,'État &amp; Plan d''action'!$B$6:$AH$1113,33,FALSE)</f>
        <v/>
      </c>
      <c r="EC436" s="70" t="s">
        <v>1124</v>
      </c>
      <c r="ED436" s="70" t="s">
        <v>1124</v>
      </c>
      <c r="EE436" s="70" t="s">
        <v>1124</v>
      </c>
      <c r="EF436" s="70" t="s">
        <v>1124</v>
      </c>
      <c r="EG436" s="70" t="s">
        <v>1124</v>
      </c>
      <c r="EH436" s="72"/>
      <c r="EI436" s="72">
        <v>185</v>
      </c>
    </row>
    <row r="437" spans="71:139" x14ac:dyDescent="0.35">
      <c r="BS437" s="486">
        <v>61045</v>
      </c>
      <c r="BT437" s="479" t="s">
        <v>617</v>
      </c>
      <c r="BU437" s="479">
        <v>14</v>
      </c>
      <c r="BV437" s="476" t="s">
        <v>1187</v>
      </c>
      <c r="BW437" s="476" t="s">
        <v>1187</v>
      </c>
      <c r="BX437" s="476" t="s">
        <v>1187</v>
      </c>
      <c r="BY437" s="476" t="s">
        <v>1187</v>
      </c>
      <c r="BZ437" s="476" t="s">
        <v>1187</v>
      </c>
      <c r="CA437" s="476" t="s">
        <v>1187</v>
      </c>
      <c r="CB437" s="476" t="s">
        <v>1187</v>
      </c>
      <c r="CC437" s="476" t="s">
        <v>1187</v>
      </c>
      <c r="CD437" s="476" t="s">
        <v>1187</v>
      </c>
      <c r="CE437" s="476" t="s">
        <v>1188</v>
      </c>
      <c r="CF437" s="476" t="s">
        <v>1188</v>
      </c>
      <c r="CG437" s="476" t="s">
        <v>1188</v>
      </c>
      <c r="CH437" s="476" t="s">
        <v>1188</v>
      </c>
      <c r="CI437" s="476" t="s">
        <v>1188</v>
      </c>
      <c r="CJ437" s="476" t="s">
        <v>1188</v>
      </c>
      <c r="CK437" s="476" t="s">
        <v>1188</v>
      </c>
      <c r="CL437" s="476" t="s">
        <v>1188</v>
      </c>
      <c r="CM437" s="476" t="str">
        <f>IF(VLOOKUP(BS437,'Données par municipalité'!$B$6:$E$1113,4,FALSE)="","non","oui")</f>
        <v>oui</v>
      </c>
      <c r="CN437" s="410">
        <v>292.63934633797646</v>
      </c>
      <c r="CO437" s="410">
        <v>273.48594037879752</v>
      </c>
      <c r="CP437" s="410">
        <v>273.33123474983722</v>
      </c>
      <c r="CQ437" s="410">
        <v>276.55649930584116</v>
      </c>
      <c r="CR437" s="410">
        <v>284.17583515038484</v>
      </c>
      <c r="CS437" s="410">
        <v>304.81024656420396</v>
      </c>
      <c r="CT437" s="410">
        <v>290.90916077577691</v>
      </c>
      <c r="CU437" s="410">
        <v>236</v>
      </c>
      <c r="CV437" s="410">
        <f>IF(VLOOKUP(BS437,'Données par municipalité'!$B$6:$F$1113,4,FALSE)="","",VLOOKUP(BS437,'Données par municipalité'!$B$6:$F$1113,4,FALSE))</f>
        <v>259</v>
      </c>
      <c r="CW437" s="476" t="s">
        <v>4723</v>
      </c>
      <c r="CX437" s="483">
        <v>0</v>
      </c>
      <c r="CY437" s="483">
        <v>0</v>
      </c>
      <c r="CZ437" s="483">
        <v>0</v>
      </c>
      <c r="DA437" s="483">
        <v>0</v>
      </c>
      <c r="DB437" s="483">
        <v>0</v>
      </c>
      <c r="DC437" s="483">
        <v>1</v>
      </c>
      <c r="DD437" s="483">
        <v>0</v>
      </c>
      <c r="DE437" s="483">
        <f>IFERROR(SUM(VLOOKUP($BS437,'État &amp; Plan d''action'!$B$6:$Z$1113,18,FALSE),VLOOKUP($BS437,'État &amp; Plan d''action'!$B$6:$Z$1113,20,FALSE))/(VLOOKUP($BS437,'Données par municipalité'!$B$4:$L$1113,11,FALSE)),"")</f>
        <v>1</v>
      </c>
      <c r="DF437" s="483">
        <f>IFERROR(SUM(VLOOKUP($BS437,'État &amp; Plan d''action'!$B$6:$Z$1113,19,FALSE),VLOOKUP($BS437,'État &amp; Plan d''action'!$B$6:$Z$1113,21,FALSE))/(VLOOKUP($BS437,'Données par municipalité'!$B$4:$L$1113,11,FALSE)),"")</f>
        <v>1</v>
      </c>
      <c r="DG437" s="476" t="s">
        <v>4723</v>
      </c>
      <c r="DH437" s="484">
        <v>3</v>
      </c>
      <c r="DI437" s="484">
        <v>0</v>
      </c>
      <c r="DJ437" s="484">
        <v>0</v>
      </c>
      <c r="DK437" s="484">
        <v>0</v>
      </c>
      <c r="DL437" s="484">
        <v>0</v>
      </c>
      <c r="DM437" s="484">
        <v>1</v>
      </c>
      <c r="DN437" s="484">
        <v>0</v>
      </c>
      <c r="DO437" s="484">
        <v>0</v>
      </c>
      <c r="DP437" s="484">
        <v>0</v>
      </c>
      <c r="DQ437" s="484">
        <f>IF(VLOOKUP($BS437,'État &amp; Plan d''action'!$B$6:$AJ$1113,28,FALSE)="","",VLOOKUP($BS437,'État &amp; Plan d''action'!$B$6:$AJ$1113,28,FALSE))</f>
        <v>0</v>
      </c>
      <c r="DR437" s="70">
        <f>IF(VLOOKUP($BS437,'État &amp; Plan d''action'!$B$6:$AJ$1113,29,FALSE)="","",VLOOKUP($BS437,'État &amp; Plan d''action'!$B$6:$AJ$1113,29,FALSE))</f>
        <v>0</v>
      </c>
      <c r="DS437" s="70">
        <f>IF(VLOOKUP($BS437,'État &amp; Plan d''action'!$B$6:$AJ$1113,30,FALSE)="","",VLOOKUP($BS437,'État &amp; Plan d''action'!$B$6:$AJ$1113,30,FALSE))</f>
        <v>1</v>
      </c>
      <c r="DT437" s="70">
        <v>168</v>
      </c>
      <c r="DU437" s="485">
        <v>2.3834090845408991</v>
      </c>
      <c r="DV437" s="485">
        <v>3.4518852714159318</v>
      </c>
      <c r="DW437" s="70">
        <v>0</v>
      </c>
      <c r="DX437" s="70">
        <v>0</v>
      </c>
      <c r="DY437" s="70">
        <v>0</v>
      </c>
      <c r="DZ437" s="70">
        <f>VLOOKUP($BS437,'État &amp; Plan d''action'!$B$6:$AH$1113,31,FALSE)</f>
        <v>0</v>
      </c>
      <c r="EA437" s="70">
        <f>VLOOKUP($BS437,'État &amp; Plan d''action'!$B$6:$AH$1113,32,FALSE)</f>
        <v>0</v>
      </c>
      <c r="EB437" s="70">
        <f>VLOOKUP($BS437,'État &amp; Plan d''action'!$B$6:$AH$1113,33,FALSE)</f>
        <v>1</v>
      </c>
      <c r="EC437" s="70">
        <v>7.7149999999999999</v>
      </c>
      <c r="ED437" s="70">
        <v>0</v>
      </c>
      <c r="EE437" s="70">
        <v>0</v>
      </c>
      <c r="EF437" s="70">
        <v>0</v>
      </c>
      <c r="EG437" s="70">
        <v>0</v>
      </c>
      <c r="EH437" s="72">
        <v>59</v>
      </c>
      <c r="EI437" s="72">
        <v>2883</v>
      </c>
    </row>
    <row r="438" spans="71:139" x14ac:dyDescent="0.35">
      <c r="BS438" s="486">
        <v>32080</v>
      </c>
      <c r="BT438" s="479" t="s">
        <v>265</v>
      </c>
      <c r="BU438" s="479">
        <v>17</v>
      </c>
      <c r="BV438" s="476" t="s">
        <v>1188</v>
      </c>
      <c r="BW438" s="476" t="s">
        <v>1188</v>
      </c>
      <c r="BX438" s="476" t="s">
        <v>1188</v>
      </c>
      <c r="BY438" s="476" t="s">
        <v>1188</v>
      </c>
      <c r="BZ438" s="476" t="s">
        <v>1188</v>
      </c>
      <c r="CA438" s="476" t="s">
        <v>1188</v>
      </c>
      <c r="CB438" s="476" t="s">
        <v>1188</v>
      </c>
      <c r="CC438" s="476" t="s">
        <v>1188</v>
      </c>
      <c r="CD438" s="476" t="s">
        <v>1188</v>
      </c>
      <c r="CE438" s="476" t="s">
        <v>1187</v>
      </c>
      <c r="CF438" s="476" t="s">
        <v>1187</v>
      </c>
      <c r="CG438" s="476" t="s">
        <v>1187</v>
      </c>
      <c r="CH438" s="476" t="s">
        <v>1187</v>
      </c>
      <c r="CI438" s="476" t="s">
        <v>1187</v>
      </c>
      <c r="CJ438" s="476" t="s">
        <v>1187</v>
      </c>
      <c r="CK438" s="476" t="s">
        <v>1187</v>
      </c>
      <c r="CL438" s="476" t="s">
        <v>1187</v>
      </c>
      <c r="CM438" s="476" t="str">
        <f>IF(VLOOKUP(BS438,'Données par municipalité'!$B$6:$E$1113,4,FALSE)="","non","oui")</f>
        <v>non</v>
      </c>
      <c r="CN438" s="410" t="s">
        <v>1124</v>
      </c>
      <c r="CO438" s="410" t="s">
        <v>1124</v>
      </c>
      <c r="CP438" s="410"/>
      <c r="CQ438" s="410"/>
      <c r="CR438" s="410"/>
      <c r="CS438" s="410" t="s">
        <v>1124</v>
      </c>
      <c r="CT438" s="410"/>
      <c r="CU438" s="410" t="s">
        <v>1124</v>
      </c>
      <c r="CV438" s="410" t="str">
        <f>IF(VLOOKUP(BS438,'Données par municipalité'!$B$6:$F$1113,4,FALSE)="","",VLOOKUP(BS438,'Données par municipalité'!$B$6:$F$1113,4,FALSE))</f>
        <v/>
      </c>
      <c r="CW438" s="476" t="s">
        <v>4723</v>
      </c>
      <c r="CX438" s="483" t="s">
        <v>1124</v>
      </c>
      <c r="CY438" s="483" t="s">
        <v>1124</v>
      </c>
      <c r="CZ438" s="483" t="s">
        <v>1124</v>
      </c>
      <c r="DA438" s="483" t="s">
        <v>1124</v>
      </c>
      <c r="DB438" s="483" t="s">
        <v>1124</v>
      </c>
      <c r="DC438" s="483" t="s">
        <v>1124</v>
      </c>
      <c r="DD438" s="483" t="s">
        <v>1124</v>
      </c>
      <c r="DE438" s="483" t="str">
        <f>IFERROR(SUM(VLOOKUP($BS438,'État &amp; Plan d''action'!$B$6:$Z$1113,18,FALSE),VLOOKUP($BS438,'État &amp; Plan d''action'!$B$6:$Z$1113,20,FALSE))/(VLOOKUP($BS438,'Données par municipalité'!$B$4:$L$1113,11,FALSE)),"")</f>
        <v/>
      </c>
      <c r="DF438" s="483" t="str">
        <f>IFERROR(SUM(VLOOKUP($BS438,'État &amp; Plan d''action'!$B$6:$Z$1113,19,FALSE),VLOOKUP($BS438,'État &amp; Plan d''action'!$B$6:$Z$1113,21,FALSE))/(VLOOKUP($BS438,'Données par municipalité'!$B$4:$L$1113,11,FALSE)),"")</f>
        <v/>
      </c>
      <c r="DG438" s="476" t="s">
        <v>4723</v>
      </c>
      <c r="DH438" s="484" t="s">
        <v>1124</v>
      </c>
      <c r="DI438" s="484" t="s">
        <v>1124</v>
      </c>
      <c r="DJ438" s="484">
        <v>0</v>
      </c>
      <c r="DK438" s="484">
        <v>0</v>
      </c>
      <c r="DL438" s="484" t="s">
        <v>1124</v>
      </c>
      <c r="DM438" s="484" t="s">
        <v>1124</v>
      </c>
      <c r="DN438" s="484" t="s">
        <v>1124</v>
      </c>
      <c r="DO438" s="484" t="s">
        <v>1124</v>
      </c>
      <c r="DP438" s="484" t="s">
        <v>1124</v>
      </c>
      <c r="DQ438" s="484" t="str">
        <f>IF(VLOOKUP($BS438,'État &amp; Plan d''action'!$B$6:$AJ$1113,28,FALSE)="","",VLOOKUP($BS438,'État &amp; Plan d''action'!$B$6:$AJ$1113,28,FALSE))</f>
        <v/>
      </c>
      <c r="DR438" s="70" t="str">
        <f>IF(VLOOKUP($BS438,'État &amp; Plan d''action'!$B$6:$AJ$1113,29,FALSE)="","",VLOOKUP($BS438,'État &amp; Plan d''action'!$B$6:$AJ$1113,29,FALSE))</f>
        <v/>
      </c>
      <c r="DS438" s="70" t="str">
        <f>IF(VLOOKUP($BS438,'État &amp; Plan d''action'!$B$6:$AJ$1113,30,FALSE)="","",VLOOKUP($BS438,'État &amp; Plan d''action'!$B$6:$AJ$1113,30,FALSE))</f>
        <v/>
      </c>
      <c r="DT438" s="70" t="s">
        <v>1124</v>
      </c>
      <c r="DU438" s="485" t="s">
        <v>1124</v>
      </c>
      <c r="DV438" s="485" t="s">
        <v>1124</v>
      </c>
      <c r="DW438" s="70" t="s">
        <v>1124</v>
      </c>
      <c r="DX438" s="70" t="s">
        <v>1124</v>
      </c>
      <c r="DY438" s="70" t="s">
        <v>1124</v>
      </c>
      <c r="DZ438" s="70" t="str">
        <f>VLOOKUP($BS438,'État &amp; Plan d''action'!$B$6:$AH$1113,31,FALSE)</f>
        <v/>
      </c>
      <c r="EA438" s="70" t="str">
        <f>VLOOKUP($BS438,'État &amp; Plan d''action'!$B$6:$AH$1113,32,FALSE)</f>
        <v/>
      </c>
      <c r="EB438" s="70" t="str">
        <f>VLOOKUP($BS438,'État &amp; Plan d''action'!$B$6:$AH$1113,33,FALSE)</f>
        <v/>
      </c>
      <c r="EC438" s="70" t="s">
        <v>1124</v>
      </c>
      <c r="ED438" s="70" t="s">
        <v>1124</v>
      </c>
      <c r="EE438" s="70" t="s">
        <v>1124</v>
      </c>
      <c r="EF438" s="70" t="s">
        <v>1124</v>
      </c>
      <c r="EG438" s="70" t="s">
        <v>1124</v>
      </c>
      <c r="EH438" s="72"/>
      <c r="EI438" s="72">
        <v>728</v>
      </c>
    </row>
    <row r="439" spans="71:139" x14ac:dyDescent="0.35">
      <c r="BS439" s="486">
        <v>35005</v>
      </c>
      <c r="BT439" s="479" t="s">
        <v>303</v>
      </c>
      <c r="BU439" s="479">
        <v>4</v>
      </c>
      <c r="BV439" s="476" t="s">
        <v>1187</v>
      </c>
      <c r="BW439" s="476" t="s">
        <v>1187</v>
      </c>
      <c r="BX439" s="476" t="s">
        <v>1187</v>
      </c>
      <c r="BY439" s="476" t="s">
        <v>1187</v>
      </c>
      <c r="BZ439" s="476" t="s">
        <v>1187</v>
      </c>
      <c r="CA439" s="476" t="s">
        <v>1187</v>
      </c>
      <c r="CB439" s="476" t="s">
        <v>1187</v>
      </c>
      <c r="CC439" s="476" t="s">
        <v>1187</v>
      </c>
      <c r="CD439" s="476" t="s">
        <v>1187</v>
      </c>
      <c r="CE439" s="476" t="s">
        <v>1188</v>
      </c>
      <c r="CF439" s="476" t="s">
        <v>1188</v>
      </c>
      <c r="CG439" s="476" t="s">
        <v>1187</v>
      </c>
      <c r="CH439" s="476" t="s">
        <v>1188</v>
      </c>
      <c r="CI439" s="476" t="s">
        <v>1188</v>
      </c>
      <c r="CJ439" s="476" t="s">
        <v>1187</v>
      </c>
      <c r="CK439" s="476" t="s">
        <v>1187</v>
      </c>
      <c r="CL439" s="476" t="s">
        <v>1188</v>
      </c>
      <c r="CM439" s="476" t="str">
        <f>IF(VLOOKUP(BS439,'Données par municipalité'!$B$6:$E$1113,4,FALSE)="","non","oui")</f>
        <v>non</v>
      </c>
      <c r="CN439" s="410">
        <v>404.3996776792909</v>
      </c>
      <c r="CO439" s="410">
        <v>403.29074252651873</v>
      </c>
      <c r="CP439" s="410"/>
      <c r="CQ439" s="410">
        <v>965.00457955665888</v>
      </c>
      <c r="CR439" s="410">
        <v>600.53938010052923</v>
      </c>
      <c r="CS439" s="410" t="s">
        <v>1124</v>
      </c>
      <c r="CT439" s="410"/>
      <c r="CU439" s="410">
        <v>993</v>
      </c>
      <c r="CV439" s="410" t="str">
        <f>IF(VLOOKUP(BS439,'Données par municipalité'!$B$6:$F$1113,4,FALSE)="","",VLOOKUP(BS439,'Données par municipalité'!$B$6:$F$1113,4,FALSE))</f>
        <v/>
      </c>
      <c r="CW439" s="476" t="s">
        <v>4723</v>
      </c>
      <c r="CX439" s="483">
        <v>1</v>
      </c>
      <c r="CY439" s="483" t="s">
        <v>1124</v>
      </c>
      <c r="CZ439" s="483">
        <v>1</v>
      </c>
      <c r="DA439" s="483">
        <v>1</v>
      </c>
      <c r="DB439" s="483" t="s">
        <v>1124</v>
      </c>
      <c r="DC439" s="483" t="s">
        <v>1124</v>
      </c>
      <c r="DD439" s="483">
        <v>0.97444933920704857</v>
      </c>
      <c r="DE439" s="483" t="str">
        <f>IFERROR(SUM(VLOOKUP($BS439,'État &amp; Plan d''action'!$B$6:$Z$1113,18,FALSE),VLOOKUP($BS439,'État &amp; Plan d''action'!$B$6:$Z$1113,20,FALSE))/(VLOOKUP($BS439,'Données par municipalité'!$B$4:$L$1113,11,FALSE)),"")</f>
        <v/>
      </c>
      <c r="DF439" s="483" t="str">
        <f>IFERROR(SUM(VLOOKUP($BS439,'État &amp; Plan d''action'!$B$6:$Z$1113,19,FALSE),VLOOKUP($BS439,'État &amp; Plan d''action'!$B$6:$Z$1113,21,FALSE))/(VLOOKUP($BS439,'Données par municipalité'!$B$4:$L$1113,11,FALSE)),"")</f>
        <v/>
      </c>
      <c r="DG439" s="476" t="s">
        <v>4723</v>
      </c>
      <c r="DH439" s="484">
        <v>3</v>
      </c>
      <c r="DI439" s="484" t="s">
        <v>1124</v>
      </c>
      <c r="DJ439" s="484">
        <v>2</v>
      </c>
      <c r="DK439" s="484">
        <v>0</v>
      </c>
      <c r="DL439" s="484" t="s">
        <v>1124</v>
      </c>
      <c r="DM439" s="484" t="s">
        <v>1124</v>
      </c>
      <c r="DN439" s="484">
        <v>0</v>
      </c>
      <c r="DO439" s="484">
        <v>18</v>
      </c>
      <c r="DP439" s="484">
        <v>0</v>
      </c>
      <c r="DQ439" s="484" t="str">
        <f>IF(VLOOKUP($BS439,'État &amp; Plan d''action'!$B$6:$AJ$1113,28,FALSE)="","",VLOOKUP($BS439,'État &amp; Plan d''action'!$B$6:$AJ$1113,28,FALSE))</f>
        <v/>
      </c>
      <c r="DR439" s="70" t="str">
        <f>IF(VLOOKUP($BS439,'État &amp; Plan d''action'!$B$6:$AJ$1113,29,FALSE)="","",VLOOKUP($BS439,'État &amp; Plan d''action'!$B$6:$AJ$1113,29,FALSE))</f>
        <v/>
      </c>
      <c r="DS439" s="70" t="str">
        <f>IF(VLOOKUP($BS439,'État &amp; Plan d''action'!$B$6:$AJ$1113,30,FALSE)="","",VLOOKUP($BS439,'État &amp; Plan d''action'!$B$6:$AJ$1113,30,FALSE))</f>
        <v/>
      </c>
      <c r="DT439" s="70">
        <v>250</v>
      </c>
      <c r="DU439" s="485">
        <v>3.3148708287654411</v>
      </c>
      <c r="DV439" s="485" t="s">
        <v>1124</v>
      </c>
      <c r="DW439" s="70">
        <v>0</v>
      </c>
      <c r="DX439" s="70">
        <v>3</v>
      </c>
      <c r="DY439" s="70">
        <v>0</v>
      </c>
      <c r="DZ439" s="70" t="str">
        <f>VLOOKUP($BS439,'État &amp; Plan d''action'!$B$6:$AH$1113,31,FALSE)</f>
        <v/>
      </c>
      <c r="EA439" s="70" t="str">
        <f>VLOOKUP($BS439,'État &amp; Plan d''action'!$B$6:$AH$1113,32,FALSE)</f>
        <v/>
      </c>
      <c r="EB439" s="70" t="str">
        <f>VLOOKUP($BS439,'État &amp; Plan d''action'!$B$6:$AH$1113,33,FALSE)</f>
        <v/>
      </c>
      <c r="EC439" s="70">
        <v>0</v>
      </c>
      <c r="ED439" s="70">
        <v>0</v>
      </c>
      <c r="EE439" s="70">
        <v>5.53</v>
      </c>
      <c r="EF439" s="70">
        <v>0</v>
      </c>
      <c r="EG439" s="70">
        <v>0</v>
      </c>
      <c r="EH439" s="72">
        <v>34.5</v>
      </c>
      <c r="EI439" s="72">
        <v>746</v>
      </c>
    </row>
    <row r="440" spans="71:139" x14ac:dyDescent="0.35">
      <c r="BS440" s="486">
        <v>79010</v>
      </c>
      <c r="BT440" s="479" t="s">
        <v>787</v>
      </c>
      <c r="BU440" s="479">
        <v>15</v>
      </c>
      <c r="BV440" s="476" t="s">
        <v>1187</v>
      </c>
      <c r="BW440" s="476" t="s">
        <v>1187</v>
      </c>
      <c r="BX440" s="476" t="s">
        <v>1187</v>
      </c>
      <c r="BY440" s="476" t="s">
        <v>1187</v>
      </c>
      <c r="BZ440" s="476" t="s">
        <v>1187</v>
      </c>
      <c r="CA440" s="476" t="s">
        <v>1187</v>
      </c>
      <c r="CB440" s="476" t="s">
        <v>1187</v>
      </c>
      <c r="CC440" s="476" t="s">
        <v>1187</v>
      </c>
      <c r="CD440" s="476" t="s">
        <v>1187</v>
      </c>
      <c r="CE440" s="476" t="s">
        <v>1187</v>
      </c>
      <c r="CF440" s="476" t="s">
        <v>1187</v>
      </c>
      <c r="CG440" s="476" t="s">
        <v>1187</v>
      </c>
      <c r="CH440" s="476" t="s">
        <v>1187</v>
      </c>
      <c r="CI440" s="476" t="s">
        <v>1187</v>
      </c>
      <c r="CJ440" s="476" t="s">
        <v>1188</v>
      </c>
      <c r="CK440" s="476" t="s">
        <v>1188</v>
      </c>
      <c r="CL440" s="476" t="s">
        <v>1188</v>
      </c>
      <c r="CM440" s="476" t="str">
        <f>IF(VLOOKUP(BS440,'Données par municipalité'!$B$6:$E$1113,4,FALSE)="","non","oui")</f>
        <v>oui</v>
      </c>
      <c r="CN440" s="410" t="s">
        <v>1124</v>
      </c>
      <c r="CO440" s="410" t="s">
        <v>1124</v>
      </c>
      <c r="CP440" s="410"/>
      <c r="CQ440" s="410"/>
      <c r="CR440" s="410"/>
      <c r="CS440" s="410">
        <v>336.00417510898268</v>
      </c>
      <c r="CT440" s="410">
        <v>321.37891315973513</v>
      </c>
      <c r="CU440" s="410">
        <v>342</v>
      </c>
      <c r="CV440" s="410">
        <f>IF(VLOOKUP(BS440,'Données par municipalité'!$B$6:$F$1113,4,FALSE)="","",VLOOKUP(BS440,'Données par municipalité'!$B$6:$F$1113,4,FALSE))</f>
        <v>276</v>
      </c>
      <c r="CW440" s="476" t="s">
        <v>4723</v>
      </c>
      <c r="CX440" s="483" t="s">
        <v>1124</v>
      </c>
      <c r="CY440" s="483" t="s">
        <v>1124</v>
      </c>
      <c r="CZ440" s="483" t="s">
        <v>1124</v>
      </c>
      <c r="DA440" s="483" t="s">
        <v>1124</v>
      </c>
      <c r="DB440" s="483">
        <v>1</v>
      </c>
      <c r="DC440" s="483">
        <v>1</v>
      </c>
      <c r="DD440" s="483">
        <v>0</v>
      </c>
      <c r="DE440" s="483">
        <f>IFERROR(SUM(VLOOKUP($BS440,'État &amp; Plan d''action'!$B$6:$Z$1113,18,FALSE),VLOOKUP($BS440,'État &amp; Plan d''action'!$B$6:$Z$1113,20,FALSE))/(VLOOKUP($BS440,'Données par municipalité'!$B$4:$L$1113,11,FALSE)),"")</f>
        <v>0</v>
      </c>
      <c r="DF440" s="483">
        <f>IFERROR(SUM(VLOOKUP($BS440,'État &amp; Plan d''action'!$B$6:$Z$1113,19,FALSE),VLOOKUP($BS440,'État &amp; Plan d''action'!$B$6:$Z$1113,21,FALSE))/(VLOOKUP($BS440,'Données par municipalité'!$B$4:$L$1113,11,FALSE)),"")</f>
        <v>1</v>
      </c>
      <c r="DG440" s="476" t="s">
        <v>4723</v>
      </c>
      <c r="DH440" s="484">
        <v>0</v>
      </c>
      <c r="DI440" s="484">
        <v>0</v>
      </c>
      <c r="DJ440" s="484">
        <v>1</v>
      </c>
      <c r="DK440" s="484">
        <v>0</v>
      </c>
      <c r="DL440" s="484">
        <v>1</v>
      </c>
      <c r="DM440" s="484">
        <v>0</v>
      </c>
      <c r="DN440" s="484">
        <v>0</v>
      </c>
      <c r="DO440" s="484">
        <v>0</v>
      </c>
      <c r="DP440" s="484">
        <v>0</v>
      </c>
      <c r="DQ440" s="484">
        <f>IF(VLOOKUP($BS440,'État &amp; Plan d''action'!$B$6:$AJ$1113,28,FALSE)="","",VLOOKUP($BS440,'État &amp; Plan d''action'!$B$6:$AJ$1113,28,FALSE))</f>
        <v>0</v>
      </c>
      <c r="DR440" s="70">
        <f>IF(VLOOKUP($BS440,'État &amp; Plan d''action'!$B$6:$AJ$1113,29,FALSE)="","",VLOOKUP($BS440,'État &amp; Plan d''action'!$B$6:$AJ$1113,29,FALSE))</f>
        <v>0</v>
      </c>
      <c r="DS440" s="70">
        <f>IF(VLOOKUP($BS440,'État &amp; Plan d''action'!$B$6:$AJ$1113,30,FALSE)="","",VLOOKUP($BS440,'État &amp; Plan d''action'!$B$6:$AJ$1113,30,FALSE))</f>
        <v>0</v>
      </c>
      <c r="DT440" s="70">
        <v>214</v>
      </c>
      <c r="DU440" s="485">
        <v>1.8150527133518484</v>
      </c>
      <c r="DV440" s="485">
        <v>0.27834919801476954</v>
      </c>
      <c r="DW440" s="70">
        <v>0</v>
      </c>
      <c r="DX440" s="70">
        <v>0</v>
      </c>
      <c r="DY440" s="70">
        <v>0</v>
      </c>
      <c r="DZ440" s="70">
        <f>VLOOKUP($BS440,'État &amp; Plan d''action'!$B$6:$AH$1113,31,FALSE)</f>
        <v>0</v>
      </c>
      <c r="EA440" s="70">
        <f>VLOOKUP($BS440,'État &amp; Plan d''action'!$B$6:$AH$1113,32,FALSE)</f>
        <v>0</v>
      </c>
      <c r="EB440" s="70">
        <f>VLOOKUP($BS440,'État &amp; Plan d''action'!$B$6:$AH$1113,33,FALSE)</f>
        <v>0</v>
      </c>
      <c r="EC440" s="70">
        <v>4.3789999999999996</v>
      </c>
      <c r="ED440" s="70">
        <v>0</v>
      </c>
      <c r="EE440" s="70">
        <v>0</v>
      </c>
      <c r="EF440" s="70">
        <v>0</v>
      </c>
      <c r="EG440" s="70">
        <v>0</v>
      </c>
      <c r="EH440" s="72">
        <v>60</v>
      </c>
      <c r="EI440" s="72">
        <v>796</v>
      </c>
    </row>
    <row r="441" spans="71:139" x14ac:dyDescent="0.35">
      <c r="BS441" s="486">
        <v>23015</v>
      </c>
      <c r="BT441" s="479" t="s">
        <v>162</v>
      </c>
      <c r="BU441" s="479">
        <v>3</v>
      </c>
      <c r="BV441" s="476" t="s">
        <v>1188</v>
      </c>
      <c r="BW441" s="476" t="s">
        <v>1188</v>
      </c>
      <c r="BX441" s="476" t="s">
        <v>1188</v>
      </c>
      <c r="BY441" s="476" t="s">
        <v>1188</v>
      </c>
      <c r="BZ441" s="476" t="s">
        <v>1188</v>
      </c>
      <c r="CA441" s="476" t="s">
        <v>1188</v>
      </c>
      <c r="CB441" s="476" t="s">
        <v>1188</v>
      </c>
      <c r="CC441" s="476" t="s">
        <v>1188</v>
      </c>
      <c r="CD441" s="476" t="s">
        <v>1324</v>
      </c>
      <c r="CE441" s="476" t="s">
        <v>1187</v>
      </c>
      <c r="CF441" s="476" t="s">
        <v>1187</v>
      </c>
      <c r="CG441" s="476" t="s">
        <v>1187</v>
      </c>
      <c r="CH441" s="476" t="s">
        <v>1187</v>
      </c>
      <c r="CI441" s="476" t="s">
        <v>1187</v>
      </c>
      <c r="CJ441" s="476" t="s">
        <v>1187</v>
      </c>
      <c r="CK441" s="476" t="s">
        <v>1187</v>
      </c>
      <c r="CL441" s="476" t="s">
        <v>1187</v>
      </c>
      <c r="CM441" s="476" t="str">
        <f>IF(VLOOKUP(BS441,'Données par municipalité'!$B$6:$E$1113,4,FALSE)="","non","oui")</f>
        <v>non</v>
      </c>
      <c r="CN441" s="410" t="s">
        <v>1124</v>
      </c>
      <c r="CO441" s="410" t="s">
        <v>1124</v>
      </c>
      <c r="CP441" s="410"/>
      <c r="CQ441" s="410"/>
      <c r="CR441" s="410"/>
      <c r="CS441" s="410" t="s">
        <v>1124</v>
      </c>
      <c r="CT441" s="410"/>
      <c r="CU441" s="410" t="s">
        <v>1124</v>
      </c>
      <c r="CV441" s="410" t="str">
        <f>IF(VLOOKUP(BS441,'Données par municipalité'!$B$6:$F$1113,4,FALSE)="","",VLOOKUP(BS441,'Données par municipalité'!$B$6:$F$1113,4,FALSE))</f>
        <v/>
      </c>
      <c r="CW441" s="476" t="s">
        <v>4723</v>
      </c>
      <c r="CX441" s="483" t="s">
        <v>1124</v>
      </c>
      <c r="CY441" s="483" t="s">
        <v>1124</v>
      </c>
      <c r="CZ441" s="483" t="s">
        <v>1124</v>
      </c>
      <c r="DA441" s="483" t="s">
        <v>1124</v>
      </c>
      <c r="DB441" s="483" t="s">
        <v>1124</v>
      </c>
      <c r="DC441" s="483" t="s">
        <v>1124</v>
      </c>
      <c r="DD441" s="483" t="s">
        <v>1124</v>
      </c>
      <c r="DE441" s="483" t="str">
        <f>IFERROR(SUM(VLOOKUP($BS441,'État &amp; Plan d''action'!$B$6:$Z$1113,18,FALSE),VLOOKUP($BS441,'État &amp; Plan d''action'!$B$6:$Z$1113,20,FALSE))/(VLOOKUP($BS441,'Données par municipalité'!$B$4:$L$1113,11,FALSE)),"")</f>
        <v/>
      </c>
      <c r="DF441" s="483" t="str">
        <f>IFERROR(SUM(VLOOKUP($BS441,'État &amp; Plan d''action'!$B$6:$Z$1113,19,FALSE),VLOOKUP($BS441,'État &amp; Plan d''action'!$B$6:$Z$1113,21,FALSE))/(VLOOKUP($BS441,'Données par municipalité'!$B$4:$L$1113,11,FALSE)),"")</f>
        <v/>
      </c>
      <c r="DG441" s="476" t="s">
        <v>4723</v>
      </c>
      <c r="DH441" s="484" t="s">
        <v>1124</v>
      </c>
      <c r="DI441" s="484" t="s">
        <v>1124</v>
      </c>
      <c r="DJ441" s="484">
        <v>0</v>
      </c>
      <c r="DK441" s="484">
        <v>0</v>
      </c>
      <c r="DL441" s="484" t="s">
        <v>1124</v>
      </c>
      <c r="DM441" s="484" t="s">
        <v>1124</v>
      </c>
      <c r="DN441" s="484" t="s">
        <v>1124</v>
      </c>
      <c r="DO441" s="484" t="s">
        <v>1124</v>
      </c>
      <c r="DP441" s="484" t="s">
        <v>1124</v>
      </c>
      <c r="DQ441" s="484" t="str">
        <f>IF(VLOOKUP($BS441,'État &amp; Plan d''action'!$B$6:$AJ$1113,28,FALSE)="","",VLOOKUP($BS441,'État &amp; Plan d''action'!$B$6:$AJ$1113,28,FALSE))</f>
        <v/>
      </c>
      <c r="DR441" s="70" t="str">
        <f>IF(VLOOKUP($BS441,'État &amp; Plan d''action'!$B$6:$AJ$1113,29,FALSE)="","",VLOOKUP($BS441,'État &amp; Plan d''action'!$B$6:$AJ$1113,29,FALSE))</f>
        <v/>
      </c>
      <c r="DS441" s="70" t="str">
        <f>IF(VLOOKUP($BS441,'État &amp; Plan d''action'!$B$6:$AJ$1113,30,FALSE)="","",VLOOKUP($BS441,'État &amp; Plan d''action'!$B$6:$AJ$1113,30,FALSE))</f>
        <v/>
      </c>
      <c r="DT441" s="70" t="s">
        <v>1124</v>
      </c>
      <c r="DU441" s="485" t="s">
        <v>1124</v>
      </c>
      <c r="DV441" s="485" t="s">
        <v>1124</v>
      </c>
      <c r="DW441" s="70" t="s">
        <v>1124</v>
      </c>
      <c r="DX441" s="70" t="s">
        <v>1124</v>
      </c>
      <c r="DY441" s="70" t="s">
        <v>1124</v>
      </c>
      <c r="DZ441" s="70" t="str">
        <f>VLOOKUP($BS441,'État &amp; Plan d''action'!$B$6:$AH$1113,31,FALSE)</f>
        <v/>
      </c>
      <c r="EA441" s="70" t="str">
        <f>VLOOKUP($BS441,'État &amp; Plan d''action'!$B$6:$AH$1113,32,FALSE)</f>
        <v/>
      </c>
      <c r="EB441" s="70" t="str">
        <f>VLOOKUP($BS441,'État &amp; Plan d''action'!$B$6:$AH$1113,33,FALSE)</f>
        <v/>
      </c>
      <c r="EC441" s="70" t="s">
        <v>1124</v>
      </c>
      <c r="ED441" s="70" t="s">
        <v>1124</v>
      </c>
      <c r="EE441" s="70" t="s">
        <v>1124</v>
      </c>
      <c r="EF441" s="70" t="s">
        <v>1124</v>
      </c>
      <c r="EG441" s="70" t="s">
        <v>1124</v>
      </c>
      <c r="EH441" s="72"/>
      <c r="EI441" s="72">
        <v>236</v>
      </c>
    </row>
    <row r="442" spans="71:139" x14ac:dyDescent="0.35">
      <c r="BS442" s="486">
        <v>30010</v>
      </c>
      <c r="BT442" s="479" t="s">
        <v>218</v>
      </c>
      <c r="BU442" s="479">
        <v>5</v>
      </c>
      <c r="BV442" s="476" t="s">
        <v>1187</v>
      </c>
      <c r="BW442" s="476" t="s">
        <v>1187</v>
      </c>
      <c r="BX442" s="476" t="s">
        <v>1187</v>
      </c>
      <c r="BY442" s="476" t="s">
        <v>1187</v>
      </c>
      <c r="BZ442" s="476" t="s">
        <v>1187</v>
      </c>
      <c r="CA442" s="476" t="s">
        <v>1187</v>
      </c>
      <c r="CB442" s="476" t="s">
        <v>1187</v>
      </c>
      <c r="CC442" s="476" t="s">
        <v>1187</v>
      </c>
      <c r="CD442" s="476" t="s">
        <v>1187</v>
      </c>
      <c r="CE442" s="476" t="s">
        <v>1188</v>
      </c>
      <c r="CF442" s="476" t="s">
        <v>1188</v>
      </c>
      <c r="CG442" s="476" t="s">
        <v>1188</v>
      </c>
      <c r="CH442" s="476" t="s">
        <v>1188</v>
      </c>
      <c r="CI442" s="476" t="s">
        <v>1188</v>
      </c>
      <c r="CJ442" s="476" t="s">
        <v>1188</v>
      </c>
      <c r="CK442" s="476" t="s">
        <v>1188</v>
      </c>
      <c r="CL442" s="476" t="s">
        <v>1188</v>
      </c>
      <c r="CM442" s="476" t="str">
        <f>IF(VLOOKUP(BS442,'Données par municipalité'!$B$6:$E$1113,4,FALSE)="","non","oui")</f>
        <v>oui</v>
      </c>
      <c r="CN442" s="410">
        <v>524.99564797670484</v>
      </c>
      <c r="CO442" s="410">
        <v>512.77916256197932</v>
      </c>
      <c r="CP442" s="410">
        <v>242.50126473321268</v>
      </c>
      <c r="CQ442" s="410">
        <v>228.47544907770603</v>
      </c>
      <c r="CR442" s="410">
        <v>249.19819525983908</v>
      </c>
      <c r="CS442" s="410">
        <v>268.39614945341816</v>
      </c>
      <c r="CT442" s="410">
        <v>254.74378488077116</v>
      </c>
      <c r="CU442" s="410">
        <v>249</v>
      </c>
      <c r="CV442" s="410">
        <f>IF(VLOOKUP(BS442,'Données par municipalité'!$B$6:$F$1113,4,FALSE)="","",VLOOKUP(BS442,'Données par municipalité'!$B$6:$F$1113,4,FALSE))</f>
        <v>200</v>
      </c>
      <c r="CW442" s="476" t="s">
        <v>4723</v>
      </c>
      <c r="CX442" s="483">
        <v>1</v>
      </c>
      <c r="CY442" s="483">
        <v>0</v>
      </c>
      <c r="CZ442" s="483">
        <v>0</v>
      </c>
      <c r="DA442" s="483">
        <v>0</v>
      </c>
      <c r="DB442" s="483">
        <v>0</v>
      </c>
      <c r="DC442" s="483">
        <v>0</v>
      </c>
      <c r="DD442" s="483">
        <v>0</v>
      </c>
      <c r="DE442" s="483">
        <f>IFERROR(SUM(VLOOKUP($BS442,'État &amp; Plan d''action'!$B$6:$Z$1113,18,FALSE),VLOOKUP($BS442,'État &amp; Plan d''action'!$B$6:$Z$1113,20,FALSE))/(VLOOKUP($BS442,'Données par municipalité'!$B$4:$L$1113,11,FALSE)),"")</f>
        <v>0</v>
      </c>
      <c r="DF442" s="483">
        <f>IFERROR(SUM(VLOOKUP($BS442,'État &amp; Plan d''action'!$B$6:$Z$1113,19,FALSE),VLOOKUP($BS442,'État &amp; Plan d''action'!$B$6:$Z$1113,21,FALSE))/(VLOOKUP($BS442,'Données par municipalité'!$B$4:$L$1113,11,FALSE)),"")</f>
        <v>0</v>
      </c>
      <c r="DG442" s="476" t="s">
        <v>4723</v>
      </c>
      <c r="DH442" s="484">
        <v>0</v>
      </c>
      <c r="DI442" s="484">
        <v>0</v>
      </c>
      <c r="DJ442" s="484">
        <v>0</v>
      </c>
      <c r="DK442" s="484">
        <v>0</v>
      </c>
      <c r="DL442" s="484">
        <v>0</v>
      </c>
      <c r="DM442" s="484">
        <v>1</v>
      </c>
      <c r="DN442" s="484">
        <v>0</v>
      </c>
      <c r="DO442" s="484">
        <v>0</v>
      </c>
      <c r="DP442" s="484">
        <v>0</v>
      </c>
      <c r="DQ442" s="484">
        <f>IF(VLOOKUP($BS442,'État &amp; Plan d''action'!$B$6:$AJ$1113,28,FALSE)="","",VLOOKUP($BS442,'État &amp; Plan d''action'!$B$6:$AJ$1113,28,FALSE))</f>
        <v>0</v>
      </c>
      <c r="DR442" s="70">
        <f>IF(VLOOKUP($BS442,'État &amp; Plan d''action'!$B$6:$AJ$1113,29,FALSE)="","",VLOOKUP($BS442,'État &amp; Plan d''action'!$B$6:$AJ$1113,29,FALSE))</f>
        <v>0</v>
      </c>
      <c r="DS442" s="70">
        <f>IF(VLOOKUP($BS442,'État &amp; Plan d''action'!$B$6:$AJ$1113,30,FALSE)="","",VLOOKUP($BS442,'État &amp; Plan d''action'!$B$6:$AJ$1113,30,FALSE))</f>
        <v>0</v>
      </c>
      <c r="DT442" s="70">
        <v>191</v>
      </c>
      <c r="DU442" s="485">
        <v>1.0001220256253813</v>
      </c>
      <c r="DV442" s="485">
        <v>0.47071043319097866</v>
      </c>
      <c r="DW442" s="70">
        <v>0</v>
      </c>
      <c r="DX442" s="70">
        <v>0</v>
      </c>
      <c r="DY442" s="70">
        <v>0</v>
      </c>
      <c r="DZ442" s="70">
        <f>VLOOKUP($BS442,'État &amp; Plan d''action'!$B$6:$AH$1113,31,FALSE)</f>
        <v>0</v>
      </c>
      <c r="EA442" s="70">
        <f>VLOOKUP($BS442,'État &amp; Plan d''action'!$B$6:$AH$1113,32,FALSE)</f>
        <v>0</v>
      </c>
      <c r="EB442" s="70">
        <f>VLOOKUP($BS442,'État &amp; Plan d''action'!$B$6:$AH$1113,33,FALSE)</f>
        <v>0</v>
      </c>
      <c r="EC442" s="70">
        <v>0</v>
      </c>
      <c r="ED442" s="70">
        <v>0</v>
      </c>
      <c r="EE442" s="70">
        <v>0</v>
      </c>
      <c r="EF442" s="70">
        <v>0</v>
      </c>
      <c r="EG442" s="70">
        <v>0</v>
      </c>
      <c r="EH442" s="72">
        <v>48</v>
      </c>
      <c r="EI442" s="72">
        <v>953</v>
      </c>
    </row>
    <row r="443" spans="71:139" x14ac:dyDescent="0.35">
      <c r="BS443" s="486">
        <v>15025</v>
      </c>
      <c r="BT443" s="479" t="s">
        <v>79</v>
      </c>
      <c r="BU443" s="479">
        <v>3</v>
      </c>
      <c r="BV443" s="476" t="s">
        <v>1187</v>
      </c>
      <c r="BW443" s="476" t="s">
        <v>1187</v>
      </c>
      <c r="BX443" s="476" t="s">
        <v>1187</v>
      </c>
      <c r="BY443" s="476" t="s">
        <v>1187</v>
      </c>
      <c r="BZ443" s="476" t="s">
        <v>1187</v>
      </c>
      <c r="CA443" s="476" t="s">
        <v>1187</v>
      </c>
      <c r="CB443" s="476" t="s">
        <v>1187</v>
      </c>
      <c r="CC443" s="476" t="s">
        <v>1187</v>
      </c>
      <c r="CD443" s="476" t="s">
        <v>1187</v>
      </c>
      <c r="CE443" s="476" t="s">
        <v>1188</v>
      </c>
      <c r="CF443" s="476" t="s">
        <v>1188</v>
      </c>
      <c r="CG443" s="476" t="s">
        <v>1188</v>
      </c>
      <c r="CH443" s="476" t="s">
        <v>1188</v>
      </c>
      <c r="CI443" s="476" t="s">
        <v>1188</v>
      </c>
      <c r="CJ443" s="476" t="s">
        <v>1188</v>
      </c>
      <c r="CK443" s="476" t="s">
        <v>1188</v>
      </c>
      <c r="CL443" s="476" t="s">
        <v>1188</v>
      </c>
      <c r="CM443" s="476" t="str">
        <f>IF(VLOOKUP(BS443,'Données par municipalité'!$B$6:$E$1113,4,FALSE)="","non","oui")</f>
        <v>oui</v>
      </c>
      <c r="CN443" s="410">
        <v>214.30233750962668</v>
      </c>
      <c r="CO443" s="410">
        <v>185.8555988110584</v>
      </c>
      <c r="CP443" s="410">
        <v>172.99607744858332</v>
      </c>
      <c r="CQ443" s="410">
        <v>262.52841064578769</v>
      </c>
      <c r="CR443" s="410">
        <v>332.77165298460989</v>
      </c>
      <c r="CS443" s="410">
        <v>331.84245446179483</v>
      </c>
      <c r="CT443" s="410">
        <v>172.67544103825333</v>
      </c>
      <c r="CU443" s="410">
        <v>204</v>
      </c>
      <c r="CV443" s="410">
        <f>IF(VLOOKUP(BS443,'Données par municipalité'!$B$6:$F$1113,4,FALSE)="","",VLOOKUP(BS443,'Données par municipalité'!$B$6:$F$1113,4,FALSE))</f>
        <v>196</v>
      </c>
      <c r="CW443" s="476" t="s">
        <v>4723</v>
      </c>
      <c r="CX443" s="483">
        <v>0</v>
      </c>
      <c r="CY443" s="483">
        <v>0</v>
      </c>
      <c r="CZ443" s="483">
        <v>0</v>
      </c>
      <c r="DA443" s="483">
        <v>0</v>
      </c>
      <c r="DB443" s="483">
        <v>0</v>
      </c>
      <c r="DC443" s="483">
        <v>0</v>
      </c>
      <c r="DD443" s="483">
        <v>0.99116904962153074</v>
      </c>
      <c r="DE443" s="483">
        <f>IFERROR(SUM(VLOOKUP($BS443,'État &amp; Plan d''action'!$B$6:$Z$1113,18,FALSE),VLOOKUP($BS443,'État &amp; Plan d''action'!$B$6:$Z$1113,20,FALSE))/(VLOOKUP($BS443,'Données par municipalité'!$B$4:$L$1113,11,FALSE)),"")</f>
        <v>0</v>
      </c>
      <c r="DF443" s="483">
        <f>IFERROR(SUM(VLOOKUP($BS443,'État &amp; Plan d''action'!$B$6:$Z$1113,19,FALSE),VLOOKUP($BS443,'État &amp; Plan d''action'!$B$6:$Z$1113,21,FALSE))/(VLOOKUP($BS443,'Données par municipalité'!$B$4:$L$1113,11,FALSE)),"")</f>
        <v>0</v>
      </c>
      <c r="DG443" s="476" t="s">
        <v>4723</v>
      </c>
      <c r="DH443" s="484">
        <v>0</v>
      </c>
      <c r="DI443" s="484">
        <v>0</v>
      </c>
      <c r="DJ443" s="484">
        <v>0</v>
      </c>
      <c r="DK443" s="484">
        <v>0</v>
      </c>
      <c r="DL443" s="484">
        <v>0</v>
      </c>
      <c r="DM443" s="484">
        <v>0</v>
      </c>
      <c r="DN443" s="484">
        <v>0</v>
      </c>
      <c r="DO443" s="484">
        <v>0</v>
      </c>
      <c r="DP443" s="484">
        <v>0</v>
      </c>
      <c r="DQ443" s="484">
        <f>IF(VLOOKUP($BS443,'État &amp; Plan d''action'!$B$6:$AJ$1113,28,FALSE)="","",VLOOKUP($BS443,'État &amp; Plan d''action'!$B$6:$AJ$1113,28,FALSE))</f>
        <v>0</v>
      </c>
      <c r="DR443" s="70">
        <f>IF(VLOOKUP($BS443,'État &amp; Plan d''action'!$B$6:$AJ$1113,29,FALSE)="","",VLOOKUP($BS443,'État &amp; Plan d''action'!$B$6:$AJ$1113,29,FALSE))</f>
        <v>0</v>
      </c>
      <c r="DS443" s="70">
        <f>IF(VLOOKUP($BS443,'État &amp; Plan d''action'!$B$6:$AJ$1113,30,FALSE)="","",VLOOKUP($BS443,'État &amp; Plan d''action'!$B$6:$AJ$1113,30,FALSE))</f>
        <v>0</v>
      </c>
      <c r="DT443" s="70">
        <v>174</v>
      </c>
      <c r="DU443" s="485">
        <v>1.1368183637091198</v>
      </c>
      <c r="DV443" s="485">
        <v>0.92473965920626933</v>
      </c>
      <c r="DW443" s="70">
        <v>0</v>
      </c>
      <c r="DX443" s="70">
        <v>0</v>
      </c>
      <c r="DY443" s="70">
        <v>0</v>
      </c>
      <c r="DZ443" s="70">
        <f>VLOOKUP($BS443,'État &amp; Plan d''action'!$B$6:$AH$1113,31,FALSE)</f>
        <v>0</v>
      </c>
      <c r="EA443" s="70">
        <f>VLOOKUP($BS443,'État &amp; Plan d''action'!$B$6:$AH$1113,32,FALSE)</f>
        <v>0</v>
      </c>
      <c r="EB443" s="70">
        <f>VLOOKUP($BS443,'État &amp; Plan d''action'!$B$6:$AH$1113,33,FALSE)</f>
        <v>0</v>
      </c>
      <c r="EC443" s="70">
        <v>0</v>
      </c>
      <c r="ED443" s="70">
        <v>4.7140000000000004</v>
      </c>
      <c r="EE443" s="70">
        <v>0</v>
      </c>
      <c r="EF443" s="70">
        <v>0</v>
      </c>
      <c r="EG443" s="70">
        <v>0</v>
      </c>
      <c r="EH443" s="72">
        <v>48</v>
      </c>
      <c r="EI443" s="72">
        <v>801</v>
      </c>
    </row>
    <row r="444" spans="71:139" x14ac:dyDescent="0.35">
      <c r="BS444" s="486">
        <v>11045</v>
      </c>
      <c r="BT444" s="479" t="s">
        <v>25</v>
      </c>
      <c r="BU444" s="479">
        <v>1</v>
      </c>
      <c r="BV444" s="476" t="s">
        <v>1187</v>
      </c>
      <c r="BW444" s="476" t="s">
        <v>1187</v>
      </c>
      <c r="BX444" s="476" t="s">
        <v>1187</v>
      </c>
      <c r="BY444" s="476" t="s">
        <v>1187</v>
      </c>
      <c r="BZ444" s="476" t="s">
        <v>1187</v>
      </c>
      <c r="CA444" s="476" t="s">
        <v>1187</v>
      </c>
      <c r="CB444" s="476" t="s">
        <v>1187</v>
      </c>
      <c r="CC444" s="476" t="s">
        <v>1187</v>
      </c>
      <c r="CD444" s="476" t="s">
        <v>1187</v>
      </c>
      <c r="CE444" s="476" t="s">
        <v>1188</v>
      </c>
      <c r="CF444" s="476" t="s">
        <v>1188</v>
      </c>
      <c r="CG444" s="476" t="s">
        <v>1187</v>
      </c>
      <c r="CH444" s="476" t="s">
        <v>1188</v>
      </c>
      <c r="CI444" s="476" t="s">
        <v>1188</v>
      </c>
      <c r="CJ444" s="476" t="s">
        <v>1188</v>
      </c>
      <c r="CK444" s="476" t="s">
        <v>1188</v>
      </c>
      <c r="CL444" s="476" t="s">
        <v>1187</v>
      </c>
      <c r="CM444" s="476" t="str">
        <f>IF(VLOOKUP(BS444,'Données par municipalité'!$B$6:$E$1113,4,FALSE)="","non","oui")</f>
        <v>oui</v>
      </c>
      <c r="CN444" s="410">
        <v>557</v>
      </c>
      <c r="CO444" s="410">
        <v>439</v>
      </c>
      <c r="CP444" s="410"/>
      <c r="CQ444" s="410">
        <v>573</v>
      </c>
      <c r="CR444" s="410">
        <v>455</v>
      </c>
      <c r="CS444" s="410">
        <v>490.25074950290946</v>
      </c>
      <c r="CT444" s="410">
        <v>412</v>
      </c>
      <c r="CU444" s="410" t="s">
        <v>1124</v>
      </c>
      <c r="CV444" s="410">
        <f>IF(VLOOKUP(BS444,'Données par municipalité'!$B$6:$F$1113,4,FALSE)="","",VLOOKUP(BS444,'Données par municipalité'!$B$6:$F$1113,4,FALSE))</f>
        <v>421</v>
      </c>
      <c r="CW444" s="476" t="s">
        <v>4723</v>
      </c>
      <c r="CX444" s="483">
        <v>0</v>
      </c>
      <c r="CY444" s="483" t="s">
        <v>1124</v>
      </c>
      <c r="CZ444" s="483">
        <v>0</v>
      </c>
      <c r="DA444" s="483">
        <v>0</v>
      </c>
      <c r="DB444" s="483">
        <v>0</v>
      </c>
      <c r="DC444" s="483">
        <v>0</v>
      </c>
      <c r="DD444" s="483" t="s">
        <v>1124</v>
      </c>
      <c r="DE444" s="483">
        <f>IFERROR(SUM(VLOOKUP($BS444,'État &amp; Plan d''action'!$B$6:$Z$1113,18,FALSE),VLOOKUP($BS444,'État &amp; Plan d''action'!$B$6:$Z$1113,20,FALSE))/(VLOOKUP($BS444,'Données par municipalité'!$B$4:$L$1113,11,FALSE)),"")</f>
        <v>0.98207709305180457</v>
      </c>
      <c r="DF444" s="483">
        <f>IFERROR(SUM(VLOOKUP($BS444,'État &amp; Plan d''action'!$B$6:$Z$1113,19,FALSE),VLOOKUP($BS444,'État &amp; Plan d''action'!$B$6:$Z$1113,21,FALSE))/(VLOOKUP($BS444,'Données par municipalité'!$B$4:$L$1113,11,FALSE)),"")</f>
        <v>0</v>
      </c>
      <c r="DG444" s="476" t="s">
        <v>4723</v>
      </c>
      <c r="DH444" s="484">
        <v>1</v>
      </c>
      <c r="DI444" s="484" t="s">
        <v>1124</v>
      </c>
      <c r="DJ444" s="484">
        <v>0</v>
      </c>
      <c r="DK444" s="484">
        <v>0</v>
      </c>
      <c r="DL444" s="484">
        <v>0</v>
      </c>
      <c r="DM444" s="484">
        <v>2</v>
      </c>
      <c r="DN444" s="484" t="s">
        <v>1124</v>
      </c>
      <c r="DO444" s="484" t="s">
        <v>1124</v>
      </c>
      <c r="DP444" s="484" t="s">
        <v>1124</v>
      </c>
      <c r="DQ444" s="484">
        <f>IF(VLOOKUP($BS444,'État &amp; Plan d''action'!$B$6:$AJ$1113,28,FALSE)="","",VLOOKUP($BS444,'État &amp; Plan d''action'!$B$6:$AJ$1113,28,FALSE))</f>
        <v>0</v>
      </c>
      <c r="DR444" s="70">
        <f>IF(VLOOKUP($BS444,'État &amp; Plan d''action'!$B$6:$AJ$1113,29,FALSE)="","",VLOOKUP($BS444,'État &amp; Plan d''action'!$B$6:$AJ$1113,29,FALSE))</f>
        <v>0</v>
      </c>
      <c r="DS444" s="70">
        <f>IF(VLOOKUP($BS444,'État &amp; Plan d''action'!$B$6:$AJ$1113,30,FALSE)="","",VLOOKUP($BS444,'État &amp; Plan d''action'!$B$6:$AJ$1113,30,FALSE))</f>
        <v>1</v>
      </c>
      <c r="DT444" s="70" t="s">
        <v>1124</v>
      </c>
      <c r="DU444" s="485" t="s">
        <v>1124</v>
      </c>
      <c r="DV444" s="485">
        <v>2.4982519519933133</v>
      </c>
      <c r="DW444" s="70" t="s">
        <v>1124</v>
      </c>
      <c r="DX444" s="70" t="s">
        <v>1124</v>
      </c>
      <c r="DY444" s="70" t="s">
        <v>1124</v>
      </c>
      <c r="DZ444" s="70">
        <f>VLOOKUP($BS444,'État &amp; Plan d''action'!$B$6:$AH$1113,31,FALSE)</f>
        <v>0</v>
      </c>
      <c r="EA444" s="70">
        <f>VLOOKUP($BS444,'État &amp; Plan d''action'!$B$6:$AH$1113,32,FALSE)</f>
        <v>0</v>
      </c>
      <c r="EB444" s="70">
        <f>VLOOKUP($BS444,'État &amp; Plan d''action'!$B$6:$AH$1113,33,FALSE)</f>
        <v>2</v>
      </c>
      <c r="EC444" s="70" t="s">
        <v>1124</v>
      </c>
      <c r="ED444" s="70" t="s">
        <v>1124</v>
      </c>
      <c r="EE444" s="70" t="s">
        <v>1124</v>
      </c>
      <c r="EF444" s="70" t="s">
        <v>1124</v>
      </c>
      <c r="EG444" s="70" t="s">
        <v>1124</v>
      </c>
      <c r="EH444" s="72"/>
      <c r="EI444" s="72">
        <v>1065</v>
      </c>
    </row>
    <row r="445" spans="71:139" x14ac:dyDescent="0.35">
      <c r="BS445" s="486">
        <v>29120</v>
      </c>
      <c r="BT445" s="479" t="s">
        <v>215</v>
      </c>
      <c r="BU445" s="479">
        <v>12</v>
      </c>
      <c r="BV445" s="476" t="s">
        <v>1187</v>
      </c>
      <c r="BW445" s="476" t="s">
        <v>1187</v>
      </c>
      <c r="BX445" s="476" t="s">
        <v>1187</v>
      </c>
      <c r="BY445" s="476" t="s">
        <v>1187</v>
      </c>
      <c r="BZ445" s="476" t="s">
        <v>1187</v>
      </c>
      <c r="CA445" s="476" t="s">
        <v>1187</v>
      </c>
      <c r="CB445" s="476" t="s">
        <v>1187</v>
      </c>
      <c r="CC445" s="476" t="s">
        <v>1187</v>
      </c>
      <c r="CD445" s="476" t="s">
        <v>1187</v>
      </c>
      <c r="CE445" s="476" t="s">
        <v>1188</v>
      </c>
      <c r="CF445" s="476" t="s">
        <v>1188</v>
      </c>
      <c r="CG445" s="476" t="s">
        <v>1188</v>
      </c>
      <c r="CH445" s="476" t="s">
        <v>1188</v>
      </c>
      <c r="CI445" s="476" t="s">
        <v>1188</v>
      </c>
      <c r="CJ445" s="476" t="s">
        <v>1188</v>
      </c>
      <c r="CK445" s="476" t="s">
        <v>1188</v>
      </c>
      <c r="CL445" s="476" t="s">
        <v>1188</v>
      </c>
      <c r="CM445" s="476" t="str">
        <f>IF(VLOOKUP(BS445,'Données par municipalité'!$B$6:$E$1113,4,FALSE)="","non","oui")</f>
        <v>oui</v>
      </c>
      <c r="CN445" s="410">
        <v>405.70175438596493</v>
      </c>
      <c r="CO445" s="410">
        <v>370.58584805778065</v>
      </c>
      <c r="CP445" s="410">
        <v>271.60602094968363</v>
      </c>
      <c r="CQ445" s="410">
        <v>236.39999456700218</v>
      </c>
      <c r="CR445" s="410">
        <v>243.86247649744828</v>
      </c>
      <c r="CS445" s="410">
        <v>250.81514406225341</v>
      </c>
      <c r="CT445" s="410">
        <v>271.00689704161977</v>
      </c>
      <c r="CU445" s="410">
        <v>230</v>
      </c>
      <c r="CV445" s="410">
        <f>IF(VLOOKUP(BS445,'Données par municipalité'!$B$6:$F$1113,4,FALSE)="","",VLOOKUP(BS445,'Données par municipalité'!$B$6:$F$1113,4,FALSE))</f>
        <v>229</v>
      </c>
      <c r="CW445" s="476" t="s">
        <v>4723</v>
      </c>
      <c r="CX445" s="483">
        <v>1</v>
      </c>
      <c r="CY445" s="483">
        <v>0.5</v>
      </c>
      <c r="CZ445" s="483">
        <v>1</v>
      </c>
      <c r="DA445" s="483">
        <v>0.25</v>
      </c>
      <c r="DB445" s="483">
        <v>1</v>
      </c>
      <c r="DC445" s="483">
        <v>1</v>
      </c>
      <c r="DD445" s="483">
        <v>1</v>
      </c>
      <c r="DE445" s="483">
        <f>IFERROR(SUM(VLOOKUP($BS445,'État &amp; Plan d''action'!$B$6:$Z$1113,18,FALSE),VLOOKUP($BS445,'État &amp; Plan d''action'!$B$6:$Z$1113,20,FALSE))/(VLOOKUP($BS445,'Données par municipalité'!$B$4:$L$1113,11,FALSE)),"")</f>
        <v>1</v>
      </c>
      <c r="DF445" s="483">
        <f>IFERROR(SUM(VLOOKUP($BS445,'État &amp; Plan d''action'!$B$6:$Z$1113,19,FALSE),VLOOKUP($BS445,'État &amp; Plan d''action'!$B$6:$Z$1113,21,FALSE))/(VLOOKUP($BS445,'Données par municipalité'!$B$4:$L$1113,11,FALSE)),"")</f>
        <v>1</v>
      </c>
      <c r="DG445" s="476" t="s">
        <v>4723</v>
      </c>
      <c r="DH445" s="484">
        <v>3</v>
      </c>
      <c r="DI445" s="484">
        <v>1</v>
      </c>
      <c r="DJ445" s="484">
        <v>3</v>
      </c>
      <c r="DK445" s="484">
        <v>0</v>
      </c>
      <c r="DL445" s="484">
        <v>1</v>
      </c>
      <c r="DM445" s="484">
        <v>5</v>
      </c>
      <c r="DN445" s="484">
        <v>2</v>
      </c>
      <c r="DO445" s="484">
        <v>2</v>
      </c>
      <c r="DP445" s="484">
        <v>0</v>
      </c>
      <c r="DQ445" s="484">
        <f>IF(VLOOKUP($BS445,'État &amp; Plan d''action'!$B$6:$AJ$1113,28,FALSE)="","",VLOOKUP($BS445,'État &amp; Plan d''action'!$B$6:$AJ$1113,28,FALSE))</f>
        <v>3</v>
      </c>
      <c r="DR445" s="70">
        <f>IF(VLOOKUP($BS445,'État &amp; Plan d''action'!$B$6:$AJ$1113,29,FALSE)="","",VLOOKUP($BS445,'État &amp; Plan d''action'!$B$6:$AJ$1113,29,FALSE))</f>
        <v>0</v>
      </c>
      <c r="DS445" s="70">
        <f>IF(VLOOKUP($BS445,'État &amp; Plan d''action'!$B$6:$AJ$1113,30,FALSE)="","",VLOOKUP($BS445,'État &amp; Plan d''action'!$B$6:$AJ$1113,30,FALSE))</f>
        <v>0</v>
      </c>
      <c r="DT445" s="70">
        <v>162</v>
      </c>
      <c r="DU445" s="485">
        <v>1.5417239290439011</v>
      </c>
      <c r="DV445" s="485">
        <v>1.7477872013071645</v>
      </c>
      <c r="DW445" s="70">
        <v>1</v>
      </c>
      <c r="DX445" s="70">
        <v>3</v>
      </c>
      <c r="DY445" s="70">
        <v>0</v>
      </c>
      <c r="DZ445" s="70">
        <f>VLOOKUP($BS445,'État &amp; Plan d''action'!$B$6:$AH$1113,31,FALSE)</f>
        <v>1</v>
      </c>
      <c r="EA445" s="70">
        <f>VLOOKUP($BS445,'État &amp; Plan d''action'!$B$6:$AH$1113,32,FALSE)</f>
        <v>0</v>
      </c>
      <c r="EB445" s="70">
        <f>VLOOKUP($BS445,'État &amp; Plan d''action'!$B$6:$AH$1113,33,FALSE)</f>
        <v>0</v>
      </c>
      <c r="EC445" s="70">
        <v>0</v>
      </c>
      <c r="ED445" s="70">
        <v>0</v>
      </c>
      <c r="EE445" s="70">
        <v>13.621</v>
      </c>
      <c r="EF445" s="70">
        <v>0</v>
      </c>
      <c r="EG445" s="70">
        <v>0</v>
      </c>
      <c r="EH445" s="72">
        <v>70</v>
      </c>
      <c r="EI445" s="72">
        <v>1676</v>
      </c>
    </row>
    <row r="446" spans="71:139" x14ac:dyDescent="0.35">
      <c r="BS446" s="486">
        <v>61030</v>
      </c>
      <c r="BT446" s="479" t="s">
        <v>614</v>
      </c>
      <c r="BU446" s="479">
        <v>14</v>
      </c>
      <c r="BV446" s="476" t="s">
        <v>1187</v>
      </c>
      <c r="BW446" s="476" t="s">
        <v>1187</v>
      </c>
      <c r="BX446" s="476" t="s">
        <v>1187</v>
      </c>
      <c r="BY446" s="476" t="s">
        <v>1187</v>
      </c>
      <c r="BZ446" s="476" t="s">
        <v>1187</v>
      </c>
      <c r="CA446" s="476" t="s">
        <v>1187</v>
      </c>
      <c r="CB446" s="476" t="s">
        <v>1187</v>
      </c>
      <c r="CC446" s="476" t="s">
        <v>1187</v>
      </c>
      <c r="CD446" s="476" t="s">
        <v>1187</v>
      </c>
      <c r="CE446" s="476" t="s">
        <v>1188</v>
      </c>
      <c r="CF446" s="476" t="s">
        <v>1188</v>
      </c>
      <c r="CG446" s="476" t="s">
        <v>1188</v>
      </c>
      <c r="CH446" s="476" t="s">
        <v>1188</v>
      </c>
      <c r="CI446" s="476" t="s">
        <v>1188</v>
      </c>
      <c r="CJ446" s="476" t="s">
        <v>1188</v>
      </c>
      <c r="CK446" s="476" t="s">
        <v>1188</v>
      </c>
      <c r="CL446" s="476" t="s">
        <v>1188</v>
      </c>
      <c r="CM446" s="476" t="str">
        <f>IF(VLOOKUP(BS446,'Données par municipalité'!$B$6:$E$1113,4,FALSE)="","non","oui")</f>
        <v>oui</v>
      </c>
      <c r="CN446" s="410">
        <v>434.936591005389</v>
      </c>
      <c r="CO446" s="410">
        <v>458.33440301281274</v>
      </c>
      <c r="CP446" s="410">
        <v>390.0477398784497</v>
      </c>
      <c r="CQ446" s="410">
        <v>365.50362499582155</v>
      </c>
      <c r="CR446" s="410">
        <v>384.06032121152987</v>
      </c>
      <c r="CS446" s="410">
        <v>337.02720202632247</v>
      </c>
      <c r="CT446" s="410">
        <v>272.35592964202522</v>
      </c>
      <c r="CU446" s="410">
        <v>390</v>
      </c>
      <c r="CV446" s="410">
        <f>IF(VLOOKUP(BS446,'Données par municipalité'!$B$6:$F$1113,4,FALSE)="","",VLOOKUP(BS446,'Données par municipalité'!$B$6:$F$1113,4,FALSE))</f>
        <v>373</v>
      </c>
      <c r="CW446" s="476" t="s">
        <v>4723</v>
      </c>
      <c r="CX446" s="483">
        <v>0</v>
      </c>
      <c r="CY446" s="483">
        <v>0</v>
      </c>
      <c r="CZ446" s="483">
        <v>0</v>
      </c>
      <c r="DA446" s="483">
        <v>0</v>
      </c>
      <c r="DB446" s="483">
        <v>0</v>
      </c>
      <c r="DC446" s="483">
        <v>0</v>
      </c>
      <c r="DD446" s="483">
        <v>0</v>
      </c>
      <c r="DE446" s="483">
        <f>IFERROR(SUM(VLOOKUP($BS446,'État &amp; Plan d''action'!$B$6:$Z$1113,18,FALSE),VLOOKUP($BS446,'État &amp; Plan d''action'!$B$6:$Z$1113,20,FALSE))/(VLOOKUP($BS446,'Données par municipalité'!$B$4:$L$1113,11,FALSE)),"")</f>
        <v>0</v>
      </c>
      <c r="DF446" s="483">
        <f>IFERROR(SUM(VLOOKUP($BS446,'État &amp; Plan d''action'!$B$6:$Z$1113,19,FALSE),VLOOKUP($BS446,'État &amp; Plan d''action'!$B$6:$Z$1113,21,FALSE))/(VLOOKUP($BS446,'Données par municipalité'!$B$4:$L$1113,11,FALSE)),"")</f>
        <v>0</v>
      </c>
      <c r="DG446" s="476" t="s">
        <v>4723</v>
      </c>
      <c r="DH446" s="484">
        <v>6</v>
      </c>
      <c r="DI446" s="484">
        <v>6</v>
      </c>
      <c r="DJ446" s="484">
        <v>7</v>
      </c>
      <c r="DK446" s="484">
        <v>5</v>
      </c>
      <c r="DL446" s="484">
        <v>0</v>
      </c>
      <c r="DM446" s="484">
        <v>1</v>
      </c>
      <c r="DN446" s="484">
        <v>2</v>
      </c>
      <c r="DO446" s="484">
        <v>0</v>
      </c>
      <c r="DP446" s="484">
        <v>0</v>
      </c>
      <c r="DQ446" s="484">
        <f>IF(VLOOKUP($BS446,'État &amp; Plan d''action'!$B$6:$AJ$1113,28,FALSE)="","",VLOOKUP($BS446,'État &amp; Plan d''action'!$B$6:$AJ$1113,28,FALSE))</f>
        <v>4</v>
      </c>
      <c r="DR446" s="70">
        <f>IF(VLOOKUP($BS446,'État &amp; Plan d''action'!$B$6:$AJ$1113,29,FALSE)="","",VLOOKUP($BS446,'État &amp; Plan d''action'!$B$6:$AJ$1113,29,FALSE))</f>
        <v>0</v>
      </c>
      <c r="DS446" s="70">
        <f>IF(VLOOKUP($BS446,'État &amp; Plan d''action'!$B$6:$AJ$1113,30,FALSE)="","",VLOOKUP($BS446,'État &amp; Plan d''action'!$B$6:$AJ$1113,30,FALSE))</f>
        <v>0</v>
      </c>
      <c r="DT446" s="70">
        <v>316</v>
      </c>
      <c r="DU446" s="485">
        <v>2.0283979273879336</v>
      </c>
      <c r="DV446" s="485">
        <v>3.0408274972393992</v>
      </c>
      <c r="DW446" s="70">
        <v>1</v>
      </c>
      <c r="DX446" s="70">
        <v>0</v>
      </c>
      <c r="DY446" s="70">
        <v>0</v>
      </c>
      <c r="DZ446" s="70">
        <f>VLOOKUP($BS446,'État &amp; Plan d''action'!$B$6:$AH$1113,31,FALSE)</f>
        <v>1</v>
      </c>
      <c r="EA446" s="70">
        <f>VLOOKUP($BS446,'État &amp; Plan d''action'!$B$6:$AH$1113,32,FALSE)</f>
        <v>0</v>
      </c>
      <c r="EB446" s="70">
        <f>VLOOKUP($BS446,'État &amp; Plan d''action'!$B$6:$AH$1113,33,FALSE)</f>
        <v>0</v>
      </c>
      <c r="EC446" s="70">
        <v>0</v>
      </c>
      <c r="ED446" s="70">
        <v>0</v>
      </c>
      <c r="EE446" s="70">
        <v>0</v>
      </c>
      <c r="EF446" s="70">
        <v>0</v>
      </c>
      <c r="EG446" s="70">
        <v>0</v>
      </c>
      <c r="EH446" s="72">
        <v>49</v>
      </c>
      <c r="EI446" s="72">
        <v>9478</v>
      </c>
    </row>
    <row r="447" spans="71:139" x14ac:dyDescent="0.35">
      <c r="BS447" s="486">
        <v>12045</v>
      </c>
      <c r="BT447" s="479" t="s">
        <v>36</v>
      </c>
      <c r="BU447" s="479">
        <v>1</v>
      </c>
      <c r="BV447" s="476" t="s">
        <v>1188</v>
      </c>
      <c r="BW447" s="476" t="s">
        <v>1188</v>
      </c>
      <c r="BX447" s="476" t="s">
        <v>1188</v>
      </c>
      <c r="BY447" s="476" t="s">
        <v>1188</v>
      </c>
      <c r="BZ447" s="476" t="s">
        <v>1188</v>
      </c>
      <c r="CA447" s="476" t="s">
        <v>1188</v>
      </c>
      <c r="CB447" s="476" t="s">
        <v>1188</v>
      </c>
      <c r="CC447" s="476" t="s">
        <v>1188</v>
      </c>
      <c r="CD447" s="476" t="s">
        <v>1188</v>
      </c>
      <c r="CE447" s="476" t="s">
        <v>1187</v>
      </c>
      <c r="CF447" s="476" t="s">
        <v>1187</v>
      </c>
      <c r="CG447" s="476" t="s">
        <v>1187</v>
      </c>
      <c r="CH447" s="476" t="s">
        <v>1187</v>
      </c>
      <c r="CI447" s="476" t="s">
        <v>1187</v>
      </c>
      <c r="CJ447" s="476" t="s">
        <v>1187</v>
      </c>
      <c r="CK447" s="476" t="s">
        <v>1187</v>
      </c>
      <c r="CL447" s="476" t="s">
        <v>1187</v>
      </c>
      <c r="CM447" s="476" t="str">
        <f>IF(VLOOKUP(BS447,'Données par municipalité'!$B$6:$E$1113,4,FALSE)="","non","oui")</f>
        <v>non</v>
      </c>
      <c r="CN447" s="410" t="s">
        <v>1124</v>
      </c>
      <c r="CO447" s="410" t="s">
        <v>1124</v>
      </c>
      <c r="CP447" s="410"/>
      <c r="CQ447" s="410"/>
      <c r="CR447" s="410"/>
      <c r="CS447" s="410" t="s">
        <v>1124</v>
      </c>
      <c r="CT447" s="410"/>
      <c r="CU447" s="410" t="s">
        <v>1124</v>
      </c>
      <c r="CV447" s="410" t="str">
        <f>IF(VLOOKUP(BS447,'Données par municipalité'!$B$6:$F$1113,4,FALSE)="","",VLOOKUP(BS447,'Données par municipalité'!$B$6:$F$1113,4,FALSE))</f>
        <v/>
      </c>
      <c r="CW447" s="476" t="s">
        <v>4723</v>
      </c>
      <c r="CX447" s="483" t="s">
        <v>1124</v>
      </c>
      <c r="CY447" s="483" t="s">
        <v>1124</v>
      </c>
      <c r="CZ447" s="483" t="s">
        <v>1124</v>
      </c>
      <c r="DA447" s="483" t="s">
        <v>1124</v>
      </c>
      <c r="DB447" s="483" t="s">
        <v>1124</v>
      </c>
      <c r="DC447" s="483" t="s">
        <v>1124</v>
      </c>
      <c r="DD447" s="483" t="s">
        <v>1124</v>
      </c>
      <c r="DE447" s="483" t="str">
        <f>IFERROR(SUM(VLOOKUP($BS447,'État &amp; Plan d''action'!$B$6:$Z$1113,18,FALSE),VLOOKUP($BS447,'État &amp; Plan d''action'!$B$6:$Z$1113,20,FALSE))/(VLOOKUP($BS447,'Données par municipalité'!$B$4:$L$1113,11,FALSE)),"")</f>
        <v/>
      </c>
      <c r="DF447" s="483" t="str">
        <f>IFERROR(SUM(VLOOKUP($BS447,'État &amp; Plan d''action'!$B$6:$Z$1113,19,FALSE),VLOOKUP($BS447,'État &amp; Plan d''action'!$B$6:$Z$1113,21,FALSE))/(VLOOKUP($BS447,'Données par municipalité'!$B$4:$L$1113,11,FALSE)),"")</f>
        <v/>
      </c>
      <c r="DG447" s="476" t="s">
        <v>4723</v>
      </c>
      <c r="DH447" s="484" t="s">
        <v>1124</v>
      </c>
      <c r="DI447" s="484" t="s">
        <v>1124</v>
      </c>
      <c r="DJ447" s="484">
        <v>0</v>
      </c>
      <c r="DK447" s="484">
        <v>0</v>
      </c>
      <c r="DL447" s="484" t="s">
        <v>1124</v>
      </c>
      <c r="DM447" s="484" t="s">
        <v>1124</v>
      </c>
      <c r="DN447" s="484" t="s">
        <v>1124</v>
      </c>
      <c r="DO447" s="484" t="s">
        <v>1124</v>
      </c>
      <c r="DP447" s="484" t="s">
        <v>1124</v>
      </c>
      <c r="DQ447" s="484" t="str">
        <f>IF(VLOOKUP($BS447,'État &amp; Plan d''action'!$B$6:$AJ$1113,28,FALSE)="","",VLOOKUP($BS447,'État &amp; Plan d''action'!$B$6:$AJ$1113,28,FALSE))</f>
        <v/>
      </c>
      <c r="DR447" s="70" t="str">
        <f>IF(VLOOKUP($BS447,'État &amp; Plan d''action'!$B$6:$AJ$1113,29,FALSE)="","",VLOOKUP($BS447,'État &amp; Plan d''action'!$B$6:$AJ$1113,29,FALSE))</f>
        <v/>
      </c>
      <c r="DS447" s="70" t="str">
        <f>IF(VLOOKUP($BS447,'État &amp; Plan d''action'!$B$6:$AJ$1113,30,FALSE)="","",VLOOKUP($BS447,'État &amp; Plan d''action'!$B$6:$AJ$1113,30,FALSE))</f>
        <v/>
      </c>
      <c r="DT447" s="70" t="s">
        <v>1124</v>
      </c>
      <c r="DU447" s="485" t="s">
        <v>1124</v>
      </c>
      <c r="DV447" s="485" t="s">
        <v>1124</v>
      </c>
      <c r="DW447" s="70" t="s">
        <v>1124</v>
      </c>
      <c r="DX447" s="70" t="s">
        <v>1124</v>
      </c>
      <c r="DY447" s="70" t="s">
        <v>1124</v>
      </c>
      <c r="DZ447" s="70" t="str">
        <f>VLOOKUP($BS447,'État &amp; Plan d''action'!$B$6:$AH$1113,31,FALSE)</f>
        <v/>
      </c>
      <c r="EA447" s="70" t="str">
        <f>VLOOKUP($BS447,'État &amp; Plan d''action'!$B$6:$AH$1113,32,FALSE)</f>
        <v/>
      </c>
      <c r="EB447" s="70" t="str">
        <f>VLOOKUP($BS447,'État &amp; Plan d''action'!$B$6:$AH$1113,33,FALSE)</f>
        <v/>
      </c>
      <c r="EC447" s="70" t="s">
        <v>1124</v>
      </c>
      <c r="ED447" s="70" t="s">
        <v>1124</v>
      </c>
      <c r="EE447" s="70" t="s">
        <v>1124</v>
      </c>
      <c r="EF447" s="70" t="s">
        <v>1124</v>
      </c>
      <c r="EG447" s="70" t="s">
        <v>1124</v>
      </c>
      <c r="EH447" s="72"/>
      <c r="EI447" s="72">
        <v>36</v>
      </c>
    </row>
    <row r="448" spans="71:139" x14ac:dyDescent="0.35">
      <c r="BS448" s="486">
        <v>46100</v>
      </c>
      <c r="BT448" s="479" t="s">
        <v>445</v>
      </c>
      <c r="BU448" s="479">
        <v>5</v>
      </c>
      <c r="BV448" s="476" t="s">
        <v>1188</v>
      </c>
      <c r="BW448" s="476" t="s">
        <v>1188</v>
      </c>
      <c r="BX448" s="476" t="s">
        <v>1188</v>
      </c>
      <c r="BY448" s="476" t="s">
        <v>1188</v>
      </c>
      <c r="BZ448" s="476" t="s">
        <v>1188</v>
      </c>
      <c r="CA448" s="476" t="s">
        <v>1188</v>
      </c>
      <c r="CB448" s="476" t="s">
        <v>1188</v>
      </c>
      <c r="CC448" s="476" t="s">
        <v>1188</v>
      </c>
      <c r="CD448" s="476" t="s">
        <v>1188</v>
      </c>
      <c r="CE448" s="476" t="s">
        <v>1187</v>
      </c>
      <c r="CF448" s="476" t="s">
        <v>1187</v>
      </c>
      <c r="CG448" s="476" t="s">
        <v>1187</v>
      </c>
      <c r="CH448" s="476" t="s">
        <v>1187</v>
      </c>
      <c r="CI448" s="476" t="s">
        <v>1187</v>
      </c>
      <c r="CJ448" s="476" t="s">
        <v>1187</v>
      </c>
      <c r="CK448" s="476" t="s">
        <v>1187</v>
      </c>
      <c r="CL448" s="476" t="s">
        <v>1187</v>
      </c>
      <c r="CM448" s="476" t="str">
        <f>IF(VLOOKUP(BS448,'Données par municipalité'!$B$6:$E$1113,4,FALSE)="","non","oui")</f>
        <v>non</v>
      </c>
      <c r="CN448" s="410" t="s">
        <v>1124</v>
      </c>
      <c r="CO448" s="410" t="s">
        <v>1124</v>
      </c>
      <c r="CP448" s="410"/>
      <c r="CQ448" s="410"/>
      <c r="CR448" s="410"/>
      <c r="CS448" s="410" t="s">
        <v>1124</v>
      </c>
      <c r="CT448" s="410"/>
      <c r="CU448" s="410" t="s">
        <v>1124</v>
      </c>
      <c r="CV448" s="410" t="str">
        <f>IF(VLOOKUP(BS448,'Données par municipalité'!$B$6:$F$1113,4,FALSE)="","",VLOOKUP(BS448,'Données par municipalité'!$B$6:$F$1113,4,FALSE))</f>
        <v/>
      </c>
      <c r="CW448" s="476" t="s">
        <v>4723</v>
      </c>
      <c r="CX448" s="483" t="s">
        <v>1124</v>
      </c>
      <c r="CY448" s="483" t="s">
        <v>1124</v>
      </c>
      <c r="CZ448" s="483" t="s">
        <v>1124</v>
      </c>
      <c r="DA448" s="483" t="s">
        <v>1124</v>
      </c>
      <c r="DB448" s="483" t="s">
        <v>1124</v>
      </c>
      <c r="DC448" s="483" t="s">
        <v>1124</v>
      </c>
      <c r="DD448" s="483" t="s">
        <v>1124</v>
      </c>
      <c r="DE448" s="483" t="str">
        <f>IFERROR(SUM(VLOOKUP($BS448,'État &amp; Plan d''action'!$B$6:$Z$1113,18,FALSE),VLOOKUP($BS448,'État &amp; Plan d''action'!$B$6:$Z$1113,20,FALSE))/(VLOOKUP($BS448,'Données par municipalité'!$B$4:$L$1113,11,FALSE)),"")</f>
        <v/>
      </c>
      <c r="DF448" s="483" t="str">
        <f>IFERROR(SUM(VLOOKUP($BS448,'État &amp; Plan d''action'!$B$6:$Z$1113,19,FALSE),VLOOKUP($BS448,'État &amp; Plan d''action'!$B$6:$Z$1113,21,FALSE))/(VLOOKUP($BS448,'Données par municipalité'!$B$4:$L$1113,11,FALSE)),"")</f>
        <v/>
      </c>
      <c r="DG448" s="476" t="s">
        <v>4723</v>
      </c>
      <c r="DH448" s="484" t="s">
        <v>1124</v>
      </c>
      <c r="DI448" s="484" t="s">
        <v>1124</v>
      </c>
      <c r="DJ448" s="484">
        <v>0</v>
      </c>
      <c r="DK448" s="484">
        <v>0</v>
      </c>
      <c r="DL448" s="484" t="s">
        <v>1124</v>
      </c>
      <c r="DM448" s="484" t="s">
        <v>1124</v>
      </c>
      <c r="DN448" s="484" t="s">
        <v>1124</v>
      </c>
      <c r="DO448" s="484" t="s">
        <v>1124</v>
      </c>
      <c r="DP448" s="484" t="s">
        <v>1124</v>
      </c>
      <c r="DQ448" s="484" t="str">
        <f>IF(VLOOKUP($BS448,'État &amp; Plan d''action'!$B$6:$AJ$1113,28,FALSE)="","",VLOOKUP($BS448,'État &amp; Plan d''action'!$B$6:$AJ$1113,28,FALSE))</f>
        <v/>
      </c>
      <c r="DR448" s="70" t="str">
        <f>IF(VLOOKUP($BS448,'État &amp; Plan d''action'!$B$6:$AJ$1113,29,FALSE)="","",VLOOKUP($BS448,'État &amp; Plan d''action'!$B$6:$AJ$1113,29,FALSE))</f>
        <v/>
      </c>
      <c r="DS448" s="70" t="str">
        <f>IF(VLOOKUP($BS448,'État &amp; Plan d''action'!$B$6:$AJ$1113,30,FALSE)="","",VLOOKUP($BS448,'État &amp; Plan d''action'!$B$6:$AJ$1113,30,FALSE))</f>
        <v/>
      </c>
      <c r="DT448" s="70" t="s">
        <v>1124</v>
      </c>
      <c r="DU448" s="485" t="s">
        <v>1124</v>
      </c>
      <c r="DV448" s="485" t="s">
        <v>1124</v>
      </c>
      <c r="DW448" s="70" t="s">
        <v>1124</v>
      </c>
      <c r="DX448" s="70" t="s">
        <v>1124</v>
      </c>
      <c r="DY448" s="70" t="s">
        <v>1124</v>
      </c>
      <c r="DZ448" s="70" t="str">
        <f>VLOOKUP($BS448,'État &amp; Plan d''action'!$B$6:$AH$1113,31,FALSE)</f>
        <v/>
      </c>
      <c r="EA448" s="70" t="str">
        <f>VLOOKUP($BS448,'État &amp; Plan d''action'!$B$6:$AH$1113,32,FALSE)</f>
        <v/>
      </c>
      <c r="EB448" s="70" t="str">
        <f>VLOOKUP($BS448,'État &amp; Plan d''action'!$B$6:$AH$1113,33,FALSE)</f>
        <v/>
      </c>
      <c r="EC448" s="70" t="s">
        <v>1124</v>
      </c>
      <c r="ED448" s="70" t="s">
        <v>1124</v>
      </c>
      <c r="EE448" s="70" t="s">
        <v>1124</v>
      </c>
      <c r="EF448" s="70" t="s">
        <v>1124</v>
      </c>
      <c r="EG448" s="70" t="s">
        <v>1124</v>
      </c>
      <c r="EH448" s="72"/>
      <c r="EI448" s="72">
        <v>668</v>
      </c>
    </row>
    <row r="449" spans="71:139" x14ac:dyDescent="0.35">
      <c r="BS449" s="486">
        <v>49080</v>
      </c>
      <c r="BT449" s="479" t="s">
        <v>474</v>
      </c>
      <c r="BU449" s="479">
        <v>17</v>
      </c>
      <c r="BV449" s="476" t="s">
        <v>1188</v>
      </c>
      <c r="BW449" s="476" t="s">
        <v>1188</v>
      </c>
      <c r="BX449" s="476" t="s">
        <v>1188</v>
      </c>
      <c r="BY449" s="476" t="s">
        <v>1188</v>
      </c>
      <c r="BZ449" s="476" t="s">
        <v>1188</v>
      </c>
      <c r="CA449" s="476" t="s">
        <v>1188</v>
      </c>
      <c r="CB449" s="476" t="s">
        <v>1188</v>
      </c>
      <c r="CC449" s="476" t="s">
        <v>1188</v>
      </c>
      <c r="CD449" s="476" t="s">
        <v>1188</v>
      </c>
      <c r="CE449" s="476" t="s">
        <v>1187</v>
      </c>
      <c r="CF449" s="476" t="s">
        <v>1187</v>
      </c>
      <c r="CG449" s="476" t="s">
        <v>1187</v>
      </c>
      <c r="CH449" s="476" t="s">
        <v>1187</v>
      </c>
      <c r="CI449" s="476" t="s">
        <v>1187</v>
      </c>
      <c r="CJ449" s="476" t="s">
        <v>1187</v>
      </c>
      <c r="CK449" s="476" t="s">
        <v>1187</v>
      </c>
      <c r="CL449" s="476" t="s">
        <v>1187</v>
      </c>
      <c r="CM449" s="476" t="str">
        <f>IF(VLOOKUP(BS449,'Données par municipalité'!$B$6:$E$1113,4,FALSE)="","non","oui")</f>
        <v>non</v>
      </c>
      <c r="CN449" s="410" t="s">
        <v>1124</v>
      </c>
      <c r="CO449" s="410" t="s">
        <v>1124</v>
      </c>
      <c r="CP449" s="410"/>
      <c r="CQ449" s="410"/>
      <c r="CR449" s="410"/>
      <c r="CS449" s="410" t="s">
        <v>1124</v>
      </c>
      <c r="CT449" s="410"/>
      <c r="CU449" s="410" t="s">
        <v>1124</v>
      </c>
      <c r="CV449" s="410" t="str">
        <f>IF(VLOOKUP(BS449,'Données par municipalité'!$B$6:$F$1113,4,FALSE)="","",VLOOKUP(BS449,'Données par municipalité'!$B$6:$F$1113,4,FALSE))</f>
        <v/>
      </c>
      <c r="CW449" s="476" t="s">
        <v>4723</v>
      </c>
      <c r="CX449" s="483" t="s">
        <v>1124</v>
      </c>
      <c r="CY449" s="483" t="s">
        <v>1124</v>
      </c>
      <c r="CZ449" s="483" t="s">
        <v>1124</v>
      </c>
      <c r="DA449" s="483" t="s">
        <v>1124</v>
      </c>
      <c r="DB449" s="483" t="s">
        <v>1124</v>
      </c>
      <c r="DC449" s="483" t="s">
        <v>1124</v>
      </c>
      <c r="DD449" s="483" t="s">
        <v>1124</v>
      </c>
      <c r="DE449" s="483" t="str">
        <f>IFERROR(SUM(VLOOKUP($BS449,'État &amp; Plan d''action'!$B$6:$Z$1113,18,FALSE),VLOOKUP($BS449,'État &amp; Plan d''action'!$B$6:$Z$1113,20,FALSE))/(VLOOKUP($BS449,'Données par municipalité'!$B$4:$L$1113,11,FALSE)),"")</f>
        <v/>
      </c>
      <c r="DF449" s="483" t="str">
        <f>IFERROR(SUM(VLOOKUP($BS449,'État &amp; Plan d''action'!$B$6:$Z$1113,19,FALSE),VLOOKUP($BS449,'État &amp; Plan d''action'!$B$6:$Z$1113,21,FALSE))/(VLOOKUP($BS449,'Données par municipalité'!$B$4:$L$1113,11,FALSE)),"")</f>
        <v/>
      </c>
      <c r="DG449" s="476" t="s">
        <v>4723</v>
      </c>
      <c r="DH449" s="484" t="s">
        <v>1124</v>
      </c>
      <c r="DI449" s="484" t="s">
        <v>1124</v>
      </c>
      <c r="DJ449" s="484">
        <v>0</v>
      </c>
      <c r="DK449" s="484">
        <v>0</v>
      </c>
      <c r="DL449" s="484" t="s">
        <v>1124</v>
      </c>
      <c r="DM449" s="484" t="s">
        <v>1124</v>
      </c>
      <c r="DN449" s="484" t="s">
        <v>1124</v>
      </c>
      <c r="DO449" s="484" t="s">
        <v>1124</v>
      </c>
      <c r="DP449" s="484" t="s">
        <v>1124</v>
      </c>
      <c r="DQ449" s="484" t="str">
        <f>IF(VLOOKUP($BS449,'État &amp; Plan d''action'!$B$6:$AJ$1113,28,FALSE)="","",VLOOKUP($BS449,'État &amp; Plan d''action'!$B$6:$AJ$1113,28,FALSE))</f>
        <v/>
      </c>
      <c r="DR449" s="70" t="str">
        <f>IF(VLOOKUP($BS449,'État &amp; Plan d''action'!$B$6:$AJ$1113,29,FALSE)="","",VLOOKUP($BS449,'État &amp; Plan d''action'!$B$6:$AJ$1113,29,FALSE))</f>
        <v/>
      </c>
      <c r="DS449" s="70" t="str">
        <f>IF(VLOOKUP($BS449,'État &amp; Plan d''action'!$B$6:$AJ$1113,30,FALSE)="","",VLOOKUP($BS449,'État &amp; Plan d''action'!$B$6:$AJ$1113,30,FALSE))</f>
        <v/>
      </c>
      <c r="DT449" s="70" t="s">
        <v>1124</v>
      </c>
      <c r="DU449" s="485" t="s">
        <v>1124</v>
      </c>
      <c r="DV449" s="485" t="s">
        <v>1124</v>
      </c>
      <c r="DW449" s="70" t="s">
        <v>1124</v>
      </c>
      <c r="DX449" s="70" t="s">
        <v>1124</v>
      </c>
      <c r="DY449" s="70" t="s">
        <v>1124</v>
      </c>
      <c r="DZ449" s="70" t="str">
        <f>VLOOKUP($BS449,'État &amp; Plan d''action'!$B$6:$AH$1113,31,FALSE)</f>
        <v/>
      </c>
      <c r="EA449" s="70" t="str">
        <f>VLOOKUP($BS449,'État &amp; Plan d''action'!$B$6:$AH$1113,32,FALSE)</f>
        <v/>
      </c>
      <c r="EB449" s="70" t="str">
        <f>VLOOKUP($BS449,'État &amp; Plan d''action'!$B$6:$AH$1113,33,FALSE)</f>
        <v/>
      </c>
      <c r="EC449" s="70" t="s">
        <v>1124</v>
      </c>
      <c r="ED449" s="70" t="s">
        <v>1124</v>
      </c>
      <c r="EE449" s="70" t="s">
        <v>1124</v>
      </c>
      <c r="EF449" s="70" t="s">
        <v>1124</v>
      </c>
      <c r="EG449" s="70" t="s">
        <v>1124</v>
      </c>
      <c r="EH449" s="72"/>
      <c r="EI449" s="72">
        <v>977</v>
      </c>
    </row>
    <row r="450" spans="71:139" x14ac:dyDescent="0.35">
      <c r="BS450" s="486">
        <v>49075</v>
      </c>
      <c r="BT450" s="479" t="s">
        <v>473</v>
      </c>
      <c r="BU450" s="479">
        <v>17</v>
      </c>
      <c r="BV450" s="476" t="s">
        <v>1187</v>
      </c>
      <c r="BW450" s="476" t="s">
        <v>1187</v>
      </c>
      <c r="BX450" s="476" t="s">
        <v>1187</v>
      </c>
      <c r="BY450" s="476" t="s">
        <v>1187</v>
      </c>
      <c r="BZ450" s="476" t="s">
        <v>1187</v>
      </c>
      <c r="CA450" s="476" t="s">
        <v>1187</v>
      </c>
      <c r="CB450" s="476" t="s">
        <v>1187</v>
      </c>
      <c r="CC450" s="476" t="s">
        <v>1187</v>
      </c>
      <c r="CD450" s="476" t="s">
        <v>1187</v>
      </c>
      <c r="CE450" s="476" t="s">
        <v>1188</v>
      </c>
      <c r="CF450" s="476" t="s">
        <v>1188</v>
      </c>
      <c r="CG450" s="476" t="s">
        <v>1188</v>
      </c>
      <c r="CH450" s="476" t="s">
        <v>1188</v>
      </c>
      <c r="CI450" s="476" t="s">
        <v>1188</v>
      </c>
      <c r="CJ450" s="476" t="s">
        <v>1188</v>
      </c>
      <c r="CK450" s="476" t="s">
        <v>1188</v>
      </c>
      <c r="CL450" s="476" t="s">
        <v>1188</v>
      </c>
      <c r="CM450" s="476" t="str">
        <f>IF(VLOOKUP(BS450,'Données par municipalité'!$B$6:$E$1113,4,FALSE)="","non","oui")</f>
        <v>oui</v>
      </c>
      <c r="CN450" s="410">
        <v>1653.0427688904879</v>
      </c>
      <c r="CO450" s="410">
        <v>1816.8599497303942</v>
      </c>
      <c r="CP450" s="410">
        <v>1895.4344485469062</v>
      </c>
      <c r="CQ450" s="410">
        <v>1645.844236853492</v>
      </c>
      <c r="CR450" s="410">
        <v>1447.8346601144276</v>
      </c>
      <c r="CS450" s="410">
        <v>1572.1005532468193</v>
      </c>
      <c r="CT450" s="410">
        <v>1413.2272207092526</v>
      </c>
      <c r="CU450" s="410">
        <v>1506</v>
      </c>
      <c r="CV450" s="410">
        <f>IF(VLOOKUP(BS450,'Données par municipalité'!$B$6:$F$1113,4,FALSE)="","",VLOOKUP(BS450,'Données par municipalité'!$B$6:$F$1113,4,FALSE))</f>
        <v>1527</v>
      </c>
      <c r="CW450" s="476" t="s">
        <v>4723</v>
      </c>
      <c r="CX450" s="483">
        <v>0</v>
      </c>
      <c r="CY450" s="483">
        <v>0</v>
      </c>
      <c r="CZ450" s="483">
        <v>0</v>
      </c>
      <c r="DA450" s="483">
        <v>0</v>
      </c>
      <c r="DB450" s="483">
        <v>0</v>
      </c>
      <c r="DC450" s="483">
        <v>1</v>
      </c>
      <c r="DD450" s="483">
        <v>1</v>
      </c>
      <c r="DE450" s="483">
        <f>IFERROR(SUM(VLOOKUP($BS450,'État &amp; Plan d''action'!$B$6:$Z$1113,18,FALSE),VLOOKUP($BS450,'État &amp; Plan d''action'!$B$6:$Z$1113,20,FALSE))/(VLOOKUP($BS450,'Données par municipalité'!$B$4:$L$1113,11,FALSE)),"")</f>
        <v>0.99861992823626822</v>
      </c>
      <c r="DF450" s="483">
        <f>IFERROR(SUM(VLOOKUP($BS450,'État &amp; Plan d''action'!$B$6:$Z$1113,19,FALSE),VLOOKUP($BS450,'État &amp; Plan d''action'!$B$6:$Z$1113,21,FALSE))/(VLOOKUP($BS450,'Données par municipalité'!$B$4:$L$1113,11,FALSE)),"")</f>
        <v>1.274634280982611</v>
      </c>
      <c r="DG450" s="476" t="s">
        <v>4723</v>
      </c>
      <c r="DH450" s="484">
        <v>3</v>
      </c>
      <c r="DI450" s="484">
        <v>2</v>
      </c>
      <c r="DJ450" s="484">
        <v>4</v>
      </c>
      <c r="DK450" s="484">
        <v>0</v>
      </c>
      <c r="DL450" s="484">
        <v>2</v>
      </c>
      <c r="DM450" s="484">
        <v>0</v>
      </c>
      <c r="DN450" s="484">
        <v>4</v>
      </c>
      <c r="DO450" s="484">
        <v>0</v>
      </c>
      <c r="DP450" s="484">
        <v>0</v>
      </c>
      <c r="DQ450" s="484">
        <f>IF(VLOOKUP($BS450,'État &amp; Plan d''action'!$B$6:$AJ$1113,28,FALSE)="","",VLOOKUP($BS450,'État &amp; Plan d''action'!$B$6:$AJ$1113,28,FALSE))</f>
        <v>0</v>
      </c>
      <c r="DR450" s="70">
        <f>IF(VLOOKUP($BS450,'État &amp; Plan d''action'!$B$6:$AJ$1113,29,FALSE)="","",VLOOKUP($BS450,'État &amp; Plan d''action'!$B$6:$AJ$1113,29,FALSE))</f>
        <v>0</v>
      </c>
      <c r="DS450" s="70">
        <f>IF(VLOOKUP($BS450,'État &amp; Plan d''action'!$B$6:$AJ$1113,30,FALSE)="","",VLOOKUP($BS450,'État &amp; Plan d''action'!$B$6:$AJ$1113,30,FALSE))</f>
        <v>0</v>
      </c>
      <c r="DT450" s="70">
        <v>129</v>
      </c>
      <c r="DU450" s="485">
        <v>6.084202342658025</v>
      </c>
      <c r="DV450" s="485">
        <v>4.9231363790336609</v>
      </c>
      <c r="DW450" s="70">
        <v>2</v>
      </c>
      <c r="DX450" s="70">
        <v>0</v>
      </c>
      <c r="DY450" s="70">
        <v>0</v>
      </c>
      <c r="DZ450" s="70">
        <f>VLOOKUP($BS450,'État &amp; Plan d''action'!$B$6:$AH$1113,31,FALSE)</f>
        <v>0</v>
      </c>
      <c r="EA450" s="70">
        <f>VLOOKUP($BS450,'État &amp; Plan d''action'!$B$6:$AH$1113,32,FALSE)</f>
        <v>0</v>
      </c>
      <c r="EB450" s="70">
        <f>VLOOKUP($BS450,'État &amp; Plan d''action'!$B$6:$AH$1113,33,FALSE)</f>
        <v>0</v>
      </c>
      <c r="EC450" s="70">
        <v>0</v>
      </c>
      <c r="ED450" s="70">
        <v>14.472</v>
      </c>
      <c r="EE450" s="70">
        <v>0</v>
      </c>
      <c r="EF450" s="70">
        <v>0</v>
      </c>
      <c r="EG450" s="70">
        <v>0</v>
      </c>
      <c r="EH450" s="72">
        <v>46</v>
      </c>
      <c r="EI450" s="72">
        <v>1589</v>
      </c>
    </row>
    <row r="451" spans="71:139" x14ac:dyDescent="0.35">
      <c r="BS451" s="486">
        <v>79005</v>
      </c>
      <c r="BT451" s="479" t="s">
        <v>786</v>
      </c>
      <c r="BU451" s="479">
        <v>15</v>
      </c>
      <c r="BV451" s="476" t="s">
        <v>1188</v>
      </c>
      <c r="BW451" s="476" t="s">
        <v>1188</v>
      </c>
      <c r="BX451" s="476" t="s">
        <v>1188</v>
      </c>
      <c r="BY451" s="476" t="s">
        <v>1188</v>
      </c>
      <c r="BZ451" s="476" t="s">
        <v>1188</v>
      </c>
      <c r="CA451" s="476" t="s">
        <v>1188</v>
      </c>
      <c r="CB451" s="476" t="s">
        <v>1188</v>
      </c>
      <c r="CC451" s="476" t="s">
        <v>1188</v>
      </c>
      <c r="CD451" s="476" t="s">
        <v>1188</v>
      </c>
      <c r="CE451" s="476" t="s">
        <v>1188</v>
      </c>
      <c r="CF451" s="476" t="s">
        <v>1188</v>
      </c>
      <c r="CG451" s="476" t="s">
        <v>1188</v>
      </c>
      <c r="CH451" s="476" t="s">
        <v>1188</v>
      </c>
      <c r="CI451" s="476" t="s">
        <v>1188</v>
      </c>
      <c r="CJ451" s="476" t="s">
        <v>1187</v>
      </c>
      <c r="CK451" s="476" t="s">
        <v>1187</v>
      </c>
      <c r="CL451" s="476" t="s">
        <v>1187</v>
      </c>
      <c r="CM451" s="476" t="str">
        <f>IF(VLOOKUP(BS451,'Données par municipalité'!$B$6:$E$1113,4,FALSE)="","non","oui")</f>
        <v>non</v>
      </c>
      <c r="CN451" s="410">
        <v>427.88979529013386</v>
      </c>
      <c r="CO451" s="410">
        <v>426.72069748879477</v>
      </c>
      <c r="CP451" s="410">
        <v>481.16438356164383</v>
      </c>
      <c r="CQ451" s="410">
        <v>335.05830832708972</v>
      </c>
      <c r="CR451" s="410">
        <v>287.7946439590275</v>
      </c>
      <c r="CS451" s="410" t="s">
        <v>1124</v>
      </c>
      <c r="CT451" s="410"/>
      <c r="CU451" s="410" t="s">
        <v>1124</v>
      </c>
      <c r="CV451" s="410" t="str">
        <f>IF(VLOOKUP(BS451,'Données par municipalité'!$B$6:$F$1113,4,FALSE)="","",VLOOKUP(BS451,'Données par municipalité'!$B$6:$F$1113,4,FALSE))</f>
        <v/>
      </c>
      <c r="CW451" s="476" t="s">
        <v>4723</v>
      </c>
      <c r="CX451" s="483" t="s">
        <v>1124</v>
      </c>
      <c r="CY451" s="483">
        <v>0</v>
      </c>
      <c r="CZ451" s="483">
        <v>0</v>
      </c>
      <c r="DA451" s="483">
        <v>0</v>
      </c>
      <c r="DB451" s="483" t="s">
        <v>1124</v>
      </c>
      <c r="DC451" s="483" t="s">
        <v>1124</v>
      </c>
      <c r="DD451" s="483" t="s">
        <v>1124</v>
      </c>
      <c r="DE451" s="483" t="str">
        <f>IFERROR(SUM(VLOOKUP($BS451,'État &amp; Plan d''action'!$B$6:$Z$1113,18,FALSE),VLOOKUP($BS451,'État &amp; Plan d''action'!$B$6:$Z$1113,20,FALSE))/(VLOOKUP($BS451,'Données par municipalité'!$B$4:$L$1113,11,FALSE)),"")</f>
        <v/>
      </c>
      <c r="DF451" s="483" t="str">
        <f>IFERROR(SUM(VLOOKUP($BS451,'État &amp; Plan d''action'!$B$6:$Z$1113,19,FALSE),VLOOKUP($BS451,'État &amp; Plan d''action'!$B$6:$Z$1113,21,FALSE))/(VLOOKUP($BS451,'Données par municipalité'!$B$4:$L$1113,11,FALSE)),"")</f>
        <v/>
      </c>
      <c r="DG451" s="476" t="s">
        <v>4723</v>
      </c>
      <c r="DH451" s="484" t="s">
        <v>1124</v>
      </c>
      <c r="DI451" s="484" t="s">
        <v>1124</v>
      </c>
      <c r="DJ451" s="484">
        <v>0</v>
      </c>
      <c r="DK451" s="484">
        <v>0</v>
      </c>
      <c r="DL451" s="484" t="s">
        <v>1124</v>
      </c>
      <c r="DM451" s="484" t="s">
        <v>1124</v>
      </c>
      <c r="DN451" s="484" t="s">
        <v>1124</v>
      </c>
      <c r="DO451" s="484" t="s">
        <v>1124</v>
      </c>
      <c r="DP451" s="484" t="s">
        <v>1124</v>
      </c>
      <c r="DQ451" s="484" t="str">
        <f>IF(VLOOKUP($BS451,'État &amp; Plan d''action'!$B$6:$AJ$1113,28,FALSE)="","",VLOOKUP($BS451,'État &amp; Plan d''action'!$B$6:$AJ$1113,28,FALSE))</f>
        <v/>
      </c>
      <c r="DR451" s="70" t="str">
        <f>IF(VLOOKUP($BS451,'État &amp; Plan d''action'!$B$6:$AJ$1113,29,FALSE)="","",VLOOKUP($BS451,'État &amp; Plan d''action'!$B$6:$AJ$1113,29,FALSE))</f>
        <v/>
      </c>
      <c r="DS451" s="70" t="str">
        <f>IF(VLOOKUP($BS451,'État &amp; Plan d''action'!$B$6:$AJ$1113,30,FALSE)="","",VLOOKUP($BS451,'État &amp; Plan d''action'!$B$6:$AJ$1113,30,FALSE))</f>
        <v/>
      </c>
      <c r="DT451" s="70" t="s">
        <v>1124</v>
      </c>
      <c r="DU451" s="485" t="s">
        <v>1124</v>
      </c>
      <c r="DV451" s="485" t="s">
        <v>1124</v>
      </c>
      <c r="DW451" s="70" t="s">
        <v>1124</v>
      </c>
      <c r="DX451" s="70" t="s">
        <v>1124</v>
      </c>
      <c r="DY451" s="70" t="s">
        <v>1124</v>
      </c>
      <c r="DZ451" s="70" t="str">
        <f>VLOOKUP($BS451,'État &amp; Plan d''action'!$B$6:$AH$1113,31,FALSE)</f>
        <v/>
      </c>
      <c r="EA451" s="70" t="str">
        <f>VLOOKUP($BS451,'État &amp; Plan d''action'!$B$6:$AH$1113,32,FALSE)</f>
        <v/>
      </c>
      <c r="EB451" s="70" t="str">
        <f>VLOOKUP($BS451,'État &amp; Plan d''action'!$B$6:$AH$1113,33,FALSE)</f>
        <v/>
      </c>
      <c r="EC451" s="70" t="s">
        <v>1124</v>
      </c>
      <c r="ED451" s="70" t="s">
        <v>1124</v>
      </c>
      <c r="EE451" s="70" t="s">
        <v>1124</v>
      </c>
      <c r="EF451" s="70" t="s">
        <v>1124</v>
      </c>
      <c r="EG451" s="70" t="s">
        <v>1124</v>
      </c>
      <c r="EH451" s="72"/>
      <c r="EI451" s="72">
        <v>1590</v>
      </c>
    </row>
    <row r="452" spans="71:139" x14ac:dyDescent="0.35">
      <c r="BS452" s="486">
        <v>37235</v>
      </c>
      <c r="BT452" s="479" t="s">
        <v>321</v>
      </c>
      <c r="BU452" s="479">
        <v>4</v>
      </c>
      <c r="BV452" s="476" t="s">
        <v>1187</v>
      </c>
      <c r="BW452" s="476" t="s">
        <v>1187</v>
      </c>
      <c r="BX452" s="476" t="s">
        <v>1187</v>
      </c>
      <c r="BY452" s="476" t="s">
        <v>1187</v>
      </c>
      <c r="BZ452" s="476" t="s">
        <v>1187</v>
      </c>
      <c r="CA452" s="476" t="s">
        <v>1187</v>
      </c>
      <c r="CB452" s="476" t="s">
        <v>1187</v>
      </c>
      <c r="CC452" s="476" t="s">
        <v>1187</v>
      </c>
      <c r="CD452" s="476" t="s">
        <v>1187</v>
      </c>
      <c r="CE452" s="476" t="s">
        <v>1188</v>
      </c>
      <c r="CF452" s="476" t="s">
        <v>1188</v>
      </c>
      <c r="CG452" s="476" t="s">
        <v>1188</v>
      </c>
      <c r="CH452" s="476" t="s">
        <v>1188</v>
      </c>
      <c r="CI452" s="476" t="s">
        <v>1188</v>
      </c>
      <c r="CJ452" s="476" t="s">
        <v>1188</v>
      </c>
      <c r="CK452" s="476" t="s">
        <v>1188</v>
      </c>
      <c r="CL452" s="476" t="s">
        <v>1188</v>
      </c>
      <c r="CM452" s="476" t="str">
        <f>IF(VLOOKUP(BS452,'Données par municipalité'!$B$6:$E$1113,4,FALSE)="","non","oui")</f>
        <v>oui</v>
      </c>
      <c r="CN452" s="410">
        <v>391.97228011471486</v>
      </c>
      <c r="CO452" s="410">
        <v>461.29245033287418</v>
      </c>
      <c r="CP452" s="410">
        <v>363.95157203431387</v>
      </c>
      <c r="CQ452" s="410">
        <v>355.7767645852831</v>
      </c>
      <c r="CR452" s="410">
        <v>354.05473521911875</v>
      </c>
      <c r="CS452" s="410">
        <v>350.24689188962071</v>
      </c>
      <c r="CT452" s="410">
        <v>334.5299780886715</v>
      </c>
      <c r="CU452" s="410">
        <v>354</v>
      </c>
      <c r="CV452" s="410">
        <f>IF(VLOOKUP(BS452,'Données par municipalité'!$B$6:$F$1113,4,FALSE)="","",VLOOKUP(BS452,'Données par municipalité'!$B$6:$F$1113,4,FALSE))</f>
        <v>345</v>
      </c>
      <c r="CW452" s="476" t="s">
        <v>4723</v>
      </c>
      <c r="CX452" s="483">
        <v>0</v>
      </c>
      <c r="CY452" s="483">
        <v>0.03</v>
      </c>
      <c r="CZ452" s="483">
        <v>0.03</v>
      </c>
      <c r="DA452" s="483">
        <v>1</v>
      </c>
      <c r="DB452" s="483">
        <v>1</v>
      </c>
      <c r="DC452" s="483">
        <v>1</v>
      </c>
      <c r="DD452" s="483">
        <v>0</v>
      </c>
      <c r="DE452" s="483">
        <f>IFERROR(SUM(VLOOKUP($BS452,'État &amp; Plan d''action'!$B$6:$Z$1113,18,FALSE),VLOOKUP($BS452,'État &amp; Plan d''action'!$B$6:$Z$1113,20,FALSE))/(VLOOKUP($BS452,'Données par municipalité'!$B$4:$L$1113,11,FALSE)),"")</f>
        <v>0</v>
      </c>
      <c r="DF452" s="483">
        <f>IFERROR(SUM(VLOOKUP($BS452,'État &amp; Plan d''action'!$B$6:$Z$1113,19,FALSE),VLOOKUP($BS452,'État &amp; Plan d''action'!$B$6:$Z$1113,21,FALSE))/(VLOOKUP($BS452,'Données par municipalité'!$B$4:$L$1113,11,FALSE)),"")</f>
        <v>1</v>
      </c>
      <c r="DG452" s="476" t="s">
        <v>4723</v>
      </c>
      <c r="DH452" s="484">
        <v>7</v>
      </c>
      <c r="DI452" s="484">
        <v>4</v>
      </c>
      <c r="DJ452" s="484">
        <v>2</v>
      </c>
      <c r="DK452" s="484">
        <v>2</v>
      </c>
      <c r="DL452" s="484">
        <v>1</v>
      </c>
      <c r="DM452" s="484">
        <v>1</v>
      </c>
      <c r="DN452" s="484">
        <v>3</v>
      </c>
      <c r="DO452" s="484">
        <v>5</v>
      </c>
      <c r="DP452" s="484">
        <v>14</v>
      </c>
      <c r="DQ452" s="484">
        <f>IF(VLOOKUP($BS452,'État &amp; Plan d''action'!$B$6:$AJ$1113,28,FALSE)="","",VLOOKUP($BS452,'État &amp; Plan d''action'!$B$6:$AJ$1113,28,FALSE))</f>
        <v>0</v>
      </c>
      <c r="DR452" s="70">
        <f>IF(VLOOKUP($BS452,'État &amp; Plan d''action'!$B$6:$AJ$1113,29,FALSE)="","",VLOOKUP($BS452,'État &amp; Plan d''action'!$B$6:$AJ$1113,29,FALSE))</f>
        <v>2</v>
      </c>
      <c r="DS452" s="70">
        <f>IF(VLOOKUP($BS452,'État &amp; Plan d''action'!$B$6:$AJ$1113,30,FALSE)="","",VLOOKUP($BS452,'État &amp; Plan d''action'!$B$6:$AJ$1113,30,FALSE))</f>
        <v>10</v>
      </c>
      <c r="DT452" s="70">
        <v>238</v>
      </c>
      <c r="DU452" s="485">
        <v>1.8469467855612416</v>
      </c>
      <c r="DV452" s="485">
        <v>2.4118819952187809</v>
      </c>
      <c r="DW452" s="70">
        <v>3</v>
      </c>
      <c r="DX452" s="70">
        <v>3</v>
      </c>
      <c r="DY452" s="70">
        <v>3</v>
      </c>
      <c r="DZ452" s="70">
        <f>VLOOKUP($BS452,'État &amp; Plan d''action'!$B$6:$AH$1113,31,FALSE)</f>
        <v>0</v>
      </c>
      <c r="EA452" s="70">
        <f>VLOOKUP($BS452,'État &amp; Plan d''action'!$B$6:$AH$1113,32,FALSE)</f>
        <v>1</v>
      </c>
      <c r="EB452" s="70">
        <f>VLOOKUP($BS452,'État &amp; Plan d''action'!$B$6:$AH$1113,33,FALSE)</f>
        <v>2</v>
      </c>
      <c r="EC452" s="70">
        <v>98.17</v>
      </c>
      <c r="ED452" s="70">
        <v>0</v>
      </c>
      <c r="EE452" s="70">
        <v>0</v>
      </c>
      <c r="EF452" s="70">
        <v>0</v>
      </c>
      <c r="EG452" s="70">
        <v>0</v>
      </c>
      <c r="EH452" s="72">
        <v>43</v>
      </c>
      <c r="EI452" s="72">
        <v>5920</v>
      </c>
    </row>
    <row r="453" spans="71:139" x14ac:dyDescent="0.35">
      <c r="BS453" s="486">
        <v>85090</v>
      </c>
      <c r="BT453" s="479" t="s">
        <v>885</v>
      </c>
      <c r="BU453" s="479">
        <v>8</v>
      </c>
      <c r="BV453" s="476" t="s">
        <v>1187</v>
      </c>
      <c r="BW453" s="476" t="s">
        <v>1187</v>
      </c>
      <c r="BX453" s="476" t="s">
        <v>1187</v>
      </c>
      <c r="BY453" s="476" t="s">
        <v>1187</v>
      </c>
      <c r="BZ453" s="476" t="s">
        <v>1187</v>
      </c>
      <c r="CA453" s="476" t="s">
        <v>1187</v>
      </c>
      <c r="CB453" s="476" t="s">
        <v>1187</v>
      </c>
      <c r="CC453" s="476" t="s">
        <v>1187</v>
      </c>
      <c r="CD453" s="476" t="s">
        <v>1187</v>
      </c>
      <c r="CE453" s="476" t="s">
        <v>1188</v>
      </c>
      <c r="CF453" s="476" t="s">
        <v>1188</v>
      </c>
      <c r="CG453" s="476" t="s">
        <v>1188</v>
      </c>
      <c r="CH453" s="476" t="s">
        <v>1188</v>
      </c>
      <c r="CI453" s="476" t="s">
        <v>1188</v>
      </c>
      <c r="CJ453" s="476" t="s">
        <v>1187</v>
      </c>
      <c r="CK453" s="476" t="s">
        <v>1188</v>
      </c>
      <c r="CL453" s="476" t="s">
        <v>1188</v>
      </c>
      <c r="CM453" s="476" t="str">
        <f>IF(VLOOKUP(BS453,'Données par municipalité'!$B$6:$E$1113,4,FALSE)="","non","oui")</f>
        <v>oui</v>
      </c>
      <c r="CN453" s="410">
        <v>594.20109507217524</v>
      </c>
      <c r="CO453" s="410">
        <v>717.93450986952166</v>
      </c>
      <c r="CP453" s="410">
        <v>608.33417892778618</v>
      </c>
      <c r="CQ453" s="410">
        <v>625.00698636386778</v>
      </c>
      <c r="CR453" s="410">
        <v>510.03768618771312</v>
      </c>
      <c r="CS453" s="410" t="s">
        <v>1124</v>
      </c>
      <c r="CT453" s="410">
        <v>500.91621852729401</v>
      </c>
      <c r="CU453" s="410">
        <v>460</v>
      </c>
      <c r="CV453" s="410">
        <f>IF(VLOOKUP(BS453,'Données par municipalité'!$B$6:$F$1113,4,FALSE)="","",VLOOKUP(BS453,'Données par municipalité'!$B$6:$F$1113,4,FALSE))</f>
        <v>440</v>
      </c>
      <c r="CW453" s="476" t="s">
        <v>4723</v>
      </c>
      <c r="CX453" s="483">
        <v>0</v>
      </c>
      <c r="CY453" s="483">
        <v>0.2</v>
      </c>
      <c r="CZ453" s="483">
        <v>0</v>
      </c>
      <c r="DA453" s="483">
        <v>0</v>
      </c>
      <c r="DB453" s="483" t="s">
        <v>1124</v>
      </c>
      <c r="DC453" s="483">
        <v>0</v>
      </c>
      <c r="DD453" s="483">
        <v>0</v>
      </c>
      <c r="DE453" s="483">
        <f>IFERROR(SUM(VLOOKUP($BS453,'État &amp; Plan d''action'!$B$6:$Z$1113,18,FALSE),VLOOKUP($BS453,'État &amp; Plan d''action'!$B$6:$Z$1113,20,FALSE))/(VLOOKUP($BS453,'Données par municipalité'!$B$4:$L$1113,11,FALSE)),"")</f>
        <v>8.3682008368200833E-2</v>
      </c>
      <c r="DF453" s="483">
        <f>IFERROR(SUM(VLOOKUP($BS453,'État &amp; Plan d''action'!$B$6:$Z$1113,19,FALSE),VLOOKUP($BS453,'État &amp; Plan d''action'!$B$6:$Z$1113,21,FALSE))/(VLOOKUP($BS453,'Données par municipalité'!$B$4:$L$1113,11,FALSE)),"")</f>
        <v>2.0418410041841004</v>
      </c>
      <c r="DG453" s="476" t="s">
        <v>4723</v>
      </c>
      <c r="DH453" s="484">
        <v>1</v>
      </c>
      <c r="DI453" s="484">
        <v>1</v>
      </c>
      <c r="DJ453" s="484">
        <v>1</v>
      </c>
      <c r="DK453" s="484">
        <v>2</v>
      </c>
      <c r="DL453" s="484" t="s">
        <v>1124</v>
      </c>
      <c r="DM453" s="484">
        <v>2</v>
      </c>
      <c r="DN453" s="484">
        <v>1</v>
      </c>
      <c r="DO453" s="484">
        <v>1</v>
      </c>
      <c r="DP453" s="484">
        <v>0</v>
      </c>
      <c r="DQ453" s="484">
        <f>IF(VLOOKUP($BS453,'État &amp; Plan d''action'!$B$6:$AJ$1113,28,FALSE)="","",VLOOKUP($BS453,'État &amp; Plan d''action'!$B$6:$AJ$1113,28,FALSE))</f>
        <v>1</v>
      </c>
      <c r="DR453" s="70">
        <f>IF(VLOOKUP($BS453,'État &amp; Plan d''action'!$B$6:$AJ$1113,29,FALSE)="","",VLOOKUP($BS453,'État &amp; Plan d''action'!$B$6:$AJ$1113,29,FALSE))</f>
        <v>3</v>
      </c>
      <c r="DS453" s="70">
        <f>IF(VLOOKUP($BS453,'État &amp; Plan d''action'!$B$6:$AJ$1113,30,FALSE)="","",VLOOKUP($BS453,'État &amp; Plan d''action'!$B$6:$AJ$1113,30,FALSE))</f>
        <v>1</v>
      </c>
      <c r="DT453" s="70">
        <v>309</v>
      </c>
      <c r="DU453" s="485">
        <v>2.938893596274597</v>
      </c>
      <c r="DV453" s="485">
        <v>2.3451525953014229</v>
      </c>
      <c r="DW453" s="70">
        <v>1</v>
      </c>
      <c r="DX453" s="70">
        <v>10</v>
      </c>
      <c r="DY453" s="70">
        <v>0</v>
      </c>
      <c r="DZ453" s="70">
        <f>VLOOKUP($BS453,'État &amp; Plan d''action'!$B$6:$AH$1113,31,FALSE)</f>
        <v>2</v>
      </c>
      <c r="EA453" s="70">
        <f>VLOOKUP($BS453,'État &amp; Plan d''action'!$B$6:$AH$1113,32,FALSE)</f>
        <v>2</v>
      </c>
      <c r="EB453" s="70">
        <f>VLOOKUP($BS453,'État &amp; Plan d''action'!$B$6:$AH$1113,33,FALSE)</f>
        <v>6</v>
      </c>
      <c r="EC453" s="70">
        <v>0</v>
      </c>
      <c r="ED453" s="70">
        <v>0</v>
      </c>
      <c r="EE453" s="70">
        <v>0</v>
      </c>
      <c r="EF453" s="70">
        <v>0</v>
      </c>
      <c r="EG453" s="70">
        <v>0</v>
      </c>
      <c r="EH453" s="72">
        <v>48</v>
      </c>
      <c r="EI453" s="72">
        <v>1033</v>
      </c>
    </row>
    <row r="454" spans="71:139" x14ac:dyDescent="0.35">
      <c r="BS454" s="486">
        <v>12080</v>
      </c>
      <c r="BT454" s="479" t="s">
        <v>40</v>
      </c>
      <c r="BU454" s="479">
        <v>1</v>
      </c>
      <c r="BV454" s="476" t="s">
        <v>1187</v>
      </c>
      <c r="BW454" s="476" t="s">
        <v>1187</v>
      </c>
      <c r="BX454" s="476" t="s">
        <v>1187</v>
      </c>
      <c r="BY454" s="476" t="s">
        <v>1187</v>
      </c>
      <c r="BZ454" s="476" t="s">
        <v>1187</v>
      </c>
      <c r="CA454" s="476" t="s">
        <v>1187</v>
      </c>
      <c r="CB454" s="476" t="s">
        <v>1187</v>
      </c>
      <c r="CC454" s="476" t="s">
        <v>1187</v>
      </c>
      <c r="CD454" s="476" t="s">
        <v>1187</v>
      </c>
      <c r="CE454" s="476" t="s">
        <v>1188</v>
      </c>
      <c r="CF454" s="476" t="s">
        <v>1187</v>
      </c>
      <c r="CG454" s="476" t="s">
        <v>1187</v>
      </c>
      <c r="CH454" s="476" t="s">
        <v>1187</v>
      </c>
      <c r="CI454" s="476" t="s">
        <v>1187</v>
      </c>
      <c r="CJ454" s="476" t="s">
        <v>1187</v>
      </c>
      <c r="CK454" s="476" t="s">
        <v>1188</v>
      </c>
      <c r="CL454" s="476" t="s">
        <v>1188</v>
      </c>
      <c r="CM454" s="476" t="str">
        <f>IF(VLOOKUP(BS454,'Données par municipalité'!$B$6:$E$1113,4,FALSE)="","non","oui")</f>
        <v>oui</v>
      </c>
      <c r="CN454" s="410">
        <v>179.91079428878641</v>
      </c>
      <c r="CO454" s="410" t="s">
        <v>1124</v>
      </c>
      <c r="CP454" s="410"/>
      <c r="CQ454" s="410"/>
      <c r="CR454" s="410"/>
      <c r="CS454" s="410" t="s">
        <v>1124</v>
      </c>
      <c r="CT454" s="410">
        <v>192.85792378491976</v>
      </c>
      <c r="CU454" s="410">
        <v>211</v>
      </c>
      <c r="CV454" s="410">
        <f>IF(VLOOKUP(BS454,'Données par municipalité'!$B$6:$F$1113,4,FALSE)="","",VLOOKUP(BS454,'Données par municipalité'!$B$6:$F$1113,4,FALSE))</f>
        <v>203</v>
      </c>
      <c r="CW454" s="476" t="s">
        <v>4723</v>
      </c>
      <c r="CX454" s="483" t="s">
        <v>1124</v>
      </c>
      <c r="CY454" s="483" t="s">
        <v>1124</v>
      </c>
      <c r="CZ454" s="483" t="s">
        <v>1124</v>
      </c>
      <c r="DA454" s="483" t="s">
        <v>1124</v>
      </c>
      <c r="DB454" s="483" t="s">
        <v>1124</v>
      </c>
      <c r="DC454" s="483">
        <v>0</v>
      </c>
      <c r="DD454" s="483">
        <v>1</v>
      </c>
      <c r="DE454" s="483">
        <f>IFERROR(SUM(VLOOKUP($BS454,'État &amp; Plan d''action'!$B$6:$Z$1113,18,FALSE),VLOOKUP($BS454,'État &amp; Plan d''action'!$B$6:$Z$1113,20,FALSE))/(VLOOKUP($BS454,'Données par municipalité'!$B$4:$L$1113,11,FALSE)),"")</f>
        <v>0.8</v>
      </c>
      <c r="DF454" s="483">
        <f>IFERROR(SUM(VLOOKUP($BS454,'État &amp; Plan d''action'!$B$6:$Z$1113,19,FALSE),VLOOKUP($BS454,'État &amp; Plan d''action'!$B$6:$Z$1113,21,FALSE))/(VLOOKUP($BS454,'Données par municipalité'!$B$4:$L$1113,11,FALSE)),"")</f>
        <v>0.8</v>
      </c>
      <c r="DG454" s="476" t="s">
        <v>4723</v>
      </c>
      <c r="DH454" s="484" t="s">
        <v>1124</v>
      </c>
      <c r="DI454" s="484" t="s">
        <v>1124</v>
      </c>
      <c r="DJ454" s="484">
        <v>0</v>
      </c>
      <c r="DK454" s="484">
        <v>0</v>
      </c>
      <c r="DL454" s="484" t="s">
        <v>1124</v>
      </c>
      <c r="DM454" s="484">
        <v>0</v>
      </c>
      <c r="DN454" s="484">
        <v>0</v>
      </c>
      <c r="DO454" s="484">
        <v>0</v>
      </c>
      <c r="DP454" s="484">
        <v>0</v>
      </c>
      <c r="DQ454" s="484">
        <f>IF(VLOOKUP($BS454,'État &amp; Plan d''action'!$B$6:$AJ$1113,28,FALSE)="","",VLOOKUP($BS454,'État &amp; Plan d''action'!$B$6:$AJ$1113,28,FALSE))</f>
        <v>0</v>
      </c>
      <c r="DR454" s="70">
        <f>IF(VLOOKUP($BS454,'État &amp; Plan d''action'!$B$6:$AJ$1113,29,FALSE)="","",VLOOKUP($BS454,'État &amp; Plan d''action'!$B$6:$AJ$1113,29,FALSE))</f>
        <v>0</v>
      </c>
      <c r="DS454" s="70">
        <f>IF(VLOOKUP($BS454,'État &amp; Plan d''action'!$B$6:$AJ$1113,30,FALSE)="","",VLOOKUP($BS454,'État &amp; Plan d''action'!$B$6:$AJ$1113,30,FALSE))</f>
        <v>0</v>
      </c>
      <c r="DT454" s="70">
        <v>158</v>
      </c>
      <c r="DU454" s="485">
        <v>0.41936210195780366</v>
      </c>
      <c r="DV454" s="485">
        <v>0.20495413681274954</v>
      </c>
      <c r="DW454" s="70">
        <v>0</v>
      </c>
      <c r="DX454" s="70">
        <v>0</v>
      </c>
      <c r="DY454" s="70">
        <v>0</v>
      </c>
      <c r="DZ454" s="70">
        <f>VLOOKUP($BS454,'État &amp; Plan d''action'!$B$6:$AH$1113,31,FALSE)</f>
        <v>0</v>
      </c>
      <c r="EA454" s="70">
        <f>VLOOKUP($BS454,'État &amp; Plan d''action'!$B$6:$AH$1113,32,FALSE)</f>
        <v>0</v>
      </c>
      <c r="EB454" s="70">
        <f>VLOOKUP($BS454,'État &amp; Plan d''action'!$B$6:$AH$1113,33,FALSE)</f>
        <v>0</v>
      </c>
      <c r="EC454" s="70">
        <v>3.7149999999999999</v>
      </c>
      <c r="ED454" s="70">
        <v>3.7149999999999999</v>
      </c>
      <c r="EE454" s="70">
        <v>0</v>
      </c>
      <c r="EF454" s="70">
        <v>0</v>
      </c>
      <c r="EG454" s="70">
        <v>0</v>
      </c>
      <c r="EH454" s="72">
        <v>69</v>
      </c>
      <c r="EI454" s="72">
        <v>1139</v>
      </c>
    </row>
    <row r="455" spans="71:139" x14ac:dyDescent="0.35">
      <c r="BS455" s="486">
        <v>18040</v>
      </c>
      <c r="BT455" s="479" t="s">
        <v>111</v>
      </c>
      <c r="BU455" s="479">
        <v>12</v>
      </c>
      <c r="BV455" s="476" t="s">
        <v>1187</v>
      </c>
      <c r="BW455" s="476" t="s">
        <v>1187</v>
      </c>
      <c r="BX455" s="476" t="s">
        <v>1187</v>
      </c>
      <c r="BY455" s="476" t="s">
        <v>1187</v>
      </c>
      <c r="BZ455" s="476" t="s">
        <v>1187</v>
      </c>
      <c r="CA455" s="476" t="s">
        <v>1187</v>
      </c>
      <c r="CB455" s="476" t="s">
        <v>1187</v>
      </c>
      <c r="CC455" s="476" t="s">
        <v>1187</v>
      </c>
      <c r="CD455" s="476" t="s">
        <v>1187</v>
      </c>
      <c r="CE455" s="476" t="s">
        <v>1188</v>
      </c>
      <c r="CF455" s="476" t="s">
        <v>1188</v>
      </c>
      <c r="CG455" s="476" t="s">
        <v>1188</v>
      </c>
      <c r="CH455" s="476" t="s">
        <v>1188</v>
      </c>
      <c r="CI455" s="476" t="s">
        <v>1188</v>
      </c>
      <c r="CJ455" s="476" t="s">
        <v>1188</v>
      </c>
      <c r="CK455" s="476" t="s">
        <v>1188</v>
      </c>
      <c r="CL455" s="476" t="s">
        <v>1188</v>
      </c>
      <c r="CM455" s="476" t="str">
        <f>IF(VLOOKUP(BS455,'Données par municipalité'!$B$6:$E$1113,4,FALSE)="","non","oui")</f>
        <v>oui</v>
      </c>
      <c r="CN455" s="410">
        <v>223.3305036785512</v>
      </c>
      <c r="CO455" s="410">
        <v>345.75900741787353</v>
      </c>
      <c r="CP455" s="410">
        <v>206.04677453288224</v>
      </c>
      <c r="CQ455" s="410">
        <v>242.99405942868302</v>
      </c>
      <c r="CR455" s="410">
        <v>223.5213138275698</v>
      </c>
      <c r="CS455" s="410">
        <v>226.9506884972285</v>
      </c>
      <c r="CT455" s="410">
        <v>208.07305424703554</v>
      </c>
      <c r="CU455" s="410">
        <v>55</v>
      </c>
      <c r="CV455" s="410">
        <f>IF(VLOOKUP(BS455,'Données par municipalité'!$B$6:$F$1113,4,FALSE)="","",VLOOKUP(BS455,'Données par municipalité'!$B$6:$F$1113,4,FALSE))</f>
        <v>180</v>
      </c>
      <c r="CW455" s="476" t="s">
        <v>4723</v>
      </c>
      <c r="CX455" s="483">
        <v>0</v>
      </c>
      <c r="CY455" s="483">
        <v>0</v>
      </c>
      <c r="CZ455" s="483">
        <v>0</v>
      </c>
      <c r="DA455" s="483">
        <v>0</v>
      </c>
      <c r="DB455" s="483">
        <v>0</v>
      </c>
      <c r="DC455" s="483">
        <v>0</v>
      </c>
      <c r="DD455" s="483">
        <v>0</v>
      </c>
      <c r="DE455" s="483">
        <f>IFERROR(SUM(VLOOKUP($BS455,'État &amp; Plan d''action'!$B$6:$Z$1113,18,FALSE),VLOOKUP($BS455,'État &amp; Plan d''action'!$B$6:$Z$1113,20,FALSE))/(VLOOKUP($BS455,'Données par municipalité'!$B$4:$L$1113,11,FALSE)),"")</f>
        <v>0</v>
      </c>
      <c r="DF455" s="483">
        <f>IFERROR(SUM(VLOOKUP($BS455,'État &amp; Plan d''action'!$B$6:$Z$1113,19,FALSE),VLOOKUP($BS455,'État &amp; Plan d''action'!$B$6:$Z$1113,21,FALSE))/(VLOOKUP($BS455,'Données par municipalité'!$B$4:$L$1113,11,FALSE)),"")</f>
        <v>0</v>
      </c>
      <c r="DG455" s="476" t="s">
        <v>4723</v>
      </c>
      <c r="DH455" s="484">
        <v>1</v>
      </c>
      <c r="DI455" s="484">
        <v>1</v>
      </c>
      <c r="DJ455" s="484">
        <v>0</v>
      </c>
      <c r="DK455" s="484">
        <v>0</v>
      </c>
      <c r="DL455" s="484">
        <v>1</v>
      </c>
      <c r="DM455" s="484">
        <v>0</v>
      </c>
      <c r="DN455" s="484">
        <v>0</v>
      </c>
      <c r="DO455" s="484">
        <v>0</v>
      </c>
      <c r="DP455" s="484">
        <v>1</v>
      </c>
      <c r="DQ455" s="484">
        <f>IF(VLOOKUP($BS455,'État &amp; Plan d''action'!$B$6:$AJ$1113,28,FALSE)="","",VLOOKUP($BS455,'État &amp; Plan d''action'!$B$6:$AJ$1113,28,FALSE))</f>
        <v>0</v>
      </c>
      <c r="DR455" s="70">
        <f>IF(VLOOKUP($BS455,'État &amp; Plan d''action'!$B$6:$AJ$1113,29,FALSE)="","",VLOOKUP($BS455,'État &amp; Plan d''action'!$B$6:$AJ$1113,29,FALSE))</f>
        <v>1</v>
      </c>
      <c r="DS455" s="70">
        <f>IF(VLOOKUP($BS455,'État &amp; Plan d''action'!$B$6:$AJ$1113,30,FALSE)="","",VLOOKUP($BS455,'État &amp; Plan d''action'!$B$6:$AJ$1113,30,FALSE))</f>
        <v>0</v>
      </c>
      <c r="DT455" s="70">
        <v>183.72853217867439</v>
      </c>
      <c r="DU455" s="485">
        <v>1.0906958949065442</v>
      </c>
      <c r="DV455" s="485">
        <v>0.62062838459176084</v>
      </c>
      <c r="DW455" s="70">
        <v>0</v>
      </c>
      <c r="DX455" s="70">
        <v>0</v>
      </c>
      <c r="DY455" s="70">
        <v>1</v>
      </c>
      <c r="DZ455" s="70">
        <f>VLOOKUP($BS455,'État &amp; Plan d''action'!$B$6:$AH$1113,31,FALSE)</f>
        <v>0</v>
      </c>
      <c r="EA455" s="70">
        <f>VLOOKUP($BS455,'État &amp; Plan d''action'!$B$6:$AH$1113,32,FALSE)</f>
        <v>1</v>
      </c>
      <c r="EB455" s="70">
        <f>VLOOKUP($BS455,'État &amp; Plan d''action'!$B$6:$AH$1113,33,FALSE)</f>
        <v>0</v>
      </c>
      <c r="EC455" s="70">
        <v>3.4420000000000002</v>
      </c>
      <c r="ED455" s="70">
        <v>0</v>
      </c>
      <c r="EE455" s="70">
        <v>0</v>
      </c>
      <c r="EF455" s="70">
        <v>0</v>
      </c>
      <c r="EG455" s="70">
        <v>0</v>
      </c>
      <c r="EH455" s="72">
        <v>62</v>
      </c>
      <c r="EI455" s="72">
        <v>415</v>
      </c>
    </row>
    <row r="456" spans="71:139" x14ac:dyDescent="0.35">
      <c r="BS456" s="486">
        <v>33085</v>
      </c>
      <c r="BT456" s="479" t="s">
        <v>279</v>
      </c>
      <c r="BU456" s="479">
        <v>12</v>
      </c>
      <c r="BV456" s="476" t="s">
        <v>1188</v>
      </c>
      <c r="BW456" s="476" t="s">
        <v>1188</v>
      </c>
      <c r="BX456" s="476" t="s">
        <v>1188</v>
      </c>
      <c r="BY456" s="476" t="s">
        <v>1188</v>
      </c>
      <c r="BZ456" s="476" t="s">
        <v>1188</v>
      </c>
      <c r="CA456" s="476" t="s">
        <v>1188</v>
      </c>
      <c r="CB456" s="476" t="s">
        <v>1188</v>
      </c>
      <c r="CC456" s="476" t="s">
        <v>1188</v>
      </c>
      <c r="CD456" s="476" t="s">
        <v>1188</v>
      </c>
      <c r="CE456" s="476" t="s">
        <v>1187</v>
      </c>
      <c r="CF456" s="476" t="s">
        <v>1187</v>
      </c>
      <c r="CG456" s="476" t="s">
        <v>1187</v>
      </c>
      <c r="CH456" s="476" t="s">
        <v>1187</v>
      </c>
      <c r="CI456" s="476" t="s">
        <v>1187</v>
      </c>
      <c r="CJ456" s="476" t="s">
        <v>1187</v>
      </c>
      <c r="CK456" s="476" t="s">
        <v>1187</v>
      </c>
      <c r="CL456" s="476" t="s">
        <v>1187</v>
      </c>
      <c r="CM456" s="476" t="str">
        <f>IF(VLOOKUP(BS456,'Données par municipalité'!$B$6:$E$1113,4,FALSE)="","non","oui")</f>
        <v>non</v>
      </c>
      <c r="CN456" s="410" t="s">
        <v>1124</v>
      </c>
      <c r="CO456" s="410" t="s">
        <v>1124</v>
      </c>
      <c r="CP456" s="410"/>
      <c r="CQ456" s="410"/>
      <c r="CR456" s="410"/>
      <c r="CS456" s="410" t="s">
        <v>1124</v>
      </c>
      <c r="CT456" s="410"/>
      <c r="CU456" s="410" t="s">
        <v>1124</v>
      </c>
      <c r="CV456" s="410" t="str">
        <f>IF(VLOOKUP(BS456,'Données par municipalité'!$B$6:$F$1113,4,FALSE)="","",VLOOKUP(BS456,'Données par municipalité'!$B$6:$F$1113,4,FALSE))</f>
        <v/>
      </c>
      <c r="CW456" s="476" t="s">
        <v>4723</v>
      </c>
      <c r="CX456" s="483" t="s">
        <v>1124</v>
      </c>
      <c r="CY456" s="483" t="s">
        <v>1124</v>
      </c>
      <c r="CZ456" s="483" t="s">
        <v>1124</v>
      </c>
      <c r="DA456" s="483" t="s">
        <v>1124</v>
      </c>
      <c r="DB456" s="483" t="s">
        <v>1124</v>
      </c>
      <c r="DC456" s="483" t="s">
        <v>1124</v>
      </c>
      <c r="DD456" s="483" t="s">
        <v>1124</v>
      </c>
      <c r="DE456" s="483" t="str">
        <f>IFERROR(SUM(VLOOKUP($BS456,'État &amp; Plan d''action'!$B$6:$Z$1113,18,FALSE),VLOOKUP($BS456,'État &amp; Plan d''action'!$B$6:$Z$1113,20,FALSE))/(VLOOKUP($BS456,'Données par municipalité'!$B$4:$L$1113,11,FALSE)),"")</f>
        <v/>
      </c>
      <c r="DF456" s="483" t="str">
        <f>IFERROR(SUM(VLOOKUP($BS456,'État &amp; Plan d''action'!$B$6:$Z$1113,19,FALSE),VLOOKUP($BS456,'État &amp; Plan d''action'!$B$6:$Z$1113,21,FALSE))/(VLOOKUP($BS456,'Données par municipalité'!$B$4:$L$1113,11,FALSE)),"")</f>
        <v/>
      </c>
      <c r="DG456" s="476" t="s">
        <v>4723</v>
      </c>
      <c r="DH456" s="484" t="s">
        <v>1124</v>
      </c>
      <c r="DI456" s="484" t="s">
        <v>1124</v>
      </c>
      <c r="DJ456" s="484">
        <v>0</v>
      </c>
      <c r="DK456" s="484">
        <v>0</v>
      </c>
      <c r="DL456" s="484" t="s">
        <v>1124</v>
      </c>
      <c r="DM456" s="484" t="s">
        <v>1124</v>
      </c>
      <c r="DN456" s="484" t="s">
        <v>1124</v>
      </c>
      <c r="DO456" s="484" t="s">
        <v>1124</v>
      </c>
      <c r="DP456" s="484" t="s">
        <v>1124</v>
      </c>
      <c r="DQ456" s="484" t="str">
        <f>IF(VLOOKUP($BS456,'État &amp; Plan d''action'!$B$6:$AJ$1113,28,FALSE)="","",VLOOKUP($BS456,'État &amp; Plan d''action'!$B$6:$AJ$1113,28,FALSE))</f>
        <v/>
      </c>
      <c r="DR456" s="70" t="str">
        <f>IF(VLOOKUP($BS456,'État &amp; Plan d''action'!$B$6:$AJ$1113,29,FALSE)="","",VLOOKUP($BS456,'État &amp; Plan d''action'!$B$6:$AJ$1113,29,FALSE))</f>
        <v/>
      </c>
      <c r="DS456" s="70" t="str">
        <f>IF(VLOOKUP($BS456,'État &amp; Plan d''action'!$B$6:$AJ$1113,30,FALSE)="","",VLOOKUP($BS456,'État &amp; Plan d''action'!$B$6:$AJ$1113,30,FALSE))</f>
        <v/>
      </c>
      <c r="DT456" s="70" t="s">
        <v>1124</v>
      </c>
      <c r="DU456" s="485" t="s">
        <v>1124</v>
      </c>
      <c r="DV456" s="485" t="s">
        <v>1124</v>
      </c>
      <c r="DW456" s="70" t="s">
        <v>1124</v>
      </c>
      <c r="DX456" s="70" t="s">
        <v>1124</v>
      </c>
      <c r="DY456" s="70" t="s">
        <v>1124</v>
      </c>
      <c r="DZ456" s="70" t="str">
        <f>VLOOKUP($BS456,'État &amp; Plan d''action'!$B$6:$AH$1113,31,FALSE)</f>
        <v/>
      </c>
      <c r="EA456" s="70" t="str">
        <f>VLOOKUP($BS456,'État &amp; Plan d''action'!$B$6:$AH$1113,32,FALSE)</f>
        <v/>
      </c>
      <c r="EB456" s="70" t="str">
        <f>VLOOKUP($BS456,'État &amp; Plan d''action'!$B$6:$AH$1113,33,FALSE)</f>
        <v/>
      </c>
      <c r="EC456" s="70" t="s">
        <v>1124</v>
      </c>
      <c r="ED456" s="70" t="s">
        <v>1124</v>
      </c>
      <c r="EE456" s="70" t="s">
        <v>1124</v>
      </c>
      <c r="EF456" s="70" t="s">
        <v>1124</v>
      </c>
      <c r="EG456" s="70" t="s">
        <v>1124</v>
      </c>
      <c r="EH456" s="72"/>
      <c r="EI456" s="72">
        <v>912</v>
      </c>
    </row>
    <row r="457" spans="71:139" x14ac:dyDescent="0.35">
      <c r="BS457" s="486">
        <v>6020</v>
      </c>
      <c r="BT457" s="479" t="s">
        <v>1059</v>
      </c>
      <c r="BU457" s="479">
        <v>11</v>
      </c>
      <c r="BV457" s="476" t="s">
        <v>1187</v>
      </c>
      <c r="BW457" s="476" t="s">
        <v>1187</v>
      </c>
      <c r="BX457" s="476" t="s">
        <v>1187</v>
      </c>
      <c r="BY457" s="476" t="s">
        <v>1187</v>
      </c>
      <c r="BZ457" s="476" t="s">
        <v>1187</v>
      </c>
      <c r="CA457" s="476" t="s">
        <v>1187</v>
      </c>
      <c r="CB457" s="476" t="s">
        <v>1187</v>
      </c>
      <c r="CC457" s="476" t="s">
        <v>1187</v>
      </c>
      <c r="CD457" s="476" t="s">
        <v>1187</v>
      </c>
      <c r="CE457" s="476" t="s">
        <v>1188</v>
      </c>
      <c r="CF457" s="476" t="s">
        <v>1188</v>
      </c>
      <c r="CG457" s="476" t="s">
        <v>1187</v>
      </c>
      <c r="CH457" s="476" t="s">
        <v>1188</v>
      </c>
      <c r="CI457" s="476" t="s">
        <v>1187</v>
      </c>
      <c r="CJ457" s="476" t="s">
        <v>1188</v>
      </c>
      <c r="CK457" s="476" t="s">
        <v>1187</v>
      </c>
      <c r="CL457" s="476" t="s">
        <v>1187</v>
      </c>
      <c r="CM457" s="476" t="str">
        <f>IF(VLOOKUP(BS457,'Données par municipalité'!$B$6:$E$1113,4,FALSE)="","non","oui")</f>
        <v>non</v>
      </c>
      <c r="CN457" s="410">
        <v>723.65433424349658</v>
      </c>
      <c r="CO457" s="410">
        <v>839.40238863972399</v>
      </c>
      <c r="CP457" s="410"/>
      <c r="CQ457" s="410">
        <v>779.35111347267127</v>
      </c>
      <c r="CR457" s="410"/>
      <c r="CS457" s="410">
        <v>1498.5430609279385</v>
      </c>
      <c r="CT457" s="410"/>
      <c r="CU457" s="410" t="s">
        <v>1124</v>
      </c>
      <c r="CV457" s="410" t="str">
        <f>IF(VLOOKUP(BS457,'Données par municipalité'!$B$6:$F$1113,4,FALSE)="","",VLOOKUP(BS457,'Données par municipalité'!$B$6:$F$1113,4,FALSE))</f>
        <v/>
      </c>
      <c r="CW457" s="476" t="s">
        <v>4723</v>
      </c>
      <c r="CX457" s="483">
        <v>0</v>
      </c>
      <c r="CY457" s="483" t="s">
        <v>1124</v>
      </c>
      <c r="CZ457" s="483">
        <v>1</v>
      </c>
      <c r="DA457" s="483" t="s">
        <v>1124</v>
      </c>
      <c r="DB457" s="483">
        <v>1</v>
      </c>
      <c r="DC457" s="483" t="s">
        <v>1124</v>
      </c>
      <c r="DD457" s="483" t="s">
        <v>1124</v>
      </c>
      <c r="DE457" s="483" t="str">
        <f>IFERROR(SUM(VLOOKUP($BS457,'État &amp; Plan d''action'!$B$6:$Z$1113,18,FALSE),VLOOKUP($BS457,'État &amp; Plan d''action'!$B$6:$Z$1113,20,FALSE))/(VLOOKUP($BS457,'Données par municipalité'!$B$4:$L$1113,11,FALSE)),"")</f>
        <v/>
      </c>
      <c r="DF457" s="483" t="str">
        <f>IFERROR(SUM(VLOOKUP($BS457,'État &amp; Plan d''action'!$B$6:$Z$1113,19,FALSE),VLOOKUP($BS457,'État &amp; Plan d''action'!$B$6:$Z$1113,21,FALSE))/(VLOOKUP($BS457,'Données par municipalité'!$B$4:$L$1113,11,FALSE)),"")</f>
        <v/>
      </c>
      <c r="DG457" s="476" t="s">
        <v>4723</v>
      </c>
      <c r="DH457" s="484">
        <v>7</v>
      </c>
      <c r="DI457" s="484" t="s">
        <v>1124</v>
      </c>
      <c r="DJ457" s="484">
        <v>14</v>
      </c>
      <c r="DK457" s="484">
        <v>0</v>
      </c>
      <c r="DL457" s="484">
        <v>3</v>
      </c>
      <c r="DM457" s="484" t="s">
        <v>1124</v>
      </c>
      <c r="DN457" s="484" t="s">
        <v>1124</v>
      </c>
      <c r="DO457" s="484" t="s">
        <v>1124</v>
      </c>
      <c r="DP457" s="484" t="s">
        <v>1124</v>
      </c>
      <c r="DQ457" s="484" t="str">
        <f>IF(VLOOKUP($BS457,'État &amp; Plan d''action'!$B$6:$AJ$1113,28,FALSE)="","",VLOOKUP($BS457,'État &amp; Plan d''action'!$B$6:$AJ$1113,28,FALSE))</f>
        <v/>
      </c>
      <c r="DR457" s="70" t="str">
        <f>IF(VLOOKUP($BS457,'État &amp; Plan d''action'!$B$6:$AJ$1113,29,FALSE)="","",VLOOKUP($BS457,'État &amp; Plan d''action'!$B$6:$AJ$1113,29,FALSE))</f>
        <v/>
      </c>
      <c r="DS457" s="70" t="str">
        <f>IF(VLOOKUP($BS457,'État &amp; Plan d''action'!$B$6:$AJ$1113,30,FALSE)="","",VLOOKUP($BS457,'État &amp; Plan d''action'!$B$6:$AJ$1113,30,FALSE))</f>
        <v/>
      </c>
      <c r="DT457" s="70" t="s">
        <v>1124</v>
      </c>
      <c r="DU457" s="485" t="s">
        <v>1124</v>
      </c>
      <c r="DV457" s="485" t="s">
        <v>1124</v>
      </c>
      <c r="DW457" s="70" t="s">
        <v>1124</v>
      </c>
      <c r="DX457" s="70" t="s">
        <v>1124</v>
      </c>
      <c r="DY457" s="70" t="s">
        <v>1124</v>
      </c>
      <c r="DZ457" s="70" t="str">
        <f>VLOOKUP($BS457,'État &amp; Plan d''action'!$B$6:$AH$1113,31,FALSE)</f>
        <v/>
      </c>
      <c r="EA457" s="70" t="str">
        <f>VLOOKUP($BS457,'État &amp; Plan d''action'!$B$6:$AH$1113,32,FALSE)</f>
        <v/>
      </c>
      <c r="EB457" s="70" t="str">
        <f>VLOOKUP($BS457,'État &amp; Plan d''action'!$B$6:$AH$1113,33,FALSE)</f>
        <v/>
      </c>
      <c r="EC457" s="70" t="s">
        <v>1124</v>
      </c>
      <c r="ED457" s="70" t="s">
        <v>1124</v>
      </c>
      <c r="EE457" s="70" t="s">
        <v>1124</v>
      </c>
      <c r="EF457" s="70" t="s">
        <v>1124</v>
      </c>
      <c r="EG457" s="70" t="s">
        <v>1124</v>
      </c>
      <c r="EH457" s="72"/>
      <c r="EI457" s="72">
        <v>1680</v>
      </c>
    </row>
    <row r="458" spans="71:139" x14ac:dyDescent="0.35">
      <c r="BS458" s="486">
        <v>56015</v>
      </c>
      <c r="BT458" s="479" t="s">
        <v>569</v>
      </c>
      <c r="BU458" s="479">
        <v>16</v>
      </c>
      <c r="BV458" s="476" t="s">
        <v>1188</v>
      </c>
      <c r="BW458" s="476" t="s">
        <v>1188</v>
      </c>
      <c r="BX458" s="476" t="s">
        <v>1188</v>
      </c>
      <c r="BY458" s="476" t="s">
        <v>1188</v>
      </c>
      <c r="BZ458" s="476" t="s">
        <v>1188</v>
      </c>
      <c r="CA458" s="476" t="s">
        <v>1188</v>
      </c>
      <c r="CB458" s="476" t="s">
        <v>1188</v>
      </c>
      <c r="CC458" s="476" t="s">
        <v>1188</v>
      </c>
      <c r="CD458" s="476" t="s">
        <v>1188</v>
      </c>
      <c r="CE458" s="476" t="s">
        <v>1187</v>
      </c>
      <c r="CF458" s="476" t="s">
        <v>1187</v>
      </c>
      <c r="CG458" s="476" t="s">
        <v>1187</v>
      </c>
      <c r="CH458" s="476" t="s">
        <v>1187</v>
      </c>
      <c r="CI458" s="476" t="s">
        <v>1187</v>
      </c>
      <c r="CJ458" s="476" t="s">
        <v>1187</v>
      </c>
      <c r="CK458" s="476" t="s">
        <v>1187</v>
      </c>
      <c r="CL458" s="476" t="s">
        <v>1187</v>
      </c>
      <c r="CM458" s="476" t="str">
        <f>IF(VLOOKUP(BS458,'Données par municipalité'!$B$6:$E$1113,4,FALSE)="","non","oui")</f>
        <v>non</v>
      </c>
      <c r="CN458" s="410" t="s">
        <v>1124</v>
      </c>
      <c r="CO458" s="410" t="s">
        <v>1124</v>
      </c>
      <c r="CP458" s="410"/>
      <c r="CQ458" s="410"/>
      <c r="CR458" s="410"/>
      <c r="CS458" s="410" t="s">
        <v>1124</v>
      </c>
      <c r="CT458" s="410"/>
      <c r="CU458" s="410" t="s">
        <v>1124</v>
      </c>
      <c r="CV458" s="410" t="str">
        <f>IF(VLOOKUP(BS458,'Données par municipalité'!$B$6:$F$1113,4,FALSE)="","",VLOOKUP(BS458,'Données par municipalité'!$B$6:$F$1113,4,FALSE))</f>
        <v/>
      </c>
      <c r="CW458" s="476" t="s">
        <v>4723</v>
      </c>
      <c r="CX458" s="483" t="s">
        <v>1124</v>
      </c>
      <c r="CY458" s="483" t="s">
        <v>1124</v>
      </c>
      <c r="CZ458" s="483" t="s">
        <v>1124</v>
      </c>
      <c r="DA458" s="483" t="s">
        <v>1124</v>
      </c>
      <c r="DB458" s="483" t="s">
        <v>1124</v>
      </c>
      <c r="DC458" s="483" t="s">
        <v>1124</v>
      </c>
      <c r="DD458" s="483" t="s">
        <v>1124</v>
      </c>
      <c r="DE458" s="483" t="str">
        <f>IFERROR(SUM(VLOOKUP($BS458,'État &amp; Plan d''action'!$B$6:$Z$1113,18,FALSE),VLOOKUP($BS458,'État &amp; Plan d''action'!$B$6:$Z$1113,20,FALSE))/(VLOOKUP($BS458,'Données par municipalité'!$B$4:$L$1113,11,FALSE)),"")</f>
        <v/>
      </c>
      <c r="DF458" s="483" t="str">
        <f>IFERROR(SUM(VLOOKUP($BS458,'État &amp; Plan d''action'!$B$6:$Z$1113,19,FALSE),VLOOKUP($BS458,'État &amp; Plan d''action'!$B$6:$Z$1113,21,FALSE))/(VLOOKUP($BS458,'Données par municipalité'!$B$4:$L$1113,11,FALSE)),"")</f>
        <v/>
      </c>
      <c r="DG458" s="476" t="s">
        <v>4723</v>
      </c>
      <c r="DH458" s="484" t="s">
        <v>1124</v>
      </c>
      <c r="DI458" s="484" t="s">
        <v>1124</v>
      </c>
      <c r="DJ458" s="484">
        <v>0</v>
      </c>
      <c r="DK458" s="484">
        <v>0</v>
      </c>
      <c r="DL458" s="484" t="s">
        <v>1124</v>
      </c>
      <c r="DM458" s="484" t="s">
        <v>1124</v>
      </c>
      <c r="DN458" s="484" t="s">
        <v>1124</v>
      </c>
      <c r="DO458" s="484" t="s">
        <v>1124</v>
      </c>
      <c r="DP458" s="484" t="s">
        <v>1124</v>
      </c>
      <c r="DQ458" s="484" t="str">
        <f>IF(VLOOKUP($BS458,'État &amp; Plan d''action'!$B$6:$AJ$1113,28,FALSE)="","",VLOOKUP($BS458,'État &amp; Plan d''action'!$B$6:$AJ$1113,28,FALSE))</f>
        <v/>
      </c>
      <c r="DR458" s="70" t="str">
        <f>IF(VLOOKUP($BS458,'État &amp; Plan d''action'!$B$6:$AJ$1113,29,FALSE)="","",VLOOKUP($BS458,'État &amp; Plan d''action'!$B$6:$AJ$1113,29,FALSE))</f>
        <v/>
      </c>
      <c r="DS458" s="70" t="str">
        <f>IF(VLOOKUP($BS458,'État &amp; Plan d''action'!$B$6:$AJ$1113,30,FALSE)="","",VLOOKUP($BS458,'État &amp; Plan d''action'!$B$6:$AJ$1113,30,FALSE))</f>
        <v/>
      </c>
      <c r="DT458" s="70" t="s">
        <v>1124</v>
      </c>
      <c r="DU458" s="485" t="s">
        <v>1124</v>
      </c>
      <c r="DV458" s="485" t="s">
        <v>1124</v>
      </c>
      <c r="DW458" s="70" t="s">
        <v>1124</v>
      </c>
      <c r="DX458" s="70" t="s">
        <v>1124</v>
      </c>
      <c r="DY458" s="70" t="s">
        <v>1124</v>
      </c>
      <c r="DZ458" s="70" t="str">
        <f>VLOOKUP($BS458,'État &amp; Plan d''action'!$B$6:$AH$1113,31,FALSE)</f>
        <v/>
      </c>
      <c r="EA458" s="70" t="str">
        <f>VLOOKUP($BS458,'État &amp; Plan d''action'!$B$6:$AH$1113,32,FALSE)</f>
        <v/>
      </c>
      <c r="EB458" s="70" t="str">
        <f>VLOOKUP($BS458,'État &amp; Plan d''action'!$B$6:$AH$1113,33,FALSE)</f>
        <v/>
      </c>
      <c r="EC458" s="70" t="s">
        <v>1124</v>
      </c>
      <c r="ED458" s="70" t="s">
        <v>1124</v>
      </c>
      <c r="EE458" s="70" t="s">
        <v>1124</v>
      </c>
      <c r="EF458" s="70" t="s">
        <v>1124</v>
      </c>
      <c r="EG458" s="70" t="s">
        <v>1124</v>
      </c>
      <c r="EH458" s="72"/>
      <c r="EI458" s="72">
        <v>1447</v>
      </c>
    </row>
    <row r="459" spans="71:139" x14ac:dyDescent="0.35">
      <c r="BS459" s="486">
        <v>45020</v>
      </c>
      <c r="BT459" s="479" t="s">
        <v>411</v>
      </c>
      <c r="BU459" s="479">
        <v>5</v>
      </c>
      <c r="BV459" s="476" t="s">
        <v>1188</v>
      </c>
      <c r="BW459" s="476" t="s">
        <v>1188</v>
      </c>
      <c r="BX459" s="476" t="s">
        <v>1188</v>
      </c>
      <c r="BY459" s="476" t="s">
        <v>1188</v>
      </c>
      <c r="BZ459" s="476" t="s">
        <v>1188</v>
      </c>
      <c r="CA459" s="476" t="s">
        <v>1188</v>
      </c>
      <c r="CB459" s="476" t="s">
        <v>1188</v>
      </c>
      <c r="CC459" s="476" t="s">
        <v>1188</v>
      </c>
      <c r="CD459" s="476" t="s">
        <v>1188</v>
      </c>
      <c r="CE459" s="476" t="s">
        <v>1187</v>
      </c>
      <c r="CF459" s="476" t="s">
        <v>1187</v>
      </c>
      <c r="CG459" s="476" t="s">
        <v>1187</v>
      </c>
      <c r="CH459" s="476" t="s">
        <v>1187</v>
      </c>
      <c r="CI459" s="476" t="s">
        <v>1187</v>
      </c>
      <c r="CJ459" s="476" t="s">
        <v>1187</v>
      </c>
      <c r="CK459" s="476" t="s">
        <v>1187</v>
      </c>
      <c r="CL459" s="476" t="s">
        <v>1187</v>
      </c>
      <c r="CM459" s="476" t="str">
        <f>IF(VLOOKUP(BS459,'Données par municipalité'!$B$6:$E$1113,4,FALSE)="","non","oui")</f>
        <v>non</v>
      </c>
      <c r="CN459" s="410" t="s">
        <v>1124</v>
      </c>
      <c r="CO459" s="410" t="s">
        <v>1124</v>
      </c>
      <c r="CP459" s="410"/>
      <c r="CQ459" s="410"/>
      <c r="CR459" s="410"/>
      <c r="CS459" s="410" t="s">
        <v>1124</v>
      </c>
      <c r="CT459" s="410"/>
      <c r="CU459" s="410" t="s">
        <v>1124</v>
      </c>
      <c r="CV459" s="410" t="str">
        <f>IF(VLOOKUP(BS459,'Données par municipalité'!$B$6:$F$1113,4,FALSE)="","",VLOOKUP(BS459,'Données par municipalité'!$B$6:$F$1113,4,FALSE))</f>
        <v/>
      </c>
      <c r="CW459" s="476" t="s">
        <v>4723</v>
      </c>
      <c r="CX459" s="483" t="s">
        <v>1124</v>
      </c>
      <c r="CY459" s="483" t="s">
        <v>1124</v>
      </c>
      <c r="CZ459" s="483" t="s">
        <v>1124</v>
      </c>
      <c r="DA459" s="483" t="s">
        <v>1124</v>
      </c>
      <c r="DB459" s="483" t="s">
        <v>1124</v>
      </c>
      <c r="DC459" s="483" t="s">
        <v>1124</v>
      </c>
      <c r="DD459" s="483" t="s">
        <v>1124</v>
      </c>
      <c r="DE459" s="483" t="str">
        <f>IFERROR(SUM(VLOOKUP($BS459,'État &amp; Plan d''action'!$B$6:$Z$1113,18,FALSE),VLOOKUP($BS459,'État &amp; Plan d''action'!$B$6:$Z$1113,20,FALSE))/(VLOOKUP($BS459,'Données par municipalité'!$B$4:$L$1113,11,FALSE)),"")</f>
        <v/>
      </c>
      <c r="DF459" s="483" t="str">
        <f>IFERROR(SUM(VLOOKUP($BS459,'État &amp; Plan d''action'!$B$6:$Z$1113,19,FALSE),VLOOKUP($BS459,'État &amp; Plan d''action'!$B$6:$Z$1113,21,FALSE))/(VLOOKUP($BS459,'Données par municipalité'!$B$4:$L$1113,11,FALSE)),"")</f>
        <v/>
      </c>
      <c r="DG459" s="476" t="s">
        <v>4723</v>
      </c>
      <c r="DH459" s="484" t="s">
        <v>1124</v>
      </c>
      <c r="DI459" s="484" t="s">
        <v>1124</v>
      </c>
      <c r="DJ459" s="484">
        <v>0</v>
      </c>
      <c r="DK459" s="484">
        <v>0</v>
      </c>
      <c r="DL459" s="484" t="s">
        <v>1124</v>
      </c>
      <c r="DM459" s="484" t="s">
        <v>1124</v>
      </c>
      <c r="DN459" s="484" t="s">
        <v>1124</v>
      </c>
      <c r="DO459" s="484" t="s">
        <v>1124</v>
      </c>
      <c r="DP459" s="484" t="s">
        <v>1124</v>
      </c>
      <c r="DQ459" s="484" t="str">
        <f>IF(VLOOKUP($BS459,'État &amp; Plan d''action'!$B$6:$AJ$1113,28,FALSE)="","",VLOOKUP($BS459,'État &amp; Plan d''action'!$B$6:$AJ$1113,28,FALSE))</f>
        <v/>
      </c>
      <c r="DR459" s="70" t="str">
        <f>IF(VLOOKUP($BS459,'État &amp; Plan d''action'!$B$6:$AJ$1113,29,FALSE)="","",VLOOKUP($BS459,'État &amp; Plan d''action'!$B$6:$AJ$1113,29,FALSE))</f>
        <v/>
      </c>
      <c r="DS459" s="70" t="str">
        <f>IF(VLOOKUP($BS459,'État &amp; Plan d''action'!$B$6:$AJ$1113,30,FALSE)="","",VLOOKUP($BS459,'État &amp; Plan d''action'!$B$6:$AJ$1113,30,FALSE))</f>
        <v/>
      </c>
      <c r="DT459" s="70" t="s">
        <v>1124</v>
      </c>
      <c r="DU459" s="485" t="s">
        <v>1124</v>
      </c>
      <c r="DV459" s="485" t="s">
        <v>1124</v>
      </c>
      <c r="DW459" s="70" t="s">
        <v>1124</v>
      </c>
      <c r="DX459" s="70" t="s">
        <v>1124</v>
      </c>
      <c r="DY459" s="70" t="s">
        <v>1124</v>
      </c>
      <c r="DZ459" s="70" t="str">
        <f>VLOOKUP($BS459,'État &amp; Plan d''action'!$B$6:$AH$1113,31,FALSE)</f>
        <v/>
      </c>
      <c r="EA459" s="70" t="str">
        <f>VLOOKUP($BS459,'État &amp; Plan d''action'!$B$6:$AH$1113,32,FALSE)</f>
        <v/>
      </c>
      <c r="EB459" s="70" t="str">
        <f>VLOOKUP($BS459,'État &amp; Plan d''action'!$B$6:$AH$1113,33,FALSE)</f>
        <v/>
      </c>
      <c r="EC459" s="70" t="s">
        <v>1124</v>
      </c>
      <c r="ED459" s="70" t="s">
        <v>1124</v>
      </c>
      <c r="EE459" s="70" t="s">
        <v>1124</v>
      </c>
      <c r="EF459" s="70" t="s">
        <v>1124</v>
      </c>
      <c r="EG459" s="70" t="s">
        <v>1124</v>
      </c>
      <c r="EH459" s="72"/>
      <c r="EI459" s="72">
        <v>780</v>
      </c>
    </row>
    <row r="460" spans="71:139" x14ac:dyDescent="0.35">
      <c r="BS460" s="486">
        <v>72032</v>
      </c>
      <c r="BT460" s="479" t="s">
        <v>732</v>
      </c>
      <c r="BU460" s="479">
        <v>15</v>
      </c>
      <c r="BV460" s="476" t="s">
        <v>1187</v>
      </c>
      <c r="BW460" s="476" t="s">
        <v>1187</v>
      </c>
      <c r="BX460" s="476" t="s">
        <v>1187</v>
      </c>
      <c r="BY460" s="476" t="s">
        <v>1187</v>
      </c>
      <c r="BZ460" s="476" t="s">
        <v>1187</v>
      </c>
      <c r="CA460" s="476" t="s">
        <v>1187</v>
      </c>
      <c r="CB460" s="476" t="s">
        <v>1187</v>
      </c>
      <c r="CC460" s="476" t="s">
        <v>1187</v>
      </c>
      <c r="CD460" s="476" t="s">
        <v>1187</v>
      </c>
      <c r="CE460" s="476" t="s">
        <v>1188</v>
      </c>
      <c r="CF460" s="476" t="s">
        <v>1188</v>
      </c>
      <c r="CG460" s="476" t="s">
        <v>1187</v>
      </c>
      <c r="CH460" s="476" t="s">
        <v>1187</v>
      </c>
      <c r="CI460" s="476" t="s">
        <v>1187</v>
      </c>
      <c r="CJ460" s="476" t="s">
        <v>1187</v>
      </c>
      <c r="CK460" s="476" t="s">
        <v>1188</v>
      </c>
      <c r="CL460" s="476" t="s">
        <v>1188</v>
      </c>
      <c r="CM460" s="476" t="str">
        <f>IF(VLOOKUP(BS460,'Données par municipalité'!$B$6:$E$1113,4,FALSE)="","non","oui")</f>
        <v>oui</v>
      </c>
      <c r="CN460" s="410">
        <v>313.59279083129212</v>
      </c>
      <c r="CO460" s="410">
        <v>343.06146115191342</v>
      </c>
      <c r="CP460" s="410"/>
      <c r="CQ460" s="410"/>
      <c r="CR460" s="410"/>
      <c r="CS460" s="410" t="s">
        <v>1124</v>
      </c>
      <c r="CT460" s="410">
        <v>384.60018222769372</v>
      </c>
      <c r="CU460" s="410">
        <v>487</v>
      </c>
      <c r="CV460" s="410">
        <f>IF(VLOOKUP(BS460,'Données par municipalité'!$B$6:$F$1113,4,FALSE)="","",VLOOKUP(BS460,'Données par municipalité'!$B$6:$F$1113,4,FALSE))</f>
        <v>509</v>
      </c>
      <c r="CW460" s="476" t="s">
        <v>4723</v>
      </c>
      <c r="CX460" s="483">
        <v>0</v>
      </c>
      <c r="CY460" s="483" t="s">
        <v>1124</v>
      </c>
      <c r="CZ460" s="483" t="s">
        <v>1124</v>
      </c>
      <c r="DA460" s="483" t="s">
        <v>1124</v>
      </c>
      <c r="DB460" s="483" t="s">
        <v>1124</v>
      </c>
      <c r="DC460" s="483">
        <v>0.15</v>
      </c>
      <c r="DD460" s="483">
        <v>0</v>
      </c>
      <c r="DE460" s="483">
        <f>IFERROR(SUM(VLOOKUP($BS460,'État &amp; Plan d''action'!$B$6:$Z$1113,18,FALSE),VLOOKUP($BS460,'État &amp; Plan d''action'!$B$6:$Z$1113,20,FALSE))/(VLOOKUP($BS460,'Données par municipalité'!$B$4:$L$1113,11,FALSE)),"")</f>
        <v>5.4733039599354154E-2</v>
      </c>
      <c r="DF460" s="483">
        <f>IFERROR(SUM(VLOOKUP($BS460,'État &amp; Plan d''action'!$B$6:$Z$1113,19,FALSE),VLOOKUP($BS460,'État &amp; Plan d''action'!$B$6:$Z$1113,21,FALSE))/(VLOOKUP($BS460,'Données par municipalité'!$B$4:$L$1113,11,FALSE)),"")</f>
        <v>1.3683259899838538E-2</v>
      </c>
      <c r="DG460" s="476" t="s">
        <v>4723</v>
      </c>
      <c r="DH460" s="484">
        <v>3</v>
      </c>
      <c r="DI460" s="484">
        <v>9</v>
      </c>
      <c r="DJ460" s="484">
        <v>0</v>
      </c>
      <c r="DK460" s="484">
        <v>0</v>
      </c>
      <c r="DL460" s="484" t="s">
        <v>1124</v>
      </c>
      <c r="DM460" s="484">
        <v>0</v>
      </c>
      <c r="DN460" s="484">
        <v>0</v>
      </c>
      <c r="DO460" s="484">
        <v>3</v>
      </c>
      <c r="DP460" s="484">
        <v>0</v>
      </c>
      <c r="DQ460" s="484">
        <f>IF(VLOOKUP($BS460,'État &amp; Plan d''action'!$B$6:$AJ$1113,28,FALSE)="","",VLOOKUP($BS460,'État &amp; Plan d''action'!$B$6:$AJ$1113,28,FALSE))</f>
        <v>1</v>
      </c>
      <c r="DR460" s="70">
        <f>IF(VLOOKUP($BS460,'État &amp; Plan d''action'!$B$6:$AJ$1113,29,FALSE)="","",VLOOKUP($BS460,'État &amp; Plan d''action'!$B$6:$AJ$1113,29,FALSE))</f>
        <v>7</v>
      </c>
      <c r="DS460" s="70">
        <f>IF(VLOOKUP($BS460,'État &amp; Plan d''action'!$B$6:$AJ$1113,30,FALSE)="","",VLOOKUP($BS460,'État &amp; Plan d''action'!$B$6:$AJ$1113,30,FALSE))</f>
        <v>0</v>
      </c>
      <c r="DT460" s="70">
        <v>303</v>
      </c>
      <c r="DU460" s="485">
        <v>1.7171361751416832</v>
      </c>
      <c r="DV460" s="485">
        <v>2.0145489755050567</v>
      </c>
      <c r="DW460" s="70">
        <v>0</v>
      </c>
      <c r="DX460" s="70">
        <v>3</v>
      </c>
      <c r="DY460" s="70">
        <v>0</v>
      </c>
      <c r="DZ460" s="70">
        <f>VLOOKUP($BS460,'État &amp; Plan d''action'!$B$6:$AH$1113,31,FALSE)</f>
        <v>3</v>
      </c>
      <c r="EA460" s="70">
        <f>VLOOKUP($BS460,'État &amp; Plan d''action'!$B$6:$AH$1113,32,FALSE)</f>
        <v>3</v>
      </c>
      <c r="EB460" s="70">
        <f>VLOOKUP($BS460,'État &amp; Plan d''action'!$B$6:$AH$1113,33,FALSE)</f>
        <v>0</v>
      </c>
      <c r="EC460" s="70">
        <v>0</v>
      </c>
      <c r="ED460" s="70">
        <v>0</v>
      </c>
      <c r="EE460" s="70">
        <v>0</v>
      </c>
      <c r="EF460" s="70">
        <v>0</v>
      </c>
      <c r="EG460" s="70">
        <v>0</v>
      </c>
      <c r="EH460" s="72">
        <v>59.5</v>
      </c>
      <c r="EI460" s="72">
        <v>5755</v>
      </c>
    </row>
    <row r="461" spans="71:139" x14ac:dyDescent="0.35">
      <c r="BS461" s="486">
        <v>45115</v>
      </c>
      <c r="BT461" s="479" t="s">
        <v>426</v>
      </c>
      <c r="BU461" s="479">
        <v>5</v>
      </c>
      <c r="BV461" s="476" t="s">
        <v>1187</v>
      </c>
      <c r="BW461" s="476" t="s">
        <v>1187</v>
      </c>
      <c r="BX461" s="476" t="s">
        <v>1187</v>
      </c>
      <c r="BY461" s="476" t="s">
        <v>1187</v>
      </c>
      <c r="BZ461" s="476" t="s">
        <v>1187</v>
      </c>
      <c r="CA461" s="476" t="s">
        <v>1187</v>
      </c>
      <c r="CB461" s="476" t="s">
        <v>1187</v>
      </c>
      <c r="CC461" s="476" t="s">
        <v>1187</v>
      </c>
      <c r="CD461" s="476" t="s">
        <v>1187</v>
      </c>
      <c r="CE461" s="476" t="s">
        <v>1188</v>
      </c>
      <c r="CF461" s="476" t="s">
        <v>1188</v>
      </c>
      <c r="CG461" s="476" t="s">
        <v>1187</v>
      </c>
      <c r="CH461" s="476" t="s">
        <v>1187</v>
      </c>
      <c r="CI461" s="476" t="s">
        <v>1187</v>
      </c>
      <c r="CJ461" s="476" t="s">
        <v>1187</v>
      </c>
      <c r="CK461" s="476" t="s">
        <v>1188</v>
      </c>
      <c r="CL461" s="476" t="s">
        <v>1188</v>
      </c>
      <c r="CM461" s="476" t="str">
        <f>IF(VLOOKUP(BS461,'Données par municipalité'!$B$6:$E$1113,4,FALSE)="","non","oui")</f>
        <v>oui</v>
      </c>
      <c r="CN461" s="410">
        <v>401.33096247223347</v>
      </c>
      <c r="CO461" s="410">
        <v>400.15831037226343</v>
      </c>
      <c r="CP461" s="410"/>
      <c r="CQ461" s="410"/>
      <c r="CR461" s="410"/>
      <c r="CS461" s="410" t="s">
        <v>1124</v>
      </c>
      <c r="CT461" s="410">
        <v>403.27346251376599</v>
      </c>
      <c r="CU461" s="410">
        <v>406</v>
      </c>
      <c r="CV461" s="410">
        <f>IF(VLOOKUP(BS461,'Données par municipalité'!$B$6:$F$1113,4,FALSE)="","",VLOOKUP(BS461,'Données par municipalité'!$B$6:$F$1113,4,FALSE))</f>
        <v>448</v>
      </c>
      <c r="CW461" s="476" t="s">
        <v>4723</v>
      </c>
      <c r="CX461" s="483">
        <v>0</v>
      </c>
      <c r="CY461" s="483" t="s">
        <v>1124</v>
      </c>
      <c r="CZ461" s="483" t="s">
        <v>1124</v>
      </c>
      <c r="DA461" s="483" t="s">
        <v>1124</v>
      </c>
      <c r="DB461" s="483" t="s">
        <v>1124</v>
      </c>
      <c r="DC461" s="483">
        <v>0</v>
      </c>
      <c r="DD461" s="483">
        <v>0</v>
      </c>
      <c r="DE461" s="483">
        <f>IFERROR(SUM(VLOOKUP($BS461,'État &amp; Plan d''action'!$B$6:$Z$1113,18,FALSE),VLOOKUP($BS461,'État &amp; Plan d''action'!$B$6:$Z$1113,20,FALSE))/(VLOOKUP($BS461,'Données par municipalité'!$B$4:$L$1113,11,FALSE)),"")</f>
        <v>1.3541328133463331E-2</v>
      </c>
      <c r="DF461" s="483">
        <f>IFERROR(SUM(VLOOKUP($BS461,'État &amp; Plan d''action'!$B$6:$Z$1113,19,FALSE),VLOOKUP($BS461,'État &amp; Plan d''action'!$B$6:$Z$1113,21,FALSE))/(VLOOKUP($BS461,'Données par municipalité'!$B$4:$L$1113,11,FALSE)),"")</f>
        <v>0</v>
      </c>
      <c r="DG461" s="476" t="s">
        <v>4723</v>
      </c>
      <c r="DH461" s="484">
        <v>1</v>
      </c>
      <c r="DI461" s="484" t="s">
        <v>1124</v>
      </c>
      <c r="DJ461" s="484">
        <v>0</v>
      </c>
      <c r="DK461" s="484">
        <v>0</v>
      </c>
      <c r="DL461" s="484" t="s">
        <v>1124</v>
      </c>
      <c r="DM461" s="484">
        <v>1</v>
      </c>
      <c r="DN461" s="484">
        <v>1</v>
      </c>
      <c r="DO461" s="484">
        <v>1</v>
      </c>
      <c r="DP461" s="484">
        <v>2</v>
      </c>
      <c r="DQ461" s="484">
        <f>IF(VLOOKUP($BS461,'État &amp; Plan d''action'!$B$6:$AJ$1113,28,FALSE)="","",VLOOKUP($BS461,'État &amp; Plan d''action'!$B$6:$AJ$1113,28,FALSE))</f>
        <v>1</v>
      </c>
      <c r="DR461" s="70">
        <f>IF(VLOOKUP($BS461,'État &amp; Plan d''action'!$B$6:$AJ$1113,29,FALSE)="","",VLOOKUP($BS461,'État &amp; Plan d''action'!$B$6:$AJ$1113,29,FALSE))</f>
        <v>0</v>
      </c>
      <c r="DS461" s="70">
        <f>IF(VLOOKUP($BS461,'État &amp; Plan d''action'!$B$6:$AJ$1113,30,FALSE)="","",VLOOKUP($BS461,'État &amp; Plan d''action'!$B$6:$AJ$1113,30,FALSE))</f>
        <v>3</v>
      </c>
      <c r="DT461" s="70">
        <v>361</v>
      </c>
      <c r="DU461" s="485">
        <v>0.95215106963372531</v>
      </c>
      <c r="DV461" s="485">
        <v>0.66838388377515712</v>
      </c>
      <c r="DW461" s="70">
        <v>1</v>
      </c>
      <c r="DX461" s="70">
        <v>10</v>
      </c>
      <c r="DY461" s="70">
        <v>15</v>
      </c>
      <c r="DZ461" s="70">
        <f>VLOOKUP($BS461,'État &amp; Plan d''action'!$B$6:$AH$1113,31,FALSE)</f>
        <v>2</v>
      </c>
      <c r="EA461" s="70">
        <f>VLOOKUP($BS461,'État &amp; Plan d''action'!$B$6:$AH$1113,32,FALSE)</f>
        <v>0</v>
      </c>
      <c r="EB461" s="70">
        <f>VLOOKUP($BS461,'État &amp; Plan d''action'!$B$6:$AH$1113,33,FALSE)</f>
        <v>30</v>
      </c>
      <c r="EC461" s="70">
        <v>35.445</v>
      </c>
      <c r="ED461" s="70">
        <v>0</v>
      </c>
      <c r="EE461" s="70">
        <v>0</v>
      </c>
      <c r="EF461" s="70">
        <v>0</v>
      </c>
      <c r="EG461" s="70">
        <v>0</v>
      </c>
      <c r="EH461" s="72">
        <v>59</v>
      </c>
      <c r="EI461" s="72">
        <v>4583</v>
      </c>
    </row>
    <row r="462" spans="71:139" x14ac:dyDescent="0.35">
      <c r="BS462" s="486">
        <v>69037</v>
      </c>
      <c r="BT462" s="479" t="s">
        <v>689</v>
      </c>
      <c r="BU462" s="479">
        <v>16</v>
      </c>
      <c r="BV462" s="476" t="s">
        <v>1187</v>
      </c>
      <c r="BW462" s="476" t="s">
        <v>1187</v>
      </c>
      <c r="BX462" s="476" t="s">
        <v>1187</v>
      </c>
      <c r="BY462" s="476" t="s">
        <v>1187</v>
      </c>
      <c r="BZ462" s="476" t="s">
        <v>1187</v>
      </c>
      <c r="CA462" s="476" t="s">
        <v>1187</v>
      </c>
      <c r="CB462" s="476" t="s">
        <v>1187</v>
      </c>
      <c r="CC462" s="476" t="s">
        <v>1187</v>
      </c>
      <c r="CD462" s="476" t="s">
        <v>1187</v>
      </c>
      <c r="CE462" s="476" t="s">
        <v>1187</v>
      </c>
      <c r="CF462" s="476" t="s">
        <v>1187</v>
      </c>
      <c r="CG462" s="476" t="s">
        <v>1187</v>
      </c>
      <c r="CH462" s="476" t="s">
        <v>1187</v>
      </c>
      <c r="CI462" s="476" t="s">
        <v>1187</v>
      </c>
      <c r="CJ462" s="476" t="s">
        <v>1188</v>
      </c>
      <c r="CK462" s="476" t="s">
        <v>1188</v>
      </c>
      <c r="CL462" s="476" t="s">
        <v>1187</v>
      </c>
      <c r="CM462" s="476" t="str">
        <f>IF(VLOOKUP(BS462,'Données par municipalité'!$B$6:$E$1113,4,FALSE)="","non","oui")</f>
        <v>non</v>
      </c>
      <c r="CN462" s="410" t="s">
        <v>1124</v>
      </c>
      <c r="CO462" s="410" t="s">
        <v>1124</v>
      </c>
      <c r="CP462" s="410"/>
      <c r="CQ462" s="410"/>
      <c r="CR462" s="410"/>
      <c r="CS462" s="410">
        <v>523.12865650034257</v>
      </c>
      <c r="CT462" s="410">
        <v>476.5004959280455</v>
      </c>
      <c r="CU462" s="410" t="s">
        <v>1124</v>
      </c>
      <c r="CV462" s="410" t="str">
        <f>IF(VLOOKUP(BS462,'Données par municipalité'!$B$6:$F$1113,4,FALSE)="","",VLOOKUP(BS462,'Données par municipalité'!$B$6:$F$1113,4,FALSE))</f>
        <v/>
      </c>
      <c r="CW462" s="476" t="s">
        <v>4723</v>
      </c>
      <c r="CX462" s="483" t="s">
        <v>1124</v>
      </c>
      <c r="CY462" s="483" t="s">
        <v>1124</v>
      </c>
      <c r="CZ462" s="483" t="s">
        <v>1124</v>
      </c>
      <c r="DA462" s="483" t="s">
        <v>1124</v>
      </c>
      <c r="DB462" s="483">
        <v>1</v>
      </c>
      <c r="DC462" s="483">
        <v>1</v>
      </c>
      <c r="DD462" s="483" t="s">
        <v>1124</v>
      </c>
      <c r="DE462" s="483" t="str">
        <f>IFERROR(SUM(VLOOKUP($BS462,'État &amp; Plan d''action'!$B$6:$Z$1113,18,FALSE),VLOOKUP($BS462,'État &amp; Plan d''action'!$B$6:$Z$1113,20,FALSE))/(VLOOKUP($BS462,'Données par municipalité'!$B$4:$L$1113,11,FALSE)),"")</f>
        <v/>
      </c>
      <c r="DF462" s="483" t="str">
        <f>IFERROR(SUM(VLOOKUP($BS462,'État &amp; Plan d''action'!$B$6:$Z$1113,19,FALSE),VLOOKUP($BS462,'État &amp; Plan d''action'!$B$6:$Z$1113,21,FALSE))/(VLOOKUP($BS462,'Données par municipalité'!$B$4:$L$1113,11,FALSE)),"")</f>
        <v/>
      </c>
      <c r="DG462" s="476" t="s">
        <v>4723</v>
      </c>
      <c r="DH462" s="484">
        <v>9</v>
      </c>
      <c r="DI462" s="484" t="s">
        <v>1124</v>
      </c>
      <c r="DJ462" s="484">
        <v>12</v>
      </c>
      <c r="DK462" s="484">
        <v>6</v>
      </c>
      <c r="DL462" s="484">
        <v>2</v>
      </c>
      <c r="DM462" s="484">
        <v>5</v>
      </c>
      <c r="DN462" s="484" t="s">
        <v>1124</v>
      </c>
      <c r="DO462" s="484" t="s">
        <v>1124</v>
      </c>
      <c r="DP462" s="484" t="s">
        <v>1124</v>
      </c>
      <c r="DQ462" s="484" t="str">
        <f>IF(VLOOKUP($BS462,'État &amp; Plan d''action'!$B$6:$AJ$1113,28,FALSE)="","",VLOOKUP($BS462,'État &amp; Plan d''action'!$B$6:$AJ$1113,28,FALSE))</f>
        <v/>
      </c>
      <c r="DR462" s="70" t="str">
        <f>IF(VLOOKUP($BS462,'État &amp; Plan d''action'!$B$6:$AJ$1113,29,FALSE)="","",VLOOKUP($BS462,'État &amp; Plan d''action'!$B$6:$AJ$1113,29,FALSE))</f>
        <v/>
      </c>
      <c r="DS462" s="70" t="str">
        <f>IF(VLOOKUP($BS462,'État &amp; Plan d''action'!$B$6:$AJ$1113,30,FALSE)="","",VLOOKUP($BS462,'État &amp; Plan d''action'!$B$6:$AJ$1113,30,FALSE))</f>
        <v/>
      </c>
      <c r="DT462" s="70" t="s">
        <v>1124</v>
      </c>
      <c r="DU462" s="485" t="s">
        <v>1124</v>
      </c>
      <c r="DV462" s="485" t="s">
        <v>1124</v>
      </c>
      <c r="DW462" s="70" t="s">
        <v>1124</v>
      </c>
      <c r="DX462" s="70" t="s">
        <v>1124</v>
      </c>
      <c r="DY462" s="70" t="s">
        <v>1124</v>
      </c>
      <c r="DZ462" s="70" t="str">
        <f>VLOOKUP($BS462,'État &amp; Plan d''action'!$B$6:$AH$1113,31,FALSE)</f>
        <v/>
      </c>
      <c r="EA462" s="70" t="str">
        <f>VLOOKUP($BS462,'État &amp; Plan d''action'!$B$6:$AH$1113,32,FALSE)</f>
        <v/>
      </c>
      <c r="EB462" s="70" t="str">
        <f>VLOOKUP($BS462,'État &amp; Plan d''action'!$B$6:$AH$1113,33,FALSE)</f>
        <v/>
      </c>
      <c r="EC462" s="70" t="s">
        <v>1124</v>
      </c>
      <c r="ED462" s="70" t="s">
        <v>1124</v>
      </c>
      <c r="EE462" s="70" t="s">
        <v>1124</v>
      </c>
      <c r="EF462" s="70" t="s">
        <v>1124</v>
      </c>
      <c r="EG462" s="70" t="s">
        <v>1124</v>
      </c>
      <c r="EH462" s="72"/>
      <c r="EI462" s="72">
        <v>3652</v>
      </c>
    </row>
    <row r="463" spans="71:139" x14ac:dyDescent="0.35">
      <c r="BS463" s="486">
        <v>84055</v>
      </c>
      <c r="BT463" s="479" t="s">
        <v>862</v>
      </c>
      <c r="BU463" s="479">
        <v>7</v>
      </c>
      <c r="BV463" s="476" t="s">
        <v>1187</v>
      </c>
      <c r="BW463" s="476" t="s">
        <v>1187</v>
      </c>
      <c r="BX463" s="476" t="s">
        <v>1187</v>
      </c>
      <c r="BY463" s="476" t="s">
        <v>1187</v>
      </c>
      <c r="BZ463" s="476" t="s">
        <v>1187</v>
      </c>
      <c r="CA463" s="476" t="s">
        <v>1187</v>
      </c>
      <c r="CB463" s="476" t="s">
        <v>1187</v>
      </c>
      <c r="CC463" s="476" t="s">
        <v>1187</v>
      </c>
      <c r="CD463" s="476" t="s">
        <v>1187</v>
      </c>
      <c r="CE463" s="476" t="s">
        <v>1188</v>
      </c>
      <c r="CF463" s="476" t="s">
        <v>1188</v>
      </c>
      <c r="CG463" s="476" t="s">
        <v>1187</v>
      </c>
      <c r="CH463" s="476" t="s">
        <v>1187</v>
      </c>
      <c r="CI463" s="476" t="s">
        <v>1188</v>
      </c>
      <c r="CJ463" s="476" t="s">
        <v>1187</v>
      </c>
      <c r="CK463" s="476" t="s">
        <v>1188</v>
      </c>
      <c r="CL463" s="476" t="s">
        <v>1187</v>
      </c>
      <c r="CM463" s="476" t="str">
        <f>IF(VLOOKUP(BS463,'Données par municipalité'!$B$6:$E$1113,4,FALSE)="","non","oui")</f>
        <v>non</v>
      </c>
      <c r="CN463" s="410">
        <v>334.25313864466676</v>
      </c>
      <c r="CO463" s="410">
        <v>472.179882000394</v>
      </c>
      <c r="CP463" s="410"/>
      <c r="CQ463" s="410"/>
      <c r="CR463" s="410">
        <v>409.10240877236521</v>
      </c>
      <c r="CS463" s="410" t="s">
        <v>1124</v>
      </c>
      <c r="CT463" s="410">
        <v>291.45306328262882</v>
      </c>
      <c r="CU463" s="410" t="s">
        <v>1124</v>
      </c>
      <c r="CV463" s="410" t="str">
        <f>IF(VLOOKUP(BS463,'Données par municipalité'!$B$6:$F$1113,4,FALSE)="","",VLOOKUP(BS463,'Données par municipalité'!$B$6:$F$1113,4,FALSE))</f>
        <v/>
      </c>
      <c r="CW463" s="476" t="s">
        <v>4723</v>
      </c>
      <c r="CX463" s="483">
        <v>0.5</v>
      </c>
      <c r="CY463" s="483" t="s">
        <v>1124</v>
      </c>
      <c r="CZ463" s="483" t="s">
        <v>1124</v>
      </c>
      <c r="DA463" s="483">
        <v>0</v>
      </c>
      <c r="DB463" s="483" t="s">
        <v>1124</v>
      </c>
      <c r="DC463" s="483">
        <v>1</v>
      </c>
      <c r="DD463" s="483" t="s">
        <v>1124</v>
      </c>
      <c r="DE463" s="483" t="str">
        <f>IFERROR(SUM(VLOOKUP($BS463,'État &amp; Plan d''action'!$B$6:$Z$1113,18,FALSE),VLOOKUP($BS463,'État &amp; Plan d''action'!$B$6:$Z$1113,20,FALSE))/(VLOOKUP($BS463,'Données par municipalité'!$B$4:$L$1113,11,FALSE)),"")</f>
        <v/>
      </c>
      <c r="DF463" s="483" t="str">
        <f>IFERROR(SUM(VLOOKUP($BS463,'État &amp; Plan d''action'!$B$6:$Z$1113,19,FALSE),VLOOKUP($BS463,'État &amp; Plan d''action'!$B$6:$Z$1113,21,FALSE))/(VLOOKUP($BS463,'Données par municipalité'!$B$4:$L$1113,11,FALSE)),"")</f>
        <v/>
      </c>
      <c r="DG463" s="476" t="s">
        <v>4723</v>
      </c>
      <c r="DH463" s="484">
        <v>1</v>
      </c>
      <c r="DI463" s="484" t="s">
        <v>1124</v>
      </c>
      <c r="DJ463" s="484">
        <v>1</v>
      </c>
      <c r="DK463" s="484">
        <v>0</v>
      </c>
      <c r="DL463" s="484" t="s">
        <v>1124</v>
      </c>
      <c r="DM463" s="484">
        <v>2</v>
      </c>
      <c r="DN463" s="484" t="s">
        <v>1124</v>
      </c>
      <c r="DO463" s="484" t="s">
        <v>1124</v>
      </c>
      <c r="DP463" s="484" t="s">
        <v>1124</v>
      </c>
      <c r="DQ463" s="484" t="str">
        <f>IF(VLOOKUP($BS463,'État &amp; Plan d''action'!$B$6:$AJ$1113,28,FALSE)="","",VLOOKUP($BS463,'État &amp; Plan d''action'!$B$6:$AJ$1113,28,FALSE))</f>
        <v/>
      </c>
      <c r="DR463" s="70" t="str">
        <f>IF(VLOOKUP($BS463,'État &amp; Plan d''action'!$B$6:$AJ$1113,29,FALSE)="","",VLOOKUP($BS463,'État &amp; Plan d''action'!$B$6:$AJ$1113,29,FALSE))</f>
        <v/>
      </c>
      <c r="DS463" s="70" t="str">
        <f>IF(VLOOKUP($BS463,'État &amp; Plan d''action'!$B$6:$AJ$1113,30,FALSE)="","",VLOOKUP($BS463,'État &amp; Plan d''action'!$B$6:$AJ$1113,30,FALSE))</f>
        <v/>
      </c>
      <c r="DT463" s="70" t="s">
        <v>1124</v>
      </c>
      <c r="DU463" s="485" t="s">
        <v>1124</v>
      </c>
      <c r="DV463" s="485" t="s">
        <v>1124</v>
      </c>
      <c r="DW463" s="70" t="s">
        <v>1124</v>
      </c>
      <c r="DX463" s="70" t="s">
        <v>1124</v>
      </c>
      <c r="DY463" s="70" t="s">
        <v>1124</v>
      </c>
      <c r="DZ463" s="70" t="str">
        <f>VLOOKUP($BS463,'État &amp; Plan d''action'!$B$6:$AH$1113,31,FALSE)</f>
        <v/>
      </c>
      <c r="EA463" s="70" t="str">
        <f>VLOOKUP($BS463,'État &amp; Plan d''action'!$B$6:$AH$1113,32,FALSE)</f>
        <v/>
      </c>
      <c r="EB463" s="70" t="str">
        <f>VLOOKUP($BS463,'État &amp; Plan d''action'!$B$6:$AH$1113,33,FALSE)</f>
        <v/>
      </c>
      <c r="EC463" s="70" t="s">
        <v>1124</v>
      </c>
      <c r="ED463" s="70" t="s">
        <v>1124</v>
      </c>
      <c r="EE463" s="70" t="s">
        <v>1124</v>
      </c>
      <c r="EF463" s="70" t="s">
        <v>1124</v>
      </c>
      <c r="EG463" s="70" t="s">
        <v>1124</v>
      </c>
      <c r="EH463" s="72"/>
      <c r="EI463" s="72">
        <v>933</v>
      </c>
    </row>
    <row r="464" spans="71:139" x14ac:dyDescent="0.35">
      <c r="BS464" s="486">
        <v>57030</v>
      </c>
      <c r="BT464" s="479" t="s">
        <v>585</v>
      </c>
      <c r="BU464" s="479">
        <v>16</v>
      </c>
      <c r="BV464" s="476" t="s">
        <v>1187</v>
      </c>
      <c r="BW464" s="476" t="s">
        <v>1187</v>
      </c>
      <c r="BX464" s="476" t="s">
        <v>1187</v>
      </c>
      <c r="BY464" s="476" t="s">
        <v>1187</v>
      </c>
      <c r="BZ464" s="476" t="s">
        <v>1187</v>
      </c>
      <c r="CA464" s="476" t="s">
        <v>1187</v>
      </c>
      <c r="CB464" s="476" t="s">
        <v>1187</v>
      </c>
      <c r="CC464" s="476" t="s">
        <v>1187</v>
      </c>
      <c r="CD464" s="476" t="s">
        <v>1187</v>
      </c>
      <c r="CE464" s="476" t="s">
        <v>1188</v>
      </c>
      <c r="CF464" s="476" t="s">
        <v>1188</v>
      </c>
      <c r="CG464" s="476" t="s">
        <v>1188</v>
      </c>
      <c r="CH464" s="476" t="s">
        <v>1188</v>
      </c>
      <c r="CI464" s="476" t="s">
        <v>1188</v>
      </c>
      <c r="CJ464" s="476" t="s">
        <v>1188</v>
      </c>
      <c r="CK464" s="476" t="s">
        <v>1188</v>
      </c>
      <c r="CL464" s="476" t="s">
        <v>1188</v>
      </c>
      <c r="CM464" s="476" t="str">
        <f>IF(VLOOKUP(BS464,'Données par municipalité'!$B$6:$E$1113,4,FALSE)="","non","oui")</f>
        <v>non</v>
      </c>
      <c r="CN464" s="410">
        <v>421.89994064751443</v>
      </c>
      <c r="CO464" s="410">
        <v>362.75118731688343</v>
      </c>
      <c r="CP464" s="410">
        <v>357.4327185454249</v>
      </c>
      <c r="CQ464" s="410">
        <v>380.81960125422466</v>
      </c>
      <c r="CR464" s="410">
        <v>394.9593248545707</v>
      </c>
      <c r="CS464" s="410">
        <v>369.71854311147706</v>
      </c>
      <c r="CT464" s="410">
        <v>323.21048718600491</v>
      </c>
      <c r="CU464" s="410">
        <v>350</v>
      </c>
      <c r="CV464" s="410" t="str">
        <f>IF(VLOOKUP(BS464,'Données par municipalité'!$B$6:$F$1113,4,FALSE)="","",VLOOKUP(BS464,'Données par municipalité'!$B$6:$F$1113,4,FALSE))</f>
        <v/>
      </c>
      <c r="CW464" s="476" t="s">
        <v>4723</v>
      </c>
      <c r="CX464" s="483">
        <v>0.5</v>
      </c>
      <c r="CY464" s="483">
        <v>0.7</v>
      </c>
      <c r="CZ464" s="483">
        <v>1</v>
      </c>
      <c r="DA464" s="483">
        <v>1</v>
      </c>
      <c r="DB464" s="483">
        <v>1</v>
      </c>
      <c r="DC464" s="483">
        <v>1</v>
      </c>
      <c r="DD464" s="483">
        <v>1</v>
      </c>
      <c r="DE464" s="483" t="str">
        <f>IFERROR(SUM(VLOOKUP($BS464,'État &amp; Plan d''action'!$B$6:$Z$1113,18,FALSE),VLOOKUP($BS464,'État &amp; Plan d''action'!$B$6:$Z$1113,20,FALSE))/(VLOOKUP($BS464,'Données par municipalité'!$B$4:$L$1113,11,FALSE)),"")</f>
        <v/>
      </c>
      <c r="DF464" s="483" t="str">
        <f>IFERROR(SUM(VLOOKUP($BS464,'État &amp; Plan d''action'!$B$6:$Z$1113,19,FALSE),VLOOKUP($BS464,'État &amp; Plan d''action'!$B$6:$Z$1113,21,FALSE))/(VLOOKUP($BS464,'Données par municipalité'!$B$4:$L$1113,11,FALSE)),"")</f>
        <v/>
      </c>
      <c r="DG464" s="476" t="s">
        <v>4723</v>
      </c>
      <c r="DH464" s="484">
        <v>13</v>
      </c>
      <c r="DI464" s="484">
        <v>14</v>
      </c>
      <c r="DJ464" s="484">
        <v>10</v>
      </c>
      <c r="DK464" s="484">
        <v>10</v>
      </c>
      <c r="DL464" s="484">
        <v>12</v>
      </c>
      <c r="DM464" s="484">
        <v>12</v>
      </c>
      <c r="DN464" s="484">
        <v>6</v>
      </c>
      <c r="DO464" s="484">
        <v>2</v>
      </c>
      <c r="DP464" s="484">
        <v>5</v>
      </c>
      <c r="DQ464" s="484" t="str">
        <f>IF(VLOOKUP($BS464,'État &amp; Plan d''action'!$B$6:$AJ$1113,28,FALSE)="","",VLOOKUP($BS464,'État &amp; Plan d''action'!$B$6:$AJ$1113,28,FALSE))</f>
        <v/>
      </c>
      <c r="DR464" s="70" t="str">
        <f>IF(VLOOKUP($BS464,'État &amp; Plan d''action'!$B$6:$AJ$1113,29,FALSE)="","",VLOOKUP($BS464,'État &amp; Plan d''action'!$B$6:$AJ$1113,29,FALSE))</f>
        <v/>
      </c>
      <c r="DS464" s="70" t="str">
        <f>IF(VLOOKUP($BS464,'État &amp; Plan d''action'!$B$6:$AJ$1113,30,FALSE)="","",VLOOKUP($BS464,'État &amp; Plan d''action'!$B$6:$AJ$1113,30,FALSE))</f>
        <v/>
      </c>
      <c r="DT464" s="70">
        <v>273</v>
      </c>
      <c r="DU464" s="485">
        <v>1.9994427671227013</v>
      </c>
      <c r="DV464" s="485" t="s">
        <v>1124</v>
      </c>
      <c r="DW464" s="70">
        <v>1</v>
      </c>
      <c r="DX464" s="70">
        <v>1</v>
      </c>
      <c r="DY464" s="70">
        <v>1</v>
      </c>
      <c r="DZ464" s="70" t="str">
        <f>VLOOKUP($BS464,'État &amp; Plan d''action'!$B$6:$AH$1113,31,FALSE)</f>
        <v/>
      </c>
      <c r="EA464" s="70" t="str">
        <f>VLOOKUP($BS464,'État &amp; Plan d''action'!$B$6:$AH$1113,32,FALSE)</f>
        <v/>
      </c>
      <c r="EB464" s="70" t="str">
        <f>VLOOKUP($BS464,'État &amp; Plan d''action'!$B$6:$AH$1113,33,FALSE)</f>
        <v/>
      </c>
      <c r="EC464" s="70">
        <v>0</v>
      </c>
      <c r="ED464" s="70">
        <v>0</v>
      </c>
      <c r="EE464" s="70">
        <v>50.633000000000003</v>
      </c>
      <c r="EF464" s="70">
        <v>0</v>
      </c>
      <c r="EG464" s="70">
        <v>0</v>
      </c>
      <c r="EH464" s="72">
        <v>64</v>
      </c>
      <c r="EI464" s="72">
        <v>8337</v>
      </c>
    </row>
    <row r="465" spans="71:139" x14ac:dyDescent="0.35">
      <c r="BS465" s="486">
        <v>13015</v>
      </c>
      <c r="BT465" s="479" t="s">
        <v>43</v>
      </c>
      <c r="BU465" s="479">
        <v>1</v>
      </c>
      <c r="BV465" s="476" t="s">
        <v>1188</v>
      </c>
      <c r="BW465" s="476" t="s">
        <v>1188</v>
      </c>
      <c r="BX465" s="476" t="s">
        <v>1188</v>
      </c>
      <c r="BY465" s="476" t="s">
        <v>1188</v>
      </c>
      <c r="BZ465" s="476" t="s">
        <v>1188</v>
      </c>
      <c r="CA465" s="476" t="s">
        <v>1188</v>
      </c>
      <c r="CB465" s="476" t="s">
        <v>1188</v>
      </c>
      <c r="CC465" s="476" t="s">
        <v>1188</v>
      </c>
      <c r="CD465" s="476" t="s">
        <v>1188</v>
      </c>
      <c r="CE465" s="476" t="s">
        <v>1187</v>
      </c>
      <c r="CF465" s="476" t="s">
        <v>1187</v>
      </c>
      <c r="CG465" s="476" t="s">
        <v>1187</v>
      </c>
      <c r="CH465" s="476" t="s">
        <v>1187</v>
      </c>
      <c r="CI465" s="476" t="s">
        <v>1187</v>
      </c>
      <c r="CJ465" s="476" t="s">
        <v>1187</v>
      </c>
      <c r="CK465" s="476" t="s">
        <v>1187</v>
      </c>
      <c r="CL465" s="476" t="s">
        <v>1187</v>
      </c>
      <c r="CM465" s="476" t="str">
        <f>IF(VLOOKUP(BS465,'Données par municipalité'!$B$6:$E$1113,4,FALSE)="","non","oui")</f>
        <v>non</v>
      </c>
      <c r="CN465" s="410" t="s">
        <v>1124</v>
      </c>
      <c r="CO465" s="410" t="s">
        <v>1124</v>
      </c>
      <c r="CP465" s="410"/>
      <c r="CQ465" s="410"/>
      <c r="CR465" s="410"/>
      <c r="CS465" s="410" t="s">
        <v>1124</v>
      </c>
      <c r="CT465" s="410"/>
      <c r="CU465" s="410" t="s">
        <v>1124</v>
      </c>
      <c r="CV465" s="410" t="str">
        <f>IF(VLOOKUP(BS465,'Données par municipalité'!$B$6:$F$1113,4,FALSE)="","",VLOOKUP(BS465,'Données par municipalité'!$B$6:$F$1113,4,FALSE))</f>
        <v/>
      </c>
      <c r="CW465" s="476" t="s">
        <v>4723</v>
      </c>
      <c r="CX465" s="483" t="s">
        <v>1124</v>
      </c>
      <c r="CY465" s="483" t="s">
        <v>1124</v>
      </c>
      <c r="CZ465" s="483" t="s">
        <v>1124</v>
      </c>
      <c r="DA465" s="483" t="s">
        <v>1124</v>
      </c>
      <c r="DB465" s="483" t="s">
        <v>1124</v>
      </c>
      <c r="DC465" s="483" t="s">
        <v>1124</v>
      </c>
      <c r="DD465" s="483" t="s">
        <v>1124</v>
      </c>
      <c r="DE465" s="483" t="str">
        <f>IFERROR(SUM(VLOOKUP($BS465,'État &amp; Plan d''action'!$B$6:$Z$1113,18,FALSE),VLOOKUP($BS465,'État &amp; Plan d''action'!$B$6:$Z$1113,20,FALSE))/(VLOOKUP($BS465,'Données par municipalité'!$B$4:$L$1113,11,FALSE)),"")</f>
        <v/>
      </c>
      <c r="DF465" s="483" t="str">
        <f>IFERROR(SUM(VLOOKUP($BS465,'État &amp; Plan d''action'!$B$6:$Z$1113,19,FALSE),VLOOKUP($BS465,'État &amp; Plan d''action'!$B$6:$Z$1113,21,FALSE))/(VLOOKUP($BS465,'Données par municipalité'!$B$4:$L$1113,11,FALSE)),"")</f>
        <v/>
      </c>
      <c r="DG465" s="476" t="s">
        <v>4723</v>
      </c>
      <c r="DH465" s="484" t="s">
        <v>1124</v>
      </c>
      <c r="DI465" s="484" t="s">
        <v>1124</v>
      </c>
      <c r="DJ465" s="484">
        <v>0</v>
      </c>
      <c r="DK465" s="484">
        <v>0</v>
      </c>
      <c r="DL465" s="484" t="s">
        <v>1124</v>
      </c>
      <c r="DM465" s="484" t="s">
        <v>1124</v>
      </c>
      <c r="DN465" s="484" t="s">
        <v>1124</v>
      </c>
      <c r="DO465" s="484" t="s">
        <v>1124</v>
      </c>
      <c r="DP465" s="484" t="s">
        <v>1124</v>
      </c>
      <c r="DQ465" s="484" t="str">
        <f>IF(VLOOKUP($BS465,'État &amp; Plan d''action'!$B$6:$AJ$1113,28,FALSE)="","",VLOOKUP($BS465,'État &amp; Plan d''action'!$B$6:$AJ$1113,28,FALSE))</f>
        <v/>
      </c>
      <c r="DR465" s="70" t="str">
        <f>IF(VLOOKUP($BS465,'État &amp; Plan d''action'!$B$6:$AJ$1113,29,FALSE)="","",VLOOKUP($BS465,'État &amp; Plan d''action'!$B$6:$AJ$1113,29,FALSE))</f>
        <v/>
      </c>
      <c r="DS465" s="70" t="str">
        <f>IF(VLOOKUP($BS465,'État &amp; Plan d''action'!$B$6:$AJ$1113,30,FALSE)="","",VLOOKUP($BS465,'État &amp; Plan d''action'!$B$6:$AJ$1113,30,FALSE))</f>
        <v/>
      </c>
      <c r="DT465" s="70" t="s">
        <v>1124</v>
      </c>
      <c r="DU465" s="485" t="s">
        <v>1124</v>
      </c>
      <c r="DV465" s="485" t="s">
        <v>1124</v>
      </c>
      <c r="DW465" s="70" t="s">
        <v>1124</v>
      </c>
      <c r="DX465" s="70" t="s">
        <v>1124</v>
      </c>
      <c r="DY465" s="70" t="s">
        <v>1124</v>
      </c>
      <c r="DZ465" s="70" t="str">
        <f>VLOOKUP($BS465,'État &amp; Plan d''action'!$B$6:$AH$1113,31,FALSE)</f>
        <v/>
      </c>
      <c r="EA465" s="70" t="str">
        <f>VLOOKUP($BS465,'État &amp; Plan d''action'!$B$6:$AH$1113,32,FALSE)</f>
        <v/>
      </c>
      <c r="EB465" s="70" t="str">
        <f>VLOOKUP($BS465,'État &amp; Plan d''action'!$B$6:$AH$1113,33,FALSE)</f>
        <v/>
      </c>
      <c r="EC465" s="70" t="s">
        <v>1124</v>
      </c>
      <c r="ED465" s="70" t="s">
        <v>1124</v>
      </c>
      <c r="EE465" s="70" t="s">
        <v>1124</v>
      </c>
      <c r="EF465" s="70" t="s">
        <v>1124</v>
      </c>
      <c r="EG465" s="70" t="s">
        <v>1124</v>
      </c>
      <c r="EH465" s="72"/>
      <c r="EI465" s="72">
        <v>648</v>
      </c>
    </row>
    <row r="466" spans="71:139" x14ac:dyDescent="0.35">
      <c r="BS466" s="486">
        <v>9040</v>
      </c>
      <c r="BT466" s="479" t="s">
        <v>1104</v>
      </c>
      <c r="BU466" s="479">
        <v>1</v>
      </c>
      <c r="BV466" s="476" t="s">
        <v>1188</v>
      </c>
      <c r="BW466" s="476" t="s">
        <v>1188</v>
      </c>
      <c r="BX466" s="476" t="s">
        <v>1188</v>
      </c>
      <c r="BY466" s="476" t="s">
        <v>1188</v>
      </c>
      <c r="BZ466" s="476" t="s">
        <v>1188</v>
      </c>
      <c r="CA466" s="476" t="s">
        <v>1188</v>
      </c>
      <c r="CB466" s="476" t="s">
        <v>1188</v>
      </c>
      <c r="CC466" s="476" t="s">
        <v>1188</v>
      </c>
      <c r="CD466" s="476" t="s">
        <v>1188</v>
      </c>
      <c r="CE466" s="476" t="s">
        <v>1188</v>
      </c>
      <c r="CF466" s="476" t="s">
        <v>1187</v>
      </c>
      <c r="CG466" s="476" t="s">
        <v>1187</v>
      </c>
      <c r="CH466" s="476" t="s">
        <v>1187</v>
      </c>
      <c r="CI466" s="476" t="s">
        <v>1187</v>
      </c>
      <c r="CJ466" s="476" t="s">
        <v>1187</v>
      </c>
      <c r="CK466" s="476" t="s">
        <v>1187</v>
      </c>
      <c r="CL466" s="476" t="s">
        <v>1187</v>
      </c>
      <c r="CM466" s="476" t="str">
        <f>IF(VLOOKUP(BS466,'Données par municipalité'!$B$6:$E$1113,4,FALSE)="","non","oui")</f>
        <v>non</v>
      </c>
      <c r="CN466" s="410">
        <v>645.19467349381557</v>
      </c>
      <c r="CO466" s="410" t="s">
        <v>1124</v>
      </c>
      <c r="CP466" s="410"/>
      <c r="CQ466" s="410"/>
      <c r="CR466" s="410"/>
      <c r="CS466" s="410" t="s">
        <v>1124</v>
      </c>
      <c r="CT466" s="410"/>
      <c r="CU466" s="410" t="s">
        <v>1124</v>
      </c>
      <c r="CV466" s="410" t="str">
        <f>IF(VLOOKUP(BS466,'Données par municipalité'!$B$6:$F$1113,4,FALSE)="","",VLOOKUP(BS466,'Données par municipalité'!$B$6:$F$1113,4,FALSE))</f>
        <v/>
      </c>
      <c r="CW466" s="476" t="s">
        <v>4723</v>
      </c>
      <c r="CX466" s="483" t="s">
        <v>1124</v>
      </c>
      <c r="CY466" s="483" t="s">
        <v>1124</v>
      </c>
      <c r="CZ466" s="483" t="s">
        <v>1124</v>
      </c>
      <c r="DA466" s="483" t="s">
        <v>1124</v>
      </c>
      <c r="DB466" s="483" t="s">
        <v>1124</v>
      </c>
      <c r="DC466" s="483" t="s">
        <v>1124</v>
      </c>
      <c r="DD466" s="483" t="s">
        <v>1124</v>
      </c>
      <c r="DE466" s="483" t="str">
        <f>IFERROR(SUM(VLOOKUP($BS466,'État &amp; Plan d''action'!$B$6:$Z$1113,18,FALSE),VLOOKUP($BS466,'État &amp; Plan d''action'!$B$6:$Z$1113,20,FALSE))/(VLOOKUP($BS466,'Données par municipalité'!$B$4:$L$1113,11,FALSE)),"")</f>
        <v/>
      </c>
      <c r="DF466" s="483" t="str">
        <f>IFERROR(SUM(VLOOKUP($BS466,'État &amp; Plan d''action'!$B$6:$Z$1113,19,FALSE),VLOOKUP($BS466,'État &amp; Plan d''action'!$B$6:$Z$1113,21,FALSE))/(VLOOKUP($BS466,'Données par municipalité'!$B$4:$L$1113,11,FALSE)),"")</f>
        <v/>
      </c>
      <c r="DG466" s="476" t="s">
        <v>4723</v>
      </c>
      <c r="DH466" s="484" t="s">
        <v>1124</v>
      </c>
      <c r="DI466" s="484" t="s">
        <v>1124</v>
      </c>
      <c r="DJ466" s="484">
        <v>0</v>
      </c>
      <c r="DK466" s="484">
        <v>0</v>
      </c>
      <c r="DL466" s="484" t="s">
        <v>1124</v>
      </c>
      <c r="DM466" s="484" t="s">
        <v>1124</v>
      </c>
      <c r="DN466" s="484" t="s">
        <v>1124</v>
      </c>
      <c r="DO466" s="484" t="s">
        <v>1124</v>
      </c>
      <c r="DP466" s="484" t="s">
        <v>1124</v>
      </c>
      <c r="DQ466" s="484" t="str">
        <f>IF(VLOOKUP($BS466,'État &amp; Plan d''action'!$B$6:$AJ$1113,28,FALSE)="","",VLOOKUP($BS466,'État &amp; Plan d''action'!$B$6:$AJ$1113,28,FALSE))</f>
        <v/>
      </c>
      <c r="DR466" s="70" t="str">
        <f>IF(VLOOKUP($BS466,'État &amp; Plan d''action'!$B$6:$AJ$1113,29,FALSE)="","",VLOOKUP($BS466,'État &amp; Plan d''action'!$B$6:$AJ$1113,29,FALSE))</f>
        <v/>
      </c>
      <c r="DS466" s="70" t="str">
        <f>IF(VLOOKUP($BS466,'État &amp; Plan d''action'!$B$6:$AJ$1113,30,FALSE)="","",VLOOKUP($BS466,'État &amp; Plan d''action'!$B$6:$AJ$1113,30,FALSE))</f>
        <v/>
      </c>
      <c r="DT466" s="70" t="s">
        <v>1124</v>
      </c>
      <c r="DU466" s="485" t="s">
        <v>1124</v>
      </c>
      <c r="DV466" s="485" t="s">
        <v>1124</v>
      </c>
      <c r="DW466" s="70" t="s">
        <v>1124</v>
      </c>
      <c r="DX466" s="70" t="s">
        <v>1124</v>
      </c>
      <c r="DY466" s="70" t="s">
        <v>1124</v>
      </c>
      <c r="DZ466" s="70" t="str">
        <f>VLOOKUP($BS466,'État &amp; Plan d''action'!$B$6:$AH$1113,31,FALSE)</f>
        <v/>
      </c>
      <c r="EA466" s="70" t="str">
        <f>VLOOKUP($BS466,'État &amp; Plan d''action'!$B$6:$AH$1113,32,FALSE)</f>
        <v/>
      </c>
      <c r="EB466" s="70" t="str">
        <f>VLOOKUP($BS466,'État &amp; Plan d''action'!$B$6:$AH$1113,33,FALSE)</f>
        <v/>
      </c>
      <c r="EC466" s="70" t="s">
        <v>1124</v>
      </c>
      <c r="ED466" s="70" t="s">
        <v>1124</v>
      </c>
      <c r="EE466" s="70" t="s">
        <v>1124</v>
      </c>
      <c r="EF466" s="70" t="s">
        <v>1124</v>
      </c>
      <c r="EG466" s="70" t="s">
        <v>1124</v>
      </c>
      <c r="EH466" s="72"/>
      <c r="EI466" s="72">
        <v>239</v>
      </c>
    </row>
    <row r="467" spans="71:139" x14ac:dyDescent="0.35">
      <c r="BS467" s="486">
        <v>87025</v>
      </c>
      <c r="BT467" s="479" t="s">
        <v>894</v>
      </c>
      <c r="BU467" s="479">
        <v>8</v>
      </c>
      <c r="BV467" s="476" t="s">
        <v>1187</v>
      </c>
      <c r="BW467" s="476" t="s">
        <v>1187</v>
      </c>
      <c r="BX467" s="476" t="s">
        <v>1187</v>
      </c>
      <c r="BY467" s="476" t="s">
        <v>1187</v>
      </c>
      <c r="BZ467" s="476" t="s">
        <v>1187</v>
      </c>
      <c r="CA467" s="476" t="s">
        <v>1187</v>
      </c>
      <c r="CB467" s="476" t="s">
        <v>1187</v>
      </c>
      <c r="CC467" s="476" t="s">
        <v>1187</v>
      </c>
      <c r="CD467" s="476" t="s">
        <v>1187</v>
      </c>
      <c r="CE467" s="476" t="s">
        <v>1188</v>
      </c>
      <c r="CF467" s="476" t="s">
        <v>1188</v>
      </c>
      <c r="CG467" s="476" t="s">
        <v>1187</v>
      </c>
      <c r="CH467" s="476" t="s">
        <v>1188</v>
      </c>
      <c r="CI467" s="476" t="s">
        <v>1188</v>
      </c>
      <c r="CJ467" s="476" t="s">
        <v>1188</v>
      </c>
      <c r="CK467" s="476" t="s">
        <v>1188</v>
      </c>
      <c r="CL467" s="476" t="s">
        <v>1188</v>
      </c>
      <c r="CM467" s="476" t="str">
        <f>IF(VLOOKUP(BS467,'Données par municipalité'!$B$6:$E$1113,4,FALSE)="","non","oui")</f>
        <v>non</v>
      </c>
      <c r="CN467" s="410">
        <v>462.46081051723144</v>
      </c>
      <c r="CO467" s="410">
        <v>423.38387245335383</v>
      </c>
      <c r="CP467" s="410"/>
      <c r="CQ467" s="410">
        <v>286.86415394560191</v>
      </c>
      <c r="CR467" s="410">
        <v>337.44257826049966</v>
      </c>
      <c r="CS467" s="410">
        <v>270.26663610064094</v>
      </c>
      <c r="CT467" s="410">
        <v>246.17305353226629</v>
      </c>
      <c r="CU467" s="410">
        <v>283</v>
      </c>
      <c r="CV467" s="410" t="str">
        <f>IF(VLOOKUP(BS467,'Données par municipalité'!$B$6:$F$1113,4,FALSE)="","",VLOOKUP(BS467,'Données par municipalité'!$B$6:$F$1113,4,FALSE))</f>
        <v/>
      </c>
      <c r="CW467" s="476" t="s">
        <v>4723</v>
      </c>
      <c r="CX467" s="483">
        <v>0</v>
      </c>
      <c r="CY467" s="483" t="s">
        <v>1124</v>
      </c>
      <c r="CZ467" s="483">
        <v>0</v>
      </c>
      <c r="DA467" s="483">
        <v>0</v>
      </c>
      <c r="DB467" s="483">
        <v>0</v>
      </c>
      <c r="DC467" s="483">
        <v>0</v>
      </c>
      <c r="DD467" s="483">
        <v>0</v>
      </c>
      <c r="DE467" s="483" t="str">
        <f>IFERROR(SUM(VLOOKUP($BS467,'État &amp; Plan d''action'!$B$6:$Z$1113,18,FALSE),VLOOKUP($BS467,'État &amp; Plan d''action'!$B$6:$Z$1113,20,FALSE))/(VLOOKUP($BS467,'Données par municipalité'!$B$4:$L$1113,11,FALSE)),"")</f>
        <v/>
      </c>
      <c r="DF467" s="483" t="str">
        <f>IFERROR(SUM(VLOOKUP($BS467,'État &amp; Plan d''action'!$B$6:$Z$1113,19,FALSE),VLOOKUP($BS467,'État &amp; Plan d''action'!$B$6:$Z$1113,21,FALSE))/(VLOOKUP($BS467,'Données par municipalité'!$B$4:$L$1113,11,FALSE)),"")</f>
        <v/>
      </c>
      <c r="DG467" s="476" t="s">
        <v>4723</v>
      </c>
      <c r="DH467" s="484" t="s">
        <v>1124</v>
      </c>
      <c r="DI467" s="484" t="s">
        <v>1124</v>
      </c>
      <c r="DJ467" s="484">
        <v>0</v>
      </c>
      <c r="DK467" s="484">
        <v>0</v>
      </c>
      <c r="DL467" s="484">
        <v>1</v>
      </c>
      <c r="DM467" s="484">
        <v>0</v>
      </c>
      <c r="DN467" s="484">
        <v>0</v>
      </c>
      <c r="DO467" s="484">
        <v>0</v>
      </c>
      <c r="DP467" s="484">
        <v>0</v>
      </c>
      <c r="DQ467" s="484" t="str">
        <f>IF(VLOOKUP($BS467,'État &amp; Plan d''action'!$B$6:$AJ$1113,28,FALSE)="","",VLOOKUP($BS467,'État &amp; Plan d''action'!$B$6:$AJ$1113,28,FALSE))</f>
        <v/>
      </c>
      <c r="DR467" s="70" t="str">
        <f>IF(VLOOKUP($BS467,'État &amp; Plan d''action'!$B$6:$AJ$1113,29,FALSE)="","",VLOOKUP($BS467,'État &amp; Plan d''action'!$B$6:$AJ$1113,29,FALSE))</f>
        <v/>
      </c>
      <c r="DS467" s="70" t="str">
        <f>IF(VLOOKUP($BS467,'État &amp; Plan d''action'!$B$6:$AJ$1113,30,FALSE)="","",VLOOKUP($BS467,'État &amp; Plan d''action'!$B$6:$AJ$1113,30,FALSE))</f>
        <v/>
      </c>
      <c r="DT467" s="70">
        <v>246</v>
      </c>
      <c r="DU467" s="485">
        <v>1.1159110163628263</v>
      </c>
      <c r="DV467" s="485" t="s">
        <v>1124</v>
      </c>
      <c r="DW467" s="70">
        <v>0</v>
      </c>
      <c r="DX467" s="70">
        <v>0</v>
      </c>
      <c r="DY467" s="70">
        <v>0</v>
      </c>
      <c r="DZ467" s="70" t="str">
        <f>VLOOKUP($BS467,'État &amp; Plan d''action'!$B$6:$AH$1113,31,FALSE)</f>
        <v/>
      </c>
      <c r="EA467" s="70" t="str">
        <f>VLOOKUP($BS467,'État &amp; Plan d''action'!$B$6:$AH$1113,32,FALSE)</f>
        <v/>
      </c>
      <c r="EB467" s="70" t="str">
        <f>VLOOKUP($BS467,'État &amp; Plan d''action'!$B$6:$AH$1113,33,FALSE)</f>
        <v/>
      </c>
      <c r="EC467" s="70">
        <v>0</v>
      </c>
      <c r="ED467" s="70">
        <v>0</v>
      </c>
      <c r="EE467" s="70">
        <v>0</v>
      </c>
      <c r="EF467" s="70">
        <v>0</v>
      </c>
      <c r="EG467" s="70">
        <v>0</v>
      </c>
      <c r="EH467" s="72">
        <v>43</v>
      </c>
      <c r="EI467" s="72">
        <v>1427</v>
      </c>
    </row>
    <row r="468" spans="71:139" x14ac:dyDescent="0.35">
      <c r="BS468" s="486">
        <v>80037</v>
      </c>
      <c r="BT468" s="479" t="s">
        <v>808</v>
      </c>
      <c r="BU468" s="479">
        <v>7</v>
      </c>
      <c r="BV468" s="476" t="s">
        <v>1187</v>
      </c>
      <c r="BW468" s="476" t="s">
        <v>1187</v>
      </c>
      <c r="BX468" s="476" t="s">
        <v>1187</v>
      </c>
      <c r="BY468" s="476" t="s">
        <v>1187</v>
      </c>
      <c r="BZ468" s="476" t="s">
        <v>1187</v>
      </c>
      <c r="CA468" s="476" t="s">
        <v>1187</v>
      </c>
      <c r="CB468" s="476" t="s">
        <v>1187</v>
      </c>
      <c r="CC468" s="476" t="s">
        <v>1187</v>
      </c>
      <c r="CD468" s="476" t="s">
        <v>1187</v>
      </c>
      <c r="CE468" s="476" t="s">
        <v>1188</v>
      </c>
      <c r="CF468" s="476" t="s">
        <v>1188</v>
      </c>
      <c r="CG468" s="476" t="s">
        <v>1187</v>
      </c>
      <c r="CH468" s="476" t="s">
        <v>1187</v>
      </c>
      <c r="CI468" s="476" t="s">
        <v>1187</v>
      </c>
      <c r="CJ468" s="476" t="s">
        <v>1188</v>
      </c>
      <c r="CK468" s="476" t="s">
        <v>1188</v>
      </c>
      <c r="CL468" s="476" t="s">
        <v>1188</v>
      </c>
      <c r="CM468" s="476" t="str">
        <f>IF(VLOOKUP(BS468,'Données par municipalité'!$B$6:$E$1113,4,FALSE)="","non","oui")</f>
        <v>oui</v>
      </c>
      <c r="CN468" s="410">
        <v>575.03088622637347</v>
      </c>
      <c r="CO468" s="410">
        <v>520.44020297118061</v>
      </c>
      <c r="CP468" s="410"/>
      <c r="CQ468" s="410"/>
      <c r="CR468" s="410"/>
      <c r="CS468" s="410">
        <v>460.51282613428071</v>
      </c>
      <c r="CT468" s="410">
        <v>386.37735361003632</v>
      </c>
      <c r="CU468" s="410">
        <v>442</v>
      </c>
      <c r="CV468" s="410">
        <f>IF(VLOOKUP(BS468,'Données par municipalité'!$B$6:$F$1113,4,FALSE)="","",VLOOKUP(BS468,'Données par municipalité'!$B$6:$F$1113,4,FALSE))</f>
        <v>365</v>
      </c>
      <c r="CW468" s="476" t="s">
        <v>4723</v>
      </c>
      <c r="CX468" s="483">
        <v>0.1</v>
      </c>
      <c r="CY468" s="483" t="s">
        <v>1124</v>
      </c>
      <c r="CZ468" s="483" t="s">
        <v>1124</v>
      </c>
      <c r="DA468" s="483" t="s">
        <v>1124</v>
      </c>
      <c r="DB468" s="483">
        <v>1</v>
      </c>
      <c r="DC468" s="483">
        <v>1</v>
      </c>
      <c r="DD468" s="483">
        <v>1</v>
      </c>
      <c r="DE468" s="483">
        <f>IFERROR(SUM(VLOOKUP($BS468,'État &amp; Plan d''action'!$B$6:$Z$1113,18,FALSE),VLOOKUP($BS468,'État &amp; Plan d''action'!$B$6:$Z$1113,20,FALSE))/(VLOOKUP($BS468,'Données par municipalité'!$B$4:$L$1113,11,FALSE)),"")</f>
        <v>0.99827882960413084</v>
      </c>
      <c r="DF468" s="483">
        <f>IFERROR(SUM(VLOOKUP($BS468,'État &amp; Plan d''action'!$B$6:$Z$1113,19,FALSE),VLOOKUP($BS468,'État &amp; Plan d''action'!$B$6:$Z$1113,21,FALSE))/(VLOOKUP($BS468,'Données par municipalité'!$B$4:$L$1113,11,FALSE)),"")</f>
        <v>0</v>
      </c>
      <c r="DG468" s="476" t="s">
        <v>4723</v>
      </c>
      <c r="DH468" s="484">
        <v>10</v>
      </c>
      <c r="DI468" s="484" t="s">
        <v>1124</v>
      </c>
      <c r="DJ468" s="484">
        <v>10</v>
      </c>
      <c r="DK468" s="484">
        <v>7</v>
      </c>
      <c r="DL468" s="484">
        <v>11</v>
      </c>
      <c r="DM468" s="484">
        <v>5</v>
      </c>
      <c r="DN468" s="484">
        <v>4</v>
      </c>
      <c r="DO468" s="484">
        <v>0</v>
      </c>
      <c r="DP468" s="484">
        <v>1</v>
      </c>
      <c r="DQ468" s="484">
        <f>IF(VLOOKUP($BS468,'État &amp; Plan d''action'!$B$6:$AJ$1113,28,FALSE)="","",VLOOKUP($BS468,'État &amp; Plan d''action'!$B$6:$AJ$1113,28,FALSE))</f>
        <v>4</v>
      </c>
      <c r="DR468" s="70">
        <f>IF(VLOOKUP($BS468,'État &amp; Plan d''action'!$B$6:$AJ$1113,29,FALSE)="","",VLOOKUP($BS468,'État &amp; Plan d''action'!$B$6:$AJ$1113,29,FALSE))</f>
        <v>1</v>
      </c>
      <c r="DS468" s="70">
        <f>IF(VLOOKUP($BS468,'État &amp; Plan d''action'!$B$6:$AJ$1113,30,FALSE)="","",VLOOKUP($BS468,'État &amp; Plan d''action'!$B$6:$AJ$1113,30,FALSE))</f>
        <v>3</v>
      </c>
      <c r="DT468" s="70">
        <v>227</v>
      </c>
      <c r="DU468" s="485">
        <v>2.787381900765586</v>
      </c>
      <c r="DV468" s="485">
        <v>3.1731066028402592</v>
      </c>
      <c r="DW468" s="70">
        <v>1</v>
      </c>
      <c r="DX468" s="70">
        <v>0</v>
      </c>
      <c r="DY468" s="70">
        <v>15</v>
      </c>
      <c r="DZ468" s="70">
        <f>VLOOKUP($BS468,'État &amp; Plan d''action'!$B$6:$AH$1113,31,FALSE)</f>
        <v>1</v>
      </c>
      <c r="EA468" s="70">
        <f>VLOOKUP($BS468,'État &amp; Plan d''action'!$B$6:$AH$1113,32,FALSE)</f>
        <v>1</v>
      </c>
      <c r="EB468" s="70">
        <f>VLOOKUP($BS468,'État &amp; Plan d''action'!$B$6:$AH$1113,33,FALSE)</f>
        <v>1</v>
      </c>
      <c r="EC468" s="70">
        <v>0</v>
      </c>
      <c r="ED468" s="70">
        <v>29.05</v>
      </c>
      <c r="EE468" s="70">
        <v>0</v>
      </c>
      <c r="EF468" s="70">
        <v>0</v>
      </c>
      <c r="EG468" s="70">
        <v>0</v>
      </c>
      <c r="EH468" s="72">
        <v>59</v>
      </c>
      <c r="EI468" s="72">
        <v>2103</v>
      </c>
    </row>
    <row r="469" spans="71:139" x14ac:dyDescent="0.35">
      <c r="BS469" s="486">
        <v>38055</v>
      </c>
      <c r="BT469" s="479" t="s">
        <v>333</v>
      </c>
      <c r="BU469" s="479">
        <v>17</v>
      </c>
      <c r="BV469" s="476" t="s">
        <v>1187</v>
      </c>
      <c r="BW469" s="476" t="s">
        <v>1187</v>
      </c>
      <c r="BX469" s="476" t="s">
        <v>1187</v>
      </c>
      <c r="BY469" s="476" t="s">
        <v>1187</v>
      </c>
      <c r="BZ469" s="476" t="s">
        <v>1187</v>
      </c>
      <c r="CA469" s="476" t="s">
        <v>1187</v>
      </c>
      <c r="CB469" s="476" t="s">
        <v>1187</v>
      </c>
      <c r="CC469" s="476" t="s">
        <v>1187</v>
      </c>
      <c r="CD469" s="476" t="s">
        <v>1187</v>
      </c>
      <c r="CE469" s="476" t="s">
        <v>1188</v>
      </c>
      <c r="CF469" s="476" t="s">
        <v>1188</v>
      </c>
      <c r="CG469" s="476" t="s">
        <v>1188</v>
      </c>
      <c r="CH469" s="476" t="s">
        <v>1188</v>
      </c>
      <c r="CI469" s="476" t="s">
        <v>1188</v>
      </c>
      <c r="CJ469" s="476" t="s">
        <v>1188</v>
      </c>
      <c r="CK469" s="476" t="s">
        <v>1188</v>
      </c>
      <c r="CL469" s="476" t="s">
        <v>1188</v>
      </c>
      <c r="CM469" s="476" t="str">
        <f>IF(VLOOKUP(BS469,'Données par municipalité'!$B$6:$E$1113,4,FALSE)="","non","oui")</f>
        <v>oui</v>
      </c>
      <c r="CN469" s="410">
        <v>614.98972376390918</v>
      </c>
      <c r="CO469" s="410">
        <v>636.19775401986351</v>
      </c>
      <c r="CP469" s="410">
        <v>506.4349361917433</v>
      </c>
      <c r="CQ469" s="410">
        <v>462.43919799976078</v>
      </c>
      <c r="CR469" s="410">
        <v>487.52040763686114</v>
      </c>
      <c r="CS469" s="410">
        <v>477.28319289197111</v>
      </c>
      <c r="CT469" s="410">
        <v>414.01785580287111</v>
      </c>
      <c r="CU469" s="410">
        <v>466</v>
      </c>
      <c r="CV469" s="410">
        <f>IF(VLOOKUP(BS469,'Données par municipalité'!$B$6:$F$1113,4,FALSE)="","",VLOOKUP(BS469,'Données par municipalité'!$B$6:$F$1113,4,FALSE))</f>
        <v>431</v>
      </c>
      <c r="CW469" s="476" t="s">
        <v>4723</v>
      </c>
      <c r="CX469" s="483">
        <v>0</v>
      </c>
      <c r="CY469" s="483">
        <v>0</v>
      </c>
      <c r="CZ469" s="483">
        <v>0</v>
      </c>
      <c r="DA469" s="483">
        <v>0</v>
      </c>
      <c r="DB469" s="483">
        <v>0</v>
      </c>
      <c r="DC469" s="483">
        <v>0</v>
      </c>
      <c r="DD469" s="483">
        <v>0</v>
      </c>
      <c r="DE469" s="483">
        <f>IFERROR(SUM(VLOOKUP($BS469,'État &amp; Plan d''action'!$B$6:$Z$1113,18,FALSE),VLOOKUP($BS469,'État &amp; Plan d''action'!$B$6:$Z$1113,20,FALSE))/(VLOOKUP($BS469,'Données par municipalité'!$B$4:$L$1113,11,FALSE)),"")</f>
        <v>0</v>
      </c>
      <c r="DF469" s="483">
        <f>IFERROR(SUM(VLOOKUP($BS469,'État &amp; Plan d''action'!$B$6:$Z$1113,19,FALSE),VLOOKUP($BS469,'État &amp; Plan d''action'!$B$6:$Z$1113,21,FALSE))/(VLOOKUP($BS469,'Données par municipalité'!$B$4:$L$1113,11,FALSE)),"")</f>
        <v>1.0153550863723608</v>
      </c>
      <c r="DG469" s="476" t="s">
        <v>4723</v>
      </c>
      <c r="DH469" s="484">
        <v>1</v>
      </c>
      <c r="DI469" s="484">
        <v>1</v>
      </c>
      <c r="DJ469" s="484">
        <v>0</v>
      </c>
      <c r="DK469" s="484">
        <v>0</v>
      </c>
      <c r="DL469" s="484">
        <v>0</v>
      </c>
      <c r="DM469" s="484">
        <v>1</v>
      </c>
      <c r="DN469" s="484">
        <v>0</v>
      </c>
      <c r="DO469" s="484">
        <v>3</v>
      </c>
      <c r="DP469" s="484">
        <v>0</v>
      </c>
      <c r="DQ469" s="484">
        <f>IF(VLOOKUP($BS469,'État &amp; Plan d''action'!$B$6:$AJ$1113,28,FALSE)="","",VLOOKUP($BS469,'État &amp; Plan d''action'!$B$6:$AJ$1113,28,FALSE))</f>
        <v>0</v>
      </c>
      <c r="DR469" s="70">
        <f>IF(VLOOKUP($BS469,'État &amp; Plan d''action'!$B$6:$AJ$1113,29,FALSE)="","",VLOOKUP($BS469,'État &amp; Plan d''action'!$B$6:$AJ$1113,29,FALSE))</f>
        <v>2</v>
      </c>
      <c r="DS469" s="70">
        <f>IF(VLOOKUP($BS469,'État &amp; Plan d''action'!$B$6:$AJ$1113,30,FALSE)="","",VLOOKUP($BS469,'État &amp; Plan d''action'!$B$6:$AJ$1113,30,FALSE))</f>
        <v>0</v>
      </c>
      <c r="DT469" s="70">
        <v>309</v>
      </c>
      <c r="DU469" s="485">
        <v>1.9325976529557636</v>
      </c>
      <c r="DV469" s="485">
        <v>1.5580043829364134</v>
      </c>
      <c r="DW469" s="70">
        <v>0</v>
      </c>
      <c r="DX469" s="70">
        <v>4</v>
      </c>
      <c r="DY469" s="70">
        <v>0</v>
      </c>
      <c r="DZ469" s="70">
        <f>VLOOKUP($BS469,'État &amp; Plan d''action'!$B$6:$AH$1113,31,FALSE)</f>
        <v>0</v>
      </c>
      <c r="EA469" s="70">
        <f>VLOOKUP($BS469,'État &amp; Plan d''action'!$B$6:$AH$1113,32,FALSE)</f>
        <v>5</v>
      </c>
      <c r="EB469" s="70">
        <f>VLOOKUP($BS469,'État &amp; Plan d''action'!$B$6:$AH$1113,33,FALSE)</f>
        <v>0</v>
      </c>
      <c r="EC469" s="70">
        <v>0</v>
      </c>
      <c r="ED469" s="70">
        <v>0</v>
      </c>
      <c r="EE469" s="70">
        <v>0</v>
      </c>
      <c r="EF469" s="70">
        <v>0</v>
      </c>
      <c r="EG469" s="70">
        <v>0</v>
      </c>
      <c r="EH469" s="72">
        <v>60</v>
      </c>
      <c r="EI469" s="72">
        <v>562</v>
      </c>
    </row>
    <row r="470" spans="71:139" x14ac:dyDescent="0.35">
      <c r="BS470" s="486">
        <v>5032</v>
      </c>
      <c r="BT470" s="479" t="s">
        <v>1048</v>
      </c>
      <c r="BU470" s="479">
        <v>11</v>
      </c>
      <c r="BV470" s="476" t="s">
        <v>1187</v>
      </c>
      <c r="BW470" s="476" t="s">
        <v>1187</v>
      </c>
      <c r="BX470" s="476" t="s">
        <v>1187</v>
      </c>
      <c r="BY470" s="476" t="s">
        <v>1187</v>
      </c>
      <c r="BZ470" s="476" t="s">
        <v>1187</v>
      </c>
      <c r="CA470" s="476" t="s">
        <v>1187</v>
      </c>
      <c r="CB470" s="476" t="s">
        <v>1187</v>
      </c>
      <c r="CC470" s="476" t="s">
        <v>1187</v>
      </c>
      <c r="CD470" s="476" t="s">
        <v>1187</v>
      </c>
      <c r="CE470" s="476" t="s">
        <v>1187</v>
      </c>
      <c r="CF470" s="476" t="s">
        <v>1187</v>
      </c>
      <c r="CG470" s="476" t="s">
        <v>1187</v>
      </c>
      <c r="CH470" s="476" t="s">
        <v>1187</v>
      </c>
      <c r="CI470" s="476" t="s">
        <v>1187</v>
      </c>
      <c r="CJ470" s="476" t="s">
        <v>1187</v>
      </c>
      <c r="CK470" s="476" t="s">
        <v>1187</v>
      </c>
      <c r="CL470" s="476" t="s">
        <v>1187</v>
      </c>
      <c r="CM470" s="476" t="str">
        <f>IF(VLOOKUP(BS470,'Données par municipalité'!$B$6:$E$1113,4,FALSE)="","non","oui")</f>
        <v>oui</v>
      </c>
      <c r="CN470" s="410" t="s">
        <v>1124</v>
      </c>
      <c r="CO470" s="410" t="s">
        <v>1124</v>
      </c>
      <c r="CP470" s="410"/>
      <c r="CQ470" s="410"/>
      <c r="CR470" s="410"/>
      <c r="CS470" s="410" t="s">
        <v>1124</v>
      </c>
      <c r="CT470" s="410"/>
      <c r="CU470" s="410" t="s">
        <v>1124</v>
      </c>
      <c r="CV470" s="410">
        <f>IF(VLOOKUP(BS470,'Données par municipalité'!$B$6:$F$1113,4,FALSE)="","",VLOOKUP(BS470,'Données par municipalité'!$B$6:$F$1113,4,FALSE))</f>
        <v>884</v>
      </c>
      <c r="CW470" s="476" t="s">
        <v>4723</v>
      </c>
      <c r="CX470" s="483" t="s">
        <v>1124</v>
      </c>
      <c r="CY470" s="483" t="s">
        <v>1124</v>
      </c>
      <c r="CZ470" s="483" t="s">
        <v>1124</v>
      </c>
      <c r="DA470" s="483" t="s">
        <v>1124</v>
      </c>
      <c r="DB470" s="483" t="s">
        <v>1124</v>
      </c>
      <c r="DC470" s="483" t="s">
        <v>1124</v>
      </c>
      <c r="DD470" s="483" t="s">
        <v>1124</v>
      </c>
      <c r="DE470" s="483">
        <f>IFERROR(SUM(VLOOKUP($BS470,'État &amp; Plan d''action'!$B$6:$Z$1113,18,FALSE),VLOOKUP($BS470,'État &amp; Plan d''action'!$B$6:$Z$1113,20,FALSE))/(VLOOKUP($BS470,'Données par municipalité'!$B$4:$L$1113,11,FALSE)),"")</f>
        <v>1.2221520586006567</v>
      </c>
      <c r="DF470" s="483">
        <f>IFERROR(SUM(VLOOKUP($BS470,'État &amp; Plan d''action'!$B$6:$Z$1113,19,FALSE),VLOOKUP($BS470,'État &amp; Plan d''action'!$B$6:$Z$1113,21,FALSE))/(VLOOKUP($BS470,'Données par municipalité'!$B$4:$L$1113,11,FALSE)),"")</f>
        <v>1.583228087900985</v>
      </c>
      <c r="DG470" s="476" t="s">
        <v>4723</v>
      </c>
      <c r="DH470" s="484" t="s">
        <v>1124</v>
      </c>
      <c r="DI470" s="484" t="s">
        <v>1124</v>
      </c>
      <c r="DJ470" s="484">
        <v>0</v>
      </c>
      <c r="DK470" s="484">
        <v>0</v>
      </c>
      <c r="DL470" s="484" t="s">
        <v>1124</v>
      </c>
      <c r="DM470" s="484" t="s">
        <v>1124</v>
      </c>
      <c r="DN470" s="484" t="s">
        <v>1124</v>
      </c>
      <c r="DO470" s="484" t="s">
        <v>1124</v>
      </c>
      <c r="DP470" s="484" t="s">
        <v>1124</v>
      </c>
      <c r="DQ470" s="484">
        <f>IF(VLOOKUP($BS470,'État &amp; Plan d''action'!$B$6:$AJ$1113,28,FALSE)="","",VLOOKUP($BS470,'État &amp; Plan d''action'!$B$6:$AJ$1113,28,FALSE))</f>
        <v>2</v>
      </c>
      <c r="DR470" s="70">
        <f>IF(VLOOKUP($BS470,'État &amp; Plan d''action'!$B$6:$AJ$1113,29,FALSE)="","",VLOOKUP($BS470,'État &amp; Plan d''action'!$B$6:$AJ$1113,29,FALSE))</f>
        <v>0</v>
      </c>
      <c r="DS470" s="70">
        <f>IF(VLOOKUP($BS470,'État &amp; Plan d''action'!$B$6:$AJ$1113,30,FALSE)="","",VLOOKUP($BS470,'État &amp; Plan d''action'!$B$6:$AJ$1113,30,FALSE))</f>
        <v>0</v>
      </c>
      <c r="DT470" s="70" t="s">
        <v>1124</v>
      </c>
      <c r="DU470" s="485" t="s">
        <v>1124</v>
      </c>
      <c r="DV470" s="485">
        <v>8.0561269111416145</v>
      </c>
      <c r="DW470" s="70" t="s">
        <v>1124</v>
      </c>
      <c r="DX470" s="70" t="s">
        <v>1124</v>
      </c>
      <c r="DY470" s="70" t="s">
        <v>1124</v>
      </c>
      <c r="DZ470" s="70">
        <f>VLOOKUP($BS470,'État &amp; Plan d''action'!$B$6:$AH$1113,31,FALSE)</f>
        <v>2</v>
      </c>
      <c r="EA470" s="70">
        <f>VLOOKUP($BS470,'État &amp; Plan d''action'!$B$6:$AH$1113,32,FALSE)</f>
        <v>0</v>
      </c>
      <c r="EB470" s="70">
        <f>VLOOKUP($BS470,'État &amp; Plan d''action'!$B$6:$AH$1113,33,FALSE)</f>
        <v>0</v>
      </c>
      <c r="EC470" s="70" t="s">
        <v>1124</v>
      </c>
      <c r="ED470" s="70" t="s">
        <v>1124</v>
      </c>
      <c r="EE470" s="70" t="s">
        <v>1124</v>
      </c>
      <c r="EF470" s="70" t="s">
        <v>1124</v>
      </c>
      <c r="EG470" s="70" t="s">
        <v>1124</v>
      </c>
      <c r="EH470" s="72"/>
      <c r="EI470" s="72">
        <v>3157</v>
      </c>
    </row>
    <row r="471" spans="71:139" x14ac:dyDescent="0.35">
      <c r="BS471" s="486">
        <v>2005</v>
      </c>
      <c r="BT471" s="479" t="s">
        <v>1026</v>
      </c>
      <c r="BU471" s="479">
        <v>11</v>
      </c>
      <c r="BV471" s="476" t="s">
        <v>1187</v>
      </c>
      <c r="BW471" s="476" t="s">
        <v>1187</v>
      </c>
      <c r="BX471" s="476" t="s">
        <v>1187</v>
      </c>
      <c r="BY471" s="476" t="s">
        <v>1187</v>
      </c>
      <c r="BZ471" s="476" t="s">
        <v>1187</v>
      </c>
      <c r="CA471" s="476" t="s">
        <v>1187</v>
      </c>
      <c r="CB471" s="476" t="s">
        <v>1187</v>
      </c>
      <c r="CC471" s="476" t="s">
        <v>1187</v>
      </c>
      <c r="CD471" s="476" t="s">
        <v>1187</v>
      </c>
      <c r="CE471" s="476" t="s">
        <v>1187</v>
      </c>
      <c r="CF471" s="476" t="s">
        <v>1187</v>
      </c>
      <c r="CG471" s="476" t="s">
        <v>1187</v>
      </c>
      <c r="CH471" s="476" t="s">
        <v>1187</v>
      </c>
      <c r="CI471" s="476" t="s">
        <v>1187</v>
      </c>
      <c r="CJ471" s="476" t="s">
        <v>1187</v>
      </c>
      <c r="CK471" s="476" t="s">
        <v>1187</v>
      </c>
      <c r="CL471" s="476" t="s">
        <v>1188</v>
      </c>
      <c r="CM471" s="476" t="str">
        <f>IF(VLOOKUP(BS471,'Données par municipalité'!$B$6:$E$1113,4,FALSE)="","non","oui")</f>
        <v>oui</v>
      </c>
      <c r="CN471" s="410" t="s">
        <v>1124</v>
      </c>
      <c r="CO471" s="410" t="s">
        <v>1124</v>
      </c>
      <c r="CP471" s="410"/>
      <c r="CQ471" s="410"/>
      <c r="CR471" s="410"/>
      <c r="CS471" s="410" t="s">
        <v>1124</v>
      </c>
      <c r="CT471" s="410"/>
      <c r="CU471" s="410">
        <v>1515</v>
      </c>
      <c r="CV471" s="410">
        <f>IF(VLOOKUP(BS471,'Données par municipalité'!$B$6:$F$1113,4,FALSE)="","",VLOOKUP(BS471,'Données par municipalité'!$B$6:$F$1113,4,FALSE))</f>
        <v>1294</v>
      </c>
      <c r="CW471" s="476" t="s">
        <v>4723</v>
      </c>
      <c r="CX471" s="483" t="s">
        <v>1124</v>
      </c>
      <c r="CY471" s="483" t="s">
        <v>1124</v>
      </c>
      <c r="CZ471" s="483" t="s">
        <v>1124</v>
      </c>
      <c r="DA471" s="483" t="s">
        <v>1124</v>
      </c>
      <c r="DB471" s="483" t="s">
        <v>1124</v>
      </c>
      <c r="DC471" s="483" t="s">
        <v>1124</v>
      </c>
      <c r="DD471" s="483" t="s">
        <v>1124</v>
      </c>
      <c r="DE471" s="483">
        <f>IFERROR(SUM(VLOOKUP($BS471,'État &amp; Plan d''action'!$B$6:$Z$1113,18,FALSE),VLOOKUP($BS471,'État &amp; Plan d''action'!$B$6:$Z$1113,20,FALSE))/(VLOOKUP($BS471,'Données par municipalité'!$B$4:$L$1113,11,FALSE)),"")</f>
        <v>1.042589793045926</v>
      </c>
      <c r="DF471" s="483">
        <f>IFERROR(SUM(VLOOKUP($BS471,'État &amp; Plan d''action'!$B$6:$Z$1113,19,FALSE),VLOOKUP($BS471,'État &amp; Plan d''action'!$B$6:$Z$1113,21,FALSE))/(VLOOKUP($BS471,'Données par municipalité'!$B$4:$L$1113,11,FALSE)),"")</f>
        <v>1.042589793045926</v>
      </c>
      <c r="DG471" s="476" t="s">
        <v>4723</v>
      </c>
      <c r="DH471" s="484" t="s">
        <v>1124</v>
      </c>
      <c r="DI471" s="484" t="s">
        <v>1124</v>
      </c>
      <c r="DJ471" s="484">
        <v>0</v>
      </c>
      <c r="DK471" s="484">
        <v>0</v>
      </c>
      <c r="DL471" s="484" t="s">
        <v>1124</v>
      </c>
      <c r="DM471" s="484" t="s">
        <v>1124</v>
      </c>
      <c r="DN471" s="484">
        <v>3</v>
      </c>
      <c r="DO471" s="484">
        <v>2</v>
      </c>
      <c r="DP471" s="484">
        <v>5</v>
      </c>
      <c r="DQ471" s="484">
        <f>IF(VLOOKUP($BS471,'État &amp; Plan d''action'!$B$6:$AJ$1113,28,FALSE)="","",VLOOKUP($BS471,'État &amp; Plan d''action'!$B$6:$AJ$1113,28,FALSE))</f>
        <v>2</v>
      </c>
      <c r="DR471" s="70">
        <f>IF(VLOOKUP($BS471,'État &amp; Plan d''action'!$B$6:$AJ$1113,29,FALSE)="","",VLOOKUP($BS471,'État &amp; Plan d''action'!$B$6:$AJ$1113,29,FALSE))</f>
        <v>0</v>
      </c>
      <c r="DS471" s="70">
        <f>IF(VLOOKUP($BS471,'État &amp; Plan d''action'!$B$6:$AJ$1113,30,FALSE)="","",VLOOKUP($BS471,'État &amp; Plan d''action'!$B$6:$AJ$1113,30,FALSE))</f>
        <v>1</v>
      </c>
      <c r="DT471" s="70">
        <v>645</v>
      </c>
      <c r="DU471" s="485">
        <v>6.3103233236854139</v>
      </c>
      <c r="DV471" s="485">
        <v>10.206829201646398</v>
      </c>
      <c r="DW471" s="70">
        <v>1</v>
      </c>
      <c r="DX471" s="70">
        <v>2</v>
      </c>
      <c r="DY471" s="70">
        <v>7</v>
      </c>
      <c r="DZ471" s="70">
        <f>VLOOKUP($BS471,'État &amp; Plan d''action'!$B$6:$AH$1113,31,FALSE)</f>
        <v>1</v>
      </c>
      <c r="EA471" s="70">
        <f>VLOOKUP($BS471,'État &amp; Plan d''action'!$B$6:$AH$1113,32,FALSE)</f>
        <v>0</v>
      </c>
      <c r="EB471" s="70">
        <f>VLOOKUP($BS471,'État &amp; Plan d''action'!$B$6:$AH$1113,33,FALSE)</f>
        <v>3</v>
      </c>
      <c r="EC471" s="70">
        <v>19.183</v>
      </c>
      <c r="ED471" s="70">
        <v>0</v>
      </c>
      <c r="EE471" s="70">
        <v>0</v>
      </c>
      <c r="EF471" s="70">
        <v>0</v>
      </c>
      <c r="EG471" s="70">
        <v>0</v>
      </c>
      <c r="EH471" s="72">
        <v>59</v>
      </c>
      <c r="EI471" s="72">
        <v>3041</v>
      </c>
    </row>
    <row r="472" spans="71:139" x14ac:dyDescent="0.35">
      <c r="BS472" s="486">
        <v>92010</v>
      </c>
      <c r="BT472" s="479" t="s">
        <v>947</v>
      </c>
      <c r="BU472" s="479">
        <v>2</v>
      </c>
      <c r="BV472" s="476" t="s">
        <v>1187</v>
      </c>
      <c r="BW472" s="476" t="s">
        <v>1187</v>
      </c>
      <c r="BX472" s="476" t="s">
        <v>1187</v>
      </c>
      <c r="BY472" s="476" t="s">
        <v>1187</v>
      </c>
      <c r="BZ472" s="476" t="s">
        <v>1187</v>
      </c>
      <c r="CA472" s="476" t="s">
        <v>1187</v>
      </c>
      <c r="CB472" s="476" t="s">
        <v>1187</v>
      </c>
      <c r="CC472" s="476" t="s">
        <v>1187</v>
      </c>
      <c r="CD472" s="476" t="s">
        <v>1187</v>
      </c>
      <c r="CE472" s="476" t="s">
        <v>1188</v>
      </c>
      <c r="CF472" s="476" t="s">
        <v>1188</v>
      </c>
      <c r="CG472" s="476" t="s">
        <v>1188</v>
      </c>
      <c r="CH472" s="476" t="s">
        <v>1188</v>
      </c>
      <c r="CI472" s="476" t="s">
        <v>1188</v>
      </c>
      <c r="CJ472" s="476" t="s">
        <v>1187</v>
      </c>
      <c r="CK472" s="476" t="s">
        <v>1187</v>
      </c>
      <c r="CL472" s="476" t="s">
        <v>1187</v>
      </c>
      <c r="CM472" s="476" t="str">
        <f>IF(VLOOKUP(BS472,'Données par municipalité'!$B$6:$E$1113,4,FALSE)="","non","oui")</f>
        <v>non</v>
      </c>
      <c r="CN472" s="410">
        <v>616.39917243973537</v>
      </c>
      <c r="CO472" s="410">
        <v>544.00618737543812</v>
      </c>
      <c r="CP472" s="410">
        <v>597.36764270925755</v>
      </c>
      <c r="CQ472" s="410">
        <v>745.53891266737935</v>
      </c>
      <c r="CR472" s="410">
        <v>834.48340489334157</v>
      </c>
      <c r="CS472" s="410" t="s">
        <v>1124</v>
      </c>
      <c r="CT472" s="410"/>
      <c r="CU472" s="410" t="s">
        <v>1124</v>
      </c>
      <c r="CV472" s="410" t="str">
        <f>IF(VLOOKUP(BS472,'Données par municipalité'!$B$6:$F$1113,4,FALSE)="","",VLOOKUP(BS472,'Données par municipalité'!$B$6:$F$1113,4,FALSE))</f>
        <v/>
      </c>
      <c r="CW472" s="476" t="s">
        <v>4723</v>
      </c>
      <c r="CX472" s="483">
        <v>0</v>
      </c>
      <c r="CY472" s="483">
        <v>0</v>
      </c>
      <c r="CZ472" s="483">
        <v>0.01</v>
      </c>
      <c r="DA472" s="483">
        <v>1</v>
      </c>
      <c r="DB472" s="483" t="s">
        <v>1124</v>
      </c>
      <c r="DC472" s="483" t="s">
        <v>1124</v>
      </c>
      <c r="DD472" s="483" t="s">
        <v>1124</v>
      </c>
      <c r="DE472" s="483" t="str">
        <f>IFERROR(SUM(VLOOKUP($BS472,'État &amp; Plan d''action'!$B$6:$Z$1113,18,FALSE),VLOOKUP($BS472,'État &amp; Plan d''action'!$B$6:$Z$1113,20,FALSE))/(VLOOKUP($BS472,'Données par municipalité'!$B$4:$L$1113,11,FALSE)),"")</f>
        <v/>
      </c>
      <c r="DF472" s="483" t="str">
        <f>IFERROR(SUM(VLOOKUP($BS472,'État &amp; Plan d''action'!$B$6:$Z$1113,19,FALSE),VLOOKUP($BS472,'État &amp; Plan d''action'!$B$6:$Z$1113,21,FALSE))/(VLOOKUP($BS472,'Données par municipalité'!$B$4:$L$1113,11,FALSE)),"")</f>
        <v/>
      </c>
      <c r="DG472" s="476" t="s">
        <v>4723</v>
      </c>
      <c r="DH472" s="484" t="s">
        <v>1124</v>
      </c>
      <c r="DI472" s="484" t="s">
        <v>1124</v>
      </c>
      <c r="DJ472" s="484">
        <v>4</v>
      </c>
      <c r="DK472" s="484">
        <v>2</v>
      </c>
      <c r="DL472" s="484" t="s">
        <v>1124</v>
      </c>
      <c r="DM472" s="484" t="s">
        <v>1124</v>
      </c>
      <c r="DN472" s="484" t="s">
        <v>1124</v>
      </c>
      <c r="DO472" s="484" t="s">
        <v>1124</v>
      </c>
      <c r="DP472" s="484" t="s">
        <v>1124</v>
      </c>
      <c r="DQ472" s="484" t="str">
        <f>IF(VLOOKUP($BS472,'État &amp; Plan d''action'!$B$6:$AJ$1113,28,FALSE)="","",VLOOKUP($BS472,'État &amp; Plan d''action'!$B$6:$AJ$1113,28,FALSE))</f>
        <v/>
      </c>
      <c r="DR472" s="70" t="str">
        <f>IF(VLOOKUP($BS472,'État &amp; Plan d''action'!$B$6:$AJ$1113,29,FALSE)="","",VLOOKUP($BS472,'État &amp; Plan d''action'!$B$6:$AJ$1113,29,FALSE))</f>
        <v/>
      </c>
      <c r="DS472" s="70" t="str">
        <f>IF(VLOOKUP($BS472,'État &amp; Plan d''action'!$B$6:$AJ$1113,30,FALSE)="","",VLOOKUP($BS472,'État &amp; Plan d''action'!$B$6:$AJ$1113,30,FALSE))</f>
        <v/>
      </c>
      <c r="DT472" s="70" t="s">
        <v>1124</v>
      </c>
      <c r="DU472" s="485" t="s">
        <v>1124</v>
      </c>
      <c r="DV472" s="485" t="s">
        <v>1124</v>
      </c>
      <c r="DW472" s="70" t="s">
        <v>1124</v>
      </c>
      <c r="DX472" s="70" t="s">
        <v>1124</v>
      </c>
      <c r="DY472" s="70" t="s">
        <v>1124</v>
      </c>
      <c r="DZ472" s="70" t="str">
        <f>VLOOKUP($BS472,'État &amp; Plan d''action'!$B$6:$AH$1113,31,FALSE)</f>
        <v/>
      </c>
      <c r="EA472" s="70" t="str">
        <f>VLOOKUP($BS472,'État &amp; Plan d''action'!$B$6:$AH$1113,32,FALSE)</f>
        <v/>
      </c>
      <c r="EB472" s="70" t="str">
        <f>VLOOKUP($BS472,'État &amp; Plan d''action'!$B$6:$AH$1113,33,FALSE)</f>
        <v/>
      </c>
      <c r="EC472" s="70" t="s">
        <v>1124</v>
      </c>
      <c r="ED472" s="70" t="s">
        <v>1124</v>
      </c>
      <c r="EE472" s="70" t="s">
        <v>1124</v>
      </c>
      <c r="EF472" s="70" t="s">
        <v>1124</v>
      </c>
      <c r="EG472" s="70" t="s">
        <v>1124</v>
      </c>
      <c r="EH472" s="72"/>
      <c r="EI472" s="72">
        <v>492</v>
      </c>
    </row>
    <row r="473" spans="71:139" x14ac:dyDescent="0.35">
      <c r="BS473" s="486">
        <v>16005</v>
      </c>
      <c r="BT473" s="479" t="s">
        <v>84</v>
      </c>
      <c r="BU473" s="479">
        <v>3</v>
      </c>
      <c r="BV473" s="476" t="s">
        <v>1187</v>
      </c>
      <c r="BW473" s="476" t="s">
        <v>1187</v>
      </c>
      <c r="BX473" s="476" t="s">
        <v>1187</v>
      </c>
      <c r="BY473" s="476" t="s">
        <v>1187</v>
      </c>
      <c r="BZ473" s="476" t="s">
        <v>1187</v>
      </c>
      <c r="CA473" s="476" t="s">
        <v>1187</v>
      </c>
      <c r="CB473" s="476" t="s">
        <v>1187</v>
      </c>
      <c r="CC473" s="476" t="s">
        <v>1187</v>
      </c>
      <c r="CD473" s="476" t="s">
        <v>1187</v>
      </c>
      <c r="CE473" s="476" t="s">
        <v>1188</v>
      </c>
      <c r="CF473" s="476" t="s">
        <v>1188</v>
      </c>
      <c r="CG473" s="476" t="s">
        <v>1187</v>
      </c>
      <c r="CH473" s="476" t="s">
        <v>1187</v>
      </c>
      <c r="CI473" s="476" t="s">
        <v>1188</v>
      </c>
      <c r="CJ473" s="476" t="s">
        <v>1188</v>
      </c>
      <c r="CK473" s="476" t="s">
        <v>1188</v>
      </c>
      <c r="CL473" s="476" t="s">
        <v>1188</v>
      </c>
      <c r="CM473" s="476" t="str">
        <f>IF(VLOOKUP(BS473,'Données par municipalité'!$B$6:$E$1113,4,FALSE)="","non","oui")</f>
        <v>oui</v>
      </c>
      <c r="CN473" s="410">
        <v>803.22425475787804</v>
      </c>
      <c r="CO473" s="410">
        <v>889.13797953241794</v>
      </c>
      <c r="CP473" s="410"/>
      <c r="CQ473" s="410"/>
      <c r="CR473" s="410">
        <v>339.59690797462082</v>
      </c>
      <c r="CS473" s="410">
        <v>361.24734334105329</v>
      </c>
      <c r="CT473" s="410">
        <v>362.8737176129286</v>
      </c>
      <c r="CU473" s="410">
        <v>541</v>
      </c>
      <c r="CV473" s="410">
        <f>IF(VLOOKUP(BS473,'Données par municipalité'!$B$6:$F$1113,4,FALSE)="","",VLOOKUP(BS473,'Données par municipalité'!$B$6:$F$1113,4,FALSE))</f>
        <v>429</v>
      </c>
      <c r="CW473" s="476" t="s">
        <v>4723</v>
      </c>
      <c r="CX473" s="483">
        <v>0.2</v>
      </c>
      <c r="CY473" s="483" t="s">
        <v>1124</v>
      </c>
      <c r="CZ473" s="483" t="s">
        <v>1124</v>
      </c>
      <c r="DA473" s="483">
        <v>0</v>
      </c>
      <c r="DB473" s="483">
        <v>1</v>
      </c>
      <c r="DC473" s="483">
        <v>1</v>
      </c>
      <c r="DD473" s="483">
        <v>0</v>
      </c>
      <c r="DE473" s="483">
        <f>IFERROR(SUM(VLOOKUP($BS473,'État &amp; Plan d''action'!$B$6:$Z$1113,18,FALSE),VLOOKUP($BS473,'État &amp; Plan d''action'!$B$6:$Z$1113,20,FALSE))/(VLOOKUP($BS473,'Données par municipalité'!$B$4:$L$1113,11,FALSE)),"")</f>
        <v>0</v>
      </c>
      <c r="DF473" s="483">
        <f>IFERROR(SUM(VLOOKUP($BS473,'État &amp; Plan d''action'!$B$6:$Z$1113,19,FALSE),VLOOKUP($BS473,'État &amp; Plan d''action'!$B$6:$Z$1113,21,FALSE))/(VLOOKUP($BS473,'Données par municipalité'!$B$4:$L$1113,11,FALSE)),"")</f>
        <v>0</v>
      </c>
      <c r="DG473" s="476" t="s">
        <v>4723</v>
      </c>
      <c r="DH473" s="484">
        <v>3</v>
      </c>
      <c r="DI473" s="484" t="s">
        <v>1124</v>
      </c>
      <c r="DJ473" s="484">
        <v>0</v>
      </c>
      <c r="DK473" s="484">
        <v>4</v>
      </c>
      <c r="DL473" s="484">
        <v>1</v>
      </c>
      <c r="DM473" s="484">
        <v>2</v>
      </c>
      <c r="DN473" s="484">
        <v>0</v>
      </c>
      <c r="DO473" s="484">
        <v>0</v>
      </c>
      <c r="DP473" s="484">
        <v>0</v>
      </c>
      <c r="DQ473" s="484">
        <f>IF(VLOOKUP($BS473,'État &amp; Plan d''action'!$B$6:$AJ$1113,28,FALSE)="","",VLOOKUP($BS473,'État &amp; Plan d''action'!$B$6:$AJ$1113,28,FALSE))</f>
        <v>0</v>
      </c>
      <c r="DR473" s="70">
        <f>IF(VLOOKUP($BS473,'État &amp; Plan d''action'!$B$6:$AJ$1113,29,FALSE)="","",VLOOKUP($BS473,'État &amp; Plan d''action'!$B$6:$AJ$1113,29,FALSE))</f>
        <v>0</v>
      </c>
      <c r="DS473" s="70">
        <f>IF(VLOOKUP($BS473,'État &amp; Plan d''action'!$B$6:$AJ$1113,30,FALSE)="","",VLOOKUP($BS473,'État &amp; Plan d''action'!$B$6:$AJ$1113,30,FALSE))</f>
        <v>0</v>
      </c>
      <c r="DT473" s="70">
        <v>471</v>
      </c>
      <c r="DU473" s="485">
        <v>0.49571433165943418</v>
      </c>
      <c r="DV473" s="485">
        <v>0.82605949291012426</v>
      </c>
      <c r="DW473" s="70">
        <v>0</v>
      </c>
      <c r="DX473" s="70">
        <v>0</v>
      </c>
      <c r="DY473" s="70">
        <v>0</v>
      </c>
      <c r="DZ473" s="70">
        <f>VLOOKUP($BS473,'État &amp; Plan d''action'!$B$6:$AH$1113,31,FALSE)</f>
        <v>0</v>
      </c>
      <c r="EA473" s="70">
        <f>VLOOKUP($BS473,'État &amp; Plan d''action'!$B$6:$AH$1113,32,FALSE)</f>
        <v>0</v>
      </c>
      <c r="EB473" s="70">
        <f>VLOOKUP($BS473,'État &amp; Plan d''action'!$B$6:$AH$1113,33,FALSE)</f>
        <v>0</v>
      </c>
      <c r="EC473" s="70">
        <v>0</v>
      </c>
      <c r="ED473" s="70">
        <v>0</v>
      </c>
      <c r="EE473" s="70">
        <v>0</v>
      </c>
      <c r="EF473" s="70">
        <v>0</v>
      </c>
      <c r="EG473" s="70">
        <v>0</v>
      </c>
      <c r="EH473" s="72">
        <v>44.378378378378386</v>
      </c>
      <c r="EI473" s="72">
        <v>864</v>
      </c>
    </row>
    <row r="474" spans="71:139" x14ac:dyDescent="0.35">
      <c r="BS474" s="486">
        <v>3015</v>
      </c>
      <c r="BT474" s="479" t="s">
        <v>1033</v>
      </c>
      <c r="BU474" s="479">
        <v>11</v>
      </c>
      <c r="BV474" s="476" t="s">
        <v>1187</v>
      </c>
      <c r="BW474" s="476" t="s">
        <v>1187</v>
      </c>
      <c r="BX474" s="476" t="s">
        <v>1187</v>
      </c>
      <c r="BY474" s="476" t="s">
        <v>1187</v>
      </c>
      <c r="BZ474" s="476" t="s">
        <v>1187</v>
      </c>
      <c r="CA474" s="476" t="s">
        <v>1187</v>
      </c>
      <c r="CB474" s="476" t="s">
        <v>1187</v>
      </c>
      <c r="CC474" s="476" t="s">
        <v>1187</v>
      </c>
      <c r="CD474" s="476" t="s">
        <v>1187</v>
      </c>
      <c r="CE474" s="476" t="s">
        <v>1188</v>
      </c>
      <c r="CF474" s="476" t="s">
        <v>1188</v>
      </c>
      <c r="CG474" s="476" t="s">
        <v>1187</v>
      </c>
      <c r="CH474" s="476" t="s">
        <v>1188</v>
      </c>
      <c r="CI474" s="476" t="s">
        <v>1188</v>
      </c>
      <c r="CJ474" s="476" t="s">
        <v>1187</v>
      </c>
      <c r="CK474" s="476" t="s">
        <v>1187</v>
      </c>
      <c r="CL474" s="476" t="s">
        <v>1188</v>
      </c>
      <c r="CM474" s="476" t="str">
        <f>IF(VLOOKUP(BS474,'Données par municipalité'!$B$6:$E$1113,4,FALSE)="","non","oui")</f>
        <v>oui</v>
      </c>
      <c r="CN474" s="410">
        <v>1348.3518967057955</v>
      </c>
      <c r="CO474" s="410">
        <v>1283.2463012822068</v>
      </c>
      <c r="CP474" s="410"/>
      <c r="CQ474" s="410">
        <v>757.67391256327278</v>
      </c>
      <c r="CR474" s="410">
        <v>864.19114901927003</v>
      </c>
      <c r="CS474" s="410" t="s">
        <v>1124</v>
      </c>
      <c r="CT474" s="410"/>
      <c r="CU474" s="410">
        <v>485</v>
      </c>
      <c r="CV474" s="410">
        <f>IF(VLOOKUP(BS474,'Données par municipalité'!$B$6:$F$1113,4,FALSE)="","",VLOOKUP(BS474,'Données par municipalité'!$B$6:$F$1113,4,FALSE))</f>
        <v>554</v>
      </c>
      <c r="CW474" s="476" t="s">
        <v>4723</v>
      </c>
      <c r="CX474" s="483">
        <v>0.3</v>
      </c>
      <c r="CY474" s="483" t="s">
        <v>1124</v>
      </c>
      <c r="CZ474" s="483">
        <v>0</v>
      </c>
      <c r="DA474" s="483">
        <v>0</v>
      </c>
      <c r="DB474" s="483" t="s">
        <v>1124</v>
      </c>
      <c r="DC474" s="483" t="s">
        <v>1124</v>
      </c>
      <c r="DD474" s="483" t="s">
        <v>1124</v>
      </c>
      <c r="DE474" s="483">
        <f>IFERROR(SUM(VLOOKUP($BS474,'État &amp; Plan d''action'!$B$6:$Z$1113,18,FALSE),VLOOKUP($BS474,'État &amp; Plan d''action'!$B$6:$Z$1113,20,FALSE))/(VLOOKUP($BS474,'Données par municipalité'!$B$4:$L$1113,11,FALSE)),"")</f>
        <v>0</v>
      </c>
      <c r="DF474" s="483">
        <f>IFERROR(SUM(VLOOKUP($BS474,'État &amp; Plan d''action'!$B$6:$Z$1113,19,FALSE),VLOOKUP($BS474,'État &amp; Plan d''action'!$B$6:$Z$1113,21,FALSE))/(VLOOKUP($BS474,'Données par municipalité'!$B$4:$L$1113,11,FALSE)),"")</f>
        <v>0</v>
      </c>
      <c r="DG474" s="476" t="s">
        <v>4723</v>
      </c>
      <c r="DH474" s="484">
        <v>0</v>
      </c>
      <c r="DI474" s="484" t="s">
        <v>1124</v>
      </c>
      <c r="DJ474" s="484">
        <v>0</v>
      </c>
      <c r="DK474" s="484">
        <v>0</v>
      </c>
      <c r="DL474" s="484" t="s">
        <v>1124</v>
      </c>
      <c r="DM474" s="484" t="s">
        <v>1124</v>
      </c>
      <c r="DN474" s="484">
        <v>0</v>
      </c>
      <c r="DO474" s="484">
        <v>0</v>
      </c>
      <c r="DP474" s="484">
        <v>0</v>
      </c>
      <c r="DQ474" s="484">
        <f>IF(VLOOKUP($BS474,'État &amp; Plan d''action'!$B$6:$AJ$1113,28,FALSE)="","",VLOOKUP($BS474,'État &amp; Plan d''action'!$B$6:$AJ$1113,28,FALSE))</f>
        <v>2</v>
      </c>
      <c r="DR474" s="70">
        <f>IF(VLOOKUP($BS474,'État &amp; Plan d''action'!$B$6:$AJ$1113,29,FALSE)="","",VLOOKUP($BS474,'État &amp; Plan d''action'!$B$6:$AJ$1113,29,FALSE))</f>
        <v>0</v>
      </c>
      <c r="DS474" s="70">
        <f>IF(VLOOKUP($BS474,'État &amp; Plan d''action'!$B$6:$AJ$1113,30,FALSE)="","",VLOOKUP($BS474,'État &amp; Plan d''action'!$B$6:$AJ$1113,30,FALSE))</f>
        <v>0</v>
      </c>
      <c r="DT474" s="70">
        <v>376</v>
      </c>
      <c r="DU474" s="485">
        <v>0.87803320561941234</v>
      </c>
      <c r="DV474" s="485">
        <v>1.2917005003300166</v>
      </c>
      <c r="DW474" s="70">
        <v>0</v>
      </c>
      <c r="DX474" s="70">
        <v>0</v>
      </c>
      <c r="DY474" s="70">
        <v>0</v>
      </c>
      <c r="DZ474" s="70">
        <f>VLOOKUP($BS474,'État &amp; Plan d''action'!$B$6:$AH$1113,31,FALSE)</f>
        <v>12</v>
      </c>
      <c r="EA474" s="70">
        <f>VLOOKUP($BS474,'État &amp; Plan d''action'!$B$6:$AH$1113,32,FALSE)</f>
        <v>0</v>
      </c>
      <c r="EB474" s="70">
        <f>VLOOKUP($BS474,'État &amp; Plan d''action'!$B$6:$AH$1113,33,FALSE)</f>
        <v>0</v>
      </c>
      <c r="EC474" s="70">
        <v>0</v>
      </c>
      <c r="ED474" s="70">
        <v>0</v>
      </c>
      <c r="EE474" s="70">
        <v>0</v>
      </c>
      <c r="EF474" s="70">
        <v>0</v>
      </c>
      <c r="EG474" s="70">
        <v>0</v>
      </c>
      <c r="EH474" s="72">
        <v>37</v>
      </c>
      <c r="EI474" s="72">
        <v>165</v>
      </c>
    </row>
    <row r="475" spans="71:139" x14ac:dyDescent="0.35">
      <c r="BS475" s="486">
        <v>94205</v>
      </c>
      <c r="BT475" s="479" t="s">
        <v>973</v>
      </c>
      <c r="BU475" s="479">
        <v>2</v>
      </c>
      <c r="BV475" s="476" t="s">
        <v>1187</v>
      </c>
      <c r="BW475" s="476" t="s">
        <v>1187</v>
      </c>
      <c r="BX475" s="476" t="s">
        <v>1187</v>
      </c>
      <c r="BY475" s="476" t="s">
        <v>1187</v>
      </c>
      <c r="BZ475" s="476" t="s">
        <v>1187</v>
      </c>
      <c r="CA475" s="476" t="s">
        <v>1187</v>
      </c>
      <c r="CB475" s="476" t="s">
        <v>1187</v>
      </c>
      <c r="CC475" s="476" t="s">
        <v>1187</v>
      </c>
      <c r="CD475" s="476" t="s">
        <v>1187</v>
      </c>
      <c r="CE475" s="476" t="s">
        <v>1188</v>
      </c>
      <c r="CF475" s="476" t="s">
        <v>1188</v>
      </c>
      <c r="CG475" s="476" t="s">
        <v>1188</v>
      </c>
      <c r="CH475" s="476" t="s">
        <v>1187</v>
      </c>
      <c r="CI475" s="476" t="s">
        <v>1187</v>
      </c>
      <c r="CJ475" s="476" t="s">
        <v>1187</v>
      </c>
      <c r="CK475" s="476" t="s">
        <v>1188</v>
      </c>
      <c r="CL475" s="476" t="s">
        <v>1187</v>
      </c>
      <c r="CM475" s="476" t="str">
        <f>IF(VLOOKUP(BS475,'Données par municipalité'!$B$6:$E$1113,4,FALSE)="","non","oui")</f>
        <v>oui</v>
      </c>
      <c r="CN475" s="410">
        <v>559.52158572021574</v>
      </c>
      <c r="CO475" s="410">
        <v>515.05386545946601</v>
      </c>
      <c r="CP475" s="410">
        <v>639.11733668776367</v>
      </c>
      <c r="CQ475" s="410"/>
      <c r="CR475" s="410"/>
      <c r="CS475" s="410" t="s">
        <v>1124</v>
      </c>
      <c r="CT475" s="410">
        <v>473.01032269043185</v>
      </c>
      <c r="CU475" s="410" t="s">
        <v>1124</v>
      </c>
      <c r="CV475" s="410">
        <f>IF(VLOOKUP(BS475,'Données par municipalité'!$B$6:$F$1113,4,FALSE)="","",VLOOKUP(BS475,'Données par municipalité'!$B$6:$F$1113,4,FALSE))</f>
        <v>539</v>
      </c>
      <c r="CW475" s="476" t="s">
        <v>4723</v>
      </c>
      <c r="CX475" s="483">
        <v>0.15</v>
      </c>
      <c r="CY475" s="483">
        <v>0.2</v>
      </c>
      <c r="CZ475" s="483" t="s">
        <v>1124</v>
      </c>
      <c r="DA475" s="483" t="s">
        <v>1124</v>
      </c>
      <c r="DB475" s="483" t="s">
        <v>1124</v>
      </c>
      <c r="DC475" s="483">
        <v>0</v>
      </c>
      <c r="DD475" s="483" t="s">
        <v>1124</v>
      </c>
      <c r="DE475" s="483">
        <f>IFERROR(SUM(VLOOKUP($BS475,'État &amp; Plan d''action'!$B$6:$Z$1113,18,FALSE),VLOOKUP($BS475,'État &amp; Plan d''action'!$B$6:$Z$1113,20,FALSE))/(VLOOKUP($BS475,'Données par municipalité'!$B$4:$L$1113,11,FALSE)),"")</f>
        <v>0</v>
      </c>
      <c r="DF475" s="483">
        <f>IFERROR(SUM(VLOOKUP($BS475,'État &amp; Plan d''action'!$B$6:$Z$1113,19,FALSE),VLOOKUP($BS475,'État &amp; Plan d''action'!$B$6:$Z$1113,21,FALSE))/(VLOOKUP($BS475,'Données par municipalité'!$B$4:$L$1113,11,FALSE)),"")</f>
        <v>2</v>
      </c>
      <c r="DG475" s="476" t="s">
        <v>4723</v>
      </c>
      <c r="DH475" s="484">
        <v>269</v>
      </c>
      <c r="DI475" s="484">
        <v>264</v>
      </c>
      <c r="DJ475" s="484">
        <v>310</v>
      </c>
      <c r="DK475" s="484">
        <v>351</v>
      </c>
      <c r="DL475" s="484" t="s">
        <v>1124</v>
      </c>
      <c r="DM475" s="484">
        <v>1</v>
      </c>
      <c r="DN475" s="484" t="s">
        <v>1124</v>
      </c>
      <c r="DO475" s="484" t="s">
        <v>1124</v>
      </c>
      <c r="DP475" s="484" t="s">
        <v>1124</v>
      </c>
      <c r="DQ475" s="484">
        <f>IF(VLOOKUP($BS475,'État &amp; Plan d''action'!$B$6:$AJ$1113,28,FALSE)="","",VLOOKUP($BS475,'État &amp; Plan d''action'!$B$6:$AJ$1113,28,FALSE))</f>
        <v>1</v>
      </c>
      <c r="DR475" s="70">
        <f>IF(VLOOKUP($BS475,'État &amp; Plan d''action'!$B$6:$AJ$1113,29,FALSE)="","",VLOOKUP($BS475,'État &amp; Plan d''action'!$B$6:$AJ$1113,29,FALSE))</f>
        <v>0</v>
      </c>
      <c r="DS475" s="70">
        <f>IF(VLOOKUP($BS475,'État &amp; Plan d''action'!$B$6:$AJ$1113,30,FALSE)="","",VLOOKUP($BS475,'État &amp; Plan d''action'!$B$6:$AJ$1113,30,FALSE))</f>
        <v>0</v>
      </c>
      <c r="DT475" s="70" t="s">
        <v>1124</v>
      </c>
      <c r="DU475" s="485" t="s">
        <v>1124</v>
      </c>
      <c r="DV475" s="485">
        <v>4.2712246784774592</v>
      </c>
      <c r="DW475" s="70" t="s">
        <v>1124</v>
      </c>
      <c r="DX475" s="70" t="s">
        <v>1124</v>
      </c>
      <c r="DY475" s="70" t="s">
        <v>1124</v>
      </c>
      <c r="DZ475" s="70">
        <f>VLOOKUP($BS475,'État &amp; Plan d''action'!$B$6:$AH$1113,31,FALSE)</f>
        <v>1</v>
      </c>
      <c r="EA475" s="70">
        <f>VLOOKUP($BS475,'État &amp; Plan d''action'!$B$6:$AH$1113,32,FALSE)</f>
        <v>0</v>
      </c>
      <c r="EB475" s="70">
        <f>VLOOKUP($BS475,'État &amp; Plan d''action'!$B$6:$AH$1113,33,FALSE)</f>
        <v>0</v>
      </c>
      <c r="EC475" s="70" t="s">
        <v>1124</v>
      </c>
      <c r="ED475" s="70" t="s">
        <v>1124</v>
      </c>
      <c r="EE475" s="70" t="s">
        <v>1124</v>
      </c>
      <c r="EF475" s="70" t="s">
        <v>1124</v>
      </c>
      <c r="EG475" s="70" t="s">
        <v>1124</v>
      </c>
      <c r="EH475" s="72"/>
      <c r="EI475" s="72">
        <v>633</v>
      </c>
    </row>
    <row r="476" spans="71:139" x14ac:dyDescent="0.35">
      <c r="BS476" s="486">
        <v>77030</v>
      </c>
      <c r="BT476" s="479" t="s">
        <v>759</v>
      </c>
      <c r="BU476" s="479">
        <v>15</v>
      </c>
      <c r="BV476" s="476" t="s">
        <v>1187</v>
      </c>
      <c r="BW476" s="476" t="s">
        <v>1187</v>
      </c>
      <c r="BX476" s="476" t="s">
        <v>1187</v>
      </c>
      <c r="BY476" s="476" t="s">
        <v>1187</v>
      </c>
      <c r="BZ476" s="476" t="s">
        <v>1187</v>
      </c>
      <c r="CA476" s="476" t="s">
        <v>1187</v>
      </c>
      <c r="CB476" s="476" t="s">
        <v>1187</v>
      </c>
      <c r="CC476" s="476" t="s">
        <v>1187</v>
      </c>
      <c r="CD476" s="476" t="s">
        <v>1187</v>
      </c>
      <c r="CE476" s="476" t="s">
        <v>1187</v>
      </c>
      <c r="CF476" s="476" t="s">
        <v>1187</v>
      </c>
      <c r="CG476" s="476" t="s">
        <v>1187</v>
      </c>
      <c r="CH476" s="476" t="s">
        <v>1187</v>
      </c>
      <c r="CI476" s="476" t="s">
        <v>1187</v>
      </c>
      <c r="CJ476" s="476" t="s">
        <v>1188</v>
      </c>
      <c r="CK476" s="476" t="s">
        <v>1188</v>
      </c>
      <c r="CL476" s="476" t="s">
        <v>1187</v>
      </c>
      <c r="CM476" s="476" t="str">
        <f>IF(VLOOKUP(BS476,'Données par municipalité'!$B$6:$E$1113,4,FALSE)="","non","oui")</f>
        <v>oui</v>
      </c>
      <c r="CN476" s="410" t="s">
        <v>1124</v>
      </c>
      <c r="CO476" s="410" t="s">
        <v>1124</v>
      </c>
      <c r="CP476" s="410"/>
      <c r="CQ476" s="410"/>
      <c r="CR476" s="410"/>
      <c r="CS476" s="410">
        <v>490.35851506365407</v>
      </c>
      <c r="CT476" s="410">
        <v>505.71343757912285</v>
      </c>
      <c r="CU476" s="410" t="s">
        <v>1124</v>
      </c>
      <c r="CV476" s="410">
        <f>IF(VLOOKUP(BS476,'Données par municipalité'!$B$6:$F$1113,4,FALSE)="","",VLOOKUP(BS476,'Données par municipalité'!$B$6:$F$1113,4,FALSE))</f>
        <v>748</v>
      </c>
      <c r="CW476" s="476" t="s">
        <v>4723</v>
      </c>
      <c r="CX476" s="483" t="s">
        <v>1124</v>
      </c>
      <c r="CY476" s="483" t="s">
        <v>1124</v>
      </c>
      <c r="CZ476" s="483" t="s">
        <v>1124</v>
      </c>
      <c r="DA476" s="483" t="s">
        <v>1124</v>
      </c>
      <c r="DB476" s="483">
        <v>1</v>
      </c>
      <c r="DC476" s="483">
        <v>1</v>
      </c>
      <c r="DD476" s="483" t="s">
        <v>1124</v>
      </c>
      <c r="DE476" s="483">
        <f>IFERROR(SUM(VLOOKUP($BS476,'État &amp; Plan d''action'!$B$6:$Z$1113,18,FALSE),VLOOKUP($BS476,'État &amp; Plan d''action'!$B$6:$Z$1113,20,FALSE))/(VLOOKUP($BS476,'Données par municipalité'!$B$4:$L$1113,11,FALSE)),"")</f>
        <v>1</v>
      </c>
      <c r="DF476" s="483">
        <f>IFERROR(SUM(VLOOKUP($BS476,'État &amp; Plan d''action'!$B$6:$Z$1113,19,FALSE),VLOOKUP($BS476,'État &amp; Plan d''action'!$B$6:$Z$1113,21,FALSE))/(VLOOKUP($BS476,'Données par municipalité'!$B$4:$L$1113,11,FALSE)),"")</f>
        <v>1</v>
      </c>
      <c r="DG476" s="476" t="s">
        <v>4723</v>
      </c>
      <c r="DH476" s="484">
        <v>14</v>
      </c>
      <c r="DI476" s="484">
        <v>18</v>
      </c>
      <c r="DJ476" s="484">
        <v>15</v>
      </c>
      <c r="DK476" s="484">
        <v>10</v>
      </c>
      <c r="DL476" s="484">
        <v>7</v>
      </c>
      <c r="DM476" s="484">
        <v>5</v>
      </c>
      <c r="DN476" s="484" t="s">
        <v>1124</v>
      </c>
      <c r="DO476" s="484" t="s">
        <v>1124</v>
      </c>
      <c r="DP476" s="484" t="s">
        <v>1124</v>
      </c>
      <c r="DQ476" s="484">
        <f>IF(VLOOKUP($BS476,'État &amp; Plan d''action'!$B$6:$AJ$1113,28,FALSE)="","",VLOOKUP($BS476,'État &amp; Plan d''action'!$B$6:$AJ$1113,28,FALSE))</f>
        <v>19</v>
      </c>
      <c r="DR476" s="70">
        <f>IF(VLOOKUP($BS476,'État &amp; Plan d''action'!$B$6:$AJ$1113,29,FALSE)="","",VLOOKUP($BS476,'État &amp; Plan d''action'!$B$6:$AJ$1113,29,FALSE))</f>
        <v>6</v>
      </c>
      <c r="DS476" s="70">
        <f>IF(VLOOKUP($BS476,'État &amp; Plan d''action'!$B$6:$AJ$1113,30,FALSE)="","",VLOOKUP($BS476,'État &amp; Plan d''action'!$B$6:$AJ$1113,30,FALSE))</f>
        <v>12</v>
      </c>
      <c r="DT476" s="70" t="s">
        <v>1124</v>
      </c>
      <c r="DU476" s="485" t="s">
        <v>1124</v>
      </c>
      <c r="DV476" s="485">
        <v>2.8077908698238971</v>
      </c>
      <c r="DW476" s="70" t="s">
        <v>1124</v>
      </c>
      <c r="DX476" s="70" t="s">
        <v>1124</v>
      </c>
      <c r="DY476" s="70" t="s">
        <v>1124</v>
      </c>
      <c r="DZ476" s="70">
        <f>VLOOKUP($BS476,'État &amp; Plan d''action'!$B$6:$AH$1113,31,FALSE)</f>
        <v>5</v>
      </c>
      <c r="EA476" s="70">
        <f>VLOOKUP($BS476,'État &amp; Plan d''action'!$B$6:$AH$1113,32,FALSE)</f>
        <v>5</v>
      </c>
      <c r="EB476" s="70">
        <f>VLOOKUP($BS476,'État &amp; Plan d''action'!$B$6:$AH$1113,33,FALSE)</f>
        <v>14</v>
      </c>
      <c r="EC476" s="70" t="s">
        <v>1124</v>
      </c>
      <c r="ED476" s="70" t="s">
        <v>1124</v>
      </c>
      <c r="EE476" s="70" t="s">
        <v>1124</v>
      </c>
      <c r="EF476" s="70" t="s">
        <v>1124</v>
      </c>
      <c r="EG476" s="70" t="s">
        <v>1124</v>
      </c>
      <c r="EH476" s="72"/>
      <c r="EI476" s="72">
        <v>3120</v>
      </c>
    </row>
    <row r="477" spans="71:139" x14ac:dyDescent="0.35">
      <c r="BS477" s="486">
        <v>50113</v>
      </c>
      <c r="BT477" s="479" t="s">
        <v>496</v>
      </c>
      <c r="BU477" s="479">
        <v>17</v>
      </c>
      <c r="BV477" s="476" t="s">
        <v>1187</v>
      </c>
      <c r="BW477" s="476" t="s">
        <v>1187</v>
      </c>
      <c r="BX477" s="476" t="s">
        <v>1187</v>
      </c>
      <c r="BY477" s="476" t="s">
        <v>1187</v>
      </c>
      <c r="BZ477" s="476" t="s">
        <v>1187</v>
      </c>
      <c r="CA477" s="476" t="s">
        <v>1187</v>
      </c>
      <c r="CB477" s="476" t="s">
        <v>1187</v>
      </c>
      <c r="CC477" s="476" t="s">
        <v>1187</v>
      </c>
      <c r="CD477" s="476" t="s">
        <v>1187</v>
      </c>
      <c r="CE477" s="476" t="s">
        <v>1188</v>
      </c>
      <c r="CF477" s="476" t="s">
        <v>1188</v>
      </c>
      <c r="CG477" s="476" t="s">
        <v>1188</v>
      </c>
      <c r="CH477" s="476" t="s">
        <v>1188</v>
      </c>
      <c r="CI477" s="476" t="s">
        <v>1188</v>
      </c>
      <c r="CJ477" s="476" t="s">
        <v>1188</v>
      </c>
      <c r="CK477" s="476" t="s">
        <v>1188</v>
      </c>
      <c r="CL477" s="476" t="s">
        <v>1188</v>
      </c>
      <c r="CM477" s="476" t="str">
        <f>IF(VLOOKUP(BS477,'Données par municipalité'!$B$6:$E$1113,4,FALSE)="","non","oui")</f>
        <v>non</v>
      </c>
      <c r="CN477" s="410">
        <v>346.02772931154851</v>
      </c>
      <c r="CO477" s="410">
        <v>379.57980189473824</v>
      </c>
      <c r="CP477" s="410">
        <v>292.03907477300601</v>
      </c>
      <c r="CQ477" s="410">
        <v>262.22738139628325</v>
      </c>
      <c r="CR477" s="410">
        <v>428.95065179800997</v>
      </c>
      <c r="CS477" s="410">
        <v>504.29083325050414</v>
      </c>
      <c r="CT477" s="410">
        <v>392.15620888755785</v>
      </c>
      <c r="CU477" s="410">
        <v>358</v>
      </c>
      <c r="CV477" s="410" t="str">
        <f>IF(VLOOKUP(BS477,'Données par municipalité'!$B$6:$F$1113,4,FALSE)="","",VLOOKUP(BS477,'Données par municipalité'!$B$6:$F$1113,4,FALSE))</f>
        <v/>
      </c>
      <c r="CW477" s="476" t="s">
        <v>4723</v>
      </c>
      <c r="CX477" s="483">
        <v>0.8</v>
      </c>
      <c r="CY477" s="483">
        <v>0.8</v>
      </c>
      <c r="CZ477" s="483">
        <v>0.8</v>
      </c>
      <c r="DA477" s="483">
        <v>0</v>
      </c>
      <c r="DB477" s="483">
        <v>0</v>
      </c>
      <c r="DC477" s="483">
        <v>0</v>
      </c>
      <c r="DD477" s="483">
        <v>0</v>
      </c>
      <c r="DE477" s="483" t="str">
        <f>IFERROR(SUM(VLOOKUP($BS477,'État &amp; Plan d''action'!$B$6:$Z$1113,18,FALSE),VLOOKUP($BS477,'État &amp; Plan d''action'!$B$6:$Z$1113,20,FALSE))/(VLOOKUP($BS477,'Données par municipalité'!$B$4:$L$1113,11,FALSE)),"")</f>
        <v/>
      </c>
      <c r="DF477" s="483" t="str">
        <f>IFERROR(SUM(VLOOKUP($BS477,'État &amp; Plan d''action'!$B$6:$Z$1113,19,FALSE),VLOOKUP($BS477,'État &amp; Plan d''action'!$B$6:$Z$1113,21,FALSE))/(VLOOKUP($BS477,'Données par municipalité'!$B$4:$L$1113,11,FALSE)),"")</f>
        <v/>
      </c>
      <c r="DG477" s="476" t="s">
        <v>4723</v>
      </c>
      <c r="DH477" s="484">
        <v>3</v>
      </c>
      <c r="DI477" s="484">
        <v>6</v>
      </c>
      <c r="DJ477" s="484">
        <v>3</v>
      </c>
      <c r="DK477" s="484">
        <v>1</v>
      </c>
      <c r="DL477" s="484">
        <v>1</v>
      </c>
      <c r="DM477" s="484">
        <v>0</v>
      </c>
      <c r="DN477" s="484">
        <v>2</v>
      </c>
      <c r="DO477" s="484">
        <v>0</v>
      </c>
      <c r="DP477" s="484">
        <v>0</v>
      </c>
      <c r="DQ477" s="484" t="str">
        <f>IF(VLOOKUP($BS477,'État &amp; Plan d''action'!$B$6:$AJ$1113,28,FALSE)="","",VLOOKUP($BS477,'État &amp; Plan d''action'!$B$6:$AJ$1113,28,FALSE))</f>
        <v/>
      </c>
      <c r="DR477" s="70" t="str">
        <f>IF(VLOOKUP($BS477,'État &amp; Plan d''action'!$B$6:$AJ$1113,29,FALSE)="","",VLOOKUP($BS477,'État &amp; Plan d''action'!$B$6:$AJ$1113,29,FALSE))</f>
        <v/>
      </c>
      <c r="DS477" s="70" t="str">
        <f>IF(VLOOKUP($BS477,'État &amp; Plan d''action'!$B$6:$AJ$1113,30,FALSE)="","",VLOOKUP($BS477,'État &amp; Plan d''action'!$B$6:$AJ$1113,30,FALSE))</f>
        <v/>
      </c>
      <c r="DT477" s="70">
        <v>198</v>
      </c>
      <c r="DU477" s="485">
        <v>1.2806856231700074</v>
      </c>
      <c r="DV477" s="485" t="s">
        <v>1124</v>
      </c>
      <c r="DW477" s="70">
        <v>1</v>
      </c>
      <c r="DX477" s="70">
        <v>0</v>
      </c>
      <c r="DY477" s="70">
        <v>0</v>
      </c>
      <c r="DZ477" s="70" t="str">
        <f>VLOOKUP($BS477,'État &amp; Plan d''action'!$B$6:$AH$1113,31,FALSE)</f>
        <v/>
      </c>
      <c r="EA477" s="70" t="str">
        <f>VLOOKUP($BS477,'État &amp; Plan d''action'!$B$6:$AH$1113,32,FALSE)</f>
        <v/>
      </c>
      <c r="EB477" s="70" t="str">
        <f>VLOOKUP($BS477,'État &amp; Plan d''action'!$B$6:$AH$1113,33,FALSE)</f>
        <v/>
      </c>
      <c r="EC477" s="70">
        <v>68.424999999999997</v>
      </c>
      <c r="ED477" s="70">
        <v>0</v>
      </c>
      <c r="EE477" s="70">
        <v>0</v>
      </c>
      <c r="EF477" s="70">
        <v>0</v>
      </c>
      <c r="EG477" s="70">
        <v>0</v>
      </c>
      <c r="EH477" s="72">
        <v>55</v>
      </c>
      <c r="EI477" s="72">
        <v>2221</v>
      </c>
    </row>
    <row r="478" spans="71:139" x14ac:dyDescent="0.35">
      <c r="BS478" s="486">
        <v>46025</v>
      </c>
      <c r="BT478" s="479" t="s">
        <v>430</v>
      </c>
      <c r="BU478" s="479">
        <v>5</v>
      </c>
      <c r="BV478" s="476" t="s">
        <v>1188</v>
      </c>
      <c r="BW478" s="476" t="s">
        <v>1188</v>
      </c>
      <c r="BX478" s="476" t="s">
        <v>1188</v>
      </c>
      <c r="BY478" s="476" t="s">
        <v>1188</v>
      </c>
      <c r="BZ478" s="476" t="s">
        <v>1188</v>
      </c>
      <c r="CA478" s="476" t="s">
        <v>1188</v>
      </c>
      <c r="CB478" s="476" t="s">
        <v>1188</v>
      </c>
      <c r="CC478" s="476" t="s">
        <v>1188</v>
      </c>
      <c r="CD478" s="476" t="s">
        <v>1188</v>
      </c>
      <c r="CE478" s="476" t="s">
        <v>1187</v>
      </c>
      <c r="CF478" s="476" t="s">
        <v>1187</v>
      </c>
      <c r="CG478" s="476" t="s">
        <v>1187</v>
      </c>
      <c r="CH478" s="476" t="s">
        <v>1187</v>
      </c>
      <c r="CI478" s="476" t="s">
        <v>1187</v>
      </c>
      <c r="CJ478" s="476" t="s">
        <v>1187</v>
      </c>
      <c r="CK478" s="476" t="s">
        <v>1187</v>
      </c>
      <c r="CL478" s="476" t="s">
        <v>1187</v>
      </c>
      <c r="CM478" s="476" t="str">
        <f>IF(VLOOKUP(BS478,'Données par municipalité'!$B$6:$E$1113,4,FALSE)="","non","oui")</f>
        <v>non</v>
      </c>
      <c r="CN478" s="410" t="s">
        <v>1124</v>
      </c>
      <c r="CO478" s="410" t="s">
        <v>1124</v>
      </c>
      <c r="CP478" s="410"/>
      <c r="CQ478" s="410"/>
      <c r="CR478" s="410"/>
      <c r="CS478" s="410" t="s">
        <v>1124</v>
      </c>
      <c r="CT478" s="410"/>
      <c r="CU478" s="410" t="s">
        <v>1124</v>
      </c>
      <c r="CV478" s="410" t="str">
        <f>IF(VLOOKUP(BS478,'Données par municipalité'!$B$6:$F$1113,4,FALSE)="","",VLOOKUP(BS478,'Données par municipalité'!$B$6:$F$1113,4,FALSE))</f>
        <v/>
      </c>
      <c r="CW478" s="476" t="s">
        <v>4723</v>
      </c>
      <c r="CX478" s="483" t="s">
        <v>1124</v>
      </c>
      <c r="CY478" s="483" t="s">
        <v>1124</v>
      </c>
      <c r="CZ478" s="483" t="s">
        <v>1124</v>
      </c>
      <c r="DA478" s="483" t="s">
        <v>1124</v>
      </c>
      <c r="DB478" s="483" t="s">
        <v>1124</v>
      </c>
      <c r="DC478" s="483" t="s">
        <v>1124</v>
      </c>
      <c r="DD478" s="483" t="s">
        <v>1124</v>
      </c>
      <c r="DE478" s="483" t="str">
        <f>IFERROR(SUM(VLOOKUP($BS478,'État &amp; Plan d''action'!$B$6:$Z$1113,18,FALSE),VLOOKUP($BS478,'État &amp; Plan d''action'!$B$6:$Z$1113,20,FALSE))/(VLOOKUP($BS478,'Données par municipalité'!$B$4:$L$1113,11,FALSE)),"")</f>
        <v/>
      </c>
      <c r="DF478" s="483" t="str">
        <f>IFERROR(SUM(VLOOKUP($BS478,'État &amp; Plan d''action'!$B$6:$Z$1113,19,FALSE),VLOOKUP($BS478,'État &amp; Plan d''action'!$B$6:$Z$1113,21,FALSE))/(VLOOKUP($BS478,'Données par municipalité'!$B$4:$L$1113,11,FALSE)),"")</f>
        <v/>
      </c>
      <c r="DG478" s="476" t="s">
        <v>4723</v>
      </c>
      <c r="DH478" s="484" t="s">
        <v>1124</v>
      </c>
      <c r="DI478" s="484" t="s">
        <v>1124</v>
      </c>
      <c r="DJ478" s="484">
        <v>0</v>
      </c>
      <c r="DK478" s="484">
        <v>0</v>
      </c>
      <c r="DL478" s="484" t="s">
        <v>1124</v>
      </c>
      <c r="DM478" s="484" t="s">
        <v>1124</v>
      </c>
      <c r="DN478" s="484" t="s">
        <v>1124</v>
      </c>
      <c r="DO478" s="484" t="s">
        <v>1124</v>
      </c>
      <c r="DP478" s="484" t="s">
        <v>1124</v>
      </c>
      <c r="DQ478" s="484" t="str">
        <f>IF(VLOOKUP($BS478,'État &amp; Plan d''action'!$B$6:$AJ$1113,28,FALSE)="","",VLOOKUP($BS478,'État &amp; Plan d''action'!$B$6:$AJ$1113,28,FALSE))</f>
        <v/>
      </c>
      <c r="DR478" s="70" t="str">
        <f>IF(VLOOKUP($BS478,'État &amp; Plan d''action'!$B$6:$AJ$1113,29,FALSE)="","",VLOOKUP($BS478,'État &amp; Plan d''action'!$B$6:$AJ$1113,29,FALSE))</f>
        <v/>
      </c>
      <c r="DS478" s="70" t="str">
        <f>IF(VLOOKUP($BS478,'État &amp; Plan d''action'!$B$6:$AJ$1113,30,FALSE)="","",VLOOKUP($BS478,'État &amp; Plan d''action'!$B$6:$AJ$1113,30,FALSE))</f>
        <v/>
      </c>
      <c r="DT478" s="70" t="s">
        <v>1124</v>
      </c>
      <c r="DU478" s="485" t="s">
        <v>1124</v>
      </c>
      <c r="DV478" s="485" t="s">
        <v>1124</v>
      </c>
      <c r="DW478" s="70" t="s">
        <v>1124</v>
      </c>
      <c r="DX478" s="70" t="s">
        <v>1124</v>
      </c>
      <c r="DY478" s="70" t="s">
        <v>1124</v>
      </c>
      <c r="DZ478" s="70" t="str">
        <f>VLOOKUP($BS478,'État &amp; Plan d''action'!$B$6:$AH$1113,31,FALSE)</f>
        <v/>
      </c>
      <c r="EA478" s="70" t="str">
        <f>VLOOKUP($BS478,'État &amp; Plan d''action'!$B$6:$AH$1113,32,FALSE)</f>
        <v/>
      </c>
      <c r="EB478" s="70" t="str">
        <f>VLOOKUP($BS478,'État &amp; Plan d''action'!$B$6:$AH$1113,33,FALSE)</f>
        <v/>
      </c>
      <c r="EC478" s="70" t="s">
        <v>1124</v>
      </c>
      <c r="ED478" s="70" t="s">
        <v>1124</v>
      </c>
      <c r="EE478" s="70" t="s">
        <v>1124</v>
      </c>
      <c r="EF478" s="70" t="s">
        <v>1124</v>
      </c>
      <c r="EG478" s="70" t="s">
        <v>1124</v>
      </c>
      <c r="EH478" s="72"/>
      <c r="EI478" s="72">
        <v>523</v>
      </c>
    </row>
    <row r="479" spans="71:139" x14ac:dyDescent="0.35">
      <c r="BS479" s="486">
        <v>71070</v>
      </c>
      <c r="BT479" s="479" t="s">
        <v>715</v>
      </c>
      <c r="BU479" s="479">
        <v>16</v>
      </c>
      <c r="BV479" s="476" t="s">
        <v>1187</v>
      </c>
      <c r="BW479" s="476" t="s">
        <v>1187</v>
      </c>
      <c r="BX479" s="476" t="s">
        <v>1187</v>
      </c>
      <c r="BY479" s="476" t="s">
        <v>1187</v>
      </c>
      <c r="BZ479" s="476" t="s">
        <v>1187</v>
      </c>
      <c r="CA479" s="476" t="s">
        <v>1187</v>
      </c>
      <c r="CB479" s="476" t="s">
        <v>1187</v>
      </c>
      <c r="CC479" s="476" t="s">
        <v>1187</v>
      </c>
      <c r="CD479" s="476" t="s">
        <v>1187</v>
      </c>
      <c r="CE479" s="476" t="s">
        <v>1188</v>
      </c>
      <c r="CF479" s="476" t="s">
        <v>1188</v>
      </c>
      <c r="CG479" s="476" t="s">
        <v>1187</v>
      </c>
      <c r="CH479" s="476" t="s">
        <v>1188</v>
      </c>
      <c r="CI479" s="476" t="s">
        <v>1188</v>
      </c>
      <c r="CJ479" s="476" t="s">
        <v>1188</v>
      </c>
      <c r="CK479" s="476" t="s">
        <v>1188</v>
      </c>
      <c r="CL479" s="476" t="s">
        <v>1188</v>
      </c>
      <c r="CM479" s="476" t="str">
        <f>IF(VLOOKUP(BS479,'Données par municipalité'!$B$6:$E$1113,4,FALSE)="","non","oui")</f>
        <v>oui</v>
      </c>
      <c r="CN479" s="410">
        <v>353.55852554515468</v>
      </c>
      <c r="CO479" s="410">
        <v>364.23876162748422</v>
      </c>
      <c r="CP479" s="410"/>
      <c r="CQ479" s="410">
        <v>306.26895854398384</v>
      </c>
      <c r="CR479" s="410">
        <v>327.76711144909098</v>
      </c>
      <c r="CS479" s="410">
        <v>292.40491361426206</v>
      </c>
      <c r="CT479" s="410">
        <v>280.42687041320607</v>
      </c>
      <c r="CU479" s="410">
        <v>315</v>
      </c>
      <c r="CV479" s="410">
        <f>IF(VLOOKUP(BS479,'Données par municipalité'!$B$6:$F$1113,4,FALSE)="","",VLOOKUP(BS479,'Données par municipalité'!$B$6:$F$1113,4,FALSE))</f>
        <v>348</v>
      </c>
      <c r="CW479" s="476" t="s">
        <v>4723</v>
      </c>
      <c r="CX479" s="483">
        <v>1</v>
      </c>
      <c r="CY479" s="483" t="s">
        <v>1124</v>
      </c>
      <c r="CZ479" s="483">
        <v>1</v>
      </c>
      <c r="DA479" s="483">
        <v>1</v>
      </c>
      <c r="DB479" s="483">
        <v>1</v>
      </c>
      <c r="DC479" s="483">
        <v>1</v>
      </c>
      <c r="DD479" s="483">
        <v>2</v>
      </c>
      <c r="DE479" s="483">
        <f>IFERROR(SUM(VLOOKUP($BS479,'État &amp; Plan d''action'!$B$6:$Z$1113,18,FALSE),VLOOKUP($BS479,'État &amp; Plan d''action'!$B$6:$Z$1113,20,FALSE))/(VLOOKUP($BS479,'Données par municipalité'!$B$4:$L$1113,11,FALSE)),"")</f>
        <v>2</v>
      </c>
      <c r="DF479" s="483">
        <f>IFERROR(SUM(VLOOKUP($BS479,'État &amp; Plan d''action'!$B$6:$Z$1113,19,FALSE),VLOOKUP($BS479,'État &amp; Plan d''action'!$B$6:$Z$1113,21,FALSE))/(VLOOKUP($BS479,'Données par municipalité'!$B$4:$L$1113,11,FALSE)),"")</f>
        <v>2</v>
      </c>
      <c r="DG479" s="476" t="s">
        <v>4723</v>
      </c>
      <c r="DH479" s="484">
        <v>25</v>
      </c>
      <c r="DI479" s="484">
        <v>15</v>
      </c>
      <c r="DJ479" s="484">
        <v>15</v>
      </c>
      <c r="DK479" s="484">
        <v>16</v>
      </c>
      <c r="DL479" s="484">
        <v>32</v>
      </c>
      <c r="DM479" s="484">
        <v>13</v>
      </c>
      <c r="DN479" s="484">
        <v>21</v>
      </c>
      <c r="DO479" s="484">
        <v>0</v>
      </c>
      <c r="DP479" s="484">
        <v>0</v>
      </c>
      <c r="DQ479" s="484">
        <f>IF(VLOOKUP($BS479,'État &amp; Plan d''action'!$B$6:$AJ$1113,28,FALSE)="","",VLOOKUP($BS479,'État &amp; Plan d''action'!$B$6:$AJ$1113,28,FALSE))</f>
        <v>26</v>
      </c>
      <c r="DR479" s="70">
        <f>IF(VLOOKUP($BS479,'État &amp; Plan d''action'!$B$6:$AJ$1113,29,FALSE)="","",VLOOKUP($BS479,'État &amp; Plan d''action'!$B$6:$AJ$1113,29,FALSE))</f>
        <v>0</v>
      </c>
      <c r="DS479" s="70">
        <f>IF(VLOOKUP($BS479,'État &amp; Plan d''action'!$B$6:$AJ$1113,30,FALSE)="","",VLOOKUP($BS479,'État &amp; Plan d''action'!$B$6:$AJ$1113,30,FALSE))</f>
        <v>0</v>
      </c>
      <c r="DT479" s="70">
        <v>286</v>
      </c>
      <c r="DU479" s="485">
        <v>1.3040681250196131</v>
      </c>
      <c r="DV479" s="485">
        <v>1.8539492135668716</v>
      </c>
      <c r="DW479" s="70">
        <v>5</v>
      </c>
      <c r="DX479" s="70">
        <v>0</v>
      </c>
      <c r="DY479" s="70">
        <v>0</v>
      </c>
      <c r="DZ479" s="70">
        <f>VLOOKUP($BS479,'État &amp; Plan d''action'!$B$6:$AH$1113,31,FALSE)</f>
        <v>1</v>
      </c>
      <c r="EA479" s="70">
        <f>VLOOKUP($BS479,'État &amp; Plan d''action'!$B$6:$AH$1113,32,FALSE)</f>
        <v>0</v>
      </c>
      <c r="EB479" s="70">
        <f>VLOOKUP($BS479,'État &amp; Plan d''action'!$B$6:$AH$1113,33,FALSE)</f>
        <v>0</v>
      </c>
      <c r="EC479" s="70">
        <v>0</v>
      </c>
      <c r="ED479" s="70">
        <v>0</v>
      </c>
      <c r="EE479" s="70">
        <v>149.34200000000001</v>
      </c>
      <c r="EF479" s="70">
        <v>0</v>
      </c>
      <c r="EG479" s="70">
        <v>0</v>
      </c>
      <c r="EH479" s="72">
        <v>68</v>
      </c>
      <c r="EI479" s="72">
        <v>15074</v>
      </c>
    </row>
    <row r="480" spans="71:139" x14ac:dyDescent="0.35">
      <c r="BS480" s="486">
        <v>30020</v>
      </c>
      <c r="BT480" s="479" t="s">
        <v>220</v>
      </c>
      <c r="BU480" s="479">
        <v>5</v>
      </c>
      <c r="BV480" s="476" t="s">
        <v>1187</v>
      </c>
      <c r="BW480" s="476" t="s">
        <v>1187</v>
      </c>
      <c r="BX480" s="476" t="s">
        <v>1187</v>
      </c>
      <c r="BY480" s="476" t="s">
        <v>1187</v>
      </c>
      <c r="BZ480" s="476" t="s">
        <v>1187</v>
      </c>
      <c r="CA480" s="476" t="s">
        <v>1187</v>
      </c>
      <c r="CB480" s="476" t="s">
        <v>1187</v>
      </c>
      <c r="CC480" s="476" t="s">
        <v>1187</v>
      </c>
      <c r="CD480" s="476" t="s">
        <v>1187</v>
      </c>
      <c r="CE480" s="476" t="s">
        <v>1188</v>
      </c>
      <c r="CF480" s="476" t="s">
        <v>1188</v>
      </c>
      <c r="CG480" s="476" t="s">
        <v>1188</v>
      </c>
      <c r="CH480" s="476" t="s">
        <v>1188</v>
      </c>
      <c r="CI480" s="476" t="s">
        <v>1188</v>
      </c>
      <c r="CJ480" s="476" t="s">
        <v>1188</v>
      </c>
      <c r="CK480" s="476" t="s">
        <v>1188</v>
      </c>
      <c r="CL480" s="476" t="s">
        <v>1188</v>
      </c>
      <c r="CM480" s="476" t="str">
        <f>IF(VLOOKUP(BS480,'Données par municipalité'!$B$6:$E$1113,4,FALSE)="","non","oui")</f>
        <v>oui</v>
      </c>
      <c r="CN480" s="410">
        <v>256.36007827788654</v>
      </c>
      <c r="CO480" s="410">
        <v>260.5386416861827</v>
      </c>
      <c r="CP480" s="410">
        <v>274.00138137446766</v>
      </c>
      <c r="CQ480" s="410">
        <v>248.47113502935423</v>
      </c>
      <c r="CR480" s="410">
        <v>281.67592393368767</v>
      </c>
      <c r="CS480" s="410">
        <v>296.3240042019641</v>
      </c>
      <c r="CT480" s="410">
        <v>248.46911228861265</v>
      </c>
      <c r="CU480" s="410">
        <v>269</v>
      </c>
      <c r="CV480" s="410">
        <f>IF(VLOOKUP(BS480,'Données par municipalité'!$B$6:$F$1113,4,FALSE)="","",VLOOKUP(BS480,'Données par municipalité'!$B$6:$F$1113,4,FALSE))</f>
        <v>245</v>
      </c>
      <c r="CW480" s="476" t="s">
        <v>4723</v>
      </c>
      <c r="CX480" s="483">
        <v>0</v>
      </c>
      <c r="CY480" s="483">
        <v>0.15</v>
      </c>
      <c r="CZ480" s="483">
        <v>0</v>
      </c>
      <c r="DA480" s="483">
        <v>0</v>
      </c>
      <c r="DB480" s="483">
        <v>0</v>
      </c>
      <c r="DC480" s="483">
        <v>0</v>
      </c>
      <c r="DD480" s="483">
        <v>0</v>
      </c>
      <c r="DE480" s="483">
        <f>IFERROR(SUM(VLOOKUP($BS480,'État &amp; Plan d''action'!$B$6:$Z$1113,18,FALSE),VLOOKUP($BS480,'État &amp; Plan d''action'!$B$6:$Z$1113,20,FALSE))/(VLOOKUP($BS480,'Données par municipalité'!$B$4:$L$1113,11,FALSE)),"")</f>
        <v>0</v>
      </c>
      <c r="DF480" s="483">
        <f>IFERROR(SUM(VLOOKUP($BS480,'État &amp; Plan d''action'!$B$6:$Z$1113,19,FALSE),VLOOKUP($BS480,'État &amp; Plan d''action'!$B$6:$Z$1113,21,FALSE))/(VLOOKUP($BS480,'Données par municipalité'!$B$4:$L$1113,11,FALSE)),"")</f>
        <v>0</v>
      </c>
      <c r="DG480" s="476" t="s">
        <v>4723</v>
      </c>
      <c r="DH480" s="484">
        <v>0</v>
      </c>
      <c r="DI480" s="484">
        <v>0</v>
      </c>
      <c r="DJ480" s="484">
        <v>0</v>
      </c>
      <c r="DK480" s="484">
        <v>0</v>
      </c>
      <c r="DL480" s="484">
        <v>0</v>
      </c>
      <c r="DM480" s="484">
        <v>1</v>
      </c>
      <c r="DN480" s="484">
        <v>0</v>
      </c>
      <c r="DO480" s="484">
        <v>0</v>
      </c>
      <c r="DP480" s="484">
        <v>0</v>
      </c>
      <c r="DQ480" s="484">
        <f>IF(VLOOKUP($BS480,'État &amp; Plan d''action'!$B$6:$AJ$1113,28,FALSE)="","",VLOOKUP($BS480,'État &amp; Plan d''action'!$B$6:$AJ$1113,28,FALSE))</f>
        <v>0</v>
      </c>
      <c r="DR480" s="70">
        <f>IF(VLOOKUP($BS480,'État &amp; Plan d''action'!$B$6:$AJ$1113,29,FALSE)="","",VLOOKUP($BS480,'État &amp; Plan d''action'!$B$6:$AJ$1113,29,FALSE))</f>
        <v>0</v>
      </c>
      <c r="DS480" s="70">
        <f>IF(VLOOKUP($BS480,'État &amp; Plan d''action'!$B$6:$AJ$1113,30,FALSE)="","",VLOOKUP($BS480,'État &amp; Plan d''action'!$B$6:$AJ$1113,30,FALSE))</f>
        <v>0</v>
      </c>
      <c r="DT480" s="70">
        <v>196</v>
      </c>
      <c r="DU480" s="485">
        <v>0.75237468259193074</v>
      </c>
      <c r="DV480" s="485">
        <v>1.4584499712336274</v>
      </c>
      <c r="DW480" s="70">
        <v>0</v>
      </c>
      <c r="DX480" s="70">
        <v>0</v>
      </c>
      <c r="DY480" s="70">
        <v>0</v>
      </c>
      <c r="DZ480" s="70">
        <f>VLOOKUP($BS480,'État &amp; Plan d''action'!$B$6:$AH$1113,31,FALSE)</f>
        <v>0</v>
      </c>
      <c r="EA480" s="70">
        <f>VLOOKUP($BS480,'État &amp; Plan d''action'!$B$6:$AH$1113,32,FALSE)</f>
        <v>0</v>
      </c>
      <c r="EB480" s="70">
        <f>VLOOKUP($BS480,'État &amp; Plan d''action'!$B$6:$AH$1113,33,FALSE)</f>
        <v>0</v>
      </c>
      <c r="EC480" s="70">
        <v>0</v>
      </c>
      <c r="ED480" s="70">
        <v>0</v>
      </c>
      <c r="EE480" s="70">
        <v>0</v>
      </c>
      <c r="EF480" s="70">
        <v>0</v>
      </c>
      <c r="EG480" s="70">
        <v>0</v>
      </c>
      <c r="EH480" s="72">
        <v>45</v>
      </c>
      <c r="EI480" s="72">
        <v>379</v>
      </c>
    </row>
    <row r="481" spans="71:139" x14ac:dyDescent="0.35">
      <c r="BS481" s="486">
        <v>80045</v>
      </c>
      <c r="BT481" s="479" t="s">
        <v>809</v>
      </c>
      <c r="BU481" s="479">
        <v>7</v>
      </c>
      <c r="BV481" s="476" t="s">
        <v>1187</v>
      </c>
      <c r="BW481" s="476" t="s">
        <v>1187</v>
      </c>
      <c r="BX481" s="476" t="s">
        <v>1187</v>
      </c>
      <c r="BY481" s="476" t="s">
        <v>1187</v>
      </c>
      <c r="BZ481" s="476" t="s">
        <v>1187</v>
      </c>
      <c r="CA481" s="476" t="s">
        <v>1187</v>
      </c>
      <c r="CB481" s="476" t="s">
        <v>1187</v>
      </c>
      <c r="CC481" s="476" t="s">
        <v>1187</v>
      </c>
      <c r="CD481" s="476" t="s">
        <v>1187</v>
      </c>
      <c r="CE481" s="476" t="s">
        <v>1188</v>
      </c>
      <c r="CF481" s="476" t="s">
        <v>1188</v>
      </c>
      <c r="CG481" s="476" t="s">
        <v>1187</v>
      </c>
      <c r="CH481" s="476" t="s">
        <v>1187</v>
      </c>
      <c r="CI481" s="476" t="s">
        <v>1187</v>
      </c>
      <c r="CJ481" s="476" t="s">
        <v>1188</v>
      </c>
      <c r="CK481" s="476" t="s">
        <v>1187</v>
      </c>
      <c r="CL481" s="476" t="s">
        <v>1188</v>
      </c>
      <c r="CM481" s="476" t="str">
        <f>IF(VLOOKUP(BS481,'Données par municipalité'!$B$6:$E$1113,4,FALSE)="","non","oui")</f>
        <v>non</v>
      </c>
      <c r="CN481" s="410">
        <v>619.29462004542575</v>
      </c>
      <c r="CO481" s="410">
        <v>574.27039021102166</v>
      </c>
      <c r="CP481" s="410"/>
      <c r="CQ481" s="410"/>
      <c r="CR481" s="410"/>
      <c r="CS481" s="410">
        <v>323.31644562939744</v>
      </c>
      <c r="CT481" s="410"/>
      <c r="CU481" s="410">
        <v>335</v>
      </c>
      <c r="CV481" s="410" t="str">
        <f>IF(VLOOKUP(BS481,'Données par municipalité'!$B$6:$F$1113,4,FALSE)="","",VLOOKUP(BS481,'Données par municipalité'!$B$6:$F$1113,4,FALSE))</f>
        <v/>
      </c>
      <c r="CW481" s="476" t="s">
        <v>4723</v>
      </c>
      <c r="CX481" s="483">
        <v>0</v>
      </c>
      <c r="CY481" s="483" t="s">
        <v>1124</v>
      </c>
      <c r="CZ481" s="483" t="s">
        <v>1124</v>
      </c>
      <c r="DA481" s="483" t="s">
        <v>1124</v>
      </c>
      <c r="DB481" s="483">
        <v>0</v>
      </c>
      <c r="DC481" s="483" t="s">
        <v>1124</v>
      </c>
      <c r="DD481" s="483">
        <v>1</v>
      </c>
      <c r="DE481" s="483" t="str">
        <f>IFERROR(SUM(VLOOKUP($BS481,'État &amp; Plan d''action'!$B$6:$Z$1113,18,FALSE),VLOOKUP($BS481,'État &amp; Plan d''action'!$B$6:$Z$1113,20,FALSE))/(VLOOKUP($BS481,'Données par municipalité'!$B$4:$L$1113,11,FALSE)),"")</f>
        <v/>
      </c>
      <c r="DF481" s="483" t="str">
        <f>IFERROR(SUM(VLOOKUP($BS481,'État &amp; Plan d''action'!$B$6:$Z$1113,19,FALSE),VLOOKUP($BS481,'État &amp; Plan d''action'!$B$6:$Z$1113,21,FALSE))/(VLOOKUP($BS481,'Données par municipalité'!$B$4:$L$1113,11,FALSE)),"")</f>
        <v/>
      </c>
      <c r="DG481" s="476" t="s">
        <v>4723</v>
      </c>
      <c r="DH481" s="484">
        <v>2</v>
      </c>
      <c r="DI481" s="484" t="s">
        <v>1124</v>
      </c>
      <c r="DJ481" s="484">
        <v>0</v>
      </c>
      <c r="DK481" s="484">
        <v>0</v>
      </c>
      <c r="DL481" s="484">
        <v>1</v>
      </c>
      <c r="DM481" s="484" t="s">
        <v>1124</v>
      </c>
      <c r="DN481" s="484">
        <v>2</v>
      </c>
      <c r="DO481" s="484">
        <v>2</v>
      </c>
      <c r="DP481" s="484">
        <v>1</v>
      </c>
      <c r="DQ481" s="484" t="str">
        <f>IF(VLOOKUP($BS481,'État &amp; Plan d''action'!$B$6:$AJ$1113,28,FALSE)="","",VLOOKUP($BS481,'État &amp; Plan d''action'!$B$6:$AJ$1113,28,FALSE))</f>
        <v/>
      </c>
      <c r="DR481" s="70" t="str">
        <f>IF(VLOOKUP($BS481,'État &amp; Plan d''action'!$B$6:$AJ$1113,29,FALSE)="","",VLOOKUP($BS481,'État &amp; Plan d''action'!$B$6:$AJ$1113,29,FALSE))</f>
        <v/>
      </c>
      <c r="DS481" s="70" t="str">
        <f>IF(VLOOKUP($BS481,'État &amp; Plan d''action'!$B$6:$AJ$1113,30,FALSE)="","",VLOOKUP($BS481,'État &amp; Plan d''action'!$B$6:$AJ$1113,30,FALSE))</f>
        <v/>
      </c>
      <c r="DT481" s="70">
        <v>210</v>
      </c>
      <c r="DU481" s="485">
        <v>2.4532383772479354</v>
      </c>
      <c r="DV481" s="485" t="s">
        <v>1124</v>
      </c>
      <c r="DW481" s="70">
        <v>1</v>
      </c>
      <c r="DX481" s="70">
        <v>1</v>
      </c>
      <c r="DY481" s="70">
        <v>1</v>
      </c>
      <c r="DZ481" s="70" t="str">
        <f>VLOOKUP($BS481,'État &amp; Plan d''action'!$B$6:$AH$1113,31,FALSE)</f>
        <v/>
      </c>
      <c r="EA481" s="70" t="str">
        <f>VLOOKUP($BS481,'État &amp; Plan d''action'!$B$6:$AH$1113,32,FALSE)</f>
        <v/>
      </c>
      <c r="EB481" s="70" t="str">
        <f>VLOOKUP($BS481,'État &amp; Plan d''action'!$B$6:$AH$1113,33,FALSE)</f>
        <v/>
      </c>
      <c r="EC481" s="70">
        <v>0</v>
      </c>
      <c r="ED481" s="70">
        <v>21.513999999999999</v>
      </c>
      <c r="EE481" s="70">
        <v>0</v>
      </c>
      <c r="EF481" s="70">
        <v>0</v>
      </c>
      <c r="EG481" s="70">
        <v>0</v>
      </c>
      <c r="EH481" s="72">
        <v>62</v>
      </c>
      <c r="EI481" s="72">
        <v>1110</v>
      </c>
    </row>
    <row r="482" spans="71:139" x14ac:dyDescent="0.35">
      <c r="BS482" s="486">
        <v>32045</v>
      </c>
      <c r="BT482" s="479" t="s">
        <v>260</v>
      </c>
      <c r="BU482" s="479">
        <v>17</v>
      </c>
      <c r="BV482" s="476" t="s">
        <v>1187</v>
      </c>
      <c r="BW482" s="476" t="s">
        <v>1187</v>
      </c>
      <c r="BX482" s="476" t="s">
        <v>1187</v>
      </c>
      <c r="BY482" s="476" t="s">
        <v>1187</v>
      </c>
      <c r="BZ482" s="476" t="s">
        <v>1187</v>
      </c>
      <c r="CA482" s="476" t="s">
        <v>1187</v>
      </c>
      <c r="CB482" s="476" t="s">
        <v>1187</v>
      </c>
      <c r="CC482" s="476" t="s">
        <v>1187</v>
      </c>
      <c r="CD482" s="476" t="s">
        <v>1187</v>
      </c>
      <c r="CE482" s="476" t="s">
        <v>1188</v>
      </c>
      <c r="CF482" s="476" t="s">
        <v>1188</v>
      </c>
      <c r="CG482" s="476" t="s">
        <v>1188</v>
      </c>
      <c r="CH482" s="476" t="s">
        <v>1188</v>
      </c>
      <c r="CI482" s="476" t="s">
        <v>1187</v>
      </c>
      <c r="CJ482" s="476" t="s">
        <v>1187</v>
      </c>
      <c r="CK482" s="476" t="s">
        <v>1187</v>
      </c>
      <c r="CL482" s="476" t="s">
        <v>1187</v>
      </c>
      <c r="CM482" s="476" t="str">
        <f>IF(VLOOKUP(BS482,'Données par municipalité'!$B$6:$E$1113,4,FALSE)="","non","oui")</f>
        <v>non</v>
      </c>
      <c r="CN482" s="410">
        <v>572.79863577428273</v>
      </c>
      <c r="CO482" s="410">
        <v>648.0105062181425</v>
      </c>
      <c r="CP482" s="410">
        <v>550.69043251121104</v>
      </c>
      <c r="CQ482" s="410">
        <v>583.65602044775608</v>
      </c>
      <c r="CR482" s="410"/>
      <c r="CS482" s="410" t="s">
        <v>1124</v>
      </c>
      <c r="CT482" s="410"/>
      <c r="CU482" s="410" t="s">
        <v>1124</v>
      </c>
      <c r="CV482" s="410" t="str">
        <f>IF(VLOOKUP(BS482,'Données par municipalité'!$B$6:$F$1113,4,FALSE)="","",VLOOKUP(BS482,'Données par municipalité'!$B$6:$F$1113,4,FALSE))</f>
        <v/>
      </c>
      <c r="CW482" s="476" t="s">
        <v>4723</v>
      </c>
      <c r="CX482" s="483">
        <v>0</v>
      </c>
      <c r="CY482" s="483">
        <v>0</v>
      </c>
      <c r="CZ482" s="483">
        <v>0</v>
      </c>
      <c r="DA482" s="483" t="s">
        <v>1124</v>
      </c>
      <c r="DB482" s="483" t="s">
        <v>1124</v>
      </c>
      <c r="DC482" s="483" t="s">
        <v>1124</v>
      </c>
      <c r="DD482" s="483" t="s">
        <v>1124</v>
      </c>
      <c r="DE482" s="483" t="str">
        <f>IFERROR(SUM(VLOOKUP($BS482,'État &amp; Plan d''action'!$B$6:$Z$1113,18,FALSE),VLOOKUP($BS482,'État &amp; Plan d''action'!$B$6:$Z$1113,20,FALSE))/(VLOOKUP($BS482,'Données par municipalité'!$B$4:$L$1113,11,FALSE)),"")</f>
        <v/>
      </c>
      <c r="DF482" s="483" t="str">
        <f>IFERROR(SUM(VLOOKUP($BS482,'État &amp; Plan d''action'!$B$6:$Z$1113,19,FALSE),VLOOKUP($BS482,'État &amp; Plan d''action'!$B$6:$Z$1113,21,FALSE))/(VLOOKUP($BS482,'Données par municipalité'!$B$4:$L$1113,11,FALSE)),"")</f>
        <v/>
      </c>
      <c r="DG482" s="476" t="s">
        <v>4723</v>
      </c>
      <c r="DH482" s="484">
        <v>1</v>
      </c>
      <c r="DI482" s="484">
        <v>0</v>
      </c>
      <c r="DJ482" s="484">
        <v>2</v>
      </c>
      <c r="DK482" s="484">
        <v>0</v>
      </c>
      <c r="DL482" s="484" t="s">
        <v>1124</v>
      </c>
      <c r="DM482" s="484" t="s">
        <v>1124</v>
      </c>
      <c r="DN482" s="484" t="s">
        <v>1124</v>
      </c>
      <c r="DO482" s="484" t="s">
        <v>1124</v>
      </c>
      <c r="DP482" s="484" t="s">
        <v>1124</v>
      </c>
      <c r="DQ482" s="484" t="str">
        <f>IF(VLOOKUP($BS482,'État &amp; Plan d''action'!$B$6:$AJ$1113,28,FALSE)="","",VLOOKUP($BS482,'État &amp; Plan d''action'!$B$6:$AJ$1113,28,FALSE))</f>
        <v/>
      </c>
      <c r="DR482" s="70" t="str">
        <f>IF(VLOOKUP($BS482,'État &amp; Plan d''action'!$B$6:$AJ$1113,29,FALSE)="","",VLOOKUP($BS482,'État &amp; Plan d''action'!$B$6:$AJ$1113,29,FALSE))</f>
        <v/>
      </c>
      <c r="DS482" s="70" t="str">
        <f>IF(VLOOKUP($BS482,'État &amp; Plan d''action'!$B$6:$AJ$1113,30,FALSE)="","",VLOOKUP($BS482,'État &amp; Plan d''action'!$B$6:$AJ$1113,30,FALSE))</f>
        <v/>
      </c>
      <c r="DT482" s="70" t="s">
        <v>1124</v>
      </c>
      <c r="DU482" s="485" t="s">
        <v>1124</v>
      </c>
      <c r="DV482" s="485" t="s">
        <v>1124</v>
      </c>
      <c r="DW482" s="70" t="s">
        <v>1124</v>
      </c>
      <c r="DX482" s="70" t="s">
        <v>1124</v>
      </c>
      <c r="DY482" s="70" t="s">
        <v>1124</v>
      </c>
      <c r="DZ482" s="70" t="str">
        <f>VLOOKUP($BS482,'État &amp; Plan d''action'!$B$6:$AH$1113,31,FALSE)</f>
        <v/>
      </c>
      <c r="EA482" s="70" t="str">
        <f>VLOOKUP($BS482,'État &amp; Plan d''action'!$B$6:$AH$1113,32,FALSE)</f>
        <v/>
      </c>
      <c r="EB482" s="70" t="str">
        <f>VLOOKUP($BS482,'État &amp; Plan d''action'!$B$6:$AH$1113,33,FALSE)</f>
        <v/>
      </c>
      <c r="EC482" s="70" t="s">
        <v>1124</v>
      </c>
      <c r="ED482" s="70" t="s">
        <v>1124</v>
      </c>
      <c r="EE482" s="70" t="s">
        <v>1124</v>
      </c>
      <c r="EF482" s="70" t="s">
        <v>1124</v>
      </c>
      <c r="EG482" s="70" t="s">
        <v>1124</v>
      </c>
      <c r="EH482" s="72"/>
      <c r="EI482" s="72">
        <v>2625</v>
      </c>
    </row>
    <row r="483" spans="71:139" x14ac:dyDescent="0.35">
      <c r="BS483" s="486">
        <v>32040</v>
      </c>
      <c r="BT483" s="479" t="s">
        <v>259</v>
      </c>
      <c r="BU483" s="479">
        <v>17</v>
      </c>
      <c r="BV483" s="476" t="s">
        <v>1187</v>
      </c>
      <c r="BW483" s="476" t="s">
        <v>1187</v>
      </c>
      <c r="BX483" s="476" t="s">
        <v>1187</v>
      </c>
      <c r="BY483" s="476" t="s">
        <v>1187</v>
      </c>
      <c r="BZ483" s="476" t="s">
        <v>1187</v>
      </c>
      <c r="CA483" s="476" t="s">
        <v>1187</v>
      </c>
      <c r="CB483" s="476" t="s">
        <v>1187</v>
      </c>
      <c r="CC483" s="476" t="s">
        <v>1187</v>
      </c>
      <c r="CD483" s="476" t="s">
        <v>1187</v>
      </c>
      <c r="CE483" s="476" t="s">
        <v>1188</v>
      </c>
      <c r="CF483" s="476" t="s">
        <v>1188</v>
      </c>
      <c r="CG483" s="476" t="s">
        <v>1188</v>
      </c>
      <c r="CH483" s="476" t="s">
        <v>1188</v>
      </c>
      <c r="CI483" s="476" t="s">
        <v>1187</v>
      </c>
      <c r="CJ483" s="476" t="s">
        <v>1187</v>
      </c>
      <c r="CK483" s="476" t="s">
        <v>1187</v>
      </c>
      <c r="CL483" s="476" t="s">
        <v>1188</v>
      </c>
      <c r="CM483" s="476" t="str">
        <f>IF(VLOOKUP(BS483,'Données par municipalité'!$B$6:$E$1113,4,FALSE)="","non","oui")</f>
        <v>oui</v>
      </c>
      <c r="CN483" s="410">
        <v>654.75614328804966</v>
      </c>
      <c r="CO483" s="410">
        <v>717.224322027791</v>
      </c>
      <c r="CP483" s="410">
        <v>530.74561591533745</v>
      </c>
      <c r="CQ483" s="410">
        <v>547.92684600151938</v>
      </c>
      <c r="CR483" s="410"/>
      <c r="CS483" s="410" t="s">
        <v>1124</v>
      </c>
      <c r="CT483" s="410"/>
      <c r="CU483" s="410">
        <v>520</v>
      </c>
      <c r="CV483" s="410">
        <f>IF(VLOOKUP(BS483,'Données par municipalité'!$B$6:$F$1113,4,FALSE)="","",VLOOKUP(BS483,'Données par municipalité'!$B$6:$F$1113,4,FALSE))</f>
        <v>477</v>
      </c>
      <c r="CW483" s="476" t="s">
        <v>4723</v>
      </c>
      <c r="CX483" s="483">
        <v>1</v>
      </c>
      <c r="CY483" s="483">
        <v>1</v>
      </c>
      <c r="CZ483" s="483">
        <v>1</v>
      </c>
      <c r="DA483" s="483" t="s">
        <v>1124</v>
      </c>
      <c r="DB483" s="483" t="s">
        <v>1124</v>
      </c>
      <c r="DC483" s="483" t="s">
        <v>1124</v>
      </c>
      <c r="DD483" s="483">
        <v>2</v>
      </c>
      <c r="DE483" s="483">
        <f>IFERROR(SUM(VLOOKUP($BS483,'État &amp; Plan d''action'!$B$6:$Z$1113,18,FALSE),VLOOKUP($BS483,'État &amp; Plan d''action'!$B$6:$Z$1113,20,FALSE))/(VLOOKUP($BS483,'Données par municipalité'!$B$4:$L$1113,11,FALSE)),"")</f>
        <v>2.0935661269853481</v>
      </c>
      <c r="DF483" s="483">
        <f>IFERROR(SUM(VLOOKUP($BS483,'État &amp; Plan d''action'!$B$6:$Z$1113,19,FALSE),VLOOKUP($BS483,'État &amp; Plan d''action'!$B$6:$Z$1113,21,FALSE))/(VLOOKUP($BS483,'Données par municipalité'!$B$4:$L$1113,11,FALSE)),"")</f>
        <v>2.0935661269853481</v>
      </c>
      <c r="DG483" s="476" t="s">
        <v>4723</v>
      </c>
      <c r="DH483" s="484">
        <v>10</v>
      </c>
      <c r="DI483" s="484">
        <v>5</v>
      </c>
      <c r="DJ483" s="484">
        <v>9</v>
      </c>
      <c r="DK483" s="484">
        <v>0</v>
      </c>
      <c r="DL483" s="484" t="s">
        <v>1124</v>
      </c>
      <c r="DM483" s="484" t="s">
        <v>1124</v>
      </c>
      <c r="DN483" s="484">
        <v>5</v>
      </c>
      <c r="DO483" s="484">
        <v>0</v>
      </c>
      <c r="DP483" s="484">
        <v>0</v>
      </c>
      <c r="DQ483" s="484">
        <f>IF(VLOOKUP($BS483,'État &amp; Plan d''action'!$B$6:$AJ$1113,28,FALSE)="","",VLOOKUP($BS483,'État &amp; Plan d''action'!$B$6:$AJ$1113,28,FALSE))</f>
        <v>11</v>
      </c>
      <c r="DR483" s="70">
        <f>IF(VLOOKUP($BS483,'État &amp; Plan d''action'!$B$6:$AJ$1113,29,FALSE)="","",VLOOKUP($BS483,'État &amp; Plan d''action'!$B$6:$AJ$1113,29,FALSE))</f>
        <v>1</v>
      </c>
      <c r="DS483" s="70">
        <f>IF(VLOOKUP($BS483,'État &amp; Plan d''action'!$B$6:$AJ$1113,30,FALSE)="","",VLOOKUP($BS483,'État &amp; Plan d''action'!$B$6:$AJ$1113,30,FALSE))</f>
        <v>0</v>
      </c>
      <c r="DT483" s="70">
        <v>152</v>
      </c>
      <c r="DU483" s="485">
        <v>3.5065513084480515</v>
      </c>
      <c r="DV483" s="485">
        <v>4.232302596192512</v>
      </c>
      <c r="DW483" s="70">
        <v>2</v>
      </c>
      <c r="DX483" s="70">
        <v>0</v>
      </c>
      <c r="DY483" s="70">
        <v>0</v>
      </c>
      <c r="DZ483" s="70">
        <f>VLOOKUP($BS483,'État &amp; Plan d''action'!$B$6:$AH$1113,31,FALSE)</f>
        <v>2</v>
      </c>
      <c r="EA483" s="70">
        <f>VLOOKUP($BS483,'État &amp; Plan d''action'!$B$6:$AH$1113,32,FALSE)</f>
        <v>2</v>
      </c>
      <c r="EB483" s="70">
        <f>VLOOKUP($BS483,'État &amp; Plan d''action'!$B$6:$AH$1113,33,FALSE)</f>
        <v>0</v>
      </c>
      <c r="EC483" s="70">
        <v>54.442</v>
      </c>
      <c r="ED483" s="70">
        <v>108.884</v>
      </c>
      <c r="EE483" s="70">
        <v>0</v>
      </c>
      <c r="EF483" s="70">
        <v>0</v>
      </c>
      <c r="EG483" s="70">
        <v>0</v>
      </c>
      <c r="EH483" s="72">
        <v>58</v>
      </c>
      <c r="EI483" s="72">
        <v>6567</v>
      </c>
    </row>
    <row r="484" spans="71:139" x14ac:dyDescent="0.35">
      <c r="BS484" s="486">
        <v>13095</v>
      </c>
      <c r="BT484" s="479" t="s">
        <v>58</v>
      </c>
      <c r="BU484" s="479">
        <v>1</v>
      </c>
      <c r="BV484" s="476" t="s">
        <v>1187</v>
      </c>
      <c r="BW484" s="476" t="s">
        <v>1187</v>
      </c>
      <c r="BX484" s="476" t="s">
        <v>1187</v>
      </c>
      <c r="BY484" s="476" t="s">
        <v>1187</v>
      </c>
      <c r="BZ484" s="476" t="s">
        <v>1187</v>
      </c>
      <c r="CA484" s="476" t="s">
        <v>1187</v>
      </c>
      <c r="CB484" s="476" t="s">
        <v>1187</v>
      </c>
      <c r="CC484" s="476" t="s">
        <v>1187</v>
      </c>
      <c r="CD484" s="476" t="s">
        <v>1187</v>
      </c>
      <c r="CE484" s="476" t="s">
        <v>1188</v>
      </c>
      <c r="CF484" s="476" t="s">
        <v>1188</v>
      </c>
      <c r="CG484" s="476" t="s">
        <v>1188</v>
      </c>
      <c r="CH484" s="476" t="s">
        <v>1188</v>
      </c>
      <c r="CI484" s="476" t="s">
        <v>1187</v>
      </c>
      <c r="CJ484" s="476" t="s">
        <v>1188</v>
      </c>
      <c r="CK484" s="476" t="s">
        <v>1188</v>
      </c>
      <c r="CL484" s="476" t="s">
        <v>1188</v>
      </c>
      <c r="CM484" s="476" t="str">
        <f>IF(VLOOKUP(BS484,'Données par municipalité'!$B$6:$E$1113,4,FALSE)="","non","oui")</f>
        <v>oui</v>
      </c>
      <c r="CN484" s="410">
        <v>501.17561988841652</v>
      </c>
      <c r="CO484" s="410">
        <v>610.65647192695371</v>
      </c>
      <c r="CP484" s="410">
        <v>527.34924551550398</v>
      </c>
      <c r="CQ484" s="410">
        <v>523.6436577840625</v>
      </c>
      <c r="CR484" s="410"/>
      <c r="CS484" s="410">
        <v>631.62862946967175</v>
      </c>
      <c r="CT484" s="410">
        <v>572.08119474620082</v>
      </c>
      <c r="CU484" s="410">
        <v>706</v>
      </c>
      <c r="CV484" s="410">
        <f>IF(VLOOKUP(BS484,'Données par municipalité'!$B$6:$F$1113,4,FALSE)="","",VLOOKUP(BS484,'Données par municipalité'!$B$6:$F$1113,4,FALSE))</f>
        <v>755</v>
      </c>
      <c r="CW484" s="476" t="s">
        <v>4723</v>
      </c>
      <c r="CX484" s="483">
        <v>0</v>
      </c>
      <c r="CY484" s="483">
        <v>0</v>
      </c>
      <c r="CZ484" s="483">
        <v>0</v>
      </c>
      <c r="DA484" s="483" t="s">
        <v>1124</v>
      </c>
      <c r="DB484" s="483">
        <v>1</v>
      </c>
      <c r="DC484" s="483">
        <v>1</v>
      </c>
      <c r="DD484" s="483">
        <v>1</v>
      </c>
      <c r="DE484" s="483">
        <f>IFERROR(SUM(VLOOKUP($BS484,'État &amp; Plan d''action'!$B$6:$Z$1113,18,FALSE),VLOOKUP($BS484,'État &amp; Plan d''action'!$B$6:$Z$1113,20,FALSE))/(VLOOKUP($BS484,'Données par municipalité'!$B$4:$L$1113,11,FALSE)),"")</f>
        <v>2.0210185933710587</v>
      </c>
      <c r="DF484" s="483">
        <f>IFERROR(SUM(VLOOKUP($BS484,'État &amp; Plan d''action'!$B$6:$Z$1113,19,FALSE),VLOOKUP($BS484,'État &amp; Plan d''action'!$B$6:$Z$1113,21,FALSE))/(VLOOKUP($BS484,'Données par municipalité'!$B$4:$L$1113,11,FALSE)),"")</f>
        <v>2.3776689333777159</v>
      </c>
      <c r="DG484" s="476" t="s">
        <v>4723</v>
      </c>
      <c r="DH484" s="484">
        <v>7</v>
      </c>
      <c r="DI484" s="484">
        <v>3</v>
      </c>
      <c r="DJ484" s="484">
        <v>1</v>
      </c>
      <c r="DK484" s="484">
        <v>0</v>
      </c>
      <c r="DL484" s="484">
        <v>2</v>
      </c>
      <c r="DM484" s="484">
        <v>3</v>
      </c>
      <c r="DN484" s="484">
        <v>2</v>
      </c>
      <c r="DO484" s="484">
        <v>2</v>
      </c>
      <c r="DP484" s="484">
        <v>1</v>
      </c>
      <c r="DQ484" s="484">
        <f>IF(VLOOKUP($BS484,'État &amp; Plan d''action'!$B$6:$AJ$1113,28,FALSE)="","",VLOOKUP($BS484,'État &amp; Plan d''action'!$B$6:$AJ$1113,28,FALSE))</f>
        <v>1</v>
      </c>
      <c r="DR484" s="70">
        <f>IF(VLOOKUP($BS484,'État &amp; Plan d''action'!$B$6:$AJ$1113,29,FALSE)="","",VLOOKUP($BS484,'État &amp; Plan d''action'!$B$6:$AJ$1113,29,FALSE))</f>
        <v>2</v>
      </c>
      <c r="DS484" s="70">
        <f>IF(VLOOKUP($BS484,'État &amp; Plan d''action'!$B$6:$AJ$1113,30,FALSE)="","",VLOOKUP($BS484,'État &amp; Plan d''action'!$B$6:$AJ$1113,30,FALSE))</f>
        <v>2</v>
      </c>
      <c r="DT484" s="70">
        <v>344</v>
      </c>
      <c r="DU484" s="485">
        <v>4.850992987749434</v>
      </c>
      <c r="DV484" s="485">
        <v>8.6225216389865125</v>
      </c>
      <c r="DW484" s="70">
        <v>1</v>
      </c>
      <c r="DX484" s="70">
        <v>3</v>
      </c>
      <c r="DY484" s="70">
        <v>1</v>
      </c>
      <c r="DZ484" s="70">
        <f>VLOOKUP($BS484,'État &amp; Plan d''action'!$B$6:$AH$1113,31,FALSE)</f>
        <v>1</v>
      </c>
      <c r="EA484" s="70">
        <f>VLOOKUP($BS484,'État &amp; Plan d''action'!$B$6:$AH$1113,32,FALSE)</f>
        <v>3</v>
      </c>
      <c r="EB484" s="70">
        <f>VLOOKUP($BS484,'État &amp; Plan d''action'!$B$6:$AH$1113,33,FALSE)</f>
        <v>90</v>
      </c>
      <c r="EC484" s="70">
        <v>0</v>
      </c>
      <c r="ED484" s="70">
        <v>42.058</v>
      </c>
      <c r="EE484" s="70">
        <v>0</v>
      </c>
      <c r="EF484" s="70">
        <v>0</v>
      </c>
      <c r="EG484" s="70">
        <v>0</v>
      </c>
      <c r="EH484" s="72">
        <v>59</v>
      </c>
      <c r="EI484" s="72">
        <v>2549</v>
      </c>
    </row>
    <row r="485" spans="71:139" x14ac:dyDescent="0.35">
      <c r="BS485" s="486">
        <v>6030</v>
      </c>
      <c r="BT485" s="479" t="s">
        <v>1061</v>
      </c>
      <c r="BU485" s="479">
        <v>11</v>
      </c>
      <c r="BV485" s="476" t="s">
        <v>1187</v>
      </c>
      <c r="BW485" s="476" t="s">
        <v>1187</v>
      </c>
      <c r="BX485" s="476" t="s">
        <v>1187</v>
      </c>
      <c r="BY485" s="476" t="s">
        <v>1187</v>
      </c>
      <c r="BZ485" s="476" t="s">
        <v>1187</v>
      </c>
      <c r="CA485" s="476" t="s">
        <v>1187</v>
      </c>
      <c r="CB485" s="476" t="s">
        <v>1187</v>
      </c>
      <c r="CC485" s="476" t="s">
        <v>1187</v>
      </c>
      <c r="CD485" s="476" t="s">
        <v>1187</v>
      </c>
      <c r="CE485" s="476" t="s">
        <v>1187</v>
      </c>
      <c r="CF485" s="476" t="s">
        <v>1187</v>
      </c>
      <c r="CG485" s="476" t="s">
        <v>1187</v>
      </c>
      <c r="CH485" s="476" t="s">
        <v>1187</v>
      </c>
      <c r="CI485" s="476" t="s">
        <v>1187</v>
      </c>
      <c r="CJ485" s="476" t="s">
        <v>1187</v>
      </c>
      <c r="CK485" s="476" t="s">
        <v>1187</v>
      </c>
      <c r="CL485" s="476" t="s">
        <v>1187</v>
      </c>
      <c r="CM485" s="476" t="str">
        <f>IF(VLOOKUP(BS485,'Données par municipalité'!$B$6:$E$1113,4,FALSE)="","non","oui")</f>
        <v>non</v>
      </c>
      <c r="CN485" s="410" t="s">
        <v>1124</v>
      </c>
      <c r="CO485" s="410" t="s">
        <v>1124</v>
      </c>
      <c r="CP485" s="410"/>
      <c r="CQ485" s="410"/>
      <c r="CR485" s="410"/>
      <c r="CS485" s="410" t="s">
        <v>1124</v>
      </c>
      <c r="CT485" s="410"/>
      <c r="CU485" s="410" t="s">
        <v>1124</v>
      </c>
      <c r="CV485" s="410" t="str">
        <f>IF(VLOOKUP(BS485,'Données par municipalité'!$B$6:$F$1113,4,FALSE)="","",VLOOKUP(BS485,'Données par municipalité'!$B$6:$F$1113,4,FALSE))</f>
        <v/>
      </c>
      <c r="CW485" s="476" t="s">
        <v>4723</v>
      </c>
      <c r="CX485" s="483" t="s">
        <v>1124</v>
      </c>
      <c r="CY485" s="483" t="s">
        <v>1124</v>
      </c>
      <c r="CZ485" s="483" t="s">
        <v>1124</v>
      </c>
      <c r="DA485" s="483" t="s">
        <v>1124</v>
      </c>
      <c r="DB485" s="483" t="s">
        <v>1124</v>
      </c>
      <c r="DC485" s="483" t="s">
        <v>1124</v>
      </c>
      <c r="DD485" s="483" t="s">
        <v>1124</v>
      </c>
      <c r="DE485" s="483" t="str">
        <f>IFERROR(SUM(VLOOKUP($BS485,'État &amp; Plan d''action'!$B$6:$Z$1113,18,FALSE),VLOOKUP($BS485,'État &amp; Plan d''action'!$B$6:$Z$1113,20,FALSE))/(VLOOKUP($BS485,'Données par municipalité'!$B$4:$L$1113,11,FALSE)),"")</f>
        <v/>
      </c>
      <c r="DF485" s="483" t="str">
        <f>IFERROR(SUM(VLOOKUP($BS485,'État &amp; Plan d''action'!$B$6:$Z$1113,19,FALSE),VLOOKUP($BS485,'État &amp; Plan d''action'!$B$6:$Z$1113,21,FALSE))/(VLOOKUP($BS485,'Données par municipalité'!$B$4:$L$1113,11,FALSE)),"")</f>
        <v/>
      </c>
      <c r="DG485" s="476" t="s">
        <v>4723</v>
      </c>
      <c r="DH485" s="484" t="s">
        <v>1124</v>
      </c>
      <c r="DI485" s="484" t="s">
        <v>1124</v>
      </c>
      <c r="DJ485" s="484">
        <v>0</v>
      </c>
      <c r="DK485" s="484">
        <v>0</v>
      </c>
      <c r="DL485" s="484" t="s">
        <v>1124</v>
      </c>
      <c r="DM485" s="484" t="s">
        <v>1124</v>
      </c>
      <c r="DN485" s="484" t="s">
        <v>1124</v>
      </c>
      <c r="DO485" s="484" t="s">
        <v>1124</v>
      </c>
      <c r="DP485" s="484" t="s">
        <v>1124</v>
      </c>
      <c r="DQ485" s="484" t="str">
        <f>IF(VLOOKUP($BS485,'État &amp; Plan d''action'!$B$6:$AJ$1113,28,FALSE)="","",VLOOKUP($BS485,'État &amp; Plan d''action'!$B$6:$AJ$1113,28,FALSE))</f>
        <v/>
      </c>
      <c r="DR485" s="70" t="str">
        <f>IF(VLOOKUP($BS485,'État &amp; Plan d''action'!$B$6:$AJ$1113,29,FALSE)="","",VLOOKUP($BS485,'État &amp; Plan d''action'!$B$6:$AJ$1113,29,FALSE))</f>
        <v/>
      </c>
      <c r="DS485" s="70" t="str">
        <f>IF(VLOOKUP($BS485,'État &amp; Plan d''action'!$B$6:$AJ$1113,30,FALSE)="","",VLOOKUP($BS485,'État &amp; Plan d''action'!$B$6:$AJ$1113,30,FALSE))</f>
        <v/>
      </c>
      <c r="DT485" s="70" t="s">
        <v>1124</v>
      </c>
      <c r="DU485" s="485" t="s">
        <v>1124</v>
      </c>
      <c r="DV485" s="485" t="s">
        <v>1124</v>
      </c>
      <c r="DW485" s="70" t="s">
        <v>1124</v>
      </c>
      <c r="DX485" s="70" t="s">
        <v>1124</v>
      </c>
      <c r="DY485" s="70" t="s">
        <v>1124</v>
      </c>
      <c r="DZ485" s="70" t="str">
        <f>VLOOKUP($BS485,'État &amp; Plan d''action'!$B$6:$AH$1113,31,FALSE)</f>
        <v/>
      </c>
      <c r="EA485" s="70" t="str">
        <f>VLOOKUP($BS485,'État &amp; Plan d''action'!$B$6:$AH$1113,32,FALSE)</f>
        <v/>
      </c>
      <c r="EB485" s="70" t="str">
        <f>VLOOKUP($BS485,'État &amp; Plan d''action'!$B$6:$AH$1113,33,FALSE)</f>
        <v/>
      </c>
      <c r="EC485" s="70" t="s">
        <v>1124</v>
      </c>
      <c r="ED485" s="70" t="s">
        <v>1124</v>
      </c>
      <c r="EE485" s="70" t="s">
        <v>1124</v>
      </c>
      <c r="EF485" s="70" t="s">
        <v>1124</v>
      </c>
      <c r="EG485" s="70" t="s">
        <v>1124</v>
      </c>
      <c r="EH485" s="72"/>
      <c r="EI485" s="72">
        <v>1380</v>
      </c>
    </row>
    <row r="486" spans="71:139" x14ac:dyDescent="0.35">
      <c r="BS486" s="486">
        <v>96030</v>
      </c>
      <c r="BT486" s="479" t="s">
        <v>999</v>
      </c>
      <c r="BU486" s="479">
        <v>9</v>
      </c>
      <c r="BV486" s="476" t="s">
        <v>1187</v>
      </c>
      <c r="BW486" s="476" t="s">
        <v>1187</v>
      </c>
      <c r="BX486" s="476" t="s">
        <v>1187</v>
      </c>
      <c r="BY486" s="476" t="s">
        <v>1187</v>
      </c>
      <c r="BZ486" s="476" t="s">
        <v>1187</v>
      </c>
      <c r="CA486" s="476" t="s">
        <v>1187</v>
      </c>
      <c r="CB486" s="476" t="s">
        <v>1187</v>
      </c>
      <c r="CC486" s="476" t="s">
        <v>1187</v>
      </c>
      <c r="CD486" s="476" t="s">
        <v>1187</v>
      </c>
      <c r="CE486" s="476" t="s">
        <v>1188</v>
      </c>
      <c r="CF486" s="476" t="s">
        <v>1188</v>
      </c>
      <c r="CG486" s="476" t="s">
        <v>1187</v>
      </c>
      <c r="CH486" s="476" t="s">
        <v>1188</v>
      </c>
      <c r="CI486" s="476" t="s">
        <v>1188</v>
      </c>
      <c r="CJ486" s="476" t="s">
        <v>1187</v>
      </c>
      <c r="CK486" s="476" t="s">
        <v>1187</v>
      </c>
      <c r="CL486" s="476" t="s">
        <v>1188</v>
      </c>
      <c r="CM486" s="476" t="str">
        <f>IF(VLOOKUP(BS486,'Données par municipalité'!$B$6:$E$1113,4,FALSE)="","non","oui")</f>
        <v>oui</v>
      </c>
      <c r="CN486" s="410">
        <v>504.14051050058885</v>
      </c>
      <c r="CO486" s="410">
        <v>411.22152472446004</v>
      </c>
      <c r="CP486" s="410"/>
      <c r="CQ486" s="410">
        <v>338.08884963648677</v>
      </c>
      <c r="CR486" s="410">
        <v>281.97477839078692</v>
      </c>
      <c r="CS486" s="410" t="s">
        <v>1124</v>
      </c>
      <c r="CT486" s="410"/>
      <c r="CU486" s="410">
        <v>233</v>
      </c>
      <c r="CV486" s="410">
        <f>IF(VLOOKUP(BS486,'Données par municipalité'!$B$6:$F$1113,4,FALSE)="","",VLOOKUP(BS486,'Données par municipalité'!$B$6:$F$1113,4,FALSE))</f>
        <v>231</v>
      </c>
      <c r="CW486" s="476" t="s">
        <v>4723</v>
      </c>
      <c r="CX486" s="483">
        <v>0.35</v>
      </c>
      <c r="CY486" s="483" t="s">
        <v>1124</v>
      </c>
      <c r="CZ486" s="483">
        <v>0</v>
      </c>
      <c r="DA486" s="483">
        <v>0</v>
      </c>
      <c r="DB486" s="483" t="s">
        <v>1124</v>
      </c>
      <c r="DC486" s="483" t="s">
        <v>1124</v>
      </c>
      <c r="DD486" s="483">
        <v>0</v>
      </c>
      <c r="DE486" s="483">
        <f>IFERROR(SUM(VLOOKUP($BS486,'État &amp; Plan d''action'!$B$6:$Z$1113,18,FALSE),VLOOKUP($BS486,'État &amp; Plan d''action'!$B$6:$Z$1113,20,FALSE))/(VLOOKUP($BS486,'Données par municipalité'!$B$4:$L$1113,11,FALSE)),"")</f>
        <v>0</v>
      </c>
      <c r="DF486" s="483">
        <f>IFERROR(SUM(VLOOKUP($BS486,'État &amp; Plan d''action'!$B$6:$Z$1113,19,FALSE),VLOOKUP($BS486,'État &amp; Plan d''action'!$B$6:$Z$1113,21,FALSE))/(VLOOKUP($BS486,'Données par municipalité'!$B$4:$L$1113,11,FALSE)),"")</f>
        <v>0</v>
      </c>
      <c r="DG486" s="476" t="s">
        <v>4723</v>
      </c>
      <c r="DH486" s="484">
        <v>0</v>
      </c>
      <c r="DI486" s="484" t="s">
        <v>1124</v>
      </c>
      <c r="DJ486" s="484">
        <v>0</v>
      </c>
      <c r="DK486" s="484">
        <v>0</v>
      </c>
      <c r="DL486" s="484" t="s">
        <v>1124</v>
      </c>
      <c r="DM486" s="484" t="s">
        <v>1124</v>
      </c>
      <c r="DN486" s="484">
        <v>0</v>
      </c>
      <c r="DO486" s="484">
        <v>0</v>
      </c>
      <c r="DP486" s="484">
        <v>1</v>
      </c>
      <c r="DQ486" s="484">
        <f>IF(VLOOKUP($BS486,'État &amp; Plan d''action'!$B$6:$AJ$1113,28,FALSE)="","",VLOOKUP($BS486,'État &amp; Plan d''action'!$B$6:$AJ$1113,28,FALSE))</f>
        <v>0</v>
      </c>
      <c r="DR486" s="70">
        <f>IF(VLOOKUP($BS486,'État &amp; Plan d''action'!$B$6:$AJ$1113,29,FALSE)="","",VLOOKUP($BS486,'État &amp; Plan d''action'!$B$6:$AJ$1113,29,FALSE))</f>
        <v>0</v>
      </c>
      <c r="DS486" s="70">
        <f>IF(VLOOKUP($BS486,'État &amp; Plan d''action'!$B$6:$AJ$1113,30,FALSE)="","",VLOOKUP($BS486,'État &amp; Plan d''action'!$B$6:$AJ$1113,30,FALSE))</f>
        <v>1</v>
      </c>
      <c r="DT486" s="70">
        <v>176</v>
      </c>
      <c r="DU486" s="485">
        <v>1.4874848334276998</v>
      </c>
      <c r="DV486" s="485">
        <v>1.3197382655510741</v>
      </c>
      <c r="DW486" s="70">
        <v>0</v>
      </c>
      <c r="DX486" s="70">
        <v>0</v>
      </c>
      <c r="DY486" s="70">
        <v>3</v>
      </c>
      <c r="DZ486" s="70">
        <f>VLOOKUP($BS486,'État &amp; Plan d''action'!$B$6:$AH$1113,31,FALSE)</f>
        <v>0</v>
      </c>
      <c r="EA486" s="70">
        <f>VLOOKUP($BS486,'État &amp; Plan d''action'!$B$6:$AH$1113,32,FALSE)</f>
        <v>0</v>
      </c>
      <c r="EB486" s="70">
        <f>VLOOKUP($BS486,'État &amp; Plan d''action'!$B$6:$AH$1113,33,FALSE)</f>
        <v>10</v>
      </c>
      <c r="EC486" s="70">
        <v>0</v>
      </c>
      <c r="ED486" s="70">
        <v>0</v>
      </c>
      <c r="EE486" s="70">
        <v>0</v>
      </c>
      <c r="EF486" s="70">
        <v>0</v>
      </c>
      <c r="EG486" s="70">
        <v>0</v>
      </c>
      <c r="EH486" s="72">
        <v>45</v>
      </c>
      <c r="EI486" s="72">
        <v>1321</v>
      </c>
    </row>
    <row r="487" spans="71:139" x14ac:dyDescent="0.35">
      <c r="BS487" s="486">
        <v>72020</v>
      </c>
      <c r="BT487" s="479" t="s">
        <v>730</v>
      </c>
      <c r="BU487" s="479">
        <v>15</v>
      </c>
      <c r="BV487" s="476" t="s">
        <v>1187</v>
      </c>
      <c r="BW487" s="476" t="s">
        <v>1187</v>
      </c>
      <c r="BX487" s="476" t="s">
        <v>1187</v>
      </c>
      <c r="BY487" s="476" t="s">
        <v>1187</v>
      </c>
      <c r="BZ487" s="476" t="s">
        <v>1187</v>
      </c>
      <c r="CA487" s="476" t="s">
        <v>1187</v>
      </c>
      <c r="CB487" s="476" t="s">
        <v>1187</v>
      </c>
      <c r="CC487" s="476" t="s">
        <v>1187</v>
      </c>
      <c r="CD487" s="476" t="s">
        <v>1187</v>
      </c>
      <c r="CE487" s="476" t="s">
        <v>1188</v>
      </c>
      <c r="CF487" s="476" t="s">
        <v>1188</v>
      </c>
      <c r="CG487" s="476" t="s">
        <v>1188</v>
      </c>
      <c r="CH487" s="476" t="s">
        <v>1188</v>
      </c>
      <c r="CI487" s="476" t="s">
        <v>1188</v>
      </c>
      <c r="CJ487" s="476" t="s">
        <v>1188</v>
      </c>
      <c r="CK487" s="476" t="s">
        <v>1188</v>
      </c>
      <c r="CL487" s="476" t="s">
        <v>1188</v>
      </c>
      <c r="CM487" s="476" t="str">
        <f>IF(VLOOKUP(BS487,'Données par municipalité'!$B$6:$E$1113,4,FALSE)="","non","oui")</f>
        <v>oui</v>
      </c>
      <c r="CN487" s="410">
        <v>397.88700868475246</v>
      </c>
      <c r="CO487" s="410">
        <v>456.66040294071922</v>
      </c>
      <c r="CP487" s="410">
        <v>402.70243177887716</v>
      </c>
      <c r="CQ487" s="410">
        <v>407.98672337478354</v>
      </c>
      <c r="CR487" s="410">
        <v>398.25798455270046</v>
      </c>
      <c r="CS487" s="410">
        <v>284.00537805281022</v>
      </c>
      <c r="CT487" s="410">
        <v>264.65079845946553</v>
      </c>
      <c r="CU487" s="410">
        <v>266</v>
      </c>
      <c r="CV487" s="410">
        <f>IF(VLOOKUP(BS487,'Données par municipalité'!$B$6:$F$1113,4,FALSE)="","",VLOOKUP(BS487,'Données par municipalité'!$B$6:$F$1113,4,FALSE))</f>
        <v>317</v>
      </c>
      <c r="CW487" s="476" t="s">
        <v>4723</v>
      </c>
      <c r="CX487" s="483">
        <v>0</v>
      </c>
      <c r="CY487" s="483">
        <v>0</v>
      </c>
      <c r="CZ487" s="483">
        <v>0</v>
      </c>
      <c r="DA487" s="483">
        <v>0</v>
      </c>
      <c r="DB487" s="483">
        <v>0</v>
      </c>
      <c r="DC487" s="483">
        <v>0</v>
      </c>
      <c r="DD487" s="483">
        <v>0</v>
      </c>
      <c r="DE487" s="483" t="str">
        <f>IFERROR(SUM(VLOOKUP($BS487,'État &amp; Plan d''action'!$B$6:$Z$1113,18,FALSE),VLOOKUP($BS487,'État &amp; Plan d''action'!$B$6:$Z$1113,20,FALSE))/(VLOOKUP($BS487,'Données par municipalité'!$B$4:$L$1113,11,FALSE)),"")</f>
        <v/>
      </c>
      <c r="DF487" s="483" t="str">
        <f>IFERROR(SUM(VLOOKUP($BS487,'État &amp; Plan d''action'!$B$6:$Z$1113,19,FALSE),VLOOKUP($BS487,'État &amp; Plan d''action'!$B$6:$Z$1113,21,FALSE))/(VLOOKUP($BS487,'Données par municipalité'!$B$4:$L$1113,11,FALSE)),"")</f>
        <v/>
      </c>
      <c r="DG487" s="476" t="s">
        <v>4723</v>
      </c>
      <c r="DH487" s="484">
        <v>3</v>
      </c>
      <c r="DI487" s="484">
        <v>2</v>
      </c>
      <c r="DJ487" s="484">
        <v>4</v>
      </c>
      <c r="DK487" s="484">
        <v>6</v>
      </c>
      <c r="DL487" s="484">
        <v>5</v>
      </c>
      <c r="DM487" s="484">
        <v>3</v>
      </c>
      <c r="DN487" s="484">
        <v>2</v>
      </c>
      <c r="DO487" s="484">
        <v>0</v>
      </c>
      <c r="DP487" s="484">
        <v>2</v>
      </c>
      <c r="DQ487" s="484">
        <f>IF(VLOOKUP($BS487,'État &amp; Plan d''action'!$B$6:$AJ$1113,28,FALSE)="","",VLOOKUP($BS487,'État &amp; Plan d''action'!$B$6:$AJ$1113,28,FALSE))</f>
        <v>1</v>
      </c>
      <c r="DR487" s="70">
        <f>IF(VLOOKUP($BS487,'État &amp; Plan d''action'!$B$6:$AJ$1113,29,FALSE)="","",VLOOKUP($BS487,'État &amp; Plan d''action'!$B$6:$AJ$1113,29,FALSE))</f>
        <v>0</v>
      </c>
      <c r="DS487" s="70">
        <f>IF(VLOOKUP($BS487,'État &amp; Plan d''action'!$B$6:$AJ$1113,30,FALSE)="","",VLOOKUP($BS487,'État &amp; Plan d''action'!$B$6:$AJ$1113,30,FALSE))</f>
        <v>0</v>
      </c>
      <c r="DT487" s="70">
        <v>231</v>
      </c>
      <c r="DU487" s="485">
        <v>0.73429054549729211</v>
      </c>
      <c r="DV487" s="485">
        <v>2.1</v>
      </c>
      <c r="DW487" s="70">
        <v>5</v>
      </c>
      <c r="DX487" s="70">
        <v>0</v>
      </c>
      <c r="DY487" s="70">
        <v>0</v>
      </c>
      <c r="DZ487" s="70">
        <f>VLOOKUP($BS487,'État &amp; Plan d''action'!$B$6:$AH$1113,31,FALSE)</f>
        <v>5</v>
      </c>
      <c r="EA487" s="70">
        <f>VLOOKUP($BS487,'État &amp; Plan d''action'!$B$6:$AH$1113,32,FALSE)</f>
        <v>0</v>
      </c>
      <c r="EB487" s="70">
        <f>VLOOKUP($BS487,'État &amp; Plan d''action'!$B$6:$AH$1113,33,FALSE)</f>
        <v>0</v>
      </c>
      <c r="EC487" s="70">
        <v>0</v>
      </c>
      <c r="ED487" s="70">
        <v>0</v>
      </c>
      <c r="EE487" s="70">
        <v>0</v>
      </c>
      <c r="EF487" s="70">
        <v>0</v>
      </c>
      <c r="EG487" s="70">
        <v>0</v>
      </c>
      <c r="EH487" s="72">
        <v>47</v>
      </c>
      <c r="EI487" s="72">
        <v>6494</v>
      </c>
    </row>
    <row r="488" spans="71:139" x14ac:dyDescent="0.35">
      <c r="BS488" s="486">
        <v>66097</v>
      </c>
      <c r="BT488" s="479" t="s">
        <v>656</v>
      </c>
      <c r="BU488" s="479">
        <v>6</v>
      </c>
      <c r="BV488" s="476" t="s">
        <v>1187</v>
      </c>
      <c r="BW488" s="476" t="s">
        <v>1187</v>
      </c>
      <c r="BX488" s="476" t="s">
        <v>1187</v>
      </c>
      <c r="BY488" s="476" t="s">
        <v>1187</v>
      </c>
      <c r="BZ488" s="476" t="s">
        <v>1187</v>
      </c>
      <c r="CA488" s="476" t="s">
        <v>1187</v>
      </c>
      <c r="CB488" s="476" t="s">
        <v>1187</v>
      </c>
      <c r="CC488" s="476" t="s">
        <v>1187</v>
      </c>
      <c r="CD488" s="476" t="s">
        <v>1187</v>
      </c>
      <c r="CE488" s="476" t="s">
        <v>1188</v>
      </c>
      <c r="CF488" s="476" t="s">
        <v>1188</v>
      </c>
      <c r="CG488" s="476" t="s">
        <v>1187</v>
      </c>
      <c r="CH488" s="476" t="s">
        <v>1188</v>
      </c>
      <c r="CI488" s="476" t="s">
        <v>1188</v>
      </c>
      <c r="CJ488" s="476" t="s">
        <v>1188</v>
      </c>
      <c r="CK488" s="476" t="s">
        <v>1188</v>
      </c>
      <c r="CL488" s="476" t="s">
        <v>1188</v>
      </c>
      <c r="CM488" s="476" t="str">
        <f>IF(VLOOKUP(BS488,'Données par municipalité'!$B$6:$E$1113,4,FALSE)="","non","oui")</f>
        <v>oui</v>
      </c>
      <c r="CN488" s="410">
        <v>560.69553403199848</v>
      </c>
      <c r="CO488" s="410">
        <v>623.31228508907748</v>
      </c>
      <c r="CP488" s="410"/>
      <c r="CQ488" s="410">
        <v>494.64299158799844</v>
      </c>
      <c r="CR488" s="410">
        <v>548.4040133423706</v>
      </c>
      <c r="CS488" s="410">
        <v>572</v>
      </c>
      <c r="CT488" s="410">
        <v>600.33500239023624</v>
      </c>
      <c r="CU488" s="410">
        <v>617</v>
      </c>
      <c r="CV488" s="410">
        <f>IF(VLOOKUP(BS488,'Données par municipalité'!$B$6:$F$1113,4,FALSE)="","",VLOOKUP(BS488,'Données par municipalité'!$B$6:$F$1113,4,FALSE))</f>
        <v>596</v>
      </c>
      <c r="CW488" s="476" t="s">
        <v>4723</v>
      </c>
      <c r="CX488" s="483">
        <v>1</v>
      </c>
      <c r="CY488" s="483" t="s">
        <v>1124</v>
      </c>
      <c r="CZ488" s="483">
        <v>1</v>
      </c>
      <c r="DA488" s="483">
        <v>1</v>
      </c>
      <c r="DB488" s="483">
        <v>1</v>
      </c>
      <c r="DC488" s="483">
        <v>1</v>
      </c>
      <c r="DD488" s="483">
        <v>2.8903530085783999</v>
      </c>
      <c r="DE488" s="483">
        <f>IFERROR(SUM(VLOOKUP($BS488,'État &amp; Plan d''action'!$B$6:$Z$1113,18,FALSE),VLOOKUP($BS488,'État &amp; Plan d''action'!$B$6:$Z$1113,20,FALSE))/(VLOOKUP($BS488,'Données par municipalité'!$B$4:$L$1113,11,FALSE)),"")</f>
        <v>2.8798789003170202</v>
      </c>
      <c r="DF488" s="483">
        <f>IFERROR(SUM(VLOOKUP($BS488,'État &amp; Plan d''action'!$B$6:$Z$1113,19,FALSE),VLOOKUP($BS488,'État &amp; Plan d''action'!$B$6:$Z$1113,21,FALSE))/(VLOOKUP($BS488,'Données par municipalité'!$B$4:$L$1113,11,FALSE)),"")</f>
        <v>2.8798789003170202</v>
      </c>
      <c r="DG488" s="476" t="s">
        <v>4723</v>
      </c>
      <c r="DH488" s="484">
        <v>77</v>
      </c>
      <c r="DI488" s="484">
        <v>92</v>
      </c>
      <c r="DJ488" s="484">
        <v>96</v>
      </c>
      <c r="DK488" s="484">
        <v>149</v>
      </c>
      <c r="DL488" s="484">
        <v>76</v>
      </c>
      <c r="DM488" s="484">
        <v>78</v>
      </c>
      <c r="DN488" s="484">
        <v>86</v>
      </c>
      <c r="DO488" s="484">
        <v>3</v>
      </c>
      <c r="DP488" s="484">
        <v>2</v>
      </c>
      <c r="DQ488" s="484">
        <f>IF(VLOOKUP($BS488,'État &amp; Plan d''action'!$B$6:$AJ$1113,28,FALSE)="","",VLOOKUP($BS488,'État &amp; Plan d''action'!$B$6:$AJ$1113,28,FALSE))</f>
        <v>66</v>
      </c>
      <c r="DR488" s="70">
        <f>IF(VLOOKUP($BS488,'État &amp; Plan d''action'!$B$6:$AJ$1113,29,FALSE)="","",VLOOKUP($BS488,'État &amp; Plan d''action'!$B$6:$AJ$1113,29,FALSE))</f>
        <v>3</v>
      </c>
      <c r="DS488" s="70">
        <f>IF(VLOOKUP($BS488,'État &amp; Plan d''action'!$B$6:$AJ$1113,30,FALSE)="","",VLOOKUP($BS488,'État &amp; Plan d''action'!$B$6:$AJ$1113,30,FALSE))</f>
        <v>2</v>
      </c>
      <c r="DT488" s="70">
        <v>161</v>
      </c>
      <c r="DU488" s="485">
        <v>8.5764144035075613</v>
      </c>
      <c r="DV488" s="485">
        <v>5.7692495268343809</v>
      </c>
      <c r="DW488" s="70">
        <v>1</v>
      </c>
      <c r="DX488" s="70">
        <v>7</v>
      </c>
      <c r="DY488" s="70">
        <v>30</v>
      </c>
      <c r="DZ488" s="70">
        <f>VLOOKUP($BS488,'État &amp; Plan d''action'!$B$6:$AH$1113,31,FALSE)</f>
        <v>1</v>
      </c>
      <c r="EA488" s="70">
        <f>VLOOKUP($BS488,'État &amp; Plan d''action'!$B$6:$AH$1113,32,FALSE)</f>
        <v>7</v>
      </c>
      <c r="EB488" s="70">
        <f>VLOOKUP($BS488,'État &amp; Plan d''action'!$B$6:$AH$1113,33,FALSE)</f>
        <v>30</v>
      </c>
      <c r="EC488" s="70">
        <v>0</v>
      </c>
      <c r="ED488" s="70">
        <v>565.03800000000001</v>
      </c>
      <c r="EE488" s="70">
        <v>0</v>
      </c>
      <c r="EF488" s="70">
        <v>0</v>
      </c>
      <c r="EG488" s="70">
        <v>0</v>
      </c>
      <c r="EH488" s="72">
        <v>61</v>
      </c>
      <c r="EI488" s="72">
        <v>32045</v>
      </c>
    </row>
    <row r="489" spans="71:139" x14ac:dyDescent="0.35">
      <c r="BS489" s="486">
        <v>71055</v>
      </c>
      <c r="BT489" s="479" t="s">
        <v>712</v>
      </c>
      <c r="BU489" s="479">
        <v>16</v>
      </c>
      <c r="BV489" s="476" t="s">
        <v>1187</v>
      </c>
      <c r="BW489" s="476" t="s">
        <v>1187</v>
      </c>
      <c r="BX489" s="476" t="s">
        <v>1187</v>
      </c>
      <c r="BY489" s="476" t="s">
        <v>1187</v>
      </c>
      <c r="BZ489" s="476" t="s">
        <v>1187</v>
      </c>
      <c r="CA489" s="476" t="s">
        <v>1187</v>
      </c>
      <c r="CB489" s="476" t="s">
        <v>1187</v>
      </c>
      <c r="CC489" s="476" t="s">
        <v>1187</v>
      </c>
      <c r="CD489" s="476" t="s">
        <v>1187</v>
      </c>
      <c r="CE489" s="476" t="s">
        <v>1188</v>
      </c>
      <c r="CF489" s="476" t="s">
        <v>1188</v>
      </c>
      <c r="CG489" s="476" t="s">
        <v>1187</v>
      </c>
      <c r="CH489" s="476" t="s">
        <v>1188</v>
      </c>
      <c r="CI489" s="476" t="s">
        <v>1188</v>
      </c>
      <c r="CJ489" s="476" t="s">
        <v>1187</v>
      </c>
      <c r="CK489" s="476" t="s">
        <v>1187</v>
      </c>
      <c r="CL489" s="476" t="s">
        <v>1188</v>
      </c>
      <c r="CM489" s="476" t="str">
        <f>IF(VLOOKUP(BS489,'Données par municipalité'!$B$6:$E$1113,4,FALSE)="","non","oui")</f>
        <v>oui</v>
      </c>
      <c r="CN489" s="410">
        <v>511.97184773046104</v>
      </c>
      <c r="CO489" s="410">
        <v>495.2142829198034</v>
      </c>
      <c r="CP489" s="410"/>
      <c r="CQ489" s="410">
        <v>461.21477754299792</v>
      </c>
      <c r="CR489" s="410">
        <v>492.7445639318762</v>
      </c>
      <c r="CS489" s="410" t="s">
        <v>1124</v>
      </c>
      <c r="CT489" s="410"/>
      <c r="CU489" s="410">
        <v>286</v>
      </c>
      <c r="CV489" s="410">
        <f>IF(VLOOKUP(BS489,'Données par municipalité'!$B$6:$F$1113,4,FALSE)="","",VLOOKUP(BS489,'Données par municipalité'!$B$6:$F$1113,4,FALSE))</f>
        <v>292</v>
      </c>
      <c r="CW489" s="476" t="s">
        <v>4723</v>
      </c>
      <c r="CX489" s="483">
        <v>0</v>
      </c>
      <c r="CY489" s="483" t="s">
        <v>1124</v>
      </c>
      <c r="CZ489" s="483">
        <v>0</v>
      </c>
      <c r="DA489" s="483">
        <v>0</v>
      </c>
      <c r="DB489" s="483" t="s">
        <v>1124</v>
      </c>
      <c r="DC489" s="483" t="s">
        <v>1124</v>
      </c>
      <c r="DD489" s="483">
        <v>0</v>
      </c>
      <c r="DE489" s="483">
        <f>IFERROR(SUM(VLOOKUP($BS489,'État &amp; Plan d''action'!$B$6:$Z$1113,18,FALSE),VLOOKUP($BS489,'État &amp; Plan d''action'!$B$6:$Z$1113,20,FALSE))/(VLOOKUP($BS489,'Données par municipalité'!$B$4:$L$1113,11,FALSE)),"")</f>
        <v>1</v>
      </c>
      <c r="DF489" s="483">
        <f>IFERROR(SUM(VLOOKUP($BS489,'État &amp; Plan d''action'!$B$6:$Z$1113,19,FALSE),VLOOKUP($BS489,'État &amp; Plan d''action'!$B$6:$Z$1113,21,FALSE))/(VLOOKUP($BS489,'Données par municipalité'!$B$4:$L$1113,11,FALSE)),"")</f>
        <v>1</v>
      </c>
      <c r="DG489" s="476" t="s">
        <v>4723</v>
      </c>
      <c r="DH489" s="484">
        <v>0</v>
      </c>
      <c r="DI489" s="484">
        <v>3</v>
      </c>
      <c r="DJ489" s="484">
        <v>4</v>
      </c>
      <c r="DK489" s="484">
        <v>5</v>
      </c>
      <c r="DL489" s="484" t="s">
        <v>1124</v>
      </c>
      <c r="DM489" s="484" t="s">
        <v>1124</v>
      </c>
      <c r="DN489" s="484">
        <v>1</v>
      </c>
      <c r="DO489" s="484">
        <v>0</v>
      </c>
      <c r="DP489" s="484">
        <v>0</v>
      </c>
      <c r="DQ489" s="484">
        <f>IF(VLOOKUP($BS489,'État &amp; Plan d''action'!$B$6:$AJ$1113,28,FALSE)="","",VLOOKUP($BS489,'État &amp; Plan d''action'!$B$6:$AJ$1113,28,FALSE))</f>
        <v>2</v>
      </c>
      <c r="DR489" s="70">
        <f>IF(VLOOKUP($BS489,'État &amp; Plan d''action'!$B$6:$AJ$1113,29,FALSE)="","",VLOOKUP($BS489,'État &amp; Plan d''action'!$B$6:$AJ$1113,29,FALSE))</f>
        <v>0</v>
      </c>
      <c r="DS489" s="70">
        <f>IF(VLOOKUP($BS489,'État &amp; Plan d''action'!$B$6:$AJ$1113,30,FALSE)="","",VLOOKUP($BS489,'État &amp; Plan d''action'!$B$6:$AJ$1113,30,FALSE))</f>
        <v>1</v>
      </c>
      <c r="DT489" s="70">
        <v>176</v>
      </c>
      <c r="DU489" s="485">
        <v>4.6264033864215319</v>
      </c>
      <c r="DV489" s="485">
        <v>4.9119451784825205</v>
      </c>
      <c r="DW489" s="70">
        <v>3</v>
      </c>
      <c r="DX489" s="70">
        <v>0</v>
      </c>
      <c r="DY489" s="70">
        <v>0</v>
      </c>
      <c r="DZ489" s="70">
        <f>VLOOKUP($BS489,'État &amp; Plan d''action'!$B$6:$AH$1113,31,FALSE)</f>
        <v>1</v>
      </c>
      <c r="EA489" s="70">
        <f>VLOOKUP($BS489,'État &amp; Plan d''action'!$B$6:$AH$1113,32,FALSE)</f>
        <v>0</v>
      </c>
      <c r="EB489" s="70">
        <f>VLOOKUP($BS489,'État &amp; Plan d''action'!$B$6:$AH$1113,33,FALSE)</f>
        <v>1</v>
      </c>
      <c r="EC489" s="70">
        <v>0</v>
      </c>
      <c r="ED489" s="70">
        <v>0</v>
      </c>
      <c r="EE489" s="70">
        <v>0</v>
      </c>
      <c r="EF489" s="70">
        <v>0</v>
      </c>
      <c r="EG489" s="70">
        <v>0</v>
      </c>
      <c r="EH489" s="72">
        <v>58</v>
      </c>
      <c r="EI489" s="72">
        <v>1694</v>
      </c>
    </row>
    <row r="490" spans="71:139" x14ac:dyDescent="0.35">
      <c r="BS490" s="486">
        <v>71140</v>
      </c>
      <c r="BT490" s="479" t="s">
        <v>726</v>
      </c>
      <c r="BU490" s="479">
        <v>16</v>
      </c>
      <c r="BV490" s="476" t="s">
        <v>1188</v>
      </c>
      <c r="BW490" s="476" t="s">
        <v>1188</v>
      </c>
      <c r="BX490" s="476" t="s">
        <v>1188</v>
      </c>
      <c r="BY490" s="476" t="s">
        <v>1188</v>
      </c>
      <c r="BZ490" s="476" t="s">
        <v>1188</v>
      </c>
      <c r="CA490" s="476" t="s">
        <v>1188</v>
      </c>
      <c r="CB490" s="476" t="s">
        <v>1188</v>
      </c>
      <c r="CC490" s="476" t="s">
        <v>1188</v>
      </c>
      <c r="CD490" s="476" t="s">
        <v>1188</v>
      </c>
      <c r="CE490" s="476" t="s">
        <v>1188</v>
      </c>
      <c r="CF490" s="476" t="s">
        <v>1188</v>
      </c>
      <c r="CG490" s="476" t="s">
        <v>1188</v>
      </c>
      <c r="CH490" s="476" t="s">
        <v>1188</v>
      </c>
      <c r="CI490" s="476" t="s">
        <v>1188</v>
      </c>
      <c r="CJ490" s="476" t="s">
        <v>1187</v>
      </c>
      <c r="CK490" s="476" t="s">
        <v>1187</v>
      </c>
      <c r="CL490" s="476" t="s">
        <v>1187</v>
      </c>
      <c r="CM490" s="476" t="str">
        <f>IF(VLOOKUP(BS490,'Données par municipalité'!$B$6:$E$1113,4,FALSE)="","non","oui")</f>
        <v>non</v>
      </c>
      <c r="CN490" s="410">
        <v>526.30014018774045</v>
      </c>
      <c r="CO490" s="410">
        <v>486.67524074495077</v>
      </c>
      <c r="CP490" s="410">
        <v>487.33384108444926</v>
      </c>
      <c r="CQ490" s="410">
        <v>507.58245101357869</v>
      </c>
      <c r="CR490" s="410">
        <v>481.23198245468797</v>
      </c>
      <c r="CS490" s="410" t="s">
        <v>1124</v>
      </c>
      <c r="CT490" s="410"/>
      <c r="CU490" s="410" t="s">
        <v>1124</v>
      </c>
      <c r="CV490" s="410" t="str">
        <f>IF(VLOOKUP(BS490,'Données par municipalité'!$B$6:$F$1113,4,FALSE)="","",VLOOKUP(BS490,'Données par municipalité'!$B$6:$F$1113,4,FALSE))</f>
        <v/>
      </c>
      <c r="CW490" s="476" t="s">
        <v>4723</v>
      </c>
      <c r="CX490" s="483" t="s">
        <v>1124</v>
      </c>
      <c r="CY490" s="483">
        <v>0</v>
      </c>
      <c r="CZ490" s="483">
        <v>0</v>
      </c>
      <c r="DA490" s="483">
        <v>0</v>
      </c>
      <c r="DB490" s="483" t="s">
        <v>1124</v>
      </c>
      <c r="DC490" s="483" t="s">
        <v>1124</v>
      </c>
      <c r="DD490" s="483" t="s">
        <v>1124</v>
      </c>
      <c r="DE490" s="483" t="str">
        <f>IFERROR(SUM(VLOOKUP($BS490,'État &amp; Plan d''action'!$B$6:$Z$1113,18,FALSE),VLOOKUP($BS490,'État &amp; Plan d''action'!$B$6:$Z$1113,20,FALSE))/(VLOOKUP($BS490,'Données par municipalité'!$B$4:$L$1113,11,FALSE)),"")</f>
        <v/>
      </c>
      <c r="DF490" s="483" t="str">
        <f>IFERROR(SUM(VLOOKUP($BS490,'État &amp; Plan d''action'!$B$6:$Z$1113,19,FALSE),VLOOKUP($BS490,'État &amp; Plan d''action'!$B$6:$Z$1113,21,FALSE))/(VLOOKUP($BS490,'Données par municipalité'!$B$4:$L$1113,11,FALSE)),"")</f>
        <v/>
      </c>
      <c r="DG490" s="476" t="s">
        <v>4723</v>
      </c>
      <c r="DH490" s="484" t="s">
        <v>1124</v>
      </c>
      <c r="DI490" s="484" t="s">
        <v>1124</v>
      </c>
      <c r="DJ490" s="484">
        <v>0</v>
      </c>
      <c r="DK490" s="484">
        <v>0</v>
      </c>
      <c r="DL490" s="484" t="s">
        <v>1124</v>
      </c>
      <c r="DM490" s="484" t="s">
        <v>1124</v>
      </c>
      <c r="DN490" s="484" t="s">
        <v>1124</v>
      </c>
      <c r="DO490" s="484" t="s">
        <v>1124</v>
      </c>
      <c r="DP490" s="484" t="s">
        <v>1124</v>
      </c>
      <c r="DQ490" s="484" t="str">
        <f>IF(VLOOKUP($BS490,'État &amp; Plan d''action'!$B$6:$AJ$1113,28,FALSE)="","",VLOOKUP($BS490,'État &amp; Plan d''action'!$B$6:$AJ$1113,28,FALSE))</f>
        <v/>
      </c>
      <c r="DR490" s="70" t="str">
        <f>IF(VLOOKUP($BS490,'État &amp; Plan d''action'!$B$6:$AJ$1113,29,FALSE)="","",VLOOKUP($BS490,'État &amp; Plan d''action'!$B$6:$AJ$1113,29,FALSE))</f>
        <v/>
      </c>
      <c r="DS490" s="70" t="str">
        <f>IF(VLOOKUP($BS490,'État &amp; Plan d''action'!$B$6:$AJ$1113,30,FALSE)="","",VLOOKUP($BS490,'État &amp; Plan d''action'!$B$6:$AJ$1113,30,FALSE))</f>
        <v/>
      </c>
      <c r="DT490" s="70" t="s">
        <v>1124</v>
      </c>
      <c r="DU490" s="485" t="s">
        <v>1124</v>
      </c>
      <c r="DV490" s="485" t="s">
        <v>1124</v>
      </c>
      <c r="DW490" s="70" t="s">
        <v>1124</v>
      </c>
      <c r="DX490" s="70" t="s">
        <v>1124</v>
      </c>
      <c r="DY490" s="70" t="s">
        <v>1124</v>
      </c>
      <c r="DZ490" s="70" t="str">
        <f>VLOOKUP($BS490,'État &amp; Plan d''action'!$B$6:$AH$1113,31,FALSE)</f>
        <v/>
      </c>
      <c r="EA490" s="70" t="str">
        <f>VLOOKUP($BS490,'État &amp; Plan d''action'!$B$6:$AH$1113,32,FALSE)</f>
        <v/>
      </c>
      <c r="EB490" s="70" t="str">
        <f>VLOOKUP($BS490,'État &amp; Plan d''action'!$B$6:$AH$1113,33,FALSE)</f>
        <v/>
      </c>
      <c r="EC490" s="70" t="s">
        <v>1124</v>
      </c>
      <c r="ED490" s="70" t="s">
        <v>1124</v>
      </c>
      <c r="EE490" s="70" t="s">
        <v>1124</v>
      </c>
      <c r="EF490" s="70" t="s">
        <v>1124</v>
      </c>
      <c r="EG490" s="70" t="s">
        <v>1124</v>
      </c>
      <c r="EH490" s="72"/>
      <c r="EI490" s="72">
        <v>576</v>
      </c>
    </row>
    <row r="491" spans="71:139" x14ac:dyDescent="0.35">
      <c r="BS491" s="486">
        <v>96025</v>
      </c>
      <c r="BT491" s="479" t="s">
        <v>998</v>
      </c>
      <c r="BU491" s="479">
        <v>9</v>
      </c>
      <c r="BV491" s="476" t="s">
        <v>1187</v>
      </c>
      <c r="BW491" s="476" t="s">
        <v>1187</v>
      </c>
      <c r="BX491" s="476" t="s">
        <v>1187</v>
      </c>
      <c r="BY491" s="476" t="s">
        <v>1187</v>
      </c>
      <c r="BZ491" s="476" t="s">
        <v>1187</v>
      </c>
      <c r="CA491" s="476" t="s">
        <v>1187</v>
      </c>
      <c r="CB491" s="476" t="s">
        <v>1187</v>
      </c>
      <c r="CC491" s="476" t="s">
        <v>1187</v>
      </c>
      <c r="CD491" s="476" t="s">
        <v>1187</v>
      </c>
      <c r="CE491" s="476" t="s">
        <v>1188</v>
      </c>
      <c r="CF491" s="476" t="s">
        <v>1188</v>
      </c>
      <c r="CG491" s="476" t="s">
        <v>1187</v>
      </c>
      <c r="CH491" s="476" t="s">
        <v>1187</v>
      </c>
      <c r="CI491" s="476" t="s">
        <v>1187</v>
      </c>
      <c r="CJ491" s="476" t="s">
        <v>1187</v>
      </c>
      <c r="CK491" s="476" t="s">
        <v>1187</v>
      </c>
      <c r="CL491" s="476" t="s">
        <v>1188</v>
      </c>
      <c r="CM491" s="476" t="str">
        <f>IF(VLOOKUP(BS491,'Données par municipalité'!$B$6:$E$1113,4,FALSE)="","non","oui")</f>
        <v>non</v>
      </c>
      <c r="CN491" s="410">
        <v>612.84720562698146</v>
      </c>
      <c r="CO491" s="410">
        <v>672.57573213318994</v>
      </c>
      <c r="CP491" s="410"/>
      <c r="CQ491" s="410"/>
      <c r="CR491" s="410"/>
      <c r="CS491" s="410" t="s">
        <v>1124</v>
      </c>
      <c r="CT491" s="410"/>
      <c r="CU491" s="410">
        <v>179</v>
      </c>
      <c r="CV491" s="410" t="str">
        <f>IF(VLOOKUP(BS491,'Données par municipalité'!$B$6:$F$1113,4,FALSE)="","",VLOOKUP(BS491,'Données par municipalité'!$B$6:$F$1113,4,FALSE))</f>
        <v/>
      </c>
      <c r="CW491" s="476" t="s">
        <v>4723</v>
      </c>
      <c r="CX491" s="483">
        <v>0</v>
      </c>
      <c r="CY491" s="483" t="s">
        <v>1124</v>
      </c>
      <c r="CZ491" s="483" t="s">
        <v>1124</v>
      </c>
      <c r="DA491" s="483" t="s">
        <v>1124</v>
      </c>
      <c r="DB491" s="483" t="s">
        <v>1124</v>
      </c>
      <c r="DC491" s="483" t="s">
        <v>1124</v>
      </c>
      <c r="DD491" s="483">
        <v>0</v>
      </c>
      <c r="DE491" s="483" t="str">
        <f>IFERROR(SUM(VLOOKUP($BS491,'État &amp; Plan d''action'!$B$6:$Z$1113,18,FALSE),VLOOKUP($BS491,'État &amp; Plan d''action'!$B$6:$Z$1113,20,FALSE))/(VLOOKUP($BS491,'Données par municipalité'!$B$4:$L$1113,11,FALSE)),"")</f>
        <v/>
      </c>
      <c r="DF491" s="483" t="str">
        <f>IFERROR(SUM(VLOOKUP($BS491,'État &amp; Plan d''action'!$B$6:$Z$1113,19,FALSE),VLOOKUP($BS491,'État &amp; Plan d''action'!$B$6:$Z$1113,21,FALSE))/(VLOOKUP($BS491,'Données par municipalité'!$B$4:$L$1113,11,FALSE)),"")</f>
        <v/>
      </c>
      <c r="DG491" s="476" t="s">
        <v>4723</v>
      </c>
      <c r="DH491" s="484">
        <v>1</v>
      </c>
      <c r="DI491" s="484">
        <v>5</v>
      </c>
      <c r="DJ491" s="484">
        <v>0</v>
      </c>
      <c r="DK491" s="484">
        <v>18</v>
      </c>
      <c r="DL491" s="484" t="s">
        <v>1124</v>
      </c>
      <c r="DM491" s="484" t="s">
        <v>1124</v>
      </c>
      <c r="DN491" s="484">
        <v>2</v>
      </c>
      <c r="DO491" s="484">
        <v>0</v>
      </c>
      <c r="DP491" s="484">
        <v>0</v>
      </c>
      <c r="DQ491" s="484" t="str">
        <f>IF(VLOOKUP($BS491,'État &amp; Plan d''action'!$B$6:$AJ$1113,28,FALSE)="","",VLOOKUP($BS491,'État &amp; Plan d''action'!$B$6:$AJ$1113,28,FALSE))</f>
        <v/>
      </c>
      <c r="DR491" s="70" t="str">
        <f>IF(VLOOKUP($BS491,'État &amp; Plan d''action'!$B$6:$AJ$1113,29,FALSE)="","",VLOOKUP($BS491,'État &amp; Plan d''action'!$B$6:$AJ$1113,29,FALSE))</f>
        <v/>
      </c>
      <c r="DS491" s="70" t="str">
        <f>IF(VLOOKUP($BS491,'État &amp; Plan d''action'!$B$6:$AJ$1113,30,FALSE)="","",VLOOKUP($BS491,'État &amp; Plan d''action'!$B$6:$AJ$1113,30,FALSE))</f>
        <v/>
      </c>
      <c r="DT491" s="70">
        <v>154</v>
      </c>
      <c r="DU491" s="485">
        <v>1.1869051672849253</v>
      </c>
      <c r="DV491" s="485" t="s">
        <v>1124</v>
      </c>
      <c r="DW491" s="70">
        <v>2</v>
      </c>
      <c r="DX491" s="70">
        <v>0</v>
      </c>
      <c r="DY491" s="70">
        <v>0</v>
      </c>
      <c r="DZ491" s="70" t="str">
        <f>VLOOKUP($BS491,'État &amp; Plan d''action'!$B$6:$AH$1113,31,FALSE)</f>
        <v/>
      </c>
      <c r="EA491" s="70" t="str">
        <f>VLOOKUP($BS491,'État &amp; Plan d''action'!$B$6:$AH$1113,32,FALSE)</f>
        <v/>
      </c>
      <c r="EB491" s="70" t="str">
        <f>VLOOKUP($BS491,'État &amp; Plan d''action'!$B$6:$AH$1113,33,FALSE)</f>
        <v/>
      </c>
      <c r="EC491" s="70">
        <v>0</v>
      </c>
      <c r="ED491" s="70">
        <v>0</v>
      </c>
      <c r="EE491" s="70">
        <v>0</v>
      </c>
      <c r="EF491" s="70">
        <v>0</v>
      </c>
      <c r="EG491" s="70">
        <v>0</v>
      </c>
      <c r="EH491" s="72">
        <v>49.108108108108112</v>
      </c>
      <c r="EI491" s="72">
        <v>1879</v>
      </c>
    </row>
    <row r="492" spans="71:139" x14ac:dyDescent="0.35">
      <c r="BS492" s="486">
        <v>82030</v>
      </c>
      <c r="BT492" s="479" t="s">
        <v>833</v>
      </c>
      <c r="BU492" s="479">
        <v>7</v>
      </c>
      <c r="BV492" s="476" t="s">
        <v>1187</v>
      </c>
      <c r="BW492" s="476" t="s">
        <v>1187</v>
      </c>
      <c r="BX492" s="476" t="s">
        <v>1187</v>
      </c>
      <c r="BY492" s="476" t="s">
        <v>1187</v>
      </c>
      <c r="BZ492" s="476" t="s">
        <v>1187</v>
      </c>
      <c r="CA492" s="476" t="s">
        <v>1187</v>
      </c>
      <c r="CB492" s="476" t="s">
        <v>1187</v>
      </c>
      <c r="CC492" s="476" t="s">
        <v>1187</v>
      </c>
      <c r="CD492" s="476" t="s">
        <v>1187</v>
      </c>
      <c r="CE492" s="476" t="s">
        <v>1187</v>
      </c>
      <c r="CF492" s="476" t="s">
        <v>1187</v>
      </c>
      <c r="CG492" s="476" t="s">
        <v>1187</v>
      </c>
      <c r="CH492" s="476" t="s">
        <v>1187</v>
      </c>
      <c r="CI492" s="476" t="s">
        <v>1187</v>
      </c>
      <c r="CJ492" s="476" t="s">
        <v>1187</v>
      </c>
      <c r="CK492" s="476" t="s">
        <v>1187</v>
      </c>
      <c r="CL492" s="476" t="s">
        <v>1188</v>
      </c>
      <c r="CM492" s="476" t="str">
        <f>IF(VLOOKUP(BS492,'Données par municipalité'!$B$6:$E$1113,4,FALSE)="","non","oui")</f>
        <v>oui</v>
      </c>
      <c r="CN492" s="410" t="s">
        <v>1124</v>
      </c>
      <c r="CO492" s="410" t="s">
        <v>1124</v>
      </c>
      <c r="CP492" s="410"/>
      <c r="CQ492" s="410"/>
      <c r="CR492" s="410"/>
      <c r="CS492" s="410" t="s">
        <v>1124</v>
      </c>
      <c r="CT492" s="410"/>
      <c r="CU492" s="410">
        <v>544</v>
      </c>
      <c r="CV492" s="410">
        <f>IF(VLOOKUP(BS492,'Données par municipalité'!$B$6:$F$1113,4,FALSE)="","",VLOOKUP(BS492,'Données par municipalité'!$B$6:$F$1113,4,FALSE))</f>
        <v>576</v>
      </c>
      <c r="CW492" s="476" t="s">
        <v>4723</v>
      </c>
      <c r="CX492" s="483" t="s">
        <v>1124</v>
      </c>
      <c r="CY492" s="483" t="s">
        <v>1124</v>
      </c>
      <c r="CZ492" s="483" t="s">
        <v>1124</v>
      </c>
      <c r="DA492" s="483" t="s">
        <v>1124</v>
      </c>
      <c r="DB492" s="483" t="s">
        <v>1124</v>
      </c>
      <c r="DC492" s="483" t="s">
        <v>1124</v>
      </c>
      <c r="DD492" s="483">
        <v>0</v>
      </c>
      <c r="DE492" s="483">
        <f>IFERROR(SUM(VLOOKUP($BS492,'État &amp; Plan d''action'!$B$6:$Z$1113,18,FALSE),VLOOKUP($BS492,'État &amp; Plan d''action'!$B$6:$Z$1113,20,FALSE))/(VLOOKUP($BS492,'Données par municipalité'!$B$4:$L$1113,11,FALSE)),"")</f>
        <v>0</v>
      </c>
      <c r="DF492" s="483">
        <f>IFERROR(SUM(VLOOKUP($BS492,'État &amp; Plan d''action'!$B$6:$Z$1113,19,FALSE),VLOOKUP($BS492,'État &amp; Plan d''action'!$B$6:$Z$1113,21,FALSE))/(VLOOKUP($BS492,'Données par municipalité'!$B$4:$L$1113,11,FALSE)),"")</f>
        <v>2</v>
      </c>
      <c r="DG492" s="476" t="s">
        <v>4723</v>
      </c>
      <c r="DH492" s="484" t="s">
        <v>1124</v>
      </c>
      <c r="DI492" s="484" t="s">
        <v>1124</v>
      </c>
      <c r="DJ492" s="484">
        <v>0</v>
      </c>
      <c r="DK492" s="484">
        <v>0</v>
      </c>
      <c r="DL492" s="484" t="s">
        <v>1124</v>
      </c>
      <c r="DM492" s="484" t="s">
        <v>1124</v>
      </c>
      <c r="DN492" s="484">
        <v>2</v>
      </c>
      <c r="DO492" s="484">
        <v>0</v>
      </c>
      <c r="DP492" s="484">
        <v>0</v>
      </c>
      <c r="DQ492" s="484">
        <f>IF(VLOOKUP($BS492,'État &amp; Plan d''action'!$B$6:$AJ$1113,28,FALSE)="","",VLOOKUP($BS492,'État &amp; Plan d''action'!$B$6:$AJ$1113,28,FALSE))</f>
        <v>5</v>
      </c>
      <c r="DR492" s="70">
        <f>IF(VLOOKUP($BS492,'État &amp; Plan d''action'!$B$6:$AJ$1113,29,FALSE)="","",VLOOKUP($BS492,'État &amp; Plan d''action'!$B$6:$AJ$1113,29,FALSE))</f>
        <v>3</v>
      </c>
      <c r="DS492" s="70">
        <f>IF(VLOOKUP($BS492,'État &amp; Plan d''action'!$B$6:$AJ$1113,30,FALSE)="","",VLOOKUP($BS492,'État &amp; Plan d''action'!$B$6:$AJ$1113,30,FALSE))</f>
        <v>1</v>
      </c>
      <c r="DT492" s="70">
        <v>374</v>
      </c>
      <c r="DU492" s="485">
        <v>3.4788332316254573</v>
      </c>
      <c r="DV492" s="485">
        <v>4.4093726945828084</v>
      </c>
      <c r="DW492" s="70">
        <v>5</v>
      </c>
      <c r="DX492" s="70">
        <v>0</v>
      </c>
      <c r="DY492" s="70">
        <v>0</v>
      </c>
      <c r="DZ492" s="70">
        <f>VLOOKUP($BS492,'État &amp; Plan d''action'!$B$6:$AH$1113,31,FALSE)</f>
        <v>1</v>
      </c>
      <c r="EA492" s="70">
        <f>VLOOKUP($BS492,'État &amp; Plan d''action'!$B$6:$AH$1113,32,FALSE)</f>
        <v>2</v>
      </c>
      <c r="EB492" s="70">
        <f>VLOOKUP($BS492,'État &amp; Plan d''action'!$B$6:$AH$1113,33,FALSE)</f>
        <v>2</v>
      </c>
      <c r="EC492" s="70">
        <v>8.9109999999999996</v>
      </c>
      <c r="ED492" s="70">
        <v>0</v>
      </c>
      <c r="EE492" s="70">
        <v>0</v>
      </c>
      <c r="EF492" s="70">
        <v>0</v>
      </c>
      <c r="EG492" s="70">
        <v>0</v>
      </c>
      <c r="EH492" s="72">
        <v>59</v>
      </c>
      <c r="EI492" s="72">
        <v>5923</v>
      </c>
    </row>
    <row r="493" spans="71:139" x14ac:dyDescent="0.35">
      <c r="BS493" s="486">
        <v>34017</v>
      </c>
      <c r="BT493" s="479" t="s">
        <v>286</v>
      </c>
      <c r="BU493" s="479">
        <v>3</v>
      </c>
      <c r="BV493" s="476" t="s">
        <v>1187</v>
      </c>
      <c r="BW493" s="476" t="s">
        <v>1187</v>
      </c>
      <c r="BX493" s="476" t="s">
        <v>1187</v>
      </c>
      <c r="BY493" s="476" t="s">
        <v>1187</v>
      </c>
      <c r="BZ493" s="476" t="s">
        <v>1187</v>
      </c>
      <c r="CA493" s="476" t="s">
        <v>1187</v>
      </c>
      <c r="CB493" s="476" t="s">
        <v>1187</v>
      </c>
      <c r="CC493" s="476" t="s">
        <v>1187</v>
      </c>
      <c r="CD493" s="476" t="s">
        <v>1187</v>
      </c>
      <c r="CE493" s="476" t="s">
        <v>1188</v>
      </c>
      <c r="CF493" s="476" t="s">
        <v>1188</v>
      </c>
      <c r="CG493" s="476" t="s">
        <v>1188</v>
      </c>
      <c r="CH493" s="476" t="s">
        <v>1188</v>
      </c>
      <c r="CI493" s="476" t="s">
        <v>1188</v>
      </c>
      <c r="CJ493" s="476" t="s">
        <v>1188</v>
      </c>
      <c r="CK493" s="476" t="s">
        <v>1188</v>
      </c>
      <c r="CL493" s="476" t="s">
        <v>1188</v>
      </c>
      <c r="CM493" s="476" t="str">
        <f>IF(VLOOKUP(BS493,'Données par municipalité'!$B$6:$E$1113,4,FALSE)="","non","oui")</f>
        <v>oui</v>
      </c>
      <c r="CN493" s="410">
        <v>452.34105913611103</v>
      </c>
      <c r="CO493" s="410">
        <v>412.79962659914747</v>
      </c>
      <c r="CP493" s="410">
        <v>338.62669266274082</v>
      </c>
      <c r="CQ493" s="410">
        <v>330.20075464798651</v>
      </c>
      <c r="CR493" s="410">
        <v>300.61314378281713</v>
      </c>
      <c r="CS493" s="410">
        <v>302.53184113584945</v>
      </c>
      <c r="CT493" s="410">
        <v>305.48275356408169</v>
      </c>
      <c r="CU493" s="410">
        <v>324</v>
      </c>
      <c r="CV493" s="410">
        <f>IF(VLOOKUP(BS493,'Données par municipalité'!$B$6:$F$1113,4,FALSE)="","",VLOOKUP(BS493,'Données par municipalité'!$B$6:$F$1113,4,FALSE))</f>
        <v>338</v>
      </c>
      <c r="CW493" s="476" t="s">
        <v>4723</v>
      </c>
      <c r="CX493" s="483">
        <v>0.05</v>
      </c>
      <c r="CY493" s="483">
        <v>0</v>
      </c>
      <c r="CZ493" s="483">
        <v>0</v>
      </c>
      <c r="DA493" s="483">
        <v>0</v>
      </c>
      <c r="DB493" s="483">
        <v>0</v>
      </c>
      <c r="DC493" s="483">
        <v>0</v>
      </c>
      <c r="DD493" s="483">
        <v>1</v>
      </c>
      <c r="DE493" s="483">
        <f>IFERROR(SUM(VLOOKUP($BS493,'État &amp; Plan d''action'!$B$6:$Z$1113,18,FALSE),VLOOKUP($BS493,'État &amp; Plan d''action'!$B$6:$Z$1113,20,FALSE))/(VLOOKUP($BS493,'Données par municipalité'!$B$4:$L$1113,11,FALSE)),"")</f>
        <v>1</v>
      </c>
      <c r="DF493" s="483">
        <f>IFERROR(SUM(VLOOKUP($BS493,'État &amp; Plan d''action'!$B$6:$Z$1113,19,FALSE),VLOOKUP($BS493,'État &amp; Plan d''action'!$B$6:$Z$1113,21,FALSE))/(VLOOKUP($BS493,'Données par municipalité'!$B$4:$L$1113,11,FALSE)),"")</f>
        <v>1</v>
      </c>
      <c r="DG493" s="476" t="s">
        <v>4723</v>
      </c>
      <c r="DH493" s="484">
        <v>9</v>
      </c>
      <c r="DI493" s="484">
        <v>7</v>
      </c>
      <c r="DJ493" s="484">
        <v>8</v>
      </c>
      <c r="DK493" s="484">
        <v>10</v>
      </c>
      <c r="DL493" s="484">
        <v>7</v>
      </c>
      <c r="DM493" s="484">
        <v>5</v>
      </c>
      <c r="DN493" s="484">
        <v>0</v>
      </c>
      <c r="DO493" s="484">
        <v>4</v>
      </c>
      <c r="DP493" s="484">
        <v>11</v>
      </c>
      <c r="DQ493" s="484">
        <f>IF(VLOOKUP($BS493,'État &amp; Plan d''action'!$B$6:$AJ$1113,28,FALSE)="","",VLOOKUP($BS493,'État &amp; Plan d''action'!$B$6:$AJ$1113,28,FALSE))</f>
        <v>4</v>
      </c>
      <c r="DR493" s="70">
        <f>IF(VLOOKUP($BS493,'État &amp; Plan d''action'!$B$6:$AJ$1113,29,FALSE)="","",VLOOKUP($BS493,'État &amp; Plan d''action'!$B$6:$AJ$1113,29,FALSE))</f>
        <v>2</v>
      </c>
      <c r="DS493" s="70">
        <f>IF(VLOOKUP($BS493,'État &amp; Plan d''action'!$B$6:$AJ$1113,30,FALSE)="","",VLOOKUP($BS493,'État &amp; Plan d''action'!$B$6:$AJ$1113,30,FALSE))</f>
        <v>7</v>
      </c>
      <c r="DT493" s="70">
        <v>219</v>
      </c>
      <c r="DU493" s="485">
        <v>2.0885840829591791</v>
      </c>
      <c r="DV493" s="485">
        <v>2.035703229891777</v>
      </c>
      <c r="DW493" s="70">
        <v>0</v>
      </c>
      <c r="DX493" s="70">
        <v>2</v>
      </c>
      <c r="DY493" s="70">
        <v>30</v>
      </c>
      <c r="DZ493" s="70">
        <f>VLOOKUP($BS493,'État &amp; Plan d''action'!$B$6:$AH$1113,31,FALSE)</f>
        <v>4</v>
      </c>
      <c r="EA493" s="70">
        <f>VLOOKUP($BS493,'État &amp; Plan d''action'!$B$6:$AH$1113,32,FALSE)</f>
        <v>3</v>
      </c>
      <c r="EB493" s="70">
        <f>VLOOKUP($BS493,'État &amp; Plan d''action'!$B$6:$AH$1113,33,FALSE)</f>
        <v>6</v>
      </c>
      <c r="EC493" s="70">
        <v>0</v>
      </c>
      <c r="ED493" s="70">
        <v>62.9</v>
      </c>
      <c r="EE493" s="70">
        <v>0</v>
      </c>
      <c r="EF493" s="70">
        <v>0</v>
      </c>
      <c r="EG493" s="70">
        <v>0</v>
      </c>
      <c r="EH493" s="72">
        <v>60</v>
      </c>
      <c r="EI493" s="72">
        <v>9802</v>
      </c>
    </row>
    <row r="494" spans="71:139" x14ac:dyDescent="0.35">
      <c r="BS494" s="486">
        <v>84020</v>
      </c>
      <c r="BT494" s="479" t="s">
        <v>855</v>
      </c>
      <c r="BU494" s="479">
        <v>7</v>
      </c>
      <c r="BV494" s="476" t="s">
        <v>1187</v>
      </c>
      <c r="BW494" s="476" t="s">
        <v>1187</v>
      </c>
      <c r="BX494" s="476" t="s">
        <v>1187</v>
      </c>
      <c r="BY494" s="476" t="s">
        <v>1187</v>
      </c>
      <c r="BZ494" s="476" t="s">
        <v>1188</v>
      </c>
      <c r="CA494" s="476" t="s">
        <v>1187</v>
      </c>
      <c r="CB494" s="476" t="s">
        <v>1187</v>
      </c>
      <c r="CC494" s="476" t="s">
        <v>1187</v>
      </c>
      <c r="CD494" s="476" t="s">
        <v>1187</v>
      </c>
      <c r="CE494" s="476" t="s">
        <v>1188</v>
      </c>
      <c r="CF494" s="476" t="s">
        <v>1188</v>
      </c>
      <c r="CG494" s="476" t="s">
        <v>1187</v>
      </c>
      <c r="CH494" s="476" t="s">
        <v>1187</v>
      </c>
      <c r="CI494" s="476" t="s">
        <v>1187</v>
      </c>
      <c r="CJ494" s="476" t="s">
        <v>1187</v>
      </c>
      <c r="CK494" s="476" t="s">
        <v>1188</v>
      </c>
      <c r="CL494" s="476" t="s">
        <v>1188</v>
      </c>
      <c r="CM494" s="476" t="str">
        <f>IF(VLOOKUP(BS494,'Données par municipalité'!$B$6:$E$1113,4,FALSE)="","non","oui")</f>
        <v>non</v>
      </c>
      <c r="CN494" s="410">
        <v>1071.5474352615736</v>
      </c>
      <c r="CO494" s="410">
        <v>1076.0860011341374</v>
      </c>
      <c r="CP494" s="410"/>
      <c r="CQ494" s="410"/>
      <c r="CR494" s="410"/>
      <c r="CS494" s="410" t="s">
        <v>1124</v>
      </c>
      <c r="CT494" s="410">
        <v>530.58064516129036</v>
      </c>
      <c r="CU494" s="410">
        <v>593</v>
      </c>
      <c r="CV494" s="410" t="str">
        <f>IF(VLOOKUP(BS494,'Données par municipalité'!$B$6:$F$1113,4,FALSE)="","",VLOOKUP(BS494,'Données par municipalité'!$B$6:$F$1113,4,FALSE))</f>
        <v/>
      </c>
      <c r="CW494" s="476" t="s">
        <v>4723</v>
      </c>
      <c r="CX494" s="483">
        <v>0</v>
      </c>
      <c r="CY494" s="483" t="s">
        <v>1124</v>
      </c>
      <c r="CZ494" s="483" t="s">
        <v>1124</v>
      </c>
      <c r="DA494" s="483" t="s">
        <v>1124</v>
      </c>
      <c r="DB494" s="483" t="s">
        <v>1124</v>
      </c>
      <c r="DC494" s="483">
        <v>0.2</v>
      </c>
      <c r="DD494" s="483">
        <v>0.73677160080375081</v>
      </c>
      <c r="DE494" s="483" t="str">
        <f>IFERROR(SUM(VLOOKUP($BS494,'État &amp; Plan d''action'!$B$6:$Z$1113,18,FALSE),VLOOKUP($BS494,'État &amp; Plan d''action'!$B$6:$Z$1113,20,FALSE))/(VLOOKUP($BS494,'Données par municipalité'!$B$4:$L$1113,11,FALSE)),"")</f>
        <v/>
      </c>
      <c r="DF494" s="483" t="str">
        <f>IFERROR(SUM(VLOOKUP($BS494,'État &amp; Plan d''action'!$B$6:$Z$1113,19,FALSE),VLOOKUP($BS494,'État &amp; Plan d''action'!$B$6:$Z$1113,21,FALSE))/(VLOOKUP($BS494,'Données par municipalité'!$B$4:$L$1113,11,FALSE)),"")</f>
        <v/>
      </c>
      <c r="DG494" s="476" t="s">
        <v>4723</v>
      </c>
      <c r="DH494" s="484" t="s">
        <v>1124</v>
      </c>
      <c r="DI494" s="484" t="s">
        <v>1124</v>
      </c>
      <c r="DJ494" s="484">
        <v>0</v>
      </c>
      <c r="DK494" s="484">
        <v>0</v>
      </c>
      <c r="DL494" s="484" t="s">
        <v>1124</v>
      </c>
      <c r="DM494" s="484">
        <v>4</v>
      </c>
      <c r="DN494" s="484">
        <v>0</v>
      </c>
      <c r="DO494" s="484">
        <v>1</v>
      </c>
      <c r="DP494" s="484">
        <v>1</v>
      </c>
      <c r="DQ494" s="484" t="str">
        <f>IF(VLOOKUP($BS494,'État &amp; Plan d''action'!$B$6:$AJ$1113,28,FALSE)="","",VLOOKUP($BS494,'État &amp; Plan d''action'!$B$6:$AJ$1113,28,FALSE))</f>
        <v/>
      </c>
      <c r="DR494" s="70" t="str">
        <f>IF(VLOOKUP($BS494,'État &amp; Plan d''action'!$B$6:$AJ$1113,29,FALSE)="","",VLOOKUP($BS494,'État &amp; Plan d''action'!$B$6:$AJ$1113,29,FALSE))</f>
        <v/>
      </c>
      <c r="DS494" s="70" t="str">
        <f>IF(VLOOKUP($BS494,'État &amp; Plan d''action'!$B$6:$AJ$1113,30,FALSE)="","",VLOOKUP($BS494,'État &amp; Plan d''action'!$B$6:$AJ$1113,30,FALSE))</f>
        <v/>
      </c>
      <c r="DT494" s="70">
        <v>421</v>
      </c>
      <c r="DU494" s="485">
        <v>3.6841164843950041</v>
      </c>
      <c r="DV494" s="485" t="s">
        <v>1124</v>
      </c>
      <c r="DW494" s="70">
        <v>0</v>
      </c>
      <c r="DX494" s="70">
        <v>2</v>
      </c>
      <c r="DY494" s="70">
        <v>1</v>
      </c>
      <c r="DZ494" s="70" t="str">
        <f>VLOOKUP($BS494,'État &amp; Plan d''action'!$B$6:$AH$1113,31,FALSE)</f>
        <v/>
      </c>
      <c r="EA494" s="70" t="str">
        <f>VLOOKUP($BS494,'État &amp; Plan d''action'!$B$6:$AH$1113,32,FALSE)</f>
        <v/>
      </c>
      <c r="EB494" s="70" t="str">
        <f>VLOOKUP($BS494,'État &amp; Plan d''action'!$B$6:$AH$1113,33,FALSE)</f>
        <v/>
      </c>
      <c r="EC494" s="70">
        <v>0</v>
      </c>
      <c r="ED494" s="70">
        <v>2.1</v>
      </c>
      <c r="EE494" s="70">
        <v>1.2</v>
      </c>
      <c r="EF494" s="70">
        <v>0</v>
      </c>
      <c r="EG494" s="70">
        <v>0</v>
      </c>
      <c r="EH494" s="72">
        <v>45</v>
      </c>
      <c r="EI494" s="72">
        <v>213</v>
      </c>
    </row>
    <row r="495" spans="71:139" x14ac:dyDescent="0.35">
      <c r="BS495" s="486">
        <v>97022</v>
      </c>
      <c r="BT495" s="479" t="s">
        <v>1003</v>
      </c>
      <c r="BU495" s="479">
        <v>9</v>
      </c>
      <c r="BV495" s="476" t="s">
        <v>1187</v>
      </c>
      <c r="BW495" s="476" t="s">
        <v>1187</v>
      </c>
      <c r="BX495" s="476" t="s">
        <v>1187</v>
      </c>
      <c r="BY495" s="476" t="s">
        <v>1187</v>
      </c>
      <c r="BZ495" s="476" t="s">
        <v>1187</v>
      </c>
      <c r="CA495" s="476" t="s">
        <v>1187</v>
      </c>
      <c r="CB495" s="476" t="s">
        <v>1187</v>
      </c>
      <c r="CC495" s="476" t="s">
        <v>1187</v>
      </c>
      <c r="CD495" s="476" t="s">
        <v>1187</v>
      </c>
      <c r="CE495" s="476" t="s">
        <v>1188</v>
      </c>
      <c r="CF495" s="476" t="s">
        <v>1188</v>
      </c>
      <c r="CG495" s="476" t="s">
        <v>1188</v>
      </c>
      <c r="CH495" s="476" t="s">
        <v>1188</v>
      </c>
      <c r="CI495" s="476" t="s">
        <v>1188</v>
      </c>
      <c r="CJ495" s="476" t="s">
        <v>1188</v>
      </c>
      <c r="CK495" s="476" t="s">
        <v>1187</v>
      </c>
      <c r="CL495" s="476" t="s">
        <v>1187</v>
      </c>
      <c r="CM495" s="476" t="str">
        <f>IF(VLOOKUP(BS495,'Données par municipalité'!$B$6:$E$1113,4,FALSE)="","non","oui")</f>
        <v>oui</v>
      </c>
      <c r="CN495" s="410">
        <v>463.25937100354054</v>
      </c>
      <c r="CO495" s="410">
        <v>452.17615172780199</v>
      </c>
      <c r="CP495" s="410">
        <v>415.96726675796538</v>
      </c>
      <c r="CQ495" s="410">
        <v>432.12184387780383</v>
      </c>
      <c r="CR495" s="410">
        <v>403.81490306253932</v>
      </c>
      <c r="CS495" s="410">
        <v>410.27933324078197</v>
      </c>
      <c r="CT495" s="410"/>
      <c r="CU495" s="410" t="s">
        <v>1124</v>
      </c>
      <c r="CV495" s="410">
        <f>IF(VLOOKUP(BS495,'Données par municipalité'!$B$6:$F$1113,4,FALSE)="","",VLOOKUP(BS495,'Données par municipalité'!$B$6:$F$1113,4,FALSE))</f>
        <v>414</v>
      </c>
      <c r="CW495" s="476" t="s">
        <v>4723</v>
      </c>
      <c r="CX495" s="483">
        <v>0</v>
      </c>
      <c r="CY495" s="483">
        <v>0.05</v>
      </c>
      <c r="CZ495" s="483">
        <v>1</v>
      </c>
      <c r="DA495" s="483">
        <v>1</v>
      </c>
      <c r="DB495" s="483">
        <v>1</v>
      </c>
      <c r="DC495" s="483" t="s">
        <v>1124</v>
      </c>
      <c r="DD495" s="483" t="s">
        <v>1124</v>
      </c>
      <c r="DE495" s="483">
        <f>IFERROR(SUM(VLOOKUP($BS495,'État &amp; Plan d''action'!$B$6:$Z$1113,18,FALSE),VLOOKUP($BS495,'État &amp; Plan d''action'!$B$6:$Z$1113,20,FALSE))/(VLOOKUP($BS495,'Données par municipalité'!$B$4:$L$1113,11,FALSE)),"")</f>
        <v>1.0586775653189315</v>
      </c>
      <c r="DF495" s="483">
        <f>IFERROR(SUM(VLOOKUP($BS495,'État &amp; Plan d''action'!$B$6:$Z$1113,19,FALSE),VLOOKUP($BS495,'État &amp; Plan d''action'!$B$6:$Z$1113,21,FALSE))/(VLOOKUP($BS495,'Données par municipalité'!$B$4:$L$1113,11,FALSE)),"")</f>
        <v>2</v>
      </c>
      <c r="DG495" s="476" t="s">
        <v>4723</v>
      </c>
      <c r="DH495" s="484">
        <v>11</v>
      </c>
      <c r="DI495" s="484">
        <v>20</v>
      </c>
      <c r="DJ495" s="484">
        <v>18</v>
      </c>
      <c r="DK495" s="484">
        <v>26</v>
      </c>
      <c r="DL495" s="484">
        <v>9</v>
      </c>
      <c r="DM495" s="484" t="s">
        <v>1124</v>
      </c>
      <c r="DN495" s="484" t="s">
        <v>1124</v>
      </c>
      <c r="DO495" s="484" t="s">
        <v>1124</v>
      </c>
      <c r="DP495" s="484" t="s">
        <v>1124</v>
      </c>
      <c r="DQ495" s="484">
        <f>IF(VLOOKUP($BS495,'État &amp; Plan d''action'!$B$6:$AJ$1113,28,FALSE)="","",VLOOKUP($BS495,'État &amp; Plan d''action'!$B$6:$AJ$1113,28,FALSE))</f>
        <v>3</v>
      </c>
      <c r="DR495" s="70">
        <f>IF(VLOOKUP($BS495,'État &amp; Plan d''action'!$B$6:$AJ$1113,29,FALSE)="","",VLOOKUP($BS495,'État &amp; Plan d''action'!$B$6:$AJ$1113,29,FALSE))</f>
        <v>2</v>
      </c>
      <c r="DS495" s="70">
        <f>IF(VLOOKUP($BS495,'État &amp; Plan d''action'!$B$6:$AJ$1113,30,FALSE)="","",VLOOKUP($BS495,'État &amp; Plan d''action'!$B$6:$AJ$1113,30,FALSE))</f>
        <v>1</v>
      </c>
      <c r="DT495" s="70" t="s">
        <v>1124</v>
      </c>
      <c r="DU495" s="485" t="s">
        <v>1124</v>
      </c>
      <c r="DV495" s="485">
        <v>4.9594341733445209</v>
      </c>
      <c r="DW495" s="70" t="s">
        <v>1124</v>
      </c>
      <c r="DX495" s="70" t="s">
        <v>1124</v>
      </c>
      <c r="DY495" s="70" t="s">
        <v>1124</v>
      </c>
      <c r="DZ495" s="70">
        <f>VLOOKUP($BS495,'État &amp; Plan d''action'!$B$6:$AH$1113,31,FALSE)</f>
        <v>1</v>
      </c>
      <c r="EA495" s="70">
        <f>VLOOKUP($BS495,'État &amp; Plan d''action'!$B$6:$AH$1113,32,FALSE)</f>
        <v>1</v>
      </c>
      <c r="EB495" s="70">
        <f>VLOOKUP($BS495,'État &amp; Plan d''action'!$B$6:$AH$1113,33,FALSE)</f>
        <v>1</v>
      </c>
      <c r="EC495" s="70" t="s">
        <v>1124</v>
      </c>
      <c r="ED495" s="70" t="s">
        <v>1124</v>
      </c>
      <c r="EE495" s="70" t="s">
        <v>1124</v>
      </c>
      <c r="EF495" s="70" t="s">
        <v>1124</v>
      </c>
      <c r="EG495" s="70" t="s">
        <v>1124</v>
      </c>
      <c r="EH495" s="72"/>
      <c r="EI495" s="72">
        <v>6709</v>
      </c>
    </row>
    <row r="496" spans="71:139" x14ac:dyDescent="0.35">
      <c r="BS496" s="486">
        <v>2047</v>
      </c>
      <c r="BT496" s="479" t="s">
        <v>1030</v>
      </c>
      <c r="BU496" s="479">
        <v>11</v>
      </c>
      <c r="BV496" s="476" t="s">
        <v>1187</v>
      </c>
      <c r="BW496" s="476" t="s">
        <v>1187</v>
      </c>
      <c r="BX496" s="476" t="s">
        <v>1187</v>
      </c>
      <c r="BY496" s="476" t="s">
        <v>1187</v>
      </c>
      <c r="BZ496" s="476" t="s">
        <v>1187</v>
      </c>
      <c r="CA496" s="476" t="s">
        <v>1187</v>
      </c>
      <c r="CB496" s="476" t="s">
        <v>1187</v>
      </c>
      <c r="CC496" s="476" t="s">
        <v>1187</v>
      </c>
      <c r="CD496" s="476" t="s">
        <v>1187</v>
      </c>
      <c r="CE496" s="476" t="s">
        <v>1188</v>
      </c>
      <c r="CF496" s="476" t="s">
        <v>1187</v>
      </c>
      <c r="CG496" s="476" t="s">
        <v>1187</v>
      </c>
      <c r="CH496" s="476" t="s">
        <v>1187</v>
      </c>
      <c r="CI496" s="476" t="s">
        <v>1188</v>
      </c>
      <c r="CJ496" s="476" t="s">
        <v>1188</v>
      </c>
      <c r="CK496" s="476" t="s">
        <v>1188</v>
      </c>
      <c r="CL496" s="476" t="s">
        <v>1188</v>
      </c>
      <c r="CM496" s="476" t="str">
        <f>IF(VLOOKUP(BS496,'Données par municipalité'!$B$6:$E$1113,4,FALSE)="","non","oui")</f>
        <v>oui</v>
      </c>
      <c r="CN496" s="410">
        <v>1038.8272644112876</v>
      </c>
      <c r="CO496" s="410" t="s">
        <v>1124</v>
      </c>
      <c r="CP496" s="410"/>
      <c r="CQ496" s="410"/>
      <c r="CR496" s="410">
        <v>1047.4779511426482</v>
      </c>
      <c r="CS496" s="410">
        <v>539.10285598379926</v>
      </c>
      <c r="CT496" s="410">
        <v>546.47930546479301</v>
      </c>
      <c r="CU496" s="410">
        <v>606</v>
      </c>
      <c r="CV496" s="410">
        <f>IF(VLOOKUP(BS496,'Données par municipalité'!$B$6:$F$1113,4,FALSE)="","",VLOOKUP(BS496,'Données par municipalité'!$B$6:$F$1113,4,FALSE))</f>
        <v>506</v>
      </c>
      <c r="CW496" s="476" t="s">
        <v>4723</v>
      </c>
      <c r="CX496" s="483" t="s">
        <v>1124</v>
      </c>
      <c r="CY496" s="483" t="s">
        <v>1124</v>
      </c>
      <c r="CZ496" s="483" t="s">
        <v>1124</v>
      </c>
      <c r="DA496" s="483">
        <v>0.9</v>
      </c>
      <c r="DB496" s="483">
        <v>0.9</v>
      </c>
      <c r="DC496" s="483">
        <v>0.9</v>
      </c>
      <c r="DD496" s="483" t="s">
        <v>1124</v>
      </c>
      <c r="DE496" s="483">
        <f>IFERROR(SUM(VLOOKUP($BS496,'État &amp; Plan d''action'!$B$6:$Z$1113,18,FALSE),VLOOKUP($BS496,'État &amp; Plan d''action'!$B$6:$Z$1113,20,FALSE))/(VLOOKUP($BS496,'Données par municipalité'!$B$4:$L$1113,11,FALSE)),"")</f>
        <v>1.0000000000000002</v>
      </c>
      <c r="DF496" s="483">
        <f>IFERROR(SUM(VLOOKUP($BS496,'État &amp; Plan d''action'!$B$6:$Z$1113,19,FALSE),VLOOKUP($BS496,'État &amp; Plan d''action'!$B$6:$Z$1113,21,FALSE))/(VLOOKUP($BS496,'Données par municipalité'!$B$4:$L$1113,11,FALSE)),"")</f>
        <v>1.0000000000000002</v>
      </c>
      <c r="DG496" s="476" t="s">
        <v>4723</v>
      </c>
      <c r="DH496" s="484" t="s">
        <v>1124</v>
      </c>
      <c r="DI496" s="484" t="s">
        <v>1124</v>
      </c>
      <c r="DJ496" s="484">
        <v>0</v>
      </c>
      <c r="DK496" s="484">
        <v>6</v>
      </c>
      <c r="DL496" s="484">
        <v>2</v>
      </c>
      <c r="DM496" s="484">
        <v>4</v>
      </c>
      <c r="DN496" s="484">
        <v>2</v>
      </c>
      <c r="DO496" s="484">
        <v>0</v>
      </c>
      <c r="DP496" s="484">
        <v>0</v>
      </c>
      <c r="DQ496" s="484">
        <f>IF(VLOOKUP($BS496,'État &amp; Plan d''action'!$B$6:$AJ$1113,28,FALSE)="","",VLOOKUP($BS496,'État &amp; Plan d''action'!$B$6:$AJ$1113,28,FALSE))</f>
        <v>2</v>
      </c>
      <c r="DR496" s="70">
        <f>IF(VLOOKUP($BS496,'État &amp; Plan d''action'!$B$6:$AJ$1113,29,FALSE)="","",VLOOKUP($BS496,'État &amp; Plan d''action'!$B$6:$AJ$1113,29,FALSE))</f>
        <v>0</v>
      </c>
      <c r="DS496" s="70">
        <f>IF(VLOOKUP($BS496,'État &amp; Plan d''action'!$B$6:$AJ$1113,30,FALSE)="","",VLOOKUP($BS496,'État &amp; Plan d''action'!$B$6:$AJ$1113,30,FALSE))</f>
        <v>1</v>
      </c>
      <c r="DT496" s="70">
        <v>222</v>
      </c>
      <c r="DU496" s="485">
        <v>2.5503478472339238</v>
      </c>
      <c r="DV496" s="485">
        <v>1.7397735129527423</v>
      </c>
      <c r="DW496" s="70">
        <v>1</v>
      </c>
      <c r="DX496" s="70">
        <v>0</v>
      </c>
      <c r="DY496" s="70">
        <v>0</v>
      </c>
      <c r="DZ496" s="70">
        <f>VLOOKUP($BS496,'État &amp; Plan d''action'!$B$6:$AH$1113,31,FALSE)</f>
        <v>1</v>
      </c>
      <c r="EA496" s="70">
        <f>VLOOKUP($BS496,'État &amp; Plan d''action'!$B$6:$AH$1113,32,FALSE)</f>
        <v>0</v>
      </c>
      <c r="EB496" s="70">
        <f>VLOOKUP($BS496,'État &amp; Plan d''action'!$B$6:$AH$1113,33,FALSE)</f>
        <v>1</v>
      </c>
      <c r="EC496" s="70">
        <v>14.012</v>
      </c>
      <c r="ED496" s="70">
        <v>14.012</v>
      </c>
      <c r="EE496" s="70">
        <v>5.5</v>
      </c>
      <c r="EF496" s="70">
        <v>0</v>
      </c>
      <c r="EG496" s="70">
        <v>0</v>
      </c>
      <c r="EH496" s="72">
        <v>63</v>
      </c>
      <c r="EI496" s="72">
        <v>2244</v>
      </c>
    </row>
    <row r="497" spans="71:139" x14ac:dyDescent="0.35">
      <c r="BS497" s="486">
        <v>34048</v>
      </c>
      <c r="BT497" s="479" t="s">
        <v>290</v>
      </c>
      <c r="BU497" s="479">
        <v>3</v>
      </c>
      <c r="BV497" s="476" t="s">
        <v>1187</v>
      </c>
      <c r="BW497" s="476" t="s">
        <v>1187</v>
      </c>
      <c r="BX497" s="476" t="s">
        <v>1187</v>
      </c>
      <c r="BY497" s="476" t="s">
        <v>1187</v>
      </c>
      <c r="BZ497" s="476" t="s">
        <v>1187</v>
      </c>
      <c r="CA497" s="476" t="s">
        <v>1187</v>
      </c>
      <c r="CB497" s="476" t="s">
        <v>1187</v>
      </c>
      <c r="CC497" s="476" t="s">
        <v>1187</v>
      </c>
      <c r="CD497" s="476" t="s">
        <v>1187</v>
      </c>
      <c r="CE497" s="476" t="s">
        <v>1188</v>
      </c>
      <c r="CF497" s="476" t="s">
        <v>1188</v>
      </c>
      <c r="CG497" s="476" t="s">
        <v>1187</v>
      </c>
      <c r="CH497" s="476" t="s">
        <v>1187</v>
      </c>
      <c r="CI497" s="476" t="s">
        <v>1187</v>
      </c>
      <c r="CJ497" s="476" t="s">
        <v>1187</v>
      </c>
      <c r="CK497" s="476" t="s">
        <v>1187</v>
      </c>
      <c r="CL497" s="476" t="s">
        <v>1187</v>
      </c>
      <c r="CM497" s="476" t="str">
        <f>IF(VLOOKUP(BS497,'Données par municipalité'!$B$6:$E$1113,4,FALSE)="","non","oui")</f>
        <v>oui</v>
      </c>
      <c r="CN497" s="410">
        <v>378.89034472580636</v>
      </c>
      <c r="CO497" s="410">
        <v>402.18324114594822</v>
      </c>
      <c r="CP497" s="410"/>
      <c r="CQ497" s="410"/>
      <c r="CR497" s="410"/>
      <c r="CS497" s="410" t="s">
        <v>1124</v>
      </c>
      <c r="CT497" s="410"/>
      <c r="CU497" s="410" t="s">
        <v>1124</v>
      </c>
      <c r="CV497" s="410">
        <f>IF(VLOOKUP(BS497,'Données par municipalité'!$B$6:$F$1113,4,FALSE)="","",VLOOKUP(BS497,'Données par municipalité'!$B$6:$F$1113,4,FALSE))</f>
        <v>434</v>
      </c>
      <c r="CW497" s="476" t="s">
        <v>4723</v>
      </c>
      <c r="CX497" s="483">
        <v>0</v>
      </c>
      <c r="CY497" s="483" t="s">
        <v>1124</v>
      </c>
      <c r="CZ497" s="483" t="s">
        <v>1124</v>
      </c>
      <c r="DA497" s="483" t="s">
        <v>1124</v>
      </c>
      <c r="DB497" s="483" t="s">
        <v>1124</v>
      </c>
      <c r="DC497" s="483" t="s">
        <v>1124</v>
      </c>
      <c r="DD497" s="483" t="s">
        <v>1124</v>
      </c>
      <c r="DE497" s="483">
        <f>IFERROR(SUM(VLOOKUP($BS497,'État &amp; Plan d''action'!$B$6:$Z$1113,18,FALSE),VLOOKUP($BS497,'État &amp; Plan d''action'!$B$6:$Z$1113,20,FALSE))/(VLOOKUP($BS497,'Données par municipalité'!$B$4:$L$1113,11,FALSE)),"")</f>
        <v>0</v>
      </c>
      <c r="DF497" s="483">
        <f>IFERROR(SUM(VLOOKUP($BS497,'État &amp; Plan d''action'!$B$6:$Z$1113,19,FALSE),VLOOKUP($BS497,'État &amp; Plan d''action'!$B$6:$Z$1113,21,FALSE))/(VLOOKUP($BS497,'Données par municipalité'!$B$4:$L$1113,11,FALSE)),"")</f>
        <v>0</v>
      </c>
      <c r="DG497" s="476" t="s">
        <v>4723</v>
      </c>
      <c r="DH497" s="484">
        <v>1</v>
      </c>
      <c r="DI497" s="484" t="s">
        <v>1124</v>
      </c>
      <c r="DJ497" s="484">
        <v>0</v>
      </c>
      <c r="DK497" s="484">
        <v>0</v>
      </c>
      <c r="DL497" s="484" t="s">
        <v>1124</v>
      </c>
      <c r="DM497" s="484" t="s">
        <v>1124</v>
      </c>
      <c r="DN497" s="484" t="s">
        <v>1124</v>
      </c>
      <c r="DO497" s="484" t="s">
        <v>1124</v>
      </c>
      <c r="DP497" s="484" t="s">
        <v>1124</v>
      </c>
      <c r="DQ497" s="484">
        <f>IF(VLOOKUP($BS497,'État &amp; Plan d''action'!$B$6:$AJ$1113,28,FALSE)="","",VLOOKUP($BS497,'État &amp; Plan d''action'!$B$6:$AJ$1113,28,FALSE))</f>
        <v>0</v>
      </c>
      <c r="DR497" s="70">
        <f>IF(VLOOKUP($BS497,'État &amp; Plan d''action'!$B$6:$AJ$1113,29,FALSE)="","",VLOOKUP($BS497,'État &amp; Plan d''action'!$B$6:$AJ$1113,29,FALSE))</f>
        <v>0</v>
      </c>
      <c r="DS497" s="70">
        <f>IF(VLOOKUP($BS497,'État &amp; Plan d''action'!$B$6:$AJ$1113,30,FALSE)="","",VLOOKUP($BS497,'État &amp; Plan d''action'!$B$6:$AJ$1113,30,FALSE))</f>
        <v>0</v>
      </c>
      <c r="DT497" s="70" t="s">
        <v>1124</v>
      </c>
      <c r="DU497" s="485" t="s">
        <v>1124</v>
      </c>
      <c r="DV497" s="485">
        <v>0.9326953562299336</v>
      </c>
      <c r="DW497" s="70" t="s">
        <v>1124</v>
      </c>
      <c r="DX497" s="70" t="s">
        <v>1124</v>
      </c>
      <c r="DY497" s="70" t="s">
        <v>1124</v>
      </c>
      <c r="DZ497" s="70">
        <f>VLOOKUP($BS497,'État &amp; Plan d''action'!$B$6:$AH$1113,31,FALSE)</f>
        <v>0</v>
      </c>
      <c r="EA497" s="70">
        <f>VLOOKUP($BS497,'État &amp; Plan d''action'!$B$6:$AH$1113,32,FALSE)</f>
        <v>0</v>
      </c>
      <c r="EB497" s="70">
        <f>VLOOKUP($BS497,'État &amp; Plan d''action'!$B$6:$AH$1113,33,FALSE)</f>
        <v>0</v>
      </c>
      <c r="EC497" s="70" t="s">
        <v>1124</v>
      </c>
      <c r="ED497" s="70" t="s">
        <v>1124</v>
      </c>
      <c r="EE497" s="70" t="s">
        <v>1124</v>
      </c>
      <c r="EF497" s="70" t="s">
        <v>1124</v>
      </c>
      <c r="EG497" s="70" t="s">
        <v>1124</v>
      </c>
      <c r="EH497" s="72"/>
      <c r="EI497" s="72">
        <v>3308</v>
      </c>
    </row>
    <row r="498" spans="71:139" x14ac:dyDescent="0.35">
      <c r="BS498" s="486">
        <v>95040</v>
      </c>
      <c r="BT498" s="479" t="s">
        <v>991</v>
      </c>
      <c r="BU498" s="479">
        <v>9</v>
      </c>
      <c r="BV498" s="476" t="s">
        <v>1187</v>
      </c>
      <c r="BW498" s="476" t="s">
        <v>1187</v>
      </c>
      <c r="BX498" s="476" t="s">
        <v>1187</v>
      </c>
      <c r="BY498" s="476" t="s">
        <v>1187</v>
      </c>
      <c r="BZ498" s="476" t="s">
        <v>1187</v>
      </c>
      <c r="CA498" s="476" t="s">
        <v>1187</v>
      </c>
      <c r="CB498" s="476" t="s">
        <v>1187</v>
      </c>
      <c r="CC498" s="476" t="s">
        <v>1187</v>
      </c>
      <c r="CD498" s="476" t="s">
        <v>1187</v>
      </c>
      <c r="CE498" s="476" t="s">
        <v>1188</v>
      </c>
      <c r="CF498" s="476" t="s">
        <v>1188</v>
      </c>
      <c r="CG498" s="476" t="s">
        <v>1188</v>
      </c>
      <c r="CH498" s="476" t="s">
        <v>1187</v>
      </c>
      <c r="CI498" s="476" t="s">
        <v>1188</v>
      </c>
      <c r="CJ498" s="476" t="s">
        <v>1188</v>
      </c>
      <c r="CK498" s="476" t="s">
        <v>1187</v>
      </c>
      <c r="CL498" s="476" t="s">
        <v>1187</v>
      </c>
      <c r="CM498" s="476" t="str">
        <f>IF(VLOOKUP(BS498,'Données par municipalité'!$B$6:$E$1113,4,FALSE)="","non","oui")</f>
        <v>oui</v>
      </c>
      <c r="CN498" s="410">
        <v>361.20736613556153</v>
      </c>
      <c r="CO498" s="410">
        <v>324.24015766162773</v>
      </c>
      <c r="CP498" s="410">
        <v>349.33152879638601</v>
      </c>
      <c r="CQ498" s="410"/>
      <c r="CR498" s="410">
        <v>463.08012042409632</v>
      </c>
      <c r="CS498" s="410">
        <v>434.89274164956407</v>
      </c>
      <c r="CT498" s="410"/>
      <c r="CU498" s="410" t="s">
        <v>1124</v>
      </c>
      <c r="CV498" s="410">
        <f>IF(VLOOKUP(BS498,'Données par municipalité'!$B$6:$F$1113,4,FALSE)="","",VLOOKUP(BS498,'Données par municipalité'!$B$6:$F$1113,4,FALSE))</f>
        <v>408</v>
      </c>
      <c r="CW498" s="476" t="s">
        <v>4723</v>
      </c>
      <c r="CX498" s="483">
        <v>1</v>
      </c>
      <c r="CY498" s="483">
        <v>1</v>
      </c>
      <c r="CZ498" s="483" t="s">
        <v>1124</v>
      </c>
      <c r="DA498" s="483">
        <v>1</v>
      </c>
      <c r="DB498" s="483">
        <v>1</v>
      </c>
      <c r="DC498" s="483" t="s">
        <v>1124</v>
      </c>
      <c r="DD498" s="483" t="s">
        <v>1124</v>
      </c>
      <c r="DE498" s="483">
        <f>IFERROR(SUM(VLOOKUP($BS498,'État &amp; Plan d''action'!$B$6:$Z$1113,18,FALSE),VLOOKUP($BS498,'État &amp; Plan d''action'!$B$6:$Z$1113,20,FALSE))/(VLOOKUP($BS498,'Données par municipalité'!$B$4:$L$1113,11,FALSE)),"")</f>
        <v>0</v>
      </c>
      <c r="DF498" s="483">
        <f>IFERROR(SUM(VLOOKUP($BS498,'État &amp; Plan d''action'!$B$6:$Z$1113,19,FALSE),VLOOKUP($BS498,'État &amp; Plan d''action'!$B$6:$Z$1113,21,FALSE))/(VLOOKUP($BS498,'Données par municipalité'!$B$4:$L$1113,11,FALSE)),"")</f>
        <v>0</v>
      </c>
      <c r="DG498" s="476" t="s">
        <v>4723</v>
      </c>
      <c r="DH498" s="484">
        <v>15</v>
      </c>
      <c r="DI498" s="484" t="s">
        <v>1124</v>
      </c>
      <c r="DJ498" s="484">
        <v>0</v>
      </c>
      <c r="DK498" s="484">
        <v>0</v>
      </c>
      <c r="DL498" s="484">
        <v>0</v>
      </c>
      <c r="DM498" s="484" t="s">
        <v>1124</v>
      </c>
      <c r="DN498" s="484" t="s">
        <v>1124</v>
      </c>
      <c r="DO498" s="484" t="s">
        <v>1124</v>
      </c>
      <c r="DP498" s="484" t="s">
        <v>1124</v>
      </c>
      <c r="DQ498" s="484">
        <f>IF(VLOOKUP($BS498,'État &amp; Plan d''action'!$B$6:$AJ$1113,28,FALSE)="","",VLOOKUP($BS498,'État &amp; Plan d''action'!$B$6:$AJ$1113,28,FALSE))</f>
        <v>0</v>
      </c>
      <c r="DR498" s="70">
        <f>IF(VLOOKUP($BS498,'État &amp; Plan d''action'!$B$6:$AJ$1113,29,FALSE)="","",VLOOKUP($BS498,'État &amp; Plan d''action'!$B$6:$AJ$1113,29,FALSE))</f>
        <v>0</v>
      </c>
      <c r="DS498" s="70">
        <f>IF(VLOOKUP($BS498,'État &amp; Plan d''action'!$B$6:$AJ$1113,30,FALSE)="","",VLOOKUP($BS498,'État &amp; Plan d''action'!$B$6:$AJ$1113,30,FALSE))</f>
        <v>0</v>
      </c>
      <c r="DT498" s="70" t="s">
        <v>1124</v>
      </c>
      <c r="DU498" s="485" t="s">
        <v>1124</v>
      </c>
      <c r="DV498" s="485">
        <v>1.725411199547185</v>
      </c>
      <c r="DW498" s="70" t="s">
        <v>1124</v>
      </c>
      <c r="DX498" s="70" t="s">
        <v>1124</v>
      </c>
      <c r="DY498" s="70" t="s">
        <v>1124</v>
      </c>
      <c r="DZ498" s="70">
        <f>VLOOKUP($BS498,'État &amp; Plan d''action'!$B$6:$AH$1113,31,FALSE)</f>
        <v>0</v>
      </c>
      <c r="EA498" s="70">
        <f>VLOOKUP($BS498,'État &amp; Plan d''action'!$B$6:$AH$1113,32,FALSE)</f>
        <v>0</v>
      </c>
      <c r="EB498" s="70">
        <f>VLOOKUP($BS498,'État &amp; Plan d''action'!$B$6:$AH$1113,33,FALSE)</f>
        <v>0</v>
      </c>
      <c r="EC498" s="70" t="s">
        <v>1124</v>
      </c>
      <c r="ED498" s="70" t="s">
        <v>1124</v>
      </c>
      <c r="EE498" s="70" t="s">
        <v>1124</v>
      </c>
      <c r="EF498" s="70" t="s">
        <v>1124</v>
      </c>
      <c r="EG498" s="70" t="s">
        <v>1124</v>
      </c>
      <c r="EH498" s="72"/>
      <c r="EI498" s="72">
        <v>619</v>
      </c>
    </row>
    <row r="499" spans="71:139" x14ac:dyDescent="0.35">
      <c r="BS499" s="486">
        <v>45030</v>
      </c>
      <c r="BT499" s="479" t="s">
        <v>413</v>
      </c>
      <c r="BU499" s="479">
        <v>5</v>
      </c>
      <c r="BV499" s="476" t="s">
        <v>1187</v>
      </c>
      <c r="BW499" s="476" t="s">
        <v>1187</v>
      </c>
      <c r="BX499" s="476" t="s">
        <v>1187</v>
      </c>
      <c r="BY499" s="476" t="s">
        <v>1187</v>
      </c>
      <c r="BZ499" s="476" t="s">
        <v>1187</v>
      </c>
      <c r="CA499" s="476" t="s">
        <v>1187</v>
      </c>
      <c r="CB499" s="476" t="s">
        <v>1187</v>
      </c>
      <c r="CC499" s="476" t="s">
        <v>1187</v>
      </c>
      <c r="CD499" s="476" t="s">
        <v>1187</v>
      </c>
      <c r="CE499" s="476" t="s">
        <v>1188</v>
      </c>
      <c r="CF499" s="476" t="s">
        <v>1188</v>
      </c>
      <c r="CG499" s="476" t="s">
        <v>1188</v>
      </c>
      <c r="CH499" s="476" t="s">
        <v>1187</v>
      </c>
      <c r="CI499" s="476" t="s">
        <v>1188</v>
      </c>
      <c r="CJ499" s="476" t="s">
        <v>1188</v>
      </c>
      <c r="CK499" s="476" t="s">
        <v>1188</v>
      </c>
      <c r="CL499" s="476" t="s">
        <v>1188</v>
      </c>
      <c r="CM499" s="476" t="str">
        <f>IF(VLOOKUP(BS499,'Données par municipalité'!$B$6:$E$1113,4,FALSE)="","non","oui")</f>
        <v>oui</v>
      </c>
      <c r="CN499" s="410">
        <v>514.87300730451739</v>
      </c>
      <c r="CO499" s="410">
        <v>582.9721221377041</v>
      </c>
      <c r="CP499" s="410">
        <v>591.91918315404075</v>
      </c>
      <c r="CQ499" s="410"/>
      <c r="CR499" s="410">
        <v>427.13648642059735</v>
      </c>
      <c r="CS499" s="410">
        <v>504.51679379849782</v>
      </c>
      <c r="CT499" s="410">
        <v>466.19628190907093</v>
      </c>
      <c r="CU499" s="410">
        <v>534</v>
      </c>
      <c r="CV499" s="410">
        <f>IF(VLOOKUP(BS499,'Données par municipalité'!$B$6:$F$1113,4,FALSE)="","",VLOOKUP(BS499,'Données par municipalité'!$B$6:$F$1113,4,FALSE))</f>
        <v>494</v>
      </c>
      <c r="CW499" s="476" t="s">
        <v>4723</v>
      </c>
      <c r="CX499" s="483">
        <v>0</v>
      </c>
      <c r="CY499" s="483">
        <v>0</v>
      </c>
      <c r="CZ499" s="483" t="s">
        <v>1124</v>
      </c>
      <c r="DA499" s="483">
        <v>0</v>
      </c>
      <c r="DB499" s="483">
        <v>0</v>
      </c>
      <c r="DC499" s="483">
        <v>0.1</v>
      </c>
      <c r="DD499" s="483">
        <v>0</v>
      </c>
      <c r="DE499" s="483">
        <f>IFERROR(SUM(VLOOKUP($BS499,'État &amp; Plan d''action'!$B$6:$Z$1113,18,FALSE),VLOOKUP($BS499,'État &amp; Plan d''action'!$B$6:$Z$1113,20,FALSE))/(VLOOKUP($BS499,'Données par municipalité'!$B$4:$L$1113,11,FALSE)),"")</f>
        <v>0.62968914158581046</v>
      </c>
      <c r="DF499" s="483">
        <f>IFERROR(SUM(VLOOKUP($BS499,'État &amp; Plan d''action'!$B$6:$Z$1113,19,FALSE),VLOOKUP($BS499,'État &amp; Plan d''action'!$B$6:$Z$1113,21,FALSE))/(VLOOKUP($BS499,'Données par municipalité'!$B$4:$L$1113,11,FALSE)),"")</f>
        <v>0</v>
      </c>
      <c r="DG499" s="476" t="s">
        <v>4723</v>
      </c>
      <c r="DH499" s="484">
        <v>0</v>
      </c>
      <c r="DI499" s="484">
        <v>1</v>
      </c>
      <c r="DJ499" s="484">
        <v>0</v>
      </c>
      <c r="DK499" s="484">
        <v>0</v>
      </c>
      <c r="DL499" s="484">
        <v>1</v>
      </c>
      <c r="DM499" s="484">
        <v>0</v>
      </c>
      <c r="DN499" s="484">
        <v>0</v>
      </c>
      <c r="DO499" s="484">
        <v>0</v>
      </c>
      <c r="DP499" s="484">
        <v>1</v>
      </c>
      <c r="DQ499" s="484">
        <f>IF(VLOOKUP($BS499,'État &amp; Plan d''action'!$B$6:$AJ$1113,28,FALSE)="","",VLOOKUP($BS499,'État &amp; Plan d''action'!$B$6:$AJ$1113,28,FALSE))</f>
        <v>1</v>
      </c>
      <c r="DR499" s="70">
        <f>IF(VLOOKUP($BS499,'État &amp; Plan d''action'!$B$6:$AJ$1113,29,FALSE)="","",VLOOKUP($BS499,'État &amp; Plan d''action'!$B$6:$AJ$1113,29,FALSE))</f>
        <v>0</v>
      </c>
      <c r="DS499" s="70">
        <f>IF(VLOOKUP($BS499,'État &amp; Plan d''action'!$B$6:$AJ$1113,30,FALSE)="","",VLOOKUP($BS499,'État &amp; Plan d''action'!$B$6:$AJ$1113,30,FALSE))</f>
        <v>0</v>
      </c>
      <c r="DT499" s="70">
        <v>170</v>
      </c>
      <c r="DU499" s="485">
        <v>1.4495249562109025</v>
      </c>
      <c r="DV499" s="485">
        <v>1.0768424631171627</v>
      </c>
      <c r="DW499" s="70">
        <v>0</v>
      </c>
      <c r="DX499" s="70">
        <v>0</v>
      </c>
      <c r="DY499" s="70">
        <v>1</v>
      </c>
      <c r="DZ499" s="70">
        <f>VLOOKUP($BS499,'État &amp; Plan d''action'!$B$6:$AH$1113,31,FALSE)</f>
        <v>1</v>
      </c>
      <c r="EA499" s="70">
        <f>VLOOKUP($BS499,'État &amp; Plan d''action'!$B$6:$AH$1113,32,FALSE)</f>
        <v>0</v>
      </c>
      <c r="EB499" s="70">
        <f>VLOOKUP($BS499,'État &amp; Plan d''action'!$B$6:$AH$1113,33,FALSE)</f>
        <v>0</v>
      </c>
      <c r="EC499" s="70">
        <v>0</v>
      </c>
      <c r="ED499" s="70">
        <v>0</v>
      </c>
      <c r="EE499" s="70">
        <v>0</v>
      </c>
      <c r="EF499" s="70">
        <v>0</v>
      </c>
      <c r="EG499" s="70">
        <v>0</v>
      </c>
      <c r="EH499" s="72">
        <v>60.03378378378379</v>
      </c>
      <c r="EI499" s="72">
        <v>1878</v>
      </c>
    </row>
    <row r="500" spans="71:139" x14ac:dyDescent="0.35">
      <c r="BS500" s="486">
        <v>87035</v>
      </c>
      <c r="BT500" s="479" t="s">
        <v>896</v>
      </c>
      <c r="BU500" s="479">
        <v>8</v>
      </c>
      <c r="BV500" s="476" t="s">
        <v>1188</v>
      </c>
      <c r="BW500" s="476" t="s">
        <v>1188</v>
      </c>
      <c r="BX500" s="476" t="s">
        <v>1188</v>
      </c>
      <c r="BY500" s="476" t="s">
        <v>1188</v>
      </c>
      <c r="BZ500" s="476" t="s">
        <v>1188</v>
      </c>
      <c r="CA500" s="476" t="s">
        <v>1188</v>
      </c>
      <c r="CB500" s="476" t="s">
        <v>1188</v>
      </c>
      <c r="CC500" s="476" t="s">
        <v>1188</v>
      </c>
      <c r="CD500" s="476" t="s">
        <v>1188</v>
      </c>
      <c r="CE500" s="476" t="s">
        <v>1187</v>
      </c>
      <c r="CF500" s="476" t="s">
        <v>1187</v>
      </c>
      <c r="CG500" s="476" t="s">
        <v>1187</v>
      </c>
      <c r="CH500" s="476" t="s">
        <v>1187</v>
      </c>
      <c r="CI500" s="476" t="s">
        <v>1187</v>
      </c>
      <c r="CJ500" s="476" t="s">
        <v>1187</v>
      </c>
      <c r="CK500" s="476" t="s">
        <v>1187</v>
      </c>
      <c r="CL500" s="476" t="s">
        <v>1187</v>
      </c>
      <c r="CM500" s="476" t="str">
        <f>IF(VLOOKUP(BS500,'Données par municipalité'!$B$6:$E$1113,4,FALSE)="","non","oui")</f>
        <v>non</v>
      </c>
      <c r="CN500" s="410" t="s">
        <v>1124</v>
      </c>
      <c r="CO500" s="410" t="s">
        <v>1124</v>
      </c>
      <c r="CP500" s="410"/>
      <c r="CQ500" s="410"/>
      <c r="CR500" s="410"/>
      <c r="CS500" s="410" t="s">
        <v>1124</v>
      </c>
      <c r="CT500" s="410"/>
      <c r="CU500" s="410" t="s">
        <v>1124</v>
      </c>
      <c r="CV500" s="410" t="str">
        <f>IF(VLOOKUP(BS500,'Données par municipalité'!$B$6:$F$1113,4,FALSE)="","",VLOOKUP(BS500,'Données par municipalité'!$B$6:$F$1113,4,FALSE))</f>
        <v/>
      </c>
      <c r="CW500" s="476" t="s">
        <v>4723</v>
      </c>
      <c r="CX500" s="483" t="s">
        <v>1124</v>
      </c>
      <c r="CY500" s="483" t="s">
        <v>1124</v>
      </c>
      <c r="CZ500" s="483" t="s">
        <v>1124</v>
      </c>
      <c r="DA500" s="483" t="s">
        <v>1124</v>
      </c>
      <c r="DB500" s="483" t="s">
        <v>1124</v>
      </c>
      <c r="DC500" s="483" t="s">
        <v>1124</v>
      </c>
      <c r="DD500" s="483" t="s">
        <v>1124</v>
      </c>
      <c r="DE500" s="483" t="str">
        <f>IFERROR(SUM(VLOOKUP($BS500,'État &amp; Plan d''action'!$B$6:$Z$1113,18,FALSE),VLOOKUP($BS500,'État &amp; Plan d''action'!$B$6:$Z$1113,20,FALSE))/(VLOOKUP($BS500,'Données par municipalité'!$B$4:$L$1113,11,FALSE)),"")</f>
        <v/>
      </c>
      <c r="DF500" s="483" t="str">
        <f>IFERROR(SUM(VLOOKUP($BS500,'État &amp; Plan d''action'!$B$6:$Z$1113,19,FALSE),VLOOKUP($BS500,'État &amp; Plan d''action'!$B$6:$Z$1113,21,FALSE))/(VLOOKUP($BS500,'Données par municipalité'!$B$4:$L$1113,11,FALSE)),"")</f>
        <v/>
      </c>
      <c r="DG500" s="476" t="s">
        <v>4723</v>
      </c>
      <c r="DH500" s="484" t="s">
        <v>1124</v>
      </c>
      <c r="DI500" s="484" t="s">
        <v>1124</v>
      </c>
      <c r="DJ500" s="484">
        <v>0</v>
      </c>
      <c r="DK500" s="484">
        <v>0</v>
      </c>
      <c r="DL500" s="484" t="s">
        <v>1124</v>
      </c>
      <c r="DM500" s="484" t="s">
        <v>1124</v>
      </c>
      <c r="DN500" s="484" t="s">
        <v>1124</v>
      </c>
      <c r="DO500" s="484" t="s">
        <v>1124</v>
      </c>
      <c r="DP500" s="484" t="s">
        <v>1124</v>
      </c>
      <c r="DQ500" s="484" t="str">
        <f>IF(VLOOKUP($BS500,'État &amp; Plan d''action'!$B$6:$AJ$1113,28,FALSE)="","",VLOOKUP($BS500,'État &amp; Plan d''action'!$B$6:$AJ$1113,28,FALSE))</f>
        <v/>
      </c>
      <c r="DR500" s="70" t="str">
        <f>IF(VLOOKUP($BS500,'État &amp; Plan d''action'!$B$6:$AJ$1113,29,FALSE)="","",VLOOKUP($BS500,'État &amp; Plan d''action'!$B$6:$AJ$1113,29,FALSE))</f>
        <v/>
      </c>
      <c r="DS500" s="70" t="str">
        <f>IF(VLOOKUP($BS500,'État &amp; Plan d''action'!$B$6:$AJ$1113,30,FALSE)="","",VLOOKUP($BS500,'État &amp; Plan d''action'!$B$6:$AJ$1113,30,FALSE))</f>
        <v/>
      </c>
      <c r="DT500" s="70" t="s">
        <v>1124</v>
      </c>
      <c r="DU500" s="485" t="s">
        <v>1124</v>
      </c>
      <c r="DV500" s="485" t="s">
        <v>1124</v>
      </c>
      <c r="DW500" s="70" t="s">
        <v>1124</v>
      </c>
      <c r="DX500" s="70" t="s">
        <v>1124</v>
      </c>
      <c r="DY500" s="70" t="s">
        <v>1124</v>
      </c>
      <c r="DZ500" s="70" t="str">
        <f>VLOOKUP($BS500,'État &amp; Plan d''action'!$B$6:$AH$1113,31,FALSE)</f>
        <v/>
      </c>
      <c r="EA500" s="70" t="str">
        <f>VLOOKUP($BS500,'État &amp; Plan d''action'!$B$6:$AH$1113,32,FALSE)</f>
        <v/>
      </c>
      <c r="EB500" s="70" t="str">
        <f>VLOOKUP($BS500,'État &amp; Plan d''action'!$B$6:$AH$1113,33,FALSE)</f>
        <v/>
      </c>
      <c r="EC500" s="70" t="s">
        <v>1124</v>
      </c>
      <c r="ED500" s="70" t="s">
        <v>1124</v>
      </c>
      <c r="EE500" s="70" t="s">
        <v>1124</v>
      </c>
      <c r="EF500" s="70" t="s">
        <v>1124</v>
      </c>
      <c r="EG500" s="70" t="s">
        <v>1124</v>
      </c>
      <c r="EH500" s="72"/>
      <c r="EI500" s="72">
        <v>701</v>
      </c>
    </row>
    <row r="501" spans="71:139" x14ac:dyDescent="0.35">
      <c r="BS501" s="486">
        <v>88090</v>
      </c>
      <c r="BT501" s="479" t="s">
        <v>927</v>
      </c>
      <c r="BU501" s="479">
        <v>8</v>
      </c>
      <c r="BV501" s="476" t="s">
        <v>1188</v>
      </c>
      <c r="BW501" s="476" t="s">
        <v>1188</v>
      </c>
      <c r="BX501" s="476" t="s">
        <v>1188</v>
      </c>
      <c r="BY501" s="476" t="s">
        <v>1188</v>
      </c>
      <c r="BZ501" s="476" t="s">
        <v>1188</v>
      </c>
      <c r="CA501" s="476" t="s">
        <v>1188</v>
      </c>
      <c r="CB501" s="476" t="s">
        <v>1188</v>
      </c>
      <c r="CC501" s="476" t="s">
        <v>1188</v>
      </c>
      <c r="CD501" s="476" t="s">
        <v>1188</v>
      </c>
      <c r="CE501" s="476" t="s">
        <v>1187</v>
      </c>
      <c r="CF501" s="476" t="s">
        <v>1187</v>
      </c>
      <c r="CG501" s="476" t="s">
        <v>1187</v>
      </c>
      <c r="CH501" s="476" t="s">
        <v>1187</v>
      </c>
      <c r="CI501" s="476" t="s">
        <v>1187</v>
      </c>
      <c r="CJ501" s="476" t="s">
        <v>1187</v>
      </c>
      <c r="CK501" s="476" t="s">
        <v>1187</v>
      </c>
      <c r="CL501" s="476" t="s">
        <v>1187</v>
      </c>
      <c r="CM501" s="476" t="str">
        <f>IF(VLOOKUP(BS501,'Données par municipalité'!$B$6:$E$1113,4,FALSE)="","non","oui")</f>
        <v>non</v>
      </c>
      <c r="CN501" s="410" t="s">
        <v>1124</v>
      </c>
      <c r="CO501" s="410" t="s">
        <v>1124</v>
      </c>
      <c r="CP501" s="410"/>
      <c r="CQ501" s="410"/>
      <c r="CR501" s="410"/>
      <c r="CS501" s="410" t="s">
        <v>1124</v>
      </c>
      <c r="CT501" s="410"/>
      <c r="CU501" s="410" t="s">
        <v>1124</v>
      </c>
      <c r="CV501" s="410" t="str">
        <f>IF(VLOOKUP(BS501,'Données par municipalité'!$B$6:$F$1113,4,FALSE)="","",VLOOKUP(BS501,'Données par municipalité'!$B$6:$F$1113,4,FALSE))</f>
        <v/>
      </c>
      <c r="CW501" s="476" t="s">
        <v>4723</v>
      </c>
      <c r="CX501" s="483" t="s">
        <v>1124</v>
      </c>
      <c r="CY501" s="483" t="s">
        <v>1124</v>
      </c>
      <c r="CZ501" s="483" t="s">
        <v>1124</v>
      </c>
      <c r="DA501" s="483" t="s">
        <v>1124</v>
      </c>
      <c r="DB501" s="483" t="s">
        <v>1124</v>
      </c>
      <c r="DC501" s="483" t="s">
        <v>1124</v>
      </c>
      <c r="DD501" s="483" t="s">
        <v>1124</v>
      </c>
      <c r="DE501" s="483" t="str">
        <f>IFERROR(SUM(VLOOKUP($BS501,'État &amp; Plan d''action'!$B$6:$Z$1113,18,FALSE),VLOOKUP($BS501,'État &amp; Plan d''action'!$B$6:$Z$1113,20,FALSE))/(VLOOKUP($BS501,'Données par municipalité'!$B$4:$L$1113,11,FALSE)),"")</f>
        <v/>
      </c>
      <c r="DF501" s="483" t="str">
        <f>IFERROR(SUM(VLOOKUP($BS501,'État &amp; Plan d''action'!$B$6:$Z$1113,19,FALSE),VLOOKUP($BS501,'État &amp; Plan d''action'!$B$6:$Z$1113,21,FALSE))/(VLOOKUP($BS501,'Données par municipalité'!$B$4:$L$1113,11,FALSE)),"")</f>
        <v/>
      </c>
      <c r="DG501" s="476" t="s">
        <v>4723</v>
      </c>
      <c r="DH501" s="484" t="s">
        <v>1124</v>
      </c>
      <c r="DI501" s="484" t="s">
        <v>1124</v>
      </c>
      <c r="DJ501" s="484">
        <v>0</v>
      </c>
      <c r="DK501" s="484">
        <v>0</v>
      </c>
      <c r="DL501" s="484" t="s">
        <v>1124</v>
      </c>
      <c r="DM501" s="484" t="s">
        <v>1124</v>
      </c>
      <c r="DN501" s="484" t="s">
        <v>1124</v>
      </c>
      <c r="DO501" s="484" t="s">
        <v>1124</v>
      </c>
      <c r="DP501" s="484" t="s">
        <v>1124</v>
      </c>
      <c r="DQ501" s="484" t="str">
        <f>IF(VLOOKUP($BS501,'État &amp; Plan d''action'!$B$6:$AJ$1113,28,FALSE)="","",VLOOKUP($BS501,'État &amp; Plan d''action'!$B$6:$AJ$1113,28,FALSE))</f>
        <v/>
      </c>
      <c r="DR501" s="70" t="str">
        <f>IF(VLOOKUP($BS501,'État &amp; Plan d''action'!$B$6:$AJ$1113,29,FALSE)="","",VLOOKUP($BS501,'État &amp; Plan d''action'!$B$6:$AJ$1113,29,FALSE))</f>
        <v/>
      </c>
      <c r="DS501" s="70" t="str">
        <f>IF(VLOOKUP($BS501,'État &amp; Plan d''action'!$B$6:$AJ$1113,30,FALSE)="","",VLOOKUP($BS501,'État &amp; Plan d''action'!$B$6:$AJ$1113,30,FALSE))</f>
        <v/>
      </c>
      <c r="DT501" s="70" t="s">
        <v>1124</v>
      </c>
      <c r="DU501" s="485" t="s">
        <v>1124</v>
      </c>
      <c r="DV501" s="485" t="s">
        <v>1124</v>
      </c>
      <c r="DW501" s="70" t="s">
        <v>1124</v>
      </c>
      <c r="DX501" s="70" t="s">
        <v>1124</v>
      </c>
      <c r="DY501" s="70" t="s">
        <v>1124</v>
      </c>
      <c r="DZ501" s="70" t="str">
        <f>VLOOKUP($BS501,'État &amp; Plan d''action'!$B$6:$AH$1113,31,FALSE)</f>
        <v/>
      </c>
      <c r="EA501" s="70" t="str">
        <f>VLOOKUP($BS501,'État &amp; Plan d''action'!$B$6:$AH$1113,32,FALSE)</f>
        <v/>
      </c>
      <c r="EB501" s="70" t="str">
        <f>VLOOKUP($BS501,'État &amp; Plan d''action'!$B$6:$AH$1113,33,FALSE)</f>
        <v/>
      </c>
      <c r="EC501" s="70" t="s">
        <v>1124</v>
      </c>
      <c r="ED501" s="70" t="s">
        <v>1124</v>
      </c>
      <c r="EE501" s="70" t="s">
        <v>1124</v>
      </c>
      <c r="EF501" s="70" t="s">
        <v>1124</v>
      </c>
      <c r="EG501" s="70" t="s">
        <v>1124</v>
      </c>
      <c r="EH501" s="72"/>
      <c r="EI501" s="72">
        <v>878</v>
      </c>
    </row>
    <row r="502" spans="71:139" x14ac:dyDescent="0.35">
      <c r="BS502" s="486">
        <v>75040</v>
      </c>
      <c r="BT502" s="479" t="s">
        <v>745</v>
      </c>
      <c r="BU502" s="479">
        <v>15</v>
      </c>
      <c r="BV502" s="476" t="s">
        <v>1187</v>
      </c>
      <c r="BW502" s="476" t="s">
        <v>1187</v>
      </c>
      <c r="BX502" s="476" t="s">
        <v>1187</v>
      </c>
      <c r="BY502" s="476" t="s">
        <v>1187</v>
      </c>
      <c r="BZ502" s="476" t="s">
        <v>1187</v>
      </c>
      <c r="CA502" s="476" t="s">
        <v>1187</v>
      </c>
      <c r="CB502" s="476" t="s">
        <v>1187</v>
      </c>
      <c r="CC502" s="476" t="s">
        <v>1187</v>
      </c>
      <c r="CD502" s="476" t="s">
        <v>1187</v>
      </c>
      <c r="CE502" s="476" t="s">
        <v>1188</v>
      </c>
      <c r="CF502" s="476" t="s">
        <v>1188</v>
      </c>
      <c r="CG502" s="476" t="s">
        <v>1188</v>
      </c>
      <c r="CH502" s="476" t="s">
        <v>1188</v>
      </c>
      <c r="CI502" s="476" t="s">
        <v>1188</v>
      </c>
      <c r="CJ502" s="476" t="s">
        <v>1188</v>
      </c>
      <c r="CK502" s="476" t="s">
        <v>1188</v>
      </c>
      <c r="CL502" s="476" t="s">
        <v>1188</v>
      </c>
      <c r="CM502" s="476" t="str">
        <f>IF(VLOOKUP(BS502,'Données par municipalité'!$B$6:$E$1113,4,FALSE)="","non","oui")</f>
        <v>oui</v>
      </c>
      <c r="CN502" s="410">
        <v>478.82687415831214</v>
      </c>
      <c r="CO502" s="410">
        <v>406.70122483550961</v>
      </c>
      <c r="CP502" s="410">
        <v>338.84743335526935</v>
      </c>
      <c r="CQ502" s="410">
        <v>528.91187308068197</v>
      </c>
      <c r="CR502" s="410">
        <v>607.69213294259293</v>
      </c>
      <c r="CS502" s="410">
        <v>408.4678731269143</v>
      </c>
      <c r="CT502" s="410">
        <v>417.83600195898947</v>
      </c>
      <c r="CU502" s="410">
        <v>435</v>
      </c>
      <c r="CV502" s="410">
        <f>IF(VLOOKUP(BS502,'Données par municipalité'!$B$6:$F$1113,4,FALSE)="","",VLOOKUP(BS502,'Données par municipalité'!$B$6:$F$1113,4,FALSE))</f>
        <v>444</v>
      </c>
      <c r="CW502" s="476" t="s">
        <v>4723</v>
      </c>
      <c r="CX502" s="483">
        <v>0.1</v>
      </c>
      <c r="CY502" s="483">
        <v>1</v>
      </c>
      <c r="CZ502" s="483">
        <v>1</v>
      </c>
      <c r="DA502" s="483">
        <v>1</v>
      </c>
      <c r="DB502" s="483">
        <v>1</v>
      </c>
      <c r="DC502" s="483">
        <v>1</v>
      </c>
      <c r="DD502" s="483">
        <v>0.75001935433924272</v>
      </c>
      <c r="DE502" s="483">
        <f>IFERROR(SUM(VLOOKUP($BS502,'État &amp; Plan d''action'!$B$6:$Z$1113,18,FALSE),VLOOKUP($BS502,'État &amp; Plan d''action'!$B$6:$Z$1113,20,FALSE))/(VLOOKUP($BS502,'Données par municipalité'!$B$4:$L$1113,11,FALSE)),"")</f>
        <v>0.99999999999999978</v>
      </c>
      <c r="DF502" s="483">
        <f>IFERROR(SUM(VLOOKUP($BS502,'État &amp; Plan d''action'!$B$6:$Z$1113,19,FALSE),VLOOKUP($BS502,'État &amp; Plan d''action'!$B$6:$Z$1113,21,FALSE))/(VLOOKUP($BS502,'Données par municipalité'!$B$4:$L$1113,11,FALSE)),"")</f>
        <v>0.99999999999999978</v>
      </c>
      <c r="DG502" s="476" t="s">
        <v>4723</v>
      </c>
      <c r="DH502" s="484">
        <v>25</v>
      </c>
      <c r="DI502" s="484">
        <v>25</v>
      </c>
      <c r="DJ502" s="484">
        <v>22</v>
      </c>
      <c r="DK502" s="484">
        <v>13</v>
      </c>
      <c r="DL502" s="484">
        <v>18</v>
      </c>
      <c r="DM502" s="484">
        <v>11</v>
      </c>
      <c r="DN502" s="484">
        <v>17</v>
      </c>
      <c r="DO502" s="484">
        <v>2</v>
      </c>
      <c r="DP502" s="484">
        <v>0</v>
      </c>
      <c r="DQ502" s="484">
        <f>IF(VLOOKUP($BS502,'État &amp; Plan d''action'!$B$6:$AJ$1113,28,FALSE)="","",VLOOKUP($BS502,'État &amp; Plan d''action'!$B$6:$AJ$1113,28,FALSE))</f>
        <v>30</v>
      </c>
      <c r="DR502" s="70">
        <f>IF(VLOOKUP($BS502,'État &amp; Plan d''action'!$B$6:$AJ$1113,29,FALSE)="","",VLOOKUP($BS502,'État &amp; Plan d''action'!$B$6:$AJ$1113,29,FALSE))</f>
        <v>0</v>
      </c>
      <c r="DS502" s="70">
        <f>IF(VLOOKUP($BS502,'État &amp; Plan d''action'!$B$6:$AJ$1113,30,FALSE)="","",VLOOKUP($BS502,'État &amp; Plan d''action'!$B$6:$AJ$1113,30,FALSE))</f>
        <v>0</v>
      </c>
      <c r="DT502" s="70">
        <v>374</v>
      </c>
      <c r="DU502" s="485">
        <v>1.1556252442006765</v>
      </c>
      <c r="DV502" s="485">
        <v>5.3286743565215877</v>
      </c>
      <c r="DW502" s="70">
        <v>5</v>
      </c>
      <c r="DX502" s="70">
        <v>5</v>
      </c>
      <c r="DY502" s="70">
        <v>0</v>
      </c>
      <c r="DZ502" s="70">
        <f>VLOOKUP($BS502,'État &amp; Plan d''action'!$B$6:$AH$1113,31,FALSE)</f>
        <v>10</v>
      </c>
      <c r="EA502" s="70">
        <f>VLOOKUP($BS502,'État &amp; Plan d''action'!$B$6:$AH$1113,32,FALSE)</f>
        <v>0</v>
      </c>
      <c r="EB502" s="70">
        <f>VLOOKUP($BS502,'État &amp; Plan d''action'!$B$6:$AH$1113,33,FALSE)</f>
        <v>0</v>
      </c>
      <c r="EC502" s="70">
        <v>0</v>
      </c>
      <c r="ED502" s="70">
        <v>0</v>
      </c>
      <c r="EE502" s="70">
        <v>48.44</v>
      </c>
      <c r="EF502" s="70">
        <v>0</v>
      </c>
      <c r="EG502" s="70">
        <v>0</v>
      </c>
      <c r="EH502" s="72">
        <v>46.333333333333336</v>
      </c>
      <c r="EI502" s="72">
        <v>13290</v>
      </c>
    </row>
    <row r="503" spans="71:139" x14ac:dyDescent="0.35">
      <c r="BS503" s="486">
        <v>9065</v>
      </c>
      <c r="BT503" s="479" t="s">
        <v>1108</v>
      </c>
      <c r="BU503" s="479">
        <v>1</v>
      </c>
      <c r="BV503" s="476" t="s">
        <v>1187</v>
      </c>
      <c r="BW503" s="476" t="s">
        <v>1187</v>
      </c>
      <c r="BX503" s="476" t="s">
        <v>1187</v>
      </c>
      <c r="BY503" s="476" t="s">
        <v>1187</v>
      </c>
      <c r="BZ503" s="476" t="s">
        <v>1187</v>
      </c>
      <c r="CA503" s="476" t="s">
        <v>1187</v>
      </c>
      <c r="CB503" s="476" t="s">
        <v>1187</v>
      </c>
      <c r="CC503" s="476" t="s">
        <v>1187</v>
      </c>
      <c r="CD503" s="476" t="s">
        <v>1187</v>
      </c>
      <c r="CE503" s="476" t="s">
        <v>1188</v>
      </c>
      <c r="CF503" s="476" t="s">
        <v>1188</v>
      </c>
      <c r="CG503" s="476" t="s">
        <v>1187</v>
      </c>
      <c r="CH503" s="476" t="s">
        <v>1188</v>
      </c>
      <c r="CI503" s="476" t="s">
        <v>1188</v>
      </c>
      <c r="CJ503" s="476" t="s">
        <v>1188</v>
      </c>
      <c r="CK503" s="476" t="s">
        <v>1188</v>
      </c>
      <c r="CL503" s="476" t="s">
        <v>1188</v>
      </c>
      <c r="CM503" s="476" t="str">
        <f>IF(VLOOKUP(BS503,'Données par municipalité'!$B$6:$E$1113,4,FALSE)="","non","oui")</f>
        <v>oui</v>
      </c>
      <c r="CN503" s="410">
        <v>729.310132049858</v>
      </c>
      <c r="CO503" s="410">
        <v>813.66612514153508</v>
      </c>
      <c r="CP503" s="410"/>
      <c r="CQ503" s="410">
        <v>421</v>
      </c>
      <c r="CR503" s="410">
        <v>248</v>
      </c>
      <c r="CS503" s="410">
        <v>287.42532699306298</v>
      </c>
      <c r="CT503" s="410">
        <v>298.80687482916517</v>
      </c>
      <c r="CU503" s="410">
        <v>309</v>
      </c>
      <c r="CV503" s="410">
        <f>IF(VLOOKUP(BS503,'Données par municipalité'!$B$6:$F$1113,4,FALSE)="","",VLOOKUP(BS503,'Données par municipalité'!$B$6:$F$1113,4,FALSE))</f>
        <v>286</v>
      </c>
      <c r="CW503" s="476" t="s">
        <v>4723</v>
      </c>
      <c r="CX503" s="483">
        <v>0</v>
      </c>
      <c r="CY503" s="483" t="s">
        <v>1124</v>
      </c>
      <c r="CZ503" s="483">
        <v>0.1</v>
      </c>
      <c r="DA503" s="483">
        <v>0.1</v>
      </c>
      <c r="DB503" s="483">
        <v>0.1</v>
      </c>
      <c r="DC503" s="483">
        <v>0.1</v>
      </c>
      <c r="DD503" s="483" t="s">
        <v>1124</v>
      </c>
      <c r="DE503" s="483">
        <f>IFERROR(SUM(VLOOKUP($BS503,'État &amp; Plan d''action'!$B$6:$Z$1113,18,FALSE),VLOOKUP($BS503,'État &amp; Plan d''action'!$B$6:$Z$1113,20,FALSE))/(VLOOKUP($BS503,'Données par municipalité'!$B$4:$L$1113,11,FALSE)),"")</f>
        <v>0</v>
      </c>
      <c r="DF503" s="483">
        <f>IFERROR(SUM(VLOOKUP($BS503,'État &amp; Plan d''action'!$B$6:$Z$1113,19,FALSE),VLOOKUP($BS503,'État &amp; Plan d''action'!$B$6:$Z$1113,21,FALSE))/(VLOOKUP($BS503,'Données par municipalité'!$B$4:$L$1113,11,FALSE)),"")</f>
        <v>0</v>
      </c>
      <c r="DG503" s="476" t="s">
        <v>4723</v>
      </c>
      <c r="DH503" s="484">
        <v>0</v>
      </c>
      <c r="DI503" s="484" t="s">
        <v>1124</v>
      </c>
      <c r="DJ503" s="484">
        <v>0</v>
      </c>
      <c r="DK503" s="484">
        <v>0</v>
      </c>
      <c r="DL503" s="484">
        <v>0</v>
      </c>
      <c r="DM503" s="484">
        <v>0</v>
      </c>
      <c r="DN503" s="484">
        <v>0</v>
      </c>
      <c r="DO503" s="484">
        <v>0</v>
      </c>
      <c r="DP503" s="484">
        <v>1</v>
      </c>
      <c r="DQ503" s="484">
        <f>IF(VLOOKUP($BS503,'État &amp; Plan d''action'!$B$6:$AJ$1113,28,FALSE)="","",VLOOKUP($BS503,'État &amp; Plan d''action'!$B$6:$AJ$1113,28,FALSE))</f>
        <v>0</v>
      </c>
      <c r="DR503" s="70">
        <f>IF(VLOOKUP($BS503,'État &amp; Plan d''action'!$B$6:$AJ$1113,29,FALSE)="","",VLOOKUP($BS503,'État &amp; Plan d''action'!$B$6:$AJ$1113,29,FALSE))</f>
        <v>0</v>
      </c>
      <c r="DS503" s="70">
        <f>IF(VLOOKUP($BS503,'État &amp; Plan d''action'!$B$6:$AJ$1113,30,FALSE)="","",VLOOKUP($BS503,'État &amp; Plan d''action'!$B$6:$AJ$1113,30,FALSE))</f>
        <v>2</v>
      </c>
      <c r="DT503" s="70">
        <v>110.28923097789232</v>
      </c>
      <c r="DU503" s="485">
        <v>0.26136443217873173</v>
      </c>
      <c r="DV503" s="485">
        <v>0.1000798953885656</v>
      </c>
      <c r="DW503" s="70">
        <v>0</v>
      </c>
      <c r="DX503" s="70">
        <v>0</v>
      </c>
      <c r="DY503" s="70">
        <v>1</v>
      </c>
      <c r="DZ503" s="70">
        <f>VLOOKUP($BS503,'État &amp; Plan d''action'!$B$6:$AH$1113,31,FALSE)</f>
        <v>0</v>
      </c>
      <c r="EA503" s="70">
        <f>VLOOKUP($BS503,'État &amp; Plan d''action'!$B$6:$AH$1113,32,FALSE)</f>
        <v>0</v>
      </c>
      <c r="EB503" s="70">
        <f>VLOOKUP($BS503,'État &amp; Plan d''action'!$B$6:$AH$1113,33,FALSE)</f>
        <v>1</v>
      </c>
      <c r="EC503" s="70">
        <v>0</v>
      </c>
      <c r="ED503" s="70">
        <v>16.771999999999998</v>
      </c>
      <c r="EE503" s="70">
        <v>0</v>
      </c>
      <c r="EF503" s="70">
        <v>0</v>
      </c>
      <c r="EG503" s="70">
        <v>0</v>
      </c>
      <c r="EH503" s="72">
        <v>63</v>
      </c>
      <c r="EI503" s="72">
        <v>1748</v>
      </c>
    </row>
    <row r="504" spans="71:139" x14ac:dyDescent="0.35">
      <c r="BS504" s="486">
        <v>32033</v>
      </c>
      <c r="BT504" s="479" t="s">
        <v>258</v>
      </c>
      <c r="BU504" s="479">
        <v>17</v>
      </c>
      <c r="BV504" s="476" t="s">
        <v>1187</v>
      </c>
      <c r="BW504" s="476" t="s">
        <v>1187</v>
      </c>
      <c r="BX504" s="476" t="s">
        <v>1187</v>
      </c>
      <c r="BY504" s="476" t="s">
        <v>1187</v>
      </c>
      <c r="BZ504" s="476" t="s">
        <v>1187</v>
      </c>
      <c r="CA504" s="476" t="s">
        <v>1187</v>
      </c>
      <c r="CB504" s="476" t="s">
        <v>1187</v>
      </c>
      <c r="CC504" s="476" t="s">
        <v>1187</v>
      </c>
      <c r="CD504" s="476" t="s">
        <v>1187</v>
      </c>
      <c r="CE504" s="476" t="s">
        <v>1188</v>
      </c>
      <c r="CF504" s="476" t="s">
        <v>1188</v>
      </c>
      <c r="CG504" s="476" t="s">
        <v>1188</v>
      </c>
      <c r="CH504" s="476" t="s">
        <v>1188</v>
      </c>
      <c r="CI504" s="476" t="s">
        <v>1188</v>
      </c>
      <c r="CJ504" s="476" t="s">
        <v>1188</v>
      </c>
      <c r="CK504" s="476" t="s">
        <v>1188</v>
      </c>
      <c r="CL504" s="476" t="s">
        <v>1188</v>
      </c>
      <c r="CM504" s="476" t="str">
        <f>IF(VLOOKUP(BS504,'Données par municipalité'!$B$6:$E$1113,4,FALSE)="","non","oui")</f>
        <v>oui</v>
      </c>
      <c r="CN504" s="410">
        <v>887.99553801060176</v>
      </c>
      <c r="CO504" s="410">
        <v>750.45658474363984</v>
      </c>
      <c r="CP504" s="410">
        <v>630.68434593663585</v>
      </c>
      <c r="CQ504" s="410">
        <v>561.2652617725189</v>
      </c>
      <c r="CR504" s="410">
        <v>577.96670263375881</v>
      </c>
      <c r="CS504" s="410">
        <v>605.37123115937732</v>
      </c>
      <c r="CT504" s="410">
        <v>615.02814967294114</v>
      </c>
      <c r="CU504" s="410">
        <v>653</v>
      </c>
      <c r="CV504" s="410">
        <f>IF(VLOOKUP(BS504,'Données par municipalité'!$B$6:$F$1113,4,FALSE)="","",VLOOKUP(BS504,'Données par municipalité'!$B$6:$F$1113,4,FALSE))</f>
        <v>561</v>
      </c>
      <c r="CW504" s="476" t="s">
        <v>4723</v>
      </c>
      <c r="CX504" s="483">
        <v>0.8</v>
      </c>
      <c r="CY504" s="483">
        <v>0</v>
      </c>
      <c r="CZ504" s="483">
        <v>1</v>
      </c>
      <c r="DA504" s="483">
        <v>1</v>
      </c>
      <c r="DB504" s="483">
        <v>1</v>
      </c>
      <c r="DC504" s="483">
        <v>1</v>
      </c>
      <c r="DD504" s="483">
        <v>1</v>
      </c>
      <c r="DE504" s="483">
        <f>IFERROR(SUM(VLOOKUP($BS504,'État &amp; Plan d''action'!$B$6:$Z$1113,18,FALSE),VLOOKUP($BS504,'État &amp; Plan d''action'!$B$6:$Z$1113,20,FALSE))/(VLOOKUP($BS504,'Données par municipalité'!$B$4:$L$1113,11,FALSE)),"")</f>
        <v>0.99976568174895142</v>
      </c>
      <c r="DF504" s="483">
        <f>IFERROR(SUM(VLOOKUP($BS504,'État &amp; Plan d''action'!$B$6:$Z$1113,19,FALSE),VLOOKUP($BS504,'État &amp; Plan d''action'!$B$6:$Z$1113,21,FALSE))/(VLOOKUP($BS504,'Données par municipalité'!$B$4:$L$1113,11,FALSE)),"")</f>
        <v>1.9995313634979028</v>
      </c>
      <c r="DG504" s="476" t="s">
        <v>4723</v>
      </c>
      <c r="DH504" s="484">
        <v>8</v>
      </c>
      <c r="DI504" s="484">
        <v>13</v>
      </c>
      <c r="DJ504" s="484">
        <v>11</v>
      </c>
      <c r="DK504" s="484">
        <v>1</v>
      </c>
      <c r="DL504" s="484">
        <v>6</v>
      </c>
      <c r="DM504" s="484">
        <v>6</v>
      </c>
      <c r="DN504" s="484">
        <v>10</v>
      </c>
      <c r="DO504" s="484">
        <v>17</v>
      </c>
      <c r="DP504" s="484">
        <v>11</v>
      </c>
      <c r="DQ504" s="484">
        <f>IF(VLOOKUP($BS504,'État &amp; Plan d''action'!$B$6:$AJ$1113,28,FALSE)="","",VLOOKUP($BS504,'État &amp; Plan d''action'!$B$6:$AJ$1113,28,FALSE))</f>
        <v>8</v>
      </c>
      <c r="DR504" s="70">
        <f>IF(VLOOKUP($BS504,'État &amp; Plan d''action'!$B$6:$AJ$1113,29,FALSE)="","",VLOOKUP($BS504,'État &amp; Plan d''action'!$B$6:$AJ$1113,29,FALSE))</f>
        <v>5</v>
      </c>
      <c r="DS504" s="70">
        <f>IF(VLOOKUP($BS504,'État &amp; Plan d''action'!$B$6:$AJ$1113,30,FALSE)="","",VLOOKUP($BS504,'État &amp; Plan d''action'!$B$6:$AJ$1113,30,FALSE))</f>
        <v>11</v>
      </c>
      <c r="DT504" s="70">
        <v>361</v>
      </c>
      <c r="DU504" s="485">
        <v>1.7879960124438019</v>
      </c>
      <c r="DV504" s="485">
        <v>1.9535045567087577</v>
      </c>
      <c r="DW504" s="70">
        <v>1</v>
      </c>
      <c r="DX504" s="70">
        <v>1</v>
      </c>
      <c r="DY504" s="70">
        <v>3</v>
      </c>
      <c r="DZ504" s="70">
        <f>VLOOKUP($BS504,'État &amp; Plan d''action'!$B$6:$AH$1113,31,FALSE)</f>
        <v>1</v>
      </c>
      <c r="EA504" s="70">
        <f>VLOOKUP($BS504,'État &amp; Plan d''action'!$B$6:$AH$1113,32,FALSE)</f>
        <v>2</v>
      </c>
      <c r="EB504" s="70">
        <f>VLOOKUP($BS504,'État &amp; Plan d''action'!$B$6:$AH$1113,33,FALSE)</f>
        <v>7</v>
      </c>
      <c r="EC504" s="70">
        <v>42.667000000000002</v>
      </c>
      <c r="ED504" s="70">
        <v>42.667000000000002</v>
      </c>
      <c r="EE504" s="70">
        <v>0</v>
      </c>
      <c r="EF504" s="70">
        <v>0</v>
      </c>
      <c r="EG504" s="70">
        <v>0</v>
      </c>
      <c r="EH504" s="72">
        <v>64</v>
      </c>
      <c r="EI504" s="72">
        <v>6201</v>
      </c>
    </row>
    <row r="505" spans="71:139" x14ac:dyDescent="0.35">
      <c r="BS505" s="486">
        <v>23027</v>
      </c>
      <c r="BT505" s="479" t="s">
        <v>163</v>
      </c>
      <c r="BU505" s="479">
        <v>3</v>
      </c>
      <c r="BV505" s="476" t="s">
        <v>1187</v>
      </c>
      <c r="BW505" s="476" t="s">
        <v>1187</v>
      </c>
      <c r="BX505" s="476" t="s">
        <v>1187</v>
      </c>
      <c r="BY505" s="476" t="s">
        <v>1187</v>
      </c>
      <c r="BZ505" s="476" t="s">
        <v>1187</v>
      </c>
      <c r="CA505" s="476" t="s">
        <v>1187</v>
      </c>
      <c r="CB505" s="476" t="s">
        <v>1187</v>
      </c>
      <c r="CC505" s="476" t="s">
        <v>1187</v>
      </c>
      <c r="CD505" s="476" t="s">
        <v>1187</v>
      </c>
      <c r="CE505" s="476" t="s">
        <v>1188</v>
      </c>
      <c r="CF505" s="476" t="s">
        <v>1188</v>
      </c>
      <c r="CG505" s="476" t="s">
        <v>1188</v>
      </c>
      <c r="CH505" s="476" t="s">
        <v>1188</v>
      </c>
      <c r="CI505" s="476" t="s">
        <v>1188</v>
      </c>
      <c r="CJ505" s="476" t="s">
        <v>1188</v>
      </c>
      <c r="CK505" s="476" t="s">
        <v>1188</v>
      </c>
      <c r="CL505" s="476" t="s">
        <v>1188</v>
      </c>
      <c r="CM505" s="476" t="str">
        <f>IF(VLOOKUP(BS505,'Données par municipalité'!$B$6:$E$1113,4,FALSE)="","non","oui")</f>
        <v>oui</v>
      </c>
      <c r="CN505" s="410">
        <v>471.1788076109604</v>
      </c>
      <c r="CO505" s="410">
        <v>462.04898018500126</v>
      </c>
      <c r="CP505" s="410">
        <v>458.0796479918971</v>
      </c>
      <c r="CQ505" s="410">
        <v>449.77105579872904</v>
      </c>
      <c r="CR505" s="410">
        <v>422.28991486799117</v>
      </c>
      <c r="CS505" s="410">
        <v>406.24777596811504</v>
      </c>
      <c r="CT505" s="410">
        <v>413.16985663305559</v>
      </c>
      <c r="CU505" s="410">
        <v>409</v>
      </c>
      <c r="CV505" s="410">
        <f>IF(VLOOKUP(BS505,'Données par municipalité'!$B$6:$F$1113,4,FALSE)="","",VLOOKUP(BS505,'Données par municipalité'!$B$6:$F$1113,4,FALSE))</f>
        <v>399</v>
      </c>
      <c r="CW505" s="476" t="s">
        <v>4723</v>
      </c>
      <c r="CX505" s="483">
        <v>1</v>
      </c>
      <c r="CY505" s="483">
        <v>0.68</v>
      </c>
      <c r="CZ505" s="483">
        <v>1.1200000000000001</v>
      </c>
      <c r="DA505" s="483">
        <v>1.35</v>
      </c>
      <c r="DB505" s="483">
        <v>1.84</v>
      </c>
      <c r="DC505" s="483">
        <v>2.2999999999999998</v>
      </c>
      <c r="DD505" s="483">
        <v>2.8165536969093967</v>
      </c>
      <c r="DE505" s="483">
        <f>IFERROR(SUM(VLOOKUP($BS505,'État &amp; Plan d''action'!$B$6:$Z$1113,18,FALSE),VLOOKUP($BS505,'État &amp; Plan d''action'!$B$6:$Z$1113,20,FALSE))/(VLOOKUP($BS505,'Données par municipalité'!$B$4:$L$1113,11,FALSE)),"")</f>
        <v>2.12</v>
      </c>
      <c r="DF505" s="483">
        <f>IFERROR(SUM(VLOOKUP($BS505,'État &amp; Plan d''action'!$B$6:$Z$1113,19,FALSE),VLOOKUP($BS505,'État &amp; Plan d''action'!$B$6:$Z$1113,21,FALSE))/(VLOOKUP($BS505,'Données par municipalité'!$B$4:$L$1113,11,FALSE)),"")</f>
        <v>2</v>
      </c>
      <c r="DG505" s="476" t="s">
        <v>4723</v>
      </c>
      <c r="DH505" s="484">
        <v>820</v>
      </c>
      <c r="DI505" s="484">
        <v>759</v>
      </c>
      <c r="DJ505" s="484">
        <v>851</v>
      </c>
      <c r="DK505" s="484">
        <v>973</v>
      </c>
      <c r="DL505" s="484">
        <v>888</v>
      </c>
      <c r="DM505" s="484">
        <v>865</v>
      </c>
      <c r="DN505" s="484">
        <v>482</v>
      </c>
      <c r="DO505" s="484">
        <v>207</v>
      </c>
      <c r="DP505" s="484">
        <v>93</v>
      </c>
      <c r="DQ505" s="484">
        <f>IF(VLOOKUP($BS505,'État &amp; Plan d''action'!$B$6:$AJ$1113,28,FALSE)="","",VLOOKUP($BS505,'État &amp; Plan d''action'!$B$6:$AJ$1113,28,FALSE))</f>
        <v>426</v>
      </c>
      <c r="DR505" s="70">
        <f>IF(VLOOKUP($BS505,'État &amp; Plan d''action'!$B$6:$AJ$1113,29,FALSE)="","",VLOOKUP($BS505,'État &amp; Plan d''action'!$B$6:$AJ$1113,29,FALSE))</f>
        <v>133</v>
      </c>
      <c r="DS505" s="70">
        <f>IF(VLOOKUP($BS505,'État &amp; Plan d''action'!$B$6:$AJ$1113,30,FALSE)="","",VLOOKUP($BS505,'État &amp; Plan d''action'!$B$6:$AJ$1113,30,FALSE))</f>
        <v>170</v>
      </c>
      <c r="DT505" s="70">
        <v>208</v>
      </c>
      <c r="DU505" s="485">
        <v>4.663672289976116</v>
      </c>
      <c r="DV505" s="485">
        <v>3.1893093761064373</v>
      </c>
      <c r="DW505" s="70">
        <v>4.5546218487394956</v>
      </c>
      <c r="DX505" s="70">
        <v>8.3640776699029118</v>
      </c>
      <c r="DY505" s="70">
        <v>37.395604395604394</v>
      </c>
      <c r="DZ505" s="70">
        <f>VLOOKUP($BS505,'État &amp; Plan d''action'!$B$6:$AH$1113,31,FALSE)</f>
        <v>3.7612293144208038</v>
      </c>
      <c r="EA505" s="70">
        <f>VLOOKUP($BS505,'État &amp; Plan d''action'!$B$6:$AH$1113,32,FALSE)</f>
        <v>11.590909090909092</v>
      </c>
      <c r="EB505" s="70">
        <f>VLOOKUP($BS505,'État &amp; Plan d''action'!$B$6:$AH$1113,33,FALSE)</f>
        <v>17.928571428571427</v>
      </c>
      <c r="EC505" s="70">
        <v>0</v>
      </c>
      <c r="ED505" s="70">
        <v>8212.5298018779959</v>
      </c>
      <c r="EE505" s="70">
        <v>0</v>
      </c>
      <c r="EF505" s="70">
        <v>0</v>
      </c>
      <c r="EG505" s="70">
        <v>0</v>
      </c>
      <c r="EH505" s="72">
        <v>56</v>
      </c>
      <c r="EI505" s="72">
        <v>543684</v>
      </c>
    </row>
    <row r="506" spans="71:139" x14ac:dyDescent="0.35">
      <c r="BS506" s="486">
        <v>42032</v>
      </c>
      <c r="BT506" s="479" t="s">
        <v>382</v>
      </c>
      <c r="BU506" s="479">
        <v>5</v>
      </c>
      <c r="BV506" s="476" t="s">
        <v>1187</v>
      </c>
      <c r="BW506" s="476" t="s">
        <v>1187</v>
      </c>
      <c r="BX506" s="476" t="s">
        <v>1187</v>
      </c>
      <c r="BY506" s="476" t="s">
        <v>1187</v>
      </c>
      <c r="BZ506" s="476" t="s">
        <v>1187</v>
      </c>
      <c r="CA506" s="476" t="s">
        <v>1187</v>
      </c>
      <c r="CB506" s="476" t="s">
        <v>1187</v>
      </c>
      <c r="CC506" s="476" t="s">
        <v>1187</v>
      </c>
      <c r="CD506" s="476" t="s">
        <v>1187</v>
      </c>
      <c r="CE506" s="476" t="s">
        <v>1188</v>
      </c>
      <c r="CF506" s="476" t="s">
        <v>1188</v>
      </c>
      <c r="CG506" s="476" t="s">
        <v>1188</v>
      </c>
      <c r="CH506" s="476" t="s">
        <v>1188</v>
      </c>
      <c r="CI506" s="476" t="s">
        <v>1187</v>
      </c>
      <c r="CJ506" s="476" t="s">
        <v>1188</v>
      </c>
      <c r="CK506" s="476" t="s">
        <v>1187</v>
      </c>
      <c r="CL506" s="476" t="s">
        <v>1187</v>
      </c>
      <c r="CM506" s="476" t="str">
        <f>IF(VLOOKUP(BS506,'Données par municipalité'!$B$6:$E$1113,4,FALSE)="","non","oui")</f>
        <v>oui</v>
      </c>
      <c r="CN506" s="410">
        <v>331.55277214956715</v>
      </c>
      <c r="CO506" s="410">
        <v>345.31017288532405</v>
      </c>
      <c r="CP506" s="410">
        <v>291.08842248403312</v>
      </c>
      <c r="CQ506" s="410">
        <v>315.25339893006935</v>
      </c>
      <c r="CR506" s="410"/>
      <c r="CS506" s="410">
        <v>336.19176609530126</v>
      </c>
      <c r="CT506" s="410"/>
      <c r="CU506" s="410" t="s">
        <v>1124</v>
      </c>
      <c r="CV506" s="410">
        <f>IF(VLOOKUP(BS506,'Données par municipalité'!$B$6:$F$1113,4,FALSE)="","",VLOOKUP(BS506,'Données par municipalité'!$B$6:$F$1113,4,FALSE))</f>
        <v>306</v>
      </c>
      <c r="CW506" s="476" t="s">
        <v>4723</v>
      </c>
      <c r="CX506" s="483">
        <v>0</v>
      </c>
      <c r="CY506" s="483">
        <v>0</v>
      </c>
      <c r="CZ506" s="483">
        <v>0</v>
      </c>
      <c r="DA506" s="483" t="s">
        <v>1124</v>
      </c>
      <c r="DB506" s="483">
        <v>0</v>
      </c>
      <c r="DC506" s="483" t="s">
        <v>1124</v>
      </c>
      <c r="DD506" s="483" t="s">
        <v>1124</v>
      </c>
      <c r="DE506" s="483">
        <f>IFERROR(SUM(VLOOKUP($BS506,'État &amp; Plan d''action'!$B$6:$Z$1113,18,FALSE),VLOOKUP($BS506,'État &amp; Plan d''action'!$B$6:$Z$1113,20,FALSE))/(VLOOKUP($BS506,'Données par municipalité'!$B$4:$L$1113,11,FALSE)),"")</f>
        <v>0</v>
      </c>
      <c r="DF506" s="483">
        <f>IFERROR(SUM(VLOOKUP($BS506,'État &amp; Plan d''action'!$B$6:$Z$1113,19,FALSE),VLOOKUP($BS506,'État &amp; Plan d''action'!$B$6:$Z$1113,21,FALSE))/(VLOOKUP($BS506,'Données par municipalité'!$B$4:$L$1113,11,FALSE)),"")</f>
        <v>1</v>
      </c>
      <c r="DG506" s="476" t="s">
        <v>4723</v>
      </c>
      <c r="DH506" s="484">
        <v>0</v>
      </c>
      <c r="DI506" s="484">
        <v>0</v>
      </c>
      <c r="DJ506" s="484">
        <v>0</v>
      </c>
      <c r="DK506" s="484">
        <v>0</v>
      </c>
      <c r="DL506" s="484">
        <v>0</v>
      </c>
      <c r="DM506" s="484" t="s">
        <v>1124</v>
      </c>
      <c r="DN506" s="484" t="s">
        <v>1124</v>
      </c>
      <c r="DO506" s="484" t="s">
        <v>1124</v>
      </c>
      <c r="DP506" s="484" t="s">
        <v>1124</v>
      </c>
      <c r="DQ506" s="484">
        <f>IF(VLOOKUP($BS506,'État &amp; Plan d''action'!$B$6:$AJ$1113,28,FALSE)="","",VLOOKUP($BS506,'État &amp; Plan d''action'!$B$6:$AJ$1113,28,FALSE))</f>
        <v>0</v>
      </c>
      <c r="DR506" s="70">
        <f>IF(VLOOKUP($BS506,'État &amp; Plan d''action'!$B$6:$AJ$1113,29,FALSE)="","",VLOOKUP($BS506,'État &amp; Plan d''action'!$B$6:$AJ$1113,29,FALSE))</f>
        <v>0</v>
      </c>
      <c r="DS506" s="70">
        <f>IF(VLOOKUP($BS506,'État &amp; Plan d''action'!$B$6:$AJ$1113,30,FALSE)="","",VLOOKUP($BS506,'État &amp; Plan d''action'!$B$6:$AJ$1113,30,FALSE))</f>
        <v>0</v>
      </c>
      <c r="DT506" s="70" t="s">
        <v>1124</v>
      </c>
      <c r="DU506" s="485" t="s">
        <v>1124</v>
      </c>
      <c r="DV506" s="485">
        <v>1.6763510498416665</v>
      </c>
      <c r="DW506" s="70" t="s">
        <v>1124</v>
      </c>
      <c r="DX506" s="70" t="s">
        <v>1124</v>
      </c>
      <c r="DY506" s="70" t="s">
        <v>1124</v>
      </c>
      <c r="DZ506" s="70">
        <f>VLOOKUP($BS506,'État &amp; Plan d''action'!$B$6:$AH$1113,31,FALSE)</f>
        <v>0</v>
      </c>
      <c r="EA506" s="70">
        <f>VLOOKUP($BS506,'État &amp; Plan d''action'!$B$6:$AH$1113,32,FALSE)</f>
        <v>0</v>
      </c>
      <c r="EB506" s="70">
        <f>VLOOKUP($BS506,'État &amp; Plan d''action'!$B$6:$AH$1113,33,FALSE)</f>
        <v>0</v>
      </c>
      <c r="EC506" s="70" t="s">
        <v>1124</v>
      </c>
      <c r="ED506" s="70" t="s">
        <v>1124</v>
      </c>
      <c r="EE506" s="70" t="s">
        <v>1124</v>
      </c>
      <c r="EF506" s="70" t="s">
        <v>1124</v>
      </c>
      <c r="EG506" s="70" t="s">
        <v>1124</v>
      </c>
      <c r="EH506" s="72"/>
      <c r="EI506" s="72">
        <v>1373</v>
      </c>
    </row>
    <row r="507" spans="71:139" x14ac:dyDescent="0.35">
      <c r="BS507" s="486">
        <v>96040</v>
      </c>
      <c r="BT507" s="479" t="s">
        <v>1001</v>
      </c>
      <c r="BU507" s="479">
        <v>9</v>
      </c>
      <c r="BV507" s="476" t="s">
        <v>1187</v>
      </c>
      <c r="BW507" s="476" t="s">
        <v>1187</v>
      </c>
      <c r="BX507" s="476" t="s">
        <v>1187</v>
      </c>
      <c r="BY507" s="476" t="s">
        <v>1187</v>
      </c>
      <c r="BZ507" s="476" t="s">
        <v>1187</v>
      </c>
      <c r="CA507" s="476" t="s">
        <v>1187</v>
      </c>
      <c r="CB507" s="476" t="s">
        <v>1187</v>
      </c>
      <c r="CC507" s="476" t="s">
        <v>1187</v>
      </c>
      <c r="CD507" s="476" t="s">
        <v>1187</v>
      </c>
      <c r="CE507" s="476" t="s">
        <v>1188</v>
      </c>
      <c r="CF507" s="476" t="s">
        <v>1188</v>
      </c>
      <c r="CG507" s="476" t="s">
        <v>1188</v>
      </c>
      <c r="CH507" s="476" t="s">
        <v>1188</v>
      </c>
      <c r="CI507" s="476" t="s">
        <v>1188</v>
      </c>
      <c r="CJ507" s="476" t="s">
        <v>1188</v>
      </c>
      <c r="CK507" s="476" t="s">
        <v>1188</v>
      </c>
      <c r="CL507" s="476" t="s">
        <v>1188</v>
      </c>
      <c r="CM507" s="476" t="str">
        <f>IF(VLOOKUP(BS507,'Données par municipalité'!$B$6:$E$1113,4,FALSE)="","non","oui")</f>
        <v>oui</v>
      </c>
      <c r="CN507" s="410">
        <v>501.61885605344662</v>
      </c>
      <c r="CO507" s="410">
        <v>590.23248158057004</v>
      </c>
      <c r="CP507" s="410">
        <v>554.01323216328876</v>
      </c>
      <c r="CQ507" s="410">
        <v>620.86504837481027</v>
      </c>
      <c r="CR507" s="410">
        <v>515.84947716037141</v>
      </c>
      <c r="CS507" s="410">
        <v>463.11507111224296</v>
      </c>
      <c r="CT507" s="410">
        <v>412.88345522624701</v>
      </c>
      <c r="CU507" s="410">
        <v>331</v>
      </c>
      <c r="CV507" s="410">
        <f>IF(VLOOKUP(BS507,'Données par municipalité'!$B$6:$F$1113,4,FALSE)="","",VLOOKUP(BS507,'Données par municipalité'!$B$6:$F$1113,4,FALSE))</f>
        <v>350</v>
      </c>
      <c r="CW507" s="476" t="s">
        <v>4723</v>
      </c>
      <c r="CX507" s="483">
        <v>0.1</v>
      </c>
      <c r="CY507" s="483">
        <v>0</v>
      </c>
      <c r="CZ507" s="483">
        <v>0</v>
      </c>
      <c r="DA507" s="483">
        <v>0</v>
      </c>
      <c r="DB507" s="483">
        <v>0</v>
      </c>
      <c r="DC507" s="483">
        <v>0</v>
      </c>
      <c r="DD507" s="483">
        <v>0</v>
      </c>
      <c r="DE507" s="483">
        <f>IFERROR(SUM(VLOOKUP($BS507,'État &amp; Plan d''action'!$B$6:$Z$1113,18,FALSE),VLOOKUP($BS507,'État &amp; Plan d''action'!$B$6:$Z$1113,20,FALSE))/(VLOOKUP($BS507,'Données par municipalité'!$B$4:$L$1113,11,FALSE)),"")</f>
        <v>0</v>
      </c>
      <c r="DF507" s="483">
        <f>IFERROR(SUM(VLOOKUP($BS507,'État &amp; Plan d''action'!$B$6:$Z$1113,19,FALSE),VLOOKUP($BS507,'État &amp; Plan d''action'!$B$6:$Z$1113,21,FALSE))/(VLOOKUP($BS507,'Données par municipalité'!$B$4:$L$1113,11,FALSE)),"")</f>
        <v>0</v>
      </c>
      <c r="DG507" s="476" t="s">
        <v>4723</v>
      </c>
      <c r="DH507" s="484">
        <v>4</v>
      </c>
      <c r="DI507" s="484" t="s">
        <v>1124</v>
      </c>
      <c r="DJ507" s="484">
        <v>0</v>
      </c>
      <c r="DK507" s="484">
        <v>5</v>
      </c>
      <c r="DL507" s="484">
        <v>10</v>
      </c>
      <c r="DM507" s="484">
        <v>5</v>
      </c>
      <c r="DN507" s="484">
        <v>1</v>
      </c>
      <c r="DO507" s="484">
        <v>2</v>
      </c>
      <c r="DP507" s="484">
        <v>0</v>
      </c>
      <c r="DQ507" s="484">
        <f>IF(VLOOKUP($BS507,'État &amp; Plan d''action'!$B$6:$AJ$1113,28,FALSE)="","",VLOOKUP($BS507,'État &amp; Plan d''action'!$B$6:$AJ$1113,28,FALSE))</f>
        <v>0</v>
      </c>
      <c r="DR507" s="70">
        <f>IF(VLOOKUP($BS507,'État &amp; Plan d''action'!$B$6:$AJ$1113,29,FALSE)="","",VLOOKUP($BS507,'État &amp; Plan d''action'!$B$6:$AJ$1113,29,FALSE))</f>
        <v>2</v>
      </c>
      <c r="DS507" s="70">
        <f>IF(VLOOKUP($BS507,'État &amp; Plan d''action'!$B$6:$AJ$1113,30,FALSE)="","",VLOOKUP($BS507,'État &amp; Plan d''action'!$B$6:$AJ$1113,30,FALSE))</f>
        <v>1</v>
      </c>
      <c r="DT507" s="70">
        <v>279</v>
      </c>
      <c r="DU507" s="485">
        <v>0.83080366206169809</v>
      </c>
      <c r="DV507" s="485">
        <v>1.4407770207230863</v>
      </c>
      <c r="DW507" s="70">
        <v>60</v>
      </c>
      <c r="DX507" s="70">
        <v>2</v>
      </c>
      <c r="DY507" s="70">
        <v>0</v>
      </c>
      <c r="DZ507" s="70">
        <f>VLOOKUP($BS507,'État &amp; Plan d''action'!$B$6:$AH$1113,31,FALSE)</f>
        <v>0</v>
      </c>
      <c r="EA507" s="70">
        <f>VLOOKUP($BS507,'État &amp; Plan d''action'!$B$6:$AH$1113,32,FALSE)</f>
        <v>2</v>
      </c>
      <c r="EB507" s="70">
        <f>VLOOKUP($BS507,'État &amp; Plan d''action'!$B$6:$AH$1113,33,FALSE)</f>
        <v>6</v>
      </c>
      <c r="EC507" s="70">
        <v>0</v>
      </c>
      <c r="ED507" s="70">
        <v>0</v>
      </c>
      <c r="EE507" s="70">
        <v>0</v>
      </c>
      <c r="EF507" s="70">
        <v>0</v>
      </c>
      <c r="EG507" s="70">
        <v>0</v>
      </c>
      <c r="EH507" s="72">
        <v>46</v>
      </c>
      <c r="EI507" s="72">
        <v>1344</v>
      </c>
    </row>
    <row r="508" spans="71:139" x14ac:dyDescent="0.35">
      <c r="BS508" s="486">
        <v>87010</v>
      </c>
      <c r="BT508" s="479" t="s">
        <v>891</v>
      </c>
      <c r="BU508" s="479">
        <v>8</v>
      </c>
      <c r="BV508" s="476" t="s">
        <v>1188</v>
      </c>
      <c r="BW508" s="476" t="s">
        <v>1188</v>
      </c>
      <c r="BX508" s="476" t="s">
        <v>1188</v>
      </c>
      <c r="BY508" s="476" t="s">
        <v>1188</v>
      </c>
      <c r="BZ508" s="476" t="s">
        <v>1188</v>
      </c>
      <c r="CA508" s="476" t="s">
        <v>1188</v>
      </c>
      <c r="CB508" s="476" t="s">
        <v>1188</v>
      </c>
      <c r="CC508" s="476" t="s">
        <v>1188</v>
      </c>
      <c r="CD508" s="476" t="s">
        <v>1188</v>
      </c>
      <c r="CE508" s="476" t="s">
        <v>1187</v>
      </c>
      <c r="CF508" s="476" t="s">
        <v>1187</v>
      </c>
      <c r="CG508" s="476" t="s">
        <v>1187</v>
      </c>
      <c r="CH508" s="476" t="s">
        <v>1187</v>
      </c>
      <c r="CI508" s="476" t="s">
        <v>1187</v>
      </c>
      <c r="CJ508" s="476" t="s">
        <v>1187</v>
      </c>
      <c r="CK508" s="476" t="s">
        <v>1187</v>
      </c>
      <c r="CL508" s="476" t="s">
        <v>1187</v>
      </c>
      <c r="CM508" s="476" t="str">
        <f>IF(VLOOKUP(BS508,'Données par municipalité'!$B$6:$E$1113,4,FALSE)="","non","oui")</f>
        <v>non</v>
      </c>
      <c r="CN508" s="410" t="s">
        <v>1124</v>
      </c>
      <c r="CO508" s="410" t="s">
        <v>1124</v>
      </c>
      <c r="CP508" s="410"/>
      <c r="CQ508" s="410"/>
      <c r="CR508" s="410"/>
      <c r="CS508" s="410" t="s">
        <v>1124</v>
      </c>
      <c r="CT508" s="410"/>
      <c r="CU508" s="410" t="s">
        <v>1124</v>
      </c>
      <c r="CV508" s="410" t="str">
        <f>IF(VLOOKUP(BS508,'Données par municipalité'!$B$6:$F$1113,4,FALSE)="","",VLOOKUP(BS508,'Données par municipalité'!$B$6:$F$1113,4,FALSE))</f>
        <v/>
      </c>
      <c r="CW508" s="476" t="s">
        <v>4723</v>
      </c>
      <c r="CX508" s="483" t="s">
        <v>1124</v>
      </c>
      <c r="CY508" s="483" t="s">
        <v>1124</v>
      </c>
      <c r="CZ508" s="483" t="s">
        <v>1124</v>
      </c>
      <c r="DA508" s="483" t="s">
        <v>1124</v>
      </c>
      <c r="DB508" s="483" t="s">
        <v>1124</v>
      </c>
      <c r="DC508" s="483" t="s">
        <v>1124</v>
      </c>
      <c r="DD508" s="483" t="s">
        <v>1124</v>
      </c>
      <c r="DE508" s="483" t="str">
        <f>IFERROR(SUM(VLOOKUP($BS508,'État &amp; Plan d''action'!$B$6:$Z$1113,18,FALSE),VLOOKUP($BS508,'État &amp; Plan d''action'!$B$6:$Z$1113,20,FALSE))/(VLOOKUP($BS508,'Données par municipalité'!$B$4:$L$1113,11,FALSE)),"")</f>
        <v/>
      </c>
      <c r="DF508" s="483" t="str">
        <f>IFERROR(SUM(VLOOKUP($BS508,'État &amp; Plan d''action'!$B$6:$Z$1113,19,FALSE),VLOOKUP($BS508,'État &amp; Plan d''action'!$B$6:$Z$1113,21,FALSE))/(VLOOKUP($BS508,'Données par municipalité'!$B$4:$L$1113,11,FALSE)),"")</f>
        <v/>
      </c>
      <c r="DG508" s="476" t="s">
        <v>4723</v>
      </c>
      <c r="DH508" s="484">
        <v>0</v>
      </c>
      <c r="DI508" s="484">
        <v>1</v>
      </c>
      <c r="DJ508" s="484">
        <v>0</v>
      </c>
      <c r="DK508" s="484">
        <v>0</v>
      </c>
      <c r="DL508" s="484" t="s">
        <v>1124</v>
      </c>
      <c r="DM508" s="484" t="s">
        <v>1124</v>
      </c>
      <c r="DN508" s="484" t="s">
        <v>1124</v>
      </c>
      <c r="DO508" s="484" t="s">
        <v>1124</v>
      </c>
      <c r="DP508" s="484" t="s">
        <v>1124</v>
      </c>
      <c r="DQ508" s="484" t="str">
        <f>IF(VLOOKUP($BS508,'État &amp; Plan d''action'!$B$6:$AJ$1113,28,FALSE)="","",VLOOKUP($BS508,'État &amp; Plan d''action'!$B$6:$AJ$1113,28,FALSE))</f>
        <v/>
      </c>
      <c r="DR508" s="70" t="str">
        <f>IF(VLOOKUP($BS508,'État &amp; Plan d''action'!$B$6:$AJ$1113,29,FALSE)="","",VLOOKUP($BS508,'État &amp; Plan d''action'!$B$6:$AJ$1113,29,FALSE))</f>
        <v/>
      </c>
      <c r="DS508" s="70" t="str">
        <f>IF(VLOOKUP($BS508,'État &amp; Plan d''action'!$B$6:$AJ$1113,30,FALSE)="","",VLOOKUP($BS508,'État &amp; Plan d''action'!$B$6:$AJ$1113,30,FALSE))</f>
        <v/>
      </c>
      <c r="DT508" s="70" t="s">
        <v>1124</v>
      </c>
      <c r="DU508" s="485" t="s">
        <v>1124</v>
      </c>
      <c r="DV508" s="485" t="s">
        <v>1124</v>
      </c>
      <c r="DW508" s="70" t="s">
        <v>1124</v>
      </c>
      <c r="DX508" s="70" t="s">
        <v>1124</v>
      </c>
      <c r="DY508" s="70" t="s">
        <v>1124</v>
      </c>
      <c r="DZ508" s="70" t="str">
        <f>VLOOKUP($BS508,'État &amp; Plan d''action'!$B$6:$AH$1113,31,FALSE)</f>
        <v/>
      </c>
      <c r="EA508" s="70" t="str">
        <f>VLOOKUP($BS508,'État &amp; Plan d''action'!$B$6:$AH$1113,32,FALSE)</f>
        <v/>
      </c>
      <c r="EB508" s="70" t="str">
        <f>VLOOKUP($BS508,'État &amp; Plan d''action'!$B$6:$AH$1113,33,FALSE)</f>
        <v/>
      </c>
      <c r="EC508" s="70" t="s">
        <v>1124</v>
      </c>
      <c r="ED508" s="70" t="s">
        <v>1124</v>
      </c>
      <c r="EE508" s="70" t="s">
        <v>1124</v>
      </c>
      <c r="EF508" s="70" t="s">
        <v>1124</v>
      </c>
      <c r="EG508" s="70" t="s">
        <v>1124</v>
      </c>
      <c r="EH508" s="72"/>
      <c r="EI508" s="72">
        <v>342</v>
      </c>
    </row>
    <row r="509" spans="71:139" x14ac:dyDescent="0.35">
      <c r="BS509" s="486">
        <v>84100</v>
      </c>
      <c r="BT509" s="479" t="s">
        <v>869</v>
      </c>
      <c r="BU509" s="479">
        <v>7</v>
      </c>
      <c r="BV509" s="476" t="s">
        <v>1188</v>
      </c>
      <c r="BW509" s="476" t="s">
        <v>1188</v>
      </c>
      <c r="BX509" s="476" t="s">
        <v>1188</v>
      </c>
      <c r="BY509" s="476" t="s">
        <v>1188</v>
      </c>
      <c r="BZ509" s="476" t="s">
        <v>1188</v>
      </c>
      <c r="CA509" s="476" t="s">
        <v>1188</v>
      </c>
      <c r="CB509" s="476" t="s">
        <v>1188</v>
      </c>
      <c r="CC509" s="476" t="s">
        <v>1188</v>
      </c>
      <c r="CD509" s="476" t="s">
        <v>1188</v>
      </c>
      <c r="CE509" s="476" t="s">
        <v>1188</v>
      </c>
      <c r="CF509" s="476" t="s">
        <v>1188</v>
      </c>
      <c r="CG509" s="476" t="s">
        <v>1188</v>
      </c>
      <c r="CH509" s="476" t="s">
        <v>1188</v>
      </c>
      <c r="CI509" s="476" t="s">
        <v>1188</v>
      </c>
      <c r="CJ509" s="476" t="s">
        <v>1187</v>
      </c>
      <c r="CK509" s="476" t="s">
        <v>1187</v>
      </c>
      <c r="CL509" s="476" t="s">
        <v>1187</v>
      </c>
      <c r="CM509" s="476" t="str">
        <f>IF(VLOOKUP(BS509,'Données par municipalité'!$B$6:$E$1113,4,FALSE)="","non","oui")</f>
        <v>non</v>
      </c>
      <c r="CN509" s="410">
        <v>836.14667040965003</v>
      </c>
      <c r="CO509" s="410">
        <v>845.32724795363288</v>
      </c>
      <c r="CP509" s="410">
        <v>829.8491125946465</v>
      </c>
      <c r="CQ509" s="410">
        <v>667.33580408738715</v>
      </c>
      <c r="CR509" s="410">
        <v>573.87982218217019</v>
      </c>
      <c r="CS509" s="410" t="s">
        <v>1124</v>
      </c>
      <c r="CT509" s="410"/>
      <c r="CU509" s="410" t="s">
        <v>1124</v>
      </c>
      <c r="CV509" s="410" t="str">
        <f>IF(VLOOKUP(BS509,'Données par municipalité'!$B$6:$F$1113,4,FALSE)="","",VLOOKUP(BS509,'Données par municipalité'!$B$6:$F$1113,4,FALSE))</f>
        <v/>
      </c>
      <c r="CW509" s="476" t="s">
        <v>4723</v>
      </c>
      <c r="CX509" s="483" t="s">
        <v>1124</v>
      </c>
      <c r="CY509" s="483">
        <v>0</v>
      </c>
      <c r="CZ509" s="483">
        <v>0</v>
      </c>
      <c r="DA509" s="483">
        <v>0</v>
      </c>
      <c r="DB509" s="483" t="s">
        <v>1124</v>
      </c>
      <c r="DC509" s="483" t="s">
        <v>1124</v>
      </c>
      <c r="DD509" s="483" t="s">
        <v>1124</v>
      </c>
      <c r="DE509" s="483" t="str">
        <f>IFERROR(SUM(VLOOKUP($BS509,'État &amp; Plan d''action'!$B$6:$Z$1113,18,FALSE),VLOOKUP($BS509,'État &amp; Plan d''action'!$B$6:$Z$1113,20,FALSE))/(VLOOKUP($BS509,'Données par municipalité'!$B$4:$L$1113,11,FALSE)),"")</f>
        <v/>
      </c>
      <c r="DF509" s="483" t="str">
        <f>IFERROR(SUM(VLOOKUP($BS509,'État &amp; Plan d''action'!$B$6:$Z$1113,19,FALSE),VLOOKUP($BS509,'État &amp; Plan d''action'!$B$6:$Z$1113,21,FALSE))/(VLOOKUP($BS509,'Données par municipalité'!$B$4:$L$1113,11,FALSE)),"")</f>
        <v/>
      </c>
      <c r="DG509" s="476" t="s">
        <v>4723</v>
      </c>
      <c r="DH509" s="484" t="s">
        <v>1124</v>
      </c>
      <c r="DI509" s="484" t="s">
        <v>1124</v>
      </c>
      <c r="DJ509" s="484">
        <v>0</v>
      </c>
      <c r="DK509" s="484">
        <v>0</v>
      </c>
      <c r="DL509" s="484" t="s">
        <v>1124</v>
      </c>
      <c r="DM509" s="484" t="s">
        <v>1124</v>
      </c>
      <c r="DN509" s="484" t="s">
        <v>1124</v>
      </c>
      <c r="DO509" s="484" t="s">
        <v>1124</v>
      </c>
      <c r="DP509" s="484" t="s">
        <v>1124</v>
      </c>
      <c r="DQ509" s="484" t="str">
        <f>IF(VLOOKUP($BS509,'État &amp; Plan d''action'!$B$6:$AJ$1113,28,FALSE)="","",VLOOKUP($BS509,'État &amp; Plan d''action'!$B$6:$AJ$1113,28,FALSE))</f>
        <v/>
      </c>
      <c r="DR509" s="70" t="str">
        <f>IF(VLOOKUP($BS509,'État &amp; Plan d''action'!$B$6:$AJ$1113,29,FALSE)="","",VLOOKUP($BS509,'État &amp; Plan d''action'!$B$6:$AJ$1113,29,FALSE))</f>
        <v/>
      </c>
      <c r="DS509" s="70" t="str">
        <f>IF(VLOOKUP($BS509,'État &amp; Plan d''action'!$B$6:$AJ$1113,30,FALSE)="","",VLOOKUP($BS509,'État &amp; Plan d''action'!$B$6:$AJ$1113,30,FALSE))</f>
        <v/>
      </c>
      <c r="DT509" s="70" t="s">
        <v>1124</v>
      </c>
      <c r="DU509" s="485" t="s">
        <v>1124</v>
      </c>
      <c r="DV509" s="485" t="s">
        <v>1124</v>
      </c>
      <c r="DW509" s="70" t="s">
        <v>1124</v>
      </c>
      <c r="DX509" s="70" t="s">
        <v>1124</v>
      </c>
      <c r="DY509" s="70" t="s">
        <v>1124</v>
      </c>
      <c r="DZ509" s="70" t="str">
        <f>VLOOKUP($BS509,'État &amp; Plan d''action'!$B$6:$AH$1113,31,FALSE)</f>
        <v/>
      </c>
      <c r="EA509" s="70" t="str">
        <f>VLOOKUP($BS509,'État &amp; Plan d''action'!$B$6:$AH$1113,32,FALSE)</f>
        <v/>
      </c>
      <c r="EB509" s="70" t="str">
        <f>VLOOKUP($BS509,'État &amp; Plan d''action'!$B$6:$AH$1113,33,FALSE)</f>
        <v/>
      </c>
      <c r="EC509" s="70" t="s">
        <v>1124</v>
      </c>
      <c r="ED509" s="70" t="s">
        <v>1124</v>
      </c>
      <c r="EE509" s="70" t="s">
        <v>1124</v>
      </c>
      <c r="EF509" s="70" t="s">
        <v>1124</v>
      </c>
      <c r="EG509" s="70" t="s">
        <v>1124</v>
      </c>
      <c r="EH509" s="72"/>
      <c r="EI509" s="72">
        <v>151</v>
      </c>
    </row>
    <row r="510" spans="71:139" x14ac:dyDescent="0.35">
      <c r="BS510" s="486">
        <v>62037</v>
      </c>
      <c r="BT510" s="479" t="s">
        <v>624</v>
      </c>
      <c r="BU510" s="479">
        <v>14</v>
      </c>
      <c r="BV510" s="476" t="s">
        <v>1187</v>
      </c>
      <c r="BW510" s="476" t="s">
        <v>1187</v>
      </c>
      <c r="BX510" s="476" t="s">
        <v>1187</v>
      </c>
      <c r="BY510" s="476" t="s">
        <v>1187</v>
      </c>
      <c r="BZ510" s="476" t="s">
        <v>1187</v>
      </c>
      <c r="CA510" s="476" t="s">
        <v>1187</v>
      </c>
      <c r="CB510" s="476" t="s">
        <v>1187</v>
      </c>
      <c r="CC510" s="476" t="s">
        <v>1187</v>
      </c>
      <c r="CD510" s="476" t="s">
        <v>1187</v>
      </c>
      <c r="CE510" s="476" t="s">
        <v>1188</v>
      </c>
      <c r="CF510" s="476" t="s">
        <v>1188</v>
      </c>
      <c r="CG510" s="476" t="s">
        <v>1188</v>
      </c>
      <c r="CH510" s="476" t="s">
        <v>1187</v>
      </c>
      <c r="CI510" s="476" t="s">
        <v>1188</v>
      </c>
      <c r="CJ510" s="476" t="s">
        <v>1188</v>
      </c>
      <c r="CK510" s="476" t="s">
        <v>1188</v>
      </c>
      <c r="CL510" s="476" t="s">
        <v>1188</v>
      </c>
      <c r="CM510" s="476" t="str">
        <f>IF(VLOOKUP(BS510,'Données par municipalité'!$B$6:$E$1113,4,FALSE)="","non","oui")</f>
        <v>oui</v>
      </c>
      <c r="CN510" s="410">
        <v>565.27338719119552</v>
      </c>
      <c r="CO510" s="410">
        <v>490.47798026428916</v>
      </c>
      <c r="CP510" s="410">
        <v>445.57946561026006</v>
      </c>
      <c r="CQ510" s="410"/>
      <c r="CR510" s="410">
        <v>445.53285619795588</v>
      </c>
      <c r="CS510" s="410">
        <v>472.73962522865912</v>
      </c>
      <c r="CT510" s="410">
        <v>469.48596923493233</v>
      </c>
      <c r="CU510" s="410">
        <v>439</v>
      </c>
      <c r="CV510" s="410">
        <f>IF(VLOOKUP(BS510,'Données par municipalité'!$B$6:$F$1113,4,FALSE)="","",VLOOKUP(BS510,'Données par municipalité'!$B$6:$F$1113,4,FALSE))</f>
        <v>429</v>
      </c>
      <c r="CW510" s="476" t="s">
        <v>4723</v>
      </c>
      <c r="CX510" s="483">
        <v>0.3</v>
      </c>
      <c r="CY510" s="483">
        <v>0.45</v>
      </c>
      <c r="CZ510" s="483" t="s">
        <v>1124</v>
      </c>
      <c r="DA510" s="483">
        <v>0.45</v>
      </c>
      <c r="DB510" s="483">
        <v>0.48</v>
      </c>
      <c r="DC510" s="483">
        <v>0.48</v>
      </c>
      <c r="DD510" s="483">
        <v>0.9520279572169863</v>
      </c>
      <c r="DE510" s="483">
        <f>IFERROR(SUM(VLOOKUP($BS510,'État &amp; Plan d''action'!$B$6:$Z$1113,18,FALSE),VLOOKUP($BS510,'État &amp; Plan d''action'!$B$6:$Z$1113,20,FALSE))/(VLOOKUP($BS510,'Données par municipalité'!$B$4:$L$1113,11,FALSE)),"")</f>
        <v>1.9356743646525363</v>
      </c>
      <c r="DF510" s="483">
        <f>IFERROR(SUM(VLOOKUP($BS510,'État &amp; Plan d''action'!$B$6:$Z$1113,19,FALSE),VLOOKUP($BS510,'État &amp; Plan d''action'!$B$6:$Z$1113,21,FALSE))/(VLOOKUP($BS510,'Données par municipalité'!$B$4:$L$1113,11,FALSE)),"")</f>
        <v>1.9356743646525363</v>
      </c>
      <c r="DG510" s="476" t="s">
        <v>4723</v>
      </c>
      <c r="DH510" s="484">
        <v>9</v>
      </c>
      <c r="DI510" s="484">
        <v>9</v>
      </c>
      <c r="DJ510" s="484">
        <v>0</v>
      </c>
      <c r="DK510" s="484">
        <v>9</v>
      </c>
      <c r="DL510" s="484">
        <v>6</v>
      </c>
      <c r="DM510" s="484">
        <v>8</v>
      </c>
      <c r="DN510" s="484">
        <v>3</v>
      </c>
      <c r="DO510" s="484">
        <v>1</v>
      </c>
      <c r="DP510" s="484">
        <v>0</v>
      </c>
      <c r="DQ510" s="484">
        <f>IF(VLOOKUP($BS510,'État &amp; Plan d''action'!$B$6:$AJ$1113,28,FALSE)="","",VLOOKUP($BS510,'État &amp; Plan d''action'!$B$6:$AJ$1113,28,FALSE))</f>
        <v>6</v>
      </c>
      <c r="DR510" s="70">
        <f>IF(VLOOKUP($BS510,'État &amp; Plan d''action'!$B$6:$AJ$1113,29,FALSE)="","",VLOOKUP($BS510,'État &amp; Plan d''action'!$B$6:$AJ$1113,29,FALSE))</f>
        <v>1</v>
      </c>
      <c r="DS510" s="70">
        <f>IF(VLOOKUP($BS510,'État &amp; Plan d''action'!$B$6:$AJ$1113,30,FALSE)="","",VLOOKUP($BS510,'État &amp; Plan d''action'!$B$6:$AJ$1113,30,FALSE))</f>
        <v>4</v>
      </c>
      <c r="DT510" s="70">
        <v>348</v>
      </c>
      <c r="DU510" s="485">
        <v>2.0532174050220093</v>
      </c>
      <c r="DV510" s="485">
        <v>2.2851101096322242</v>
      </c>
      <c r="DW510" s="70">
        <v>1</v>
      </c>
      <c r="DX510" s="70">
        <v>2</v>
      </c>
      <c r="DY510" s="70">
        <v>0</v>
      </c>
      <c r="DZ510" s="70">
        <f>VLOOKUP($BS510,'État &amp; Plan d''action'!$B$6:$AH$1113,31,FALSE)</f>
        <v>1</v>
      </c>
      <c r="EA510" s="70">
        <f>VLOOKUP($BS510,'État &amp; Plan d''action'!$B$6:$AH$1113,32,FALSE)</f>
        <v>1</v>
      </c>
      <c r="EB510" s="70">
        <f>VLOOKUP($BS510,'État &amp; Plan d''action'!$B$6:$AH$1113,33,FALSE)</f>
        <v>7</v>
      </c>
      <c r="EC510" s="70">
        <v>0</v>
      </c>
      <c r="ED510" s="70">
        <v>0</v>
      </c>
      <c r="EE510" s="70">
        <v>89.9</v>
      </c>
      <c r="EF510" s="70">
        <v>0</v>
      </c>
      <c r="EG510" s="70">
        <v>0</v>
      </c>
      <c r="EH510" s="72">
        <v>58.905405405405403</v>
      </c>
      <c r="EI510" s="72">
        <v>11414</v>
      </c>
    </row>
    <row r="511" spans="71:139" x14ac:dyDescent="0.35">
      <c r="BS511" s="486">
        <v>85105</v>
      </c>
      <c r="BT511" s="479" t="s">
        <v>888</v>
      </c>
      <c r="BU511" s="479">
        <v>8</v>
      </c>
      <c r="BV511" s="476" t="s">
        <v>1188</v>
      </c>
      <c r="BW511" s="476" t="s">
        <v>1188</v>
      </c>
      <c r="BX511" s="476" t="s">
        <v>1188</v>
      </c>
      <c r="BY511" s="476" t="s">
        <v>1188</v>
      </c>
      <c r="BZ511" s="476" t="s">
        <v>1188</v>
      </c>
      <c r="CA511" s="476" t="s">
        <v>1188</v>
      </c>
      <c r="CB511" s="476" t="s">
        <v>1188</v>
      </c>
      <c r="CC511" s="476" t="s">
        <v>1188</v>
      </c>
      <c r="CD511" s="476" t="s">
        <v>1188</v>
      </c>
      <c r="CE511" s="476" t="s">
        <v>1187</v>
      </c>
      <c r="CF511" s="476" t="s">
        <v>1187</v>
      </c>
      <c r="CG511" s="476" t="s">
        <v>1187</v>
      </c>
      <c r="CH511" s="476" t="s">
        <v>1187</v>
      </c>
      <c r="CI511" s="476" t="s">
        <v>1187</v>
      </c>
      <c r="CJ511" s="476" t="s">
        <v>1187</v>
      </c>
      <c r="CK511" s="476" t="s">
        <v>1187</v>
      </c>
      <c r="CL511" s="476" t="s">
        <v>1187</v>
      </c>
      <c r="CM511" s="476" t="str">
        <f>IF(VLOOKUP(BS511,'Données par municipalité'!$B$6:$E$1113,4,FALSE)="","non","oui")</f>
        <v>non</v>
      </c>
      <c r="CN511" s="410" t="s">
        <v>1124</v>
      </c>
      <c r="CO511" s="410" t="s">
        <v>1124</v>
      </c>
      <c r="CP511" s="410"/>
      <c r="CQ511" s="410"/>
      <c r="CR511" s="410"/>
      <c r="CS511" s="410" t="s">
        <v>1124</v>
      </c>
      <c r="CT511" s="410"/>
      <c r="CU511" s="410" t="s">
        <v>1124</v>
      </c>
      <c r="CV511" s="410" t="str">
        <f>IF(VLOOKUP(BS511,'Données par municipalité'!$B$6:$F$1113,4,FALSE)="","",VLOOKUP(BS511,'Données par municipalité'!$B$6:$F$1113,4,FALSE))</f>
        <v/>
      </c>
      <c r="CW511" s="476" t="s">
        <v>4723</v>
      </c>
      <c r="CX511" s="483" t="s">
        <v>1124</v>
      </c>
      <c r="CY511" s="483" t="s">
        <v>1124</v>
      </c>
      <c r="CZ511" s="483" t="s">
        <v>1124</v>
      </c>
      <c r="DA511" s="483" t="s">
        <v>1124</v>
      </c>
      <c r="DB511" s="483" t="s">
        <v>1124</v>
      </c>
      <c r="DC511" s="483" t="s">
        <v>1124</v>
      </c>
      <c r="DD511" s="483" t="s">
        <v>1124</v>
      </c>
      <c r="DE511" s="483" t="str">
        <f>IFERROR(SUM(VLOOKUP($BS511,'État &amp; Plan d''action'!$B$6:$Z$1113,18,FALSE),VLOOKUP($BS511,'État &amp; Plan d''action'!$B$6:$Z$1113,20,FALSE))/(VLOOKUP($BS511,'Données par municipalité'!$B$4:$L$1113,11,FALSE)),"")</f>
        <v/>
      </c>
      <c r="DF511" s="483" t="str">
        <f>IFERROR(SUM(VLOOKUP($BS511,'État &amp; Plan d''action'!$B$6:$Z$1113,19,FALSE),VLOOKUP($BS511,'État &amp; Plan d''action'!$B$6:$Z$1113,21,FALSE))/(VLOOKUP($BS511,'Données par municipalité'!$B$4:$L$1113,11,FALSE)),"")</f>
        <v/>
      </c>
      <c r="DG511" s="476" t="s">
        <v>4723</v>
      </c>
      <c r="DH511" s="484">
        <v>1</v>
      </c>
      <c r="DI511" s="484">
        <v>1</v>
      </c>
      <c r="DJ511" s="484">
        <v>0</v>
      </c>
      <c r="DK511" s="484">
        <v>0</v>
      </c>
      <c r="DL511" s="484" t="s">
        <v>1124</v>
      </c>
      <c r="DM511" s="484" t="s">
        <v>1124</v>
      </c>
      <c r="DN511" s="484" t="s">
        <v>1124</v>
      </c>
      <c r="DO511" s="484" t="s">
        <v>1124</v>
      </c>
      <c r="DP511" s="484" t="s">
        <v>1124</v>
      </c>
      <c r="DQ511" s="484" t="str">
        <f>IF(VLOOKUP($BS511,'État &amp; Plan d''action'!$B$6:$AJ$1113,28,FALSE)="","",VLOOKUP($BS511,'État &amp; Plan d''action'!$B$6:$AJ$1113,28,FALSE))</f>
        <v/>
      </c>
      <c r="DR511" s="70" t="str">
        <f>IF(VLOOKUP($BS511,'État &amp; Plan d''action'!$B$6:$AJ$1113,29,FALSE)="","",VLOOKUP($BS511,'État &amp; Plan d''action'!$B$6:$AJ$1113,29,FALSE))</f>
        <v/>
      </c>
      <c r="DS511" s="70" t="str">
        <f>IF(VLOOKUP($BS511,'État &amp; Plan d''action'!$B$6:$AJ$1113,30,FALSE)="","",VLOOKUP($BS511,'État &amp; Plan d''action'!$B$6:$AJ$1113,30,FALSE))</f>
        <v/>
      </c>
      <c r="DT511" s="70" t="s">
        <v>1124</v>
      </c>
      <c r="DU511" s="485" t="s">
        <v>1124</v>
      </c>
      <c r="DV511" s="485" t="s">
        <v>1124</v>
      </c>
      <c r="DW511" s="70" t="s">
        <v>1124</v>
      </c>
      <c r="DX511" s="70" t="s">
        <v>1124</v>
      </c>
      <c r="DY511" s="70" t="s">
        <v>1124</v>
      </c>
      <c r="DZ511" s="70" t="str">
        <f>VLOOKUP($BS511,'État &amp; Plan d''action'!$B$6:$AH$1113,31,FALSE)</f>
        <v/>
      </c>
      <c r="EA511" s="70" t="str">
        <f>VLOOKUP($BS511,'État &amp; Plan d''action'!$B$6:$AH$1113,32,FALSE)</f>
        <v/>
      </c>
      <c r="EB511" s="70" t="str">
        <f>VLOOKUP($BS511,'État &amp; Plan d''action'!$B$6:$AH$1113,33,FALSE)</f>
        <v/>
      </c>
      <c r="EC511" s="70" t="s">
        <v>1124</v>
      </c>
      <c r="ED511" s="70" t="s">
        <v>1124</v>
      </c>
      <c r="EE511" s="70" t="s">
        <v>1124</v>
      </c>
      <c r="EF511" s="70" t="s">
        <v>1124</v>
      </c>
      <c r="EG511" s="70" t="s">
        <v>1124</v>
      </c>
      <c r="EH511" s="72"/>
      <c r="EI511" s="72">
        <v>269</v>
      </c>
    </row>
    <row r="512" spans="71:139" x14ac:dyDescent="0.35">
      <c r="BS512" s="486">
        <v>60013</v>
      </c>
      <c r="BT512" s="479" t="s">
        <v>606</v>
      </c>
      <c r="BU512" s="479">
        <v>14</v>
      </c>
      <c r="BV512" s="476" t="s">
        <v>1187</v>
      </c>
      <c r="BW512" s="476" t="s">
        <v>1187</v>
      </c>
      <c r="BX512" s="476" t="s">
        <v>1187</v>
      </c>
      <c r="BY512" s="476" t="s">
        <v>1187</v>
      </c>
      <c r="BZ512" s="476" t="s">
        <v>1187</v>
      </c>
      <c r="CA512" s="476" t="s">
        <v>1187</v>
      </c>
      <c r="CB512" s="476" t="s">
        <v>1187</v>
      </c>
      <c r="CC512" s="476" t="s">
        <v>1187</v>
      </c>
      <c r="CD512" s="476" t="s">
        <v>1187</v>
      </c>
      <c r="CE512" s="476" t="s">
        <v>1188</v>
      </c>
      <c r="CF512" s="476" t="s">
        <v>1188</v>
      </c>
      <c r="CG512" s="476" t="s">
        <v>1188</v>
      </c>
      <c r="CH512" s="476" t="s">
        <v>1188</v>
      </c>
      <c r="CI512" s="476" t="s">
        <v>1188</v>
      </c>
      <c r="CJ512" s="476" t="s">
        <v>1188</v>
      </c>
      <c r="CK512" s="476" t="s">
        <v>1188</v>
      </c>
      <c r="CL512" s="476" t="s">
        <v>1188</v>
      </c>
      <c r="CM512" s="476" t="str">
        <f>IF(VLOOKUP(BS512,'Données par municipalité'!$B$6:$E$1113,4,FALSE)="","non","oui")</f>
        <v>oui</v>
      </c>
      <c r="CN512" s="410">
        <v>352.54665320985833</v>
      </c>
      <c r="CO512" s="410">
        <v>358.63424939281805</v>
      </c>
      <c r="CP512" s="410">
        <v>359.43692779126292</v>
      </c>
      <c r="CQ512" s="410">
        <v>342.75992491424739</v>
      </c>
      <c r="CR512" s="410">
        <v>312.37093962105348</v>
      </c>
      <c r="CS512" s="410">
        <v>323.80681848787151</v>
      </c>
      <c r="CT512" s="410">
        <v>293.46401740107154</v>
      </c>
      <c r="CU512" s="410">
        <v>322</v>
      </c>
      <c r="CV512" s="410">
        <f>IF(VLOOKUP(BS512,'Données par municipalité'!$B$6:$F$1113,4,FALSE)="","",VLOOKUP(BS512,'Données par municipalité'!$B$6:$F$1113,4,FALSE))</f>
        <v>294</v>
      </c>
      <c r="CW512" s="476" t="s">
        <v>4723</v>
      </c>
      <c r="CX512" s="483">
        <v>0</v>
      </c>
      <c r="CY512" s="483">
        <v>0</v>
      </c>
      <c r="CZ512" s="483">
        <v>0</v>
      </c>
      <c r="DA512" s="483">
        <v>0</v>
      </c>
      <c r="DB512" s="483">
        <v>0</v>
      </c>
      <c r="DC512" s="483">
        <v>0</v>
      </c>
      <c r="DD512" s="483">
        <v>0</v>
      </c>
      <c r="DE512" s="483">
        <f>IFERROR(SUM(VLOOKUP($BS512,'État &amp; Plan d''action'!$B$6:$Z$1113,18,FALSE),VLOOKUP($BS512,'État &amp; Plan d''action'!$B$6:$Z$1113,20,FALSE))/(VLOOKUP($BS512,'Données par municipalité'!$B$4:$L$1113,11,FALSE)),"")</f>
        <v>0</v>
      </c>
      <c r="DF512" s="483">
        <f>IFERROR(SUM(VLOOKUP($BS512,'État &amp; Plan d''action'!$B$6:$Z$1113,19,FALSE),VLOOKUP($BS512,'État &amp; Plan d''action'!$B$6:$Z$1113,21,FALSE))/(VLOOKUP($BS512,'Données par municipalité'!$B$4:$L$1113,11,FALSE)),"")</f>
        <v>0</v>
      </c>
      <c r="DG512" s="476" t="s">
        <v>4723</v>
      </c>
      <c r="DH512" s="484">
        <v>103</v>
      </c>
      <c r="DI512" s="484">
        <v>128</v>
      </c>
      <c r="DJ512" s="484">
        <v>140</v>
      </c>
      <c r="DK512" s="484">
        <v>121</v>
      </c>
      <c r="DL512" s="484">
        <v>102</v>
      </c>
      <c r="DM512" s="484">
        <v>93</v>
      </c>
      <c r="DN512" s="484">
        <v>82</v>
      </c>
      <c r="DO512" s="484">
        <v>0</v>
      </c>
      <c r="DP512" s="484">
        <v>0</v>
      </c>
      <c r="DQ512" s="484">
        <f>IF(VLOOKUP($BS512,'État &amp; Plan d''action'!$B$6:$AJ$1113,28,FALSE)="","",VLOOKUP($BS512,'État &amp; Plan d''action'!$B$6:$AJ$1113,28,FALSE))</f>
        <v>98</v>
      </c>
      <c r="DR512" s="70">
        <f>IF(VLOOKUP($BS512,'État &amp; Plan d''action'!$B$6:$AJ$1113,29,FALSE)="","",VLOOKUP($BS512,'État &amp; Plan d''action'!$B$6:$AJ$1113,29,FALSE))</f>
        <v>0</v>
      </c>
      <c r="DS512" s="70">
        <f>IF(VLOOKUP($BS512,'État &amp; Plan d''action'!$B$6:$AJ$1113,30,FALSE)="","",VLOOKUP($BS512,'État &amp; Plan d''action'!$B$6:$AJ$1113,30,FALSE))</f>
        <v>0</v>
      </c>
      <c r="DT512" s="70">
        <v>212</v>
      </c>
      <c r="DU512" s="485">
        <v>1.1205588215080529</v>
      </c>
      <c r="DV512" s="485">
        <v>0.5483352035895197</v>
      </c>
      <c r="DW512" s="70">
        <v>2</v>
      </c>
      <c r="DX512" s="70">
        <v>0</v>
      </c>
      <c r="DY512" s="70">
        <v>0</v>
      </c>
      <c r="DZ512" s="70">
        <f>VLOOKUP($BS512,'État &amp; Plan d''action'!$B$6:$AH$1113,31,FALSE)</f>
        <v>1</v>
      </c>
      <c r="EA512" s="70">
        <f>VLOOKUP($BS512,'État &amp; Plan d''action'!$B$6:$AH$1113,32,FALSE)</f>
        <v>0</v>
      </c>
      <c r="EB512" s="70">
        <f>VLOOKUP($BS512,'État &amp; Plan d''action'!$B$6:$AH$1113,33,FALSE)</f>
        <v>0</v>
      </c>
      <c r="EC512" s="70">
        <v>0</v>
      </c>
      <c r="ED512" s="70">
        <v>0</v>
      </c>
      <c r="EE512" s="70">
        <v>0</v>
      </c>
      <c r="EF512" s="70">
        <v>0</v>
      </c>
      <c r="EG512" s="70">
        <v>0</v>
      </c>
      <c r="EH512" s="72">
        <v>66</v>
      </c>
      <c r="EI512" s="72">
        <v>85334</v>
      </c>
    </row>
    <row r="513" spans="71:139" x14ac:dyDescent="0.35">
      <c r="BS513" s="486">
        <v>55057</v>
      </c>
      <c r="BT513" s="479" t="s">
        <v>565</v>
      </c>
      <c r="BU513" s="479">
        <v>16</v>
      </c>
      <c r="BV513" s="476" t="s">
        <v>1187</v>
      </c>
      <c r="BW513" s="476" t="s">
        <v>1187</v>
      </c>
      <c r="BX513" s="476" t="s">
        <v>1187</v>
      </c>
      <c r="BY513" s="476" t="s">
        <v>1187</v>
      </c>
      <c r="BZ513" s="476" t="s">
        <v>1187</v>
      </c>
      <c r="CA513" s="476" t="s">
        <v>1187</v>
      </c>
      <c r="CB513" s="476" t="s">
        <v>1187</v>
      </c>
      <c r="CC513" s="476" t="s">
        <v>1187</v>
      </c>
      <c r="CD513" s="476" t="s">
        <v>1187</v>
      </c>
      <c r="CE513" s="476" t="s">
        <v>1188</v>
      </c>
      <c r="CF513" s="476" t="s">
        <v>1188</v>
      </c>
      <c r="CG513" s="476" t="s">
        <v>1187</v>
      </c>
      <c r="CH513" s="476" t="s">
        <v>1188</v>
      </c>
      <c r="CI513" s="476" t="s">
        <v>1187</v>
      </c>
      <c r="CJ513" s="476" t="s">
        <v>1187</v>
      </c>
      <c r="CK513" s="476" t="s">
        <v>1187</v>
      </c>
      <c r="CL513" s="476" t="s">
        <v>1187</v>
      </c>
      <c r="CM513" s="476" t="str">
        <f>IF(VLOOKUP(BS513,'Données par municipalité'!$B$6:$E$1113,4,FALSE)="","non","oui")</f>
        <v>non</v>
      </c>
      <c r="CN513" s="410">
        <v>341.01036084511924</v>
      </c>
      <c r="CO513" s="410">
        <v>355.82896983791176</v>
      </c>
      <c r="CP513" s="410"/>
      <c r="CQ513" s="410">
        <v>365.52787304410214</v>
      </c>
      <c r="CR513" s="410"/>
      <c r="CS513" s="410" t="s">
        <v>1124</v>
      </c>
      <c r="CT513" s="410"/>
      <c r="CU513" s="410" t="s">
        <v>1124</v>
      </c>
      <c r="CV513" s="410" t="str">
        <f>IF(VLOOKUP(BS513,'Données par municipalité'!$B$6:$F$1113,4,FALSE)="","",VLOOKUP(BS513,'Données par municipalité'!$B$6:$F$1113,4,FALSE))</f>
        <v/>
      </c>
      <c r="CW513" s="476" t="s">
        <v>4723</v>
      </c>
      <c r="CX513" s="483">
        <v>0</v>
      </c>
      <c r="CY513" s="483" t="s">
        <v>1124</v>
      </c>
      <c r="CZ513" s="483">
        <v>0.15</v>
      </c>
      <c r="DA513" s="483" t="s">
        <v>1124</v>
      </c>
      <c r="DB513" s="483" t="s">
        <v>1124</v>
      </c>
      <c r="DC513" s="483" t="s">
        <v>1124</v>
      </c>
      <c r="DD513" s="483" t="s">
        <v>1124</v>
      </c>
      <c r="DE513" s="483" t="str">
        <f>IFERROR(SUM(VLOOKUP($BS513,'État &amp; Plan d''action'!$B$6:$Z$1113,18,FALSE),VLOOKUP($BS513,'État &amp; Plan d''action'!$B$6:$Z$1113,20,FALSE))/(VLOOKUP($BS513,'Données par municipalité'!$B$4:$L$1113,11,FALSE)),"")</f>
        <v/>
      </c>
      <c r="DF513" s="483" t="str">
        <f>IFERROR(SUM(VLOOKUP($BS513,'État &amp; Plan d''action'!$B$6:$Z$1113,19,FALSE),VLOOKUP($BS513,'État &amp; Plan d''action'!$B$6:$Z$1113,21,FALSE))/(VLOOKUP($BS513,'Données par municipalité'!$B$4:$L$1113,11,FALSE)),"")</f>
        <v/>
      </c>
      <c r="DG513" s="476" t="s">
        <v>4723</v>
      </c>
      <c r="DH513" s="484">
        <v>2</v>
      </c>
      <c r="DI513" s="484" t="s">
        <v>1124</v>
      </c>
      <c r="DJ513" s="484">
        <v>4</v>
      </c>
      <c r="DK513" s="484">
        <v>0</v>
      </c>
      <c r="DL513" s="484" t="s">
        <v>1124</v>
      </c>
      <c r="DM513" s="484" t="s">
        <v>1124</v>
      </c>
      <c r="DN513" s="484" t="s">
        <v>1124</v>
      </c>
      <c r="DO513" s="484" t="s">
        <v>1124</v>
      </c>
      <c r="DP513" s="484" t="s">
        <v>1124</v>
      </c>
      <c r="DQ513" s="484" t="str">
        <f>IF(VLOOKUP($BS513,'État &amp; Plan d''action'!$B$6:$AJ$1113,28,FALSE)="","",VLOOKUP($BS513,'État &amp; Plan d''action'!$B$6:$AJ$1113,28,FALSE))</f>
        <v/>
      </c>
      <c r="DR513" s="70" t="str">
        <f>IF(VLOOKUP($BS513,'État &amp; Plan d''action'!$B$6:$AJ$1113,29,FALSE)="","",VLOOKUP($BS513,'État &amp; Plan d''action'!$B$6:$AJ$1113,29,FALSE))</f>
        <v/>
      </c>
      <c r="DS513" s="70" t="str">
        <f>IF(VLOOKUP($BS513,'État &amp; Plan d''action'!$B$6:$AJ$1113,30,FALSE)="","",VLOOKUP($BS513,'État &amp; Plan d''action'!$B$6:$AJ$1113,30,FALSE))</f>
        <v/>
      </c>
      <c r="DT513" s="70" t="s">
        <v>1124</v>
      </c>
      <c r="DU513" s="485" t="s">
        <v>1124</v>
      </c>
      <c r="DV513" s="485" t="s">
        <v>1124</v>
      </c>
      <c r="DW513" s="70" t="s">
        <v>1124</v>
      </c>
      <c r="DX513" s="70" t="s">
        <v>1124</v>
      </c>
      <c r="DY513" s="70" t="s">
        <v>1124</v>
      </c>
      <c r="DZ513" s="70" t="str">
        <f>VLOOKUP($BS513,'État &amp; Plan d''action'!$B$6:$AH$1113,31,FALSE)</f>
        <v/>
      </c>
      <c r="EA513" s="70" t="str">
        <f>VLOOKUP($BS513,'État &amp; Plan d''action'!$B$6:$AH$1113,32,FALSE)</f>
        <v/>
      </c>
      <c r="EB513" s="70" t="str">
        <f>VLOOKUP($BS513,'État &amp; Plan d''action'!$B$6:$AH$1113,33,FALSE)</f>
        <v/>
      </c>
      <c r="EC513" s="70" t="s">
        <v>1124</v>
      </c>
      <c r="ED513" s="70" t="s">
        <v>1124</v>
      </c>
      <c r="EE513" s="70" t="s">
        <v>1124</v>
      </c>
      <c r="EF513" s="70" t="s">
        <v>1124</v>
      </c>
      <c r="EG513" s="70" t="s">
        <v>1124</v>
      </c>
      <c r="EH513" s="72"/>
      <c r="EI513" s="72">
        <v>5473</v>
      </c>
    </row>
    <row r="514" spans="71:139" x14ac:dyDescent="0.35">
      <c r="BS514" s="486">
        <v>42098</v>
      </c>
      <c r="BT514" s="479" t="s">
        <v>394</v>
      </c>
      <c r="BU514" s="479">
        <v>5</v>
      </c>
      <c r="BV514" s="476" t="s">
        <v>1187</v>
      </c>
      <c r="BW514" s="476" t="s">
        <v>1187</v>
      </c>
      <c r="BX514" s="476" t="s">
        <v>1187</v>
      </c>
      <c r="BY514" s="476" t="s">
        <v>1187</v>
      </c>
      <c r="BZ514" s="476" t="s">
        <v>1187</v>
      </c>
      <c r="CA514" s="476" t="s">
        <v>1187</v>
      </c>
      <c r="CB514" s="476" t="s">
        <v>1187</v>
      </c>
      <c r="CC514" s="476" t="s">
        <v>1187</v>
      </c>
      <c r="CD514" s="476" t="s">
        <v>1187</v>
      </c>
      <c r="CE514" s="476" t="s">
        <v>1188</v>
      </c>
      <c r="CF514" s="476" t="s">
        <v>1188</v>
      </c>
      <c r="CG514" s="476" t="s">
        <v>1188</v>
      </c>
      <c r="CH514" s="476" t="s">
        <v>1188</v>
      </c>
      <c r="CI514" s="476" t="s">
        <v>1188</v>
      </c>
      <c r="CJ514" s="476" t="s">
        <v>1188</v>
      </c>
      <c r="CK514" s="476" t="s">
        <v>1188</v>
      </c>
      <c r="CL514" s="476" t="s">
        <v>1188</v>
      </c>
      <c r="CM514" s="476" t="str">
        <f>IF(VLOOKUP(BS514,'Données par municipalité'!$B$6:$E$1113,4,FALSE)="","non","oui")</f>
        <v>oui</v>
      </c>
      <c r="CN514" s="410">
        <v>553.86791817790561</v>
      </c>
      <c r="CO514" s="410">
        <v>577.40225216788406</v>
      </c>
      <c r="CP514" s="410">
        <v>524.06868655279266</v>
      </c>
      <c r="CQ514" s="410">
        <v>609.71376250822539</v>
      </c>
      <c r="CR514" s="410">
        <v>501</v>
      </c>
      <c r="CS514" s="410">
        <v>461.63825110991263</v>
      </c>
      <c r="CT514" s="410">
        <v>442.62933069026764</v>
      </c>
      <c r="CU514" s="410">
        <v>486</v>
      </c>
      <c r="CV514" s="410">
        <f>IF(VLOOKUP(BS514,'Données par municipalité'!$B$6:$F$1113,4,FALSE)="","",VLOOKUP(BS514,'Données par municipalité'!$B$6:$F$1113,4,FALSE))</f>
        <v>563</v>
      </c>
      <c r="CW514" s="476" t="s">
        <v>4723</v>
      </c>
      <c r="CX514" s="483">
        <v>0</v>
      </c>
      <c r="CY514" s="483">
        <v>0.01</v>
      </c>
      <c r="CZ514" s="483">
        <v>1</v>
      </c>
      <c r="DA514" s="483">
        <v>1</v>
      </c>
      <c r="DB514" s="483">
        <v>1</v>
      </c>
      <c r="DC514" s="483">
        <v>1</v>
      </c>
      <c r="DD514" s="483">
        <v>1</v>
      </c>
      <c r="DE514" s="483">
        <f>IFERROR(SUM(VLOOKUP($BS514,'État &amp; Plan d''action'!$B$6:$Z$1113,18,FALSE),VLOOKUP($BS514,'État &amp; Plan d''action'!$B$6:$Z$1113,20,FALSE))/(VLOOKUP($BS514,'Données par municipalité'!$B$4:$L$1113,11,FALSE)),"")</f>
        <v>1</v>
      </c>
      <c r="DF514" s="483">
        <f>IFERROR(SUM(VLOOKUP($BS514,'État &amp; Plan d''action'!$B$6:$Z$1113,19,FALSE),VLOOKUP($BS514,'État &amp; Plan d''action'!$B$6:$Z$1113,21,FALSE))/(VLOOKUP($BS514,'Données par municipalité'!$B$4:$L$1113,11,FALSE)),"")</f>
        <v>1</v>
      </c>
      <c r="DG514" s="476" t="s">
        <v>4723</v>
      </c>
      <c r="DH514" s="484">
        <v>10</v>
      </c>
      <c r="DI514" s="484">
        <v>13</v>
      </c>
      <c r="DJ514" s="484">
        <v>16</v>
      </c>
      <c r="DK514" s="484">
        <v>16</v>
      </c>
      <c r="DL514" s="484">
        <v>15</v>
      </c>
      <c r="DM514" s="484">
        <v>11</v>
      </c>
      <c r="DN514" s="484">
        <v>7</v>
      </c>
      <c r="DO514" s="484">
        <v>0</v>
      </c>
      <c r="DP514" s="484">
        <v>0</v>
      </c>
      <c r="DQ514" s="484">
        <f>IF(VLOOKUP($BS514,'État &amp; Plan d''action'!$B$6:$AJ$1113,28,FALSE)="","",VLOOKUP($BS514,'État &amp; Plan d''action'!$B$6:$AJ$1113,28,FALSE))</f>
        <v>10</v>
      </c>
      <c r="DR514" s="70">
        <f>IF(VLOOKUP($BS514,'État &amp; Plan d''action'!$B$6:$AJ$1113,29,FALSE)="","",VLOOKUP($BS514,'État &amp; Plan d''action'!$B$6:$AJ$1113,29,FALSE))</f>
        <v>0</v>
      </c>
      <c r="DS514" s="70">
        <f>IF(VLOOKUP($BS514,'État &amp; Plan d''action'!$B$6:$AJ$1113,30,FALSE)="","",VLOOKUP($BS514,'État &amp; Plan d''action'!$B$6:$AJ$1113,30,FALSE))</f>
        <v>0</v>
      </c>
      <c r="DT514" s="70">
        <v>357</v>
      </c>
      <c r="DU514" s="485">
        <v>0.91724347925543004</v>
      </c>
      <c r="DV514" s="485">
        <v>2.5185691537214279</v>
      </c>
      <c r="DW514" s="70">
        <v>1</v>
      </c>
      <c r="DX514" s="70">
        <v>0</v>
      </c>
      <c r="DY514" s="70">
        <v>0</v>
      </c>
      <c r="DZ514" s="70">
        <f>VLOOKUP($BS514,'État &amp; Plan d''action'!$B$6:$AH$1113,31,FALSE)</f>
        <v>2</v>
      </c>
      <c r="EA514" s="70">
        <f>VLOOKUP($BS514,'État &amp; Plan d''action'!$B$6:$AH$1113,32,FALSE)</f>
        <v>0</v>
      </c>
      <c r="EB514" s="70">
        <f>VLOOKUP($BS514,'État &amp; Plan d''action'!$B$6:$AH$1113,33,FALSE)</f>
        <v>0</v>
      </c>
      <c r="EC514" s="70">
        <v>0</v>
      </c>
      <c r="ED514" s="70">
        <v>34.898000000000003</v>
      </c>
      <c r="EE514" s="70">
        <v>0</v>
      </c>
      <c r="EF514" s="70">
        <v>0</v>
      </c>
      <c r="EG514" s="70">
        <v>0</v>
      </c>
      <c r="EH514" s="72">
        <v>61</v>
      </c>
      <c r="EI514" s="72">
        <v>3262</v>
      </c>
    </row>
    <row r="515" spans="71:139" x14ac:dyDescent="0.35">
      <c r="BS515" s="486">
        <v>71133</v>
      </c>
      <c r="BT515" s="479" t="s">
        <v>725</v>
      </c>
      <c r="BU515" s="479">
        <v>16</v>
      </c>
      <c r="BV515" s="476" t="s">
        <v>1187</v>
      </c>
      <c r="BW515" s="476" t="s">
        <v>1187</v>
      </c>
      <c r="BX515" s="476" t="s">
        <v>1187</v>
      </c>
      <c r="BY515" s="476" t="s">
        <v>1187</v>
      </c>
      <c r="BZ515" s="476" t="s">
        <v>1187</v>
      </c>
      <c r="CA515" s="476" t="s">
        <v>1187</v>
      </c>
      <c r="CB515" s="476" t="s">
        <v>1187</v>
      </c>
      <c r="CC515" s="476" t="s">
        <v>1187</v>
      </c>
      <c r="CD515" s="476" t="s">
        <v>1187</v>
      </c>
      <c r="CE515" s="476" t="s">
        <v>1187</v>
      </c>
      <c r="CF515" s="476" t="s">
        <v>1187</v>
      </c>
      <c r="CG515" s="476" t="s">
        <v>1187</v>
      </c>
      <c r="CH515" s="476" t="s">
        <v>1187</v>
      </c>
      <c r="CI515" s="476" t="s">
        <v>1187</v>
      </c>
      <c r="CJ515" s="476" t="s">
        <v>1187</v>
      </c>
      <c r="CK515" s="476" t="s">
        <v>1188</v>
      </c>
      <c r="CL515" s="476" t="s">
        <v>1187</v>
      </c>
      <c r="CM515" s="476" t="str">
        <f>IF(VLOOKUP(BS515,'Données par municipalité'!$B$6:$E$1113,4,FALSE)="","non","oui")</f>
        <v>non</v>
      </c>
      <c r="CN515" s="410" t="s">
        <v>1124</v>
      </c>
      <c r="CO515" s="410" t="s">
        <v>1124</v>
      </c>
      <c r="CP515" s="410"/>
      <c r="CQ515" s="410"/>
      <c r="CR515" s="410"/>
      <c r="CS515" s="410" t="s">
        <v>1124</v>
      </c>
      <c r="CT515" s="410">
        <v>473.22902680517694</v>
      </c>
      <c r="CU515" s="410" t="s">
        <v>1124</v>
      </c>
      <c r="CV515" s="410" t="str">
        <f>IF(VLOOKUP(BS515,'Données par municipalité'!$B$6:$F$1113,4,FALSE)="","",VLOOKUP(BS515,'Données par municipalité'!$B$6:$F$1113,4,FALSE))</f>
        <v/>
      </c>
      <c r="CW515" s="476" t="s">
        <v>4723</v>
      </c>
      <c r="CX515" s="483" t="s">
        <v>1124</v>
      </c>
      <c r="CY515" s="483" t="s">
        <v>1124</v>
      </c>
      <c r="CZ515" s="483" t="s">
        <v>1124</v>
      </c>
      <c r="DA515" s="483" t="s">
        <v>1124</v>
      </c>
      <c r="DB515" s="483" t="s">
        <v>1124</v>
      </c>
      <c r="DC515" s="483">
        <v>0</v>
      </c>
      <c r="DD515" s="483" t="s">
        <v>1124</v>
      </c>
      <c r="DE515" s="483" t="str">
        <f>IFERROR(SUM(VLOOKUP($BS515,'État &amp; Plan d''action'!$B$6:$Z$1113,18,FALSE),VLOOKUP($BS515,'État &amp; Plan d''action'!$B$6:$Z$1113,20,FALSE))/(VLOOKUP($BS515,'Données par municipalité'!$B$4:$L$1113,11,FALSE)),"")</f>
        <v/>
      </c>
      <c r="DF515" s="483" t="str">
        <f>IFERROR(SUM(VLOOKUP($BS515,'État &amp; Plan d''action'!$B$6:$Z$1113,19,FALSE),VLOOKUP($BS515,'État &amp; Plan d''action'!$B$6:$Z$1113,21,FALSE))/(VLOOKUP($BS515,'Données par municipalité'!$B$4:$L$1113,11,FALSE)),"")</f>
        <v/>
      </c>
      <c r="DG515" s="476" t="s">
        <v>4723</v>
      </c>
      <c r="DH515" s="484">
        <v>8</v>
      </c>
      <c r="DI515" s="484">
        <v>6</v>
      </c>
      <c r="DJ515" s="484">
        <v>10</v>
      </c>
      <c r="DK515" s="484">
        <v>12</v>
      </c>
      <c r="DL515" s="484" t="s">
        <v>1124</v>
      </c>
      <c r="DM515" s="484">
        <v>5</v>
      </c>
      <c r="DN515" s="484" t="s">
        <v>1124</v>
      </c>
      <c r="DO515" s="484" t="s">
        <v>1124</v>
      </c>
      <c r="DP515" s="484" t="s">
        <v>1124</v>
      </c>
      <c r="DQ515" s="484" t="str">
        <f>IF(VLOOKUP($BS515,'État &amp; Plan d''action'!$B$6:$AJ$1113,28,FALSE)="","",VLOOKUP($BS515,'État &amp; Plan d''action'!$B$6:$AJ$1113,28,FALSE))</f>
        <v/>
      </c>
      <c r="DR515" s="70" t="str">
        <f>IF(VLOOKUP($BS515,'État &amp; Plan d''action'!$B$6:$AJ$1113,29,FALSE)="","",VLOOKUP($BS515,'État &amp; Plan d''action'!$B$6:$AJ$1113,29,FALSE))</f>
        <v/>
      </c>
      <c r="DS515" s="70" t="str">
        <f>IF(VLOOKUP($BS515,'État &amp; Plan d''action'!$B$6:$AJ$1113,30,FALSE)="","",VLOOKUP($BS515,'État &amp; Plan d''action'!$B$6:$AJ$1113,30,FALSE))</f>
        <v/>
      </c>
      <c r="DT515" s="70" t="s">
        <v>1124</v>
      </c>
      <c r="DU515" s="485" t="s">
        <v>1124</v>
      </c>
      <c r="DV515" s="485" t="s">
        <v>1124</v>
      </c>
      <c r="DW515" s="70" t="s">
        <v>1124</v>
      </c>
      <c r="DX515" s="70" t="s">
        <v>1124</v>
      </c>
      <c r="DY515" s="70" t="s">
        <v>1124</v>
      </c>
      <c r="DZ515" s="70" t="str">
        <f>VLOOKUP($BS515,'État &amp; Plan d''action'!$B$6:$AH$1113,31,FALSE)</f>
        <v/>
      </c>
      <c r="EA515" s="70" t="str">
        <f>VLOOKUP($BS515,'État &amp; Plan d''action'!$B$6:$AH$1113,32,FALSE)</f>
        <v/>
      </c>
      <c r="EB515" s="70" t="str">
        <f>VLOOKUP($BS515,'État &amp; Plan d''action'!$B$6:$AH$1113,33,FALSE)</f>
        <v/>
      </c>
      <c r="EC515" s="70" t="s">
        <v>1124</v>
      </c>
      <c r="ED515" s="70" t="s">
        <v>1124</v>
      </c>
      <c r="EE515" s="70" t="s">
        <v>1124</v>
      </c>
      <c r="EF515" s="70" t="s">
        <v>1124</v>
      </c>
      <c r="EG515" s="70" t="s">
        <v>1124</v>
      </c>
      <c r="EH515" s="72"/>
      <c r="EI515" s="72">
        <v>7918</v>
      </c>
    </row>
    <row r="516" spans="71:139" x14ac:dyDescent="0.35">
      <c r="BS516" s="486">
        <v>10043</v>
      </c>
      <c r="BT516" s="479" t="s">
        <v>13</v>
      </c>
      <c r="BU516" s="479">
        <v>1</v>
      </c>
      <c r="BV516" s="476" t="s">
        <v>1187</v>
      </c>
      <c r="BW516" s="476" t="s">
        <v>1187</v>
      </c>
      <c r="BX516" s="476" t="s">
        <v>1187</v>
      </c>
      <c r="BY516" s="476" t="s">
        <v>1187</v>
      </c>
      <c r="BZ516" s="476" t="s">
        <v>1187</v>
      </c>
      <c r="CA516" s="476" t="s">
        <v>1187</v>
      </c>
      <c r="CB516" s="476" t="s">
        <v>1187</v>
      </c>
      <c r="CC516" s="476" t="s">
        <v>1187</v>
      </c>
      <c r="CD516" s="476" t="s">
        <v>1187</v>
      </c>
      <c r="CE516" s="476" t="s">
        <v>1188</v>
      </c>
      <c r="CF516" s="476" t="s">
        <v>1188</v>
      </c>
      <c r="CG516" s="476" t="s">
        <v>1188</v>
      </c>
      <c r="CH516" s="476" t="s">
        <v>1188</v>
      </c>
      <c r="CI516" s="476" t="s">
        <v>1188</v>
      </c>
      <c r="CJ516" s="476" t="s">
        <v>1188</v>
      </c>
      <c r="CK516" s="476" t="s">
        <v>1188</v>
      </c>
      <c r="CL516" s="476" t="s">
        <v>1188</v>
      </c>
      <c r="CM516" s="476" t="str">
        <f>IF(VLOOKUP(BS516,'Données par municipalité'!$B$6:$E$1113,4,FALSE)="","non","oui")</f>
        <v>oui</v>
      </c>
      <c r="CN516" s="410">
        <v>434.64785293668723</v>
      </c>
      <c r="CO516" s="410">
        <v>458.7463347423739</v>
      </c>
      <c r="CP516" s="410">
        <v>517.33343998318855</v>
      </c>
      <c r="CQ516" s="410">
        <v>489.29884742427953</v>
      </c>
      <c r="CR516" s="410">
        <v>497.64069522903657</v>
      </c>
      <c r="CS516" s="410">
        <v>501.29045512430514</v>
      </c>
      <c r="CT516" s="410">
        <v>492.8557932216259</v>
      </c>
      <c r="CU516" s="410">
        <v>469</v>
      </c>
      <c r="CV516" s="410">
        <f>IF(VLOOKUP(BS516,'Données par municipalité'!$B$6:$F$1113,4,FALSE)="","",VLOOKUP(BS516,'Données par municipalité'!$B$6:$F$1113,4,FALSE))</f>
        <v>429</v>
      </c>
      <c r="CW516" s="476" t="s">
        <v>4723</v>
      </c>
      <c r="CX516" s="483">
        <v>0.02</v>
      </c>
      <c r="CY516" s="483">
        <v>0.02</v>
      </c>
      <c r="CZ516" s="483">
        <v>0.02</v>
      </c>
      <c r="DA516" s="483">
        <v>0.25</v>
      </c>
      <c r="DB516" s="483">
        <v>0.25</v>
      </c>
      <c r="DC516" s="483">
        <v>0.25</v>
      </c>
      <c r="DD516" s="483">
        <v>0.9849578820697954</v>
      </c>
      <c r="DE516" s="483">
        <f>IFERROR(SUM(VLOOKUP($BS516,'État &amp; Plan d''action'!$B$6:$Z$1113,18,FALSE),VLOOKUP($BS516,'État &amp; Plan d''action'!$B$6:$Z$1113,20,FALSE))/(VLOOKUP($BS516,'Données par municipalité'!$B$4:$L$1113,11,FALSE)),"")</f>
        <v>2.0000000000000004</v>
      </c>
      <c r="DF516" s="483">
        <f>IFERROR(SUM(VLOOKUP($BS516,'État &amp; Plan d''action'!$B$6:$Z$1113,19,FALSE),VLOOKUP($BS516,'État &amp; Plan d''action'!$B$6:$Z$1113,21,FALSE))/(VLOOKUP($BS516,'Données par municipalité'!$B$4:$L$1113,11,FALSE)),"")</f>
        <v>2.0000000000000004</v>
      </c>
      <c r="DG516" s="476" t="s">
        <v>4723</v>
      </c>
      <c r="DH516" s="484">
        <v>12</v>
      </c>
      <c r="DI516" s="484">
        <v>13</v>
      </c>
      <c r="DJ516" s="484">
        <v>32</v>
      </c>
      <c r="DK516" s="484">
        <v>20</v>
      </c>
      <c r="DL516" s="484">
        <v>22</v>
      </c>
      <c r="DM516" s="484">
        <v>29</v>
      </c>
      <c r="DN516" s="484">
        <v>28</v>
      </c>
      <c r="DO516" s="484">
        <v>46</v>
      </c>
      <c r="DP516" s="484">
        <v>11</v>
      </c>
      <c r="DQ516" s="484">
        <f>IF(VLOOKUP($BS516,'État &amp; Plan d''action'!$B$6:$AJ$1113,28,FALSE)="","",VLOOKUP($BS516,'État &amp; Plan d''action'!$B$6:$AJ$1113,28,FALSE))</f>
        <v>34</v>
      </c>
      <c r="DR516" s="70">
        <f>IF(VLOOKUP($BS516,'État &amp; Plan d''action'!$B$6:$AJ$1113,29,FALSE)="","",VLOOKUP($BS516,'État &amp; Plan d''action'!$B$6:$AJ$1113,29,FALSE))</f>
        <v>56</v>
      </c>
      <c r="DS516" s="70">
        <f>IF(VLOOKUP($BS516,'État &amp; Plan d''action'!$B$6:$AJ$1113,30,FALSE)="","",VLOOKUP($BS516,'État &amp; Plan d''action'!$B$6:$AJ$1113,30,FALSE))</f>
        <v>10</v>
      </c>
      <c r="DT516" s="70">
        <v>360</v>
      </c>
      <c r="DU516" s="485">
        <v>1.0382194862856637</v>
      </c>
      <c r="DV516" s="485">
        <v>6.0735209271077348</v>
      </c>
      <c r="DW516" s="70">
        <v>5</v>
      </c>
      <c r="DX516" s="70">
        <v>5</v>
      </c>
      <c r="DY516" s="70">
        <v>5</v>
      </c>
      <c r="DZ516" s="70">
        <f>VLOOKUP($BS516,'État &amp; Plan d''action'!$B$6:$AH$1113,31,FALSE)</f>
        <v>5</v>
      </c>
      <c r="EA516" s="70">
        <f>VLOOKUP($BS516,'État &amp; Plan d''action'!$B$6:$AH$1113,32,FALSE)</f>
        <v>5</v>
      </c>
      <c r="EB516" s="70">
        <f>VLOOKUP($BS516,'État &amp; Plan d''action'!$B$6:$AH$1113,33,FALSE)</f>
        <v>5</v>
      </c>
      <c r="EC516" s="70">
        <v>0</v>
      </c>
      <c r="ED516" s="70">
        <v>327.39999999999998</v>
      </c>
      <c r="EE516" s="70">
        <v>0</v>
      </c>
      <c r="EF516" s="70">
        <v>0</v>
      </c>
      <c r="EG516" s="70">
        <v>0</v>
      </c>
      <c r="EH516" s="72">
        <v>49.25</v>
      </c>
      <c r="EI516" s="72">
        <v>49383</v>
      </c>
    </row>
    <row r="517" spans="71:139" x14ac:dyDescent="0.35">
      <c r="BS517" s="486">
        <v>80078</v>
      </c>
      <c r="BT517" s="479" t="s">
        <v>815</v>
      </c>
      <c r="BU517" s="479">
        <v>7</v>
      </c>
      <c r="BV517" s="476" t="s">
        <v>1187</v>
      </c>
      <c r="BW517" s="476" t="s">
        <v>1187</v>
      </c>
      <c r="BX517" s="476" t="s">
        <v>1187</v>
      </c>
      <c r="BY517" s="476" t="s">
        <v>1187</v>
      </c>
      <c r="BZ517" s="476" t="s">
        <v>1187</v>
      </c>
      <c r="CA517" s="476" t="s">
        <v>1187</v>
      </c>
      <c r="CB517" s="476" t="s">
        <v>1187</v>
      </c>
      <c r="CC517" s="476" t="s">
        <v>1187</v>
      </c>
      <c r="CD517" s="476" t="s">
        <v>1187</v>
      </c>
      <c r="CE517" s="476" t="s">
        <v>1187</v>
      </c>
      <c r="CF517" s="476" t="s">
        <v>1187</v>
      </c>
      <c r="CG517" s="476" t="s">
        <v>1187</v>
      </c>
      <c r="CH517" s="476" t="s">
        <v>1187</v>
      </c>
      <c r="CI517" s="476" t="s">
        <v>1187</v>
      </c>
      <c r="CJ517" s="476" t="s">
        <v>1188</v>
      </c>
      <c r="CK517" s="476" t="s">
        <v>1187</v>
      </c>
      <c r="CL517" s="476" t="s">
        <v>1187</v>
      </c>
      <c r="CM517" s="476" t="str">
        <f>IF(VLOOKUP(BS517,'Données par municipalité'!$B$6:$E$1113,4,FALSE)="","non","oui")</f>
        <v>non</v>
      </c>
      <c r="CN517" s="410" t="s">
        <v>1124</v>
      </c>
      <c r="CO517" s="410" t="s">
        <v>1124</v>
      </c>
      <c r="CP517" s="410"/>
      <c r="CQ517" s="410"/>
      <c r="CR517" s="410"/>
      <c r="CS517" s="410">
        <v>291.60545310520956</v>
      </c>
      <c r="CT517" s="410"/>
      <c r="CU517" s="410" t="s">
        <v>1124</v>
      </c>
      <c r="CV517" s="410" t="str">
        <f>IF(VLOOKUP(BS517,'Données par municipalité'!$B$6:$F$1113,4,FALSE)="","",VLOOKUP(BS517,'Données par municipalité'!$B$6:$F$1113,4,FALSE))</f>
        <v/>
      </c>
      <c r="CW517" s="476" t="s">
        <v>4723</v>
      </c>
      <c r="CX517" s="483" t="s">
        <v>1124</v>
      </c>
      <c r="CY517" s="483" t="s">
        <v>1124</v>
      </c>
      <c r="CZ517" s="483" t="s">
        <v>1124</v>
      </c>
      <c r="DA517" s="483" t="s">
        <v>1124</v>
      </c>
      <c r="DB517" s="483">
        <v>0</v>
      </c>
      <c r="DC517" s="483" t="s">
        <v>1124</v>
      </c>
      <c r="DD517" s="483" t="s">
        <v>1124</v>
      </c>
      <c r="DE517" s="483" t="str">
        <f>IFERROR(SUM(VLOOKUP($BS517,'État &amp; Plan d''action'!$B$6:$Z$1113,18,FALSE),VLOOKUP($BS517,'État &amp; Plan d''action'!$B$6:$Z$1113,20,FALSE))/(VLOOKUP($BS517,'Données par municipalité'!$B$4:$L$1113,11,FALSE)),"")</f>
        <v/>
      </c>
      <c r="DF517" s="483" t="str">
        <f>IFERROR(SUM(VLOOKUP($BS517,'État &amp; Plan d''action'!$B$6:$Z$1113,19,FALSE),VLOOKUP($BS517,'État &amp; Plan d''action'!$B$6:$Z$1113,21,FALSE))/(VLOOKUP($BS517,'Données par municipalité'!$B$4:$L$1113,11,FALSE)),"")</f>
        <v/>
      </c>
      <c r="DG517" s="476" t="s">
        <v>4723</v>
      </c>
      <c r="DH517" s="484">
        <v>1</v>
      </c>
      <c r="DI517" s="484">
        <v>1</v>
      </c>
      <c r="DJ517" s="484">
        <v>2</v>
      </c>
      <c r="DK517" s="484">
        <v>5</v>
      </c>
      <c r="DL517" s="484">
        <v>0</v>
      </c>
      <c r="DM517" s="484" t="s">
        <v>1124</v>
      </c>
      <c r="DN517" s="484" t="s">
        <v>1124</v>
      </c>
      <c r="DO517" s="484" t="s">
        <v>1124</v>
      </c>
      <c r="DP517" s="484" t="s">
        <v>1124</v>
      </c>
      <c r="DQ517" s="484" t="str">
        <f>IF(VLOOKUP($BS517,'État &amp; Plan d''action'!$B$6:$AJ$1113,28,FALSE)="","",VLOOKUP($BS517,'État &amp; Plan d''action'!$B$6:$AJ$1113,28,FALSE))</f>
        <v/>
      </c>
      <c r="DR517" s="70" t="str">
        <f>IF(VLOOKUP($BS517,'État &amp; Plan d''action'!$B$6:$AJ$1113,29,FALSE)="","",VLOOKUP($BS517,'État &amp; Plan d''action'!$B$6:$AJ$1113,29,FALSE))</f>
        <v/>
      </c>
      <c r="DS517" s="70" t="str">
        <f>IF(VLOOKUP($BS517,'État &amp; Plan d''action'!$B$6:$AJ$1113,30,FALSE)="","",VLOOKUP($BS517,'État &amp; Plan d''action'!$B$6:$AJ$1113,30,FALSE))</f>
        <v/>
      </c>
      <c r="DT517" s="70" t="s">
        <v>1124</v>
      </c>
      <c r="DU517" s="485" t="s">
        <v>1124</v>
      </c>
      <c r="DV517" s="485" t="s">
        <v>1124</v>
      </c>
      <c r="DW517" s="70" t="s">
        <v>1124</v>
      </c>
      <c r="DX517" s="70" t="s">
        <v>1124</v>
      </c>
      <c r="DY517" s="70" t="s">
        <v>1124</v>
      </c>
      <c r="DZ517" s="70" t="str">
        <f>VLOOKUP($BS517,'État &amp; Plan d''action'!$B$6:$AH$1113,31,FALSE)</f>
        <v/>
      </c>
      <c r="EA517" s="70" t="str">
        <f>VLOOKUP($BS517,'État &amp; Plan d''action'!$B$6:$AH$1113,32,FALSE)</f>
        <v/>
      </c>
      <c r="EB517" s="70" t="str">
        <f>VLOOKUP($BS517,'État &amp; Plan d''action'!$B$6:$AH$1113,33,FALSE)</f>
        <v/>
      </c>
      <c r="EC517" s="70" t="s">
        <v>1124</v>
      </c>
      <c r="ED517" s="70" t="s">
        <v>1124</v>
      </c>
      <c r="EE517" s="70" t="s">
        <v>1124</v>
      </c>
      <c r="EF517" s="70" t="s">
        <v>1124</v>
      </c>
      <c r="EG517" s="70" t="s">
        <v>1124</v>
      </c>
      <c r="EH517" s="72"/>
      <c r="EI517" s="72">
        <v>1620</v>
      </c>
    </row>
    <row r="518" spans="71:139" x14ac:dyDescent="0.35">
      <c r="BS518" s="486">
        <v>6035</v>
      </c>
      <c r="BT518" s="479" t="s">
        <v>1062</v>
      </c>
      <c r="BU518" s="479">
        <v>11</v>
      </c>
      <c r="BV518" s="476" t="s">
        <v>1188</v>
      </c>
      <c r="BW518" s="476" t="s">
        <v>1188</v>
      </c>
      <c r="BX518" s="476" t="s">
        <v>1188</v>
      </c>
      <c r="BY518" s="476" t="s">
        <v>1188</v>
      </c>
      <c r="BZ518" s="476" t="s">
        <v>1188</v>
      </c>
      <c r="CA518" s="476" t="s">
        <v>1188</v>
      </c>
      <c r="CB518" s="476" t="s">
        <v>1188</v>
      </c>
      <c r="CC518" s="476" t="s">
        <v>1188</v>
      </c>
      <c r="CD518" s="476" t="s">
        <v>1188</v>
      </c>
      <c r="CE518" s="476" t="s">
        <v>1187</v>
      </c>
      <c r="CF518" s="476" t="s">
        <v>1187</v>
      </c>
      <c r="CG518" s="476" t="s">
        <v>1187</v>
      </c>
      <c r="CH518" s="476" t="s">
        <v>1187</v>
      </c>
      <c r="CI518" s="476" t="s">
        <v>1188</v>
      </c>
      <c r="CJ518" s="476" t="s">
        <v>1187</v>
      </c>
      <c r="CK518" s="476" t="s">
        <v>1187</v>
      </c>
      <c r="CL518" s="476" t="s">
        <v>1187</v>
      </c>
      <c r="CM518" s="476" t="str">
        <f>IF(VLOOKUP(BS518,'Données par municipalité'!$B$6:$E$1113,4,FALSE)="","non","oui")</f>
        <v>non</v>
      </c>
      <c r="CN518" s="410" t="s">
        <v>1124</v>
      </c>
      <c r="CO518" s="410" t="s">
        <v>1124</v>
      </c>
      <c r="CP518" s="410"/>
      <c r="CQ518" s="410"/>
      <c r="CR518" s="410">
        <v>509.88095862918732</v>
      </c>
      <c r="CS518" s="410" t="s">
        <v>1124</v>
      </c>
      <c r="CT518" s="410"/>
      <c r="CU518" s="410" t="s">
        <v>1124</v>
      </c>
      <c r="CV518" s="410" t="str">
        <f>IF(VLOOKUP(BS518,'Données par municipalité'!$B$6:$F$1113,4,FALSE)="","",VLOOKUP(BS518,'Données par municipalité'!$B$6:$F$1113,4,FALSE))</f>
        <v/>
      </c>
      <c r="CW518" s="476" t="s">
        <v>4723</v>
      </c>
      <c r="CX518" s="483" t="s">
        <v>1124</v>
      </c>
      <c r="CY518" s="483" t="s">
        <v>1124</v>
      </c>
      <c r="CZ518" s="483" t="s">
        <v>1124</v>
      </c>
      <c r="DA518" s="483">
        <v>0</v>
      </c>
      <c r="DB518" s="483" t="s">
        <v>1124</v>
      </c>
      <c r="DC518" s="483" t="s">
        <v>1124</v>
      </c>
      <c r="DD518" s="483" t="s">
        <v>1124</v>
      </c>
      <c r="DE518" s="483" t="str">
        <f>IFERROR(SUM(VLOOKUP($BS518,'État &amp; Plan d''action'!$B$6:$Z$1113,18,FALSE),VLOOKUP($BS518,'État &amp; Plan d''action'!$B$6:$Z$1113,20,FALSE))/(VLOOKUP($BS518,'Données par municipalité'!$B$4:$L$1113,11,FALSE)),"")</f>
        <v/>
      </c>
      <c r="DF518" s="483" t="str">
        <f>IFERROR(SUM(VLOOKUP($BS518,'État &amp; Plan d''action'!$B$6:$Z$1113,19,FALSE),VLOOKUP($BS518,'État &amp; Plan d''action'!$B$6:$Z$1113,21,FALSE))/(VLOOKUP($BS518,'Données par municipalité'!$B$4:$L$1113,11,FALSE)),"")</f>
        <v/>
      </c>
      <c r="DG518" s="476" t="s">
        <v>4723</v>
      </c>
      <c r="DH518" s="484" t="s">
        <v>1124</v>
      </c>
      <c r="DI518" s="484" t="s">
        <v>1124</v>
      </c>
      <c r="DJ518" s="484">
        <v>0</v>
      </c>
      <c r="DK518" s="484">
        <v>1</v>
      </c>
      <c r="DL518" s="484" t="s">
        <v>1124</v>
      </c>
      <c r="DM518" s="484" t="s">
        <v>1124</v>
      </c>
      <c r="DN518" s="484" t="s">
        <v>1124</v>
      </c>
      <c r="DO518" s="484" t="s">
        <v>1124</v>
      </c>
      <c r="DP518" s="484" t="s">
        <v>1124</v>
      </c>
      <c r="DQ518" s="484" t="str">
        <f>IF(VLOOKUP($BS518,'État &amp; Plan d''action'!$B$6:$AJ$1113,28,FALSE)="","",VLOOKUP($BS518,'État &amp; Plan d''action'!$B$6:$AJ$1113,28,FALSE))</f>
        <v/>
      </c>
      <c r="DR518" s="70" t="str">
        <f>IF(VLOOKUP($BS518,'État &amp; Plan d''action'!$B$6:$AJ$1113,29,FALSE)="","",VLOOKUP($BS518,'État &amp; Plan d''action'!$B$6:$AJ$1113,29,FALSE))</f>
        <v/>
      </c>
      <c r="DS518" s="70" t="str">
        <f>IF(VLOOKUP($BS518,'État &amp; Plan d''action'!$B$6:$AJ$1113,30,FALSE)="","",VLOOKUP($BS518,'État &amp; Plan d''action'!$B$6:$AJ$1113,30,FALSE))</f>
        <v/>
      </c>
      <c r="DT518" s="70" t="s">
        <v>1124</v>
      </c>
      <c r="DU518" s="485" t="s">
        <v>1124</v>
      </c>
      <c r="DV518" s="485" t="s">
        <v>1124</v>
      </c>
      <c r="DW518" s="70" t="s">
        <v>1124</v>
      </c>
      <c r="DX518" s="70" t="s">
        <v>1124</v>
      </c>
      <c r="DY518" s="70" t="s">
        <v>1124</v>
      </c>
      <c r="DZ518" s="70" t="str">
        <f>VLOOKUP($BS518,'État &amp; Plan d''action'!$B$6:$AH$1113,31,FALSE)</f>
        <v/>
      </c>
      <c r="EA518" s="70" t="str">
        <f>VLOOKUP($BS518,'État &amp; Plan d''action'!$B$6:$AH$1113,32,FALSE)</f>
        <v/>
      </c>
      <c r="EB518" s="70" t="str">
        <f>VLOOKUP($BS518,'État &amp; Plan d''action'!$B$6:$AH$1113,33,FALSE)</f>
        <v/>
      </c>
      <c r="EC518" s="70" t="s">
        <v>1124</v>
      </c>
      <c r="ED518" s="70" t="s">
        <v>1124</v>
      </c>
      <c r="EE518" s="70" t="s">
        <v>1124</v>
      </c>
      <c r="EF518" s="70" t="s">
        <v>1124</v>
      </c>
      <c r="EG518" s="70" t="s">
        <v>1124</v>
      </c>
      <c r="EH518" s="72"/>
      <c r="EI518" s="72">
        <v>169</v>
      </c>
    </row>
    <row r="519" spans="71:139" x14ac:dyDescent="0.35">
      <c r="BS519" s="486">
        <v>4020</v>
      </c>
      <c r="BT519" s="479" t="s">
        <v>1039</v>
      </c>
      <c r="BU519" s="479">
        <v>11</v>
      </c>
      <c r="BV519" s="476" t="s">
        <v>1188</v>
      </c>
      <c r="BW519" s="476" t="s">
        <v>1188</v>
      </c>
      <c r="BX519" s="476" t="s">
        <v>1188</v>
      </c>
      <c r="BY519" s="476" t="s">
        <v>1188</v>
      </c>
      <c r="BZ519" s="476" t="s">
        <v>1188</v>
      </c>
      <c r="CA519" s="476" t="s">
        <v>1188</v>
      </c>
      <c r="CB519" s="476" t="s">
        <v>1188</v>
      </c>
      <c r="CC519" s="476" t="s">
        <v>1188</v>
      </c>
      <c r="CD519" s="476" t="s">
        <v>1188</v>
      </c>
      <c r="CE519" s="476" t="s">
        <v>1188</v>
      </c>
      <c r="CF519" s="476" t="s">
        <v>1188</v>
      </c>
      <c r="CG519" s="476" t="s">
        <v>1187</v>
      </c>
      <c r="CH519" s="476" t="s">
        <v>1187</v>
      </c>
      <c r="CI519" s="476" t="s">
        <v>1187</v>
      </c>
      <c r="CJ519" s="476" t="s">
        <v>1187</v>
      </c>
      <c r="CK519" s="476" t="s">
        <v>1187</v>
      </c>
      <c r="CL519" s="476" t="s">
        <v>1187</v>
      </c>
      <c r="CM519" s="476" t="str">
        <f>IF(VLOOKUP(BS519,'Données par municipalité'!$B$6:$E$1113,4,FALSE)="","non","oui")</f>
        <v>non</v>
      </c>
      <c r="CN519" s="410">
        <v>575.93499669159644</v>
      </c>
      <c r="CO519" s="410">
        <v>557.6403359416139</v>
      </c>
      <c r="CP519" s="410"/>
      <c r="CQ519" s="410"/>
      <c r="CR519" s="410"/>
      <c r="CS519" s="410" t="s">
        <v>1124</v>
      </c>
      <c r="CT519" s="410"/>
      <c r="CU519" s="410" t="s">
        <v>1124</v>
      </c>
      <c r="CV519" s="410" t="str">
        <f>IF(VLOOKUP(BS519,'Données par municipalité'!$B$6:$F$1113,4,FALSE)="","",VLOOKUP(BS519,'Données par municipalité'!$B$6:$F$1113,4,FALSE))</f>
        <v/>
      </c>
      <c r="CW519" s="476" t="s">
        <v>4723</v>
      </c>
      <c r="CX519" s="483" t="s">
        <v>1124</v>
      </c>
      <c r="CY519" s="483" t="s">
        <v>1124</v>
      </c>
      <c r="CZ519" s="483" t="s">
        <v>1124</v>
      </c>
      <c r="DA519" s="483" t="s">
        <v>1124</v>
      </c>
      <c r="DB519" s="483" t="s">
        <v>1124</v>
      </c>
      <c r="DC519" s="483" t="s">
        <v>1124</v>
      </c>
      <c r="DD519" s="483" t="s">
        <v>1124</v>
      </c>
      <c r="DE519" s="483" t="str">
        <f>IFERROR(SUM(VLOOKUP($BS519,'État &amp; Plan d''action'!$B$6:$Z$1113,18,FALSE),VLOOKUP($BS519,'État &amp; Plan d''action'!$B$6:$Z$1113,20,FALSE))/(VLOOKUP($BS519,'Données par municipalité'!$B$4:$L$1113,11,FALSE)),"")</f>
        <v/>
      </c>
      <c r="DF519" s="483" t="str">
        <f>IFERROR(SUM(VLOOKUP($BS519,'État &amp; Plan d''action'!$B$6:$Z$1113,19,FALSE),VLOOKUP($BS519,'État &amp; Plan d''action'!$B$6:$Z$1113,21,FALSE))/(VLOOKUP($BS519,'Données par municipalité'!$B$4:$L$1113,11,FALSE)),"")</f>
        <v/>
      </c>
      <c r="DG519" s="476" t="s">
        <v>4723</v>
      </c>
      <c r="DH519" s="484">
        <v>0</v>
      </c>
      <c r="DI519" s="484" t="s">
        <v>1124</v>
      </c>
      <c r="DJ519" s="484">
        <v>0</v>
      </c>
      <c r="DK519" s="484">
        <v>0</v>
      </c>
      <c r="DL519" s="484" t="s">
        <v>1124</v>
      </c>
      <c r="DM519" s="484" t="s">
        <v>1124</v>
      </c>
      <c r="DN519" s="484" t="s">
        <v>1124</v>
      </c>
      <c r="DO519" s="484" t="s">
        <v>1124</v>
      </c>
      <c r="DP519" s="484" t="s">
        <v>1124</v>
      </c>
      <c r="DQ519" s="484" t="str">
        <f>IF(VLOOKUP($BS519,'État &amp; Plan d''action'!$B$6:$AJ$1113,28,FALSE)="","",VLOOKUP($BS519,'État &amp; Plan d''action'!$B$6:$AJ$1113,28,FALSE))</f>
        <v/>
      </c>
      <c r="DR519" s="70" t="str">
        <f>IF(VLOOKUP($BS519,'État &amp; Plan d''action'!$B$6:$AJ$1113,29,FALSE)="","",VLOOKUP($BS519,'État &amp; Plan d''action'!$B$6:$AJ$1113,29,FALSE))</f>
        <v/>
      </c>
      <c r="DS519" s="70" t="str">
        <f>IF(VLOOKUP($BS519,'État &amp; Plan d''action'!$B$6:$AJ$1113,30,FALSE)="","",VLOOKUP($BS519,'État &amp; Plan d''action'!$B$6:$AJ$1113,30,FALSE))</f>
        <v/>
      </c>
      <c r="DT519" s="70" t="s">
        <v>1124</v>
      </c>
      <c r="DU519" s="485" t="s">
        <v>1124</v>
      </c>
      <c r="DV519" s="485" t="s">
        <v>1124</v>
      </c>
      <c r="DW519" s="70" t="s">
        <v>1124</v>
      </c>
      <c r="DX519" s="70" t="s">
        <v>1124</v>
      </c>
      <c r="DY519" s="70" t="s">
        <v>1124</v>
      </c>
      <c r="DZ519" s="70" t="str">
        <f>VLOOKUP($BS519,'État &amp; Plan d''action'!$B$6:$AH$1113,31,FALSE)</f>
        <v/>
      </c>
      <c r="EA519" s="70" t="str">
        <f>VLOOKUP($BS519,'État &amp; Plan d''action'!$B$6:$AH$1113,32,FALSE)</f>
        <v/>
      </c>
      <c r="EB519" s="70" t="str">
        <f>VLOOKUP($BS519,'État &amp; Plan d''action'!$B$6:$AH$1113,33,FALSE)</f>
        <v/>
      </c>
      <c r="EC519" s="70" t="s">
        <v>1124</v>
      </c>
      <c r="ED519" s="70" t="s">
        <v>1124</v>
      </c>
      <c r="EE519" s="70" t="s">
        <v>1124</v>
      </c>
      <c r="EF519" s="70" t="s">
        <v>1124</v>
      </c>
      <c r="EG519" s="70" t="s">
        <v>1124</v>
      </c>
      <c r="EH519" s="72"/>
      <c r="EI519" s="72">
        <v>126</v>
      </c>
    </row>
    <row r="520" spans="71:139" x14ac:dyDescent="0.35">
      <c r="BS520" s="486">
        <v>34135</v>
      </c>
      <c r="BT520" s="479" t="s">
        <v>302</v>
      </c>
      <c r="BU520" s="479">
        <v>3</v>
      </c>
      <c r="BV520" s="476" t="s">
        <v>1187</v>
      </c>
      <c r="BW520" s="476" t="s">
        <v>1187</v>
      </c>
      <c r="BX520" s="476" t="s">
        <v>1187</v>
      </c>
      <c r="BY520" s="476" t="s">
        <v>1187</v>
      </c>
      <c r="BZ520" s="476" t="s">
        <v>1187</v>
      </c>
      <c r="CA520" s="476" t="s">
        <v>1187</v>
      </c>
      <c r="CB520" s="476" t="s">
        <v>1187</v>
      </c>
      <c r="CC520" s="476" t="s">
        <v>1187</v>
      </c>
      <c r="CD520" s="476" t="s">
        <v>1187</v>
      </c>
      <c r="CE520" s="476" t="s">
        <v>1188</v>
      </c>
      <c r="CF520" s="476" t="s">
        <v>1188</v>
      </c>
      <c r="CG520" s="476" t="s">
        <v>1188</v>
      </c>
      <c r="CH520" s="476" t="s">
        <v>1188</v>
      </c>
      <c r="CI520" s="476" t="s">
        <v>1188</v>
      </c>
      <c r="CJ520" s="476" t="s">
        <v>1188</v>
      </c>
      <c r="CK520" s="476" t="s">
        <v>1188</v>
      </c>
      <c r="CL520" s="476" t="s">
        <v>1188</v>
      </c>
      <c r="CM520" s="476" t="str">
        <f>IF(VLOOKUP(BS520,'Données par municipalité'!$B$6:$E$1113,4,FALSE)="","non","oui")</f>
        <v>oui</v>
      </c>
      <c r="CN520" s="410">
        <v>321.01627444093197</v>
      </c>
      <c r="CO520" s="410">
        <v>363.15751767127779</v>
      </c>
      <c r="CP520" s="410">
        <v>293.25806305540715</v>
      </c>
      <c r="CQ520" s="410">
        <v>356.23579445296599</v>
      </c>
      <c r="CR520" s="410">
        <v>483.00970796790597</v>
      </c>
      <c r="CS520" s="410">
        <v>508.05218922316192</v>
      </c>
      <c r="CT520" s="410">
        <v>481.78168524156433</v>
      </c>
      <c r="CU520" s="410">
        <v>488</v>
      </c>
      <c r="CV520" s="410">
        <f>IF(VLOOKUP(BS520,'Données par municipalité'!$B$6:$F$1113,4,FALSE)="","",VLOOKUP(BS520,'Données par municipalité'!$B$6:$F$1113,4,FALSE))</f>
        <v>589</v>
      </c>
      <c r="CW520" s="476" t="s">
        <v>4723</v>
      </c>
      <c r="CX520" s="483">
        <v>0</v>
      </c>
      <c r="CY520" s="483">
        <v>0</v>
      </c>
      <c r="CZ520" s="483">
        <v>0</v>
      </c>
      <c r="DA520" s="483">
        <v>0</v>
      </c>
      <c r="DB520" s="483">
        <v>0</v>
      </c>
      <c r="DC520" s="483">
        <v>1</v>
      </c>
      <c r="DD520" s="483">
        <v>1</v>
      </c>
      <c r="DE520" s="483">
        <f>IFERROR(SUM(VLOOKUP($BS520,'État &amp; Plan d''action'!$B$6:$Z$1113,18,FALSE),VLOOKUP($BS520,'État &amp; Plan d''action'!$B$6:$Z$1113,20,FALSE))/(VLOOKUP($BS520,'Données par municipalité'!$B$4:$L$1113,11,FALSE)),"")</f>
        <v>1</v>
      </c>
      <c r="DF520" s="483">
        <f>IFERROR(SUM(VLOOKUP($BS520,'État &amp; Plan d''action'!$B$6:$Z$1113,19,FALSE),VLOOKUP($BS520,'État &amp; Plan d''action'!$B$6:$Z$1113,21,FALSE))/(VLOOKUP($BS520,'Données par municipalité'!$B$4:$L$1113,11,FALSE)),"")</f>
        <v>1</v>
      </c>
      <c r="DG520" s="476" t="s">
        <v>4723</v>
      </c>
      <c r="DH520" s="484">
        <v>1</v>
      </c>
      <c r="DI520" s="484">
        <v>0</v>
      </c>
      <c r="DJ520" s="484">
        <v>1</v>
      </c>
      <c r="DK520" s="484">
        <v>1</v>
      </c>
      <c r="DL520" s="484">
        <v>1</v>
      </c>
      <c r="DM520" s="484">
        <v>1</v>
      </c>
      <c r="DN520" s="484">
        <v>0</v>
      </c>
      <c r="DO520" s="484">
        <v>0</v>
      </c>
      <c r="DP520" s="484">
        <v>0</v>
      </c>
      <c r="DQ520" s="484">
        <f>IF(VLOOKUP($BS520,'État &amp; Plan d''action'!$B$6:$AJ$1113,28,FALSE)="","",VLOOKUP($BS520,'État &amp; Plan d''action'!$B$6:$AJ$1113,28,FALSE))</f>
        <v>1</v>
      </c>
      <c r="DR520" s="70">
        <f>IF(VLOOKUP($BS520,'État &amp; Plan d''action'!$B$6:$AJ$1113,29,FALSE)="","",VLOOKUP($BS520,'État &amp; Plan d''action'!$B$6:$AJ$1113,29,FALSE))</f>
        <v>1</v>
      </c>
      <c r="DS520" s="70">
        <f>IF(VLOOKUP($BS520,'État &amp; Plan d''action'!$B$6:$AJ$1113,30,FALSE)="","",VLOOKUP($BS520,'État &amp; Plan d''action'!$B$6:$AJ$1113,30,FALSE))</f>
        <v>2</v>
      </c>
      <c r="DT520" s="70">
        <v>283</v>
      </c>
      <c r="DU520" s="485">
        <v>4.3068176924070807</v>
      </c>
      <c r="DV520" s="485">
        <v>6.5184795489511691</v>
      </c>
      <c r="DW520" s="70">
        <v>0</v>
      </c>
      <c r="DX520" s="70">
        <v>0</v>
      </c>
      <c r="DY520" s="70">
        <v>0</v>
      </c>
      <c r="DZ520" s="70">
        <f>VLOOKUP($BS520,'État &amp; Plan d''action'!$B$6:$AH$1113,31,FALSE)</f>
        <v>1</v>
      </c>
      <c r="EA520" s="70">
        <f>VLOOKUP($BS520,'État &amp; Plan d''action'!$B$6:$AH$1113,32,FALSE)</f>
        <v>2</v>
      </c>
      <c r="EB520" s="70">
        <f>VLOOKUP($BS520,'État &amp; Plan d''action'!$B$6:$AH$1113,33,FALSE)</f>
        <v>10</v>
      </c>
      <c r="EC520" s="70">
        <v>0</v>
      </c>
      <c r="ED520" s="70">
        <v>6.41</v>
      </c>
      <c r="EE520" s="70">
        <v>0</v>
      </c>
      <c r="EF520" s="70">
        <v>0</v>
      </c>
      <c r="EG520" s="70">
        <v>0</v>
      </c>
      <c r="EH520" s="72">
        <v>45</v>
      </c>
      <c r="EI520" s="72">
        <v>583</v>
      </c>
    </row>
    <row r="521" spans="71:139" x14ac:dyDescent="0.35">
      <c r="BS521" s="486">
        <v>98055</v>
      </c>
      <c r="BT521" s="479" t="s">
        <v>1018</v>
      </c>
      <c r="BU521" s="479">
        <v>9</v>
      </c>
      <c r="BV521" s="476" t="s">
        <v>1187</v>
      </c>
      <c r="BW521" s="476" t="s">
        <v>1187</v>
      </c>
      <c r="BX521" s="476" t="s">
        <v>1187</v>
      </c>
      <c r="BY521" s="476" t="s">
        <v>1187</v>
      </c>
      <c r="BZ521" s="476" t="s">
        <v>1187</v>
      </c>
      <c r="CA521" s="476" t="s">
        <v>1187</v>
      </c>
      <c r="CB521" s="476" t="s">
        <v>1187</v>
      </c>
      <c r="CC521" s="476" t="s">
        <v>1187</v>
      </c>
      <c r="CD521" s="476" t="s">
        <v>1187</v>
      </c>
      <c r="CE521" s="476" t="s">
        <v>1188</v>
      </c>
      <c r="CF521" s="476" t="s">
        <v>1188</v>
      </c>
      <c r="CG521" s="476" t="s">
        <v>1188</v>
      </c>
      <c r="CH521" s="476" t="s">
        <v>1188</v>
      </c>
      <c r="CI521" s="476" t="s">
        <v>1188</v>
      </c>
      <c r="CJ521" s="476" t="s">
        <v>1187</v>
      </c>
      <c r="CK521" s="476" t="s">
        <v>1188</v>
      </c>
      <c r="CL521" s="476" t="s">
        <v>1187</v>
      </c>
      <c r="CM521" s="476" t="str">
        <f>IF(VLOOKUP(BS521,'Données par municipalité'!$B$6:$E$1113,4,FALSE)="","non","oui")</f>
        <v>oui</v>
      </c>
      <c r="CN521" s="410">
        <v>285.45454545454544</v>
      </c>
      <c r="CO521" s="410">
        <v>278.44594594594588</v>
      </c>
      <c r="CP521" s="410">
        <v>221.33267711153036</v>
      </c>
      <c r="CQ521" s="410">
        <v>282.7074939564867</v>
      </c>
      <c r="CR521" s="410">
        <v>346.99783830182668</v>
      </c>
      <c r="CS521" s="410" t="s">
        <v>1124</v>
      </c>
      <c r="CT521" s="410">
        <v>362.39701359996047</v>
      </c>
      <c r="CU521" s="410" t="s">
        <v>1124</v>
      </c>
      <c r="CV521" s="410">
        <f>IF(VLOOKUP(BS521,'Données par municipalité'!$B$6:$F$1113,4,FALSE)="","",VLOOKUP(BS521,'Données par municipalité'!$B$6:$F$1113,4,FALSE))</f>
        <v>390</v>
      </c>
      <c r="CW521" s="476" t="s">
        <v>4723</v>
      </c>
      <c r="CX521" s="483">
        <v>0.1</v>
      </c>
      <c r="CY521" s="483">
        <v>0.1</v>
      </c>
      <c r="CZ521" s="483">
        <v>0.5</v>
      </c>
      <c r="DA521" s="483">
        <v>0</v>
      </c>
      <c r="DB521" s="483" t="s">
        <v>1124</v>
      </c>
      <c r="DC521" s="483">
        <v>0</v>
      </c>
      <c r="DD521" s="483" t="s">
        <v>1124</v>
      </c>
      <c r="DE521" s="483">
        <f>IFERROR(SUM(VLOOKUP($BS521,'État &amp; Plan d''action'!$B$6:$Z$1113,18,FALSE),VLOOKUP($BS521,'État &amp; Plan d''action'!$B$6:$Z$1113,20,FALSE))/(VLOOKUP($BS521,'Données par municipalité'!$B$4:$L$1113,11,FALSE)),"")</f>
        <v>0</v>
      </c>
      <c r="DF521" s="483">
        <f>IFERROR(SUM(VLOOKUP($BS521,'État &amp; Plan d''action'!$B$6:$Z$1113,19,FALSE),VLOOKUP($BS521,'État &amp; Plan d''action'!$B$6:$Z$1113,21,FALSE))/(VLOOKUP($BS521,'Données par municipalité'!$B$4:$L$1113,11,FALSE)),"")</f>
        <v>1</v>
      </c>
      <c r="DG521" s="476" t="s">
        <v>4723</v>
      </c>
      <c r="DH521" s="484">
        <v>0</v>
      </c>
      <c r="DI521" s="484" t="s">
        <v>1124</v>
      </c>
      <c r="DJ521" s="484">
        <v>0</v>
      </c>
      <c r="DK521" s="484">
        <v>0</v>
      </c>
      <c r="DL521" s="484" t="s">
        <v>1124</v>
      </c>
      <c r="DM521" s="484">
        <v>0</v>
      </c>
      <c r="DN521" s="484" t="s">
        <v>1124</v>
      </c>
      <c r="DO521" s="484" t="s">
        <v>1124</v>
      </c>
      <c r="DP521" s="484" t="s">
        <v>1124</v>
      </c>
      <c r="DQ521" s="484">
        <f>IF(VLOOKUP($BS521,'État &amp; Plan d''action'!$B$6:$AJ$1113,28,FALSE)="","",VLOOKUP($BS521,'État &amp; Plan d''action'!$B$6:$AJ$1113,28,FALSE))</f>
        <v>0</v>
      </c>
      <c r="DR521" s="70">
        <f>IF(VLOOKUP($BS521,'État &amp; Plan d''action'!$B$6:$AJ$1113,29,FALSE)="","",VLOOKUP($BS521,'État &amp; Plan d''action'!$B$6:$AJ$1113,29,FALSE))</f>
        <v>1</v>
      </c>
      <c r="DS521" s="70">
        <f>IF(VLOOKUP($BS521,'État &amp; Plan d''action'!$B$6:$AJ$1113,30,FALSE)="","",VLOOKUP($BS521,'État &amp; Plan d''action'!$B$6:$AJ$1113,30,FALSE))</f>
        <v>0</v>
      </c>
      <c r="DT521" s="70" t="s">
        <v>1124</v>
      </c>
      <c r="DU521" s="485" t="s">
        <v>1124</v>
      </c>
      <c r="DV521" s="485">
        <v>1.5364953055724155</v>
      </c>
      <c r="DW521" s="70" t="s">
        <v>1124</v>
      </c>
      <c r="DX521" s="70" t="s">
        <v>1124</v>
      </c>
      <c r="DY521" s="70" t="s">
        <v>1124</v>
      </c>
      <c r="DZ521" s="70">
        <f>VLOOKUP($BS521,'État &amp; Plan d''action'!$B$6:$AH$1113,31,FALSE)</f>
        <v>0</v>
      </c>
      <c r="EA521" s="70">
        <f>VLOOKUP($BS521,'État &amp; Plan d''action'!$B$6:$AH$1113,32,FALSE)</f>
        <v>7</v>
      </c>
      <c r="EB521" s="70">
        <f>VLOOKUP($BS521,'État &amp; Plan d''action'!$B$6:$AH$1113,33,FALSE)</f>
        <v>0</v>
      </c>
      <c r="EC521" s="70" t="s">
        <v>1124</v>
      </c>
      <c r="ED521" s="70" t="s">
        <v>1124</v>
      </c>
      <c r="EE521" s="70" t="s">
        <v>1124</v>
      </c>
      <c r="EF521" s="70" t="s">
        <v>1124</v>
      </c>
      <c r="EG521" s="70" t="s">
        <v>1124</v>
      </c>
      <c r="EH521" s="72"/>
      <c r="EI521" s="72">
        <v>270</v>
      </c>
    </row>
    <row r="522" spans="71:139" x14ac:dyDescent="0.35">
      <c r="BS522" s="486">
        <v>71005</v>
      </c>
      <c r="BT522" s="479" t="s">
        <v>704</v>
      </c>
      <c r="BU522" s="479">
        <v>16</v>
      </c>
      <c r="BV522" s="476" t="s">
        <v>1188</v>
      </c>
      <c r="BW522" s="476" t="s">
        <v>1188</v>
      </c>
      <c r="BX522" s="476" t="s">
        <v>1188</v>
      </c>
      <c r="BY522" s="476" t="s">
        <v>1188</v>
      </c>
      <c r="BZ522" s="476" t="s">
        <v>1188</v>
      </c>
      <c r="CA522" s="476" t="s">
        <v>1188</v>
      </c>
      <c r="CB522" s="476" t="s">
        <v>1188</v>
      </c>
      <c r="CC522" s="476" t="s">
        <v>1188</v>
      </c>
      <c r="CD522" s="476" t="s">
        <v>1188</v>
      </c>
      <c r="CE522" s="476" t="s">
        <v>1187</v>
      </c>
      <c r="CF522" s="476" t="s">
        <v>1187</v>
      </c>
      <c r="CG522" s="476" t="s">
        <v>1187</v>
      </c>
      <c r="CH522" s="476" t="s">
        <v>1187</v>
      </c>
      <c r="CI522" s="476" t="s">
        <v>1187</v>
      </c>
      <c r="CJ522" s="476" t="s">
        <v>1187</v>
      </c>
      <c r="CK522" s="476" t="s">
        <v>1187</v>
      </c>
      <c r="CL522" s="476" t="s">
        <v>1187</v>
      </c>
      <c r="CM522" s="476" t="str">
        <f>IF(VLOOKUP(BS522,'Données par municipalité'!$B$6:$E$1113,4,FALSE)="","non","oui")</f>
        <v>non</v>
      </c>
      <c r="CN522" s="410" t="s">
        <v>1124</v>
      </c>
      <c r="CO522" s="410" t="s">
        <v>1124</v>
      </c>
      <c r="CP522" s="410"/>
      <c r="CQ522" s="410"/>
      <c r="CR522" s="410"/>
      <c r="CS522" s="410" t="s">
        <v>1124</v>
      </c>
      <c r="CT522" s="410"/>
      <c r="CU522" s="410" t="s">
        <v>1124</v>
      </c>
      <c r="CV522" s="410" t="str">
        <f>IF(VLOOKUP(BS522,'Données par municipalité'!$B$6:$F$1113,4,FALSE)="","",VLOOKUP(BS522,'Données par municipalité'!$B$6:$F$1113,4,FALSE))</f>
        <v/>
      </c>
      <c r="CW522" s="476" t="s">
        <v>4723</v>
      </c>
      <c r="CX522" s="483" t="s">
        <v>1124</v>
      </c>
      <c r="CY522" s="483" t="s">
        <v>1124</v>
      </c>
      <c r="CZ522" s="483" t="s">
        <v>1124</v>
      </c>
      <c r="DA522" s="483" t="s">
        <v>1124</v>
      </c>
      <c r="DB522" s="483" t="s">
        <v>1124</v>
      </c>
      <c r="DC522" s="483" t="s">
        <v>1124</v>
      </c>
      <c r="DD522" s="483" t="s">
        <v>1124</v>
      </c>
      <c r="DE522" s="483" t="str">
        <f>IFERROR(SUM(VLOOKUP($BS522,'État &amp; Plan d''action'!$B$6:$Z$1113,18,FALSE),VLOOKUP($BS522,'État &amp; Plan d''action'!$B$6:$Z$1113,20,FALSE))/(VLOOKUP($BS522,'Données par municipalité'!$B$4:$L$1113,11,FALSE)),"")</f>
        <v/>
      </c>
      <c r="DF522" s="483" t="str">
        <f>IFERROR(SUM(VLOOKUP($BS522,'État &amp; Plan d''action'!$B$6:$Z$1113,19,FALSE),VLOOKUP($BS522,'État &amp; Plan d''action'!$B$6:$Z$1113,21,FALSE))/(VLOOKUP($BS522,'Données par municipalité'!$B$4:$L$1113,11,FALSE)),"")</f>
        <v/>
      </c>
      <c r="DG522" s="476" t="s">
        <v>4723</v>
      </c>
      <c r="DH522" s="484" t="s">
        <v>1124</v>
      </c>
      <c r="DI522" s="484" t="s">
        <v>1124</v>
      </c>
      <c r="DJ522" s="484">
        <v>0</v>
      </c>
      <c r="DK522" s="484">
        <v>0</v>
      </c>
      <c r="DL522" s="484" t="s">
        <v>1124</v>
      </c>
      <c r="DM522" s="484" t="s">
        <v>1124</v>
      </c>
      <c r="DN522" s="484" t="s">
        <v>1124</v>
      </c>
      <c r="DO522" s="484" t="s">
        <v>1124</v>
      </c>
      <c r="DP522" s="484" t="s">
        <v>1124</v>
      </c>
      <c r="DQ522" s="484" t="str">
        <f>IF(VLOOKUP($BS522,'État &amp; Plan d''action'!$B$6:$AJ$1113,28,FALSE)="","",VLOOKUP($BS522,'État &amp; Plan d''action'!$B$6:$AJ$1113,28,FALSE))</f>
        <v/>
      </c>
      <c r="DR522" s="70" t="str">
        <f>IF(VLOOKUP($BS522,'État &amp; Plan d''action'!$B$6:$AJ$1113,29,FALSE)="","",VLOOKUP($BS522,'État &amp; Plan d''action'!$B$6:$AJ$1113,29,FALSE))</f>
        <v/>
      </c>
      <c r="DS522" s="70" t="str">
        <f>IF(VLOOKUP($BS522,'État &amp; Plan d''action'!$B$6:$AJ$1113,30,FALSE)="","",VLOOKUP($BS522,'État &amp; Plan d''action'!$B$6:$AJ$1113,30,FALSE))</f>
        <v/>
      </c>
      <c r="DT522" s="70" t="s">
        <v>1124</v>
      </c>
      <c r="DU522" s="485" t="s">
        <v>1124</v>
      </c>
      <c r="DV522" s="485" t="s">
        <v>1124</v>
      </c>
      <c r="DW522" s="70" t="s">
        <v>1124</v>
      </c>
      <c r="DX522" s="70" t="s">
        <v>1124</v>
      </c>
      <c r="DY522" s="70" t="s">
        <v>1124</v>
      </c>
      <c r="DZ522" s="70" t="str">
        <f>VLOOKUP($BS522,'État &amp; Plan d''action'!$B$6:$AH$1113,31,FALSE)</f>
        <v/>
      </c>
      <c r="EA522" s="70" t="str">
        <f>VLOOKUP($BS522,'État &amp; Plan d''action'!$B$6:$AH$1113,32,FALSE)</f>
        <v/>
      </c>
      <c r="EB522" s="70" t="str">
        <f>VLOOKUP($BS522,'État &amp; Plan d''action'!$B$6:$AH$1113,33,FALSE)</f>
        <v/>
      </c>
      <c r="EC522" s="70" t="s">
        <v>1124</v>
      </c>
      <c r="ED522" s="70" t="s">
        <v>1124</v>
      </c>
      <c r="EE522" s="70" t="s">
        <v>1124</v>
      </c>
      <c r="EF522" s="70" t="s">
        <v>1124</v>
      </c>
      <c r="EG522" s="70" t="s">
        <v>1124</v>
      </c>
      <c r="EH522" s="72"/>
      <c r="EI522" s="72">
        <v>2246</v>
      </c>
    </row>
    <row r="523" spans="71:139" x14ac:dyDescent="0.35">
      <c r="BS523" s="486">
        <v>13025</v>
      </c>
      <c r="BT523" s="479" t="s">
        <v>45</v>
      </c>
      <c r="BU523" s="479">
        <v>1</v>
      </c>
      <c r="BV523" s="476" t="s">
        <v>1187</v>
      </c>
      <c r="BW523" s="476" t="s">
        <v>1187</v>
      </c>
      <c r="BX523" s="476" t="s">
        <v>1187</v>
      </c>
      <c r="BY523" s="476" t="s">
        <v>1187</v>
      </c>
      <c r="BZ523" s="476" t="s">
        <v>1187</v>
      </c>
      <c r="CA523" s="476" t="s">
        <v>1187</v>
      </c>
      <c r="CB523" s="476" t="s">
        <v>1187</v>
      </c>
      <c r="CC523" s="476" t="s">
        <v>1187</v>
      </c>
      <c r="CD523" s="476" t="s">
        <v>1187</v>
      </c>
      <c r="CE523" s="476" t="s">
        <v>1188</v>
      </c>
      <c r="CF523" s="476" t="s">
        <v>1188</v>
      </c>
      <c r="CG523" s="476" t="s">
        <v>1188</v>
      </c>
      <c r="CH523" s="476" t="s">
        <v>1188</v>
      </c>
      <c r="CI523" s="476" t="s">
        <v>1188</v>
      </c>
      <c r="CJ523" s="476" t="s">
        <v>1188</v>
      </c>
      <c r="CK523" s="476" t="s">
        <v>1188</v>
      </c>
      <c r="CL523" s="476" t="s">
        <v>1188</v>
      </c>
      <c r="CM523" s="476" t="str">
        <f>IF(VLOOKUP(BS523,'Données par municipalité'!$B$6:$E$1113,4,FALSE)="","non","oui")</f>
        <v>oui</v>
      </c>
      <c r="CN523" s="410">
        <v>343.79054389438193</v>
      </c>
      <c r="CO523" s="410">
        <v>300.07166117179946</v>
      </c>
      <c r="CP523" s="410">
        <v>241.13843457847904</v>
      </c>
      <c r="CQ523" s="410">
        <v>299.33709374160622</v>
      </c>
      <c r="CR523" s="410">
        <v>341.37732159041144</v>
      </c>
      <c r="CS523" s="410">
        <v>342.54994272732381</v>
      </c>
      <c r="CT523" s="410">
        <v>323.74874997824372</v>
      </c>
      <c r="CU523" s="410">
        <v>631</v>
      </c>
      <c r="CV523" s="410">
        <f>IF(VLOOKUP(BS523,'Données par municipalité'!$B$6:$F$1113,4,FALSE)="","",VLOOKUP(BS523,'Données par municipalité'!$B$6:$F$1113,4,FALSE))</f>
        <v>523</v>
      </c>
      <c r="CW523" s="476" t="s">
        <v>4723</v>
      </c>
      <c r="CX523" s="483">
        <v>0</v>
      </c>
      <c r="CY523" s="483">
        <v>0</v>
      </c>
      <c r="CZ523" s="483">
        <v>0</v>
      </c>
      <c r="DA523" s="483">
        <v>0</v>
      </c>
      <c r="DB523" s="483">
        <v>0</v>
      </c>
      <c r="DC523" s="483">
        <v>0</v>
      </c>
      <c r="DD523" s="483">
        <v>5.0116939525559637E-2</v>
      </c>
      <c r="DE523" s="483">
        <f>IFERROR(SUM(VLOOKUP($BS523,'État &amp; Plan d''action'!$B$6:$Z$1113,18,FALSE),VLOOKUP($BS523,'État &amp; Plan d''action'!$B$6:$Z$1113,20,FALSE))/(VLOOKUP($BS523,'Données par municipalité'!$B$4:$L$1113,11,FALSE)),"")</f>
        <v>5.0116939525559637E-2</v>
      </c>
      <c r="DF523" s="483">
        <f>IFERROR(SUM(VLOOKUP($BS523,'État &amp; Plan d''action'!$B$6:$Z$1113,19,FALSE),VLOOKUP($BS523,'État &amp; Plan d''action'!$B$6:$Z$1113,21,FALSE))/(VLOOKUP($BS523,'Données par municipalité'!$B$4:$L$1113,11,FALSE)),"")</f>
        <v>0.41764116271299701</v>
      </c>
      <c r="DG523" s="476" t="s">
        <v>4723</v>
      </c>
      <c r="DH523" s="484">
        <v>0</v>
      </c>
      <c r="DI523" s="484">
        <v>0</v>
      </c>
      <c r="DJ523" s="484">
        <v>1</v>
      </c>
      <c r="DK523" s="484">
        <v>1</v>
      </c>
      <c r="DL523" s="484">
        <v>2</v>
      </c>
      <c r="DM523" s="484">
        <v>1</v>
      </c>
      <c r="DN523" s="484">
        <v>1</v>
      </c>
      <c r="DO523" s="484">
        <v>0</v>
      </c>
      <c r="DP523" s="484">
        <v>2</v>
      </c>
      <c r="DQ523" s="484">
        <f>IF(VLOOKUP($BS523,'État &amp; Plan d''action'!$B$6:$AJ$1113,28,FALSE)="","",VLOOKUP($BS523,'État &amp; Plan d''action'!$B$6:$AJ$1113,28,FALSE))</f>
        <v>0</v>
      </c>
      <c r="DR523" s="70">
        <f>IF(VLOOKUP($BS523,'État &amp; Plan d''action'!$B$6:$AJ$1113,29,FALSE)="","",VLOOKUP($BS523,'État &amp; Plan d''action'!$B$6:$AJ$1113,29,FALSE))</f>
        <v>0</v>
      </c>
      <c r="DS523" s="70">
        <f>IF(VLOOKUP($BS523,'État &amp; Plan d''action'!$B$6:$AJ$1113,30,FALSE)="","",VLOOKUP($BS523,'État &amp; Plan d''action'!$B$6:$AJ$1113,30,FALSE))</f>
        <v>0</v>
      </c>
      <c r="DT523" s="70">
        <v>391</v>
      </c>
      <c r="DU523" s="485">
        <v>1.4233036237152119</v>
      </c>
      <c r="DV523" s="485">
        <v>1.602457682402354</v>
      </c>
      <c r="DW523" s="70">
        <v>1</v>
      </c>
      <c r="DX523" s="70">
        <v>0</v>
      </c>
      <c r="DY523" s="70">
        <v>1</v>
      </c>
      <c r="DZ523" s="70">
        <f>VLOOKUP($BS523,'État &amp; Plan d''action'!$B$6:$AH$1113,31,FALSE)</f>
        <v>0</v>
      </c>
      <c r="EA523" s="70">
        <f>VLOOKUP($BS523,'État &amp; Plan d''action'!$B$6:$AH$1113,32,FALSE)</f>
        <v>0</v>
      </c>
      <c r="EB523" s="70">
        <f>VLOOKUP($BS523,'État &amp; Plan d''action'!$B$6:$AH$1113,33,FALSE)</f>
        <v>0</v>
      </c>
      <c r="EC523" s="70">
        <v>0</v>
      </c>
      <c r="ED523" s="70">
        <v>0.3</v>
      </c>
      <c r="EE523" s="70">
        <v>0.3</v>
      </c>
      <c r="EF523" s="70">
        <v>0</v>
      </c>
      <c r="EG523" s="70">
        <v>0</v>
      </c>
      <c r="EH523" s="72">
        <v>58</v>
      </c>
      <c r="EI523" s="72">
        <v>1254</v>
      </c>
    </row>
    <row r="524" spans="71:139" x14ac:dyDescent="0.35">
      <c r="BS524" s="486">
        <v>12072</v>
      </c>
      <c r="BT524" s="479" t="s">
        <v>39</v>
      </c>
      <c r="BU524" s="479">
        <v>1</v>
      </c>
      <c r="BV524" s="476" t="s">
        <v>1187</v>
      </c>
      <c r="BW524" s="476" t="s">
        <v>1187</v>
      </c>
      <c r="BX524" s="476" t="s">
        <v>1187</v>
      </c>
      <c r="BY524" s="476" t="s">
        <v>1187</v>
      </c>
      <c r="BZ524" s="476" t="s">
        <v>1187</v>
      </c>
      <c r="CA524" s="476" t="s">
        <v>1187</v>
      </c>
      <c r="CB524" s="476" t="s">
        <v>1187</v>
      </c>
      <c r="CC524" s="476" t="s">
        <v>1187</v>
      </c>
      <c r="CD524" s="476" t="s">
        <v>1187</v>
      </c>
      <c r="CE524" s="476" t="s">
        <v>1188</v>
      </c>
      <c r="CF524" s="476" t="s">
        <v>1188</v>
      </c>
      <c r="CG524" s="476" t="s">
        <v>1188</v>
      </c>
      <c r="CH524" s="476" t="s">
        <v>1188</v>
      </c>
      <c r="CI524" s="476" t="s">
        <v>1188</v>
      </c>
      <c r="CJ524" s="476" t="s">
        <v>1188</v>
      </c>
      <c r="CK524" s="476" t="s">
        <v>1188</v>
      </c>
      <c r="CL524" s="476" t="s">
        <v>1188</v>
      </c>
      <c r="CM524" s="476" t="str">
        <f>IF(VLOOKUP(BS524,'Données par municipalité'!$B$6:$E$1113,4,FALSE)="","non","oui")</f>
        <v>oui</v>
      </c>
      <c r="CN524" s="410">
        <v>608.84267743530381</v>
      </c>
      <c r="CO524" s="410">
        <v>578.99370180592359</v>
      </c>
      <c r="CP524" s="410">
        <v>493.7821908206696</v>
      </c>
      <c r="CQ524" s="410">
        <v>525.23872910005173</v>
      </c>
      <c r="CR524" s="410">
        <v>550.40570927188912</v>
      </c>
      <c r="CS524" s="410">
        <v>485.85393997996874</v>
      </c>
      <c r="CT524" s="410">
        <v>485.46296762557654</v>
      </c>
      <c r="CU524" s="410">
        <v>505</v>
      </c>
      <c r="CV524" s="410">
        <f>IF(VLOOKUP(BS524,'Données par municipalité'!$B$6:$F$1113,4,FALSE)="","",VLOOKUP(BS524,'Données par municipalité'!$B$6:$F$1113,4,FALSE))</f>
        <v>503</v>
      </c>
      <c r="CW524" s="476" t="s">
        <v>4723</v>
      </c>
      <c r="CX524" s="483">
        <v>0.85</v>
      </c>
      <c r="CY524" s="483">
        <v>1</v>
      </c>
      <c r="CZ524" s="483">
        <v>1</v>
      </c>
      <c r="DA524" s="483">
        <v>1</v>
      </c>
      <c r="DB524" s="483">
        <v>0</v>
      </c>
      <c r="DC524" s="483">
        <v>0</v>
      </c>
      <c r="DD524" s="483">
        <v>0.56175567373230473</v>
      </c>
      <c r="DE524" s="483">
        <f>IFERROR(SUM(VLOOKUP($BS524,'État &amp; Plan d''action'!$B$6:$Z$1113,18,FALSE),VLOOKUP($BS524,'État &amp; Plan d''action'!$B$6:$Z$1113,20,FALSE))/(VLOOKUP($BS524,'Données par municipalité'!$B$4:$L$1113,11,FALSE)),"")</f>
        <v>0.56175567373230473</v>
      </c>
      <c r="DF524" s="483">
        <f>IFERROR(SUM(VLOOKUP($BS524,'État &amp; Plan d''action'!$B$6:$Z$1113,19,FALSE),VLOOKUP($BS524,'État &amp; Plan d''action'!$B$6:$Z$1113,21,FALSE))/(VLOOKUP($BS524,'Données par municipalité'!$B$4:$L$1113,11,FALSE)),"")</f>
        <v>0.7490075649764063</v>
      </c>
      <c r="DG524" s="476" t="s">
        <v>4723</v>
      </c>
      <c r="DH524" s="484">
        <v>15</v>
      </c>
      <c r="DI524" s="484">
        <v>15</v>
      </c>
      <c r="DJ524" s="484">
        <v>8</v>
      </c>
      <c r="DK524" s="484">
        <v>18</v>
      </c>
      <c r="DL524" s="484">
        <v>7</v>
      </c>
      <c r="DM524" s="484">
        <v>7</v>
      </c>
      <c r="DN524" s="484">
        <v>4</v>
      </c>
      <c r="DO524" s="484">
        <v>3</v>
      </c>
      <c r="DP524" s="484">
        <v>3</v>
      </c>
      <c r="DQ524" s="484">
        <f>IF(VLOOKUP($BS524,'État &amp; Plan d''action'!$B$6:$AJ$1113,28,FALSE)="","",VLOOKUP($BS524,'État &amp; Plan d''action'!$B$6:$AJ$1113,28,FALSE))</f>
        <v>5</v>
      </c>
      <c r="DR524" s="70">
        <f>IF(VLOOKUP($BS524,'État &amp; Plan d''action'!$B$6:$AJ$1113,29,FALSE)="","",VLOOKUP($BS524,'État &amp; Plan d''action'!$B$6:$AJ$1113,29,FALSE))</f>
        <v>0</v>
      </c>
      <c r="DS524" s="70">
        <f>IF(VLOOKUP($BS524,'État &amp; Plan d''action'!$B$6:$AJ$1113,30,FALSE)="","",VLOOKUP($BS524,'État &amp; Plan d''action'!$B$6:$AJ$1113,30,FALSE))</f>
        <v>0</v>
      </c>
      <c r="DT524" s="70">
        <v>157</v>
      </c>
      <c r="DU524" s="485">
        <v>1.0041486483835118</v>
      </c>
      <c r="DV524" s="485">
        <v>1.1022668843870664</v>
      </c>
      <c r="DW524" s="70">
        <v>3</v>
      </c>
      <c r="DX524" s="70">
        <v>1</v>
      </c>
      <c r="DY524" s="70">
        <v>1</v>
      </c>
      <c r="DZ524" s="70">
        <f>VLOOKUP($BS524,'État &amp; Plan d''action'!$B$6:$AH$1113,31,FALSE)</f>
        <v>2</v>
      </c>
      <c r="EA524" s="70">
        <f>VLOOKUP($BS524,'État &amp; Plan d''action'!$B$6:$AH$1113,32,FALSE)</f>
        <v>0</v>
      </c>
      <c r="EB524" s="70">
        <f>VLOOKUP($BS524,'État &amp; Plan d''action'!$B$6:$AH$1113,33,FALSE)</f>
        <v>0</v>
      </c>
      <c r="EC524" s="70">
        <v>0</v>
      </c>
      <c r="ED524" s="70">
        <v>0</v>
      </c>
      <c r="EE524" s="70">
        <v>75</v>
      </c>
      <c r="EF524" s="70">
        <v>30</v>
      </c>
      <c r="EG524" s="70">
        <v>0</v>
      </c>
      <c r="EH524" s="72">
        <v>64.303397855066876</v>
      </c>
      <c r="EI524" s="72">
        <v>19974</v>
      </c>
    </row>
    <row r="525" spans="71:139" x14ac:dyDescent="0.35">
      <c r="BS525" s="486">
        <v>94215</v>
      </c>
      <c r="BT525" s="479" t="s">
        <v>975</v>
      </c>
      <c r="BU525" s="479">
        <v>2</v>
      </c>
      <c r="BV525" s="476" t="s">
        <v>1188</v>
      </c>
      <c r="BW525" s="476" t="s">
        <v>1188</v>
      </c>
      <c r="BX525" s="476" t="s">
        <v>1188</v>
      </c>
      <c r="BY525" s="476" t="s">
        <v>1188</v>
      </c>
      <c r="BZ525" s="476" t="s">
        <v>1188</v>
      </c>
      <c r="CA525" s="476" t="s">
        <v>1188</v>
      </c>
      <c r="CB525" s="476" t="s">
        <v>1188</v>
      </c>
      <c r="CC525" s="476" t="s">
        <v>1188</v>
      </c>
      <c r="CD525" s="476" t="s">
        <v>1188</v>
      </c>
      <c r="CE525" s="476" t="s">
        <v>1187</v>
      </c>
      <c r="CF525" s="476" t="s">
        <v>1187</v>
      </c>
      <c r="CG525" s="476" t="s">
        <v>1187</v>
      </c>
      <c r="CH525" s="476" t="s">
        <v>1187</v>
      </c>
      <c r="CI525" s="476" t="s">
        <v>1187</v>
      </c>
      <c r="CJ525" s="476" t="s">
        <v>1187</v>
      </c>
      <c r="CK525" s="476" t="s">
        <v>1187</v>
      </c>
      <c r="CL525" s="476" t="s">
        <v>1187</v>
      </c>
      <c r="CM525" s="476" t="str">
        <f>IF(VLOOKUP(BS525,'Données par municipalité'!$B$6:$E$1113,4,FALSE)="","non","oui")</f>
        <v>non</v>
      </c>
      <c r="CN525" s="410" t="s">
        <v>1124</v>
      </c>
      <c r="CO525" s="410" t="s">
        <v>1124</v>
      </c>
      <c r="CP525" s="410"/>
      <c r="CQ525" s="410"/>
      <c r="CR525" s="410"/>
      <c r="CS525" s="410" t="s">
        <v>1124</v>
      </c>
      <c r="CT525" s="410"/>
      <c r="CU525" s="410" t="s">
        <v>1124</v>
      </c>
      <c r="CV525" s="410" t="str">
        <f>IF(VLOOKUP(BS525,'Données par municipalité'!$B$6:$F$1113,4,FALSE)="","",VLOOKUP(BS525,'Données par municipalité'!$B$6:$F$1113,4,FALSE))</f>
        <v/>
      </c>
      <c r="CW525" s="476" t="s">
        <v>4723</v>
      </c>
      <c r="CX525" s="483" t="s">
        <v>1124</v>
      </c>
      <c r="CY525" s="483" t="s">
        <v>1124</v>
      </c>
      <c r="CZ525" s="483" t="s">
        <v>1124</v>
      </c>
      <c r="DA525" s="483" t="s">
        <v>1124</v>
      </c>
      <c r="DB525" s="483" t="s">
        <v>1124</v>
      </c>
      <c r="DC525" s="483" t="s">
        <v>1124</v>
      </c>
      <c r="DD525" s="483" t="s">
        <v>1124</v>
      </c>
      <c r="DE525" s="483" t="str">
        <f>IFERROR(SUM(VLOOKUP($BS525,'État &amp; Plan d''action'!$B$6:$Z$1113,18,FALSE),VLOOKUP($BS525,'État &amp; Plan d''action'!$B$6:$Z$1113,20,FALSE))/(VLOOKUP($BS525,'Données par municipalité'!$B$4:$L$1113,11,FALSE)),"")</f>
        <v/>
      </c>
      <c r="DF525" s="483" t="str">
        <f>IFERROR(SUM(VLOOKUP($BS525,'État &amp; Plan d''action'!$B$6:$Z$1113,19,FALSE),VLOOKUP($BS525,'État &amp; Plan d''action'!$B$6:$Z$1113,21,FALSE))/(VLOOKUP($BS525,'Données par municipalité'!$B$4:$L$1113,11,FALSE)),"")</f>
        <v/>
      </c>
      <c r="DG525" s="476" t="s">
        <v>4723</v>
      </c>
      <c r="DH525" s="484">
        <v>1</v>
      </c>
      <c r="DI525" s="484">
        <v>3</v>
      </c>
      <c r="DJ525" s="484">
        <v>0</v>
      </c>
      <c r="DK525" s="484">
        <v>3</v>
      </c>
      <c r="DL525" s="484" t="s">
        <v>1124</v>
      </c>
      <c r="DM525" s="484" t="s">
        <v>1124</v>
      </c>
      <c r="DN525" s="484" t="s">
        <v>1124</v>
      </c>
      <c r="DO525" s="484" t="s">
        <v>1124</v>
      </c>
      <c r="DP525" s="484" t="s">
        <v>1124</v>
      </c>
      <c r="DQ525" s="484" t="str">
        <f>IF(VLOOKUP($BS525,'État &amp; Plan d''action'!$B$6:$AJ$1113,28,FALSE)="","",VLOOKUP($BS525,'État &amp; Plan d''action'!$B$6:$AJ$1113,28,FALSE))</f>
        <v/>
      </c>
      <c r="DR525" s="70" t="str">
        <f>IF(VLOOKUP($BS525,'État &amp; Plan d''action'!$B$6:$AJ$1113,29,FALSE)="","",VLOOKUP($BS525,'État &amp; Plan d''action'!$B$6:$AJ$1113,29,FALSE))</f>
        <v/>
      </c>
      <c r="DS525" s="70" t="str">
        <f>IF(VLOOKUP($BS525,'État &amp; Plan d''action'!$B$6:$AJ$1113,30,FALSE)="","",VLOOKUP($BS525,'État &amp; Plan d''action'!$B$6:$AJ$1113,30,FALSE))</f>
        <v/>
      </c>
      <c r="DT525" s="70" t="s">
        <v>1124</v>
      </c>
      <c r="DU525" s="485" t="s">
        <v>1124</v>
      </c>
      <c r="DV525" s="485" t="s">
        <v>1124</v>
      </c>
      <c r="DW525" s="70" t="s">
        <v>1124</v>
      </c>
      <c r="DX525" s="70" t="s">
        <v>1124</v>
      </c>
      <c r="DY525" s="70" t="s">
        <v>1124</v>
      </c>
      <c r="DZ525" s="70" t="str">
        <f>VLOOKUP($BS525,'État &amp; Plan d''action'!$B$6:$AH$1113,31,FALSE)</f>
        <v/>
      </c>
      <c r="EA525" s="70" t="str">
        <f>VLOOKUP($BS525,'État &amp; Plan d''action'!$B$6:$AH$1113,32,FALSE)</f>
        <v/>
      </c>
      <c r="EB525" s="70" t="str">
        <f>VLOOKUP($BS525,'État &amp; Plan d''action'!$B$6:$AH$1113,33,FALSE)</f>
        <v/>
      </c>
      <c r="EC525" s="70" t="s">
        <v>1124</v>
      </c>
      <c r="ED525" s="70" t="s">
        <v>1124</v>
      </c>
      <c r="EE525" s="70" t="s">
        <v>1124</v>
      </c>
      <c r="EF525" s="70" t="s">
        <v>1124</v>
      </c>
      <c r="EG525" s="70" t="s">
        <v>1124</v>
      </c>
      <c r="EH525" s="72"/>
      <c r="EI525" s="72">
        <v>430</v>
      </c>
    </row>
    <row r="526" spans="71:139" x14ac:dyDescent="0.35">
      <c r="BS526" s="486">
        <v>89010</v>
      </c>
      <c r="BT526" s="479" t="s">
        <v>929</v>
      </c>
      <c r="BU526" s="479">
        <v>8</v>
      </c>
      <c r="BV526" s="476" t="s">
        <v>1187</v>
      </c>
      <c r="BW526" s="476" t="s">
        <v>1187</v>
      </c>
      <c r="BX526" s="476" t="s">
        <v>1187</v>
      </c>
      <c r="BY526" s="476" t="s">
        <v>1187</v>
      </c>
      <c r="BZ526" s="476" t="s">
        <v>1187</v>
      </c>
      <c r="CA526" s="476" t="s">
        <v>1187</v>
      </c>
      <c r="CB526" s="476" t="s">
        <v>1187</v>
      </c>
      <c r="CC526" s="476" t="s">
        <v>1187</v>
      </c>
      <c r="CD526" s="476" t="s">
        <v>1187</v>
      </c>
      <c r="CE526" s="476" t="s">
        <v>1188</v>
      </c>
      <c r="CF526" s="476" t="s">
        <v>1188</v>
      </c>
      <c r="CG526" s="476" t="s">
        <v>1188</v>
      </c>
      <c r="CH526" s="476" t="s">
        <v>1187</v>
      </c>
      <c r="CI526" s="476" t="s">
        <v>1188</v>
      </c>
      <c r="CJ526" s="476" t="s">
        <v>1187</v>
      </c>
      <c r="CK526" s="476" t="s">
        <v>1188</v>
      </c>
      <c r="CL526" s="476" t="s">
        <v>1187</v>
      </c>
      <c r="CM526" s="476" t="str">
        <f>IF(VLOOKUP(BS526,'Données par municipalité'!$B$6:$E$1113,4,FALSE)="","non","oui")</f>
        <v>oui</v>
      </c>
      <c r="CN526" s="410">
        <v>159.98966141121738</v>
      </c>
      <c r="CO526" s="410">
        <v>256.46326280334551</v>
      </c>
      <c r="CP526" s="410">
        <v>232.42086550179485</v>
      </c>
      <c r="CQ526" s="410"/>
      <c r="CR526" s="410">
        <v>420.41575003825386</v>
      </c>
      <c r="CS526" s="410" t="s">
        <v>1124</v>
      </c>
      <c r="CT526" s="410">
        <v>166.68801151779729</v>
      </c>
      <c r="CU526" s="410" t="s">
        <v>1124</v>
      </c>
      <c r="CV526" s="410">
        <f>IF(VLOOKUP(BS526,'Données par municipalité'!$B$6:$F$1113,4,FALSE)="","",VLOOKUP(BS526,'Données par municipalité'!$B$6:$F$1113,4,FALSE))</f>
        <v>436</v>
      </c>
      <c r="CW526" s="476" t="s">
        <v>4723</v>
      </c>
      <c r="CX526" s="483">
        <v>0</v>
      </c>
      <c r="CY526" s="483">
        <v>0</v>
      </c>
      <c r="CZ526" s="483" t="s">
        <v>1124</v>
      </c>
      <c r="DA526" s="483">
        <v>0</v>
      </c>
      <c r="DB526" s="483" t="s">
        <v>1124</v>
      </c>
      <c r="DC526" s="483">
        <v>0</v>
      </c>
      <c r="DD526" s="483" t="s">
        <v>1124</v>
      </c>
      <c r="DE526" s="483">
        <f>IFERROR(SUM(VLOOKUP($BS526,'État &amp; Plan d''action'!$B$6:$Z$1113,18,FALSE),VLOOKUP($BS526,'État &amp; Plan d''action'!$B$6:$Z$1113,20,FALSE))/(VLOOKUP($BS526,'Données par municipalité'!$B$4:$L$1113,11,FALSE)),"")</f>
        <v>0</v>
      </c>
      <c r="DF526" s="483">
        <f>IFERROR(SUM(VLOOKUP($BS526,'État &amp; Plan d''action'!$B$6:$Z$1113,19,FALSE),VLOOKUP($BS526,'État &amp; Plan d''action'!$B$6:$Z$1113,21,FALSE))/(VLOOKUP($BS526,'Données par municipalité'!$B$4:$L$1113,11,FALSE)),"")</f>
        <v>0</v>
      </c>
      <c r="DG526" s="476" t="s">
        <v>4723</v>
      </c>
      <c r="DH526" s="484">
        <v>6</v>
      </c>
      <c r="DI526" s="484">
        <v>8</v>
      </c>
      <c r="DJ526" s="484">
        <v>7</v>
      </c>
      <c r="DK526" s="484">
        <v>10</v>
      </c>
      <c r="DL526" s="484" t="s">
        <v>1124</v>
      </c>
      <c r="DM526" s="484">
        <v>0</v>
      </c>
      <c r="DN526" s="484" t="s">
        <v>1124</v>
      </c>
      <c r="DO526" s="484" t="s">
        <v>1124</v>
      </c>
      <c r="DP526" s="484" t="s">
        <v>1124</v>
      </c>
      <c r="DQ526" s="484">
        <f>IF(VLOOKUP($BS526,'État &amp; Plan d''action'!$B$6:$AJ$1113,28,FALSE)="","",VLOOKUP($BS526,'État &amp; Plan d''action'!$B$6:$AJ$1113,28,FALSE))</f>
        <v>1</v>
      </c>
      <c r="DR526" s="70">
        <f>IF(VLOOKUP($BS526,'État &amp; Plan d''action'!$B$6:$AJ$1113,29,FALSE)="","",VLOOKUP($BS526,'État &amp; Plan d''action'!$B$6:$AJ$1113,29,FALSE))</f>
        <v>0</v>
      </c>
      <c r="DS526" s="70">
        <f>IF(VLOOKUP($BS526,'État &amp; Plan d''action'!$B$6:$AJ$1113,30,FALSE)="","",VLOOKUP($BS526,'État &amp; Plan d''action'!$B$6:$AJ$1113,30,FALSE))</f>
        <v>0</v>
      </c>
      <c r="DT526" s="70" t="s">
        <v>1124</v>
      </c>
      <c r="DU526" s="485" t="s">
        <v>1124</v>
      </c>
      <c r="DV526" s="485">
        <v>2.5968809520643874</v>
      </c>
      <c r="DW526" s="70" t="s">
        <v>1124</v>
      </c>
      <c r="DX526" s="70" t="s">
        <v>1124</v>
      </c>
      <c r="DY526" s="70" t="s">
        <v>1124</v>
      </c>
      <c r="DZ526" s="70">
        <f>VLOOKUP($BS526,'État &amp; Plan d''action'!$B$6:$AH$1113,31,FALSE)</f>
        <v>2</v>
      </c>
      <c r="EA526" s="70">
        <f>VLOOKUP($BS526,'État &amp; Plan d''action'!$B$6:$AH$1113,32,FALSE)</f>
        <v>0</v>
      </c>
      <c r="EB526" s="70">
        <f>VLOOKUP($BS526,'État &amp; Plan d''action'!$B$6:$AH$1113,33,FALSE)</f>
        <v>0</v>
      </c>
      <c r="EC526" s="70" t="s">
        <v>1124</v>
      </c>
      <c r="ED526" s="70" t="s">
        <v>1124</v>
      </c>
      <c r="EE526" s="70" t="s">
        <v>1124</v>
      </c>
      <c r="EF526" s="70" t="s">
        <v>1124</v>
      </c>
      <c r="EG526" s="70" t="s">
        <v>1124</v>
      </c>
      <c r="EH526" s="72"/>
      <c r="EI526" s="72">
        <v>1463</v>
      </c>
    </row>
    <row r="527" spans="71:139" x14ac:dyDescent="0.35">
      <c r="BS527" s="486">
        <v>14065</v>
      </c>
      <c r="BT527" s="479" t="s">
        <v>71</v>
      </c>
      <c r="BU527" s="479">
        <v>1</v>
      </c>
      <c r="BV527" s="476" t="s">
        <v>1187</v>
      </c>
      <c r="BW527" s="476" t="s">
        <v>1187</v>
      </c>
      <c r="BX527" s="476" t="s">
        <v>1187</v>
      </c>
      <c r="BY527" s="476" t="s">
        <v>1187</v>
      </c>
      <c r="BZ527" s="476" t="s">
        <v>1187</v>
      </c>
      <c r="CA527" s="476" t="s">
        <v>1187</v>
      </c>
      <c r="CB527" s="476" t="s">
        <v>1187</v>
      </c>
      <c r="CC527" s="476" t="s">
        <v>1187</v>
      </c>
      <c r="CD527" s="476" t="s">
        <v>1187</v>
      </c>
      <c r="CE527" s="476" t="s">
        <v>1188</v>
      </c>
      <c r="CF527" s="476" t="s">
        <v>1188</v>
      </c>
      <c r="CG527" s="476" t="s">
        <v>1188</v>
      </c>
      <c r="CH527" s="476" t="s">
        <v>1188</v>
      </c>
      <c r="CI527" s="476" t="s">
        <v>1188</v>
      </c>
      <c r="CJ527" s="476" t="s">
        <v>1188</v>
      </c>
      <c r="CK527" s="476" t="s">
        <v>1188</v>
      </c>
      <c r="CL527" s="476" t="s">
        <v>1188</v>
      </c>
      <c r="CM527" s="476" t="str">
        <f>IF(VLOOKUP(BS527,'Données par municipalité'!$B$6:$E$1113,4,FALSE)="","non","oui")</f>
        <v>oui</v>
      </c>
      <c r="CN527" s="410">
        <v>306.5538290068817</v>
      </c>
      <c r="CO527" s="410">
        <v>385.85404000651397</v>
      </c>
      <c r="CP527" s="410">
        <v>346.04188316800503</v>
      </c>
      <c r="CQ527" s="410">
        <v>430.30333435267062</v>
      </c>
      <c r="CR527" s="410">
        <v>476.03284116746408</v>
      </c>
      <c r="CS527" s="410">
        <v>431.54899849542568</v>
      </c>
      <c r="CT527" s="410">
        <v>423.54567501057642</v>
      </c>
      <c r="CU527" s="410">
        <v>418</v>
      </c>
      <c r="CV527" s="410">
        <f>IF(VLOOKUP(BS527,'Données par municipalité'!$B$6:$F$1113,4,FALSE)="","",VLOOKUP(BS527,'Données par municipalité'!$B$6:$F$1113,4,FALSE))</f>
        <v>474</v>
      </c>
      <c r="CW527" s="476" t="s">
        <v>4723</v>
      </c>
      <c r="CX527" s="483">
        <v>0.1</v>
      </c>
      <c r="CY527" s="483">
        <v>0</v>
      </c>
      <c r="CZ527" s="483">
        <v>0</v>
      </c>
      <c r="DA527" s="483">
        <v>0</v>
      </c>
      <c r="DB527" s="483">
        <v>0</v>
      </c>
      <c r="DC527" s="483">
        <v>0</v>
      </c>
      <c r="DD527" s="483">
        <v>0</v>
      </c>
      <c r="DE527" s="483">
        <f>IFERROR(SUM(VLOOKUP($BS527,'État &amp; Plan d''action'!$B$6:$Z$1113,18,FALSE),VLOOKUP($BS527,'État &amp; Plan d''action'!$B$6:$Z$1113,20,FALSE))/(VLOOKUP($BS527,'Données par municipalité'!$B$4:$L$1113,11,FALSE)),"")</f>
        <v>0</v>
      </c>
      <c r="DF527" s="483">
        <f>IFERROR(SUM(VLOOKUP($BS527,'État &amp; Plan d''action'!$B$6:$Z$1113,19,FALSE),VLOOKUP($BS527,'État &amp; Plan d''action'!$B$6:$Z$1113,21,FALSE))/(VLOOKUP($BS527,'Données par municipalité'!$B$4:$L$1113,11,FALSE)),"")</f>
        <v>0</v>
      </c>
      <c r="DG527" s="476" t="s">
        <v>4723</v>
      </c>
      <c r="DH527" s="484">
        <v>0</v>
      </c>
      <c r="DI527" s="484">
        <v>0</v>
      </c>
      <c r="DJ527" s="484">
        <v>0</v>
      </c>
      <c r="DK527" s="484">
        <v>0</v>
      </c>
      <c r="DL527" s="484">
        <v>0</v>
      </c>
      <c r="DM527" s="484">
        <v>1</v>
      </c>
      <c r="DN527" s="484">
        <v>0</v>
      </c>
      <c r="DO527" s="484">
        <v>0</v>
      </c>
      <c r="DP527" s="484">
        <v>0</v>
      </c>
      <c r="DQ527" s="484">
        <f>IF(VLOOKUP($BS527,'État &amp; Plan d''action'!$B$6:$AJ$1113,28,FALSE)="","",VLOOKUP($BS527,'État &amp; Plan d''action'!$B$6:$AJ$1113,28,FALSE))</f>
        <v>0</v>
      </c>
      <c r="DR527" s="70">
        <f>IF(VLOOKUP($BS527,'État &amp; Plan d''action'!$B$6:$AJ$1113,29,FALSE)="","",VLOOKUP($BS527,'État &amp; Plan d''action'!$B$6:$AJ$1113,29,FALSE))</f>
        <v>0</v>
      </c>
      <c r="DS527" s="70">
        <f>IF(VLOOKUP($BS527,'État &amp; Plan d''action'!$B$6:$AJ$1113,30,FALSE)="","",VLOOKUP($BS527,'État &amp; Plan d''action'!$B$6:$AJ$1113,30,FALSE))</f>
        <v>0</v>
      </c>
      <c r="DT527" s="70">
        <v>217</v>
      </c>
      <c r="DU527" s="485">
        <v>1.2514521062629638</v>
      </c>
      <c r="DV527" s="485">
        <v>0.1819242594709107</v>
      </c>
      <c r="DW527" s="70">
        <v>0</v>
      </c>
      <c r="DX527" s="70">
        <v>0</v>
      </c>
      <c r="DY527" s="70">
        <v>0</v>
      </c>
      <c r="DZ527" s="70">
        <f>VLOOKUP($BS527,'État &amp; Plan d''action'!$B$6:$AH$1113,31,FALSE)</f>
        <v>0</v>
      </c>
      <c r="EA527" s="70">
        <f>VLOOKUP($BS527,'État &amp; Plan d''action'!$B$6:$AH$1113,32,FALSE)</f>
        <v>0</v>
      </c>
      <c r="EB527" s="70">
        <f>VLOOKUP($BS527,'État &amp; Plan d''action'!$B$6:$AH$1113,33,FALSE)</f>
        <v>0</v>
      </c>
      <c r="EC527" s="70">
        <v>0</v>
      </c>
      <c r="ED527" s="70">
        <v>0</v>
      </c>
      <c r="EE527" s="70">
        <v>0</v>
      </c>
      <c r="EF527" s="70">
        <v>0</v>
      </c>
      <c r="EG527" s="70">
        <v>0</v>
      </c>
      <c r="EH527" s="72">
        <v>62</v>
      </c>
      <c r="EI527" s="72">
        <v>974</v>
      </c>
    </row>
    <row r="528" spans="71:139" x14ac:dyDescent="0.35">
      <c r="BS528" s="486">
        <v>79037</v>
      </c>
      <c r="BT528" s="479" t="s">
        <v>792</v>
      </c>
      <c r="BU528" s="479">
        <v>15</v>
      </c>
      <c r="BV528" s="476" t="s">
        <v>1187</v>
      </c>
      <c r="BW528" s="476" t="s">
        <v>1187</v>
      </c>
      <c r="BX528" s="476" t="s">
        <v>1187</v>
      </c>
      <c r="BY528" s="476" t="s">
        <v>1187</v>
      </c>
      <c r="BZ528" s="476" t="s">
        <v>1187</v>
      </c>
      <c r="CA528" s="476" t="s">
        <v>1187</v>
      </c>
      <c r="CB528" s="476" t="s">
        <v>1187</v>
      </c>
      <c r="CC528" s="476" t="s">
        <v>1187</v>
      </c>
      <c r="CD528" s="476" t="s">
        <v>1187</v>
      </c>
      <c r="CE528" s="476" t="s">
        <v>1188</v>
      </c>
      <c r="CF528" s="476" t="s">
        <v>1188</v>
      </c>
      <c r="CG528" s="476" t="s">
        <v>1188</v>
      </c>
      <c r="CH528" s="476" t="s">
        <v>1188</v>
      </c>
      <c r="CI528" s="476" t="s">
        <v>1188</v>
      </c>
      <c r="CJ528" s="476" t="s">
        <v>1187</v>
      </c>
      <c r="CK528" s="476" t="s">
        <v>1188</v>
      </c>
      <c r="CL528" s="476" t="s">
        <v>1188</v>
      </c>
      <c r="CM528" s="476" t="str">
        <f>IF(VLOOKUP(BS528,'Données par municipalité'!$B$6:$E$1113,4,FALSE)="","non","oui")</f>
        <v>oui</v>
      </c>
      <c r="CN528" s="410">
        <v>377.88315185575465</v>
      </c>
      <c r="CO528" s="410">
        <v>234.35189077265579</v>
      </c>
      <c r="CP528" s="410">
        <v>182.56912141946069</v>
      </c>
      <c r="CQ528" s="410">
        <v>193.15361279646996</v>
      </c>
      <c r="CR528" s="410">
        <v>266.8080472287499</v>
      </c>
      <c r="CS528" s="410" t="s">
        <v>1124</v>
      </c>
      <c r="CT528" s="410">
        <v>528.5067564859628</v>
      </c>
      <c r="CU528" s="410">
        <v>524</v>
      </c>
      <c r="CV528" s="410">
        <f>IF(VLOOKUP(BS528,'Données par municipalité'!$B$6:$F$1113,4,FALSE)="","",VLOOKUP(BS528,'Données par municipalité'!$B$6:$F$1113,4,FALSE))</f>
        <v>537</v>
      </c>
      <c r="CW528" s="476" t="s">
        <v>4723</v>
      </c>
      <c r="CX528" s="483">
        <v>0.2</v>
      </c>
      <c r="CY528" s="483">
        <v>0</v>
      </c>
      <c r="CZ528" s="483">
        <v>0</v>
      </c>
      <c r="DA528" s="483">
        <v>0</v>
      </c>
      <c r="DB528" s="483" t="s">
        <v>1124</v>
      </c>
      <c r="DC528" s="483">
        <v>0</v>
      </c>
      <c r="DD528" s="483">
        <v>0.50001553132668597</v>
      </c>
      <c r="DE528" s="483">
        <f>IFERROR(SUM(VLOOKUP($BS528,'État &amp; Plan d''action'!$B$6:$Z$1113,18,FALSE),VLOOKUP($BS528,'État &amp; Plan d''action'!$B$6:$Z$1113,20,FALSE))/(VLOOKUP($BS528,'Données par municipalité'!$B$4:$L$1113,11,FALSE)),"")</f>
        <v>0.99999999999999978</v>
      </c>
      <c r="DF528" s="483">
        <f>IFERROR(SUM(VLOOKUP($BS528,'État &amp; Plan d''action'!$B$6:$Z$1113,19,FALSE),VLOOKUP($BS528,'État &amp; Plan d''action'!$B$6:$Z$1113,21,FALSE))/(VLOOKUP($BS528,'Données par municipalité'!$B$4:$L$1113,11,FALSE)),"")</f>
        <v>1.9999999999999996</v>
      </c>
      <c r="DG528" s="476" t="s">
        <v>4723</v>
      </c>
      <c r="DH528" s="484">
        <v>10</v>
      </c>
      <c r="DI528" s="484" t="s">
        <v>1124</v>
      </c>
      <c r="DJ528" s="484">
        <v>10</v>
      </c>
      <c r="DK528" s="484">
        <v>11</v>
      </c>
      <c r="DL528" s="484" t="s">
        <v>1124</v>
      </c>
      <c r="DM528" s="484">
        <v>8</v>
      </c>
      <c r="DN528" s="484">
        <v>5</v>
      </c>
      <c r="DO528" s="484">
        <v>0</v>
      </c>
      <c r="DP528" s="484">
        <v>4</v>
      </c>
      <c r="DQ528" s="484">
        <f>IF(VLOOKUP($BS528,'État &amp; Plan d''action'!$B$6:$AJ$1113,28,FALSE)="","",VLOOKUP($BS528,'État &amp; Plan d''action'!$B$6:$AJ$1113,28,FALSE))</f>
        <v>6</v>
      </c>
      <c r="DR528" s="70">
        <f>IF(VLOOKUP($BS528,'État &amp; Plan d''action'!$B$6:$AJ$1113,29,FALSE)="","",VLOOKUP($BS528,'État &amp; Plan d''action'!$B$6:$AJ$1113,29,FALSE))</f>
        <v>1</v>
      </c>
      <c r="DS528" s="70">
        <f>IF(VLOOKUP($BS528,'État &amp; Plan d''action'!$B$6:$AJ$1113,30,FALSE)="","",VLOOKUP($BS528,'État &amp; Plan d''action'!$B$6:$AJ$1113,30,FALSE))</f>
        <v>2</v>
      </c>
      <c r="DT528" s="70">
        <v>419</v>
      </c>
      <c r="DU528" s="485">
        <v>1.6395935823347461</v>
      </c>
      <c r="DV528" s="485">
        <v>5.2082559229181964</v>
      </c>
      <c r="DW528" s="70">
        <v>1</v>
      </c>
      <c r="DX528" s="70">
        <v>0</v>
      </c>
      <c r="DY528" s="70">
        <v>1</v>
      </c>
      <c r="DZ528" s="70">
        <f>VLOOKUP($BS528,'État &amp; Plan d''action'!$B$6:$AH$1113,31,FALSE)</f>
        <v>3</v>
      </c>
      <c r="EA528" s="70">
        <f>VLOOKUP($BS528,'État &amp; Plan d''action'!$B$6:$AH$1113,32,FALSE)</f>
        <v>1</v>
      </c>
      <c r="EB528" s="70">
        <f>VLOOKUP($BS528,'État &amp; Plan d''action'!$B$6:$AH$1113,33,FALSE)</f>
        <v>3</v>
      </c>
      <c r="EC528" s="70">
        <v>0</v>
      </c>
      <c r="ED528" s="70">
        <v>0</v>
      </c>
      <c r="EE528" s="70">
        <v>16.097000000000001</v>
      </c>
      <c r="EF528" s="70">
        <v>0</v>
      </c>
      <c r="EG528" s="70">
        <v>0</v>
      </c>
      <c r="EH528" s="72">
        <v>59</v>
      </c>
      <c r="EI528" s="72">
        <v>4425</v>
      </c>
    </row>
    <row r="529" spans="71:139" x14ac:dyDescent="0.35">
      <c r="BS529" s="486">
        <v>98050</v>
      </c>
      <c r="BT529" s="479" t="s">
        <v>1017</v>
      </c>
      <c r="BU529" s="479">
        <v>9</v>
      </c>
      <c r="BV529" s="476" t="s">
        <v>1187</v>
      </c>
      <c r="BW529" s="476" t="s">
        <v>1187</v>
      </c>
      <c r="BX529" s="476" t="s">
        <v>1187</v>
      </c>
      <c r="BY529" s="476" t="s">
        <v>1187</v>
      </c>
      <c r="BZ529" s="476" t="s">
        <v>1187</v>
      </c>
      <c r="CA529" s="476" t="s">
        <v>1187</v>
      </c>
      <c r="CB529" s="476" t="s">
        <v>1187</v>
      </c>
      <c r="CC529" s="476" t="s">
        <v>1187</v>
      </c>
      <c r="CD529" s="476" t="s">
        <v>1187</v>
      </c>
      <c r="CE529" s="476" t="s">
        <v>1188</v>
      </c>
      <c r="CF529" s="476" t="s">
        <v>1188</v>
      </c>
      <c r="CG529" s="476" t="s">
        <v>1187</v>
      </c>
      <c r="CH529" s="476" t="s">
        <v>1187</v>
      </c>
      <c r="CI529" s="476" t="s">
        <v>1188</v>
      </c>
      <c r="CJ529" s="476" t="s">
        <v>1187</v>
      </c>
      <c r="CK529" s="476" t="s">
        <v>1188</v>
      </c>
      <c r="CL529" s="476" t="s">
        <v>1188</v>
      </c>
      <c r="CM529" s="476" t="str">
        <f>IF(VLOOKUP(BS529,'Données par municipalité'!$B$6:$E$1113,4,FALSE)="","non","oui")</f>
        <v>oui</v>
      </c>
      <c r="CN529" s="410">
        <v>306.93027332985974</v>
      </c>
      <c r="CO529" s="410">
        <v>322.45728709281656</v>
      </c>
      <c r="CP529" s="410"/>
      <c r="CQ529" s="410"/>
      <c r="CR529" s="410">
        <v>242.6271157345418</v>
      </c>
      <c r="CS529" s="410" t="s">
        <v>1124</v>
      </c>
      <c r="CT529" s="410">
        <v>185.53232396058638</v>
      </c>
      <c r="CU529" s="410">
        <v>131</v>
      </c>
      <c r="CV529" s="410">
        <f>IF(VLOOKUP(BS529,'Données par municipalité'!$B$6:$F$1113,4,FALSE)="","",VLOOKUP(BS529,'Données par municipalité'!$B$6:$F$1113,4,FALSE))</f>
        <v>167</v>
      </c>
      <c r="CW529" s="476" t="s">
        <v>4723</v>
      </c>
      <c r="CX529" s="483">
        <v>0</v>
      </c>
      <c r="CY529" s="483" t="s">
        <v>1124</v>
      </c>
      <c r="CZ529" s="483" t="s">
        <v>1124</v>
      </c>
      <c r="DA529" s="483">
        <v>0</v>
      </c>
      <c r="DB529" s="483" t="s">
        <v>1124</v>
      </c>
      <c r="DC529" s="483">
        <v>0</v>
      </c>
      <c r="DD529" s="483">
        <v>0</v>
      </c>
      <c r="DE529" s="483">
        <f>IFERROR(SUM(VLOOKUP($BS529,'État &amp; Plan d''action'!$B$6:$Z$1113,18,FALSE),VLOOKUP($BS529,'État &amp; Plan d''action'!$B$6:$Z$1113,20,FALSE))/(VLOOKUP($BS529,'Données par municipalité'!$B$4:$L$1113,11,FALSE)),"")</f>
        <v>0</v>
      </c>
      <c r="DF529" s="483">
        <f>IFERROR(SUM(VLOOKUP($BS529,'État &amp; Plan d''action'!$B$6:$Z$1113,19,FALSE),VLOOKUP($BS529,'État &amp; Plan d''action'!$B$6:$Z$1113,21,FALSE))/(VLOOKUP($BS529,'Données par municipalité'!$B$4:$L$1113,11,FALSE)),"")</f>
        <v>0</v>
      </c>
      <c r="DG529" s="476" t="s">
        <v>4723</v>
      </c>
      <c r="DH529" s="484">
        <v>4</v>
      </c>
      <c r="DI529" s="484">
        <v>3</v>
      </c>
      <c r="DJ529" s="484">
        <v>2</v>
      </c>
      <c r="DK529" s="484">
        <v>0</v>
      </c>
      <c r="DL529" s="484" t="s">
        <v>1124</v>
      </c>
      <c r="DM529" s="484">
        <v>0</v>
      </c>
      <c r="DN529" s="484">
        <v>0</v>
      </c>
      <c r="DO529" s="484">
        <v>0</v>
      </c>
      <c r="DP529" s="484">
        <v>0</v>
      </c>
      <c r="DQ529" s="484">
        <f>IF(VLOOKUP($BS529,'État &amp; Plan d''action'!$B$6:$AJ$1113,28,FALSE)="","",VLOOKUP($BS529,'État &amp; Plan d''action'!$B$6:$AJ$1113,28,FALSE))</f>
        <v>0</v>
      </c>
      <c r="DR529" s="70">
        <f>IF(VLOOKUP($BS529,'État &amp; Plan d''action'!$B$6:$AJ$1113,29,FALSE)="","",VLOOKUP($BS529,'État &amp; Plan d''action'!$B$6:$AJ$1113,29,FALSE))</f>
        <v>0</v>
      </c>
      <c r="DS529" s="70">
        <f>IF(VLOOKUP($BS529,'État &amp; Plan d''action'!$B$6:$AJ$1113,30,FALSE)="","",VLOOKUP($BS529,'État &amp; Plan d''action'!$B$6:$AJ$1113,30,FALSE))</f>
        <v>0</v>
      </c>
      <c r="DT529" s="70">
        <v>102</v>
      </c>
      <c r="DU529" s="485">
        <v>0.77527962634345982</v>
      </c>
      <c r="DV529" s="485">
        <v>1.130565227521138</v>
      </c>
      <c r="DW529" s="70">
        <v>0</v>
      </c>
      <c r="DX529" s="70">
        <v>0</v>
      </c>
      <c r="DY529" s="70">
        <v>0</v>
      </c>
      <c r="DZ529" s="70">
        <f>VLOOKUP($BS529,'État &amp; Plan d''action'!$B$6:$AH$1113,31,FALSE)</f>
        <v>0</v>
      </c>
      <c r="EA529" s="70">
        <f>VLOOKUP($BS529,'État &amp; Plan d''action'!$B$6:$AH$1113,32,FALSE)</f>
        <v>0</v>
      </c>
      <c r="EB529" s="70">
        <f>VLOOKUP($BS529,'État &amp; Plan d''action'!$B$6:$AH$1113,33,FALSE)</f>
        <v>0</v>
      </c>
      <c r="EC529" s="70">
        <v>0</v>
      </c>
      <c r="ED529" s="70">
        <v>0</v>
      </c>
      <c r="EE529" s="70">
        <v>0</v>
      </c>
      <c r="EF529" s="70">
        <v>0</v>
      </c>
      <c r="EG529" s="70">
        <v>0</v>
      </c>
      <c r="EH529" s="72">
        <v>41</v>
      </c>
      <c r="EI529" s="72">
        <v>251</v>
      </c>
    </row>
    <row r="530" spans="71:139" x14ac:dyDescent="0.35">
      <c r="BS530" s="486">
        <v>91025</v>
      </c>
      <c r="BT530" s="479" t="s">
        <v>941</v>
      </c>
      <c r="BU530" s="479">
        <v>2</v>
      </c>
      <c r="BV530" s="476" t="s">
        <v>1187</v>
      </c>
      <c r="BW530" s="476" t="s">
        <v>1187</v>
      </c>
      <c r="BX530" s="476" t="s">
        <v>1187</v>
      </c>
      <c r="BY530" s="476" t="s">
        <v>1187</v>
      </c>
      <c r="BZ530" s="476" t="s">
        <v>1187</v>
      </c>
      <c r="CA530" s="476" t="s">
        <v>1187</v>
      </c>
      <c r="CB530" s="476" t="s">
        <v>1187</v>
      </c>
      <c r="CC530" s="476" t="s">
        <v>1187</v>
      </c>
      <c r="CD530" s="476" t="s">
        <v>1187</v>
      </c>
      <c r="CE530" s="476" t="s">
        <v>1188</v>
      </c>
      <c r="CF530" s="476" t="s">
        <v>1188</v>
      </c>
      <c r="CG530" s="476" t="s">
        <v>1188</v>
      </c>
      <c r="CH530" s="476" t="s">
        <v>1188</v>
      </c>
      <c r="CI530" s="476" t="s">
        <v>1188</v>
      </c>
      <c r="CJ530" s="476" t="s">
        <v>1188</v>
      </c>
      <c r="CK530" s="476" t="s">
        <v>1188</v>
      </c>
      <c r="CL530" s="476" t="s">
        <v>1188</v>
      </c>
      <c r="CM530" s="476" t="str">
        <f>IF(VLOOKUP(BS530,'Données par municipalité'!$B$6:$E$1113,4,FALSE)="","non","oui")</f>
        <v>oui</v>
      </c>
      <c r="CN530" s="410">
        <v>697.57034537334664</v>
      </c>
      <c r="CO530" s="410">
        <v>632.59706984623665</v>
      </c>
      <c r="CP530" s="410">
        <v>637.2763825234947</v>
      </c>
      <c r="CQ530" s="410">
        <v>605.42139972871098</v>
      </c>
      <c r="CR530" s="410">
        <v>563.27699489424458</v>
      </c>
      <c r="CS530" s="410">
        <v>555.47889344366138</v>
      </c>
      <c r="CT530" s="410">
        <v>475.48194356155068</v>
      </c>
      <c r="CU530" s="410">
        <v>474</v>
      </c>
      <c r="CV530" s="410">
        <f>IF(VLOOKUP(BS530,'Données par municipalité'!$B$6:$F$1113,4,FALSE)="","",VLOOKUP(BS530,'Données par municipalité'!$B$6:$F$1113,4,FALSE))</f>
        <v>442</v>
      </c>
      <c r="CW530" s="476" t="s">
        <v>4723</v>
      </c>
      <c r="CX530" s="483">
        <v>0.2</v>
      </c>
      <c r="CY530" s="483">
        <v>0.2</v>
      </c>
      <c r="CZ530" s="483">
        <v>0.3</v>
      </c>
      <c r="DA530" s="483">
        <v>1</v>
      </c>
      <c r="DB530" s="483">
        <v>1</v>
      </c>
      <c r="DC530" s="483">
        <v>1</v>
      </c>
      <c r="DD530" s="483">
        <v>0.53397507290747959</v>
      </c>
      <c r="DE530" s="483">
        <f>IFERROR(SUM(VLOOKUP($BS530,'État &amp; Plan d''action'!$B$6:$Z$1113,18,FALSE),VLOOKUP($BS530,'État &amp; Plan d''action'!$B$6:$Z$1113,20,FALSE))/(VLOOKUP($BS530,'Données par municipalité'!$B$4:$L$1113,11,FALSE)),"")</f>
        <v>0.53397507290747959</v>
      </c>
      <c r="DF530" s="483">
        <f>IFERROR(SUM(VLOOKUP($BS530,'État &amp; Plan d''action'!$B$6:$Z$1113,19,FALSE),VLOOKUP($BS530,'État &amp; Plan d''action'!$B$6:$Z$1113,21,FALSE))/(VLOOKUP($BS530,'Données par municipalité'!$B$4:$L$1113,11,FALSE)),"")</f>
        <v>0.73847616465928023</v>
      </c>
      <c r="DG530" s="476" t="s">
        <v>4723</v>
      </c>
      <c r="DH530" s="484">
        <v>3</v>
      </c>
      <c r="DI530" s="484" t="s">
        <v>1124</v>
      </c>
      <c r="DJ530" s="484">
        <v>4</v>
      </c>
      <c r="DK530" s="484">
        <v>0</v>
      </c>
      <c r="DL530" s="484">
        <v>13</v>
      </c>
      <c r="DM530" s="484">
        <v>10</v>
      </c>
      <c r="DN530" s="484">
        <v>14</v>
      </c>
      <c r="DO530" s="484">
        <v>10</v>
      </c>
      <c r="DP530" s="484">
        <v>0</v>
      </c>
      <c r="DQ530" s="484">
        <f>IF(VLOOKUP($BS530,'État &amp; Plan d''action'!$B$6:$AJ$1113,28,FALSE)="","",VLOOKUP($BS530,'État &amp; Plan d''action'!$B$6:$AJ$1113,28,FALSE))</f>
        <v>14</v>
      </c>
      <c r="DR530" s="70">
        <f>IF(VLOOKUP($BS530,'État &amp; Plan d''action'!$B$6:$AJ$1113,29,FALSE)="","",VLOOKUP($BS530,'État &amp; Plan d''action'!$B$6:$AJ$1113,29,FALSE))</f>
        <v>2</v>
      </c>
      <c r="DS530" s="70">
        <f>IF(VLOOKUP($BS530,'État &amp; Plan d''action'!$B$6:$AJ$1113,30,FALSE)="","",VLOOKUP($BS530,'État &amp; Plan d''action'!$B$6:$AJ$1113,30,FALSE))</f>
        <v>0</v>
      </c>
      <c r="DT530" s="70">
        <v>329</v>
      </c>
      <c r="DU530" s="485">
        <v>5.0488675247390731</v>
      </c>
      <c r="DV530" s="485">
        <v>3.3796572483134608</v>
      </c>
      <c r="DW530" s="70">
        <v>5</v>
      </c>
      <c r="DX530" s="70">
        <v>5</v>
      </c>
      <c r="DY530" s="70">
        <v>0</v>
      </c>
      <c r="DZ530" s="70">
        <f>VLOOKUP($BS530,'État &amp; Plan d''action'!$B$6:$AH$1113,31,FALSE)</f>
        <v>5</v>
      </c>
      <c r="EA530" s="70">
        <f>VLOOKUP($BS530,'État &amp; Plan d''action'!$B$6:$AH$1113,32,FALSE)</f>
        <v>5</v>
      </c>
      <c r="EB530" s="70">
        <f>VLOOKUP($BS530,'État &amp; Plan d''action'!$B$6:$AH$1113,33,FALSE)</f>
        <v>0</v>
      </c>
      <c r="EC530" s="70">
        <v>20</v>
      </c>
      <c r="ED530" s="70">
        <v>0</v>
      </c>
      <c r="EE530" s="70">
        <v>47</v>
      </c>
      <c r="EF530" s="70">
        <v>0</v>
      </c>
      <c r="EG530" s="70">
        <v>0</v>
      </c>
      <c r="EH530" s="72">
        <v>66</v>
      </c>
      <c r="EI530" s="72">
        <v>9946</v>
      </c>
    </row>
    <row r="531" spans="71:139" x14ac:dyDescent="0.35">
      <c r="BS531" s="486">
        <v>88010</v>
      </c>
      <c r="BT531" s="479" t="s">
        <v>912</v>
      </c>
      <c r="BU531" s="479">
        <v>8</v>
      </c>
      <c r="BV531" s="476" t="s">
        <v>1188</v>
      </c>
      <c r="BW531" s="476" t="s">
        <v>1188</v>
      </c>
      <c r="BX531" s="476" t="s">
        <v>1188</v>
      </c>
      <c r="BY531" s="476" t="s">
        <v>1188</v>
      </c>
      <c r="BZ531" s="476" t="s">
        <v>1188</v>
      </c>
      <c r="CA531" s="476" t="s">
        <v>1188</v>
      </c>
      <c r="CB531" s="476" t="s">
        <v>1188</v>
      </c>
      <c r="CC531" s="476" t="s">
        <v>1188</v>
      </c>
      <c r="CD531" s="476" t="s">
        <v>1188</v>
      </c>
      <c r="CE531" s="476" t="s">
        <v>1187</v>
      </c>
      <c r="CF531" s="476" t="s">
        <v>1187</v>
      </c>
      <c r="CG531" s="476" t="s">
        <v>1187</v>
      </c>
      <c r="CH531" s="476" t="s">
        <v>1187</v>
      </c>
      <c r="CI531" s="476" t="s">
        <v>1187</v>
      </c>
      <c r="CJ531" s="476" t="s">
        <v>1187</v>
      </c>
      <c r="CK531" s="476" t="s">
        <v>1187</v>
      </c>
      <c r="CL531" s="476" t="s">
        <v>1187</v>
      </c>
      <c r="CM531" s="476" t="str">
        <f>IF(VLOOKUP(BS531,'Données par municipalité'!$B$6:$E$1113,4,FALSE)="","non","oui")</f>
        <v>non</v>
      </c>
      <c r="CN531" s="410" t="s">
        <v>1124</v>
      </c>
      <c r="CO531" s="410" t="s">
        <v>1124</v>
      </c>
      <c r="CP531" s="410"/>
      <c r="CQ531" s="410"/>
      <c r="CR531" s="410"/>
      <c r="CS531" s="410" t="s">
        <v>1124</v>
      </c>
      <c r="CT531" s="410"/>
      <c r="CU531" s="410" t="s">
        <v>1124</v>
      </c>
      <c r="CV531" s="410" t="str">
        <f>IF(VLOOKUP(BS531,'Données par municipalité'!$B$6:$F$1113,4,FALSE)="","",VLOOKUP(BS531,'Données par municipalité'!$B$6:$F$1113,4,FALSE))</f>
        <v/>
      </c>
      <c r="CW531" s="476" t="s">
        <v>4723</v>
      </c>
      <c r="CX531" s="483" t="s">
        <v>1124</v>
      </c>
      <c r="CY531" s="483" t="s">
        <v>1124</v>
      </c>
      <c r="CZ531" s="483" t="s">
        <v>1124</v>
      </c>
      <c r="DA531" s="483" t="s">
        <v>1124</v>
      </c>
      <c r="DB531" s="483" t="s">
        <v>1124</v>
      </c>
      <c r="DC531" s="483" t="s">
        <v>1124</v>
      </c>
      <c r="DD531" s="483" t="s">
        <v>1124</v>
      </c>
      <c r="DE531" s="483" t="str">
        <f>IFERROR(SUM(VLOOKUP($BS531,'État &amp; Plan d''action'!$B$6:$Z$1113,18,FALSE),VLOOKUP($BS531,'État &amp; Plan d''action'!$B$6:$Z$1113,20,FALSE))/(VLOOKUP($BS531,'Données par municipalité'!$B$4:$L$1113,11,FALSE)),"")</f>
        <v/>
      </c>
      <c r="DF531" s="483" t="str">
        <f>IFERROR(SUM(VLOOKUP($BS531,'État &amp; Plan d''action'!$B$6:$Z$1113,19,FALSE),VLOOKUP($BS531,'État &amp; Plan d''action'!$B$6:$Z$1113,21,FALSE))/(VLOOKUP($BS531,'Données par municipalité'!$B$4:$L$1113,11,FALSE)),"")</f>
        <v/>
      </c>
      <c r="DG531" s="476" t="s">
        <v>4723</v>
      </c>
      <c r="DH531" s="484">
        <v>0</v>
      </c>
      <c r="DI531" s="484">
        <v>0</v>
      </c>
      <c r="DJ531" s="484">
        <v>0</v>
      </c>
      <c r="DK531" s="484">
        <v>0</v>
      </c>
      <c r="DL531" s="484" t="s">
        <v>1124</v>
      </c>
      <c r="DM531" s="484" t="s">
        <v>1124</v>
      </c>
      <c r="DN531" s="484" t="s">
        <v>1124</v>
      </c>
      <c r="DO531" s="484" t="s">
        <v>1124</v>
      </c>
      <c r="DP531" s="484" t="s">
        <v>1124</v>
      </c>
      <c r="DQ531" s="484" t="str">
        <f>IF(VLOOKUP($BS531,'État &amp; Plan d''action'!$B$6:$AJ$1113,28,FALSE)="","",VLOOKUP($BS531,'État &amp; Plan d''action'!$B$6:$AJ$1113,28,FALSE))</f>
        <v/>
      </c>
      <c r="DR531" s="70" t="str">
        <f>IF(VLOOKUP($BS531,'État &amp; Plan d''action'!$B$6:$AJ$1113,29,FALSE)="","",VLOOKUP($BS531,'État &amp; Plan d''action'!$B$6:$AJ$1113,29,FALSE))</f>
        <v/>
      </c>
      <c r="DS531" s="70" t="str">
        <f>IF(VLOOKUP($BS531,'État &amp; Plan d''action'!$B$6:$AJ$1113,30,FALSE)="","",VLOOKUP($BS531,'État &amp; Plan d''action'!$B$6:$AJ$1113,30,FALSE))</f>
        <v/>
      </c>
      <c r="DT531" s="70" t="s">
        <v>1124</v>
      </c>
      <c r="DU531" s="485" t="s">
        <v>1124</v>
      </c>
      <c r="DV531" s="485" t="s">
        <v>1124</v>
      </c>
      <c r="DW531" s="70" t="s">
        <v>1124</v>
      </c>
      <c r="DX531" s="70" t="s">
        <v>1124</v>
      </c>
      <c r="DY531" s="70" t="s">
        <v>1124</v>
      </c>
      <c r="DZ531" s="70" t="str">
        <f>VLOOKUP($BS531,'État &amp; Plan d''action'!$B$6:$AH$1113,31,FALSE)</f>
        <v/>
      </c>
      <c r="EA531" s="70" t="str">
        <f>VLOOKUP($BS531,'État &amp; Plan d''action'!$B$6:$AH$1113,32,FALSE)</f>
        <v/>
      </c>
      <c r="EB531" s="70" t="str">
        <f>VLOOKUP($BS531,'État &amp; Plan d''action'!$B$6:$AH$1113,33,FALSE)</f>
        <v/>
      </c>
      <c r="EC531" s="70" t="s">
        <v>1124</v>
      </c>
      <c r="ED531" s="70" t="s">
        <v>1124</v>
      </c>
      <c r="EE531" s="70" t="s">
        <v>1124</v>
      </c>
      <c r="EF531" s="70" t="s">
        <v>1124</v>
      </c>
      <c r="EG531" s="70" t="s">
        <v>1124</v>
      </c>
      <c r="EH531" s="72"/>
      <c r="EI531" s="72">
        <v>141</v>
      </c>
    </row>
    <row r="532" spans="71:139" x14ac:dyDescent="0.35">
      <c r="BS532" s="486">
        <v>87015</v>
      </c>
      <c r="BT532" s="479" t="s">
        <v>892</v>
      </c>
      <c r="BU532" s="479">
        <v>8</v>
      </c>
      <c r="BV532" s="476" t="s">
        <v>1188</v>
      </c>
      <c r="BW532" s="476" t="s">
        <v>1188</v>
      </c>
      <c r="BX532" s="476" t="s">
        <v>1188</v>
      </c>
      <c r="BY532" s="476" t="s">
        <v>1188</v>
      </c>
      <c r="BZ532" s="476" t="s">
        <v>1188</v>
      </c>
      <c r="CA532" s="476" t="s">
        <v>1188</v>
      </c>
      <c r="CB532" s="476" t="s">
        <v>1188</v>
      </c>
      <c r="CC532" s="476" t="s">
        <v>1188</v>
      </c>
      <c r="CD532" s="476" t="s">
        <v>1188</v>
      </c>
      <c r="CE532" s="476" t="s">
        <v>1187</v>
      </c>
      <c r="CF532" s="476" t="s">
        <v>1187</v>
      </c>
      <c r="CG532" s="476" t="s">
        <v>1187</v>
      </c>
      <c r="CH532" s="476" t="s">
        <v>1187</v>
      </c>
      <c r="CI532" s="476" t="s">
        <v>1187</v>
      </c>
      <c r="CJ532" s="476" t="s">
        <v>1187</v>
      </c>
      <c r="CK532" s="476" t="s">
        <v>1187</v>
      </c>
      <c r="CL532" s="476" t="s">
        <v>1187</v>
      </c>
      <c r="CM532" s="476" t="str">
        <f>IF(VLOOKUP(BS532,'Données par municipalité'!$B$6:$E$1113,4,FALSE)="","non","oui")</f>
        <v>non</v>
      </c>
      <c r="CN532" s="410" t="s">
        <v>1124</v>
      </c>
      <c r="CO532" s="410" t="s">
        <v>1124</v>
      </c>
      <c r="CP532" s="410"/>
      <c r="CQ532" s="410"/>
      <c r="CR532" s="410"/>
      <c r="CS532" s="410" t="s">
        <v>1124</v>
      </c>
      <c r="CT532" s="410"/>
      <c r="CU532" s="410" t="s">
        <v>1124</v>
      </c>
      <c r="CV532" s="410" t="str">
        <f>IF(VLOOKUP(BS532,'Données par municipalité'!$B$6:$F$1113,4,FALSE)="","",VLOOKUP(BS532,'Données par municipalité'!$B$6:$F$1113,4,FALSE))</f>
        <v/>
      </c>
      <c r="CW532" s="476" t="s">
        <v>4723</v>
      </c>
      <c r="CX532" s="483" t="s">
        <v>1124</v>
      </c>
      <c r="CY532" s="483" t="s">
        <v>1124</v>
      </c>
      <c r="CZ532" s="483" t="s">
        <v>1124</v>
      </c>
      <c r="DA532" s="483" t="s">
        <v>1124</v>
      </c>
      <c r="DB532" s="483" t="s">
        <v>1124</v>
      </c>
      <c r="DC532" s="483" t="s">
        <v>1124</v>
      </c>
      <c r="DD532" s="483" t="s">
        <v>1124</v>
      </c>
      <c r="DE532" s="483" t="str">
        <f>IFERROR(SUM(VLOOKUP($BS532,'État &amp; Plan d''action'!$B$6:$Z$1113,18,FALSE),VLOOKUP($BS532,'État &amp; Plan d''action'!$B$6:$Z$1113,20,FALSE))/(VLOOKUP($BS532,'Données par municipalité'!$B$4:$L$1113,11,FALSE)),"")</f>
        <v/>
      </c>
      <c r="DF532" s="483" t="str">
        <f>IFERROR(SUM(VLOOKUP($BS532,'État &amp; Plan d''action'!$B$6:$Z$1113,19,FALSE),VLOOKUP($BS532,'État &amp; Plan d''action'!$B$6:$Z$1113,21,FALSE))/(VLOOKUP($BS532,'Données par municipalité'!$B$4:$L$1113,11,FALSE)),"")</f>
        <v/>
      </c>
      <c r="DG532" s="476" t="s">
        <v>4723</v>
      </c>
      <c r="DH532" s="484" t="s">
        <v>1124</v>
      </c>
      <c r="DI532" s="484" t="s">
        <v>1124</v>
      </c>
      <c r="DJ532" s="484">
        <v>0</v>
      </c>
      <c r="DK532" s="484">
        <v>0</v>
      </c>
      <c r="DL532" s="484" t="s">
        <v>1124</v>
      </c>
      <c r="DM532" s="484" t="s">
        <v>1124</v>
      </c>
      <c r="DN532" s="484" t="s">
        <v>1124</v>
      </c>
      <c r="DO532" s="484" t="s">
        <v>1124</v>
      </c>
      <c r="DP532" s="484" t="s">
        <v>1124</v>
      </c>
      <c r="DQ532" s="484" t="str">
        <f>IF(VLOOKUP($BS532,'État &amp; Plan d''action'!$B$6:$AJ$1113,28,FALSE)="","",VLOOKUP($BS532,'État &amp; Plan d''action'!$B$6:$AJ$1113,28,FALSE))</f>
        <v/>
      </c>
      <c r="DR532" s="70" t="str">
        <f>IF(VLOOKUP($BS532,'État &amp; Plan d''action'!$B$6:$AJ$1113,29,FALSE)="","",VLOOKUP($BS532,'État &amp; Plan d''action'!$B$6:$AJ$1113,29,FALSE))</f>
        <v/>
      </c>
      <c r="DS532" s="70" t="str">
        <f>IF(VLOOKUP($BS532,'État &amp; Plan d''action'!$B$6:$AJ$1113,30,FALSE)="","",VLOOKUP($BS532,'État &amp; Plan d''action'!$B$6:$AJ$1113,30,FALSE))</f>
        <v/>
      </c>
      <c r="DT532" s="70" t="s">
        <v>1124</v>
      </c>
      <c r="DU532" s="485" t="s">
        <v>1124</v>
      </c>
      <c r="DV532" s="485" t="s">
        <v>1124</v>
      </c>
      <c r="DW532" s="70" t="s">
        <v>1124</v>
      </c>
      <c r="DX532" s="70" t="s">
        <v>1124</v>
      </c>
      <c r="DY532" s="70" t="s">
        <v>1124</v>
      </c>
      <c r="DZ532" s="70" t="str">
        <f>VLOOKUP($BS532,'État &amp; Plan d''action'!$B$6:$AH$1113,31,FALSE)</f>
        <v/>
      </c>
      <c r="EA532" s="70" t="str">
        <f>VLOOKUP($BS532,'État &amp; Plan d''action'!$B$6:$AH$1113,32,FALSE)</f>
        <v/>
      </c>
      <c r="EB532" s="70" t="str">
        <f>VLOOKUP($BS532,'État &amp; Plan d''action'!$B$6:$AH$1113,33,FALSE)</f>
        <v/>
      </c>
      <c r="EC532" s="70" t="s">
        <v>1124</v>
      </c>
      <c r="ED532" s="70" t="s">
        <v>1124</v>
      </c>
      <c r="EE532" s="70" t="s">
        <v>1124</v>
      </c>
      <c r="EF532" s="70" t="s">
        <v>1124</v>
      </c>
      <c r="EG532" s="70" t="s">
        <v>1124</v>
      </c>
      <c r="EH532" s="72"/>
      <c r="EI532" s="72">
        <v>407</v>
      </c>
    </row>
    <row r="533" spans="71:139" x14ac:dyDescent="0.35">
      <c r="BS533" s="486">
        <v>73020</v>
      </c>
      <c r="BT533" s="479" t="s">
        <v>737</v>
      </c>
      <c r="BU533" s="479">
        <v>15</v>
      </c>
      <c r="BV533" s="476" t="s">
        <v>1187</v>
      </c>
      <c r="BW533" s="476" t="s">
        <v>1187</v>
      </c>
      <c r="BX533" s="476" t="s">
        <v>1187</v>
      </c>
      <c r="BY533" s="476" t="s">
        <v>1187</v>
      </c>
      <c r="BZ533" s="476" t="s">
        <v>1187</v>
      </c>
      <c r="CA533" s="476" t="s">
        <v>1187</v>
      </c>
      <c r="CB533" s="476" t="s">
        <v>1187</v>
      </c>
      <c r="CC533" s="476" t="s">
        <v>1187</v>
      </c>
      <c r="CD533" s="476" t="s">
        <v>1187</v>
      </c>
      <c r="CE533" s="476" t="s">
        <v>1188</v>
      </c>
      <c r="CF533" s="476" t="s">
        <v>1188</v>
      </c>
      <c r="CG533" s="476" t="s">
        <v>1188</v>
      </c>
      <c r="CH533" s="476" t="s">
        <v>1188</v>
      </c>
      <c r="CI533" s="476" t="s">
        <v>1188</v>
      </c>
      <c r="CJ533" s="476" t="s">
        <v>1188</v>
      </c>
      <c r="CK533" s="476" t="s">
        <v>1188</v>
      </c>
      <c r="CL533" s="476" t="s">
        <v>1187</v>
      </c>
      <c r="CM533" s="476" t="str">
        <f>IF(VLOOKUP(BS533,'Données par municipalité'!$B$6:$E$1113,4,FALSE)="","non","oui")</f>
        <v>oui</v>
      </c>
      <c r="CN533" s="410">
        <v>324.88458521627678</v>
      </c>
      <c r="CO533" s="410">
        <v>361.53244329243591</v>
      </c>
      <c r="CP533" s="410">
        <v>355.22461226143463</v>
      </c>
      <c r="CQ533" s="410">
        <v>390.0694408382796</v>
      </c>
      <c r="CR533" s="410">
        <v>374.66650582640358</v>
      </c>
      <c r="CS533" s="410">
        <v>493</v>
      </c>
      <c r="CT533" s="410">
        <v>423</v>
      </c>
      <c r="CU533" s="410" t="s">
        <v>1124</v>
      </c>
      <c r="CV533" s="410">
        <f>IF(VLOOKUP(BS533,'Données par municipalité'!$B$6:$F$1113,4,FALSE)="","",VLOOKUP(BS533,'Données par municipalité'!$B$6:$F$1113,4,FALSE))</f>
        <v>452</v>
      </c>
      <c r="CW533" s="476" t="s">
        <v>4723</v>
      </c>
      <c r="CX533" s="483">
        <v>0</v>
      </c>
      <c r="CY533" s="483">
        <v>0</v>
      </c>
      <c r="CZ533" s="483">
        <v>0</v>
      </c>
      <c r="DA533" s="483">
        <v>0</v>
      </c>
      <c r="DB533" s="483">
        <v>0.1</v>
      </c>
      <c r="DC533" s="483">
        <v>1</v>
      </c>
      <c r="DD533" s="483" t="s">
        <v>1124</v>
      </c>
      <c r="DE533" s="483">
        <f>IFERROR(SUM(VLOOKUP($BS533,'État &amp; Plan d''action'!$B$6:$Z$1113,18,FALSE),VLOOKUP($BS533,'État &amp; Plan d''action'!$B$6:$Z$1113,20,FALSE))/(VLOOKUP($BS533,'Données par municipalité'!$B$4:$L$1113,11,FALSE)),"")</f>
        <v>1</v>
      </c>
      <c r="DF533" s="483">
        <f>IFERROR(SUM(VLOOKUP($BS533,'État &amp; Plan d''action'!$B$6:$Z$1113,19,FALSE),VLOOKUP($BS533,'État &amp; Plan d''action'!$B$6:$Z$1113,21,FALSE))/(VLOOKUP($BS533,'Données par municipalité'!$B$4:$L$1113,11,FALSE)),"")</f>
        <v>1</v>
      </c>
      <c r="DG533" s="476" t="s">
        <v>4723</v>
      </c>
      <c r="DH533" s="484">
        <v>32</v>
      </c>
      <c r="DI533" s="484">
        <v>28</v>
      </c>
      <c r="DJ533" s="484">
        <v>31</v>
      </c>
      <c r="DK533" s="484">
        <v>25</v>
      </c>
      <c r="DL533" s="484">
        <v>25</v>
      </c>
      <c r="DM533" s="484">
        <v>15</v>
      </c>
      <c r="DN533" s="484" t="s">
        <v>1124</v>
      </c>
      <c r="DO533" s="484" t="s">
        <v>1124</v>
      </c>
      <c r="DP533" s="484" t="s">
        <v>1124</v>
      </c>
      <c r="DQ533" s="484">
        <f>IF(VLOOKUP($BS533,'État &amp; Plan d''action'!$B$6:$AJ$1113,28,FALSE)="","",VLOOKUP($BS533,'État &amp; Plan d''action'!$B$6:$AJ$1113,28,FALSE))</f>
        <v>14</v>
      </c>
      <c r="DR533" s="70">
        <f>IF(VLOOKUP($BS533,'État &amp; Plan d''action'!$B$6:$AJ$1113,29,FALSE)="","",VLOOKUP($BS533,'État &amp; Plan d''action'!$B$6:$AJ$1113,29,FALSE))</f>
        <v>0</v>
      </c>
      <c r="DS533" s="70">
        <f>IF(VLOOKUP($BS533,'État &amp; Plan d''action'!$B$6:$AJ$1113,30,FALSE)="","",VLOOKUP($BS533,'État &amp; Plan d''action'!$B$6:$AJ$1113,30,FALSE))</f>
        <v>0</v>
      </c>
      <c r="DT533" s="70" t="s">
        <v>1124</v>
      </c>
      <c r="DU533" s="485" t="s">
        <v>1124</v>
      </c>
      <c r="DV533" s="485">
        <v>5.3699316308133236</v>
      </c>
      <c r="DW533" s="70" t="s">
        <v>1124</v>
      </c>
      <c r="DX533" s="70" t="s">
        <v>1124</v>
      </c>
      <c r="DY533" s="70" t="s">
        <v>1124</v>
      </c>
      <c r="DZ533" s="70">
        <f>VLOOKUP($BS533,'État &amp; Plan d''action'!$B$6:$AH$1113,31,FALSE)</f>
        <v>1</v>
      </c>
      <c r="EA533" s="70">
        <f>VLOOKUP($BS533,'État &amp; Plan d''action'!$B$6:$AH$1113,32,FALSE)</f>
        <v>0</v>
      </c>
      <c r="EB533" s="70">
        <f>VLOOKUP($BS533,'État &amp; Plan d''action'!$B$6:$AH$1113,33,FALSE)</f>
        <v>0</v>
      </c>
      <c r="EC533" s="70" t="s">
        <v>1124</v>
      </c>
      <c r="ED533" s="70" t="s">
        <v>1124</v>
      </c>
      <c r="EE533" s="70" t="s">
        <v>1124</v>
      </c>
      <c r="EF533" s="70" t="s">
        <v>1124</v>
      </c>
      <c r="EG533" s="70" t="s">
        <v>1124</v>
      </c>
      <c r="EH533" s="72"/>
      <c r="EI533" s="72">
        <v>13986</v>
      </c>
    </row>
    <row r="534" spans="71:139" x14ac:dyDescent="0.35">
      <c r="BS534" s="486">
        <v>55037</v>
      </c>
      <c r="BT534" s="479" t="s">
        <v>563</v>
      </c>
      <c r="BU534" s="479">
        <v>16</v>
      </c>
      <c r="BV534" s="476" t="s">
        <v>1187</v>
      </c>
      <c r="BW534" s="476" t="s">
        <v>1187</v>
      </c>
      <c r="BX534" s="476" t="s">
        <v>1187</v>
      </c>
      <c r="BY534" s="476" t="s">
        <v>1187</v>
      </c>
      <c r="BZ534" s="476" t="s">
        <v>1187</v>
      </c>
      <c r="CA534" s="476" t="s">
        <v>1187</v>
      </c>
      <c r="CB534" s="476" t="s">
        <v>1187</v>
      </c>
      <c r="CC534" s="476" t="s">
        <v>1187</v>
      </c>
      <c r="CD534" s="476" t="s">
        <v>1187</v>
      </c>
      <c r="CE534" s="476" t="s">
        <v>1188</v>
      </c>
      <c r="CF534" s="476" t="s">
        <v>1188</v>
      </c>
      <c r="CG534" s="476" t="s">
        <v>1188</v>
      </c>
      <c r="CH534" s="476" t="s">
        <v>1188</v>
      </c>
      <c r="CI534" s="476" t="s">
        <v>1188</v>
      </c>
      <c r="CJ534" s="476" t="s">
        <v>1188</v>
      </c>
      <c r="CK534" s="476" t="s">
        <v>1188</v>
      </c>
      <c r="CL534" s="476" t="s">
        <v>1187</v>
      </c>
      <c r="CM534" s="476" t="str">
        <f>IF(VLOOKUP(BS534,'Données par municipalité'!$B$6:$E$1113,4,FALSE)="","non","oui")</f>
        <v>non</v>
      </c>
      <c r="CN534" s="410">
        <v>1418.3631391215501</v>
      </c>
      <c r="CO534" s="410">
        <v>1308.6118524166561</v>
      </c>
      <c r="CP534" s="410">
        <v>1242.8420351530556</v>
      </c>
      <c r="CQ534" s="410">
        <v>1121.6418117472865</v>
      </c>
      <c r="CR534" s="410">
        <v>1095.0714583896843</v>
      </c>
      <c r="CS534" s="410">
        <v>1042.4174397539921</v>
      </c>
      <c r="CT534" s="410">
        <v>1002.5891837095089</v>
      </c>
      <c r="CU534" s="410" t="s">
        <v>1124</v>
      </c>
      <c r="CV534" s="410" t="str">
        <f>IF(VLOOKUP(BS534,'Données par municipalité'!$B$6:$F$1113,4,FALSE)="","",VLOOKUP(BS534,'Données par municipalité'!$B$6:$F$1113,4,FALSE))</f>
        <v/>
      </c>
      <c r="CW534" s="476" t="s">
        <v>4723</v>
      </c>
      <c r="CX534" s="483">
        <v>0</v>
      </c>
      <c r="CY534" s="483">
        <v>0</v>
      </c>
      <c r="CZ534" s="483">
        <v>0</v>
      </c>
      <c r="DA534" s="483">
        <v>1</v>
      </c>
      <c r="DB534" s="483">
        <v>1</v>
      </c>
      <c r="DC534" s="483">
        <v>1</v>
      </c>
      <c r="DD534" s="483" t="s">
        <v>1124</v>
      </c>
      <c r="DE534" s="483" t="str">
        <f>IFERROR(SUM(VLOOKUP($BS534,'État &amp; Plan d''action'!$B$6:$Z$1113,18,FALSE),VLOOKUP($BS534,'État &amp; Plan d''action'!$B$6:$Z$1113,20,FALSE))/(VLOOKUP($BS534,'Données par municipalité'!$B$4:$L$1113,11,FALSE)),"")</f>
        <v/>
      </c>
      <c r="DF534" s="483" t="str">
        <f>IFERROR(SUM(VLOOKUP($BS534,'État &amp; Plan d''action'!$B$6:$Z$1113,19,FALSE),VLOOKUP($BS534,'État &amp; Plan d''action'!$B$6:$Z$1113,21,FALSE))/(VLOOKUP($BS534,'Données par municipalité'!$B$4:$L$1113,11,FALSE)),"")</f>
        <v/>
      </c>
      <c r="DG534" s="476" t="s">
        <v>4723</v>
      </c>
      <c r="DH534" s="484">
        <v>5</v>
      </c>
      <c r="DI534" s="484">
        <v>4</v>
      </c>
      <c r="DJ534" s="484">
        <v>8</v>
      </c>
      <c r="DK534" s="484">
        <v>5</v>
      </c>
      <c r="DL534" s="484">
        <v>2</v>
      </c>
      <c r="DM534" s="484">
        <v>6</v>
      </c>
      <c r="DN534" s="484" t="s">
        <v>1124</v>
      </c>
      <c r="DO534" s="484" t="s">
        <v>1124</v>
      </c>
      <c r="DP534" s="484" t="s">
        <v>1124</v>
      </c>
      <c r="DQ534" s="484" t="str">
        <f>IF(VLOOKUP($BS534,'État &amp; Plan d''action'!$B$6:$AJ$1113,28,FALSE)="","",VLOOKUP($BS534,'État &amp; Plan d''action'!$B$6:$AJ$1113,28,FALSE))</f>
        <v/>
      </c>
      <c r="DR534" s="70" t="str">
        <f>IF(VLOOKUP($BS534,'État &amp; Plan d''action'!$B$6:$AJ$1113,29,FALSE)="","",VLOOKUP($BS534,'État &amp; Plan d''action'!$B$6:$AJ$1113,29,FALSE))</f>
        <v/>
      </c>
      <c r="DS534" s="70" t="str">
        <f>IF(VLOOKUP($BS534,'État &amp; Plan d''action'!$B$6:$AJ$1113,30,FALSE)="","",VLOOKUP($BS534,'État &amp; Plan d''action'!$B$6:$AJ$1113,30,FALSE))</f>
        <v/>
      </c>
      <c r="DT534" s="70" t="s">
        <v>1124</v>
      </c>
      <c r="DU534" s="485" t="s">
        <v>1124</v>
      </c>
      <c r="DV534" s="485" t="s">
        <v>1124</v>
      </c>
      <c r="DW534" s="70" t="s">
        <v>1124</v>
      </c>
      <c r="DX534" s="70" t="s">
        <v>1124</v>
      </c>
      <c r="DY534" s="70" t="s">
        <v>1124</v>
      </c>
      <c r="DZ534" s="70" t="str">
        <f>VLOOKUP($BS534,'État &amp; Plan d''action'!$B$6:$AH$1113,31,FALSE)</f>
        <v/>
      </c>
      <c r="EA534" s="70" t="str">
        <f>VLOOKUP($BS534,'État &amp; Plan d''action'!$B$6:$AH$1113,32,FALSE)</f>
        <v/>
      </c>
      <c r="EB534" s="70" t="str">
        <f>VLOOKUP($BS534,'État &amp; Plan d''action'!$B$6:$AH$1113,33,FALSE)</f>
        <v/>
      </c>
      <c r="EC534" s="70" t="s">
        <v>1124</v>
      </c>
      <c r="ED534" s="70" t="s">
        <v>1124</v>
      </c>
      <c r="EE534" s="70" t="s">
        <v>1124</v>
      </c>
      <c r="EF534" s="70" t="s">
        <v>1124</v>
      </c>
      <c r="EG534" s="70" t="s">
        <v>1124</v>
      </c>
      <c r="EH534" s="72"/>
      <c r="EI534" s="72">
        <v>2908</v>
      </c>
    </row>
    <row r="535" spans="71:139" x14ac:dyDescent="0.35">
      <c r="BS535" s="486">
        <v>86042</v>
      </c>
      <c r="BT535" s="479" t="s">
        <v>889</v>
      </c>
      <c r="BU535" s="479">
        <v>8</v>
      </c>
      <c r="BV535" s="476" t="s">
        <v>1187</v>
      </c>
      <c r="BW535" s="476" t="s">
        <v>1187</v>
      </c>
      <c r="BX535" s="476" t="s">
        <v>1187</v>
      </c>
      <c r="BY535" s="476" t="s">
        <v>1187</v>
      </c>
      <c r="BZ535" s="476" t="s">
        <v>1187</v>
      </c>
      <c r="CA535" s="476" t="s">
        <v>1187</v>
      </c>
      <c r="CB535" s="476" t="s">
        <v>1187</v>
      </c>
      <c r="CC535" s="476" t="s">
        <v>1187</v>
      </c>
      <c r="CD535" s="476" t="s">
        <v>1187</v>
      </c>
      <c r="CE535" s="476" t="s">
        <v>1188</v>
      </c>
      <c r="CF535" s="476" t="s">
        <v>1188</v>
      </c>
      <c r="CG535" s="476" t="s">
        <v>1188</v>
      </c>
      <c r="CH535" s="476" t="s">
        <v>1188</v>
      </c>
      <c r="CI535" s="476" t="s">
        <v>1188</v>
      </c>
      <c r="CJ535" s="476" t="s">
        <v>1188</v>
      </c>
      <c r="CK535" s="476" t="s">
        <v>1188</v>
      </c>
      <c r="CL535" s="476" t="s">
        <v>1188</v>
      </c>
      <c r="CM535" s="476" t="str">
        <f>IF(VLOOKUP(BS535,'Données par municipalité'!$B$6:$E$1113,4,FALSE)="","non","oui")</f>
        <v>oui</v>
      </c>
      <c r="CN535" s="410">
        <v>375.58347755498693</v>
      </c>
      <c r="CO535" s="410">
        <v>332.62620454459596</v>
      </c>
      <c r="CP535" s="410">
        <v>297.68217723824347</v>
      </c>
      <c r="CQ535" s="410">
        <v>347.93740515070124</v>
      </c>
      <c r="CR535" s="410">
        <v>365.02791547401574</v>
      </c>
      <c r="CS535" s="410">
        <v>385.1239688515285</v>
      </c>
      <c r="CT535" s="410">
        <v>364.23621071978391</v>
      </c>
      <c r="CU535" s="410">
        <v>374</v>
      </c>
      <c r="CV535" s="410">
        <f>IF(VLOOKUP(BS535,'Données par municipalité'!$B$6:$F$1113,4,FALSE)="","",VLOOKUP(BS535,'Données par municipalité'!$B$6:$F$1113,4,FALSE))</f>
        <v>339</v>
      </c>
      <c r="CW535" s="476" t="s">
        <v>4723</v>
      </c>
      <c r="CX535" s="483">
        <v>1</v>
      </c>
      <c r="CY535" s="483">
        <v>1</v>
      </c>
      <c r="CZ535" s="483">
        <v>1</v>
      </c>
      <c r="DA535" s="483">
        <v>1</v>
      </c>
      <c r="DB535" s="483">
        <v>1</v>
      </c>
      <c r="DC535" s="483">
        <v>1</v>
      </c>
      <c r="DD535" s="483">
        <v>0.97639974748701019</v>
      </c>
      <c r="DE535" s="483">
        <f>IFERROR(SUM(VLOOKUP($BS535,'État &amp; Plan d''action'!$B$6:$Z$1113,18,FALSE),VLOOKUP($BS535,'État &amp; Plan d''action'!$B$6:$Z$1113,20,FALSE))/(VLOOKUP($BS535,'Données par municipalité'!$B$4:$L$1113,11,FALSE)),"")</f>
        <v>1</v>
      </c>
      <c r="DF535" s="483">
        <f>IFERROR(SUM(VLOOKUP($BS535,'État &amp; Plan d''action'!$B$6:$Z$1113,19,FALSE),VLOOKUP($BS535,'État &amp; Plan d''action'!$B$6:$Z$1113,21,FALSE))/(VLOOKUP($BS535,'Données par municipalité'!$B$4:$L$1113,11,FALSE)),"")</f>
        <v>1.7004534181717978</v>
      </c>
      <c r="DG535" s="476" t="s">
        <v>4723</v>
      </c>
      <c r="DH535" s="484" t="s">
        <v>1124</v>
      </c>
      <c r="DI535" s="484" t="s">
        <v>1124</v>
      </c>
      <c r="DJ535" s="484">
        <v>0</v>
      </c>
      <c r="DK535" s="484">
        <v>0</v>
      </c>
      <c r="DL535" s="484">
        <v>44</v>
      </c>
      <c r="DM535" s="484">
        <v>20</v>
      </c>
      <c r="DN535" s="484">
        <v>45</v>
      </c>
      <c r="DO535" s="484">
        <v>0</v>
      </c>
      <c r="DP535" s="484">
        <v>0</v>
      </c>
      <c r="DQ535" s="484">
        <f>IF(VLOOKUP($BS535,'État &amp; Plan d''action'!$B$6:$AJ$1113,28,FALSE)="","",VLOOKUP($BS535,'État &amp; Plan d''action'!$B$6:$AJ$1113,28,FALSE))</f>
        <v>39</v>
      </c>
      <c r="DR535" s="70">
        <f>IF(VLOOKUP($BS535,'État &amp; Plan d''action'!$B$6:$AJ$1113,29,FALSE)="","",VLOOKUP($BS535,'État &amp; Plan d''action'!$B$6:$AJ$1113,29,FALSE))</f>
        <v>0</v>
      </c>
      <c r="DS535" s="70">
        <f>IF(VLOOKUP($BS535,'État &amp; Plan d''action'!$B$6:$AJ$1113,30,FALSE)="","",VLOOKUP($BS535,'État &amp; Plan d''action'!$B$6:$AJ$1113,30,FALSE))</f>
        <v>0</v>
      </c>
      <c r="DT535" s="70">
        <v>158</v>
      </c>
      <c r="DU535" s="485">
        <v>1.8734510961537074</v>
      </c>
      <c r="DV535" s="485">
        <v>8.3691343884103091</v>
      </c>
      <c r="DW535" s="70">
        <v>1</v>
      </c>
      <c r="DX535" s="70">
        <v>1</v>
      </c>
      <c r="DY535" s="70">
        <v>0</v>
      </c>
      <c r="DZ535" s="70">
        <f>VLOOKUP($BS535,'État &amp; Plan d''action'!$B$6:$AH$1113,31,FALSE)</f>
        <v>1</v>
      </c>
      <c r="EA535" s="70">
        <f>VLOOKUP($BS535,'État &amp; Plan d''action'!$B$6:$AH$1113,32,FALSE)</f>
        <v>0</v>
      </c>
      <c r="EB535" s="70">
        <f>VLOOKUP($BS535,'État &amp; Plan d''action'!$B$6:$AH$1113,33,FALSE)</f>
        <v>0</v>
      </c>
      <c r="EC535" s="70">
        <v>0</v>
      </c>
      <c r="ED535" s="70">
        <v>201.07</v>
      </c>
      <c r="EE535" s="70">
        <v>0</v>
      </c>
      <c r="EF535" s="70">
        <v>0</v>
      </c>
      <c r="EG535" s="70">
        <v>0</v>
      </c>
      <c r="EH535" s="72">
        <v>58.247420020639836</v>
      </c>
      <c r="EI535" s="72">
        <v>43006</v>
      </c>
    </row>
    <row r="536" spans="71:139" x14ac:dyDescent="0.35">
      <c r="BS536" s="486">
        <v>48015</v>
      </c>
      <c r="BT536" s="479" t="s">
        <v>458</v>
      </c>
      <c r="BU536" s="479">
        <v>16</v>
      </c>
      <c r="BV536" s="476" t="s">
        <v>1188</v>
      </c>
      <c r="BW536" s="476" t="s">
        <v>1188</v>
      </c>
      <c r="BX536" s="476" t="s">
        <v>1188</v>
      </c>
      <c r="BY536" s="476" t="s">
        <v>1188</v>
      </c>
      <c r="BZ536" s="476" t="s">
        <v>1188</v>
      </c>
      <c r="CA536" s="476" t="s">
        <v>1188</v>
      </c>
      <c r="CB536" s="476" t="s">
        <v>1188</v>
      </c>
      <c r="CC536" s="476" t="s">
        <v>1188</v>
      </c>
      <c r="CD536" s="476" t="s">
        <v>1188</v>
      </c>
      <c r="CE536" s="476" t="s">
        <v>1187</v>
      </c>
      <c r="CF536" s="476" t="s">
        <v>1187</v>
      </c>
      <c r="CG536" s="476" t="s">
        <v>1187</v>
      </c>
      <c r="CH536" s="476" t="s">
        <v>1187</v>
      </c>
      <c r="CI536" s="476" t="s">
        <v>1187</v>
      </c>
      <c r="CJ536" s="476" t="s">
        <v>1187</v>
      </c>
      <c r="CK536" s="476" t="s">
        <v>1187</v>
      </c>
      <c r="CL536" s="476" t="s">
        <v>1187</v>
      </c>
      <c r="CM536" s="476" t="str">
        <f>IF(VLOOKUP(BS536,'Données par municipalité'!$B$6:$E$1113,4,FALSE)="","non","oui")</f>
        <v>non</v>
      </c>
      <c r="CN536" s="410" t="s">
        <v>1124</v>
      </c>
      <c r="CO536" s="410" t="s">
        <v>1124</v>
      </c>
      <c r="CP536" s="410"/>
      <c r="CQ536" s="410"/>
      <c r="CR536" s="410"/>
      <c r="CS536" s="410" t="s">
        <v>1124</v>
      </c>
      <c r="CT536" s="410"/>
      <c r="CU536" s="410" t="s">
        <v>1124</v>
      </c>
      <c r="CV536" s="410" t="str">
        <f>IF(VLOOKUP(BS536,'Données par municipalité'!$B$6:$F$1113,4,FALSE)="","",VLOOKUP(BS536,'Données par municipalité'!$B$6:$F$1113,4,FALSE))</f>
        <v/>
      </c>
      <c r="CW536" s="476" t="s">
        <v>4723</v>
      </c>
      <c r="CX536" s="483" t="s">
        <v>1124</v>
      </c>
      <c r="CY536" s="483" t="s">
        <v>1124</v>
      </c>
      <c r="CZ536" s="483" t="s">
        <v>1124</v>
      </c>
      <c r="DA536" s="483" t="s">
        <v>1124</v>
      </c>
      <c r="DB536" s="483" t="s">
        <v>1124</v>
      </c>
      <c r="DC536" s="483" t="s">
        <v>1124</v>
      </c>
      <c r="DD536" s="483" t="s">
        <v>1124</v>
      </c>
      <c r="DE536" s="483" t="str">
        <f>IFERROR(SUM(VLOOKUP($BS536,'État &amp; Plan d''action'!$B$6:$Z$1113,18,FALSE),VLOOKUP($BS536,'État &amp; Plan d''action'!$B$6:$Z$1113,20,FALSE))/(VLOOKUP($BS536,'Données par municipalité'!$B$4:$L$1113,11,FALSE)),"")</f>
        <v/>
      </c>
      <c r="DF536" s="483" t="str">
        <f>IFERROR(SUM(VLOOKUP($BS536,'État &amp; Plan d''action'!$B$6:$Z$1113,19,FALSE),VLOOKUP($BS536,'État &amp; Plan d''action'!$B$6:$Z$1113,21,FALSE))/(VLOOKUP($BS536,'Données par municipalité'!$B$4:$L$1113,11,FALSE)),"")</f>
        <v/>
      </c>
      <c r="DG536" s="476" t="s">
        <v>4723</v>
      </c>
      <c r="DH536" s="484" t="s">
        <v>1124</v>
      </c>
      <c r="DI536" s="484" t="s">
        <v>1124</v>
      </c>
      <c r="DJ536" s="484">
        <v>0</v>
      </c>
      <c r="DK536" s="484">
        <v>0</v>
      </c>
      <c r="DL536" s="484" t="s">
        <v>1124</v>
      </c>
      <c r="DM536" s="484" t="s">
        <v>1124</v>
      </c>
      <c r="DN536" s="484" t="s">
        <v>1124</v>
      </c>
      <c r="DO536" s="484" t="s">
        <v>1124</v>
      </c>
      <c r="DP536" s="484" t="s">
        <v>1124</v>
      </c>
      <c r="DQ536" s="484" t="str">
        <f>IF(VLOOKUP($BS536,'État &amp; Plan d''action'!$B$6:$AJ$1113,28,FALSE)="","",VLOOKUP($BS536,'État &amp; Plan d''action'!$B$6:$AJ$1113,28,FALSE))</f>
        <v/>
      </c>
      <c r="DR536" s="70" t="str">
        <f>IF(VLOOKUP($BS536,'État &amp; Plan d''action'!$B$6:$AJ$1113,29,FALSE)="","",VLOOKUP($BS536,'État &amp; Plan d''action'!$B$6:$AJ$1113,29,FALSE))</f>
        <v/>
      </c>
      <c r="DS536" s="70" t="str">
        <f>IF(VLOOKUP($BS536,'État &amp; Plan d''action'!$B$6:$AJ$1113,30,FALSE)="","",VLOOKUP($BS536,'État &amp; Plan d''action'!$B$6:$AJ$1113,30,FALSE))</f>
        <v/>
      </c>
      <c r="DT536" s="70" t="s">
        <v>1124</v>
      </c>
      <c r="DU536" s="485" t="s">
        <v>1124</v>
      </c>
      <c r="DV536" s="485" t="s">
        <v>1124</v>
      </c>
      <c r="DW536" s="70" t="s">
        <v>1124</v>
      </c>
      <c r="DX536" s="70" t="s">
        <v>1124</v>
      </c>
      <c r="DY536" s="70" t="s">
        <v>1124</v>
      </c>
      <c r="DZ536" s="70" t="str">
        <f>VLOOKUP($BS536,'État &amp; Plan d''action'!$B$6:$AH$1113,31,FALSE)</f>
        <v/>
      </c>
      <c r="EA536" s="70" t="str">
        <f>VLOOKUP($BS536,'État &amp; Plan d''action'!$B$6:$AH$1113,32,FALSE)</f>
        <v/>
      </c>
      <c r="EB536" s="70" t="str">
        <f>VLOOKUP($BS536,'État &amp; Plan d''action'!$B$6:$AH$1113,33,FALSE)</f>
        <v/>
      </c>
      <c r="EC536" s="70" t="s">
        <v>1124</v>
      </c>
      <c r="ED536" s="70" t="s">
        <v>1124</v>
      </c>
      <c r="EE536" s="70" t="s">
        <v>1124</v>
      </c>
      <c r="EF536" s="70" t="s">
        <v>1124</v>
      </c>
      <c r="EG536" s="70" t="s">
        <v>1124</v>
      </c>
      <c r="EH536" s="72"/>
      <c r="EI536" s="72">
        <v>1093</v>
      </c>
    </row>
    <row r="537" spans="71:139" x14ac:dyDescent="0.35">
      <c r="BS537" s="486">
        <v>48010</v>
      </c>
      <c r="BT537" s="479" t="s">
        <v>457</v>
      </c>
      <c r="BU537" s="479">
        <v>16</v>
      </c>
      <c r="BV537" s="476" t="s">
        <v>1188</v>
      </c>
      <c r="BW537" s="476" t="s">
        <v>1188</v>
      </c>
      <c r="BX537" s="476" t="s">
        <v>1188</v>
      </c>
      <c r="BY537" s="476" t="s">
        <v>1188</v>
      </c>
      <c r="BZ537" s="476" t="s">
        <v>1188</v>
      </c>
      <c r="CA537" s="476" t="s">
        <v>1188</v>
      </c>
      <c r="CB537" s="476" t="s">
        <v>1188</v>
      </c>
      <c r="CC537" s="476" t="s">
        <v>1188</v>
      </c>
      <c r="CD537" s="476" t="s">
        <v>1188</v>
      </c>
      <c r="CE537" s="476" t="s">
        <v>1187</v>
      </c>
      <c r="CF537" s="476" t="s">
        <v>1187</v>
      </c>
      <c r="CG537" s="476" t="s">
        <v>1187</v>
      </c>
      <c r="CH537" s="476" t="s">
        <v>1187</v>
      </c>
      <c r="CI537" s="476" t="s">
        <v>1187</v>
      </c>
      <c r="CJ537" s="476" t="s">
        <v>1187</v>
      </c>
      <c r="CK537" s="476" t="s">
        <v>1187</v>
      </c>
      <c r="CL537" s="476" t="s">
        <v>1187</v>
      </c>
      <c r="CM537" s="476" t="str">
        <f>IF(VLOOKUP(BS537,'Données par municipalité'!$B$6:$E$1113,4,FALSE)="","non","oui")</f>
        <v>non</v>
      </c>
      <c r="CN537" s="410" t="s">
        <v>1124</v>
      </c>
      <c r="CO537" s="410" t="s">
        <v>1124</v>
      </c>
      <c r="CP537" s="410"/>
      <c r="CQ537" s="410"/>
      <c r="CR537" s="410"/>
      <c r="CS537" s="410" t="s">
        <v>1124</v>
      </c>
      <c r="CT537" s="410"/>
      <c r="CU537" s="410" t="s">
        <v>1124</v>
      </c>
      <c r="CV537" s="410" t="str">
        <f>IF(VLOOKUP(BS537,'Données par municipalité'!$B$6:$F$1113,4,FALSE)="","",VLOOKUP(BS537,'Données par municipalité'!$B$6:$F$1113,4,FALSE))</f>
        <v/>
      </c>
      <c r="CW537" s="476" t="s">
        <v>4723</v>
      </c>
      <c r="CX537" s="483" t="s">
        <v>1124</v>
      </c>
      <c r="CY537" s="483" t="s">
        <v>1124</v>
      </c>
      <c r="CZ537" s="483" t="s">
        <v>1124</v>
      </c>
      <c r="DA537" s="483" t="s">
        <v>1124</v>
      </c>
      <c r="DB537" s="483" t="s">
        <v>1124</v>
      </c>
      <c r="DC537" s="483" t="s">
        <v>1124</v>
      </c>
      <c r="DD537" s="483" t="s">
        <v>1124</v>
      </c>
      <c r="DE537" s="483" t="str">
        <f>IFERROR(SUM(VLOOKUP($BS537,'État &amp; Plan d''action'!$B$6:$Z$1113,18,FALSE),VLOOKUP($BS537,'État &amp; Plan d''action'!$B$6:$Z$1113,20,FALSE))/(VLOOKUP($BS537,'Données par municipalité'!$B$4:$L$1113,11,FALSE)),"")</f>
        <v/>
      </c>
      <c r="DF537" s="483" t="str">
        <f>IFERROR(SUM(VLOOKUP($BS537,'État &amp; Plan d''action'!$B$6:$Z$1113,19,FALSE),VLOOKUP($BS537,'État &amp; Plan d''action'!$B$6:$Z$1113,21,FALSE))/(VLOOKUP($BS537,'Données par municipalité'!$B$4:$L$1113,11,FALSE)),"")</f>
        <v/>
      </c>
      <c r="DG537" s="476" t="s">
        <v>4723</v>
      </c>
      <c r="DH537" s="484" t="s">
        <v>1124</v>
      </c>
      <c r="DI537" s="484" t="s">
        <v>1124</v>
      </c>
      <c r="DJ537" s="484">
        <v>0</v>
      </c>
      <c r="DK537" s="484">
        <v>0</v>
      </c>
      <c r="DL537" s="484" t="s">
        <v>1124</v>
      </c>
      <c r="DM537" s="484" t="s">
        <v>1124</v>
      </c>
      <c r="DN537" s="484" t="s">
        <v>1124</v>
      </c>
      <c r="DO537" s="484" t="s">
        <v>1124</v>
      </c>
      <c r="DP537" s="484" t="s">
        <v>1124</v>
      </c>
      <c r="DQ537" s="484" t="str">
        <f>IF(VLOOKUP($BS537,'État &amp; Plan d''action'!$B$6:$AJ$1113,28,FALSE)="","",VLOOKUP($BS537,'État &amp; Plan d''action'!$B$6:$AJ$1113,28,FALSE))</f>
        <v/>
      </c>
      <c r="DR537" s="70" t="str">
        <f>IF(VLOOKUP($BS537,'État &amp; Plan d''action'!$B$6:$AJ$1113,29,FALSE)="","",VLOOKUP($BS537,'État &amp; Plan d''action'!$B$6:$AJ$1113,29,FALSE))</f>
        <v/>
      </c>
      <c r="DS537" s="70" t="str">
        <f>IF(VLOOKUP($BS537,'État &amp; Plan d''action'!$B$6:$AJ$1113,30,FALSE)="","",VLOOKUP($BS537,'État &amp; Plan d''action'!$B$6:$AJ$1113,30,FALSE))</f>
        <v/>
      </c>
      <c r="DT537" s="70" t="s">
        <v>1124</v>
      </c>
      <c r="DU537" s="485" t="s">
        <v>1124</v>
      </c>
      <c r="DV537" s="485" t="s">
        <v>1124</v>
      </c>
      <c r="DW537" s="70" t="s">
        <v>1124</v>
      </c>
      <c r="DX537" s="70" t="s">
        <v>1124</v>
      </c>
      <c r="DY537" s="70" t="s">
        <v>1124</v>
      </c>
      <c r="DZ537" s="70" t="str">
        <f>VLOOKUP($BS537,'État &amp; Plan d''action'!$B$6:$AH$1113,31,FALSE)</f>
        <v/>
      </c>
      <c r="EA537" s="70" t="str">
        <f>VLOOKUP($BS537,'État &amp; Plan d''action'!$B$6:$AH$1113,32,FALSE)</f>
        <v/>
      </c>
      <c r="EB537" s="70" t="str">
        <f>VLOOKUP($BS537,'État &amp; Plan d''action'!$B$6:$AH$1113,33,FALSE)</f>
        <v/>
      </c>
      <c r="EC537" s="70" t="s">
        <v>1124</v>
      </c>
      <c r="ED537" s="70" t="s">
        <v>1124</v>
      </c>
      <c r="EE537" s="70" t="s">
        <v>1124</v>
      </c>
      <c r="EF537" s="70" t="s">
        <v>1124</v>
      </c>
      <c r="EG537" s="70" t="s">
        <v>1124</v>
      </c>
      <c r="EH537" s="72"/>
      <c r="EI537" s="72">
        <v>1299</v>
      </c>
    </row>
    <row r="538" spans="71:139" x14ac:dyDescent="0.35">
      <c r="BS538" s="486">
        <v>47047</v>
      </c>
      <c r="BT538" s="479" t="s">
        <v>454</v>
      </c>
      <c r="BU538" s="479">
        <v>5</v>
      </c>
      <c r="BV538" s="476" t="s">
        <v>1187</v>
      </c>
      <c r="BW538" s="476" t="s">
        <v>1187</v>
      </c>
      <c r="BX538" s="476" t="s">
        <v>1187</v>
      </c>
      <c r="BY538" s="476" t="s">
        <v>1187</v>
      </c>
      <c r="BZ538" s="476" t="s">
        <v>1187</v>
      </c>
      <c r="CA538" s="476" t="s">
        <v>1187</v>
      </c>
      <c r="CB538" s="476" t="s">
        <v>1187</v>
      </c>
      <c r="CC538" s="476" t="s">
        <v>1187</v>
      </c>
      <c r="CD538" s="476" t="s">
        <v>1187</v>
      </c>
      <c r="CE538" s="476" t="s">
        <v>1188</v>
      </c>
      <c r="CF538" s="476" t="s">
        <v>1188</v>
      </c>
      <c r="CG538" s="476" t="s">
        <v>1188</v>
      </c>
      <c r="CH538" s="476" t="s">
        <v>1187</v>
      </c>
      <c r="CI538" s="476" t="s">
        <v>1188</v>
      </c>
      <c r="CJ538" s="476" t="s">
        <v>1188</v>
      </c>
      <c r="CK538" s="476" t="s">
        <v>1188</v>
      </c>
      <c r="CL538" s="476" t="s">
        <v>1188</v>
      </c>
      <c r="CM538" s="476" t="str">
        <f>IF(VLOOKUP(BS538,'Données par municipalité'!$B$6:$E$1113,4,FALSE)="","non","oui")</f>
        <v>oui</v>
      </c>
      <c r="CN538" s="410">
        <v>247.07546984929547</v>
      </c>
      <c r="CO538" s="410">
        <v>251.34931754688725</v>
      </c>
      <c r="CP538" s="410">
        <v>288.50569502654002</v>
      </c>
      <c r="CQ538" s="410"/>
      <c r="CR538" s="410">
        <v>234.45938420879952</v>
      </c>
      <c r="CS538" s="410">
        <v>220.8790624258518</v>
      </c>
      <c r="CT538" s="410">
        <v>246.05126844608489</v>
      </c>
      <c r="CU538" s="410">
        <v>218</v>
      </c>
      <c r="CV538" s="410">
        <f>IF(VLOOKUP(BS538,'Données par municipalité'!$B$6:$F$1113,4,FALSE)="","",VLOOKUP(BS538,'Données par municipalité'!$B$6:$F$1113,4,FALSE))</f>
        <v>216</v>
      </c>
      <c r="CW538" s="476" t="s">
        <v>4723</v>
      </c>
      <c r="CX538" s="483">
        <v>0.03</v>
      </c>
      <c r="CY538" s="483">
        <v>0.05</v>
      </c>
      <c r="CZ538" s="483" t="s">
        <v>1124</v>
      </c>
      <c r="DA538" s="483">
        <v>1</v>
      </c>
      <c r="DB538" s="483">
        <v>1</v>
      </c>
      <c r="DC538" s="483">
        <v>1</v>
      </c>
      <c r="DD538" s="483">
        <v>0</v>
      </c>
      <c r="DE538" s="483">
        <f>IFERROR(SUM(VLOOKUP($BS538,'État &amp; Plan d''action'!$B$6:$Z$1113,18,FALSE),VLOOKUP($BS538,'État &amp; Plan d''action'!$B$6:$Z$1113,20,FALSE))/(VLOOKUP($BS538,'Données par municipalité'!$B$4:$L$1113,11,FALSE)),"")</f>
        <v>0</v>
      </c>
      <c r="DF538" s="483">
        <f>IFERROR(SUM(VLOOKUP($BS538,'État &amp; Plan d''action'!$B$6:$Z$1113,19,FALSE),VLOOKUP($BS538,'État &amp; Plan d''action'!$B$6:$Z$1113,21,FALSE))/(VLOOKUP($BS538,'Données par municipalité'!$B$4:$L$1113,11,FALSE)),"")</f>
        <v>0</v>
      </c>
      <c r="DG538" s="476" t="s">
        <v>4723</v>
      </c>
      <c r="DH538" s="484">
        <v>0</v>
      </c>
      <c r="DI538" s="484">
        <v>0</v>
      </c>
      <c r="DJ538" s="484">
        <v>0</v>
      </c>
      <c r="DK538" s="484">
        <v>1</v>
      </c>
      <c r="DL538" s="484">
        <v>2</v>
      </c>
      <c r="DM538" s="484">
        <v>1</v>
      </c>
      <c r="DN538" s="484">
        <v>0</v>
      </c>
      <c r="DO538" s="484">
        <v>0</v>
      </c>
      <c r="DP538" s="484">
        <v>1</v>
      </c>
      <c r="DQ538" s="484">
        <f>IF(VLOOKUP($BS538,'État &amp; Plan d''action'!$B$6:$AJ$1113,28,FALSE)="","",VLOOKUP($BS538,'État &amp; Plan d''action'!$B$6:$AJ$1113,28,FALSE))</f>
        <v>0</v>
      </c>
      <c r="DR538" s="70">
        <f>IF(VLOOKUP($BS538,'État &amp; Plan d''action'!$B$6:$AJ$1113,29,FALSE)="","",VLOOKUP($BS538,'État &amp; Plan d''action'!$B$6:$AJ$1113,29,FALSE))</f>
        <v>0</v>
      </c>
      <c r="DS538" s="70">
        <f>IF(VLOOKUP($BS538,'État &amp; Plan d''action'!$B$6:$AJ$1113,30,FALSE)="","",VLOOKUP($BS538,'État &amp; Plan d''action'!$B$6:$AJ$1113,30,FALSE))</f>
        <v>1</v>
      </c>
      <c r="DT538" s="70">
        <v>167</v>
      </c>
      <c r="DU538" s="485">
        <v>0.90690901159839565</v>
      </c>
      <c r="DV538" s="485">
        <v>0.48258800953514708</v>
      </c>
      <c r="DW538" s="70">
        <v>0</v>
      </c>
      <c r="DX538" s="70">
        <v>0</v>
      </c>
      <c r="DY538" s="70">
        <v>1</v>
      </c>
      <c r="DZ538" s="70">
        <f>VLOOKUP($BS538,'État &amp; Plan d''action'!$B$6:$AH$1113,31,FALSE)</f>
        <v>0</v>
      </c>
      <c r="EA538" s="70">
        <f>VLOOKUP($BS538,'État &amp; Plan d''action'!$B$6:$AH$1113,32,FALSE)</f>
        <v>0</v>
      </c>
      <c r="EB538" s="70">
        <f>VLOOKUP($BS538,'État &amp; Plan d''action'!$B$6:$AH$1113,33,FALSE)</f>
        <v>1</v>
      </c>
      <c r="EC538" s="70">
        <v>0</v>
      </c>
      <c r="ED538" s="70">
        <v>0</v>
      </c>
      <c r="EE538" s="70">
        <v>0</v>
      </c>
      <c r="EF538" s="70">
        <v>0</v>
      </c>
      <c r="EG538" s="70">
        <v>0</v>
      </c>
      <c r="EH538" s="72">
        <v>62</v>
      </c>
      <c r="EI538" s="72">
        <v>4017</v>
      </c>
    </row>
    <row r="539" spans="71:139" x14ac:dyDescent="0.35">
      <c r="BS539" s="486">
        <v>95010</v>
      </c>
      <c r="BT539" s="479" t="s">
        <v>987</v>
      </c>
      <c r="BU539" s="479">
        <v>9</v>
      </c>
      <c r="BV539" s="476" t="s">
        <v>1187</v>
      </c>
      <c r="BW539" s="476" t="s">
        <v>1187</v>
      </c>
      <c r="BX539" s="476" t="s">
        <v>1187</v>
      </c>
      <c r="BY539" s="476" t="s">
        <v>1187</v>
      </c>
      <c r="BZ539" s="476" t="s">
        <v>1187</v>
      </c>
      <c r="CA539" s="476" t="s">
        <v>1187</v>
      </c>
      <c r="CB539" s="476" t="s">
        <v>1187</v>
      </c>
      <c r="CC539" s="476" t="s">
        <v>1187</v>
      </c>
      <c r="CD539" s="476" t="s">
        <v>1187</v>
      </c>
      <c r="CE539" s="476" t="s">
        <v>1188</v>
      </c>
      <c r="CF539" s="476" t="s">
        <v>1188</v>
      </c>
      <c r="CG539" s="476" t="s">
        <v>1188</v>
      </c>
      <c r="CH539" s="476" t="s">
        <v>1188</v>
      </c>
      <c r="CI539" s="476" t="s">
        <v>1188</v>
      </c>
      <c r="CJ539" s="476" t="s">
        <v>1188</v>
      </c>
      <c r="CK539" s="476" t="s">
        <v>1188</v>
      </c>
      <c r="CL539" s="476" t="s">
        <v>1188</v>
      </c>
      <c r="CM539" s="476" t="str">
        <f>IF(VLOOKUP(BS539,'Données par municipalité'!$B$6:$E$1113,4,FALSE)="","non","oui")</f>
        <v>non</v>
      </c>
      <c r="CN539" s="410">
        <v>449.38391600603427</v>
      </c>
      <c r="CO539" s="410">
        <v>481.18220138570126</v>
      </c>
      <c r="CP539" s="410">
        <v>362.35957107103729</v>
      </c>
      <c r="CQ539" s="410">
        <v>387.7784705485326</v>
      </c>
      <c r="CR539" s="410">
        <v>370.40531448157896</v>
      </c>
      <c r="CS539" s="410">
        <v>366.92672532539484</v>
      </c>
      <c r="CT539" s="410">
        <v>307.06216619963095</v>
      </c>
      <c r="CU539" s="410">
        <v>302</v>
      </c>
      <c r="CV539" s="410" t="str">
        <f>IF(VLOOKUP(BS539,'Données par municipalité'!$B$6:$F$1113,4,FALSE)="","",VLOOKUP(BS539,'Données par municipalité'!$B$6:$F$1113,4,FALSE))</f>
        <v/>
      </c>
      <c r="CW539" s="476" t="s">
        <v>4723</v>
      </c>
      <c r="CX539" s="483">
        <v>0.5</v>
      </c>
      <c r="CY539" s="483">
        <v>1</v>
      </c>
      <c r="CZ539" s="483">
        <v>1</v>
      </c>
      <c r="DA539" s="483">
        <v>1</v>
      </c>
      <c r="DB539" s="483">
        <v>1</v>
      </c>
      <c r="DC539" s="483">
        <v>1</v>
      </c>
      <c r="DD539" s="483">
        <v>0</v>
      </c>
      <c r="DE539" s="483" t="str">
        <f>IFERROR(SUM(VLOOKUP($BS539,'État &amp; Plan d''action'!$B$6:$Z$1113,18,FALSE),VLOOKUP($BS539,'État &amp; Plan d''action'!$B$6:$Z$1113,20,FALSE))/(VLOOKUP($BS539,'Données par municipalité'!$B$4:$L$1113,11,FALSE)),"")</f>
        <v/>
      </c>
      <c r="DF539" s="483" t="str">
        <f>IFERROR(SUM(VLOOKUP($BS539,'État &amp; Plan d''action'!$B$6:$Z$1113,19,FALSE),VLOOKUP($BS539,'État &amp; Plan d''action'!$B$6:$Z$1113,21,FALSE))/(VLOOKUP($BS539,'Données par municipalité'!$B$4:$L$1113,11,FALSE)),"")</f>
        <v/>
      </c>
      <c r="DG539" s="476" t="s">
        <v>4723</v>
      </c>
      <c r="DH539" s="484">
        <v>3</v>
      </c>
      <c r="DI539" s="484" t="s">
        <v>1124</v>
      </c>
      <c r="DJ539" s="484">
        <v>2</v>
      </c>
      <c r="DK539" s="484">
        <v>3</v>
      </c>
      <c r="DL539" s="484">
        <v>1</v>
      </c>
      <c r="DM539" s="484">
        <v>0</v>
      </c>
      <c r="DN539" s="484">
        <v>0</v>
      </c>
      <c r="DO539" s="484">
        <v>1</v>
      </c>
      <c r="DP539" s="484">
        <v>1</v>
      </c>
      <c r="DQ539" s="484" t="str">
        <f>IF(VLOOKUP($BS539,'État &amp; Plan d''action'!$B$6:$AJ$1113,28,FALSE)="","",VLOOKUP($BS539,'État &amp; Plan d''action'!$B$6:$AJ$1113,28,FALSE))</f>
        <v/>
      </c>
      <c r="DR539" s="70" t="str">
        <f>IF(VLOOKUP($BS539,'État &amp; Plan d''action'!$B$6:$AJ$1113,29,FALSE)="","",VLOOKUP($BS539,'État &amp; Plan d''action'!$B$6:$AJ$1113,29,FALSE))</f>
        <v/>
      </c>
      <c r="DS539" s="70" t="str">
        <f>IF(VLOOKUP($BS539,'État &amp; Plan d''action'!$B$6:$AJ$1113,30,FALSE)="","",VLOOKUP($BS539,'État &amp; Plan d''action'!$B$6:$AJ$1113,30,FALSE))</f>
        <v/>
      </c>
      <c r="DT539" s="70">
        <v>246</v>
      </c>
      <c r="DU539" s="485">
        <v>0.9481596461411379</v>
      </c>
      <c r="DV539" s="485" t="s">
        <v>1124</v>
      </c>
      <c r="DW539" s="70">
        <v>0</v>
      </c>
      <c r="DX539" s="70">
        <v>2</v>
      </c>
      <c r="DY539" s="70">
        <v>1</v>
      </c>
      <c r="DZ539" s="70" t="str">
        <f>VLOOKUP($BS539,'État &amp; Plan d''action'!$B$6:$AH$1113,31,FALSE)</f>
        <v/>
      </c>
      <c r="EA539" s="70" t="str">
        <f>VLOOKUP($BS539,'État &amp; Plan d''action'!$B$6:$AH$1113,32,FALSE)</f>
        <v/>
      </c>
      <c r="EB539" s="70" t="str">
        <f>VLOOKUP($BS539,'État &amp; Plan d''action'!$B$6:$AH$1113,33,FALSE)</f>
        <v/>
      </c>
      <c r="EC539" s="70">
        <v>0.2</v>
      </c>
      <c r="ED539" s="70">
        <v>0</v>
      </c>
      <c r="EE539" s="70">
        <v>0</v>
      </c>
      <c r="EF539" s="70">
        <v>0</v>
      </c>
      <c r="EG539" s="70">
        <v>0</v>
      </c>
      <c r="EH539" s="72">
        <v>45</v>
      </c>
      <c r="EI539" s="72">
        <v>1814</v>
      </c>
    </row>
    <row r="540" spans="71:139" x14ac:dyDescent="0.35">
      <c r="BS540" s="486">
        <v>31130</v>
      </c>
      <c r="BT540" s="479" t="s">
        <v>253</v>
      </c>
      <c r="BU540" s="479">
        <v>12</v>
      </c>
      <c r="BV540" s="476" t="s">
        <v>1188</v>
      </c>
      <c r="BW540" s="476" t="s">
        <v>1188</v>
      </c>
      <c r="BX540" s="476" t="s">
        <v>1188</v>
      </c>
      <c r="BY540" s="476" t="s">
        <v>1188</v>
      </c>
      <c r="BZ540" s="476" t="s">
        <v>1188</v>
      </c>
      <c r="CA540" s="476" t="s">
        <v>1188</v>
      </c>
      <c r="CB540" s="476" t="s">
        <v>1188</v>
      </c>
      <c r="CC540" s="476" t="s">
        <v>1188</v>
      </c>
      <c r="CD540" s="476" t="s">
        <v>1188</v>
      </c>
      <c r="CE540" s="476" t="s">
        <v>1187</v>
      </c>
      <c r="CF540" s="476" t="s">
        <v>1187</v>
      </c>
      <c r="CG540" s="476" t="s">
        <v>1187</v>
      </c>
      <c r="CH540" s="476" t="s">
        <v>1187</v>
      </c>
      <c r="CI540" s="476" t="s">
        <v>1187</v>
      </c>
      <c r="CJ540" s="476" t="s">
        <v>1187</v>
      </c>
      <c r="CK540" s="476" t="s">
        <v>1187</v>
      </c>
      <c r="CL540" s="476" t="s">
        <v>1187</v>
      </c>
      <c r="CM540" s="476" t="str">
        <f>IF(VLOOKUP(BS540,'Données par municipalité'!$B$6:$E$1113,4,FALSE)="","non","oui")</f>
        <v>non</v>
      </c>
      <c r="CN540" s="410" t="s">
        <v>1124</v>
      </c>
      <c r="CO540" s="410" t="s">
        <v>1124</v>
      </c>
      <c r="CP540" s="410"/>
      <c r="CQ540" s="410"/>
      <c r="CR540" s="410"/>
      <c r="CS540" s="410" t="s">
        <v>1124</v>
      </c>
      <c r="CT540" s="410"/>
      <c r="CU540" s="410" t="s">
        <v>1124</v>
      </c>
      <c r="CV540" s="410" t="str">
        <f>IF(VLOOKUP(BS540,'Données par municipalité'!$B$6:$F$1113,4,FALSE)="","",VLOOKUP(BS540,'Données par municipalité'!$B$6:$F$1113,4,FALSE))</f>
        <v/>
      </c>
      <c r="CW540" s="476" t="s">
        <v>4723</v>
      </c>
      <c r="CX540" s="483" t="s">
        <v>1124</v>
      </c>
      <c r="CY540" s="483" t="s">
        <v>1124</v>
      </c>
      <c r="CZ540" s="483" t="s">
        <v>1124</v>
      </c>
      <c r="DA540" s="483" t="s">
        <v>1124</v>
      </c>
      <c r="DB540" s="483" t="s">
        <v>1124</v>
      </c>
      <c r="DC540" s="483" t="s">
        <v>1124</v>
      </c>
      <c r="DD540" s="483" t="s">
        <v>1124</v>
      </c>
      <c r="DE540" s="483" t="str">
        <f>IFERROR(SUM(VLOOKUP($BS540,'État &amp; Plan d''action'!$B$6:$Z$1113,18,FALSE),VLOOKUP($BS540,'État &amp; Plan d''action'!$B$6:$Z$1113,20,FALSE))/(VLOOKUP($BS540,'Données par municipalité'!$B$4:$L$1113,11,FALSE)),"")</f>
        <v/>
      </c>
      <c r="DF540" s="483" t="str">
        <f>IFERROR(SUM(VLOOKUP($BS540,'État &amp; Plan d''action'!$B$6:$Z$1113,19,FALSE),VLOOKUP($BS540,'État &amp; Plan d''action'!$B$6:$Z$1113,21,FALSE))/(VLOOKUP($BS540,'Données par municipalité'!$B$4:$L$1113,11,FALSE)),"")</f>
        <v/>
      </c>
      <c r="DG540" s="476" t="s">
        <v>4723</v>
      </c>
      <c r="DH540" s="484" t="s">
        <v>1124</v>
      </c>
      <c r="DI540" s="484" t="s">
        <v>1124</v>
      </c>
      <c r="DJ540" s="484">
        <v>0</v>
      </c>
      <c r="DK540" s="484">
        <v>0</v>
      </c>
      <c r="DL540" s="484" t="s">
        <v>1124</v>
      </c>
      <c r="DM540" s="484" t="s">
        <v>1124</v>
      </c>
      <c r="DN540" s="484" t="s">
        <v>1124</v>
      </c>
      <c r="DO540" s="484" t="s">
        <v>1124</v>
      </c>
      <c r="DP540" s="484" t="s">
        <v>1124</v>
      </c>
      <c r="DQ540" s="484" t="str">
        <f>IF(VLOOKUP($BS540,'État &amp; Plan d''action'!$B$6:$AJ$1113,28,FALSE)="","",VLOOKUP($BS540,'État &amp; Plan d''action'!$B$6:$AJ$1113,28,FALSE))</f>
        <v/>
      </c>
      <c r="DR540" s="70" t="str">
        <f>IF(VLOOKUP($BS540,'État &amp; Plan d''action'!$B$6:$AJ$1113,29,FALSE)="","",VLOOKUP($BS540,'État &amp; Plan d''action'!$B$6:$AJ$1113,29,FALSE))</f>
        <v/>
      </c>
      <c r="DS540" s="70" t="str">
        <f>IF(VLOOKUP($BS540,'État &amp; Plan d''action'!$B$6:$AJ$1113,30,FALSE)="","",VLOOKUP($BS540,'État &amp; Plan d''action'!$B$6:$AJ$1113,30,FALSE))</f>
        <v/>
      </c>
      <c r="DT540" s="70" t="s">
        <v>1124</v>
      </c>
      <c r="DU540" s="485" t="s">
        <v>1124</v>
      </c>
      <c r="DV540" s="485" t="s">
        <v>1124</v>
      </c>
      <c r="DW540" s="70" t="s">
        <v>1124</v>
      </c>
      <c r="DX540" s="70" t="s">
        <v>1124</v>
      </c>
      <c r="DY540" s="70" t="s">
        <v>1124</v>
      </c>
      <c r="DZ540" s="70" t="str">
        <f>VLOOKUP($BS540,'État &amp; Plan d''action'!$B$6:$AH$1113,31,FALSE)</f>
        <v/>
      </c>
      <c r="EA540" s="70" t="str">
        <f>VLOOKUP($BS540,'État &amp; Plan d''action'!$B$6:$AH$1113,32,FALSE)</f>
        <v/>
      </c>
      <c r="EB540" s="70" t="str">
        <f>VLOOKUP($BS540,'État &amp; Plan d''action'!$B$6:$AH$1113,33,FALSE)</f>
        <v/>
      </c>
      <c r="EC540" s="70" t="s">
        <v>1124</v>
      </c>
      <c r="ED540" s="70" t="s">
        <v>1124</v>
      </c>
      <c r="EE540" s="70" t="s">
        <v>1124</v>
      </c>
      <c r="EF540" s="70" t="s">
        <v>1124</v>
      </c>
      <c r="EG540" s="70" t="s">
        <v>1124</v>
      </c>
      <c r="EH540" s="72"/>
      <c r="EI540" s="72">
        <v>534</v>
      </c>
    </row>
    <row r="541" spans="71:139" x14ac:dyDescent="0.35">
      <c r="BS541" s="486">
        <v>94068</v>
      </c>
      <c r="BT541" s="479" t="s">
        <v>972</v>
      </c>
      <c r="BU541" s="479">
        <v>2</v>
      </c>
      <c r="BV541" s="476" t="s">
        <v>1187</v>
      </c>
      <c r="BW541" s="476" t="s">
        <v>1187</v>
      </c>
      <c r="BX541" s="476" t="s">
        <v>1187</v>
      </c>
      <c r="BY541" s="476" t="s">
        <v>1187</v>
      </c>
      <c r="BZ541" s="476" t="s">
        <v>1187</v>
      </c>
      <c r="CA541" s="476" t="s">
        <v>1187</v>
      </c>
      <c r="CB541" s="476" t="s">
        <v>1187</v>
      </c>
      <c r="CC541" s="476" t="s">
        <v>1187</v>
      </c>
      <c r="CD541" s="476" t="s">
        <v>1187</v>
      </c>
      <c r="CE541" s="476" t="s">
        <v>1188</v>
      </c>
      <c r="CF541" s="476" t="s">
        <v>1188</v>
      </c>
      <c r="CG541" s="476" t="s">
        <v>1188</v>
      </c>
      <c r="CH541" s="476" t="s">
        <v>1188</v>
      </c>
      <c r="CI541" s="476" t="s">
        <v>1188</v>
      </c>
      <c r="CJ541" s="476" t="s">
        <v>1188</v>
      </c>
      <c r="CK541" s="476" t="s">
        <v>1188</v>
      </c>
      <c r="CL541" s="476" t="s">
        <v>1188</v>
      </c>
      <c r="CM541" s="476" t="str">
        <f>IF(VLOOKUP(BS541,'Données par municipalité'!$B$6:$E$1113,4,FALSE)="","non","oui")</f>
        <v>oui</v>
      </c>
      <c r="CN541" s="410">
        <v>608.70566815582299</v>
      </c>
      <c r="CO541" s="410">
        <v>581.25596849687815</v>
      </c>
      <c r="CP541" s="410">
        <v>563.59519533103321</v>
      </c>
      <c r="CQ541" s="410">
        <v>556.5456193215656</v>
      </c>
      <c r="CR541" s="410">
        <v>556.64652937694768</v>
      </c>
      <c r="CS541" s="410">
        <v>540.66705591286564</v>
      </c>
      <c r="CT541" s="410">
        <v>550.15195636209148</v>
      </c>
      <c r="CU541" s="410">
        <v>554</v>
      </c>
      <c r="CV541" s="410">
        <f>IF(VLOOKUP(BS541,'Données par municipalité'!$B$6:$F$1113,4,FALSE)="","",VLOOKUP(BS541,'Données par municipalité'!$B$6:$F$1113,4,FALSE))</f>
        <v>555</v>
      </c>
      <c r="CW541" s="476" t="s">
        <v>4723</v>
      </c>
      <c r="CX541" s="483">
        <v>0.6</v>
      </c>
      <c r="CY541" s="483">
        <v>1</v>
      </c>
      <c r="CZ541" s="483">
        <v>0.85</v>
      </c>
      <c r="DA541" s="483">
        <v>0.75</v>
      </c>
      <c r="DB541" s="483">
        <v>1</v>
      </c>
      <c r="DC541" s="483">
        <v>1</v>
      </c>
      <c r="DD541" s="483">
        <v>1.0002532729192999</v>
      </c>
      <c r="DE541" s="483">
        <f>IFERROR(SUM(VLOOKUP($BS541,'État &amp; Plan d''action'!$B$6:$Z$1113,18,FALSE),VLOOKUP($BS541,'État &amp; Plan d''action'!$B$6:$Z$1113,20,FALSE))/(VLOOKUP($BS541,'Données par municipalité'!$B$4:$L$1113,11,FALSE)),"")</f>
        <v>1.5163129402020925</v>
      </c>
      <c r="DF541" s="483">
        <f>IFERROR(SUM(VLOOKUP($BS541,'État &amp; Plan d''action'!$B$6:$Z$1113,19,FALSE),VLOOKUP($BS541,'État &amp; Plan d''action'!$B$6:$Z$1113,21,FALSE))/(VLOOKUP($BS541,'Données par municipalité'!$B$4:$L$1113,11,FALSE)),"")</f>
        <v>2.0167656117184918</v>
      </c>
      <c r="DG541" s="476" t="s">
        <v>4723</v>
      </c>
      <c r="DH541" s="484">
        <v>0</v>
      </c>
      <c r="DI541" s="484">
        <v>1</v>
      </c>
      <c r="DJ541" s="484">
        <v>2</v>
      </c>
      <c r="DK541" s="484">
        <v>1</v>
      </c>
      <c r="DL541" s="484">
        <v>218</v>
      </c>
      <c r="DM541" s="484">
        <v>260</v>
      </c>
      <c r="DN541" s="484">
        <v>244</v>
      </c>
      <c r="DO541" s="484">
        <v>43</v>
      </c>
      <c r="DP541" s="484">
        <v>0</v>
      </c>
      <c r="DQ541" s="484">
        <f>IF(VLOOKUP($BS541,'État &amp; Plan d''action'!$B$6:$AJ$1113,28,FALSE)="","",VLOOKUP($BS541,'État &amp; Plan d''action'!$B$6:$AJ$1113,28,FALSE))</f>
        <v>225</v>
      </c>
      <c r="DR541" s="70">
        <f>IF(VLOOKUP($BS541,'État &amp; Plan d''action'!$B$6:$AJ$1113,29,FALSE)="","",VLOOKUP($BS541,'État &amp; Plan d''action'!$B$6:$AJ$1113,29,FALSE))</f>
        <v>54</v>
      </c>
      <c r="DS541" s="70">
        <f>IF(VLOOKUP($BS541,'État &amp; Plan d''action'!$B$6:$AJ$1113,30,FALSE)="","",VLOOKUP($BS541,'État &amp; Plan d''action'!$B$6:$AJ$1113,30,FALSE))</f>
        <v>0</v>
      </c>
      <c r="DT541" s="70">
        <v>250</v>
      </c>
      <c r="DU541" s="485">
        <v>4.3525668230238219</v>
      </c>
      <c r="DV541" s="485">
        <v>4.4590801027518756</v>
      </c>
      <c r="DW541" s="70">
        <v>1</v>
      </c>
      <c r="DX541" s="70">
        <v>1</v>
      </c>
      <c r="DY541" s="70">
        <v>0</v>
      </c>
      <c r="DZ541" s="70">
        <f>VLOOKUP($BS541,'État &amp; Plan d''action'!$B$6:$AH$1113,31,FALSE)</f>
        <v>1</v>
      </c>
      <c r="EA541" s="70">
        <f>VLOOKUP($BS541,'État &amp; Plan d''action'!$B$6:$AH$1113,32,FALSE)</f>
        <v>1</v>
      </c>
      <c r="EB541" s="70">
        <f>VLOOKUP($BS541,'État &amp; Plan d''action'!$B$6:$AH$1113,33,FALSE)</f>
        <v>0</v>
      </c>
      <c r="EC541" s="70">
        <v>0</v>
      </c>
      <c r="ED541" s="70">
        <v>1184.4929999999999</v>
      </c>
      <c r="EE541" s="70">
        <v>0.3</v>
      </c>
      <c r="EF541" s="70">
        <v>0</v>
      </c>
      <c r="EG541" s="70">
        <v>0</v>
      </c>
      <c r="EH541" s="72">
        <v>56.132394894894901</v>
      </c>
      <c r="EI541" s="72">
        <v>146593</v>
      </c>
    </row>
    <row r="542" spans="71:139" x14ac:dyDescent="0.35">
      <c r="BS542" s="486">
        <v>17015</v>
      </c>
      <c r="BT542" s="479" t="s">
        <v>92</v>
      </c>
      <c r="BU542" s="479">
        <v>12</v>
      </c>
      <c r="BV542" s="476" t="s">
        <v>1188</v>
      </c>
      <c r="BW542" s="476" t="s">
        <v>1188</v>
      </c>
      <c r="BX542" s="476" t="s">
        <v>1188</v>
      </c>
      <c r="BY542" s="476" t="s">
        <v>1188</v>
      </c>
      <c r="BZ542" s="476" t="s">
        <v>1188</v>
      </c>
      <c r="CA542" s="476" t="s">
        <v>1188</v>
      </c>
      <c r="CB542" s="476" t="s">
        <v>1188</v>
      </c>
      <c r="CC542" s="476" t="s">
        <v>1188</v>
      </c>
      <c r="CD542" s="476" t="s">
        <v>1188</v>
      </c>
      <c r="CE542" s="476" t="s">
        <v>1187</v>
      </c>
      <c r="CF542" s="476" t="s">
        <v>1187</v>
      </c>
      <c r="CG542" s="476" t="s">
        <v>1187</v>
      </c>
      <c r="CH542" s="476" t="s">
        <v>1187</v>
      </c>
      <c r="CI542" s="476" t="s">
        <v>1187</v>
      </c>
      <c r="CJ542" s="476" t="s">
        <v>1187</v>
      </c>
      <c r="CK542" s="476" t="s">
        <v>1187</v>
      </c>
      <c r="CL542" s="476" t="s">
        <v>1187</v>
      </c>
      <c r="CM542" s="476" t="str">
        <f>IF(VLOOKUP(BS542,'Données par municipalité'!$B$6:$E$1113,4,FALSE)="","non","oui")</f>
        <v>non</v>
      </c>
      <c r="CN542" s="410" t="s">
        <v>1124</v>
      </c>
      <c r="CO542" s="410" t="s">
        <v>1124</v>
      </c>
      <c r="CP542" s="410"/>
      <c r="CQ542" s="410"/>
      <c r="CR542" s="410"/>
      <c r="CS542" s="410" t="s">
        <v>1124</v>
      </c>
      <c r="CT542" s="410"/>
      <c r="CU542" s="410" t="s">
        <v>1124</v>
      </c>
      <c r="CV542" s="410" t="str">
        <f>IF(VLOOKUP(BS542,'Données par municipalité'!$B$6:$F$1113,4,FALSE)="","",VLOOKUP(BS542,'Données par municipalité'!$B$6:$F$1113,4,FALSE))</f>
        <v/>
      </c>
      <c r="CW542" s="476" t="s">
        <v>4723</v>
      </c>
      <c r="CX542" s="483" t="s">
        <v>1124</v>
      </c>
      <c r="CY542" s="483" t="s">
        <v>1124</v>
      </c>
      <c r="CZ542" s="483" t="s">
        <v>1124</v>
      </c>
      <c r="DA542" s="483" t="s">
        <v>1124</v>
      </c>
      <c r="DB542" s="483" t="s">
        <v>1124</v>
      </c>
      <c r="DC542" s="483" t="s">
        <v>1124</v>
      </c>
      <c r="DD542" s="483" t="s">
        <v>1124</v>
      </c>
      <c r="DE542" s="483" t="str">
        <f>IFERROR(SUM(VLOOKUP($BS542,'État &amp; Plan d''action'!$B$6:$Z$1113,18,FALSE),VLOOKUP($BS542,'État &amp; Plan d''action'!$B$6:$Z$1113,20,FALSE))/(VLOOKUP($BS542,'Données par municipalité'!$B$4:$L$1113,11,FALSE)),"")</f>
        <v/>
      </c>
      <c r="DF542" s="483" t="str">
        <f>IFERROR(SUM(VLOOKUP($BS542,'État &amp; Plan d''action'!$B$6:$Z$1113,19,FALSE),VLOOKUP($BS542,'État &amp; Plan d''action'!$B$6:$Z$1113,21,FALSE))/(VLOOKUP($BS542,'Données par municipalité'!$B$4:$L$1113,11,FALSE)),"")</f>
        <v/>
      </c>
      <c r="DG542" s="476" t="s">
        <v>4723</v>
      </c>
      <c r="DH542" s="484" t="s">
        <v>1124</v>
      </c>
      <c r="DI542" s="484" t="s">
        <v>1124</v>
      </c>
      <c r="DJ542" s="484">
        <v>0</v>
      </c>
      <c r="DK542" s="484">
        <v>0</v>
      </c>
      <c r="DL542" s="484" t="s">
        <v>1124</v>
      </c>
      <c r="DM542" s="484" t="s">
        <v>1124</v>
      </c>
      <c r="DN542" s="484" t="s">
        <v>1124</v>
      </c>
      <c r="DO542" s="484" t="s">
        <v>1124</v>
      </c>
      <c r="DP542" s="484" t="s">
        <v>1124</v>
      </c>
      <c r="DQ542" s="484" t="str">
        <f>IF(VLOOKUP($BS542,'État &amp; Plan d''action'!$B$6:$AJ$1113,28,FALSE)="","",VLOOKUP($BS542,'État &amp; Plan d''action'!$B$6:$AJ$1113,28,FALSE))</f>
        <v/>
      </c>
      <c r="DR542" s="70" t="str">
        <f>IF(VLOOKUP($BS542,'État &amp; Plan d''action'!$B$6:$AJ$1113,29,FALSE)="","",VLOOKUP($BS542,'État &amp; Plan d''action'!$B$6:$AJ$1113,29,FALSE))</f>
        <v/>
      </c>
      <c r="DS542" s="70" t="str">
        <f>IF(VLOOKUP($BS542,'État &amp; Plan d''action'!$B$6:$AJ$1113,30,FALSE)="","",VLOOKUP($BS542,'État &amp; Plan d''action'!$B$6:$AJ$1113,30,FALSE))</f>
        <v/>
      </c>
      <c r="DT542" s="70" t="s">
        <v>1124</v>
      </c>
      <c r="DU542" s="485" t="s">
        <v>1124</v>
      </c>
      <c r="DV542" s="485" t="s">
        <v>1124</v>
      </c>
      <c r="DW542" s="70" t="s">
        <v>1124</v>
      </c>
      <c r="DX542" s="70" t="s">
        <v>1124</v>
      </c>
      <c r="DY542" s="70" t="s">
        <v>1124</v>
      </c>
      <c r="DZ542" s="70" t="str">
        <f>VLOOKUP($BS542,'État &amp; Plan d''action'!$B$6:$AH$1113,31,FALSE)</f>
        <v/>
      </c>
      <c r="EA542" s="70" t="str">
        <f>VLOOKUP($BS542,'État &amp; Plan d''action'!$B$6:$AH$1113,32,FALSE)</f>
        <v/>
      </c>
      <c r="EB542" s="70" t="str">
        <f>VLOOKUP($BS542,'État &amp; Plan d''action'!$B$6:$AH$1113,33,FALSE)</f>
        <v/>
      </c>
      <c r="EC542" s="70" t="s">
        <v>1124</v>
      </c>
      <c r="ED542" s="70" t="s">
        <v>1124</v>
      </c>
      <c r="EE542" s="70" t="s">
        <v>1124</v>
      </c>
      <c r="EF542" s="70" t="s">
        <v>1124</v>
      </c>
      <c r="EG542" s="70" t="s">
        <v>1124</v>
      </c>
      <c r="EH542" s="72"/>
      <c r="EI542" s="72">
        <v>499</v>
      </c>
    </row>
    <row r="543" spans="71:139" x14ac:dyDescent="0.35">
      <c r="BS543" s="486">
        <v>8030</v>
      </c>
      <c r="BT543" s="479" t="s">
        <v>1090</v>
      </c>
      <c r="BU543" s="479">
        <v>1</v>
      </c>
      <c r="BV543" s="476" t="s">
        <v>1187</v>
      </c>
      <c r="BW543" s="476" t="s">
        <v>1187</v>
      </c>
      <c r="BX543" s="476" t="s">
        <v>1187</v>
      </c>
      <c r="BY543" s="476" t="s">
        <v>1187</v>
      </c>
      <c r="BZ543" s="476" t="s">
        <v>1187</v>
      </c>
      <c r="CA543" s="476" t="s">
        <v>1187</v>
      </c>
      <c r="CB543" s="476" t="s">
        <v>1187</v>
      </c>
      <c r="CC543" s="476" t="s">
        <v>1187</v>
      </c>
      <c r="CD543" s="476" t="s">
        <v>1187</v>
      </c>
      <c r="CE543" s="476" t="s">
        <v>1188</v>
      </c>
      <c r="CF543" s="476" t="s">
        <v>1188</v>
      </c>
      <c r="CG543" s="476" t="s">
        <v>1187</v>
      </c>
      <c r="CH543" s="476" t="s">
        <v>1187</v>
      </c>
      <c r="CI543" s="476" t="s">
        <v>1187</v>
      </c>
      <c r="CJ543" s="476" t="s">
        <v>1188</v>
      </c>
      <c r="CK543" s="476" t="s">
        <v>1188</v>
      </c>
      <c r="CL543" s="476" t="s">
        <v>1188</v>
      </c>
      <c r="CM543" s="476" t="str">
        <f>IF(VLOOKUP(BS543,'Données par municipalité'!$B$6:$E$1113,4,FALSE)="","non","oui")</f>
        <v>oui</v>
      </c>
      <c r="CN543" s="410">
        <v>1386.6794626645415</v>
      </c>
      <c r="CO543" s="410">
        <v>1004.5681903605399</v>
      </c>
      <c r="CP543" s="410"/>
      <c r="CQ543" s="410"/>
      <c r="CR543" s="410"/>
      <c r="CS543" s="410">
        <v>318.68661982037185</v>
      </c>
      <c r="CT543" s="410">
        <v>282.56266360087557</v>
      </c>
      <c r="CU543" s="410">
        <v>302</v>
      </c>
      <c r="CV543" s="410">
        <f>IF(VLOOKUP(BS543,'Données par municipalité'!$B$6:$F$1113,4,FALSE)="","",VLOOKUP(BS543,'Données par municipalité'!$B$6:$F$1113,4,FALSE))</f>
        <v>305</v>
      </c>
      <c r="CW543" s="476" t="s">
        <v>4723</v>
      </c>
      <c r="CX543" s="483">
        <v>0</v>
      </c>
      <c r="CY543" s="483" t="s">
        <v>1124</v>
      </c>
      <c r="CZ543" s="483" t="s">
        <v>1124</v>
      </c>
      <c r="DA543" s="483" t="s">
        <v>1124</v>
      </c>
      <c r="DB543" s="483">
        <v>1</v>
      </c>
      <c r="DC543" s="483">
        <v>0</v>
      </c>
      <c r="DD543" s="483" t="s">
        <v>1124</v>
      </c>
      <c r="DE543" s="483">
        <f>IFERROR(SUM(VLOOKUP($BS543,'État &amp; Plan d''action'!$B$6:$Z$1113,18,FALSE),VLOOKUP($BS543,'État &amp; Plan d''action'!$B$6:$Z$1113,20,FALSE))/(VLOOKUP($BS543,'Données par municipalité'!$B$4:$L$1113,11,FALSE)),"")</f>
        <v>0</v>
      </c>
      <c r="DF543" s="483">
        <f>IFERROR(SUM(VLOOKUP($BS543,'État &amp; Plan d''action'!$B$6:$Z$1113,19,FALSE),VLOOKUP($BS543,'État &amp; Plan d''action'!$B$6:$Z$1113,21,FALSE))/(VLOOKUP($BS543,'Données par municipalité'!$B$4:$L$1113,11,FALSE)),"")</f>
        <v>0.99233198015336044</v>
      </c>
      <c r="DG543" s="476" t="s">
        <v>4723</v>
      </c>
      <c r="DH543" s="484">
        <v>8</v>
      </c>
      <c r="DI543" s="484" t="s">
        <v>1124</v>
      </c>
      <c r="DJ543" s="484">
        <v>0</v>
      </c>
      <c r="DK543" s="484">
        <v>0</v>
      </c>
      <c r="DL543" s="484">
        <v>0</v>
      </c>
      <c r="DM543" s="484">
        <v>1</v>
      </c>
      <c r="DN543" s="484">
        <v>1</v>
      </c>
      <c r="DO543" s="484">
        <v>0</v>
      </c>
      <c r="DP543" s="484">
        <v>0</v>
      </c>
      <c r="DQ543" s="484">
        <f>IF(VLOOKUP($BS543,'État &amp; Plan d''action'!$B$6:$AJ$1113,28,FALSE)="","",VLOOKUP($BS543,'État &amp; Plan d''action'!$B$6:$AJ$1113,28,FALSE))</f>
        <v>0</v>
      </c>
      <c r="DR543" s="70">
        <f>IF(VLOOKUP($BS543,'État &amp; Plan d''action'!$B$6:$AJ$1113,29,FALSE)="","",VLOOKUP($BS543,'État &amp; Plan d''action'!$B$6:$AJ$1113,29,FALSE))</f>
        <v>0</v>
      </c>
      <c r="DS543" s="70">
        <f>IF(VLOOKUP($BS543,'État &amp; Plan d''action'!$B$6:$AJ$1113,30,FALSE)="","",VLOOKUP($BS543,'État &amp; Plan d''action'!$B$6:$AJ$1113,30,FALSE))</f>
        <v>0</v>
      </c>
      <c r="DT543" s="70">
        <v>227</v>
      </c>
      <c r="DU543" s="485">
        <v>1.197906418951598</v>
      </c>
      <c r="DV543" s="485">
        <v>1.0599174452945568</v>
      </c>
      <c r="DW543" s="70">
        <v>1</v>
      </c>
      <c r="DX543" s="70">
        <v>0</v>
      </c>
      <c r="DY543" s="70">
        <v>0</v>
      </c>
      <c r="DZ543" s="70">
        <f>VLOOKUP($BS543,'État &amp; Plan d''action'!$B$6:$AH$1113,31,FALSE)</f>
        <v>0</v>
      </c>
      <c r="EA543" s="70">
        <f>VLOOKUP($BS543,'État &amp; Plan d''action'!$B$6:$AH$1113,32,FALSE)</f>
        <v>0</v>
      </c>
      <c r="EB543" s="70">
        <f>VLOOKUP($BS543,'État &amp; Plan d''action'!$B$6:$AH$1113,33,FALSE)</f>
        <v>0</v>
      </c>
      <c r="EC543" s="70">
        <v>0</v>
      </c>
      <c r="ED543" s="70">
        <v>0</v>
      </c>
      <c r="EE543" s="70">
        <v>0</v>
      </c>
      <c r="EF543" s="70">
        <v>0</v>
      </c>
      <c r="EG543" s="70">
        <v>0</v>
      </c>
      <c r="EH543" s="72">
        <v>48</v>
      </c>
      <c r="EI543" s="72">
        <v>518</v>
      </c>
    </row>
    <row r="544" spans="71:139" x14ac:dyDescent="0.35">
      <c r="BS544" s="486">
        <v>35015</v>
      </c>
      <c r="BT544" s="479" t="s">
        <v>305</v>
      </c>
      <c r="BU544" s="479">
        <v>4</v>
      </c>
      <c r="BV544" s="476" t="s">
        <v>1187</v>
      </c>
      <c r="BW544" s="476" t="s">
        <v>1187</v>
      </c>
      <c r="BX544" s="476" t="s">
        <v>1187</v>
      </c>
      <c r="BY544" s="476" t="s">
        <v>1187</v>
      </c>
      <c r="BZ544" s="476" t="s">
        <v>1187</v>
      </c>
      <c r="CA544" s="476" t="s">
        <v>1187</v>
      </c>
      <c r="CB544" s="476" t="s">
        <v>1187</v>
      </c>
      <c r="CC544" s="476" t="s">
        <v>1187</v>
      </c>
      <c r="CD544" s="476" t="s">
        <v>1187</v>
      </c>
      <c r="CE544" s="476" t="s">
        <v>1187</v>
      </c>
      <c r="CF544" s="476" t="s">
        <v>1187</v>
      </c>
      <c r="CG544" s="476" t="s">
        <v>1187</v>
      </c>
      <c r="CH544" s="476" t="s">
        <v>1187</v>
      </c>
      <c r="CI544" s="476" t="s">
        <v>1187</v>
      </c>
      <c r="CJ544" s="476" t="s">
        <v>1187</v>
      </c>
      <c r="CK544" s="476" t="s">
        <v>1188</v>
      </c>
      <c r="CL544" s="476" t="s">
        <v>1188</v>
      </c>
      <c r="CM544" s="476" t="str">
        <f>IF(VLOOKUP(BS544,'Données par municipalité'!$B$6:$E$1113,4,FALSE)="","non","oui")</f>
        <v>oui</v>
      </c>
      <c r="CN544" s="410" t="s">
        <v>1124</v>
      </c>
      <c r="CO544" s="410" t="s">
        <v>1124</v>
      </c>
      <c r="CP544" s="410"/>
      <c r="CQ544" s="410"/>
      <c r="CR544" s="410"/>
      <c r="CS544" s="410" t="s">
        <v>1124</v>
      </c>
      <c r="CT544" s="410">
        <v>319.29273465659418</v>
      </c>
      <c r="CU544" s="410">
        <v>321</v>
      </c>
      <c r="CV544" s="410">
        <f>IF(VLOOKUP(BS544,'Données par municipalité'!$B$6:$F$1113,4,FALSE)="","",VLOOKUP(BS544,'Données par municipalité'!$B$6:$F$1113,4,FALSE))</f>
        <v>259</v>
      </c>
      <c r="CW544" s="476" t="s">
        <v>4723</v>
      </c>
      <c r="CX544" s="483" t="s">
        <v>1124</v>
      </c>
      <c r="CY544" s="483" t="s">
        <v>1124</v>
      </c>
      <c r="CZ544" s="483" t="s">
        <v>1124</v>
      </c>
      <c r="DA544" s="483" t="s">
        <v>1124</v>
      </c>
      <c r="DB544" s="483" t="s">
        <v>1124</v>
      </c>
      <c r="DC544" s="483">
        <v>0</v>
      </c>
      <c r="DD544" s="483">
        <v>0</v>
      </c>
      <c r="DE544" s="483">
        <f>IFERROR(SUM(VLOOKUP($BS544,'État &amp; Plan d''action'!$B$6:$Z$1113,18,FALSE),VLOOKUP($BS544,'État &amp; Plan d''action'!$B$6:$Z$1113,20,FALSE))/(VLOOKUP($BS544,'Données par municipalité'!$B$4:$L$1113,11,FALSE)),"")</f>
        <v>0</v>
      </c>
      <c r="DF544" s="483">
        <f>IFERROR(SUM(VLOOKUP($BS544,'État &amp; Plan d''action'!$B$6:$Z$1113,19,FALSE),VLOOKUP($BS544,'État &amp; Plan d''action'!$B$6:$Z$1113,21,FALSE))/(VLOOKUP($BS544,'Données par municipalité'!$B$4:$L$1113,11,FALSE)),"")</f>
        <v>0</v>
      </c>
      <c r="DG544" s="476" t="s">
        <v>4723</v>
      </c>
      <c r="DH544" s="484" t="s">
        <v>1124</v>
      </c>
      <c r="DI544" s="484" t="s">
        <v>1124</v>
      </c>
      <c r="DJ544" s="484">
        <v>0</v>
      </c>
      <c r="DK544" s="484">
        <v>0</v>
      </c>
      <c r="DL544" s="484" t="s">
        <v>1124</v>
      </c>
      <c r="DM544" s="484">
        <v>1</v>
      </c>
      <c r="DN544" s="484">
        <v>0</v>
      </c>
      <c r="DO544" s="484">
        <v>1</v>
      </c>
      <c r="DP544" s="484">
        <v>0</v>
      </c>
      <c r="DQ544" s="484">
        <f>IF(VLOOKUP($BS544,'État &amp; Plan d''action'!$B$6:$AJ$1113,28,FALSE)="","",VLOOKUP($BS544,'État &amp; Plan d''action'!$B$6:$AJ$1113,28,FALSE))</f>
        <v>0</v>
      </c>
      <c r="DR544" s="70">
        <f>IF(VLOOKUP($BS544,'État &amp; Plan d''action'!$B$6:$AJ$1113,29,FALSE)="","",VLOOKUP($BS544,'État &amp; Plan d''action'!$B$6:$AJ$1113,29,FALSE))</f>
        <v>0</v>
      </c>
      <c r="DS544" s="70">
        <f>IF(VLOOKUP($BS544,'État &amp; Plan d''action'!$B$6:$AJ$1113,30,FALSE)="","",VLOOKUP($BS544,'État &amp; Plan d''action'!$B$6:$AJ$1113,30,FALSE))</f>
        <v>0</v>
      </c>
      <c r="DT544" s="70">
        <v>245</v>
      </c>
      <c r="DU544" s="485">
        <v>1.7620857553948674</v>
      </c>
      <c r="DV544" s="485">
        <v>1.6734569775524912</v>
      </c>
      <c r="DW544" s="70">
        <v>0</v>
      </c>
      <c r="DX544" s="70">
        <v>1</v>
      </c>
      <c r="DY544" s="70">
        <v>0</v>
      </c>
      <c r="DZ544" s="70">
        <f>VLOOKUP($BS544,'État &amp; Plan d''action'!$B$6:$AH$1113,31,FALSE)</f>
        <v>0</v>
      </c>
      <c r="EA544" s="70">
        <f>VLOOKUP($BS544,'État &amp; Plan d''action'!$B$6:$AH$1113,32,FALSE)</f>
        <v>0</v>
      </c>
      <c r="EB544" s="70">
        <f>VLOOKUP($BS544,'État &amp; Plan d''action'!$B$6:$AH$1113,33,FALSE)</f>
        <v>0</v>
      </c>
      <c r="EC544" s="70">
        <v>0</v>
      </c>
      <c r="ED544" s="70">
        <v>0</v>
      </c>
      <c r="EE544" s="70">
        <v>0</v>
      </c>
      <c r="EF544" s="70">
        <v>0</v>
      </c>
      <c r="EG544" s="70">
        <v>0</v>
      </c>
      <c r="EH544" s="72">
        <v>41</v>
      </c>
      <c r="EI544" s="72">
        <v>951</v>
      </c>
    </row>
    <row r="545" spans="71:139" x14ac:dyDescent="0.35">
      <c r="BS545" s="486">
        <v>77065</v>
      </c>
      <c r="BT545" s="479" t="s">
        <v>765</v>
      </c>
      <c r="BU545" s="479">
        <v>15</v>
      </c>
      <c r="BV545" s="476" t="s">
        <v>1187</v>
      </c>
      <c r="BW545" s="476" t="s">
        <v>1187</v>
      </c>
      <c r="BX545" s="476" t="s">
        <v>1187</v>
      </c>
      <c r="BY545" s="476" t="s">
        <v>1187</v>
      </c>
      <c r="BZ545" s="476" t="s">
        <v>1187</v>
      </c>
      <c r="CA545" s="476" t="s">
        <v>1187</v>
      </c>
      <c r="CB545" s="476" t="s">
        <v>1187</v>
      </c>
      <c r="CC545" s="476" t="s">
        <v>1187</v>
      </c>
      <c r="CD545" s="476" t="s">
        <v>1187</v>
      </c>
      <c r="CE545" s="476" t="s">
        <v>1188</v>
      </c>
      <c r="CF545" s="476" t="s">
        <v>1188</v>
      </c>
      <c r="CG545" s="476" t="s">
        <v>1188</v>
      </c>
      <c r="CH545" s="476" t="s">
        <v>1187</v>
      </c>
      <c r="CI545" s="476" t="s">
        <v>1187</v>
      </c>
      <c r="CJ545" s="476" t="s">
        <v>1188</v>
      </c>
      <c r="CK545" s="476" t="s">
        <v>1187</v>
      </c>
      <c r="CL545" s="476" t="s">
        <v>1188</v>
      </c>
      <c r="CM545" s="476" t="str">
        <f>IF(VLOOKUP(BS545,'Données par municipalité'!$B$6:$E$1113,4,FALSE)="","non","oui")</f>
        <v>oui</v>
      </c>
      <c r="CN545" s="410">
        <v>336.54552525819975</v>
      </c>
      <c r="CO545" s="410">
        <v>479.15589631399308</v>
      </c>
      <c r="CP545" s="410">
        <v>427.37285361632541</v>
      </c>
      <c r="CQ545" s="410"/>
      <c r="CR545" s="410"/>
      <c r="CS545" s="410">
        <v>308.36152680816269</v>
      </c>
      <c r="CT545" s="410"/>
      <c r="CU545" s="410">
        <v>858</v>
      </c>
      <c r="CV545" s="410">
        <f>IF(VLOOKUP(BS545,'Données par municipalité'!$B$6:$F$1113,4,FALSE)="","",VLOOKUP(BS545,'Données par municipalité'!$B$6:$F$1113,4,FALSE))</f>
        <v>619</v>
      </c>
      <c r="CW545" s="476" t="s">
        <v>4723</v>
      </c>
      <c r="CX545" s="483">
        <v>0</v>
      </c>
      <c r="CY545" s="483">
        <v>0</v>
      </c>
      <c r="CZ545" s="483" t="s">
        <v>1124</v>
      </c>
      <c r="DA545" s="483" t="s">
        <v>1124</v>
      </c>
      <c r="DB545" s="483">
        <v>0</v>
      </c>
      <c r="DC545" s="483" t="s">
        <v>1124</v>
      </c>
      <c r="DD545" s="483">
        <v>0</v>
      </c>
      <c r="DE545" s="483">
        <f>IFERROR(SUM(VLOOKUP($BS545,'État &amp; Plan d''action'!$B$6:$Z$1113,18,FALSE),VLOOKUP($BS545,'État &amp; Plan d''action'!$B$6:$Z$1113,20,FALSE))/(VLOOKUP($BS545,'Données par municipalité'!$B$4:$L$1113,11,FALSE)),"")</f>
        <v>1.502373793321728</v>
      </c>
      <c r="DF545" s="483">
        <f>IFERROR(SUM(VLOOKUP($BS545,'État &amp; Plan d''action'!$B$6:$Z$1113,19,FALSE),VLOOKUP($BS545,'État &amp; Plan d''action'!$B$6:$Z$1113,21,FALSE))/(VLOOKUP($BS545,'Données par municipalité'!$B$4:$L$1113,11,FALSE)),"")</f>
        <v>0.17006910376114365</v>
      </c>
      <c r="DG545" s="476" t="s">
        <v>4723</v>
      </c>
      <c r="DH545" s="484" t="s">
        <v>1124</v>
      </c>
      <c r="DI545" s="484" t="s">
        <v>1124</v>
      </c>
      <c r="DJ545" s="484">
        <v>3</v>
      </c>
      <c r="DK545" s="484">
        <v>0</v>
      </c>
      <c r="DL545" s="484">
        <v>3</v>
      </c>
      <c r="DM545" s="484" t="s">
        <v>1124</v>
      </c>
      <c r="DN545" s="484">
        <v>2</v>
      </c>
      <c r="DO545" s="484">
        <v>1</v>
      </c>
      <c r="DP545" s="484">
        <v>0</v>
      </c>
      <c r="DQ545" s="484">
        <f>IF(VLOOKUP($BS545,'État &amp; Plan d''action'!$B$6:$AJ$1113,28,FALSE)="","",VLOOKUP($BS545,'État &amp; Plan d''action'!$B$6:$AJ$1113,28,FALSE))</f>
        <v>1</v>
      </c>
      <c r="DR545" s="70">
        <f>IF(VLOOKUP($BS545,'État &amp; Plan d''action'!$B$6:$AJ$1113,29,FALSE)="","",VLOOKUP($BS545,'État &amp; Plan d''action'!$B$6:$AJ$1113,29,FALSE))</f>
        <v>0</v>
      </c>
      <c r="DS545" s="70">
        <f>IF(VLOOKUP($BS545,'État &amp; Plan d''action'!$B$6:$AJ$1113,30,FALSE)="","",VLOOKUP($BS545,'État &amp; Plan d''action'!$B$6:$AJ$1113,30,FALSE))</f>
        <v>0</v>
      </c>
      <c r="DT545" s="70">
        <v>593</v>
      </c>
      <c r="DU545" s="485">
        <v>3.1246444008011953</v>
      </c>
      <c r="DV545" s="485">
        <v>1.3669048854824402</v>
      </c>
      <c r="DW545" s="70">
        <v>5</v>
      </c>
      <c r="DX545" s="70">
        <v>2</v>
      </c>
      <c r="DY545" s="70">
        <v>0</v>
      </c>
      <c r="DZ545" s="70">
        <f>VLOOKUP($BS545,'État &amp; Plan d''action'!$B$6:$AH$1113,31,FALSE)</f>
        <v>2</v>
      </c>
      <c r="EA545" s="70">
        <f>VLOOKUP($BS545,'État &amp; Plan d''action'!$B$6:$AH$1113,32,FALSE)</f>
        <v>0</v>
      </c>
      <c r="EB545" s="70">
        <f>VLOOKUP($BS545,'État &amp; Plan d''action'!$B$6:$AH$1113,33,FALSE)</f>
        <v>0</v>
      </c>
      <c r="EC545" s="70">
        <v>0</v>
      </c>
      <c r="ED545" s="70">
        <v>0</v>
      </c>
      <c r="EE545" s="70">
        <v>0</v>
      </c>
      <c r="EF545" s="70">
        <v>0</v>
      </c>
      <c r="EG545" s="70">
        <v>0</v>
      </c>
      <c r="EH545" s="72">
        <v>56</v>
      </c>
      <c r="EI545" s="72">
        <v>3555</v>
      </c>
    </row>
    <row r="546" spans="71:139" x14ac:dyDescent="0.35">
      <c r="BS546" s="486">
        <v>40010</v>
      </c>
      <c r="BT546" s="479" t="s">
        <v>359</v>
      </c>
      <c r="BU546" s="479">
        <v>5</v>
      </c>
      <c r="BV546" s="476" t="s">
        <v>1188</v>
      </c>
      <c r="BW546" s="476" t="s">
        <v>1188</v>
      </c>
      <c r="BX546" s="476" t="s">
        <v>1188</v>
      </c>
      <c r="BY546" s="476" t="s">
        <v>1188</v>
      </c>
      <c r="BZ546" s="476" t="s">
        <v>1188</v>
      </c>
      <c r="CA546" s="476" t="s">
        <v>1188</v>
      </c>
      <c r="CB546" s="476" t="s">
        <v>1188</v>
      </c>
      <c r="CC546" s="476" t="s">
        <v>1188</v>
      </c>
      <c r="CD546" s="476" t="s">
        <v>1188</v>
      </c>
      <c r="CE546" s="476" t="s">
        <v>1187</v>
      </c>
      <c r="CF546" s="476" t="s">
        <v>1187</v>
      </c>
      <c r="CG546" s="476" t="s">
        <v>1187</v>
      </c>
      <c r="CH546" s="476" t="s">
        <v>1187</v>
      </c>
      <c r="CI546" s="476" t="s">
        <v>1187</v>
      </c>
      <c r="CJ546" s="476" t="s">
        <v>1187</v>
      </c>
      <c r="CK546" s="476" t="s">
        <v>1187</v>
      </c>
      <c r="CL546" s="476" t="s">
        <v>1187</v>
      </c>
      <c r="CM546" s="476" t="str">
        <f>IF(VLOOKUP(BS546,'Données par municipalité'!$B$6:$E$1113,4,FALSE)="","non","oui")</f>
        <v>non</v>
      </c>
      <c r="CN546" s="410" t="s">
        <v>1124</v>
      </c>
      <c r="CO546" s="410" t="s">
        <v>1124</v>
      </c>
      <c r="CP546" s="410"/>
      <c r="CQ546" s="410"/>
      <c r="CR546" s="410"/>
      <c r="CS546" s="410" t="s">
        <v>1124</v>
      </c>
      <c r="CT546" s="410"/>
      <c r="CU546" s="410" t="s">
        <v>1124</v>
      </c>
      <c r="CV546" s="410" t="str">
        <f>IF(VLOOKUP(BS546,'Données par municipalité'!$B$6:$F$1113,4,FALSE)="","",VLOOKUP(BS546,'Données par municipalité'!$B$6:$F$1113,4,FALSE))</f>
        <v/>
      </c>
      <c r="CW546" s="476" t="s">
        <v>4723</v>
      </c>
      <c r="CX546" s="483" t="s">
        <v>1124</v>
      </c>
      <c r="CY546" s="483" t="s">
        <v>1124</v>
      </c>
      <c r="CZ546" s="483" t="s">
        <v>1124</v>
      </c>
      <c r="DA546" s="483" t="s">
        <v>1124</v>
      </c>
      <c r="DB546" s="483" t="s">
        <v>1124</v>
      </c>
      <c r="DC546" s="483" t="s">
        <v>1124</v>
      </c>
      <c r="DD546" s="483" t="s">
        <v>1124</v>
      </c>
      <c r="DE546" s="483" t="str">
        <f>IFERROR(SUM(VLOOKUP($BS546,'État &amp; Plan d''action'!$B$6:$Z$1113,18,FALSE),VLOOKUP($BS546,'État &amp; Plan d''action'!$B$6:$Z$1113,20,FALSE))/(VLOOKUP($BS546,'Données par municipalité'!$B$4:$L$1113,11,FALSE)),"")</f>
        <v/>
      </c>
      <c r="DF546" s="483" t="str">
        <f>IFERROR(SUM(VLOOKUP($BS546,'État &amp; Plan d''action'!$B$6:$Z$1113,19,FALSE),VLOOKUP($BS546,'État &amp; Plan d''action'!$B$6:$Z$1113,21,FALSE))/(VLOOKUP($BS546,'Données par municipalité'!$B$4:$L$1113,11,FALSE)),"")</f>
        <v/>
      </c>
      <c r="DG546" s="476" t="s">
        <v>4723</v>
      </c>
      <c r="DH546" s="484" t="s">
        <v>1124</v>
      </c>
      <c r="DI546" s="484" t="s">
        <v>1124</v>
      </c>
      <c r="DJ546" s="484">
        <v>0</v>
      </c>
      <c r="DK546" s="484">
        <v>0</v>
      </c>
      <c r="DL546" s="484" t="s">
        <v>1124</v>
      </c>
      <c r="DM546" s="484" t="s">
        <v>1124</v>
      </c>
      <c r="DN546" s="484" t="s">
        <v>1124</v>
      </c>
      <c r="DO546" s="484" t="s">
        <v>1124</v>
      </c>
      <c r="DP546" s="484" t="s">
        <v>1124</v>
      </c>
      <c r="DQ546" s="484" t="str">
        <f>IF(VLOOKUP($BS546,'État &amp; Plan d''action'!$B$6:$AJ$1113,28,FALSE)="","",VLOOKUP($BS546,'État &amp; Plan d''action'!$B$6:$AJ$1113,28,FALSE))</f>
        <v/>
      </c>
      <c r="DR546" s="70" t="str">
        <f>IF(VLOOKUP($BS546,'État &amp; Plan d''action'!$B$6:$AJ$1113,29,FALSE)="","",VLOOKUP($BS546,'État &amp; Plan d''action'!$B$6:$AJ$1113,29,FALSE))</f>
        <v/>
      </c>
      <c r="DS546" s="70" t="str">
        <f>IF(VLOOKUP($BS546,'État &amp; Plan d''action'!$B$6:$AJ$1113,30,FALSE)="","",VLOOKUP($BS546,'État &amp; Plan d''action'!$B$6:$AJ$1113,30,FALSE))</f>
        <v/>
      </c>
      <c r="DT546" s="70" t="s">
        <v>1124</v>
      </c>
      <c r="DU546" s="485" t="s">
        <v>1124</v>
      </c>
      <c r="DV546" s="485" t="s">
        <v>1124</v>
      </c>
      <c r="DW546" s="70" t="s">
        <v>1124</v>
      </c>
      <c r="DX546" s="70" t="s">
        <v>1124</v>
      </c>
      <c r="DY546" s="70" t="s">
        <v>1124</v>
      </c>
      <c r="DZ546" s="70" t="str">
        <f>VLOOKUP($BS546,'État &amp; Plan d''action'!$B$6:$AH$1113,31,FALSE)</f>
        <v/>
      </c>
      <c r="EA546" s="70" t="str">
        <f>VLOOKUP($BS546,'État &amp; Plan d''action'!$B$6:$AH$1113,32,FALSE)</f>
        <v/>
      </c>
      <c r="EB546" s="70" t="str">
        <f>VLOOKUP($BS546,'État &amp; Plan d''action'!$B$6:$AH$1113,33,FALSE)</f>
        <v/>
      </c>
      <c r="EC546" s="70" t="s">
        <v>1124</v>
      </c>
      <c r="ED546" s="70" t="s">
        <v>1124</v>
      </c>
      <c r="EE546" s="70" t="s">
        <v>1124</v>
      </c>
      <c r="EF546" s="70" t="s">
        <v>1124</v>
      </c>
      <c r="EG546" s="70" t="s">
        <v>1124</v>
      </c>
      <c r="EH546" s="72"/>
      <c r="EI546" s="72">
        <v>529</v>
      </c>
    </row>
    <row r="547" spans="71:139" x14ac:dyDescent="0.35">
      <c r="BS547" s="486">
        <v>31095</v>
      </c>
      <c r="BT547" s="479" t="s">
        <v>249</v>
      </c>
      <c r="BU547" s="479">
        <v>12</v>
      </c>
      <c r="BV547" s="476" t="s">
        <v>1187</v>
      </c>
      <c r="BW547" s="476" t="s">
        <v>1187</v>
      </c>
      <c r="BX547" s="476" t="s">
        <v>1187</v>
      </c>
      <c r="BY547" s="476" t="s">
        <v>1187</v>
      </c>
      <c r="BZ547" s="476" t="s">
        <v>1187</v>
      </c>
      <c r="CA547" s="476" t="s">
        <v>1187</v>
      </c>
      <c r="CB547" s="476" t="s">
        <v>1187</v>
      </c>
      <c r="CC547" s="476" t="s">
        <v>1187</v>
      </c>
      <c r="CD547" s="476" t="s">
        <v>1187</v>
      </c>
      <c r="CE547" s="476" t="s">
        <v>1188</v>
      </c>
      <c r="CF547" s="476" t="s">
        <v>1188</v>
      </c>
      <c r="CG547" s="476" t="s">
        <v>1188</v>
      </c>
      <c r="CH547" s="476" t="s">
        <v>1188</v>
      </c>
      <c r="CI547" s="476" t="s">
        <v>1188</v>
      </c>
      <c r="CJ547" s="476" t="s">
        <v>1188</v>
      </c>
      <c r="CK547" s="476" t="s">
        <v>1188</v>
      </c>
      <c r="CL547" s="476" t="s">
        <v>1188</v>
      </c>
      <c r="CM547" s="476" t="str">
        <f>IF(VLOOKUP(BS547,'Données par municipalité'!$B$6:$E$1113,4,FALSE)="","non","oui")</f>
        <v>oui</v>
      </c>
      <c r="CN547" s="410">
        <v>268.51794458563194</v>
      </c>
      <c r="CO547" s="410">
        <v>247.98744061039142</v>
      </c>
      <c r="CP547" s="410">
        <v>206.17908758608752</v>
      </c>
      <c r="CQ547" s="410">
        <v>204.66270682149616</v>
      </c>
      <c r="CR547" s="410">
        <v>224.63381367490956</v>
      </c>
      <c r="CS547" s="410">
        <v>227.84440817227704</v>
      </c>
      <c r="CT547" s="410">
        <v>161.56301287390829</v>
      </c>
      <c r="CU547" s="410">
        <v>209</v>
      </c>
      <c r="CV547" s="410">
        <f>IF(VLOOKUP(BS547,'Données par municipalité'!$B$6:$F$1113,4,FALSE)="","",VLOOKUP(BS547,'Données par municipalité'!$B$6:$F$1113,4,FALSE))</f>
        <v>195</v>
      </c>
      <c r="CW547" s="476" t="s">
        <v>4723</v>
      </c>
      <c r="CX547" s="483">
        <v>0</v>
      </c>
      <c r="CY547" s="483">
        <v>0</v>
      </c>
      <c r="CZ547" s="483">
        <v>0</v>
      </c>
      <c r="DA547" s="483">
        <v>0</v>
      </c>
      <c r="DB547" s="483">
        <v>0</v>
      </c>
      <c r="DC547" s="483">
        <v>0</v>
      </c>
      <c r="DD547" s="483">
        <v>0</v>
      </c>
      <c r="DE547" s="483">
        <f>IFERROR(SUM(VLOOKUP($BS547,'État &amp; Plan d''action'!$B$6:$Z$1113,18,FALSE),VLOOKUP($BS547,'État &amp; Plan d''action'!$B$6:$Z$1113,20,FALSE))/(VLOOKUP($BS547,'Données par municipalité'!$B$4:$L$1113,11,FALSE)),"")</f>
        <v>0</v>
      </c>
      <c r="DF547" s="483">
        <f>IFERROR(SUM(VLOOKUP($BS547,'État &amp; Plan d''action'!$B$6:$Z$1113,19,FALSE),VLOOKUP($BS547,'État &amp; Plan d''action'!$B$6:$Z$1113,21,FALSE))/(VLOOKUP($BS547,'Données par municipalité'!$B$4:$L$1113,11,FALSE)),"")</f>
        <v>0</v>
      </c>
      <c r="DG547" s="476" t="s">
        <v>4723</v>
      </c>
      <c r="DH547" s="484">
        <v>0</v>
      </c>
      <c r="DI547" s="484">
        <v>0</v>
      </c>
      <c r="DJ547" s="484">
        <v>0</v>
      </c>
      <c r="DK547" s="484">
        <v>0</v>
      </c>
      <c r="DL547" s="484">
        <v>0</v>
      </c>
      <c r="DM547" s="484">
        <v>0</v>
      </c>
      <c r="DN547" s="484">
        <v>0</v>
      </c>
      <c r="DO547" s="484">
        <v>0</v>
      </c>
      <c r="DP547" s="484">
        <v>0</v>
      </c>
      <c r="DQ547" s="484">
        <f>IF(VLOOKUP($BS547,'État &amp; Plan d''action'!$B$6:$AJ$1113,28,FALSE)="","",VLOOKUP($BS547,'État &amp; Plan d''action'!$B$6:$AJ$1113,28,FALSE))</f>
        <v>0</v>
      </c>
      <c r="DR547" s="70">
        <f>IF(VLOOKUP($BS547,'État &amp; Plan d''action'!$B$6:$AJ$1113,29,FALSE)="","",VLOOKUP($BS547,'État &amp; Plan d''action'!$B$6:$AJ$1113,29,FALSE))</f>
        <v>0</v>
      </c>
      <c r="DS547" s="70">
        <f>IF(VLOOKUP($BS547,'État &amp; Plan d''action'!$B$6:$AJ$1113,30,FALSE)="","",VLOOKUP($BS547,'État &amp; Plan d''action'!$B$6:$AJ$1113,30,FALSE))</f>
        <v>0</v>
      </c>
      <c r="DT547" s="70">
        <v>159</v>
      </c>
      <c r="DU547" s="485">
        <v>0.91786237745906207</v>
      </c>
      <c r="DV547" s="485">
        <v>0.92242742773386444</v>
      </c>
      <c r="DW547" s="70">
        <v>0</v>
      </c>
      <c r="DX547" s="70">
        <v>0</v>
      </c>
      <c r="DY547" s="70">
        <v>0</v>
      </c>
      <c r="DZ547" s="70">
        <f>VLOOKUP($BS547,'État &amp; Plan d''action'!$B$6:$AH$1113,31,FALSE)</f>
        <v>0</v>
      </c>
      <c r="EA547" s="70">
        <f>VLOOKUP($BS547,'État &amp; Plan d''action'!$B$6:$AH$1113,32,FALSE)</f>
        <v>0</v>
      </c>
      <c r="EB547" s="70">
        <f>VLOOKUP($BS547,'État &amp; Plan d''action'!$B$6:$AH$1113,33,FALSE)</f>
        <v>0</v>
      </c>
      <c r="EC547" s="70">
        <v>0</v>
      </c>
      <c r="ED547" s="70">
        <v>0</v>
      </c>
      <c r="EE547" s="70">
        <v>0</v>
      </c>
      <c r="EF547" s="70">
        <v>0</v>
      </c>
      <c r="EG547" s="70">
        <v>0</v>
      </c>
      <c r="EH547" s="72">
        <v>59</v>
      </c>
      <c r="EI547" s="72">
        <v>409</v>
      </c>
    </row>
    <row r="548" spans="71:139" x14ac:dyDescent="0.35">
      <c r="BS548" s="486">
        <v>33045</v>
      </c>
      <c r="BT548" s="479" t="s">
        <v>273</v>
      </c>
      <c r="BU548" s="479">
        <v>12</v>
      </c>
      <c r="BV548" s="476" t="s">
        <v>1187</v>
      </c>
      <c r="BW548" s="476" t="s">
        <v>1187</v>
      </c>
      <c r="BX548" s="476" t="s">
        <v>1187</v>
      </c>
      <c r="BY548" s="476" t="s">
        <v>1187</v>
      </c>
      <c r="BZ548" s="476" t="s">
        <v>1187</v>
      </c>
      <c r="CA548" s="476" t="s">
        <v>1187</v>
      </c>
      <c r="CB548" s="476" t="s">
        <v>1187</v>
      </c>
      <c r="CC548" s="476" t="s">
        <v>1187</v>
      </c>
      <c r="CD548" s="476" t="s">
        <v>1187</v>
      </c>
      <c r="CE548" s="476" t="s">
        <v>1188</v>
      </c>
      <c r="CF548" s="476" t="s">
        <v>1188</v>
      </c>
      <c r="CG548" s="476" t="s">
        <v>1188</v>
      </c>
      <c r="CH548" s="476" t="s">
        <v>1188</v>
      </c>
      <c r="CI548" s="476" t="s">
        <v>1188</v>
      </c>
      <c r="CJ548" s="476" t="s">
        <v>1188</v>
      </c>
      <c r="CK548" s="476" t="s">
        <v>1188</v>
      </c>
      <c r="CL548" s="476" t="s">
        <v>1188</v>
      </c>
      <c r="CM548" s="476" t="str">
        <f>IF(VLOOKUP(BS548,'Données par municipalité'!$B$6:$E$1113,4,FALSE)="","non","oui")</f>
        <v>oui</v>
      </c>
      <c r="CN548" s="410">
        <v>314.19594401599545</v>
      </c>
      <c r="CO548" s="410">
        <v>269.49150122713883</v>
      </c>
      <c r="CP548" s="410">
        <v>301.22601592689176</v>
      </c>
      <c r="CQ548" s="410">
        <v>284.07294906951677</v>
      </c>
      <c r="CR548" s="410">
        <v>257.27530716117354</v>
      </c>
      <c r="CS548" s="410">
        <v>289.72000933430252</v>
      </c>
      <c r="CT548" s="410">
        <v>266.59631069659338</v>
      </c>
      <c r="CU548" s="410">
        <v>261</v>
      </c>
      <c r="CV548" s="410">
        <f>IF(VLOOKUP(BS548,'Données par municipalité'!$B$6:$F$1113,4,FALSE)="","",VLOOKUP(BS548,'Données par municipalité'!$B$6:$F$1113,4,FALSE))</f>
        <v>252</v>
      </c>
      <c r="CW548" s="476" t="s">
        <v>4723</v>
      </c>
      <c r="CX548" s="483">
        <v>0</v>
      </c>
      <c r="CY548" s="483">
        <v>0.01</v>
      </c>
      <c r="CZ548" s="483">
        <v>0.1</v>
      </c>
      <c r="DA548" s="483">
        <v>0.1</v>
      </c>
      <c r="DB548" s="483">
        <v>0.1</v>
      </c>
      <c r="DC548" s="483">
        <v>0.1</v>
      </c>
      <c r="DD548" s="483">
        <v>4.1057644933486612E-2</v>
      </c>
      <c r="DE548" s="483">
        <f>IFERROR(SUM(VLOOKUP($BS548,'État &amp; Plan d''action'!$B$6:$Z$1113,18,FALSE),VLOOKUP($BS548,'État &amp; Plan d''action'!$B$6:$Z$1113,20,FALSE))/(VLOOKUP($BS548,'Données par municipalité'!$B$4:$L$1113,11,FALSE)),"")</f>
        <v>8.1886668850311164E-2</v>
      </c>
      <c r="DF548" s="483">
        <f>IFERROR(SUM(VLOOKUP($BS548,'État &amp; Plan d''action'!$B$6:$Z$1113,19,FALSE),VLOOKUP($BS548,'État &amp; Plan d''action'!$B$6:$Z$1113,21,FALSE))/(VLOOKUP($BS548,'Données par municipalité'!$B$4:$L$1113,11,FALSE)),"")</f>
        <v>0.40943334425155586</v>
      </c>
      <c r="DG548" s="476" t="s">
        <v>4723</v>
      </c>
      <c r="DH548" s="484">
        <v>3</v>
      </c>
      <c r="DI548" s="484">
        <v>3</v>
      </c>
      <c r="DJ548" s="484">
        <v>4</v>
      </c>
      <c r="DK548" s="484">
        <v>5</v>
      </c>
      <c r="DL548" s="484">
        <v>0</v>
      </c>
      <c r="DM548" s="484">
        <v>1</v>
      </c>
      <c r="DN548" s="484">
        <v>2</v>
      </c>
      <c r="DO548" s="484">
        <v>0</v>
      </c>
      <c r="DP548" s="484">
        <v>0</v>
      </c>
      <c r="DQ548" s="484">
        <f>IF(VLOOKUP($BS548,'État &amp; Plan d''action'!$B$6:$AJ$1113,28,FALSE)="","",VLOOKUP($BS548,'État &amp; Plan d''action'!$B$6:$AJ$1113,28,FALSE))</f>
        <v>4</v>
      </c>
      <c r="DR548" s="70">
        <f>IF(VLOOKUP($BS548,'État &amp; Plan d''action'!$B$6:$AJ$1113,29,FALSE)="","",VLOOKUP($BS548,'État &amp; Plan d''action'!$B$6:$AJ$1113,29,FALSE))</f>
        <v>0</v>
      </c>
      <c r="DS548" s="70">
        <f>IF(VLOOKUP($BS548,'État &amp; Plan d''action'!$B$6:$AJ$1113,30,FALSE)="","",VLOOKUP($BS548,'État &amp; Plan d''action'!$B$6:$AJ$1113,30,FALSE))</f>
        <v>0</v>
      </c>
      <c r="DT548" s="70">
        <v>158</v>
      </c>
      <c r="DU548" s="485">
        <v>1.6410082848381811</v>
      </c>
      <c r="DV548" s="485">
        <v>1.8437176345432211</v>
      </c>
      <c r="DW548" s="70">
        <v>1</v>
      </c>
      <c r="DX548" s="70">
        <v>0</v>
      </c>
      <c r="DY548" s="70">
        <v>0</v>
      </c>
      <c r="DZ548" s="70">
        <f>VLOOKUP($BS548,'État &amp; Plan d''action'!$B$6:$AH$1113,31,FALSE)</f>
        <v>1</v>
      </c>
      <c r="EA548" s="70">
        <f>VLOOKUP($BS548,'État &amp; Plan d''action'!$B$6:$AH$1113,32,FALSE)</f>
        <v>0</v>
      </c>
      <c r="EB548" s="70">
        <f>VLOOKUP($BS548,'État &amp; Plan d''action'!$B$6:$AH$1113,33,FALSE)</f>
        <v>0</v>
      </c>
      <c r="EC548" s="70">
        <v>24.356000000000002</v>
      </c>
      <c r="ED548" s="70">
        <v>0</v>
      </c>
      <c r="EE548" s="70">
        <v>1</v>
      </c>
      <c r="EF548" s="70">
        <v>0</v>
      </c>
      <c r="EG548" s="70">
        <v>0</v>
      </c>
      <c r="EH548" s="72">
        <v>68</v>
      </c>
      <c r="EI548" s="72">
        <v>4421</v>
      </c>
    </row>
    <row r="549" spans="71:139" x14ac:dyDescent="0.35">
      <c r="BS549" s="486">
        <v>53015</v>
      </c>
      <c r="BT549" s="479" t="s">
        <v>532</v>
      </c>
      <c r="BU549" s="479">
        <v>16</v>
      </c>
      <c r="BV549" s="476" t="s">
        <v>1187</v>
      </c>
      <c r="BW549" s="476" t="s">
        <v>1187</v>
      </c>
      <c r="BX549" s="476" t="s">
        <v>1187</v>
      </c>
      <c r="BY549" s="476" t="s">
        <v>1187</v>
      </c>
      <c r="BZ549" s="476" t="s">
        <v>1187</v>
      </c>
      <c r="CA549" s="476" t="s">
        <v>1187</v>
      </c>
      <c r="CB549" s="476" t="s">
        <v>1187</v>
      </c>
      <c r="CC549" s="476" t="s">
        <v>1187</v>
      </c>
      <c r="CD549" s="476" t="s">
        <v>1187</v>
      </c>
      <c r="CE549" s="476" t="s">
        <v>1188</v>
      </c>
      <c r="CF549" s="476" t="s">
        <v>1188</v>
      </c>
      <c r="CG549" s="476" t="s">
        <v>1188</v>
      </c>
      <c r="CH549" s="476" t="s">
        <v>1188</v>
      </c>
      <c r="CI549" s="476" t="s">
        <v>1188</v>
      </c>
      <c r="CJ549" s="476" t="s">
        <v>1188</v>
      </c>
      <c r="CK549" s="476" t="s">
        <v>1188</v>
      </c>
      <c r="CL549" s="476" t="s">
        <v>1188</v>
      </c>
      <c r="CM549" s="476" t="str">
        <f>IF(VLOOKUP(BS549,'Données par municipalité'!$B$6:$E$1113,4,FALSE)="","non","oui")</f>
        <v>oui</v>
      </c>
      <c r="CN549" s="410">
        <v>809.14104575374824</v>
      </c>
      <c r="CO549" s="410">
        <v>846.33260118143255</v>
      </c>
      <c r="CP549" s="410">
        <v>854.55213612915793</v>
      </c>
      <c r="CQ549" s="410">
        <v>823.0863902716801</v>
      </c>
      <c r="CR549" s="410">
        <v>917.73862090570822</v>
      </c>
      <c r="CS549" s="410">
        <v>988.13537739244055</v>
      </c>
      <c r="CT549" s="410">
        <v>607.23826088624651</v>
      </c>
      <c r="CU549" s="410">
        <v>841</v>
      </c>
      <c r="CV549" s="410">
        <f>IF(VLOOKUP(BS549,'Données par municipalité'!$B$6:$F$1113,4,FALSE)="","",VLOOKUP(BS549,'Données par municipalité'!$B$6:$F$1113,4,FALSE))</f>
        <v>749</v>
      </c>
      <c r="CW549" s="476" t="s">
        <v>4723</v>
      </c>
      <c r="CX549" s="483">
        <v>0</v>
      </c>
      <c r="CY549" s="483">
        <v>0</v>
      </c>
      <c r="CZ549" s="483">
        <v>0</v>
      </c>
      <c r="DA549" s="483">
        <v>0</v>
      </c>
      <c r="DB549" s="483">
        <v>0</v>
      </c>
      <c r="DC549" s="483">
        <v>0</v>
      </c>
      <c r="DD549" s="483">
        <v>0</v>
      </c>
      <c r="DE549" s="483">
        <f>IFERROR(SUM(VLOOKUP($BS549,'État &amp; Plan d''action'!$B$6:$Z$1113,18,FALSE),VLOOKUP($BS549,'État &amp; Plan d''action'!$B$6:$Z$1113,20,FALSE))/(VLOOKUP($BS549,'Données par municipalité'!$B$4:$L$1113,11,FALSE)),"")</f>
        <v>0</v>
      </c>
      <c r="DF549" s="483">
        <f>IFERROR(SUM(VLOOKUP($BS549,'État &amp; Plan d''action'!$B$6:$Z$1113,19,FALSE),VLOOKUP($BS549,'État &amp; Plan d''action'!$B$6:$Z$1113,21,FALSE))/(VLOOKUP($BS549,'Données par municipalité'!$B$4:$L$1113,11,FALSE)),"")</f>
        <v>0</v>
      </c>
      <c r="DG549" s="476" t="s">
        <v>4723</v>
      </c>
      <c r="DH549" s="484">
        <v>2</v>
      </c>
      <c r="DI549" s="484">
        <v>0</v>
      </c>
      <c r="DJ549" s="484">
        <v>0</v>
      </c>
      <c r="DK549" s="484">
        <v>0</v>
      </c>
      <c r="DL549" s="484">
        <v>1</v>
      </c>
      <c r="DM549" s="484">
        <v>0</v>
      </c>
      <c r="DN549" s="484">
        <v>0</v>
      </c>
      <c r="DO549" s="484">
        <v>0</v>
      </c>
      <c r="DP549" s="484">
        <v>5</v>
      </c>
      <c r="DQ549" s="484">
        <f>IF(VLOOKUP($BS549,'État &amp; Plan d''action'!$B$6:$AJ$1113,28,FALSE)="","",VLOOKUP($BS549,'État &amp; Plan d''action'!$B$6:$AJ$1113,28,FALSE))</f>
        <v>0</v>
      </c>
      <c r="DR549" s="70">
        <f>IF(VLOOKUP($BS549,'État &amp; Plan d''action'!$B$6:$AJ$1113,29,FALSE)="","",VLOOKUP($BS549,'État &amp; Plan d''action'!$B$6:$AJ$1113,29,FALSE))</f>
        <v>0</v>
      </c>
      <c r="DS549" s="70">
        <f>IF(VLOOKUP($BS549,'État &amp; Plan d''action'!$B$6:$AJ$1113,30,FALSE)="","",VLOOKUP($BS549,'État &amp; Plan d''action'!$B$6:$AJ$1113,30,FALSE))</f>
        <v>0</v>
      </c>
      <c r="DT549" s="70">
        <v>187</v>
      </c>
      <c r="DU549" s="485">
        <v>0.99501720803124005</v>
      </c>
      <c r="DV549" s="485">
        <v>0.62863432818213871</v>
      </c>
      <c r="DW549" s="70">
        <v>0</v>
      </c>
      <c r="DX549" s="70">
        <v>0</v>
      </c>
      <c r="DY549" s="70">
        <v>5</v>
      </c>
      <c r="DZ549" s="70">
        <f>VLOOKUP($BS549,'État &amp; Plan d''action'!$B$6:$AH$1113,31,FALSE)</f>
        <v>0</v>
      </c>
      <c r="EA549" s="70">
        <f>VLOOKUP($BS549,'État &amp; Plan d''action'!$B$6:$AH$1113,32,FALSE)</f>
        <v>0</v>
      </c>
      <c r="EB549" s="70">
        <f>VLOOKUP($BS549,'État &amp; Plan d''action'!$B$6:$AH$1113,33,FALSE)</f>
        <v>0</v>
      </c>
      <c r="EC549" s="70">
        <v>0</v>
      </c>
      <c r="ED549" s="70">
        <v>0</v>
      </c>
      <c r="EE549" s="70">
        <v>0</v>
      </c>
      <c r="EF549" s="70">
        <v>0</v>
      </c>
      <c r="EG549" s="70">
        <v>0</v>
      </c>
      <c r="EH549" s="72">
        <v>54</v>
      </c>
      <c r="EI549" s="72">
        <v>468</v>
      </c>
    </row>
    <row r="550" spans="71:139" x14ac:dyDescent="0.35">
      <c r="BS550" s="486">
        <v>15030</v>
      </c>
      <c r="BT550" s="479" t="s">
        <v>80</v>
      </c>
      <c r="BU550" s="479">
        <v>3</v>
      </c>
      <c r="BV550" s="476" t="s">
        <v>1187</v>
      </c>
      <c r="BW550" s="476" t="s">
        <v>1187</v>
      </c>
      <c r="BX550" s="476" t="s">
        <v>1187</v>
      </c>
      <c r="BY550" s="476" t="s">
        <v>1187</v>
      </c>
      <c r="BZ550" s="476" t="s">
        <v>1187</v>
      </c>
      <c r="CA550" s="476" t="s">
        <v>1187</v>
      </c>
      <c r="CB550" s="476" t="s">
        <v>1187</v>
      </c>
      <c r="CC550" s="476" t="s">
        <v>1187</v>
      </c>
      <c r="CD550" s="476" t="s">
        <v>1187</v>
      </c>
      <c r="CE550" s="476" t="s">
        <v>1188</v>
      </c>
      <c r="CF550" s="476" t="s">
        <v>1188</v>
      </c>
      <c r="CG550" s="476" t="s">
        <v>1188</v>
      </c>
      <c r="CH550" s="476" t="s">
        <v>1188</v>
      </c>
      <c r="CI550" s="476" t="s">
        <v>1188</v>
      </c>
      <c r="CJ550" s="476" t="s">
        <v>1188</v>
      </c>
      <c r="CK550" s="476" t="s">
        <v>1188</v>
      </c>
      <c r="CL550" s="476" t="s">
        <v>1188</v>
      </c>
      <c r="CM550" s="476" t="str">
        <f>IF(VLOOKUP(BS550,'Données par municipalité'!$B$6:$E$1113,4,FALSE)="","non","oui")</f>
        <v>non</v>
      </c>
      <c r="CN550" s="410">
        <v>562.35175206839688</v>
      </c>
      <c r="CO550" s="410">
        <v>683.33301843816196</v>
      </c>
      <c r="CP550" s="410">
        <v>365.11114298006595</v>
      </c>
      <c r="CQ550" s="410">
        <v>397.48066936250694</v>
      </c>
      <c r="CR550" s="410">
        <v>411.18095245886417</v>
      </c>
      <c r="CS550" s="410">
        <v>392.29819588224188</v>
      </c>
      <c r="CT550" s="410">
        <v>410.77166655193781</v>
      </c>
      <c r="CU550" s="410">
        <v>421</v>
      </c>
      <c r="CV550" s="410" t="str">
        <f>IF(VLOOKUP(BS550,'Données par municipalité'!$B$6:$F$1113,4,FALSE)="","",VLOOKUP(BS550,'Données par municipalité'!$B$6:$F$1113,4,FALSE))</f>
        <v/>
      </c>
      <c r="CW550" s="476" t="s">
        <v>4723</v>
      </c>
      <c r="CX550" s="483">
        <v>0</v>
      </c>
      <c r="CY550" s="483">
        <v>0</v>
      </c>
      <c r="CZ550" s="483">
        <v>0</v>
      </c>
      <c r="DA550" s="483">
        <v>0</v>
      </c>
      <c r="DB550" s="483">
        <v>0</v>
      </c>
      <c r="DC550" s="483">
        <v>0</v>
      </c>
      <c r="DD550" s="483">
        <v>0</v>
      </c>
      <c r="DE550" s="483" t="str">
        <f>IFERROR(SUM(VLOOKUP($BS550,'État &amp; Plan d''action'!$B$6:$Z$1113,18,FALSE),VLOOKUP($BS550,'État &amp; Plan d''action'!$B$6:$Z$1113,20,FALSE))/(VLOOKUP($BS550,'Données par municipalité'!$B$4:$L$1113,11,FALSE)),"")</f>
        <v/>
      </c>
      <c r="DF550" s="483" t="str">
        <f>IFERROR(SUM(VLOOKUP($BS550,'État &amp; Plan d''action'!$B$6:$Z$1113,19,FALSE),VLOOKUP($BS550,'État &amp; Plan d''action'!$B$6:$Z$1113,21,FALSE))/(VLOOKUP($BS550,'Données par municipalité'!$B$4:$L$1113,11,FALSE)),"")</f>
        <v/>
      </c>
      <c r="DG550" s="476" t="s">
        <v>4723</v>
      </c>
      <c r="DH550" s="484">
        <v>0</v>
      </c>
      <c r="DI550" s="484">
        <v>0</v>
      </c>
      <c r="DJ550" s="484">
        <v>1</v>
      </c>
      <c r="DK550" s="484">
        <v>0</v>
      </c>
      <c r="DL550" s="484">
        <v>1</v>
      </c>
      <c r="DM550" s="484">
        <v>1</v>
      </c>
      <c r="DN550" s="484">
        <v>0</v>
      </c>
      <c r="DO550" s="484">
        <v>0</v>
      </c>
      <c r="DP550" s="484">
        <v>0</v>
      </c>
      <c r="DQ550" s="484" t="str">
        <f>IF(VLOOKUP($BS550,'État &amp; Plan d''action'!$B$6:$AJ$1113,28,FALSE)="","",VLOOKUP($BS550,'État &amp; Plan d''action'!$B$6:$AJ$1113,28,FALSE))</f>
        <v/>
      </c>
      <c r="DR550" s="70" t="str">
        <f>IF(VLOOKUP($BS550,'État &amp; Plan d''action'!$B$6:$AJ$1113,29,FALSE)="","",VLOOKUP($BS550,'État &amp; Plan d''action'!$B$6:$AJ$1113,29,FALSE))</f>
        <v/>
      </c>
      <c r="DS550" s="70" t="str">
        <f>IF(VLOOKUP($BS550,'État &amp; Plan d''action'!$B$6:$AJ$1113,30,FALSE)="","",VLOOKUP($BS550,'État &amp; Plan d''action'!$B$6:$AJ$1113,30,FALSE))</f>
        <v/>
      </c>
      <c r="DT550" s="70">
        <v>380</v>
      </c>
      <c r="DU550" s="485">
        <v>0.56232832643376784</v>
      </c>
      <c r="DV550" s="485" t="s">
        <v>1124</v>
      </c>
      <c r="DW550" s="70">
        <v>0</v>
      </c>
      <c r="DX550" s="70">
        <v>0</v>
      </c>
      <c r="DY550" s="70">
        <v>0</v>
      </c>
      <c r="DZ550" s="70" t="str">
        <f>VLOOKUP($BS550,'État &amp; Plan d''action'!$B$6:$AH$1113,31,FALSE)</f>
        <v/>
      </c>
      <c r="EA550" s="70" t="str">
        <f>VLOOKUP($BS550,'État &amp; Plan d''action'!$B$6:$AH$1113,32,FALSE)</f>
        <v/>
      </c>
      <c r="EB550" s="70" t="str">
        <f>VLOOKUP($BS550,'État &amp; Plan d''action'!$B$6:$AH$1113,33,FALSE)</f>
        <v/>
      </c>
      <c r="EC550" s="70">
        <v>0</v>
      </c>
      <c r="ED550" s="70">
        <v>0</v>
      </c>
      <c r="EE550" s="70">
        <v>0</v>
      </c>
      <c r="EF550" s="70">
        <v>0</v>
      </c>
      <c r="EG550" s="70">
        <v>0</v>
      </c>
      <c r="EH550" s="72">
        <v>59</v>
      </c>
      <c r="EI550" s="72">
        <v>1099</v>
      </c>
    </row>
    <row r="551" spans="71:139" x14ac:dyDescent="0.35">
      <c r="BS551" s="486">
        <v>79022</v>
      </c>
      <c r="BT551" s="479" t="s">
        <v>789</v>
      </c>
      <c r="BU551" s="479">
        <v>15</v>
      </c>
      <c r="BV551" s="476" t="s">
        <v>1187</v>
      </c>
      <c r="BW551" s="476" t="s">
        <v>1187</v>
      </c>
      <c r="BX551" s="476" t="s">
        <v>1187</v>
      </c>
      <c r="BY551" s="476" t="s">
        <v>1187</v>
      </c>
      <c r="BZ551" s="476" t="s">
        <v>1187</v>
      </c>
      <c r="CA551" s="476" t="s">
        <v>1187</v>
      </c>
      <c r="CB551" s="476" t="s">
        <v>1187</v>
      </c>
      <c r="CC551" s="476" t="s">
        <v>1187</v>
      </c>
      <c r="CD551" s="476" t="s">
        <v>1187</v>
      </c>
      <c r="CE551" s="476" t="s">
        <v>1188</v>
      </c>
      <c r="CF551" s="476" t="s">
        <v>1188</v>
      </c>
      <c r="CG551" s="476" t="s">
        <v>1188</v>
      </c>
      <c r="CH551" s="476" t="s">
        <v>1188</v>
      </c>
      <c r="CI551" s="476" t="s">
        <v>1188</v>
      </c>
      <c r="CJ551" s="476" t="s">
        <v>1188</v>
      </c>
      <c r="CK551" s="476" t="s">
        <v>1188</v>
      </c>
      <c r="CL551" s="476" t="s">
        <v>1188</v>
      </c>
      <c r="CM551" s="476" t="str">
        <f>IF(VLOOKUP(BS551,'Données par municipalité'!$B$6:$E$1113,4,FALSE)="","non","oui")</f>
        <v>oui</v>
      </c>
      <c r="CN551" s="410">
        <v>612.00836352704539</v>
      </c>
      <c r="CO551" s="410">
        <v>547.49765160017307</v>
      </c>
      <c r="CP551" s="410">
        <v>551.79150225236697</v>
      </c>
      <c r="CQ551" s="410">
        <v>684.60103477182759</v>
      </c>
      <c r="CR551" s="410">
        <v>523.80469184122148</v>
      </c>
      <c r="CS551" s="410">
        <v>149.02915457940088</v>
      </c>
      <c r="CT551" s="410">
        <v>137.89834635355348</v>
      </c>
      <c r="CU551" s="410">
        <v>205</v>
      </c>
      <c r="CV551" s="410">
        <f>IF(VLOOKUP(BS551,'Données par municipalité'!$B$6:$F$1113,4,FALSE)="","",VLOOKUP(BS551,'Données par municipalité'!$B$6:$F$1113,4,FALSE))</f>
        <v>204</v>
      </c>
      <c r="CW551" s="476" t="s">
        <v>4723</v>
      </c>
      <c r="CX551" s="483">
        <v>0.75</v>
      </c>
      <c r="CY551" s="483">
        <v>0</v>
      </c>
      <c r="CZ551" s="483">
        <v>0.25</v>
      </c>
      <c r="DA551" s="483">
        <v>0.1</v>
      </c>
      <c r="DB551" s="483">
        <v>0.1</v>
      </c>
      <c r="DC551" s="483">
        <v>0.1</v>
      </c>
      <c r="DD551" s="483">
        <v>0</v>
      </c>
      <c r="DE551" s="483">
        <f>IFERROR(SUM(VLOOKUP($BS551,'État &amp; Plan d''action'!$B$6:$Z$1113,18,FALSE),VLOOKUP($BS551,'État &amp; Plan d''action'!$B$6:$Z$1113,20,FALSE))/(VLOOKUP($BS551,'Données par municipalité'!$B$4:$L$1113,11,FALSE)),"")</f>
        <v>0.47309284447072741</v>
      </c>
      <c r="DF551" s="483">
        <f>IFERROR(SUM(VLOOKUP($BS551,'État &amp; Plan d''action'!$B$6:$Z$1113,19,FALSE),VLOOKUP($BS551,'État &amp; Plan d''action'!$B$6:$Z$1113,21,FALSE))/(VLOOKUP($BS551,'Données par municipalité'!$B$4:$L$1113,11,FALSE)),"")</f>
        <v>0</v>
      </c>
      <c r="DG551" s="476" t="s">
        <v>4723</v>
      </c>
      <c r="DH551" s="484">
        <v>0</v>
      </c>
      <c r="DI551" s="484" t="s">
        <v>1124</v>
      </c>
      <c r="DJ551" s="484">
        <v>0</v>
      </c>
      <c r="DK551" s="484">
        <v>0</v>
      </c>
      <c r="DL551" s="484">
        <v>0</v>
      </c>
      <c r="DM551" s="484">
        <v>0</v>
      </c>
      <c r="DN551" s="484">
        <v>0</v>
      </c>
      <c r="DO551" s="484">
        <v>0</v>
      </c>
      <c r="DP551" s="484">
        <v>0</v>
      </c>
      <c r="DQ551" s="484">
        <f>IF(VLOOKUP($BS551,'État &amp; Plan d''action'!$B$6:$AJ$1113,28,FALSE)="","",VLOOKUP($BS551,'État &amp; Plan d''action'!$B$6:$AJ$1113,28,FALSE))</f>
        <v>0</v>
      </c>
      <c r="DR551" s="70">
        <f>IF(VLOOKUP($BS551,'État &amp; Plan d''action'!$B$6:$AJ$1113,29,FALSE)="","",VLOOKUP($BS551,'État &amp; Plan d''action'!$B$6:$AJ$1113,29,FALSE))</f>
        <v>0</v>
      </c>
      <c r="DS551" s="70">
        <f>IF(VLOOKUP($BS551,'État &amp; Plan d''action'!$B$6:$AJ$1113,30,FALSE)="","",VLOOKUP($BS551,'État &amp; Plan d''action'!$B$6:$AJ$1113,30,FALSE))</f>
        <v>0</v>
      </c>
      <c r="DT551" s="70">
        <v>166</v>
      </c>
      <c r="DU551" s="485">
        <v>1.0003610788403543</v>
      </c>
      <c r="DV551" s="485">
        <v>0.80060328825100346</v>
      </c>
      <c r="DW551" s="70">
        <v>0</v>
      </c>
      <c r="DX551" s="70">
        <v>0</v>
      </c>
      <c r="DY551" s="70">
        <v>0</v>
      </c>
      <c r="DZ551" s="70">
        <f>VLOOKUP($BS551,'État &amp; Plan d''action'!$B$6:$AH$1113,31,FALSE)</f>
        <v>0</v>
      </c>
      <c r="EA551" s="70">
        <f>VLOOKUP($BS551,'État &amp; Plan d''action'!$B$6:$AH$1113,32,FALSE)</f>
        <v>0</v>
      </c>
      <c r="EB551" s="70">
        <f>VLOOKUP($BS551,'État &amp; Plan d''action'!$B$6:$AH$1113,33,FALSE)</f>
        <v>0</v>
      </c>
      <c r="EC551" s="70">
        <v>1.6910000000000001</v>
      </c>
      <c r="ED551" s="70">
        <v>0</v>
      </c>
      <c r="EE551" s="70">
        <v>0</v>
      </c>
      <c r="EF551" s="70">
        <v>0</v>
      </c>
      <c r="EG551" s="70">
        <v>0</v>
      </c>
      <c r="EH551" s="72">
        <v>60</v>
      </c>
      <c r="EI551" s="72">
        <v>751</v>
      </c>
    </row>
    <row r="552" spans="71:139" x14ac:dyDescent="0.35">
      <c r="BS552" s="486">
        <v>34097</v>
      </c>
      <c r="BT552" s="479" t="s">
        <v>297</v>
      </c>
      <c r="BU552" s="479">
        <v>3</v>
      </c>
      <c r="BV552" s="476" t="s">
        <v>1187</v>
      </c>
      <c r="BW552" s="476" t="s">
        <v>1187</v>
      </c>
      <c r="BX552" s="476" t="s">
        <v>1187</v>
      </c>
      <c r="BY552" s="476" t="s">
        <v>1187</v>
      </c>
      <c r="BZ552" s="476" t="s">
        <v>1187</v>
      </c>
      <c r="CA552" s="476" t="s">
        <v>1187</v>
      </c>
      <c r="CB552" s="476" t="s">
        <v>1187</v>
      </c>
      <c r="CC552" s="476" t="s">
        <v>1187</v>
      </c>
      <c r="CD552" s="476" t="s">
        <v>1187</v>
      </c>
      <c r="CE552" s="476" t="s">
        <v>1188</v>
      </c>
      <c r="CF552" s="476" t="s">
        <v>1188</v>
      </c>
      <c r="CG552" s="476" t="s">
        <v>1188</v>
      </c>
      <c r="CH552" s="476" t="s">
        <v>1188</v>
      </c>
      <c r="CI552" s="476" t="s">
        <v>1188</v>
      </c>
      <c r="CJ552" s="476" t="s">
        <v>1188</v>
      </c>
      <c r="CK552" s="476" t="s">
        <v>1188</v>
      </c>
      <c r="CL552" s="476" t="s">
        <v>1188</v>
      </c>
      <c r="CM552" s="476" t="str">
        <f>IF(VLOOKUP(BS552,'Données par municipalité'!$B$6:$E$1113,4,FALSE)="","non","oui")</f>
        <v>oui</v>
      </c>
      <c r="CN552" s="410">
        <v>451.22575941235266</v>
      </c>
      <c r="CO552" s="410">
        <v>455.96881916289641</v>
      </c>
      <c r="CP552" s="410">
        <v>301.90335592445291</v>
      </c>
      <c r="CQ552" s="410">
        <v>291.84482924821162</v>
      </c>
      <c r="CR552" s="410">
        <v>243.89568041173038</v>
      </c>
      <c r="CS552" s="410">
        <v>253.50773539869996</v>
      </c>
      <c r="CT552" s="410">
        <v>256.27759777393635</v>
      </c>
      <c r="CU552" s="410">
        <v>289</v>
      </c>
      <c r="CV552" s="410">
        <f>IF(VLOOKUP(BS552,'Données par municipalité'!$B$6:$F$1113,4,FALSE)="","",VLOOKUP(BS552,'Données par municipalité'!$B$6:$F$1113,4,FALSE))</f>
        <v>339</v>
      </c>
      <c r="CW552" s="476" t="s">
        <v>4723</v>
      </c>
      <c r="CX552" s="483">
        <v>0</v>
      </c>
      <c r="CY552" s="483">
        <v>0</v>
      </c>
      <c r="CZ552" s="483">
        <v>0</v>
      </c>
      <c r="DA552" s="483">
        <v>0</v>
      </c>
      <c r="DB552" s="483">
        <v>1</v>
      </c>
      <c r="DC552" s="483">
        <v>1</v>
      </c>
      <c r="DD552" s="483">
        <v>0</v>
      </c>
      <c r="DE552" s="483">
        <f>IFERROR(SUM(VLOOKUP($BS552,'État &amp; Plan d''action'!$B$6:$Z$1113,18,FALSE),VLOOKUP($BS552,'État &amp; Plan d''action'!$B$6:$Z$1113,20,FALSE))/(VLOOKUP($BS552,'Données par municipalité'!$B$4:$L$1113,11,FALSE)),"")</f>
        <v>0</v>
      </c>
      <c r="DF552" s="483">
        <f>IFERROR(SUM(VLOOKUP($BS552,'État &amp; Plan d''action'!$B$6:$Z$1113,19,FALSE),VLOOKUP($BS552,'État &amp; Plan d''action'!$B$6:$Z$1113,21,FALSE))/(VLOOKUP($BS552,'Données par municipalité'!$B$4:$L$1113,11,FALSE)),"")</f>
        <v>0.56828885400313978</v>
      </c>
      <c r="DG552" s="476" t="s">
        <v>4723</v>
      </c>
      <c r="DH552" s="484">
        <v>0</v>
      </c>
      <c r="DI552" s="484">
        <v>1</v>
      </c>
      <c r="DJ552" s="484">
        <v>1</v>
      </c>
      <c r="DK552" s="484">
        <v>0</v>
      </c>
      <c r="DL552" s="484">
        <v>0</v>
      </c>
      <c r="DM552" s="484">
        <v>1</v>
      </c>
      <c r="DN552" s="484">
        <v>0</v>
      </c>
      <c r="DO552" s="484">
        <v>0</v>
      </c>
      <c r="DP552" s="484">
        <v>0</v>
      </c>
      <c r="DQ552" s="484">
        <f>IF(VLOOKUP($BS552,'État &amp; Plan d''action'!$B$6:$AJ$1113,28,FALSE)="","",VLOOKUP($BS552,'État &amp; Plan d''action'!$B$6:$AJ$1113,28,FALSE))</f>
        <v>0</v>
      </c>
      <c r="DR552" s="70">
        <f>IF(VLOOKUP($BS552,'État &amp; Plan d''action'!$B$6:$AJ$1113,29,FALSE)="","",VLOOKUP($BS552,'État &amp; Plan d''action'!$B$6:$AJ$1113,29,FALSE))</f>
        <v>1</v>
      </c>
      <c r="DS552" s="70">
        <f>IF(VLOOKUP($BS552,'État &amp; Plan d''action'!$B$6:$AJ$1113,30,FALSE)="","",VLOOKUP($BS552,'État &amp; Plan d''action'!$B$6:$AJ$1113,30,FALSE))</f>
        <v>2</v>
      </c>
      <c r="DT552" s="70">
        <v>226</v>
      </c>
      <c r="DU552" s="485">
        <v>2.0450926898161801</v>
      </c>
      <c r="DV552" s="485">
        <v>3.119169084374501</v>
      </c>
      <c r="DW552" s="70">
        <v>0</v>
      </c>
      <c r="DX552" s="70">
        <v>0</v>
      </c>
      <c r="DY552" s="70">
        <v>0</v>
      </c>
      <c r="DZ552" s="70">
        <f>VLOOKUP($BS552,'État &amp; Plan d''action'!$B$6:$AH$1113,31,FALSE)</f>
        <v>0</v>
      </c>
      <c r="EA552" s="70">
        <f>VLOOKUP($BS552,'État &amp; Plan d''action'!$B$6:$AH$1113,32,FALSE)</f>
        <v>4</v>
      </c>
      <c r="EB552" s="70">
        <f>VLOOKUP($BS552,'État &amp; Plan d''action'!$B$6:$AH$1113,33,FALSE)</f>
        <v>4</v>
      </c>
      <c r="EC552" s="70">
        <v>0</v>
      </c>
      <c r="ED552" s="70">
        <v>0</v>
      </c>
      <c r="EE552" s="70">
        <v>0</v>
      </c>
      <c r="EF552" s="70">
        <v>0</v>
      </c>
      <c r="EG552" s="70">
        <v>0</v>
      </c>
      <c r="EH552" s="72">
        <v>58.36486486486487</v>
      </c>
      <c r="EI552" s="72">
        <v>1233</v>
      </c>
    </row>
    <row r="553" spans="71:139" x14ac:dyDescent="0.35">
      <c r="BS553" s="486">
        <v>39085</v>
      </c>
      <c r="BT553" s="479" t="s">
        <v>348</v>
      </c>
      <c r="BU553" s="479">
        <v>17</v>
      </c>
      <c r="BV553" s="476" t="s">
        <v>1188</v>
      </c>
      <c r="BW553" s="476" t="s">
        <v>1188</v>
      </c>
      <c r="BX553" s="476" t="s">
        <v>1188</v>
      </c>
      <c r="BY553" s="476" t="s">
        <v>1188</v>
      </c>
      <c r="BZ553" s="476" t="s">
        <v>1188</v>
      </c>
      <c r="CA553" s="476" t="s">
        <v>1188</v>
      </c>
      <c r="CB553" s="476" t="s">
        <v>1188</v>
      </c>
      <c r="CC553" s="476" t="s">
        <v>1188</v>
      </c>
      <c r="CD553" s="476" t="s">
        <v>1188</v>
      </c>
      <c r="CE553" s="476" t="s">
        <v>1187</v>
      </c>
      <c r="CF553" s="476" t="s">
        <v>1187</v>
      </c>
      <c r="CG553" s="476" t="s">
        <v>1187</v>
      </c>
      <c r="CH553" s="476" t="s">
        <v>1187</v>
      </c>
      <c r="CI553" s="476" t="s">
        <v>1187</v>
      </c>
      <c r="CJ553" s="476" t="s">
        <v>1187</v>
      </c>
      <c r="CK553" s="476" t="s">
        <v>1187</v>
      </c>
      <c r="CL553" s="476" t="s">
        <v>1187</v>
      </c>
      <c r="CM553" s="476" t="str">
        <f>IF(VLOOKUP(BS553,'Données par municipalité'!$B$6:$E$1113,4,FALSE)="","non","oui")</f>
        <v>non</v>
      </c>
      <c r="CN553" s="410" t="s">
        <v>1124</v>
      </c>
      <c r="CO553" s="410" t="s">
        <v>1124</v>
      </c>
      <c r="CP553" s="410"/>
      <c r="CQ553" s="410"/>
      <c r="CR553" s="410"/>
      <c r="CS553" s="410" t="s">
        <v>1124</v>
      </c>
      <c r="CT553" s="410"/>
      <c r="CU553" s="410" t="s">
        <v>1124</v>
      </c>
      <c r="CV553" s="410" t="str">
        <f>IF(VLOOKUP(BS553,'Données par municipalité'!$B$6:$F$1113,4,FALSE)="","",VLOOKUP(BS553,'Données par municipalité'!$B$6:$F$1113,4,FALSE))</f>
        <v/>
      </c>
      <c r="CW553" s="476" t="s">
        <v>4723</v>
      </c>
      <c r="CX553" s="483" t="s">
        <v>1124</v>
      </c>
      <c r="CY553" s="483" t="s">
        <v>1124</v>
      </c>
      <c r="CZ553" s="483" t="s">
        <v>1124</v>
      </c>
      <c r="DA553" s="483" t="s">
        <v>1124</v>
      </c>
      <c r="DB553" s="483" t="s">
        <v>1124</v>
      </c>
      <c r="DC553" s="483" t="s">
        <v>1124</v>
      </c>
      <c r="DD553" s="483" t="s">
        <v>1124</v>
      </c>
      <c r="DE553" s="483" t="str">
        <f>IFERROR(SUM(VLOOKUP($BS553,'État &amp; Plan d''action'!$B$6:$Z$1113,18,FALSE),VLOOKUP($BS553,'État &amp; Plan d''action'!$B$6:$Z$1113,20,FALSE))/(VLOOKUP($BS553,'Données par municipalité'!$B$4:$L$1113,11,FALSE)),"")</f>
        <v/>
      </c>
      <c r="DF553" s="483" t="str">
        <f>IFERROR(SUM(VLOOKUP($BS553,'État &amp; Plan d''action'!$B$6:$Z$1113,19,FALSE),VLOOKUP($BS553,'État &amp; Plan d''action'!$B$6:$Z$1113,21,FALSE))/(VLOOKUP($BS553,'Données par municipalité'!$B$4:$L$1113,11,FALSE)),"")</f>
        <v/>
      </c>
      <c r="DG553" s="476" t="s">
        <v>4723</v>
      </c>
      <c r="DH553" s="484" t="s">
        <v>1124</v>
      </c>
      <c r="DI553" s="484" t="s">
        <v>1124</v>
      </c>
      <c r="DJ553" s="484">
        <v>0</v>
      </c>
      <c r="DK553" s="484">
        <v>0</v>
      </c>
      <c r="DL553" s="484" t="s">
        <v>1124</v>
      </c>
      <c r="DM553" s="484" t="s">
        <v>1124</v>
      </c>
      <c r="DN553" s="484" t="s">
        <v>1124</v>
      </c>
      <c r="DO553" s="484" t="s">
        <v>1124</v>
      </c>
      <c r="DP553" s="484" t="s">
        <v>1124</v>
      </c>
      <c r="DQ553" s="484" t="str">
        <f>IF(VLOOKUP($BS553,'État &amp; Plan d''action'!$B$6:$AJ$1113,28,FALSE)="","",VLOOKUP($BS553,'État &amp; Plan d''action'!$B$6:$AJ$1113,28,FALSE))</f>
        <v/>
      </c>
      <c r="DR553" s="70" t="str">
        <f>IF(VLOOKUP($BS553,'État &amp; Plan d''action'!$B$6:$AJ$1113,29,FALSE)="","",VLOOKUP($BS553,'État &amp; Plan d''action'!$B$6:$AJ$1113,29,FALSE))</f>
        <v/>
      </c>
      <c r="DS553" s="70" t="str">
        <f>IF(VLOOKUP($BS553,'État &amp; Plan d''action'!$B$6:$AJ$1113,30,FALSE)="","",VLOOKUP($BS553,'État &amp; Plan d''action'!$B$6:$AJ$1113,30,FALSE))</f>
        <v/>
      </c>
      <c r="DT553" s="70" t="s">
        <v>1124</v>
      </c>
      <c r="DU553" s="485" t="s">
        <v>1124</v>
      </c>
      <c r="DV553" s="485" t="s">
        <v>1124</v>
      </c>
      <c r="DW553" s="70" t="s">
        <v>1124</v>
      </c>
      <c r="DX553" s="70" t="s">
        <v>1124</v>
      </c>
      <c r="DY553" s="70" t="s">
        <v>1124</v>
      </c>
      <c r="DZ553" s="70" t="str">
        <f>VLOOKUP($BS553,'État &amp; Plan d''action'!$B$6:$AH$1113,31,FALSE)</f>
        <v/>
      </c>
      <c r="EA553" s="70" t="str">
        <f>VLOOKUP($BS553,'État &amp; Plan d''action'!$B$6:$AH$1113,32,FALSE)</f>
        <v/>
      </c>
      <c r="EB553" s="70" t="str">
        <f>VLOOKUP($BS553,'État &amp; Plan d''action'!$B$6:$AH$1113,33,FALSE)</f>
        <v/>
      </c>
      <c r="EC553" s="70" t="s">
        <v>1124</v>
      </c>
      <c r="ED553" s="70" t="s">
        <v>1124</v>
      </c>
      <c r="EE553" s="70" t="s">
        <v>1124</v>
      </c>
      <c r="EF553" s="70" t="s">
        <v>1124</v>
      </c>
      <c r="EG553" s="70" t="s">
        <v>1124</v>
      </c>
      <c r="EH553" s="72"/>
      <c r="EI553" s="72">
        <v>1657</v>
      </c>
    </row>
    <row r="554" spans="71:139" x14ac:dyDescent="0.35">
      <c r="BS554" s="486">
        <v>56055</v>
      </c>
      <c r="BT554" s="479" t="s">
        <v>575</v>
      </c>
      <c r="BU554" s="479">
        <v>16</v>
      </c>
      <c r="BV554" s="476" t="s">
        <v>1187</v>
      </c>
      <c r="BW554" s="476" t="s">
        <v>1187</v>
      </c>
      <c r="BX554" s="476" t="s">
        <v>1187</v>
      </c>
      <c r="BY554" s="476" t="s">
        <v>1187</v>
      </c>
      <c r="BZ554" s="476" t="s">
        <v>1187</v>
      </c>
      <c r="CA554" s="476" t="s">
        <v>1187</v>
      </c>
      <c r="CB554" s="476" t="s">
        <v>1187</v>
      </c>
      <c r="CC554" s="476" t="s">
        <v>1187</v>
      </c>
      <c r="CD554" s="476" t="s">
        <v>1187</v>
      </c>
      <c r="CE554" s="476" t="s">
        <v>1188</v>
      </c>
      <c r="CF554" s="476" t="s">
        <v>1188</v>
      </c>
      <c r="CG554" s="476" t="s">
        <v>1188</v>
      </c>
      <c r="CH554" s="476" t="s">
        <v>1188</v>
      </c>
      <c r="CI554" s="476" t="s">
        <v>1188</v>
      </c>
      <c r="CJ554" s="476" t="s">
        <v>1188</v>
      </c>
      <c r="CK554" s="476" t="s">
        <v>1188</v>
      </c>
      <c r="CL554" s="476" t="s">
        <v>1188</v>
      </c>
      <c r="CM554" s="476" t="str">
        <f>IF(VLOOKUP(BS554,'Données par municipalité'!$B$6:$E$1113,4,FALSE)="","non","oui")</f>
        <v>oui</v>
      </c>
      <c r="CN554" s="410">
        <v>323.14372866234498</v>
      </c>
      <c r="CO554" s="410">
        <v>295.0104439672732</v>
      </c>
      <c r="CP554" s="410">
        <v>311.76769352567641</v>
      </c>
      <c r="CQ554" s="410">
        <v>253.08285223979783</v>
      </c>
      <c r="CR554" s="410">
        <v>223.46111378538544</v>
      </c>
      <c r="CS554" s="410">
        <v>217.35584852593658</v>
      </c>
      <c r="CT554" s="410">
        <v>197.82043789308068</v>
      </c>
      <c r="CU554" s="410">
        <v>235</v>
      </c>
      <c r="CV554" s="410">
        <f>IF(VLOOKUP(BS554,'Données par municipalité'!$B$6:$F$1113,4,FALSE)="","",VLOOKUP(BS554,'Données par municipalité'!$B$6:$F$1113,4,FALSE))</f>
        <v>218</v>
      </c>
      <c r="CW554" s="476" t="s">
        <v>4723</v>
      </c>
      <c r="CX554" s="483">
        <v>0</v>
      </c>
      <c r="CY554" s="483">
        <v>0</v>
      </c>
      <c r="CZ554" s="483">
        <v>0</v>
      </c>
      <c r="DA554" s="483">
        <v>0</v>
      </c>
      <c r="DB554" s="483">
        <v>0</v>
      </c>
      <c r="DC554" s="483">
        <v>0</v>
      </c>
      <c r="DD554" s="483">
        <v>0</v>
      </c>
      <c r="DE554" s="483">
        <f>IFERROR(SUM(VLOOKUP($BS554,'État &amp; Plan d''action'!$B$6:$Z$1113,18,FALSE),VLOOKUP($BS554,'État &amp; Plan d''action'!$B$6:$Z$1113,20,FALSE))/(VLOOKUP($BS554,'Données par municipalité'!$B$4:$L$1113,11,FALSE)),"")</f>
        <v>0</v>
      </c>
      <c r="DF554" s="483">
        <f>IFERROR(SUM(VLOOKUP($BS554,'État &amp; Plan d''action'!$B$6:$Z$1113,19,FALSE),VLOOKUP($BS554,'État &amp; Plan d''action'!$B$6:$Z$1113,21,FALSE))/(VLOOKUP($BS554,'Données par municipalité'!$B$4:$L$1113,11,FALSE)),"")</f>
        <v>0</v>
      </c>
      <c r="DG554" s="476" t="s">
        <v>4723</v>
      </c>
      <c r="DH554" s="484">
        <v>1</v>
      </c>
      <c r="DI554" s="484">
        <v>1</v>
      </c>
      <c r="DJ554" s="484">
        <v>0</v>
      </c>
      <c r="DK554" s="484">
        <v>1</v>
      </c>
      <c r="DL554" s="484">
        <v>3</v>
      </c>
      <c r="DM554" s="484">
        <v>0</v>
      </c>
      <c r="DN554" s="484">
        <v>0</v>
      </c>
      <c r="DO554" s="484">
        <v>0</v>
      </c>
      <c r="DP554" s="484">
        <v>2</v>
      </c>
      <c r="DQ554" s="484">
        <f>IF(VLOOKUP($BS554,'État &amp; Plan d''action'!$B$6:$AJ$1113,28,FALSE)="","",VLOOKUP($BS554,'État &amp; Plan d''action'!$B$6:$AJ$1113,28,FALSE))</f>
        <v>0</v>
      </c>
      <c r="DR554" s="70">
        <f>IF(VLOOKUP($BS554,'État &amp; Plan d''action'!$B$6:$AJ$1113,29,FALSE)="","",VLOOKUP($BS554,'État &amp; Plan d''action'!$B$6:$AJ$1113,29,FALSE))</f>
        <v>0</v>
      </c>
      <c r="DS554" s="70">
        <f>IF(VLOOKUP($BS554,'État &amp; Plan d''action'!$B$6:$AJ$1113,30,FALSE)="","",VLOOKUP($BS554,'État &amp; Plan d''action'!$B$6:$AJ$1113,30,FALSE))</f>
        <v>0</v>
      </c>
      <c r="DT554" s="70">
        <v>178</v>
      </c>
      <c r="DU554" s="485">
        <v>0.18704224404535016</v>
      </c>
      <c r="DV554" s="485">
        <v>1.9712657724582767</v>
      </c>
      <c r="DW554" s="70">
        <v>0</v>
      </c>
      <c r="DX554" s="70">
        <v>0</v>
      </c>
      <c r="DY554" s="70">
        <v>1</v>
      </c>
      <c r="DZ554" s="70">
        <f>VLOOKUP($BS554,'État &amp; Plan d''action'!$B$6:$AH$1113,31,FALSE)</f>
        <v>0</v>
      </c>
      <c r="EA554" s="70">
        <f>VLOOKUP($BS554,'État &amp; Plan d''action'!$B$6:$AH$1113,32,FALSE)</f>
        <v>0</v>
      </c>
      <c r="EB554" s="70">
        <f>VLOOKUP($BS554,'État &amp; Plan d''action'!$B$6:$AH$1113,33,FALSE)</f>
        <v>0</v>
      </c>
      <c r="EC554" s="70">
        <v>0</v>
      </c>
      <c r="ED554" s="70">
        <v>0</v>
      </c>
      <c r="EE554" s="70">
        <v>0</v>
      </c>
      <c r="EF554" s="70">
        <v>0</v>
      </c>
      <c r="EG554" s="70">
        <v>0</v>
      </c>
      <c r="EH554" s="72">
        <v>66</v>
      </c>
      <c r="EI554" s="72">
        <v>2525</v>
      </c>
    </row>
    <row r="555" spans="71:139" x14ac:dyDescent="0.35">
      <c r="BS555" s="486">
        <v>14035</v>
      </c>
      <c r="BT555" s="479" t="s">
        <v>65</v>
      </c>
      <c r="BU555" s="479">
        <v>1</v>
      </c>
      <c r="BV555" s="476" t="s">
        <v>1187</v>
      </c>
      <c r="BW555" s="476" t="s">
        <v>1187</v>
      </c>
      <c r="BX555" s="476" t="s">
        <v>1187</v>
      </c>
      <c r="BY555" s="476" t="s">
        <v>1187</v>
      </c>
      <c r="BZ555" s="476" t="s">
        <v>1187</v>
      </c>
      <c r="CA555" s="476" t="s">
        <v>1187</v>
      </c>
      <c r="CB555" s="476" t="s">
        <v>1187</v>
      </c>
      <c r="CC555" s="476" t="s">
        <v>1187</v>
      </c>
      <c r="CD555" s="476" t="s">
        <v>1187</v>
      </c>
      <c r="CE555" s="476" t="s">
        <v>1188</v>
      </c>
      <c r="CF555" s="476" t="s">
        <v>1188</v>
      </c>
      <c r="CG555" s="476" t="s">
        <v>1188</v>
      </c>
      <c r="CH555" s="476" t="s">
        <v>1188</v>
      </c>
      <c r="CI555" s="476" t="s">
        <v>1188</v>
      </c>
      <c r="CJ555" s="476" t="s">
        <v>1188</v>
      </c>
      <c r="CK555" s="476" t="s">
        <v>1188</v>
      </c>
      <c r="CL555" s="476" t="s">
        <v>1188</v>
      </c>
      <c r="CM555" s="476" t="str">
        <f>IF(VLOOKUP(BS555,'Données par municipalité'!$B$6:$E$1113,4,FALSE)="","non","oui")</f>
        <v>oui</v>
      </c>
      <c r="CN555" s="410">
        <v>682.4475511092179</v>
      </c>
      <c r="CO555" s="410">
        <v>674.10372948731208</v>
      </c>
      <c r="CP555" s="410">
        <v>612.335050331057</v>
      </c>
      <c r="CQ555" s="410">
        <v>622.39615387571394</v>
      </c>
      <c r="CR555" s="410">
        <v>572.72219422197395</v>
      </c>
      <c r="CS555" s="410">
        <v>575.79166717354167</v>
      </c>
      <c r="CT555" s="410">
        <v>521.11942575059129</v>
      </c>
      <c r="CU555" s="410">
        <v>587</v>
      </c>
      <c r="CV555" s="410">
        <f>IF(VLOOKUP(BS555,'Données par municipalité'!$B$6:$F$1113,4,FALSE)="","",VLOOKUP(BS555,'Données par municipalité'!$B$6:$F$1113,4,FALSE))</f>
        <v>624</v>
      </c>
      <c r="CW555" s="476" t="s">
        <v>4723</v>
      </c>
      <c r="CX555" s="483">
        <v>0</v>
      </c>
      <c r="CY555" s="483">
        <v>0</v>
      </c>
      <c r="CZ555" s="483">
        <v>0</v>
      </c>
      <c r="DA555" s="483">
        <v>0</v>
      </c>
      <c r="DB555" s="483">
        <v>0</v>
      </c>
      <c r="DC555" s="483">
        <v>0</v>
      </c>
      <c r="DD555" s="483">
        <v>0</v>
      </c>
      <c r="DE555" s="483">
        <f>IFERROR(SUM(VLOOKUP($BS555,'État &amp; Plan d''action'!$B$6:$Z$1113,18,FALSE),VLOOKUP($BS555,'État &amp; Plan d''action'!$B$6:$Z$1113,20,FALSE))/(VLOOKUP($BS555,'Données par municipalité'!$B$4:$L$1113,11,FALSE)),"")</f>
        <v>0</v>
      </c>
      <c r="DF555" s="483">
        <f>IFERROR(SUM(VLOOKUP($BS555,'État &amp; Plan d''action'!$B$6:$Z$1113,19,FALSE),VLOOKUP($BS555,'État &amp; Plan d''action'!$B$6:$Z$1113,21,FALSE))/(VLOOKUP($BS555,'Données par municipalité'!$B$4:$L$1113,11,FALSE)),"")</f>
        <v>1</v>
      </c>
      <c r="DG555" s="476" t="s">
        <v>4723</v>
      </c>
      <c r="DH555" s="484">
        <v>0</v>
      </c>
      <c r="DI555" s="484">
        <v>0</v>
      </c>
      <c r="DJ555" s="484">
        <v>0</v>
      </c>
      <c r="DK555" s="484">
        <v>0</v>
      </c>
      <c r="DL555" s="484">
        <v>1</v>
      </c>
      <c r="DM555" s="484">
        <v>0</v>
      </c>
      <c r="DN555" s="484">
        <v>0</v>
      </c>
      <c r="DO555" s="484">
        <v>0</v>
      </c>
      <c r="DP555" s="484">
        <v>0</v>
      </c>
      <c r="DQ555" s="484">
        <f>IF(VLOOKUP($BS555,'État &amp; Plan d''action'!$B$6:$AJ$1113,28,FALSE)="","",VLOOKUP($BS555,'État &amp; Plan d''action'!$B$6:$AJ$1113,28,FALSE))</f>
        <v>1</v>
      </c>
      <c r="DR555" s="70">
        <f>IF(VLOOKUP($BS555,'État &amp; Plan d''action'!$B$6:$AJ$1113,29,FALSE)="","",VLOOKUP($BS555,'État &amp; Plan d''action'!$B$6:$AJ$1113,29,FALSE))</f>
        <v>0</v>
      </c>
      <c r="DS555" s="70">
        <f>IF(VLOOKUP($BS555,'État &amp; Plan d''action'!$B$6:$AJ$1113,30,FALSE)="","",VLOOKUP($BS555,'État &amp; Plan d''action'!$B$6:$AJ$1113,30,FALSE))</f>
        <v>0</v>
      </c>
      <c r="DT555" s="70">
        <v>204</v>
      </c>
      <c r="DU555" s="485">
        <v>2.2293704961931917</v>
      </c>
      <c r="DV555" s="485">
        <v>2.7325121895780566</v>
      </c>
      <c r="DW555" s="70">
        <v>0</v>
      </c>
      <c r="DX555" s="70">
        <v>0</v>
      </c>
      <c r="DY555" s="70">
        <v>0</v>
      </c>
      <c r="DZ555" s="70">
        <f>VLOOKUP($BS555,'État &amp; Plan d''action'!$B$6:$AH$1113,31,FALSE)</f>
        <v>1</v>
      </c>
      <c r="EA555" s="70">
        <f>VLOOKUP($BS555,'État &amp; Plan d''action'!$B$6:$AH$1113,32,FALSE)</f>
        <v>0</v>
      </c>
      <c r="EB555" s="70">
        <f>VLOOKUP($BS555,'État &amp; Plan d''action'!$B$6:$AH$1113,33,FALSE)</f>
        <v>0</v>
      </c>
      <c r="EC555" s="70">
        <v>0</v>
      </c>
      <c r="ED555" s="70">
        <v>0</v>
      </c>
      <c r="EE555" s="70">
        <v>0</v>
      </c>
      <c r="EF555" s="70">
        <v>0</v>
      </c>
      <c r="EG555" s="70">
        <v>0</v>
      </c>
      <c r="EH555" s="72">
        <v>60</v>
      </c>
      <c r="EI555" s="72">
        <v>2158</v>
      </c>
    </row>
    <row r="556" spans="71:139" x14ac:dyDescent="0.35">
      <c r="BS556" s="486">
        <v>7065</v>
      </c>
      <c r="BT556" s="479" t="s">
        <v>1077</v>
      </c>
      <c r="BU556" s="479">
        <v>1</v>
      </c>
      <c r="BV556" s="476" t="s">
        <v>1187</v>
      </c>
      <c r="BW556" s="476" t="s">
        <v>1187</v>
      </c>
      <c r="BX556" s="476" t="s">
        <v>1187</v>
      </c>
      <c r="BY556" s="476" t="s">
        <v>1187</v>
      </c>
      <c r="BZ556" s="476" t="s">
        <v>1187</v>
      </c>
      <c r="CA556" s="476" t="s">
        <v>1187</v>
      </c>
      <c r="CB556" s="476" t="s">
        <v>1187</v>
      </c>
      <c r="CC556" s="476" t="s">
        <v>1187</v>
      </c>
      <c r="CD556" s="476" t="s">
        <v>1187</v>
      </c>
      <c r="CE556" s="476" t="s">
        <v>1187</v>
      </c>
      <c r="CF556" s="476" t="s">
        <v>1187</v>
      </c>
      <c r="CG556" s="476" t="s">
        <v>1187</v>
      </c>
      <c r="CH556" s="476" t="s">
        <v>1188</v>
      </c>
      <c r="CI556" s="476" t="s">
        <v>1188</v>
      </c>
      <c r="CJ556" s="476" t="s">
        <v>1188</v>
      </c>
      <c r="CK556" s="476" t="s">
        <v>1187</v>
      </c>
      <c r="CL556" s="476" t="s">
        <v>1188</v>
      </c>
      <c r="CM556" s="476" t="str">
        <f>IF(VLOOKUP(BS556,'Données par municipalité'!$B$6:$E$1113,4,FALSE)="","non","oui")</f>
        <v>oui</v>
      </c>
      <c r="CN556" s="410" t="s">
        <v>1124</v>
      </c>
      <c r="CO556" s="410" t="s">
        <v>1124</v>
      </c>
      <c r="CP556" s="410"/>
      <c r="CQ556" s="410">
        <v>1339.0915255909149</v>
      </c>
      <c r="CR556" s="410">
        <v>1011.2858294002533</v>
      </c>
      <c r="CS556" s="410">
        <v>273.85070436657139</v>
      </c>
      <c r="CT556" s="410"/>
      <c r="CU556" s="410">
        <v>199</v>
      </c>
      <c r="CV556" s="410">
        <f>IF(VLOOKUP(BS556,'Données par municipalité'!$B$6:$F$1113,4,FALSE)="","",VLOOKUP(BS556,'Données par municipalité'!$B$6:$F$1113,4,FALSE))</f>
        <v>212</v>
      </c>
      <c r="CW556" s="476" t="s">
        <v>4723</v>
      </c>
      <c r="CX556" s="483" t="s">
        <v>1124</v>
      </c>
      <c r="CY556" s="483" t="s">
        <v>1124</v>
      </c>
      <c r="CZ556" s="483">
        <v>0</v>
      </c>
      <c r="DA556" s="483">
        <v>0</v>
      </c>
      <c r="DB556" s="483">
        <v>0</v>
      </c>
      <c r="DC556" s="483" t="s">
        <v>1124</v>
      </c>
      <c r="DD556" s="483" t="s">
        <v>1124</v>
      </c>
      <c r="DE556" s="483">
        <f>IFERROR(SUM(VLOOKUP($BS556,'État &amp; Plan d''action'!$B$6:$Z$1113,18,FALSE),VLOOKUP($BS556,'État &amp; Plan d''action'!$B$6:$Z$1113,20,FALSE))/(VLOOKUP($BS556,'Données par municipalité'!$B$4:$L$1113,11,FALSE)),"")</f>
        <v>0</v>
      </c>
      <c r="DF556" s="483">
        <f>IFERROR(SUM(VLOOKUP($BS556,'État &amp; Plan d''action'!$B$6:$Z$1113,19,FALSE),VLOOKUP($BS556,'État &amp; Plan d''action'!$B$6:$Z$1113,21,FALSE))/(VLOOKUP($BS556,'Données par municipalité'!$B$4:$L$1113,11,FALSE)),"")</f>
        <v>1</v>
      </c>
      <c r="DG556" s="476" t="s">
        <v>4723</v>
      </c>
      <c r="DH556" s="484" t="s">
        <v>1124</v>
      </c>
      <c r="DI556" s="484" t="s">
        <v>1124</v>
      </c>
      <c r="DJ556" s="484">
        <v>3</v>
      </c>
      <c r="DK556" s="484">
        <v>9</v>
      </c>
      <c r="DL556" s="484">
        <v>0</v>
      </c>
      <c r="DM556" s="484" t="s">
        <v>1124</v>
      </c>
      <c r="DN556" s="484">
        <v>0</v>
      </c>
      <c r="DO556" s="484">
        <v>0</v>
      </c>
      <c r="DP556" s="484">
        <v>0</v>
      </c>
      <c r="DQ556" s="484">
        <f>IF(VLOOKUP($BS556,'État &amp; Plan d''action'!$B$6:$AJ$1113,28,FALSE)="","",VLOOKUP($BS556,'État &amp; Plan d''action'!$B$6:$AJ$1113,28,FALSE))</f>
        <v>0</v>
      </c>
      <c r="DR556" s="70">
        <f>IF(VLOOKUP($BS556,'État &amp; Plan d''action'!$B$6:$AJ$1113,29,FALSE)="","",VLOOKUP($BS556,'État &amp; Plan d''action'!$B$6:$AJ$1113,29,FALSE))</f>
        <v>0</v>
      </c>
      <c r="DS556" s="70">
        <f>IF(VLOOKUP($BS556,'État &amp; Plan d''action'!$B$6:$AJ$1113,30,FALSE)="","",VLOOKUP($BS556,'État &amp; Plan d''action'!$B$6:$AJ$1113,30,FALSE))</f>
        <v>1</v>
      </c>
      <c r="DT556" s="70">
        <v>146</v>
      </c>
      <c r="DU556" s="485">
        <v>0.9527509774261903</v>
      </c>
      <c r="DV556" s="485">
        <v>1.2265524395727307</v>
      </c>
      <c r="DW556" s="70">
        <v>0</v>
      </c>
      <c r="DX556" s="70">
        <v>0</v>
      </c>
      <c r="DY556" s="70">
        <v>0</v>
      </c>
      <c r="DZ556" s="70">
        <f>VLOOKUP($BS556,'État &amp; Plan d''action'!$B$6:$AH$1113,31,FALSE)</f>
        <v>0</v>
      </c>
      <c r="EA556" s="70">
        <f>VLOOKUP($BS556,'État &amp; Plan d''action'!$B$6:$AH$1113,32,FALSE)</f>
        <v>0</v>
      </c>
      <c r="EB556" s="70">
        <f>VLOOKUP($BS556,'État &amp; Plan d''action'!$B$6:$AH$1113,33,FALSE)</f>
        <v>1</v>
      </c>
      <c r="EC556" s="70">
        <v>3.0470000000000002</v>
      </c>
      <c r="ED556" s="70">
        <v>0</v>
      </c>
      <c r="EE556" s="70">
        <v>0</v>
      </c>
      <c r="EF556" s="70">
        <v>0</v>
      </c>
      <c r="EG556" s="70">
        <v>0</v>
      </c>
      <c r="EH556" s="72">
        <v>49.121621621621614</v>
      </c>
      <c r="EI556" s="72">
        <v>284</v>
      </c>
    </row>
    <row r="557" spans="71:139" x14ac:dyDescent="0.35">
      <c r="BS557" s="486">
        <v>63023</v>
      </c>
      <c r="BT557" s="479" t="s">
        <v>636</v>
      </c>
      <c r="BU557" s="479">
        <v>14</v>
      </c>
      <c r="BV557" s="476" t="s">
        <v>1188</v>
      </c>
      <c r="BW557" s="476" t="s">
        <v>1188</v>
      </c>
      <c r="BX557" s="476" t="s">
        <v>1187</v>
      </c>
      <c r="BY557" s="476" t="s">
        <v>1187</v>
      </c>
      <c r="BZ557" s="476" t="s">
        <v>1187</v>
      </c>
      <c r="CA557" s="476" t="s">
        <v>1187</v>
      </c>
      <c r="CB557" s="476" t="s">
        <v>1187</v>
      </c>
      <c r="CC557" s="476" t="s">
        <v>1187</v>
      </c>
      <c r="CD557" s="476" t="s">
        <v>1187</v>
      </c>
      <c r="CE557" s="476" t="s">
        <v>1187</v>
      </c>
      <c r="CF557" s="476" t="s">
        <v>1187</v>
      </c>
      <c r="CG557" s="476" t="s">
        <v>1188</v>
      </c>
      <c r="CH557" s="476" t="s">
        <v>1188</v>
      </c>
      <c r="CI557" s="476" t="s">
        <v>1188</v>
      </c>
      <c r="CJ557" s="476" t="s">
        <v>1188</v>
      </c>
      <c r="CK557" s="476" t="s">
        <v>1188</v>
      </c>
      <c r="CL557" s="476" t="s">
        <v>1188</v>
      </c>
      <c r="CM557" s="476" t="str">
        <f>IF(VLOOKUP(BS557,'Données par municipalité'!$B$6:$E$1113,4,FALSE)="","non","oui")</f>
        <v>oui</v>
      </c>
      <c r="CN557" s="410" t="s">
        <v>1124</v>
      </c>
      <c r="CO557" s="410" t="s">
        <v>1124</v>
      </c>
      <c r="CP557" s="410">
        <v>303.70527236094921</v>
      </c>
      <c r="CQ557" s="410">
        <v>269.27235031412266</v>
      </c>
      <c r="CR557" s="410">
        <v>299.96718234790978</v>
      </c>
      <c r="CS557" s="410">
        <v>255.69086560874217</v>
      </c>
      <c r="CT557" s="410">
        <v>280.29672359035749</v>
      </c>
      <c r="CU557" s="410">
        <v>345</v>
      </c>
      <c r="CV557" s="410">
        <f>IF(VLOOKUP(BS557,'Données par municipalité'!$B$6:$F$1113,4,FALSE)="","",VLOOKUP(BS557,'Données par municipalité'!$B$6:$F$1113,4,FALSE))</f>
        <v>284</v>
      </c>
      <c r="CW557" s="476" t="s">
        <v>4723</v>
      </c>
      <c r="CX557" s="483" t="s">
        <v>1124</v>
      </c>
      <c r="CY557" s="483">
        <v>0</v>
      </c>
      <c r="CZ557" s="483">
        <v>0</v>
      </c>
      <c r="DA557" s="483">
        <v>0</v>
      </c>
      <c r="DB557" s="483">
        <v>0</v>
      </c>
      <c r="DC557" s="483">
        <v>0</v>
      </c>
      <c r="DD557" s="483">
        <v>1</v>
      </c>
      <c r="DE557" s="483">
        <f>IFERROR(SUM(VLOOKUP($BS557,'État &amp; Plan d''action'!$B$6:$Z$1113,18,FALSE),VLOOKUP($BS557,'État &amp; Plan d''action'!$B$6:$Z$1113,20,FALSE))/(VLOOKUP($BS557,'Données par municipalité'!$B$4:$L$1113,11,FALSE)),"")</f>
        <v>0</v>
      </c>
      <c r="DF557" s="483">
        <f>IFERROR(SUM(VLOOKUP($BS557,'État &amp; Plan d''action'!$B$6:$Z$1113,19,FALSE),VLOOKUP($BS557,'État &amp; Plan d''action'!$B$6:$Z$1113,21,FALSE))/(VLOOKUP($BS557,'Données par municipalité'!$B$4:$L$1113,11,FALSE)),"")</f>
        <v>1</v>
      </c>
      <c r="DG557" s="476" t="s">
        <v>4723</v>
      </c>
      <c r="DH557" s="484" t="s">
        <v>1124</v>
      </c>
      <c r="DI557" s="484">
        <v>0</v>
      </c>
      <c r="DJ557" s="484">
        <v>0</v>
      </c>
      <c r="DK557" s="484">
        <v>0</v>
      </c>
      <c r="DL557" s="484">
        <v>0</v>
      </c>
      <c r="DM557" s="484">
        <v>0</v>
      </c>
      <c r="DN557" s="484">
        <v>0</v>
      </c>
      <c r="DO557" s="484">
        <v>0</v>
      </c>
      <c r="DP557" s="484">
        <v>0</v>
      </c>
      <c r="DQ557" s="484">
        <f>IF(VLOOKUP($BS557,'État &amp; Plan d''action'!$B$6:$AJ$1113,28,FALSE)="","",VLOOKUP($BS557,'État &amp; Plan d''action'!$B$6:$AJ$1113,28,FALSE))</f>
        <v>1</v>
      </c>
      <c r="DR557" s="70">
        <f>IF(VLOOKUP($BS557,'État &amp; Plan d''action'!$B$6:$AJ$1113,29,FALSE)="","",VLOOKUP($BS557,'État &amp; Plan d''action'!$B$6:$AJ$1113,29,FALSE))</f>
        <v>0</v>
      </c>
      <c r="DS557" s="70">
        <f>IF(VLOOKUP($BS557,'État &amp; Plan d''action'!$B$6:$AJ$1113,30,FALSE)="","",VLOOKUP($BS557,'État &amp; Plan d''action'!$B$6:$AJ$1113,30,FALSE))</f>
        <v>2</v>
      </c>
      <c r="DT557" s="70">
        <v>292</v>
      </c>
      <c r="DU557" s="485">
        <v>1.5182438079368594</v>
      </c>
      <c r="DV557" s="485">
        <v>4.591733093896166</v>
      </c>
      <c r="DW557" s="70">
        <v>0</v>
      </c>
      <c r="DX557" s="70">
        <v>0</v>
      </c>
      <c r="DY557" s="70">
        <v>0</v>
      </c>
      <c r="DZ557" s="70">
        <f>VLOOKUP($BS557,'État &amp; Plan d''action'!$B$6:$AH$1113,31,FALSE)</f>
        <v>10</v>
      </c>
      <c r="EA557" s="70">
        <f>VLOOKUP($BS557,'État &amp; Plan d''action'!$B$6:$AH$1113,32,FALSE)</f>
        <v>0</v>
      </c>
      <c r="EB557" s="70">
        <f>VLOOKUP($BS557,'État &amp; Plan d''action'!$B$6:$AH$1113,33,FALSE)</f>
        <v>15</v>
      </c>
      <c r="EC557" s="70">
        <v>0</v>
      </c>
      <c r="ED557" s="70">
        <v>3.806</v>
      </c>
      <c r="EE557" s="70">
        <v>0</v>
      </c>
      <c r="EF557" s="70">
        <v>0</v>
      </c>
      <c r="EG557" s="70">
        <v>0</v>
      </c>
      <c r="EH557" s="72">
        <v>45</v>
      </c>
      <c r="EI557" s="72">
        <v>1386</v>
      </c>
    </row>
    <row r="558" spans="71:139" x14ac:dyDescent="0.35">
      <c r="BS558" s="486">
        <v>6050</v>
      </c>
      <c r="BT558" s="479" t="s">
        <v>1065</v>
      </c>
      <c r="BU558" s="479">
        <v>11</v>
      </c>
      <c r="BV558" s="476" t="s">
        <v>1187</v>
      </c>
      <c r="BW558" s="476" t="s">
        <v>1187</v>
      </c>
      <c r="BX558" s="476" t="s">
        <v>1187</v>
      </c>
      <c r="BY558" s="476" t="s">
        <v>1187</v>
      </c>
      <c r="BZ558" s="476" t="s">
        <v>1187</v>
      </c>
      <c r="CA558" s="476" t="s">
        <v>1187</v>
      </c>
      <c r="CB558" s="476" t="s">
        <v>1187</v>
      </c>
      <c r="CC558" s="476" t="s">
        <v>1187</v>
      </c>
      <c r="CD558" s="476" t="s">
        <v>1187</v>
      </c>
      <c r="CE558" s="476" t="s">
        <v>1188</v>
      </c>
      <c r="CF558" s="476" t="s">
        <v>1188</v>
      </c>
      <c r="CG558" s="476" t="s">
        <v>1187</v>
      </c>
      <c r="CH558" s="476" t="s">
        <v>1188</v>
      </c>
      <c r="CI558" s="476" t="s">
        <v>1188</v>
      </c>
      <c r="CJ558" s="476" t="s">
        <v>1187</v>
      </c>
      <c r="CK558" s="476" t="s">
        <v>1188</v>
      </c>
      <c r="CL558" s="476" t="s">
        <v>1188</v>
      </c>
      <c r="CM558" s="476" t="str">
        <f>IF(VLOOKUP(BS558,'Données par municipalité'!$B$6:$E$1113,4,FALSE)="","non","oui")</f>
        <v>oui</v>
      </c>
      <c r="CN558" s="410">
        <v>641.08201782297249</v>
      </c>
      <c r="CO558" s="410">
        <v>376.80646455514602</v>
      </c>
      <c r="CP558" s="410"/>
      <c r="CQ558" s="410">
        <v>438.48465557013759</v>
      </c>
      <c r="CR558" s="410">
        <v>476.75380504773204</v>
      </c>
      <c r="CS558" s="410" t="s">
        <v>1124</v>
      </c>
      <c r="CT558" s="410">
        <v>298.06755234547381</v>
      </c>
      <c r="CU558" s="410">
        <v>211</v>
      </c>
      <c r="CV558" s="410">
        <f>IF(VLOOKUP(BS558,'Données par municipalité'!$B$6:$F$1113,4,FALSE)="","",VLOOKUP(BS558,'Données par municipalité'!$B$6:$F$1113,4,FALSE))</f>
        <v>195</v>
      </c>
      <c r="CW558" s="476" t="s">
        <v>4723</v>
      </c>
      <c r="CX558" s="483">
        <v>0.1</v>
      </c>
      <c r="CY558" s="483" t="s">
        <v>1124</v>
      </c>
      <c r="CZ558" s="483">
        <v>0.5</v>
      </c>
      <c r="DA558" s="483">
        <v>1</v>
      </c>
      <c r="DB558" s="483" t="s">
        <v>1124</v>
      </c>
      <c r="DC558" s="483">
        <v>1</v>
      </c>
      <c r="DD558" s="483" t="s">
        <v>1124</v>
      </c>
      <c r="DE558" s="483">
        <f>IFERROR(SUM(VLOOKUP($BS558,'État &amp; Plan d''action'!$B$6:$Z$1113,18,FALSE),VLOOKUP($BS558,'État &amp; Plan d''action'!$B$6:$Z$1113,20,FALSE))/(VLOOKUP($BS558,'Données par municipalité'!$B$4:$L$1113,11,FALSE)),"")</f>
        <v>7.2150072150072159E-2</v>
      </c>
      <c r="DF558" s="483">
        <f>IFERROR(SUM(VLOOKUP($BS558,'État &amp; Plan d''action'!$B$6:$Z$1113,19,FALSE),VLOOKUP($BS558,'État &amp; Plan d''action'!$B$6:$Z$1113,21,FALSE))/(VLOOKUP($BS558,'Données par municipalité'!$B$4:$L$1113,11,FALSE)),"")</f>
        <v>7.2150072150072159E-2</v>
      </c>
      <c r="DG558" s="476" t="s">
        <v>4723</v>
      </c>
      <c r="DH558" s="484">
        <v>1</v>
      </c>
      <c r="DI558" s="484" t="s">
        <v>1124</v>
      </c>
      <c r="DJ558" s="484">
        <v>1</v>
      </c>
      <c r="DK558" s="484">
        <v>1</v>
      </c>
      <c r="DL558" s="484" t="s">
        <v>1124</v>
      </c>
      <c r="DM558" s="484">
        <v>1</v>
      </c>
      <c r="DN558" s="484">
        <v>1</v>
      </c>
      <c r="DO558" s="484">
        <v>0</v>
      </c>
      <c r="DP558" s="484">
        <v>0</v>
      </c>
      <c r="DQ558" s="484">
        <f>IF(VLOOKUP($BS558,'État &amp; Plan d''action'!$B$6:$AJ$1113,28,FALSE)="","",VLOOKUP($BS558,'État &amp; Plan d''action'!$B$6:$AJ$1113,28,FALSE))</f>
        <v>2</v>
      </c>
      <c r="DR558" s="70">
        <f>IF(VLOOKUP($BS558,'État &amp; Plan d''action'!$B$6:$AJ$1113,29,FALSE)="","",VLOOKUP($BS558,'État &amp; Plan d''action'!$B$6:$AJ$1113,29,FALSE))</f>
        <v>0</v>
      </c>
      <c r="DS558" s="70">
        <f>IF(VLOOKUP($BS558,'État &amp; Plan d''action'!$B$6:$AJ$1113,30,FALSE)="","",VLOOKUP($BS558,'État &amp; Plan d''action'!$B$6:$AJ$1113,30,FALSE))</f>
        <v>0</v>
      </c>
      <c r="DT558" s="70">
        <v>178</v>
      </c>
      <c r="DU558" s="485">
        <v>0.72260835791727895</v>
      </c>
      <c r="DV558" s="485">
        <v>0.48617447829366356</v>
      </c>
      <c r="DW558" s="70">
        <v>2</v>
      </c>
      <c r="DX558" s="70">
        <v>0</v>
      </c>
      <c r="DY558" s="70">
        <v>0</v>
      </c>
      <c r="DZ558" s="70">
        <f>VLOOKUP($BS558,'État &amp; Plan d''action'!$B$6:$AH$1113,31,FALSE)</f>
        <v>2</v>
      </c>
      <c r="EA558" s="70">
        <f>VLOOKUP($BS558,'État &amp; Plan d''action'!$B$6:$AH$1113,32,FALSE)</f>
        <v>0</v>
      </c>
      <c r="EB558" s="70">
        <f>VLOOKUP($BS558,'État &amp; Plan d''action'!$B$6:$AH$1113,33,FALSE)</f>
        <v>0</v>
      </c>
      <c r="EC558" s="70">
        <v>0</v>
      </c>
      <c r="ED558" s="70">
        <v>0</v>
      </c>
      <c r="EE558" s="70">
        <v>0.25</v>
      </c>
      <c r="EF558" s="70">
        <v>0.01</v>
      </c>
      <c r="EG558" s="70">
        <v>0</v>
      </c>
      <c r="EH558" s="72">
        <v>45</v>
      </c>
      <c r="EI558" s="72">
        <v>511</v>
      </c>
    </row>
    <row r="559" spans="71:139" x14ac:dyDescent="0.35">
      <c r="BS559" s="486">
        <v>51065</v>
      </c>
      <c r="BT559" s="479" t="s">
        <v>509</v>
      </c>
      <c r="BU559" s="479">
        <v>4</v>
      </c>
      <c r="BV559" s="476" t="s">
        <v>1187</v>
      </c>
      <c r="BW559" s="476" t="s">
        <v>1187</v>
      </c>
      <c r="BX559" s="476" t="s">
        <v>1187</v>
      </c>
      <c r="BY559" s="476" t="s">
        <v>1187</v>
      </c>
      <c r="BZ559" s="476" t="s">
        <v>1187</v>
      </c>
      <c r="CA559" s="476" t="s">
        <v>1187</v>
      </c>
      <c r="CB559" s="476" t="s">
        <v>1187</v>
      </c>
      <c r="CC559" s="476" t="s">
        <v>1187</v>
      </c>
      <c r="CD559" s="476" t="s">
        <v>1187</v>
      </c>
      <c r="CE559" s="476" t="s">
        <v>1188</v>
      </c>
      <c r="CF559" s="476" t="s">
        <v>1188</v>
      </c>
      <c r="CG559" s="476" t="s">
        <v>1188</v>
      </c>
      <c r="CH559" s="476" t="s">
        <v>1187</v>
      </c>
      <c r="CI559" s="476" t="s">
        <v>1187</v>
      </c>
      <c r="CJ559" s="476" t="s">
        <v>1188</v>
      </c>
      <c r="CK559" s="476" t="s">
        <v>1188</v>
      </c>
      <c r="CL559" s="476" t="s">
        <v>1188</v>
      </c>
      <c r="CM559" s="476" t="str">
        <f>IF(VLOOKUP(BS559,'Données par municipalité'!$B$6:$E$1113,4,FALSE)="","non","oui")</f>
        <v>non</v>
      </c>
      <c r="CN559" s="410">
        <v>615.97111712420849</v>
      </c>
      <c r="CO559" s="410">
        <v>587.54498332057949</v>
      </c>
      <c r="CP559" s="410">
        <v>386.24684977182551</v>
      </c>
      <c r="CQ559" s="410"/>
      <c r="CR559" s="410"/>
      <c r="CS559" s="410">
        <v>462.297778019747</v>
      </c>
      <c r="CT559" s="410">
        <v>482.37207112213554</v>
      </c>
      <c r="CU559" s="410">
        <v>470</v>
      </c>
      <c r="CV559" s="410" t="str">
        <f>IF(VLOOKUP(BS559,'Données par municipalité'!$B$6:$F$1113,4,FALSE)="","",VLOOKUP(BS559,'Données par municipalité'!$B$6:$F$1113,4,FALSE))</f>
        <v/>
      </c>
      <c r="CW559" s="476" t="s">
        <v>4723</v>
      </c>
      <c r="CX559" s="483">
        <v>0</v>
      </c>
      <c r="CY559" s="483">
        <v>0</v>
      </c>
      <c r="CZ559" s="483" t="s">
        <v>1124</v>
      </c>
      <c r="DA559" s="483" t="s">
        <v>1124</v>
      </c>
      <c r="DB559" s="483">
        <v>1</v>
      </c>
      <c r="DC559" s="483">
        <v>1</v>
      </c>
      <c r="DD559" s="483">
        <v>1</v>
      </c>
      <c r="DE559" s="483" t="str">
        <f>IFERROR(SUM(VLOOKUP($BS559,'État &amp; Plan d''action'!$B$6:$Z$1113,18,FALSE),VLOOKUP($BS559,'État &amp; Plan d''action'!$B$6:$Z$1113,20,FALSE))/(VLOOKUP($BS559,'Données par municipalité'!$B$4:$L$1113,11,FALSE)),"")</f>
        <v/>
      </c>
      <c r="DF559" s="483" t="str">
        <f>IFERROR(SUM(VLOOKUP($BS559,'État &amp; Plan d''action'!$B$6:$Z$1113,19,FALSE),VLOOKUP($BS559,'État &amp; Plan d''action'!$B$6:$Z$1113,21,FALSE))/(VLOOKUP($BS559,'Données par municipalité'!$B$4:$L$1113,11,FALSE)),"")</f>
        <v/>
      </c>
      <c r="DG559" s="476" t="s">
        <v>4723</v>
      </c>
      <c r="DH559" s="484">
        <v>2</v>
      </c>
      <c r="DI559" s="484">
        <v>1</v>
      </c>
      <c r="DJ559" s="484">
        <v>0</v>
      </c>
      <c r="DK559" s="484">
        <v>0</v>
      </c>
      <c r="DL559" s="484">
        <v>2</v>
      </c>
      <c r="DM559" s="484">
        <v>0</v>
      </c>
      <c r="DN559" s="484">
        <v>0</v>
      </c>
      <c r="DO559" s="484">
        <v>0</v>
      </c>
      <c r="DP559" s="484">
        <v>0</v>
      </c>
      <c r="DQ559" s="484" t="str">
        <f>IF(VLOOKUP($BS559,'État &amp; Plan d''action'!$B$6:$AJ$1113,28,FALSE)="","",VLOOKUP($BS559,'État &amp; Plan d''action'!$B$6:$AJ$1113,28,FALSE))</f>
        <v/>
      </c>
      <c r="DR559" s="70" t="str">
        <f>IF(VLOOKUP($BS559,'État &amp; Plan d''action'!$B$6:$AJ$1113,29,FALSE)="","",VLOOKUP($BS559,'État &amp; Plan d''action'!$B$6:$AJ$1113,29,FALSE))</f>
        <v/>
      </c>
      <c r="DS559" s="70" t="str">
        <f>IF(VLOOKUP($BS559,'État &amp; Plan d''action'!$B$6:$AJ$1113,30,FALSE)="","",VLOOKUP($BS559,'État &amp; Plan d''action'!$B$6:$AJ$1113,30,FALSE))</f>
        <v/>
      </c>
      <c r="DT559" s="70">
        <v>301</v>
      </c>
      <c r="DU559" s="485">
        <v>4.3556347615184832</v>
      </c>
      <c r="DV559" s="485" t="s">
        <v>1124</v>
      </c>
      <c r="DW559" s="70">
        <v>0</v>
      </c>
      <c r="DX559" s="70">
        <v>0</v>
      </c>
      <c r="DY559" s="70">
        <v>0</v>
      </c>
      <c r="DZ559" s="70" t="str">
        <f>VLOOKUP($BS559,'État &amp; Plan d''action'!$B$6:$AH$1113,31,FALSE)</f>
        <v/>
      </c>
      <c r="EA559" s="70" t="str">
        <f>VLOOKUP($BS559,'État &amp; Plan d''action'!$B$6:$AH$1113,32,FALSE)</f>
        <v/>
      </c>
      <c r="EB559" s="70" t="str">
        <f>VLOOKUP($BS559,'État &amp; Plan d''action'!$B$6:$AH$1113,33,FALSE)</f>
        <v/>
      </c>
      <c r="EC559" s="70">
        <v>0</v>
      </c>
      <c r="ED559" s="70">
        <v>25.859000000000002</v>
      </c>
      <c r="EE559" s="70">
        <v>0</v>
      </c>
      <c r="EF559" s="70">
        <v>0</v>
      </c>
      <c r="EG559" s="70">
        <v>0</v>
      </c>
      <c r="EH559" s="72">
        <v>45</v>
      </c>
      <c r="EI559" s="72">
        <v>2974</v>
      </c>
    </row>
    <row r="560" spans="71:139" x14ac:dyDescent="0.35">
      <c r="BS560" s="486">
        <v>27015</v>
      </c>
      <c r="BT560" s="479" t="s">
        <v>179</v>
      </c>
      <c r="BU560" s="479">
        <v>12</v>
      </c>
      <c r="BV560" s="476" t="s">
        <v>1188</v>
      </c>
      <c r="BW560" s="476" t="s">
        <v>1188</v>
      </c>
      <c r="BX560" s="476" t="s">
        <v>1188</v>
      </c>
      <c r="BY560" s="476" t="s">
        <v>1188</v>
      </c>
      <c r="BZ560" s="476" t="s">
        <v>1188</v>
      </c>
      <c r="CA560" s="476" t="s">
        <v>1188</v>
      </c>
      <c r="CB560" s="476" t="s">
        <v>1188</v>
      </c>
      <c r="CC560" s="476" t="s">
        <v>1188</v>
      </c>
      <c r="CD560" s="476" t="s">
        <v>1187</v>
      </c>
      <c r="CE560" s="476" t="s">
        <v>1187</v>
      </c>
      <c r="CF560" s="476" t="s">
        <v>1187</v>
      </c>
      <c r="CG560" s="476" t="s">
        <v>1187</v>
      </c>
      <c r="CH560" s="476" t="s">
        <v>1187</v>
      </c>
      <c r="CI560" s="476" t="s">
        <v>1187</v>
      </c>
      <c r="CJ560" s="476" t="s">
        <v>1187</v>
      </c>
      <c r="CK560" s="476" t="s">
        <v>1187</v>
      </c>
      <c r="CL560" s="476" t="s">
        <v>1187</v>
      </c>
      <c r="CM560" s="476" t="str">
        <f>IF(VLOOKUP(BS560,'Données par municipalité'!$B$6:$E$1113,4,FALSE)="","non","oui")</f>
        <v>non</v>
      </c>
      <c r="CN560" s="410" t="s">
        <v>1124</v>
      </c>
      <c r="CO560" s="410" t="s">
        <v>1124</v>
      </c>
      <c r="CP560" s="410"/>
      <c r="CQ560" s="410"/>
      <c r="CR560" s="410"/>
      <c r="CS560" s="410" t="s">
        <v>1124</v>
      </c>
      <c r="CT560" s="410"/>
      <c r="CU560" s="410" t="s">
        <v>1124</v>
      </c>
      <c r="CV560" s="410" t="str">
        <f>IF(VLOOKUP(BS560,'Données par municipalité'!$B$6:$F$1113,4,FALSE)="","",VLOOKUP(BS560,'Données par municipalité'!$B$6:$F$1113,4,FALSE))</f>
        <v/>
      </c>
      <c r="CW560" s="476" t="s">
        <v>4723</v>
      </c>
      <c r="CX560" s="483" t="s">
        <v>1124</v>
      </c>
      <c r="CY560" s="483" t="s">
        <v>1124</v>
      </c>
      <c r="CZ560" s="483" t="s">
        <v>1124</v>
      </c>
      <c r="DA560" s="483" t="s">
        <v>1124</v>
      </c>
      <c r="DB560" s="483" t="s">
        <v>1124</v>
      </c>
      <c r="DC560" s="483" t="s">
        <v>1124</v>
      </c>
      <c r="DD560" s="483" t="s">
        <v>1124</v>
      </c>
      <c r="DE560" s="483" t="str">
        <f>IFERROR(SUM(VLOOKUP($BS560,'État &amp; Plan d''action'!$B$6:$Z$1113,18,FALSE),VLOOKUP($BS560,'État &amp; Plan d''action'!$B$6:$Z$1113,20,FALSE))/(VLOOKUP($BS560,'Données par municipalité'!$B$4:$L$1113,11,FALSE)),"")</f>
        <v/>
      </c>
      <c r="DF560" s="483" t="str">
        <f>IFERROR(SUM(VLOOKUP($BS560,'État &amp; Plan d''action'!$B$6:$Z$1113,19,FALSE),VLOOKUP($BS560,'État &amp; Plan d''action'!$B$6:$Z$1113,21,FALSE))/(VLOOKUP($BS560,'Données par municipalité'!$B$4:$L$1113,11,FALSE)),"")</f>
        <v/>
      </c>
      <c r="DG560" s="476" t="s">
        <v>4723</v>
      </c>
      <c r="DH560" s="484" t="s">
        <v>1124</v>
      </c>
      <c r="DI560" s="484" t="s">
        <v>1124</v>
      </c>
      <c r="DJ560" s="484">
        <v>0</v>
      </c>
      <c r="DK560" s="484">
        <v>0</v>
      </c>
      <c r="DL560" s="484" t="s">
        <v>1124</v>
      </c>
      <c r="DM560" s="484" t="s">
        <v>1124</v>
      </c>
      <c r="DN560" s="484" t="s">
        <v>1124</v>
      </c>
      <c r="DO560" s="484" t="s">
        <v>1124</v>
      </c>
      <c r="DP560" s="484" t="s">
        <v>1124</v>
      </c>
      <c r="DQ560" s="484" t="str">
        <f>IF(VLOOKUP($BS560,'État &amp; Plan d''action'!$B$6:$AJ$1113,28,FALSE)="","",VLOOKUP($BS560,'État &amp; Plan d''action'!$B$6:$AJ$1113,28,FALSE))</f>
        <v/>
      </c>
      <c r="DR560" s="70" t="str">
        <f>IF(VLOOKUP($BS560,'État &amp; Plan d''action'!$B$6:$AJ$1113,29,FALSE)="","",VLOOKUP($BS560,'État &amp; Plan d''action'!$B$6:$AJ$1113,29,FALSE))</f>
        <v/>
      </c>
      <c r="DS560" s="70" t="str">
        <f>IF(VLOOKUP($BS560,'État &amp; Plan d''action'!$B$6:$AJ$1113,30,FALSE)="","",VLOOKUP($BS560,'État &amp; Plan d''action'!$B$6:$AJ$1113,30,FALSE))</f>
        <v/>
      </c>
      <c r="DT560" s="70" t="s">
        <v>1124</v>
      </c>
      <c r="DU560" s="485" t="s">
        <v>1124</v>
      </c>
      <c r="DV560" s="485" t="s">
        <v>1124</v>
      </c>
      <c r="DW560" s="70" t="s">
        <v>1124</v>
      </c>
      <c r="DX560" s="70" t="s">
        <v>1124</v>
      </c>
      <c r="DY560" s="70" t="s">
        <v>1124</v>
      </c>
      <c r="DZ560" s="70" t="str">
        <f>VLOOKUP($BS560,'État &amp; Plan d''action'!$B$6:$AH$1113,31,FALSE)</f>
        <v/>
      </c>
      <c r="EA560" s="70" t="str">
        <f>VLOOKUP($BS560,'État &amp; Plan d''action'!$B$6:$AH$1113,32,FALSE)</f>
        <v/>
      </c>
      <c r="EB560" s="70" t="str">
        <f>VLOOKUP($BS560,'État &amp; Plan d''action'!$B$6:$AH$1113,33,FALSE)</f>
        <v/>
      </c>
      <c r="EC560" s="70" t="s">
        <v>1124</v>
      </c>
      <c r="ED560" s="70" t="s">
        <v>1124</v>
      </c>
      <c r="EE560" s="70" t="s">
        <v>1124</v>
      </c>
      <c r="EF560" s="70" t="s">
        <v>1124</v>
      </c>
      <c r="EG560" s="70" t="s">
        <v>1124</v>
      </c>
      <c r="EH560" s="72"/>
      <c r="EI560" s="72">
        <v>506</v>
      </c>
    </row>
    <row r="561" spans="71:139" x14ac:dyDescent="0.35">
      <c r="BS561" s="486">
        <v>5065</v>
      </c>
      <c r="BT561" s="479" t="s">
        <v>1054</v>
      </c>
      <c r="BU561" s="479">
        <v>11</v>
      </c>
      <c r="BV561" s="476" t="s">
        <v>1187</v>
      </c>
      <c r="BW561" s="476" t="s">
        <v>1187</v>
      </c>
      <c r="BX561" s="476" t="s">
        <v>1187</v>
      </c>
      <c r="BY561" s="476" t="s">
        <v>1187</v>
      </c>
      <c r="BZ561" s="476" t="s">
        <v>1187</v>
      </c>
      <c r="CA561" s="476" t="s">
        <v>1187</v>
      </c>
      <c r="CB561" s="476" t="s">
        <v>1187</v>
      </c>
      <c r="CC561" s="476" t="s">
        <v>1187</v>
      </c>
      <c r="CD561" s="476" t="s">
        <v>1187</v>
      </c>
      <c r="CE561" s="476" t="s">
        <v>1188</v>
      </c>
      <c r="CF561" s="476" t="s">
        <v>1188</v>
      </c>
      <c r="CG561" s="476" t="s">
        <v>1188</v>
      </c>
      <c r="CH561" s="476" t="s">
        <v>1188</v>
      </c>
      <c r="CI561" s="476" t="s">
        <v>1188</v>
      </c>
      <c r="CJ561" s="476" t="s">
        <v>1188</v>
      </c>
      <c r="CK561" s="476" t="s">
        <v>1188</v>
      </c>
      <c r="CL561" s="476" t="s">
        <v>1188</v>
      </c>
      <c r="CM561" s="476" t="str">
        <f>IF(VLOOKUP(BS561,'Données par municipalité'!$B$6:$E$1113,4,FALSE)="","non","oui")</f>
        <v>oui</v>
      </c>
      <c r="CN561" s="410">
        <v>457.627264237654</v>
      </c>
      <c r="CO561" s="410">
        <v>420.38056569668788</v>
      </c>
      <c r="CP561" s="410">
        <v>452.12557832516438</v>
      </c>
      <c r="CQ561" s="410">
        <v>477.7155126140633</v>
      </c>
      <c r="CR561" s="410">
        <v>378.69140042336284</v>
      </c>
      <c r="CS561" s="410">
        <v>168.55804954781257</v>
      </c>
      <c r="CT561" s="410">
        <v>221.63660147783119</v>
      </c>
      <c r="CU561" s="410">
        <v>230</v>
      </c>
      <c r="CV561" s="410">
        <f>IF(VLOOKUP(BS561,'Données par municipalité'!$B$6:$F$1113,4,FALSE)="","",VLOOKUP(BS561,'Données par municipalité'!$B$6:$F$1113,4,FALSE))</f>
        <v>273</v>
      </c>
      <c r="CW561" s="476" t="s">
        <v>4723</v>
      </c>
      <c r="CX561" s="483">
        <v>0.85</v>
      </c>
      <c r="CY561" s="483">
        <v>1</v>
      </c>
      <c r="CZ561" s="483">
        <v>1</v>
      </c>
      <c r="DA561" s="483">
        <v>1</v>
      </c>
      <c r="DB561" s="483">
        <v>1</v>
      </c>
      <c r="DC561" s="483">
        <v>0</v>
      </c>
      <c r="DD561" s="483" t="s">
        <v>1124</v>
      </c>
      <c r="DE561" s="483">
        <f>IFERROR(SUM(VLOOKUP($BS561,'État &amp; Plan d''action'!$B$6:$Z$1113,18,FALSE),VLOOKUP($BS561,'État &amp; Plan d''action'!$B$6:$Z$1113,20,FALSE))/(VLOOKUP($BS561,'Données par municipalité'!$B$4:$L$1113,11,FALSE)),"")</f>
        <v>1</v>
      </c>
      <c r="DF561" s="483">
        <f>IFERROR(SUM(VLOOKUP($BS561,'État &amp; Plan d''action'!$B$6:$Z$1113,19,FALSE),VLOOKUP($BS561,'État &amp; Plan d''action'!$B$6:$Z$1113,21,FALSE))/(VLOOKUP($BS561,'Données par municipalité'!$B$4:$L$1113,11,FALSE)),"")</f>
        <v>0</v>
      </c>
      <c r="DG561" s="476" t="s">
        <v>4723</v>
      </c>
      <c r="DH561" s="484">
        <v>0</v>
      </c>
      <c r="DI561" s="484">
        <v>3</v>
      </c>
      <c r="DJ561" s="484">
        <v>5</v>
      </c>
      <c r="DK561" s="484">
        <v>2</v>
      </c>
      <c r="DL561" s="484">
        <v>2</v>
      </c>
      <c r="DM561" s="484">
        <v>1</v>
      </c>
      <c r="DN561" s="484">
        <v>0</v>
      </c>
      <c r="DO561" s="484">
        <v>0</v>
      </c>
      <c r="DP561" s="484">
        <v>0</v>
      </c>
      <c r="DQ561" s="484">
        <f>IF(VLOOKUP($BS561,'État &amp; Plan d''action'!$B$6:$AJ$1113,28,FALSE)="","",VLOOKUP($BS561,'État &amp; Plan d''action'!$B$6:$AJ$1113,28,FALSE))</f>
        <v>1</v>
      </c>
      <c r="DR561" s="70">
        <f>IF(VLOOKUP($BS561,'État &amp; Plan d''action'!$B$6:$AJ$1113,29,FALSE)="","",VLOOKUP($BS561,'État &amp; Plan d''action'!$B$6:$AJ$1113,29,FALSE))</f>
        <v>1</v>
      </c>
      <c r="DS561" s="70">
        <f>IF(VLOOKUP($BS561,'État &amp; Plan d''action'!$B$6:$AJ$1113,30,FALSE)="","",VLOOKUP($BS561,'État &amp; Plan d''action'!$B$6:$AJ$1113,30,FALSE))</f>
        <v>0</v>
      </c>
      <c r="DT561" s="70">
        <v>200</v>
      </c>
      <c r="DU561" s="485">
        <v>0.29691583133933735</v>
      </c>
      <c r="DV561" s="485">
        <v>0.29905768681313039</v>
      </c>
      <c r="DW561" s="70">
        <v>0</v>
      </c>
      <c r="DX561" s="70">
        <v>0</v>
      </c>
      <c r="DY561" s="70">
        <v>0</v>
      </c>
      <c r="DZ561" s="70">
        <f>VLOOKUP($BS561,'État &amp; Plan d''action'!$B$6:$AH$1113,31,FALSE)</f>
        <v>2</v>
      </c>
      <c r="EA561" s="70">
        <f>VLOOKUP($BS561,'État &amp; Plan d''action'!$B$6:$AH$1113,32,FALSE)</f>
        <v>1</v>
      </c>
      <c r="EB561" s="70">
        <f>VLOOKUP($BS561,'État &amp; Plan d''action'!$B$6:$AH$1113,33,FALSE)</f>
        <v>0</v>
      </c>
      <c r="EC561" s="70">
        <v>0</v>
      </c>
      <c r="ED561" s="70">
        <v>0</v>
      </c>
      <c r="EE561" s="70">
        <v>0</v>
      </c>
      <c r="EF561" s="70">
        <v>0</v>
      </c>
      <c r="EG561" s="70">
        <v>0</v>
      </c>
      <c r="EH561" s="72">
        <v>45</v>
      </c>
      <c r="EI561" s="72">
        <v>685</v>
      </c>
    </row>
    <row r="562" spans="71:139" x14ac:dyDescent="0.35">
      <c r="BS562" s="486">
        <v>47010</v>
      </c>
      <c r="BT562" s="479" t="s">
        <v>448</v>
      </c>
      <c r="BU562" s="479">
        <v>5</v>
      </c>
      <c r="BV562" s="476" t="s">
        <v>1188</v>
      </c>
      <c r="BW562" s="476" t="s">
        <v>1188</v>
      </c>
      <c r="BX562" s="476" t="s">
        <v>1188</v>
      </c>
      <c r="BY562" s="476" t="s">
        <v>1188</v>
      </c>
      <c r="BZ562" s="476" t="s">
        <v>1188</v>
      </c>
      <c r="CA562" s="476" t="s">
        <v>1188</v>
      </c>
      <c r="CB562" s="476" t="s">
        <v>1188</v>
      </c>
      <c r="CC562" s="476" t="s">
        <v>1188</v>
      </c>
      <c r="CD562" s="476" t="s">
        <v>1188</v>
      </c>
      <c r="CE562" s="476" t="s">
        <v>1187</v>
      </c>
      <c r="CF562" s="476" t="s">
        <v>1187</v>
      </c>
      <c r="CG562" s="476" t="s">
        <v>1187</v>
      </c>
      <c r="CH562" s="476" t="s">
        <v>1187</v>
      </c>
      <c r="CI562" s="476" t="s">
        <v>1187</v>
      </c>
      <c r="CJ562" s="476" t="s">
        <v>1187</v>
      </c>
      <c r="CK562" s="476" t="s">
        <v>1187</v>
      </c>
      <c r="CL562" s="476" t="s">
        <v>1187</v>
      </c>
      <c r="CM562" s="476" t="str">
        <f>IF(VLOOKUP(BS562,'Données par municipalité'!$B$6:$E$1113,4,FALSE)="","non","oui")</f>
        <v>non</v>
      </c>
      <c r="CN562" s="410" t="s">
        <v>1124</v>
      </c>
      <c r="CO562" s="410" t="s">
        <v>1124</v>
      </c>
      <c r="CP562" s="410"/>
      <c r="CQ562" s="410"/>
      <c r="CR562" s="410"/>
      <c r="CS562" s="410" t="s">
        <v>1124</v>
      </c>
      <c r="CT562" s="410"/>
      <c r="CU562" s="410" t="s">
        <v>1124</v>
      </c>
      <c r="CV562" s="410" t="str">
        <f>IF(VLOOKUP(BS562,'Données par municipalité'!$B$6:$F$1113,4,FALSE)="","",VLOOKUP(BS562,'Données par municipalité'!$B$6:$F$1113,4,FALSE))</f>
        <v/>
      </c>
      <c r="CW562" s="476" t="s">
        <v>4723</v>
      </c>
      <c r="CX562" s="483" t="s">
        <v>1124</v>
      </c>
      <c r="CY562" s="483" t="s">
        <v>1124</v>
      </c>
      <c r="CZ562" s="483" t="s">
        <v>1124</v>
      </c>
      <c r="DA562" s="483" t="s">
        <v>1124</v>
      </c>
      <c r="DB562" s="483" t="s">
        <v>1124</v>
      </c>
      <c r="DC562" s="483" t="s">
        <v>1124</v>
      </c>
      <c r="DD562" s="483" t="s">
        <v>1124</v>
      </c>
      <c r="DE562" s="483" t="str">
        <f>IFERROR(SUM(VLOOKUP($BS562,'État &amp; Plan d''action'!$B$6:$Z$1113,18,FALSE),VLOOKUP($BS562,'État &amp; Plan d''action'!$B$6:$Z$1113,20,FALSE))/(VLOOKUP($BS562,'Données par municipalité'!$B$4:$L$1113,11,FALSE)),"")</f>
        <v/>
      </c>
      <c r="DF562" s="483" t="str">
        <f>IFERROR(SUM(VLOOKUP($BS562,'État &amp; Plan d''action'!$B$6:$Z$1113,19,FALSE),VLOOKUP($BS562,'État &amp; Plan d''action'!$B$6:$Z$1113,21,FALSE))/(VLOOKUP($BS562,'Données par municipalité'!$B$4:$L$1113,11,FALSE)),"")</f>
        <v/>
      </c>
      <c r="DG562" s="476" t="s">
        <v>4723</v>
      </c>
      <c r="DH562" s="484" t="s">
        <v>1124</v>
      </c>
      <c r="DI562" s="484" t="s">
        <v>1124</v>
      </c>
      <c r="DJ562" s="484">
        <v>0</v>
      </c>
      <c r="DK562" s="484">
        <v>0</v>
      </c>
      <c r="DL562" s="484" t="s">
        <v>1124</v>
      </c>
      <c r="DM562" s="484" t="s">
        <v>1124</v>
      </c>
      <c r="DN562" s="484" t="s">
        <v>1124</v>
      </c>
      <c r="DO562" s="484" t="s">
        <v>1124</v>
      </c>
      <c r="DP562" s="484" t="s">
        <v>1124</v>
      </c>
      <c r="DQ562" s="484" t="str">
        <f>IF(VLOOKUP($BS562,'État &amp; Plan d''action'!$B$6:$AJ$1113,28,FALSE)="","",VLOOKUP($BS562,'État &amp; Plan d''action'!$B$6:$AJ$1113,28,FALSE))</f>
        <v/>
      </c>
      <c r="DR562" s="70" t="str">
        <f>IF(VLOOKUP($BS562,'État &amp; Plan d''action'!$B$6:$AJ$1113,29,FALSE)="","",VLOOKUP($BS562,'État &amp; Plan d''action'!$B$6:$AJ$1113,29,FALSE))</f>
        <v/>
      </c>
      <c r="DS562" s="70" t="str">
        <f>IF(VLOOKUP($BS562,'État &amp; Plan d''action'!$B$6:$AJ$1113,30,FALSE)="","",VLOOKUP($BS562,'État &amp; Plan d''action'!$B$6:$AJ$1113,30,FALSE))</f>
        <v/>
      </c>
      <c r="DT562" s="70" t="s">
        <v>1124</v>
      </c>
      <c r="DU562" s="485" t="s">
        <v>1124</v>
      </c>
      <c r="DV562" s="485" t="s">
        <v>1124</v>
      </c>
      <c r="DW562" s="70" t="s">
        <v>1124</v>
      </c>
      <c r="DX562" s="70" t="s">
        <v>1124</v>
      </c>
      <c r="DY562" s="70" t="s">
        <v>1124</v>
      </c>
      <c r="DZ562" s="70" t="str">
        <f>VLOOKUP($BS562,'État &amp; Plan d''action'!$B$6:$AH$1113,31,FALSE)</f>
        <v/>
      </c>
      <c r="EA562" s="70" t="str">
        <f>VLOOKUP($BS562,'État &amp; Plan d''action'!$B$6:$AH$1113,32,FALSE)</f>
        <v/>
      </c>
      <c r="EB562" s="70" t="str">
        <f>VLOOKUP($BS562,'État &amp; Plan d''action'!$B$6:$AH$1113,33,FALSE)</f>
        <v/>
      </c>
      <c r="EC562" s="70" t="s">
        <v>1124</v>
      </c>
      <c r="ED562" s="70" t="s">
        <v>1124</v>
      </c>
      <c r="EE562" s="70" t="s">
        <v>1124</v>
      </c>
      <c r="EF562" s="70" t="s">
        <v>1124</v>
      </c>
      <c r="EG562" s="70" t="s">
        <v>1124</v>
      </c>
      <c r="EH562" s="72"/>
      <c r="EI562" s="72">
        <v>3236</v>
      </c>
    </row>
    <row r="563" spans="71:139" x14ac:dyDescent="0.35">
      <c r="BS563" s="486">
        <v>62025</v>
      </c>
      <c r="BT563" s="479" t="s">
        <v>622</v>
      </c>
      <c r="BU563" s="479">
        <v>14</v>
      </c>
      <c r="BV563" s="476" t="s">
        <v>1187</v>
      </c>
      <c r="BW563" s="476" t="s">
        <v>1187</v>
      </c>
      <c r="BX563" s="476" t="s">
        <v>1187</v>
      </c>
      <c r="BY563" s="476" t="s">
        <v>1188</v>
      </c>
      <c r="BZ563" s="476" t="s">
        <v>1188</v>
      </c>
      <c r="CA563" s="476" t="s">
        <v>1187</v>
      </c>
      <c r="CB563" s="476" t="s">
        <v>1187</v>
      </c>
      <c r="CC563" s="476" t="s">
        <v>1187</v>
      </c>
      <c r="CD563" s="476" t="s">
        <v>1187</v>
      </c>
      <c r="CE563" s="476" t="s">
        <v>1188</v>
      </c>
      <c r="CF563" s="476" t="s">
        <v>1188</v>
      </c>
      <c r="CG563" s="476" t="s">
        <v>1187</v>
      </c>
      <c r="CH563" s="476" t="s">
        <v>1187</v>
      </c>
      <c r="CI563" s="476" t="s">
        <v>1187</v>
      </c>
      <c r="CJ563" s="476" t="s">
        <v>1187</v>
      </c>
      <c r="CK563" s="476" t="s">
        <v>1188</v>
      </c>
      <c r="CL563" s="476" t="s">
        <v>1188</v>
      </c>
      <c r="CM563" s="476" t="str">
        <f>IF(VLOOKUP(BS563,'Données par municipalité'!$B$6:$E$1113,4,FALSE)="","non","oui")</f>
        <v>oui</v>
      </c>
      <c r="CN563" s="410">
        <v>432.33909227660729</v>
      </c>
      <c r="CO563" s="410">
        <v>474.05626251407836</v>
      </c>
      <c r="CP563" s="410"/>
      <c r="CQ563" s="410"/>
      <c r="CR563" s="410"/>
      <c r="CS563" s="410" t="s">
        <v>1124</v>
      </c>
      <c r="CT563" s="410">
        <v>338.57894771404932</v>
      </c>
      <c r="CU563" s="410">
        <v>396</v>
      </c>
      <c r="CV563" s="410">
        <f>IF(VLOOKUP(BS563,'Données par municipalité'!$B$6:$F$1113,4,FALSE)="","",VLOOKUP(BS563,'Données par municipalité'!$B$6:$F$1113,4,FALSE))</f>
        <v>348</v>
      </c>
      <c r="CW563" s="476" t="s">
        <v>4723</v>
      </c>
      <c r="CX563" s="483">
        <v>0</v>
      </c>
      <c r="CY563" s="483" t="s">
        <v>1124</v>
      </c>
      <c r="CZ563" s="483" t="s">
        <v>1124</v>
      </c>
      <c r="DA563" s="483" t="s">
        <v>1124</v>
      </c>
      <c r="DB563" s="483" t="s">
        <v>1124</v>
      </c>
      <c r="DC563" s="483">
        <v>0.9</v>
      </c>
      <c r="DD563" s="483">
        <v>0</v>
      </c>
      <c r="DE563" s="483">
        <f>IFERROR(SUM(VLOOKUP($BS563,'État &amp; Plan d''action'!$B$6:$Z$1113,18,FALSE),VLOOKUP($BS563,'État &amp; Plan d''action'!$B$6:$Z$1113,20,FALSE))/(VLOOKUP($BS563,'Données par municipalité'!$B$4:$L$1113,11,FALSE)),"")</f>
        <v>0</v>
      </c>
      <c r="DF563" s="483">
        <f>IFERROR(SUM(VLOOKUP($BS563,'État &amp; Plan d''action'!$B$6:$Z$1113,19,FALSE),VLOOKUP($BS563,'État &amp; Plan d''action'!$B$6:$Z$1113,21,FALSE))/(VLOOKUP($BS563,'Données par municipalité'!$B$4:$L$1113,11,FALSE)),"")</f>
        <v>0</v>
      </c>
      <c r="DG563" s="476" t="s">
        <v>4723</v>
      </c>
      <c r="DH563" s="484">
        <v>11</v>
      </c>
      <c r="DI563" s="484" t="s">
        <v>1124</v>
      </c>
      <c r="DJ563" s="484">
        <v>0</v>
      </c>
      <c r="DK563" s="484">
        <v>0</v>
      </c>
      <c r="DL563" s="484" t="s">
        <v>1124</v>
      </c>
      <c r="DM563" s="484">
        <v>3</v>
      </c>
      <c r="DN563" s="484">
        <v>0</v>
      </c>
      <c r="DO563" s="484">
        <v>0</v>
      </c>
      <c r="DP563" s="484">
        <v>3</v>
      </c>
      <c r="DQ563" s="484">
        <f>IF(VLOOKUP($BS563,'État &amp; Plan d''action'!$B$6:$AJ$1113,28,FALSE)="","",VLOOKUP($BS563,'État &amp; Plan d''action'!$B$6:$AJ$1113,28,FALSE))</f>
        <v>0</v>
      </c>
      <c r="DR563" s="70">
        <f>IF(VLOOKUP($BS563,'État &amp; Plan d''action'!$B$6:$AJ$1113,29,FALSE)="","",VLOOKUP($BS563,'État &amp; Plan d''action'!$B$6:$AJ$1113,29,FALSE))</f>
        <v>0</v>
      </c>
      <c r="DS563" s="70">
        <f>IF(VLOOKUP($BS563,'État &amp; Plan d''action'!$B$6:$AJ$1113,30,FALSE)="","",VLOOKUP($BS563,'État &amp; Plan d''action'!$B$6:$AJ$1113,30,FALSE))</f>
        <v>1</v>
      </c>
      <c r="DT563" s="70">
        <v>269</v>
      </c>
      <c r="DU563" s="485">
        <v>1.3036919746303335</v>
      </c>
      <c r="DV563" s="485">
        <v>1.1526092474167824</v>
      </c>
      <c r="DW563" s="70">
        <v>0</v>
      </c>
      <c r="DX563" s="70">
        <v>0</v>
      </c>
      <c r="DY563" s="70">
        <v>10</v>
      </c>
      <c r="DZ563" s="70">
        <f>VLOOKUP($BS563,'État &amp; Plan d''action'!$B$6:$AH$1113,31,FALSE)</f>
        <v>0</v>
      </c>
      <c r="EA563" s="70">
        <f>VLOOKUP($BS563,'État &amp; Plan d''action'!$B$6:$AH$1113,32,FALSE)</f>
        <v>0</v>
      </c>
      <c r="EB563" s="70">
        <f>VLOOKUP($BS563,'État &amp; Plan d''action'!$B$6:$AH$1113,33,FALSE)</f>
        <v>7</v>
      </c>
      <c r="EC563" s="70">
        <v>0</v>
      </c>
      <c r="ED563" s="70">
        <v>0</v>
      </c>
      <c r="EE563" s="70">
        <v>0</v>
      </c>
      <c r="EF563" s="70">
        <v>0</v>
      </c>
      <c r="EG563" s="70">
        <v>0</v>
      </c>
      <c r="EH563" s="72">
        <v>45.018018018018019</v>
      </c>
      <c r="EI563" s="72">
        <v>3245</v>
      </c>
    </row>
    <row r="564" spans="71:139" x14ac:dyDescent="0.35">
      <c r="BS564" s="486">
        <v>59015</v>
      </c>
      <c r="BT564" s="479" t="s">
        <v>600</v>
      </c>
      <c r="BU564" s="479">
        <v>16</v>
      </c>
      <c r="BV564" s="476" t="s">
        <v>1187</v>
      </c>
      <c r="BW564" s="476" t="s">
        <v>1187</v>
      </c>
      <c r="BX564" s="476" t="s">
        <v>1187</v>
      </c>
      <c r="BY564" s="476" t="s">
        <v>1187</v>
      </c>
      <c r="BZ564" s="476" t="s">
        <v>1187</v>
      </c>
      <c r="CA564" s="476" t="s">
        <v>1187</v>
      </c>
      <c r="CB564" s="476" t="s">
        <v>1187</v>
      </c>
      <c r="CC564" s="476" t="s">
        <v>1187</v>
      </c>
      <c r="CD564" s="476" t="s">
        <v>1187</v>
      </c>
      <c r="CE564" s="476" t="s">
        <v>1188</v>
      </c>
      <c r="CF564" s="476" t="s">
        <v>1188</v>
      </c>
      <c r="CG564" s="476" t="s">
        <v>1188</v>
      </c>
      <c r="CH564" s="476" t="s">
        <v>1188</v>
      </c>
      <c r="CI564" s="476" t="s">
        <v>1188</v>
      </c>
      <c r="CJ564" s="476" t="s">
        <v>1188</v>
      </c>
      <c r="CK564" s="476" t="s">
        <v>1188</v>
      </c>
      <c r="CL564" s="476" t="s">
        <v>1188</v>
      </c>
      <c r="CM564" s="476" t="str">
        <f>IF(VLOOKUP(BS564,'Données par municipalité'!$B$6:$E$1113,4,FALSE)="","non","oui")</f>
        <v>non</v>
      </c>
      <c r="CN564" s="410">
        <v>295.3546840856223</v>
      </c>
      <c r="CO564" s="410">
        <v>268.18494159222541</v>
      </c>
      <c r="CP564" s="410">
        <v>261.23485397725102</v>
      </c>
      <c r="CQ564" s="410">
        <v>262.42347118161177</v>
      </c>
      <c r="CR564" s="410">
        <v>261.18456481792634</v>
      </c>
      <c r="CS564" s="410">
        <v>263.98558521007357</v>
      </c>
      <c r="CT564" s="410">
        <v>241.50328221566912</v>
      </c>
      <c r="CU564" s="410">
        <v>262</v>
      </c>
      <c r="CV564" s="410" t="str">
        <f>IF(VLOOKUP(BS564,'Données par municipalité'!$B$6:$F$1113,4,FALSE)="","",VLOOKUP(BS564,'Données par municipalité'!$B$6:$F$1113,4,FALSE))</f>
        <v/>
      </c>
      <c r="CW564" s="476" t="s">
        <v>4723</v>
      </c>
      <c r="CX564" s="483">
        <v>0</v>
      </c>
      <c r="CY564" s="483">
        <v>1</v>
      </c>
      <c r="CZ564" s="483">
        <v>1</v>
      </c>
      <c r="DA564" s="483">
        <v>1</v>
      </c>
      <c r="DB564" s="483">
        <v>1</v>
      </c>
      <c r="DC564" s="483">
        <v>1</v>
      </c>
      <c r="DD564" s="483">
        <v>0.98594432314410474</v>
      </c>
      <c r="DE564" s="483" t="str">
        <f>IFERROR(SUM(VLOOKUP($BS564,'État &amp; Plan d''action'!$B$6:$Z$1113,18,FALSE),VLOOKUP($BS564,'État &amp; Plan d''action'!$B$6:$Z$1113,20,FALSE))/(VLOOKUP($BS564,'Données par municipalité'!$B$4:$L$1113,11,FALSE)),"")</f>
        <v/>
      </c>
      <c r="DF564" s="483" t="str">
        <f>IFERROR(SUM(VLOOKUP($BS564,'État &amp; Plan d''action'!$B$6:$Z$1113,19,FALSE),VLOOKUP($BS564,'État &amp; Plan d''action'!$B$6:$Z$1113,21,FALSE))/(VLOOKUP($BS564,'Données par municipalité'!$B$4:$L$1113,11,FALSE)),"")</f>
        <v/>
      </c>
      <c r="DG564" s="476" t="s">
        <v>4723</v>
      </c>
      <c r="DH564" s="484">
        <v>2</v>
      </c>
      <c r="DI564" s="484">
        <v>2</v>
      </c>
      <c r="DJ564" s="484">
        <v>0</v>
      </c>
      <c r="DK564" s="484">
        <v>0</v>
      </c>
      <c r="DL564" s="484">
        <v>3</v>
      </c>
      <c r="DM564" s="484">
        <v>3</v>
      </c>
      <c r="DN564" s="484">
        <v>0</v>
      </c>
      <c r="DO564" s="484">
        <v>1</v>
      </c>
      <c r="DP564" s="484">
        <v>2</v>
      </c>
      <c r="DQ564" s="484" t="str">
        <f>IF(VLOOKUP($BS564,'État &amp; Plan d''action'!$B$6:$AJ$1113,28,FALSE)="","",VLOOKUP($BS564,'État &amp; Plan d''action'!$B$6:$AJ$1113,28,FALSE))</f>
        <v/>
      </c>
      <c r="DR564" s="70" t="str">
        <f>IF(VLOOKUP($BS564,'État &amp; Plan d''action'!$B$6:$AJ$1113,29,FALSE)="","",VLOOKUP($BS564,'État &amp; Plan d''action'!$B$6:$AJ$1113,29,FALSE))</f>
        <v/>
      </c>
      <c r="DS564" s="70" t="str">
        <f>IF(VLOOKUP($BS564,'État &amp; Plan d''action'!$B$6:$AJ$1113,30,FALSE)="","",VLOOKUP($BS564,'État &amp; Plan d''action'!$B$6:$AJ$1113,30,FALSE))</f>
        <v/>
      </c>
      <c r="DT564" s="70">
        <v>223</v>
      </c>
      <c r="DU564" s="485">
        <v>1.352945238642203</v>
      </c>
      <c r="DV564" s="485" t="s">
        <v>1124</v>
      </c>
      <c r="DW564" s="70">
        <v>0</v>
      </c>
      <c r="DX564" s="70">
        <v>1</v>
      </c>
      <c r="DY564" s="70">
        <v>2</v>
      </c>
      <c r="DZ564" s="70" t="str">
        <f>VLOOKUP($BS564,'État &amp; Plan d''action'!$B$6:$AH$1113,31,FALSE)</f>
        <v/>
      </c>
      <c r="EA564" s="70" t="str">
        <f>VLOOKUP($BS564,'État &amp; Plan d''action'!$B$6:$AH$1113,32,FALSE)</f>
        <v/>
      </c>
      <c r="EB564" s="70" t="str">
        <f>VLOOKUP($BS564,'État &amp; Plan d''action'!$B$6:$AH$1113,33,FALSE)</f>
        <v/>
      </c>
      <c r="EC564" s="70">
        <v>0</v>
      </c>
      <c r="ED564" s="70">
        <v>86.7</v>
      </c>
      <c r="EE564" s="70">
        <v>0</v>
      </c>
      <c r="EF564" s="70">
        <v>0</v>
      </c>
      <c r="EG564" s="70">
        <v>0</v>
      </c>
      <c r="EH564" s="72">
        <v>63</v>
      </c>
      <c r="EI564" s="72">
        <v>12786</v>
      </c>
    </row>
    <row r="565" spans="71:139" x14ac:dyDescent="0.35">
      <c r="BS565" s="486">
        <v>94255</v>
      </c>
      <c r="BT565" s="479" t="s">
        <v>983</v>
      </c>
      <c r="BU565" s="479">
        <v>2</v>
      </c>
      <c r="BV565" s="476" t="s">
        <v>1187</v>
      </c>
      <c r="BW565" s="476" t="s">
        <v>1187</v>
      </c>
      <c r="BX565" s="476" t="s">
        <v>1187</v>
      </c>
      <c r="BY565" s="476" t="s">
        <v>1187</v>
      </c>
      <c r="BZ565" s="476" t="s">
        <v>1187</v>
      </c>
      <c r="CA565" s="476" t="s">
        <v>1187</v>
      </c>
      <c r="CB565" s="476" t="s">
        <v>1187</v>
      </c>
      <c r="CC565" s="476" t="s">
        <v>1187</v>
      </c>
      <c r="CD565" s="476" t="s">
        <v>1187</v>
      </c>
      <c r="CE565" s="476" t="s">
        <v>1188</v>
      </c>
      <c r="CF565" s="476" t="s">
        <v>1188</v>
      </c>
      <c r="CG565" s="476" t="s">
        <v>1188</v>
      </c>
      <c r="CH565" s="476" t="s">
        <v>1188</v>
      </c>
      <c r="CI565" s="476" t="s">
        <v>1188</v>
      </c>
      <c r="CJ565" s="476" t="s">
        <v>1188</v>
      </c>
      <c r="CK565" s="476" t="s">
        <v>1188</v>
      </c>
      <c r="CL565" s="476" t="s">
        <v>1187</v>
      </c>
      <c r="CM565" s="476" t="str">
        <f>IF(VLOOKUP(BS565,'Données par municipalité'!$B$6:$E$1113,4,FALSE)="","non","oui")</f>
        <v>non</v>
      </c>
      <c r="CN565" s="410">
        <v>457.35155753079198</v>
      </c>
      <c r="CO565" s="410">
        <v>449.02334610210863</v>
      </c>
      <c r="CP565" s="410">
        <v>354</v>
      </c>
      <c r="CQ565" s="410">
        <v>372.95492487479135</v>
      </c>
      <c r="CR565" s="410">
        <v>364</v>
      </c>
      <c r="CS565" s="410">
        <v>355.05403687221872</v>
      </c>
      <c r="CT565" s="410">
        <v>421</v>
      </c>
      <c r="CU565" s="410" t="s">
        <v>1124</v>
      </c>
      <c r="CV565" s="410" t="str">
        <f>IF(VLOOKUP(BS565,'Données par municipalité'!$B$6:$F$1113,4,FALSE)="","",VLOOKUP(BS565,'Données par municipalité'!$B$6:$F$1113,4,FALSE))</f>
        <v/>
      </c>
      <c r="CW565" s="476" t="s">
        <v>4723</v>
      </c>
      <c r="CX565" s="483">
        <v>0</v>
      </c>
      <c r="CY565" s="483">
        <v>0.01</v>
      </c>
      <c r="CZ565" s="483">
        <v>0</v>
      </c>
      <c r="DA565" s="483">
        <v>0.05</v>
      </c>
      <c r="DB565" s="483">
        <v>0</v>
      </c>
      <c r="DC565" s="483">
        <v>0.05</v>
      </c>
      <c r="DD565" s="483" t="s">
        <v>1124</v>
      </c>
      <c r="DE565" s="483" t="str">
        <f>IFERROR(SUM(VLOOKUP($BS565,'État &amp; Plan d''action'!$B$6:$Z$1113,18,FALSE),VLOOKUP($BS565,'État &amp; Plan d''action'!$B$6:$Z$1113,20,FALSE))/(VLOOKUP($BS565,'Données par municipalité'!$B$4:$L$1113,11,FALSE)),"")</f>
        <v/>
      </c>
      <c r="DF565" s="483" t="str">
        <f>IFERROR(SUM(VLOOKUP($BS565,'État &amp; Plan d''action'!$B$6:$Z$1113,19,FALSE),VLOOKUP($BS565,'État &amp; Plan d''action'!$B$6:$Z$1113,21,FALSE))/(VLOOKUP($BS565,'Données par municipalité'!$B$4:$L$1113,11,FALSE)),"")</f>
        <v/>
      </c>
      <c r="DG565" s="476" t="s">
        <v>4723</v>
      </c>
      <c r="DH565" s="484">
        <v>0</v>
      </c>
      <c r="DI565" s="484">
        <v>2</v>
      </c>
      <c r="DJ565" s="484">
        <v>0</v>
      </c>
      <c r="DK565" s="484">
        <v>3</v>
      </c>
      <c r="DL565" s="484">
        <v>2</v>
      </c>
      <c r="DM565" s="484">
        <v>3</v>
      </c>
      <c r="DN565" s="484" t="s">
        <v>1124</v>
      </c>
      <c r="DO565" s="484" t="s">
        <v>1124</v>
      </c>
      <c r="DP565" s="484" t="s">
        <v>1124</v>
      </c>
      <c r="DQ565" s="484" t="str">
        <f>IF(VLOOKUP($BS565,'État &amp; Plan d''action'!$B$6:$AJ$1113,28,FALSE)="","",VLOOKUP($BS565,'État &amp; Plan d''action'!$B$6:$AJ$1113,28,FALSE))</f>
        <v/>
      </c>
      <c r="DR565" s="70" t="str">
        <f>IF(VLOOKUP($BS565,'État &amp; Plan d''action'!$B$6:$AJ$1113,29,FALSE)="","",VLOOKUP($BS565,'État &amp; Plan d''action'!$B$6:$AJ$1113,29,FALSE))</f>
        <v/>
      </c>
      <c r="DS565" s="70" t="str">
        <f>IF(VLOOKUP($BS565,'État &amp; Plan d''action'!$B$6:$AJ$1113,30,FALSE)="","",VLOOKUP($BS565,'État &amp; Plan d''action'!$B$6:$AJ$1113,30,FALSE))</f>
        <v/>
      </c>
      <c r="DT565" s="70" t="s">
        <v>1124</v>
      </c>
      <c r="DU565" s="485" t="s">
        <v>1124</v>
      </c>
      <c r="DV565" s="485" t="s">
        <v>1124</v>
      </c>
      <c r="DW565" s="70" t="s">
        <v>1124</v>
      </c>
      <c r="DX565" s="70" t="s">
        <v>1124</v>
      </c>
      <c r="DY565" s="70" t="s">
        <v>1124</v>
      </c>
      <c r="DZ565" s="70" t="str">
        <f>VLOOKUP($BS565,'État &amp; Plan d''action'!$B$6:$AH$1113,31,FALSE)</f>
        <v/>
      </c>
      <c r="EA565" s="70" t="str">
        <f>VLOOKUP($BS565,'État &amp; Plan d''action'!$B$6:$AH$1113,32,FALSE)</f>
        <v/>
      </c>
      <c r="EB565" s="70" t="str">
        <f>VLOOKUP($BS565,'État &amp; Plan d''action'!$B$6:$AH$1113,33,FALSE)</f>
        <v/>
      </c>
      <c r="EC565" s="70" t="s">
        <v>1124</v>
      </c>
      <c r="ED565" s="70" t="s">
        <v>1124</v>
      </c>
      <c r="EE565" s="70" t="s">
        <v>1124</v>
      </c>
      <c r="EF565" s="70" t="s">
        <v>1124</v>
      </c>
      <c r="EG565" s="70" t="s">
        <v>1124</v>
      </c>
      <c r="EH565" s="72"/>
      <c r="EI565" s="72">
        <v>3864</v>
      </c>
    </row>
    <row r="566" spans="71:139" x14ac:dyDescent="0.35">
      <c r="BS566" s="486">
        <v>61040</v>
      </c>
      <c r="BT566" s="479" t="s">
        <v>616</v>
      </c>
      <c r="BU566" s="479">
        <v>14</v>
      </c>
      <c r="BV566" s="476" t="s">
        <v>1187</v>
      </c>
      <c r="BW566" s="476" t="s">
        <v>1187</v>
      </c>
      <c r="BX566" s="476" t="s">
        <v>1187</v>
      </c>
      <c r="BY566" s="476" t="s">
        <v>1187</v>
      </c>
      <c r="BZ566" s="476" t="s">
        <v>1187</v>
      </c>
      <c r="CA566" s="476" t="s">
        <v>1187</v>
      </c>
      <c r="CB566" s="476" t="s">
        <v>1187</v>
      </c>
      <c r="CC566" s="476" t="s">
        <v>1187</v>
      </c>
      <c r="CD566" s="476" t="s">
        <v>1187</v>
      </c>
      <c r="CE566" s="476" t="s">
        <v>1188</v>
      </c>
      <c r="CF566" s="476" t="s">
        <v>1188</v>
      </c>
      <c r="CG566" s="476" t="s">
        <v>1188</v>
      </c>
      <c r="CH566" s="476" t="s">
        <v>1188</v>
      </c>
      <c r="CI566" s="476" t="s">
        <v>1188</v>
      </c>
      <c r="CJ566" s="476" t="s">
        <v>1188</v>
      </c>
      <c r="CK566" s="476" t="s">
        <v>1188</v>
      </c>
      <c r="CL566" s="476" t="s">
        <v>1188</v>
      </c>
      <c r="CM566" s="476" t="str">
        <f>IF(VLOOKUP(BS566,'Données par municipalité'!$B$6:$E$1113,4,FALSE)="","non","oui")</f>
        <v>oui</v>
      </c>
      <c r="CN566" s="410">
        <v>286.21777465905973</v>
      </c>
      <c r="CO566" s="410">
        <v>303.62077270805571</v>
      </c>
      <c r="CP566" s="410">
        <v>262.99748417158838</v>
      </c>
      <c r="CQ566" s="410">
        <v>269.68357825318645</v>
      </c>
      <c r="CR566" s="410">
        <v>248.50790978911243</v>
      </c>
      <c r="CS566" s="410">
        <v>278.30326933342553</v>
      </c>
      <c r="CT566" s="410">
        <v>251.58469007993864</v>
      </c>
      <c r="CU566" s="410">
        <v>233</v>
      </c>
      <c r="CV566" s="410">
        <f>IF(VLOOKUP(BS566,'Données par municipalité'!$B$6:$F$1113,4,FALSE)="","",VLOOKUP(BS566,'Données par municipalité'!$B$6:$F$1113,4,FALSE))</f>
        <v>294</v>
      </c>
      <c r="CW566" s="476" t="s">
        <v>4723</v>
      </c>
      <c r="CX566" s="483">
        <v>0</v>
      </c>
      <c r="CY566" s="483">
        <v>0</v>
      </c>
      <c r="CZ566" s="483">
        <v>0</v>
      </c>
      <c r="DA566" s="483">
        <v>0</v>
      </c>
      <c r="DB566" s="483">
        <v>0</v>
      </c>
      <c r="DC566" s="483">
        <v>0</v>
      </c>
      <c r="DD566" s="483">
        <v>0.51336026649656252</v>
      </c>
      <c r="DE566" s="483">
        <f>IFERROR(SUM(VLOOKUP($BS566,'État &amp; Plan d''action'!$B$6:$Z$1113,18,FALSE),VLOOKUP($BS566,'État &amp; Plan d''action'!$B$6:$Z$1113,20,FALSE))/(VLOOKUP($BS566,'Données par municipalité'!$B$4:$L$1113,11,FALSE)),"")</f>
        <v>1</v>
      </c>
      <c r="DF566" s="483">
        <f>IFERROR(SUM(VLOOKUP($BS566,'État &amp; Plan d''action'!$B$6:$Z$1113,19,FALSE),VLOOKUP($BS566,'État &amp; Plan d''action'!$B$6:$Z$1113,21,FALSE))/(VLOOKUP($BS566,'Données par municipalité'!$B$4:$L$1113,11,FALSE)),"")</f>
        <v>1</v>
      </c>
      <c r="DG566" s="476" t="s">
        <v>4723</v>
      </c>
      <c r="DH566" s="484">
        <v>1</v>
      </c>
      <c r="DI566" s="484">
        <v>0</v>
      </c>
      <c r="DJ566" s="484">
        <v>0</v>
      </c>
      <c r="DK566" s="484">
        <v>2</v>
      </c>
      <c r="DL566" s="484">
        <v>3</v>
      </c>
      <c r="DM566" s="484">
        <v>0</v>
      </c>
      <c r="DN566" s="484">
        <v>0</v>
      </c>
      <c r="DO566" s="484">
        <v>2</v>
      </c>
      <c r="DP566" s="484">
        <v>2</v>
      </c>
      <c r="DQ566" s="484">
        <f>IF(VLOOKUP($BS566,'État &amp; Plan d''action'!$B$6:$AJ$1113,28,FALSE)="","",VLOOKUP($BS566,'État &amp; Plan d''action'!$B$6:$AJ$1113,28,FALSE))</f>
        <v>0</v>
      </c>
      <c r="DR566" s="70">
        <f>IF(VLOOKUP($BS566,'État &amp; Plan d''action'!$B$6:$AJ$1113,29,FALSE)="","",VLOOKUP($BS566,'État &amp; Plan d''action'!$B$6:$AJ$1113,29,FALSE))</f>
        <v>1</v>
      </c>
      <c r="DS566" s="70">
        <f>IF(VLOOKUP($BS566,'État &amp; Plan d''action'!$B$6:$AJ$1113,30,FALSE)="","",VLOOKUP($BS566,'État &amp; Plan d''action'!$B$6:$AJ$1113,30,FALSE))</f>
        <v>1</v>
      </c>
      <c r="DT566" s="70">
        <v>177</v>
      </c>
      <c r="DU566" s="485">
        <v>1.0502005463271222</v>
      </c>
      <c r="DV566" s="485">
        <v>0.74492239392455972</v>
      </c>
      <c r="DW566" s="70">
        <v>0</v>
      </c>
      <c r="DX566" s="70">
        <v>1</v>
      </c>
      <c r="DY566" s="70">
        <v>1</v>
      </c>
      <c r="DZ566" s="70">
        <f>VLOOKUP($BS566,'État &amp; Plan d''action'!$B$6:$AH$1113,31,FALSE)</f>
        <v>0</v>
      </c>
      <c r="EA566" s="70">
        <f>VLOOKUP($BS566,'État &amp; Plan d''action'!$B$6:$AH$1113,32,FALSE)</f>
        <v>60</v>
      </c>
      <c r="EB566" s="70">
        <f>VLOOKUP($BS566,'État &amp; Plan d''action'!$B$6:$AH$1113,33,FALSE)</f>
        <v>7</v>
      </c>
      <c r="EC566" s="70">
        <v>13.731999999999999</v>
      </c>
      <c r="ED566" s="70">
        <v>0</v>
      </c>
      <c r="EE566" s="70">
        <v>14.486000000000001</v>
      </c>
      <c r="EF566" s="70">
        <v>0</v>
      </c>
      <c r="EG566" s="70">
        <v>0</v>
      </c>
      <c r="EH566" s="72">
        <v>40.5</v>
      </c>
      <c r="EI566" s="72">
        <v>3979</v>
      </c>
    </row>
    <row r="567" spans="71:139" x14ac:dyDescent="0.35">
      <c r="BS567" s="486">
        <v>10030</v>
      </c>
      <c r="BT567" s="479" t="s">
        <v>12</v>
      </c>
      <c r="BU567" s="479">
        <v>1</v>
      </c>
      <c r="BV567" s="476" t="s">
        <v>1187</v>
      </c>
      <c r="BW567" s="476" t="s">
        <v>1187</v>
      </c>
      <c r="BX567" s="476" t="s">
        <v>1187</v>
      </c>
      <c r="BY567" s="476" t="s">
        <v>1187</v>
      </c>
      <c r="BZ567" s="476" t="s">
        <v>1187</v>
      </c>
      <c r="CA567" s="476" t="s">
        <v>1187</v>
      </c>
      <c r="CB567" s="476" t="s">
        <v>1187</v>
      </c>
      <c r="CC567" s="476" t="s">
        <v>1187</v>
      </c>
      <c r="CD567" s="476" t="s">
        <v>1187</v>
      </c>
      <c r="CE567" s="476" t="s">
        <v>1187</v>
      </c>
      <c r="CF567" s="476" t="s">
        <v>1187</v>
      </c>
      <c r="CG567" s="476" t="s">
        <v>1188</v>
      </c>
      <c r="CH567" s="476" t="s">
        <v>1188</v>
      </c>
      <c r="CI567" s="476" t="s">
        <v>1188</v>
      </c>
      <c r="CJ567" s="476" t="s">
        <v>1188</v>
      </c>
      <c r="CK567" s="476" t="s">
        <v>1188</v>
      </c>
      <c r="CL567" s="476" t="s">
        <v>1188</v>
      </c>
      <c r="CM567" s="476" t="str">
        <f>IF(VLOOKUP(BS567,'Données par municipalité'!$B$6:$E$1113,4,FALSE)="","non","oui")</f>
        <v>oui</v>
      </c>
      <c r="CN567" s="410"/>
      <c r="CO567" s="410"/>
      <c r="CP567" s="410">
        <v>314.45963979436749</v>
      </c>
      <c r="CQ567" s="410">
        <v>285.49927816571744</v>
      </c>
      <c r="CR567" s="410">
        <v>248.36574800623748</v>
      </c>
      <c r="CS567" s="410">
        <v>249.35453069917762</v>
      </c>
      <c r="CT567" s="410">
        <v>250.54714501559289</v>
      </c>
      <c r="CU567" s="410">
        <v>293</v>
      </c>
      <c r="CV567" s="410">
        <f>IF(VLOOKUP(BS567,'Données par municipalité'!$B$6:$F$1113,4,FALSE)="","",VLOOKUP(BS567,'Données par municipalité'!$B$6:$F$1113,4,FALSE))</f>
        <v>266</v>
      </c>
      <c r="CW567" s="476" t="s">
        <v>4723</v>
      </c>
      <c r="CX567" s="483" t="s">
        <v>1124</v>
      </c>
      <c r="CY567" s="483">
        <v>0</v>
      </c>
      <c r="CZ567" s="483">
        <v>0</v>
      </c>
      <c r="DA567" s="483">
        <v>0</v>
      </c>
      <c r="DB567" s="483">
        <v>0</v>
      </c>
      <c r="DC567" s="483">
        <v>0</v>
      </c>
      <c r="DD567" s="483">
        <v>0</v>
      </c>
      <c r="DE567" s="483">
        <f>IFERROR(SUM(VLOOKUP($BS567,'État &amp; Plan d''action'!$B$6:$Z$1113,18,FALSE),VLOOKUP($BS567,'État &amp; Plan d''action'!$B$6:$Z$1113,20,FALSE))/(VLOOKUP($BS567,'Données par municipalité'!$B$4:$L$1113,11,FALSE)),"")</f>
        <v>0</v>
      </c>
      <c r="DF567" s="483">
        <f>IFERROR(SUM(VLOOKUP($BS567,'État &amp; Plan d''action'!$B$6:$Z$1113,19,FALSE),VLOOKUP($BS567,'État &amp; Plan d''action'!$B$6:$Z$1113,21,FALSE))/(VLOOKUP($BS567,'Données par municipalité'!$B$4:$L$1113,11,FALSE)),"")</f>
        <v>0</v>
      </c>
      <c r="DG567" s="476" t="s">
        <v>4723</v>
      </c>
      <c r="DH567" s="484">
        <v>0</v>
      </c>
      <c r="DI567" s="484">
        <v>0</v>
      </c>
      <c r="DJ567" s="484">
        <v>0</v>
      </c>
      <c r="DK567" s="484">
        <v>0</v>
      </c>
      <c r="DL567" s="484">
        <v>0</v>
      </c>
      <c r="DM567" s="484">
        <v>0</v>
      </c>
      <c r="DN567" s="484">
        <v>1</v>
      </c>
      <c r="DO567" s="484">
        <v>2</v>
      </c>
      <c r="DP567" s="484">
        <v>0</v>
      </c>
      <c r="DQ567" s="484">
        <f>IF(VLOOKUP($BS567,'État &amp; Plan d''action'!$B$6:$AJ$1113,28,FALSE)="","",VLOOKUP($BS567,'État &amp; Plan d''action'!$B$6:$AJ$1113,28,FALSE))</f>
        <v>1</v>
      </c>
      <c r="DR567" s="70">
        <f>IF(VLOOKUP($BS567,'État &amp; Plan d''action'!$B$6:$AJ$1113,29,FALSE)="","",VLOOKUP($BS567,'État &amp; Plan d''action'!$B$6:$AJ$1113,29,FALSE))</f>
        <v>0</v>
      </c>
      <c r="DS567" s="70">
        <f>IF(VLOOKUP($BS567,'État &amp; Plan d''action'!$B$6:$AJ$1113,30,FALSE)="","",VLOOKUP($BS567,'État &amp; Plan d''action'!$B$6:$AJ$1113,30,FALSE))</f>
        <v>0</v>
      </c>
      <c r="DT567" s="70">
        <v>260</v>
      </c>
      <c r="DU567" s="485">
        <v>0.96151864430233014</v>
      </c>
      <c r="DV567" s="485">
        <v>1.4157094111353838</v>
      </c>
      <c r="DW567" s="70">
        <v>2</v>
      </c>
      <c r="DX567" s="70">
        <v>2</v>
      </c>
      <c r="DY567" s="70">
        <v>0</v>
      </c>
      <c r="DZ567" s="70">
        <f>VLOOKUP($BS567,'État &amp; Plan d''action'!$B$6:$AH$1113,31,FALSE)</f>
        <v>1</v>
      </c>
      <c r="EA567" s="70">
        <f>VLOOKUP($BS567,'État &amp; Plan d''action'!$B$6:$AH$1113,32,FALSE)</f>
        <v>0</v>
      </c>
      <c r="EB567" s="70">
        <f>VLOOKUP($BS567,'État &amp; Plan d''action'!$B$6:$AH$1113,33,FALSE)</f>
        <v>0</v>
      </c>
      <c r="EC567" s="70">
        <v>18.257000000000001</v>
      </c>
      <c r="ED567" s="70">
        <v>0</v>
      </c>
      <c r="EE567" s="70">
        <v>0</v>
      </c>
      <c r="EF567" s="70">
        <v>0</v>
      </c>
      <c r="EG567" s="70">
        <v>0</v>
      </c>
      <c r="EH567" s="72">
        <v>61.891891891891902</v>
      </c>
      <c r="EI567" s="72">
        <v>3085</v>
      </c>
    </row>
    <row r="568" spans="71:139" x14ac:dyDescent="0.35">
      <c r="BS568" s="486">
        <v>14040</v>
      </c>
      <c r="BT568" s="479" t="s">
        <v>66</v>
      </c>
      <c r="BU568" s="479">
        <v>1</v>
      </c>
      <c r="BV568" s="476" t="s">
        <v>1187</v>
      </c>
      <c r="BW568" s="476" t="s">
        <v>1187</v>
      </c>
      <c r="BX568" s="476" t="s">
        <v>1187</v>
      </c>
      <c r="BY568" s="476" t="s">
        <v>1187</v>
      </c>
      <c r="BZ568" s="476" t="s">
        <v>1187</v>
      </c>
      <c r="CA568" s="476" t="s">
        <v>1187</v>
      </c>
      <c r="CB568" s="476" t="s">
        <v>1187</v>
      </c>
      <c r="CC568" s="476" t="s">
        <v>1187</v>
      </c>
      <c r="CD568" s="476" t="s">
        <v>1187</v>
      </c>
      <c r="CE568" s="476" t="s">
        <v>1188</v>
      </c>
      <c r="CF568" s="476" t="s">
        <v>1188</v>
      </c>
      <c r="CG568" s="476" t="s">
        <v>1188</v>
      </c>
      <c r="CH568" s="476" t="s">
        <v>1188</v>
      </c>
      <c r="CI568" s="476" t="s">
        <v>1188</v>
      </c>
      <c r="CJ568" s="476" t="s">
        <v>1188</v>
      </c>
      <c r="CK568" s="476" t="s">
        <v>1188</v>
      </c>
      <c r="CL568" s="476" t="s">
        <v>1188</v>
      </c>
      <c r="CM568" s="476" t="str">
        <f>IF(VLOOKUP(BS568,'Données par municipalité'!$B$6:$E$1113,4,FALSE)="","non","oui")</f>
        <v>oui</v>
      </c>
      <c r="CN568" s="410">
        <v>335.46372075537175</v>
      </c>
      <c r="CO568" s="410">
        <v>350.20024367000809</v>
      </c>
      <c r="CP568" s="410">
        <v>315.04378579478185</v>
      </c>
      <c r="CQ568" s="410">
        <v>332.06555903860601</v>
      </c>
      <c r="CR568" s="410">
        <v>302.41038449858405</v>
      </c>
      <c r="CS568" s="410">
        <v>332.63667157935532</v>
      </c>
      <c r="CT568" s="410">
        <v>337.80495433027141</v>
      </c>
      <c r="CU568" s="410">
        <v>295</v>
      </c>
      <c r="CV568" s="410">
        <f>IF(VLOOKUP(BS568,'Données par municipalité'!$B$6:$F$1113,4,FALSE)="","",VLOOKUP(BS568,'Données par municipalité'!$B$6:$F$1113,4,FALSE))</f>
        <v>309</v>
      </c>
      <c r="CW568" s="476" t="s">
        <v>4723</v>
      </c>
      <c r="CX568" s="483">
        <v>0</v>
      </c>
      <c r="CY568" s="483">
        <v>1</v>
      </c>
      <c r="CZ568" s="483">
        <v>1</v>
      </c>
      <c r="DA568" s="483">
        <v>1</v>
      </c>
      <c r="DB568" s="483">
        <v>1</v>
      </c>
      <c r="DC568" s="483">
        <v>1</v>
      </c>
      <c r="DD568" s="483">
        <v>0</v>
      </c>
      <c r="DE568" s="483">
        <f>IFERROR(SUM(VLOOKUP($BS568,'État &amp; Plan d''action'!$B$6:$Z$1113,18,FALSE),VLOOKUP($BS568,'État &amp; Plan d''action'!$B$6:$Z$1113,20,FALSE))/(VLOOKUP($BS568,'Données par municipalité'!$B$4:$L$1113,11,FALSE)),"")</f>
        <v>0</v>
      </c>
      <c r="DF568" s="483">
        <f>IFERROR(SUM(VLOOKUP($BS568,'État &amp; Plan d''action'!$B$6:$Z$1113,19,FALSE),VLOOKUP($BS568,'État &amp; Plan d''action'!$B$6:$Z$1113,21,FALSE))/(VLOOKUP($BS568,'Données par municipalité'!$B$4:$L$1113,11,FALSE)),"")</f>
        <v>0</v>
      </c>
      <c r="DG568" s="476" t="s">
        <v>4723</v>
      </c>
      <c r="DH568" s="484">
        <v>0</v>
      </c>
      <c r="DI568" s="484">
        <v>1</v>
      </c>
      <c r="DJ568" s="484">
        <v>0</v>
      </c>
      <c r="DK568" s="484">
        <v>2</v>
      </c>
      <c r="DL568" s="484">
        <v>1</v>
      </c>
      <c r="DM568" s="484">
        <v>1</v>
      </c>
      <c r="DN568" s="484">
        <v>0</v>
      </c>
      <c r="DO568" s="484">
        <v>0</v>
      </c>
      <c r="DP568" s="484">
        <v>1</v>
      </c>
      <c r="DQ568" s="484">
        <f>IF(VLOOKUP($BS568,'État &amp; Plan d''action'!$B$6:$AJ$1113,28,FALSE)="","",VLOOKUP($BS568,'État &amp; Plan d''action'!$B$6:$AJ$1113,28,FALSE))</f>
        <v>0</v>
      </c>
      <c r="DR568" s="70">
        <f>IF(VLOOKUP($BS568,'État &amp; Plan d''action'!$B$6:$AJ$1113,29,FALSE)="","",VLOOKUP($BS568,'État &amp; Plan d''action'!$B$6:$AJ$1113,29,FALSE))</f>
        <v>0</v>
      </c>
      <c r="DS568" s="70">
        <f>IF(VLOOKUP($BS568,'État &amp; Plan d''action'!$B$6:$AJ$1113,30,FALSE)="","",VLOOKUP($BS568,'État &amp; Plan d''action'!$B$6:$AJ$1113,30,FALSE))</f>
        <v>1</v>
      </c>
      <c r="DT568" s="70">
        <v>161</v>
      </c>
      <c r="DU568" s="485">
        <v>1.5377019740673021</v>
      </c>
      <c r="DV568" s="485">
        <v>1.8117229481805974</v>
      </c>
      <c r="DW568" s="70">
        <v>0</v>
      </c>
      <c r="DX568" s="70">
        <v>0</v>
      </c>
      <c r="DY568" s="70">
        <v>1</v>
      </c>
      <c r="DZ568" s="70">
        <f>VLOOKUP($BS568,'État &amp; Plan d''action'!$B$6:$AH$1113,31,FALSE)</f>
        <v>0</v>
      </c>
      <c r="EA568" s="70">
        <f>VLOOKUP($BS568,'État &amp; Plan d''action'!$B$6:$AH$1113,32,FALSE)</f>
        <v>0</v>
      </c>
      <c r="EB568" s="70">
        <f>VLOOKUP($BS568,'État &amp; Plan d''action'!$B$6:$AH$1113,33,FALSE)</f>
        <v>1</v>
      </c>
      <c r="EC568" s="70">
        <v>0</v>
      </c>
      <c r="ED568" s="70">
        <v>0</v>
      </c>
      <c r="EE568" s="70">
        <v>0</v>
      </c>
      <c r="EF568" s="70">
        <v>0</v>
      </c>
      <c r="EG568" s="70">
        <v>0</v>
      </c>
      <c r="EH568" s="72">
        <v>60.17647058823529</v>
      </c>
      <c r="EI568" s="72">
        <v>682</v>
      </c>
    </row>
    <row r="569" spans="71:139" x14ac:dyDescent="0.35">
      <c r="BS569" s="486">
        <v>80027</v>
      </c>
      <c r="BT569" s="479" t="s">
        <v>807</v>
      </c>
      <c r="BU569" s="479">
        <v>7</v>
      </c>
      <c r="BV569" s="476" t="s">
        <v>1187</v>
      </c>
      <c r="BW569" s="476" t="s">
        <v>1187</v>
      </c>
      <c r="BX569" s="476" t="s">
        <v>1187</v>
      </c>
      <c r="BY569" s="476" t="s">
        <v>1187</v>
      </c>
      <c r="BZ569" s="476" t="s">
        <v>1187</v>
      </c>
      <c r="CA569" s="476" t="s">
        <v>1187</v>
      </c>
      <c r="CB569" s="476" t="s">
        <v>1187</v>
      </c>
      <c r="CC569" s="476" t="s">
        <v>1187</v>
      </c>
      <c r="CD569" s="476" t="s">
        <v>1187</v>
      </c>
      <c r="CE569" s="476" t="s">
        <v>1188</v>
      </c>
      <c r="CF569" s="476" t="s">
        <v>1188</v>
      </c>
      <c r="CG569" s="476" t="s">
        <v>1187</v>
      </c>
      <c r="CH569" s="476" t="s">
        <v>1188</v>
      </c>
      <c r="CI569" s="476" t="s">
        <v>1188</v>
      </c>
      <c r="CJ569" s="476" t="s">
        <v>1187</v>
      </c>
      <c r="CK569" s="476" t="s">
        <v>1187</v>
      </c>
      <c r="CL569" s="476" t="s">
        <v>1187</v>
      </c>
      <c r="CM569" s="476" t="str">
        <f>IF(VLOOKUP(BS569,'Données par municipalité'!$B$6:$E$1113,4,FALSE)="","non","oui")</f>
        <v>non</v>
      </c>
      <c r="CN569" s="410">
        <v>309.52075418085496</v>
      </c>
      <c r="CO569" s="410">
        <v>416.6568690079153</v>
      </c>
      <c r="CP569" s="410"/>
      <c r="CQ569" s="410">
        <v>334.43395017162061</v>
      </c>
      <c r="CR569" s="410">
        <v>352.25351761182344</v>
      </c>
      <c r="CS569" s="410" t="s">
        <v>1124</v>
      </c>
      <c r="CT569" s="410"/>
      <c r="CU569" s="410" t="s">
        <v>1124</v>
      </c>
      <c r="CV569" s="410" t="str">
        <f>IF(VLOOKUP(BS569,'Données par municipalité'!$B$6:$F$1113,4,FALSE)="","",VLOOKUP(BS569,'Données par municipalité'!$B$6:$F$1113,4,FALSE))</f>
        <v/>
      </c>
      <c r="CW569" s="476" t="s">
        <v>4723</v>
      </c>
      <c r="CX569" s="483">
        <v>0</v>
      </c>
      <c r="CY569" s="483" t="s">
        <v>1124</v>
      </c>
      <c r="CZ569" s="483">
        <v>0.01</v>
      </c>
      <c r="DA569" s="483">
        <v>0</v>
      </c>
      <c r="DB569" s="483" t="s">
        <v>1124</v>
      </c>
      <c r="DC569" s="483" t="s">
        <v>1124</v>
      </c>
      <c r="DD569" s="483" t="s">
        <v>1124</v>
      </c>
      <c r="DE569" s="483" t="str">
        <f>IFERROR(SUM(VLOOKUP($BS569,'État &amp; Plan d''action'!$B$6:$Z$1113,18,FALSE),VLOOKUP($BS569,'État &amp; Plan d''action'!$B$6:$Z$1113,20,FALSE))/(VLOOKUP($BS569,'Données par municipalité'!$B$4:$L$1113,11,FALSE)),"")</f>
        <v/>
      </c>
      <c r="DF569" s="483" t="str">
        <f>IFERROR(SUM(VLOOKUP($BS569,'État &amp; Plan d''action'!$B$6:$Z$1113,19,FALSE),VLOOKUP($BS569,'État &amp; Plan d''action'!$B$6:$Z$1113,21,FALSE))/(VLOOKUP($BS569,'Données par municipalité'!$B$4:$L$1113,11,FALSE)),"")</f>
        <v/>
      </c>
      <c r="DG569" s="476" t="s">
        <v>4723</v>
      </c>
      <c r="DH569" s="484">
        <v>0</v>
      </c>
      <c r="DI569" s="484" t="s">
        <v>1124</v>
      </c>
      <c r="DJ569" s="484">
        <v>1</v>
      </c>
      <c r="DK569" s="484">
        <v>0</v>
      </c>
      <c r="DL569" s="484" t="s">
        <v>1124</v>
      </c>
      <c r="DM569" s="484" t="s">
        <v>1124</v>
      </c>
      <c r="DN569" s="484" t="s">
        <v>1124</v>
      </c>
      <c r="DO569" s="484" t="s">
        <v>1124</v>
      </c>
      <c r="DP569" s="484" t="s">
        <v>1124</v>
      </c>
      <c r="DQ569" s="484" t="str">
        <f>IF(VLOOKUP($BS569,'État &amp; Plan d''action'!$B$6:$AJ$1113,28,FALSE)="","",VLOOKUP($BS569,'État &amp; Plan d''action'!$B$6:$AJ$1113,28,FALSE))</f>
        <v/>
      </c>
      <c r="DR569" s="70" t="str">
        <f>IF(VLOOKUP($BS569,'État &amp; Plan d''action'!$B$6:$AJ$1113,29,FALSE)="","",VLOOKUP($BS569,'État &amp; Plan d''action'!$B$6:$AJ$1113,29,FALSE))</f>
        <v/>
      </c>
      <c r="DS569" s="70" t="str">
        <f>IF(VLOOKUP($BS569,'État &amp; Plan d''action'!$B$6:$AJ$1113,30,FALSE)="","",VLOOKUP($BS569,'État &amp; Plan d''action'!$B$6:$AJ$1113,30,FALSE))</f>
        <v/>
      </c>
      <c r="DT569" s="70" t="s">
        <v>1124</v>
      </c>
      <c r="DU569" s="485" t="s">
        <v>1124</v>
      </c>
      <c r="DV569" s="485" t="s">
        <v>1124</v>
      </c>
      <c r="DW569" s="70" t="s">
        <v>1124</v>
      </c>
      <c r="DX569" s="70" t="s">
        <v>1124</v>
      </c>
      <c r="DY569" s="70" t="s">
        <v>1124</v>
      </c>
      <c r="DZ569" s="70" t="str">
        <f>VLOOKUP($BS569,'État &amp; Plan d''action'!$B$6:$AH$1113,31,FALSE)</f>
        <v/>
      </c>
      <c r="EA569" s="70" t="str">
        <f>VLOOKUP($BS569,'État &amp; Plan d''action'!$B$6:$AH$1113,32,FALSE)</f>
        <v/>
      </c>
      <c r="EB569" s="70" t="str">
        <f>VLOOKUP($BS569,'État &amp; Plan d''action'!$B$6:$AH$1113,33,FALSE)</f>
        <v/>
      </c>
      <c r="EC569" s="70" t="s">
        <v>1124</v>
      </c>
      <c r="ED569" s="70" t="s">
        <v>1124</v>
      </c>
      <c r="EE569" s="70" t="s">
        <v>1124</v>
      </c>
      <c r="EF569" s="70" t="s">
        <v>1124</v>
      </c>
      <c r="EG569" s="70" t="s">
        <v>1124</v>
      </c>
      <c r="EH569" s="72"/>
      <c r="EI569" s="72">
        <v>3701</v>
      </c>
    </row>
    <row r="570" spans="71:139" x14ac:dyDescent="0.35">
      <c r="BS570" s="486">
        <v>76008</v>
      </c>
      <c r="BT570" s="479" t="s">
        <v>747</v>
      </c>
      <c r="BU570" s="479">
        <v>15</v>
      </c>
      <c r="BV570" s="476" t="s">
        <v>1187</v>
      </c>
      <c r="BW570" s="476" t="s">
        <v>1187</v>
      </c>
      <c r="BX570" s="476" t="s">
        <v>1187</v>
      </c>
      <c r="BY570" s="476" t="s">
        <v>1187</v>
      </c>
      <c r="BZ570" s="476" t="s">
        <v>1187</v>
      </c>
      <c r="CA570" s="476" t="s">
        <v>1187</v>
      </c>
      <c r="CB570" s="476" t="s">
        <v>1187</v>
      </c>
      <c r="CC570" s="476" t="s">
        <v>1187</v>
      </c>
      <c r="CD570" s="476" t="s">
        <v>1187</v>
      </c>
      <c r="CE570" s="476" t="s">
        <v>1188</v>
      </c>
      <c r="CF570" s="476" t="s">
        <v>1188</v>
      </c>
      <c r="CG570" s="476" t="s">
        <v>1188</v>
      </c>
      <c r="CH570" s="476" t="s">
        <v>1188</v>
      </c>
      <c r="CI570" s="476" t="s">
        <v>1188</v>
      </c>
      <c r="CJ570" s="476" t="s">
        <v>1187</v>
      </c>
      <c r="CK570" s="476" t="s">
        <v>1187</v>
      </c>
      <c r="CL570" s="476" t="s">
        <v>1187</v>
      </c>
      <c r="CM570" s="476" t="str">
        <f>IF(VLOOKUP(BS570,'Données par municipalité'!$B$6:$E$1113,4,FALSE)="","non","oui")</f>
        <v>non</v>
      </c>
      <c r="CN570" s="410">
        <v>683.99368240810281</v>
      </c>
      <c r="CO570" s="410">
        <v>651.24371430729752</v>
      </c>
      <c r="CP570" s="410">
        <v>649.11981943152784</v>
      </c>
      <c r="CQ570" s="410">
        <v>622.81448539052906</v>
      </c>
      <c r="CR570" s="410">
        <v>605.96244996734606</v>
      </c>
      <c r="CS570" s="410" t="s">
        <v>1124</v>
      </c>
      <c r="CT570" s="410"/>
      <c r="CU570" s="410" t="s">
        <v>1124</v>
      </c>
      <c r="CV570" s="410" t="str">
        <f>IF(VLOOKUP(BS570,'Données par municipalité'!$B$6:$F$1113,4,FALSE)="","",VLOOKUP(BS570,'Données par municipalité'!$B$6:$F$1113,4,FALSE))</f>
        <v/>
      </c>
      <c r="CW570" s="476" t="s">
        <v>4723</v>
      </c>
      <c r="CX570" s="483">
        <v>0.1</v>
      </c>
      <c r="CY570" s="483">
        <v>0.05</v>
      </c>
      <c r="CZ570" s="483">
        <v>0</v>
      </c>
      <c r="DA570" s="483">
        <v>0.05</v>
      </c>
      <c r="DB570" s="483" t="s">
        <v>1124</v>
      </c>
      <c r="DC570" s="483" t="s">
        <v>1124</v>
      </c>
      <c r="DD570" s="483" t="s">
        <v>1124</v>
      </c>
      <c r="DE570" s="483" t="str">
        <f>IFERROR(SUM(VLOOKUP($BS570,'État &amp; Plan d''action'!$B$6:$Z$1113,18,FALSE),VLOOKUP($BS570,'État &amp; Plan d''action'!$B$6:$Z$1113,20,FALSE))/(VLOOKUP($BS570,'Données par municipalité'!$B$4:$L$1113,11,FALSE)),"")</f>
        <v/>
      </c>
      <c r="DF570" s="483" t="str">
        <f>IFERROR(SUM(VLOOKUP($BS570,'État &amp; Plan d''action'!$B$6:$Z$1113,19,FALSE),VLOOKUP($BS570,'État &amp; Plan d''action'!$B$6:$Z$1113,21,FALSE))/(VLOOKUP($BS570,'Données par municipalité'!$B$4:$L$1113,11,FALSE)),"")</f>
        <v/>
      </c>
      <c r="DG570" s="476" t="s">
        <v>4723</v>
      </c>
      <c r="DH570" s="484">
        <v>5</v>
      </c>
      <c r="DI570" s="484">
        <v>4</v>
      </c>
      <c r="DJ570" s="484">
        <v>4</v>
      </c>
      <c r="DK570" s="484">
        <v>3</v>
      </c>
      <c r="DL570" s="484" t="s">
        <v>1124</v>
      </c>
      <c r="DM570" s="484" t="s">
        <v>1124</v>
      </c>
      <c r="DN570" s="484" t="s">
        <v>1124</v>
      </c>
      <c r="DO570" s="484" t="s">
        <v>1124</v>
      </c>
      <c r="DP570" s="484" t="s">
        <v>1124</v>
      </c>
      <c r="DQ570" s="484" t="str">
        <f>IF(VLOOKUP($BS570,'État &amp; Plan d''action'!$B$6:$AJ$1113,28,FALSE)="","",VLOOKUP($BS570,'État &amp; Plan d''action'!$B$6:$AJ$1113,28,FALSE))</f>
        <v/>
      </c>
      <c r="DR570" s="70" t="str">
        <f>IF(VLOOKUP($BS570,'État &amp; Plan d''action'!$B$6:$AJ$1113,29,FALSE)="","",VLOOKUP($BS570,'État &amp; Plan d''action'!$B$6:$AJ$1113,29,FALSE))</f>
        <v/>
      </c>
      <c r="DS570" s="70" t="str">
        <f>IF(VLOOKUP($BS570,'État &amp; Plan d''action'!$B$6:$AJ$1113,30,FALSE)="","",VLOOKUP($BS570,'État &amp; Plan d''action'!$B$6:$AJ$1113,30,FALSE))</f>
        <v/>
      </c>
      <c r="DT570" s="70" t="s">
        <v>1124</v>
      </c>
      <c r="DU570" s="485" t="s">
        <v>1124</v>
      </c>
      <c r="DV570" s="485" t="s">
        <v>1124</v>
      </c>
      <c r="DW570" s="70" t="s">
        <v>1124</v>
      </c>
      <c r="DX570" s="70" t="s">
        <v>1124</v>
      </c>
      <c r="DY570" s="70" t="s">
        <v>1124</v>
      </c>
      <c r="DZ570" s="70" t="str">
        <f>VLOOKUP($BS570,'État &amp; Plan d''action'!$B$6:$AH$1113,31,FALSE)</f>
        <v/>
      </c>
      <c r="EA570" s="70" t="str">
        <f>VLOOKUP($BS570,'État &amp; Plan d''action'!$B$6:$AH$1113,32,FALSE)</f>
        <v/>
      </c>
      <c r="EB570" s="70" t="str">
        <f>VLOOKUP($BS570,'État &amp; Plan d''action'!$B$6:$AH$1113,33,FALSE)</f>
        <v/>
      </c>
      <c r="EC570" s="70" t="s">
        <v>1124</v>
      </c>
      <c r="ED570" s="70" t="s">
        <v>1124</v>
      </c>
      <c r="EE570" s="70" t="s">
        <v>1124</v>
      </c>
      <c r="EF570" s="70" t="s">
        <v>1124</v>
      </c>
      <c r="EG570" s="70" t="s">
        <v>1124</v>
      </c>
      <c r="EH570" s="72"/>
      <c r="EI570" s="72">
        <v>3024</v>
      </c>
    </row>
    <row r="571" spans="71:139" x14ac:dyDescent="0.35">
      <c r="BS571" s="486">
        <v>6040</v>
      </c>
      <c r="BT571" s="479" t="s">
        <v>1063</v>
      </c>
      <c r="BU571" s="479">
        <v>11</v>
      </c>
      <c r="BV571" s="476" t="s">
        <v>1188</v>
      </c>
      <c r="BW571" s="476" t="s">
        <v>1188</v>
      </c>
      <c r="BX571" s="476" t="s">
        <v>1188</v>
      </c>
      <c r="BY571" s="476" t="s">
        <v>1188</v>
      </c>
      <c r="BZ571" s="476" t="s">
        <v>1188</v>
      </c>
      <c r="CA571" s="476" t="s">
        <v>1188</v>
      </c>
      <c r="CB571" s="476" t="s">
        <v>1188</v>
      </c>
      <c r="CC571" s="476" t="s">
        <v>1188</v>
      </c>
      <c r="CD571" s="476" t="s">
        <v>1188</v>
      </c>
      <c r="CE571" s="476" t="s">
        <v>1187</v>
      </c>
      <c r="CF571" s="476" t="s">
        <v>1187</v>
      </c>
      <c r="CG571" s="476" t="s">
        <v>1187</v>
      </c>
      <c r="CH571" s="476" t="s">
        <v>1187</v>
      </c>
      <c r="CI571" s="476" t="s">
        <v>1187</v>
      </c>
      <c r="CJ571" s="476" t="s">
        <v>1187</v>
      </c>
      <c r="CK571" s="476" t="s">
        <v>1187</v>
      </c>
      <c r="CL571" s="476" t="s">
        <v>1187</v>
      </c>
      <c r="CM571" s="476" t="str">
        <f>IF(VLOOKUP(BS571,'Données par municipalité'!$B$6:$E$1113,4,FALSE)="","non","oui")</f>
        <v>non</v>
      </c>
      <c r="CN571" s="410" t="s">
        <v>1124</v>
      </c>
      <c r="CO571" s="410" t="s">
        <v>1124</v>
      </c>
      <c r="CP571" s="410"/>
      <c r="CQ571" s="410"/>
      <c r="CR571" s="410"/>
      <c r="CS571" s="410" t="s">
        <v>1124</v>
      </c>
      <c r="CT571" s="410"/>
      <c r="CU571" s="410" t="s">
        <v>1124</v>
      </c>
      <c r="CV571" s="410" t="str">
        <f>IF(VLOOKUP(BS571,'Données par municipalité'!$B$6:$F$1113,4,FALSE)="","",VLOOKUP(BS571,'Données par municipalité'!$B$6:$F$1113,4,FALSE))</f>
        <v/>
      </c>
      <c r="CW571" s="476" t="s">
        <v>4723</v>
      </c>
      <c r="CX571" s="483" t="s">
        <v>1124</v>
      </c>
      <c r="CY571" s="483" t="s">
        <v>1124</v>
      </c>
      <c r="CZ571" s="483" t="s">
        <v>1124</v>
      </c>
      <c r="DA571" s="483" t="s">
        <v>1124</v>
      </c>
      <c r="DB571" s="483" t="s">
        <v>1124</v>
      </c>
      <c r="DC571" s="483" t="s">
        <v>1124</v>
      </c>
      <c r="DD571" s="483" t="s">
        <v>1124</v>
      </c>
      <c r="DE571" s="483" t="str">
        <f>IFERROR(SUM(VLOOKUP($BS571,'État &amp; Plan d''action'!$B$6:$Z$1113,18,FALSE),VLOOKUP($BS571,'État &amp; Plan d''action'!$B$6:$Z$1113,20,FALSE))/(VLOOKUP($BS571,'Données par municipalité'!$B$4:$L$1113,11,FALSE)),"")</f>
        <v/>
      </c>
      <c r="DF571" s="483" t="str">
        <f>IFERROR(SUM(VLOOKUP($BS571,'État &amp; Plan d''action'!$B$6:$Z$1113,19,FALSE),VLOOKUP($BS571,'État &amp; Plan d''action'!$B$6:$Z$1113,21,FALSE))/(VLOOKUP($BS571,'Données par municipalité'!$B$4:$L$1113,11,FALSE)),"")</f>
        <v/>
      </c>
      <c r="DG571" s="476" t="s">
        <v>4723</v>
      </c>
      <c r="DH571" s="484" t="s">
        <v>1124</v>
      </c>
      <c r="DI571" s="484" t="s">
        <v>1124</v>
      </c>
      <c r="DJ571" s="484">
        <v>0</v>
      </c>
      <c r="DK571" s="484">
        <v>0</v>
      </c>
      <c r="DL571" s="484" t="s">
        <v>1124</v>
      </c>
      <c r="DM571" s="484" t="s">
        <v>1124</v>
      </c>
      <c r="DN571" s="484" t="s">
        <v>1124</v>
      </c>
      <c r="DO571" s="484" t="s">
        <v>1124</v>
      </c>
      <c r="DP571" s="484" t="s">
        <v>1124</v>
      </c>
      <c r="DQ571" s="484" t="str">
        <f>IF(VLOOKUP($BS571,'État &amp; Plan d''action'!$B$6:$AJ$1113,28,FALSE)="","",VLOOKUP($BS571,'État &amp; Plan d''action'!$B$6:$AJ$1113,28,FALSE))</f>
        <v/>
      </c>
      <c r="DR571" s="70" t="str">
        <f>IF(VLOOKUP($BS571,'État &amp; Plan d''action'!$B$6:$AJ$1113,29,FALSE)="","",VLOOKUP($BS571,'État &amp; Plan d''action'!$B$6:$AJ$1113,29,FALSE))</f>
        <v/>
      </c>
      <c r="DS571" s="70" t="str">
        <f>IF(VLOOKUP($BS571,'État &amp; Plan d''action'!$B$6:$AJ$1113,30,FALSE)="","",VLOOKUP($BS571,'État &amp; Plan d''action'!$B$6:$AJ$1113,30,FALSE))</f>
        <v/>
      </c>
      <c r="DT571" s="70" t="s">
        <v>1124</v>
      </c>
      <c r="DU571" s="485" t="s">
        <v>1124</v>
      </c>
      <c r="DV571" s="485" t="s">
        <v>1124</v>
      </c>
      <c r="DW571" s="70" t="s">
        <v>1124</v>
      </c>
      <c r="DX571" s="70" t="s">
        <v>1124</v>
      </c>
      <c r="DY571" s="70" t="s">
        <v>1124</v>
      </c>
      <c r="DZ571" s="70" t="str">
        <f>VLOOKUP($BS571,'État &amp; Plan d''action'!$B$6:$AH$1113,31,FALSE)</f>
        <v/>
      </c>
      <c r="EA571" s="70" t="str">
        <f>VLOOKUP($BS571,'État &amp; Plan d''action'!$B$6:$AH$1113,32,FALSE)</f>
        <v/>
      </c>
      <c r="EB571" s="70" t="str">
        <f>VLOOKUP($BS571,'État &amp; Plan d''action'!$B$6:$AH$1113,33,FALSE)</f>
        <v/>
      </c>
      <c r="EC571" s="70" t="s">
        <v>1124</v>
      </c>
      <c r="ED571" s="70" t="s">
        <v>1124</v>
      </c>
      <c r="EE571" s="70" t="s">
        <v>1124</v>
      </c>
      <c r="EF571" s="70" t="s">
        <v>1124</v>
      </c>
      <c r="EG571" s="70" t="s">
        <v>1124</v>
      </c>
      <c r="EH571" s="72"/>
      <c r="EI571" s="72">
        <v>160</v>
      </c>
    </row>
    <row r="572" spans="71:139" x14ac:dyDescent="0.35">
      <c r="BS572" s="486">
        <v>91010</v>
      </c>
      <c r="BT572" s="479" t="s">
        <v>938</v>
      </c>
      <c r="BU572" s="479">
        <v>2</v>
      </c>
      <c r="BV572" s="476" t="s">
        <v>1187</v>
      </c>
      <c r="BW572" s="476" t="s">
        <v>1187</v>
      </c>
      <c r="BX572" s="476" t="s">
        <v>1187</v>
      </c>
      <c r="BY572" s="476" t="s">
        <v>1187</v>
      </c>
      <c r="BZ572" s="476" t="s">
        <v>1187</v>
      </c>
      <c r="CA572" s="476" t="s">
        <v>1187</v>
      </c>
      <c r="CB572" s="476" t="s">
        <v>1187</v>
      </c>
      <c r="CC572" s="476" t="s">
        <v>1187</v>
      </c>
      <c r="CD572" s="476" t="s">
        <v>1187</v>
      </c>
      <c r="CE572" s="476" t="s">
        <v>1188</v>
      </c>
      <c r="CF572" s="476" t="s">
        <v>1188</v>
      </c>
      <c r="CG572" s="476" t="s">
        <v>1188</v>
      </c>
      <c r="CH572" s="476" t="s">
        <v>1188</v>
      </c>
      <c r="CI572" s="476" t="s">
        <v>1188</v>
      </c>
      <c r="CJ572" s="476" t="s">
        <v>1188</v>
      </c>
      <c r="CK572" s="476" t="s">
        <v>1188</v>
      </c>
      <c r="CL572" s="476" t="s">
        <v>1188</v>
      </c>
      <c r="CM572" s="476" t="str">
        <f>IF(VLOOKUP(BS572,'Données par municipalité'!$B$6:$E$1113,4,FALSE)="","non","oui")</f>
        <v>oui</v>
      </c>
      <c r="CN572" s="410">
        <v>370.98603451343178</v>
      </c>
      <c r="CO572" s="410">
        <v>369.97241146831306</v>
      </c>
      <c r="CP572" s="410">
        <v>483.03767510838509</v>
      </c>
      <c r="CQ572" s="410">
        <v>317.18942165636628</v>
      </c>
      <c r="CR572" s="410">
        <v>300.02245677071642</v>
      </c>
      <c r="CS572" s="410">
        <v>281.36556825081414</v>
      </c>
      <c r="CT572" s="410">
        <v>269.97770500177012</v>
      </c>
      <c r="CU572" s="410">
        <v>380</v>
      </c>
      <c r="CV572" s="410">
        <f>IF(VLOOKUP(BS572,'Données par municipalité'!$B$6:$F$1113,4,FALSE)="","",VLOOKUP(BS572,'Données par municipalité'!$B$6:$F$1113,4,FALSE))</f>
        <v>399</v>
      </c>
      <c r="CW572" s="476" t="s">
        <v>4723</v>
      </c>
      <c r="CX572" s="483">
        <v>0</v>
      </c>
      <c r="CY572" s="483">
        <v>0</v>
      </c>
      <c r="CZ572" s="483">
        <v>0.1</v>
      </c>
      <c r="DA572" s="483">
        <v>1</v>
      </c>
      <c r="DB572" s="483">
        <v>1</v>
      </c>
      <c r="DC572" s="483">
        <v>1</v>
      </c>
      <c r="DD572" s="483">
        <v>0.98981670061099791</v>
      </c>
      <c r="DE572" s="483">
        <f>IFERROR(SUM(VLOOKUP($BS572,'État &amp; Plan d''action'!$B$6:$Z$1113,18,FALSE),VLOOKUP($BS572,'État &amp; Plan d''action'!$B$6:$Z$1113,20,FALSE))/(VLOOKUP($BS572,'Données par municipalité'!$B$4:$L$1113,11,FALSE)),"")</f>
        <v>1</v>
      </c>
      <c r="DF572" s="483">
        <f>IFERROR(SUM(VLOOKUP($BS572,'État &amp; Plan d''action'!$B$6:$Z$1113,19,FALSE),VLOOKUP($BS572,'État &amp; Plan d''action'!$B$6:$Z$1113,21,FALSE))/(VLOOKUP($BS572,'Données par municipalité'!$B$4:$L$1113,11,FALSE)),"")</f>
        <v>1</v>
      </c>
      <c r="DG572" s="476" t="s">
        <v>4723</v>
      </c>
      <c r="DH572" s="484">
        <v>1</v>
      </c>
      <c r="DI572" s="484">
        <v>0</v>
      </c>
      <c r="DJ572" s="484">
        <v>2</v>
      </c>
      <c r="DK572" s="484">
        <v>0</v>
      </c>
      <c r="DL572" s="484">
        <v>0</v>
      </c>
      <c r="DM572" s="484">
        <v>0</v>
      </c>
      <c r="DN572" s="484">
        <v>0</v>
      </c>
      <c r="DO572" s="484">
        <v>0</v>
      </c>
      <c r="DP572" s="484">
        <v>0</v>
      </c>
      <c r="DQ572" s="484">
        <f>IF(VLOOKUP($BS572,'État &amp; Plan d''action'!$B$6:$AJ$1113,28,FALSE)="","",VLOOKUP($BS572,'État &amp; Plan d''action'!$B$6:$AJ$1113,28,FALSE))</f>
        <v>1</v>
      </c>
      <c r="DR572" s="70">
        <f>IF(VLOOKUP($BS572,'État &amp; Plan d''action'!$B$6:$AJ$1113,29,FALSE)="","",VLOOKUP($BS572,'État &amp; Plan d''action'!$B$6:$AJ$1113,29,FALSE))</f>
        <v>1</v>
      </c>
      <c r="DS572" s="70">
        <f>IF(VLOOKUP($BS572,'État &amp; Plan d''action'!$B$6:$AJ$1113,30,FALSE)="","",VLOOKUP($BS572,'État &amp; Plan d''action'!$B$6:$AJ$1113,30,FALSE))</f>
        <v>0</v>
      </c>
      <c r="DT572" s="70">
        <v>265</v>
      </c>
      <c r="DU572" s="485">
        <v>2.0552731559517228</v>
      </c>
      <c r="DV572" s="485">
        <v>2.9039953569796273</v>
      </c>
      <c r="DW572" s="70">
        <v>0</v>
      </c>
      <c r="DX572" s="70">
        <v>0</v>
      </c>
      <c r="DY572" s="70">
        <v>0</v>
      </c>
      <c r="DZ572" s="70">
        <f>VLOOKUP($BS572,'État &amp; Plan d''action'!$B$6:$AH$1113,31,FALSE)</f>
        <v>1</v>
      </c>
      <c r="EA572" s="70">
        <f>VLOOKUP($BS572,'État &amp; Plan d''action'!$B$6:$AH$1113,32,FALSE)</f>
        <v>1</v>
      </c>
      <c r="EB572" s="70">
        <f>VLOOKUP($BS572,'État &amp; Plan d''action'!$B$6:$AH$1113,33,FALSE)</f>
        <v>0</v>
      </c>
      <c r="EC572" s="70">
        <v>0</v>
      </c>
      <c r="ED572" s="70">
        <v>0</v>
      </c>
      <c r="EE572" s="70">
        <v>6.3179999999999996</v>
      </c>
      <c r="EF572" s="70">
        <v>0</v>
      </c>
      <c r="EG572" s="70">
        <v>0</v>
      </c>
      <c r="EH572" s="72">
        <v>44.378378378378372</v>
      </c>
      <c r="EI572" s="72">
        <v>469</v>
      </c>
    </row>
    <row r="573" spans="71:139" x14ac:dyDescent="0.35">
      <c r="BS573" s="486">
        <v>69070</v>
      </c>
      <c r="BT573" s="479" t="s">
        <v>695</v>
      </c>
      <c r="BU573" s="479">
        <v>16</v>
      </c>
      <c r="BV573" s="476" t="s">
        <v>1188</v>
      </c>
      <c r="BW573" s="476" t="s">
        <v>1188</v>
      </c>
      <c r="BX573" s="476" t="s">
        <v>1188</v>
      </c>
      <c r="BY573" s="476" t="s">
        <v>1188</v>
      </c>
      <c r="BZ573" s="476" t="s">
        <v>1188</v>
      </c>
      <c r="CA573" s="476" t="s">
        <v>1188</v>
      </c>
      <c r="CB573" s="476" t="s">
        <v>1188</v>
      </c>
      <c r="CC573" s="476" t="s">
        <v>1188</v>
      </c>
      <c r="CD573" s="476" t="s">
        <v>1188</v>
      </c>
      <c r="CE573" s="476" t="s">
        <v>1187</v>
      </c>
      <c r="CF573" s="476" t="s">
        <v>1187</v>
      </c>
      <c r="CG573" s="476" t="s">
        <v>1187</v>
      </c>
      <c r="CH573" s="476" t="s">
        <v>1187</v>
      </c>
      <c r="CI573" s="476" t="s">
        <v>1187</v>
      </c>
      <c r="CJ573" s="476" t="s">
        <v>1187</v>
      </c>
      <c r="CK573" s="476" t="s">
        <v>1187</v>
      </c>
      <c r="CL573" s="476" t="s">
        <v>1187</v>
      </c>
      <c r="CM573" s="476" t="str">
        <f>IF(VLOOKUP(BS573,'Données par municipalité'!$B$6:$E$1113,4,FALSE)="","non","oui")</f>
        <v>non</v>
      </c>
      <c r="CN573" s="410" t="s">
        <v>1124</v>
      </c>
      <c r="CO573" s="410" t="s">
        <v>1124</v>
      </c>
      <c r="CP573" s="410"/>
      <c r="CQ573" s="410"/>
      <c r="CR573" s="410"/>
      <c r="CS573" s="410" t="s">
        <v>1124</v>
      </c>
      <c r="CT573" s="410"/>
      <c r="CU573" s="410" t="s">
        <v>1124</v>
      </c>
      <c r="CV573" s="410" t="str">
        <f>IF(VLOOKUP(BS573,'Données par municipalité'!$B$6:$F$1113,4,FALSE)="","",VLOOKUP(BS573,'Données par municipalité'!$B$6:$F$1113,4,FALSE))</f>
        <v/>
      </c>
      <c r="CW573" s="476" t="s">
        <v>4723</v>
      </c>
      <c r="CX573" s="483" t="s">
        <v>1124</v>
      </c>
      <c r="CY573" s="483" t="s">
        <v>1124</v>
      </c>
      <c r="CZ573" s="483" t="s">
        <v>1124</v>
      </c>
      <c r="DA573" s="483" t="s">
        <v>1124</v>
      </c>
      <c r="DB573" s="483" t="s">
        <v>1124</v>
      </c>
      <c r="DC573" s="483" t="s">
        <v>1124</v>
      </c>
      <c r="DD573" s="483" t="s">
        <v>1124</v>
      </c>
      <c r="DE573" s="483" t="str">
        <f>IFERROR(SUM(VLOOKUP($BS573,'État &amp; Plan d''action'!$B$6:$Z$1113,18,FALSE),VLOOKUP($BS573,'État &amp; Plan d''action'!$B$6:$Z$1113,20,FALSE))/(VLOOKUP($BS573,'Données par municipalité'!$B$4:$L$1113,11,FALSE)),"")</f>
        <v/>
      </c>
      <c r="DF573" s="483" t="str">
        <f>IFERROR(SUM(VLOOKUP($BS573,'État &amp; Plan d''action'!$B$6:$Z$1113,19,FALSE),VLOOKUP($BS573,'État &amp; Plan d''action'!$B$6:$Z$1113,21,FALSE))/(VLOOKUP($BS573,'Données par municipalité'!$B$4:$L$1113,11,FALSE)),"")</f>
        <v/>
      </c>
      <c r="DG573" s="476" t="s">
        <v>4723</v>
      </c>
      <c r="DH573" s="484" t="s">
        <v>1124</v>
      </c>
      <c r="DI573" s="484" t="s">
        <v>1124</v>
      </c>
      <c r="DJ573" s="484">
        <v>0</v>
      </c>
      <c r="DK573" s="484">
        <v>0</v>
      </c>
      <c r="DL573" s="484" t="s">
        <v>1124</v>
      </c>
      <c r="DM573" s="484" t="s">
        <v>1124</v>
      </c>
      <c r="DN573" s="484" t="s">
        <v>1124</v>
      </c>
      <c r="DO573" s="484" t="s">
        <v>1124</v>
      </c>
      <c r="DP573" s="484" t="s">
        <v>1124</v>
      </c>
      <c r="DQ573" s="484" t="str">
        <f>IF(VLOOKUP($BS573,'État &amp; Plan d''action'!$B$6:$AJ$1113,28,FALSE)="","",VLOOKUP($BS573,'État &amp; Plan d''action'!$B$6:$AJ$1113,28,FALSE))</f>
        <v/>
      </c>
      <c r="DR573" s="70" t="str">
        <f>IF(VLOOKUP($BS573,'État &amp; Plan d''action'!$B$6:$AJ$1113,29,FALSE)="","",VLOOKUP($BS573,'État &amp; Plan d''action'!$B$6:$AJ$1113,29,FALSE))</f>
        <v/>
      </c>
      <c r="DS573" s="70" t="str">
        <f>IF(VLOOKUP($BS573,'État &amp; Plan d''action'!$B$6:$AJ$1113,30,FALSE)="","",VLOOKUP($BS573,'État &amp; Plan d''action'!$B$6:$AJ$1113,30,FALSE))</f>
        <v/>
      </c>
      <c r="DT573" s="70" t="s">
        <v>1124</v>
      </c>
      <c r="DU573" s="485" t="s">
        <v>1124</v>
      </c>
      <c r="DV573" s="485" t="s">
        <v>1124</v>
      </c>
      <c r="DW573" s="70" t="s">
        <v>1124</v>
      </c>
      <c r="DX573" s="70" t="s">
        <v>1124</v>
      </c>
      <c r="DY573" s="70" t="s">
        <v>1124</v>
      </c>
      <c r="DZ573" s="70" t="str">
        <f>VLOOKUP($BS573,'État &amp; Plan d''action'!$B$6:$AH$1113,31,FALSE)</f>
        <v/>
      </c>
      <c r="EA573" s="70" t="str">
        <f>VLOOKUP($BS573,'État &amp; Plan d''action'!$B$6:$AH$1113,32,FALSE)</f>
        <v/>
      </c>
      <c r="EB573" s="70" t="str">
        <f>VLOOKUP($BS573,'État &amp; Plan d''action'!$B$6:$AH$1113,33,FALSE)</f>
        <v/>
      </c>
      <c r="EC573" s="70" t="s">
        <v>1124</v>
      </c>
      <c r="ED573" s="70" t="s">
        <v>1124</v>
      </c>
      <c r="EE573" s="70" t="s">
        <v>1124</v>
      </c>
      <c r="EF573" s="70" t="s">
        <v>1124</v>
      </c>
      <c r="EG573" s="70" t="s">
        <v>1124</v>
      </c>
      <c r="EH573" s="72"/>
      <c r="EI573" s="72">
        <v>2669</v>
      </c>
    </row>
    <row r="574" spans="71:139" x14ac:dyDescent="0.35">
      <c r="BS574" s="486">
        <v>19062</v>
      </c>
      <c r="BT574" s="479" t="s">
        <v>128</v>
      </c>
      <c r="BU574" s="479">
        <v>12</v>
      </c>
      <c r="BV574" s="476" t="s">
        <v>1187</v>
      </c>
      <c r="BW574" s="476" t="s">
        <v>1187</v>
      </c>
      <c r="BX574" s="476" t="s">
        <v>1187</v>
      </c>
      <c r="BY574" s="476" t="s">
        <v>1187</v>
      </c>
      <c r="BZ574" s="476" t="s">
        <v>1187</v>
      </c>
      <c r="CA574" s="476" t="s">
        <v>1187</v>
      </c>
      <c r="CB574" s="476" t="s">
        <v>1187</v>
      </c>
      <c r="CC574" s="476" t="s">
        <v>1187</v>
      </c>
      <c r="CD574" s="476" t="s">
        <v>1187</v>
      </c>
      <c r="CE574" s="476" t="s">
        <v>1188</v>
      </c>
      <c r="CF574" s="476" t="s">
        <v>1188</v>
      </c>
      <c r="CG574" s="476" t="s">
        <v>1188</v>
      </c>
      <c r="CH574" s="476" t="s">
        <v>1188</v>
      </c>
      <c r="CI574" s="476" t="s">
        <v>1188</v>
      </c>
      <c r="CJ574" s="476" t="s">
        <v>1188</v>
      </c>
      <c r="CK574" s="476" t="s">
        <v>1188</v>
      </c>
      <c r="CL574" s="476" t="s">
        <v>1188</v>
      </c>
      <c r="CM574" s="476" t="str">
        <f>IF(VLOOKUP(BS574,'Données par municipalité'!$B$6:$E$1113,4,FALSE)="","non","oui")</f>
        <v>oui</v>
      </c>
      <c r="CN574" s="410">
        <v>1292.5256196377502</v>
      </c>
      <c r="CO574" s="410">
        <v>1242.5315198684377</v>
      </c>
      <c r="CP574" s="410">
        <v>1165.0686964667086</v>
      </c>
      <c r="CQ574" s="410">
        <v>1159.9420236484004</v>
      </c>
      <c r="CR574" s="410">
        <v>1135.1747087111446</v>
      </c>
      <c r="CS574" s="410">
        <v>1148.3374694468832</v>
      </c>
      <c r="CT574" s="410">
        <v>1109.8709926556878</v>
      </c>
      <c r="CU574" s="410">
        <v>1195</v>
      </c>
      <c r="CV574" s="410">
        <f>IF(VLOOKUP(BS574,'Données par municipalité'!$B$6:$F$1113,4,FALSE)="","",VLOOKUP(BS574,'Données par municipalité'!$B$6:$F$1113,4,FALSE))</f>
        <v>1133</v>
      </c>
      <c r="CW574" s="476" t="s">
        <v>4723</v>
      </c>
      <c r="CX574" s="483">
        <v>0</v>
      </c>
      <c r="CY574" s="483">
        <v>0</v>
      </c>
      <c r="CZ574" s="483">
        <v>0</v>
      </c>
      <c r="DA574" s="483">
        <v>0</v>
      </c>
      <c r="DB574" s="483">
        <v>0</v>
      </c>
      <c r="DC574" s="483">
        <v>0</v>
      </c>
      <c r="DD574" s="483">
        <v>0</v>
      </c>
      <c r="DE574" s="483">
        <f>IFERROR(SUM(VLOOKUP($BS574,'État &amp; Plan d''action'!$B$6:$Z$1113,18,FALSE),VLOOKUP($BS574,'État &amp; Plan d''action'!$B$6:$Z$1113,20,FALSE))/(VLOOKUP($BS574,'Données par municipalité'!$B$4:$L$1113,11,FALSE)),"")</f>
        <v>2</v>
      </c>
      <c r="DF574" s="483">
        <f>IFERROR(SUM(VLOOKUP($BS574,'État &amp; Plan d''action'!$B$6:$Z$1113,19,FALSE),VLOOKUP($BS574,'État &amp; Plan d''action'!$B$6:$Z$1113,21,FALSE))/(VLOOKUP($BS574,'Données par municipalité'!$B$4:$L$1113,11,FALSE)),"")</f>
        <v>2</v>
      </c>
      <c r="DG574" s="476" t="s">
        <v>4723</v>
      </c>
      <c r="DH574" s="484">
        <v>1</v>
      </c>
      <c r="DI574" s="484">
        <v>3</v>
      </c>
      <c r="DJ574" s="484">
        <v>1</v>
      </c>
      <c r="DK574" s="484">
        <v>8</v>
      </c>
      <c r="DL574" s="484">
        <v>4</v>
      </c>
      <c r="DM574" s="484">
        <v>4</v>
      </c>
      <c r="DN574" s="484">
        <v>2</v>
      </c>
      <c r="DO574" s="484">
        <v>0</v>
      </c>
      <c r="DP574" s="484">
        <v>0</v>
      </c>
      <c r="DQ574" s="484">
        <f>IF(VLOOKUP($BS574,'État &amp; Plan d''action'!$B$6:$AJ$1113,28,FALSE)="","",VLOOKUP($BS574,'État &amp; Plan d''action'!$B$6:$AJ$1113,28,FALSE))</f>
        <v>0</v>
      </c>
      <c r="DR574" s="70">
        <f>IF(VLOOKUP($BS574,'État &amp; Plan d''action'!$B$6:$AJ$1113,29,FALSE)="","",VLOOKUP($BS574,'État &amp; Plan d''action'!$B$6:$AJ$1113,29,FALSE))</f>
        <v>1</v>
      </c>
      <c r="DS574" s="70">
        <f>IF(VLOOKUP($BS574,'État &amp; Plan d''action'!$B$6:$AJ$1113,30,FALSE)="","",VLOOKUP($BS574,'État &amp; Plan d''action'!$B$6:$AJ$1113,30,FALSE))</f>
        <v>0</v>
      </c>
      <c r="DT574" s="70">
        <v>174</v>
      </c>
      <c r="DU574" s="485">
        <v>4.4153719401362004</v>
      </c>
      <c r="DV574" s="485">
        <v>2.8350523902591775</v>
      </c>
      <c r="DW574" s="70">
        <v>1</v>
      </c>
      <c r="DX574" s="70">
        <v>0</v>
      </c>
      <c r="DY574" s="70">
        <v>0</v>
      </c>
      <c r="DZ574" s="70">
        <f>VLOOKUP($BS574,'État &amp; Plan d''action'!$B$6:$AH$1113,31,FALSE)</f>
        <v>0</v>
      </c>
      <c r="EA574" s="70">
        <f>VLOOKUP($BS574,'État &amp; Plan d''action'!$B$6:$AH$1113,32,FALSE)</f>
        <v>2</v>
      </c>
      <c r="EB574" s="70">
        <f>VLOOKUP($BS574,'État &amp; Plan d''action'!$B$6:$AH$1113,33,FALSE)</f>
        <v>0</v>
      </c>
      <c r="EC574" s="70">
        <v>27.858000000000001</v>
      </c>
      <c r="ED574" s="70">
        <v>0</v>
      </c>
      <c r="EE574" s="70">
        <v>0</v>
      </c>
      <c r="EF574" s="70">
        <v>0</v>
      </c>
      <c r="EG574" s="70">
        <v>0</v>
      </c>
      <c r="EH574" s="72">
        <v>72.704115609096519</v>
      </c>
      <c r="EI574" s="72">
        <v>4051</v>
      </c>
    </row>
    <row r="575" spans="71:139" x14ac:dyDescent="0.35">
      <c r="BS575" s="486">
        <v>18070</v>
      </c>
      <c r="BT575" s="479" t="s">
        <v>117</v>
      </c>
      <c r="BU575" s="479">
        <v>12</v>
      </c>
      <c r="BV575" s="476" t="s">
        <v>1188</v>
      </c>
      <c r="BW575" s="476" t="s">
        <v>1188</v>
      </c>
      <c r="BX575" s="476" t="s">
        <v>1188</v>
      </c>
      <c r="BY575" s="476" t="s">
        <v>1188</v>
      </c>
      <c r="BZ575" s="476" t="s">
        <v>1188</v>
      </c>
      <c r="CA575" s="476" t="s">
        <v>1188</v>
      </c>
      <c r="CB575" s="476" t="s">
        <v>1188</v>
      </c>
      <c r="CC575" s="476" t="s">
        <v>1188</v>
      </c>
      <c r="CD575" s="476" t="s">
        <v>1188</v>
      </c>
      <c r="CE575" s="476" t="s">
        <v>1187</v>
      </c>
      <c r="CF575" s="476" t="s">
        <v>1187</v>
      </c>
      <c r="CG575" s="476" t="s">
        <v>1187</v>
      </c>
      <c r="CH575" s="476" t="s">
        <v>1187</v>
      </c>
      <c r="CI575" s="476" t="s">
        <v>1187</v>
      </c>
      <c r="CJ575" s="476" t="s">
        <v>1187</v>
      </c>
      <c r="CK575" s="476" t="s">
        <v>1187</v>
      </c>
      <c r="CL575" s="476" t="s">
        <v>1187</v>
      </c>
      <c r="CM575" s="476" t="str">
        <f>IF(VLOOKUP(BS575,'Données par municipalité'!$B$6:$E$1113,4,FALSE)="","non","oui")</f>
        <v>non</v>
      </c>
      <c r="CN575" s="410" t="s">
        <v>1124</v>
      </c>
      <c r="CO575" s="410" t="s">
        <v>1124</v>
      </c>
      <c r="CP575" s="410"/>
      <c r="CQ575" s="410"/>
      <c r="CR575" s="410"/>
      <c r="CS575" s="410" t="s">
        <v>1124</v>
      </c>
      <c r="CT575" s="410"/>
      <c r="CU575" s="410" t="s">
        <v>1124</v>
      </c>
      <c r="CV575" s="410" t="str">
        <f>IF(VLOOKUP(BS575,'Données par municipalité'!$B$6:$F$1113,4,FALSE)="","",VLOOKUP(BS575,'Données par municipalité'!$B$6:$F$1113,4,FALSE))</f>
        <v/>
      </c>
      <c r="CW575" s="476" t="s">
        <v>4723</v>
      </c>
      <c r="CX575" s="483" t="s">
        <v>1124</v>
      </c>
      <c r="CY575" s="483" t="s">
        <v>1124</v>
      </c>
      <c r="CZ575" s="483" t="s">
        <v>1124</v>
      </c>
      <c r="DA575" s="483" t="s">
        <v>1124</v>
      </c>
      <c r="DB575" s="483" t="s">
        <v>1124</v>
      </c>
      <c r="DC575" s="483" t="s">
        <v>1124</v>
      </c>
      <c r="DD575" s="483" t="s">
        <v>1124</v>
      </c>
      <c r="DE575" s="483" t="str">
        <f>IFERROR(SUM(VLOOKUP($BS575,'État &amp; Plan d''action'!$B$6:$Z$1113,18,FALSE),VLOOKUP($BS575,'État &amp; Plan d''action'!$B$6:$Z$1113,20,FALSE))/(VLOOKUP($BS575,'Données par municipalité'!$B$4:$L$1113,11,FALSE)),"")</f>
        <v/>
      </c>
      <c r="DF575" s="483" t="str">
        <f>IFERROR(SUM(VLOOKUP($BS575,'État &amp; Plan d''action'!$B$6:$Z$1113,19,FALSE),VLOOKUP($BS575,'État &amp; Plan d''action'!$B$6:$Z$1113,21,FALSE))/(VLOOKUP($BS575,'Données par municipalité'!$B$4:$L$1113,11,FALSE)),"")</f>
        <v/>
      </c>
      <c r="DG575" s="476" t="s">
        <v>4723</v>
      </c>
      <c r="DH575" s="484" t="s">
        <v>1124</v>
      </c>
      <c r="DI575" s="484" t="s">
        <v>1124</v>
      </c>
      <c r="DJ575" s="484">
        <v>0</v>
      </c>
      <c r="DK575" s="484">
        <v>0</v>
      </c>
      <c r="DL575" s="484" t="s">
        <v>1124</v>
      </c>
      <c r="DM575" s="484" t="s">
        <v>1124</v>
      </c>
      <c r="DN575" s="484" t="s">
        <v>1124</v>
      </c>
      <c r="DO575" s="484" t="s">
        <v>1124</v>
      </c>
      <c r="DP575" s="484" t="s">
        <v>1124</v>
      </c>
      <c r="DQ575" s="484" t="str">
        <f>IF(VLOOKUP($BS575,'État &amp; Plan d''action'!$B$6:$AJ$1113,28,FALSE)="","",VLOOKUP($BS575,'État &amp; Plan d''action'!$B$6:$AJ$1113,28,FALSE))</f>
        <v/>
      </c>
      <c r="DR575" s="70" t="str">
        <f>IF(VLOOKUP($BS575,'État &amp; Plan d''action'!$B$6:$AJ$1113,29,FALSE)="","",VLOOKUP($BS575,'État &amp; Plan d''action'!$B$6:$AJ$1113,29,FALSE))</f>
        <v/>
      </c>
      <c r="DS575" s="70" t="str">
        <f>IF(VLOOKUP($BS575,'État &amp; Plan d''action'!$B$6:$AJ$1113,30,FALSE)="","",VLOOKUP($BS575,'État &amp; Plan d''action'!$B$6:$AJ$1113,30,FALSE))</f>
        <v/>
      </c>
      <c r="DT575" s="70" t="s">
        <v>1124</v>
      </c>
      <c r="DU575" s="485" t="s">
        <v>1124</v>
      </c>
      <c r="DV575" s="485" t="s">
        <v>1124</v>
      </c>
      <c r="DW575" s="70" t="s">
        <v>1124</v>
      </c>
      <c r="DX575" s="70" t="s">
        <v>1124</v>
      </c>
      <c r="DY575" s="70" t="s">
        <v>1124</v>
      </c>
      <c r="DZ575" s="70" t="str">
        <f>VLOOKUP($BS575,'État &amp; Plan d''action'!$B$6:$AH$1113,31,FALSE)</f>
        <v/>
      </c>
      <c r="EA575" s="70" t="str">
        <f>VLOOKUP($BS575,'État &amp; Plan d''action'!$B$6:$AH$1113,32,FALSE)</f>
        <v/>
      </c>
      <c r="EB575" s="70" t="str">
        <f>VLOOKUP($BS575,'État &amp; Plan d''action'!$B$6:$AH$1113,33,FALSE)</f>
        <v/>
      </c>
      <c r="EC575" s="70" t="s">
        <v>1124</v>
      </c>
      <c r="ED575" s="70" t="s">
        <v>1124</v>
      </c>
      <c r="EE575" s="70" t="s">
        <v>1124</v>
      </c>
      <c r="EF575" s="70" t="s">
        <v>1124</v>
      </c>
      <c r="EG575" s="70" t="s">
        <v>1124</v>
      </c>
      <c r="EH575" s="72"/>
      <c r="EI575" s="72">
        <v>155</v>
      </c>
    </row>
    <row r="576" spans="71:139" x14ac:dyDescent="0.35">
      <c r="BS576" s="486">
        <v>33095</v>
      </c>
      <c r="BT576" s="479" t="s">
        <v>281</v>
      </c>
      <c r="BU576" s="479">
        <v>12</v>
      </c>
      <c r="BV576" s="476" t="s">
        <v>1187</v>
      </c>
      <c r="BW576" s="476" t="s">
        <v>1187</v>
      </c>
      <c r="BX576" s="476" t="s">
        <v>1187</v>
      </c>
      <c r="BY576" s="476" t="s">
        <v>1187</v>
      </c>
      <c r="BZ576" s="476" t="s">
        <v>1187</v>
      </c>
      <c r="CA576" s="476" t="s">
        <v>1187</v>
      </c>
      <c r="CB576" s="476" t="s">
        <v>1187</v>
      </c>
      <c r="CC576" s="476" t="s">
        <v>1187</v>
      </c>
      <c r="CD576" s="476" t="s">
        <v>1187</v>
      </c>
      <c r="CE576" s="476" t="s">
        <v>1188</v>
      </c>
      <c r="CF576" s="476" t="s">
        <v>1188</v>
      </c>
      <c r="CG576" s="476" t="s">
        <v>1188</v>
      </c>
      <c r="CH576" s="476" t="s">
        <v>1188</v>
      </c>
      <c r="CI576" s="476" t="s">
        <v>1188</v>
      </c>
      <c r="CJ576" s="476" t="s">
        <v>1188</v>
      </c>
      <c r="CK576" s="476" t="s">
        <v>1187</v>
      </c>
      <c r="CL576" s="476" t="s">
        <v>1187</v>
      </c>
      <c r="CM576" s="476" t="str">
        <f>IF(VLOOKUP(BS576,'Données par municipalité'!$B$6:$E$1113,4,FALSE)="","non","oui")</f>
        <v>non</v>
      </c>
      <c r="CN576" s="410">
        <v>409.59737697629834</v>
      </c>
      <c r="CO576" s="410">
        <v>441.19118293392756</v>
      </c>
      <c r="CP576" s="410">
        <v>352.27121655640235</v>
      </c>
      <c r="CQ576" s="410">
        <v>359.38611189922483</v>
      </c>
      <c r="CR576" s="410">
        <v>377.14292377533076</v>
      </c>
      <c r="CS576" s="410">
        <v>378.18600819071139</v>
      </c>
      <c r="CT576" s="410"/>
      <c r="CU576" s="410" t="s">
        <v>1124</v>
      </c>
      <c r="CV576" s="410" t="str">
        <f>IF(VLOOKUP(BS576,'Données par municipalité'!$B$6:$F$1113,4,FALSE)="","",VLOOKUP(BS576,'Données par municipalité'!$B$6:$F$1113,4,FALSE))</f>
        <v/>
      </c>
      <c r="CW576" s="476" t="s">
        <v>4723</v>
      </c>
      <c r="CX576" s="483">
        <v>0.5</v>
      </c>
      <c r="CY576" s="483">
        <v>0.5</v>
      </c>
      <c r="CZ576" s="483">
        <v>0</v>
      </c>
      <c r="DA576" s="483">
        <v>0</v>
      </c>
      <c r="DB576" s="483">
        <v>0</v>
      </c>
      <c r="DC576" s="483" t="s">
        <v>1124</v>
      </c>
      <c r="DD576" s="483" t="s">
        <v>1124</v>
      </c>
      <c r="DE576" s="483" t="str">
        <f>IFERROR(SUM(VLOOKUP($BS576,'État &amp; Plan d''action'!$B$6:$Z$1113,18,FALSE),VLOOKUP($BS576,'État &amp; Plan d''action'!$B$6:$Z$1113,20,FALSE))/(VLOOKUP($BS576,'Données par municipalité'!$B$4:$L$1113,11,FALSE)),"")</f>
        <v/>
      </c>
      <c r="DF576" s="483" t="str">
        <f>IFERROR(SUM(VLOOKUP($BS576,'État &amp; Plan d''action'!$B$6:$Z$1113,19,FALSE),VLOOKUP($BS576,'État &amp; Plan d''action'!$B$6:$Z$1113,21,FALSE))/(VLOOKUP($BS576,'Données par municipalité'!$B$4:$L$1113,11,FALSE)),"")</f>
        <v/>
      </c>
      <c r="DG576" s="476" t="s">
        <v>4723</v>
      </c>
      <c r="DH576" s="484">
        <v>0</v>
      </c>
      <c r="DI576" s="484">
        <v>2</v>
      </c>
      <c r="DJ576" s="484">
        <v>1</v>
      </c>
      <c r="DK576" s="484">
        <v>5</v>
      </c>
      <c r="DL576" s="484">
        <v>3</v>
      </c>
      <c r="DM576" s="484" t="s">
        <v>1124</v>
      </c>
      <c r="DN576" s="484" t="s">
        <v>1124</v>
      </c>
      <c r="DO576" s="484" t="s">
        <v>1124</v>
      </c>
      <c r="DP576" s="484" t="s">
        <v>1124</v>
      </c>
      <c r="DQ576" s="484" t="str">
        <f>IF(VLOOKUP($BS576,'État &amp; Plan d''action'!$B$6:$AJ$1113,28,FALSE)="","",VLOOKUP($BS576,'État &amp; Plan d''action'!$B$6:$AJ$1113,28,FALSE))</f>
        <v/>
      </c>
      <c r="DR576" s="70" t="str">
        <f>IF(VLOOKUP($BS576,'État &amp; Plan d''action'!$B$6:$AJ$1113,29,FALSE)="","",VLOOKUP($BS576,'État &amp; Plan d''action'!$B$6:$AJ$1113,29,FALSE))</f>
        <v/>
      </c>
      <c r="DS576" s="70" t="str">
        <f>IF(VLOOKUP($BS576,'État &amp; Plan d''action'!$B$6:$AJ$1113,30,FALSE)="","",VLOOKUP($BS576,'État &amp; Plan d''action'!$B$6:$AJ$1113,30,FALSE))</f>
        <v/>
      </c>
      <c r="DT576" s="70" t="s">
        <v>1124</v>
      </c>
      <c r="DU576" s="485" t="s">
        <v>1124</v>
      </c>
      <c r="DV576" s="485" t="s">
        <v>1124</v>
      </c>
      <c r="DW576" s="70" t="s">
        <v>1124</v>
      </c>
      <c r="DX576" s="70" t="s">
        <v>1124</v>
      </c>
      <c r="DY576" s="70" t="s">
        <v>1124</v>
      </c>
      <c r="DZ576" s="70" t="str">
        <f>VLOOKUP($BS576,'État &amp; Plan d''action'!$B$6:$AH$1113,31,FALSE)</f>
        <v/>
      </c>
      <c r="EA576" s="70" t="str">
        <f>VLOOKUP($BS576,'État &amp; Plan d''action'!$B$6:$AH$1113,32,FALSE)</f>
        <v/>
      </c>
      <c r="EB576" s="70" t="str">
        <f>VLOOKUP($BS576,'État &amp; Plan d''action'!$B$6:$AH$1113,33,FALSE)</f>
        <v/>
      </c>
      <c r="EC576" s="70" t="s">
        <v>1124</v>
      </c>
      <c r="ED576" s="70" t="s">
        <v>1124</v>
      </c>
      <c r="EE576" s="70" t="s">
        <v>1124</v>
      </c>
      <c r="EF576" s="70" t="s">
        <v>1124</v>
      </c>
      <c r="EG576" s="70" t="s">
        <v>1124</v>
      </c>
      <c r="EH576" s="72"/>
      <c r="EI576" s="72">
        <v>1624</v>
      </c>
    </row>
    <row r="577" spans="71:139" x14ac:dyDescent="0.35">
      <c r="BS577" s="486">
        <v>57075</v>
      </c>
      <c r="BT577" s="479" t="s">
        <v>593</v>
      </c>
      <c r="BU577" s="479">
        <v>16</v>
      </c>
      <c r="BV577" s="476" t="s">
        <v>1187</v>
      </c>
      <c r="BW577" s="476" t="s">
        <v>1187</v>
      </c>
      <c r="BX577" s="476" t="s">
        <v>1187</v>
      </c>
      <c r="BY577" s="476" t="s">
        <v>1187</v>
      </c>
      <c r="BZ577" s="476" t="s">
        <v>1187</v>
      </c>
      <c r="CA577" s="476" t="s">
        <v>1187</v>
      </c>
      <c r="CB577" s="476" t="s">
        <v>1187</v>
      </c>
      <c r="CC577" s="476" t="s">
        <v>1187</v>
      </c>
      <c r="CD577" s="476" t="s">
        <v>1187</v>
      </c>
      <c r="CE577" s="476" t="s">
        <v>1188</v>
      </c>
      <c r="CF577" s="476" t="s">
        <v>1188</v>
      </c>
      <c r="CG577" s="476" t="s">
        <v>1187</v>
      </c>
      <c r="CH577" s="476" t="s">
        <v>1188</v>
      </c>
      <c r="CI577" s="476" t="s">
        <v>1188</v>
      </c>
      <c r="CJ577" s="476" t="s">
        <v>1188</v>
      </c>
      <c r="CK577" s="476" t="s">
        <v>1188</v>
      </c>
      <c r="CL577" s="476" t="s">
        <v>1188</v>
      </c>
      <c r="CM577" s="476" t="str">
        <f>IF(VLOOKUP(BS577,'Données par municipalité'!$B$6:$E$1113,4,FALSE)="","non","oui")</f>
        <v>oui</v>
      </c>
      <c r="CN577" s="410">
        <v>708</v>
      </c>
      <c r="CO577" s="410">
        <v>646.94632706078596</v>
      </c>
      <c r="CP577" s="410"/>
      <c r="CQ577" s="410">
        <v>528</v>
      </c>
      <c r="CR577" s="410">
        <v>561.62528771209077</v>
      </c>
      <c r="CS577" s="410">
        <v>613</v>
      </c>
      <c r="CT577" s="410">
        <v>529.1975959385378</v>
      </c>
      <c r="CU577" s="410">
        <v>611</v>
      </c>
      <c r="CV577" s="410">
        <f>IF(VLOOKUP(BS577,'Données par municipalité'!$B$6:$F$1113,4,FALSE)="","",VLOOKUP(BS577,'Données par municipalité'!$B$6:$F$1113,4,FALSE))</f>
        <v>581</v>
      </c>
      <c r="CW577" s="476" t="s">
        <v>4723</v>
      </c>
      <c r="CX577" s="483">
        <v>0</v>
      </c>
      <c r="CY577" s="483" t="s">
        <v>1124</v>
      </c>
      <c r="CZ577" s="483">
        <v>0</v>
      </c>
      <c r="DA577" s="483">
        <v>0</v>
      </c>
      <c r="DB577" s="483">
        <v>1</v>
      </c>
      <c r="DC577" s="483">
        <v>1</v>
      </c>
      <c r="DD577" s="483" t="s">
        <v>1124</v>
      </c>
      <c r="DE577" s="483" t="str">
        <f>IFERROR(SUM(VLOOKUP($BS577,'État &amp; Plan d''action'!$B$6:$Z$1113,18,FALSE),VLOOKUP($BS577,'État &amp; Plan d''action'!$B$6:$Z$1113,20,FALSE))/(VLOOKUP($BS577,'Données par municipalité'!$B$4:$L$1113,11,FALSE)),"")</f>
        <v/>
      </c>
      <c r="DF577" s="483" t="str">
        <f>IFERROR(SUM(VLOOKUP($BS577,'État &amp; Plan d''action'!$B$6:$Z$1113,19,FALSE),VLOOKUP($BS577,'État &amp; Plan d''action'!$B$6:$Z$1113,21,FALSE))/(VLOOKUP($BS577,'Données par municipalité'!$B$4:$L$1113,11,FALSE)),"")</f>
        <v/>
      </c>
      <c r="DG577" s="476" t="s">
        <v>4723</v>
      </c>
      <c r="DH577" s="484">
        <v>3</v>
      </c>
      <c r="DI577" s="484" t="s">
        <v>1124</v>
      </c>
      <c r="DJ577" s="484">
        <v>2</v>
      </c>
      <c r="DK577" s="484">
        <v>4</v>
      </c>
      <c r="DL577" s="484">
        <v>0</v>
      </c>
      <c r="DM577" s="484">
        <v>0</v>
      </c>
      <c r="DN577" s="484">
        <v>0</v>
      </c>
      <c r="DO577" s="484">
        <v>0</v>
      </c>
      <c r="DP577" s="484">
        <v>0</v>
      </c>
      <c r="DQ577" s="484">
        <f>IF(VLOOKUP($BS577,'État &amp; Plan d''action'!$B$6:$AJ$1113,28,FALSE)="","",VLOOKUP($BS577,'État &amp; Plan d''action'!$B$6:$AJ$1113,28,FALSE))</f>
        <v>0</v>
      </c>
      <c r="DR577" s="70">
        <f>IF(VLOOKUP($BS577,'État &amp; Plan d''action'!$B$6:$AJ$1113,29,FALSE)="","",VLOOKUP($BS577,'État &amp; Plan d''action'!$B$6:$AJ$1113,29,FALSE))</f>
        <v>0</v>
      </c>
      <c r="DS577" s="70">
        <f>IF(VLOOKUP($BS577,'État &amp; Plan d''action'!$B$6:$AJ$1113,30,FALSE)="","",VLOOKUP($BS577,'État &amp; Plan d''action'!$B$6:$AJ$1113,30,FALSE))</f>
        <v>0</v>
      </c>
      <c r="DT577" s="70">
        <v>228</v>
      </c>
      <c r="DU577" s="485" t="s">
        <v>1124</v>
      </c>
      <c r="DV577" s="485">
        <v>1.1000000000000001</v>
      </c>
      <c r="DW577" s="70">
        <v>0</v>
      </c>
      <c r="DX577" s="70">
        <v>0</v>
      </c>
      <c r="DY577" s="70">
        <v>0</v>
      </c>
      <c r="DZ577" s="70">
        <f>VLOOKUP($BS577,'État &amp; Plan d''action'!$B$6:$AH$1113,31,FALSE)</f>
        <v>0</v>
      </c>
      <c r="EA577" s="70">
        <f>VLOOKUP($BS577,'État &amp; Plan d''action'!$B$6:$AH$1113,32,FALSE)</f>
        <v>0</v>
      </c>
      <c r="EB577" s="70">
        <f>VLOOKUP($BS577,'État &amp; Plan d''action'!$B$6:$AH$1113,33,FALSE)</f>
        <v>0</v>
      </c>
      <c r="EC577" s="70">
        <v>0</v>
      </c>
      <c r="ED577" s="70">
        <v>0</v>
      </c>
      <c r="EE577" s="70">
        <v>0</v>
      </c>
      <c r="EF577" s="70">
        <v>0</v>
      </c>
      <c r="EG577" s="70">
        <v>0</v>
      </c>
      <c r="EH577" s="72">
        <v>67</v>
      </c>
      <c r="EI577" s="72">
        <v>1735</v>
      </c>
    </row>
    <row r="578" spans="71:139" x14ac:dyDescent="0.35">
      <c r="BS578" s="486">
        <v>12015</v>
      </c>
      <c r="BT578" s="479" t="s">
        <v>30</v>
      </c>
      <c r="BU578" s="479">
        <v>1</v>
      </c>
      <c r="BV578" s="476" t="s">
        <v>1187</v>
      </c>
      <c r="BW578" s="476" t="s">
        <v>1187</v>
      </c>
      <c r="BX578" s="476" t="s">
        <v>1187</v>
      </c>
      <c r="BY578" s="476" t="s">
        <v>1187</v>
      </c>
      <c r="BZ578" s="476" t="s">
        <v>1187</v>
      </c>
      <c r="CA578" s="476" t="s">
        <v>1187</v>
      </c>
      <c r="CB578" s="476" t="s">
        <v>1187</v>
      </c>
      <c r="CC578" s="476" t="s">
        <v>1187</v>
      </c>
      <c r="CD578" s="476" t="s">
        <v>1187</v>
      </c>
      <c r="CE578" s="476" t="s">
        <v>1188</v>
      </c>
      <c r="CF578" s="476" t="s">
        <v>1188</v>
      </c>
      <c r="CG578" s="476" t="s">
        <v>1188</v>
      </c>
      <c r="CH578" s="476" t="s">
        <v>1188</v>
      </c>
      <c r="CI578" s="476" t="s">
        <v>1188</v>
      </c>
      <c r="CJ578" s="476" t="s">
        <v>1187</v>
      </c>
      <c r="CK578" s="476" t="s">
        <v>1188</v>
      </c>
      <c r="CL578" s="476" t="s">
        <v>1188</v>
      </c>
      <c r="CM578" s="476" t="str">
        <f>IF(VLOOKUP(BS578,'Données par municipalité'!$B$6:$E$1113,4,FALSE)="","non","oui")</f>
        <v>oui</v>
      </c>
      <c r="CN578" s="410">
        <v>263.03052791227685</v>
      </c>
      <c r="CO578" s="410">
        <v>219.58941529911439</v>
      </c>
      <c r="CP578" s="410">
        <v>294.98735577658812</v>
      </c>
      <c r="CQ578" s="410">
        <v>317.2934151224859</v>
      </c>
      <c r="CR578" s="410">
        <v>271.51091769735837</v>
      </c>
      <c r="CS578" s="410" t="s">
        <v>1124</v>
      </c>
      <c r="CT578" s="410">
        <v>295.07352416570819</v>
      </c>
      <c r="CU578" s="410">
        <v>239</v>
      </c>
      <c r="CV578" s="410">
        <f>IF(VLOOKUP(BS578,'Données par municipalité'!$B$6:$F$1113,4,FALSE)="","",VLOOKUP(BS578,'Données par municipalité'!$B$6:$F$1113,4,FALSE))</f>
        <v>273</v>
      </c>
      <c r="CW578" s="476" t="s">
        <v>4723</v>
      </c>
      <c r="CX578" s="483">
        <v>0</v>
      </c>
      <c r="CY578" s="483">
        <v>0.1</v>
      </c>
      <c r="CZ578" s="483">
        <v>0.1</v>
      </c>
      <c r="DA578" s="483">
        <v>0.05</v>
      </c>
      <c r="DB578" s="483" t="s">
        <v>1124</v>
      </c>
      <c r="DC578" s="483">
        <v>0</v>
      </c>
      <c r="DD578" s="483">
        <v>0.50765403750478377</v>
      </c>
      <c r="DE578" s="483">
        <f>IFERROR(SUM(VLOOKUP($BS578,'État &amp; Plan d''action'!$B$6:$Z$1113,18,FALSE),VLOOKUP($BS578,'État &amp; Plan d''action'!$B$6:$Z$1113,20,FALSE))/(VLOOKUP($BS578,'Données par municipalité'!$B$4:$L$1113,11,FALSE)),"")</f>
        <v>9.5675468809797173E-2</v>
      </c>
      <c r="DF578" s="483">
        <f>IFERROR(SUM(VLOOKUP($BS578,'État &amp; Plan d''action'!$B$6:$Z$1113,19,FALSE),VLOOKUP($BS578,'État &amp; Plan d''action'!$B$6:$Z$1113,21,FALSE))/(VLOOKUP($BS578,'Données par municipalité'!$B$4:$L$1113,11,FALSE)),"")</f>
        <v>0.23918867202449293</v>
      </c>
      <c r="DG578" s="476" t="s">
        <v>4723</v>
      </c>
      <c r="DH578" s="484">
        <v>1</v>
      </c>
      <c r="DI578" s="484">
        <v>3</v>
      </c>
      <c r="DJ578" s="484">
        <v>4</v>
      </c>
      <c r="DK578" s="484">
        <v>6</v>
      </c>
      <c r="DL578" s="484" t="s">
        <v>1124</v>
      </c>
      <c r="DM578" s="484">
        <v>4</v>
      </c>
      <c r="DN578" s="484">
        <v>2</v>
      </c>
      <c r="DO578" s="484">
        <v>1</v>
      </c>
      <c r="DP578" s="484">
        <v>0</v>
      </c>
      <c r="DQ578" s="484">
        <f>IF(VLOOKUP($BS578,'État &amp; Plan d''action'!$B$6:$AJ$1113,28,FALSE)="","",VLOOKUP($BS578,'État &amp; Plan d''action'!$B$6:$AJ$1113,28,FALSE))</f>
        <v>0</v>
      </c>
      <c r="DR578" s="70">
        <f>IF(VLOOKUP($BS578,'État &amp; Plan d''action'!$B$6:$AJ$1113,29,FALSE)="","",VLOOKUP($BS578,'État &amp; Plan d''action'!$B$6:$AJ$1113,29,FALSE))</f>
        <v>0</v>
      </c>
      <c r="DS578" s="70">
        <f>IF(VLOOKUP($BS578,'État &amp; Plan d''action'!$B$6:$AJ$1113,30,FALSE)="","",VLOOKUP($BS578,'État &amp; Plan d''action'!$B$6:$AJ$1113,30,FALSE))</f>
        <v>0</v>
      </c>
      <c r="DT578" s="70">
        <v>180</v>
      </c>
      <c r="DU578" s="485">
        <v>1.3927108130745913</v>
      </c>
      <c r="DV578" s="485">
        <v>2.1338309649083604</v>
      </c>
      <c r="DW578" s="70">
        <v>1</v>
      </c>
      <c r="DX578" s="70">
        <v>1</v>
      </c>
      <c r="DY578" s="70">
        <v>0</v>
      </c>
      <c r="DZ578" s="70">
        <f>VLOOKUP($BS578,'État &amp; Plan d''action'!$B$6:$AH$1113,31,FALSE)</f>
        <v>0</v>
      </c>
      <c r="EA578" s="70">
        <f>VLOOKUP($BS578,'État &amp; Plan d''action'!$B$6:$AH$1113,32,FALSE)</f>
        <v>0</v>
      </c>
      <c r="EB578" s="70">
        <f>VLOOKUP($BS578,'État &amp; Plan d''action'!$B$6:$AH$1113,33,FALSE)</f>
        <v>0</v>
      </c>
      <c r="EC578" s="70">
        <v>0</v>
      </c>
      <c r="ED578" s="70">
        <v>0</v>
      </c>
      <c r="EE578" s="70">
        <v>10.612</v>
      </c>
      <c r="EF578" s="70">
        <v>0</v>
      </c>
      <c r="EG578" s="70">
        <v>0</v>
      </c>
      <c r="EH578" s="72">
        <v>52</v>
      </c>
      <c r="EI578" s="72">
        <v>4211</v>
      </c>
    </row>
    <row r="579" spans="71:139" x14ac:dyDescent="0.35">
      <c r="BS579" s="486">
        <v>33090</v>
      </c>
      <c r="BT579" s="479" t="s">
        <v>280</v>
      </c>
      <c r="BU579" s="479">
        <v>12</v>
      </c>
      <c r="BV579" s="476" t="s">
        <v>1187</v>
      </c>
      <c r="BW579" s="476" t="s">
        <v>1187</v>
      </c>
      <c r="BX579" s="476" t="s">
        <v>1187</v>
      </c>
      <c r="BY579" s="476" t="s">
        <v>1187</v>
      </c>
      <c r="BZ579" s="476" t="s">
        <v>1187</v>
      </c>
      <c r="CA579" s="476" t="s">
        <v>1187</v>
      </c>
      <c r="CB579" s="476" t="s">
        <v>1187</v>
      </c>
      <c r="CC579" s="476" t="s">
        <v>1187</v>
      </c>
      <c r="CD579" s="476" t="s">
        <v>1187</v>
      </c>
      <c r="CE579" s="476" t="s">
        <v>1188</v>
      </c>
      <c r="CF579" s="476" t="s">
        <v>1188</v>
      </c>
      <c r="CG579" s="476" t="s">
        <v>1188</v>
      </c>
      <c r="CH579" s="476" t="s">
        <v>1188</v>
      </c>
      <c r="CI579" s="476" t="s">
        <v>1188</v>
      </c>
      <c r="CJ579" s="476" t="s">
        <v>1188</v>
      </c>
      <c r="CK579" s="476" t="s">
        <v>1188</v>
      </c>
      <c r="CL579" s="476" t="s">
        <v>1188</v>
      </c>
      <c r="CM579" s="476" t="str">
        <f>IF(VLOOKUP(BS579,'Données par municipalité'!$B$6:$E$1113,4,FALSE)="","non","oui")</f>
        <v>oui</v>
      </c>
      <c r="CN579" s="410">
        <v>274.63130993790793</v>
      </c>
      <c r="CO579" s="410">
        <v>243.76784094803585</v>
      </c>
      <c r="CP579" s="410">
        <v>199.37808323115311</v>
      </c>
      <c r="CQ579" s="410">
        <v>188.24773242977392</v>
      </c>
      <c r="CR579" s="410">
        <v>200.85652959829332</v>
      </c>
      <c r="CS579" s="410">
        <v>204.06587918234368</v>
      </c>
      <c r="CT579" s="410">
        <v>204.97647601365802</v>
      </c>
      <c r="CU579" s="410">
        <v>222</v>
      </c>
      <c r="CV579" s="410">
        <f>IF(VLOOKUP(BS579,'Données par municipalité'!$B$6:$F$1113,4,FALSE)="","",VLOOKUP(BS579,'Données par municipalité'!$B$6:$F$1113,4,FALSE))</f>
        <v>217</v>
      </c>
      <c r="CW579" s="476" t="s">
        <v>4723</v>
      </c>
      <c r="CX579" s="483">
        <v>0.3</v>
      </c>
      <c r="CY579" s="483">
        <v>0.08</v>
      </c>
      <c r="CZ579" s="483">
        <v>0.08</v>
      </c>
      <c r="DA579" s="483">
        <v>0.1</v>
      </c>
      <c r="DB579" s="483">
        <v>0.1</v>
      </c>
      <c r="DC579" s="483">
        <v>0.11</v>
      </c>
      <c r="DD579" s="483">
        <v>0.27044025157232704</v>
      </c>
      <c r="DE579" s="483">
        <f>IFERROR(SUM(VLOOKUP($BS579,'État &amp; Plan d''action'!$B$6:$Z$1113,18,FALSE),VLOOKUP($BS579,'État &amp; Plan d''action'!$B$6:$Z$1113,20,FALSE))/(VLOOKUP($BS579,'Données par municipalité'!$B$4:$L$1113,11,FALSE)),"")</f>
        <v>0.81761006289308169</v>
      </c>
      <c r="DF579" s="483">
        <f>IFERROR(SUM(VLOOKUP($BS579,'État &amp; Plan d''action'!$B$6:$Z$1113,19,FALSE),VLOOKUP($BS579,'État &amp; Plan d''action'!$B$6:$Z$1113,21,FALSE))/(VLOOKUP($BS579,'Données par municipalité'!$B$4:$L$1113,11,FALSE)),"")</f>
        <v>0.81761006289308169</v>
      </c>
      <c r="DG579" s="476" t="s">
        <v>4723</v>
      </c>
      <c r="DH579" s="484">
        <v>5</v>
      </c>
      <c r="DI579" s="484">
        <v>3</v>
      </c>
      <c r="DJ579" s="484">
        <v>5</v>
      </c>
      <c r="DK579" s="484">
        <v>4</v>
      </c>
      <c r="DL579" s="484">
        <v>3</v>
      </c>
      <c r="DM579" s="484">
        <v>5</v>
      </c>
      <c r="DN579" s="484">
        <v>6</v>
      </c>
      <c r="DO579" s="484">
        <v>8</v>
      </c>
      <c r="DP579" s="484">
        <v>0</v>
      </c>
      <c r="DQ579" s="484">
        <f>IF(VLOOKUP($BS579,'État &amp; Plan d''action'!$B$6:$AJ$1113,28,FALSE)="","",VLOOKUP($BS579,'État &amp; Plan d''action'!$B$6:$AJ$1113,28,FALSE))</f>
        <v>5</v>
      </c>
      <c r="DR579" s="70">
        <f>IF(VLOOKUP($BS579,'État &amp; Plan d''action'!$B$6:$AJ$1113,29,FALSE)="","",VLOOKUP($BS579,'État &amp; Plan d''action'!$B$6:$AJ$1113,29,FALSE))</f>
        <v>4</v>
      </c>
      <c r="DS579" s="70">
        <f>IF(VLOOKUP($BS579,'État &amp; Plan d''action'!$B$6:$AJ$1113,30,FALSE)="","",VLOOKUP($BS579,'État &amp; Plan d''action'!$B$6:$AJ$1113,30,FALSE))</f>
        <v>6</v>
      </c>
      <c r="DT579" s="70">
        <v>140</v>
      </c>
      <c r="DU579" s="485">
        <v>1.8878360334195847</v>
      </c>
      <c r="DV579" s="485">
        <v>1.0366025498886433</v>
      </c>
      <c r="DW579" s="70">
        <v>2</v>
      </c>
      <c r="DX579" s="70">
        <v>2</v>
      </c>
      <c r="DY579" s="70">
        <v>0</v>
      </c>
      <c r="DZ579" s="70">
        <f>VLOOKUP($BS579,'État &amp; Plan d''action'!$B$6:$AH$1113,31,FALSE)</f>
        <v>1</v>
      </c>
      <c r="EA579" s="70">
        <f>VLOOKUP($BS579,'État &amp; Plan d''action'!$B$6:$AH$1113,32,FALSE)</f>
        <v>1</v>
      </c>
      <c r="EB579" s="70">
        <f>VLOOKUP($BS579,'État &amp; Plan d''action'!$B$6:$AH$1113,33,FALSE)</f>
        <v>4</v>
      </c>
      <c r="EC579" s="70">
        <v>31.8</v>
      </c>
      <c r="ED579" s="70">
        <v>8.6</v>
      </c>
      <c r="EE579" s="70">
        <v>0</v>
      </c>
      <c r="EF579" s="70">
        <v>0</v>
      </c>
      <c r="EG579" s="70">
        <v>0</v>
      </c>
      <c r="EH579" s="72">
        <v>75</v>
      </c>
      <c r="EI579" s="72">
        <v>6919</v>
      </c>
    </row>
    <row r="580" spans="71:139" x14ac:dyDescent="0.35">
      <c r="BS580" s="486">
        <v>46017</v>
      </c>
      <c r="BT580" s="479" t="s">
        <v>429</v>
      </c>
      <c r="BU580" s="479">
        <v>5</v>
      </c>
      <c r="BV580" s="476" t="s">
        <v>1187</v>
      </c>
      <c r="BW580" s="476" t="s">
        <v>1187</v>
      </c>
      <c r="BX580" s="476" t="s">
        <v>1187</v>
      </c>
      <c r="BY580" s="476" t="s">
        <v>1187</v>
      </c>
      <c r="BZ580" s="476" t="s">
        <v>1187</v>
      </c>
      <c r="CA580" s="476" t="s">
        <v>1187</v>
      </c>
      <c r="CB580" s="476" t="s">
        <v>1187</v>
      </c>
      <c r="CC580" s="476" t="s">
        <v>1187</v>
      </c>
      <c r="CD580" s="476" t="s">
        <v>1187</v>
      </c>
      <c r="CE580" s="476" t="s">
        <v>1187</v>
      </c>
      <c r="CF580" s="476" t="s">
        <v>1187</v>
      </c>
      <c r="CG580" s="476" t="s">
        <v>1187</v>
      </c>
      <c r="CH580" s="476" t="s">
        <v>1188</v>
      </c>
      <c r="CI580" s="476" t="s">
        <v>1187</v>
      </c>
      <c r="CJ580" s="476" t="s">
        <v>1187</v>
      </c>
      <c r="CK580" s="476" t="s">
        <v>1187</v>
      </c>
      <c r="CL580" s="476" t="s">
        <v>1187</v>
      </c>
      <c r="CM580" s="476" t="str">
        <f>IF(VLOOKUP(BS580,'Données par municipalité'!$B$6:$E$1113,4,FALSE)="","non","oui")</f>
        <v>non</v>
      </c>
      <c r="CN580" s="410" t="s">
        <v>1124</v>
      </c>
      <c r="CO580" s="410" t="s">
        <v>1124</v>
      </c>
      <c r="CP580" s="410"/>
      <c r="CQ580" s="410">
        <v>798.28175046279159</v>
      </c>
      <c r="CR580" s="410"/>
      <c r="CS580" s="410" t="s">
        <v>1124</v>
      </c>
      <c r="CT580" s="410"/>
      <c r="CU580" s="410" t="s">
        <v>1124</v>
      </c>
      <c r="CV580" s="410" t="str">
        <f>IF(VLOOKUP(BS580,'Données par municipalité'!$B$6:$F$1113,4,FALSE)="","",VLOOKUP(BS580,'Données par municipalité'!$B$6:$F$1113,4,FALSE))</f>
        <v/>
      </c>
      <c r="CW580" s="476" t="s">
        <v>4723</v>
      </c>
      <c r="CX580" s="483" t="s">
        <v>1124</v>
      </c>
      <c r="CY580" s="483" t="s">
        <v>1124</v>
      </c>
      <c r="CZ580" s="483">
        <v>0</v>
      </c>
      <c r="DA580" s="483" t="s">
        <v>1124</v>
      </c>
      <c r="DB580" s="483" t="s">
        <v>1124</v>
      </c>
      <c r="DC580" s="483" t="s">
        <v>1124</v>
      </c>
      <c r="DD580" s="483" t="s">
        <v>1124</v>
      </c>
      <c r="DE580" s="483" t="str">
        <f>IFERROR(SUM(VLOOKUP($BS580,'État &amp; Plan d''action'!$B$6:$Z$1113,18,FALSE),VLOOKUP($BS580,'État &amp; Plan d''action'!$B$6:$Z$1113,20,FALSE))/(VLOOKUP($BS580,'Données par municipalité'!$B$4:$L$1113,11,FALSE)),"")</f>
        <v/>
      </c>
      <c r="DF580" s="483" t="str">
        <f>IFERROR(SUM(VLOOKUP($BS580,'État &amp; Plan d''action'!$B$6:$Z$1113,19,FALSE),VLOOKUP($BS580,'État &amp; Plan d''action'!$B$6:$Z$1113,21,FALSE))/(VLOOKUP($BS580,'Données par municipalité'!$B$4:$L$1113,11,FALSE)),"")</f>
        <v/>
      </c>
      <c r="DG580" s="476" t="s">
        <v>4723</v>
      </c>
      <c r="DH580" s="484" t="s">
        <v>1124</v>
      </c>
      <c r="DI580" s="484" t="s">
        <v>1124</v>
      </c>
      <c r="DJ580" s="484">
        <v>3</v>
      </c>
      <c r="DK580" s="484">
        <v>0</v>
      </c>
      <c r="DL580" s="484" t="s">
        <v>1124</v>
      </c>
      <c r="DM580" s="484" t="s">
        <v>1124</v>
      </c>
      <c r="DN580" s="484" t="s">
        <v>1124</v>
      </c>
      <c r="DO580" s="484" t="s">
        <v>1124</v>
      </c>
      <c r="DP580" s="484" t="s">
        <v>1124</v>
      </c>
      <c r="DQ580" s="484" t="str">
        <f>IF(VLOOKUP($BS580,'État &amp; Plan d''action'!$B$6:$AJ$1113,28,FALSE)="","",VLOOKUP($BS580,'État &amp; Plan d''action'!$B$6:$AJ$1113,28,FALSE))</f>
        <v/>
      </c>
      <c r="DR580" s="70" t="str">
        <f>IF(VLOOKUP($BS580,'État &amp; Plan d''action'!$B$6:$AJ$1113,29,FALSE)="","",VLOOKUP($BS580,'État &amp; Plan d''action'!$B$6:$AJ$1113,29,FALSE))</f>
        <v/>
      </c>
      <c r="DS580" s="70" t="str">
        <f>IF(VLOOKUP($BS580,'État &amp; Plan d''action'!$B$6:$AJ$1113,30,FALSE)="","",VLOOKUP($BS580,'État &amp; Plan d''action'!$B$6:$AJ$1113,30,FALSE))</f>
        <v/>
      </c>
      <c r="DT580" s="70" t="s">
        <v>1124</v>
      </c>
      <c r="DU580" s="485" t="s">
        <v>1124</v>
      </c>
      <c r="DV580" s="485" t="s">
        <v>1124</v>
      </c>
      <c r="DW580" s="70" t="s">
        <v>1124</v>
      </c>
      <c r="DX580" s="70" t="s">
        <v>1124</v>
      </c>
      <c r="DY580" s="70" t="s">
        <v>1124</v>
      </c>
      <c r="DZ580" s="70" t="str">
        <f>VLOOKUP($BS580,'État &amp; Plan d''action'!$B$6:$AH$1113,31,FALSE)</f>
        <v/>
      </c>
      <c r="EA580" s="70" t="str">
        <f>VLOOKUP($BS580,'État &amp; Plan d''action'!$B$6:$AH$1113,32,FALSE)</f>
        <v/>
      </c>
      <c r="EB580" s="70" t="str">
        <f>VLOOKUP($BS580,'État &amp; Plan d''action'!$B$6:$AH$1113,33,FALSE)</f>
        <v/>
      </c>
      <c r="EC580" s="70" t="s">
        <v>1124</v>
      </c>
      <c r="ED580" s="70" t="s">
        <v>1124</v>
      </c>
      <c r="EE580" s="70" t="s">
        <v>1124</v>
      </c>
      <c r="EF580" s="70" t="s">
        <v>1124</v>
      </c>
      <c r="EG580" s="70" t="s">
        <v>1124</v>
      </c>
      <c r="EH580" s="72"/>
      <c r="EI580" s="72">
        <v>1222</v>
      </c>
    </row>
    <row r="581" spans="71:139" x14ac:dyDescent="0.35">
      <c r="BS581" s="486">
        <v>12065</v>
      </c>
      <c r="BT581" s="479" t="s">
        <v>38</v>
      </c>
      <c r="BU581" s="479">
        <v>1</v>
      </c>
      <c r="BV581" s="476" t="s">
        <v>1187</v>
      </c>
      <c r="BW581" s="476" t="s">
        <v>1187</v>
      </c>
      <c r="BX581" s="476" t="s">
        <v>1187</v>
      </c>
      <c r="BY581" s="476" t="s">
        <v>1187</v>
      </c>
      <c r="BZ581" s="476" t="s">
        <v>1187</v>
      </c>
      <c r="CA581" s="476" t="s">
        <v>1187</v>
      </c>
      <c r="CB581" s="476" t="s">
        <v>1187</v>
      </c>
      <c r="CC581" s="476" t="s">
        <v>1187</v>
      </c>
      <c r="CD581" s="476" t="s">
        <v>1187</v>
      </c>
      <c r="CE581" s="476" t="s">
        <v>1188</v>
      </c>
      <c r="CF581" s="476" t="s">
        <v>1188</v>
      </c>
      <c r="CG581" s="476" t="s">
        <v>1188</v>
      </c>
      <c r="CH581" s="476" t="s">
        <v>1187</v>
      </c>
      <c r="CI581" s="476" t="s">
        <v>1188</v>
      </c>
      <c r="CJ581" s="476" t="s">
        <v>1188</v>
      </c>
      <c r="CK581" s="476" t="s">
        <v>1188</v>
      </c>
      <c r="CL581" s="476" t="s">
        <v>1188</v>
      </c>
      <c r="CM581" s="476" t="str">
        <f>IF(VLOOKUP(BS581,'Données par municipalité'!$B$6:$E$1113,4,FALSE)="","non","oui")</f>
        <v>oui</v>
      </c>
      <c r="CN581" s="410">
        <v>166.88802033924028</v>
      </c>
      <c r="CO581" s="410">
        <v>183.18975099899092</v>
      </c>
      <c r="CP581" s="410">
        <v>176.31863983282383</v>
      </c>
      <c r="CQ581" s="410"/>
      <c r="CR581" s="410">
        <v>222.27959848654586</v>
      </c>
      <c r="CS581" s="410">
        <v>230.82462039834226</v>
      </c>
      <c r="CT581" s="410">
        <v>214.25996389340992</v>
      </c>
      <c r="CU581" s="410">
        <v>209</v>
      </c>
      <c r="CV581" s="410">
        <f>IF(VLOOKUP(BS581,'Données par municipalité'!$B$6:$F$1113,4,FALSE)="","",VLOOKUP(BS581,'Données par municipalité'!$B$6:$F$1113,4,FALSE))</f>
        <v>208</v>
      </c>
      <c r="CW581" s="476" t="s">
        <v>4723</v>
      </c>
      <c r="CX581" s="483">
        <v>0</v>
      </c>
      <c r="CY581" s="483">
        <v>0.1</v>
      </c>
      <c r="CZ581" s="483" t="s">
        <v>1124</v>
      </c>
      <c r="DA581" s="483">
        <v>0</v>
      </c>
      <c r="DB581" s="483">
        <v>0</v>
      </c>
      <c r="DC581" s="483">
        <v>0</v>
      </c>
      <c r="DD581" s="483">
        <v>0</v>
      </c>
      <c r="DE581" s="483">
        <f>IFERROR(SUM(VLOOKUP($BS581,'État &amp; Plan d''action'!$B$6:$Z$1113,18,FALSE),VLOOKUP($BS581,'État &amp; Plan d''action'!$B$6:$Z$1113,20,FALSE))/(VLOOKUP($BS581,'Données par municipalité'!$B$4:$L$1113,11,FALSE)),"")</f>
        <v>0</v>
      </c>
      <c r="DF581" s="483">
        <f>IFERROR(SUM(VLOOKUP($BS581,'État &amp; Plan d''action'!$B$6:$Z$1113,19,FALSE),VLOOKUP($BS581,'État &amp; Plan d''action'!$B$6:$Z$1113,21,FALSE))/(VLOOKUP($BS581,'Données par municipalité'!$B$4:$L$1113,11,FALSE)),"")</f>
        <v>0</v>
      </c>
      <c r="DG581" s="476" t="s">
        <v>4723</v>
      </c>
      <c r="DH581" s="484">
        <v>0</v>
      </c>
      <c r="DI581" s="484">
        <v>0</v>
      </c>
      <c r="DJ581" s="484">
        <v>0</v>
      </c>
      <c r="DK581" s="484">
        <v>0</v>
      </c>
      <c r="DL581" s="484">
        <v>0</v>
      </c>
      <c r="DM581" s="484">
        <v>0</v>
      </c>
      <c r="DN581" s="484">
        <v>0</v>
      </c>
      <c r="DO581" s="484">
        <v>0</v>
      </c>
      <c r="DP581" s="484">
        <v>0</v>
      </c>
      <c r="DQ581" s="484">
        <f>IF(VLOOKUP($BS581,'État &amp; Plan d''action'!$B$6:$AJ$1113,28,FALSE)="","",VLOOKUP($BS581,'État &amp; Plan d''action'!$B$6:$AJ$1113,28,FALSE))</f>
        <v>0</v>
      </c>
      <c r="DR581" s="70">
        <f>IF(VLOOKUP($BS581,'État &amp; Plan d''action'!$B$6:$AJ$1113,29,FALSE)="","",VLOOKUP($BS581,'État &amp; Plan d''action'!$B$6:$AJ$1113,29,FALSE))</f>
        <v>0</v>
      </c>
      <c r="DS581" s="70">
        <f>IF(VLOOKUP($BS581,'État &amp; Plan d''action'!$B$6:$AJ$1113,30,FALSE)="","",VLOOKUP($BS581,'État &amp; Plan d''action'!$B$6:$AJ$1113,30,FALSE))</f>
        <v>0</v>
      </c>
      <c r="DT581" s="70">
        <v>121</v>
      </c>
      <c r="DU581" s="485">
        <v>2.4594746838787227</v>
      </c>
      <c r="DV581" s="485">
        <v>2.0495503356140898</v>
      </c>
      <c r="DW581" s="70">
        <v>0</v>
      </c>
      <c r="DX581" s="70">
        <v>0</v>
      </c>
      <c r="DY581" s="70">
        <v>0</v>
      </c>
      <c r="DZ581" s="70">
        <f>VLOOKUP($BS581,'État &amp; Plan d''action'!$B$6:$AH$1113,31,FALSE)</f>
        <v>0</v>
      </c>
      <c r="EA581" s="70">
        <f>VLOOKUP($BS581,'État &amp; Plan d''action'!$B$6:$AH$1113,32,FALSE)</f>
        <v>0</v>
      </c>
      <c r="EB581" s="70">
        <f>VLOOKUP($BS581,'État &amp; Plan d''action'!$B$6:$AH$1113,33,FALSE)</f>
        <v>0</v>
      </c>
      <c r="EC581" s="70">
        <v>7.73</v>
      </c>
      <c r="ED581" s="70">
        <v>0</v>
      </c>
      <c r="EE581" s="70">
        <v>0</v>
      </c>
      <c r="EF581" s="70">
        <v>0</v>
      </c>
      <c r="EG581" s="70">
        <v>0</v>
      </c>
      <c r="EH581" s="72">
        <v>68.47777777777776</v>
      </c>
      <c r="EI581" s="72">
        <v>1254</v>
      </c>
    </row>
    <row r="582" spans="71:139" x14ac:dyDescent="0.35">
      <c r="BS582" s="486">
        <v>13100</v>
      </c>
      <c r="BT582" s="479" t="s">
        <v>59</v>
      </c>
      <c r="BU582" s="479">
        <v>1</v>
      </c>
      <c r="BV582" s="476" t="s">
        <v>1188</v>
      </c>
      <c r="BW582" s="476" t="s">
        <v>1188</v>
      </c>
      <c r="BX582" s="476" t="s">
        <v>1188</v>
      </c>
      <c r="BY582" s="476" t="s">
        <v>1188</v>
      </c>
      <c r="BZ582" s="476" t="s">
        <v>1188</v>
      </c>
      <c r="CA582" s="476" t="s">
        <v>1188</v>
      </c>
      <c r="CB582" s="476" t="s">
        <v>1188</v>
      </c>
      <c r="CC582" s="476" t="s">
        <v>1188</v>
      </c>
      <c r="CD582" s="476" t="s">
        <v>1188</v>
      </c>
      <c r="CE582" s="476" t="s">
        <v>1187</v>
      </c>
      <c r="CF582" s="476" t="s">
        <v>1187</v>
      </c>
      <c r="CG582" s="476" t="s">
        <v>1187</v>
      </c>
      <c r="CH582" s="476" t="s">
        <v>1187</v>
      </c>
      <c r="CI582" s="476" t="s">
        <v>1187</v>
      </c>
      <c r="CJ582" s="476" t="s">
        <v>1187</v>
      </c>
      <c r="CK582" s="476" t="s">
        <v>1187</v>
      </c>
      <c r="CL582" s="476" t="s">
        <v>1187</v>
      </c>
      <c r="CM582" s="476" t="str">
        <f>IF(VLOOKUP(BS582,'Données par municipalité'!$B$6:$E$1113,4,FALSE)="","non","oui")</f>
        <v>non</v>
      </c>
      <c r="CN582" s="410" t="s">
        <v>1124</v>
      </c>
      <c r="CO582" s="410" t="s">
        <v>1124</v>
      </c>
      <c r="CP582" s="410"/>
      <c r="CQ582" s="410"/>
      <c r="CR582" s="410"/>
      <c r="CS582" s="410" t="s">
        <v>1124</v>
      </c>
      <c r="CT582" s="410"/>
      <c r="CU582" s="410" t="s">
        <v>1124</v>
      </c>
      <c r="CV582" s="410" t="str">
        <f>IF(VLOOKUP(BS582,'Données par municipalité'!$B$6:$F$1113,4,FALSE)="","",VLOOKUP(BS582,'Données par municipalité'!$B$6:$F$1113,4,FALSE))</f>
        <v/>
      </c>
      <c r="CW582" s="476" t="s">
        <v>4723</v>
      </c>
      <c r="CX582" s="483" t="s">
        <v>1124</v>
      </c>
      <c r="CY582" s="483" t="s">
        <v>1124</v>
      </c>
      <c r="CZ582" s="483" t="s">
        <v>1124</v>
      </c>
      <c r="DA582" s="483" t="s">
        <v>1124</v>
      </c>
      <c r="DB582" s="483" t="s">
        <v>1124</v>
      </c>
      <c r="DC582" s="483" t="s">
        <v>1124</v>
      </c>
      <c r="DD582" s="483" t="s">
        <v>1124</v>
      </c>
      <c r="DE582" s="483" t="str">
        <f>IFERROR(SUM(VLOOKUP($BS582,'État &amp; Plan d''action'!$B$6:$Z$1113,18,FALSE),VLOOKUP($BS582,'État &amp; Plan d''action'!$B$6:$Z$1113,20,FALSE))/(VLOOKUP($BS582,'Données par municipalité'!$B$4:$L$1113,11,FALSE)),"")</f>
        <v/>
      </c>
      <c r="DF582" s="483" t="str">
        <f>IFERROR(SUM(VLOOKUP($BS582,'État &amp; Plan d''action'!$B$6:$Z$1113,19,FALSE),VLOOKUP($BS582,'État &amp; Plan d''action'!$B$6:$Z$1113,21,FALSE))/(VLOOKUP($BS582,'Données par municipalité'!$B$4:$L$1113,11,FALSE)),"")</f>
        <v/>
      </c>
      <c r="DG582" s="476" t="s">
        <v>4723</v>
      </c>
      <c r="DH582" s="484" t="s">
        <v>1124</v>
      </c>
      <c r="DI582" s="484" t="s">
        <v>1124</v>
      </c>
      <c r="DJ582" s="484">
        <v>0</v>
      </c>
      <c r="DK582" s="484">
        <v>0</v>
      </c>
      <c r="DL582" s="484" t="s">
        <v>1124</v>
      </c>
      <c r="DM582" s="484" t="s">
        <v>1124</v>
      </c>
      <c r="DN582" s="484" t="s">
        <v>1124</v>
      </c>
      <c r="DO582" s="484" t="s">
        <v>1124</v>
      </c>
      <c r="DP582" s="484" t="s">
        <v>1124</v>
      </c>
      <c r="DQ582" s="484" t="str">
        <f>IF(VLOOKUP($BS582,'État &amp; Plan d''action'!$B$6:$AJ$1113,28,FALSE)="","",VLOOKUP($BS582,'État &amp; Plan d''action'!$B$6:$AJ$1113,28,FALSE))</f>
        <v/>
      </c>
      <c r="DR582" s="70" t="str">
        <f>IF(VLOOKUP($BS582,'État &amp; Plan d''action'!$B$6:$AJ$1113,29,FALSE)="","",VLOOKUP($BS582,'État &amp; Plan d''action'!$B$6:$AJ$1113,29,FALSE))</f>
        <v/>
      </c>
      <c r="DS582" s="70" t="str">
        <f>IF(VLOOKUP($BS582,'État &amp; Plan d''action'!$B$6:$AJ$1113,30,FALSE)="","",VLOOKUP($BS582,'État &amp; Plan d''action'!$B$6:$AJ$1113,30,FALSE))</f>
        <v/>
      </c>
      <c r="DT582" s="70" t="s">
        <v>1124</v>
      </c>
      <c r="DU582" s="485" t="s">
        <v>1124</v>
      </c>
      <c r="DV582" s="485" t="s">
        <v>1124</v>
      </c>
      <c r="DW582" s="70" t="s">
        <v>1124</v>
      </c>
      <c r="DX582" s="70" t="s">
        <v>1124</v>
      </c>
      <c r="DY582" s="70" t="s">
        <v>1124</v>
      </c>
      <c r="DZ582" s="70" t="str">
        <f>VLOOKUP($BS582,'État &amp; Plan d''action'!$B$6:$AH$1113,31,FALSE)</f>
        <v/>
      </c>
      <c r="EA582" s="70" t="str">
        <f>VLOOKUP($BS582,'État &amp; Plan d''action'!$B$6:$AH$1113,32,FALSE)</f>
        <v/>
      </c>
      <c r="EB582" s="70" t="str">
        <f>VLOOKUP($BS582,'État &amp; Plan d''action'!$B$6:$AH$1113,33,FALSE)</f>
        <v/>
      </c>
      <c r="EC582" s="70" t="s">
        <v>1124</v>
      </c>
      <c r="ED582" s="70" t="s">
        <v>1124</v>
      </c>
      <c r="EE582" s="70" t="s">
        <v>1124</v>
      </c>
      <c r="EF582" s="70" t="s">
        <v>1124</v>
      </c>
      <c r="EG582" s="70" t="s">
        <v>1124</v>
      </c>
      <c r="EH582" s="72"/>
      <c r="EI582" s="72">
        <v>304</v>
      </c>
    </row>
    <row r="583" spans="71:139" x14ac:dyDescent="0.35">
      <c r="BS583" s="486">
        <v>17055</v>
      </c>
      <c r="BT583" s="479" t="s">
        <v>99</v>
      </c>
      <c r="BU583" s="479">
        <v>12</v>
      </c>
      <c r="BV583" s="476" t="s">
        <v>1187</v>
      </c>
      <c r="BW583" s="476" t="s">
        <v>1187</v>
      </c>
      <c r="BX583" s="476" t="s">
        <v>1187</v>
      </c>
      <c r="BY583" s="476" t="s">
        <v>1187</v>
      </c>
      <c r="BZ583" s="476" t="s">
        <v>1187</v>
      </c>
      <c r="CA583" s="476" t="s">
        <v>1187</v>
      </c>
      <c r="CB583" s="476" t="s">
        <v>1187</v>
      </c>
      <c r="CC583" s="476" t="s">
        <v>1187</v>
      </c>
      <c r="CD583" s="476" t="s">
        <v>1187</v>
      </c>
      <c r="CE583" s="476" t="s">
        <v>1187</v>
      </c>
      <c r="CF583" s="476" t="s">
        <v>1187</v>
      </c>
      <c r="CG583" s="476" t="s">
        <v>1187</v>
      </c>
      <c r="CH583" s="476" t="s">
        <v>1188</v>
      </c>
      <c r="CI583" s="476" t="s">
        <v>1188</v>
      </c>
      <c r="CJ583" s="476" t="s">
        <v>1188</v>
      </c>
      <c r="CK583" s="476" t="s">
        <v>1188</v>
      </c>
      <c r="CL583" s="476" t="s">
        <v>1188</v>
      </c>
      <c r="CM583" s="476" t="str">
        <f>IF(VLOOKUP(BS583,'Données par municipalité'!$B$6:$E$1113,4,FALSE)="","non","oui")</f>
        <v>non</v>
      </c>
      <c r="CN583" s="410" t="s">
        <v>1124</v>
      </c>
      <c r="CO583" s="410" t="s">
        <v>1124</v>
      </c>
      <c r="CP583" s="410"/>
      <c r="CQ583" s="410">
        <v>355.34386064238737</v>
      </c>
      <c r="CR583" s="410">
        <v>326.70606202680312</v>
      </c>
      <c r="CS583" s="410">
        <v>387.56018603472467</v>
      </c>
      <c r="CT583" s="410">
        <v>511.37884872824634</v>
      </c>
      <c r="CU583" s="410">
        <v>318</v>
      </c>
      <c r="CV583" s="410" t="str">
        <f>IF(VLOOKUP(BS583,'Données par municipalité'!$B$6:$F$1113,4,FALSE)="","",VLOOKUP(BS583,'Données par municipalité'!$B$6:$F$1113,4,FALSE))</f>
        <v/>
      </c>
      <c r="CW583" s="476" t="s">
        <v>4723</v>
      </c>
      <c r="CX583" s="483" t="s">
        <v>1124</v>
      </c>
      <c r="CY583" s="483" t="s">
        <v>1124</v>
      </c>
      <c r="CZ583" s="483">
        <v>0</v>
      </c>
      <c r="DA583" s="483">
        <v>0</v>
      </c>
      <c r="DB583" s="483">
        <v>0</v>
      </c>
      <c r="DC583" s="483">
        <v>1</v>
      </c>
      <c r="DD583" s="483">
        <v>1</v>
      </c>
      <c r="DE583" s="483" t="str">
        <f>IFERROR(SUM(VLOOKUP($BS583,'État &amp; Plan d''action'!$B$6:$Z$1113,18,FALSE),VLOOKUP($BS583,'État &amp; Plan d''action'!$B$6:$Z$1113,20,FALSE))/(VLOOKUP($BS583,'Données par municipalité'!$B$4:$L$1113,11,FALSE)),"")</f>
        <v/>
      </c>
      <c r="DF583" s="483" t="str">
        <f>IFERROR(SUM(VLOOKUP($BS583,'État &amp; Plan d''action'!$B$6:$Z$1113,19,FALSE),VLOOKUP($BS583,'État &amp; Plan d''action'!$B$6:$Z$1113,21,FALSE))/(VLOOKUP($BS583,'Données par municipalité'!$B$4:$L$1113,11,FALSE)),"")</f>
        <v/>
      </c>
      <c r="DG583" s="476" t="s">
        <v>4723</v>
      </c>
      <c r="DH583" s="484" t="s">
        <v>1124</v>
      </c>
      <c r="DI583" s="484" t="s">
        <v>1124</v>
      </c>
      <c r="DJ583" s="484">
        <v>0</v>
      </c>
      <c r="DK583" s="484">
        <v>1</v>
      </c>
      <c r="DL583" s="484">
        <v>0</v>
      </c>
      <c r="DM583" s="484">
        <v>0</v>
      </c>
      <c r="DN583" s="484">
        <v>0</v>
      </c>
      <c r="DO583" s="484">
        <v>0</v>
      </c>
      <c r="DP583" s="484">
        <v>0</v>
      </c>
      <c r="DQ583" s="484" t="str">
        <f>IF(VLOOKUP($BS583,'État &amp; Plan d''action'!$B$6:$AJ$1113,28,FALSE)="","",VLOOKUP($BS583,'État &amp; Plan d''action'!$B$6:$AJ$1113,28,FALSE))</f>
        <v/>
      </c>
      <c r="DR583" s="70" t="str">
        <f>IF(VLOOKUP($BS583,'État &amp; Plan d''action'!$B$6:$AJ$1113,29,FALSE)="","",VLOOKUP($BS583,'État &amp; Plan d''action'!$B$6:$AJ$1113,29,FALSE))</f>
        <v/>
      </c>
      <c r="DS583" s="70" t="str">
        <f>IF(VLOOKUP($BS583,'État &amp; Plan d''action'!$B$6:$AJ$1113,30,FALSE)="","",VLOOKUP($BS583,'État &amp; Plan d''action'!$B$6:$AJ$1113,30,FALSE))</f>
        <v/>
      </c>
      <c r="DT583" s="70">
        <v>201</v>
      </c>
      <c r="DU583" s="485">
        <v>3.8215080587961943</v>
      </c>
      <c r="DV583" s="485" t="s">
        <v>1124</v>
      </c>
      <c r="DW583" s="70">
        <v>0</v>
      </c>
      <c r="DX583" s="70">
        <v>0</v>
      </c>
      <c r="DY583" s="70">
        <v>0</v>
      </c>
      <c r="DZ583" s="70" t="str">
        <f>VLOOKUP($BS583,'État &amp; Plan d''action'!$B$6:$AH$1113,31,FALSE)</f>
        <v/>
      </c>
      <c r="EA583" s="70" t="str">
        <f>VLOOKUP($BS583,'État &amp; Plan d''action'!$B$6:$AH$1113,32,FALSE)</f>
        <v/>
      </c>
      <c r="EB583" s="70" t="str">
        <f>VLOOKUP($BS583,'État &amp; Plan d''action'!$B$6:$AH$1113,33,FALSE)</f>
        <v/>
      </c>
      <c r="EC583" s="70">
        <v>0</v>
      </c>
      <c r="ED583" s="70">
        <v>7.2489999999999997</v>
      </c>
      <c r="EE583" s="70">
        <v>0</v>
      </c>
      <c r="EF583" s="70">
        <v>0</v>
      </c>
      <c r="EG583" s="70">
        <v>0</v>
      </c>
      <c r="EH583" s="72">
        <v>38</v>
      </c>
      <c r="EI583" s="72">
        <v>1472</v>
      </c>
    </row>
    <row r="584" spans="71:139" x14ac:dyDescent="0.35">
      <c r="BS584" s="486">
        <v>92005</v>
      </c>
      <c r="BT584" s="479" t="s">
        <v>946</v>
      </c>
      <c r="BU584" s="479">
        <v>2</v>
      </c>
      <c r="BV584" s="476" t="s">
        <v>1187</v>
      </c>
      <c r="BW584" s="476" t="s">
        <v>1187</v>
      </c>
      <c r="BX584" s="476" t="s">
        <v>1187</v>
      </c>
      <c r="BY584" s="476" t="s">
        <v>1187</v>
      </c>
      <c r="BZ584" s="476" t="s">
        <v>1187</v>
      </c>
      <c r="CA584" s="476" t="s">
        <v>1187</v>
      </c>
      <c r="CB584" s="476" t="s">
        <v>1187</v>
      </c>
      <c r="CC584" s="476" t="s">
        <v>1187</v>
      </c>
      <c r="CD584" s="476" t="s">
        <v>1187</v>
      </c>
      <c r="CE584" s="476" t="s">
        <v>1188</v>
      </c>
      <c r="CF584" s="476" t="s">
        <v>1187</v>
      </c>
      <c r="CG584" s="476" t="s">
        <v>1187</v>
      </c>
      <c r="CH584" s="476" t="s">
        <v>1188</v>
      </c>
      <c r="CI584" s="476" t="s">
        <v>1188</v>
      </c>
      <c r="CJ584" s="476" t="s">
        <v>1188</v>
      </c>
      <c r="CK584" s="476" t="s">
        <v>1187</v>
      </c>
      <c r="CL584" s="476" t="s">
        <v>1187</v>
      </c>
      <c r="CM584" s="476" t="str">
        <f>IF(VLOOKUP(BS584,'Données par municipalité'!$B$6:$E$1113,4,FALSE)="","non","oui")</f>
        <v>oui</v>
      </c>
      <c r="CN584" s="410">
        <v>623.45890410958907</v>
      </c>
      <c r="CO584" s="410" t="s">
        <v>1124</v>
      </c>
      <c r="CP584" s="410"/>
      <c r="CQ584" s="410">
        <v>527.21150301386535</v>
      </c>
      <c r="CR584" s="410">
        <v>824.0435613018667</v>
      </c>
      <c r="CS584" s="410">
        <v>828.29722597246553</v>
      </c>
      <c r="CT584" s="410"/>
      <c r="CU584" s="410" t="s">
        <v>1124</v>
      </c>
      <c r="CV584" s="410">
        <f>IF(VLOOKUP(BS584,'Données par municipalité'!$B$6:$F$1113,4,FALSE)="","",VLOOKUP(BS584,'Données par municipalité'!$B$6:$F$1113,4,FALSE))</f>
        <v>843</v>
      </c>
      <c r="CW584" s="476" t="s">
        <v>4723</v>
      </c>
      <c r="CX584" s="483" t="s">
        <v>1124</v>
      </c>
      <c r="CY584" s="483" t="s">
        <v>1124</v>
      </c>
      <c r="CZ584" s="483">
        <v>0.1</v>
      </c>
      <c r="DA584" s="483">
        <v>0</v>
      </c>
      <c r="DB584" s="483">
        <v>0</v>
      </c>
      <c r="DC584" s="483" t="s">
        <v>1124</v>
      </c>
      <c r="DD584" s="483" t="s">
        <v>1124</v>
      </c>
      <c r="DE584" s="483">
        <f>IFERROR(SUM(VLOOKUP($BS584,'État &amp; Plan d''action'!$B$6:$Z$1113,18,FALSE),VLOOKUP($BS584,'État &amp; Plan d''action'!$B$6:$Z$1113,20,FALSE))/(VLOOKUP($BS584,'Données par municipalité'!$B$4:$L$1113,11,FALSE)),"")</f>
        <v>0</v>
      </c>
      <c r="DF584" s="483">
        <f>IFERROR(SUM(VLOOKUP($BS584,'État &amp; Plan d''action'!$B$6:$Z$1113,19,FALSE),VLOOKUP($BS584,'État &amp; Plan d''action'!$B$6:$Z$1113,21,FALSE))/(VLOOKUP($BS584,'Données par municipalité'!$B$4:$L$1113,11,FALSE)),"")</f>
        <v>0</v>
      </c>
      <c r="DG584" s="476" t="s">
        <v>4723</v>
      </c>
      <c r="DH584" s="484">
        <v>3</v>
      </c>
      <c r="DI584" s="484">
        <v>6</v>
      </c>
      <c r="DJ584" s="484">
        <v>12</v>
      </c>
      <c r="DK584" s="484">
        <v>4</v>
      </c>
      <c r="DL584" s="484">
        <v>3</v>
      </c>
      <c r="DM584" s="484" t="s">
        <v>1124</v>
      </c>
      <c r="DN584" s="484" t="s">
        <v>1124</v>
      </c>
      <c r="DO584" s="484" t="s">
        <v>1124</v>
      </c>
      <c r="DP584" s="484" t="s">
        <v>1124</v>
      </c>
      <c r="DQ584" s="484">
        <f>IF(VLOOKUP($BS584,'État &amp; Plan d''action'!$B$6:$AJ$1113,28,FALSE)="","",VLOOKUP($BS584,'État &amp; Plan d''action'!$B$6:$AJ$1113,28,FALSE))</f>
        <v>0</v>
      </c>
      <c r="DR584" s="70">
        <f>IF(VLOOKUP($BS584,'État &amp; Plan d''action'!$B$6:$AJ$1113,29,FALSE)="","",VLOOKUP($BS584,'État &amp; Plan d''action'!$B$6:$AJ$1113,29,FALSE))</f>
        <v>0</v>
      </c>
      <c r="DS584" s="70">
        <f>IF(VLOOKUP($BS584,'État &amp; Plan d''action'!$B$6:$AJ$1113,30,FALSE)="","",VLOOKUP($BS584,'État &amp; Plan d''action'!$B$6:$AJ$1113,30,FALSE))</f>
        <v>1</v>
      </c>
      <c r="DT584" s="70" t="s">
        <v>1124</v>
      </c>
      <c r="DU584" s="485" t="s">
        <v>1124</v>
      </c>
      <c r="DV584" s="485">
        <v>2.8575670465213161</v>
      </c>
      <c r="DW584" s="70" t="s">
        <v>1124</v>
      </c>
      <c r="DX584" s="70" t="s">
        <v>1124</v>
      </c>
      <c r="DY584" s="70" t="s">
        <v>1124</v>
      </c>
      <c r="DZ584" s="70">
        <f>VLOOKUP($BS584,'État &amp; Plan d''action'!$B$6:$AH$1113,31,FALSE)</f>
        <v>0</v>
      </c>
      <c r="EA584" s="70">
        <f>VLOOKUP($BS584,'État &amp; Plan d''action'!$B$6:$AH$1113,32,FALSE)</f>
        <v>0</v>
      </c>
      <c r="EB584" s="70">
        <f>VLOOKUP($BS584,'État &amp; Plan d''action'!$B$6:$AH$1113,33,FALSE)</f>
        <v>1</v>
      </c>
      <c r="EC584" s="70" t="s">
        <v>1124</v>
      </c>
      <c r="ED584" s="70" t="s">
        <v>1124</v>
      </c>
      <c r="EE584" s="70" t="s">
        <v>1124</v>
      </c>
      <c r="EF584" s="70" t="s">
        <v>1124</v>
      </c>
      <c r="EG584" s="70" t="s">
        <v>1124</v>
      </c>
      <c r="EH584" s="72"/>
      <c r="EI584" s="72">
        <v>360</v>
      </c>
    </row>
    <row r="585" spans="71:139" x14ac:dyDescent="0.35">
      <c r="BS585" s="486">
        <v>98012</v>
      </c>
      <c r="BT585" s="479" t="s">
        <v>1008</v>
      </c>
      <c r="BU585" s="479">
        <v>9</v>
      </c>
      <c r="BV585" s="476" t="s">
        <v>1187</v>
      </c>
      <c r="BW585" s="476" t="s">
        <v>1187</v>
      </c>
      <c r="BX585" s="476" t="s">
        <v>1187</v>
      </c>
      <c r="BY585" s="476" t="s">
        <v>1187</v>
      </c>
      <c r="BZ585" s="476" t="s">
        <v>1187</v>
      </c>
      <c r="CA585" s="476" t="s">
        <v>1187</v>
      </c>
      <c r="CB585" s="476" t="s">
        <v>1187</v>
      </c>
      <c r="CC585" s="476" t="s">
        <v>1187</v>
      </c>
      <c r="CD585" s="476" t="s">
        <v>1187</v>
      </c>
      <c r="CE585" s="476" t="s">
        <v>1187</v>
      </c>
      <c r="CF585" s="476" t="s">
        <v>1187</v>
      </c>
      <c r="CG585" s="476" t="s">
        <v>1187</v>
      </c>
      <c r="CH585" s="476" t="s">
        <v>1187</v>
      </c>
      <c r="CI585" s="476" t="s">
        <v>1187</v>
      </c>
      <c r="CJ585" s="476" t="s">
        <v>1187</v>
      </c>
      <c r="CK585" s="476" t="s">
        <v>1187</v>
      </c>
      <c r="CL585" s="476" t="s">
        <v>1187</v>
      </c>
      <c r="CM585" s="476" t="str">
        <f>IF(VLOOKUP(BS585,'Données par municipalité'!$B$6:$E$1113,4,FALSE)="","non","oui")</f>
        <v>oui</v>
      </c>
      <c r="CN585" s="410" t="s">
        <v>1124</v>
      </c>
      <c r="CO585" s="410" t="s">
        <v>1124</v>
      </c>
      <c r="CP585" s="410"/>
      <c r="CQ585" s="410"/>
      <c r="CR585" s="410"/>
      <c r="CS585" s="410" t="s">
        <v>1124</v>
      </c>
      <c r="CT585" s="410"/>
      <c r="CU585" s="410" t="s">
        <v>1124</v>
      </c>
      <c r="CV585" s="410">
        <f>IF(VLOOKUP(BS585,'Données par municipalité'!$B$6:$F$1113,4,FALSE)="","",VLOOKUP(BS585,'Données par municipalité'!$B$6:$F$1113,4,FALSE))</f>
        <v>810</v>
      </c>
      <c r="CW585" s="476" t="s">
        <v>4723</v>
      </c>
      <c r="CX585" s="483" t="s">
        <v>1124</v>
      </c>
      <c r="CY585" s="483" t="s">
        <v>1124</v>
      </c>
      <c r="CZ585" s="483" t="s">
        <v>1124</v>
      </c>
      <c r="DA585" s="483" t="s">
        <v>1124</v>
      </c>
      <c r="DB585" s="483" t="s">
        <v>1124</v>
      </c>
      <c r="DC585" s="483" t="s">
        <v>1124</v>
      </c>
      <c r="DD585" s="483" t="s">
        <v>1124</v>
      </c>
      <c r="DE585" s="483">
        <f>IFERROR(SUM(VLOOKUP($BS585,'État &amp; Plan d''action'!$B$6:$Z$1113,18,FALSE),VLOOKUP($BS585,'État &amp; Plan d''action'!$B$6:$Z$1113,20,FALSE))/(VLOOKUP($BS585,'Données par municipalité'!$B$4:$L$1113,11,FALSE)),"")</f>
        <v>0</v>
      </c>
      <c r="DF585" s="483">
        <f>IFERROR(SUM(VLOOKUP($BS585,'État &amp; Plan d''action'!$B$6:$Z$1113,19,FALSE),VLOOKUP($BS585,'État &amp; Plan d''action'!$B$6:$Z$1113,21,FALSE))/(VLOOKUP($BS585,'Données par municipalité'!$B$4:$L$1113,11,FALSE)),"")</f>
        <v>0</v>
      </c>
      <c r="DG585" s="476" t="s">
        <v>4723</v>
      </c>
      <c r="DH585" s="484">
        <v>12</v>
      </c>
      <c r="DI585" s="484" t="s">
        <v>1124</v>
      </c>
      <c r="DJ585" s="484">
        <v>0</v>
      </c>
      <c r="DK585" s="484">
        <v>0</v>
      </c>
      <c r="DL585" s="484" t="s">
        <v>1124</v>
      </c>
      <c r="DM585" s="484" t="s">
        <v>1124</v>
      </c>
      <c r="DN585" s="484" t="s">
        <v>1124</v>
      </c>
      <c r="DO585" s="484" t="s">
        <v>1124</v>
      </c>
      <c r="DP585" s="484" t="s">
        <v>1124</v>
      </c>
      <c r="DQ585" s="484">
        <f>IF(VLOOKUP($BS585,'État &amp; Plan d''action'!$B$6:$AJ$1113,28,FALSE)="","",VLOOKUP($BS585,'État &amp; Plan d''action'!$B$6:$AJ$1113,28,FALSE))</f>
        <v>6</v>
      </c>
      <c r="DR585" s="70">
        <f>IF(VLOOKUP($BS585,'État &amp; Plan d''action'!$B$6:$AJ$1113,29,FALSE)="","",VLOOKUP($BS585,'État &amp; Plan d''action'!$B$6:$AJ$1113,29,FALSE))</f>
        <v>0</v>
      </c>
      <c r="DS585" s="70">
        <f>IF(VLOOKUP($BS585,'État &amp; Plan d''action'!$B$6:$AJ$1113,30,FALSE)="","",VLOOKUP($BS585,'État &amp; Plan d''action'!$B$6:$AJ$1113,30,FALSE))</f>
        <v>0</v>
      </c>
      <c r="DT585" s="70" t="s">
        <v>1124</v>
      </c>
      <c r="DU585" s="485" t="s">
        <v>1124</v>
      </c>
      <c r="DV585" s="485">
        <v>1.419740831427682</v>
      </c>
      <c r="DW585" s="70" t="s">
        <v>1124</v>
      </c>
      <c r="DX585" s="70" t="s">
        <v>1124</v>
      </c>
      <c r="DY585" s="70" t="s">
        <v>1124</v>
      </c>
      <c r="DZ585" s="70">
        <f>VLOOKUP($BS585,'État &amp; Plan d''action'!$B$6:$AH$1113,31,FALSE)</f>
        <v>3</v>
      </c>
      <c r="EA585" s="70">
        <f>VLOOKUP($BS585,'État &amp; Plan d''action'!$B$6:$AH$1113,32,FALSE)</f>
        <v>0</v>
      </c>
      <c r="EB585" s="70">
        <f>VLOOKUP($BS585,'État &amp; Plan d''action'!$B$6:$AH$1113,33,FALSE)</f>
        <v>0</v>
      </c>
      <c r="EC585" s="70" t="s">
        <v>1124</v>
      </c>
      <c r="ED585" s="70" t="s">
        <v>1124</v>
      </c>
      <c r="EE585" s="70" t="s">
        <v>1124</v>
      </c>
      <c r="EF585" s="70" t="s">
        <v>1124</v>
      </c>
      <c r="EG585" s="70" t="s">
        <v>1124</v>
      </c>
      <c r="EH585" s="72"/>
      <c r="EI585" s="72">
        <v>679</v>
      </c>
    </row>
    <row r="586" spans="71:139" x14ac:dyDescent="0.35">
      <c r="BS586" s="486">
        <v>23072</v>
      </c>
      <c r="BT586" s="479" t="s">
        <v>165</v>
      </c>
      <c r="BU586" s="479">
        <v>3</v>
      </c>
      <c r="BV586" s="476" t="s">
        <v>1187</v>
      </c>
      <c r="BW586" s="476" t="s">
        <v>1187</v>
      </c>
      <c r="BX586" s="476" t="s">
        <v>1187</v>
      </c>
      <c r="BY586" s="476" t="s">
        <v>1187</v>
      </c>
      <c r="BZ586" s="476" t="s">
        <v>1187</v>
      </c>
      <c r="CA586" s="476" t="s">
        <v>1187</v>
      </c>
      <c r="CB586" s="476" t="s">
        <v>1187</v>
      </c>
      <c r="CC586" s="476" t="s">
        <v>1187</v>
      </c>
      <c r="CD586" s="476" t="s">
        <v>1187</v>
      </c>
      <c r="CE586" s="476" t="s">
        <v>1188</v>
      </c>
      <c r="CF586" s="476" t="s">
        <v>1188</v>
      </c>
      <c r="CG586" s="476" t="s">
        <v>1188</v>
      </c>
      <c r="CH586" s="476" t="s">
        <v>1188</v>
      </c>
      <c r="CI586" s="476" t="s">
        <v>1188</v>
      </c>
      <c r="CJ586" s="476" t="s">
        <v>1188</v>
      </c>
      <c r="CK586" s="476" t="s">
        <v>1188</v>
      </c>
      <c r="CL586" s="476" t="s">
        <v>1187</v>
      </c>
      <c r="CM586" s="476" t="str">
        <f>IF(VLOOKUP(BS586,'Données par municipalité'!$B$6:$E$1113,4,FALSE)="","non","oui")</f>
        <v>non</v>
      </c>
      <c r="CN586" s="410">
        <v>241.99315015283719</v>
      </c>
      <c r="CO586" s="410">
        <v>369.70539556826787</v>
      </c>
      <c r="CP586" s="410">
        <v>294.06660457554085</v>
      </c>
      <c r="CQ586" s="410">
        <v>318.46060362881633</v>
      </c>
      <c r="CR586" s="410">
        <v>422</v>
      </c>
      <c r="CS586" s="410">
        <v>406</v>
      </c>
      <c r="CT586" s="410">
        <v>413</v>
      </c>
      <c r="CU586" s="410" t="s">
        <v>1124</v>
      </c>
      <c r="CV586" s="410" t="str">
        <f>IF(VLOOKUP(BS586,'Données par municipalité'!$B$6:$F$1113,4,FALSE)="","",VLOOKUP(BS586,'Données par municipalité'!$B$6:$F$1113,4,FALSE))</f>
        <v/>
      </c>
      <c r="CW586" s="476" t="s">
        <v>4723</v>
      </c>
      <c r="CX586" s="483">
        <v>0.66</v>
      </c>
      <c r="CY586" s="483">
        <v>0.2</v>
      </c>
      <c r="CZ586" s="483">
        <v>0.2</v>
      </c>
      <c r="DA586" s="483">
        <v>0</v>
      </c>
      <c r="DB586" s="483">
        <v>0</v>
      </c>
      <c r="DC586" s="483">
        <v>0.4</v>
      </c>
      <c r="DD586" s="483" t="s">
        <v>1124</v>
      </c>
      <c r="DE586" s="483" t="str">
        <f>IFERROR(SUM(VLOOKUP($BS586,'État &amp; Plan d''action'!$B$6:$Z$1113,18,FALSE),VLOOKUP($BS586,'État &amp; Plan d''action'!$B$6:$Z$1113,20,FALSE))/(VLOOKUP($BS586,'Données par municipalité'!$B$4:$L$1113,11,FALSE)),"")</f>
        <v/>
      </c>
      <c r="DF586" s="483" t="str">
        <f>IFERROR(SUM(VLOOKUP($BS586,'État &amp; Plan d''action'!$B$6:$Z$1113,19,FALSE),VLOOKUP($BS586,'État &amp; Plan d''action'!$B$6:$Z$1113,21,FALSE))/(VLOOKUP($BS586,'Données par municipalité'!$B$4:$L$1113,11,FALSE)),"")</f>
        <v/>
      </c>
      <c r="DG586" s="476" t="s">
        <v>4723</v>
      </c>
      <c r="DH586" s="484">
        <v>13</v>
      </c>
      <c r="DI586" s="484">
        <v>10</v>
      </c>
      <c r="DJ586" s="484">
        <v>9</v>
      </c>
      <c r="DK586" s="484">
        <v>8</v>
      </c>
      <c r="DL586" s="484">
        <v>7</v>
      </c>
      <c r="DM586" s="484">
        <v>8</v>
      </c>
      <c r="DN586" s="484" t="s">
        <v>1124</v>
      </c>
      <c r="DO586" s="484" t="s">
        <v>1124</v>
      </c>
      <c r="DP586" s="484" t="s">
        <v>1124</v>
      </c>
      <c r="DQ586" s="484" t="str">
        <f>IF(VLOOKUP($BS586,'État &amp; Plan d''action'!$B$6:$AJ$1113,28,FALSE)="","",VLOOKUP($BS586,'État &amp; Plan d''action'!$B$6:$AJ$1113,28,FALSE))</f>
        <v/>
      </c>
      <c r="DR586" s="70" t="str">
        <f>IF(VLOOKUP($BS586,'État &amp; Plan d''action'!$B$6:$AJ$1113,29,FALSE)="","",VLOOKUP($BS586,'État &amp; Plan d''action'!$B$6:$AJ$1113,29,FALSE))</f>
        <v/>
      </c>
      <c r="DS586" s="70" t="str">
        <f>IF(VLOOKUP($BS586,'État &amp; Plan d''action'!$B$6:$AJ$1113,30,FALSE)="","",VLOOKUP($BS586,'État &amp; Plan d''action'!$B$6:$AJ$1113,30,FALSE))</f>
        <v/>
      </c>
      <c r="DT586" s="70" t="s">
        <v>1124</v>
      </c>
      <c r="DU586" s="485" t="s">
        <v>1124</v>
      </c>
      <c r="DV586" s="485" t="s">
        <v>1124</v>
      </c>
      <c r="DW586" s="70" t="s">
        <v>1124</v>
      </c>
      <c r="DX586" s="70" t="s">
        <v>1124</v>
      </c>
      <c r="DY586" s="70" t="s">
        <v>1124</v>
      </c>
      <c r="DZ586" s="70" t="str">
        <f>VLOOKUP($BS586,'État &amp; Plan d''action'!$B$6:$AH$1113,31,FALSE)</f>
        <v/>
      </c>
      <c r="EA586" s="70" t="str">
        <f>VLOOKUP($BS586,'État &amp; Plan d''action'!$B$6:$AH$1113,32,FALSE)</f>
        <v/>
      </c>
      <c r="EB586" s="70" t="str">
        <f>VLOOKUP($BS586,'État &amp; Plan d''action'!$B$6:$AH$1113,33,FALSE)</f>
        <v/>
      </c>
      <c r="EC586" s="70" t="s">
        <v>1124</v>
      </c>
      <c r="ED586" s="70" t="s">
        <v>1124</v>
      </c>
      <c r="EE586" s="70" t="s">
        <v>1124</v>
      </c>
      <c r="EF586" s="70" t="s">
        <v>1124</v>
      </c>
      <c r="EG586" s="70" t="s">
        <v>1124</v>
      </c>
      <c r="EH586" s="72"/>
      <c r="EI586" s="72">
        <v>19153</v>
      </c>
    </row>
    <row r="587" spans="71:139" x14ac:dyDescent="0.35">
      <c r="BS587" s="486">
        <v>30005</v>
      </c>
      <c r="BT587" s="479" t="s">
        <v>217</v>
      </c>
      <c r="BU587" s="479">
        <v>5</v>
      </c>
      <c r="BV587" s="476" t="s">
        <v>1188</v>
      </c>
      <c r="BW587" s="476" t="s">
        <v>1188</v>
      </c>
      <c r="BX587" s="476" t="s">
        <v>1188</v>
      </c>
      <c r="BY587" s="476" t="s">
        <v>1188</v>
      </c>
      <c r="BZ587" s="476" t="s">
        <v>1188</v>
      </c>
      <c r="CA587" s="476" t="s">
        <v>1188</v>
      </c>
      <c r="CB587" s="476" t="s">
        <v>1188</v>
      </c>
      <c r="CC587" s="476" t="s">
        <v>1188</v>
      </c>
      <c r="CD587" s="476" t="s">
        <v>1188</v>
      </c>
      <c r="CE587" s="476" t="s">
        <v>1187</v>
      </c>
      <c r="CF587" s="476" t="s">
        <v>1187</v>
      </c>
      <c r="CG587" s="476" t="s">
        <v>1187</v>
      </c>
      <c r="CH587" s="476" t="s">
        <v>1187</v>
      </c>
      <c r="CI587" s="476" t="s">
        <v>1187</v>
      </c>
      <c r="CJ587" s="476" t="s">
        <v>1187</v>
      </c>
      <c r="CK587" s="476" t="s">
        <v>1187</v>
      </c>
      <c r="CL587" s="476" t="s">
        <v>1187</v>
      </c>
      <c r="CM587" s="476" t="str">
        <f>IF(VLOOKUP(BS587,'Données par municipalité'!$B$6:$E$1113,4,FALSE)="","non","oui")</f>
        <v>non</v>
      </c>
      <c r="CN587" s="410" t="s">
        <v>1124</v>
      </c>
      <c r="CO587" s="410" t="s">
        <v>1124</v>
      </c>
      <c r="CP587" s="410"/>
      <c r="CQ587" s="410"/>
      <c r="CR587" s="410"/>
      <c r="CS587" s="410" t="s">
        <v>1124</v>
      </c>
      <c r="CT587" s="410"/>
      <c r="CU587" s="410" t="s">
        <v>1124</v>
      </c>
      <c r="CV587" s="410" t="str">
        <f>IF(VLOOKUP(BS587,'Données par municipalité'!$B$6:$F$1113,4,FALSE)="","",VLOOKUP(BS587,'Données par municipalité'!$B$6:$F$1113,4,FALSE))</f>
        <v/>
      </c>
      <c r="CW587" s="476" t="s">
        <v>4723</v>
      </c>
      <c r="CX587" s="483" t="s">
        <v>1124</v>
      </c>
      <c r="CY587" s="483" t="s">
        <v>1124</v>
      </c>
      <c r="CZ587" s="483" t="s">
        <v>1124</v>
      </c>
      <c r="DA587" s="483" t="s">
        <v>1124</v>
      </c>
      <c r="DB587" s="483" t="s">
        <v>1124</v>
      </c>
      <c r="DC587" s="483" t="s">
        <v>1124</v>
      </c>
      <c r="DD587" s="483" t="s">
        <v>1124</v>
      </c>
      <c r="DE587" s="483" t="str">
        <f>IFERROR(SUM(VLOOKUP($BS587,'État &amp; Plan d''action'!$B$6:$Z$1113,18,FALSE),VLOOKUP($BS587,'État &amp; Plan d''action'!$B$6:$Z$1113,20,FALSE))/(VLOOKUP($BS587,'Données par municipalité'!$B$4:$L$1113,11,FALSE)),"")</f>
        <v/>
      </c>
      <c r="DF587" s="483" t="str">
        <f>IFERROR(SUM(VLOOKUP($BS587,'État &amp; Plan d''action'!$B$6:$Z$1113,19,FALSE),VLOOKUP($BS587,'État &amp; Plan d''action'!$B$6:$Z$1113,21,FALSE))/(VLOOKUP($BS587,'Données par municipalité'!$B$4:$L$1113,11,FALSE)),"")</f>
        <v/>
      </c>
      <c r="DG587" s="476" t="s">
        <v>4723</v>
      </c>
      <c r="DH587" s="484" t="s">
        <v>1124</v>
      </c>
      <c r="DI587" s="484" t="s">
        <v>1124</v>
      </c>
      <c r="DJ587" s="484">
        <v>0</v>
      </c>
      <c r="DK587" s="484">
        <v>0</v>
      </c>
      <c r="DL587" s="484" t="s">
        <v>1124</v>
      </c>
      <c r="DM587" s="484" t="s">
        <v>1124</v>
      </c>
      <c r="DN587" s="484" t="s">
        <v>1124</v>
      </c>
      <c r="DO587" s="484" t="s">
        <v>1124</v>
      </c>
      <c r="DP587" s="484" t="s">
        <v>1124</v>
      </c>
      <c r="DQ587" s="484" t="str">
        <f>IF(VLOOKUP($BS587,'État &amp; Plan d''action'!$B$6:$AJ$1113,28,FALSE)="","",VLOOKUP($BS587,'État &amp; Plan d''action'!$B$6:$AJ$1113,28,FALSE))</f>
        <v/>
      </c>
      <c r="DR587" s="70" t="str">
        <f>IF(VLOOKUP($BS587,'État &amp; Plan d''action'!$B$6:$AJ$1113,29,FALSE)="","",VLOOKUP($BS587,'État &amp; Plan d''action'!$B$6:$AJ$1113,29,FALSE))</f>
        <v/>
      </c>
      <c r="DS587" s="70" t="str">
        <f>IF(VLOOKUP($BS587,'État &amp; Plan d''action'!$B$6:$AJ$1113,30,FALSE)="","",VLOOKUP($BS587,'État &amp; Plan d''action'!$B$6:$AJ$1113,30,FALSE))</f>
        <v/>
      </c>
      <c r="DT587" s="70" t="s">
        <v>1124</v>
      </c>
      <c r="DU587" s="485" t="s">
        <v>1124</v>
      </c>
      <c r="DV587" s="485" t="s">
        <v>1124</v>
      </c>
      <c r="DW587" s="70" t="s">
        <v>1124</v>
      </c>
      <c r="DX587" s="70" t="s">
        <v>1124</v>
      </c>
      <c r="DY587" s="70" t="s">
        <v>1124</v>
      </c>
      <c r="DZ587" s="70" t="str">
        <f>VLOOKUP($BS587,'État &amp; Plan d''action'!$B$6:$AH$1113,31,FALSE)</f>
        <v/>
      </c>
      <c r="EA587" s="70" t="str">
        <f>VLOOKUP($BS587,'État &amp; Plan d''action'!$B$6:$AH$1113,32,FALSE)</f>
        <v/>
      </c>
      <c r="EB587" s="70" t="str">
        <f>VLOOKUP($BS587,'État &amp; Plan d''action'!$B$6:$AH$1113,33,FALSE)</f>
        <v/>
      </c>
      <c r="EC587" s="70" t="s">
        <v>1124</v>
      </c>
      <c r="ED587" s="70" t="s">
        <v>1124</v>
      </c>
      <c r="EE587" s="70" t="s">
        <v>1124</v>
      </c>
      <c r="EF587" s="70" t="s">
        <v>1124</v>
      </c>
      <c r="EG587" s="70" t="s">
        <v>1124</v>
      </c>
      <c r="EH587" s="72"/>
      <c r="EI587" s="72">
        <v>705</v>
      </c>
    </row>
    <row r="588" spans="71:139" x14ac:dyDescent="0.35">
      <c r="BS588" s="486">
        <v>51025</v>
      </c>
      <c r="BT588" s="479" t="s">
        <v>501</v>
      </c>
      <c r="BU588" s="479">
        <v>4</v>
      </c>
      <c r="BV588" s="476" t="s">
        <v>1187</v>
      </c>
      <c r="BW588" s="476" t="s">
        <v>1187</v>
      </c>
      <c r="BX588" s="476" t="s">
        <v>1187</v>
      </c>
      <c r="BY588" s="476" t="s">
        <v>1187</v>
      </c>
      <c r="BZ588" s="476" t="s">
        <v>1187</v>
      </c>
      <c r="CA588" s="476" t="s">
        <v>1187</v>
      </c>
      <c r="CB588" s="476" t="s">
        <v>1187</v>
      </c>
      <c r="CC588" s="476" t="s">
        <v>1187</v>
      </c>
      <c r="CD588" s="476" t="s">
        <v>1187</v>
      </c>
      <c r="CE588" s="476" t="s">
        <v>1188</v>
      </c>
      <c r="CF588" s="476" t="s">
        <v>1188</v>
      </c>
      <c r="CG588" s="476" t="s">
        <v>1188</v>
      </c>
      <c r="CH588" s="476" t="s">
        <v>1188</v>
      </c>
      <c r="CI588" s="476" t="s">
        <v>1188</v>
      </c>
      <c r="CJ588" s="476" t="s">
        <v>1188</v>
      </c>
      <c r="CK588" s="476" t="s">
        <v>1188</v>
      </c>
      <c r="CL588" s="476" t="s">
        <v>1187</v>
      </c>
      <c r="CM588" s="476" t="str">
        <f>IF(VLOOKUP(BS588,'Données par municipalité'!$B$6:$E$1113,4,FALSE)="","non","oui")</f>
        <v>non</v>
      </c>
      <c r="CN588" s="410">
        <v>616.47119819552745</v>
      </c>
      <c r="CO588" s="410">
        <v>430.18640843625309</v>
      </c>
      <c r="CP588" s="410">
        <v>444.23238606468027</v>
      </c>
      <c r="CQ588" s="410">
        <v>456.41008977979953</v>
      </c>
      <c r="CR588" s="410">
        <v>453.68141586007289</v>
      </c>
      <c r="CS588" s="410">
        <v>377.29124979089818</v>
      </c>
      <c r="CT588" s="410">
        <v>368.63408192476072</v>
      </c>
      <c r="CU588" s="410" t="s">
        <v>1124</v>
      </c>
      <c r="CV588" s="410" t="str">
        <f>IF(VLOOKUP(BS588,'Données par municipalité'!$B$6:$F$1113,4,FALSE)="","",VLOOKUP(BS588,'Données par municipalité'!$B$6:$F$1113,4,FALSE))</f>
        <v/>
      </c>
      <c r="CW588" s="476" t="s">
        <v>4723</v>
      </c>
      <c r="CX588" s="483">
        <v>0</v>
      </c>
      <c r="CY588" s="483">
        <v>1</v>
      </c>
      <c r="CZ588" s="483">
        <v>1</v>
      </c>
      <c r="DA588" s="483">
        <v>1</v>
      </c>
      <c r="DB588" s="483">
        <v>1</v>
      </c>
      <c r="DC588" s="483">
        <v>1</v>
      </c>
      <c r="DD588" s="483" t="s">
        <v>1124</v>
      </c>
      <c r="DE588" s="483" t="str">
        <f>IFERROR(SUM(VLOOKUP($BS588,'État &amp; Plan d''action'!$B$6:$Z$1113,18,FALSE),VLOOKUP($BS588,'État &amp; Plan d''action'!$B$6:$Z$1113,20,FALSE))/(VLOOKUP($BS588,'Données par municipalité'!$B$4:$L$1113,11,FALSE)),"")</f>
        <v/>
      </c>
      <c r="DF588" s="483" t="str">
        <f>IFERROR(SUM(VLOOKUP($BS588,'État &amp; Plan d''action'!$B$6:$Z$1113,19,FALSE),VLOOKUP($BS588,'État &amp; Plan d''action'!$B$6:$Z$1113,21,FALSE))/(VLOOKUP($BS588,'Données par municipalité'!$B$4:$L$1113,11,FALSE)),"")</f>
        <v/>
      </c>
      <c r="DG588" s="476" t="s">
        <v>4723</v>
      </c>
      <c r="DH588" s="484">
        <v>7</v>
      </c>
      <c r="DI588" s="484">
        <v>2</v>
      </c>
      <c r="DJ588" s="484">
        <v>6</v>
      </c>
      <c r="DK588" s="484">
        <v>2</v>
      </c>
      <c r="DL588" s="484">
        <v>1</v>
      </c>
      <c r="DM588" s="484">
        <v>3</v>
      </c>
      <c r="DN588" s="484" t="s">
        <v>1124</v>
      </c>
      <c r="DO588" s="484" t="s">
        <v>1124</v>
      </c>
      <c r="DP588" s="484" t="s">
        <v>1124</v>
      </c>
      <c r="DQ588" s="484" t="str">
        <f>IF(VLOOKUP($BS588,'État &amp; Plan d''action'!$B$6:$AJ$1113,28,FALSE)="","",VLOOKUP($BS588,'État &amp; Plan d''action'!$B$6:$AJ$1113,28,FALSE))</f>
        <v/>
      </c>
      <c r="DR588" s="70" t="str">
        <f>IF(VLOOKUP($BS588,'État &amp; Plan d''action'!$B$6:$AJ$1113,29,FALSE)="","",VLOOKUP($BS588,'État &amp; Plan d''action'!$B$6:$AJ$1113,29,FALSE))</f>
        <v/>
      </c>
      <c r="DS588" s="70" t="str">
        <f>IF(VLOOKUP($BS588,'État &amp; Plan d''action'!$B$6:$AJ$1113,30,FALSE)="","",VLOOKUP($BS588,'État &amp; Plan d''action'!$B$6:$AJ$1113,30,FALSE))</f>
        <v/>
      </c>
      <c r="DT588" s="70" t="s">
        <v>1124</v>
      </c>
      <c r="DU588" s="485" t="s">
        <v>1124</v>
      </c>
      <c r="DV588" s="485" t="s">
        <v>1124</v>
      </c>
      <c r="DW588" s="70" t="s">
        <v>1124</v>
      </c>
      <c r="DX588" s="70" t="s">
        <v>1124</v>
      </c>
      <c r="DY588" s="70" t="s">
        <v>1124</v>
      </c>
      <c r="DZ588" s="70" t="str">
        <f>VLOOKUP($BS588,'État &amp; Plan d''action'!$B$6:$AH$1113,31,FALSE)</f>
        <v/>
      </c>
      <c r="EA588" s="70" t="str">
        <f>VLOOKUP($BS588,'État &amp; Plan d''action'!$B$6:$AH$1113,32,FALSE)</f>
        <v/>
      </c>
      <c r="EB588" s="70" t="str">
        <f>VLOOKUP($BS588,'État &amp; Plan d''action'!$B$6:$AH$1113,33,FALSE)</f>
        <v/>
      </c>
      <c r="EC588" s="70" t="s">
        <v>1124</v>
      </c>
      <c r="ED588" s="70" t="s">
        <v>1124</v>
      </c>
      <c r="EE588" s="70" t="s">
        <v>1124</v>
      </c>
      <c r="EF588" s="70" t="s">
        <v>1124</v>
      </c>
      <c r="EG588" s="70" t="s">
        <v>1124</v>
      </c>
      <c r="EH588" s="72"/>
      <c r="EI588" s="72">
        <v>1210</v>
      </c>
    </row>
    <row r="589" spans="71:139" x14ac:dyDescent="0.35">
      <c r="BS589" s="486">
        <v>54105</v>
      </c>
      <c r="BT589" s="479" t="s">
        <v>554</v>
      </c>
      <c r="BU589" s="479">
        <v>16</v>
      </c>
      <c r="BV589" s="476" t="s">
        <v>1187</v>
      </c>
      <c r="BW589" s="476" t="s">
        <v>1187</v>
      </c>
      <c r="BX589" s="476" t="s">
        <v>1187</v>
      </c>
      <c r="BY589" s="476" t="s">
        <v>1187</v>
      </c>
      <c r="BZ589" s="476" t="s">
        <v>1187</v>
      </c>
      <c r="CA589" s="476" t="s">
        <v>1187</v>
      </c>
      <c r="CB589" s="476" t="s">
        <v>1187</v>
      </c>
      <c r="CC589" s="476" t="s">
        <v>1187</v>
      </c>
      <c r="CD589" s="476" t="s">
        <v>1187</v>
      </c>
      <c r="CE589" s="476" t="s">
        <v>1188</v>
      </c>
      <c r="CF589" s="476" t="s">
        <v>1188</v>
      </c>
      <c r="CG589" s="476" t="s">
        <v>1188</v>
      </c>
      <c r="CH589" s="476" t="s">
        <v>1188</v>
      </c>
      <c r="CI589" s="476" t="s">
        <v>1188</v>
      </c>
      <c r="CJ589" s="476" t="s">
        <v>1188</v>
      </c>
      <c r="CK589" s="476" t="s">
        <v>1188</v>
      </c>
      <c r="CL589" s="476" t="s">
        <v>1187</v>
      </c>
      <c r="CM589" s="476" t="str">
        <f>IF(VLOOKUP(BS589,'Données par municipalité'!$B$6:$E$1113,4,FALSE)="","non","oui")</f>
        <v>non</v>
      </c>
      <c r="CN589" s="410">
        <v>586.99079406311012</v>
      </c>
      <c r="CO589" s="410">
        <v>602.95159287684487</v>
      </c>
      <c r="CP589" s="410">
        <v>550.18779472698247</v>
      </c>
      <c r="CQ589" s="410">
        <v>530.16458987441138</v>
      </c>
      <c r="CR589" s="410">
        <v>512.19290647222374</v>
      </c>
      <c r="CS589" s="410">
        <v>551.1905457662449</v>
      </c>
      <c r="CT589" s="410">
        <v>590.21813290235798</v>
      </c>
      <c r="CU589" s="410" t="s">
        <v>1124</v>
      </c>
      <c r="CV589" s="410" t="str">
        <f>IF(VLOOKUP(BS589,'Données par municipalité'!$B$6:$F$1113,4,FALSE)="","",VLOOKUP(BS589,'Données par municipalité'!$B$6:$F$1113,4,FALSE))</f>
        <v/>
      </c>
      <c r="CW589" s="476" t="s">
        <v>4723</v>
      </c>
      <c r="CX589" s="483">
        <v>0</v>
      </c>
      <c r="CY589" s="483">
        <v>0</v>
      </c>
      <c r="CZ589" s="483">
        <v>0</v>
      </c>
      <c r="DA589" s="483">
        <v>0</v>
      </c>
      <c r="DB589" s="483">
        <v>0</v>
      </c>
      <c r="DC589" s="483">
        <v>0</v>
      </c>
      <c r="DD589" s="483" t="s">
        <v>1124</v>
      </c>
      <c r="DE589" s="483" t="str">
        <f>IFERROR(SUM(VLOOKUP($BS589,'État &amp; Plan d''action'!$B$6:$Z$1113,18,FALSE),VLOOKUP($BS589,'État &amp; Plan d''action'!$B$6:$Z$1113,20,FALSE))/(VLOOKUP($BS589,'Données par municipalité'!$B$4:$L$1113,11,FALSE)),"")</f>
        <v/>
      </c>
      <c r="DF589" s="483" t="str">
        <f>IFERROR(SUM(VLOOKUP($BS589,'État &amp; Plan d''action'!$B$6:$Z$1113,19,FALSE),VLOOKUP($BS589,'État &amp; Plan d''action'!$B$6:$Z$1113,21,FALSE))/(VLOOKUP($BS589,'Données par municipalité'!$B$4:$L$1113,11,FALSE)),"")</f>
        <v/>
      </c>
      <c r="DG589" s="476" t="s">
        <v>4723</v>
      </c>
      <c r="DH589" s="484">
        <v>0</v>
      </c>
      <c r="DI589" s="484">
        <v>0</v>
      </c>
      <c r="DJ589" s="484">
        <v>0</v>
      </c>
      <c r="DK589" s="484">
        <v>0</v>
      </c>
      <c r="DL589" s="484">
        <v>0</v>
      </c>
      <c r="DM589" s="484">
        <v>0</v>
      </c>
      <c r="DN589" s="484" t="s">
        <v>1124</v>
      </c>
      <c r="DO589" s="484" t="s">
        <v>1124</v>
      </c>
      <c r="DP589" s="484" t="s">
        <v>1124</v>
      </c>
      <c r="DQ589" s="484" t="str">
        <f>IF(VLOOKUP($BS589,'État &amp; Plan d''action'!$B$6:$AJ$1113,28,FALSE)="","",VLOOKUP($BS589,'État &amp; Plan d''action'!$B$6:$AJ$1113,28,FALSE))</f>
        <v/>
      </c>
      <c r="DR589" s="70" t="str">
        <f>IF(VLOOKUP($BS589,'État &amp; Plan d''action'!$B$6:$AJ$1113,29,FALSE)="","",VLOOKUP($BS589,'État &amp; Plan d''action'!$B$6:$AJ$1113,29,FALSE))</f>
        <v/>
      </c>
      <c r="DS589" s="70" t="str">
        <f>IF(VLOOKUP($BS589,'État &amp; Plan d''action'!$B$6:$AJ$1113,30,FALSE)="","",VLOOKUP($BS589,'État &amp; Plan d''action'!$B$6:$AJ$1113,30,FALSE))</f>
        <v/>
      </c>
      <c r="DT589" s="70" t="s">
        <v>1124</v>
      </c>
      <c r="DU589" s="485" t="s">
        <v>1124</v>
      </c>
      <c r="DV589" s="485" t="s">
        <v>1124</v>
      </c>
      <c r="DW589" s="70" t="s">
        <v>1124</v>
      </c>
      <c r="DX589" s="70" t="s">
        <v>1124</v>
      </c>
      <c r="DY589" s="70" t="s">
        <v>1124</v>
      </c>
      <c r="DZ589" s="70" t="str">
        <f>VLOOKUP($BS589,'État &amp; Plan d''action'!$B$6:$AH$1113,31,FALSE)</f>
        <v/>
      </c>
      <c r="EA589" s="70" t="str">
        <f>VLOOKUP($BS589,'État &amp; Plan d''action'!$B$6:$AH$1113,32,FALSE)</f>
        <v/>
      </c>
      <c r="EB589" s="70" t="str">
        <f>VLOOKUP($BS589,'État &amp; Plan d''action'!$B$6:$AH$1113,33,FALSE)</f>
        <v/>
      </c>
      <c r="EC589" s="70" t="s">
        <v>1124</v>
      </c>
      <c r="ED589" s="70" t="s">
        <v>1124</v>
      </c>
      <c r="EE589" s="70" t="s">
        <v>1124</v>
      </c>
      <c r="EF589" s="70" t="s">
        <v>1124</v>
      </c>
      <c r="EG589" s="70" t="s">
        <v>1124</v>
      </c>
      <c r="EH589" s="72"/>
      <c r="EI589" s="72">
        <v>855</v>
      </c>
    </row>
    <row r="590" spans="71:139" x14ac:dyDescent="0.35">
      <c r="BS590" s="486">
        <v>52055</v>
      </c>
      <c r="BT590" s="479" t="s">
        <v>522</v>
      </c>
      <c r="BU590" s="479">
        <v>14</v>
      </c>
      <c r="BV590" s="476" t="s">
        <v>1187</v>
      </c>
      <c r="BW590" s="476" t="s">
        <v>1187</v>
      </c>
      <c r="BX590" s="476" t="s">
        <v>1187</v>
      </c>
      <c r="BY590" s="476" t="s">
        <v>1187</v>
      </c>
      <c r="BZ590" s="476" t="s">
        <v>1187</v>
      </c>
      <c r="CA590" s="476" t="s">
        <v>1187</v>
      </c>
      <c r="CB590" s="476" t="s">
        <v>1187</v>
      </c>
      <c r="CC590" s="476" t="s">
        <v>1187</v>
      </c>
      <c r="CD590" s="476" t="s">
        <v>1187</v>
      </c>
      <c r="CE590" s="476" t="s">
        <v>1188</v>
      </c>
      <c r="CF590" s="476" t="s">
        <v>1188</v>
      </c>
      <c r="CG590" s="476" t="s">
        <v>1187</v>
      </c>
      <c r="CH590" s="476" t="s">
        <v>1188</v>
      </c>
      <c r="CI590" s="476" t="s">
        <v>1187</v>
      </c>
      <c r="CJ590" s="476" t="s">
        <v>1187</v>
      </c>
      <c r="CK590" s="476" t="s">
        <v>1188</v>
      </c>
      <c r="CL590" s="476" t="s">
        <v>1188</v>
      </c>
      <c r="CM590" s="476" t="str">
        <f>IF(VLOOKUP(BS590,'Données par municipalité'!$B$6:$E$1113,4,FALSE)="","non","oui")</f>
        <v>oui</v>
      </c>
      <c r="CN590" s="410">
        <v>415.74445175569781</v>
      </c>
      <c r="CO590" s="410">
        <v>407.08967707464689</v>
      </c>
      <c r="CP590" s="410"/>
      <c r="CQ590" s="410">
        <v>391.40733205941268</v>
      </c>
      <c r="CR590" s="410"/>
      <c r="CS590" s="410" t="s">
        <v>1124</v>
      </c>
      <c r="CT590" s="410">
        <v>418.16980361584439</v>
      </c>
      <c r="CU590" s="410">
        <v>381</v>
      </c>
      <c r="CV590" s="410">
        <f>IF(VLOOKUP(BS590,'Données par municipalité'!$B$6:$F$1113,4,FALSE)="","",VLOOKUP(BS590,'Données par municipalité'!$B$6:$F$1113,4,FALSE))</f>
        <v>360</v>
      </c>
      <c r="CW590" s="476" t="s">
        <v>4723</v>
      </c>
      <c r="CX590" s="483">
        <v>2</v>
      </c>
      <c r="CY590" s="483" t="s">
        <v>1124</v>
      </c>
      <c r="CZ590" s="483">
        <v>1</v>
      </c>
      <c r="DA590" s="483" t="s">
        <v>1124</v>
      </c>
      <c r="DB590" s="483" t="s">
        <v>1124</v>
      </c>
      <c r="DC590" s="483">
        <v>0</v>
      </c>
      <c r="DD590" s="483">
        <v>0.2101370093300832</v>
      </c>
      <c r="DE590" s="483">
        <f>IFERROR(SUM(VLOOKUP($BS590,'État &amp; Plan d''action'!$B$6:$Z$1113,18,FALSE),VLOOKUP($BS590,'État &amp; Plan d''action'!$B$6:$Z$1113,20,FALSE))/(VLOOKUP($BS590,'Données par municipalité'!$B$4:$L$1113,11,FALSE)),"")</f>
        <v>0</v>
      </c>
      <c r="DF590" s="483">
        <f>IFERROR(SUM(VLOOKUP($BS590,'État &amp; Plan d''action'!$B$6:$Z$1113,19,FALSE),VLOOKUP($BS590,'État &amp; Plan d''action'!$B$6:$Z$1113,21,FALSE))/(VLOOKUP($BS590,'Données par municipalité'!$B$4:$L$1113,11,FALSE)),"")</f>
        <v>0</v>
      </c>
      <c r="DG590" s="476" t="s">
        <v>4723</v>
      </c>
      <c r="DH590" s="484">
        <v>14</v>
      </c>
      <c r="DI590" s="484" t="s">
        <v>1124</v>
      </c>
      <c r="DJ590" s="484">
        <v>7</v>
      </c>
      <c r="DK590" s="484">
        <v>0</v>
      </c>
      <c r="DL590" s="484" t="s">
        <v>1124</v>
      </c>
      <c r="DM590" s="484">
        <v>10</v>
      </c>
      <c r="DN590" s="484">
        <v>2</v>
      </c>
      <c r="DO590" s="484">
        <v>4</v>
      </c>
      <c r="DP590" s="484">
        <v>24</v>
      </c>
      <c r="DQ590" s="484">
        <f>IF(VLOOKUP($BS590,'État &amp; Plan d''action'!$B$6:$AJ$1113,28,FALSE)="","",VLOOKUP($BS590,'État &amp; Plan d''action'!$B$6:$AJ$1113,28,FALSE))</f>
        <v>4</v>
      </c>
      <c r="DR590" s="70">
        <f>IF(VLOOKUP($BS590,'État &amp; Plan d''action'!$B$6:$AJ$1113,29,FALSE)="","",VLOOKUP($BS590,'État &amp; Plan d''action'!$B$6:$AJ$1113,29,FALSE))</f>
        <v>0</v>
      </c>
      <c r="DS590" s="70">
        <f>IF(VLOOKUP($BS590,'État &amp; Plan d''action'!$B$6:$AJ$1113,30,FALSE)="","",VLOOKUP($BS590,'État &amp; Plan d''action'!$B$6:$AJ$1113,30,FALSE))</f>
        <v>7</v>
      </c>
      <c r="DT590" s="70">
        <v>105</v>
      </c>
      <c r="DU590" s="485">
        <v>4.8064262096559478</v>
      </c>
      <c r="DV590" s="485">
        <v>3.7969979700548935</v>
      </c>
      <c r="DW590" s="70">
        <v>1</v>
      </c>
      <c r="DX590" s="70">
        <v>1</v>
      </c>
      <c r="DY590" s="70">
        <v>3</v>
      </c>
      <c r="DZ590" s="70">
        <f>VLOOKUP($BS590,'État &amp; Plan d''action'!$B$6:$AH$1113,31,FALSE)</f>
        <v>2</v>
      </c>
      <c r="EA590" s="70">
        <f>VLOOKUP($BS590,'État &amp; Plan d''action'!$B$6:$AH$1113,32,FALSE)</f>
        <v>0</v>
      </c>
      <c r="EB590" s="70">
        <f>VLOOKUP($BS590,'État &amp; Plan d''action'!$B$6:$AH$1113,33,FALSE)</f>
        <v>2</v>
      </c>
      <c r="EC590" s="70">
        <v>52.853000000000002</v>
      </c>
      <c r="ED590" s="70">
        <v>10</v>
      </c>
      <c r="EE590" s="70">
        <v>0</v>
      </c>
      <c r="EF590" s="70">
        <v>0</v>
      </c>
      <c r="EG590" s="70">
        <v>0</v>
      </c>
      <c r="EH590" s="72">
        <v>63</v>
      </c>
      <c r="EI590" s="72">
        <v>1989</v>
      </c>
    </row>
    <row r="591" spans="71:139" x14ac:dyDescent="0.35">
      <c r="BS591" s="486">
        <v>34038</v>
      </c>
      <c r="BT591" s="479" t="s">
        <v>289</v>
      </c>
      <c r="BU591" s="479">
        <v>3</v>
      </c>
      <c r="BV591" s="476" t="s">
        <v>1187</v>
      </c>
      <c r="BW591" s="476" t="s">
        <v>1187</v>
      </c>
      <c r="BX591" s="476" t="s">
        <v>1187</v>
      </c>
      <c r="BY591" s="476" t="s">
        <v>1187</v>
      </c>
      <c r="BZ591" s="476" t="s">
        <v>1187</v>
      </c>
      <c r="CA591" s="476" t="s">
        <v>1187</v>
      </c>
      <c r="CB591" s="476" t="s">
        <v>1187</v>
      </c>
      <c r="CC591" s="476" t="s">
        <v>1187</v>
      </c>
      <c r="CD591" s="476" t="s">
        <v>1187</v>
      </c>
      <c r="CE591" s="476" t="s">
        <v>1188</v>
      </c>
      <c r="CF591" s="476" t="s">
        <v>1188</v>
      </c>
      <c r="CG591" s="476" t="s">
        <v>1188</v>
      </c>
      <c r="CH591" s="476" t="s">
        <v>1187</v>
      </c>
      <c r="CI591" s="476" t="s">
        <v>1188</v>
      </c>
      <c r="CJ591" s="476" t="s">
        <v>1188</v>
      </c>
      <c r="CK591" s="476" t="s">
        <v>1188</v>
      </c>
      <c r="CL591" s="476" t="s">
        <v>1188</v>
      </c>
      <c r="CM591" s="476" t="str">
        <f>IF(VLOOKUP(BS591,'Données par municipalité'!$B$6:$E$1113,4,FALSE)="","non","oui")</f>
        <v>non</v>
      </c>
      <c r="CN591" s="410">
        <v>636.05344802582999</v>
      </c>
      <c r="CO591" s="410">
        <v>643.5717135176136</v>
      </c>
      <c r="CP591" s="410">
        <v>485.86064336147871</v>
      </c>
      <c r="CQ591" s="410"/>
      <c r="CR591" s="410">
        <v>457.70423406613276</v>
      </c>
      <c r="CS591" s="410">
        <v>560.99111693556483</v>
      </c>
      <c r="CT591" s="410">
        <v>365.3088362932744</v>
      </c>
      <c r="CU591" s="410">
        <v>406</v>
      </c>
      <c r="CV591" s="410" t="str">
        <f>IF(VLOOKUP(BS591,'Données par municipalité'!$B$6:$F$1113,4,FALSE)="","",VLOOKUP(BS591,'Données par municipalité'!$B$6:$F$1113,4,FALSE))</f>
        <v/>
      </c>
      <c r="CW591" s="476" t="s">
        <v>4723</v>
      </c>
      <c r="CX591" s="483">
        <v>0.05</v>
      </c>
      <c r="CY591" s="483">
        <v>0.05</v>
      </c>
      <c r="CZ591" s="483" t="s">
        <v>1124</v>
      </c>
      <c r="DA591" s="483">
        <v>1</v>
      </c>
      <c r="DB591" s="483">
        <v>1</v>
      </c>
      <c r="DC591" s="483">
        <v>0.5</v>
      </c>
      <c r="DD591" s="483">
        <v>1</v>
      </c>
      <c r="DE591" s="483" t="str">
        <f>IFERROR(SUM(VLOOKUP($BS591,'État &amp; Plan d''action'!$B$6:$Z$1113,18,FALSE),VLOOKUP($BS591,'État &amp; Plan d''action'!$B$6:$Z$1113,20,FALSE))/(VLOOKUP($BS591,'Données par municipalité'!$B$4:$L$1113,11,FALSE)),"")</f>
        <v/>
      </c>
      <c r="DF591" s="483" t="str">
        <f>IFERROR(SUM(VLOOKUP($BS591,'État &amp; Plan d''action'!$B$6:$Z$1113,19,FALSE),VLOOKUP($BS591,'État &amp; Plan d''action'!$B$6:$Z$1113,21,FALSE))/(VLOOKUP($BS591,'Données par municipalité'!$B$4:$L$1113,11,FALSE)),"")</f>
        <v/>
      </c>
      <c r="DG591" s="476" t="s">
        <v>4723</v>
      </c>
      <c r="DH591" s="484">
        <v>2</v>
      </c>
      <c r="DI591" s="484">
        <v>1</v>
      </c>
      <c r="DJ591" s="484">
        <v>0</v>
      </c>
      <c r="DK591" s="484">
        <v>4</v>
      </c>
      <c r="DL591" s="484">
        <v>4</v>
      </c>
      <c r="DM591" s="484">
        <v>1</v>
      </c>
      <c r="DN591" s="484">
        <v>1</v>
      </c>
      <c r="DO591" s="484">
        <v>5</v>
      </c>
      <c r="DP591" s="484">
        <v>3</v>
      </c>
      <c r="DQ591" s="484" t="str">
        <f>IF(VLOOKUP($BS591,'État &amp; Plan d''action'!$B$6:$AJ$1113,28,FALSE)="","",VLOOKUP($BS591,'État &amp; Plan d''action'!$B$6:$AJ$1113,28,FALSE))</f>
        <v/>
      </c>
      <c r="DR591" s="70" t="str">
        <f>IF(VLOOKUP($BS591,'État &amp; Plan d''action'!$B$6:$AJ$1113,29,FALSE)="","",VLOOKUP($BS591,'État &amp; Plan d''action'!$B$6:$AJ$1113,29,FALSE))</f>
        <v/>
      </c>
      <c r="DS591" s="70" t="str">
        <f>IF(VLOOKUP($BS591,'État &amp; Plan d''action'!$B$6:$AJ$1113,30,FALSE)="","",VLOOKUP($BS591,'État &amp; Plan d''action'!$B$6:$AJ$1113,30,FALSE))</f>
        <v/>
      </c>
      <c r="DT591" s="70">
        <v>182</v>
      </c>
      <c r="DU591" s="485">
        <v>3.8050713789629418</v>
      </c>
      <c r="DV591" s="485" t="s">
        <v>1124</v>
      </c>
      <c r="DW591" s="70">
        <v>2</v>
      </c>
      <c r="DX591" s="70">
        <v>2</v>
      </c>
      <c r="DY591" s="70">
        <v>7</v>
      </c>
      <c r="DZ591" s="70" t="str">
        <f>VLOOKUP($BS591,'État &amp; Plan d''action'!$B$6:$AH$1113,31,FALSE)</f>
        <v/>
      </c>
      <c r="EA591" s="70" t="str">
        <f>VLOOKUP($BS591,'État &amp; Plan d''action'!$B$6:$AH$1113,32,FALSE)</f>
        <v/>
      </c>
      <c r="EB591" s="70" t="str">
        <f>VLOOKUP($BS591,'État &amp; Plan d''action'!$B$6:$AH$1113,33,FALSE)</f>
        <v/>
      </c>
      <c r="EC591" s="70">
        <v>0</v>
      </c>
      <c r="ED591" s="70">
        <v>33.085999999999999</v>
      </c>
      <c r="EE591" s="70">
        <v>4.3570000000000002</v>
      </c>
      <c r="EF591" s="70">
        <v>0</v>
      </c>
      <c r="EG591" s="70">
        <v>0</v>
      </c>
      <c r="EH591" s="72">
        <v>57</v>
      </c>
      <c r="EI591" s="72">
        <v>2654</v>
      </c>
    </row>
    <row r="592" spans="71:139" x14ac:dyDescent="0.35">
      <c r="BS592" s="486">
        <v>57020</v>
      </c>
      <c r="BT592" s="479" t="s">
        <v>583</v>
      </c>
      <c r="BU592" s="479">
        <v>16</v>
      </c>
      <c r="BV592" s="476" t="s">
        <v>1187</v>
      </c>
      <c r="BW592" s="476" t="s">
        <v>1187</v>
      </c>
      <c r="BX592" s="476" t="s">
        <v>1187</v>
      </c>
      <c r="BY592" s="476" t="s">
        <v>1187</v>
      </c>
      <c r="BZ592" s="476" t="s">
        <v>1187</v>
      </c>
      <c r="CA592" s="476" t="s">
        <v>1187</v>
      </c>
      <c r="CB592" s="476" t="s">
        <v>1187</v>
      </c>
      <c r="CC592" s="476" t="s">
        <v>1187</v>
      </c>
      <c r="CD592" s="476" t="s">
        <v>1187</v>
      </c>
      <c r="CE592" s="476" t="s">
        <v>1188</v>
      </c>
      <c r="CF592" s="476" t="s">
        <v>1188</v>
      </c>
      <c r="CG592" s="476" t="s">
        <v>1188</v>
      </c>
      <c r="CH592" s="476" t="s">
        <v>1188</v>
      </c>
      <c r="CI592" s="476" t="s">
        <v>1188</v>
      </c>
      <c r="CJ592" s="476" t="s">
        <v>1188</v>
      </c>
      <c r="CK592" s="476" t="s">
        <v>1188</v>
      </c>
      <c r="CL592" s="476" t="s">
        <v>1188</v>
      </c>
      <c r="CM592" s="476" t="str">
        <f>IF(VLOOKUP(BS592,'Données par municipalité'!$B$6:$E$1113,4,FALSE)="","non","oui")</f>
        <v>oui</v>
      </c>
      <c r="CN592" s="410">
        <v>359.30525577209005</v>
      </c>
      <c r="CO592" s="410">
        <v>362.3418689586814</v>
      </c>
      <c r="CP592" s="410">
        <v>341.41391642444466</v>
      </c>
      <c r="CQ592" s="410">
        <v>313.83391134817947</v>
      </c>
      <c r="CR592" s="410">
        <v>315.5298015617193</v>
      </c>
      <c r="CS592" s="410">
        <v>323.51742481156867</v>
      </c>
      <c r="CT592" s="410">
        <v>282.64462355794308</v>
      </c>
      <c r="CU592" s="410">
        <v>289</v>
      </c>
      <c r="CV592" s="410">
        <f>IF(VLOOKUP(BS592,'Données par municipalité'!$B$6:$F$1113,4,FALSE)="","",VLOOKUP(BS592,'Données par municipalité'!$B$6:$F$1113,4,FALSE))</f>
        <v>268</v>
      </c>
      <c r="CW592" s="476" t="s">
        <v>4723</v>
      </c>
      <c r="CX592" s="483">
        <v>1</v>
      </c>
      <c r="CY592" s="483">
        <v>1</v>
      </c>
      <c r="CZ592" s="483">
        <v>1</v>
      </c>
      <c r="DA592" s="483">
        <v>1</v>
      </c>
      <c r="DB592" s="483">
        <v>1</v>
      </c>
      <c r="DC592" s="483">
        <v>1</v>
      </c>
      <c r="DD592" s="483">
        <v>1</v>
      </c>
      <c r="DE592" s="483">
        <f>IFERROR(SUM(VLOOKUP($BS592,'État &amp; Plan d''action'!$B$6:$Z$1113,18,FALSE),VLOOKUP($BS592,'État &amp; Plan d''action'!$B$6:$Z$1113,20,FALSE))/(VLOOKUP($BS592,'Données par municipalité'!$B$4:$L$1113,11,FALSE)),"")</f>
        <v>1</v>
      </c>
      <c r="DF592" s="483">
        <f>IFERROR(SUM(VLOOKUP($BS592,'État &amp; Plan d''action'!$B$6:$Z$1113,19,FALSE),VLOOKUP($BS592,'État &amp; Plan d''action'!$B$6:$Z$1113,21,FALSE))/(VLOOKUP($BS592,'Données par municipalité'!$B$4:$L$1113,11,FALSE)),"")</f>
        <v>1</v>
      </c>
      <c r="DG592" s="476" t="s">
        <v>4723</v>
      </c>
      <c r="DH592" s="484">
        <v>29</v>
      </c>
      <c r="DI592" s="484">
        <v>10</v>
      </c>
      <c r="DJ592" s="484">
        <v>19</v>
      </c>
      <c r="DK592" s="484">
        <v>29</v>
      </c>
      <c r="DL592" s="484">
        <v>17</v>
      </c>
      <c r="DM592" s="484">
        <v>18</v>
      </c>
      <c r="DN592" s="484">
        <v>35</v>
      </c>
      <c r="DO592" s="484">
        <v>3</v>
      </c>
      <c r="DP592" s="484">
        <v>0</v>
      </c>
      <c r="DQ592" s="484">
        <f>IF(VLOOKUP($BS592,'État &amp; Plan d''action'!$B$6:$AJ$1113,28,FALSE)="","",VLOOKUP($BS592,'État &amp; Plan d''action'!$B$6:$AJ$1113,28,FALSE))</f>
        <v>30</v>
      </c>
      <c r="DR592" s="70">
        <f>IF(VLOOKUP($BS592,'État &amp; Plan d''action'!$B$6:$AJ$1113,29,FALSE)="","",VLOOKUP($BS592,'État &amp; Plan d''action'!$B$6:$AJ$1113,29,FALSE))</f>
        <v>0</v>
      </c>
      <c r="DS592" s="70">
        <f>IF(VLOOKUP($BS592,'État &amp; Plan d''action'!$B$6:$AJ$1113,30,FALSE)="","",VLOOKUP($BS592,'État &amp; Plan d''action'!$B$6:$AJ$1113,30,FALSE))</f>
        <v>0</v>
      </c>
      <c r="DT592" s="70">
        <v>212</v>
      </c>
      <c r="DU592" s="485">
        <v>2.3897078823599691</v>
      </c>
      <c r="DV592" s="485">
        <v>2.1476805101212117</v>
      </c>
      <c r="DW592" s="70">
        <v>1</v>
      </c>
      <c r="DX592" s="70">
        <v>3</v>
      </c>
      <c r="DY592" s="70">
        <v>0</v>
      </c>
      <c r="DZ592" s="70">
        <f>VLOOKUP($BS592,'État &amp; Plan d''action'!$B$6:$AH$1113,31,FALSE)</f>
        <v>1</v>
      </c>
      <c r="EA592" s="70">
        <f>VLOOKUP($BS592,'État &amp; Plan d''action'!$B$6:$AH$1113,32,FALSE)</f>
        <v>0</v>
      </c>
      <c r="EB592" s="70">
        <f>VLOOKUP($BS592,'État &amp; Plan d''action'!$B$6:$AH$1113,33,FALSE)</f>
        <v>0</v>
      </c>
      <c r="EC592" s="70">
        <v>0</v>
      </c>
      <c r="ED592" s="70">
        <v>0</v>
      </c>
      <c r="EE592" s="70">
        <v>98.51</v>
      </c>
      <c r="EF592" s="70">
        <v>0</v>
      </c>
      <c r="EG592" s="70">
        <v>0</v>
      </c>
      <c r="EH592" s="72">
        <v>45</v>
      </c>
      <c r="EI592" s="72">
        <v>17240</v>
      </c>
    </row>
    <row r="593" spans="71:139" x14ac:dyDescent="0.35">
      <c r="BS593" s="486">
        <v>28025</v>
      </c>
      <c r="BT593" s="479" t="s">
        <v>191</v>
      </c>
      <c r="BU593" s="479">
        <v>12</v>
      </c>
      <c r="BV593" s="476" t="s">
        <v>1188</v>
      </c>
      <c r="BW593" s="476" t="s">
        <v>1188</v>
      </c>
      <c r="BX593" s="476" t="s">
        <v>1188</v>
      </c>
      <c r="BY593" s="476" t="s">
        <v>1188</v>
      </c>
      <c r="BZ593" s="476" t="s">
        <v>1188</v>
      </c>
      <c r="CA593" s="476" t="s">
        <v>1188</v>
      </c>
      <c r="CB593" s="476" t="s">
        <v>1188</v>
      </c>
      <c r="CC593" s="476" t="s">
        <v>1188</v>
      </c>
      <c r="CD593" s="476" t="s">
        <v>1188</v>
      </c>
      <c r="CE593" s="476" t="s">
        <v>1187</v>
      </c>
      <c r="CF593" s="476" t="s">
        <v>1187</v>
      </c>
      <c r="CG593" s="476" t="s">
        <v>1187</v>
      </c>
      <c r="CH593" s="476" t="s">
        <v>1187</v>
      </c>
      <c r="CI593" s="476" t="s">
        <v>1187</v>
      </c>
      <c r="CJ593" s="476" t="s">
        <v>1187</v>
      </c>
      <c r="CK593" s="476" t="s">
        <v>1187</v>
      </c>
      <c r="CL593" s="476" t="s">
        <v>1187</v>
      </c>
      <c r="CM593" s="476" t="str">
        <f>IF(VLOOKUP(BS593,'Données par municipalité'!$B$6:$E$1113,4,FALSE)="","non","oui")</f>
        <v>non</v>
      </c>
      <c r="CN593" s="410" t="s">
        <v>1124</v>
      </c>
      <c r="CO593" s="410" t="s">
        <v>1124</v>
      </c>
      <c r="CP593" s="410"/>
      <c r="CQ593" s="410"/>
      <c r="CR593" s="410"/>
      <c r="CS593" s="410" t="s">
        <v>1124</v>
      </c>
      <c r="CT593" s="410"/>
      <c r="CU593" s="410" t="s">
        <v>1124</v>
      </c>
      <c r="CV593" s="410" t="str">
        <f>IF(VLOOKUP(BS593,'Données par municipalité'!$B$6:$F$1113,4,FALSE)="","",VLOOKUP(BS593,'Données par municipalité'!$B$6:$F$1113,4,FALSE))</f>
        <v/>
      </c>
      <c r="CW593" s="476" t="s">
        <v>4723</v>
      </c>
      <c r="CX593" s="483" t="s">
        <v>1124</v>
      </c>
      <c r="CY593" s="483" t="s">
        <v>1124</v>
      </c>
      <c r="CZ593" s="483" t="s">
        <v>1124</v>
      </c>
      <c r="DA593" s="483" t="s">
        <v>1124</v>
      </c>
      <c r="DB593" s="483" t="s">
        <v>1124</v>
      </c>
      <c r="DC593" s="483" t="s">
        <v>1124</v>
      </c>
      <c r="DD593" s="483" t="s">
        <v>1124</v>
      </c>
      <c r="DE593" s="483" t="str">
        <f>IFERROR(SUM(VLOOKUP($BS593,'État &amp; Plan d''action'!$B$6:$Z$1113,18,FALSE),VLOOKUP($BS593,'État &amp; Plan d''action'!$B$6:$Z$1113,20,FALSE))/(VLOOKUP($BS593,'Données par municipalité'!$B$4:$L$1113,11,FALSE)),"")</f>
        <v/>
      </c>
      <c r="DF593" s="483" t="str">
        <f>IFERROR(SUM(VLOOKUP($BS593,'État &amp; Plan d''action'!$B$6:$Z$1113,19,FALSE),VLOOKUP($BS593,'État &amp; Plan d''action'!$B$6:$Z$1113,21,FALSE))/(VLOOKUP($BS593,'Données par municipalité'!$B$4:$L$1113,11,FALSE)),"")</f>
        <v/>
      </c>
      <c r="DG593" s="476" t="s">
        <v>4723</v>
      </c>
      <c r="DH593" s="484" t="s">
        <v>1124</v>
      </c>
      <c r="DI593" s="484" t="s">
        <v>1124</v>
      </c>
      <c r="DJ593" s="484">
        <v>0</v>
      </c>
      <c r="DK593" s="484">
        <v>0</v>
      </c>
      <c r="DL593" s="484" t="s">
        <v>1124</v>
      </c>
      <c r="DM593" s="484" t="s">
        <v>1124</v>
      </c>
      <c r="DN593" s="484" t="s">
        <v>1124</v>
      </c>
      <c r="DO593" s="484" t="s">
        <v>1124</v>
      </c>
      <c r="DP593" s="484" t="s">
        <v>1124</v>
      </c>
      <c r="DQ593" s="484" t="str">
        <f>IF(VLOOKUP($BS593,'État &amp; Plan d''action'!$B$6:$AJ$1113,28,FALSE)="","",VLOOKUP($BS593,'État &amp; Plan d''action'!$B$6:$AJ$1113,28,FALSE))</f>
        <v/>
      </c>
      <c r="DR593" s="70" t="str">
        <f>IF(VLOOKUP($BS593,'État &amp; Plan d''action'!$B$6:$AJ$1113,29,FALSE)="","",VLOOKUP($BS593,'État &amp; Plan d''action'!$B$6:$AJ$1113,29,FALSE))</f>
        <v/>
      </c>
      <c r="DS593" s="70" t="str">
        <f>IF(VLOOKUP($BS593,'État &amp; Plan d''action'!$B$6:$AJ$1113,30,FALSE)="","",VLOOKUP($BS593,'État &amp; Plan d''action'!$B$6:$AJ$1113,30,FALSE))</f>
        <v/>
      </c>
      <c r="DT593" s="70" t="s">
        <v>1124</v>
      </c>
      <c r="DU593" s="485" t="s">
        <v>1124</v>
      </c>
      <c r="DV593" s="485" t="s">
        <v>1124</v>
      </c>
      <c r="DW593" s="70" t="s">
        <v>1124</v>
      </c>
      <c r="DX593" s="70" t="s">
        <v>1124</v>
      </c>
      <c r="DY593" s="70" t="s">
        <v>1124</v>
      </c>
      <c r="DZ593" s="70" t="str">
        <f>VLOOKUP($BS593,'État &amp; Plan d''action'!$B$6:$AH$1113,31,FALSE)</f>
        <v/>
      </c>
      <c r="EA593" s="70" t="str">
        <f>VLOOKUP($BS593,'État &amp; Plan d''action'!$B$6:$AH$1113,32,FALSE)</f>
        <v/>
      </c>
      <c r="EB593" s="70" t="str">
        <f>VLOOKUP($BS593,'État &amp; Plan d''action'!$B$6:$AH$1113,33,FALSE)</f>
        <v/>
      </c>
      <c r="EC593" s="70" t="s">
        <v>1124</v>
      </c>
      <c r="ED593" s="70" t="s">
        <v>1124</v>
      </c>
      <c r="EE593" s="70" t="s">
        <v>1124</v>
      </c>
      <c r="EF593" s="70" t="s">
        <v>1124</v>
      </c>
      <c r="EG593" s="70" t="s">
        <v>1124</v>
      </c>
      <c r="EH593" s="72"/>
      <c r="EI593" s="72">
        <v>1015</v>
      </c>
    </row>
    <row r="594" spans="71:139" x14ac:dyDescent="0.35">
      <c r="BS594" s="486">
        <v>45080</v>
      </c>
      <c r="BT594" s="479" t="s">
        <v>420</v>
      </c>
      <c r="BU594" s="479">
        <v>5</v>
      </c>
      <c r="BV594" s="476" t="s">
        <v>1187</v>
      </c>
      <c r="BW594" s="476" t="s">
        <v>1187</v>
      </c>
      <c r="BX594" s="476" t="s">
        <v>1187</v>
      </c>
      <c r="BY594" s="476" t="s">
        <v>1187</v>
      </c>
      <c r="BZ594" s="476" t="s">
        <v>1187</v>
      </c>
      <c r="CA594" s="476" t="s">
        <v>1187</v>
      </c>
      <c r="CB594" s="476" t="s">
        <v>1187</v>
      </c>
      <c r="CC594" s="476" t="s">
        <v>1187</v>
      </c>
      <c r="CD594" s="476" t="s">
        <v>1187</v>
      </c>
      <c r="CE594" s="476" t="s">
        <v>1188</v>
      </c>
      <c r="CF594" s="476" t="s">
        <v>1188</v>
      </c>
      <c r="CG594" s="476" t="s">
        <v>1188</v>
      </c>
      <c r="CH594" s="476" t="s">
        <v>1188</v>
      </c>
      <c r="CI594" s="476" t="s">
        <v>1188</v>
      </c>
      <c r="CJ594" s="476" t="s">
        <v>1188</v>
      </c>
      <c r="CK594" s="476" t="s">
        <v>1188</v>
      </c>
      <c r="CL594" s="476" t="s">
        <v>1188</v>
      </c>
      <c r="CM594" s="476" t="str">
        <f>IF(VLOOKUP(BS594,'Données par municipalité'!$B$6:$E$1113,4,FALSE)="","non","oui")</f>
        <v>non</v>
      </c>
      <c r="CN594" s="410">
        <v>1088.5235920852358</v>
      </c>
      <c r="CO594" s="410">
        <v>982.2488584474886</v>
      </c>
      <c r="CP594" s="410">
        <v>919.92009132420083</v>
      </c>
      <c r="CQ594" s="410">
        <v>886.92922374429236</v>
      </c>
      <c r="CR594" s="410">
        <v>880.82191780821915</v>
      </c>
      <c r="CS594" s="410">
        <v>969.83151183970847</v>
      </c>
      <c r="CT594" s="410">
        <v>1081.1073059360731</v>
      </c>
      <c r="CU594" s="410">
        <v>1799</v>
      </c>
      <c r="CV594" s="410" t="str">
        <f>IF(VLOOKUP(BS594,'Données par municipalité'!$B$6:$F$1113,4,FALSE)="","",VLOOKUP(BS594,'Données par municipalité'!$B$6:$F$1113,4,FALSE))</f>
        <v/>
      </c>
      <c r="CW594" s="476" t="s">
        <v>4723</v>
      </c>
      <c r="CX594" s="483">
        <v>0.8</v>
      </c>
      <c r="CY594" s="483">
        <v>0.2</v>
      </c>
      <c r="CZ594" s="483">
        <v>0</v>
      </c>
      <c r="DA594" s="483">
        <v>0</v>
      </c>
      <c r="DB594" s="483">
        <v>0</v>
      </c>
      <c r="DC594" s="483">
        <v>0</v>
      </c>
      <c r="DD594" s="483">
        <v>1</v>
      </c>
      <c r="DE594" s="483" t="str">
        <f>IFERROR(SUM(VLOOKUP($BS594,'État &amp; Plan d''action'!$B$6:$Z$1113,18,FALSE),VLOOKUP($BS594,'État &amp; Plan d''action'!$B$6:$Z$1113,20,FALSE))/(VLOOKUP($BS594,'Données par municipalité'!$B$4:$L$1113,11,FALSE)),"")</f>
        <v/>
      </c>
      <c r="DF594" s="483" t="str">
        <f>IFERROR(SUM(VLOOKUP($BS594,'État &amp; Plan d''action'!$B$6:$Z$1113,19,FALSE),VLOOKUP($BS594,'État &amp; Plan d''action'!$B$6:$Z$1113,21,FALSE))/(VLOOKUP($BS594,'Données par municipalité'!$B$4:$L$1113,11,FALSE)),"")</f>
        <v/>
      </c>
      <c r="DG594" s="476" t="s">
        <v>4723</v>
      </c>
      <c r="DH594" s="484">
        <v>37</v>
      </c>
      <c r="DI594" s="484">
        <v>0</v>
      </c>
      <c r="DJ594" s="484">
        <v>0</v>
      </c>
      <c r="DK594" s="484">
        <v>0</v>
      </c>
      <c r="DL594" s="484">
        <v>0</v>
      </c>
      <c r="DM594" s="484">
        <v>0</v>
      </c>
      <c r="DN594" s="484">
        <v>0</v>
      </c>
      <c r="DO594" s="484">
        <v>0</v>
      </c>
      <c r="DP594" s="484">
        <v>0</v>
      </c>
      <c r="DQ594" s="484" t="str">
        <f>IF(VLOOKUP($BS594,'État &amp; Plan d''action'!$B$6:$AJ$1113,28,FALSE)="","",VLOOKUP($BS594,'État &amp; Plan d''action'!$B$6:$AJ$1113,28,FALSE))</f>
        <v/>
      </c>
      <c r="DR594" s="70" t="str">
        <f>IF(VLOOKUP($BS594,'État &amp; Plan d''action'!$B$6:$AJ$1113,29,FALSE)="","",VLOOKUP($BS594,'État &amp; Plan d''action'!$B$6:$AJ$1113,29,FALSE))</f>
        <v/>
      </c>
      <c r="DS594" s="70" t="str">
        <f>IF(VLOOKUP($BS594,'État &amp; Plan d''action'!$B$6:$AJ$1113,30,FALSE)="","",VLOOKUP($BS594,'État &amp; Plan d''action'!$B$6:$AJ$1113,30,FALSE))</f>
        <v/>
      </c>
      <c r="DT594" s="70">
        <v>132</v>
      </c>
      <c r="DU594" s="485">
        <v>6.2700570575192227</v>
      </c>
      <c r="DV594" s="485" t="s">
        <v>1124</v>
      </c>
      <c r="DW594" s="70">
        <v>0</v>
      </c>
      <c r="DX594" s="70">
        <v>0</v>
      </c>
      <c r="DY594" s="70">
        <v>0</v>
      </c>
      <c r="DZ594" s="70" t="str">
        <f>VLOOKUP($BS594,'État &amp; Plan d''action'!$B$6:$AH$1113,31,FALSE)</f>
        <v/>
      </c>
      <c r="EA594" s="70" t="str">
        <f>VLOOKUP($BS594,'État &amp; Plan d''action'!$B$6:$AH$1113,32,FALSE)</f>
        <v/>
      </c>
      <c r="EB594" s="70" t="str">
        <f>VLOOKUP($BS594,'État &amp; Plan d''action'!$B$6:$AH$1113,33,FALSE)</f>
        <v/>
      </c>
      <c r="EC594" s="70">
        <v>0</v>
      </c>
      <c r="ED594" s="70">
        <v>0</v>
      </c>
      <c r="EE594" s="70">
        <v>0.82599999999999996</v>
      </c>
      <c r="EF594" s="70">
        <v>0</v>
      </c>
      <c r="EG594" s="70">
        <v>0</v>
      </c>
      <c r="EH594" s="72">
        <v>60</v>
      </c>
      <c r="EI594" s="72">
        <v>30</v>
      </c>
    </row>
    <row r="595" spans="71:139" x14ac:dyDescent="0.35">
      <c r="BS595" s="486">
        <v>29100</v>
      </c>
      <c r="BT595" s="479" t="s">
        <v>213</v>
      </c>
      <c r="BU595" s="479">
        <v>12</v>
      </c>
      <c r="BV595" s="476" t="s">
        <v>1187</v>
      </c>
      <c r="BW595" s="476" t="s">
        <v>1187</v>
      </c>
      <c r="BX595" s="476" t="s">
        <v>1187</v>
      </c>
      <c r="BY595" s="476" t="s">
        <v>1187</v>
      </c>
      <c r="BZ595" s="476" t="s">
        <v>1187</v>
      </c>
      <c r="CA595" s="476" t="s">
        <v>1187</v>
      </c>
      <c r="CB595" s="476" t="s">
        <v>1187</v>
      </c>
      <c r="CC595" s="476" t="s">
        <v>1187</v>
      </c>
      <c r="CD595" s="476" t="s">
        <v>1187</v>
      </c>
      <c r="CE595" s="476" t="s">
        <v>1188</v>
      </c>
      <c r="CF595" s="476" t="s">
        <v>1188</v>
      </c>
      <c r="CG595" s="476" t="s">
        <v>1188</v>
      </c>
      <c r="CH595" s="476" t="s">
        <v>1188</v>
      </c>
      <c r="CI595" s="476" t="s">
        <v>1188</v>
      </c>
      <c r="CJ595" s="476" t="s">
        <v>1188</v>
      </c>
      <c r="CK595" s="476" t="s">
        <v>1188</v>
      </c>
      <c r="CL595" s="476" t="s">
        <v>1188</v>
      </c>
      <c r="CM595" s="476" t="str">
        <f>IF(VLOOKUP(BS595,'Données par municipalité'!$B$6:$E$1113,4,FALSE)="","non","oui")</f>
        <v>oui</v>
      </c>
      <c r="CN595" s="410">
        <v>239.1891594667712</v>
      </c>
      <c r="CO595" s="410">
        <v>273.53685746804041</v>
      </c>
      <c r="CP595" s="410">
        <v>260.0422904661105</v>
      </c>
      <c r="CQ595" s="410">
        <v>240.11749541148146</v>
      </c>
      <c r="CR595" s="410">
        <v>256.41025641025647</v>
      </c>
      <c r="CS595" s="410">
        <v>222.05546339049107</v>
      </c>
      <c r="CT595" s="410">
        <v>225.40243338535348</v>
      </c>
      <c r="CU595" s="410">
        <v>309</v>
      </c>
      <c r="CV595" s="410">
        <f>IF(VLOOKUP(BS595,'Données par municipalité'!$B$6:$F$1113,4,FALSE)="","",VLOOKUP(BS595,'Données par municipalité'!$B$6:$F$1113,4,FALSE))</f>
        <v>332</v>
      </c>
      <c r="CW595" s="476" t="s">
        <v>4723</v>
      </c>
      <c r="CX595" s="483">
        <v>0</v>
      </c>
      <c r="CY595" s="483">
        <v>0</v>
      </c>
      <c r="CZ595" s="483">
        <v>1</v>
      </c>
      <c r="DA595" s="483">
        <v>1</v>
      </c>
      <c r="DB595" s="483">
        <v>1</v>
      </c>
      <c r="DC595" s="483">
        <v>1</v>
      </c>
      <c r="DD595" s="483">
        <v>0</v>
      </c>
      <c r="DE595" s="483">
        <f>IFERROR(SUM(VLOOKUP($BS595,'État &amp; Plan d''action'!$B$6:$Z$1113,18,FALSE),VLOOKUP($BS595,'État &amp; Plan d''action'!$B$6:$Z$1113,20,FALSE))/(VLOOKUP($BS595,'Données par municipalité'!$B$4:$L$1113,11,FALSE)),"")</f>
        <v>1</v>
      </c>
      <c r="DF595" s="483">
        <f>IFERROR(SUM(VLOOKUP($BS595,'État &amp; Plan d''action'!$B$6:$Z$1113,19,FALSE),VLOOKUP($BS595,'État &amp; Plan d''action'!$B$6:$Z$1113,21,FALSE))/(VLOOKUP($BS595,'Données par municipalité'!$B$4:$L$1113,11,FALSE)),"")</f>
        <v>1</v>
      </c>
      <c r="DG595" s="476" t="s">
        <v>4723</v>
      </c>
      <c r="DH595" s="484">
        <v>0</v>
      </c>
      <c r="DI595" s="484">
        <v>1</v>
      </c>
      <c r="DJ595" s="484">
        <v>0</v>
      </c>
      <c r="DK595" s="484">
        <v>0</v>
      </c>
      <c r="DL595" s="484">
        <v>0</v>
      </c>
      <c r="DM595" s="484">
        <v>2</v>
      </c>
      <c r="DN595" s="484">
        <v>0</v>
      </c>
      <c r="DO595" s="484">
        <v>0</v>
      </c>
      <c r="DP595" s="484">
        <v>0</v>
      </c>
      <c r="DQ595" s="484">
        <f>IF(VLOOKUP($BS595,'État &amp; Plan d''action'!$B$6:$AJ$1113,28,FALSE)="","",VLOOKUP($BS595,'État &amp; Plan d''action'!$B$6:$AJ$1113,28,FALSE))</f>
        <v>0</v>
      </c>
      <c r="DR595" s="70">
        <f>IF(VLOOKUP($BS595,'État &amp; Plan d''action'!$B$6:$AJ$1113,29,FALSE)="","",VLOOKUP($BS595,'État &amp; Plan d''action'!$B$6:$AJ$1113,29,FALSE))</f>
        <v>0</v>
      </c>
      <c r="DS595" s="70">
        <f>IF(VLOOKUP($BS595,'État &amp; Plan d''action'!$B$6:$AJ$1113,30,FALSE)="","",VLOOKUP($BS595,'État &amp; Plan d''action'!$B$6:$AJ$1113,30,FALSE))</f>
        <v>0</v>
      </c>
      <c r="DT595" s="70">
        <v>141</v>
      </c>
      <c r="DU595" s="485">
        <v>1.6395871991946001</v>
      </c>
      <c r="DV595" s="485">
        <v>4.4848197092986881</v>
      </c>
      <c r="DW595" s="70">
        <v>0</v>
      </c>
      <c r="DX595" s="70">
        <v>0</v>
      </c>
      <c r="DY595" s="70">
        <v>0</v>
      </c>
      <c r="DZ595" s="70">
        <f>VLOOKUP($BS595,'État &amp; Plan d''action'!$B$6:$AH$1113,31,FALSE)</f>
        <v>0</v>
      </c>
      <c r="EA595" s="70">
        <f>VLOOKUP($BS595,'État &amp; Plan d''action'!$B$6:$AH$1113,32,FALSE)</f>
        <v>0</v>
      </c>
      <c r="EB595" s="70">
        <f>VLOOKUP($BS595,'État &amp; Plan d''action'!$B$6:$AH$1113,33,FALSE)</f>
        <v>0</v>
      </c>
      <c r="EC595" s="70">
        <v>0</v>
      </c>
      <c r="ED595" s="70">
        <v>0</v>
      </c>
      <c r="EE595" s="70">
        <v>0</v>
      </c>
      <c r="EF595" s="70">
        <v>0</v>
      </c>
      <c r="EG595" s="70">
        <v>0</v>
      </c>
      <c r="EH595" s="72">
        <v>73</v>
      </c>
      <c r="EI595" s="72">
        <v>1613</v>
      </c>
    </row>
    <row r="596" spans="71:139" x14ac:dyDescent="0.35">
      <c r="BS596" s="486">
        <v>26055</v>
      </c>
      <c r="BT596" s="479" t="s">
        <v>175</v>
      </c>
      <c r="BU596" s="479">
        <v>12</v>
      </c>
      <c r="BV596" s="476" t="s">
        <v>1187</v>
      </c>
      <c r="BW596" s="476" t="s">
        <v>1187</v>
      </c>
      <c r="BX596" s="476" t="s">
        <v>1187</v>
      </c>
      <c r="BY596" s="476" t="s">
        <v>1187</v>
      </c>
      <c r="BZ596" s="476" t="s">
        <v>1187</v>
      </c>
      <c r="CA596" s="476" t="s">
        <v>1187</v>
      </c>
      <c r="CB596" s="476" t="s">
        <v>1187</v>
      </c>
      <c r="CC596" s="476" t="s">
        <v>1187</v>
      </c>
      <c r="CD596" s="476" t="s">
        <v>1187</v>
      </c>
      <c r="CE596" s="476" t="s">
        <v>1188</v>
      </c>
      <c r="CF596" s="476" t="s">
        <v>1188</v>
      </c>
      <c r="CG596" s="476" t="s">
        <v>1187</v>
      </c>
      <c r="CH596" s="476" t="s">
        <v>1187</v>
      </c>
      <c r="CI596" s="476" t="s">
        <v>1188</v>
      </c>
      <c r="CJ596" s="476" t="s">
        <v>1188</v>
      </c>
      <c r="CK596" s="476" t="s">
        <v>1188</v>
      </c>
      <c r="CL596" s="476" t="s">
        <v>1188</v>
      </c>
      <c r="CM596" s="476" t="str">
        <f>IF(VLOOKUP(BS596,'Données par municipalité'!$B$6:$E$1113,4,FALSE)="","non","oui")</f>
        <v>oui</v>
      </c>
      <c r="CN596" s="410">
        <v>363.76295458217345</v>
      </c>
      <c r="CO596" s="410">
        <v>388.20712984647406</v>
      </c>
      <c r="CP596" s="410"/>
      <c r="CQ596" s="410"/>
      <c r="CR596" s="410">
        <v>319.35955078881926</v>
      </c>
      <c r="CS596" s="410">
        <v>288.41564059254603</v>
      </c>
      <c r="CT596" s="410">
        <v>240.96892376647315</v>
      </c>
      <c r="CU596" s="410">
        <v>256</v>
      </c>
      <c r="CV596" s="410">
        <f>IF(VLOOKUP(BS596,'Données par municipalité'!$B$6:$F$1113,4,FALSE)="","",VLOOKUP(BS596,'Données par municipalité'!$B$6:$F$1113,4,FALSE))</f>
        <v>226</v>
      </c>
      <c r="CW596" s="476" t="s">
        <v>4723</v>
      </c>
      <c r="CX596" s="483">
        <v>0</v>
      </c>
      <c r="CY596" s="483" t="s">
        <v>1124</v>
      </c>
      <c r="CZ596" s="483" t="s">
        <v>1124</v>
      </c>
      <c r="DA596" s="483">
        <v>0</v>
      </c>
      <c r="DB596" s="483">
        <v>0</v>
      </c>
      <c r="DC596" s="483">
        <v>0</v>
      </c>
      <c r="DD596" s="483">
        <v>0</v>
      </c>
      <c r="DE596" s="483">
        <f>IFERROR(SUM(VLOOKUP($BS596,'État &amp; Plan d''action'!$B$6:$Z$1113,18,FALSE),VLOOKUP($BS596,'État &amp; Plan d''action'!$B$6:$Z$1113,20,FALSE))/(VLOOKUP($BS596,'Données par municipalité'!$B$4:$L$1113,11,FALSE)),"")</f>
        <v>1</v>
      </c>
      <c r="DF596" s="483">
        <f>IFERROR(SUM(VLOOKUP($BS596,'État &amp; Plan d''action'!$B$6:$Z$1113,19,FALSE),VLOOKUP($BS596,'État &amp; Plan d''action'!$B$6:$Z$1113,21,FALSE))/(VLOOKUP($BS596,'Données par municipalité'!$B$4:$L$1113,11,FALSE)),"")</f>
        <v>1</v>
      </c>
      <c r="DG596" s="476" t="s">
        <v>4723</v>
      </c>
      <c r="DH596" s="484">
        <v>0</v>
      </c>
      <c r="DI596" s="484" t="s">
        <v>1124</v>
      </c>
      <c r="DJ596" s="484">
        <v>0</v>
      </c>
      <c r="DK596" s="484">
        <v>0</v>
      </c>
      <c r="DL596" s="484">
        <v>0</v>
      </c>
      <c r="DM596" s="484">
        <v>0</v>
      </c>
      <c r="DN596" s="484">
        <v>2</v>
      </c>
      <c r="DO596" s="484">
        <v>0</v>
      </c>
      <c r="DP596" s="484">
        <v>0</v>
      </c>
      <c r="DQ596" s="484">
        <f>IF(VLOOKUP($BS596,'État &amp; Plan d''action'!$B$6:$AJ$1113,28,FALSE)="","",VLOOKUP($BS596,'État &amp; Plan d''action'!$B$6:$AJ$1113,28,FALSE))</f>
        <v>0</v>
      </c>
      <c r="DR596" s="70">
        <f>IF(VLOOKUP($BS596,'État &amp; Plan d''action'!$B$6:$AJ$1113,29,FALSE)="","",VLOOKUP($BS596,'État &amp; Plan d''action'!$B$6:$AJ$1113,29,FALSE))</f>
        <v>0</v>
      </c>
      <c r="DS596" s="70">
        <f>IF(VLOOKUP($BS596,'État &amp; Plan d''action'!$B$6:$AJ$1113,30,FALSE)="","",VLOOKUP($BS596,'État &amp; Plan d''action'!$B$6:$AJ$1113,30,FALSE))</f>
        <v>0</v>
      </c>
      <c r="DT596" s="70">
        <v>218</v>
      </c>
      <c r="DU596" s="485">
        <v>1.1182379127754711</v>
      </c>
      <c r="DV596" s="485">
        <v>3.2506267662838382</v>
      </c>
      <c r="DW596" s="70">
        <v>3</v>
      </c>
      <c r="DX596" s="70">
        <v>0</v>
      </c>
      <c r="DY596" s="70">
        <v>0</v>
      </c>
      <c r="DZ596" s="70">
        <f>VLOOKUP($BS596,'État &amp; Plan d''action'!$B$6:$AH$1113,31,FALSE)</f>
        <v>0</v>
      </c>
      <c r="EA596" s="70">
        <f>VLOOKUP($BS596,'État &amp; Plan d''action'!$B$6:$AH$1113,32,FALSE)</f>
        <v>0</v>
      </c>
      <c r="EB596" s="70">
        <f>VLOOKUP($BS596,'État &amp; Plan d''action'!$B$6:$AH$1113,33,FALSE)</f>
        <v>0</v>
      </c>
      <c r="EC596" s="70">
        <v>0</v>
      </c>
      <c r="ED596" s="70">
        <v>0</v>
      </c>
      <c r="EE596" s="70">
        <v>0</v>
      </c>
      <c r="EF596" s="70">
        <v>0</v>
      </c>
      <c r="EG596" s="70">
        <v>0</v>
      </c>
      <c r="EH596" s="72">
        <v>59</v>
      </c>
      <c r="EI596" s="72">
        <v>2458</v>
      </c>
    </row>
    <row r="597" spans="71:139" x14ac:dyDescent="0.35">
      <c r="BS597" s="486">
        <v>68005</v>
      </c>
      <c r="BT597" s="479" t="s">
        <v>673</v>
      </c>
      <c r="BU597" s="479">
        <v>16</v>
      </c>
      <c r="BV597" s="476" t="s">
        <v>1188</v>
      </c>
      <c r="BW597" s="476" t="s">
        <v>1188</v>
      </c>
      <c r="BX597" s="476" t="s">
        <v>1188</v>
      </c>
      <c r="BY597" s="476" t="s">
        <v>1188</v>
      </c>
      <c r="BZ597" s="476" t="s">
        <v>1188</v>
      </c>
      <c r="CA597" s="476" t="s">
        <v>1188</v>
      </c>
      <c r="CB597" s="476" t="s">
        <v>1188</v>
      </c>
      <c r="CC597" s="476" t="s">
        <v>1188</v>
      </c>
      <c r="CD597" s="476" t="s">
        <v>1188</v>
      </c>
      <c r="CE597" s="476" t="s">
        <v>1188</v>
      </c>
      <c r="CF597" s="476" t="s">
        <v>1188</v>
      </c>
      <c r="CG597" s="476" t="s">
        <v>1188</v>
      </c>
      <c r="CH597" s="476" t="s">
        <v>1188</v>
      </c>
      <c r="CI597" s="476" t="s">
        <v>1188</v>
      </c>
      <c r="CJ597" s="476" t="s">
        <v>1187</v>
      </c>
      <c r="CK597" s="476" t="s">
        <v>1187</v>
      </c>
      <c r="CL597" s="476" t="s">
        <v>1187</v>
      </c>
      <c r="CM597" s="476" t="str">
        <f>IF(VLOOKUP(BS597,'Données par municipalité'!$B$6:$E$1113,4,FALSE)="","non","oui")</f>
        <v>non</v>
      </c>
      <c r="CN597" s="410">
        <v>372.47340423164241</v>
      </c>
      <c r="CO597" s="410">
        <v>374.75513490912078</v>
      </c>
      <c r="CP597" s="410">
        <v>292.25475556709733</v>
      </c>
      <c r="CQ597" s="410">
        <v>360.76828701943447</v>
      </c>
      <c r="CR597" s="410">
        <v>326.67418674170187</v>
      </c>
      <c r="CS597" s="410" t="s">
        <v>1124</v>
      </c>
      <c r="CT597" s="410"/>
      <c r="CU597" s="410" t="s">
        <v>1124</v>
      </c>
      <c r="CV597" s="410" t="str">
        <f>IF(VLOOKUP(BS597,'Données par municipalité'!$B$6:$F$1113,4,FALSE)="","",VLOOKUP(BS597,'Données par municipalité'!$B$6:$F$1113,4,FALSE))</f>
        <v/>
      </c>
      <c r="CW597" s="476" t="s">
        <v>4723</v>
      </c>
      <c r="CX597" s="483" t="s">
        <v>1124</v>
      </c>
      <c r="CY597" s="483">
        <v>0</v>
      </c>
      <c r="CZ597" s="483">
        <v>0</v>
      </c>
      <c r="DA597" s="483">
        <v>0</v>
      </c>
      <c r="DB597" s="483" t="s">
        <v>1124</v>
      </c>
      <c r="DC597" s="483" t="s">
        <v>1124</v>
      </c>
      <c r="DD597" s="483" t="s">
        <v>1124</v>
      </c>
      <c r="DE597" s="483" t="str">
        <f>IFERROR(SUM(VLOOKUP($BS597,'État &amp; Plan d''action'!$B$6:$Z$1113,18,FALSE),VLOOKUP($BS597,'État &amp; Plan d''action'!$B$6:$Z$1113,20,FALSE))/(VLOOKUP($BS597,'Données par municipalité'!$B$4:$L$1113,11,FALSE)),"")</f>
        <v/>
      </c>
      <c r="DF597" s="483" t="str">
        <f>IFERROR(SUM(VLOOKUP($BS597,'État &amp; Plan d''action'!$B$6:$Z$1113,19,FALSE),VLOOKUP($BS597,'État &amp; Plan d''action'!$B$6:$Z$1113,21,FALSE))/(VLOOKUP($BS597,'Données par municipalité'!$B$4:$L$1113,11,FALSE)),"")</f>
        <v/>
      </c>
      <c r="DG597" s="476" t="s">
        <v>4723</v>
      </c>
      <c r="DH597" s="484" t="s">
        <v>1124</v>
      </c>
      <c r="DI597" s="484" t="s">
        <v>1124</v>
      </c>
      <c r="DJ597" s="484">
        <v>0</v>
      </c>
      <c r="DK597" s="484">
        <v>0</v>
      </c>
      <c r="DL597" s="484" t="s">
        <v>1124</v>
      </c>
      <c r="DM597" s="484" t="s">
        <v>1124</v>
      </c>
      <c r="DN597" s="484" t="s">
        <v>1124</v>
      </c>
      <c r="DO597" s="484" t="s">
        <v>1124</v>
      </c>
      <c r="DP597" s="484" t="s">
        <v>1124</v>
      </c>
      <c r="DQ597" s="484" t="str">
        <f>IF(VLOOKUP($BS597,'État &amp; Plan d''action'!$B$6:$AJ$1113,28,FALSE)="","",VLOOKUP($BS597,'État &amp; Plan d''action'!$B$6:$AJ$1113,28,FALSE))</f>
        <v/>
      </c>
      <c r="DR597" s="70" t="str">
        <f>IF(VLOOKUP($BS597,'État &amp; Plan d''action'!$B$6:$AJ$1113,29,FALSE)="","",VLOOKUP($BS597,'État &amp; Plan d''action'!$B$6:$AJ$1113,29,FALSE))</f>
        <v/>
      </c>
      <c r="DS597" s="70" t="str">
        <f>IF(VLOOKUP($BS597,'État &amp; Plan d''action'!$B$6:$AJ$1113,30,FALSE)="","",VLOOKUP($BS597,'État &amp; Plan d''action'!$B$6:$AJ$1113,30,FALSE))</f>
        <v/>
      </c>
      <c r="DT597" s="70" t="s">
        <v>1124</v>
      </c>
      <c r="DU597" s="485" t="s">
        <v>1124</v>
      </c>
      <c r="DV597" s="485" t="s">
        <v>1124</v>
      </c>
      <c r="DW597" s="70" t="s">
        <v>1124</v>
      </c>
      <c r="DX597" s="70" t="s">
        <v>1124</v>
      </c>
      <c r="DY597" s="70" t="s">
        <v>1124</v>
      </c>
      <c r="DZ597" s="70" t="str">
        <f>VLOOKUP($BS597,'État &amp; Plan d''action'!$B$6:$AH$1113,31,FALSE)</f>
        <v/>
      </c>
      <c r="EA597" s="70" t="str">
        <f>VLOOKUP($BS597,'État &amp; Plan d''action'!$B$6:$AH$1113,32,FALSE)</f>
        <v/>
      </c>
      <c r="EB597" s="70" t="str">
        <f>VLOOKUP($BS597,'État &amp; Plan d''action'!$B$6:$AH$1113,33,FALSE)</f>
        <v/>
      </c>
      <c r="EC597" s="70" t="s">
        <v>1124</v>
      </c>
      <c r="ED597" s="70" t="s">
        <v>1124</v>
      </c>
      <c r="EE597" s="70" t="s">
        <v>1124</v>
      </c>
      <c r="EF597" s="70" t="s">
        <v>1124</v>
      </c>
      <c r="EG597" s="70" t="s">
        <v>1124</v>
      </c>
      <c r="EH597" s="72"/>
      <c r="EI597" s="72">
        <v>1551</v>
      </c>
    </row>
    <row r="598" spans="71:139" x14ac:dyDescent="0.35">
      <c r="BS598" s="486">
        <v>54115</v>
      </c>
      <c r="BT598" s="479" t="s">
        <v>556</v>
      </c>
      <c r="BU598" s="479">
        <v>16</v>
      </c>
      <c r="BV598" s="476" t="s">
        <v>1187</v>
      </c>
      <c r="BW598" s="476" t="s">
        <v>1187</v>
      </c>
      <c r="BX598" s="476" t="s">
        <v>1187</v>
      </c>
      <c r="BY598" s="476" t="s">
        <v>1187</v>
      </c>
      <c r="BZ598" s="476" t="s">
        <v>1187</v>
      </c>
      <c r="CA598" s="476" t="s">
        <v>1187</v>
      </c>
      <c r="CB598" s="476" t="s">
        <v>1187</v>
      </c>
      <c r="CC598" s="476" t="s">
        <v>1187</v>
      </c>
      <c r="CD598" s="476" t="s">
        <v>1187</v>
      </c>
      <c r="CE598" s="476" t="s">
        <v>1188</v>
      </c>
      <c r="CF598" s="476" t="s">
        <v>1188</v>
      </c>
      <c r="CG598" s="476" t="s">
        <v>1188</v>
      </c>
      <c r="CH598" s="476" t="s">
        <v>1188</v>
      </c>
      <c r="CI598" s="476" t="s">
        <v>1188</v>
      </c>
      <c r="CJ598" s="476" t="s">
        <v>1188</v>
      </c>
      <c r="CK598" s="476" t="s">
        <v>1188</v>
      </c>
      <c r="CL598" s="476" t="s">
        <v>1188</v>
      </c>
      <c r="CM598" s="476" t="str">
        <f>IF(VLOOKUP(BS598,'Données par municipalité'!$B$6:$E$1113,4,FALSE)="","non","oui")</f>
        <v>oui</v>
      </c>
      <c r="CN598" s="410">
        <v>598.23929571828728</v>
      </c>
      <c r="CO598" s="410">
        <v>740.96680746246648</v>
      </c>
      <c r="CP598" s="410">
        <v>665.24619126048287</v>
      </c>
      <c r="CQ598" s="410">
        <v>779.05708523686053</v>
      </c>
      <c r="CR598" s="410">
        <v>828.12466766487876</v>
      </c>
      <c r="CS598" s="410">
        <v>688.84117729773573</v>
      </c>
      <c r="CT598" s="410">
        <v>584.68130924299669</v>
      </c>
      <c r="CU598" s="410">
        <v>762</v>
      </c>
      <c r="CV598" s="410">
        <f>IF(VLOOKUP(BS598,'Données par municipalité'!$B$6:$F$1113,4,FALSE)="","",VLOOKUP(BS598,'Données par municipalité'!$B$6:$F$1113,4,FALSE))</f>
        <v>821</v>
      </c>
      <c r="CW598" s="476" t="s">
        <v>4723</v>
      </c>
      <c r="CX598" s="483">
        <v>0</v>
      </c>
      <c r="CY598" s="483">
        <v>0</v>
      </c>
      <c r="CZ598" s="483">
        <v>0</v>
      </c>
      <c r="DA598" s="483">
        <v>0</v>
      </c>
      <c r="DB598" s="483">
        <v>0</v>
      </c>
      <c r="DC598" s="483">
        <v>0</v>
      </c>
      <c r="DD598" s="483">
        <v>0</v>
      </c>
      <c r="DE598" s="483">
        <f>IFERROR(SUM(VLOOKUP($BS598,'État &amp; Plan d''action'!$B$6:$Z$1113,18,FALSE),VLOOKUP($BS598,'État &amp; Plan d''action'!$B$6:$Z$1113,20,FALSE))/(VLOOKUP($BS598,'Données par municipalité'!$B$4:$L$1113,11,FALSE)),"")</f>
        <v>0</v>
      </c>
      <c r="DF598" s="483">
        <f>IFERROR(SUM(VLOOKUP($BS598,'État &amp; Plan d''action'!$B$6:$Z$1113,19,FALSE),VLOOKUP($BS598,'État &amp; Plan d''action'!$B$6:$Z$1113,21,FALSE))/(VLOOKUP($BS598,'Données par municipalité'!$B$4:$L$1113,11,FALSE)),"")</f>
        <v>1</v>
      </c>
      <c r="DG598" s="476" t="s">
        <v>4723</v>
      </c>
      <c r="DH598" s="484">
        <v>2</v>
      </c>
      <c r="DI598" s="484">
        <v>1</v>
      </c>
      <c r="DJ598" s="484">
        <v>0</v>
      </c>
      <c r="DK598" s="484">
        <v>0</v>
      </c>
      <c r="DL598" s="484">
        <v>0</v>
      </c>
      <c r="DM598" s="484">
        <v>0</v>
      </c>
      <c r="DN598" s="484">
        <v>0</v>
      </c>
      <c r="DO598" s="484">
        <v>0</v>
      </c>
      <c r="DP598" s="484">
        <v>0</v>
      </c>
      <c r="DQ598" s="484">
        <f>IF(VLOOKUP($BS598,'État &amp; Plan d''action'!$B$6:$AJ$1113,28,FALSE)="","",VLOOKUP($BS598,'État &amp; Plan d''action'!$B$6:$AJ$1113,28,FALSE))</f>
        <v>0</v>
      </c>
      <c r="DR598" s="70">
        <f>IF(VLOOKUP($BS598,'État &amp; Plan d''action'!$B$6:$AJ$1113,29,FALSE)="","",VLOOKUP($BS598,'État &amp; Plan d''action'!$B$6:$AJ$1113,29,FALSE))</f>
        <v>0</v>
      </c>
      <c r="DS598" s="70">
        <f>IF(VLOOKUP($BS598,'État &amp; Plan d''action'!$B$6:$AJ$1113,30,FALSE)="","",VLOOKUP($BS598,'État &amp; Plan d''action'!$B$6:$AJ$1113,30,FALSE))</f>
        <v>3</v>
      </c>
      <c r="DT598" s="70">
        <v>203</v>
      </c>
      <c r="DU598" s="485">
        <v>2.9999393078308767</v>
      </c>
      <c r="DV598" s="485">
        <v>3.2769174609720264</v>
      </c>
      <c r="DW598" s="70">
        <v>0</v>
      </c>
      <c r="DX598" s="70">
        <v>0</v>
      </c>
      <c r="DY598" s="70">
        <v>0</v>
      </c>
      <c r="DZ598" s="70">
        <f>VLOOKUP($BS598,'État &amp; Plan d''action'!$B$6:$AH$1113,31,FALSE)</f>
        <v>0</v>
      </c>
      <c r="EA598" s="70">
        <f>VLOOKUP($BS598,'État &amp; Plan d''action'!$B$6:$AH$1113,32,FALSE)</f>
        <v>0</v>
      </c>
      <c r="EB598" s="70">
        <f>VLOOKUP($BS598,'État &amp; Plan d''action'!$B$6:$AH$1113,33,FALSE)</f>
        <v>4</v>
      </c>
      <c r="EC598" s="70">
        <v>0</v>
      </c>
      <c r="ED598" s="70">
        <v>0</v>
      </c>
      <c r="EE598" s="70">
        <v>0</v>
      </c>
      <c r="EF598" s="70">
        <v>0</v>
      </c>
      <c r="EG598" s="70">
        <v>0</v>
      </c>
      <c r="EH598" s="72">
        <v>59</v>
      </c>
      <c r="EI598" s="72">
        <v>596</v>
      </c>
    </row>
    <row r="599" spans="71:139" x14ac:dyDescent="0.35">
      <c r="BS599" s="486">
        <v>56065</v>
      </c>
      <c r="BT599" s="479" t="s">
        <v>577</v>
      </c>
      <c r="BU599" s="479">
        <v>16</v>
      </c>
      <c r="BV599" s="476" t="s">
        <v>1188</v>
      </c>
      <c r="BW599" s="476" t="s">
        <v>1188</v>
      </c>
      <c r="BX599" s="476" t="s">
        <v>1188</v>
      </c>
      <c r="BY599" s="476" t="s">
        <v>1188</v>
      </c>
      <c r="BZ599" s="476" t="s">
        <v>1188</v>
      </c>
      <c r="CA599" s="476" t="s">
        <v>1188</v>
      </c>
      <c r="CB599" s="476" t="s">
        <v>1188</v>
      </c>
      <c r="CC599" s="476" t="s">
        <v>1188</v>
      </c>
      <c r="CD599" s="476" t="s">
        <v>1188</v>
      </c>
      <c r="CE599" s="476" t="s">
        <v>1187</v>
      </c>
      <c r="CF599" s="476" t="s">
        <v>1187</v>
      </c>
      <c r="CG599" s="476" t="s">
        <v>1187</v>
      </c>
      <c r="CH599" s="476" t="s">
        <v>1187</v>
      </c>
      <c r="CI599" s="476" t="s">
        <v>1187</v>
      </c>
      <c r="CJ599" s="476" t="s">
        <v>1187</v>
      </c>
      <c r="CK599" s="476" t="s">
        <v>1187</v>
      </c>
      <c r="CL599" s="476" t="s">
        <v>1187</v>
      </c>
      <c r="CM599" s="476" t="str">
        <f>IF(VLOOKUP(BS599,'Données par municipalité'!$B$6:$E$1113,4,FALSE)="","non","oui")</f>
        <v>non</v>
      </c>
      <c r="CN599" s="410" t="s">
        <v>1124</v>
      </c>
      <c r="CO599" s="410" t="s">
        <v>1124</v>
      </c>
      <c r="CP599" s="410"/>
      <c r="CQ599" s="410"/>
      <c r="CR599" s="410"/>
      <c r="CS599" s="410" t="s">
        <v>1124</v>
      </c>
      <c r="CT599" s="410"/>
      <c r="CU599" s="410" t="s">
        <v>1124</v>
      </c>
      <c r="CV599" s="410" t="str">
        <f>IF(VLOOKUP(BS599,'Données par municipalité'!$B$6:$F$1113,4,FALSE)="","",VLOOKUP(BS599,'Données par municipalité'!$B$6:$F$1113,4,FALSE))</f>
        <v/>
      </c>
      <c r="CW599" s="476" t="s">
        <v>4723</v>
      </c>
      <c r="CX599" s="483" t="s">
        <v>1124</v>
      </c>
      <c r="CY599" s="483" t="s">
        <v>1124</v>
      </c>
      <c r="CZ599" s="483" t="s">
        <v>1124</v>
      </c>
      <c r="DA599" s="483" t="s">
        <v>1124</v>
      </c>
      <c r="DB599" s="483" t="s">
        <v>1124</v>
      </c>
      <c r="DC599" s="483" t="s">
        <v>1124</v>
      </c>
      <c r="DD599" s="483" t="s">
        <v>1124</v>
      </c>
      <c r="DE599" s="483" t="str">
        <f>IFERROR(SUM(VLOOKUP($BS599,'État &amp; Plan d''action'!$B$6:$Z$1113,18,FALSE),VLOOKUP($BS599,'État &amp; Plan d''action'!$B$6:$Z$1113,20,FALSE))/(VLOOKUP($BS599,'Données par municipalité'!$B$4:$L$1113,11,FALSE)),"")</f>
        <v/>
      </c>
      <c r="DF599" s="483" t="str">
        <f>IFERROR(SUM(VLOOKUP($BS599,'État &amp; Plan d''action'!$B$6:$Z$1113,19,FALSE),VLOOKUP($BS599,'État &amp; Plan d''action'!$B$6:$Z$1113,21,FALSE))/(VLOOKUP($BS599,'Données par municipalité'!$B$4:$L$1113,11,FALSE)),"")</f>
        <v/>
      </c>
      <c r="DG599" s="476" t="s">
        <v>4723</v>
      </c>
      <c r="DH599" s="484" t="s">
        <v>1124</v>
      </c>
      <c r="DI599" s="484" t="s">
        <v>1124</v>
      </c>
      <c r="DJ599" s="484">
        <v>0</v>
      </c>
      <c r="DK599" s="484">
        <v>0</v>
      </c>
      <c r="DL599" s="484" t="s">
        <v>1124</v>
      </c>
      <c r="DM599" s="484" t="s">
        <v>1124</v>
      </c>
      <c r="DN599" s="484" t="s">
        <v>1124</v>
      </c>
      <c r="DO599" s="484" t="s">
        <v>1124</v>
      </c>
      <c r="DP599" s="484" t="s">
        <v>1124</v>
      </c>
      <c r="DQ599" s="484" t="str">
        <f>IF(VLOOKUP($BS599,'État &amp; Plan d''action'!$B$6:$AJ$1113,28,FALSE)="","",VLOOKUP($BS599,'État &amp; Plan d''action'!$B$6:$AJ$1113,28,FALSE))</f>
        <v/>
      </c>
      <c r="DR599" s="70" t="str">
        <f>IF(VLOOKUP($BS599,'État &amp; Plan d''action'!$B$6:$AJ$1113,29,FALSE)="","",VLOOKUP($BS599,'État &amp; Plan d''action'!$B$6:$AJ$1113,29,FALSE))</f>
        <v/>
      </c>
      <c r="DS599" s="70" t="str">
        <f>IF(VLOOKUP($BS599,'État &amp; Plan d''action'!$B$6:$AJ$1113,30,FALSE)="","",VLOOKUP($BS599,'État &amp; Plan d''action'!$B$6:$AJ$1113,30,FALSE))</f>
        <v/>
      </c>
      <c r="DT599" s="70" t="s">
        <v>1124</v>
      </c>
      <c r="DU599" s="485" t="s">
        <v>1124</v>
      </c>
      <c r="DV599" s="485" t="s">
        <v>1124</v>
      </c>
      <c r="DW599" s="70" t="s">
        <v>1124</v>
      </c>
      <c r="DX599" s="70" t="s">
        <v>1124</v>
      </c>
      <c r="DY599" s="70" t="s">
        <v>1124</v>
      </c>
      <c r="DZ599" s="70" t="str">
        <f>VLOOKUP($BS599,'État &amp; Plan d''action'!$B$6:$AH$1113,31,FALSE)</f>
        <v/>
      </c>
      <c r="EA599" s="70" t="str">
        <f>VLOOKUP($BS599,'État &amp; Plan d''action'!$B$6:$AH$1113,32,FALSE)</f>
        <v/>
      </c>
      <c r="EB599" s="70" t="str">
        <f>VLOOKUP($BS599,'État &amp; Plan d''action'!$B$6:$AH$1113,33,FALSE)</f>
        <v/>
      </c>
      <c r="EC599" s="70" t="s">
        <v>1124</v>
      </c>
      <c r="ED599" s="70" t="s">
        <v>1124</v>
      </c>
      <c r="EE599" s="70" t="s">
        <v>1124</v>
      </c>
      <c r="EF599" s="70" t="s">
        <v>1124</v>
      </c>
      <c r="EG599" s="70" t="s">
        <v>1124</v>
      </c>
      <c r="EH599" s="72"/>
      <c r="EI599" s="72">
        <v>2070</v>
      </c>
    </row>
    <row r="600" spans="71:139" x14ac:dyDescent="0.35">
      <c r="BS600" s="486">
        <v>49125</v>
      </c>
      <c r="BT600" s="479" t="s">
        <v>480</v>
      </c>
      <c r="BU600" s="479">
        <v>17</v>
      </c>
      <c r="BV600" s="476" t="s">
        <v>1188</v>
      </c>
      <c r="BW600" s="476" t="s">
        <v>1188</v>
      </c>
      <c r="BX600" s="476" t="s">
        <v>1188</v>
      </c>
      <c r="BY600" s="476" t="s">
        <v>1188</v>
      </c>
      <c r="BZ600" s="476" t="s">
        <v>1188</v>
      </c>
      <c r="CA600" s="476" t="s">
        <v>1188</v>
      </c>
      <c r="CB600" s="476" t="s">
        <v>1188</v>
      </c>
      <c r="CC600" s="476" t="s">
        <v>1188</v>
      </c>
      <c r="CD600" s="476" t="s">
        <v>1188</v>
      </c>
      <c r="CE600" s="476" t="s">
        <v>1187</v>
      </c>
      <c r="CF600" s="476" t="s">
        <v>1187</v>
      </c>
      <c r="CG600" s="476" t="s">
        <v>1187</v>
      </c>
      <c r="CH600" s="476" t="s">
        <v>1187</v>
      </c>
      <c r="CI600" s="476" t="s">
        <v>1187</v>
      </c>
      <c r="CJ600" s="476" t="s">
        <v>1187</v>
      </c>
      <c r="CK600" s="476" t="s">
        <v>1187</v>
      </c>
      <c r="CL600" s="476" t="s">
        <v>1187</v>
      </c>
      <c r="CM600" s="476" t="str">
        <f>IF(VLOOKUP(BS600,'Données par municipalité'!$B$6:$E$1113,4,FALSE)="","non","oui")</f>
        <v>non</v>
      </c>
      <c r="CN600" s="410" t="s">
        <v>1124</v>
      </c>
      <c r="CO600" s="410" t="s">
        <v>1124</v>
      </c>
      <c r="CP600" s="410"/>
      <c r="CQ600" s="410"/>
      <c r="CR600" s="410"/>
      <c r="CS600" s="410" t="s">
        <v>1124</v>
      </c>
      <c r="CT600" s="410"/>
      <c r="CU600" s="410" t="s">
        <v>1124</v>
      </c>
      <c r="CV600" s="410" t="str">
        <f>IF(VLOOKUP(BS600,'Données par municipalité'!$B$6:$F$1113,4,FALSE)="","",VLOOKUP(BS600,'Données par municipalité'!$B$6:$F$1113,4,FALSE))</f>
        <v/>
      </c>
      <c r="CW600" s="476" t="s">
        <v>4723</v>
      </c>
      <c r="CX600" s="483" t="s">
        <v>1124</v>
      </c>
      <c r="CY600" s="483" t="s">
        <v>1124</v>
      </c>
      <c r="CZ600" s="483" t="s">
        <v>1124</v>
      </c>
      <c r="DA600" s="483" t="s">
        <v>1124</v>
      </c>
      <c r="DB600" s="483" t="s">
        <v>1124</v>
      </c>
      <c r="DC600" s="483" t="s">
        <v>1124</v>
      </c>
      <c r="DD600" s="483" t="s">
        <v>1124</v>
      </c>
      <c r="DE600" s="483" t="str">
        <f>IFERROR(SUM(VLOOKUP($BS600,'État &amp; Plan d''action'!$B$6:$Z$1113,18,FALSE),VLOOKUP($BS600,'État &amp; Plan d''action'!$B$6:$Z$1113,20,FALSE))/(VLOOKUP($BS600,'Données par municipalité'!$B$4:$L$1113,11,FALSE)),"")</f>
        <v/>
      </c>
      <c r="DF600" s="483" t="str">
        <f>IFERROR(SUM(VLOOKUP($BS600,'État &amp; Plan d''action'!$B$6:$Z$1113,19,FALSE),VLOOKUP($BS600,'État &amp; Plan d''action'!$B$6:$Z$1113,21,FALSE))/(VLOOKUP($BS600,'Données par municipalité'!$B$4:$L$1113,11,FALSE)),"")</f>
        <v/>
      </c>
      <c r="DG600" s="476" t="s">
        <v>4723</v>
      </c>
      <c r="DH600" s="484" t="s">
        <v>1124</v>
      </c>
      <c r="DI600" s="484" t="s">
        <v>1124</v>
      </c>
      <c r="DJ600" s="484">
        <v>0</v>
      </c>
      <c r="DK600" s="484">
        <v>0</v>
      </c>
      <c r="DL600" s="484" t="s">
        <v>1124</v>
      </c>
      <c r="DM600" s="484" t="s">
        <v>1124</v>
      </c>
      <c r="DN600" s="484" t="s">
        <v>1124</v>
      </c>
      <c r="DO600" s="484" t="s">
        <v>1124</v>
      </c>
      <c r="DP600" s="484" t="s">
        <v>1124</v>
      </c>
      <c r="DQ600" s="484" t="str">
        <f>IF(VLOOKUP($BS600,'État &amp; Plan d''action'!$B$6:$AJ$1113,28,FALSE)="","",VLOOKUP($BS600,'État &amp; Plan d''action'!$B$6:$AJ$1113,28,FALSE))</f>
        <v/>
      </c>
      <c r="DR600" s="70" t="str">
        <f>IF(VLOOKUP($BS600,'État &amp; Plan d''action'!$B$6:$AJ$1113,29,FALSE)="","",VLOOKUP($BS600,'État &amp; Plan d''action'!$B$6:$AJ$1113,29,FALSE))</f>
        <v/>
      </c>
      <c r="DS600" s="70" t="str">
        <f>IF(VLOOKUP($BS600,'État &amp; Plan d''action'!$B$6:$AJ$1113,30,FALSE)="","",VLOOKUP($BS600,'État &amp; Plan d''action'!$B$6:$AJ$1113,30,FALSE))</f>
        <v/>
      </c>
      <c r="DT600" s="70" t="s">
        <v>1124</v>
      </c>
      <c r="DU600" s="485" t="s">
        <v>1124</v>
      </c>
      <c r="DV600" s="485" t="s">
        <v>1124</v>
      </c>
      <c r="DW600" s="70" t="s">
        <v>1124</v>
      </c>
      <c r="DX600" s="70" t="s">
        <v>1124</v>
      </c>
      <c r="DY600" s="70" t="s">
        <v>1124</v>
      </c>
      <c r="DZ600" s="70" t="str">
        <f>VLOOKUP($BS600,'État &amp; Plan d''action'!$B$6:$AH$1113,31,FALSE)</f>
        <v/>
      </c>
      <c r="EA600" s="70" t="str">
        <f>VLOOKUP($BS600,'État &amp; Plan d''action'!$B$6:$AH$1113,32,FALSE)</f>
        <v/>
      </c>
      <c r="EB600" s="70" t="str">
        <f>VLOOKUP($BS600,'État &amp; Plan d''action'!$B$6:$AH$1113,33,FALSE)</f>
        <v/>
      </c>
      <c r="EC600" s="70" t="s">
        <v>1124</v>
      </c>
      <c r="ED600" s="70" t="s">
        <v>1124</v>
      </c>
      <c r="EE600" s="70" t="s">
        <v>1124</v>
      </c>
      <c r="EF600" s="70" t="s">
        <v>1124</v>
      </c>
      <c r="EG600" s="70" t="s">
        <v>1124</v>
      </c>
      <c r="EH600" s="72"/>
      <c r="EI600" s="72">
        <v>1064</v>
      </c>
    </row>
    <row r="601" spans="71:139" x14ac:dyDescent="0.35">
      <c r="BS601" s="486">
        <v>51085</v>
      </c>
      <c r="BT601" s="479" t="s">
        <v>513</v>
      </c>
      <c r="BU601" s="479">
        <v>4</v>
      </c>
      <c r="BV601" s="476" t="s">
        <v>1187</v>
      </c>
      <c r="BW601" s="476" t="s">
        <v>1187</v>
      </c>
      <c r="BX601" s="476" t="s">
        <v>1187</v>
      </c>
      <c r="BY601" s="476" t="s">
        <v>1187</v>
      </c>
      <c r="BZ601" s="476" t="s">
        <v>1187</v>
      </c>
      <c r="CA601" s="476" t="s">
        <v>1187</v>
      </c>
      <c r="CB601" s="476" t="s">
        <v>1187</v>
      </c>
      <c r="CC601" s="476" t="s">
        <v>1187</v>
      </c>
      <c r="CD601" s="476" t="s">
        <v>1187</v>
      </c>
      <c r="CE601" s="476" t="s">
        <v>1188</v>
      </c>
      <c r="CF601" s="476" t="s">
        <v>1188</v>
      </c>
      <c r="CG601" s="476" t="s">
        <v>1188</v>
      </c>
      <c r="CH601" s="476" t="s">
        <v>1188</v>
      </c>
      <c r="CI601" s="476" t="s">
        <v>1188</v>
      </c>
      <c r="CJ601" s="476" t="s">
        <v>1188</v>
      </c>
      <c r="CK601" s="476" t="s">
        <v>1188</v>
      </c>
      <c r="CL601" s="476" t="s">
        <v>1188</v>
      </c>
      <c r="CM601" s="476" t="str">
        <f>IF(VLOOKUP(BS601,'Données par municipalité'!$B$6:$E$1113,4,FALSE)="","non","oui")</f>
        <v>non</v>
      </c>
      <c r="CN601" s="410">
        <v>361.77281107184115</v>
      </c>
      <c r="CO601" s="410">
        <v>394.29092259659461</v>
      </c>
      <c r="CP601" s="410">
        <v>427.89478311682075</v>
      </c>
      <c r="CQ601" s="410">
        <v>503.61206342666844</v>
      </c>
      <c r="CR601" s="410">
        <v>471.79550897750511</v>
      </c>
      <c r="CS601" s="410">
        <v>459.34725298273997</v>
      </c>
      <c r="CT601" s="410">
        <v>340.09821601806209</v>
      </c>
      <c r="CU601" s="410">
        <v>350</v>
      </c>
      <c r="CV601" s="410" t="str">
        <f>IF(VLOOKUP(BS601,'Données par municipalité'!$B$6:$F$1113,4,FALSE)="","",VLOOKUP(BS601,'Données par municipalité'!$B$6:$F$1113,4,FALSE))</f>
        <v/>
      </c>
      <c r="CW601" s="476" t="s">
        <v>4723</v>
      </c>
      <c r="CX601" s="483">
        <v>0</v>
      </c>
      <c r="CY601" s="483">
        <v>0</v>
      </c>
      <c r="CZ601" s="483">
        <v>0</v>
      </c>
      <c r="DA601" s="483">
        <v>0</v>
      </c>
      <c r="DB601" s="483">
        <v>0</v>
      </c>
      <c r="DC601" s="483">
        <v>0.05</v>
      </c>
      <c r="DD601" s="483">
        <v>0</v>
      </c>
      <c r="DE601" s="483" t="str">
        <f>IFERROR(SUM(VLOOKUP($BS601,'État &amp; Plan d''action'!$B$6:$Z$1113,18,FALSE),VLOOKUP($BS601,'État &amp; Plan d''action'!$B$6:$Z$1113,20,FALSE))/(VLOOKUP($BS601,'Données par municipalité'!$B$4:$L$1113,11,FALSE)),"")</f>
        <v/>
      </c>
      <c r="DF601" s="483" t="str">
        <f>IFERROR(SUM(VLOOKUP($BS601,'État &amp; Plan d''action'!$B$6:$Z$1113,19,FALSE),VLOOKUP($BS601,'État &amp; Plan d''action'!$B$6:$Z$1113,21,FALSE))/(VLOOKUP($BS601,'Données par municipalité'!$B$4:$L$1113,11,FALSE)),"")</f>
        <v/>
      </c>
      <c r="DG601" s="476" t="s">
        <v>4723</v>
      </c>
      <c r="DH601" s="484">
        <v>0</v>
      </c>
      <c r="DI601" s="484">
        <v>0</v>
      </c>
      <c r="DJ601" s="484">
        <v>1</v>
      </c>
      <c r="DK601" s="484">
        <v>3</v>
      </c>
      <c r="DL601" s="484">
        <v>1</v>
      </c>
      <c r="DM601" s="484">
        <v>1</v>
      </c>
      <c r="DN601" s="484">
        <v>0</v>
      </c>
      <c r="DO601" s="484">
        <v>4</v>
      </c>
      <c r="DP601" s="484">
        <v>0</v>
      </c>
      <c r="DQ601" s="484" t="str">
        <f>IF(VLOOKUP($BS601,'État &amp; Plan d''action'!$B$6:$AJ$1113,28,FALSE)="","",VLOOKUP($BS601,'État &amp; Plan d''action'!$B$6:$AJ$1113,28,FALSE))</f>
        <v/>
      </c>
      <c r="DR601" s="70" t="str">
        <f>IF(VLOOKUP($BS601,'État &amp; Plan d''action'!$B$6:$AJ$1113,29,FALSE)="","",VLOOKUP($BS601,'État &amp; Plan d''action'!$B$6:$AJ$1113,29,FALSE))</f>
        <v/>
      </c>
      <c r="DS601" s="70" t="str">
        <f>IF(VLOOKUP($BS601,'État &amp; Plan d''action'!$B$6:$AJ$1113,30,FALSE)="","",VLOOKUP($BS601,'État &amp; Plan d''action'!$B$6:$AJ$1113,30,FALSE))</f>
        <v/>
      </c>
      <c r="DT601" s="70">
        <v>289</v>
      </c>
      <c r="DU601" s="485">
        <v>1.4582458418562307</v>
      </c>
      <c r="DV601" s="485" t="s">
        <v>1124</v>
      </c>
      <c r="DW601" s="70">
        <v>0</v>
      </c>
      <c r="DX601" s="70">
        <v>10</v>
      </c>
      <c r="DY601" s="70">
        <v>0</v>
      </c>
      <c r="DZ601" s="70" t="str">
        <f>VLOOKUP($BS601,'État &amp; Plan d''action'!$B$6:$AH$1113,31,FALSE)</f>
        <v/>
      </c>
      <c r="EA601" s="70" t="str">
        <f>VLOOKUP($BS601,'État &amp; Plan d''action'!$B$6:$AH$1113,32,FALSE)</f>
        <v/>
      </c>
      <c r="EB601" s="70" t="str">
        <f>VLOOKUP($BS601,'État &amp; Plan d''action'!$B$6:$AH$1113,33,FALSE)</f>
        <v/>
      </c>
      <c r="EC601" s="70">
        <v>0</v>
      </c>
      <c r="ED601" s="70">
        <v>0</v>
      </c>
      <c r="EE601" s="70">
        <v>0</v>
      </c>
      <c r="EF601" s="70">
        <v>0</v>
      </c>
      <c r="EG601" s="70">
        <v>0</v>
      </c>
      <c r="EH601" s="72">
        <v>45</v>
      </c>
      <c r="EI601" s="72">
        <v>4961</v>
      </c>
    </row>
    <row r="602" spans="71:139" x14ac:dyDescent="0.35">
      <c r="BS602" s="486">
        <v>93030</v>
      </c>
      <c r="BT602" s="479" t="s">
        <v>962</v>
      </c>
      <c r="BU602" s="479">
        <v>2</v>
      </c>
      <c r="BV602" s="476" t="s">
        <v>1187</v>
      </c>
      <c r="BW602" s="476" t="s">
        <v>1187</v>
      </c>
      <c r="BX602" s="476" t="s">
        <v>1187</v>
      </c>
      <c r="BY602" s="476" t="s">
        <v>1187</v>
      </c>
      <c r="BZ602" s="476" t="s">
        <v>1187</v>
      </c>
      <c r="CA602" s="476" t="s">
        <v>1187</v>
      </c>
      <c r="CB602" s="476" t="s">
        <v>1187</v>
      </c>
      <c r="CC602" s="476" t="s">
        <v>1187</v>
      </c>
      <c r="CD602" s="476" t="s">
        <v>1187</v>
      </c>
      <c r="CE602" s="476" t="s">
        <v>1188</v>
      </c>
      <c r="CF602" s="476" t="s">
        <v>1187</v>
      </c>
      <c r="CG602" s="476" t="s">
        <v>1187</v>
      </c>
      <c r="CH602" s="476" t="s">
        <v>1188</v>
      </c>
      <c r="CI602" s="476" t="s">
        <v>1188</v>
      </c>
      <c r="CJ602" s="476" t="s">
        <v>1188</v>
      </c>
      <c r="CK602" s="476" t="s">
        <v>1188</v>
      </c>
      <c r="CL602" s="476" t="s">
        <v>1188</v>
      </c>
      <c r="CM602" s="476" t="str">
        <f>IF(VLOOKUP(BS602,'Données par municipalité'!$B$6:$E$1113,4,FALSE)="","non","oui")</f>
        <v>oui</v>
      </c>
      <c r="CN602" s="410">
        <v>875.29595805851523</v>
      </c>
      <c r="CO602" s="410" t="s">
        <v>1124</v>
      </c>
      <c r="CP602" s="410"/>
      <c r="CQ602" s="410">
        <v>674.82277993569699</v>
      </c>
      <c r="CR602" s="410">
        <v>695.02813947612503</v>
      </c>
      <c r="CS602" s="410">
        <v>673.36425018842249</v>
      </c>
      <c r="CT602" s="410">
        <v>512</v>
      </c>
      <c r="CU602" s="410">
        <v>523</v>
      </c>
      <c r="CV602" s="410">
        <f>IF(VLOOKUP(BS602,'Données par municipalité'!$B$6:$F$1113,4,FALSE)="","",VLOOKUP(BS602,'Données par municipalité'!$B$6:$F$1113,4,FALSE))</f>
        <v>492</v>
      </c>
      <c r="CW602" s="476" t="s">
        <v>4723</v>
      </c>
      <c r="CX602" s="483" t="s">
        <v>1124</v>
      </c>
      <c r="CY602" s="483" t="s">
        <v>1124</v>
      </c>
      <c r="CZ602" s="483">
        <v>0</v>
      </c>
      <c r="DA602" s="483">
        <v>0</v>
      </c>
      <c r="DB602" s="483">
        <v>0</v>
      </c>
      <c r="DC602" s="483">
        <v>0</v>
      </c>
      <c r="DD602" s="483">
        <v>0</v>
      </c>
      <c r="DE602" s="483">
        <f>IFERROR(SUM(VLOOKUP($BS602,'État &amp; Plan d''action'!$B$6:$Z$1113,18,FALSE),VLOOKUP($BS602,'État &amp; Plan d''action'!$B$6:$Z$1113,20,FALSE))/(VLOOKUP($BS602,'Données par municipalité'!$B$4:$L$1113,11,FALSE)),"")</f>
        <v>6.9669903994872299E-3</v>
      </c>
      <c r="DF602" s="483">
        <f>IFERROR(SUM(VLOOKUP($BS602,'État &amp; Plan d''action'!$B$6:$Z$1113,19,FALSE),VLOOKUP($BS602,'État &amp; Plan d''action'!$B$6:$Z$1113,21,FALSE))/(VLOOKUP($BS602,'Données par municipalité'!$B$4:$L$1113,11,FALSE)),"")</f>
        <v>0.70041941282204923</v>
      </c>
      <c r="DG602" s="476" t="s">
        <v>4723</v>
      </c>
      <c r="DH602" s="484">
        <v>5</v>
      </c>
      <c r="DI602" s="484" t="s">
        <v>1124</v>
      </c>
      <c r="DJ602" s="484">
        <v>1</v>
      </c>
      <c r="DK602" s="484">
        <v>6</v>
      </c>
      <c r="DL602" s="484">
        <v>14</v>
      </c>
      <c r="DM602" s="484">
        <v>12</v>
      </c>
      <c r="DN602" s="484">
        <v>18</v>
      </c>
      <c r="DO602" s="484">
        <v>2</v>
      </c>
      <c r="DP602" s="484">
        <v>16</v>
      </c>
      <c r="DQ602" s="484">
        <f>IF(VLOOKUP($BS602,'État &amp; Plan d''action'!$B$6:$AJ$1113,28,FALSE)="","",VLOOKUP($BS602,'État &amp; Plan d''action'!$B$6:$AJ$1113,28,FALSE))</f>
        <v>6</v>
      </c>
      <c r="DR602" s="70">
        <f>IF(VLOOKUP($BS602,'État &amp; Plan d''action'!$B$6:$AJ$1113,29,FALSE)="","",VLOOKUP($BS602,'État &amp; Plan d''action'!$B$6:$AJ$1113,29,FALSE))</f>
        <v>8</v>
      </c>
      <c r="DS602" s="70">
        <f>IF(VLOOKUP($BS602,'État &amp; Plan d''action'!$B$6:$AJ$1113,30,FALSE)="","",VLOOKUP($BS602,'État &amp; Plan d''action'!$B$6:$AJ$1113,30,FALSE))</f>
        <v>7</v>
      </c>
      <c r="DT602" s="70">
        <v>334</v>
      </c>
      <c r="DU602" s="485">
        <v>1.4362772331111391</v>
      </c>
      <c r="DV602" s="485">
        <v>3.6482873312617334</v>
      </c>
      <c r="DW602" s="70">
        <v>4</v>
      </c>
      <c r="DX602" s="70">
        <v>4</v>
      </c>
      <c r="DY602" s="70">
        <v>4</v>
      </c>
      <c r="DZ602" s="70">
        <f>VLOOKUP($BS602,'État &amp; Plan d''action'!$B$6:$AH$1113,31,FALSE)</f>
        <v>2</v>
      </c>
      <c r="EA602" s="70">
        <f>VLOOKUP($BS602,'État &amp; Plan d''action'!$B$6:$AH$1113,32,FALSE)</f>
        <v>3</v>
      </c>
      <c r="EB602" s="70">
        <f>VLOOKUP($BS602,'État &amp; Plan d''action'!$B$6:$AH$1113,33,FALSE)</f>
        <v>3</v>
      </c>
      <c r="EC602" s="70">
        <v>0</v>
      </c>
      <c r="ED602" s="70">
        <v>0</v>
      </c>
      <c r="EE602" s="70">
        <v>0</v>
      </c>
      <c r="EF602" s="70">
        <v>0</v>
      </c>
      <c r="EG602" s="70">
        <v>0</v>
      </c>
      <c r="EH602" s="72">
        <v>64.833333333333329</v>
      </c>
      <c r="EI602" s="72">
        <v>2936</v>
      </c>
    </row>
    <row r="603" spans="71:139" x14ac:dyDescent="0.35">
      <c r="BS603" s="486">
        <v>85045</v>
      </c>
      <c r="BT603" s="479" t="s">
        <v>877</v>
      </c>
      <c r="BU603" s="479">
        <v>8</v>
      </c>
      <c r="BV603" s="476" t="s">
        <v>1187</v>
      </c>
      <c r="BW603" s="476" t="s">
        <v>1187</v>
      </c>
      <c r="BX603" s="476" t="s">
        <v>1187</v>
      </c>
      <c r="BY603" s="476" t="s">
        <v>1187</v>
      </c>
      <c r="BZ603" s="476" t="s">
        <v>1187</v>
      </c>
      <c r="CA603" s="476" t="s">
        <v>1187</v>
      </c>
      <c r="CB603" s="476" t="s">
        <v>1187</v>
      </c>
      <c r="CC603" s="476" t="s">
        <v>1187</v>
      </c>
      <c r="CD603" s="476" t="s">
        <v>1187</v>
      </c>
      <c r="CE603" s="476" t="s">
        <v>1188</v>
      </c>
      <c r="CF603" s="476" t="s">
        <v>1188</v>
      </c>
      <c r="CG603" s="476" t="s">
        <v>1188</v>
      </c>
      <c r="CH603" s="476" t="s">
        <v>1187</v>
      </c>
      <c r="CI603" s="476" t="s">
        <v>1188</v>
      </c>
      <c r="CJ603" s="476" t="s">
        <v>1187</v>
      </c>
      <c r="CK603" s="476" t="s">
        <v>1187</v>
      </c>
      <c r="CL603" s="476" t="s">
        <v>1188</v>
      </c>
      <c r="CM603" s="476" t="str">
        <f>IF(VLOOKUP(BS603,'Données par municipalité'!$B$6:$E$1113,4,FALSE)="","non","oui")</f>
        <v>oui</v>
      </c>
      <c r="CN603" s="410">
        <v>950.4134271257559</v>
      </c>
      <c r="CO603" s="410">
        <v>1059.9195108713504</v>
      </c>
      <c r="CP603" s="410">
        <v>1024.3611074442599</v>
      </c>
      <c r="CQ603" s="410"/>
      <c r="CR603" s="410">
        <v>1173.9262468086304</v>
      </c>
      <c r="CS603" s="410"/>
      <c r="CT603" s="410"/>
      <c r="CU603" s="410">
        <v>273</v>
      </c>
      <c r="CV603" s="410">
        <f>IF(VLOOKUP(BS603,'Données par municipalité'!$B$6:$F$1113,4,FALSE)="","",VLOOKUP(BS603,'Données par municipalité'!$B$6:$F$1113,4,FALSE))</f>
        <v>317</v>
      </c>
      <c r="CW603" s="476" t="s">
        <v>4723</v>
      </c>
      <c r="CX603" s="483">
        <v>0</v>
      </c>
      <c r="CY603" s="483">
        <v>0</v>
      </c>
      <c r="CZ603" s="483" t="s">
        <v>1124</v>
      </c>
      <c r="DA603" s="483">
        <v>0</v>
      </c>
      <c r="DB603" s="483" t="s">
        <v>1124</v>
      </c>
      <c r="DC603" s="483" t="s">
        <v>1124</v>
      </c>
      <c r="DD603" s="483">
        <v>0</v>
      </c>
      <c r="DE603" s="483">
        <f>IFERROR(SUM(VLOOKUP($BS603,'État &amp; Plan d''action'!$B$6:$Z$1113,18,FALSE),VLOOKUP($BS603,'État &amp; Plan d''action'!$B$6:$Z$1113,20,FALSE))/(VLOOKUP($BS603,'Données par municipalité'!$B$4:$L$1113,11,FALSE)),"")</f>
        <v>2.5863183757920603E-2</v>
      </c>
      <c r="DF603" s="483">
        <f>IFERROR(SUM(VLOOKUP($BS603,'État &amp; Plan d''action'!$B$6:$Z$1113,19,FALSE),VLOOKUP($BS603,'État &amp; Plan d''action'!$B$6:$Z$1113,21,FALSE))/(VLOOKUP($BS603,'Données par municipalité'!$B$4:$L$1113,11,FALSE)),"")</f>
        <v>2.0129315918789601</v>
      </c>
      <c r="DG603" s="476" t="s">
        <v>4723</v>
      </c>
      <c r="DH603" s="484" t="s">
        <v>1124</v>
      </c>
      <c r="DI603" s="484" t="s">
        <v>1124</v>
      </c>
      <c r="DJ603" s="484">
        <v>0</v>
      </c>
      <c r="DK603" s="484">
        <v>0</v>
      </c>
      <c r="DL603" s="484" t="s">
        <v>1124</v>
      </c>
      <c r="DM603" s="484" t="s">
        <v>1124</v>
      </c>
      <c r="DN603" s="484">
        <v>0</v>
      </c>
      <c r="DO603" s="484">
        <v>2</v>
      </c>
      <c r="DP603" s="484">
        <v>1</v>
      </c>
      <c r="DQ603" s="484">
        <f>IF(VLOOKUP($BS603,'État &amp; Plan d''action'!$B$6:$AJ$1113,28,FALSE)="","",VLOOKUP($BS603,'État &amp; Plan d''action'!$B$6:$AJ$1113,28,FALSE))</f>
        <v>0</v>
      </c>
      <c r="DR603" s="70">
        <f>IF(VLOOKUP($BS603,'État &amp; Plan d''action'!$B$6:$AJ$1113,29,FALSE)="","",VLOOKUP($BS603,'État &amp; Plan d''action'!$B$6:$AJ$1113,29,FALSE))</f>
        <v>1</v>
      </c>
      <c r="DS603" s="70">
        <f>IF(VLOOKUP($BS603,'État &amp; Plan d''action'!$B$6:$AJ$1113,30,FALSE)="","",VLOOKUP($BS603,'État &amp; Plan d''action'!$B$6:$AJ$1113,30,FALSE))</f>
        <v>1</v>
      </c>
      <c r="DT603" s="70">
        <v>197</v>
      </c>
      <c r="DU603" s="485">
        <v>0.66442229152630905</v>
      </c>
      <c r="DV603" s="485">
        <v>2.8018136410444399</v>
      </c>
      <c r="DW603" s="70">
        <v>0</v>
      </c>
      <c r="DX603" s="70">
        <v>2</v>
      </c>
      <c r="DY603" s="70">
        <v>5</v>
      </c>
      <c r="DZ603" s="70">
        <f>VLOOKUP($BS603,'État &amp; Plan d''action'!$B$6:$AH$1113,31,FALSE)</f>
        <v>0</v>
      </c>
      <c r="EA603" s="70">
        <f>VLOOKUP($BS603,'État &amp; Plan d''action'!$B$6:$AH$1113,32,FALSE)</f>
        <v>2</v>
      </c>
      <c r="EB603" s="70">
        <f>VLOOKUP($BS603,'État &amp; Plan d''action'!$B$6:$AH$1113,33,FALSE)</f>
        <v>6</v>
      </c>
      <c r="EC603" s="70">
        <v>0</v>
      </c>
      <c r="ED603" s="70">
        <v>0</v>
      </c>
      <c r="EE603" s="70">
        <v>0</v>
      </c>
      <c r="EF603" s="70">
        <v>0</v>
      </c>
      <c r="EG603" s="70">
        <v>0</v>
      </c>
      <c r="EH603" s="72">
        <v>45</v>
      </c>
      <c r="EI603" s="72">
        <v>1146</v>
      </c>
    </row>
    <row r="604" spans="71:139" x14ac:dyDescent="0.35">
      <c r="BS604" s="486">
        <v>14010</v>
      </c>
      <c r="BT604" s="479" t="s">
        <v>61</v>
      </c>
      <c r="BU604" s="479">
        <v>1</v>
      </c>
      <c r="BV604" s="476" t="s">
        <v>1188</v>
      </c>
      <c r="BW604" s="476" t="s">
        <v>1188</v>
      </c>
      <c r="BX604" s="476" t="s">
        <v>1188</v>
      </c>
      <c r="BY604" s="476" t="s">
        <v>1188</v>
      </c>
      <c r="BZ604" s="476" t="s">
        <v>1188</v>
      </c>
      <c r="CA604" s="476" t="s">
        <v>1188</v>
      </c>
      <c r="CB604" s="476" t="s">
        <v>1188</v>
      </c>
      <c r="CC604" s="476" t="s">
        <v>1188</v>
      </c>
      <c r="CD604" s="476" t="s">
        <v>1188</v>
      </c>
      <c r="CE604" s="476" t="s">
        <v>1187</v>
      </c>
      <c r="CF604" s="476" t="s">
        <v>1187</v>
      </c>
      <c r="CG604" s="476" t="s">
        <v>1187</v>
      </c>
      <c r="CH604" s="476" t="s">
        <v>1187</v>
      </c>
      <c r="CI604" s="476" t="s">
        <v>1187</v>
      </c>
      <c r="CJ604" s="476" t="s">
        <v>1187</v>
      </c>
      <c r="CK604" s="476" t="s">
        <v>1187</v>
      </c>
      <c r="CL604" s="476" t="s">
        <v>1187</v>
      </c>
      <c r="CM604" s="476" t="str">
        <f>IF(VLOOKUP(BS604,'Données par municipalité'!$B$6:$E$1113,4,FALSE)="","non","oui")</f>
        <v>non</v>
      </c>
      <c r="CN604" s="410" t="s">
        <v>1124</v>
      </c>
      <c r="CO604" s="410" t="s">
        <v>1124</v>
      </c>
      <c r="CP604" s="410"/>
      <c r="CQ604" s="410"/>
      <c r="CR604" s="410"/>
      <c r="CS604" s="410" t="s">
        <v>1124</v>
      </c>
      <c r="CT604" s="410"/>
      <c r="CU604" s="410" t="s">
        <v>1124</v>
      </c>
      <c r="CV604" s="410" t="str">
        <f>IF(VLOOKUP(BS604,'Données par municipalité'!$B$6:$F$1113,4,FALSE)="","",VLOOKUP(BS604,'Données par municipalité'!$B$6:$F$1113,4,FALSE))</f>
        <v/>
      </c>
      <c r="CW604" s="476" t="s">
        <v>4723</v>
      </c>
      <c r="CX604" s="483" t="s">
        <v>1124</v>
      </c>
      <c r="CY604" s="483" t="s">
        <v>1124</v>
      </c>
      <c r="CZ604" s="483" t="s">
        <v>1124</v>
      </c>
      <c r="DA604" s="483" t="s">
        <v>1124</v>
      </c>
      <c r="DB604" s="483" t="s">
        <v>1124</v>
      </c>
      <c r="DC604" s="483" t="s">
        <v>1124</v>
      </c>
      <c r="DD604" s="483" t="s">
        <v>1124</v>
      </c>
      <c r="DE604" s="483" t="str">
        <f>IFERROR(SUM(VLOOKUP($BS604,'État &amp; Plan d''action'!$B$6:$Z$1113,18,FALSE),VLOOKUP($BS604,'État &amp; Plan d''action'!$B$6:$Z$1113,20,FALSE))/(VLOOKUP($BS604,'Données par municipalité'!$B$4:$L$1113,11,FALSE)),"")</f>
        <v/>
      </c>
      <c r="DF604" s="483" t="str">
        <f>IFERROR(SUM(VLOOKUP($BS604,'État &amp; Plan d''action'!$B$6:$Z$1113,19,FALSE),VLOOKUP($BS604,'État &amp; Plan d''action'!$B$6:$Z$1113,21,FALSE))/(VLOOKUP($BS604,'Données par municipalité'!$B$4:$L$1113,11,FALSE)),"")</f>
        <v/>
      </c>
      <c r="DG604" s="476" t="s">
        <v>4723</v>
      </c>
      <c r="DH604" s="484" t="s">
        <v>1124</v>
      </c>
      <c r="DI604" s="484" t="s">
        <v>1124</v>
      </c>
      <c r="DJ604" s="484">
        <v>0</v>
      </c>
      <c r="DK604" s="484">
        <v>0</v>
      </c>
      <c r="DL604" s="484" t="s">
        <v>1124</v>
      </c>
      <c r="DM604" s="484" t="s">
        <v>1124</v>
      </c>
      <c r="DN604" s="484" t="s">
        <v>1124</v>
      </c>
      <c r="DO604" s="484" t="s">
        <v>1124</v>
      </c>
      <c r="DP604" s="484" t="s">
        <v>1124</v>
      </c>
      <c r="DQ604" s="484" t="str">
        <f>IF(VLOOKUP($BS604,'État &amp; Plan d''action'!$B$6:$AJ$1113,28,FALSE)="","",VLOOKUP($BS604,'État &amp; Plan d''action'!$B$6:$AJ$1113,28,FALSE))</f>
        <v/>
      </c>
      <c r="DR604" s="70" t="str">
        <f>IF(VLOOKUP($BS604,'État &amp; Plan d''action'!$B$6:$AJ$1113,29,FALSE)="","",VLOOKUP($BS604,'État &amp; Plan d''action'!$B$6:$AJ$1113,29,FALSE))</f>
        <v/>
      </c>
      <c r="DS604" s="70" t="str">
        <f>IF(VLOOKUP($BS604,'État &amp; Plan d''action'!$B$6:$AJ$1113,30,FALSE)="","",VLOOKUP($BS604,'État &amp; Plan d''action'!$B$6:$AJ$1113,30,FALSE))</f>
        <v/>
      </c>
      <c r="DT604" s="70" t="s">
        <v>1124</v>
      </c>
      <c r="DU604" s="485" t="s">
        <v>1124</v>
      </c>
      <c r="DV604" s="485" t="s">
        <v>1124</v>
      </c>
      <c r="DW604" s="70" t="s">
        <v>1124</v>
      </c>
      <c r="DX604" s="70" t="s">
        <v>1124</v>
      </c>
      <c r="DY604" s="70" t="s">
        <v>1124</v>
      </c>
      <c r="DZ604" s="70" t="str">
        <f>VLOOKUP($BS604,'État &amp; Plan d''action'!$B$6:$AH$1113,31,FALSE)</f>
        <v/>
      </c>
      <c r="EA604" s="70" t="str">
        <f>VLOOKUP($BS604,'État &amp; Plan d''action'!$B$6:$AH$1113,32,FALSE)</f>
        <v/>
      </c>
      <c r="EB604" s="70" t="str">
        <f>VLOOKUP($BS604,'État &amp; Plan d''action'!$B$6:$AH$1113,33,FALSE)</f>
        <v/>
      </c>
      <c r="EC604" s="70" t="s">
        <v>1124</v>
      </c>
      <c r="ED604" s="70" t="s">
        <v>1124</v>
      </c>
      <c r="EE604" s="70" t="s">
        <v>1124</v>
      </c>
      <c r="EF604" s="70" t="s">
        <v>1124</v>
      </c>
      <c r="EG604" s="70" t="s">
        <v>1124</v>
      </c>
      <c r="EH604" s="72"/>
      <c r="EI604" s="72">
        <v>537</v>
      </c>
    </row>
    <row r="605" spans="71:139" x14ac:dyDescent="0.35">
      <c r="BS605" s="486">
        <v>58037</v>
      </c>
      <c r="BT605" s="479" t="s">
        <v>597</v>
      </c>
      <c r="BU605" s="479">
        <v>16</v>
      </c>
      <c r="BV605" s="476" t="s">
        <v>1187</v>
      </c>
      <c r="BW605" s="476" t="s">
        <v>1187</v>
      </c>
      <c r="BX605" s="476" t="s">
        <v>1187</v>
      </c>
      <c r="BY605" s="476" t="s">
        <v>1187</v>
      </c>
      <c r="BZ605" s="476" t="s">
        <v>1187</v>
      </c>
      <c r="CA605" s="476" t="s">
        <v>1187</v>
      </c>
      <c r="CB605" s="476" t="s">
        <v>1187</v>
      </c>
      <c r="CC605" s="476" t="s">
        <v>1187</v>
      </c>
      <c r="CD605" s="476" t="s">
        <v>1187</v>
      </c>
      <c r="CE605" s="476" t="s">
        <v>1188</v>
      </c>
      <c r="CF605" s="476" t="s">
        <v>1188</v>
      </c>
      <c r="CG605" s="476" t="s">
        <v>1188</v>
      </c>
      <c r="CH605" s="476" t="s">
        <v>1188</v>
      </c>
      <c r="CI605" s="476" t="s">
        <v>1188</v>
      </c>
      <c r="CJ605" s="476" t="s">
        <v>1188</v>
      </c>
      <c r="CK605" s="476" t="s">
        <v>1188</v>
      </c>
      <c r="CL605" s="476" t="s">
        <v>1188</v>
      </c>
      <c r="CM605" s="476" t="str">
        <f>IF(VLOOKUP(BS605,'Données par municipalité'!$B$6:$E$1113,4,FALSE)="","non","oui")</f>
        <v>non</v>
      </c>
      <c r="CN605" s="410">
        <v>519.13926676020253</v>
      </c>
      <c r="CO605" s="410">
        <v>535.30366730190281</v>
      </c>
      <c r="CP605" s="410">
        <v>513.54275847980148</v>
      </c>
      <c r="CQ605" s="410">
        <v>478.82241222220546</v>
      </c>
      <c r="CR605" s="410">
        <v>487.00740006811282</v>
      </c>
      <c r="CS605" s="410">
        <v>466.42062317628199</v>
      </c>
      <c r="CT605" s="410">
        <v>408.0362187189844</v>
      </c>
      <c r="CU605" s="410">
        <v>462</v>
      </c>
      <c r="CV605" s="410" t="str">
        <f>IF(VLOOKUP(BS605,'Données par municipalité'!$B$6:$F$1113,4,FALSE)="","",VLOOKUP(BS605,'Données par municipalité'!$B$6:$F$1113,4,FALSE))</f>
        <v/>
      </c>
      <c r="CW605" s="476" t="s">
        <v>4723</v>
      </c>
      <c r="CX605" s="483">
        <v>1</v>
      </c>
      <c r="CY605" s="483">
        <v>1</v>
      </c>
      <c r="CZ605" s="483">
        <v>1</v>
      </c>
      <c r="DA605" s="483">
        <v>1</v>
      </c>
      <c r="DB605" s="483">
        <v>1</v>
      </c>
      <c r="DC605" s="483">
        <v>1</v>
      </c>
      <c r="DD605" s="483">
        <v>1</v>
      </c>
      <c r="DE605" s="483" t="str">
        <f>IFERROR(SUM(VLOOKUP($BS605,'État &amp; Plan d''action'!$B$6:$Z$1113,18,FALSE),VLOOKUP($BS605,'État &amp; Plan d''action'!$B$6:$Z$1113,20,FALSE))/(VLOOKUP($BS605,'Données par municipalité'!$B$4:$L$1113,11,FALSE)),"")</f>
        <v/>
      </c>
      <c r="DF605" s="483" t="str">
        <f>IFERROR(SUM(VLOOKUP($BS605,'État &amp; Plan d''action'!$B$6:$Z$1113,19,FALSE),VLOOKUP($BS605,'État &amp; Plan d''action'!$B$6:$Z$1113,21,FALSE))/(VLOOKUP($BS605,'Données par municipalité'!$B$4:$L$1113,11,FALSE)),"")</f>
        <v/>
      </c>
      <c r="DG605" s="476" t="s">
        <v>4723</v>
      </c>
      <c r="DH605" s="484">
        <v>48</v>
      </c>
      <c r="DI605" s="484">
        <v>70</v>
      </c>
      <c r="DJ605" s="484">
        <v>81</v>
      </c>
      <c r="DK605" s="484">
        <v>48</v>
      </c>
      <c r="DL605" s="484">
        <v>54</v>
      </c>
      <c r="DM605" s="484">
        <v>76</v>
      </c>
      <c r="DN605" s="484">
        <v>89</v>
      </c>
      <c r="DO605" s="484">
        <v>0</v>
      </c>
      <c r="DP605" s="484">
        <v>0</v>
      </c>
      <c r="DQ605" s="484" t="str">
        <f>IF(VLOOKUP($BS605,'État &amp; Plan d''action'!$B$6:$AJ$1113,28,FALSE)="","",VLOOKUP($BS605,'État &amp; Plan d''action'!$B$6:$AJ$1113,28,FALSE))</f>
        <v/>
      </c>
      <c r="DR605" s="70" t="str">
        <f>IF(VLOOKUP($BS605,'État &amp; Plan d''action'!$B$6:$AJ$1113,29,FALSE)="","",VLOOKUP($BS605,'État &amp; Plan d''action'!$B$6:$AJ$1113,29,FALSE))</f>
        <v/>
      </c>
      <c r="DS605" s="70" t="str">
        <f>IF(VLOOKUP($BS605,'État &amp; Plan d''action'!$B$6:$AJ$1113,30,FALSE)="","",VLOOKUP($BS605,'État &amp; Plan d''action'!$B$6:$AJ$1113,30,FALSE))</f>
        <v/>
      </c>
      <c r="DT605" s="70">
        <v>344</v>
      </c>
      <c r="DU605" s="485">
        <v>2.0159955075932809</v>
      </c>
      <c r="DV605" s="485" t="s">
        <v>1124</v>
      </c>
      <c r="DW605" s="70">
        <v>1</v>
      </c>
      <c r="DX605" s="70">
        <v>0</v>
      </c>
      <c r="DY605" s="70">
        <v>0</v>
      </c>
      <c r="DZ605" s="70" t="str">
        <f>VLOOKUP($BS605,'État &amp; Plan d''action'!$B$6:$AH$1113,31,FALSE)</f>
        <v/>
      </c>
      <c r="EA605" s="70" t="str">
        <f>VLOOKUP($BS605,'État &amp; Plan d''action'!$B$6:$AH$1113,32,FALSE)</f>
        <v/>
      </c>
      <c r="EB605" s="70" t="str">
        <f>VLOOKUP($BS605,'État &amp; Plan d''action'!$B$6:$AH$1113,33,FALSE)</f>
        <v/>
      </c>
      <c r="EC605" s="70">
        <v>0</v>
      </c>
      <c r="ED605" s="70">
        <v>178.44800000000001</v>
      </c>
      <c r="EE605" s="70">
        <v>0</v>
      </c>
      <c r="EF605" s="70">
        <v>0</v>
      </c>
      <c r="EG605" s="70">
        <v>0</v>
      </c>
      <c r="EH605" s="72">
        <v>60</v>
      </c>
      <c r="EI605" s="72">
        <v>26727</v>
      </c>
    </row>
    <row r="606" spans="71:139" x14ac:dyDescent="0.35">
      <c r="BS606" s="486">
        <v>63055</v>
      </c>
      <c r="BT606" s="479" t="s">
        <v>641</v>
      </c>
      <c r="BU606" s="479">
        <v>14</v>
      </c>
      <c r="BV606" s="476" t="s">
        <v>1187</v>
      </c>
      <c r="BW606" s="476" t="s">
        <v>1187</v>
      </c>
      <c r="BX606" s="476" t="s">
        <v>1187</v>
      </c>
      <c r="BY606" s="476" t="s">
        <v>1187</v>
      </c>
      <c r="BZ606" s="476" t="s">
        <v>1187</v>
      </c>
      <c r="CA606" s="476" t="s">
        <v>1187</v>
      </c>
      <c r="CB606" s="476" t="s">
        <v>1187</v>
      </c>
      <c r="CC606" s="476" t="s">
        <v>1187</v>
      </c>
      <c r="CD606" s="476" t="s">
        <v>1187</v>
      </c>
      <c r="CE606" s="476" t="s">
        <v>1188</v>
      </c>
      <c r="CF606" s="476" t="s">
        <v>1187</v>
      </c>
      <c r="CG606" s="476" t="s">
        <v>1187</v>
      </c>
      <c r="CH606" s="476" t="s">
        <v>1187</v>
      </c>
      <c r="CI606" s="476" t="s">
        <v>1187</v>
      </c>
      <c r="CJ606" s="476" t="s">
        <v>1188</v>
      </c>
      <c r="CK606" s="476" t="s">
        <v>1188</v>
      </c>
      <c r="CL606" s="476" t="s">
        <v>1187</v>
      </c>
      <c r="CM606" s="476" t="str">
        <f>IF(VLOOKUP(BS606,'Données par municipalité'!$B$6:$E$1113,4,FALSE)="","non","oui")</f>
        <v>oui</v>
      </c>
      <c r="CN606" s="410">
        <v>512.78183004210405</v>
      </c>
      <c r="CO606" s="410" t="s">
        <v>1124</v>
      </c>
      <c r="CP606" s="410"/>
      <c r="CQ606" s="410"/>
      <c r="CR606" s="410"/>
      <c r="CS606" s="410">
        <v>568.19780338689611</v>
      </c>
      <c r="CT606" s="410">
        <v>453.8644056547422</v>
      </c>
      <c r="CU606" s="410" t="s">
        <v>1124</v>
      </c>
      <c r="CV606" s="410">
        <f>IF(VLOOKUP(BS606,'Données par municipalité'!$B$6:$F$1113,4,FALSE)="","",VLOOKUP(BS606,'Données par municipalité'!$B$6:$F$1113,4,FALSE))</f>
        <v>410</v>
      </c>
      <c r="CW606" s="476" t="s">
        <v>4723</v>
      </c>
      <c r="CX606" s="483" t="s">
        <v>1124</v>
      </c>
      <c r="CY606" s="483" t="s">
        <v>1124</v>
      </c>
      <c r="CZ606" s="483" t="s">
        <v>1124</v>
      </c>
      <c r="DA606" s="483" t="s">
        <v>1124</v>
      </c>
      <c r="DB606" s="483">
        <v>1</v>
      </c>
      <c r="DC606" s="483">
        <v>4</v>
      </c>
      <c r="DD606" s="483" t="s">
        <v>1124</v>
      </c>
      <c r="DE606" s="483">
        <f>IFERROR(SUM(VLOOKUP($BS606,'État &amp; Plan d''action'!$B$6:$Z$1113,18,FALSE),VLOOKUP($BS606,'État &amp; Plan d''action'!$B$6:$Z$1113,20,FALSE))/(VLOOKUP($BS606,'Données par municipalité'!$B$4:$L$1113,11,FALSE)),"")</f>
        <v>1.1000091000090999</v>
      </c>
      <c r="DF606" s="483">
        <f>IFERROR(SUM(VLOOKUP($BS606,'État &amp; Plan d''action'!$B$6:$Z$1113,19,FALSE),VLOOKUP($BS606,'État &amp; Plan d''action'!$B$6:$Z$1113,21,FALSE))/(VLOOKUP($BS606,'Données par municipalité'!$B$4:$L$1113,11,FALSE)),"")</f>
        <v>1.1000091000090999</v>
      </c>
      <c r="DG606" s="476" t="s">
        <v>4723</v>
      </c>
      <c r="DH606" s="484" t="s">
        <v>1124</v>
      </c>
      <c r="DI606" s="484" t="s">
        <v>1124</v>
      </c>
      <c r="DJ606" s="484">
        <v>0</v>
      </c>
      <c r="DK606" s="484">
        <v>0</v>
      </c>
      <c r="DL606" s="484">
        <v>6</v>
      </c>
      <c r="DM606" s="484">
        <v>1</v>
      </c>
      <c r="DN606" s="484" t="s">
        <v>1124</v>
      </c>
      <c r="DO606" s="484" t="s">
        <v>1124</v>
      </c>
      <c r="DP606" s="484" t="s">
        <v>1124</v>
      </c>
      <c r="DQ606" s="484">
        <f>IF(VLOOKUP($BS606,'État &amp; Plan d''action'!$B$6:$AJ$1113,28,FALSE)="","",VLOOKUP($BS606,'État &amp; Plan d''action'!$B$6:$AJ$1113,28,FALSE))</f>
        <v>4</v>
      </c>
      <c r="DR606" s="70">
        <f>IF(VLOOKUP($BS606,'État &amp; Plan d''action'!$B$6:$AJ$1113,29,FALSE)="","",VLOOKUP($BS606,'État &amp; Plan d''action'!$B$6:$AJ$1113,29,FALSE))</f>
        <v>0</v>
      </c>
      <c r="DS606" s="70">
        <f>IF(VLOOKUP($BS606,'État &amp; Plan d''action'!$B$6:$AJ$1113,30,FALSE)="","",VLOOKUP($BS606,'État &amp; Plan d''action'!$B$6:$AJ$1113,30,FALSE))</f>
        <v>0</v>
      </c>
      <c r="DT606" s="70" t="s">
        <v>1124</v>
      </c>
      <c r="DU606" s="485" t="s">
        <v>1124</v>
      </c>
      <c r="DV606" s="485">
        <v>3.2573460469963322</v>
      </c>
      <c r="DW606" s="70" t="s">
        <v>1124</v>
      </c>
      <c r="DX606" s="70" t="s">
        <v>1124</v>
      </c>
      <c r="DY606" s="70" t="s">
        <v>1124</v>
      </c>
      <c r="DZ606" s="70">
        <f>VLOOKUP($BS606,'État &amp; Plan d''action'!$B$6:$AH$1113,31,FALSE)</f>
        <v>1</v>
      </c>
      <c r="EA606" s="70">
        <f>VLOOKUP($BS606,'État &amp; Plan d''action'!$B$6:$AH$1113,32,FALSE)</f>
        <v>0</v>
      </c>
      <c r="EB606" s="70">
        <f>VLOOKUP($BS606,'État &amp; Plan d''action'!$B$6:$AH$1113,33,FALSE)</f>
        <v>0</v>
      </c>
      <c r="EC606" s="70" t="s">
        <v>1124</v>
      </c>
      <c r="ED606" s="70" t="s">
        <v>1124</v>
      </c>
      <c r="EE606" s="70" t="s">
        <v>1124</v>
      </c>
      <c r="EF606" s="70" t="s">
        <v>1124</v>
      </c>
      <c r="EG606" s="70" t="s">
        <v>1124</v>
      </c>
      <c r="EH606" s="72"/>
      <c r="EI606" s="72">
        <v>6254</v>
      </c>
    </row>
    <row r="607" spans="71:139" x14ac:dyDescent="0.35">
      <c r="BS607" s="486">
        <v>40025</v>
      </c>
      <c r="BT607" s="479" t="s">
        <v>361</v>
      </c>
      <c r="BU607" s="479">
        <v>5</v>
      </c>
      <c r="BV607" s="476" t="s">
        <v>1188</v>
      </c>
      <c r="BW607" s="476" t="s">
        <v>1188</v>
      </c>
      <c r="BX607" s="476" t="s">
        <v>1188</v>
      </c>
      <c r="BY607" s="476" t="s">
        <v>1188</v>
      </c>
      <c r="BZ607" s="476" t="s">
        <v>1188</v>
      </c>
      <c r="CA607" s="476" t="s">
        <v>1188</v>
      </c>
      <c r="CB607" s="476" t="s">
        <v>1188</v>
      </c>
      <c r="CC607" s="476" t="s">
        <v>1188</v>
      </c>
      <c r="CD607" s="476" t="s">
        <v>1188</v>
      </c>
      <c r="CE607" s="476" t="s">
        <v>1187</v>
      </c>
      <c r="CF607" s="476" t="s">
        <v>1187</v>
      </c>
      <c r="CG607" s="476" t="s">
        <v>1187</v>
      </c>
      <c r="CH607" s="476" t="s">
        <v>1187</v>
      </c>
      <c r="CI607" s="476" t="s">
        <v>1187</v>
      </c>
      <c r="CJ607" s="476" t="s">
        <v>1187</v>
      </c>
      <c r="CK607" s="476" t="s">
        <v>1187</v>
      </c>
      <c r="CL607" s="476" t="s">
        <v>1187</v>
      </c>
      <c r="CM607" s="476" t="str">
        <f>IF(VLOOKUP(BS607,'Données par municipalité'!$B$6:$E$1113,4,FALSE)="","non","oui")</f>
        <v>non</v>
      </c>
      <c r="CN607" s="410" t="s">
        <v>1124</v>
      </c>
      <c r="CO607" s="410" t="s">
        <v>1124</v>
      </c>
      <c r="CP607" s="410"/>
      <c r="CQ607" s="410"/>
      <c r="CR607" s="410"/>
      <c r="CS607" s="410" t="s">
        <v>1124</v>
      </c>
      <c r="CT607" s="410"/>
      <c r="CU607" s="410" t="s">
        <v>1124</v>
      </c>
      <c r="CV607" s="410" t="str">
        <f>IF(VLOOKUP(BS607,'Données par municipalité'!$B$6:$F$1113,4,FALSE)="","",VLOOKUP(BS607,'Données par municipalité'!$B$6:$F$1113,4,FALSE))</f>
        <v/>
      </c>
      <c r="CW607" s="476" t="s">
        <v>4723</v>
      </c>
      <c r="CX607" s="483" t="s">
        <v>1124</v>
      </c>
      <c r="CY607" s="483" t="s">
        <v>1124</v>
      </c>
      <c r="CZ607" s="483" t="s">
        <v>1124</v>
      </c>
      <c r="DA607" s="483" t="s">
        <v>1124</v>
      </c>
      <c r="DB607" s="483" t="s">
        <v>1124</v>
      </c>
      <c r="DC607" s="483" t="s">
        <v>1124</v>
      </c>
      <c r="DD607" s="483" t="s">
        <v>1124</v>
      </c>
      <c r="DE607" s="483" t="str">
        <f>IFERROR(SUM(VLOOKUP($BS607,'État &amp; Plan d''action'!$B$6:$Z$1113,18,FALSE),VLOOKUP($BS607,'État &amp; Plan d''action'!$B$6:$Z$1113,20,FALSE))/(VLOOKUP($BS607,'Données par municipalité'!$B$4:$L$1113,11,FALSE)),"")</f>
        <v/>
      </c>
      <c r="DF607" s="483" t="str">
        <f>IFERROR(SUM(VLOOKUP($BS607,'État &amp; Plan d''action'!$B$6:$Z$1113,19,FALSE),VLOOKUP($BS607,'État &amp; Plan d''action'!$B$6:$Z$1113,21,FALSE))/(VLOOKUP($BS607,'Données par municipalité'!$B$4:$L$1113,11,FALSE)),"")</f>
        <v/>
      </c>
      <c r="DG607" s="476" t="s">
        <v>4723</v>
      </c>
      <c r="DH607" s="484" t="s">
        <v>1124</v>
      </c>
      <c r="DI607" s="484" t="s">
        <v>1124</v>
      </c>
      <c r="DJ607" s="484">
        <v>0</v>
      </c>
      <c r="DK607" s="484">
        <v>0</v>
      </c>
      <c r="DL607" s="484" t="s">
        <v>1124</v>
      </c>
      <c r="DM607" s="484" t="s">
        <v>1124</v>
      </c>
      <c r="DN607" s="484" t="s">
        <v>1124</v>
      </c>
      <c r="DO607" s="484" t="s">
        <v>1124</v>
      </c>
      <c r="DP607" s="484" t="s">
        <v>1124</v>
      </c>
      <c r="DQ607" s="484" t="str">
        <f>IF(VLOOKUP($BS607,'État &amp; Plan d''action'!$B$6:$AJ$1113,28,FALSE)="","",VLOOKUP($BS607,'État &amp; Plan d''action'!$B$6:$AJ$1113,28,FALSE))</f>
        <v/>
      </c>
      <c r="DR607" s="70" t="str">
        <f>IF(VLOOKUP($BS607,'État &amp; Plan d''action'!$B$6:$AJ$1113,29,FALSE)="","",VLOOKUP($BS607,'État &amp; Plan d''action'!$B$6:$AJ$1113,29,FALSE))</f>
        <v/>
      </c>
      <c r="DS607" s="70" t="str">
        <f>IF(VLOOKUP($BS607,'État &amp; Plan d''action'!$B$6:$AJ$1113,30,FALSE)="","",VLOOKUP($BS607,'État &amp; Plan d''action'!$B$6:$AJ$1113,30,FALSE))</f>
        <v/>
      </c>
      <c r="DT607" s="70" t="s">
        <v>1124</v>
      </c>
      <c r="DU607" s="485" t="s">
        <v>1124</v>
      </c>
      <c r="DV607" s="485" t="s">
        <v>1124</v>
      </c>
      <c r="DW607" s="70" t="s">
        <v>1124</v>
      </c>
      <c r="DX607" s="70" t="s">
        <v>1124</v>
      </c>
      <c r="DY607" s="70" t="s">
        <v>1124</v>
      </c>
      <c r="DZ607" s="70" t="str">
        <f>VLOOKUP($BS607,'État &amp; Plan d''action'!$B$6:$AH$1113,31,FALSE)</f>
        <v/>
      </c>
      <c r="EA607" s="70" t="str">
        <f>VLOOKUP($BS607,'État &amp; Plan d''action'!$B$6:$AH$1113,32,FALSE)</f>
        <v/>
      </c>
      <c r="EB607" s="70" t="str">
        <f>VLOOKUP($BS607,'État &amp; Plan d''action'!$B$6:$AH$1113,33,FALSE)</f>
        <v/>
      </c>
      <c r="EC607" s="70" t="s">
        <v>1124</v>
      </c>
      <c r="ED607" s="70" t="s">
        <v>1124</v>
      </c>
      <c r="EE607" s="70" t="s">
        <v>1124</v>
      </c>
      <c r="EF607" s="70" t="s">
        <v>1124</v>
      </c>
      <c r="EG607" s="70" t="s">
        <v>1124</v>
      </c>
      <c r="EH607" s="72"/>
      <c r="EI607" s="72">
        <v>552</v>
      </c>
    </row>
    <row r="608" spans="71:139" x14ac:dyDescent="0.35">
      <c r="BS608" s="486">
        <v>28070</v>
      </c>
      <c r="BT608" s="479" t="s">
        <v>199</v>
      </c>
      <c r="BU608" s="479">
        <v>12</v>
      </c>
      <c r="BV608" s="476" t="s">
        <v>1187</v>
      </c>
      <c r="BW608" s="476" t="s">
        <v>1187</v>
      </c>
      <c r="BX608" s="476" t="s">
        <v>1187</v>
      </c>
      <c r="BY608" s="476" t="s">
        <v>1187</v>
      </c>
      <c r="BZ608" s="476" t="s">
        <v>1187</v>
      </c>
      <c r="CA608" s="476" t="s">
        <v>1187</v>
      </c>
      <c r="CB608" s="476" t="s">
        <v>1187</v>
      </c>
      <c r="CC608" s="476" t="s">
        <v>1187</v>
      </c>
      <c r="CD608" s="476" t="s">
        <v>1187</v>
      </c>
      <c r="CE608" s="476" t="s">
        <v>1188</v>
      </c>
      <c r="CF608" s="476" t="s">
        <v>1188</v>
      </c>
      <c r="CG608" s="476" t="s">
        <v>1187</v>
      </c>
      <c r="CH608" s="476" t="s">
        <v>1188</v>
      </c>
      <c r="CI608" s="476" t="s">
        <v>1188</v>
      </c>
      <c r="CJ608" s="476" t="s">
        <v>1188</v>
      </c>
      <c r="CK608" s="476" t="s">
        <v>1187</v>
      </c>
      <c r="CL608" s="476" t="s">
        <v>1187</v>
      </c>
      <c r="CM608" s="476" t="str">
        <f>IF(VLOOKUP(BS608,'Données par municipalité'!$B$6:$E$1113,4,FALSE)="","non","oui")</f>
        <v>non</v>
      </c>
      <c r="CN608" s="410">
        <v>898.18644832243092</v>
      </c>
      <c r="CO608" s="410">
        <v>969.38317647161603</v>
      </c>
      <c r="CP608" s="410"/>
      <c r="CQ608" s="410">
        <v>474.25825257015453</v>
      </c>
      <c r="CR608" s="410">
        <v>515.62156977358961</v>
      </c>
      <c r="CS608" s="410">
        <v>496.14845731379279</v>
      </c>
      <c r="CT608" s="410"/>
      <c r="CU608" s="410" t="s">
        <v>1124</v>
      </c>
      <c r="CV608" s="410" t="str">
        <f>IF(VLOOKUP(BS608,'Données par municipalité'!$B$6:$F$1113,4,FALSE)="","",VLOOKUP(BS608,'Données par municipalité'!$B$6:$F$1113,4,FALSE))</f>
        <v/>
      </c>
      <c r="CW608" s="476" t="s">
        <v>4723</v>
      </c>
      <c r="CX608" s="483">
        <v>0.5</v>
      </c>
      <c r="CY608" s="483" t="s">
        <v>1124</v>
      </c>
      <c r="CZ608" s="483">
        <v>1</v>
      </c>
      <c r="DA608" s="483">
        <v>1</v>
      </c>
      <c r="DB608" s="483">
        <v>1</v>
      </c>
      <c r="DC608" s="483" t="s">
        <v>1124</v>
      </c>
      <c r="DD608" s="483" t="s">
        <v>1124</v>
      </c>
      <c r="DE608" s="483" t="str">
        <f>IFERROR(SUM(VLOOKUP($BS608,'État &amp; Plan d''action'!$B$6:$Z$1113,18,FALSE),VLOOKUP($BS608,'État &amp; Plan d''action'!$B$6:$Z$1113,20,FALSE))/(VLOOKUP($BS608,'Données par municipalité'!$B$4:$L$1113,11,FALSE)),"")</f>
        <v/>
      </c>
      <c r="DF608" s="483" t="str">
        <f>IFERROR(SUM(VLOOKUP($BS608,'État &amp; Plan d''action'!$B$6:$Z$1113,19,FALSE),VLOOKUP($BS608,'État &amp; Plan d''action'!$B$6:$Z$1113,21,FALSE))/(VLOOKUP($BS608,'Données par municipalité'!$B$4:$L$1113,11,FALSE)),"")</f>
        <v/>
      </c>
      <c r="DG608" s="476" t="s">
        <v>4723</v>
      </c>
      <c r="DH608" s="484">
        <v>18</v>
      </c>
      <c r="DI608" s="484" t="s">
        <v>1124</v>
      </c>
      <c r="DJ608" s="484">
        <v>6</v>
      </c>
      <c r="DK608" s="484">
        <v>13</v>
      </c>
      <c r="DL608" s="484">
        <v>12</v>
      </c>
      <c r="DM608" s="484" t="s">
        <v>1124</v>
      </c>
      <c r="DN608" s="484" t="s">
        <v>1124</v>
      </c>
      <c r="DO608" s="484" t="s">
        <v>1124</v>
      </c>
      <c r="DP608" s="484" t="s">
        <v>1124</v>
      </c>
      <c r="DQ608" s="484" t="str">
        <f>IF(VLOOKUP($BS608,'État &amp; Plan d''action'!$B$6:$AJ$1113,28,FALSE)="","",VLOOKUP($BS608,'État &amp; Plan d''action'!$B$6:$AJ$1113,28,FALSE))</f>
        <v/>
      </c>
      <c r="DR608" s="70" t="str">
        <f>IF(VLOOKUP($BS608,'État &amp; Plan d''action'!$B$6:$AJ$1113,29,FALSE)="","",VLOOKUP($BS608,'État &amp; Plan d''action'!$B$6:$AJ$1113,29,FALSE))</f>
        <v/>
      </c>
      <c r="DS608" s="70" t="str">
        <f>IF(VLOOKUP($BS608,'État &amp; Plan d''action'!$B$6:$AJ$1113,30,FALSE)="","",VLOOKUP($BS608,'État &amp; Plan d''action'!$B$6:$AJ$1113,30,FALSE))</f>
        <v/>
      </c>
      <c r="DT608" s="70" t="s">
        <v>1124</v>
      </c>
      <c r="DU608" s="485" t="s">
        <v>1124</v>
      </c>
      <c r="DV608" s="485" t="s">
        <v>1124</v>
      </c>
      <c r="DW608" s="70" t="s">
        <v>1124</v>
      </c>
      <c r="DX608" s="70" t="s">
        <v>1124</v>
      </c>
      <c r="DY608" s="70" t="s">
        <v>1124</v>
      </c>
      <c r="DZ608" s="70" t="str">
        <f>VLOOKUP($BS608,'État &amp; Plan d''action'!$B$6:$AH$1113,31,FALSE)</f>
        <v/>
      </c>
      <c r="EA608" s="70" t="str">
        <f>VLOOKUP($BS608,'État &amp; Plan d''action'!$B$6:$AH$1113,32,FALSE)</f>
        <v/>
      </c>
      <c r="EB608" s="70" t="str">
        <f>VLOOKUP($BS608,'État &amp; Plan d''action'!$B$6:$AH$1113,33,FALSE)</f>
        <v/>
      </c>
      <c r="EC608" s="70" t="s">
        <v>1124</v>
      </c>
      <c r="ED608" s="70" t="s">
        <v>1124</v>
      </c>
      <c r="EE608" s="70" t="s">
        <v>1124</v>
      </c>
      <c r="EF608" s="70" t="s">
        <v>1124</v>
      </c>
      <c r="EG608" s="70" t="s">
        <v>1124</v>
      </c>
      <c r="EH608" s="72"/>
      <c r="EI608" s="72">
        <v>753</v>
      </c>
    </row>
    <row r="609" spans="71:139" x14ac:dyDescent="0.35">
      <c r="BS609" s="486">
        <v>34078</v>
      </c>
      <c r="BT609" s="479" t="s">
        <v>294</v>
      </c>
      <c r="BU609" s="479">
        <v>3</v>
      </c>
      <c r="BV609" s="476" t="s">
        <v>1187</v>
      </c>
      <c r="BW609" s="476" t="s">
        <v>1187</v>
      </c>
      <c r="BX609" s="476" t="s">
        <v>1187</v>
      </c>
      <c r="BY609" s="476" t="s">
        <v>1187</v>
      </c>
      <c r="BZ609" s="476" t="s">
        <v>1187</v>
      </c>
      <c r="CA609" s="476" t="s">
        <v>1187</v>
      </c>
      <c r="CB609" s="476" t="s">
        <v>1187</v>
      </c>
      <c r="CC609" s="476" t="s">
        <v>1187</v>
      </c>
      <c r="CD609" s="476" t="s">
        <v>1187</v>
      </c>
      <c r="CE609" s="476" t="s">
        <v>1188</v>
      </c>
      <c r="CF609" s="476" t="s">
        <v>1188</v>
      </c>
      <c r="CG609" s="476" t="s">
        <v>1188</v>
      </c>
      <c r="CH609" s="476" t="s">
        <v>1188</v>
      </c>
      <c r="CI609" s="476" t="s">
        <v>1188</v>
      </c>
      <c r="CJ609" s="476" t="s">
        <v>1188</v>
      </c>
      <c r="CK609" s="476" t="s">
        <v>1188</v>
      </c>
      <c r="CL609" s="476" t="s">
        <v>1188</v>
      </c>
      <c r="CM609" s="476" t="str">
        <f>IF(VLOOKUP(BS609,'Données par municipalité'!$B$6:$E$1113,4,FALSE)="","non","oui")</f>
        <v>oui</v>
      </c>
      <c r="CN609" s="410">
        <v>461.15286515017027</v>
      </c>
      <c r="CO609" s="410">
        <v>418.67325964827199</v>
      </c>
      <c r="CP609" s="410">
        <v>333.30610698922584</v>
      </c>
      <c r="CQ609" s="410">
        <v>456.15544066748822</v>
      </c>
      <c r="CR609" s="410">
        <v>394.65398969996465</v>
      </c>
      <c r="CS609" s="410">
        <v>365.96376055004725</v>
      </c>
      <c r="CT609" s="410">
        <v>291.45817356423373</v>
      </c>
      <c r="CU609" s="410">
        <v>490</v>
      </c>
      <c r="CV609" s="410">
        <f>IF(VLOOKUP(BS609,'Données par municipalité'!$B$6:$F$1113,4,FALSE)="","",VLOOKUP(BS609,'Données par municipalité'!$B$6:$F$1113,4,FALSE))</f>
        <v>462</v>
      </c>
      <c r="CW609" s="476" t="s">
        <v>4723</v>
      </c>
      <c r="CX609" s="483">
        <v>0</v>
      </c>
      <c r="CY609" s="483">
        <v>0.25</v>
      </c>
      <c r="CZ609" s="483">
        <v>0.25</v>
      </c>
      <c r="DA609" s="483">
        <v>0.26</v>
      </c>
      <c r="DB609" s="483">
        <v>0</v>
      </c>
      <c r="DC609" s="483">
        <v>0</v>
      </c>
      <c r="DD609" s="483">
        <v>1.3382462122253689</v>
      </c>
      <c r="DE609" s="483">
        <f>IFERROR(SUM(VLOOKUP($BS609,'État &amp; Plan d''action'!$B$6:$Z$1113,18,FALSE),VLOOKUP($BS609,'État &amp; Plan d''action'!$B$6:$Z$1113,20,FALSE))/(VLOOKUP($BS609,'Données par municipalité'!$B$4:$L$1113,11,FALSE)),"")</f>
        <v>1.5000137487282426</v>
      </c>
      <c r="DF609" s="483">
        <f>IFERROR(SUM(VLOOKUP($BS609,'État &amp; Plan d''action'!$B$6:$Z$1113,19,FALSE),VLOOKUP($BS609,'État &amp; Plan d''action'!$B$6:$Z$1113,21,FALSE))/(VLOOKUP($BS609,'Données par municipalité'!$B$4:$L$1113,11,FALSE)),"")</f>
        <v>1.9999999999999996</v>
      </c>
      <c r="DG609" s="476" t="s">
        <v>4723</v>
      </c>
      <c r="DH609" s="484">
        <v>3</v>
      </c>
      <c r="DI609" s="484">
        <v>3</v>
      </c>
      <c r="DJ609" s="484">
        <v>15</v>
      </c>
      <c r="DK609" s="484">
        <v>6</v>
      </c>
      <c r="DL609" s="484">
        <v>9</v>
      </c>
      <c r="DM609" s="484">
        <v>6</v>
      </c>
      <c r="DN609" s="484">
        <v>6</v>
      </c>
      <c r="DO609" s="484">
        <v>0</v>
      </c>
      <c r="DP609" s="484">
        <v>0</v>
      </c>
      <c r="DQ609" s="484">
        <f>IF(VLOOKUP($BS609,'État &amp; Plan d''action'!$B$6:$AJ$1113,28,FALSE)="","",VLOOKUP($BS609,'État &amp; Plan d''action'!$B$6:$AJ$1113,28,FALSE))</f>
        <v>6</v>
      </c>
      <c r="DR609" s="70">
        <f>IF(VLOOKUP($BS609,'État &amp; Plan d''action'!$B$6:$AJ$1113,29,FALSE)="","",VLOOKUP($BS609,'État &amp; Plan d''action'!$B$6:$AJ$1113,29,FALSE))</f>
        <v>0</v>
      </c>
      <c r="DS609" s="70">
        <f>IF(VLOOKUP($BS609,'État &amp; Plan d''action'!$B$6:$AJ$1113,30,FALSE)="","",VLOOKUP($BS609,'État &amp; Plan d''action'!$B$6:$AJ$1113,30,FALSE))</f>
        <v>2</v>
      </c>
      <c r="DT609" s="70">
        <v>276</v>
      </c>
      <c r="DU609" s="485">
        <v>5.7152974940003807</v>
      </c>
      <c r="DV609" s="485">
        <v>0.48627005466541667</v>
      </c>
      <c r="DW609" s="70">
        <v>1</v>
      </c>
      <c r="DX609" s="70">
        <v>0</v>
      </c>
      <c r="DY609" s="70">
        <v>0</v>
      </c>
      <c r="DZ609" s="70">
        <f>VLOOKUP($BS609,'État &amp; Plan d''action'!$B$6:$AH$1113,31,FALSE)</f>
        <v>1</v>
      </c>
      <c r="EA609" s="70">
        <f>VLOOKUP($BS609,'État &amp; Plan d''action'!$B$6:$AH$1113,32,FALSE)</f>
        <v>0</v>
      </c>
      <c r="EB609" s="70">
        <f>VLOOKUP($BS609,'État &amp; Plan d''action'!$B$6:$AH$1113,33,FALSE)</f>
        <v>1</v>
      </c>
      <c r="EC609" s="70">
        <v>0</v>
      </c>
      <c r="ED609" s="70">
        <v>0</v>
      </c>
      <c r="EE609" s="70">
        <v>48.667999999999999</v>
      </c>
      <c r="EF609" s="70">
        <v>0</v>
      </c>
      <c r="EG609" s="70">
        <v>0</v>
      </c>
      <c r="EH609" s="72">
        <v>52</v>
      </c>
      <c r="EI609" s="72">
        <v>1416</v>
      </c>
    </row>
    <row r="610" spans="71:139" x14ac:dyDescent="0.35">
      <c r="BS610" s="486">
        <v>50035</v>
      </c>
      <c r="BT610" s="479" t="s">
        <v>486</v>
      </c>
      <c r="BU610" s="479">
        <v>17</v>
      </c>
      <c r="BV610" s="476" t="s">
        <v>1188</v>
      </c>
      <c r="BW610" s="476" t="s">
        <v>1188</v>
      </c>
      <c r="BX610" s="476" t="s">
        <v>1188</v>
      </c>
      <c r="BY610" s="476" t="s">
        <v>1188</v>
      </c>
      <c r="BZ610" s="476" t="s">
        <v>1188</v>
      </c>
      <c r="CA610" s="476" t="s">
        <v>1188</v>
      </c>
      <c r="CB610" s="476" t="s">
        <v>1188</v>
      </c>
      <c r="CC610" s="476" t="s">
        <v>1188</v>
      </c>
      <c r="CD610" s="476" t="s">
        <v>1188</v>
      </c>
      <c r="CE610" s="476" t="s">
        <v>1187</v>
      </c>
      <c r="CF610" s="476" t="s">
        <v>1187</v>
      </c>
      <c r="CG610" s="476" t="s">
        <v>1187</v>
      </c>
      <c r="CH610" s="476" t="s">
        <v>1187</v>
      </c>
      <c r="CI610" s="476" t="s">
        <v>1187</v>
      </c>
      <c r="CJ610" s="476" t="s">
        <v>1187</v>
      </c>
      <c r="CK610" s="476" t="s">
        <v>1187</v>
      </c>
      <c r="CL610" s="476" t="s">
        <v>1187</v>
      </c>
      <c r="CM610" s="476" t="str">
        <f>IF(VLOOKUP(BS610,'Données par municipalité'!$B$6:$E$1113,4,FALSE)="","non","oui")</f>
        <v>non</v>
      </c>
      <c r="CN610" s="410" t="s">
        <v>1124</v>
      </c>
      <c r="CO610" s="410" t="s">
        <v>1124</v>
      </c>
      <c r="CP610" s="410"/>
      <c r="CQ610" s="410"/>
      <c r="CR610" s="410"/>
      <c r="CS610" s="410" t="s">
        <v>1124</v>
      </c>
      <c r="CT610" s="410"/>
      <c r="CU610" s="410" t="s">
        <v>1124</v>
      </c>
      <c r="CV610" s="410" t="str">
        <f>IF(VLOOKUP(BS610,'Données par municipalité'!$B$6:$F$1113,4,FALSE)="","",VLOOKUP(BS610,'Données par municipalité'!$B$6:$F$1113,4,FALSE))</f>
        <v/>
      </c>
      <c r="CW610" s="476" t="s">
        <v>4723</v>
      </c>
      <c r="CX610" s="483" t="s">
        <v>1124</v>
      </c>
      <c r="CY610" s="483" t="s">
        <v>1124</v>
      </c>
      <c r="CZ610" s="483" t="s">
        <v>1124</v>
      </c>
      <c r="DA610" s="483" t="s">
        <v>1124</v>
      </c>
      <c r="DB610" s="483" t="s">
        <v>1124</v>
      </c>
      <c r="DC610" s="483" t="s">
        <v>1124</v>
      </c>
      <c r="DD610" s="483" t="s">
        <v>1124</v>
      </c>
      <c r="DE610" s="483" t="str">
        <f>IFERROR(SUM(VLOOKUP($BS610,'État &amp; Plan d''action'!$B$6:$Z$1113,18,FALSE),VLOOKUP($BS610,'État &amp; Plan d''action'!$B$6:$Z$1113,20,FALSE))/(VLOOKUP($BS610,'Données par municipalité'!$B$4:$L$1113,11,FALSE)),"")</f>
        <v/>
      </c>
      <c r="DF610" s="483" t="str">
        <f>IFERROR(SUM(VLOOKUP($BS610,'État &amp; Plan d''action'!$B$6:$Z$1113,19,FALSE),VLOOKUP($BS610,'État &amp; Plan d''action'!$B$6:$Z$1113,21,FALSE))/(VLOOKUP($BS610,'Données par municipalité'!$B$4:$L$1113,11,FALSE)),"")</f>
        <v/>
      </c>
      <c r="DG610" s="476" t="s">
        <v>4723</v>
      </c>
      <c r="DH610" s="484" t="s">
        <v>1124</v>
      </c>
      <c r="DI610" s="484" t="s">
        <v>1124</v>
      </c>
      <c r="DJ610" s="484">
        <v>0</v>
      </c>
      <c r="DK610" s="484">
        <v>0</v>
      </c>
      <c r="DL610" s="484" t="s">
        <v>1124</v>
      </c>
      <c r="DM610" s="484" t="s">
        <v>1124</v>
      </c>
      <c r="DN610" s="484" t="s">
        <v>1124</v>
      </c>
      <c r="DO610" s="484" t="s">
        <v>1124</v>
      </c>
      <c r="DP610" s="484" t="s">
        <v>1124</v>
      </c>
      <c r="DQ610" s="484" t="str">
        <f>IF(VLOOKUP($BS610,'État &amp; Plan d''action'!$B$6:$AJ$1113,28,FALSE)="","",VLOOKUP($BS610,'État &amp; Plan d''action'!$B$6:$AJ$1113,28,FALSE))</f>
        <v/>
      </c>
      <c r="DR610" s="70" t="str">
        <f>IF(VLOOKUP($BS610,'État &amp; Plan d''action'!$B$6:$AJ$1113,29,FALSE)="","",VLOOKUP($BS610,'État &amp; Plan d''action'!$B$6:$AJ$1113,29,FALSE))</f>
        <v/>
      </c>
      <c r="DS610" s="70" t="str">
        <f>IF(VLOOKUP($BS610,'État &amp; Plan d''action'!$B$6:$AJ$1113,30,FALSE)="","",VLOOKUP($BS610,'État &amp; Plan d''action'!$B$6:$AJ$1113,30,FALSE))</f>
        <v/>
      </c>
      <c r="DT610" s="70" t="s">
        <v>1124</v>
      </c>
      <c r="DU610" s="485" t="s">
        <v>1124</v>
      </c>
      <c r="DV610" s="485" t="s">
        <v>1124</v>
      </c>
      <c r="DW610" s="70" t="s">
        <v>1124</v>
      </c>
      <c r="DX610" s="70" t="s">
        <v>1124</v>
      </c>
      <c r="DY610" s="70" t="s">
        <v>1124</v>
      </c>
      <c r="DZ610" s="70" t="str">
        <f>VLOOKUP($BS610,'État &amp; Plan d''action'!$B$6:$AH$1113,31,FALSE)</f>
        <v/>
      </c>
      <c r="EA610" s="70" t="str">
        <f>VLOOKUP($BS610,'État &amp; Plan d''action'!$B$6:$AH$1113,32,FALSE)</f>
        <v/>
      </c>
      <c r="EB610" s="70" t="str">
        <f>VLOOKUP($BS610,'État &amp; Plan d''action'!$B$6:$AH$1113,33,FALSE)</f>
        <v/>
      </c>
      <c r="EC610" s="70" t="s">
        <v>1124</v>
      </c>
      <c r="ED610" s="70" t="s">
        <v>1124</v>
      </c>
      <c r="EE610" s="70" t="s">
        <v>1124</v>
      </c>
      <c r="EF610" s="70" t="s">
        <v>1124</v>
      </c>
      <c r="EG610" s="70" t="s">
        <v>1124</v>
      </c>
      <c r="EH610" s="72"/>
      <c r="EI610" s="72">
        <v>600</v>
      </c>
    </row>
    <row r="611" spans="71:139" x14ac:dyDescent="0.35">
      <c r="BS611" s="486">
        <v>50030</v>
      </c>
      <c r="BT611" s="479" t="s">
        <v>485</v>
      </c>
      <c r="BU611" s="479">
        <v>17</v>
      </c>
      <c r="BV611" s="476" t="s">
        <v>1187</v>
      </c>
      <c r="BW611" s="476" t="s">
        <v>1187</v>
      </c>
      <c r="BX611" s="476" t="s">
        <v>1187</v>
      </c>
      <c r="BY611" s="476" t="s">
        <v>1187</v>
      </c>
      <c r="BZ611" s="476" t="s">
        <v>1187</v>
      </c>
      <c r="CA611" s="476" t="s">
        <v>1187</v>
      </c>
      <c r="CB611" s="476" t="s">
        <v>1187</v>
      </c>
      <c r="CC611" s="476" t="s">
        <v>1187</v>
      </c>
      <c r="CD611" s="476" t="s">
        <v>1187</v>
      </c>
      <c r="CE611" s="476" t="s">
        <v>1188</v>
      </c>
      <c r="CF611" s="476" t="s">
        <v>1188</v>
      </c>
      <c r="CG611" s="476" t="s">
        <v>1188</v>
      </c>
      <c r="CH611" s="476" t="s">
        <v>1187</v>
      </c>
      <c r="CI611" s="476" t="s">
        <v>1188</v>
      </c>
      <c r="CJ611" s="476" t="s">
        <v>1188</v>
      </c>
      <c r="CK611" s="476" t="s">
        <v>1188</v>
      </c>
      <c r="CL611" s="476" t="s">
        <v>1188</v>
      </c>
      <c r="CM611" s="476" t="str">
        <f>IF(VLOOKUP(BS611,'Données par municipalité'!$B$6:$E$1113,4,FALSE)="","non","oui")</f>
        <v>oui</v>
      </c>
      <c r="CN611" s="410">
        <v>284.73350622518268</v>
      </c>
      <c r="CO611" s="410">
        <v>325.57102229233379</v>
      </c>
      <c r="CP611" s="410">
        <v>326.91763569235019</v>
      </c>
      <c r="CQ611" s="410"/>
      <c r="CR611" s="410">
        <v>290.96535330809866</v>
      </c>
      <c r="CS611" s="410">
        <v>319.58468085010429</v>
      </c>
      <c r="CT611" s="410">
        <v>327.75955156268668</v>
      </c>
      <c r="CU611" s="410">
        <v>276</v>
      </c>
      <c r="CV611" s="410">
        <f>IF(VLOOKUP(BS611,'Données par municipalité'!$B$6:$F$1113,4,FALSE)="","",VLOOKUP(BS611,'Données par municipalité'!$B$6:$F$1113,4,FALSE))</f>
        <v>259</v>
      </c>
      <c r="CW611" s="476" t="s">
        <v>4723</v>
      </c>
      <c r="CX611" s="483">
        <v>0</v>
      </c>
      <c r="CY611" s="483">
        <v>0</v>
      </c>
      <c r="CZ611" s="483" t="s">
        <v>1124</v>
      </c>
      <c r="DA611" s="483">
        <v>0</v>
      </c>
      <c r="DB611" s="483">
        <v>0</v>
      </c>
      <c r="DC611" s="483">
        <v>0</v>
      </c>
      <c r="DD611" s="483">
        <v>0</v>
      </c>
      <c r="DE611" s="483">
        <f>IFERROR(SUM(VLOOKUP($BS611,'État &amp; Plan d''action'!$B$6:$Z$1113,18,FALSE),VLOOKUP($BS611,'État &amp; Plan d''action'!$B$6:$Z$1113,20,FALSE))/(VLOOKUP($BS611,'Données par municipalité'!$B$4:$L$1113,11,FALSE)),"")</f>
        <v>0</v>
      </c>
      <c r="DF611" s="483">
        <f>IFERROR(SUM(VLOOKUP($BS611,'État &amp; Plan d''action'!$B$6:$Z$1113,19,FALSE),VLOOKUP($BS611,'État &amp; Plan d''action'!$B$6:$Z$1113,21,FALSE))/(VLOOKUP($BS611,'Données par municipalité'!$B$4:$L$1113,11,FALSE)),"")</f>
        <v>0</v>
      </c>
      <c r="DG611" s="476" t="s">
        <v>4723</v>
      </c>
      <c r="DH611" s="484">
        <v>0</v>
      </c>
      <c r="DI611" s="484">
        <v>0</v>
      </c>
      <c r="DJ611" s="484">
        <v>0</v>
      </c>
      <c r="DK611" s="484">
        <v>1</v>
      </c>
      <c r="DL611" s="484">
        <v>0</v>
      </c>
      <c r="DM611" s="484">
        <v>0</v>
      </c>
      <c r="DN611" s="484">
        <v>0</v>
      </c>
      <c r="DO611" s="484">
        <v>0</v>
      </c>
      <c r="DP611" s="484">
        <v>0</v>
      </c>
      <c r="DQ611" s="484">
        <f>IF(VLOOKUP($BS611,'État &amp; Plan d''action'!$B$6:$AJ$1113,28,FALSE)="","",VLOOKUP($BS611,'État &amp; Plan d''action'!$B$6:$AJ$1113,28,FALSE))</f>
        <v>0</v>
      </c>
      <c r="DR611" s="70">
        <f>IF(VLOOKUP($BS611,'État &amp; Plan d''action'!$B$6:$AJ$1113,29,FALSE)="","",VLOOKUP($BS611,'État &amp; Plan d''action'!$B$6:$AJ$1113,29,FALSE))</f>
        <v>1</v>
      </c>
      <c r="DS611" s="70">
        <f>IF(VLOOKUP($BS611,'État &amp; Plan d''action'!$B$6:$AJ$1113,30,FALSE)="","",VLOOKUP($BS611,'État &amp; Plan d''action'!$B$6:$AJ$1113,30,FALSE))</f>
        <v>0</v>
      </c>
      <c r="DT611" s="70">
        <v>214</v>
      </c>
      <c r="DU611" s="485">
        <v>1.5474862138557819</v>
      </c>
      <c r="DV611" s="485">
        <v>1.7475052422599233</v>
      </c>
      <c r="DW611" s="70">
        <v>0</v>
      </c>
      <c r="DX611" s="70">
        <v>0</v>
      </c>
      <c r="DY611" s="70">
        <v>0</v>
      </c>
      <c r="DZ611" s="70">
        <f>VLOOKUP($BS611,'État &amp; Plan d''action'!$B$6:$AH$1113,31,FALSE)</f>
        <v>0</v>
      </c>
      <c r="EA611" s="70">
        <f>VLOOKUP($BS611,'État &amp; Plan d''action'!$B$6:$AH$1113,32,FALSE)</f>
        <v>1</v>
      </c>
      <c r="EB611" s="70">
        <f>VLOOKUP($BS611,'État &amp; Plan d''action'!$B$6:$AH$1113,33,FALSE)</f>
        <v>0</v>
      </c>
      <c r="EC611" s="70">
        <v>0</v>
      </c>
      <c r="ED611" s="70">
        <v>0</v>
      </c>
      <c r="EE611" s="70">
        <v>0</v>
      </c>
      <c r="EF611" s="70">
        <v>0</v>
      </c>
      <c r="EG611" s="70">
        <v>0</v>
      </c>
      <c r="EH611" s="72">
        <v>52</v>
      </c>
      <c r="EI611" s="72">
        <v>868</v>
      </c>
    </row>
    <row r="612" spans="71:139" x14ac:dyDescent="0.35">
      <c r="BS612" s="486">
        <v>55023</v>
      </c>
      <c r="BT612" s="479" t="s">
        <v>561</v>
      </c>
      <c r="BU612" s="479">
        <v>16</v>
      </c>
      <c r="BV612" s="476" t="s">
        <v>1187</v>
      </c>
      <c r="BW612" s="476" t="s">
        <v>1187</v>
      </c>
      <c r="BX612" s="476" t="s">
        <v>1187</v>
      </c>
      <c r="BY612" s="476" t="s">
        <v>1187</v>
      </c>
      <c r="BZ612" s="476" t="s">
        <v>1187</v>
      </c>
      <c r="CA612" s="476" t="s">
        <v>1187</v>
      </c>
      <c r="CB612" s="476" t="s">
        <v>1187</v>
      </c>
      <c r="CC612" s="476" t="s">
        <v>1187</v>
      </c>
      <c r="CD612" s="476" t="s">
        <v>1187</v>
      </c>
      <c r="CE612" s="476" t="s">
        <v>1188</v>
      </c>
      <c r="CF612" s="476" t="s">
        <v>1188</v>
      </c>
      <c r="CG612" s="476" t="s">
        <v>1188</v>
      </c>
      <c r="CH612" s="476" t="s">
        <v>1188</v>
      </c>
      <c r="CI612" s="476" t="s">
        <v>1188</v>
      </c>
      <c r="CJ612" s="476" t="s">
        <v>1188</v>
      </c>
      <c r="CK612" s="476" t="s">
        <v>1188</v>
      </c>
      <c r="CL612" s="476" t="s">
        <v>1188</v>
      </c>
      <c r="CM612" s="476" t="str">
        <f>IF(VLOOKUP(BS612,'Données par municipalité'!$B$6:$E$1113,4,FALSE)="","non","oui")</f>
        <v>oui</v>
      </c>
      <c r="CN612" s="410">
        <v>646.39190888055418</v>
      </c>
      <c r="CO612" s="410">
        <v>523.90666866261211</v>
      </c>
      <c r="CP612" s="410">
        <v>574.19841769360198</v>
      </c>
      <c r="CQ612" s="410">
        <v>448.221240554075</v>
      </c>
      <c r="CR612" s="410">
        <v>456.78156335169024</v>
      </c>
      <c r="CS612" s="410">
        <v>468.25926713885423</v>
      </c>
      <c r="CT612" s="410">
        <v>389.63607305936074</v>
      </c>
      <c r="CU612" s="410">
        <v>490</v>
      </c>
      <c r="CV612" s="410">
        <f>IF(VLOOKUP(BS612,'Données par municipalité'!$B$6:$F$1113,4,FALSE)="","",VLOOKUP(BS612,'Données par municipalité'!$B$6:$F$1113,4,FALSE))</f>
        <v>453</v>
      </c>
      <c r="CW612" s="476" t="s">
        <v>4723</v>
      </c>
      <c r="CX612" s="483">
        <v>0.08</v>
      </c>
      <c r="CY612" s="483">
        <v>0.06</v>
      </c>
      <c r="CZ612" s="483">
        <v>0.06</v>
      </c>
      <c r="DA612" s="483">
        <v>1</v>
      </c>
      <c r="DB612" s="483">
        <v>1</v>
      </c>
      <c r="DC612" s="483">
        <v>1</v>
      </c>
      <c r="DD612" s="483">
        <v>2.0017889087656533</v>
      </c>
      <c r="DE612" s="483">
        <f>IFERROR(SUM(VLOOKUP($BS612,'État &amp; Plan d''action'!$B$6:$Z$1113,18,FALSE),VLOOKUP($BS612,'État &amp; Plan d''action'!$B$6:$Z$1113,20,FALSE))/(VLOOKUP($BS612,'Données par municipalité'!$B$4:$L$1113,11,FALSE)),"")</f>
        <v>2.0017889087656533</v>
      </c>
      <c r="DF612" s="483">
        <f>IFERROR(SUM(VLOOKUP($BS612,'État &amp; Plan d''action'!$B$6:$Z$1113,19,FALSE),VLOOKUP($BS612,'État &amp; Plan d''action'!$B$6:$Z$1113,21,FALSE))/(VLOOKUP($BS612,'Données par municipalité'!$B$4:$L$1113,11,FALSE)),"")</f>
        <v>2.0017889087656533</v>
      </c>
      <c r="DG612" s="476" t="s">
        <v>4723</v>
      </c>
      <c r="DH612" s="484">
        <v>9</v>
      </c>
      <c r="DI612" s="484">
        <v>8</v>
      </c>
      <c r="DJ612" s="484">
        <v>7</v>
      </c>
      <c r="DK612" s="484">
        <v>9</v>
      </c>
      <c r="DL612" s="484">
        <v>5</v>
      </c>
      <c r="DM612" s="484">
        <v>5</v>
      </c>
      <c r="DN612" s="484">
        <v>9</v>
      </c>
      <c r="DO612" s="484">
        <v>1</v>
      </c>
      <c r="DP612" s="484">
        <v>1</v>
      </c>
      <c r="DQ612" s="484">
        <f>IF(VLOOKUP($BS612,'État &amp; Plan d''action'!$B$6:$AJ$1113,28,FALSE)="","",VLOOKUP($BS612,'État &amp; Plan d''action'!$B$6:$AJ$1113,28,FALSE))</f>
        <v>11</v>
      </c>
      <c r="DR612" s="70">
        <f>IF(VLOOKUP($BS612,'État &amp; Plan d''action'!$B$6:$AJ$1113,29,FALSE)="","",VLOOKUP($BS612,'État &amp; Plan d''action'!$B$6:$AJ$1113,29,FALSE))</f>
        <v>1</v>
      </c>
      <c r="DS612" s="70">
        <f>IF(VLOOKUP($BS612,'État &amp; Plan d''action'!$B$6:$AJ$1113,30,FALSE)="","",VLOOKUP($BS612,'État &amp; Plan d''action'!$B$6:$AJ$1113,30,FALSE))</f>
        <v>2</v>
      </c>
      <c r="DT612" s="70">
        <v>193</v>
      </c>
      <c r="DU612" s="485">
        <v>3.2043620569078395</v>
      </c>
      <c r="DV612" s="485">
        <v>2.8294541571811793</v>
      </c>
      <c r="DW612" s="70">
        <v>1</v>
      </c>
      <c r="DX612" s="70">
        <v>1</v>
      </c>
      <c r="DY612" s="70">
        <v>1</v>
      </c>
      <c r="DZ612" s="70">
        <f>VLOOKUP($BS612,'État &amp; Plan d''action'!$B$6:$AH$1113,31,FALSE)</f>
        <v>1</v>
      </c>
      <c r="EA612" s="70">
        <f>VLOOKUP($BS612,'État &amp; Plan d''action'!$B$6:$AH$1113,32,FALSE)</f>
        <v>1</v>
      </c>
      <c r="EB612" s="70">
        <f>VLOOKUP($BS612,'État &amp; Plan d''action'!$B$6:$AH$1113,33,FALSE)</f>
        <v>2</v>
      </c>
      <c r="EC612" s="70">
        <v>0</v>
      </c>
      <c r="ED612" s="70">
        <v>55.95</v>
      </c>
      <c r="EE612" s="70">
        <v>55.95</v>
      </c>
      <c r="EF612" s="70">
        <v>0</v>
      </c>
      <c r="EG612" s="70">
        <v>0</v>
      </c>
      <c r="EH612" s="72">
        <v>68.319508872257202</v>
      </c>
      <c r="EI612" s="72">
        <v>5952</v>
      </c>
    </row>
    <row r="613" spans="71:139" x14ac:dyDescent="0.35">
      <c r="BS613" s="486">
        <v>61035</v>
      </c>
      <c r="BT613" s="479" t="s">
        <v>615</v>
      </c>
      <c r="BU613" s="479">
        <v>14</v>
      </c>
      <c r="BV613" s="476" t="s">
        <v>1187</v>
      </c>
      <c r="BW613" s="476" t="s">
        <v>1187</v>
      </c>
      <c r="BX613" s="476" t="s">
        <v>1187</v>
      </c>
      <c r="BY613" s="476" t="s">
        <v>1187</v>
      </c>
      <c r="BZ613" s="476" t="s">
        <v>1187</v>
      </c>
      <c r="CA613" s="476" t="s">
        <v>1187</v>
      </c>
      <c r="CB613" s="476" t="s">
        <v>1187</v>
      </c>
      <c r="CC613" s="476" t="s">
        <v>1187</v>
      </c>
      <c r="CD613" s="476" t="s">
        <v>1187</v>
      </c>
      <c r="CE613" s="476" t="s">
        <v>1188</v>
      </c>
      <c r="CF613" s="476" t="s">
        <v>1188</v>
      </c>
      <c r="CG613" s="476" t="s">
        <v>1188</v>
      </c>
      <c r="CH613" s="476" t="s">
        <v>1188</v>
      </c>
      <c r="CI613" s="476" t="s">
        <v>1188</v>
      </c>
      <c r="CJ613" s="476" t="s">
        <v>1188</v>
      </c>
      <c r="CK613" s="476" t="s">
        <v>1188</v>
      </c>
      <c r="CL613" s="476" t="s">
        <v>1188</v>
      </c>
      <c r="CM613" s="476" t="str">
        <f>IF(VLOOKUP(BS613,'Données par municipalité'!$B$6:$E$1113,4,FALSE)="","non","oui")</f>
        <v>oui</v>
      </c>
      <c r="CN613" s="410">
        <v>434.58364453368921</v>
      </c>
      <c r="CO613" s="410">
        <v>486.8621692803718</v>
      </c>
      <c r="CP613" s="410">
        <v>397.58806041268355</v>
      </c>
      <c r="CQ613" s="410">
        <v>397.07841144009325</v>
      </c>
      <c r="CR613" s="410">
        <v>372.98734642646633</v>
      </c>
      <c r="CS613" s="410">
        <v>338.11780676992248</v>
      </c>
      <c r="CT613" s="410">
        <v>315.78458099421391</v>
      </c>
      <c r="CU613" s="410">
        <v>354</v>
      </c>
      <c r="CV613" s="410">
        <f>IF(VLOOKUP(BS613,'Données par municipalité'!$B$6:$F$1113,4,FALSE)="","",VLOOKUP(BS613,'Données par municipalité'!$B$6:$F$1113,4,FALSE))</f>
        <v>325</v>
      </c>
      <c r="CW613" s="476" t="s">
        <v>4723</v>
      </c>
      <c r="CX613" s="483">
        <v>0</v>
      </c>
      <c r="CY613" s="483">
        <v>0</v>
      </c>
      <c r="CZ613" s="483">
        <v>0</v>
      </c>
      <c r="DA613" s="483">
        <v>0</v>
      </c>
      <c r="DB613" s="483">
        <v>0</v>
      </c>
      <c r="DC613" s="483">
        <v>0</v>
      </c>
      <c r="DD613" s="483">
        <v>0</v>
      </c>
      <c r="DE613" s="483">
        <f>IFERROR(SUM(VLOOKUP($BS613,'État &amp; Plan d''action'!$B$6:$Z$1113,18,FALSE),VLOOKUP($BS613,'État &amp; Plan d''action'!$B$6:$Z$1113,20,FALSE))/(VLOOKUP($BS613,'Données par municipalité'!$B$4:$L$1113,11,FALSE)),"")</f>
        <v>0</v>
      </c>
      <c r="DF613" s="483">
        <f>IFERROR(SUM(VLOOKUP($BS613,'État &amp; Plan d''action'!$B$6:$Z$1113,19,FALSE),VLOOKUP($BS613,'État &amp; Plan d''action'!$B$6:$Z$1113,21,FALSE))/(VLOOKUP($BS613,'Données par municipalité'!$B$4:$L$1113,11,FALSE)),"")</f>
        <v>0</v>
      </c>
      <c r="DG613" s="476" t="s">
        <v>4723</v>
      </c>
      <c r="DH613" s="484">
        <v>9</v>
      </c>
      <c r="DI613" s="484">
        <v>9</v>
      </c>
      <c r="DJ613" s="484">
        <v>8</v>
      </c>
      <c r="DK613" s="484">
        <v>8</v>
      </c>
      <c r="DL613" s="484">
        <v>4</v>
      </c>
      <c r="DM613" s="484">
        <v>10</v>
      </c>
      <c r="DN613" s="484">
        <v>4</v>
      </c>
      <c r="DO613" s="484">
        <v>1</v>
      </c>
      <c r="DP613" s="484">
        <v>1</v>
      </c>
      <c r="DQ613" s="484">
        <f>IF(VLOOKUP($BS613,'État &amp; Plan d''action'!$B$6:$AJ$1113,28,FALSE)="","",VLOOKUP($BS613,'État &amp; Plan d''action'!$B$6:$AJ$1113,28,FALSE))</f>
        <v>8</v>
      </c>
      <c r="DR613" s="70">
        <f>IF(VLOOKUP($BS613,'État &amp; Plan d''action'!$B$6:$AJ$1113,29,FALSE)="","",VLOOKUP($BS613,'État &amp; Plan d''action'!$B$6:$AJ$1113,29,FALSE))</f>
        <v>4</v>
      </c>
      <c r="DS613" s="70">
        <f>IF(VLOOKUP($BS613,'État &amp; Plan d''action'!$B$6:$AJ$1113,30,FALSE)="","",VLOOKUP($BS613,'État &amp; Plan d''action'!$B$6:$AJ$1113,30,FALSE))</f>
        <v>0</v>
      </c>
      <c r="DT613" s="70">
        <v>194</v>
      </c>
      <c r="DU613" s="485">
        <v>0.65504323260622821</v>
      </c>
      <c r="DV613" s="485">
        <v>0.63974694269706733</v>
      </c>
      <c r="DW613" s="70">
        <v>2</v>
      </c>
      <c r="DX613" s="70">
        <v>2</v>
      </c>
      <c r="DY613" s="70">
        <v>2</v>
      </c>
      <c r="DZ613" s="70">
        <f>VLOOKUP($BS613,'État &amp; Plan d''action'!$B$6:$AH$1113,31,FALSE)</f>
        <v>2</v>
      </c>
      <c r="EA613" s="70">
        <f>VLOOKUP($BS613,'État &amp; Plan d''action'!$B$6:$AH$1113,32,FALSE)</f>
        <v>2</v>
      </c>
      <c r="EB613" s="70">
        <f>VLOOKUP($BS613,'État &amp; Plan d''action'!$B$6:$AH$1113,33,FALSE)</f>
        <v>0</v>
      </c>
      <c r="EC613" s="70">
        <v>0</v>
      </c>
      <c r="ED613" s="70">
        <v>0</v>
      </c>
      <c r="EE613" s="70">
        <v>0</v>
      </c>
      <c r="EF613" s="70">
        <v>0</v>
      </c>
      <c r="EG613" s="70">
        <v>0</v>
      </c>
      <c r="EH613" s="72">
        <v>62</v>
      </c>
      <c r="EI613" s="72">
        <v>14238</v>
      </c>
    </row>
    <row r="614" spans="71:139" x14ac:dyDescent="0.35">
      <c r="BS614" s="486">
        <v>19097</v>
      </c>
      <c r="BT614" s="479" t="s">
        <v>134</v>
      </c>
      <c r="BU614" s="479">
        <v>12</v>
      </c>
      <c r="BV614" s="476" t="s">
        <v>1187</v>
      </c>
      <c r="BW614" s="476" t="s">
        <v>1187</v>
      </c>
      <c r="BX614" s="476" t="s">
        <v>1187</v>
      </c>
      <c r="BY614" s="476" t="s">
        <v>1187</v>
      </c>
      <c r="BZ614" s="476" t="s">
        <v>1187</v>
      </c>
      <c r="CA614" s="476" t="s">
        <v>1187</v>
      </c>
      <c r="CB614" s="476" t="s">
        <v>1187</v>
      </c>
      <c r="CC614" s="476" t="s">
        <v>1187</v>
      </c>
      <c r="CD614" s="476" t="s">
        <v>1187</v>
      </c>
      <c r="CE614" s="476" t="s">
        <v>1188</v>
      </c>
      <c r="CF614" s="476" t="s">
        <v>1188</v>
      </c>
      <c r="CG614" s="476" t="s">
        <v>1188</v>
      </c>
      <c r="CH614" s="476" t="s">
        <v>1188</v>
      </c>
      <c r="CI614" s="476" t="s">
        <v>1188</v>
      </c>
      <c r="CJ614" s="476" t="s">
        <v>1188</v>
      </c>
      <c r="CK614" s="476" t="s">
        <v>1188</v>
      </c>
      <c r="CL614" s="476" t="s">
        <v>1188</v>
      </c>
      <c r="CM614" s="476" t="str">
        <f>IF(VLOOKUP(BS614,'Données par municipalité'!$B$6:$E$1113,4,FALSE)="","non","oui")</f>
        <v>oui</v>
      </c>
      <c r="CN614" s="410">
        <v>480.18988027841942</v>
      </c>
      <c r="CO614" s="410">
        <v>467.56444224869756</v>
      </c>
      <c r="CP614" s="410">
        <v>517.92660240148825</v>
      </c>
      <c r="CQ614" s="410">
        <v>532.01842995742129</v>
      </c>
      <c r="CR614" s="410">
        <v>388.69277912552803</v>
      </c>
      <c r="CS614" s="410">
        <v>337.00245599077903</v>
      </c>
      <c r="CT614" s="410">
        <v>333.66777204941678</v>
      </c>
      <c r="CU614" s="410">
        <v>378</v>
      </c>
      <c r="CV614" s="410">
        <f>IF(VLOOKUP(BS614,'Données par municipalité'!$B$6:$F$1113,4,FALSE)="","",VLOOKUP(BS614,'Données par municipalité'!$B$6:$F$1113,4,FALSE))</f>
        <v>381</v>
      </c>
      <c r="CW614" s="476" t="s">
        <v>4723</v>
      </c>
      <c r="CX614" s="483">
        <v>0.2</v>
      </c>
      <c r="CY614" s="483">
        <v>1</v>
      </c>
      <c r="CZ614" s="483">
        <v>1</v>
      </c>
      <c r="DA614" s="483">
        <v>1</v>
      </c>
      <c r="DB614" s="483">
        <v>1</v>
      </c>
      <c r="DC614" s="483">
        <v>1</v>
      </c>
      <c r="DD614" s="483">
        <v>1</v>
      </c>
      <c r="DE614" s="483">
        <f>IFERROR(SUM(VLOOKUP($BS614,'État &amp; Plan d''action'!$B$6:$Z$1113,18,FALSE),VLOOKUP($BS614,'État &amp; Plan d''action'!$B$6:$Z$1113,20,FALSE))/(VLOOKUP($BS614,'Données par municipalité'!$B$4:$L$1113,11,FALSE)),"")</f>
        <v>1</v>
      </c>
      <c r="DF614" s="483">
        <f>IFERROR(SUM(VLOOKUP($BS614,'État &amp; Plan d''action'!$B$6:$Z$1113,19,FALSE),VLOOKUP($BS614,'État &amp; Plan d''action'!$B$6:$Z$1113,21,FALSE))/(VLOOKUP($BS614,'Données par municipalité'!$B$4:$L$1113,11,FALSE)),"")</f>
        <v>1</v>
      </c>
      <c r="DG614" s="476" t="s">
        <v>4723</v>
      </c>
      <c r="DH614" s="484">
        <v>3</v>
      </c>
      <c r="DI614" s="484">
        <v>5</v>
      </c>
      <c r="DJ614" s="484">
        <v>4</v>
      </c>
      <c r="DK614" s="484">
        <v>2</v>
      </c>
      <c r="DL614" s="484">
        <v>3</v>
      </c>
      <c r="DM614" s="484">
        <v>3</v>
      </c>
      <c r="DN614" s="484">
        <v>6</v>
      </c>
      <c r="DO614" s="484">
        <v>0</v>
      </c>
      <c r="DP614" s="484">
        <v>0</v>
      </c>
      <c r="DQ614" s="484">
        <f>IF(VLOOKUP($BS614,'État &amp; Plan d''action'!$B$6:$AJ$1113,28,FALSE)="","",VLOOKUP($BS614,'État &amp; Plan d''action'!$B$6:$AJ$1113,28,FALSE))</f>
        <v>5</v>
      </c>
      <c r="DR614" s="70">
        <f>IF(VLOOKUP($BS614,'État &amp; Plan d''action'!$B$6:$AJ$1113,29,FALSE)="","",VLOOKUP($BS614,'État &amp; Plan d''action'!$B$6:$AJ$1113,29,FALSE))</f>
        <v>3</v>
      </c>
      <c r="DS614" s="70">
        <f>IF(VLOOKUP($BS614,'État &amp; Plan d''action'!$B$6:$AJ$1113,30,FALSE)="","",VLOOKUP($BS614,'État &amp; Plan d''action'!$B$6:$AJ$1113,30,FALSE))</f>
        <v>0</v>
      </c>
      <c r="DT614" s="70">
        <v>143</v>
      </c>
      <c r="DU614" s="485">
        <v>5.5240691084866329</v>
      </c>
      <c r="DV614" s="485">
        <v>5.8677953619510426</v>
      </c>
      <c r="DW614" s="70">
        <v>2</v>
      </c>
      <c r="DX614" s="70">
        <v>0</v>
      </c>
      <c r="DY614" s="70">
        <v>0</v>
      </c>
      <c r="DZ614" s="70">
        <f>VLOOKUP($BS614,'État &amp; Plan d''action'!$B$6:$AH$1113,31,FALSE)</f>
        <v>2</v>
      </c>
      <c r="EA614" s="70">
        <f>VLOOKUP($BS614,'État &amp; Plan d''action'!$B$6:$AH$1113,32,FALSE)</f>
        <v>2</v>
      </c>
      <c r="EB614" s="70">
        <f>VLOOKUP($BS614,'État &amp; Plan d''action'!$B$6:$AH$1113,33,FALSE)</f>
        <v>0</v>
      </c>
      <c r="EC614" s="70">
        <v>0</v>
      </c>
      <c r="ED614" s="70">
        <v>16.547000000000001</v>
      </c>
      <c r="EE614" s="70">
        <v>0</v>
      </c>
      <c r="EF614" s="70">
        <v>0</v>
      </c>
      <c r="EG614" s="70">
        <v>0</v>
      </c>
      <c r="EH614" s="72">
        <v>61</v>
      </c>
      <c r="EI614" s="72">
        <v>2487</v>
      </c>
    </row>
    <row r="615" spans="71:139" x14ac:dyDescent="0.35">
      <c r="BS615" s="486">
        <v>94260</v>
      </c>
      <c r="BT615" s="479" t="s">
        <v>984</v>
      </c>
      <c r="BU615" s="479">
        <v>2</v>
      </c>
      <c r="BV615" s="476" t="s">
        <v>1187</v>
      </c>
      <c r="BW615" s="476" t="s">
        <v>1187</v>
      </c>
      <c r="BX615" s="476" t="s">
        <v>1187</v>
      </c>
      <c r="BY615" s="476" t="s">
        <v>1187</v>
      </c>
      <c r="BZ615" s="476" t="s">
        <v>1187</v>
      </c>
      <c r="CA615" s="476" t="s">
        <v>1187</v>
      </c>
      <c r="CB615" s="476" t="s">
        <v>1187</v>
      </c>
      <c r="CC615" s="476" t="s">
        <v>1187</v>
      </c>
      <c r="CD615" s="476" t="s">
        <v>1187</v>
      </c>
      <c r="CE615" s="476" t="s">
        <v>1188</v>
      </c>
      <c r="CF615" s="476" t="s">
        <v>1188</v>
      </c>
      <c r="CG615" s="476" t="s">
        <v>1188</v>
      </c>
      <c r="CH615" s="476" t="s">
        <v>1188</v>
      </c>
      <c r="CI615" s="476" t="s">
        <v>1188</v>
      </c>
      <c r="CJ615" s="476" t="s">
        <v>1188</v>
      </c>
      <c r="CK615" s="476" t="s">
        <v>1188</v>
      </c>
      <c r="CL615" s="476" t="s">
        <v>1188</v>
      </c>
      <c r="CM615" s="476" t="str">
        <f>IF(VLOOKUP(BS615,'Données par municipalité'!$B$6:$E$1113,4,FALSE)="","non","oui")</f>
        <v>oui</v>
      </c>
      <c r="CN615" s="410">
        <v>854.98100489254773</v>
      </c>
      <c r="CO615" s="410">
        <v>615.7770386209445</v>
      </c>
      <c r="CP615" s="410">
        <v>366.84818954700631</v>
      </c>
      <c r="CQ615" s="410">
        <v>470.40150428758926</v>
      </c>
      <c r="CR615" s="410">
        <v>612.61687055944822</v>
      </c>
      <c r="CS615" s="410">
        <v>525.23851835375899</v>
      </c>
      <c r="CT615" s="410">
        <v>470.01335101660356</v>
      </c>
      <c r="CU615" s="410">
        <v>584</v>
      </c>
      <c r="CV615" s="410">
        <f>IF(VLOOKUP(BS615,'Données par municipalité'!$B$6:$F$1113,4,FALSE)="","",VLOOKUP(BS615,'Données par municipalité'!$B$6:$F$1113,4,FALSE))</f>
        <v>655</v>
      </c>
      <c r="CW615" s="476" t="s">
        <v>4723</v>
      </c>
      <c r="CX615" s="483">
        <v>0.3</v>
      </c>
      <c r="CY615" s="483">
        <v>0.5</v>
      </c>
      <c r="CZ615" s="483">
        <v>0.5</v>
      </c>
      <c r="DA615" s="483">
        <v>0.5</v>
      </c>
      <c r="DB615" s="483">
        <v>0.5</v>
      </c>
      <c r="DC615" s="483">
        <v>0.3</v>
      </c>
      <c r="DD615" s="483">
        <v>0</v>
      </c>
      <c r="DE615" s="483">
        <f>IFERROR(SUM(VLOOKUP($BS615,'État &amp; Plan d''action'!$B$6:$Z$1113,18,FALSE),VLOOKUP($BS615,'État &amp; Plan d''action'!$B$6:$Z$1113,20,FALSE))/(VLOOKUP($BS615,'Données par municipalité'!$B$4:$L$1113,11,FALSE)),"")</f>
        <v>0</v>
      </c>
      <c r="DF615" s="483">
        <f>IFERROR(SUM(VLOOKUP($BS615,'État &amp; Plan d''action'!$B$6:$Z$1113,19,FALSE),VLOOKUP($BS615,'État &amp; Plan d''action'!$B$6:$Z$1113,21,FALSE))/(VLOOKUP($BS615,'Données par municipalité'!$B$4:$L$1113,11,FALSE)),"")</f>
        <v>0</v>
      </c>
      <c r="DG615" s="476" t="s">
        <v>4723</v>
      </c>
      <c r="DH615" s="484">
        <v>3</v>
      </c>
      <c r="DI615" s="484">
        <v>2</v>
      </c>
      <c r="DJ615" s="484">
        <v>4</v>
      </c>
      <c r="DK615" s="484">
        <v>4</v>
      </c>
      <c r="DL615" s="484">
        <v>0</v>
      </c>
      <c r="DM615" s="484">
        <v>0</v>
      </c>
      <c r="DN615" s="484">
        <v>2</v>
      </c>
      <c r="DO615" s="484">
        <v>0</v>
      </c>
      <c r="DP615" s="484">
        <v>0</v>
      </c>
      <c r="DQ615" s="484">
        <f>IF(VLOOKUP($BS615,'État &amp; Plan d''action'!$B$6:$AJ$1113,28,FALSE)="","",VLOOKUP($BS615,'État &amp; Plan d''action'!$B$6:$AJ$1113,28,FALSE))</f>
        <v>0</v>
      </c>
      <c r="DR615" s="70">
        <f>IF(VLOOKUP($BS615,'État &amp; Plan d''action'!$B$6:$AJ$1113,29,FALSE)="","",VLOOKUP($BS615,'État &amp; Plan d''action'!$B$6:$AJ$1113,29,FALSE))</f>
        <v>0</v>
      </c>
      <c r="DS615" s="70">
        <f>IF(VLOOKUP($BS615,'État &amp; Plan d''action'!$B$6:$AJ$1113,30,FALSE)="","",VLOOKUP($BS615,'État &amp; Plan d''action'!$B$6:$AJ$1113,30,FALSE))</f>
        <v>0</v>
      </c>
      <c r="DT615" s="70">
        <v>448</v>
      </c>
      <c r="DU615" s="485">
        <v>1.0070735204979853</v>
      </c>
      <c r="DV615" s="485">
        <v>1.988838401931335</v>
      </c>
      <c r="DW615" s="70">
        <v>1</v>
      </c>
      <c r="DX615" s="70">
        <v>0</v>
      </c>
      <c r="DY615" s="70">
        <v>0</v>
      </c>
      <c r="DZ615" s="70">
        <f>VLOOKUP($BS615,'État &amp; Plan d''action'!$B$6:$AH$1113,31,FALSE)</f>
        <v>0</v>
      </c>
      <c r="EA615" s="70">
        <f>VLOOKUP($BS615,'État &amp; Plan d''action'!$B$6:$AH$1113,32,FALSE)</f>
        <v>0</v>
      </c>
      <c r="EB615" s="70">
        <f>VLOOKUP($BS615,'État &amp; Plan d''action'!$B$6:$AH$1113,33,FALSE)</f>
        <v>0</v>
      </c>
      <c r="EC615" s="70">
        <v>0</v>
      </c>
      <c r="ED615" s="70">
        <v>0</v>
      </c>
      <c r="EE615" s="70">
        <v>0</v>
      </c>
      <c r="EF615" s="70">
        <v>0</v>
      </c>
      <c r="EG615" s="70">
        <v>0</v>
      </c>
      <c r="EH615" s="72">
        <v>59</v>
      </c>
      <c r="EI615" s="72">
        <v>760</v>
      </c>
    </row>
    <row r="616" spans="71:139" x14ac:dyDescent="0.35">
      <c r="BS616" s="486">
        <v>9010</v>
      </c>
      <c r="BT616" s="479" t="s">
        <v>1098</v>
      </c>
      <c r="BU616" s="479">
        <v>1</v>
      </c>
      <c r="BV616" s="476" t="s">
        <v>1188</v>
      </c>
      <c r="BW616" s="476" t="s">
        <v>1188</v>
      </c>
      <c r="BX616" s="476" t="s">
        <v>1188</v>
      </c>
      <c r="BY616" s="476" t="s">
        <v>1188</v>
      </c>
      <c r="BZ616" s="476" t="s">
        <v>1188</v>
      </c>
      <c r="CA616" s="476" t="s">
        <v>1188</v>
      </c>
      <c r="CB616" s="476" t="s">
        <v>1188</v>
      </c>
      <c r="CC616" s="476" t="s">
        <v>1188</v>
      </c>
      <c r="CD616" s="476" t="s">
        <v>1188</v>
      </c>
      <c r="CE616" s="476" t="s">
        <v>1188</v>
      </c>
      <c r="CF616" s="476" t="s">
        <v>1188</v>
      </c>
      <c r="CG616" s="476" t="s">
        <v>1187</v>
      </c>
      <c r="CH616" s="476" t="s">
        <v>1187</v>
      </c>
      <c r="CI616" s="476" t="s">
        <v>1187</v>
      </c>
      <c r="CJ616" s="476" t="s">
        <v>1187</v>
      </c>
      <c r="CK616" s="476" t="s">
        <v>1187</v>
      </c>
      <c r="CL616" s="476" t="s">
        <v>1187</v>
      </c>
      <c r="CM616" s="476" t="str">
        <f>IF(VLOOKUP(BS616,'Données par municipalité'!$B$6:$E$1113,4,FALSE)="","non","oui")</f>
        <v>non</v>
      </c>
      <c r="CN616" s="410">
        <v>261.20352250489242</v>
      </c>
      <c r="CO616" s="410">
        <v>462.4759099336456</v>
      </c>
      <c r="CP616" s="410"/>
      <c r="CQ616" s="410"/>
      <c r="CR616" s="410"/>
      <c r="CS616" s="410" t="s">
        <v>1124</v>
      </c>
      <c r="CT616" s="410"/>
      <c r="CU616" s="410" t="s">
        <v>1124</v>
      </c>
      <c r="CV616" s="410" t="str">
        <f>IF(VLOOKUP(BS616,'Données par municipalité'!$B$6:$F$1113,4,FALSE)="","",VLOOKUP(BS616,'Données par municipalité'!$B$6:$F$1113,4,FALSE))</f>
        <v/>
      </c>
      <c r="CW616" s="476" t="s">
        <v>4723</v>
      </c>
      <c r="CX616" s="483" t="s">
        <v>1124</v>
      </c>
      <c r="CY616" s="483" t="s">
        <v>1124</v>
      </c>
      <c r="CZ616" s="483" t="s">
        <v>1124</v>
      </c>
      <c r="DA616" s="483" t="s">
        <v>1124</v>
      </c>
      <c r="DB616" s="483" t="s">
        <v>1124</v>
      </c>
      <c r="DC616" s="483" t="s">
        <v>1124</v>
      </c>
      <c r="DD616" s="483" t="s">
        <v>1124</v>
      </c>
      <c r="DE616" s="483" t="str">
        <f>IFERROR(SUM(VLOOKUP($BS616,'État &amp; Plan d''action'!$B$6:$Z$1113,18,FALSE),VLOOKUP($BS616,'État &amp; Plan d''action'!$B$6:$Z$1113,20,FALSE))/(VLOOKUP($BS616,'Données par municipalité'!$B$4:$L$1113,11,FALSE)),"")</f>
        <v/>
      </c>
      <c r="DF616" s="483" t="str">
        <f>IFERROR(SUM(VLOOKUP($BS616,'État &amp; Plan d''action'!$B$6:$Z$1113,19,FALSE),VLOOKUP($BS616,'État &amp; Plan d''action'!$B$6:$Z$1113,21,FALSE))/(VLOOKUP($BS616,'Données par municipalité'!$B$4:$L$1113,11,FALSE)),"")</f>
        <v/>
      </c>
      <c r="DG616" s="476" t="s">
        <v>4723</v>
      </c>
      <c r="DH616" s="484">
        <v>0</v>
      </c>
      <c r="DI616" s="484" t="s">
        <v>1124</v>
      </c>
      <c r="DJ616" s="484">
        <v>0</v>
      </c>
      <c r="DK616" s="484">
        <v>0</v>
      </c>
      <c r="DL616" s="484" t="s">
        <v>1124</v>
      </c>
      <c r="DM616" s="484" t="s">
        <v>1124</v>
      </c>
      <c r="DN616" s="484" t="s">
        <v>1124</v>
      </c>
      <c r="DO616" s="484" t="s">
        <v>1124</v>
      </c>
      <c r="DP616" s="484" t="s">
        <v>1124</v>
      </c>
      <c r="DQ616" s="484" t="str">
        <f>IF(VLOOKUP($BS616,'État &amp; Plan d''action'!$B$6:$AJ$1113,28,FALSE)="","",VLOOKUP($BS616,'État &amp; Plan d''action'!$B$6:$AJ$1113,28,FALSE))</f>
        <v/>
      </c>
      <c r="DR616" s="70" t="str">
        <f>IF(VLOOKUP($BS616,'État &amp; Plan d''action'!$B$6:$AJ$1113,29,FALSE)="","",VLOOKUP($BS616,'État &amp; Plan d''action'!$B$6:$AJ$1113,29,FALSE))</f>
        <v/>
      </c>
      <c r="DS616" s="70" t="str">
        <f>IF(VLOOKUP($BS616,'État &amp; Plan d''action'!$B$6:$AJ$1113,30,FALSE)="","",VLOOKUP($BS616,'État &amp; Plan d''action'!$B$6:$AJ$1113,30,FALSE))</f>
        <v/>
      </c>
      <c r="DT616" s="70" t="s">
        <v>1124</v>
      </c>
      <c r="DU616" s="485" t="s">
        <v>1124</v>
      </c>
      <c r="DV616" s="485" t="s">
        <v>1124</v>
      </c>
      <c r="DW616" s="70" t="s">
        <v>1124</v>
      </c>
      <c r="DX616" s="70" t="s">
        <v>1124</v>
      </c>
      <c r="DY616" s="70" t="s">
        <v>1124</v>
      </c>
      <c r="DZ616" s="70" t="str">
        <f>VLOOKUP($BS616,'État &amp; Plan d''action'!$B$6:$AH$1113,31,FALSE)</f>
        <v/>
      </c>
      <c r="EA616" s="70" t="str">
        <f>VLOOKUP($BS616,'État &amp; Plan d''action'!$B$6:$AH$1113,32,FALSE)</f>
        <v/>
      </c>
      <c r="EB616" s="70" t="str">
        <f>VLOOKUP($BS616,'État &amp; Plan d''action'!$B$6:$AH$1113,33,FALSE)</f>
        <v/>
      </c>
      <c r="EC616" s="70" t="s">
        <v>1124</v>
      </c>
      <c r="ED616" s="70" t="s">
        <v>1124</v>
      </c>
      <c r="EE616" s="70" t="s">
        <v>1124</v>
      </c>
      <c r="EF616" s="70" t="s">
        <v>1124</v>
      </c>
      <c r="EG616" s="70" t="s">
        <v>1124</v>
      </c>
      <c r="EH616" s="72"/>
      <c r="EI616" s="72">
        <v>237</v>
      </c>
    </row>
    <row r="617" spans="71:139" x14ac:dyDescent="0.35">
      <c r="BS617" s="486">
        <v>57057</v>
      </c>
      <c r="BT617" s="479" t="s">
        <v>591</v>
      </c>
      <c r="BU617" s="479">
        <v>16</v>
      </c>
      <c r="BV617" s="476" t="s">
        <v>1187</v>
      </c>
      <c r="BW617" s="476" t="s">
        <v>1187</v>
      </c>
      <c r="BX617" s="476" t="s">
        <v>1187</v>
      </c>
      <c r="BY617" s="476" t="s">
        <v>1187</v>
      </c>
      <c r="BZ617" s="476" t="s">
        <v>1187</v>
      </c>
      <c r="CA617" s="476" t="s">
        <v>1187</v>
      </c>
      <c r="CB617" s="476" t="s">
        <v>1187</v>
      </c>
      <c r="CC617" s="476" t="s">
        <v>1187</v>
      </c>
      <c r="CD617" s="476" t="s">
        <v>1187</v>
      </c>
      <c r="CE617" s="476" t="s">
        <v>1188</v>
      </c>
      <c r="CF617" s="476" t="s">
        <v>1188</v>
      </c>
      <c r="CG617" s="476" t="s">
        <v>1187</v>
      </c>
      <c r="CH617" s="476" t="s">
        <v>1188</v>
      </c>
      <c r="CI617" s="476" t="s">
        <v>1188</v>
      </c>
      <c r="CJ617" s="476" t="s">
        <v>1188</v>
      </c>
      <c r="CK617" s="476" t="s">
        <v>1188</v>
      </c>
      <c r="CL617" s="476" t="s">
        <v>1188</v>
      </c>
      <c r="CM617" s="476" t="str">
        <f>IF(VLOOKUP(BS617,'Données par municipalité'!$B$6:$E$1113,4,FALSE)="","non","oui")</f>
        <v>oui</v>
      </c>
      <c r="CN617" s="410">
        <v>708</v>
      </c>
      <c r="CO617" s="410">
        <v>646.94632706078596</v>
      </c>
      <c r="CP617" s="410"/>
      <c r="CQ617" s="410">
        <v>528</v>
      </c>
      <c r="CR617" s="410">
        <v>562</v>
      </c>
      <c r="CS617" s="410">
        <v>613</v>
      </c>
      <c r="CT617" s="410">
        <v>529.1975959385378</v>
      </c>
      <c r="CU617" s="410">
        <v>611</v>
      </c>
      <c r="CV617" s="410">
        <f>IF(VLOOKUP(BS617,'Données par municipalité'!$B$6:$F$1113,4,FALSE)="","",VLOOKUP(BS617,'Données par municipalité'!$B$6:$F$1113,4,FALSE))</f>
        <v>581</v>
      </c>
      <c r="CW617" s="476" t="s">
        <v>4723</v>
      </c>
      <c r="CX617" s="483">
        <v>0</v>
      </c>
      <c r="CY617" s="483" t="s">
        <v>1124</v>
      </c>
      <c r="CZ617" s="483">
        <v>0</v>
      </c>
      <c r="DA617" s="483">
        <v>0</v>
      </c>
      <c r="DB617" s="483">
        <v>1</v>
      </c>
      <c r="DC617" s="483">
        <v>1</v>
      </c>
      <c r="DD617" s="483" t="s">
        <v>1124</v>
      </c>
      <c r="DE617" s="483" t="str">
        <f>IFERROR(SUM(VLOOKUP($BS617,'État &amp; Plan d''action'!$B$6:$Z$1113,18,FALSE),VLOOKUP($BS617,'État &amp; Plan d''action'!$B$6:$Z$1113,20,FALSE))/(VLOOKUP($BS617,'Données par municipalité'!$B$4:$L$1113,11,FALSE)),"")</f>
        <v/>
      </c>
      <c r="DF617" s="483" t="str">
        <f>IFERROR(SUM(VLOOKUP($BS617,'État &amp; Plan d''action'!$B$6:$Z$1113,19,FALSE),VLOOKUP($BS617,'État &amp; Plan d''action'!$B$6:$Z$1113,21,FALSE))/(VLOOKUP($BS617,'Données par municipalité'!$B$4:$L$1113,11,FALSE)),"")</f>
        <v/>
      </c>
      <c r="DG617" s="476" t="s">
        <v>4723</v>
      </c>
      <c r="DH617" s="484">
        <v>6</v>
      </c>
      <c r="DI617" s="484" t="s">
        <v>1124</v>
      </c>
      <c r="DJ617" s="484">
        <v>9</v>
      </c>
      <c r="DK617" s="484">
        <v>1</v>
      </c>
      <c r="DL617" s="484">
        <v>2</v>
      </c>
      <c r="DM617" s="484">
        <v>3</v>
      </c>
      <c r="DN617" s="484">
        <v>0</v>
      </c>
      <c r="DO617" s="484">
        <v>0</v>
      </c>
      <c r="DP617" s="484">
        <v>0</v>
      </c>
      <c r="DQ617" s="484">
        <f>IF(VLOOKUP($BS617,'État &amp; Plan d''action'!$B$6:$AJ$1113,28,FALSE)="","",VLOOKUP($BS617,'État &amp; Plan d''action'!$B$6:$AJ$1113,28,FALSE))</f>
        <v>0</v>
      </c>
      <c r="DR617" s="70">
        <f>IF(VLOOKUP($BS617,'État &amp; Plan d''action'!$B$6:$AJ$1113,29,FALSE)="","",VLOOKUP($BS617,'État &amp; Plan d''action'!$B$6:$AJ$1113,29,FALSE))</f>
        <v>0</v>
      </c>
      <c r="DS617" s="70">
        <f>IF(VLOOKUP($BS617,'État &amp; Plan d''action'!$B$6:$AJ$1113,30,FALSE)="","",VLOOKUP($BS617,'État &amp; Plan d''action'!$B$6:$AJ$1113,30,FALSE))</f>
        <v>0</v>
      </c>
      <c r="DT617" s="70">
        <v>228</v>
      </c>
      <c r="DU617" s="485" t="s">
        <v>1124</v>
      </c>
      <c r="DV617" s="485">
        <v>1.1000000000000001</v>
      </c>
      <c r="DW617" s="70">
        <v>0</v>
      </c>
      <c r="DX617" s="70">
        <v>0</v>
      </c>
      <c r="DY617" s="70">
        <v>0</v>
      </c>
      <c r="DZ617" s="70">
        <f>VLOOKUP($BS617,'État &amp; Plan d''action'!$B$6:$AH$1113,31,FALSE)</f>
        <v>0</v>
      </c>
      <c r="EA617" s="70">
        <f>VLOOKUP($BS617,'État &amp; Plan d''action'!$B$6:$AH$1113,32,FALSE)</f>
        <v>0</v>
      </c>
      <c r="EB617" s="70">
        <f>VLOOKUP($BS617,'État &amp; Plan d''action'!$B$6:$AH$1113,33,FALSE)</f>
        <v>0</v>
      </c>
      <c r="EC617" s="70">
        <v>0</v>
      </c>
      <c r="ED617" s="70">
        <v>0</v>
      </c>
      <c r="EE617" s="70">
        <v>0</v>
      </c>
      <c r="EF617" s="70">
        <v>0</v>
      </c>
      <c r="EG617" s="70">
        <v>0</v>
      </c>
      <c r="EH617" s="72">
        <v>67</v>
      </c>
      <c r="EI617" s="72">
        <v>1766</v>
      </c>
    </row>
    <row r="618" spans="71:139" x14ac:dyDescent="0.35">
      <c r="BS618" s="486">
        <v>39060</v>
      </c>
      <c r="BT618" s="479" t="s">
        <v>345</v>
      </c>
      <c r="BU618" s="479">
        <v>17</v>
      </c>
      <c r="BV618" s="476" t="s">
        <v>1187</v>
      </c>
      <c r="BW618" s="476" t="s">
        <v>1187</v>
      </c>
      <c r="BX618" s="476" t="s">
        <v>1187</v>
      </c>
      <c r="BY618" s="476" t="s">
        <v>1187</v>
      </c>
      <c r="BZ618" s="476" t="s">
        <v>1187</v>
      </c>
      <c r="CA618" s="476" t="s">
        <v>1187</v>
      </c>
      <c r="CB618" s="476" t="s">
        <v>1187</v>
      </c>
      <c r="CC618" s="476" t="s">
        <v>1187</v>
      </c>
      <c r="CD618" s="476" t="s">
        <v>1187</v>
      </c>
      <c r="CE618" s="476" t="s">
        <v>1188</v>
      </c>
      <c r="CF618" s="476" t="s">
        <v>1188</v>
      </c>
      <c r="CG618" s="476" t="s">
        <v>1188</v>
      </c>
      <c r="CH618" s="476" t="s">
        <v>1188</v>
      </c>
      <c r="CI618" s="476" t="s">
        <v>1188</v>
      </c>
      <c r="CJ618" s="476" t="s">
        <v>1188</v>
      </c>
      <c r="CK618" s="476" t="s">
        <v>1188</v>
      </c>
      <c r="CL618" s="476" t="s">
        <v>1188</v>
      </c>
      <c r="CM618" s="476" t="str">
        <f>IF(VLOOKUP(BS618,'Données par municipalité'!$B$6:$E$1113,4,FALSE)="","non","oui")</f>
        <v>oui</v>
      </c>
      <c r="CN618" s="410">
        <v>265.04283087485527</v>
      </c>
      <c r="CO618" s="410">
        <v>297.84665428076283</v>
      </c>
      <c r="CP618" s="410">
        <v>233.59804486394506</v>
      </c>
      <c r="CQ618" s="410">
        <v>253.97539680255312</v>
      </c>
      <c r="CR618" s="410">
        <v>231.28117216946882</v>
      </c>
      <c r="CS618" s="410">
        <v>196.73659090845956</v>
      </c>
      <c r="CT618" s="410">
        <v>526.99783757102784</v>
      </c>
      <c r="CU618" s="410">
        <v>552</v>
      </c>
      <c r="CV618" s="410">
        <f>IF(VLOOKUP(BS618,'Données par municipalité'!$B$6:$F$1113,4,FALSE)="","",VLOOKUP(BS618,'Données par municipalité'!$B$6:$F$1113,4,FALSE))</f>
        <v>580</v>
      </c>
      <c r="CW618" s="476" t="s">
        <v>4723</v>
      </c>
      <c r="CX618" s="483">
        <v>0.1</v>
      </c>
      <c r="CY618" s="483">
        <v>0</v>
      </c>
      <c r="CZ618" s="483">
        <v>0</v>
      </c>
      <c r="DA618" s="483">
        <v>0</v>
      </c>
      <c r="DB618" s="483">
        <v>0</v>
      </c>
      <c r="DC618" s="483">
        <v>0</v>
      </c>
      <c r="DD618" s="483" t="s">
        <v>1124</v>
      </c>
      <c r="DE618" s="483" t="str">
        <f>IFERROR(SUM(VLOOKUP($BS618,'État &amp; Plan d''action'!$B$6:$Z$1113,18,FALSE),VLOOKUP($BS618,'État &amp; Plan d''action'!$B$6:$Z$1113,20,FALSE))/(VLOOKUP($BS618,'Données par municipalité'!$B$4:$L$1113,11,FALSE)),"")</f>
        <v/>
      </c>
      <c r="DF618" s="483" t="str">
        <f>IFERROR(SUM(VLOOKUP($BS618,'État &amp; Plan d''action'!$B$6:$Z$1113,19,FALSE),VLOOKUP($BS618,'État &amp; Plan d''action'!$B$6:$Z$1113,21,FALSE))/(VLOOKUP($BS618,'Données par municipalité'!$B$4:$L$1113,11,FALSE)),"")</f>
        <v/>
      </c>
      <c r="DG618" s="476" t="s">
        <v>4723</v>
      </c>
      <c r="DH618" s="484">
        <v>1</v>
      </c>
      <c r="DI618" s="484">
        <v>0</v>
      </c>
      <c r="DJ618" s="484">
        <v>0</v>
      </c>
      <c r="DK618" s="484">
        <v>0</v>
      </c>
      <c r="DL618" s="484">
        <v>0</v>
      </c>
      <c r="DM618" s="484">
        <v>0</v>
      </c>
      <c r="DN618" s="484">
        <v>0</v>
      </c>
      <c r="DO618" s="484">
        <v>0</v>
      </c>
      <c r="DP618" s="484">
        <v>0</v>
      </c>
      <c r="DQ618" s="484">
        <f>IF(VLOOKUP($BS618,'État &amp; Plan d''action'!$B$6:$AJ$1113,28,FALSE)="","",VLOOKUP($BS618,'État &amp; Plan d''action'!$B$6:$AJ$1113,28,FALSE))</f>
        <v>0</v>
      </c>
      <c r="DR618" s="70">
        <f>IF(VLOOKUP($BS618,'État &amp; Plan d''action'!$B$6:$AJ$1113,29,FALSE)="","",VLOOKUP($BS618,'État &amp; Plan d''action'!$B$6:$AJ$1113,29,FALSE))</f>
        <v>0</v>
      </c>
      <c r="DS618" s="70">
        <f>IF(VLOOKUP($BS618,'État &amp; Plan d''action'!$B$6:$AJ$1113,30,FALSE)="","",VLOOKUP($BS618,'État &amp; Plan d''action'!$B$6:$AJ$1113,30,FALSE))</f>
        <v>0</v>
      </c>
      <c r="DT618" s="70">
        <v>327</v>
      </c>
      <c r="DU618" s="485" t="s">
        <v>1124</v>
      </c>
      <c r="DV618" s="485">
        <v>12.7</v>
      </c>
      <c r="DW618" s="70">
        <v>0</v>
      </c>
      <c r="DX618" s="70">
        <v>0</v>
      </c>
      <c r="DY618" s="70">
        <v>0</v>
      </c>
      <c r="DZ618" s="70">
        <f>VLOOKUP($BS618,'État &amp; Plan d''action'!$B$6:$AH$1113,31,FALSE)</f>
        <v>0</v>
      </c>
      <c r="EA618" s="70">
        <f>VLOOKUP($BS618,'État &amp; Plan d''action'!$B$6:$AH$1113,32,FALSE)</f>
        <v>0</v>
      </c>
      <c r="EB618" s="70">
        <f>VLOOKUP($BS618,'État &amp; Plan d''action'!$B$6:$AH$1113,33,FALSE)</f>
        <v>0</v>
      </c>
      <c r="EC618" s="70">
        <v>0</v>
      </c>
      <c r="ED618" s="70">
        <v>0</v>
      </c>
      <c r="EE618" s="70">
        <v>0</v>
      </c>
      <c r="EF618" s="70">
        <v>0</v>
      </c>
      <c r="EG618" s="70">
        <v>0</v>
      </c>
      <c r="EH618" s="72">
        <v>64</v>
      </c>
      <c r="EI618" s="72">
        <v>3078</v>
      </c>
    </row>
    <row r="619" spans="71:139" x14ac:dyDescent="0.35">
      <c r="BS619" s="486">
        <v>69017</v>
      </c>
      <c r="BT619" s="479" t="s">
        <v>686</v>
      </c>
      <c r="BU619" s="479">
        <v>16</v>
      </c>
      <c r="BV619" s="476" t="s">
        <v>1187</v>
      </c>
      <c r="BW619" s="476" t="s">
        <v>1187</v>
      </c>
      <c r="BX619" s="476" t="s">
        <v>1187</v>
      </c>
      <c r="BY619" s="476" t="s">
        <v>1187</v>
      </c>
      <c r="BZ619" s="476" t="s">
        <v>1187</v>
      </c>
      <c r="CA619" s="476" t="s">
        <v>1187</v>
      </c>
      <c r="CB619" s="476" t="s">
        <v>1187</v>
      </c>
      <c r="CC619" s="476" t="s">
        <v>1187</v>
      </c>
      <c r="CD619" s="476" t="s">
        <v>1187</v>
      </c>
      <c r="CE619" s="476" t="s">
        <v>1188</v>
      </c>
      <c r="CF619" s="476" t="s">
        <v>1188</v>
      </c>
      <c r="CG619" s="476" t="s">
        <v>1187</v>
      </c>
      <c r="CH619" s="476" t="s">
        <v>1187</v>
      </c>
      <c r="CI619" s="476" t="s">
        <v>1188</v>
      </c>
      <c r="CJ619" s="476" t="s">
        <v>1187</v>
      </c>
      <c r="CK619" s="476" t="s">
        <v>1188</v>
      </c>
      <c r="CL619" s="476" t="s">
        <v>1188</v>
      </c>
      <c r="CM619" s="476" t="str">
        <f>IF(VLOOKUP(BS619,'Données par municipalité'!$B$6:$E$1113,4,FALSE)="","non","oui")</f>
        <v>oui</v>
      </c>
      <c r="CN619" s="410">
        <v>373.1644711415496</v>
      </c>
      <c r="CO619" s="410">
        <v>343.451794405839</v>
      </c>
      <c r="CP619" s="410"/>
      <c r="CQ619" s="410"/>
      <c r="CR619" s="410">
        <v>675.82320406457006</v>
      </c>
      <c r="CS619" s="410" t="s">
        <v>1124</v>
      </c>
      <c r="CT619" s="410">
        <v>339.35745191112187</v>
      </c>
      <c r="CU619" s="410">
        <v>372</v>
      </c>
      <c r="CV619" s="410">
        <f>IF(VLOOKUP(BS619,'Données par municipalité'!$B$6:$F$1113,4,FALSE)="","",VLOOKUP(BS619,'Données par municipalité'!$B$6:$F$1113,4,FALSE))</f>
        <v>353</v>
      </c>
      <c r="CW619" s="476" t="s">
        <v>4723</v>
      </c>
      <c r="CX619" s="483">
        <v>0</v>
      </c>
      <c r="CY619" s="483" t="s">
        <v>1124</v>
      </c>
      <c r="CZ619" s="483" t="s">
        <v>1124</v>
      </c>
      <c r="DA619" s="483">
        <v>0</v>
      </c>
      <c r="DB619" s="483" t="s">
        <v>1124</v>
      </c>
      <c r="DC619" s="483">
        <v>0</v>
      </c>
      <c r="DD619" s="483">
        <v>0</v>
      </c>
      <c r="DE619" s="483">
        <f>IFERROR(SUM(VLOOKUP($BS619,'État &amp; Plan d''action'!$B$6:$Z$1113,18,FALSE),VLOOKUP($BS619,'État &amp; Plan d''action'!$B$6:$Z$1113,20,FALSE))/(VLOOKUP($BS619,'Données par municipalité'!$B$4:$L$1113,11,FALSE)),"")</f>
        <v>0</v>
      </c>
      <c r="DF619" s="483">
        <f>IFERROR(SUM(VLOOKUP($BS619,'État &amp; Plan d''action'!$B$6:$Z$1113,19,FALSE),VLOOKUP($BS619,'État &amp; Plan d''action'!$B$6:$Z$1113,21,FALSE))/(VLOOKUP($BS619,'Données par municipalité'!$B$4:$L$1113,11,FALSE)),"")</f>
        <v>0</v>
      </c>
      <c r="DG619" s="476" t="s">
        <v>4723</v>
      </c>
      <c r="DH619" s="484">
        <v>1</v>
      </c>
      <c r="DI619" s="484">
        <v>4</v>
      </c>
      <c r="DJ619" s="484">
        <v>0</v>
      </c>
      <c r="DK619" s="484">
        <v>0</v>
      </c>
      <c r="DL619" s="484" t="s">
        <v>1124</v>
      </c>
      <c r="DM619" s="484">
        <v>0</v>
      </c>
      <c r="DN619" s="484">
        <v>2</v>
      </c>
      <c r="DO619" s="484">
        <v>0</v>
      </c>
      <c r="DP619" s="484">
        <v>0</v>
      </c>
      <c r="DQ619" s="484">
        <f>IF(VLOOKUP($BS619,'État &amp; Plan d''action'!$B$6:$AJ$1113,28,FALSE)="","",VLOOKUP($BS619,'État &amp; Plan d''action'!$B$6:$AJ$1113,28,FALSE))</f>
        <v>1</v>
      </c>
      <c r="DR619" s="70">
        <f>IF(VLOOKUP($BS619,'État &amp; Plan d''action'!$B$6:$AJ$1113,29,FALSE)="","",VLOOKUP($BS619,'État &amp; Plan d''action'!$B$6:$AJ$1113,29,FALSE))</f>
        <v>3</v>
      </c>
      <c r="DS619" s="70">
        <f>IF(VLOOKUP($BS619,'État &amp; Plan d''action'!$B$6:$AJ$1113,30,FALSE)="","",VLOOKUP($BS619,'État &amp; Plan d''action'!$B$6:$AJ$1113,30,FALSE))</f>
        <v>0</v>
      </c>
      <c r="DT619" s="70">
        <v>299</v>
      </c>
      <c r="DU619" s="485">
        <v>1.233711061820808</v>
      </c>
      <c r="DV619" s="485">
        <v>2.3026465796219817</v>
      </c>
      <c r="DW619" s="70">
        <v>1</v>
      </c>
      <c r="DX619" s="70">
        <v>0</v>
      </c>
      <c r="DY619" s="70">
        <v>0</v>
      </c>
      <c r="DZ619" s="70">
        <f>VLOOKUP($BS619,'État &amp; Plan d''action'!$B$6:$AH$1113,31,FALSE)</f>
        <v>1</v>
      </c>
      <c r="EA619" s="70">
        <f>VLOOKUP($BS619,'État &amp; Plan d''action'!$B$6:$AH$1113,32,FALSE)</f>
        <v>1</v>
      </c>
      <c r="EB619" s="70">
        <f>VLOOKUP($BS619,'État &amp; Plan d''action'!$B$6:$AH$1113,33,FALSE)</f>
        <v>0</v>
      </c>
      <c r="EC619" s="70">
        <v>0</v>
      </c>
      <c r="ED619" s="70">
        <v>0</v>
      </c>
      <c r="EE619" s="70">
        <v>0</v>
      </c>
      <c r="EF619" s="70">
        <v>0</v>
      </c>
      <c r="EG619" s="70">
        <v>0</v>
      </c>
      <c r="EH619" s="72">
        <v>59</v>
      </c>
      <c r="EI619" s="72">
        <v>2704</v>
      </c>
    </row>
    <row r="620" spans="71:139" x14ac:dyDescent="0.35">
      <c r="BS620" s="486">
        <v>42100</v>
      </c>
      <c r="BT620" s="479" t="s">
        <v>395</v>
      </c>
      <c r="BU620" s="479">
        <v>5</v>
      </c>
      <c r="BV620" s="476" t="s">
        <v>1188</v>
      </c>
      <c r="BW620" s="476" t="s">
        <v>1188</v>
      </c>
      <c r="BX620" s="476" t="s">
        <v>1188</v>
      </c>
      <c r="BY620" s="476" t="s">
        <v>1188</v>
      </c>
      <c r="BZ620" s="476" t="s">
        <v>1188</v>
      </c>
      <c r="CA620" s="476" t="s">
        <v>1188</v>
      </c>
      <c r="CB620" s="476" t="s">
        <v>1188</v>
      </c>
      <c r="CC620" s="476" t="s">
        <v>1188</v>
      </c>
      <c r="CD620" s="476" t="s">
        <v>1188</v>
      </c>
      <c r="CE620" s="476" t="s">
        <v>1187</v>
      </c>
      <c r="CF620" s="476" t="s">
        <v>1187</v>
      </c>
      <c r="CG620" s="476" t="s">
        <v>1187</v>
      </c>
      <c r="CH620" s="476" t="s">
        <v>1187</v>
      </c>
      <c r="CI620" s="476" t="s">
        <v>1187</v>
      </c>
      <c r="CJ620" s="476" t="s">
        <v>1187</v>
      </c>
      <c r="CK620" s="476" t="s">
        <v>1187</v>
      </c>
      <c r="CL620" s="476" t="s">
        <v>1187</v>
      </c>
      <c r="CM620" s="476" t="str">
        <f>IF(VLOOKUP(BS620,'Données par municipalité'!$B$6:$E$1113,4,FALSE)="","non","oui")</f>
        <v>non</v>
      </c>
      <c r="CN620" s="410" t="s">
        <v>1124</v>
      </c>
      <c r="CO620" s="410" t="s">
        <v>1124</v>
      </c>
      <c r="CP620" s="410"/>
      <c r="CQ620" s="410"/>
      <c r="CR620" s="410"/>
      <c r="CS620" s="410" t="s">
        <v>1124</v>
      </c>
      <c r="CT620" s="410"/>
      <c r="CU620" s="410" t="s">
        <v>1124</v>
      </c>
      <c r="CV620" s="410" t="str">
        <f>IF(VLOOKUP(BS620,'Données par municipalité'!$B$6:$F$1113,4,FALSE)="","",VLOOKUP(BS620,'Données par municipalité'!$B$6:$F$1113,4,FALSE))</f>
        <v/>
      </c>
      <c r="CW620" s="476" t="s">
        <v>4723</v>
      </c>
      <c r="CX620" s="483" t="s">
        <v>1124</v>
      </c>
      <c r="CY620" s="483" t="s">
        <v>1124</v>
      </c>
      <c r="CZ620" s="483" t="s">
        <v>1124</v>
      </c>
      <c r="DA620" s="483" t="s">
        <v>1124</v>
      </c>
      <c r="DB620" s="483" t="s">
        <v>1124</v>
      </c>
      <c r="DC620" s="483" t="s">
        <v>1124</v>
      </c>
      <c r="DD620" s="483" t="s">
        <v>1124</v>
      </c>
      <c r="DE620" s="483" t="str">
        <f>IFERROR(SUM(VLOOKUP($BS620,'État &amp; Plan d''action'!$B$6:$Z$1113,18,FALSE),VLOOKUP($BS620,'État &amp; Plan d''action'!$B$6:$Z$1113,20,FALSE))/(VLOOKUP($BS620,'Données par municipalité'!$B$4:$L$1113,11,FALSE)),"")</f>
        <v/>
      </c>
      <c r="DF620" s="483" t="str">
        <f>IFERROR(SUM(VLOOKUP($BS620,'État &amp; Plan d''action'!$B$6:$Z$1113,19,FALSE),VLOOKUP($BS620,'État &amp; Plan d''action'!$B$6:$Z$1113,21,FALSE))/(VLOOKUP($BS620,'Données par municipalité'!$B$4:$L$1113,11,FALSE)),"")</f>
        <v/>
      </c>
      <c r="DG620" s="476" t="s">
        <v>4723</v>
      </c>
      <c r="DH620" s="484" t="s">
        <v>1124</v>
      </c>
      <c r="DI620" s="484" t="s">
        <v>1124</v>
      </c>
      <c r="DJ620" s="484">
        <v>0</v>
      </c>
      <c r="DK620" s="484">
        <v>0</v>
      </c>
      <c r="DL620" s="484" t="s">
        <v>1124</v>
      </c>
      <c r="DM620" s="484" t="s">
        <v>1124</v>
      </c>
      <c r="DN620" s="484" t="s">
        <v>1124</v>
      </c>
      <c r="DO620" s="484" t="s">
        <v>1124</v>
      </c>
      <c r="DP620" s="484" t="s">
        <v>1124</v>
      </c>
      <c r="DQ620" s="484" t="str">
        <f>IF(VLOOKUP($BS620,'État &amp; Plan d''action'!$B$6:$AJ$1113,28,FALSE)="","",VLOOKUP($BS620,'État &amp; Plan d''action'!$B$6:$AJ$1113,28,FALSE))</f>
        <v/>
      </c>
      <c r="DR620" s="70" t="str">
        <f>IF(VLOOKUP($BS620,'État &amp; Plan d''action'!$B$6:$AJ$1113,29,FALSE)="","",VLOOKUP($BS620,'État &amp; Plan d''action'!$B$6:$AJ$1113,29,FALSE))</f>
        <v/>
      </c>
      <c r="DS620" s="70" t="str">
        <f>IF(VLOOKUP($BS620,'État &amp; Plan d''action'!$B$6:$AJ$1113,30,FALSE)="","",VLOOKUP($BS620,'État &amp; Plan d''action'!$B$6:$AJ$1113,30,FALSE))</f>
        <v/>
      </c>
      <c r="DT620" s="70" t="s">
        <v>1124</v>
      </c>
      <c r="DU620" s="485" t="s">
        <v>1124</v>
      </c>
      <c r="DV620" s="485" t="s">
        <v>1124</v>
      </c>
      <c r="DW620" s="70" t="s">
        <v>1124</v>
      </c>
      <c r="DX620" s="70" t="s">
        <v>1124</v>
      </c>
      <c r="DY620" s="70" t="s">
        <v>1124</v>
      </c>
      <c r="DZ620" s="70" t="str">
        <f>VLOOKUP($BS620,'État &amp; Plan d''action'!$B$6:$AH$1113,31,FALSE)</f>
        <v/>
      </c>
      <c r="EA620" s="70" t="str">
        <f>VLOOKUP($BS620,'État &amp; Plan d''action'!$B$6:$AH$1113,32,FALSE)</f>
        <v/>
      </c>
      <c r="EB620" s="70" t="str">
        <f>VLOOKUP($BS620,'État &amp; Plan d''action'!$B$6:$AH$1113,33,FALSE)</f>
        <v/>
      </c>
      <c r="EC620" s="70" t="s">
        <v>1124</v>
      </c>
      <c r="ED620" s="70" t="s">
        <v>1124</v>
      </c>
      <c r="EE620" s="70" t="s">
        <v>1124</v>
      </c>
      <c r="EF620" s="70" t="s">
        <v>1124</v>
      </c>
      <c r="EG620" s="70" t="s">
        <v>1124</v>
      </c>
      <c r="EH620" s="72"/>
      <c r="EI620" s="72">
        <v>1191</v>
      </c>
    </row>
    <row r="621" spans="71:139" x14ac:dyDescent="0.35">
      <c r="BS621" s="486">
        <v>11005</v>
      </c>
      <c r="BT621" s="479" t="s">
        <v>17</v>
      </c>
      <c r="BU621" s="479">
        <v>1</v>
      </c>
      <c r="BV621" s="476" t="s">
        <v>1187</v>
      </c>
      <c r="BW621" s="476" t="s">
        <v>1187</v>
      </c>
      <c r="BX621" s="476" t="s">
        <v>1187</v>
      </c>
      <c r="BY621" s="476" t="s">
        <v>1187</v>
      </c>
      <c r="BZ621" s="476" t="s">
        <v>1187</v>
      </c>
      <c r="CA621" s="476" t="s">
        <v>1187</v>
      </c>
      <c r="CB621" s="476" t="s">
        <v>1187</v>
      </c>
      <c r="CC621" s="476" t="s">
        <v>1187</v>
      </c>
      <c r="CD621" s="476" t="s">
        <v>1187</v>
      </c>
      <c r="CE621" s="476" t="s">
        <v>1187</v>
      </c>
      <c r="CF621" s="476" t="s">
        <v>1187</v>
      </c>
      <c r="CG621" s="476" t="s">
        <v>1187</v>
      </c>
      <c r="CH621" s="476" t="s">
        <v>1187</v>
      </c>
      <c r="CI621" s="476" t="s">
        <v>1188</v>
      </c>
      <c r="CJ621" s="476" t="s">
        <v>1187</v>
      </c>
      <c r="CK621" s="476" t="s">
        <v>1188</v>
      </c>
      <c r="CL621" s="476" t="s">
        <v>1188</v>
      </c>
      <c r="CM621" s="476" t="str">
        <f>IF(VLOOKUP(BS621,'Données par municipalité'!$B$6:$E$1113,4,FALSE)="","non","oui")</f>
        <v>oui</v>
      </c>
      <c r="CN621" s="410" t="s">
        <v>1124</v>
      </c>
      <c r="CO621" s="410" t="s">
        <v>1124</v>
      </c>
      <c r="CP621" s="410"/>
      <c r="CQ621" s="410"/>
      <c r="CR621" s="410">
        <v>264.51319062467155</v>
      </c>
      <c r="CS621" s="410" t="s">
        <v>1124</v>
      </c>
      <c r="CT621" s="410">
        <v>228.35033683635419</v>
      </c>
      <c r="CU621" s="410">
        <v>217</v>
      </c>
      <c r="CV621" s="410">
        <f>IF(VLOOKUP(BS621,'Données par municipalité'!$B$6:$F$1113,4,FALSE)="","",VLOOKUP(BS621,'Données par municipalité'!$B$6:$F$1113,4,FALSE))</f>
        <v>324</v>
      </c>
      <c r="CW621" s="476" t="s">
        <v>4723</v>
      </c>
      <c r="CX621" s="483" t="s">
        <v>1124</v>
      </c>
      <c r="CY621" s="483" t="s">
        <v>1124</v>
      </c>
      <c r="CZ621" s="483" t="s">
        <v>1124</v>
      </c>
      <c r="DA621" s="483">
        <v>0</v>
      </c>
      <c r="DB621" s="483" t="s">
        <v>1124</v>
      </c>
      <c r="DC621" s="483">
        <v>0</v>
      </c>
      <c r="DD621" s="483">
        <v>0</v>
      </c>
      <c r="DE621" s="483">
        <f>IFERROR(SUM(VLOOKUP($BS621,'État &amp; Plan d''action'!$B$6:$Z$1113,18,FALSE),VLOOKUP($BS621,'État &amp; Plan d''action'!$B$6:$Z$1113,20,FALSE))/(VLOOKUP($BS621,'Données par municipalité'!$B$4:$L$1113,11,FALSE)),"")</f>
        <v>0</v>
      </c>
      <c r="DF621" s="483">
        <f>IFERROR(SUM(VLOOKUP($BS621,'État &amp; Plan d''action'!$B$6:$Z$1113,19,FALSE),VLOOKUP($BS621,'État &amp; Plan d''action'!$B$6:$Z$1113,21,FALSE))/(VLOOKUP($BS621,'Données par municipalité'!$B$4:$L$1113,11,FALSE)),"")</f>
        <v>0</v>
      </c>
      <c r="DG621" s="476" t="s">
        <v>4723</v>
      </c>
      <c r="DH621" s="484" t="s">
        <v>1124</v>
      </c>
      <c r="DI621" s="484" t="s">
        <v>1124</v>
      </c>
      <c r="DJ621" s="484">
        <v>0</v>
      </c>
      <c r="DK621" s="484">
        <v>0</v>
      </c>
      <c r="DL621" s="484" t="s">
        <v>1124</v>
      </c>
      <c r="DM621" s="484">
        <v>0</v>
      </c>
      <c r="DN621" s="484">
        <v>0</v>
      </c>
      <c r="DO621" s="484">
        <v>0</v>
      </c>
      <c r="DP621" s="484">
        <v>0</v>
      </c>
      <c r="DQ621" s="484">
        <f>IF(VLOOKUP($BS621,'État &amp; Plan d''action'!$B$6:$AJ$1113,28,FALSE)="","",VLOOKUP($BS621,'État &amp; Plan d''action'!$B$6:$AJ$1113,28,FALSE))</f>
        <v>0</v>
      </c>
      <c r="DR621" s="70">
        <f>IF(VLOOKUP($BS621,'État &amp; Plan d''action'!$B$6:$AJ$1113,29,FALSE)="","",VLOOKUP($BS621,'État &amp; Plan d''action'!$B$6:$AJ$1113,29,FALSE))</f>
        <v>0</v>
      </c>
      <c r="DS621" s="70">
        <f>IF(VLOOKUP($BS621,'État &amp; Plan d''action'!$B$6:$AJ$1113,30,FALSE)="","",VLOOKUP($BS621,'État &amp; Plan d''action'!$B$6:$AJ$1113,30,FALSE))</f>
        <v>0</v>
      </c>
      <c r="DT621" s="70">
        <v>162</v>
      </c>
      <c r="DU621" s="485">
        <v>1.4994769824285288</v>
      </c>
      <c r="DV621" s="485">
        <v>1.610909328832659</v>
      </c>
      <c r="DW621" s="70">
        <v>0</v>
      </c>
      <c r="DX621" s="70">
        <v>0</v>
      </c>
      <c r="DY621" s="70">
        <v>0</v>
      </c>
      <c r="DZ621" s="70">
        <f>VLOOKUP($BS621,'État &amp; Plan d''action'!$B$6:$AH$1113,31,FALSE)</f>
        <v>0</v>
      </c>
      <c r="EA621" s="70">
        <f>VLOOKUP($BS621,'État &amp; Plan d''action'!$B$6:$AH$1113,32,FALSE)</f>
        <v>0</v>
      </c>
      <c r="EB621" s="70">
        <f>VLOOKUP($BS621,'État &amp; Plan d''action'!$B$6:$AH$1113,33,FALSE)</f>
        <v>0</v>
      </c>
      <c r="EC621" s="70">
        <v>0</v>
      </c>
      <c r="ED621" s="70">
        <v>0</v>
      </c>
      <c r="EE621" s="70">
        <v>0</v>
      </c>
      <c r="EF621" s="70">
        <v>0</v>
      </c>
      <c r="EG621" s="70">
        <v>0</v>
      </c>
      <c r="EH621" s="72">
        <v>59</v>
      </c>
      <c r="EI621" s="72">
        <v>468</v>
      </c>
    </row>
    <row r="622" spans="71:139" x14ac:dyDescent="0.35">
      <c r="BS622" s="486">
        <v>7090</v>
      </c>
      <c r="BT622" s="479" t="s">
        <v>1082</v>
      </c>
      <c r="BU622" s="479">
        <v>1</v>
      </c>
      <c r="BV622" s="476" t="s">
        <v>1187</v>
      </c>
      <c r="BW622" s="476" t="s">
        <v>1187</v>
      </c>
      <c r="BX622" s="476" t="s">
        <v>1187</v>
      </c>
      <c r="BY622" s="476" t="s">
        <v>1188</v>
      </c>
      <c r="BZ622" s="476" t="s">
        <v>1188</v>
      </c>
      <c r="CA622" s="476" t="s">
        <v>1188</v>
      </c>
      <c r="CB622" s="476" t="s">
        <v>1187</v>
      </c>
      <c r="CC622" s="476" t="s">
        <v>1187</v>
      </c>
      <c r="CD622" s="476" t="s">
        <v>1187</v>
      </c>
      <c r="CE622" s="476" t="s">
        <v>1188</v>
      </c>
      <c r="CF622" s="476" t="s">
        <v>1188</v>
      </c>
      <c r="CG622" s="476" t="s">
        <v>1188</v>
      </c>
      <c r="CH622" s="476" t="s">
        <v>1188</v>
      </c>
      <c r="CI622" s="476" t="s">
        <v>1188</v>
      </c>
      <c r="CJ622" s="476" t="s">
        <v>1187</v>
      </c>
      <c r="CK622" s="476" t="s">
        <v>1187</v>
      </c>
      <c r="CL622" s="476" t="s">
        <v>1188</v>
      </c>
      <c r="CM622" s="476" t="str">
        <f>IF(VLOOKUP(BS622,'Données par municipalité'!$B$6:$E$1113,4,FALSE)="","non","oui")</f>
        <v>oui</v>
      </c>
      <c r="CN622" s="410">
        <v>739.87399011669436</v>
      </c>
      <c r="CO622" s="410">
        <v>810.73394286136761</v>
      </c>
      <c r="CP622" s="410">
        <v>830.68838922525856</v>
      </c>
      <c r="CQ622" s="410">
        <v>633.9924827043817</v>
      </c>
      <c r="CR622" s="410">
        <v>724.70216897135526</v>
      </c>
      <c r="CS622" s="410" t="s">
        <v>1124</v>
      </c>
      <c r="CT622" s="410"/>
      <c r="CU622" s="410">
        <v>486</v>
      </c>
      <c r="CV622" s="410">
        <f>IF(VLOOKUP(BS622,'Données par municipalité'!$B$6:$F$1113,4,FALSE)="","",VLOOKUP(BS622,'Données par municipalité'!$B$6:$F$1113,4,FALSE))</f>
        <v>479</v>
      </c>
      <c r="CW622" s="476" t="s">
        <v>4723</v>
      </c>
      <c r="CX622" s="483">
        <v>0</v>
      </c>
      <c r="CY622" s="483">
        <v>0.1</v>
      </c>
      <c r="CZ622" s="483">
        <v>0</v>
      </c>
      <c r="DA622" s="483">
        <v>0</v>
      </c>
      <c r="DB622" s="483" t="s">
        <v>1124</v>
      </c>
      <c r="DC622" s="483" t="s">
        <v>1124</v>
      </c>
      <c r="DD622" s="483" t="s">
        <v>1124</v>
      </c>
      <c r="DE622" s="483">
        <f>IFERROR(SUM(VLOOKUP($BS622,'État &amp; Plan d''action'!$B$6:$Z$1113,18,FALSE),VLOOKUP($BS622,'État &amp; Plan d''action'!$B$6:$Z$1113,20,FALSE))/(VLOOKUP($BS622,'Données par municipalité'!$B$4:$L$1113,11,FALSE)),"")</f>
        <v>1.6046213093709885</v>
      </c>
      <c r="DF622" s="483">
        <f>IFERROR(SUM(VLOOKUP($BS622,'État &amp; Plan d''action'!$B$6:$Z$1113,19,FALSE),VLOOKUP($BS622,'État &amp; Plan d''action'!$B$6:$Z$1113,21,FALSE))/(VLOOKUP($BS622,'Données par municipalité'!$B$4:$L$1113,11,FALSE)),"")</f>
        <v>1</v>
      </c>
      <c r="DG622" s="476" t="s">
        <v>4723</v>
      </c>
      <c r="DH622" s="484">
        <v>6</v>
      </c>
      <c r="DI622" s="484">
        <v>5</v>
      </c>
      <c r="DJ622" s="484">
        <v>3</v>
      </c>
      <c r="DK622" s="484">
        <v>6</v>
      </c>
      <c r="DL622" s="484" t="s">
        <v>1124</v>
      </c>
      <c r="DM622" s="484" t="s">
        <v>1124</v>
      </c>
      <c r="DN622" s="484">
        <v>0</v>
      </c>
      <c r="DO622" s="484">
        <v>0</v>
      </c>
      <c r="DP622" s="484">
        <v>0</v>
      </c>
      <c r="DQ622" s="484">
        <f>IF(VLOOKUP($BS622,'État &amp; Plan d''action'!$B$6:$AJ$1113,28,FALSE)="","",VLOOKUP($BS622,'État &amp; Plan d''action'!$B$6:$AJ$1113,28,FALSE))</f>
        <v>0</v>
      </c>
      <c r="DR622" s="70">
        <f>IF(VLOOKUP($BS622,'État &amp; Plan d''action'!$B$6:$AJ$1113,29,FALSE)="","",VLOOKUP($BS622,'État &amp; Plan d''action'!$B$6:$AJ$1113,29,FALSE))</f>
        <v>0</v>
      </c>
      <c r="DS622" s="70">
        <f>IF(VLOOKUP($BS622,'État &amp; Plan d''action'!$B$6:$AJ$1113,30,FALSE)="","",VLOOKUP($BS622,'État &amp; Plan d''action'!$B$6:$AJ$1113,30,FALSE))</f>
        <v>1</v>
      </c>
      <c r="DT622" s="70">
        <v>250</v>
      </c>
      <c r="DU622" s="485">
        <v>4.8682475802404035</v>
      </c>
      <c r="DV622" s="485">
        <v>7.4985776665806743</v>
      </c>
      <c r="DW622" s="70">
        <v>0</v>
      </c>
      <c r="DX622" s="70">
        <v>0</v>
      </c>
      <c r="DY622" s="70">
        <v>0</v>
      </c>
      <c r="DZ622" s="70">
        <f>VLOOKUP($BS622,'État &amp; Plan d''action'!$B$6:$AH$1113,31,FALSE)</f>
        <v>0</v>
      </c>
      <c r="EA622" s="70">
        <f>VLOOKUP($BS622,'État &amp; Plan d''action'!$B$6:$AH$1113,32,FALSE)</f>
        <v>0</v>
      </c>
      <c r="EB622" s="70">
        <f>VLOOKUP($BS622,'État &amp; Plan d''action'!$B$6:$AH$1113,33,FALSE)</f>
        <v>2</v>
      </c>
      <c r="EC622" s="70">
        <v>0</v>
      </c>
      <c r="ED622" s="70">
        <v>0</v>
      </c>
      <c r="EE622" s="70">
        <v>0</v>
      </c>
      <c r="EF622" s="70">
        <v>0</v>
      </c>
      <c r="EG622" s="70">
        <v>0</v>
      </c>
      <c r="EH622" s="72">
        <v>59</v>
      </c>
      <c r="EI622" s="72">
        <v>360</v>
      </c>
    </row>
    <row r="623" spans="71:139" x14ac:dyDescent="0.35">
      <c r="BS623" s="486">
        <v>52075</v>
      </c>
      <c r="BT623" s="479" t="s">
        <v>525</v>
      </c>
      <c r="BU623" s="479">
        <v>14</v>
      </c>
      <c r="BV623" s="476" t="s">
        <v>1188</v>
      </c>
      <c r="BW623" s="476" t="s">
        <v>1188</v>
      </c>
      <c r="BX623" s="476" t="s">
        <v>1188</v>
      </c>
      <c r="BY623" s="476" t="s">
        <v>1188</v>
      </c>
      <c r="BZ623" s="476" t="s">
        <v>1188</v>
      </c>
      <c r="CA623" s="476" t="s">
        <v>1188</v>
      </c>
      <c r="CB623" s="476" t="s">
        <v>1188</v>
      </c>
      <c r="CC623" s="476" t="s">
        <v>1188</v>
      </c>
      <c r="CD623" s="476" t="s">
        <v>1188</v>
      </c>
      <c r="CE623" s="476" t="s">
        <v>1187</v>
      </c>
      <c r="CF623" s="476" t="s">
        <v>1187</v>
      </c>
      <c r="CG623" s="476" t="s">
        <v>1187</v>
      </c>
      <c r="CH623" s="476" t="s">
        <v>1187</v>
      </c>
      <c r="CI623" s="476" t="s">
        <v>1187</v>
      </c>
      <c r="CJ623" s="476" t="s">
        <v>1187</v>
      </c>
      <c r="CK623" s="476" t="s">
        <v>1187</v>
      </c>
      <c r="CL623" s="476" t="s">
        <v>1187</v>
      </c>
      <c r="CM623" s="476" t="str">
        <f>IF(VLOOKUP(BS623,'Données par municipalité'!$B$6:$E$1113,4,FALSE)="","non","oui")</f>
        <v>non</v>
      </c>
      <c r="CN623" s="410" t="s">
        <v>1124</v>
      </c>
      <c r="CO623" s="410" t="s">
        <v>1124</v>
      </c>
      <c r="CP623" s="410"/>
      <c r="CQ623" s="410"/>
      <c r="CR623" s="410"/>
      <c r="CS623" s="410" t="s">
        <v>1124</v>
      </c>
      <c r="CT623" s="410"/>
      <c r="CU623" s="410" t="s">
        <v>1124</v>
      </c>
      <c r="CV623" s="410" t="str">
        <f>IF(VLOOKUP(BS623,'Données par municipalité'!$B$6:$F$1113,4,FALSE)="","",VLOOKUP(BS623,'Données par municipalité'!$B$6:$F$1113,4,FALSE))</f>
        <v/>
      </c>
      <c r="CW623" s="476" t="s">
        <v>4723</v>
      </c>
      <c r="CX623" s="483" t="s">
        <v>1124</v>
      </c>
      <c r="CY623" s="483" t="s">
        <v>1124</v>
      </c>
      <c r="CZ623" s="483" t="s">
        <v>1124</v>
      </c>
      <c r="DA623" s="483" t="s">
        <v>1124</v>
      </c>
      <c r="DB623" s="483" t="s">
        <v>1124</v>
      </c>
      <c r="DC623" s="483" t="s">
        <v>1124</v>
      </c>
      <c r="DD623" s="483" t="s">
        <v>1124</v>
      </c>
      <c r="DE623" s="483" t="str">
        <f>IFERROR(SUM(VLOOKUP($BS623,'État &amp; Plan d''action'!$B$6:$Z$1113,18,FALSE),VLOOKUP($BS623,'État &amp; Plan d''action'!$B$6:$Z$1113,20,FALSE))/(VLOOKUP($BS623,'Données par municipalité'!$B$4:$L$1113,11,FALSE)),"")</f>
        <v/>
      </c>
      <c r="DF623" s="483" t="str">
        <f>IFERROR(SUM(VLOOKUP($BS623,'État &amp; Plan d''action'!$B$6:$Z$1113,19,FALSE),VLOOKUP($BS623,'État &amp; Plan d''action'!$B$6:$Z$1113,21,FALSE))/(VLOOKUP($BS623,'Données par municipalité'!$B$4:$L$1113,11,FALSE)),"")</f>
        <v/>
      </c>
      <c r="DG623" s="476" t="s">
        <v>4723</v>
      </c>
      <c r="DH623" s="484" t="s">
        <v>1124</v>
      </c>
      <c r="DI623" s="484" t="s">
        <v>1124</v>
      </c>
      <c r="DJ623" s="484">
        <v>0</v>
      </c>
      <c r="DK623" s="484">
        <v>0</v>
      </c>
      <c r="DL623" s="484" t="s">
        <v>1124</v>
      </c>
      <c r="DM623" s="484" t="s">
        <v>1124</v>
      </c>
      <c r="DN623" s="484" t="s">
        <v>1124</v>
      </c>
      <c r="DO623" s="484" t="s">
        <v>1124</v>
      </c>
      <c r="DP623" s="484" t="s">
        <v>1124</v>
      </c>
      <c r="DQ623" s="484" t="str">
        <f>IF(VLOOKUP($BS623,'État &amp; Plan d''action'!$B$6:$AJ$1113,28,FALSE)="","",VLOOKUP($BS623,'État &amp; Plan d''action'!$B$6:$AJ$1113,28,FALSE))</f>
        <v/>
      </c>
      <c r="DR623" s="70" t="str">
        <f>IF(VLOOKUP($BS623,'État &amp; Plan d''action'!$B$6:$AJ$1113,29,FALSE)="","",VLOOKUP($BS623,'État &amp; Plan d''action'!$B$6:$AJ$1113,29,FALSE))</f>
        <v/>
      </c>
      <c r="DS623" s="70" t="str">
        <f>IF(VLOOKUP($BS623,'État &amp; Plan d''action'!$B$6:$AJ$1113,30,FALSE)="","",VLOOKUP($BS623,'État &amp; Plan d''action'!$B$6:$AJ$1113,30,FALSE))</f>
        <v/>
      </c>
      <c r="DT623" s="70" t="s">
        <v>1124</v>
      </c>
      <c r="DU623" s="485" t="s">
        <v>1124</v>
      </c>
      <c r="DV623" s="485" t="s">
        <v>1124</v>
      </c>
      <c r="DW623" s="70" t="s">
        <v>1124</v>
      </c>
      <c r="DX623" s="70" t="s">
        <v>1124</v>
      </c>
      <c r="DY623" s="70" t="s">
        <v>1124</v>
      </c>
      <c r="DZ623" s="70" t="str">
        <f>VLOOKUP($BS623,'État &amp; Plan d''action'!$B$6:$AH$1113,31,FALSE)</f>
        <v/>
      </c>
      <c r="EA623" s="70" t="str">
        <f>VLOOKUP($BS623,'État &amp; Plan d''action'!$B$6:$AH$1113,32,FALSE)</f>
        <v/>
      </c>
      <c r="EB623" s="70" t="str">
        <f>VLOOKUP($BS623,'État &amp; Plan d''action'!$B$6:$AH$1113,33,FALSE)</f>
        <v/>
      </c>
      <c r="EC623" s="70" t="s">
        <v>1124</v>
      </c>
      <c r="ED623" s="70" t="s">
        <v>1124</v>
      </c>
      <c r="EE623" s="70" t="s">
        <v>1124</v>
      </c>
      <c r="EF623" s="70" t="s">
        <v>1124</v>
      </c>
      <c r="EG623" s="70" t="s">
        <v>1124</v>
      </c>
      <c r="EH623" s="72"/>
      <c r="EI623" s="72">
        <v>225</v>
      </c>
    </row>
    <row r="624" spans="71:139" x14ac:dyDescent="0.35">
      <c r="BS624" s="486">
        <v>71045</v>
      </c>
      <c r="BT624" s="479" t="s">
        <v>710</v>
      </c>
      <c r="BU624" s="479">
        <v>16</v>
      </c>
      <c r="BV624" s="476" t="s">
        <v>1187</v>
      </c>
      <c r="BW624" s="476" t="s">
        <v>1187</v>
      </c>
      <c r="BX624" s="476" t="s">
        <v>1187</v>
      </c>
      <c r="BY624" s="476" t="s">
        <v>1187</v>
      </c>
      <c r="BZ624" s="476" t="s">
        <v>1187</v>
      </c>
      <c r="CA624" s="476" t="s">
        <v>1187</v>
      </c>
      <c r="CB624" s="476" t="s">
        <v>1187</v>
      </c>
      <c r="CC624" s="476" t="s">
        <v>1187</v>
      </c>
      <c r="CD624" s="476" t="s">
        <v>1187</v>
      </c>
      <c r="CE624" s="476" t="s">
        <v>1187</v>
      </c>
      <c r="CF624" s="476" t="s">
        <v>1187</v>
      </c>
      <c r="CG624" s="476" t="s">
        <v>1187</v>
      </c>
      <c r="CH624" s="476" t="s">
        <v>1187</v>
      </c>
      <c r="CI624" s="476" t="s">
        <v>1188</v>
      </c>
      <c r="CJ624" s="476" t="s">
        <v>1187</v>
      </c>
      <c r="CK624" s="476" t="s">
        <v>1187</v>
      </c>
      <c r="CL624" s="476" t="s">
        <v>1187</v>
      </c>
      <c r="CM624" s="476" t="str">
        <f>IF(VLOOKUP(BS624,'Données par municipalité'!$B$6:$E$1113,4,FALSE)="","non","oui")</f>
        <v>non</v>
      </c>
      <c r="CN624" s="410" t="s">
        <v>1124</v>
      </c>
      <c r="CO624" s="410" t="s">
        <v>1124</v>
      </c>
      <c r="CP624" s="410"/>
      <c r="CQ624" s="410"/>
      <c r="CR624" s="410">
        <v>306.2265897265101</v>
      </c>
      <c r="CS624" s="410" t="s">
        <v>1124</v>
      </c>
      <c r="CT624" s="410"/>
      <c r="CU624" s="410" t="s">
        <v>1124</v>
      </c>
      <c r="CV624" s="410" t="str">
        <f>IF(VLOOKUP(BS624,'Données par municipalité'!$B$6:$F$1113,4,FALSE)="","",VLOOKUP(BS624,'Données par municipalité'!$B$6:$F$1113,4,FALSE))</f>
        <v/>
      </c>
      <c r="CW624" s="476" t="s">
        <v>4723</v>
      </c>
      <c r="CX624" s="483" t="s">
        <v>1124</v>
      </c>
      <c r="CY624" s="483" t="s">
        <v>1124</v>
      </c>
      <c r="CZ624" s="483" t="s">
        <v>1124</v>
      </c>
      <c r="DA624" s="483">
        <v>0</v>
      </c>
      <c r="DB624" s="483" t="s">
        <v>1124</v>
      </c>
      <c r="DC624" s="483" t="s">
        <v>1124</v>
      </c>
      <c r="DD624" s="483" t="s">
        <v>1124</v>
      </c>
      <c r="DE624" s="483" t="str">
        <f>IFERROR(SUM(VLOOKUP($BS624,'État &amp; Plan d''action'!$B$6:$Z$1113,18,FALSE),VLOOKUP($BS624,'État &amp; Plan d''action'!$B$6:$Z$1113,20,FALSE))/(VLOOKUP($BS624,'Données par municipalité'!$B$4:$L$1113,11,FALSE)),"")</f>
        <v/>
      </c>
      <c r="DF624" s="483" t="str">
        <f>IFERROR(SUM(VLOOKUP($BS624,'État &amp; Plan d''action'!$B$6:$Z$1113,19,FALSE),VLOOKUP($BS624,'État &amp; Plan d''action'!$B$6:$Z$1113,21,FALSE))/(VLOOKUP($BS624,'Données par municipalité'!$B$4:$L$1113,11,FALSE)),"")</f>
        <v/>
      </c>
      <c r="DG624" s="476" t="s">
        <v>4723</v>
      </c>
      <c r="DH624" s="484" t="s">
        <v>1124</v>
      </c>
      <c r="DI624" s="484" t="s">
        <v>1124</v>
      </c>
      <c r="DJ624" s="484">
        <v>0</v>
      </c>
      <c r="DK624" s="484">
        <v>0</v>
      </c>
      <c r="DL624" s="484" t="s">
        <v>1124</v>
      </c>
      <c r="DM624" s="484" t="s">
        <v>1124</v>
      </c>
      <c r="DN624" s="484" t="s">
        <v>1124</v>
      </c>
      <c r="DO624" s="484" t="s">
        <v>1124</v>
      </c>
      <c r="DP624" s="484" t="s">
        <v>1124</v>
      </c>
      <c r="DQ624" s="484" t="str">
        <f>IF(VLOOKUP($BS624,'État &amp; Plan d''action'!$B$6:$AJ$1113,28,FALSE)="","",VLOOKUP($BS624,'État &amp; Plan d''action'!$B$6:$AJ$1113,28,FALSE))</f>
        <v/>
      </c>
      <c r="DR624" s="70" t="str">
        <f>IF(VLOOKUP($BS624,'État &amp; Plan d''action'!$B$6:$AJ$1113,29,FALSE)="","",VLOOKUP($BS624,'État &amp; Plan d''action'!$B$6:$AJ$1113,29,FALSE))</f>
        <v/>
      </c>
      <c r="DS624" s="70" t="str">
        <f>IF(VLOOKUP($BS624,'État &amp; Plan d''action'!$B$6:$AJ$1113,30,FALSE)="","",VLOOKUP($BS624,'État &amp; Plan d''action'!$B$6:$AJ$1113,30,FALSE))</f>
        <v/>
      </c>
      <c r="DT624" s="70" t="s">
        <v>1124</v>
      </c>
      <c r="DU624" s="485" t="s">
        <v>1124</v>
      </c>
      <c r="DV624" s="485" t="s">
        <v>1124</v>
      </c>
      <c r="DW624" s="70" t="s">
        <v>1124</v>
      </c>
      <c r="DX624" s="70" t="s">
        <v>1124</v>
      </c>
      <c r="DY624" s="70" t="s">
        <v>1124</v>
      </c>
      <c r="DZ624" s="70" t="str">
        <f>VLOOKUP($BS624,'État &amp; Plan d''action'!$B$6:$AH$1113,31,FALSE)</f>
        <v/>
      </c>
      <c r="EA624" s="70" t="str">
        <f>VLOOKUP($BS624,'État &amp; Plan d''action'!$B$6:$AH$1113,32,FALSE)</f>
        <v/>
      </c>
      <c r="EB624" s="70" t="str">
        <f>VLOOKUP($BS624,'État &amp; Plan d''action'!$B$6:$AH$1113,33,FALSE)</f>
        <v/>
      </c>
      <c r="EC624" s="70" t="s">
        <v>1124</v>
      </c>
      <c r="ED624" s="70" t="s">
        <v>1124</v>
      </c>
      <c r="EE624" s="70" t="s">
        <v>1124</v>
      </c>
      <c r="EF624" s="70" t="s">
        <v>1124</v>
      </c>
      <c r="EG624" s="70" t="s">
        <v>1124</v>
      </c>
      <c r="EH624" s="72"/>
      <c r="EI624" s="72">
        <v>1814</v>
      </c>
    </row>
    <row r="625" spans="71:139" x14ac:dyDescent="0.35">
      <c r="BS625" s="486">
        <v>75005</v>
      </c>
      <c r="BT625" s="479" t="s">
        <v>742</v>
      </c>
      <c r="BU625" s="479">
        <v>15</v>
      </c>
      <c r="BV625" s="476" t="s">
        <v>1187</v>
      </c>
      <c r="BW625" s="476" t="s">
        <v>1187</v>
      </c>
      <c r="BX625" s="476" t="s">
        <v>1187</v>
      </c>
      <c r="BY625" s="476" t="s">
        <v>1187</v>
      </c>
      <c r="BZ625" s="476" t="s">
        <v>1187</v>
      </c>
      <c r="CA625" s="476" t="s">
        <v>1187</v>
      </c>
      <c r="CB625" s="476" t="s">
        <v>1187</v>
      </c>
      <c r="CC625" s="476" t="s">
        <v>1187</v>
      </c>
      <c r="CD625" s="476" t="s">
        <v>1187</v>
      </c>
      <c r="CE625" s="476" t="s">
        <v>1188</v>
      </c>
      <c r="CF625" s="476" t="s">
        <v>1188</v>
      </c>
      <c r="CG625" s="476" t="s">
        <v>1188</v>
      </c>
      <c r="CH625" s="476" t="s">
        <v>1188</v>
      </c>
      <c r="CI625" s="476" t="s">
        <v>1188</v>
      </c>
      <c r="CJ625" s="476" t="s">
        <v>1188</v>
      </c>
      <c r="CK625" s="476" t="s">
        <v>1188</v>
      </c>
      <c r="CL625" s="476" t="s">
        <v>1188</v>
      </c>
      <c r="CM625" s="476" t="str">
        <f>IF(VLOOKUP(BS625,'Données par municipalité'!$B$6:$E$1113,4,FALSE)="","non","oui")</f>
        <v>non</v>
      </c>
      <c r="CN625" s="410">
        <v>544.52460096720438</v>
      </c>
      <c r="CO625" s="410">
        <v>536.15885178194742</v>
      </c>
      <c r="CP625" s="410">
        <v>560.19890110783433</v>
      </c>
      <c r="CQ625" s="410">
        <v>492.38782357527936</v>
      </c>
      <c r="CR625" s="410">
        <v>471.8038551519478</v>
      </c>
      <c r="CS625" s="410">
        <v>220.7704696044965</v>
      </c>
      <c r="CT625" s="410">
        <v>224.41279445256467</v>
      </c>
      <c r="CU625" s="410">
        <v>213</v>
      </c>
      <c r="CV625" s="410" t="str">
        <f>IF(VLOOKUP(BS625,'Données par municipalité'!$B$6:$F$1113,4,FALSE)="","",VLOOKUP(BS625,'Données par municipalité'!$B$6:$F$1113,4,FALSE))</f>
        <v/>
      </c>
      <c r="CW625" s="476" t="s">
        <v>4723</v>
      </c>
      <c r="CX625" s="483">
        <v>0.129</v>
      </c>
      <c r="CY625" s="483">
        <v>0</v>
      </c>
      <c r="CZ625" s="483">
        <v>0</v>
      </c>
      <c r="DA625" s="483">
        <v>0</v>
      </c>
      <c r="DB625" s="483">
        <v>0</v>
      </c>
      <c r="DC625" s="483">
        <v>0</v>
      </c>
      <c r="DD625" s="483">
        <v>0</v>
      </c>
      <c r="DE625" s="483" t="str">
        <f>IFERROR(SUM(VLOOKUP($BS625,'État &amp; Plan d''action'!$B$6:$Z$1113,18,FALSE),VLOOKUP($BS625,'État &amp; Plan d''action'!$B$6:$Z$1113,20,FALSE))/(VLOOKUP($BS625,'Données par municipalité'!$B$4:$L$1113,11,FALSE)),"")</f>
        <v/>
      </c>
      <c r="DF625" s="483" t="str">
        <f>IFERROR(SUM(VLOOKUP($BS625,'État &amp; Plan d''action'!$B$6:$Z$1113,19,FALSE),VLOOKUP($BS625,'État &amp; Plan d''action'!$B$6:$Z$1113,21,FALSE))/(VLOOKUP($BS625,'Données par municipalité'!$B$4:$L$1113,11,FALSE)),"")</f>
        <v/>
      </c>
      <c r="DG625" s="476" t="s">
        <v>4723</v>
      </c>
      <c r="DH625" s="484">
        <v>1</v>
      </c>
      <c r="DI625" s="484">
        <v>3</v>
      </c>
      <c r="DJ625" s="484">
        <v>5</v>
      </c>
      <c r="DK625" s="484">
        <v>1</v>
      </c>
      <c r="DL625" s="484">
        <v>1</v>
      </c>
      <c r="DM625" s="484">
        <v>2</v>
      </c>
      <c r="DN625" s="484">
        <v>0</v>
      </c>
      <c r="DO625" s="484">
        <v>0</v>
      </c>
      <c r="DP625" s="484">
        <v>0</v>
      </c>
      <c r="DQ625" s="484" t="str">
        <f>IF(VLOOKUP($BS625,'État &amp; Plan d''action'!$B$6:$AJ$1113,28,FALSE)="","",VLOOKUP($BS625,'État &amp; Plan d''action'!$B$6:$AJ$1113,28,FALSE))</f>
        <v/>
      </c>
      <c r="DR625" s="70" t="str">
        <f>IF(VLOOKUP($BS625,'État &amp; Plan d''action'!$B$6:$AJ$1113,29,FALSE)="","",VLOOKUP($BS625,'État &amp; Plan d''action'!$B$6:$AJ$1113,29,FALSE))</f>
        <v/>
      </c>
      <c r="DS625" s="70" t="str">
        <f>IF(VLOOKUP($BS625,'État &amp; Plan d''action'!$B$6:$AJ$1113,30,FALSE)="","",VLOOKUP($BS625,'État &amp; Plan d''action'!$B$6:$AJ$1113,30,FALSE))</f>
        <v/>
      </c>
      <c r="DT625" s="70">
        <v>173</v>
      </c>
      <c r="DU625" s="485">
        <v>1.5085314784004695</v>
      </c>
      <c r="DV625" s="485" t="s">
        <v>1124</v>
      </c>
      <c r="DW625" s="70">
        <v>0</v>
      </c>
      <c r="DX625" s="70">
        <v>0</v>
      </c>
      <c r="DY625" s="70">
        <v>0</v>
      </c>
      <c r="DZ625" s="70" t="str">
        <f>VLOOKUP($BS625,'État &amp; Plan d''action'!$B$6:$AH$1113,31,FALSE)</f>
        <v/>
      </c>
      <c r="EA625" s="70" t="str">
        <f>VLOOKUP($BS625,'État &amp; Plan d''action'!$B$6:$AH$1113,32,FALSE)</f>
        <v/>
      </c>
      <c r="EB625" s="70" t="str">
        <f>VLOOKUP($BS625,'État &amp; Plan d''action'!$B$6:$AH$1113,33,FALSE)</f>
        <v/>
      </c>
      <c r="EC625" s="70">
        <v>12.395</v>
      </c>
      <c r="ED625" s="70">
        <v>0</v>
      </c>
      <c r="EE625" s="70">
        <v>0</v>
      </c>
      <c r="EF625" s="70">
        <v>0</v>
      </c>
      <c r="EG625" s="70">
        <v>0</v>
      </c>
      <c r="EH625" s="72">
        <v>57.333333333333336</v>
      </c>
      <c r="EI625" s="72">
        <v>16821</v>
      </c>
    </row>
    <row r="626" spans="71:139" x14ac:dyDescent="0.35">
      <c r="BS626" s="486">
        <v>62065</v>
      </c>
      <c r="BT626" s="479" t="s">
        <v>629</v>
      </c>
      <c r="BU626" s="479">
        <v>14</v>
      </c>
      <c r="BV626" s="476" t="s">
        <v>1187</v>
      </c>
      <c r="BW626" s="476" t="s">
        <v>1187</v>
      </c>
      <c r="BX626" s="476" t="s">
        <v>1187</v>
      </c>
      <c r="BY626" s="476" t="s">
        <v>1187</v>
      </c>
      <c r="BZ626" s="476" t="s">
        <v>1187</v>
      </c>
      <c r="CA626" s="476" t="s">
        <v>1187</v>
      </c>
      <c r="CB626" s="476" t="s">
        <v>1187</v>
      </c>
      <c r="CC626" s="476" t="s">
        <v>1187</v>
      </c>
      <c r="CD626" s="476" t="s">
        <v>1187</v>
      </c>
      <c r="CE626" s="476" t="s">
        <v>1188</v>
      </c>
      <c r="CF626" s="476" t="s">
        <v>1187</v>
      </c>
      <c r="CG626" s="476" t="s">
        <v>1187</v>
      </c>
      <c r="CH626" s="476" t="s">
        <v>1187</v>
      </c>
      <c r="CI626" s="476" t="s">
        <v>1187</v>
      </c>
      <c r="CJ626" s="476" t="s">
        <v>1187</v>
      </c>
      <c r="CK626" s="476" t="s">
        <v>1188</v>
      </c>
      <c r="CL626" s="476" t="s">
        <v>1187</v>
      </c>
      <c r="CM626" s="476" t="str">
        <f>IF(VLOOKUP(BS626,'Données par municipalité'!$B$6:$E$1113,4,FALSE)="","non","oui")</f>
        <v>oui</v>
      </c>
      <c r="CN626" s="410">
        <v>392</v>
      </c>
      <c r="CO626" s="410" t="s">
        <v>1124</v>
      </c>
      <c r="CP626" s="410"/>
      <c r="CQ626" s="410"/>
      <c r="CR626" s="410"/>
      <c r="CS626" s="410" t="s">
        <v>1124</v>
      </c>
      <c r="CT626" s="410">
        <v>666.19050583864805</v>
      </c>
      <c r="CU626" s="410" t="s">
        <v>1124</v>
      </c>
      <c r="CV626" s="410">
        <f>IF(VLOOKUP(BS626,'Données par municipalité'!$B$6:$F$1113,4,FALSE)="","",VLOOKUP(BS626,'Données par municipalité'!$B$6:$F$1113,4,FALSE))</f>
        <v>716</v>
      </c>
      <c r="CW626" s="476" t="s">
        <v>4723</v>
      </c>
      <c r="CX626" s="483" t="s">
        <v>1124</v>
      </c>
      <c r="CY626" s="483" t="s">
        <v>1124</v>
      </c>
      <c r="CZ626" s="483" t="s">
        <v>1124</v>
      </c>
      <c r="DA626" s="483" t="s">
        <v>1124</v>
      </c>
      <c r="DB626" s="483" t="s">
        <v>1124</v>
      </c>
      <c r="DC626" s="483">
        <v>0</v>
      </c>
      <c r="DD626" s="483" t="s">
        <v>1124</v>
      </c>
      <c r="DE626" s="483">
        <f>IFERROR(SUM(VLOOKUP($BS626,'État &amp; Plan d''action'!$B$6:$Z$1113,18,FALSE),VLOOKUP($BS626,'État &amp; Plan d''action'!$B$6:$Z$1113,20,FALSE))/(VLOOKUP($BS626,'Données par municipalité'!$B$4:$L$1113,11,FALSE)),"")</f>
        <v>1.0136240833654959</v>
      </c>
      <c r="DF626" s="483">
        <f>IFERROR(SUM(VLOOKUP($BS626,'État &amp; Plan d''action'!$B$6:$Z$1113,19,FALSE),VLOOKUP($BS626,'État &amp; Plan d''action'!$B$6:$Z$1113,21,FALSE))/(VLOOKUP($BS626,'Données par municipalité'!$B$4:$L$1113,11,FALSE)),"")</f>
        <v>1.0136240833654959</v>
      </c>
      <c r="DG626" s="476" t="s">
        <v>4723</v>
      </c>
      <c r="DH626" s="484" t="s">
        <v>1124</v>
      </c>
      <c r="DI626" s="484" t="s">
        <v>1124</v>
      </c>
      <c r="DJ626" s="484">
        <v>0</v>
      </c>
      <c r="DK626" s="484">
        <v>0</v>
      </c>
      <c r="DL626" s="484" t="s">
        <v>1124</v>
      </c>
      <c r="DM626" s="484">
        <v>4</v>
      </c>
      <c r="DN626" s="484" t="s">
        <v>1124</v>
      </c>
      <c r="DO626" s="484" t="s">
        <v>1124</v>
      </c>
      <c r="DP626" s="484" t="s">
        <v>1124</v>
      </c>
      <c r="DQ626" s="484">
        <f>IF(VLOOKUP($BS626,'État &amp; Plan d''action'!$B$6:$AJ$1113,28,FALSE)="","",VLOOKUP($BS626,'État &amp; Plan d''action'!$B$6:$AJ$1113,28,FALSE))</f>
        <v>1</v>
      </c>
      <c r="DR626" s="70">
        <f>IF(VLOOKUP($BS626,'État &amp; Plan d''action'!$B$6:$AJ$1113,29,FALSE)="","",VLOOKUP($BS626,'État &amp; Plan d''action'!$B$6:$AJ$1113,29,FALSE))</f>
        <v>1</v>
      </c>
      <c r="DS626" s="70">
        <f>IF(VLOOKUP($BS626,'État &amp; Plan d''action'!$B$6:$AJ$1113,30,FALSE)="","",VLOOKUP($BS626,'État &amp; Plan d''action'!$B$6:$AJ$1113,30,FALSE))</f>
        <v>0</v>
      </c>
      <c r="DT626" s="70" t="s">
        <v>1124</v>
      </c>
      <c r="DU626" s="485" t="s">
        <v>1124</v>
      </c>
      <c r="DV626" s="485">
        <v>3.3227877327436626</v>
      </c>
      <c r="DW626" s="70" t="s">
        <v>1124</v>
      </c>
      <c r="DX626" s="70" t="s">
        <v>1124</v>
      </c>
      <c r="DY626" s="70" t="s">
        <v>1124</v>
      </c>
      <c r="DZ626" s="70">
        <f>VLOOKUP($BS626,'État &amp; Plan d''action'!$B$6:$AH$1113,31,FALSE)</f>
        <v>1</v>
      </c>
      <c r="EA626" s="70">
        <f>VLOOKUP($BS626,'État &amp; Plan d''action'!$B$6:$AH$1113,32,FALSE)</f>
        <v>1</v>
      </c>
      <c r="EB626" s="70">
        <f>VLOOKUP($BS626,'État &amp; Plan d''action'!$B$6:$AH$1113,33,FALSE)</f>
        <v>0</v>
      </c>
      <c r="EC626" s="70" t="s">
        <v>1124</v>
      </c>
      <c r="ED626" s="70" t="s">
        <v>1124</v>
      </c>
      <c r="EE626" s="70" t="s">
        <v>1124</v>
      </c>
      <c r="EF626" s="70" t="s">
        <v>1124</v>
      </c>
      <c r="EG626" s="70" t="s">
        <v>1124</v>
      </c>
      <c r="EH626" s="72"/>
      <c r="EI626" s="72">
        <v>2211</v>
      </c>
    </row>
    <row r="627" spans="71:139" x14ac:dyDescent="0.35">
      <c r="BS627" s="486">
        <v>29057</v>
      </c>
      <c r="BT627" s="479" t="s">
        <v>209</v>
      </c>
      <c r="BU627" s="479">
        <v>12</v>
      </c>
      <c r="BV627" s="476" t="s">
        <v>1187</v>
      </c>
      <c r="BW627" s="476" t="s">
        <v>1187</v>
      </c>
      <c r="BX627" s="476" t="s">
        <v>1187</v>
      </c>
      <c r="BY627" s="476" t="s">
        <v>1187</v>
      </c>
      <c r="BZ627" s="476" t="s">
        <v>1187</v>
      </c>
      <c r="CA627" s="476" t="s">
        <v>1187</v>
      </c>
      <c r="CB627" s="476" t="s">
        <v>1187</v>
      </c>
      <c r="CC627" s="476" t="s">
        <v>1187</v>
      </c>
      <c r="CD627" s="476" t="s">
        <v>1187</v>
      </c>
      <c r="CE627" s="476" t="s">
        <v>1188</v>
      </c>
      <c r="CF627" s="476" t="s">
        <v>1188</v>
      </c>
      <c r="CG627" s="476" t="s">
        <v>1188</v>
      </c>
      <c r="CH627" s="476" t="s">
        <v>1188</v>
      </c>
      <c r="CI627" s="476" t="s">
        <v>1188</v>
      </c>
      <c r="CJ627" s="476" t="s">
        <v>1187</v>
      </c>
      <c r="CK627" s="476" t="s">
        <v>1188</v>
      </c>
      <c r="CL627" s="476" t="s">
        <v>1188</v>
      </c>
      <c r="CM627" s="476" t="str">
        <f>IF(VLOOKUP(BS627,'Données par municipalité'!$B$6:$E$1113,4,FALSE)="","non","oui")</f>
        <v>oui</v>
      </c>
      <c r="CN627" s="410">
        <v>330.13970601628387</v>
      </c>
      <c r="CO627" s="410">
        <v>328.27782481041845</v>
      </c>
      <c r="CP627" s="410">
        <v>335.2496495581633</v>
      </c>
      <c r="CQ627" s="410">
        <v>356.04142755131255</v>
      </c>
      <c r="CR627" s="410">
        <v>333.04446473725108</v>
      </c>
      <c r="CS627" s="410" t="s">
        <v>1124</v>
      </c>
      <c r="CT627" s="410">
        <v>351.10582691395894</v>
      </c>
      <c r="CU627" s="410">
        <v>330</v>
      </c>
      <c r="CV627" s="410">
        <f>IF(VLOOKUP(BS627,'Données par municipalité'!$B$6:$F$1113,4,FALSE)="","",VLOOKUP(BS627,'Données par municipalité'!$B$6:$F$1113,4,FALSE))</f>
        <v>321</v>
      </c>
      <c r="CW627" s="476" t="s">
        <v>4723</v>
      </c>
      <c r="CX627" s="483">
        <v>1</v>
      </c>
      <c r="CY627" s="483">
        <v>1</v>
      </c>
      <c r="CZ627" s="483">
        <v>1</v>
      </c>
      <c r="DA627" s="483">
        <v>1</v>
      </c>
      <c r="DB627" s="483" t="s">
        <v>1124</v>
      </c>
      <c r="DC627" s="483">
        <v>1</v>
      </c>
      <c r="DD627" s="483">
        <v>4</v>
      </c>
      <c r="DE627" s="483">
        <f>IFERROR(SUM(VLOOKUP($BS627,'État &amp; Plan d''action'!$B$6:$Z$1113,18,FALSE),VLOOKUP($BS627,'État &amp; Plan d''action'!$B$6:$Z$1113,20,FALSE))/(VLOOKUP($BS627,'Données par municipalité'!$B$4:$L$1113,11,FALSE)),"")</f>
        <v>4</v>
      </c>
      <c r="DF627" s="483">
        <f>IFERROR(SUM(VLOOKUP($BS627,'État &amp; Plan d''action'!$B$6:$Z$1113,19,FALSE),VLOOKUP($BS627,'État &amp; Plan d''action'!$B$6:$Z$1113,21,FALSE))/(VLOOKUP($BS627,'Données par municipalité'!$B$4:$L$1113,11,FALSE)),"")</f>
        <v>4</v>
      </c>
      <c r="DG627" s="476" t="s">
        <v>4723</v>
      </c>
      <c r="DH627" s="484">
        <v>32</v>
      </c>
      <c r="DI627" s="484">
        <v>25</v>
      </c>
      <c r="DJ627" s="484">
        <v>30</v>
      </c>
      <c r="DK627" s="484">
        <v>28</v>
      </c>
      <c r="DL627" s="484" t="s">
        <v>1124</v>
      </c>
      <c r="DM627" s="484">
        <v>29</v>
      </c>
      <c r="DN627" s="484">
        <v>28</v>
      </c>
      <c r="DO627" s="484">
        <v>8</v>
      </c>
      <c r="DP627" s="484">
        <v>3</v>
      </c>
      <c r="DQ627" s="484">
        <f>IF(VLOOKUP($BS627,'État &amp; Plan d''action'!$B$6:$AJ$1113,28,FALSE)="","",VLOOKUP($BS627,'État &amp; Plan d''action'!$B$6:$AJ$1113,28,FALSE))</f>
        <v>26</v>
      </c>
      <c r="DR627" s="70">
        <f>IF(VLOOKUP($BS627,'État &amp; Plan d''action'!$B$6:$AJ$1113,29,FALSE)="","",VLOOKUP($BS627,'État &amp; Plan d''action'!$B$6:$AJ$1113,29,FALSE))</f>
        <v>0</v>
      </c>
      <c r="DS627" s="70">
        <f>IF(VLOOKUP($BS627,'État &amp; Plan d''action'!$B$6:$AJ$1113,30,FALSE)="","",VLOOKUP($BS627,'État &amp; Plan d''action'!$B$6:$AJ$1113,30,FALSE))</f>
        <v>3</v>
      </c>
      <c r="DT627" s="70">
        <v>160</v>
      </c>
      <c r="DU627" s="485">
        <v>4.3578010712308668</v>
      </c>
      <c r="DV627" s="485">
        <v>4.1075271049442916</v>
      </c>
      <c r="DW627" s="70">
        <v>5</v>
      </c>
      <c r="DX627" s="70">
        <v>5</v>
      </c>
      <c r="DY627" s="70">
        <v>15</v>
      </c>
      <c r="DZ627" s="70">
        <f>VLOOKUP($BS627,'État &amp; Plan d''action'!$B$6:$AH$1113,31,FALSE)</f>
        <v>5</v>
      </c>
      <c r="EA627" s="70">
        <f>VLOOKUP($BS627,'État &amp; Plan d''action'!$B$6:$AH$1113,32,FALSE)</f>
        <v>0</v>
      </c>
      <c r="EB627" s="70">
        <f>VLOOKUP($BS627,'État &amp; Plan d''action'!$B$6:$AH$1113,33,FALSE)</f>
        <v>15</v>
      </c>
      <c r="EC627" s="70">
        <v>0</v>
      </c>
      <c r="ED627" s="70">
        <v>116.6</v>
      </c>
      <c r="EE627" s="70">
        <v>0</v>
      </c>
      <c r="EF627" s="70">
        <v>0</v>
      </c>
      <c r="EG627" s="70">
        <v>0</v>
      </c>
      <c r="EH627" s="72">
        <v>70</v>
      </c>
      <c r="EI627" s="72">
        <v>3267</v>
      </c>
    </row>
    <row r="628" spans="71:139" x14ac:dyDescent="0.35">
      <c r="BS628" s="486">
        <v>67035</v>
      </c>
      <c r="BT628" s="479" t="s">
        <v>668</v>
      </c>
      <c r="BU628" s="479">
        <v>16</v>
      </c>
      <c r="BV628" s="476" t="s">
        <v>1187</v>
      </c>
      <c r="BW628" s="476" t="s">
        <v>1187</v>
      </c>
      <c r="BX628" s="476" t="s">
        <v>1187</v>
      </c>
      <c r="BY628" s="476" t="s">
        <v>1187</v>
      </c>
      <c r="BZ628" s="476" t="s">
        <v>1187</v>
      </c>
      <c r="CA628" s="476" t="s">
        <v>1187</v>
      </c>
      <c r="CB628" s="476" t="s">
        <v>1187</v>
      </c>
      <c r="CC628" s="476" t="s">
        <v>1187</v>
      </c>
      <c r="CD628" s="476" t="s">
        <v>1187</v>
      </c>
      <c r="CE628" s="476" t="s">
        <v>1188</v>
      </c>
      <c r="CF628" s="476" t="s">
        <v>1188</v>
      </c>
      <c r="CG628" s="476" t="s">
        <v>1187</v>
      </c>
      <c r="CH628" s="476" t="s">
        <v>1188</v>
      </c>
      <c r="CI628" s="476" t="s">
        <v>1188</v>
      </c>
      <c r="CJ628" s="476" t="s">
        <v>1187</v>
      </c>
      <c r="CK628" s="476" t="s">
        <v>1187</v>
      </c>
      <c r="CL628" s="476" t="s">
        <v>1188</v>
      </c>
      <c r="CM628" s="476" t="str">
        <f>IF(VLOOKUP(BS628,'Données par municipalité'!$B$6:$E$1113,4,FALSE)="","non","oui")</f>
        <v>non</v>
      </c>
      <c r="CN628" s="410">
        <v>396.98781742379123</v>
      </c>
      <c r="CO628" s="410">
        <v>351.00527584974247</v>
      </c>
      <c r="CP628" s="410"/>
      <c r="CQ628" s="410">
        <v>410.99982683314727</v>
      </c>
      <c r="CR628" s="410">
        <v>418.66541039533962</v>
      </c>
      <c r="CS628" s="410" t="s">
        <v>1124</v>
      </c>
      <c r="CT628" s="410"/>
      <c r="CU628" s="410">
        <v>325</v>
      </c>
      <c r="CV628" s="410" t="str">
        <f>IF(VLOOKUP(BS628,'Données par municipalité'!$B$6:$F$1113,4,FALSE)="","",VLOOKUP(BS628,'Données par municipalité'!$B$6:$F$1113,4,FALSE))</f>
        <v/>
      </c>
      <c r="CW628" s="476" t="s">
        <v>4723</v>
      </c>
      <c r="CX628" s="483">
        <v>0</v>
      </c>
      <c r="CY628" s="483" t="s">
        <v>1124</v>
      </c>
      <c r="CZ628" s="483">
        <v>1</v>
      </c>
      <c r="DA628" s="483">
        <v>1</v>
      </c>
      <c r="DB628" s="483" t="s">
        <v>1124</v>
      </c>
      <c r="DC628" s="483" t="s">
        <v>1124</v>
      </c>
      <c r="DD628" s="483">
        <v>1</v>
      </c>
      <c r="DE628" s="483" t="str">
        <f>IFERROR(SUM(VLOOKUP($BS628,'État &amp; Plan d''action'!$B$6:$Z$1113,18,FALSE),VLOOKUP($BS628,'État &amp; Plan d''action'!$B$6:$Z$1113,20,FALSE))/(VLOOKUP($BS628,'Données par municipalité'!$B$4:$L$1113,11,FALSE)),"")</f>
        <v/>
      </c>
      <c r="DF628" s="483" t="str">
        <f>IFERROR(SUM(VLOOKUP($BS628,'État &amp; Plan d''action'!$B$6:$Z$1113,19,FALSE),VLOOKUP($BS628,'État &amp; Plan d''action'!$B$6:$Z$1113,21,FALSE))/(VLOOKUP($BS628,'Données par municipalité'!$B$4:$L$1113,11,FALSE)),"")</f>
        <v/>
      </c>
      <c r="DG628" s="476" t="s">
        <v>4723</v>
      </c>
      <c r="DH628" s="484" t="s">
        <v>1124</v>
      </c>
      <c r="DI628" s="484" t="s">
        <v>1124</v>
      </c>
      <c r="DJ628" s="484">
        <v>15</v>
      </c>
      <c r="DK628" s="484">
        <v>16</v>
      </c>
      <c r="DL628" s="484" t="s">
        <v>1124</v>
      </c>
      <c r="DM628" s="484" t="s">
        <v>1124</v>
      </c>
      <c r="DN628" s="484">
        <v>25</v>
      </c>
      <c r="DO628" s="484">
        <v>0</v>
      </c>
      <c r="DP628" s="484">
        <v>0</v>
      </c>
      <c r="DQ628" s="484" t="str">
        <f>IF(VLOOKUP($BS628,'État &amp; Plan d''action'!$B$6:$AJ$1113,28,FALSE)="","",VLOOKUP($BS628,'État &amp; Plan d''action'!$B$6:$AJ$1113,28,FALSE))</f>
        <v/>
      </c>
      <c r="DR628" s="70" t="str">
        <f>IF(VLOOKUP($BS628,'État &amp; Plan d''action'!$B$6:$AJ$1113,29,FALSE)="","",VLOOKUP($BS628,'État &amp; Plan d''action'!$B$6:$AJ$1113,29,FALSE))</f>
        <v/>
      </c>
      <c r="DS628" s="70" t="str">
        <f>IF(VLOOKUP($BS628,'État &amp; Plan d''action'!$B$6:$AJ$1113,30,FALSE)="","",VLOOKUP($BS628,'État &amp; Plan d''action'!$B$6:$AJ$1113,30,FALSE))</f>
        <v/>
      </c>
      <c r="DT628" s="70">
        <v>213</v>
      </c>
      <c r="DU628" s="485">
        <v>3.8569204258570053</v>
      </c>
      <c r="DV628" s="485" t="s">
        <v>1124</v>
      </c>
      <c r="DW628" s="70">
        <v>1</v>
      </c>
      <c r="DX628" s="70">
        <v>0</v>
      </c>
      <c r="DY628" s="70">
        <v>0</v>
      </c>
      <c r="DZ628" s="70" t="str">
        <f>VLOOKUP($BS628,'État &amp; Plan d''action'!$B$6:$AH$1113,31,FALSE)</f>
        <v/>
      </c>
      <c r="EA628" s="70" t="str">
        <f>VLOOKUP($BS628,'État &amp; Plan d''action'!$B$6:$AH$1113,32,FALSE)</f>
        <v/>
      </c>
      <c r="EB628" s="70" t="str">
        <f>VLOOKUP($BS628,'État &amp; Plan d''action'!$B$6:$AH$1113,33,FALSE)</f>
        <v/>
      </c>
      <c r="EC628" s="70">
        <v>0</v>
      </c>
      <c r="ED628" s="70">
        <v>125.44</v>
      </c>
      <c r="EE628" s="70">
        <v>0</v>
      </c>
      <c r="EF628" s="70">
        <v>0</v>
      </c>
      <c r="EG628" s="70">
        <v>0</v>
      </c>
      <c r="EH628" s="72">
        <v>41</v>
      </c>
      <c r="EI628" s="72">
        <v>28613</v>
      </c>
    </row>
    <row r="629" spans="71:139" x14ac:dyDescent="0.35">
      <c r="BS629" s="486">
        <v>52062</v>
      </c>
      <c r="BT629" s="479" t="s">
        <v>523</v>
      </c>
      <c r="BU629" s="479">
        <v>14</v>
      </c>
      <c r="BV629" s="476" t="s">
        <v>1187</v>
      </c>
      <c r="BW629" s="476" t="s">
        <v>1187</v>
      </c>
      <c r="BX629" s="476" t="s">
        <v>1187</v>
      </c>
      <c r="BY629" s="476" t="s">
        <v>1187</v>
      </c>
      <c r="BZ629" s="476" t="s">
        <v>1187</v>
      </c>
      <c r="CA629" s="476" t="s">
        <v>1187</v>
      </c>
      <c r="CB629" s="476" t="s">
        <v>1187</v>
      </c>
      <c r="CC629" s="476" t="s">
        <v>1187</v>
      </c>
      <c r="CD629" s="476" t="s">
        <v>1187</v>
      </c>
      <c r="CE629" s="476" t="s">
        <v>1188</v>
      </c>
      <c r="CF629" s="476" t="s">
        <v>1188</v>
      </c>
      <c r="CG629" s="476" t="s">
        <v>1188</v>
      </c>
      <c r="CH629" s="476" t="s">
        <v>1188</v>
      </c>
      <c r="CI629" s="476" t="s">
        <v>1188</v>
      </c>
      <c r="CJ629" s="476" t="s">
        <v>1188</v>
      </c>
      <c r="CK629" s="476" t="s">
        <v>1188</v>
      </c>
      <c r="CL629" s="476" t="s">
        <v>1187</v>
      </c>
      <c r="CM629" s="476" t="str">
        <f>IF(VLOOKUP(BS629,'Données par municipalité'!$B$6:$E$1113,4,FALSE)="","non","oui")</f>
        <v>non</v>
      </c>
      <c r="CN629" s="410">
        <v>890.48719924651073</v>
      </c>
      <c r="CO629" s="410">
        <v>965.15981887710393</v>
      </c>
      <c r="CP629" s="410">
        <v>889.96374433313497</v>
      </c>
      <c r="CQ629" s="410">
        <v>985.70481099933272</v>
      </c>
      <c r="CR629" s="410">
        <v>994.81477720351256</v>
      </c>
      <c r="CS629" s="410">
        <v>952.46189432938706</v>
      </c>
      <c r="CT629" s="410">
        <v>939.63981262510288</v>
      </c>
      <c r="CU629" s="410" t="s">
        <v>1124</v>
      </c>
      <c r="CV629" s="410" t="str">
        <f>IF(VLOOKUP(BS629,'Données par municipalité'!$B$6:$F$1113,4,FALSE)="","",VLOOKUP(BS629,'Données par municipalité'!$B$6:$F$1113,4,FALSE))</f>
        <v/>
      </c>
      <c r="CW629" s="476" t="s">
        <v>4723</v>
      </c>
      <c r="CX629" s="483">
        <v>0</v>
      </c>
      <c r="CY629" s="483">
        <v>0</v>
      </c>
      <c r="CZ629" s="483">
        <v>0</v>
      </c>
      <c r="DA629" s="483">
        <v>0</v>
      </c>
      <c r="DB629" s="483">
        <v>0</v>
      </c>
      <c r="DC629" s="483">
        <v>0</v>
      </c>
      <c r="DD629" s="483" t="s">
        <v>1124</v>
      </c>
      <c r="DE629" s="483" t="str">
        <f>IFERROR(SUM(VLOOKUP($BS629,'État &amp; Plan d''action'!$B$6:$Z$1113,18,FALSE),VLOOKUP($BS629,'État &amp; Plan d''action'!$B$6:$Z$1113,20,FALSE))/(VLOOKUP($BS629,'Données par municipalité'!$B$4:$L$1113,11,FALSE)),"")</f>
        <v/>
      </c>
      <c r="DF629" s="483" t="str">
        <f>IFERROR(SUM(VLOOKUP($BS629,'État &amp; Plan d''action'!$B$6:$Z$1113,19,FALSE),VLOOKUP($BS629,'État &amp; Plan d''action'!$B$6:$Z$1113,21,FALSE))/(VLOOKUP($BS629,'Données par municipalité'!$B$4:$L$1113,11,FALSE)),"")</f>
        <v/>
      </c>
      <c r="DG629" s="476" t="s">
        <v>4723</v>
      </c>
      <c r="DH629" s="484">
        <v>2</v>
      </c>
      <c r="DI629" s="484">
        <v>2</v>
      </c>
      <c r="DJ629" s="484">
        <v>2</v>
      </c>
      <c r="DK629" s="484">
        <v>3</v>
      </c>
      <c r="DL629" s="484">
        <v>2</v>
      </c>
      <c r="DM629" s="484">
        <v>0</v>
      </c>
      <c r="DN629" s="484" t="s">
        <v>1124</v>
      </c>
      <c r="DO629" s="484" t="s">
        <v>1124</v>
      </c>
      <c r="DP629" s="484" t="s">
        <v>1124</v>
      </c>
      <c r="DQ629" s="484" t="str">
        <f>IF(VLOOKUP($BS629,'État &amp; Plan d''action'!$B$6:$AJ$1113,28,FALSE)="","",VLOOKUP($BS629,'État &amp; Plan d''action'!$B$6:$AJ$1113,28,FALSE))</f>
        <v/>
      </c>
      <c r="DR629" s="70" t="str">
        <f>IF(VLOOKUP($BS629,'État &amp; Plan d''action'!$B$6:$AJ$1113,29,FALSE)="","",VLOOKUP($BS629,'État &amp; Plan d''action'!$B$6:$AJ$1113,29,FALSE))</f>
        <v/>
      </c>
      <c r="DS629" s="70" t="str">
        <f>IF(VLOOKUP($BS629,'État &amp; Plan d''action'!$B$6:$AJ$1113,30,FALSE)="","",VLOOKUP($BS629,'État &amp; Plan d''action'!$B$6:$AJ$1113,30,FALSE))</f>
        <v/>
      </c>
      <c r="DT629" s="70" t="s">
        <v>1124</v>
      </c>
      <c r="DU629" s="485" t="s">
        <v>1124</v>
      </c>
      <c r="DV629" s="485" t="s">
        <v>1124</v>
      </c>
      <c r="DW629" s="70" t="s">
        <v>1124</v>
      </c>
      <c r="DX629" s="70" t="s">
        <v>1124</v>
      </c>
      <c r="DY629" s="70" t="s">
        <v>1124</v>
      </c>
      <c r="DZ629" s="70" t="str">
        <f>VLOOKUP($BS629,'État &amp; Plan d''action'!$B$6:$AH$1113,31,FALSE)</f>
        <v/>
      </c>
      <c r="EA629" s="70" t="str">
        <f>VLOOKUP($BS629,'État &amp; Plan d''action'!$B$6:$AH$1113,32,FALSE)</f>
        <v/>
      </c>
      <c r="EB629" s="70" t="str">
        <f>VLOOKUP($BS629,'État &amp; Plan d''action'!$B$6:$AH$1113,33,FALSE)</f>
        <v/>
      </c>
      <c r="EC629" s="70" t="s">
        <v>1124</v>
      </c>
      <c r="ED629" s="70" t="s">
        <v>1124</v>
      </c>
      <c r="EE629" s="70" t="s">
        <v>1124</v>
      </c>
      <c r="EF629" s="70" t="s">
        <v>1124</v>
      </c>
      <c r="EG629" s="70" t="s">
        <v>1124</v>
      </c>
      <c r="EH629" s="72"/>
      <c r="EI629" s="72">
        <v>1870</v>
      </c>
    </row>
    <row r="630" spans="71:139" x14ac:dyDescent="0.35">
      <c r="BS630" s="486">
        <v>12005</v>
      </c>
      <c r="BT630" s="479" t="s">
        <v>28</v>
      </c>
      <c r="BU630" s="479">
        <v>1</v>
      </c>
      <c r="BV630" s="476" t="s">
        <v>1187</v>
      </c>
      <c r="BW630" s="476" t="s">
        <v>1187</v>
      </c>
      <c r="BX630" s="476" t="s">
        <v>1187</v>
      </c>
      <c r="BY630" s="476" t="s">
        <v>1187</v>
      </c>
      <c r="BZ630" s="476" t="s">
        <v>1187</v>
      </c>
      <c r="CA630" s="476" t="s">
        <v>1187</v>
      </c>
      <c r="CB630" s="476" t="s">
        <v>1187</v>
      </c>
      <c r="CC630" s="476" t="s">
        <v>1187</v>
      </c>
      <c r="CD630" s="476" t="s">
        <v>1187</v>
      </c>
      <c r="CE630" s="476" t="s">
        <v>1188</v>
      </c>
      <c r="CF630" s="476" t="s">
        <v>1188</v>
      </c>
      <c r="CG630" s="476" t="s">
        <v>1187</v>
      </c>
      <c r="CH630" s="476" t="s">
        <v>1188</v>
      </c>
      <c r="CI630" s="476" t="s">
        <v>1188</v>
      </c>
      <c r="CJ630" s="476" t="s">
        <v>1188</v>
      </c>
      <c r="CK630" s="476" t="s">
        <v>1188</v>
      </c>
      <c r="CL630" s="476" t="s">
        <v>1188</v>
      </c>
      <c r="CM630" s="476" t="str">
        <f>IF(VLOOKUP(BS630,'Données par municipalité'!$B$6:$E$1113,4,FALSE)="","non","oui")</f>
        <v>oui</v>
      </c>
      <c r="CN630" s="410">
        <v>224.99630921763185</v>
      </c>
      <c r="CO630" s="410">
        <v>349.59180517562243</v>
      </c>
      <c r="CP630" s="410"/>
      <c r="CQ630" s="410">
        <v>340.6247311623514</v>
      </c>
      <c r="CR630" s="410">
        <v>286.30680999002476</v>
      </c>
      <c r="CS630" s="410">
        <v>244.73268025336787</v>
      </c>
      <c r="CT630" s="410">
        <v>214.29818629814929</v>
      </c>
      <c r="CU630" s="410">
        <v>24.259999999999998</v>
      </c>
      <c r="CV630" s="410">
        <f>IF(VLOOKUP(BS630,'Données par municipalité'!$B$6:$F$1113,4,FALSE)="","",VLOOKUP(BS630,'Données par municipalité'!$B$6:$F$1113,4,FALSE))</f>
        <v>345</v>
      </c>
      <c r="CW630" s="476" t="s">
        <v>4723</v>
      </c>
      <c r="CX630" s="483">
        <v>0.5</v>
      </c>
      <c r="CY630" s="483" t="s">
        <v>1124</v>
      </c>
      <c r="CZ630" s="483">
        <v>0</v>
      </c>
      <c r="DA630" s="483">
        <v>0</v>
      </c>
      <c r="DB630" s="483">
        <v>0</v>
      </c>
      <c r="DC630" s="483">
        <v>0</v>
      </c>
      <c r="DD630" s="483">
        <v>0</v>
      </c>
      <c r="DE630" s="483">
        <f>IFERROR(SUM(VLOOKUP($BS630,'État &amp; Plan d''action'!$B$6:$Z$1113,18,FALSE),VLOOKUP($BS630,'État &amp; Plan d''action'!$B$6:$Z$1113,20,FALSE))/(VLOOKUP($BS630,'Données par municipalité'!$B$4:$L$1113,11,FALSE)),"")</f>
        <v>0</v>
      </c>
      <c r="DF630" s="483">
        <f>IFERROR(SUM(VLOOKUP($BS630,'État &amp; Plan d''action'!$B$6:$Z$1113,19,FALSE),VLOOKUP($BS630,'État &amp; Plan d''action'!$B$6:$Z$1113,21,FALSE))/(VLOOKUP($BS630,'Données par municipalité'!$B$4:$L$1113,11,FALSE)),"")</f>
        <v>0</v>
      </c>
      <c r="DG630" s="476" t="s">
        <v>4723</v>
      </c>
      <c r="DH630" s="484">
        <v>0</v>
      </c>
      <c r="DI630" s="484" t="s">
        <v>1124</v>
      </c>
      <c r="DJ630" s="484">
        <v>0</v>
      </c>
      <c r="DK630" s="484">
        <v>0</v>
      </c>
      <c r="DL630" s="484">
        <v>0</v>
      </c>
      <c r="DM630" s="484">
        <v>0</v>
      </c>
      <c r="DN630" s="484">
        <v>0</v>
      </c>
      <c r="DO630" s="484">
        <v>0</v>
      </c>
      <c r="DP630" s="484">
        <v>0</v>
      </c>
      <c r="DQ630" s="484">
        <f>IF(VLOOKUP($BS630,'État &amp; Plan d''action'!$B$6:$AJ$1113,28,FALSE)="","",VLOOKUP($BS630,'État &amp; Plan d''action'!$B$6:$AJ$1113,28,FALSE))</f>
        <v>0</v>
      </c>
      <c r="DR630" s="70">
        <f>IF(VLOOKUP($BS630,'État &amp; Plan d''action'!$B$6:$AJ$1113,29,FALSE)="","",VLOOKUP($BS630,'État &amp; Plan d''action'!$B$6:$AJ$1113,29,FALSE))</f>
        <v>0</v>
      </c>
      <c r="DS630" s="70">
        <f>IF(VLOOKUP($BS630,'État &amp; Plan d''action'!$B$6:$AJ$1113,30,FALSE)="","",VLOOKUP($BS630,'État &amp; Plan d''action'!$B$6:$AJ$1113,30,FALSE))</f>
        <v>0</v>
      </c>
      <c r="DT630" s="70">
        <v>211.43664690696372</v>
      </c>
      <c r="DU630" s="485">
        <v>0.90057275166203887</v>
      </c>
      <c r="DV630" s="485">
        <v>1.4153207199837894</v>
      </c>
      <c r="DW630" s="70">
        <v>0</v>
      </c>
      <c r="DX630" s="70">
        <v>0</v>
      </c>
      <c r="DY630" s="70">
        <v>0</v>
      </c>
      <c r="DZ630" s="70">
        <f>VLOOKUP($BS630,'État &amp; Plan d''action'!$B$6:$AH$1113,31,FALSE)</f>
        <v>0</v>
      </c>
      <c r="EA630" s="70">
        <f>VLOOKUP($BS630,'État &amp; Plan d''action'!$B$6:$AH$1113,32,FALSE)</f>
        <v>0</v>
      </c>
      <c r="EB630" s="70">
        <f>VLOOKUP($BS630,'État &amp; Plan d''action'!$B$6:$AH$1113,33,FALSE)</f>
        <v>0</v>
      </c>
      <c r="EC630" s="70">
        <v>10.739000000000001</v>
      </c>
      <c r="ED630" s="70">
        <v>0</v>
      </c>
      <c r="EE630" s="70">
        <v>0</v>
      </c>
      <c r="EF630" s="70">
        <v>0</v>
      </c>
      <c r="EG630" s="70">
        <v>0</v>
      </c>
      <c r="EH630" s="72">
        <v>61</v>
      </c>
      <c r="EI630" s="72">
        <v>1064</v>
      </c>
    </row>
    <row r="631" spans="71:139" x14ac:dyDescent="0.35">
      <c r="BS631" s="486">
        <v>28040</v>
      </c>
      <c r="BT631" s="479" t="s">
        <v>194</v>
      </c>
      <c r="BU631" s="479">
        <v>12</v>
      </c>
      <c r="BV631" s="476" t="s">
        <v>1188</v>
      </c>
      <c r="BW631" s="476" t="s">
        <v>1188</v>
      </c>
      <c r="BX631" s="476" t="s">
        <v>1188</v>
      </c>
      <c r="BY631" s="476" t="s">
        <v>1188</v>
      </c>
      <c r="BZ631" s="476" t="s">
        <v>1188</v>
      </c>
      <c r="CA631" s="476" t="s">
        <v>1188</v>
      </c>
      <c r="CB631" s="476" t="s">
        <v>1188</v>
      </c>
      <c r="CC631" s="476" t="s">
        <v>1188</v>
      </c>
      <c r="CD631" s="476" t="s">
        <v>1188</v>
      </c>
      <c r="CE631" s="476" t="s">
        <v>1187</v>
      </c>
      <c r="CF631" s="476" t="s">
        <v>1187</v>
      </c>
      <c r="CG631" s="476" t="s">
        <v>1187</v>
      </c>
      <c r="CH631" s="476" t="s">
        <v>1187</v>
      </c>
      <c r="CI631" s="476" t="s">
        <v>1187</v>
      </c>
      <c r="CJ631" s="476" t="s">
        <v>1187</v>
      </c>
      <c r="CK631" s="476" t="s">
        <v>1187</v>
      </c>
      <c r="CL631" s="476" t="s">
        <v>1187</v>
      </c>
      <c r="CM631" s="476" t="str">
        <f>IF(VLOOKUP(BS631,'Données par municipalité'!$B$6:$E$1113,4,FALSE)="","non","oui")</f>
        <v>non</v>
      </c>
      <c r="CN631" s="410" t="s">
        <v>1124</v>
      </c>
      <c r="CO631" s="410" t="s">
        <v>1124</v>
      </c>
      <c r="CP631" s="410"/>
      <c r="CQ631" s="410"/>
      <c r="CR631" s="410"/>
      <c r="CS631" s="410" t="s">
        <v>1124</v>
      </c>
      <c r="CT631" s="410"/>
      <c r="CU631" s="410" t="s">
        <v>1124</v>
      </c>
      <c r="CV631" s="410" t="str">
        <f>IF(VLOOKUP(BS631,'Données par municipalité'!$B$6:$F$1113,4,FALSE)="","",VLOOKUP(BS631,'Données par municipalité'!$B$6:$F$1113,4,FALSE))</f>
        <v/>
      </c>
      <c r="CW631" s="476" t="s">
        <v>4723</v>
      </c>
      <c r="CX631" s="483" t="s">
        <v>1124</v>
      </c>
      <c r="CY631" s="483" t="s">
        <v>1124</v>
      </c>
      <c r="CZ631" s="483" t="s">
        <v>1124</v>
      </c>
      <c r="DA631" s="483" t="s">
        <v>1124</v>
      </c>
      <c r="DB631" s="483" t="s">
        <v>1124</v>
      </c>
      <c r="DC631" s="483" t="s">
        <v>1124</v>
      </c>
      <c r="DD631" s="483" t="s">
        <v>1124</v>
      </c>
      <c r="DE631" s="483" t="str">
        <f>IFERROR(SUM(VLOOKUP($BS631,'État &amp; Plan d''action'!$B$6:$Z$1113,18,FALSE),VLOOKUP($BS631,'État &amp; Plan d''action'!$B$6:$Z$1113,20,FALSE))/(VLOOKUP($BS631,'Données par municipalité'!$B$4:$L$1113,11,FALSE)),"")</f>
        <v/>
      </c>
      <c r="DF631" s="483" t="str">
        <f>IFERROR(SUM(VLOOKUP($BS631,'État &amp; Plan d''action'!$B$6:$Z$1113,19,FALSE),VLOOKUP($BS631,'État &amp; Plan d''action'!$B$6:$Z$1113,21,FALSE))/(VLOOKUP($BS631,'Données par municipalité'!$B$4:$L$1113,11,FALSE)),"")</f>
        <v/>
      </c>
      <c r="DG631" s="476" t="s">
        <v>4723</v>
      </c>
      <c r="DH631" s="484" t="s">
        <v>1124</v>
      </c>
      <c r="DI631" s="484" t="s">
        <v>1124</v>
      </c>
      <c r="DJ631" s="484">
        <v>0</v>
      </c>
      <c r="DK631" s="484">
        <v>0</v>
      </c>
      <c r="DL631" s="484" t="s">
        <v>1124</v>
      </c>
      <c r="DM631" s="484" t="s">
        <v>1124</v>
      </c>
      <c r="DN631" s="484" t="s">
        <v>1124</v>
      </c>
      <c r="DO631" s="484" t="s">
        <v>1124</v>
      </c>
      <c r="DP631" s="484" t="s">
        <v>1124</v>
      </c>
      <c r="DQ631" s="484" t="str">
        <f>IF(VLOOKUP($BS631,'État &amp; Plan d''action'!$B$6:$AJ$1113,28,FALSE)="","",VLOOKUP($BS631,'État &amp; Plan d''action'!$B$6:$AJ$1113,28,FALSE))</f>
        <v/>
      </c>
      <c r="DR631" s="70" t="str">
        <f>IF(VLOOKUP($BS631,'État &amp; Plan d''action'!$B$6:$AJ$1113,29,FALSE)="","",VLOOKUP($BS631,'État &amp; Plan d''action'!$B$6:$AJ$1113,29,FALSE))</f>
        <v/>
      </c>
      <c r="DS631" s="70" t="str">
        <f>IF(VLOOKUP($BS631,'État &amp; Plan d''action'!$B$6:$AJ$1113,30,FALSE)="","",VLOOKUP($BS631,'État &amp; Plan d''action'!$B$6:$AJ$1113,30,FALSE))</f>
        <v/>
      </c>
      <c r="DT631" s="70" t="s">
        <v>1124</v>
      </c>
      <c r="DU631" s="485" t="s">
        <v>1124</v>
      </c>
      <c r="DV631" s="485" t="s">
        <v>1124</v>
      </c>
      <c r="DW631" s="70" t="s">
        <v>1124</v>
      </c>
      <c r="DX631" s="70" t="s">
        <v>1124</v>
      </c>
      <c r="DY631" s="70" t="s">
        <v>1124</v>
      </c>
      <c r="DZ631" s="70" t="str">
        <f>VLOOKUP($BS631,'État &amp; Plan d''action'!$B$6:$AH$1113,31,FALSE)</f>
        <v/>
      </c>
      <c r="EA631" s="70" t="str">
        <f>VLOOKUP($BS631,'État &amp; Plan d''action'!$B$6:$AH$1113,32,FALSE)</f>
        <v/>
      </c>
      <c r="EB631" s="70" t="str">
        <f>VLOOKUP($BS631,'État &amp; Plan d''action'!$B$6:$AH$1113,33,FALSE)</f>
        <v/>
      </c>
      <c r="EC631" s="70" t="s">
        <v>1124</v>
      </c>
      <c r="ED631" s="70" t="s">
        <v>1124</v>
      </c>
      <c r="EE631" s="70" t="s">
        <v>1124</v>
      </c>
      <c r="EF631" s="70" t="s">
        <v>1124</v>
      </c>
      <c r="EG631" s="70" t="s">
        <v>1124</v>
      </c>
      <c r="EH631" s="72"/>
      <c r="EI631" s="72">
        <v>498</v>
      </c>
    </row>
    <row r="632" spans="71:139" x14ac:dyDescent="0.35">
      <c r="BS632" s="486">
        <v>68035</v>
      </c>
      <c r="BT632" s="479" t="s">
        <v>679</v>
      </c>
      <c r="BU632" s="479">
        <v>16</v>
      </c>
      <c r="BV632" s="476" t="s">
        <v>1187</v>
      </c>
      <c r="BW632" s="476" t="s">
        <v>1187</v>
      </c>
      <c r="BX632" s="476" t="s">
        <v>1187</v>
      </c>
      <c r="BY632" s="476" t="s">
        <v>1187</v>
      </c>
      <c r="BZ632" s="476" t="s">
        <v>1187</v>
      </c>
      <c r="CA632" s="476" t="s">
        <v>1187</v>
      </c>
      <c r="CB632" s="476" t="s">
        <v>1187</v>
      </c>
      <c r="CC632" s="476" t="s">
        <v>1187</v>
      </c>
      <c r="CD632" s="476" t="s">
        <v>1187</v>
      </c>
      <c r="CE632" s="476" t="s">
        <v>1187</v>
      </c>
      <c r="CF632" s="476" t="s">
        <v>1187</v>
      </c>
      <c r="CG632" s="476" t="s">
        <v>1187</v>
      </c>
      <c r="CH632" s="476" t="s">
        <v>1187</v>
      </c>
      <c r="CI632" s="476" t="s">
        <v>1187</v>
      </c>
      <c r="CJ632" s="476" t="s">
        <v>1188</v>
      </c>
      <c r="CK632" s="476" t="s">
        <v>1188</v>
      </c>
      <c r="CL632" s="476" t="s">
        <v>1188</v>
      </c>
      <c r="CM632" s="476" t="str">
        <f>IF(VLOOKUP(BS632,'Données par municipalité'!$B$6:$E$1113,4,FALSE)="","non","oui")</f>
        <v>oui</v>
      </c>
      <c r="CN632" s="410" t="s">
        <v>1124</v>
      </c>
      <c r="CO632" s="410" t="s">
        <v>1124</v>
      </c>
      <c r="CP632" s="410"/>
      <c r="CQ632" s="410"/>
      <c r="CR632" s="410"/>
      <c r="CS632" s="410">
        <v>300.26489799003349</v>
      </c>
      <c r="CT632" s="410">
        <v>323</v>
      </c>
      <c r="CU632" s="410">
        <v>281</v>
      </c>
      <c r="CV632" s="410">
        <f>IF(VLOOKUP(BS632,'Données par municipalité'!$B$6:$F$1113,4,FALSE)="","",VLOOKUP(BS632,'Données par municipalité'!$B$6:$F$1113,4,FALSE))</f>
        <v>304</v>
      </c>
      <c r="CW632" s="476" t="s">
        <v>4723</v>
      </c>
      <c r="CX632" s="483" t="s">
        <v>1124</v>
      </c>
      <c r="CY632" s="483" t="s">
        <v>1124</v>
      </c>
      <c r="CZ632" s="483" t="s">
        <v>1124</v>
      </c>
      <c r="DA632" s="483" t="s">
        <v>1124</v>
      </c>
      <c r="DB632" s="483">
        <v>0</v>
      </c>
      <c r="DC632" s="483">
        <v>0</v>
      </c>
      <c r="DD632" s="483">
        <v>1</v>
      </c>
      <c r="DE632" s="483">
        <f>IFERROR(SUM(VLOOKUP($BS632,'État &amp; Plan d''action'!$B$6:$Z$1113,18,FALSE),VLOOKUP($BS632,'État &amp; Plan d''action'!$B$6:$Z$1113,20,FALSE))/(VLOOKUP($BS632,'Données par municipalité'!$B$4:$L$1113,11,FALSE)),"")</f>
        <v>1</v>
      </c>
      <c r="DF632" s="483">
        <f>IFERROR(SUM(VLOOKUP($BS632,'État &amp; Plan d''action'!$B$6:$Z$1113,19,FALSE),VLOOKUP($BS632,'État &amp; Plan d''action'!$B$6:$Z$1113,21,FALSE))/(VLOOKUP($BS632,'Données par municipalité'!$B$4:$L$1113,11,FALSE)),"")</f>
        <v>1</v>
      </c>
      <c r="DG632" s="476" t="s">
        <v>4723</v>
      </c>
      <c r="DH632" s="484">
        <v>0</v>
      </c>
      <c r="DI632" s="484">
        <v>2</v>
      </c>
      <c r="DJ632" s="484">
        <v>2</v>
      </c>
      <c r="DK632" s="484">
        <v>0</v>
      </c>
      <c r="DL632" s="484">
        <v>0</v>
      </c>
      <c r="DM632" s="484">
        <v>0</v>
      </c>
      <c r="DN632" s="484">
        <v>0</v>
      </c>
      <c r="DO632" s="484">
        <v>0</v>
      </c>
      <c r="DP632" s="484">
        <v>1</v>
      </c>
      <c r="DQ632" s="484">
        <f>IF(VLOOKUP($BS632,'État &amp; Plan d''action'!$B$6:$AJ$1113,28,FALSE)="","",VLOOKUP($BS632,'État &amp; Plan d''action'!$B$6:$AJ$1113,28,FALSE))</f>
        <v>0</v>
      </c>
      <c r="DR632" s="70">
        <f>IF(VLOOKUP($BS632,'État &amp; Plan d''action'!$B$6:$AJ$1113,29,FALSE)="","",VLOOKUP($BS632,'État &amp; Plan d''action'!$B$6:$AJ$1113,29,FALSE))</f>
        <v>0</v>
      </c>
      <c r="DS632" s="70">
        <f>IF(VLOOKUP($BS632,'État &amp; Plan d''action'!$B$6:$AJ$1113,30,FALSE)="","",VLOOKUP($BS632,'État &amp; Plan d''action'!$B$6:$AJ$1113,30,FALSE))</f>
        <v>2</v>
      </c>
      <c r="DT632" s="70">
        <v>206</v>
      </c>
      <c r="DU632" s="485">
        <v>1.8228285909033879</v>
      </c>
      <c r="DV632" s="485">
        <v>0.8</v>
      </c>
      <c r="DW632" s="70">
        <v>0</v>
      </c>
      <c r="DX632" s="70">
        <v>0</v>
      </c>
      <c r="DY632" s="70">
        <v>7</v>
      </c>
      <c r="DZ632" s="70">
        <f>VLOOKUP($BS632,'État &amp; Plan d''action'!$B$6:$AH$1113,31,FALSE)</f>
        <v>0</v>
      </c>
      <c r="EA632" s="70">
        <f>VLOOKUP($BS632,'État &amp; Plan d''action'!$B$6:$AH$1113,32,FALSE)</f>
        <v>0</v>
      </c>
      <c r="EB632" s="70">
        <f>VLOOKUP($BS632,'État &amp; Plan d''action'!$B$6:$AH$1113,33,FALSE)</f>
        <v>7</v>
      </c>
      <c r="EC632" s="70">
        <v>0</v>
      </c>
      <c r="ED632" s="70">
        <v>0</v>
      </c>
      <c r="EE632" s="70">
        <v>4.3760000000000003</v>
      </c>
      <c r="EF632" s="70">
        <v>0</v>
      </c>
      <c r="EG632" s="70">
        <v>0</v>
      </c>
      <c r="EH632" s="72">
        <v>49</v>
      </c>
      <c r="EI632" s="72">
        <v>1999</v>
      </c>
    </row>
    <row r="633" spans="71:139" x14ac:dyDescent="0.35">
      <c r="BS633" s="486">
        <v>17045</v>
      </c>
      <c r="BT633" s="479" t="s">
        <v>98</v>
      </c>
      <c r="BU633" s="479">
        <v>12</v>
      </c>
      <c r="BV633" s="476" t="s">
        <v>1188</v>
      </c>
      <c r="BW633" s="476" t="s">
        <v>1188</v>
      </c>
      <c r="BX633" s="476" t="s">
        <v>1188</v>
      </c>
      <c r="BY633" s="476" t="s">
        <v>1188</v>
      </c>
      <c r="BZ633" s="476" t="s">
        <v>1188</v>
      </c>
      <c r="CA633" s="476" t="s">
        <v>1188</v>
      </c>
      <c r="CB633" s="476" t="s">
        <v>1188</v>
      </c>
      <c r="CC633" s="476" t="s">
        <v>1188</v>
      </c>
      <c r="CD633" s="476" t="s">
        <v>1188</v>
      </c>
      <c r="CE633" s="476" t="s">
        <v>1187</v>
      </c>
      <c r="CF633" s="476" t="s">
        <v>1187</v>
      </c>
      <c r="CG633" s="476" t="s">
        <v>1187</v>
      </c>
      <c r="CH633" s="476" t="s">
        <v>1187</v>
      </c>
      <c r="CI633" s="476" t="s">
        <v>1187</v>
      </c>
      <c r="CJ633" s="476" t="s">
        <v>1187</v>
      </c>
      <c r="CK633" s="476" t="s">
        <v>1187</v>
      </c>
      <c r="CL633" s="476" t="s">
        <v>1187</v>
      </c>
      <c r="CM633" s="476" t="str">
        <f>IF(VLOOKUP(BS633,'Données par municipalité'!$B$6:$E$1113,4,FALSE)="","non","oui")</f>
        <v>non</v>
      </c>
      <c r="CN633" s="410" t="s">
        <v>1124</v>
      </c>
      <c r="CO633" s="410" t="s">
        <v>1124</v>
      </c>
      <c r="CP633" s="410"/>
      <c r="CQ633" s="410"/>
      <c r="CR633" s="410"/>
      <c r="CS633" s="410" t="s">
        <v>1124</v>
      </c>
      <c r="CT633" s="410"/>
      <c r="CU633" s="410" t="s">
        <v>1124</v>
      </c>
      <c r="CV633" s="410" t="str">
        <f>IF(VLOOKUP(BS633,'Données par municipalité'!$B$6:$F$1113,4,FALSE)="","",VLOOKUP(BS633,'Données par municipalité'!$B$6:$F$1113,4,FALSE))</f>
        <v/>
      </c>
      <c r="CW633" s="476" t="s">
        <v>4723</v>
      </c>
      <c r="CX633" s="483" t="s">
        <v>1124</v>
      </c>
      <c r="CY633" s="483" t="s">
        <v>1124</v>
      </c>
      <c r="CZ633" s="483" t="s">
        <v>1124</v>
      </c>
      <c r="DA633" s="483" t="s">
        <v>1124</v>
      </c>
      <c r="DB633" s="483" t="s">
        <v>1124</v>
      </c>
      <c r="DC633" s="483" t="s">
        <v>1124</v>
      </c>
      <c r="DD633" s="483" t="s">
        <v>1124</v>
      </c>
      <c r="DE633" s="483" t="str">
        <f>IFERROR(SUM(VLOOKUP($BS633,'État &amp; Plan d''action'!$B$6:$Z$1113,18,FALSE),VLOOKUP($BS633,'État &amp; Plan d''action'!$B$6:$Z$1113,20,FALSE))/(VLOOKUP($BS633,'Données par municipalité'!$B$4:$L$1113,11,FALSE)),"")</f>
        <v/>
      </c>
      <c r="DF633" s="483" t="str">
        <f>IFERROR(SUM(VLOOKUP($BS633,'État &amp; Plan d''action'!$B$6:$Z$1113,19,FALSE),VLOOKUP($BS633,'État &amp; Plan d''action'!$B$6:$Z$1113,21,FALSE))/(VLOOKUP($BS633,'Données par municipalité'!$B$4:$L$1113,11,FALSE)),"")</f>
        <v/>
      </c>
      <c r="DG633" s="476" t="s">
        <v>4723</v>
      </c>
      <c r="DH633" s="484" t="s">
        <v>1124</v>
      </c>
      <c r="DI633" s="484" t="s">
        <v>1124</v>
      </c>
      <c r="DJ633" s="484">
        <v>0</v>
      </c>
      <c r="DK633" s="484">
        <v>0</v>
      </c>
      <c r="DL633" s="484" t="s">
        <v>1124</v>
      </c>
      <c r="DM633" s="484" t="s">
        <v>1124</v>
      </c>
      <c r="DN633" s="484" t="s">
        <v>1124</v>
      </c>
      <c r="DO633" s="484" t="s">
        <v>1124</v>
      </c>
      <c r="DP633" s="484" t="s">
        <v>1124</v>
      </c>
      <c r="DQ633" s="484" t="str">
        <f>IF(VLOOKUP($BS633,'État &amp; Plan d''action'!$B$6:$AJ$1113,28,FALSE)="","",VLOOKUP($BS633,'État &amp; Plan d''action'!$B$6:$AJ$1113,28,FALSE))</f>
        <v/>
      </c>
      <c r="DR633" s="70" t="str">
        <f>IF(VLOOKUP($BS633,'État &amp; Plan d''action'!$B$6:$AJ$1113,29,FALSE)="","",VLOOKUP($BS633,'État &amp; Plan d''action'!$B$6:$AJ$1113,29,FALSE))</f>
        <v/>
      </c>
      <c r="DS633" s="70" t="str">
        <f>IF(VLOOKUP($BS633,'État &amp; Plan d''action'!$B$6:$AJ$1113,30,FALSE)="","",VLOOKUP($BS633,'État &amp; Plan d''action'!$B$6:$AJ$1113,30,FALSE))</f>
        <v/>
      </c>
      <c r="DT633" s="70" t="s">
        <v>1124</v>
      </c>
      <c r="DU633" s="485" t="s">
        <v>1124</v>
      </c>
      <c r="DV633" s="485" t="s">
        <v>1124</v>
      </c>
      <c r="DW633" s="70" t="s">
        <v>1124</v>
      </c>
      <c r="DX633" s="70" t="s">
        <v>1124</v>
      </c>
      <c r="DY633" s="70" t="s">
        <v>1124</v>
      </c>
      <c r="DZ633" s="70" t="str">
        <f>VLOOKUP($BS633,'État &amp; Plan d''action'!$B$6:$AH$1113,31,FALSE)</f>
        <v/>
      </c>
      <c r="EA633" s="70" t="str">
        <f>VLOOKUP($BS633,'État &amp; Plan d''action'!$B$6:$AH$1113,32,FALSE)</f>
        <v/>
      </c>
      <c r="EB633" s="70" t="str">
        <f>VLOOKUP($BS633,'État &amp; Plan d''action'!$B$6:$AH$1113,33,FALSE)</f>
        <v/>
      </c>
      <c r="EC633" s="70" t="s">
        <v>1124</v>
      </c>
      <c r="ED633" s="70" t="s">
        <v>1124</v>
      </c>
      <c r="EE633" s="70" t="s">
        <v>1124</v>
      </c>
      <c r="EF633" s="70" t="s">
        <v>1124</v>
      </c>
      <c r="EG633" s="70" t="s">
        <v>1124</v>
      </c>
      <c r="EH633" s="72"/>
      <c r="EI633" s="72">
        <v>717</v>
      </c>
    </row>
    <row r="634" spans="71:139" x14ac:dyDescent="0.35">
      <c r="BS634" s="486">
        <v>49070</v>
      </c>
      <c r="BT634" s="479" t="s">
        <v>472</v>
      </c>
      <c r="BU634" s="479">
        <v>17</v>
      </c>
      <c r="BV634" s="476" t="s">
        <v>1187</v>
      </c>
      <c r="BW634" s="476" t="s">
        <v>1187</v>
      </c>
      <c r="BX634" s="476" t="s">
        <v>1187</v>
      </c>
      <c r="BY634" s="476" t="s">
        <v>1187</v>
      </c>
      <c r="BZ634" s="476" t="s">
        <v>1187</v>
      </c>
      <c r="CA634" s="476" t="s">
        <v>1187</v>
      </c>
      <c r="CB634" s="476" t="s">
        <v>1187</v>
      </c>
      <c r="CC634" s="476" t="s">
        <v>1187</v>
      </c>
      <c r="CD634" s="476" t="s">
        <v>1187</v>
      </c>
      <c r="CE634" s="476" t="s">
        <v>1188</v>
      </c>
      <c r="CF634" s="476" t="s">
        <v>1188</v>
      </c>
      <c r="CG634" s="476" t="s">
        <v>1188</v>
      </c>
      <c r="CH634" s="476" t="s">
        <v>1188</v>
      </c>
      <c r="CI634" s="476" t="s">
        <v>1188</v>
      </c>
      <c r="CJ634" s="476" t="s">
        <v>1188</v>
      </c>
      <c r="CK634" s="476" t="s">
        <v>1188</v>
      </c>
      <c r="CL634" s="476" t="s">
        <v>1188</v>
      </c>
      <c r="CM634" s="476" t="str">
        <f>IF(VLOOKUP(BS634,'Données par municipalité'!$B$6:$E$1113,4,FALSE)="","non","oui")</f>
        <v>oui</v>
      </c>
      <c r="CN634" s="410">
        <v>198.68521761011564</v>
      </c>
      <c r="CO634" s="410">
        <v>277.42372360778359</v>
      </c>
      <c r="CP634" s="410">
        <v>234.71501894934724</v>
      </c>
      <c r="CQ634" s="410">
        <v>215.55044506557732</v>
      </c>
      <c r="CR634" s="410">
        <v>180.07008713561109</v>
      </c>
      <c r="CS634" s="410">
        <v>185.1727546099479</v>
      </c>
      <c r="CT634" s="410">
        <v>168.4461593474382</v>
      </c>
      <c r="CU634" s="410">
        <v>183</v>
      </c>
      <c r="CV634" s="410">
        <f>IF(VLOOKUP(BS634,'Données par municipalité'!$B$6:$F$1113,4,FALSE)="","",VLOOKUP(BS634,'Données par municipalité'!$B$6:$F$1113,4,FALSE))</f>
        <v>236</v>
      </c>
      <c r="CW634" s="476" t="s">
        <v>4723</v>
      </c>
      <c r="CX634" s="483">
        <v>0</v>
      </c>
      <c r="CY634" s="483">
        <v>0</v>
      </c>
      <c r="CZ634" s="483">
        <v>0</v>
      </c>
      <c r="DA634" s="483">
        <v>0</v>
      </c>
      <c r="DB634" s="483">
        <v>0</v>
      </c>
      <c r="DC634" s="483">
        <v>0</v>
      </c>
      <c r="DD634" s="483">
        <v>0</v>
      </c>
      <c r="DE634" s="483">
        <f>IFERROR(SUM(VLOOKUP($BS634,'État &amp; Plan d''action'!$B$6:$Z$1113,18,FALSE),VLOOKUP($BS634,'État &amp; Plan d''action'!$B$6:$Z$1113,20,FALSE))/(VLOOKUP($BS634,'Données par municipalité'!$B$4:$L$1113,11,FALSE)),"")</f>
        <v>0</v>
      </c>
      <c r="DF634" s="483">
        <f>IFERROR(SUM(VLOOKUP($BS634,'État &amp; Plan d''action'!$B$6:$Z$1113,19,FALSE),VLOOKUP($BS634,'État &amp; Plan d''action'!$B$6:$Z$1113,21,FALSE))/(VLOOKUP($BS634,'Données par municipalité'!$B$4:$L$1113,11,FALSE)),"")</f>
        <v>0</v>
      </c>
      <c r="DG634" s="476" t="s">
        <v>4723</v>
      </c>
      <c r="DH634" s="484">
        <v>1</v>
      </c>
      <c r="DI634" s="484">
        <v>4</v>
      </c>
      <c r="DJ634" s="484">
        <v>5</v>
      </c>
      <c r="DK634" s="484">
        <v>3</v>
      </c>
      <c r="DL634" s="484">
        <v>3</v>
      </c>
      <c r="DM634" s="484">
        <v>1</v>
      </c>
      <c r="DN634" s="484">
        <v>2</v>
      </c>
      <c r="DO634" s="484">
        <v>0</v>
      </c>
      <c r="DP634" s="484">
        <v>0</v>
      </c>
      <c r="DQ634" s="484">
        <f>IF(VLOOKUP($BS634,'État &amp; Plan d''action'!$B$6:$AJ$1113,28,FALSE)="","",VLOOKUP($BS634,'État &amp; Plan d''action'!$B$6:$AJ$1113,28,FALSE))</f>
        <v>4</v>
      </c>
      <c r="DR634" s="70">
        <f>IF(VLOOKUP($BS634,'État &amp; Plan d''action'!$B$6:$AJ$1113,29,FALSE)="","",VLOOKUP($BS634,'État &amp; Plan d''action'!$B$6:$AJ$1113,29,FALSE))</f>
        <v>1</v>
      </c>
      <c r="DS634" s="70">
        <f>IF(VLOOKUP($BS634,'État &amp; Plan d''action'!$B$6:$AJ$1113,30,FALSE)="","",VLOOKUP($BS634,'État &amp; Plan d''action'!$B$6:$AJ$1113,30,FALSE))</f>
        <v>1</v>
      </c>
      <c r="DT634" s="70">
        <v>141</v>
      </c>
      <c r="DU634" s="485">
        <v>1.4290086216228681</v>
      </c>
      <c r="DV634" s="485">
        <v>3.1842963314832731</v>
      </c>
      <c r="DW634" s="70">
        <v>1</v>
      </c>
      <c r="DX634" s="70">
        <v>0</v>
      </c>
      <c r="DY634" s="70">
        <v>0</v>
      </c>
      <c r="DZ634" s="70">
        <f>VLOOKUP($BS634,'État &amp; Plan d''action'!$B$6:$AH$1113,31,FALSE)</f>
        <v>1</v>
      </c>
      <c r="EA634" s="70">
        <f>VLOOKUP($BS634,'État &amp; Plan d''action'!$B$6:$AH$1113,32,FALSE)</f>
        <v>1</v>
      </c>
      <c r="EB634" s="70">
        <f>VLOOKUP($BS634,'État &amp; Plan d''action'!$B$6:$AH$1113,33,FALSE)</f>
        <v>4</v>
      </c>
      <c r="EC634" s="70">
        <v>0</v>
      </c>
      <c r="ED634" s="70">
        <v>0</v>
      </c>
      <c r="EE634" s="70">
        <v>0</v>
      </c>
      <c r="EF634" s="70">
        <v>0</v>
      </c>
      <c r="EG634" s="70">
        <v>0</v>
      </c>
      <c r="EH634" s="72">
        <v>62</v>
      </c>
      <c r="EI634" s="72">
        <v>4804</v>
      </c>
    </row>
    <row r="635" spans="71:139" x14ac:dyDescent="0.35">
      <c r="BS635" s="486">
        <v>7105</v>
      </c>
      <c r="BT635" s="479" t="s">
        <v>1085</v>
      </c>
      <c r="BU635" s="479">
        <v>1</v>
      </c>
      <c r="BV635" s="476" t="s">
        <v>1187</v>
      </c>
      <c r="BW635" s="476" t="s">
        <v>1187</v>
      </c>
      <c r="BX635" s="476" t="s">
        <v>1187</v>
      </c>
      <c r="BY635" s="476" t="s">
        <v>1187</v>
      </c>
      <c r="BZ635" s="476" t="s">
        <v>1187</v>
      </c>
      <c r="CA635" s="476" t="s">
        <v>1187</v>
      </c>
      <c r="CB635" s="476" t="s">
        <v>1187</v>
      </c>
      <c r="CC635" s="476" t="s">
        <v>1187</v>
      </c>
      <c r="CD635" s="476" t="s">
        <v>1187</v>
      </c>
      <c r="CE635" s="476" t="s">
        <v>1188</v>
      </c>
      <c r="CF635" s="476" t="s">
        <v>1188</v>
      </c>
      <c r="CG635" s="476" t="s">
        <v>1187</v>
      </c>
      <c r="CH635" s="476" t="s">
        <v>1188</v>
      </c>
      <c r="CI635" s="476" t="s">
        <v>1188</v>
      </c>
      <c r="CJ635" s="476" t="s">
        <v>1188</v>
      </c>
      <c r="CK635" s="476" t="s">
        <v>1188</v>
      </c>
      <c r="CL635" s="476" t="s">
        <v>1187</v>
      </c>
      <c r="CM635" s="476" t="str">
        <f>IF(VLOOKUP(BS635,'Données par municipalité'!$B$6:$E$1113,4,FALSE)="","non","oui")</f>
        <v>oui</v>
      </c>
      <c r="CN635" s="410">
        <v>347.13619265793699</v>
      </c>
      <c r="CO635" s="410">
        <v>350.40810759508793</v>
      </c>
      <c r="CP635" s="410"/>
      <c r="CQ635" s="410">
        <v>342.60385195946026</v>
      </c>
      <c r="CR635" s="410">
        <v>253.2395409107738</v>
      </c>
      <c r="CS635" s="410">
        <v>282.57224156447813</v>
      </c>
      <c r="CT635" s="410">
        <v>238.06417544186621</v>
      </c>
      <c r="CU635" s="410" t="s">
        <v>1124</v>
      </c>
      <c r="CV635" s="410">
        <f>IF(VLOOKUP(BS635,'Données par municipalité'!$B$6:$F$1113,4,FALSE)="","",VLOOKUP(BS635,'Données par municipalité'!$B$6:$F$1113,4,FALSE))</f>
        <v>298</v>
      </c>
      <c r="CW635" s="476" t="s">
        <v>4723</v>
      </c>
      <c r="CX635" s="483">
        <v>0</v>
      </c>
      <c r="CY635" s="483" t="s">
        <v>1124</v>
      </c>
      <c r="CZ635" s="483">
        <v>0</v>
      </c>
      <c r="DA635" s="483">
        <v>1</v>
      </c>
      <c r="DB635" s="483">
        <v>0</v>
      </c>
      <c r="DC635" s="483">
        <v>0</v>
      </c>
      <c r="DD635" s="483" t="s">
        <v>1124</v>
      </c>
      <c r="DE635" s="483">
        <f>IFERROR(SUM(VLOOKUP($BS635,'État &amp; Plan d''action'!$B$6:$Z$1113,18,FALSE),VLOOKUP($BS635,'État &amp; Plan d''action'!$B$6:$Z$1113,20,FALSE))/(VLOOKUP($BS635,'Données par municipalité'!$B$4:$L$1113,11,FALSE)),"")</f>
        <v>0</v>
      </c>
      <c r="DF635" s="483">
        <f>IFERROR(SUM(VLOOKUP($BS635,'État &amp; Plan d''action'!$B$6:$Z$1113,19,FALSE),VLOOKUP($BS635,'État &amp; Plan d''action'!$B$6:$Z$1113,21,FALSE))/(VLOOKUP($BS635,'Données par municipalité'!$B$4:$L$1113,11,FALSE)),"")</f>
        <v>0</v>
      </c>
      <c r="DG635" s="476" t="s">
        <v>4723</v>
      </c>
      <c r="DH635" s="484">
        <v>0</v>
      </c>
      <c r="DI635" s="484" t="s">
        <v>1124</v>
      </c>
      <c r="DJ635" s="484">
        <v>1</v>
      </c>
      <c r="DK635" s="484">
        <v>0</v>
      </c>
      <c r="DL635" s="484">
        <v>0</v>
      </c>
      <c r="DM635" s="484">
        <v>0</v>
      </c>
      <c r="DN635" s="484" t="s">
        <v>1124</v>
      </c>
      <c r="DO635" s="484" t="s">
        <v>1124</v>
      </c>
      <c r="DP635" s="484" t="s">
        <v>1124</v>
      </c>
      <c r="DQ635" s="484">
        <f>IF(VLOOKUP($BS635,'État &amp; Plan d''action'!$B$6:$AJ$1113,28,FALSE)="","",VLOOKUP($BS635,'État &amp; Plan d''action'!$B$6:$AJ$1113,28,FALSE))</f>
        <v>0</v>
      </c>
      <c r="DR635" s="70">
        <f>IF(VLOOKUP($BS635,'État &amp; Plan d''action'!$B$6:$AJ$1113,29,FALSE)="","",VLOOKUP($BS635,'État &amp; Plan d''action'!$B$6:$AJ$1113,29,FALSE))</f>
        <v>0</v>
      </c>
      <c r="DS635" s="70">
        <f>IF(VLOOKUP($BS635,'État &amp; Plan d''action'!$B$6:$AJ$1113,30,FALSE)="","",VLOOKUP($BS635,'État &amp; Plan d''action'!$B$6:$AJ$1113,30,FALSE))</f>
        <v>0</v>
      </c>
      <c r="DT635" s="70" t="s">
        <v>1124</v>
      </c>
      <c r="DU635" s="485" t="s">
        <v>1124</v>
      </c>
      <c r="DV635" s="485">
        <v>2.0525401249471691</v>
      </c>
      <c r="DW635" s="70" t="s">
        <v>1124</v>
      </c>
      <c r="DX635" s="70" t="s">
        <v>1124</v>
      </c>
      <c r="DY635" s="70" t="s">
        <v>1124</v>
      </c>
      <c r="DZ635" s="70">
        <f>VLOOKUP($BS635,'État &amp; Plan d''action'!$B$6:$AH$1113,31,FALSE)</f>
        <v>0</v>
      </c>
      <c r="EA635" s="70">
        <f>VLOOKUP($BS635,'État &amp; Plan d''action'!$B$6:$AH$1113,32,FALSE)</f>
        <v>0</v>
      </c>
      <c r="EB635" s="70">
        <f>VLOOKUP($BS635,'État &amp; Plan d''action'!$B$6:$AH$1113,33,FALSE)</f>
        <v>0</v>
      </c>
      <c r="EC635" s="70" t="s">
        <v>1124</v>
      </c>
      <c r="ED635" s="70" t="s">
        <v>1124</v>
      </c>
      <c r="EE635" s="70" t="s">
        <v>1124</v>
      </c>
      <c r="EF635" s="70" t="s">
        <v>1124</v>
      </c>
      <c r="EG635" s="70" t="s">
        <v>1124</v>
      </c>
      <c r="EH635" s="72"/>
      <c r="EI635" s="72">
        <v>333</v>
      </c>
    </row>
    <row r="636" spans="71:139" x14ac:dyDescent="0.35">
      <c r="BS636" s="486">
        <v>54017</v>
      </c>
      <c r="BT636" s="479" t="s">
        <v>543</v>
      </c>
      <c r="BU636" s="479">
        <v>16</v>
      </c>
      <c r="BV636" s="476" t="s">
        <v>1187</v>
      </c>
      <c r="BW636" s="476" t="s">
        <v>1187</v>
      </c>
      <c r="BX636" s="476" t="s">
        <v>1187</v>
      </c>
      <c r="BY636" s="476" t="s">
        <v>1187</v>
      </c>
      <c r="BZ636" s="476" t="s">
        <v>1187</v>
      </c>
      <c r="CA636" s="476" t="s">
        <v>1187</v>
      </c>
      <c r="CB636" s="476" t="s">
        <v>1187</v>
      </c>
      <c r="CC636" s="476" t="s">
        <v>1187</v>
      </c>
      <c r="CD636" s="476" t="s">
        <v>1187</v>
      </c>
      <c r="CE636" s="476" t="s">
        <v>1188</v>
      </c>
      <c r="CF636" s="476" t="s">
        <v>1188</v>
      </c>
      <c r="CG636" s="476" t="s">
        <v>1188</v>
      </c>
      <c r="CH636" s="476" t="s">
        <v>1188</v>
      </c>
      <c r="CI636" s="476" t="s">
        <v>1188</v>
      </c>
      <c r="CJ636" s="476" t="s">
        <v>1188</v>
      </c>
      <c r="CK636" s="476" t="s">
        <v>1188</v>
      </c>
      <c r="CL636" s="476" t="s">
        <v>1188</v>
      </c>
      <c r="CM636" s="476" t="str">
        <f>IF(VLOOKUP(BS636,'Données par municipalité'!$B$6:$E$1113,4,FALSE)="","non","oui")</f>
        <v>oui</v>
      </c>
      <c r="CN636" s="410">
        <v>1613.9166524383038</v>
      </c>
      <c r="CO636" s="410">
        <v>1615.5784226380254</v>
      </c>
      <c r="CP636" s="410">
        <v>1576.3801420878481</v>
      </c>
      <c r="CQ636" s="410">
        <v>1683.4520113757246</v>
      </c>
      <c r="CR636" s="410">
        <v>1496.2308910849595</v>
      </c>
      <c r="CS636" s="410">
        <v>1571.289074324897</v>
      </c>
      <c r="CT636" s="410">
        <v>1595.6035819049519</v>
      </c>
      <c r="CU636" s="410">
        <v>1799</v>
      </c>
      <c r="CV636" s="410">
        <f>IF(VLOOKUP(BS636,'Données par municipalité'!$B$6:$F$1113,4,FALSE)="","",VLOOKUP(BS636,'Données par municipalité'!$B$6:$F$1113,4,FALSE))</f>
        <v>2313</v>
      </c>
      <c r="CW636" s="476" t="s">
        <v>4723</v>
      </c>
      <c r="CX636" s="483">
        <v>0</v>
      </c>
      <c r="CY636" s="483">
        <v>0</v>
      </c>
      <c r="CZ636" s="483">
        <v>0</v>
      </c>
      <c r="DA636" s="483">
        <v>0</v>
      </c>
      <c r="DB636" s="483">
        <v>0</v>
      </c>
      <c r="DC636" s="483">
        <v>0</v>
      </c>
      <c r="DD636" s="483">
        <v>0</v>
      </c>
      <c r="DE636" s="483">
        <f>IFERROR(SUM(VLOOKUP($BS636,'État &amp; Plan d''action'!$B$6:$Z$1113,18,FALSE),VLOOKUP($BS636,'État &amp; Plan d''action'!$B$6:$Z$1113,20,FALSE))/(VLOOKUP($BS636,'Données par municipalité'!$B$4:$L$1113,11,FALSE)),"")</f>
        <v>0</v>
      </c>
      <c r="DF636" s="483">
        <f>IFERROR(SUM(VLOOKUP($BS636,'État &amp; Plan d''action'!$B$6:$Z$1113,19,FALSE),VLOOKUP($BS636,'État &amp; Plan d''action'!$B$6:$Z$1113,21,FALSE))/(VLOOKUP($BS636,'Données par municipalité'!$B$4:$L$1113,11,FALSE)),"")</f>
        <v>0</v>
      </c>
      <c r="DG636" s="476" t="s">
        <v>4723</v>
      </c>
      <c r="DH636" s="484">
        <v>0</v>
      </c>
      <c r="DI636" s="484">
        <v>0</v>
      </c>
      <c r="DJ636" s="484">
        <v>2</v>
      </c>
      <c r="DK636" s="484">
        <v>2</v>
      </c>
      <c r="DL636" s="484">
        <v>0</v>
      </c>
      <c r="DM636" s="484">
        <v>1</v>
      </c>
      <c r="DN636" s="484">
        <v>0</v>
      </c>
      <c r="DO636" s="484">
        <v>0</v>
      </c>
      <c r="DP636" s="484">
        <v>2</v>
      </c>
      <c r="DQ636" s="484">
        <f>IF(VLOOKUP($BS636,'État &amp; Plan d''action'!$B$6:$AJ$1113,28,FALSE)="","",VLOOKUP($BS636,'État &amp; Plan d''action'!$B$6:$AJ$1113,28,FALSE))</f>
        <v>0</v>
      </c>
      <c r="DR636" s="70">
        <f>IF(VLOOKUP($BS636,'État &amp; Plan d''action'!$B$6:$AJ$1113,29,FALSE)="","",VLOOKUP($BS636,'État &amp; Plan d''action'!$B$6:$AJ$1113,29,FALSE))</f>
        <v>1</v>
      </c>
      <c r="DS636" s="70">
        <f>IF(VLOOKUP($BS636,'État &amp; Plan d''action'!$B$6:$AJ$1113,30,FALSE)="","",VLOOKUP($BS636,'État &amp; Plan d''action'!$B$6:$AJ$1113,30,FALSE))</f>
        <v>0</v>
      </c>
      <c r="DT636" s="70">
        <v>318</v>
      </c>
      <c r="DU636" s="485">
        <v>1.0736932409202218</v>
      </c>
      <c r="DV636" s="485">
        <v>0.63838058041631363</v>
      </c>
      <c r="DW636" s="70">
        <v>0</v>
      </c>
      <c r="DX636" s="70">
        <v>0</v>
      </c>
      <c r="DY636" s="70">
        <v>5</v>
      </c>
      <c r="DZ636" s="70">
        <f>VLOOKUP($BS636,'État &amp; Plan d''action'!$B$6:$AH$1113,31,FALSE)</f>
        <v>0</v>
      </c>
      <c r="EA636" s="70">
        <f>VLOOKUP($BS636,'État &amp; Plan d''action'!$B$6:$AH$1113,32,FALSE)</f>
        <v>1</v>
      </c>
      <c r="EB636" s="70">
        <f>VLOOKUP($BS636,'État &amp; Plan d''action'!$B$6:$AH$1113,33,FALSE)</f>
        <v>0</v>
      </c>
      <c r="EC636" s="70">
        <v>0</v>
      </c>
      <c r="ED636" s="70">
        <v>0</v>
      </c>
      <c r="EE636" s="70">
        <v>0</v>
      </c>
      <c r="EF636" s="70">
        <v>0</v>
      </c>
      <c r="EG636" s="70">
        <v>0</v>
      </c>
      <c r="EH636" s="72">
        <v>72.984258974095738</v>
      </c>
      <c r="EI636" s="72">
        <v>2544</v>
      </c>
    </row>
    <row r="637" spans="71:139" x14ac:dyDescent="0.35">
      <c r="BS637" s="486">
        <v>17040</v>
      </c>
      <c r="BT637" s="479" t="s">
        <v>97</v>
      </c>
      <c r="BU637" s="479">
        <v>12</v>
      </c>
      <c r="BV637" s="476" t="s">
        <v>1188</v>
      </c>
      <c r="BW637" s="476" t="s">
        <v>1188</v>
      </c>
      <c r="BX637" s="476" t="s">
        <v>1188</v>
      </c>
      <c r="BY637" s="476" t="s">
        <v>1188</v>
      </c>
      <c r="BZ637" s="476" t="s">
        <v>1188</v>
      </c>
      <c r="CA637" s="476" t="s">
        <v>1188</v>
      </c>
      <c r="CB637" s="476" t="s">
        <v>1188</v>
      </c>
      <c r="CC637" s="476" t="s">
        <v>1188</v>
      </c>
      <c r="CD637" s="476" t="s">
        <v>1188</v>
      </c>
      <c r="CE637" s="476" t="s">
        <v>1187</v>
      </c>
      <c r="CF637" s="476" t="s">
        <v>1187</v>
      </c>
      <c r="CG637" s="476" t="s">
        <v>1187</v>
      </c>
      <c r="CH637" s="476" t="s">
        <v>1187</v>
      </c>
      <c r="CI637" s="476" t="s">
        <v>1187</v>
      </c>
      <c r="CJ637" s="476" t="s">
        <v>1187</v>
      </c>
      <c r="CK637" s="476" t="s">
        <v>1187</v>
      </c>
      <c r="CL637" s="476" t="s">
        <v>1187</v>
      </c>
      <c r="CM637" s="476" t="str">
        <f>IF(VLOOKUP(BS637,'Données par municipalité'!$B$6:$E$1113,4,FALSE)="","non","oui")</f>
        <v>non</v>
      </c>
      <c r="CN637" s="410" t="s">
        <v>1124</v>
      </c>
      <c r="CO637" s="410" t="s">
        <v>1124</v>
      </c>
      <c r="CP637" s="410"/>
      <c r="CQ637" s="410"/>
      <c r="CR637" s="410"/>
      <c r="CS637" s="410" t="s">
        <v>1124</v>
      </c>
      <c r="CT637" s="410"/>
      <c r="CU637" s="410" t="s">
        <v>1124</v>
      </c>
      <c r="CV637" s="410" t="str">
        <f>IF(VLOOKUP(BS637,'Données par municipalité'!$B$6:$F$1113,4,FALSE)="","",VLOOKUP(BS637,'Données par municipalité'!$B$6:$F$1113,4,FALSE))</f>
        <v/>
      </c>
      <c r="CW637" s="476" t="s">
        <v>4723</v>
      </c>
      <c r="CX637" s="483" t="s">
        <v>1124</v>
      </c>
      <c r="CY637" s="483" t="s">
        <v>1124</v>
      </c>
      <c r="CZ637" s="483" t="s">
        <v>1124</v>
      </c>
      <c r="DA637" s="483" t="s">
        <v>1124</v>
      </c>
      <c r="DB637" s="483" t="s">
        <v>1124</v>
      </c>
      <c r="DC637" s="483" t="s">
        <v>1124</v>
      </c>
      <c r="DD637" s="483" t="s">
        <v>1124</v>
      </c>
      <c r="DE637" s="483" t="str">
        <f>IFERROR(SUM(VLOOKUP($BS637,'État &amp; Plan d''action'!$B$6:$Z$1113,18,FALSE),VLOOKUP($BS637,'État &amp; Plan d''action'!$B$6:$Z$1113,20,FALSE))/(VLOOKUP($BS637,'Données par municipalité'!$B$4:$L$1113,11,FALSE)),"")</f>
        <v/>
      </c>
      <c r="DF637" s="483" t="str">
        <f>IFERROR(SUM(VLOOKUP($BS637,'État &amp; Plan d''action'!$B$6:$Z$1113,19,FALSE),VLOOKUP($BS637,'État &amp; Plan d''action'!$B$6:$Z$1113,21,FALSE))/(VLOOKUP($BS637,'Données par municipalité'!$B$4:$L$1113,11,FALSE)),"")</f>
        <v/>
      </c>
      <c r="DG637" s="476" t="s">
        <v>4723</v>
      </c>
      <c r="DH637" s="484" t="s">
        <v>1124</v>
      </c>
      <c r="DI637" s="484" t="s">
        <v>1124</v>
      </c>
      <c r="DJ637" s="484">
        <v>0</v>
      </c>
      <c r="DK637" s="484">
        <v>0</v>
      </c>
      <c r="DL637" s="484" t="s">
        <v>1124</v>
      </c>
      <c r="DM637" s="484" t="s">
        <v>1124</v>
      </c>
      <c r="DN637" s="484" t="s">
        <v>1124</v>
      </c>
      <c r="DO637" s="484" t="s">
        <v>1124</v>
      </c>
      <c r="DP637" s="484" t="s">
        <v>1124</v>
      </c>
      <c r="DQ637" s="484" t="str">
        <f>IF(VLOOKUP($BS637,'État &amp; Plan d''action'!$B$6:$AJ$1113,28,FALSE)="","",VLOOKUP($BS637,'État &amp; Plan d''action'!$B$6:$AJ$1113,28,FALSE))</f>
        <v/>
      </c>
      <c r="DR637" s="70" t="str">
        <f>IF(VLOOKUP($BS637,'État &amp; Plan d''action'!$B$6:$AJ$1113,29,FALSE)="","",VLOOKUP($BS637,'État &amp; Plan d''action'!$B$6:$AJ$1113,29,FALSE))</f>
        <v/>
      </c>
      <c r="DS637" s="70" t="str">
        <f>IF(VLOOKUP($BS637,'État &amp; Plan d''action'!$B$6:$AJ$1113,30,FALSE)="","",VLOOKUP($BS637,'État &amp; Plan d''action'!$B$6:$AJ$1113,30,FALSE))</f>
        <v/>
      </c>
      <c r="DT637" s="70" t="s">
        <v>1124</v>
      </c>
      <c r="DU637" s="485" t="s">
        <v>1124</v>
      </c>
      <c r="DV637" s="485" t="s">
        <v>1124</v>
      </c>
      <c r="DW637" s="70" t="s">
        <v>1124</v>
      </c>
      <c r="DX637" s="70" t="s">
        <v>1124</v>
      </c>
      <c r="DY637" s="70" t="s">
        <v>1124</v>
      </c>
      <c r="DZ637" s="70" t="str">
        <f>VLOOKUP($BS637,'État &amp; Plan d''action'!$B$6:$AH$1113,31,FALSE)</f>
        <v/>
      </c>
      <c r="EA637" s="70" t="str">
        <f>VLOOKUP($BS637,'État &amp; Plan d''action'!$B$6:$AH$1113,32,FALSE)</f>
        <v/>
      </c>
      <c r="EB637" s="70" t="str">
        <f>VLOOKUP($BS637,'État &amp; Plan d''action'!$B$6:$AH$1113,33,FALSE)</f>
        <v/>
      </c>
      <c r="EC637" s="70" t="s">
        <v>1124</v>
      </c>
      <c r="ED637" s="70" t="s">
        <v>1124</v>
      </c>
      <c r="EE637" s="70" t="s">
        <v>1124</v>
      </c>
      <c r="EF637" s="70" t="s">
        <v>1124</v>
      </c>
      <c r="EG637" s="70" t="s">
        <v>1124</v>
      </c>
      <c r="EH637" s="72"/>
      <c r="EI637" s="72">
        <v>553</v>
      </c>
    </row>
    <row r="638" spans="71:139" x14ac:dyDescent="0.35">
      <c r="BS638" s="486">
        <v>62075</v>
      </c>
      <c r="BT638" s="479" t="s">
        <v>631</v>
      </c>
      <c r="BU638" s="479">
        <v>14</v>
      </c>
      <c r="BV638" s="476" t="s">
        <v>1187</v>
      </c>
      <c r="BW638" s="476" t="s">
        <v>1187</v>
      </c>
      <c r="BX638" s="476" t="s">
        <v>1187</v>
      </c>
      <c r="BY638" s="476" t="s">
        <v>1187</v>
      </c>
      <c r="BZ638" s="476" t="s">
        <v>1187</v>
      </c>
      <c r="CA638" s="476" t="s">
        <v>1187</v>
      </c>
      <c r="CB638" s="476" t="s">
        <v>1187</v>
      </c>
      <c r="CC638" s="476" t="s">
        <v>1187</v>
      </c>
      <c r="CD638" s="476" t="s">
        <v>1187</v>
      </c>
      <c r="CE638" s="476" t="s">
        <v>1188</v>
      </c>
      <c r="CF638" s="476" t="s">
        <v>1188</v>
      </c>
      <c r="CG638" s="476" t="s">
        <v>1188</v>
      </c>
      <c r="CH638" s="476" t="s">
        <v>1188</v>
      </c>
      <c r="CI638" s="476" t="s">
        <v>1188</v>
      </c>
      <c r="CJ638" s="476" t="s">
        <v>1187</v>
      </c>
      <c r="CK638" s="476" t="s">
        <v>1188</v>
      </c>
      <c r="CL638" s="476" t="s">
        <v>1188</v>
      </c>
      <c r="CM638" s="476" t="str">
        <f>IF(VLOOKUP(BS638,'Données par municipalité'!$B$6:$E$1113,4,FALSE)="","non","oui")</f>
        <v>non</v>
      </c>
      <c r="CN638" s="410">
        <v>234.91332282700935</v>
      </c>
      <c r="CO638" s="410">
        <v>231.72256152005428</v>
      </c>
      <c r="CP638" s="410">
        <v>421.44218538628104</v>
      </c>
      <c r="CQ638" s="410">
        <v>424.73587036471571</v>
      </c>
      <c r="CR638" s="410">
        <v>463.25084759901563</v>
      </c>
      <c r="CS638" s="410" t="s">
        <v>1124</v>
      </c>
      <c r="CT638" s="410">
        <v>318.48847219103226</v>
      </c>
      <c r="CU638" s="410">
        <v>294</v>
      </c>
      <c r="CV638" s="410" t="str">
        <f>IF(VLOOKUP(BS638,'Données par municipalité'!$B$6:$F$1113,4,FALSE)="","",VLOOKUP(BS638,'Données par municipalité'!$B$6:$F$1113,4,FALSE))</f>
        <v/>
      </c>
      <c r="CW638" s="476" t="s">
        <v>4723</v>
      </c>
      <c r="CX638" s="483">
        <v>0.5</v>
      </c>
      <c r="CY638" s="483">
        <v>0.5</v>
      </c>
      <c r="CZ638" s="483">
        <v>0.5</v>
      </c>
      <c r="DA638" s="483">
        <v>0.5</v>
      </c>
      <c r="DB638" s="483" t="s">
        <v>1124</v>
      </c>
      <c r="DC638" s="483">
        <v>0</v>
      </c>
      <c r="DD638" s="483">
        <v>0</v>
      </c>
      <c r="DE638" s="483" t="str">
        <f>IFERROR(SUM(VLOOKUP($BS638,'État &amp; Plan d''action'!$B$6:$Z$1113,18,FALSE),VLOOKUP($BS638,'État &amp; Plan d''action'!$B$6:$Z$1113,20,FALSE))/(VLOOKUP($BS638,'Données par municipalité'!$B$4:$L$1113,11,FALSE)),"")</f>
        <v/>
      </c>
      <c r="DF638" s="483" t="str">
        <f>IFERROR(SUM(VLOOKUP($BS638,'État &amp; Plan d''action'!$B$6:$Z$1113,19,FALSE),VLOOKUP($BS638,'État &amp; Plan d''action'!$B$6:$Z$1113,21,FALSE))/(VLOOKUP($BS638,'Données par municipalité'!$B$4:$L$1113,11,FALSE)),"")</f>
        <v/>
      </c>
      <c r="DG638" s="476" t="s">
        <v>4723</v>
      </c>
      <c r="DH638" s="484">
        <v>1</v>
      </c>
      <c r="DI638" s="484">
        <v>0</v>
      </c>
      <c r="DJ638" s="484">
        <v>2</v>
      </c>
      <c r="DK638" s="484">
        <v>2</v>
      </c>
      <c r="DL638" s="484" t="s">
        <v>1124</v>
      </c>
      <c r="DM638" s="484">
        <v>0</v>
      </c>
      <c r="DN638" s="484">
        <v>2</v>
      </c>
      <c r="DO638" s="484">
        <v>0</v>
      </c>
      <c r="DP638" s="484">
        <v>0</v>
      </c>
      <c r="DQ638" s="484" t="str">
        <f>IF(VLOOKUP($BS638,'État &amp; Plan d''action'!$B$6:$AJ$1113,28,FALSE)="","",VLOOKUP($BS638,'État &amp; Plan d''action'!$B$6:$AJ$1113,28,FALSE))</f>
        <v/>
      </c>
      <c r="DR638" s="70" t="str">
        <f>IF(VLOOKUP($BS638,'État &amp; Plan d''action'!$B$6:$AJ$1113,29,FALSE)="","",VLOOKUP($BS638,'État &amp; Plan d''action'!$B$6:$AJ$1113,29,FALSE))</f>
        <v/>
      </c>
      <c r="DS638" s="70" t="str">
        <f>IF(VLOOKUP($BS638,'État &amp; Plan d''action'!$B$6:$AJ$1113,30,FALSE)="","",VLOOKUP($BS638,'État &amp; Plan d''action'!$B$6:$AJ$1113,30,FALSE))</f>
        <v/>
      </c>
      <c r="DT638" s="70">
        <v>216</v>
      </c>
      <c r="DU638" s="485">
        <v>1.722744991058156</v>
      </c>
      <c r="DV638" s="485" t="s">
        <v>1124</v>
      </c>
      <c r="DW638" s="70">
        <v>5</v>
      </c>
      <c r="DX638" s="70">
        <v>0</v>
      </c>
      <c r="DY638" s="70">
        <v>0</v>
      </c>
      <c r="DZ638" s="70" t="str">
        <f>VLOOKUP($BS638,'État &amp; Plan d''action'!$B$6:$AH$1113,31,FALSE)</f>
        <v/>
      </c>
      <c r="EA638" s="70" t="str">
        <f>VLOOKUP($BS638,'État &amp; Plan d''action'!$B$6:$AH$1113,32,FALSE)</f>
        <v/>
      </c>
      <c r="EB638" s="70" t="str">
        <f>VLOOKUP($BS638,'État &amp; Plan d''action'!$B$6:$AH$1113,33,FALSE)</f>
        <v/>
      </c>
      <c r="EC638" s="70">
        <v>0</v>
      </c>
      <c r="ED638" s="70">
        <v>0</v>
      </c>
      <c r="EE638" s="70">
        <v>0</v>
      </c>
      <c r="EF638" s="70">
        <v>0</v>
      </c>
      <c r="EG638" s="70">
        <v>0</v>
      </c>
      <c r="EH638" s="72">
        <v>45</v>
      </c>
      <c r="EI638" s="72">
        <v>2146</v>
      </c>
    </row>
    <row r="639" spans="71:139" x14ac:dyDescent="0.35">
      <c r="BS639" s="486">
        <v>19030</v>
      </c>
      <c r="BT639" s="479" t="s">
        <v>123</v>
      </c>
      <c r="BU639" s="479">
        <v>12</v>
      </c>
      <c r="BV639" s="476" t="s">
        <v>1187</v>
      </c>
      <c r="BW639" s="476" t="s">
        <v>1187</v>
      </c>
      <c r="BX639" s="476" t="s">
        <v>1187</v>
      </c>
      <c r="BY639" s="476" t="s">
        <v>1187</v>
      </c>
      <c r="BZ639" s="476" t="s">
        <v>1187</v>
      </c>
      <c r="CA639" s="476" t="s">
        <v>1187</v>
      </c>
      <c r="CB639" s="476" t="s">
        <v>1187</v>
      </c>
      <c r="CC639" s="476" t="s">
        <v>1187</v>
      </c>
      <c r="CD639" s="476" t="s">
        <v>1187</v>
      </c>
      <c r="CE639" s="476" t="s">
        <v>1188</v>
      </c>
      <c r="CF639" s="476" t="s">
        <v>1188</v>
      </c>
      <c r="CG639" s="476" t="s">
        <v>1187</v>
      </c>
      <c r="CH639" s="476" t="s">
        <v>1188</v>
      </c>
      <c r="CI639" s="476" t="s">
        <v>1188</v>
      </c>
      <c r="CJ639" s="476" t="s">
        <v>1188</v>
      </c>
      <c r="CK639" s="476" t="s">
        <v>1188</v>
      </c>
      <c r="CL639" s="476" t="s">
        <v>1187</v>
      </c>
      <c r="CM639" s="476" t="str">
        <f>IF(VLOOKUP(BS639,'Données par municipalité'!$B$6:$E$1113,4,FALSE)="","non","oui")</f>
        <v>oui</v>
      </c>
      <c r="CN639" s="410">
        <v>808.96346826924855</v>
      </c>
      <c r="CO639" s="410">
        <v>715.94835655490851</v>
      </c>
      <c r="CP639" s="410"/>
      <c r="CQ639" s="410">
        <v>581.35995619405469</v>
      </c>
      <c r="CR639" s="410">
        <v>586.77227067720821</v>
      </c>
      <c r="CS639" s="410">
        <v>562.73790206396632</v>
      </c>
      <c r="CT639" s="410">
        <v>761.56589571648487</v>
      </c>
      <c r="CU639" s="410" t="s">
        <v>1124</v>
      </c>
      <c r="CV639" s="410">
        <f>IF(VLOOKUP(BS639,'Données par municipalité'!$B$6:$F$1113,4,FALSE)="","",VLOOKUP(BS639,'Données par municipalité'!$B$6:$F$1113,4,FALSE))</f>
        <v>794</v>
      </c>
      <c r="CW639" s="476" t="s">
        <v>4723</v>
      </c>
      <c r="CX639" s="483">
        <v>0.3</v>
      </c>
      <c r="CY639" s="483" t="s">
        <v>1124</v>
      </c>
      <c r="CZ639" s="483">
        <v>0</v>
      </c>
      <c r="DA639" s="483">
        <v>0</v>
      </c>
      <c r="DB639" s="483">
        <v>0</v>
      </c>
      <c r="DC639" s="483">
        <v>0</v>
      </c>
      <c r="DD639" s="483" t="s">
        <v>1124</v>
      </c>
      <c r="DE639" s="483">
        <f>IFERROR(SUM(VLOOKUP($BS639,'État &amp; Plan d''action'!$B$6:$Z$1113,18,FALSE),VLOOKUP($BS639,'État &amp; Plan d''action'!$B$6:$Z$1113,20,FALSE))/(VLOOKUP($BS639,'Données par municipalité'!$B$4:$L$1113,11,FALSE)),"")</f>
        <v>1.5</v>
      </c>
      <c r="DF639" s="483">
        <f>IFERROR(SUM(VLOOKUP($BS639,'État &amp; Plan d''action'!$B$6:$Z$1113,19,FALSE),VLOOKUP($BS639,'État &amp; Plan d''action'!$B$6:$Z$1113,21,FALSE))/(VLOOKUP($BS639,'Données par municipalité'!$B$4:$L$1113,11,FALSE)),"")</f>
        <v>1</v>
      </c>
      <c r="DG639" s="476" t="s">
        <v>4723</v>
      </c>
      <c r="DH639" s="484">
        <v>9</v>
      </c>
      <c r="DI639" s="484" t="s">
        <v>1124</v>
      </c>
      <c r="DJ639" s="484">
        <v>8</v>
      </c>
      <c r="DK639" s="484">
        <v>5</v>
      </c>
      <c r="DL639" s="484">
        <v>11</v>
      </c>
      <c r="DM639" s="484">
        <v>22</v>
      </c>
      <c r="DN639" s="484" t="s">
        <v>1124</v>
      </c>
      <c r="DO639" s="484" t="s">
        <v>1124</v>
      </c>
      <c r="DP639" s="484" t="s">
        <v>1124</v>
      </c>
      <c r="DQ639" s="484">
        <f>IF(VLOOKUP($BS639,'État &amp; Plan d''action'!$B$6:$AJ$1113,28,FALSE)="","",VLOOKUP($BS639,'État &amp; Plan d''action'!$B$6:$AJ$1113,28,FALSE))</f>
        <v>0</v>
      </c>
      <c r="DR639" s="70">
        <f>IF(VLOOKUP($BS639,'État &amp; Plan d''action'!$B$6:$AJ$1113,29,FALSE)="","",VLOOKUP($BS639,'État &amp; Plan d''action'!$B$6:$AJ$1113,29,FALSE))</f>
        <v>5</v>
      </c>
      <c r="DS639" s="70">
        <f>IF(VLOOKUP($BS639,'État &amp; Plan d''action'!$B$6:$AJ$1113,30,FALSE)="","",VLOOKUP($BS639,'État &amp; Plan d''action'!$B$6:$AJ$1113,30,FALSE))</f>
        <v>0</v>
      </c>
      <c r="DT639" s="70" t="s">
        <v>1124</v>
      </c>
      <c r="DU639" s="485" t="s">
        <v>1124</v>
      </c>
      <c r="DV639" s="485">
        <v>18.141797899669008</v>
      </c>
      <c r="DW639" s="70" t="s">
        <v>1124</v>
      </c>
      <c r="DX639" s="70" t="s">
        <v>1124</v>
      </c>
      <c r="DY639" s="70" t="s">
        <v>1124</v>
      </c>
      <c r="DZ639" s="70">
        <f>VLOOKUP($BS639,'État &amp; Plan d''action'!$B$6:$AH$1113,31,FALSE)</f>
        <v>0</v>
      </c>
      <c r="EA639" s="70">
        <f>VLOOKUP($BS639,'État &amp; Plan d''action'!$B$6:$AH$1113,32,FALSE)</f>
        <v>7</v>
      </c>
      <c r="EB639" s="70">
        <f>VLOOKUP($BS639,'État &amp; Plan d''action'!$B$6:$AH$1113,33,FALSE)</f>
        <v>0</v>
      </c>
      <c r="EC639" s="70" t="s">
        <v>1124</v>
      </c>
      <c r="ED639" s="70" t="s">
        <v>1124</v>
      </c>
      <c r="EE639" s="70" t="s">
        <v>1124</v>
      </c>
      <c r="EF639" s="70" t="s">
        <v>1124</v>
      </c>
      <c r="EG639" s="70" t="s">
        <v>1124</v>
      </c>
      <c r="EH639" s="72"/>
      <c r="EI639" s="72">
        <v>1908</v>
      </c>
    </row>
    <row r="640" spans="71:139" x14ac:dyDescent="0.35">
      <c r="BS640" s="486">
        <v>53005</v>
      </c>
      <c r="BT640" s="479" t="s">
        <v>530</v>
      </c>
      <c r="BU640" s="479">
        <v>16</v>
      </c>
      <c r="BV640" s="476" t="s">
        <v>1187</v>
      </c>
      <c r="BW640" s="476" t="s">
        <v>1187</v>
      </c>
      <c r="BX640" s="476" t="s">
        <v>1187</v>
      </c>
      <c r="BY640" s="476" t="s">
        <v>1187</v>
      </c>
      <c r="BZ640" s="476" t="s">
        <v>1187</v>
      </c>
      <c r="CA640" s="476" t="s">
        <v>1187</v>
      </c>
      <c r="CB640" s="476" t="s">
        <v>1187</v>
      </c>
      <c r="CC640" s="476" t="s">
        <v>1187</v>
      </c>
      <c r="CD640" s="476" t="s">
        <v>1187</v>
      </c>
      <c r="CE640" s="476" t="s">
        <v>1188</v>
      </c>
      <c r="CF640" s="476" t="s">
        <v>1188</v>
      </c>
      <c r="CG640" s="476" t="s">
        <v>1188</v>
      </c>
      <c r="CH640" s="476" t="s">
        <v>1188</v>
      </c>
      <c r="CI640" s="476" t="s">
        <v>1188</v>
      </c>
      <c r="CJ640" s="476" t="s">
        <v>1188</v>
      </c>
      <c r="CK640" s="476" t="s">
        <v>1188</v>
      </c>
      <c r="CL640" s="476" t="s">
        <v>1188</v>
      </c>
      <c r="CM640" s="476" t="str">
        <f>IF(VLOOKUP(BS640,'Données par municipalité'!$B$6:$E$1113,4,FALSE)="","non","oui")</f>
        <v>oui</v>
      </c>
      <c r="CN640" s="410">
        <v>558.74879067318182</v>
      </c>
      <c r="CO640" s="410">
        <v>506.55948559218189</v>
      </c>
      <c r="CP640" s="410">
        <v>552.5550008128406</v>
      </c>
      <c r="CQ640" s="410">
        <v>660.47454903586993</v>
      </c>
      <c r="CR640" s="410">
        <v>622.1820655597935</v>
      </c>
      <c r="CS640" s="410">
        <v>667.43913083718189</v>
      </c>
      <c r="CT640" s="410">
        <v>641.90385113039065</v>
      </c>
      <c r="CU640" s="410">
        <v>691</v>
      </c>
      <c r="CV640" s="410">
        <f>IF(VLOOKUP(BS640,'Données par municipalité'!$B$6:$F$1113,4,FALSE)="","",VLOOKUP(BS640,'Données par municipalité'!$B$6:$F$1113,4,FALSE))</f>
        <v>570</v>
      </c>
      <c r="CW640" s="476" t="s">
        <v>4723</v>
      </c>
      <c r="CX640" s="483">
        <v>0</v>
      </c>
      <c r="CY640" s="483">
        <v>0</v>
      </c>
      <c r="CZ640" s="483">
        <v>0</v>
      </c>
      <c r="DA640" s="483">
        <v>0</v>
      </c>
      <c r="DB640" s="483">
        <v>0</v>
      </c>
      <c r="DC640" s="483">
        <v>0</v>
      </c>
      <c r="DD640" s="483">
        <v>0</v>
      </c>
      <c r="DE640" s="483">
        <f>IFERROR(SUM(VLOOKUP($BS640,'État &amp; Plan d''action'!$B$6:$Z$1113,18,FALSE),VLOOKUP($BS640,'État &amp; Plan d''action'!$B$6:$Z$1113,20,FALSE))/(VLOOKUP($BS640,'Données par municipalité'!$B$4:$L$1113,11,FALSE)),"")</f>
        <v>0</v>
      </c>
      <c r="DF640" s="483">
        <f>IFERROR(SUM(VLOOKUP($BS640,'État &amp; Plan d''action'!$B$6:$Z$1113,19,FALSE),VLOOKUP($BS640,'État &amp; Plan d''action'!$B$6:$Z$1113,21,FALSE))/(VLOOKUP($BS640,'Données par municipalité'!$B$4:$L$1113,11,FALSE)),"")</f>
        <v>0</v>
      </c>
      <c r="DG640" s="476" t="s">
        <v>4723</v>
      </c>
      <c r="DH640" s="484">
        <v>4</v>
      </c>
      <c r="DI640" s="484">
        <v>0</v>
      </c>
      <c r="DJ640" s="484">
        <v>0</v>
      </c>
      <c r="DK640" s="484">
        <v>0</v>
      </c>
      <c r="DL640" s="484">
        <v>0</v>
      </c>
      <c r="DM640" s="484">
        <v>0</v>
      </c>
      <c r="DN640" s="484">
        <v>0</v>
      </c>
      <c r="DO640" s="484">
        <v>0</v>
      </c>
      <c r="DP640" s="484">
        <v>0</v>
      </c>
      <c r="DQ640" s="484">
        <f>IF(VLOOKUP($BS640,'État &amp; Plan d''action'!$B$6:$AJ$1113,28,FALSE)="","",VLOOKUP($BS640,'État &amp; Plan d''action'!$B$6:$AJ$1113,28,FALSE))</f>
        <v>0</v>
      </c>
      <c r="DR640" s="70">
        <f>IF(VLOOKUP($BS640,'État &amp; Plan d''action'!$B$6:$AJ$1113,29,FALSE)="","",VLOOKUP($BS640,'État &amp; Plan d''action'!$B$6:$AJ$1113,29,FALSE))</f>
        <v>0</v>
      </c>
      <c r="DS640" s="70">
        <f>IF(VLOOKUP($BS640,'État &amp; Plan d''action'!$B$6:$AJ$1113,30,FALSE)="","",VLOOKUP($BS640,'État &amp; Plan d''action'!$B$6:$AJ$1113,30,FALSE))</f>
        <v>0</v>
      </c>
      <c r="DT640" s="70">
        <v>210</v>
      </c>
      <c r="DU640" s="485">
        <v>0.80128554360513637</v>
      </c>
      <c r="DV640" s="485">
        <v>0.57532312107052153</v>
      </c>
      <c r="DW640" s="70">
        <v>0</v>
      </c>
      <c r="DX640" s="70">
        <v>0</v>
      </c>
      <c r="DY640" s="70">
        <v>0</v>
      </c>
      <c r="DZ640" s="70">
        <f>VLOOKUP($BS640,'État &amp; Plan d''action'!$B$6:$AH$1113,31,FALSE)</f>
        <v>0</v>
      </c>
      <c r="EA640" s="70">
        <f>VLOOKUP($BS640,'État &amp; Plan d''action'!$B$6:$AH$1113,32,FALSE)</f>
        <v>0</v>
      </c>
      <c r="EB640" s="70">
        <f>VLOOKUP($BS640,'État &amp; Plan d''action'!$B$6:$AH$1113,33,FALSE)</f>
        <v>0</v>
      </c>
      <c r="EC640" s="70">
        <v>0</v>
      </c>
      <c r="ED640" s="70">
        <v>0</v>
      </c>
      <c r="EE640" s="70">
        <v>0</v>
      </c>
      <c r="EF640" s="70">
        <v>0</v>
      </c>
      <c r="EG640" s="70">
        <v>0</v>
      </c>
      <c r="EH640" s="72">
        <v>60.848386242403279</v>
      </c>
      <c r="EI640" s="72">
        <v>857</v>
      </c>
    </row>
    <row r="641" spans="71:139" x14ac:dyDescent="0.35">
      <c r="BS641" s="486">
        <v>94245</v>
      </c>
      <c r="BT641" s="479" t="s">
        <v>981</v>
      </c>
      <c r="BU641" s="479">
        <v>2</v>
      </c>
      <c r="BV641" s="476" t="s">
        <v>1187</v>
      </c>
      <c r="BW641" s="476" t="s">
        <v>1187</v>
      </c>
      <c r="BX641" s="476" t="s">
        <v>1187</v>
      </c>
      <c r="BY641" s="476" t="s">
        <v>1187</v>
      </c>
      <c r="BZ641" s="476" t="s">
        <v>1187</v>
      </c>
      <c r="CA641" s="476" t="s">
        <v>1187</v>
      </c>
      <c r="CB641" s="476" t="s">
        <v>1187</v>
      </c>
      <c r="CC641" s="476" t="s">
        <v>1187</v>
      </c>
      <c r="CD641" s="476" t="s">
        <v>1187</v>
      </c>
      <c r="CE641" s="476" t="s">
        <v>1188</v>
      </c>
      <c r="CF641" s="476" t="s">
        <v>1188</v>
      </c>
      <c r="CG641" s="476" t="s">
        <v>1187</v>
      </c>
      <c r="CH641" s="476" t="s">
        <v>1188</v>
      </c>
      <c r="CI641" s="476" t="s">
        <v>1187</v>
      </c>
      <c r="CJ641" s="476" t="s">
        <v>1188</v>
      </c>
      <c r="CK641" s="476" t="s">
        <v>1188</v>
      </c>
      <c r="CL641" s="476" t="s">
        <v>1188</v>
      </c>
      <c r="CM641" s="476" t="str">
        <f>IF(VLOOKUP(BS641,'Données par municipalité'!$B$6:$E$1113,4,FALSE)="","non","oui")</f>
        <v>oui</v>
      </c>
      <c r="CN641" s="410">
        <v>719.06189485763468</v>
      </c>
      <c r="CO641" s="410">
        <v>765.61907900156518</v>
      </c>
      <c r="CP641" s="410"/>
      <c r="CQ641" s="410">
        <v>737.11905445465857</v>
      </c>
      <c r="CR641" s="410"/>
      <c r="CS641" s="410">
        <v>972.94317290889683</v>
      </c>
      <c r="CT641" s="410">
        <v>1011.0437507697781</v>
      </c>
      <c r="CU641" s="410">
        <v>1195</v>
      </c>
      <c r="CV641" s="410">
        <f>IF(VLOOKUP(BS641,'Données par municipalité'!$B$6:$F$1113,4,FALSE)="","",VLOOKUP(BS641,'Données par municipalité'!$B$6:$F$1113,4,FALSE))</f>
        <v>754</v>
      </c>
      <c r="CW641" s="476" t="s">
        <v>4723</v>
      </c>
      <c r="CX641" s="483">
        <v>0</v>
      </c>
      <c r="CY641" s="483" t="s">
        <v>1124</v>
      </c>
      <c r="CZ641" s="483">
        <v>0.1</v>
      </c>
      <c r="DA641" s="483" t="s">
        <v>1124</v>
      </c>
      <c r="DB641" s="483">
        <v>1</v>
      </c>
      <c r="DC641" s="483">
        <v>1</v>
      </c>
      <c r="DD641" s="483">
        <v>0.79863665873187628</v>
      </c>
      <c r="DE641" s="483">
        <f>IFERROR(SUM(VLOOKUP($BS641,'État &amp; Plan d''action'!$B$6:$Z$1113,18,FALSE),VLOOKUP($BS641,'État &amp; Plan d''action'!$B$6:$Z$1113,20,FALSE))/(VLOOKUP($BS641,'Données par municipalité'!$B$4:$L$1113,11,FALSE)),"")</f>
        <v>0.80034083531703093</v>
      </c>
      <c r="DF641" s="483">
        <f>IFERROR(SUM(VLOOKUP($BS641,'État &amp; Plan d''action'!$B$6:$Z$1113,19,FALSE),VLOOKUP($BS641,'État &amp; Plan d''action'!$B$6:$Z$1113,21,FALSE))/(VLOOKUP($BS641,'Données par municipalité'!$B$4:$L$1113,11,FALSE)),"")</f>
        <v>0.79863665873187628</v>
      </c>
      <c r="DG641" s="476" t="s">
        <v>4723</v>
      </c>
      <c r="DH641" s="484">
        <v>11</v>
      </c>
      <c r="DI641" s="484">
        <v>5</v>
      </c>
      <c r="DJ641" s="484">
        <v>9</v>
      </c>
      <c r="DK641" s="484">
        <v>4</v>
      </c>
      <c r="DL641" s="484">
        <v>1</v>
      </c>
      <c r="DM641" s="484">
        <v>5</v>
      </c>
      <c r="DN641" s="484">
        <v>3</v>
      </c>
      <c r="DO641" s="484">
        <v>0</v>
      </c>
      <c r="DP641" s="484">
        <v>3</v>
      </c>
      <c r="DQ641" s="484">
        <f>IF(VLOOKUP($BS641,'État &amp; Plan d''action'!$B$6:$AJ$1113,28,FALSE)="","",VLOOKUP($BS641,'État &amp; Plan d''action'!$B$6:$AJ$1113,28,FALSE))</f>
        <v>0</v>
      </c>
      <c r="DR641" s="70">
        <f>IF(VLOOKUP($BS641,'État &amp; Plan d''action'!$B$6:$AJ$1113,29,FALSE)="","",VLOOKUP($BS641,'État &amp; Plan d''action'!$B$6:$AJ$1113,29,FALSE))</f>
        <v>0</v>
      </c>
      <c r="DS641" s="70">
        <f>IF(VLOOKUP($BS641,'État &amp; Plan d''action'!$B$6:$AJ$1113,30,FALSE)="","",VLOOKUP($BS641,'État &amp; Plan d''action'!$B$6:$AJ$1113,30,FALSE))</f>
        <v>0</v>
      </c>
      <c r="DT641" s="70">
        <v>709</v>
      </c>
      <c r="DU641" s="485">
        <v>4.2103512646412264</v>
      </c>
      <c r="DV641" s="485">
        <v>4.6371830305296813</v>
      </c>
      <c r="DW641" s="70">
        <v>1</v>
      </c>
      <c r="DX641" s="70">
        <v>0</v>
      </c>
      <c r="DY641" s="70">
        <v>15</v>
      </c>
      <c r="DZ641" s="70">
        <f>VLOOKUP($BS641,'État &amp; Plan d''action'!$B$6:$AH$1113,31,FALSE)</f>
        <v>0</v>
      </c>
      <c r="EA641" s="70">
        <f>VLOOKUP($BS641,'État &amp; Plan d''action'!$B$6:$AH$1113,32,FALSE)</f>
        <v>0</v>
      </c>
      <c r="EB641" s="70">
        <f>VLOOKUP($BS641,'État &amp; Plan d''action'!$B$6:$AH$1113,33,FALSE)</f>
        <v>0</v>
      </c>
      <c r="EC641" s="70">
        <v>46.21</v>
      </c>
      <c r="ED641" s="70">
        <v>0</v>
      </c>
      <c r="EE641" s="70">
        <v>36.905000000000001</v>
      </c>
      <c r="EF641" s="70">
        <v>0</v>
      </c>
      <c r="EG641" s="70">
        <v>0</v>
      </c>
      <c r="EH641" s="72">
        <v>51</v>
      </c>
      <c r="EI641" s="72">
        <v>2849</v>
      </c>
    </row>
    <row r="642" spans="71:139" x14ac:dyDescent="0.35">
      <c r="BS642" s="486">
        <v>14055</v>
      </c>
      <c r="BT642" s="479" t="s">
        <v>69</v>
      </c>
      <c r="BU642" s="479">
        <v>1</v>
      </c>
      <c r="BV642" s="476" t="s">
        <v>1188</v>
      </c>
      <c r="BW642" s="476" t="s">
        <v>1188</v>
      </c>
      <c r="BX642" s="476" t="s">
        <v>1188</v>
      </c>
      <c r="BY642" s="476" t="s">
        <v>1188</v>
      </c>
      <c r="BZ642" s="476" t="s">
        <v>1188</v>
      </c>
      <c r="CA642" s="476" t="s">
        <v>1188</v>
      </c>
      <c r="CB642" s="476" t="s">
        <v>1188</v>
      </c>
      <c r="CC642" s="476" t="s">
        <v>1188</v>
      </c>
      <c r="CD642" s="476" t="s">
        <v>1188</v>
      </c>
      <c r="CE642" s="476" t="s">
        <v>1187</v>
      </c>
      <c r="CF642" s="476" t="s">
        <v>1187</v>
      </c>
      <c r="CG642" s="476" t="s">
        <v>1187</v>
      </c>
      <c r="CH642" s="476" t="s">
        <v>1187</v>
      </c>
      <c r="CI642" s="476" t="s">
        <v>1187</v>
      </c>
      <c r="CJ642" s="476" t="s">
        <v>1187</v>
      </c>
      <c r="CK642" s="476" t="s">
        <v>1187</v>
      </c>
      <c r="CL642" s="476" t="s">
        <v>1187</v>
      </c>
      <c r="CM642" s="476" t="str">
        <f>IF(VLOOKUP(BS642,'Données par municipalité'!$B$6:$E$1113,4,FALSE)="","non","oui")</f>
        <v>non</v>
      </c>
      <c r="CN642" s="410" t="s">
        <v>1124</v>
      </c>
      <c r="CO642" s="410" t="s">
        <v>1124</v>
      </c>
      <c r="CP642" s="410"/>
      <c r="CQ642" s="410"/>
      <c r="CR642" s="410"/>
      <c r="CS642" s="410" t="s">
        <v>1124</v>
      </c>
      <c r="CT642" s="410"/>
      <c r="CU642" s="410" t="s">
        <v>1124</v>
      </c>
      <c r="CV642" s="410" t="str">
        <f>IF(VLOOKUP(BS642,'Données par municipalité'!$B$6:$F$1113,4,FALSE)="","",VLOOKUP(BS642,'Données par municipalité'!$B$6:$F$1113,4,FALSE))</f>
        <v/>
      </c>
      <c r="CW642" s="476" t="s">
        <v>4723</v>
      </c>
      <c r="CX642" s="483" t="s">
        <v>1124</v>
      </c>
      <c r="CY642" s="483" t="s">
        <v>1124</v>
      </c>
      <c r="CZ642" s="483" t="s">
        <v>1124</v>
      </c>
      <c r="DA642" s="483" t="s">
        <v>1124</v>
      </c>
      <c r="DB642" s="483" t="s">
        <v>1124</v>
      </c>
      <c r="DC642" s="483" t="s">
        <v>1124</v>
      </c>
      <c r="DD642" s="483" t="s">
        <v>1124</v>
      </c>
      <c r="DE642" s="483" t="str">
        <f>IFERROR(SUM(VLOOKUP($BS642,'État &amp; Plan d''action'!$B$6:$Z$1113,18,FALSE),VLOOKUP($BS642,'État &amp; Plan d''action'!$B$6:$Z$1113,20,FALSE))/(VLOOKUP($BS642,'Données par municipalité'!$B$4:$L$1113,11,FALSE)),"")</f>
        <v/>
      </c>
      <c r="DF642" s="483" t="str">
        <f>IFERROR(SUM(VLOOKUP($BS642,'État &amp; Plan d''action'!$B$6:$Z$1113,19,FALSE),VLOOKUP($BS642,'État &amp; Plan d''action'!$B$6:$Z$1113,21,FALSE))/(VLOOKUP($BS642,'Données par municipalité'!$B$4:$L$1113,11,FALSE)),"")</f>
        <v/>
      </c>
      <c r="DG642" s="476" t="s">
        <v>4723</v>
      </c>
      <c r="DH642" s="484" t="s">
        <v>1124</v>
      </c>
      <c r="DI642" s="484" t="s">
        <v>1124</v>
      </c>
      <c r="DJ642" s="484">
        <v>0</v>
      </c>
      <c r="DK642" s="484">
        <v>0</v>
      </c>
      <c r="DL642" s="484" t="s">
        <v>1124</v>
      </c>
      <c r="DM642" s="484" t="s">
        <v>1124</v>
      </c>
      <c r="DN642" s="484" t="s">
        <v>1124</v>
      </c>
      <c r="DO642" s="484" t="s">
        <v>1124</v>
      </c>
      <c r="DP642" s="484" t="s">
        <v>1124</v>
      </c>
      <c r="DQ642" s="484" t="str">
        <f>IF(VLOOKUP($BS642,'État &amp; Plan d''action'!$B$6:$AJ$1113,28,FALSE)="","",VLOOKUP($BS642,'État &amp; Plan d''action'!$B$6:$AJ$1113,28,FALSE))</f>
        <v/>
      </c>
      <c r="DR642" s="70" t="str">
        <f>IF(VLOOKUP($BS642,'État &amp; Plan d''action'!$B$6:$AJ$1113,29,FALSE)="","",VLOOKUP($BS642,'État &amp; Plan d''action'!$B$6:$AJ$1113,29,FALSE))</f>
        <v/>
      </c>
      <c r="DS642" s="70" t="str">
        <f>IF(VLOOKUP($BS642,'État &amp; Plan d''action'!$B$6:$AJ$1113,30,FALSE)="","",VLOOKUP($BS642,'État &amp; Plan d''action'!$B$6:$AJ$1113,30,FALSE))</f>
        <v/>
      </c>
      <c r="DT642" s="70" t="s">
        <v>1124</v>
      </c>
      <c r="DU642" s="485" t="s">
        <v>1124</v>
      </c>
      <c r="DV642" s="485" t="s">
        <v>1124</v>
      </c>
      <c r="DW642" s="70" t="s">
        <v>1124</v>
      </c>
      <c r="DX642" s="70" t="s">
        <v>1124</v>
      </c>
      <c r="DY642" s="70" t="s">
        <v>1124</v>
      </c>
      <c r="DZ642" s="70" t="str">
        <f>VLOOKUP($BS642,'État &amp; Plan d''action'!$B$6:$AH$1113,31,FALSE)</f>
        <v/>
      </c>
      <c r="EA642" s="70" t="str">
        <f>VLOOKUP($BS642,'État &amp; Plan d''action'!$B$6:$AH$1113,32,FALSE)</f>
        <v/>
      </c>
      <c r="EB642" s="70" t="str">
        <f>VLOOKUP($BS642,'État &amp; Plan d''action'!$B$6:$AH$1113,33,FALSE)</f>
        <v/>
      </c>
      <c r="EC642" s="70" t="s">
        <v>1124</v>
      </c>
      <c r="ED642" s="70" t="s">
        <v>1124</v>
      </c>
      <c r="EE642" s="70" t="s">
        <v>1124</v>
      </c>
      <c r="EF642" s="70" t="s">
        <v>1124</v>
      </c>
      <c r="EG642" s="70" t="s">
        <v>1124</v>
      </c>
      <c r="EH642" s="72"/>
      <c r="EI642" s="72">
        <v>524</v>
      </c>
    </row>
    <row r="643" spans="71:139" x14ac:dyDescent="0.35">
      <c r="BS643" s="486">
        <v>42025</v>
      </c>
      <c r="BT643" s="479" t="s">
        <v>381</v>
      </c>
      <c r="BU643" s="479">
        <v>5</v>
      </c>
      <c r="BV643" s="476" t="s">
        <v>1187</v>
      </c>
      <c r="BW643" s="476" t="s">
        <v>1187</v>
      </c>
      <c r="BX643" s="476" t="s">
        <v>1187</v>
      </c>
      <c r="BY643" s="476" t="s">
        <v>1187</v>
      </c>
      <c r="BZ643" s="476" t="s">
        <v>1187</v>
      </c>
      <c r="CA643" s="476" t="s">
        <v>1187</v>
      </c>
      <c r="CB643" s="476" t="s">
        <v>1187</v>
      </c>
      <c r="CC643" s="476" t="s">
        <v>1187</v>
      </c>
      <c r="CD643" s="476" t="s">
        <v>1187</v>
      </c>
      <c r="CE643" s="476" t="s">
        <v>1188</v>
      </c>
      <c r="CF643" s="476" t="s">
        <v>1188</v>
      </c>
      <c r="CG643" s="476" t="s">
        <v>1188</v>
      </c>
      <c r="CH643" s="476" t="s">
        <v>1188</v>
      </c>
      <c r="CI643" s="476" t="s">
        <v>1188</v>
      </c>
      <c r="CJ643" s="476" t="s">
        <v>1188</v>
      </c>
      <c r="CK643" s="476" t="s">
        <v>1188</v>
      </c>
      <c r="CL643" s="476" t="s">
        <v>1188</v>
      </c>
      <c r="CM643" s="476" t="str">
        <f>IF(VLOOKUP(BS643,'Données par municipalité'!$B$6:$E$1113,4,FALSE)="","non","oui")</f>
        <v>oui</v>
      </c>
      <c r="CN643" s="410">
        <v>620.90224217540901</v>
      </c>
      <c r="CO643" s="410">
        <v>441.98231019135795</v>
      </c>
      <c r="CP643" s="410">
        <v>306.10757283444235</v>
      </c>
      <c r="CQ643" s="410">
        <v>312.03337875545697</v>
      </c>
      <c r="CR643" s="410">
        <v>230.91881380651435</v>
      </c>
      <c r="CS643" s="410">
        <v>467.02734745164832</v>
      </c>
      <c r="CT643" s="410">
        <v>527.84042395218478</v>
      </c>
      <c r="CU643" s="410">
        <v>368</v>
      </c>
      <c r="CV643" s="410">
        <f>IF(VLOOKUP(BS643,'Données par municipalité'!$B$6:$F$1113,4,FALSE)="","",VLOOKUP(BS643,'Données par municipalité'!$B$6:$F$1113,4,FALSE))</f>
        <v>395</v>
      </c>
      <c r="CW643" s="476" t="s">
        <v>4723</v>
      </c>
      <c r="CX643" s="483">
        <v>0</v>
      </c>
      <c r="CY643" s="483">
        <v>0</v>
      </c>
      <c r="CZ643" s="483">
        <v>0</v>
      </c>
      <c r="DA643" s="483">
        <v>0</v>
      </c>
      <c r="DB643" s="483">
        <v>0</v>
      </c>
      <c r="DC643" s="483">
        <v>0</v>
      </c>
      <c r="DD643" s="483">
        <v>0</v>
      </c>
      <c r="DE643" s="483">
        <f>IFERROR(SUM(VLOOKUP($BS643,'État &amp; Plan d''action'!$B$6:$Z$1113,18,FALSE),VLOOKUP($BS643,'État &amp; Plan d''action'!$B$6:$Z$1113,20,FALSE))/(VLOOKUP($BS643,'Données par municipalité'!$B$4:$L$1113,11,FALSE)),"")</f>
        <v>0</v>
      </c>
      <c r="DF643" s="483">
        <f>IFERROR(SUM(VLOOKUP($BS643,'État &amp; Plan d''action'!$B$6:$Z$1113,19,FALSE),VLOOKUP($BS643,'État &amp; Plan d''action'!$B$6:$Z$1113,21,FALSE))/(VLOOKUP($BS643,'Données par municipalité'!$B$4:$L$1113,11,FALSE)),"")</f>
        <v>0</v>
      </c>
      <c r="DG643" s="476" t="s">
        <v>4723</v>
      </c>
      <c r="DH643" s="484">
        <v>0</v>
      </c>
      <c r="DI643" s="484">
        <v>0</v>
      </c>
      <c r="DJ643" s="484">
        <v>1</v>
      </c>
      <c r="DK643" s="484">
        <v>0</v>
      </c>
      <c r="DL643" s="484">
        <v>0</v>
      </c>
      <c r="DM643" s="484">
        <v>0</v>
      </c>
      <c r="DN643" s="484">
        <v>0</v>
      </c>
      <c r="DO643" s="484">
        <v>0</v>
      </c>
      <c r="DP643" s="484">
        <v>0</v>
      </c>
      <c r="DQ643" s="484">
        <f>IF(VLOOKUP($BS643,'État &amp; Plan d''action'!$B$6:$AJ$1113,28,FALSE)="","",VLOOKUP($BS643,'État &amp; Plan d''action'!$B$6:$AJ$1113,28,FALSE))</f>
        <v>0</v>
      </c>
      <c r="DR643" s="70">
        <f>IF(VLOOKUP($BS643,'État &amp; Plan d''action'!$B$6:$AJ$1113,29,FALSE)="","",VLOOKUP($BS643,'État &amp; Plan d''action'!$B$6:$AJ$1113,29,FALSE))</f>
        <v>0</v>
      </c>
      <c r="DS643" s="70">
        <f>IF(VLOOKUP($BS643,'État &amp; Plan d''action'!$B$6:$AJ$1113,30,FALSE)="","",VLOOKUP($BS643,'État &amp; Plan d''action'!$B$6:$AJ$1113,30,FALSE))</f>
        <v>0</v>
      </c>
      <c r="DT643" s="70">
        <v>234</v>
      </c>
      <c r="DU643" s="485">
        <v>2.0100829935725657</v>
      </c>
      <c r="DV643" s="485">
        <v>0.93323393828003065</v>
      </c>
      <c r="DW643" s="70">
        <v>0</v>
      </c>
      <c r="DX643" s="70">
        <v>0</v>
      </c>
      <c r="DY643" s="70">
        <v>0</v>
      </c>
      <c r="DZ643" s="70">
        <f>VLOOKUP($BS643,'État &amp; Plan d''action'!$B$6:$AH$1113,31,FALSE)</f>
        <v>0</v>
      </c>
      <c r="EA643" s="70">
        <f>VLOOKUP($BS643,'État &amp; Plan d''action'!$B$6:$AH$1113,32,FALSE)</f>
        <v>0</v>
      </c>
      <c r="EB643" s="70">
        <f>VLOOKUP($BS643,'État &amp; Plan d''action'!$B$6:$AH$1113,33,FALSE)</f>
        <v>0</v>
      </c>
      <c r="EC643" s="70">
        <v>0</v>
      </c>
      <c r="ED643" s="70">
        <v>0</v>
      </c>
      <c r="EE643" s="70">
        <v>0</v>
      </c>
      <c r="EF643" s="70">
        <v>0</v>
      </c>
      <c r="EG643" s="70">
        <v>0</v>
      </c>
      <c r="EH643" s="72">
        <v>45</v>
      </c>
      <c r="EI643" s="72">
        <v>4305</v>
      </c>
    </row>
    <row r="644" spans="71:139" x14ac:dyDescent="0.35">
      <c r="BS644" s="486">
        <v>57068</v>
      </c>
      <c r="BT644" s="479" t="s">
        <v>592</v>
      </c>
      <c r="BU644" s="479">
        <v>16</v>
      </c>
      <c r="BV644" s="476" t="s">
        <v>1187</v>
      </c>
      <c r="BW644" s="476" t="s">
        <v>1187</v>
      </c>
      <c r="BX644" s="476" t="s">
        <v>1187</v>
      </c>
      <c r="BY644" s="476" t="s">
        <v>1187</v>
      </c>
      <c r="BZ644" s="476" t="s">
        <v>1187</v>
      </c>
      <c r="CA644" s="476" t="s">
        <v>1187</v>
      </c>
      <c r="CB644" s="476" t="s">
        <v>1187</v>
      </c>
      <c r="CC644" s="476" t="s">
        <v>1187</v>
      </c>
      <c r="CD644" s="476" t="s">
        <v>1187</v>
      </c>
      <c r="CE644" s="476" t="s">
        <v>1188</v>
      </c>
      <c r="CF644" s="476" t="s">
        <v>1188</v>
      </c>
      <c r="CG644" s="476" t="s">
        <v>1187</v>
      </c>
      <c r="CH644" s="476" t="s">
        <v>1187</v>
      </c>
      <c r="CI644" s="476" t="s">
        <v>1187</v>
      </c>
      <c r="CJ644" s="476" t="s">
        <v>1188</v>
      </c>
      <c r="CK644" s="476" t="s">
        <v>1188</v>
      </c>
      <c r="CL644" s="476" t="s">
        <v>1188</v>
      </c>
      <c r="CM644" s="476" t="str">
        <f>IF(VLOOKUP(BS644,'Données par municipalité'!$B$6:$E$1113,4,FALSE)="","non","oui")</f>
        <v>oui</v>
      </c>
      <c r="CN644" s="410">
        <v>708.46675911617399</v>
      </c>
      <c r="CO644" s="410">
        <v>646.94632706078596</v>
      </c>
      <c r="CP644" s="410"/>
      <c r="CQ644" s="410"/>
      <c r="CR644" s="410"/>
      <c r="CS644" s="410">
        <v>613.34600184924216</v>
      </c>
      <c r="CT644" s="410">
        <v>529.1975959385378</v>
      </c>
      <c r="CU644" s="410">
        <v>611</v>
      </c>
      <c r="CV644" s="410">
        <f>IF(VLOOKUP(BS644,'Données par municipalité'!$B$6:$F$1113,4,FALSE)="","",VLOOKUP(BS644,'Données par municipalité'!$B$6:$F$1113,4,FALSE))</f>
        <v>581</v>
      </c>
      <c r="CW644" s="476" t="s">
        <v>4723</v>
      </c>
      <c r="CX644" s="483">
        <v>0</v>
      </c>
      <c r="CY644" s="483" t="s">
        <v>1124</v>
      </c>
      <c r="CZ644" s="483" t="s">
        <v>1124</v>
      </c>
      <c r="DA644" s="483" t="s">
        <v>1124</v>
      </c>
      <c r="DB644" s="483">
        <v>1</v>
      </c>
      <c r="DC644" s="483">
        <v>1</v>
      </c>
      <c r="DD644" s="483">
        <v>0</v>
      </c>
      <c r="DE644" s="483">
        <f>IFERROR(SUM(VLOOKUP($BS644,'État &amp; Plan d''action'!$B$6:$Z$1113,18,FALSE),VLOOKUP($BS644,'État &amp; Plan d''action'!$B$6:$Z$1113,20,FALSE))/(VLOOKUP($BS644,'Données par municipalité'!$B$4:$L$1113,11,FALSE)),"")</f>
        <v>0</v>
      </c>
      <c r="DF644" s="483">
        <f>IFERROR(SUM(VLOOKUP($BS644,'État &amp; Plan d''action'!$B$6:$Z$1113,19,FALSE),VLOOKUP($BS644,'État &amp; Plan d''action'!$B$6:$Z$1113,21,FALSE))/(VLOOKUP($BS644,'Données par municipalité'!$B$4:$L$1113,11,FALSE)),"")</f>
        <v>0</v>
      </c>
      <c r="DG644" s="476" t="s">
        <v>4723</v>
      </c>
      <c r="DH644" s="484">
        <v>4</v>
      </c>
      <c r="DI644" s="484" t="s">
        <v>1124</v>
      </c>
      <c r="DJ644" s="484">
        <v>0</v>
      </c>
      <c r="DK644" s="484">
        <v>0</v>
      </c>
      <c r="DL644" s="484">
        <v>2</v>
      </c>
      <c r="DM644" s="484">
        <v>2</v>
      </c>
      <c r="DN644" s="484">
        <v>0</v>
      </c>
      <c r="DO644" s="484">
        <v>0</v>
      </c>
      <c r="DP644" s="484">
        <v>0</v>
      </c>
      <c r="DQ644" s="484">
        <f>IF(VLOOKUP($BS644,'État &amp; Plan d''action'!$B$6:$AJ$1113,28,FALSE)="","",VLOOKUP($BS644,'État &amp; Plan d''action'!$B$6:$AJ$1113,28,FALSE))</f>
        <v>7</v>
      </c>
      <c r="DR644" s="70">
        <f>IF(VLOOKUP($BS644,'État &amp; Plan d''action'!$B$6:$AJ$1113,29,FALSE)="","",VLOOKUP($BS644,'État &amp; Plan d''action'!$B$6:$AJ$1113,29,FALSE))</f>
        <v>0</v>
      </c>
      <c r="DS644" s="70">
        <f>IF(VLOOKUP($BS644,'État &amp; Plan d''action'!$B$6:$AJ$1113,30,FALSE)="","",VLOOKUP($BS644,'État &amp; Plan d''action'!$B$6:$AJ$1113,30,FALSE))</f>
        <v>0</v>
      </c>
      <c r="DT644" s="70">
        <v>228</v>
      </c>
      <c r="DU644" s="485">
        <v>1.9240057269395858</v>
      </c>
      <c r="DV644" s="485">
        <v>1.1105835006862175</v>
      </c>
      <c r="DW644" s="70">
        <v>0</v>
      </c>
      <c r="DX644" s="70">
        <v>0</v>
      </c>
      <c r="DY644" s="70">
        <v>0</v>
      </c>
      <c r="DZ644" s="70">
        <f>VLOOKUP($BS644,'État &amp; Plan d''action'!$B$6:$AH$1113,31,FALSE)</f>
        <v>2</v>
      </c>
      <c r="EA644" s="70">
        <f>VLOOKUP($BS644,'État &amp; Plan d''action'!$B$6:$AH$1113,32,FALSE)</f>
        <v>0</v>
      </c>
      <c r="EB644" s="70">
        <f>VLOOKUP($BS644,'État &amp; Plan d''action'!$B$6:$AH$1113,33,FALSE)</f>
        <v>0</v>
      </c>
      <c r="EC644" s="70">
        <v>0</v>
      </c>
      <c r="ED644" s="70">
        <v>0</v>
      </c>
      <c r="EE644" s="70">
        <v>0</v>
      </c>
      <c r="EF644" s="70">
        <v>0</v>
      </c>
      <c r="EG644" s="70">
        <v>0</v>
      </c>
      <c r="EH644" s="72">
        <v>67</v>
      </c>
      <c r="EI644" s="72">
        <v>2336</v>
      </c>
    </row>
    <row r="645" spans="71:139" x14ac:dyDescent="0.35">
      <c r="BS645" s="486">
        <v>52090</v>
      </c>
      <c r="BT645" s="479" t="s">
        <v>528</v>
      </c>
      <c r="BU645" s="479">
        <v>14</v>
      </c>
      <c r="BV645" s="476" t="s">
        <v>1187</v>
      </c>
      <c r="BW645" s="476" t="s">
        <v>1187</v>
      </c>
      <c r="BX645" s="476" t="s">
        <v>1187</v>
      </c>
      <c r="BY645" s="476" t="s">
        <v>1187</v>
      </c>
      <c r="BZ645" s="476" t="s">
        <v>1187</v>
      </c>
      <c r="CA645" s="476" t="s">
        <v>1187</v>
      </c>
      <c r="CB645" s="476" t="s">
        <v>1187</v>
      </c>
      <c r="CC645" s="476" t="s">
        <v>1187</v>
      </c>
      <c r="CD645" s="476" t="s">
        <v>1187</v>
      </c>
      <c r="CE645" s="476" t="s">
        <v>1188</v>
      </c>
      <c r="CF645" s="476" t="s">
        <v>1188</v>
      </c>
      <c r="CG645" s="476" t="s">
        <v>1188</v>
      </c>
      <c r="CH645" s="476" t="s">
        <v>1188</v>
      </c>
      <c r="CI645" s="476" t="s">
        <v>1188</v>
      </c>
      <c r="CJ645" s="476" t="s">
        <v>1187</v>
      </c>
      <c r="CK645" s="476" t="s">
        <v>1188</v>
      </c>
      <c r="CL645" s="476" t="s">
        <v>1188</v>
      </c>
      <c r="CM645" s="476" t="str">
        <f>IF(VLOOKUP(BS645,'Données par municipalité'!$B$6:$E$1113,4,FALSE)="","non","oui")</f>
        <v>oui</v>
      </c>
      <c r="CN645" s="410">
        <v>389.30976430976432</v>
      </c>
      <c r="CO645" s="410">
        <v>329.91437335596987</v>
      </c>
      <c r="CP645" s="410">
        <v>451.3413006363495</v>
      </c>
      <c r="CQ645" s="410">
        <v>331.83215999380207</v>
      </c>
      <c r="CR645" s="410">
        <v>383.92255892255895</v>
      </c>
      <c r="CS645" s="410" t="s">
        <v>1124</v>
      </c>
      <c r="CT645" s="410">
        <v>801.09653143361015</v>
      </c>
      <c r="CU645" s="410">
        <v>364</v>
      </c>
      <c r="CV645" s="410">
        <f>IF(VLOOKUP(BS645,'Données par municipalité'!$B$6:$F$1113,4,FALSE)="","",VLOOKUP(BS645,'Données par municipalité'!$B$6:$F$1113,4,FALSE))</f>
        <v>274</v>
      </c>
      <c r="CW645" s="476" t="s">
        <v>4723</v>
      </c>
      <c r="CX645" s="483">
        <v>0</v>
      </c>
      <c r="CY645" s="483">
        <v>0</v>
      </c>
      <c r="CZ645" s="483">
        <v>0</v>
      </c>
      <c r="DA645" s="483">
        <v>0</v>
      </c>
      <c r="DB645" s="483" t="s">
        <v>1124</v>
      </c>
      <c r="DC645" s="483">
        <v>0</v>
      </c>
      <c r="DD645" s="483">
        <v>0</v>
      </c>
      <c r="DE645" s="483">
        <f>IFERROR(SUM(VLOOKUP($BS645,'État &amp; Plan d''action'!$B$6:$Z$1113,18,FALSE),VLOOKUP($BS645,'État &amp; Plan d''action'!$B$6:$Z$1113,20,FALSE))/(VLOOKUP($BS645,'Données par municipalité'!$B$4:$L$1113,11,FALSE)),"")</f>
        <v>0</v>
      </c>
      <c r="DF645" s="483">
        <f>IFERROR(SUM(VLOOKUP($BS645,'État &amp; Plan d''action'!$B$6:$Z$1113,19,FALSE),VLOOKUP($BS645,'État &amp; Plan d''action'!$B$6:$Z$1113,21,FALSE))/(VLOOKUP($BS645,'Données par municipalité'!$B$4:$L$1113,11,FALSE)),"")</f>
        <v>0</v>
      </c>
      <c r="DG645" s="476" t="s">
        <v>4723</v>
      </c>
      <c r="DH645" s="484">
        <v>0</v>
      </c>
      <c r="DI645" s="484">
        <v>0</v>
      </c>
      <c r="DJ645" s="484">
        <v>2</v>
      </c>
      <c r="DK645" s="484">
        <v>0</v>
      </c>
      <c r="DL645" s="484" t="s">
        <v>1124</v>
      </c>
      <c r="DM645" s="484">
        <v>0</v>
      </c>
      <c r="DN645" s="484">
        <v>0</v>
      </c>
      <c r="DO645" s="484">
        <v>0</v>
      </c>
      <c r="DP645" s="484">
        <v>0</v>
      </c>
      <c r="DQ645" s="484">
        <f>IF(VLOOKUP($BS645,'État &amp; Plan d''action'!$B$6:$AJ$1113,28,FALSE)="","",VLOOKUP($BS645,'État &amp; Plan d''action'!$B$6:$AJ$1113,28,FALSE))</f>
        <v>0</v>
      </c>
      <c r="DR645" s="70">
        <f>IF(VLOOKUP($BS645,'État &amp; Plan d''action'!$B$6:$AJ$1113,29,FALSE)="","",VLOOKUP($BS645,'État &amp; Plan d''action'!$B$6:$AJ$1113,29,FALSE))</f>
        <v>0</v>
      </c>
      <c r="DS645" s="70">
        <f>IF(VLOOKUP($BS645,'État &amp; Plan d''action'!$B$6:$AJ$1113,30,FALSE)="","",VLOOKUP($BS645,'État &amp; Plan d''action'!$B$6:$AJ$1113,30,FALSE))</f>
        <v>0</v>
      </c>
      <c r="DT645" s="70">
        <v>208</v>
      </c>
      <c r="DU645" s="485">
        <v>2.1345921328082236</v>
      </c>
      <c r="DV645" s="485">
        <v>1.2809067187624108</v>
      </c>
      <c r="DW645" s="70">
        <v>0</v>
      </c>
      <c r="DX645" s="70">
        <v>0</v>
      </c>
      <c r="DY645" s="70">
        <v>0</v>
      </c>
      <c r="DZ645" s="70">
        <f>VLOOKUP($BS645,'État &amp; Plan d''action'!$B$6:$AH$1113,31,FALSE)</f>
        <v>0</v>
      </c>
      <c r="EA645" s="70">
        <f>VLOOKUP($BS645,'État &amp; Plan d''action'!$B$6:$AH$1113,32,FALSE)</f>
        <v>0</v>
      </c>
      <c r="EB645" s="70">
        <f>VLOOKUP($BS645,'État &amp; Plan d''action'!$B$6:$AH$1113,33,FALSE)</f>
        <v>0</v>
      </c>
      <c r="EC645" s="70">
        <v>0</v>
      </c>
      <c r="ED645" s="70">
        <v>0</v>
      </c>
      <c r="EE645" s="70">
        <v>0</v>
      </c>
      <c r="EF645" s="70">
        <v>0</v>
      </c>
      <c r="EG645" s="70">
        <v>0</v>
      </c>
      <c r="EH645" s="72">
        <v>38</v>
      </c>
      <c r="EI645" s="72">
        <v>680</v>
      </c>
    </row>
    <row r="646" spans="71:139" x14ac:dyDescent="0.35">
      <c r="BS646" s="486">
        <v>54060</v>
      </c>
      <c r="BT646" s="479" t="s">
        <v>548</v>
      </c>
      <c r="BU646" s="479">
        <v>16</v>
      </c>
      <c r="BV646" s="476" t="s">
        <v>1187</v>
      </c>
      <c r="BW646" s="476" t="s">
        <v>1187</v>
      </c>
      <c r="BX646" s="476" t="s">
        <v>1187</v>
      </c>
      <c r="BY646" s="476" t="s">
        <v>1187</v>
      </c>
      <c r="BZ646" s="476" t="s">
        <v>1187</v>
      </c>
      <c r="CA646" s="476" t="s">
        <v>1187</v>
      </c>
      <c r="CB646" s="476" t="s">
        <v>1187</v>
      </c>
      <c r="CC646" s="476" t="s">
        <v>1187</v>
      </c>
      <c r="CD646" s="476" t="s">
        <v>1187</v>
      </c>
      <c r="CE646" s="476" t="s">
        <v>1188</v>
      </c>
      <c r="CF646" s="476" t="s">
        <v>1188</v>
      </c>
      <c r="CG646" s="476" t="s">
        <v>1187</v>
      </c>
      <c r="CH646" s="476" t="s">
        <v>1188</v>
      </c>
      <c r="CI646" s="476" t="s">
        <v>1188</v>
      </c>
      <c r="CJ646" s="476" t="s">
        <v>1188</v>
      </c>
      <c r="CK646" s="476" t="s">
        <v>1188</v>
      </c>
      <c r="CL646" s="476" t="s">
        <v>1188</v>
      </c>
      <c r="CM646" s="476" t="str">
        <f>IF(VLOOKUP(BS646,'Données par municipalité'!$B$6:$E$1113,4,FALSE)="","non","oui")</f>
        <v>oui</v>
      </c>
      <c r="CN646" s="410">
        <v>313.43358577606654</v>
      </c>
      <c r="CO646" s="410">
        <v>335.67498257712754</v>
      </c>
      <c r="CP646" s="410"/>
      <c r="CQ646" s="410">
        <v>271.3958641628459</v>
      </c>
      <c r="CR646" s="410">
        <v>262.59182602676367</v>
      </c>
      <c r="CS646" s="410">
        <v>268.9577928648967</v>
      </c>
      <c r="CT646" s="410">
        <v>277.26108432975127</v>
      </c>
      <c r="CU646" s="410">
        <v>331</v>
      </c>
      <c r="CV646" s="410">
        <f>IF(VLOOKUP(BS646,'Données par municipalité'!$B$6:$F$1113,4,FALSE)="","",VLOOKUP(BS646,'Données par municipalité'!$B$6:$F$1113,4,FALSE))</f>
        <v>339</v>
      </c>
      <c r="CW646" s="476" t="s">
        <v>4723</v>
      </c>
      <c r="CX646" s="483">
        <v>0</v>
      </c>
      <c r="CY646" s="483" t="s">
        <v>1124</v>
      </c>
      <c r="CZ646" s="483">
        <v>0</v>
      </c>
      <c r="DA646" s="483">
        <v>0</v>
      </c>
      <c r="DB646" s="483">
        <v>0</v>
      </c>
      <c r="DC646" s="483">
        <v>0</v>
      </c>
      <c r="DD646" s="483">
        <v>1</v>
      </c>
      <c r="DE646" s="483">
        <f>IFERROR(SUM(VLOOKUP($BS646,'État &amp; Plan d''action'!$B$6:$Z$1113,18,FALSE),VLOOKUP($BS646,'État &amp; Plan d''action'!$B$6:$Z$1113,20,FALSE))/(VLOOKUP($BS646,'Données par municipalité'!$B$4:$L$1113,11,FALSE)),"")</f>
        <v>1</v>
      </c>
      <c r="DF646" s="483">
        <f>IFERROR(SUM(VLOOKUP($BS646,'État &amp; Plan d''action'!$B$6:$Z$1113,19,FALSE),VLOOKUP($BS646,'État &amp; Plan d''action'!$B$6:$Z$1113,21,FALSE))/(VLOOKUP($BS646,'Données par municipalité'!$B$4:$L$1113,11,FALSE)),"")</f>
        <v>1</v>
      </c>
      <c r="DG646" s="476" t="s">
        <v>4723</v>
      </c>
      <c r="DH646" s="484">
        <v>6</v>
      </c>
      <c r="DI646" s="484" t="s">
        <v>1124</v>
      </c>
      <c r="DJ646" s="484">
        <v>3</v>
      </c>
      <c r="DK646" s="484">
        <v>4</v>
      </c>
      <c r="DL646" s="484">
        <v>3</v>
      </c>
      <c r="DM646" s="484">
        <v>3</v>
      </c>
      <c r="DN646" s="484">
        <v>0</v>
      </c>
      <c r="DO646" s="484">
        <v>2</v>
      </c>
      <c r="DP646" s="484">
        <v>0</v>
      </c>
      <c r="DQ646" s="484">
        <f>IF(VLOOKUP($BS646,'État &amp; Plan d''action'!$B$6:$AJ$1113,28,FALSE)="","",VLOOKUP($BS646,'État &amp; Plan d''action'!$B$6:$AJ$1113,28,FALSE))</f>
        <v>0</v>
      </c>
      <c r="DR646" s="70">
        <f>IF(VLOOKUP($BS646,'État &amp; Plan d''action'!$B$6:$AJ$1113,29,FALSE)="","",VLOOKUP($BS646,'État &amp; Plan d''action'!$B$6:$AJ$1113,29,FALSE))</f>
        <v>1</v>
      </c>
      <c r="DS646" s="70">
        <f>IF(VLOOKUP($BS646,'État &amp; Plan d''action'!$B$6:$AJ$1113,30,FALSE)="","",VLOOKUP($BS646,'État &amp; Plan d''action'!$B$6:$AJ$1113,30,FALSE))</f>
        <v>2</v>
      </c>
      <c r="DT646" s="70">
        <v>208</v>
      </c>
      <c r="DU646" s="485">
        <v>2.7178070378298633</v>
      </c>
      <c r="DV646" s="485">
        <v>1.6706723568883082</v>
      </c>
      <c r="DW646" s="70">
        <v>0</v>
      </c>
      <c r="DX646" s="70">
        <v>0</v>
      </c>
      <c r="DY646" s="70">
        <v>0</v>
      </c>
      <c r="DZ646" s="70">
        <f>VLOOKUP($BS646,'État &amp; Plan d''action'!$B$6:$AH$1113,31,FALSE)</f>
        <v>0</v>
      </c>
      <c r="EA646" s="70">
        <f>VLOOKUP($BS646,'État &amp; Plan d''action'!$B$6:$AH$1113,32,FALSE)</f>
        <v>2</v>
      </c>
      <c r="EB646" s="70">
        <f>VLOOKUP($BS646,'État &amp; Plan d''action'!$B$6:$AH$1113,33,FALSE)</f>
        <v>2</v>
      </c>
      <c r="EC646" s="70">
        <v>14.403</v>
      </c>
      <c r="ED646" s="70">
        <v>14.403</v>
      </c>
      <c r="EE646" s="70">
        <v>0</v>
      </c>
      <c r="EF646" s="70">
        <v>0</v>
      </c>
      <c r="EG646" s="70">
        <v>0</v>
      </c>
      <c r="EH646" s="72">
        <v>64</v>
      </c>
      <c r="EI646" s="72">
        <v>2590</v>
      </c>
    </row>
    <row r="647" spans="71:139" x14ac:dyDescent="0.35">
      <c r="BS647" s="486">
        <v>88065</v>
      </c>
      <c r="BT647" s="479" t="s">
        <v>922</v>
      </c>
      <c r="BU647" s="479">
        <v>8</v>
      </c>
      <c r="BV647" s="476" t="s">
        <v>1187</v>
      </c>
      <c r="BW647" s="476" t="s">
        <v>1187</v>
      </c>
      <c r="BX647" s="476" t="s">
        <v>1187</v>
      </c>
      <c r="BY647" s="476" t="s">
        <v>1187</v>
      </c>
      <c r="BZ647" s="476" t="s">
        <v>1187</v>
      </c>
      <c r="CA647" s="476" t="s">
        <v>1187</v>
      </c>
      <c r="CB647" s="476" t="s">
        <v>1187</v>
      </c>
      <c r="CC647" s="476" t="s">
        <v>1187</v>
      </c>
      <c r="CD647" s="476" t="s">
        <v>1187</v>
      </c>
      <c r="CE647" s="476" t="s">
        <v>1188</v>
      </c>
      <c r="CF647" s="476" t="s">
        <v>1188</v>
      </c>
      <c r="CG647" s="476" t="s">
        <v>1187</v>
      </c>
      <c r="CH647" s="476" t="s">
        <v>1187</v>
      </c>
      <c r="CI647" s="476" t="s">
        <v>1187</v>
      </c>
      <c r="CJ647" s="476" t="s">
        <v>1187</v>
      </c>
      <c r="CK647" s="476" t="s">
        <v>1187</v>
      </c>
      <c r="CL647" s="476" t="s">
        <v>1188</v>
      </c>
      <c r="CM647" s="476" t="str">
        <f>IF(VLOOKUP(BS647,'Données par municipalité'!$B$6:$E$1113,4,FALSE)="","non","oui")</f>
        <v>non</v>
      </c>
      <c r="CN647" s="410">
        <v>417.52875420005171</v>
      </c>
      <c r="CO647" s="410">
        <v>442.18290248003365</v>
      </c>
      <c r="CP647" s="410"/>
      <c r="CQ647" s="410"/>
      <c r="CR647" s="410"/>
      <c r="CS647" s="410" t="s">
        <v>1124</v>
      </c>
      <c r="CT647" s="410"/>
      <c r="CU647" s="410">
        <v>207</v>
      </c>
      <c r="CV647" s="410" t="str">
        <f>IF(VLOOKUP(BS647,'Données par municipalité'!$B$6:$F$1113,4,FALSE)="","",VLOOKUP(BS647,'Données par municipalité'!$B$6:$F$1113,4,FALSE))</f>
        <v/>
      </c>
      <c r="CW647" s="476" t="s">
        <v>4723</v>
      </c>
      <c r="CX647" s="483">
        <v>0</v>
      </c>
      <c r="CY647" s="483" t="s">
        <v>1124</v>
      </c>
      <c r="CZ647" s="483" t="s">
        <v>1124</v>
      </c>
      <c r="DA647" s="483" t="s">
        <v>1124</v>
      </c>
      <c r="DB647" s="483" t="s">
        <v>1124</v>
      </c>
      <c r="DC647" s="483" t="s">
        <v>1124</v>
      </c>
      <c r="DD647" s="483">
        <v>0</v>
      </c>
      <c r="DE647" s="483" t="str">
        <f>IFERROR(SUM(VLOOKUP($BS647,'État &amp; Plan d''action'!$B$6:$Z$1113,18,FALSE),VLOOKUP($BS647,'État &amp; Plan d''action'!$B$6:$Z$1113,20,FALSE))/(VLOOKUP($BS647,'Données par municipalité'!$B$4:$L$1113,11,FALSE)),"")</f>
        <v/>
      </c>
      <c r="DF647" s="483" t="str">
        <f>IFERROR(SUM(VLOOKUP($BS647,'État &amp; Plan d''action'!$B$6:$Z$1113,19,FALSE),VLOOKUP($BS647,'État &amp; Plan d''action'!$B$6:$Z$1113,21,FALSE))/(VLOOKUP($BS647,'Données par municipalité'!$B$4:$L$1113,11,FALSE)),"")</f>
        <v/>
      </c>
      <c r="DG647" s="476" t="s">
        <v>4723</v>
      </c>
      <c r="DH647" s="484">
        <v>1</v>
      </c>
      <c r="DI647" s="484">
        <v>0</v>
      </c>
      <c r="DJ647" s="484">
        <v>1</v>
      </c>
      <c r="DK647" s="484">
        <v>0</v>
      </c>
      <c r="DL647" s="484" t="s">
        <v>1124</v>
      </c>
      <c r="DM647" s="484" t="s">
        <v>1124</v>
      </c>
      <c r="DN647" s="484">
        <v>0</v>
      </c>
      <c r="DO647" s="484">
        <v>0</v>
      </c>
      <c r="DP647" s="484">
        <v>0</v>
      </c>
      <c r="DQ647" s="484" t="str">
        <f>IF(VLOOKUP($BS647,'État &amp; Plan d''action'!$B$6:$AJ$1113,28,FALSE)="","",VLOOKUP($BS647,'État &amp; Plan d''action'!$B$6:$AJ$1113,28,FALSE))</f>
        <v/>
      </c>
      <c r="DR647" s="70" t="str">
        <f>IF(VLOOKUP($BS647,'État &amp; Plan d''action'!$B$6:$AJ$1113,29,FALSE)="","",VLOOKUP($BS647,'État &amp; Plan d''action'!$B$6:$AJ$1113,29,FALSE))</f>
        <v/>
      </c>
      <c r="DS647" s="70" t="str">
        <f>IF(VLOOKUP($BS647,'État &amp; Plan d''action'!$B$6:$AJ$1113,30,FALSE)="","",VLOOKUP($BS647,'État &amp; Plan d''action'!$B$6:$AJ$1113,30,FALSE))</f>
        <v/>
      </c>
      <c r="DT647" s="70">
        <v>146</v>
      </c>
      <c r="DU647" s="485">
        <v>1.1355553596722558</v>
      </c>
      <c r="DV647" s="485" t="s">
        <v>1124</v>
      </c>
      <c r="DW647" s="70">
        <v>0</v>
      </c>
      <c r="DX647" s="70">
        <v>0</v>
      </c>
      <c r="DY647" s="70">
        <v>0</v>
      </c>
      <c r="DZ647" s="70" t="str">
        <f>VLOOKUP($BS647,'État &amp; Plan d''action'!$B$6:$AH$1113,31,FALSE)</f>
        <v/>
      </c>
      <c r="EA647" s="70" t="str">
        <f>VLOOKUP($BS647,'État &amp; Plan d''action'!$B$6:$AH$1113,32,FALSE)</f>
        <v/>
      </c>
      <c r="EB647" s="70" t="str">
        <f>VLOOKUP($BS647,'État &amp; Plan d''action'!$B$6:$AH$1113,33,FALSE)</f>
        <v/>
      </c>
      <c r="EC647" s="70">
        <v>0</v>
      </c>
      <c r="ED647" s="70">
        <v>0</v>
      </c>
      <c r="EE647" s="70">
        <v>0</v>
      </c>
      <c r="EF647" s="70">
        <v>0</v>
      </c>
      <c r="EG647" s="70">
        <v>0</v>
      </c>
      <c r="EH647" s="72">
        <v>38</v>
      </c>
      <c r="EI647" s="72">
        <v>440</v>
      </c>
    </row>
    <row r="648" spans="71:139" x14ac:dyDescent="0.35">
      <c r="BS648" s="486">
        <v>9030</v>
      </c>
      <c r="BT648" s="479" t="s">
        <v>1102</v>
      </c>
      <c r="BU648" s="479">
        <v>1</v>
      </c>
      <c r="BV648" s="476" t="s">
        <v>1187</v>
      </c>
      <c r="BW648" s="476" t="s">
        <v>1187</v>
      </c>
      <c r="BX648" s="476" t="s">
        <v>1187</v>
      </c>
      <c r="BY648" s="476" t="s">
        <v>1187</v>
      </c>
      <c r="BZ648" s="476" t="s">
        <v>1187</v>
      </c>
      <c r="CA648" s="476" t="s">
        <v>1187</v>
      </c>
      <c r="CB648" s="476" t="s">
        <v>1187</v>
      </c>
      <c r="CC648" s="476" t="s">
        <v>1187</v>
      </c>
      <c r="CD648" s="476" t="s">
        <v>1187</v>
      </c>
      <c r="CE648" s="476" t="s">
        <v>1188</v>
      </c>
      <c r="CF648" s="476" t="s">
        <v>1188</v>
      </c>
      <c r="CG648" s="476" t="s">
        <v>1187</v>
      </c>
      <c r="CH648" s="476" t="s">
        <v>1187</v>
      </c>
      <c r="CI648" s="476" t="s">
        <v>1187</v>
      </c>
      <c r="CJ648" s="476" t="s">
        <v>1187</v>
      </c>
      <c r="CK648" s="476" t="s">
        <v>1187</v>
      </c>
      <c r="CL648" s="476" t="s">
        <v>1187</v>
      </c>
      <c r="CM648" s="476" t="str">
        <f>IF(VLOOKUP(BS648,'Données par municipalité'!$B$6:$E$1113,4,FALSE)="","non","oui")</f>
        <v>non</v>
      </c>
      <c r="CN648" s="410">
        <v>279.98027142698038</v>
      </c>
      <c r="CO648" s="410">
        <v>294.08838178217451</v>
      </c>
      <c r="CP648" s="410"/>
      <c r="CQ648" s="410"/>
      <c r="CR648" s="410"/>
      <c r="CS648" s="410" t="s">
        <v>1124</v>
      </c>
      <c r="CT648" s="410"/>
      <c r="CU648" s="410" t="s">
        <v>1124</v>
      </c>
      <c r="CV648" s="410" t="str">
        <f>IF(VLOOKUP(BS648,'Données par municipalité'!$B$6:$F$1113,4,FALSE)="","",VLOOKUP(BS648,'Données par municipalité'!$B$6:$F$1113,4,FALSE))</f>
        <v/>
      </c>
      <c r="CW648" s="476" t="s">
        <v>4723</v>
      </c>
      <c r="CX648" s="483">
        <v>0.75</v>
      </c>
      <c r="CY648" s="483" t="s">
        <v>1124</v>
      </c>
      <c r="CZ648" s="483" t="s">
        <v>1124</v>
      </c>
      <c r="DA648" s="483" t="s">
        <v>1124</v>
      </c>
      <c r="DB648" s="483" t="s">
        <v>1124</v>
      </c>
      <c r="DC648" s="483" t="s">
        <v>1124</v>
      </c>
      <c r="DD648" s="483" t="s">
        <v>1124</v>
      </c>
      <c r="DE648" s="483" t="str">
        <f>IFERROR(SUM(VLOOKUP($BS648,'État &amp; Plan d''action'!$B$6:$Z$1113,18,FALSE),VLOOKUP($BS648,'État &amp; Plan d''action'!$B$6:$Z$1113,20,FALSE))/(VLOOKUP($BS648,'Données par municipalité'!$B$4:$L$1113,11,FALSE)),"")</f>
        <v/>
      </c>
      <c r="DF648" s="483" t="str">
        <f>IFERROR(SUM(VLOOKUP($BS648,'État &amp; Plan d''action'!$B$6:$Z$1113,19,FALSE),VLOOKUP($BS648,'État &amp; Plan d''action'!$B$6:$Z$1113,21,FALSE))/(VLOOKUP($BS648,'Données par municipalité'!$B$4:$L$1113,11,FALSE)),"")</f>
        <v/>
      </c>
      <c r="DG648" s="476" t="s">
        <v>4723</v>
      </c>
      <c r="DH648" s="484">
        <v>2</v>
      </c>
      <c r="DI648" s="484" t="s">
        <v>1124</v>
      </c>
      <c r="DJ648" s="484">
        <v>0</v>
      </c>
      <c r="DK648" s="484">
        <v>0</v>
      </c>
      <c r="DL648" s="484" t="s">
        <v>1124</v>
      </c>
      <c r="DM648" s="484" t="s">
        <v>1124</v>
      </c>
      <c r="DN648" s="484" t="s">
        <v>1124</v>
      </c>
      <c r="DO648" s="484" t="s">
        <v>1124</v>
      </c>
      <c r="DP648" s="484" t="s">
        <v>1124</v>
      </c>
      <c r="DQ648" s="484" t="str">
        <f>IF(VLOOKUP($BS648,'État &amp; Plan d''action'!$B$6:$AJ$1113,28,FALSE)="","",VLOOKUP($BS648,'État &amp; Plan d''action'!$B$6:$AJ$1113,28,FALSE))</f>
        <v/>
      </c>
      <c r="DR648" s="70" t="str">
        <f>IF(VLOOKUP($BS648,'État &amp; Plan d''action'!$B$6:$AJ$1113,29,FALSE)="","",VLOOKUP($BS648,'État &amp; Plan d''action'!$B$6:$AJ$1113,29,FALSE))</f>
        <v/>
      </c>
      <c r="DS648" s="70" t="str">
        <f>IF(VLOOKUP($BS648,'État &amp; Plan d''action'!$B$6:$AJ$1113,30,FALSE)="","",VLOOKUP($BS648,'État &amp; Plan d''action'!$B$6:$AJ$1113,30,FALSE))</f>
        <v/>
      </c>
      <c r="DT648" s="70" t="s">
        <v>1124</v>
      </c>
      <c r="DU648" s="485" t="s">
        <v>1124</v>
      </c>
      <c r="DV648" s="485" t="s">
        <v>1124</v>
      </c>
      <c r="DW648" s="70" t="s">
        <v>1124</v>
      </c>
      <c r="DX648" s="70" t="s">
        <v>1124</v>
      </c>
      <c r="DY648" s="70" t="s">
        <v>1124</v>
      </c>
      <c r="DZ648" s="70" t="str">
        <f>VLOOKUP($BS648,'État &amp; Plan d''action'!$B$6:$AH$1113,31,FALSE)</f>
        <v/>
      </c>
      <c r="EA648" s="70" t="str">
        <f>VLOOKUP($BS648,'État &amp; Plan d''action'!$B$6:$AH$1113,32,FALSE)</f>
        <v/>
      </c>
      <c r="EB648" s="70" t="str">
        <f>VLOOKUP($BS648,'État &amp; Plan d''action'!$B$6:$AH$1113,33,FALSE)</f>
        <v/>
      </c>
      <c r="EC648" s="70" t="s">
        <v>1124</v>
      </c>
      <c r="ED648" s="70" t="s">
        <v>1124</v>
      </c>
      <c r="EE648" s="70" t="s">
        <v>1124</v>
      </c>
      <c r="EF648" s="70" t="s">
        <v>1124</v>
      </c>
      <c r="EG648" s="70" t="s">
        <v>1124</v>
      </c>
      <c r="EH648" s="72"/>
      <c r="EI648" s="72">
        <v>852</v>
      </c>
    </row>
    <row r="649" spans="71:139" x14ac:dyDescent="0.35">
      <c r="BS649" s="486">
        <v>62060</v>
      </c>
      <c r="BT649" s="479" t="s">
        <v>628</v>
      </c>
      <c r="BU649" s="479">
        <v>14</v>
      </c>
      <c r="BV649" s="476" t="s">
        <v>1187</v>
      </c>
      <c r="BW649" s="476" t="s">
        <v>1187</v>
      </c>
      <c r="BX649" s="476" t="s">
        <v>1187</v>
      </c>
      <c r="BY649" s="476" t="s">
        <v>1187</v>
      </c>
      <c r="BZ649" s="476" t="s">
        <v>1187</v>
      </c>
      <c r="CA649" s="476" t="s">
        <v>1187</v>
      </c>
      <c r="CB649" s="476" t="s">
        <v>1187</v>
      </c>
      <c r="CC649" s="476" t="s">
        <v>1187</v>
      </c>
      <c r="CD649" s="476" t="s">
        <v>1187</v>
      </c>
      <c r="CE649" s="476" t="s">
        <v>1188</v>
      </c>
      <c r="CF649" s="476" t="s">
        <v>1188</v>
      </c>
      <c r="CG649" s="476" t="s">
        <v>1188</v>
      </c>
      <c r="CH649" s="476" t="s">
        <v>1188</v>
      </c>
      <c r="CI649" s="476" t="s">
        <v>1188</v>
      </c>
      <c r="CJ649" s="476" t="s">
        <v>1188</v>
      </c>
      <c r="CK649" s="476" t="s">
        <v>1188</v>
      </c>
      <c r="CL649" s="476" t="s">
        <v>1188</v>
      </c>
      <c r="CM649" s="476" t="str">
        <f>IF(VLOOKUP(BS649,'Données par municipalité'!$B$6:$E$1113,4,FALSE)="","non","oui")</f>
        <v>non</v>
      </c>
      <c r="CN649" s="410">
        <v>479.27715736994503</v>
      </c>
      <c r="CO649" s="410">
        <v>481.36845647313714</v>
      </c>
      <c r="CP649" s="410">
        <v>389.42261368889751</v>
      </c>
      <c r="CQ649" s="410">
        <v>415.87335683157761</v>
      </c>
      <c r="CR649" s="410">
        <v>511.60971651310359</v>
      </c>
      <c r="CS649" s="410">
        <v>509.90646947661003</v>
      </c>
      <c r="CT649" s="410">
        <v>482.36858230194684</v>
      </c>
      <c r="CU649" s="410">
        <v>562</v>
      </c>
      <c r="CV649" s="410" t="str">
        <f>IF(VLOOKUP(BS649,'Données par municipalité'!$B$6:$F$1113,4,FALSE)="","",VLOOKUP(BS649,'Données par municipalité'!$B$6:$F$1113,4,FALSE))</f>
        <v/>
      </c>
      <c r="CW649" s="476" t="s">
        <v>4723</v>
      </c>
      <c r="CX649" s="483">
        <v>1</v>
      </c>
      <c r="CY649" s="483">
        <v>1</v>
      </c>
      <c r="CZ649" s="483">
        <v>1</v>
      </c>
      <c r="DA649" s="483">
        <v>0.7</v>
      </c>
      <c r="DB649" s="483">
        <v>1</v>
      </c>
      <c r="DC649" s="483">
        <v>1</v>
      </c>
      <c r="DD649" s="483">
        <v>1</v>
      </c>
      <c r="DE649" s="483" t="str">
        <f>IFERROR(SUM(VLOOKUP($BS649,'État &amp; Plan d''action'!$B$6:$Z$1113,18,FALSE),VLOOKUP($BS649,'État &amp; Plan d''action'!$B$6:$Z$1113,20,FALSE))/(VLOOKUP($BS649,'Données par municipalité'!$B$4:$L$1113,11,FALSE)),"")</f>
        <v/>
      </c>
      <c r="DF649" s="483" t="str">
        <f>IFERROR(SUM(VLOOKUP($BS649,'État &amp; Plan d''action'!$B$6:$Z$1113,19,FALSE),VLOOKUP($BS649,'État &amp; Plan d''action'!$B$6:$Z$1113,21,FALSE))/(VLOOKUP($BS649,'Données par municipalité'!$B$4:$L$1113,11,FALSE)),"")</f>
        <v/>
      </c>
      <c r="DG649" s="476" t="s">
        <v>4723</v>
      </c>
      <c r="DH649" s="484">
        <v>29</v>
      </c>
      <c r="DI649" s="484">
        <v>17</v>
      </c>
      <c r="DJ649" s="484">
        <v>41</v>
      </c>
      <c r="DK649" s="484">
        <v>27</v>
      </c>
      <c r="DL649" s="484">
        <v>15</v>
      </c>
      <c r="DM649" s="484">
        <v>23</v>
      </c>
      <c r="DN649" s="484">
        <v>2</v>
      </c>
      <c r="DO649" s="484">
        <v>17</v>
      </c>
      <c r="DP649" s="484">
        <v>9</v>
      </c>
      <c r="DQ649" s="484" t="str">
        <f>IF(VLOOKUP($BS649,'État &amp; Plan d''action'!$B$6:$AJ$1113,28,FALSE)="","",VLOOKUP($BS649,'État &amp; Plan d''action'!$B$6:$AJ$1113,28,FALSE))</f>
        <v/>
      </c>
      <c r="DR649" s="70" t="str">
        <f>IF(VLOOKUP($BS649,'État &amp; Plan d''action'!$B$6:$AJ$1113,29,FALSE)="","",VLOOKUP($BS649,'État &amp; Plan d''action'!$B$6:$AJ$1113,29,FALSE))</f>
        <v/>
      </c>
      <c r="DS649" s="70" t="str">
        <f>IF(VLOOKUP($BS649,'État &amp; Plan d''action'!$B$6:$AJ$1113,30,FALSE)="","",VLOOKUP($BS649,'État &amp; Plan d''action'!$B$6:$AJ$1113,30,FALSE))</f>
        <v/>
      </c>
      <c r="DT649" s="70">
        <v>293</v>
      </c>
      <c r="DU649" s="485">
        <v>5.7398929317693606</v>
      </c>
      <c r="DV649" s="485" t="s">
        <v>1124</v>
      </c>
      <c r="DW649" s="70">
        <v>5</v>
      </c>
      <c r="DX649" s="70">
        <v>5</v>
      </c>
      <c r="DY649" s="70">
        <v>21</v>
      </c>
      <c r="DZ649" s="70" t="str">
        <f>VLOOKUP($BS649,'État &amp; Plan d''action'!$B$6:$AH$1113,31,FALSE)</f>
        <v/>
      </c>
      <c r="EA649" s="70" t="str">
        <f>VLOOKUP($BS649,'État &amp; Plan d''action'!$B$6:$AH$1113,32,FALSE)</f>
        <v/>
      </c>
      <c r="EB649" s="70" t="str">
        <f>VLOOKUP($BS649,'État &amp; Plan d''action'!$B$6:$AH$1113,33,FALSE)</f>
        <v/>
      </c>
      <c r="EC649" s="70">
        <v>0</v>
      </c>
      <c r="ED649" s="70">
        <v>25.087</v>
      </c>
      <c r="EE649" s="70">
        <v>0</v>
      </c>
      <c r="EF649" s="70">
        <v>0</v>
      </c>
      <c r="EG649" s="70">
        <v>0</v>
      </c>
      <c r="EH649" s="72">
        <v>59.081081081081081</v>
      </c>
      <c r="EI649" s="72">
        <v>3940</v>
      </c>
    </row>
    <row r="650" spans="71:139" x14ac:dyDescent="0.35">
      <c r="BS650" s="486">
        <v>77022</v>
      </c>
      <c r="BT650" s="479" t="s">
        <v>758</v>
      </c>
      <c r="BU650" s="479">
        <v>15</v>
      </c>
      <c r="BV650" s="476" t="s">
        <v>1187</v>
      </c>
      <c r="BW650" s="476" t="s">
        <v>1187</v>
      </c>
      <c r="BX650" s="476" t="s">
        <v>1187</v>
      </c>
      <c r="BY650" s="476" t="s">
        <v>1187</v>
      </c>
      <c r="BZ650" s="476" t="s">
        <v>1187</v>
      </c>
      <c r="CA650" s="476" t="s">
        <v>1187</v>
      </c>
      <c r="CB650" s="476" t="s">
        <v>1187</v>
      </c>
      <c r="CC650" s="476" t="s">
        <v>1187</v>
      </c>
      <c r="CD650" s="476" t="s">
        <v>1187</v>
      </c>
      <c r="CE650" s="476" t="s">
        <v>1188</v>
      </c>
      <c r="CF650" s="476" t="s">
        <v>1188</v>
      </c>
      <c r="CG650" s="476" t="s">
        <v>1188</v>
      </c>
      <c r="CH650" s="476" t="s">
        <v>1188</v>
      </c>
      <c r="CI650" s="476" t="s">
        <v>1188</v>
      </c>
      <c r="CJ650" s="476" t="s">
        <v>1188</v>
      </c>
      <c r="CK650" s="476" t="s">
        <v>1188</v>
      </c>
      <c r="CL650" s="476" t="s">
        <v>1188</v>
      </c>
      <c r="CM650" s="476" t="str">
        <f>IF(VLOOKUP(BS650,'Données par municipalité'!$B$6:$E$1113,4,FALSE)="","non","oui")</f>
        <v>oui</v>
      </c>
      <c r="CN650" s="410">
        <v>441.714538223597</v>
      </c>
      <c r="CO650" s="410">
        <v>383.3933896359531</v>
      </c>
      <c r="CP650" s="410">
        <v>438.52517620692697</v>
      </c>
      <c r="CQ650" s="410">
        <v>605.83792926914748</v>
      </c>
      <c r="CR650" s="410">
        <v>506.68935463301921</v>
      </c>
      <c r="CS650" s="410">
        <v>610.3006582458637</v>
      </c>
      <c r="CT650" s="410">
        <v>520</v>
      </c>
      <c r="CU650" s="410">
        <v>680</v>
      </c>
      <c r="CV650" s="410">
        <f>IF(VLOOKUP(BS650,'Données par municipalité'!$B$6:$F$1113,4,FALSE)="","",VLOOKUP(BS650,'Données par municipalité'!$B$6:$F$1113,4,FALSE))</f>
        <v>551</v>
      </c>
      <c r="CW650" s="476" t="s">
        <v>4723</v>
      </c>
      <c r="CX650" s="483">
        <v>0</v>
      </c>
      <c r="CY650" s="483">
        <v>0</v>
      </c>
      <c r="CZ650" s="483">
        <v>0.99</v>
      </c>
      <c r="DA650" s="483">
        <v>1</v>
      </c>
      <c r="DB650" s="483">
        <v>1</v>
      </c>
      <c r="DC650" s="483">
        <v>1</v>
      </c>
      <c r="DD650" s="483">
        <v>0.5364596836919886</v>
      </c>
      <c r="DE650" s="483">
        <f>IFERROR(SUM(VLOOKUP($BS650,'État &amp; Plan d''action'!$B$6:$Z$1113,18,FALSE),VLOOKUP($BS650,'État &amp; Plan d''action'!$B$6:$Z$1113,20,FALSE))/(VLOOKUP($BS650,'Données par municipalité'!$B$4:$L$1113,11,FALSE)),"")</f>
        <v>1.0130354957160344</v>
      </c>
      <c r="DF650" s="483">
        <f>IFERROR(SUM(VLOOKUP($BS650,'État &amp; Plan d''action'!$B$6:$Z$1113,19,FALSE),VLOOKUP($BS650,'État &amp; Plan d''action'!$B$6:$Z$1113,21,FALSE))/(VLOOKUP($BS650,'Données par municipalité'!$B$4:$L$1113,11,FALSE)),"")</f>
        <v>1.0130354957160344</v>
      </c>
      <c r="DG650" s="476" t="s">
        <v>4723</v>
      </c>
      <c r="DH650" s="484">
        <v>53</v>
      </c>
      <c r="DI650" s="484">
        <v>90</v>
      </c>
      <c r="DJ650" s="484">
        <v>80</v>
      </c>
      <c r="DK650" s="484">
        <v>80</v>
      </c>
      <c r="DL650" s="484">
        <v>45</v>
      </c>
      <c r="DM650" s="484">
        <v>42</v>
      </c>
      <c r="DN650" s="484">
        <v>25</v>
      </c>
      <c r="DO650" s="484">
        <v>11</v>
      </c>
      <c r="DP650" s="484">
        <v>7</v>
      </c>
      <c r="DQ650" s="484">
        <f>IF(VLOOKUP($BS650,'État &amp; Plan d''action'!$B$6:$AJ$1113,28,FALSE)="","",VLOOKUP($BS650,'État &amp; Plan d''action'!$B$6:$AJ$1113,28,FALSE))</f>
        <v>24</v>
      </c>
      <c r="DR650" s="70">
        <f>IF(VLOOKUP($BS650,'État &amp; Plan d''action'!$B$6:$AJ$1113,29,FALSE)="","",VLOOKUP($BS650,'État &amp; Plan d''action'!$B$6:$AJ$1113,29,FALSE))</f>
        <v>6</v>
      </c>
      <c r="DS650" s="70">
        <f>IF(VLOOKUP($BS650,'État &amp; Plan d''action'!$B$6:$AJ$1113,30,FALSE)="","",VLOOKUP($BS650,'État &amp; Plan d''action'!$B$6:$AJ$1113,30,FALSE))</f>
        <v>10</v>
      </c>
      <c r="DT650" s="70">
        <v>292</v>
      </c>
      <c r="DU650" s="485">
        <v>5.5314547730397967</v>
      </c>
      <c r="DV650" s="485">
        <v>5.2589300483206758</v>
      </c>
      <c r="DW650" s="70">
        <v>2</v>
      </c>
      <c r="DX650" s="70">
        <v>1</v>
      </c>
      <c r="DY650" s="70">
        <v>7</v>
      </c>
      <c r="DZ650" s="70">
        <f>VLOOKUP($BS650,'État &amp; Plan d''action'!$B$6:$AH$1113,31,FALSE)</f>
        <v>1</v>
      </c>
      <c r="EA650" s="70">
        <f>VLOOKUP($BS650,'État &amp; Plan d''action'!$B$6:$AH$1113,32,FALSE)</f>
        <v>3</v>
      </c>
      <c r="EB650" s="70">
        <f>VLOOKUP($BS650,'État &amp; Plan d''action'!$B$6:$AH$1113,33,FALSE)</f>
        <v>24</v>
      </c>
      <c r="EC650" s="70">
        <v>0</v>
      </c>
      <c r="ED650" s="70">
        <v>0</v>
      </c>
      <c r="EE650" s="70">
        <v>82.765000000000001</v>
      </c>
      <c r="EF650" s="70">
        <v>0</v>
      </c>
      <c r="EG650" s="70">
        <v>0</v>
      </c>
      <c r="EH650" s="72">
        <v>43.332043343653254</v>
      </c>
      <c r="EI650" s="72">
        <v>13450</v>
      </c>
    </row>
    <row r="651" spans="71:139" x14ac:dyDescent="0.35">
      <c r="BS651" s="486">
        <v>33017</v>
      </c>
      <c r="BT651" s="479" t="s">
        <v>268</v>
      </c>
      <c r="BU651" s="479">
        <v>12</v>
      </c>
      <c r="BV651" s="476" t="s">
        <v>1187</v>
      </c>
      <c r="BW651" s="476" t="s">
        <v>1187</v>
      </c>
      <c r="BX651" s="476" t="s">
        <v>1187</v>
      </c>
      <c r="BY651" s="476" t="s">
        <v>1187</v>
      </c>
      <c r="BZ651" s="476" t="s">
        <v>1187</v>
      </c>
      <c r="CA651" s="476" t="s">
        <v>1187</v>
      </c>
      <c r="CB651" s="476" t="s">
        <v>1187</v>
      </c>
      <c r="CC651" s="476" t="s">
        <v>1187</v>
      </c>
      <c r="CD651" s="476" t="s">
        <v>1187</v>
      </c>
      <c r="CE651" s="476" t="s">
        <v>1188</v>
      </c>
      <c r="CF651" s="476" t="s">
        <v>1188</v>
      </c>
      <c r="CG651" s="476" t="s">
        <v>1188</v>
      </c>
      <c r="CH651" s="476" t="s">
        <v>1188</v>
      </c>
      <c r="CI651" s="476" t="s">
        <v>1188</v>
      </c>
      <c r="CJ651" s="476" t="s">
        <v>1188</v>
      </c>
      <c r="CK651" s="476" t="s">
        <v>1188</v>
      </c>
      <c r="CL651" s="476" t="s">
        <v>1188</v>
      </c>
      <c r="CM651" s="476" t="str">
        <f>IF(VLOOKUP(BS651,'Données par municipalité'!$B$6:$E$1113,4,FALSE)="","non","oui")</f>
        <v>oui</v>
      </c>
      <c r="CN651" s="410">
        <v>326.56205516386717</v>
      </c>
      <c r="CO651" s="410">
        <v>364.46663034313423</v>
      </c>
      <c r="CP651" s="410">
        <v>292.14060562918559</v>
      </c>
      <c r="CQ651" s="410">
        <v>296.17080477514406</v>
      </c>
      <c r="CR651" s="410">
        <v>290.34447161980273</v>
      </c>
      <c r="CS651" s="410">
        <v>297.73922747550404</v>
      </c>
      <c r="CT651" s="410">
        <v>236.47453155211312</v>
      </c>
      <c r="CU651" s="410">
        <v>227</v>
      </c>
      <c r="CV651" s="410">
        <f>IF(VLOOKUP(BS651,'Données par municipalité'!$B$6:$F$1113,4,FALSE)="","",VLOOKUP(BS651,'Données par municipalité'!$B$6:$F$1113,4,FALSE))</f>
        <v>235</v>
      </c>
      <c r="CW651" s="476" t="s">
        <v>4723</v>
      </c>
      <c r="CX651" s="483">
        <v>0</v>
      </c>
      <c r="CY651" s="483">
        <v>0</v>
      </c>
      <c r="CZ651" s="483">
        <v>0</v>
      </c>
      <c r="DA651" s="483">
        <v>0</v>
      </c>
      <c r="DB651" s="483">
        <v>0</v>
      </c>
      <c r="DC651" s="483">
        <v>0</v>
      </c>
      <c r="DD651" s="483">
        <v>0</v>
      </c>
      <c r="DE651" s="483">
        <f>IFERROR(SUM(VLOOKUP($BS651,'État &amp; Plan d''action'!$B$6:$Z$1113,18,FALSE),VLOOKUP($BS651,'État &amp; Plan d''action'!$B$6:$Z$1113,20,FALSE))/(VLOOKUP($BS651,'Données par municipalité'!$B$4:$L$1113,11,FALSE)),"")</f>
        <v>0</v>
      </c>
      <c r="DF651" s="483">
        <f>IFERROR(SUM(VLOOKUP($BS651,'État &amp; Plan d''action'!$B$6:$Z$1113,19,FALSE),VLOOKUP($BS651,'État &amp; Plan d''action'!$B$6:$Z$1113,21,FALSE))/(VLOOKUP($BS651,'Données par municipalité'!$B$4:$L$1113,11,FALSE)),"")</f>
        <v>0</v>
      </c>
      <c r="DG651" s="476" t="s">
        <v>4723</v>
      </c>
      <c r="DH651" s="484">
        <v>2</v>
      </c>
      <c r="DI651" s="484">
        <v>0</v>
      </c>
      <c r="DJ651" s="484">
        <v>2</v>
      </c>
      <c r="DK651" s="484">
        <v>1</v>
      </c>
      <c r="DL651" s="484">
        <v>0</v>
      </c>
      <c r="DM651" s="484">
        <v>0</v>
      </c>
      <c r="DN651" s="484">
        <v>0</v>
      </c>
      <c r="DO651" s="484">
        <v>1</v>
      </c>
      <c r="DP651" s="484">
        <v>1</v>
      </c>
      <c r="DQ651" s="484">
        <f>IF(VLOOKUP($BS651,'État &amp; Plan d''action'!$B$6:$AJ$1113,28,FALSE)="","",VLOOKUP($BS651,'État &amp; Plan d''action'!$B$6:$AJ$1113,28,FALSE))</f>
        <v>0</v>
      </c>
      <c r="DR651" s="70">
        <f>IF(VLOOKUP($BS651,'État &amp; Plan d''action'!$B$6:$AJ$1113,29,FALSE)="","",VLOOKUP($BS651,'État &amp; Plan d''action'!$B$6:$AJ$1113,29,FALSE))</f>
        <v>0</v>
      </c>
      <c r="DS651" s="70">
        <f>IF(VLOOKUP($BS651,'État &amp; Plan d''action'!$B$6:$AJ$1113,30,FALSE)="","",VLOOKUP($BS651,'État &amp; Plan d''action'!$B$6:$AJ$1113,30,FALSE))</f>
        <v>0</v>
      </c>
      <c r="DT651" s="70">
        <v>146</v>
      </c>
      <c r="DU651" s="485">
        <v>0.61715234539771735</v>
      </c>
      <c r="DV651" s="485">
        <v>2.673167030441741</v>
      </c>
      <c r="DW651" s="70">
        <v>0</v>
      </c>
      <c r="DX651" s="70">
        <v>3</v>
      </c>
      <c r="DY651" s="70">
        <v>2</v>
      </c>
      <c r="DZ651" s="70">
        <f>VLOOKUP($BS651,'État &amp; Plan d''action'!$B$6:$AH$1113,31,FALSE)</f>
        <v>0</v>
      </c>
      <c r="EA651" s="70">
        <f>VLOOKUP($BS651,'État &amp; Plan d''action'!$B$6:$AH$1113,32,FALSE)</f>
        <v>0</v>
      </c>
      <c r="EB651" s="70">
        <f>VLOOKUP($BS651,'État &amp; Plan d''action'!$B$6:$AH$1113,33,FALSE)</f>
        <v>0</v>
      </c>
      <c r="EC651" s="70">
        <v>0</v>
      </c>
      <c r="ED651" s="70">
        <v>0</v>
      </c>
      <c r="EE651" s="70">
        <v>0</v>
      </c>
      <c r="EF651" s="70">
        <v>0</v>
      </c>
      <c r="EG651" s="70">
        <v>0</v>
      </c>
      <c r="EH651" s="72">
        <v>60.310810810810814</v>
      </c>
      <c r="EI651" s="72">
        <v>1170</v>
      </c>
    </row>
    <row r="652" spans="71:139" x14ac:dyDescent="0.35">
      <c r="BS652" s="486">
        <v>78032</v>
      </c>
      <c r="BT652" s="479" t="s">
        <v>770</v>
      </c>
      <c r="BU652" s="479">
        <v>15</v>
      </c>
      <c r="BV652" s="476" t="s">
        <v>1187</v>
      </c>
      <c r="BW652" s="476" t="s">
        <v>1187</v>
      </c>
      <c r="BX652" s="476" t="s">
        <v>1187</v>
      </c>
      <c r="BY652" s="476" t="s">
        <v>1187</v>
      </c>
      <c r="BZ652" s="476" t="s">
        <v>1187</v>
      </c>
      <c r="CA652" s="476" t="s">
        <v>1187</v>
      </c>
      <c r="CB652" s="476" t="s">
        <v>1187</v>
      </c>
      <c r="CC652" s="476" t="s">
        <v>1187</v>
      </c>
      <c r="CD652" s="476" t="s">
        <v>1187</v>
      </c>
      <c r="CE652" s="476" t="s">
        <v>1187</v>
      </c>
      <c r="CF652" s="476" t="s">
        <v>1187</v>
      </c>
      <c r="CG652" s="476" t="s">
        <v>1187</v>
      </c>
      <c r="CH652" s="476" t="s">
        <v>1187</v>
      </c>
      <c r="CI652" s="476" t="s">
        <v>1187</v>
      </c>
      <c r="CJ652" s="476" t="s">
        <v>1188</v>
      </c>
      <c r="CK652" s="476" t="s">
        <v>1188</v>
      </c>
      <c r="CL652" s="476" t="s">
        <v>1188</v>
      </c>
      <c r="CM652" s="476" t="str">
        <f>IF(VLOOKUP(BS652,'Données par municipalité'!$B$6:$E$1113,4,FALSE)="","non","oui")</f>
        <v>oui</v>
      </c>
      <c r="CN652" s="410" t="s">
        <v>1124</v>
      </c>
      <c r="CO652" s="410" t="s">
        <v>1124</v>
      </c>
      <c r="CP652" s="410"/>
      <c r="CQ652" s="410"/>
      <c r="CR652" s="410"/>
      <c r="CS652" s="410">
        <v>693.08902794415076</v>
      </c>
      <c r="CT652" s="410">
        <v>631.85973801255591</v>
      </c>
      <c r="CU652" s="410">
        <v>759</v>
      </c>
      <c r="CV652" s="410">
        <f>IF(VLOOKUP(BS652,'Données par municipalité'!$B$6:$F$1113,4,FALSE)="","",VLOOKUP(BS652,'Données par municipalité'!$B$6:$F$1113,4,FALSE))</f>
        <v>922</v>
      </c>
      <c r="CW652" s="476" t="s">
        <v>4723</v>
      </c>
      <c r="CX652" s="483" t="s">
        <v>1124</v>
      </c>
      <c r="CY652" s="483" t="s">
        <v>1124</v>
      </c>
      <c r="CZ652" s="483" t="s">
        <v>1124</v>
      </c>
      <c r="DA652" s="483" t="s">
        <v>1124</v>
      </c>
      <c r="DB652" s="483">
        <v>1</v>
      </c>
      <c r="DC652" s="483">
        <v>1</v>
      </c>
      <c r="DD652" s="483">
        <v>1</v>
      </c>
      <c r="DE652" s="483">
        <f>IFERROR(SUM(VLOOKUP($BS652,'État &amp; Plan d''action'!$B$6:$Z$1113,18,FALSE),VLOOKUP($BS652,'État &amp; Plan d''action'!$B$6:$Z$1113,20,FALSE))/(VLOOKUP($BS652,'Données par municipalité'!$B$4:$L$1113,11,FALSE)),"")</f>
        <v>0.64422888147209478</v>
      </c>
      <c r="DF652" s="483">
        <f>IFERROR(SUM(VLOOKUP($BS652,'État &amp; Plan d''action'!$B$6:$Z$1113,19,FALSE),VLOOKUP($BS652,'État &amp; Plan d''action'!$B$6:$Z$1113,21,FALSE))/(VLOOKUP($BS652,'Données par municipalité'!$B$4:$L$1113,11,FALSE)),"")</f>
        <v>1</v>
      </c>
      <c r="DG652" s="476" t="s">
        <v>4723</v>
      </c>
      <c r="DH652" s="484">
        <v>19</v>
      </c>
      <c r="DI652" s="484">
        <v>13</v>
      </c>
      <c r="DJ652" s="484">
        <v>17</v>
      </c>
      <c r="DK652" s="484">
        <v>10</v>
      </c>
      <c r="DL652" s="484">
        <v>22</v>
      </c>
      <c r="DM652" s="484">
        <v>13</v>
      </c>
      <c r="DN652" s="484">
        <v>14</v>
      </c>
      <c r="DO652" s="484">
        <v>0</v>
      </c>
      <c r="DP652" s="484">
        <v>0</v>
      </c>
      <c r="DQ652" s="484">
        <f>IF(VLOOKUP($BS652,'État &amp; Plan d''action'!$B$6:$AJ$1113,28,FALSE)="","",VLOOKUP($BS652,'État &amp; Plan d''action'!$B$6:$AJ$1113,28,FALSE))</f>
        <v>10</v>
      </c>
      <c r="DR652" s="70">
        <f>IF(VLOOKUP($BS652,'État &amp; Plan d''action'!$B$6:$AJ$1113,29,FALSE)="","",VLOOKUP($BS652,'État &amp; Plan d''action'!$B$6:$AJ$1113,29,FALSE))</f>
        <v>0</v>
      </c>
      <c r="DS652" s="70">
        <f>IF(VLOOKUP($BS652,'État &amp; Plan d''action'!$B$6:$AJ$1113,30,FALSE)="","",VLOOKUP($BS652,'État &amp; Plan d''action'!$B$6:$AJ$1113,30,FALSE))</f>
        <v>0</v>
      </c>
      <c r="DT652" s="70">
        <v>250</v>
      </c>
      <c r="DU652" s="485">
        <v>7.8694791536648232</v>
      </c>
      <c r="DV652" s="485">
        <v>11.077669290142348</v>
      </c>
      <c r="DW652" s="70">
        <v>5</v>
      </c>
      <c r="DX652" s="70">
        <v>0</v>
      </c>
      <c r="DY652" s="70">
        <v>0</v>
      </c>
      <c r="DZ652" s="70">
        <f>VLOOKUP($BS652,'État &amp; Plan d''action'!$B$6:$AH$1113,31,FALSE)</f>
        <v>5</v>
      </c>
      <c r="EA652" s="70">
        <f>VLOOKUP($BS652,'État &amp; Plan d''action'!$B$6:$AH$1113,32,FALSE)</f>
        <v>0</v>
      </c>
      <c r="EB652" s="70">
        <f>VLOOKUP($BS652,'État &amp; Plan d''action'!$B$6:$AH$1113,33,FALSE)</f>
        <v>0</v>
      </c>
      <c r="EC652" s="70">
        <v>0</v>
      </c>
      <c r="ED652" s="70">
        <v>72.191000000000003</v>
      </c>
      <c r="EE652" s="70">
        <v>37.509</v>
      </c>
      <c r="EF652" s="70">
        <v>0</v>
      </c>
      <c r="EG652" s="70">
        <v>0</v>
      </c>
      <c r="EH652" s="72">
        <v>59</v>
      </c>
      <c r="EI652" s="72">
        <v>10647</v>
      </c>
    </row>
    <row r="653" spans="71:139" x14ac:dyDescent="0.35">
      <c r="BS653" s="486">
        <v>9035</v>
      </c>
      <c r="BT653" s="479" t="s">
        <v>1103</v>
      </c>
      <c r="BU653" s="479">
        <v>1</v>
      </c>
      <c r="BV653" s="476" t="s">
        <v>1187</v>
      </c>
      <c r="BW653" s="476" t="s">
        <v>1187</v>
      </c>
      <c r="BX653" s="476" t="s">
        <v>1187</v>
      </c>
      <c r="BY653" s="476" t="s">
        <v>1187</v>
      </c>
      <c r="BZ653" s="476" t="s">
        <v>1187</v>
      </c>
      <c r="CA653" s="476" t="s">
        <v>1187</v>
      </c>
      <c r="CB653" s="476" t="s">
        <v>1187</v>
      </c>
      <c r="CC653" s="476" t="s">
        <v>1187</v>
      </c>
      <c r="CD653" s="476" t="s">
        <v>1187</v>
      </c>
      <c r="CE653" s="476" t="s">
        <v>1188</v>
      </c>
      <c r="CF653" s="476" t="s">
        <v>1188</v>
      </c>
      <c r="CG653" s="476" t="s">
        <v>1187</v>
      </c>
      <c r="CH653" s="476" t="s">
        <v>1187</v>
      </c>
      <c r="CI653" s="476" t="s">
        <v>1187</v>
      </c>
      <c r="CJ653" s="476" t="s">
        <v>1187</v>
      </c>
      <c r="CK653" s="476" t="s">
        <v>1187</v>
      </c>
      <c r="CL653" s="476" t="s">
        <v>1188</v>
      </c>
      <c r="CM653" s="476" t="str">
        <f>IF(VLOOKUP(BS653,'Données par municipalité'!$B$6:$E$1113,4,FALSE)="","non","oui")</f>
        <v>oui</v>
      </c>
      <c r="CN653" s="410">
        <v>341.07740146230771</v>
      </c>
      <c r="CO653" s="410">
        <v>333.51436521505917</v>
      </c>
      <c r="CP653" s="410"/>
      <c r="CQ653" s="410"/>
      <c r="CR653" s="410"/>
      <c r="CS653" s="410" t="s">
        <v>1124</v>
      </c>
      <c r="CT653" s="410"/>
      <c r="CU653" s="410">
        <v>514</v>
      </c>
      <c r="CV653" s="410">
        <f>IF(VLOOKUP(BS653,'Données par municipalité'!$B$6:$F$1113,4,FALSE)="","",VLOOKUP(BS653,'Données par municipalité'!$B$6:$F$1113,4,FALSE))</f>
        <v>686</v>
      </c>
      <c r="CW653" s="476" t="s">
        <v>4723</v>
      </c>
      <c r="CX653" s="483">
        <v>0</v>
      </c>
      <c r="CY653" s="483" t="s">
        <v>1124</v>
      </c>
      <c r="CZ653" s="483" t="s">
        <v>1124</v>
      </c>
      <c r="DA653" s="483" t="s">
        <v>1124</v>
      </c>
      <c r="DB653" s="483" t="s">
        <v>1124</v>
      </c>
      <c r="DC653" s="483" t="s">
        <v>1124</v>
      </c>
      <c r="DD653" s="483" t="s">
        <v>1124</v>
      </c>
      <c r="DE653" s="483">
        <f>IFERROR(SUM(VLOOKUP($BS653,'État &amp; Plan d''action'!$B$6:$Z$1113,18,FALSE),VLOOKUP($BS653,'État &amp; Plan d''action'!$B$6:$Z$1113,20,FALSE))/(VLOOKUP($BS653,'Données par municipalité'!$B$4:$L$1113,11,FALSE)),"")</f>
        <v>0.96823529411764708</v>
      </c>
      <c r="DF653" s="483">
        <f>IFERROR(SUM(VLOOKUP($BS653,'État &amp; Plan d''action'!$B$6:$Z$1113,19,FALSE),VLOOKUP($BS653,'État &amp; Plan d''action'!$B$6:$Z$1113,21,FALSE))/(VLOOKUP($BS653,'Données par municipalité'!$B$4:$L$1113,11,FALSE)),"")</f>
        <v>1</v>
      </c>
      <c r="DG653" s="476" t="s">
        <v>4723</v>
      </c>
      <c r="DH653" s="484">
        <v>0</v>
      </c>
      <c r="DI653" s="484" t="s">
        <v>1124</v>
      </c>
      <c r="DJ653" s="484">
        <v>0</v>
      </c>
      <c r="DK653" s="484">
        <v>0</v>
      </c>
      <c r="DL653" s="484" t="s">
        <v>1124</v>
      </c>
      <c r="DM653" s="484" t="s">
        <v>1124</v>
      </c>
      <c r="DN653" s="484">
        <v>0</v>
      </c>
      <c r="DO653" s="484">
        <v>0</v>
      </c>
      <c r="DP653" s="484">
        <v>1</v>
      </c>
      <c r="DQ653" s="484">
        <f>IF(VLOOKUP($BS653,'État &amp; Plan d''action'!$B$6:$AJ$1113,28,FALSE)="","",VLOOKUP($BS653,'État &amp; Plan d''action'!$B$6:$AJ$1113,28,FALSE))</f>
        <v>0</v>
      </c>
      <c r="DR653" s="70">
        <f>IF(VLOOKUP($BS653,'État &amp; Plan d''action'!$B$6:$AJ$1113,29,FALSE)="","",VLOOKUP($BS653,'État &amp; Plan d''action'!$B$6:$AJ$1113,29,FALSE))</f>
        <v>0</v>
      </c>
      <c r="DS653" s="70">
        <f>IF(VLOOKUP($BS653,'État &amp; Plan d''action'!$B$6:$AJ$1113,30,FALSE)="","",VLOOKUP($BS653,'État &amp; Plan d''action'!$B$6:$AJ$1113,30,FALSE))</f>
        <v>0</v>
      </c>
      <c r="DT653" s="70">
        <v>297</v>
      </c>
      <c r="DU653" s="485">
        <v>7.1010188589762206</v>
      </c>
      <c r="DV653" s="485">
        <v>14.865200818595016</v>
      </c>
      <c r="DW653" s="70">
        <v>5</v>
      </c>
      <c r="DX653" s="70">
        <v>5</v>
      </c>
      <c r="DY653" s="70">
        <v>20</v>
      </c>
      <c r="DZ653" s="70">
        <f>VLOOKUP($BS653,'État &amp; Plan d''action'!$B$6:$AH$1113,31,FALSE)</f>
        <v>0</v>
      </c>
      <c r="EA653" s="70">
        <f>VLOOKUP($BS653,'État &amp; Plan d''action'!$B$6:$AH$1113,32,FALSE)</f>
        <v>0</v>
      </c>
      <c r="EB653" s="70">
        <f>VLOOKUP($BS653,'État &amp; Plan d''action'!$B$6:$AH$1113,33,FALSE)</f>
        <v>0</v>
      </c>
      <c r="EC653" s="70">
        <v>0</v>
      </c>
      <c r="ED653" s="70">
        <v>4.1150000000000002</v>
      </c>
      <c r="EE653" s="70">
        <v>0</v>
      </c>
      <c r="EF653" s="70">
        <v>0</v>
      </c>
      <c r="EG653" s="70">
        <v>0</v>
      </c>
      <c r="EH653" s="72">
        <v>42</v>
      </c>
      <c r="EI653" s="72">
        <v>947</v>
      </c>
    </row>
    <row r="654" spans="71:139" x14ac:dyDescent="0.35">
      <c r="BS654" s="486">
        <v>55030</v>
      </c>
      <c r="BT654" s="479" t="s">
        <v>562</v>
      </c>
      <c r="BU654" s="479">
        <v>16</v>
      </c>
      <c r="BV654" s="476" t="s">
        <v>1187</v>
      </c>
      <c r="BW654" s="476" t="s">
        <v>1187</v>
      </c>
      <c r="BX654" s="476" t="s">
        <v>1187</v>
      </c>
      <c r="BY654" s="476" t="s">
        <v>1187</v>
      </c>
      <c r="BZ654" s="476" t="s">
        <v>1187</v>
      </c>
      <c r="CA654" s="476" t="s">
        <v>1187</v>
      </c>
      <c r="CB654" s="476" t="s">
        <v>1187</v>
      </c>
      <c r="CC654" s="476" t="s">
        <v>1187</v>
      </c>
      <c r="CD654" s="476" t="s">
        <v>1187</v>
      </c>
      <c r="CE654" s="476" t="s">
        <v>1188</v>
      </c>
      <c r="CF654" s="476" t="s">
        <v>1188</v>
      </c>
      <c r="CG654" s="476" t="s">
        <v>1188</v>
      </c>
      <c r="CH654" s="476" t="s">
        <v>1188</v>
      </c>
      <c r="CI654" s="476" t="s">
        <v>1188</v>
      </c>
      <c r="CJ654" s="476" t="s">
        <v>1188</v>
      </c>
      <c r="CK654" s="476" t="s">
        <v>1188</v>
      </c>
      <c r="CL654" s="476" t="s">
        <v>1188</v>
      </c>
      <c r="CM654" s="476" t="str">
        <f>IF(VLOOKUP(BS654,'Données par municipalité'!$B$6:$E$1113,4,FALSE)="","non","oui")</f>
        <v>oui</v>
      </c>
      <c r="CN654" s="410">
        <v>259.37577775169308</v>
      </c>
      <c r="CO654" s="410">
        <v>252.04313247691587</v>
      </c>
      <c r="CP654" s="410">
        <v>237.77083884909587</v>
      </c>
      <c r="CQ654" s="410">
        <v>244.97838256591567</v>
      </c>
      <c r="CR654" s="410">
        <v>254.36436976126515</v>
      </c>
      <c r="CS654" s="410">
        <v>280.48022309398476</v>
      </c>
      <c r="CT654" s="410">
        <v>262.82979739400474</v>
      </c>
      <c r="CU654" s="410">
        <v>266</v>
      </c>
      <c r="CV654" s="410">
        <f>IF(VLOOKUP(BS654,'Données par municipalité'!$B$6:$F$1113,4,FALSE)="","",VLOOKUP(BS654,'Données par municipalité'!$B$6:$F$1113,4,FALSE))</f>
        <v>245</v>
      </c>
      <c r="CW654" s="476" t="s">
        <v>4723</v>
      </c>
      <c r="CX654" s="483">
        <v>0</v>
      </c>
      <c r="CY654" s="483">
        <v>0</v>
      </c>
      <c r="CZ654" s="483">
        <v>0</v>
      </c>
      <c r="DA654" s="483">
        <v>0</v>
      </c>
      <c r="DB654" s="483">
        <v>0</v>
      </c>
      <c r="DC654" s="483">
        <v>0</v>
      </c>
      <c r="DD654" s="483">
        <v>0.82866423061307348</v>
      </c>
      <c r="DE654" s="483">
        <f>IFERROR(SUM(VLOOKUP($BS654,'État &amp; Plan d''action'!$B$6:$Z$1113,18,FALSE),VLOOKUP($BS654,'État &amp; Plan d''action'!$B$6:$Z$1113,20,FALSE))/(VLOOKUP($BS654,'Données par municipalité'!$B$4:$L$1113,11,FALSE)),"")</f>
        <v>0.81120826709061999</v>
      </c>
      <c r="DF654" s="483">
        <f>IFERROR(SUM(VLOOKUP($BS654,'État &amp; Plan d''action'!$B$6:$Z$1113,19,FALSE),VLOOKUP($BS654,'État &amp; Plan d''action'!$B$6:$Z$1113,21,FALSE))/(VLOOKUP($BS654,'Données par municipalité'!$B$4:$L$1113,11,FALSE)),"")</f>
        <v>0.81120826709061999</v>
      </c>
      <c r="DG654" s="476" t="s">
        <v>4723</v>
      </c>
      <c r="DH654" s="484">
        <v>0</v>
      </c>
      <c r="DI654" s="484">
        <v>1</v>
      </c>
      <c r="DJ654" s="484">
        <v>2</v>
      </c>
      <c r="DK654" s="484">
        <v>0</v>
      </c>
      <c r="DL654" s="484">
        <v>1</v>
      </c>
      <c r="DM654" s="484">
        <v>0</v>
      </c>
      <c r="DN654" s="484">
        <v>1</v>
      </c>
      <c r="DO654" s="484">
        <v>1</v>
      </c>
      <c r="DP654" s="484">
        <v>0</v>
      </c>
      <c r="DQ654" s="484">
        <f>IF(VLOOKUP($BS654,'État &amp; Plan d''action'!$B$6:$AJ$1113,28,FALSE)="","",VLOOKUP($BS654,'État &amp; Plan d''action'!$B$6:$AJ$1113,28,FALSE))</f>
        <v>1</v>
      </c>
      <c r="DR654" s="70">
        <f>IF(VLOOKUP($BS654,'État &amp; Plan d''action'!$B$6:$AJ$1113,29,FALSE)="","",VLOOKUP($BS654,'État &amp; Plan d''action'!$B$6:$AJ$1113,29,FALSE))</f>
        <v>1</v>
      </c>
      <c r="DS654" s="70">
        <f>IF(VLOOKUP($BS654,'État &amp; Plan d''action'!$B$6:$AJ$1113,30,FALSE)="","",VLOOKUP($BS654,'État &amp; Plan d''action'!$B$6:$AJ$1113,30,FALSE))</f>
        <v>0</v>
      </c>
      <c r="DT654" s="70">
        <v>175</v>
      </c>
      <c r="DU654" s="485">
        <v>3.8147317445086792</v>
      </c>
      <c r="DV654" s="485">
        <v>2.7145181611484035</v>
      </c>
      <c r="DW654" s="70">
        <v>1</v>
      </c>
      <c r="DX654" s="70">
        <v>2</v>
      </c>
      <c r="DY654" s="70">
        <v>0</v>
      </c>
      <c r="DZ654" s="70">
        <f>VLOOKUP($BS654,'État &amp; Plan d''action'!$B$6:$AH$1113,31,FALSE)</f>
        <v>1</v>
      </c>
      <c r="EA654" s="70">
        <f>VLOOKUP($BS654,'État &amp; Plan d''action'!$B$6:$AH$1113,32,FALSE)</f>
        <v>1</v>
      </c>
      <c r="EB654" s="70">
        <f>VLOOKUP($BS654,'État &amp; Plan d''action'!$B$6:$AH$1113,33,FALSE)</f>
        <v>0</v>
      </c>
      <c r="EC654" s="70">
        <v>0</v>
      </c>
      <c r="ED654" s="70">
        <v>8.1639999999999997</v>
      </c>
      <c r="EE654" s="70">
        <v>0</v>
      </c>
      <c r="EF654" s="70">
        <v>0</v>
      </c>
      <c r="EG654" s="70">
        <v>0</v>
      </c>
      <c r="EH654" s="72">
        <v>63.235294117647051</v>
      </c>
      <c r="EI654" s="72">
        <v>1811</v>
      </c>
    </row>
    <row r="655" spans="71:139" x14ac:dyDescent="0.35">
      <c r="BS655" s="486">
        <v>51055</v>
      </c>
      <c r="BT655" s="479" t="s">
        <v>507</v>
      </c>
      <c r="BU655" s="479">
        <v>4</v>
      </c>
      <c r="BV655" s="476" t="s">
        <v>1187</v>
      </c>
      <c r="BW655" s="476" t="s">
        <v>1187</v>
      </c>
      <c r="BX655" s="476" t="s">
        <v>1187</v>
      </c>
      <c r="BY655" s="476" t="s">
        <v>1187</v>
      </c>
      <c r="BZ655" s="476" t="s">
        <v>1187</v>
      </c>
      <c r="CA655" s="476" t="s">
        <v>1187</v>
      </c>
      <c r="CB655" s="476" t="s">
        <v>1187</v>
      </c>
      <c r="CC655" s="476" t="s">
        <v>1187</v>
      </c>
      <c r="CD655" s="476" t="s">
        <v>1187</v>
      </c>
      <c r="CE655" s="476" t="s">
        <v>1188</v>
      </c>
      <c r="CF655" s="476" t="s">
        <v>1188</v>
      </c>
      <c r="CG655" s="476" t="s">
        <v>1188</v>
      </c>
      <c r="CH655" s="476" t="s">
        <v>1188</v>
      </c>
      <c r="CI655" s="476" t="s">
        <v>1188</v>
      </c>
      <c r="CJ655" s="476" t="s">
        <v>1188</v>
      </c>
      <c r="CK655" s="476" t="s">
        <v>1188</v>
      </c>
      <c r="CL655" s="476" t="s">
        <v>1188</v>
      </c>
      <c r="CM655" s="476" t="str">
        <f>IF(VLOOKUP(BS655,'Données par municipalité'!$B$6:$E$1113,4,FALSE)="","non","oui")</f>
        <v>oui</v>
      </c>
      <c r="CN655" s="410">
        <v>329.96632996632997</v>
      </c>
      <c r="CO655" s="410">
        <v>298.83662452016148</v>
      </c>
      <c r="CP655" s="410">
        <v>245.81038102563033</v>
      </c>
      <c r="CQ655" s="410">
        <v>320.48715889108394</v>
      </c>
      <c r="CR655" s="410">
        <v>306.58988697888532</v>
      </c>
      <c r="CS655" s="410">
        <v>370.77384519972333</v>
      </c>
      <c r="CT655" s="410">
        <v>402.10296078762627</v>
      </c>
      <c r="CU655" s="410">
        <v>369</v>
      </c>
      <c r="CV655" s="410">
        <f>IF(VLOOKUP(BS655,'Données par municipalité'!$B$6:$F$1113,4,FALSE)="","",VLOOKUP(BS655,'Données par municipalité'!$B$6:$F$1113,4,FALSE))</f>
        <v>532</v>
      </c>
      <c r="CW655" s="476" t="s">
        <v>4723</v>
      </c>
      <c r="CX655" s="483">
        <v>0.95</v>
      </c>
      <c r="CY655" s="483">
        <v>0.95</v>
      </c>
      <c r="CZ655" s="483">
        <v>0.95</v>
      </c>
      <c r="DA655" s="483">
        <v>0.99</v>
      </c>
      <c r="DB655" s="483">
        <v>0.99</v>
      </c>
      <c r="DC655" s="483">
        <v>0.99</v>
      </c>
      <c r="DD655" s="483">
        <v>12</v>
      </c>
      <c r="DE655" s="483">
        <f>IFERROR(SUM(VLOOKUP($BS655,'État &amp; Plan d''action'!$B$6:$Z$1113,18,FALSE),VLOOKUP($BS655,'État &amp; Plan d''action'!$B$6:$Z$1113,20,FALSE))/(VLOOKUP($BS655,'Données par municipalité'!$B$4:$L$1113,11,FALSE)),"")</f>
        <v>1.5</v>
      </c>
      <c r="DF655" s="483">
        <f>IFERROR(SUM(VLOOKUP($BS655,'État &amp; Plan d''action'!$B$6:$Z$1113,19,FALSE),VLOOKUP($BS655,'État &amp; Plan d''action'!$B$6:$Z$1113,21,FALSE))/(VLOOKUP($BS655,'Données par municipalité'!$B$4:$L$1113,11,FALSE)),"")</f>
        <v>1</v>
      </c>
      <c r="DG655" s="476" t="s">
        <v>4723</v>
      </c>
      <c r="DH655" s="484">
        <v>2</v>
      </c>
      <c r="DI655" s="484">
        <v>1</v>
      </c>
      <c r="DJ655" s="484">
        <v>2</v>
      </c>
      <c r="DK655" s="484">
        <v>1</v>
      </c>
      <c r="DL655" s="484">
        <v>0</v>
      </c>
      <c r="DM655" s="484">
        <v>5</v>
      </c>
      <c r="DN655" s="484">
        <v>3</v>
      </c>
      <c r="DO655" s="484">
        <v>1</v>
      </c>
      <c r="DP655" s="484">
        <v>0</v>
      </c>
      <c r="DQ655" s="484">
        <f>IF(VLOOKUP($BS655,'État &amp; Plan d''action'!$B$6:$AJ$1113,28,FALSE)="","",VLOOKUP($BS655,'État &amp; Plan d''action'!$B$6:$AJ$1113,28,FALSE))</f>
        <v>0</v>
      </c>
      <c r="DR655" s="70">
        <f>IF(VLOOKUP($BS655,'État &amp; Plan d''action'!$B$6:$AJ$1113,29,FALSE)="","",VLOOKUP($BS655,'État &amp; Plan d''action'!$B$6:$AJ$1113,29,FALSE))</f>
        <v>3</v>
      </c>
      <c r="DS655" s="70">
        <f>IF(VLOOKUP($BS655,'État &amp; Plan d''action'!$B$6:$AJ$1113,30,FALSE)="","",VLOOKUP($BS655,'État &amp; Plan d''action'!$B$6:$AJ$1113,30,FALSE))</f>
        <v>0</v>
      </c>
      <c r="DT655" s="70">
        <v>139</v>
      </c>
      <c r="DU655" s="485">
        <v>3.7540139982376868</v>
      </c>
      <c r="DV655" s="485">
        <v>2.832841836428766</v>
      </c>
      <c r="DW655" s="70">
        <v>1</v>
      </c>
      <c r="DX655" s="70">
        <v>1</v>
      </c>
      <c r="DY655" s="70">
        <v>0</v>
      </c>
      <c r="DZ655" s="70">
        <f>VLOOKUP($BS655,'État &amp; Plan d''action'!$B$6:$AH$1113,31,FALSE)</f>
        <v>0</v>
      </c>
      <c r="EA655" s="70">
        <f>VLOOKUP($BS655,'État &amp; Plan d''action'!$B$6:$AH$1113,32,FALSE)</f>
        <v>1</v>
      </c>
      <c r="EB655" s="70">
        <f>VLOOKUP($BS655,'État &amp; Plan d''action'!$B$6:$AH$1113,33,FALSE)</f>
        <v>0</v>
      </c>
      <c r="EC655" s="70">
        <v>0</v>
      </c>
      <c r="ED655" s="70">
        <v>141.58799999999999</v>
      </c>
      <c r="EE655" s="70">
        <v>0</v>
      </c>
      <c r="EF655" s="70">
        <v>0</v>
      </c>
      <c r="EG655" s="70">
        <v>0</v>
      </c>
      <c r="EH655" s="72">
        <v>48.088235294117645</v>
      </c>
      <c r="EI655" s="72">
        <v>622</v>
      </c>
    </row>
    <row r="656" spans="71:139" x14ac:dyDescent="0.35">
      <c r="BS656" s="486">
        <v>21030</v>
      </c>
      <c r="BT656" s="479" t="s">
        <v>149</v>
      </c>
      <c r="BU656" s="479">
        <v>3</v>
      </c>
      <c r="BV656" s="476" t="s">
        <v>1187</v>
      </c>
      <c r="BW656" s="476" t="s">
        <v>1187</v>
      </c>
      <c r="BX656" s="476" t="s">
        <v>1187</v>
      </c>
      <c r="BY656" s="476" t="s">
        <v>1187</v>
      </c>
      <c r="BZ656" s="476" t="s">
        <v>1187</v>
      </c>
      <c r="CA656" s="476" t="s">
        <v>1187</v>
      </c>
      <c r="CB656" s="476" t="s">
        <v>1187</v>
      </c>
      <c r="CC656" s="476" t="s">
        <v>1187</v>
      </c>
      <c r="CD656" s="476" t="s">
        <v>1187</v>
      </c>
      <c r="CE656" s="476" t="s">
        <v>1188</v>
      </c>
      <c r="CF656" s="476" t="s">
        <v>1188</v>
      </c>
      <c r="CG656" s="476" t="s">
        <v>1188</v>
      </c>
      <c r="CH656" s="476" t="s">
        <v>1188</v>
      </c>
      <c r="CI656" s="476" t="s">
        <v>1188</v>
      </c>
      <c r="CJ656" s="476" t="s">
        <v>1188</v>
      </c>
      <c r="CK656" s="476" t="s">
        <v>1188</v>
      </c>
      <c r="CL656" s="476" t="s">
        <v>1188</v>
      </c>
      <c r="CM656" s="476" t="str">
        <f>IF(VLOOKUP(BS656,'Données par municipalité'!$B$6:$E$1113,4,FALSE)="","non","oui")</f>
        <v>oui</v>
      </c>
      <c r="CN656" s="410">
        <v>416.94826793730351</v>
      </c>
      <c r="CO656" s="410">
        <v>419.94198205491472</v>
      </c>
      <c r="CP656" s="410">
        <v>517.86692851291025</v>
      </c>
      <c r="CQ656" s="410">
        <v>453.61642292651715</v>
      </c>
      <c r="CR656" s="410">
        <v>385.82157392206642</v>
      </c>
      <c r="CS656" s="410">
        <v>381.82868664067519</v>
      </c>
      <c r="CT656" s="410">
        <v>367.63888846249534</v>
      </c>
      <c r="CU656" s="410">
        <v>373</v>
      </c>
      <c r="CV656" s="410">
        <f>IF(VLOOKUP(BS656,'Données par municipalité'!$B$6:$F$1113,4,FALSE)="","",VLOOKUP(BS656,'Données par municipalité'!$B$6:$F$1113,4,FALSE))</f>
        <v>352</v>
      </c>
      <c r="CW656" s="476" t="s">
        <v>4723</v>
      </c>
      <c r="CX656" s="483">
        <v>0.01</v>
      </c>
      <c r="CY656" s="483">
        <v>0.01</v>
      </c>
      <c r="CZ656" s="483">
        <v>1</v>
      </c>
      <c r="DA656" s="483">
        <v>1</v>
      </c>
      <c r="DB656" s="483">
        <v>0</v>
      </c>
      <c r="DC656" s="483">
        <v>0</v>
      </c>
      <c r="DD656" s="483">
        <v>0</v>
      </c>
      <c r="DE656" s="483">
        <f>IFERROR(SUM(VLOOKUP($BS656,'État &amp; Plan d''action'!$B$6:$Z$1113,18,FALSE),VLOOKUP($BS656,'État &amp; Plan d''action'!$B$6:$Z$1113,20,FALSE))/(VLOOKUP($BS656,'Données par municipalité'!$B$4:$L$1113,11,FALSE)),"")</f>
        <v>0</v>
      </c>
      <c r="DF656" s="483">
        <f>IFERROR(SUM(VLOOKUP($BS656,'État &amp; Plan d''action'!$B$6:$Z$1113,19,FALSE),VLOOKUP($BS656,'État &amp; Plan d''action'!$B$6:$Z$1113,21,FALSE))/(VLOOKUP($BS656,'Données par municipalité'!$B$4:$L$1113,11,FALSE)),"")</f>
        <v>1</v>
      </c>
      <c r="DG656" s="476" t="s">
        <v>4723</v>
      </c>
      <c r="DH656" s="484">
        <v>2</v>
      </c>
      <c r="DI656" s="484">
        <v>3</v>
      </c>
      <c r="DJ656" s="484">
        <v>3</v>
      </c>
      <c r="DK656" s="484">
        <v>3</v>
      </c>
      <c r="DL656" s="484">
        <v>2</v>
      </c>
      <c r="DM656" s="484">
        <v>3</v>
      </c>
      <c r="DN656" s="484">
        <v>2</v>
      </c>
      <c r="DO656" s="484">
        <v>3</v>
      </c>
      <c r="DP656" s="484">
        <v>1</v>
      </c>
      <c r="DQ656" s="484">
        <f>IF(VLOOKUP($BS656,'État &amp; Plan d''action'!$B$6:$AJ$1113,28,FALSE)="","",VLOOKUP($BS656,'État &amp; Plan d''action'!$B$6:$AJ$1113,28,FALSE))</f>
        <v>7</v>
      </c>
      <c r="DR656" s="70">
        <f>IF(VLOOKUP($BS656,'État &amp; Plan d''action'!$B$6:$AJ$1113,29,FALSE)="","",VLOOKUP($BS656,'État &amp; Plan d''action'!$B$6:$AJ$1113,29,FALSE))</f>
        <v>7</v>
      </c>
      <c r="DS656" s="70">
        <f>IF(VLOOKUP($BS656,'État &amp; Plan d''action'!$B$6:$AJ$1113,30,FALSE)="","",VLOOKUP($BS656,'État &amp; Plan d''action'!$B$6:$AJ$1113,30,FALSE))</f>
        <v>0</v>
      </c>
      <c r="DT656" s="70">
        <v>283</v>
      </c>
      <c r="DU656" s="485">
        <v>1.5304278604954682</v>
      </c>
      <c r="DV656" s="485">
        <v>3.3300804154707131</v>
      </c>
      <c r="DW656" s="70">
        <v>1</v>
      </c>
      <c r="DX656" s="70">
        <v>1</v>
      </c>
      <c r="DY656" s="70">
        <v>1</v>
      </c>
      <c r="DZ656" s="70">
        <f>VLOOKUP($BS656,'État &amp; Plan d''action'!$B$6:$AH$1113,31,FALSE)</f>
        <v>1</v>
      </c>
      <c r="EA656" s="70">
        <f>VLOOKUP($BS656,'État &amp; Plan d''action'!$B$6:$AH$1113,32,FALSE)</f>
        <v>1</v>
      </c>
      <c r="EB656" s="70">
        <f>VLOOKUP($BS656,'État &amp; Plan d''action'!$B$6:$AH$1113,33,FALSE)</f>
        <v>0</v>
      </c>
      <c r="EC656" s="70">
        <v>0</v>
      </c>
      <c r="ED656" s="70">
        <v>0</v>
      </c>
      <c r="EE656" s="70">
        <v>0</v>
      </c>
      <c r="EF656" s="70">
        <v>0</v>
      </c>
      <c r="EG656" s="70">
        <v>0</v>
      </c>
      <c r="EH656" s="72">
        <v>43</v>
      </c>
      <c r="EI656" s="72">
        <v>2889</v>
      </c>
    </row>
    <row r="657" spans="71:139" x14ac:dyDescent="0.35">
      <c r="BS657" s="486">
        <v>66117</v>
      </c>
      <c r="BT657" s="479" t="s">
        <v>660</v>
      </c>
      <c r="BU657" s="479">
        <v>6</v>
      </c>
      <c r="BV657" s="476" t="s">
        <v>1187</v>
      </c>
      <c r="BW657" s="476" t="s">
        <v>1187</v>
      </c>
      <c r="BX657" s="476" t="s">
        <v>1187</v>
      </c>
      <c r="BY657" s="476" t="s">
        <v>1187</v>
      </c>
      <c r="BZ657" s="476" t="s">
        <v>1187</v>
      </c>
      <c r="CA657" s="476" t="s">
        <v>1187</v>
      </c>
      <c r="CB657" s="476" t="s">
        <v>1187</v>
      </c>
      <c r="CC657" s="476" t="s">
        <v>1187</v>
      </c>
      <c r="CD657" s="476" t="s">
        <v>1187</v>
      </c>
      <c r="CE657" s="476" t="s">
        <v>1187</v>
      </c>
      <c r="CF657" s="476" t="s">
        <v>1187</v>
      </c>
      <c r="CG657" s="476" t="s">
        <v>1187</v>
      </c>
      <c r="CH657" s="476" t="s">
        <v>1188</v>
      </c>
      <c r="CI657" s="476" t="s">
        <v>1188</v>
      </c>
      <c r="CJ657" s="476" t="s">
        <v>1188</v>
      </c>
      <c r="CK657" s="476" t="s">
        <v>1188</v>
      </c>
      <c r="CL657" s="476" t="s">
        <v>1188</v>
      </c>
      <c r="CM657" s="476" t="str">
        <f>IF(VLOOKUP(BS657,'Données par municipalité'!$B$6:$E$1113,4,FALSE)="","non","oui")</f>
        <v>oui</v>
      </c>
      <c r="CN657" s="410" t="s">
        <v>1124</v>
      </c>
      <c r="CO657" s="410" t="s">
        <v>1124</v>
      </c>
      <c r="CP657" s="410"/>
      <c r="CQ657" s="410">
        <v>892</v>
      </c>
      <c r="CR657" s="410">
        <v>532.16007024645103</v>
      </c>
      <c r="CS657" s="410">
        <v>529</v>
      </c>
      <c r="CT657" s="410">
        <v>519.52234347073636</v>
      </c>
      <c r="CU657" s="410">
        <v>631</v>
      </c>
      <c r="CV657" s="410">
        <f>IF(VLOOKUP(BS657,'Données par municipalité'!$B$6:$F$1113,4,FALSE)="","",VLOOKUP(BS657,'Données par municipalité'!$B$6:$F$1113,4,FALSE))</f>
        <v>1027</v>
      </c>
      <c r="CW657" s="476" t="s">
        <v>4723</v>
      </c>
      <c r="CX657" s="483" t="s">
        <v>1124</v>
      </c>
      <c r="CY657" s="483" t="s">
        <v>1124</v>
      </c>
      <c r="CZ657" s="483">
        <v>0</v>
      </c>
      <c r="DA657" s="483">
        <v>0</v>
      </c>
      <c r="DB657" s="483">
        <v>1</v>
      </c>
      <c r="DC657" s="483">
        <v>1</v>
      </c>
      <c r="DD657" s="483">
        <v>1</v>
      </c>
      <c r="DE657" s="483">
        <f>IFERROR(SUM(VLOOKUP($BS657,'État &amp; Plan d''action'!$B$6:$Z$1113,18,FALSE),VLOOKUP($BS657,'État &amp; Plan d''action'!$B$6:$Z$1113,20,FALSE))/(VLOOKUP($BS657,'Données par municipalité'!$B$4:$L$1113,11,FALSE)),"")</f>
        <v>1</v>
      </c>
      <c r="DF657" s="483">
        <f>IFERROR(SUM(VLOOKUP($BS657,'État &amp; Plan d''action'!$B$6:$Z$1113,19,FALSE),VLOOKUP($BS657,'État &amp; Plan d''action'!$B$6:$Z$1113,21,FALSE))/(VLOOKUP($BS657,'Données par municipalité'!$B$4:$L$1113,11,FALSE)),"")</f>
        <v>1</v>
      </c>
      <c r="DG657" s="476" t="s">
        <v>4723</v>
      </c>
      <c r="DH657" s="484">
        <v>3</v>
      </c>
      <c r="DI657" s="484" t="s">
        <v>1124</v>
      </c>
      <c r="DJ657" s="484">
        <v>2</v>
      </c>
      <c r="DK657" s="484">
        <v>5</v>
      </c>
      <c r="DL657" s="484">
        <v>6</v>
      </c>
      <c r="DM657" s="484">
        <v>0</v>
      </c>
      <c r="DN657" s="484">
        <v>6</v>
      </c>
      <c r="DO657" s="484">
        <v>0</v>
      </c>
      <c r="DP657" s="484">
        <v>0</v>
      </c>
      <c r="DQ657" s="484">
        <f>IF(VLOOKUP($BS657,'État &amp; Plan d''action'!$B$6:$AJ$1113,28,FALSE)="","",VLOOKUP($BS657,'État &amp; Plan d''action'!$B$6:$AJ$1113,28,FALSE))</f>
        <v>1</v>
      </c>
      <c r="DR657" s="70">
        <f>IF(VLOOKUP($BS657,'État &amp; Plan d''action'!$B$6:$AJ$1113,29,FALSE)="","",VLOOKUP($BS657,'État &amp; Plan d''action'!$B$6:$AJ$1113,29,FALSE))</f>
        <v>1</v>
      </c>
      <c r="DS657" s="70">
        <f>IF(VLOOKUP($BS657,'État &amp; Plan d''action'!$B$6:$AJ$1113,30,FALSE)="","",VLOOKUP($BS657,'État &amp; Plan d''action'!$B$6:$AJ$1113,30,FALSE))</f>
        <v>1</v>
      </c>
      <c r="DT657" s="70">
        <v>274</v>
      </c>
      <c r="DU657" s="485">
        <v>7.4328045676373602</v>
      </c>
      <c r="DV657" s="485">
        <v>7.6931428342574906</v>
      </c>
      <c r="DW657" s="70">
        <v>3</v>
      </c>
      <c r="DX657" s="70">
        <v>0</v>
      </c>
      <c r="DY657" s="70">
        <v>0</v>
      </c>
      <c r="DZ657" s="70">
        <f>VLOOKUP($BS657,'État &amp; Plan d''action'!$B$6:$AH$1113,31,FALSE)</f>
        <v>3</v>
      </c>
      <c r="EA657" s="70">
        <f>VLOOKUP($BS657,'État &amp; Plan d''action'!$B$6:$AH$1113,32,FALSE)</f>
        <v>3</v>
      </c>
      <c r="EB657" s="70">
        <f>VLOOKUP($BS657,'État &amp; Plan d''action'!$B$6:$AH$1113,33,FALSE)</f>
        <v>3</v>
      </c>
      <c r="EC657" s="70">
        <v>0</v>
      </c>
      <c r="ED657" s="70">
        <v>0</v>
      </c>
      <c r="EE657" s="70">
        <v>30.905999999999999</v>
      </c>
      <c r="EF657" s="70">
        <v>0</v>
      </c>
      <c r="EG657" s="70">
        <v>0</v>
      </c>
      <c r="EH657" s="72">
        <v>52.311111111111117</v>
      </c>
      <c r="EI657" s="72">
        <v>5182</v>
      </c>
    </row>
    <row r="658" spans="71:139" x14ac:dyDescent="0.35">
      <c r="BS658" s="486">
        <v>37205</v>
      </c>
      <c r="BT658" s="479" t="s">
        <v>315</v>
      </c>
      <c r="BU658" s="479">
        <v>4</v>
      </c>
      <c r="BV658" s="476" t="s">
        <v>1187</v>
      </c>
      <c r="BW658" s="476" t="s">
        <v>1187</v>
      </c>
      <c r="BX658" s="476" t="s">
        <v>1187</v>
      </c>
      <c r="BY658" s="476" t="s">
        <v>1187</v>
      </c>
      <c r="BZ658" s="476" t="s">
        <v>1187</v>
      </c>
      <c r="CA658" s="476" t="s">
        <v>1187</v>
      </c>
      <c r="CB658" s="476" t="s">
        <v>1187</v>
      </c>
      <c r="CC658" s="476" t="s">
        <v>1187</v>
      </c>
      <c r="CD658" s="476" t="s">
        <v>1187</v>
      </c>
      <c r="CE658" s="476" t="s">
        <v>1188</v>
      </c>
      <c r="CF658" s="476" t="s">
        <v>1187</v>
      </c>
      <c r="CG658" s="476" t="s">
        <v>1187</v>
      </c>
      <c r="CH658" s="476" t="s">
        <v>1187</v>
      </c>
      <c r="CI658" s="476" t="s">
        <v>1187</v>
      </c>
      <c r="CJ658" s="476" t="s">
        <v>1187</v>
      </c>
      <c r="CK658" s="476" t="s">
        <v>1188</v>
      </c>
      <c r="CL658" s="476" t="s">
        <v>1187</v>
      </c>
      <c r="CM658" s="476" t="str">
        <f>IF(VLOOKUP(BS658,'Données par municipalité'!$B$6:$E$1113,4,FALSE)="","non","oui")</f>
        <v>non</v>
      </c>
      <c r="CN658" s="410">
        <v>722.6569383289318</v>
      </c>
      <c r="CO658" s="410" t="s">
        <v>1124</v>
      </c>
      <c r="CP658" s="410"/>
      <c r="CQ658" s="410"/>
      <c r="CR658" s="410"/>
      <c r="CS658" s="410" t="s">
        <v>1124</v>
      </c>
      <c r="CT658" s="410">
        <v>660.07765805688166</v>
      </c>
      <c r="CU658" s="410" t="s">
        <v>1124</v>
      </c>
      <c r="CV658" s="410" t="str">
        <f>IF(VLOOKUP(BS658,'Données par municipalité'!$B$6:$F$1113,4,FALSE)="","",VLOOKUP(BS658,'Données par municipalité'!$B$6:$F$1113,4,FALSE))</f>
        <v/>
      </c>
      <c r="CW658" s="476" t="s">
        <v>4723</v>
      </c>
      <c r="CX658" s="483" t="s">
        <v>1124</v>
      </c>
      <c r="CY658" s="483" t="s">
        <v>1124</v>
      </c>
      <c r="CZ658" s="483" t="s">
        <v>1124</v>
      </c>
      <c r="DA658" s="483" t="s">
        <v>1124</v>
      </c>
      <c r="DB658" s="483" t="s">
        <v>1124</v>
      </c>
      <c r="DC658" s="483">
        <v>0</v>
      </c>
      <c r="DD658" s="483" t="s">
        <v>1124</v>
      </c>
      <c r="DE658" s="483" t="str">
        <f>IFERROR(SUM(VLOOKUP($BS658,'État &amp; Plan d''action'!$B$6:$Z$1113,18,FALSE),VLOOKUP($BS658,'État &amp; Plan d''action'!$B$6:$Z$1113,20,FALSE))/(VLOOKUP($BS658,'Données par municipalité'!$B$4:$L$1113,11,FALSE)),"")</f>
        <v/>
      </c>
      <c r="DF658" s="483" t="str">
        <f>IFERROR(SUM(VLOOKUP($BS658,'État &amp; Plan d''action'!$B$6:$Z$1113,19,FALSE),VLOOKUP($BS658,'État &amp; Plan d''action'!$B$6:$Z$1113,21,FALSE))/(VLOOKUP($BS658,'Données par municipalité'!$B$4:$L$1113,11,FALSE)),"")</f>
        <v/>
      </c>
      <c r="DG658" s="476" t="s">
        <v>4723</v>
      </c>
      <c r="DH658" s="484" t="s">
        <v>1124</v>
      </c>
      <c r="DI658" s="484" t="s">
        <v>1124</v>
      </c>
      <c r="DJ658" s="484">
        <v>0</v>
      </c>
      <c r="DK658" s="484">
        <v>0</v>
      </c>
      <c r="DL658" s="484" t="s">
        <v>1124</v>
      </c>
      <c r="DM658" s="484">
        <v>23</v>
      </c>
      <c r="DN658" s="484" t="s">
        <v>1124</v>
      </c>
      <c r="DO658" s="484" t="s">
        <v>1124</v>
      </c>
      <c r="DP658" s="484" t="s">
        <v>1124</v>
      </c>
      <c r="DQ658" s="484" t="str">
        <f>IF(VLOOKUP($BS658,'État &amp; Plan d''action'!$B$6:$AJ$1113,28,FALSE)="","",VLOOKUP($BS658,'État &amp; Plan d''action'!$B$6:$AJ$1113,28,FALSE))</f>
        <v/>
      </c>
      <c r="DR658" s="70" t="str">
        <f>IF(VLOOKUP($BS658,'État &amp; Plan d''action'!$B$6:$AJ$1113,29,FALSE)="","",VLOOKUP($BS658,'État &amp; Plan d''action'!$B$6:$AJ$1113,29,FALSE))</f>
        <v/>
      </c>
      <c r="DS658" s="70" t="str">
        <f>IF(VLOOKUP($BS658,'État &amp; Plan d''action'!$B$6:$AJ$1113,30,FALSE)="","",VLOOKUP($BS658,'État &amp; Plan d''action'!$B$6:$AJ$1113,30,FALSE))</f>
        <v/>
      </c>
      <c r="DT658" s="70" t="s">
        <v>1124</v>
      </c>
      <c r="DU658" s="485" t="s">
        <v>1124</v>
      </c>
      <c r="DV658" s="485" t="s">
        <v>1124</v>
      </c>
      <c r="DW658" s="70" t="s">
        <v>1124</v>
      </c>
      <c r="DX658" s="70" t="s">
        <v>1124</v>
      </c>
      <c r="DY658" s="70" t="s">
        <v>1124</v>
      </c>
      <c r="DZ658" s="70" t="str">
        <f>VLOOKUP($BS658,'État &amp; Plan d''action'!$B$6:$AH$1113,31,FALSE)</f>
        <v/>
      </c>
      <c r="EA658" s="70" t="str">
        <f>VLOOKUP($BS658,'État &amp; Plan d''action'!$B$6:$AH$1113,32,FALSE)</f>
        <v/>
      </c>
      <c r="EB658" s="70" t="str">
        <f>VLOOKUP($BS658,'État &amp; Plan d''action'!$B$6:$AH$1113,33,FALSE)</f>
        <v/>
      </c>
      <c r="EC658" s="70" t="s">
        <v>1124</v>
      </c>
      <c r="ED658" s="70" t="s">
        <v>1124</v>
      </c>
      <c r="EE658" s="70" t="s">
        <v>1124</v>
      </c>
      <c r="EF658" s="70" t="s">
        <v>1124</v>
      </c>
      <c r="EG658" s="70" t="s">
        <v>1124</v>
      </c>
      <c r="EH658" s="72"/>
      <c r="EI658" s="72">
        <v>2033</v>
      </c>
    </row>
    <row r="659" spans="71:139" x14ac:dyDescent="0.35">
      <c r="BS659" s="486">
        <v>14090</v>
      </c>
      <c r="BT659" s="479" t="s">
        <v>76</v>
      </c>
      <c r="BU659" s="479">
        <v>1</v>
      </c>
      <c r="BV659" s="476" t="s">
        <v>1187</v>
      </c>
      <c r="BW659" s="476" t="s">
        <v>1187</v>
      </c>
      <c r="BX659" s="476" t="s">
        <v>1187</v>
      </c>
      <c r="BY659" s="476" t="s">
        <v>1187</v>
      </c>
      <c r="BZ659" s="476" t="s">
        <v>1187</v>
      </c>
      <c r="CA659" s="476" t="s">
        <v>1187</v>
      </c>
      <c r="CB659" s="476" t="s">
        <v>1187</v>
      </c>
      <c r="CC659" s="476" t="s">
        <v>1187</v>
      </c>
      <c r="CD659" s="476" t="s">
        <v>1187</v>
      </c>
      <c r="CE659" s="476" t="s">
        <v>1188</v>
      </c>
      <c r="CF659" s="476" t="s">
        <v>1188</v>
      </c>
      <c r="CG659" s="476" t="s">
        <v>1188</v>
      </c>
      <c r="CH659" s="476" t="s">
        <v>1188</v>
      </c>
      <c r="CI659" s="476" t="s">
        <v>1188</v>
      </c>
      <c r="CJ659" s="476" t="s">
        <v>1188</v>
      </c>
      <c r="CK659" s="476" t="s">
        <v>1188</v>
      </c>
      <c r="CL659" s="476" t="s">
        <v>1188</v>
      </c>
      <c r="CM659" s="476" t="str">
        <f>IF(VLOOKUP(BS659,'Données par municipalité'!$B$6:$E$1113,4,FALSE)="","non","oui")</f>
        <v>oui</v>
      </c>
      <c r="CN659" s="410">
        <v>195.53550690089361</v>
      </c>
      <c r="CO659" s="410">
        <v>424.03097920809091</v>
      </c>
      <c r="CP659" s="410">
        <v>227.41387392307567</v>
      </c>
      <c r="CQ659" s="410">
        <v>237.89239004177304</v>
      </c>
      <c r="CR659" s="410">
        <v>331.85278480977411</v>
      </c>
      <c r="CS659" s="410">
        <v>292.46492004866917</v>
      </c>
      <c r="CT659" s="410">
        <v>186.37592023110616</v>
      </c>
      <c r="CU659" s="410">
        <v>493</v>
      </c>
      <c r="CV659" s="410">
        <f>IF(VLOOKUP(BS659,'Données par municipalité'!$B$6:$F$1113,4,FALSE)="","",VLOOKUP(BS659,'Données par municipalité'!$B$6:$F$1113,4,FALSE))</f>
        <v>463</v>
      </c>
      <c r="CW659" s="476" t="s">
        <v>4723</v>
      </c>
      <c r="CX659" s="483">
        <v>1</v>
      </c>
      <c r="CY659" s="483">
        <v>1</v>
      </c>
      <c r="CZ659" s="483">
        <v>1</v>
      </c>
      <c r="DA659" s="483">
        <v>1</v>
      </c>
      <c r="DB659" s="483">
        <v>1</v>
      </c>
      <c r="DC659" s="483">
        <v>1</v>
      </c>
      <c r="DD659" s="483">
        <v>0</v>
      </c>
      <c r="DE659" s="483">
        <f>IFERROR(SUM(VLOOKUP($BS659,'État &amp; Plan d''action'!$B$6:$Z$1113,18,FALSE),VLOOKUP($BS659,'État &amp; Plan d''action'!$B$6:$Z$1113,20,FALSE))/(VLOOKUP($BS659,'Données par municipalité'!$B$4:$L$1113,11,FALSE)),"")</f>
        <v>1.0000000000000002</v>
      </c>
      <c r="DF659" s="483">
        <f>IFERROR(SUM(VLOOKUP($BS659,'État &amp; Plan d''action'!$B$6:$Z$1113,19,FALSE),VLOOKUP($BS659,'État &amp; Plan d''action'!$B$6:$Z$1113,21,FALSE))/(VLOOKUP($BS659,'Données par municipalité'!$B$4:$L$1113,11,FALSE)),"")</f>
        <v>1.0000000000000002</v>
      </c>
      <c r="DG659" s="476" t="s">
        <v>4723</v>
      </c>
      <c r="DH659" s="484">
        <v>0</v>
      </c>
      <c r="DI659" s="484">
        <v>1</v>
      </c>
      <c r="DJ659" s="484">
        <v>1</v>
      </c>
      <c r="DK659" s="484">
        <v>1</v>
      </c>
      <c r="DL659" s="484">
        <v>0</v>
      </c>
      <c r="DM659" s="484">
        <v>0</v>
      </c>
      <c r="DN659" s="484">
        <v>2</v>
      </c>
      <c r="DO659" s="484">
        <v>0</v>
      </c>
      <c r="DP659" s="484">
        <v>0</v>
      </c>
      <c r="DQ659" s="484">
        <f>IF(VLOOKUP($BS659,'État &amp; Plan d''action'!$B$6:$AJ$1113,28,FALSE)="","",VLOOKUP($BS659,'État &amp; Plan d''action'!$B$6:$AJ$1113,28,FALSE))</f>
        <v>1</v>
      </c>
      <c r="DR659" s="70">
        <f>IF(VLOOKUP($BS659,'État &amp; Plan d''action'!$B$6:$AJ$1113,29,FALSE)="","",VLOOKUP($BS659,'État &amp; Plan d''action'!$B$6:$AJ$1113,29,FALSE))</f>
        <v>0</v>
      </c>
      <c r="DS659" s="70">
        <f>IF(VLOOKUP($BS659,'État &amp; Plan d''action'!$B$6:$AJ$1113,30,FALSE)="","",VLOOKUP($BS659,'État &amp; Plan d''action'!$B$6:$AJ$1113,30,FALSE))</f>
        <v>0</v>
      </c>
      <c r="DT659" s="70">
        <v>127</v>
      </c>
      <c r="DU659" s="485">
        <v>1.3012955900782162</v>
      </c>
      <c r="DV659" s="485">
        <v>0.94705927390211309</v>
      </c>
      <c r="DW659" s="70">
        <v>1</v>
      </c>
      <c r="DX659" s="70">
        <v>0</v>
      </c>
      <c r="DY659" s="70">
        <v>0</v>
      </c>
      <c r="DZ659" s="70">
        <f>VLOOKUP($BS659,'État &amp; Plan d''action'!$B$6:$AH$1113,31,FALSE)</f>
        <v>14</v>
      </c>
      <c r="EA659" s="70">
        <f>VLOOKUP($BS659,'État &amp; Plan d''action'!$B$6:$AH$1113,32,FALSE)</f>
        <v>0</v>
      </c>
      <c r="EB659" s="70">
        <f>VLOOKUP($BS659,'État &amp; Plan d''action'!$B$6:$AH$1113,33,FALSE)</f>
        <v>0</v>
      </c>
      <c r="EC659" s="70">
        <v>0</v>
      </c>
      <c r="ED659" s="70">
        <v>0</v>
      </c>
      <c r="EE659" s="70">
        <v>0</v>
      </c>
      <c r="EF659" s="70">
        <v>0</v>
      </c>
      <c r="EG659" s="70">
        <v>0</v>
      </c>
      <c r="EH659" s="72">
        <v>68</v>
      </c>
      <c r="EI659" s="72">
        <v>1646</v>
      </c>
    </row>
    <row r="660" spans="71:139" x14ac:dyDescent="0.35">
      <c r="BS660" s="486">
        <v>42050</v>
      </c>
      <c r="BT660" s="479" t="s">
        <v>385</v>
      </c>
      <c r="BU660" s="479">
        <v>5</v>
      </c>
      <c r="BV660" s="476" t="s">
        <v>1188</v>
      </c>
      <c r="BW660" s="476" t="s">
        <v>1188</v>
      </c>
      <c r="BX660" s="476" t="s">
        <v>1188</v>
      </c>
      <c r="BY660" s="476" t="s">
        <v>1188</v>
      </c>
      <c r="BZ660" s="476" t="s">
        <v>1188</v>
      </c>
      <c r="CA660" s="476" t="s">
        <v>1188</v>
      </c>
      <c r="CB660" s="476" t="s">
        <v>1188</v>
      </c>
      <c r="CC660" s="476" t="s">
        <v>1188</v>
      </c>
      <c r="CD660" s="476" t="s">
        <v>1188</v>
      </c>
      <c r="CE660" s="476" t="s">
        <v>1187</v>
      </c>
      <c r="CF660" s="476" t="s">
        <v>1187</v>
      </c>
      <c r="CG660" s="476" t="s">
        <v>1187</v>
      </c>
      <c r="CH660" s="476" t="s">
        <v>1187</v>
      </c>
      <c r="CI660" s="476" t="s">
        <v>1187</v>
      </c>
      <c r="CJ660" s="476" t="s">
        <v>1187</v>
      </c>
      <c r="CK660" s="476" t="s">
        <v>1187</v>
      </c>
      <c r="CL660" s="476" t="s">
        <v>1187</v>
      </c>
      <c r="CM660" s="476" t="str">
        <f>IF(VLOOKUP(BS660,'Données par municipalité'!$B$6:$E$1113,4,FALSE)="","non","oui")</f>
        <v>non</v>
      </c>
      <c r="CN660" s="410" t="s">
        <v>1124</v>
      </c>
      <c r="CO660" s="410" t="s">
        <v>1124</v>
      </c>
      <c r="CP660" s="410"/>
      <c r="CQ660" s="410"/>
      <c r="CR660" s="410"/>
      <c r="CS660" s="410" t="s">
        <v>1124</v>
      </c>
      <c r="CT660" s="410"/>
      <c r="CU660" s="410" t="s">
        <v>1124</v>
      </c>
      <c r="CV660" s="410" t="str">
        <f>IF(VLOOKUP(BS660,'Données par municipalité'!$B$6:$F$1113,4,FALSE)="","",VLOOKUP(BS660,'Données par municipalité'!$B$6:$F$1113,4,FALSE))</f>
        <v/>
      </c>
      <c r="CW660" s="476" t="s">
        <v>4723</v>
      </c>
      <c r="CX660" s="483" t="s">
        <v>1124</v>
      </c>
      <c r="CY660" s="483" t="s">
        <v>1124</v>
      </c>
      <c r="CZ660" s="483" t="s">
        <v>1124</v>
      </c>
      <c r="DA660" s="483" t="s">
        <v>1124</v>
      </c>
      <c r="DB660" s="483" t="s">
        <v>1124</v>
      </c>
      <c r="DC660" s="483" t="s">
        <v>1124</v>
      </c>
      <c r="DD660" s="483" t="s">
        <v>1124</v>
      </c>
      <c r="DE660" s="483" t="str">
        <f>IFERROR(SUM(VLOOKUP($BS660,'État &amp; Plan d''action'!$B$6:$Z$1113,18,FALSE),VLOOKUP($BS660,'État &amp; Plan d''action'!$B$6:$Z$1113,20,FALSE))/(VLOOKUP($BS660,'Données par municipalité'!$B$4:$L$1113,11,FALSE)),"")</f>
        <v/>
      </c>
      <c r="DF660" s="483" t="str">
        <f>IFERROR(SUM(VLOOKUP($BS660,'État &amp; Plan d''action'!$B$6:$Z$1113,19,FALSE),VLOOKUP($BS660,'État &amp; Plan d''action'!$B$6:$Z$1113,21,FALSE))/(VLOOKUP($BS660,'Données par municipalité'!$B$4:$L$1113,11,FALSE)),"")</f>
        <v/>
      </c>
      <c r="DG660" s="476" t="s">
        <v>4723</v>
      </c>
      <c r="DH660" s="484" t="s">
        <v>1124</v>
      </c>
      <c r="DI660" s="484" t="s">
        <v>1124</v>
      </c>
      <c r="DJ660" s="484">
        <v>0</v>
      </c>
      <c r="DK660" s="484">
        <v>0</v>
      </c>
      <c r="DL660" s="484" t="s">
        <v>1124</v>
      </c>
      <c r="DM660" s="484" t="s">
        <v>1124</v>
      </c>
      <c r="DN660" s="484" t="s">
        <v>1124</v>
      </c>
      <c r="DO660" s="484" t="s">
        <v>1124</v>
      </c>
      <c r="DP660" s="484" t="s">
        <v>1124</v>
      </c>
      <c r="DQ660" s="484" t="str">
        <f>IF(VLOOKUP($BS660,'État &amp; Plan d''action'!$B$6:$AJ$1113,28,FALSE)="","",VLOOKUP($BS660,'État &amp; Plan d''action'!$B$6:$AJ$1113,28,FALSE))</f>
        <v/>
      </c>
      <c r="DR660" s="70" t="str">
        <f>IF(VLOOKUP($BS660,'État &amp; Plan d''action'!$B$6:$AJ$1113,29,FALSE)="","",VLOOKUP($BS660,'État &amp; Plan d''action'!$B$6:$AJ$1113,29,FALSE))</f>
        <v/>
      </c>
      <c r="DS660" s="70" t="str">
        <f>IF(VLOOKUP($BS660,'État &amp; Plan d''action'!$B$6:$AJ$1113,30,FALSE)="","",VLOOKUP($BS660,'État &amp; Plan d''action'!$B$6:$AJ$1113,30,FALSE))</f>
        <v/>
      </c>
      <c r="DT660" s="70" t="s">
        <v>1124</v>
      </c>
      <c r="DU660" s="485" t="s">
        <v>1124</v>
      </c>
      <c r="DV660" s="485" t="s">
        <v>1124</v>
      </c>
      <c r="DW660" s="70" t="s">
        <v>1124</v>
      </c>
      <c r="DX660" s="70" t="s">
        <v>1124</v>
      </c>
      <c r="DY660" s="70" t="s">
        <v>1124</v>
      </c>
      <c r="DZ660" s="70" t="str">
        <f>VLOOKUP($BS660,'État &amp; Plan d''action'!$B$6:$AH$1113,31,FALSE)</f>
        <v/>
      </c>
      <c r="EA660" s="70" t="str">
        <f>VLOOKUP($BS660,'État &amp; Plan d''action'!$B$6:$AH$1113,32,FALSE)</f>
        <v/>
      </c>
      <c r="EB660" s="70" t="str">
        <f>VLOOKUP($BS660,'État &amp; Plan d''action'!$B$6:$AH$1113,33,FALSE)</f>
        <v/>
      </c>
      <c r="EC660" s="70" t="s">
        <v>1124</v>
      </c>
      <c r="ED660" s="70" t="s">
        <v>1124</v>
      </c>
      <c r="EE660" s="70" t="s">
        <v>1124</v>
      </c>
      <c r="EF660" s="70" t="s">
        <v>1124</v>
      </c>
      <c r="EG660" s="70" t="s">
        <v>1124</v>
      </c>
      <c r="EH660" s="72"/>
      <c r="EI660" s="72">
        <v>613</v>
      </c>
    </row>
    <row r="661" spans="71:139" x14ac:dyDescent="0.35">
      <c r="BS661" s="486">
        <v>56060</v>
      </c>
      <c r="BT661" s="479" t="s">
        <v>576</v>
      </c>
      <c r="BU661" s="479">
        <v>16</v>
      </c>
      <c r="BV661" s="476" t="s">
        <v>1187</v>
      </c>
      <c r="BW661" s="476" t="s">
        <v>1187</v>
      </c>
      <c r="BX661" s="476" t="s">
        <v>1187</v>
      </c>
      <c r="BY661" s="476" t="s">
        <v>1187</v>
      </c>
      <c r="BZ661" s="476" t="s">
        <v>1187</v>
      </c>
      <c r="CA661" s="476" t="s">
        <v>1187</v>
      </c>
      <c r="CB661" s="476" t="s">
        <v>1187</v>
      </c>
      <c r="CC661" s="476" t="s">
        <v>1187</v>
      </c>
      <c r="CD661" s="476" t="s">
        <v>1187</v>
      </c>
      <c r="CE661" s="476" t="s">
        <v>1187</v>
      </c>
      <c r="CF661" s="476" t="s">
        <v>1187</v>
      </c>
      <c r="CG661" s="476" t="s">
        <v>1187</v>
      </c>
      <c r="CH661" s="476" t="s">
        <v>1187</v>
      </c>
      <c r="CI661" s="476" t="s">
        <v>1187</v>
      </c>
      <c r="CJ661" s="476" t="s">
        <v>1187</v>
      </c>
      <c r="CK661" s="476" t="s">
        <v>1187</v>
      </c>
      <c r="CL661" s="476" t="s">
        <v>1187</v>
      </c>
      <c r="CM661" s="476" t="str">
        <f>IF(VLOOKUP(BS661,'Données par municipalité'!$B$6:$E$1113,4,FALSE)="","non","oui")</f>
        <v>non</v>
      </c>
      <c r="CN661" s="410" t="s">
        <v>1124</v>
      </c>
      <c r="CO661" s="410" t="s">
        <v>1124</v>
      </c>
      <c r="CP661" s="410"/>
      <c r="CQ661" s="410"/>
      <c r="CR661" s="410"/>
      <c r="CS661" s="410" t="s">
        <v>1124</v>
      </c>
      <c r="CT661" s="410"/>
      <c r="CU661" s="410" t="s">
        <v>1124</v>
      </c>
      <c r="CV661" s="410" t="str">
        <f>IF(VLOOKUP(BS661,'Données par municipalité'!$B$6:$F$1113,4,FALSE)="","",VLOOKUP(BS661,'Données par municipalité'!$B$6:$F$1113,4,FALSE))</f>
        <v/>
      </c>
      <c r="CW661" s="476" t="s">
        <v>4723</v>
      </c>
      <c r="CX661" s="483" t="s">
        <v>1124</v>
      </c>
      <c r="CY661" s="483" t="s">
        <v>1124</v>
      </c>
      <c r="CZ661" s="483" t="s">
        <v>1124</v>
      </c>
      <c r="DA661" s="483" t="s">
        <v>1124</v>
      </c>
      <c r="DB661" s="483" t="s">
        <v>1124</v>
      </c>
      <c r="DC661" s="483" t="s">
        <v>1124</v>
      </c>
      <c r="DD661" s="483" t="s">
        <v>1124</v>
      </c>
      <c r="DE661" s="483" t="str">
        <f>IFERROR(SUM(VLOOKUP($BS661,'État &amp; Plan d''action'!$B$6:$Z$1113,18,FALSE),VLOOKUP($BS661,'État &amp; Plan d''action'!$B$6:$Z$1113,20,FALSE))/(VLOOKUP($BS661,'Données par municipalité'!$B$4:$L$1113,11,FALSE)),"")</f>
        <v/>
      </c>
      <c r="DF661" s="483" t="str">
        <f>IFERROR(SUM(VLOOKUP($BS661,'État &amp; Plan d''action'!$B$6:$Z$1113,19,FALSE),VLOOKUP($BS661,'État &amp; Plan d''action'!$B$6:$Z$1113,21,FALSE))/(VLOOKUP($BS661,'Données par municipalité'!$B$4:$L$1113,11,FALSE)),"")</f>
        <v/>
      </c>
      <c r="DG661" s="476" t="s">
        <v>4723</v>
      </c>
      <c r="DH661" s="484" t="s">
        <v>1124</v>
      </c>
      <c r="DI661" s="484" t="s">
        <v>1124</v>
      </c>
      <c r="DJ661" s="484">
        <v>0</v>
      </c>
      <c r="DK661" s="484">
        <v>0</v>
      </c>
      <c r="DL661" s="484" t="s">
        <v>1124</v>
      </c>
      <c r="DM661" s="484" t="s">
        <v>1124</v>
      </c>
      <c r="DN661" s="484" t="s">
        <v>1124</v>
      </c>
      <c r="DO661" s="484" t="s">
        <v>1124</v>
      </c>
      <c r="DP661" s="484" t="s">
        <v>1124</v>
      </c>
      <c r="DQ661" s="484" t="str">
        <f>IF(VLOOKUP($BS661,'État &amp; Plan d''action'!$B$6:$AJ$1113,28,FALSE)="","",VLOOKUP($BS661,'État &amp; Plan d''action'!$B$6:$AJ$1113,28,FALSE))</f>
        <v/>
      </c>
      <c r="DR661" s="70" t="str">
        <f>IF(VLOOKUP($BS661,'État &amp; Plan d''action'!$B$6:$AJ$1113,29,FALSE)="","",VLOOKUP($BS661,'État &amp; Plan d''action'!$B$6:$AJ$1113,29,FALSE))</f>
        <v/>
      </c>
      <c r="DS661" s="70" t="str">
        <f>IF(VLOOKUP($BS661,'État &amp; Plan d''action'!$B$6:$AJ$1113,30,FALSE)="","",VLOOKUP($BS661,'État &amp; Plan d''action'!$B$6:$AJ$1113,30,FALSE))</f>
        <v/>
      </c>
      <c r="DT661" s="70" t="s">
        <v>1124</v>
      </c>
      <c r="DU661" s="485" t="s">
        <v>1124</v>
      </c>
      <c r="DV661" s="485" t="s">
        <v>1124</v>
      </c>
      <c r="DW661" s="70" t="s">
        <v>1124</v>
      </c>
      <c r="DX661" s="70" t="s">
        <v>1124</v>
      </c>
      <c r="DY661" s="70" t="s">
        <v>1124</v>
      </c>
      <c r="DZ661" s="70" t="str">
        <f>VLOOKUP($BS661,'État &amp; Plan d''action'!$B$6:$AH$1113,31,FALSE)</f>
        <v/>
      </c>
      <c r="EA661" s="70" t="str">
        <f>VLOOKUP($BS661,'État &amp; Plan d''action'!$B$6:$AH$1113,32,FALSE)</f>
        <v/>
      </c>
      <c r="EB661" s="70" t="str">
        <f>VLOOKUP($BS661,'État &amp; Plan d''action'!$B$6:$AH$1113,33,FALSE)</f>
        <v/>
      </c>
      <c r="EC661" s="70" t="s">
        <v>1124</v>
      </c>
      <c r="ED661" s="70" t="s">
        <v>1124</v>
      </c>
      <c r="EE661" s="70" t="s">
        <v>1124</v>
      </c>
      <c r="EF661" s="70" t="s">
        <v>1124</v>
      </c>
      <c r="EG661" s="70" t="s">
        <v>1124</v>
      </c>
      <c r="EH661" s="72"/>
      <c r="EI661" s="72">
        <v>2082</v>
      </c>
    </row>
    <row r="662" spans="71:139" x14ac:dyDescent="0.35">
      <c r="BS662" s="486">
        <v>77035</v>
      </c>
      <c r="BT662" s="479" t="s">
        <v>760</v>
      </c>
      <c r="BU662" s="479">
        <v>15</v>
      </c>
      <c r="BV662" s="476" t="s">
        <v>1188</v>
      </c>
      <c r="BW662" s="476" t="s">
        <v>1188</v>
      </c>
      <c r="BX662" s="476" t="s">
        <v>1188</v>
      </c>
      <c r="BY662" s="476" t="s">
        <v>1188</v>
      </c>
      <c r="BZ662" s="476" t="s">
        <v>1188</v>
      </c>
      <c r="CA662" s="476" t="s">
        <v>1188</v>
      </c>
      <c r="CB662" s="476" t="s">
        <v>1188</v>
      </c>
      <c r="CC662" s="476" t="s">
        <v>1188</v>
      </c>
      <c r="CD662" s="476" t="s">
        <v>1188</v>
      </c>
      <c r="CE662" s="476" t="s">
        <v>1188</v>
      </c>
      <c r="CF662" s="476" t="s">
        <v>1188</v>
      </c>
      <c r="CG662" s="476" t="s">
        <v>1188</v>
      </c>
      <c r="CH662" s="476" t="s">
        <v>1188</v>
      </c>
      <c r="CI662" s="476" t="s">
        <v>1188</v>
      </c>
      <c r="CJ662" s="476" t="s">
        <v>1187</v>
      </c>
      <c r="CK662" s="476" t="s">
        <v>1187</v>
      </c>
      <c r="CL662" s="476" t="s">
        <v>1187</v>
      </c>
      <c r="CM662" s="476" t="str">
        <f>IF(VLOOKUP(BS662,'Données par municipalité'!$B$6:$E$1113,4,FALSE)="","non","oui")</f>
        <v>non</v>
      </c>
      <c r="CN662" s="410">
        <v>469.02075396009428</v>
      </c>
      <c r="CO662" s="410">
        <v>444.31494488102737</v>
      </c>
      <c r="CP662" s="410">
        <v>402.78216538884396</v>
      </c>
      <c r="CQ662" s="410">
        <v>397.89734696771961</v>
      </c>
      <c r="CR662" s="410">
        <v>499.92191378419858</v>
      </c>
      <c r="CS662" s="410" t="s">
        <v>1124</v>
      </c>
      <c r="CT662" s="410"/>
      <c r="CU662" s="410" t="s">
        <v>1124</v>
      </c>
      <c r="CV662" s="410" t="str">
        <f>IF(VLOOKUP(BS662,'Données par municipalité'!$B$6:$F$1113,4,FALSE)="","",VLOOKUP(BS662,'Données par municipalité'!$B$6:$F$1113,4,FALSE))</f>
        <v/>
      </c>
      <c r="CW662" s="476" t="s">
        <v>4723</v>
      </c>
      <c r="CX662" s="483" t="s">
        <v>1124</v>
      </c>
      <c r="CY662" s="483">
        <v>0</v>
      </c>
      <c r="CZ662" s="483">
        <v>0</v>
      </c>
      <c r="DA662" s="483">
        <v>0</v>
      </c>
      <c r="DB662" s="483" t="s">
        <v>1124</v>
      </c>
      <c r="DC662" s="483" t="s">
        <v>1124</v>
      </c>
      <c r="DD662" s="483" t="s">
        <v>1124</v>
      </c>
      <c r="DE662" s="483" t="str">
        <f>IFERROR(SUM(VLOOKUP($BS662,'État &amp; Plan d''action'!$B$6:$Z$1113,18,FALSE),VLOOKUP($BS662,'État &amp; Plan d''action'!$B$6:$Z$1113,20,FALSE))/(VLOOKUP($BS662,'Données par municipalité'!$B$4:$L$1113,11,FALSE)),"")</f>
        <v/>
      </c>
      <c r="DF662" s="483" t="str">
        <f>IFERROR(SUM(VLOOKUP($BS662,'État &amp; Plan d''action'!$B$6:$Z$1113,19,FALSE),VLOOKUP($BS662,'État &amp; Plan d''action'!$B$6:$Z$1113,21,FALSE))/(VLOOKUP($BS662,'Données par municipalité'!$B$4:$L$1113,11,FALSE)),"")</f>
        <v/>
      </c>
      <c r="DG662" s="476" t="s">
        <v>4723</v>
      </c>
      <c r="DH662" s="484" t="s">
        <v>1124</v>
      </c>
      <c r="DI662" s="484" t="s">
        <v>1124</v>
      </c>
      <c r="DJ662" s="484">
        <v>0</v>
      </c>
      <c r="DK662" s="484">
        <v>0</v>
      </c>
      <c r="DL662" s="484" t="s">
        <v>1124</v>
      </c>
      <c r="DM662" s="484" t="s">
        <v>1124</v>
      </c>
      <c r="DN662" s="484" t="s">
        <v>1124</v>
      </c>
      <c r="DO662" s="484" t="s">
        <v>1124</v>
      </c>
      <c r="DP662" s="484" t="s">
        <v>1124</v>
      </c>
      <c r="DQ662" s="484" t="str">
        <f>IF(VLOOKUP($BS662,'État &amp; Plan d''action'!$B$6:$AJ$1113,28,FALSE)="","",VLOOKUP($BS662,'État &amp; Plan d''action'!$B$6:$AJ$1113,28,FALSE))</f>
        <v/>
      </c>
      <c r="DR662" s="70" t="str">
        <f>IF(VLOOKUP($BS662,'État &amp; Plan d''action'!$B$6:$AJ$1113,29,FALSE)="","",VLOOKUP($BS662,'État &amp; Plan d''action'!$B$6:$AJ$1113,29,FALSE))</f>
        <v/>
      </c>
      <c r="DS662" s="70" t="str">
        <f>IF(VLOOKUP($BS662,'État &amp; Plan d''action'!$B$6:$AJ$1113,30,FALSE)="","",VLOOKUP($BS662,'État &amp; Plan d''action'!$B$6:$AJ$1113,30,FALSE))</f>
        <v/>
      </c>
      <c r="DT662" s="70" t="s">
        <v>1124</v>
      </c>
      <c r="DU662" s="485" t="s">
        <v>1124</v>
      </c>
      <c r="DV662" s="485" t="s">
        <v>1124</v>
      </c>
      <c r="DW662" s="70" t="s">
        <v>1124</v>
      </c>
      <c r="DX662" s="70" t="s">
        <v>1124</v>
      </c>
      <c r="DY662" s="70" t="s">
        <v>1124</v>
      </c>
      <c r="DZ662" s="70" t="str">
        <f>VLOOKUP($BS662,'État &amp; Plan d''action'!$B$6:$AH$1113,31,FALSE)</f>
        <v/>
      </c>
      <c r="EA662" s="70" t="str">
        <f>VLOOKUP($BS662,'État &amp; Plan d''action'!$B$6:$AH$1113,32,FALSE)</f>
        <v/>
      </c>
      <c r="EB662" s="70" t="str">
        <f>VLOOKUP($BS662,'État &amp; Plan d''action'!$B$6:$AH$1113,33,FALSE)</f>
        <v/>
      </c>
      <c r="EC662" s="70" t="s">
        <v>1124</v>
      </c>
      <c r="ED662" s="70" t="s">
        <v>1124</v>
      </c>
      <c r="EE662" s="70" t="s">
        <v>1124</v>
      </c>
      <c r="EF662" s="70" t="s">
        <v>1124</v>
      </c>
      <c r="EG662" s="70" t="s">
        <v>1124</v>
      </c>
      <c r="EH662" s="72"/>
      <c r="EI662" s="72">
        <v>3654</v>
      </c>
    </row>
    <row r="663" spans="71:139" x14ac:dyDescent="0.35">
      <c r="BS663" s="486">
        <v>4037</v>
      </c>
      <c r="BT663" s="479" t="s">
        <v>1042</v>
      </c>
      <c r="BU663" s="479">
        <v>11</v>
      </c>
      <c r="BV663" s="476" t="s">
        <v>1187</v>
      </c>
      <c r="BW663" s="476" t="s">
        <v>1187</v>
      </c>
      <c r="BX663" s="476" t="s">
        <v>1187</v>
      </c>
      <c r="BY663" s="476" t="s">
        <v>1187</v>
      </c>
      <c r="BZ663" s="476" t="s">
        <v>1187</v>
      </c>
      <c r="CA663" s="476" t="s">
        <v>1187</v>
      </c>
      <c r="CB663" s="476" t="s">
        <v>1187</v>
      </c>
      <c r="CC663" s="476" t="s">
        <v>1187</v>
      </c>
      <c r="CD663" s="476" t="s">
        <v>1187</v>
      </c>
      <c r="CE663" s="476" t="s">
        <v>1188</v>
      </c>
      <c r="CF663" s="476" t="s">
        <v>1187</v>
      </c>
      <c r="CG663" s="476" t="s">
        <v>1187</v>
      </c>
      <c r="CH663" s="476" t="s">
        <v>1187</v>
      </c>
      <c r="CI663" s="476" t="s">
        <v>1187</v>
      </c>
      <c r="CJ663" s="476" t="s">
        <v>1187</v>
      </c>
      <c r="CK663" s="476" t="s">
        <v>1188</v>
      </c>
      <c r="CL663" s="476" t="s">
        <v>1188</v>
      </c>
      <c r="CM663" s="476" t="str">
        <f>IF(VLOOKUP(BS663,'Données par municipalité'!$B$6:$E$1113,4,FALSE)="","non","oui")</f>
        <v>oui</v>
      </c>
      <c r="CN663" s="410">
        <v>360.29142495984638</v>
      </c>
      <c r="CO663" s="410" t="s">
        <v>1124</v>
      </c>
      <c r="CP663" s="410"/>
      <c r="CQ663" s="410"/>
      <c r="CR663" s="410"/>
      <c r="CS663" s="410" t="s">
        <v>1124</v>
      </c>
      <c r="CT663" s="410">
        <v>1145.9034301357581</v>
      </c>
      <c r="CU663" s="410">
        <v>1189</v>
      </c>
      <c r="CV663" s="410">
        <f>IF(VLOOKUP(BS663,'Données par municipalité'!$B$6:$F$1113,4,FALSE)="","",VLOOKUP(BS663,'Données par municipalité'!$B$6:$F$1113,4,FALSE))</f>
        <v>1185</v>
      </c>
      <c r="CW663" s="476" t="s">
        <v>4723</v>
      </c>
      <c r="CX663" s="483" t="s">
        <v>1124</v>
      </c>
      <c r="CY663" s="483" t="s">
        <v>1124</v>
      </c>
      <c r="CZ663" s="483" t="s">
        <v>1124</v>
      </c>
      <c r="DA663" s="483" t="s">
        <v>1124</v>
      </c>
      <c r="DB663" s="483" t="s">
        <v>1124</v>
      </c>
      <c r="DC663" s="483">
        <v>0.5</v>
      </c>
      <c r="DD663" s="483" t="s">
        <v>1124</v>
      </c>
      <c r="DE663" s="483">
        <f>IFERROR(SUM(VLOOKUP($BS663,'État &amp; Plan d''action'!$B$6:$Z$1113,18,FALSE),VLOOKUP($BS663,'État &amp; Plan d''action'!$B$6:$Z$1113,20,FALSE))/(VLOOKUP($BS663,'Données par municipalité'!$B$4:$L$1113,11,FALSE)),"")</f>
        <v>1.0014592692208648</v>
      </c>
      <c r="DF663" s="483">
        <f>IFERROR(SUM(VLOOKUP($BS663,'État &amp; Plan d''action'!$B$6:$Z$1113,19,FALSE),VLOOKUP($BS663,'État &amp; Plan d''action'!$B$6:$Z$1113,21,FALSE))/(VLOOKUP($BS663,'Données par municipalité'!$B$4:$L$1113,11,FALSE)),"")</f>
        <v>1.0014592692208648</v>
      </c>
      <c r="DG663" s="476" t="s">
        <v>4723</v>
      </c>
      <c r="DH663" s="484" t="s">
        <v>1124</v>
      </c>
      <c r="DI663" s="484" t="s">
        <v>1124</v>
      </c>
      <c r="DJ663" s="484">
        <v>0</v>
      </c>
      <c r="DK663" s="484">
        <v>0</v>
      </c>
      <c r="DL663" s="484" t="s">
        <v>1124</v>
      </c>
      <c r="DM663" s="484">
        <v>8</v>
      </c>
      <c r="DN663" s="484">
        <v>3</v>
      </c>
      <c r="DO663" s="484">
        <v>0</v>
      </c>
      <c r="DP663" s="484">
        <v>3</v>
      </c>
      <c r="DQ663" s="484">
        <f>IF(VLOOKUP($BS663,'État &amp; Plan d''action'!$B$6:$AJ$1113,28,FALSE)="","",VLOOKUP($BS663,'État &amp; Plan d''action'!$B$6:$AJ$1113,28,FALSE))</f>
        <v>2</v>
      </c>
      <c r="DR663" s="70">
        <f>IF(VLOOKUP($BS663,'État &amp; Plan d''action'!$B$6:$AJ$1113,29,FALSE)="","",VLOOKUP($BS663,'État &amp; Plan d''action'!$B$6:$AJ$1113,29,FALSE))</f>
        <v>3</v>
      </c>
      <c r="DS663" s="70">
        <f>IF(VLOOKUP($BS663,'État &amp; Plan d''action'!$B$6:$AJ$1113,30,FALSE)="","",VLOOKUP($BS663,'État &amp; Plan d''action'!$B$6:$AJ$1113,30,FALSE))</f>
        <v>4</v>
      </c>
      <c r="DT663" s="70">
        <v>438</v>
      </c>
      <c r="DU663" s="485">
        <v>13.398951359572299</v>
      </c>
      <c r="DV663" s="485">
        <v>2.4161524786074855</v>
      </c>
      <c r="DW663" s="70">
        <v>2</v>
      </c>
      <c r="DX663" s="70">
        <v>0</v>
      </c>
      <c r="DY663" s="70">
        <v>2</v>
      </c>
      <c r="DZ663" s="70">
        <f>VLOOKUP($BS663,'État &amp; Plan d''action'!$B$6:$AH$1113,31,FALSE)</f>
        <v>4</v>
      </c>
      <c r="EA663" s="70">
        <f>VLOOKUP($BS663,'État &amp; Plan d''action'!$B$6:$AH$1113,32,FALSE)</f>
        <v>3</v>
      </c>
      <c r="EB663" s="70">
        <f>VLOOKUP($BS663,'État &amp; Plan d''action'!$B$6:$AH$1113,33,FALSE)</f>
        <v>3</v>
      </c>
      <c r="EC663" s="70">
        <v>0</v>
      </c>
      <c r="ED663" s="70">
        <v>0</v>
      </c>
      <c r="EE663" s="70">
        <v>6</v>
      </c>
      <c r="EF663" s="70">
        <v>0</v>
      </c>
      <c r="EG663" s="70">
        <v>0</v>
      </c>
      <c r="EH663" s="72">
        <v>54</v>
      </c>
      <c r="EI663" s="72">
        <v>6437</v>
      </c>
    </row>
    <row r="664" spans="71:139" x14ac:dyDescent="0.35">
      <c r="BS664" s="486">
        <v>53065</v>
      </c>
      <c r="BT664" s="479" t="s">
        <v>539</v>
      </c>
      <c r="BU664" s="479">
        <v>16</v>
      </c>
      <c r="BV664" s="476" t="s">
        <v>1187</v>
      </c>
      <c r="BW664" s="476" t="s">
        <v>1187</v>
      </c>
      <c r="BX664" s="476" t="s">
        <v>1187</v>
      </c>
      <c r="BY664" s="476" t="s">
        <v>1187</v>
      </c>
      <c r="BZ664" s="476" t="s">
        <v>1187</v>
      </c>
      <c r="CA664" s="476" t="s">
        <v>1187</v>
      </c>
      <c r="CB664" s="476" t="s">
        <v>1187</v>
      </c>
      <c r="CC664" s="476" t="s">
        <v>1187</v>
      </c>
      <c r="CD664" s="476" t="s">
        <v>1187</v>
      </c>
      <c r="CE664" s="476" t="s">
        <v>1188</v>
      </c>
      <c r="CF664" s="476" t="s">
        <v>1188</v>
      </c>
      <c r="CG664" s="476" t="s">
        <v>1188</v>
      </c>
      <c r="CH664" s="476" t="s">
        <v>1188</v>
      </c>
      <c r="CI664" s="476" t="s">
        <v>1188</v>
      </c>
      <c r="CJ664" s="476" t="s">
        <v>1187</v>
      </c>
      <c r="CK664" s="476" t="s">
        <v>1188</v>
      </c>
      <c r="CL664" s="476" t="s">
        <v>1188</v>
      </c>
      <c r="CM664" s="476" t="str">
        <f>IF(VLOOKUP(BS664,'Données par municipalité'!$B$6:$E$1113,4,FALSE)="","non","oui")</f>
        <v>oui</v>
      </c>
      <c r="CN664" s="410">
        <v>335.67225685749537</v>
      </c>
      <c r="CO664" s="410">
        <v>330.6367959115824</v>
      </c>
      <c r="CP664" s="410">
        <v>318.48283545139464</v>
      </c>
      <c r="CQ664" s="410">
        <v>332.73462840848333</v>
      </c>
      <c r="CR664" s="410">
        <v>489.19292860611716</v>
      </c>
      <c r="CS664" s="410" t="s">
        <v>1124</v>
      </c>
      <c r="CT664" s="410">
        <v>484</v>
      </c>
      <c r="CU664" s="410">
        <v>307</v>
      </c>
      <c r="CV664" s="410">
        <f>IF(VLOOKUP(BS664,'Données par municipalité'!$B$6:$F$1113,4,FALSE)="","",VLOOKUP(BS664,'Données par municipalité'!$B$6:$F$1113,4,FALSE))</f>
        <v>327</v>
      </c>
      <c r="CW664" s="476" t="s">
        <v>4723</v>
      </c>
      <c r="CX664" s="483">
        <v>0</v>
      </c>
      <c r="CY664" s="483">
        <v>0</v>
      </c>
      <c r="CZ664" s="483">
        <v>0</v>
      </c>
      <c r="DA664" s="483">
        <v>0</v>
      </c>
      <c r="DB664" s="483" t="s">
        <v>1124</v>
      </c>
      <c r="DC664" s="483">
        <v>0</v>
      </c>
      <c r="DD664" s="483">
        <v>0</v>
      </c>
      <c r="DE664" s="483">
        <f>IFERROR(SUM(VLOOKUP($BS664,'État &amp; Plan d''action'!$B$6:$Z$1113,18,FALSE),VLOOKUP($BS664,'État &amp; Plan d''action'!$B$6:$Z$1113,20,FALSE))/(VLOOKUP($BS664,'Données par municipalité'!$B$4:$L$1113,11,FALSE)),"")</f>
        <v>0</v>
      </c>
      <c r="DF664" s="483">
        <f>IFERROR(SUM(VLOOKUP($BS664,'État &amp; Plan d''action'!$B$6:$Z$1113,19,FALSE),VLOOKUP($BS664,'État &amp; Plan d''action'!$B$6:$Z$1113,21,FALSE))/(VLOOKUP($BS664,'Données par municipalité'!$B$4:$L$1113,11,FALSE)),"")</f>
        <v>0</v>
      </c>
      <c r="DG664" s="476" t="s">
        <v>4723</v>
      </c>
      <c r="DH664" s="484">
        <v>0</v>
      </c>
      <c r="DI664" s="484">
        <v>1</v>
      </c>
      <c r="DJ664" s="484">
        <v>2</v>
      </c>
      <c r="DK664" s="484">
        <v>1</v>
      </c>
      <c r="DL664" s="484" t="s">
        <v>1124</v>
      </c>
      <c r="DM664" s="484">
        <v>0</v>
      </c>
      <c r="DN664" s="484">
        <v>0</v>
      </c>
      <c r="DO664" s="484">
        <v>0</v>
      </c>
      <c r="DP664" s="484">
        <v>3</v>
      </c>
      <c r="DQ664" s="484">
        <f>IF(VLOOKUP($BS664,'État &amp; Plan d''action'!$B$6:$AJ$1113,28,FALSE)="","",VLOOKUP($BS664,'État &amp; Plan d''action'!$B$6:$AJ$1113,28,FALSE))</f>
        <v>0</v>
      </c>
      <c r="DR664" s="70">
        <f>IF(VLOOKUP($BS664,'État &amp; Plan d''action'!$B$6:$AJ$1113,29,FALSE)="","",VLOOKUP($BS664,'État &amp; Plan d''action'!$B$6:$AJ$1113,29,FALSE))</f>
        <v>0</v>
      </c>
      <c r="DS664" s="70">
        <f>IF(VLOOKUP($BS664,'État &amp; Plan d''action'!$B$6:$AJ$1113,30,FALSE)="","",VLOOKUP($BS664,'État &amp; Plan d''action'!$B$6:$AJ$1113,30,FALSE))</f>
        <v>0</v>
      </c>
      <c r="DT664" s="70">
        <v>246</v>
      </c>
      <c r="DU664" s="485">
        <v>1.247307336352903</v>
      </c>
      <c r="DV664" s="485">
        <v>1.7389213433173167</v>
      </c>
      <c r="DW664" s="70">
        <v>5</v>
      </c>
      <c r="DX664" s="70">
        <v>5</v>
      </c>
      <c r="DY664" s="70">
        <v>10</v>
      </c>
      <c r="DZ664" s="70">
        <f>VLOOKUP($BS664,'État &amp; Plan d''action'!$B$6:$AH$1113,31,FALSE)</f>
        <v>0</v>
      </c>
      <c r="EA664" s="70">
        <f>VLOOKUP($BS664,'État &amp; Plan d''action'!$B$6:$AH$1113,32,FALSE)</f>
        <v>0</v>
      </c>
      <c r="EB664" s="70">
        <f>VLOOKUP($BS664,'État &amp; Plan d''action'!$B$6:$AH$1113,33,FALSE)</f>
        <v>0</v>
      </c>
      <c r="EC664" s="70">
        <v>0</v>
      </c>
      <c r="ED664" s="70">
        <v>0</v>
      </c>
      <c r="EE664" s="70">
        <v>0</v>
      </c>
      <c r="EF664" s="70">
        <v>0</v>
      </c>
      <c r="EG664" s="70">
        <v>0</v>
      </c>
      <c r="EH664" s="72">
        <v>51.011111111111106</v>
      </c>
      <c r="EI664" s="72">
        <v>2774</v>
      </c>
    </row>
    <row r="665" spans="71:139" x14ac:dyDescent="0.35">
      <c r="BS665" s="486">
        <v>73035</v>
      </c>
      <c r="BT665" s="479" t="s">
        <v>740</v>
      </c>
      <c r="BU665" s="479">
        <v>15</v>
      </c>
      <c r="BV665" s="476" t="s">
        <v>1187</v>
      </c>
      <c r="BW665" s="476" t="s">
        <v>1187</v>
      </c>
      <c r="BX665" s="476" t="s">
        <v>1187</v>
      </c>
      <c r="BY665" s="476" t="s">
        <v>1187</v>
      </c>
      <c r="BZ665" s="476" t="s">
        <v>1187</v>
      </c>
      <c r="CA665" s="476" t="s">
        <v>1187</v>
      </c>
      <c r="CB665" s="476" t="s">
        <v>1187</v>
      </c>
      <c r="CC665" s="476" t="s">
        <v>1187</v>
      </c>
      <c r="CD665" s="476" t="s">
        <v>1187</v>
      </c>
      <c r="CE665" s="476" t="s">
        <v>1188</v>
      </c>
      <c r="CF665" s="476" t="s">
        <v>1188</v>
      </c>
      <c r="CG665" s="476" t="s">
        <v>1188</v>
      </c>
      <c r="CH665" s="476" t="s">
        <v>1188</v>
      </c>
      <c r="CI665" s="476" t="s">
        <v>1188</v>
      </c>
      <c r="CJ665" s="476" t="s">
        <v>1188</v>
      </c>
      <c r="CK665" s="476" t="s">
        <v>1188</v>
      </c>
      <c r="CL665" s="476" t="s">
        <v>1188</v>
      </c>
      <c r="CM665" s="476" t="str">
        <f>IF(VLOOKUP(BS665,'Données par municipalité'!$B$6:$E$1113,4,FALSE)="","non","oui")</f>
        <v>oui</v>
      </c>
      <c r="CN665" s="410">
        <v>332.66624173087627</v>
      </c>
      <c r="CO665" s="410">
        <v>311.26343428129019</v>
      </c>
      <c r="CP665" s="410">
        <v>304.3364852647083</v>
      </c>
      <c r="CQ665" s="410">
        <v>272.04295080227001</v>
      </c>
      <c r="CR665" s="410">
        <v>327.87766758300802</v>
      </c>
      <c r="CS665" s="410">
        <v>250.70327727072703</v>
      </c>
      <c r="CT665" s="410">
        <v>229.78958329592996</v>
      </c>
      <c r="CU665" s="410">
        <v>270</v>
      </c>
      <c r="CV665" s="410">
        <f>IF(VLOOKUP(BS665,'Données par municipalité'!$B$6:$F$1113,4,FALSE)="","",VLOOKUP(BS665,'Données par municipalité'!$B$6:$F$1113,4,FALSE))</f>
        <v>266</v>
      </c>
      <c r="CW665" s="476" t="s">
        <v>4723</v>
      </c>
      <c r="CX665" s="483">
        <v>2</v>
      </c>
      <c r="CY665" s="483">
        <v>2</v>
      </c>
      <c r="CZ665" s="483">
        <v>2</v>
      </c>
      <c r="DA665" s="483">
        <v>2</v>
      </c>
      <c r="DB665" s="483">
        <v>2</v>
      </c>
      <c r="DC665" s="483">
        <v>2</v>
      </c>
      <c r="DD665" s="483">
        <v>3.1319218241042348</v>
      </c>
      <c r="DE665" s="483">
        <f>IFERROR(SUM(VLOOKUP($BS665,'État &amp; Plan d''action'!$B$6:$Z$1113,18,FALSE),VLOOKUP($BS665,'État &amp; Plan d''action'!$B$6:$Z$1113,20,FALSE))/(VLOOKUP($BS665,'Données par municipalité'!$B$4:$L$1113,11,FALSE)),"")</f>
        <v>2.9999999999999996</v>
      </c>
      <c r="DF665" s="483">
        <f>IFERROR(SUM(VLOOKUP($BS665,'État &amp; Plan d''action'!$B$6:$Z$1113,19,FALSE),VLOOKUP($BS665,'État &amp; Plan d''action'!$B$6:$Z$1113,21,FALSE))/(VLOOKUP($BS665,'Données par municipalité'!$B$4:$L$1113,11,FALSE)),"")</f>
        <v>2</v>
      </c>
      <c r="DG665" s="476" t="s">
        <v>4723</v>
      </c>
      <c r="DH665" s="484">
        <v>11</v>
      </c>
      <c r="DI665" s="484">
        <v>8</v>
      </c>
      <c r="DJ665" s="484">
        <v>12</v>
      </c>
      <c r="DK665" s="484">
        <v>12</v>
      </c>
      <c r="DL665" s="484">
        <v>3</v>
      </c>
      <c r="DM665" s="484">
        <v>13</v>
      </c>
      <c r="DN665" s="484">
        <v>10</v>
      </c>
      <c r="DO665" s="484">
        <v>2</v>
      </c>
      <c r="DP665" s="484">
        <v>2</v>
      </c>
      <c r="DQ665" s="484">
        <f>IF(VLOOKUP($BS665,'État &amp; Plan d''action'!$B$6:$AJ$1113,28,FALSE)="","",VLOOKUP($BS665,'État &amp; Plan d''action'!$B$6:$AJ$1113,28,FALSE))</f>
        <v>15</v>
      </c>
      <c r="DR665" s="70">
        <f>IF(VLOOKUP($BS665,'État &amp; Plan d''action'!$B$6:$AJ$1113,29,FALSE)="","",VLOOKUP($BS665,'État &amp; Plan d''action'!$B$6:$AJ$1113,29,FALSE))</f>
        <v>2</v>
      </c>
      <c r="DS665" s="70">
        <f>IF(VLOOKUP($BS665,'État &amp; Plan d''action'!$B$6:$AJ$1113,30,FALSE)="","",VLOOKUP($BS665,'État &amp; Plan d''action'!$B$6:$AJ$1113,30,FALSE))</f>
        <v>2</v>
      </c>
      <c r="DT665" s="70">
        <v>199</v>
      </c>
      <c r="DU665" s="485">
        <v>2.4497028832858554</v>
      </c>
      <c r="DV665" s="485">
        <v>2.3664068986641835</v>
      </c>
      <c r="DW665" s="70">
        <v>1</v>
      </c>
      <c r="DX665" s="70">
        <v>2</v>
      </c>
      <c r="DY665" s="70">
        <v>10</v>
      </c>
      <c r="DZ665" s="70">
        <f>VLOOKUP($BS665,'État &amp; Plan d''action'!$B$6:$AH$1113,31,FALSE)</f>
        <v>1</v>
      </c>
      <c r="EA665" s="70">
        <f>VLOOKUP($BS665,'État &amp; Plan d''action'!$B$6:$AH$1113,32,FALSE)</f>
        <v>2</v>
      </c>
      <c r="EB665" s="70">
        <f>VLOOKUP($BS665,'État &amp; Plan d''action'!$B$6:$AH$1113,33,FALSE)</f>
        <v>10</v>
      </c>
      <c r="EC665" s="70">
        <v>0</v>
      </c>
      <c r="ED665" s="70">
        <v>0</v>
      </c>
      <c r="EE665" s="70">
        <v>192.3</v>
      </c>
      <c r="EF665" s="70">
        <v>64.099999999999994</v>
      </c>
      <c r="EG665" s="70">
        <v>0</v>
      </c>
      <c r="EH665" s="72">
        <v>65</v>
      </c>
      <c r="EI665" s="72">
        <v>15052</v>
      </c>
    </row>
    <row r="666" spans="71:139" x14ac:dyDescent="0.35">
      <c r="BS666" s="486">
        <v>79115</v>
      </c>
      <c r="BT666" s="479" t="s">
        <v>802</v>
      </c>
      <c r="BU666" s="479">
        <v>15</v>
      </c>
      <c r="BV666" s="476" t="s">
        <v>1187</v>
      </c>
      <c r="BW666" s="476" t="s">
        <v>1187</v>
      </c>
      <c r="BX666" s="476" t="s">
        <v>1187</v>
      </c>
      <c r="BY666" s="476" t="s">
        <v>1187</v>
      </c>
      <c r="BZ666" s="476" t="s">
        <v>1187</v>
      </c>
      <c r="CA666" s="476" t="s">
        <v>1187</v>
      </c>
      <c r="CB666" s="476" t="s">
        <v>1187</v>
      </c>
      <c r="CC666" s="476" t="s">
        <v>1187</v>
      </c>
      <c r="CD666" s="476" t="s">
        <v>1187</v>
      </c>
      <c r="CE666" s="476" t="s">
        <v>1188</v>
      </c>
      <c r="CF666" s="476" t="s">
        <v>1188</v>
      </c>
      <c r="CG666" s="476" t="s">
        <v>1187</v>
      </c>
      <c r="CH666" s="476" t="s">
        <v>1187</v>
      </c>
      <c r="CI666" s="476" t="s">
        <v>1188</v>
      </c>
      <c r="CJ666" s="476" t="s">
        <v>1188</v>
      </c>
      <c r="CK666" s="476" t="s">
        <v>1188</v>
      </c>
      <c r="CL666" s="476" t="s">
        <v>1188</v>
      </c>
      <c r="CM666" s="476" t="str">
        <f>IF(VLOOKUP(BS666,'Données par municipalité'!$B$6:$E$1113,4,FALSE)="","non","oui")</f>
        <v>oui</v>
      </c>
      <c r="CN666" s="410">
        <v>368.33570063370081</v>
      </c>
      <c r="CO666" s="410">
        <v>316.66447898619435</v>
      </c>
      <c r="CP666" s="410"/>
      <c r="CQ666" s="410"/>
      <c r="CR666" s="410">
        <v>256.02740692693834</v>
      </c>
      <c r="CS666" s="410">
        <v>184.65856287870341</v>
      </c>
      <c r="CT666" s="410">
        <v>202.01591811923041</v>
      </c>
      <c r="CU666" s="410">
        <v>335</v>
      </c>
      <c r="CV666" s="410">
        <f>IF(VLOOKUP(BS666,'Données par municipalité'!$B$6:$F$1113,4,FALSE)="","",VLOOKUP(BS666,'Données par municipalité'!$B$6:$F$1113,4,FALSE))</f>
        <v>543</v>
      </c>
      <c r="CW666" s="476" t="s">
        <v>4723</v>
      </c>
      <c r="CX666" s="483">
        <v>0</v>
      </c>
      <c r="CY666" s="483" t="s">
        <v>1124</v>
      </c>
      <c r="CZ666" s="483" t="s">
        <v>1124</v>
      </c>
      <c r="DA666" s="483">
        <v>0</v>
      </c>
      <c r="DB666" s="483">
        <v>0</v>
      </c>
      <c r="DC666" s="483">
        <v>0</v>
      </c>
      <c r="DD666" s="483">
        <v>0</v>
      </c>
      <c r="DE666" s="483">
        <f>IFERROR(SUM(VLOOKUP($BS666,'État &amp; Plan d''action'!$B$6:$Z$1113,18,FALSE),VLOOKUP($BS666,'État &amp; Plan d''action'!$B$6:$Z$1113,20,FALSE))/(VLOOKUP($BS666,'Données par municipalité'!$B$4:$L$1113,11,FALSE)),"")</f>
        <v>0.6420545746388443</v>
      </c>
      <c r="DF666" s="483">
        <f>IFERROR(SUM(VLOOKUP($BS666,'État &amp; Plan d''action'!$B$6:$Z$1113,19,FALSE),VLOOKUP($BS666,'État &amp; Plan d''action'!$B$6:$Z$1113,21,FALSE))/(VLOOKUP($BS666,'Données par municipalité'!$B$4:$L$1113,11,FALSE)),"")</f>
        <v>1</v>
      </c>
      <c r="DG666" s="476" t="s">
        <v>4723</v>
      </c>
      <c r="DH666" s="484">
        <v>2</v>
      </c>
      <c r="DI666" s="484">
        <v>1</v>
      </c>
      <c r="DJ666" s="484">
        <v>3</v>
      </c>
      <c r="DK666" s="484">
        <v>1</v>
      </c>
      <c r="DL666" s="484">
        <v>2</v>
      </c>
      <c r="DM666" s="484">
        <v>1</v>
      </c>
      <c r="DN666" s="484">
        <v>2</v>
      </c>
      <c r="DO666" s="484">
        <v>0</v>
      </c>
      <c r="DP666" s="484">
        <v>0</v>
      </c>
      <c r="DQ666" s="484">
        <f>IF(VLOOKUP($BS666,'État &amp; Plan d''action'!$B$6:$AJ$1113,28,FALSE)="","",VLOOKUP($BS666,'État &amp; Plan d''action'!$B$6:$AJ$1113,28,FALSE))</f>
        <v>5</v>
      </c>
      <c r="DR666" s="70">
        <f>IF(VLOOKUP($BS666,'État &amp; Plan d''action'!$B$6:$AJ$1113,29,FALSE)="","",VLOOKUP($BS666,'État &amp; Plan d''action'!$B$6:$AJ$1113,29,FALSE))</f>
        <v>0</v>
      </c>
      <c r="DS666" s="70">
        <f>IF(VLOOKUP($BS666,'État &amp; Plan d''action'!$B$6:$AJ$1113,30,FALSE)="","",VLOOKUP($BS666,'État &amp; Plan d''action'!$B$6:$AJ$1113,30,FALSE))</f>
        <v>0</v>
      </c>
      <c r="DT666" s="70">
        <v>247</v>
      </c>
      <c r="DU666" s="485">
        <v>1.3797741757897897</v>
      </c>
      <c r="DV666" s="485">
        <v>2.3488067826871801</v>
      </c>
      <c r="DW666" s="70">
        <v>1</v>
      </c>
      <c r="DX666" s="70">
        <v>1</v>
      </c>
      <c r="DY666" s="70">
        <v>0</v>
      </c>
      <c r="DZ666" s="70">
        <f>VLOOKUP($BS666,'État &amp; Plan d''action'!$B$6:$AH$1113,31,FALSE)</f>
        <v>1</v>
      </c>
      <c r="EA666" s="70">
        <f>VLOOKUP($BS666,'État &amp; Plan d''action'!$B$6:$AH$1113,32,FALSE)</f>
        <v>0</v>
      </c>
      <c r="EB666" s="70">
        <f>VLOOKUP($BS666,'État &amp; Plan d''action'!$B$6:$AH$1113,33,FALSE)</f>
        <v>0</v>
      </c>
      <c r="EC666" s="70">
        <v>0</v>
      </c>
      <c r="ED666" s="70">
        <v>0</v>
      </c>
      <c r="EE666" s="70">
        <v>0</v>
      </c>
      <c r="EF666" s="70">
        <v>0</v>
      </c>
      <c r="EG666" s="70">
        <v>0</v>
      </c>
      <c r="EH666" s="72">
        <v>59</v>
      </c>
      <c r="EI666" s="72">
        <v>548</v>
      </c>
    </row>
    <row r="667" spans="71:139" x14ac:dyDescent="0.35">
      <c r="BS667" s="486">
        <v>18025</v>
      </c>
      <c r="BT667" s="479" t="s">
        <v>108</v>
      </c>
      <c r="BU667" s="479">
        <v>12</v>
      </c>
      <c r="BV667" s="476" t="s">
        <v>1188</v>
      </c>
      <c r="BW667" s="476" t="s">
        <v>1188</v>
      </c>
      <c r="BX667" s="476" t="s">
        <v>1188</v>
      </c>
      <c r="BY667" s="476" t="s">
        <v>1188</v>
      </c>
      <c r="BZ667" s="476" t="s">
        <v>1188</v>
      </c>
      <c r="CA667" s="476" t="s">
        <v>1188</v>
      </c>
      <c r="CB667" s="476" t="s">
        <v>1188</v>
      </c>
      <c r="CC667" s="476" t="s">
        <v>1188</v>
      </c>
      <c r="CD667" s="476" t="s">
        <v>1188</v>
      </c>
      <c r="CE667" s="476" t="s">
        <v>1187</v>
      </c>
      <c r="CF667" s="476" t="s">
        <v>1187</v>
      </c>
      <c r="CG667" s="476" t="s">
        <v>1187</v>
      </c>
      <c r="CH667" s="476" t="s">
        <v>1187</v>
      </c>
      <c r="CI667" s="476" t="s">
        <v>1187</v>
      </c>
      <c r="CJ667" s="476" t="s">
        <v>1187</v>
      </c>
      <c r="CK667" s="476" t="s">
        <v>1187</v>
      </c>
      <c r="CL667" s="476" t="s">
        <v>1187</v>
      </c>
      <c r="CM667" s="476" t="str">
        <f>IF(VLOOKUP(BS667,'Données par municipalité'!$B$6:$E$1113,4,FALSE)="","non","oui")</f>
        <v>non</v>
      </c>
      <c r="CN667" s="410" t="s">
        <v>1124</v>
      </c>
      <c r="CO667" s="410" t="s">
        <v>1124</v>
      </c>
      <c r="CP667" s="410"/>
      <c r="CQ667" s="410"/>
      <c r="CR667" s="410"/>
      <c r="CS667" s="410" t="s">
        <v>1124</v>
      </c>
      <c r="CT667" s="410"/>
      <c r="CU667" s="410" t="s">
        <v>1124</v>
      </c>
      <c r="CV667" s="410" t="str">
        <f>IF(VLOOKUP(BS667,'Données par municipalité'!$B$6:$F$1113,4,FALSE)="","",VLOOKUP(BS667,'Données par municipalité'!$B$6:$F$1113,4,FALSE))</f>
        <v/>
      </c>
      <c r="CW667" s="476" t="s">
        <v>4723</v>
      </c>
      <c r="CX667" s="483" t="s">
        <v>1124</v>
      </c>
      <c r="CY667" s="483" t="s">
        <v>1124</v>
      </c>
      <c r="CZ667" s="483" t="s">
        <v>1124</v>
      </c>
      <c r="DA667" s="483" t="s">
        <v>1124</v>
      </c>
      <c r="DB667" s="483" t="s">
        <v>1124</v>
      </c>
      <c r="DC667" s="483" t="s">
        <v>1124</v>
      </c>
      <c r="DD667" s="483" t="s">
        <v>1124</v>
      </c>
      <c r="DE667" s="483" t="str">
        <f>IFERROR(SUM(VLOOKUP($BS667,'État &amp; Plan d''action'!$B$6:$Z$1113,18,FALSE),VLOOKUP($BS667,'État &amp; Plan d''action'!$B$6:$Z$1113,20,FALSE))/(VLOOKUP($BS667,'Données par municipalité'!$B$4:$L$1113,11,FALSE)),"")</f>
        <v/>
      </c>
      <c r="DF667" s="483" t="str">
        <f>IFERROR(SUM(VLOOKUP($BS667,'État &amp; Plan d''action'!$B$6:$Z$1113,19,FALSE),VLOOKUP($BS667,'État &amp; Plan d''action'!$B$6:$Z$1113,21,FALSE))/(VLOOKUP($BS667,'Données par municipalité'!$B$4:$L$1113,11,FALSE)),"")</f>
        <v/>
      </c>
      <c r="DG667" s="476" t="s">
        <v>4723</v>
      </c>
      <c r="DH667" s="484" t="s">
        <v>1124</v>
      </c>
      <c r="DI667" s="484" t="s">
        <v>1124</v>
      </c>
      <c r="DJ667" s="484">
        <v>0</v>
      </c>
      <c r="DK667" s="484">
        <v>0</v>
      </c>
      <c r="DL667" s="484" t="s">
        <v>1124</v>
      </c>
      <c r="DM667" s="484" t="s">
        <v>1124</v>
      </c>
      <c r="DN667" s="484" t="s">
        <v>1124</v>
      </c>
      <c r="DO667" s="484" t="s">
        <v>1124</v>
      </c>
      <c r="DP667" s="484" t="s">
        <v>1124</v>
      </c>
      <c r="DQ667" s="484" t="str">
        <f>IF(VLOOKUP($BS667,'État &amp; Plan d''action'!$B$6:$AJ$1113,28,FALSE)="","",VLOOKUP($BS667,'État &amp; Plan d''action'!$B$6:$AJ$1113,28,FALSE))</f>
        <v/>
      </c>
      <c r="DR667" s="70" t="str">
        <f>IF(VLOOKUP($BS667,'État &amp; Plan d''action'!$B$6:$AJ$1113,29,FALSE)="","",VLOOKUP($BS667,'État &amp; Plan d''action'!$B$6:$AJ$1113,29,FALSE))</f>
        <v/>
      </c>
      <c r="DS667" s="70" t="str">
        <f>IF(VLOOKUP($BS667,'État &amp; Plan d''action'!$B$6:$AJ$1113,30,FALSE)="","",VLOOKUP($BS667,'État &amp; Plan d''action'!$B$6:$AJ$1113,30,FALSE))</f>
        <v/>
      </c>
      <c r="DT667" s="70" t="s">
        <v>1124</v>
      </c>
      <c r="DU667" s="485" t="s">
        <v>1124</v>
      </c>
      <c r="DV667" s="485" t="s">
        <v>1124</v>
      </c>
      <c r="DW667" s="70" t="s">
        <v>1124</v>
      </c>
      <c r="DX667" s="70" t="s">
        <v>1124</v>
      </c>
      <c r="DY667" s="70" t="s">
        <v>1124</v>
      </c>
      <c r="DZ667" s="70" t="str">
        <f>VLOOKUP($BS667,'État &amp; Plan d''action'!$B$6:$AH$1113,31,FALSE)</f>
        <v/>
      </c>
      <c r="EA667" s="70" t="str">
        <f>VLOOKUP($BS667,'État &amp; Plan d''action'!$B$6:$AH$1113,32,FALSE)</f>
        <v/>
      </c>
      <c r="EB667" s="70" t="str">
        <f>VLOOKUP($BS667,'État &amp; Plan d''action'!$B$6:$AH$1113,33,FALSE)</f>
        <v/>
      </c>
      <c r="EC667" s="70" t="s">
        <v>1124</v>
      </c>
      <c r="ED667" s="70" t="s">
        <v>1124</v>
      </c>
      <c r="EE667" s="70" t="s">
        <v>1124</v>
      </c>
      <c r="EF667" s="70" t="s">
        <v>1124</v>
      </c>
      <c r="EG667" s="70" t="s">
        <v>1124</v>
      </c>
      <c r="EH667" s="72"/>
      <c r="EI667" s="72">
        <v>521</v>
      </c>
    </row>
    <row r="668" spans="71:139" x14ac:dyDescent="0.35">
      <c r="BS668" s="486">
        <v>28015</v>
      </c>
      <c r="BT668" s="479" t="s">
        <v>189</v>
      </c>
      <c r="BU668" s="479">
        <v>12</v>
      </c>
      <c r="BV668" s="476" t="s">
        <v>1187</v>
      </c>
      <c r="BW668" s="476" t="s">
        <v>1187</v>
      </c>
      <c r="BX668" s="476" t="s">
        <v>1187</v>
      </c>
      <c r="BY668" s="476" t="s">
        <v>1187</v>
      </c>
      <c r="BZ668" s="476" t="s">
        <v>1187</v>
      </c>
      <c r="CA668" s="476" t="s">
        <v>1187</v>
      </c>
      <c r="CB668" s="476" t="s">
        <v>1187</v>
      </c>
      <c r="CC668" s="476" t="s">
        <v>1187</v>
      </c>
      <c r="CD668" s="476" t="s">
        <v>1187</v>
      </c>
      <c r="CE668" s="476" t="s">
        <v>1188</v>
      </c>
      <c r="CF668" s="476" t="s">
        <v>1188</v>
      </c>
      <c r="CG668" s="476" t="s">
        <v>1188</v>
      </c>
      <c r="CH668" s="476" t="s">
        <v>1188</v>
      </c>
      <c r="CI668" s="476" t="s">
        <v>1188</v>
      </c>
      <c r="CJ668" s="476" t="s">
        <v>1188</v>
      </c>
      <c r="CK668" s="476" t="s">
        <v>1188</v>
      </c>
      <c r="CL668" s="476" t="s">
        <v>1188</v>
      </c>
      <c r="CM668" s="476" t="str">
        <f>IF(VLOOKUP(BS668,'Données par municipalité'!$B$6:$E$1113,4,FALSE)="","non","oui")</f>
        <v>oui</v>
      </c>
      <c r="CN668" s="410">
        <v>430.26351042295931</v>
      </c>
      <c r="CO668" s="410">
        <v>530.22872195896548</v>
      </c>
      <c r="CP668" s="410">
        <v>438.98373937105174</v>
      </c>
      <c r="CQ668" s="410">
        <v>336.14512482767446</v>
      </c>
      <c r="CR668" s="410">
        <v>317.50287115744845</v>
      </c>
      <c r="CS668" s="410">
        <v>333.2774254198788</v>
      </c>
      <c r="CT668" s="410">
        <v>275.79769305266103</v>
      </c>
      <c r="CU668" s="410">
        <v>565</v>
      </c>
      <c r="CV668" s="410">
        <f>IF(VLOOKUP(BS668,'Données par municipalité'!$B$6:$F$1113,4,FALSE)="","",VLOOKUP(BS668,'Données par municipalité'!$B$6:$F$1113,4,FALSE))</f>
        <v>506</v>
      </c>
      <c r="CW668" s="476" t="s">
        <v>4723</v>
      </c>
      <c r="CX668" s="483">
        <v>0.95</v>
      </c>
      <c r="CY668" s="483">
        <v>0.95</v>
      </c>
      <c r="CZ668" s="483">
        <v>1</v>
      </c>
      <c r="DA668" s="483">
        <v>1</v>
      </c>
      <c r="DB668" s="483">
        <v>1</v>
      </c>
      <c r="DC668" s="483">
        <v>1</v>
      </c>
      <c r="DD668" s="483">
        <v>0</v>
      </c>
      <c r="DE668" s="483">
        <f>IFERROR(SUM(VLOOKUP($BS668,'État &amp; Plan d''action'!$B$6:$Z$1113,18,FALSE),VLOOKUP($BS668,'État &amp; Plan d''action'!$B$6:$Z$1113,20,FALSE))/(VLOOKUP($BS668,'Données par municipalité'!$B$4:$L$1113,11,FALSE)),"")</f>
        <v>1</v>
      </c>
      <c r="DF668" s="483">
        <f>IFERROR(SUM(VLOOKUP($BS668,'État &amp; Plan d''action'!$B$6:$Z$1113,19,FALSE),VLOOKUP($BS668,'État &amp; Plan d''action'!$B$6:$Z$1113,21,FALSE))/(VLOOKUP($BS668,'Données par municipalité'!$B$4:$L$1113,11,FALSE)),"")</f>
        <v>1</v>
      </c>
      <c r="DG668" s="476" t="s">
        <v>4723</v>
      </c>
      <c r="DH668" s="484">
        <v>6</v>
      </c>
      <c r="DI668" s="484">
        <v>5</v>
      </c>
      <c r="DJ668" s="484">
        <v>3</v>
      </c>
      <c r="DK668" s="484">
        <v>4</v>
      </c>
      <c r="DL668" s="484">
        <v>3</v>
      </c>
      <c r="DM668" s="484">
        <v>2</v>
      </c>
      <c r="DN668" s="484">
        <v>0</v>
      </c>
      <c r="DO668" s="484">
        <v>0</v>
      </c>
      <c r="DP668" s="484">
        <v>0</v>
      </c>
      <c r="DQ668" s="484">
        <f>IF(VLOOKUP($BS668,'État &amp; Plan d''action'!$B$6:$AJ$1113,28,FALSE)="","",VLOOKUP($BS668,'État &amp; Plan d''action'!$B$6:$AJ$1113,28,FALSE))</f>
        <v>0</v>
      </c>
      <c r="DR668" s="70">
        <f>IF(VLOOKUP($BS668,'État &amp; Plan d''action'!$B$6:$AJ$1113,29,FALSE)="","",VLOOKUP($BS668,'État &amp; Plan d''action'!$B$6:$AJ$1113,29,FALSE))</f>
        <v>0</v>
      </c>
      <c r="DS668" s="70">
        <f>IF(VLOOKUP($BS668,'État &amp; Plan d''action'!$B$6:$AJ$1113,30,FALSE)="","",VLOOKUP($BS668,'État &amp; Plan d''action'!$B$6:$AJ$1113,30,FALSE))</f>
        <v>0</v>
      </c>
      <c r="DT668" s="70">
        <v>231</v>
      </c>
      <c r="DU668" s="485">
        <v>2.7495411288565061</v>
      </c>
      <c r="DV668" s="485">
        <v>2.0598715394969691</v>
      </c>
      <c r="DW668" s="70">
        <v>0</v>
      </c>
      <c r="DX668" s="70">
        <v>0</v>
      </c>
      <c r="DY668" s="70">
        <v>0</v>
      </c>
      <c r="DZ668" s="70">
        <f>VLOOKUP($BS668,'État &amp; Plan d''action'!$B$6:$AH$1113,31,FALSE)</f>
        <v>0</v>
      </c>
      <c r="EA668" s="70">
        <f>VLOOKUP($BS668,'État &amp; Plan d''action'!$B$6:$AH$1113,32,FALSE)</f>
        <v>0</v>
      </c>
      <c r="EB668" s="70">
        <f>VLOOKUP($BS668,'État &amp; Plan d''action'!$B$6:$AH$1113,33,FALSE)</f>
        <v>0</v>
      </c>
      <c r="EC668" s="70">
        <v>0</v>
      </c>
      <c r="ED668" s="70">
        <v>0</v>
      </c>
      <c r="EE668" s="70">
        <v>0</v>
      </c>
      <c r="EF668" s="70">
        <v>0</v>
      </c>
      <c r="EG668" s="70">
        <v>0</v>
      </c>
      <c r="EH668" s="72">
        <v>69</v>
      </c>
      <c r="EI668" s="72">
        <v>836</v>
      </c>
    </row>
    <row r="669" spans="71:139" x14ac:dyDescent="0.35">
      <c r="BS669" s="486">
        <v>69065</v>
      </c>
      <c r="BT669" s="479" t="s">
        <v>694</v>
      </c>
      <c r="BU669" s="479">
        <v>16</v>
      </c>
      <c r="BV669" s="476" t="s">
        <v>1188</v>
      </c>
      <c r="BW669" s="476" t="s">
        <v>1188</v>
      </c>
      <c r="BX669" s="476" t="s">
        <v>1188</v>
      </c>
      <c r="BY669" s="476" t="s">
        <v>1188</v>
      </c>
      <c r="BZ669" s="476" t="s">
        <v>1187</v>
      </c>
      <c r="CA669" s="476" t="s">
        <v>1187</v>
      </c>
      <c r="CB669" s="476" t="s">
        <v>1187</v>
      </c>
      <c r="CC669" s="476" t="s">
        <v>1187</v>
      </c>
      <c r="CD669" s="476" t="s">
        <v>1187</v>
      </c>
      <c r="CE669" s="476" t="s">
        <v>1187</v>
      </c>
      <c r="CF669" s="476" t="s">
        <v>1187</v>
      </c>
      <c r="CG669" s="476" t="s">
        <v>1187</v>
      </c>
      <c r="CH669" s="476" t="s">
        <v>1187</v>
      </c>
      <c r="CI669" s="476" t="s">
        <v>1187</v>
      </c>
      <c r="CJ669" s="476" t="s">
        <v>1188</v>
      </c>
      <c r="CK669" s="476" t="s">
        <v>1188</v>
      </c>
      <c r="CL669" s="476" t="s">
        <v>1188</v>
      </c>
      <c r="CM669" s="476" t="str">
        <f>IF(VLOOKUP(BS669,'Données par municipalité'!$B$6:$E$1113,4,FALSE)="","non","oui")</f>
        <v>non</v>
      </c>
      <c r="CN669" s="410" t="s">
        <v>1124</v>
      </c>
      <c r="CO669" s="410" t="s">
        <v>1124</v>
      </c>
      <c r="CP669" s="410"/>
      <c r="CQ669" s="410"/>
      <c r="CR669" s="410"/>
      <c r="CS669" s="410">
        <v>260.90473839547582</v>
      </c>
      <c r="CT669" s="410">
        <v>265.28265258735297</v>
      </c>
      <c r="CU669" s="410">
        <v>279</v>
      </c>
      <c r="CV669" s="410" t="str">
        <f>IF(VLOOKUP(BS669,'Données par municipalité'!$B$6:$F$1113,4,FALSE)="","",VLOOKUP(BS669,'Données par municipalité'!$B$6:$F$1113,4,FALSE))</f>
        <v/>
      </c>
      <c r="CW669" s="476" t="s">
        <v>4723</v>
      </c>
      <c r="CX669" s="483" t="s">
        <v>1124</v>
      </c>
      <c r="CY669" s="483" t="s">
        <v>1124</v>
      </c>
      <c r="CZ669" s="483" t="s">
        <v>1124</v>
      </c>
      <c r="DA669" s="483" t="s">
        <v>1124</v>
      </c>
      <c r="DB669" s="483">
        <v>0</v>
      </c>
      <c r="DC669" s="483">
        <v>0</v>
      </c>
      <c r="DD669" s="483">
        <v>0</v>
      </c>
      <c r="DE669" s="483" t="str">
        <f>IFERROR(SUM(VLOOKUP($BS669,'État &amp; Plan d''action'!$B$6:$Z$1113,18,FALSE),VLOOKUP($BS669,'État &amp; Plan d''action'!$B$6:$Z$1113,20,FALSE))/(VLOOKUP($BS669,'Données par municipalité'!$B$4:$L$1113,11,FALSE)),"")</f>
        <v/>
      </c>
      <c r="DF669" s="483" t="str">
        <f>IFERROR(SUM(VLOOKUP($BS669,'État &amp; Plan d''action'!$B$6:$Z$1113,19,FALSE),VLOOKUP($BS669,'État &amp; Plan d''action'!$B$6:$Z$1113,21,FALSE))/(VLOOKUP($BS669,'Données par municipalité'!$B$4:$L$1113,11,FALSE)),"")</f>
        <v/>
      </c>
      <c r="DG669" s="476" t="s">
        <v>4723</v>
      </c>
      <c r="DH669" s="484" t="s">
        <v>1124</v>
      </c>
      <c r="DI669" s="484" t="s">
        <v>1124</v>
      </c>
      <c r="DJ669" s="484">
        <v>0</v>
      </c>
      <c r="DK669" s="484">
        <v>0</v>
      </c>
      <c r="DL669" s="484">
        <v>0</v>
      </c>
      <c r="DM669" s="484">
        <v>0</v>
      </c>
      <c r="DN669" s="484">
        <v>0</v>
      </c>
      <c r="DO669" s="484">
        <v>0</v>
      </c>
      <c r="DP669" s="484">
        <v>0</v>
      </c>
      <c r="DQ669" s="484" t="str">
        <f>IF(VLOOKUP($BS669,'État &amp; Plan d''action'!$B$6:$AJ$1113,28,FALSE)="","",VLOOKUP($BS669,'État &amp; Plan d''action'!$B$6:$AJ$1113,28,FALSE))</f>
        <v/>
      </c>
      <c r="DR669" s="70" t="str">
        <f>IF(VLOOKUP($BS669,'État &amp; Plan d''action'!$B$6:$AJ$1113,29,FALSE)="","",VLOOKUP($BS669,'État &amp; Plan d''action'!$B$6:$AJ$1113,29,FALSE))</f>
        <v/>
      </c>
      <c r="DS669" s="70" t="str">
        <f>IF(VLOOKUP($BS669,'État &amp; Plan d''action'!$B$6:$AJ$1113,30,FALSE)="","",VLOOKUP($BS669,'État &amp; Plan d''action'!$B$6:$AJ$1113,30,FALSE))</f>
        <v/>
      </c>
      <c r="DT669" s="70">
        <v>223</v>
      </c>
      <c r="DU669" s="485">
        <v>0.88637018434217563</v>
      </c>
      <c r="DV669" s="485" t="s">
        <v>1124</v>
      </c>
      <c r="DW669" s="70">
        <v>0</v>
      </c>
      <c r="DX669" s="70">
        <v>0</v>
      </c>
      <c r="DY669" s="70">
        <v>0</v>
      </c>
      <c r="DZ669" s="70" t="str">
        <f>VLOOKUP($BS669,'État &amp; Plan d''action'!$B$6:$AH$1113,31,FALSE)</f>
        <v/>
      </c>
      <c r="EA669" s="70" t="str">
        <f>VLOOKUP($BS669,'État &amp; Plan d''action'!$B$6:$AH$1113,32,FALSE)</f>
        <v/>
      </c>
      <c r="EB669" s="70" t="str">
        <f>VLOOKUP($BS669,'État &amp; Plan d''action'!$B$6:$AH$1113,33,FALSE)</f>
        <v/>
      </c>
      <c r="EC669" s="70">
        <v>22.8</v>
      </c>
      <c r="ED669" s="70">
        <v>0</v>
      </c>
      <c r="EE669" s="70">
        <v>0</v>
      </c>
      <c r="EF669" s="70">
        <v>0</v>
      </c>
      <c r="EG669" s="70">
        <v>0</v>
      </c>
      <c r="EH669" s="72">
        <v>59</v>
      </c>
      <c r="EI669" s="72">
        <v>1352</v>
      </c>
    </row>
    <row r="670" spans="71:139" x14ac:dyDescent="0.35">
      <c r="BS670" s="486">
        <v>62020</v>
      </c>
      <c r="BT670" s="479" t="s">
        <v>621</v>
      </c>
      <c r="BU670" s="479">
        <v>14</v>
      </c>
      <c r="BV670" s="476" t="s">
        <v>1187</v>
      </c>
      <c r="BW670" s="476" t="s">
        <v>1187</v>
      </c>
      <c r="BX670" s="476" t="s">
        <v>1187</v>
      </c>
      <c r="BY670" s="476" t="s">
        <v>1187</v>
      </c>
      <c r="BZ670" s="476" t="s">
        <v>1187</v>
      </c>
      <c r="CA670" s="476" t="s">
        <v>1187</v>
      </c>
      <c r="CB670" s="476" t="s">
        <v>1187</v>
      </c>
      <c r="CC670" s="476" t="s">
        <v>1187</v>
      </c>
      <c r="CD670" s="476" t="s">
        <v>1187</v>
      </c>
      <c r="CE670" s="476" t="s">
        <v>1188</v>
      </c>
      <c r="CF670" s="476" t="s">
        <v>1188</v>
      </c>
      <c r="CG670" s="476" t="s">
        <v>1188</v>
      </c>
      <c r="CH670" s="476" t="s">
        <v>1188</v>
      </c>
      <c r="CI670" s="476" t="s">
        <v>1188</v>
      </c>
      <c r="CJ670" s="476" t="s">
        <v>1188</v>
      </c>
      <c r="CK670" s="476" t="s">
        <v>1188</v>
      </c>
      <c r="CL670" s="476" t="s">
        <v>1188</v>
      </c>
      <c r="CM670" s="476" t="str">
        <f>IF(VLOOKUP(BS670,'Données par municipalité'!$B$6:$E$1113,4,FALSE)="","non","oui")</f>
        <v>oui</v>
      </c>
      <c r="CN670" s="410">
        <v>433.69024367820214</v>
      </c>
      <c r="CO670" s="410">
        <v>441.08078301626688</v>
      </c>
      <c r="CP670" s="410">
        <v>320.68422543188893</v>
      </c>
      <c r="CQ670" s="410">
        <v>326.4806940430513</v>
      </c>
      <c r="CR670" s="410">
        <v>337.32324602638772</v>
      </c>
      <c r="CS670" s="410">
        <v>326.77938274482671</v>
      </c>
      <c r="CT670" s="410">
        <v>280.07759917649855</v>
      </c>
      <c r="CU670" s="410">
        <v>462</v>
      </c>
      <c r="CV670" s="410">
        <f>IF(VLOOKUP(BS670,'Données par municipalité'!$B$6:$F$1113,4,FALSE)="","",VLOOKUP(BS670,'Données par municipalité'!$B$6:$F$1113,4,FALSE))</f>
        <v>451</v>
      </c>
      <c r="CW670" s="476" t="s">
        <v>4723</v>
      </c>
      <c r="CX670" s="483">
        <v>0.1</v>
      </c>
      <c r="CY670" s="483">
        <v>1</v>
      </c>
      <c r="CZ670" s="483">
        <v>1</v>
      </c>
      <c r="DA670" s="483">
        <v>1</v>
      </c>
      <c r="DB670" s="483">
        <v>1</v>
      </c>
      <c r="DC670" s="483">
        <v>1</v>
      </c>
      <c r="DD670" s="483">
        <v>0</v>
      </c>
      <c r="DE670" s="483">
        <f>IFERROR(SUM(VLOOKUP($BS670,'État &amp; Plan d''action'!$B$6:$Z$1113,18,FALSE),VLOOKUP($BS670,'État &amp; Plan d''action'!$B$6:$Z$1113,20,FALSE))/(VLOOKUP($BS670,'Données par municipalité'!$B$4:$L$1113,11,FALSE)),"")</f>
        <v>1</v>
      </c>
      <c r="DF670" s="483">
        <f>IFERROR(SUM(VLOOKUP($BS670,'État &amp; Plan d''action'!$B$6:$Z$1113,19,FALSE),VLOOKUP($BS670,'État &amp; Plan d''action'!$B$6:$Z$1113,21,FALSE))/(VLOOKUP($BS670,'Données par municipalité'!$B$4:$L$1113,11,FALSE)),"")</f>
        <v>1</v>
      </c>
      <c r="DG670" s="476" t="s">
        <v>4723</v>
      </c>
      <c r="DH670" s="484">
        <v>0</v>
      </c>
      <c r="DI670" s="484">
        <v>1</v>
      </c>
      <c r="DJ670" s="484">
        <v>1</v>
      </c>
      <c r="DK670" s="484">
        <v>1</v>
      </c>
      <c r="DL670" s="484">
        <v>2</v>
      </c>
      <c r="DM670" s="484">
        <v>2</v>
      </c>
      <c r="DN670" s="484">
        <v>0</v>
      </c>
      <c r="DO670" s="484">
        <v>0</v>
      </c>
      <c r="DP670" s="484">
        <v>4</v>
      </c>
      <c r="DQ670" s="484">
        <f>IF(VLOOKUP($BS670,'État &amp; Plan d''action'!$B$6:$AJ$1113,28,FALSE)="","",VLOOKUP($BS670,'État &amp; Plan d''action'!$B$6:$AJ$1113,28,FALSE))</f>
        <v>0</v>
      </c>
      <c r="DR670" s="70">
        <f>IF(VLOOKUP($BS670,'État &amp; Plan d''action'!$B$6:$AJ$1113,29,FALSE)="","",VLOOKUP($BS670,'État &amp; Plan d''action'!$B$6:$AJ$1113,29,FALSE))</f>
        <v>0</v>
      </c>
      <c r="DS670" s="70">
        <f>IF(VLOOKUP($BS670,'État &amp; Plan d''action'!$B$6:$AJ$1113,30,FALSE)="","",VLOOKUP($BS670,'État &amp; Plan d''action'!$B$6:$AJ$1113,30,FALSE))</f>
        <v>3</v>
      </c>
      <c r="DT670" s="70">
        <v>302</v>
      </c>
      <c r="DU670" s="485">
        <v>3.3481930447972279</v>
      </c>
      <c r="DV670" s="485">
        <v>8.7315949221348603</v>
      </c>
      <c r="DW670" s="70">
        <v>0</v>
      </c>
      <c r="DX670" s="70">
        <v>0</v>
      </c>
      <c r="DY670" s="70">
        <v>120</v>
      </c>
      <c r="DZ670" s="70">
        <f>VLOOKUP($BS670,'État &amp; Plan d''action'!$B$6:$AH$1113,31,FALSE)</f>
        <v>0</v>
      </c>
      <c r="EA670" s="70">
        <f>VLOOKUP($BS670,'État &amp; Plan d''action'!$B$6:$AH$1113,32,FALSE)</f>
        <v>0</v>
      </c>
      <c r="EB670" s="70">
        <f>VLOOKUP($BS670,'État &amp; Plan d''action'!$B$6:$AH$1113,33,FALSE)</f>
        <v>2</v>
      </c>
      <c r="EC670" s="70">
        <v>0</v>
      </c>
      <c r="ED670" s="70">
        <v>0</v>
      </c>
      <c r="EE670" s="70">
        <v>0</v>
      </c>
      <c r="EF670" s="70">
        <v>0</v>
      </c>
      <c r="EG670" s="70">
        <v>0</v>
      </c>
      <c r="EH670" s="72">
        <v>61</v>
      </c>
      <c r="EI670" s="72">
        <v>2059</v>
      </c>
    </row>
    <row r="671" spans="71:139" x14ac:dyDescent="0.35">
      <c r="BS671" s="486">
        <v>56105</v>
      </c>
      <c r="BT671" s="479" t="s">
        <v>580</v>
      </c>
      <c r="BU671" s="479">
        <v>16</v>
      </c>
      <c r="BV671" s="476" t="s">
        <v>1187</v>
      </c>
      <c r="BW671" s="476" t="s">
        <v>1187</v>
      </c>
      <c r="BX671" s="476" t="s">
        <v>1187</v>
      </c>
      <c r="BY671" s="476" t="s">
        <v>1187</v>
      </c>
      <c r="BZ671" s="476" t="s">
        <v>1187</v>
      </c>
      <c r="CA671" s="476" t="s">
        <v>1187</v>
      </c>
      <c r="CB671" s="476" t="s">
        <v>1187</v>
      </c>
      <c r="CC671" s="476" t="s">
        <v>1187</v>
      </c>
      <c r="CD671" s="476" t="s">
        <v>1187</v>
      </c>
      <c r="CE671" s="476" t="s">
        <v>1188</v>
      </c>
      <c r="CF671" s="476" t="s">
        <v>1188</v>
      </c>
      <c r="CG671" s="476" t="s">
        <v>1188</v>
      </c>
      <c r="CH671" s="476" t="s">
        <v>1188</v>
      </c>
      <c r="CI671" s="476" t="s">
        <v>1188</v>
      </c>
      <c r="CJ671" s="476" t="s">
        <v>1187</v>
      </c>
      <c r="CK671" s="476" t="s">
        <v>1187</v>
      </c>
      <c r="CL671" s="476" t="s">
        <v>1187</v>
      </c>
      <c r="CM671" s="476" t="str">
        <f>IF(VLOOKUP(BS671,'Données par municipalité'!$B$6:$E$1113,4,FALSE)="","non","oui")</f>
        <v>non</v>
      </c>
      <c r="CN671" s="410">
        <v>266.57643399006713</v>
      </c>
      <c r="CO671" s="410">
        <v>290.12736109542033</v>
      </c>
      <c r="CP671" s="410">
        <v>245.66564786609058</v>
      </c>
      <c r="CQ671" s="410">
        <v>240.72965180585746</v>
      </c>
      <c r="CR671" s="410">
        <v>243.98121267005808</v>
      </c>
      <c r="CS671" s="410" t="s">
        <v>1124</v>
      </c>
      <c r="CT671" s="410"/>
      <c r="CU671" s="410" t="s">
        <v>1124</v>
      </c>
      <c r="CV671" s="410" t="str">
        <f>IF(VLOOKUP(BS671,'Données par municipalité'!$B$6:$F$1113,4,FALSE)="","",VLOOKUP(BS671,'Données par municipalité'!$B$6:$F$1113,4,FALSE))</f>
        <v/>
      </c>
      <c r="CW671" s="476" t="s">
        <v>4723</v>
      </c>
      <c r="CX671" s="483">
        <v>1</v>
      </c>
      <c r="CY671" s="483">
        <v>1</v>
      </c>
      <c r="CZ671" s="483">
        <v>1</v>
      </c>
      <c r="DA671" s="483">
        <v>1</v>
      </c>
      <c r="DB671" s="483" t="s">
        <v>1124</v>
      </c>
      <c r="DC671" s="483" t="s">
        <v>1124</v>
      </c>
      <c r="DD671" s="483" t="s">
        <v>1124</v>
      </c>
      <c r="DE671" s="483" t="str">
        <f>IFERROR(SUM(VLOOKUP($BS671,'État &amp; Plan d''action'!$B$6:$Z$1113,18,FALSE),VLOOKUP($BS671,'État &amp; Plan d''action'!$B$6:$Z$1113,20,FALSE))/(VLOOKUP($BS671,'Données par municipalité'!$B$4:$L$1113,11,FALSE)),"")</f>
        <v/>
      </c>
      <c r="DF671" s="483" t="str">
        <f>IFERROR(SUM(VLOOKUP($BS671,'État &amp; Plan d''action'!$B$6:$Z$1113,19,FALSE),VLOOKUP($BS671,'État &amp; Plan d''action'!$B$6:$Z$1113,21,FALSE))/(VLOOKUP($BS671,'Données par municipalité'!$B$4:$L$1113,11,FALSE)),"")</f>
        <v/>
      </c>
      <c r="DG671" s="476" t="s">
        <v>4723</v>
      </c>
      <c r="DH671" s="484">
        <v>3</v>
      </c>
      <c r="DI671" s="484">
        <v>0</v>
      </c>
      <c r="DJ671" s="484">
        <v>0</v>
      </c>
      <c r="DK671" s="484">
        <v>0</v>
      </c>
      <c r="DL671" s="484" t="s">
        <v>1124</v>
      </c>
      <c r="DM671" s="484" t="s">
        <v>1124</v>
      </c>
      <c r="DN671" s="484" t="s">
        <v>1124</v>
      </c>
      <c r="DO671" s="484" t="s">
        <v>1124</v>
      </c>
      <c r="DP671" s="484" t="s">
        <v>1124</v>
      </c>
      <c r="DQ671" s="484" t="str">
        <f>IF(VLOOKUP($BS671,'État &amp; Plan d''action'!$B$6:$AJ$1113,28,FALSE)="","",VLOOKUP($BS671,'État &amp; Plan d''action'!$B$6:$AJ$1113,28,FALSE))</f>
        <v/>
      </c>
      <c r="DR671" s="70" t="str">
        <f>IF(VLOOKUP($BS671,'État &amp; Plan d''action'!$B$6:$AJ$1113,29,FALSE)="","",VLOOKUP($BS671,'État &amp; Plan d''action'!$B$6:$AJ$1113,29,FALSE))</f>
        <v/>
      </c>
      <c r="DS671" s="70" t="str">
        <f>IF(VLOOKUP($BS671,'État &amp; Plan d''action'!$B$6:$AJ$1113,30,FALSE)="","",VLOOKUP($BS671,'État &amp; Plan d''action'!$B$6:$AJ$1113,30,FALSE))</f>
        <v/>
      </c>
      <c r="DT671" s="70" t="s">
        <v>1124</v>
      </c>
      <c r="DU671" s="485" t="s">
        <v>1124</v>
      </c>
      <c r="DV671" s="485" t="s">
        <v>1124</v>
      </c>
      <c r="DW671" s="70" t="s">
        <v>1124</v>
      </c>
      <c r="DX671" s="70" t="s">
        <v>1124</v>
      </c>
      <c r="DY671" s="70" t="s">
        <v>1124</v>
      </c>
      <c r="DZ671" s="70" t="str">
        <f>VLOOKUP($BS671,'État &amp; Plan d''action'!$B$6:$AH$1113,31,FALSE)</f>
        <v/>
      </c>
      <c r="EA671" s="70" t="str">
        <f>VLOOKUP($BS671,'État &amp; Plan d''action'!$B$6:$AH$1113,32,FALSE)</f>
        <v/>
      </c>
      <c r="EB671" s="70" t="str">
        <f>VLOOKUP($BS671,'État &amp; Plan d''action'!$B$6:$AH$1113,33,FALSE)</f>
        <v/>
      </c>
      <c r="EC671" s="70" t="s">
        <v>1124</v>
      </c>
      <c r="ED671" s="70" t="s">
        <v>1124</v>
      </c>
      <c r="EE671" s="70" t="s">
        <v>1124</v>
      </c>
      <c r="EF671" s="70" t="s">
        <v>1124</v>
      </c>
      <c r="EG671" s="70" t="s">
        <v>1124</v>
      </c>
      <c r="EH671" s="72"/>
      <c r="EI671" s="72">
        <v>1436</v>
      </c>
    </row>
    <row r="672" spans="71:139" x14ac:dyDescent="0.35">
      <c r="BS672" s="486">
        <v>22045</v>
      </c>
      <c r="BT672" s="479" t="s">
        <v>161</v>
      </c>
      <c r="BU672" s="479">
        <v>3</v>
      </c>
      <c r="BV672" s="476" t="s">
        <v>1187</v>
      </c>
      <c r="BW672" s="476" t="s">
        <v>1187</v>
      </c>
      <c r="BX672" s="476" t="s">
        <v>1187</v>
      </c>
      <c r="BY672" s="476" t="s">
        <v>1187</v>
      </c>
      <c r="BZ672" s="476" t="s">
        <v>1187</v>
      </c>
      <c r="CA672" s="476" t="s">
        <v>1187</v>
      </c>
      <c r="CB672" s="476" t="s">
        <v>1187</v>
      </c>
      <c r="CC672" s="476" t="s">
        <v>1187</v>
      </c>
      <c r="CD672" s="476" t="s">
        <v>1187</v>
      </c>
      <c r="CE672" s="476" t="s">
        <v>1188</v>
      </c>
      <c r="CF672" s="476" t="s">
        <v>1188</v>
      </c>
      <c r="CG672" s="476" t="s">
        <v>1187</v>
      </c>
      <c r="CH672" s="476" t="s">
        <v>1188</v>
      </c>
      <c r="CI672" s="476" t="s">
        <v>1188</v>
      </c>
      <c r="CJ672" s="476" t="s">
        <v>1188</v>
      </c>
      <c r="CK672" s="476" t="s">
        <v>1188</v>
      </c>
      <c r="CL672" s="476" t="s">
        <v>1188</v>
      </c>
      <c r="CM672" s="476" t="str">
        <f>IF(VLOOKUP(BS672,'Données par municipalité'!$B$6:$E$1113,4,FALSE)="","non","oui")</f>
        <v>oui</v>
      </c>
      <c r="CN672" s="410">
        <v>293.31498393427518</v>
      </c>
      <c r="CO672" s="410">
        <v>285.35729381730829</v>
      </c>
      <c r="CP672" s="410"/>
      <c r="CQ672" s="410">
        <v>286.17692420091487</v>
      </c>
      <c r="CR672" s="410">
        <v>303.87947411139794</v>
      </c>
      <c r="CS672" s="410">
        <v>393.42364145412864</v>
      </c>
      <c r="CT672" s="410">
        <v>308.63508280875027</v>
      </c>
      <c r="CU672" s="410">
        <v>271</v>
      </c>
      <c r="CV672" s="410">
        <f>IF(VLOOKUP(BS672,'Données par municipalité'!$B$6:$F$1113,4,FALSE)="","",VLOOKUP(BS672,'Données par municipalité'!$B$6:$F$1113,4,FALSE))</f>
        <v>320</v>
      </c>
      <c r="CW672" s="476" t="s">
        <v>4723</v>
      </c>
      <c r="CX672" s="483">
        <v>0</v>
      </c>
      <c r="CY672" s="483" t="s">
        <v>1124</v>
      </c>
      <c r="CZ672" s="483">
        <v>0</v>
      </c>
      <c r="DA672" s="483">
        <v>1</v>
      </c>
      <c r="DB672" s="483">
        <v>1</v>
      </c>
      <c r="DC672" s="483">
        <v>0.6</v>
      </c>
      <c r="DD672" s="483">
        <v>0.39923119165293791</v>
      </c>
      <c r="DE672" s="483">
        <f>IFERROR(SUM(VLOOKUP($BS672,'État &amp; Plan d''action'!$B$6:$Z$1113,18,FALSE),VLOOKUP($BS672,'État &amp; Plan d''action'!$B$6:$Z$1113,20,FALSE))/(VLOOKUP($BS672,'Données par municipalité'!$B$4:$L$1113,11,FALSE)),"")</f>
        <v>1</v>
      </c>
      <c r="DF672" s="483">
        <f>IFERROR(SUM(VLOOKUP($BS672,'État &amp; Plan d''action'!$B$6:$Z$1113,19,FALSE),VLOOKUP($BS672,'État &amp; Plan d''action'!$B$6:$Z$1113,21,FALSE))/(VLOOKUP($BS672,'Données par municipalité'!$B$4:$L$1113,11,FALSE)),"")</f>
        <v>1</v>
      </c>
      <c r="DG672" s="476" t="s">
        <v>4723</v>
      </c>
      <c r="DH672" s="484">
        <v>0</v>
      </c>
      <c r="DI672" s="484" t="s">
        <v>1124</v>
      </c>
      <c r="DJ672" s="484">
        <v>6</v>
      </c>
      <c r="DK672" s="484">
        <v>6</v>
      </c>
      <c r="DL672" s="484">
        <v>8</v>
      </c>
      <c r="DM672" s="484">
        <v>9</v>
      </c>
      <c r="DN672" s="484">
        <v>3</v>
      </c>
      <c r="DO672" s="484">
        <v>2</v>
      </c>
      <c r="DP672" s="484">
        <v>0</v>
      </c>
      <c r="DQ672" s="484">
        <f>IF(VLOOKUP($BS672,'État &amp; Plan d''action'!$B$6:$AJ$1113,28,FALSE)="","",VLOOKUP($BS672,'État &amp; Plan d''action'!$B$6:$AJ$1113,28,FALSE))</f>
        <v>3</v>
      </c>
      <c r="DR672" s="70">
        <f>IF(VLOOKUP($BS672,'État &amp; Plan d''action'!$B$6:$AJ$1113,29,FALSE)="","",VLOOKUP($BS672,'État &amp; Plan d''action'!$B$6:$AJ$1113,29,FALSE))</f>
        <v>3</v>
      </c>
      <c r="DS672" s="70">
        <f>IF(VLOOKUP($BS672,'État &amp; Plan d''action'!$B$6:$AJ$1113,30,FALSE)="","",VLOOKUP($BS672,'État &amp; Plan d''action'!$B$6:$AJ$1113,30,FALSE))</f>
        <v>0</v>
      </c>
      <c r="DT672" s="70">
        <v>210</v>
      </c>
      <c r="DU672" s="485">
        <v>1.5904096601058644</v>
      </c>
      <c r="DV672" s="485">
        <v>2.5267268418822986</v>
      </c>
      <c r="DW672" s="70">
        <v>1</v>
      </c>
      <c r="DX672" s="70">
        <v>7</v>
      </c>
      <c r="DY672" s="70">
        <v>0</v>
      </c>
      <c r="DZ672" s="70">
        <f>VLOOKUP($BS672,'État &amp; Plan d''action'!$B$6:$AH$1113,31,FALSE)</f>
        <v>1</v>
      </c>
      <c r="EA672" s="70">
        <f>VLOOKUP($BS672,'État &amp; Plan d''action'!$B$6:$AH$1113,32,FALSE)</f>
        <v>3</v>
      </c>
      <c r="EB672" s="70">
        <f>VLOOKUP($BS672,'État &amp; Plan d''action'!$B$6:$AH$1113,33,FALSE)</f>
        <v>0</v>
      </c>
      <c r="EC672" s="70">
        <v>0</v>
      </c>
      <c r="ED672" s="70">
        <v>15.266999999999999</v>
      </c>
      <c r="EE672" s="70">
        <v>0</v>
      </c>
      <c r="EF672" s="70">
        <v>0</v>
      </c>
      <c r="EG672" s="70">
        <v>0</v>
      </c>
      <c r="EH672" s="72">
        <v>60</v>
      </c>
      <c r="EI672" s="72">
        <v>7909</v>
      </c>
    </row>
    <row r="673" spans="71:139" x14ac:dyDescent="0.35">
      <c r="BS673" s="486">
        <v>49085</v>
      </c>
      <c r="BT673" s="479" t="s">
        <v>475</v>
      </c>
      <c r="BU673" s="479">
        <v>17</v>
      </c>
      <c r="BV673" s="476" t="s">
        <v>1187</v>
      </c>
      <c r="BW673" s="476" t="s">
        <v>1187</v>
      </c>
      <c r="BX673" s="476" t="s">
        <v>1187</v>
      </c>
      <c r="BY673" s="476" t="s">
        <v>1187</v>
      </c>
      <c r="BZ673" s="476" t="s">
        <v>1187</v>
      </c>
      <c r="CA673" s="476" t="s">
        <v>1187</v>
      </c>
      <c r="CB673" s="476" t="s">
        <v>1187</v>
      </c>
      <c r="CC673" s="476" t="s">
        <v>1187</v>
      </c>
      <c r="CD673" s="476" t="s">
        <v>1187</v>
      </c>
      <c r="CE673" s="476" t="s">
        <v>1188</v>
      </c>
      <c r="CF673" s="476" t="s">
        <v>1188</v>
      </c>
      <c r="CG673" s="476" t="s">
        <v>1187</v>
      </c>
      <c r="CH673" s="476" t="s">
        <v>1187</v>
      </c>
      <c r="CI673" s="476" t="s">
        <v>1187</v>
      </c>
      <c r="CJ673" s="476" t="s">
        <v>1187</v>
      </c>
      <c r="CK673" s="476" t="s">
        <v>1187</v>
      </c>
      <c r="CL673" s="476" t="s">
        <v>1187</v>
      </c>
      <c r="CM673" s="476" t="str">
        <f>IF(VLOOKUP(BS673,'Données par municipalité'!$B$6:$E$1113,4,FALSE)="","non","oui")</f>
        <v>oui</v>
      </c>
      <c r="CN673" s="410">
        <v>263.9012970683608</v>
      </c>
      <c r="CO673" s="410">
        <v>259.07858249734937</v>
      </c>
      <c r="CP673" s="410"/>
      <c r="CQ673" s="410"/>
      <c r="CR673" s="410"/>
      <c r="CS673" s="410" t="s">
        <v>1124</v>
      </c>
      <c r="CT673" s="410"/>
      <c r="CU673" s="410" t="s">
        <v>1124</v>
      </c>
      <c r="CV673" s="410">
        <f>IF(VLOOKUP(BS673,'Données par municipalité'!$B$6:$F$1113,4,FALSE)="","",VLOOKUP(BS673,'Données par municipalité'!$B$6:$F$1113,4,FALSE))</f>
        <v>282</v>
      </c>
      <c r="CW673" s="476" t="s">
        <v>4723</v>
      </c>
      <c r="CX673" s="483">
        <v>0</v>
      </c>
      <c r="CY673" s="483" t="s">
        <v>1124</v>
      </c>
      <c r="CZ673" s="483" t="s">
        <v>1124</v>
      </c>
      <c r="DA673" s="483" t="s">
        <v>1124</v>
      </c>
      <c r="DB673" s="483" t="s">
        <v>1124</v>
      </c>
      <c r="DC673" s="483" t="s">
        <v>1124</v>
      </c>
      <c r="DD673" s="483" t="s">
        <v>1124</v>
      </c>
      <c r="DE673" s="483">
        <f>IFERROR(SUM(VLOOKUP($BS673,'État &amp; Plan d''action'!$B$6:$Z$1113,18,FALSE),VLOOKUP($BS673,'État &amp; Plan d''action'!$B$6:$Z$1113,20,FALSE))/(VLOOKUP($BS673,'Données par municipalité'!$B$4:$L$1113,11,FALSE)),"")</f>
        <v>0</v>
      </c>
      <c r="DF673" s="483">
        <f>IFERROR(SUM(VLOOKUP($BS673,'État &amp; Plan d''action'!$B$6:$Z$1113,19,FALSE),VLOOKUP($BS673,'État &amp; Plan d''action'!$B$6:$Z$1113,21,FALSE))/(VLOOKUP($BS673,'Données par municipalité'!$B$4:$L$1113,11,FALSE)),"")</f>
        <v>0</v>
      </c>
      <c r="DG673" s="476" t="s">
        <v>4723</v>
      </c>
      <c r="DH673" s="484">
        <v>1</v>
      </c>
      <c r="DI673" s="484" t="s">
        <v>1124</v>
      </c>
      <c r="DJ673" s="484">
        <v>0</v>
      </c>
      <c r="DK673" s="484">
        <v>0</v>
      </c>
      <c r="DL673" s="484" t="s">
        <v>1124</v>
      </c>
      <c r="DM673" s="484" t="s">
        <v>1124</v>
      </c>
      <c r="DN673" s="484" t="s">
        <v>1124</v>
      </c>
      <c r="DO673" s="484" t="s">
        <v>1124</v>
      </c>
      <c r="DP673" s="484" t="s">
        <v>1124</v>
      </c>
      <c r="DQ673" s="484">
        <f>IF(VLOOKUP($BS673,'État &amp; Plan d''action'!$B$6:$AJ$1113,28,FALSE)="","",VLOOKUP($BS673,'État &amp; Plan d''action'!$B$6:$AJ$1113,28,FALSE))</f>
        <v>0</v>
      </c>
      <c r="DR673" s="70">
        <f>IF(VLOOKUP($BS673,'État &amp; Plan d''action'!$B$6:$AJ$1113,29,FALSE)="","",VLOOKUP($BS673,'État &amp; Plan d''action'!$B$6:$AJ$1113,29,FALSE))</f>
        <v>0</v>
      </c>
      <c r="DS673" s="70">
        <f>IF(VLOOKUP($BS673,'État &amp; Plan d''action'!$B$6:$AJ$1113,30,FALSE)="","",VLOOKUP($BS673,'État &amp; Plan d''action'!$B$6:$AJ$1113,30,FALSE))</f>
        <v>0</v>
      </c>
      <c r="DT673" s="70" t="s">
        <v>1124</v>
      </c>
      <c r="DU673" s="485" t="s">
        <v>1124</v>
      </c>
      <c r="DV673" s="485">
        <v>0.42024902565296102</v>
      </c>
      <c r="DW673" s="70" t="s">
        <v>1124</v>
      </c>
      <c r="DX673" s="70" t="s">
        <v>1124</v>
      </c>
      <c r="DY673" s="70" t="s">
        <v>1124</v>
      </c>
      <c r="DZ673" s="70">
        <f>VLOOKUP($BS673,'État &amp; Plan d''action'!$B$6:$AH$1113,31,FALSE)</f>
        <v>0</v>
      </c>
      <c r="EA673" s="70">
        <f>VLOOKUP($BS673,'État &amp; Plan d''action'!$B$6:$AH$1113,32,FALSE)</f>
        <v>0</v>
      </c>
      <c r="EB673" s="70">
        <f>VLOOKUP($BS673,'État &amp; Plan d''action'!$B$6:$AH$1113,33,FALSE)</f>
        <v>0</v>
      </c>
      <c r="EC673" s="70" t="s">
        <v>1124</v>
      </c>
      <c r="ED673" s="70" t="s">
        <v>1124</v>
      </c>
      <c r="EE673" s="70" t="s">
        <v>1124</v>
      </c>
      <c r="EF673" s="70" t="s">
        <v>1124</v>
      </c>
      <c r="EG673" s="70" t="s">
        <v>1124</v>
      </c>
      <c r="EH673" s="72"/>
      <c r="EI673" s="72">
        <v>749</v>
      </c>
    </row>
    <row r="674" spans="71:139" x14ac:dyDescent="0.35">
      <c r="BS674" s="486">
        <v>67030</v>
      </c>
      <c r="BT674" s="479" t="s">
        <v>667</v>
      </c>
      <c r="BU674" s="479">
        <v>16</v>
      </c>
      <c r="BV674" s="476" t="s">
        <v>1187</v>
      </c>
      <c r="BW674" s="476" t="s">
        <v>1187</v>
      </c>
      <c r="BX674" s="476" t="s">
        <v>1187</v>
      </c>
      <c r="BY674" s="476" t="s">
        <v>1187</v>
      </c>
      <c r="BZ674" s="476" t="s">
        <v>1187</v>
      </c>
      <c r="CA674" s="476" t="s">
        <v>1187</v>
      </c>
      <c r="CB674" s="476" t="s">
        <v>1187</v>
      </c>
      <c r="CC674" s="476" t="s">
        <v>1187</v>
      </c>
      <c r="CD674" s="476" t="s">
        <v>1187</v>
      </c>
      <c r="CE674" s="476" t="s">
        <v>1188</v>
      </c>
      <c r="CF674" s="476" t="s">
        <v>1187</v>
      </c>
      <c r="CG674" s="476" t="s">
        <v>1187</v>
      </c>
      <c r="CH674" s="476" t="s">
        <v>1188</v>
      </c>
      <c r="CI674" s="476" t="s">
        <v>1188</v>
      </c>
      <c r="CJ674" s="476" t="s">
        <v>1188</v>
      </c>
      <c r="CK674" s="476" t="s">
        <v>1188</v>
      </c>
      <c r="CL674" s="476" t="s">
        <v>1187</v>
      </c>
      <c r="CM674" s="476" t="str">
        <f>IF(VLOOKUP(BS674,'Données par municipalité'!$B$6:$E$1113,4,FALSE)="","non","oui")</f>
        <v>non</v>
      </c>
      <c r="CN674" s="410">
        <v>445.32912270365154</v>
      </c>
      <c r="CO674" s="410" t="s">
        <v>1124</v>
      </c>
      <c r="CP674" s="410"/>
      <c r="CQ674" s="410">
        <v>378.68768015871848</v>
      </c>
      <c r="CR674" s="410">
        <v>381.46240829708978</v>
      </c>
      <c r="CS674" s="410">
        <v>521.83153996629562</v>
      </c>
      <c r="CT674" s="410">
        <v>570.53159278902206</v>
      </c>
      <c r="CU674" s="410" t="s">
        <v>1124</v>
      </c>
      <c r="CV674" s="410" t="str">
        <f>IF(VLOOKUP(BS674,'Données par municipalité'!$B$6:$F$1113,4,FALSE)="","",VLOOKUP(BS674,'Données par municipalité'!$B$6:$F$1113,4,FALSE))</f>
        <v/>
      </c>
      <c r="CW674" s="476" t="s">
        <v>4723</v>
      </c>
      <c r="CX674" s="483" t="s">
        <v>1124</v>
      </c>
      <c r="CY674" s="483" t="s">
        <v>1124</v>
      </c>
      <c r="CZ674" s="483">
        <v>1</v>
      </c>
      <c r="DA674" s="483">
        <v>1</v>
      </c>
      <c r="DB674" s="483">
        <v>1</v>
      </c>
      <c r="DC674" s="483">
        <v>1</v>
      </c>
      <c r="DD674" s="483" t="s">
        <v>1124</v>
      </c>
      <c r="DE674" s="483" t="str">
        <f>IFERROR(SUM(VLOOKUP($BS674,'État &amp; Plan d''action'!$B$6:$Z$1113,18,FALSE),VLOOKUP($BS674,'État &amp; Plan d''action'!$B$6:$Z$1113,20,FALSE))/(VLOOKUP($BS674,'Données par municipalité'!$B$4:$L$1113,11,FALSE)),"")</f>
        <v/>
      </c>
      <c r="DF674" s="483" t="str">
        <f>IFERROR(SUM(VLOOKUP($BS674,'État &amp; Plan d''action'!$B$6:$Z$1113,19,FALSE),VLOOKUP($BS674,'État &amp; Plan d''action'!$B$6:$Z$1113,21,FALSE))/(VLOOKUP($BS674,'Données par municipalité'!$B$4:$L$1113,11,FALSE)),"")</f>
        <v/>
      </c>
      <c r="DG674" s="476" t="s">
        <v>4723</v>
      </c>
      <c r="DH674" s="484">
        <v>3</v>
      </c>
      <c r="DI674" s="484" t="s">
        <v>1124</v>
      </c>
      <c r="DJ674" s="484">
        <v>16</v>
      </c>
      <c r="DK674" s="484">
        <v>12</v>
      </c>
      <c r="DL674" s="484">
        <v>4</v>
      </c>
      <c r="DM674" s="484">
        <v>3</v>
      </c>
      <c r="DN674" s="484" t="s">
        <v>1124</v>
      </c>
      <c r="DO674" s="484" t="s">
        <v>1124</v>
      </c>
      <c r="DP674" s="484" t="s">
        <v>1124</v>
      </c>
      <c r="DQ674" s="484" t="str">
        <f>IF(VLOOKUP($BS674,'État &amp; Plan d''action'!$B$6:$AJ$1113,28,FALSE)="","",VLOOKUP($BS674,'État &amp; Plan d''action'!$B$6:$AJ$1113,28,FALSE))</f>
        <v/>
      </c>
      <c r="DR674" s="70" t="str">
        <f>IF(VLOOKUP($BS674,'État &amp; Plan d''action'!$B$6:$AJ$1113,29,FALSE)="","",VLOOKUP($BS674,'État &amp; Plan d''action'!$B$6:$AJ$1113,29,FALSE))</f>
        <v/>
      </c>
      <c r="DS674" s="70" t="str">
        <f>IF(VLOOKUP($BS674,'État &amp; Plan d''action'!$B$6:$AJ$1113,30,FALSE)="","",VLOOKUP($BS674,'État &amp; Plan d''action'!$B$6:$AJ$1113,30,FALSE))</f>
        <v/>
      </c>
      <c r="DT674" s="70" t="s">
        <v>1124</v>
      </c>
      <c r="DU674" s="485" t="s">
        <v>1124</v>
      </c>
      <c r="DV674" s="485" t="s">
        <v>1124</v>
      </c>
      <c r="DW674" s="70" t="s">
        <v>1124</v>
      </c>
      <c r="DX674" s="70" t="s">
        <v>1124</v>
      </c>
      <c r="DY674" s="70" t="s">
        <v>1124</v>
      </c>
      <c r="DZ674" s="70" t="str">
        <f>VLOOKUP($BS674,'État &amp; Plan d''action'!$B$6:$AH$1113,31,FALSE)</f>
        <v/>
      </c>
      <c r="EA674" s="70" t="str">
        <f>VLOOKUP($BS674,'État &amp; Plan d''action'!$B$6:$AH$1113,32,FALSE)</f>
        <v/>
      </c>
      <c r="EB674" s="70" t="str">
        <f>VLOOKUP($BS674,'État &amp; Plan d''action'!$B$6:$AH$1113,33,FALSE)</f>
        <v/>
      </c>
      <c r="EC674" s="70" t="s">
        <v>1124</v>
      </c>
      <c r="ED674" s="70" t="s">
        <v>1124</v>
      </c>
      <c r="EE674" s="70" t="s">
        <v>1124</v>
      </c>
      <c r="EF674" s="70" t="s">
        <v>1124</v>
      </c>
      <c r="EG674" s="70" t="s">
        <v>1124</v>
      </c>
      <c r="EH674" s="72"/>
      <c r="EI674" s="72">
        <v>17279</v>
      </c>
    </row>
    <row r="675" spans="71:139" x14ac:dyDescent="0.35">
      <c r="BS675" s="486">
        <v>45060</v>
      </c>
      <c r="BT675" s="479" t="s">
        <v>418</v>
      </c>
      <c r="BU675" s="479">
        <v>5</v>
      </c>
      <c r="BV675" s="476" t="s">
        <v>1188</v>
      </c>
      <c r="BW675" s="476" t="s">
        <v>1188</v>
      </c>
      <c r="BX675" s="476" t="s">
        <v>1188</v>
      </c>
      <c r="BY675" s="476" t="s">
        <v>1188</v>
      </c>
      <c r="BZ675" s="476" t="s">
        <v>1188</v>
      </c>
      <c r="CA675" s="476" t="s">
        <v>1188</v>
      </c>
      <c r="CB675" s="476" t="s">
        <v>1188</v>
      </c>
      <c r="CC675" s="476" t="s">
        <v>1188</v>
      </c>
      <c r="CD675" s="476" t="s">
        <v>1188</v>
      </c>
      <c r="CE675" s="476" t="s">
        <v>1187</v>
      </c>
      <c r="CF675" s="476" t="s">
        <v>1187</v>
      </c>
      <c r="CG675" s="476" t="s">
        <v>1187</v>
      </c>
      <c r="CH675" s="476" t="s">
        <v>1187</v>
      </c>
      <c r="CI675" s="476" t="s">
        <v>1187</v>
      </c>
      <c r="CJ675" s="476" t="s">
        <v>1187</v>
      </c>
      <c r="CK675" s="476" t="s">
        <v>1187</v>
      </c>
      <c r="CL675" s="476" t="s">
        <v>1187</v>
      </c>
      <c r="CM675" s="476" t="str">
        <f>IF(VLOOKUP(BS675,'Données par municipalité'!$B$6:$E$1113,4,FALSE)="","non","oui")</f>
        <v>non</v>
      </c>
      <c r="CN675" s="410" t="s">
        <v>1124</v>
      </c>
      <c r="CO675" s="410" t="s">
        <v>1124</v>
      </c>
      <c r="CP675" s="410"/>
      <c r="CQ675" s="410"/>
      <c r="CR675" s="410"/>
      <c r="CS675" s="410" t="s">
        <v>1124</v>
      </c>
      <c r="CT675" s="410"/>
      <c r="CU675" s="410" t="s">
        <v>1124</v>
      </c>
      <c r="CV675" s="410" t="str">
        <f>IF(VLOOKUP(BS675,'Données par municipalité'!$B$6:$F$1113,4,FALSE)="","",VLOOKUP(BS675,'Données par municipalité'!$B$6:$F$1113,4,FALSE))</f>
        <v/>
      </c>
      <c r="CW675" s="476" t="s">
        <v>4723</v>
      </c>
      <c r="CX675" s="483" t="s">
        <v>1124</v>
      </c>
      <c r="CY675" s="483" t="s">
        <v>1124</v>
      </c>
      <c r="CZ675" s="483" t="s">
        <v>1124</v>
      </c>
      <c r="DA675" s="483" t="s">
        <v>1124</v>
      </c>
      <c r="DB675" s="483" t="s">
        <v>1124</v>
      </c>
      <c r="DC675" s="483" t="s">
        <v>1124</v>
      </c>
      <c r="DD675" s="483" t="s">
        <v>1124</v>
      </c>
      <c r="DE675" s="483" t="str">
        <f>IFERROR(SUM(VLOOKUP($BS675,'État &amp; Plan d''action'!$B$6:$Z$1113,18,FALSE),VLOOKUP($BS675,'État &amp; Plan d''action'!$B$6:$Z$1113,20,FALSE))/(VLOOKUP($BS675,'Données par municipalité'!$B$4:$L$1113,11,FALSE)),"")</f>
        <v/>
      </c>
      <c r="DF675" s="483" t="str">
        <f>IFERROR(SUM(VLOOKUP($BS675,'État &amp; Plan d''action'!$B$6:$Z$1113,19,FALSE),VLOOKUP($BS675,'État &amp; Plan d''action'!$B$6:$Z$1113,21,FALSE))/(VLOOKUP($BS675,'Données par municipalité'!$B$4:$L$1113,11,FALSE)),"")</f>
        <v/>
      </c>
      <c r="DG675" s="476" t="s">
        <v>4723</v>
      </c>
      <c r="DH675" s="484" t="s">
        <v>1124</v>
      </c>
      <c r="DI675" s="484" t="s">
        <v>1124</v>
      </c>
      <c r="DJ675" s="484">
        <v>0</v>
      </c>
      <c r="DK675" s="484">
        <v>0</v>
      </c>
      <c r="DL675" s="484" t="s">
        <v>1124</v>
      </c>
      <c r="DM675" s="484" t="s">
        <v>1124</v>
      </c>
      <c r="DN675" s="484" t="s">
        <v>1124</v>
      </c>
      <c r="DO675" s="484" t="s">
        <v>1124</v>
      </c>
      <c r="DP675" s="484" t="s">
        <v>1124</v>
      </c>
      <c r="DQ675" s="484" t="str">
        <f>IF(VLOOKUP($BS675,'État &amp; Plan d''action'!$B$6:$AJ$1113,28,FALSE)="","",VLOOKUP($BS675,'État &amp; Plan d''action'!$B$6:$AJ$1113,28,FALSE))</f>
        <v/>
      </c>
      <c r="DR675" s="70" t="str">
        <f>IF(VLOOKUP($BS675,'État &amp; Plan d''action'!$B$6:$AJ$1113,29,FALSE)="","",VLOOKUP($BS675,'État &amp; Plan d''action'!$B$6:$AJ$1113,29,FALSE))</f>
        <v/>
      </c>
      <c r="DS675" s="70" t="str">
        <f>IF(VLOOKUP($BS675,'État &amp; Plan d''action'!$B$6:$AJ$1113,30,FALSE)="","",VLOOKUP($BS675,'État &amp; Plan d''action'!$B$6:$AJ$1113,30,FALSE))</f>
        <v/>
      </c>
      <c r="DT675" s="70" t="s">
        <v>1124</v>
      </c>
      <c r="DU675" s="485" t="s">
        <v>1124</v>
      </c>
      <c r="DV675" s="485" t="s">
        <v>1124</v>
      </c>
      <c r="DW675" s="70" t="s">
        <v>1124</v>
      </c>
      <c r="DX675" s="70" t="s">
        <v>1124</v>
      </c>
      <c r="DY675" s="70" t="s">
        <v>1124</v>
      </c>
      <c r="DZ675" s="70" t="str">
        <f>VLOOKUP($BS675,'État &amp; Plan d''action'!$B$6:$AH$1113,31,FALSE)</f>
        <v/>
      </c>
      <c r="EA675" s="70" t="str">
        <f>VLOOKUP($BS675,'État &amp; Plan d''action'!$B$6:$AH$1113,32,FALSE)</f>
        <v/>
      </c>
      <c r="EB675" s="70" t="str">
        <f>VLOOKUP($BS675,'État &amp; Plan d''action'!$B$6:$AH$1113,33,FALSE)</f>
        <v/>
      </c>
      <c r="EC675" s="70" t="s">
        <v>1124</v>
      </c>
      <c r="ED675" s="70" t="s">
        <v>1124</v>
      </c>
      <c r="EE675" s="70" t="s">
        <v>1124</v>
      </c>
      <c r="EF675" s="70" t="s">
        <v>1124</v>
      </c>
      <c r="EG675" s="70" t="s">
        <v>1124</v>
      </c>
      <c r="EH675" s="72"/>
      <c r="EI675" s="72">
        <v>2565</v>
      </c>
    </row>
    <row r="676" spans="71:139" x14ac:dyDescent="0.35">
      <c r="BS676" s="486">
        <v>22005</v>
      </c>
      <c r="BT676" s="479" t="s">
        <v>153</v>
      </c>
      <c r="BU676" s="479">
        <v>3</v>
      </c>
      <c r="BV676" s="476" t="s">
        <v>1187</v>
      </c>
      <c r="BW676" s="476" t="s">
        <v>1187</v>
      </c>
      <c r="BX676" s="476" t="s">
        <v>1187</v>
      </c>
      <c r="BY676" s="476" t="s">
        <v>1187</v>
      </c>
      <c r="BZ676" s="476" t="s">
        <v>1187</v>
      </c>
      <c r="CA676" s="476" t="s">
        <v>1187</v>
      </c>
      <c r="CB676" s="476" t="s">
        <v>1187</v>
      </c>
      <c r="CC676" s="476" t="s">
        <v>1187</v>
      </c>
      <c r="CD676" s="476" t="s">
        <v>1187</v>
      </c>
      <c r="CE676" s="476" t="s">
        <v>1188</v>
      </c>
      <c r="CF676" s="476" t="s">
        <v>1188</v>
      </c>
      <c r="CG676" s="476" t="s">
        <v>1188</v>
      </c>
      <c r="CH676" s="476" t="s">
        <v>1188</v>
      </c>
      <c r="CI676" s="476" t="s">
        <v>1188</v>
      </c>
      <c r="CJ676" s="476" t="s">
        <v>1188</v>
      </c>
      <c r="CK676" s="476" t="s">
        <v>1188</v>
      </c>
      <c r="CL676" s="476" t="s">
        <v>1188</v>
      </c>
      <c r="CM676" s="476" t="str">
        <f>IF(VLOOKUP(BS676,'Données par municipalité'!$B$6:$E$1113,4,FALSE)="","non","oui")</f>
        <v>oui</v>
      </c>
      <c r="CN676" s="410">
        <v>314.5706171230957</v>
      </c>
      <c r="CO676" s="410">
        <v>280.24005116114995</v>
      </c>
      <c r="CP676" s="410">
        <v>264.71002020334271</v>
      </c>
      <c r="CQ676" s="410">
        <v>274.78683013924888</v>
      </c>
      <c r="CR676" s="410">
        <v>237.59372614189789</v>
      </c>
      <c r="CS676" s="410">
        <v>267.10862616279451</v>
      </c>
      <c r="CT676" s="410">
        <v>268.83678606183099</v>
      </c>
      <c r="CU676" s="410">
        <v>259</v>
      </c>
      <c r="CV676" s="410">
        <f>IF(VLOOKUP(BS676,'Données par municipalité'!$B$6:$F$1113,4,FALSE)="","",VLOOKUP(BS676,'Données par municipalité'!$B$6:$F$1113,4,FALSE))</f>
        <v>263</v>
      </c>
      <c r="CW676" s="476" t="s">
        <v>4723</v>
      </c>
      <c r="CX676" s="483">
        <v>0.55000000000000004</v>
      </c>
      <c r="CY676" s="483">
        <v>0.3</v>
      </c>
      <c r="CZ676" s="483">
        <v>0.15</v>
      </c>
      <c r="DA676" s="483">
        <v>0.15</v>
      </c>
      <c r="DB676" s="483">
        <v>0.15</v>
      </c>
      <c r="DC676" s="483">
        <v>0.15</v>
      </c>
      <c r="DD676" s="483">
        <v>0</v>
      </c>
      <c r="DE676" s="483">
        <f>IFERROR(SUM(VLOOKUP($BS676,'État &amp; Plan d''action'!$B$6:$Z$1113,18,FALSE),VLOOKUP($BS676,'État &amp; Plan d''action'!$B$6:$Z$1113,20,FALSE))/(VLOOKUP($BS676,'Données par municipalité'!$B$4:$L$1113,11,FALSE)),"")</f>
        <v>0</v>
      </c>
      <c r="DF676" s="483">
        <f>IFERROR(SUM(VLOOKUP($BS676,'État &amp; Plan d''action'!$B$6:$Z$1113,19,FALSE),VLOOKUP($BS676,'État &amp; Plan d''action'!$B$6:$Z$1113,21,FALSE))/(VLOOKUP($BS676,'Données par municipalité'!$B$4:$L$1113,11,FALSE)),"")</f>
        <v>0</v>
      </c>
      <c r="DG676" s="476" t="s">
        <v>4723</v>
      </c>
      <c r="DH676" s="484">
        <v>5</v>
      </c>
      <c r="DI676" s="484">
        <v>5</v>
      </c>
      <c r="DJ676" s="484">
        <v>0</v>
      </c>
      <c r="DK676" s="484">
        <v>4</v>
      </c>
      <c r="DL676" s="484">
        <v>1</v>
      </c>
      <c r="DM676" s="484">
        <v>3</v>
      </c>
      <c r="DN676" s="484">
        <v>1</v>
      </c>
      <c r="DO676" s="484">
        <v>0</v>
      </c>
      <c r="DP676" s="484">
        <v>1</v>
      </c>
      <c r="DQ676" s="484">
        <f>IF(VLOOKUP($BS676,'État &amp; Plan d''action'!$B$6:$AJ$1113,28,FALSE)="","",VLOOKUP($BS676,'État &amp; Plan d''action'!$B$6:$AJ$1113,28,FALSE))</f>
        <v>3</v>
      </c>
      <c r="DR676" s="70">
        <f>IF(VLOOKUP($BS676,'État &amp; Plan d''action'!$B$6:$AJ$1113,29,FALSE)="","",VLOOKUP($BS676,'État &amp; Plan d''action'!$B$6:$AJ$1113,29,FALSE))</f>
        <v>0</v>
      </c>
      <c r="DS676" s="70">
        <f>IF(VLOOKUP($BS676,'État &amp; Plan d''action'!$B$6:$AJ$1113,30,FALSE)="","",VLOOKUP($BS676,'État &amp; Plan d''action'!$B$6:$AJ$1113,30,FALSE))</f>
        <v>0</v>
      </c>
      <c r="DT676" s="70">
        <v>184</v>
      </c>
      <c r="DU676" s="485">
        <v>1.7501819068494369</v>
      </c>
      <c r="DV676" s="485">
        <v>0.99205849736483265</v>
      </c>
      <c r="DW676" s="70">
        <v>2</v>
      </c>
      <c r="DX676" s="70">
        <v>0</v>
      </c>
      <c r="DY676" s="70">
        <v>2</v>
      </c>
      <c r="DZ676" s="70">
        <f>VLOOKUP($BS676,'État &amp; Plan d''action'!$B$6:$AH$1113,31,FALSE)</f>
        <v>1</v>
      </c>
      <c r="EA676" s="70">
        <f>VLOOKUP($BS676,'État &amp; Plan d''action'!$B$6:$AH$1113,32,FALSE)</f>
        <v>0</v>
      </c>
      <c r="EB676" s="70">
        <f>VLOOKUP($BS676,'État &amp; Plan d''action'!$B$6:$AH$1113,33,FALSE)</f>
        <v>0</v>
      </c>
      <c r="EC676" s="70">
        <v>35.222000000000001</v>
      </c>
      <c r="ED676" s="70">
        <v>0</v>
      </c>
      <c r="EE676" s="70">
        <v>0</v>
      </c>
      <c r="EF676" s="70">
        <v>0</v>
      </c>
      <c r="EG676" s="70">
        <v>0</v>
      </c>
      <c r="EH676" s="72">
        <v>64.708672141322111</v>
      </c>
      <c r="EI676" s="72">
        <v>7982</v>
      </c>
    </row>
    <row r="677" spans="71:139" x14ac:dyDescent="0.35">
      <c r="BS677" s="486">
        <v>38060</v>
      </c>
      <c r="BT677" s="479" t="s">
        <v>334</v>
      </c>
      <c r="BU677" s="479">
        <v>17</v>
      </c>
      <c r="BV677" s="476" t="s">
        <v>1187</v>
      </c>
      <c r="BW677" s="476" t="s">
        <v>1187</v>
      </c>
      <c r="BX677" s="476" t="s">
        <v>1187</v>
      </c>
      <c r="BY677" s="476" t="s">
        <v>1187</v>
      </c>
      <c r="BZ677" s="476" t="s">
        <v>1187</v>
      </c>
      <c r="CA677" s="476" t="s">
        <v>1187</v>
      </c>
      <c r="CB677" s="476" t="s">
        <v>1187</v>
      </c>
      <c r="CC677" s="476" t="s">
        <v>1187</v>
      </c>
      <c r="CD677" s="476" t="s">
        <v>1187</v>
      </c>
      <c r="CE677" s="476" t="s">
        <v>1188</v>
      </c>
      <c r="CF677" s="476" t="s">
        <v>1188</v>
      </c>
      <c r="CG677" s="476" t="s">
        <v>1187</v>
      </c>
      <c r="CH677" s="476" t="s">
        <v>1187</v>
      </c>
      <c r="CI677" s="476" t="s">
        <v>1188</v>
      </c>
      <c r="CJ677" s="476" t="s">
        <v>1188</v>
      </c>
      <c r="CK677" s="476" t="s">
        <v>1188</v>
      </c>
      <c r="CL677" s="476" t="s">
        <v>1188</v>
      </c>
      <c r="CM677" s="476" t="str">
        <f>IF(VLOOKUP(BS677,'Données par municipalité'!$B$6:$E$1113,4,FALSE)="","non","oui")</f>
        <v>oui</v>
      </c>
      <c r="CN677" s="410">
        <v>380.92934572628496</v>
      </c>
      <c r="CO677" s="410">
        <v>380.92934572628496</v>
      </c>
      <c r="CP677" s="410"/>
      <c r="CQ677" s="410"/>
      <c r="CR677" s="410">
        <v>349.66478219902876</v>
      </c>
      <c r="CS677" s="410">
        <v>349.83789471363684</v>
      </c>
      <c r="CT677" s="410">
        <v>485.48407452517034</v>
      </c>
      <c r="CU677" s="410">
        <v>685</v>
      </c>
      <c r="CV677" s="410">
        <f>IF(VLOOKUP(BS677,'Données par municipalité'!$B$6:$F$1113,4,FALSE)="","",VLOOKUP(BS677,'Données par municipalité'!$B$6:$F$1113,4,FALSE))</f>
        <v>604</v>
      </c>
      <c r="CW677" s="476" t="s">
        <v>4723</v>
      </c>
      <c r="CX677" s="483">
        <v>0</v>
      </c>
      <c r="CY677" s="483" t="s">
        <v>1124</v>
      </c>
      <c r="CZ677" s="483" t="s">
        <v>1124</v>
      </c>
      <c r="DA677" s="483">
        <v>0</v>
      </c>
      <c r="DB677" s="483">
        <v>0</v>
      </c>
      <c r="DC677" s="483">
        <v>0</v>
      </c>
      <c r="DD677" s="483">
        <v>0</v>
      </c>
      <c r="DE677" s="483">
        <f>IFERROR(SUM(VLOOKUP($BS677,'État &amp; Plan d''action'!$B$6:$Z$1113,18,FALSE),VLOOKUP($BS677,'État &amp; Plan d''action'!$B$6:$Z$1113,20,FALSE))/(VLOOKUP($BS677,'Données par municipalité'!$B$4:$L$1113,11,FALSE)),"")</f>
        <v>0</v>
      </c>
      <c r="DF677" s="483">
        <f>IFERROR(SUM(VLOOKUP($BS677,'État &amp; Plan d''action'!$B$6:$Z$1113,19,FALSE),VLOOKUP($BS677,'État &amp; Plan d''action'!$B$6:$Z$1113,21,FALSE))/(VLOOKUP($BS677,'Données par municipalité'!$B$4:$L$1113,11,FALSE)),"")</f>
        <v>0</v>
      </c>
      <c r="DG677" s="476" t="s">
        <v>4723</v>
      </c>
      <c r="DH677" s="484">
        <v>0</v>
      </c>
      <c r="DI677" s="484" t="s">
        <v>1124</v>
      </c>
      <c r="DJ677" s="484">
        <v>0</v>
      </c>
      <c r="DK677" s="484">
        <v>1</v>
      </c>
      <c r="DL677" s="484">
        <v>1</v>
      </c>
      <c r="DM677" s="484">
        <v>1</v>
      </c>
      <c r="DN677" s="484">
        <v>5</v>
      </c>
      <c r="DO677" s="484">
        <v>0</v>
      </c>
      <c r="DP677" s="484">
        <v>0</v>
      </c>
      <c r="DQ677" s="484">
        <f>IF(VLOOKUP($BS677,'État &amp; Plan d''action'!$B$6:$AJ$1113,28,FALSE)="","",VLOOKUP($BS677,'État &amp; Plan d''action'!$B$6:$AJ$1113,28,FALSE))</f>
        <v>0</v>
      </c>
      <c r="DR677" s="70">
        <f>IF(VLOOKUP($BS677,'État &amp; Plan d''action'!$B$6:$AJ$1113,29,FALSE)="","",VLOOKUP($BS677,'État &amp; Plan d''action'!$B$6:$AJ$1113,29,FALSE))</f>
        <v>0</v>
      </c>
      <c r="DS677" s="70">
        <f>IF(VLOOKUP($BS677,'État &amp; Plan d''action'!$B$6:$AJ$1113,30,FALSE)="","",VLOOKUP($BS677,'État &amp; Plan d''action'!$B$6:$AJ$1113,30,FALSE))</f>
        <v>3</v>
      </c>
      <c r="DT677" s="70">
        <v>465</v>
      </c>
      <c r="DU677" s="485">
        <v>0.81316364588787149</v>
      </c>
      <c r="DV677" s="485">
        <v>1.3869463779256763</v>
      </c>
      <c r="DW677" s="70">
        <v>1</v>
      </c>
      <c r="DX677" s="70">
        <v>0</v>
      </c>
      <c r="DY677" s="70">
        <v>0</v>
      </c>
      <c r="DZ677" s="70">
        <f>VLOOKUP($BS677,'État &amp; Plan d''action'!$B$6:$AH$1113,31,FALSE)</f>
        <v>0</v>
      </c>
      <c r="EA677" s="70">
        <f>VLOOKUP($BS677,'État &amp; Plan d''action'!$B$6:$AH$1113,32,FALSE)</f>
        <v>0</v>
      </c>
      <c r="EB677" s="70">
        <f>VLOOKUP($BS677,'État &amp; Plan d''action'!$B$6:$AH$1113,33,FALSE)</f>
        <v>1</v>
      </c>
      <c r="EC677" s="70">
        <v>0</v>
      </c>
      <c r="ED677" s="70">
        <v>0</v>
      </c>
      <c r="EE677" s="70">
        <v>0</v>
      </c>
      <c r="EF677" s="70">
        <v>0</v>
      </c>
      <c r="EG677" s="70">
        <v>0</v>
      </c>
      <c r="EH677" s="72">
        <v>61.540540540540547</v>
      </c>
      <c r="EI677" s="72">
        <v>374</v>
      </c>
    </row>
    <row r="678" spans="71:139" x14ac:dyDescent="0.35">
      <c r="BS678" s="486">
        <v>47055</v>
      </c>
      <c r="BT678" s="479" t="s">
        <v>455</v>
      </c>
      <c r="BU678" s="479">
        <v>5</v>
      </c>
      <c r="BV678" s="476" t="s">
        <v>1188</v>
      </c>
      <c r="BW678" s="476" t="s">
        <v>1188</v>
      </c>
      <c r="BX678" s="476" t="s">
        <v>1188</v>
      </c>
      <c r="BY678" s="476" t="s">
        <v>1188</v>
      </c>
      <c r="BZ678" s="476" t="s">
        <v>1188</v>
      </c>
      <c r="CA678" s="476" t="s">
        <v>1188</v>
      </c>
      <c r="CB678" s="476" t="s">
        <v>1188</v>
      </c>
      <c r="CC678" s="476" t="s">
        <v>1188</v>
      </c>
      <c r="CD678" s="476" t="s">
        <v>1188</v>
      </c>
      <c r="CE678" s="476" t="s">
        <v>1187</v>
      </c>
      <c r="CF678" s="476" t="s">
        <v>1187</v>
      </c>
      <c r="CG678" s="476" t="s">
        <v>1187</v>
      </c>
      <c r="CH678" s="476" t="s">
        <v>1187</v>
      </c>
      <c r="CI678" s="476" t="s">
        <v>1187</v>
      </c>
      <c r="CJ678" s="476" t="s">
        <v>1187</v>
      </c>
      <c r="CK678" s="476" t="s">
        <v>1187</v>
      </c>
      <c r="CL678" s="476" t="s">
        <v>1187</v>
      </c>
      <c r="CM678" s="476" t="str">
        <f>IF(VLOOKUP(BS678,'Données par municipalité'!$B$6:$E$1113,4,FALSE)="","non","oui")</f>
        <v>non</v>
      </c>
      <c r="CN678" s="410" t="s">
        <v>1124</v>
      </c>
      <c r="CO678" s="410" t="s">
        <v>1124</v>
      </c>
      <c r="CP678" s="410"/>
      <c r="CQ678" s="410"/>
      <c r="CR678" s="410"/>
      <c r="CS678" s="410" t="s">
        <v>1124</v>
      </c>
      <c r="CT678" s="410"/>
      <c r="CU678" s="410" t="s">
        <v>1124</v>
      </c>
      <c r="CV678" s="410" t="str">
        <f>IF(VLOOKUP(BS678,'Données par municipalité'!$B$6:$F$1113,4,FALSE)="","",VLOOKUP(BS678,'Données par municipalité'!$B$6:$F$1113,4,FALSE))</f>
        <v/>
      </c>
      <c r="CW678" s="476" t="s">
        <v>4723</v>
      </c>
      <c r="CX678" s="483" t="s">
        <v>1124</v>
      </c>
      <c r="CY678" s="483" t="s">
        <v>1124</v>
      </c>
      <c r="CZ678" s="483" t="s">
        <v>1124</v>
      </c>
      <c r="DA678" s="483" t="s">
        <v>1124</v>
      </c>
      <c r="DB678" s="483" t="s">
        <v>1124</v>
      </c>
      <c r="DC678" s="483" t="s">
        <v>1124</v>
      </c>
      <c r="DD678" s="483" t="s">
        <v>1124</v>
      </c>
      <c r="DE678" s="483" t="str">
        <f>IFERROR(SUM(VLOOKUP($BS678,'État &amp; Plan d''action'!$B$6:$Z$1113,18,FALSE),VLOOKUP($BS678,'État &amp; Plan d''action'!$B$6:$Z$1113,20,FALSE))/(VLOOKUP($BS678,'Données par municipalité'!$B$4:$L$1113,11,FALSE)),"")</f>
        <v/>
      </c>
      <c r="DF678" s="483" t="str">
        <f>IFERROR(SUM(VLOOKUP($BS678,'État &amp; Plan d''action'!$B$6:$Z$1113,19,FALSE),VLOOKUP($BS678,'État &amp; Plan d''action'!$B$6:$Z$1113,21,FALSE))/(VLOOKUP($BS678,'Données par municipalité'!$B$4:$L$1113,11,FALSE)),"")</f>
        <v/>
      </c>
      <c r="DG678" s="476" t="s">
        <v>4723</v>
      </c>
      <c r="DH678" s="484" t="s">
        <v>1124</v>
      </c>
      <c r="DI678" s="484" t="s">
        <v>1124</v>
      </c>
      <c r="DJ678" s="484">
        <v>0</v>
      </c>
      <c r="DK678" s="484">
        <v>0</v>
      </c>
      <c r="DL678" s="484" t="s">
        <v>1124</v>
      </c>
      <c r="DM678" s="484" t="s">
        <v>1124</v>
      </c>
      <c r="DN678" s="484" t="s">
        <v>1124</v>
      </c>
      <c r="DO678" s="484" t="s">
        <v>1124</v>
      </c>
      <c r="DP678" s="484" t="s">
        <v>1124</v>
      </c>
      <c r="DQ678" s="484" t="str">
        <f>IF(VLOOKUP($BS678,'État &amp; Plan d''action'!$B$6:$AJ$1113,28,FALSE)="","",VLOOKUP($BS678,'État &amp; Plan d''action'!$B$6:$AJ$1113,28,FALSE))</f>
        <v/>
      </c>
      <c r="DR678" s="70" t="str">
        <f>IF(VLOOKUP($BS678,'État &amp; Plan d''action'!$B$6:$AJ$1113,29,FALSE)="","",VLOOKUP($BS678,'État &amp; Plan d''action'!$B$6:$AJ$1113,29,FALSE))</f>
        <v/>
      </c>
      <c r="DS678" s="70" t="str">
        <f>IF(VLOOKUP($BS678,'État &amp; Plan d''action'!$B$6:$AJ$1113,30,FALSE)="","",VLOOKUP($BS678,'État &amp; Plan d''action'!$B$6:$AJ$1113,30,FALSE))</f>
        <v/>
      </c>
      <c r="DT678" s="70" t="s">
        <v>1124</v>
      </c>
      <c r="DU678" s="485" t="s">
        <v>1124</v>
      </c>
      <c r="DV678" s="485" t="s">
        <v>1124</v>
      </c>
      <c r="DW678" s="70" t="s">
        <v>1124</v>
      </c>
      <c r="DX678" s="70" t="s">
        <v>1124</v>
      </c>
      <c r="DY678" s="70" t="s">
        <v>1124</v>
      </c>
      <c r="DZ678" s="70" t="str">
        <f>VLOOKUP($BS678,'État &amp; Plan d''action'!$B$6:$AH$1113,31,FALSE)</f>
        <v/>
      </c>
      <c r="EA678" s="70" t="str">
        <f>VLOOKUP($BS678,'État &amp; Plan d''action'!$B$6:$AH$1113,32,FALSE)</f>
        <v/>
      </c>
      <c r="EB678" s="70" t="str">
        <f>VLOOKUP($BS678,'État &amp; Plan d''action'!$B$6:$AH$1113,33,FALSE)</f>
        <v/>
      </c>
      <c r="EC678" s="70" t="s">
        <v>1124</v>
      </c>
      <c r="ED678" s="70" t="s">
        <v>1124</v>
      </c>
      <c r="EE678" s="70" t="s">
        <v>1124</v>
      </c>
      <c r="EF678" s="70" t="s">
        <v>1124</v>
      </c>
      <c r="EG678" s="70" t="s">
        <v>1124</v>
      </c>
      <c r="EH678" s="72"/>
      <c r="EI678" s="72">
        <v>2259</v>
      </c>
    </row>
    <row r="679" spans="71:139" x14ac:dyDescent="0.35">
      <c r="BS679" s="486">
        <v>30050</v>
      </c>
      <c r="BT679" s="479" t="s">
        <v>226</v>
      </c>
      <c r="BU679" s="479">
        <v>5</v>
      </c>
      <c r="BV679" s="476" t="s">
        <v>1187</v>
      </c>
      <c r="BW679" s="476" t="s">
        <v>1187</v>
      </c>
      <c r="BX679" s="476" t="s">
        <v>1187</v>
      </c>
      <c r="BY679" s="476" t="s">
        <v>1187</v>
      </c>
      <c r="BZ679" s="476" t="s">
        <v>1187</v>
      </c>
      <c r="CA679" s="476" t="s">
        <v>1187</v>
      </c>
      <c r="CB679" s="476" t="s">
        <v>1187</v>
      </c>
      <c r="CC679" s="476" t="s">
        <v>1187</v>
      </c>
      <c r="CD679" s="476" t="s">
        <v>1187</v>
      </c>
      <c r="CE679" s="476" t="s">
        <v>1188</v>
      </c>
      <c r="CF679" s="476" t="s">
        <v>1188</v>
      </c>
      <c r="CG679" s="476" t="s">
        <v>1187</v>
      </c>
      <c r="CH679" s="476" t="s">
        <v>1187</v>
      </c>
      <c r="CI679" s="476" t="s">
        <v>1188</v>
      </c>
      <c r="CJ679" s="476" t="s">
        <v>1187</v>
      </c>
      <c r="CK679" s="476" t="s">
        <v>1188</v>
      </c>
      <c r="CL679" s="476" t="s">
        <v>1187</v>
      </c>
      <c r="CM679" s="476" t="str">
        <f>IF(VLOOKUP(BS679,'Données par municipalité'!$B$6:$E$1113,4,FALSE)="","non","oui")</f>
        <v>oui</v>
      </c>
      <c r="CN679" s="410">
        <v>638.37687778336306</v>
      </c>
      <c r="CO679" s="410">
        <v>457.46566238369513</v>
      </c>
      <c r="CP679" s="410"/>
      <c r="CQ679" s="410"/>
      <c r="CR679" s="410">
        <v>185.63065722156631</v>
      </c>
      <c r="CS679" s="410" t="s">
        <v>1124</v>
      </c>
      <c r="CT679" s="410">
        <v>294.07097900248584</v>
      </c>
      <c r="CU679" s="410" t="s">
        <v>1124</v>
      </c>
      <c r="CV679" s="410">
        <f>IF(VLOOKUP(BS679,'Données par municipalité'!$B$6:$F$1113,4,FALSE)="","",VLOOKUP(BS679,'Données par municipalité'!$B$6:$F$1113,4,FALSE))</f>
        <v>488</v>
      </c>
      <c r="CW679" s="476" t="s">
        <v>4723</v>
      </c>
      <c r="CX679" s="483">
        <v>1</v>
      </c>
      <c r="CY679" s="483" t="s">
        <v>1124</v>
      </c>
      <c r="CZ679" s="483" t="s">
        <v>1124</v>
      </c>
      <c r="DA679" s="483">
        <v>1</v>
      </c>
      <c r="DB679" s="483" t="s">
        <v>1124</v>
      </c>
      <c r="DC679" s="483">
        <v>1</v>
      </c>
      <c r="DD679" s="483" t="s">
        <v>1124</v>
      </c>
      <c r="DE679" s="483">
        <f>IFERROR(SUM(VLOOKUP($BS679,'État &amp; Plan d''action'!$B$6:$Z$1113,18,FALSE),VLOOKUP($BS679,'État &amp; Plan d''action'!$B$6:$Z$1113,20,FALSE))/(VLOOKUP($BS679,'Données par municipalité'!$B$4:$L$1113,11,FALSE)),"")</f>
        <v>2</v>
      </c>
      <c r="DF679" s="483">
        <f>IFERROR(SUM(VLOOKUP($BS679,'État &amp; Plan d''action'!$B$6:$Z$1113,19,FALSE),VLOOKUP($BS679,'État &amp; Plan d''action'!$B$6:$Z$1113,21,FALSE))/(VLOOKUP($BS679,'Données par municipalité'!$B$4:$L$1113,11,FALSE)),"")</f>
        <v>2</v>
      </c>
      <c r="DG679" s="476" t="s">
        <v>4723</v>
      </c>
      <c r="DH679" s="484">
        <v>0</v>
      </c>
      <c r="DI679" s="484" t="s">
        <v>1124</v>
      </c>
      <c r="DJ679" s="484">
        <v>0</v>
      </c>
      <c r="DK679" s="484">
        <v>0</v>
      </c>
      <c r="DL679" s="484" t="s">
        <v>1124</v>
      </c>
      <c r="DM679" s="484">
        <v>2</v>
      </c>
      <c r="DN679" s="484" t="s">
        <v>1124</v>
      </c>
      <c r="DO679" s="484" t="s">
        <v>1124</v>
      </c>
      <c r="DP679" s="484" t="s">
        <v>1124</v>
      </c>
      <c r="DQ679" s="484">
        <f>IF(VLOOKUP($BS679,'État &amp; Plan d''action'!$B$6:$AJ$1113,28,FALSE)="","",VLOOKUP($BS679,'État &amp; Plan d''action'!$B$6:$AJ$1113,28,FALSE))</f>
        <v>0</v>
      </c>
      <c r="DR679" s="70">
        <f>IF(VLOOKUP($BS679,'État &amp; Plan d''action'!$B$6:$AJ$1113,29,FALSE)="","",VLOOKUP($BS679,'État &amp; Plan d''action'!$B$6:$AJ$1113,29,FALSE))</f>
        <v>0</v>
      </c>
      <c r="DS679" s="70">
        <f>IF(VLOOKUP($BS679,'État &amp; Plan d''action'!$B$6:$AJ$1113,30,FALSE)="","",VLOOKUP($BS679,'État &amp; Plan d''action'!$B$6:$AJ$1113,30,FALSE))</f>
        <v>0</v>
      </c>
      <c r="DT679" s="70" t="s">
        <v>1124</v>
      </c>
      <c r="DU679" s="485" t="s">
        <v>1124</v>
      </c>
      <c r="DV679" s="485">
        <v>2.9979623778164961</v>
      </c>
      <c r="DW679" s="70" t="s">
        <v>1124</v>
      </c>
      <c r="DX679" s="70" t="s">
        <v>1124</v>
      </c>
      <c r="DY679" s="70" t="s">
        <v>1124</v>
      </c>
      <c r="DZ679" s="70">
        <f>VLOOKUP($BS679,'État &amp; Plan d''action'!$B$6:$AH$1113,31,FALSE)</f>
        <v>0</v>
      </c>
      <c r="EA679" s="70">
        <f>VLOOKUP($BS679,'État &amp; Plan d''action'!$B$6:$AH$1113,32,FALSE)</f>
        <v>0</v>
      </c>
      <c r="EB679" s="70">
        <f>VLOOKUP($BS679,'État &amp; Plan d''action'!$B$6:$AH$1113,33,FALSE)</f>
        <v>0</v>
      </c>
      <c r="EC679" s="70" t="s">
        <v>1124</v>
      </c>
      <c r="ED679" s="70" t="s">
        <v>1124</v>
      </c>
      <c r="EE679" s="70" t="s">
        <v>1124</v>
      </c>
      <c r="EF679" s="70" t="s">
        <v>1124</v>
      </c>
      <c r="EG679" s="70" t="s">
        <v>1124</v>
      </c>
      <c r="EH679" s="72"/>
      <c r="EI679" s="72">
        <v>843</v>
      </c>
    </row>
    <row r="680" spans="71:139" x14ac:dyDescent="0.35">
      <c r="BS680" s="486">
        <v>48020</v>
      </c>
      <c r="BT680" s="479" t="s">
        <v>459</v>
      </c>
      <c r="BU680" s="479">
        <v>16</v>
      </c>
      <c r="BV680" s="476" t="s">
        <v>1188</v>
      </c>
      <c r="BW680" s="476" t="s">
        <v>1188</v>
      </c>
      <c r="BX680" s="476" t="s">
        <v>1188</v>
      </c>
      <c r="BY680" s="476" t="s">
        <v>1188</v>
      </c>
      <c r="BZ680" s="476" t="s">
        <v>1188</v>
      </c>
      <c r="CA680" s="476" t="s">
        <v>1188</v>
      </c>
      <c r="CB680" s="476" t="s">
        <v>1188</v>
      </c>
      <c r="CC680" s="476" t="s">
        <v>1188</v>
      </c>
      <c r="CD680" s="476" t="s">
        <v>1188</v>
      </c>
      <c r="CE680" s="476" t="s">
        <v>1187</v>
      </c>
      <c r="CF680" s="476" t="s">
        <v>1187</v>
      </c>
      <c r="CG680" s="476" t="s">
        <v>1187</v>
      </c>
      <c r="CH680" s="476" t="s">
        <v>1187</v>
      </c>
      <c r="CI680" s="476" t="s">
        <v>1187</v>
      </c>
      <c r="CJ680" s="476" t="s">
        <v>1187</v>
      </c>
      <c r="CK680" s="476" t="s">
        <v>1187</v>
      </c>
      <c r="CL680" s="476" t="s">
        <v>1187</v>
      </c>
      <c r="CM680" s="476" t="str">
        <f>IF(VLOOKUP(BS680,'Données par municipalité'!$B$6:$E$1113,4,FALSE)="","non","oui")</f>
        <v>non</v>
      </c>
      <c r="CN680" s="410" t="s">
        <v>1124</v>
      </c>
      <c r="CO680" s="410" t="s">
        <v>1124</v>
      </c>
      <c r="CP680" s="410"/>
      <c r="CQ680" s="410"/>
      <c r="CR680" s="410"/>
      <c r="CS680" s="410" t="s">
        <v>1124</v>
      </c>
      <c r="CT680" s="410"/>
      <c r="CU680" s="410" t="s">
        <v>1124</v>
      </c>
      <c r="CV680" s="410" t="str">
        <f>IF(VLOOKUP(BS680,'Données par municipalité'!$B$6:$F$1113,4,FALSE)="","",VLOOKUP(BS680,'Données par municipalité'!$B$6:$F$1113,4,FALSE))</f>
        <v/>
      </c>
      <c r="CW680" s="476" t="s">
        <v>4723</v>
      </c>
      <c r="CX680" s="483" t="s">
        <v>1124</v>
      </c>
      <c r="CY680" s="483" t="s">
        <v>1124</v>
      </c>
      <c r="CZ680" s="483" t="s">
        <v>1124</v>
      </c>
      <c r="DA680" s="483" t="s">
        <v>1124</v>
      </c>
      <c r="DB680" s="483" t="s">
        <v>1124</v>
      </c>
      <c r="DC680" s="483" t="s">
        <v>1124</v>
      </c>
      <c r="DD680" s="483" t="s">
        <v>1124</v>
      </c>
      <c r="DE680" s="483" t="str">
        <f>IFERROR(SUM(VLOOKUP($BS680,'État &amp; Plan d''action'!$B$6:$Z$1113,18,FALSE),VLOOKUP($BS680,'État &amp; Plan d''action'!$B$6:$Z$1113,20,FALSE))/(VLOOKUP($BS680,'Données par municipalité'!$B$4:$L$1113,11,FALSE)),"")</f>
        <v/>
      </c>
      <c r="DF680" s="483" t="str">
        <f>IFERROR(SUM(VLOOKUP($BS680,'État &amp; Plan d''action'!$B$6:$Z$1113,19,FALSE),VLOOKUP($BS680,'État &amp; Plan d''action'!$B$6:$Z$1113,21,FALSE))/(VLOOKUP($BS680,'Données par municipalité'!$B$4:$L$1113,11,FALSE)),"")</f>
        <v/>
      </c>
      <c r="DG680" s="476" t="s">
        <v>4723</v>
      </c>
      <c r="DH680" s="484" t="s">
        <v>1124</v>
      </c>
      <c r="DI680" s="484" t="s">
        <v>1124</v>
      </c>
      <c r="DJ680" s="484">
        <v>0</v>
      </c>
      <c r="DK680" s="484">
        <v>0</v>
      </c>
      <c r="DL680" s="484" t="s">
        <v>1124</v>
      </c>
      <c r="DM680" s="484" t="s">
        <v>1124</v>
      </c>
      <c r="DN680" s="484" t="s">
        <v>1124</v>
      </c>
      <c r="DO680" s="484" t="s">
        <v>1124</v>
      </c>
      <c r="DP680" s="484" t="s">
        <v>1124</v>
      </c>
      <c r="DQ680" s="484" t="str">
        <f>IF(VLOOKUP($BS680,'État &amp; Plan d''action'!$B$6:$AJ$1113,28,FALSE)="","",VLOOKUP($BS680,'État &amp; Plan d''action'!$B$6:$AJ$1113,28,FALSE))</f>
        <v/>
      </c>
      <c r="DR680" s="70" t="str">
        <f>IF(VLOOKUP($BS680,'État &amp; Plan d''action'!$B$6:$AJ$1113,29,FALSE)="","",VLOOKUP($BS680,'État &amp; Plan d''action'!$B$6:$AJ$1113,29,FALSE))</f>
        <v/>
      </c>
      <c r="DS680" s="70" t="str">
        <f>IF(VLOOKUP($BS680,'État &amp; Plan d''action'!$B$6:$AJ$1113,30,FALSE)="","",VLOOKUP($BS680,'État &amp; Plan d''action'!$B$6:$AJ$1113,30,FALSE))</f>
        <v/>
      </c>
      <c r="DT680" s="70" t="s">
        <v>1124</v>
      </c>
      <c r="DU680" s="485" t="s">
        <v>1124</v>
      </c>
      <c r="DV680" s="485" t="s">
        <v>1124</v>
      </c>
      <c r="DW680" s="70" t="s">
        <v>1124</v>
      </c>
      <c r="DX680" s="70" t="s">
        <v>1124</v>
      </c>
      <c r="DY680" s="70" t="s">
        <v>1124</v>
      </c>
      <c r="DZ680" s="70" t="str">
        <f>VLOOKUP($BS680,'État &amp; Plan d''action'!$B$6:$AH$1113,31,FALSE)</f>
        <v/>
      </c>
      <c r="EA680" s="70" t="str">
        <f>VLOOKUP($BS680,'État &amp; Plan d''action'!$B$6:$AH$1113,32,FALSE)</f>
        <v/>
      </c>
      <c r="EB680" s="70" t="str">
        <f>VLOOKUP($BS680,'État &amp; Plan d''action'!$B$6:$AH$1113,33,FALSE)</f>
        <v/>
      </c>
      <c r="EC680" s="70" t="s">
        <v>1124</v>
      </c>
      <c r="ED680" s="70" t="s">
        <v>1124</v>
      </c>
      <c r="EE680" s="70" t="s">
        <v>1124</v>
      </c>
      <c r="EF680" s="70" t="s">
        <v>1124</v>
      </c>
      <c r="EG680" s="70" t="s">
        <v>1124</v>
      </c>
      <c r="EH680" s="72"/>
      <c r="EI680" s="72">
        <v>713</v>
      </c>
    </row>
    <row r="681" spans="71:139" x14ac:dyDescent="0.35">
      <c r="BS681" s="486">
        <v>34105</v>
      </c>
      <c r="BT681" s="479" t="s">
        <v>298</v>
      </c>
      <c r="BU681" s="479">
        <v>3</v>
      </c>
      <c r="BV681" s="476" t="s">
        <v>1188</v>
      </c>
      <c r="BW681" s="476" t="s">
        <v>1188</v>
      </c>
      <c r="BX681" s="476" t="s">
        <v>1188</v>
      </c>
      <c r="BY681" s="476" t="s">
        <v>1188</v>
      </c>
      <c r="BZ681" s="476" t="s">
        <v>1188</v>
      </c>
      <c r="CA681" s="476" t="s">
        <v>1188</v>
      </c>
      <c r="CB681" s="476" t="s">
        <v>1188</v>
      </c>
      <c r="CC681" s="476" t="s">
        <v>1188</v>
      </c>
      <c r="CD681" s="476" t="s">
        <v>1324</v>
      </c>
      <c r="CE681" s="476" t="s">
        <v>1187</v>
      </c>
      <c r="CF681" s="476" t="s">
        <v>1187</v>
      </c>
      <c r="CG681" s="476" t="s">
        <v>1187</v>
      </c>
      <c r="CH681" s="476" t="s">
        <v>1187</v>
      </c>
      <c r="CI681" s="476" t="s">
        <v>1187</v>
      </c>
      <c r="CJ681" s="476" t="s">
        <v>1187</v>
      </c>
      <c r="CK681" s="476" t="s">
        <v>1187</v>
      </c>
      <c r="CL681" s="476" t="s">
        <v>1187</v>
      </c>
      <c r="CM681" s="476" t="str">
        <f>IF(VLOOKUP(BS681,'Données par municipalité'!$B$6:$E$1113,4,FALSE)="","non","oui")</f>
        <v>non</v>
      </c>
      <c r="CN681" s="410" t="s">
        <v>1124</v>
      </c>
      <c r="CO681" s="410" t="s">
        <v>1124</v>
      </c>
      <c r="CP681" s="410"/>
      <c r="CQ681" s="410"/>
      <c r="CR681" s="410"/>
      <c r="CS681" s="410" t="s">
        <v>1124</v>
      </c>
      <c r="CT681" s="410"/>
      <c r="CU681" s="410" t="s">
        <v>1124</v>
      </c>
      <c r="CV681" s="410" t="str">
        <f>IF(VLOOKUP(BS681,'Données par municipalité'!$B$6:$F$1113,4,FALSE)="","",VLOOKUP(BS681,'Données par municipalité'!$B$6:$F$1113,4,FALSE))</f>
        <v/>
      </c>
      <c r="CW681" s="476" t="s">
        <v>4723</v>
      </c>
      <c r="CX681" s="483" t="s">
        <v>1124</v>
      </c>
      <c r="CY681" s="483" t="s">
        <v>1124</v>
      </c>
      <c r="CZ681" s="483" t="s">
        <v>1124</v>
      </c>
      <c r="DA681" s="483" t="s">
        <v>1124</v>
      </c>
      <c r="DB681" s="483" t="s">
        <v>1124</v>
      </c>
      <c r="DC681" s="483" t="s">
        <v>1124</v>
      </c>
      <c r="DD681" s="483" t="s">
        <v>1124</v>
      </c>
      <c r="DE681" s="483" t="str">
        <f>IFERROR(SUM(VLOOKUP($BS681,'État &amp; Plan d''action'!$B$6:$Z$1113,18,FALSE),VLOOKUP($BS681,'État &amp; Plan d''action'!$B$6:$Z$1113,20,FALSE))/(VLOOKUP($BS681,'Données par municipalité'!$B$4:$L$1113,11,FALSE)),"")</f>
        <v/>
      </c>
      <c r="DF681" s="483" t="str">
        <f>IFERROR(SUM(VLOOKUP($BS681,'État &amp; Plan d''action'!$B$6:$Z$1113,19,FALSE),VLOOKUP($BS681,'État &amp; Plan d''action'!$B$6:$Z$1113,21,FALSE))/(VLOOKUP($BS681,'Données par municipalité'!$B$4:$L$1113,11,FALSE)),"")</f>
        <v/>
      </c>
      <c r="DG681" s="476" t="s">
        <v>4723</v>
      </c>
      <c r="DH681" s="484" t="s">
        <v>1124</v>
      </c>
      <c r="DI681" s="484" t="s">
        <v>1124</v>
      </c>
      <c r="DJ681" s="484">
        <v>0</v>
      </c>
      <c r="DK681" s="484">
        <v>0</v>
      </c>
      <c r="DL681" s="484" t="s">
        <v>1124</v>
      </c>
      <c r="DM681" s="484" t="s">
        <v>1124</v>
      </c>
      <c r="DN681" s="484" t="s">
        <v>1124</v>
      </c>
      <c r="DO681" s="484" t="s">
        <v>1124</v>
      </c>
      <c r="DP681" s="484" t="s">
        <v>1124</v>
      </c>
      <c r="DQ681" s="484" t="str">
        <f>IF(VLOOKUP($BS681,'État &amp; Plan d''action'!$B$6:$AJ$1113,28,FALSE)="","",VLOOKUP($BS681,'État &amp; Plan d''action'!$B$6:$AJ$1113,28,FALSE))</f>
        <v/>
      </c>
      <c r="DR681" s="70" t="str">
        <f>IF(VLOOKUP($BS681,'État &amp; Plan d''action'!$B$6:$AJ$1113,29,FALSE)="","",VLOOKUP($BS681,'État &amp; Plan d''action'!$B$6:$AJ$1113,29,FALSE))</f>
        <v/>
      </c>
      <c r="DS681" s="70" t="str">
        <f>IF(VLOOKUP($BS681,'État &amp; Plan d''action'!$B$6:$AJ$1113,30,FALSE)="","",VLOOKUP($BS681,'État &amp; Plan d''action'!$B$6:$AJ$1113,30,FALSE))</f>
        <v/>
      </c>
      <c r="DT681" s="70" t="s">
        <v>1124</v>
      </c>
      <c r="DU681" s="485" t="s">
        <v>1124</v>
      </c>
      <c r="DV681" s="485" t="s">
        <v>1124</v>
      </c>
      <c r="DW681" s="70" t="s">
        <v>1124</v>
      </c>
      <c r="DX681" s="70" t="s">
        <v>1124</v>
      </c>
      <c r="DY681" s="70" t="s">
        <v>1124</v>
      </c>
      <c r="DZ681" s="70" t="str">
        <f>VLOOKUP($BS681,'État &amp; Plan d''action'!$B$6:$AH$1113,31,FALSE)</f>
        <v/>
      </c>
      <c r="EA681" s="70" t="str">
        <f>VLOOKUP($BS681,'État &amp; Plan d''action'!$B$6:$AH$1113,32,FALSE)</f>
        <v/>
      </c>
      <c r="EB681" s="70" t="str">
        <f>VLOOKUP($BS681,'État &amp; Plan d''action'!$B$6:$AH$1113,33,FALSE)</f>
        <v/>
      </c>
      <c r="EC681" s="70" t="s">
        <v>1124</v>
      </c>
      <c r="ED681" s="70" t="s">
        <v>1124</v>
      </c>
      <c r="EE681" s="70" t="s">
        <v>1124</v>
      </c>
      <c r="EF681" s="70" t="s">
        <v>1124</v>
      </c>
      <c r="EG681" s="70" t="s">
        <v>1124</v>
      </c>
      <c r="EH681" s="72"/>
      <c r="EI681" s="72">
        <v>601</v>
      </c>
    </row>
    <row r="682" spans="71:139" x14ac:dyDescent="0.35">
      <c r="BS682" s="486">
        <v>19055</v>
      </c>
      <c r="BT682" s="479" t="s">
        <v>127</v>
      </c>
      <c r="BU682" s="479">
        <v>12</v>
      </c>
      <c r="BV682" s="476" t="s">
        <v>1187</v>
      </c>
      <c r="BW682" s="476" t="s">
        <v>1187</v>
      </c>
      <c r="BX682" s="476" t="s">
        <v>1187</v>
      </c>
      <c r="BY682" s="476" t="s">
        <v>1187</v>
      </c>
      <c r="BZ682" s="476" t="s">
        <v>1187</v>
      </c>
      <c r="CA682" s="476" t="s">
        <v>1187</v>
      </c>
      <c r="CB682" s="476" t="s">
        <v>1187</v>
      </c>
      <c r="CC682" s="476" t="s">
        <v>1187</v>
      </c>
      <c r="CD682" s="476" t="s">
        <v>1187</v>
      </c>
      <c r="CE682" s="476" t="s">
        <v>1188</v>
      </c>
      <c r="CF682" s="476" t="s">
        <v>1188</v>
      </c>
      <c r="CG682" s="476" t="s">
        <v>1188</v>
      </c>
      <c r="CH682" s="476" t="s">
        <v>1188</v>
      </c>
      <c r="CI682" s="476" t="s">
        <v>1188</v>
      </c>
      <c r="CJ682" s="476" t="s">
        <v>1188</v>
      </c>
      <c r="CK682" s="476" t="s">
        <v>1188</v>
      </c>
      <c r="CL682" s="476" t="s">
        <v>1188</v>
      </c>
      <c r="CM682" s="476" t="str">
        <f>IF(VLOOKUP(BS682,'Données par municipalité'!$B$6:$E$1113,4,FALSE)="","non","oui")</f>
        <v>oui</v>
      </c>
      <c r="CN682" s="410">
        <v>662.72150928422627</v>
      </c>
      <c r="CO682" s="410">
        <v>669.22648735490884</v>
      </c>
      <c r="CP682" s="410">
        <v>659.5453432405634</v>
      </c>
      <c r="CQ682" s="410">
        <v>768.4613703119976</v>
      </c>
      <c r="CR682" s="410">
        <v>868.97573377217975</v>
      </c>
      <c r="CS682" s="410">
        <v>786.39963285519127</v>
      </c>
      <c r="CT682" s="410">
        <v>703.77599282796746</v>
      </c>
      <c r="CU682" s="410">
        <v>761</v>
      </c>
      <c r="CV682" s="410">
        <f>IF(VLOOKUP(BS682,'Données par municipalité'!$B$6:$F$1113,4,FALSE)="","",VLOOKUP(BS682,'Données par municipalité'!$B$6:$F$1113,4,FALSE))</f>
        <v>760</v>
      </c>
      <c r="CW682" s="476" t="s">
        <v>4723</v>
      </c>
      <c r="CX682" s="483">
        <v>1</v>
      </c>
      <c r="CY682" s="483">
        <v>0.4</v>
      </c>
      <c r="CZ682" s="483">
        <v>0.4</v>
      </c>
      <c r="DA682" s="483">
        <v>0</v>
      </c>
      <c r="DB682" s="483">
        <v>1</v>
      </c>
      <c r="DC682" s="483">
        <v>1</v>
      </c>
      <c r="DD682" s="483">
        <v>0</v>
      </c>
      <c r="DE682" s="483">
        <f>IFERROR(SUM(VLOOKUP($BS682,'État &amp; Plan d''action'!$B$6:$Z$1113,18,FALSE),VLOOKUP($BS682,'État &amp; Plan d''action'!$B$6:$Z$1113,20,FALSE))/(VLOOKUP($BS682,'Données par municipalité'!$B$4:$L$1113,11,FALSE)),"")</f>
        <v>0</v>
      </c>
      <c r="DF682" s="483">
        <f>IFERROR(SUM(VLOOKUP($BS682,'État &amp; Plan d''action'!$B$6:$Z$1113,19,FALSE),VLOOKUP($BS682,'État &amp; Plan d''action'!$B$6:$Z$1113,21,FALSE))/(VLOOKUP($BS682,'Données par municipalité'!$B$4:$L$1113,11,FALSE)),"")</f>
        <v>0</v>
      </c>
      <c r="DG682" s="476" t="s">
        <v>4723</v>
      </c>
      <c r="DH682" s="484">
        <v>11</v>
      </c>
      <c r="DI682" s="484">
        <v>4</v>
      </c>
      <c r="DJ682" s="484">
        <v>3</v>
      </c>
      <c r="DK682" s="484">
        <v>6</v>
      </c>
      <c r="DL682" s="484">
        <v>2</v>
      </c>
      <c r="DM682" s="484">
        <v>5</v>
      </c>
      <c r="DN682" s="484">
        <v>4</v>
      </c>
      <c r="DO682" s="484">
        <v>0</v>
      </c>
      <c r="DP682" s="484">
        <v>0</v>
      </c>
      <c r="DQ682" s="484">
        <f>IF(VLOOKUP($BS682,'État &amp; Plan d''action'!$B$6:$AJ$1113,28,FALSE)="","",VLOOKUP($BS682,'État &amp; Plan d''action'!$B$6:$AJ$1113,28,FALSE))</f>
        <v>4</v>
      </c>
      <c r="DR682" s="70">
        <f>IF(VLOOKUP($BS682,'État &amp; Plan d''action'!$B$6:$AJ$1113,29,FALSE)="","",VLOOKUP($BS682,'État &amp; Plan d''action'!$B$6:$AJ$1113,29,FALSE))</f>
        <v>0</v>
      </c>
      <c r="DS682" s="70">
        <f>IF(VLOOKUP($BS682,'État &amp; Plan d''action'!$B$6:$AJ$1113,30,FALSE)="","",VLOOKUP($BS682,'État &amp; Plan d''action'!$B$6:$AJ$1113,30,FALSE))</f>
        <v>0</v>
      </c>
      <c r="DT682" s="70">
        <v>281</v>
      </c>
      <c r="DU682" s="485">
        <v>3.6920549801002367</v>
      </c>
      <c r="DV682" s="485">
        <v>3.9165212485249712</v>
      </c>
      <c r="DW682" s="70">
        <v>2</v>
      </c>
      <c r="DX682" s="70">
        <v>2</v>
      </c>
      <c r="DY682" s="70">
        <v>2</v>
      </c>
      <c r="DZ682" s="70">
        <f>VLOOKUP($BS682,'État &amp; Plan d''action'!$B$6:$AH$1113,31,FALSE)</f>
        <v>1</v>
      </c>
      <c r="EA682" s="70">
        <f>VLOOKUP($BS682,'État &amp; Plan d''action'!$B$6:$AH$1113,32,FALSE)</f>
        <v>0</v>
      </c>
      <c r="EB682" s="70">
        <f>VLOOKUP($BS682,'État &amp; Plan d''action'!$B$6:$AH$1113,33,FALSE)</f>
        <v>0</v>
      </c>
      <c r="EC682" s="70">
        <v>24.92</v>
      </c>
      <c r="ED682" s="70">
        <v>0</v>
      </c>
      <c r="EE682" s="70">
        <v>0</v>
      </c>
      <c r="EF682" s="70">
        <v>0</v>
      </c>
      <c r="EG682" s="70">
        <v>0</v>
      </c>
      <c r="EH682" s="72">
        <v>60</v>
      </c>
      <c r="EI682" s="72">
        <v>3463</v>
      </c>
    </row>
    <row r="683" spans="71:139" x14ac:dyDescent="0.35">
      <c r="BS683" s="486">
        <v>68020</v>
      </c>
      <c r="BT683" s="479" t="s">
        <v>676</v>
      </c>
      <c r="BU683" s="479">
        <v>16</v>
      </c>
      <c r="BV683" s="476" t="s">
        <v>1188</v>
      </c>
      <c r="BW683" s="476" t="s">
        <v>1188</v>
      </c>
      <c r="BX683" s="476" t="s">
        <v>1188</v>
      </c>
      <c r="BY683" s="476" t="s">
        <v>1188</v>
      </c>
      <c r="BZ683" s="476" t="s">
        <v>1188</v>
      </c>
      <c r="CA683" s="476" t="s">
        <v>1188</v>
      </c>
      <c r="CB683" s="476" t="s">
        <v>1188</v>
      </c>
      <c r="CC683" s="476" t="s">
        <v>1188</v>
      </c>
      <c r="CD683" s="476" t="s">
        <v>1188</v>
      </c>
      <c r="CE683" s="476" t="s">
        <v>1187</v>
      </c>
      <c r="CF683" s="476" t="s">
        <v>1187</v>
      </c>
      <c r="CG683" s="476" t="s">
        <v>1187</v>
      </c>
      <c r="CH683" s="476" t="s">
        <v>1187</v>
      </c>
      <c r="CI683" s="476" t="s">
        <v>1187</v>
      </c>
      <c r="CJ683" s="476" t="s">
        <v>1187</v>
      </c>
      <c r="CK683" s="476" t="s">
        <v>1187</v>
      </c>
      <c r="CL683" s="476" t="s">
        <v>1187</v>
      </c>
      <c r="CM683" s="476" t="str">
        <f>IF(VLOOKUP(BS683,'Données par municipalité'!$B$6:$E$1113,4,FALSE)="","non","oui")</f>
        <v>non</v>
      </c>
      <c r="CN683" s="410" t="s">
        <v>1124</v>
      </c>
      <c r="CO683" s="410" t="s">
        <v>1124</v>
      </c>
      <c r="CP683" s="410"/>
      <c r="CQ683" s="410"/>
      <c r="CR683" s="410"/>
      <c r="CS683" s="410" t="s">
        <v>1124</v>
      </c>
      <c r="CT683" s="410"/>
      <c r="CU683" s="410" t="s">
        <v>1124</v>
      </c>
      <c r="CV683" s="410" t="str">
        <f>IF(VLOOKUP(BS683,'Données par municipalité'!$B$6:$F$1113,4,FALSE)="","",VLOOKUP(BS683,'Données par municipalité'!$B$6:$F$1113,4,FALSE))</f>
        <v/>
      </c>
      <c r="CW683" s="476" t="s">
        <v>4723</v>
      </c>
      <c r="CX683" s="483" t="s">
        <v>1124</v>
      </c>
      <c r="CY683" s="483" t="s">
        <v>1124</v>
      </c>
      <c r="CZ683" s="483" t="s">
        <v>1124</v>
      </c>
      <c r="DA683" s="483" t="s">
        <v>1124</v>
      </c>
      <c r="DB683" s="483" t="s">
        <v>1124</v>
      </c>
      <c r="DC683" s="483" t="s">
        <v>1124</v>
      </c>
      <c r="DD683" s="483" t="s">
        <v>1124</v>
      </c>
      <c r="DE683" s="483" t="str">
        <f>IFERROR(SUM(VLOOKUP($BS683,'État &amp; Plan d''action'!$B$6:$Z$1113,18,FALSE),VLOOKUP($BS683,'État &amp; Plan d''action'!$B$6:$Z$1113,20,FALSE))/(VLOOKUP($BS683,'Données par municipalité'!$B$4:$L$1113,11,FALSE)),"")</f>
        <v/>
      </c>
      <c r="DF683" s="483" t="str">
        <f>IFERROR(SUM(VLOOKUP($BS683,'État &amp; Plan d''action'!$B$6:$Z$1113,19,FALSE),VLOOKUP($BS683,'État &amp; Plan d''action'!$B$6:$Z$1113,21,FALSE))/(VLOOKUP($BS683,'Données par municipalité'!$B$4:$L$1113,11,FALSE)),"")</f>
        <v/>
      </c>
      <c r="DG683" s="476" t="s">
        <v>4723</v>
      </c>
      <c r="DH683" s="484" t="s">
        <v>1124</v>
      </c>
      <c r="DI683" s="484" t="s">
        <v>1124</v>
      </c>
      <c r="DJ683" s="484">
        <v>0</v>
      </c>
      <c r="DK683" s="484">
        <v>0</v>
      </c>
      <c r="DL683" s="484" t="s">
        <v>1124</v>
      </c>
      <c r="DM683" s="484" t="s">
        <v>1124</v>
      </c>
      <c r="DN683" s="484" t="s">
        <v>1124</v>
      </c>
      <c r="DO683" s="484" t="s">
        <v>1124</v>
      </c>
      <c r="DP683" s="484" t="s">
        <v>1124</v>
      </c>
      <c r="DQ683" s="484" t="str">
        <f>IF(VLOOKUP($BS683,'État &amp; Plan d''action'!$B$6:$AJ$1113,28,FALSE)="","",VLOOKUP($BS683,'État &amp; Plan d''action'!$B$6:$AJ$1113,28,FALSE))</f>
        <v/>
      </c>
      <c r="DR683" s="70" t="str">
        <f>IF(VLOOKUP($BS683,'État &amp; Plan d''action'!$B$6:$AJ$1113,29,FALSE)="","",VLOOKUP($BS683,'État &amp; Plan d''action'!$B$6:$AJ$1113,29,FALSE))</f>
        <v/>
      </c>
      <c r="DS683" s="70" t="str">
        <f>IF(VLOOKUP($BS683,'État &amp; Plan d''action'!$B$6:$AJ$1113,30,FALSE)="","",VLOOKUP($BS683,'État &amp; Plan d''action'!$B$6:$AJ$1113,30,FALSE))</f>
        <v/>
      </c>
      <c r="DT683" s="70" t="s">
        <v>1124</v>
      </c>
      <c r="DU683" s="485" t="s">
        <v>1124</v>
      </c>
      <c r="DV683" s="485" t="s">
        <v>1124</v>
      </c>
      <c r="DW683" s="70" t="s">
        <v>1124</v>
      </c>
      <c r="DX683" s="70" t="s">
        <v>1124</v>
      </c>
      <c r="DY683" s="70" t="s">
        <v>1124</v>
      </c>
      <c r="DZ683" s="70" t="str">
        <f>VLOOKUP($BS683,'État &amp; Plan d''action'!$B$6:$AH$1113,31,FALSE)</f>
        <v/>
      </c>
      <c r="EA683" s="70" t="str">
        <f>VLOOKUP($BS683,'État &amp; Plan d''action'!$B$6:$AH$1113,32,FALSE)</f>
        <v/>
      </c>
      <c r="EB683" s="70" t="str">
        <f>VLOOKUP($BS683,'État &amp; Plan d''action'!$B$6:$AH$1113,33,FALSE)</f>
        <v/>
      </c>
      <c r="EC683" s="70" t="s">
        <v>1124</v>
      </c>
      <c r="ED683" s="70" t="s">
        <v>1124</v>
      </c>
      <c r="EE683" s="70" t="s">
        <v>1124</v>
      </c>
      <c r="EF683" s="70" t="s">
        <v>1124</v>
      </c>
      <c r="EG683" s="70" t="s">
        <v>1124</v>
      </c>
      <c r="EH683" s="72"/>
      <c r="EI683" s="72">
        <v>2256</v>
      </c>
    </row>
    <row r="684" spans="71:139" x14ac:dyDescent="0.35">
      <c r="BS684" s="486">
        <v>31060</v>
      </c>
      <c r="BT684" s="479" t="s">
        <v>247</v>
      </c>
      <c r="BU684" s="479">
        <v>12</v>
      </c>
      <c r="BV684" s="476" t="s">
        <v>1188</v>
      </c>
      <c r="BW684" s="476" t="s">
        <v>1188</v>
      </c>
      <c r="BX684" s="476" t="s">
        <v>1188</v>
      </c>
      <c r="BY684" s="476" t="s">
        <v>1188</v>
      </c>
      <c r="BZ684" s="476" t="s">
        <v>1188</v>
      </c>
      <c r="CA684" s="476" t="s">
        <v>1188</v>
      </c>
      <c r="CB684" s="476" t="s">
        <v>1188</v>
      </c>
      <c r="CC684" s="476" t="s">
        <v>1188</v>
      </c>
      <c r="CD684" s="476" t="s">
        <v>1188</v>
      </c>
      <c r="CE684" s="476" t="s">
        <v>1187</v>
      </c>
      <c r="CF684" s="476" t="s">
        <v>1187</v>
      </c>
      <c r="CG684" s="476" t="s">
        <v>1187</v>
      </c>
      <c r="CH684" s="476" t="s">
        <v>1187</v>
      </c>
      <c r="CI684" s="476" t="s">
        <v>1187</v>
      </c>
      <c r="CJ684" s="476" t="s">
        <v>1187</v>
      </c>
      <c r="CK684" s="476" t="s">
        <v>1187</v>
      </c>
      <c r="CL684" s="476" t="s">
        <v>1187</v>
      </c>
      <c r="CM684" s="476" t="str">
        <f>IF(VLOOKUP(BS684,'Données par municipalité'!$B$6:$E$1113,4,FALSE)="","non","oui")</f>
        <v>non</v>
      </c>
      <c r="CN684" s="410" t="s">
        <v>1124</v>
      </c>
      <c r="CO684" s="410" t="s">
        <v>1124</v>
      </c>
      <c r="CP684" s="410"/>
      <c r="CQ684" s="410"/>
      <c r="CR684" s="410"/>
      <c r="CS684" s="410" t="s">
        <v>1124</v>
      </c>
      <c r="CT684" s="410"/>
      <c r="CU684" s="410" t="s">
        <v>1124</v>
      </c>
      <c r="CV684" s="410" t="str">
        <f>IF(VLOOKUP(BS684,'Données par municipalité'!$B$6:$F$1113,4,FALSE)="","",VLOOKUP(BS684,'Données par municipalité'!$B$6:$F$1113,4,FALSE))</f>
        <v/>
      </c>
      <c r="CW684" s="476" t="s">
        <v>4723</v>
      </c>
      <c r="CX684" s="483" t="s">
        <v>1124</v>
      </c>
      <c r="CY684" s="483" t="s">
        <v>1124</v>
      </c>
      <c r="CZ684" s="483" t="s">
        <v>1124</v>
      </c>
      <c r="DA684" s="483" t="s">
        <v>1124</v>
      </c>
      <c r="DB684" s="483" t="s">
        <v>1124</v>
      </c>
      <c r="DC684" s="483" t="s">
        <v>1124</v>
      </c>
      <c r="DD684" s="483" t="s">
        <v>1124</v>
      </c>
      <c r="DE684" s="483" t="str">
        <f>IFERROR(SUM(VLOOKUP($BS684,'État &amp; Plan d''action'!$B$6:$Z$1113,18,FALSE),VLOOKUP($BS684,'État &amp; Plan d''action'!$B$6:$Z$1113,20,FALSE))/(VLOOKUP($BS684,'Données par municipalité'!$B$4:$L$1113,11,FALSE)),"")</f>
        <v/>
      </c>
      <c r="DF684" s="483" t="str">
        <f>IFERROR(SUM(VLOOKUP($BS684,'État &amp; Plan d''action'!$B$6:$Z$1113,19,FALSE),VLOOKUP($BS684,'État &amp; Plan d''action'!$B$6:$Z$1113,21,FALSE))/(VLOOKUP($BS684,'Données par municipalité'!$B$4:$L$1113,11,FALSE)),"")</f>
        <v/>
      </c>
      <c r="DG684" s="476" t="s">
        <v>4723</v>
      </c>
      <c r="DH684" s="484" t="s">
        <v>1124</v>
      </c>
      <c r="DI684" s="484" t="s">
        <v>1124</v>
      </c>
      <c r="DJ684" s="484">
        <v>0</v>
      </c>
      <c r="DK684" s="484">
        <v>0</v>
      </c>
      <c r="DL684" s="484" t="s">
        <v>1124</v>
      </c>
      <c r="DM684" s="484" t="s">
        <v>1124</v>
      </c>
      <c r="DN684" s="484" t="s">
        <v>1124</v>
      </c>
      <c r="DO684" s="484" t="s">
        <v>1124</v>
      </c>
      <c r="DP684" s="484" t="s">
        <v>1124</v>
      </c>
      <c r="DQ684" s="484" t="str">
        <f>IF(VLOOKUP($BS684,'État &amp; Plan d''action'!$B$6:$AJ$1113,28,FALSE)="","",VLOOKUP($BS684,'État &amp; Plan d''action'!$B$6:$AJ$1113,28,FALSE))</f>
        <v/>
      </c>
      <c r="DR684" s="70" t="str">
        <f>IF(VLOOKUP($BS684,'État &amp; Plan d''action'!$B$6:$AJ$1113,29,FALSE)="","",VLOOKUP($BS684,'État &amp; Plan d''action'!$B$6:$AJ$1113,29,FALSE))</f>
        <v/>
      </c>
      <c r="DS684" s="70" t="str">
        <f>IF(VLOOKUP($BS684,'État &amp; Plan d''action'!$B$6:$AJ$1113,30,FALSE)="","",VLOOKUP($BS684,'État &amp; Plan d''action'!$B$6:$AJ$1113,30,FALSE))</f>
        <v/>
      </c>
      <c r="DT684" s="70" t="s">
        <v>1124</v>
      </c>
      <c r="DU684" s="485" t="s">
        <v>1124</v>
      </c>
      <c r="DV684" s="485" t="s">
        <v>1124</v>
      </c>
      <c r="DW684" s="70" t="s">
        <v>1124</v>
      </c>
      <c r="DX684" s="70" t="s">
        <v>1124</v>
      </c>
      <c r="DY684" s="70" t="s">
        <v>1124</v>
      </c>
      <c r="DZ684" s="70" t="str">
        <f>VLOOKUP($BS684,'État &amp; Plan d''action'!$B$6:$AH$1113,31,FALSE)</f>
        <v/>
      </c>
      <c r="EA684" s="70" t="str">
        <f>VLOOKUP($BS684,'État &amp; Plan d''action'!$B$6:$AH$1113,32,FALSE)</f>
        <v/>
      </c>
      <c r="EB684" s="70" t="str">
        <f>VLOOKUP($BS684,'État &amp; Plan d''action'!$B$6:$AH$1113,33,FALSE)</f>
        <v/>
      </c>
      <c r="EC684" s="70" t="s">
        <v>1124</v>
      </c>
      <c r="ED684" s="70" t="s">
        <v>1124</v>
      </c>
      <c r="EE684" s="70" t="s">
        <v>1124</v>
      </c>
      <c r="EF684" s="70" t="s">
        <v>1124</v>
      </c>
      <c r="EG684" s="70" t="s">
        <v>1124</v>
      </c>
      <c r="EH684" s="72"/>
      <c r="EI684" s="72">
        <v>567</v>
      </c>
    </row>
    <row r="685" spans="71:139" x14ac:dyDescent="0.35">
      <c r="BS685" s="486">
        <v>39117</v>
      </c>
      <c r="BT685" s="479" t="s">
        <v>352</v>
      </c>
      <c r="BU685" s="479">
        <v>17</v>
      </c>
      <c r="BV685" s="476" t="s">
        <v>1187</v>
      </c>
      <c r="BW685" s="476" t="s">
        <v>1187</v>
      </c>
      <c r="BX685" s="476" t="s">
        <v>1187</v>
      </c>
      <c r="BY685" s="476" t="s">
        <v>1187</v>
      </c>
      <c r="BZ685" s="476" t="s">
        <v>1187</v>
      </c>
      <c r="CA685" s="476" t="s">
        <v>1187</v>
      </c>
      <c r="CB685" s="476" t="s">
        <v>1187</v>
      </c>
      <c r="CC685" s="476" t="s">
        <v>1187</v>
      </c>
      <c r="CD685" s="476" t="s">
        <v>1187</v>
      </c>
      <c r="CE685" s="476" t="s">
        <v>1188</v>
      </c>
      <c r="CF685" s="476" t="s">
        <v>1188</v>
      </c>
      <c r="CG685" s="476" t="s">
        <v>1188</v>
      </c>
      <c r="CH685" s="476" t="s">
        <v>1188</v>
      </c>
      <c r="CI685" s="476" t="s">
        <v>1188</v>
      </c>
      <c r="CJ685" s="476" t="s">
        <v>1188</v>
      </c>
      <c r="CK685" s="476" t="s">
        <v>1188</v>
      </c>
      <c r="CL685" s="476" t="s">
        <v>1188</v>
      </c>
      <c r="CM685" s="476" t="str">
        <f>IF(VLOOKUP(BS685,'Données par municipalité'!$B$6:$E$1113,4,FALSE)="","non","oui")</f>
        <v>oui</v>
      </c>
      <c r="CN685" s="410">
        <v>445.67865043712203</v>
      </c>
      <c r="CO685" s="410">
        <v>554.26843774077975</v>
      </c>
      <c r="CP685" s="410">
        <v>437.72885802135136</v>
      </c>
      <c r="CQ685" s="410">
        <v>315.51079346002081</v>
      </c>
      <c r="CR685" s="410">
        <v>349.36454261450683</v>
      </c>
      <c r="CS685" s="410">
        <v>262.15916694546667</v>
      </c>
      <c r="CT685" s="410">
        <v>244.93150684931507</v>
      </c>
      <c r="CU685" s="410">
        <v>442</v>
      </c>
      <c r="CV685" s="410">
        <f>IF(VLOOKUP(BS685,'Données par municipalité'!$B$6:$F$1113,4,FALSE)="","",VLOOKUP(BS685,'Données par municipalité'!$B$6:$F$1113,4,FALSE))</f>
        <v>365</v>
      </c>
      <c r="CW685" s="476" t="s">
        <v>4723</v>
      </c>
      <c r="CX685" s="483">
        <v>0</v>
      </c>
      <c r="CY685" s="483">
        <v>0</v>
      </c>
      <c r="CZ685" s="483">
        <v>0</v>
      </c>
      <c r="DA685" s="483">
        <v>0</v>
      </c>
      <c r="DB685" s="483">
        <v>0</v>
      </c>
      <c r="DC685" s="483">
        <v>0</v>
      </c>
      <c r="DD685" s="483">
        <v>0</v>
      </c>
      <c r="DE685" s="483">
        <f>IFERROR(SUM(VLOOKUP($BS685,'État &amp; Plan d''action'!$B$6:$Z$1113,18,FALSE),VLOOKUP($BS685,'État &amp; Plan d''action'!$B$6:$Z$1113,20,FALSE))/(VLOOKUP($BS685,'Données par municipalité'!$B$4:$L$1113,11,FALSE)),"")</f>
        <v>1</v>
      </c>
      <c r="DF685" s="483">
        <f>IFERROR(SUM(VLOOKUP($BS685,'État &amp; Plan d''action'!$B$6:$Z$1113,19,FALSE),VLOOKUP($BS685,'État &amp; Plan d''action'!$B$6:$Z$1113,21,FALSE))/(VLOOKUP($BS685,'Données par municipalité'!$B$4:$L$1113,11,FALSE)),"")</f>
        <v>1</v>
      </c>
      <c r="DG685" s="476" t="s">
        <v>4723</v>
      </c>
      <c r="DH685" s="484">
        <v>1</v>
      </c>
      <c r="DI685" s="484">
        <v>1</v>
      </c>
      <c r="DJ685" s="484">
        <v>0</v>
      </c>
      <c r="DK685" s="484">
        <v>1</v>
      </c>
      <c r="DL685" s="484">
        <v>0</v>
      </c>
      <c r="DM685" s="484">
        <v>1</v>
      </c>
      <c r="DN685" s="484">
        <v>0</v>
      </c>
      <c r="DO685" s="484">
        <v>0</v>
      </c>
      <c r="DP685" s="484">
        <v>0</v>
      </c>
      <c r="DQ685" s="484">
        <f>IF(VLOOKUP($BS685,'État &amp; Plan d''action'!$B$6:$AJ$1113,28,FALSE)="","",VLOOKUP($BS685,'État &amp; Plan d''action'!$B$6:$AJ$1113,28,FALSE))</f>
        <v>0</v>
      </c>
      <c r="DR685" s="70">
        <f>IF(VLOOKUP($BS685,'État &amp; Plan d''action'!$B$6:$AJ$1113,29,FALSE)="","",VLOOKUP($BS685,'État &amp; Plan d''action'!$B$6:$AJ$1113,29,FALSE))</f>
        <v>0</v>
      </c>
      <c r="DS685" s="70">
        <f>IF(VLOOKUP($BS685,'État &amp; Plan d''action'!$B$6:$AJ$1113,30,FALSE)="","",VLOOKUP($BS685,'État &amp; Plan d''action'!$B$6:$AJ$1113,30,FALSE))</f>
        <v>0</v>
      </c>
      <c r="DT685" s="70">
        <v>211</v>
      </c>
      <c r="DU685" s="485">
        <v>1.3757600570880553</v>
      </c>
      <c r="DV685" s="485">
        <v>1.9818682994577965</v>
      </c>
      <c r="DW685" s="70">
        <v>0</v>
      </c>
      <c r="DX685" s="70">
        <v>0</v>
      </c>
      <c r="DY685" s="70">
        <v>0</v>
      </c>
      <c r="DZ685" s="70">
        <f>VLOOKUP($BS685,'État &amp; Plan d''action'!$B$6:$AH$1113,31,FALSE)</f>
        <v>0</v>
      </c>
      <c r="EA685" s="70">
        <f>VLOOKUP($BS685,'État &amp; Plan d''action'!$B$6:$AH$1113,32,FALSE)</f>
        <v>0</v>
      </c>
      <c r="EB685" s="70">
        <f>VLOOKUP($BS685,'État &amp; Plan d''action'!$B$6:$AH$1113,33,FALSE)</f>
        <v>0</v>
      </c>
      <c r="EC685" s="70">
        <v>0</v>
      </c>
      <c r="ED685" s="70">
        <v>0</v>
      </c>
      <c r="EE685" s="70">
        <v>0</v>
      </c>
      <c r="EF685" s="70">
        <v>0</v>
      </c>
      <c r="EG685" s="70">
        <v>0</v>
      </c>
      <c r="EH685" s="72">
        <v>50</v>
      </c>
      <c r="EI685" s="72">
        <v>1610</v>
      </c>
    </row>
    <row r="686" spans="71:139" x14ac:dyDescent="0.35">
      <c r="BS686" s="486">
        <v>33102</v>
      </c>
      <c r="BT686" s="479" t="s">
        <v>282</v>
      </c>
      <c r="BU686" s="479">
        <v>12</v>
      </c>
      <c r="BV686" s="476" t="s">
        <v>1187</v>
      </c>
      <c r="BW686" s="476" t="s">
        <v>1187</v>
      </c>
      <c r="BX686" s="476" t="s">
        <v>1187</v>
      </c>
      <c r="BY686" s="476" t="s">
        <v>1187</v>
      </c>
      <c r="BZ686" s="476" t="s">
        <v>1187</v>
      </c>
      <c r="CA686" s="476" t="s">
        <v>1187</v>
      </c>
      <c r="CB686" s="476" t="s">
        <v>1187</v>
      </c>
      <c r="CC686" s="476" t="s">
        <v>1187</v>
      </c>
      <c r="CD686" s="476" t="s">
        <v>1187</v>
      </c>
      <c r="CE686" s="476" t="s">
        <v>1188</v>
      </c>
      <c r="CF686" s="476" t="s">
        <v>1188</v>
      </c>
      <c r="CG686" s="476" t="s">
        <v>1188</v>
      </c>
      <c r="CH686" s="476" t="s">
        <v>1188</v>
      </c>
      <c r="CI686" s="476" t="s">
        <v>1188</v>
      </c>
      <c r="CJ686" s="476" t="s">
        <v>1188</v>
      </c>
      <c r="CK686" s="476" t="s">
        <v>1188</v>
      </c>
      <c r="CL686" s="476" t="s">
        <v>1188</v>
      </c>
      <c r="CM686" s="476" t="str">
        <f>IF(VLOOKUP(BS686,'Données par municipalité'!$B$6:$E$1113,4,FALSE)="","non","oui")</f>
        <v>oui</v>
      </c>
      <c r="CN686" s="410">
        <v>339.13747722210974</v>
      </c>
      <c r="CO686" s="410">
        <v>346.60012946153034</v>
      </c>
      <c r="CP686" s="410">
        <v>361.06177962374755</v>
      </c>
      <c r="CQ686" s="410">
        <v>363.91876921208961</v>
      </c>
      <c r="CR686" s="410">
        <v>350.43922985503986</v>
      </c>
      <c r="CS686" s="410">
        <v>352.81018492765662</v>
      </c>
      <c r="CT686" s="410">
        <v>331.78623895616028</v>
      </c>
      <c r="CU686" s="410">
        <v>329</v>
      </c>
      <c r="CV686" s="410">
        <f>IF(VLOOKUP(BS686,'Données par municipalité'!$B$6:$F$1113,4,FALSE)="","",VLOOKUP(BS686,'Données par municipalité'!$B$6:$F$1113,4,FALSE))</f>
        <v>331</v>
      </c>
      <c r="CW686" s="476" t="s">
        <v>4723</v>
      </c>
      <c r="CX686" s="483">
        <v>0</v>
      </c>
      <c r="CY686" s="483">
        <v>0</v>
      </c>
      <c r="CZ686" s="483">
        <v>1</v>
      </c>
      <c r="DA686" s="483">
        <v>1</v>
      </c>
      <c r="DB686" s="483">
        <v>1</v>
      </c>
      <c r="DC686" s="483">
        <v>1</v>
      </c>
      <c r="DD686" s="483">
        <v>0.99092467480084701</v>
      </c>
      <c r="DE686" s="483">
        <f>IFERROR(SUM(VLOOKUP($BS686,'État &amp; Plan d''action'!$B$6:$Z$1113,18,FALSE),VLOOKUP($BS686,'État &amp; Plan d''action'!$B$6:$Z$1113,20,FALSE))/(VLOOKUP($BS686,'Données par municipalité'!$B$4:$L$1113,11,FALSE)),"")</f>
        <v>1</v>
      </c>
      <c r="DF686" s="483">
        <f>IFERROR(SUM(VLOOKUP($BS686,'État &amp; Plan d''action'!$B$6:$Z$1113,19,FALSE),VLOOKUP($BS686,'État &amp; Plan d''action'!$B$6:$Z$1113,21,FALSE))/(VLOOKUP($BS686,'Données par municipalité'!$B$4:$L$1113,11,FALSE)),"")</f>
        <v>1</v>
      </c>
      <c r="DG686" s="476" t="s">
        <v>4723</v>
      </c>
      <c r="DH686" s="484">
        <v>7</v>
      </c>
      <c r="DI686" s="484">
        <v>7</v>
      </c>
      <c r="DJ686" s="484">
        <v>4</v>
      </c>
      <c r="DK686" s="484">
        <v>7</v>
      </c>
      <c r="DL686" s="484">
        <v>9</v>
      </c>
      <c r="DM686" s="484">
        <v>5</v>
      </c>
      <c r="DN686" s="484">
        <v>8</v>
      </c>
      <c r="DO686" s="484">
        <v>0</v>
      </c>
      <c r="DP686" s="484">
        <v>0</v>
      </c>
      <c r="DQ686" s="484">
        <f>IF(VLOOKUP($BS686,'État &amp; Plan d''action'!$B$6:$AJ$1113,28,FALSE)="","",VLOOKUP($BS686,'État &amp; Plan d''action'!$B$6:$AJ$1113,28,FALSE))</f>
        <v>6</v>
      </c>
      <c r="DR686" s="70">
        <f>IF(VLOOKUP($BS686,'État &amp; Plan d''action'!$B$6:$AJ$1113,29,FALSE)="","",VLOOKUP($BS686,'État &amp; Plan d''action'!$B$6:$AJ$1113,29,FALSE))</f>
        <v>0</v>
      </c>
      <c r="DS686" s="70">
        <f>IF(VLOOKUP($BS686,'État &amp; Plan d''action'!$B$6:$AJ$1113,30,FALSE)="","",VLOOKUP($BS686,'État &amp; Plan d''action'!$B$6:$AJ$1113,30,FALSE))</f>
        <v>0</v>
      </c>
      <c r="DT686" s="70">
        <v>160</v>
      </c>
      <c r="DU686" s="485">
        <v>1.3541795736907285</v>
      </c>
      <c r="DV686" s="485">
        <v>2.1877488715617708</v>
      </c>
      <c r="DW686" s="70">
        <v>1</v>
      </c>
      <c r="DX686" s="70">
        <v>0</v>
      </c>
      <c r="DY686" s="70">
        <v>0</v>
      </c>
      <c r="DZ686" s="70">
        <f>VLOOKUP($BS686,'État &amp; Plan d''action'!$B$6:$AH$1113,31,FALSE)</f>
        <v>2</v>
      </c>
      <c r="EA686" s="70">
        <f>VLOOKUP($BS686,'État &amp; Plan d''action'!$B$6:$AH$1113,32,FALSE)</f>
        <v>0</v>
      </c>
      <c r="EB686" s="70">
        <f>VLOOKUP($BS686,'État &amp; Plan d''action'!$B$6:$AH$1113,33,FALSE)</f>
        <v>0</v>
      </c>
      <c r="EC686" s="70">
        <v>0</v>
      </c>
      <c r="ED686" s="70">
        <v>0</v>
      </c>
      <c r="EE686" s="70">
        <v>29.481000000000002</v>
      </c>
      <c r="EF686" s="70">
        <v>0</v>
      </c>
      <c r="EG686" s="70">
        <v>0</v>
      </c>
      <c r="EH686" s="72">
        <v>57</v>
      </c>
      <c r="EI686" s="72">
        <v>2509</v>
      </c>
    </row>
    <row r="687" spans="71:139" x14ac:dyDescent="0.35">
      <c r="BS687" s="486">
        <v>49100</v>
      </c>
      <c r="BT687" s="479" t="s">
        <v>477</v>
      </c>
      <c r="BU687" s="479">
        <v>17</v>
      </c>
      <c r="BV687" s="476" t="s">
        <v>1188</v>
      </c>
      <c r="BW687" s="476" t="s">
        <v>1188</v>
      </c>
      <c r="BX687" s="476" t="s">
        <v>1188</v>
      </c>
      <c r="BY687" s="476" t="s">
        <v>1188</v>
      </c>
      <c r="BZ687" s="476" t="s">
        <v>1188</v>
      </c>
      <c r="CA687" s="476" t="s">
        <v>1188</v>
      </c>
      <c r="CB687" s="476" t="s">
        <v>1188</v>
      </c>
      <c r="CC687" s="476" t="s">
        <v>1188</v>
      </c>
      <c r="CD687" s="476" t="s">
        <v>1188</v>
      </c>
      <c r="CE687" s="476" t="s">
        <v>1187</v>
      </c>
      <c r="CF687" s="476" t="s">
        <v>1187</v>
      </c>
      <c r="CG687" s="476" t="s">
        <v>1187</v>
      </c>
      <c r="CH687" s="476" t="s">
        <v>1187</v>
      </c>
      <c r="CI687" s="476" t="s">
        <v>1187</v>
      </c>
      <c r="CJ687" s="476" t="s">
        <v>1187</v>
      </c>
      <c r="CK687" s="476" t="s">
        <v>1187</v>
      </c>
      <c r="CL687" s="476" t="s">
        <v>1187</v>
      </c>
      <c r="CM687" s="476" t="str">
        <f>IF(VLOOKUP(BS687,'Données par municipalité'!$B$6:$E$1113,4,FALSE)="","non","oui")</f>
        <v>non</v>
      </c>
      <c r="CN687" s="410" t="s">
        <v>1124</v>
      </c>
      <c r="CO687" s="410" t="s">
        <v>1124</v>
      </c>
      <c r="CP687" s="410"/>
      <c r="CQ687" s="410"/>
      <c r="CR687" s="410"/>
      <c r="CS687" s="410" t="s">
        <v>1124</v>
      </c>
      <c r="CT687" s="410"/>
      <c r="CU687" s="410" t="s">
        <v>1124</v>
      </c>
      <c r="CV687" s="410" t="str">
        <f>IF(VLOOKUP(BS687,'Données par municipalité'!$B$6:$F$1113,4,FALSE)="","",VLOOKUP(BS687,'Données par municipalité'!$B$6:$F$1113,4,FALSE))</f>
        <v/>
      </c>
      <c r="CW687" s="476" t="s">
        <v>4723</v>
      </c>
      <c r="CX687" s="483" t="s">
        <v>1124</v>
      </c>
      <c r="CY687" s="483" t="s">
        <v>1124</v>
      </c>
      <c r="CZ687" s="483" t="s">
        <v>1124</v>
      </c>
      <c r="DA687" s="483" t="s">
        <v>1124</v>
      </c>
      <c r="DB687" s="483" t="s">
        <v>1124</v>
      </c>
      <c r="DC687" s="483" t="s">
        <v>1124</v>
      </c>
      <c r="DD687" s="483" t="s">
        <v>1124</v>
      </c>
      <c r="DE687" s="483" t="str">
        <f>IFERROR(SUM(VLOOKUP($BS687,'État &amp; Plan d''action'!$B$6:$Z$1113,18,FALSE),VLOOKUP($BS687,'État &amp; Plan d''action'!$B$6:$Z$1113,20,FALSE))/(VLOOKUP($BS687,'Données par municipalité'!$B$4:$L$1113,11,FALSE)),"")</f>
        <v/>
      </c>
      <c r="DF687" s="483" t="str">
        <f>IFERROR(SUM(VLOOKUP($BS687,'État &amp; Plan d''action'!$B$6:$Z$1113,19,FALSE),VLOOKUP($BS687,'État &amp; Plan d''action'!$B$6:$Z$1113,21,FALSE))/(VLOOKUP($BS687,'Données par municipalité'!$B$4:$L$1113,11,FALSE)),"")</f>
        <v/>
      </c>
      <c r="DG687" s="476" t="s">
        <v>4723</v>
      </c>
      <c r="DH687" s="484" t="s">
        <v>1124</v>
      </c>
      <c r="DI687" s="484" t="s">
        <v>1124</v>
      </c>
      <c r="DJ687" s="484">
        <v>0</v>
      </c>
      <c r="DK687" s="484">
        <v>0</v>
      </c>
      <c r="DL687" s="484" t="s">
        <v>1124</v>
      </c>
      <c r="DM687" s="484" t="s">
        <v>1124</v>
      </c>
      <c r="DN687" s="484" t="s">
        <v>1124</v>
      </c>
      <c r="DO687" s="484" t="s">
        <v>1124</v>
      </c>
      <c r="DP687" s="484" t="s">
        <v>1124</v>
      </c>
      <c r="DQ687" s="484" t="str">
        <f>IF(VLOOKUP($BS687,'État &amp; Plan d''action'!$B$6:$AJ$1113,28,FALSE)="","",VLOOKUP($BS687,'État &amp; Plan d''action'!$B$6:$AJ$1113,28,FALSE))</f>
        <v/>
      </c>
      <c r="DR687" s="70" t="str">
        <f>IF(VLOOKUP($BS687,'État &amp; Plan d''action'!$B$6:$AJ$1113,29,FALSE)="","",VLOOKUP($BS687,'État &amp; Plan d''action'!$B$6:$AJ$1113,29,FALSE))</f>
        <v/>
      </c>
      <c r="DS687" s="70" t="str">
        <f>IF(VLOOKUP($BS687,'État &amp; Plan d''action'!$B$6:$AJ$1113,30,FALSE)="","",VLOOKUP($BS687,'État &amp; Plan d''action'!$B$6:$AJ$1113,30,FALSE))</f>
        <v/>
      </c>
      <c r="DT687" s="70" t="s">
        <v>1124</v>
      </c>
      <c r="DU687" s="485" t="s">
        <v>1124</v>
      </c>
      <c r="DV687" s="485" t="s">
        <v>1124</v>
      </c>
      <c r="DW687" s="70" t="s">
        <v>1124</v>
      </c>
      <c r="DX687" s="70" t="s">
        <v>1124</v>
      </c>
      <c r="DY687" s="70" t="s">
        <v>1124</v>
      </c>
      <c r="DZ687" s="70" t="str">
        <f>VLOOKUP($BS687,'État &amp; Plan d''action'!$B$6:$AH$1113,31,FALSE)</f>
        <v/>
      </c>
      <c r="EA687" s="70" t="str">
        <f>VLOOKUP($BS687,'État &amp; Plan d''action'!$B$6:$AH$1113,32,FALSE)</f>
        <v/>
      </c>
      <c r="EB687" s="70" t="str">
        <f>VLOOKUP($BS687,'État &amp; Plan d''action'!$B$6:$AH$1113,33,FALSE)</f>
        <v/>
      </c>
      <c r="EC687" s="70" t="s">
        <v>1124</v>
      </c>
      <c r="ED687" s="70" t="s">
        <v>1124</v>
      </c>
      <c r="EE687" s="70" t="s">
        <v>1124</v>
      </c>
      <c r="EF687" s="70" t="s">
        <v>1124</v>
      </c>
      <c r="EG687" s="70" t="s">
        <v>1124</v>
      </c>
      <c r="EH687" s="72"/>
      <c r="EI687" s="72">
        <v>769</v>
      </c>
    </row>
    <row r="688" spans="71:139" x14ac:dyDescent="0.35">
      <c r="BS688" s="486">
        <v>92050</v>
      </c>
      <c r="BT688" s="479" t="s">
        <v>953</v>
      </c>
      <c r="BU688" s="479">
        <v>2</v>
      </c>
      <c r="BV688" s="476" t="s">
        <v>1187</v>
      </c>
      <c r="BW688" s="476" t="s">
        <v>1187</v>
      </c>
      <c r="BX688" s="476" t="s">
        <v>1187</v>
      </c>
      <c r="BY688" s="476" t="s">
        <v>1187</v>
      </c>
      <c r="BZ688" s="476" t="s">
        <v>1187</v>
      </c>
      <c r="CA688" s="476" t="s">
        <v>1187</v>
      </c>
      <c r="CB688" s="476" t="s">
        <v>1187</v>
      </c>
      <c r="CC688" s="476" t="s">
        <v>1187</v>
      </c>
      <c r="CD688" s="476" t="s">
        <v>1187</v>
      </c>
      <c r="CE688" s="476" t="s">
        <v>1188</v>
      </c>
      <c r="CF688" s="476" t="s">
        <v>1188</v>
      </c>
      <c r="CG688" s="476" t="s">
        <v>1188</v>
      </c>
      <c r="CH688" s="476" t="s">
        <v>1188</v>
      </c>
      <c r="CI688" s="476" t="s">
        <v>1188</v>
      </c>
      <c r="CJ688" s="476" t="s">
        <v>1188</v>
      </c>
      <c r="CK688" s="476" t="s">
        <v>1188</v>
      </c>
      <c r="CL688" s="476" t="s">
        <v>1188</v>
      </c>
      <c r="CM688" s="476" t="str">
        <f>IF(VLOOKUP(BS688,'Données par municipalité'!$B$6:$E$1113,4,FALSE)="","non","oui")</f>
        <v>oui</v>
      </c>
      <c r="CN688" s="410">
        <v>330.93145798380925</v>
      </c>
      <c r="CO688" s="410">
        <v>381.64154005968948</v>
      </c>
      <c r="CP688" s="410">
        <v>359.36666073652367</v>
      </c>
      <c r="CQ688" s="410">
        <v>347.63745028344027</v>
      </c>
      <c r="CR688" s="410">
        <v>350.13186899700838</v>
      </c>
      <c r="CS688" s="410">
        <v>335.05491380569197</v>
      </c>
      <c r="CT688" s="410">
        <v>338.59196047608356</v>
      </c>
      <c r="CU688" s="410">
        <v>303</v>
      </c>
      <c r="CV688" s="410">
        <f>IF(VLOOKUP(BS688,'Données par municipalité'!$B$6:$F$1113,4,FALSE)="","",VLOOKUP(BS688,'Données par municipalité'!$B$6:$F$1113,4,FALSE))</f>
        <v>303</v>
      </c>
      <c r="CW688" s="476" t="s">
        <v>4723</v>
      </c>
      <c r="CX688" s="483">
        <v>1</v>
      </c>
      <c r="CY688" s="483">
        <v>0</v>
      </c>
      <c r="CZ688" s="483">
        <v>0</v>
      </c>
      <c r="DA688" s="483">
        <v>0</v>
      </c>
      <c r="DB688" s="483">
        <v>0</v>
      </c>
      <c r="DC688" s="483">
        <v>0</v>
      </c>
      <c r="DD688" s="483">
        <v>0</v>
      </c>
      <c r="DE688" s="483">
        <f>IFERROR(SUM(VLOOKUP($BS688,'État &amp; Plan d''action'!$B$6:$Z$1113,18,FALSE),VLOOKUP($BS688,'État &amp; Plan d''action'!$B$6:$Z$1113,20,FALSE))/(VLOOKUP($BS688,'Données par municipalité'!$B$4:$L$1113,11,FALSE)),"")</f>
        <v>0</v>
      </c>
      <c r="DF688" s="483">
        <f>IFERROR(SUM(VLOOKUP($BS688,'État &amp; Plan d''action'!$B$6:$Z$1113,19,FALSE),VLOOKUP($BS688,'État &amp; Plan d''action'!$B$6:$Z$1113,21,FALSE))/(VLOOKUP($BS688,'Données par municipalité'!$B$4:$L$1113,11,FALSE)),"")</f>
        <v>0</v>
      </c>
      <c r="DG688" s="476" t="s">
        <v>4723</v>
      </c>
      <c r="DH688" s="484">
        <v>10</v>
      </c>
      <c r="DI688" s="484">
        <v>2</v>
      </c>
      <c r="DJ688" s="484">
        <v>4</v>
      </c>
      <c r="DK688" s="484">
        <v>3</v>
      </c>
      <c r="DL688" s="484">
        <v>2</v>
      </c>
      <c r="DM688" s="484">
        <v>0</v>
      </c>
      <c r="DN688" s="484">
        <v>0</v>
      </c>
      <c r="DO688" s="484">
        <v>0</v>
      </c>
      <c r="DP688" s="484">
        <v>0</v>
      </c>
      <c r="DQ688" s="484">
        <f>IF(VLOOKUP($BS688,'État &amp; Plan d''action'!$B$6:$AJ$1113,28,FALSE)="","",VLOOKUP($BS688,'État &amp; Plan d''action'!$B$6:$AJ$1113,28,FALSE))</f>
        <v>0</v>
      </c>
      <c r="DR688" s="70">
        <f>IF(VLOOKUP($BS688,'État &amp; Plan d''action'!$B$6:$AJ$1113,29,FALSE)="","",VLOOKUP($BS688,'État &amp; Plan d''action'!$B$6:$AJ$1113,29,FALSE))</f>
        <v>0</v>
      </c>
      <c r="DS688" s="70">
        <f>IF(VLOOKUP($BS688,'État &amp; Plan d''action'!$B$6:$AJ$1113,30,FALSE)="","",VLOOKUP($BS688,'État &amp; Plan d''action'!$B$6:$AJ$1113,30,FALSE))</f>
        <v>0</v>
      </c>
      <c r="DT688" s="70">
        <v>198</v>
      </c>
      <c r="DU688" s="485">
        <v>1.5913258705225319</v>
      </c>
      <c r="DV688" s="485">
        <v>0.9803348949913917</v>
      </c>
      <c r="DW688" s="70">
        <v>0</v>
      </c>
      <c r="DX688" s="70">
        <v>0</v>
      </c>
      <c r="DY688" s="70">
        <v>0</v>
      </c>
      <c r="DZ688" s="70">
        <f>VLOOKUP($BS688,'État &amp; Plan d''action'!$B$6:$AH$1113,31,FALSE)</f>
        <v>0</v>
      </c>
      <c r="EA688" s="70">
        <f>VLOOKUP($BS688,'État &amp; Plan d''action'!$B$6:$AH$1113,32,FALSE)</f>
        <v>0</v>
      </c>
      <c r="EB688" s="70">
        <f>VLOOKUP($BS688,'État &amp; Plan d''action'!$B$6:$AH$1113,33,FALSE)</f>
        <v>0</v>
      </c>
      <c r="EC688" s="70">
        <v>0</v>
      </c>
      <c r="ED688" s="70">
        <v>0</v>
      </c>
      <c r="EE688" s="70">
        <v>0</v>
      </c>
      <c r="EF688" s="70">
        <v>0</v>
      </c>
      <c r="EG688" s="70">
        <v>0</v>
      </c>
      <c r="EH688" s="72">
        <v>40</v>
      </c>
      <c r="EI688" s="72">
        <v>376</v>
      </c>
    </row>
    <row r="689" spans="71:139" x14ac:dyDescent="0.35">
      <c r="BS689" s="486">
        <v>68045</v>
      </c>
      <c r="BT689" s="479" t="s">
        <v>681</v>
      </c>
      <c r="BU689" s="479">
        <v>16</v>
      </c>
      <c r="BV689" s="476" t="s">
        <v>1188</v>
      </c>
      <c r="BW689" s="476" t="s">
        <v>1188</v>
      </c>
      <c r="BX689" s="476" t="s">
        <v>1188</v>
      </c>
      <c r="BY689" s="476" t="s">
        <v>1188</v>
      </c>
      <c r="BZ689" s="476" t="s">
        <v>1188</v>
      </c>
      <c r="CA689" s="476" t="s">
        <v>1188</v>
      </c>
      <c r="CB689" s="476" t="s">
        <v>1188</v>
      </c>
      <c r="CC689" s="476" t="s">
        <v>1188</v>
      </c>
      <c r="CD689" s="476" t="s">
        <v>1188</v>
      </c>
      <c r="CE689" s="476" t="s">
        <v>1187</v>
      </c>
      <c r="CF689" s="476" t="s">
        <v>1187</v>
      </c>
      <c r="CG689" s="476" t="s">
        <v>1187</v>
      </c>
      <c r="CH689" s="476" t="s">
        <v>1187</v>
      </c>
      <c r="CI689" s="476" t="s">
        <v>1187</v>
      </c>
      <c r="CJ689" s="476" t="s">
        <v>1187</v>
      </c>
      <c r="CK689" s="476" t="s">
        <v>1187</v>
      </c>
      <c r="CL689" s="476" t="s">
        <v>1187</v>
      </c>
      <c r="CM689" s="476" t="str">
        <f>IF(VLOOKUP(BS689,'Données par municipalité'!$B$6:$E$1113,4,FALSE)="","non","oui")</f>
        <v>non</v>
      </c>
      <c r="CN689" s="410" t="s">
        <v>1124</v>
      </c>
      <c r="CO689" s="410" t="s">
        <v>1124</v>
      </c>
      <c r="CP689" s="410"/>
      <c r="CQ689" s="410"/>
      <c r="CR689" s="410"/>
      <c r="CS689" s="410" t="s">
        <v>1124</v>
      </c>
      <c r="CT689" s="410"/>
      <c r="CU689" s="410" t="s">
        <v>1124</v>
      </c>
      <c r="CV689" s="410" t="str">
        <f>IF(VLOOKUP(BS689,'Données par municipalité'!$B$6:$F$1113,4,FALSE)="","",VLOOKUP(BS689,'Données par municipalité'!$B$6:$F$1113,4,FALSE))</f>
        <v/>
      </c>
      <c r="CW689" s="476" t="s">
        <v>4723</v>
      </c>
      <c r="CX689" s="483" t="s">
        <v>1124</v>
      </c>
      <c r="CY689" s="483" t="s">
        <v>1124</v>
      </c>
      <c r="CZ689" s="483" t="s">
        <v>1124</v>
      </c>
      <c r="DA689" s="483" t="s">
        <v>1124</v>
      </c>
      <c r="DB689" s="483" t="s">
        <v>1124</v>
      </c>
      <c r="DC689" s="483" t="s">
        <v>1124</v>
      </c>
      <c r="DD689" s="483" t="s">
        <v>1124</v>
      </c>
      <c r="DE689" s="483" t="str">
        <f>IFERROR(SUM(VLOOKUP($BS689,'État &amp; Plan d''action'!$B$6:$Z$1113,18,FALSE),VLOOKUP($BS689,'État &amp; Plan d''action'!$B$6:$Z$1113,20,FALSE))/(VLOOKUP($BS689,'Données par municipalité'!$B$4:$L$1113,11,FALSE)),"")</f>
        <v/>
      </c>
      <c r="DF689" s="483" t="str">
        <f>IFERROR(SUM(VLOOKUP($BS689,'État &amp; Plan d''action'!$B$6:$Z$1113,19,FALSE),VLOOKUP($BS689,'État &amp; Plan d''action'!$B$6:$Z$1113,21,FALSE))/(VLOOKUP($BS689,'Données par municipalité'!$B$4:$L$1113,11,FALSE)),"")</f>
        <v/>
      </c>
      <c r="DG689" s="476" t="s">
        <v>4723</v>
      </c>
      <c r="DH689" s="484" t="s">
        <v>1124</v>
      </c>
      <c r="DI689" s="484" t="s">
        <v>1124</v>
      </c>
      <c r="DJ689" s="484">
        <v>0</v>
      </c>
      <c r="DK689" s="484">
        <v>0</v>
      </c>
      <c r="DL689" s="484" t="s">
        <v>1124</v>
      </c>
      <c r="DM689" s="484" t="s">
        <v>1124</v>
      </c>
      <c r="DN689" s="484" t="s">
        <v>1124</v>
      </c>
      <c r="DO689" s="484" t="s">
        <v>1124</v>
      </c>
      <c r="DP689" s="484" t="s">
        <v>1124</v>
      </c>
      <c r="DQ689" s="484" t="str">
        <f>IF(VLOOKUP($BS689,'État &amp; Plan d''action'!$B$6:$AJ$1113,28,FALSE)="","",VLOOKUP($BS689,'État &amp; Plan d''action'!$B$6:$AJ$1113,28,FALSE))</f>
        <v/>
      </c>
      <c r="DR689" s="70" t="str">
        <f>IF(VLOOKUP($BS689,'État &amp; Plan d''action'!$B$6:$AJ$1113,29,FALSE)="","",VLOOKUP($BS689,'État &amp; Plan d''action'!$B$6:$AJ$1113,29,FALSE))</f>
        <v/>
      </c>
      <c r="DS689" s="70" t="str">
        <f>IF(VLOOKUP($BS689,'État &amp; Plan d''action'!$B$6:$AJ$1113,30,FALSE)="","",VLOOKUP($BS689,'État &amp; Plan d''action'!$B$6:$AJ$1113,30,FALSE))</f>
        <v/>
      </c>
      <c r="DT689" s="70" t="s">
        <v>1124</v>
      </c>
      <c r="DU689" s="485" t="s">
        <v>1124</v>
      </c>
      <c r="DV689" s="485" t="s">
        <v>1124</v>
      </c>
      <c r="DW689" s="70" t="s">
        <v>1124</v>
      </c>
      <c r="DX689" s="70" t="s">
        <v>1124</v>
      </c>
      <c r="DY689" s="70" t="s">
        <v>1124</v>
      </c>
      <c r="DZ689" s="70" t="str">
        <f>VLOOKUP($BS689,'État &amp; Plan d''action'!$B$6:$AH$1113,31,FALSE)</f>
        <v/>
      </c>
      <c r="EA689" s="70" t="str">
        <f>VLOOKUP($BS689,'État &amp; Plan d''action'!$B$6:$AH$1113,32,FALSE)</f>
        <v/>
      </c>
      <c r="EB689" s="70" t="str">
        <f>VLOOKUP($BS689,'État &amp; Plan d''action'!$B$6:$AH$1113,33,FALSE)</f>
        <v/>
      </c>
      <c r="EC689" s="70" t="s">
        <v>1124</v>
      </c>
      <c r="ED689" s="70" t="s">
        <v>1124</v>
      </c>
      <c r="EE689" s="70" t="s">
        <v>1124</v>
      </c>
      <c r="EF689" s="70" t="s">
        <v>1124</v>
      </c>
      <c r="EG689" s="70" t="s">
        <v>1124</v>
      </c>
      <c r="EH689" s="72"/>
      <c r="EI689" s="72">
        <v>1365</v>
      </c>
    </row>
    <row r="690" spans="71:139" x14ac:dyDescent="0.35">
      <c r="BS690" s="486">
        <v>85015</v>
      </c>
      <c r="BT690" s="479" t="s">
        <v>872</v>
      </c>
      <c r="BU690" s="479">
        <v>8</v>
      </c>
      <c r="BV690" s="476" t="s">
        <v>1187</v>
      </c>
      <c r="BW690" s="476" t="s">
        <v>1187</v>
      </c>
      <c r="BX690" s="476" t="s">
        <v>1187</v>
      </c>
      <c r="BY690" s="476" t="s">
        <v>1187</v>
      </c>
      <c r="BZ690" s="476" t="s">
        <v>1187</v>
      </c>
      <c r="CA690" s="476" t="s">
        <v>1187</v>
      </c>
      <c r="CB690" s="476" t="s">
        <v>1187</v>
      </c>
      <c r="CC690" s="476" t="s">
        <v>1187</v>
      </c>
      <c r="CD690" s="476" t="s">
        <v>1187</v>
      </c>
      <c r="CE690" s="476" t="s">
        <v>1188</v>
      </c>
      <c r="CF690" s="476" t="s">
        <v>1188</v>
      </c>
      <c r="CG690" s="476" t="s">
        <v>1188</v>
      </c>
      <c r="CH690" s="476" t="s">
        <v>1187</v>
      </c>
      <c r="CI690" s="476" t="s">
        <v>1188</v>
      </c>
      <c r="CJ690" s="476" t="s">
        <v>1188</v>
      </c>
      <c r="CK690" s="476" t="s">
        <v>1188</v>
      </c>
      <c r="CL690" s="476" t="s">
        <v>1188</v>
      </c>
      <c r="CM690" s="476" t="str">
        <f>IF(VLOOKUP(BS690,'Données par municipalité'!$B$6:$E$1113,4,FALSE)="","non","oui")</f>
        <v>oui</v>
      </c>
      <c r="CN690" s="410">
        <v>1003.1102577158317</v>
      </c>
      <c r="CO690" s="410">
        <v>1421.0415960292007</v>
      </c>
      <c r="CP690" s="410">
        <v>1323.3227215277286</v>
      </c>
      <c r="CQ690" s="410">
        <v>837.3592576226248</v>
      </c>
      <c r="CR690" s="410">
        <v>812</v>
      </c>
      <c r="CS690" s="410">
        <v>498.60676042454179</v>
      </c>
      <c r="CT690" s="410">
        <v>355.19978903832003</v>
      </c>
      <c r="CU690" s="410">
        <v>278</v>
      </c>
      <c r="CV690" s="410">
        <f>IF(VLOOKUP(BS690,'Données par municipalité'!$B$6:$F$1113,4,FALSE)="","",VLOOKUP(BS690,'Données par municipalité'!$B$6:$F$1113,4,FALSE))</f>
        <v>284</v>
      </c>
      <c r="CW690" s="476" t="s">
        <v>4723</v>
      </c>
      <c r="CX690" s="483">
        <v>1</v>
      </c>
      <c r="CY690" s="483">
        <v>1</v>
      </c>
      <c r="CZ690" s="483" t="s">
        <v>1124</v>
      </c>
      <c r="DA690" s="483">
        <v>0</v>
      </c>
      <c r="DB690" s="483">
        <v>1</v>
      </c>
      <c r="DC690" s="483">
        <v>1</v>
      </c>
      <c r="DD690" s="483">
        <v>0</v>
      </c>
      <c r="DE690" s="483">
        <f>IFERROR(SUM(VLOOKUP($BS690,'État &amp; Plan d''action'!$B$6:$Z$1113,18,FALSE),VLOOKUP($BS690,'État &amp; Plan d''action'!$B$6:$Z$1113,20,FALSE))/(VLOOKUP($BS690,'Données par municipalité'!$B$4:$L$1113,11,FALSE)),"")</f>
        <v>0.11217049915872125</v>
      </c>
      <c r="DF690" s="483">
        <f>IFERROR(SUM(VLOOKUP($BS690,'État &amp; Plan d''action'!$B$6:$Z$1113,19,FALSE),VLOOKUP($BS690,'État &amp; Plan d''action'!$B$6:$Z$1113,21,FALSE))/(VLOOKUP($BS690,'Données par municipalité'!$B$4:$L$1113,11,FALSE)),"")</f>
        <v>0.11217049915872125</v>
      </c>
      <c r="DG690" s="476" t="s">
        <v>4723</v>
      </c>
      <c r="DH690" s="484">
        <v>2</v>
      </c>
      <c r="DI690" s="484">
        <v>5</v>
      </c>
      <c r="DJ690" s="484">
        <v>0</v>
      </c>
      <c r="DK690" s="484">
        <v>6</v>
      </c>
      <c r="DL690" s="484">
        <v>11</v>
      </c>
      <c r="DM690" s="484">
        <v>6</v>
      </c>
      <c r="DN690" s="484">
        <v>0</v>
      </c>
      <c r="DO690" s="484">
        <v>1</v>
      </c>
      <c r="DP690" s="484">
        <v>1</v>
      </c>
      <c r="DQ690" s="484">
        <f>IF(VLOOKUP($BS690,'État &amp; Plan d''action'!$B$6:$AJ$1113,28,FALSE)="","",VLOOKUP($BS690,'État &amp; Plan d''action'!$B$6:$AJ$1113,28,FALSE))</f>
        <v>2</v>
      </c>
      <c r="DR690" s="70">
        <f>IF(VLOOKUP($BS690,'État &amp; Plan d''action'!$B$6:$AJ$1113,29,FALSE)="","",VLOOKUP($BS690,'État &amp; Plan d''action'!$B$6:$AJ$1113,29,FALSE))</f>
        <v>4</v>
      </c>
      <c r="DS690" s="70">
        <f>IF(VLOOKUP($BS690,'État &amp; Plan d''action'!$B$6:$AJ$1113,30,FALSE)="","",VLOOKUP($BS690,'État &amp; Plan d''action'!$B$6:$AJ$1113,30,FALSE))</f>
        <v>2</v>
      </c>
      <c r="DT690" s="70">
        <v>218</v>
      </c>
      <c r="DU690" s="485">
        <v>2.0204898319169682</v>
      </c>
      <c r="DV690" s="485">
        <v>1.9552363286687435</v>
      </c>
      <c r="DW690" s="70">
        <v>0</v>
      </c>
      <c r="DX690" s="70">
        <v>5</v>
      </c>
      <c r="DY690" s="70">
        <v>8</v>
      </c>
      <c r="DZ690" s="70">
        <f>VLOOKUP($BS690,'État &amp; Plan d''action'!$B$6:$AH$1113,31,FALSE)</f>
        <v>1</v>
      </c>
      <c r="EA690" s="70">
        <f>VLOOKUP($BS690,'État &amp; Plan d''action'!$B$6:$AH$1113,32,FALSE)</f>
        <v>6</v>
      </c>
      <c r="EB690" s="70">
        <f>VLOOKUP($BS690,'État &amp; Plan d''action'!$B$6:$AH$1113,33,FALSE)</f>
        <v>3</v>
      </c>
      <c r="EC690" s="70">
        <v>0</v>
      </c>
      <c r="ED690" s="70">
        <v>0</v>
      </c>
      <c r="EE690" s="70">
        <v>0</v>
      </c>
      <c r="EF690" s="70">
        <v>0</v>
      </c>
      <c r="EG690" s="70">
        <v>0</v>
      </c>
      <c r="EH690" s="72">
        <v>57.372549019607838</v>
      </c>
      <c r="EI690" s="72">
        <v>627</v>
      </c>
    </row>
    <row r="691" spans="71:139" x14ac:dyDescent="0.35">
      <c r="BS691" s="486">
        <v>33080</v>
      </c>
      <c r="BT691" s="479" t="s">
        <v>278</v>
      </c>
      <c r="BU691" s="479">
        <v>12</v>
      </c>
      <c r="BV691" s="476" t="s">
        <v>1187</v>
      </c>
      <c r="BW691" s="476" t="s">
        <v>1187</v>
      </c>
      <c r="BX691" s="476" t="s">
        <v>1187</v>
      </c>
      <c r="BY691" s="476" t="s">
        <v>1187</v>
      </c>
      <c r="BZ691" s="476" t="s">
        <v>1187</v>
      </c>
      <c r="CA691" s="476" t="s">
        <v>1187</v>
      </c>
      <c r="CB691" s="476" t="s">
        <v>1187</v>
      </c>
      <c r="CC691" s="476" t="s">
        <v>1187</v>
      </c>
      <c r="CD691" s="476" t="s">
        <v>1187</v>
      </c>
      <c r="CE691" s="476" t="s">
        <v>1188</v>
      </c>
      <c r="CF691" s="476" t="s">
        <v>1188</v>
      </c>
      <c r="CG691" s="476" t="s">
        <v>1188</v>
      </c>
      <c r="CH691" s="476" t="s">
        <v>1188</v>
      </c>
      <c r="CI691" s="476" t="s">
        <v>1188</v>
      </c>
      <c r="CJ691" s="476" t="s">
        <v>1188</v>
      </c>
      <c r="CK691" s="476" t="s">
        <v>1188</v>
      </c>
      <c r="CL691" s="476" t="s">
        <v>1188</v>
      </c>
      <c r="CM691" s="476" t="str">
        <f>IF(VLOOKUP(BS691,'Données par municipalité'!$B$6:$E$1113,4,FALSE)="","non","oui")</f>
        <v>oui</v>
      </c>
      <c r="CN691" s="410">
        <v>337.78030087993187</v>
      </c>
      <c r="CO691" s="410">
        <v>344.06582963247251</v>
      </c>
      <c r="CP691" s="410">
        <v>317.40930302574139</v>
      </c>
      <c r="CQ691" s="410">
        <v>315.59899712946475</v>
      </c>
      <c r="CR691" s="410">
        <v>327.43982663880507</v>
      </c>
      <c r="CS691" s="410">
        <v>311.25955088467606</v>
      </c>
      <c r="CT691" s="410">
        <v>307.75590121356993</v>
      </c>
      <c r="CU691" s="410">
        <v>325</v>
      </c>
      <c r="CV691" s="410">
        <f>IF(VLOOKUP(BS691,'Données par municipalité'!$B$6:$F$1113,4,FALSE)="","",VLOOKUP(BS691,'Données par municipalité'!$B$6:$F$1113,4,FALSE))</f>
        <v>314</v>
      </c>
      <c r="CW691" s="476" t="s">
        <v>4723</v>
      </c>
      <c r="CX691" s="483">
        <v>0</v>
      </c>
      <c r="CY691" s="483">
        <v>0</v>
      </c>
      <c r="CZ691" s="483">
        <v>0</v>
      </c>
      <c r="DA691" s="483">
        <v>0</v>
      </c>
      <c r="DB691" s="483">
        <v>0</v>
      </c>
      <c r="DC691" s="483">
        <v>0</v>
      </c>
      <c r="DD691" s="483">
        <v>0</v>
      </c>
      <c r="DE691" s="483">
        <f>IFERROR(SUM(VLOOKUP($BS691,'État &amp; Plan d''action'!$B$6:$Z$1113,18,FALSE),VLOOKUP($BS691,'État &amp; Plan d''action'!$B$6:$Z$1113,20,FALSE))/(VLOOKUP($BS691,'Données par municipalité'!$B$4:$L$1113,11,FALSE)),"")</f>
        <v>0</v>
      </c>
      <c r="DF691" s="483">
        <f>IFERROR(SUM(VLOOKUP($BS691,'État &amp; Plan d''action'!$B$6:$Z$1113,19,FALSE),VLOOKUP($BS691,'État &amp; Plan d''action'!$B$6:$Z$1113,21,FALSE))/(VLOOKUP($BS691,'Données par municipalité'!$B$4:$L$1113,11,FALSE)),"")</f>
        <v>0</v>
      </c>
      <c r="DG691" s="476" t="s">
        <v>4723</v>
      </c>
      <c r="DH691" s="484">
        <v>0</v>
      </c>
      <c r="DI691" s="484">
        <v>0</v>
      </c>
      <c r="DJ691" s="484">
        <v>0</v>
      </c>
      <c r="DK691" s="484">
        <v>1</v>
      </c>
      <c r="DL691" s="484">
        <v>0</v>
      </c>
      <c r="DM691" s="484">
        <v>0</v>
      </c>
      <c r="DN691" s="484">
        <v>0</v>
      </c>
      <c r="DO691" s="484">
        <v>1</v>
      </c>
      <c r="DP691" s="484">
        <v>0</v>
      </c>
      <c r="DQ691" s="484">
        <f>IF(VLOOKUP($BS691,'État &amp; Plan d''action'!$B$6:$AJ$1113,28,FALSE)="","",VLOOKUP($BS691,'État &amp; Plan d''action'!$B$6:$AJ$1113,28,FALSE))</f>
        <v>0</v>
      </c>
      <c r="DR691" s="70">
        <f>IF(VLOOKUP($BS691,'État &amp; Plan d''action'!$B$6:$AJ$1113,29,FALSE)="","",VLOOKUP($BS691,'État &amp; Plan d''action'!$B$6:$AJ$1113,29,FALSE))</f>
        <v>0</v>
      </c>
      <c r="DS691" s="70">
        <f>IF(VLOOKUP($BS691,'État &amp; Plan d''action'!$B$6:$AJ$1113,30,FALSE)="","",VLOOKUP($BS691,'État &amp; Plan d''action'!$B$6:$AJ$1113,30,FALSE))</f>
        <v>0</v>
      </c>
      <c r="DT691" s="70">
        <v>282</v>
      </c>
      <c r="DU691" s="485">
        <v>1.5839897601428099</v>
      </c>
      <c r="DV691" s="485">
        <v>2.8387422085330378</v>
      </c>
      <c r="DW691" s="70">
        <v>0</v>
      </c>
      <c r="DX691" s="70">
        <v>2</v>
      </c>
      <c r="DY691" s="70">
        <v>0</v>
      </c>
      <c r="DZ691" s="70">
        <f>VLOOKUP($BS691,'État &amp; Plan d''action'!$B$6:$AH$1113,31,FALSE)</f>
        <v>0</v>
      </c>
      <c r="EA691" s="70">
        <f>VLOOKUP($BS691,'État &amp; Plan d''action'!$B$6:$AH$1113,32,FALSE)</f>
        <v>0</v>
      </c>
      <c r="EB691" s="70">
        <f>VLOOKUP($BS691,'État &amp; Plan d''action'!$B$6:$AH$1113,33,FALSE)</f>
        <v>0</v>
      </c>
      <c r="EC691" s="70">
        <v>0</v>
      </c>
      <c r="ED691" s="70">
        <v>0</v>
      </c>
      <c r="EE691" s="70">
        <v>0</v>
      </c>
      <c r="EF691" s="70">
        <v>0</v>
      </c>
      <c r="EG691" s="70">
        <v>0</v>
      </c>
      <c r="EH691" s="72">
        <v>58</v>
      </c>
      <c r="EI691" s="72">
        <v>1193</v>
      </c>
    </row>
    <row r="692" spans="71:139" x14ac:dyDescent="0.35">
      <c r="BS692" s="486">
        <v>51050</v>
      </c>
      <c r="BT692" s="479" t="s">
        <v>506</v>
      </c>
      <c r="BU692" s="479">
        <v>4</v>
      </c>
      <c r="BV692" s="476" t="s">
        <v>1187</v>
      </c>
      <c r="BW692" s="476" t="s">
        <v>1187</v>
      </c>
      <c r="BX692" s="476" t="s">
        <v>1187</v>
      </c>
      <c r="BY692" s="476" t="s">
        <v>1187</v>
      </c>
      <c r="BZ692" s="476" t="s">
        <v>1187</v>
      </c>
      <c r="CA692" s="476" t="s">
        <v>1187</v>
      </c>
      <c r="CB692" s="476" t="s">
        <v>1187</v>
      </c>
      <c r="CC692" s="476" t="s">
        <v>1187</v>
      </c>
      <c r="CD692" s="476" t="s">
        <v>1187</v>
      </c>
      <c r="CE692" s="476" t="s">
        <v>1188</v>
      </c>
      <c r="CF692" s="476" t="s">
        <v>1188</v>
      </c>
      <c r="CG692" s="476" t="s">
        <v>1187</v>
      </c>
      <c r="CH692" s="476" t="s">
        <v>1187</v>
      </c>
      <c r="CI692" s="476" t="s">
        <v>1188</v>
      </c>
      <c r="CJ692" s="476" t="s">
        <v>1188</v>
      </c>
      <c r="CK692" s="476" t="s">
        <v>1188</v>
      </c>
      <c r="CL692" s="476" t="s">
        <v>1188</v>
      </c>
      <c r="CM692" s="476" t="str">
        <f>IF(VLOOKUP(BS692,'Données par municipalité'!$B$6:$E$1113,4,FALSE)="","non","oui")</f>
        <v>oui</v>
      </c>
      <c r="CN692" s="410">
        <v>531.45772756443262</v>
      </c>
      <c r="CO692" s="410">
        <v>400.42450193774283</v>
      </c>
      <c r="CP692" s="410"/>
      <c r="CQ692" s="410"/>
      <c r="CR692" s="410">
        <v>532.4425028909161</v>
      </c>
      <c r="CS692" s="410">
        <v>521.36505622321511</v>
      </c>
      <c r="CT692" s="410">
        <v>344.61683358981475</v>
      </c>
      <c r="CU692" s="410">
        <v>414</v>
      </c>
      <c r="CV692" s="410">
        <f>IF(VLOOKUP(BS692,'Données par municipalité'!$B$6:$F$1113,4,FALSE)="","",VLOOKUP(BS692,'Données par municipalité'!$B$6:$F$1113,4,FALSE))</f>
        <v>422</v>
      </c>
      <c r="CW692" s="476" t="s">
        <v>4723</v>
      </c>
      <c r="CX692" s="483">
        <v>0</v>
      </c>
      <c r="CY692" s="483" t="s">
        <v>1124</v>
      </c>
      <c r="CZ692" s="483" t="s">
        <v>1124</v>
      </c>
      <c r="DA692" s="483">
        <v>0.2</v>
      </c>
      <c r="DB692" s="483">
        <v>0.5</v>
      </c>
      <c r="DC692" s="483">
        <v>1</v>
      </c>
      <c r="DD692" s="483">
        <v>0</v>
      </c>
      <c r="DE692" s="483">
        <f>IFERROR(SUM(VLOOKUP($BS692,'État &amp; Plan d''action'!$B$6:$Z$1113,18,FALSE),VLOOKUP($BS692,'État &amp; Plan d''action'!$B$6:$Z$1113,20,FALSE))/(VLOOKUP($BS692,'Données par municipalité'!$B$4:$L$1113,11,FALSE)),"")</f>
        <v>1</v>
      </c>
      <c r="DF692" s="483">
        <f>IFERROR(SUM(VLOOKUP($BS692,'État &amp; Plan d''action'!$B$6:$Z$1113,19,FALSE),VLOOKUP($BS692,'État &amp; Plan d''action'!$B$6:$Z$1113,21,FALSE))/(VLOOKUP($BS692,'Données par municipalité'!$B$4:$L$1113,11,FALSE)),"")</f>
        <v>1</v>
      </c>
      <c r="DG692" s="476" t="s">
        <v>4723</v>
      </c>
      <c r="DH692" s="484">
        <v>0</v>
      </c>
      <c r="DI692" s="484" t="s">
        <v>1124</v>
      </c>
      <c r="DJ692" s="484">
        <v>0</v>
      </c>
      <c r="DK692" s="484">
        <v>1</v>
      </c>
      <c r="DL692" s="484">
        <v>1</v>
      </c>
      <c r="DM692" s="484">
        <v>0</v>
      </c>
      <c r="DN692" s="484">
        <v>1</v>
      </c>
      <c r="DO692" s="484">
        <v>0</v>
      </c>
      <c r="DP692" s="484">
        <v>0</v>
      </c>
      <c r="DQ692" s="484">
        <f>IF(VLOOKUP($BS692,'État &amp; Plan d''action'!$B$6:$AJ$1113,28,FALSE)="","",VLOOKUP($BS692,'État &amp; Plan d''action'!$B$6:$AJ$1113,28,FALSE))</f>
        <v>0</v>
      </c>
      <c r="DR692" s="70">
        <f>IF(VLOOKUP($BS692,'État &amp; Plan d''action'!$B$6:$AJ$1113,29,FALSE)="","",VLOOKUP($BS692,'État &amp; Plan d''action'!$B$6:$AJ$1113,29,FALSE))</f>
        <v>0</v>
      </c>
      <c r="DS692" s="70">
        <f>IF(VLOOKUP($BS692,'État &amp; Plan d''action'!$B$6:$AJ$1113,30,FALSE)="","",VLOOKUP($BS692,'État &amp; Plan d''action'!$B$6:$AJ$1113,30,FALSE))</f>
        <v>0</v>
      </c>
      <c r="DT692" s="70">
        <v>229</v>
      </c>
      <c r="DU692" s="485">
        <v>1.0922756227301482</v>
      </c>
      <c r="DV692" s="485">
        <v>2.5357277261492022</v>
      </c>
      <c r="DW692" s="70">
        <v>45</v>
      </c>
      <c r="DX692" s="70">
        <v>0</v>
      </c>
      <c r="DY692" s="70">
        <v>0</v>
      </c>
      <c r="DZ692" s="70">
        <f>VLOOKUP($BS692,'État &amp; Plan d''action'!$B$6:$AH$1113,31,FALSE)</f>
        <v>0</v>
      </c>
      <c r="EA692" s="70">
        <f>VLOOKUP($BS692,'État &amp; Plan d''action'!$B$6:$AH$1113,32,FALSE)</f>
        <v>0</v>
      </c>
      <c r="EB692" s="70">
        <f>VLOOKUP($BS692,'État &amp; Plan d''action'!$B$6:$AH$1113,33,FALSE)</f>
        <v>0</v>
      </c>
      <c r="EC692" s="70">
        <v>0</v>
      </c>
      <c r="ED692" s="70">
        <v>0</v>
      </c>
      <c r="EE692" s="70">
        <v>0</v>
      </c>
      <c r="EF692" s="70">
        <v>0</v>
      </c>
      <c r="EG692" s="70">
        <v>0</v>
      </c>
      <c r="EH692" s="72">
        <v>59</v>
      </c>
      <c r="EI692" s="72">
        <v>731</v>
      </c>
    </row>
    <row r="693" spans="71:139" x14ac:dyDescent="0.35">
      <c r="BS693" s="486">
        <v>44055</v>
      </c>
      <c r="BT693" s="479" t="s">
        <v>406</v>
      </c>
      <c r="BU693" s="479">
        <v>5</v>
      </c>
      <c r="BV693" s="476" t="s">
        <v>1187</v>
      </c>
      <c r="BW693" s="476" t="s">
        <v>1187</v>
      </c>
      <c r="BX693" s="476" t="s">
        <v>1187</v>
      </c>
      <c r="BY693" s="476" t="s">
        <v>1187</v>
      </c>
      <c r="BZ693" s="476" t="s">
        <v>1187</v>
      </c>
      <c r="CA693" s="476" t="s">
        <v>1187</v>
      </c>
      <c r="CB693" s="476" t="s">
        <v>1187</v>
      </c>
      <c r="CC693" s="476" t="s">
        <v>1187</v>
      </c>
      <c r="CD693" s="476" t="s">
        <v>1188</v>
      </c>
      <c r="CE693" s="476" t="s">
        <v>1188</v>
      </c>
      <c r="CF693" s="476" t="s">
        <v>1188</v>
      </c>
      <c r="CG693" s="476" t="s">
        <v>1187</v>
      </c>
      <c r="CH693" s="476" t="s">
        <v>1188</v>
      </c>
      <c r="CI693" s="476" t="s">
        <v>1188</v>
      </c>
      <c r="CJ693" s="476" t="s">
        <v>1188</v>
      </c>
      <c r="CK693" s="476" t="s">
        <v>1188</v>
      </c>
      <c r="CL693" s="476" t="s">
        <v>1188</v>
      </c>
      <c r="CM693" s="476" t="str">
        <f>IF(VLOOKUP(BS693,'Données par municipalité'!$B$6:$E$1113,4,FALSE)="","non","oui")</f>
        <v>non</v>
      </c>
      <c r="CN693" s="410">
        <v>500.12503125781444</v>
      </c>
      <c r="CO693" s="410">
        <v>314.77424391226612</v>
      </c>
      <c r="CP693" s="410"/>
      <c r="CQ693" s="410">
        <v>342.39120668750064</v>
      </c>
      <c r="CR693" s="410">
        <v>331.82624268403606</v>
      </c>
      <c r="CS693" s="410">
        <v>258.56239995584258</v>
      </c>
      <c r="CT693" s="410">
        <v>262.06370917801411</v>
      </c>
      <c r="CU693" s="410">
        <v>250</v>
      </c>
      <c r="CV693" s="410" t="str">
        <f>IF(VLOOKUP(BS693,'Données par municipalité'!$B$6:$F$1113,4,FALSE)="","",VLOOKUP(BS693,'Données par municipalité'!$B$6:$F$1113,4,FALSE))</f>
        <v/>
      </c>
      <c r="CW693" s="476" t="s">
        <v>4723</v>
      </c>
      <c r="CX693" s="483">
        <v>0.5</v>
      </c>
      <c r="CY693" s="483" t="s">
        <v>1124</v>
      </c>
      <c r="CZ693" s="483">
        <v>0</v>
      </c>
      <c r="DA693" s="483">
        <v>0</v>
      </c>
      <c r="DB693" s="483">
        <v>0</v>
      </c>
      <c r="DC693" s="483">
        <v>0</v>
      </c>
      <c r="DD693" s="483">
        <v>0</v>
      </c>
      <c r="DE693" s="483" t="str">
        <f>IFERROR(SUM(VLOOKUP($BS693,'État &amp; Plan d''action'!$B$6:$Z$1113,18,FALSE),VLOOKUP($BS693,'État &amp; Plan d''action'!$B$6:$Z$1113,20,FALSE))/(VLOOKUP($BS693,'Données par municipalité'!$B$4:$L$1113,11,FALSE)),"")</f>
        <v/>
      </c>
      <c r="DF693" s="483" t="str">
        <f>IFERROR(SUM(VLOOKUP($BS693,'État &amp; Plan d''action'!$B$6:$Z$1113,19,FALSE),VLOOKUP($BS693,'État &amp; Plan d''action'!$B$6:$Z$1113,21,FALSE))/(VLOOKUP($BS693,'Données par municipalité'!$B$4:$L$1113,11,FALSE)),"")</f>
        <v/>
      </c>
      <c r="DG693" s="476" t="s">
        <v>4723</v>
      </c>
      <c r="DH693" s="484">
        <v>3</v>
      </c>
      <c r="DI693" s="484" t="s">
        <v>1124</v>
      </c>
      <c r="DJ693" s="484">
        <v>1</v>
      </c>
      <c r="DK693" s="484">
        <v>0</v>
      </c>
      <c r="DL693" s="484">
        <v>2</v>
      </c>
      <c r="DM693" s="484">
        <v>2</v>
      </c>
      <c r="DN693" s="484">
        <v>0</v>
      </c>
      <c r="DO693" s="484">
        <v>0</v>
      </c>
      <c r="DP693" s="484">
        <v>0</v>
      </c>
      <c r="DQ693" s="484" t="str">
        <f>IF(VLOOKUP($BS693,'État &amp; Plan d''action'!$B$6:$AJ$1113,28,FALSE)="","",VLOOKUP($BS693,'État &amp; Plan d''action'!$B$6:$AJ$1113,28,FALSE))</f>
        <v/>
      </c>
      <c r="DR693" s="70" t="str">
        <f>IF(VLOOKUP($BS693,'État &amp; Plan d''action'!$B$6:$AJ$1113,29,FALSE)="","",VLOOKUP($BS693,'État &amp; Plan d''action'!$B$6:$AJ$1113,29,FALSE))</f>
        <v/>
      </c>
      <c r="DS693" s="70" t="str">
        <f>IF(VLOOKUP($BS693,'État &amp; Plan d''action'!$B$6:$AJ$1113,30,FALSE)="","",VLOOKUP($BS693,'État &amp; Plan d''action'!$B$6:$AJ$1113,30,FALSE))</f>
        <v/>
      </c>
      <c r="DT693" s="70">
        <v>182</v>
      </c>
      <c r="DU693" s="485">
        <v>1.2907626133542591</v>
      </c>
      <c r="DV693" s="485" t="s">
        <v>1124</v>
      </c>
      <c r="DW693" s="70">
        <v>0</v>
      </c>
      <c r="DX693" s="70">
        <v>0</v>
      </c>
      <c r="DY693" s="70">
        <v>0</v>
      </c>
      <c r="DZ693" s="70" t="str">
        <f>VLOOKUP($BS693,'État &amp; Plan d''action'!$B$6:$AH$1113,31,FALSE)</f>
        <v/>
      </c>
      <c r="EA693" s="70" t="str">
        <f>VLOOKUP($BS693,'État &amp; Plan d''action'!$B$6:$AH$1113,32,FALSE)</f>
        <v/>
      </c>
      <c r="EB693" s="70" t="str">
        <f>VLOOKUP($BS693,'État &amp; Plan d''action'!$B$6:$AH$1113,33,FALSE)</f>
        <v/>
      </c>
      <c r="EC693" s="70">
        <v>0</v>
      </c>
      <c r="ED693" s="70">
        <v>0</v>
      </c>
      <c r="EE693" s="70">
        <v>0</v>
      </c>
      <c r="EF693" s="70">
        <v>0</v>
      </c>
      <c r="EG693" s="70">
        <v>0</v>
      </c>
      <c r="EH693" s="72">
        <v>45</v>
      </c>
      <c r="EI693" s="72">
        <v>518</v>
      </c>
    </row>
    <row r="694" spans="71:139" x14ac:dyDescent="0.35">
      <c r="BS694" s="486">
        <v>52030</v>
      </c>
      <c r="BT694" s="479" t="s">
        <v>517</v>
      </c>
      <c r="BU694" s="479">
        <v>14</v>
      </c>
      <c r="BV694" s="476" t="s">
        <v>1187</v>
      </c>
      <c r="BW694" s="476" t="s">
        <v>1187</v>
      </c>
      <c r="BX694" s="476" t="s">
        <v>1187</v>
      </c>
      <c r="BY694" s="476" t="s">
        <v>1187</v>
      </c>
      <c r="BZ694" s="476" t="s">
        <v>1187</v>
      </c>
      <c r="CA694" s="476" t="s">
        <v>1187</v>
      </c>
      <c r="CB694" s="476" t="s">
        <v>1187</v>
      </c>
      <c r="CC694" s="476" t="s">
        <v>1187</v>
      </c>
      <c r="CD694" s="476" t="s">
        <v>1187</v>
      </c>
      <c r="CE694" s="476" t="s">
        <v>1188</v>
      </c>
      <c r="CF694" s="476" t="s">
        <v>1188</v>
      </c>
      <c r="CG694" s="476" t="s">
        <v>1188</v>
      </c>
      <c r="CH694" s="476" t="s">
        <v>1188</v>
      </c>
      <c r="CI694" s="476" t="s">
        <v>1188</v>
      </c>
      <c r="CJ694" s="476" t="s">
        <v>1188</v>
      </c>
      <c r="CK694" s="476" t="s">
        <v>1188</v>
      </c>
      <c r="CL694" s="476" t="s">
        <v>1188</v>
      </c>
      <c r="CM694" s="476" t="str">
        <f>IF(VLOOKUP(BS694,'Données par municipalité'!$B$6:$E$1113,4,FALSE)="","non","oui")</f>
        <v>oui</v>
      </c>
      <c r="CN694" s="410">
        <v>804.38742005536335</v>
      </c>
      <c r="CO694" s="410">
        <v>633.48407821994124</v>
      </c>
      <c r="CP694" s="410">
        <v>643.42059729275604</v>
      </c>
      <c r="CQ694" s="410">
        <v>515.22917965348358</v>
      </c>
      <c r="CR694" s="410">
        <v>551.18933843049797</v>
      </c>
      <c r="CS694" s="410">
        <v>583.66153488699342</v>
      </c>
      <c r="CT694" s="410">
        <v>523.41873426062648</v>
      </c>
      <c r="CU694" s="410">
        <v>660</v>
      </c>
      <c r="CV694" s="410">
        <f>IF(VLOOKUP(BS694,'Données par municipalité'!$B$6:$F$1113,4,FALSE)="","",VLOOKUP(BS694,'Données par municipalité'!$B$6:$F$1113,4,FALSE))</f>
        <v>738</v>
      </c>
      <c r="CW694" s="476" t="s">
        <v>4723</v>
      </c>
      <c r="CX694" s="483">
        <v>0</v>
      </c>
      <c r="CY694" s="483">
        <v>1</v>
      </c>
      <c r="CZ694" s="483">
        <v>1</v>
      </c>
      <c r="DA694" s="483">
        <v>1</v>
      </c>
      <c r="DB694" s="483">
        <v>1</v>
      </c>
      <c r="DC694" s="483">
        <v>1</v>
      </c>
      <c r="DD694" s="483">
        <v>0</v>
      </c>
      <c r="DE694" s="483">
        <f>IFERROR(SUM(VLOOKUP($BS694,'État &amp; Plan d''action'!$B$6:$Z$1113,18,FALSE),VLOOKUP($BS694,'État &amp; Plan d''action'!$B$6:$Z$1113,20,FALSE))/(VLOOKUP($BS694,'Données par municipalité'!$B$4:$L$1113,11,FALSE)),"")</f>
        <v>0</v>
      </c>
      <c r="DF694" s="483">
        <f>IFERROR(SUM(VLOOKUP($BS694,'État &amp; Plan d''action'!$B$6:$Z$1113,19,FALSE),VLOOKUP($BS694,'État &amp; Plan d''action'!$B$6:$Z$1113,21,FALSE))/(VLOOKUP($BS694,'Données par municipalité'!$B$4:$L$1113,11,FALSE)),"")</f>
        <v>0</v>
      </c>
      <c r="DG694" s="476" t="s">
        <v>4723</v>
      </c>
      <c r="DH694" s="484">
        <v>3</v>
      </c>
      <c r="DI694" s="484">
        <v>4</v>
      </c>
      <c r="DJ694" s="484">
        <v>6</v>
      </c>
      <c r="DK694" s="484">
        <v>5</v>
      </c>
      <c r="DL694" s="484">
        <v>3</v>
      </c>
      <c r="DM694" s="484">
        <v>4</v>
      </c>
      <c r="DN694" s="484">
        <v>2</v>
      </c>
      <c r="DO694" s="484">
        <v>0</v>
      </c>
      <c r="DP694" s="484">
        <v>10</v>
      </c>
      <c r="DQ694" s="484">
        <f>IF(VLOOKUP($BS694,'État &amp; Plan d''action'!$B$6:$AJ$1113,28,FALSE)="","",VLOOKUP($BS694,'État &amp; Plan d''action'!$B$6:$AJ$1113,28,FALSE))</f>
        <v>0</v>
      </c>
      <c r="DR694" s="70">
        <f>IF(VLOOKUP($BS694,'État &amp; Plan d''action'!$B$6:$AJ$1113,29,FALSE)="","",VLOOKUP($BS694,'État &amp; Plan d''action'!$B$6:$AJ$1113,29,FALSE))</f>
        <v>5</v>
      </c>
      <c r="DS694" s="70">
        <f>IF(VLOOKUP($BS694,'État &amp; Plan d''action'!$B$6:$AJ$1113,30,FALSE)="","",VLOOKUP($BS694,'État &amp; Plan d''action'!$B$6:$AJ$1113,30,FALSE))</f>
        <v>0</v>
      </c>
      <c r="DT694" s="70">
        <v>406</v>
      </c>
      <c r="DU694" s="485">
        <v>2.7336603534406638</v>
      </c>
      <c r="DV694" s="485">
        <v>3.7142724574332973</v>
      </c>
      <c r="DW694" s="70">
        <v>1</v>
      </c>
      <c r="DX694" s="70">
        <v>1</v>
      </c>
      <c r="DY694" s="70">
        <v>5</v>
      </c>
      <c r="DZ694" s="70">
        <f>VLOOKUP($BS694,'État &amp; Plan d''action'!$B$6:$AH$1113,31,FALSE)</f>
        <v>0</v>
      </c>
      <c r="EA694" s="70">
        <f>VLOOKUP($BS694,'État &amp; Plan d''action'!$B$6:$AH$1113,32,FALSE)</f>
        <v>1</v>
      </c>
      <c r="EB694" s="70">
        <f>VLOOKUP($BS694,'État &amp; Plan d''action'!$B$6:$AH$1113,33,FALSE)</f>
        <v>0</v>
      </c>
      <c r="EC694" s="70">
        <v>0</v>
      </c>
      <c r="ED694" s="70">
        <v>0</v>
      </c>
      <c r="EE694" s="70">
        <v>0</v>
      </c>
      <c r="EF694" s="70">
        <v>0</v>
      </c>
      <c r="EG694" s="70">
        <v>0</v>
      </c>
      <c r="EH694" s="72">
        <v>54</v>
      </c>
      <c r="EI694" s="72">
        <v>1486</v>
      </c>
    </row>
    <row r="695" spans="71:139" x14ac:dyDescent="0.35">
      <c r="BS695" s="486">
        <v>39090</v>
      </c>
      <c r="BT695" s="479" t="s">
        <v>349</v>
      </c>
      <c r="BU695" s="479">
        <v>17</v>
      </c>
      <c r="BV695" s="476" t="s">
        <v>1188</v>
      </c>
      <c r="BW695" s="476" t="s">
        <v>1188</v>
      </c>
      <c r="BX695" s="476" t="s">
        <v>1188</v>
      </c>
      <c r="BY695" s="476" t="s">
        <v>1188</v>
      </c>
      <c r="BZ695" s="476" t="s">
        <v>1188</v>
      </c>
      <c r="CA695" s="476" t="s">
        <v>1188</v>
      </c>
      <c r="CB695" s="476" t="s">
        <v>1188</v>
      </c>
      <c r="CC695" s="476" t="s">
        <v>1188</v>
      </c>
      <c r="CD695" s="476" t="s">
        <v>1188</v>
      </c>
      <c r="CE695" s="476" t="s">
        <v>1187</v>
      </c>
      <c r="CF695" s="476" t="s">
        <v>1187</v>
      </c>
      <c r="CG695" s="476" t="s">
        <v>1187</v>
      </c>
      <c r="CH695" s="476" t="s">
        <v>1187</v>
      </c>
      <c r="CI695" s="476" t="s">
        <v>1187</v>
      </c>
      <c r="CJ695" s="476" t="s">
        <v>1187</v>
      </c>
      <c r="CK695" s="476" t="s">
        <v>1187</v>
      </c>
      <c r="CL695" s="476" t="s">
        <v>1187</v>
      </c>
      <c r="CM695" s="476" t="str">
        <f>IF(VLOOKUP(BS695,'Données par municipalité'!$B$6:$E$1113,4,FALSE)="","non","oui")</f>
        <v>non</v>
      </c>
      <c r="CN695" s="410" t="s">
        <v>1124</v>
      </c>
      <c r="CO695" s="410" t="s">
        <v>1124</v>
      </c>
      <c r="CP695" s="410"/>
      <c r="CQ695" s="410"/>
      <c r="CR695" s="410"/>
      <c r="CS695" s="410" t="s">
        <v>1124</v>
      </c>
      <c r="CT695" s="410"/>
      <c r="CU695" s="410" t="s">
        <v>1124</v>
      </c>
      <c r="CV695" s="410" t="str">
        <f>IF(VLOOKUP(BS695,'Données par municipalité'!$B$6:$F$1113,4,FALSE)="","",VLOOKUP(BS695,'Données par municipalité'!$B$6:$F$1113,4,FALSE))</f>
        <v/>
      </c>
      <c r="CW695" s="476" t="s">
        <v>4723</v>
      </c>
      <c r="CX695" s="483" t="s">
        <v>1124</v>
      </c>
      <c r="CY695" s="483" t="s">
        <v>1124</v>
      </c>
      <c r="CZ695" s="483" t="s">
        <v>1124</v>
      </c>
      <c r="DA695" s="483" t="s">
        <v>1124</v>
      </c>
      <c r="DB695" s="483" t="s">
        <v>1124</v>
      </c>
      <c r="DC695" s="483" t="s">
        <v>1124</v>
      </c>
      <c r="DD695" s="483" t="s">
        <v>1124</v>
      </c>
      <c r="DE695" s="483" t="str">
        <f>IFERROR(SUM(VLOOKUP($BS695,'État &amp; Plan d''action'!$B$6:$Z$1113,18,FALSE),VLOOKUP($BS695,'État &amp; Plan d''action'!$B$6:$Z$1113,20,FALSE))/(VLOOKUP($BS695,'Données par municipalité'!$B$4:$L$1113,11,FALSE)),"")</f>
        <v/>
      </c>
      <c r="DF695" s="483" t="str">
        <f>IFERROR(SUM(VLOOKUP($BS695,'État &amp; Plan d''action'!$B$6:$Z$1113,19,FALSE),VLOOKUP($BS695,'État &amp; Plan d''action'!$B$6:$Z$1113,21,FALSE))/(VLOOKUP($BS695,'Données par municipalité'!$B$4:$L$1113,11,FALSE)),"")</f>
        <v/>
      </c>
      <c r="DG695" s="476" t="s">
        <v>4723</v>
      </c>
      <c r="DH695" s="484" t="s">
        <v>1124</v>
      </c>
      <c r="DI695" s="484" t="s">
        <v>1124</v>
      </c>
      <c r="DJ695" s="484">
        <v>0</v>
      </c>
      <c r="DK695" s="484">
        <v>0</v>
      </c>
      <c r="DL695" s="484" t="s">
        <v>1124</v>
      </c>
      <c r="DM695" s="484" t="s">
        <v>1124</v>
      </c>
      <c r="DN695" s="484" t="s">
        <v>1124</v>
      </c>
      <c r="DO695" s="484" t="s">
        <v>1124</v>
      </c>
      <c r="DP695" s="484" t="s">
        <v>1124</v>
      </c>
      <c r="DQ695" s="484" t="str">
        <f>IF(VLOOKUP($BS695,'État &amp; Plan d''action'!$B$6:$AJ$1113,28,FALSE)="","",VLOOKUP($BS695,'État &amp; Plan d''action'!$B$6:$AJ$1113,28,FALSE))</f>
        <v/>
      </c>
      <c r="DR695" s="70" t="str">
        <f>IF(VLOOKUP($BS695,'État &amp; Plan d''action'!$B$6:$AJ$1113,29,FALSE)="","",VLOOKUP($BS695,'État &amp; Plan d''action'!$B$6:$AJ$1113,29,FALSE))</f>
        <v/>
      </c>
      <c r="DS695" s="70" t="str">
        <f>IF(VLOOKUP($BS695,'État &amp; Plan d''action'!$B$6:$AJ$1113,30,FALSE)="","",VLOOKUP($BS695,'État &amp; Plan d''action'!$B$6:$AJ$1113,30,FALSE))</f>
        <v/>
      </c>
      <c r="DT695" s="70" t="s">
        <v>1124</v>
      </c>
      <c r="DU695" s="485" t="s">
        <v>1124</v>
      </c>
      <c r="DV695" s="485" t="s">
        <v>1124</v>
      </c>
      <c r="DW695" s="70" t="s">
        <v>1124</v>
      </c>
      <c r="DX695" s="70" t="s">
        <v>1124</v>
      </c>
      <c r="DY695" s="70" t="s">
        <v>1124</v>
      </c>
      <c r="DZ695" s="70" t="str">
        <f>VLOOKUP($BS695,'État &amp; Plan d''action'!$B$6:$AH$1113,31,FALSE)</f>
        <v/>
      </c>
      <c r="EA695" s="70" t="str">
        <f>VLOOKUP($BS695,'État &amp; Plan d''action'!$B$6:$AH$1113,32,FALSE)</f>
        <v/>
      </c>
      <c r="EB695" s="70" t="str">
        <f>VLOOKUP($BS695,'État &amp; Plan d''action'!$B$6:$AH$1113,33,FALSE)</f>
        <v/>
      </c>
      <c r="EC695" s="70" t="s">
        <v>1124</v>
      </c>
      <c r="ED695" s="70" t="s">
        <v>1124</v>
      </c>
      <c r="EE695" s="70" t="s">
        <v>1124</v>
      </c>
      <c r="EF695" s="70" t="s">
        <v>1124</v>
      </c>
      <c r="EG695" s="70" t="s">
        <v>1124</v>
      </c>
      <c r="EH695" s="72"/>
      <c r="EI695" s="72">
        <v>394</v>
      </c>
    </row>
    <row r="696" spans="71:139" x14ac:dyDescent="0.35">
      <c r="BS696" s="486">
        <v>62070</v>
      </c>
      <c r="BT696" s="479" t="s">
        <v>630</v>
      </c>
      <c r="BU696" s="479">
        <v>14</v>
      </c>
      <c r="BV696" s="476" t="s">
        <v>1187</v>
      </c>
      <c r="BW696" s="476" t="s">
        <v>1187</v>
      </c>
      <c r="BX696" s="476" t="s">
        <v>1187</v>
      </c>
      <c r="BY696" s="476" t="s">
        <v>1187</v>
      </c>
      <c r="BZ696" s="476" t="s">
        <v>1187</v>
      </c>
      <c r="CA696" s="476" t="s">
        <v>1187</v>
      </c>
      <c r="CB696" s="476" t="s">
        <v>1187</v>
      </c>
      <c r="CC696" s="476" t="s">
        <v>1187</v>
      </c>
      <c r="CD696" s="476" t="s">
        <v>1187</v>
      </c>
      <c r="CE696" s="476" t="s">
        <v>1188</v>
      </c>
      <c r="CF696" s="476" t="s">
        <v>1188</v>
      </c>
      <c r="CG696" s="476" t="s">
        <v>1187</v>
      </c>
      <c r="CH696" s="476" t="s">
        <v>1188</v>
      </c>
      <c r="CI696" s="476" t="s">
        <v>1188</v>
      </c>
      <c r="CJ696" s="476" t="s">
        <v>1188</v>
      </c>
      <c r="CK696" s="476" t="s">
        <v>1188</v>
      </c>
      <c r="CL696" s="476" t="s">
        <v>1188</v>
      </c>
      <c r="CM696" s="476" t="str">
        <f>IF(VLOOKUP(BS696,'Données par municipalité'!$B$6:$E$1113,4,FALSE)="","non","oui")</f>
        <v>oui</v>
      </c>
      <c r="CN696" s="410">
        <v>1328.8795294459371</v>
      </c>
      <c r="CO696" s="410">
        <v>1415.5066642920112</v>
      </c>
      <c r="CP696" s="410"/>
      <c r="CQ696" s="410">
        <v>570.67634402824058</v>
      </c>
      <c r="CR696" s="410">
        <v>738.68198105235001</v>
      </c>
      <c r="CS696" s="410">
        <v>667.88099574984813</v>
      </c>
      <c r="CT696" s="410">
        <v>419.16649500463478</v>
      </c>
      <c r="CU696" s="410">
        <v>591</v>
      </c>
      <c r="CV696" s="410">
        <f>IF(VLOOKUP(BS696,'Données par municipalité'!$B$6:$F$1113,4,FALSE)="","",VLOOKUP(BS696,'Données par municipalité'!$B$6:$F$1113,4,FALSE))</f>
        <v>614</v>
      </c>
      <c r="CW696" s="476" t="s">
        <v>4723</v>
      </c>
      <c r="CX696" s="483">
        <v>0.01</v>
      </c>
      <c r="CY696" s="483" t="s">
        <v>1124</v>
      </c>
      <c r="CZ696" s="483">
        <v>0</v>
      </c>
      <c r="DA696" s="483">
        <v>0</v>
      </c>
      <c r="DB696" s="483">
        <v>0</v>
      </c>
      <c r="DC696" s="483">
        <v>0</v>
      </c>
      <c r="DD696" s="483">
        <v>1</v>
      </c>
      <c r="DE696" s="483">
        <f>IFERROR(SUM(VLOOKUP($BS696,'État &amp; Plan d''action'!$B$6:$Z$1113,18,FALSE),VLOOKUP($BS696,'État &amp; Plan d''action'!$B$6:$Z$1113,20,FALSE))/(VLOOKUP($BS696,'Données par municipalité'!$B$4:$L$1113,11,FALSE)),"")</f>
        <v>0</v>
      </c>
      <c r="DF696" s="483">
        <f>IFERROR(SUM(VLOOKUP($BS696,'État &amp; Plan d''action'!$B$6:$Z$1113,19,FALSE),VLOOKUP($BS696,'État &amp; Plan d''action'!$B$6:$Z$1113,21,FALSE))/(VLOOKUP($BS696,'Données par municipalité'!$B$4:$L$1113,11,FALSE)),"")</f>
        <v>1.0000000000000002</v>
      </c>
      <c r="DG696" s="476" t="s">
        <v>4723</v>
      </c>
      <c r="DH696" s="484">
        <v>0</v>
      </c>
      <c r="DI696" s="484" t="s">
        <v>1124</v>
      </c>
      <c r="DJ696" s="484">
        <v>0</v>
      </c>
      <c r="DK696" s="484">
        <v>1</v>
      </c>
      <c r="DL696" s="484">
        <v>6</v>
      </c>
      <c r="DM696" s="484">
        <v>0</v>
      </c>
      <c r="DN696" s="484">
        <v>1</v>
      </c>
      <c r="DO696" s="484">
        <v>0</v>
      </c>
      <c r="DP696" s="484">
        <v>1</v>
      </c>
      <c r="DQ696" s="484">
        <f>IF(VLOOKUP($BS696,'État &amp; Plan d''action'!$B$6:$AJ$1113,28,FALSE)="","",VLOOKUP($BS696,'État &amp; Plan d''action'!$B$6:$AJ$1113,28,FALSE))</f>
        <v>1</v>
      </c>
      <c r="DR696" s="70">
        <f>IF(VLOOKUP($BS696,'État &amp; Plan d''action'!$B$6:$AJ$1113,29,FALSE)="","",VLOOKUP($BS696,'État &amp; Plan d''action'!$B$6:$AJ$1113,29,FALSE))</f>
        <v>0</v>
      </c>
      <c r="DS696" s="70">
        <f>IF(VLOOKUP($BS696,'État &amp; Plan d''action'!$B$6:$AJ$1113,30,FALSE)="","",VLOOKUP($BS696,'État &amp; Plan d''action'!$B$6:$AJ$1113,30,FALSE))</f>
        <v>0</v>
      </c>
      <c r="DT696" s="70">
        <v>355</v>
      </c>
      <c r="DU696" s="485">
        <v>2.7899409215612487</v>
      </c>
      <c r="DV696" s="485">
        <v>5.1750276582712056</v>
      </c>
      <c r="DW696" s="70">
        <v>2</v>
      </c>
      <c r="DX696" s="70">
        <v>0</v>
      </c>
      <c r="DY696" s="70">
        <v>3</v>
      </c>
      <c r="DZ696" s="70">
        <f>VLOOKUP($BS696,'État &amp; Plan d''action'!$B$6:$AH$1113,31,FALSE)</f>
        <v>3</v>
      </c>
      <c r="EA696" s="70">
        <f>VLOOKUP($BS696,'État &amp; Plan d''action'!$B$6:$AH$1113,32,FALSE)</f>
        <v>0</v>
      </c>
      <c r="EB696" s="70">
        <f>VLOOKUP($BS696,'État &amp; Plan d''action'!$B$6:$AH$1113,33,FALSE)</f>
        <v>0</v>
      </c>
      <c r="EC696" s="70">
        <v>0</v>
      </c>
      <c r="ED696" s="70">
        <v>0</v>
      </c>
      <c r="EE696" s="70">
        <v>5.6959999999999997</v>
      </c>
      <c r="EF696" s="70">
        <v>0</v>
      </c>
      <c r="EG696" s="70">
        <v>0</v>
      </c>
      <c r="EH696" s="72">
        <v>57</v>
      </c>
      <c r="EI696" s="72">
        <v>1614</v>
      </c>
    </row>
    <row r="697" spans="71:139" x14ac:dyDescent="0.35">
      <c r="BS697" s="486">
        <v>50005</v>
      </c>
      <c r="BT697" s="479" t="s">
        <v>482</v>
      </c>
      <c r="BU697" s="479">
        <v>17</v>
      </c>
      <c r="BV697" s="476" t="s">
        <v>1187</v>
      </c>
      <c r="BW697" s="476" t="s">
        <v>1187</v>
      </c>
      <c r="BX697" s="476" t="s">
        <v>1187</v>
      </c>
      <c r="BY697" s="476" t="s">
        <v>1187</v>
      </c>
      <c r="BZ697" s="476" t="s">
        <v>1187</v>
      </c>
      <c r="CA697" s="476" t="s">
        <v>1187</v>
      </c>
      <c r="CB697" s="476" t="s">
        <v>1187</v>
      </c>
      <c r="CC697" s="476" t="s">
        <v>1187</v>
      </c>
      <c r="CD697" s="476" t="s">
        <v>1187</v>
      </c>
      <c r="CE697" s="476" t="s">
        <v>1188</v>
      </c>
      <c r="CF697" s="476" t="s">
        <v>1188</v>
      </c>
      <c r="CG697" s="476" t="s">
        <v>1188</v>
      </c>
      <c r="CH697" s="476" t="s">
        <v>1187</v>
      </c>
      <c r="CI697" s="476" t="s">
        <v>1188</v>
      </c>
      <c r="CJ697" s="476" t="s">
        <v>1188</v>
      </c>
      <c r="CK697" s="476" t="s">
        <v>1188</v>
      </c>
      <c r="CL697" s="476" t="s">
        <v>1188</v>
      </c>
      <c r="CM697" s="476" t="str">
        <f>IF(VLOOKUP(BS697,'Données par municipalité'!$B$6:$E$1113,4,FALSE)="","non","oui")</f>
        <v>oui</v>
      </c>
      <c r="CN697" s="410">
        <v>402.92480032203059</v>
      </c>
      <c r="CO697" s="410">
        <v>437.19391231996502</v>
      </c>
      <c r="CP697" s="410">
        <v>396.23319593697101</v>
      </c>
      <c r="CQ697" s="410"/>
      <c r="CR697" s="410">
        <v>355.31456238945896</v>
      </c>
      <c r="CS697" s="410">
        <v>354.8788712197877</v>
      </c>
      <c r="CT697" s="410">
        <v>391.11697227734572</v>
      </c>
      <c r="CU697" s="410">
        <v>437</v>
      </c>
      <c r="CV697" s="410">
        <f>IF(VLOOKUP(BS697,'Données par municipalité'!$B$6:$F$1113,4,FALSE)="","",VLOOKUP(BS697,'Données par municipalité'!$B$6:$F$1113,4,FALSE))</f>
        <v>360</v>
      </c>
      <c r="CW697" s="476" t="s">
        <v>4723</v>
      </c>
      <c r="CX697" s="483">
        <v>0</v>
      </c>
      <c r="CY697" s="483">
        <v>0</v>
      </c>
      <c r="CZ697" s="483" t="s">
        <v>1124</v>
      </c>
      <c r="DA697" s="483">
        <v>0.5</v>
      </c>
      <c r="DB697" s="483">
        <v>0.5</v>
      </c>
      <c r="DC697" s="483">
        <v>0.55000000000000004</v>
      </c>
      <c r="DD697" s="483">
        <v>1</v>
      </c>
      <c r="DE697" s="483">
        <f>IFERROR(SUM(VLOOKUP($BS697,'État &amp; Plan d''action'!$B$6:$Z$1113,18,FALSE),VLOOKUP($BS697,'État &amp; Plan d''action'!$B$6:$Z$1113,20,FALSE))/(VLOOKUP($BS697,'Données par municipalité'!$B$4:$L$1113,11,FALSE)),"")</f>
        <v>1</v>
      </c>
      <c r="DF697" s="483">
        <f>IFERROR(SUM(VLOOKUP($BS697,'État &amp; Plan d''action'!$B$6:$Z$1113,19,FALSE),VLOOKUP($BS697,'État &amp; Plan d''action'!$B$6:$Z$1113,21,FALSE))/(VLOOKUP($BS697,'Données par municipalité'!$B$4:$L$1113,11,FALSE)),"")</f>
        <v>1</v>
      </c>
      <c r="DG697" s="476" t="s">
        <v>4723</v>
      </c>
      <c r="DH697" s="484">
        <v>0</v>
      </c>
      <c r="DI697" s="484">
        <v>0</v>
      </c>
      <c r="DJ697" s="484">
        <v>0</v>
      </c>
      <c r="DK697" s="484">
        <v>0</v>
      </c>
      <c r="DL697" s="484">
        <v>0</v>
      </c>
      <c r="DM697" s="484">
        <v>0</v>
      </c>
      <c r="DN697" s="484">
        <v>0</v>
      </c>
      <c r="DO697" s="484">
        <v>0</v>
      </c>
      <c r="DP697" s="484">
        <v>0</v>
      </c>
      <c r="DQ697" s="484">
        <f>IF(VLOOKUP($BS697,'État &amp; Plan d''action'!$B$6:$AJ$1113,28,FALSE)="","",VLOOKUP($BS697,'État &amp; Plan d''action'!$B$6:$AJ$1113,28,FALSE))</f>
        <v>0</v>
      </c>
      <c r="DR697" s="70">
        <f>IF(VLOOKUP($BS697,'État &amp; Plan d''action'!$B$6:$AJ$1113,29,FALSE)="","",VLOOKUP($BS697,'État &amp; Plan d''action'!$B$6:$AJ$1113,29,FALSE))</f>
        <v>0</v>
      </c>
      <c r="DS697" s="70">
        <f>IF(VLOOKUP($BS697,'État &amp; Plan d''action'!$B$6:$AJ$1113,30,FALSE)="","",VLOOKUP($BS697,'État &amp; Plan d''action'!$B$6:$AJ$1113,30,FALSE))</f>
        <v>0</v>
      </c>
      <c r="DT697" s="70">
        <v>250</v>
      </c>
      <c r="DU697" s="485">
        <v>1.4559869810058865</v>
      </c>
      <c r="DV697" s="485">
        <v>2.7413176900288958</v>
      </c>
      <c r="DW697" s="70">
        <v>0</v>
      </c>
      <c r="DX697" s="70">
        <v>0</v>
      </c>
      <c r="DY697" s="70">
        <v>0</v>
      </c>
      <c r="DZ697" s="70">
        <f>VLOOKUP($BS697,'État &amp; Plan d''action'!$B$6:$AH$1113,31,FALSE)</f>
        <v>0</v>
      </c>
      <c r="EA697" s="70">
        <f>VLOOKUP($BS697,'État &amp; Plan d''action'!$B$6:$AH$1113,32,FALSE)</f>
        <v>0</v>
      </c>
      <c r="EB697" s="70">
        <f>VLOOKUP($BS697,'État &amp; Plan d''action'!$B$6:$AH$1113,33,FALSE)</f>
        <v>0</v>
      </c>
      <c r="EC697" s="70">
        <v>0</v>
      </c>
      <c r="ED697" s="70">
        <v>7.4829999999999997</v>
      </c>
      <c r="EE697" s="70">
        <v>0</v>
      </c>
      <c r="EF697" s="70">
        <v>0</v>
      </c>
      <c r="EG697" s="70">
        <v>0</v>
      </c>
      <c r="EH697" s="72">
        <v>46</v>
      </c>
      <c r="EI697" s="72">
        <v>975</v>
      </c>
    </row>
    <row r="698" spans="71:139" x14ac:dyDescent="0.35">
      <c r="BS698" s="486">
        <v>18035</v>
      </c>
      <c r="BT698" s="479" t="s">
        <v>110</v>
      </c>
      <c r="BU698" s="479">
        <v>12</v>
      </c>
      <c r="BV698" s="476" t="s">
        <v>1187</v>
      </c>
      <c r="BW698" s="476" t="s">
        <v>1187</v>
      </c>
      <c r="BX698" s="476" t="s">
        <v>1187</v>
      </c>
      <c r="BY698" s="476" t="s">
        <v>1187</v>
      </c>
      <c r="BZ698" s="476" t="s">
        <v>1187</v>
      </c>
      <c r="CA698" s="476" t="s">
        <v>1187</v>
      </c>
      <c r="CB698" s="476" t="s">
        <v>1187</v>
      </c>
      <c r="CC698" s="476" t="s">
        <v>1187</v>
      </c>
      <c r="CD698" s="476" t="s">
        <v>1187</v>
      </c>
      <c r="CE698" s="476" t="s">
        <v>1188</v>
      </c>
      <c r="CF698" s="476" t="s">
        <v>1188</v>
      </c>
      <c r="CG698" s="476" t="s">
        <v>1188</v>
      </c>
      <c r="CH698" s="476" t="s">
        <v>1188</v>
      </c>
      <c r="CI698" s="476" t="s">
        <v>1188</v>
      </c>
      <c r="CJ698" s="476" t="s">
        <v>1187</v>
      </c>
      <c r="CK698" s="476" t="s">
        <v>1187</v>
      </c>
      <c r="CL698" s="476" t="s">
        <v>1187</v>
      </c>
      <c r="CM698" s="476" t="str">
        <f>IF(VLOOKUP(BS698,'Données par municipalité'!$B$6:$E$1113,4,FALSE)="","non","oui")</f>
        <v>non</v>
      </c>
      <c r="CN698" s="410">
        <v>350.31375326841203</v>
      </c>
      <c r="CO698" s="410">
        <v>404.20170446501885</v>
      </c>
      <c r="CP698" s="410">
        <v>431.304347826087</v>
      </c>
      <c r="CQ698" s="410">
        <v>345.16800000000001</v>
      </c>
      <c r="CR698" s="410">
        <v>348.88091134122158</v>
      </c>
      <c r="CS698" s="410" t="s">
        <v>1124</v>
      </c>
      <c r="CT698" s="410"/>
      <c r="CU698" s="410" t="s">
        <v>1124</v>
      </c>
      <c r="CV698" s="410" t="str">
        <f>IF(VLOOKUP(BS698,'Données par municipalité'!$B$6:$F$1113,4,FALSE)="","",VLOOKUP(BS698,'Données par municipalité'!$B$6:$F$1113,4,FALSE))</f>
        <v/>
      </c>
      <c r="CW698" s="476" t="s">
        <v>4723</v>
      </c>
      <c r="CX698" s="483">
        <v>0.5</v>
      </c>
      <c r="CY698" s="483">
        <v>0.5</v>
      </c>
      <c r="CZ698" s="483">
        <v>0.1</v>
      </c>
      <c r="DA698" s="483">
        <v>0.5</v>
      </c>
      <c r="DB698" s="483" t="s">
        <v>1124</v>
      </c>
      <c r="DC698" s="483" t="s">
        <v>1124</v>
      </c>
      <c r="DD698" s="483" t="s">
        <v>1124</v>
      </c>
      <c r="DE698" s="483" t="str">
        <f>IFERROR(SUM(VLOOKUP($BS698,'État &amp; Plan d''action'!$B$6:$Z$1113,18,FALSE),VLOOKUP($BS698,'État &amp; Plan d''action'!$B$6:$Z$1113,20,FALSE))/(VLOOKUP($BS698,'Données par municipalité'!$B$4:$L$1113,11,FALSE)),"")</f>
        <v/>
      </c>
      <c r="DF698" s="483" t="str">
        <f>IFERROR(SUM(VLOOKUP($BS698,'État &amp; Plan d''action'!$B$6:$Z$1113,19,FALSE),VLOOKUP($BS698,'État &amp; Plan d''action'!$B$6:$Z$1113,21,FALSE))/(VLOOKUP($BS698,'Données par municipalité'!$B$4:$L$1113,11,FALSE)),"")</f>
        <v/>
      </c>
      <c r="DG698" s="476" t="s">
        <v>4723</v>
      </c>
      <c r="DH698" s="484">
        <v>0</v>
      </c>
      <c r="DI698" s="484">
        <v>0</v>
      </c>
      <c r="DJ698" s="484">
        <v>1</v>
      </c>
      <c r="DK698" s="484">
        <v>0</v>
      </c>
      <c r="DL698" s="484" t="s">
        <v>1124</v>
      </c>
      <c r="DM698" s="484" t="s">
        <v>1124</v>
      </c>
      <c r="DN698" s="484" t="s">
        <v>1124</v>
      </c>
      <c r="DO698" s="484" t="s">
        <v>1124</v>
      </c>
      <c r="DP698" s="484" t="s">
        <v>1124</v>
      </c>
      <c r="DQ698" s="484" t="str">
        <f>IF(VLOOKUP($BS698,'État &amp; Plan d''action'!$B$6:$AJ$1113,28,FALSE)="","",VLOOKUP($BS698,'État &amp; Plan d''action'!$B$6:$AJ$1113,28,FALSE))</f>
        <v/>
      </c>
      <c r="DR698" s="70" t="str">
        <f>IF(VLOOKUP($BS698,'État &amp; Plan d''action'!$B$6:$AJ$1113,29,FALSE)="","",VLOOKUP($BS698,'État &amp; Plan d''action'!$B$6:$AJ$1113,29,FALSE))</f>
        <v/>
      </c>
      <c r="DS698" s="70" t="str">
        <f>IF(VLOOKUP($BS698,'État &amp; Plan d''action'!$B$6:$AJ$1113,30,FALSE)="","",VLOOKUP($BS698,'État &amp; Plan d''action'!$B$6:$AJ$1113,30,FALSE))</f>
        <v/>
      </c>
      <c r="DT698" s="70" t="s">
        <v>1124</v>
      </c>
      <c r="DU698" s="485" t="s">
        <v>1124</v>
      </c>
      <c r="DV698" s="485" t="s">
        <v>1124</v>
      </c>
      <c r="DW698" s="70" t="s">
        <v>1124</v>
      </c>
      <c r="DX698" s="70" t="s">
        <v>1124</v>
      </c>
      <c r="DY698" s="70" t="s">
        <v>1124</v>
      </c>
      <c r="DZ698" s="70" t="str">
        <f>VLOOKUP($BS698,'État &amp; Plan d''action'!$B$6:$AH$1113,31,FALSE)</f>
        <v/>
      </c>
      <c r="EA698" s="70" t="str">
        <f>VLOOKUP($BS698,'État &amp; Plan d''action'!$B$6:$AH$1113,32,FALSE)</f>
        <v/>
      </c>
      <c r="EB698" s="70" t="str">
        <f>VLOOKUP($BS698,'État &amp; Plan d''action'!$B$6:$AH$1113,33,FALSE)</f>
        <v/>
      </c>
      <c r="EC698" s="70" t="s">
        <v>1124</v>
      </c>
      <c r="ED698" s="70" t="s">
        <v>1124</v>
      </c>
      <c r="EE698" s="70" t="s">
        <v>1124</v>
      </c>
      <c r="EF698" s="70" t="s">
        <v>1124</v>
      </c>
      <c r="EG698" s="70" t="s">
        <v>1124</v>
      </c>
      <c r="EH698" s="72"/>
      <c r="EI698" s="72">
        <v>326</v>
      </c>
    </row>
    <row r="699" spans="71:139" x14ac:dyDescent="0.35">
      <c r="BS699" s="486">
        <v>20010</v>
      </c>
      <c r="BT699" s="479" t="s">
        <v>139</v>
      </c>
      <c r="BU699" s="479">
        <v>3</v>
      </c>
      <c r="BV699" s="476" t="s">
        <v>1187</v>
      </c>
      <c r="BW699" s="476" t="s">
        <v>1187</v>
      </c>
      <c r="BX699" s="476" t="s">
        <v>1188</v>
      </c>
      <c r="BY699" s="476" t="s">
        <v>1188</v>
      </c>
      <c r="BZ699" s="476" t="s">
        <v>1188</v>
      </c>
      <c r="CA699" s="476" t="s">
        <v>1188</v>
      </c>
      <c r="CB699" s="476" t="s">
        <v>1188</v>
      </c>
      <c r="CC699" s="476" t="s">
        <v>1188</v>
      </c>
      <c r="CD699" s="476" t="s">
        <v>1188</v>
      </c>
      <c r="CE699" s="476" t="s">
        <v>1188</v>
      </c>
      <c r="CF699" s="476" t="s">
        <v>1188</v>
      </c>
      <c r="CG699" s="476" t="s">
        <v>1187</v>
      </c>
      <c r="CH699" s="476" t="s">
        <v>1187</v>
      </c>
      <c r="CI699" s="476" t="s">
        <v>1187</v>
      </c>
      <c r="CJ699" s="476" t="s">
        <v>1187</v>
      </c>
      <c r="CK699" s="476" t="s">
        <v>1187</v>
      </c>
      <c r="CL699" s="476" t="s">
        <v>1187</v>
      </c>
      <c r="CM699" s="476" t="str">
        <f>IF(VLOOKUP(BS699,'Données par municipalité'!$B$6:$E$1113,4,FALSE)="","non","oui")</f>
        <v>non</v>
      </c>
      <c r="CN699" s="410">
        <v>27.703033268101763</v>
      </c>
      <c r="CO699" s="410" t="s">
        <v>1226</v>
      </c>
      <c r="CP699" s="410"/>
      <c r="CQ699" s="410"/>
      <c r="CR699" s="410"/>
      <c r="CS699" s="410" t="s">
        <v>1124</v>
      </c>
      <c r="CT699" s="410"/>
      <c r="CU699" s="410" t="s">
        <v>1124</v>
      </c>
      <c r="CV699" s="410" t="str">
        <f>IF(VLOOKUP(BS699,'Données par municipalité'!$B$6:$F$1113,4,FALSE)="","",VLOOKUP(BS699,'Données par municipalité'!$B$6:$F$1113,4,FALSE))</f>
        <v/>
      </c>
      <c r="CW699" s="476" t="s">
        <v>4723</v>
      </c>
      <c r="CX699" s="483">
        <v>0</v>
      </c>
      <c r="CY699" s="483" t="s">
        <v>1124</v>
      </c>
      <c r="CZ699" s="483" t="s">
        <v>1124</v>
      </c>
      <c r="DA699" s="483" t="s">
        <v>1124</v>
      </c>
      <c r="DB699" s="483" t="s">
        <v>1124</v>
      </c>
      <c r="DC699" s="483" t="s">
        <v>1124</v>
      </c>
      <c r="DD699" s="483" t="s">
        <v>1124</v>
      </c>
      <c r="DE699" s="483" t="str">
        <f>IFERROR(SUM(VLOOKUP($BS699,'État &amp; Plan d''action'!$B$6:$Z$1113,18,FALSE),VLOOKUP($BS699,'État &amp; Plan d''action'!$B$6:$Z$1113,20,FALSE))/(VLOOKUP($BS699,'Données par municipalité'!$B$4:$L$1113,11,FALSE)),"")</f>
        <v/>
      </c>
      <c r="DF699" s="483" t="str">
        <f>IFERROR(SUM(VLOOKUP($BS699,'État &amp; Plan d''action'!$B$6:$Z$1113,19,FALSE),VLOOKUP($BS699,'État &amp; Plan d''action'!$B$6:$Z$1113,21,FALSE))/(VLOOKUP($BS699,'Données par municipalité'!$B$4:$L$1113,11,FALSE)),"")</f>
        <v/>
      </c>
      <c r="DG699" s="476" t="s">
        <v>4723</v>
      </c>
      <c r="DH699" s="484">
        <v>0</v>
      </c>
      <c r="DI699" s="484" t="s">
        <v>1124</v>
      </c>
      <c r="DJ699" s="484">
        <v>0</v>
      </c>
      <c r="DK699" s="484">
        <v>0</v>
      </c>
      <c r="DL699" s="484" t="s">
        <v>1124</v>
      </c>
      <c r="DM699" s="484" t="s">
        <v>1124</v>
      </c>
      <c r="DN699" s="484" t="s">
        <v>1124</v>
      </c>
      <c r="DO699" s="484" t="s">
        <v>1124</v>
      </c>
      <c r="DP699" s="484" t="s">
        <v>1124</v>
      </c>
      <c r="DQ699" s="484" t="str">
        <f>IF(VLOOKUP($BS699,'État &amp; Plan d''action'!$B$6:$AJ$1113,28,FALSE)="","",VLOOKUP($BS699,'État &amp; Plan d''action'!$B$6:$AJ$1113,28,FALSE))</f>
        <v/>
      </c>
      <c r="DR699" s="70" t="str">
        <f>IF(VLOOKUP($BS699,'État &amp; Plan d''action'!$B$6:$AJ$1113,29,FALSE)="","",VLOOKUP($BS699,'État &amp; Plan d''action'!$B$6:$AJ$1113,29,FALSE))</f>
        <v/>
      </c>
      <c r="DS699" s="70" t="str">
        <f>IF(VLOOKUP($BS699,'État &amp; Plan d''action'!$B$6:$AJ$1113,30,FALSE)="","",VLOOKUP($BS699,'État &amp; Plan d''action'!$B$6:$AJ$1113,30,FALSE))</f>
        <v/>
      </c>
      <c r="DT699" s="70" t="s">
        <v>1124</v>
      </c>
      <c r="DU699" s="485" t="s">
        <v>1124</v>
      </c>
      <c r="DV699" s="485" t="s">
        <v>1124</v>
      </c>
      <c r="DW699" s="70" t="s">
        <v>1124</v>
      </c>
      <c r="DX699" s="70" t="s">
        <v>1124</v>
      </c>
      <c r="DY699" s="70" t="s">
        <v>1124</v>
      </c>
      <c r="DZ699" s="70" t="str">
        <f>VLOOKUP($BS699,'État &amp; Plan d''action'!$B$6:$AH$1113,31,FALSE)</f>
        <v/>
      </c>
      <c r="EA699" s="70" t="str">
        <f>VLOOKUP($BS699,'État &amp; Plan d''action'!$B$6:$AH$1113,32,FALSE)</f>
        <v/>
      </c>
      <c r="EB699" s="70" t="str">
        <f>VLOOKUP($BS699,'État &amp; Plan d''action'!$B$6:$AH$1113,33,FALSE)</f>
        <v/>
      </c>
      <c r="EC699" s="70" t="s">
        <v>1124</v>
      </c>
      <c r="ED699" s="70" t="s">
        <v>1124</v>
      </c>
      <c r="EE699" s="70" t="s">
        <v>1124</v>
      </c>
      <c r="EF699" s="70" t="s">
        <v>1124</v>
      </c>
      <c r="EG699" s="70" t="s">
        <v>1124</v>
      </c>
      <c r="EH699" s="72"/>
      <c r="EI699" s="72">
        <v>964</v>
      </c>
    </row>
    <row r="700" spans="71:139" x14ac:dyDescent="0.35">
      <c r="BS700" s="486">
        <v>8023</v>
      </c>
      <c r="BT700" s="479" t="s">
        <v>1089</v>
      </c>
      <c r="BU700" s="479">
        <v>1</v>
      </c>
      <c r="BV700" s="476" t="s">
        <v>1187</v>
      </c>
      <c r="BW700" s="476" t="s">
        <v>1187</v>
      </c>
      <c r="BX700" s="476" t="s">
        <v>1187</v>
      </c>
      <c r="BY700" s="476" t="s">
        <v>1187</v>
      </c>
      <c r="BZ700" s="476" t="s">
        <v>1187</v>
      </c>
      <c r="CA700" s="476" t="s">
        <v>1187</v>
      </c>
      <c r="CB700" s="476" t="s">
        <v>1187</v>
      </c>
      <c r="CC700" s="476" t="s">
        <v>1187</v>
      </c>
      <c r="CD700" s="476" t="s">
        <v>1187</v>
      </c>
      <c r="CE700" s="476" t="s">
        <v>1188</v>
      </c>
      <c r="CF700" s="476" t="s">
        <v>1188</v>
      </c>
      <c r="CG700" s="476" t="s">
        <v>1187</v>
      </c>
      <c r="CH700" s="476" t="s">
        <v>1188</v>
      </c>
      <c r="CI700" s="476" t="s">
        <v>1188</v>
      </c>
      <c r="CJ700" s="476" t="s">
        <v>1187</v>
      </c>
      <c r="CK700" s="476" t="s">
        <v>1187</v>
      </c>
      <c r="CL700" s="476" t="s">
        <v>1187</v>
      </c>
      <c r="CM700" s="476" t="str">
        <f>IF(VLOOKUP(BS700,'Données par municipalité'!$B$6:$E$1113,4,FALSE)="","non","oui")</f>
        <v>oui</v>
      </c>
      <c r="CN700" s="410">
        <v>675.27416130949166</v>
      </c>
      <c r="CO700" s="410">
        <v>791.05231478078474</v>
      </c>
      <c r="CP700" s="410"/>
      <c r="CQ700" s="410">
        <v>715.15853109524721</v>
      </c>
      <c r="CR700" s="410">
        <v>747.45606473271323</v>
      </c>
      <c r="CS700" s="410" t="s">
        <v>1124</v>
      </c>
      <c r="CT700" s="410"/>
      <c r="CU700" s="410" t="s">
        <v>1124</v>
      </c>
      <c r="CV700" s="410">
        <f>IF(VLOOKUP(BS700,'Données par municipalité'!$B$6:$F$1113,4,FALSE)="","",VLOOKUP(BS700,'Données par municipalité'!$B$6:$F$1113,4,FALSE))</f>
        <v>696</v>
      </c>
      <c r="CW700" s="476" t="s">
        <v>4723</v>
      </c>
      <c r="CX700" s="483">
        <v>1</v>
      </c>
      <c r="CY700" s="483" t="s">
        <v>1124</v>
      </c>
      <c r="CZ700" s="483">
        <v>1</v>
      </c>
      <c r="DA700" s="483">
        <v>0</v>
      </c>
      <c r="DB700" s="483" t="s">
        <v>1124</v>
      </c>
      <c r="DC700" s="483" t="s">
        <v>1124</v>
      </c>
      <c r="DD700" s="483" t="s">
        <v>1124</v>
      </c>
      <c r="DE700" s="483">
        <f>IFERROR(SUM(VLOOKUP($BS700,'État &amp; Plan d''action'!$B$6:$Z$1113,18,FALSE),VLOOKUP($BS700,'État &amp; Plan d''action'!$B$6:$Z$1113,20,FALSE))/(VLOOKUP($BS700,'Données par municipalité'!$B$4:$L$1113,11,FALSE)),"")</f>
        <v>0</v>
      </c>
      <c r="DF700" s="483">
        <f>IFERROR(SUM(VLOOKUP($BS700,'État &amp; Plan d''action'!$B$6:$Z$1113,19,FALSE),VLOOKUP($BS700,'État &amp; Plan d''action'!$B$6:$Z$1113,21,FALSE))/(VLOOKUP($BS700,'Données par municipalité'!$B$4:$L$1113,11,FALSE)),"")</f>
        <v>2</v>
      </c>
      <c r="DG700" s="476" t="s">
        <v>4723</v>
      </c>
      <c r="DH700" s="484">
        <v>2</v>
      </c>
      <c r="DI700" s="484" t="s">
        <v>1124</v>
      </c>
      <c r="DJ700" s="484">
        <v>2</v>
      </c>
      <c r="DK700" s="484">
        <v>6</v>
      </c>
      <c r="DL700" s="484" t="s">
        <v>1124</v>
      </c>
      <c r="DM700" s="484" t="s">
        <v>1124</v>
      </c>
      <c r="DN700" s="484" t="s">
        <v>1124</v>
      </c>
      <c r="DO700" s="484" t="s">
        <v>1124</v>
      </c>
      <c r="DP700" s="484" t="s">
        <v>1124</v>
      </c>
      <c r="DQ700" s="484">
        <f>IF(VLOOKUP($BS700,'État &amp; Plan d''action'!$B$6:$AJ$1113,28,FALSE)="","",VLOOKUP($BS700,'État &amp; Plan d''action'!$B$6:$AJ$1113,28,FALSE))</f>
        <v>1</v>
      </c>
      <c r="DR700" s="70">
        <f>IF(VLOOKUP($BS700,'État &amp; Plan d''action'!$B$6:$AJ$1113,29,FALSE)="","",VLOOKUP($BS700,'État &amp; Plan d''action'!$B$6:$AJ$1113,29,FALSE))</f>
        <v>2</v>
      </c>
      <c r="DS700" s="70">
        <f>IF(VLOOKUP($BS700,'État &amp; Plan d''action'!$B$6:$AJ$1113,30,FALSE)="","",VLOOKUP($BS700,'État &amp; Plan d''action'!$B$6:$AJ$1113,30,FALSE))</f>
        <v>2</v>
      </c>
      <c r="DT700" s="70" t="s">
        <v>1124</v>
      </c>
      <c r="DU700" s="485" t="s">
        <v>1124</v>
      </c>
      <c r="DV700" s="485">
        <v>23.738161294963291</v>
      </c>
      <c r="DW700" s="70" t="s">
        <v>1124</v>
      </c>
      <c r="DX700" s="70" t="s">
        <v>1124</v>
      </c>
      <c r="DY700" s="70" t="s">
        <v>1124</v>
      </c>
      <c r="DZ700" s="70">
        <f>VLOOKUP($BS700,'État &amp; Plan d''action'!$B$6:$AH$1113,31,FALSE)</f>
        <v>11</v>
      </c>
      <c r="EA700" s="70">
        <f>VLOOKUP($BS700,'État &amp; Plan d''action'!$B$6:$AH$1113,32,FALSE)</f>
        <v>1</v>
      </c>
      <c r="EB700" s="70">
        <f>VLOOKUP($BS700,'État &amp; Plan d''action'!$B$6:$AH$1113,33,FALSE)</f>
        <v>5</v>
      </c>
      <c r="EC700" s="70" t="s">
        <v>1124</v>
      </c>
      <c r="ED700" s="70" t="s">
        <v>1124</v>
      </c>
      <c r="EE700" s="70" t="s">
        <v>1124</v>
      </c>
      <c r="EF700" s="70" t="s">
        <v>1124</v>
      </c>
      <c r="EG700" s="70" t="s">
        <v>1124</v>
      </c>
      <c r="EH700" s="72"/>
      <c r="EI700" s="72">
        <v>1098</v>
      </c>
    </row>
    <row r="701" spans="71:139" x14ac:dyDescent="0.35">
      <c r="BS701" s="486">
        <v>17025</v>
      </c>
      <c r="BT701" s="479" t="s">
        <v>94</v>
      </c>
      <c r="BU701" s="479">
        <v>12</v>
      </c>
      <c r="BV701" s="476" t="s">
        <v>1188</v>
      </c>
      <c r="BW701" s="476" t="s">
        <v>1188</v>
      </c>
      <c r="BX701" s="476" t="s">
        <v>1188</v>
      </c>
      <c r="BY701" s="476" t="s">
        <v>1188</v>
      </c>
      <c r="BZ701" s="476" t="s">
        <v>1188</v>
      </c>
      <c r="CA701" s="476" t="s">
        <v>1188</v>
      </c>
      <c r="CB701" s="476" t="s">
        <v>1188</v>
      </c>
      <c r="CC701" s="476" t="s">
        <v>1188</v>
      </c>
      <c r="CD701" s="476" t="s">
        <v>1188</v>
      </c>
      <c r="CE701" s="476" t="s">
        <v>1187</v>
      </c>
      <c r="CF701" s="476" t="s">
        <v>1187</v>
      </c>
      <c r="CG701" s="476" t="s">
        <v>1187</v>
      </c>
      <c r="CH701" s="476" t="s">
        <v>1187</v>
      </c>
      <c r="CI701" s="476" t="s">
        <v>1187</v>
      </c>
      <c r="CJ701" s="476" t="s">
        <v>1187</v>
      </c>
      <c r="CK701" s="476" t="s">
        <v>1187</v>
      </c>
      <c r="CL701" s="476" t="s">
        <v>1187</v>
      </c>
      <c r="CM701" s="476" t="str">
        <f>IF(VLOOKUP(BS701,'Données par municipalité'!$B$6:$E$1113,4,FALSE)="","non","oui")</f>
        <v>non</v>
      </c>
      <c r="CN701" s="410" t="s">
        <v>1124</v>
      </c>
      <c r="CO701" s="410" t="s">
        <v>1124</v>
      </c>
      <c r="CP701" s="410"/>
      <c r="CQ701" s="410"/>
      <c r="CR701" s="410"/>
      <c r="CS701" s="410" t="s">
        <v>1124</v>
      </c>
      <c r="CT701" s="410"/>
      <c r="CU701" s="410" t="s">
        <v>1124</v>
      </c>
      <c r="CV701" s="410" t="str">
        <f>IF(VLOOKUP(BS701,'Données par municipalité'!$B$6:$F$1113,4,FALSE)="","",VLOOKUP(BS701,'Données par municipalité'!$B$6:$F$1113,4,FALSE))</f>
        <v/>
      </c>
      <c r="CW701" s="476" t="s">
        <v>4723</v>
      </c>
      <c r="CX701" s="483" t="s">
        <v>1124</v>
      </c>
      <c r="CY701" s="483" t="s">
        <v>1124</v>
      </c>
      <c r="CZ701" s="483" t="s">
        <v>1124</v>
      </c>
      <c r="DA701" s="483" t="s">
        <v>1124</v>
      </c>
      <c r="DB701" s="483" t="s">
        <v>1124</v>
      </c>
      <c r="DC701" s="483" t="s">
        <v>1124</v>
      </c>
      <c r="DD701" s="483" t="s">
        <v>1124</v>
      </c>
      <c r="DE701" s="483" t="str">
        <f>IFERROR(SUM(VLOOKUP($BS701,'État &amp; Plan d''action'!$B$6:$Z$1113,18,FALSE),VLOOKUP($BS701,'État &amp; Plan d''action'!$B$6:$Z$1113,20,FALSE))/(VLOOKUP($BS701,'Données par municipalité'!$B$4:$L$1113,11,FALSE)),"")</f>
        <v/>
      </c>
      <c r="DF701" s="483" t="str">
        <f>IFERROR(SUM(VLOOKUP($BS701,'État &amp; Plan d''action'!$B$6:$Z$1113,19,FALSE),VLOOKUP($BS701,'État &amp; Plan d''action'!$B$6:$Z$1113,21,FALSE))/(VLOOKUP($BS701,'Données par municipalité'!$B$4:$L$1113,11,FALSE)),"")</f>
        <v/>
      </c>
      <c r="DG701" s="476" t="s">
        <v>4723</v>
      </c>
      <c r="DH701" s="484" t="s">
        <v>1124</v>
      </c>
      <c r="DI701" s="484" t="s">
        <v>1124</v>
      </c>
      <c r="DJ701" s="484">
        <v>0</v>
      </c>
      <c r="DK701" s="484">
        <v>0</v>
      </c>
      <c r="DL701" s="484" t="s">
        <v>1124</v>
      </c>
      <c r="DM701" s="484" t="s">
        <v>1124</v>
      </c>
      <c r="DN701" s="484" t="s">
        <v>1124</v>
      </c>
      <c r="DO701" s="484" t="s">
        <v>1124</v>
      </c>
      <c r="DP701" s="484" t="s">
        <v>1124</v>
      </c>
      <c r="DQ701" s="484" t="str">
        <f>IF(VLOOKUP($BS701,'État &amp; Plan d''action'!$B$6:$AJ$1113,28,FALSE)="","",VLOOKUP($BS701,'État &amp; Plan d''action'!$B$6:$AJ$1113,28,FALSE))</f>
        <v/>
      </c>
      <c r="DR701" s="70" t="str">
        <f>IF(VLOOKUP($BS701,'État &amp; Plan d''action'!$B$6:$AJ$1113,29,FALSE)="","",VLOOKUP($BS701,'État &amp; Plan d''action'!$B$6:$AJ$1113,29,FALSE))</f>
        <v/>
      </c>
      <c r="DS701" s="70" t="str">
        <f>IF(VLOOKUP($BS701,'État &amp; Plan d''action'!$B$6:$AJ$1113,30,FALSE)="","",VLOOKUP($BS701,'État &amp; Plan d''action'!$B$6:$AJ$1113,30,FALSE))</f>
        <v/>
      </c>
      <c r="DT701" s="70" t="s">
        <v>1124</v>
      </c>
      <c r="DU701" s="485" t="s">
        <v>1124</v>
      </c>
      <c r="DV701" s="485" t="s">
        <v>1124</v>
      </c>
      <c r="DW701" s="70" t="s">
        <v>1124</v>
      </c>
      <c r="DX701" s="70" t="s">
        <v>1124</v>
      </c>
      <c r="DY701" s="70" t="s">
        <v>1124</v>
      </c>
      <c r="DZ701" s="70" t="str">
        <f>VLOOKUP($BS701,'État &amp; Plan d''action'!$B$6:$AH$1113,31,FALSE)</f>
        <v/>
      </c>
      <c r="EA701" s="70" t="str">
        <f>VLOOKUP($BS701,'État &amp; Plan d''action'!$B$6:$AH$1113,32,FALSE)</f>
        <v/>
      </c>
      <c r="EB701" s="70" t="str">
        <f>VLOOKUP($BS701,'État &amp; Plan d''action'!$B$6:$AH$1113,33,FALSE)</f>
        <v/>
      </c>
      <c r="EC701" s="70" t="s">
        <v>1124</v>
      </c>
      <c r="ED701" s="70" t="s">
        <v>1124</v>
      </c>
      <c r="EE701" s="70" t="s">
        <v>1124</v>
      </c>
      <c r="EF701" s="70" t="s">
        <v>1124</v>
      </c>
      <c r="EG701" s="70" t="s">
        <v>1124</v>
      </c>
      <c r="EH701" s="72"/>
      <c r="EI701" s="72">
        <v>385</v>
      </c>
    </row>
    <row r="702" spans="71:139" x14ac:dyDescent="0.35">
      <c r="BS702" s="486">
        <v>9085</v>
      </c>
      <c r="BT702" s="479" t="s">
        <v>1111</v>
      </c>
      <c r="BU702" s="479">
        <v>1</v>
      </c>
      <c r="BV702" s="476" t="s">
        <v>1187</v>
      </c>
      <c r="BW702" s="476" t="s">
        <v>1187</v>
      </c>
      <c r="BX702" s="476" t="s">
        <v>1187</v>
      </c>
      <c r="BY702" s="476" t="s">
        <v>1187</v>
      </c>
      <c r="BZ702" s="476" t="s">
        <v>1187</v>
      </c>
      <c r="CA702" s="476" t="s">
        <v>1187</v>
      </c>
      <c r="CB702" s="476" t="s">
        <v>1187</v>
      </c>
      <c r="CC702" s="476" t="s">
        <v>1187</v>
      </c>
      <c r="CD702" s="476" t="s">
        <v>1187</v>
      </c>
      <c r="CE702" s="476" t="s">
        <v>1188</v>
      </c>
      <c r="CF702" s="476" t="s">
        <v>1188</v>
      </c>
      <c r="CG702" s="476" t="s">
        <v>1188</v>
      </c>
      <c r="CH702" s="476" t="s">
        <v>1188</v>
      </c>
      <c r="CI702" s="476" t="s">
        <v>1188</v>
      </c>
      <c r="CJ702" s="476" t="s">
        <v>1188</v>
      </c>
      <c r="CK702" s="476" t="s">
        <v>1188</v>
      </c>
      <c r="CL702" s="476" t="s">
        <v>1188</v>
      </c>
      <c r="CM702" s="476" t="str">
        <f>IF(VLOOKUP(BS702,'Données par municipalité'!$B$6:$E$1113,4,FALSE)="","non","oui")</f>
        <v>oui</v>
      </c>
      <c r="CN702" s="410">
        <v>526.15472539970096</v>
      </c>
      <c r="CO702" s="410">
        <v>465.22786832516914</v>
      </c>
      <c r="CP702" s="410">
        <v>514.47031185441517</v>
      </c>
      <c r="CQ702" s="410">
        <v>488.0311163674935</v>
      </c>
      <c r="CR702" s="410">
        <v>442.25314728007299</v>
      </c>
      <c r="CS702" s="410">
        <v>357.76597969356192</v>
      </c>
      <c r="CT702" s="410">
        <v>331.21756413086149</v>
      </c>
      <c r="CU702" s="410">
        <v>421</v>
      </c>
      <c r="CV702" s="410">
        <f>IF(VLOOKUP(BS702,'Données par municipalité'!$B$6:$F$1113,4,FALSE)="","",VLOOKUP(BS702,'Données par municipalité'!$B$6:$F$1113,4,FALSE))</f>
        <v>380</v>
      </c>
      <c r="CW702" s="476" t="s">
        <v>4723</v>
      </c>
      <c r="CX702" s="483">
        <v>0</v>
      </c>
      <c r="CY702" s="483">
        <v>0.1</v>
      </c>
      <c r="CZ702" s="483">
        <v>0.3</v>
      </c>
      <c r="DA702" s="483">
        <v>0.75</v>
      </c>
      <c r="DB702" s="483">
        <v>0.75</v>
      </c>
      <c r="DC702" s="483">
        <v>1</v>
      </c>
      <c r="DD702" s="483" t="s">
        <v>1124</v>
      </c>
      <c r="DE702" s="483">
        <f>IFERROR(SUM(VLOOKUP($BS702,'État &amp; Plan d''action'!$B$6:$Z$1113,18,FALSE),VLOOKUP($BS702,'État &amp; Plan d''action'!$B$6:$Z$1113,20,FALSE))/(VLOOKUP($BS702,'Données par municipalité'!$B$4:$L$1113,11,FALSE)),"")</f>
        <v>0.98387010054303992</v>
      </c>
      <c r="DF702" s="483">
        <f>IFERROR(SUM(VLOOKUP($BS702,'État &amp; Plan d''action'!$B$6:$Z$1113,19,FALSE),VLOOKUP($BS702,'État &amp; Plan d''action'!$B$6:$Z$1113,21,FALSE))/(VLOOKUP($BS702,'Données par municipalité'!$B$4:$L$1113,11,FALSE)),"")</f>
        <v>0.98387010054303992</v>
      </c>
      <c r="DG702" s="476" t="s">
        <v>4723</v>
      </c>
      <c r="DH702" s="484">
        <v>4</v>
      </c>
      <c r="DI702" s="484">
        <v>8</v>
      </c>
      <c r="DJ702" s="484">
        <v>13</v>
      </c>
      <c r="DK702" s="484">
        <v>12</v>
      </c>
      <c r="DL702" s="484">
        <v>1</v>
      </c>
      <c r="DM702" s="484">
        <v>1</v>
      </c>
      <c r="DN702" s="484">
        <v>0</v>
      </c>
      <c r="DO702" s="484">
        <v>1</v>
      </c>
      <c r="DP702" s="484">
        <v>0</v>
      </c>
      <c r="DQ702" s="484">
        <f>IF(VLOOKUP($BS702,'État &amp; Plan d''action'!$B$6:$AJ$1113,28,FALSE)="","",VLOOKUP($BS702,'État &amp; Plan d''action'!$B$6:$AJ$1113,28,FALSE))</f>
        <v>0</v>
      </c>
      <c r="DR702" s="70">
        <f>IF(VLOOKUP($BS702,'État &amp; Plan d''action'!$B$6:$AJ$1113,29,FALSE)="","",VLOOKUP($BS702,'État &amp; Plan d''action'!$B$6:$AJ$1113,29,FALSE))</f>
        <v>3</v>
      </c>
      <c r="DS702" s="70">
        <f>IF(VLOOKUP($BS702,'État &amp; Plan d''action'!$B$6:$AJ$1113,30,FALSE)="","",VLOOKUP($BS702,'État &amp; Plan d''action'!$B$6:$AJ$1113,30,FALSE))</f>
        <v>0</v>
      </c>
      <c r="DT702" s="70">
        <v>195</v>
      </c>
      <c r="DU702" s="485">
        <v>0.37249706285921219</v>
      </c>
      <c r="DV702" s="485">
        <v>0.29834663135465056</v>
      </c>
      <c r="DW702" s="70">
        <v>0</v>
      </c>
      <c r="DX702" s="70">
        <v>1</v>
      </c>
      <c r="DY702" s="70">
        <v>0</v>
      </c>
      <c r="DZ702" s="70">
        <f>VLOOKUP($BS702,'État &amp; Plan d''action'!$B$6:$AH$1113,31,FALSE)</f>
        <v>0</v>
      </c>
      <c r="EA702" s="70">
        <f>VLOOKUP($BS702,'État &amp; Plan d''action'!$B$6:$AH$1113,32,FALSE)</f>
        <v>1</v>
      </c>
      <c r="EB702" s="70">
        <f>VLOOKUP($BS702,'État &amp; Plan d''action'!$B$6:$AH$1113,33,FALSE)</f>
        <v>0</v>
      </c>
      <c r="EC702" s="70">
        <v>0</v>
      </c>
      <c r="ED702" s="70">
        <v>0</v>
      </c>
      <c r="EE702" s="70">
        <v>10</v>
      </c>
      <c r="EF702" s="70">
        <v>0</v>
      </c>
      <c r="EG702" s="70">
        <v>0</v>
      </c>
      <c r="EH702" s="72">
        <v>62</v>
      </c>
      <c r="EI702" s="72">
        <v>896</v>
      </c>
    </row>
    <row r="703" spans="71:139" x14ac:dyDescent="0.35">
      <c r="BS703" s="486">
        <v>7010</v>
      </c>
      <c r="BT703" s="479" t="s">
        <v>1069</v>
      </c>
      <c r="BU703" s="479">
        <v>1</v>
      </c>
      <c r="BV703" s="476" t="s">
        <v>1188</v>
      </c>
      <c r="BW703" s="476" t="s">
        <v>1188</v>
      </c>
      <c r="BX703" s="476" t="s">
        <v>1188</v>
      </c>
      <c r="BY703" s="476" t="s">
        <v>1188</v>
      </c>
      <c r="BZ703" s="476" t="s">
        <v>1188</v>
      </c>
      <c r="CA703" s="476" t="s">
        <v>1188</v>
      </c>
      <c r="CB703" s="476" t="s">
        <v>1188</v>
      </c>
      <c r="CC703" s="476" t="s">
        <v>1188</v>
      </c>
      <c r="CD703" s="476" t="s">
        <v>1188</v>
      </c>
      <c r="CE703" s="476" t="s">
        <v>1187</v>
      </c>
      <c r="CF703" s="476" t="s">
        <v>1187</v>
      </c>
      <c r="CG703" s="476" t="s">
        <v>1187</v>
      </c>
      <c r="CH703" s="476" t="s">
        <v>1187</v>
      </c>
      <c r="CI703" s="476" t="s">
        <v>1187</v>
      </c>
      <c r="CJ703" s="476" t="s">
        <v>1187</v>
      </c>
      <c r="CK703" s="476" t="s">
        <v>1187</v>
      </c>
      <c r="CL703" s="476" t="s">
        <v>1187</v>
      </c>
      <c r="CM703" s="476" t="str">
        <f>IF(VLOOKUP(BS703,'Données par municipalité'!$B$6:$E$1113,4,FALSE)="","non","oui")</f>
        <v>non</v>
      </c>
      <c r="CN703" s="410" t="s">
        <v>1124</v>
      </c>
      <c r="CO703" s="410" t="s">
        <v>1124</v>
      </c>
      <c r="CP703" s="410"/>
      <c r="CQ703" s="410"/>
      <c r="CR703" s="410"/>
      <c r="CS703" s="410" t="s">
        <v>1124</v>
      </c>
      <c r="CT703" s="410"/>
      <c r="CU703" s="410" t="s">
        <v>1124</v>
      </c>
      <c r="CV703" s="410" t="str">
        <f>IF(VLOOKUP(BS703,'Données par municipalité'!$B$6:$F$1113,4,FALSE)="","",VLOOKUP(BS703,'Données par municipalité'!$B$6:$F$1113,4,FALSE))</f>
        <v/>
      </c>
      <c r="CW703" s="476" t="s">
        <v>4723</v>
      </c>
      <c r="CX703" s="483" t="s">
        <v>1124</v>
      </c>
      <c r="CY703" s="483" t="s">
        <v>1124</v>
      </c>
      <c r="CZ703" s="483" t="s">
        <v>1124</v>
      </c>
      <c r="DA703" s="483" t="s">
        <v>1124</v>
      </c>
      <c r="DB703" s="483" t="s">
        <v>1124</v>
      </c>
      <c r="DC703" s="483" t="s">
        <v>1124</v>
      </c>
      <c r="DD703" s="483" t="s">
        <v>1124</v>
      </c>
      <c r="DE703" s="483" t="str">
        <f>IFERROR(SUM(VLOOKUP($BS703,'État &amp; Plan d''action'!$B$6:$Z$1113,18,FALSE),VLOOKUP($BS703,'État &amp; Plan d''action'!$B$6:$Z$1113,20,FALSE))/(VLOOKUP($BS703,'Données par municipalité'!$B$4:$L$1113,11,FALSE)),"")</f>
        <v/>
      </c>
      <c r="DF703" s="483" t="str">
        <f>IFERROR(SUM(VLOOKUP($BS703,'État &amp; Plan d''action'!$B$6:$Z$1113,19,FALSE),VLOOKUP($BS703,'État &amp; Plan d''action'!$B$6:$Z$1113,21,FALSE))/(VLOOKUP($BS703,'Données par municipalité'!$B$4:$L$1113,11,FALSE)),"")</f>
        <v/>
      </c>
      <c r="DG703" s="476" t="s">
        <v>4723</v>
      </c>
      <c r="DH703" s="484" t="s">
        <v>1124</v>
      </c>
      <c r="DI703" s="484" t="s">
        <v>1124</v>
      </c>
      <c r="DJ703" s="484">
        <v>0</v>
      </c>
      <c r="DK703" s="484">
        <v>0</v>
      </c>
      <c r="DL703" s="484" t="s">
        <v>1124</v>
      </c>
      <c r="DM703" s="484" t="s">
        <v>1124</v>
      </c>
      <c r="DN703" s="484" t="s">
        <v>1124</v>
      </c>
      <c r="DO703" s="484" t="s">
        <v>1124</v>
      </c>
      <c r="DP703" s="484" t="s">
        <v>1124</v>
      </c>
      <c r="DQ703" s="484" t="str">
        <f>IF(VLOOKUP($BS703,'État &amp; Plan d''action'!$B$6:$AJ$1113,28,FALSE)="","",VLOOKUP($BS703,'État &amp; Plan d''action'!$B$6:$AJ$1113,28,FALSE))</f>
        <v/>
      </c>
      <c r="DR703" s="70" t="str">
        <f>IF(VLOOKUP($BS703,'État &amp; Plan d''action'!$B$6:$AJ$1113,29,FALSE)="","",VLOOKUP($BS703,'État &amp; Plan d''action'!$B$6:$AJ$1113,29,FALSE))</f>
        <v/>
      </c>
      <c r="DS703" s="70" t="str">
        <f>IF(VLOOKUP($BS703,'État &amp; Plan d''action'!$B$6:$AJ$1113,30,FALSE)="","",VLOOKUP($BS703,'État &amp; Plan d''action'!$B$6:$AJ$1113,30,FALSE))</f>
        <v/>
      </c>
      <c r="DT703" s="70" t="s">
        <v>1124</v>
      </c>
      <c r="DU703" s="485" t="s">
        <v>1124</v>
      </c>
      <c r="DV703" s="485" t="s">
        <v>1124</v>
      </c>
      <c r="DW703" s="70" t="s">
        <v>1124</v>
      </c>
      <c r="DX703" s="70" t="s">
        <v>1124</v>
      </c>
      <c r="DY703" s="70" t="s">
        <v>1124</v>
      </c>
      <c r="DZ703" s="70" t="str">
        <f>VLOOKUP($BS703,'État &amp; Plan d''action'!$B$6:$AH$1113,31,FALSE)</f>
        <v/>
      </c>
      <c r="EA703" s="70" t="str">
        <f>VLOOKUP($BS703,'État &amp; Plan d''action'!$B$6:$AH$1113,32,FALSE)</f>
        <v/>
      </c>
      <c r="EB703" s="70" t="str">
        <f>VLOOKUP($BS703,'État &amp; Plan d''action'!$B$6:$AH$1113,33,FALSE)</f>
        <v/>
      </c>
      <c r="EC703" s="70" t="s">
        <v>1124</v>
      </c>
      <c r="ED703" s="70" t="s">
        <v>1124</v>
      </c>
      <c r="EE703" s="70" t="s">
        <v>1124</v>
      </c>
      <c r="EF703" s="70" t="s">
        <v>1124</v>
      </c>
      <c r="EG703" s="70" t="s">
        <v>1124</v>
      </c>
      <c r="EH703" s="72"/>
      <c r="EI703" s="72">
        <v>377</v>
      </c>
    </row>
    <row r="704" spans="71:139" x14ac:dyDescent="0.35">
      <c r="BS704" s="486">
        <v>11030</v>
      </c>
      <c r="BT704" s="479" t="s">
        <v>22</v>
      </c>
      <c r="BU704" s="479">
        <v>1</v>
      </c>
      <c r="BV704" s="476" t="s">
        <v>1187</v>
      </c>
      <c r="BW704" s="476" t="s">
        <v>1187</v>
      </c>
      <c r="BX704" s="476" t="s">
        <v>1187</v>
      </c>
      <c r="BY704" s="476" t="s">
        <v>1187</v>
      </c>
      <c r="BZ704" s="476" t="s">
        <v>1187</v>
      </c>
      <c r="CA704" s="476" t="s">
        <v>1187</v>
      </c>
      <c r="CB704" s="476" t="s">
        <v>1187</v>
      </c>
      <c r="CC704" s="476" t="s">
        <v>1187</v>
      </c>
      <c r="CD704" s="476" t="s">
        <v>1187</v>
      </c>
      <c r="CE704" s="476" t="s">
        <v>1188</v>
      </c>
      <c r="CF704" s="476" t="s">
        <v>1187</v>
      </c>
      <c r="CG704" s="476" t="s">
        <v>1187</v>
      </c>
      <c r="CH704" s="476" t="s">
        <v>1187</v>
      </c>
      <c r="CI704" s="476" t="s">
        <v>1187</v>
      </c>
      <c r="CJ704" s="476" t="s">
        <v>1187</v>
      </c>
      <c r="CK704" s="476" t="s">
        <v>1187</v>
      </c>
      <c r="CL704" s="476" t="s">
        <v>1188</v>
      </c>
      <c r="CM704" s="476" t="str">
        <f>IF(VLOOKUP(BS704,'Données par municipalité'!$B$6:$E$1113,4,FALSE)="","non","oui")</f>
        <v>oui</v>
      </c>
      <c r="CN704" s="410">
        <v>488.36414473601747</v>
      </c>
      <c r="CO704" s="410" t="s">
        <v>1124</v>
      </c>
      <c r="CP704" s="410"/>
      <c r="CQ704" s="410"/>
      <c r="CR704" s="410"/>
      <c r="CS704" s="410" t="s">
        <v>1124</v>
      </c>
      <c r="CT704" s="410"/>
      <c r="CU704" s="410">
        <v>230</v>
      </c>
      <c r="CV704" s="410">
        <f>IF(VLOOKUP(BS704,'Données par municipalité'!$B$6:$F$1113,4,FALSE)="","",VLOOKUP(BS704,'Données par municipalité'!$B$6:$F$1113,4,FALSE))</f>
        <v>256</v>
      </c>
      <c r="CW704" s="476" t="s">
        <v>4723</v>
      </c>
      <c r="CX704" s="483" t="s">
        <v>1124</v>
      </c>
      <c r="CY704" s="483" t="s">
        <v>1124</v>
      </c>
      <c r="CZ704" s="483" t="s">
        <v>1124</v>
      </c>
      <c r="DA704" s="483" t="s">
        <v>1124</v>
      </c>
      <c r="DB704" s="483" t="s">
        <v>1124</v>
      </c>
      <c r="DC704" s="483" t="s">
        <v>1124</v>
      </c>
      <c r="DD704" s="483">
        <v>0</v>
      </c>
      <c r="DE704" s="483">
        <f>IFERROR(SUM(VLOOKUP($BS704,'État &amp; Plan d''action'!$B$6:$Z$1113,18,FALSE),VLOOKUP($BS704,'État &amp; Plan d''action'!$B$6:$Z$1113,20,FALSE))/(VLOOKUP($BS704,'Données par municipalité'!$B$4:$L$1113,11,FALSE)),"")</f>
        <v>0</v>
      </c>
      <c r="DF704" s="483">
        <f>IFERROR(SUM(VLOOKUP($BS704,'État &amp; Plan d''action'!$B$6:$Z$1113,19,FALSE),VLOOKUP($BS704,'État &amp; Plan d''action'!$B$6:$Z$1113,21,FALSE))/(VLOOKUP($BS704,'Données par municipalité'!$B$4:$L$1113,11,FALSE)),"")</f>
        <v>0</v>
      </c>
      <c r="DG704" s="476" t="s">
        <v>4723</v>
      </c>
      <c r="DH704" s="484" t="s">
        <v>1124</v>
      </c>
      <c r="DI704" s="484" t="s">
        <v>1124</v>
      </c>
      <c r="DJ704" s="484">
        <v>0</v>
      </c>
      <c r="DK704" s="484">
        <v>0</v>
      </c>
      <c r="DL704" s="484" t="s">
        <v>1124</v>
      </c>
      <c r="DM704" s="484" t="s">
        <v>1124</v>
      </c>
      <c r="DN704" s="484">
        <v>1</v>
      </c>
      <c r="DO704" s="484">
        <v>0</v>
      </c>
      <c r="DP704" s="484">
        <v>0</v>
      </c>
      <c r="DQ704" s="484">
        <f>IF(VLOOKUP($BS704,'État &amp; Plan d''action'!$B$6:$AJ$1113,28,FALSE)="","",VLOOKUP($BS704,'État &amp; Plan d''action'!$B$6:$AJ$1113,28,FALSE))</f>
        <v>0</v>
      </c>
      <c r="DR704" s="70">
        <f>IF(VLOOKUP($BS704,'État &amp; Plan d''action'!$B$6:$AJ$1113,29,FALSE)="","",VLOOKUP($BS704,'État &amp; Plan d''action'!$B$6:$AJ$1113,29,FALSE))</f>
        <v>0</v>
      </c>
      <c r="DS704" s="70">
        <f>IF(VLOOKUP($BS704,'État &amp; Plan d''action'!$B$6:$AJ$1113,30,FALSE)="","",VLOOKUP($BS704,'État &amp; Plan d''action'!$B$6:$AJ$1113,30,FALSE))</f>
        <v>0</v>
      </c>
      <c r="DT704" s="70">
        <v>203</v>
      </c>
      <c r="DU704" s="485">
        <v>0.65947339627444934</v>
      </c>
      <c r="DV704" s="485">
        <v>1.2372677694991927</v>
      </c>
      <c r="DW704" s="70">
        <v>5</v>
      </c>
      <c r="DX704" s="70">
        <v>0</v>
      </c>
      <c r="DY704" s="70">
        <v>0</v>
      </c>
      <c r="DZ704" s="70">
        <f>VLOOKUP($BS704,'État &amp; Plan d''action'!$B$6:$AH$1113,31,FALSE)</f>
        <v>0</v>
      </c>
      <c r="EA704" s="70">
        <f>VLOOKUP($BS704,'État &amp; Plan d''action'!$B$6:$AH$1113,32,FALSE)</f>
        <v>0</v>
      </c>
      <c r="EB704" s="70">
        <f>VLOOKUP($BS704,'État &amp; Plan d''action'!$B$6:$AH$1113,33,FALSE)</f>
        <v>0</v>
      </c>
      <c r="EC704" s="70">
        <v>0</v>
      </c>
      <c r="ED704" s="70">
        <v>0</v>
      </c>
      <c r="EE704" s="70">
        <v>0</v>
      </c>
      <c r="EF704" s="70">
        <v>0</v>
      </c>
      <c r="EG704" s="70">
        <v>0</v>
      </c>
      <c r="EH704" s="72">
        <v>27</v>
      </c>
      <c r="EI704" s="72">
        <v>399</v>
      </c>
    </row>
    <row r="705" spans="71:139" x14ac:dyDescent="0.35">
      <c r="BS705" s="486">
        <v>38035</v>
      </c>
      <c r="BT705" s="479" t="s">
        <v>330</v>
      </c>
      <c r="BU705" s="479">
        <v>17</v>
      </c>
      <c r="BV705" s="476" t="s">
        <v>1188</v>
      </c>
      <c r="BW705" s="476" t="s">
        <v>1188</v>
      </c>
      <c r="BX705" s="476" t="s">
        <v>1188</v>
      </c>
      <c r="BY705" s="476" t="s">
        <v>1188</v>
      </c>
      <c r="BZ705" s="476" t="s">
        <v>1188</v>
      </c>
      <c r="CA705" s="476" t="s">
        <v>1188</v>
      </c>
      <c r="CB705" s="476" t="s">
        <v>1188</v>
      </c>
      <c r="CC705" s="476" t="s">
        <v>1188</v>
      </c>
      <c r="CD705" s="476" t="s">
        <v>1188</v>
      </c>
      <c r="CE705" s="476" t="s">
        <v>1187</v>
      </c>
      <c r="CF705" s="476" t="s">
        <v>1187</v>
      </c>
      <c r="CG705" s="476" t="s">
        <v>1187</v>
      </c>
      <c r="CH705" s="476" t="s">
        <v>1187</v>
      </c>
      <c r="CI705" s="476" t="s">
        <v>1187</v>
      </c>
      <c r="CJ705" s="476" t="s">
        <v>1187</v>
      </c>
      <c r="CK705" s="476" t="s">
        <v>1187</v>
      </c>
      <c r="CL705" s="476" t="s">
        <v>1187</v>
      </c>
      <c r="CM705" s="476" t="str">
        <f>IF(VLOOKUP(BS705,'Données par municipalité'!$B$6:$E$1113,4,FALSE)="","non","oui")</f>
        <v>non</v>
      </c>
      <c r="CN705" s="410" t="s">
        <v>1124</v>
      </c>
      <c r="CO705" s="410" t="s">
        <v>1124</v>
      </c>
      <c r="CP705" s="410"/>
      <c r="CQ705" s="410"/>
      <c r="CR705" s="410"/>
      <c r="CS705" s="410" t="s">
        <v>1124</v>
      </c>
      <c r="CT705" s="410"/>
      <c r="CU705" s="410" t="s">
        <v>1124</v>
      </c>
      <c r="CV705" s="410" t="str">
        <f>IF(VLOOKUP(BS705,'Données par municipalité'!$B$6:$F$1113,4,FALSE)="","",VLOOKUP(BS705,'Données par municipalité'!$B$6:$F$1113,4,FALSE))</f>
        <v/>
      </c>
      <c r="CW705" s="476" t="s">
        <v>4723</v>
      </c>
      <c r="CX705" s="483" t="s">
        <v>1124</v>
      </c>
      <c r="CY705" s="483" t="s">
        <v>1124</v>
      </c>
      <c r="CZ705" s="483" t="s">
        <v>1124</v>
      </c>
      <c r="DA705" s="483" t="s">
        <v>1124</v>
      </c>
      <c r="DB705" s="483" t="s">
        <v>1124</v>
      </c>
      <c r="DC705" s="483" t="s">
        <v>1124</v>
      </c>
      <c r="DD705" s="483" t="s">
        <v>1124</v>
      </c>
      <c r="DE705" s="483" t="str">
        <f>IFERROR(SUM(VLOOKUP($BS705,'État &amp; Plan d''action'!$B$6:$Z$1113,18,FALSE),VLOOKUP($BS705,'État &amp; Plan d''action'!$B$6:$Z$1113,20,FALSE))/(VLOOKUP($BS705,'Données par municipalité'!$B$4:$L$1113,11,FALSE)),"")</f>
        <v/>
      </c>
      <c r="DF705" s="483" t="str">
        <f>IFERROR(SUM(VLOOKUP($BS705,'État &amp; Plan d''action'!$B$6:$Z$1113,19,FALSE),VLOOKUP($BS705,'État &amp; Plan d''action'!$B$6:$Z$1113,21,FALSE))/(VLOOKUP($BS705,'Données par municipalité'!$B$4:$L$1113,11,FALSE)),"")</f>
        <v/>
      </c>
      <c r="DG705" s="476" t="s">
        <v>4723</v>
      </c>
      <c r="DH705" s="484" t="s">
        <v>1124</v>
      </c>
      <c r="DI705" s="484" t="s">
        <v>1124</v>
      </c>
      <c r="DJ705" s="484">
        <v>0</v>
      </c>
      <c r="DK705" s="484">
        <v>0</v>
      </c>
      <c r="DL705" s="484" t="s">
        <v>1124</v>
      </c>
      <c r="DM705" s="484" t="s">
        <v>1124</v>
      </c>
      <c r="DN705" s="484" t="s">
        <v>1124</v>
      </c>
      <c r="DO705" s="484" t="s">
        <v>1124</v>
      </c>
      <c r="DP705" s="484" t="s">
        <v>1124</v>
      </c>
      <c r="DQ705" s="484" t="str">
        <f>IF(VLOOKUP($BS705,'État &amp; Plan d''action'!$B$6:$AJ$1113,28,FALSE)="","",VLOOKUP($BS705,'État &amp; Plan d''action'!$B$6:$AJ$1113,28,FALSE))</f>
        <v/>
      </c>
      <c r="DR705" s="70" t="str">
        <f>IF(VLOOKUP($BS705,'État &amp; Plan d''action'!$B$6:$AJ$1113,29,FALSE)="","",VLOOKUP($BS705,'État &amp; Plan d''action'!$B$6:$AJ$1113,29,FALSE))</f>
        <v/>
      </c>
      <c r="DS705" s="70" t="str">
        <f>IF(VLOOKUP($BS705,'État &amp; Plan d''action'!$B$6:$AJ$1113,30,FALSE)="","",VLOOKUP($BS705,'État &amp; Plan d''action'!$B$6:$AJ$1113,30,FALSE))</f>
        <v/>
      </c>
      <c r="DT705" s="70" t="s">
        <v>1124</v>
      </c>
      <c r="DU705" s="485" t="s">
        <v>1124</v>
      </c>
      <c r="DV705" s="485" t="s">
        <v>1124</v>
      </c>
      <c r="DW705" s="70" t="s">
        <v>1124</v>
      </c>
      <c r="DX705" s="70" t="s">
        <v>1124</v>
      </c>
      <c r="DY705" s="70" t="s">
        <v>1124</v>
      </c>
      <c r="DZ705" s="70" t="str">
        <f>VLOOKUP($BS705,'État &amp; Plan d''action'!$B$6:$AH$1113,31,FALSE)</f>
        <v/>
      </c>
      <c r="EA705" s="70" t="str">
        <f>VLOOKUP($BS705,'État &amp; Plan d''action'!$B$6:$AH$1113,32,FALSE)</f>
        <v/>
      </c>
      <c r="EB705" s="70" t="str">
        <f>VLOOKUP($BS705,'État &amp; Plan d''action'!$B$6:$AH$1113,33,FALSE)</f>
        <v/>
      </c>
      <c r="EC705" s="70" t="s">
        <v>1124</v>
      </c>
      <c r="ED705" s="70" t="s">
        <v>1124</v>
      </c>
      <c r="EE705" s="70" t="s">
        <v>1124</v>
      </c>
      <c r="EF705" s="70" t="s">
        <v>1124</v>
      </c>
      <c r="EG705" s="70" t="s">
        <v>1124</v>
      </c>
      <c r="EH705" s="72"/>
      <c r="EI705" s="72">
        <v>448</v>
      </c>
    </row>
    <row r="706" spans="71:139" x14ac:dyDescent="0.35">
      <c r="BS706" s="486">
        <v>37215</v>
      </c>
      <c r="BT706" s="479" t="s">
        <v>317</v>
      </c>
      <c r="BU706" s="479">
        <v>4</v>
      </c>
      <c r="BV706" s="476" t="s">
        <v>1187</v>
      </c>
      <c r="BW706" s="476" t="s">
        <v>1187</v>
      </c>
      <c r="BX706" s="476" t="s">
        <v>1187</v>
      </c>
      <c r="BY706" s="476" t="s">
        <v>1187</v>
      </c>
      <c r="BZ706" s="476" t="s">
        <v>1187</v>
      </c>
      <c r="CA706" s="476" t="s">
        <v>1187</v>
      </c>
      <c r="CB706" s="476" t="s">
        <v>1187</v>
      </c>
      <c r="CC706" s="476" t="s">
        <v>1187</v>
      </c>
      <c r="CD706" s="476" t="s">
        <v>1187</v>
      </c>
      <c r="CE706" s="476" t="s">
        <v>1188</v>
      </c>
      <c r="CF706" s="476" t="s">
        <v>1188</v>
      </c>
      <c r="CG706" s="476" t="s">
        <v>1188</v>
      </c>
      <c r="CH706" s="476" t="s">
        <v>1187</v>
      </c>
      <c r="CI706" s="476" t="s">
        <v>1188</v>
      </c>
      <c r="CJ706" s="476" t="s">
        <v>1188</v>
      </c>
      <c r="CK706" s="476" t="s">
        <v>1188</v>
      </c>
      <c r="CL706" s="476" t="s">
        <v>1188</v>
      </c>
      <c r="CM706" s="476" t="str">
        <f>IF(VLOOKUP(BS706,'Données par municipalité'!$B$6:$E$1113,4,FALSE)="","non","oui")</f>
        <v>oui</v>
      </c>
      <c r="CN706" s="410">
        <v>535.79658472508913</v>
      </c>
      <c r="CO706" s="410">
        <v>432.01092304865989</v>
      </c>
      <c r="CP706" s="410">
        <v>353.30128705834858</v>
      </c>
      <c r="CQ706" s="410"/>
      <c r="CR706" s="410">
        <v>485.20488941773448</v>
      </c>
      <c r="CS706" s="410">
        <v>392.6719171479736</v>
      </c>
      <c r="CT706" s="410">
        <v>339.96078080639569</v>
      </c>
      <c r="CU706" s="410">
        <v>378</v>
      </c>
      <c r="CV706" s="410">
        <f>IF(VLOOKUP(BS706,'Données par municipalité'!$B$6:$F$1113,4,FALSE)="","",VLOOKUP(BS706,'Données par municipalité'!$B$6:$F$1113,4,FALSE))</f>
        <v>408</v>
      </c>
      <c r="CW706" s="476" t="s">
        <v>4723</v>
      </c>
      <c r="CX706" s="483">
        <v>0</v>
      </c>
      <c r="CY706" s="483">
        <v>0</v>
      </c>
      <c r="CZ706" s="483" t="s">
        <v>1124</v>
      </c>
      <c r="DA706" s="483">
        <v>0</v>
      </c>
      <c r="DB706" s="483">
        <v>0</v>
      </c>
      <c r="DC706" s="483">
        <v>1</v>
      </c>
      <c r="DD706" s="483">
        <v>0</v>
      </c>
      <c r="DE706" s="483">
        <f>IFERROR(SUM(VLOOKUP($BS706,'État &amp; Plan d''action'!$B$6:$Z$1113,18,FALSE),VLOOKUP($BS706,'État &amp; Plan d''action'!$B$6:$Z$1113,20,FALSE))/(VLOOKUP($BS706,'Données par municipalité'!$B$4:$L$1113,11,FALSE)),"")</f>
        <v>0</v>
      </c>
      <c r="DF706" s="483">
        <f>IFERROR(SUM(VLOOKUP($BS706,'État &amp; Plan d''action'!$B$6:$Z$1113,19,FALSE),VLOOKUP($BS706,'État &amp; Plan d''action'!$B$6:$Z$1113,21,FALSE))/(VLOOKUP($BS706,'Données par municipalité'!$B$4:$L$1113,11,FALSE)),"")</f>
        <v>1</v>
      </c>
      <c r="DG706" s="476" t="s">
        <v>4723</v>
      </c>
      <c r="DH706" s="484">
        <v>2</v>
      </c>
      <c r="DI706" s="484">
        <v>4</v>
      </c>
      <c r="DJ706" s="484">
        <v>0</v>
      </c>
      <c r="DK706" s="484">
        <v>4</v>
      </c>
      <c r="DL706" s="484">
        <v>3</v>
      </c>
      <c r="DM706" s="484">
        <v>2</v>
      </c>
      <c r="DN706" s="484">
        <v>2</v>
      </c>
      <c r="DO706" s="484">
        <v>0</v>
      </c>
      <c r="DP706" s="484">
        <v>0</v>
      </c>
      <c r="DQ706" s="484">
        <f>IF(VLOOKUP($BS706,'État &amp; Plan d''action'!$B$6:$AJ$1113,28,FALSE)="","",VLOOKUP($BS706,'État &amp; Plan d''action'!$B$6:$AJ$1113,28,FALSE))</f>
        <v>0</v>
      </c>
      <c r="DR706" s="70">
        <f>IF(VLOOKUP($BS706,'État &amp; Plan d''action'!$B$6:$AJ$1113,29,FALSE)="","",VLOOKUP($BS706,'État &amp; Plan d''action'!$B$6:$AJ$1113,29,FALSE))</f>
        <v>0</v>
      </c>
      <c r="DS706" s="70">
        <f>IF(VLOOKUP($BS706,'État &amp; Plan d''action'!$B$6:$AJ$1113,30,FALSE)="","",VLOOKUP($BS706,'État &amp; Plan d''action'!$B$6:$AJ$1113,30,FALSE))</f>
        <v>0</v>
      </c>
      <c r="DT706" s="70">
        <v>185</v>
      </c>
      <c r="DU706" s="485">
        <v>1.2407438481115709</v>
      </c>
      <c r="DV706" s="485">
        <v>0.97195011193222536</v>
      </c>
      <c r="DW706" s="70">
        <v>2</v>
      </c>
      <c r="DX706" s="70">
        <v>0</v>
      </c>
      <c r="DY706" s="70">
        <v>0</v>
      </c>
      <c r="DZ706" s="70">
        <f>VLOOKUP($BS706,'État &amp; Plan d''action'!$B$6:$AH$1113,31,FALSE)</f>
        <v>0</v>
      </c>
      <c r="EA706" s="70">
        <f>VLOOKUP($BS706,'État &amp; Plan d''action'!$B$6:$AH$1113,32,FALSE)</f>
        <v>0</v>
      </c>
      <c r="EB706" s="70">
        <f>VLOOKUP($BS706,'État &amp; Plan d''action'!$B$6:$AH$1113,33,FALSE)</f>
        <v>0</v>
      </c>
      <c r="EC706" s="70">
        <v>0</v>
      </c>
      <c r="ED706" s="70">
        <v>0</v>
      </c>
      <c r="EE706" s="70">
        <v>0</v>
      </c>
      <c r="EF706" s="70">
        <v>0</v>
      </c>
      <c r="EG706" s="70">
        <v>0</v>
      </c>
      <c r="EH706" s="72">
        <v>56</v>
      </c>
      <c r="EI706" s="72">
        <v>1007</v>
      </c>
    </row>
    <row r="707" spans="71:139" x14ac:dyDescent="0.35">
      <c r="BS707" s="486">
        <v>52040</v>
      </c>
      <c r="BT707" s="479" t="s">
        <v>519</v>
      </c>
      <c r="BU707" s="479">
        <v>14</v>
      </c>
      <c r="BV707" s="476" t="s">
        <v>1187</v>
      </c>
      <c r="BW707" s="476" t="s">
        <v>1187</v>
      </c>
      <c r="BX707" s="476" t="s">
        <v>1187</v>
      </c>
      <c r="BY707" s="476" t="s">
        <v>1187</v>
      </c>
      <c r="BZ707" s="476" t="s">
        <v>1187</v>
      </c>
      <c r="CA707" s="476" t="s">
        <v>1187</v>
      </c>
      <c r="CB707" s="476" t="s">
        <v>1187</v>
      </c>
      <c r="CC707" s="476" t="s">
        <v>1187</v>
      </c>
      <c r="CD707" s="476" t="s">
        <v>1187</v>
      </c>
      <c r="CE707" s="476" t="s">
        <v>1188</v>
      </c>
      <c r="CF707" s="476" t="s">
        <v>1188</v>
      </c>
      <c r="CG707" s="476" t="s">
        <v>1188</v>
      </c>
      <c r="CH707" s="476" t="s">
        <v>1188</v>
      </c>
      <c r="CI707" s="476" t="s">
        <v>1188</v>
      </c>
      <c r="CJ707" s="476" t="s">
        <v>1188</v>
      </c>
      <c r="CK707" s="476" t="s">
        <v>1188</v>
      </c>
      <c r="CL707" s="476" t="s">
        <v>1188</v>
      </c>
      <c r="CM707" s="476" t="str">
        <f>IF(VLOOKUP(BS707,'Données par municipalité'!$B$6:$E$1113,4,FALSE)="","non","oui")</f>
        <v>oui</v>
      </c>
      <c r="CN707" s="410">
        <v>382.23774822804415</v>
      </c>
      <c r="CO707" s="410">
        <v>406.8125954514004</v>
      </c>
      <c r="CP707" s="410">
        <v>339.16050558146537</v>
      </c>
      <c r="CQ707" s="410">
        <v>368.53667852596578</v>
      </c>
      <c r="CR707" s="410">
        <v>311.06383469397167</v>
      </c>
      <c r="CS707" s="410">
        <v>304.4874370513233</v>
      </c>
      <c r="CT707" s="410">
        <v>306.92369908783547</v>
      </c>
      <c r="CU707" s="410">
        <v>383</v>
      </c>
      <c r="CV707" s="410">
        <f>IF(VLOOKUP(BS707,'Données par municipalité'!$B$6:$F$1113,4,FALSE)="","",VLOOKUP(BS707,'Données par municipalité'!$B$6:$F$1113,4,FALSE))</f>
        <v>415</v>
      </c>
      <c r="CW707" s="476" t="s">
        <v>4723</v>
      </c>
      <c r="CX707" s="483">
        <v>0</v>
      </c>
      <c r="CY707" s="483">
        <v>0</v>
      </c>
      <c r="CZ707" s="483">
        <v>0</v>
      </c>
      <c r="DA707" s="483">
        <v>0.25</v>
      </c>
      <c r="DB707" s="483">
        <v>0</v>
      </c>
      <c r="DC707" s="483">
        <v>0</v>
      </c>
      <c r="DD707" s="483">
        <v>0</v>
      </c>
      <c r="DE707" s="483">
        <f>IFERROR(SUM(VLOOKUP($BS707,'État &amp; Plan d''action'!$B$6:$Z$1113,18,FALSE),VLOOKUP($BS707,'État &amp; Plan d''action'!$B$6:$Z$1113,20,FALSE))/(VLOOKUP($BS707,'Données par municipalité'!$B$4:$L$1113,11,FALSE)),"")</f>
        <v>0</v>
      </c>
      <c r="DF707" s="483">
        <f>IFERROR(SUM(VLOOKUP($BS707,'État &amp; Plan d''action'!$B$6:$Z$1113,19,FALSE),VLOOKUP($BS707,'État &amp; Plan d''action'!$B$6:$Z$1113,21,FALSE))/(VLOOKUP($BS707,'Données par municipalité'!$B$4:$L$1113,11,FALSE)),"")</f>
        <v>1</v>
      </c>
      <c r="DG707" s="476" t="s">
        <v>4723</v>
      </c>
      <c r="DH707" s="484">
        <v>14</v>
      </c>
      <c r="DI707" s="484">
        <v>9</v>
      </c>
      <c r="DJ707" s="484">
        <v>12</v>
      </c>
      <c r="DK707" s="484">
        <v>6</v>
      </c>
      <c r="DL707" s="484">
        <v>3</v>
      </c>
      <c r="DM707" s="484">
        <v>5</v>
      </c>
      <c r="DN707" s="484">
        <v>9</v>
      </c>
      <c r="DO707" s="484">
        <v>0</v>
      </c>
      <c r="DP707" s="484">
        <v>0</v>
      </c>
      <c r="DQ707" s="484">
        <f>IF(VLOOKUP($BS707,'État &amp; Plan d''action'!$B$6:$AJ$1113,28,FALSE)="","",VLOOKUP($BS707,'État &amp; Plan d''action'!$B$6:$AJ$1113,28,FALSE))</f>
        <v>6</v>
      </c>
      <c r="DR707" s="70">
        <f>IF(VLOOKUP($BS707,'État &amp; Plan d''action'!$B$6:$AJ$1113,29,FALSE)="","",VLOOKUP($BS707,'État &amp; Plan d''action'!$B$6:$AJ$1113,29,FALSE))</f>
        <v>0</v>
      </c>
      <c r="DS707" s="70">
        <f>IF(VLOOKUP($BS707,'État &amp; Plan d''action'!$B$6:$AJ$1113,30,FALSE)="","",VLOOKUP($BS707,'État &amp; Plan d''action'!$B$6:$AJ$1113,30,FALSE))</f>
        <v>0</v>
      </c>
      <c r="DT707" s="70">
        <v>242</v>
      </c>
      <c r="DU707" s="485">
        <v>1.7055010727068274</v>
      </c>
      <c r="DV707" s="485">
        <v>3.4966096244609042</v>
      </c>
      <c r="DW707" s="70">
        <v>7</v>
      </c>
      <c r="DX707" s="70">
        <v>0</v>
      </c>
      <c r="DY707" s="70">
        <v>0</v>
      </c>
      <c r="DZ707" s="70">
        <f>VLOOKUP($BS707,'État &amp; Plan d''action'!$B$6:$AH$1113,31,FALSE)</f>
        <v>5</v>
      </c>
      <c r="EA707" s="70">
        <f>VLOOKUP($BS707,'État &amp; Plan d''action'!$B$6:$AH$1113,32,FALSE)</f>
        <v>0</v>
      </c>
      <c r="EB707" s="70">
        <f>VLOOKUP($BS707,'État &amp; Plan d''action'!$B$6:$AH$1113,33,FALSE)</f>
        <v>0</v>
      </c>
      <c r="EC707" s="70">
        <v>0</v>
      </c>
      <c r="ED707" s="70">
        <v>0</v>
      </c>
      <c r="EE707" s="70">
        <v>0</v>
      </c>
      <c r="EF707" s="70">
        <v>0</v>
      </c>
      <c r="EG707" s="70">
        <v>0</v>
      </c>
      <c r="EH707" s="72">
        <v>61</v>
      </c>
      <c r="EI707" s="72">
        <v>2351</v>
      </c>
    </row>
    <row r="708" spans="71:139" x14ac:dyDescent="0.35">
      <c r="BS708" s="486">
        <v>87030</v>
      </c>
      <c r="BT708" s="479" t="s">
        <v>895</v>
      </c>
      <c r="BU708" s="479">
        <v>8</v>
      </c>
      <c r="BV708" s="476" t="s">
        <v>1188</v>
      </c>
      <c r="BW708" s="476" t="s">
        <v>1188</v>
      </c>
      <c r="BX708" s="476" t="s">
        <v>1188</v>
      </c>
      <c r="BY708" s="476" t="s">
        <v>1188</v>
      </c>
      <c r="BZ708" s="476" t="s">
        <v>1188</v>
      </c>
      <c r="CA708" s="476" t="s">
        <v>1188</v>
      </c>
      <c r="CB708" s="476" t="s">
        <v>1188</v>
      </c>
      <c r="CC708" s="476" t="s">
        <v>1188</v>
      </c>
      <c r="CD708" s="476" t="s">
        <v>1188</v>
      </c>
      <c r="CE708" s="476" t="s">
        <v>1187</v>
      </c>
      <c r="CF708" s="476" t="s">
        <v>1187</v>
      </c>
      <c r="CG708" s="476" t="s">
        <v>1187</v>
      </c>
      <c r="CH708" s="476" t="s">
        <v>1187</v>
      </c>
      <c r="CI708" s="476" t="s">
        <v>1187</v>
      </c>
      <c r="CJ708" s="476" t="s">
        <v>1187</v>
      </c>
      <c r="CK708" s="476" t="s">
        <v>1187</v>
      </c>
      <c r="CL708" s="476" t="s">
        <v>1187</v>
      </c>
      <c r="CM708" s="476" t="str">
        <f>IF(VLOOKUP(BS708,'Données par municipalité'!$B$6:$E$1113,4,FALSE)="","non","oui")</f>
        <v>non</v>
      </c>
      <c r="CN708" s="410" t="s">
        <v>1124</v>
      </c>
      <c r="CO708" s="410" t="s">
        <v>1124</v>
      </c>
      <c r="CP708" s="410"/>
      <c r="CQ708" s="410"/>
      <c r="CR708" s="410"/>
      <c r="CS708" s="410" t="s">
        <v>1124</v>
      </c>
      <c r="CT708" s="410"/>
      <c r="CU708" s="410" t="s">
        <v>1124</v>
      </c>
      <c r="CV708" s="410" t="str">
        <f>IF(VLOOKUP(BS708,'Données par municipalité'!$B$6:$F$1113,4,FALSE)="","",VLOOKUP(BS708,'Données par municipalité'!$B$6:$F$1113,4,FALSE))</f>
        <v/>
      </c>
      <c r="CW708" s="476" t="s">
        <v>4723</v>
      </c>
      <c r="CX708" s="483" t="s">
        <v>1124</v>
      </c>
      <c r="CY708" s="483" t="s">
        <v>1124</v>
      </c>
      <c r="CZ708" s="483" t="s">
        <v>1124</v>
      </c>
      <c r="DA708" s="483" t="s">
        <v>1124</v>
      </c>
      <c r="DB708" s="483" t="s">
        <v>1124</v>
      </c>
      <c r="DC708" s="483" t="s">
        <v>1124</v>
      </c>
      <c r="DD708" s="483" t="s">
        <v>1124</v>
      </c>
      <c r="DE708" s="483" t="str">
        <f>IFERROR(SUM(VLOOKUP($BS708,'État &amp; Plan d''action'!$B$6:$Z$1113,18,FALSE),VLOOKUP($BS708,'État &amp; Plan d''action'!$B$6:$Z$1113,20,FALSE))/(VLOOKUP($BS708,'Données par municipalité'!$B$4:$L$1113,11,FALSE)),"")</f>
        <v/>
      </c>
      <c r="DF708" s="483" t="str">
        <f>IFERROR(SUM(VLOOKUP($BS708,'État &amp; Plan d''action'!$B$6:$Z$1113,19,FALSE),VLOOKUP($BS708,'État &amp; Plan d''action'!$B$6:$Z$1113,21,FALSE))/(VLOOKUP($BS708,'Données par municipalité'!$B$4:$L$1113,11,FALSE)),"")</f>
        <v/>
      </c>
      <c r="DG708" s="476" t="s">
        <v>4723</v>
      </c>
      <c r="DH708" s="484">
        <v>0</v>
      </c>
      <c r="DI708" s="484" t="s">
        <v>1124</v>
      </c>
      <c r="DJ708" s="484">
        <v>0</v>
      </c>
      <c r="DK708" s="484">
        <v>0</v>
      </c>
      <c r="DL708" s="484" t="s">
        <v>1124</v>
      </c>
      <c r="DM708" s="484" t="s">
        <v>1124</v>
      </c>
      <c r="DN708" s="484" t="s">
        <v>1124</v>
      </c>
      <c r="DO708" s="484" t="s">
        <v>1124</v>
      </c>
      <c r="DP708" s="484" t="s">
        <v>1124</v>
      </c>
      <c r="DQ708" s="484" t="str">
        <f>IF(VLOOKUP($BS708,'État &amp; Plan d''action'!$B$6:$AJ$1113,28,FALSE)="","",VLOOKUP($BS708,'État &amp; Plan d''action'!$B$6:$AJ$1113,28,FALSE))</f>
        <v/>
      </c>
      <c r="DR708" s="70" t="str">
        <f>IF(VLOOKUP($BS708,'État &amp; Plan d''action'!$B$6:$AJ$1113,29,FALSE)="","",VLOOKUP($BS708,'État &amp; Plan d''action'!$B$6:$AJ$1113,29,FALSE))</f>
        <v/>
      </c>
      <c r="DS708" s="70" t="str">
        <f>IF(VLOOKUP($BS708,'État &amp; Plan d''action'!$B$6:$AJ$1113,30,FALSE)="","",VLOOKUP($BS708,'État &amp; Plan d''action'!$B$6:$AJ$1113,30,FALSE))</f>
        <v/>
      </c>
      <c r="DT708" s="70" t="s">
        <v>1124</v>
      </c>
      <c r="DU708" s="485" t="s">
        <v>1124</v>
      </c>
      <c r="DV708" s="485" t="s">
        <v>1124</v>
      </c>
      <c r="DW708" s="70" t="s">
        <v>1124</v>
      </c>
      <c r="DX708" s="70" t="s">
        <v>1124</v>
      </c>
      <c r="DY708" s="70" t="s">
        <v>1124</v>
      </c>
      <c r="DZ708" s="70" t="str">
        <f>VLOOKUP($BS708,'État &amp; Plan d''action'!$B$6:$AH$1113,31,FALSE)</f>
        <v/>
      </c>
      <c r="EA708" s="70" t="str">
        <f>VLOOKUP($BS708,'État &amp; Plan d''action'!$B$6:$AH$1113,32,FALSE)</f>
        <v/>
      </c>
      <c r="EB708" s="70" t="str">
        <f>VLOOKUP($BS708,'État &amp; Plan d''action'!$B$6:$AH$1113,33,FALSE)</f>
        <v/>
      </c>
      <c r="EC708" s="70" t="s">
        <v>1124</v>
      </c>
      <c r="ED708" s="70" t="s">
        <v>1124</v>
      </c>
      <c r="EE708" s="70" t="s">
        <v>1124</v>
      </c>
      <c r="EF708" s="70" t="s">
        <v>1124</v>
      </c>
      <c r="EG708" s="70" t="s">
        <v>1124</v>
      </c>
      <c r="EH708" s="72"/>
      <c r="EI708" s="72">
        <v>990</v>
      </c>
    </row>
    <row r="709" spans="71:139" x14ac:dyDescent="0.35">
      <c r="BS709" s="486">
        <v>88085</v>
      </c>
      <c r="BT709" s="479" t="s">
        <v>926</v>
      </c>
      <c r="BU709" s="479">
        <v>8</v>
      </c>
      <c r="BV709" s="476" t="s">
        <v>1188</v>
      </c>
      <c r="BW709" s="476" t="s">
        <v>1188</v>
      </c>
      <c r="BX709" s="476" t="s">
        <v>1188</v>
      </c>
      <c r="BY709" s="476" t="s">
        <v>1188</v>
      </c>
      <c r="BZ709" s="476" t="s">
        <v>1188</v>
      </c>
      <c r="CA709" s="476" t="s">
        <v>1188</v>
      </c>
      <c r="CB709" s="476" t="s">
        <v>1188</v>
      </c>
      <c r="CC709" s="476" t="s">
        <v>1188</v>
      </c>
      <c r="CD709" s="476" t="s">
        <v>1188</v>
      </c>
      <c r="CE709" s="476" t="s">
        <v>1187</v>
      </c>
      <c r="CF709" s="476" t="s">
        <v>1187</v>
      </c>
      <c r="CG709" s="476" t="s">
        <v>1187</v>
      </c>
      <c r="CH709" s="476" t="s">
        <v>1187</v>
      </c>
      <c r="CI709" s="476" t="s">
        <v>1187</v>
      </c>
      <c r="CJ709" s="476" t="s">
        <v>1187</v>
      </c>
      <c r="CK709" s="476" t="s">
        <v>1187</v>
      </c>
      <c r="CL709" s="476" t="s">
        <v>1187</v>
      </c>
      <c r="CM709" s="476" t="str">
        <f>IF(VLOOKUP(BS709,'Données par municipalité'!$B$6:$E$1113,4,FALSE)="","non","oui")</f>
        <v>non</v>
      </c>
      <c r="CN709" s="410" t="s">
        <v>1124</v>
      </c>
      <c r="CO709" s="410" t="s">
        <v>1124</v>
      </c>
      <c r="CP709" s="410"/>
      <c r="CQ709" s="410"/>
      <c r="CR709" s="410"/>
      <c r="CS709" s="410" t="s">
        <v>1124</v>
      </c>
      <c r="CT709" s="410"/>
      <c r="CU709" s="410" t="s">
        <v>1124</v>
      </c>
      <c r="CV709" s="410" t="str">
        <f>IF(VLOOKUP(BS709,'Données par municipalité'!$B$6:$F$1113,4,FALSE)="","",VLOOKUP(BS709,'Données par municipalité'!$B$6:$F$1113,4,FALSE))</f>
        <v/>
      </c>
      <c r="CW709" s="476" t="s">
        <v>4723</v>
      </c>
      <c r="CX709" s="483" t="s">
        <v>1124</v>
      </c>
      <c r="CY709" s="483" t="s">
        <v>1124</v>
      </c>
      <c r="CZ709" s="483" t="s">
        <v>1124</v>
      </c>
      <c r="DA709" s="483" t="s">
        <v>1124</v>
      </c>
      <c r="DB709" s="483" t="s">
        <v>1124</v>
      </c>
      <c r="DC709" s="483" t="s">
        <v>1124</v>
      </c>
      <c r="DD709" s="483" t="s">
        <v>1124</v>
      </c>
      <c r="DE709" s="483" t="str">
        <f>IFERROR(SUM(VLOOKUP($BS709,'État &amp; Plan d''action'!$B$6:$Z$1113,18,FALSE),VLOOKUP($BS709,'État &amp; Plan d''action'!$B$6:$Z$1113,20,FALSE))/(VLOOKUP($BS709,'Données par municipalité'!$B$4:$L$1113,11,FALSE)),"")</f>
        <v/>
      </c>
      <c r="DF709" s="483" t="str">
        <f>IFERROR(SUM(VLOOKUP($BS709,'État &amp; Plan d''action'!$B$6:$Z$1113,19,FALSE),VLOOKUP($BS709,'État &amp; Plan d''action'!$B$6:$Z$1113,21,FALSE))/(VLOOKUP($BS709,'Données par municipalité'!$B$4:$L$1113,11,FALSE)),"")</f>
        <v/>
      </c>
      <c r="DG709" s="476" t="s">
        <v>4723</v>
      </c>
      <c r="DH709" s="484" t="s">
        <v>1124</v>
      </c>
      <c r="DI709" s="484" t="s">
        <v>1124</v>
      </c>
      <c r="DJ709" s="484">
        <v>0</v>
      </c>
      <c r="DK709" s="484">
        <v>0</v>
      </c>
      <c r="DL709" s="484" t="s">
        <v>1124</v>
      </c>
      <c r="DM709" s="484" t="s">
        <v>1124</v>
      </c>
      <c r="DN709" s="484" t="s">
        <v>1124</v>
      </c>
      <c r="DO709" s="484" t="s">
        <v>1124</v>
      </c>
      <c r="DP709" s="484" t="s">
        <v>1124</v>
      </c>
      <c r="DQ709" s="484" t="str">
        <f>IF(VLOOKUP($BS709,'État &amp; Plan d''action'!$B$6:$AJ$1113,28,FALSE)="","",VLOOKUP($BS709,'État &amp; Plan d''action'!$B$6:$AJ$1113,28,FALSE))</f>
        <v/>
      </c>
      <c r="DR709" s="70" t="str">
        <f>IF(VLOOKUP($BS709,'État &amp; Plan d''action'!$B$6:$AJ$1113,29,FALSE)="","",VLOOKUP($BS709,'État &amp; Plan d''action'!$B$6:$AJ$1113,29,FALSE))</f>
        <v/>
      </c>
      <c r="DS709" s="70" t="str">
        <f>IF(VLOOKUP($BS709,'État &amp; Plan d''action'!$B$6:$AJ$1113,30,FALSE)="","",VLOOKUP($BS709,'État &amp; Plan d''action'!$B$6:$AJ$1113,30,FALSE))</f>
        <v/>
      </c>
      <c r="DT709" s="70" t="s">
        <v>1124</v>
      </c>
      <c r="DU709" s="485" t="s">
        <v>1124</v>
      </c>
      <c r="DV709" s="485" t="s">
        <v>1124</v>
      </c>
      <c r="DW709" s="70" t="s">
        <v>1124</v>
      </c>
      <c r="DX709" s="70" t="s">
        <v>1124</v>
      </c>
      <c r="DY709" s="70" t="s">
        <v>1124</v>
      </c>
      <c r="DZ709" s="70" t="str">
        <f>VLOOKUP($BS709,'État &amp; Plan d''action'!$B$6:$AH$1113,31,FALSE)</f>
        <v/>
      </c>
      <c r="EA709" s="70" t="str">
        <f>VLOOKUP($BS709,'État &amp; Plan d''action'!$B$6:$AH$1113,32,FALSE)</f>
        <v/>
      </c>
      <c r="EB709" s="70" t="str">
        <f>VLOOKUP($BS709,'État &amp; Plan d''action'!$B$6:$AH$1113,33,FALSE)</f>
        <v/>
      </c>
      <c r="EC709" s="70" t="s">
        <v>1124</v>
      </c>
      <c r="ED709" s="70" t="s">
        <v>1124</v>
      </c>
      <c r="EE709" s="70" t="s">
        <v>1124</v>
      </c>
      <c r="EF709" s="70" t="s">
        <v>1124</v>
      </c>
      <c r="EG709" s="70" t="s">
        <v>1124</v>
      </c>
      <c r="EH709" s="72"/>
      <c r="EI709" s="72">
        <v>789</v>
      </c>
    </row>
    <row r="710" spans="71:139" x14ac:dyDescent="0.35">
      <c r="BS710" s="486">
        <v>91030</v>
      </c>
      <c r="BT710" s="479" t="s">
        <v>942</v>
      </c>
      <c r="BU710" s="479">
        <v>2</v>
      </c>
      <c r="BV710" s="476" t="s">
        <v>1187</v>
      </c>
      <c r="BW710" s="476" t="s">
        <v>1187</v>
      </c>
      <c r="BX710" s="476" t="s">
        <v>1187</v>
      </c>
      <c r="BY710" s="476" t="s">
        <v>1187</v>
      </c>
      <c r="BZ710" s="476" t="s">
        <v>1187</v>
      </c>
      <c r="CA710" s="476" t="s">
        <v>1187</v>
      </c>
      <c r="CB710" s="476" t="s">
        <v>1187</v>
      </c>
      <c r="CC710" s="476" t="s">
        <v>1187</v>
      </c>
      <c r="CD710" s="476" t="s">
        <v>1187</v>
      </c>
      <c r="CE710" s="476" t="s">
        <v>1188</v>
      </c>
      <c r="CF710" s="476" t="s">
        <v>1188</v>
      </c>
      <c r="CG710" s="476" t="s">
        <v>1188</v>
      </c>
      <c r="CH710" s="476" t="s">
        <v>1188</v>
      </c>
      <c r="CI710" s="476" t="s">
        <v>1188</v>
      </c>
      <c r="CJ710" s="476" t="s">
        <v>1188</v>
      </c>
      <c r="CK710" s="476" t="s">
        <v>1188</v>
      </c>
      <c r="CL710" s="476" t="s">
        <v>1188</v>
      </c>
      <c r="CM710" s="476" t="str">
        <f>IF(VLOOKUP(BS710,'Données par municipalité'!$B$6:$E$1113,4,FALSE)="","non","oui")</f>
        <v>oui</v>
      </c>
      <c r="CN710" s="410">
        <v>360.96937369818932</v>
      </c>
      <c r="CO710" s="410">
        <v>353.61048923553437</v>
      </c>
      <c r="CP710" s="410">
        <v>297.2093944901244</v>
      </c>
      <c r="CQ710" s="410">
        <v>314.01827470492532</v>
      </c>
      <c r="CR710" s="410">
        <v>307.46603762860229</v>
      </c>
      <c r="CS710" s="410">
        <v>292.62202198502717</v>
      </c>
      <c r="CT710" s="410">
        <v>257.62764632627648</v>
      </c>
      <c r="CU710" s="410">
        <v>354</v>
      </c>
      <c r="CV710" s="410">
        <f>IF(VLOOKUP(BS710,'Données par municipalité'!$B$6:$F$1113,4,FALSE)="","",VLOOKUP(BS710,'Données par municipalité'!$B$6:$F$1113,4,FALSE))</f>
        <v>356</v>
      </c>
      <c r="CW710" s="476" t="s">
        <v>4723</v>
      </c>
      <c r="CX710" s="483">
        <v>0</v>
      </c>
      <c r="CY710" s="483">
        <v>0</v>
      </c>
      <c r="CZ710" s="483">
        <v>0</v>
      </c>
      <c r="DA710" s="483">
        <v>0</v>
      </c>
      <c r="DB710" s="483">
        <v>0</v>
      </c>
      <c r="DC710" s="483">
        <v>0</v>
      </c>
      <c r="DD710" s="483">
        <v>0</v>
      </c>
      <c r="DE710" s="483">
        <f>IFERROR(SUM(VLOOKUP($BS710,'État &amp; Plan d''action'!$B$6:$Z$1113,18,FALSE),VLOOKUP($BS710,'État &amp; Plan d''action'!$B$6:$Z$1113,20,FALSE))/(VLOOKUP($BS710,'Données par municipalité'!$B$4:$L$1113,11,FALSE)),"")</f>
        <v>0</v>
      </c>
      <c r="DF710" s="483">
        <f>IFERROR(SUM(VLOOKUP($BS710,'État &amp; Plan d''action'!$B$6:$Z$1113,19,FALSE),VLOOKUP($BS710,'État &amp; Plan d''action'!$B$6:$Z$1113,21,FALSE))/(VLOOKUP($BS710,'Données par municipalité'!$B$4:$L$1113,11,FALSE)),"")</f>
        <v>0</v>
      </c>
      <c r="DG710" s="476" t="s">
        <v>4723</v>
      </c>
      <c r="DH710" s="484">
        <v>20</v>
      </c>
      <c r="DI710" s="484">
        <v>15</v>
      </c>
      <c r="DJ710" s="484">
        <v>18</v>
      </c>
      <c r="DK710" s="484">
        <v>12</v>
      </c>
      <c r="DL710" s="484">
        <v>1</v>
      </c>
      <c r="DM710" s="484">
        <v>1</v>
      </c>
      <c r="DN710" s="484">
        <v>0</v>
      </c>
      <c r="DO710" s="484">
        <v>0</v>
      </c>
      <c r="DP710" s="484">
        <v>0</v>
      </c>
      <c r="DQ710" s="484">
        <f>IF(VLOOKUP($BS710,'État &amp; Plan d''action'!$B$6:$AJ$1113,28,FALSE)="","",VLOOKUP($BS710,'État &amp; Plan d''action'!$B$6:$AJ$1113,28,FALSE))</f>
        <v>1</v>
      </c>
      <c r="DR710" s="70">
        <f>IF(VLOOKUP($BS710,'État &amp; Plan d''action'!$B$6:$AJ$1113,29,FALSE)="","",VLOOKUP($BS710,'État &amp; Plan d''action'!$B$6:$AJ$1113,29,FALSE))</f>
        <v>1</v>
      </c>
      <c r="DS710" s="70">
        <f>IF(VLOOKUP($BS710,'État &amp; Plan d''action'!$B$6:$AJ$1113,30,FALSE)="","",VLOOKUP($BS710,'État &amp; Plan d''action'!$B$6:$AJ$1113,30,FALSE))</f>
        <v>1</v>
      </c>
      <c r="DT710" s="70">
        <v>297</v>
      </c>
      <c r="DU710" s="485">
        <v>0.90461767360269896</v>
      </c>
      <c r="DV710" s="485">
        <v>1.2559188464373601</v>
      </c>
      <c r="DW710" s="70">
        <v>0</v>
      </c>
      <c r="DX710" s="70">
        <v>0</v>
      </c>
      <c r="DY710" s="70">
        <v>0</v>
      </c>
      <c r="DZ710" s="70">
        <f>VLOOKUP($BS710,'État &amp; Plan d''action'!$B$6:$AH$1113,31,FALSE)</f>
        <v>1</v>
      </c>
      <c r="EA710" s="70">
        <f>VLOOKUP($BS710,'État &amp; Plan d''action'!$B$6:$AH$1113,32,FALSE)</f>
        <v>1</v>
      </c>
      <c r="EB710" s="70">
        <f>VLOOKUP($BS710,'État &amp; Plan d''action'!$B$6:$AH$1113,33,FALSE)</f>
        <v>1</v>
      </c>
      <c r="EC710" s="70">
        <v>0</v>
      </c>
      <c r="ED710" s="70">
        <v>0</v>
      </c>
      <c r="EE710" s="70">
        <v>0</v>
      </c>
      <c r="EF710" s="70">
        <v>0</v>
      </c>
      <c r="EG710" s="70">
        <v>0</v>
      </c>
      <c r="EH710" s="72">
        <v>58.21621621621621</v>
      </c>
      <c r="EI710" s="72">
        <v>874</v>
      </c>
    </row>
    <row r="711" spans="71:139" x14ac:dyDescent="0.35">
      <c r="BS711" s="486">
        <v>54095</v>
      </c>
      <c r="BT711" s="479" t="s">
        <v>552</v>
      </c>
      <c r="BU711" s="479">
        <v>16</v>
      </c>
      <c r="BV711" s="476" t="s">
        <v>1187</v>
      </c>
      <c r="BW711" s="476" t="s">
        <v>1187</v>
      </c>
      <c r="BX711" s="476" t="s">
        <v>1187</v>
      </c>
      <c r="BY711" s="476" t="s">
        <v>1187</v>
      </c>
      <c r="BZ711" s="476" t="s">
        <v>1187</v>
      </c>
      <c r="CA711" s="476" t="s">
        <v>1187</v>
      </c>
      <c r="CB711" s="476" t="s">
        <v>1187</v>
      </c>
      <c r="CC711" s="476" t="s">
        <v>1187</v>
      </c>
      <c r="CD711" s="476" t="s">
        <v>1187</v>
      </c>
      <c r="CE711" s="476" t="s">
        <v>1188</v>
      </c>
      <c r="CF711" s="476" t="s">
        <v>1188</v>
      </c>
      <c r="CG711" s="476" t="s">
        <v>1188</v>
      </c>
      <c r="CH711" s="476" t="s">
        <v>1188</v>
      </c>
      <c r="CI711" s="476" t="s">
        <v>1188</v>
      </c>
      <c r="CJ711" s="476" t="s">
        <v>1188</v>
      </c>
      <c r="CK711" s="476" t="s">
        <v>1188</v>
      </c>
      <c r="CL711" s="476" t="s">
        <v>1188</v>
      </c>
      <c r="CM711" s="476" t="str">
        <f>IF(VLOOKUP(BS711,'Données par municipalité'!$B$6:$E$1113,4,FALSE)="","non","oui")</f>
        <v>oui</v>
      </c>
      <c r="CN711" s="410">
        <v>326.41795311366036</v>
      </c>
      <c r="CO711" s="410">
        <v>311.38464241413544</v>
      </c>
      <c r="CP711" s="410">
        <v>290.22498822757996</v>
      </c>
      <c r="CQ711" s="410">
        <v>283.02321738001729</v>
      </c>
      <c r="CR711" s="410">
        <v>296.69438685354652</v>
      </c>
      <c r="CS711" s="410">
        <v>292.54040105833826</v>
      </c>
      <c r="CT711" s="410">
        <v>315.06076063285633</v>
      </c>
      <c r="CU711" s="410">
        <v>346</v>
      </c>
      <c r="CV711" s="410">
        <f>IF(VLOOKUP(BS711,'Données par municipalité'!$B$6:$F$1113,4,FALSE)="","",VLOOKUP(BS711,'Données par municipalité'!$B$6:$F$1113,4,FALSE))</f>
        <v>308</v>
      </c>
      <c r="CW711" s="476" t="s">
        <v>4723</v>
      </c>
      <c r="CX711" s="483">
        <v>0</v>
      </c>
      <c r="CY711" s="483">
        <v>0</v>
      </c>
      <c r="CZ711" s="483">
        <v>0</v>
      </c>
      <c r="DA711" s="483">
        <v>0</v>
      </c>
      <c r="DB711" s="483">
        <v>0</v>
      </c>
      <c r="DC711" s="483">
        <v>0</v>
      </c>
      <c r="DD711" s="483">
        <v>0</v>
      </c>
      <c r="DE711" s="483">
        <f>IFERROR(SUM(VLOOKUP($BS711,'État &amp; Plan d''action'!$B$6:$Z$1113,18,FALSE),VLOOKUP($BS711,'État &amp; Plan d''action'!$B$6:$Z$1113,20,FALSE))/(VLOOKUP($BS711,'Données par municipalité'!$B$4:$L$1113,11,FALSE)),"")</f>
        <v>0</v>
      </c>
      <c r="DF711" s="483">
        <f>IFERROR(SUM(VLOOKUP($BS711,'État &amp; Plan d''action'!$B$6:$Z$1113,19,FALSE),VLOOKUP($BS711,'État &amp; Plan d''action'!$B$6:$Z$1113,21,FALSE))/(VLOOKUP($BS711,'Données par municipalité'!$B$4:$L$1113,11,FALSE)),"")</f>
        <v>0</v>
      </c>
      <c r="DG711" s="476" t="s">
        <v>4723</v>
      </c>
      <c r="DH711" s="484">
        <v>0</v>
      </c>
      <c r="DI711" s="484">
        <v>0</v>
      </c>
      <c r="DJ711" s="484">
        <v>3</v>
      </c>
      <c r="DK711" s="484">
        <v>1</v>
      </c>
      <c r="DL711" s="484">
        <v>0</v>
      </c>
      <c r="DM711" s="484">
        <v>2</v>
      </c>
      <c r="DN711" s="484">
        <v>3</v>
      </c>
      <c r="DO711" s="484">
        <v>1</v>
      </c>
      <c r="DP711" s="484">
        <v>2</v>
      </c>
      <c r="DQ711" s="484">
        <f>IF(VLOOKUP($BS711,'État &amp; Plan d''action'!$B$6:$AJ$1113,28,FALSE)="","",VLOOKUP($BS711,'État &amp; Plan d''action'!$B$6:$AJ$1113,28,FALSE))</f>
        <v>0</v>
      </c>
      <c r="DR711" s="70">
        <f>IF(VLOOKUP($BS711,'État &amp; Plan d''action'!$B$6:$AJ$1113,29,FALSE)="","",VLOOKUP($BS711,'État &amp; Plan d''action'!$B$6:$AJ$1113,29,FALSE))</f>
        <v>0</v>
      </c>
      <c r="DS711" s="70">
        <f>IF(VLOOKUP($BS711,'État &amp; Plan d''action'!$B$6:$AJ$1113,30,FALSE)="","",VLOOKUP($BS711,'État &amp; Plan d''action'!$B$6:$AJ$1113,30,FALSE))</f>
        <v>2</v>
      </c>
      <c r="DT711" s="70">
        <v>174</v>
      </c>
      <c r="DU711" s="485">
        <v>1.1241969967328436</v>
      </c>
      <c r="DV711" s="485">
        <v>2.7415481571622049</v>
      </c>
      <c r="DW711" s="70">
        <v>1</v>
      </c>
      <c r="DX711" s="70">
        <v>1</v>
      </c>
      <c r="DY711" s="70">
        <v>1</v>
      </c>
      <c r="DZ711" s="70">
        <f>VLOOKUP($BS711,'État &amp; Plan d''action'!$B$6:$AH$1113,31,FALSE)</f>
        <v>0</v>
      </c>
      <c r="EA711" s="70">
        <f>VLOOKUP($BS711,'État &amp; Plan d''action'!$B$6:$AH$1113,32,FALSE)</f>
        <v>0</v>
      </c>
      <c r="EB711" s="70">
        <f>VLOOKUP($BS711,'État &amp; Plan d''action'!$B$6:$AH$1113,33,FALSE)</f>
        <v>1</v>
      </c>
      <c r="EC711" s="70">
        <v>0</v>
      </c>
      <c r="ED711" s="70">
        <v>0</v>
      </c>
      <c r="EE711" s="70">
        <v>0</v>
      </c>
      <c r="EF711" s="70">
        <v>0</v>
      </c>
      <c r="EG711" s="70">
        <v>0</v>
      </c>
      <c r="EH711" s="72">
        <v>43</v>
      </c>
      <c r="EI711" s="72">
        <v>1691</v>
      </c>
    </row>
    <row r="712" spans="71:139" x14ac:dyDescent="0.35">
      <c r="BS712" s="486">
        <v>39035</v>
      </c>
      <c r="BT712" s="479" t="s">
        <v>343</v>
      </c>
      <c r="BU712" s="479">
        <v>17</v>
      </c>
      <c r="BV712" s="476" t="s">
        <v>1188</v>
      </c>
      <c r="BW712" s="476" t="s">
        <v>1188</v>
      </c>
      <c r="BX712" s="476" t="s">
        <v>1188</v>
      </c>
      <c r="BY712" s="476" t="s">
        <v>1188</v>
      </c>
      <c r="BZ712" s="476" t="s">
        <v>1188</v>
      </c>
      <c r="CA712" s="476" t="s">
        <v>1188</v>
      </c>
      <c r="CB712" s="476" t="s">
        <v>1188</v>
      </c>
      <c r="CC712" s="476" t="s">
        <v>1188</v>
      </c>
      <c r="CD712" s="476" t="s">
        <v>1324</v>
      </c>
      <c r="CE712" s="476" t="s">
        <v>1187</v>
      </c>
      <c r="CF712" s="476" t="s">
        <v>1187</v>
      </c>
      <c r="CG712" s="476" t="s">
        <v>1187</v>
      </c>
      <c r="CH712" s="476" t="s">
        <v>1187</v>
      </c>
      <c r="CI712" s="476" t="s">
        <v>1187</v>
      </c>
      <c r="CJ712" s="476" t="s">
        <v>1187</v>
      </c>
      <c r="CK712" s="476" t="s">
        <v>1187</v>
      </c>
      <c r="CL712" s="476" t="s">
        <v>1187</v>
      </c>
      <c r="CM712" s="476" t="str">
        <f>IF(VLOOKUP(BS712,'Données par municipalité'!$B$6:$E$1113,4,FALSE)="","non","oui")</f>
        <v>non</v>
      </c>
      <c r="CN712" s="410" t="s">
        <v>1124</v>
      </c>
      <c r="CO712" s="410" t="s">
        <v>1124</v>
      </c>
      <c r="CP712" s="410"/>
      <c r="CQ712" s="410"/>
      <c r="CR712" s="410"/>
      <c r="CS712" s="410" t="s">
        <v>1124</v>
      </c>
      <c r="CT712" s="410"/>
      <c r="CU712" s="410" t="s">
        <v>1124</v>
      </c>
      <c r="CV712" s="410" t="str">
        <f>IF(VLOOKUP(BS712,'Données par municipalité'!$B$6:$F$1113,4,FALSE)="","",VLOOKUP(BS712,'Données par municipalité'!$B$6:$F$1113,4,FALSE))</f>
        <v/>
      </c>
      <c r="CW712" s="476" t="s">
        <v>4723</v>
      </c>
      <c r="CX712" s="483" t="s">
        <v>1124</v>
      </c>
      <c r="CY712" s="483" t="s">
        <v>1124</v>
      </c>
      <c r="CZ712" s="483" t="s">
        <v>1124</v>
      </c>
      <c r="DA712" s="483" t="s">
        <v>1124</v>
      </c>
      <c r="DB712" s="483" t="s">
        <v>1124</v>
      </c>
      <c r="DC712" s="483" t="s">
        <v>1124</v>
      </c>
      <c r="DD712" s="483" t="s">
        <v>1124</v>
      </c>
      <c r="DE712" s="483" t="str">
        <f>IFERROR(SUM(VLOOKUP($BS712,'État &amp; Plan d''action'!$B$6:$Z$1113,18,FALSE),VLOOKUP($BS712,'État &amp; Plan d''action'!$B$6:$Z$1113,20,FALSE))/(VLOOKUP($BS712,'Données par municipalité'!$B$4:$L$1113,11,FALSE)),"")</f>
        <v/>
      </c>
      <c r="DF712" s="483" t="str">
        <f>IFERROR(SUM(VLOOKUP($BS712,'État &amp; Plan d''action'!$B$6:$Z$1113,19,FALSE),VLOOKUP($BS712,'État &amp; Plan d''action'!$B$6:$Z$1113,21,FALSE))/(VLOOKUP($BS712,'Données par municipalité'!$B$4:$L$1113,11,FALSE)),"")</f>
        <v/>
      </c>
      <c r="DG712" s="476" t="s">
        <v>4723</v>
      </c>
      <c r="DH712" s="484" t="s">
        <v>1124</v>
      </c>
      <c r="DI712" s="484" t="s">
        <v>1124</v>
      </c>
      <c r="DJ712" s="484">
        <v>0</v>
      </c>
      <c r="DK712" s="484">
        <v>0</v>
      </c>
      <c r="DL712" s="484" t="s">
        <v>1124</v>
      </c>
      <c r="DM712" s="484" t="s">
        <v>1124</v>
      </c>
      <c r="DN712" s="484" t="s">
        <v>1124</v>
      </c>
      <c r="DO712" s="484" t="s">
        <v>1124</v>
      </c>
      <c r="DP712" s="484" t="s">
        <v>1124</v>
      </c>
      <c r="DQ712" s="484" t="str">
        <f>IF(VLOOKUP($BS712,'État &amp; Plan d''action'!$B$6:$AJ$1113,28,FALSE)="","",VLOOKUP($BS712,'État &amp; Plan d''action'!$B$6:$AJ$1113,28,FALSE))</f>
        <v/>
      </c>
      <c r="DR712" s="70" t="str">
        <f>IF(VLOOKUP($BS712,'État &amp; Plan d''action'!$B$6:$AJ$1113,29,FALSE)="","",VLOOKUP($BS712,'État &amp; Plan d''action'!$B$6:$AJ$1113,29,FALSE))</f>
        <v/>
      </c>
      <c r="DS712" s="70" t="str">
        <f>IF(VLOOKUP($BS712,'État &amp; Plan d''action'!$B$6:$AJ$1113,30,FALSE)="","",VLOOKUP($BS712,'État &amp; Plan d''action'!$B$6:$AJ$1113,30,FALSE))</f>
        <v/>
      </c>
      <c r="DT712" s="70" t="s">
        <v>1124</v>
      </c>
      <c r="DU712" s="485" t="s">
        <v>1124</v>
      </c>
      <c r="DV712" s="485" t="s">
        <v>1124</v>
      </c>
      <c r="DW712" s="70" t="s">
        <v>1124</v>
      </c>
      <c r="DX712" s="70" t="s">
        <v>1124</v>
      </c>
      <c r="DY712" s="70" t="s">
        <v>1124</v>
      </c>
      <c r="DZ712" s="70" t="str">
        <f>VLOOKUP($BS712,'État &amp; Plan d''action'!$B$6:$AH$1113,31,FALSE)</f>
        <v/>
      </c>
      <c r="EA712" s="70" t="str">
        <f>VLOOKUP($BS712,'État &amp; Plan d''action'!$B$6:$AH$1113,32,FALSE)</f>
        <v/>
      </c>
      <c r="EB712" s="70" t="str">
        <f>VLOOKUP($BS712,'État &amp; Plan d''action'!$B$6:$AH$1113,33,FALSE)</f>
        <v/>
      </c>
      <c r="EC712" s="70" t="s">
        <v>1124</v>
      </c>
      <c r="ED712" s="70" t="s">
        <v>1124</v>
      </c>
      <c r="EE712" s="70" t="s">
        <v>1124</v>
      </c>
      <c r="EF712" s="70" t="s">
        <v>1124</v>
      </c>
      <c r="EG712" s="70" t="s">
        <v>1124</v>
      </c>
      <c r="EH712" s="72"/>
      <c r="EI712" s="72">
        <v>388</v>
      </c>
    </row>
    <row r="713" spans="71:139" x14ac:dyDescent="0.35">
      <c r="BS713" s="486">
        <v>14025</v>
      </c>
      <c r="BT713" s="479" t="s">
        <v>63</v>
      </c>
      <c r="BU713" s="479">
        <v>1</v>
      </c>
      <c r="BV713" s="476" t="s">
        <v>1187</v>
      </c>
      <c r="BW713" s="476" t="s">
        <v>1187</v>
      </c>
      <c r="BX713" s="476" t="s">
        <v>1187</v>
      </c>
      <c r="BY713" s="476" t="s">
        <v>1187</v>
      </c>
      <c r="BZ713" s="476" t="s">
        <v>1187</v>
      </c>
      <c r="CA713" s="476" t="s">
        <v>1187</v>
      </c>
      <c r="CB713" s="476" t="s">
        <v>1187</v>
      </c>
      <c r="CC713" s="476" t="s">
        <v>1187</v>
      </c>
      <c r="CD713" s="476" t="s">
        <v>1187</v>
      </c>
      <c r="CE713" s="476" t="s">
        <v>1188</v>
      </c>
      <c r="CF713" s="476" t="s">
        <v>1188</v>
      </c>
      <c r="CG713" s="476" t="s">
        <v>1188</v>
      </c>
      <c r="CH713" s="476" t="s">
        <v>1188</v>
      </c>
      <c r="CI713" s="476" t="s">
        <v>1187</v>
      </c>
      <c r="CJ713" s="476" t="s">
        <v>1188</v>
      </c>
      <c r="CK713" s="476" t="s">
        <v>1188</v>
      </c>
      <c r="CL713" s="476" t="s">
        <v>1188</v>
      </c>
      <c r="CM713" s="476" t="str">
        <f>IF(VLOOKUP(BS713,'Données par municipalité'!$B$6:$E$1113,4,FALSE)="","non","oui")</f>
        <v>oui</v>
      </c>
      <c r="CN713" s="410">
        <v>246.31046171578296</v>
      </c>
      <c r="CO713" s="410">
        <v>236.35691537442113</v>
      </c>
      <c r="CP713" s="410">
        <v>256.97980016300818</v>
      </c>
      <c r="CQ713" s="410">
        <v>261.07375725309566</v>
      </c>
      <c r="CR713" s="410"/>
      <c r="CS713" s="410">
        <v>226.42047960809344</v>
      </c>
      <c r="CT713" s="410">
        <v>206.18598790837038</v>
      </c>
      <c r="CU713" s="410">
        <v>249</v>
      </c>
      <c r="CV713" s="410">
        <f>IF(VLOOKUP(BS713,'Données par municipalité'!$B$6:$F$1113,4,FALSE)="","",VLOOKUP(BS713,'Données par municipalité'!$B$6:$F$1113,4,FALSE))</f>
        <v>236</v>
      </c>
      <c r="CW713" s="476" t="s">
        <v>4723</v>
      </c>
      <c r="CX713" s="483">
        <v>0</v>
      </c>
      <c r="CY713" s="483">
        <v>0</v>
      </c>
      <c r="CZ713" s="483">
        <v>0</v>
      </c>
      <c r="DA713" s="483" t="s">
        <v>1124</v>
      </c>
      <c r="DB713" s="483">
        <v>0</v>
      </c>
      <c r="DC713" s="483">
        <v>0</v>
      </c>
      <c r="DD713" s="483">
        <v>0</v>
      </c>
      <c r="DE713" s="483">
        <f>IFERROR(SUM(VLOOKUP($BS713,'État &amp; Plan d''action'!$B$6:$Z$1113,18,FALSE),VLOOKUP($BS713,'État &amp; Plan d''action'!$B$6:$Z$1113,20,FALSE))/(VLOOKUP($BS713,'Données par municipalité'!$B$4:$L$1113,11,FALSE)),"")</f>
        <v>0</v>
      </c>
      <c r="DF713" s="483">
        <f>IFERROR(SUM(VLOOKUP($BS713,'État &amp; Plan d''action'!$B$6:$Z$1113,19,FALSE),VLOOKUP($BS713,'État &amp; Plan d''action'!$B$6:$Z$1113,21,FALSE))/(VLOOKUP($BS713,'Données par municipalité'!$B$4:$L$1113,11,FALSE)),"")</f>
        <v>0.51229508196721307</v>
      </c>
      <c r="DG713" s="476" t="s">
        <v>4723</v>
      </c>
      <c r="DH713" s="484">
        <v>0</v>
      </c>
      <c r="DI713" s="484">
        <v>1</v>
      </c>
      <c r="DJ713" s="484">
        <v>0</v>
      </c>
      <c r="DK713" s="484">
        <v>0</v>
      </c>
      <c r="DL713" s="484">
        <v>0</v>
      </c>
      <c r="DM713" s="484">
        <v>0</v>
      </c>
      <c r="DN713" s="484">
        <v>0</v>
      </c>
      <c r="DO713" s="484">
        <v>0</v>
      </c>
      <c r="DP713" s="484">
        <v>0</v>
      </c>
      <c r="DQ713" s="484">
        <f>IF(VLOOKUP($BS713,'État &amp; Plan d''action'!$B$6:$AJ$1113,28,FALSE)="","",VLOOKUP($BS713,'État &amp; Plan d''action'!$B$6:$AJ$1113,28,FALSE))</f>
        <v>0</v>
      </c>
      <c r="DR713" s="70">
        <f>IF(VLOOKUP($BS713,'État &amp; Plan d''action'!$B$6:$AJ$1113,29,FALSE)="","",VLOOKUP($BS713,'État &amp; Plan d''action'!$B$6:$AJ$1113,29,FALSE))</f>
        <v>0</v>
      </c>
      <c r="DS713" s="70">
        <f>IF(VLOOKUP($BS713,'État &amp; Plan d''action'!$B$6:$AJ$1113,30,FALSE)="","",VLOOKUP($BS713,'État &amp; Plan d''action'!$B$6:$AJ$1113,30,FALSE))</f>
        <v>0</v>
      </c>
      <c r="DT713" s="70">
        <v>216</v>
      </c>
      <c r="DU713" s="485">
        <v>0.76856697796758888</v>
      </c>
      <c r="DV713" s="485">
        <v>1.19000457066304</v>
      </c>
      <c r="DW713" s="70">
        <v>0</v>
      </c>
      <c r="DX713" s="70">
        <v>0</v>
      </c>
      <c r="DY713" s="70">
        <v>0</v>
      </c>
      <c r="DZ713" s="70">
        <f>VLOOKUP($BS713,'État &amp; Plan d''action'!$B$6:$AH$1113,31,FALSE)</f>
        <v>0</v>
      </c>
      <c r="EA713" s="70">
        <f>VLOOKUP($BS713,'État &amp; Plan d''action'!$B$6:$AH$1113,32,FALSE)</f>
        <v>0</v>
      </c>
      <c r="EB713" s="70">
        <f>VLOOKUP($BS713,'État &amp; Plan d''action'!$B$6:$AH$1113,33,FALSE)</f>
        <v>0</v>
      </c>
      <c r="EC713" s="70">
        <v>0</v>
      </c>
      <c r="ED713" s="70">
        <v>0</v>
      </c>
      <c r="EE713" s="70">
        <v>0</v>
      </c>
      <c r="EF713" s="70">
        <v>0</v>
      </c>
      <c r="EG713" s="70">
        <v>0</v>
      </c>
      <c r="EH713" s="72">
        <v>49.735294117647051</v>
      </c>
      <c r="EI713" s="72">
        <v>906</v>
      </c>
    </row>
    <row r="714" spans="71:139" x14ac:dyDescent="0.35">
      <c r="BS714" s="486">
        <v>87070</v>
      </c>
      <c r="BT714" s="479" t="s">
        <v>900</v>
      </c>
      <c r="BU714" s="479">
        <v>8</v>
      </c>
      <c r="BV714" s="476" t="s">
        <v>1188</v>
      </c>
      <c r="BW714" s="476" t="s">
        <v>1188</v>
      </c>
      <c r="BX714" s="476" t="s">
        <v>1188</v>
      </c>
      <c r="BY714" s="476" t="s">
        <v>1188</v>
      </c>
      <c r="BZ714" s="476" t="s">
        <v>1188</v>
      </c>
      <c r="CA714" s="476" t="s">
        <v>1188</v>
      </c>
      <c r="CB714" s="476" t="s">
        <v>1188</v>
      </c>
      <c r="CC714" s="476" t="s">
        <v>1188</v>
      </c>
      <c r="CD714" s="476" t="s">
        <v>1188</v>
      </c>
      <c r="CE714" s="476" t="s">
        <v>1187</v>
      </c>
      <c r="CF714" s="476" t="s">
        <v>1187</v>
      </c>
      <c r="CG714" s="476" t="s">
        <v>1187</v>
      </c>
      <c r="CH714" s="476" t="s">
        <v>1187</v>
      </c>
      <c r="CI714" s="476" t="s">
        <v>1187</v>
      </c>
      <c r="CJ714" s="476" t="s">
        <v>1187</v>
      </c>
      <c r="CK714" s="476" t="s">
        <v>1187</v>
      </c>
      <c r="CL714" s="476" t="s">
        <v>1187</v>
      </c>
      <c r="CM714" s="476" t="str">
        <f>IF(VLOOKUP(BS714,'Données par municipalité'!$B$6:$E$1113,4,FALSE)="","non","oui")</f>
        <v>non</v>
      </c>
      <c r="CN714" s="410" t="s">
        <v>1124</v>
      </c>
      <c r="CO714" s="410" t="s">
        <v>1124</v>
      </c>
      <c r="CP714" s="410"/>
      <c r="CQ714" s="410"/>
      <c r="CR714" s="410"/>
      <c r="CS714" s="410" t="s">
        <v>1124</v>
      </c>
      <c r="CT714" s="410"/>
      <c r="CU714" s="410" t="s">
        <v>1124</v>
      </c>
      <c r="CV714" s="410" t="str">
        <f>IF(VLOOKUP(BS714,'Données par municipalité'!$B$6:$F$1113,4,FALSE)="","",VLOOKUP(BS714,'Données par municipalité'!$B$6:$F$1113,4,FALSE))</f>
        <v/>
      </c>
      <c r="CW714" s="476" t="s">
        <v>4723</v>
      </c>
      <c r="CX714" s="483" t="s">
        <v>1124</v>
      </c>
      <c r="CY714" s="483" t="s">
        <v>1124</v>
      </c>
      <c r="CZ714" s="483" t="s">
        <v>1124</v>
      </c>
      <c r="DA714" s="483" t="s">
        <v>1124</v>
      </c>
      <c r="DB714" s="483" t="s">
        <v>1124</v>
      </c>
      <c r="DC714" s="483" t="s">
        <v>1124</v>
      </c>
      <c r="DD714" s="483" t="s">
        <v>1124</v>
      </c>
      <c r="DE714" s="483" t="str">
        <f>IFERROR(SUM(VLOOKUP($BS714,'État &amp; Plan d''action'!$B$6:$Z$1113,18,FALSE),VLOOKUP($BS714,'État &amp; Plan d''action'!$B$6:$Z$1113,20,FALSE))/(VLOOKUP($BS714,'Données par municipalité'!$B$4:$L$1113,11,FALSE)),"")</f>
        <v/>
      </c>
      <c r="DF714" s="483" t="str">
        <f>IFERROR(SUM(VLOOKUP($BS714,'État &amp; Plan d''action'!$B$6:$Z$1113,19,FALSE),VLOOKUP($BS714,'État &amp; Plan d''action'!$B$6:$Z$1113,21,FALSE))/(VLOOKUP($BS714,'Données par municipalité'!$B$4:$L$1113,11,FALSE)),"")</f>
        <v/>
      </c>
      <c r="DG714" s="476" t="s">
        <v>4723</v>
      </c>
      <c r="DH714" s="484">
        <v>4</v>
      </c>
      <c r="DI714" s="484">
        <v>4</v>
      </c>
      <c r="DJ714" s="484">
        <v>14</v>
      </c>
      <c r="DK714" s="484">
        <v>17</v>
      </c>
      <c r="DL714" s="484" t="s">
        <v>1124</v>
      </c>
      <c r="DM714" s="484" t="s">
        <v>1124</v>
      </c>
      <c r="DN714" s="484" t="s">
        <v>1124</v>
      </c>
      <c r="DO714" s="484" t="s">
        <v>1124</v>
      </c>
      <c r="DP714" s="484" t="s">
        <v>1124</v>
      </c>
      <c r="DQ714" s="484" t="str">
        <f>IF(VLOOKUP($BS714,'État &amp; Plan d''action'!$B$6:$AJ$1113,28,FALSE)="","",VLOOKUP($BS714,'État &amp; Plan d''action'!$B$6:$AJ$1113,28,FALSE))</f>
        <v/>
      </c>
      <c r="DR714" s="70" t="str">
        <f>IF(VLOOKUP($BS714,'État &amp; Plan d''action'!$B$6:$AJ$1113,29,FALSE)="","",VLOOKUP($BS714,'État &amp; Plan d''action'!$B$6:$AJ$1113,29,FALSE))</f>
        <v/>
      </c>
      <c r="DS714" s="70" t="str">
        <f>IF(VLOOKUP($BS714,'État &amp; Plan d''action'!$B$6:$AJ$1113,30,FALSE)="","",VLOOKUP($BS714,'État &amp; Plan d''action'!$B$6:$AJ$1113,30,FALSE))</f>
        <v/>
      </c>
      <c r="DT714" s="70" t="s">
        <v>1124</v>
      </c>
      <c r="DU714" s="485" t="s">
        <v>1124</v>
      </c>
      <c r="DV714" s="485" t="s">
        <v>1124</v>
      </c>
      <c r="DW714" s="70" t="s">
        <v>1124</v>
      </c>
      <c r="DX714" s="70" t="s">
        <v>1124</v>
      </c>
      <c r="DY714" s="70" t="s">
        <v>1124</v>
      </c>
      <c r="DZ714" s="70" t="str">
        <f>VLOOKUP($BS714,'État &amp; Plan d''action'!$B$6:$AH$1113,31,FALSE)</f>
        <v/>
      </c>
      <c r="EA714" s="70" t="str">
        <f>VLOOKUP($BS714,'État &amp; Plan d''action'!$B$6:$AH$1113,32,FALSE)</f>
        <v/>
      </c>
      <c r="EB714" s="70" t="str">
        <f>VLOOKUP($BS714,'État &amp; Plan d''action'!$B$6:$AH$1113,33,FALSE)</f>
        <v/>
      </c>
      <c r="EC714" s="70" t="s">
        <v>1124</v>
      </c>
      <c r="ED714" s="70" t="s">
        <v>1124</v>
      </c>
      <c r="EE714" s="70" t="s">
        <v>1124</v>
      </c>
      <c r="EF714" s="70" t="s">
        <v>1124</v>
      </c>
      <c r="EG714" s="70" t="s">
        <v>1124</v>
      </c>
      <c r="EH714" s="72"/>
      <c r="EI714" s="72">
        <v>401</v>
      </c>
    </row>
    <row r="715" spans="71:139" x14ac:dyDescent="0.35">
      <c r="BS715" s="486">
        <v>26040</v>
      </c>
      <c r="BT715" s="479" t="s">
        <v>173</v>
      </c>
      <c r="BU715" s="479">
        <v>12</v>
      </c>
      <c r="BV715" s="476" t="s">
        <v>1187</v>
      </c>
      <c r="BW715" s="476" t="s">
        <v>1187</v>
      </c>
      <c r="BX715" s="476" t="s">
        <v>1187</v>
      </c>
      <c r="BY715" s="476" t="s">
        <v>1187</v>
      </c>
      <c r="BZ715" s="476" t="s">
        <v>1187</v>
      </c>
      <c r="CA715" s="476" t="s">
        <v>1187</v>
      </c>
      <c r="CB715" s="476" t="s">
        <v>1187</v>
      </c>
      <c r="CC715" s="476" t="s">
        <v>1187</v>
      </c>
      <c r="CD715" s="476" t="s">
        <v>1187</v>
      </c>
      <c r="CE715" s="476" t="s">
        <v>1188</v>
      </c>
      <c r="CF715" s="476" t="s">
        <v>1188</v>
      </c>
      <c r="CG715" s="476" t="s">
        <v>1188</v>
      </c>
      <c r="CH715" s="476" t="s">
        <v>1188</v>
      </c>
      <c r="CI715" s="476" t="s">
        <v>1188</v>
      </c>
      <c r="CJ715" s="476" t="s">
        <v>1188</v>
      </c>
      <c r="CK715" s="476" t="s">
        <v>1188</v>
      </c>
      <c r="CL715" s="476" t="s">
        <v>1188</v>
      </c>
      <c r="CM715" s="476" t="str">
        <f>IF(VLOOKUP(BS715,'Données par municipalité'!$B$6:$E$1113,4,FALSE)="","non","oui")</f>
        <v>oui</v>
      </c>
      <c r="CN715" s="410">
        <v>282.98746955553844</v>
      </c>
      <c r="CO715" s="410">
        <v>290.76709941529793</v>
      </c>
      <c r="CP715" s="410">
        <v>316.31053240136151</v>
      </c>
      <c r="CQ715" s="410">
        <v>285.63130746912157</v>
      </c>
      <c r="CR715" s="410">
        <v>288.2813889877246</v>
      </c>
      <c r="CS715" s="410">
        <v>278.57848829783683</v>
      </c>
      <c r="CT715" s="410">
        <v>251.32291125109319</v>
      </c>
      <c r="CU715" s="410">
        <v>256</v>
      </c>
      <c r="CV715" s="410">
        <f>IF(VLOOKUP(BS715,'Données par municipalité'!$B$6:$F$1113,4,FALSE)="","",VLOOKUP(BS715,'Données par municipalité'!$B$6:$F$1113,4,FALSE))</f>
        <v>268</v>
      </c>
      <c r="CW715" s="476" t="s">
        <v>4723</v>
      </c>
      <c r="CX715" s="483">
        <v>0.1</v>
      </c>
      <c r="CY715" s="483">
        <v>1</v>
      </c>
      <c r="CZ715" s="483">
        <v>1</v>
      </c>
      <c r="DA715" s="483">
        <v>1</v>
      </c>
      <c r="DB715" s="483">
        <v>1</v>
      </c>
      <c r="DC715" s="483">
        <v>1</v>
      </c>
      <c r="DD715" s="483">
        <v>0.53952417498081351</v>
      </c>
      <c r="DE715" s="483">
        <f>IFERROR(SUM(VLOOKUP($BS715,'État &amp; Plan d''action'!$B$6:$Z$1113,18,FALSE),VLOOKUP($BS715,'État &amp; Plan d''action'!$B$6:$Z$1113,20,FALSE))/(VLOOKUP($BS715,'Données par municipalité'!$B$4:$L$1113,11,FALSE)),"")</f>
        <v>1.4196735395189002</v>
      </c>
      <c r="DF715" s="483">
        <f>IFERROR(SUM(VLOOKUP($BS715,'État &amp; Plan d''action'!$B$6:$Z$1113,19,FALSE),VLOOKUP($BS715,'État &amp; Plan d''action'!$B$6:$Z$1113,21,FALSE))/(VLOOKUP($BS715,'Données par municipalité'!$B$4:$L$1113,11,FALSE)),"")</f>
        <v>1.4196735395189002</v>
      </c>
      <c r="DG715" s="476" t="s">
        <v>4723</v>
      </c>
      <c r="DH715" s="484">
        <v>3</v>
      </c>
      <c r="DI715" s="484">
        <v>10</v>
      </c>
      <c r="DJ715" s="484">
        <v>3</v>
      </c>
      <c r="DK715" s="484">
        <v>8</v>
      </c>
      <c r="DL715" s="484">
        <v>3</v>
      </c>
      <c r="DM715" s="484">
        <v>5</v>
      </c>
      <c r="DN715" s="484">
        <v>2</v>
      </c>
      <c r="DO715" s="484">
        <v>6</v>
      </c>
      <c r="DP715" s="484">
        <v>2</v>
      </c>
      <c r="DQ715" s="484">
        <f>IF(VLOOKUP($BS715,'État &amp; Plan d''action'!$B$6:$AJ$1113,28,FALSE)="","",VLOOKUP($BS715,'État &amp; Plan d''action'!$B$6:$AJ$1113,28,FALSE))</f>
        <v>4</v>
      </c>
      <c r="DR715" s="70">
        <f>IF(VLOOKUP($BS715,'État &amp; Plan d''action'!$B$6:$AJ$1113,29,FALSE)="","",VLOOKUP($BS715,'État &amp; Plan d''action'!$B$6:$AJ$1113,29,FALSE))</f>
        <v>4</v>
      </c>
      <c r="DS715" s="70">
        <f>IF(VLOOKUP($BS715,'État &amp; Plan d''action'!$B$6:$AJ$1113,30,FALSE)="","",VLOOKUP($BS715,'État &amp; Plan d''action'!$B$6:$AJ$1113,30,FALSE))</f>
        <v>1</v>
      </c>
      <c r="DT715" s="70">
        <v>200</v>
      </c>
      <c r="DU715" s="485">
        <v>1.709461234800832</v>
      </c>
      <c r="DV715" s="485">
        <v>1.9967211465410153</v>
      </c>
      <c r="DW715" s="70">
        <v>5</v>
      </c>
      <c r="DX715" s="70">
        <v>4</v>
      </c>
      <c r="DY715" s="70">
        <v>4</v>
      </c>
      <c r="DZ715" s="70">
        <f>VLOOKUP($BS715,'État &amp; Plan d''action'!$B$6:$AH$1113,31,FALSE)</f>
        <v>2</v>
      </c>
      <c r="EA715" s="70">
        <f>VLOOKUP($BS715,'État &amp; Plan d''action'!$B$6:$AH$1113,32,FALSE)</f>
        <v>2</v>
      </c>
      <c r="EB715" s="70">
        <f>VLOOKUP($BS715,'État &amp; Plan d''action'!$B$6:$AH$1113,33,FALSE)</f>
        <v>2</v>
      </c>
      <c r="EC715" s="70">
        <v>0</v>
      </c>
      <c r="ED715" s="70">
        <v>0.51500000000000001</v>
      </c>
      <c r="EE715" s="70">
        <v>3</v>
      </c>
      <c r="EF715" s="70">
        <v>0</v>
      </c>
      <c r="EG715" s="70">
        <v>0</v>
      </c>
      <c r="EH715" s="72">
        <v>46</v>
      </c>
      <c r="EI715" s="72">
        <v>1328</v>
      </c>
    </row>
    <row r="716" spans="71:139" x14ac:dyDescent="0.35">
      <c r="BS716" s="486">
        <v>7040</v>
      </c>
      <c r="BT716" s="479" t="s">
        <v>1074</v>
      </c>
      <c r="BU716" s="479">
        <v>1</v>
      </c>
      <c r="BV716" s="476" t="s">
        <v>1187</v>
      </c>
      <c r="BW716" s="476" t="s">
        <v>1188</v>
      </c>
      <c r="BX716" s="476" t="s">
        <v>1188</v>
      </c>
      <c r="BY716" s="476" t="s">
        <v>1188</v>
      </c>
      <c r="BZ716" s="476" t="s">
        <v>1188</v>
      </c>
      <c r="CA716" s="476" t="s">
        <v>1187</v>
      </c>
      <c r="CB716" s="476" t="s">
        <v>1187</v>
      </c>
      <c r="CC716" s="476" t="s">
        <v>1187</v>
      </c>
      <c r="CD716" s="476" t="s">
        <v>1187</v>
      </c>
      <c r="CE716" s="476" t="s">
        <v>1187</v>
      </c>
      <c r="CF716" s="476" t="s">
        <v>1187</v>
      </c>
      <c r="CG716" s="476" t="s">
        <v>1187</v>
      </c>
      <c r="CH716" s="476" t="s">
        <v>1187</v>
      </c>
      <c r="CI716" s="476" t="s">
        <v>1187</v>
      </c>
      <c r="CJ716" s="476" t="s">
        <v>1187</v>
      </c>
      <c r="CK716" s="476" t="s">
        <v>1188</v>
      </c>
      <c r="CL716" s="476" t="s">
        <v>1187</v>
      </c>
      <c r="CM716" s="476" t="str">
        <f>IF(VLOOKUP(BS716,'Données par municipalité'!$B$6:$E$1113,4,FALSE)="","non","oui")</f>
        <v>oui</v>
      </c>
      <c r="CN716" s="410" t="s">
        <v>1124</v>
      </c>
      <c r="CO716" s="410" t="s">
        <v>1124</v>
      </c>
      <c r="CP716" s="410"/>
      <c r="CQ716" s="410"/>
      <c r="CR716" s="410"/>
      <c r="CS716" s="410" t="s">
        <v>1124</v>
      </c>
      <c r="CT716" s="410">
        <v>344.4809238084456</v>
      </c>
      <c r="CU716" s="410" t="s">
        <v>1124</v>
      </c>
      <c r="CV716" s="410">
        <f>IF(VLOOKUP(BS716,'Données par municipalité'!$B$6:$F$1113,4,FALSE)="","",VLOOKUP(BS716,'Données par municipalité'!$B$6:$F$1113,4,FALSE))</f>
        <v>306</v>
      </c>
      <c r="CW716" s="476" t="s">
        <v>4723</v>
      </c>
      <c r="CX716" s="483" t="s">
        <v>1124</v>
      </c>
      <c r="CY716" s="483" t="s">
        <v>1124</v>
      </c>
      <c r="CZ716" s="483" t="s">
        <v>1124</v>
      </c>
      <c r="DA716" s="483" t="s">
        <v>1124</v>
      </c>
      <c r="DB716" s="483" t="s">
        <v>1124</v>
      </c>
      <c r="DC716" s="483">
        <v>1</v>
      </c>
      <c r="DD716" s="483" t="s">
        <v>1124</v>
      </c>
      <c r="DE716" s="483">
        <f>IFERROR(SUM(VLOOKUP($BS716,'État &amp; Plan d''action'!$B$6:$Z$1113,18,FALSE),VLOOKUP($BS716,'État &amp; Plan d''action'!$B$6:$Z$1113,20,FALSE))/(VLOOKUP($BS716,'Données par municipalité'!$B$4:$L$1113,11,FALSE)),"")</f>
        <v>2</v>
      </c>
      <c r="DF716" s="483">
        <f>IFERROR(SUM(VLOOKUP($BS716,'État &amp; Plan d''action'!$B$6:$Z$1113,19,FALSE),VLOOKUP($BS716,'État &amp; Plan d''action'!$B$6:$Z$1113,21,FALSE))/(VLOOKUP($BS716,'Données par municipalité'!$B$4:$L$1113,11,FALSE)),"")</f>
        <v>1.5970149253731343</v>
      </c>
      <c r="DG716" s="476" t="s">
        <v>4723</v>
      </c>
      <c r="DH716" s="484" t="s">
        <v>1124</v>
      </c>
      <c r="DI716" s="484" t="s">
        <v>1124</v>
      </c>
      <c r="DJ716" s="484">
        <v>0</v>
      </c>
      <c r="DK716" s="484">
        <v>0</v>
      </c>
      <c r="DL716" s="484" t="s">
        <v>1124</v>
      </c>
      <c r="DM716" s="484">
        <v>1</v>
      </c>
      <c r="DN716" s="484" t="s">
        <v>1124</v>
      </c>
      <c r="DO716" s="484" t="s">
        <v>1124</v>
      </c>
      <c r="DP716" s="484" t="s">
        <v>1124</v>
      </c>
      <c r="DQ716" s="484">
        <f>IF(VLOOKUP($BS716,'État &amp; Plan d''action'!$B$6:$AJ$1113,28,FALSE)="","",VLOOKUP($BS716,'État &amp; Plan d''action'!$B$6:$AJ$1113,28,FALSE))</f>
        <v>0</v>
      </c>
      <c r="DR716" s="70">
        <f>IF(VLOOKUP($BS716,'État &amp; Plan d''action'!$B$6:$AJ$1113,29,FALSE)="","",VLOOKUP($BS716,'État &amp; Plan d''action'!$B$6:$AJ$1113,29,FALSE))</f>
        <v>5</v>
      </c>
      <c r="DS716" s="70">
        <f>IF(VLOOKUP($BS716,'État &amp; Plan d''action'!$B$6:$AJ$1113,30,FALSE)="","",VLOOKUP($BS716,'État &amp; Plan d''action'!$B$6:$AJ$1113,30,FALSE))</f>
        <v>1</v>
      </c>
      <c r="DT716" s="70" t="s">
        <v>1124</v>
      </c>
      <c r="DU716" s="485" t="s">
        <v>1124</v>
      </c>
      <c r="DV716" s="485">
        <v>2.1536066631787092</v>
      </c>
      <c r="DW716" s="70" t="s">
        <v>1124</v>
      </c>
      <c r="DX716" s="70" t="s">
        <v>1124</v>
      </c>
      <c r="DY716" s="70" t="s">
        <v>1124</v>
      </c>
      <c r="DZ716" s="70">
        <f>VLOOKUP($BS716,'État &amp; Plan d''action'!$B$6:$AH$1113,31,FALSE)</f>
        <v>0</v>
      </c>
      <c r="EA716" s="70">
        <f>VLOOKUP($BS716,'État &amp; Plan d''action'!$B$6:$AH$1113,32,FALSE)</f>
        <v>3</v>
      </c>
      <c r="EB716" s="70">
        <f>VLOOKUP($BS716,'État &amp; Plan d''action'!$B$6:$AH$1113,33,FALSE)</f>
        <v>3</v>
      </c>
      <c r="EC716" s="70" t="s">
        <v>1124</v>
      </c>
      <c r="ED716" s="70" t="s">
        <v>1124</v>
      </c>
      <c r="EE716" s="70" t="s">
        <v>1124</v>
      </c>
      <c r="EF716" s="70" t="s">
        <v>1124</v>
      </c>
      <c r="EG716" s="70" t="s">
        <v>1124</v>
      </c>
      <c r="EH716" s="72"/>
      <c r="EI716" s="72">
        <v>322</v>
      </c>
    </row>
    <row r="717" spans="71:139" x14ac:dyDescent="0.35">
      <c r="BS717" s="486">
        <v>9020</v>
      </c>
      <c r="BT717" s="479" t="s">
        <v>1100</v>
      </c>
      <c r="BU717" s="479">
        <v>1</v>
      </c>
      <c r="BV717" s="476" t="s">
        <v>1188</v>
      </c>
      <c r="BW717" s="476" t="s">
        <v>1188</v>
      </c>
      <c r="BX717" s="476" t="s">
        <v>1188</v>
      </c>
      <c r="BY717" s="476" t="s">
        <v>1188</v>
      </c>
      <c r="BZ717" s="476" t="s">
        <v>1188</v>
      </c>
      <c r="CA717" s="476" t="s">
        <v>1188</v>
      </c>
      <c r="CB717" s="476" t="s">
        <v>1188</v>
      </c>
      <c r="CC717" s="476" t="s">
        <v>1188</v>
      </c>
      <c r="CD717" s="476" t="s">
        <v>1188</v>
      </c>
      <c r="CE717" s="476" t="s">
        <v>1187</v>
      </c>
      <c r="CF717" s="476" t="s">
        <v>1187</v>
      </c>
      <c r="CG717" s="476" t="s">
        <v>1187</v>
      </c>
      <c r="CH717" s="476" t="s">
        <v>1187</v>
      </c>
      <c r="CI717" s="476" t="s">
        <v>1187</v>
      </c>
      <c r="CJ717" s="476" t="s">
        <v>1187</v>
      </c>
      <c r="CK717" s="476" t="s">
        <v>1187</v>
      </c>
      <c r="CL717" s="476" t="s">
        <v>1187</v>
      </c>
      <c r="CM717" s="476" t="str">
        <f>IF(VLOOKUP(BS717,'Données par municipalité'!$B$6:$E$1113,4,FALSE)="","non","oui")</f>
        <v>non</v>
      </c>
      <c r="CN717" s="410" t="s">
        <v>1124</v>
      </c>
      <c r="CO717" s="410" t="s">
        <v>1124</v>
      </c>
      <c r="CP717" s="410"/>
      <c r="CQ717" s="410"/>
      <c r="CR717" s="410"/>
      <c r="CS717" s="410" t="s">
        <v>1124</v>
      </c>
      <c r="CT717" s="410"/>
      <c r="CU717" s="410" t="s">
        <v>1124</v>
      </c>
      <c r="CV717" s="410" t="str">
        <f>IF(VLOOKUP(BS717,'Données par municipalité'!$B$6:$F$1113,4,FALSE)="","",VLOOKUP(BS717,'Données par municipalité'!$B$6:$F$1113,4,FALSE))</f>
        <v/>
      </c>
      <c r="CW717" s="476" t="s">
        <v>4723</v>
      </c>
      <c r="CX717" s="483" t="s">
        <v>1124</v>
      </c>
      <c r="CY717" s="483" t="s">
        <v>1124</v>
      </c>
      <c r="CZ717" s="483" t="s">
        <v>1124</v>
      </c>
      <c r="DA717" s="483" t="s">
        <v>1124</v>
      </c>
      <c r="DB717" s="483" t="s">
        <v>1124</v>
      </c>
      <c r="DC717" s="483" t="s">
        <v>1124</v>
      </c>
      <c r="DD717" s="483" t="s">
        <v>1124</v>
      </c>
      <c r="DE717" s="483" t="str">
        <f>IFERROR(SUM(VLOOKUP($BS717,'État &amp; Plan d''action'!$B$6:$Z$1113,18,FALSE),VLOOKUP($BS717,'État &amp; Plan d''action'!$B$6:$Z$1113,20,FALSE))/(VLOOKUP($BS717,'Données par municipalité'!$B$4:$L$1113,11,FALSE)),"")</f>
        <v/>
      </c>
      <c r="DF717" s="483" t="str">
        <f>IFERROR(SUM(VLOOKUP($BS717,'État &amp; Plan d''action'!$B$6:$Z$1113,19,FALSE),VLOOKUP($BS717,'État &amp; Plan d''action'!$B$6:$Z$1113,21,FALSE))/(VLOOKUP($BS717,'Données par municipalité'!$B$4:$L$1113,11,FALSE)),"")</f>
        <v/>
      </c>
      <c r="DG717" s="476" t="s">
        <v>4723</v>
      </c>
      <c r="DH717" s="484" t="s">
        <v>1124</v>
      </c>
      <c r="DI717" s="484" t="s">
        <v>1124</v>
      </c>
      <c r="DJ717" s="484">
        <v>0</v>
      </c>
      <c r="DK717" s="484">
        <v>0</v>
      </c>
      <c r="DL717" s="484" t="s">
        <v>1124</v>
      </c>
      <c r="DM717" s="484" t="s">
        <v>1124</v>
      </c>
      <c r="DN717" s="484" t="s">
        <v>1124</v>
      </c>
      <c r="DO717" s="484" t="s">
        <v>1124</v>
      </c>
      <c r="DP717" s="484" t="s">
        <v>1124</v>
      </c>
      <c r="DQ717" s="484" t="str">
        <f>IF(VLOOKUP($BS717,'État &amp; Plan d''action'!$B$6:$AJ$1113,28,FALSE)="","",VLOOKUP($BS717,'État &amp; Plan d''action'!$B$6:$AJ$1113,28,FALSE))</f>
        <v/>
      </c>
      <c r="DR717" s="70" t="str">
        <f>IF(VLOOKUP($BS717,'État &amp; Plan d''action'!$B$6:$AJ$1113,29,FALSE)="","",VLOOKUP($BS717,'État &amp; Plan d''action'!$B$6:$AJ$1113,29,FALSE))</f>
        <v/>
      </c>
      <c r="DS717" s="70" t="str">
        <f>IF(VLOOKUP($BS717,'État &amp; Plan d''action'!$B$6:$AJ$1113,30,FALSE)="","",VLOOKUP($BS717,'État &amp; Plan d''action'!$B$6:$AJ$1113,30,FALSE))</f>
        <v/>
      </c>
      <c r="DT717" s="70" t="s">
        <v>1124</v>
      </c>
      <c r="DU717" s="485" t="s">
        <v>1124</v>
      </c>
      <c r="DV717" s="485" t="s">
        <v>1124</v>
      </c>
      <c r="DW717" s="70" t="s">
        <v>1124</v>
      </c>
      <c r="DX717" s="70" t="s">
        <v>1124</v>
      </c>
      <c r="DY717" s="70" t="s">
        <v>1124</v>
      </c>
      <c r="DZ717" s="70" t="str">
        <f>VLOOKUP($BS717,'État &amp; Plan d''action'!$B$6:$AH$1113,31,FALSE)</f>
        <v/>
      </c>
      <c r="EA717" s="70" t="str">
        <f>VLOOKUP($BS717,'État &amp; Plan d''action'!$B$6:$AH$1113,32,FALSE)</f>
        <v/>
      </c>
      <c r="EB717" s="70" t="str">
        <f>VLOOKUP($BS717,'État &amp; Plan d''action'!$B$6:$AH$1113,33,FALSE)</f>
        <v/>
      </c>
      <c r="EC717" s="70" t="s">
        <v>1124</v>
      </c>
      <c r="ED717" s="70" t="s">
        <v>1124</v>
      </c>
      <c r="EE717" s="70" t="s">
        <v>1124</v>
      </c>
      <c r="EF717" s="70" t="s">
        <v>1124</v>
      </c>
      <c r="EG717" s="70" t="s">
        <v>1124</v>
      </c>
      <c r="EH717" s="72"/>
      <c r="EI717" s="72">
        <v>286</v>
      </c>
    </row>
    <row r="718" spans="71:139" x14ac:dyDescent="0.35">
      <c r="BS718" s="486">
        <v>92015</v>
      </c>
      <c r="BT718" s="479" t="s">
        <v>948</v>
      </c>
      <c r="BU718" s="479">
        <v>2</v>
      </c>
      <c r="BV718" s="476" t="s">
        <v>1187</v>
      </c>
      <c r="BW718" s="476" t="s">
        <v>1187</v>
      </c>
      <c r="BX718" s="476" t="s">
        <v>1187</v>
      </c>
      <c r="BY718" s="476" t="s">
        <v>1187</v>
      </c>
      <c r="BZ718" s="476" t="s">
        <v>1187</v>
      </c>
      <c r="CA718" s="476" t="s">
        <v>1187</v>
      </c>
      <c r="CB718" s="476" t="s">
        <v>1187</v>
      </c>
      <c r="CC718" s="476" t="s">
        <v>1187</v>
      </c>
      <c r="CD718" s="476" t="s">
        <v>1187</v>
      </c>
      <c r="CE718" s="476" t="s">
        <v>1188</v>
      </c>
      <c r="CF718" s="476" t="s">
        <v>1188</v>
      </c>
      <c r="CG718" s="476" t="s">
        <v>1187</v>
      </c>
      <c r="CH718" s="476" t="s">
        <v>1188</v>
      </c>
      <c r="CI718" s="476" t="s">
        <v>1188</v>
      </c>
      <c r="CJ718" s="476" t="s">
        <v>1188</v>
      </c>
      <c r="CK718" s="476" t="s">
        <v>1187</v>
      </c>
      <c r="CL718" s="476" t="s">
        <v>1187</v>
      </c>
      <c r="CM718" s="476" t="str">
        <f>IF(VLOOKUP(BS718,'Données par municipalité'!$B$6:$E$1113,4,FALSE)="","non","oui")</f>
        <v>non</v>
      </c>
      <c r="CN718" s="410">
        <v>353.53524078274484</v>
      </c>
      <c r="CO718" s="410">
        <v>390.51089690156095</v>
      </c>
      <c r="CP718" s="410"/>
      <c r="CQ718" s="410">
        <v>469.6645889198789</v>
      </c>
      <c r="CR718" s="410">
        <v>410.58781541175011</v>
      </c>
      <c r="CS718" s="410">
        <v>441.40735821199928</v>
      </c>
      <c r="CT718" s="410"/>
      <c r="CU718" s="410" t="s">
        <v>1124</v>
      </c>
      <c r="CV718" s="410" t="str">
        <f>IF(VLOOKUP(BS718,'Données par municipalité'!$B$6:$F$1113,4,FALSE)="","",VLOOKUP(BS718,'Données par municipalité'!$B$6:$F$1113,4,FALSE))</f>
        <v/>
      </c>
      <c r="CW718" s="476" t="s">
        <v>4723</v>
      </c>
      <c r="CX718" s="483">
        <v>0</v>
      </c>
      <c r="CY718" s="483" t="s">
        <v>1124</v>
      </c>
      <c r="CZ718" s="483">
        <v>1</v>
      </c>
      <c r="DA718" s="483">
        <v>1</v>
      </c>
      <c r="DB718" s="483">
        <v>1</v>
      </c>
      <c r="DC718" s="483" t="s">
        <v>1124</v>
      </c>
      <c r="DD718" s="483" t="s">
        <v>1124</v>
      </c>
      <c r="DE718" s="483" t="str">
        <f>IFERROR(SUM(VLOOKUP($BS718,'État &amp; Plan d''action'!$B$6:$Z$1113,18,FALSE),VLOOKUP($BS718,'État &amp; Plan d''action'!$B$6:$Z$1113,20,FALSE))/(VLOOKUP($BS718,'Données par municipalité'!$B$4:$L$1113,11,FALSE)),"")</f>
        <v/>
      </c>
      <c r="DF718" s="483" t="str">
        <f>IFERROR(SUM(VLOOKUP($BS718,'État &amp; Plan d''action'!$B$6:$Z$1113,19,FALSE),VLOOKUP($BS718,'État &amp; Plan d''action'!$B$6:$Z$1113,21,FALSE))/(VLOOKUP($BS718,'Données par municipalité'!$B$4:$L$1113,11,FALSE)),"")</f>
        <v/>
      </c>
      <c r="DG718" s="476" t="s">
        <v>4723</v>
      </c>
      <c r="DH718" s="484">
        <v>1</v>
      </c>
      <c r="DI718" s="484">
        <v>2</v>
      </c>
      <c r="DJ718" s="484">
        <v>0</v>
      </c>
      <c r="DK718" s="484">
        <v>2</v>
      </c>
      <c r="DL718" s="484">
        <v>2</v>
      </c>
      <c r="DM718" s="484" t="s">
        <v>1124</v>
      </c>
      <c r="DN718" s="484" t="s">
        <v>1124</v>
      </c>
      <c r="DO718" s="484" t="s">
        <v>1124</v>
      </c>
      <c r="DP718" s="484" t="s">
        <v>1124</v>
      </c>
      <c r="DQ718" s="484" t="str">
        <f>IF(VLOOKUP($BS718,'État &amp; Plan d''action'!$B$6:$AJ$1113,28,FALSE)="","",VLOOKUP($BS718,'État &amp; Plan d''action'!$B$6:$AJ$1113,28,FALSE))</f>
        <v/>
      </c>
      <c r="DR718" s="70" t="str">
        <f>IF(VLOOKUP($BS718,'État &amp; Plan d''action'!$B$6:$AJ$1113,29,FALSE)="","",VLOOKUP($BS718,'État &amp; Plan d''action'!$B$6:$AJ$1113,29,FALSE))</f>
        <v/>
      </c>
      <c r="DS718" s="70" t="str">
        <f>IF(VLOOKUP($BS718,'État &amp; Plan d''action'!$B$6:$AJ$1113,30,FALSE)="","",VLOOKUP($BS718,'État &amp; Plan d''action'!$B$6:$AJ$1113,30,FALSE))</f>
        <v/>
      </c>
      <c r="DT718" s="70" t="s">
        <v>1124</v>
      </c>
      <c r="DU718" s="485" t="s">
        <v>1124</v>
      </c>
      <c r="DV718" s="485" t="s">
        <v>1124</v>
      </c>
      <c r="DW718" s="70" t="s">
        <v>1124</v>
      </c>
      <c r="DX718" s="70" t="s">
        <v>1124</v>
      </c>
      <c r="DY718" s="70" t="s">
        <v>1124</v>
      </c>
      <c r="DZ718" s="70" t="str">
        <f>VLOOKUP($BS718,'État &amp; Plan d''action'!$B$6:$AH$1113,31,FALSE)</f>
        <v/>
      </c>
      <c r="EA718" s="70" t="str">
        <f>VLOOKUP($BS718,'État &amp; Plan d''action'!$B$6:$AH$1113,32,FALSE)</f>
        <v/>
      </c>
      <c r="EB718" s="70" t="str">
        <f>VLOOKUP($BS718,'État &amp; Plan d''action'!$B$6:$AH$1113,33,FALSE)</f>
        <v/>
      </c>
      <c r="EC718" s="70" t="s">
        <v>1124</v>
      </c>
      <c r="ED718" s="70" t="s">
        <v>1124</v>
      </c>
      <c r="EE718" s="70" t="s">
        <v>1124</v>
      </c>
      <c r="EF718" s="70" t="s">
        <v>1124</v>
      </c>
      <c r="EG718" s="70" t="s">
        <v>1124</v>
      </c>
      <c r="EH718" s="72"/>
      <c r="EI718" s="72">
        <v>1056</v>
      </c>
    </row>
    <row r="719" spans="71:139" x14ac:dyDescent="0.35">
      <c r="BS719" s="486">
        <v>59010</v>
      </c>
      <c r="BT719" s="479" t="s">
        <v>599</v>
      </c>
      <c r="BU719" s="479">
        <v>16</v>
      </c>
      <c r="BV719" s="476" t="s">
        <v>1187</v>
      </c>
      <c r="BW719" s="476" t="s">
        <v>1187</v>
      </c>
      <c r="BX719" s="476" t="s">
        <v>1187</v>
      </c>
      <c r="BY719" s="476" t="s">
        <v>1187</v>
      </c>
      <c r="BZ719" s="476" t="s">
        <v>1187</v>
      </c>
      <c r="CA719" s="476" t="s">
        <v>1187</v>
      </c>
      <c r="CB719" s="476" t="s">
        <v>1187</v>
      </c>
      <c r="CC719" s="476" t="s">
        <v>1187</v>
      </c>
      <c r="CD719" s="476" t="s">
        <v>1187</v>
      </c>
      <c r="CE719" s="476" t="s">
        <v>1188</v>
      </c>
      <c r="CF719" s="476" t="s">
        <v>1188</v>
      </c>
      <c r="CG719" s="476" t="s">
        <v>1188</v>
      </c>
      <c r="CH719" s="476" t="s">
        <v>1188</v>
      </c>
      <c r="CI719" s="476" t="s">
        <v>1188</v>
      </c>
      <c r="CJ719" s="476" t="s">
        <v>1188</v>
      </c>
      <c r="CK719" s="476" t="s">
        <v>1188</v>
      </c>
      <c r="CL719" s="476" t="s">
        <v>1188</v>
      </c>
      <c r="CM719" s="476" t="str">
        <f>IF(VLOOKUP(BS719,'Données par municipalité'!$B$6:$E$1113,4,FALSE)="","non","oui")</f>
        <v>oui</v>
      </c>
      <c r="CN719" s="410">
        <v>421.04893883633707</v>
      </c>
      <c r="CO719" s="410">
        <v>420.17972185951612</v>
      </c>
      <c r="CP719" s="410">
        <v>412.94959351942475</v>
      </c>
      <c r="CQ719" s="410">
        <v>389.70653245058458</v>
      </c>
      <c r="CR719" s="410">
        <v>395.12887843754788</v>
      </c>
      <c r="CS719" s="410">
        <v>397.98550859360654</v>
      </c>
      <c r="CT719" s="410">
        <v>375.19823714873309</v>
      </c>
      <c r="CU719" s="410">
        <v>386</v>
      </c>
      <c r="CV719" s="410">
        <f>IF(VLOOKUP(BS719,'Données par municipalité'!$B$6:$F$1113,4,FALSE)="","",VLOOKUP(BS719,'Données par municipalité'!$B$6:$F$1113,4,FALSE))</f>
        <v>382</v>
      </c>
      <c r="CW719" s="476" t="s">
        <v>4723</v>
      </c>
      <c r="CX719" s="483">
        <v>0.24</v>
      </c>
      <c r="CY719" s="483">
        <v>0.23</v>
      </c>
      <c r="CZ719" s="483">
        <v>0.3</v>
      </c>
      <c r="DA719" s="483">
        <v>0.3</v>
      </c>
      <c r="DB719" s="483">
        <v>0.3</v>
      </c>
      <c r="DC719" s="483">
        <v>0.3</v>
      </c>
      <c r="DD719" s="483">
        <v>0.19999878316632291</v>
      </c>
      <c r="DE719" s="483">
        <f>IFERROR(SUM(VLOOKUP($BS719,'État &amp; Plan d''action'!$B$6:$Z$1113,18,FALSE),VLOOKUP($BS719,'État &amp; Plan d''action'!$B$6:$Z$1113,20,FALSE))/(VLOOKUP($BS719,'Données par municipalité'!$B$4:$L$1113,11,FALSE)),"")</f>
        <v>0.21292127996106583</v>
      </c>
      <c r="DF719" s="483">
        <f>IFERROR(SUM(VLOOKUP($BS719,'État &amp; Plan d''action'!$B$6:$Z$1113,19,FALSE),VLOOKUP($BS719,'État &amp; Plan d''action'!$B$6:$Z$1113,21,FALSE))/(VLOOKUP($BS719,'Données par municipalité'!$B$4:$L$1113,11,FALSE)),"")</f>
        <v>0.21292127996106583</v>
      </c>
      <c r="DG719" s="476" t="s">
        <v>4723</v>
      </c>
      <c r="DH719" s="484">
        <v>27</v>
      </c>
      <c r="DI719" s="484">
        <v>31</v>
      </c>
      <c r="DJ719" s="484">
        <v>27</v>
      </c>
      <c r="DK719" s="484">
        <v>17</v>
      </c>
      <c r="DL719" s="484">
        <v>23</v>
      </c>
      <c r="DM719" s="484">
        <v>21</v>
      </c>
      <c r="DN719" s="484">
        <v>31</v>
      </c>
      <c r="DO719" s="484">
        <v>1</v>
      </c>
      <c r="DP719" s="484">
        <v>0</v>
      </c>
      <c r="DQ719" s="484">
        <f>IF(VLOOKUP($BS719,'État &amp; Plan d''action'!$B$6:$AJ$1113,28,FALSE)="","",VLOOKUP($BS719,'État &amp; Plan d''action'!$B$6:$AJ$1113,28,FALSE))</f>
        <v>14</v>
      </c>
      <c r="DR719" s="70">
        <f>IF(VLOOKUP($BS719,'État &amp; Plan d''action'!$B$6:$AJ$1113,29,FALSE)="","",VLOOKUP($BS719,'État &amp; Plan d''action'!$B$6:$AJ$1113,29,FALSE))</f>
        <v>0</v>
      </c>
      <c r="DS719" s="70">
        <f>IF(VLOOKUP($BS719,'État &amp; Plan d''action'!$B$6:$AJ$1113,30,FALSE)="","",VLOOKUP($BS719,'État &amp; Plan d''action'!$B$6:$AJ$1113,30,FALSE))</f>
        <v>2</v>
      </c>
      <c r="DT719" s="70">
        <v>250</v>
      </c>
      <c r="DU719" s="485">
        <v>2.0535334710535471</v>
      </c>
      <c r="DV719" s="485">
        <v>2.0347350623589464</v>
      </c>
      <c r="DW719" s="70">
        <v>1</v>
      </c>
      <c r="DX719" s="70">
        <v>1</v>
      </c>
      <c r="DY719" s="70">
        <v>1</v>
      </c>
      <c r="DZ719" s="70">
        <f>VLOOKUP($BS719,'État &amp; Plan d''action'!$B$6:$AH$1113,31,FALSE)</f>
        <v>1</v>
      </c>
      <c r="EA719" s="70">
        <f>VLOOKUP($BS719,'État &amp; Plan d''action'!$B$6:$AH$1113,32,FALSE)</f>
        <v>0</v>
      </c>
      <c r="EB719" s="70">
        <f>VLOOKUP($BS719,'État &amp; Plan d''action'!$B$6:$AH$1113,33,FALSE)</f>
        <v>1</v>
      </c>
      <c r="EC719" s="70">
        <v>0</v>
      </c>
      <c r="ED719" s="70">
        <v>32.872</v>
      </c>
      <c r="EE719" s="70">
        <v>0</v>
      </c>
      <c r="EF719" s="70">
        <v>0</v>
      </c>
      <c r="EG719" s="70">
        <v>0</v>
      </c>
      <c r="EH719" s="72">
        <v>69</v>
      </c>
      <c r="EI719" s="72">
        <v>29899</v>
      </c>
    </row>
    <row r="720" spans="71:139" x14ac:dyDescent="0.35">
      <c r="BS720" s="486">
        <v>63060</v>
      </c>
      <c r="BT720" s="479" t="s">
        <v>642</v>
      </c>
      <c r="BU720" s="479">
        <v>14</v>
      </c>
      <c r="BV720" s="476" t="s">
        <v>1187</v>
      </c>
      <c r="BW720" s="476" t="s">
        <v>1187</v>
      </c>
      <c r="BX720" s="476" t="s">
        <v>1187</v>
      </c>
      <c r="BY720" s="476" t="s">
        <v>1187</v>
      </c>
      <c r="BZ720" s="476" t="s">
        <v>1187</v>
      </c>
      <c r="CA720" s="476" t="s">
        <v>1187</v>
      </c>
      <c r="CB720" s="476" t="s">
        <v>1187</v>
      </c>
      <c r="CC720" s="476" t="s">
        <v>1187</v>
      </c>
      <c r="CD720" s="476" t="s">
        <v>1187</v>
      </c>
      <c r="CE720" s="476" t="s">
        <v>1188</v>
      </c>
      <c r="CF720" s="476" t="s">
        <v>1188</v>
      </c>
      <c r="CG720" s="476" t="s">
        <v>1188</v>
      </c>
      <c r="CH720" s="476" t="s">
        <v>1187</v>
      </c>
      <c r="CI720" s="476" t="s">
        <v>1188</v>
      </c>
      <c r="CJ720" s="476" t="s">
        <v>1188</v>
      </c>
      <c r="CK720" s="476" t="s">
        <v>1188</v>
      </c>
      <c r="CL720" s="476" t="s">
        <v>1188</v>
      </c>
      <c r="CM720" s="476" t="str">
        <f>IF(VLOOKUP(BS720,'Données par municipalité'!$B$6:$E$1113,4,FALSE)="","non","oui")</f>
        <v>non</v>
      </c>
      <c r="CN720" s="410">
        <v>483.3746763516678</v>
      </c>
      <c r="CO720" s="410">
        <v>366.92778896863564</v>
      </c>
      <c r="CP720" s="410">
        <v>440.56920778289793</v>
      </c>
      <c r="CQ720" s="410"/>
      <c r="CR720" s="410">
        <v>422.06004024724479</v>
      </c>
      <c r="CS720" s="410">
        <v>456.27314752682207</v>
      </c>
      <c r="CT720" s="410">
        <v>410.75296077527128</v>
      </c>
      <c r="CU720" s="410">
        <v>421</v>
      </c>
      <c r="CV720" s="410" t="str">
        <f>IF(VLOOKUP(BS720,'Données par municipalité'!$B$6:$F$1113,4,FALSE)="","",VLOOKUP(BS720,'Données par municipalité'!$B$6:$F$1113,4,FALSE))</f>
        <v/>
      </c>
      <c r="CW720" s="476" t="s">
        <v>4723</v>
      </c>
      <c r="CX720" s="483">
        <v>0</v>
      </c>
      <c r="CY720" s="483">
        <v>0</v>
      </c>
      <c r="CZ720" s="483" t="s">
        <v>1124</v>
      </c>
      <c r="DA720" s="483">
        <v>0</v>
      </c>
      <c r="DB720" s="483">
        <v>0</v>
      </c>
      <c r="DC720" s="483">
        <v>0</v>
      </c>
      <c r="DD720" s="483">
        <v>0</v>
      </c>
      <c r="DE720" s="483" t="str">
        <f>IFERROR(SUM(VLOOKUP($BS720,'État &amp; Plan d''action'!$B$6:$Z$1113,18,FALSE),VLOOKUP($BS720,'État &amp; Plan d''action'!$B$6:$Z$1113,20,FALSE))/(VLOOKUP($BS720,'Données par municipalité'!$B$4:$L$1113,11,FALSE)),"")</f>
        <v/>
      </c>
      <c r="DF720" s="483" t="str">
        <f>IFERROR(SUM(VLOOKUP($BS720,'État &amp; Plan d''action'!$B$6:$Z$1113,19,FALSE),VLOOKUP($BS720,'État &amp; Plan d''action'!$B$6:$Z$1113,21,FALSE))/(VLOOKUP($BS720,'Données par municipalité'!$B$4:$L$1113,11,FALSE)),"")</f>
        <v/>
      </c>
      <c r="DG720" s="476" t="s">
        <v>4723</v>
      </c>
      <c r="DH720" s="484">
        <v>6</v>
      </c>
      <c r="DI720" s="484">
        <v>3</v>
      </c>
      <c r="DJ720" s="484">
        <v>0</v>
      </c>
      <c r="DK720" s="484">
        <v>1</v>
      </c>
      <c r="DL720" s="484">
        <v>1</v>
      </c>
      <c r="DM720" s="484">
        <v>1</v>
      </c>
      <c r="DN720" s="484">
        <v>2</v>
      </c>
      <c r="DO720" s="484">
        <v>1</v>
      </c>
      <c r="DP720" s="484">
        <v>0</v>
      </c>
      <c r="DQ720" s="484" t="str">
        <f>IF(VLOOKUP($BS720,'État &amp; Plan d''action'!$B$6:$AJ$1113,28,FALSE)="","",VLOOKUP($BS720,'État &amp; Plan d''action'!$B$6:$AJ$1113,28,FALSE))</f>
        <v/>
      </c>
      <c r="DR720" s="70" t="str">
        <f>IF(VLOOKUP($BS720,'État &amp; Plan d''action'!$B$6:$AJ$1113,29,FALSE)="","",VLOOKUP($BS720,'État &amp; Plan d''action'!$B$6:$AJ$1113,29,FALSE))</f>
        <v/>
      </c>
      <c r="DS720" s="70" t="str">
        <f>IF(VLOOKUP($BS720,'État &amp; Plan d''action'!$B$6:$AJ$1113,30,FALSE)="","",VLOOKUP($BS720,'État &amp; Plan d''action'!$B$6:$AJ$1113,30,FALSE))</f>
        <v/>
      </c>
      <c r="DT720" s="70">
        <v>314</v>
      </c>
      <c r="DU720" s="485">
        <v>1.9964376255765997</v>
      </c>
      <c r="DV720" s="485" t="s">
        <v>1124</v>
      </c>
      <c r="DW720" s="70">
        <v>5</v>
      </c>
      <c r="DX720" s="70">
        <v>1</v>
      </c>
      <c r="DY720" s="70">
        <v>0</v>
      </c>
      <c r="DZ720" s="70" t="str">
        <f>VLOOKUP($BS720,'État &amp; Plan d''action'!$B$6:$AH$1113,31,FALSE)</f>
        <v/>
      </c>
      <c r="EA720" s="70" t="str">
        <f>VLOOKUP($BS720,'État &amp; Plan d''action'!$B$6:$AH$1113,32,FALSE)</f>
        <v/>
      </c>
      <c r="EB720" s="70" t="str">
        <f>VLOOKUP($BS720,'État &amp; Plan d''action'!$B$6:$AH$1113,33,FALSE)</f>
        <v/>
      </c>
      <c r="EC720" s="70">
        <v>25.617999999999999</v>
      </c>
      <c r="ED720" s="70">
        <v>0</v>
      </c>
      <c r="EE720" s="70">
        <v>0</v>
      </c>
      <c r="EF720" s="70">
        <v>0</v>
      </c>
      <c r="EG720" s="70">
        <v>0</v>
      </c>
      <c r="EH720" s="72">
        <v>58</v>
      </c>
      <c r="EI720" s="72">
        <v>10381</v>
      </c>
    </row>
    <row r="721" spans="71:139" x14ac:dyDescent="0.35">
      <c r="BS721" s="486">
        <v>28045</v>
      </c>
      <c r="BT721" s="479" t="s">
        <v>195</v>
      </c>
      <c r="BU721" s="479">
        <v>12</v>
      </c>
      <c r="BV721" s="476" t="s">
        <v>1187</v>
      </c>
      <c r="BW721" s="476" t="s">
        <v>1187</v>
      </c>
      <c r="BX721" s="476" t="s">
        <v>1187</v>
      </c>
      <c r="BY721" s="476" t="s">
        <v>1187</v>
      </c>
      <c r="BZ721" s="476" t="s">
        <v>1187</v>
      </c>
      <c r="CA721" s="476" t="s">
        <v>1187</v>
      </c>
      <c r="CB721" s="476" t="s">
        <v>1187</v>
      </c>
      <c r="CC721" s="476" t="s">
        <v>1187</v>
      </c>
      <c r="CD721" s="476" t="s">
        <v>1187</v>
      </c>
      <c r="CE721" s="476" t="s">
        <v>1188</v>
      </c>
      <c r="CF721" s="476" t="s">
        <v>1188</v>
      </c>
      <c r="CG721" s="476" t="s">
        <v>1188</v>
      </c>
      <c r="CH721" s="476" t="s">
        <v>1188</v>
      </c>
      <c r="CI721" s="476" t="s">
        <v>1188</v>
      </c>
      <c r="CJ721" s="476" t="s">
        <v>1188</v>
      </c>
      <c r="CK721" s="476" t="s">
        <v>1188</v>
      </c>
      <c r="CL721" s="476" t="s">
        <v>1188</v>
      </c>
      <c r="CM721" s="476" t="str">
        <f>IF(VLOOKUP(BS721,'Données par municipalité'!$B$6:$E$1113,4,FALSE)="","non","oui")</f>
        <v>oui</v>
      </c>
      <c r="CN721" s="410">
        <v>371.07009125336299</v>
      </c>
      <c r="CO721" s="410">
        <v>362.63899445591335</v>
      </c>
      <c r="CP721" s="410">
        <v>395.44469183323486</v>
      </c>
      <c r="CQ721" s="410">
        <v>392.36863463956757</v>
      </c>
      <c r="CR721" s="410">
        <v>375.65196494706527</v>
      </c>
      <c r="CS721" s="410">
        <v>347.49872617489387</v>
      </c>
      <c r="CT721" s="410">
        <v>365.165086055497</v>
      </c>
      <c r="CU721" s="410">
        <v>365</v>
      </c>
      <c r="CV721" s="410">
        <f>IF(VLOOKUP(BS721,'Données par municipalité'!$B$6:$F$1113,4,FALSE)="","",VLOOKUP(BS721,'Données par municipalité'!$B$6:$F$1113,4,FALSE))</f>
        <v>330</v>
      </c>
      <c r="CW721" s="476" t="s">
        <v>4723</v>
      </c>
      <c r="CX721" s="483">
        <v>1</v>
      </c>
      <c r="CY721" s="483">
        <v>1</v>
      </c>
      <c r="CZ721" s="483">
        <v>1</v>
      </c>
      <c r="DA721" s="483">
        <v>1</v>
      </c>
      <c r="DB721" s="483">
        <v>1</v>
      </c>
      <c r="DC721" s="483">
        <v>1</v>
      </c>
      <c r="DD721" s="483">
        <v>0.95000707113562444</v>
      </c>
      <c r="DE721" s="483">
        <f>IFERROR(SUM(VLOOKUP($BS721,'État &amp; Plan d''action'!$B$6:$Z$1113,18,FALSE),VLOOKUP($BS721,'État &amp; Plan d''action'!$B$6:$Z$1113,20,FALSE))/(VLOOKUP($BS721,'Données par municipalité'!$B$4:$L$1113,11,FALSE)),"")</f>
        <v>0</v>
      </c>
      <c r="DF721" s="483">
        <f>IFERROR(SUM(VLOOKUP($BS721,'État &amp; Plan d''action'!$B$6:$Z$1113,19,FALSE),VLOOKUP($BS721,'État &amp; Plan d''action'!$B$6:$Z$1113,21,FALSE))/(VLOOKUP($BS721,'Données par municipalité'!$B$4:$L$1113,11,FALSE)),"")</f>
        <v>1</v>
      </c>
      <c r="DG721" s="476" t="s">
        <v>4723</v>
      </c>
      <c r="DH721" s="484">
        <v>5</v>
      </c>
      <c r="DI721" s="484">
        <v>3</v>
      </c>
      <c r="DJ721" s="484">
        <v>5</v>
      </c>
      <c r="DK721" s="484">
        <v>8</v>
      </c>
      <c r="DL721" s="484">
        <v>3</v>
      </c>
      <c r="DM721" s="484">
        <v>13</v>
      </c>
      <c r="DN721" s="484">
        <v>4</v>
      </c>
      <c r="DO721" s="484">
        <v>0</v>
      </c>
      <c r="DP721" s="484">
        <v>0</v>
      </c>
      <c r="DQ721" s="484">
        <f>IF(VLOOKUP($BS721,'État &amp; Plan d''action'!$B$6:$AJ$1113,28,FALSE)="","",VLOOKUP($BS721,'État &amp; Plan d''action'!$B$6:$AJ$1113,28,FALSE))</f>
        <v>0</v>
      </c>
      <c r="DR721" s="70">
        <f>IF(VLOOKUP($BS721,'État &amp; Plan d''action'!$B$6:$AJ$1113,29,FALSE)="","",VLOOKUP($BS721,'État &amp; Plan d''action'!$B$6:$AJ$1113,29,FALSE))</f>
        <v>5</v>
      </c>
      <c r="DS721" s="70">
        <f>IF(VLOOKUP($BS721,'État &amp; Plan d''action'!$B$6:$AJ$1113,30,FALSE)="","",VLOOKUP($BS721,'État &amp; Plan d''action'!$B$6:$AJ$1113,30,FALSE))</f>
        <v>1</v>
      </c>
      <c r="DT721" s="70">
        <v>210</v>
      </c>
      <c r="DU721" s="485">
        <v>2.2216797323153563</v>
      </c>
      <c r="DV721" s="485">
        <v>2.939924421442436</v>
      </c>
      <c r="DW721" s="70">
        <v>1</v>
      </c>
      <c r="DX721" s="70">
        <v>0</v>
      </c>
      <c r="DY721" s="70">
        <v>0</v>
      </c>
      <c r="DZ721" s="70">
        <f>VLOOKUP($BS721,'État &amp; Plan d''action'!$B$6:$AH$1113,31,FALSE)</f>
        <v>0</v>
      </c>
      <c r="EA721" s="70">
        <f>VLOOKUP($BS721,'État &amp; Plan d''action'!$B$6:$AH$1113,32,FALSE)</f>
        <v>1</v>
      </c>
      <c r="EB721" s="70">
        <f>VLOOKUP($BS721,'État &amp; Plan d''action'!$B$6:$AH$1113,33,FALSE)</f>
        <v>1</v>
      </c>
      <c r="EC721" s="70">
        <v>0</v>
      </c>
      <c r="ED721" s="70">
        <v>13.435</v>
      </c>
      <c r="EE721" s="70">
        <v>0</v>
      </c>
      <c r="EF721" s="70">
        <v>0</v>
      </c>
      <c r="EG721" s="70">
        <v>0</v>
      </c>
      <c r="EH721" s="72">
        <v>59</v>
      </c>
      <c r="EI721" s="72">
        <v>1867</v>
      </c>
    </row>
    <row r="722" spans="71:139" x14ac:dyDescent="0.35">
      <c r="BS722" s="486">
        <v>71115</v>
      </c>
      <c r="BT722" s="479" t="s">
        <v>723</v>
      </c>
      <c r="BU722" s="479">
        <v>16</v>
      </c>
      <c r="BV722" s="476" t="s">
        <v>1188</v>
      </c>
      <c r="BW722" s="476" t="s">
        <v>1188</v>
      </c>
      <c r="BX722" s="476" t="s">
        <v>1188</v>
      </c>
      <c r="BY722" s="476" t="s">
        <v>1188</v>
      </c>
      <c r="BZ722" s="476" t="s">
        <v>1188</v>
      </c>
      <c r="CA722" s="476" t="s">
        <v>1188</v>
      </c>
      <c r="CB722" s="476" t="s">
        <v>1188</v>
      </c>
      <c r="CC722" s="476" t="s">
        <v>1188</v>
      </c>
      <c r="CD722" s="476" t="s">
        <v>1188</v>
      </c>
      <c r="CE722" s="476" t="s">
        <v>1187</v>
      </c>
      <c r="CF722" s="476" t="s">
        <v>1187</v>
      </c>
      <c r="CG722" s="476" t="s">
        <v>1187</v>
      </c>
      <c r="CH722" s="476" t="s">
        <v>1187</v>
      </c>
      <c r="CI722" s="476" t="s">
        <v>1187</v>
      </c>
      <c r="CJ722" s="476" t="s">
        <v>1187</v>
      </c>
      <c r="CK722" s="476" t="s">
        <v>1187</v>
      </c>
      <c r="CL722" s="476" t="s">
        <v>1187</v>
      </c>
      <c r="CM722" s="476" t="str">
        <f>IF(VLOOKUP(BS722,'Données par municipalité'!$B$6:$E$1113,4,FALSE)="","non","oui")</f>
        <v>non</v>
      </c>
      <c r="CN722" s="410" t="s">
        <v>1124</v>
      </c>
      <c r="CO722" s="410" t="s">
        <v>1124</v>
      </c>
      <c r="CP722" s="410"/>
      <c r="CQ722" s="410"/>
      <c r="CR722" s="410"/>
      <c r="CS722" s="410" t="s">
        <v>1124</v>
      </c>
      <c r="CT722" s="410"/>
      <c r="CU722" s="410" t="s">
        <v>1124</v>
      </c>
      <c r="CV722" s="410" t="str">
        <f>IF(VLOOKUP(BS722,'Données par municipalité'!$B$6:$F$1113,4,FALSE)="","",VLOOKUP(BS722,'Données par municipalité'!$B$6:$F$1113,4,FALSE))</f>
        <v/>
      </c>
      <c r="CW722" s="476" t="s">
        <v>4723</v>
      </c>
      <c r="CX722" s="483" t="s">
        <v>1124</v>
      </c>
      <c r="CY722" s="483" t="s">
        <v>1124</v>
      </c>
      <c r="CZ722" s="483" t="s">
        <v>1124</v>
      </c>
      <c r="DA722" s="483" t="s">
        <v>1124</v>
      </c>
      <c r="DB722" s="483" t="s">
        <v>1124</v>
      </c>
      <c r="DC722" s="483" t="s">
        <v>1124</v>
      </c>
      <c r="DD722" s="483" t="s">
        <v>1124</v>
      </c>
      <c r="DE722" s="483" t="str">
        <f>IFERROR(SUM(VLOOKUP($BS722,'État &amp; Plan d''action'!$B$6:$Z$1113,18,FALSE),VLOOKUP($BS722,'État &amp; Plan d''action'!$B$6:$Z$1113,20,FALSE))/(VLOOKUP($BS722,'Données par municipalité'!$B$4:$L$1113,11,FALSE)),"")</f>
        <v/>
      </c>
      <c r="DF722" s="483" t="str">
        <f>IFERROR(SUM(VLOOKUP($BS722,'État &amp; Plan d''action'!$B$6:$Z$1113,19,FALSE),VLOOKUP($BS722,'État &amp; Plan d''action'!$B$6:$Z$1113,21,FALSE))/(VLOOKUP($BS722,'Données par municipalité'!$B$4:$L$1113,11,FALSE)),"")</f>
        <v/>
      </c>
      <c r="DG722" s="476" t="s">
        <v>4723</v>
      </c>
      <c r="DH722" s="484" t="s">
        <v>1124</v>
      </c>
      <c r="DI722" s="484" t="s">
        <v>1124</v>
      </c>
      <c r="DJ722" s="484">
        <v>0</v>
      </c>
      <c r="DK722" s="484">
        <v>0</v>
      </c>
      <c r="DL722" s="484" t="s">
        <v>1124</v>
      </c>
      <c r="DM722" s="484" t="s">
        <v>1124</v>
      </c>
      <c r="DN722" s="484" t="s">
        <v>1124</v>
      </c>
      <c r="DO722" s="484" t="s">
        <v>1124</v>
      </c>
      <c r="DP722" s="484" t="s">
        <v>1124</v>
      </c>
      <c r="DQ722" s="484" t="str">
        <f>IF(VLOOKUP($BS722,'État &amp; Plan d''action'!$B$6:$AJ$1113,28,FALSE)="","",VLOOKUP($BS722,'État &amp; Plan d''action'!$B$6:$AJ$1113,28,FALSE))</f>
        <v/>
      </c>
      <c r="DR722" s="70" t="str">
        <f>IF(VLOOKUP($BS722,'État &amp; Plan d''action'!$B$6:$AJ$1113,29,FALSE)="","",VLOOKUP($BS722,'État &amp; Plan d''action'!$B$6:$AJ$1113,29,FALSE))</f>
        <v/>
      </c>
      <c r="DS722" s="70" t="str">
        <f>IF(VLOOKUP($BS722,'État &amp; Plan d''action'!$B$6:$AJ$1113,30,FALSE)="","",VLOOKUP($BS722,'État &amp; Plan d''action'!$B$6:$AJ$1113,30,FALSE))</f>
        <v/>
      </c>
      <c r="DT722" s="70" t="s">
        <v>1124</v>
      </c>
      <c r="DU722" s="485" t="s">
        <v>1124</v>
      </c>
      <c r="DV722" s="485" t="s">
        <v>1124</v>
      </c>
      <c r="DW722" s="70" t="s">
        <v>1124</v>
      </c>
      <c r="DX722" s="70" t="s">
        <v>1124</v>
      </c>
      <c r="DY722" s="70" t="s">
        <v>1124</v>
      </c>
      <c r="DZ722" s="70" t="str">
        <f>VLOOKUP($BS722,'État &amp; Plan d''action'!$B$6:$AH$1113,31,FALSE)</f>
        <v/>
      </c>
      <c r="EA722" s="70" t="str">
        <f>VLOOKUP($BS722,'État &amp; Plan d''action'!$B$6:$AH$1113,32,FALSE)</f>
        <v/>
      </c>
      <c r="EB722" s="70" t="str">
        <f>VLOOKUP($BS722,'État &amp; Plan d''action'!$B$6:$AH$1113,33,FALSE)</f>
        <v/>
      </c>
      <c r="EC722" s="70" t="s">
        <v>1124</v>
      </c>
      <c r="ED722" s="70" t="s">
        <v>1124</v>
      </c>
      <c r="EE722" s="70" t="s">
        <v>1124</v>
      </c>
      <c r="EF722" s="70" t="s">
        <v>1124</v>
      </c>
      <c r="EG722" s="70" t="s">
        <v>1124</v>
      </c>
      <c r="EH722" s="72"/>
      <c r="EI722" s="72">
        <v>971</v>
      </c>
    </row>
    <row r="723" spans="71:139" x14ac:dyDescent="0.35">
      <c r="BS723" s="486">
        <v>51075</v>
      </c>
      <c r="BT723" s="479" t="s">
        <v>511</v>
      </c>
      <c r="BU723" s="479">
        <v>4</v>
      </c>
      <c r="BV723" s="476" t="s">
        <v>1187</v>
      </c>
      <c r="BW723" s="476" t="s">
        <v>1187</v>
      </c>
      <c r="BX723" s="476" t="s">
        <v>1187</v>
      </c>
      <c r="BY723" s="476" t="s">
        <v>1187</v>
      </c>
      <c r="BZ723" s="476" t="s">
        <v>1187</v>
      </c>
      <c r="CA723" s="476" t="s">
        <v>1187</v>
      </c>
      <c r="CB723" s="476" t="s">
        <v>1187</v>
      </c>
      <c r="CC723" s="476" t="s">
        <v>1187</v>
      </c>
      <c r="CD723" s="476" t="s">
        <v>1187</v>
      </c>
      <c r="CE723" s="476" t="s">
        <v>1188</v>
      </c>
      <c r="CF723" s="476" t="s">
        <v>1188</v>
      </c>
      <c r="CG723" s="476" t="s">
        <v>1188</v>
      </c>
      <c r="CH723" s="476" t="s">
        <v>1188</v>
      </c>
      <c r="CI723" s="476" t="s">
        <v>1188</v>
      </c>
      <c r="CJ723" s="476" t="s">
        <v>1188</v>
      </c>
      <c r="CK723" s="476" t="s">
        <v>1187</v>
      </c>
      <c r="CL723" s="476" t="s">
        <v>1188</v>
      </c>
      <c r="CM723" s="476" t="str">
        <f>IF(VLOOKUP(BS723,'Données par municipalité'!$B$6:$E$1113,4,FALSE)="","non","oui")</f>
        <v>non</v>
      </c>
      <c r="CN723" s="410">
        <v>429.90248451259885</v>
      </c>
      <c r="CO723" s="410">
        <v>439.53571069381189</v>
      </c>
      <c r="CP723" s="410">
        <v>293.2548919550357</v>
      </c>
      <c r="CQ723" s="410">
        <v>317.43737629849494</v>
      </c>
      <c r="CR723" s="410">
        <v>347.64700400708233</v>
      </c>
      <c r="CS723" s="410">
        <v>351.87353629976576</v>
      </c>
      <c r="CT723" s="410"/>
      <c r="CU723" s="410">
        <v>333</v>
      </c>
      <c r="CV723" s="410" t="str">
        <f>IF(VLOOKUP(BS723,'Données par municipalité'!$B$6:$F$1113,4,FALSE)="","",VLOOKUP(BS723,'Données par municipalité'!$B$6:$F$1113,4,FALSE))</f>
        <v/>
      </c>
      <c r="CW723" s="476" t="s">
        <v>4723</v>
      </c>
      <c r="CX723" s="483">
        <v>0</v>
      </c>
      <c r="CY723" s="483">
        <v>0</v>
      </c>
      <c r="CZ723" s="483">
        <v>0</v>
      </c>
      <c r="DA723" s="483">
        <v>0</v>
      </c>
      <c r="DB723" s="483">
        <v>0</v>
      </c>
      <c r="DC723" s="483" t="s">
        <v>1124</v>
      </c>
      <c r="DD723" s="483">
        <v>0</v>
      </c>
      <c r="DE723" s="483" t="str">
        <f>IFERROR(SUM(VLOOKUP($BS723,'État &amp; Plan d''action'!$B$6:$Z$1113,18,FALSE),VLOOKUP($BS723,'État &amp; Plan d''action'!$B$6:$Z$1113,20,FALSE))/(VLOOKUP($BS723,'Données par municipalité'!$B$4:$L$1113,11,FALSE)),"")</f>
        <v/>
      </c>
      <c r="DF723" s="483" t="str">
        <f>IFERROR(SUM(VLOOKUP($BS723,'État &amp; Plan d''action'!$B$6:$Z$1113,19,FALSE),VLOOKUP($BS723,'État &amp; Plan d''action'!$B$6:$Z$1113,21,FALSE))/(VLOOKUP($BS723,'Données par municipalité'!$B$4:$L$1113,11,FALSE)),"")</f>
        <v/>
      </c>
      <c r="DG723" s="476" t="s">
        <v>4723</v>
      </c>
      <c r="DH723" s="484">
        <v>1</v>
      </c>
      <c r="DI723" s="484">
        <v>1</v>
      </c>
      <c r="DJ723" s="484">
        <v>1</v>
      </c>
      <c r="DK723" s="484">
        <v>0</v>
      </c>
      <c r="DL723" s="484">
        <v>1</v>
      </c>
      <c r="DM723" s="484" t="s">
        <v>1124</v>
      </c>
      <c r="DN723" s="484">
        <v>0</v>
      </c>
      <c r="DO723" s="484">
        <v>0</v>
      </c>
      <c r="DP723" s="484">
        <v>0</v>
      </c>
      <c r="DQ723" s="484" t="str">
        <f>IF(VLOOKUP($BS723,'État &amp; Plan d''action'!$B$6:$AJ$1113,28,FALSE)="","",VLOOKUP($BS723,'État &amp; Plan d''action'!$B$6:$AJ$1113,28,FALSE))</f>
        <v/>
      </c>
      <c r="DR723" s="70" t="str">
        <f>IF(VLOOKUP($BS723,'État &amp; Plan d''action'!$B$6:$AJ$1113,29,FALSE)="","",VLOOKUP($BS723,'État &amp; Plan d''action'!$B$6:$AJ$1113,29,FALSE))</f>
        <v/>
      </c>
      <c r="DS723" s="70" t="str">
        <f>IF(VLOOKUP($BS723,'État &amp; Plan d''action'!$B$6:$AJ$1113,30,FALSE)="","",VLOOKUP($BS723,'État &amp; Plan d''action'!$B$6:$AJ$1113,30,FALSE))</f>
        <v/>
      </c>
      <c r="DT723" s="70">
        <v>276</v>
      </c>
      <c r="DU723" s="485">
        <v>1.7142899733912378</v>
      </c>
      <c r="DV723" s="485" t="s">
        <v>1124</v>
      </c>
      <c r="DW723" s="70">
        <v>0</v>
      </c>
      <c r="DX723" s="70">
        <v>0</v>
      </c>
      <c r="DY723" s="70">
        <v>0</v>
      </c>
      <c r="DZ723" s="70" t="str">
        <f>VLOOKUP($BS723,'État &amp; Plan d''action'!$B$6:$AH$1113,31,FALSE)</f>
        <v/>
      </c>
      <c r="EA723" s="70" t="str">
        <f>VLOOKUP($BS723,'État &amp; Plan d''action'!$B$6:$AH$1113,32,FALSE)</f>
        <v/>
      </c>
      <c r="EB723" s="70" t="str">
        <f>VLOOKUP($BS723,'État &amp; Plan d''action'!$B$6:$AH$1113,33,FALSE)</f>
        <v/>
      </c>
      <c r="EC723" s="70">
        <v>0</v>
      </c>
      <c r="ED723" s="70">
        <v>0</v>
      </c>
      <c r="EE723" s="70">
        <v>0</v>
      </c>
      <c r="EF723" s="70">
        <v>0</v>
      </c>
      <c r="EG723" s="70">
        <v>0</v>
      </c>
      <c r="EH723" s="72">
        <v>53.5</v>
      </c>
      <c r="EI723" s="72">
        <v>1869</v>
      </c>
    </row>
    <row r="724" spans="71:139" x14ac:dyDescent="0.35">
      <c r="BS724" s="486">
        <v>11035</v>
      </c>
      <c r="BT724" s="479" t="s">
        <v>23</v>
      </c>
      <c r="BU724" s="479">
        <v>1</v>
      </c>
      <c r="BV724" s="476" t="s">
        <v>1188</v>
      </c>
      <c r="BW724" s="476" t="s">
        <v>1188</v>
      </c>
      <c r="BX724" s="476" t="s">
        <v>1188</v>
      </c>
      <c r="BY724" s="476" t="s">
        <v>1188</v>
      </c>
      <c r="BZ724" s="476" t="s">
        <v>1188</v>
      </c>
      <c r="CA724" s="476" t="s">
        <v>1188</v>
      </c>
      <c r="CB724" s="476" t="s">
        <v>1188</v>
      </c>
      <c r="CC724" s="476" t="s">
        <v>1188</v>
      </c>
      <c r="CD724" s="476" t="s">
        <v>1188</v>
      </c>
      <c r="CE724" s="476" t="s">
        <v>1187</v>
      </c>
      <c r="CF724" s="476" t="s">
        <v>1187</v>
      </c>
      <c r="CG724" s="476" t="s">
        <v>1187</v>
      </c>
      <c r="CH724" s="476" t="s">
        <v>1187</v>
      </c>
      <c r="CI724" s="476" t="s">
        <v>1187</v>
      </c>
      <c r="CJ724" s="476" t="s">
        <v>1187</v>
      </c>
      <c r="CK724" s="476" t="s">
        <v>1187</v>
      </c>
      <c r="CL724" s="476" t="s">
        <v>1187</v>
      </c>
      <c r="CM724" s="476" t="str">
        <f>IF(VLOOKUP(BS724,'Données par municipalité'!$B$6:$E$1113,4,FALSE)="","non","oui")</f>
        <v>non</v>
      </c>
      <c r="CN724" s="410" t="s">
        <v>1124</v>
      </c>
      <c r="CO724" s="410" t="s">
        <v>1124</v>
      </c>
      <c r="CP724" s="410"/>
      <c r="CQ724" s="410"/>
      <c r="CR724" s="410"/>
      <c r="CS724" s="410" t="s">
        <v>1124</v>
      </c>
      <c r="CT724" s="410"/>
      <c r="CU724" s="410" t="s">
        <v>1124</v>
      </c>
      <c r="CV724" s="410" t="str">
        <f>IF(VLOOKUP(BS724,'Données par municipalité'!$B$6:$F$1113,4,FALSE)="","",VLOOKUP(BS724,'Données par municipalité'!$B$6:$F$1113,4,FALSE))</f>
        <v/>
      </c>
      <c r="CW724" s="476" t="s">
        <v>4723</v>
      </c>
      <c r="CX724" s="483" t="s">
        <v>1124</v>
      </c>
      <c r="CY724" s="483" t="s">
        <v>1124</v>
      </c>
      <c r="CZ724" s="483" t="s">
        <v>1124</v>
      </c>
      <c r="DA724" s="483" t="s">
        <v>1124</v>
      </c>
      <c r="DB724" s="483" t="s">
        <v>1124</v>
      </c>
      <c r="DC724" s="483" t="s">
        <v>1124</v>
      </c>
      <c r="DD724" s="483" t="s">
        <v>1124</v>
      </c>
      <c r="DE724" s="483" t="str">
        <f>IFERROR(SUM(VLOOKUP($BS724,'État &amp; Plan d''action'!$B$6:$Z$1113,18,FALSE),VLOOKUP($BS724,'État &amp; Plan d''action'!$B$6:$Z$1113,20,FALSE))/(VLOOKUP($BS724,'Données par municipalité'!$B$4:$L$1113,11,FALSE)),"")</f>
        <v/>
      </c>
      <c r="DF724" s="483" t="str">
        <f>IFERROR(SUM(VLOOKUP($BS724,'État &amp; Plan d''action'!$B$6:$Z$1113,19,FALSE),VLOOKUP($BS724,'État &amp; Plan d''action'!$B$6:$Z$1113,21,FALSE))/(VLOOKUP($BS724,'Données par municipalité'!$B$4:$L$1113,11,FALSE)),"")</f>
        <v/>
      </c>
      <c r="DG724" s="476" t="s">
        <v>4723</v>
      </c>
      <c r="DH724" s="484" t="s">
        <v>1124</v>
      </c>
      <c r="DI724" s="484" t="s">
        <v>1124</v>
      </c>
      <c r="DJ724" s="484">
        <v>0</v>
      </c>
      <c r="DK724" s="484">
        <v>0</v>
      </c>
      <c r="DL724" s="484" t="s">
        <v>1124</v>
      </c>
      <c r="DM724" s="484" t="s">
        <v>1124</v>
      </c>
      <c r="DN724" s="484" t="s">
        <v>1124</v>
      </c>
      <c r="DO724" s="484" t="s">
        <v>1124</v>
      </c>
      <c r="DP724" s="484" t="s">
        <v>1124</v>
      </c>
      <c r="DQ724" s="484" t="str">
        <f>IF(VLOOKUP($BS724,'État &amp; Plan d''action'!$B$6:$AJ$1113,28,FALSE)="","",VLOOKUP($BS724,'État &amp; Plan d''action'!$B$6:$AJ$1113,28,FALSE))</f>
        <v/>
      </c>
      <c r="DR724" s="70" t="str">
        <f>IF(VLOOKUP($BS724,'État &amp; Plan d''action'!$B$6:$AJ$1113,29,FALSE)="","",VLOOKUP($BS724,'État &amp; Plan d''action'!$B$6:$AJ$1113,29,FALSE))</f>
        <v/>
      </c>
      <c r="DS724" s="70" t="str">
        <f>IF(VLOOKUP($BS724,'État &amp; Plan d''action'!$B$6:$AJ$1113,30,FALSE)="","",VLOOKUP($BS724,'État &amp; Plan d''action'!$B$6:$AJ$1113,30,FALSE))</f>
        <v/>
      </c>
      <c r="DT724" s="70" t="s">
        <v>1124</v>
      </c>
      <c r="DU724" s="485" t="s">
        <v>1124</v>
      </c>
      <c r="DV724" s="485" t="s">
        <v>1124</v>
      </c>
      <c r="DW724" s="70" t="s">
        <v>1124</v>
      </c>
      <c r="DX724" s="70" t="s">
        <v>1124</v>
      </c>
      <c r="DY724" s="70" t="s">
        <v>1124</v>
      </c>
      <c r="DZ724" s="70" t="str">
        <f>VLOOKUP($BS724,'État &amp; Plan d''action'!$B$6:$AH$1113,31,FALSE)</f>
        <v/>
      </c>
      <c r="EA724" s="70" t="str">
        <f>VLOOKUP($BS724,'État &amp; Plan d''action'!$B$6:$AH$1113,32,FALSE)</f>
        <v/>
      </c>
      <c r="EB724" s="70" t="str">
        <f>VLOOKUP($BS724,'État &amp; Plan d''action'!$B$6:$AH$1113,33,FALSE)</f>
        <v/>
      </c>
      <c r="EC724" s="70" t="s">
        <v>1124</v>
      </c>
      <c r="ED724" s="70" t="s">
        <v>1124</v>
      </c>
      <c r="EE724" s="70" t="s">
        <v>1124</v>
      </c>
      <c r="EF724" s="70" t="s">
        <v>1124</v>
      </c>
      <c r="EG724" s="70" t="s">
        <v>1124</v>
      </c>
      <c r="EH724" s="72"/>
      <c r="EI724" s="72">
        <v>286</v>
      </c>
    </row>
    <row r="725" spans="71:139" x14ac:dyDescent="0.35">
      <c r="BS725" s="486">
        <v>17060</v>
      </c>
      <c r="BT725" s="479" t="s">
        <v>100</v>
      </c>
      <c r="BU725" s="479">
        <v>12</v>
      </c>
      <c r="BV725" s="476" t="s">
        <v>1187</v>
      </c>
      <c r="BW725" s="476" t="s">
        <v>1187</v>
      </c>
      <c r="BX725" s="476" t="s">
        <v>1187</v>
      </c>
      <c r="BY725" s="476" t="s">
        <v>1187</v>
      </c>
      <c r="BZ725" s="476" t="s">
        <v>1187</v>
      </c>
      <c r="CA725" s="476" t="s">
        <v>1187</v>
      </c>
      <c r="CB725" s="476" t="s">
        <v>1187</v>
      </c>
      <c r="CC725" s="476" t="s">
        <v>1187</v>
      </c>
      <c r="CD725" s="476" t="s">
        <v>1187</v>
      </c>
      <c r="CE725" s="476" t="s">
        <v>1188</v>
      </c>
      <c r="CF725" s="476" t="s">
        <v>1188</v>
      </c>
      <c r="CG725" s="476" t="s">
        <v>1188</v>
      </c>
      <c r="CH725" s="476" t="s">
        <v>1188</v>
      </c>
      <c r="CI725" s="476" t="s">
        <v>1188</v>
      </c>
      <c r="CJ725" s="476" t="s">
        <v>1188</v>
      </c>
      <c r="CK725" s="476" t="s">
        <v>1188</v>
      </c>
      <c r="CL725" s="476" t="s">
        <v>1188</v>
      </c>
      <c r="CM725" s="476" t="str">
        <f>IF(VLOOKUP(BS725,'Données par municipalité'!$B$6:$E$1113,4,FALSE)="","non","oui")</f>
        <v>oui</v>
      </c>
      <c r="CN725" s="410">
        <v>391.85158145468756</v>
      </c>
      <c r="CO725" s="410">
        <v>427.81988447021405</v>
      </c>
      <c r="CP725" s="410">
        <v>328.31513189875636</v>
      </c>
      <c r="CQ725" s="410">
        <v>302.78363189322096</v>
      </c>
      <c r="CR725" s="410">
        <v>289.04334525496552</v>
      </c>
      <c r="CS725" s="410">
        <v>346.50901544144244</v>
      </c>
      <c r="CT725" s="410">
        <v>330.05584458975704</v>
      </c>
      <c r="CU725" s="410">
        <v>379</v>
      </c>
      <c r="CV725" s="410">
        <f>IF(VLOOKUP(BS725,'Données par municipalité'!$B$6:$F$1113,4,FALSE)="","",VLOOKUP(BS725,'Données par municipalité'!$B$6:$F$1113,4,FALSE))</f>
        <v>422</v>
      </c>
      <c r="CW725" s="476" t="s">
        <v>4723</v>
      </c>
      <c r="CX725" s="483">
        <v>1</v>
      </c>
      <c r="CY725" s="483">
        <v>0</v>
      </c>
      <c r="CZ725" s="483">
        <v>1</v>
      </c>
      <c r="DA725" s="483">
        <v>1</v>
      </c>
      <c r="DB725" s="483">
        <v>1</v>
      </c>
      <c r="DC725" s="483">
        <v>1</v>
      </c>
      <c r="DD725" s="483">
        <v>3.70919881305638E-3</v>
      </c>
      <c r="DE725" s="483">
        <f>IFERROR(SUM(VLOOKUP($BS725,'État &amp; Plan d''action'!$B$6:$Z$1113,18,FALSE),VLOOKUP($BS725,'État &amp; Plan d''action'!$B$6:$Z$1113,20,FALSE))/(VLOOKUP($BS725,'Données par municipalité'!$B$4:$L$1113,11,FALSE)),"")</f>
        <v>0</v>
      </c>
      <c r="DF725" s="483">
        <f>IFERROR(SUM(VLOOKUP($BS725,'État &amp; Plan d''action'!$B$6:$Z$1113,19,FALSE),VLOOKUP($BS725,'État &amp; Plan d''action'!$B$6:$Z$1113,21,FALSE))/(VLOOKUP($BS725,'Données par municipalité'!$B$4:$L$1113,11,FALSE)),"")</f>
        <v>1</v>
      </c>
      <c r="DG725" s="476" t="s">
        <v>4723</v>
      </c>
      <c r="DH725" s="484">
        <v>0</v>
      </c>
      <c r="DI725" s="484">
        <v>1</v>
      </c>
      <c r="DJ725" s="484">
        <v>0</v>
      </c>
      <c r="DK725" s="484">
        <v>1</v>
      </c>
      <c r="DL725" s="484">
        <v>1</v>
      </c>
      <c r="DM725" s="484">
        <v>0</v>
      </c>
      <c r="DN725" s="484">
        <v>2</v>
      </c>
      <c r="DO725" s="484">
        <v>0</v>
      </c>
      <c r="DP725" s="484">
        <v>0</v>
      </c>
      <c r="DQ725" s="484">
        <f>IF(VLOOKUP($BS725,'État &amp; Plan d''action'!$B$6:$AJ$1113,28,FALSE)="","",VLOOKUP($BS725,'État &amp; Plan d''action'!$B$6:$AJ$1113,28,FALSE))</f>
        <v>0</v>
      </c>
      <c r="DR725" s="70">
        <f>IF(VLOOKUP($BS725,'État &amp; Plan d''action'!$B$6:$AJ$1113,29,FALSE)="","",VLOOKUP($BS725,'État &amp; Plan d''action'!$B$6:$AJ$1113,29,FALSE))</f>
        <v>0</v>
      </c>
      <c r="DS725" s="70">
        <f>IF(VLOOKUP($BS725,'État &amp; Plan d''action'!$B$6:$AJ$1113,30,FALSE)="","",VLOOKUP($BS725,'État &amp; Plan d''action'!$B$6:$AJ$1113,30,FALSE))</f>
        <v>0</v>
      </c>
      <c r="DT725" s="70">
        <v>355</v>
      </c>
      <c r="DU725" s="485">
        <v>0.86279691345315634</v>
      </c>
      <c r="DV725" s="485">
        <v>6.6669157964710468</v>
      </c>
      <c r="DW725" s="70">
        <v>3</v>
      </c>
      <c r="DX725" s="70">
        <v>0</v>
      </c>
      <c r="DY725" s="70">
        <v>0</v>
      </c>
      <c r="DZ725" s="70">
        <f>VLOOKUP($BS725,'État &amp; Plan d''action'!$B$6:$AH$1113,31,FALSE)</f>
        <v>0</v>
      </c>
      <c r="EA725" s="70">
        <f>VLOOKUP($BS725,'État &amp; Plan d''action'!$B$6:$AH$1113,32,FALSE)</f>
        <v>0</v>
      </c>
      <c r="EB725" s="70">
        <f>VLOOKUP($BS725,'État &amp; Plan d''action'!$B$6:$AH$1113,33,FALSE)</f>
        <v>0</v>
      </c>
      <c r="EC725" s="70">
        <v>0</v>
      </c>
      <c r="ED725" s="70">
        <v>1.4999999999999999E-2</v>
      </c>
      <c r="EE725" s="70">
        <v>0</v>
      </c>
      <c r="EF725" s="70">
        <v>0</v>
      </c>
      <c r="EG725" s="70">
        <v>0</v>
      </c>
      <c r="EH725" s="72">
        <v>61.540540540540547</v>
      </c>
      <c r="EI725" s="72">
        <v>701</v>
      </c>
    </row>
    <row r="726" spans="71:139" x14ac:dyDescent="0.35">
      <c r="BS726" s="486">
        <v>50095</v>
      </c>
      <c r="BT726" s="479" t="s">
        <v>494</v>
      </c>
      <c r="BU726" s="479">
        <v>17</v>
      </c>
      <c r="BV726" s="476" t="s">
        <v>1187</v>
      </c>
      <c r="BW726" s="476" t="s">
        <v>1187</v>
      </c>
      <c r="BX726" s="476" t="s">
        <v>1187</v>
      </c>
      <c r="BY726" s="476" t="s">
        <v>1187</v>
      </c>
      <c r="BZ726" s="476" t="s">
        <v>1187</v>
      </c>
      <c r="CA726" s="476" t="s">
        <v>1187</v>
      </c>
      <c r="CB726" s="476" t="s">
        <v>1187</v>
      </c>
      <c r="CC726" s="476" t="s">
        <v>1187</v>
      </c>
      <c r="CD726" s="476" t="s">
        <v>1187</v>
      </c>
      <c r="CE726" s="476" t="s">
        <v>1188</v>
      </c>
      <c r="CF726" s="476" t="s">
        <v>1188</v>
      </c>
      <c r="CG726" s="476" t="s">
        <v>1188</v>
      </c>
      <c r="CH726" s="476" t="s">
        <v>1188</v>
      </c>
      <c r="CI726" s="476" t="s">
        <v>1188</v>
      </c>
      <c r="CJ726" s="476" t="s">
        <v>1188</v>
      </c>
      <c r="CK726" s="476" t="s">
        <v>1188</v>
      </c>
      <c r="CL726" s="476" t="s">
        <v>1188</v>
      </c>
      <c r="CM726" s="476" t="str">
        <f>IF(VLOOKUP(BS726,'Données par municipalité'!$B$6:$E$1113,4,FALSE)="","non","oui")</f>
        <v>non</v>
      </c>
      <c r="CN726" s="410">
        <v>745.97503290853604</v>
      </c>
      <c r="CO726" s="410">
        <v>668.92523263875432</v>
      </c>
      <c r="CP726" s="410">
        <v>575.29173008625048</v>
      </c>
      <c r="CQ726" s="410">
        <v>636.44118062420557</v>
      </c>
      <c r="CR726" s="410">
        <v>713.343657771214</v>
      </c>
      <c r="CS726" s="410">
        <v>802.34927886768799</v>
      </c>
      <c r="CT726" s="410">
        <v>647.1775726969413</v>
      </c>
      <c r="CU726" s="410">
        <v>705</v>
      </c>
      <c r="CV726" s="410" t="str">
        <f>IF(VLOOKUP(BS726,'Données par municipalité'!$B$6:$F$1113,4,FALSE)="","",VLOOKUP(BS726,'Données par municipalité'!$B$6:$F$1113,4,FALSE))</f>
        <v/>
      </c>
      <c r="CW726" s="476" t="s">
        <v>4723</v>
      </c>
      <c r="CX726" s="483">
        <v>1</v>
      </c>
      <c r="CY726" s="483">
        <v>0</v>
      </c>
      <c r="CZ726" s="483">
        <v>0</v>
      </c>
      <c r="DA726" s="483">
        <v>0</v>
      </c>
      <c r="DB726" s="483">
        <v>1</v>
      </c>
      <c r="DC726" s="483">
        <v>1</v>
      </c>
      <c r="DD726" s="483">
        <v>0</v>
      </c>
      <c r="DE726" s="483" t="str">
        <f>IFERROR(SUM(VLOOKUP($BS726,'État &amp; Plan d''action'!$B$6:$Z$1113,18,FALSE),VLOOKUP($BS726,'État &amp; Plan d''action'!$B$6:$Z$1113,20,FALSE))/(VLOOKUP($BS726,'Données par municipalité'!$B$4:$L$1113,11,FALSE)),"")</f>
        <v/>
      </c>
      <c r="DF726" s="483" t="str">
        <f>IFERROR(SUM(VLOOKUP($BS726,'État &amp; Plan d''action'!$B$6:$Z$1113,19,FALSE),VLOOKUP($BS726,'État &amp; Plan d''action'!$B$6:$Z$1113,21,FALSE))/(VLOOKUP($BS726,'Données par municipalité'!$B$4:$L$1113,11,FALSE)),"")</f>
        <v/>
      </c>
      <c r="DG726" s="476" t="s">
        <v>4723</v>
      </c>
      <c r="DH726" s="484">
        <v>0</v>
      </c>
      <c r="DI726" s="484">
        <v>0</v>
      </c>
      <c r="DJ726" s="484">
        <v>0</v>
      </c>
      <c r="DK726" s="484">
        <v>0</v>
      </c>
      <c r="DL726" s="484">
        <v>0</v>
      </c>
      <c r="DM726" s="484">
        <v>1</v>
      </c>
      <c r="DN726" s="484">
        <v>0</v>
      </c>
      <c r="DO726" s="484">
        <v>0</v>
      </c>
      <c r="DP726" s="484">
        <v>0</v>
      </c>
      <c r="DQ726" s="484" t="str">
        <f>IF(VLOOKUP($BS726,'État &amp; Plan d''action'!$B$6:$AJ$1113,28,FALSE)="","",VLOOKUP($BS726,'État &amp; Plan d''action'!$B$6:$AJ$1113,28,FALSE))</f>
        <v/>
      </c>
      <c r="DR726" s="70" t="str">
        <f>IF(VLOOKUP($BS726,'État &amp; Plan d''action'!$B$6:$AJ$1113,29,FALSE)="","",VLOOKUP($BS726,'État &amp; Plan d''action'!$B$6:$AJ$1113,29,FALSE))</f>
        <v/>
      </c>
      <c r="DS726" s="70" t="str">
        <f>IF(VLOOKUP($BS726,'État &amp; Plan d''action'!$B$6:$AJ$1113,30,FALSE)="","",VLOOKUP($BS726,'État &amp; Plan d''action'!$B$6:$AJ$1113,30,FALSE))</f>
        <v/>
      </c>
      <c r="DT726" s="70">
        <v>130</v>
      </c>
      <c r="DU726" s="485">
        <v>0.62407035182609583</v>
      </c>
      <c r="DV726" s="485" t="s">
        <v>1124</v>
      </c>
      <c r="DW726" s="70">
        <v>0</v>
      </c>
      <c r="DX726" s="70">
        <v>0</v>
      </c>
      <c r="DY726" s="70">
        <v>0</v>
      </c>
      <c r="DZ726" s="70" t="str">
        <f>VLOOKUP($BS726,'État &amp; Plan d''action'!$B$6:$AH$1113,31,FALSE)</f>
        <v/>
      </c>
      <c r="EA726" s="70" t="str">
        <f>VLOOKUP($BS726,'État &amp; Plan d''action'!$B$6:$AH$1113,32,FALSE)</f>
        <v/>
      </c>
      <c r="EB726" s="70" t="str">
        <f>VLOOKUP($BS726,'État &amp; Plan d''action'!$B$6:$AH$1113,33,FALSE)</f>
        <v/>
      </c>
      <c r="EC726" s="70">
        <v>17.338999999999999</v>
      </c>
      <c r="ED726" s="70">
        <v>0</v>
      </c>
      <c r="EE726" s="70">
        <v>0</v>
      </c>
      <c r="EF726" s="70">
        <v>0</v>
      </c>
      <c r="EG726" s="70">
        <v>0</v>
      </c>
      <c r="EH726" s="72">
        <v>60.84230364742119</v>
      </c>
      <c r="EI726" s="72">
        <v>288</v>
      </c>
    </row>
    <row r="727" spans="71:139" x14ac:dyDescent="0.35">
      <c r="BS727" s="486">
        <v>9092</v>
      </c>
      <c r="BT727" s="479" t="s">
        <v>1112</v>
      </c>
      <c r="BU727" s="479">
        <v>1</v>
      </c>
      <c r="BV727" s="476" t="s">
        <v>1187</v>
      </c>
      <c r="BW727" s="476" t="s">
        <v>1187</v>
      </c>
      <c r="BX727" s="476" t="s">
        <v>1187</v>
      </c>
      <c r="BY727" s="476" t="s">
        <v>1187</v>
      </c>
      <c r="BZ727" s="476" t="s">
        <v>1187</v>
      </c>
      <c r="CA727" s="476" t="s">
        <v>1187</v>
      </c>
      <c r="CB727" s="476" t="s">
        <v>1187</v>
      </c>
      <c r="CC727" s="476" t="s">
        <v>1187</v>
      </c>
      <c r="CD727" s="476" t="s">
        <v>1187</v>
      </c>
      <c r="CE727" s="476" t="s">
        <v>1188</v>
      </c>
      <c r="CF727" s="476" t="s">
        <v>1188</v>
      </c>
      <c r="CG727" s="476" t="s">
        <v>1188</v>
      </c>
      <c r="CH727" s="476" t="s">
        <v>1188</v>
      </c>
      <c r="CI727" s="476" t="s">
        <v>1188</v>
      </c>
      <c r="CJ727" s="476" t="s">
        <v>1188</v>
      </c>
      <c r="CK727" s="476" t="s">
        <v>1188</v>
      </c>
      <c r="CL727" s="476" t="s">
        <v>1188</v>
      </c>
      <c r="CM727" s="476" t="str">
        <f>IF(VLOOKUP(BS727,'Données par municipalité'!$B$6:$E$1113,4,FALSE)="","non","oui")</f>
        <v>oui</v>
      </c>
      <c r="CN727" s="410">
        <v>503.78108295720762</v>
      </c>
      <c r="CO727" s="410">
        <v>525.7148396699298</v>
      </c>
      <c r="CP727" s="410">
        <v>503.70864158679558</v>
      </c>
      <c r="CQ727" s="410">
        <v>416.94158980131755</v>
      </c>
      <c r="CR727" s="410">
        <v>428.55894859333733</v>
      </c>
      <c r="CS727" s="410">
        <v>390.80221701045042</v>
      </c>
      <c r="CT727" s="410">
        <v>339.83531753726038</v>
      </c>
      <c r="CU727" s="410">
        <v>313</v>
      </c>
      <c r="CV727" s="410">
        <f>IF(VLOOKUP(BS727,'Données par municipalité'!$B$6:$F$1113,4,FALSE)="","",VLOOKUP(BS727,'Données par municipalité'!$B$6:$F$1113,4,FALSE))</f>
        <v>306</v>
      </c>
      <c r="CW727" s="476" t="s">
        <v>4723</v>
      </c>
      <c r="CX727" s="483">
        <v>1</v>
      </c>
      <c r="CY727" s="483">
        <v>1</v>
      </c>
      <c r="CZ727" s="483">
        <v>1</v>
      </c>
      <c r="DA727" s="483">
        <v>1</v>
      </c>
      <c r="DB727" s="483">
        <v>1</v>
      </c>
      <c r="DC727" s="483">
        <v>1</v>
      </c>
      <c r="DD727" s="483" t="s">
        <v>1124</v>
      </c>
      <c r="DE727" s="483">
        <f>IFERROR(SUM(VLOOKUP($BS727,'État &amp; Plan d''action'!$B$6:$Z$1113,18,FALSE),VLOOKUP($BS727,'État &amp; Plan d''action'!$B$6:$Z$1113,20,FALSE))/(VLOOKUP($BS727,'Données par municipalité'!$B$4:$L$1113,11,FALSE)),"")</f>
        <v>0</v>
      </c>
      <c r="DF727" s="483">
        <f>IFERROR(SUM(VLOOKUP($BS727,'État &amp; Plan d''action'!$B$6:$Z$1113,19,FALSE),VLOOKUP($BS727,'État &amp; Plan d''action'!$B$6:$Z$1113,21,FALSE))/(VLOOKUP($BS727,'Données par municipalité'!$B$4:$L$1113,11,FALSE)),"")</f>
        <v>0.66365621278285036</v>
      </c>
      <c r="DG727" s="476" t="s">
        <v>4723</v>
      </c>
      <c r="DH727" s="484">
        <v>3</v>
      </c>
      <c r="DI727" s="484">
        <v>0</v>
      </c>
      <c r="DJ727" s="484">
        <v>1</v>
      </c>
      <c r="DK727" s="484">
        <v>2</v>
      </c>
      <c r="DL727" s="484">
        <v>5</v>
      </c>
      <c r="DM727" s="484">
        <v>7</v>
      </c>
      <c r="DN727" s="484">
        <v>3</v>
      </c>
      <c r="DO727" s="484">
        <v>11</v>
      </c>
      <c r="DP727" s="484">
        <v>3</v>
      </c>
      <c r="DQ727" s="484">
        <f>IF(VLOOKUP($BS727,'État &amp; Plan d''action'!$B$6:$AJ$1113,28,FALSE)="","",VLOOKUP($BS727,'État &amp; Plan d''action'!$B$6:$AJ$1113,28,FALSE))</f>
        <v>0</v>
      </c>
      <c r="DR727" s="70">
        <f>IF(VLOOKUP($BS727,'État &amp; Plan d''action'!$B$6:$AJ$1113,29,FALSE)="","",VLOOKUP($BS727,'État &amp; Plan d''action'!$B$6:$AJ$1113,29,FALSE))</f>
        <v>0</v>
      </c>
      <c r="DS727" s="70">
        <f>IF(VLOOKUP($BS727,'État &amp; Plan d''action'!$B$6:$AJ$1113,30,FALSE)="","",VLOOKUP($BS727,'État &amp; Plan d''action'!$B$6:$AJ$1113,30,FALSE))</f>
        <v>3</v>
      </c>
      <c r="DT727" s="70">
        <v>181</v>
      </c>
      <c r="DU727" s="485">
        <v>1.6071840249129148</v>
      </c>
      <c r="DV727" s="485">
        <v>1.1284585308970216</v>
      </c>
      <c r="DW727" s="70">
        <v>1</v>
      </c>
      <c r="DX727" s="70">
        <v>1</v>
      </c>
      <c r="DY727" s="70">
        <v>1</v>
      </c>
      <c r="DZ727" s="70">
        <f>VLOOKUP($BS727,'État &amp; Plan d''action'!$B$6:$AH$1113,31,FALSE)</f>
        <v>0</v>
      </c>
      <c r="EA727" s="70">
        <f>VLOOKUP($BS727,'État &amp; Plan d''action'!$B$6:$AH$1113,32,FALSE)</f>
        <v>0</v>
      </c>
      <c r="EB727" s="70">
        <f>VLOOKUP($BS727,'État &amp; Plan d''action'!$B$6:$AH$1113,33,FALSE)</f>
        <v>4</v>
      </c>
      <c r="EC727" s="70">
        <v>25.19</v>
      </c>
      <c r="ED727" s="70">
        <v>50.38</v>
      </c>
      <c r="EE727" s="70">
        <v>0</v>
      </c>
      <c r="EF727" s="70">
        <v>0</v>
      </c>
      <c r="EG727" s="70">
        <v>0</v>
      </c>
      <c r="EH727" s="72">
        <v>41</v>
      </c>
      <c r="EI727" s="72">
        <v>2812</v>
      </c>
    </row>
    <row r="728" spans="71:139" x14ac:dyDescent="0.35">
      <c r="BS728" s="486">
        <v>18020</v>
      </c>
      <c r="BT728" s="479" t="s">
        <v>107</v>
      </c>
      <c r="BU728" s="479">
        <v>12</v>
      </c>
      <c r="BV728" s="476" t="s">
        <v>1188</v>
      </c>
      <c r="BW728" s="476" t="s">
        <v>1188</v>
      </c>
      <c r="BX728" s="476" t="s">
        <v>1188</v>
      </c>
      <c r="BY728" s="476" t="s">
        <v>1188</v>
      </c>
      <c r="BZ728" s="476" t="s">
        <v>1188</v>
      </c>
      <c r="CA728" s="476" t="s">
        <v>1188</v>
      </c>
      <c r="CB728" s="476" t="s">
        <v>1188</v>
      </c>
      <c r="CC728" s="476" t="s">
        <v>1188</v>
      </c>
      <c r="CD728" s="476" t="s">
        <v>1188</v>
      </c>
      <c r="CE728" s="476" t="s">
        <v>1187</v>
      </c>
      <c r="CF728" s="476" t="s">
        <v>1187</v>
      </c>
      <c r="CG728" s="476" t="s">
        <v>1187</v>
      </c>
      <c r="CH728" s="476" t="s">
        <v>1187</v>
      </c>
      <c r="CI728" s="476" t="s">
        <v>1187</v>
      </c>
      <c r="CJ728" s="476" t="s">
        <v>1187</v>
      </c>
      <c r="CK728" s="476" t="s">
        <v>1187</v>
      </c>
      <c r="CL728" s="476" t="s">
        <v>1187</v>
      </c>
      <c r="CM728" s="476" t="str">
        <f>IF(VLOOKUP(BS728,'Données par municipalité'!$B$6:$E$1113,4,FALSE)="","non","oui")</f>
        <v>non</v>
      </c>
      <c r="CN728" s="410" t="s">
        <v>1124</v>
      </c>
      <c r="CO728" s="410" t="s">
        <v>1124</v>
      </c>
      <c r="CP728" s="410"/>
      <c r="CQ728" s="410"/>
      <c r="CR728" s="410"/>
      <c r="CS728" s="410" t="s">
        <v>1124</v>
      </c>
      <c r="CT728" s="410"/>
      <c r="CU728" s="410" t="s">
        <v>1124</v>
      </c>
      <c r="CV728" s="410" t="str">
        <f>IF(VLOOKUP(BS728,'Données par municipalité'!$B$6:$F$1113,4,FALSE)="","",VLOOKUP(BS728,'Données par municipalité'!$B$6:$F$1113,4,FALSE))</f>
        <v/>
      </c>
      <c r="CW728" s="476" t="s">
        <v>4723</v>
      </c>
      <c r="CX728" s="483" t="s">
        <v>1124</v>
      </c>
      <c r="CY728" s="483" t="s">
        <v>1124</v>
      </c>
      <c r="CZ728" s="483" t="s">
        <v>1124</v>
      </c>
      <c r="DA728" s="483" t="s">
        <v>1124</v>
      </c>
      <c r="DB728" s="483" t="s">
        <v>1124</v>
      </c>
      <c r="DC728" s="483" t="s">
        <v>1124</v>
      </c>
      <c r="DD728" s="483" t="s">
        <v>1124</v>
      </c>
      <c r="DE728" s="483" t="str">
        <f>IFERROR(SUM(VLOOKUP($BS728,'État &amp; Plan d''action'!$B$6:$Z$1113,18,FALSE),VLOOKUP($BS728,'État &amp; Plan d''action'!$B$6:$Z$1113,20,FALSE))/(VLOOKUP($BS728,'Données par municipalité'!$B$4:$L$1113,11,FALSE)),"")</f>
        <v/>
      </c>
      <c r="DF728" s="483" t="str">
        <f>IFERROR(SUM(VLOOKUP($BS728,'État &amp; Plan d''action'!$B$6:$Z$1113,19,FALSE),VLOOKUP($BS728,'État &amp; Plan d''action'!$B$6:$Z$1113,21,FALSE))/(VLOOKUP($BS728,'Données par municipalité'!$B$4:$L$1113,11,FALSE)),"")</f>
        <v/>
      </c>
      <c r="DG728" s="476" t="s">
        <v>4723</v>
      </c>
      <c r="DH728" s="484" t="s">
        <v>1124</v>
      </c>
      <c r="DI728" s="484" t="s">
        <v>1124</v>
      </c>
      <c r="DJ728" s="484">
        <v>0</v>
      </c>
      <c r="DK728" s="484">
        <v>0</v>
      </c>
      <c r="DL728" s="484" t="s">
        <v>1124</v>
      </c>
      <c r="DM728" s="484" t="s">
        <v>1124</v>
      </c>
      <c r="DN728" s="484" t="s">
        <v>1124</v>
      </c>
      <c r="DO728" s="484" t="s">
        <v>1124</v>
      </c>
      <c r="DP728" s="484" t="s">
        <v>1124</v>
      </c>
      <c r="DQ728" s="484" t="str">
        <f>IF(VLOOKUP($BS728,'État &amp; Plan d''action'!$B$6:$AJ$1113,28,FALSE)="","",VLOOKUP($BS728,'État &amp; Plan d''action'!$B$6:$AJ$1113,28,FALSE))</f>
        <v/>
      </c>
      <c r="DR728" s="70" t="str">
        <f>IF(VLOOKUP($BS728,'État &amp; Plan d''action'!$B$6:$AJ$1113,29,FALSE)="","",VLOOKUP($BS728,'État &amp; Plan d''action'!$B$6:$AJ$1113,29,FALSE))</f>
        <v/>
      </c>
      <c r="DS728" s="70" t="str">
        <f>IF(VLOOKUP($BS728,'État &amp; Plan d''action'!$B$6:$AJ$1113,30,FALSE)="","",VLOOKUP($BS728,'État &amp; Plan d''action'!$B$6:$AJ$1113,30,FALSE))</f>
        <v/>
      </c>
      <c r="DT728" s="70" t="s">
        <v>1124</v>
      </c>
      <c r="DU728" s="485" t="s">
        <v>1124</v>
      </c>
      <c r="DV728" s="485" t="s">
        <v>1124</v>
      </c>
      <c r="DW728" s="70" t="s">
        <v>1124</v>
      </c>
      <c r="DX728" s="70" t="s">
        <v>1124</v>
      </c>
      <c r="DY728" s="70" t="s">
        <v>1124</v>
      </c>
      <c r="DZ728" s="70" t="str">
        <f>VLOOKUP($BS728,'État &amp; Plan d''action'!$B$6:$AH$1113,31,FALSE)</f>
        <v/>
      </c>
      <c r="EA728" s="70" t="str">
        <f>VLOOKUP($BS728,'État &amp; Plan d''action'!$B$6:$AH$1113,32,FALSE)</f>
        <v/>
      </c>
      <c r="EB728" s="70" t="str">
        <f>VLOOKUP($BS728,'État &amp; Plan d''action'!$B$6:$AH$1113,33,FALSE)</f>
        <v/>
      </c>
      <c r="EC728" s="70" t="s">
        <v>1124</v>
      </c>
      <c r="ED728" s="70" t="s">
        <v>1124</v>
      </c>
      <c r="EE728" s="70" t="s">
        <v>1124</v>
      </c>
      <c r="EF728" s="70" t="s">
        <v>1124</v>
      </c>
      <c r="EG728" s="70" t="s">
        <v>1124</v>
      </c>
      <c r="EH728" s="72"/>
      <c r="EI728" s="72">
        <v>272</v>
      </c>
    </row>
    <row r="729" spans="71:139" x14ac:dyDescent="0.35">
      <c r="BS729" s="486">
        <v>78020</v>
      </c>
      <c r="BT729" s="479" t="s">
        <v>769</v>
      </c>
      <c r="BU729" s="479">
        <v>15</v>
      </c>
      <c r="BV729" s="476" t="s">
        <v>1187</v>
      </c>
      <c r="BW729" s="476" t="s">
        <v>1187</v>
      </c>
      <c r="BX729" s="476" t="s">
        <v>1187</v>
      </c>
      <c r="BY729" s="476" t="s">
        <v>1187</v>
      </c>
      <c r="BZ729" s="476" t="s">
        <v>1187</v>
      </c>
      <c r="CA729" s="476" t="s">
        <v>1187</v>
      </c>
      <c r="CB729" s="476" t="s">
        <v>1187</v>
      </c>
      <c r="CC729" s="476" t="s">
        <v>1187</v>
      </c>
      <c r="CD729" s="476" t="s">
        <v>1187</v>
      </c>
      <c r="CE729" s="476" t="s">
        <v>1188</v>
      </c>
      <c r="CF729" s="476" t="s">
        <v>1188</v>
      </c>
      <c r="CG729" s="476" t="s">
        <v>1188</v>
      </c>
      <c r="CH729" s="476" t="s">
        <v>1188</v>
      </c>
      <c r="CI729" s="476" t="s">
        <v>1188</v>
      </c>
      <c r="CJ729" s="476" t="s">
        <v>1188</v>
      </c>
      <c r="CK729" s="476" t="s">
        <v>1188</v>
      </c>
      <c r="CL729" s="476" t="s">
        <v>1187</v>
      </c>
      <c r="CM729" s="476" t="str">
        <f>IF(VLOOKUP(BS729,'Données par municipalité'!$B$6:$E$1113,4,FALSE)="","non","oui")</f>
        <v>oui</v>
      </c>
      <c r="CN729" s="410">
        <v>696.9369600132228</v>
      </c>
      <c r="CO729" s="410">
        <v>630.60996609525762</v>
      </c>
      <c r="CP729" s="410">
        <v>637.43402732048935</v>
      </c>
      <c r="CQ729" s="410">
        <v>700.30222994037422</v>
      </c>
      <c r="CR729" s="410">
        <v>725.74341470008233</v>
      </c>
      <c r="CS729" s="410">
        <v>424.50259175248885</v>
      </c>
      <c r="CT729" s="410">
        <v>408.03914586713495</v>
      </c>
      <c r="CU729" s="410" t="s">
        <v>1124</v>
      </c>
      <c r="CV729" s="410">
        <f>IF(VLOOKUP(BS729,'Données par municipalité'!$B$6:$F$1113,4,FALSE)="","",VLOOKUP(BS729,'Données par municipalité'!$B$6:$F$1113,4,FALSE))</f>
        <v>431</v>
      </c>
      <c r="CW729" s="476" t="s">
        <v>4723</v>
      </c>
      <c r="CX729" s="483">
        <v>0</v>
      </c>
      <c r="CY729" s="483">
        <v>0</v>
      </c>
      <c r="CZ729" s="483">
        <v>0</v>
      </c>
      <c r="DA729" s="483">
        <v>0.5</v>
      </c>
      <c r="DB729" s="483">
        <v>0</v>
      </c>
      <c r="DC729" s="483">
        <v>1</v>
      </c>
      <c r="DD729" s="483" t="s">
        <v>1124</v>
      </c>
      <c r="DE729" s="483">
        <f>IFERROR(SUM(VLOOKUP($BS729,'État &amp; Plan d''action'!$B$6:$Z$1113,18,FALSE),VLOOKUP($BS729,'État &amp; Plan d''action'!$B$6:$Z$1113,20,FALSE))/(VLOOKUP($BS729,'Données par municipalité'!$B$4:$L$1113,11,FALSE)),"")</f>
        <v>0</v>
      </c>
      <c r="DF729" s="483">
        <f>IFERROR(SUM(VLOOKUP($BS729,'État &amp; Plan d''action'!$B$6:$Z$1113,19,FALSE),VLOOKUP($BS729,'État &amp; Plan d''action'!$B$6:$Z$1113,21,FALSE))/(VLOOKUP($BS729,'Données par municipalité'!$B$4:$L$1113,11,FALSE)),"")</f>
        <v>0.38121160276848903</v>
      </c>
      <c r="DG729" s="476" t="s">
        <v>4723</v>
      </c>
      <c r="DH729" s="484">
        <v>9</v>
      </c>
      <c r="DI729" s="484" t="s">
        <v>1124</v>
      </c>
      <c r="DJ729" s="484">
        <v>8</v>
      </c>
      <c r="DK729" s="484">
        <v>7</v>
      </c>
      <c r="DL729" s="484">
        <v>4</v>
      </c>
      <c r="DM729" s="484">
        <v>4</v>
      </c>
      <c r="DN729" s="484" t="s">
        <v>1124</v>
      </c>
      <c r="DO729" s="484" t="s">
        <v>1124</v>
      </c>
      <c r="DP729" s="484" t="s">
        <v>1124</v>
      </c>
      <c r="DQ729" s="484">
        <f>IF(VLOOKUP($BS729,'État &amp; Plan d''action'!$B$6:$AJ$1113,28,FALSE)="","",VLOOKUP($BS729,'État &amp; Plan d''action'!$B$6:$AJ$1113,28,FALSE))</f>
        <v>3</v>
      </c>
      <c r="DR729" s="70">
        <f>IF(VLOOKUP($BS729,'État &amp; Plan d''action'!$B$6:$AJ$1113,29,FALSE)="","",VLOOKUP($BS729,'État &amp; Plan d''action'!$B$6:$AJ$1113,29,FALSE))</f>
        <v>4</v>
      </c>
      <c r="DS729" s="70">
        <f>IF(VLOOKUP($BS729,'État &amp; Plan d''action'!$B$6:$AJ$1113,30,FALSE)="","",VLOOKUP($BS729,'État &amp; Plan d''action'!$B$6:$AJ$1113,30,FALSE))</f>
        <v>6</v>
      </c>
      <c r="DT729" s="70" t="s">
        <v>1124</v>
      </c>
      <c r="DU729" s="485" t="s">
        <v>1124</v>
      </c>
      <c r="DV729" s="485">
        <v>2.8243461093523163</v>
      </c>
      <c r="DW729" s="70" t="s">
        <v>1124</v>
      </c>
      <c r="DX729" s="70" t="s">
        <v>1124</v>
      </c>
      <c r="DY729" s="70" t="s">
        <v>1124</v>
      </c>
      <c r="DZ729" s="70">
        <f>VLOOKUP($BS729,'État &amp; Plan d''action'!$B$6:$AH$1113,31,FALSE)</f>
        <v>1</v>
      </c>
      <c r="EA729" s="70">
        <f>VLOOKUP($BS729,'État &amp; Plan d''action'!$B$6:$AH$1113,32,FALSE)</f>
        <v>30</v>
      </c>
      <c r="EB729" s="70">
        <f>VLOOKUP($BS729,'État &amp; Plan d''action'!$B$6:$AH$1113,33,FALSE)</f>
        <v>30</v>
      </c>
      <c r="EC729" s="70" t="s">
        <v>1124</v>
      </c>
      <c r="ED729" s="70" t="s">
        <v>1124</v>
      </c>
      <c r="EE729" s="70" t="s">
        <v>1124</v>
      </c>
      <c r="EF729" s="70" t="s">
        <v>1124</v>
      </c>
      <c r="EG729" s="70" t="s">
        <v>1124</v>
      </c>
      <c r="EH729" s="72"/>
      <c r="EI729" s="72">
        <v>1389</v>
      </c>
    </row>
    <row r="730" spans="71:139" x14ac:dyDescent="0.35">
      <c r="BS730" s="486">
        <v>5050</v>
      </c>
      <c r="BT730" s="479" t="s">
        <v>1051</v>
      </c>
      <c r="BU730" s="479">
        <v>11</v>
      </c>
      <c r="BV730" s="476" t="s">
        <v>1187</v>
      </c>
      <c r="BW730" s="476" t="s">
        <v>1187</v>
      </c>
      <c r="BX730" s="476" t="s">
        <v>1187</v>
      </c>
      <c r="BY730" s="476" t="s">
        <v>1187</v>
      </c>
      <c r="BZ730" s="476" t="s">
        <v>1187</v>
      </c>
      <c r="CA730" s="476" t="s">
        <v>1187</v>
      </c>
      <c r="CB730" s="476" t="s">
        <v>1187</v>
      </c>
      <c r="CC730" s="476" t="s">
        <v>1187</v>
      </c>
      <c r="CD730" s="476" t="s">
        <v>1187</v>
      </c>
      <c r="CE730" s="476" t="s">
        <v>1188</v>
      </c>
      <c r="CF730" s="476" t="s">
        <v>1188</v>
      </c>
      <c r="CG730" s="476" t="s">
        <v>1187</v>
      </c>
      <c r="CH730" s="476" t="s">
        <v>1188</v>
      </c>
      <c r="CI730" s="476" t="s">
        <v>1188</v>
      </c>
      <c r="CJ730" s="476" t="s">
        <v>1188</v>
      </c>
      <c r="CK730" s="476" t="s">
        <v>1188</v>
      </c>
      <c r="CL730" s="476" t="s">
        <v>1188</v>
      </c>
      <c r="CM730" s="476" t="str">
        <f>IF(VLOOKUP(BS730,'Données par municipalité'!$B$6:$E$1113,4,FALSE)="","non","oui")</f>
        <v>oui</v>
      </c>
      <c r="CN730" s="410">
        <v>601.05543182105839</v>
      </c>
      <c r="CO730" s="410">
        <v>500.9784620661016</v>
      </c>
      <c r="CP730" s="410"/>
      <c r="CQ730" s="410">
        <v>509.14609311986618</v>
      </c>
      <c r="CR730" s="410">
        <v>507.51515103851386</v>
      </c>
      <c r="CS730" s="410">
        <v>248.06842200226825</v>
      </c>
      <c r="CT730" s="410">
        <v>237.90970696562417</v>
      </c>
      <c r="CU730" s="410">
        <v>228</v>
      </c>
      <c r="CV730" s="410">
        <f>IF(VLOOKUP(BS730,'Données par municipalité'!$B$6:$F$1113,4,FALSE)="","",VLOOKUP(BS730,'Données par municipalité'!$B$6:$F$1113,4,FALSE))</f>
        <v>234</v>
      </c>
      <c r="CW730" s="476" t="s">
        <v>4723</v>
      </c>
      <c r="CX730" s="483">
        <v>0.15</v>
      </c>
      <c r="CY730" s="483" t="s">
        <v>1124</v>
      </c>
      <c r="CZ730" s="483">
        <v>0.85</v>
      </c>
      <c r="DA730" s="483">
        <v>0.85</v>
      </c>
      <c r="DB730" s="483">
        <v>0.85</v>
      </c>
      <c r="DC730" s="483">
        <v>0.85</v>
      </c>
      <c r="DD730" s="483" t="s">
        <v>1124</v>
      </c>
      <c r="DE730" s="483">
        <f>IFERROR(SUM(VLOOKUP($BS730,'État &amp; Plan d''action'!$B$6:$Z$1113,18,FALSE),VLOOKUP($BS730,'État &amp; Plan d''action'!$B$6:$Z$1113,20,FALSE))/(VLOOKUP($BS730,'Données par municipalité'!$B$4:$L$1113,11,FALSE)),"")</f>
        <v>0</v>
      </c>
      <c r="DF730" s="483">
        <f>IFERROR(SUM(VLOOKUP($BS730,'État &amp; Plan d''action'!$B$6:$Z$1113,19,FALSE),VLOOKUP($BS730,'État &amp; Plan d''action'!$B$6:$Z$1113,21,FALSE))/(VLOOKUP($BS730,'Données par municipalité'!$B$4:$L$1113,11,FALSE)),"")</f>
        <v>0</v>
      </c>
      <c r="DG730" s="476" t="s">
        <v>4723</v>
      </c>
      <c r="DH730" s="484">
        <v>3</v>
      </c>
      <c r="DI730" s="484" t="s">
        <v>1124</v>
      </c>
      <c r="DJ730" s="484">
        <v>3</v>
      </c>
      <c r="DK730" s="484">
        <v>2</v>
      </c>
      <c r="DL730" s="484">
        <v>0</v>
      </c>
      <c r="DM730" s="484">
        <v>0</v>
      </c>
      <c r="DN730" s="484">
        <v>0</v>
      </c>
      <c r="DO730" s="484">
        <v>0</v>
      </c>
      <c r="DP730" s="484">
        <v>0</v>
      </c>
      <c r="DQ730" s="484">
        <f>IF(VLOOKUP($BS730,'État &amp; Plan d''action'!$B$6:$AJ$1113,28,FALSE)="","",VLOOKUP($BS730,'État &amp; Plan d''action'!$B$6:$AJ$1113,28,FALSE))</f>
        <v>0</v>
      </c>
      <c r="DR730" s="70">
        <f>IF(VLOOKUP($BS730,'État &amp; Plan d''action'!$B$6:$AJ$1113,29,FALSE)="","",VLOOKUP($BS730,'État &amp; Plan d''action'!$B$6:$AJ$1113,29,FALSE))</f>
        <v>0</v>
      </c>
      <c r="DS730" s="70">
        <f>IF(VLOOKUP($BS730,'État &amp; Plan d''action'!$B$6:$AJ$1113,30,FALSE)="","",VLOOKUP($BS730,'État &amp; Plan d''action'!$B$6:$AJ$1113,30,FALSE))</f>
        <v>0</v>
      </c>
      <c r="DT730" s="70">
        <v>185</v>
      </c>
      <c r="DU730" s="485">
        <v>0.62323934883952825</v>
      </c>
      <c r="DV730" s="485">
        <v>0.26775752823127857</v>
      </c>
      <c r="DW730" s="70">
        <v>0</v>
      </c>
      <c r="DX730" s="70">
        <v>0</v>
      </c>
      <c r="DY730" s="70">
        <v>0</v>
      </c>
      <c r="DZ730" s="70">
        <f>VLOOKUP($BS730,'État &amp; Plan d''action'!$B$6:$AH$1113,31,FALSE)</f>
        <v>0</v>
      </c>
      <c r="EA730" s="70">
        <f>VLOOKUP($BS730,'État &amp; Plan d''action'!$B$6:$AH$1113,32,FALSE)</f>
        <v>0</v>
      </c>
      <c r="EB730" s="70">
        <f>VLOOKUP($BS730,'État &amp; Plan d''action'!$B$6:$AH$1113,33,FALSE)</f>
        <v>0</v>
      </c>
      <c r="EC730" s="70">
        <v>0</v>
      </c>
      <c r="ED730" s="70">
        <v>0</v>
      </c>
      <c r="EE730" s="70">
        <v>0</v>
      </c>
      <c r="EF730" s="70">
        <v>0</v>
      </c>
      <c r="EG730" s="70">
        <v>0</v>
      </c>
      <c r="EH730" s="72">
        <v>62</v>
      </c>
      <c r="EI730" s="72">
        <v>459</v>
      </c>
    </row>
    <row r="731" spans="71:139" x14ac:dyDescent="0.35">
      <c r="BS731" s="486">
        <v>26022</v>
      </c>
      <c r="BT731" s="479" t="s">
        <v>170</v>
      </c>
      <c r="BU731" s="479">
        <v>12</v>
      </c>
      <c r="BV731" s="476" t="s">
        <v>1187</v>
      </c>
      <c r="BW731" s="476" t="s">
        <v>1187</v>
      </c>
      <c r="BX731" s="476" t="s">
        <v>1187</v>
      </c>
      <c r="BY731" s="476" t="s">
        <v>1187</v>
      </c>
      <c r="BZ731" s="476" t="s">
        <v>1187</v>
      </c>
      <c r="CA731" s="476" t="s">
        <v>1187</v>
      </c>
      <c r="CB731" s="476" t="s">
        <v>1187</v>
      </c>
      <c r="CC731" s="476" t="s">
        <v>1187</v>
      </c>
      <c r="CD731" s="476" t="s">
        <v>1187</v>
      </c>
      <c r="CE731" s="476" t="s">
        <v>1188</v>
      </c>
      <c r="CF731" s="476" t="s">
        <v>1188</v>
      </c>
      <c r="CG731" s="476" t="s">
        <v>1187</v>
      </c>
      <c r="CH731" s="476" t="s">
        <v>1188</v>
      </c>
      <c r="CI731" s="476" t="s">
        <v>1188</v>
      </c>
      <c r="CJ731" s="476" t="s">
        <v>1188</v>
      </c>
      <c r="CK731" s="476" t="s">
        <v>1188</v>
      </c>
      <c r="CL731" s="476" t="s">
        <v>1188</v>
      </c>
      <c r="CM731" s="476" t="str">
        <f>IF(VLOOKUP(BS731,'Données par municipalité'!$B$6:$E$1113,4,FALSE)="","non","oui")</f>
        <v>oui</v>
      </c>
      <c r="CN731" s="410">
        <v>328.31200955948174</v>
      </c>
      <c r="CO731" s="410">
        <v>336.38209447154162</v>
      </c>
      <c r="CP731" s="410"/>
      <c r="CQ731" s="410">
        <v>283.1864751797242</v>
      </c>
      <c r="CR731" s="410">
        <v>266.35851006304057</v>
      </c>
      <c r="CS731" s="410">
        <v>261.76797869094645</v>
      </c>
      <c r="CT731" s="410">
        <v>200.60896965205097</v>
      </c>
      <c r="CU731" s="410">
        <v>239</v>
      </c>
      <c r="CV731" s="410">
        <f>IF(VLOOKUP(BS731,'Données par municipalité'!$B$6:$F$1113,4,FALSE)="","",VLOOKUP(BS731,'Données par municipalité'!$B$6:$F$1113,4,FALSE))</f>
        <v>275</v>
      </c>
      <c r="CW731" s="476" t="s">
        <v>4723</v>
      </c>
      <c r="CX731" s="483">
        <v>0.2</v>
      </c>
      <c r="CY731" s="483" t="s">
        <v>1124</v>
      </c>
      <c r="CZ731" s="483">
        <v>0.5</v>
      </c>
      <c r="DA731" s="483">
        <v>0.5</v>
      </c>
      <c r="DB731" s="483">
        <v>0.5</v>
      </c>
      <c r="DC731" s="483">
        <v>0.5</v>
      </c>
      <c r="DD731" s="483">
        <v>1.0686267821815949</v>
      </c>
      <c r="DE731" s="483">
        <f>IFERROR(SUM(VLOOKUP($BS731,'État &amp; Plan d''action'!$B$6:$Z$1113,18,FALSE),VLOOKUP($BS731,'État &amp; Plan d''action'!$B$6:$Z$1113,20,FALSE))/(VLOOKUP($BS731,'Données par municipalité'!$B$4:$L$1113,11,FALSE)),"")</f>
        <v>1.0656857593273779</v>
      </c>
      <c r="DF731" s="483">
        <f>IFERROR(SUM(VLOOKUP($BS731,'État &amp; Plan d''action'!$B$6:$Z$1113,19,FALSE),VLOOKUP($BS731,'État &amp; Plan d''action'!$B$6:$Z$1113,21,FALSE))/(VLOOKUP($BS731,'Données par municipalité'!$B$4:$L$1113,11,FALSE)),"")</f>
        <v>1.0656857593273779</v>
      </c>
      <c r="DG731" s="476" t="s">
        <v>4723</v>
      </c>
      <c r="DH731" s="484">
        <v>0</v>
      </c>
      <c r="DI731" s="484" t="s">
        <v>1124</v>
      </c>
      <c r="DJ731" s="484">
        <v>1</v>
      </c>
      <c r="DK731" s="484">
        <v>2</v>
      </c>
      <c r="DL731" s="484">
        <v>1</v>
      </c>
      <c r="DM731" s="484">
        <v>0</v>
      </c>
      <c r="DN731" s="484">
        <v>0</v>
      </c>
      <c r="DO731" s="484">
        <v>0</v>
      </c>
      <c r="DP731" s="484">
        <v>0</v>
      </c>
      <c r="DQ731" s="484">
        <f>IF(VLOOKUP($BS731,'État &amp; Plan d''action'!$B$6:$AJ$1113,28,FALSE)="","",VLOOKUP($BS731,'État &amp; Plan d''action'!$B$6:$AJ$1113,28,FALSE))</f>
        <v>3</v>
      </c>
      <c r="DR731" s="70">
        <f>IF(VLOOKUP($BS731,'État &amp; Plan d''action'!$B$6:$AJ$1113,29,FALSE)="","",VLOOKUP($BS731,'État &amp; Plan d''action'!$B$6:$AJ$1113,29,FALSE))</f>
        <v>2</v>
      </c>
      <c r="DS731" s="70">
        <f>IF(VLOOKUP($BS731,'État &amp; Plan d''action'!$B$6:$AJ$1113,30,FALSE)="","",VLOOKUP($BS731,'État &amp; Plan d''action'!$B$6:$AJ$1113,30,FALSE))</f>
        <v>2</v>
      </c>
      <c r="DT731" s="70">
        <v>154</v>
      </c>
      <c r="DU731" s="485">
        <v>2.9404887421624206</v>
      </c>
      <c r="DV731" s="485">
        <v>0.96972340243166755</v>
      </c>
      <c r="DW731" s="70">
        <v>0</v>
      </c>
      <c r="DX731" s="70">
        <v>0</v>
      </c>
      <c r="DY731" s="70">
        <v>0</v>
      </c>
      <c r="DZ731" s="70">
        <f>VLOOKUP($BS731,'État &amp; Plan d''action'!$B$6:$AH$1113,31,FALSE)</f>
        <v>1</v>
      </c>
      <c r="EA731" s="70">
        <f>VLOOKUP($BS731,'État &amp; Plan d''action'!$B$6:$AH$1113,32,FALSE)</f>
        <v>2</v>
      </c>
      <c r="EB731" s="70">
        <f>VLOOKUP($BS731,'État &amp; Plan d''action'!$B$6:$AH$1113,33,FALSE)</f>
        <v>10</v>
      </c>
      <c r="EC731" s="70">
        <v>0</v>
      </c>
      <c r="ED731" s="70">
        <v>14.664999999999999</v>
      </c>
      <c r="EE731" s="70">
        <v>1</v>
      </c>
      <c r="EF731" s="70">
        <v>0</v>
      </c>
      <c r="EG731" s="70">
        <v>0</v>
      </c>
      <c r="EH731" s="72">
        <v>61</v>
      </c>
      <c r="EI731" s="72">
        <v>2490</v>
      </c>
    </row>
    <row r="732" spans="71:139" x14ac:dyDescent="0.35">
      <c r="BS732" s="486">
        <v>13085</v>
      </c>
      <c r="BT732" s="479" t="s">
        <v>56</v>
      </c>
      <c r="BU732" s="479">
        <v>1</v>
      </c>
      <c r="BV732" s="476" t="s">
        <v>1188</v>
      </c>
      <c r="BW732" s="476" t="s">
        <v>1188</v>
      </c>
      <c r="BX732" s="476" t="s">
        <v>1188</v>
      </c>
      <c r="BY732" s="476" t="s">
        <v>1188</v>
      </c>
      <c r="BZ732" s="476" t="s">
        <v>1188</v>
      </c>
      <c r="CA732" s="476" t="s">
        <v>1188</v>
      </c>
      <c r="CB732" s="476" t="s">
        <v>1188</v>
      </c>
      <c r="CC732" s="476" t="s">
        <v>1188</v>
      </c>
      <c r="CD732" s="476" t="s">
        <v>1188</v>
      </c>
      <c r="CE732" s="476" t="s">
        <v>1187</v>
      </c>
      <c r="CF732" s="476" t="s">
        <v>1187</v>
      </c>
      <c r="CG732" s="476" t="s">
        <v>1187</v>
      </c>
      <c r="CH732" s="476" t="s">
        <v>1187</v>
      </c>
      <c r="CI732" s="476" t="s">
        <v>1187</v>
      </c>
      <c r="CJ732" s="476" t="s">
        <v>1187</v>
      </c>
      <c r="CK732" s="476" t="s">
        <v>1187</v>
      </c>
      <c r="CL732" s="476" t="s">
        <v>1187</v>
      </c>
      <c r="CM732" s="476" t="str">
        <f>IF(VLOOKUP(BS732,'Données par municipalité'!$B$6:$E$1113,4,FALSE)="","non","oui")</f>
        <v>non</v>
      </c>
      <c r="CN732" s="410" t="s">
        <v>1124</v>
      </c>
      <c r="CO732" s="410" t="s">
        <v>1124</v>
      </c>
      <c r="CP732" s="410"/>
      <c r="CQ732" s="410"/>
      <c r="CR732" s="410"/>
      <c r="CS732" s="410" t="s">
        <v>1124</v>
      </c>
      <c r="CT732" s="410"/>
      <c r="CU732" s="410" t="s">
        <v>1124</v>
      </c>
      <c r="CV732" s="410" t="str">
        <f>IF(VLOOKUP(BS732,'Données par municipalité'!$B$6:$F$1113,4,FALSE)="","",VLOOKUP(BS732,'Données par municipalité'!$B$6:$F$1113,4,FALSE))</f>
        <v/>
      </c>
      <c r="CW732" s="476" t="s">
        <v>4723</v>
      </c>
      <c r="CX732" s="483" t="s">
        <v>1124</v>
      </c>
      <c r="CY732" s="483" t="s">
        <v>1124</v>
      </c>
      <c r="CZ732" s="483" t="s">
        <v>1124</v>
      </c>
      <c r="DA732" s="483" t="s">
        <v>1124</v>
      </c>
      <c r="DB732" s="483" t="s">
        <v>1124</v>
      </c>
      <c r="DC732" s="483" t="s">
        <v>1124</v>
      </c>
      <c r="DD732" s="483" t="s">
        <v>1124</v>
      </c>
      <c r="DE732" s="483" t="str">
        <f>IFERROR(SUM(VLOOKUP($BS732,'État &amp; Plan d''action'!$B$6:$Z$1113,18,FALSE),VLOOKUP($BS732,'État &amp; Plan d''action'!$B$6:$Z$1113,20,FALSE))/(VLOOKUP($BS732,'Données par municipalité'!$B$4:$L$1113,11,FALSE)),"")</f>
        <v/>
      </c>
      <c r="DF732" s="483" t="str">
        <f>IFERROR(SUM(VLOOKUP($BS732,'État &amp; Plan d''action'!$B$6:$Z$1113,19,FALSE),VLOOKUP($BS732,'État &amp; Plan d''action'!$B$6:$Z$1113,21,FALSE))/(VLOOKUP($BS732,'Données par municipalité'!$B$4:$L$1113,11,FALSE)),"")</f>
        <v/>
      </c>
      <c r="DG732" s="476" t="s">
        <v>4723</v>
      </c>
      <c r="DH732" s="484" t="s">
        <v>1124</v>
      </c>
      <c r="DI732" s="484" t="s">
        <v>1124</v>
      </c>
      <c r="DJ732" s="484">
        <v>0</v>
      </c>
      <c r="DK732" s="484">
        <v>0</v>
      </c>
      <c r="DL732" s="484" t="s">
        <v>1124</v>
      </c>
      <c r="DM732" s="484" t="s">
        <v>1124</v>
      </c>
      <c r="DN732" s="484" t="s">
        <v>1124</v>
      </c>
      <c r="DO732" s="484" t="s">
        <v>1124</v>
      </c>
      <c r="DP732" s="484" t="s">
        <v>1124</v>
      </c>
      <c r="DQ732" s="484" t="str">
        <f>IF(VLOOKUP($BS732,'État &amp; Plan d''action'!$B$6:$AJ$1113,28,FALSE)="","",VLOOKUP($BS732,'État &amp; Plan d''action'!$B$6:$AJ$1113,28,FALSE))</f>
        <v/>
      </c>
      <c r="DR732" s="70" t="str">
        <f>IF(VLOOKUP($BS732,'État &amp; Plan d''action'!$B$6:$AJ$1113,29,FALSE)="","",VLOOKUP($BS732,'État &amp; Plan d''action'!$B$6:$AJ$1113,29,FALSE))</f>
        <v/>
      </c>
      <c r="DS732" s="70" t="str">
        <f>IF(VLOOKUP($BS732,'État &amp; Plan d''action'!$B$6:$AJ$1113,30,FALSE)="","",VLOOKUP($BS732,'État &amp; Plan d''action'!$B$6:$AJ$1113,30,FALSE))</f>
        <v/>
      </c>
      <c r="DT732" s="70" t="s">
        <v>1124</v>
      </c>
      <c r="DU732" s="485" t="s">
        <v>1124</v>
      </c>
      <c r="DV732" s="485" t="s">
        <v>1124</v>
      </c>
      <c r="DW732" s="70" t="s">
        <v>1124</v>
      </c>
      <c r="DX732" s="70" t="s">
        <v>1124</v>
      </c>
      <c r="DY732" s="70" t="s">
        <v>1124</v>
      </c>
      <c r="DZ732" s="70" t="str">
        <f>VLOOKUP($BS732,'État &amp; Plan d''action'!$B$6:$AH$1113,31,FALSE)</f>
        <v/>
      </c>
      <c r="EA732" s="70" t="str">
        <f>VLOOKUP($BS732,'État &amp; Plan d''action'!$B$6:$AH$1113,32,FALSE)</f>
        <v/>
      </c>
      <c r="EB732" s="70" t="str">
        <f>VLOOKUP($BS732,'État &amp; Plan d''action'!$B$6:$AH$1113,33,FALSE)</f>
        <v/>
      </c>
      <c r="EC732" s="70" t="s">
        <v>1124</v>
      </c>
      <c r="ED732" s="70" t="s">
        <v>1124</v>
      </c>
      <c r="EE732" s="70" t="s">
        <v>1124</v>
      </c>
      <c r="EF732" s="70" t="s">
        <v>1124</v>
      </c>
      <c r="EG732" s="70" t="s">
        <v>1124</v>
      </c>
      <c r="EH732" s="72"/>
      <c r="EI732" s="72">
        <v>333</v>
      </c>
    </row>
    <row r="733" spans="71:139" x14ac:dyDescent="0.35">
      <c r="BS733" s="486">
        <v>54025</v>
      </c>
      <c r="BT733" s="479" t="s">
        <v>544</v>
      </c>
      <c r="BU733" s="479">
        <v>16</v>
      </c>
      <c r="BV733" s="476" t="s">
        <v>1187</v>
      </c>
      <c r="BW733" s="476" t="s">
        <v>1187</v>
      </c>
      <c r="BX733" s="476" t="s">
        <v>1187</v>
      </c>
      <c r="BY733" s="476" t="s">
        <v>1187</v>
      </c>
      <c r="BZ733" s="476" t="s">
        <v>1187</v>
      </c>
      <c r="CA733" s="476" t="s">
        <v>1187</v>
      </c>
      <c r="CB733" s="476" t="s">
        <v>1187</v>
      </c>
      <c r="CC733" s="476" t="s">
        <v>1187</v>
      </c>
      <c r="CD733" s="476" t="s">
        <v>1187</v>
      </c>
      <c r="CE733" s="476" t="s">
        <v>1188</v>
      </c>
      <c r="CF733" s="476" t="s">
        <v>1188</v>
      </c>
      <c r="CG733" s="476" t="s">
        <v>1188</v>
      </c>
      <c r="CH733" s="476" t="s">
        <v>1188</v>
      </c>
      <c r="CI733" s="476" t="s">
        <v>1188</v>
      </c>
      <c r="CJ733" s="476" t="s">
        <v>1188</v>
      </c>
      <c r="CK733" s="476" t="s">
        <v>1188</v>
      </c>
      <c r="CL733" s="476" t="s">
        <v>1188</v>
      </c>
      <c r="CM733" s="476" t="str">
        <f>IF(VLOOKUP(BS733,'Données par municipalité'!$B$6:$E$1113,4,FALSE)="","non","oui")</f>
        <v>non</v>
      </c>
      <c r="CN733" s="410">
        <v>318.10362288865451</v>
      </c>
      <c r="CO733" s="410">
        <v>272.21232826077676</v>
      </c>
      <c r="CP733" s="410">
        <v>271.0031801353532</v>
      </c>
      <c r="CQ733" s="410">
        <v>284.33860048045909</v>
      </c>
      <c r="CR733" s="410">
        <v>280.69981431052992</v>
      </c>
      <c r="CS733" s="410">
        <v>285.78003184784637</v>
      </c>
      <c r="CT733" s="410">
        <v>297.21904874815431</v>
      </c>
      <c r="CU733" s="410">
        <v>291</v>
      </c>
      <c r="CV733" s="410" t="str">
        <f>IF(VLOOKUP(BS733,'Données par municipalité'!$B$6:$F$1113,4,FALSE)="","",VLOOKUP(BS733,'Données par municipalité'!$B$6:$F$1113,4,FALSE))</f>
        <v/>
      </c>
      <c r="CW733" s="476" t="s">
        <v>4723</v>
      </c>
      <c r="CX733" s="483">
        <v>0</v>
      </c>
      <c r="CY733" s="483">
        <v>0</v>
      </c>
      <c r="CZ733" s="483">
        <v>0.25</v>
      </c>
      <c r="DA733" s="483">
        <v>0.1</v>
      </c>
      <c r="DB733" s="483">
        <v>0.1</v>
      </c>
      <c r="DC733" s="483">
        <v>0</v>
      </c>
      <c r="DD733" s="483">
        <v>0</v>
      </c>
      <c r="DE733" s="483" t="str">
        <f>IFERROR(SUM(VLOOKUP($BS733,'État &amp; Plan d''action'!$B$6:$Z$1113,18,FALSE),VLOOKUP($BS733,'État &amp; Plan d''action'!$B$6:$Z$1113,20,FALSE))/(VLOOKUP($BS733,'Données par municipalité'!$B$4:$L$1113,11,FALSE)),"")</f>
        <v/>
      </c>
      <c r="DF733" s="483" t="str">
        <f>IFERROR(SUM(VLOOKUP($BS733,'État &amp; Plan d''action'!$B$6:$Z$1113,19,FALSE),VLOOKUP($BS733,'État &amp; Plan d''action'!$B$6:$Z$1113,21,FALSE))/(VLOOKUP($BS733,'Données par municipalité'!$B$4:$L$1113,11,FALSE)),"")</f>
        <v/>
      </c>
      <c r="DG733" s="476" t="s">
        <v>4723</v>
      </c>
      <c r="DH733" s="484">
        <v>0</v>
      </c>
      <c r="DI733" s="484">
        <v>0</v>
      </c>
      <c r="DJ733" s="484">
        <v>0</v>
      </c>
      <c r="DK733" s="484">
        <v>2</v>
      </c>
      <c r="DL733" s="484">
        <v>1</v>
      </c>
      <c r="DM733" s="484">
        <v>3</v>
      </c>
      <c r="DN733" s="484">
        <v>4</v>
      </c>
      <c r="DO733" s="484">
        <v>0</v>
      </c>
      <c r="DP733" s="484">
        <v>0</v>
      </c>
      <c r="DQ733" s="484" t="str">
        <f>IF(VLOOKUP($BS733,'État &amp; Plan d''action'!$B$6:$AJ$1113,28,FALSE)="","",VLOOKUP($BS733,'État &amp; Plan d''action'!$B$6:$AJ$1113,28,FALSE))</f>
        <v/>
      </c>
      <c r="DR733" s="70" t="str">
        <f>IF(VLOOKUP($BS733,'État &amp; Plan d''action'!$B$6:$AJ$1113,29,FALSE)="","",VLOOKUP($BS733,'État &amp; Plan d''action'!$B$6:$AJ$1113,29,FALSE))</f>
        <v/>
      </c>
      <c r="DS733" s="70" t="str">
        <f>IF(VLOOKUP($BS733,'État &amp; Plan d''action'!$B$6:$AJ$1113,30,FALSE)="","",VLOOKUP($BS733,'État &amp; Plan d''action'!$B$6:$AJ$1113,30,FALSE))</f>
        <v/>
      </c>
      <c r="DT733" s="70">
        <v>164</v>
      </c>
      <c r="DU733" s="485">
        <v>3.4818130016591362</v>
      </c>
      <c r="DV733" s="485" t="s">
        <v>1124</v>
      </c>
      <c r="DW733" s="70">
        <v>1</v>
      </c>
      <c r="DX733" s="70">
        <v>0</v>
      </c>
      <c r="DY733" s="70">
        <v>0</v>
      </c>
      <c r="DZ733" s="70" t="str">
        <f>VLOOKUP($BS733,'État &amp; Plan d''action'!$B$6:$AH$1113,31,FALSE)</f>
        <v/>
      </c>
      <c r="EA733" s="70" t="str">
        <f>VLOOKUP($BS733,'État &amp; Plan d''action'!$B$6:$AH$1113,32,FALSE)</f>
        <v/>
      </c>
      <c r="EB733" s="70" t="str">
        <f>VLOOKUP($BS733,'État &amp; Plan d''action'!$B$6:$AH$1113,33,FALSE)</f>
        <v/>
      </c>
      <c r="EC733" s="70">
        <v>0</v>
      </c>
      <c r="ED733" s="70">
        <v>0</v>
      </c>
      <c r="EE733" s="70">
        <v>0</v>
      </c>
      <c r="EF733" s="70">
        <v>0</v>
      </c>
      <c r="EG733" s="70">
        <v>0</v>
      </c>
      <c r="EH733" s="72">
        <v>72</v>
      </c>
      <c r="EI733" s="72">
        <v>2295</v>
      </c>
    </row>
    <row r="734" spans="71:139" x14ac:dyDescent="0.35">
      <c r="BS734" s="486">
        <v>4005</v>
      </c>
      <c r="BT734" s="479" t="s">
        <v>1036</v>
      </c>
      <c r="BU734" s="479">
        <v>11</v>
      </c>
      <c r="BV734" s="476" t="s">
        <v>1187</v>
      </c>
      <c r="BW734" s="476" t="s">
        <v>1187</v>
      </c>
      <c r="BX734" s="476" t="s">
        <v>1187</v>
      </c>
      <c r="BY734" s="476" t="s">
        <v>1187</v>
      </c>
      <c r="BZ734" s="476" t="s">
        <v>1187</v>
      </c>
      <c r="CA734" s="476" t="s">
        <v>1187</v>
      </c>
      <c r="CB734" s="476" t="s">
        <v>1187</v>
      </c>
      <c r="CC734" s="476" t="s">
        <v>1187</v>
      </c>
      <c r="CD734" s="476" t="s">
        <v>1187</v>
      </c>
      <c r="CE734" s="476" t="s">
        <v>1188</v>
      </c>
      <c r="CF734" s="476" t="s">
        <v>1188</v>
      </c>
      <c r="CG734" s="476" t="s">
        <v>1188</v>
      </c>
      <c r="CH734" s="476" t="s">
        <v>1188</v>
      </c>
      <c r="CI734" s="476" t="s">
        <v>1187</v>
      </c>
      <c r="CJ734" s="476" t="s">
        <v>1188</v>
      </c>
      <c r="CK734" s="476" t="s">
        <v>1188</v>
      </c>
      <c r="CL734" s="476" t="s">
        <v>1188</v>
      </c>
      <c r="CM734" s="476" t="str">
        <f>IF(VLOOKUP(BS734,'Données par municipalité'!$B$6:$E$1113,4,FALSE)="","non","oui")</f>
        <v>oui</v>
      </c>
      <c r="CN734" s="410">
        <v>1885.0921385926188</v>
      </c>
      <c r="CO734" s="410">
        <v>1751.5328827307101</v>
      </c>
      <c r="CP734" s="410">
        <v>1640.15362635877</v>
      </c>
      <c r="CQ734" s="410">
        <v>1560.3662917306069</v>
      </c>
      <c r="CR734" s="410"/>
      <c r="CS734" s="410">
        <v>442.91440062414102</v>
      </c>
      <c r="CT734" s="410">
        <v>454.51620428092252</v>
      </c>
      <c r="CU734" s="410">
        <v>425</v>
      </c>
      <c r="CV734" s="410">
        <f>IF(VLOOKUP(BS734,'Données par municipalité'!$B$6:$F$1113,4,FALSE)="","",VLOOKUP(BS734,'Données par municipalité'!$B$6:$F$1113,4,FALSE))</f>
        <v>457</v>
      </c>
      <c r="CW734" s="476" t="s">
        <v>4723</v>
      </c>
      <c r="CX734" s="483">
        <v>0</v>
      </c>
      <c r="CY734" s="483">
        <v>0.05</v>
      </c>
      <c r="CZ734" s="483">
        <v>1</v>
      </c>
      <c r="DA734" s="483" t="s">
        <v>1124</v>
      </c>
      <c r="DB734" s="483">
        <v>1</v>
      </c>
      <c r="DC734" s="483">
        <v>1</v>
      </c>
      <c r="DD734" s="483" t="s">
        <v>1124</v>
      </c>
      <c r="DE734" s="483">
        <f>IFERROR(SUM(VLOOKUP($BS734,'État &amp; Plan d''action'!$B$6:$Z$1113,18,FALSE),VLOOKUP($BS734,'État &amp; Plan d''action'!$B$6:$Z$1113,20,FALSE))/(VLOOKUP($BS734,'Données par municipalité'!$B$4:$L$1113,11,FALSE)),"")</f>
        <v>1</v>
      </c>
      <c r="DF734" s="483">
        <f>IFERROR(SUM(VLOOKUP($BS734,'État &amp; Plan d''action'!$B$6:$Z$1113,19,FALSE),VLOOKUP($BS734,'État &amp; Plan d''action'!$B$6:$Z$1113,21,FALSE))/(VLOOKUP($BS734,'Données par municipalité'!$B$4:$L$1113,11,FALSE)),"")</f>
        <v>1</v>
      </c>
      <c r="DG734" s="476" t="s">
        <v>4723</v>
      </c>
      <c r="DH734" s="484">
        <v>4</v>
      </c>
      <c r="DI734" s="484">
        <v>11</v>
      </c>
      <c r="DJ734" s="484">
        <v>3</v>
      </c>
      <c r="DK734" s="484">
        <v>0</v>
      </c>
      <c r="DL734" s="484">
        <v>1</v>
      </c>
      <c r="DM734" s="484">
        <v>3</v>
      </c>
      <c r="DN734" s="484">
        <v>0</v>
      </c>
      <c r="DO734" s="484">
        <v>3</v>
      </c>
      <c r="DP734" s="484">
        <v>0</v>
      </c>
      <c r="DQ734" s="484">
        <f>IF(VLOOKUP($BS734,'État &amp; Plan d''action'!$B$6:$AJ$1113,28,FALSE)="","",VLOOKUP($BS734,'État &amp; Plan d''action'!$B$6:$AJ$1113,28,FALSE))</f>
        <v>0</v>
      </c>
      <c r="DR734" s="70">
        <f>IF(VLOOKUP($BS734,'État &amp; Plan d''action'!$B$6:$AJ$1113,29,FALSE)="","",VLOOKUP($BS734,'État &amp; Plan d''action'!$B$6:$AJ$1113,29,FALSE))</f>
        <v>2</v>
      </c>
      <c r="DS734" s="70">
        <f>IF(VLOOKUP($BS734,'État &amp; Plan d''action'!$B$6:$AJ$1113,30,FALSE)="","",VLOOKUP($BS734,'État &amp; Plan d''action'!$B$6:$AJ$1113,30,FALSE))</f>
        <v>0</v>
      </c>
      <c r="DT734" s="70">
        <v>297</v>
      </c>
      <c r="DU734" s="485">
        <v>1.2629746578168362</v>
      </c>
      <c r="DV734" s="485">
        <v>1.8387187049403604</v>
      </c>
      <c r="DW734" s="70">
        <v>0</v>
      </c>
      <c r="DX734" s="70">
        <v>2</v>
      </c>
      <c r="DY734" s="70">
        <v>0</v>
      </c>
      <c r="DZ734" s="70">
        <f>VLOOKUP($BS734,'État &amp; Plan d''action'!$B$6:$AH$1113,31,FALSE)</f>
        <v>0</v>
      </c>
      <c r="EA734" s="70">
        <f>VLOOKUP($BS734,'État &amp; Plan d''action'!$B$6:$AH$1113,32,FALSE)</f>
        <v>4</v>
      </c>
      <c r="EB734" s="70">
        <f>VLOOKUP($BS734,'État &amp; Plan d''action'!$B$6:$AH$1113,33,FALSE)</f>
        <v>0</v>
      </c>
      <c r="EC734" s="70">
        <v>14.2</v>
      </c>
      <c r="ED734" s="70">
        <v>0</v>
      </c>
      <c r="EE734" s="70">
        <v>13.661</v>
      </c>
      <c r="EF734" s="70">
        <v>0</v>
      </c>
      <c r="EG734" s="70">
        <v>0</v>
      </c>
      <c r="EH734" s="72">
        <v>59.5</v>
      </c>
      <c r="EI734" s="72">
        <v>295</v>
      </c>
    </row>
    <row r="735" spans="71:139" x14ac:dyDescent="0.35">
      <c r="BS735" s="486">
        <v>62030</v>
      </c>
      <c r="BT735" s="479" t="s">
        <v>623</v>
      </c>
      <c r="BU735" s="479">
        <v>14</v>
      </c>
      <c r="BV735" s="476" t="s">
        <v>1187</v>
      </c>
      <c r="BW735" s="476" t="s">
        <v>1187</v>
      </c>
      <c r="BX735" s="476" t="s">
        <v>1187</v>
      </c>
      <c r="BY735" s="476" t="s">
        <v>1187</v>
      </c>
      <c r="BZ735" s="476" t="s">
        <v>1187</v>
      </c>
      <c r="CA735" s="476" t="s">
        <v>1187</v>
      </c>
      <c r="CB735" s="476" t="s">
        <v>1187</v>
      </c>
      <c r="CC735" s="476" t="s">
        <v>1187</v>
      </c>
      <c r="CD735" s="476" t="s">
        <v>1187</v>
      </c>
      <c r="CE735" s="476" t="s">
        <v>1188</v>
      </c>
      <c r="CF735" s="476" t="s">
        <v>1188</v>
      </c>
      <c r="CG735" s="476" t="s">
        <v>1187</v>
      </c>
      <c r="CH735" s="476" t="s">
        <v>1187</v>
      </c>
      <c r="CI735" s="476" t="s">
        <v>1188</v>
      </c>
      <c r="CJ735" s="476" t="s">
        <v>1187</v>
      </c>
      <c r="CK735" s="476" t="s">
        <v>1187</v>
      </c>
      <c r="CL735" s="476" t="s">
        <v>1187</v>
      </c>
      <c r="CM735" s="476" t="str">
        <f>IF(VLOOKUP(BS735,'Données par municipalité'!$B$6:$E$1113,4,FALSE)="","non","oui")</f>
        <v>non</v>
      </c>
      <c r="CN735" s="410">
        <v>257.79151612092733</v>
      </c>
      <c r="CO735" s="410">
        <v>330.30896656012652</v>
      </c>
      <c r="CP735" s="410"/>
      <c r="CQ735" s="410"/>
      <c r="CR735" s="410">
        <v>254.12419791654958</v>
      </c>
      <c r="CS735" s="410" t="s">
        <v>1124</v>
      </c>
      <c r="CT735" s="410"/>
      <c r="CU735" s="410" t="s">
        <v>1124</v>
      </c>
      <c r="CV735" s="410" t="str">
        <f>IF(VLOOKUP(BS735,'Données par municipalité'!$B$6:$F$1113,4,FALSE)="","",VLOOKUP(BS735,'Données par municipalité'!$B$6:$F$1113,4,FALSE))</f>
        <v/>
      </c>
      <c r="CW735" s="476" t="s">
        <v>4723</v>
      </c>
      <c r="CX735" s="483">
        <v>0</v>
      </c>
      <c r="CY735" s="483" t="s">
        <v>1124</v>
      </c>
      <c r="CZ735" s="483" t="s">
        <v>1124</v>
      </c>
      <c r="DA735" s="483">
        <v>1</v>
      </c>
      <c r="DB735" s="483" t="s">
        <v>1124</v>
      </c>
      <c r="DC735" s="483" t="s">
        <v>1124</v>
      </c>
      <c r="DD735" s="483" t="s">
        <v>1124</v>
      </c>
      <c r="DE735" s="483" t="str">
        <f>IFERROR(SUM(VLOOKUP($BS735,'État &amp; Plan d''action'!$B$6:$Z$1113,18,FALSE),VLOOKUP($BS735,'État &amp; Plan d''action'!$B$6:$Z$1113,20,FALSE))/(VLOOKUP($BS735,'Données par municipalité'!$B$4:$L$1113,11,FALSE)),"")</f>
        <v/>
      </c>
      <c r="DF735" s="483" t="str">
        <f>IFERROR(SUM(VLOOKUP($BS735,'État &amp; Plan d''action'!$B$6:$Z$1113,19,FALSE),VLOOKUP($BS735,'État &amp; Plan d''action'!$B$6:$Z$1113,21,FALSE))/(VLOOKUP($BS735,'Données par municipalité'!$B$4:$L$1113,11,FALSE)),"")</f>
        <v/>
      </c>
      <c r="DG735" s="476" t="s">
        <v>4723</v>
      </c>
      <c r="DH735" s="484">
        <v>2</v>
      </c>
      <c r="DI735" s="484" t="s">
        <v>1124</v>
      </c>
      <c r="DJ735" s="484">
        <v>0</v>
      </c>
      <c r="DK735" s="484">
        <v>3</v>
      </c>
      <c r="DL735" s="484" t="s">
        <v>1124</v>
      </c>
      <c r="DM735" s="484" t="s">
        <v>1124</v>
      </c>
      <c r="DN735" s="484" t="s">
        <v>1124</v>
      </c>
      <c r="DO735" s="484" t="s">
        <v>1124</v>
      </c>
      <c r="DP735" s="484" t="s">
        <v>1124</v>
      </c>
      <c r="DQ735" s="484" t="str">
        <f>IF(VLOOKUP($BS735,'État &amp; Plan d''action'!$B$6:$AJ$1113,28,FALSE)="","",VLOOKUP($BS735,'État &amp; Plan d''action'!$B$6:$AJ$1113,28,FALSE))</f>
        <v/>
      </c>
      <c r="DR735" s="70" t="str">
        <f>IF(VLOOKUP($BS735,'État &amp; Plan d''action'!$B$6:$AJ$1113,29,FALSE)="","",VLOOKUP($BS735,'État &amp; Plan d''action'!$B$6:$AJ$1113,29,FALSE))</f>
        <v/>
      </c>
      <c r="DS735" s="70" t="str">
        <f>IF(VLOOKUP($BS735,'État &amp; Plan d''action'!$B$6:$AJ$1113,30,FALSE)="","",VLOOKUP($BS735,'État &amp; Plan d''action'!$B$6:$AJ$1113,30,FALSE))</f>
        <v/>
      </c>
      <c r="DT735" s="70" t="s">
        <v>1124</v>
      </c>
      <c r="DU735" s="485" t="s">
        <v>1124</v>
      </c>
      <c r="DV735" s="485" t="s">
        <v>1124</v>
      </c>
      <c r="DW735" s="70" t="s">
        <v>1124</v>
      </c>
      <c r="DX735" s="70" t="s">
        <v>1124</v>
      </c>
      <c r="DY735" s="70" t="s">
        <v>1124</v>
      </c>
      <c r="DZ735" s="70" t="str">
        <f>VLOOKUP($BS735,'État &amp; Plan d''action'!$B$6:$AH$1113,31,FALSE)</f>
        <v/>
      </c>
      <c r="EA735" s="70" t="str">
        <f>VLOOKUP($BS735,'État &amp; Plan d''action'!$B$6:$AH$1113,32,FALSE)</f>
        <v/>
      </c>
      <c r="EB735" s="70" t="str">
        <f>VLOOKUP($BS735,'État &amp; Plan d''action'!$B$6:$AH$1113,33,FALSE)</f>
        <v/>
      </c>
      <c r="EC735" s="70" t="s">
        <v>1124</v>
      </c>
      <c r="ED735" s="70" t="s">
        <v>1124</v>
      </c>
      <c r="EE735" s="70" t="s">
        <v>1124</v>
      </c>
      <c r="EF735" s="70" t="s">
        <v>1124</v>
      </c>
      <c r="EG735" s="70" t="s">
        <v>1124</v>
      </c>
      <c r="EH735" s="72"/>
      <c r="EI735" s="72">
        <v>1620</v>
      </c>
    </row>
    <row r="736" spans="71:139" x14ac:dyDescent="0.35">
      <c r="BS736" s="486">
        <v>26035</v>
      </c>
      <c r="BT736" s="479" t="s">
        <v>172</v>
      </c>
      <c r="BU736" s="479">
        <v>12</v>
      </c>
      <c r="BV736" s="476" t="s">
        <v>1187</v>
      </c>
      <c r="BW736" s="476" t="s">
        <v>1187</v>
      </c>
      <c r="BX736" s="476" t="s">
        <v>1187</v>
      </c>
      <c r="BY736" s="476" t="s">
        <v>1187</v>
      </c>
      <c r="BZ736" s="476" t="s">
        <v>1187</v>
      </c>
      <c r="CA736" s="476" t="s">
        <v>1187</v>
      </c>
      <c r="CB736" s="476" t="s">
        <v>1187</v>
      </c>
      <c r="CC736" s="476" t="s">
        <v>1187</v>
      </c>
      <c r="CD736" s="476" t="s">
        <v>1187</v>
      </c>
      <c r="CE736" s="476" t="s">
        <v>1188</v>
      </c>
      <c r="CF736" s="476" t="s">
        <v>1188</v>
      </c>
      <c r="CG736" s="476" t="s">
        <v>1187</v>
      </c>
      <c r="CH736" s="476" t="s">
        <v>1188</v>
      </c>
      <c r="CI736" s="476" t="s">
        <v>1188</v>
      </c>
      <c r="CJ736" s="476" t="s">
        <v>1187</v>
      </c>
      <c r="CK736" s="476" t="s">
        <v>1188</v>
      </c>
      <c r="CL736" s="476" t="s">
        <v>1188</v>
      </c>
      <c r="CM736" s="476" t="str">
        <f>IF(VLOOKUP(BS736,'Données par municipalité'!$B$6:$E$1113,4,FALSE)="","non","oui")</f>
        <v>oui</v>
      </c>
      <c r="CN736" s="410">
        <v>356.08932257459179</v>
      </c>
      <c r="CO736" s="410">
        <v>323.53143085133263</v>
      </c>
      <c r="CP736" s="410"/>
      <c r="CQ736" s="410">
        <v>312.83668754316801</v>
      </c>
      <c r="CR736" s="410">
        <v>284.4561503799207</v>
      </c>
      <c r="CS736" s="410" t="s">
        <v>1124</v>
      </c>
      <c r="CT736" s="410">
        <v>316.11343074933563</v>
      </c>
      <c r="CU736" s="410">
        <v>255</v>
      </c>
      <c r="CV736" s="410">
        <f>IF(VLOOKUP(BS736,'Données par municipalité'!$B$6:$F$1113,4,FALSE)="","",VLOOKUP(BS736,'Données par municipalité'!$B$6:$F$1113,4,FALSE))</f>
        <v>186</v>
      </c>
      <c r="CW736" s="476" t="s">
        <v>4723</v>
      </c>
      <c r="CX736" s="483">
        <v>0.1</v>
      </c>
      <c r="CY736" s="483" t="s">
        <v>1124</v>
      </c>
      <c r="CZ736" s="483">
        <v>0</v>
      </c>
      <c r="DA736" s="483">
        <v>0.75</v>
      </c>
      <c r="DB736" s="483" t="s">
        <v>1124</v>
      </c>
      <c r="DC736" s="483">
        <v>0.75</v>
      </c>
      <c r="DD736" s="483">
        <v>1</v>
      </c>
      <c r="DE736" s="483">
        <f>IFERROR(SUM(VLOOKUP($BS736,'État &amp; Plan d''action'!$B$6:$Z$1113,18,FALSE),VLOOKUP($BS736,'État &amp; Plan d''action'!$B$6:$Z$1113,20,FALSE))/(VLOOKUP($BS736,'Données par municipalité'!$B$4:$L$1113,11,FALSE)),"")</f>
        <v>0</v>
      </c>
      <c r="DF736" s="483">
        <f>IFERROR(SUM(VLOOKUP($BS736,'État &amp; Plan d''action'!$B$6:$Z$1113,19,FALSE),VLOOKUP($BS736,'État &amp; Plan d''action'!$B$6:$Z$1113,21,FALSE))/(VLOOKUP($BS736,'Données par municipalité'!$B$4:$L$1113,11,FALSE)),"")</f>
        <v>0</v>
      </c>
      <c r="DG736" s="476" t="s">
        <v>4723</v>
      </c>
      <c r="DH736" s="484">
        <v>3</v>
      </c>
      <c r="DI736" s="484" t="s">
        <v>1124</v>
      </c>
      <c r="DJ736" s="484">
        <v>4</v>
      </c>
      <c r="DK736" s="484">
        <v>5</v>
      </c>
      <c r="DL736" s="484" t="s">
        <v>1124</v>
      </c>
      <c r="DM736" s="484">
        <v>3</v>
      </c>
      <c r="DN736" s="484">
        <v>1</v>
      </c>
      <c r="DO736" s="484">
        <v>0</v>
      </c>
      <c r="DP736" s="484">
        <v>0</v>
      </c>
      <c r="DQ736" s="484">
        <f>IF(VLOOKUP($BS736,'État &amp; Plan d''action'!$B$6:$AJ$1113,28,FALSE)="","",VLOOKUP($BS736,'État &amp; Plan d''action'!$B$6:$AJ$1113,28,FALSE))</f>
        <v>0</v>
      </c>
      <c r="DR736" s="70">
        <f>IF(VLOOKUP($BS736,'État &amp; Plan d''action'!$B$6:$AJ$1113,29,FALSE)="","",VLOOKUP($BS736,'État &amp; Plan d''action'!$B$6:$AJ$1113,29,FALSE))</f>
        <v>0</v>
      </c>
      <c r="DS736" s="70">
        <f>IF(VLOOKUP($BS736,'État &amp; Plan d''action'!$B$6:$AJ$1113,30,FALSE)="","",VLOOKUP($BS736,'État &amp; Plan d''action'!$B$6:$AJ$1113,30,FALSE))</f>
        <v>1</v>
      </c>
      <c r="DT736" s="70">
        <v>191</v>
      </c>
      <c r="DU736" s="485">
        <v>1.5518672843098456</v>
      </c>
      <c r="DV736" s="485">
        <v>0.90134677442214717</v>
      </c>
      <c r="DW736" s="70">
        <v>2</v>
      </c>
      <c r="DX736" s="70">
        <v>0</v>
      </c>
      <c r="DY736" s="70">
        <v>0</v>
      </c>
      <c r="DZ736" s="70">
        <f>VLOOKUP($BS736,'État &amp; Plan d''action'!$B$6:$AH$1113,31,FALSE)</f>
        <v>0</v>
      </c>
      <c r="EA736" s="70">
        <f>VLOOKUP($BS736,'État &amp; Plan d''action'!$B$6:$AH$1113,32,FALSE)</f>
        <v>0</v>
      </c>
      <c r="EB736" s="70">
        <f>VLOOKUP($BS736,'État &amp; Plan d''action'!$B$6:$AH$1113,33,FALSE)</f>
        <v>1</v>
      </c>
      <c r="EC736" s="70">
        <v>0</v>
      </c>
      <c r="ED736" s="70">
        <v>0</v>
      </c>
      <c r="EE736" s="70">
        <v>5.64</v>
      </c>
      <c r="EF736" s="70">
        <v>0</v>
      </c>
      <c r="EG736" s="70">
        <v>0</v>
      </c>
      <c r="EH736" s="72">
        <v>59</v>
      </c>
      <c r="EI736" s="72">
        <v>1136</v>
      </c>
    </row>
    <row r="737" spans="71:139" x14ac:dyDescent="0.35">
      <c r="BS737" s="486">
        <v>77012</v>
      </c>
      <c r="BT737" s="479" t="s">
        <v>757</v>
      </c>
      <c r="BU737" s="479">
        <v>15</v>
      </c>
      <c r="BV737" s="476" t="s">
        <v>1187</v>
      </c>
      <c r="BW737" s="476" t="s">
        <v>1187</v>
      </c>
      <c r="BX737" s="476" t="s">
        <v>1187</v>
      </c>
      <c r="BY737" s="476" t="s">
        <v>1187</v>
      </c>
      <c r="BZ737" s="476" t="s">
        <v>1187</v>
      </c>
      <c r="CA737" s="476" t="s">
        <v>1187</v>
      </c>
      <c r="CB737" s="476" t="s">
        <v>1187</v>
      </c>
      <c r="CC737" s="476" t="s">
        <v>1187</v>
      </c>
      <c r="CD737" s="476" t="s">
        <v>1187</v>
      </c>
      <c r="CE737" s="476" t="s">
        <v>1188</v>
      </c>
      <c r="CF737" s="476" t="s">
        <v>1188</v>
      </c>
      <c r="CG737" s="476" t="s">
        <v>1188</v>
      </c>
      <c r="CH737" s="476" t="s">
        <v>1188</v>
      </c>
      <c r="CI737" s="476" t="s">
        <v>1188</v>
      </c>
      <c r="CJ737" s="476" t="s">
        <v>1187</v>
      </c>
      <c r="CK737" s="476" t="s">
        <v>1188</v>
      </c>
      <c r="CL737" s="476" t="s">
        <v>1188</v>
      </c>
      <c r="CM737" s="476" t="str">
        <f>IF(VLOOKUP(BS737,'Données par municipalité'!$B$6:$E$1113,4,FALSE)="","non","oui")</f>
        <v>oui</v>
      </c>
      <c r="CN737" s="410">
        <v>596.83054045732649</v>
      </c>
      <c r="CO737" s="410">
        <v>626.05480365253743</v>
      </c>
      <c r="CP737" s="410">
        <v>612.85283089903669</v>
      </c>
      <c r="CQ737" s="410">
        <v>652.78910540301149</v>
      </c>
      <c r="CR737" s="410">
        <v>617.23083285072948</v>
      </c>
      <c r="CS737" s="410" t="s">
        <v>1124</v>
      </c>
      <c r="CT737" s="410">
        <v>525.21471341811434</v>
      </c>
      <c r="CU737" s="410">
        <v>586</v>
      </c>
      <c r="CV737" s="410">
        <f>IF(VLOOKUP(BS737,'Données par municipalité'!$B$6:$F$1113,4,FALSE)="","",VLOOKUP(BS737,'Données par municipalité'!$B$6:$F$1113,4,FALSE))</f>
        <v>539</v>
      </c>
      <c r="CW737" s="476" t="s">
        <v>4723</v>
      </c>
      <c r="CX737" s="483">
        <v>1</v>
      </c>
      <c r="CY737" s="483">
        <v>0</v>
      </c>
      <c r="CZ737" s="483">
        <v>1</v>
      </c>
      <c r="DA737" s="483">
        <v>0</v>
      </c>
      <c r="DB737" s="483" t="s">
        <v>1124</v>
      </c>
      <c r="DC737" s="483">
        <v>0</v>
      </c>
      <c r="DD737" s="483">
        <v>2.438826111698236E-3</v>
      </c>
      <c r="DE737" s="483">
        <f>IFERROR(SUM(VLOOKUP($BS737,'État &amp; Plan d''action'!$B$6:$Z$1113,18,FALSE),VLOOKUP($BS737,'État &amp; Plan d''action'!$B$6:$Z$1113,20,FALSE))/(VLOOKUP($BS737,'Données par municipalité'!$B$4:$L$1113,11,FALSE)),"")</f>
        <v>0</v>
      </c>
      <c r="DF737" s="483">
        <f>IFERROR(SUM(VLOOKUP($BS737,'État &amp; Plan d''action'!$B$6:$Z$1113,19,FALSE),VLOOKUP($BS737,'État &amp; Plan d''action'!$B$6:$Z$1113,21,FALSE))/(VLOOKUP($BS737,'Données par municipalité'!$B$4:$L$1113,11,FALSE)),"")</f>
        <v>0</v>
      </c>
      <c r="DG737" s="476" t="s">
        <v>4723</v>
      </c>
      <c r="DH737" s="484">
        <v>7</v>
      </c>
      <c r="DI737" s="484" t="s">
        <v>1124</v>
      </c>
      <c r="DJ737" s="484">
        <v>9</v>
      </c>
      <c r="DK737" s="484">
        <v>0</v>
      </c>
      <c r="DL737" s="484" t="s">
        <v>1124</v>
      </c>
      <c r="DM737" s="484">
        <v>2</v>
      </c>
      <c r="DN737" s="484">
        <v>2</v>
      </c>
      <c r="DO737" s="484">
        <v>4</v>
      </c>
      <c r="DP737" s="484">
        <v>0</v>
      </c>
      <c r="DQ737" s="484">
        <f>IF(VLOOKUP($BS737,'État &amp; Plan d''action'!$B$6:$AJ$1113,28,FALSE)="","",VLOOKUP($BS737,'État &amp; Plan d''action'!$B$6:$AJ$1113,28,FALSE))</f>
        <v>3</v>
      </c>
      <c r="DR737" s="70">
        <f>IF(VLOOKUP($BS737,'État &amp; Plan d''action'!$B$6:$AJ$1113,29,FALSE)="","",VLOOKUP($BS737,'État &amp; Plan d''action'!$B$6:$AJ$1113,29,FALSE))</f>
        <v>0</v>
      </c>
      <c r="DS737" s="70">
        <f>IF(VLOOKUP($BS737,'État &amp; Plan d''action'!$B$6:$AJ$1113,30,FALSE)="","",VLOOKUP($BS737,'État &amp; Plan d''action'!$B$6:$AJ$1113,30,FALSE))</f>
        <v>0</v>
      </c>
      <c r="DT737" s="70">
        <v>438</v>
      </c>
      <c r="DU737" s="485">
        <v>2.3151993569599618</v>
      </c>
      <c r="DV737" s="485">
        <v>1.0989027444167314</v>
      </c>
      <c r="DW737" s="70">
        <v>1</v>
      </c>
      <c r="DX737" s="70">
        <v>1</v>
      </c>
      <c r="DY737" s="70">
        <v>0</v>
      </c>
      <c r="DZ737" s="70">
        <f>VLOOKUP($BS737,'État &amp; Plan d''action'!$B$6:$AH$1113,31,FALSE)</f>
        <v>1</v>
      </c>
      <c r="EA737" s="70">
        <f>VLOOKUP($BS737,'État &amp; Plan d''action'!$B$6:$AH$1113,32,FALSE)</f>
        <v>0</v>
      </c>
      <c r="EB737" s="70">
        <f>VLOOKUP($BS737,'État &amp; Plan d''action'!$B$6:$AH$1113,33,FALSE)</f>
        <v>0</v>
      </c>
      <c r="EC737" s="70">
        <v>24</v>
      </c>
      <c r="ED737" s="70">
        <v>0.03</v>
      </c>
      <c r="EE737" s="70">
        <v>0.03</v>
      </c>
      <c r="EF737" s="70">
        <v>0</v>
      </c>
      <c r="EG737" s="70">
        <v>0</v>
      </c>
      <c r="EH737" s="72">
        <v>60</v>
      </c>
      <c r="EI737" s="72">
        <v>2988</v>
      </c>
    </row>
    <row r="738" spans="71:139" x14ac:dyDescent="0.35">
      <c r="BS738" s="486">
        <v>7005</v>
      </c>
      <c r="BT738" s="479" t="s">
        <v>1068</v>
      </c>
      <c r="BU738" s="479">
        <v>1</v>
      </c>
      <c r="BV738" s="476" t="s">
        <v>1188</v>
      </c>
      <c r="BW738" s="476" t="s">
        <v>1188</v>
      </c>
      <c r="BX738" s="476" t="s">
        <v>1188</v>
      </c>
      <c r="BY738" s="476" t="s">
        <v>1188</v>
      </c>
      <c r="BZ738" s="476" t="s">
        <v>1188</v>
      </c>
      <c r="CA738" s="476" t="s">
        <v>1188</v>
      </c>
      <c r="CB738" s="476" t="s">
        <v>1188</v>
      </c>
      <c r="CC738" s="476" t="s">
        <v>1188</v>
      </c>
      <c r="CD738" s="476" t="s">
        <v>1188</v>
      </c>
      <c r="CE738" s="476" t="s">
        <v>1187</v>
      </c>
      <c r="CF738" s="476" t="s">
        <v>1187</v>
      </c>
      <c r="CG738" s="476" t="s">
        <v>1187</v>
      </c>
      <c r="CH738" s="476" t="s">
        <v>1187</v>
      </c>
      <c r="CI738" s="476" t="s">
        <v>1187</v>
      </c>
      <c r="CJ738" s="476" t="s">
        <v>1187</v>
      </c>
      <c r="CK738" s="476" t="s">
        <v>1187</v>
      </c>
      <c r="CL738" s="476" t="s">
        <v>1187</v>
      </c>
      <c r="CM738" s="476" t="str">
        <f>IF(VLOOKUP(BS738,'Données par municipalité'!$B$6:$E$1113,4,FALSE)="","non","oui")</f>
        <v>non</v>
      </c>
      <c r="CN738" s="410" t="s">
        <v>1124</v>
      </c>
      <c r="CO738" s="410" t="s">
        <v>1124</v>
      </c>
      <c r="CP738" s="410"/>
      <c r="CQ738" s="410"/>
      <c r="CR738" s="410"/>
      <c r="CS738" s="410" t="s">
        <v>1124</v>
      </c>
      <c r="CT738" s="410"/>
      <c r="CU738" s="410" t="s">
        <v>1124</v>
      </c>
      <c r="CV738" s="410" t="str">
        <f>IF(VLOOKUP(BS738,'Données par municipalité'!$B$6:$F$1113,4,FALSE)="","",VLOOKUP(BS738,'Données par municipalité'!$B$6:$F$1113,4,FALSE))</f>
        <v/>
      </c>
      <c r="CW738" s="476" t="s">
        <v>4723</v>
      </c>
      <c r="CX738" s="483" t="s">
        <v>1124</v>
      </c>
      <c r="CY738" s="483" t="s">
        <v>1124</v>
      </c>
      <c r="CZ738" s="483" t="s">
        <v>1124</v>
      </c>
      <c r="DA738" s="483" t="s">
        <v>1124</v>
      </c>
      <c r="DB738" s="483" t="s">
        <v>1124</v>
      </c>
      <c r="DC738" s="483" t="s">
        <v>1124</v>
      </c>
      <c r="DD738" s="483" t="s">
        <v>1124</v>
      </c>
      <c r="DE738" s="483" t="str">
        <f>IFERROR(SUM(VLOOKUP($BS738,'État &amp; Plan d''action'!$B$6:$Z$1113,18,FALSE),VLOOKUP($BS738,'État &amp; Plan d''action'!$B$6:$Z$1113,20,FALSE))/(VLOOKUP($BS738,'Données par municipalité'!$B$4:$L$1113,11,FALSE)),"")</f>
        <v/>
      </c>
      <c r="DF738" s="483" t="str">
        <f>IFERROR(SUM(VLOOKUP($BS738,'État &amp; Plan d''action'!$B$6:$Z$1113,19,FALSE),VLOOKUP($BS738,'État &amp; Plan d''action'!$B$6:$Z$1113,21,FALSE))/(VLOOKUP($BS738,'Données par municipalité'!$B$4:$L$1113,11,FALSE)),"")</f>
        <v/>
      </c>
      <c r="DG738" s="476" t="s">
        <v>4723</v>
      </c>
      <c r="DH738" s="484" t="s">
        <v>1124</v>
      </c>
      <c r="DI738" s="484" t="s">
        <v>1124</v>
      </c>
      <c r="DJ738" s="484">
        <v>0</v>
      </c>
      <c r="DK738" s="484">
        <v>0</v>
      </c>
      <c r="DL738" s="484" t="s">
        <v>1124</v>
      </c>
      <c r="DM738" s="484" t="s">
        <v>1124</v>
      </c>
      <c r="DN738" s="484" t="s">
        <v>1124</v>
      </c>
      <c r="DO738" s="484" t="s">
        <v>1124</v>
      </c>
      <c r="DP738" s="484" t="s">
        <v>1124</v>
      </c>
      <c r="DQ738" s="484" t="str">
        <f>IF(VLOOKUP($BS738,'État &amp; Plan d''action'!$B$6:$AJ$1113,28,FALSE)="","",VLOOKUP($BS738,'État &amp; Plan d''action'!$B$6:$AJ$1113,28,FALSE))</f>
        <v/>
      </c>
      <c r="DR738" s="70" t="str">
        <f>IF(VLOOKUP($BS738,'État &amp; Plan d''action'!$B$6:$AJ$1113,29,FALSE)="","",VLOOKUP($BS738,'État &amp; Plan d''action'!$B$6:$AJ$1113,29,FALSE))</f>
        <v/>
      </c>
      <c r="DS738" s="70" t="str">
        <f>IF(VLOOKUP($BS738,'État &amp; Plan d''action'!$B$6:$AJ$1113,30,FALSE)="","",VLOOKUP($BS738,'État &amp; Plan d''action'!$B$6:$AJ$1113,30,FALSE))</f>
        <v/>
      </c>
      <c r="DT738" s="70" t="s">
        <v>1124</v>
      </c>
      <c r="DU738" s="485" t="s">
        <v>1124</v>
      </c>
      <c r="DV738" s="485" t="s">
        <v>1124</v>
      </c>
      <c r="DW738" s="70" t="s">
        <v>1124</v>
      </c>
      <c r="DX738" s="70" t="s">
        <v>1124</v>
      </c>
      <c r="DY738" s="70" t="s">
        <v>1124</v>
      </c>
      <c r="DZ738" s="70" t="str">
        <f>VLOOKUP($BS738,'État &amp; Plan d''action'!$B$6:$AH$1113,31,FALSE)</f>
        <v/>
      </c>
      <c r="EA738" s="70" t="str">
        <f>VLOOKUP($BS738,'État &amp; Plan d''action'!$B$6:$AH$1113,32,FALSE)</f>
        <v/>
      </c>
      <c r="EB738" s="70" t="str">
        <f>VLOOKUP($BS738,'État &amp; Plan d''action'!$B$6:$AH$1113,33,FALSE)</f>
        <v/>
      </c>
      <c r="EC738" s="70" t="s">
        <v>1124</v>
      </c>
      <c r="ED738" s="70" t="s">
        <v>1124</v>
      </c>
      <c r="EE738" s="70" t="s">
        <v>1124</v>
      </c>
      <c r="EF738" s="70" t="s">
        <v>1124</v>
      </c>
      <c r="EG738" s="70" t="s">
        <v>1124</v>
      </c>
      <c r="EH738" s="72"/>
      <c r="EI738" s="72">
        <v>178</v>
      </c>
    </row>
    <row r="739" spans="71:139" x14ac:dyDescent="0.35">
      <c r="BS739" s="486">
        <v>26030</v>
      </c>
      <c r="BT739" s="479" t="s">
        <v>171</v>
      </c>
      <c r="BU739" s="479">
        <v>12</v>
      </c>
      <c r="BV739" s="476" t="s">
        <v>1187</v>
      </c>
      <c r="BW739" s="476" t="s">
        <v>1187</v>
      </c>
      <c r="BX739" s="476" t="s">
        <v>1187</v>
      </c>
      <c r="BY739" s="476" t="s">
        <v>1187</v>
      </c>
      <c r="BZ739" s="476" t="s">
        <v>1187</v>
      </c>
      <c r="CA739" s="476" t="s">
        <v>1187</v>
      </c>
      <c r="CB739" s="476" t="s">
        <v>1187</v>
      </c>
      <c r="CC739" s="476" t="s">
        <v>1187</v>
      </c>
      <c r="CD739" s="476" t="s">
        <v>1187</v>
      </c>
      <c r="CE739" s="476" t="s">
        <v>1188</v>
      </c>
      <c r="CF739" s="476" t="s">
        <v>1188</v>
      </c>
      <c r="CG739" s="476" t="s">
        <v>1188</v>
      </c>
      <c r="CH739" s="476" t="s">
        <v>1188</v>
      </c>
      <c r="CI739" s="476" t="s">
        <v>1188</v>
      </c>
      <c r="CJ739" s="476" t="s">
        <v>1188</v>
      </c>
      <c r="CK739" s="476" t="s">
        <v>1188</v>
      </c>
      <c r="CL739" s="476" t="s">
        <v>1187</v>
      </c>
      <c r="CM739" s="476" t="str">
        <f>IF(VLOOKUP(BS739,'Données par municipalité'!$B$6:$E$1113,4,FALSE)="","non","oui")</f>
        <v>oui</v>
      </c>
      <c r="CN739" s="410">
        <v>552.33627322199288</v>
      </c>
      <c r="CO739" s="410">
        <v>532.30842001491578</v>
      </c>
      <c r="CP739" s="410">
        <v>505.86711177185919</v>
      </c>
      <c r="CQ739" s="410">
        <v>456.84090822861316</v>
      </c>
      <c r="CR739" s="410">
        <v>456.17085112761401</v>
      </c>
      <c r="CS739" s="410">
        <v>421.80937013816589</v>
      </c>
      <c r="CT739" s="410">
        <v>370.44292957247052</v>
      </c>
      <c r="CU739" s="410" t="s">
        <v>1124</v>
      </c>
      <c r="CV739" s="410">
        <f>IF(VLOOKUP(BS739,'Données par municipalité'!$B$6:$F$1113,4,FALSE)="","",VLOOKUP(BS739,'Données par municipalité'!$B$6:$F$1113,4,FALSE))</f>
        <v>429</v>
      </c>
      <c r="CW739" s="476" t="s">
        <v>4723</v>
      </c>
      <c r="CX739" s="483">
        <v>0</v>
      </c>
      <c r="CY739" s="483">
        <v>0</v>
      </c>
      <c r="CZ739" s="483">
        <v>0</v>
      </c>
      <c r="DA739" s="483">
        <v>0</v>
      </c>
      <c r="DB739" s="483">
        <v>0</v>
      </c>
      <c r="DC739" s="483">
        <v>0</v>
      </c>
      <c r="DD739" s="483" t="s">
        <v>1124</v>
      </c>
      <c r="DE739" s="483">
        <f>IFERROR(SUM(VLOOKUP($BS739,'État &amp; Plan d''action'!$B$6:$Z$1113,18,FALSE),VLOOKUP($BS739,'État &amp; Plan d''action'!$B$6:$Z$1113,20,FALSE))/(VLOOKUP($BS739,'Données par municipalité'!$B$4:$L$1113,11,FALSE)),"")</f>
        <v>0</v>
      </c>
      <c r="DF739" s="483">
        <f>IFERROR(SUM(VLOOKUP($BS739,'État &amp; Plan d''action'!$B$6:$Z$1113,19,FALSE),VLOOKUP($BS739,'État &amp; Plan d''action'!$B$6:$Z$1113,21,FALSE))/(VLOOKUP($BS739,'Données par municipalité'!$B$4:$L$1113,11,FALSE)),"")</f>
        <v>1</v>
      </c>
      <c r="DG739" s="476" t="s">
        <v>4723</v>
      </c>
      <c r="DH739" s="484">
        <v>12</v>
      </c>
      <c r="DI739" s="484">
        <v>21</v>
      </c>
      <c r="DJ739" s="484">
        <v>19</v>
      </c>
      <c r="DK739" s="484">
        <v>17</v>
      </c>
      <c r="DL739" s="484">
        <v>15</v>
      </c>
      <c r="DM739" s="484">
        <v>17</v>
      </c>
      <c r="DN739" s="484" t="s">
        <v>1124</v>
      </c>
      <c r="DO739" s="484" t="s">
        <v>1124</v>
      </c>
      <c r="DP739" s="484" t="s">
        <v>1124</v>
      </c>
      <c r="DQ739" s="484">
        <f>IF(VLOOKUP($BS739,'État &amp; Plan d''action'!$B$6:$AJ$1113,28,FALSE)="","",VLOOKUP($BS739,'État &amp; Plan d''action'!$B$6:$AJ$1113,28,FALSE))</f>
        <v>15</v>
      </c>
      <c r="DR739" s="70">
        <f>IF(VLOOKUP($BS739,'État &amp; Plan d''action'!$B$6:$AJ$1113,29,FALSE)="","",VLOOKUP($BS739,'État &amp; Plan d''action'!$B$6:$AJ$1113,29,FALSE))</f>
        <v>0</v>
      </c>
      <c r="DS739" s="70">
        <f>IF(VLOOKUP($BS739,'État &amp; Plan d''action'!$B$6:$AJ$1113,30,FALSE)="","",VLOOKUP($BS739,'État &amp; Plan d''action'!$B$6:$AJ$1113,30,FALSE))</f>
        <v>0</v>
      </c>
      <c r="DT739" s="70" t="s">
        <v>1124</v>
      </c>
      <c r="DU739" s="485" t="s">
        <v>1124</v>
      </c>
      <c r="DV739" s="485">
        <v>3.9605625402172668</v>
      </c>
      <c r="DW739" s="70" t="s">
        <v>1124</v>
      </c>
      <c r="DX739" s="70" t="s">
        <v>1124</v>
      </c>
      <c r="DY739" s="70" t="s">
        <v>1124</v>
      </c>
      <c r="DZ739" s="70">
        <f>VLOOKUP($BS739,'État &amp; Plan d''action'!$B$6:$AH$1113,31,FALSE)</f>
        <v>1</v>
      </c>
      <c r="EA739" s="70">
        <f>VLOOKUP($BS739,'État &amp; Plan d''action'!$B$6:$AH$1113,32,FALSE)</f>
        <v>0</v>
      </c>
      <c r="EB739" s="70">
        <f>VLOOKUP($BS739,'État &amp; Plan d''action'!$B$6:$AH$1113,33,FALSE)</f>
        <v>0</v>
      </c>
      <c r="EC739" s="70" t="s">
        <v>1124</v>
      </c>
      <c r="ED739" s="70" t="s">
        <v>1124</v>
      </c>
      <c r="EE739" s="70" t="s">
        <v>1124</v>
      </c>
      <c r="EF739" s="70" t="s">
        <v>1124</v>
      </c>
      <c r="EG739" s="70" t="s">
        <v>1124</v>
      </c>
      <c r="EH739" s="72"/>
      <c r="EI739" s="72">
        <v>13867</v>
      </c>
    </row>
    <row r="740" spans="71:139" x14ac:dyDescent="0.35">
      <c r="BS740" s="486">
        <v>38015</v>
      </c>
      <c r="BT740" s="479" t="s">
        <v>327</v>
      </c>
      <c r="BU740" s="479">
        <v>17</v>
      </c>
      <c r="BV740" s="476" t="s">
        <v>1187</v>
      </c>
      <c r="BW740" s="476" t="s">
        <v>1187</v>
      </c>
      <c r="BX740" s="476" t="s">
        <v>1187</v>
      </c>
      <c r="BY740" s="476" t="s">
        <v>1187</v>
      </c>
      <c r="BZ740" s="476" t="s">
        <v>1187</v>
      </c>
      <c r="CA740" s="476" t="s">
        <v>1187</v>
      </c>
      <c r="CB740" s="476" t="s">
        <v>1187</v>
      </c>
      <c r="CC740" s="476" t="s">
        <v>1187</v>
      </c>
      <c r="CD740" s="476" t="s">
        <v>1187</v>
      </c>
      <c r="CE740" s="476" t="s">
        <v>1188</v>
      </c>
      <c r="CF740" s="476" t="s">
        <v>1188</v>
      </c>
      <c r="CG740" s="476" t="s">
        <v>1188</v>
      </c>
      <c r="CH740" s="476" t="s">
        <v>1188</v>
      </c>
      <c r="CI740" s="476" t="s">
        <v>1188</v>
      </c>
      <c r="CJ740" s="476" t="s">
        <v>1187</v>
      </c>
      <c r="CK740" s="476" t="s">
        <v>1188</v>
      </c>
      <c r="CL740" s="476" t="s">
        <v>1188</v>
      </c>
      <c r="CM740" s="476" t="str">
        <f>IF(VLOOKUP(BS740,'Données par municipalité'!$B$6:$E$1113,4,FALSE)="","non","oui")</f>
        <v>oui</v>
      </c>
      <c r="CN740" s="410">
        <v>657.22369435419193</v>
      </c>
      <c r="CO740" s="410">
        <v>585.10800472839196</v>
      </c>
      <c r="CP740" s="410">
        <v>358.37049734404428</v>
      </c>
      <c r="CQ740" s="410">
        <v>417.60814719930954</v>
      </c>
      <c r="CR740" s="410">
        <v>538.41428501552275</v>
      </c>
      <c r="CS740" s="410" t="s">
        <v>1124</v>
      </c>
      <c r="CT740" s="410">
        <v>276.80326456999268</v>
      </c>
      <c r="CU740" s="410">
        <v>410</v>
      </c>
      <c r="CV740" s="410">
        <f>IF(VLOOKUP(BS740,'Données par municipalité'!$B$6:$F$1113,4,FALSE)="","",VLOOKUP(BS740,'Données par municipalité'!$B$6:$F$1113,4,FALSE))</f>
        <v>334</v>
      </c>
      <c r="CW740" s="476" t="s">
        <v>4723</v>
      </c>
      <c r="CX740" s="483">
        <v>0.8</v>
      </c>
      <c r="CY740" s="483">
        <v>0</v>
      </c>
      <c r="CZ740" s="483">
        <v>0</v>
      </c>
      <c r="DA740" s="483">
        <v>0</v>
      </c>
      <c r="DB740" s="483" t="s">
        <v>1124</v>
      </c>
      <c r="DC740" s="483">
        <v>0</v>
      </c>
      <c r="DD740" s="483">
        <v>1</v>
      </c>
      <c r="DE740" s="483">
        <f>IFERROR(SUM(VLOOKUP($BS740,'État &amp; Plan d''action'!$B$6:$Z$1113,18,FALSE),VLOOKUP($BS740,'État &amp; Plan d''action'!$B$6:$Z$1113,20,FALSE))/(VLOOKUP($BS740,'Données par municipalité'!$B$4:$L$1113,11,FALSE)),"")</f>
        <v>0</v>
      </c>
      <c r="DF740" s="483">
        <f>IFERROR(SUM(VLOOKUP($BS740,'État &amp; Plan d''action'!$B$6:$Z$1113,19,FALSE),VLOOKUP($BS740,'État &amp; Plan d''action'!$B$6:$Z$1113,21,FALSE))/(VLOOKUP($BS740,'Données par municipalité'!$B$4:$L$1113,11,FALSE)),"")</f>
        <v>1.0506085842408712</v>
      </c>
      <c r="DG740" s="476" t="s">
        <v>4723</v>
      </c>
      <c r="DH740" s="484">
        <v>2</v>
      </c>
      <c r="DI740" s="484">
        <v>4</v>
      </c>
      <c r="DJ740" s="484">
        <v>3</v>
      </c>
      <c r="DK740" s="484">
        <v>4</v>
      </c>
      <c r="DL740" s="484" t="s">
        <v>1124</v>
      </c>
      <c r="DM740" s="484">
        <v>1</v>
      </c>
      <c r="DN740" s="484">
        <v>0</v>
      </c>
      <c r="DO740" s="484">
        <v>0</v>
      </c>
      <c r="DP740" s="484">
        <v>0</v>
      </c>
      <c r="DQ740" s="484">
        <f>IF(VLOOKUP($BS740,'État &amp; Plan d''action'!$B$6:$AJ$1113,28,FALSE)="","",VLOOKUP($BS740,'État &amp; Plan d''action'!$B$6:$AJ$1113,28,FALSE))</f>
        <v>0</v>
      </c>
      <c r="DR740" s="70">
        <f>IF(VLOOKUP($BS740,'État &amp; Plan d''action'!$B$6:$AJ$1113,29,FALSE)="","",VLOOKUP($BS740,'État &amp; Plan d''action'!$B$6:$AJ$1113,29,FALSE))</f>
        <v>1</v>
      </c>
      <c r="DS740" s="70">
        <f>IF(VLOOKUP($BS740,'État &amp; Plan d''action'!$B$6:$AJ$1113,30,FALSE)="","",VLOOKUP($BS740,'État &amp; Plan d''action'!$B$6:$AJ$1113,30,FALSE))</f>
        <v>1</v>
      </c>
      <c r="DT740" s="70">
        <v>344</v>
      </c>
      <c r="DU740" s="485">
        <v>1.2096094519850267</v>
      </c>
      <c r="DV740" s="485">
        <v>1.3154642323196244</v>
      </c>
      <c r="DW740" s="70">
        <v>0</v>
      </c>
      <c r="DX740" s="70">
        <v>0</v>
      </c>
      <c r="DY740" s="70">
        <v>0</v>
      </c>
      <c r="DZ740" s="70">
        <f>VLOOKUP($BS740,'État &amp; Plan d''action'!$B$6:$AH$1113,31,FALSE)</f>
        <v>0</v>
      </c>
      <c r="EA740" s="70">
        <f>VLOOKUP($BS740,'État &amp; Plan d''action'!$B$6:$AH$1113,32,FALSE)</f>
        <v>2</v>
      </c>
      <c r="EB740" s="70">
        <f>VLOOKUP($BS740,'État &amp; Plan d''action'!$B$6:$AH$1113,33,FALSE)</f>
        <v>60</v>
      </c>
      <c r="EC740" s="70">
        <v>0</v>
      </c>
      <c r="ED740" s="70">
        <v>0</v>
      </c>
      <c r="EE740" s="70">
        <v>7.8049999999999997</v>
      </c>
      <c r="EF740" s="70">
        <v>0</v>
      </c>
      <c r="EG740" s="70">
        <v>0</v>
      </c>
      <c r="EH740" s="72">
        <v>53</v>
      </c>
      <c r="EI740" s="72">
        <v>461</v>
      </c>
    </row>
    <row r="741" spans="71:139" x14ac:dyDescent="0.35">
      <c r="BS741" s="486">
        <v>54030</v>
      </c>
      <c r="BT741" s="479" t="s">
        <v>545</v>
      </c>
      <c r="BU741" s="479">
        <v>16</v>
      </c>
      <c r="BV741" s="476" t="s">
        <v>1187</v>
      </c>
      <c r="BW741" s="476" t="s">
        <v>1187</v>
      </c>
      <c r="BX741" s="476" t="s">
        <v>1187</v>
      </c>
      <c r="BY741" s="476" t="s">
        <v>1187</v>
      </c>
      <c r="BZ741" s="476" t="s">
        <v>1187</v>
      </c>
      <c r="CA741" s="476" t="s">
        <v>1187</v>
      </c>
      <c r="CB741" s="476" t="s">
        <v>1187</v>
      </c>
      <c r="CC741" s="476" t="s">
        <v>1187</v>
      </c>
      <c r="CD741" s="476" t="s">
        <v>1187</v>
      </c>
      <c r="CE741" s="476" t="s">
        <v>1188</v>
      </c>
      <c r="CF741" s="476" t="s">
        <v>1188</v>
      </c>
      <c r="CG741" s="476" t="s">
        <v>1187</v>
      </c>
      <c r="CH741" s="476" t="s">
        <v>1188</v>
      </c>
      <c r="CI741" s="476" t="s">
        <v>1188</v>
      </c>
      <c r="CJ741" s="476" t="s">
        <v>1188</v>
      </c>
      <c r="CK741" s="476" t="s">
        <v>1187</v>
      </c>
      <c r="CL741" s="476" t="s">
        <v>1187</v>
      </c>
      <c r="CM741" s="476" t="str">
        <f>IF(VLOOKUP(BS741,'Données par municipalité'!$B$6:$E$1113,4,FALSE)="","non","oui")</f>
        <v>oui</v>
      </c>
      <c r="CN741" s="410">
        <v>344.02570583382663</v>
      </c>
      <c r="CO741" s="410">
        <v>301.73991522661004</v>
      </c>
      <c r="CP741" s="410"/>
      <c r="CQ741" s="410">
        <v>310.68075385776689</v>
      </c>
      <c r="CR741" s="410">
        <v>265.29344001472839</v>
      </c>
      <c r="CS741" s="410">
        <v>317.85042060348945</v>
      </c>
      <c r="CT741" s="410"/>
      <c r="CU741" s="410" t="s">
        <v>1124</v>
      </c>
      <c r="CV741" s="410">
        <f>IF(VLOOKUP(BS741,'Données par municipalité'!$B$6:$F$1113,4,FALSE)="","",VLOOKUP(BS741,'Données par municipalité'!$B$6:$F$1113,4,FALSE))</f>
        <v>244</v>
      </c>
      <c r="CW741" s="476" t="s">
        <v>4723</v>
      </c>
      <c r="CX741" s="483">
        <v>0.33</v>
      </c>
      <c r="CY741" s="483" t="s">
        <v>1124</v>
      </c>
      <c r="CZ741" s="483">
        <v>0.33</v>
      </c>
      <c r="DA741" s="483">
        <v>0</v>
      </c>
      <c r="DB741" s="483">
        <v>0</v>
      </c>
      <c r="DC741" s="483" t="s">
        <v>1124</v>
      </c>
      <c r="DD741" s="483" t="s">
        <v>1124</v>
      </c>
      <c r="DE741" s="483">
        <f>IFERROR(SUM(VLOOKUP($BS741,'État &amp; Plan d''action'!$B$6:$Z$1113,18,FALSE),VLOOKUP($BS741,'État &amp; Plan d''action'!$B$6:$Z$1113,20,FALSE))/(VLOOKUP($BS741,'Données par municipalité'!$B$4:$L$1113,11,FALSE)),"")</f>
        <v>0</v>
      </c>
      <c r="DF741" s="483">
        <f>IFERROR(SUM(VLOOKUP($BS741,'État &amp; Plan d''action'!$B$6:$Z$1113,19,FALSE),VLOOKUP($BS741,'État &amp; Plan d''action'!$B$6:$Z$1113,21,FALSE))/(VLOOKUP($BS741,'Données par municipalité'!$B$4:$L$1113,11,FALSE)),"")</f>
        <v>0</v>
      </c>
      <c r="DG741" s="476" t="s">
        <v>4723</v>
      </c>
      <c r="DH741" s="484">
        <v>8</v>
      </c>
      <c r="DI741" s="484" t="s">
        <v>1124</v>
      </c>
      <c r="DJ741" s="484">
        <v>3</v>
      </c>
      <c r="DK741" s="484">
        <v>2</v>
      </c>
      <c r="DL741" s="484">
        <v>3</v>
      </c>
      <c r="DM741" s="484" t="s">
        <v>1124</v>
      </c>
      <c r="DN741" s="484" t="s">
        <v>1124</v>
      </c>
      <c r="DO741" s="484" t="s">
        <v>1124</v>
      </c>
      <c r="DP741" s="484" t="s">
        <v>1124</v>
      </c>
      <c r="DQ741" s="484">
        <f>IF(VLOOKUP($BS741,'État &amp; Plan d''action'!$B$6:$AJ$1113,28,FALSE)="","",VLOOKUP($BS741,'État &amp; Plan d''action'!$B$6:$AJ$1113,28,FALSE))</f>
        <v>3</v>
      </c>
      <c r="DR741" s="70">
        <f>IF(VLOOKUP($BS741,'État &amp; Plan d''action'!$B$6:$AJ$1113,29,FALSE)="","",VLOOKUP($BS741,'État &amp; Plan d''action'!$B$6:$AJ$1113,29,FALSE))</f>
        <v>0</v>
      </c>
      <c r="DS741" s="70">
        <f>IF(VLOOKUP($BS741,'État &amp; Plan d''action'!$B$6:$AJ$1113,30,FALSE)="","",VLOOKUP($BS741,'État &amp; Plan d''action'!$B$6:$AJ$1113,30,FALSE))</f>
        <v>0</v>
      </c>
      <c r="DT741" s="70" t="s">
        <v>1124</v>
      </c>
      <c r="DU741" s="485" t="s">
        <v>1124</v>
      </c>
      <c r="DV741" s="485">
        <v>1.4991955929853065</v>
      </c>
      <c r="DW741" s="70" t="s">
        <v>1124</v>
      </c>
      <c r="DX741" s="70" t="s">
        <v>1124</v>
      </c>
      <c r="DY741" s="70" t="s">
        <v>1124</v>
      </c>
      <c r="DZ741" s="70">
        <f>VLOOKUP($BS741,'État &amp; Plan d''action'!$B$6:$AH$1113,31,FALSE)</f>
        <v>2</v>
      </c>
      <c r="EA741" s="70">
        <f>VLOOKUP($BS741,'État &amp; Plan d''action'!$B$6:$AH$1113,32,FALSE)</f>
        <v>0</v>
      </c>
      <c r="EB741" s="70">
        <f>VLOOKUP($BS741,'État &amp; Plan d''action'!$B$6:$AH$1113,33,FALSE)</f>
        <v>0</v>
      </c>
      <c r="EC741" s="70" t="s">
        <v>1124</v>
      </c>
      <c r="ED741" s="70" t="s">
        <v>1124</v>
      </c>
      <c r="EE741" s="70" t="s">
        <v>1124</v>
      </c>
      <c r="EF741" s="70" t="s">
        <v>1124</v>
      </c>
      <c r="EG741" s="70" t="s">
        <v>1124</v>
      </c>
      <c r="EH741" s="72"/>
      <c r="EI741" s="72">
        <v>2997</v>
      </c>
    </row>
    <row r="742" spans="71:139" x14ac:dyDescent="0.35">
      <c r="BS742" s="486">
        <v>63005</v>
      </c>
      <c r="BT742" s="479" t="s">
        <v>634</v>
      </c>
      <c r="BU742" s="479">
        <v>14</v>
      </c>
      <c r="BV742" s="476" t="s">
        <v>1188</v>
      </c>
      <c r="BW742" s="476" t="s">
        <v>1188</v>
      </c>
      <c r="BX742" s="476" t="s">
        <v>1188</v>
      </c>
      <c r="BY742" s="476" t="s">
        <v>1188</v>
      </c>
      <c r="BZ742" s="476" t="s">
        <v>1188</v>
      </c>
      <c r="CA742" s="476" t="s">
        <v>1188</v>
      </c>
      <c r="CB742" s="476" t="s">
        <v>1188</v>
      </c>
      <c r="CC742" s="476" t="s">
        <v>1188</v>
      </c>
      <c r="CD742" s="476" t="s">
        <v>1188</v>
      </c>
      <c r="CE742" s="476" t="s">
        <v>1187</v>
      </c>
      <c r="CF742" s="476" t="s">
        <v>1187</v>
      </c>
      <c r="CG742" s="476" t="s">
        <v>1187</v>
      </c>
      <c r="CH742" s="476" t="s">
        <v>1187</v>
      </c>
      <c r="CI742" s="476" t="s">
        <v>1187</v>
      </c>
      <c r="CJ742" s="476" t="s">
        <v>1187</v>
      </c>
      <c r="CK742" s="476" t="s">
        <v>1187</v>
      </c>
      <c r="CL742" s="476" t="s">
        <v>1187</v>
      </c>
      <c r="CM742" s="476" t="str">
        <f>IF(VLOOKUP(BS742,'Données par municipalité'!$B$6:$E$1113,4,FALSE)="","non","oui")</f>
        <v>non</v>
      </c>
      <c r="CN742" s="410" t="s">
        <v>1124</v>
      </c>
      <c r="CO742" s="410" t="s">
        <v>1124</v>
      </c>
      <c r="CP742" s="410"/>
      <c r="CQ742" s="410"/>
      <c r="CR742" s="410"/>
      <c r="CS742" s="410" t="s">
        <v>1124</v>
      </c>
      <c r="CT742" s="410"/>
      <c r="CU742" s="410" t="s">
        <v>1124</v>
      </c>
      <c r="CV742" s="410" t="str">
        <f>IF(VLOOKUP(BS742,'Données par municipalité'!$B$6:$F$1113,4,FALSE)="","",VLOOKUP(BS742,'Données par municipalité'!$B$6:$F$1113,4,FALSE))</f>
        <v/>
      </c>
      <c r="CW742" s="476" t="s">
        <v>4723</v>
      </c>
      <c r="CX742" s="483" t="s">
        <v>1124</v>
      </c>
      <c r="CY742" s="483" t="s">
        <v>1124</v>
      </c>
      <c r="CZ742" s="483" t="s">
        <v>1124</v>
      </c>
      <c r="DA742" s="483" t="s">
        <v>1124</v>
      </c>
      <c r="DB742" s="483" t="s">
        <v>1124</v>
      </c>
      <c r="DC742" s="483" t="s">
        <v>1124</v>
      </c>
      <c r="DD742" s="483" t="s">
        <v>1124</v>
      </c>
      <c r="DE742" s="483" t="str">
        <f>IFERROR(SUM(VLOOKUP($BS742,'État &amp; Plan d''action'!$B$6:$Z$1113,18,FALSE),VLOOKUP($BS742,'État &amp; Plan d''action'!$B$6:$Z$1113,20,FALSE))/(VLOOKUP($BS742,'Données par municipalité'!$B$4:$L$1113,11,FALSE)),"")</f>
        <v/>
      </c>
      <c r="DF742" s="483" t="str">
        <f>IFERROR(SUM(VLOOKUP($BS742,'État &amp; Plan d''action'!$B$6:$Z$1113,19,FALSE),VLOOKUP($BS742,'État &amp; Plan d''action'!$B$6:$Z$1113,21,FALSE))/(VLOOKUP($BS742,'Données par municipalité'!$B$4:$L$1113,11,FALSE)),"")</f>
        <v/>
      </c>
      <c r="DG742" s="476" t="s">
        <v>4723</v>
      </c>
      <c r="DH742" s="484" t="s">
        <v>1124</v>
      </c>
      <c r="DI742" s="484" t="s">
        <v>1124</v>
      </c>
      <c r="DJ742" s="484">
        <v>0</v>
      </c>
      <c r="DK742" s="484">
        <v>0</v>
      </c>
      <c r="DL742" s="484" t="s">
        <v>1124</v>
      </c>
      <c r="DM742" s="484" t="s">
        <v>1124</v>
      </c>
      <c r="DN742" s="484" t="s">
        <v>1124</v>
      </c>
      <c r="DO742" s="484" t="s">
        <v>1124</v>
      </c>
      <c r="DP742" s="484" t="s">
        <v>1124</v>
      </c>
      <c r="DQ742" s="484" t="str">
        <f>IF(VLOOKUP($BS742,'État &amp; Plan d''action'!$B$6:$AJ$1113,28,FALSE)="","",VLOOKUP($BS742,'État &amp; Plan d''action'!$B$6:$AJ$1113,28,FALSE))</f>
        <v/>
      </c>
      <c r="DR742" s="70" t="str">
        <f>IF(VLOOKUP($BS742,'État &amp; Plan d''action'!$B$6:$AJ$1113,29,FALSE)="","",VLOOKUP($BS742,'État &amp; Plan d''action'!$B$6:$AJ$1113,29,FALSE))</f>
        <v/>
      </c>
      <c r="DS742" s="70" t="str">
        <f>IF(VLOOKUP($BS742,'État &amp; Plan d''action'!$B$6:$AJ$1113,30,FALSE)="","",VLOOKUP($BS742,'État &amp; Plan d''action'!$B$6:$AJ$1113,30,FALSE))</f>
        <v/>
      </c>
      <c r="DT742" s="70" t="s">
        <v>1124</v>
      </c>
      <c r="DU742" s="485" t="s">
        <v>1124</v>
      </c>
      <c r="DV742" s="485" t="s">
        <v>1124</v>
      </c>
      <c r="DW742" s="70" t="s">
        <v>1124</v>
      </c>
      <c r="DX742" s="70" t="s">
        <v>1124</v>
      </c>
      <c r="DY742" s="70" t="s">
        <v>1124</v>
      </c>
      <c r="DZ742" s="70" t="str">
        <f>VLOOKUP($BS742,'État &amp; Plan d''action'!$B$6:$AH$1113,31,FALSE)</f>
        <v/>
      </c>
      <c r="EA742" s="70" t="str">
        <f>VLOOKUP($BS742,'État &amp; Plan d''action'!$B$6:$AH$1113,32,FALSE)</f>
        <v/>
      </c>
      <c r="EB742" s="70" t="str">
        <f>VLOOKUP($BS742,'État &amp; Plan d''action'!$B$6:$AH$1113,33,FALSE)</f>
        <v/>
      </c>
      <c r="EC742" s="70" t="s">
        <v>1124</v>
      </c>
      <c r="ED742" s="70" t="s">
        <v>1124</v>
      </c>
      <c r="EE742" s="70" t="s">
        <v>1124</v>
      </c>
      <c r="EF742" s="70" t="s">
        <v>1124</v>
      </c>
      <c r="EG742" s="70" t="s">
        <v>1124</v>
      </c>
      <c r="EH742" s="72"/>
      <c r="EI742" s="72">
        <v>1213</v>
      </c>
    </row>
    <row r="743" spans="71:139" x14ac:dyDescent="0.35">
      <c r="BS743" s="486">
        <v>71110</v>
      </c>
      <c r="BT743" s="479" t="s">
        <v>722</v>
      </c>
      <c r="BU743" s="479">
        <v>16</v>
      </c>
      <c r="BV743" s="476" t="s">
        <v>1187</v>
      </c>
      <c r="BW743" s="476" t="s">
        <v>1187</v>
      </c>
      <c r="BX743" s="476" t="s">
        <v>1187</v>
      </c>
      <c r="BY743" s="476" t="s">
        <v>1187</v>
      </c>
      <c r="BZ743" s="476" t="s">
        <v>1187</v>
      </c>
      <c r="CA743" s="476" t="s">
        <v>1187</v>
      </c>
      <c r="CB743" s="476" t="s">
        <v>1187</v>
      </c>
      <c r="CC743" s="476" t="s">
        <v>1187</v>
      </c>
      <c r="CD743" s="476" t="s">
        <v>1187</v>
      </c>
      <c r="CE743" s="476" t="s">
        <v>1187</v>
      </c>
      <c r="CF743" s="476" t="s">
        <v>1187</v>
      </c>
      <c r="CG743" s="476" t="s">
        <v>1187</v>
      </c>
      <c r="CH743" s="476" t="s">
        <v>1187</v>
      </c>
      <c r="CI743" s="476" t="s">
        <v>1187</v>
      </c>
      <c r="CJ743" s="476" t="s">
        <v>1187</v>
      </c>
      <c r="CK743" s="476" t="s">
        <v>1187</v>
      </c>
      <c r="CL743" s="476" t="s">
        <v>1188</v>
      </c>
      <c r="CM743" s="476" t="str">
        <f>IF(VLOOKUP(BS743,'Données par municipalité'!$B$6:$E$1113,4,FALSE)="","non","oui")</f>
        <v>non</v>
      </c>
      <c r="CN743" s="410" t="s">
        <v>1124</v>
      </c>
      <c r="CO743" s="410" t="s">
        <v>1124</v>
      </c>
      <c r="CP743" s="410"/>
      <c r="CQ743" s="410"/>
      <c r="CR743" s="410"/>
      <c r="CS743" s="410" t="s">
        <v>1124</v>
      </c>
      <c r="CT743" s="410"/>
      <c r="CU743" s="410">
        <v>345</v>
      </c>
      <c r="CV743" s="410" t="str">
        <f>IF(VLOOKUP(BS743,'Données par municipalité'!$B$6:$F$1113,4,FALSE)="","",VLOOKUP(BS743,'Données par municipalité'!$B$6:$F$1113,4,FALSE))</f>
        <v/>
      </c>
      <c r="CW743" s="476" t="s">
        <v>4723</v>
      </c>
      <c r="CX743" s="483" t="s">
        <v>1124</v>
      </c>
      <c r="CY743" s="483" t="s">
        <v>1124</v>
      </c>
      <c r="CZ743" s="483" t="s">
        <v>1124</v>
      </c>
      <c r="DA743" s="483" t="s">
        <v>1124</v>
      </c>
      <c r="DB743" s="483" t="s">
        <v>1124</v>
      </c>
      <c r="DC743" s="483" t="s">
        <v>1124</v>
      </c>
      <c r="DD743" s="483">
        <v>0</v>
      </c>
      <c r="DE743" s="483" t="str">
        <f>IFERROR(SUM(VLOOKUP($BS743,'État &amp; Plan d''action'!$B$6:$Z$1113,18,FALSE),VLOOKUP($BS743,'État &amp; Plan d''action'!$B$6:$Z$1113,20,FALSE))/(VLOOKUP($BS743,'Données par municipalité'!$B$4:$L$1113,11,FALSE)),"")</f>
        <v/>
      </c>
      <c r="DF743" s="483" t="str">
        <f>IFERROR(SUM(VLOOKUP($BS743,'État &amp; Plan d''action'!$B$6:$Z$1113,19,FALSE),VLOOKUP($BS743,'État &amp; Plan d''action'!$B$6:$Z$1113,21,FALSE))/(VLOOKUP($BS743,'Données par municipalité'!$B$4:$L$1113,11,FALSE)),"")</f>
        <v/>
      </c>
      <c r="DG743" s="476" t="s">
        <v>4723</v>
      </c>
      <c r="DH743" s="484">
        <v>0</v>
      </c>
      <c r="DI743" s="484">
        <v>0</v>
      </c>
      <c r="DJ743" s="484">
        <v>1</v>
      </c>
      <c r="DK743" s="484">
        <v>1</v>
      </c>
      <c r="DL743" s="484" t="s">
        <v>1124</v>
      </c>
      <c r="DM743" s="484" t="s">
        <v>1124</v>
      </c>
      <c r="DN743" s="484">
        <v>2</v>
      </c>
      <c r="DO743" s="484">
        <v>0</v>
      </c>
      <c r="DP743" s="484">
        <v>0</v>
      </c>
      <c r="DQ743" s="484" t="str">
        <f>IF(VLOOKUP($BS743,'État &amp; Plan d''action'!$B$6:$AJ$1113,28,FALSE)="","",VLOOKUP($BS743,'État &amp; Plan d''action'!$B$6:$AJ$1113,28,FALSE))</f>
        <v/>
      </c>
      <c r="DR743" s="70" t="str">
        <f>IF(VLOOKUP($BS743,'État &amp; Plan d''action'!$B$6:$AJ$1113,29,FALSE)="","",VLOOKUP($BS743,'État &amp; Plan d''action'!$B$6:$AJ$1113,29,FALSE))</f>
        <v/>
      </c>
      <c r="DS743" s="70" t="str">
        <f>IF(VLOOKUP($BS743,'État &amp; Plan d''action'!$B$6:$AJ$1113,30,FALSE)="","",VLOOKUP($BS743,'État &amp; Plan d''action'!$B$6:$AJ$1113,30,FALSE))</f>
        <v/>
      </c>
      <c r="DT743" s="70">
        <v>276</v>
      </c>
      <c r="DU743" s="485">
        <v>1.4304456188561911</v>
      </c>
      <c r="DV743" s="485" t="s">
        <v>1124</v>
      </c>
      <c r="DW743" s="70">
        <v>2</v>
      </c>
      <c r="DX743" s="70">
        <v>0</v>
      </c>
      <c r="DY743" s="70">
        <v>0</v>
      </c>
      <c r="DZ743" s="70" t="str">
        <f>VLOOKUP($BS743,'État &amp; Plan d''action'!$B$6:$AH$1113,31,FALSE)</f>
        <v/>
      </c>
      <c r="EA743" s="70" t="str">
        <f>VLOOKUP($BS743,'État &amp; Plan d''action'!$B$6:$AH$1113,32,FALSE)</f>
        <v/>
      </c>
      <c r="EB743" s="70" t="str">
        <f>VLOOKUP($BS743,'État &amp; Plan d''action'!$B$6:$AH$1113,33,FALSE)</f>
        <v/>
      </c>
      <c r="EC743" s="70">
        <v>0</v>
      </c>
      <c r="ED743" s="70">
        <v>0</v>
      </c>
      <c r="EE743" s="70">
        <v>0</v>
      </c>
      <c r="EF743" s="70">
        <v>0</v>
      </c>
      <c r="EG743" s="70">
        <v>0</v>
      </c>
      <c r="EH743" s="72">
        <v>41</v>
      </c>
      <c r="EI743" s="72">
        <v>1030</v>
      </c>
    </row>
    <row r="744" spans="71:139" x14ac:dyDescent="0.35">
      <c r="BS744" s="486">
        <v>72015</v>
      </c>
      <c r="BT744" s="479" t="s">
        <v>729</v>
      </c>
      <c r="BU744" s="479">
        <v>15</v>
      </c>
      <c r="BV744" s="476" t="s">
        <v>1187</v>
      </c>
      <c r="BW744" s="476" t="s">
        <v>1187</v>
      </c>
      <c r="BX744" s="476" t="s">
        <v>1187</v>
      </c>
      <c r="BY744" s="476" t="s">
        <v>1187</v>
      </c>
      <c r="BZ744" s="476" t="s">
        <v>1187</v>
      </c>
      <c r="CA744" s="476" t="s">
        <v>1187</v>
      </c>
      <c r="CB744" s="476" t="s">
        <v>1187</v>
      </c>
      <c r="CC744" s="476" t="s">
        <v>1187</v>
      </c>
      <c r="CD744" s="476" t="s">
        <v>1187</v>
      </c>
      <c r="CE744" s="476" t="s">
        <v>1188</v>
      </c>
      <c r="CF744" s="476" t="s">
        <v>1188</v>
      </c>
      <c r="CG744" s="476" t="s">
        <v>1188</v>
      </c>
      <c r="CH744" s="476" t="s">
        <v>1188</v>
      </c>
      <c r="CI744" s="476" t="s">
        <v>1188</v>
      </c>
      <c r="CJ744" s="476" t="s">
        <v>1188</v>
      </c>
      <c r="CK744" s="476" t="s">
        <v>1188</v>
      </c>
      <c r="CL744" s="476" t="s">
        <v>1188</v>
      </c>
      <c r="CM744" s="476" t="str">
        <f>IF(VLOOKUP(BS744,'Données par municipalité'!$B$6:$E$1113,4,FALSE)="","non","oui")</f>
        <v>oui</v>
      </c>
      <c r="CN744" s="410">
        <v>266.19784061900936</v>
      </c>
      <c r="CO744" s="410">
        <v>306.55171763285477</v>
      </c>
      <c r="CP744" s="410">
        <v>244.07317763017235</v>
      </c>
      <c r="CQ744" s="410">
        <v>288.07216839291681</v>
      </c>
      <c r="CR744" s="410">
        <v>275.67548384380569</v>
      </c>
      <c r="CS744" s="410">
        <v>265.67921304763416</v>
      </c>
      <c r="CT744" s="410">
        <v>263.4646510680621</v>
      </c>
      <c r="CU744" s="410">
        <v>289</v>
      </c>
      <c r="CV744" s="410">
        <f>IF(VLOOKUP(BS744,'Données par municipalité'!$B$6:$F$1113,4,FALSE)="","",VLOOKUP(BS744,'Données par municipalité'!$B$6:$F$1113,4,FALSE))</f>
        <v>246</v>
      </c>
      <c r="CW744" s="476" t="s">
        <v>4723</v>
      </c>
      <c r="CX744" s="483">
        <v>0</v>
      </c>
      <c r="CY744" s="483">
        <v>0</v>
      </c>
      <c r="CZ744" s="483">
        <v>0</v>
      </c>
      <c r="DA744" s="483">
        <v>0</v>
      </c>
      <c r="DB744" s="483">
        <v>0</v>
      </c>
      <c r="DC744" s="483">
        <v>0.1</v>
      </c>
      <c r="DD744" s="483">
        <v>0</v>
      </c>
      <c r="DE744" s="483">
        <f>IFERROR(SUM(VLOOKUP($BS744,'État &amp; Plan d''action'!$B$6:$Z$1113,18,FALSE),VLOOKUP($BS744,'État &amp; Plan d''action'!$B$6:$Z$1113,20,FALSE))/(VLOOKUP($BS744,'Données par municipalité'!$B$4:$L$1113,11,FALSE)),"")</f>
        <v>0</v>
      </c>
      <c r="DF744" s="483">
        <f>IFERROR(SUM(VLOOKUP($BS744,'État &amp; Plan d''action'!$B$6:$Z$1113,19,FALSE),VLOOKUP($BS744,'État &amp; Plan d''action'!$B$6:$Z$1113,21,FALSE))/(VLOOKUP($BS744,'Données par municipalité'!$B$4:$L$1113,11,FALSE)),"")</f>
        <v>1</v>
      </c>
      <c r="DG744" s="476" t="s">
        <v>4723</v>
      </c>
      <c r="DH744" s="484">
        <v>6</v>
      </c>
      <c r="DI744" s="484">
        <v>1</v>
      </c>
      <c r="DJ744" s="484">
        <v>1</v>
      </c>
      <c r="DK744" s="484">
        <v>0</v>
      </c>
      <c r="DL744" s="484">
        <v>0</v>
      </c>
      <c r="DM744" s="484">
        <v>5</v>
      </c>
      <c r="DN744" s="484">
        <v>5</v>
      </c>
      <c r="DO744" s="484">
        <v>10</v>
      </c>
      <c r="DP744" s="484">
        <v>3</v>
      </c>
      <c r="DQ744" s="484">
        <f>IF(VLOOKUP($BS744,'État &amp; Plan d''action'!$B$6:$AJ$1113,28,FALSE)="","",VLOOKUP($BS744,'État &amp; Plan d''action'!$B$6:$AJ$1113,28,FALSE))</f>
        <v>5</v>
      </c>
      <c r="DR744" s="70">
        <f>IF(VLOOKUP($BS744,'État &amp; Plan d''action'!$B$6:$AJ$1113,29,FALSE)="","",VLOOKUP($BS744,'État &amp; Plan d''action'!$B$6:$AJ$1113,29,FALSE))</f>
        <v>0</v>
      </c>
      <c r="DS744" s="70">
        <f>IF(VLOOKUP($BS744,'État &amp; Plan d''action'!$B$6:$AJ$1113,30,FALSE)="","",VLOOKUP($BS744,'État &amp; Plan d''action'!$B$6:$AJ$1113,30,FALSE))</f>
        <v>0</v>
      </c>
      <c r="DT744" s="70">
        <v>258</v>
      </c>
      <c r="DU744" s="485">
        <v>0.67598375341181416</v>
      </c>
      <c r="DV744" s="485">
        <v>3.4432822477119767</v>
      </c>
      <c r="DW744" s="70">
        <v>1</v>
      </c>
      <c r="DX744" s="70">
        <v>1</v>
      </c>
      <c r="DY744" s="70">
        <v>3</v>
      </c>
      <c r="DZ744" s="70">
        <f>VLOOKUP($BS744,'État &amp; Plan d''action'!$B$6:$AH$1113,31,FALSE)</f>
        <v>1</v>
      </c>
      <c r="EA744" s="70">
        <f>VLOOKUP($BS744,'État &amp; Plan d''action'!$B$6:$AH$1113,32,FALSE)</f>
        <v>0</v>
      </c>
      <c r="EB744" s="70">
        <f>VLOOKUP($BS744,'État &amp; Plan d''action'!$B$6:$AH$1113,33,FALSE)</f>
        <v>0</v>
      </c>
      <c r="EC744" s="70">
        <v>0</v>
      </c>
      <c r="ED744" s="70">
        <v>0</v>
      </c>
      <c r="EE744" s="70">
        <v>0</v>
      </c>
      <c r="EF744" s="70">
        <v>0</v>
      </c>
      <c r="EG744" s="70">
        <v>0</v>
      </c>
      <c r="EH744" s="72">
        <v>60</v>
      </c>
      <c r="EI744" s="72">
        <v>19216</v>
      </c>
    </row>
    <row r="745" spans="71:139" x14ac:dyDescent="0.35">
      <c r="BS745" s="486">
        <v>70012</v>
      </c>
      <c r="BT745" s="479" t="s">
        <v>698</v>
      </c>
      <c r="BU745" s="479">
        <v>16</v>
      </c>
      <c r="BV745" s="476" t="s">
        <v>1187</v>
      </c>
      <c r="BW745" s="476" t="s">
        <v>1187</v>
      </c>
      <c r="BX745" s="476" t="s">
        <v>1187</v>
      </c>
      <c r="BY745" s="476" t="s">
        <v>1187</v>
      </c>
      <c r="BZ745" s="476" t="s">
        <v>1187</v>
      </c>
      <c r="CA745" s="476" t="s">
        <v>1187</v>
      </c>
      <c r="CB745" s="476" t="s">
        <v>1187</v>
      </c>
      <c r="CC745" s="476" t="s">
        <v>1187</v>
      </c>
      <c r="CD745" s="476" t="s">
        <v>1187</v>
      </c>
      <c r="CE745" s="476" t="s">
        <v>1188</v>
      </c>
      <c r="CF745" s="476" t="s">
        <v>1188</v>
      </c>
      <c r="CG745" s="476" t="s">
        <v>1188</v>
      </c>
      <c r="CH745" s="476" t="s">
        <v>1188</v>
      </c>
      <c r="CI745" s="476" t="s">
        <v>1188</v>
      </c>
      <c r="CJ745" s="476" t="s">
        <v>1187</v>
      </c>
      <c r="CK745" s="476" t="s">
        <v>1187</v>
      </c>
      <c r="CL745" s="476" t="s">
        <v>1187</v>
      </c>
      <c r="CM745" s="476" t="str">
        <f>IF(VLOOKUP(BS745,'Données par municipalité'!$B$6:$E$1113,4,FALSE)="","non","oui")</f>
        <v>non</v>
      </c>
      <c r="CN745" s="410">
        <v>642.26301762993319</v>
      </c>
      <c r="CO745" s="410">
        <v>614.86109657032875</v>
      </c>
      <c r="CP745" s="410">
        <v>625.55012438464269</v>
      </c>
      <c r="CQ745" s="410">
        <v>643.73794776139698</v>
      </c>
      <c r="CR745" s="410">
        <v>593.27715768603775</v>
      </c>
      <c r="CS745" s="410" t="s">
        <v>1124</v>
      </c>
      <c r="CT745" s="410"/>
      <c r="CU745" s="410" t="s">
        <v>1124</v>
      </c>
      <c r="CV745" s="410" t="str">
        <f>IF(VLOOKUP(BS745,'Données par municipalité'!$B$6:$F$1113,4,FALSE)="","",VLOOKUP(BS745,'Données par municipalité'!$B$6:$F$1113,4,FALSE))</f>
        <v/>
      </c>
      <c r="CW745" s="476" t="s">
        <v>4723</v>
      </c>
      <c r="CX745" s="483">
        <v>0.5</v>
      </c>
      <c r="CY745" s="483">
        <v>0</v>
      </c>
      <c r="CZ745" s="483">
        <v>0</v>
      </c>
      <c r="DA745" s="483">
        <v>0</v>
      </c>
      <c r="DB745" s="483" t="s">
        <v>1124</v>
      </c>
      <c r="DC745" s="483" t="s">
        <v>1124</v>
      </c>
      <c r="DD745" s="483" t="s">
        <v>1124</v>
      </c>
      <c r="DE745" s="483" t="str">
        <f>IFERROR(SUM(VLOOKUP($BS745,'État &amp; Plan d''action'!$B$6:$Z$1113,18,FALSE),VLOOKUP($BS745,'État &amp; Plan d''action'!$B$6:$Z$1113,20,FALSE))/(VLOOKUP($BS745,'Données par municipalité'!$B$4:$L$1113,11,FALSE)),"")</f>
        <v/>
      </c>
      <c r="DF745" s="483" t="str">
        <f>IFERROR(SUM(VLOOKUP($BS745,'État &amp; Plan d''action'!$B$6:$Z$1113,19,FALSE),VLOOKUP($BS745,'État &amp; Plan d''action'!$B$6:$Z$1113,21,FALSE))/(VLOOKUP($BS745,'Données par municipalité'!$B$4:$L$1113,11,FALSE)),"")</f>
        <v/>
      </c>
      <c r="DG745" s="476" t="s">
        <v>4723</v>
      </c>
      <c r="DH745" s="484">
        <v>4</v>
      </c>
      <c r="DI745" s="484" t="s">
        <v>1124</v>
      </c>
      <c r="DJ745" s="484">
        <v>11</v>
      </c>
      <c r="DK745" s="484">
        <v>0</v>
      </c>
      <c r="DL745" s="484" t="s">
        <v>1124</v>
      </c>
      <c r="DM745" s="484" t="s">
        <v>1124</v>
      </c>
      <c r="DN745" s="484" t="s">
        <v>1124</v>
      </c>
      <c r="DO745" s="484" t="s">
        <v>1124</v>
      </c>
      <c r="DP745" s="484" t="s">
        <v>1124</v>
      </c>
      <c r="DQ745" s="484" t="str">
        <f>IF(VLOOKUP($BS745,'État &amp; Plan d''action'!$B$6:$AJ$1113,28,FALSE)="","",VLOOKUP($BS745,'État &amp; Plan d''action'!$B$6:$AJ$1113,28,FALSE))</f>
        <v/>
      </c>
      <c r="DR745" s="70" t="str">
        <f>IF(VLOOKUP($BS745,'État &amp; Plan d''action'!$B$6:$AJ$1113,29,FALSE)="","",VLOOKUP($BS745,'État &amp; Plan d''action'!$B$6:$AJ$1113,29,FALSE))</f>
        <v/>
      </c>
      <c r="DS745" s="70" t="str">
        <f>IF(VLOOKUP($BS745,'État &amp; Plan d''action'!$B$6:$AJ$1113,30,FALSE)="","",VLOOKUP($BS745,'État &amp; Plan d''action'!$B$6:$AJ$1113,30,FALSE))</f>
        <v/>
      </c>
      <c r="DT745" s="70" t="s">
        <v>1124</v>
      </c>
      <c r="DU745" s="485" t="s">
        <v>1124</v>
      </c>
      <c r="DV745" s="485" t="s">
        <v>1124</v>
      </c>
      <c r="DW745" s="70" t="s">
        <v>1124</v>
      </c>
      <c r="DX745" s="70" t="s">
        <v>1124</v>
      </c>
      <c r="DY745" s="70" t="s">
        <v>1124</v>
      </c>
      <c r="DZ745" s="70" t="str">
        <f>VLOOKUP($BS745,'État &amp; Plan d''action'!$B$6:$AH$1113,31,FALSE)</f>
        <v/>
      </c>
      <c r="EA745" s="70" t="str">
        <f>VLOOKUP($BS745,'État &amp; Plan d''action'!$B$6:$AH$1113,32,FALSE)</f>
        <v/>
      </c>
      <c r="EB745" s="70" t="str">
        <f>VLOOKUP($BS745,'État &amp; Plan d''action'!$B$6:$AH$1113,33,FALSE)</f>
        <v/>
      </c>
      <c r="EC745" s="70" t="s">
        <v>1124</v>
      </c>
      <c r="ED745" s="70" t="s">
        <v>1124</v>
      </c>
      <c r="EE745" s="70" t="s">
        <v>1124</v>
      </c>
      <c r="EF745" s="70" t="s">
        <v>1124</v>
      </c>
      <c r="EG745" s="70" t="s">
        <v>1124</v>
      </c>
      <c r="EH745" s="72"/>
      <c r="EI745" s="72">
        <v>5586</v>
      </c>
    </row>
    <row r="746" spans="71:139" x14ac:dyDescent="0.35">
      <c r="BS746" s="486">
        <v>61050</v>
      </c>
      <c r="BT746" s="479" t="s">
        <v>618</v>
      </c>
      <c r="BU746" s="479">
        <v>14</v>
      </c>
      <c r="BV746" s="476" t="s">
        <v>1187</v>
      </c>
      <c r="BW746" s="476" t="s">
        <v>1187</v>
      </c>
      <c r="BX746" s="476" t="s">
        <v>1187</v>
      </c>
      <c r="BY746" s="476" t="s">
        <v>1187</v>
      </c>
      <c r="BZ746" s="476" t="s">
        <v>1187</v>
      </c>
      <c r="CA746" s="476" t="s">
        <v>1187</v>
      </c>
      <c r="CB746" s="476" t="s">
        <v>1187</v>
      </c>
      <c r="CC746" s="476" t="s">
        <v>1187</v>
      </c>
      <c r="CD746" s="476" t="s">
        <v>1187</v>
      </c>
      <c r="CE746" s="476" t="s">
        <v>1188</v>
      </c>
      <c r="CF746" s="476" t="s">
        <v>1188</v>
      </c>
      <c r="CG746" s="476" t="s">
        <v>1187</v>
      </c>
      <c r="CH746" s="476" t="s">
        <v>1188</v>
      </c>
      <c r="CI746" s="476" t="s">
        <v>1188</v>
      </c>
      <c r="CJ746" s="476" t="s">
        <v>1188</v>
      </c>
      <c r="CK746" s="476" t="s">
        <v>1188</v>
      </c>
      <c r="CL746" s="476" t="s">
        <v>1187</v>
      </c>
      <c r="CM746" s="476" t="str">
        <f>IF(VLOOKUP(BS746,'Données par municipalité'!$B$6:$E$1113,4,FALSE)="","non","oui")</f>
        <v>non</v>
      </c>
      <c r="CN746" s="410">
        <v>356.60681963541543</v>
      </c>
      <c r="CO746" s="410">
        <v>419.67490177056339</v>
      </c>
      <c r="CP746" s="410"/>
      <c r="CQ746" s="410">
        <v>391.39262046037004</v>
      </c>
      <c r="CR746" s="410">
        <v>455.53945805539456</v>
      </c>
      <c r="CS746" s="410">
        <v>478.2112615208826</v>
      </c>
      <c r="CT746" s="410">
        <v>446.48502182748751</v>
      </c>
      <c r="CU746" s="410" t="s">
        <v>1124</v>
      </c>
      <c r="CV746" s="410" t="str">
        <f>IF(VLOOKUP(BS746,'Données par municipalité'!$B$6:$F$1113,4,FALSE)="","",VLOOKUP(BS746,'Données par municipalité'!$B$6:$F$1113,4,FALSE))</f>
        <v/>
      </c>
      <c r="CW746" s="476" t="s">
        <v>4723</v>
      </c>
      <c r="CX746" s="483">
        <v>0</v>
      </c>
      <c r="CY746" s="483" t="s">
        <v>1124</v>
      </c>
      <c r="CZ746" s="483">
        <v>0.1</v>
      </c>
      <c r="DA746" s="483">
        <v>0.1</v>
      </c>
      <c r="DB746" s="483">
        <v>0.1</v>
      </c>
      <c r="DC746" s="483">
        <v>0.08</v>
      </c>
      <c r="DD746" s="483" t="s">
        <v>1124</v>
      </c>
      <c r="DE746" s="483" t="str">
        <f>IFERROR(SUM(VLOOKUP($BS746,'État &amp; Plan d''action'!$B$6:$Z$1113,18,FALSE),VLOOKUP($BS746,'État &amp; Plan d''action'!$B$6:$Z$1113,20,FALSE))/(VLOOKUP($BS746,'Données par municipalité'!$B$4:$L$1113,11,FALSE)),"")</f>
        <v/>
      </c>
      <c r="DF746" s="483" t="str">
        <f>IFERROR(SUM(VLOOKUP($BS746,'État &amp; Plan d''action'!$B$6:$Z$1113,19,FALSE),VLOOKUP($BS746,'État &amp; Plan d''action'!$B$6:$Z$1113,21,FALSE))/(VLOOKUP($BS746,'Données par municipalité'!$B$4:$L$1113,11,FALSE)),"")</f>
        <v/>
      </c>
      <c r="DG746" s="476" t="s">
        <v>4723</v>
      </c>
      <c r="DH746" s="484">
        <v>2</v>
      </c>
      <c r="DI746" s="484" t="s">
        <v>1124</v>
      </c>
      <c r="DJ746" s="484">
        <v>5</v>
      </c>
      <c r="DK746" s="484">
        <v>6</v>
      </c>
      <c r="DL746" s="484">
        <v>5</v>
      </c>
      <c r="DM746" s="484">
        <v>2</v>
      </c>
      <c r="DN746" s="484" t="s">
        <v>1124</v>
      </c>
      <c r="DO746" s="484" t="s">
        <v>1124</v>
      </c>
      <c r="DP746" s="484" t="s">
        <v>1124</v>
      </c>
      <c r="DQ746" s="484" t="str">
        <f>IF(VLOOKUP($BS746,'État &amp; Plan d''action'!$B$6:$AJ$1113,28,FALSE)="","",VLOOKUP($BS746,'État &amp; Plan d''action'!$B$6:$AJ$1113,28,FALSE))</f>
        <v/>
      </c>
      <c r="DR746" s="70" t="str">
        <f>IF(VLOOKUP($BS746,'État &amp; Plan d''action'!$B$6:$AJ$1113,29,FALSE)="","",VLOOKUP($BS746,'État &amp; Plan d''action'!$B$6:$AJ$1113,29,FALSE))</f>
        <v/>
      </c>
      <c r="DS746" s="70" t="str">
        <f>IF(VLOOKUP($BS746,'État &amp; Plan d''action'!$B$6:$AJ$1113,30,FALSE)="","",VLOOKUP($BS746,'État &amp; Plan d''action'!$B$6:$AJ$1113,30,FALSE))</f>
        <v/>
      </c>
      <c r="DT746" s="70" t="s">
        <v>1124</v>
      </c>
      <c r="DU746" s="485" t="s">
        <v>1124</v>
      </c>
      <c r="DV746" s="485" t="s">
        <v>1124</v>
      </c>
      <c r="DW746" s="70" t="s">
        <v>1124</v>
      </c>
      <c r="DX746" s="70" t="s">
        <v>1124</v>
      </c>
      <c r="DY746" s="70" t="s">
        <v>1124</v>
      </c>
      <c r="DZ746" s="70" t="str">
        <f>VLOOKUP($BS746,'État &amp; Plan d''action'!$B$6:$AH$1113,31,FALSE)</f>
        <v/>
      </c>
      <c r="EA746" s="70" t="str">
        <f>VLOOKUP($BS746,'État &amp; Plan d''action'!$B$6:$AH$1113,32,FALSE)</f>
        <v/>
      </c>
      <c r="EB746" s="70" t="str">
        <f>VLOOKUP($BS746,'État &amp; Plan d''action'!$B$6:$AH$1113,33,FALSE)</f>
        <v/>
      </c>
      <c r="EC746" s="70" t="s">
        <v>1124</v>
      </c>
      <c r="ED746" s="70" t="s">
        <v>1124</v>
      </c>
      <c r="EE746" s="70" t="s">
        <v>1124</v>
      </c>
      <c r="EF746" s="70" t="s">
        <v>1124</v>
      </c>
      <c r="EG746" s="70" t="s">
        <v>1124</v>
      </c>
      <c r="EH746" s="72"/>
      <c r="EI746" s="72">
        <v>3109</v>
      </c>
    </row>
    <row r="747" spans="71:139" x14ac:dyDescent="0.35">
      <c r="BS747" s="486">
        <v>80125</v>
      </c>
      <c r="BT747" s="479" t="s">
        <v>822</v>
      </c>
      <c r="BU747" s="479">
        <v>7</v>
      </c>
      <c r="BV747" s="476" t="s">
        <v>1188</v>
      </c>
      <c r="BW747" s="476" t="s">
        <v>1188</v>
      </c>
      <c r="BX747" s="476" t="s">
        <v>1188</v>
      </c>
      <c r="BY747" s="476" t="s">
        <v>1188</v>
      </c>
      <c r="BZ747" s="476" t="s">
        <v>1188</v>
      </c>
      <c r="CA747" s="476" t="s">
        <v>1188</v>
      </c>
      <c r="CB747" s="476" t="s">
        <v>1188</v>
      </c>
      <c r="CC747" s="476" t="s">
        <v>1188</v>
      </c>
      <c r="CD747" s="476" t="s">
        <v>1188</v>
      </c>
      <c r="CE747" s="476" t="s">
        <v>1187</v>
      </c>
      <c r="CF747" s="476" t="s">
        <v>1187</v>
      </c>
      <c r="CG747" s="476" t="s">
        <v>1187</v>
      </c>
      <c r="CH747" s="476" t="s">
        <v>1187</v>
      </c>
      <c r="CI747" s="476" t="s">
        <v>1187</v>
      </c>
      <c r="CJ747" s="476" t="s">
        <v>1187</v>
      </c>
      <c r="CK747" s="476" t="s">
        <v>1187</v>
      </c>
      <c r="CL747" s="476" t="s">
        <v>1187</v>
      </c>
      <c r="CM747" s="476" t="str">
        <f>IF(VLOOKUP(BS747,'Données par municipalité'!$B$6:$E$1113,4,FALSE)="","non","oui")</f>
        <v>non</v>
      </c>
      <c r="CN747" s="410" t="s">
        <v>1124</v>
      </c>
      <c r="CO747" s="410" t="s">
        <v>1124</v>
      </c>
      <c r="CP747" s="410"/>
      <c r="CQ747" s="410"/>
      <c r="CR747" s="410"/>
      <c r="CS747" s="410" t="s">
        <v>1124</v>
      </c>
      <c r="CT747" s="410"/>
      <c r="CU747" s="410" t="s">
        <v>1124</v>
      </c>
      <c r="CV747" s="410" t="str">
        <f>IF(VLOOKUP(BS747,'Données par municipalité'!$B$6:$F$1113,4,FALSE)="","",VLOOKUP(BS747,'Données par municipalité'!$B$6:$F$1113,4,FALSE))</f>
        <v/>
      </c>
      <c r="CW747" s="476" t="s">
        <v>4723</v>
      </c>
      <c r="CX747" s="483" t="s">
        <v>1124</v>
      </c>
      <c r="CY747" s="483" t="s">
        <v>1124</v>
      </c>
      <c r="CZ747" s="483" t="s">
        <v>1124</v>
      </c>
      <c r="DA747" s="483" t="s">
        <v>1124</v>
      </c>
      <c r="DB747" s="483" t="s">
        <v>1124</v>
      </c>
      <c r="DC747" s="483" t="s">
        <v>1124</v>
      </c>
      <c r="DD747" s="483" t="s">
        <v>1124</v>
      </c>
      <c r="DE747" s="483" t="str">
        <f>IFERROR(SUM(VLOOKUP($BS747,'État &amp; Plan d''action'!$B$6:$Z$1113,18,FALSE),VLOOKUP($BS747,'État &amp; Plan d''action'!$B$6:$Z$1113,20,FALSE))/(VLOOKUP($BS747,'Données par municipalité'!$B$4:$L$1113,11,FALSE)),"")</f>
        <v/>
      </c>
      <c r="DF747" s="483" t="str">
        <f>IFERROR(SUM(VLOOKUP($BS747,'État &amp; Plan d''action'!$B$6:$Z$1113,19,FALSE),VLOOKUP($BS747,'État &amp; Plan d''action'!$B$6:$Z$1113,21,FALSE))/(VLOOKUP($BS747,'Données par municipalité'!$B$4:$L$1113,11,FALSE)),"")</f>
        <v/>
      </c>
      <c r="DG747" s="476" t="s">
        <v>4723</v>
      </c>
      <c r="DH747" s="484" t="s">
        <v>1124</v>
      </c>
      <c r="DI747" s="484" t="s">
        <v>1124</v>
      </c>
      <c r="DJ747" s="484">
        <v>0</v>
      </c>
      <c r="DK747" s="484">
        <v>0</v>
      </c>
      <c r="DL747" s="484" t="s">
        <v>1124</v>
      </c>
      <c r="DM747" s="484" t="s">
        <v>1124</v>
      </c>
      <c r="DN747" s="484" t="s">
        <v>1124</v>
      </c>
      <c r="DO747" s="484" t="s">
        <v>1124</v>
      </c>
      <c r="DP747" s="484" t="s">
        <v>1124</v>
      </c>
      <c r="DQ747" s="484" t="str">
        <f>IF(VLOOKUP($BS747,'État &amp; Plan d''action'!$B$6:$AJ$1113,28,FALSE)="","",VLOOKUP($BS747,'État &amp; Plan d''action'!$B$6:$AJ$1113,28,FALSE))</f>
        <v/>
      </c>
      <c r="DR747" s="70" t="str">
        <f>IF(VLOOKUP($BS747,'État &amp; Plan d''action'!$B$6:$AJ$1113,29,FALSE)="","",VLOOKUP($BS747,'État &amp; Plan d''action'!$B$6:$AJ$1113,29,FALSE))</f>
        <v/>
      </c>
      <c r="DS747" s="70" t="str">
        <f>IF(VLOOKUP($BS747,'État &amp; Plan d''action'!$B$6:$AJ$1113,30,FALSE)="","",VLOOKUP($BS747,'État &amp; Plan d''action'!$B$6:$AJ$1113,30,FALSE))</f>
        <v/>
      </c>
      <c r="DT747" s="70" t="s">
        <v>1124</v>
      </c>
      <c r="DU747" s="485" t="s">
        <v>1124</v>
      </c>
      <c r="DV747" s="485" t="s">
        <v>1124</v>
      </c>
      <c r="DW747" s="70" t="s">
        <v>1124</v>
      </c>
      <c r="DX747" s="70" t="s">
        <v>1124</v>
      </c>
      <c r="DY747" s="70" t="s">
        <v>1124</v>
      </c>
      <c r="DZ747" s="70" t="str">
        <f>VLOOKUP($BS747,'État &amp; Plan d''action'!$B$6:$AH$1113,31,FALSE)</f>
        <v/>
      </c>
      <c r="EA747" s="70" t="str">
        <f>VLOOKUP($BS747,'État &amp; Plan d''action'!$B$6:$AH$1113,32,FALSE)</f>
        <v/>
      </c>
      <c r="EB747" s="70" t="str">
        <f>VLOOKUP($BS747,'État &amp; Plan d''action'!$B$6:$AH$1113,33,FALSE)</f>
        <v/>
      </c>
      <c r="EC747" s="70" t="s">
        <v>1124</v>
      </c>
      <c r="ED747" s="70" t="s">
        <v>1124</v>
      </c>
      <c r="EE747" s="70" t="s">
        <v>1124</v>
      </c>
      <c r="EF747" s="70" t="s">
        <v>1124</v>
      </c>
      <c r="EG747" s="70" t="s">
        <v>1124</v>
      </c>
      <c r="EH747" s="72"/>
      <c r="EI747" s="72">
        <v>490</v>
      </c>
    </row>
    <row r="748" spans="71:139" x14ac:dyDescent="0.35">
      <c r="BS748" s="486">
        <v>93075</v>
      </c>
      <c r="BT748" s="479" t="s">
        <v>970</v>
      </c>
      <c r="BU748" s="479">
        <v>2</v>
      </c>
      <c r="BV748" s="476" t="s">
        <v>1187</v>
      </c>
      <c r="BW748" s="476" t="s">
        <v>1187</v>
      </c>
      <c r="BX748" s="476" t="s">
        <v>1187</v>
      </c>
      <c r="BY748" s="476" t="s">
        <v>1187</v>
      </c>
      <c r="BZ748" s="476" t="s">
        <v>1187</v>
      </c>
      <c r="CA748" s="476" t="s">
        <v>1187</v>
      </c>
      <c r="CB748" s="476" t="s">
        <v>1187</v>
      </c>
      <c r="CC748" s="476" t="s">
        <v>1187</v>
      </c>
      <c r="CD748" s="476" t="s">
        <v>1187</v>
      </c>
      <c r="CE748" s="476" t="s">
        <v>1188</v>
      </c>
      <c r="CF748" s="476" t="s">
        <v>1188</v>
      </c>
      <c r="CG748" s="476" t="s">
        <v>1188</v>
      </c>
      <c r="CH748" s="476" t="s">
        <v>1188</v>
      </c>
      <c r="CI748" s="476" t="s">
        <v>1188</v>
      </c>
      <c r="CJ748" s="476" t="s">
        <v>1188</v>
      </c>
      <c r="CK748" s="476" t="s">
        <v>1187</v>
      </c>
      <c r="CL748" s="476" t="s">
        <v>1187</v>
      </c>
      <c r="CM748" s="476" t="str">
        <f>IF(VLOOKUP(BS748,'Données par municipalité'!$B$6:$E$1113,4,FALSE)="","non","oui")</f>
        <v>oui</v>
      </c>
      <c r="CN748" s="410">
        <v>838.2313343630683</v>
      </c>
      <c r="CO748" s="410">
        <v>760.68276523365319</v>
      </c>
      <c r="CP748" s="410">
        <v>557.37037269155974</v>
      </c>
      <c r="CQ748" s="410">
        <v>641.09872656626669</v>
      </c>
      <c r="CR748" s="410">
        <v>583.65981374304795</v>
      </c>
      <c r="CS748" s="410">
        <v>612.15830082763023</v>
      </c>
      <c r="CT748" s="410"/>
      <c r="CU748" s="410" t="s">
        <v>1124</v>
      </c>
      <c r="CV748" s="410">
        <f>IF(VLOOKUP(BS748,'Données par municipalité'!$B$6:$F$1113,4,FALSE)="","",VLOOKUP(BS748,'Données par municipalité'!$B$6:$F$1113,4,FALSE))</f>
        <v>324</v>
      </c>
      <c r="CW748" s="476" t="s">
        <v>4723</v>
      </c>
      <c r="CX748" s="483">
        <v>0.5</v>
      </c>
      <c r="CY748" s="483">
        <v>0.5</v>
      </c>
      <c r="CZ748" s="483">
        <v>0</v>
      </c>
      <c r="DA748" s="483">
        <v>0.5</v>
      </c>
      <c r="DB748" s="483">
        <v>1</v>
      </c>
      <c r="DC748" s="483" t="s">
        <v>1124</v>
      </c>
      <c r="DD748" s="483" t="s">
        <v>1124</v>
      </c>
      <c r="DE748" s="483">
        <f>IFERROR(SUM(VLOOKUP($BS748,'État &amp; Plan d''action'!$B$6:$Z$1113,18,FALSE),VLOOKUP($BS748,'État &amp; Plan d''action'!$B$6:$Z$1113,20,FALSE))/(VLOOKUP($BS748,'Données par municipalité'!$B$4:$L$1113,11,FALSE)),"")</f>
        <v>0</v>
      </c>
      <c r="DF748" s="483">
        <f>IFERROR(SUM(VLOOKUP($BS748,'État &amp; Plan d''action'!$B$6:$Z$1113,19,FALSE),VLOOKUP($BS748,'État &amp; Plan d''action'!$B$6:$Z$1113,21,FALSE))/(VLOOKUP($BS748,'Données par municipalité'!$B$4:$L$1113,11,FALSE)),"")</f>
        <v>0</v>
      </c>
      <c r="DG748" s="476" t="s">
        <v>4723</v>
      </c>
      <c r="DH748" s="484">
        <v>0</v>
      </c>
      <c r="DI748" s="484">
        <v>2</v>
      </c>
      <c r="DJ748" s="484">
        <v>1</v>
      </c>
      <c r="DK748" s="484">
        <v>1</v>
      </c>
      <c r="DL748" s="484">
        <v>7</v>
      </c>
      <c r="DM748" s="484" t="s">
        <v>1124</v>
      </c>
      <c r="DN748" s="484" t="s">
        <v>1124</v>
      </c>
      <c r="DO748" s="484" t="s">
        <v>1124</v>
      </c>
      <c r="DP748" s="484" t="s">
        <v>1124</v>
      </c>
      <c r="DQ748" s="484">
        <f>IF(VLOOKUP($BS748,'État &amp; Plan d''action'!$B$6:$AJ$1113,28,FALSE)="","",VLOOKUP($BS748,'État &amp; Plan d''action'!$B$6:$AJ$1113,28,FALSE))</f>
        <v>0</v>
      </c>
      <c r="DR748" s="70">
        <f>IF(VLOOKUP($BS748,'État &amp; Plan d''action'!$B$6:$AJ$1113,29,FALSE)="","",VLOOKUP($BS748,'État &amp; Plan d''action'!$B$6:$AJ$1113,29,FALSE))</f>
        <v>1</v>
      </c>
      <c r="DS748" s="70">
        <f>IF(VLOOKUP($BS748,'État &amp; Plan d''action'!$B$6:$AJ$1113,30,FALSE)="","",VLOOKUP($BS748,'État &amp; Plan d''action'!$B$6:$AJ$1113,30,FALSE))</f>
        <v>4</v>
      </c>
      <c r="DT748" s="70" t="s">
        <v>1124</v>
      </c>
      <c r="DU748" s="485" t="s">
        <v>1124</v>
      </c>
      <c r="DV748" s="485">
        <v>1.2852651953156209</v>
      </c>
      <c r="DW748" s="70" t="s">
        <v>1124</v>
      </c>
      <c r="DX748" s="70" t="s">
        <v>1124</v>
      </c>
      <c r="DY748" s="70" t="s">
        <v>1124</v>
      </c>
      <c r="DZ748" s="70">
        <f>VLOOKUP($BS748,'État &amp; Plan d''action'!$B$6:$AH$1113,31,FALSE)</f>
        <v>0</v>
      </c>
      <c r="EA748" s="70">
        <f>VLOOKUP($BS748,'État &amp; Plan d''action'!$B$6:$AH$1113,32,FALSE)</f>
        <v>2</v>
      </c>
      <c r="EB748" s="70">
        <f>VLOOKUP($BS748,'État &amp; Plan d''action'!$B$6:$AH$1113,33,FALSE)</f>
        <v>2</v>
      </c>
      <c r="EC748" s="70" t="s">
        <v>1124</v>
      </c>
      <c r="ED748" s="70" t="s">
        <v>1124</v>
      </c>
      <c r="EE748" s="70" t="s">
        <v>1124</v>
      </c>
      <c r="EF748" s="70" t="s">
        <v>1124</v>
      </c>
      <c r="EG748" s="70" t="s">
        <v>1124</v>
      </c>
      <c r="EH748" s="72"/>
      <c r="EI748" s="72">
        <v>882</v>
      </c>
    </row>
    <row r="749" spans="71:139" x14ac:dyDescent="0.35">
      <c r="BS749" s="486">
        <v>50057</v>
      </c>
      <c r="BT749" s="479" t="s">
        <v>489</v>
      </c>
      <c r="BU749" s="479">
        <v>17</v>
      </c>
      <c r="BV749" s="476" t="s">
        <v>1187</v>
      </c>
      <c r="BW749" s="476" t="s">
        <v>1187</v>
      </c>
      <c r="BX749" s="476" t="s">
        <v>1187</v>
      </c>
      <c r="BY749" s="476" t="s">
        <v>1187</v>
      </c>
      <c r="BZ749" s="476" t="s">
        <v>1187</v>
      </c>
      <c r="CA749" s="476" t="s">
        <v>1187</v>
      </c>
      <c r="CB749" s="476" t="s">
        <v>1187</v>
      </c>
      <c r="CC749" s="476" t="s">
        <v>1187</v>
      </c>
      <c r="CD749" s="476" t="s">
        <v>1187</v>
      </c>
      <c r="CE749" s="476" t="s">
        <v>1188</v>
      </c>
      <c r="CF749" s="476" t="s">
        <v>1188</v>
      </c>
      <c r="CG749" s="476" t="s">
        <v>1188</v>
      </c>
      <c r="CH749" s="476" t="s">
        <v>1187</v>
      </c>
      <c r="CI749" s="476" t="s">
        <v>1187</v>
      </c>
      <c r="CJ749" s="476" t="s">
        <v>1188</v>
      </c>
      <c r="CK749" s="476" t="s">
        <v>1188</v>
      </c>
      <c r="CL749" s="476" t="s">
        <v>1187</v>
      </c>
      <c r="CM749" s="476" t="str">
        <f>IF(VLOOKUP(BS749,'Données par municipalité'!$B$6:$E$1113,4,FALSE)="","non","oui")</f>
        <v>non</v>
      </c>
      <c r="CN749" s="410">
        <v>720.93023255813955</v>
      </c>
      <c r="CO749" s="410">
        <v>635.53290168526439</v>
      </c>
      <c r="CP749" s="410">
        <v>628.34879985452778</v>
      </c>
      <c r="CQ749" s="410"/>
      <c r="CR749" s="410"/>
      <c r="CS749" s="410">
        <v>568.14355747376578</v>
      </c>
      <c r="CT749" s="410">
        <v>468.04166256036262</v>
      </c>
      <c r="CU749" s="410" t="s">
        <v>1124</v>
      </c>
      <c r="CV749" s="410" t="str">
        <f>IF(VLOOKUP(BS749,'Données par municipalité'!$B$6:$F$1113,4,FALSE)="","",VLOOKUP(BS749,'Données par municipalité'!$B$6:$F$1113,4,FALSE))</f>
        <v/>
      </c>
      <c r="CW749" s="476" t="s">
        <v>4723</v>
      </c>
      <c r="CX749" s="483">
        <v>0</v>
      </c>
      <c r="CY749" s="483">
        <v>0</v>
      </c>
      <c r="CZ749" s="483" t="s">
        <v>1124</v>
      </c>
      <c r="DA749" s="483" t="s">
        <v>1124</v>
      </c>
      <c r="DB749" s="483">
        <v>0</v>
      </c>
      <c r="DC749" s="483">
        <v>1</v>
      </c>
      <c r="DD749" s="483" t="s">
        <v>1124</v>
      </c>
      <c r="DE749" s="483" t="str">
        <f>IFERROR(SUM(VLOOKUP($BS749,'État &amp; Plan d''action'!$B$6:$Z$1113,18,FALSE),VLOOKUP($BS749,'État &amp; Plan d''action'!$B$6:$Z$1113,20,FALSE))/(VLOOKUP($BS749,'Données par municipalité'!$B$4:$L$1113,11,FALSE)),"")</f>
        <v/>
      </c>
      <c r="DF749" s="483" t="str">
        <f>IFERROR(SUM(VLOOKUP($BS749,'État &amp; Plan d''action'!$B$6:$Z$1113,19,FALSE),VLOOKUP($BS749,'État &amp; Plan d''action'!$B$6:$Z$1113,21,FALSE))/(VLOOKUP($BS749,'Données par municipalité'!$B$4:$L$1113,11,FALSE)),"")</f>
        <v/>
      </c>
      <c r="DG749" s="476" t="s">
        <v>4723</v>
      </c>
      <c r="DH749" s="484">
        <v>0</v>
      </c>
      <c r="DI749" s="484">
        <v>0</v>
      </c>
      <c r="DJ749" s="484">
        <v>0</v>
      </c>
      <c r="DK749" s="484">
        <v>0</v>
      </c>
      <c r="DL749" s="484">
        <v>0</v>
      </c>
      <c r="DM749" s="484">
        <v>1</v>
      </c>
      <c r="DN749" s="484" t="s">
        <v>1124</v>
      </c>
      <c r="DO749" s="484" t="s">
        <v>1124</v>
      </c>
      <c r="DP749" s="484" t="s">
        <v>1124</v>
      </c>
      <c r="DQ749" s="484" t="str">
        <f>IF(VLOOKUP($BS749,'État &amp; Plan d''action'!$B$6:$AJ$1113,28,FALSE)="","",VLOOKUP($BS749,'État &amp; Plan d''action'!$B$6:$AJ$1113,28,FALSE))</f>
        <v/>
      </c>
      <c r="DR749" s="70" t="str">
        <f>IF(VLOOKUP($BS749,'État &amp; Plan d''action'!$B$6:$AJ$1113,29,FALSE)="","",VLOOKUP($BS749,'État &amp; Plan d''action'!$B$6:$AJ$1113,29,FALSE))</f>
        <v/>
      </c>
      <c r="DS749" s="70" t="str">
        <f>IF(VLOOKUP($BS749,'État &amp; Plan d''action'!$B$6:$AJ$1113,30,FALSE)="","",VLOOKUP($BS749,'État &amp; Plan d''action'!$B$6:$AJ$1113,30,FALSE))</f>
        <v/>
      </c>
      <c r="DT749" s="70" t="s">
        <v>1124</v>
      </c>
      <c r="DU749" s="485" t="s">
        <v>1124</v>
      </c>
      <c r="DV749" s="485" t="s">
        <v>1124</v>
      </c>
      <c r="DW749" s="70" t="s">
        <v>1124</v>
      </c>
      <c r="DX749" s="70" t="s">
        <v>1124</v>
      </c>
      <c r="DY749" s="70" t="s">
        <v>1124</v>
      </c>
      <c r="DZ749" s="70" t="str">
        <f>VLOOKUP($BS749,'État &amp; Plan d''action'!$B$6:$AH$1113,31,FALSE)</f>
        <v/>
      </c>
      <c r="EA749" s="70" t="str">
        <f>VLOOKUP($BS749,'État &amp; Plan d''action'!$B$6:$AH$1113,32,FALSE)</f>
        <v/>
      </c>
      <c r="EB749" s="70" t="str">
        <f>VLOOKUP($BS749,'État &amp; Plan d''action'!$B$6:$AH$1113,33,FALSE)</f>
        <v/>
      </c>
      <c r="EC749" s="70" t="s">
        <v>1124</v>
      </c>
      <c r="ED749" s="70" t="s">
        <v>1124</v>
      </c>
      <c r="EE749" s="70" t="s">
        <v>1124</v>
      </c>
      <c r="EF749" s="70" t="s">
        <v>1124</v>
      </c>
      <c r="EG749" s="70" t="s">
        <v>1124</v>
      </c>
      <c r="EH749" s="72"/>
      <c r="EI749" s="72">
        <v>530</v>
      </c>
    </row>
    <row r="750" spans="71:139" x14ac:dyDescent="0.35">
      <c r="BS750" s="486">
        <v>8040</v>
      </c>
      <c r="BT750" s="479" t="s">
        <v>1092</v>
      </c>
      <c r="BU750" s="479">
        <v>1</v>
      </c>
      <c r="BV750" s="476" t="s">
        <v>1188</v>
      </c>
      <c r="BW750" s="476" t="s">
        <v>1188</v>
      </c>
      <c r="BX750" s="476" t="s">
        <v>1188</v>
      </c>
      <c r="BY750" s="476" t="s">
        <v>1188</v>
      </c>
      <c r="BZ750" s="476" t="s">
        <v>1188</v>
      </c>
      <c r="CA750" s="476" t="s">
        <v>1188</v>
      </c>
      <c r="CB750" s="476" t="s">
        <v>1188</v>
      </c>
      <c r="CC750" s="476" t="s">
        <v>1188</v>
      </c>
      <c r="CD750" s="476" t="s">
        <v>1188</v>
      </c>
      <c r="CE750" s="476" t="s">
        <v>1188</v>
      </c>
      <c r="CF750" s="476" t="s">
        <v>1188</v>
      </c>
      <c r="CG750" s="476" t="s">
        <v>1187</v>
      </c>
      <c r="CH750" s="476" t="s">
        <v>1187</v>
      </c>
      <c r="CI750" s="476" t="s">
        <v>1187</v>
      </c>
      <c r="CJ750" s="476" t="s">
        <v>1187</v>
      </c>
      <c r="CK750" s="476" t="s">
        <v>1187</v>
      </c>
      <c r="CL750" s="476" t="s">
        <v>1187</v>
      </c>
      <c r="CM750" s="476" t="str">
        <f>IF(VLOOKUP(BS750,'Données par municipalité'!$B$6:$E$1113,4,FALSE)="","non","oui")</f>
        <v>non</v>
      </c>
      <c r="CN750" s="410">
        <v>343.2076288858234</v>
      </c>
      <c r="CO750" s="410">
        <v>387.08988283973105</v>
      </c>
      <c r="CP750" s="410"/>
      <c r="CQ750" s="410"/>
      <c r="CR750" s="410"/>
      <c r="CS750" s="410" t="s">
        <v>1124</v>
      </c>
      <c r="CT750" s="410"/>
      <c r="CU750" s="410" t="s">
        <v>1124</v>
      </c>
      <c r="CV750" s="410" t="str">
        <f>IF(VLOOKUP(BS750,'Données par municipalité'!$B$6:$F$1113,4,FALSE)="","",VLOOKUP(BS750,'Données par municipalité'!$B$6:$F$1113,4,FALSE))</f>
        <v/>
      </c>
      <c r="CW750" s="476" t="s">
        <v>4723</v>
      </c>
      <c r="CX750" s="483" t="s">
        <v>1124</v>
      </c>
      <c r="CY750" s="483" t="s">
        <v>1124</v>
      </c>
      <c r="CZ750" s="483" t="s">
        <v>1124</v>
      </c>
      <c r="DA750" s="483" t="s">
        <v>1124</v>
      </c>
      <c r="DB750" s="483" t="s">
        <v>1124</v>
      </c>
      <c r="DC750" s="483" t="s">
        <v>1124</v>
      </c>
      <c r="DD750" s="483" t="s">
        <v>1124</v>
      </c>
      <c r="DE750" s="483" t="str">
        <f>IFERROR(SUM(VLOOKUP($BS750,'État &amp; Plan d''action'!$B$6:$Z$1113,18,FALSE),VLOOKUP($BS750,'État &amp; Plan d''action'!$B$6:$Z$1113,20,FALSE))/(VLOOKUP($BS750,'Données par municipalité'!$B$4:$L$1113,11,FALSE)),"")</f>
        <v/>
      </c>
      <c r="DF750" s="483" t="str">
        <f>IFERROR(SUM(VLOOKUP($BS750,'État &amp; Plan d''action'!$B$6:$Z$1113,19,FALSE),VLOOKUP($BS750,'État &amp; Plan d''action'!$B$6:$Z$1113,21,FALSE))/(VLOOKUP($BS750,'Données par municipalité'!$B$4:$L$1113,11,FALSE)),"")</f>
        <v/>
      </c>
      <c r="DG750" s="476" t="s">
        <v>4723</v>
      </c>
      <c r="DH750" s="484">
        <v>0</v>
      </c>
      <c r="DI750" s="484" t="s">
        <v>1124</v>
      </c>
      <c r="DJ750" s="484">
        <v>0</v>
      </c>
      <c r="DK750" s="484">
        <v>0</v>
      </c>
      <c r="DL750" s="484" t="s">
        <v>1124</v>
      </c>
      <c r="DM750" s="484" t="s">
        <v>1124</v>
      </c>
      <c r="DN750" s="484" t="s">
        <v>1124</v>
      </c>
      <c r="DO750" s="484" t="s">
        <v>1124</v>
      </c>
      <c r="DP750" s="484" t="s">
        <v>1124</v>
      </c>
      <c r="DQ750" s="484" t="str">
        <f>IF(VLOOKUP($BS750,'État &amp; Plan d''action'!$B$6:$AJ$1113,28,FALSE)="","",VLOOKUP($BS750,'État &amp; Plan d''action'!$B$6:$AJ$1113,28,FALSE))</f>
        <v/>
      </c>
      <c r="DR750" s="70" t="str">
        <f>IF(VLOOKUP($BS750,'État &amp; Plan d''action'!$B$6:$AJ$1113,29,FALSE)="","",VLOOKUP($BS750,'État &amp; Plan d''action'!$B$6:$AJ$1113,29,FALSE))</f>
        <v/>
      </c>
      <c r="DS750" s="70" t="str">
        <f>IF(VLOOKUP($BS750,'État &amp; Plan d''action'!$B$6:$AJ$1113,30,FALSE)="","",VLOOKUP($BS750,'État &amp; Plan d''action'!$B$6:$AJ$1113,30,FALSE))</f>
        <v/>
      </c>
      <c r="DT750" s="70" t="s">
        <v>1124</v>
      </c>
      <c r="DU750" s="485" t="s">
        <v>1124</v>
      </c>
      <c r="DV750" s="485" t="s">
        <v>1124</v>
      </c>
      <c r="DW750" s="70" t="s">
        <v>1124</v>
      </c>
      <c r="DX750" s="70" t="s">
        <v>1124</v>
      </c>
      <c r="DY750" s="70" t="s">
        <v>1124</v>
      </c>
      <c r="DZ750" s="70" t="str">
        <f>VLOOKUP($BS750,'État &amp; Plan d''action'!$B$6:$AH$1113,31,FALSE)</f>
        <v/>
      </c>
      <c r="EA750" s="70" t="str">
        <f>VLOOKUP($BS750,'État &amp; Plan d''action'!$B$6:$AH$1113,32,FALSE)</f>
        <v/>
      </c>
      <c r="EB750" s="70" t="str">
        <f>VLOOKUP($BS750,'État &amp; Plan d''action'!$B$6:$AH$1113,33,FALSE)</f>
        <v/>
      </c>
      <c r="EC750" s="70" t="s">
        <v>1124</v>
      </c>
      <c r="ED750" s="70" t="s">
        <v>1124</v>
      </c>
      <c r="EE750" s="70" t="s">
        <v>1124</v>
      </c>
      <c r="EF750" s="70" t="s">
        <v>1124</v>
      </c>
      <c r="EG750" s="70" t="s">
        <v>1124</v>
      </c>
      <c r="EH750" s="72"/>
      <c r="EI750" s="72">
        <v>245</v>
      </c>
    </row>
    <row r="751" spans="71:139" x14ac:dyDescent="0.35">
      <c r="BS751" s="486">
        <v>17030</v>
      </c>
      <c r="BT751" s="479" t="s">
        <v>95</v>
      </c>
      <c r="BU751" s="479">
        <v>12</v>
      </c>
      <c r="BV751" s="476" t="s">
        <v>1187</v>
      </c>
      <c r="BW751" s="476" t="s">
        <v>1187</v>
      </c>
      <c r="BX751" s="476" t="s">
        <v>1187</v>
      </c>
      <c r="BY751" s="476" t="s">
        <v>1187</v>
      </c>
      <c r="BZ751" s="476" t="s">
        <v>1187</v>
      </c>
      <c r="CA751" s="476" t="s">
        <v>1187</v>
      </c>
      <c r="CB751" s="476" t="s">
        <v>1187</v>
      </c>
      <c r="CC751" s="476" t="s">
        <v>1187</v>
      </c>
      <c r="CD751" s="476" t="s">
        <v>1187</v>
      </c>
      <c r="CE751" s="476" t="s">
        <v>1188</v>
      </c>
      <c r="CF751" s="476" t="s">
        <v>1188</v>
      </c>
      <c r="CG751" s="476" t="s">
        <v>1188</v>
      </c>
      <c r="CH751" s="476" t="s">
        <v>1188</v>
      </c>
      <c r="CI751" s="476" t="s">
        <v>1188</v>
      </c>
      <c r="CJ751" s="476" t="s">
        <v>1188</v>
      </c>
      <c r="CK751" s="476" t="s">
        <v>1188</v>
      </c>
      <c r="CL751" s="476" t="s">
        <v>1188</v>
      </c>
      <c r="CM751" s="476" t="str">
        <f>IF(VLOOKUP(BS751,'Données par municipalité'!$B$6:$E$1113,4,FALSE)="","non","oui")</f>
        <v>oui</v>
      </c>
      <c r="CN751" s="410">
        <v>382.65477711386444</v>
      </c>
      <c r="CO751" s="410">
        <v>350.85350442559462</v>
      </c>
      <c r="CP751" s="410">
        <v>305.46398495396363</v>
      </c>
      <c r="CQ751" s="410">
        <v>343.49687008758144</v>
      </c>
      <c r="CR751" s="410">
        <v>289.39012028014292</v>
      </c>
      <c r="CS751" s="410">
        <v>358.74087728617218</v>
      </c>
      <c r="CT751" s="410">
        <v>426.25545824288253</v>
      </c>
      <c r="CU751" s="410">
        <v>383</v>
      </c>
      <c r="CV751" s="410">
        <f>IF(VLOOKUP(BS751,'Données par municipalité'!$B$6:$F$1113,4,FALSE)="","",VLOOKUP(BS751,'Données par municipalité'!$B$6:$F$1113,4,FALSE))</f>
        <v>344</v>
      </c>
      <c r="CW751" s="476" t="s">
        <v>4723</v>
      </c>
      <c r="CX751" s="483">
        <v>1</v>
      </c>
      <c r="CY751" s="483">
        <v>1</v>
      </c>
      <c r="CZ751" s="483">
        <v>1</v>
      </c>
      <c r="DA751" s="483">
        <v>1</v>
      </c>
      <c r="DB751" s="483">
        <v>1</v>
      </c>
      <c r="DC751" s="483">
        <v>1</v>
      </c>
      <c r="DD751" s="483">
        <v>0</v>
      </c>
      <c r="DE751" s="483">
        <f>IFERROR(SUM(VLOOKUP($BS751,'État &amp; Plan d''action'!$B$6:$Z$1113,18,FALSE),VLOOKUP($BS751,'État &amp; Plan d''action'!$B$6:$Z$1113,20,FALSE))/(VLOOKUP($BS751,'Données par municipalité'!$B$4:$L$1113,11,FALSE)),"")</f>
        <v>2</v>
      </c>
      <c r="DF751" s="483">
        <f>IFERROR(SUM(VLOOKUP($BS751,'État &amp; Plan d''action'!$B$6:$Z$1113,19,FALSE),VLOOKUP($BS751,'État &amp; Plan d''action'!$B$6:$Z$1113,21,FALSE))/(VLOOKUP($BS751,'Données par municipalité'!$B$4:$L$1113,11,FALSE)),"")</f>
        <v>2</v>
      </c>
      <c r="DG751" s="476" t="s">
        <v>4723</v>
      </c>
      <c r="DH751" s="484">
        <v>0</v>
      </c>
      <c r="DI751" s="484">
        <v>0</v>
      </c>
      <c r="DJ751" s="484">
        <v>2</v>
      </c>
      <c r="DK751" s="484">
        <v>1</v>
      </c>
      <c r="DL751" s="484">
        <v>0</v>
      </c>
      <c r="DM751" s="484">
        <v>0</v>
      </c>
      <c r="DN751" s="484">
        <v>0</v>
      </c>
      <c r="DO751" s="484">
        <v>0</v>
      </c>
      <c r="DP751" s="484">
        <v>0</v>
      </c>
      <c r="DQ751" s="484">
        <f>IF(VLOOKUP($BS751,'État &amp; Plan d''action'!$B$6:$AJ$1113,28,FALSE)="","",VLOOKUP($BS751,'État &amp; Plan d''action'!$B$6:$AJ$1113,28,FALSE))</f>
        <v>3</v>
      </c>
      <c r="DR751" s="70">
        <f>IF(VLOOKUP($BS751,'État &amp; Plan d''action'!$B$6:$AJ$1113,29,FALSE)="","",VLOOKUP($BS751,'État &amp; Plan d''action'!$B$6:$AJ$1113,29,FALSE))</f>
        <v>0</v>
      </c>
      <c r="DS751" s="70">
        <f>IF(VLOOKUP($BS751,'État &amp; Plan d''action'!$B$6:$AJ$1113,30,FALSE)="","",VLOOKUP($BS751,'État &amp; Plan d''action'!$B$6:$AJ$1113,30,FALSE))</f>
        <v>0</v>
      </c>
      <c r="DT751" s="70">
        <v>311</v>
      </c>
      <c r="DU751" s="485">
        <v>2.1519789130847249</v>
      </c>
      <c r="DV751" s="485">
        <v>0.65871665351955855</v>
      </c>
      <c r="DW751" s="70">
        <v>0</v>
      </c>
      <c r="DX751" s="70">
        <v>0</v>
      </c>
      <c r="DY751" s="70">
        <v>0</v>
      </c>
      <c r="DZ751" s="70">
        <f>VLOOKUP($BS751,'État &amp; Plan d''action'!$B$6:$AH$1113,31,FALSE)</f>
        <v>1</v>
      </c>
      <c r="EA751" s="70">
        <f>VLOOKUP($BS751,'État &amp; Plan d''action'!$B$6:$AH$1113,32,FALSE)</f>
        <v>0</v>
      </c>
      <c r="EB751" s="70">
        <f>VLOOKUP($BS751,'État &amp; Plan d''action'!$B$6:$AH$1113,33,FALSE)</f>
        <v>0</v>
      </c>
      <c r="EC751" s="70">
        <v>0</v>
      </c>
      <c r="ED751" s="70">
        <v>0</v>
      </c>
      <c r="EE751" s="70">
        <v>0</v>
      </c>
      <c r="EF751" s="70">
        <v>0</v>
      </c>
      <c r="EG751" s="70">
        <v>0</v>
      </c>
      <c r="EH751" s="72">
        <v>61</v>
      </c>
      <c r="EI751" s="72">
        <v>1622</v>
      </c>
    </row>
    <row r="752" spans="71:139" x14ac:dyDescent="0.35">
      <c r="BS752" s="486">
        <v>50050</v>
      </c>
      <c r="BT752" s="479" t="s">
        <v>488</v>
      </c>
      <c r="BU752" s="479">
        <v>17</v>
      </c>
      <c r="BV752" s="476" t="s">
        <v>1187</v>
      </c>
      <c r="BW752" s="476" t="s">
        <v>1187</v>
      </c>
      <c r="BX752" s="476" t="s">
        <v>1187</v>
      </c>
      <c r="BY752" s="476" t="s">
        <v>1187</v>
      </c>
      <c r="BZ752" s="476" t="s">
        <v>1187</v>
      </c>
      <c r="CA752" s="476" t="s">
        <v>1187</v>
      </c>
      <c r="CB752" s="476" t="s">
        <v>1187</v>
      </c>
      <c r="CC752" s="476" t="s">
        <v>1187</v>
      </c>
      <c r="CD752" s="476" t="s">
        <v>1187</v>
      </c>
      <c r="CE752" s="476" t="s">
        <v>1188</v>
      </c>
      <c r="CF752" s="476" t="s">
        <v>1188</v>
      </c>
      <c r="CG752" s="476" t="s">
        <v>1188</v>
      </c>
      <c r="CH752" s="476" t="s">
        <v>1188</v>
      </c>
      <c r="CI752" s="476" t="s">
        <v>1187</v>
      </c>
      <c r="CJ752" s="476" t="s">
        <v>1187</v>
      </c>
      <c r="CK752" s="476" t="s">
        <v>1187</v>
      </c>
      <c r="CL752" s="476" t="s">
        <v>1188</v>
      </c>
      <c r="CM752" s="476" t="str">
        <f>IF(VLOOKUP(BS752,'Données par municipalité'!$B$6:$E$1113,4,FALSE)="","non","oui")</f>
        <v>oui</v>
      </c>
      <c r="CN752" s="410">
        <v>226.26406343213563</v>
      </c>
      <c r="CO752" s="410">
        <v>385.29636726358041</v>
      </c>
      <c r="CP752" s="410">
        <v>401.47085313480693</v>
      </c>
      <c r="CQ752" s="410">
        <v>351.28924806079624</v>
      </c>
      <c r="CR752" s="410"/>
      <c r="CS752" s="410" t="s">
        <v>1124</v>
      </c>
      <c r="CT752" s="410"/>
      <c r="CU752" s="410">
        <v>290</v>
      </c>
      <c r="CV752" s="410">
        <f>IF(VLOOKUP(BS752,'Données par municipalité'!$B$6:$F$1113,4,FALSE)="","",VLOOKUP(BS752,'Données par municipalité'!$B$6:$F$1113,4,FALSE))</f>
        <v>353</v>
      </c>
      <c r="CW752" s="476" t="s">
        <v>4723</v>
      </c>
      <c r="CX752" s="483">
        <v>0</v>
      </c>
      <c r="CY752" s="483">
        <v>0</v>
      </c>
      <c r="CZ752" s="483">
        <v>0</v>
      </c>
      <c r="DA752" s="483" t="s">
        <v>1124</v>
      </c>
      <c r="DB752" s="483" t="s">
        <v>1124</v>
      </c>
      <c r="DC752" s="483" t="s">
        <v>1124</v>
      </c>
      <c r="DD752" s="483">
        <v>0.99036402569593152</v>
      </c>
      <c r="DE752" s="483">
        <f>IFERROR(SUM(VLOOKUP($BS752,'État &amp; Plan d''action'!$B$6:$Z$1113,18,FALSE),VLOOKUP($BS752,'État &amp; Plan d''action'!$B$6:$Z$1113,20,FALSE))/(VLOOKUP($BS752,'Données par municipalité'!$B$4:$L$1113,11,FALSE)),"")</f>
        <v>0.99036402569593152</v>
      </c>
      <c r="DF752" s="483">
        <f>IFERROR(SUM(VLOOKUP($BS752,'État &amp; Plan d''action'!$B$6:$Z$1113,19,FALSE),VLOOKUP($BS752,'État &amp; Plan d''action'!$B$6:$Z$1113,21,FALSE))/(VLOOKUP($BS752,'Données par municipalité'!$B$4:$L$1113,11,FALSE)),"")</f>
        <v>0.99036402569593152</v>
      </c>
      <c r="DG752" s="476" t="s">
        <v>4723</v>
      </c>
      <c r="DH752" s="484">
        <v>1</v>
      </c>
      <c r="DI752" s="484">
        <v>0</v>
      </c>
      <c r="DJ752" s="484">
        <v>0</v>
      </c>
      <c r="DK752" s="484">
        <v>0</v>
      </c>
      <c r="DL752" s="484" t="s">
        <v>1124</v>
      </c>
      <c r="DM752" s="484" t="s">
        <v>1124</v>
      </c>
      <c r="DN752" s="484">
        <v>2</v>
      </c>
      <c r="DO752" s="484">
        <v>0</v>
      </c>
      <c r="DP752" s="484">
        <v>1</v>
      </c>
      <c r="DQ752" s="484">
        <f>IF(VLOOKUP($BS752,'État &amp; Plan d''action'!$B$6:$AJ$1113,28,FALSE)="","",VLOOKUP($BS752,'État &amp; Plan d''action'!$B$6:$AJ$1113,28,FALSE))</f>
        <v>3</v>
      </c>
      <c r="DR752" s="70">
        <f>IF(VLOOKUP($BS752,'État &amp; Plan d''action'!$B$6:$AJ$1113,29,FALSE)="","",VLOOKUP($BS752,'État &amp; Plan d''action'!$B$6:$AJ$1113,29,FALSE))</f>
        <v>0</v>
      </c>
      <c r="DS752" s="70">
        <f>IF(VLOOKUP($BS752,'État &amp; Plan d''action'!$B$6:$AJ$1113,30,FALSE)="","",VLOOKUP($BS752,'État &amp; Plan d''action'!$B$6:$AJ$1113,30,FALSE))</f>
        <v>0</v>
      </c>
      <c r="DT752" s="70">
        <v>160</v>
      </c>
      <c r="DU752" s="485">
        <v>3.0475206291082575</v>
      </c>
      <c r="DV752" s="485">
        <v>3.3864941935680233</v>
      </c>
      <c r="DW752" s="70">
        <v>2</v>
      </c>
      <c r="DX752" s="70">
        <v>0</v>
      </c>
      <c r="DY752" s="70">
        <v>2</v>
      </c>
      <c r="DZ752" s="70">
        <f>VLOOKUP($BS752,'État &amp; Plan d''action'!$B$6:$AH$1113,31,FALSE)</f>
        <v>1</v>
      </c>
      <c r="EA752" s="70">
        <f>VLOOKUP($BS752,'État &amp; Plan d''action'!$B$6:$AH$1113,32,FALSE)</f>
        <v>0</v>
      </c>
      <c r="EB752" s="70">
        <f>VLOOKUP($BS752,'État &amp; Plan d''action'!$B$6:$AH$1113,33,FALSE)</f>
        <v>0</v>
      </c>
      <c r="EC752" s="70">
        <v>7.4720000000000004</v>
      </c>
      <c r="ED752" s="70">
        <v>6.4</v>
      </c>
      <c r="EE752" s="70">
        <v>1</v>
      </c>
      <c r="EF752" s="70">
        <v>0</v>
      </c>
      <c r="EG752" s="70">
        <v>0</v>
      </c>
      <c r="EH752" s="72">
        <v>60</v>
      </c>
      <c r="EI752" s="72">
        <v>989</v>
      </c>
    </row>
    <row r="753" spans="71:139" x14ac:dyDescent="0.35">
      <c r="BS753" s="486">
        <v>20030</v>
      </c>
      <c r="BT753" s="479" t="s">
        <v>143</v>
      </c>
      <c r="BU753" s="479">
        <v>3</v>
      </c>
      <c r="BV753" s="476" t="s">
        <v>1188</v>
      </c>
      <c r="BW753" s="476" t="s">
        <v>1188</v>
      </c>
      <c r="BX753" s="476" t="s">
        <v>1188</v>
      </c>
      <c r="BY753" s="476" t="s">
        <v>1188</v>
      </c>
      <c r="BZ753" s="476" t="s">
        <v>1188</v>
      </c>
      <c r="CA753" s="476" t="s">
        <v>1188</v>
      </c>
      <c r="CB753" s="476" t="s">
        <v>1188</v>
      </c>
      <c r="CC753" s="476" t="s">
        <v>1188</v>
      </c>
      <c r="CD753" s="476" t="s">
        <v>1188</v>
      </c>
      <c r="CE753" s="476" t="s">
        <v>1187</v>
      </c>
      <c r="CF753" s="476" t="s">
        <v>1187</v>
      </c>
      <c r="CG753" s="476" t="s">
        <v>1187</v>
      </c>
      <c r="CH753" s="476" t="s">
        <v>1187</v>
      </c>
      <c r="CI753" s="476" t="s">
        <v>1187</v>
      </c>
      <c r="CJ753" s="476" t="s">
        <v>1187</v>
      </c>
      <c r="CK753" s="476" t="s">
        <v>1187</v>
      </c>
      <c r="CL753" s="476" t="s">
        <v>1187</v>
      </c>
      <c r="CM753" s="476" t="str">
        <f>IF(VLOOKUP(BS753,'Données par municipalité'!$B$6:$E$1113,4,FALSE)="","non","oui")</f>
        <v>non</v>
      </c>
      <c r="CN753" s="410" t="s">
        <v>1124</v>
      </c>
      <c r="CO753" s="410" t="s">
        <v>1124</v>
      </c>
      <c r="CP753" s="410"/>
      <c r="CQ753" s="410"/>
      <c r="CR753" s="410"/>
      <c r="CS753" s="410" t="s">
        <v>1124</v>
      </c>
      <c r="CT753" s="410"/>
      <c r="CU753" s="410" t="s">
        <v>1124</v>
      </c>
      <c r="CV753" s="410" t="str">
        <f>IF(VLOOKUP(BS753,'Données par municipalité'!$B$6:$F$1113,4,FALSE)="","",VLOOKUP(BS753,'Données par municipalité'!$B$6:$F$1113,4,FALSE))</f>
        <v/>
      </c>
      <c r="CW753" s="476" t="s">
        <v>4723</v>
      </c>
      <c r="CX753" s="483" t="s">
        <v>1124</v>
      </c>
      <c r="CY753" s="483" t="s">
        <v>1124</v>
      </c>
      <c r="CZ753" s="483" t="s">
        <v>1124</v>
      </c>
      <c r="DA753" s="483" t="s">
        <v>1124</v>
      </c>
      <c r="DB753" s="483" t="s">
        <v>1124</v>
      </c>
      <c r="DC753" s="483" t="s">
        <v>1124</v>
      </c>
      <c r="DD753" s="483" t="s">
        <v>1124</v>
      </c>
      <c r="DE753" s="483" t="str">
        <f>IFERROR(SUM(VLOOKUP($BS753,'État &amp; Plan d''action'!$B$6:$Z$1113,18,FALSE),VLOOKUP($BS753,'État &amp; Plan d''action'!$B$6:$Z$1113,20,FALSE))/(VLOOKUP($BS753,'Données par municipalité'!$B$4:$L$1113,11,FALSE)),"")</f>
        <v/>
      </c>
      <c r="DF753" s="483" t="str">
        <f>IFERROR(SUM(VLOOKUP($BS753,'État &amp; Plan d''action'!$B$6:$Z$1113,19,FALSE),VLOOKUP($BS753,'État &amp; Plan d''action'!$B$6:$Z$1113,21,FALSE))/(VLOOKUP($BS753,'Données par municipalité'!$B$4:$L$1113,11,FALSE)),"")</f>
        <v/>
      </c>
      <c r="DG753" s="476" t="s">
        <v>4723</v>
      </c>
      <c r="DH753" s="484" t="s">
        <v>1124</v>
      </c>
      <c r="DI753" s="484" t="s">
        <v>1124</v>
      </c>
      <c r="DJ753" s="484">
        <v>0</v>
      </c>
      <c r="DK753" s="484">
        <v>0</v>
      </c>
      <c r="DL753" s="484" t="s">
        <v>1124</v>
      </c>
      <c r="DM753" s="484" t="s">
        <v>1124</v>
      </c>
      <c r="DN753" s="484" t="s">
        <v>1124</v>
      </c>
      <c r="DO753" s="484" t="s">
        <v>1124</v>
      </c>
      <c r="DP753" s="484" t="s">
        <v>1124</v>
      </c>
      <c r="DQ753" s="484" t="str">
        <f>IF(VLOOKUP($BS753,'État &amp; Plan d''action'!$B$6:$AJ$1113,28,FALSE)="","",VLOOKUP($BS753,'État &amp; Plan d''action'!$B$6:$AJ$1113,28,FALSE))</f>
        <v/>
      </c>
      <c r="DR753" s="70" t="str">
        <f>IF(VLOOKUP($BS753,'État &amp; Plan d''action'!$B$6:$AJ$1113,29,FALSE)="","",VLOOKUP($BS753,'État &amp; Plan d''action'!$B$6:$AJ$1113,29,FALSE))</f>
        <v/>
      </c>
      <c r="DS753" s="70" t="str">
        <f>IF(VLOOKUP($BS753,'État &amp; Plan d''action'!$B$6:$AJ$1113,30,FALSE)="","",VLOOKUP($BS753,'État &amp; Plan d''action'!$B$6:$AJ$1113,30,FALSE))</f>
        <v/>
      </c>
      <c r="DT753" s="70" t="s">
        <v>1124</v>
      </c>
      <c r="DU753" s="485" t="s">
        <v>1124</v>
      </c>
      <c r="DV753" s="485" t="s">
        <v>1124</v>
      </c>
      <c r="DW753" s="70" t="s">
        <v>1124</v>
      </c>
      <c r="DX753" s="70" t="s">
        <v>1124</v>
      </c>
      <c r="DY753" s="70" t="s">
        <v>1124</v>
      </c>
      <c r="DZ753" s="70" t="str">
        <f>VLOOKUP($BS753,'État &amp; Plan d''action'!$B$6:$AH$1113,31,FALSE)</f>
        <v/>
      </c>
      <c r="EA753" s="70" t="str">
        <f>VLOOKUP($BS753,'État &amp; Plan d''action'!$B$6:$AH$1113,32,FALSE)</f>
        <v/>
      </c>
      <c r="EB753" s="70" t="str">
        <f>VLOOKUP($BS753,'État &amp; Plan d''action'!$B$6:$AH$1113,33,FALSE)</f>
        <v/>
      </c>
      <c r="EC753" s="70" t="s">
        <v>1124</v>
      </c>
      <c r="ED753" s="70" t="s">
        <v>1124</v>
      </c>
      <c r="EE753" s="70" t="s">
        <v>1124</v>
      </c>
      <c r="EF753" s="70" t="s">
        <v>1124</v>
      </c>
      <c r="EG753" s="70" t="s">
        <v>1124</v>
      </c>
      <c r="EH753" s="72"/>
      <c r="EI753" s="72">
        <v>1092</v>
      </c>
    </row>
    <row r="754" spans="71:139" x14ac:dyDescent="0.35">
      <c r="BS754" s="486">
        <v>29112</v>
      </c>
      <c r="BT754" s="479" t="s">
        <v>214</v>
      </c>
      <c r="BU754" s="479">
        <v>12</v>
      </c>
      <c r="BV754" s="476" t="s">
        <v>1187</v>
      </c>
      <c r="BW754" s="476" t="s">
        <v>1187</v>
      </c>
      <c r="BX754" s="476" t="s">
        <v>1187</v>
      </c>
      <c r="BY754" s="476" t="s">
        <v>1187</v>
      </c>
      <c r="BZ754" s="476" t="s">
        <v>1187</v>
      </c>
      <c r="CA754" s="476" t="s">
        <v>1187</v>
      </c>
      <c r="CB754" s="476" t="s">
        <v>1187</v>
      </c>
      <c r="CC754" s="476" t="s">
        <v>1187</v>
      </c>
      <c r="CD754" s="476" t="s">
        <v>1187</v>
      </c>
      <c r="CE754" s="476" t="s">
        <v>1188</v>
      </c>
      <c r="CF754" s="476" t="s">
        <v>1188</v>
      </c>
      <c r="CG754" s="476" t="s">
        <v>1188</v>
      </c>
      <c r="CH754" s="476" t="s">
        <v>1188</v>
      </c>
      <c r="CI754" s="476" t="s">
        <v>1188</v>
      </c>
      <c r="CJ754" s="476" t="s">
        <v>1188</v>
      </c>
      <c r="CK754" s="476" t="s">
        <v>1188</v>
      </c>
      <c r="CL754" s="476" t="s">
        <v>1188</v>
      </c>
      <c r="CM754" s="476" t="str">
        <f>IF(VLOOKUP(BS754,'Données par municipalité'!$B$6:$E$1113,4,FALSE)="","non","oui")</f>
        <v>oui</v>
      </c>
      <c r="CN754" s="410">
        <v>316.71691596171297</v>
      </c>
      <c r="CO754" s="410">
        <v>345.86182997101645</v>
      </c>
      <c r="CP754" s="410">
        <v>315.33579042303137</v>
      </c>
      <c r="CQ754" s="410">
        <v>316.54477515026741</v>
      </c>
      <c r="CR754" s="410">
        <v>315.91138115764818</v>
      </c>
      <c r="CS754" s="410">
        <v>341.31877741802197</v>
      </c>
      <c r="CT754" s="410">
        <v>280.67953929949772</v>
      </c>
      <c r="CU754" s="410">
        <v>217</v>
      </c>
      <c r="CV754" s="410">
        <f>IF(VLOOKUP(BS754,'Données par municipalité'!$B$6:$F$1113,4,FALSE)="","",VLOOKUP(BS754,'Données par municipalité'!$B$6:$F$1113,4,FALSE))</f>
        <v>259</v>
      </c>
      <c r="CW754" s="476" t="s">
        <v>4723</v>
      </c>
      <c r="CX754" s="483">
        <v>0</v>
      </c>
      <c r="CY754" s="483">
        <v>1E-3</v>
      </c>
      <c r="CZ754" s="483">
        <v>0</v>
      </c>
      <c r="DA754" s="483">
        <v>0</v>
      </c>
      <c r="DB754" s="483">
        <v>0</v>
      </c>
      <c r="DC754" s="483">
        <v>0.15</v>
      </c>
      <c r="DD754" s="483">
        <v>0</v>
      </c>
      <c r="DE754" s="483">
        <f>IFERROR(SUM(VLOOKUP($BS754,'État &amp; Plan d''action'!$B$6:$Z$1113,18,FALSE),VLOOKUP($BS754,'État &amp; Plan d''action'!$B$6:$Z$1113,20,FALSE))/(VLOOKUP($BS754,'Données par municipalité'!$B$4:$L$1113,11,FALSE)),"")</f>
        <v>0.15493466921448124</v>
      </c>
      <c r="DF754" s="483">
        <f>IFERROR(SUM(VLOOKUP($BS754,'État &amp; Plan d''action'!$B$6:$Z$1113,19,FALSE),VLOOKUP($BS754,'État &amp; Plan d''action'!$B$6:$Z$1113,21,FALSE))/(VLOOKUP($BS754,'Données par municipalité'!$B$4:$L$1113,11,FALSE)),"")</f>
        <v>0.15493466921448124</v>
      </c>
      <c r="DG754" s="476" t="s">
        <v>4723</v>
      </c>
      <c r="DH754" s="484">
        <v>8</v>
      </c>
      <c r="DI754" s="484">
        <v>6</v>
      </c>
      <c r="DJ754" s="484">
        <v>4</v>
      </c>
      <c r="DK754" s="484">
        <v>8</v>
      </c>
      <c r="DL754" s="484">
        <v>6</v>
      </c>
      <c r="DM754" s="484">
        <v>5</v>
      </c>
      <c r="DN754" s="484">
        <v>4</v>
      </c>
      <c r="DO754" s="484">
        <v>1</v>
      </c>
      <c r="DP754" s="484">
        <v>0</v>
      </c>
      <c r="DQ754" s="484">
        <f>IF(VLOOKUP($BS754,'État &amp; Plan d''action'!$B$6:$AJ$1113,28,FALSE)="","",VLOOKUP($BS754,'État &amp; Plan d''action'!$B$6:$AJ$1113,28,FALSE))</f>
        <v>7</v>
      </c>
      <c r="DR754" s="70">
        <f>IF(VLOOKUP($BS754,'État &amp; Plan d''action'!$B$6:$AJ$1113,29,FALSE)="","",VLOOKUP($BS754,'État &amp; Plan d''action'!$B$6:$AJ$1113,29,FALSE))</f>
        <v>0</v>
      </c>
      <c r="DS754" s="70">
        <f>IF(VLOOKUP($BS754,'État &amp; Plan d''action'!$B$6:$AJ$1113,30,FALSE)="","",VLOOKUP($BS754,'État &amp; Plan d''action'!$B$6:$AJ$1113,30,FALSE))</f>
        <v>0</v>
      </c>
      <c r="DT754" s="70">
        <v>144</v>
      </c>
      <c r="DU754" s="485">
        <v>3.3560702299656637</v>
      </c>
      <c r="DV754" s="485">
        <v>1.5981510838421307</v>
      </c>
      <c r="DW754" s="70">
        <v>1</v>
      </c>
      <c r="DX754" s="70">
        <v>1</v>
      </c>
      <c r="DY754" s="70">
        <v>0</v>
      </c>
      <c r="DZ754" s="70">
        <f>VLOOKUP($BS754,'État &amp; Plan d''action'!$B$6:$AH$1113,31,FALSE)</f>
        <v>1</v>
      </c>
      <c r="EA754" s="70">
        <f>VLOOKUP($BS754,'État &amp; Plan d''action'!$B$6:$AH$1113,32,FALSE)</f>
        <v>0</v>
      </c>
      <c r="EB754" s="70">
        <f>VLOOKUP($BS754,'État &amp; Plan d''action'!$B$6:$AH$1113,33,FALSE)</f>
        <v>0</v>
      </c>
      <c r="EC754" s="70">
        <v>18.863</v>
      </c>
      <c r="ED754" s="70">
        <v>0</v>
      </c>
      <c r="EE754" s="70">
        <v>0</v>
      </c>
      <c r="EF754" s="70">
        <v>0</v>
      </c>
      <c r="EG754" s="70">
        <v>0</v>
      </c>
      <c r="EH754" s="72">
        <v>56</v>
      </c>
      <c r="EI754" s="72">
        <v>2393</v>
      </c>
    </row>
    <row r="755" spans="71:139" x14ac:dyDescent="0.35">
      <c r="BS755" s="486">
        <v>12030</v>
      </c>
      <c r="BT755" s="479" t="s">
        <v>33</v>
      </c>
      <c r="BU755" s="479">
        <v>1</v>
      </c>
      <c r="BV755" s="476" t="s">
        <v>1187</v>
      </c>
      <c r="BW755" s="476" t="s">
        <v>1187</v>
      </c>
      <c r="BX755" s="476" t="s">
        <v>1187</v>
      </c>
      <c r="BY755" s="476" t="s">
        <v>1187</v>
      </c>
      <c r="BZ755" s="476" t="s">
        <v>1187</v>
      </c>
      <c r="CA755" s="476" t="s">
        <v>1187</v>
      </c>
      <c r="CB755" s="476" t="s">
        <v>1187</v>
      </c>
      <c r="CC755" s="476" t="s">
        <v>1187</v>
      </c>
      <c r="CD755" s="476" t="s">
        <v>1187</v>
      </c>
      <c r="CE755" s="476" t="s">
        <v>1188</v>
      </c>
      <c r="CF755" s="476" t="s">
        <v>1188</v>
      </c>
      <c r="CG755" s="476" t="s">
        <v>1187</v>
      </c>
      <c r="CH755" s="476" t="s">
        <v>1188</v>
      </c>
      <c r="CI755" s="476" t="s">
        <v>1188</v>
      </c>
      <c r="CJ755" s="476" t="s">
        <v>1188</v>
      </c>
      <c r="CK755" s="476" t="s">
        <v>1188</v>
      </c>
      <c r="CL755" s="476" t="s">
        <v>1188</v>
      </c>
      <c r="CM755" s="476" t="str">
        <f>IF(VLOOKUP(BS755,'Données par municipalité'!$B$6:$E$1113,4,FALSE)="","non","oui")</f>
        <v>oui</v>
      </c>
      <c r="CN755" s="410">
        <v>216.34987309444912</v>
      </c>
      <c r="CO755" s="410">
        <v>220.80908986601591</v>
      </c>
      <c r="CP755" s="410"/>
      <c r="CQ755" s="410">
        <v>204.41202632983456</v>
      </c>
      <c r="CR755" s="410">
        <v>202.01078909493779</v>
      </c>
      <c r="CS755" s="410">
        <v>189.70892242750165</v>
      </c>
      <c r="CT755" s="410">
        <v>158.63666265628189</v>
      </c>
      <c r="CU755" s="410">
        <v>205</v>
      </c>
      <c r="CV755" s="410">
        <f>IF(VLOOKUP(BS755,'Données par municipalité'!$B$6:$F$1113,4,FALSE)="","",VLOOKUP(BS755,'Données par municipalité'!$B$6:$F$1113,4,FALSE))</f>
        <v>198</v>
      </c>
      <c r="CW755" s="476" t="s">
        <v>4723</v>
      </c>
      <c r="CX755" s="483">
        <v>0</v>
      </c>
      <c r="CY755" s="483" t="s">
        <v>1124</v>
      </c>
      <c r="CZ755" s="483">
        <v>0</v>
      </c>
      <c r="DA755" s="483">
        <v>0</v>
      </c>
      <c r="DB755" s="483">
        <v>0</v>
      </c>
      <c r="DC755" s="483">
        <v>0</v>
      </c>
      <c r="DD755" s="483">
        <v>0</v>
      </c>
      <c r="DE755" s="483">
        <f>IFERROR(SUM(VLOOKUP($BS755,'État &amp; Plan d''action'!$B$6:$Z$1113,18,FALSE),VLOOKUP($BS755,'État &amp; Plan d''action'!$B$6:$Z$1113,20,FALSE))/(VLOOKUP($BS755,'Données par municipalité'!$B$4:$L$1113,11,FALSE)),"")</f>
        <v>0</v>
      </c>
      <c r="DF755" s="483">
        <f>IFERROR(SUM(VLOOKUP($BS755,'État &amp; Plan d''action'!$B$6:$Z$1113,19,FALSE),VLOOKUP($BS755,'État &amp; Plan d''action'!$B$6:$Z$1113,21,FALSE))/(VLOOKUP($BS755,'Données par municipalité'!$B$4:$L$1113,11,FALSE)),"")</f>
        <v>1.0889855645639706</v>
      </c>
      <c r="DG755" s="476" t="s">
        <v>4723</v>
      </c>
      <c r="DH755" s="484">
        <v>0</v>
      </c>
      <c r="DI755" s="484" t="s">
        <v>1124</v>
      </c>
      <c r="DJ755" s="484">
        <v>0</v>
      </c>
      <c r="DK755" s="484">
        <v>1</v>
      </c>
      <c r="DL755" s="484">
        <v>0</v>
      </c>
      <c r="DM755" s="484">
        <v>0</v>
      </c>
      <c r="DN755" s="484">
        <v>0</v>
      </c>
      <c r="DO755" s="484">
        <v>0</v>
      </c>
      <c r="DP755" s="484">
        <v>0</v>
      </c>
      <c r="DQ755" s="484">
        <f>IF(VLOOKUP($BS755,'État &amp; Plan d''action'!$B$6:$AJ$1113,28,FALSE)="","",VLOOKUP($BS755,'État &amp; Plan d''action'!$B$6:$AJ$1113,28,FALSE))</f>
        <v>0</v>
      </c>
      <c r="DR755" s="70">
        <f>IF(VLOOKUP($BS755,'État &amp; Plan d''action'!$B$6:$AJ$1113,29,FALSE)="","",VLOOKUP($BS755,'État &amp; Plan d''action'!$B$6:$AJ$1113,29,FALSE))</f>
        <v>0</v>
      </c>
      <c r="DS755" s="70">
        <f>IF(VLOOKUP($BS755,'État &amp; Plan d''action'!$B$6:$AJ$1113,30,FALSE)="","",VLOOKUP($BS755,'État &amp; Plan d''action'!$B$6:$AJ$1113,30,FALSE))</f>
        <v>21</v>
      </c>
      <c r="DT755" s="70">
        <v>161</v>
      </c>
      <c r="DU755" s="485">
        <v>0.92221621694162081</v>
      </c>
      <c r="DV755" s="485">
        <v>0.41397307724143656</v>
      </c>
      <c r="DW755" s="70">
        <v>0</v>
      </c>
      <c r="DX755" s="70">
        <v>0</v>
      </c>
      <c r="DY755" s="70">
        <v>0</v>
      </c>
      <c r="DZ755" s="70">
        <f>VLOOKUP($BS755,'État &amp; Plan d''action'!$B$6:$AH$1113,31,FALSE)</f>
        <v>0</v>
      </c>
      <c r="EA755" s="70">
        <f>VLOOKUP($BS755,'État &amp; Plan d''action'!$B$6:$AH$1113,32,FALSE)</f>
        <v>0</v>
      </c>
      <c r="EB755" s="70">
        <f>VLOOKUP($BS755,'État &amp; Plan d''action'!$B$6:$AH$1113,33,FALSE)</f>
        <v>1</v>
      </c>
      <c r="EC755" s="70">
        <v>4.8819999999999997</v>
      </c>
      <c r="ED755" s="70">
        <v>0</v>
      </c>
      <c r="EE755" s="70">
        <v>0</v>
      </c>
      <c r="EF755" s="70">
        <v>0</v>
      </c>
      <c r="EG755" s="70">
        <v>0</v>
      </c>
      <c r="EH755" s="72">
        <v>64</v>
      </c>
      <c r="EI755" s="72">
        <v>831</v>
      </c>
    </row>
    <row r="756" spans="71:139" x14ac:dyDescent="0.35">
      <c r="BS756" s="486">
        <v>31050</v>
      </c>
      <c r="BT756" s="479" t="s">
        <v>245</v>
      </c>
      <c r="BU756" s="479">
        <v>12</v>
      </c>
      <c r="BV756" s="476" t="s">
        <v>1188</v>
      </c>
      <c r="BW756" s="476" t="s">
        <v>1188</v>
      </c>
      <c r="BX756" s="476" t="s">
        <v>1188</v>
      </c>
      <c r="BY756" s="476" t="s">
        <v>1188</v>
      </c>
      <c r="BZ756" s="476" t="s">
        <v>1188</v>
      </c>
      <c r="CA756" s="476" t="s">
        <v>1188</v>
      </c>
      <c r="CB756" s="476" t="s">
        <v>1188</v>
      </c>
      <c r="CC756" s="476" t="s">
        <v>1188</v>
      </c>
      <c r="CD756" s="476" t="s">
        <v>1188</v>
      </c>
      <c r="CE756" s="476" t="s">
        <v>1187</v>
      </c>
      <c r="CF756" s="476" t="s">
        <v>1187</v>
      </c>
      <c r="CG756" s="476" t="s">
        <v>1187</v>
      </c>
      <c r="CH756" s="476" t="s">
        <v>1187</v>
      </c>
      <c r="CI756" s="476" t="s">
        <v>1187</v>
      </c>
      <c r="CJ756" s="476" t="s">
        <v>1187</v>
      </c>
      <c r="CK756" s="476" t="s">
        <v>1187</v>
      </c>
      <c r="CL756" s="476" t="s">
        <v>1187</v>
      </c>
      <c r="CM756" s="476" t="str">
        <f>IF(VLOOKUP(BS756,'Données par municipalité'!$B$6:$E$1113,4,FALSE)="","non","oui")</f>
        <v>non</v>
      </c>
      <c r="CN756" s="410" t="s">
        <v>1124</v>
      </c>
      <c r="CO756" s="410" t="s">
        <v>1124</v>
      </c>
      <c r="CP756" s="410"/>
      <c r="CQ756" s="410"/>
      <c r="CR756" s="410"/>
      <c r="CS756" s="410" t="s">
        <v>1124</v>
      </c>
      <c r="CT756" s="410"/>
      <c r="CU756" s="410" t="s">
        <v>1124</v>
      </c>
      <c r="CV756" s="410" t="str">
        <f>IF(VLOOKUP(BS756,'Données par municipalité'!$B$6:$F$1113,4,FALSE)="","",VLOOKUP(BS756,'Données par municipalité'!$B$6:$F$1113,4,FALSE))</f>
        <v/>
      </c>
      <c r="CW756" s="476" t="s">
        <v>4723</v>
      </c>
      <c r="CX756" s="483" t="s">
        <v>1124</v>
      </c>
      <c r="CY756" s="483" t="s">
        <v>1124</v>
      </c>
      <c r="CZ756" s="483" t="s">
        <v>1124</v>
      </c>
      <c r="DA756" s="483" t="s">
        <v>1124</v>
      </c>
      <c r="DB756" s="483" t="s">
        <v>1124</v>
      </c>
      <c r="DC756" s="483" t="s">
        <v>1124</v>
      </c>
      <c r="DD756" s="483" t="s">
        <v>1124</v>
      </c>
      <c r="DE756" s="483" t="str">
        <f>IFERROR(SUM(VLOOKUP($BS756,'État &amp; Plan d''action'!$B$6:$Z$1113,18,FALSE),VLOOKUP($BS756,'État &amp; Plan d''action'!$B$6:$Z$1113,20,FALSE))/(VLOOKUP($BS756,'Données par municipalité'!$B$4:$L$1113,11,FALSE)),"")</f>
        <v/>
      </c>
      <c r="DF756" s="483" t="str">
        <f>IFERROR(SUM(VLOOKUP($BS756,'État &amp; Plan d''action'!$B$6:$Z$1113,19,FALSE),VLOOKUP($BS756,'État &amp; Plan d''action'!$B$6:$Z$1113,21,FALSE))/(VLOOKUP($BS756,'Données par municipalité'!$B$4:$L$1113,11,FALSE)),"")</f>
        <v/>
      </c>
      <c r="DG756" s="476" t="s">
        <v>4723</v>
      </c>
      <c r="DH756" s="484" t="s">
        <v>1124</v>
      </c>
      <c r="DI756" s="484" t="s">
        <v>1124</v>
      </c>
      <c r="DJ756" s="484">
        <v>0</v>
      </c>
      <c r="DK756" s="484">
        <v>0</v>
      </c>
      <c r="DL756" s="484" t="s">
        <v>1124</v>
      </c>
      <c r="DM756" s="484" t="s">
        <v>1124</v>
      </c>
      <c r="DN756" s="484" t="s">
        <v>1124</v>
      </c>
      <c r="DO756" s="484" t="s">
        <v>1124</v>
      </c>
      <c r="DP756" s="484" t="s">
        <v>1124</v>
      </c>
      <c r="DQ756" s="484" t="str">
        <f>IF(VLOOKUP($BS756,'État &amp; Plan d''action'!$B$6:$AJ$1113,28,FALSE)="","",VLOOKUP($BS756,'État &amp; Plan d''action'!$B$6:$AJ$1113,28,FALSE))</f>
        <v/>
      </c>
      <c r="DR756" s="70" t="str">
        <f>IF(VLOOKUP($BS756,'État &amp; Plan d''action'!$B$6:$AJ$1113,29,FALSE)="","",VLOOKUP($BS756,'État &amp; Plan d''action'!$B$6:$AJ$1113,29,FALSE))</f>
        <v/>
      </c>
      <c r="DS756" s="70" t="str">
        <f>IF(VLOOKUP($BS756,'État &amp; Plan d''action'!$B$6:$AJ$1113,30,FALSE)="","",VLOOKUP($BS756,'État &amp; Plan d''action'!$B$6:$AJ$1113,30,FALSE))</f>
        <v/>
      </c>
      <c r="DT756" s="70" t="s">
        <v>1124</v>
      </c>
      <c r="DU756" s="485" t="s">
        <v>1124</v>
      </c>
      <c r="DV756" s="485" t="s">
        <v>1124</v>
      </c>
      <c r="DW756" s="70" t="s">
        <v>1124</v>
      </c>
      <c r="DX756" s="70" t="s">
        <v>1124</v>
      </c>
      <c r="DY756" s="70" t="s">
        <v>1124</v>
      </c>
      <c r="DZ756" s="70" t="str">
        <f>VLOOKUP($BS756,'État &amp; Plan d''action'!$B$6:$AH$1113,31,FALSE)</f>
        <v/>
      </c>
      <c r="EA756" s="70" t="str">
        <f>VLOOKUP($BS756,'État &amp; Plan d''action'!$B$6:$AH$1113,32,FALSE)</f>
        <v/>
      </c>
      <c r="EB756" s="70" t="str">
        <f>VLOOKUP($BS756,'État &amp; Plan d''action'!$B$6:$AH$1113,33,FALSE)</f>
        <v/>
      </c>
      <c r="EC756" s="70" t="s">
        <v>1124</v>
      </c>
      <c r="ED756" s="70" t="s">
        <v>1124</v>
      </c>
      <c r="EE756" s="70" t="s">
        <v>1124</v>
      </c>
      <c r="EF756" s="70" t="s">
        <v>1124</v>
      </c>
      <c r="EG756" s="70" t="s">
        <v>1124</v>
      </c>
      <c r="EH756" s="72"/>
      <c r="EI756" s="72">
        <v>324</v>
      </c>
    </row>
    <row r="757" spans="71:139" x14ac:dyDescent="0.35">
      <c r="BS757" s="486">
        <v>11015</v>
      </c>
      <c r="BT757" s="479" t="s">
        <v>19</v>
      </c>
      <c r="BU757" s="479">
        <v>1</v>
      </c>
      <c r="BV757" s="476" t="s">
        <v>1188</v>
      </c>
      <c r="BW757" s="476" t="s">
        <v>1188</v>
      </c>
      <c r="BX757" s="476" t="s">
        <v>1188</v>
      </c>
      <c r="BY757" s="476" t="s">
        <v>1188</v>
      </c>
      <c r="BZ757" s="476" t="s">
        <v>1188</v>
      </c>
      <c r="CA757" s="476" t="s">
        <v>1188</v>
      </c>
      <c r="CB757" s="476" t="s">
        <v>1188</v>
      </c>
      <c r="CC757" s="476" t="s">
        <v>1188</v>
      </c>
      <c r="CD757" s="476" t="s">
        <v>1188</v>
      </c>
      <c r="CE757" s="476" t="s">
        <v>1187</v>
      </c>
      <c r="CF757" s="476" t="s">
        <v>1187</v>
      </c>
      <c r="CG757" s="476" t="s">
        <v>1187</v>
      </c>
      <c r="CH757" s="476" t="s">
        <v>1187</v>
      </c>
      <c r="CI757" s="476" t="s">
        <v>1187</v>
      </c>
      <c r="CJ757" s="476" t="s">
        <v>1187</v>
      </c>
      <c r="CK757" s="476" t="s">
        <v>1187</v>
      </c>
      <c r="CL757" s="476" t="s">
        <v>1187</v>
      </c>
      <c r="CM757" s="476" t="str">
        <f>IF(VLOOKUP(BS757,'Données par municipalité'!$B$6:$E$1113,4,FALSE)="","non","oui")</f>
        <v>non</v>
      </c>
      <c r="CN757" s="410" t="s">
        <v>1124</v>
      </c>
      <c r="CO757" s="410" t="s">
        <v>1124</v>
      </c>
      <c r="CP757" s="410"/>
      <c r="CQ757" s="410"/>
      <c r="CR757" s="410"/>
      <c r="CS757" s="410" t="s">
        <v>1124</v>
      </c>
      <c r="CT757" s="410"/>
      <c r="CU757" s="410" t="s">
        <v>1124</v>
      </c>
      <c r="CV757" s="410" t="str">
        <f>IF(VLOOKUP(BS757,'Données par municipalité'!$B$6:$F$1113,4,FALSE)="","",VLOOKUP(BS757,'Données par municipalité'!$B$6:$F$1113,4,FALSE))</f>
        <v/>
      </c>
      <c r="CW757" s="476" t="s">
        <v>4723</v>
      </c>
      <c r="CX757" s="483" t="s">
        <v>1124</v>
      </c>
      <c r="CY757" s="483" t="s">
        <v>1124</v>
      </c>
      <c r="CZ757" s="483" t="s">
        <v>1124</v>
      </c>
      <c r="DA757" s="483" t="s">
        <v>1124</v>
      </c>
      <c r="DB757" s="483" t="s">
        <v>1124</v>
      </c>
      <c r="DC757" s="483" t="s">
        <v>1124</v>
      </c>
      <c r="DD757" s="483" t="s">
        <v>1124</v>
      </c>
      <c r="DE757" s="483" t="str">
        <f>IFERROR(SUM(VLOOKUP($BS757,'État &amp; Plan d''action'!$B$6:$Z$1113,18,FALSE),VLOOKUP($BS757,'État &amp; Plan d''action'!$B$6:$Z$1113,20,FALSE))/(VLOOKUP($BS757,'Données par municipalité'!$B$4:$L$1113,11,FALSE)),"")</f>
        <v/>
      </c>
      <c r="DF757" s="483" t="str">
        <f>IFERROR(SUM(VLOOKUP($BS757,'État &amp; Plan d''action'!$B$6:$Z$1113,19,FALSE),VLOOKUP($BS757,'État &amp; Plan d''action'!$B$6:$Z$1113,21,FALSE))/(VLOOKUP($BS757,'Données par municipalité'!$B$4:$L$1113,11,FALSE)),"")</f>
        <v/>
      </c>
      <c r="DG757" s="476" t="s">
        <v>4723</v>
      </c>
      <c r="DH757" s="484" t="s">
        <v>1124</v>
      </c>
      <c r="DI757" s="484" t="s">
        <v>1124</v>
      </c>
      <c r="DJ757" s="484">
        <v>0</v>
      </c>
      <c r="DK757" s="484">
        <v>0</v>
      </c>
      <c r="DL757" s="484" t="s">
        <v>1124</v>
      </c>
      <c r="DM757" s="484" t="s">
        <v>1124</v>
      </c>
      <c r="DN757" s="484" t="s">
        <v>1124</v>
      </c>
      <c r="DO757" s="484" t="s">
        <v>1124</v>
      </c>
      <c r="DP757" s="484" t="s">
        <v>1124</v>
      </c>
      <c r="DQ757" s="484" t="str">
        <f>IF(VLOOKUP($BS757,'État &amp; Plan d''action'!$B$6:$AJ$1113,28,FALSE)="","",VLOOKUP($BS757,'État &amp; Plan d''action'!$B$6:$AJ$1113,28,FALSE))</f>
        <v/>
      </c>
      <c r="DR757" s="70" t="str">
        <f>IF(VLOOKUP($BS757,'État &amp; Plan d''action'!$B$6:$AJ$1113,29,FALSE)="","",VLOOKUP($BS757,'État &amp; Plan d''action'!$B$6:$AJ$1113,29,FALSE))</f>
        <v/>
      </c>
      <c r="DS757" s="70" t="str">
        <f>IF(VLOOKUP($BS757,'État &amp; Plan d''action'!$B$6:$AJ$1113,30,FALSE)="","",VLOOKUP($BS757,'État &amp; Plan d''action'!$B$6:$AJ$1113,30,FALSE))</f>
        <v/>
      </c>
      <c r="DT757" s="70" t="s">
        <v>1124</v>
      </c>
      <c r="DU757" s="485" t="s">
        <v>1124</v>
      </c>
      <c r="DV757" s="485" t="s">
        <v>1124</v>
      </c>
      <c r="DW757" s="70" t="s">
        <v>1124</v>
      </c>
      <c r="DX757" s="70" t="s">
        <v>1124</v>
      </c>
      <c r="DY757" s="70" t="s">
        <v>1124</v>
      </c>
      <c r="DZ757" s="70" t="str">
        <f>VLOOKUP($BS757,'État &amp; Plan d''action'!$B$6:$AH$1113,31,FALSE)</f>
        <v/>
      </c>
      <c r="EA757" s="70" t="str">
        <f>VLOOKUP($BS757,'État &amp; Plan d''action'!$B$6:$AH$1113,32,FALSE)</f>
        <v/>
      </c>
      <c r="EB757" s="70" t="str">
        <f>VLOOKUP($BS757,'État &amp; Plan d''action'!$B$6:$AH$1113,33,FALSE)</f>
        <v/>
      </c>
      <c r="EC757" s="70" t="s">
        <v>1124</v>
      </c>
      <c r="ED757" s="70" t="s">
        <v>1124</v>
      </c>
      <c r="EE757" s="70" t="s">
        <v>1124</v>
      </c>
      <c r="EF757" s="70" t="s">
        <v>1124</v>
      </c>
      <c r="EG757" s="70" t="s">
        <v>1124</v>
      </c>
      <c r="EH757" s="72"/>
      <c r="EI757" s="72">
        <v>308</v>
      </c>
    </row>
    <row r="758" spans="71:139" x14ac:dyDescent="0.35">
      <c r="BS758" s="486">
        <v>28030</v>
      </c>
      <c r="BT758" s="479" t="s">
        <v>192</v>
      </c>
      <c r="BU758" s="479">
        <v>12</v>
      </c>
      <c r="BV758" s="476" t="s">
        <v>1188</v>
      </c>
      <c r="BW758" s="476" t="s">
        <v>1188</v>
      </c>
      <c r="BX758" s="476" t="s">
        <v>1188</v>
      </c>
      <c r="BY758" s="476" t="s">
        <v>1188</v>
      </c>
      <c r="BZ758" s="476" t="s">
        <v>1188</v>
      </c>
      <c r="CA758" s="476" t="s">
        <v>1188</v>
      </c>
      <c r="CB758" s="476" t="s">
        <v>1188</v>
      </c>
      <c r="CC758" s="476" t="s">
        <v>1188</v>
      </c>
      <c r="CD758" s="476" t="s">
        <v>1188</v>
      </c>
      <c r="CE758" s="476" t="s">
        <v>1187</v>
      </c>
      <c r="CF758" s="476" t="s">
        <v>1187</v>
      </c>
      <c r="CG758" s="476" t="s">
        <v>1187</v>
      </c>
      <c r="CH758" s="476" t="s">
        <v>1187</v>
      </c>
      <c r="CI758" s="476" t="s">
        <v>1187</v>
      </c>
      <c r="CJ758" s="476" t="s">
        <v>1187</v>
      </c>
      <c r="CK758" s="476" t="s">
        <v>1187</v>
      </c>
      <c r="CL758" s="476" t="s">
        <v>1187</v>
      </c>
      <c r="CM758" s="476" t="str">
        <f>IF(VLOOKUP(BS758,'Données par municipalité'!$B$6:$E$1113,4,FALSE)="","non","oui")</f>
        <v>non</v>
      </c>
      <c r="CN758" s="410" t="s">
        <v>1124</v>
      </c>
      <c r="CO758" s="410" t="s">
        <v>1124</v>
      </c>
      <c r="CP758" s="410"/>
      <c r="CQ758" s="410"/>
      <c r="CR758" s="410"/>
      <c r="CS758" s="410" t="s">
        <v>1124</v>
      </c>
      <c r="CT758" s="410"/>
      <c r="CU758" s="410" t="s">
        <v>1124</v>
      </c>
      <c r="CV758" s="410" t="str">
        <f>IF(VLOOKUP(BS758,'Données par municipalité'!$B$6:$F$1113,4,FALSE)="","",VLOOKUP(BS758,'Données par municipalité'!$B$6:$F$1113,4,FALSE))</f>
        <v/>
      </c>
      <c r="CW758" s="476" t="s">
        <v>4723</v>
      </c>
      <c r="CX758" s="483" t="s">
        <v>1124</v>
      </c>
      <c r="CY758" s="483" t="s">
        <v>1124</v>
      </c>
      <c r="CZ758" s="483" t="s">
        <v>1124</v>
      </c>
      <c r="DA758" s="483" t="s">
        <v>1124</v>
      </c>
      <c r="DB758" s="483" t="s">
        <v>1124</v>
      </c>
      <c r="DC758" s="483" t="s">
        <v>1124</v>
      </c>
      <c r="DD758" s="483" t="s">
        <v>1124</v>
      </c>
      <c r="DE758" s="483" t="str">
        <f>IFERROR(SUM(VLOOKUP($BS758,'État &amp; Plan d''action'!$B$6:$Z$1113,18,FALSE),VLOOKUP($BS758,'État &amp; Plan d''action'!$B$6:$Z$1113,20,FALSE))/(VLOOKUP($BS758,'Données par municipalité'!$B$4:$L$1113,11,FALSE)),"")</f>
        <v/>
      </c>
      <c r="DF758" s="483" t="str">
        <f>IFERROR(SUM(VLOOKUP($BS758,'État &amp; Plan d''action'!$B$6:$Z$1113,19,FALSE),VLOOKUP($BS758,'État &amp; Plan d''action'!$B$6:$Z$1113,21,FALSE))/(VLOOKUP($BS758,'Données par municipalité'!$B$4:$L$1113,11,FALSE)),"")</f>
        <v/>
      </c>
      <c r="DG758" s="476" t="s">
        <v>4723</v>
      </c>
      <c r="DH758" s="484" t="s">
        <v>1124</v>
      </c>
      <c r="DI758" s="484" t="s">
        <v>1124</v>
      </c>
      <c r="DJ758" s="484">
        <v>0</v>
      </c>
      <c r="DK758" s="484">
        <v>0</v>
      </c>
      <c r="DL758" s="484" t="s">
        <v>1124</v>
      </c>
      <c r="DM758" s="484" t="s">
        <v>1124</v>
      </c>
      <c r="DN758" s="484" t="s">
        <v>1124</v>
      </c>
      <c r="DO758" s="484" t="s">
        <v>1124</v>
      </c>
      <c r="DP758" s="484" t="s">
        <v>1124</v>
      </c>
      <c r="DQ758" s="484" t="str">
        <f>IF(VLOOKUP($BS758,'État &amp; Plan d''action'!$B$6:$AJ$1113,28,FALSE)="","",VLOOKUP($BS758,'État &amp; Plan d''action'!$B$6:$AJ$1113,28,FALSE))</f>
        <v/>
      </c>
      <c r="DR758" s="70" t="str">
        <f>IF(VLOOKUP($BS758,'État &amp; Plan d''action'!$B$6:$AJ$1113,29,FALSE)="","",VLOOKUP($BS758,'État &amp; Plan d''action'!$B$6:$AJ$1113,29,FALSE))</f>
        <v/>
      </c>
      <c r="DS758" s="70" t="str">
        <f>IF(VLOOKUP($BS758,'État &amp; Plan d''action'!$B$6:$AJ$1113,30,FALSE)="","",VLOOKUP($BS758,'État &amp; Plan d''action'!$B$6:$AJ$1113,30,FALSE))</f>
        <v/>
      </c>
      <c r="DT758" s="70" t="s">
        <v>1124</v>
      </c>
      <c r="DU758" s="485" t="s">
        <v>1124</v>
      </c>
      <c r="DV758" s="485" t="s">
        <v>1124</v>
      </c>
      <c r="DW758" s="70" t="s">
        <v>1124</v>
      </c>
      <c r="DX758" s="70" t="s">
        <v>1124</v>
      </c>
      <c r="DY758" s="70" t="s">
        <v>1124</v>
      </c>
      <c r="DZ758" s="70" t="str">
        <f>VLOOKUP($BS758,'État &amp; Plan d''action'!$B$6:$AH$1113,31,FALSE)</f>
        <v/>
      </c>
      <c r="EA758" s="70" t="str">
        <f>VLOOKUP($BS758,'État &amp; Plan d''action'!$B$6:$AH$1113,32,FALSE)</f>
        <v/>
      </c>
      <c r="EB758" s="70" t="str">
        <f>VLOOKUP($BS758,'État &amp; Plan d''action'!$B$6:$AH$1113,33,FALSE)</f>
        <v/>
      </c>
      <c r="EC758" s="70" t="s">
        <v>1124</v>
      </c>
      <c r="ED758" s="70" t="s">
        <v>1124</v>
      </c>
      <c r="EE758" s="70" t="s">
        <v>1124</v>
      </c>
      <c r="EF758" s="70" t="s">
        <v>1124</v>
      </c>
      <c r="EG758" s="70" t="s">
        <v>1124</v>
      </c>
      <c r="EH758" s="72"/>
      <c r="EI758" s="72">
        <v>751</v>
      </c>
    </row>
    <row r="759" spans="71:139" x14ac:dyDescent="0.35">
      <c r="BS759" s="486">
        <v>94230</v>
      </c>
      <c r="BT759" s="479" t="s">
        <v>978</v>
      </c>
      <c r="BU759" s="479">
        <v>2</v>
      </c>
      <c r="BV759" s="476" t="s">
        <v>1187</v>
      </c>
      <c r="BW759" s="476" t="s">
        <v>1187</v>
      </c>
      <c r="BX759" s="476" t="s">
        <v>1187</v>
      </c>
      <c r="BY759" s="476" t="s">
        <v>1187</v>
      </c>
      <c r="BZ759" s="476" t="s">
        <v>1187</v>
      </c>
      <c r="CA759" s="476" t="s">
        <v>1187</v>
      </c>
      <c r="CB759" s="476" t="s">
        <v>1187</v>
      </c>
      <c r="CC759" s="476" t="s">
        <v>1187</v>
      </c>
      <c r="CD759" s="476" t="s">
        <v>1187</v>
      </c>
      <c r="CE759" s="476" t="s">
        <v>1188</v>
      </c>
      <c r="CF759" s="476" t="s">
        <v>1188</v>
      </c>
      <c r="CG759" s="476" t="s">
        <v>1188</v>
      </c>
      <c r="CH759" s="476" t="s">
        <v>1188</v>
      </c>
      <c r="CI759" s="476" t="s">
        <v>1188</v>
      </c>
      <c r="CJ759" s="476" t="s">
        <v>1188</v>
      </c>
      <c r="CK759" s="476" t="s">
        <v>1188</v>
      </c>
      <c r="CL759" s="476" t="s">
        <v>1188</v>
      </c>
      <c r="CM759" s="476" t="str">
        <f>IF(VLOOKUP(BS759,'Données par municipalité'!$B$6:$E$1113,4,FALSE)="","non","oui")</f>
        <v>oui</v>
      </c>
      <c r="CN759" s="410">
        <v>1105</v>
      </c>
      <c r="CO759" s="410">
        <v>560.81967213114751</v>
      </c>
      <c r="CP759" s="410">
        <v>553.55783866057834</v>
      </c>
      <c r="CQ759" s="410">
        <v>502.17813467695368</v>
      </c>
      <c r="CR759" s="410">
        <v>534.45772956423048</v>
      </c>
      <c r="CS759" s="410">
        <v>487.32502088176392</v>
      </c>
      <c r="CT759" s="410">
        <v>297.09662804481258</v>
      </c>
      <c r="CU759" s="410">
        <v>468</v>
      </c>
      <c r="CV759" s="410">
        <f>IF(VLOOKUP(BS759,'Données par municipalité'!$B$6:$F$1113,4,FALSE)="","",VLOOKUP(BS759,'Données par municipalité'!$B$6:$F$1113,4,FALSE))</f>
        <v>505</v>
      </c>
      <c r="CW759" s="476" t="s">
        <v>4723</v>
      </c>
      <c r="CX759" s="483">
        <v>1</v>
      </c>
      <c r="CY759" s="483">
        <v>0</v>
      </c>
      <c r="CZ759" s="483">
        <v>1</v>
      </c>
      <c r="DA759" s="483">
        <v>1</v>
      </c>
      <c r="DB759" s="483">
        <v>1</v>
      </c>
      <c r="DC759" s="483">
        <v>1</v>
      </c>
      <c r="DD759" s="483">
        <v>0</v>
      </c>
      <c r="DE759" s="483">
        <f>IFERROR(SUM(VLOOKUP($BS759,'État &amp; Plan d''action'!$B$6:$Z$1113,18,FALSE),VLOOKUP($BS759,'État &amp; Plan d''action'!$B$6:$Z$1113,20,FALSE))/(VLOOKUP($BS759,'Données par municipalité'!$B$4:$L$1113,11,FALSE)),"")</f>
        <v>0</v>
      </c>
      <c r="DF759" s="483">
        <f>IFERROR(SUM(VLOOKUP($BS759,'État &amp; Plan d''action'!$B$6:$Z$1113,19,FALSE),VLOOKUP($BS759,'État &amp; Plan d''action'!$B$6:$Z$1113,21,FALSE))/(VLOOKUP($BS759,'Données par municipalité'!$B$4:$L$1113,11,FALSE)),"")</f>
        <v>1</v>
      </c>
      <c r="DG759" s="476" t="s">
        <v>4723</v>
      </c>
      <c r="DH759" s="484">
        <v>0</v>
      </c>
      <c r="DI759" s="484">
        <v>0</v>
      </c>
      <c r="DJ759" s="484">
        <v>0</v>
      </c>
      <c r="DK759" s="484">
        <v>0</v>
      </c>
      <c r="DL759" s="484">
        <v>0</v>
      </c>
      <c r="DM759" s="484">
        <v>0</v>
      </c>
      <c r="DN759" s="484">
        <v>3</v>
      </c>
      <c r="DO759" s="484">
        <v>0</v>
      </c>
      <c r="DP759" s="484">
        <v>0</v>
      </c>
      <c r="DQ759" s="484">
        <f>IF(VLOOKUP($BS759,'État &amp; Plan d''action'!$B$6:$AJ$1113,28,FALSE)="","",VLOOKUP($BS759,'État &amp; Plan d''action'!$B$6:$AJ$1113,28,FALSE))</f>
        <v>3</v>
      </c>
      <c r="DR759" s="70">
        <f>IF(VLOOKUP($BS759,'État &amp; Plan d''action'!$B$6:$AJ$1113,29,FALSE)="","",VLOOKUP($BS759,'État &amp; Plan d''action'!$B$6:$AJ$1113,29,FALSE))</f>
        <v>1</v>
      </c>
      <c r="DS759" s="70">
        <f>IF(VLOOKUP($BS759,'État &amp; Plan d''action'!$B$6:$AJ$1113,30,FALSE)="","",VLOOKUP($BS759,'État &amp; Plan d''action'!$B$6:$AJ$1113,30,FALSE))</f>
        <v>0</v>
      </c>
      <c r="DT759" s="70">
        <v>310</v>
      </c>
      <c r="DU759" s="485">
        <v>1.9199090731062975</v>
      </c>
      <c r="DV759" s="485">
        <v>1.2025075464652002</v>
      </c>
      <c r="DW759" s="70">
        <v>2</v>
      </c>
      <c r="DX759" s="70">
        <v>0</v>
      </c>
      <c r="DY759" s="70">
        <v>0</v>
      </c>
      <c r="DZ759" s="70">
        <f>VLOOKUP($BS759,'État &amp; Plan d''action'!$B$6:$AH$1113,31,FALSE)</f>
        <v>1</v>
      </c>
      <c r="EA759" s="70">
        <f>VLOOKUP($BS759,'État &amp; Plan d''action'!$B$6:$AH$1113,32,FALSE)</f>
        <v>1</v>
      </c>
      <c r="EB759" s="70">
        <f>VLOOKUP($BS759,'État &amp; Plan d''action'!$B$6:$AH$1113,33,FALSE)</f>
        <v>0</v>
      </c>
      <c r="EC759" s="70">
        <v>0</v>
      </c>
      <c r="ED759" s="70">
        <v>0</v>
      </c>
      <c r="EE759" s="70">
        <v>0</v>
      </c>
      <c r="EF759" s="70">
        <v>0</v>
      </c>
      <c r="EG759" s="70">
        <v>0</v>
      </c>
      <c r="EH759" s="72">
        <v>58</v>
      </c>
      <c r="EI759" s="72">
        <v>440</v>
      </c>
    </row>
    <row r="760" spans="71:139" x14ac:dyDescent="0.35">
      <c r="BS760" s="486">
        <v>28065</v>
      </c>
      <c r="BT760" s="479" t="s">
        <v>198</v>
      </c>
      <c r="BU760" s="479">
        <v>12</v>
      </c>
      <c r="BV760" s="476" t="s">
        <v>1188</v>
      </c>
      <c r="BW760" s="476" t="s">
        <v>1188</v>
      </c>
      <c r="BX760" s="476" t="s">
        <v>1188</v>
      </c>
      <c r="BY760" s="476" t="s">
        <v>1187</v>
      </c>
      <c r="BZ760" s="476" t="s">
        <v>1187</v>
      </c>
      <c r="CA760" s="476" t="s">
        <v>1187</v>
      </c>
      <c r="CB760" s="476" t="s">
        <v>1187</v>
      </c>
      <c r="CC760" s="476" t="s">
        <v>1187</v>
      </c>
      <c r="CD760" s="476" t="s">
        <v>1187</v>
      </c>
      <c r="CE760" s="476" t="s">
        <v>1187</v>
      </c>
      <c r="CF760" s="476" t="s">
        <v>1187</v>
      </c>
      <c r="CG760" s="476" t="s">
        <v>1187</v>
      </c>
      <c r="CH760" s="476" t="s">
        <v>1188</v>
      </c>
      <c r="CI760" s="476" t="s">
        <v>1188</v>
      </c>
      <c r="CJ760" s="476" t="s">
        <v>1188</v>
      </c>
      <c r="CK760" s="476" t="s">
        <v>1188</v>
      </c>
      <c r="CL760" s="476" t="s">
        <v>1188</v>
      </c>
      <c r="CM760" s="476" t="str">
        <f>IF(VLOOKUP(BS760,'Données par municipalité'!$B$6:$E$1113,4,FALSE)="","non","oui")</f>
        <v>oui</v>
      </c>
      <c r="CN760" s="410" t="s">
        <v>1124</v>
      </c>
      <c r="CO760" s="410" t="s">
        <v>1124</v>
      </c>
      <c r="CP760" s="410"/>
      <c r="CQ760" s="410">
        <v>288.06374999999997</v>
      </c>
      <c r="CR760" s="410">
        <v>246.54088050314465</v>
      </c>
      <c r="CS760" s="410">
        <v>297.63205828779604</v>
      </c>
      <c r="CT760" s="410">
        <v>262.16973704928358</v>
      </c>
      <c r="CU760" s="410">
        <v>260</v>
      </c>
      <c r="CV760" s="410">
        <f>IF(VLOOKUP(BS760,'Données par municipalité'!$B$6:$F$1113,4,FALSE)="","",VLOOKUP(BS760,'Données par municipalité'!$B$6:$F$1113,4,FALSE))</f>
        <v>315</v>
      </c>
      <c r="CW760" s="476" t="s">
        <v>4723</v>
      </c>
      <c r="CX760" s="483" t="s">
        <v>1124</v>
      </c>
      <c r="CY760" s="483" t="s">
        <v>1124</v>
      </c>
      <c r="CZ760" s="483">
        <v>0</v>
      </c>
      <c r="DA760" s="483">
        <v>0</v>
      </c>
      <c r="DB760" s="483">
        <v>0</v>
      </c>
      <c r="DC760" s="483">
        <v>0</v>
      </c>
      <c r="DD760" s="483">
        <v>0</v>
      </c>
      <c r="DE760" s="483">
        <f>IFERROR(SUM(VLOOKUP($BS760,'État &amp; Plan d''action'!$B$6:$Z$1113,18,FALSE),VLOOKUP($BS760,'État &amp; Plan d''action'!$B$6:$Z$1113,20,FALSE))/(VLOOKUP($BS760,'Données par municipalité'!$B$4:$L$1113,11,FALSE)),"")</f>
        <v>0</v>
      </c>
      <c r="DF760" s="483">
        <f>IFERROR(SUM(VLOOKUP($BS760,'État &amp; Plan d''action'!$B$6:$Z$1113,19,FALSE),VLOOKUP($BS760,'État &amp; Plan d''action'!$B$6:$Z$1113,21,FALSE))/(VLOOKUP($BS760,'Données par municipalité'!$B$4:$L$1113,11,FALSE)),"")</f>
        <v>0</v>
      </c>
      <c r="DG760" s="476" t="s">
        <v>4723</v>
      </c>
      <c r="DH760" s="484" t="s">
        <v>1124</v>
      </c>
      <c r="DI760" s="484" t="s">
        <v>1124</v>
      </c>
      <c r="DJ760" s="484">
        <v>0</v>
      </c>
      <c r="DK760" s="484">
        <v>1</v>
      </c>
      <c r="DL760" s="484">
        <v>0</v>
      </c>
      <c r="DM760" s="484">
        <v>0</v>
      </c>
      <c r="DN760" s="484">
        <v>0</v>
      </c>
      <c r="DO760" s="484">
        <v>0</v>
      </c>
      <c r="DP760" s="484">
        <v>0</v>
      </c>
      <c r="DQ760" s="484">
        <f>IF(VLOOKUP($BS760,'État &amp; Plan d''action'!$B$6:$AJ$1113,28,FALSE)="","",VLOOKUP($BS760,'État &amp; Plan d''action'!$B$6:$AJ$1113,28,FALSE))</f>
        <v>0</v>
      </c>
      <c r="DR760" s="70">
        <f>IF(VLOOKUP($BS760,'État &amp; Plan d''action'!$B$6:$AJ$1113,29,FALSE)="","",VLOOKUP($BS760,'État &amp; Plan d''action'!$B$6:$AJ$1113,29,FALSE))</f>
        <v>0</v>
      </c>
      <c r="DS760" s="70">
        <f>IF(VLOOKUP($BS760,'État &amp; Plan d''action'!$B$6:$AJ$1113,30,FALSE)="","",VLOOKUP($BS760,'État &amp; Plan d''action'!$B$6:$AJ$1113,30,FALSE))</f>
        <v>1</v>
      </c>
      <c r="DT760" s="70">
        <v>217</v>
      </c>
      <c r="DU760" s="485">
        <v>0.78484309575321831</v>
      </c>
      <c r="DV760" s="485">
        <v>0.77707058461145939</v>
      </c>
      <c r="DW760" s="70">
        <v>0</v>
      </c>
      <c r="DX760" s="70">
        <v>0</v>
      </c>
      <c r="DY760" s="70">
        <v>0</v>
      </c>
      <c r="DZ760" s="70">
        <f>VLOOKUP($BS760,'État &amp; Plan d''action'!$B$6:$AH$1113,31,FALSE)</f>
        <v>0</v>
      </c>
      <c r="EA760" s="70">
        <f>VLOOKUP($BS760,'État &amp; Plan d''action'!$B$6:$AH$1113,32,FALSE)</f>
        <v>0</v>
      </c>
      <c r="EB760" s="70">
        <f>VLOOKUP($BS760,'État &amp; Plan d''action'!$B$6:$AH$1113,33,FALSE)</f>
        <v>1</v>
      </c>
      <c r="EC760" s="70">
        <v>3.49</v>
      </c>
      <c r="ED760" s="70">
        <v>0</v>
      </c>
      <c r="EE760" s="70">
        <v>0</v>
      </c>
      <c r="EF760" s="70">
        <v>0</v>
      </c>
      <c r="EG760" s="70">
        <v>0</v>
      </c>
      <c r="EH760" s="72">
        <v>62</v>
      </c>
      <c r="EI760" s="72">
        <v>371</v>
      </c>
    </row>
    <row r="761" spans="71:139" x14ac:dyDescent="0.35">
      <c r="BS761" s="486">
        <v>46105</v>
      </c>
      <c r="BT761" s="479" t="s">
        <v>446</v>
      </c>
      <c r="BU761" s="479">
        <v>5</v>
      </c>
      <c r="BV761" s="476" t="s">
        <v>1188</v>
      </c>
      <c r="BW761" s="476" t="s">
        <v>1188</v>
      </c>
      <c r="BX761" s="476" t="s">
        <v>1188</v>
      </c>
      <c r="BY761" s="476" t="s">
        <v>1188</v>
      </c>
      <c r="BZ761" s="476" t="s">
        <v>1188</v>
      </c>
      <c r="CA761" s="476" t="s">
        <v>1188</v>
      </c>
      <c r="CB761" s="476" t="s">
        <v>1188</v>
      </c>
      <c r="CC761" s="476" t="s">
        <v>1188</v>
      </c>
      <c r="CD761" s="476" t="s">
        <v>1188</v>
      </c>
      <c r="CE761" s="476" t="s">
        <v>1187</v>
      </c>
      <c r="CF761" s="476" t="s">
        <v>1187</v>
      </c>
      <c r="CG761" s="476" t="s">
        <v>1187</v>
      </c>
      <c r="CH761" s="476" t="s">
        <v>1187</v>
      </c>
      <c r="CI761" s="476" t="s">
        <v>1187</v>
      </c>
      <c r="CJ761" s="476" t="s">
        <v>1187</v>
      </c>
      <c r="CK761" s="476" t="s">
        <v>1187</v>
      </c>
      <c r="CL761" s="476" t="s">
        <v>1187</v>
      </c>
      <c r="CM761" s="476" t="str">
        <f>IF(VLOOKUP(BS761,'Données par municipalité'!$B$6:$E$1113,4,FALSE)="","non","oui")</f>
        <v>non</v>
      </c>
      <c r="CN761" s="410" t="s">
        <v>1124</v>
      </c>
      <c r="CO761" s="410" t="s">
        <v>1124</v>
      </c>
      <c r="CP761" s="410"/>
      <c r="CQ761" s="410"/>
      <c r="CR761" s="410"/>
      <c r="CS761" s="410" t="s">
        <v>1124</v>
      </c>
      <c r="CT761" s="410"/>
      <c r="CU761" s="410" t="s">
        <v>1124</v>
      </c>
      <c r="CV761" s="410" t="str">
        <f>IF(VLOOKUP(BS761,'Données par municipalité'!$B$6:$F$1113,4,FALSE)="","",VLOOKUP(BS761,'Données par municipalité'!$B$6:$F$1113,4,FALSE))</f>
        <v/>
      </c>
      <c r="CW761" s="476" t="s">
        <v>4723</v>
      </c>
      <c r="CX761" s="483" t="s">
        <v>1124</v>
      </c>
      <c r="CY761" s="483" t="s">
        <v>1124</v>
      </c>
      <c r="CZ761" s="483" t="s">
        <v>1124</v>
      </c>
      <c r="DA761" s="483" t="s">
        <v>1124</v>
      </c>
      <c r="DB761" s="483" t="s">
        <v>1124</v>
      </c>
      <c r="DC761" s="483" t="s">
        <v>1124</v>
      </c>
      <c r="DD761" s="483" t="s">
        <v>1124</v>
      </c>
      <c r="DE761" s="483" t="str">
        <f>IFERROR(SUM(VLOOKUP($BS761,'État &amp; Plan d''action'!$B$6:$Z$1113,18,FALSE),VLOOKUP($BS761,'État &amp; Plan d''action'!$B$6:$Z$1113,20,FALSE))/(VLOOKUP($BS761,'Données par municipalité'!$B$4:$L$1113,11,FALSE)),"")</f>
        <v/>
      </c>
      <c r="DF761" s="483" t="str">
        <f>IFERROR(SUM(VLOOKUP($BS761,'État &amp; Plan d''action'!$B$6:$Z$1113,19,FALSE),VLOOKUP($BS761,'État &amp; Plan d''action'!$B$6:$Z$1113,21,FALSE))/(VLOOKUP($BS761,'Données par municipalité'!$B$4:$L$1113,11,FALSE)),"")</f>
        <v/>
      </c>
      <c r="DG761" s="476" t="s">
        <v>4723</v>
      </c>
      <c r="DH761" s="484" t="s">
        <v>1124</v>
      </c>
      <c r="DI761" s="484" t="s">
        <v>1124</v>
      </c>
      <c r="DJ761" s="484">
        <v>0</v>
      </c>
      <c r="DK761" s="484">
        <v>0</v>
      </c>
      <c r="DL761" s="484" t="s">
        <v>1124</v>
      </c>
      <c r="DM761" s="484" t="s">
        <v>1124</v>
      </c>
      <c r="DN761" s="484" t="s">
        <v>1124</v>
      </c>
      <c r="DO761" s="484" t="s">
        <v>1124</v>
      </c>
      <c r="DP761" s="484" t="s">
        <v>1124</v>
      </c>
      <c r="DQ761" s="484" t="str">
        <f>IF(VLOOKUP($BS761,'État &amp; Plan d''action'!$B$6:$AJ$1113,28,FALSE)="","",VLOOKUP($BS761,'État &amp; Plan d''action'!$B$6:$AJ$1113,28,FALSE))</f>
        <v/>
      </c>
      <c r="DR761" s="70" t="str">
        <f>IF(VLOOKUP($BS761,'État &amp; Plan d''action'!$B$6:$AJ$1113,29,FALSE)="","",VLOOKUP($BS761,'État &amp; Plan d''action'!$B$6:$AJ$1113,29,FALSE))</f>
        <v/>
      </c>
      <c r="DS761" s="70" t="str">
        <f>IF(VLOOKUP($BS761,'État &amp; Plan d''action'!$B$6:$AJ$1113,30,FALSE)="","",VLOOKUP($BS761,'État &amp; Plan d''action'!$B$6:$AJ$1113,30,FALSE))</f>
        <v/>
      </c>
      <c r="DT761" s="70" t="s">
        <v>1124</v>
      </c>
      <c r="DU761" s="485" t="s">
        <v>1124</v>
      </c>
      <c r="DV761" s="485" t="s">
        <v>1124</v>
      </c>
      <c r="DW761" s="70" t="s">
        <v>1124</v>
      </c>
      <c r="DX761" s="70" t="s">
        <v>1124</v>
      </c>
      <c r="DY761" s="70" t="s">
        <v>1124</v>
      </c>
      <c r="DZ761" s="70" t="str">
        <f>VLOOKUP($BS761,'État &amp; Plan d''action'!$B$6:$AH$1113,31,FALSE)</f>
        <v/>
      </c>
      <c r="EA761" s="70" t="str">
        <f>VLOOKUP($BS761,'État &amp; Plan d''action'!$B$6:$AH$1113,32,FALSE)</f>
        <v/>
      </c>
      <c r="EB761" s="70" t="str">
        <f>VLOOKUP($BS761,'État &amp; Plan d''action'!$B$6:$AH$1113,33,FALSE)</f>
        <v/>
      </c>
      <c r="EC761" s="70" t="s">
        <v>1124</v>
      </c>
      <c r="ED761" s="70" t="s">
        <v>1124</v>
      </c>
      <c r="EE761" s="70" t="s">
        <v>1124</v>
      </c>
      <c r="EF761" s="70" t="s">
        <v>1124</v>
      </c>
      <c r="EG761" s="70" t="s">
        <v>1124</v>
      </c>
      <c r="EH761" s="72"/>
      <c r="EI761" s="72">
        <v>1131</v>
      </c>
    </row>
    <row r="762" spans="71:139" x14ac:dyDescent="0.35">
      <c r="BS762" s="486">
        <v>39105</v>
      </c>
      <c r="BT762" s="479" t="s">
        <v>351</v>
      </c>
      <c r="BU762" s="479">
        <v>17</v>
      </c>
      <c r="BV762" s="476" t="s">
        <v>1188</v>
      </c>
      <c r="BW762" s="476" t="s">
        <v>1188</v>
      </c>
      <c r="BX762" s="476" t="s">
        <v>1188</v>
      </c>
      <c r="BY762" s="476" t="s">
        <v>1188</v>
      </c>
      <c r="BZ762" s="476" t="s">
        <v>1188</v>
      </c>
      <c r="CA762" s="476" t="s">
        <v>1188</v>
      </c>
      <c r="CB762" s="476" t="s">
        <v>1188</v>
      </c>
      <c r="CC762" s="476" t="s">
        <v>1188</v>
      </c>
      <c r="CD762" s="476" t="s">
        <v>1188</v>
      </c>
      <c r="CE762" s="476" t="s">
        <v>1187</v>
      </c>
      <c r="CF762" s="476" t="s">
        <v>1187</v>
      </c>
      <c r="CG762" s="476" t="s">
        <v>1187</v>
      </c>
      <c r="CH762" s="476" t="s">
        <v>1187</v>
      </c>
      <c r="CI762" s="476" t="s">
        <v>1187</v>
      </c>
      <c r="CJ762" s="476" t="s">
        <v>1187</v>
      </c>
      <c r="CK762" s="476" t="s">
        <v>1187</v>
      </c>
      <c r="CL762" s="476" t="s">
        <v>1187</v>
      </c>
      <c r="CM762" s="476" t="str">
        <f>IF(VLOOKUP(BS762,'Données par municipalité'!$B$6:$E$1113,4,FALSE)="","non","oui")</f>
        <v>non</v>
      </c>
      <c r="CN762" s="410" t="s">
        <v>1124</v>
      </c>
      <c r="CO762" s="410" t="s">
        <v>1124</v>
      </c>
      <c r="CP762" s="410"/>
      <c r="CQ762" s="410"/>
      <c r="CR762" s="410"/>
      <c r="CS762" s="410" t="s">
        <v>1124</v>
      </c>
      <c r="CT762" s="410"/>
      <c r="CU762" s="410" t="s">
        <v>1124</v>
      </c>
      <c r="CV762" s="410" t="str">
        <f>IF(VLOOKUP(BS762,'Données par municipalité'!$B$6:$F$1113,4,FALSE)="","",VLOOKUP(BS762,'Données par municipalité'!$B$6:$F$1113,4,FALSE))</f>
        <v/>
      </c>
      <c r="CW762" s="476" t="s">
        <v>4723</v>
      </c>
      <c r="CX762" s="483" t="s">
        <v>1124</v>
      </c>
      <c r="CY762" s="483" t="s">
        <v>1124</v>
      </c>
      <c r="CZ762" s="483" t="s">
        <v>1124</v>
      </c>
      <c r="DA762" s="483" t="s">
        <v>1124</v>
      </c>
      <c r="DB762" s="483" t="s">
        <v>1124</v>
      </c>
      <c r="DC762" s="483" t="s">
        <v>1124</v>
      </c>
      <c r="DD762" s="483" t="s">
        <v>1124</v>
      </c>
      <c r="DE762" s="483" t="str">
        <f>IFERROR(SUM(VLOOKUP($BS762,'État &amp; Plan d''action'!$B$6:$Z$1113,18,FALSE),VLOOKUP($BS762,'État &amp; Plan d''action'!$B$6:$Z$1113,20,FALSE))/(VLOOKUP($BS762,'Données par municipalité'!$B$4:$L$1113,11,FALSE)),"")</f>
        <v/>
      </c>
      <c r="DF762" s="483" t="str">
        <f>IFERROR(SUM(VLOOKUP($BS762,'État &amp; Plan d''action'!$B$6:$Z$1113,19,FALSE),VLOOKUP($BS762,'État &amp; Plan d''action'!$B$6:$Z$1113,21,FALSE))/(VLOOKUP($BS762,'Données par municipalité'!$B$4:$L$1113,11,FALSE)),"")</f>
        <v/>
      </c>
      <c r="DG762" s="476" t="s">
        <v>4723</v>
      </c>
      <c r="DH762" s="484" t="s">
        <v>1124</v>
      </c>
      <c r="DI762" s="484" t="s">
        <v>1124</v>
      </c>
      <c r="DJ762" s="484">
        <v>0</v>
      </c>
      <c r="DK762" s="484">
        <v>0</v>
      </c>
      <c r="DL762" s="484" t="s">
        <v>1124</v>
      </c>
      <c r="DM762" s="484" t="s">
        <v>1124</v>
      </c>
      <c r="DN762" s="484" t="s">
        <v>1124</v>
      </c>
      <c r="DO762" s="484" t="s">
        <v>1124</v>
      </c>
      <c r="DP762" s="484" t="s">
        <v>1124</v>
      </c>
      <c r="DQ762" s="484" t="str">
        <f>IF(VLOOKUP($BS762,'État &amp; Plan d''action'!$B$6:$AJ$1113,28,FALSE)="","",VLOOKUP($BS762,'État &amp; Plan d''action'!$B$6:$AJ$1113,28,FALSE))</f>
        <v/>
      </c>
      <c r="DR762" s="70" t="str">
        <f>IF(VLOOKUP($BS762,'État &amp; Plan d''action'!$B$6:$AJ$1113,29,FALSE)="","",VLOOKUP($BS762,'État &amp; Plan d''action'!$B$6:$AJ$1113,29,FALSE))</f>
        <v/>
      </c>
      <c r="DS762" s="70" t="str">
        <f>IF(VLOOKUP($BS762,'État &amp; Plan d''action'!$B$6:$AJ$1113,30,FALSE)="","",VLOOKUP($BS762,'État &amp; Plan d''action'!$B$6:$AJ$1113,30,FALSE))</f>
        <v/>
      </c>
      <c r="DT762" s="70" t="s">
        <v>1124</v>
      </c>
      <c r="DU762" s="485" t="s">
        <v>1124</v>
      </c>
      <c r="DV762" s="485" t="s">
        <v>1124</v>
      </c>
      <c r="DW762" s="70" t="s">
        <v>1124</v>
      </c>
      <c r="DX762" s="70" t="s">
        <v>1124</v>
      </c>
      <c r="DY762" s="70" t="s">
        <v>1124</v>
      </c>
      <c r="DZ762" s="70" t="str">
        <f>VLOOKUP($BS762,'État &amp; Plan d''action'!$B$6:$AH$1113,31,FALSE)</f>
        <v/>
      </c>
      <c r="EA762" s="70" t="str">
        <f>VLOOKUP($BS762,'État &amp; Plan d''action'!$B$6:$AH$1113,32,FALSE)</f>
        <v/>
      </c>
      <c r="EB762" s="70" t="str">
        <f>VLOOKUP($BS762,'État &amp; Plan d''action'!$B$6:$AH$1113,33,FALSE)</f>
        <v/>
      </c>
      <c r="EC762" s="70" t="s">
        <v>1124</v>
      </c>
      <c r="ED762" s="70" t="s">
        <v>1124</v>
      </c>
      <c r="EE762" s="70" t="s">
        <v>1124</v>
      </c>
      <c r="EF762" s="70" t="s">
        <v>1124</v>
      </c>
      <c r="EG762" s="70" t="s">
        <v>1124</v>
      </c>
      <c r="EH762" s="72"/>
      <c r="EI762" s="72">
        <v>365</v>
      </c>
    </row>
    <row r="763" spans="71:139" x14ac:dyDescent="0.35">
      <c r="BS763" s="486">
        <v>75028</v>
      </c>
      <c r="BT763" s="479" t="s">
        <v>744</v>
      </c>
      <c r="BU763" s="479">
        <v>15</v>
      </c>
      <c r="BV763" s="476" t="s">
        <v>1187</v>
      </c>
      <c r="BW763" s="476" t="s">
        <v>1187</v>
      </c>
      <c r="BX763" s="476" t="s">
        <v>1187</v>
      </c>
      <c r="BY763" s="476" t="s">
        <v>1187</v>
      </c>
      <c r="BZ763" s="476" t="s">
        <v>1187</v>
      </c>
      <c r="CA763" s="476" t="s">
        <v>1187</v>
      </c>
      <c r="CB763" s="476" t="s">
        <v>1187</v>
      </c>
      <c r="CC763" s="476" t="s">
        <v>1187</v>
      </c>
      <c r="CD763" s="476" t="s">
        <v>1187</v>
      </c>
      <c r="CE763" s="476" t="s">
        <v>1188</v>
      </c>
      <c r="CF763" s="476" t="s">
        <v>1188</v>
      </c>
      <c r="CG763" s="476" t="s">
        <v>1188</v>
      </c>
      <c r="CH763" s="476" t="s">
        <v>1188</v>
      </c>
      <c r="CI763" s="476" t="s">
        <v>1188</v>
      </c>
      <c r="CJ763" s="476" t="s">
        <v>1188</v>
      </c>
      <c r="CK763" s="476" t="s">
        <v>1188</v>
      </c>
      <c r="CL763" s="476" t="s">
        <v>1188</v>
      </c>
      <c r="CM763" s="476" t="str">
        <f>IF(VLOOKUP(BS763,'Données par municipalité'!$B$6:$E$1113,4,FALSE)="","non","oui")</f>
        <v>oui</v>
      </c>
      <c r="CN763" s="410">
        <v>450.64032920527984</v>
      </c>
      <c r="CO763" s="410">
        <v>381.88100838766536</v>
      </c>
      <c r="CP763" s="410">
        <v>300.91744485403098</v>
      </c>
      <c r="CQ763" s="410">
        <v>360.77881216396588</v>
      </c>
      <c r="CR763" s="410">
        <v>378.05796390476047</v>
      </c>
      <c r="CS763" s="410">
        <v>329.64284844178053</v>
      </c>
      <c r="CT763" s="410">
        <v>275.27687927616381</v>
      </c>
      <c r="CU763" s="410">
        <v>305</v>
      </c>
      <c r="CV763" s="410">
        <f>IF(VLOOKUP(BS763,'Données par municipalité'!$B$6:$F$1113,4,FALSE)="","",VLOOKUP(BS763,'Données par municipalité'!$B$6:$F$1113,4,FALSE))</f>
        <v>335</v>
      </c>
      <c r="CW763" s="476" t="s">
        <v>4723</v>
      </c>
      <c r="CX763" s="483">
        <v>0</v>
      </c>
      <c r="CY763" s="483">
        <v>0</v>
      </c>
      <c r="CZ763" s="483">
        <v>0</v>
      </c>
      <c r="DA763" s="483">
        <v>0</v>
      </c>
      <c r="DB763" s="483">
        <v>0</v>
      </c>
      <c r="DC763" s="483">
        <v>0</v>
      </c>
      <c r="DD763" s="483">
        <v>1</v>
      </c>
      <c r="DE763" s="483">
        <f>IFERROR(SUM(VLOOKUP($BS763,'État &amp; Plan d''action'!$B$6:$Z$1113,18,FALSE),VLOOKUP($BS763,'État &amp; Plan d''action'!$B$6:$Z$1113,20,FALSE))/(VLOOKUP($BS763,'Données par municipalité'!$B$4:$L$1113,11,FALSE)),"")</f>
        <v>0</v>
      </c>
      <c r="DF763" s="483">
        <f>IFERROR(SUM(VLOOKUP($BS763,'État &amp; Plan d''action'!$B$6:$Z$1113,19,FALSE),VLOOKUP($BS763,'État &amp; Plan d''action'!$B$6:$Z$1113,21,FALSE))/(VLOOKUP($BS763,'Données par municipalité'!$B$4:$L$1113,11,FALSE)),"")</f>
        <v>0.99999999999999989</v>
      </c>
      <c r="DG763" s="476" t="s">
        <v>4723</v>
      </c>
      <c r="DH763" s="484">
        <v>2</v>
      </c>
      <c r="DI763" s="484" t="s">
        <v>1124</v>
      </c>
      <c r="DJ763" s="484">
        <v>0</v>
      </c>
      <c r="DK763" s="484">
        <v>0</v>
      </c>
      <c r="DL763" s="484">
        <v>6</v>
      </c>
      <c r="DM763" s="484">
        <v>1</v>
      </c>
      <c r="DN763" s="484">
        <v>0</v>
      </c>
      <c r="DO763" s="484">
        <v>0</v>
      </c>
      <c r="DP763" s="484">
        <v>1</v>
      </c>
      <c r="DQ763" s="484">
        <f>IF(VLOOKUP($BS763,'État &amp; Plan d''action'!$B$6:$AJ$1113,28,FALSE)="","",VLOOKUP($BS763,'État &amp; Plan d''action'!$B$6:$AJ$1113,28,FALSE))</f>
        <v>1</v>
      </c>
      <c r="DR763" s="70">
        <f>IF(VLOOKUP($BS763,'État &amp; Plan d''action'!$B$6:$AJ$1113,29,FALSE)="","",VLOOKUP($BS763,'État &amp; Plan d''action'!$B$6:$AJ$1113,29,FALSE))</f>
        <v>0</v>
      </c>
      <c r="DS763" s="70">
        <f>IF(VLOOKUP($BS763,'État &amp; Plan d''action'!$B$6:$AJ$1113,30,FALSE)="","",VLOOKUP($BS763,'État &amp; Plan d''action'!$B$6:$AJ$1113,30,FALSE))</f>
        <v>0</v>
      </c>
      <c r="DT763" s="70">
        <v>239</v>
      </c>
      <c r="DU763" s="485">
        <v>2.986025049647838</v>
      </c>
      <c r="DV763" s="485">
        <v>5.3970421388511793</v>
      </c>
      <c r="DW763" s="70">
        <v>0</v>
      </c>
      <c r="DX763" s="70">
        <v>0</v>
      </c>
      <c r="DY763" s="70">
        <v>180</v>
      </c>
      <c r="DZ763" s="70">
        <f>VLOOKUP($BS763,'État &amp; Plan d''action'!$B$6:$AH$1113,31,FALSE)</f>
        <v>1</v>
      </c>
      <c r="EA763" s="70">
        <f>VLOOKUP($BS763,'État &amp; Plan d''action'!$B$6:$AH$1113,32,FALSE)</f>
        <v>0</v>
      </c>
      <c r="EB763" s="70">
        <f>VLOOKUP($BS763,'État &amp; Plan d''action'!$B$6:$AH$1113,33,FALSE)</f>
        <v>0</v>
      </c>
      <c r="EC763" s="70">
        <v>12.689</v>
      </c>
      <c r="ED763" s="70">
        <v>12.689</v>
      </c>
      <c r="EE763" s="70">
        <v>0</v>
      </c>
      <c r="EF763" s="70">
        <v>0</v>
      </c>
      <c r="EG763" s="70">
        <v>0</v>
      </c>
      <c r="EH763" s="72">
        <v>60</v>
      </c>
      <c r="EI763" s="72">
        <v>16749</v>
      </c>
    </row>
    <row r="764" spans="71:139" x14ac:dyDescent="0.35">
      <c r="BS764" s="486">
        <v>38040</v>
      </c>
      <c r="BT764" s="479" t="s">
        <v>331</v>
      </c>
      <c r="BU764" s="479">
        <v>17</v>
      </c>
      <c r="BV764" s="476" t="s">
        <v>1187</v>
      </c>
      <c r="BW764" s="476" t="s">
        <v>1187</v>
      </c>
      <c r="BX764" s="476" t="s">
        <v>1187</v>
      </c>
      <c r="BY764" s="476" t="s">
        <v>1187</v>
      </c>
      <c r="BZ764" s="476" t="s">
        <v>1187</v>
      </c>
      <c r="CA764" s="476" t="s">
        <v>1187</v>
      </c>
      <c r="CB764" s="476" t="s">
        <v>1187</v>
      </c>
      <c r="CC764" s="476" t="s">
        <v>1187</v>
      </c>
      <c r="CD764" s="476" t="s">
        <v>1187</v>
      </c>
      <c r="CE764" s="476" t="s">
        <v>1188</v>
      </c>
      <c r="CF764" s="476" t="s">
        <v>1188</v>
      </c>
      <c r="CG764" s="476" t="s">
        <v>1188</v>
      </c>
      <c r="CH764" s="476" t="s">
        <v>1188</v>
      </c>
      <c r="CI764" s="476" t="s">
        <v>1188</v>
      </c>
      <c r="CJ764" s="476" t="s">
        <v>1188</v>
      </c>
      <c r="CK764" s="476" t="s">
        <v>1188</v>
      </c>
      <c r="CL764" s="476" t="s">
        <v>1187</v>
      </c>
      <c r="CM764" s="476" t="str">
        <f>IF(VLOOKUP(BS764,'Données par municipalité'!$B$6:$E$1113,4,FALSE)="","non","oui")</f>
        <v>non</v>
      </c>
      <c r="CN764" s="410">
        <v>532.68347918128222</v>
      </c>
      <c r="CO764" s="410">
        <v>518.34627035678682</v>
      </c>
      <c r="CP764" s="410">
        <v>527.8702023054326</v>
      </c>
      <c r="CQ764" s="410">
        <v>514.54414566132073</v>
      </c>
      <c r="CR764" s="410">
        <v>607.26312611646426</v>
      </c>
      <c r="CS764" s="410">
        <v>743.08557955673086</v>
      </c>
      <c r="CT764" s="410">
        <v>679.19719655941378</v>
      </c>
      <c r="CU764" s="410" t="s">
        <v>1124</v>
      </c>
      <c r="CV764" s="410" t="str">
        <f>IF(VLOOKUP(BS764,'Données par municipalité'!$B$6:$F$1113,4,FALSE)="","",VLOOKUP(BS764,'Données par municipalité'!$B$6:$F$1113,4,FALSE))</f>
        <v/>
      </c>
      <c r="CW764" s="476" t="s">
        <v>4723</v>
      </c>
      <c r="CX764" s="483">
        <v>0.25</v>
      </c>
      <c r="CY764" s="483">
        <v>0.25</v>
      </c>
      <c r="CZ764" s="483">
        <v>0</v>
      </c>
      <c r="DA764" s="483">
        <v>0</v>
      </c>
      <c r="DB764" s="483">
        <v>0.2</v>
      </c>
      <c r="DC764" s="483">
        <v>0.5</v>
      </c>
      <c r="DD764" s="483" t="s">
        <v>1124</v>
      </c>
      <c r="DE764" s="483" t="str">
        <f>IFERROR(SUM(VLOOKUP($BS764,'État &amp; Plan d''action'!$B$6:$Z$1113,18,FALSE),VLOOKUP($BS764,'État &amp; Plan d''action'!$B$6:$Z$1113,20,FALSE))/(VLOOKUP($BS764,'Données par municipalité'!$B$4:$L$1113,11,FALSE)),"")</f>
        <v/>
      </c>
      <c r="DF764" s="483" t="str">
        <f>IFERROR(SUM(VLOOKUP($BS764,'État &amp; Plan d''action'!$B$6:$Z$1113,19,FALSE),VLOOKUP($BS764,'État &amp; Plan d''action'!$B$6:$Z$1113,21,FALSE))/(VLOOKUP($BS764,'Données par municipalité'!$B$4:$L$1113,11,FALSE)),"")</f>
        <v/>
      </c>
      <c r="DG764" s="476" t="s">
        <v>4723</v>
      </c>
      <c r="DH764" s="484">
        <v>3</v>
      </c>
      <c r="DI764" s="484">
        <v>0</v>
      </c>
      <c r="DJ764" s="484">
        <v>4</v>
      </c>
      <c r="DK764" s="484">
        <v>5</v>
      </c>
      <c r="DL764" s="484">
        <v>4</v>
      </c>
      <c r="DM764" s="484">
        <v>4</v>
      </c>
      <c r="DN764" s="484" t="s">
        <v>1124</v>
      </c>
      <c r="DO764" s="484" t="s">
        <v>1124</v>
      </c>
      <c r="DP764" s="484" t="s">
        <v>1124</v>
      </c>
      <c r="DQ764" s="484" t="str">
        <f>IF(VLOOKUP($BS764,'État &amp; Plan d''action'!$B$6:$AJ$1113,28,FALSE)="","",VLOOKUP($BS764,'État &amp; Plan d''action'!$B$6:$AJ$1113,28,FALSE))</f>
        <v/>
      </c>
      <c r="DR764" s="70" t="str">
        <f>IF(VLOOKUP($BS764,'État &amp; Plan d''action'!$B$6:$AJ$1113,29,FALSE)="","",VLOOKUP($BS764,'État &amp; Plan d''action'!$B$6:$AJ$1113,29,FALSE))</f>
        <v/>
      </c>
      <c r="DS764" s="70" t="str">
        <f>IF(VLOOKUP($BS764,'État &amp; Plan d''action'!$B$6:$AJ$1113,30,FALSE)="","",VLOOKUP($BS764,'État &amp; Plan d''action'!$B$6:$AJ$1113,30,FALSE))</f>
        <v/>
      </c>
      <c r="DT764" s="70" t="s">
        <v>1124</v>
      </c>
      <c r="DU764" s="485" t="s">
        <v>1124</v>
      </c>
      <c r="DV764" s="485" t="s">
        <v>1124</v>
      </c>
      <c r="DW764" s="70" t="s">
        <v>1124</v>
      </c>
      <c r="DX764" s="70" t="s">
        <v>1124</v>
      </c>
      <c r="DY764" s="70" t="s">
        <v>1124</v>
      </c>
      <c r="DZ764" s="70" t="str">
        <f>VLOOKUP($BS764,'État &amp; Plan d''action'!$B$6:$AH$1113,31,FALSE)</f>
        <v/>
      </c>
      <c r="EA764" s="70" t="str">
        <f>VLOOKUP($BS764,'État &amp; Plan d''action'!$B$6:$AH$1113,32,FALSE)</f>
        <v/>
      </c>
      <c r="EB764" s="70" t="str">
        <f>VLOOKUP($BS764,'État &amp; Plan d''action'!$B$6:$AH$1113,33,FALSE)</f>
        <v/>
      </c>
      <c r="EC764" s="70" t="s">
        <v>1124</v>
      </c>
      <c r="ED764" s="70" t="s">
        <v>1124</v>
      </c>
      <c r="EE764" s="70" t="s">
        <v>1124</v>
      </c>
      <c r="EF764" s="70" t="s">
        <v>1124</v>
      </c>
      <c r="EG764" s="70" t="s">
        <v>1124</v>
      </c>
      <c r="EH764" s="72"/>
      <c r="EI764" s="72">
        <v>717</v>
      </c>
    </row>
    <row r="765" spans="71:139" x14ac:dyDescent="0.35">
      <c r="BS765" s="486">
        <v>32023</v>
      </c>
      <c r="BT765" s="479" t="s">
        <v>257</v>
      </c>
      <c r="BU765" s="479">
        <v>17</v>
      </c>
      <c r="BV765" s="476" t="s">
        <v>1187</v>
      </c>
      <c r="BW765" s="476" t="s">
        <v>1187</v>
      </c>
      <c r="BX765" s="476" t="s">
        <v>1187</v>
      </c>
      <c r="BY765" s="476" t="s">
        <v>1187</v>
      </c>
      <c r="BZ765" s="476" t="s">
        <v>1187</v>
      </c>
      <c r="CA765" s="476" t="s">
        <v>1187</v>
      </c>
      <c r="CB765" s="476" t="s">
        <v>1187</v>
      </c>
      <c r="CC765" s="476" t="s">
        <v>1187</v>
      </c>
      <c r="CD765" s="476" t="s">
        <v>1187</v>
      </c>
      <c r="CE765" s="476" t="s">
        <v>1188</v>
      </c>
      <c r="CF765" s="476" t="s">
        <v>1188</v>
      </c>
      <c r="CG765" s="476" t="s">
        <v>1188</v>
      </c>
      <c r="CH765" s="476" t="s">
        <v>1188</v>
      </c>
      <c r="CI765" s="476" t="s">
        <v>1188</v>
      </c>
      <c r="CJ765" s="476" t="s">
        <v>1188</v>
      </c>
      <c r="CK765" s="476" t="s">
        <v>1188</v>
      </c>
      <c r="CL765" s="476" t="s">
        <v>1188</v>
      </c>
      <c r="CM765" s="476" t="str">
        <f>IF(VLOOKUP(BS765,'Données par municipalité'!$B$6:$E$1113,4,FALSE)="","non","oui")</f>
        <v>non</v>
      </c>
      <c r="CN765" s="410">
        <v>163.73643779203294</v>
      </c>
      <c r="CO765" s="410">
        <v>210.81944780090078</v>
      </c>
      <c r="CP765" s="410">
        <v>173.01236158549182</v>
      </c>
      <c r="CQ765" s="410">
        <v>173.49648106967021</v>
      </c>
      <c r="CR765" s="410">
        <v>173.52408231077123</v>
      </c>
      <c r="CS765" s="410">
        <v>193.910170990284</v>
      </c>
      <c r="CT765" s="410">
        <v>256.86813186813185</v>
      </c>
      <c r="CU765" s="410">
        <v>318</v>
      </c>
      <c r="CV765" s="410" t="str">
        <f>IF(VLOOKUP(BS765,'Données par municipalité'!$B$6:$F$1113,4,FALSE)="","",VLOOKUP(BS765,'Données par municipalité'!$B$6:$F$1113,4,FALSE))</f>
        <v/>
      </c>
      <c r="CW765" s="476" t="s">
        <v>4723</v>
      </c>
      <c r="CX765" s="483">
        <v>0</v>
      </c>
      <c r="CY765" s="483">
        <v>1</v>
      </c>
      <c r="CZ765" s="483">
        <v>1</v>
      </c>
      <c r="DA765" s="483">
        <v>0</v>
      </c>
      <c r="DB765" s="483">
        <v>0</v>
      </c>
      <c r="DC765" s="483">
        <v>0</v>
      </c>
      <c r="DD765" s="483">
        <v>1</v>
      </c>
      <c r="DE765" s="483" t="str">
        <f>IFERROR(SUM(VLOOKUP($BS765,'État &amp; Plan d''action'!$B$6:$Z$1113,18,FALSE),VLOOKUP($BS765,'État &amp; Plan d''action'!$B$6:$Z$1113,20,FALSE))/(VLOOKUP($BS765,'Données par municipalité'!$B$4:$L$1113,11,FALSE)),"")</f>
        <v/>
      </c>
      <c r="DF765" s="483" t="str">
        <f>IFERROR(SUM(VLOOKUP($BS765,'État &amp; Plan d''action'!$B$6:$Z$1113,19,FALSE),VLOOKUP($BS765,'État &amp; Plan d''action'!$B$6:$Z$1113,21,FALSE))/(VLOOKUP($BS765,'Données par municipalité'!$B$4:$L$1113,11,FALSE)),"")</f>
        <v/>
      </c>
      <c r="DG765" s="476" t="s">
        <v>4723</v>
      </c>
      <c r="DH765" s="484">
        <v>0</v>
      </c>
      <c r="DI765" s="484">
        <v>0</v>
      </c>
      <c r="DJ765" s="484">
        <v>0</v>
      </c>
      <c r="DK765" s="484">
        <v>3</v>
      </c>
      <c r="DL765" s="484">
        <v>1</v>
      </c>
      <c r="DM765" s="484">
        <v>1</v>
      </c>
      <c r="DN765" s="484">
        <v>0</v>
      </c>
      <c r="DO765" s="484">
        <v>0</v>
      </c>
      <c r="DP765" s="484">
        <v>0</v>
      </c>
      <c r="DQ765" s="484" t="str">
        <f>IF(VLOOKUP($BS765,'État &amp; Plan d''action'!$B$6:$AJ$1113,28,FALSE)="","",VLOOKUP($BS765,'État &amp; Plan d''action'!$B$6:$AJ$1113,28,FALSE))</f>
        <v/>
      </c>
      <c r="DR765" s="70" t="str">
        <f>IF(VLOOKUP($BS765,'État &amp; Plan d''action'!$B$6:$AJ$1113,29,FALSE)="","",VLOOKUP($BS765,'État &amp; Plan d''action'!$B$6:$AJ$1113,29,FALSE))</f>
        <v/>
      </c>
      <c r="DS765" s="70" t="str">
        <f>IF(VLOOKUP($BS765,'État &amp; Plan d''action'!$B$6:$AJ$1113,30,FALSE)="","",VLOOKUP($BS765,'État &amp; Plan d''action'!$B$6:$AJ$1113,30,FALSE))</f>
        <v/>
      </c>
      <c r="DT765" s="70">
        <v>217</v>
      </c>
      <c r="DU765" s="485">
        <v>2.1808019108849179</v>
      </c>
      <c r="DV765" s="485" t="s">
        <v>1124</v>
      </c>
      <c r="DW765" s="70">
        <v>0</v>
      </c>
      <c r="DX765" s="70">
        <v>0</v>
      </c>
      <c r="DY765" s="70">
        <v>0</v>
      </c>
      <c r="DZ765" s="70" t="str">
        <f>VLOOKUP($BS765,'État &amp; Plan d''action'!$B$6:$AH$1113,31,FALSE)</f>
        <v/>
      </c>
      <c r="EA765" s="70" t="str">
        <f>VLOOKUP($BS765,'État &amp; Plan d''action'!$B$6:$AH$1113,32,FALSE)</f>
        <v/>
      </c>
      <c r="EB765" s="70" t="str">
        <f>VLOOKUP($BS765,'État &amp; Plan d''action'!$B$6:$AH$1113,33,FALSE)</f>
        <v/>
      </c>
      <c r="EC765" s="70">
        <v>0</v>
      </c>
      <c r="ED765" s="70">
        <v>0</v>
      </c>
      <c r="EE765" s="70">
        <v>0.88900000000000001</v>
      </c>
      <c r="EF765" s="70">
        <v>0</v>
      </c>
      <c r="EG765" s="70">
        <v>0</v>
      </c>
      <c r="EH765" s="72">
        <v>56</v>
      </c>
      <c r="EI765" s="72">
        <v>640</v>
      </c>
    </row>
    <row r="766" spans="71:139" x14ac:dyDescent="0.35">
      <c r="BS766" s="486">
        <v>63030</v>
      </c>
      <c r="BT766" s="479" t="s">
        <v>637</v>
      </c>
      <c r="BU766" s="479">
        <v>14</v>
      </c>
      <c r="BV766" s="476" t="s">
        <v>1187</v>
      </c>
      <c r="BW766" s="476" t="s">
        <v>1187</v>
      </c>
      <c r="BX766" s="476" t="s">
        <v>1187</v>
      </c>
      <c r="BY766" s="476" t="s">
        <v>1187</v>
      </c>
      <c r="BZ766" s="476" t="s">
        <v>1187</v>
      </c>
      <c r="CA766" s="476" t="s">
        <v>1187</v>
      </c>
      <c r="CB766" s="476" t="s">
        <v>1187</v>
      </c>
      <c r="CC766" s="476" t="s">
        <v>1187</v>
      </c>
      <c r="CD766" s="476" t="s">
        <v>1187</v>
      </c>
      <c r="CE766" s="476" t="s">
        <v>1188</v>
      </c>
      <c r="CF766" s="476" t="s">
        <v>1188</v>
      </c>
      <c r="CG766" s="476" t="s">
        <v>1188</v>
      </c>
      <c r="CH766" s="476" t="s">
        <v>1188</v>
      </c>
      <c r="CI766" s="476" t="s">
        <v>1188</v>
      </c>
      <c r="CJ766" s="476" t="s">
        <v>1188</v>
      </c>
      <c r="CK766" s="476" t="s">
        <v>1188</v>
      </c>
      <c r="CL766" s="476" t="s">
        <v>1188</v>
      </c>
      <c r="CM766" s="476" t="str">
        <f>IF(VLOOKUP(BS766,'Données par municipalité'!$B$6:$E$1113,4,FALSE)="","non","oui")</f>
        <v>oui</v>
      </c>
      <c r="CN766" s="410">
        <v>434.26354247656769</v>
      </c>
      <c r="CO766" s="410">
        <v>416.88367156659268</v>
      </c>
      <c r="CP766" s="410">
        <v>394.29923449132701</v>
      </c>
      <c r="CQ766" s="410">
        <v>432.39142652262825</v>
      </c>
      <c r="CR766" s="410">
        <v>437.35651172050387</v>
      </c>
      <c r="CS766" s="410">
        <v>385.45733857058866</v>
      </c>
      <c r="CT766" s="410">
        <v>352.15277758929074</v>
      </c>
      <c r="CU766" s="410">
        <v>394</v>
      </c>
      <c r="CV766" s="410">
        <f>IF(VLOOKUP(BS766,'Données par municipalité'!$B$6:$F$1113,4,FALSE)="","",VLOOKUP(BS766,'Données par municipalité'!$B$6:$F$1113,4,FALSE))</f>
        <v>360</v>
      </c>
      <c r="CW766" s="476" t="s">
        <v>4723</v>
      </c>
      <c r="CX766" s="483">
        <v>0</v>
      </c>
      <c r="CY766" s="483">
        <v>0</v>
      </c>
      <c r="CZ766" s="483">
        <v>0.5</v>
      </c>
      <c r="DA766" s="483">
        <v>1</v>
      </c>
      <c r="DB766" s="483">
        <v>1</v>
      </c>
      <c r="DC766" s="483">
        <v>0</v>
      </c>
      <c r="DD766" s="483">
        <v>0</v>
      </c>
      <c r="DE766" s="483">
        <f>IFERROR(SUM(VLOOKUP($BS766,'État &amp; Plan d''action'!$B$6:$Z$1113,18,FALSE),VLOOKUP($BS766,'État &amp; Plan d''action'!$B$6:$Z$1113,20,FALSE))/(VLOOKUP($BS766,'Données par municipalité'!$B$4:$L$1113,11,FALSE)),"")</f>
        <v>0</v>
      </c>
      <c r="DF766" s="483">
        <f>IFERROR(SUM(VLOOKUP($BS766,'État &amp; Plan d''action'!$B$6:$Z$1113,19,FALSE),VLOOKUP($BS766,'État &amp; Plan d''action'!$B$6:$Z$1113,21,FALSE))/(VLOOKUP($BS766,'Données par municipalité'!$B$4:$L$1113,11,FALSE)),"")</f>
        <v>1</v>
      </c>
      <c r="DG766" s="476" t="s">
        <v>4723</v>
      </c>
      <c r="DH766" s="484">
        <v>1</v>
      </c>
      <c r="DI766" s="484">
        <v>8</v>
      </c>
      <c r="DJ766" s="484">
        <v>5</v>
      </c>
      <c r="DK766" s="484">
        <v>3</v>
      </c>
      <c r="DL766" s="484">
        <v>5</v>
      </c>
      <c r="DM766" s="484">
        <v>7</v>
      </c>
      <c r="DN766" s="484">
        <v>7</v>
      </c>
      <c r="DO766" s="484">
        <v>0</v>
      </c>
      <c r="DP766" s="484">
        <v>0</v>
      </c>
      <c r="DQ766" s="484">
        <f>IF(VLOOKUP($BS766,'État &amp; Plan d''action'!$B$6:$AJ$1113,28,FALSE)="","",VLOOKUP($BS766,'État &amp; Plan d''action'!$B$6:$AJ$1113,28,FALSE))</f>
        <v>1</v>
      </c>
      <c r="DR766" s="70">
        <f>IF(VLOOKUP($BS766,'État &amp; Plan d''action'!$B$6:$AJ$1113,29,FALSE)="","",VLOOKUP($BS766,'État &amp; Plan d''action'!$B$6:$AJ$1113,29,FALSE))</f>
        <v>3</v>
      </c>
      <c r="DS766" s="70">
        <f>IF(VLOOKUP($BS766,'État &amp; Plan d''action'!$B$6:$AJ$1113,30,FALSE)="","",VLOOKUP($BS766,'État &amp; Plan d''action'!$B$6:$AJ$1113,30,FALSE))</f>
        <v>4</v>
      </c>
      <c r="DT766" s="70">
        <v>230</v>
      </c>
      <c r="DU766" s="485">
        <v>1.5738931629314792</v>
      </c>
      <c r="DV766" s="485">
        <v>3.6878819298927001</v>
      </c>
      <c r="DW766" s="70">
        <v>1</v>
      </c>
      <c r="DX766" s="70">
        <v>0</v>
      </c>
      <c r="DY766" s="70">
        <v>0</v>
      </c>
      <c r="DZ766" s="70">
        <f>VLOOKUP($BS766,'État &amp; Plan d''action'!$B$6:$AH$1113,31,FALSE)</f>
        <v>1</v>
      </c>
      <c r="EA766" s="70">
        <f>VLOOKUP($BS766,'État &amp; Plan d''action'!$B$6:$AH$1113,32,FALSE)</f>
        <v>4</v>
      </c>
      <c r="EB766" s="70">
        <f>VLOOKUP($BS766,'État &amp; Plan d''action'!$B$6:$AH$1113,33,FALSE)</f>
        <v>4</v>
      </c>
      <c r="EC766" s="70">
        <v>0</v>
      </c>
      <c r="ED766" s="70">
        <v>0</v>
      </c>
      <c r="EE766" s="70">
        <v>0</v>
      </c>
      <c r="EF766" s="70">
        <v>0</v>
      </c>
      <c r="EG766" s="70">
        <v>0</v>
      </c>
      <c r="EH766" s="72">
        <v>51</v>
      </c>
      <c r="EI766" s="72">
        <v>2020</v>
      </c>
    </row>
    <row r="767" spans="71:139" x14ac:dyDescent="0.35">
      <c r="BS767" s="486">
        <v>35050</v>
      </c>
      <c r="BT767" s="479" t="s">
        <v>311</v>
      </c>
      <c r="BU767" s="479">
        <v>4</v>
      </c>
      <c r="BV767" s="476" t="s">
        <v>1187</v>
      </c>
      <c r="BW767" s="476" t="s">
        <v>1187</v>
      </c>
      <c r="BX767" s="476" t="s">
        <v>1187</v>
      </c>
      <c r="BY767" s="476" t="s">
        <v>1187</v>
      </c>
      <c r="BZ767" s="476" t="s">
        <v>1187</v>
      </c>
      <c r="CA767" s="476" t="s">
        <v>1187</v>
      </c>
      <c r="CB767" s="476" t="s">
        <v>1187</v>
      </c>
      <c r="CC767" s="476" t="s">
        <v>1187</v>
      </c>
      <c r="CD767" s="476" t="s">
        <v>1187</v>
      </c>
      <c r="CE767" s="476" t="s">
        <v>1188</v>
      </c>
      <c r="CF767" s="476" t="s">
        <v>1188</v>
      </c>
      <c r="CG767" s="476" t="s">
        <v>1188</v>
      </c>
      <c r="CH767" s="476" t="s">
        <v>1188</v>
      </c>
      <c r="CI767" s="476" t="s">
        <v>1188</v>
      </c>
      <c r="CJ767" s="476" t="s">
        <v>1188</v>
      </c>
      <c r="CK767" s="476" t="s">
        <v>1188</v>
      </c>
      <c r="CL767" s="476" t="s">
        <v>1188</v>
      </c>
      <c r="CM767" s="476" t="str">
        <f>IF(VLOOKUP(BS767,'Données par municipalité'!$B$6:$E$1113,4,FALSE)="","non","oui")</f>
        <v>oui</v>
      </c>
      <c r="CN767" s="410">
        <v>283.05992013538696</v>
      </c>
      <c r="CO767" s="410">
        <v>306.1343139439573</v>
      </c>
      <c r="CP767" s="410">
        <v>378.66810653935886</v>
      </c>
      <c r="CQ767" s="410">
        <v>380.46845988082362</v>
      </c>
      <c r="CR767" s="410">
        <v>431.85062088950258</v>
      </c>
      <c r="CS767" s="410">
        <v>359.33825572483607</v>
      </c>
      <c r="CT767" s="410">
        <v>340.43520877939307</v>
      </c>
      <c r="CU767" s="410">
        <v>356</v>
      </c>
      <c r="CV767" s="410">
        <f>IF(VLOOKUP(BS767,'Données par municipalité'!$B$6:$F$1113,4,FALSE)="","",VLOOKUP(BS767,'Données par municipalité'!$B$6:$F$1113,4,FALSE))</f>
        <v>308</v>
      </c>
      <c r="CW767" s="476" t="s">
        <v>4723</v>
      </c>
      <c r="CX767" s="483">
        <v>0.1</v>
      </c>
      <c r="CY767" s="483">
        <v>0</v>
      </c>
      <c r="CZ767" s="483">
        <v>0</v>
      </c>
      <c r="DA767" s="483">
        <v>0</v>
      </c>
      <c r="DB767" s="483">
        <v>0</v>
      </c>
      <c r="DC767" s="483">
        <v>0</v>
      </c>
      <c r="DD767" s="483">
        <v>0</v>
      </c>
      <c r="DE767" s="483">
        <f>IFERROR(SUM(VLOOKUP($BS767,'État &amp; Plan d''action'!$B$6:$Z$1113,18,FALSE),VLOOKUP($BS767,'État &amp; Plan d''action'!$B$6:$Z$1113,20,FALSE))/(VLOOKUP($BS767,'Données par municipalité'!$B$4:$L$1113,11,FALSE)),"")</f>
        <v>0.17001020061203673</v>
      </c>
      <c r="DF767" s="483">
        <f>IFERROR(SUM(VLOOKUP($BS767,'État &amp; Plan d''action'!$B$6:$Z$1113,19,FALSE),VLOOKUP($BS767,'État &amp; Plan d''action'!$B$6:$Z$1113,21,FALSE))/(VLOOKUP($BS767,'Données par municipalité'!$B$4:$L$1113,11,FALSE)),"")</f>
        <v>0.17001020061203673</v>
      </c>
      <c r="DG767" s="476" t="s">
        <v>4723</v>
      </c>
      <c r="DH767" s="484">
        <v>5</v>
      </c>
      <c r="DI767" s="484">
        <v>5</v>
      </c>
      <c r="DJ767" s="484">
        <v>5</v>
      </c>
      <c r="DK767" s="484">
        <v>14</v>
      </c>
      <c r="DL767" s="484">
        <v>3</v>
      </c>
      <c r="DM767" s="484">
        <v>3</v>
      </c>
      <c r="DN767" s="484">
        <v>1</v>
      </c>
      <c r="DO767" s="484">
        <v>7</v>
      </c>
      <c r="DP767" s="484">
        <v>6</v>
      </c>
      <c r="DQ767" s="484">
        <f>IF(VLOOKUP($BS767,'État &amp; Plan d''action'!$B$6:$AJ$1113,28,FALSE)="","",VLOOKUP($BS767,'État &amp; Plan d''action'!$B$6:$AJ$1113,28,FALSE))</f>
        <v>0</v>
      </c>
      <c r="DR767" s="70">
        <f>IF(VLOOKUP($BS767,'État &amp; Plan d''action'!$B$6:$AJ$1113,29,FALSE)="","",VLOOKUP($BS767,'État &amp; Plan d''action'!$B$6:$AJ$1113,29,FALSE))</f>
        <v>2</v>
      </c>
      <c r="DS767" s="70">
        <f>IF(VLOOKUP($BS767,'État &amp; Plan d''action'!$B$6:$AJ$1113,30,FALSE)="","",VLOOKUP($BS767,'État &amp; Plan d''action'!$B$6:$AJ$1113,30,FALSE))</f>
        <v>4</v>
      </c>
      <c r="DT767" s="70">
        <v>279</v>
      </c>
      <c r="DU767" s="485">
        <v>0.93886777079964168</v>
      </c>
      <c r="DV767" s="485">
        <v>2.2915136526846007</v>
      </c>
      <c r="DW767" s="70">
        <v>1</v>
      </c>
      <c r="DX767" s="70">
        <v>2</v>
      </c>
      <c r="DY767" s="70">
        <v>2</v>
      </c>
      <c r="DZ767" s="70">
        <f>VLOOKUP($BS767,'État &amp; Plan d''action'!$B$6:$AH$1113,31,FALSE)</f>
        <v>0</v>
      </c>
      <c r="EA767" s="70">
        <f>VLOOKUP($BS767,'État &amp; Plan d''action'!$B$6:$AH$1113,32,FALSE)</f>
        <v>1</v>
      </c>
      <c r="EB767" s="70">
        <f>VLOOKUP($BS767,'État &amp; Plan d''action'!$B$6:$AH$1113,33,FALSE)</f>
        <v>2</v>
      </c>
      <c r="EC767" s="70">
        <v>3.484</v>
      </c>
      <c r="ED767" s="70">
        <v>0</v>
      </c>
      <c r="EE767" s="70">
        <v>0</v>
      </c>
      <c r="EF767" s="70">
        <v>0</v>
      </c>
      <c r="EG767" s="70">
        <v>0</v>
      </c>
      <c r="EH767" s="72">
        <v>43.834777871960853</v>
      </c>
      <c r="EI767" s="72">
        <v>2426</v>
      </c>
    </row>
    <row r="768" spans="71:139" x14ac:dyDescent="0.35">
      <c r="BS768" s="486">
        <v>73010</v>
      </c>
      <c r="BT768" s="479" t="s">
        <v>735</v>
      </c>
      <c r="BU768" s="479">
        <v>15</v>
      </c>
      <c r="BV768" s="476" t="s">
        <v>1187</v>
      </c>
      <c r="BW768" s="476" t="s">
        <v>1187</v>
      </c>
      <c r="BX768" s="476" t="s">
        <v>1187</v>
      </c>
      <c r="BY768" s="476" t="s">
        <v>1187</v>
      </c>
      <c r="BZ768" s="476" t="s">
        <v>1187</v>
      </c>
      <c r="CA768" s="476" t="s">
        <v>1187</v>
      </c>
      <c r="CB768" s="476" t="s">
        <v>1187</v>
      </c>
      <c r="CC768" s="476" t="s">
        <v>1187</v>
      </c>
      <c r="CD768" s="476" t="s">
        <v>1187</v>
      </c>
      <c r="CE768" s="476" t="s">
        <v>1188</v>
      </c>
      <c r="CF768" s="476" t="s">
        <v>1188</v>
      </c>
      <c r="CG768" s="476" t="s">
        <v>1188</v>
      </c>
      <c r="CH768" s="476" t="s">
        <v>1188</v>
      </c>
      <c r="CI768" s="476" t="s">
        <v>1187</v>
      </c>
      <c r="CJ768" s="476" t="s">
        <v>1187</v>
      </c>
      <c r="CK768" s="476" t="s">
        <v>1188</v>
      </c>
      <c r="CL768" s="476" t="s">
        <v>1187</v>
      </c>
      <c r="CM768" s="476" t="str">
        <f>IF(VLOOKUP(BS768,'Données par municipalité'!$B$6:$E$1113,4,FALSE)="","non","oui")</f>
        <v>oui</v>
      </c>
      <c r="CN768" s="410">
        <v>394.83093230697193</v>
      </c>
      <c r="CO768" s="410">
        <v>396.37845013600929</v>
      </c>
      <c r="CP768" s="410">
        <v>364.33781943341836</v>
      </c>
      <c r="CQ768" s="410">
        <v>369.65068758461922</v>
      </c>
      <c r="CR768" s="410"/>
      <c r="CS768" s="410" t="s">
        <v>1124</v>
      </c>
      <c r="CT768" s="410">
        <v>677.1923749374555</v>
      </c>
      <c r="CU768" s="410" t="s">
        <v>1124</v>
      </c>
      <c r="CV768" s="410">
        <f>IF(VLOOKUP(BS768,'Données par municipalité'!$B$6:$F$1113,4,FALSE)="","",VLOOKUP(BS768,'Données par municipalité'!$B$6:$F$1113,4,FALSE))</f>
        <v>733</v>
      </c>
      <c r="CW768" s="476" t="s">
        <v>4723</v>
      </c>
      <c r="CX768" s="483">
        <v>0</v>
      </c>
      <c r="CY768" s="483">
        <v>0.05</v>
      </c>
      <c r="CZ768" s="483">
        <v>0.05</v>
      </c>
      <c r="DA768" s="483" t="s">
        <v>1124</v>
      </c>
      <c r="DB768" s="483" t="s">
        <v>1124</v>
      </c>
      <c r="DC768" s="483">
        <v>0</v>
      </c>
      <c r="DD768" s="483" t="s">
        <v>1124</v>
      </c>
      <c r="DE768" s="483">
        <f>IFERROR(SUM(VLOOKUP($BS768,'État &amp; Plan d''action'!$B$6:$Z$1113,18,FALSE),VLOOKUP($BS768,'État &amp; Plan d''action'!$B$6:$Z$1113,20,FALSE))/(VLOOKUP($BS768,'Données par municipalité'!$B$4:$L$1113,11,FALSE)),"")</f>
        <v>1</v>
      </c>
      <c r="DF768" s="483">
        <f>IFERROR(SUM(VLOOKUP($BS768,'État &amp; Plan d''action'!$B$6:$Z$1113,19,FALSE),VLOOKUP($BS768,'État &amp; Plan d''action'!$B$6:$Z$1113,21,FALSE))/(VLOOKUP($BS768,'Données par municipalité'!$B$4:$L$1113,11,FALSE)),"")</f>
        <v>1</v>
      </c>
      <c r="DG768" s="476" t="s">
        <v>4723</v>
      </c>
      <c r="DH768" s="484">
        <v>29</v>
      </c>
      <c r="DI768" s="484" t="s">
        <v>1124</v>
      </c>
      <c r="DJ768" s="484">
        <v>17</v>
      </c>
      <c r="DK768" s="484">
        <v>10</v>
      </c>
      <c r="DL768" s="484" t="s">
        <v>1124</v>
      </c>
      <c r="DM768" s="484">
        <v>13</v>
      </c>
      <c r="DN768" s="484" t="s">
        <v>1124</v>
      </c>
      <c r="DO768" s="484" t="s">
        <v>1124</v>
      </c>
      <c r="DP768" s="484" t="s">
        <v>1124</v>
      </c>
      <c r="DQ768" s="484">
        <f>IF(VLOOKUP($BS768,'État &amp; Plan d''action'!$B$6:$AJ$1113,28,FALSE)="","",VLOOKUP($BS768,'État &amp; Plan d''action'!$B$6:$AJ$1113,28,FALSE))</f>
        <v>20</v>
      </c>
      <c r="DR768" s="70">
        <f>IF(VLOOKUP($BS768,'État &amp; Plan d''action'!$B$6:$AJ$1113,29,FALSE)="","",VLOOKUP($BS768,'État &amp; Plan d''action'!$B$6:$AJ$1113,29,FALSE))</f>
        <v>0</v>
      </c>
      <c r="DS768" s="70">
        <f>IF(VLOOKUP($BS768,'État &amp; Plan d''action'!$B$6:$AJ$1113,30,FALSE)="","",VLOOKUP($BS768,'État &amp; Plan d''action'!$B$6:$AJ$1113,30,FALSE))</f>
        <v>0</v>
      </c>
      <c r="DT768" s="70" t="s">
        <v>1124</v>
      </c>
      <c r="DU768" s="485" t="s">
        <v>1124</v>
      </c>
      <c r="DV768" s="485">
        <v>3.5210302255616113</v>
      </c>
      <c r="DW768" s="70" t="s">
        <v>1124</v>
      </c>
      <c r="DX768" s="70" t="s">
        <v>1124</v>
      </c>
      <c r="DY768" s="70" t="s">
        <v>1124</v>
      </c>
      <c r="DZ768" s="70">
        <f>VLOOKUP($BS768,'État &amp; Plan d''action'!$B$6:$AH$1113,31,FALSE)</f>
        <v>1</v>
      </c>
      <c r="EA768" s="70">
        <f>VLOOKUP($BS768,'État &amp; Plan d''action'!$B$6:$AH$1113,32,FALSE)</f>
        <v>0</v>
      </c>
      <c r="EB768" s="70">
        <f>VLOOKUP($BS768,'État &amp; Plan d''action'!$B$6:$AH$1113,33,FALSE)</f>
        <v>0</v>
      </c>
      <c r="EC768" s="70" t="s">
        <v>1124</v>
      </c>
      <c r="ED768" s="70" t="s">
        <v>1124</v>
      </c>
      <c r="EE768" s="70" t="s">
        <v>1124</v>
      </c>
      <c r="EF768" s="70" t="s">
        <v>1124</v>
      </c>
      <c r="EG768" s="70" t="s">
        <v>1124</v>
      </c>
      <c r="EH768" s="72"/>
      <c r="EI768" s="72">
        <v>26363</v>
      </c>
    </row>
    <row r="769" spans="71:139" x14ac:dyDescent="0.35">
      <c r="BS769" s="486">
        <v>2010</v>
      </c>
      <c r="BT769" s="479" t="s">
        <v>1027</v>
      </c>
      <c r="BU769" s="479">
        <v>11</v>
      </c>
      <c r="BV769" s="476" t="s">
        <v>1187</v>
      </c>
      <c r="BW769" s="476" t="s">
        <v>1187</v>
      </c>
      <c r="BX769" s="476" t="s">
        <v>1187</v>
      </c>
      <c r="BY769" s="476" t="s">
        <v>1187</v>
      </c>
      <c r="BZ769" s="476" t="s">
        <v>1187</v>
      </c>
      <c r="CA769" s="476" t="s">
        <v>1187</v>
      </c>
      <c r="CB769" s="476" t="s">
        <v>1187</v>
      </c>
      <c r="CC769" s="476" t="s">
        <v>1187</v>
      </c>
      <c r="CD769" s="476" t="s">
        <v>1187</v>
      </c>
      <c r="CE769" s="476" t="s">
        <v>1188</v>
      </c>
      <c r="CF769" s="476" t="s">
        <v>1187</v>
      </c>
      <c r="CG769" s="476" t="s">
        <v>1187</v>
      </c>
      <c r="CH769" s="476" t="s">
        <v>1187</v>
      </c>
      <c r="CI769" s="476" t="s">
        <v>1187</v>
      </c>
      <c r="CJ769" s="476" t="s">
        <v>1188</v>
      </c>
      <c r="CK769" s="476" t="s">
        <v>1188</v>
      </c>
      <c r="CL769" s="476" t="s">
        <v>1187</v>
      </c>
      <c r="CM769" s="476" t="str">
        <f>IF(VLOOKUP(BS769,'Données par municipalité'!$B$6:$E$1113,4,FALSE)="","non","oui")</f>
        <v>oui</v>
      </c>
      <c r="CN769" s="410">
        <v>3600.4656585306338</v>
      </c>
      <c r="CO769" s="410" t="s">
        <v>1124</v>
      </c>
      <c r="CP769" s="410"/>
      <c r="CQ769" s="410"/>
      <c r="CR769" s="410"/>
      <c r="CS769" s="410">
        <v>2309.9747714178257</v>
      </c>
      <c r="CT769" s="410">
        <v>1881.0014724656749</v>
      </c>
      <c r="CU769" s="410" t="s">
        <v>1124</v>
      </c>
      <c r="CV769" s="410">
        <f>IF(VLOOKUP(BS769,'Données par municipalité'!$B$6:$F$1113,4,FALSE)="","",VLOOKUP(BS769,'Données par municipalité'!$B$6:$F$1113,4,FALSE))</f>
        <v>1243</v>
      </c>
      <c r="CW769" s="476" t="s">
        <v>4723</v>
      </c>
      <c r="CX769" s="483" t="s">
        <v>1124</v>
      </c>
      <c r="CY769" s="483" t="s">
        <v>1124</v>
      </c>
      <c r="CZ769" s="483" t="s">
        <v>1124</v>
      </c>
      <c r="DA769" s="483" t="s">
        <v>1124</v>
      </c>
      <c r="DB769" s="483">
        <v>0</v>
      </c>
      <c r="DC769" s="483">
        <v>1</v>
      </c>
      <c r="DD769" s="483" t="s">
        <v>1124</v>
      </c>
      <c r="DE769" s="483">
        <f>IFERROR(SUM(VLOOKUP($BS769,'État &amp; Plan d''action'!$B$6:$Z$1113,18,FALSE),VLOOKUP($BS769,'État &amp; Plan d''action'!$B$6:$Z$1113,20,FALSE))/(VLOOKUP($BS769,'Données par municipalité'!$B$4:$L$1113,11,FALSE)),"")</f>
        <v>2.2129692832764505</v>
      </c>
      <c r="DF769" s="483">
        <f>IFERROR(SUM(VLOOKUP($BS769,'État &amp; Plan d''action'!$B$6:$Z$1113,19,FALSE),VLOOKUP($BS769,'État &amp; Plan d''action'!$B$6:$Z$1113,21,FALSE))/(VLOOKUP($BS769,'Données par municipalité'!$B$4:$L$1113,11,FALSE)),"")</f>
        <v>2.2129692832764505</v>
      </c>
      <c r="DG769" s="476" t="s">
        <v>4723</v>
      </c>
      <c r="DH769" s="484" t="s">
        <v>1124</v>
      </c>
      <c r="DI769" s="484" t="s">
        <v>1124</v>
      </c>
      <c r="DJ769" s="484">
        <v>0</v>
      </c>
      <c r="DK769" s="484">
        <v>0</v>
      </c>
      <c r="DL769" s="484">
        <v>2</v>
      </c>
      <c r="DM769" s="484">
        <v>1</v>
      </c>
      <c r="DN769" s="484" t="s">
        <v>1124</v>
      </c>
      <c r="DO769" s="484" t="s">
        <v>1124</v>
      </c>
      <c r="DP769" s="484" t="s">
        <v>1124</v>
      </c>
      <c r="DQ769" s="484">
        <f>IF(VLOOKUP($BS769,'État &amp; Plan d''action'!$B$6:$AJ$1113,28,FALSE)="","",VLOOKUP($BS769,'État &amp; Plan d''action'!$B$6:$AJ$1113,28,FALSE))</f>
        <v>1</v>
      </c>
      <c r="DR769" s="70">
        <f>IF(VLOOKUP($BS769,'État &amp; Plan d''action'!$B$6:$AJ$1113,29,FALSE)="","",VLOOKUP($BS769,'État &amp; Plan d''action'!$B$6:$AJ$1113,29,FALSE))</f>
        <v>0</v>
      </c>
      <c r="DS769" s="70">
        <f>IF(VLOOKUP($BS769,'État &amp; Plan d''action'!$B$6:$AJ$1113,30,FALSE)="","",VLOOKUP($BS769,'État &amp; Plan d''action'!$B$6:$AJ$1113,30,FALSE))</f>
        <v>0</v>
      </c>
      <c r="DT769" s="70" t="s">
        <v>1124</v>
      </c>
      <c r="DU769" s="485" t="s">
        <v>1124</v>
      </c>
      <c r="DV769" s="485">
        <v>20.556257514399906</v>
      </c>
      <c r="DW769" s="70" t="s">
        <v>1124</v>
      </c>
      <c r="DX769" s="70" t="s">
        <v>1124</v>
      </c>
      <c r="DY769" s="70" t="s">
        <v>1124</v>
      </c>
      <c r="DZ769" s="70">
        <f>VLOOKUP($BS769,'État &amp; Plan d''action'!$B$6:$AH$1113,31,FALSE)</f>
        <v>30</v>
      </c>
      <c r="EA769" s="70">
        <f>VLOOKUP($BS769,'État &amp; Plan d''action'!$B$6:$AH$1113,32,FALSE)</f>
        <v>0</v>
      </c>
      <c r="EB769" s="70">
        <f>VLOOKUP($BS769,'État &amp; Plan d''action'!$B$6:$AH$1113,33,FALSE)</f>
        <v>0</v>
      </c>
      <c r="EC769" s="70" t="s">
        <v>1124</v>
      </c>
      <c r="ED769" s="70" t="s">
        <v>1124</v>
      </c>
      <c r="EE769" s="70" t="s">
        <v>1124</v>
      </c>
      <c r="EF769" s="70" t="s">
        <v>1124</v>
      </c>
      <c r="EG769" s="70" t="s">
        <v>1124</v>
      </c>
      <c r="EH769" s="72"/>
      <c r="EI769" s="72">
        <v>1012</v>
      </c>
    </row>
    <row r="770" spans="71:139" x14ac:dyDescent="0.35">
      <c r="BS770" s="486">
        <v>83055</v>
      </c>
      <c r="BT770" s="479" t="s">
        <v>843</v>
      </c>
      <c r="BU770" s="479">
        <v>7</v>
      </c>
      <c r="BV770" s="476" t="s">
        <v>1188</v>
      </c>
      <c r="BW770" s="476" t="s">
        <v>1188</v>
      </c>
      <c r="BX770" s="476" t="s">
        <v>1188</v>
      </c>
      <c r="BY770" s="476" t="s">
        <v>1188</v>
      </c>
      <c r="BZ770" s="476" t="s">
        <v>1188</v>
      </c>
      <c r="CA770" s="476" t="s">
        <v>1188</v>
      </c>
      <c r="CB770" s="476" t="s">
        <v>1188</v>
      </c>
      <c r="CC770" s="476" t="s">
        <v>1188</v>
      </c>
      <c r="CD770" s="476" t="s">
        <v>1188</v>
      </c>
      <c r="CE770" s="476" t="s">
        <v>1187</v>
      </c>
      <c r="CF770" s="476" t="s">
        <v>1187</v>
      </c>
      <c r="CG770" s="476" t="s">
        <v>1187</v>
      </c>
      <c r="CH770" s="476" t="s">
        <v>1187</v>
      </c>
      <c r="CI770" s="476" t="s">
        <v>1187</v>
      </c>
      <c r="CJ770" s="476" t="s">
        <v>1187</v>
      </c>
      <c r="CK770" s="476" t="s">
        <v>1187</v>
      </c>
      <c r="CL770" s="476" t="s">
        <v>1187</v>
      </c>
      <c r="CM770" s="476" t="str">
        <f>IF(VLOOKUP(BS770,'Données par municipalité'!$B$6:$E$1113,4,FALSE)="","non","oui")</f>
        <v>non</v>
      </c>
      <c r="CN770" s="410" t="s">
        <v>1124</v>
      </c>
      <c r="CO770" s="410" t="s">
        <v>1124</v>
      </c>
      <c r="CP770" s="410"/>
      <c r="CQ770" s="410"/>
      <c r="CR770" s="410"/>
      <c r="CS770" s="410" t="s">
        <v>1124</v>
      </c>
      <c r="CT770" s="410"/>
      <c r="CU770" s="410" t="s">
        <v>1124</v>
      </c>
      <c r="CV770" s="410" t="str">
        <f>IF(VLOOKUP(BS770,'Données par municipalité'!$B$6:$F$1113,4,FALSE)="","",VLOOKUP(BS770,'Données par municipalité'!$B$6:$F$1113,4,FALSE))</f>
        <v/>
      </c>
      <c r="CW770" s="476" t="s">
        <v>4723</v>
      </c>
      <c r="CX770" s="483" t="s">
        <v>1124</v>
      </c>
      <c r="CY770" s="483" t="s">
        <v>1124</v>
      </c>
      <c r="CZ770" s="483" t="s">
        <v>1124</v>
      </c>
      <c r="DA770" s="483" t="s">
        <v>1124</v>
      </c>
      <c r="DB770" s="483" t="s">
        <v>1124</v>
      </c>
      <c r="DC770" s="483" t="s">
        <v>1124</v>
      </c>
      <c r="DD770" s="483" t="s">
        <v>1124</v>
      </c>
      <c r="DE770" s="483" t="str">
        <f>IFERROR(SUM(VLOOKUP($BS770,'État &amp; Plan d''action'!$B$6:$Z$1113,18,FALSE),VLOOKUP($BS770,'État &amp; Plan d''action'!$B$6:$Z$1113,20,FALSE))/(VLOOKUP($BS770,'Données par municipalité'!$B$4:$L$1113,11,FALSE)),"")</f>
        <v/>
      </c>
      <c r="DF770" s="483" t="str">
        <f>IFERROR(SUM(VLOOKUP($BS770,'État &amp; Plan d''action'!$B$6:$Z$1113,19,FALSE),VLOOKUP($BS770,'État &amp; Plan d''action'!$B$6:$Z$1113,21,FALSE))/(VLOOKUP($BS770,'Données par municipalité'!$B$4:$L$1113,11,FALSE)),"")</f>
        <v/>
      </c>
      <c r="DG770" s="476" t="s">
        <v>4723</v>
      </c>
      <c r="DH770" s="484" t="s">
        <v>1124</v>
      </c>
      <c r="DI770" s="484" t="s">
        <v>1124</v>
      </c>
      <c r="DJ770" s="484">
        <v>0</v>
      </c>
      <c r="DK770" s="484">
        <v>0</v>
      </c>
      <c r="DL770" s="484" t="s">
        <v>1124</v>
      </c>
      <c r="DM770" s="484" t="s">
        <v>1124</v>
      </c>
      <c r="DN770" s="484" t="s">
        <v>1124</v>
      </c>
      <c r="DO770" s="484" t="s">
        <v>1124</v>
      </c>
      <c r="DP770" s="484" t="s">
        <v>1124</v>
      </c>
      <c r="DQ770" s="484" t="str">
        <f>IF(VLOOKUP($BS770,'État &amp; Plan d''action'!$B$6:$AJ$1113,28,FALSE)="","",VLOOKUP($BS770,'État &amp; Plan d''action'!$B$6:$AJ$1113,28,FALSE))</f>
        <v/>
      </c>
      <c r="DR770" s="70" t="str">
        <f>IF(VLOOKUP($BS770,'État &amp; Plan d''action'!$B$6:$AJ$1113,29,FALSE)="","",VLOOKUP($BS770,'État &amp; Plan d''action'!$B$6:$AJ$1113,29,FALSE))</f>
        <v/>
      </c>
      <c r="DS770" s="70" t="str">
        <f>IF(VLOOKUP($BS770,'État &amp; Plan d''action'!$B$6:$AJ$1113,30,FALSE)="","",VLOOKUP($BS770,'État &amp; Plan d''action'!$B$6:$AJ$1113,30,FALSE))</f>
        <v/>
      </c>
      <c r="DT770" s="70" t="s">
        <v>1124</v>
      </c>
      <c r="DU770" s="485" t="s">
        <v>1124</v>
      </c>
      <c r="DV770" s="485" t="s">
        <v>1124</v>
      </c>
      <c r="DW770" s="70" t="s">
        <v>1124</v>
      </c>
      <c r="DX770" s="70" t="s">
        <v>1124</v>
      </c>
      <c r="DY770" s="70" t="s">
        <v>1124</v>
      </c>
      <c r="DZ770" s="70" t="str">
        <f>VLOOKUP($BS770,'État &amp; Plan d''action'!$B$6:$AH$1113,31,FALSE)</f>
        <v/>
      </c>
      <c r="EA770" s="70" t="str">
        <f>VLOOKUP($BS770,'État &amp; Plan d''action'!$B$6:$AH$1113,32,FALSE)</f>
        <v/>
      </c>
      <c r="EB770" s="70" t="str">
        <f>VLOOKUP($BS770,'État &amp; Plan d''action'!$B$6:$AH$1113,33,FALSE)</f>
        <v/>
      </c>
      <c r="EC770" s="70" t="s">
        <v>1124</v>
      </c>
      <c r="ED770" s="70" t="s">
        <v>1124</v>
      </c>
      <c r="EE770" s="70" t="s">
        <v>1124</v>
      </c>
      <c r="EF770" s="70" t="s">
        <v>1124</v>
      </c>
      <c r="EG770" s="70" t="s">
        <v>1124</v>
      </c>
      <c r="EH770" s="72"/>
      <c r="EI770" s="72">
        <v>548</v>
      </c>
    </row>
    <row r="771" spans="71:139" x14ac:dyDescent="0.35">
      <c r="BS771" s="486">
        <v>70030</v>
      </c>
      <c r="BT771" s="479" t="s">
        <v>700</v>
      </c>
      <c r="BU771" s="479">
        <v>16</v>
      </c>
      <c r="BV771" s="476" t="s">
        <v>1188</v>
      </c>
      <c r="BW771" s="476" t="s">
        <v>1188</v>
      </c>
      <c r="BX771" s="476" t="s">
        <v>1188</v>
      </c>
      <c r="BY771" s="476" t="s">
        <v>1188</v>
      </c>
      <c r="BZ771" s="476" t="s">
        <v>1188</v>
      </c>
      <c r="CA771" s="476" t="s">
        <v>1188</v>
      </c>
      <c r="CB771" s="476" t="s">
        <v>1188</v>
      </c>
      <c r="CC771" s="476" t="s">
        <v>1188</v>
      </c>
      <c r="CD771" s="476" t="s">
        <v>1188</v>
      </c>
      <c r="CE771" s="476" t="s">
        <v>1187</v>
      </c>
      <c r="CF771" s="476" t="s">
        <v>1187</v>
      </c>
      <c r="CG771" s="476" t="s">
        <v>1187</v>
      </c>
      <c r="CH771" s="476" t="s">
        <v>1187</v>
      </c>
      <c r="CI771" s="476" t="s">
        <v>1187</v>
      </c>
      <c r="CJ771" s="476" t="s">
        <v>1187</v>
      </c>
      <c r="CK771" s="476" t="s">
        <v>1187</v>
      </c>
      <c r="CL771" s="476" t="s">
        <v>1187</v>
      </c>
      <c r="CM771" s="476" t="str">
        <f>IF(VLOOKUP(BS771,'Données par municipalité'!$B$6:$E$1113,4,FALSE)="","non","oui")</f>
        <v>non</v>
      </c>
      <c r="CN771" s="410" t="s">
        <v>1124</v>
      </c>
      <c r="CO771" s="410" t="s">
        <v>1124</v>
      </c>
      <c r="CP771" s="410"/>
      <c r="CQ771" s="410"/>
      <c r="CR771" s="410"/>
      <c r="CS771" s="410" t="s">
        <v>1124</v>
      </c>
      <c r="CT771" s="410"/>
      <c r="CU771" s="410" t="s">
        <v>1124</v>
      </c>
      <c r="CV771" s="410" t="str">
        <f>IF(VLOOKUP(BS771,'Données par municipalité'!$B$6:$F$1113,4,FALSE)="","",VLOOKUP(BS771,'Données par municipalité'!$B$6:$F$1113,4,FALSE))</f>
        <v/>
      </c>
      <c r="CW771" s="476" t="s">
        <v>4723</v>
      </c>
      <c r="CX771" s="483" t="s">
        <v>1124</v>
      </c>
      <c r="CY771" s="483" t="s">
        <v>1124</v>
      </c>
      <c r="CZ771" s="483" t="s">
        <v>1124</v>
      </c>
      <c r="DA771" s="483" t="s">
        <v>1124</v>
      </c>
      <c r="DB771" s="483" t="s">
        <v>1124</v>
      </c>
      <c r="DC771" s="483" t="s">
        <v>1124</v>
      </c>
      <c r="DD771" s="483" t="s">
        <v>1124</v>
      </c>
      <c r="DE771" s="483" t="str">
        <f>IFERROR(SUM(VLOOKUP($BS771,'État &amp; Plan d''action'!$B$6:$Z$1113,18,FALSE),VLOOKUP($BS771,'État &amp; Plan d''action'!$B$6:$Z$1113,20,FALSE))/(VLOOKUP($BS771,'Données par municipalité'!$B$4:$L$1113,11,FALSE)),"")</f>
        <v/>
      </c>
      <c r="DF771" s="483" t="str">
        <f>IFERROR(SUM(VLOOKUP($BS771,'État &amp; Plan d''action'!$B$6:$Z$1113,19,FALSE),VLOOKUP($BS771,'État &amp; Plan d''action'!$B$6:$Z$1113,21,FALSE))/(VLOOKUP($BS771,'Données par municipalité'!$B$4:$L$1113,11,FALSE)),"")</f>
        <v/>
      </c>
      <c r="DG771" s="476" t="s">
        <v>4723</v>
      </c>
      <c r="DH771" s="484" t="s">
        <v>1124</v>
      </c>
      <c r="DI771" s="484" t="s">
        <v>1124</v>
      </c>
      <c r="DJ771" s="484">
        <v>0</v>
      </c>
      <c r="DK771" s="484">
        <v>0</v>
      </c>
      <c r="DL771" s="484" t="s">
        <v>1124</v>
      </c>
      <c r="DM771" s="484" t="s">
        <v>1124</v>
      </c>
      <c r="DN771" s="484" t="s">
        <v>1124</v>
      </c>
      <c r="DO771" s="484" t="s">
        <v>1124</v>
      </c>
      <c r="DP771" s="484" t="s">
        <v>1124</v>
      </c>
      <c r="DQ771" s="484" t="str">
        <f>IF(VLOOKUP($BS771,'État &amp; Plan d''action'!$B$6:$AJ$1113,28,FALSE)="","",VLOOKUP($BS771,'État &amp; Plan d''action'!$B$6:$AJ$1113,28,FALSE))</f>
        <v/>
      </c>
      <c r="DR771" s="70" t="str">
        <f>IF(VLOOKUP($BS771,'État &amp; Plan d''action'!$B$6:$AJ$1113,29,FALSE)="","",VLOOKUP($BS771,'État &amp; Plan d''action'!$B$6:$AJ$1113,29,FALSE))</f>
        <v/>
      </c>
      <c r="DS771" s="70" t="str">
        <f>IF(VLOOKUP($BS771,'État &amp; Plan d''action'!$B$6:$AJ$1113,30,FALSE)="","",VLOOKUP($BS771,'État &amp; Plan d''action'!$B$6:$AJ$1113,30,FALSE))</f>
        <v/>
      </c>
      <c r="DT771" s="70" t="s">
        <v>1124</v>
      </c>
      <c r="DU771" s="485" t="s">
        <v>1124</v>
      </c>
      <c r="DV771" s="485" t="s">
        <v>1124</v>
      </c>
      <c r="DW771" s="70" t="s">
        <v>1124</v>
      </c>
      <c r="DX771" s="70" t="s">
        <v>1124</v>
      </c>
      <c r="DY771" s="70" t="s">
        <v>1124</v>
      </c>
      <c r="DZ771" s="70" t="str">
        <f>VLOOKUP($BS771,'État &amp; Plan d''action'!$B$6:$AH$1113,31,FALSE)</f>
        <v/>
      </c>
      <c r="EA771" s="70" t="str">
        <f>VLOOKUP($BS771,'État &amp; Plan d''action'!$B$6:$AH$1113,32,FALSE)</f>
        <v/>
      </c>
      <c r="EB771" s="70" t="str">
        <f>VLOOKUP($BS771,'État &amp; Plan d''action'!$B$6:$AH$1113,33,FALSE)</f>
        <v/>
      </c>
      <c r="EC771" s="70" t="s">
        <v>1124</v>
      </c>
      <c r="ED771" s="70" t="s">
        <v>1124</v>
      </c>
      <c r="EE771" s="70" t="s">
        <v>1124</v>
      </c>
      <c r="EF771" s="70" t="s">
        <v>1124</v>
      </c>
      <c r="EG771" s="70" t="s">
        <v>1124</v>
      </c>
      <c r="EH771" s="72"/>
      <c r="EI771" s="72">
        <v>933</v>
      </c>
    </row>
    <row r="772" spans="71:139" x14ac:dyDescent="0.35">
      <c r="BS772" s="486">
        <v>45100</v>
      </c>
      <c r="BT772" s="479" t="s">
        <v>424</v>
      </c>
      <c r="BU772" s="479">
        <v>5</v>
      </c>
      <c r="BV772" s="476" t="s">
        <v>1188</v>
      </c>
      <c r="BW772" s="476" t="s">
        <v>1188</v>
      </c>
      <c r="BX772" s="476" t="s">
        <v>1188</v>
      </c>
      <c r="BY772" s="476" t="s">
        <v>1188</v>
      </c>
      <c r="BZ772" s="476" t="s">
        <v>1188</v>
      </c>
      <c r="CA772" s="476" t="s">
        <v>1188</v>
      </c>
      <c r="CB772" s="476" t="s">
        <v>1188</v>
      </c>
      <c r="CC772" s="476" t="s">
        <v>1188</v>
      </c>
      <c r="CD772" s="476" t="s">
        <v>1188</v>
      </c>
      <c r="CE772" s="476" t="s">
        <v>1187</v>
      </c>
      <c r="CF772" s="476" t="s">
        <v>1187</v>
      </c>
      <c r="CG772" s="476" t="s">
        <v>1187</v>
      </c>
      <c r="CH772" s="476" t="s">
        <v>1187</v>
      </c>
      <c r="CI772" s="476" t="s">
        <v>1187</v>
      </c>
      <c r="CJ772" s="476" t="s">
        <v>1187</v>
      </c>
      <c r="CK772" s="476" t="s">
        <v>1187</v>
      </c>
      <c r="CL772" s="476" t="s">
        <v>1187</v>
      </c>
      <c r="CM772" s="476" t="str">
        <f>IF(VLOOKUP(BS772,'Données par municipalité'!$B$6:$E$1113,4,FALSE)="","non","oui")</f>
        <v>non</v>
      </c>
      <c r="CN772" s="410" t="s">
        <v>1124</v>
      </c>
      <c r="CO772" s="410" t="s">
        <v>1124</v>
      </c>
      <c r="CP772" s="410"/>
      <c r="CQ772" s="410"/>
      <c r="CR772" s="410"/>
      <c r="CS772" s="410" t="s">
        <v>1124</v>
      </c>
      <c r="CT772" s="410"/>
      <c r="CU772" s="410" t="s">
        <v>1124</v>
      </c>
      <c r="CV772" s="410" t="str">
        <f>IF(VLOOKUP(BS772,'Données par municipalité'!$B$6:$F$1113,4,FALSE)="","",VLOOKUP(BS772,'Données par municipalité'!$B$6:$F$1113,4,FALSE))</f>
        <v/>
      </c>
      <c r="CW772" s="476" t="s">
        <v>4723</v>
      </c>
      <c r="CX772" s="483" t="s">
        <v>1124</v>
      </c>
      <c r="CY772" s="483" t="s">
        <v>1124</v>
      </c>
      <c r="CZ772" s="483" t="s">
        <v>1124</v>
      </c>
      <c r="DA772" s="483" t="s">
        <v>1124</v>
      </c>
      <c r="DB772" s="483" t="s">
        <v>1124</v>
      </c>
      <c r="DC772" s="483" t="s">
        <v>1124</v>
      </c>
      <c r="DD772" s="483" t="s">
        <v>1124</v>
      </c>
      <c r="DE772" s="483" t="str">
        <f>IFERROR(SUM(VLOOKUP($BS772,'État &amp; Plan d''action'!$B$6:$Z$1113,18,FALSE),VLOOKUP($BS772,'État &amp; Plan d''action'!$B$6:$Z$1113,20,FALSE))/(VLOOKUP($BS772,'Données par municipalité'!$B$4:$L$1113,11,FALSE)),"")</f>
        <v/>
      </c>
      <c r="DF772" s="483" t="str">
        <f>IFERROR(SUM(VLOOKUP($BS772,'État &amp; Plan d''action'!$B$6:$Z$1113,19,FALSE),VLOOKUP($BS772,'État &amp; Plan d''action'!$B$6:$Z$1113,21,FALSE))/(VLOOKUP($BS772,'Données par municipalité'!$B$4:$L$1113,11,FALSE)),"")</f>
        <v/>
      </c>
      <c r="DG772" s="476" t="s">
        <v>4723</v>
      </c>
      <c r="DH772" s="484" t="s">
        <v>1124</v>
      </c>
      <c r="DI772" s="484" t="s">
        <v>1124</v>
      </c>
      <c r="DJ772" s="484">
        <v>0</v>
      </c>
      <c r="DK772" s="484">
        <v>0</v>
      </c>
      <c r="DL772" s="484" t="s">
        <v>1124</v>
      </c>
      <c r="DM772" s="484" t="s">
        <v>1124</v>
      </c>
      <c r="DN772" s="484" t="s">
        <v>1124</v>
      </c>
      <c r="DO772" s="484" t="s">
        <v>1124</v>
      </c>
      <c r="DP772" s="484" t="s">
        <v>1124</v>
      </c>
      <c r="DQ772" s="484" t="str">
        <f>IF(VLOOKUP($BS772,'État &amp; Plan d''action'!$B$6:$AJ$1113,28,FALSE)="","",VLOOKUP($BS772,'État &amp; Plan d''action'!$B$6:$AJ$1113,28,FALSE))</f>
        <v/>
      </c>
      <c r="DR772" s="70" t="str">
        <f>IF(VLOOKUP($BS772,'État &amp; Plan d''action'!$B$6:$AJ$1113,29,FALSE)="","",VLOOKUP($BS772,'État &amp; Plan d''action'!$B$6:$AJ$1113,29,FALSE))</f>
        <v/>
      </c>
      <c r="DS772" s="70" t="str">
        <f>IF(VLOOKUP($BS772,'État &amp; Plan d''action'!$B$6:$AJ$1113,30,FALSE)="","",VLOOKUP($BS772,'État &amp; Plan d''action'!$B$6:$AJ$1113,30,FALSE))</f>
        <v/>
      </c>
      <c r="DT772" s="70" t="s">
        <v>1124</v>
      </c>
      <c r="DU772" s="485" t="s">
        <v>1124</v>
      </c>
      <c r="DV772" s="485" t="s">
        <v>1124</v>
      </c>
      <c r="DW772" s="70" t="s">
        <v>1124</v>
      </c>
      <c r="DX772" s="70" t="s">
        <v>1124</v>
      </c>
      <c r="DY772" s="70" t="s">
        <v>1124</v>
      </c>
      <c r="DZ772" s="70" t="str">
        <f>VLOOKUP($BS772,'État &amp; Plan d''action'!$B$6:$AH$1113,31,FALSE)</f>
        <v/>
      </c>
      <c r="EA772" s="70" t="str">
        <f>VLOOKUP($BS772,'État &amp; Plan d''action'!$B$6:$AH$1113,32,FALSE)</f>
        <v/>
      </c>
      <c r="EB772" s="70" t="str">
        <f>VLOOKUP($BS772,'État &amp; Plan d''action'!$B$6:$AH$1113,33,FALSE)</f>
        <v/>
      </c>
      <c r="EC772" s="70" t="s">
        <v>1124</v>
      </c>
      <c r="ED772" s="70" t="s">
        <v>1124</v>
      </c>
      <c r="EE772" s="70" t="s">
        <v>1124</v>
      </c>
      <c r="EF772" s="70" t="s">
        <v>1124</v>
      </c>
      <c r="EG772" s="70" t="s">
        <v>1124</v>
      </c>
      <c r="EH772" s="72"/>
      <c r="EI772" s="72">
        <v>713</v>
      </c>
    </row>
    <row r="773" spans="71:139" x14ac:dyDescent="0.35">
      <c r="BS773" s="486">
        <v>51090</v>
      </c>
      <c r="BT773" s="479" t="s">
        <v>514</v>
      </c>
      <c r="BU773" s="479">
        <v>4</v>
      </c>
      <c r="BV773" s="476" t="s">
        <v>1187</v>
      </c>
      <c r="BW773" s="476" t="s">
        <v>1187</v>
      </c>
      <c r="BX773" s="476" t="s">
        <v>1187</v>
      </c>
      <c r="BY773" s="476" t="s">
        <v>1187</v>
      </c>
      <c r="BZ773" s="476" t="s">
        <v>1187</v>
      </c>
      <c r="CA773" s="476" t="s">
        <v>1187</v>
      </c>
      <c r="CB773" s="476" t="s">
        <v>1187</v>
      </c>
      <c r="CC773" s="476" t="s">
        <v>1187</v>
      </c>
      <c r="CD773" s="476" t="s">
        <v>1187</v>
      </c>
      <c r="CE773" s="476" t="s">
        <v>1188</v>
      </c>
      <c r="CF773" s="476" t="s">
        <v>1188</v>
      </c>
      <c r="CG773" s="476" t="s">
        <v>1188</v>
      </c>
      <c r="CH773" s="476" t="s">
        <v>1188</v>
      </c>
      <c r="CI773" s="476" t="s">
        <v>1188</v>
      </c>
      <c r="CJ773" s="476" t="s">
        <v>1188</v>
      </c>
      <c r="CK773" s="476" t="s">
        <v>1188</v>
      </c>
      <c r="CL773" s="476" t="s">
        <v>1188</v>
      </c>
      <c r="CM773" s="476" t="str">
        <f>IF(VLOOKUP(BS773,'Données par municipalité'!$B$6:$E$1113,4,FALSE)="","non","oui")</f>
        <v>oui</v>
      </c>
      <c r="CN773" s="410">
        <v>337.13850837138506</v>
      </c>
      <c r="CO773" s="410">
        <v>381.78027054758502</v>
      </c>
      <c r="CP773" s="410">
        <v>372.47179457966058</v>
      </c>
      <c r="CQ773" s="410">
        <v>311.9958440818254</v>
      </c>
      <c r="CR773" s="410">
        <v>236.99583246793409</v>
      </c>
      <c r="CS773" s="410">
        <v>358.26194454536784</v>
      </c>
      <c r="CT773" s="410">
        <v>233.72138134534947</v>
      </c>
      <c r="CU773" s="410">
        <v>235</v>
      </c>
      <c r="CV773" s="410">
        <f>IF(VLOOKUP(BS773,'Données par municipalité'!$B$6:$F$1113,4,FALSE)="","",VLOOKUP(BS773,'Données par municipalité'!$B$6:$F$1113,4,FALSE))</f>
        <v>254</v>
      </c>
      <c r="CW773" s="476" t="s">
        <v>4723</v>
      </c>
      <c r="CX773" s="483">
        <v>0</v>
      </c>
      <c r="CY773" s="483">
        <v>0.1</v>
      </c>
      <c r="CZ773" s="483">
        <v>0.25</v>
      </c>
      <c r="DA773" s="483">
        <v>0.4</v>
      </c>
      <c r="DB773" s="483">
        <v>0.5</v>
      </c>
      <c r="DC773" s="483">
        <v>0.5</v>
      </c>
      <c r="DD773" s="483">
        <v>0.82189542483660127</v>
      </c>
      <c r="DE773" s="483">
        <f>IFERROR(SUM(VLOOKUP($BS773,'État &amp; Plan d''action'!$B$6:$Z$1113,18,FALSE),VLOOKUP($BS773,'État &amp; Plan d''action'!$B$6:$Z$1113,20,FALSE))/(VLOOKUP($BS773,'Données par municipalité'!$B$4:$L$1113,11,FALSE)),"")</f>
        <v>2</v>
      </c>
      <c r="DF773" s="483">
        <f>IFERROR(SUM(VLOOKUP($BS773,'État &amp; Plan d''action'!$B$6:$Z$1113,19,FALSE),VLOOKUP($BS773,'État &amp; Plan d''action'!$B$6:$Z$1113,21,FALSE))/(VLOOKUP($BS773,'Données par municipalité'!$B$4:$L$1113,11,FALSE)),"")</f>
        <v>2</v>
      </c>
      <c r="DG773" s="476" t="s">
        <v>4723</v>
      </c>
      <c r="DH773" s="484">
        <v>6</v>
      </c>
      <c r="DI773" s="484">
        <v>3</v>
      </c>
      <c r="DJ773" s="484">
        <v>5</v>
      </c>
      <c r="DK773" s="484">
        <v>2</v>
      </c>
      <c r="DL773" s="484">
        <v>5</v>
      </c>
      <c r="DM773" s="484">
        <v>1</v>
      </c>
      <c r="DN773" s="484">
        <v>1</v>
      </c>
      <c r="DO773" s="484">
        <v>0</v>
      </c>
      <c r="DP773" s="484">
        <v>1</v>
      </c>
      <c r="DQ773" s="484">
        <f>IF(VLOOKUP($BS773,'État &amp; Plan d''action'!$B$6:$AJ$1113,28,FALSE)="","",VLOOKUP($BS773,'État &amp; Plan d''action'!$B$6:$AJ$1113,28,FALSE))</f>
        <v>0</v>
      </c>
      <c r="DR773" s="70">
        <f>IF(VLOOKUP($BS773,'État &amp; Plan d''action'!$B$6:$AJ$1113,29,FALSE)="","",VLOOKUP($BS773,'État &amp; Plan d''action'!$B$6:$AJ$1113,29,FALSE))</f>
        <v>0</v>
      </c>
      <c r="DS773" s="70">
        <f>IF(VLOOKUP($BS773,'État &amp; Plan d''action'!$B$6:$AJ$1113,30,FALSE)="","",VLOOKUP($BS773,'État &amp; Plan d''action'!$B$6:$AJ$1113,30,FALSE))</f>
        <v>2</v>
      </c>
      <c r="DT773" s="70">
        <v>205</v>
      </c>
      <c r="DU773" s="485">
        <v>1.0746133345837925</v>
      </c>
      <c r="DV773" s="485">
        <v>0.74713117929559669</v>
      </c>
      <c r="DW773" s="70">
        <v>3</v>
      </c>
      <c r="DX773" s="70">
        <v>0</v>
      </c>
      <c r="DY773" s="70">
        <v>5</v>
      </c>
      <c r="DZ773" s="70">
        <f>VLOOKUP($BS773,'État &amp; Plan d''action'!$B$6:$AH$1113,31,FALSE)</f>
        <v>0</v>
      </c>
      <c r="EA773" s="70">
        <f>VLOOKUP($BS773,'État &amp; Plan d''action'!$B$6:$AH$1113,32,FALSE)</f>
        <v>0</v>
      </c>
      <c r="EB773" s="70">
        <f>VLOOKUP($BS773,'État &amp; Plan d''action'!$B$6:$AH$1113,33,FALSE)</f>
        <v>1</v>
      </c>
      <c r="EC773" s="70">
        <v>0</v>
      </c>
      <c r="ED773" s="70">
        <v>25.15</v>
      </c>
      <c r="EE773" s="70">
        <v>0</v>
      </c>
      <c r="EF773" s="70">
        <v>0</v>
      </c>
      <c r="EG773" s="70">
        <v>0</v>
      </c>
      <c r="EH773" s="72">
        <v>44</v>
      </c>
      <c r="EI773" s="72">
        <v>4635</v>
      </c>
    </row>
    <row r="774" spans="71:139" x14ac:dyDescent="0.35">
      <c r="BS774" s="486">
        <v>49105</v>
      </c>
      <c r="BT774" s="479" t="s">
        <v>478</v>
      </c>
      <c r="BU774" s="479">
        <v>17</v>
      </c>
      <c r="BV774" s="476" t="s">
        <v>1188</v>
      </c>
      <c r="BW774" s="476" t="s">
        <v>1188</v>
      </c>
      <c r="BX774" s="476" t="s">
        <v>1188</v>
      </c>
      <c r="BY774" s="476" t="s">
        <v>1188</v>
      </c>
      <c r="BZ774" s="476" t="s">
        <v>1188</v>
      </c>
      <c r="CA774" s="476" t="s">
        <v>1188</v>
      </c>
      <c r="CB774" s="476" t="s">
        <v>1188</v>
      </c>
      <c r="CC774" s="476" t="s">
        <v>1188</v>
      </c>
      <c r="CD774" s="476" t="s">
        <v>1188</v>
      </c>
      <c r="CE774" s="476" t="s">
        <v>1187</v>
      </c>
      <c r="CF774" s="476" t="s">
        <v>1187</v>
      </c>
      <c r="CG774" s="476" t="s">
        <v>1187</v>
      </c>
      <c r="CH774" s="476" t="s">
        <v>1187</v>
      </c>
      <c r="CI774" s="476" t="s">
        <v>1187</v>
      </c>
      <c r="CJ774" s="476" t="s">
        <v>1187</v>
      </c>
      <c r="CK774" s="476" t="s">
        <v>1187</v>
      </c>
      <c r="CL774" s="476" t="s">
        <v>1187</v>
      </c>
      <c r="CM774" s="476" t="str">
        <f>IF(VLOOKUP(BS774,'Données par municipalité'!$B$6:$E$1113,4,FALSE)="","non","oui")</f>
        <v>non</v>
      </c>
      <c r="CN774" s="410" t="s">
        <v>1124</v>
      </c>
      <c r="CO774" s="410" t="s">
        <v>1124</v>
      </c>
      <c r="CP774" s="410"/>
      <c r="CQ774" s="410"/>
      <c r="CR774" s="410"/>
      <c r="CS774" s="410" t="s">
        <v>1124</v>
      </c>
      <c r="CT774" s="410"/>
      <c r="CU774" s="410" t="s">
        <v>1124</v>
      </c>
      <c r="CV774" s="410" t="str">
        <f>IF(VLOOKUP(BS774,'Données par municipalité'!$B$6:$F$1113,4,FALSE)="","",VLOOKUP(BS774,'Données par municipalité'!$B$6:$F$1113,4,FALSE))</f>
        <v/>
      </c>
      <c r="CW774" s="476" t="s">
        <v>4723</v>
      </c>
      <c r="CX774" s="483" t="s">
        <v>1124</v>
      </c>
      <c r="CY774" s="483" t="s">
        <v>1124</v>
      </c>
      <c r="CZ774" s="483" t="s">
        <v>1124</v>
      </c>
      <c r="DA774" s="483" t="s">
        <v>1124</v>
      </c>
      <c r="DB774" s="483" t="s">
        <v>1124</v>
      </c>
      <c r="DC774" s="483" t="s">
        <v>1124</v>
      </c>
      <c r="DD774" s="483" t="s">
        <v>1124</v>
      </c>
      <c r="DE774" s="483" t="str">
        <f>IFERROR(SUM(VLOOKUP($BS774,'État &amp; Plan d''action'!$B$6:$Z$1113,18,FALSE),VLOOKUP($BS774,'État &amp; Plan d''action'!$B$6:$Z$1113,20,FALSE))/(VLOOKUP($BS774,'Données par municipalité'!$B$4:$L$1113,11,FALSE)),"")</f>
        <v/>
      </c>
      <c r="DF774" s="483" t="str">
        <f>IFERROR(SUM(VLOOKUP($BS774,'État &amp; Plan d''action'!$B$6:$Z$1113,19,FALSE),VLOOKUP($BS774,'État &amp; Plan d''action'!$B$6:$Z$1113,21,FALSE))/(VLOOKUP($BS774,'Données par municipalité'!$B$4:$L$1113,11,FALSE)),"")</f>
        <v/>
      </c>
      <c r="DG774" s="476" t="s">
        <v>4723</v>
      </c>
      <c r="DH774" s="484" t="s">
        <v>1124</v>
      </c>
      <c r="DI774" s="484" t="s">
        <v>1124</v>
      </c>
      <c r="DJ774" s="484">
        <v>0</v>
      </c>
      <c r="DK774" s="484">
        <v>0</v>
      </c>
      <c r="DL774" s="484" t="s">
        <v>1124</v>
      </c>
      <c r="DM774" s="484" t="s">
        <v>1124</v>
      </c>
      <c r="DN774" s="484" t="s">
        <v>1124</v>
      </c>
      <c r="DO774" s="484" t="s">
        <v>1124</v>
      </c>
      <c r="DP774" s="484" t="s">
        <v>1124</v>
      </c>
      <c r="DQ774" s="484" t="str">
        <f>IF(VLOOKUP($BS774,'État &amp; Plan d''action'!$B$6:$AJ$1113,28,FALSE)="","",VLOOKUP($BS774,'État &amp; Plan d''action'!$B$6:$AJ$1113,28,FALSE))</f>
        <v/>
      </c>
      <c r="DR774" s="70" t="str">
        <f>IF(VLOOKUP($BS774,'État &amp; Plan d''action'!$B$6:$AJ$1113,29,FALSE)="","",VLOOKUP($BS774,'État &amp; Plan d''action'!$B$6:$AJ$1113,29,FALSE))</f>
        <v/>
      </c>
      <c r="DS774" s="70" t="str">
        <f>IF(VLOOKUP($BS774,'État &amp; Plan d''action'!$B$6:$AJ$1113,30,FALSE)="","",VLOOKUP($BS774,'État &amp; Plan d''action'!$B$6:$AJ$1113,30,FALSE))</f>
        <v/>
      </c>
      <c r="DT774" s="70" t="s">
        <v>1124</v>
      </c>
      <c r="DU774" s="485" t="s">
        <v>1124</v>
      </c>
      <c r="DV774" s="485" t="s">
        <v>1124</v>
      </c>
      <c r="DW774" s="70" t="s">
        <v>1124</v>
      </c>
      <c r="DX774" s="70" t="s">
        <v>1124</v>
      </c>
      <c r="DY774" s="70" t="s">
        <v>1124</v>
      </c>
      <c r="DZ774" s="70" t="str">
        <f>VLOOKUP($BS774,'État &amp; Plan d''action'!$B$6:$AH$1113,31,FALSE)</f>
        <v/>
      </c>
      <c r="EA774" s="70" t="str">
        <f>VLOOKUP($BS774,'État &amp; Plan d''action'!$B$6:$AH$1113,32,FALSE)</f>
        <v/>
      </c>
      <c r="EB774" s="70" t="str">
        <f>VLOOKUP($BS774,'État &amp; Plan d''action'!$B$6:$AH$1113,33,FALSE)</f>
        <v/>
      </c>
      <c r="EC774" s="70" t="s">
        <v>1124</v>
      </c>
      <c r="ED774" s="70" t="s">
        <v>1124</v>
      </c>
      <c r="EE774" s="70" t="s">
        <v>1124</v>
      </c>
      <c r="EF774" s="70" t="s">
        <v>1124</v>
      </c>
      <c r="EG774" s="70" t="s">
        <v>1124</v>
      </c>
      <c r="EH774" s="72"/>
      <c r="EI774" s="72">
        <v>1147</v>
      </c>
    </row>
    <row r="775" spans="71:139" x14ac:dyDescent="0.35">
      <c r="BS775" s="486">
        <v>92065</v>
      </c>
      <c r="BT775" s="479" t="s">
        <v>956</v>
      </c>
      <c r="BU775" s="479">
        <v>2</v>
      </c>
      <c r="BV775" s="476" t="s">
        <v>1187</v>
      </c>
      <c r="BW775" s="476" t="s">
        <v>1187</v>
      </c>
      <c r="BX775" s="476" t="s">
        <v>1187</v>
      </c>
      <c r="BY775" s="476" t="s">
        <v>1187</v>
      </c>
      <c r="BZ775" s="476" t="s">
        <v>1187</v>
      </c>
      <c r="CA775" s="476" t="s">
        <v>1187</v>
      </c>
      <c r="CB775" s="476" t="s">
        <v>1187</v>
      </c>
      <c r="CC775" s="476" t="s">
        <v>1187</v>
      </c>
      <c r="CD775" s="476" t="s">
        <v>1187</v>
      </c>
      <c r="CE775" s="476" t="s">
        <v>1188</v>
      </c>
      <c r="CF775" s="476" t="s">
        <v>1188</v>
      </c>
      <c r="CG775" s="476" t="s">
        <v>1187</v>
      </c>
      <c r="CH775" s="476" t="s">
        <v>1188</v>
      </c>
      <c r="CI775" s="476" t="s">
        <v>1188</v>
      </c>
      <c r="CJ775" s="476" t="s">
        <v>1188</v>
      </c>
      <c r="CK775" s="476" t="s">
        <v>1187</v>
      </c>
      <c r="CL775" s="476" t="s">
        <v>1188</v>
      </c>
      <c r="CM775" s="476" t="str">
        <f>IF(VLOOKUP(BS775,'Données par municipalité'!$B$6:$E$1113,4,FALSE)="","non","oui")</f>
        <v>oui</v>
      </c>
      <c r="CN775" s="410">
        <v>564.49320839374718</v>
      </c>
      <c r="CO775" s="410">
        <v>620.42214529017906</v>
      </c>
      <c r="CP775" s="410"/>
      <c r="CQ775" s="410">
        <v>506.15246206031998</v>
      </c>
      <c r="CR775" s="410">
        <v>328.39293074936921</v>
      </c>
      <c r="CS775" s="410">
        <v>345.53685932144873</v>
      </c>
      <c r="CT775" s="410"/>
      <c r="CU775" s="410">
        <v>288</v>
      </c>
      <c r="CV775" s="410">
        <f>IF(VLOOKUP(BS775,'Données par municipalité'!$B$6:$F$1113,4,FALSE)="","",VLOOKUP(BS775,'Données par municipalité'!$B$6:$F$1113,4,FALSE))</f>
        <v>334</v>
      </c>
      <c r="CW775" s="476" t="s">
        <v>4723</v>
      </c>
      <c r="CX775" s="483">
        <v>0.12</v>
      </c>
      <c r="CY775" s="483" t="s">
        <v>1124</v>
      </c>
      <c r="CZ775" s="483">
        <v>0.04</v>
      </c>
      <c r="DA775" s="483">
        <v>1</v>
      </c>
      <c r="DB775" s="483">
        <v>1</v>
      </c>
      <c r="DC775" s="483" t="s">
        <v>1124</v>
      </c>
      <c r="DD775" s="483">
        <v>0</v>
      </c>
      <c r="DE775" s="483">
        <f>IFERROR(SUM(VLOOKUP($BS775,'État &amp; Plan d''action'!$B$6:$Z$1113,18,FALSE),VLOOKUP($BS775,'État &amp; Plan d''action'!$B$6:$Z$1113,20,FALSE))/(VLOOKUP($BS775,'Données par municipalité'!$B$4:$L$1113,11,FALSE)),"")</f>
        <v>0</v>
      </c>
      <c r="DF775" s="483">
        <f>IFERROR(SUM(VLOOKUP($BS775,'État &amp; Plan d''action'!$B$6:$Z$1113,19,FALSE),VLOOKUP($BS775,'État &amp; Plan d''action'!$B$6:$Z$1113,21,FALSE))/(VLOOKUP($BS775,'Données par municipalité'!$B$4:$L$1113,11,FALSE)),"")</f>
        <v>0</v>
      </c>
      <c r="DG775" s="476" t="s">
        <v>4723</v>
      </c>
      <c r="DH775" s="484">
        <v>0</v>
      </c>
      <c r="DI775" s="484">
        <v>0</v>
      </c>
      <c r="DJ775" s="484">
        <v>0</v>
      </c>
      <c r="DK775" s="484">
        <v>0</v>
      </c>
      <c r="DL775" s="484">
        <v>0</v>
      </c>
      <c r="DM775" s="484" t="s">
        <v>1124</v>
      </c>
      <c r="DN775" s="484">
        <v>0</v>
      </c>
      <c r="DO775" s="484">
        <v>0</v>
      </c>
      <c r="DP775" s="484">
        <v>0</v>
      </c>
      <c r="DQ775" s="484">
        <f>IF(VLOOKUP($BS775,'État &amp; Plan d''action'!$B$6:$AJ$1113,28,FALSE)="","",VLOOKUP($BS775,'État &amp; Plan d''action'!$B$6:$AJ$1113,28,FALSE))</f>
        <v>0</v>
      </c>
      <c r="DR775" s="70">
        <f>IF(VLOOKUP($BS775,'État &amp; Plan d''action'!$B$6:$AJ$1113,29,FALSE)="","",VLOOKUP($BS775,'État &amp; Plan d''action'!$B$6:$AJ$1113,29,FALSE))</f>
        <v>0</v>
      </c>
      <c r="DS775" s="70">
        <f>IF(VLOOKUP($BS775,'État &amp; Plan d''action'!$B$6:$AJ$1113,30,FALSE)="","",VLOOKUP($BS775,'État &amp; Plan d''action'!$B$6:$AJ$1113,30,FALSE))</f>
        <v>0</v>
      </c>
      <c r="DT775" s="70">
        <v>208</v>
      </c>
      <c r="DU775" s="485">
        <v>1.9816210796718328</v>
      </c>
      <c r="DV775" s="485">
        <v>1.5686610438758837</v>
      </c>
      <c r="DW775" s="70">
        <v>0</v>
      </c>
      <c r="DX775" s="70">
        <v>0</v>
      </c>
      <c r="DY775" s="70">
        <v>0</v>
      </c>
      <c r="DZ775" s="70">
        <f>VLOOKUP($BS775,'État &amp; Plan d''action'!$B$6:$AH$1113,31,FALSE)</f>
        <v>0</v>
      </c>
      <c r="EA775" s="70">
        <f>VLOOKUP($BS775,'État &amp; Plan d''action'!$B$6:$AH$1113,32,FALSE)</f>
        <v>0</v>
      </c>
      <c r="EB775" s="70">
        <f>VLOOKUP($BS775,'État &amp; Plan d''action'!$B$6:$AH$1113,33,FALSE)</f>
        <v>0</v>
      </c>
      <c r="EC775" s="70">
        <v>0</v>
      </c>
      <c r="ED775" s="70">
        <v>0</v>
      </c>
      <c r="EE775" s="70">
        <v>0</v>
      </c>
      <c r="EF775" s="70">
        <v>0</v>
      </c>
      <c r="EG775" s="70">
        <v>0</v>
      </c>
      <c r="EH775" s="72">
        <v>45</v>
      </c>
      <c r="EI775" s="72">
        <v>483</v>
      </c>
    </row>
    <row r="776" spans="71:139" x14ac:dyDescent="0.35">
      <c r="BS776" s="486">
        <v>85085</v>
      </c>
      <c r="BT776" s="479" t="s">
        <v>884</v>
      </c>
      <c r="BU776" s="479">
        <v>8</v>
      </c>
      <c r="BV776" s="476" t="s">
        <v>1187</v>
      </c>
      <c r="BW776" s="476" t="s">
        <v>1187</v>
      </c>
      <c r="BX776" s="476" t="s">
        <v>1187</v>
      </c>
      <c r="BY776" s="476" t="s">
        <v>1187</v>
      </c>
      <c r="BZ776" s="476" t="s">
        <v>1187</v>
      </c>
      <c r="CA776" s="476" t="s">
        <v>1187</v>
      </c>
      <c r="CB776" s="476" t="s">
        <v>1187</v>
      </c>
      <c r="CC776" s="476" t="s">
        <v>1187</v>
      </c>
      <c r="CD776" s="476" t="s">
        <v>1187</v>
      </c>
      <c r="CE776" s="476" t="s">
        <v>1188</v>
      </c>
      <c r="CF776" s="476" t="s">
        <v>1188</v>
      </c>
      <c r="CG776" s="476" t="s">
        <v>1188</v>
      </c>
      <c r="CH776" s="476" t="s">
        <v>1188</v>
      </c>
      <c r="CI776" s="476" t="s">
        <v>1188</v>
      </c>
      <c r="CJ776" s="476" t="s">
        <v>1188</v>
      </c>
      <c r="CK776" s="476" t="s">
        <v>1188</v>
      </c>
      <c r="CL776" s="476" t="s">
        <v>1188</v>
      </c>
      <c r="CM776" s="476" t="str">
        <f>IF(VLOOKUP(BS776,'Données par municipalité'!$B$6:$E$1113,4,FALSE)="","non","oui")</f>
        <v>oui</v>
      </c>
      <c r="CN776" s="410">
        <v>337.42049902152638</v>
      </c>
      <c r="CO776" s="410">
        <v>571.88432976579259</v>
      </c>
      <c r="CP776" s="410">
        <v>426.81949492125619</v>
      </c>
      <c r="CQ776" s="410">
        <v>303.45009938463005</v>
      </c>
      <c r="CR776" s="410">
        <v>269.33109715908915</v>
      </c>
      <c r="CS776" s="410">
        <v>309.83852705164173</v>
      </c>
      <c r="CT776" s="410">
        <v>288.34789083645558</v>
      </c>
      <c r="CU776" s="410">
        <v>335</v>
      </c>
      <c r="CV776" s="410">
        <f>IF(VLOOKUP(BS776,'Données par municipalité'!$B$6:$F$1113,4,FALSE)="","",VLOOKUP(BS776,'Données par municipalité'!$B$6:$F$1113,4,FALSE))</f>
        <v>384</v>
      </c>
      <c r="CW776" s="476" t="s">
        <v>4723</v>
      </c>
      <c r="CX776" s="483">
        <v>0</v>
      </c>
      <c r="CY776" s="483">
        <v>0</v>
      </c>
      <c r="CZ776" s="483">
        <v>0</v>
      </c>
      <c r="DA776" s="483">
        <v>0</v>
      </c>
      <c r="DB776" s="483">
        <v>0</v>
      </c>
      <c r="DC776" s="483">
        <v>0</v>
      </c>
      <c r="DD776" s="483">
        <v>0</v>
      </c>
      <c r="DE776" s="483">
        <f>IFERROR(SUM(VLOOKUP($BS776,'État &amp; Plan d''action'!$B$6:$Z$1113,18,FALSE),VLOOKUP($BS776,'État &amp; Plan d''action'!$B$6:$Z$1113,20,FALSE))/(VLOOKUP($BS776,'Données par municipalité'!$B$4:$L$1113,11,FALSE)),"")</f>
        <v>0.20533880903490759</v>
      </c>
      <c r="DF776" s="483">
        <f>IFERROR(SUM(VLOOKUP($BS776,'État &amp; Plan d''action'!$B$6:$Z$1113,19,FALSE),VLOOKUP($BS776,'État &amp; Plan d''action'!$B$6:$Z$1113,21,FALSE))/(VLOOKUP($BS776,'Données par municipalité'!$B$4:$L$1113,11,FALSE)),"")</f>
        <v>0.20533880903490759</v>
      </c>
      <c r="DG776" s="476" t="s">
        <v>4723</v>
      </c>
      <c r="DH776" s="484">
        <v>3</v>
      </c>
      <c r="DI776" s="484" t="s">
        <v>1124</v>
      </c>
      <c r="DJ776" s="484">
        <v>0</v>
      </c>
      <c r="DK776" s="484">
        <v>0</v>
      </c>
      <c r="DL776" s="484">
        <v>1</v>
      </c>
      <c r="DM776" s="484">
        <v>1</v>
      </c>
      <c r="DN776" s="484">
        <v>0</v>
      </c>
      <c r="DO776" s="484">
        <v>0</v>
      </c>
      <c r="DP776" s="484">
        <v>1</v>
      </c>
      <c r="DQ776" s="484">
        <f>IF(VLOOKUP($BS776,'État &amp; Plan d''action'!$B$6:$AJ$1113,28,FALSE)="","",VLOOKUP($BS776,'État &amp; Plan d''action'!$B$6:$AJ$1113,28,FALSE))</f>
        <v>1</v>
      </c>
      <c r="DR776" s="70">
        <f>IF(VLOOKUP($BS776,'État &amp; Plan d''action'!$B$6:$AJ$1113,29,FALSE)="","",VLOOKUP($BS776,'État &amp; Plan d''action'!$B$6:$AJ$1113,29,FALSE))</f>
        <v>0</v>
      </c>
      <c r="DS776" s="70">
        <f>IF(VLOOKUP($BS776,'État &amp; Plan d''action'!$B$6:$AJ$1113,30,FALSE)="","",VLOOKUP($BS776,'État &amp; Plan d''action'!$B$6:$AJ$1113,30,FALSE))</f>
        <v>0</v>
      </c>
      <c r="DT776" s="70">
        <v>273</v>
      </c>
      <c r="DU776" s="485">
        <v>0.8776609999366578</v>
      </c>
      <c r="DV776" s="485">
        <v>0.85955626042072375</v>
      </c>
      <c r="DW776" s="70">
        <v>0</v>
      </c>
      <c r="DX776" s="70">
        <v>0</v>
      </c>
      <c r="DY776" s="70">
        <v>6</v>
      </c>
      <c r="DZ776" s="70">
        <f>VLOOKUP($BS776,'État &amp; Plan d''action'!$B$6:$AH$1113,31,FALSE)</f>
        <v>2</v>
      </c>
      <c r="EA776" s="70">
        <f>VLOOKUP($BS776,'État &amp; Plan d''action'!$B$6:$AH$1113,32,FALSE)</f>
        <v>0</v>
      </c>
      <c r="EB776" s="70">
        <f>VLOOKUP($BS776,'État &amp; Plan d''action'!$B$6:$AH$1113,33,FALSE)</f>
        <v>0</v>
      </c>
      <c r="EC776" s="70">
        <v>0</v>
      </c>
      <c r="ED776" s="70">
        <v>0</v>
      </c>
      <c r="EE776" s="70">
        <v>0</v>
      </c>
      <c r="EF776" s="70">
        <v>0</v>
      </c>
      <c r="EG776" s="70">
        <v>0</v>
      </c>
      <c r="EH776" s="72">
        <v>48</v>
      </c>
      <c r="EI776" s="72">
        <v>502</v>
      </c>
    </row>
    <row r="777" spans="71:139" x14ac:dyDescent="0.35">
      <c r="BS777" s="486">
        <v>10075</v>
      </c>
      <c r="BT777" s="479" t="s">
        <v>16</v>
      </c>
      <c r="BU777" s="479">
        <v>1</v>
      </c>
      <c r="BV777" s="476" t="s">
        <v>1188</v>
      </c>
      <c r="BW777" s="476" t="s">
        <v>1188</v>
      </c>
      <c r="BX777" s="476" t="s">
        <v>1188</v>
      </c>
      <c r="BY777" s="476" t="s">
        <v>1188</v>
      </c>
      <c r="BZ777" s="476" t="s">
        <v>1188</v>
      </c>
      <c r="CA777" s="476" t="s">
        <v>1188</v>
      </c>
      <c r="CB777" s="476" t="s">
        <v>1188</v>
      </c>
      <c r="CC777" s="476" t="s">
        <v>1188</v>
      </c>
      <c r="CD777" s="476" t="s">
        <v>1188</v>
      </c>
      <c r="CE777" s="476" t="s">
        <v>1187</v>
      </c>
      <c r="CF777" s="476" t="s">
        <v>1187</v>
      </c>
      <c r="CG777" s="476" t="s">
        <v>1187</v>
      </c>
      <c r="CH777" s="476" t="s">
        <v>1187</v>
      </c>
      <c r="CI777" s="476" t="s">
        <v>1187</v>
      </c>
      <c r="CJ777" s="476" t="s">
        <v>1187</v>
      </c>
      <c r="CK777" s="476" t="s">
        <v>1187</v>
      </c>
      <c r="CL777" s="476" t="s">
        <v>1187</v>
      </c>
      <c r="CM777" s="476" t="str">
        <f>IF(VLOOKUP(BS777,'Données par municipalité'!$B$6:$E$1113,4,FALSE)="","non","oui")</f>
        <v>non</v>
      </c>
      <c r="CN777" s="410" t="s">
        <v>1124</v>
      </c>
      <c r="CO777" s="410" t="s">
        <v>1124</v>
      </c>
      <c r="CP777" s="410"/>
      <c r="CQ777" s="410"/>
      <c r="CR777" s="410"/>
      <c r="CS777" s="410" t="s">
        <v>1124</v>
      </c>
      <c r="CT777" s="410"/>
      <c r="CU777" s="410" t="s">
        <v>1124</v>
      </c>
      <c r="CV777" s="410" t="str">
        <f>IF(VLOOKUP(BS777,'Données par municipalité'!$B$6:$F$1113,4,FALSE)="","",VLOOKUP(BS777,'Données par municipalité'!$B$6:$F$1113,4,FALSE))</f>
        <v/>
      </c>
      <c r="CW777" s="476" t="s">
        <v>4723</v>
      </c>
      <c r="CX777" s="483" t="s">
        <v>1124</v>
      </c>
      <c r="CY777" s="483" t="s">
        <v>1124</v>
      </c>
      <c r="CZ777" s="483" t="s">
        <v>1124</v>
      </c>
      <c r="DA777" s="483" t="s">
        <v>1124</v>
      </c>
      <c r="DB777" s="483" t="s">
        <v>1124</v>
      </c>
      <c r="DC777" s="483" t="s">
        <v>1124</v>
      </c>
      <c r="DD777" s="483" t="s">
        <v>1124</v>
      </c>
      <c r="DE777" s="483" t="str">
        <f>IFERROR(SUM(VLOOKUP($BS777,'État &amp; Plan d''action'!$B$6:$Z$1113,18,FALSE),VLOOKUP($BS777,'État &amp; Plan d''action'!$B$6:$Z$1113,20,FALSE))/(VLOOKUP($BS777,'Données par municipalité'!$B$4:$L$1113,11,FALSE)),"")</f>
        <v/>
      </c>
      <c r="DF777" s="483" t="str">
        <f>IFERROR(SUM(VLOOKUP($BS777,'État &amp; Plan d''action'!$B$6:$Z$1113,19,FALSE),VLOOKUP($BS777,'État &amp; Plan d''action'!$B$6:$Z$1113,21,FALSE))/(VLOOKUP($BS777,'Données par municipalité'!$B$4:$L$1113,11,FALSE)),"")</f>
        <v/>
      </c>
      <c r="DG777" s="476" t="s">
        <v>4723</v>
      </c>
      <c r="DH777" s="484" t="s">
        <v>1124</v>
      </c>
      <c r="DI777" s="484" t="s">
        <v>1124</v>
      </c>
      <c r="DJ777" s="484">
        <v>0</v>
      </c>
      <c r="DK777" s="484">
        <v>0</v>
      </c>
      <c r="DL777" s="484" t="s">
        <v>1124</v>
      </c>
      <c r="DM777" s="484" t="s">
        <v>1124</v>
      </c>
      <c r="DN777" s="484" t="s">
        <v>1124</v>
      </c>
      <c r="DO777" s="484" t="s">
        <v>1124</v>
      </c>
      <c r="DP777" s="484" t="s">
        <v>1124</v>
      </c>
      <c r="DQ777" s="484" t="str">
        <f>IF(VLOOKUP($BS777,'État &amp; Plan d''action'!$B$6:$AJ$1113,28,FALSE)="","",VLOOKUP($BS777,'État &amp; Plan d''action'!$B$6:$AJ$1113,28,FALSE))</f>
        <v/>
      </c>
      <c r="DR777" s="70" t="str">
        <f>IF(VLOOKUP($BS777,'État &amp; Plan d''action'!$B$6:$AJ$1113,29,FALSE)="","",VLOOKUP($BS777,'État &amp; Plan d''action'!$B$6:$AJ$1113,29,FALSE))</f>
        <v/>
      </c>
      <c r="DS777" s="70" t="str">
        <f>IF(VLOOKUP($BS777,'État &amp; Plan d''action'!$B$6:$AJ$1113,30,FALSE)="","",VLOOKUP($BS777,'État &amp; Plan d''action'!$B$6:$AJ$1113,30,FALSE))</f>
        <v/>
      </c>
      <c r="DT777" s="70" t="s">
        <v>1124</v>
      </c>
      <c r="DU777" s="485" t="s">
        <v>1124</v>
      </c>
      <c r="DV777" s="485" t="s">
        <v>1124</v>
      </c>
      <c r="DW777" s="70" t="s">
        <v>1124</v>
      </c>
      <c r="DX777" s="70" t="s">
        <v>1124</v>
      </c>
      <c r="DY777" s="70" t="s">
        <v>1124</v>
      </c>
      <c r="DZ777" s="70" t="str">
        <f>VLOOKUP($BS777,'État &amp; Plan d''action'!$B$6:$AH$1113,31,FALSE)</f>
        <v/>
      </c>
      <c r="EA777" s="70" t="str">
        <f>VLOOKUP($BS777,'État &amp; Plan d''action'!$B$6:$AH$1113,32,FALSE)</f>
        <v/>
      </c>
      <c r="EB777" s="70" t="str">
        <f>VLOOKUP($BS777,'État &amp; Plan d''action'!$B$6:$AH$1113,33,FALSE)</f>
        <v/>
      </c>
      <c r="EC777" s="70" t="s">
        <v>1124</v>
      </c>
      <c r="ED777" s="70" t="s">
        <v>1124</v>
      </c>
      <c r="EE777" s="70" t="s">
        <v>1124</v>
      </c>
      <c r="EF777" s="70" t="s">
        <v>1124</v>
      </c>
      <c r="EG777" s="70" t="s">
        <v>1124</v>
      </c>
      <c r="EH777" s="72"/>
      <c r="EI777" s="72">
        <v>385</v>
      </c>
    </row>
    <row r="778" spans="71:139" x14ac:dyDescent="0.35">
      <c r="BS778" s="486">
        <v>51040</v>
      </c>
      <c r="BT778" s="479" t="s">
        <v>504</v>
      </c>
      <c r="BU778" s="479">
        <v>4</v>
      </c>
      <c r="BV778" s="476" t="s">
        <v>1187</v>
      </c>
      <c r="BW778" s="476" t="s">
        <v>1187</v>
      </c>
      <c r="BX778" s="476" t="s">
        <v>1187</v>
      </c>
      <c r="BY778" s="476" t="s">
        <v>1187</v>
      </c>
      <c r="BZ778" s="476" t="s">
        <v>1187</v>
      </c>
      <c r="CA778" s="476" t="s">
        <v>1187</v>
      </c>
      <c r="CB778" s="476" t="s">
        <v>1187</v>
      </c>
      <c r="CC778" s="476" t="s">
        <v>1187</v>
      </c>
      <c r="CD778" s="476" t="s">
        <v>1187</v>
      </c>
      <c r="CE778" s="476" t="s">
        <v>1188</v>
      </c>
      <c r="CF778" s="476" t="s">
        <v>1188</v>
      </c>
      <c r="CG778" s="476" t="s">
        <v>1187</v>
      </c>
      <c r="CH778" s="476" t="s">
        <v>1187</v>
      </c>
      <c r="CI778" s="476" t="s">
        <v>1188</v>
      </c>
      <c r="CJ778" s="476" t="s">
        <v>1188</v>
      </c>
      <c r="CK778" s="476" t="s">
        <v>1188</v>
      </c>
      <c r="CL778" s="476" t="s">
        <v>1188</v>
      </c>
      <c r="CM778" s="476" t="str">
        <f>IF(VLOOKUP(BS778,'Données par municipalité'!$B$6:$E$1113,4,FALSE)="","non","oui")</f>
        <v>oui</v>
      </c>
      <c r="CN778" s="410">
        <v>576.42853612047236</v>
      </c>
      <c r="CO778" s="410">
        <v>580.31044066600202</v>
      </c>
      <c r="CP778" s="410"/>
      <c r="CQ778" s="410"/>
      <c r="CR778" s="410">
        <v>581.43872819118553</v>
      </c>
      <c r="CS778" s="410">
        <v>550.39290400896937</v>
      </c>
      <c r="CT778" s="410">
        <v>557.64686334601038</v>
      </c>
      <c r="CU778" s="410">
        <v>566</v>
      </c>
      <c r="CV778" s="410">
        <f>IF(VLOOKUP(BS778,'Données par municipalité'!$B$6:$F$1113,4,FALSE)="","",VLOOKUP(BS778,'Données par municipalité'!$B$6:$F$1113,4,FALSE))</f>
        <v>569</v>
      </c>
      <c r="CW778" s="476" t="s">
        <v>4723</v>
      </c>
      <c r="CX778" s="483">
        <v>0</v>
      </c>
      <c r="CY778" s="483" t="s">
        <v>1124</v>
      </c>
      <c r="CZ778" s="483" t="s">
        <v>1124</v>
      </c>
      <c r="DA778" s="483">
        <v>0.9</v>
      </c>
      <c r="DB778" s="483">
        <v>0.9</v>
      </c>
      <c r="DC778" s="483">
        <v>1</v>
      </c>
      <c r="DD778" s="483">
        <v>5.4013469239170012E-2</v>
      </c>
      <c r="DE778" s="483">
        <f>IFERROR(SUM(VLOOKUP($BS778,'État &amp; Plan d''action'!$B$6:$Z$1113,18,FALSE),VLOOKUP($BS778,'État &amp; Plan d''action'!$B$6:$Z$1113,20,FALSE))/(VLOOKUP($BS778,'Données par municipalité'!$B$4:$L$1113,11,FALSE)),"")</f>
        <v>1</v>
      </c>
      <c r="DF778" s="483">
        <f>IFERROR(SUM(VLOOKUP($BS778,'État &amp; Plan d''action'!$B$6:$Z$1113,19,FALSE),VLOOKUP($BS778,'État &amp; Plan d''action'!$B$6:$Z$1113,21,FALSE))/(VLOOKUP($BS778,'Données par municipalité'!$B$4:$L$1113,11,FALSE)),"")</f>
        <v>1</v>
      </c>
      <c r="DG778" s="476" t="s">
        <v>4723</v>
      </c>
      <c r="DH778" s="484">
        <v>3</v>
      </c>
      <c r="DI778" s="484" t="s">
        <v>1124</v>
      </c>
      <c r="DJ778" s="484">
        <v>0</v>
      </c>
      <c r="DK778" s="484">
        <v>0</v>
      </c>
      <c r="DL778" s="484">
        <v>0</v>
      </c>
      <c r="DM778" s="484">
        <v>7</v>
      </c>
      <c r="DN778" s="484">
        <v>1</v>
      </c>
      <c r="DO778" s="484">
        <v>10</v>
      </c>
      <c r="DP778" s="484">
        <v>2</v>
      </c>
      <c r="DQ778" s="484">
        <f>IF(VLOOKUP($BS778,'État &amp; Plan d''action'!$B$6:$AJ$1113,28,FALSE)="","",VLOOKUP($BS778,'État &amp; Plan d''action'!$B$6:$AJ$1113,28,FALSE))</f>
        <v>1</v>
      </c>
      <c r="DR778" s="70">
        <f>IF(VLOOKUP($BS778,'État &amp; Plan d''action'!$B$6:$AJ$1113,29,FALSE)="","",VLOOKUP($BS778,'État &amp; Plan d''action'!$B$6:$AJ$1113,29,FALSE))</f>
        <v>10</v>
      </c>
      <c r="DS778" s="70">
        <f>IF(VLOOKUP($BS778,'État &amp; Plan d''action'!$B$6:$AJ$1113,30,FALSE)="","",VLOOKUP($BS778,'État &amp; Plan d''action'!$B$6:$AJ$1113,30,FALSE))</f>
        <v>2</v>
      </c>
      <c r="DT778" s="70">
        <v>425</v>
      </c>
      <c r="DU778" s="485">
        <v>1.2681701476946832</v>
      </c>
      <c r="DV778" s="485">
        <v>1.6458571783963256</v>
      </c>
      <c r="DW778" s="70">
        <v>10</v>
      </c>
      <c r="DX778" s="70">
        <v>10</v>
      </c>
      <c r="DY778" s="70">
        <v>10</v>
      </c>
      <c r="DZ778" s="70">
        <f>VLOOKUP($BS778,'État &amp; Plan d''action'!$B$6:$AH$1113,31,FALSE)</f>
        <v>2</v>
      </c>
      <c r="EA778" s="70">
        <f>VLOOKUP($BS778,'État &amp; Plan d''action'!$B$6:$AH$1113,32,FALSE)</f>
        <v>2</v>
      </c>
      <c r="EB778" s="70">
        <f>VLOOKUP($BS778,'État &amp; Plan d''action'!$B$6:$AH$1113,33,FALSE)</f>
        <v>2</v>
      </c>
      <c r="EC778" s="70">
        <v>0</v>
      </c>
      <c r="ED778" s="70">
        <v>0</v>
      </c>
      <c r="EE778" s="70">
        <v>1.1870000000000001</v>
      </c>
      <c r="EF778" s="70">
        <v>0</v>
      </c>
      <c r="EG778" s="70">
        <v>0</v>
      </c>
      <c r="EH778" s="72">
        <v>61.189189189189193</v>
      </c>
      <c r="EI778" s="72">
        <v>1341</v>
      </c>
    </row>
    <row r="779" spans="71:139" x14ac:dyDescent="0.35">
      <c r="BS779" s="486">
        <v>13030</v>
      </c>
      <c r="BT779" s="479" t="s">
        <v>46</v>
      </c>
      <c r="BU779" s="479">
        <v>1</v>
      </c>
      <c r="BV779" s="476" t="s">
        <v>1188</v>
      </c>
      <c r="BW779" s="476" t="s">
        <v>1188</v>
      </c>
      <c r="BX779" s="476" t="s">
        <v>1188</v>
      </c>
      <c r="BY779" s="476" t="s">
        <v>1188</v>
      </c>
      <c r="BZ779" s="476" t="s">
        <v>1188</v>
      </c>
      <c r="CA779" s="476" t="s">
        <v>1188</v>
      </c>
      <c r="CB779" s="476" t="s">
        <v>1188</v>
      </c>
      <c r="CC779" s="476" t="s">
        <v>1188</v>
      </c>
      <c r="CD779" s="476" t="s">
        <v>1188</v>
      </c>
      <c r="CE779" s="476" t="s">
        <v>1187</v>
      </c>
      <c r="CF779" s="476" t="s">
        <v>1187</v>
      </c>
      <c r="CG779" s="476" t="s">
        <v>1187</v>
      </c>
      <c r="CH779" s="476" t="s">
        <v>1187</v>
      </c>
      <c r="CI779" s="476" t="s">
        <v>1187</v>
      </c>
      <c r="CJ779" s="476" t="s">
        <v>1187</v>
      </c>
      <c r="CK779" s="476" t="s">
        <v>1187</v>
      </c>
      <c r="CL779" s="476" t="s">
        <v>1187</v>
      </c>
      <c r="CM779" s="476" t="str">
        <f>IF(VLOOKUP(BS779,'Données par municipalité'!$B$6:$E$1113,4,FALSE)="","non","oui")</f>
        <v>non</v>
      </c>
      <c r="CN779" s="410" t="s">
        <v>1124</v>
      </c>
      <c r="CO779" s="410" t="s">
        <v>1124</v>
      </c>
      <c r="CP779" s="410"/>
      <c r="CQ779" s="410"/>
      <c r="CR779" s="410"/>
      <c r="CS779" s="410" t="s">
        <v>1124</v>
      </c>
      <c r="CT779" s="410"/>
      <c r="CU779" s="410" t="s">
        <v>1124</v>
      </c>
      <c r="CV779" s="410" t="str">
        <f>IF(VLOOKUP(BS779,'Données par municipalité'!$B$6:$F$1113,4,FALSE)="","",VLOOKUP(BS779,'Données par municipalité'!$B$6:$F$1113,4,FALSE))</f>
        <v/>
      </c>
      <c r="CW779" s="476" t="s">
        <v>4723</v>
      </c>
      <c r="CX779" s="483" t="s">
        <v>1124</v>
      </c>
      <c r="CY779" s="483" t="s">
        <v>1124</v>
      </c>
      <c r="CZ779" s="483" t="s">
        <v>1124</v>
      </c>
      <c r="DA779" s="483" t="s">
        <v>1124</v>
      </c>
      <c r="DB779" s="483" t="s">
        <v>1124</v>
      </c>
      <c r="DC779" s="483" t="s">
        <v>1124</v>
      </c>
      <c r="DD779" s="483" t="s">
        <v>1124</v>
      </c>
      <c r="DE779" s="483" t="str">
        <f>IFERROR(SUM(VLOOKUP($BS779,'État &amp; Plan d''action'!$B$6:$Z$1113,18,FALSE),VLOOKUP($BS779,'État &amp; Plan d''action'!$B$6:$Z$1113,20,FALSE))/(VLOOKUP($BS779,'Données par municipalité'!$B$4:$L$1113,11,FALSE)),"")</f>
        <v/>
      </c>
      <c r="DF779" s="483" t="str">
        <f>IFERROR(SUM(VLOOKUP($BS779,'État &amp; Plan d''action'!$B$6:$Z$1113,19,FALSE),VLOOKUP($BS779,'État &amp; Plan d''action'!$B$6:$Z$1113,21,FALSE))/(VLOOKUP($BS779,'Données par municipalité'!$B$4:$L$1113,11,FALSE)),"")</f>
        <v/>
      </c>
      <c r="DG779" s="476" t="s">
        <v>4723</v>
      </c>
      <c r="DH779" s="484" t="s">
        <v>1124</v>
      </c>
      <c r="DI779" s="484" t="s">
        <v>1124</v>
      </c>
      <c r="DJ779" s="484">
        <v>0</v>
      </c>
      <c r="DK779" s="484">
        <v>0</v>
      </c>
      <c r="DL779" s="484" t="s">
        <v>1124</v>
      </c>
      <c r="DM779" s="484" t="s">
        <v>1124</v>
      </c>
      <c r="DN779" s="484" t="s">
        <v>1124</v>
      </c>
      <c r="DO779" s="484" t="s">
        <v>1124</v>
      </c>
      <c r="DP779" s="484" t="s">
        <v>1124</v>
      </c>
      <c r="DQ779" s="484" t="str">
        <f>IF(VLOOKUP($BS779,'État &amp; Plan d''action'!$B$6:$AJ$1113,28,FALSE)="","",VLOOKUP($BS779,'État &amp; Plan d''action'!$B$6:$AJ$1113,28,FALSE))</f>
        <v/>
      </c>
      <c r="DR779" s="70" t="str">
        <f>IF(VLOOKUP($BS779,'État &amp; Plan d''action'!$B$6:$AJ$1113,29,FALSE)="","",VLOOKUP($BS779,'État &amp; Plan d''action'!$B$6:$AJ$1113,29,FALSE))</f>
        <v/>
      </c>
      <c r="DS779" s="70" t="str">
        <f>IF(VLOOKUP($BS779,'État &amp; Plan d''action'!$B$6:$AJ$1113,30,FALSE)="","",VLOOKUP($BS779,'État &amp; Plan d''action'!$B$6:$AJ$1113,30,FALSE))</f>
        <v/>
      </c>
      <c r="DT779" s="70" t="s">
        <v>1124</v>
      </c>
      <c r="DU779" s="485" t="s">
        <v>1124</v>
      </c>
      <c r="DV779" s="485" t="s">
        <v>1124</v>
      </c>
      <c r="DW779" s="70" t="s">
        <v>1124</v>
      </c>
      <c r="DX779" s="70" t="s">
        <v>1124</v>
      </c>
      <c r="DY779" s="70" t="s">
        <v>1124</v>
      </c>
      <c r="DZ779" s="70" t="str">
        <f>VLOOKUP($BS779,'État &amp; Plan d''action'!$B$6:$AH$1113,31,FALSE)</f>
        <v/>
      </c>
      <c r="EA779" s="70" t="str">
        <f>VLOOKUP($BS779,'État &amp; Plan d''action'!$B$6:$AH$1113,32,FALSE)</f>
        <v/>
      </c>
      <c r="EB779" s="70" t="str">
        <f>VLOOKUP($BS779,'État &amp; Plan d''action'!$B$6:$AH$1113,33,FALSE)</f>
        <v/>
      </c>
      <c r="EC779" s="70" t="s">
        <v>1124</v>
      </c>
      <c r="ED779" s="70" t="s">
        <v>1124</v>
      </c>
      <c r="EE779" s="70" t="s">
        <v>1124</v>
      </c>
      <c r="EF779" s="70" t="s">
        <v>1124</v>
      </c>
      <c r="EG779" s="70" t="s">
        <v>1124</v>
      </c>
      <c r="EH779" s="72"/>
      <c r="EI779" s="72">
        <v>579</v>
      </c>
    </row>
    <row r="780" spans="71:139" x14ac:dyDescent="0.35">
      <c r="BS780" s="486">
        <v>72005</v>
      </c>
      <c r="BT780" s="479" t="s">
        <v>727</v>
      </c>
      <c r="BU780" s="479">
        <v>15</v>
      </c>
      <c r="BV780" s="476" t="s">
        <v>1187</v>
      </c>
      <c r="BW780" s="476" t="s">
        <v>1187</v>
      </c>
      <c r="BX780" s="476" t="s">
        <v>1187</v>
      </c>
      <c r="BY780" s="476" t="s">
        <v>1187</v>
      </c>
      <c r="BZ780" s="476" t="s">
        <v>1187</v>
      </c>
      <c r="CA780" s="476" t="s">
        <v>1187</v>
      </c>
      <c r="CB780" s="476" t="s">
        <v>1187</v>
      </c>
      <c r="CC780" s="476" t="s">
        <v>1187</v>
      </c>
      <c r="CD780" s="476" t="s">
        <v>1187</v>
      </c>
      <c r="CE780" s="476" t="s">
        <v>1188</v>
      </c>
      <c r="CF780" s="476" t="s">
        <v>1188</v>
      </c>
      <c r="CG780" s="476" t="s">
        <v>1188</v>
      </c>
      <c r="CH780" s="476" t="s">
        <v>1188</v>
      </c>
      <c r="CI780" s="476" t="s">
        <v>1188</v>
      </c>
      <c r="CJ780" s="476" t="s">
        <v>1188</v>
      </c>
      <c r="CK780" s="476" t="s">
        <v>1188</v>
      </c>
      <c r="CL780" s="476" t="s">
        <v>1188</v>
      </c>
      <c r="CM780" s="476" t="str">
        <f>IF(VLOOKUP(BS780,'Données par municipalité'!$B$6:$E$1113,4,FALSE)="","non","oui")</f>
        <v>oui</v>
      </c>
      <c r="CN780" s="410">
        <v>477.10065501530863</v>
      </c>
      <c r="CO780" s="410">
        <v>492.03208818144697</v>
      </c>
      <c r="CP780" s="410">
        <v>490.94645953291757</v>
      </c>
      <c r="CQ780" s="410">
        <v>474.72654839455953</v>
      </c>
      <c r="CR780" s="410">
        <v>489.75838579338938</v>
      </c>
      <c r="CS780" s="410">
        <v>439.61021181044111</v>
      </c>
      <c r="CT780" s="410">
        <v>470.43191203787603</v>
      </c>
      <c r="CU780" s="410">
        <v>492</v>
      </c>
      <c r="CV780" s="410">
        <f>IF(VLOOKUP(BS780,'Données par municipalité'!$B$6:$F$1113,4,FALSE)="","",VLOOKUP(BS780,'Données par municipalité'!$B$6:$F$1113,4,FALSE))</f>
        <v>486</v>
      </c>
      <c r="CW780" s="476" t="s">
        <v>4723</v>
      </c>
      <c r="CX780" s="483">
        <v>0.33</v>
      </c>
      <c r="CY780" s="483">
        <v>0.75</v>
      </c>
      <c r="CZ780" s="483">
        <v>1.1100000000000001</v>
      </c>
      <c r="DA780" s="483">
        <v>0.75</v>
      </c>
      <c r="DB780" s="483">
        <v>1</v>
      </c>
      <c r="DC780" s="483">
        <v>1</v>
      </c>
      <c r="DD780" s="483">
        <v>2.3696392270200102</v>
      </c>
      <c r="DE780" s="483">
        <f>IFERROR(SUM(VLOOKUP($BS780,'État &amp; Plan d''action'!$B$6:$Z$1113,18,FALSE),VLOOKUP($BS780,'État &amp; Plan d''action'!$B$6:$Z$1113,20,FALSE))/(VLOOKUP($BS780,'Données par municipalité'!$B$4:$L$1113,11,FALSE)),"")</f>
        <v>2.3696856584419592</v>
      </c>
      <c r="DF780" s="483">
        <f>IFERROR(SUM(VLOOKUP($BS780,'État &amp; Plan d''action'!$B$6:$Z$1113,19,FALSE),VLOOKUP($BS780,'État &amp; Plan d''action'!$B$6:$Z$1113,21,FALSE))/(VLOOKUP($BS780,'Données par municipalité'!$B$4:$L$1113,11,FALSE)),"")</f>
        <v>2.3696856584419592</v>
      </c>
      <c r="DG780" s="476" t="s">
        <v>4723</v>
      </c>
      <c r="DH780" s="484">
        <v>15</v>
      </c>
      <c r="DI780" s="484">
        <v>32</v>
      </c>
      <c r="DJ780" s="484">
        <v>86</v>
      </c>
      <c r="DK780" s="484">
        <v>78</v>
      </c>
      <c r="DL780" s="484">
        <v>35</v>
      </c>
      <c r="DM780" s="484">
        <v>53</v>
      </c>
      <c r="DN780" s="484">
        <v>35</v>
      </c>
      <c r="DO780" s="484">
        <v>7</v>
      </c>
      <c r="DP780" s="484">
        <v>7</v>
      </c>
      <c r="DQ780" s="484">
        <f>IF(VLOOKUP($BS780,'État &amp; Plan d''action'!$B$6:$AJ$1113,28,FALSE)="","",VLOOKUP($BS780,'État &amp; Plan d''action'!$B$6:$AJ$1113,28,FALSE))</f>
        <v>23</v>
      </c>
      <c r="DR780" s="70">
        <f>IF(VLOOKUP($BS780,'État &amp; Plan d''action'!$B$6:$AJ$1113,29,FALSE)="","",VLOOKUP($BS780,'État &amp; Plan d''action'!$B$6:$AJ$1113,29,FALSE))</f>
        <v>4</v>
      </c>
      <c r="DS780" s="70">
        <f>IF(VLOOKUP($BS780,'État &amp; Plan d''action'!$B$6:$AJ$1113,30,FALSE)="","",VLOOKUP($BS780,'État &amp; Plan d''action'!$B$6:$AJ$1113,30,FALSE))</f>
        <v>18</v>
      </c>
      <c r="DT780" s="70">
        <v>235</v>
      </c>
      <c r="DU780" s="485">
        <v>6.513571532306476</v>
      </c>
      <c r="DV780" s="485">
        <v>3.6583895620118154</v>
      </c>
      <c r="DW780" s="70">
        <v>10</v>
      </c>
      <c r="DX780" s="70">
        <v>10</v>
      </c>
      <c r="DY780" s="70">
        <v>30</v>
      </c>
      <c r="DZ780" s="70">
        <f>VLOOKUP($BS780,'État &amp; Plan d''action'!$B$6:$AH$1113,31,FALSE)</f>
        <v>7</v>
      </c>
      <c r="EA780" s="70">
        <f>VLOOKUP($BS780,'État &amp; Plan d''action'!$B$6:$AH$1113,32,FALSE)</f>
        <v>7</v>
      </c>
      <c r="EB780" s="70">
        <f>VLOOKUP($BS780,'État &amp; Plan d''action'!$B$6:$AH$1113,33,FALSE)</f>
        <v>30</v>
      </c>
      <c r="EC780" s="70">
        <v>0</v>
      </c>
      <c r="ED780" s="70">
        <v>193.5</v>
      </c>
      <c r="EE780" s="70">
        <v>290.25</v>
      </c>
      <c r="EF780" s="70">
        <v>1.5</v>
      </c>
      <c r="EG780" s="70">
        <v>0</v>
      </c>
      <c r="EH780" s="72">
        <v>59</v>
      </c>
      <c r="EI780" s="72">
        <v>44871</v>
      </c>
    </row>
    <row r="781" spans="71:139" x14ac:dyDescent="0.35">
      <c r="BS781" s="486">
        <v>29025</v>
      </c>
      <c r="BT781" s="479" t="s">
        <v>204</v>
      </c>
      <c r="BU781" s="479">
        <v>12</v>
      </c>
      <c r="BV781" s="476" t="s">
        <v>1188</v>
      </c>
      <c r="BW781" s="476" t="s">
        <v>1188</v>
      </c>
      <c r="BX781" s="476" t="s">
        <v>1188</v>
      </c>
      <c r="BY781" s="476" t="s">
        <v>1188</v>
      </c>
      <c r="BZ781" s="476" t="s">
        <v>1188</v>
      </c>
      <c r="CA781" s="476" t="s">
        <v>1188</v>
      </c>
      <c r="CB781" s="476" t="s">
        <v>1188</v>
      </c>
      <c r="CC781" s="476" t="s">
        <v>1188</v>
      </c>
      <c r="CD781" s="476" t="s">
        <v>1188</v>
      </c>
      <c r="CE781" s="476" t="s">
        <v>1187</v>
      </c>
      <c r="CF781" s="476" t="s">
        <v>1187</v>
      </c>
      <c r="CG781" s="476" t="s">
        <v>1187</v>
      </c>
      <c r="CH781" s="476" t="s">
        <v>1187</v>
      </c>
      <c r="CI781" s="476" t="s">
        <v>1187</v>
      </c>
      <c r="CJ781" s="476" t="s">
        <v>1187</v>
      </c>
      <c r="CK781" s="476" t="s">
        <v>1187</v>
      </c>
      <c r="CL781" s="476" t="s">
        <v>1187</v>
      </c>
      <c r="CM781" s="476" t="str">
        <f>IF(VLOOKUP(BS781,'Données par municipalité'!$B$6:$E$1113,4,FALSE)="","non","oui")</f>
        <v>non</v>
      </c>
      <c r="CN781" s="410" t="s">
        <v>1124</v>
      </c>
      <c r="CO781" s="410" t="s">
        <v>1124</v>
      </c>
      <c r="CP781" s="410"/>
      <c r="CQ781" s="410"/>
      <c r="CR781" s="410"/>
      <c r="CS781" s="410" t="s">
        <v>1124</v>
      </c>
      <c r="CT781" s="410"/>
      <c r="CU781" s="410" t="s">
        <v>1124</v>
      </c>
      <c r="CV781" s="410" t="str">
        <f>IF(VLOOKUP(BS781,'Données par municipalité'!$B$6:$F$1113,4,FALSE)="","",VLOOKUP(BS781,'Données par municipalité'!$B$6:$F$1113,4,FALSE))</f>
        <v/>
      </c>
      <c r="CW781" s="476" t="s">
        <v>4723</v>
      </c>
      <c r="CX781" s="483" t="s">
        <v>1124</v>
      </c>
      <c r="CY781" s="483" t="s">
        <v>1124</v>
      </c>
      <c r="CZ781" s="483" t="s">
        <v>1124</v>
      </c>
      <c r="DA781" s="483" t="s">
        <v>1124</v>
      </c>
      <c r="DB781" s="483" t="s">
        <v>1124</v>
      </c>
      <c r="DC781" s="483" t="s">
        <v>1124</v>
      </c>
      <c r="DD781" s="483" t="s">
        <v>1124</v>
      </c>
      <c r="DE781" s="483" t="str">
        <f>IFERROR(SUM(VLOOKUP($BS781,'État &amp; Plan d''action'!$B$6:$Z$1113,18,FALSE),VLOOKUP($BS781,'État &amp; Plan d''action'!$B$6:$Z$1113,20,FALSE))/(VLOOKUP($BS781,'Données par municipalité'!$B$4:$L$1113,11,FALSE)),"")</f>
        <v/>
      </c>
      <c r="DF781" s="483" t="str">
        <f>IFERROR(SUM(VLOOKUP($BS781,'État &amp; Plan d''action'!$B$6:$Z$1113,19,FALSE),VLOOKUP($BS781,'État &amp; Plan d''action'!$B$6:$Z$1113,21,FALSE))/(VLOOKUP($BS781,'Données par municipalité'!$B$4:$L$1113,11,FALSE)),"")</f>
        <v/>
      </c>
      <c r="DG781" s="476" t="s">
        <v>4723</v>
      </c>
      <c r="DH781" s="484" t="s">
        <v>1124</v>
      </c>
      <c r="DI781" s="484" t="s">
        <v>1124</v>
      </c>
      <c r="DJ781" s="484">
        <v>0</v>
      </c>
      <c r="DK781" s="484">
        <v>0</v>
      </c>
      <c r="DL781" s="484" t="s">
        <v>1124</v>
      </c>
      <c r="DM781" s="484" t="s">
        <v>1124</v>
      </c>
      <c r="DN781" s="484" t="s">
        <v>1124</v>
      </c>
      <c r="DO781" s="484" t="s">
        <v>1124</v>
      </c>
      <c r="DP781" s="484" t="s">
        <v>1124</v>
      </c>
      <c r="DQ781" s="484" t="str">
        <f>IF(VLOOKUP($BS781,'État &amp; Plan d''action'!$B$6:$AJ$1113,28,FALSE)="","",VLOOKUP($BS781,'État &amp; Plan d''action'!$B$6:$AJ$1113,28,FALSE))</f>
        <v/>
      </c>
      <c r="DR781" s="70" t="str">
        <f>IF(VLOOKUP($BS781,'État &amp; Plan d''action'!$B$6:$AJ$1113,29,FALSE)="","",VLOOKUP($BS781,'État &amp; Plan d''action'!$B$6:$AJ$1113,29,FALSE))</f>
        <v/>
      </c>
      <c r="DS781" s="70" t="str">
        <f>IF(VLOOKUP($BS781,'État &amp; Plan d''action'!$B$6:$AJ$1113,30,FALSE)="","",VLOOKUP($BS781,'État &amp; Plan d''action'!$B$6:$AJ$1113,30,FALSE))</f>
        <v/>
      </c>
      <c r="DT781" s="70" t="s">
        <v>1124</v>
      </c>
      <c r="DU781" s="485" t="s">
        <v>1124</v>
      </c>
      <c r="DV781" s="485" t="s">
        <v>1124</v>
      </c>
      <c r="DW781" s="70" t="s">
        <v>1124</v>
      </c>
      <c r="DX781" s="70" t="s">
        <v>1124</v>
      </c>
      <c r="DY781" s="70" t="s">
        <v>1124</v>
      </c>
      <c r="DZ781" s="70" t="str">
        <f>VLOOKUP($BS781,'État &amp; Plan d''action'!$B$6:$AH$1113,31,FALSE)</f>
        <v/>
      </c>
      <c r="EA781" s="70" t="str">
        <f>VLOOKUP($BS781,'État &amp; Plan d''action'!$B$6:$AH$1113,32,FALSE)</f>
        <v/>
      </c>
      <c r="EB781" s="70" t="str">
        <f>VLOOKUP($BS781,'État &amp; Plan d''action'!$B$6:$AH$1113,33,FALSE)</f>
        <v/>
      </c>
      <c r="EC781" s="70" t="s">
        <v>1124</v>
      </c>
      <c r="ED781" s="70" t="s">
        <v>1124</v>
      </c>
      <c r="EE781" s="70" t="s">
        <v>1124</v>
      </c>
      <c r="EF781" s="70" t="s">
        <v>1124</v>
      </c>
      <c r="EG781" s="70" t="s">
        <v>1124</v>
      </c>
      <c r="EH781" s="72"/>
      <c r="EI781" s="72">
        <v>548</v>
      </c>
    </row>
    <row r="782" spans="71:139" x14ac:dyDescent="0.35">
      <c r="BS782" s="486">
        <v>53025</v>
      </c>
      <c r="BT782" s="479" t="s">
        <v>534</v>
      </c>
      <c r="BU782" s="479">
        <v>16</v>
      </c>
      <c r="BV782" s="476" t="s">
        <v>1187</v>
      </c>
      <c r="BW782" s="476" t="s">
        <v>1187</v>
      </c>
      <c r="BX782" s="476" t="s">
        <v>1187</v>
      </c>
      <c r="BY782" s="476" t="s">
        <v>1187</v>
      </c>
      <c r="BZ782" s="476" t="s">
        <v>1187</v>
      </c>
      <c r="CA782" s="476" t="s">
        <v>1187</v>
      </c>
      <c r="CB782" s="476" t="s">
        <v>1187</v>
      </c>
      <c r="CC782" s="476" t="s">
        <v>1187</v>
      </c>
      <c r="CD782" s="476" t="s">
        <v>1187</v>
      </c>
      <c r="CE782" s="476" t="s">
        <v>1188</v>
      </c>
      <c r="CF782" s="476" t="s">
        <v>1188</v>
      </c>
      <c r="CG782" s="476" t="s">
        <v>1188</v>
      </c>
      <c r="CH782" s="476" t="s">
        <v>1188</v>
      </c>
      <c r="CI782" s="476" t="s">
        <v>1188</v>
      </c>
      <c r="CJ782" s="476" t="s">
        <v>1187</v>
      </c>
      <c r="CK782" s="476" t="s">
        <v>1188</v>
      </c>
      <c r="CL782" s="476" t="s">
        <v>1188</v>
      </c>
      <c r="CM782" s="476" t="str">
        <f>IF(VLOOKUP(BS782,'Données par municipalité'!$B$6:$E$1113,4,FALSE)="","non","oui")</f>
        <v>non</v>
      </c>
      <c r="CN782" s="410">
        <v>424.38164913348993</v>
      </c>
      <c r="CO782" s="410">
        <v>396.25172948723326</v>
      </c>
      <c r="CP782" s="410">
        <v>336.37426900584796</v>
      </c>
      <c r="CQ782" s="410">
        <v>353.33413253961146</v>
      </c>
      <c r="CR782" s="410">
        <v>489</v>
      </c>
      <c r="CS782" s="410" t="s">
        <v>1124</v>
      </c>
      <c r="CT782" s="410">
        <v>483.86417636620649</v>
      </c>
      <c r="CU782" s="410">
        <v>391</v>
      </c>
      <c r="CV782" s="410" t="str">
        <f>IF(VLOOKUP(BS782,'Données par municipalité'!$B$6:$F$1113,4,FALSE)="","",VLOOKUP(BS782,'Données par municipalité'!$B$6:$F$1113,4,FALSE))</f>
        <v/>
      </c>
      <c r="CW782" s="476" t="s">
        <v>4723</v>
      </c>
      <c r="CX782" s="483">
        <v>1</v>
      </c>
      <c r="CY782" s="483">
        <v>0</v>
      </c>
      <c r="CZ782" s="483">
        <v>0</v>
      </c>
      <c r="DA782" s="483">
        <v>0</v>
      </c>
      <c r="DB782" s="483" t="s">
        <v>1124</v>
      </c>
      <c r="DC782" s="483">
        <v>0</v>
      </c>
      <c r="DD782" s="483">
        <v>1</v>
      </c>
      <c r="DE782" s="483" t="str">
        <f>IFERROR(SUM(VLOOKUP($BS782,'État &amp; Plan d''action'!$B$6:$Z$1113,18,FALSE),VLOOKUP($BS782,'État &amp; Plan d''action'!$B$6:$Z$1113,20,FALSE))/(VLOOKUP($BS782,'Données par municipalité'!$B$4:$L$1113,11,FALSE)),"")</f>
        <v/>
      </c>
      <c r="DF782" s="483" t="str">
        <f>IFERROR(SUM(VLOOKUP($BS782,'État &amp; Plan d''action'!$B$6:$Z$1113,19,FALSE),VLOOKUP($BS782,'État &amp; Plan d''action'!$B$6:$Z$1113,21,FALSE))/(VLOOKUP($BS782,'Données par municipalité'!$B$4:$L$1113,11,FALSE)),"")</f>
        <v/>
      </c>
      <c r="DG782" s="476" t="s">
        <v>4723</v>
      </c>
      <c r="DH782" s="484">
        <v>2</v>
      </c>
      <c r="DI782" s="484">
        <v>4</v>
      </c>
      <c r="DJ782" s="484">
        <v>4</v>
      </c>
      <c r="DK782" s="484">
        <v>3</v>
      </c>
      <c r="DL782" s="484" t="s">
        <v>1124</v>
      </c>
      <c r="DM782" s="484">
        <v>5</v>
      </c>
      <c r="DN782" s="484">
        <v>3</v>
      </c>
      <c r="DO782" s="484">
        <v>0</v>
      </c>
      <c r="DP782" s="484">
        <v>0</v>
      </c>
      <c r="DQ782" s="484" t="str">
        <f>IF(VLOOKUP($BS782,'État &amp; Plan d''action'!$B$6:$AJ$1113,28,FALSE)="","",VLOOKUP($BS782,'État &amp; Plan d''action'!$B$6:$AJ$1113,28,FALSE))</f>
        <v/>
      </c>
      <c r="DR782" s="70" t="str">
        <f>IF(VLOOKUP($BS782,'État &amp; Plan d''action'!$B$6:$AJ$1113,29,FALSE)="","",VLOOKUP($BS782,'État &amp; Plan d''action'!$B$6:$AJ$1113,29,FALSE))</f>
        <v/>
      </c>
      <c r="DS782" s="70" t="str">
        <f>IF(VLOOKUP($BS782,'État &amp; Plan d''action'!$B$6:$AJ$1113,30,FALSE)="","",VLOOKUP($BS782,'État &amp; Plan d''action'!$B$6:$AJ$1113,30,FALSE))</f>
        <v/>
      </c>
      <c r="DT782" s="70">
        <v>239</v>
      </c>
      <c r="DU782" s="485">
        <v>1.8886160190024048</v>
      </c>
      <c r="DV782" s="485" t="s">
        <v>1124</v>
      </c>
      <c r="DW782" s="70">
        <v>1</v>
      </c>
      <c r="DX782" s="70">
        <v>0</v>
      </c>
      <c r="DY782" s="70">
        <v>0</v>
      </c>
      <c r="DZ782" s="70" t="str">
        <f>VLOOKUP($BS782,'État &amp; Plan d''action'!$B$6:$AH$1113,31,FALSE)</f>
        <v/>
      </c>
      <c r="EA782" s="70" t="str">
        <f>VLOOKUP($BS782,'État &amp; Plan d''action'!$B$6:$AH$1113,32,FALSE)</f>
        <v/>
      </c>
      <c r="EB782" s="70" t="str">
        <f>VLOOKUP($BS782,'État &amp; Plan d''action'!$B$6:$AH$1113,33,FALSE)</f>
        <v/>
      </c>
      <c r="EC782" s="70">
        <v>0</v>
      </c>
      <c r="ED782" s="70">
        <v>48.271999999999998</v>
      </c>
      <c r="EE782" s="70">
        <v>0</v>
      </c>
      <c r="EF782" s="70">
        <v>0</v>
      </c>
      <c r="EG782" s="70">
        <v>0</v>
      </c>
      <c r="EH782" s="72">
        <v>58.23333333333332</v>
      </c>
      <c r="EI782" s="72">
        <v>2474</v>
      </c>
    </row>
    <row r="783" spans="71:139" x14ac:dyDescent="0.35">
      <c r="BS783" s="486">
        <v>10070</v>
      </c>
      <c r="BT783" s="479" t="s">
        <v>15</v>
      </c>
      <c r="BU783" s="479">
        <v>1</v>
      </c>
      <c r="BV783" s="476" t="s">
        <v>1187</v>
      </c>
      <c r="BW783" s="476" t="s">
        <v>1187</v>
      </c>
      <c r="BX783" s="476" t="s">
        <v>1187</v>
      </c>
      <c r="BY783" s="476" t="s">
        <v>1187</v>
      </c>
      <c r="BZ783" s="476" t="s">
        <v>1187</v>
      </c>
      <c r="CA783" s="476" t="s">
        <v>1187</v>
      </c>
      <c r="CB783" s="476" t="s">
        <v>1187</v>
      </c>
      <c r="CC783" s="476" t="s">
        <v>1187</v>
      </c>
      <c r="CD783" s="476" t="s">
        <v>1187</v>
      </c>
      <c r="CE783" s="476" t="s">
        <v>1188</v>
      </c>
      <c r="CF783" s="476" t="s">
        <v>1188</v>
      </c>
      <c r="CG783" s="476" t="s">
        <v>1188</v>
      </c>
      <c r="CH783" s="476" t="s">
        <v>1187</v>
      </c>
      <c r="CI783" s="476" t="s">
        <v>1187</v>
      </c>
      <c r="CJ783" s="476" t="s">
        <v>1187</v>
      </c>
      <c r="CK783" s="476" t="s">
        <v>1188</v>
      </c>
      <c r="CL783" s="476" t="s">
        <v>1187</v>
      </c>
      <c r="CM783" s="476" t="str">
        <f>IF(VLOOKUP(BS783,'Données par municipalité'!$B$6:$E$1113,4,FALSE)="","non","oui")</f>
        <v>oui</v>
      </c>
      <c r="CN783" s="410">
        <v>527.74253412448422</v>
      </c>
      <c r="CO783" s="410">
        <v>554.68327909436573</v>
      </c>
      <c r="CP783" s="410">
        <v>626.27313459605352</v>
      </c>
      <c r="CQ783" s="410"/>
      <c r="CR783" s="410"/>
      <c r="CS783" s="410" t="s">
        <v>1124</v>
      </c>
      <c r="CT783" s="410">
        <v>509.38573274825615</v>
      </c>
      <c r="CU783" s="410" t="s">
        <v>1124</v>
      </c>
      <c r="CV783" s="410">
        <f>IF(VLOOKUP(BS783,'Données par municipalité'!$B$6:$F$1113,4,FALSE)="","",VLOOKUP(BS783,'Données par municipalité'!$B$6:$F$1113,4,FALSE))</f>
        <v>662</v>
      </c>
      <c r="CW783" s="476" t="s">
        <v>4723</v>
      </c>
      <c r="CX783" s="483">
        <v>0.3</v>
      </c>
      <c r="CY783" s="483">
        <v>0</v>
      </c>
      <c r="CZ783" s="483" t="s">
        <v>1124</v>
      </c>
      <c r="DA783" s="483" t="s">
        <v>1124</v>
      </c>
      <c r="DB783" s="483" t="s">
        <v>1124</v>
      </c>
      <c r="DC783" s="483">
        <v>0</v>
      </c>
      <c r="DD783" s="483" t="s">
        <v>1124</v>
      </c>
      <c r="DE783" s="483">
        <f>IFERROR(SUM(VLOOKUP($BS783,'État &amp; Plan d''action'!$B$6:$Z$1113,18,FALSE),VLOOKUP($BS783,'État &amp; Plan d''action'!$B$6:$Z$1113,20,FALSE))/(VLOOKUP($BS783,'Données par municipalité'!$B$4:$L$1113,11,FALSE)),"")</f>
        <v>1</v>
      </c>
      <c r="DF783" s="483">
        <f>IFERROR(SUM(VLOOKUP($BS783,'État &amp; Plan d''action'!$B$6:$Z$1113,19,FALSE),VLOOKUP($BS783,'État &amp; Plan d''action'!$B$6:$Z$1113,21,FALSE))/(VLOOKUP($BS783,'Données par municipalité'!$B$4:$L$1113,11,FALSE)),"")</f>
        <v>1</v>
      </c>
      <c r="DG783" s="476" t="s">
        <v>4723</v>
      </c>
      <c r="DH783" s="484">
        <v>2</v>
      </c>
      <c r="DI783" s="484">
        <v>0</v>
      </c>
      <c r="DJ783" s="484">
        <v>0</v>
      </c>
      <c r="DK783" s="484">
        <v>0</v>
      </c>
      <c r="DL783" s="484" t="s">
        <v>1124</v>
      </c>
      <c r="DM783" s="484">
        <v>3</v>
      </c>
      <c r="DN783" s="484" t="s">
        <v>1124</v>
      </c>
      <c r="DO783" s="484" t="s">
        <v>1124</v>
      </c>
      <c r="DP783" s="484" t="s">
        <v>1124</v>
      </c>
      <c r="DQ783" s="484">
        <f>IF(VLOOKUP($BS783,'État &amp; Plan d''action'!$B$6:$AJ$1113,28,FALSE)="","",VLOOKUP($BS783,'État &amp; Plan d''action'!$B$6:$AJ$1113,28,FALSE))</f>
        <v>0</v>
      </c>
      <c r="DR783" s="70">
        <f>IF(VLOOKUP($BS783,'État &amp; Plan d''action'!$B$6:$AJ$1113,29,FALSE)="","",VLOOKUP($BS783,'État &amp; Plan d''action'!$B$6:$AJ$1113,29,FALSE))</f>
        <v>0</v>
      </c>
      <c r="DS783" s="70">
        <f>IF(VLOOKUP($BS783,'État &amp; Plan d''action'!$B$6:$AJ$1113,30,FALSE)="","",VLOOKUP($BS783,'État &amp; Plan d''action'!$B$6:$AJ$1113,30,FALSE))</f>
        <v>0</v>
      </c>
      <c r="DT783" s="70" t="s">
        <v>1124</v>
      </c>
      <c r="DU783" s="485" t="s">
        <v>1124</v>
      </c>
      <c r="DV783" s="485">
        <v>5.5201212034654645</v>
      </c>
      <c r="DW783" s="70" t="s">
        <v>1124</v>
      </c>
      <c r="DX783" s="70" t="s">
        <v>1124</v>
      </c>
      <c r="DY783" s="70" t="s">
        <v>1124</v>
      </c>
      <c r="DZ783" s="70">
        <f>VLOOKUP($BS783,'État &amp; Plan d''action'!$B$6:$AH$1113,31,FALSE)</f>
        <v>0</v>
      </c>
      <c r="EA783" s="70">
        <f>VLOOKUP($BS783,'État &amp; Plan d''action'!$B$6:$AH$1113,32,FALSE)</f>
        <v>0</v>
      </c>
      <c r="EB783" s="70">
        <f>VLOOKUP($BS783,'État &amp; Plan d''action'!$B$6:$AH$1113,33,FALSE)</f>
        <v>0</v>
      </c>
      <c r="EC783" s="70" t="s">
        <v>1124</v>
      </c>
      <c r="ED783" s="70" t="s">
        <v>1124</v>
      </c>
      <c r="EE783" s="70" t="s">
        <v>1124</v>
      </c>
      <c r="EF783" s="70" t="s">
        <v>1124</v>
      </c>
      <c r="EG783" s="70" t="s">
        <v>1124</v>
      </c>
      <c r="EH783" s="72"/>
      <c r="EI783" s="72">
        <v>1806</v>
      </c>
    </row>
    <row r="784" spans="71:139" x14ac:dyDescent="0.35">
      <c r="BS784" s="486">
        <v>18015</v>
      </c>
      <c r="BT784" s="479" t="s">
        <v>106</v>
      </c>
      <c r="BU784" s="479">
        <v>12</v>
      </c>
      <c r="BV784" s="476" t="s">
        <v>1187</v>
      </c>
      <c r="BW784" s="476" t="s">
        <v>1187</v>
      </c>
      <c r="BX784" s="476" t="s">
        <v>1187</v>
      </c>
      <c r="BY784" s="476" t="s">
        <v>1187</v>
      </c>
      <c r="BZ784" s="476" t="s">
        <v>1187</v>
      </c>
      <c r="CA784" s="476" t="s">
        <v>1187</v>
      </c>
      <c r="CB784" s="476" t="s">
        <v>1187</v>
      </c>
      <c r="CC784" s="476" t="s">
        <v>1187</v>
      </c>
      <c r="CD784" s="476" t="s">
        <v>1187</v>
      </c>
      <c r="CE784" s="476" t="s">
        <v>1188</v>
      </c>
      <c r="CF784" s="476" t="s">
        <v>1188</v>
      </c>
      <c r="CG784" s="476" t="s">
        <v>1188</v>
      </c>
      <c r="CH784" s="476" t="s">
        <v>1188</v>
      </c>
      <c r="CI784" s="476" t="s">
        <v>1188</v>
      </c>
      <c r="CJ784" s="476" t="s">
        <v>1188</v>
      </c>
      <c r="CK784" s="476" t="s">
        <v>1188</v>
      </c>
      <c r="CL784" s="476" t="s">
        <v>1188</v>
      </c>
      <c r="CM784" s="476" t="str">
        <f>IF(VLOOKUP(BS784,'Données par municipalité'!$B$6:$E$1113,4,FALSE)="","non","oui")</f>
        <v>oui</v>
      </c>
      <c r="CN784" s="410">
        <v>284.43959146758431</v>
      </c>
      <c r="CO784" s="410">
        <v>340.56201231916504</v>
      </c>
      <c r="CP784" s="410">
        <v>314.72384299486424</v>
      </c>
      <c r="CQ784" s="410">
        <v>288.49887867343676</v>
      </c>
      <c r="CR784" s="410">
        <v>304.02027125423535</v>
      </c>
      <c r="CS784" s="410">
        <v>309.70462113925129</v>
      </c>
      <c r="CT784" s="410">
        <v>266.48591441164319</v>
      </c>
      <c r="CU784" s="410">
        <v>268</v>
      </c>
      <c r="CV784" s="410">
        <f>IF(VLOOKUP(BS784,'Données par municipalité'!$B$6:$F$1113,4,FALSE)="","",VLOOKUP(BS784,'Données par municipalité'!$B$6:$F$1113,4,FALSE))</f>
        <v>248</v>
      </c>
      <c r="CW784" s="476" t="s">
        <v>4723</v>
      </c>
      <c r="CX784" s="483">
        <v>0</v>
      </c>
      <c r="CY784" s="483">
        <v>0</v>
      </c>
      <c r="CZ784" s="483">
        <v>0</v>
      </c>
      <c r="DA784" s="483">
        <v>0</v>
      </c>
      <c r="DB784" s="483">
        <v>0</v>
      </c>
      <c r="DC784" s="483">
        <v>1</v>
      </c>
      <c r="DD784" s="483">
        <v>1</v>
      </c>
      <c r="DE784" s="483">
        <f>IFERROR(SUM(VLOOKUP($BS784,'État &amp; Plan d''action'!$B$6:$Z$1113,18,FALSE),VLOOKUP($BS784,'État &amp; Plan d''action'!$B$6:$Z$1113,20,FALSE))/(VLOOKUP($BS784,'Données par municipalité'!$B$4:$L$1113,11,FALSE)),"")</f>
        <v>0</v>
      </c>
      <c r="DF784" s="483">
        <f>IFERROR(SUM(VLOOKUP($BS784,'État &amp; Plan d''action'!$B$6:$Z$1113,19,FALSE),VLOOKUP($BS784,'État &amp; Plan d''action'!$B$6:$Z$1113,21,FALSE))/(VLOOKUP($BS784,'Données par municipalité'!$B$4:$L$1113,11,FALSE)),"")</f>
        <v>1</v>
      </c>
      <c r="DG784" s="476" t="s">
        <v>4723</v>
      </c>
      <c r="DH784" s="484">
        <v>0</v>
      </c>
      <c r="DI784" s="484">
        <v>1</v>
      </c>
      <c r="DJ784" s="484">
        <v>0</v>
      </c>
      <c r="DK784" s="484">
        <v>0</v>
      </c>
      <c r="DL784" s="484">
        <v>1</v>
      </c>
      <c r="DM784" s="484">
        <v>0</v>
      </c>
      <c r="DN784" s="484">
        <v>0</v>
      </c>
      <c r="DO784" s="484">
        <v>0</v>
      </c>
      <c r="DP784" s="484">
        <v>1</v>
      </c>
      <c r="DQ784" s="484">
        <f>IF(VLOOKUP($BS784,'État &amp; Plan d''action'!$B$6:$AJ$1113,28,FALSE)="","",VLOOKUP($BS784,'État &amp; Plan d''action'!$B$6:$AJ$1113,28,FALSE))</f>
        <v>0</v>
      </c>
      <c r="DR784" s="70">
        <f>IF(VLOOKUP($BS784,'État &amp; Plan d''action'!$B$6:$AJ$1113,29,FALSE)="","",VLOOKUP($BS784,'État &amp; Plan d''action'!$B$6:$AJ$1113,29,FALSE))</f>
        <v>0</v>
      </c>
      <c r="DS784" s="70">
        <f>IF(VLOOKUP($BS784,'État &amp; Plan d''action'!$B$6:$AJ$1113,30,FALSE)="","",VLOOKUP($BS784,'État &amp; Plan d''action'!$B$6:$AJ$1113,30,FALSE))</f>
        <v>0</v>
      </c>
      <c r="DT784" s="70">
        <v>188</v>
      </c>
      <c r="DU784" s="485">
        <v>2.0607231487203173</v>
      </c>
      <c r="DV784" s="485">
        <v>2.0665446118641251</v>
      </c>
      <c r="DW784" s="70">
        <v>0</v>
      </c>
      <c r="DX784" s="70">
        <v>0</v>
      </c>
      <c r="DY784" s="70">
        <v>5</v>
      </c>
      <c r="DZ784" s="70">
        <f>VLOOKUP($BS784,'État &amp; Plan d''action'!$B$6:$AH$1113,31,FALSE)</f>
        <v>0</v>
      </c>
      <c r="EA784" s="70">
        <f>VLOOKUP($BS784,'État &amp; Plan d''action'!$B$6:$AH$1113,32,FALSE)</f>
        <v>0</v>
      </c>
      <c r="EB784" s="70">
        <f>VLOOKUP($BS784,'État &amp; Plan d''action'!$B$6:$AH$1113,33,FALSE)</f>
        <v>0</v>
      </c>
      <c r="EC784" s="70">
        <v>0</v>
      </c>
      <c r="ED784" s="70">
        <v>4.3380000000000001</v>
      </c>
      <c r="EE784" s="70">
        <v>0</v>
      </c>
      <c r="EF784" s="70">
        <v>0</v>
      </c>
      <c r="EG784" s="70">
        <v>0</v>
      </c>
      <c r="EH784" s="72">
        <v>58</v>
      </c>
      <c r="EI784" s="72">
        <v>972</v>
      </c>
    </row>
    <row r="785" spans="71:139" x14ac:dyDescent="0.35">
      <c r="BS785" s="486">
        <v>78047</v>
      </c>
      <c r="BT785" s="479" t="s">
        <v>772</v>
      </c>
      <c r="BU785" s="479">
        <v>15</v>
      </c>
      <c r="BV785" s="476" t="s">
        <v>1187</v>
      </c>
      <c r="BW785" s="476" t="s">
        <v>1187</v>
      </c>
      <c r="BX785" s="476" t="s">
        <v>1187</v>
      </c>
      <c r="BY785" s="476" t="s">
        <v>1187</v>
      </c>
      <c r="BZ785" s="476" t="s">
        <v>1187</v>
      </c>
      <c r="CA785" s="476" t="s">
        <v>1187</v>
      </c>
      <c r="CB785" s="476" t="s">
        <v>1187</v>
      </c>
      <c r="CC785" s="476" t="s">
        <v>1187</v>
      </c>
      <c r="CD785" s="476" t="s">
        <v>1187</v>
      </c>
      <c r="CE785" s="476" t="s">
        <v>1187</v>
      </c>
      <c r="CF785" s="476" t="s">
        <v>1187</v>
      </c>
      <c r="CG785" s="476" t="s">
        <v>1187</v>
      </c>
      <c r="CH785" s="476" t="s">
        <v>1187</v>
      </c>
      <c r="CI785" s="476" t="s">
        <v>1187</v>
      </c>
      <c r="CJ785" s="476" t="s">
        <v>1188</v>
      </c>
      <c r="CK785" s="476" t="s">
        <v>1187</v>
      </c>
      <c r="CL785" s="476" t="s">
        <v>1187</v>
      </c>
      <c r="CM785" s="476" t="str">
        <f>IF(VLOOKUP(BS785,'Données par municipalité'!$B$6:$E$1113,4,FALSE)="","non","oui")</f>
        <v>oui</v>
      </c>
      <c r="CN785" s="410" t="s">
        <v>1124</v>
      </c>
      <c r="CO785" s="410" t="s">
        <v>1124</v>
      </c>
      <c r="CP785" s="410"/>
      <c r="CQ785" s="410"/>
      <c r="CR785" s="410"/>
      <c r="CS785" s="410">
        <v>532.79546350163344</v>
      </c>
      <c r="CT785" s="410"/>
      <c r="CU785" s="410" t="s">
        <v>1124</v>
      </c>
      <c r="CV785" s="410">
        <f>IF(VLOOKUP(BS785,'Données par municipalité'!$B$6:$F$1113,4,FALSE)="","",VLOOKUP(BS785,'Données par municipalité'!$B$6:$F$1113,4,FALSE))</f>
        <v>607</v>
      </c>
      <c r="CW785" s="476" t="s">
        <v>4723</v>
      </c>
      <c r="CX785" s="483" t="s">
        <v>1124</v>
      </c>
      <c r="CY785" s="483" t="s">
        <v>1124</v>
      </c>
      <c r="CZ785" s="483" t="s">
        <v>1124</v>
      </c>
      <c r="DA785" s="483" t="s">
        <v>1124</v>
      </c>
      <c r="DB785" s="483">
        <v>0</v>
      </c>
      <c r="DC785" s="483" t="s">
        <v>1124</v>
      </c>
      <c r="DD785" s="483" t="s">
        <v>1124</v>
      </c>
      <c r="DE785" s="483">
        <f>IFERROR(SUM(VLOOKUP($BS785,'État &amp; Plan d''action'!$B$6:$Z$1113,18,FALSE),VLOOKUP($BS785,'État &amp; Plan d''action'!$B$6:$Z$1113,20,FALSE))/(VLOOKUP($BS785,'Données par municipalité'!$B$4:$L$1113,11,FALSE)),"")</f>
        <v>0</v>
      </c>
      <c r="DF785" s="483">
        <f>IFERROR(SUM(VLOOKUP($BS785,'État &amp; Plan d''action'!$B$6:$Z$1113,19,FALSE),VLOOKUP($BS785,'État &amp; Plan d''action'!$B$6:$Z$1113,21,FALSE))/(VLOOKUP($BS785,'Données par municipalité'!$B$4:$L$1113,11,FALSE)),"")</f>
        <v>2</v>
      </c>
      <c r="DG785" s="476" t="s">
        <v>4723</v>
      </c>
      <c r="DH785" s="484">
        <v>0</v>
      </c>
      <c r="DI785" s="484" t="s">
        <v>1124</v>
      </c>
      <c r="DJ785" s="484">
        <v>0</v>
      </c>
      <c r="DK785" s="484">
        <v>0</v>
      </c>
      <c r="DL785" s="484">
        <v>0</v>
      </c>
      <c r="DM785" s="484" t="s">
        <v>1124</v>
      </c>
      <c r="DN785" s="484" t="s">
        <v>1124</v>
      </c>
      <c r="DO785" s="484" t="s">
        <v>1124</v>
      </c>
      <c r="DP785" s="484" t="s">
        <v>1124</v>
      </c>
      <c r="DQ785" s="484">
        <f>IF(VLOOKUP($BS785,'État &amp; Plan d''action'!$B$6:$AJ$1113,28,FALSE)="","",VLOOKUP($BS785,'État &amp; Plan d''action'!$B$6:$AJ$1113,28,FALSE))</f>
        <v>2</v>
      </c>
      <c r="DR785" s="70">
        <f>IF(VLOOKUP($BS785,'État &amp; Plan d''action'!$B$6:$AJ$1113,29,FALSE)="","",VLOOKUP($BS785,'État &amp; Plan d''action'!$B$6:$AJ$1113,29,FALSE))</f>
        <v>1</v>
      </c>
      <c r="DS785" s="70">
        <f>IF(VLOOKUP($BS785,'État &amp; Plan d''action'!$B$6:$AJ$1113,30,FALSE)="","",VLOOKUP($BS785,'État &amp; Plan d''action'!$B$6:$AJ$1113,30,FALSE))</f>
        <v>0</v>
      </c>
      <c r="DT785" s="70" t="s">
        <v>1124</v>
      </c>
      <c r="DU785" s="485" t="s">
        <v>1124</v>
      </c>
      <c r="DV785" s="485">
        <v>3.7461845904826796</v>
      </c>
      <c r="DW785" s="70" t="s">
        <v>1124</v>
      </c>
      <c r="DX785" s="70" t="s">
        <v>1124</v>
      </c>
      <c r="DY785" s="70" t="s">
        <v>1124</v>
      </c>
      <c r="DZ785" s="70">
        <f>VLOOKUP($BS785,'État &amp; Plan d''action'!$B$6:$AH$1113,31,FALSE)</f>
        <v>1</v>
      </c>
      <c r="EA785" s="70">
        <f>VLOOKUP($BS785,'État &amp; Plan d''action'!$B$6:$AH$1113,32,FALSE)</f>
        <v>1</v>
      </c>
      <c r="EB785" s="70">
        <f>VLOOKUP($BS785,'État &amp; Plan d''action'!$B$6:$AH$1113,33,FALSE)</f>
        <v>0</v>
      </c>
      <c r="EC785" s="70" t="s">
        <v>1124</v>
      </c>
      <c r="ED785" s="70" t="s">
        <v>1124</v>
      </c>
      <c r="EE785" s="70" t="s">
        <v>1124</v>
      </c>
      <c r="EF785" s="70" t="s">
        <v>1124</v>
      </c>
      <c r="EG785" s="70" t="s">
        <v>1124</v>
      </c>
      <c r="EH785" s="72"/>
      <c r="EI785" s="72">
        <v>3556</v>
      </c>
    </row>
    <row r="786" spans="71:139" x14ac:dyDescent="0.35">
      <c r="BS786" s="486">
        <v>91042</v>
      </c>
      <c r="BT786" s="479" t="s">
        <v>944</v>
      </c>
      <c r="BU786" s="479">
        <v>2</v>
      </c>
      <c r="BV786" s="476" t="s">
        <v>1187</v>
      </c>
      <c r="BW786" s="476" t="s">
        <v>1187</v>
      </c>
      <c r="BX786" s="476" t="s">
        <v>1187</v>
      </c>
      <c r="BY786" s="476" t="s">
        <v>1187</v>
      </c>
      <c r="BZ786" s="476" t="s">
        <v>1187</v>
      </c>
      <c r="CA786" s="476" t="s">
        <v>1187</v>
      </c>
      <c r="CB786" s="476" t="s">
        <v>1187</v>
      </c>
      <c r="CC786" s="476" t="s">
        <v>1187</v>
      </c>
      <c r="CD786" s="476" t="s">
        <v>1187</v>
      </c>
      <c r="CE786" s="476" t="s">
        <v>1188</v>
      </c>
      <c r="CF786" s="476" t="s">
        <v>1188</v>
      </c>
      <c r="CG786" s="476" t="s">
        <v>1188</v>
      </c>
      <c r="CH786" s="476" t="s">
        <v>1188</v>
      </c>
      <c r="CI786" s="476" t="s">
        <v>1188</v>
      </c>
      <c r="CJ786" s="476" t="s">
        <v>1188</v>
      </c>
      <c r="CK786" s="476" t="s">
        <v>1187</v>
      </c>
      <c r="CL786" s="476" t="s">
        <v>1188</v>
      </c>
      <c r="CM786" s="476" t="str">
        <f>IF(VLOOKUP(BS786,'Données par municipalité'!$B$6:$E$1113,4,FALSE)="","non","oui")</f>
        <v>oui</v>
      </c>
      <c r="CN786" s="410">
        <v>828.48852972621512</v>
      </c>
      <c r="CO786" s="410">
        <v>840.36988791578722</v>
      </c>
      <c r="CP786" s="410">
        <v>709.25885378462715</v>
      </c>
      <c r="CQ786" s="410">
        <v>853.77817565270664</v>
      </c>
      <c r="CR786" s="410">
        <v>659.98169823424269</v>
      </c>
      <c r="CS786" s="410">
        <v>519.34863384275786</v>
      </c>
      <c r="CT786" s="410"/>
      <c r="CU786" s="410">
        <v>435</v>
      </c>
      <c r="CV786" s="410">
        <f>IF(VLOOKUP(BS786,'Données par municipalité'!$B$6:$F$1113,4,FALSE)="","",VLOOKUP(BS786,'Données par municipalité'!$B$6:$F$1113,4,FALSE))</f>
        <v>445</v>
      </c>
      <c r="CW786" s="476" t="s">
        <v>4723</v>
      </c>
      <c r="CX786" s="483">
        <v>5.0000000000000001E-3</v>
      </c>
      <c r="CY786" s="483">
        <v>0.01</v>
      </c>
      <c r="CZ786" s="483">
        <v>0.01</v>
      </c>
      <c r="DA786" s="483">
        <v>0</v>
      </c>
      <c r="DB786" s="483">
        <v>0.36</v>
      </c>
      <c r="DC786" s="483" t="s">
        <v>1124</v>
      </c>
      <c r="DD786" s="483">
        <v>0</v>
      </c>
      <c r="DE786" s="483">
        <f>IFERROR(SUM(VLOOKUP($BS786,'État &amp; Plan d''action'!$B$6:$Z$1113,18,FALSE),VLOOKUP($BS786,'État &amp; Plan d''action'!$B$6:$Z$1113,20,FALSE))/(VLOOKUP($BS786,'Données par municipalité'!$B$4:$L$1113,11,FALSE)),"")</f>
        <v>0</v>
      </c>
      <c r="DF786" s="483">
        <f>IFERROR(SUM(VLOOKUP($BS786,'État &amp; Plan d''action'!$B$6:$Z$1113,19,FALSE),VLOOKUP($BS786,'État &amp; Plan d''action'!$B$6:$Z$1113,21,FALSE))/(VLOOKUP($BS786,'Données par municipalité'!$B$4:$L$1113,11,FALSE)),"")</f>
        <v>0</v>
      </c>
      <c r="DG786" s="476" t="s">
        <v>4723</v>
      </c>
      <c r="DH786" s="484">
        <v>3</v>
      </c>
      <c r="DI786" s="484">
        <v>3</v>
      </c>
      <c r="DJ786" s="484">
        <v>3</v>
      </c>
      <c r="DK786" s="484">
        <v>0</v>
      </c>
      <c r="DL786" s="484">
        <v>12</v>
      </c>
      <c r="DM786" s="484" t="s">
        <v>1124</v>
      </c>
      <c r="DN786" s="484" t="s">
        <v>1124</v>
      </c>
      <c r="DO786" s="484" t="s">
        <v>1124</v>
      </c>
      <c r="DP786" s="484" t="s">
        <v>1124</v>
      </c>
      <c r="DQ786" s="484">
        <f>IF(VLOOKUP($BS786,'État &amp; Plan d''action'!$B$6:$AJ$1113,28,FALSE)="","",VLOOKUP($BS786,'État &amp; Plan d''action'!$B$6:$AJ$1113,28,FALSE))</f>
        <v>1</v>
      </c>
      <c r="DR786" s="70">
        <f>IF(VLOOKUP($BS786,'État &amp; Plan d''action'!$B$6:$AJ$1113,29,FALSE)="","",VLOOKUP($BS786,'État &amp; Plan d''action'!$B$6:$AJ$1113,29,FALSE))</f>
        <v>7</v>
      </c>
      <c r="DS786" s="70">
        <f>IF(VLOOKUP($BS786,'État &amp; Plan d''action'!$B$6:$AJ$1113,30,FALSE)="","",VLOOKUP($BS786,'État &amp; Plan d''action'!$B$6:$AJ$1113,30,FALSE))</f>
        <v>4</v>
      </c>
      <c r="DT786" s="70">
        <v>292</v>
      </c>
      <c r="DU786" s="485">
        <v>2.3325180047120186</v>
      </c>
      <c r="DV786" s="485">
        <v>3.0731204374941514</v>
      </c>
      <c r="DW786" s="70" t="s">
        <v>1124</v>
      </c>
      <c r="DX786" s="70" t="s">
        <v>1124</v>
      </c>
      <c r="DY786" s="70" t="s">
        <v>1124</v>
      </c>
      <c r="DZ786" s="70">
        <f>VLOOKUP($BS786,'État &amp; Plan d''action'!$B$6:$AH$1113,31,FALSE)</f>
        <v>1</v>
      </c>
      <c r="EA786" s="70">
        <f>VLOOKUP($BS786,'État &amp; Plan d''action'!$B$6:$AH$1113,32,FALSE)</f>
        <v>1</v>
      </c>
      <c r="EB786" s="70">
        <f>VLOOKUP($BS786,'État &amp; Plan d''action'!$B$6:$AH$1113,33,FALSE)</f>
        <v>1</v>
      </c>
      <c r="EC786" s="70">
        <v>0</v>
      </c>
      <c r="ED786" s="70">
        <v>0</v>
      </c>
      <c r="EE786" s="70">
        <v>0</v>
      </c>
      <c r="EF786" s="70">
        <v>0</v>
      </c>
      <c r="EG786" s="70">
        <v>0</v>
      </c>
      <c r="EH786" s="72">
        <v>56</v>
      </c>
      <c r="EI786" s="72">
        <v>10217</v>
      </c>
    </row>
    <row r="787" spans="71:139" x14ac:dyDescent="0.35">
      <c r="BS787" s="486">
        <v>88060</v>
      </c>
      <c r="BT787" s="479" t="s">
        <v>921</v>
      </c>
      <c r="BU787" s="479">
        <v>8</v>
      </c>
      <c r="BV787" s="476" t="s">
        <v>1187</v>
      </c>
      <c r="BW787" s="476" t="s">
        <v>1187</v>
      </c>
      <c r="BX787" s="476" t="s">
        <v>1187</v>
      </c>
      <c r="BY787" s="476" t="s">
        <v>1187</v>
      </c>
      <c r="BZ787" s="476" t="s">
        <v>1187</v>
      </c>
      <c r="CA787" s="476" t="s">
        <v>1187</v>
      </c>
      <c r="CB787" s="476" t="s">
        <v>1187</v>
      </c>
      <c r="CC787" s="476" t="s">
        <v>1187</v>
      </c>
      <c r="CD787" s="476" t="s">
        <v>1187</v>
      </c>
      <c r="CE787" s="476" t="s">
        <v>1188</v>
      </c>
      <c r="CF787" s="476" t="s">
        <v>1188</v>
      </c>
      <c r="CG787" s="476" t="s">
        <v>1188</v>
      </c>
      <c r="CH787" s="476" t="s">
        <v>1188</v>
      </c>
      <c r="CI787" s="476" t="s">
        <v>1188</v>
      </c>
      <c r="CJ787" s="476" t="s">
        <v>1188</v>
      </c>
      <c r="CK787" s="476" t="s">
        <v>1188</v>
      </c>
      <c r="CL787" s="476" t="s">
        <v>1188</v>
      </c>
      <c r="CM787" s="476" t="str">
        <f>IF(VLOOKUP(BS787,'Données par municipalité'!$B$6:$E$1113,4,FALSE)="","non","oui")</f>
        <v>oui</v>
      </c>
      <c r="CN787" s="410">
        <v>422.34589041095893</v>
      </c>
      <c r="CO787" s="410">
        <v>340.92132668432242</v>
      </c>
      <c r="CP787" s="410">
        <v>342.65448367073088</v>
      </c>
      <c r="CQ787" s="410">
        <v>352.90643956132249</v>
      </c>
      <c r="CR787" s="410">
        <v>356.42221586235877</v>
      </c>
      <c r="CS787" s="410">
        <v>351.64821483595665</v>
      </c>
      <c r="CT787" s="410">
        <v>345.76386634268749</v>
      </c>
      <c r="CU787" s="410">
        <v>407</v>
      </c>
      <c r="CV787" s="410">
        <f>IF(VLOOKUP(BS787,'Données par municipalité'!$B$6:$F$1113,4,FALSE)="","",VLOOKUP(BS787,'Données par municipalité'!$B$6:$F$1113,4,FALSE))</f>
        <v>298</v>
      </c>
      <c r="CW787" s="476" t="s">
        <v>4723</v>
      </c>
      <c r="CX787" s="483">
        <v>1</v>
      </c>
      <c r="CY787" s="483">
        <v>0</v>
      </c>
      <c r="CZ787" s="483">
        <v>0</v>
      </c>
      <c r="DA787" s="483">
        <v>0</v>
      </c>
      <c r="DB787" s="483">
        <v>0</v>
      </c>
      <c r="DC787" s="483">
        <v>0</v>
      </c>
      <c r="DD787" s="483">
        <v>0.98592729100351806</v>
      </c>
      <c r="DE787" s="483">
        <f>IFERROR(SUM(VLOOKUP($BS787,'État &amp; Plan d''action'!$B$6:$Z$1113,18,FALSE),VLOOKUP($BS787,'État &amp; Plan d''action'!$B$6:$Z$1113,20,FALSE))/(VLOOKUP($BS787,'Données par municipalité'!$B$4:$L$1113,11,FALSE)),"")</f>
        <v>0.98592729100351806</v>
      </c>
      <c r="DF787" s="483">
        <f>IFERROR(SUM(VLOOKUP($BS787,'État &amp; Plan d''action'!$B$6:$Z$1113,19,FALSE),VLOOKUP($BS787,'État &amp; Plan d''action'!$B$6:$Z$1113,21,FALSE))/(VLOOKUP($BS787,'Données par municipalité'!$B$4:$L$1113,11,FALSE)),"")</f>
        <v>0.98592729100351806</v>
      </c>
      <c r="DG787" s="476" t="s">
        <v>4723</v>
      </c>
      <c r="DH787" s="484">
        <v>3</v>
      </c>
      <c r="DI787" s="484">
        <v>12</v>
      </c>
      <c r="DJ787" s="484">
        <v>15</v>
      </c>
      <c r="DK787" s="484">
        <v>9</v>
      </c>
      <c r="DL787" s="484">
        <v>0</v>
      </c>
      <c r="DM787" s="484">
        <v>0</v>
      </c>
      <c r="DN787" s="484">
        <v>0</v>
      </c>
      <c r="DO787" s="484">
        <v>2</v>
      </c>
      <c r="DP787" s="484">
        <v>0</v>
      </c>
      <c r="DQ787" s="484">
        <f>IF(VLOOKUP($BS787,'État &amp; Plan d''action'!$B$6:$AJ$1113,28,FALSE)="","",VLOOKUP($BS787,'État &amp; Plan d''action'!$B$6:$AJ$1113,28,FALSE))</f>
        <v>1</v>
      </c>
      <c r="DR787" s="70">
        <f>IF(VLOOKUP($BS787,'État &amp; Plan d''action'!$B$6:$AJ$1113,29,FALSE)="","",VLOOKUP($BS787,'État &amp; Plan d''action'!$B$6:$AJ$1113,29,FALSE))</f>
        <v>1</v>
      </c>
      <c r="DS787" s="70">
        <f>IF(VLOOKUP($BS787,'État &amp; Plan d''action'!$B$6:$AJ$1113,30,FALSE)="","",VLOOKUP($BS787,'État &amp; Plan d''action'!$B$6:$AJ$1113,30,FALSE))</f>
        <v>0</v>
      </c>
      <c r="DT787" s="70">
        <v>360</v>
      </c>
      <c r="DU787" s="485">
        <v>0.81204711193637846</v>
      </c>
      <c r="DV787" s="485">
        <v>0.54651849748243886</v>
      </c>
      <c r="DW787" s="70">
        <v>0</v>
      </c>
      <c r="DX787" s="70">
        <v>1</v>
      </c>
      <c r="DY787" s="70">
        <v>0</v>
      </c>
      <c r="DZ787" s="70">
        <f>VLOOKUP($BS787,'État &amp; Plan d''action'!$B$6:$AH$1113,31,FALSE)</f>
        <v>3</v>
      </c>
      <c r="EA787" s="70">
        <f>VLOOKUP($BS787,'État &amp; Plan d''action'!$B$6:$AH$1113,32,FALSE)</f>
        <v>5</v>
      </c>
      <c r="EB787" s="70">
        <f>VLOOKUP($BS787,'État &amp; Plan d''action'!$B$6:$AH$1113,33,FALSE)</f>
        <v>0</v>
      </c>
      <c r="EC787" s="70">
        <v>0</v>
      </c>
      <c r="ED787" s="70">
        <v>0</v>
      </c>
      <c r="EE787" s="70">
        <v>5.8849999999999998</v>
      </c>
      <c r="EF787" s="70">
        <v>0</v>
      </c>
      <c r="EG787" s="70">
        <v>0</v>
      </c>
      <c r="EH787" s="72">
        <v>57</v>
      </c>
      <c r="EI787" s="72">
        <v>939</v>
      </c>
    </row>
    <row r="788" spans="71:139" x14ac:dyDescent="0.35">
      <c r="BS788" s="486">
        <v>49005</v>
      </c>
      <c r="BT788" s="479" t="s">
        <v>464</v>
      </c>
      <c r="BU788" s="479">
        <v>17</v>
      </c>
      <c r="BV788" s="476" t="s">
        <v>1188</v>
      </c>
      <c r="BW788" s="476" t="s">
        <v>1188</v>
      </c>
      <c r="BX788" s="476" t="s">
        <v>1188</v>
      </c>
      <c r="BY788" s="476" t="s">
        <v>1188</v>
      </c>
      <c r="BZ788" s="476" t="s">
        <v>1188</v>
      </c>
      <c r="CA788" s="476" t="s">
        <v>1188</v>
      </c>
      <c r="CB788" s="476" t="s">
        <v>1188</v>
      </c>
      <c r="CC788" s="476" t="s">
        <v>1188</v>
      </c>
      <c r="CD788" s="476" t="s">
        <v>1188</v>
      </c>
      <c r="CE788" s="476" t="s">
        <v>1187</v>
      </c>
      <c r="CF788" s="476" t="s">
        <v>1187</v>
      </c>
      <c r="CG788" s="476" t="s">
        <v>1187</v>
      </c>
      <c r="CH788" s="476" t="s">
        <v>1187</v>
      </c>
      <c r="CI788" s="476" t="s">
        <v>1187</v>
      </c>
      <c r="CJ788" s="476" t="s">
        <v>1187</v>
      </c>
      <c r="CK788" s="476" t="s">
        <v>1187</v>
      </c>
      <c r="CL788" s="476" t="s">
        <v>1187</v>
      </c>
      <c r="CM788" s="476" t="str">
        <f>IF(VLOOKUP(BS788,'Données par municipalité'!$B$6:$E$1113,4,FALSE)="","non","oui")</f>
        <v>non</v>
      </c>
      <c r="CN788" s="410" t="s">
        <v>1124</v>
      </c>
      <c r="CO788" s="410" t="s">
        <v>1124</v>
      </c>
      <c r="CP788" s="410"/>
      <c r="CQ788" s="410"/>
      <c r="CR788" s="410"/>
      <c r="CS788" s="410" t="s">
        <v>1124</v>
      </c>
      <c r="CT788" s="410"/>
      <c r="CU788" s="410" t="s">
        <v>1124</v>
      </c>
      <c r="CV788" s="410" t="str">
        <f>IF(VLOOKUP(BS788,'Données par municipalité'!$B$6:$F$1113,4,FALSE)="","",VLOOKUP(BS788,'Données par municipalité'!$B$6:$F$1113,4,FALSE))</f>
        <v/>
      </c>
      <c r="CW788" s="476" t="s">
        <v>4723</v>
      </c>
      <c r="CX788" s="483" t="s">
        <v>1124</v>
      </c>
      <c r="CY788" s="483" t="s">
        <v>1124</v>
      </c>
      <c r="CZ788" s="483" t="s">
        <v>1124</v>
      </c>
      <c r="DA788" s="483" t="s">
        <v>1124</v>
      </c>
      <c r="DB788" s="483" t="s">
        <v>1124</v>
      </c>
      <c r="DC788" s="483" t="s">
        <v>1124</v>
      </c>
      <c r="DD788" s="483" t="s">
        <v>1124</v>
      </c>
      <c r="DE788" s="483" t="str">
        <f>IFERROR(SUM(VLOOKUP($BS788,'État &amp; Plan d''action'!$B$6:$Z$1113,18,FALSE),VLOOKUP($BS788,'État &amp; Plan d''action'!$B$6:$Z$1113,20,FALSE))/(VLOOKUP($BS788,'Données par municipalité'!$B$4:$L$1113,11,FALSE)),"")</f>
        <v/>
      </c>
      <c r="DF788" s="483" t="str">
        <f>IFERROR(SUM(VLOOKUP($BS788,'État &amp; Plan d''action'!$B$6:$Z$1113,19,FALSE),VLOOKUP($BS788,'État &amp; Plan d''action'!$B$6:$Z$1113,21,FALSE))/(VLOOKUP($BS788,'Données par municipalité'!$B$4:$L$1113,11,FALSE)),"")</f>
        <v/>
      </c>
      <c r="DG788" s="476" t="s">
        <v>4723</v>
      </c>
      <c r="DH788" s="484" t="s">
        <v>1124</v>
      </c>
      <c r="DI788" s="484" t="s">
        <v>1124</v>
      </c>
      <c r="DJ788" s="484">
        <v>0</v>
      </c>
      <c r="DK788" s="484">
        <v>0</v>
      </c>
      <c r="DL788" s="484" t="s">
        <v>1124</v>
      </c>
      <c r="DM788" s="484" t="s">
        <v>1124</v>
      </c>
      <c r="DN788" s="484" t="s">
        <v>1124</v>
      </c>
      <c r="DO788" s="484" t="s">
        <v>1124</v>
      </c>
      <c r="DP788" s="484" t="s">
        <v>1124</v>
      </c>
      <c r="DQ788" s="484" t="str">
        <f>IF(VLOOKUP($BS788,'État &amp; Plan d''action'!$B$6:$AJ$1113,28,FALSE)="","",VLOOKUP($BS788,'État &amp; Plan d''action'!$B$6:$AJ$1113,28,FALSE))</f>
        <v/>
      </c>
      <c r="DR788" s="70" t="str">
        <f>IF(VLOOKUP($BS788,'État &amp; Plan d''action'!$B$6:$AJ$1113,29,FALSE)="","",VLOOKUP($BS788,'État &amp; Plan d''action'!$B$6:$AJ$1113,29,FALSE))</f>
        <v/>
      </c>
      <c r="DS788" s="70" t="str">
        <f>IF(VLOOKUP($BS788,'État &amp; Plan d''action'!$B$6:$AJ$1113,30,FALSE)="","",VLOOKUP($BS788,'État &amp; Plan d''action'!$B$6:$AJ$1113,30,FALSE))</f>
        <v/>
      </c>
      <c r="DT788" s="70" t="s">
        <v>1124</v>
      </c>
      <c r="DU788" s="485" t="s">
        <v>1124</v>
      </c>
      <c r="DV788" s="485" t="s">
        <v>1124</v>
      </c>
      <c r="DW788" s="70" t="s">
        <v>1124</v>
      </c>
      <c r="DX788" s="70" t="s">
        <v>1124</v>
      </c>
      <c r="DY788" s="70" t="s">
        <v>1124</v>
      </c>
      <c r="DZ788" s="70" t="str">
        <f>VLOOKUP($BS788,'État &amp; Plan d''action'!$B$6:$AH$1113,31,FALSE)</f>
        <v/>
      </c>
      <c r="EA788" s="70" t="str">
        <f>VLOOKUP($BS788,'État &amp; Plan d''action'!$B$6:$AH$1113,32,FALSE)</f>
        <v/>
      </c>
      <c r="EB788" s="70" t="str">
        <f>VLOOKUP($BS788,'État &amp; Plan d''action'!$B$6:$AH$1113,33,FALSE)</f>
        <v/>
      </c>
      <c r="EC788" s="70" t="s">
        <v>1124</v>
      </c>
      <c r="ED788" s="70" t="s">
        <v>1124</v>
      </c>
      <c r="EE788" s="70" t="s">
        <v>1124</v>
      </c>
      <c r="EF788" s="70" t="s">
        <v>1124</v>
      </c>
      <c r="EG788" s="70" t="s">
        <v>1124</v>
      </c>
      <c r="EH788" s="72"/>
      <c r="EI788" s="72">
        <v>1477</v>
      </c>
    </row>
    <row r="789" spans="71:139" x14ac:dyDescent="0.35">
      <c r="BS789" s="486">
        <v>62007</v>
      </c>
      <c r="BT789" s="479" t="s">
        <v>619</v>
      </c>
      <c r="BU789" s="479">
        <v>14</v>
      </c>
      <c r="BV789" s="476" t="s">
        <v>1187</v>
      </c>
      <c r="BW789" s="476" t="s">
        <v>1187</v>
      </c>
      <c r="BX789" s="476" t="s">
        <v>1187</v>
      </c>
      <c r="BY789" s="476" t="s">
        <v>1187</v>
      </c>
      <c r="BZ789" s="476" t="s">
        <v>1187</v>
      </c>
      <c r="CA789" s="476" t="s">
        <v>1187</v>
      </c>
      <c r="CB789" s="476" t="s">
        <v>1187</v>
      </c>
      <c r="CC789" s="476" t="s">
        <v>1187</v>
      </c>
      <c r="CD789" s="476" t="s">
        <v>1187</v>
      </c>
      <c r="CE789" s="476" t="s">
        <v>1188</v>
      </c>
      <c r="CF789" s="476" t="s">
        <v>1188</v>
      </c>
      <c r="CG789" s="476" t="s">
        <v>1188</v>
      </c>
      <c r="CH789" s="476" t="s">
        <v>1188</v>
      </c>
      <c r="CI789" s="476" t="s">
        <v>1188</v>
      </c>
      <c r="CJ789" s="476" t="s">
        <v>1188</v>
      </c>
      <c r="CK789" s="476" t="s">
        <v>1188</v>
      </c>
      <c r="CL789" s="476" t="s">
        <v>1188</v>
      </c>
      <c r="CM789" s="476" t="str">
        <f>IF(VLOOKUP(BS789,'Données par municipalité'!$B$6:$E$1113,4,FALSE)="","non","oui")</f>
        <v>oui</v>
      </c>
      <c r="CN789" s="410">
        <v>441.08340589955588</v>
      </c>
      <c r="CO789" s="410">
        <v>422.500556889324</v>
      </c>
      <c r="CP789" s="410">
        <v>328.23316150051301</v>
      </c>
      <c r="CQ789" s="410">
        <v>312.24373890284255</v>
      </c>
      <c r="CR789" s="410">
        <v>378.67087618469071</v>
      </c>
      <c r="CS789" s="410">
        <v>453.11411190011933</v>
      </c>
      <c r="CT789" s="410">
        <v>525.88036655548797</v>
      </c>
      <c r="CU789" s="410">
        <v>467</v>
      </c>
      <c r="CV789" s="410">
        <f>IF(VLOOKUP(BS789,'Données par municipalité'!$B$6:$F$1113,4,FALSE)="","",VLOOKUP(BS789,'Données par municipalité'!$B$6:$F$1113,4,FALSE))</f>
        <v>410</v>
      </c>
      <c r="CW789" s="476" t="s">
        <v>4723</v>
      </c>
      <c r="CX789" s="483">
        <v>0</v>
      </c>
      <c r="CY789" s="483">
        <v>0</v>
      </c>
      <c r="CZ789" s="483">
        <v>0</v>
      </c>
      <c r="DA789" s="483">
        <v>0</v>
      </c>
      <c r="DB789" s="483">
        <v>0</v>
      </c>
      <c r="DC789" s="483">
        <v>0.1</v>
      </c>
      <c r="DD789" s="483">
        <v>0.96661012409606284</v>
      </c>
      <c r="DE789" s="483">
        <f>IFERROR(SUM(VLOOKUP($BS789,'État &amp; Plan d''action'!$B$6:$Z$1113,18,FALSE),VLOOKUP($BS789,'État &amp; Plan d''action'!$B$6:$Z$1113,20,FALSE))/(VLOOKUP($BS789,'Données par municipalité'!$B$4:$L$1113,11,FALSE)),"")</f>
        <v>0</v>
      </c>
      <c r="DF789" s="483">
        <f>IFERROR(SUM(VLOOKUP($BS789,'État &amp; Plan d''action'!$B$6:$Z$1113,19,FALSE),VLOOKUP($BS789,'État &amp; Plan d''action'!$B$6:$Z$1113,21,FALSE))/(VLOOKUP($BS789,'Données par municipalité'!$B$4:$L$1113,11,FALSE)),"")</f>
        <v>0</v>
      </c>
      <c r="DG789" s="476" t="s">
        <v>4723</v>
      </c>
      <c r="DH789" s="484">
        <v>13</v>
      </c>
      <c r="DI789" s="484">
        <v>13</v>
      </c>
      <c r="DJ789" s="484">
        <v>10</v>
      </c>
      <c r="DK789" s="484">
        <v>7</v>
      </c>
      <c r="DL789" s="484">
        <v>6</v>
      </c>
      <c r="DM789" s="484">
        <v>12</v>
      </c>
      <c r="DN789" s="484">
        <v>4</v>
      </c>
      <c r="DO789" s="484">
        <v>5</v>
      </c>
      <c r="DP789" s="484">
        <v>3</v>
      </c>
      <c r="DQ789" s="484">
        <f>IF(VLOOKUP($BS789,'État &amp; Plan d''action'!$B$6:$AJ$1113,28,FALSE)="","",VLOOKUP($BS789,'État &amp; Plan d''action'!$B$6:$AJ$1113,28,FALSE))</f>
        <v>2</v>
      </c>
      <c r="DR789" s="70">
        <f>IF(VLOOKUP($BS789,'État &amp; Plan d''action'!$B$6:$AJ$1113,29,FALSE)="","",VLOOKUP($BS789,'État &amp; Plan d''action'!$B$6:$AJ$1113,29,FALSE))</f>
        <v>10</v>
      </c>
      <c r="DS789" s="70">
        <f>IF(VLOOKUP($BS789,'État &amp; Plan d''action'!$B$6:$AJ$1113,30,FALSE)="","",VLOOKUP($BS789,'État &amp; Plan d''action'!$B$6:$AJ$1113,30,FALSE))</f>
        <v>2</v>
      </c>
      <c r="DT789" s="70">
        <v>323</v>
      </c>
      <c r="DU789" s="485">
        <v>2.6059724325441009</v>
      </c>
      <c r="DV789" s="485">
        <v>2.6023689086508011</v>
      </c>
      <c r="DW789" s="70">
        <v>6</v>
      </c>
      <c r="DX789" s="70">
        <v>3</v>
      </c>
      <c r="DY789" s="70">
        <v>5</v>
      </c>
      <c r="DZ789" s="70">
        <f>VLOOKUP($BS789,'État &amp; Plan d''action'!$B$6:$AH$1113,31,FALSE)</f>
        <v>10</v>
      </c>
      <c r="EA789" s="70">
        <f>VLOOKUP($BS789,'État &amp; Plan d''action'!$B$6:$AH$1113,32,FALSE)</f>
        <v>3</v>
      </c>
      <c r="EB789" s="70">
        <f>VLOOKUP($BS789,'État &amp; Plan d''action'!$B$6:$AH$1113,33,FALSE)</f>
        <v>6</v>
      </c>
      <c r="EC789" s="70">
        <v>0</v>
      </c>
      <c r="ED789" s="70">
        <v>54.134999999999998</v>
      </c>
      <c r="EE789" s="70">
        <v>0</v>
      </c>
      <c r="EF789" s="70">
        <v>0</v>
      </c>
      <c r="EG789" s="70">
        <v>0</v>
      </c>
      <c r="EH789" s="72">
        <v>58.617779544250141</v>
      </c>
      <c r="EI789" s="72">
        <v>6561</v>
      </c>
    </row>
    <row r="790" spans="71:139" x14ac:dyDescent="0.35">
      <c r="BS790" s="486">
        <v>94225</v>
      </c>
      <c r="BT790" s="479" t="s">
        <v>977</v>
      </c>
      <c r="BU790" s="479">
        <v>2</v>
      </c>
      <c r="BV790" s="476" t="s">
        <v>1187</v>
      </c>
      <c r="BW790" s="476" t="s">
        <v>1187</v>
      </c>
      <c r="BX790" s="476" t="s">
        <v>1187</v>
      </c>
      <c r="BY790" s="476" t="s">
        <v>1187</v>
      </c>
      <c r="BZ790" s="476" t="s">
        <v>1187</v>
      </c>
      <c r="CA790" s="476" t="s">
        <v>1187</v>
      </c>
      <c r="CB790" s="476" t="s">
        <v>1187</v>
      </c>
      <c r="CC790" s="476" t="s">
        <v>1187</v>
      </c>
      <c r="CD790" s="476" t="s">
        <v>1187</v>
      </c>
      <c r="CE790" s="476" t="s">
        <v>1188</v>
      </c>
      <c r="CF790" s="476" t="s">
        <v>1188</v>
      </c>
      <c r="CG790" s="476" t="s">
        <v>1188</v>
      </c>
      <c r="CH790" s="476" t="s">
        <v>1187</v>
      </c>
      <c r="CI790" s="476" t="s">
        <v>1188</v>
      </c>
      <c r="CJ790" s="476" t="s">
        <v>1188</v>
      </c>
      <c r="CK790" s="476" t="s">
        <v>1188</v>
      </c>
      <c r="CL790" s="476" t="s">
        <v>1188</v>
      </c>
      <c r="CM790" s="476" t="str">
        <f>IF(VLOOKUP(BS790,'Données par municipalité'!$B$6:$E$1113,4,FALSE)="","non","oui")</f>
        <v>oui</v>
      </c>
      <c r="CN790" s="410">
        <v>462.06717000781043</v>
      </c>
      <c r="CO790" s="410">
        <v>461.8335129955683</v>
      </c>
      <c r="CP790" s="410">
        <v>411.94997022036927</v>
      </c>
      <c r="CQ790" s="410"/>
      <c r="CR790" s="410">
        <v>296.72659542146079</v>
      </c>
      <c r="CS790" s="410">
        <v>271.30315744359297</v>
      </c>
      <c r="CT790" s="410">
        <v>301.88065367718701</v>
      </c>
      <c r="CU790" s="410">
        <v>409</v>
      </c>
      <c r="CV790" s="410">
        <f>IF(VLOOKUP(BS790,'Données par municipalité'!$B$6:$F$1113,4,FALSE)="","",VLOOKUP(BS790,'Données par municipalité'!$B$6:$F$1113,4,FALSE))</f>
        <v>453</v>
      </c>
      <c r="CW790" s="476" t="s">
        <v>4723</v>
      </c>
      <c r="CX790" s="483">
        <v>0</v>
      </c>
      <c r="CY790" s="483">
        <v>0</v>
      </c>
      <c r="CZ790" s="483" t="s">
        <v>1124</v>
      </c>
      <c r="DA790" s="483">
        <v>0</v>
      </c>
      <c r="DB790" s="483">
        <v>1</v>
      </c>
      <c r="DC790" s="483">
        <v>0</v>
      </c>
      <c r="DD790" s="483">
        <v>0</v>
      </c>
      <c r="DE790" s="483">
        <f>IFERROR(SUM(VLOOKUP($BS790,'État &amp; Plan d''action'!$B$6:$Z$1113,18,FALSE),VLOOKUP($BS790,'État &amp; Plan d''action'!$B$6:$Z$1113,20,FALSE))/(VLOOKUP($BS790,'Données par municipalité'!$B$4:$L$1113,11,FALSE)),"")</f>
        <v>0</v>
      </c>
      <c r="DF790" s="483">
        <f>IFERROR(SUM(VLOOKUP($BS790,'État &amp; Plan d''action'!$B$6:$Z$1113,19,FALSE),VLOOKUP($BS790,'État &amp; Plan d''action'!$B$6:$Z$1113,21,FALSE))/(VLOOKUP($BS790,'Données par municipalité'!$B$4:$L$1113,11,FALSE)),"")</f>
        <v>0</v>
      </c>
      <c r="DG790" s="476" t="s">
        <v>4723</v>
      </c>
      <c r="DH790" s="484">
        <v>1</v>
      </c>
      <c r="DI790" s="484">
        <v>0</v>
      </c>
      <c r="DJ790" s="484">
        <v>0</v>
      </c>
      <c r="DK790" s="484">
        <v>1</v>
      </c>
      <c r="DL790" s="484">
        <v>1</v>
      </c>
      <c r="DM790" s="484">
        <v>0</v>
      </c>
      <c r="DN790" s="484">
        <v>1</v>
      </c>
      <c r="DO790" s="484">
        <v>0</v>
      </c>
      <c r="DP790" s="484">
        <v>0</v>
      </c>
      <c r="DQ790" s="484">
        <f>IF(VLOOKUP($BS790,'État &amp; Plan d''action'!$B$6:$AJ$1113,28,FALSE)="","",VLOOKUP($BS790,'État &amp; Plan d''action'!$B$6:$AJ$1113,28,FALSE))</f>
        <v>1</v>
      </c>
      <c r="DR790" s="70">
        <f>IF(VLOOKUP($BS790,'État &amp; Plan d''action'!$B$6:$AJ$1113,29,FALSE)="","",VLOOKUP($BS790,'État &amp; Plan d''action'!$B$6:$AJ$1113,29,FALSE))</f>
        <v>1</v>
      </c>
      <c r="DS790" s="70">
        <f>IF(VLOOKUP($BS790,'État &amp; Plan d''action'!$B$6:$AJ$1113,30,FALSE)="","",VLOOKUP($BS790,'État &amp; Plan d''action'!$B$6:$AJ$1113,30,FALSE))</f>
        <v>0</v>
      </c>
      <c r="DT790" s="70">
        <v>307</v>
      </c>
      <c r="DU790" s="485">
        <v>1.2760098618848235</v>
      </c>
      <c r="DV790" s="485">
        <v>0.91000734406002393</v>
      </c>
      <c r="DW790" s="70">
        <v>21</v>
      </c>
      <c r="DX790" s="70">
        <v>0</v>
      </c>
      <c r="DY790" s="70">
        <v>0</v>
      </c>
      <c r="DZ790" s="70">
        <f>VLOOKUP($BS790,'État &amp; Plan d''action'!$B$6:$AH$1113,31,FALSE)</f>
        <v>1</v>
      </c>
      <c r="EA790" s="70">
        <f>VLOOKUP($BS790,'État &amp; Plan d''action'!$B$6:$AH$1113,32,FALSE)</f>
        <v>1</v>
      </c>
      <c r="EB790" s="70">
        <f>VLOOKUP($BS790,'État &amp; Plan d''action'!$B$6:$AH$1113,33,FALSE)</f>
        <v>0</v>
      </c>
      <c r="EC790" s="70">
        <v>0</v>
      </c>
      <c r="ED790" s="70">
        <v>0</v>
      </c>
      <c r="EE790" s="70">
        <v>0</v>
      </c>
      <c r="EF790" s="70">
        <v>0</v>
      </c>
      <c r="EG790" s="70">
        <v>0</v>
      </c>
      <c r="EH790" s="72">
        <v>47</v>
      </c>
      <c r="EI790" s="72">
        <v>990</v>
      </c>
    </row>
    <row r="791" spans="71:139" x14ac:dyDescent="0.35">
      <c r="BS791" s="486">
        <v>32013</v>
      </c>
      <c r="BT791" s="479" t="s">
        <v>256</v>
      </c>
      <c r="BU791" s="479">
        <v>17</v>
      </c>
      <c r="BV791" s="476" t="s">
        <v>1187</v>
      </c>
      <c r="BW791" s="476" t="s">
        <v>1187</v>
      </c>
      <c r="BX791" s="476" t="s">
        <v>1187</v>
      </c>
      <c r="BY791" s="476" t="s">
        <v>1187</v>
      </c>
      <c r="BZ791" s="476" t="s">
        <v>1187</v>
      </c>
      <c r="CA791" s="476" t="s">
        <v>1187</v>
      </c>
      <c r="CB791" s="476" t="s">
        <v>1187</v>
      </c>
      <c r="CC791" s="476" t="s">
        <v>1187</v>
      </c>
      <c r="CD791" s="476" t="s">
        <v>1187</v>
      </c>
      <c r="CE791" s="476" t="s">
        <v>1188</v>
      </c>
      <c r="CF791" s="476" t="s">
        <v>1188</v>
      </c>
      <c r="CG791" s="476" t="s">
        <v>1187</v>
      </c>
      <c r="CH791" s="476" t="s">
        <v>1188</v>
      </c>
      <c r="CI791" s="476" t="s">
        <v>1188</v>
      </c>
      <c r="CJ791" s="476" t="s">
        <v>1188</v>
      </c>
      <c r="CK791" s="476" t="s">
        <v>1187</v>
      </c>
      <c r="CL791" s="476" t="s">
        <v>1188</v>
      </c>
      <c r="CM791" s="476" t="str">
        <f>IF(VLOOKUP(BS791,'Données par municipalité'!$B$6:$E$1113,4,FALSE)="","non","oui")</f>
        <v>oui</v>
      </c>
      <c r="CN791" s="410">
        <v>438.29776837880172</v>
      </c>
      <c r="CO791" s="410">
        <v>512.55942916669937</v>
      </c>
      <c r="CP791" s="410"/>
      <c r="CQ791" s="410">
        <v>374.84793699015637</v>
      </c>
      <c r="CR791" s="410">
        <v>332.09705360413238</v>
      </c>
      <c r="CS791" s="410">
        <v>418.7186884455237</v>
      </c>
      <c r="CT791" s="410"/>
      <c r="CU791" s="410">
        <v>295</v>
      </c>
      <c r="CV791" s="410">
        <f>IF(VLOOKUP(BS791,'Données par municipalité'!$B$6:$F$1113,4,FALSE)="","",VLOOKUP(BS791,'Données par municipalité'!$B$6:$F$1113,4,FALSE))</f>
        <v>281</v>
      </c>
      <c r="CW791" s="476" t="s">
        <v>4723</v>
      </c>
      <c r="CX791" s="483">
        <v>0</v>
      </c>
      <c r="CY791" s="483" t="s">
        <v>1124</v>
      </c>
      <c r="CZ791" s="483">
        <v>0</v>
      </c>
      <c r="DA791" s="483">
        <v>0</v>
      </c>
      <c r="DB791" s="483">
        <v>0</v>
      </c>
      <c r="DC791" s="483" t="s">
        <v>1124</v>
      </c>
      <c r="DD791" s="483">
        <v>0</v>
      </c>
      <c r="DE791" s="483">
        <f>IFERROR(SUM(VLOOKUP($BS791,'État &amp; Plan d''action'!$B$6:$Z$1113,18,FALSE),VLOOKUP($BS791,'État &amp; Plan d''action'!$B$6:$Z$1113,20,FALSE))/(VLOOKUP($BS791,'Données par municipalité'!$B$4:$L$1113,11,FALSE)),"")</f>
        <v>0</v>
      </c>
      <c r="DF791" s="483">
        <f>IFERROR(SUM(VLOOKUP($BS791,'État &amp; Plan d''action'!$B$6:$Z$1113,19,FALSE),VLOOKUP($BS791,'État &amp; Plan d''action'!$B$6:$Z$1113,21,FALSE))/(VLOOKUP($BS791,'Données par municipalité'!$B$4:$L$1113,11,FALSE)),"")</f>
        <v>0</v>
      </c>
      <c r="DG791" s="476" t="s">
        <v>4723</v>
      </c>
      <c r="DH791" s="484">
        <v>0</v>
      </c>
      <c r="DI791" s="484" t="s">
        <v>1124</v>
      </c>
      <c r="DJ791" s="484">
        <v>2</v>
      </c>
      <c r="DK791" s="484">
        <v>2</v>
      </c>
      <c r="DL791" s="484">
        <v>3</v>
      </c>
      <c r="DM791" s="484" t="s">
        <v>1124</v>
      </c>
      <c r="DN791" s="484">
        <v>0</v>
      </c>
      <c r="DO791" s="484">
        <v>0</v>
      </c>
      <c r="DP791" s="484">
        <v>7</v>
      </c>
      <c r="DQ791" s="484">
        <f>IF(VLOOKUP($BS791,'État &amp; Plan d''action'!$B$6:$AJ$1113,28,FALSE)="","",VLOOKUP($BS791,'État &amp; Plan d''action'!$B$6:$AJ$1113,28,FALSE))</f>
        <v>0</v>
      </c>
      <c r="DR791" s="70">
        <f>IF(VLOOKUP($BS791,'État &amp; Plan d''action'!$B$6:$AJ$1113,29,FALSE)="","",VLOOKUP($BS791,'État &amp; Plan d''action'!$B$6:$AJ$1113,29,FALSE))</f>
        <v>0</v>
      </c>
      <c r="DS791" s="70">
        <f>IF(VLOOKUP($BS791,'État &amp; Plan d''action'!$B$6:$AJ$1113,30,FALSE)="","",VLOOKUP($BS791,'État &amp; Plan d''action'!$B$6:$AJ$1113,30,FALSE))</f>
        <v>7</v>
      </c>
      <c r="DT791" s="70">
        <v>196</v>
      </c>
      <c r="DU791" s="485">
        <v>2.045317790875691</v>
      </c>
      <c r="DV791" s="485">
        <v>2.2465618725523933</v>
      </c>
      <c r="DW791" s="70">
        <v>0</v>
      </c>
      <c r="DX791" s="70">
        <v>0</v>
      </c>
      <c r="DY791" s="70">
        <v>3</v>
      </c>
      <c r="DZ791" s="70">
        <f>VLOOKUP($BS791,'État &amp; Plan d''action'!$B$6:$AH$1113,31,FALSE)</f>
        <v>0</v>
      </c>
      <c r="EA791" s="70">
        <f>VLOOKUP($BS791,'État &amp; Plan d''action'!$B$6:$AH$1113,32,FALSE)</f>
        <v>0</v>
      </c>
      <c r="EB791" s="70">
        <f>VLOOKUP($BS791,'État &amp; Plan d''action'!$B$6:$AH$1113,33,FALSE)</f>
        <v>3</v>
      </c>
      <c r="EC791" s="70">
        <v>0</v>
      </c>
      <c r="ED791" s="70">
        <v>0</v>
      </c>
      <c r="EE791" s="70">
        <v>0</v>
      </c>
      <c r="EF791" s="70">
        <v>0</v>
      </c>
      <c r="EG791" s="70">
        <v>0</v>
      </c>
      <c r="EH791" s="72">
        <v>51</v>
      </c>
      <c r="EI791" s="72">
        <v>2078</v>
      </c>
    </row>
    <row r="792" spans="71:139" x14ac:dyDescent="0.35">
      <c r="BS792" s="486">
        <v>21010</v>
      </c>
      <c r="BT792" s="479" t="s">
        <v>145</v>
      </c>
      <c r="BU792" s="479">
        <v>3</v>
      </c>
      <c r="BV792" s="476" t="s">
        <v>1187</v>
      </c>
      <c r="BW792" s="476" t="s">
        <v>1187</v>
      </c>
      <c r="BX792" s="476" t="s">
        <v>1187</v>
      </c>
      <c r="BY792" s="476" t="s">
        <v>1187</v>
      </c>
      <c r="BZ792" s="476" t="s">
        <v>1187</v>
      </c>
      <c r="CA792" s="476" t="s">
        <v>1187</v>
      </c>
      <c r="CB792" s="476" t="s">
        <v>1187</v>
      </c>
      <c r="CC792" s="476" t="s">
        <v>1187</v>
      </c>
      <c r="CD792" s="476" t="s">
        <v>1187</v>
      </c>
      <c r="CE792" s="476" t="s">
        <v>1188</v>
      </c>
      <c r="CF792" s="476" t="s">
        <v>1188</v>
      </c>
      <c r="CG792" s="476" t="s">
        <v>1188</v>
      </c>
      <c r="CH792" s="476" t="s">
        <v>1188</v>
      </c>
      <c r="CI792" s="476" t="s">
        <v>1187</v>
      </c>
      <c r="CJ792" s="476" t="s">
        <v>1188</v>
      </c>
      <c r="CK792" s="476" t="s">
        <v>1188</v>
      </c>
      <c r="CL792" s="476" t="s">
        <v>1187</v>
      </c>
      <c r="CM792" s="476" t="str">
        <f>IF(VLOOKUP(BS792,'Données par municipalité'!$B$6:$E$1113,4,FALSE)="","non","oui")</f>
        <v>non</v>
      </c>
      <c r="CN792" s="410">
        <v>424.10546139359701</v>
      </c>
      <c r="CO792" s="410">
        <v>497.84947987504211</v>
      </c>
      <c r="CP792" s="410">
        <v>438.83190563142216</v>
      </c>
      <c r="CQ792" s="410">
        <v>460.49755777602473</v>
      </c>
      <c r="CR792" s="410"/>
      <c r="CS792" s="410">
        <v>408.0807935024589</v>
      </c>
      <c r="CT792" s="410">
        <v>388.81158202659208</v>
      </c>
      <c r="CU792" s="410" t="s">
        <v>1124</v>
      </c>
      <c r="CV792" s="410" t="str">
        <f>IF(VLOOKUP(BS792,'Données par municipalité'!$B$6:$F$1113,4,FALSE)="","",VLOOKUP(BS792,'Données par municipalité'!$B$6:$F$1113,4,FALSE))</f>
        <v/>
      </c>
      <c r="CW792" s="476" t="s">
        <v>4723</v>
      </c>
      <c r="CX792" s="483">
        <v>0</v>
      </c>
      <c r="CY792" s="483">
        <v>0.1</v>
      </c>
      <c r="CZ792" s="483">
        <v>1</v>
      </c>
      <c r="DA792" s="483" t="s">
        <v>1124</v>
      </c>
      <c r="DB792" s="483">
        <v>1</v>
      </c>
      <c r="DC792" s="483">
        <v>1</v>
      </c>
      <c r="DD792" s="483" t="s">
        <v>1124</v>
      </c>
      <c r="DE792" s="483" t="str">
        <f>IFERROR(SUM(VLOOKUP($BS792,'État &amp; Plan d''action'!$B$6:$Z$1113,18,FALSE),VLOOKUP($BS792,'État &amp; Plan d''action'!$B$6:$Z$1113,20,FALSE))/(VLOOKUP($BS792,'Données par municipalité'!$B$4:$L$1113,11,FALSE)),"")</f>
        <v/>
      </c>
      <c r="DF792" s="483" t="str">
        <f>IFERROR(SUM(VLOOKUP($BS792,'État &amp; Plan d''action'!$B$6:$Z$1113,19,FALSE),VLOOKUP($BS792,'État &amp; Plan d''action'!$B$6:$Z$1113,21,FALSE))/(VLOOKUP($BS792,'Données par municipalité'!$B$4:$L$1113,11,FALSE)),"")</f>
        <v/>
      </c>
      <c r="DG792" s="476" t="s">
        <v>4723</v>
      </c>
      <c r="DH792" s="484">
        <v>2</v>
      </c>
      <c r="DI792" s="484">
        <v>2</v>
      </c>
      <c r="DJ792" s="484">
        <v>1</v>
      </c>
      <c r="DK792" s="484">
        <v>0</v>
      </c>
      <c r="DL792" s="484">
        <v>0</v>
      </c>
      <c r="DM792" s="484">
        <v>0</v>
      </c>
      <c r="DN792" s="484" t="s">
        <v>1124</v>
      </c>
      <c r="DO792" s="484" t="s">
        <v>1124</v>
      </c>
      <c r="DP792" s="484" t="s">
        <v>1124</v>
      </c>
      <c r="DQ792" s="484" t="str">
        <f>IF(VLOOKUP($BS792,'État &amp; Plan d''action'!$B$6:$AJ$1113,28,FALSE)="","",VLOOKUP($BS792,'État &amp; Plan d''action'!$B$6:$AJ$1113,28,FALSE))</f>
        <v/>
      </c>
      <c r="DR792" s="70" t="str">
        <f>IF(VLOOKUP($BS792,'État &amp; Plan d''action'!$B$6:$AJ$1113,29,FALSE)="","",VLOOKUP($BS792,'État &amp; Plan d''action'!$B$6:$AJ$1113,29,FALSE))</f>
        <v/>
      </c>
      <c r="DS792" s="70" t="str">
        <f>IF(VLOOKUP($BS792,'État &amp; Plan d''action'!$B$6:$AJ$1113,30,FALSE)="","",VLOOKUP($BS792,'État &amp; Plan d''action'!$B$6:$AJ$1113,30,FALSE))</f>
        <v/>
      </c>
      <c r="DT792" s="70" t="s">
        <v>1124</v>
      </c>
      <c r="DU792" s="485" t="s">
        <v>1124</v>
      </c>
      <c r="DV792" s="485" t="s">
        <v>1124</v>
      </c>
      <c r="DW792" s="70" t="s">
        <v>1124</v>
      </c>
      <c r="DX792" s="70" t="s">
        <v>1124</v>
      </c>
      <c r="DY792" s="70" t="s">
        <v>1124</v>
      </c>
      <c r="DZ792" s="70" t="str">
        <f>VLOOKUP($BS792,'État &amp; Plan d''action'!$B$6:$AH$1113,31,FALSE)</f>
        <v/>
      </c>
      <c r="EA792" s="70" t="str">
        <f>VLOOKUP($BS792,'État &amp; Plan d''action'!$B$6:$AH$1113,32,FALSE)</f>
        <v/>
      </c>
      <c r="EB792" s="70" t="str">
        <f>VLOOKUP($BS792,'État &amp; Plan d''action'!$B$6:$AH$1113,33,FALSE)</f>
        <v/>
      </c>
      <c r="EC792" s="70" t="s">
        <v>1124</v>
      </c>
      <c r="ED792" s="70" t="s">
        <v>1124</v>
      </c>
      <c r="EE792" s="70" t="s">
        <v>1124</v>
      </c>
      <c r="EF792" s="70" t="s">
        <v>1124</v>
      </c>
      <c r="EG792" s="70" t="s">
        <v>1124</v>
      </c>
      <c r="EH792" s="72"/>
      <c r="EI792" s="72">
        <v>3386</v>
      </c>
    </row>
    <row r="793" spans="71:139" x14ac:dyDescent="0.35">
      <c r="BS793" s="486">
        <v>33052</v>
      </c>
      <c r="BT793" s="479" t="s">
        <v>274</v>
      </c>
      <c r="BU793" s="479">
        <v>12</v>
      </c>
      <c r="BV793" s="476" t="s">
        <v>1187</v>
      </c>
      <c r="BW793" s="476" t="s">
        <v>1187</v>
      </c>
      <c r="BX793" s="476" t="s">
        <v>1187</v>
      </c>
      <c r="BY793" s="476" t="s">
        <v>1187</v>
      </c>
      <c r="BZ793" s="476" t="s">
        <v>1187</v>
      </c>
      <c r="CA793" s="476" t="s">
        <v>1187</v>
      </c>
      <c r="CB793" s="476" t="s">
        <v>1187</v>
      </c>
      <c r="CC793" s="476" t="s">
        <v>1187</v>
      </c>
      <c r="CD793" s="476" t="s">
        <v>1187</v>
      </c>
      <c r="CE793" s="476" t="s">
        <v>1188</v>
      </c>
      <c r="CF793" s="476" t="s">
        <v>1188</v>
      </c>
      <c r="CG793" s="476" t="s">
        <v>1187</v>
      </c>
      <c r="CH793" s="476" t="s">
        <v>1188</v>
      </c>
      <c r="CI793" s="476" t="s">
        <v>1188</v>
      </c>
      <c r="CJ793" s="476" t="s">
        <v>1188</v>
      </c>
      <c r="CK793" s="476" t="s">
        <v>1188</v>
      </c>
      <c r="CL793" s="476" t="s">
        <v>1188</v>
      </c>
      <c r="CM793" s="476" t="str">
        <f>IF(VLOOKUP(BS793,'Données par municipalité'!$B$6:$E$1113,4,FALSE)="","non","oui")</f>
        <v>oui</v>
      </c>
      <c r="CN793" s="410">
        <v>329.93879343612167</v>
      </c>
      <c r="CO793" s="410">
        <v>341.49330374826559</v>
      </c>
      <c r="CP793" s="410"/>
      <c r="CQ793" s="410">
        <v>216.99837690792813</v>
      </c>
      <c r="CR793" s="410">
        <v>203.14250107057376</v>
      </c>
      <c r="CS793" s="410">
        <v>199.68422833190547</v>
      </c>
      <c r="CT793" s="410">
        <v>177.60368386720225</v>
      </c>
      <c r="CU793" s="410">
        <v>237</v>
      </c>
      <c r="CV793" s="410">
        <f>IF(VLOOKUP(BS793,'Données par municipalité'!$B$6:$F$1113,4,FALSE)="","",VLOOKUP(BS793,'Données par municipalité'!$B$6:$F$1113,4,FALSE))</f>
        <v>228</v>
      </c>
      <c r="CW793" s="476" t="s">
        <v>4723</v>
      </c>
      <c r="CX793" s="483">
        <v>0.4</v>
      </c>
      <c r="CY793" s="483" t="s">
        <v>1124</v>
      </c>
      <c r="CZ793" s="483">
        <v>1</v>
      </c>
      <c r="DA793" s="483">
        <v>1</v>
      </c>
      <c r="DB793" s="483">
        <v>1</v>
      </c>
      <c r="DC793" s="483">
        <v>1</v>
      </c>
      <c r="DD793" s="483">
        <v>0</v>
      </c>
      <c r="DE793" s="483">
        <f>IFERROR(SUM(VLOOKUP($BS793,'État &amp; Plan d''action'!$B$6:$Z$1113,18,FALSE),VLOOKUP($BS793,'État &amp; Plan d''action'!$B$6:$Z$1113,20,FALSE))/(VLOOKUP($BS793,'Données par municipalité'!$B$4:$L$1113,11,FALSE)),"")</f>
        <v>0</v>
      </c>
      <c r="DF793" s="483">
        <f>IFERROR(SUM(VLOOKUP($BS793,'État &amp; Plan d''action'!$B$6:$Z$1113,19,FALSE),VLOOKUP($BS793,'État &amp; Plan d''action'!$B$6:$Z$1113,21,FALSE))/(VLOOKUP($BS793,'Données par municipalité'!$B$4:$L$1113,11,FALSE)),"")</f>
        <v>0</v>
      </c>
      <c r="DG793" s="476" t="s">
        <v>4723</v>
      </c>
      <c r="DH793" s="484">
        <v>2</v>
      </c>
      <c r="DI793" s="484" t="s">
        <v>1124</v>
      </c>
      <c r="DJ793" s="484">
        <v>2</v>
      </c>
      <c r="DK793" s="484">
        <v>2</v>
      </c>
      <c r="DL793" s="484">
        <v>0</v>
      </c>
      <c r="DM793" s="484">
        <v>0</v>
      </c>
      <c r="DN793" s="484">
        <v>0</v>
      </c>
      <c r="DO793" s="484">
        <v>0</v>
      </c>
      <c r="DP793" s="484">
        <v>0</v>
      </c>
      <c r="DQ793" s="484">
        <f>IF(VLOOKUP($BS793,'État &amp; Plan d''action'!$B$6:$AJ$1113,28,FALSE)="","",VLOOKUP($BS793,'État &amp; Plan d''action'!$B$6:$AJ$1113,28,FALSE))</f>
        <v>3</v>
      </c>
      <c r="DR793" s="70">
        <f>IF(VLOOKUP($BS793,'État &amp; Plan d''action'!$B$6:$AJ$1113,29,FALSE)="","",VLOOKUP($BS793,'État &amp; Plan d''action'!$B$6:$AJ$1113,29,FALSE))</f>
        <v>0</v>
      </c>
      <c r="DS793" s="70">
        <f>IF(VLOOKUP($BS793,'État &amp; Plan d''action'!$B$6:$AJ$1113,30,FALSE)="","",VLOOKUP($BS793,'État &amp; Plan d''action'!$B$6:$AJ$1113,30,FALSE))</f>
        <v>0</v>
      </c>
      <c r="DT793" s="70">
        <v>183</v>
      </c>
      <c r="DU793" s="485">
        <v>1.207647825303406</v>
      </c>
      <c r="DV793" s="485">
        <v>0.83885957025369384</v>
      </c>
      <c r="DW793" s="70">
        <v>0</v>
      </c>
      <c r="DX793" s="70">
        <v>0</v>
      </c>
      <c r="DY793" s="70">
        <v>0</v>
      </c>
      <c r="DZ793" s="70">
        <f>VLOOKUP($BS793,'État &amp; Plan d''action'!$B$6:$AH$1113,31,FALSE)</f>
        <v>1</v>
      </c>
      <c r="EA793" s="70">
        <f>VLOOKUP($BS793,'État &amp; Plan d''action'!$B$6:$AH$1113,32,FALSE)</f>
        <v>0</v>
      </c>
      <c r="EB793" s="70">
        <f>VLOOKUP($BS793,'État &amp; Plan d''action'!$B$6:$AH$1113,33,FALSE)</f>
        <v>0</v>
      </c>
      <c r="EC793" s="70">
        <v>6.38</v>
      </c>
      <c r="ED793" s="70">
        <v>0</v>
      </c>
      <c r="EE793" s="70">
        <v>0</v>
      </c>
      <c r="EF793" s="70">
        <v>0</v>
      </c>
      <c r="EG793" s="70">
        <v>0</v>
      </c>
      <c r="EH793" s="72">
        <v>68</v>
      </c>
      <c r="EI793" s="72">
        <v>1625</v>
      </c>
    </row>
    <row r="794" spans="71:139" x14ac:dyDescent="0.35">
      <c r="BS794" s="486">
        <v>31030</v>
      </c>
      <c r="BT794" s="479" t="s">
        <v>241</v>
      </c>
      <c r="BU794" s="479">
        <v>12</v>
      </c>
      <c r="BV794" s="476" t="s">
        <v>1187</v>
      </c>
      <c r="BW794" s="476" t="s">
        <v>1187</v>
      </c>
      <c r="BX794" s="476" t="s">
        <v>1188</v>
      </c>
      <c r="BY794" s="476" t="s">
        <v>1188</v>
      </c>
      <c r="BZ794" s="476" t="s">
        <v>1188</v>
      </c>
      <c r="CA794" s="476" t="s">
        <v>1188</v>
      </c>
      <c r="CB794" s="476" t="s">
        <v>1188</v>
      </c>
      <c r="CC794" s="476" t="s">
        <v>1188</v>
      </c>
      <c r="CD794" s="476" t="s">
        <v>1188</v>
      </c>
      <c r="CE794" s="476" t="s">
        <v>1188</v>
      </c>
      <c r="CF794" s="476" t="s">
        <v>1188</v>
      </c>
      <c r="CG794" s="476" t="s">
        <v>1187</v>
      </c>
      <c r="CH794" s="476" t="s">
        <v>1187</v>
      </c>
      <c r="CI794" s="476" t="s">
        <v>1187</v>
      </c>
      <c r="CJ794" s="476" t="s">
        <v>1187</v>
      </c>
      <c r="CK794" s="476" t="s">
        <v>1187</v>
      </c>
      <c r="CL794" s="476" t="s">
        <v>1187</v>
      </c>
      <c r="CM794" s="476" t="str">
        <f>IF(VLOOKUP(BS794,'Données par municipalité'!$B$6:$E$1113,4,FALSE)="","non","oui")</f>
        <v>non</v>
      </c>
      <c r="CN794" s="410">
        <v>266.24694708276797</v>
      </c>
      <c r="CO794" s="410">
        <v>218.18181818181819</v>
      </c>
      <c r="CP794" s="410"/>
      <c r="CQ794" s="410"/>
      <c r="CR794" s="410"/>
      <c r="CS794" s="410" t="s">
        <v>1124</v>
      </c>
      <c r="CT794" s="410"/>
      <c r="CU794" s="410" t="s">
        <v>1124</v>
      </c>
      <c r="CV794" s="410" t="str">
        <f>IF(VLOOKUP(BS794,'Données par municipalité'!$B$6:$F$1113,4,FALSE)="","",VLOOKUP(BS794,'Données par municipalité'!$B$6:$F$1113,4,FALSE))</f>
        <v/>
      </c>
      <c r="CW794" s="476" t="s">
        <v>4723</v>
      </c>
      <c r="CX794" s="483">
        <v>0</v>
      </c>
      <c r="CY794" s="483" t="s">
        <v>1124</v>
      </c>
      <c r="CZ794" s="483" t="s">
        <v>1124</v>
      </c>
      <c r="DA794" s="483" t="s">
        <v>1124</v>
      </c>
      <c r="DB794" s="483" t="s">
        <v>1124</v>
      </c>
      <c r="DC794" s="483" t="s">
        <v>1124</v>
      </c>
      <c r="DD794" s="483" t="s">
        <v>1124</v>
      </c>
      <c r="DE794" s="483" t="str">
        <f>IFERROR(SUM(VLOOKUP($BS794,'État &amp; Plan d''action'!$B$6:$Z$1113,18,FALSE),VLOOKUP($BS794,'État &amp; Plan d''action'!$B$6:$Z$1113,20,FALSE))/(VLOOKUP($BS794,'Données par municipalité'!$B$4:$L$1113,11,FALSE)),"")</f>
        <v/>
      </c>
      <c r="DF794" s="483" t="str">
        <f>IFERROR(SUM(VLOOKUP($BS794,'État &amp; Plan d''action'!$B$6:$Z$1113,19,FALSE),VLOOKUP($BS794,'État &amp; Plan d''action'!$B$6:$Z$1113,21,FALSE))/(VLOOKUP($BS794,'Données par municipalité'!$B$4:$L$1113,11,FALSE)),"")</f>
        <v/>
      </c>
      <c r="DG794" s="476" t="s">
        <v>4723</v>
      </c>
      <c r="DH794" s="484">
        <v>3</v>
      </c>
      <c r="DI794" s="484" t="s">
        <v>1124</v>
      </c>
      <c r="DJ794" s="484">
        <v>0</v>
      </c>
      <c r="DK794" s="484">
        <v>0</v>
      </c>
      <c r="DL794" s="484" t="s">
        <v>1124</v>
      </c>
      <c r="DM794" s="484" t="s">
        <v>1124</v>
      </c>
      <c r="DN794" s="484" t="s">
        <v>1124</v>
      </c>
      <c r="DO794" s="484" t="s">
        <v>1124</v>
      </c>
      <c r="DP794" s="484" t="s">
        <v>1124</v>
      </c>
      <c r="DQ794" s="484" t="str">
        <f>IF(VLOOKUP($BS794,'État &amp; Plan d''action'!$B$6:$AJ$1113,28,FALSE)="","",VLOOKUP($BS794,'État &amp; Plan d''action'!$B$6:$AJ$1113,28,FALSE))</f>
        <v/>
      </c>
      <c r="DR794" s="70" t="str">
        <f>IF(VLOOKUP($BS794,'État &amp; Plan d''action'!$B$6:$AJ$1113,29,FALSE)="","",VLOOKUP($BS794,'État &amp; Plan d''action'!$B$6:$AJ$1113,29,FALSE))</f>
        <v/>
      </c>
      <c r="DS794" s="70" t="str">
        <f>IF(VLOOKUP($BS794,'État &amp; Plan d''action'!$B$6:$AJ$1113,30,FALSE)="","",VLOOKUP($BS794,'État &amp; Plan d''action'!$B$6:$AJ$1113,30,FALSE))</f>
        <v/>
      </c>
      <c r="DT794" s="70" t="s">
        <v>1124</v>
      </c>
      <c r="DU794" s="485" t="s">
        <v>1124</v>
      </c>
      <c r="DV794" s="485" t="s">
        <v>1124</v>
      </c>
      <c r="DW794" s="70" t="s">
        <v>1124</v>
      </c>
      <c r="DX794" s="70" t="s">
        <v>1124</v>
      </c>
      <c r="DY794" s="70" t="s">
        <v>1124</v>
      </c>
      <c r="DZ794" s="70" t="str">
        <f>VLOOKUP($BS794,'État &amp; Plan d''action'!$B$6:$AH$1113,31,FALSE)</f>
        <v/>
      </c>
      <c r="EA794" s="70" t="str">
        <f>VLOOKUP($BS794,'État &amp; Plan d''action'!$B$6:$AH$1113,32,FALSE)</f>
        <v/>
      </c>
      <c r="EB794" s="70" t="str">
        <f>VLOOKUP($BS794,'État &amp; Plan d''action'!$B$6:$AH$1113,33,FALSE)</f>
        <v/>
      </c>
      <c r="EC794" s="70" t="s">
        <v>1124</v>
      </c>
      <c r="ED794" s="70" t="s">
        <v>1124</v>
      </c>
      <c r="EE794" s="70" t="s">
        <v>1124</v>
      </c>
      <c r="EF794" s="70" t="s">
        <v>1124</v>
      </c>
      <c r="EG794" s="70" t="s">
        <v>1124</v>
      </c>
      <c r="EH794" s="72"/>
      <c r="EI794" s="72">
        <v>264</v>
      </c>
    </row>
    <row r="795" spans="71:139" x14ac:dyDescent="0.35">
      <c r="BS795" s="486">
        <v>6055</v>
      </c>
      <c r="BT795" s="479" t="s">
        <v>1066</v>
      </c>
      <c r="BU795" s="479">
        <v>11</v>
      </c>
      <c r="BV795" s="476" t="s">
        <v>1187</v>
      </c>
      <c r="BW795" s="476" t="s">
        <v>1187</v>
      </c>
      <c r="BX795" s="476" t="s">
        <v>1187</v>
      </c>
      <c r="BY795" s="476" t="s">
        <v>1187</v>
      </c>
      <c r="BZ795" s="476" t="s">
        <v>1187</v>
      </c>
      <c r="CA795" s="476" t="s">
        <v>1187</v>
      </c>
      <c r="CB795" s="476" t="s">
        <v>1187</v>
      </c>
      <c r="CC795" s="476" t="s">
        <v>1187</v>
      </c>
      <c r="CD795" s="476" t="s">
        <v>1187</v>
      </c>
      <c r="CE795" s="476" t="s">
        <v>1188</v>
      </c>
      <c r="CF795" s="476" t="s">
        <v>1188</v>
      </c>
      <c r="CG795" s="476" t="s">
        <v>1188</v>
      </c>
      <c r="CH795" s="476" t="s">
        <v>1188</v>
      </c>
      <c r="CI795" s="476" t="s">
        <v>1188</v>
      </c>
      <c r="CJ795" s="476" t="s">
        <v>1188</v>
      </c>
      <c r="CK795" s="476" t="s">
        <v>1187</v>
      </c>
      <c r="CL795" s="476" t="s">
        <v>1188</v>
      </c>
      <c r="CM795" s="476" t="str">
        <f>IF(VLOOKUP(BS795,'Données par municipalité'!$B$6:$E$1113,4,FALSE)="","non","oui")</f>
        <v>oui</v>
      </c>
      <c r="CN795" s="410">
        <v>683.13641245972076</v>
      </c>
      <c r="CO795" s="410">
        <v>921.61914390723871</v>
      </c>
      <c r="CP795" s="410">
        <v>794.44149472908884</v>
      </c>
      <c r="CQ795" s="410">
        <v>712.21705163566878</v>
      </c>
      <c r="CR795" s="410">
        <v>574.44186030185324</v>
      </c>
      <c r="CS795" s="410">
        <v>348.14179040425716</v>
      </c>
      <c r="CT795" s="410"/>
      <c r="CU795" s="410">
        <v>629</v>
      </c>
      <c r="CV795" s="410">
        <f>IF(VLOOKUP(BS795,'Données par municipalité'!$B$6:$F$1113,4,FALSE)="","",VLOOKUP(BS795,'Données par municipalité'!$B$6:$F$1113,4,FALSE))</f>
        <v>362</v>
      </c>
      <c r="CW795" s="476" t="s">
        <v>4723</v>
      </c>
      <c r="CX795" s="483">
        <v>0.75</v>
      </c>
      <c r="CY795" s="483">
        <v>0.25</v>
      </c>
      <c r="CZ795" s="483">
        <v>0</v>
      </c>
      <c r="DA795" s="483">
        <v>0</v>
      </c>
      <c r="DB795" s="483">
        <v>0</v>
      </c>
      <c r="DC795" s="483" t="s">
        <v>1124</v>
      </c>
      <c r="DD795" s="483" t="s">
        <v>1124</v>
      </c>
      <c r="DE795" s="483">
        <f>IFERROR(SUM(VLOOKUP($BS795,'État &amp; Plan d''action'!$B$6:$Z$1113,18,FALSE),VLOOKUP($BS795,'État &amp; Plan d''action'!$B$6:$Z$1113,20,FALSE))/(VLOOKUP($BS795,'Données par municipalité'!$B$4:$L$1113,11,FALSE)),"")</f>
        <v>1</v>
      </c>
      <c r="DF795" s="483">
        <f>IFERROR(SUM(VLOOKUP($BS795,'État &amp; Plan d''action'!$B$6:$Z$1113,19,FALSE),VLOOKUP($BS795,'État &amp; Plan d''action'!$B$6:$Z$1113,21,FALSE))/(VLOOKUP($BS795,'Données par municipalité'!$B$4:$L$1113,11,FALSE)),"")</f>
        <v>0.3830683777054204</v>
      </c>
      <c r="DG795" s="476" t="s">
        <v>4723</v>
      </c>
      <c r="DH795" s="484">
        <v>1</v>
      </c>
      <c r="DI795" s="484">
        <v>3</v>
      </c>
      <c r="DJ795" s="484">
        <v>1</v>
      </c>
      <c r="DK795" s="484">
        <v>4</v>
      </c>
      <c r="DL795" s="484">
        <v>2</v>
      </c>
      <c r="DM795" s="484" t="s">
        <v>1124</v>
      </c>
      <c r="DN795" s="484">
        <v>0</v>
      </c>
      <c r="DO795" s="484">
        <v>3</v>
      </c>
      <c r="DP795" s="484">
        <v>1</v>
      </c>
      <c r="DQ795" s="484">
        <f>IF(VLOOKUP($BS795,'État &amp; Plan d''action'!$B$6:$AJ$1113,28,FALSE)="","",VLOOKUP($BS795,'État &amp; Plan d''action'!$B$6:$AJ$1113,28,FALSE))</f>
        <v>0</v>
      </c>
      <c r="DR795" s="70">
        <f>IF(VLOOKUP($BS795,'État &amp; Plan d''action'!$B$6:$AJ$1113,29,FALSE)="","",VLOOKUP($BS795,'État &amp; Plan d''action'!$B$6:$AJ$1113,29,FALSE))</f>
        <v>0</v>
      </c>
      <c r="DS795" s="70">
        <f>IF(VLOOKUP($BS795,'État &amp; Plan d''action'!$B$6:$AJ$1113,30,FALSE)="","",VLOOKUP($BS795,'État &amp; Plan d''action'!$B$6:$AJ$1113,30,FALSE))</f>
        <v>0</v>
      </c>
      <c r="DT795" s="70">
        <v>235</v>
      </c>
      <c r="DU795" s="485">
        <v>9.139246825214741</v>
      </c>
      <c r="DV795" s="485">
        <v>1.431603079784868</v>
      </c>
      <c r="DW795" s="70">
        <v>0</v>
      </c>
      <c r="DX795" s="70">
        <v>5</v>
      </c>
      <c r="DY795" s="70">
        <v>5</v>
      </c>
      <c r="DZ795" s="70">
        <f>VLOOKUP($BS795,'État &amp; Plan d''action'!$B$6:$AH$1113,31,FALSE)</f>
        <v>0</v>
      </c>
      <c r="EA795" s="70">
        <f>VLOOKUP($BS795,'État &amp; Plan d''action'!$B$6:$AH$1113,32,FALSE)</f>
        <v>0</v>
      </c>
      <c r="EB795" s="70">
        <f>VLOOKUP($BS795,'État &amp; Plan d''action'!$B$6:$AH$1113,33,FALSE)</f>
        <v>0</v>
      </c>
      <c r="EC795" s="70">
        <v>0</v>
      </c>
      <c r="ED795" s="70">
        <v>0</v>
      </c>
      <c r="EE795" s="70">
        <v>5.2210000000000001</v>
      </c>
      <c r="EF795" s="70">
        <v>0</v>
      </c>
      <c r="EG795" s="70">
        <v>0</v>
      </c>
      <c r="EH795" s="72">
        <v>59</v>
      </c>
      <c r="EI795" s="72">
        <v>672</v>
      </c>
    </row>
    <row r="796" spans="71:139" x14ac:dyDescent="0.35">
      <c r="BS796" s="486">
        <v>18060</v>
      </c>
      <c r="BT796" s="479" t="s">
        <v>115</v>
      </c>
      <c r="BU796" s="479">
        <v>12</v>
      </c>
      <c r="BV796" s="476" t="s">
        <v>1187</v>
      </c>
      <c r="BW796" s="476" t="s">
        <v>1187</v>
      </c>
      <c r="BX796" s="476" t="s">
        <v>1187</v>
      </c>
      <c r="BY796" s="476" t="s">
        <v>1187</v>
      </c>
      <c r="BZ796" s="476" t="s">
        <v>1187</v>
      </c>
      <c r="CA796" s="476" t="s">
        <v>1187</v>
      </c>
      <c r="CB796" s="476" t="s">
        <v>1187</v>
      </c>
      <c r="CC796" s="476" t="s">
        <v>1187</v>
      </c>
      <c r="CD796" s="476" t="s">
        <v>1187</v>
      </c>
      <c r="CE796" s="476" t="s">
        <v>1188</v>
      </c>
      <c r="CF796" s="476" t="s">
        <v>1188</v>
      </c>
      <c r="CG796" s="476" t="s">
        <v>1188</v>
      </c>
      <c r="CH796" s="476" t="s">
        <v>1188</v>
      </c>
      <c r="CI796" s="476" t="s">
        <v>1188</v>
      </c>
      <c r="CJ796" s="476" t="s">
        <v>1187</v>
      </c>
      <c r="CK796" s="476" t="s">
        <v>1187</v>
      </c>
      <c r="CL796" s="476" t="s">
        <v>1187</v>
      </c>
      <c r="CM796" s="476" t="str">
        <f>IF(VLOOKUP(BS796,'Données par municipalité'!$B$6:$E$1113,4,FALSE)="","non","oui")</f>
        <v>non</v>
      </c>
      <c r="CN796" s="410">
        <v>954.37777025415221</v>
      </c>
      <c r="CO796" s="410">
        <v>781.14858781902308</v>
      </c>
      <c r="CP796" s="410">
        <v>746.43925634031189</v>
      </c>
      <c r="CQ796" s="410">
        <v>682.60099070450099</v>
      </c>
      <c r="CR796" s="410">
        <v>747.93666249828107</v>
      </c>
      <c r="CS796" s="410" t="s">
        <v>1124</v>
      </c>
      <c r="CT796" s="410"/>
      <c r="CU796" s="410" t="s">
        <v>1124</v>
      </c>
      <c r="CV796" s="410" t="str">
        <f>IF(VLOOKUP(BS796,'Données par municipalité'!$B$6:$F$1113,4,FALSE)="","",VLOOKUP(BS796,'Données par municipalité'!$B$6:$F$1113,4,FALSE))</f>
        <v/>
      </c>
      <c r="CW796" s="476" t="s">
        <v>4723</v>
      </c>
      <c r="CX796" s="483">
        <v>0</v>
      </c>
      <c r="CY796" s="483">
        <v>0</v>
      </c>
      <c r="CZ796" s="483">
        <v>0</v>
      </c>
      <c r="DA796" s="483">
        <v>0.1</v>
      </c>
      <c r="DB796" s="483" t="s">
        <v>1124</v>
      </c>
      <c r="DC796" s="483" t="s">
        <v>1124</v>
      </c>
      <c r="DD796" s="483" t="s">
        <v>1124</v>
      </c>
      <c r="DE796" s="483" t="str">
        <f>IFERROR(SUM(VLOOKUP($BS796,'État &amp; Plan d''action'!$B$6:$Z$1113,18,FALSE),VLOOKUP($BS796,'État &amp; Plan d''action'!$B$6:$Z$1113,20,FALSE))/(VLOOKUP($BS796,'Données par municipalité'!$B$4:$L$1113,11,FALSE)),"")</f>
        <v/>
      </c>
      <c r="DF796" s="483" t="str">
        <f>IFERROR(SUM(VLOOKUP($BS796,'État &amp; Plan d''action'!$B$6:$Z$1113,19,FALSE),VLOOKUP($BS796,'État &amp; Plan d''action'!$B$6:$Z$1113,21,FALSE))/(VLOOKUP($BS796,'Données par municipalité'!$B$4:$L$1113,11,FALSE)),"")</f>
        <v/>
      </c>
      <c r="DG796" s="476" t="s">
        <v>4723</v>
      </c>
      <c r="DH796" s="484">
        <v>1</v>
      </c>
      <c r="DI796" s="484">
        <v>1</v>
      </c>
      <c r="DJ796" s="484">
        <v>4</v>
      </c>
      <c r="DK796" s="484">
        <v>5</v>
      </c>
      <c r="DL796" s="484" t="s">
        <v>1124</v>
      </c>
      <c r="DM796" s="484" t="s">
        <v>1124</v>
      </c>
      <c r="DN796" s="484" t="s">
        <v>1124</v>
      </c>
      <c r="DO796" s="484" t="s">
        <v>1124</v>
      </c>
      <c r="DP796" s="484" t="s">
        <v>1124</v>
      </c>
      <c r="DQ796" s="484" t="str">
        <f>IF(VLOOKUP($BS796,'État &amp; Plan d''action'!$B$6:$AJ$1113,28,FALSE)="","",VLOOKUP($BS796,'État &amp; Plan d''action'!$B$6:$AJ$1113,28,FALSE))</f>
        <v/>
      </c>
      <c r="DR796" s="70" t="str">
        <f>IF(VLOOKUP($BS796,'État &amp; Plan d''action'!$B$6:$AJ$1113,29,FALSE)="","",VLOOKUP($BS796,'État &amp; Plan d''action'!$B$6:$AJ$1113,29,FALSE))</f>
        <v/>
      </c>
      <c r="DS796" s="70" t="str">
        <f>IF(VLOOKUP($BS796,'État &amp; Plan d''action'!$B$6:$AJ$1113,30,FALSE)="","",VLOOKUP($BS796,'État &amp; Plan d''action'!$B$6:$AJ$1113,30,FALSE))</f>
        <v/>
      </c>
      <c r="DT796" s="70" t="s">
        <v>1124</v>
      </c>
      <c r="DU796" s="485" t="s">
        <v>1124</v>
      </c>
      <c r="DV796" s="485" t="s">
        <v>1124</v>
      </c>
      <c r="DW796" s="70" t="s">
        <v>1124</v>
      </c>
      <c r="DX796" s="70" t="s">
        <v>1124</v>
      </c>
      <c r="DY796" s="70" t="s">
        <v>1124</v>
      </c>
      <c r="DZ796" s="70" t="str">
        <f>VLOOKUP($BS796,'État &amp; Plan d''action'!$B$6:$AH$1113,31,FALSE)</f>
        <v/>
      </c>
      <c r="EA796" s="70" t="str">
        <f>VLOOKUP($BS796,'État &amp; Plan d''action'!$B$6:$AH$1113,32,FALSE)</f>
        <v/>
      </c>
      <c r="EB796" s="70" t="str">
        <f>VLOOKUP($BS796,'État &amp; Plan d''action'!$B$6:$AH$1113,33,FALSE)</f>
        <v/>
      </c>
      <c r="EC796" s="70" t="s">
        <v>1124</v>
      </c>
      <c r="ED796" s="70" t="s">
        <v>1124</v>
      </c>
      <c r="EE796" s="70" t="s">
        <v>1124</v>
      </c>
      <c r="EF796" s="70" t="s">
        <v>1124</v>
      </c>
      <c r="EG796" s="70" t="s">
        <v>1124</v>
      </c>
      <c r="EH796" s="72"/>
      <c r="EI796" s="72">
        <v>1652</v>
      </c>
    </row>
    <row r="797" spans="71:139" x14ac:dyDescent="0.35">
      <c r="BS797" s="486">
        <v>20005</v>
      </c>
      <c r="BT797" s="479" t="s">
        <v>138</v>
      </c>
      <c r="BU797" s="479">
        <v>3</v>
      </c>
      <c r="BV797" s="476" t="s">
        <v>1188</v>
      </c>
      <c r="BW797" s="476" t="s">
        <v>1188</v>
      </c>
      <c r="BX797" s="476" t="s">
        <v>1188</v>
      </c>
      <c r="BY797" s="476" t="s">
        <v>1188</v>
      </c>
      <c r="BZ797" s="476" t="s">
        <v>1188</v>
      </c>
      <c r="CA797" s="476" t="s">
        <v>1188</v>
      </c>
      <c r="CB797" s="476" t="s">
        <v>1188</v>
      </c>
      <c r="CC797" s="476" t="s">
        <v>1188</v>
      </c>
      <c r="CD797" s="476" t="s">
        <v>1188</v>
      </c>
      <c r="CE797" s="476" t="s">
        <v>1187</v>
      </c>
      <c r="CF797" s="476" t="s">
        <v>1187</v>
      </c>
      <c r="CG797" s="476" t="s">
        <v>1187</v>
      </c>
      <c r="CH797" s="476" t="s">
        <v>1187</v>
      </c>
      <c r="CI797" s="476" t="s">
        <v>1187</v>
      </c>
      <c r="CJ797" s="476" t="s">
        <v>1187</v>
      </c>
      <c r="CK797" s="476" t="s">
        <v>1187</v>
      </c>
      <c r="CL797" s="476" t="s">
        <v>1187</v>
      </c>
      <c r="CM797" s="476" t="str">
        <f>IF(VLOOKUP(BS797,'Données par municipalité'!$B$6:$E$1113,4,FALSE)="","non","oui")</f>
        <v>non</v>
      </c>
      <c r="CN797" s="410" t="s">
        <v>1124</v>
      </c>
      <c r="CO797" s="410" t="s">
        <v>1124</v>
      </c>
      <c r="CP797" s="410"/>
      <c r="CQ797" s="410"/>
      <c r="CR797" s="410"/>
      <c r="CS797" s="410" t="s">
        <v>1124</v>
      </c>
      <c r="CT797" s="410"/>
      <c r="CU797" s="410" t="s">
        <v>1124</v>
      </c>
      <c r="CV797" s="410" t="str">
        <f>IF(VLOOKUP(BS797,'Données par municipalité'!$B$6:$F$1113,4,FALSE)="","",VLOOKUP(BS797,'Données par municipalité'!$B$6:$F$1113,4,FALSE))</f>
        <v/>
      </c>
      <c r="CW797" s="476" t="s">
        <v>4723</v>
      </c>
      <c r="CX797" s="483" t="s">
        <v>1124</v>
      </c>
      <c r="CY797" s="483" t="s">
        <v>1124</v>
      </c>
      <c r="CZ797" s="483" t="s">
        <v>1124</v>
      </c>
      <c r="DA797" s="483" t="s">
        <v>1124</v>
      </c>
      <c r="DB797" s="483" t="s">
        <v>1124</v>
      </c>
      <c r="DC797" s="483" t="s">
        <v>1124</v>
      </c>
      <c r="DD797" s="483" t="s">
        <v>1124</v>
      </c>
      <c r="DE797" s="483" t="str">
        <f>IFERROR(SUM(VLOOKUP($BS797,'État &amp; Plan d''action'!$B$6:$Z$1113,18,FALSE),VLOOKUP($BS797,'État &amp; Plan d''action'!$B$6:$Z$1113,20,FALSE))/(VLOOKUP($BS797,'Données par municipalité'!$B$4:$L$1113,11,FALSE)),"")</f>
        <v/>
      </c>
      <c r="DF797" s="483" t="str">
        <f>IFERROR(SUM(VLOOKUP($BS797,'État &amp; Plan d''action'!$B$6:$Z$1113,19,FALSE),VLOOKUP($BS797,'État &amp; Plan d''action'!$B$6:$Z$1113,21,FALSE))/(VLOOKUP($BS797,'Données par municipalité'!$B$4:$L$1113,11,FALSE)),"")</f>
        <v/>
      </c>
      <c r="DG797" s="476" t="s">
        <v>4723</v>
      </c>
      <c r="DH797" s="484" t="s">
        <v>1124</v>
      </c>
      <c r="DI797" s="484" t="s">
        <v>1124</v>
      </c>
      <c r="DJ797" s="484">
        <v>0</v>
      </c>
      <c r="DK797" s="484">
        <v>0</v>
      </c>
      <c r="DL797" s="484" t="s">
        <v>1124</v>
      </c>
      <c r="DM797" s="484" t="s">
        <v>1124</v>
      </c>
      <c r="DN797" s="484" t="s">
        <v>1124</v>
      </c>
      <c r="DO797" s="484" t="s">
        <v>1124</v>
      </c>
      <c r="DP797" s="484" t="s">
        <v>1124</v>
      </c>
      <c r="DQ797" s="484" t="str">
        <f>IF(VLOOKUP($BS797,'État &amp; Plan d''action'!$B$6:$AJ$1113,28,FALSE)="","",VLOOKUP($BS797,'État &amp; Plan d''action'!$B$6:$AJ$1113,28,FALSE))</f>
        <v/>
      </c>
      <c r="DR797" s="70" t="str">
        <f>IF(VLOOKUP($BS797,'État &amp; Plan d''action'!$B$6:$AJ$1113,29,FALSE)="","",VLOOKUP($BS797,'État &amp; Plan d''action'!$B$6:$AJ$1113,29,FALSE))</f>
        <v/>
      </c>
      <c r="DS797" s="70" t="str">
        <f>IF(VLOOKUP($BS797,'État &amp; Plan d''action'!$B$6:$AJ$1113,30,FALSE)="","",VLOOKUP($BS797,'État &amp; Plan d''action'!$B$6:$AJ$1113,30,FALSE))</f>
        <v/>
      </c>
      <c r="DT797" s="70" t="s">
        <v>1124</v>
      </c>
      <c r="DU797" s="485" t="s">
        <v>1124</v>
      </c>
      <c r="DV797" s="485" t="s">
        <v>1124</v>
      </c>
      <c r="DW797" s="70" t="s">
        <v>1124</v>
      </c>
      <c r="DX797" s="70" t="s">
        <v>1124</v>
      </c>
      <c r="DY797" s="70" t="s">
        <v>1124</v>
      </c>
      <c r="DZ797" s="70" t="str">
        <f>VLOOKUP($BS797,'État &amp; Plan d''action'!$B$6:$AH$1113,31,FALSE)</f>
        <v/>
      </c>
      <c r="EA797" s="70" t="str">
        <f>VLOOKUP($BS797,'État &amp; Plan d''action'!$B$6:$AH$1113,32,FALSE)</f>
        <v/>
      </c>
      <c r="EB797" s="70" t="str">
        <f>VLOOKUP($BS797,'État &amp; Plan d''action'!$B$6:$AH$1113,33,FALSE)</f>
        <v/>
      </c>
      <c r="EC797" s="70" t="s">
        <v>1124</v>
      </c>
      <c r="ED797" s="70" t="s">
        <v>1124</v>
      </c>
      <c r="EE797" s="70" t="s">
        <v>1124</v>
      </c>
      <c r="EF797" s="70" t="s">
        <v>1124</v>
      </c>
      <c r="EG797" s="70" t="s">
        <v>1124</v>
      </c>
      <c r="EH797" s="72"/>
      <c r="EI797" s="72">
        <v>581</v>
      </c>
    </row>
    <row r="798" spans="71:139" x14ac:dyDescent="0.35">
      <c r="BS798" s="486">
        <v>91015</v>
      </c>
      <c r="BT798" s="479" t="s">
        <v>939</v>
      </c>
      <c r="BU798" s="479">
        <v>2</v>
      </c>
      <c r="BV798" s="476" t="s">
        <v>1187</v>
      </c>
      <c r="BW798" s="476" t="s">
        <v>1187</v>
      </c>
      <c r="BX798" s="476" t="s">
        <v>1187</v>
      </c>
      <c r="BY798" s="476" t="s">
        <v>1187</v>
      </c>
      <c r="BZ798" s="476" t="s">
        <v>1187</v>
      </c>
      <c r="CA798" s="476" t="s">
        <v>1187</v>
      </c>
      <c r="CB798" s="476" t="s">
        <v>1187</v>
      </c>
      <c r="CC798" s="476" t="s">
        <v>1187</v>
      </c>
      <c r="CD798" s="476" t="s">
        <v>1187</v>
      </c>
      <c r="CE798" s="476" t="s">
        <v>1188</v>
      </c>
      <c r="CF798" s="476" t="s">
        <v>1188</v>
      </c>
      <c r="CG798" s="476" t="s">
        <v>1188</v>
      </c>
      <c r="CH798" s="476" t="s">
        <v>1188</v>
      </c>
      <c r="CI798" s="476" t="s">
        <v>1188</v>
      </c>
      <c r="CJ798" s="476" t="s">
        <v>1188</v>
      </c>
      <c r="CK798" s="476" t="s">
        <v>1188</v>
      </c>
      <c r="CL798" s="476" t="s">
        <v>1188</v>
      </c>
      <c r="CM798" s="476" t="str">
        <f>IF(VLOOKUP(BS798,'Données par municipalité'!$B$6:$E$1113,4,FALSE)="","non","oui")</f>
        <v>oui</v>
      </c>
      <c r="CN798" s="410">
        <v>497.16759179100677</v>
      </c>
      <c r="CO798" s="410">
        <v>565.34032100621903</v>
      </c>
      <c r="CP798" s="410">
        <v>646.91950000483359</v>
      </c>
      <c r="CQ798" s="410">
        <v>486.07982411635373</v>
      </c>
      <c r="CR798" s="410">
        <v>535.73891924203986</v>
      </c>
      <c r="CS798" s="410">
        <v>447.03188054366854</v>
      </c>
      <c r="CT798" s="410">
        <v>476.74032085935733</v>
      </c>
      <c r="CU798" s="410">
        <v>578</v>
      </c>
      <c r="CV798" s="410">
        <f>IF(VLOOKUP(BS798,'Données par municipalité'!$B$6:$F$1113,4,FALSE)="","",VLOOKUP(BS798,'Données par municipalité'!$B$6:$F$1113,4,FALSE))</f>
        <v>714</v>
      </c>
      <c r="CW798" s="476" t="s">
        <v>4723</v>
      </c>
      <c r="CX798" s="483">
        <v>0</v>
      </c>
      <c r="CY798" s="483">
        <v>0.11</v>
      </c>
      <c r="CZ798" s="483">
        <v>0.2</v>
      </c>
      <c r="DA798" s="483">
        <v>0.2</v>
      </c>
      <c r="DB798" s="483">
        <v>0.2</v>
      </c>
      <c r="DC798" s="483">
        <v>1</v>
      </c>
      <c r="DD798" s="483">
        <v>0</v>
      </c>
      <c r="DE798" s="483">
        <f>IFERROR(SUM(VLOOKUP($BS798,'État &amp; Plan d''action'!$B$6:$Z$1113,18,FALSE),VLOOKUP($BS798,'État &amp; Plan d''action'!$B$6:$Z$1113,20,FALSE))/(VLOOKUP($BS798,'Données par municipalité'!$B$4:$L$1113,11,FALSE)),"")</f>
        <v>0</v>
      </c>
      <c r="DF798" s="483">
        <f>IFERROR(SUM(VLOOKUP($BS798,'État &amp; Plan d''action'!$B$6:$Z$1113,19,FALSE),VLOOKUP($BS798,'État &amp; Plan d''action'!$B$6:$Z$1113,21,FALSE))/(VLOOKUP($BS798,'Données par municipalité'!$B$4:$L$1113,11,FALSE)),"")</f>
        <v>1</v>
      </c>
      <c r="DG798" s="476" t="s">
        <v>4723</v>
      </c>
      <c r="DH798" s="484">
        <v>0</v>
      </c>
      <c r="DI798" s="484">
        <v>1</v>
      </c>
      <c r="DJ798" s="484">
        <v>0</v>
      </c>
      <c r="DK798" s="484">
        <v>0</v>
      </c>
      <c r="DL798" s="484">
        <v>0</v>
      </c>
      <c r="DM798" s="484">
        <v>0</v>
      </c>
      <c r="DN798" s="484">
        <v>1</v>
      </c>
      <c r="DO798" s="484">
        <v>4</v>
      </c>
      <c r="DP798" s="484">
        <v>0</v>
      </c>
      <c r="DQ798" s="484">
        <f>IF(VLOOKUP($BS798,'État &amp; Plan d''action'!$B$6:$AJ$1113,28,FALSE)="","",VLOOKUP($BS798,'État &amp; Plan d''action'!$B$6:$AJ$1113,28,FALSE))</f>
        <v>2</v>
      </c>
      <c r="DR798" s="70">
        <f>IF(VLOOKUP($BS798,'État &amp; Plan d''action'!$B$6:$AJ$1113,29,FALSE)="","",VLOOKUP($BS798,'État &amp; Plan d''action'!$B$6:$AJ$1113,29,FALSE))</f>
        <v>0</v>
      </c>
      <c r="DS798" s="70">
        <f>IF(VLOOKUP($BS798,'État &amp; Plan d''action'!$B$6:$AJ$1113,30,FALSE)="","",VLOOKUP($BS798,'État &amp; Plan d''action'!$B$6:$AJ$1113,30,FALSE))</f>
        <v>3</v>
      </c>
      <c r="DT798" s="70">
        <v>427</v>
      </c>
      <c r="DU798" s="485">
        <v>1.961730833585926</v>
      </c>
      <c r="DV798" s="485">
        <v>9.6394511037391002</v>
      </c>
      <c r="DW798" s="70">
        <v>1</v>
      </c>
      <c r="DX798" s="70">
        <v>1</v>
      </c>
      <c r="DY798" s="70">
        <v>0</v>
      </c>
      <c r="DZ798" s="70">
        <f>VLOOKUP($BS798,'État &amp; Plan d''action'!$B$6:$AH$1113,31,FALSE)</f>
        <v>2</v>
      </c>
      <c r="EA798" s="70">
        <f>VLOOKUP($BS798,'État &amp; Plan d''action'!$B$6:$AH$1113,32,FALSE)</f>
        <v>0</v>
      </c>
      <c r="EB798" s="70">
        <f>VLOOKUP($BS798,'État &amp; Plan d''action'!$B$6:$AH$1113,33,FALSE)</f>
        <v>5</v>
      </c>
      <c r="EC798" s="70">
        <v>16.667999999999999</v>
      </c>
      <c r="ED798" s="70">
        <v>0</v>
      </c>
      <c r="EE798" s="70">
        <v>0</v>
      </c>
      <c r="EF798" s="70">
        <v>0</v>
      </c>
      <c r="EG798" s="70">
        <v>0</v>
      </c>
      <c r="EH798" s="72">
        <v>57</v>
      </c>
      <c r="EI798" s="72">
        <v>645</v>
      </c>
    </row>
    <row r="799" spans="71:139" x14ac:dyDescent="0.35">
      <c r="BS799" s="486">
        <v>50128</v>
      </c>
      <c r="BT799" s="479" t="s">
        <v>497</v>
      </c>
      <c r="BU799" s="479">
        <v>17</v>
      </c>
      <c r="BV799" s="476" t="s">
        <v>1187</v>
      </c>
      <c r="BW799" s="476" t="s">
        <v>1187</v>
      </c>
      <c r="BX799" s="476" t="s">
        <v>1187</v>
      </c>
      <c r="BY799" s="476" t="s">
        <v>1187</v>
      </c>
      <c r="BZ799" s="476" t="s">
        <v>1187</v>
      </c>
      <c r="CA799" s="476" t="s">
        <v>1187</v>
      </c>
      <c r="CB799" s="476" t="s">
        <v>1187</v>
      </c>
      <c r="CC799" s="476" t="s">
        <v>1187</v>
      </c>
      <c r="CD799" s="476" t="s">
        <v>1187</v>
      </c>
      <c r="CE799" s="476" t="s">
        <v>1188</v>
      </c>
      <c r="CF799" s="476" t="s">
        <v>1188</v>
      </c>
      <c r="CG799" s="476" t="s">
        <v>1188</v>
      </c>
      <c r="CH799" s="476" t="s">
        <v>1188</v>
      </c>
      <c r="CI799" s="476" t="s">
        <v>1188</v>
      </c>
      <c r="CJ799" s="476" t="s">
        <v>1188</v>
      </c>
      <c r="CK799" s="476" t="s">
        <v>1188</v>
      </c>
      <c r="CL799" s="476" t="s">
        <v>1188</v>
      </c>
      <c r="CM799" s="476" t="str">
        <f>IF(VLOOKUP(BS799,'Données par municipalité'!$B$6:$E$1113,4,FALSE)="","non","oui")</f>
        <v>oui</v>
      </c>
      <c r="CN799" s="410">
        <v>356.84103875648981</v>
      </c>
      <c r="CO799" s="410">
        <v>400.41084678105813</v>
      </c>
      <c r="CP799" s="410">
        <v>403.78850796234752</v>
      </c>
      <c r="CQ799" s="410">
        <v>355.33684327345867</v>
      </c>
      <c r="CR799" s="410">
        <v>290.59075386530009</v>
      </c>
      <c r="CS799" s="410">
        <v>259.83449344979465</v>
      </c>
      <c r="CT799" s="410">
        <v>270.89987147579478</v>
      </c>
      <c r="CU799" s="410">
        <v>252</v>
      </c>
      <c r="CV799" s="410">
        <f>IF(VLOOKUP(BS799,'Données par municipalité'!$B$6:$F$1113,4,FALSE)="","",VLOOKUP(BS799,'Données par municipalité'!$B$6:$F$1113,4,FALSE))</f>
        <v>243</v>
      </c>
      <c r="CW799" s="476" t="s">
        <v>4723</v>
      </c>
      <c r="CX799" s="483">
        <v>0</v>
      </c>
      <c r="CY799" s="483">
        <v>0</v>
      </c>
      <c r="CZ799" s="483">
        <v>1</v>
      </c>
      <c r="DA799" s="483">
        <v>1</v>
      </c>
      <c r="DB799" s="483">
        <v>0</v>
      </c>
      <c r="DC799" s="483">
        <v>1</v>
      </c>
      <c r="DD799" s="483">
        <v>1</v>
      </c>
      <c r="DE799" s="483">
        <f>IFERROR(SUM(VLOOKUP($BS799,'État &amp; Plan d''action'!$B$6:$Z$1113,18,FALSE),VLOOKUP($BS799,'État &amp; Plan d''action'!$B$6:$Z$1113,20,FALSE))/(VLOOKUP($BS799,'Données par municipalité'!$B$4:$L$1113,11,FALSE)),"")</f>
        <v>0.42544139544777709</v>
      </c>
      <c r="DF799" s="483">
        <f>IFERROR(SUM(VLOOKUP($BS799,'État &amp; Plan d''action'!$B$6:$Z$1113,19,FALSE),VLOOKUP($BS799,'État &amp; Plan d''action'!$B$6:$Z$1113,21,FALSE))/(VLOOKUP($BS799,'Données par municipalité'!$B$4:$L$1113,11,FALSE)),"")</f>
        <v>0.42544139544777709</v>
      </c>
      <c r="DG799" s="476" t="s">
        <v>4723</v>
      </c>
      <c r="DH799" s="484">
        <v>1</v>
      </c>
      <c r="DI799" s="484">
        <v>0</v>
      </c>
      <c r="DJ799" s="484">
        <v>0</v>
      </c>
      <c r="DK799" s="484">
        <v>0</v>
      </c>
      <c r="DL799" s="484">
        <v>1</v>
      </c>
      <c r="DM799" s="484">
        <v>0</v>
      </c>
      <c r="DN799" s="484">
        <v>0</v>
      </c>
      <c r="DO799" s="484">
        <v>0</v>
      </c>
      <c r="DP799" s="484">
        <v>3</v>
      </c>
      <c r="DQ799" s="484">
        <f>IF(VLOOKUP($BS799,'État &amp; Plan d''action'!$B$6:$AJ$1113,28,FALSE)="","",VLOOKUP($BS799,'État &amp; Plan d''action'!$B$6:$AJ$1113,28,FALSE))</f>
        <v>0</v>
      </c>
      <c r="DR799" s="70">
        <f>IF(VLOOKUP($BS799,'État &amp; Plan d''action'!$B$6:$AJ$1113,29,FALSE)="","",VLOOKUP($BS799,'État &amp; Plan d''action'!$B$6:$AJ$1113,29,FALSE))</f>
        <v>0</v>
      </c>
      <c r="DS799" s="70">
        <f>IF(VLOOKUP($BS799,'État &amp; Plan d''action'!$B$6:$AJ$1113,30,FALSE)="","",VLOOKUP($BS799,'État &amp; Plan d''action'!$B$6:$AJ$1113,30,FALSE))</f>
        <v>0</v>
      </c>
      <c r="DT799" s="70">
        <v>170</v>
      </c>
      <c r="DU799" s="485">
        <v>1.5326267749767506</v>
      </c>
      <c r="DV799" s="485">
        <v>0.63496420730981973</v>
      </c>
      <c r="DW799" s="70">
        <v>0</v>
      </c>
      <c r="DX799" s="70">
        <v>0</v>
      </c>
      <c r="DY799" s="70">
        <v>1</v>
      </c>
      <c r="DZ799" s="70">
        <f>VLOOKUP($BS799,'État &amp; Plan d''action'!$B$6:$AH$1113,31,FALSE)</f>
        <v>0</v>
      </c>
      <c r="EA799" s="70">
        <f>VLOOKUP($BS799,'État &amp; Plan d''action'!$B$6:$AH$1113,32,FALSE)</f>
        <v>0</v>
      </c>
      <c r="EB799" s="70">
        <f>VLOOKUP($BS799,'État &amp; Plan d''action'!$B$6:$AH$1113,33,FALSE)</f>
        <v>0</v>
      </c>
      <c r="EC799" s="70">
        <v>0</v>
      </c>
      <c r="ED799" s="70">
        <v>47.01</v>
      </c>
      <c r="EE799" s="70">
        <v>0</v>
      </c>
      <c r="EF799" s="70">
        <v>0</v>
      </c>
      <c r="EG799" s="70">
        <v>0</v>
      </c>
      <c r="EH799" s="72">
        <v>69</v>
      </c>
      <c r="EI799" s="72">
        <v>1980</v>
      </c>
    </row>
    <row r="800" spans="71:139" x14ac:dyDescent="0.35">
      <c r="BS800" s="486">
        <v>42020</v>
      </c>
      <c r="BT800" s="479" t="s">
        <v>380</v>
      </c>
      <c r="BU800" s="479">
        <v>5</v>
      </c>
      <c r="BV800" s="476" t="s">
        <v>1188</v>
      </c>
      <c r="BW800" s="476" t="s">
        <v>1188</v>
      </c>
      <c r="BX800" s="476" t="s">
        <v>1188</v>
      </c>
      <c r="BY800" s="476" t="s">
        <v>1188</v>
      </c>
      <c r="BZ800" s="476" t="s">
        <v>1188</v>
      </c>
      <c r="CA800" s="476" t="s">
        <v>1188</v>
      </c>
      <c r="CB800" s="476" t="s">
        <v>1188</v>
      </c>
      <c r="CC800" s="476" t="s">
        <v>1188</v>
      </c>
      <c r="CD800" s="476" t="s">
        <v>1188</v>
      </c>
      <c r="CE800" s="476" t="s">
        <v>1187</v>
      </c>
      <c r="CF800" s="476" t="s">
        <v>1187</v>
      </c>
      <c r="CG800" s="476" t="s">
        <v>1187</v>
      </c>
      <c r="CH800" s="476" t="s">
        <v>1187</v>
      </c>
      <c r="CI800" s="476" t="s">
        <v>1187</v>
      </c>
      <c r="CJ800" s="476" t="s">
        <v>1187</v>
      </c>
      <c r="CK800" s="476" t="s">
        <v>1187</v>
      </c>
      <c r="CL800" s="476" t="s">
        <v>1187</v>
      </c>
      <c r="CM800" s="476" t="str">
        <f>IF(VLOOKUP(BS800,'Données par municipalité'!$B$6:$E$1113,4,FALSE)="","non","oui")</f>
        <v>non</v>
      </c>
      <c r="CN800" s="410" t="s">
        <v>1124</v>
      </c>
      <c r="CO800" s="410" t="s">
        <v>1124</v>
      </c>
      <c r="CP800" s="410"/>
      <c r="CQ800" s="410"/>
      <c r="CR800" s="410"/>
      <c r="CS800" s="410" t="s">
        <v>1124</v>
      </c>
      <c r="CT800" s="410"/>
      <c r="CU800" s="410" t="s">
        <v>1124</v>
      </c>
      <c r="CV800" s="410" t="str">
        <f>IF(VLOOKUP(BS800,'Données par municipalité'!$B$6:$F$1113,4,FALSE)="","",VLOOKUP(BS800,'Données par municipalité'!$B$6:$F$1113,4,FALSE))</f>
        <v/>
      </c>
      <c r="CW800" s="476" t="s">
        <v>4723</v>
      </c>
      <c r="CX800" s="483" t="s">
        <v>1124</v>
      </c>
      <c r="CY800" s="483" t="s">
        <v>1124</v>
      </c>
      <c r="CZ800" s="483" t="s">
        <v>1124</v>
      </c>
      <c r="DA800" s="483" t="s">
        <v>1124</v>
      </c>
      <c r="DB800" s="483" t="s">
        <v>1124</v>
      </c>
      <c r="DC800" s="483" t="s">
        <v>1124</v>
      </c>
      <c r="DD800" s="483" t="s">
        <v>1124</v>
      </c>
      <c r="DE800" s="483" t="str">
        <f>IFERROR(SUM(VLOOKUP($BS800,'État &amp; Plan d''action'!$B$6:$Z$1113,18,FALSE),VLOOKUP($BS800,'État &amp; Plan d''action'!$B$6:$Z$1113,20,FALSE))/(VLOOKUP($BS800,'Données par municipalité'!$B$4:$L$1113,11,FALSE)),"")</f>
        <v/>
      </c>
      <c r="DF800" s="483" t="str">
        <f>IFERROR(SUM(VLOOKUP($BS800,'État &amp; Plan d''action'!$B$6:$Z$1113,19,FALSE),VLOOKUP($BS800,'État &amp; Plan d''action'!$B$6:$Z$1113,21,FALSE))/(VLOOKUP($BS800,'Données par municipalité'!$B$4:$L$1113,11,FALSE)),"")</f>
        <v/>
      </c>
      <c r="DG800" s="476" t="s">
        <v>4723</v>
      </c>
      <c r="DH800" s="484" t="s">
        <v>1124</v>
      </c>
      <c r="DI800" s="484" t="s">
        <v>1124</v>
      </c>
      <c r="DJ800" s="484">
        <v>0</v>
      </c>
      <c r="DK800" s="484">
        <v>0</v>
      </c>
      <c r="DL800" s="484" t="s">
        <v>1124</v>
      </c>
      <c r="DM800" s="484" t="s">
        <v>1124</v>
      </c>
      <c r="DN800" s="484" t="s">
        <v>1124</v>
      </c>
      <c r="DO800" s="484" t="s">
        <v>1124</v>
      </c>
      <c r="DP800" s="484" t="s">
        <v>1124</v>
      </c>
      <c r="DQ800" s="484" t="str">
        <f>IF(VLOOKUP($BS800,'État &amp; Plan d''action'!$B$6:$AJ$1113,28,FALSE)="","",VLOOKUP($BS800,'État &amp; Plan d''action'!$B$6:$AJ$1113,28,FALSE))</f>
        <v/>
      </c>
      <c r="DR800" s="70" t="str">
        <f>IF(VLOOKUP($BS800,'État &amp; Plan d''action'!$B$6:$AJ$1113,29,FALSE)="","",VLOOKUP($BS800,'État &amp; Plan d''action'!$B$6:$AJ$1113,29,FALSE))</f>
        <v/>
      </c>
      <c r="DS800" s="70" t="str">
        <f>IF(VLOOKUP($BS800,'État &amp; Plan d''action'!$B$6:$AJ$1113,30,FALSE)="","",VLOOKUP($BS800,'État &amp; Plan d''action'!$B$6:$AJ$1113,30,FALSE))</f>
        <v/>
      </c>
      <c r="DT800" s="70" t="s">
        <v>1124</v>
      </c>
      <c r="DU800" s="485" t="s">
        <v>1124</v>
      </c>
      <c r="DV800" s="485" t="s">
        <v>1124</v>
      </c>
      <c r="DW800" s="70" t="s">
        <v>1124</v>
      </c>
      <c r="DX800" s="70" t="s">
        <v>1124</v>
      </c>
      <c r="DY800" s="70" t="s">
        <v>1124</v>
      </c>
      <c r="DZ800" s="70" t="str">
        <f>VLOOKUP($BS800,'État &amp; Plan d''action'!$B$6:$AH$1113,31,FALSE)</f>
        <v/>
      </c>
      <c r="EA800" s="70" t="str">
        <f>VLOOKUP($BS800,'État &amp; Plan d''action'!$B$6:$AH$1113,32,FALSE)</f>
        <v/>
      </c>
      <c r="EB800" s="70" t="str">
        <f>VLOOKUP($BS800,'État &amp; Plan d''action'!$B$6:$AH$1113,33,FALSE)</f>
        <v/>
      </c>
      <c r="EC800" s="70" t="s">
        <v>1124</v>
      </c>
      <c r="ED800" s="70" t="s">
        <v>1124</v>
      </c>
      <c r="EE800" s="70" t="s">
        <v>1124</v>
      </c>
      <c r="EF800" s="70" t="s">
        <v>1124</v>
      </c>
      <c r="EG800" s="70" t="s">
        <v>1124</v>
      </c>
      <c r="EH800" s="72"/>
      <c r="EI800" s="72">
        <v>2356</v>
      </c>
    </row>
    <row r="801" spans="71:139" x14ac:dyDescent="0.35">
      <c r="BS801" s="486">
        <v>12025</v>
      </c>
      <c r="BT801" s="479" t="s">
        <v>32</v>
      </c>
      <c r="BU801" s="479">
        <v>1</v>
      </c>
      <c r="BV801" s="476" t="s">
        <v>1188</v>
      </c>
      <c r="BW801" s="476" t="s">
        <v>1188</v>
      </c>
      <c r="BX801" s="476" t="s">
        <v>1188</v>
      </c>
      <c r="BY801" s="476" t="s">
        <v>1188</v>
      </c>
      <c r="BZ801" s="476" t="s">
        <v>1188</v>
      </c>
      <c r="CA801" s="476" t="s">
        <v>1188</v>
      </c>
      <c r="CB801" s="476" t="s">
        <v>1188</v>
      </c>
      <c r="CC801" s="476" t="s">
        <v>1188</v>
      </c>
      <c r="CD801" s="476" t="s">
        <v>1188</v>
      </c>
      <c r="CE801" s="476" t="s">
        <v>1187</v>
      </c>
      <c r="CF801" s="476" t="s">
        <v>1187</v>
      </c>
      <c r="CG801" s="476" t="s">
        <v>1187</v>
      </c>
      <c r="CH801" s="476" t="s">
        <v>1187</v>
      </c>
      <c r="CI801" s="476" t="s">
        <v>1187</v>
      </c>
      <c r="CJ801" s="476" t="s">
        <v>1187</v>
      </c>
      <c r="CK801" s="476" t="s">
        <v>1187</v>
      </c>
      <c r="CL801" s="476" t="s">
        <v>1187</v>
      </c>
      <c r="CM801" s="476" t="str">
        <f>IF(VLOOKUP(BS801,'Données par municipalité'!$B$6:$E$1113,4,FALSE)="","non","oui")</f>
        <v>non</v>
      </c>
      <c r="CN801" s="410" t="s">
        <v>1124</v>
      </c>
      <c r="CO801" s="410" t="s">
        <v>1124</v>
      </c>
      <c r="CP801" s="410"/>
      <c r="CQ801" s="410"/>
      <c r="CR801" s="410"/>
      <c r="CS801" s="410" t="s">
        <v>1124</v>
      </c>
      <c r="CT801" s="410"/>
      <c r="CU801" s="410" t="s">
        <v>1124</v>
      </c>
      <c r="CV801" s="410" t="str">
        <f>IF(VLOOKUP(BS801,'Données par municipalité'!$B$6:$F$1113,4,FALSE)="","",VLOOKUP(BS801,'Données par municipalité'!$B$6:$F$1113,4,FALSE))</f>
        <v/>
      </c>
      <c r="CW801" s="476" t="s">
        <v>4723</v>
      </c>
      <c r="CX801" s="483" t="s">
        <v>1124</v>
      </c>
      <c r="CY801" s="483" t="s">
        <v>1124</v>
      </c>
      <c r="CZ801" s="483" t="s">
        <v>1124</v>
      </c>
      <c r="DA801" s="483" t="s">
        <v>1124</v>
      </c>
      <c r="DB801" s="483" t="s">
        <v>1124</v>
      </c>
      <c r="DC801" s="483" t="s">
        <v>1124</v>
      </c>
      <c r="DD801" s="483" t="s">
        <v>1124</v>
      </c>
      <c r="DE801" s="483" t="str">
        <f>IFERROR(SUM(VLOOKUP($BS801,'État &amp; Plan d''action'!$B$6:$Z$1113,18,FALSE),VLOOKUP($BS801,'État &amp; Plan d''action'!$B$6:$Z$1113,20,FALSE))/(VLOOKUP($BS801,'Données par municipalité'!$B$4:$L$1113,11,FALSE)),"")</f>
        <v/>
      </c>
      <c r="DF801" s="483" t="str">
        <f>IFERROR(SUM(VLOOKUP($BS801,'État &amp; Plan d''action'!$B$6:$Z$1113,19,FALSE),VLOOKUP($BS801,'État &amp; Plan d''action'!$B$6:$Z$1113,21,FALSE))/(VLOOKUP($BS801,'Données par municipalité'!$B$4:$L$1113,11,FALSE)),"")</f>
        <v/>
      </c>
      <c r="DG801" s="476" t="s">
        <v>4723</v>
      </c>
      <c r="DH801" s="484" t="s">
        <v>1124</v>
      </c>
      <c r="DI801" s="484" t="s">
        <v>1124</v>
      </c>
      <c r="DJ801" s="484">
        <v>0</v>
      </c>
      <c r="DK801" s="484">
        <v>0</v>
      </c>
      <c r="DL801" s="484" t="s">
        <v>1124</v>
      </c>
      <c r="DM801" s="484" t="s">
        <v>1124</v>
      </c>
      <c r="DN801" s="484" t="s">
        <v>1124</v>
      </c>
      <c r="DO801" s="484" t="s">
        <v>1124</v>
      </c>
      <c r="DP801" s="484" t="s">
        <v>1124</v>
      </c>
      <c r="DQ801" s="484" t="str">
        <f>IF(VLOOKUP($BS801,'État &amp; Plan d''action'!$B$6:$AJ$1113,28,FALSE)="","",VLOOKUP($BS801,'État &amp; Plan d''action'!$B$6:$AJ$1113,28,FALSE))</f>
        <v/>
      </c>
      <c r="DR801" s="70" t="str">
        <f>IF(VLOOKUP($BS801,'État &amp; Plan d''action'!$B$6:$AJ$1113,29,FALSE)="","",VLOOKUP($BS801,'État &amp; Plan d''action'!$B$6:$AJ$1113,29,FALSE))</f>
        <v/>
      </c>
      <c r="DS801" s="70" t="str">
        <f>IF(VLOOKUP($BS801,'État &amp; Plan d''action'!$B$6:$AJ$1113,30,FALSE)="","",VLOOKUP($BS801,'État &amp; Plan d''action'!$B$6:$AJ$1113,30,FALSE))</f>
        <v/>
      </c>
      <c r="DT801" s="70" t="s">
        <v>1124</v>
      </c>
      <c r="DU801" s="485" t="s">
        <v>1124</v>
      </c>
      <c r="DV801" s="485" t="s">
        <v>1124</v>
      </c>
      <c r="DW801" s="70" t="s">
        <v>1124</v>
      </c>
      <c r="DX801" s="70" t="s">
        <v>1124</v>
      </c>
      <c r="DY801" s="70" t="s">
        <v>1124</v>
      </c>
      <c r="DZ801" s="70" t="str">
        <f>VLOOKUP($BS801,'État &amp; Plan d''action'!$B$6:$AH$1113,31,FALSE)</f>
        <v/>
      </c>
      <c r="EA801" s="70" t="str">
        <f>VLOOKUP($BS801,'État &amp; Plan d''action'!$B$6:$AH$1113,32,FALSE)</f>
        <v/>
      </c>
      <c r="EB801" s="70" t="str">
        <f>VLOOKUP($BS801,'État &amp; Plan d''action'!$B$6:$AH$1113,33,FALSE)</f>
        <v/>
      </c>
      <c r="EC801" s="70" t="s">
        <v>1124</v>
      </c>
      <c r="ED801" s="70" t="s">
        <v>1124</v>
      </c>
      <c r="EE801" s="70" t="s">
        <v>1124</v>
      </c>
      <c r="EF801" s="70" t="s">
        <v>1124</v>
      </c>
      <c r="EG801" s="70" t="s">
        <v>1124</v>
      </c>
      <c r="EH801" s="72"/>
      <c r="EI801" s="72">
        <v>249</v>
      </c>
    </row>
    <row r="802" spans="71:139" x14ac:dyDescent="0.35">
      <c r="BS802" s="486">
        <v>27065</v>
      </c>
      <c r="BT802" s="479" t="s">
        <v>186</v>
      </c>
      <c r="BU802" s="479">
        <v>12</v>
      </c>
      <c r="BV802" s="476" t="s">
        <v>1187</v>
      </c>
      <c r="BW802" s="476" t="s">
        <v>1187</v>
      </c>
      <c r="BX802" s="476" t="s">
        <v>1187</v>
      </c>
      <c r="BY802" s="476" t="s">
        <v>1187</v>
      </c>
      <c r="BZ802" s="476" t="s">
        <v>1187</v>
      </c>
      <c r="CA802" s="476" t="s">
        <v>1187</v>
      </c>
      <c r="CB802" s="476" t="s">
        <v>1187</v>
      </c>
      <c r="CC802" s="476" t="s">
        <v>1187</v>
      </c>
      <c r="CD802" s="476" t="s">
        <v>1187</v>
      </c>
      <c r="CE802" s="476" t="s">
        <v>1188</v>
      </c>
      <c r="CF802" s="476" t="s">
        <v>1188</v>
      </c>
      <c r="CG802" s="476" t="s">
        <v>1188</v>
      </c>
      <c r="CH802" s="476" t="s">
        <v>1188</v>
      </c>
      <c r="CI802" s="476" t="s">
        <v>1188</v>
      </c>
      <c r="CJ802" s="476" t="s">
        <v>1188</v>
      </c>
      <c r="CK802" s="476" t="s">
        <v>1188</v>
      </c>
      <c r="CL802" s="476" t="s">
        <v>1188</v>
      </c>
      <c r="CM802" s="476" t="str">
        <f>IF(VLOOKUP(BS802,'Données par municipalité'!$B$6:$E$1113,4,FALSE)="","non","oui")</f>
        <v>oui</v>
      </c>
      <c r="CN802" s="410">
        <v>490.27221238571536</v>
      </c>
      <c r="CO802" s="410">
        <v>479.48553632074879</v>
      </c>
      <c r="CP802" s="410">
        <v>428.85261752791888</v>
      </c>
      <c r="CQ802" s="410">
        <v>436.53402059409638</v>
      </c>
      <c r="CR802" s="410">
        <v>437.62462685686643</v>
      </c>
      <c r="CS802" s="410">
        <v>391.48172930374329</v>
      </c>
      <c r="CT802" s="410">
        <v>459.78778620938874</v>
      </c>
      <c r="CU802" s="410">
        <v>426</v>
      </c>
      <c r="CV802" s="410">
        <f>IF(VLOOKUP(BS802,'Données par municipalité'!$B$6:$F$1113,4,FALSE)="","",VLOOKUP(BS802,'Données par municipalité'!$B$6:$F$1113,4,FALSE))</f>
        <v>377</v>
      </c>
      <c r="CW802" s="476" t="s">
        <v>4723</v>
      </c>
      <c r="CX802" s="483">
        <v>1</v>
      </c>
      <c r="CY802" s="483">
        <v>0</v>
      </c>
      <c r="CZ802" s="483">
        <v>0</v>
      </c>
      <c r="DA802" s="483">
        <v>0</v>
      </c>
      <c r="DB802" s="483">
        <v>0</v>
      </c>
      <c r="DC802" s="483">
        <v>0</v>
      </c>
      <c r="DD802" s="483">
        <v>0</v>
      </c>
      <c r="DE802" s="483">
        <f>IFERROR(SUM(VLOOKUP($BS802,'État &amp; Plan d''action'!$B$6:$Z$1113,18,FALSE),VLOOKUP($BS802,'État &amp; Plan d''action'!$B$6:$Z$1113,20,FALSE))/(VLOOKUP($BS802,'Données par municipalité'!$B$4:$L$1113,11,FALSE)),"")</f>
        <v>1</v>
      </c>
      <c r="DF802" s="483">
        <f>IFERROR(SUM(VLOOKUP($BS802,'État &amp; Plan d''action'!$B$6:$Z$1113,19,FALSE),VLOOKUP($BS802,'État &amp; Plan d''action'!$B$6:$Z$1113,21,FALSE))/(VLOOKUP($BS802,'Données par municipalité'!$B$4:$L$1113,11,FALSE)),"")</f>
        <v>1</v>
      </c>
      <c r="DG802" s="476" t="s">
        <v>4723</v>
      </c>
      <c r="DH802" s="484">
        <v>10</v>
      </c>
      <c r="DI802" s="484">
        <v>8</v>
      </c>
      <c r="DJ802" s="484">
        <v>10</v>
      </c>
      <c r="DK802" s="484">
        <v>8</v>
      </c>
      <c r="DL802" s="484">
        <v>6</v>
      </c>
      <c r="DM802" s="484">
        <v>6</v>
      </c>
      <c r="DN802" s="484">
        <v>2</v>
      </c>
      <c r="DO802" s="484">
        <v>4</v>
      </c>
      <c r="DP802" s="484">
        <v>0</v>
      </c>
      <c r="DQ802" s="484">
        <f>IF(VLOOKUP($BS802,'État &amp; Plan d''action'!$B$6:$AJ$1113,28,FALSE)="","",VLOOKUP($BS802,'État &amp; Plan d''action'!$B$6:$AJ$1113,28,FALSE))</f>
        <v>3</v>
      </c>
      <c r="DR802" s="70">
        <f>IF(VLOOKUP($BS802,'État &amp; Plan d''action'!$B$6:$AJ$1113,29,FALSE)="","",VLOOKUP($BS802,'État &amp; Plan d''action'!$B$6:$AJ$1113,29,FALSE))</f>
        <v>3</v>
      </c>
      <c r="DS802" s="70">
        <f>IF(VLOOKUP($BS802,'État &amp; Plan d''action'!$B$6:$AJ$1113,30,FALSE)="","",VLOOKUP($BS802,'État &amp; Plan d''action'!$B$6:$AJ$1113,30,FALSE))</f>
        <v>0</v>
      </c>
      <c r="DT802" s="70">
        <v>333</v>
      </c>
      <c r="DU802" s="485">
        <v>1.2618280091947498</v>
      </c>
      <c r="DV802" s="485">
        <v>3.4228839949586818</v>
      </c>
      <c r="DW802" s="70">
        <v>1</v>
      </c>
      <c r="DX802" s="70">
        <v>1</v>
      </c>
      <c r="DY802" s="70">
        <v>0</v>
      </c>
      <c r="DZ802" s="70">
        <f>VLOOKUP($BS802,'État &amp; Plan d''action'!$B$6:$AH$1113,31,FALSE)</f>
        <v>1</v>
      </c>
      <c r="EA802" s="70">
        <f>VLOOKUP($BS802,'État &amp; Plan d''action'!$B$6:$AH$1113,32,FALSE)</f>
        <v>1</v>
      </c>
      <c r="EB802" s="70">
        <f>VLOOKUP($BS802,'État &amp; Plan d''action'!$B$6:$AH$1113,33,FALSE)</f>
        <v>0</v>
      </c>
      <c r="EC802" s="70">
        <v>13.4</v>
      </c>
      <c r="ED802" s="70">
        <v>0</v>
      </c>
      <c r="EE802" s="70">
        <v>0</v>
      </c>
      <c r="EF802" s="70">
        <v>0</v>
      </c>
      <c r="EG802" s="70">
        <v>0</v>
      </c>
      <c r="EH802" s="72">
        <v>49.608108108108105</v>
      </c>
      <c r="EI802" s="72">
        <v>1102</v>
      </c>
    </row>
    <row r="803" spans="71:139" x14ac:dyDescent="0.35">
      <c r="BS803" s="486">
        <v>94235</v>
      </c>
      <c r="BT803" s="479" t="s">
        <v>979</v>
      </c>
      <c r="BU803" s="479">
        <v>2</v>
      </c>
      <c r="BV803" s="476" t="s">
        <v>1187</v>
      </c>
      <c r="BW803" s="476" t="s">
        <v>1187</v>
      </c>
      <c r="BX803" s="476" t="s">
        <v>1187</v>
      </c>
      <c r="BY803" s="476" t="s">
        <v>1187</v>
      </c>
      <c r="BZ803" s="476" t="s">
        <v>1187</v>
      </c>
      <c r="CA803" s="476" t="s">
        <v>1187</v>
      </c>
      <c r="CB803" s="476" t="s">
        <v>1187</v>
      </c>
      <c r="CC803" s="476" t="s">
        <v>1187</v>
      </c>
      <c r="CD803" s="476" t="s">
        <v>1187</v>
      </c>
      <c r="CE803" s="476" t="s">
        <v>1188</v>
      </c>
      <c r="CF803" s="476" t="s">
        <v>1188</v>
      </c>
      <c r="CG803" s="476" t="s">
        <v>1188</v>
      </c>
      <c r="CH803" s="476" t="s">
        <v>1188</v>
      </c>
      <c r="CI803" s="476" t="s">
        <v>1188</v>
      </c>
      <c r="CJ803" s="476" t="s">
        <v>1188</v>
      </c>
      <c r="CK803" s="476" t="s">
        <v>1187</v>
      </c>
      <c r="CL803" s="476" t="s">
        <v>1187</v>
      </c>
      <c r="CM803" s="476" t="str">
        <f>IF(VLOOKUP(BS803,'Données par municipalité'!$B$6:$E$1113,4,FALSE)="","non","oui")</f>
        <v>oui</v>
      </c>
      <c r="CN803" s="410">
        <v>401.68602934642712</v>
      </c>
      <c r="CO803" s="410">
        <v>324.63011841053833</v>
      </c>
      <c r="CP803" s="410">
        <v>514.67865088579128</v>
      </c>
      <c r="CQ803" s="410">
        <v>556.97850926001126</v>
      </c>
      <c r="CR803" s="410">
        <v>380.79658319836949</v>
      </c>
      <c r="CS803" s="410">
        <v>447.47931548383781</v>
      </c>
      <c r="CT803" s="410"/>
      <c r="CU803" s="410" t="s">
        <v>1124</v>
      </c>
      <c r="CV803" s="410">
        <f>IF(VLOOKUP(BS803,'Données par municipalité'!$B$6:$F$1113,4,FALSE)="","",VLOOKUP(BS803,'Données par municipalité'!$B$6:$F$1113,4,FALSE))</f>
        <v>302</v>
      </c>
      <c r="CW803" s="476" t="s">
        <v>4723</v>
      </c>
      <c r="CX803" s="483">
        <v>0.53</v>
      </c>
      <c r="CY803" s="483">
        <v>0.1</v>
      </c>
      <c r="CZ803" s="483">
        <v>0.1</v>
      </c>
      <c r="DA803" s="483">
        <v>0.05</v>
      </c>
      <c r="DB803" s="483">
        <v>0.05</v>
      </c>
      <c r="DC803" s="483" t="s">
        <v>1124</v>
      </c>
      <c r="DD803" s="483" t="s">
        <v>1124</v>
      </c>
      <c r="DE803" s="483">
        <f>IFERROR(SUM(VLOOKUP($BS803,'État &amp; Plan d''action'!$B$6:$Z$1113,18,FALSE),VLOOKUP($BS803,'État &amp; Plan d''action'!$B$6:$Z$1113,20,FALSE))/(VLOOKUP($BS803,'Données par municipalité'!$B$4:$L$1113,11,FALSE)),"")</f>
        <v>1</v>
      </c>
      <c r="DF803" s="483">
        <f>IFERROR(SUM(VLOOKUP($BS803,'État &amp; Plan d''action'!$B$6:$Z$1113,19,FALSE),VLOOKUP($BS803,'État &amp; Plan d''action'!$B$6:$Z$1113,21,FALSE))/(VLOOKUP($BS803,'Données par municipalité'!$B$4:$L$1113,11,FALSE)),"")</f>
        <v>1</v>
      </c>
      <c r="DG803" s="476" t="s">
        <v>4723</v>
      </c>
      <c r="DH803" s="484">
        <v>0</v>
      </c>
      <c r="DI803" s="484">
        <v>0</v>
      </c>
      <c r="DJ803" s="484">
        <v>2</v>
      </c>
      <c r="DK803" s="484">
        <v>10</v>
      </c>
      <c r="DL803" s="484">
        <v>8</v>
      </c>
      <c r="DM803" s="484" t="s">
        <v>1124</v>
      </c>
      <c r="DN803" s="484" t="s">
        <v>1124</v>
      </c>
      <c r="DO803" s="484" t="s">
        <v>1124</v>
      </c>
      <c r="DP803" s="484" t="s">
        <v>1124</v>
      </c>
      <c r="DQ803" s="484">
        <f>IF(VLOOKUP($BS803,'État &amp; Plan d''action'!$B$6:$AJ$1113,28,FALSE)="","",VLOOKUP($BS803,'État &amp; Plan d''action'!$B$6:$AJ$1113,28,FALSE))</f>
        <v>5</v>
      </c>
      <c r="DR803" s="70">
        <f>IF(VLOOKUP($BS803,'État &amp; Plan d''action'!$B$6:$AJ$1113,29,FALSE)="","",VLOOKUP($BS803,'État &amp; Plan d''action'!$B$6:$AJ$1113,29,FALSE))</f>
        <v>0</v>
      </c>
      <c r="DS803" s="70">
        <f>IF(VLOOKUP($BS803,'État &amp; Plan d''action'!$B$6:$AJ$1113,30,FALSE)="","",VLOOKUP($BS803,'État &amp; Plan d''action'!$B$6:$AJ$1113,30,FALSE))</f>
        <v>0</v>
      </c>
      <c r="DT803" s="70" t="s">
        <v>1124</v>
      </c>
      <c r="DU803" s="485" t="s">
        <v>1124</v>
      </c>
      <c r="DV803" s="485">
        <v>4.9908501066774082</v>
      </c>
      <c r="DW803" s="70" t="s">
        <v>1124</v>
      </c>
      <c r="DX803" s="70" t="s">
        <v>1124</v>
      </c>
      <c r="DY803" s="70" t="s">
        <v>1124</v>
      </c>
      <c r="DZ803" s="70">
        <f>VLOOKUP($BS803,'État &amp; Plan d''action'!$B$6:$AH$1113,31,FALSE)</f>
        <v>1</v>
      </c>
      <c r="EA803" s="70">
        <f>VLOOKUP($BS803,'État &amp; Plan d''action'!$B$6:$AH$1113,32,FALSE)</f>
        <v>0</v>
      </c>
      <c r="EB803" s="70">
        <f>VLOOKUP($BS803,'État &amp; Plan d''action'!$B$6:$AH$1113,33,FALSE)</f>
        <v>0</v>
      </c>
      <c r="EC803" s="70" t="s">
        <v>1124</v>
      </c>
      <c r="ED803" s="70" t="s">
        <v>1124</v>
      </c>
      <c r="EE803" s="70" t="s">
        <v>1124</v>
      </c>
      <c r="EF803" s="70" t="s">
        <v>1124</v>
      </c>
      <c r="EG803" s="70" t="s">
        <v>1124</v>
      </c>
      <c r="EH803" s="72"/>
      <c r="EI803" s="72">
        <v>2123</v>
      </c>
    </row>
    <row r="804" spans="71:139" x14ac:dyDescent="0.35">
      <c r="BS804" s="486">
        <v>52080</v>
      </c>
      <c r="BT804" s="479" t="s">
        <v>526</v>
      </c>
      <c r="BU804" s="479">
        <v>14</v>
      </c>
      <c r="BV804" s="476" t="s">
        <v>1187</v>
      </c>
      <c r="BW804" s="476" t="s">
        <v>1187</v>
      </c>
      <c r="BX804" s="476" t="s">
        <v>1187</v>
      </c>
      <c r="BY804" s="476" t="s">
        <v>1187</v>
      </c>
      <c r="BZ804" s="476" t="s">
        <v>1187</v>
      </c>
      <c r="CA804" s="476" t="s">
        <v>1187</v>
      </c>
      <c r="CB804" s="476" t="s">
        <v>1187</v>
      </c>
      <c r="CC804" s="476" t="s">
        <v>1187</v>
      </c>
      <c r="CD804" s="476" t="s">
        <v>1187</v>
      </c>
      <c r="CE804" s="476" t="s">
        <v>1188</v>
      </c>
      <c r="CF804" s="476" t="s">
        <v>1188</v>
      </c>
      <c r="CG804" s="476" t="s">
        <v>1188</v>
      </c>
      <c r="CH804" s="476" t="s">
        <v>1188</v>
      </c>
      <c r="CI804" s="476" t="s">
        <v>1188</v>
      </c>
      <c r="CJ804" s="476" t="s">
        <v>1188</v>
      </c>
      <c r="CK804" s="476" t="s">
        <v>1188</v>
      </c>
      <c r="CL804" s="476" t="s">
        <v>1188</v>
      </c>
      <c r="CM804" s="476" t="str">
        <f>IF(VLOOKUP(BS804,'Données par municipalité'!$B$6:$E$1113,4,FALSE)="","non","oui")</f>
        <v>oui</v>
      </c>
      <c r="CN804" s="410">
        <v>734.63538069032836</v>
      </c>
      <c r="CO804" s="410">
        <v>400.8936640224922</v>
      </c>
      <c r="CP804" s="410">
        <v>340.46178251077731</v>
      </c>
      <c r="CQ804" s="410">
        <v>409.30993216769883</v>
      </c>
      <c r="CR804" s="410">
        <v>428.81101655496803</v>
      </c>
      <c r="CS804" s="410">
        <v>461.8562770033364</v>
      </c>
      <c r="CT804" s="410">
        <v>434.8885704917526</v>
      </c>
      <c r="CU804" s="410">
        <v>523</v>
      </c>
      <c r="CV804" s="410">
        <f>IF(VLOOKUP(BS804,'Données par municipalité'!$B$6:$F$1113,4,FALSE)="","",VLOOKUP(BS804,'Données par municipalité'!$B$6:$F$1113,4,FALSE))</f>
        <v>593</v>
      </c>
      <c r="CW804" s="476" t="s">
        <v>4723</v>
      </c>
      <c r="CX804" s="483">
        <v>0.1</v>
      </c>
      <c r="CY804" s="483">
        <v>0.1</v>
      </c>
      <c r="CZ804" s="483">
        <v>1</v>
      </c>
      <c r="DA804" s="483">
        <v>1</v>
      </c>
      <c r="DB804" s="483">
        <v>1</v>
      </c>
      <c r="DC804" s="483">
        <v>1</v>
      </c>
      <c r="DD804" s="483">
        <v>1</v>
      </c>
      <c r="DE804" s="483">
        <f>IFERROR(SUM(VLOOKUP($BS804,'État &amp; Plan d''action'!$B$6:$Z$1113,18,FALSE),VLOOKUP($BS804,'État &amp; Plan d''action'!$B$6:$Z$1113,20,FALSE))/(VLOOKUP($BS804,'Données par municipalité'!$B$4:$L$1113,11,FALSE)),"")</f>
        <v>1</v>
      </c>
      <c r="DF804" s="483">
        <f>IFERROR(SUM(VLOOKUP($BS804,'État &amp; Plan d''action'!$B$6:$Z$1113,19,FALSE),VLOOKUP($BS804,'État &amp; Plan d''action'!$B$6:$Z$1113,21,FALSE))/(VLOOKUP($BS804,'Données par municipalité'!$B$4:$L$1113,11,FALSE)),"")</f>
        <v>1</v>
      </c>
      <c r="DG804" s="476" t="s">
        <v>4723</v>
      </c>
      <c r="DH804" s="484">
        <v>14</v>
      </c>
      <c r="DI804" s="484">
        <v>14</v>
      </c>
      <c r="DJ804" s="484">
        <v>17</v>
      </c>
      <c r="DK804" s="484">
        <v>19</v>
      </c>
      <c r="DL804" s="484">
        <v>13</v>
      </c>
      <c r="DM804" s="484">
        <v>20</v>
      </c>
      <c r="DN804" s="484">
        <v>19</v>
      </c>
      <c r="DO804" s="484">
        <v>0</v>
      </c>
      <c r="DP804" s="484">
        <v>0</v>
      </c>
      <c r="DQ804" s="484">
        <f>IF(VLOOKUP($BS804,'État &amp; Plan d''action'!$B$6:$AJ$1113,28,FALSE)="","",VLOOKUP($BS804,'État &amp; Plan d''action'!$B$6:$AJ$1113,28,FALSE))</f>
        <v>9</v>
      </c>
      <c r="DR804" s="70">
        <f>IF(VLOOKUP($BS804,'État &amp; Plan d''action'!$B$6:$AJ$1113,29,FALSE)="","",VLOOKUP($BS804,'État &amp; Plan d''action'!$B$6:$AJ$1113,29,FALSE))</f>
        <v>0</v>
      </c>
      <c r="DS804" s="70">
        <f>IF(VLOOKUP($BS804,'État &amp; Plan d''action'!$B$6:$AJ$1113,30,FALSE)="","",VLOOKUP($BS804,'État &amp; Plan d''action'!$B$6:$AJ$1113,30,FALSE))</f>
        <v>0</v>
      </c>
      <c r="DT804" s="70">
        <v>332</v>
      </c>
      <c r="DU804" s="485">
        <v>5.1890379700079947</v>
      </c>
      <c r="DV804" s="485">
        <v>1.3677220755429649</v>
      </c>
      <c r="DW804" s="70">
        <v>1</v>
      </c>
      <c r="DX804" s="70">
        <v>0</v>
      </c>
      <c r="DY804" s="70">
        <v>0</v>
      </c>
      <c r="DZ804" s="70">
        <f>VLOOKUP($BS804,'État &amp; Plan d''action'!$B$6:$AH$1113,31,FALSE)</f>
        <v>1</v>
      </c>
      <c r="EA804" s="70">
        <f>VLOOKUP($BS804,'État &amp; Plan d''action'!$B$6:$AH$1113,32,FALSE)</f>
        <v>0</v>
      </c>
      <c r="EB804" s="70">
        <f>VLOOKUP($BS804,'État &amp; Plan d''action'!$B$6:$AH$1113,33,FALSE)</f>
        <v>0</v>
      </c>
      <c r="EC804" s="70">
        <v>30.303999999999998</v>
      </c>
      <c r="ED804" s="70">
        <v>30.303999999999998</v>
      </c>
      <c r="EE804" s="70">
        <v>0</v>
      </c>
      <c r="EF804" s="70">
        <v>0</v>
      </c>
      <c r="EG804" s="70">
        <v>0</v>
      </c>
      <c r="EH804" s="72">
        <v>56</v>
      </c>
      <c r="EI804" s="72">
        <v>2669</v>
      </c>
    </row>
    <row r="805" spans="71:139" x14ac:dyDescent="0.35">
      <c r="BS805" s="486">
        <v>52085</v>
      </c>
      <c r="BT805" s="479" t="s">
        <v>527</v>
      </c>
      <c r="BU805" s="479">
        <v>14</v>
      </c>
      <c r="BV805" s="476" t="s">
        <v>1187</v>
      </c>
      <c r="BW805" s="476" t="s">
        <v>1187</v>
      </c>
      <c r="BX805" s="476" t="s">
        <v>1187</v>
      </c>
      <c r="BY805" s="476" t="s">
        <v>1187</v>
      </c>
      <c r="BZ805" s="476" t="s">
        <v>1187</v>
      </c>
      <c r="CA805" s="476" t="s">
        <v>1187</v>
      </c>
      <c r="CB805" s="476" t="s">
        <v>1187</v>
      </c>
      <c r="CC805" s="476" t="s">
        <v>1187</v>
      </c>
      <c r="CD805" s="476" t="s">
        <v>1187</v>
      </c>
      <c r="CE805" s="476" t="s">
        <v>1188</v>
      </c>
      <c r="CF805" s="476" t="s">
        <v>1188</v>
      </c>
      <c r="CG805" s="476" t="s">
        <v>1188</v>
      </c>
      <c r="CH805" s="476" t="s">
        <v>1187</v>
      </c>
      <c r="CI805" s="476" t="s">
        <v>1188</v>
      </c>
      <c r="CJ805" s="476" t="s">
        <v>1188</v>
      </c>
      <c r="CK805" s="476" t="s">
        <v>1187</v>
      </c>
      <c r="CL805" s="476" t="s">
        <v>1188</v>
      </c>
      <c r="CM805" s="476" t="str">
        <f>IF(VLOOKUP(BS805,'Données par municipalité'!$B$6:$E$1113,4,FALSE)="","non","oui")</f>
        <v>oui</v>
      </c>
      <c r="CN805" s="410">
        <v>735</v>
      </c>
      <c r="CO805" s="410">
        <v>400.8936640224922</v>
      </c>
      <c r="CP805" s="410">
        <v>340</v>
      </c>
      <c r="CQ805" s="410"/>
      <c r="CR805" s="410">
        <v>393.04125427455182</v>
      </c>
      <c r="CS805" s="410">
        <v>401.19204959908399</v>
      </c>
      <c r="CT805" s="410"/>
      <c r="CU805" s="410">
        <v>409</v>
      </c>
      <c r="CV805" s="410">
        <f>IF(VLOOKUP(BS805,'Données par municipalité'!$B$6:$F$1113,4,FALSE)="","",VLOOKUP(BS805,'Données par municipalité'!$B$6:$F$1113,4,FALSE))</f>
        <v>424</v>
      </c>
      <c r="CW805" s="476" t="s">
        <v>4723</v>
      </c>
      <c r="CX805" s="483">
        <v>0</v>
      </c>
      <c r="CY805" s="483">
        <v>0</v>
      </c>
      <c r="CZ805" s="483" t="s">
        <v>1124</v>
      </c>
      <c r="DA805" s="483">
        <v>0</v>
      </c>
      <c r="DB805" s="483">
        <v>1</v>
      </c>
      <c r="DC805" s="483" t="s">
        <v>1124</v>
      </c>
      <c r="DD805" s="483">
        <v>0.74997730367680426</v>
      </c>
      <c r="DE805" s="483">
        <f>IFERROR(SUM(VLOOKUP($BS805,'État &amp; Plan d''action'!$B$6:$Z$1113,18,FALSE),VLOOKUP($BS805,'État &amp; Plan d''action'!$B$6:$Z$1113,20,FALSE))/(VLOOKUP($BS805,'Données par municipalité'!$B$4:$L$1113,11,FALSE)),"")</f>
        <v>1.0831940210443505</v>
      </c>
      <c r="DF805" s="483">
        <f>IFERROR(SUM(VLOOKUP($BS805,'État &amp; Plan d''action'!$B$6:$Z$1113,19,FALSE),VLOOKUP($BS805,'État &amp; Plan d''action'!$B$6:$Z$1113,21,FALSE))/(VLOOKUP($BS805,'Données par municipalité'!$B$4:$L$1113,11,FALSE)),"")</f>
        <v>1.0831940210443505</v>
      </c>
      <c r="DG805" s="476" t="s">
        <v>4723</v>
      </c>
      <c r="DH805" s="484">
        <v>0</v>
      </c>
      <c r="DI805" s="484">
        <v>0</v>
      </c>
      <c r="DJ805" s="484">
        <v>0</v>
      </c>
      <c r="DK805" s="484">
        <v>3</v>
      </c>
      <c r="DL805" s="484">
        <v>2</v>
      </c>
      <c r="DM805" s="484" t="s">
        <v>1124</v>
      </c>
      <c r="DN805" s="484">
        <v>0</v>
      </c>
      <c r="DO805" s="484">
        <v>1</v>
      </c>
      <c r="DP805" s="484">
        <v>0</v>
      </c>
      <c r="DQ805" s="484">
        <f>IF(VLOOKUP($BS805,'État &amp; Plan d''action'!$B$6:$AJ$1113,28,FALSE)="","",VLOOKUP($BS805,'État &amp; Plan d''action'!$B$6:$AJ$1113,28,FALSE))</f>
        <v>3</v>
      </c>
      <c r="DR805" s="70">
        <f>IF(VLOOKUP($BS805,'État &amp; Plan d''action'!$B$6:$AJ$1113,29,FALSE)="","",VLOOKUP($BS805,'État &amp; Plan d''action'!$B$6:$AJ$1113,29,FALSE))</f>
        <v>0</v>
      </c>
      <c r="DS805" s="70">
        <f>IF(VLOOKUP($BS805,'État &amp; Plan d''action'!$B$6:$AJ$1113,30,FALSE)="","",VLOOKUP($BS805,'État &amp; Plan d''action'!$B$6:$AJ$1113,30,FALSE))</f>
        <v>0</v>
      </c>
      <c r="DT805" s="70">
        <v>162</v>
      </c>
      <c r="DU805" s="485">
        <v>3.9636718218162801</v>
      </c>
      <c r="DV805" s="485">
        <v>5.5254898349891368</v>
      </c>
      <c r="DW805" s="70">
        <v>0</v>
      </c>
      <c r="DX805" s="70">
        <v>1</v>
      </c>
      <c r="DY805" s="70">
        <v>0</v>
      </c>
      <c r="DZ805" s="70">
        <f>VLOOKUP($BS805,'État &amp; Plan d''action'!$B$6:$AH$1113,31,FALSE)</f>
        <v>2</v>
      </c>
      <c r="EA805" s="70">
        <f>VLOOKUP($BS805,'État &amp; Plan d''action'!$B$6:$AH$1113,32,FALSE)</f>
        <v>0</v>
      </c>
      <c r="EB805" s="70">
        <f>VLOOKUP($BS805,'État &amp; Plan d''action'!$B$6:$AH$1113,33,FALSE)</f>
        <v>0</v>
      </c>
      <c r="EC805" s="70">
        <v>22.03</v>
      </c>
      <c r="ED805" s="70">
        <v>0</v>
      </c>
      <c r="EE805" s="70">
        <v>16.521999999999998</v>
      </c>
      <c r="EF805" s="70">
        <v>0</v>
      </c>
      <c r="EG805" s="70">
        <v>0</v>
      </c>
      <c r="EH805" s="72">
        <v>45</v>
      </c>
      <c r="EI805" s="72">
        <v>2681</v>
      </c>
    </row>
    <row r="806" spans="71:139" x14ac:dyDescent="0.35">
      <c r="BS806" s="486">
        <v>9025</v>
      </c>
      <c r="BT806" s="479" t="s">
        <v>1101</v>
      </c>
      <c r="BU806" s="479">
        <v>1</v>
      </c>
      <c r="BV806" s="476" t="s">
        <v>1187</v>
      </c>
      <c r="BW806" s="476" t="s">
        <v>1187</v>
      </c>
      <c r="BX806" s="476" t="s">
        <v>1187</v>
      </c>
      <c r="BY806" s="476" t="s">
        <v>1187</v>
      </c>
      <c r="BZ806" s="476" t="s">
        <v>1187</v>
      </c>
      <c r="CA806" s="476" t="s">
        <v>1187</v>
      </c>
      <c r="CB806" s="476" t="s">
        <v>1187</v>
      </c>
      <c r="CC806" s="476" t="s">
        <v>1187</v>
      </c>
      <c r="CD806" s="476" t="s">
        <v>1187</v>
      </c>
      <c r="CE806" s="476" t="s">
        <v>1187</v>
      </c>
      <c r="CF806" s="476" t="s">
        <v>1187</v>
      </c>
      <c r="CG806" s="476" t="s">
        <v>1187</v>
      </c>
      <c r="CH806" s="476" t="s">
        <v>1187</v>
      </c>
      <c r="CI806" s="476" t="s">
        <v>1187</v>
      </c>
      <c r="CJ806" s="476" t="s">
        <v>1187</v>
      </c>
      <c r="CK806" s="476" t="s">
        <v>1187</v>
      </c>
      <c r="CL806" s="476" t="s">
        <v>1188</v>
      </c>
      <c r="CM806" s="476" t="str">
        <f>IF(VLOOKUP(BS806,'Données par municipalité'!$B$6:$E$1113,4,FALSE)="","non","oui")</f>
        <v>oui</v>
      </c>
      <c r="CN806" s="410" t="s">
        <v>1124</v>
      </c>
      <c r="CO806" s="410" t="s">
        <v>1124</v>
      </c>
      <c r="CP806" s="410"/>
      <c r="CQ806" s="410"/>
      <c r="CR806" s="410"/>
      <c r="CS806" s="410" t="s">
        <v>1124</v>
      </c>
      <c r="CT806" s="410"/>
      <c r="CU806" s="410">
        <v>168</v>
      </c>
      <c r="CV806" s="410">
        <f>IF(VLOOKUP(BS806,'Données par municipalité'!$B$6:$F$1113,4,FALSE)="","",VLOOKUP(BS806,'Données par municipalité'!$B$6:$F$1113,4,FALSE))</f>
        <v>249</v>
      </c>
      <c r="CW806" s="476" t="s">
        <v>4723</v>
      </c>
      <c r="CX806" s="483" t="s">
        <v>1124</v>
      </c>
      <c r="CY806" s="483" t="s">
        <v>1124</v>
      </c>
      <c r="CZ806" s="483" t="s">
        <v>1124</v>
      </c>
      <c r="DA806" s="483" t="s">
        <v>1124</v>
      </c>
      <c r="DB806" s="483" t="s">
        <v>1124</v>
      </c>
      <c r="DC806" s="483" t="s">
        <v>1124</v>
      </c>
      <c r="DD806" s="483" t="s">
        <v>1124</v>
      </c>
      <c r="DE806" s="483">
        <f>IFERROR(SUM(VLOOKUP($BS806,'État &amp; Plan d''action'!$B$6:$Z$1113,18,FALSE),VLOOKUP($BS806,'État &amp; Plan d''action'!$B$6:$Z$1113,20,FALSE))/(VLOOKUP($BS806,'Données par municipalité'!$B$4:$L$1113,11,FALSE)),"")</f>
        <v>0</v>
      </c>
      <c r="DF806" s="483">
        <f>IFERROR(SUM(VLOOKUP($BS806,'État &amp; Plan d''action'!$B$6:$Z$1113,19,FALSE),VLOOKUP($BS806,'État &amp; Plan d''action'!$B$6:$Z$1113,21,FALSE))/(VLOOKUP($BS806,'Données par municipalité'!$B$4:$L$1113,11,FALSE)),"")</f>
        <v>1</v>
      </c>
      <c r="DG806" s="476" t="s">
        <v>4723</v>
      </c>
      <c r="DH806" s="484" t="s">
        <v>1124</v>
      </c>
      <c r="DI806" s="484" t="s">
        <v>1124</v>
      </c>
      <c r="DJ806" s="484">
        <v>0</v>
      </c>
      <c r="DK806" s="484">
        <v>0</v>
      </c>
      <c r="DL806" s="484" t="s">
        <v>1124</v>
      </c>
      <c r="DM806" s="484" t="s">
        <v>1124</v>
      </c>
      <c r="DN806" s="484">
        <v>1</v>
      </c>
      <c r="DO806" s="484">
        <v>1</v>
      </c>
      <c r="DP806" s="484">
        <v>0</v>
      </c>
      <c r="DQ806" s="484">
        <f>IF(VLOOKUP($BS806,'État &amp; Plan d''action'!$B$6:$AJ$1113,28,FALSE)="","",VLOOKUP($BS806,'État &amp; Plan d''action'!$B$6:$AJ$1113,28,FALSE))</f>
        <v>3</v>
      </c>
      <c r="DR806" s="70">
        <f>IF(VLOOKUP($BS806,'État &amp; Plan d''action'!$B$6:$AJ$1113,29,FALSE)="","",VLOOKUP($BS806,'État &amp; Plan d''action'!$B$6:$AJ$1113,29,FALSE))</f>
        <v>0</v>
      </c>
      <c r="DS806" s="70">
        <f>IF(VLOOKUP($BS806,'État &amp; Plan d''action'!$B$6:$AJ$1113,30,FALSE)="","",VLOOKUP($BS806,'État &amp; Plan d''action'!$B$6:$AJ$1113,30,FALSE))</f>
        <v>0</v>
      </c>
      <c r="DT806" s="70">
        <v>122</v>
      </c>
      <c r="DU806" s="485">
        <v>1.3017629776005646</v>
      </c>
      <c r="DV806" s="485">
        <v>3.955876238877039</v>
      </c>
      <c r="DW806" s="70">
        <v>2</v>
      </c>
      <c r="DX806" s="70">
        <v>2</v>
      </c>
      <c r="DY806" s="70">
        <v>0</v>
      </c>
      <c r="DZ806" s="70">
        <f>VLOOKUP($BS806,'État &amp; Plan d''action'!$B$6:$AH$1113,31,FALSE)</f>
        <v>1</v>
      </c>
      <c r="EA806" s="70">
        <f>VLOOKUP($BS806,'État &amp; Plan d''action'!$B$6:$AH$1113,32,FALSE)</f>
        <v>0</v>
      </c>
      <c r="EB806" s="70">
        <f>VLOOKUP($BS806,'État &amp; Plan d''action'!$B$6:$AH$1113,33,FALSE)</f>
        <v>0</v>
      </c>
      <c r="EC806" s="70">
        <v>0</v>
      </c>
      <c r="ED806" s="70">
        <v>0</v>
      </c>
      <c r="EE806" s="70">
        <v>0</v>
      </c>
      <c r="EF806" s="70">
        <v>0</v>
      </c>
      <c r="EG806" s="70">
        <v>0</v>
      </c>
      <c r="EH806" s="72">
        <v>38</v>
      </c>
      <c r="EI806" s="72">
        <v>1140</v>
      </c>
    </row>
    <row r="807" spans="71:139" x14ac:dyDescent="0.35">
      <c r="BS807" s="486">
        <v>22025</v>
      </c>
      <c r="BT807" s="479" t="s">
        <v>157</v>
      </c>
      <c r="BU807" s="479">
        <v>3</v>
      </c>
      <c r="BV807" s="476" t="s">
        <v>1187</v>
      </c>
      <c r="BW807" s="476" t="s">
        <v>1187</v>
      </c>
      <c r="BX807" s="476" t="s">
        <v>1187</v>
      </c>
      <c r="BY807" s="476" t="s">
        <v>1187</v>
      </c>
      <c r="BZ807" s="476" t="s">
        <v>1187</v>
      </c>
      <c r="CA807" s="476" t="s">
        <v>1187</v>
      </c>
      <c r="CB807" s="476" t="s">
        <v>1187</v>
      </c>
      <c r="CC807" s="476" t="s">
        <v>1187</v>
      </c>
      <c r="CD807" s="476" t="s">
        <v>1187</v>
      </c>
      <c r="CE807" s="476" t="s">
        <v>1188</v>
      </c>
      <c r="CF807" s="476" t="s">
        <v>1188</v>
      </c>
      <c r="CG807" s="476" t="s">
        <v>1188</v>
      </c>
      <c r="CH807" s="476" t="s">
        <v>1188</v>
      </c>
      <c r="CI807" s="476" t="s">
        <v>1188</v>
      </c>
      <c r="CJ807" s="476" t="s">
        <v>1188</v>
      </c>
      <c r="CK807" s="476" t="s">
        <v>1187</v>
      </c>
      <c r="CL807" s="476" t="s">
        <v>1188</v>
      </c>
      <c r="CM807" s="476" t="str">
        <f>IF(VLOOKUP(BS807,'Données par municipalité'!$B$6:$E$1113,4,FALSE)="","non","oui")</f>
        <v>non</v>
      </c>
      <c r="CN807" s="410">
        <v>495.35105563792251</v>
      </c>
      <c r="CO807" s="410">
        <v>541.00202920716617</v>
      </c>
      <c r="CP807" s="410">
        <v>402.90161224420427</v>
      </c>
      <c r="CQ807" s="410">
        <v>469.22632617329663</v>
      </c>
      <c r="CR807" s="410">
        <v>422.28991486799117</v>
      </c>
      <c r="CS807" s="410">
        <v>406.24777596811504</v>
      </c>
      <c r="CT807" s="410"/>
      <c r="CU807" s="410">
        <v>409</v>
      </c>
      <c r="CV807" s="410" t="str">
        <f>IF(VLOOKUP(BS807,'Données par municipalité'!$B$6:$F$1113,4,FALSE)="","",VLOOKUP(BS807,'Données par municipalité'!$B$6:$F$1113,4,FALSE))</f>
        <v/>
      </c>
      <c r="CW807" s="476" t="s">
        <v>4723</v>
      </c>
      <c r="CX807" s="483">
        <v>0</v>
      </c>
      <c r="CY807" s="483">
        <v>0</v>
      </c>
      <c r="CZ807" s="483">
        <v>0</v>
      </c>
      <c r="DA807" s="483">
        <v>1</v>
      </c>
      <c r="DB807" s="483">
        <v>1</v>
      </c>
      <c r="DC807" s="483" t="s">
        <v>1124</v>
      </c>
      <c r="DD807" s="483" t="s">
        <v>1124</v>
      </c>
      <c r="DE807" s="483" t="str">
        <f>IFERROR(SUM(VLOOKUP($BS807,'État &amp; Plan d''action'!$B$6:$Z$1113,18,FALSE),VLOOKUP($BS807,'État &amp; Plan d''action'!$B$6:$Z$1113,20,FALSE))/(VLOOKUP($BS807,'Données par municipalité'!$B$4:$L$1113,11,FALSE)),"")</f>
        <v/>
      </c>
      <c r="DF807" s="483" t="str">
        <f>IFERROR(SUM(VLOOKUP($BS807,'État &amp; Plan d''action'!$B$6:$Z$1113,19,FALSE),VLOOKUP($BS807,'État &amp; Plan d''action'!$B$6:$Z$1113,21,FALSE))/(VLOOKUP($BS807,'Données par municipalité'!$B$4:$L$1113,11,FALSE)),"")</f>
        <v/>
      </c>
      <c r="DG807" s="476" t="s">
        <v>4723</v>
      </c>
      <c r="DH807" s="484">
        <v>1</v>
      </c>
      <c r="DI807" s="484">
        <v>3</v>
      </c>
      <c r="DJ807" s="484">
        <v>2</v>
      </c>
      <c r="DK807" s="484">
        <v>4</v>
      </c>
      <c r="DL807" s="484">
        <v>0</v>
      </c>
      <c r="DM807" s="484" t="s">
        <v>1124</v>
      </c>
      <c r="DN807" s="484">
        <v>0</v>
      </c>
      <c r="DO807" s="484">
        <v>0</v>
      </c>
      <c r="DP807" s="484">
        <v>0</v>
      </c>
      <c r="DQ807" s="484" t="str">
        <f>IF(VLOOKUP($BS807,'État &amp; Plan d''action'!$B$6:$AJ$1113,28,FALSE)="","",VLOOKUP($BS807,'État &amp; Plan d''action'!$B$6:$AJ$1113,28,FALSE))</f>
        <v/>
      </c>
      <c r="DR807" s="70" t="str">
        <f>IF(VLOOKUP($BS807,'État &amp; Plan d''action'!$B$6:$AJ$1113,29,FALSE)="","",VLOOKUP($BS807,'État &amp; Plan d''action'!$B$6:$AJ$1113,29,FALSE))</f>
        <v/>
      </c>
      <c r="DS807" s="70" t="str">
        <f>IF(VLOOKUP($BS807,'État &amp; Plan d''action'!$B$6:$AJ$1113,30,FALSE)="","",VLOOKUP($BS807,'État &amp; Plan d''action'!$B$6:$AJ$1113,30,FALSE))</f>
        <v/>
      </c>
      <c r="DT807" s="70">
        <v>208</v>
      </c>
      <c r="DU807" s="485" t="s">
        <v>1124</v>
      </c>
      <c r="DV807" s="485" t="s">
        <v>1124</v>
      </c>
      <c r="DW807" s="70">
        <v>0</v>
      </c>
      <c r="DX807" s="70">
        <v>0</v>
      </c>
      <c r="DY807" s="70">
        <v>0</v>
      </c>
      <c r="DZ807" s="70" t="str">
        <f>VLOOKUP($BS807,'État &amp; Plan d''action'!$B$6:$AH$1113,31,FALSE)</f>
        <v/>
      </c>
      <c r="EA807" s="70" t="str">
        <f>VLOOKUP($BS807,'État &amp; Plan d''action'!$B$6:$AH$1113,32,FALSE)</f>
        <v/>
      </c>
      <c r="EB807" s="70" t="str">
        <f>VLOOKUP($BS807,'État &amp; Plan d''action'!$B$6:$AH$1113,33,FALSE)</f>
        <v/>
      </c>
      <c r="EC807" s="70">
        <v>5.0199999999999996</v>
      </c>
      <c r="ED807" s="70">
        <v>0</v>
      </c>
      <c r="EE807" s="70">
        <v>0</v>
      </c>
      <c r="EF807" s="70">
        <v>0</v>
      </c>
      <c r="EG807" s="70">
        <v>0</v>
      </c>
      <c r="EH807" s="72">
        <v>56</v>
      </c>
      <c r="EI807" s="72">
        <v>3482</v>
      </c>
    </row>
    <row r="808" spans="71:139" x14ac:dyDescent="0.35">
      <c r="BS808" s="486">
        <v>14075</v>
      </c>
      <c r="BT808" s="479" t="s">
        <v>73</v>
      </c>
      <c r="BU808" s="479">
        <v>1</v>
      </c>
      <c r="BV808" s="476" t="s">
        <v>1188</v>
      </c>
      <c r="BW808" s="476" t="s">
        <v>1188</v>
      </c>
      <c r="BX808" s="476" t="s">
        <v>1188</v>
      </c>
      <c r="BY808" s="476" t="s">
        <v>1188</v>
      </c>
      <c r="BZ808" s="476" t="s">
        <v>1188</v>
      </c>
      <c r="CA808" s="476" t="s">
        <v>1188</v>
      </c>
      <c r="CB808" s="476" t="s">
        <v>1188</v>
      </c>
      <c r="CC808" s="476" t="s">
        <v>1188</v>
      </c>
      <c r="CD808" s="476" t="s">
        <v>1188</v>
      </c>
      <c r="CE808" s="476" t="s">
        <v>1187</v>
      </c>
      <c r="CF808" s="476" t="s">
        <v>1187</v>
      </c>
      <c r="CG808" s="476" t="s">
        <v>1187</v>
      </c>
      <c r="CH808" s="476" t="s">
        <v>1187</v>
      </c>
      <c r="CI808" s="476" t="s">
        <v>1187</v>
      </c>
      <c r="CJ808" s="476" t="s">
        <v>1187</v>
      </c>
      <c r="CK808" s="476" t="s">
        <v>1187</v>
      </c>
      <c r="CL808" s="476" t="s">
        <v>1187</v>
      </c>
      <c r="CM808" s="476" t="str">
        <f>IF(VLOOKUP(BS808,'Données par municipalité'!$B$6:$E$1113,4,FALSE)="","non","oui")</f>
        <v>non</v>
      </c>
      <c r="CN808" s="410" t="s">
        <v>1124</v>
      </c>
      <c r="CO808" s="410" t="s">
        <v>1124</v>
      </c>
      <c r="CP808" s="410"/>
      <c r="CQ808" s="410"/>
      <c r="CR808" s="410"/>
      <c r="CS808" s="410" t="s">
        <v>1124</v>
      </c>
      <c r="CT808" s="410"/>
      <c r="CU808" s="410" t="s">
        <v>1124</v>
      </c>
      <c r="CV808" s="410" t="str">
        <f>IF(VLOOKUP(BS808,'Données par municipalité'!$B$6:$F$1113,4,FALSE)="","",VLOOKUP(BS808,'Données par municipalité'!$B$6:$F$1113,4,FALSE))</f>
        <v/>
      </c>
      <c r="CW808" s="476" t="s">
        <v>4723</v>
      </c>
      <c r="CX808" s="483" t="s">
        <v>1124</v>
      </c>
      <c r="CY808" s="483" t="s">
        <v>1124</v>
      </c>
      <c r="CZ808" s="483" t="s">
        <v>1124</v>
      </c>
      <c r="DA808" s="483" t="s">
        <v>1124</v>
      </c>
      <c r="DB808" s="483" t="s">
        <v>1124</v>
      </c>
      <c r="DC808" s="483" t="s">
        <v>1124</v>
      </c>
      <c r="DD808" s="483" t="s">
        <v>1124</v>
      </c>
      <c r="DE808" s="483" t="str">
        <f>IFERROR(SUM(VLOOKUP($BS808,'État &amp; Plan d''action'!$B$6:$Z$1113,18,FALSE),VLOOKUP($BS808,'État &amp; Plan d''action'!$B$6:$Z$1113,20,FALSE))/(VLOOKUP($BS808,'Données par municipalité'!$B$4:$L$1113,11,FALSE)),"")</f>
        <v/>
      </c>
      <c r="DF808" s="483" t="str">
        <f>IFERROR(SUM(VLOOKUP($BS808,'État &amp; Plan d''action'!$B$6:$Z$1113,19,FALSE),VLOOKUP($BS808,'État &amp; Plan d''action'!$B$6:$Z$1113,21,FALSE))/(VLOOKUP($BS808,'Données par municipalité'!$B$4:$L$1113,11,FALSE)),"")</f>
        <v/>
      </c>
      <c r="DG808" s="476" t="s">
        <v>4723</v>
      </c>
      <c r="DH808" s="484" t="s">
        <v>1124</v>
      </c>
      <c r="DI808" s="484" t="s">
        <v>1124</v>
      </c>
      <c r="DJ808" s="484">
        <v>0</v>
      </c>
      <c r="DK808" s="484">
        <v>0</v>
      </c>
      <c r="DL808" s="484" t="s">
        <v>1124</v>
      </c>
      <c r="DM808" s="484" t="s">
        <v>1124</v>
      </c>
      <c r="DN808" s="484" t="s">
        <v>1124</v>
      </c>
      <c r="DO808" s="484" t="s">
        <v>1124</v>
      </c>
      <c r="DP808" s="484" t="s">
        <v>1124</v>
      </c>
      <c r="DQ808" s="484" t="str">
        <f>IF(VLOOKUP($BS808,'État &amp; Plan d''action'!$B$6:$AJ$1113,28,FALSE)="","",VLOOKUP($BS808,'État &amp; Plan d''action'!$B$6:$AJ$1113,28,FALSE))</f>
        <v/>
      </c>
      <c r="DR808" s="70" t="str">
        <f>IF(VLOOKUP($BS808,'État &amp; Plan d''action'!$B$6:$AJ$1113,29,FALSE)="","",VLOOKUP($BS808,'État &amp; Plan d''action'!$B$6:$AJ$1113,29,FALSE))</f>
        <v/>
      </c>
      <c r="DS808" s="70" t="str">
        <f>IF(VLOOKUP($BS808,'État &amp; Plan d''action'!$B$6:$AJ$1113,30,FALSE)="","",VLOOKUP($BS808,'État &amp; Plan d''action'!$B$6:$AJ$1113,30,FALSE))</f>
        <v/>
      </c>
      <c r="DT808" s="70" t="s">
        <v>1124</v>
      </c>
      <c r="DU808" s="485" t="s">
        <v>1124</v>
      </c>
      <c r="DV808" s="485" t="s">
        <v>1124</v>
      </c>
      <c r="DW808" s="70" t="s">
        <v>1124</v>
      </c>
      <c r="DX808" s="70" t="s">
        <v>1124</v>
      </c>
      <c r="DY808" s="70" t="s">
        <v>1124</v>
      </c>
      <c r="DZ808" s="70" t="str">
        <f>VLOOKUP($BS808,'État &amp; Plan d''action'!$B$6:$AH$1113,31,FALSE)</f>
        <v/>
      </c>
      <c r="EA808" s="70" t="str">
        <f>VLOOKUP($BS808,'État &amp; Plan d''action'!$B$6:$AH$1113,32,FALSE)</f>
        <v/>
      </c>
      <c r="EB808" s="70" t="str">
        <f>VLOOKUP($BS808,'État &amp; Plan d''action'!$B$6:$AH$1113,33,FALSE)</f>
        <v/>
      </c>
      <c r="EC808" s="70" t="s">
        <v>1124</v>
      </c>
      <c r="ED808" s="70" t="s">
        <v>1124</v>
      </c>
      <c r="EE808" s="70" t="s">
        <v>1124</v>
      </c>
      <c r="EF808" s="70" t="s">
        <v>1124</v>
      </c>
      <c r="EG808" s="70" t="s">
        <v>1124</v>
      </c>
      <c r="EH808" s="72"/>
      <c r="EI808" s="72">
        <v>719</v>
      </c>
    </row>
    <row r="809" spans="71:139" x14ac:dyDescent="0.35">
      <c r="BS809" s="486">
        <v>93035</v>
      </c>
      <c r="BT809" s="479" t="s">
        <v>963</v>
      </c>
      <c r="BU809" s="479">
        <v>2</v>
      </c>
      <c r="BV809" s="476" t="s">
        <v>1187</v>
      </c>
      <c r="BW809" s="476" t="s">
        <v>1187</v>
      </c>
      <c r="BX809" s="476" t="s">
        <v>1187</v>
      </c>
      <c r="BY809" s="476" t="s">
        <v>1187</v>
      </c>
      <c r="BZ809" s="476" t="s">
        <v>1187</v>
      </c>
      <c r="CA809" s="476" t="s">
        <v>1187</v>
      </c>
      <c r="CB809" s="476" t="s">
        <v>1187</v>
      </c>
      <c r="CC809" s="476" t="s">
        <v>1187</v>
      </c>
      <c r="CD809" s="476" t="s">
        <v>1187</v>
      </c>
      <c r="CE809" s="476" t="s">
        <v>1187</v>
      </c>
      <c r="CF809" s="476" t="s">
        <v>1187</v>
      </c>
      <c r="CG809" s="476" t="s">
        <v>1187</v>
      </c>
      <c r="CH809" s="476" t="s">
        <v>1187</v>
      </c>
      <c r="CI809" s="476" t="s">
        <v>1187</v>
      </c>
      <c r="CJ809" s="476" t="s">
        <v>1187</v>
      </c>
      <c r="CK809" s="476" t="s">
        <v>1187</v>
      </c>
      <c r="CL809" s="476" t="s">
        <v>1188</v>
      </c>
      <c r="CM809" s="476" t="str">
        <f>IF(VLOOKUP(BS809,'Données par municipalité'!$B$6:$E$1113,4,FALSE)="","non","oui")</f>
        <v>oui</v>
      </c>
      <c r="CN809" s="410" t="s">
        <v>1124</v>
      </c>
      <c r="CO809" s="410" t="s">
        <v>1124</v>
      </c>
      <c r="CP809" s="410"/>
      <c r="CQ809" s="410"/>
      <c r="CR809" s="410"/>
      <c r="CS809" s="410" t="s">
        <v>1124</v>
      </c>
      <c r="CT809" s="410"/>
      <c r="CU809" s="410">
        <v>705</v>
      </c>
      <c r="CV809" s="410">
        <f>IF(VLOOKUP(BS809,'Données par municipalité'!$B$6:$F$1113,4,FALSE)="","",VLOOKUP(BS809,'Données par municipalité'!$B$6:$F$1113,4,FALSE))</f>
        <v>780</v>
      </c>
      <c r="CW809" s="476" t="s">
        <v>4723</v>
      </c>
      <c r="CX809" s="483" t="s">
        <v>1124</v>
      </c>
      <c r="CY809" s="483" t="s">
        <v>1124</v>
      </c>
      <c r="CZ809" s="483" t="s">
        <v>1124</v>
      </c>
      <c r="DA809" s="483" t="s">
        <v>1124</v>
      </c>
      <c r="DB809" s="483" t="s">
        <v>1124</v>
      </c>
      <c r="DC809" s="483" t="s">
        <v>1124</v>
      </c>
      <c r="DD809" s="483">
        <v>0</v>
      </c>
      <c r="DE809" s="483">
        <f>IFERROR(SUM(VLOOKUP($BS809,'État &amp; Plan d''action'!$B$6:$Z$1113,18,FALSE),VLOOKUP($BS809,'État &amp; Plan d''action'!$B$6:$Z$1113,20,FALSE))/(VLOOKUP($BS809,'Données par municipalité'!$B$4:$L$1113,11,FALSE)),"")</f>
        <v>0</v>
      </c>
      <c r="DF809" s="483">
        <f>IFERROR(SUM(VLOOKUP($BS809,'État &amp; Plan d''action'!$B$6:$Z$1113,19,FALSE),VLOOKUP($BS809,'État &amp; Plan d''action'!$B$6:$Z$1113,21,FALSE))/(VLOOKUP($BS809,'Données par municipalité'!$B$4:$L$1113,11,FALSE)),"")</f>
        <v>1</v>
      </c>
      <c r="DG809" s="476" t="s">
        <v>4723</v>
      </c>
      <c r="DH809" s="484" t="s">
        <v>1124</v>
      </c>
      <c r="DI809" s="484" t="s">
        <v>1124</v>
      </c>
      <c r="DJ809" s="484">
        <v>7</v>
      </c>
      <c r="DK809" s="484">
        <v>14</v>
      </c>
      <c r="DL809" s="484" t="s">
        <v>1124</v>
      </c>
      <c r="DM809" s="484" t="s">
        <v>1124</v>
      </c>
      <c r="DN809" s="484">
        <v>2</v>
      </c>
      <c r="DO809" s="484">
        <v>4</v>
      </c>
      <c r="DP809" s="484">
        <v>0</v>
      </c>
      <c r="DQ809" s="484">
        <f>IF(VLOOKUP($BS809,'État &amp; Plan d''action'!$B$6:$AJ$1113,28,FALSE)="","",VLOOKUP($BS809,'État &amp; Plan d''action'!$B$6:$AJ$1113,28,FALSE))</f>
        <v>3</v>
      </c>
      <c r="DR809" s="70">
        <f>IF(VLOOKUP($BS809,'État &amp; Plan d''action'!$B$6:$AJ$1113,29,FALSE)="","",VLOOKUP($BS809,'État &amp; Plan d''action'!$B$6:$AJ$1113,29,FALSE))</f>
        <v>15</v>
      </c>
      <c r="DS809" s="70">
        <f>IF(VLOOKUP($BS809,'État &amp; Plan d''action'!$B$6:$AJ$1113,30,FALSE)="","",VLOOKUP($BS809,'État &amp; Plan d''action'!$B$6:$AJ$1113,30,FALSE))</f>
        <v>7</v>
      </c>
      <c r="DT809" s="70">
        <v>461</v>
      </c>
      <c r="DU809" s="485">
        <v>2.6008610248275965</v>
      </c>
      <c r="DV809" s="485">
        <v>3.9564575191996147</v>
      </c>
      <c r="DW809" s="70">
        <v>2</v>
      </c>
      <c r="DX809" s="70">
        <v>2</v>
      </c>
      <c r="DY809" s="70">
        <v>0</v>
      </c>
      <c r="DZ809" s="70">
        <f>VLOOKUP($BS809,'État &amp; Plan d''action'!$B$6:$AH$1113,31,FALSE)</f>
        <v>2</v>
      </c>
      <c r="EA809" s="70">
        <f>VLOOKUP($BS809,'État &amp; Plan d''action'!$B$6:$AH$1113,32,FALSE)</f>
        <v>2</v>
      </c>
      <c r="EB809" s="70">
        <f>VLOOKUP($BS809,'État &amp; Plan d''action'!$B$6:$AH$1113,33,FALSE)</f>
        <v>10</v>
      </c>
      <c r="EC809" s="70">
        <v>0</v>
      </c>
      <c r="ED809" s="70">
        <v>0</v>
      </c>
      <c r="EE809" s="70">
        <v>0</v>
      </c>
      <c r="EF809" s="70">
        <v>0</v>
      </c>
      <c r="EG809" s="70">
        <v>0</v>
      </c>
      <c r="EH809" s="72">
        <v>59</v>
      </c>
      <c r="EI809" s="72">
        <v>2160</v>
      </c>
    </row>
    <row r="810" spans="71:139" x14ac:dyDescent="0.35">
      <c r="BS810" s="486">
        <v>29013</v>
      </c>
      <c r="BT810" s="479" t="s">
        <v>202</v>
      </c>
      <c r="BU810" s="479">
        <v>12</v>
      </c>
      <c r="BV810" s="476" t="s">
        <v>1187</v>
      </c>
      <c r="BW810" s="476" t="s">
        <v>1187</v>
      </c>
      <c r="BX810" s="476" t="s">
        <v>1187</v>
      </c>
      <c r="BY810" s="476" t="s">
        <v>1187</v>
      </c>
      <c r="BZ810" s="476" t="s">
        <v>1187</v>
      </c>
      <c r="CA810" s="476" t="s">
        <v>1187</v>
      </c>
      <c r="CB810" s="476" t="s">
        <v>1187</v>
      </c>
      <c r="CC810" s="476" t="s">
        <v>1187</v>
      </c>
      <c r="CD810" s="476" t="s">
        <v>1187</v>
      </c>
      <c r="CE810" s="476" t="s">
        <v>1188</v>
      </c>
      <c r="CF810" s="476" t="s">
        <v>1188</v>
      </c>
      <c r="CG810" s="476" t="s">
        <v>1187</v>
      </c>
      <c r="CH810" s="476" t="s">
        <v>1188</v>
      </c>
      <c r="CI810" s="476" t="s">
        <v>1188</v>
      </c>
      <c r="CJ810" s="476" t="s">
        <v>1188</v>
      </c>
      <c r="CK810" s="476" t="s">
        <v>1188</v>
      </c>
      <c r="CL810" s="476" t="s">
        <v>1188</v>
      </c>
      <c r="CM810" s="476" t="str">
        <f>IF(VLOOKUP(BS810,'Données par municipalité'!$B$6:$E$1113,4,FALSE)="","non","oui")</f>
        <v>oui</v>
      </c>
      <c r="CN810" s="410">
        <v>366.46213850837142</v>
      </c>
      <c r="CO810" s="410">
        <v>334.03438277014271</v>
      </c>
      <c r="CP810" s="410"/>
      <c r="CQ810" s="410">
        <v>339.4962899543379</v>
      </c>
      <c r="CR810" s="410">
        <v>301.52985074626866</v>
      </c>
      <c r="CS810" s="410">
        <v>320.29400045537335</v>
      </c>
      <c r="CT810" s="410">
        <v>356.19577625570776</v>
      </c>
      <c r="CU810" s="410">
        <v>355</v>
      </c>
      <c r="CV810" s="410">
        <f>IF(VLOOKUP(BS810,'Données par municipalité'!$B$6:$F$1113,4,FALSE)="","",VLOOKUP(BS810,'Données par municipalité'!$B$6:$F$1113,4,FALSE))</f>
        <v>285</v>
      </c>
      <c r="CW810" s="476" t="s">
        <v>4723</v>
      </c>
      <c r="CX810" s="483">
        <v>0.2</v>
      </c>
      <c r="CY810" s="483" t="s">
        <v>1124</v>
      </c>
      <c r="CZ810" s="483">
        <v>0</v>
      </c>
      <c r="DA810" s="483">
        <v>0</v>
      </c>
      <c r="DB810" s="483">
        <v>0</v>
      </c>
      <c r="DC810" s="483">
        <v>1</v>
      </c>
      <c r="DD810" s="483">
        <v>1.1958146487294468</v>
      </c>
      <c r="DE810" s="483">
        <f>IFERROR(SUM(VLOOKUP($BS810,'État &amp; Plan d''action'!$B$6:$Z$1113,18,FALSE),VLOOKUP($BS810,'État &amp; Plan d''action'!$B$6:$Z$1113,20,FALSE))/(VLOOKUP($BS810,'Données par municipalité'!$B$4:$L$1113,11,FALSE)),"")</f>
        <v>0</v>
      </c>
      <c r="DF810" s="483">
        <f>IFERROR(SUM(VLOOKUP($BS810,'État &amp; Plan d''action'!$B$6:$Z$1113,19,FALSE),VLOOKUP($BS810,'État &amp; Plan d''action'!$B$6:$Z$1113,21,FALSE))/(VLOOKUP($BS810,'Données par municipalité'!$B$4:$L$1113,11,FALSE)),"")</f>
        <v>0</v>
      </c>
      <c r="DG810" s="476" t="s">
        <v>4723</v>
      </c>
      <c r="DH810" s="484">
        <v>2</v>
      </c>
      <c r="DI810" s="484" t="s">
        <v>1124</v>
      </c>
      <c r="DJ810" s="484">
        <v>2</v>
      </c>
      <c r="DK810" s="484">
        <v>3</v>
      </c>
      <c r="DL810" s="484">
        <v>2</v>
      </c>
      <c r="DM810" s="484">
        <v>3</v>
      </c>
      <c r="DN810" s="484">
        <v>5</v>
      </c>
      <c r="DO810" s="484">
        <v>0</v>
      </c>
      <c r="DP810" s="484">
        <v>2</v>
      </c>
      <c r="DQ810" s="484">
        <f>IF(VLOOKUP($BS810,'État &amp; Plan d''action'!$B$6:$AJ$1113,28,FALSE)="","",VLOOKUP($BS810,'État &amp; Plan d''action'!$B$6:$AJ$1113,28,FALSE))</f>
        <v>5</v>
      </c>
      <c r="DR810" s="70">
        <f>IF(VLOOKUP($BS810,'État &amp; Plan d''action'!$B$6:$AJ$1113,29,FALSE)="","",VLOOKUP($BS810,'État &amp; Plan d''action'!$B$6:$AJ$1113,29,FALSE))</f>
        <v>1</v>
      </c>
      <c r="DS810" s="70">
        <f>IF(VLOOKUP($BS810,'État &amp; Plan d''action'!$B$6:$AJ$1113,30,FALSE)="","",VLOOKUP($BS810,'État &amp; Plan d''action'!$B$6:$AJ$1113,30,FALSE))</f>
        <v>0</v>
      </c>
      <c r="DT810" s="70">
        <v>192</v>
      </c>
      <c r="DU810" s="485">
        <v>3.2011950096420971</v>
      </c>
      <c r="DV810" s="485">
        <v>0.35811497980673224</v>
      </c>
      <c r="DW810" s="70">
        <v>5</v>
      </c>
      <c r="DX810" s="70">
        <v>0</v>
      </c>
      <c r="DY810" s="70">
        <v>5</v>
      </c>
      <c r="DZ810" s="70">
        <f>VLOOKUP($BS810,'État &amp; Plan d''action'!$B$6:$AH$1113,31,FALSE)</f>
        <v>4</v>
      </c>
      <c r="EA810" s="70">
        <f>VLOOKUP($BS810,'État &amp; Plan d''action'!$B$6:$AH$1113,32,FALSE)</f>
        <v>4</v>
      </c>
      <c r="EB810" s="70">
        <f>VLOOKUP($BS810,'État &amp; Plan d''action'!$B$6:$AH$1113,33,FALSE)</f>
        <v>0</v>
      </c>
      <c r="EC810" s="70">
        <v>2</v>
      </c>
      <c r="ED810" s="70">
        <v>26</v>
      </c>
      <c r="EE810" s="70">
        <v>6</v>
      </c>
      <c r="EF810" s="70">
        <v>0</v>
      </c>
      <c r="EG810" s="70">
        <v>0</v>
      </c>
      <c r="EH810" s="72">
        <v>59</v>
      </c>
      <c r="EI810" s="72">
        <v>2175</v>
      </c>
    </row>
    <row r="811" spans="71:139" x14ac:dyDescent="0.35">
      <c r="BS811" s="486">
        <v>29073</v>
      </c>
      <c r="BT811" s="479" t="s">
        <v>211</v>
      </c>
      <c r="BU811" s="479">
        <v>12</v>
      </c>
      <c r="BV811" s="476" t="s">
        <v>1187</v>
      </c>
      <c r="BW811" s="476" t="s">
        <v>1187</v>
      </c>
      <c r="BX811" s="476" t="s">
        <v>1187</v>
      </c>
      <c r="BY811" s="476" t="s">
        <v>1187</v>
      </c>
      <c r="BZ811" s="476" t="s">
        <v>1187</v>
      </c>
      <c r="CA811" s="476" t="s">
        <v>1187</v>
      </c>
      <c r="CB811" s="476" t="s">
        <v>1187</v>
      </c>
      <c r="CC811" s="476" t="s">
        <v>1187</v>
      </c>
      <c r="CD811" s="476" t="s">
        <v>1187</v>
      </c>
      <c r="CE811" s="476" t="s">
        <v>1188</v>
      </c>
      <c r="CF811" s="476" t="s">
        <v>1188</v>
      </c>
      <c r="CG811" s="476" t="s">
        <v>1188</v>
      </c>
      <c r="CH811" s="476" t="s">
        <v>1188</v>
      </c>
      <c r="CI811" s="476" t="s">
        <v>1188</v>
      </c>
      <c r="CJ811" s="476" t="s">
        <v>1188</v>
      </c>
      <c r="CK811" s="476" t="s">
        <v>1188</v>
      </c>
      <c r="CL811" s="476" t="s">
        <v>1188</v>
      </c>
      <c r="CM811" s="476" t="str">
        <f>IF(VLOOKUP(BS811,'Données par municipalité'!$B$6:$E$1113,4,FALSE)="","non","oui")</f>
        <v>oui</v>
      </c>
      <c r="CN811" s="410">
        <v>376.09660517070756</v>
      </c>
      <c r="CO811" s="410">
        <v>367.55622303456778</v>
      </c>
      <c r="CP811" s="410">
        <v>347.58061036171051</v>
      </c>
      <c r="CQ811" s="410">
        <v>328.61140262088395</v>
      </c>
      <c r="CR811" s="410">
        <v>332.29073812472774</v>
      </c>
      <c r="CS811" s="410">
        <v>321.91916025605991</v>
      </c>
      <c r="CT811" s="410">
        <v>310.83512506005945</v>
      </c>
      <c r="CU811" s="410">
        <v>323</v>
      </c>
      <c r="CV811" s="410">
        <f>IF(VLOOKUP(BS811,'Données par municipalité'!$B$6:$F$1113,4,FALSE)="","",VLOOKUP(BS811,'Données par municipalité'!$B$6:$F$1113,4,FALSE))</f>
        <v>338</v>
      </c>
      <c r="CW811" s="476" t="s">
        <v>4723</v>
      </c>
      <c r="CX811" s="483">
        <v>1</v>
      </c>
      <c r="CY811" s="483">
        <v>1</v>
      </c>
      <c r="CZ811" s="483">
        <v>1</v>
      </c>
      <c r="DA811" s="483">
        <v>1</v>
      </c>
      <c r="DB811" s="483">
        <v>1</v>
      </c>
      <c r="DC811" s="483">
        <v>1</v>
      </c>
      <c r="DD811" s="483">
        <v>1</v>
      </c>
      <c r="DE811" s="483">
        <f>IFERROR(SUM(VLOOKUP($BS811,'État &amp; Plan d''action'!$B$6:$Z$1113,18,FALSE),VLOOKUP($BS811,'État &amp; Plan d''action'!$B$6:$Z$1113,20,FALSE))/(VLOOKUP($BS811,'Données par municipalité'!$B$4:$L$1113,11,FALSE)),"")</f>
        <v>4.0000040933320644</v>
      </c>
      <c r="DF811" s="483">
        <f>IFERROR(SUM(VLOOKUP($BS811,'État &amp; Plan d''action'!$B$6:$Z$1113,19,FALSE),VLOOKUP($BS811,'État &amp; Plan d''action'!$B$6:$Z$1113,21,FALSE))/(VLOOKUP($BS811,'Données par municipalité'!$B$4:$L$1113,11,FALSE)),"")</f>
        <v>4.0000040933320644</v>
      </c>
      <c r="DG811" s="476" t="s">
        <v>4723</v>
      </c>
      <c r="DH811" s="484">
        <v>35</v>
      </c>
      <c r="DI811" s="484">
        <v>61</v>
      </c>
      <c r="DJ811" s="484">
        <v>61</v>
      </c>
      <c r="DK811" s="484">
        <v>74</v>
      </c>
      <c r="DL811" s="484">
        <v>48</v>
      </c>
      <c r="DM811" s="484">
        <v>45</v>
      </c>
      <c r="DN811" s="484">
        <v>36</v>
      </c>
      <c r="DO811" s="484">
        <v>5</v>
      </c>
      <c r="DP811" s="484">
        <v>3</v>
      </c>
      <c r="DQ811" s="484">
        <f>IF(VLOOKUP($BS811,'État &amp; Plan d''action'!$B$6:$AJ$1113,28,FALSE)="","",VLOOKUP($BS811,'État &amp; Plan d''action'!$B$6:$AJ$1113,28,FALSE))</f>
        <v>27</v>
      </c>
      <c r="DR811" s="70">
        <f>IF(VLOOKUP($BS811,'État &amp; Plan d''action'!$B$6:$AJ$1113,29,FALSE)="","",VLOOKUP($BS811,'État &amp; Plan d''action'!$B$6:$AJ$1113,29,FALSE))</f>
        <v>8</v>
      </c>
      <c r="DS811" s="70">
        <f>IF(VLOOKUP($BS811,'État &amp; Plan d''action'!$B$6:$AJ$1113,30,FALSE)="","",VLOOKUP($BS811,'État &amp; Plan d''action'!$B$6:$AJ$1113,30,FALSE))</f>
        <v>5</v>
      </c>
      <c r="DT811" s="70">
        <v>225</v>
      </c>
      <c r="DU811" s="485">
        <v>0.76283671849809864</v>
      </c>
      <c r="DV811" s="485">
        <v>1.8012718967301229</v>
      </c>
      <c r="DW811" s="70">
        <v>4</v>
      </c>
      <c r="DX811" s="70">
        <v>4</v>
      </c>
      <c r="DY811" s="70">
        <v>20</v>
      </c>
      <c r="DZ811" s="70">
        <f>VLOOKUP($BS811,'État &amp; Plan d''action'!$B$6:$AH$1113,31,FALSE)</f>
        <v>2</v>
      </c>
      <c r="EA811" s="70">
        <f>VLOOKUP($BS811,'État &amp; Plan d''action'!$B$6:$AH$1113,32,FALSE)</f>
        <v>5</v>
      </c>
      <c r="EB811" s="70">
        <f>VLOOKUP($BS811,'État &amp; Plan d''action'!$B$6:$AH$1113,33,FALSE)</f>
        <v>15</v>
      </c>
      <c r="EC811" s="70">
        <v>0</v>
      </c>
      <c r="ED811" s="70">
        <v>218.423</v>
      </c>
      <c r="EE811" s="70">
        <v>0</v>
      </c>
      <c r="EF811" s="70">
        <v>0</v>
      </c>
      <c r="EG811" s="70">
        <v>0</v>
      </c>
      <c r="EH811" s="72">
        <v>43</v>
      </c>
      <c r="EI811" s="72">
        <v>33355</v>
      </c>
    </row>
    <row r="812" spans="71:139" x14ac:dyDescent="0.35">
      <c r="BS812" s="486">
        <v>56010</v>
      </c>
      <c r="BT812" s="479" t="s">
        <v>568</v>
      </c>
      <c r="BU812" s="479">
        <v>16</v>
      </c>
      <c r="BV812" s="476" t="s">
        <v>1187</v>
      </c>
      <c r="BW812" s="476" t="s">
        <v>1187</v>
      </c>
      <c r="BX812" s="476" t="s">
        <v>1187</v>
      </c>
      <c r="BY812" s="476" t="s">
        <v>1187</v>
      </c>
      <c r="BZ812" s="476" t="s">
        <v>1187</v>
      </c>
      <c r="CA812" s="476" t="s">
        <v>1187</v>
      </c>
      <c r="CB812" s="476" t="s">
        <v>1187</v>
      </c>
      <c r="CC812" s="476" t="s">
        <v>1187</v>
      </c>
      <c r="CD812" s="476" t="s">
        <v>1187</v>
      </c>
      <c r="CE812" s="476" t="s">
        <v>1188</v>
      </c>
      <c r="CF812" s="476" t="s">
        <v>1188</v>
      </c>
      <c r="CG812" s="476" t="s">
        <v>1188</v>
      </c>
      <c r="CH812" s="476" t="s">
        <v>1188</v>
      </c>
      <c r="CI812" s="476" t="s">
        <v>1188</v>
      </c>
      <c r="CJ812" s="476" t="s">
        <v>1187</v>
      </c>
      <c r="CK812" s="476" t="s">
        <v>1187</v>
      </c>
      <c r="CL812" s="476" t="s">
        <v>1187</v>
      </c>
      <c r="CM812" s="476" t="str">
        <f>IF(VLOOKUP(BS812,'Données par municipalité'!$B$6:$E$1113,4,FALSE)="","non","oui")</f>
        <v>non</v>
      </c>
      <c r="CN812" s="410">
        <v>358.5010911297781</v>
      </c>
      <c r="CO812" s="410">
        <v>317.08482486461236</v>
      </c>
      <c r="CP812" s="410">
        <v>215.59846150557814</v>
      </c>
      <c r="CQ812" s="410">
        <v>165.35753941099765</v>
      </c>
      <c r="CR812" s="410">
        <v>174.53982915947361</v>
      </c>
      <c r="CS812" s="410" t="s">
        <v>1124</v>
      </c>
      <c r="CT812" s="410"/>
      <c r="CU812" s="410" t="s">
        <v>1124</v>
      </c>
      <c r="CV812" s="410" t="str">
        <f>IF(VLOOKUP(BS812,'Données par municipalité'!$B$6:$F$1113,4,FALSE)="","",VLOOKUP(BS812,'Données par municipalité'!$B$6:$F$1113,4,FALSE))</f>
        <v/>
      </c>
      <c r="CW812" s="476" t="s">
        <v>4723</v>
      </c>
      <c r="CX812" s="483">
        <v>0</v>
      </c>
      <c r="CY812" s="483">
        <v>0</v>
      </c>
      <c r="CZ812" s="483">
        <v>0</v>
      </c>
      <c r="DA812" s="483">
        <v>0</v>
      </c>
      <c r="DB812" s="483" t="s">
        <v>1124</v>
      </c>
      <c r="DC812" s="483" t="s">
        <v>1124</v>
      </c>
      <c r="DD812" s="483" t="s">
        <v>1124</v>
      </c>
      <c r="DE812" s="483" t="str">
        <f>IFERROR(SUM(VLOOKUP($BS812,'État &amp; Plan d''action'!$B$6:$Z$1113,18,FALSE),VLOOKUP($BS812,'État &amp; Plan d''action'!$B$6:$Z$1113,20,FALSE))/(VLOOKUP($BS812,'Données par municipalité'!$B$4:$L$1113,11,FALSE)),"")</f>
        <v/>
      </c>
      <c r="DF812" s="483" t="str">
        <f>IFERROR(SUM(VLOOKUP($BS812,'État &amp; Plan d''action'!$B$6:$Z$1113,19,FALSE),VLOOKUP($BS812,'État &amp; Plan d''action'!$B$6:$Z$1113,21,FALSE))/(VLOOKUP($BS812,'Données par municipalité'!$B$4:$L$1113,11,FALSE)),"")</f>
        <v/>
      </c>
      <c r="DG812" s="476" t="s">
        <v>4723</v>
      </c>
      <c r="DH812" s="484">
        <v>0</v>
      </c>
      <c r="DI812" s="484">
        <v>0</v>
      </c>
      <c r="DJ812" s="484">
        <v>0</v>
      </c>
      <c r="DK812" s="484">
        <v>0</v>
      </c>
      <c r="DL812" s="484" t="s">
        <v>1124</v>
      </c>
      <c r="DM812" s="484" t="s">
        <v>1124</v>
      </c>
      <c r="DN812" s="484" t="s">
        <v>1124</v>
      </c>
      <c r="DO812" s="484" t="s">
        <v>1124</v>
      </c>
      <c r="DP812" s="484" t="s">
        <v>1124</v>
      </c>
      <c r="DQ812" s="484" t="str">
        <f>IF(VLOOKUP($BS812,'État &amp; Plan d''action'!$B$6:$AJ$1113,28,FALSE)="","",VLOOKUP($BS812,'État &amp; Plan d''action'!$B$6:$AJ$1113,28,FALSE))</f>
        <v/>
      </c>
      <c r="DR812" s="70" t="str">
        <f>IF(VLOOKUP($BS812,'État &amp; Plan d''action'!$B$6:$AJ$1113,29,FALSE)="","",VLOOKUP($BS812,'État &amp; Plan d''action'!$B$6:$AJ$1113,29,FALSE))</f>
        <v/>
      </c>
      <c r="DS812" s="70" t="str">
        <f>IF(VLOOKUP($BS812,'État &amp; Plan d''action'!$B$6:$AJ$1113,30,FALSE)="","",VLOOKUP($BS812,'État &amp; Plan d''action'!$B$6:$AJ$1113,30,FALSE))</f>
        <v/>
      </c>
      <c r="DT812" s="70" t="s">
        <v>1124</v>
      </c>
      <c r="DU812" s="485" t="s">
        <v>1124</v>
      </c>
      <c r="DV812" s="485" t="s">
        <v>1124</v>
      </c>
      <c r="DW812" s="70" t="s">
        <v>1124</v>
      </c>
      <c r="DX812" s="70" t="s">
        <v>1124</v>
      </c>
      <c r="DY812" s="70" t="s">
        <v>1124</v>
      </c>
      <c r="DZ812" s="70" t="str">
        <f>VLOOKUP($BS812,'État &amp; Plan d''action'!$B$6:$AH$1113,31,FALSE)</f>
        <v/>
      </c>
      <c r="EA812" s="70" t="str">
        <f>VLOOKUP($BS812,'État &amp; Plan d''action'!$B$6:$AH$1113,32,FALSE)</f>
        <v/>
      </c>
      <c r="EB812" s="70" t="str">
        <f>VLOOKUP($BS812,'État &amp; Plan d''action'!$B$6:$AH$1113,33,FALSE)</f>
        <v/>
      </c>
      <c r="EC812" s="70" t="s">
        <v>1124</v>
      </c>
      <c r="ED812" s="70" t="s">
        <v>1124</v>
      </c>
      <c r="EE812" s="70" t="s">
        <v>1124</v>
      </c>
      <c r="EF812" s="70" t="s">
        <v>1124</v>
      </c>
      <c r="EG812" s="70" t="s">
        <v>1124</v>
      </c>
      <c r="EH812" s="72"/>
      <c r="EI812" s="72">
        <v>1162</v>
      </c>
    </row>
    <row r="813" spans="71:139" x14ac:dyDescent="0.35">
      <c r="BS813" s="486">
        <v>40032</v>
      </c>
      <c r="BT813" s="479" t="s">
        <v>362</v>
      </c>
      <c r="BU813" s="479">
        <v>5</v>
      </c>
      <c r="BV813" s="476" t="s">
        <v>1188</v>
      </c>
      <c r="BW813" s="476" t="s">
        <v>1188</v>
      </c>
      <c r="BX813" s="476" t="s">
        <v>1188</v>
      </c>
      <c r="BY813" s="476" t="s">
        <v>1188</v>
      </c>
      <c r="BZ813" s="476" t="s">
        <v>1188</v>
      </c>
      <c r="CA813" s="476" t="s">
        <v>1188</v>
      </c>
      <c r="CB813" s="476" t="s">
        <v>1188</v>
      </c>
      <c r="CC813" s="476" t="s">
        <v>1188</v>
      </c>
      <c r="CD813" s="476" t="s">
        <v>1188</v>
      </c>
      <c r="CE813" s="476" t="s">
        <v>1187</v>
      </c>
      <c r="CF813" s="476" t="s">
        <v>1187</v>
      </c>
      <c r="CG813" s="476" t="s">
        <v>1187</v>
      </c>
      <c r="CH813" s="476" t="s">
        <v>1187</v>
      </c>
      <c r="CI813" s="476" t="s">
        <v>1187</v>
      </c>
      <c r="CJ813" s="476" t="s">
        <v>1187</v>
      </c>
      <c r="CK813" s="476" t="s">
        <v>1187</v>
      </c>
      <c r="CL813" s="476" t="s">
        <v>1187</v>
      </c>
      <c r="CM813" s="476" t="str">
        <f>IF(VLOOKUP(BS813,'Données par municipalité'!$B$6:$E$1113,4,FALSE)="","non","oui")</f>
        <v>non</v>
      </c>
      <c r="CN813" s="410" t="s">
        <v>1124</v>
      </c>
      <c r="CO813" s="410" t="s">
        <v>1124</v>
      </c>
      <c r="CP813" s="410"/>
      <c r="CQ813" s="410"/>
      <c r="CR813" s="410"/>
      <c r="CS813" s="410" t="s">
        <v>1124</v>
      </c>
      <c r="CT813" s="410"/>
      <c r="CU813" s="410" t="s">
        <v>1124</v>
      </c>
      <c r="CV813" s="410" t="str">
        <f>IF(VLOOKUP(BS813,'Données par municipalité'!$B$6:$F$1113,4,FALSE)="","",VLOOKUP(BS813,'Données par municipalité'!$B$6:$F$1113,4,FALSE))</f>
        <v/>
      </c>
      <c r="CW813" s="476" t="s">
        <v>4723</v>
      </c>
      <c r="CX813" s="483" t="s">
        <v>1124</v>
      </c>
      <c r="CY813" s="483" t="s">
        <v>1124</v>
      </c>
      <c r="CZ813" s="483" t="s">
        <v>1124</v>
      </c>
      <c r="DA813" s="483" t="s">
        <v>1124</v>
      </c>
      <c r="DB813" s="483" t="s">
        <v>1124</v>
      </c>
      <c r="DC813" s="483" t="s">
        <v>1124</v>
      </c>
      <c r="DD813" s="483" t="s">
        <v>1124</v>
      </c>
      <c r="DE813" s="483" t="str">
        <f>IFERROR(SUM(VLOOKUP($BS813,'État &amp; Plan d''action'!$B$6:$Z$1113,18,FALSE),VLOOKUP($BS813,'État &amp; Plan d''action'!$B$6:$Z$1113,20,FALSE))/(VLOOKUP($BS813,'Données par municipalité'!$B$4:$L$1113,11,FALSE)),"")</f>
        <v/>
      </c>
      <c r="DF813" s="483" t="str">
        <f>IFERROR(SUM(VLOOKUP($BS813,'État &amp; Plan d''action'!$B$6:$Z$1113,19,FALSE),VLOOKUP($BS813,'État &amp; Plan d''action'!$B$6:$Z$1113,21,FALSE))/(VLOOKUP($BS813,'Données par municipalité'!$B$4:$L$1113,11,FALSE)),"")</f>
        <v/>
      </c>
      <c r="DG813" s="476" t="s">
        <v>4723</v>
      </c>
      <c r="DH813" s="484" t="s">
        <v>1124</v>
      </c>
      <c r="DI813" s="484" t="s">
        <v>1124</v>
      </c>
      <c r="DJ813" s="484">
        <v>0</v>
      </c>
      <c r="DK813" s="484">
        <v>0</v>
      </c>
      <c r="DL813" s="484" t="s">
        <v>1124</v>
      </c>
      <c r="DM813" s="484" t="s">
        <v>1124</v>
      </c>
      <c r="DN813" s="484" t="s">
        <v>1124</v>
      </c>
      <c r="DO813" s="484" t="s">
        <v>1124</v>
      </c>
      <c r="DP813" s="484" t="s">
        <v>1124</v>
      </c>
      <c r="DQ813" s="484" t="str">
        <f>IF(VLOOKUP($BS813,'État &amp; Plan d''action'!$B$6:$AJ$1113,28,FALSE)="","",VLOOKUP($BS813,'État &amp; Plan d''action'!$B$6:$AJ$1113,28,FALSE))</f>
        <v/>
      </c>
      <c r="DR813" s="70" t="str">
        <f>IF(VLOOKUP($BS813,'État &amp; Plan d''action'!$B$6:$AJ$1113,29,FALSE)="","",VLOOKUP($BS813,'État &amp; Plan d''action'!$B$6:$AJ$1113,29,FALSE))</f>
        <v/>
      </c>
      <c r="DS813" s="70" t="str">
        <f>IF(VLOOKUP($BS813,'État &amp; Plan d''action'!$B$6:$AJ$1113,30,FALSE)="","",VLOOKUP($BS813,'État &amp; Plan d''action'!$B$6:$AJ$1113,30,FALSE))</f>
        <v/>
      </c>
      <c r="DT813" s="70" t="s">
        <v>1124</v>
      </c>
      <c r="DU813" s="485" t="s">
        <v>1124</v>
      </c>
      <c r="DV813" s="485" t="s">
        <v>1124</v>
      </c>
      <c r="DW813" s="70" t="s">
        <v>1124</v>
      </c>
      <c r="DX813" s="70" t="s">
        <v>1124</v>
      </c>
      <c r="DY813" s="70" t="s">
        <v>1124</v>
      </c>
      <c r="DZ813" s="70" t="str">
        <f>VLOOKUP($BS813,'État &amp; Plan d''action'!$B$6:$AH$1113,31,FALSE)</f>
        <v/>
      </c>
      <c r="EA813" s="70" t="str">
        <f>VLOOKUP($BS813,'État &amp; Plan d''action'!$B$6:$AH$1113,32,FALSE)</f>
        <v/>
      </c>
      <c r="EB813" s="70" t="str">
        <f>VLOOKUP($BS813,'État &amp; Plan d''action'!$B$6:$AH$1113,33,FALSE)</f>
        <v/>
      </c>
      <c r="EC813" s="70" t="s">
        <v>1124</v>
      </c>
      <c r="ED813" s="70" t="s">
        <v>1124</v>
      </c>
      <c r="EE813" s="70" t="s">
        <v>1124</v>
      </c>
      <c r="EF813" s="70" t="s">
        <v>1124</v>
      </c>
      <c r="EG813" s="70" t="s">
        <v>1124</v>
      </c>
      <c r="EH813" s="72"/>
      <c r="EI813" s="72">
        <v>995</v>
      </c>
    </row>
    <row r="814" spans="71:139" x14ac:dyDescent="0.35">
      <c r="BS814" s="486">
        <v>53085</v>
      </c>
      <c r="BT814" s="479" t="s">
        <v>541</v>
      </c>
      <c r="BU814" s="479">
        <v>16</v>
      </c>
      <c r="BV814" s="476" t="s">
        <v>1187</v>
      </c>
      <c r="BW814" s="476" t="s">
        <v>1187</v>
      </c>
      <c r="BX814" s="476" t="s">
        <v>1187</v>
      </c>
      <c r="BY814" s="476" t="s">
        <v>1187</v>
      </c>
      <c r="BZ814" s="476" t="s">
        <v>1187</v>
      </c>
      <c r="CA814" s="476" t="s">
        <v>1187</v>
      </c>
      <c r="CB814" s="476" t="s">
        <v>1187</v>
      </c>
      <c r="CC814" s="476" t="s">
        <v>1187</v>
      </c>
      <c r="CD814" s="476" t="s">
        <v>1187</v>
      </c>
      <c r="CE814" s="476" t="s">
        <v>1188</v>
      </c>
      <c r="CF814" s="476" t="s">
        <v>1188</v>
      </c>
      <c r="CG814" s="476" t="s">
        <v>1188</v>
      </c>
      <c r="CH814" s="476" t="s">
        <v>1188</v>
      </c>
      <c r="CI814" s="476" t="s">
        <v>1188</v>
      </c>
      <c r="CJ814" s="476" t="s">
        <v>1188</v>
      </c>
      <c r="CK814" s="476" t="s">
        <v>1188</v>
      </c>
      <c r="CL814" s="476" t="s">
        <v>1188</v>
      </c>
      <c r="CM814" s="476" t="str">
        <f>IF(VLOOKUP(BS814,'Données par municipalité'!$B$6:$E$1113,4,FALSE)="","non","oui")</f>
        <v>non</v>
      </c>
      <c r="CN814" s="410">
        <v>643.43737886498582</v>
      </c>
      <c r="CO814" s="410">
        <v>609.90970042243157</v>
      </c>
      <c r="CP814" s="410">
        <v>516.34050880626228</v>
      </c>
      <c r="CQ814" s="410">
        <v>671.09948181211837</v>
      </c>
      <c r="CR814" s="410">
        <v>589.33689070675371</v>
      </c>
      <c r="CS814" s="410">
        <v>610.78195801551271</v>
      </c>
      <c r="CT814" s="410">
        <v>632.21580490483518</v>
      </c>
      <c r="CU814" s="410">
        <v>627</v>
      </c>
      <c r="CV814" s="410" t="str">
        <f>IF(VLOOKUP(BS814,'Données par municipalité'!$B$6:$F$1113,4,FALSE)="","",VLOOKUP(BS814,'Données par municipalité'!$B$6:$F$1113,4,FALSE))</f>
        <v/>
      </c>
      <c r="CW814" s="476" t="s">
        <v>4723</v>
      </c>
      <c r="CX814" s="483">
        <v>0.3</v>
      </c>
      <c r="CY814" s="483">
        <v>0</v>
      </c>
      <c r="CZ814" s="483">
        <v>0</v>
      </c>
      <c r="DA814" s="483">
        <v>0</v>
      </c>
      <c r="DB814" s="483">
        <v>0</v>
      </c>
      <c r="DC814" s="483">
        <v>0</v>
      </c>
      <c r="DD814" s="483">
        <v>0</v>
      </c>
      <c r="DE814" s="483" t="str">
        <f>IFERROR(SUM(VLOOKUP($BS814,'État &amp; Plan d''action'!$B$6:$Z$1113,18,FALSE),VLOOKUP($BS814,'État &amp; Plan d''action'!$B$6:$Z$1113,20,FALSE))/(VLOOKUP($BS814,'Données par municipalité'!$B$4:$L$1113,11,FALSE)),"")</f>
        <v/>
      </c>
      <c r="DF814" s="483" t="str">
        <f>IFERROR(SUM(VLOOKUP($BS814,'État &amp; Plan d''action'!$B$6:$Z$1113,19,FALSE),VLOOKUP($BS814,'État &amp; Plan d''action'!$B$6:$Z$1113,21,FALSE))/(VLOOKUP($BS814,'Données par municipalité'!$B$4:$L$1113,11,FALSE)),"")</f>
        <v/>
      </c>
      <c r="DG814" s="476" t="s">
        <v>4723</v>
      </c>
      <c r="DH814" s="484">
        <v>1</v>
      </c>
      <c r="DI814" s="484">
        <v>1</v>
      </c>
      <c r="DJ814" s="484">
        <v>3</v>
      </c>
      <c r="DK814" s="484">
        <v>2</v>
      </c>
      <c r="DL814" s="484">
        <v>6</v>
      </c>
      <c r="DM814" s="484">
        <v>4</v>
      </c>
      <c r="DN814" s="484">
        <v>0</v>
      </c>
      <c r="DO814" s="484">
        <v>1</v>
      </c>
      <c r="DP814" s="484">
        <v>1</v>
      </c>
      <c r="DQ814" s="484" t="str">
        <f>IF(VLOOKUP($BS814,'État &amp; Plan d''action'!$B$6:$AJ$1113,28,FALSE)="","",VLOOKUP($BS814,'État &amp; Plan d''action'!$B$6:$AJ$1113,28,FALSE))</f>
        <v/>
      </c>
      <c r="DR814" s="70" t="str">
        <f>IF(VLOOKUP($BS814,'État &amp; Plan d''action'!$B$6:$AJ$1113,29,FALSE)="","",VLOOKUP($BS814,'État &amp; Plan d''action'!$B$6:$AJ$1113,29,FALSE))</f>
        <v/>
      </c>
      <c r="DS814" s="70" t="str">
        <f>IF(VLOOKUP($BS814,'État &amp; Plan d''action'!$B$6:$AJ$1113,30,FALSE)="","",VLOOKUP($BS814,'État &amp; Plan d''action'!$B$6:$AJ$1113,30,FALSE))</f>
        <v/>
      </c>
      <c r="DT814" s="70">
        <v>343</v>
      </c>
      <c r="DU814" s="485">
        <v>0.68999376864470285</v>
      </c>
      <c r="DV814" s="485" t="s">
        <v>1124</v>
      </c>
      <c r="DW814" s="70">
        <v>0</v>
      </c>
      <c r="DX814" s="70">
        <v>1</v>
      </c>
      <c r="DY814" s="70">
        <v>1</v>
      </c>
      <c r="DZ814" s="70" t="str">
        <f>VLOOKUP($BS814,'État &amp; Plan d''action'!$B$6:$AH$1113,31,FALSE)</f>
        <v/>
      </c>
      <c r="EA814" s="70" t="str">
        <f>VLOOKUP($BS814,'État &amp; Plan d''action'!$B$6:$AH$1113,32,FALSE)</f>
        <v/>
      </c>
      <c r="EB814" s="70" t="str">
        <f>VLOOKUP($BS814,'État &amp; Plan d''action'!$B$6:$AH$1113,33,FALSE)</f>
        <v/>
      </c>
      <c r="EC814" s="70">
        <v>0</v>
      </c>
      <c r="ED814" s="70">
        <v>0</v>
      </c>
      <c r="EE814" s="70">
        <v>0</v>
      </c>
      <c r="EF814" s="70">
        <v>0</v>
      </c>
      <c r="EG814" s="70">
        <v>0</v>
      </c>
      <c r="EH814" s="72">
        <v>55</v>
      </c>
      <c r="EI814" s="72">
        <v>237</v>
      </c>
    </row>
    <row r="815" spans="71:139" x14ac:dyDescent="0.35">
      <c r="BS815" s="486">
        <v>14045</v>
      </c>
      <c r="BT815" s="479" t="s">
        <v>67</v>
      </c>
      <c r="BU815" s="479">
        <v>1</v>
      </c>
      <c r="BV815" s="476" t="s">
        <v>1187</v>
      </c>
      <c r="BW815" s="476" t="s">
        <v>1187</v>
      </c>
      <c r="BX815" s="476" t="s">
        <v>1187</v>
      </c>
      <c r="BY815" s="476" t="s">
        <v>1187</v>
      </c>
      <c r="BZ815" s="476" t="s">
        <v>1187</v>
      </c>
      <c r="CA815" s="476" t="s">
        <v>1188</v>
      </c>
      <c r="CB815" s="476" t="s">
        <v>1188</v>
      </c>
      <c r="CC815" s="476" t="s">
        <v>1188</v>
      </c>
      <c r="CD815" s="476" t="s">
        <v>1188</v>
      </c>
      <c r="CE815" s="476" t="s">
        <v>1188</v>
      </c>
      <c r="CF815" s="476" t="s">
        <v>1188</v>
      </c>
      <c r="CG815" s="476" t="s">
        <v>1188</v>
      </c>
      <c r="CH815" s="476" t="s">
        <v>1188</v>
      </c>
      <c r="CI815" s="476" t="s">
        <v>1188</v>
      </c>
      <c r="CJ815" s="476" t="s">
        <v>1187</v>
      </c>
      <c r="CK815" s="476" t="s">
        <v>1187</v>
      </c>
      <c r="CL815" s="476" t="s">
        <v>1187</v>
      </c>
      <c r="CM815" s="476" t="str">
        <f>IF(VLOOKUP(BS815,'Données par municipalité'!$B$6:$E$1113,4,FALSE)="","non","oui")</f>
        <v>non</v>
      </c>
      <c r="CN815" s="410">
        <v>314.21847262297831</v>
      </c>
      <c r="CO815" s="410">
        <v>488.54746882782052</v>
      </c>
      <c r="CP815" s="410">
        <v>485.46644101312216</v>
      </c>
      <c r="CQ815" s="410">
        <v>609.43618174536448</v>
      </c>
      <c r="CR815" s="410">
        <v>634.04255319148933</v>
      </c>
      <c r="CS815" s="410" t="s">
        <v>1124</v>
      </c>
      <c r="CT815" s="410"/>
      <c r="CU815" s="410" t="s">
        <v>1124</v>
      </c>
      <c r="CV815" s="410" t="str">
        <f>IF(VLOOKUP(BS815,'Données par municipalité'!$B$6:$F$1113,4,FALSE)="","",VLOOKUP(BS815,'Données par municipalité'!$B$6:$F$1113,4,FALSE))</f>
        <v/>
      </c>
      <c r="CW815" s="476" t="s">
        <v>4723</v>
      </c>
      <c r="CX815" s="483">
        <v>0</v>
      </c>
      <c r="CY815" s="483">
        <v>0</v>
      </c>
      <c r="CZ815" s="483">
        <v>0</v>
      </c>
      <c r="DA815" s="483">
        <v>0</v>
      </c>
      <c r="DB815" s="483" t="s">
        <v>1124</v>
      </c>
      <c r="DC815" s="483" t="s">
        <v>1124</v>
      </c>
      <c r="DD815" s="483" t="s">
        <v>1124</v>
      </c>
      <c r="DE815" s="483" t="str">
        <f>IFERROR(SUM(VLOOKUP($BS815,'État &amp; Plan d''action'!$B$6:$Z$1113,18,FALSE),VLOOKUP($BS815,'État &amp; Plan d''action'!$B$6:$Z$1113,20,FALSE))/(VLOOKUP($BS815,'Données par municipalité'!$B$4:$L$1113,11,FALSE)),"")</f>
        <v/>
      </c>
      <c r="DF815" s="483" t="str">
        <f>IFERROR(SUM(VLOOKUP($BS815,'État &amp; Plan d''action'!$B$6:$Z$1113,19,FALSE),VLOOKUP($BS815,'État &amp; Plan d''action'!$B$6:$Z$1113,21,FALSE))/(VLOOKUP($BS815,'Données par municipalité'!$B$4:$L$1113,11,FALSE)),"")</f>
        <v/>
      </c>
      <c r="DG815" s="476" t="s">
        <v>4723</v>
      </c>
      <c r="DH815" s="484">
        <v>1</v>
      </c>
      <c r="DI815" s="484">
        <v>0</v>
      </c>
      <c r="DJ815" s="484">
        <v>0</v>
      </c>
      <c r="DK815" s="484">
        <v>1</v>
      </c>
      <c r="DL815" s="484" t="s">
        <v>1124</v>
      </c>
      <c r="DM815" s="484" t="s">
        <v>1124</v>
      </c>
      <c r="DN815" s="484" t="s">
        <v>1124</v>
      </c>
      <c r="DO815" s="484" t="s">
        <v>1124</v>
      </c>
      <c r="DP815" s="484" t="s">
        <v>1124</v>
      </c>
      <c r="DQ815" s="484" t="str">
        <f>IF(VLOOKUP($BS815,'État &amp; Plan d''action'!$B$6:$AJ$1113,28,FALSE)="","",VLOOKUP($BS815,'État &amp; Plan d''action'!$B$6:$AJ$1113,28,FALSE))</f>
        <v/>
      </c>
      <c r="DR815" s="70" t="str">
        <f>IF(VLOOKUP($BS815,'État &amp; Plan d''action'!$B$6:$AJ$1113,29,FALSE)="","",VLOOKUP($BS815,'État &amp; Plan d''action'!$B$6:$AJ$1113,29,FALSE))</f>
        <v/>
      </c>
      <c r="DS815" s="70" t="str">
        <f>IF(VLOOKUP($BS815,'État &amp; Plan d''action'!$B$6:$AJ$1113,30,FALSE)="","",VLOOKUP($BS815,'État &amp; Plan d''action'!$B$6:$AJ$1113,30,FALSE))</f>
        <v/>
      </c>
      <c r="DT815" s="70" t="s">
        <v>1124</v>
      </c>
      <c r="DU815" s="485" t="s">
        <v>1124</v>
      </c>
      <c r="DV815" s="485" t="s">
        <v>1124</v>
      </c>
      <c r="DW815" s="70" t="s">
        <v>1124</v>
      </c>
      <c r="DX815" s="70" t="s">
        <v>1124</v>
      </c>
      <c r="DY815" s="70" t="s">
        <v>1124</v>
      </c>
      <c r="DZ815" s="70" t="str">
        <f>VLOOKUP($BS815,'État &amp; Plan d''action'!$B$6:$AH$1113,31,FALSE)</f>
        <v/>
      </c>
      <c r="EA815" s="70" t="str">
        <f>VLOOKUP($BS815,'État &amp; Plan d''action'!$B$6:$AH$1113,32,FALSE)</f>
        <v/>
      </c>
      <c r="EB815" s="70" t="str">
        <f>VLOOKUP($BS815,'État &amp; Plan d''action'!$B$6:$AH$1113,33,FALSE)</f>
        <v/>
      </c>
      <c r="EC815" s="70" t="s">
        <v>1124</v>
      </c>
      <c r="ED815" s="70" t="s">
        <v>1124</v>
      </c>
      <c r="EE815" s="70" t="s">
        <v>1124</v>
      </c>
      <c r="EF815" s="70" t="s">
        <v>1124</v>
      </c>
      <c r="EG815" s="70" t="s">
        <v>1124</v>
      </c>
      <c r="EH815" s="72"/>
      <c r="EI815" s="72">
        <v>298</v>
      </c>
    </row>
    <row r="816" spans="71:139" x14ac:dyDescent="0.35">
      <c r="BS816" s="486">
        <v>49048</v>
      </c>
      <c r="BT816" s="479" t="s">
        <v>470</v>
      </c>
      <c r="BU816" s="479">
        <v>17</v>
      </c>
      <c r="BV816" s="476" t="s">
        <v>1187</v>
      </c>
      <c r="BW816" s="476" t="s">
        <v>1187</v>
      </c>
      <c r="BX816" s="476" t="s">
        <v>1187</v>
      </c>
      <c r="BY816" s="476" t="s">
        <v>1187</v>
      </c>
      <c r="BZ816" s="476" t="s">
        <v>1187</v>
      </c>
      <c r="CA816" s="476" t="s">
        <v>1187</v>
      </c>
      <c r="CB816" s="476" t="s">
        <v>1187</v>
      </c>
      <c r="CC816" s="476" t="s">
        <v>1187</v>
      </c>
      <c r="CD816" s="476" t="s">
        <v>1187</v>
      </c>
      <c r="CE816" s="476" t="s">
        <v>1188</v>
      </c>
      <c r="CF816" s="476" t="s">
        <v>1188</v>
      </c>
      <c r="CG816" s="476" t="s">
        <v>1187</v>
      </c>
      <c r="CH816" s="476" t="s">
        <v>1188</v>
      </c>
      <c r="CI816" s="476" t="s">
        <v>1188</v>
      </c>
      <c r="CJ816" s="476" t="s">
        <v>1188</v>
      </c>
      <c r="CK816" s="476" t="s">
        <v>1188</v>
      </c>
      <c r="CL816" s="476" t="s">
        <v>1188</v>
      </c>
      <c r="CM816" s="476" t="str">
        <f>IF(VLOOKUP(BS816,'Données par municipalité'!$B$6:$E$1113,4,FALSE)="","non","oui")</f>
        <v>oui</v>
      </c>
      <c r="CN816" s="410">
        <v>290.69450818729342</v>
      </c>
      <c r="CO816" s="410">
        <v>280.16653863066796</v>
      </c>
      <c r="CP816" s="410"/>
      <c r="CQ816" s="410">
        <v>274.39483444425912</v>
      </c>
      <c r="CR816" s="410">
        <v>268.13389331956751</v>
      </c>
      <c r="CS816" s="410">
        <v>279.91686502728015</v>
      </c>
      <c r="CT816" s="410">
        <v>301.16130785133652</v>
      </c>
      <c r="CU816" s="410">
        <v>373</v>
      </c>
      <c r="CV816" s="410">
        <f>IF(VLOOKUP(BS816,'Données par municipalité'!$B$6:$F$1113,4,FALSE)="","",VLOOKUP(BS816,'Données par municipalité'!$B$6:$F$1113,4,FALSE))</f>
        <v>366</v>
      </c>
      <c r="CW816" s="476" t="s">
        <v>4723</v>
      </c>
      <c r="CX816" s="483">
        <v>0</v>
      </c>
      <c r="CY816" s="483" t="s">
        <v>1124</v>
      </c>
      <c r="CZ816" s="483">
        <v>0</v>
      </c>
      <c r="DA816" s="483">
        <v>0</v>
      </c>
      <c r="DB816" s="483">
        <v>0</v>
      </c>
      <c r="DC816" s="483">
        <v>0</v>
      </c>
      <c r="DD816" s="483">
        <v>0</v>
      </c>
      <c r="DE816" s="483">
        <f>IFERROR(SUM(VLOOKUP($BS816,'État &amp; Plan d''action'!$B$6:$Z$1113,18,FALSE),VLOOKUP($BS816,'État &amp; Plan d''action'!$B$6:$Z$1113,20,FALSE))/(VLOOKUP($BS816,'Données par municipalité'!$B$4:$L$1113,11,FALSE)),"")</f>
        <v>0.79999100173216653</v>
      </c>
      <c r="DF816" s="483">
        <f>IFERROR(SUM(VLOOKUP($BS816,'État &amp; Plan d''action'!$B$6:$Z$1113,19,FALSE),VLOOKUP($BS816,'État &amp; Plan d''action'!$B$6:$Z$1113,21,FALSE))/(VLOOKUP($BS816,'Données par municipalité'!$B$4:$L$1113,11,FALSE)),"")</f>
        <v>1.0000000000000002</v>
      </c>
      <c r="DG816" s="476" t="s">
        <v>4723</v>
      </c>
      <c r="DH816" s="484">
        <v>0</v>
      </c>
      <c r="DI816" s="484" t="s">
        <v>1124</v>
      </c>
      <c r="DJ816" s="484">
        <v>3</v>
      </c>
      <c r="DK816" s="484">
        <v>0</v>
      </c>
      <c r="DL816" s="484">
        <v>0</v>
      </c>
      <c r="DM816" s="484">
        <v>0</v>
      </c>
      <c r="DN816" s="484">
        <v>1</v>
      </c>
      <c r="DO816" s="484">
        <v>0</v>
      </c>
      <c r="DP816" s="484">
        <v>0</v>
      </c>
      <c r="DQ816" s="484">
        <f>IF(VLOOKUP($BS816,'État &amp; Plan d''action'!$B$6:$AJ$1113,28,FALSE)="","",VLOOKUP($BS816,'État &amp; Plan d''action'!$B$6:$AJ$1113,28,FALSE))</f>
        <v>1</v>
      </c>
      <c r="DR816" s="70">
        <f>IF(VLOOKUP($BS816,'État &amp; Plan d''action'!$B$6:$AJ$1113,29,FALSE)="","",VLOOKUP($BS816,'État &amp; Plan d''action'!$B$6:$AJ$1113,29,FALSE))</f>
        <v>0</v>
      </c>
      <c r="DS816" s="70">
        <f>IF(VLOOKUP($BS816,'État &amp; Plan d''action'!$B$6:$AJ$1113,30,FALSE)="","",VLOOKUP($BS816,'État &amp; Plan d''action'!$B$6:$AJ$1113,30,FALSE))</f>
        <v>0</v>
      </c>
      <c r="DT816" s="70">
        <v>198</v>
      </c>
      <c r="DU816" s="485">
        <v>1.0926096346322005</v>
      </c>
      <c r="DV816" s="485">
        <v>1.1775445897321932</v>
      </c>
      <c r="DW816" s="70">
        <v>1</v>
      </c>
      <c r="DX816" s="70">
        <v>0</v>
      </c>
      <c r="DY816" s="70">
        <v>0</v>
      </c>
      <c r="DZ816" s="70">
        <f>VLOOKUP($BS816,'État &amp; Plan d''action'!$B$6:$AH$1113,31,FALSE)</f>
        <v>1</v>
      </c>
      <c r="EA816" s="70">
        <f>VLOOKUP($BS816,'État &amp; Plan d''action'!$B$6:$AH$1113,32,FALSE)</f>
        <v>0</v>
      </c>
      <c r="EB816" s="70">
        <f>VLOOKUP($BS816,'État &amp; Plan d''action'!$B$6:$AH$1113,33,FALSE)</f>
        <v>0</v>
      </c>
      <c r="EC816" s="70">
        <v>0</v>
      </c>
      <c r="ED816" s="70">
        <v>0</v>
      </c>
      <c r="EE816" s="70">
        <v>0</v>
      </c>
      <c r="EF816" s="70">
        <v>0</v>
      </c>
      <c r="EG816" s="70">
        <v>0</v>
      </c>
      <c r="EH816" s="72">
        <v>69</v>
      </c>
      <c r="EI816" s="72">
        <v>4982</v>
      </c>
    </row>
    <row r="817" spans="71:139" x14ac:dyDescent="0.35">
      <c r="BS817" s="486">
        <v>19075</v>
      </c>
      <c r="BT817" s="479" t="s">
        <v>131</v>
      </c>
      <c r="BU817" s="479">
        <v>12</v>
      </c>
      <c r="BV817" s="476" t="s">
        <v>1187</v>
      </c>
      <c r="BW817" s="476" t="s">
        <v>1187</v>
      </c>
      <c r="BX817" s="476" t="s">
        <v>1187</v>
      </c>
      <c r="BY817" s="476" t="s">
        <v>1187</v>
      </c>
      <c r="BZ817" s="476" t="s">
        <v>1187</v>
      </c>
      <c r="CA817" s="476" t="s">
        <v>1187</v>
      </c>
      <c r="CB817" s="476" t="s">
        <v>1187</v>
      </c>
      <c r="CC817" s="476" t="s">
        <v>1187</v>
      </c>
      <c r="CD817" s="476" t="s">
        <v>1187</v>
      </c>
      <c r="CE817" s="476" t="s">
        <v>1188</v>
      </c>
      <c r="CF817" s="476" t="s">
        <v>1188</v>
      </c>
      <c r="CG817" s="476" t="s">
        <v>1188</v>
      </c>
      <c r="CH817" s="476" t="s">
        <v>1188</v>
      </c>
      <c r="CI817" s="476" t="s">
        <v>1188</v>
      </c>
      <c r="CJ817" s="476" t="s">
        <v>1188</v>
      </c>
      <c r="CK817" s="476" t="s">
        <v>1188</v>
      </c>
      <c r="CL817" s="476" t="s">
        <v>1188</v>
      </c>
      <c r="CM817" s="476" t="str">
        <f>IF(VLOOKUP(BS817,'Données par municipalité'!$B$6:$E$1113,4,FALSE)="","non","oui")</f>
        <v>oui</v>
      </c>
      <c r="CN817" s="410">
        <v>566.73770621201356</v>
      </c>
      <c r="CO817" s="410">
        <v>480.18446999508296</v>
      </c>
      <c r="CP817" s="410">
        <v>420.67312711877048</v>
      </c>
      <c r="CQ817" s="410">
        <v>474.81576567405625</v>
      </c>
      <c r="CR817" s="410">
        <v>412.9548787083034</v>
      </c>
      <c r="CS817" s="410">
        <v>380.56016429098673</v>
      </c>
      <c r="CT817" s="410">
        <v>268.40076898289345</v>
      </c>
      <c r="CU817" s="410">
        <v>318</v>
      </c>
      <c r="CV817" s="410">
        <f>IF(VLOOKUP(BS817,'Données par municipalité'!$B$6:$F$1113,4,FALSE)="","",VLOOKUP(BS817,'Données par municipalité'!$B$6:$F$1113,4,FALSE))</f>
        <v>258</v>
      </c>
      <c r="CW817" s="476" t="s">
        <v>4723</v>
      </c>
      <c r="CX817" s="483">
        <v>0.2</v>
      </c>
      <c r="CY817" s="483">
        <v>0.2</v>
      </c>
      <c r="CZ817" s="483">
        <v>0.2</v>
      </c>
      <c r="DA817" s="483">
        <v>1</v>
      </c>
      <c r="DB817" s="483">
        <v>1</v>
      </c>
      <c r="DC817" s="483">
        <v>1</v>
      </c>
      <c r="DD817" s="483">
        <v>0.16038492381716118</v>
      </c>
      <c r="DE817" s="483">
        <f>IFERROR(SUM(VLOOKUP($BS817,'État &amp; Plan d''action'!$B$6:$Z$1113,18,FALSE),VLOOKUP($BS817,'État &amp; Plan d''action'!$B$6:$Z$1113,20,FALSE))/(VLOOKUP($BS817,'Données par municipalité'!$B$4:$L$1113,11,FALSE)),"")</f>
        <v>0.91792418108207585</v>
      </c>
      <c r="DF817" s="483">
        <f>IFERROR(SUM(VLOOKUP($BS817,'État &amp; Plan d''action'!$B$6:$Z$1113,19,FALSE),VLOOKUP($BS817,'État &amp; Plan d''action'!$B$6:$Z$1113,21,FALSE))/(VLOOKUP($BS817,'Données par municipalité'!$B$4:$L$1113,11,FALSE)),"")</f>
        <v>0.91792418108207585</v>
      </c>
      <c r="DG817" s="476" t="s">
        <v>4723</v>
      </c>
      <c r="DH817" s="484">
        <v>3</v>
      </c>
      <c r="DI817" s="484">
        <v>0</v>
      </c>
      <c r="DJ817" s="484">
        <v>0</v>
      </c>
      <c r="DK817" s="484">
        <v>6</v>
      </c>
      <c r="DL817" s="484">
        <v>3</v>
      </c>
      <c r="DM817" s="484">
        <v>3</v>
      </c>
      <c r="DN817" s="484">
        <v>1</v>
      </c>
      <c r="DO817" s="484">
        <v>0</v>
      </c>
      <c r="DP817" s="484">
        <v>2</v>
      </c>
      <c r="DQ817" s="484">
        <f>IF(VLOOKUP($BS817,'État &amp; Plan d''action'!$B$6:$AJ$1113,28,FALSE)="","",VLOOKUP($BS817,'État &amp; Plan d''action'!$B$6:$AJ$1113,28,FALSE))</f>
        <v>0</v>
      </c>
      <c r="DR817" s="70">
        <f>IF(VLOOKUP($BS817,'État &amp; Plan d''action'!$B$6:$AJ$1113,29,FALSE)="","",VLOOKUP($BS817,'État &amp; Plan d''action'!$B$6:$AJ$1113,29,FALSE))</f>
        <v>0</v>
      </c>
      <c r="DS817" s="70">
        <f>IF(VLOOKUP($BS817,'État &amp; Plan d''action'!$B$6:$AJ$1113,30,FALSE)="","",VLOOKUP($BS817,'État &amp; Plan d''action'!$B$6:$AJ$1113,30,FALSE))</f>
        <v>0</v>
      </c>
      <c r="DT817" s="70">
        <v>169</v>
      </c>
      <c r="DU817" s="485">
        <v>3.1630601070612987</v>
      </c>
      <c r="DV817" s="485">
        <v>0.45891473039783648</v>
      </c>
      <c r="DW817" s="70">
        <v>4</v>
      </c>
      <c r="DX817" s="70">
        <v>0</v>
      </c>
      <c r="DY817" s="70">
        <v>200</v>
      </c>
      <c r="DZ817" s="70">
        <f>VLOOKUP($BS817,'État &amp; Plan d''action'!$B$6:$AH$1113,31,FALSE)</f>
        <v>0</v>
      </c>
      <c r="EA817" s="70">
        <f>VLOOKUP($BS817,'État &amp; Plan d''action'!$B$6:$AH$1113,32,FALSE)</f>
        <v>0</v>
      </c>
      <c r="EB817" s="70">
        <f>VLOOKUP($BS817,'État &amp; Plan d''action'!$B$6:$AH$1113,33,FALSE)</f>
        <v>0</v>
      </c>
      <c r="EC817" s="70">
        <v>12.2</v>
      </c>
      <c r="ED817" s="70">
        <v>0</v>
      </c>
      <c r="EE817" s="70">
        <v>2</v>
      </c>
      <c r="EF817" s="70">
        <v>0</v>
      </c>
      <c r="EG817" s="70">
        <v>0</v>
      </c>
      <c r="EH817" s="72">
        <v>69</v>
      </c>
      <c r="EI817" s="72">
        <v>2210</v>
      </c>
    </row>
    <row r="818" spans="71:139" x14ac:dyDescent="0.35">
      <c r="BS818" s="486">
        <v>34060</v>
      </c>
      <c r="BT818" s="479" t="s">
        <v>292</v>
      </c>
      <c r="BU818" s="479">
        <v>3</v>
      </c>
      <c r="BV818" s="476" t="s">
        <v>1187</v>
      </c>
      <c r="BW818" s="476" t="s">
        <v>1187</v>
      </c>
      <c r="BX818" s="476" t="s">
        <v>1187</v>
      </c>
      <c r="BY818" s="476" t="s">
        <v>1187</v>
      </c>
      <c r="BZ818" s="476" t="s">
        <v>1187</v>
      </c>
      <c r="CA818" s="476" t="s">
        <v>1187</v>
      </c>
      <c r="CB818" s="476" t="s">
        <v>1187</v>
      </c>
      <c r="CC818" s="476" t="s">
        <v>1187</v>
      </c>
      <c r="CD818" s="476" t="s">
        <v>1187</v>
      </c>
      <c r="CE818" s="476" t="s">
        <v>1188</v>
      </c>
      <c r="CF818" s="476" t="s">
        <v>1188</v>
      </c>
      <c r="CG818" s="476" t="s">
        <v>1187</v>
      </c>
      <c r="CH818" s="476" t="s">
        <v>1187</v>
      </c>
      <c r="CI818" s="476" t="s">
        <v>1187</v>
      </c>
      <c r="CJ818" s="476" t="s">
        <v>1188</v>
      </c>
      <c r="CK818" s="476" t="s">
        <v>1188</v>
      </c>
      <c r="CL818" s="476" t="s">
        <v>1187</v>
      </c>
      <c r="CM818" s="476" t="str">
        <f>IF(VLOOKUP(BS818,'Données par municipalité'!$B$6:$E$1113,4,FALSE)="","non","oui")</f>
        <v>non</v>
      </c>
      <c r="CN818" s="410">
        <v>562.8461213519447</v>
      </c>
      <c r="CO818" s="410">
        <v>617.58923567325212</v>
      </c>
      <c r="CP818" s="410"/>
      <c r="CQ818" s="410"/>
      <c r="CR818" s="410"/>
      <c r="CS818" s="410">
        <v>475.22975894419261</v>
      </c>
      <c r="CT818" s="410">
        <v>463.30088546655588</v>
      </c>
      <c r="CU818" s="410" t="s">
        <v>1124</v>
      </c>
      <c r="CV818" s="410" t="str">
        <f>IF(VLOOKUP(BS818,'Données par municipalité'!$B$6:$F$1113,4,FALSE)="","",VLOOKUP(BS818,'Données par municipalité'!$B$6:$F$1113,4,FALSE))</f>
        <v/>
      </c>
      <c r="CW818" s="476" t="s">
        <v>4723</v>
      </c>
      <c r="CX818" s="483">
        <v>0</v>
      </c>
      <c r="CY818" s="483" t="s">
        <v>1124</v>
      </c>
      <c r="CZ818" s="483" t="s">
        <v>1124</v>
      </c>
      <c r="DA818" s="483" t="s">
        <v>1124</v>
      </c>
      <c r="DB818" s="483">
        <v>1</v>
      </c>
      <c r="DC818" s="483">
        <v>1</v>
      </c>
      <c r="DD818" s="483" t="s">
        <v>1124</v>
      </c>
      <c r="DE818" s="483" t="str">
        <f>IFERROR(SUM(VLOOKUP($BS818,'État &amp; Plan d''action'!$B$6:$Z$1113,18,FALSE),VLOOKUP($BS818,'État &amp; Plan d''action'!$B$6:$Z$1113,20,FALSE))/(VLOOKUP($BS818,'Données par municipalité'!$B$4:$L$1113,11,FALSE)),"")</f>
        <v/>
      </c>
      <c r="DF818" s="483" t="str">
        <f>IFERROR(SUM(VLOOKUP($BS818,'État &amp; Plan d''action'!$B$6:$Z$1113,19,FALSE),VLOOKUP($BS818,'État &amp; Plan d''action'!$B$6:$Z$1113,21,FALSE))/(VLOOKUP($BS818,'Données par municipalité'!$B$4:$L$1113,11,FALSE)),"")</f>
        <v/>
      </c>
      <c r="DG818" s="476" t="s">
        <v>4723</v>
      </c>
      <c r="DH818" s="484">
        <v>1</v>
      </c>
      <c r="DI818" s="484" t="s">
        <v>1124</v>
      </c>
      <c r="DJ818" s="484">
        <v>0</v>
      </c>
      <c r="DK818" s="484">
        <v>0</v>
      </c>
      <c r="DL818" s="484">
        <v>0</v>
      </c>
      <c r="DM818" s="484">
        <v>0</v>
      </c>
      <c r="DN818" s="484" t="s">
        <v>1124</v>
      </c>
      <c r="DO818" s="484" t="s">
        <v>1124</v>
      </c>
      <c r="DP818" s="484" t="s">
        <v>1124</v>
      </c>
      <c r="DQ818" s="484" t="str">
        <f>IF(VLOOKUP($BS818,'État &amp; Plan d''action'!$B$6:$AJ$1113,28,FALSE)="","",VLOOKUP($BS818,'État &amp; Plan d''action'!$B$6:$AJ$1113,28,FALSE))</f>
        <v/>
      </c>
      <c r="DR818" s="70" t="str">
        <f>IF(VLOOKUP($BS818,'État &amp; Plan d''action'!$B$6:$AJ$1113,29,FALSE)="","",VLOOKUP($BS818,'État &amp; Plan d''action'!$B$6:$AJ$1113,29,FALSE))</f>
        <v/>
      </c>
      <c r="DS818" s="70" t="str">
        <f>IF(VLOOKUP($BS818,'État &amp; Plan d''action'!$B$6:$AJ$1113,30,FALSE)="","",VLOOKUP($BS818,'État &amp; Plan d''action'!$B$6:$AJ$1113,30,FALSE))</f>
        <v/>
      </c>
      <c r="DT818" s="70" t="s">
        <v>1124</v>
      </c>
      <c r="DU818" s="485" t="s">
        <v>1124</v>
      </c>
      <c r="DV818" s="485" t="s">
        <v>1124</v>
      </c>
      <c r="DW818" s="70" t="s">
        <v>1124</v>
      </c>
      <c r="DX818" s="70" t="s">
        <v>1124</v>
      </c>
      <c r="DY818" s="70" t="s">
        <v>1124</v>
      </c>
      <c r="DZ818" s="70" t="str">
        <f>VLOOKUP($BS818,'État &amp; Plan d''action'!$B$6:$AH$1113,31,FALSE)</f>
        <v/>
      </c>
      <c r="EA818" s="70" t="str">
        <f>VLOOKUP($BS818,'État &amp; Plan d''action'!$B$6:$AH$1113,32,FALSE)</f>
        <v/>
      </c>
      <c r="EB818" s="70" t="str">
        <f>VLOOKUP($BS818,'État &amp; Plan d''action'!$B$6:$AH$1113,33,FALSE)</f>
        <v/>
      </c>
      <c r="EC818" s="70" t="s">
        <v>1124</v>
      </c>
      <c r="ED818" s="70" t="s">
        <v>1124</v>
      </c>
      <c r="EE818" s="70" t="s">
        <v>1124</v>
      </c>
      <c r="EF818" s="70" t="s">
        <v>1124</v>
      </c>
      <c r="EG818" s="70" t="s">
        <v>1124</v>
      </c>
      <c r="EH818" s="72"/>
      <c r="EI818" s="72">
        <v>328</v>
      </c>
    </row>
    <row r="819" spans="71:139" x14ac:dyDescent="0.35">
      <c r="BS819" s="486">
        <v>33035</v>
      </c>
      <c r="BT819" s="479" t="s">
        <v>271</v>
      </c>
      <c r="BU819" s="479">
        <v>12</v>
      </c>
      <c r="BV819" s="476" t="s">
        <v>1187</v>
      </c>
      <c r="BW819" s="476" t="s">
        <v>1187</v>
      </c>
      <c r="BX819" s="476" t="s">
        <v>1187</v>
      </c>
      <c r="BY819" s="476" t="s">
        <v>1187</v>
      </c>
      <c r="BZ819" s="476" t="s">
        <v>1187</v>
      </c>
      <c r="CA819" s="476" t="s">
        <v>1187</v>
      </c>
      <c r="CB819" s="476" t="s">
        <v>1187</v>
      </c>
      <c r="CC819" s="476" t="s">
        <v>1187</v>
      </c>
      <c r="CD819" s="476" t="s">
        <v>1187</v>
      </c>
      <c r="CE819" s="476" t="s">
        <v>1188</v>
      </c>
      <c r="CF819" s="476" t="s">
        <v>1188</v>
      </c>
      <c r="CG819" s="476" t="s">
        <v>1188</v>
      </c>
      <c r="CH819" s="476" t="s">
        <v>1188</v>
      </c>
      <c r="CI819" s="476" t="s">
        <v>1188</v>
      </c>
      <c r="CJ819" s="476" t="s">
        <v>1188</v>
      </c>
      <c r="CK819" s="476" t="s">
        <v>1188</v>
      </c>
      <c r="CL819" s="476" t="s">
        <v>1187</v>
      </c>
      <c r="CM819" s="476" t="str">
        <f>IF(VLOOKUP(BS819,'Données par municipalité'!$B$6:$E$1113,4,FALSE)="","non","oui")</f>
        <v>oui</v>
      </c>
      <c r="CN819" s="410">
        <v>250.40072780834385</v>
      </c>
      <c r="CO819" s="410">
        <v>271.0312343762335</v>
      </c>
      <c r="CP819" s="410">
        <v>264.45461874515451</v>
      </c>
      <c r="CQ819" s="410">
        <v>279.09666866991824</v>
      </c>
      <c r="CR819" s="410">
        <v>293.88259092657074</v>
      </c>
      <c r="CS819" s="410">
        <v>304.84595617983257</v>
      </c>
      <c r="CT819" s="410">
        <v>271.28545637284094</v>
      </c>
      <c r="CU819" s="410" t="s">
        <v>1124</v>
      </c>
      <c r="CV819" s="410">
        <f>IF(VLOOKUP(BS819,'Données par municipalité'!$B$6:$F$1113,4,FALSE)="","",VLOOKUP(BS819,'Données par municipalité'!$B$6:$F$1113,4,FALSE))</f>
        <v>270</v>
      </c>
      <c r="CW819" s="476" t="s">
        <v>4723</v>
      </c>
      <c r="CX819" s="483">
        <v>0</v>
      </c>
      <c r="CY819" s="483">
        <v>0</v>
      </c>
      <c r="CZ819" s="483">
        <v>0</v>
      </c>
      <c r="DA819" s="483">
        <v>0</v>
      </c>
      <c r="DB819" s="483">
        <v>1</v>
      </c>
      <c r="DC819" s="483">
        <v>0</v>
      </c>
      <c r="DD819" s="483" t="s">
        <v>1124</v>
      </c>
      <c r="DE819" s="483">
        <f>IFERROR(SUM(VLOOKUP($BS819,'État &amp; Plan d''action'!$B$6:$Z$1113,18,FALSE),VLOOKUP($BS819,'État &amp; Plan d''action'!$B$6:$Z$1113,20,FALSE))/(VLOOKUP($BS819,'Données par municipalité'!$B$4:$L$1113,11,FALSE)),"")</f>
        <v>0</v>
      </c>
      <c r="DF819" s="483">
        <f>IFERROR(SUM(VLOOKUP($BS819,'État &amp; Plan d''action'!$B$6:$Z$1113,19,FALSE),VLOOKUP($BS819,'État &amp; Plan d''action'!$B$6:$Z$1113,21,FALSE))/(VLOOKUP($BS819,'Données par municipalité'!$B$4:$L$1113,11,FALSE)),"")</f>
        <v>0</v>
      </c>
      <c r="DG819" s="476" t="s">
        <v>4723</v>
      </c>
      <c r="DH819" s="484">
        <v>0</v>
      </c>
      <c r="DI819" s="484">
        <v>0</v>
      </c>
      <c r="DJ819" s="484">
        <v>0</v>
      </c>
      <c r="DK819" s="484">
        <v>0</v>
      </c>
      <c r="DL819" s="484">
        <v>0</v>
      </c>
      <c r="DM819" s="484">
        <v>0</v>
      </c>
      <c r="DN819" s="484" t="s">
        <v>1124</v>
      </c>
      <c r="DO819" s="484" t="s">
        <v>1124</v>
      </c>
      <c r="DP819" s="484" t="s">
        <v>1124</v>
      </c>
      <c r="DQ819" s="484">
        <f>IF(VLOOKUP($BS819,'État &amp; Plan d''action'!$B$6:$AJ$1113,28,FALSE)="","",VLOOKUP($BS819,'État &amp; Plan d''action'!$B$6:$AJ$1113,28,FALSE))</f>
        <v>0</v>
      </c>
      <c r="DR819" s="70">
        <f>IF(VLOOKUP($BS819,'État &amp; Plan d''action'!$B$6:$AJ$1113,29,FALSE)="","",VLOOKUP($BS819,'État &amp; Plan d''action'!$B$6:$AJ$1113,29,FALSE))</f>
        <v>0</v>
      </c>
      <c r="DS819" s="70">
        <f>IF(VLOOKUP($BS819,'État &amp; Plan d''action'!$B$6:$AJ$1113,30,FALSE)="","",VLOOKUP($BS819,'État &amp; Plan d''action'!$B$6:$AJ$1113,30,FALSE))</f>
        <v>0</v>
      </c>
      <c r="DT819" s="70" t="s">
        <v>1124</v>
      </c>
      <c r="DU819" s="485" t="s">
        <v>1124</v>
      </c>
      <c r="DV819" s="485">
        <v>8.4268336354257734E-2</v>
      </c>
      <c r="DW819" s="70" t="s">
        <v>1124</v>
      </c>
      <c r="DX819" s="70" t="s">
        <v>1124</v>
      </c>
      <c r="DY819" s="70" t="s">
        <v>1124</v>
      </c>
      <c r="DZ819" s="70">
        <f>VLOOKUP($BS819,'État &amp; Plan d''action'!$B$6:$AH$1113,31,FALSE)</f>
        <v>0</v>
      </c>
      <c r="EA819" s="70">
        <f>VLOOKUP($BS819,'État &amp; Plan d''action'!$B$6:$AH$1113,32,FALSE)</f>
        <v>0</v>
      </c>
      <c r="EB819" s="70">
        <f>VLOOKUP($BS819,'État &amp; Plan d''action'!$B$6:$AH$1113,33,FALSE)</f>
        <v>0</v>
      </c>
      <c r="EC819" s="70" t="s">
        <v>1124</v>
      </c>
      <c r="ED819" s="70" t="s">
        <v>1124</v>
      </c>
      <c r="EE819" s="70" t="s">
        <v>1124</v>
      </c>
      <c r="EF819" s="70" t="s">
        <v>1124</v>
      </c>
      <c r="EG819" s="70" t="s">
        <v>1124</v>
      </c>
      <c r="EH819" s="72"/>
      <c r="EI819" s="72">
        <v>2662</v>
      </c>
    </row>
    <row r="820" spans="71:139" x14ac:dyDescent="0.35">
      <c r="BS820" s="486">
        <v>5015</v>
      </c>
      <c r="BT820" s="479" t="s">
        <v>1045</v>
      </c>
      <c r="BU820" s="479">
        <v>11</v>
      </c>
      <c r="BV820" s="476" t="s">
        <v>1188</v>
      </c>
      <c r="BW820" s="476" t="s">
        <v>1188</v>
      </c>
      <c r="BX820" s="476" t="s">
        <v>1188</v>
      </c>
      <c r="BY820" s="476" t="s">
        <v>1188</v>
      </c>
      <c r="BZ820" s="476" t="s">
        <v>1188</v>
      </c>
      <c r="CA820" s="476" t="s">
        <v>1188</v>
      </c>
      <c r="CB820" s="476" t="s">
        <v>1188</v>
      </c>
      <c r="CC820" s="476" t="s">
        <v>1188</v>
      </c>
      <c r="CD820" s="476" t="s">
        <v>1188</v>
      </c>
      <c r="CE820" s="476" t="s">
        <v>1187</v>
      </c>
      <c r="CF820" s="476" t="s">
        <v>1187</v>
      </c>
      <c r="CG820" s="476" t="s">
        <v>1187</v>
      </c>
      <c r="CH820" s="476" t="s">
        <v>1187</v>
      </c>
      <c r="CI820" s="476" t="s">
        <v>1187</v>
      </c>
      <c r="CJ820" s="476" t="s">
        <v>1187</v>
      </c>
      <c r="CK820" s="476" t="s">
        <v>1187</v>
      </c>
      <c r="CL820" s="476" t="s">
        <v>1187</v>
      </c>
      <c r="CM820" s="476" t="str">
        <f>IF(VLOOKUP(BS820,'Données par municipalité'!$B$6:$E$1113,4,FALSE)="","non","oui")</f>
        <v>non</v>
      </c>
      <c r="CN820" s="410" t="s">
        <v>1124</v>
      </c>
      <c r="CO820" s="410" t="s">
        <v>1124</v>
      </c>
      <c r="CP820" s="410"/>
      <c r="CQ820" s="410"/>
      <c r="CR820" s="410"/>
      <c r="CS820" s="410" t="s">
        <v>1124</v>
      </c>
      <c r="CT820" s="410"/>
      <c r="CU820" s="410" t="s">
        <v>1124</v>
      </c>
      <c r="CV820" s="410" t="str">
        <f>IF(VLOOKUP(BS820,'Données par municipalité'!$B$6:$F$1113,4,FALSE)="","",VLOOKUP(BS820,'Données par municipalité'!$B$6:$F$1113,4,FALSE))</f>
        <v/>
      </c>
      <c r="CW820" s="476" t="s">
        <v>4723</v>
      </c>
      <c r="CX820" s="483" t="s">
        <v>1124</v>
      </c>
      <c r="CY820" s="483" t="s">
        <v>1124</v>
      </c>
      <c r="CZ820" s="483" t="s">
        <v>1124</v>
      </c>
      <c r="DA820" s="483" t="s">
        <v>1124</v>
      </c>
      <c r="DB820" s="483" t="s">
        <v>1124</v>
      </c>
      <c r="DC820" s="483" t="s">
        <v>1124</v>
      </c>
      <c r="DD820" s="483" t="s">
        <v>1124</v>
      </c>
      <c r="DE820" s="483" t="str">
        <f>IFERROR(SUM(VLOOKUP($BS820,'État &amp; Plan d''action'!$B$6:$Z$1113,18,FALSE),VLOOKUP($BS820,'État &amp; Plan d''action'!$B$6:$Z$1113,20,FALSE))/(VLOOKUP($BS820,'Données par municipalité'!$B$4:$L$1113,11,FALSE)),"")</f>
        <v/>
      </c>
      <c r="DF820" s="483" t="str">
        <f>IFERROR(SUM(VLOOKUP($BS820,'État &amp; Plan d''action'!$B$6:$Z$1113,19,FALSE),VLOOKUP($BS820,'État &amp; Plan d''action'!$B$6:$Z$1113,21,FALSE))/(VLOOKUP($BS820,'Données par municipalité'!$B$4:$L$1113,11,FALSE)),"")</f>
        <v/>
      </c>
      <c r="DG820" s="476" t="s">
        <v>4723</v>
      </c>
      <c r="DH820" s="484" t="s">
        <v>1124</v>
      </c>
      <c r="DI820" s="484" t="s">
        <v>1124</v>
      </c>
      <c r="DJ820" s="484">
        <v>0</v>
      </c>
      <c r="DK820" s="484">
        <v>0</v>
      </c>
      <c r="DL820" s="484" t="s">
        <v>1124</v>
      </c>
      <c r="DM820" s="484" t="s">
        <v>1124</v>
      </c>
      <c r="DN820" s="484" t="s">
        <v>1124</v>
      </c>
      <c r="DO820" s="484" t="s">
        <v>1124</v>
      </c>
      <c r="DP820" s="484" t="s">
        <v>1124</v>
      </c>
      <c r="DQ820" s="484" t="str">
        <f>IF(VLOOKUP($BS820,'État &amp; Plan d''action'!$B$6:$AJ$1113,28,FALSE)="","",VLOOKUP($BS820,'État &amp; Plan d''action'!$B$6:$AJ$1113,28,FALSE))</f>
        <v/>
      </c>
      <c r="DR820" s="70" t="str">
        <f>IF(VLOOKUP($BS820,'État &amp; Plan d''action'!$B$6:$AJ$1113,29,FALSE)="","",VLOOKUP($BS820,'État &amp; Plan d''action'!$B$6:$AJ$1113,29,FALSE))</f>
        <v/>
      </c>
      <c r="DS820" s="70" t="str">
        <f>IF(VLOOKUP($BS820,'État &amp; Plan d''action'!$B$6:$AJ$1113,30,FALSE)="","",VLOOKUP($BS820,'État &amp; Plan d''action'!$B$6:$AJ$1113,30,FALSE))</f>
        <v/>
      </c>
      <c r="DT820" s="70" t="s">
        <v>1124</v>
      </c>
      <c r="DU820" s="485" t="s">
        <v>1124</v>
      </c>
      <c r="DV820" s="485" t="s">
        <v>1124</v>
      </c>
      <c r="DW820" s="70" t="s">
        <v>1124</v>
      </c>
      <c r="DX820" s="70" t="s">
        <v>1124</v>
      </c>
      <c r="DY820" s="70" t="s">
        <v>1124</v>
      </c>
      <c r="DZ820" s="70" t="str">
        <f>VLOOKUP($BS820,'État &amp; Plan d''action'!$B$6:$AH$1113,31,FALSE)</f>
        <v/>
      </c>
      <c r="EA820" s="70" t="str">
        <f>VLOOKUP($BS820,'État &amp; Plan d''action'!$B$6:$AH$1113,32,FALSE)</f>
        <v/>
      </c>
      <c r="EB820" s="70" t="str">
        <f>VLOOKUP($BS820,'État &amp; Plan d''action'!$B$6:$AH$1113,33,FALSE)</f>
        <v/>
      </c>
      <c r="EC820" s="70" t="s">
        <v>1124</v>
      </c>
      <c r="ED820" s="70" t="s">
        <v>1124</v>
      </c>
      <c r="EE820" s="70" t="s">
        <v>1124</v>
      </c>
      <c r="EF820" s="70" t="s">
        <v>1124</v>
      </c>
      <c r="EG820" s="70" t="s">
        <v>1124</v>
      </c>
      <c r="EH820" s="72"/>
      <c r="EI820" s="72">
        <v>347</v>
      </c>
    </row>
    <row r="821" spans="71:139" x14ac:dyDescent="0.35">
      <c r="BS821" s="486">
        <v>49113</v>
      </c>
      <c r="BT821" s="479" t="s">
        <v>479</v>
      </c>
      <c r="BU821" s="479">
        <v>17</v>
      </c>
      <c r="BV821" s="476" t="s">
        <v>1187</v>
      </c>
      <c r="BW821" s="476" t="s">
        <v>1187</v>
      </c>
      <c r="BX821" s="476" t="s">
        <v>1187</v>
      </c>
      <c r="BY821" s="476" t="s">
        <v>1187</v>
      </c>
      <c r="BZ821" s="476" t="s">
        <v>1187</v>
      </c>
      <c r="CA821" s="476" t="s">
        <v>1187</v>
      </c>
      <c r="CB821" s="476" t="s">
        <v>1187</v>
      </c>
      <c r="CC821" s="476" t="s">
        <v>1187</v>
      </c>
      <c r="CD821" s="476" t="s">
        <v>1187</v>
      </c>
      <c r="CE821" s="476" t="s">
        <v>1188</v>
      </c>
      <c r="CF821" s="476" t="s">
        <v>1188</v>
      </c>
      <c r="CG821" s="476" t="s">
        <v>1188</v>
      </c>
      <c r="CH821" s="476" t="s">
        <v>1188</v>
      </c>
      <c r="CI821" s="476" t="s">
        <v>1188</v>
      </c>
      <c r="CJ821" s="476" t="s">
        <v>1188</v>
      </c>
      <c r="CK821" s="476" t="s">
        <v>1188</v>
      </c>
      <c r="CL821" s="476" t="s">
        <v>1188</v>
      </c>
      <c r="CM821" s="476" t="str">
        <f>IF(VLOOKUP(BS821,'Données par municipalité'!$B$6:$E$1113,4,FALSE)="","non","oui")</f>
        <v>oui</v>
      </c>
      <c r="CN821" s="410">
        <v>369.21795899296637</v>
      </c>
      <c r="CO821" s="410">
        <v>414.85566480470368</v>
      </c>
      <c r="CP821" s="410">
        <v>424.53682279446036</v>
      </c>
      <c r="CQ821" s="410">
        <v>322.21013208878907</v>
      </c>
      <c r="CR821" s="410">
        <v>365.9327403511985</v>
      </c>
      <c r="CS821" s="410">
        <v>369.96458755814081</v>
      </c>
      <c r="CT821" s="410">
        <v>299.18092646403153</v>
      </c>
      <c r="CU821" s="410">
        <v>379</v>
      </c>
      <c r="CV821" s="410">
        <f>IF(VLOOKUP(BS821,'Données par municipalité'!$B$6:$F$1113,4,FALSE)="","",VLOOKUP(BS821,'Données par municipalité'!$B$6:$F$1113,4,FALSE))</f>
        <v>370</v>
      </c>
      <c r="CW821" s="476" t="s">
        <v>4723</v>
      </c>
      <c r="CX821" s="483">
        <v>0</v>
      </c>
      <c r="CY821" s="483">
        <v>0</v>
      </c>
      <c r="CZ821" s="483">
        <v>0</v>
      </c>
      <c r="DA821" s="483">
        <v>0</v>
      </c>
      <c r="DB821" s="483">
        <v>0</v>
      </c>
      <c r="DC821" s="483">
        <v>0.13</v>
      </c>
      <c r="DD821" s="483">
        <v>0.46888653234358435</v>
      </c>
      <c r="DE821" s="483">
        <f>IFERROR(SUM(VLOOKUP($BS821,'État &amp; Plan d''action'!$B$6:$Z$1113,18,FALSE),VLOOKUP($BS821,'État &amp; Plan d''action'!$B$6:$Z$1113,20,FALSE))/(VLOOKUP($BS821,'Données par municipalité'!$B$4:$L$1113,11,FALSE)),"")</f>
        <v>0.46965005302226931</v>
      </c>
      <c r="DF821" s="483">
        <f>IFERROR(SUM(VLOOKUP($BS821,'État &amp; Plan d''action'!$B$6:$Z$1113,19,FALSE),VLOOKUP($BS821,'État &amp; Plan d''action'!$B$6:$Z$1113,21,FALSE))/(VLOOKUP($BS821,'Données par municipalité'!$B$4:$L$1113,11,FALSE)),"")</f>
        <v>0</v>
      </c>
      <c r="DG821" s="476" t="s">
        <v>4723</v>
      </c>
      <c r="DH821" s="484">
        <v>3</v>
      </c>
      <c r="DI821" s="484">
        <v>2</v>
      </c>
      <c r="DJ821" s="484">
        <v>2</v>
      </c>
      <c r="DK821" s="484">
        <v>0</v>
      </c>
      <c r="DL821" s="484">
        <v>0</v>
      </c>
      <c r="DM821" s="484">
        <v>0</v>
      </c>
      <c r="DN821" s="484">
        <v>1</v>
      </c>
      <c r="DO821" s="484">
        <v>3</v>
      </c>
      <c r="DP821" s="484">
        <v>2</v>
      </c>
      <c r="DQ821" s="484">
        <f>IF(VLOOKUP($BS821,'État &amp; Plan d''action'!$B$6:$AJ$1113,28,FALSE)="","",VLOOKUP($BS821,'État &amp; Plan d''action'!$B$6:$AJ$1113,28,FALSE))</f>
        <v>0</v>
      </c>
      <c r="DR821" s="70">
        <f>IF(VLOOKUP($BS821,'État &amp; Plan d''action'!$B$6:$AJ$1113,29,FALSE)="","",VLOOKUP($BS821,'État &amp; Plan d''action'!$B$6:$AJ$1113,29,FALSE))</f>
        <v>0</v>
      </c>
      <c r="DS821" s="70">
        <f>IF(VLOOKUP($BS821,'État &amp; Plan d''action'!$B$6:$AJ$1113,30,FALSE)="","",VLOOKUP($BS821,'État &amp; Plan d''action'!$B$6:$AJ$1113,30,FALSE))</f>
        <v>0</v>
      </c>
      <c r="DT821" s="70">
        <v>210</v>
      </c>
      <c r="DU821" s="485">
        <v>0.88024060016151251</v>
      </c>
      <c r="DV821" s="485">
        <v>1.9175962519817544</v>
      </c>
      <c r="DW821" s="70">
        <v>1</v>
      </c>
      <c r="DX821" s="70">
        <v>1</v>
      </c>
      <c r="DY821" s="70">
        <v>5</v>
      </c>
      <c r="DZ821" s="70">
        <f>VLOOKUP($BS821,'État &amp; Plan d''action'!$B$6:$AH$1113,31,FALSE)</f>
        <v>0</v>
      </c>
      <c r="EA821" s="70">
        <f>VLOOKUP($BS821,'État &amp; Plan d''action'!$B$6:$AH$1113,32,FALSE)</f>
        <v>0</v>
      </c>
      <c r="EB821" s="70">
        <f>VLOOKUP($BS821,'État &amp; Plan d''action'!$B$6:$AH$1113,33,FALSE)</f>
        <v>0</v>
      </c>
      <c r="EC821" s="70">
        <v>0</v>
      </c>
      <c r="ED821" s="70">
        <v>11.054</v>
      </c>
      <c r="EE821" s="70">
        <v>0</v>
      </c>
      <c r="EF821" s="70">
        <v>0</v>
      </c>
      <c r="EG821" s="70">
        <v>0</v>
      </c>
      <c r="EH821" s="72">
        <v>64</v>
      </c>
      <c r="EI821" s="72">
        <v>1492</v>
      </c>
    </row>
    <row r="822" spans="71:139" x14ac:dyDescent="0.35">
      <c r="BS822" s="486">
        <v>11020</v>
      </c>
      <c r="BT822" s="479" t="s">
        <v>20</v>
      </c>
      <c r="BU822" s="479">
        <v>1</v>
      </c>
      <c r="BV822" s="476" t="s">
        <v>1188</v>
      </c>
      <c r="BW822" s="476" t="s">
        <v>1188</v>
      </c>
      <c r="BX822" s="476" t="s">
        <v>1188</v>
      </c>
      <c r="BY822" s="476" t="s">
        <v>1188</v>
      </c>
      <c r="BZ822" s="476" t="s">
        <v>1188</v>
      </c>
      <c r="CA822" s="476" t="s">
        <v>1188</v>
      </c>
      <c r="CB822" s="476" t="s">
        <v>1188</v>
      </c>
      <c r="CC822" s="476" t="s">
        <v>1188</v>
      </c>
      <c r="CD822" s="476" t="s">
        <v>1188</v>
      </c>
      <c r="CE822" s="476" t="s">
        <v>1187</v>
      </c>
      <c r="CF822" s="476" t="s">
        <v>1187</v>
      </c>
      <c r="CG822" s="476" t="s">
        <v>1187</v>
      </c>
      <c r="CH822" s="476" t="s">
        <v>1187</v>
      </c>
      <c r="CI822" s="476" t="s">
        <v>1187</v>
      </c>
      <c r="CJ822" s="476" t="s">
        <v>1187</v>
      </c>
      <c r="CK822" s="476" t="s">
        <v>1187</v>
      </c>
      <c r="CL822" s="476" t="s">
        <v>1187</v>
      </c>
      <c r="CM822" s="476" t="str">
        <f>IF(VLOOKUP(BS822,'Données par municipalité'!$B$6:$E$1113,4,FALSE)="","non","oui")</f>
        <v>non</v>
      </c>
      <c r="CN822" s="410" t="s">
        <v>1124</v>
      </c>
      <c r="CO822" s="410" t="s">
        <v>1124</v>
      </c>
      <c r="CP822" s="410"/>
      <c r="CQ822" s="410"/>
      <c r="CR822" s="410"/>
      <c r="CS822" s="410" t="s">
        <v>1124</v>
      </c>
      <c r="CT822" s="410"/>
      <c r="CU822" s="410" t="s">
        <v>1124</v>
      </c>
      <c r="CV822" s="410" t="str">
        <f>IF(VLOOKUP(BS822,'Données par municipalité'!$B$6:$F$1113,4,FALSE)="","",VLOOKUP(BS822,'Données par municipalité'!$B$6:$F$1113,4,FALSE))</f>
        <v/>
      </c>
      <c r="CW822" s="476" t="s">
        <v>4723</v>
      </c>
      <c r="CX822" s="483" t="s">
        <v>1124</v>
      </c>
      <c r="CY822" s="483" t="s">
        <v>1124</v>
      </c>
      <c r="CZ822" s="483" t="s">
        <v>1124</v>
      </c>
      <c r="DA822" s="483" t="s">
        <v>1124</v>
      </c>
      <c r="DB822" s="483" t="s">
        <v>1124</v>
      </c>
      <c r="DC822" s="483" t="s">
        <v>1124</v>
      </c>
      <c r="DD822" s="483" t="s">
        <v>1124</v>
      </c>
      <c r="DE822" s="483" t="str">
        <f>IFERROR(SUM(VLOOKUP($BS822,'État &amp; Plan d''action'!$B$6:$Z$1113,18,FALSE),VLOOKUP($BS822,'État &amp; Plan d''action'!$B$6:$Z$1113,20,FALSE))/(VLOOKUP($BS822,'Données par municipalité'!$B$4:$L$1113,11,FALSE)),"")</f>
        <v/>
      </c>
      <c r="DF822" s="483" t="str">
        <f>IFERROR(SUM(VLOOKUP($BS822,'État &amp; Plan d''action'!$B$6:$Z$1113,19,FALSE),VLOOKUP($BS822,'État &amp; Plan d''action'!$B$6:$Z$1113,21,FALSE))/(VLOOKUP($BS822,'Données par municipalité'!$B$4:$L$1113,11,FALSE)),"")</f>
        <v/>
      </c>
      <c r="DG822" s="476" t="s">
        <v>4723</v>
      </c>
      <c r="DH822" s="484" t="s">
        <v>1124</v>
      </c>
      <c r="DI822" s="484" t="s">
        <v>1124</v>
      </c>
      <c r="DJ822" s="484">
        <v>0</v>
      </c>
      <c r="DK822" s="484">
        <v>0</v>
      </c>
      <c r="DL822" s="484" t="s">
        <v>1124</v>
      </c>
      <c r="DM822" s="484" t="s">
        <v>1124</v>
      </c>
      <c r="DN822" s="484" t="s">
        <v>1124</v>
      </c>
      <c r="DO822" s="484" t="s">
        <v>1124</v>
      </c>
      <c r="DP822" s="484" t="s">
        <v>1124</v>
      </c>
      <c r="DQ822" s="484" t="str">
        <f>IF(VLOOKUP($BS822,'État &amp; Plan d''action'!$B$6:$AJ$1113,28,FALSE)="","",VLOOKUP($BS822,'État &amp; Plan d''action'!$B$6:$AJ$1113,28,FALSE))</f>
        <v/>
      </c>
      <c r="DR822" s="70" t="str">
        <f>IF(VLOOKUP($BS822,'État &amp; Plan d''action'!$B$6:$AJ$1113,29,FALSE)="","",VLOOKUP($BS822,'État &amp; Plan d''action'!$B$6:$AJ$1113,29,FALSE))</f>
        <v/>
      </c>
      <c r="DS822" s="70" t="str">
        <f>IF(VLOOKUP($BS822,'État &amp; Plan d''action'!$B$6:$AJ$1113,30,FALSE)="","",VLOOKUP($BS822,'État &amp; Plan d''action'!$B$6:$AJ$1113,30,FALSE))</f>
        <v/>
      </c>
      <c r="DT822" s="70" t="s">
        <v>1124</v>
      </c>
      <c r="DU822" s="485" t="s">
        <v>1124</v>
      </c>
      <c r="DV822" s="485" t="s">
        <v>1124</v>
      </c>
      <c r="DW822" s="70" t="s">
        <v>1124</v>
      </c>
      <c r="DX822" s="70" t="s">
        <v>1124</v>
      </c>
      <c r="DY822" s="70" t="s">
        <v>1124</v>
      </c>
      <c r="DZ822" s="70" t="str">
        <f>VLOOKUP($BS822,'État &amp; Plan d''action'!$B$6:$AH$1113,31,FALSE)</f>
        <v/>
      </c>
      <c r="EA822" s="70" t="str">
        <f>VLOOKUP($BS822,'État &amp; Plan d''action'!$B$6:$AH$1113,32,FALSE)</f>
        <v/>
      </c>
      <c r="EB822" s="70" t="str">
        <f>VLOOKUP($BS822,'État &amp; Plan d''action'!$B$6:$AH$1113,33,FALSE)</f>
        <v/>
      </c>
      <c r="EC822" s="70" t="s">
        <v>1124</v>
      </c>
      <c r="ED822" s="70" t="s">
        <v>1124</v>
      </c>
      <c r="EE822" s="70" t="s">
        <v>1124</v>
      </c>
      <c r="EF822" s="70" t="s">
        <v>1124</v>
      </c>
      <c r="EG822" s="70" t="s">
        <v>1124</v>
      </c>
      <c r="EH822" s="72"/>
      <c r="EI822" s="72">
        <v>58</v>
      </c>
    </row>
    <row r="823" spans="71:139" x14ac:dyDescent="0.35">
      <c r="BS823" s="486">
        <v>19068</v>
      </c>
      <c r="BT823" s="479" t="s">
        <v>129</v>
      </c>
      <c r="BU823" s="479">
        <v>12</v>
      </c>
      <c r="BV823" s="476" t="s">
        <v>1187</v>
      </c>
      <c r="BW823" s="476" t="s">
        <v>1187</v>
      </c>
      <c r="BX823" s="476" t="s">
        <v>1187</v>
      </c>
      <c r="BY823" s="476" t="s">
        <v>1187</v>
      </c>
      <c r="BZ823" s="476" t="s">
        <v>1187</v>
      </c>
      <c r="CA823" s="476" t="s">
        <v>1187</v>
      </c>
      <c r="CB823" s="476" t="s">
        <v>1187</v>
      </c>
      <c r="CC823" s="476" t="s">
        <v>1187</v>
      </c>
      <c r="CD823" s="476" t="s">
        <v>1187</v>
      </c>
      <c r="CE823" s="476" t="s">
        <v>1188</v>
      </c>
      <c r="CF823" s="476" t="s">
        <v>1188</v>
      </c>
      <c r="CG823" s="476" t="s">
        <v>1188</v>
      </c>
      <c r="CH823" s="476" t="s">
        <v>1188</v>
      </c>
      <c r="CI823" s="476" t="s">
        <v>1188</v>
      </c>
      <c r="CJ823" s="476" t="s">
        <v>1188</v>
      </c>
      <c r="CK823" s="476" t="s">
        <v>1188</v>
      </c>
      <c r="CL823" s="476" t="s">
        <v>1188</v>
      </c>
      <c r="CM823" s="476" t="str">
        <f>IF(VLOOKUP(BS823,'Données par municipalité'!$B$6:$E$1113,4,FALSE)="","non","oui")</f>
        <v>oui</v>
      </c>
      <c r="CN823" s="410">
        <v>590.52479277187024</v>
      </c>
      <c r="CO823" s="410">
        <v>499.97593789151136</v>
      </c>
      <c r="CP823" s="410">
        <v>438.02168124047722</v>
      </c>
      <c r="CQ823" s="410">
        <v>417.20276725583858</v>
      </c>
      <c r="CR823" s="410">
        <v>425.02657518975906</v>
      </c>
      <c r="CS823" s="410">
        <v>421.44582671265613</v>
      </c>
      <c r="CT823" s="410">
        <v>373.34576896920242</v>
      </c>
      <c r="CU823" s="410">
        <v>412</v>
      </c>
      <c r="CV823" s="410">
        <f>IF(VLOOKUP(BS823,'Données par municipalité'!$B$6:$F$1113,4,FALSE)="","",VLOOKUP(BS823,'Données par municipalité'!$B$6:$F$1113,4,FALSE))</f>
        <v>363</v>
      </c>
      <c r="CW823" s="476" t="s">
        <v>4723</v>
      </c>
      <c r="CX823" s="483">
        <v>0.1</v>
      </c>
      <c r="CY823" s="483">
        <v>0</v>
      </c>
      <c r="CZ823" s="483">
        <v>1</v>
      </c>
      <c r="DA823" s="483">
        <v>1</v>
      </c>
      <c r="DB823" s="483">
        <v>1</v>
      </c>
      <c r="DC823" s="483">
        <v>1</v>
      </c>
      <c r="DD823" s="483">
        <v>0.96850393700787418</v>
      </c>
      <c r="DE823" s="483">
        <f>IFERROR(SUM(VLOOKUP($BS823,'État &amp; Plan d''action'!$B$6:$Z$1113,18,FALSE),VLOOKUP($BS823,'État &amp; Plan d''action'!$B$6:$Z$1113,20,FALSE))/(VLOOKUP($BS823,'Données par municipalité'!$B$4:$L$1113,11,FALSE)),"")</f>
        <v>1.016354800221168</v>
      </c>
      <c r="DF823" s="483">
        <f>IFERROR(SUM(VLOOKUP($BS823,'État &amp; Plan d''action'!$B$6:$Z$1113,19,FALSE),VLOOKUP($BS823,'État &amp; Plan d''action'!$B$6:$Z$1113,21,FALSE))/(VLOOKUP($BS823,'Données par municipalité'!$B$4:$L$1113,11,FALSE)),"")</f>
        <v>1.0229025405232373</v>
      </c>
      <c r="DG823" s="476" t="s">
        <v>4723</v>
      </c>
      <c r="DH823" s="484">
        <v>3</v>
      </c>
      <c r="DI823" s="484">
        <v>1</v>
      </c>
      <c r="DJ823" s="484">
        <v>1</v>
      </c>
      <c r="DK823" s="484">
        <v>1</v>
      </c>
      <c r="DL823" s="484">
        <v>1</v>
      </c>
      <c r="DM823" s="484">
        <v>2</v>
      </c>
      <c r="DN823" s="484">
        <v>2</v>
      </c>
      <c r="DO823" s="484">
        <v>0</v>
      </c>
      <c r="DP823" s="484">
        <v>1</v>
      </c>
      <c r="DQ823" s="484">
        <f>IF(VLOOKUP($BS823,'État &amp; Plan d''action'!$B$6:$AJ$1113,28,FALSE)="","",VLOOKUP($BS823,'État &amp; Plan d''action'!$B$6:$AJ$1113,28,FALSE))</f>
        <v>5</v>
      </c>
      <c r="DR823" s="70">
        <f>IF(VLOOKUP($BS823,'État &amp; Plan d''action'!$B$6:$AJ$1113,29,FALSE)="","",VLOOKUP($BS823,'État &amp; Plan d''action'!$B$6:$AJ$1113,29,FALSE))</f>
        <v>0</v>
      </c>
      <c r="DS823" s="70">
        <f>IF(VLOOKUP($BS823,'État &amp; Plan d''action'!$B$6:$AJ$1113,30,FALSE)="","",VLOOKUP($BS823,'État &amp; Plan d''action'!$B$6:$AJ$1113,30,FALSE))</f>
        <v>0</v>
      </c>
      <c r="DT823" s="70">
        <v>161</v>
      </c>
      <c r="DU823" s="485">
        <v>0.71620359497946662</v>
      </c>
      <c r="DV823" s="485">
        <v>0.40547775958477439</v>
      </c>
      <c r="DW823" s="70">
        <v>1</v>
      </c>
      <c r="DX823" s="70">
        <v>1</v>
      </c>
      <c r="DY823" s="70">
        <v>3</v>
      </c>
      <c r="DZ823" s="70">
        <f>VLOOKUP($BS823,'État &amp; Plan d''action'!$B$6:$AH$1113,31,FALSE)</f>
        <v>1</v>
      </c>
      <c r="EA823" s="70">
        <f>VLOOKUP($BS823,'État &amp; Plan d''action'!$B$6:$AH$1113,32,FALSE)</f>
        <v>0</v>
      </c>
      <c r="EB823" s="70">
        <f>VLOOKUP($BS823,'État &amp; Plan d''action'!$B$6:$AH$1113,33,FALSE)</f>
        <v>0</v>
      </c>
      <c r="EC823" s="70">
        <v>33.825000000000003</v>
      </c>
      <c r="ED823" s="70">
        <v>33.825000000000003</v>
      </c>
      <c r="EE823" s="70">
        <v>0</v>
      </c>
      <c r="EF823" s="70">
        <v>0</v>
      </c>
      <c r="EG823" s="70">
        <v>0</v>
      </c>
      <c r="EH823" s="72">
        <v>76</v>
      </c>
      <c r="EI823" s="72">
        <v>5669</v>
      </c>
    </row>
    <row r="824" spans="71:139" x14ac:dyDescent="0.35">
      <c r="BS824" s="486">
        <v>93070</v>
      </c>
      <c r="BT824" s="479" t="s">
        <v>969</v>
      </c>
      <c r="BU824" s="479">
        <v>2</v>
      </c>
      <c r="BV824" s="476" t="s">
        <v>1187</v>
      </c>
      <c r="BW824" s="476" t="s">
        <v>1187</v>
      </c>
      <c r="BX824" s="476" t="s">
        <v>1187</v>
      </c>
      <c r="BY824" s="476" t="s">
        <v>1187</v>
      </c>
      <c r="BZ824" s="476" t="s">
        <v>1187</v>
      </c>
      <c r="CA824" s="476" t="s">
        <v>1187</v>
      </c>
      <c r="CB824" s="476" t="s">
        <v>1187</v>
      </c>
      <c r="CC824" s="476" t="s">
        <v>1187</v>
      </c>
      <c r="CD824" s="476" t="s">
        <v>1187</v>
      </c>
      <c r="CE824" s="476" t="s">
        <v>1188</v>
      </c>
      <c r="CF824" s="476" t="s">
        <v>1188</v>
      </c>
      <c r="CG824" s="476" t="s">
        <v>1188</v>
      </c>
      <c r="CH824" s="476" t="s">
        <v>1188</v>
      </c>
      <c r="CI824" s="476" t="s">
        <v>1188</v>
      </c>
      <c r="CJ824" s="476" t="s">
        <v>1188</v>
      </c>
      <c r="CK824" s="476" t="s">
        <v>1188</v>
      </c>
      <c r="CL824" s="476" t="s">
        <v>1188</v>
      </c>
      <c r="CM824" s="476" t="str">
        <f>IF(VLOOKUP(BS824,'Données par municipalité'!$B$6:$E$1113,4,FALSE)="","non","oui")</f>
        <v>oui</v>
      </c>
      <c r="CN824" s="410">
        <v>720.109589041096</v>
      </c>
      <c r="CO824" s="410">
        <v>968.17656025961332</v>
      </c>
      <c r="CP824" s="410">
        <v>1045.9168076303831</v>
      </c>
      <c r="CQ824" s="410">
        <v>565.69115815691157</v>
      </c>
      <c r="CR824" s="410">
        <v>567.4231417537768</v>
      </c>
      <c r="CS824" s="410">
        <v>364.53748634903047</v>
      </c>
      <c r="CT824" s="410">
        <v>303.62455257538005</v>
      </c>
      <c r="CU824" s="410">
        <v>356</v>
      </c>
      <c r="CV824" s="410">
        <f>IF(VLOOKUP(BS824,'Données par municipalité'!$B$6:$F$1113,4,FALSE)="","",VLOOKUP(BS824,'Données par municipalité'!$B$6:$F$1113,4,FALSE))</f>
        <v>604</v>
      </c>
      <c r="CW824" s="476" t="s">
        <v>4723</v>
      </c>
      <c r="CX824" s="483">
        <v>0</v>
      </c>
      <c r="CY824" s="483">
        <v>1</v>
      </c>
      <c r="CZ824" s="483">
        <v>0</v>
      </c>
      <c r="DA824" s="483">
        <v>1</v>
      </c>
      <c r="DB824" s="483">
        <v>1</v>
      </c>
      <c r="DC824" s="483">
        <v>1</v>
      </c>
      <c r="DD824" s="483">
        <v>1.6345380484134604</v>
      </c>
      <c r="DE824" s="483">
        <f>IFERROR(SUM(VLOOKUP($BS824,'État &amp; Plan d''action'!$B$6:$Z$1113,18,FALSE),VLOOKUP($BS824,'État &amp; Plan d''action'!$B$6:$Z$1113,20,FALSE))/(VLOOKUP($BS824,'Données par municipalité'!$B$4:$L$1113,11,FALSE)),"")</f>
        <v>1</v>
      </c>
      <c r="DF824" s="483">
        <f>IFERROR(SUM(VLOOKUP($BS824,'État &amp; Plan d''action'!$B$6:$Z$1113,19,FALSE),VLOOKUP($BS824,'État &amp; Plan d''action'!$B$6:$Z$1113,21,FALSE))/(VLOOKUP($BS824,'Données par municipalité'!$B$4:$L$1113,11,FALSE)),"")</f>
        <v>1</v>
      </c>
      <c r="DG824" s="476" t="s">
        <v>4723</v>
      </c>
      <c r="DH824" s="484">
        <v>2</v>
      </c>
      <c r="DI824" s="484">
        <v>0</v>
      </c>
      <c r="DJ824" s="484">
        <v>0</v>
      </c>
      <c r="DK824" s="484">
        <v>0</v>
      </c>
      <c r="DL824" s="484">
        <v>1</v>
      </c>
      <c r="DM824" s="484">
        <v>8</v>
      </c>
      <c r="DN824" s="484">
        <v>0</v>
      </c>
      <c r="DO824" s="484">
        <v>6</v>
      </c>
      <c r="DP824" s="484">
        <v>0</v>
      </c>
      <c r="DQ824" s="484">
        <f>IF(VLOOKUP($BS824,'État &amp; Plan d''action'!$B$6:$AJ$1113,28,FALSE)="","",VLOOKUP($BS824,'État &amp; Plan d''action'!$B$6:$AJ$1113,28,FALSE))</f>
        <v>2</v>
      </c>
      <c r="DR824" s="70">
        <f>IF(VLOOKUP($BS824,'État &amp; Plan d''action'!$B$6:$AJ$1113,29,FALSE)="","",VLOOKUP($BS824,'État &amp; Plan d''action'!$B$6:$AJ$1113,29,FALSE))</f>
        <v>6</v>
      </c>
      <c r="DS824" s="70">
        <f>IF(VLOOKUP($BS824,'État &amp; Plan d''action'!$B$6:$AJ$1113,30,FALSE)="","",VLOOKUP($BS824,'État &amp; Plan d''action'!$B$6:$AJ$1113,30,FALSE))</f>
        <v>3</v>
      </c>
      <c r="DT824" s="70">
        <v>253</v>
      </c>
      <c r="DU824" s="485">
        <v>0.81247390409732423</v>
      </c>
      <c r="DV824" s="485">
        <v>1.0762206152697023</v>
      </c>
      <c r="DW824" s="70">
        <v>0</v>
      </c>
      <c r="DX824" s="70">
        <v>5</v>
      </c>
      <c r="DY824" s="70">
        <v>0</v>
      </c>
      <c r="DZ824" s="70">
        <f>VLOOKUP($BS824,'État &amp; Plan d''action'!$B$6:$AH$1113,31,FALSE)</f>
        <v>1</v>
      </c>
      <c r="EA824" s="70">
        <f>VLOOKUP($BS824,'État &amp; Plan d''action'!$B$6:$AH$1113,32,FALSE)</f>
        <v>3</v>
      </c>
      <c r="EB824" s="70">
        <f>VLOOKUP($BS824,'État &amp; Plan d''action'!$B$6:$AH$1113,33,FALSE)</f>
        <v>10</v>
      </c>
      <c r="EC824" s="70">
        <v>31.5</v>
      </c>
      <c r="ED824" s="70">
        <v>31.5</v>
      </c>
      <c r="EE824" s="70">
        <v>31.5</v>
      </c>
      <c r="EF824" s="70">
        <v>0</v>
      </c>
      <c r="EG824" s="70">
        <v>0</v>
      </c>
      <c r="EH824" s="72">
        <v>62.517543859649138</v>
      </c>
      <c r="EI824" s="72">
        <v>868</v>
      </c>
    </row>
    <row r="825" spans="71:139" x14ac:dyDescent="0.35">
      <c r="BS825" s="486">
        <v>44015</v>
      </c>
      <c r="BT825" s="479" t="s">
        <v>401</v>
      </c>
      <c r="BU825" s="479">
        <v>5</v>
      </c>
      <c r="BV825" s="476" t="s">
        <v>1187</v>
      </c>
      <c r="BW825" s="476" t="s">
        <v>1187</v>
      </c>
      <c r="BX825" s="476" t="s">
        <v>1187</v>
      </c>
      <c r="BY825" s="476" t="s">
        <v>1187</v>
      </c>
      <c r="BZ825" s="476" t="s">
        <v>1187</v>
      </c>
      <c r="CA825" s="476" t="s">
        <v>1187</v>
      </c>
      <c r="CB825" s="476" t="s">
        <v>1187</v>
      </c>
      <c r="CC825" s="476" t="s">
        <v>1187</v>
      </c>
      <c r="CD825" s="476" t="s">
        <v>1187</v>
      </c>
      <c r="CE825" s="476" t="s">
        <v>1188</v>
      </c>
      <c r="CF825" s="476" t="s">
        <v>1188</v>
      </c>
      <c r="CG825" s="476" t="s">
        <v>1188</v>
      </c>
      <c r="CH825" s="476" t="s">
        <v>1188</v>
      </c>
      <c r="CI825" s="476" t="s">
        <v>1188</v>
      </c>
      <c r="CJ825" s="476" t="s">
        <v>1188</v>
      </c>
      <c r="CK825" s="476" t="s">
        <v>1188</v>
      </c>
      <c r="CL825" s="476" t="s">
        <v>1188</v>
      </c>
      <c r="CM825" s="476" t="str">
        <f>IF(VLOOKUP(BS825,'Données par municipalité'!$B$6:$E$1113,4,FALSE)="","non","oui")</f>
        <v>oui</v>
      </c>
      <c r="CN825" s="410">
        <v>282.16548268874811</v>
      </c>
      <c r="CO825" s="410">
        <v>250.02387263980287</v>
      </c>
      <c r="CP825" s="410">
        <v>308.97773868213665</v>
      </c>
      <c r="CQ825" s="410">
        <v>327.79091207311978</v>
      </c>
      <c r="CR825" s="410">
        <v>332.13273500236187</v>
      </c>
      <c r="CS825" s="410">
        <v>343.44430375491635</v>
      </c>
      <c r="CT825" s="410">
        <v>302.84559366077451</v>
      </c>
      <c r="CU825" s="410">
        <v>343</v>
      </c>
      <c r="CV825" s="410">
        <f>IF(VLOOKUP(BS825,'Données par municipalité'!$B$6:$F$1113,4,FALSE)="","",VLOOKUP(BS825,'Données par municipalité'!$B$6:$F$1113,4,FALSE))</f>
        <v>356</v>
      </c>
      <c r="CW825" s="476" t="s">
        <v>4723</v>
      </c>
      <c r="CX825" s="483">
        <v>0</v>
      </c>
      <c r="CY825" s="483">
        <v>0</v>
      </c>
      <c r="CZ825" s="483">
        <v>0</v>
      </c>
      <c r="DA825" s="483">
        <v>0</v>
      </c>
      <c r="DB825" s="483">
        <v>0</v>
      </c>
      <c r="DC825" s="483">
        <v>0</v>
      </c>
      <c r="DD825" s="483">
        <v>0</v>
      </c>
      <c r="DE825" s="483">
        <f>IFERROR(SUM(VLOOKUP($BS825,'État &amp; Plan d''action'!$B$6:$Z$1113,18,FALSE),VLOOKUP($BS825,'État &amp; Plan d''action'!$B$6:$Z$1113,20,FALSE))/(VLOOKUP($BS825,'Données par municipalité'!$B$4:$L$1113,11,FALSE)),"")</f>
        <v>0</v>
      </c>
      <c r="DF825" s="483">
        <f>IFERROR(SUM(VLOOKUP($BS825,'État &amp; Plan d''action'!$B$6:$Z$1113,19,FALSE),VLOOKUP($BS825,'État &amp; Plan d''action'!$B$6:$Z$1113,21,FALSE))/(VLOOKUP($BS825,'Données par municipalité'!$B$4:$L$1113,11,FALSE)),"")</f>
        <v>0</v>
      </c>
      <c r="DG825" s="476" t="s">
        <v>4723</v>
      </c>
      <c r="DH825" s="484">
        <v>0</v>
      </c>
      <c r="DI825" s="484">
        <v>0</v>
      </c>
      <c r="DJ825" s="484">
        <v>0</v>
      </c>
      <c r="DK825" s="484">
        <v>0</v>
      </c>
      <c r="DL825" s="484">
        <v>0</v>
      </c>
      <c r="DM825" s="484">
        <v>0</v>
      </c>
      <c r="DN825" s="484">
        <v>0</v>
      </c>
      <c r="DO825" s="484">
        <v>0</v>
      </c>
      <c r="DP825" s="484">
        <v>0</v>
      </c>
      <c r="DQ825" s="484">
        <f>IF(VLOOKUP($BS825,'État &amp; Plan d''action'!$B$6:$AJ$1113,28,FALSE)="","",VLOOKUP($BS825,'État &amp; Plan d''action'!$B$6:$AJ$1113,28,FALSE))</f>
        <v>0</v>
      </c>
      <c r="DR825" s="70">
        <f>IF(VLOOKUP($BS825,'État &amp; Plan d''action'!$B$6:$AJ$1113,29,FALSE)="","",VLOOKUP($BS825,'État &amp; Plan d''action'!$B$6:$AJ$1113,29,FALSE))</f>
        <v>0</v>
      </c>
      <c r="DS825" s="70">
        <f>IF(VLOOKUP($BS825,'État &amp; Plan d''action'!$B$6:$AJ$1113,30,FALSE)="","",VLOOKUP($BS825,'État &amp; Plan d''action'!$B$6:$AJ$1113,30,FALSE))</f>
        <v>0</v>
      </c>
      <c r="DT825" s="70">
        <v>222</v>
      </c>
      <c r="DU825" s="485">
        <v>0.8745025013569947</v>
      </c>
      <c r="DV825" s="485">
        <v>0.85174831480380297</v>
      </c>
      <c r="DW825" s="70">
        <v>0</v>
      </c>
      <c r="DX825" s="70">
        <v>0</v>
      </c>
      <c r="DY825" s="70">
        <v>0</v>
      </c>
      <c r="DZ825" s="70">
        <f>VLOOKUP($BS825,'État &amp; Plan d''action'!$B$6:$AH$1113,31,FALSE)</f>
        <v>0</v>
      </c>
      <c r="EA825" s="70">
        <f>VLOOKUP($BS825,'État &amp; Plan d''action'!$B$6:$AH$1113,32,FALSE)</f>
        <v>0</v>
      </c>
      <c r="EB825" s="70">
        <f>VLOOKUP($BS825,'État &amp; Plan d''action'!$B$6:$AH$1113,33,FALSE)</f>
        <v>0</v>
      </c>
      <c r="EC825" s="70">
        <v>0</v>
      </c>
      <c r="ED825" s="70">
        <v>0</v>
      </c>
      <c r="EE825" s="70">
        <v>0</v>
      </c>
      <c r="EF825" s="70">
        <v>0</v>
      </c>
      <c r="EG825" s="70">
        <v>0</v>
      </c>
      <c r="EH825" s="72">
        <v>48.945945945945951</v>
      </c>
      <c r="EI825" s="72">
        <v>728</v>
      </c>
    </row>
    <row r="826" spans="71:139" x14ac:dyDescent="0.35">
      <c r="BS826" s="486">
        <v>29020</v>
      </c>
      <c r="BT826" s="479" t="s">
        <v>203</v>
      </c>
      <c r="BU826" s="479">
        <v>12</v>
      </c>
      <c r="BV826" s="476" t="s">
        <v>1188</v>
      </c>
      <c r="BW826" s="476" t="s">
        <v>1188</v>
      </c>
      <c r="BX826" s="476" t="s">
        <v>1188</v>
      </c>
      <c r="BY826" s="476" t="s">
        <v>1188</v>
      </c>
      <c r="BZ826" s="476" t="s">
        <v>1188</v>
      </c>
      <c r="CA826" s="476" t="s">
        <v>1188</v>
      </c>
      <c r="CB826" s="476" t="s">
        <v>1188</v>
      </c>
      <c r="CC826" s="476" t="s">
        <v>1188</v>
      </c>
      <c r="CD826" s="476" t="s">
        <v>1188</v>
      </c>
      <c r="CE826" s="476" t="s">
        <v>1187</v>
      </c>
      <c r="CF826" s="476" t="s">
        <v>1187</v>
      </c>
      <c r="CG826" s="476" t="s">
        <v>1187</v>
      </c>
      <c r="CH826" s="476" t="s">
        <v>1187</v>
      </c>
      <c r="CI826" s="476" t="s">
        <v>1187</v>
      </c>
      <c r="CJ826" s="476" t="s">
        <v>1187</v>
      </c>
      <c r="CK826" s="476" t="s">
        <v>1187</v>
      </c>
      <c r="CL826" s="476" t="s">
        <v>1187</v>
      </c>
      <c r="CM826" s="476" t="str">
        <f>IF(VLOOKUP(BS826,'Données par municipalité'!$B$6:$E$1113,4,FALSE)="","non","oui")</f>
        <v>non</v>
      </c>
      <c r="CN826" s="410" t="s">
        <v>1124</v>
      </c>
      <c r="CO826" s="410" t="s">
        <v>1124</v>
      </c>
      <c r="CP826" s="410"/>
      <c r="CQ826" s="410"/>
      <c r="CR826" s="410"/>
      <c r="CS826" s="410" t="s">
        <v>1124</v>
      </c>
      <c r="CT826" s="410"/>
      <c r="CU826" s="410" t="s">
        <v>1124</v>
      </c>
      <c r="CV826" s="410" t="str">
        <f>IF(VLOOKUP(BS826,'Données par municipalité'!$B$6:$F$1113,4,FALSE)="","",VLOOKUP(BS826,'Données par municipalité'!$B$6:$F$1113,4,FALSE))</f>
        <v/>
      </c>
      <c r="CW826" s="476" t="s">
        <v>4723</v>
      </c>
      <c r="CX826" s="483" t="s">
        <v>1124</v>
      </c>
      <c r="CY826" s="483" t="s">
        <v>1124</v>
      </c>
      <c r="CZ826" s="483" t="s">
        <v>1124</v>
      </c>
      <c r="DA826" s="483" t="s">
        <v>1124</v>
      </c>
      <c r="DB826" s="483" t="s">
        <v>1124</v>
      </c>
      <c r="DC826" s="483" t="s">
        <v>1124</v>
      </c>
      <c r="DD826" s="483" t="s">
        <v>1124</v>
      </c>
      <c r="DE826" s="483" t="str">
        <f>IFERROR(SUM(VLOOKUP($BS826,'État &amp; Plan d''action'!$B$6:$Z$1113,18,FALSE),VLOOKUP($BS826,'État &amp; Plan d''action'!$B$6:$Z$1113,20,FALSE))/(VLOOKUP($BS826,'Données par municipalité'!$B$4:$L$1113,11,FALSE)),"")</f>
        <v/>
      </c>
      <c r="DF826" s="483" t="str">
        <f>IFERROR(SUM(VLOOKUP($BS826,'État &amp; Plan d''action'!$B$6:$Z$1113,19,FALSE),VLOOKUP($BS826,'État &amp; Plan d''action'!$B$6:$Z$1113,21,FALSE))/(VLOOKUP($BS826,'Données par municipalité'!$B$4:$L$1113,11,FALSE)),"")</f>
        <v/>
      </c>
      <c r="DG826" s="476" t="s">
        <v>4723</v>
      </c>
      <c r="DH826" s="484" t="s">
        <v>1124</v>
      </c>
      <c r="DI826" s="484" t="s">
        <v>1124</v>
      </c>
      <c r="DJ826" s="484">
        <v>0</v>
      </c>
      <c r="DK826" s="484">
        <v>0</v>
      </c>
      <c r="DL826" s="484" t="s">
        <v>1124</v>
      </c>
      <c r="DM826" s="484" t="s">
        <v>1124</v>
      </c>
      <c r="DN826" s="484" t="s">
        <v>1124</v>
      </c>
      <c r="DO826" s="484" t="s">
        <v>1124</v>
      </c>
      <c r="DP826" s="484" t="s">
        <v>1124</v>
      </c>
      <c r="DQ826" s="484" t="str">
        <f>IF(VLOOKUP($BS826,'État &amp; Plan d''action'!$B$6:$AJ$1113,28,FALSE)="","",VLOOKUP($BS826,'État &amp; Plan d''action'!$B$6:$AJ$1113,28,FALSE))</f>
        <v/>
      </c>
      <c r="DR826" s="70" t="str">
        <f>IF(VLOOKUP($BS826,'État &amp; Plan d''action'!$B$6:$AJ$1113,29,FALSE)="","",VLOOKUP($BS826,'État &amp; Plan d''action'!$B$6:$AJ$1113,29,FALSE))</f>
        <v/>
      </c>
      <c r="DS826" s="70" t="str">
        <f>IF(VLOOKUP($BS826,'État &amp; Plan d''action'!$B$6:$AJ$1113,30,FALSE)="","",VLOOKUP($BS826,'État &amp; Plan d''action'!$B$6:$AJ$1113,30,FALSE))</f>
        <v/>
      </c>
      <c r="DT826" s="70" t="s">
        <v>1124</v>
      </c>
      <c r="DU826" s="485" t="s">
        <v>1124</v>
      </c>
      <c r="DV826" s="485" t="s">
        <v>1124</v>
      </c>
      <c r="DW826" s="70" t="s">
        <v>1124</v>
      </c>
      <c r="DX826" s="70" t="s">
        <v>1124</v>
      </c>
      <c r="DY826" s="70" t="s">
        <v>1124</v>
      </c>
      <c r="DZ826" s="70" t="str">
        <f>VLOOKUP($BS826,'État &amp; Plan d''action'!$B$6:$AH$1113,31,FALSE)</f>
        <v/>
      </c>
      <c r="EA826" s="70" t="str">
        <f>VLOOKUP($BS826,'État &amp; Plan d''action'!$B$6:$AH$1113,32,FALSE)</f>
        <v/>
      </c>
      <c r="EB826" s="70" t="str">
        <f>VLOOKUP($BS826,'État &amp; Plan d''action'!$B$6:$AH$1113,33,FALSE)</f>
        <v/>
      </c>
      <c r="EC826" s="70" t="s">
        <v>1124</v>
      </c>
      <c r="ED826" s="70" t="s">
        <v>1124</v>
      </c>
      <c r="EE826" s="70" t="s">
        <v>1124</v>
      </c>
      <c r="EF826" s="70" t="s">
        <v>1124</v>
      </c>
      <c r="EG826" s="70" t="s">
        <v>1124</v>
      </c>
      <c r="EH826" s="72"/>
      <c r="EI826" s="72">
        <v>114</v>
      </c>
    </row>
    <row r="827" spans="71:139" x14ac:dyDescent="0.35">
      <c r="BS827" s="486">
        <v>16050</v>
      </c>
      <c r="BT827" s="479" t="s">
        <v>88</v>
      </c>
      <c r="BU827" s="479">
        <v>3</v>
      </c>
      <c r="BV827" s="476" t="s">
        <v>1187</v>
      </c>
      <c r="BW827" s="476" t="s">
        <v>1187</v>
      </c>
      <c r="BX827" s="476" t="s">
        <v>1187</v>
      </c>
      <c r="BY827" s="476" t="s">
        <v>1187</v>
      </c>
      <c r="BZ827" s="476" t="s">
        <v>1187</v>
      </c>
      <c r="CA827" s="476" t="s">
        <v>1187</v>
      </c>
      <c r="CB827" s="476" t="s">
        <v>1187</v>
      </c>
      <c r="CC827" s="476" t="s">
        <v>1187</v>
      </c>
      <c r="CD827" s="476" t="s">
        <v>1187</v>
      </c>
      <c r="CE827" s="476" t="s">
        <v>1188</v>
      </c>
      <c r="CF827" s="476" t="s">
        <v>1188</v>
      </c>
      <c r="CG827" s="476" t="s">
        <v>1188</v>
      </c>
      <c r="CH827" s="476" t="s">
        <v>1188</v>
      </c>
      <c r="CI827" s="476" t="s">
        <v>1187</v>
      </c>
      <c r="CJ827" s="476" t="s">
        <v>1188</v>
      </c>
      <c r="CK827" s="476" t="s">
        <v>1188</v>
      </c>
      <c r="CL827" s="476" t="s">
        <v>1188</v>
      </c>
      <c r="CM827" s="476" t="str">
        <f>IF(VLOOKUP(BS827,'Données par municipalité'!$B$6:$E$1113,4,FALSE)="","non","oui")</f>
        <v>oui</v>
      </c>
      <c r="CN827" s="410">
        <v>374.79986635482788</v>
      </c>
      <c r="CO827" s="410">
        <v>165.18956678496988</v>
      </c>
      <c r="CP827" s="410">
        <v>280.80844560919331</v>
      </c>
      <c r="CQ827" s="410">
        <v>315.65736248296832</v>
      </c>
      <c r="CR827" s="410"/>
      <c r="CS827" s="410">
        <v>267.3775104281163</v>
      </c>
      <c r="CT827" s="410">
        <v>290.39977164836813</v>
      </c>
      <c r="CU827" s="410">
        <v>299</v>
      </c>
      <c r="CV827" s="410">
        <f>IF(VLOOKUP(BS827,'Données par municipalité'!$B$6:$F$1113,4,FALSE)="","",VLOOKUP(BS827,'Données par municipalité'!$B$6:$F$1113,4,FALSE))</f>
        <v>324</v>
      </c>
      <c r="CW827" s="476" t="s">
        <v>4723</v>
      </c>
      <c r="CX827" s="483">
        <v>1</v>
      </c>
      <c r="CY827" s="483">
        <v>0</v>
      </c>
      <c r="CZ827" s="483">
        <v>1</v>
      </c>
      <c r="DA827" s="483" t="s">
        <v>1124</v>
      </c>
      <c r="DB827" s="483">
        <v>0</v>
      </c>
      <c r="DC827" s="483">
        <v>0</v>
      </c>
      <c r="DD827" s="483">
        <v>0.84388185654008441</v>
      </c>
      <c r="DE827" s="483">
        <f>IFERROR(SUM(VLOOKUP($BS827,'État &amp; Plan d''action'!$B$6:$Z$1113,18,FALSE),VLOOKUP($BS827,'État &amp; Plan d''action'!$B$6:$Z$1113,20,FALSE))/(VLOOKUP($BS827,'Données par municipalité'!$B$4:$L$1113,11,FALSE)),"")</f>
        <v>0.90320121951219512</v>
      </c>
      <c r="DF827" s="483">
        <f>IFERROR(SUM(VLOOKUP($BS827,'État &amp; Plan d''action'!$B$6:$Z$1113,19,FALSE),VLOOKUP($BS827,'État &amp; Plan d''action'!$B$6:$Z$1113,21,FALSE))/(VLOOKUP($BS827,'Données par municipalité'!$B$4:$L$1113,11,FALSE)),"")</f>
        <v>0.90320121951219512</v>
      </c>
      <c r="DG827" s="476" t="s">
        <v>4723</v>
      </c>
      <c r="DH827" s="484">
        <v>0</v>
      </c>
      <c r="DI827" s="484">
        <v>1</v>
      </c>
      <c r="DJ827" s="484">
        <v>1</v>
      </c>
      <c r="DK827" s="484">
        <v>0</v>
      </c>
      <c r="DL827" s="484">
        <v>1</v>
      </c>
      <c r="DM827" s="484">
        <v>1</v>
      </c>
      <c r="DN827" s="484">
        <v>0</v>
      </c>
      <c r="DO827" s="484">
        <v>1</v>
      </c>
      <c r="DP827" s="484">
        <v>1</v>
      </c>
      <c r="DQ827" s="484">
        <f>IF(VLOOKUP($BS827,'État &amp; Plan d''action'!$B$6:$AJ$1113,28,FALSE)="","",VLOOKUP($BS827,'État &amp; Plan d''action'!$B$6:$AJ$1113,28,FALSE))</f>
        <v>0</v>
      </c>
      <c r="DR827" s="70">
        <f>IF(VLOOKUP($BS827,'État &amp; Plan d''action'!$B$6:$AJ$1113,29,FALSE)="","",VLOOKUP($BS827,'État &amp; Plan d''action'!$B$6:$AJ$1113,29,FALSE))</f>
        <v>1</v>
      </c>
      <c r="DS827" s="70">
        <f>IF(VLOOKUP($BS827,'État &amp; Plan d''action'!$B$6:$AJ$1113,30,FALSE)="","",VLOOKUP($BS827,'État &amp; Plan d''action'!$B$6:$AJ$1113,30,FALSE))</f>
        <v>0</v>
      </c>
      <c r="DT827" s="70">
        <v>231</v>
      </c>
      <c r="DU827" s="485">
        <v>0.79132495816200576</v>
      </c>
      <c r="DV827" s="485">
        <v>0.9856691009265397</v>
      </c>
      <c r="DW827" s="70">
        <v>0</v>
      </c>
      <c r="DX827" s="70">
        <v>1</v>
      </c>
      <c r="DY827" s="70">
        <v>20</v>
      </c>
      <c r="DZ827" s="70">
        <f>VLOOKUP($BS827,'État &amp; Plan d''action'!$B$6:$AH$1113,31,FALSE)</f>
        <v>0</v>
      </c>
      <c r="EA827" s="70">
        <f>VLOOKUP($BS827,'État &amp; Plan d''action'!$B$6:$AH$1113,32,FALSE)</f>
        <v>5</v>
      </c>
      <c r="EB827" s="70">
        <f>VLOOKUP($BS827,'État &amp; Plan d''action'!$B$6:$AH$1113,33,FALSE)</f>
        <v>0</v>
      </c>
      <c r="EC827" s="70">
        <v>0</v>
      </c>
      <c r="ED827" s="70">
        <v>5</v>
      </c>
      <c r="EE827" s="70">
        <v>0</v>
      </c>
      <c r="EF827" s="70">
        <v>0</v>
      </c>
      <c r="EG827" s="70">
        <v>0</v>
      </c>
      <c r="EH827" s="72">
        <v>58</v>
      </c>
      <c r="EI827" s="72">
        <v>1109</v>
      </c>
    </row>
    <row r="828" spans="71:139" x14ac:dyDescent="0.35">
      <c r="BS828" s="486">
        <v>75045</v>
      </c>
      <c r="BT828" s="479" t="s">
        <v>746</v>
      </c>
      <c r="BU828" s="479">
        <v>15</v>
      </c>
      <c r="BV828" s="476" t="s">
        <v>1187</v>
      </c>
      <c r="BW828" s="476" t="s">
        <v>1187</v>
      </c>
      <c r="BX828" s="476" t="s">
        <v>1187</v>
      </c>
      <c r="BY828" s="476" t="s">
        <v>1187</v>
      </c>
      <c r="BZ828" s="476" t="s">
        <v>1187</v>
      </c>
      <c r="CA828" s="476" t="s">
        <v>1187</v>
      </c>
      <c r="CB828" s="476" t="s">
        <v>1187</v>
      </c>
      <c r="CC828" s="476" t="s">
        <v>1187</v>
      </c>
      <c r="CD828" s="476" t="s">
        <v>1187</v>
      </c>
      <c r="CE828" s="476" t="s">
        <v>1188</v>
      </c>
      <c r="CF828" s="476" t="s">
        <v>1188</v>
      </c>
      <c r="CG828" s="476" t="s">
        <v>1188</v>
      </c>
      <c r="CH828" s="476" t="s">
        <v>1188</v>
      </c>
      <c r="CI828" s="476" t="s">
        <v>1188</v>
      </c>
      <c r="CJ828" s="476" t="s">
        <v>1188</v>
      </c>
      <c r="CK828" s="476" t="s">
        <v>1188</v>
      </c>
      <c r="CL828" s="476" t="s">
        <v>1188</v>
      </c>
      <c r="CM828" s="476" t="str">
        <f>IF(VLOOKUP(BS828,'Données par municipalité'!$B$6:$E$1113,4,FALSE)="","non","oui")</f>
        <v>oui</v>
      </c>
      <c r="CN828" s="410">
        <v>320.32506549535339</v>
      </c>
      <c r="CO828" s="410">
        <v>600.45813302281908</v>
      </c>
      <c r="CP828" s="410">
        <v>507.84042460824139</v>
      </c>
      <c r="CQ828" s="410">
        <v>541.3481495673276</v>
      </c>
      <c r="CR828" s="410">
        <v>616.41479096764135</v>
      </c>
      <c r="CS828" s="410">
        <v>460.29474524973858</v>
      </c>
      <c r="CT828" s="410">
        <v>233.33138890509244</v>
      </c>
      <c r="CU828" s="410">
        <v>346</v>
      </c>
      <c r="CV828" s="410">
        <f>IF(VLOOKUP(BS828,'Données par municipalité'!$B$6:$F$1113,4,FALSE)="","",VLOOKUP(BS828,'Données par municipalité'!$B$6:$F$1113,4,FALSE))</f>
        <v>395</v>
      </c>
      <c r="CW828" s="476" t="s">
        <v>4723</v>
      </c>
      <c r="CX828" s="483">
        <v>1</v>
      </c>
      <c r="CY828" s="483">
        <v>0</v>
      </c>
      <c r="CZ828" s="483">
        <v>0.4</v>
      </c>
      <c r="DA828" s="483">
        <v>1</v>
      </c>
      <c r="DB828" s="483">
        <v>1</v>
      </c>
      <c r="DC828" s="483">
        <v>1</v>
      </c>
      <c r="DD828" s="483">
        <v>1</v>
      </c>
      <c r="DE828" s="483">
        <f>IFERROR(SUM(VLOOKUP($BS828,'État &amp; Plan d''action'!$B$6:$Z$1113,18,FALSE),VLOOKUP($BS828,'État &amp; Plan d''action'!$B$6:$Z$1113,20,FALSE))/(VLOOKUP($BS828,'Données par municipalité'!$B$4:$L$1113,11,FALSE)),"")</f>
        <v>1</v>
      </c>
      <c r="DF828" s="483">
        <f>IFERROR(SUM(VLOOKUP($BS828,'État &amp; Plan d''action'!$B$6:$Z$1113,19,FALSE),VLOOKUP($BS828,'État &amp; Plan d''action'!$B$6:$Z$1113,21,FALSE))/(VLOOKUP($BS828,'Données par municipalité'!$B$4:$L$1113,11,FALSE)),"")</f>
        <v>1</v>
      </c>
      <c r="DG828" s="476" t="s">
        <v>4723</v>
      </c>
      <c r="DH828" s="484">
        <v>0</v>
      </c>
      <c r="DI828" s="484">
        <v>0</v>
      </c>
      <c r="DJ828" s="484">
        <v>0</v>
      </c>
      <c r="DK828" s="484">
        <v>3</v>
      </c>
      <c r="DL828" s="484">
        <v>3</v>
      </c>
      <c r="DM828" s="484">
        <v>1</v>
      </c>
      <c r="DN828" s="484">
        <v>0</v>
      </c>
      <c r="DO828" s="484">
        <v>0</v>
      </c>
      <c r="DP828" s="484">
        <v>0</v>
      </c>
      <c r="DQ828" s="484">
        <f>IF(VLOOKUP($BS828,'État &amp; Plan d''action'!$B$6:$AJ$1113,28,FALSE)="","",VLOOKUP($BS828,'État &amp; Plan d''action'!$B$6:$AJ$1113,28,FALSE))</f>
        <v>1</v>
      </c>
      <c r="DR828" s="70">
        <f>IF(VLOOKUP($BS828,'État &amp; Plan d''action'!$B$6:$AJ$1113,29,FALSE)="","",VLOOKUP($BS828,'État &amp; Plan d''action'!$B$6:$AJ$1113,29,FALSE))</f>
        <v>0</v>
      </c>
      <c r="DS828" s="70">
        <f>IF(VLOOKUP($BS828,'État &amp; Plan d''action'!$B$6:$AJ$1113,30,FALSE)="","",VLOOKUP($BS828,'État &amp; Plan d''action'!$B$6:$AJ$1113,30,FALSE))</f>
        <v>0</v>
      </c>
      <c r="DT828" s="70">
        <v>297</v>
      </c>
      <c r="DU828" s="485">
        <v>0.75513016556228874</v>
      </c>
      <c r="DV828" s="485">
        <v>0.58291393869429242</v>
      </c>
      <c r="DW828" s="70">
        <v>0</v>
      </c>
      <c r="DX828" s="70">
        <v>0</v>
      </c>
      <c r="DY828" s="70">
        <v>0</v>
      </c>
      <c r="DZ828" s="70">
        <f>VLOOKUP($BS828,'État &amp; Plan d''action'!$B$6:$AH$1113,31,FALSE)</f>
        <v>2</v>
      </c>
      <c r="EA828" s="70">
        <f>VLOOKUP($BS828,'État &amp; Plan d''action'!$B$6:$AH$1113,32,FALSE)</f>
        <v>0</v>
      </c>
      <c r="EB828" s="70">
        <f>VLOOKUP($BS828,'État &amp; Plan d''action'!$B$6:$AH$1113,33,FALSE)</f>
        <v>0</v>
      </c>
      <c r="EC828" s="70">
        <v>3.8149999999999999</v>
      </c>
      <c r="ED828" s="70">
        <v>0</v>
      </c>
      <c r="EE828" s="70">
        <v>3.8149999999999999</v>
      </c>
      <c r="EF828" s="70">
        <v>0</v>
      </c>
      <c r="EG828" s="70">
        <v>0</v>
      </c>
      <c r="EH828" s="72">
        <v>62</v>
      </c>
      <c r="EI828" s="72">
        <v>9641</v>
      </c>
    </row>
    <row r="829" spans="71:139" x14ac:dyDescent="0.35">
      <c r="BS829" s="486">
        <v>94240</v>
      </c>
      <c r="BT829" s="479" t="s">
        <v>980</v>
      </c>
      <c r="BU829" s="479">
        <v>2</v>
      </c>
      <c r="BV829" s="476" t="s">
        <v>1187</v>
      </c>
      <c r="BW829" s="476" t="s">
        <v>1187</v>
      </c>
      <c r="BX829" s="476" t="s">
        <v>1187</v>
      </c>
      <c r="BY829" s="476" t="s">
        <v>1187</v>
      </c>
      <c r="BZ829" s="476" t="s">
        <v>1187</v>
      </c>
      <c r="CA829" s="476" t="s">
        <v>1187</v>
      </c>
      <c r="CB829" s="476" t="s">
        <v>1187</v>
      </c>
      <c r="CC829" s="476" t="s">
        <v>1187</v>
      </c>
      <c r="CD829" s="476" t="s">
        <v>1187</v>
      </c>
      <c r="CE829" s="476" t="s">
        <v>1188</v>
      </c>
      <c r="CF829" s="476" t="s">
        <v>1188</v>
      </c>
      <c r="CG829" s="476" t="s">
        <v>1188</v>
      </c>
      <c r="CH829" s="476" t="s">
        <v>1188</v>
      </c>
      <c r="CI829" s="476" t="s">
        <v>1188</v>
      </c>
      <c r="CJ829" s="476" t="s">
        <v>1188</v>
      </c>
      <c r="CK829" s="476" t="s">
        <v>1188</v>
      </c>
      <c r="CL829" s="476" t="s">
        <v>1188</v>
      </c>
      <c r="CM829" s="476" t="str">
        <f>IF(VLOOKUP(BS829,'Données par municipalité'!$B$6:$E$1113,4,FALSE)="","non","oui")</f>
        <v>oui</v>
      </c>
      <c r="CN829" s="410">
        <v>974.07911273903539</v>
      </c>
      <c r="CO829" s="410">
        <v>866.62456084008704</v>
      </c>
      <c r="CP829" s="410">
        <v>362.46595833283084</v>
      </c>
      <c r="CQ829" s="410">
        <v>370.33642563547727</v>
      </c>
      <c r="CR829" s="410">
        <v>327.08727362817314</v>
      </c>
      <c r="CS829" s="410">
        <v>372.87012557988533</v>
      </c>
      <c r="CT829" s="410">
        <v>311.18796403856851</v>
      </c>
      <c r="CU829" s="410">
        <v>346</v>
      </c>
      <c r="CV829" s="410">
        <f>IF(VLOOKUP(BS829,'Données par municipalité'!$B$6:$F$1113,4,FALSE)="","",VLOOKUP(BS829,'Données par municipalité'!$B$6:$F$1113,4,FALSE))</f>
        <v>377</v>
      </c>
      <c r="CW829" s="476" t="s">
        <v>4723</v>
      </c>
      <c r="CX829" s="483">
        <v>3.0000000000000001E-5</v>
      </c>
      <c r="CY829" s="483">
        <v>0.03</v>
      </c>
      <c r="CZ829" s="483">
        <v>0.75</v>
      </c>
      <c r="DA829" s="483">
        <v>0.75</v>
      </c>
      <c r="DB829" s="483">
        <v>0.75</v>
      </c>
      <c r="DC829" s="483">
        <v>1</v>
      </c>
      <c r="DD829" s="483">
        <v>1.0000024244363792</v>
      </c>
      <c r="DE829" s="483">
        <f>IFERROR(SUM(VLOOKUP($BS829,'État &amp; Plan d''action'!$B$6:$Z$1113,18,FALSE),VLOOKUP($BS829,'État &amp; Plan d''action'!$B$6:$Z$1113,20,FALSE))/(VLOOKUP($BS829,'Données par municipalité'!$B$4:$L$1113,11,FALSE)),"")</f>
        <v>0.99999568698845887</v>
      </c>
      <c r="DF829" s="483">
        <f>IFERROR(SUM(VLOOKUP($BS829,'État &amp; Plan d''action'!$B$6:$Z$1113,19,FALSE),VLOOKUP($BS829,'État &amp; Plan d''action'!$B$6:$Z$1113,21,FALSE))/(VLOOKUP($BS829,'Données par municipalité'!$B$4:$L$1113,11,FALSE)),"")</f>
        <v>0.99999568698845887</v>
      </c>
      <c r="DG829" s="476" t="s">
        <v>4723</v>
      </c>
      <c r="DH829" s="484">
        <v>2</v>
      </c>
      <c r="DI829" s="484">
        <v>2</v>
      </c>
      <c r="DJ829" s="484">
        <v>10</v>
      </c>
      <c r="DK829" s="484">
        <v>1</v>
      </c>
      <c r="DL829" s="484">
        <v>9</v>
      </c>
      <c r="DM829" s="484">
        <v>12</v>
      </c>
      <c r="DN829" s="484">
        <v>4</v>
      </c>
      <c r="DO829" s="484">
        <v>3</v>
      </c>
      <c r="DP829" s="484">
        <v>4</v>
      </c>
      <c r="DQ829" s="484">
        <f>IF(VLOOKUP($BS829,'État &amp; Plan d''action'!$B$6:$AJ$1113,28,FALSE)="","",VLOOKUP($BS829,'État &amp; Plan d''action'!$B$6:$AJ$1113,28,FALSE))</f>
        <v>6</v>
      </c>
      <c r="DR829" s="70">
        <f>IF(VLOOKUP($BS829,'État &amp; Plan d''action'!$B$6:$AJ$1113,29,FALSE)="","",VLOOKUP($BS829,'État &amp; Plan d''action'!$B$6:$AJ$1113,29,FALSE))</f>
        <v>5</v>
      </c>
      <c r="DS829" s="70">
        <f>IF(VLOOKUP($BS829,'État &amp; Plan d''action'!$B$6:$AJ$1113,30,FALSE)="","",VLOOKUP($BS829,'État &amp; Plan d''action'!$B$6:$AJ$1113,30,FALSE))</f>
        <v>4</v>
      </c>
      <c r="DT829" s="70">
        <v>255</v>
      </c>
      <c r="DU829" s="485">
        <v>0.88767976159230566</v>
      </c>
      <c r="DV829" s="485">
        <v>2.8785396014259481</v>
      </c>
      <c r="DW829" s="70">
        <v>1</v>
      </c>
      <c r="DX829" s="70">
        <v>4</v>
      </c>
      <c r="DY829" s="70">
        <v>12</v>
      </c>
      <c r="DZ829" s="70">
        <f>VLOOKUP($BS829,'État &amp; Plan d''action'!$B$6:$AH$1113,31,FALSE)</f>
        <v>2</v>
      </c>
      <c r="EA829" s="70">
        <f>VLOOKUP($BS829,'État &amp; Plan d''action'!$B$6:$AH$1113,32,FALSE)</f>
        <v>2</v>
      </c>
      <c r="EB829" s="70">
        <f>VLOOKUP($BS829,'État &amp; Plan d''action'!$B$6:$AH$1113,33,FALSE)</f>
        <v>10</v>
      </c>
      <c r="EC829" s="70">
        <v>103.117</v>
      </c>
      <c r="ED829" s="70">
        <v>0</v>
      </c>
      <c r="EE829" s="70">
        <v>103.117</v>
      </c>
      <c r="EF829" s="70">
        <v>0</v>
      </c>
      <c r="EG829" s="70">
        <v>0</v>
      </c>
      <c r="EH829" s="72">
        <v>60</v>
      </c>
      <c r="EI829" s="72">
        <v>5981</v>
      </c>
    </row>
    <row r="830" spans="71:139" x14ac:dyDescent="0.35">
      <c r="BS830" s="486">
        <v>29038</v>
      </c>
      <c r="BT830" s="479" t="s">
        <v>206</v>
      </c>
      <c r="BU830" s="479">
        <v>12</v>
      </c>
      <c r="BV830" s="476" t="s">
        <v>1187</v>
      </c>
      <c r="BW830" s="476" t="s">
        <v>1187</v>
      </c>
      <c r="BX830" s="476" t="s">
        <v>1187</v>
      </c>
      <c r="BY830" s="476" t="s">
        <v>1187</v>
      </c>
      <c r="BZ830" s="476" t="s">
        <v>1187</v>
      </c>
      <c r="CA830" s="476" t="s">
        <v>1187</v>
      </c>
      <c r="CB830" s="476" t="s">
        <v>1187</v>
      </c>
      <c r="CC830" s="476" t="s">
        <v>1187</v>
      </c>
      <c r="CD830" s="476" t="s">
        <v>1187</v>
      </c>
      <c r="CE830" s="476" t="s">
        <v>1188</v>
      </c>
      <c r="CF830" s="476" t="s">
        <v>1188</v>
      </c>
      <c r="CG830" s="476" t="s">
        <v>1188</v>
      </c>
      <c r="CH830" s="476" t="s">
        <v>1188</v>
      </c>
      <c r="CI830" s="476" t="s">
        <v>1188</v>
      </c>
      <c r="CJ830" s="476" t="s">
        <v>1188</v>
      </c>
      <c r="CK830" s="476" t="s">
        <v>1188</v>
      </c>
      <c r="CL830" s="476" t="s">
        <v>1188</v>
      </c>
      <c r="CM830" s="476" t="str">
        <f>IF(VLOOKUP(BS830,'Données par municipalité'!$B$6:$E$1113,4,FALSE)="","non","oui")</f>
        <v>oui</v>
      </c>
      <c r="CN830" s="410">
        <v>278.4189010895908</v>
      </c>
      <c r="CO830" s="410">
        <v>271.74361071220716</v>
      </c>
      <c r="CP830" s="410">
        <v>238.01174849297735</v>
      </c>
      <c r="CQ830" s="410">
        <v>271.15774319615053</v>
      </c>
      <c r="CR830" s="410">
        <v>300.86051451309879</v>
      </c>
      <c r="CS830" s="410">
        <v>316.44420056245281</v>
      </c>
      <c r="CT830" s="410">
        <v>406.86590510499121</v>
      </c>
      <c r="CU830" s="410">
        <v>314</v>
      </c>
      <c r="CV830" s="410">
        <f>IF(VLOOKUP(BS830,'Données par municipalité'!$B$6:$F$1113,4,FALSE)="","",VLOOKUP(BS830,'Données par municipalité'!$B$6:$F$1113,4,FALSE))</f>
        <v>328</v>
      </c>
      <c r="CW830" s="476" t="s">
        <v>4723</v>
      </c>
      <c r="CX830" s="483">
        <v>0.2</v>
      </c>
      <c r="CY830" s="483">
        <v>0</v>
      </c>
      <c r="CZ830" s="483">
        <v>0.1</v>
      </c>
      <c r="DA830" s="483">
        <v>0</v>
      </c>
      <c r="DB830" s="483">
        <v>0.06</v>
      </c>
      <c r="DC830" s="483">
        <v>0.1</v>
      </c>
      <c r="DD830" s="483">
        <v>0.3408606731998296</v>
      </c>
      <c r="DE830" s="483">
        <f>IFERROR(SUM(VLOOKUP($BS830,'État &amp; Plan d''action'!$B$6:$Z$1113,18,FALSE),VLOOKUP($BS830,'État &amp; Plan d''action'!$B$6:$Z$1113,20,FALSE))/(VLOOKUP($BS830,'Données par municipalité'!$B$4:$L$1113,11,FALSE)),"")</f>
        <v>0</v>
      </c>
      <c r="DF830" s="483">
        <f>IFERROR(SUM(VLOOKUP($BS830,'État &amp; Plan d''action'!$B$6:$Z$1113,19,FALSE),VLOOKUP($BS830,'État &amp; Plan d''action'!$B$6:$Z$1113,21,FALSE))/(VLOOKUP($BS830,'Données par municipalité'!$B$4:$L$1113,11,FALSE)),"")</f>
        <v>0</v>
      </c>
      <c r="DG830" s="476" t="s">
        <v>4723</v>
      </c>
      <c r="DH830" s="484">
        <v>3</v>
      </c>
      <c r="DI830" s="484">
        <v>3</v>
      </c>
      <c r="DJ830" s="484">
        <v>5</v>
      </c>
      <c r="DK830" s="484">
        <v>0</v>
      </c>
      <c r="DL830" s="484">
        <v>0</v>
      </c>
      <c r="DM830" s="484">
        <v>2</v>
      </c>
      <c r="DN830" s="484">
        <v>4</v>
      </c>
      <c r="DO830" s="484">
        <v>0</v>
      </c>
      <c r="DP830" s="484">
        <v>0</v>
      </c>
      <c r="DQ830" s="484">
        <f>IF(VLOOKUP($BS830,'État &amp; Plan d''action'!$B$6:$AJ$1113,28,FALSE)="","",VLOOKUP($BS830,'État &amp; Plan d''action'!$B$6:$AJ$1113,28,FALSE))</f>
        <v>0</v>
      </c>
      <c r="DR830" s="70">
        <f>IF(VLOOKUP($BS830,'État &amp; Plan d''action'!$B$6:$AJ$1113,29,FALSE)="","",VLOOKUP($BS830,'État &amp; Plan d''action'!$B$6:$AJ$1113,29,FALSE))</f>
        <v>0</v>
      </c>
      <c r="DS830" s="70">
        <f>IF(VLOOKUP($BS830,'État &amp; Plan d''action'!$B$6:$AJ$1113,30,FALSE)="","",VLOOKUP($BS830,'État &amp; Plan d''action'!$B$6:$AJ$1113,30,FALSE))</f>
        <v>0</v>
      </c>
      <c r="DT830" s="70">
        <v>232</v>
      </c>
      <c r="DU830" s="485">
        <v>1.5813487295631341</v>
      </c>
      <c r="DV830" s="485">
        <v>0.58282250956940529</v>
      </c>
      <c r="DW830" s="70">
        <v>1</v>
      </c>
      <c r="DX830" s="70">
        <v>0</v>
      </c>
      <c r="DY830" s="70">
        <v>0</v>
      </c>
      <c r="DZ830" s="70">
        <f>VLOOKUP($BS830,'État &amp; Plan d''action'!$B$6:$AH$1113,31,FALSE)</f>
        <v>0</v>
      </c>
      <c r="EA830" s="70">
        <f>VLOOKUP($BS830,'État &amp; Plan d''action'!$B$6:$AH$1113,32,FALSE)</f>
        <v>0</v>
      </c>
      <c r="EB830" s="70">
        <f>VLOOKUP($BS830,'État &amp; Plan d''action'!$B$6:$AH$1113,33,FALSE)</f>
        <v>0</v>
      </c>
      <c r="EC830" s="70">
        <v>0</v>
      </c>
      <c r="ED830" s="70">
        <v>3</v>
      </c>
      <c r="EE830" s="70">
        <v>1</v>
      </c>
      <c r="EF830" s="70">
        <v>0</v>
      </c>
      <c r="EG830" s="70">
        <v>0</v>
      </c>
      <c r="EH830" s="72">
        <v>70</v>
      </c>
      <c r="EI830" s="72">
        <v>1542</v>
      </c>
    </row>
    <row r="831" spans="71:139" x14ac:dyDescent="0.35">
      <c r="BS831" s="486">
        <v>13090</v>
      </c>
      <c r="BT831" s="479" t="s">
        <v>57</v>
      </c>
      <c r="BU831" s="479">
        <v>1</v>
      </c>
      <c r="BV831" s="476" t="s">
        <v>1188</v>
      </c>
      <c r="BW831" s="476" t="s">
        <v>1188</v>
      </c>
      <c r="BX831" s="476" t="s">
        <v>1188</v>
      </c>
      <c r="BY831" s="476" t="s">
        <v>1188</v>
      </c>
      <c r="BZ831" s="476" t="s">
        <v>1188</v>
      </c>
      <c r="CA831" s="476" t="s">
        <v>1188</v>
      </c>
      <c r="CB831" s="476" t="s">
        <v>1188</v>
      </c>
      <c r="CC831" s="476" t="s">
        <v>1188</v>
      </c>
      <c r="CD831" s="476" t="s">
        <v>1188</v>
      </c>
      <c r="CE831" s="476" t="s">
        <v>1187</v>
      </c>
      <c r="CF831" s="476" t="s">
        <v>1187</v>
      </c>
      <c r="CG831" s="476" t="s">
        <v>1187</v>
      </c>
      <c r="CH831" s="476" t="s">
        <v>1187</v>
      </c>
      <c r="CI831" s="476" t="s">
        <v>1187</v>
      </c>
      <c r="CJ831" s="476" t="s">
        <v>1187</v>
      </c>
      <c r="CK831" s="476" t="s">
        <v>1187</v>
      </c>
      <c r="CL831" s="476" t="s">
        <v>1187</v>
      </c>
      <c r="CM831" s="476" t="str">
        <f>IF(VLOOKUP(BS831,'Données par municipalité'!$B$6:$E$1113,4,FALSE)="","non","oui")</f>
        <v>non</v>
      </c>
      <c r="CN831" s="410" t="s">
        <v>1124</v>
      </c>
      <c r="CO831" s="410" t="s">
        <v>1124</v>
      </c>
      <c r="CP831" s="410"/>
      <c r="CQ831" s="410"/>
      <c r="CR831" s="410"/>
      <c r="CS831" s="410" t="s">
        <v>1124</v>
      </c>
      <c r="CT831" s="410"/>
      <c r="CU831" s="410" t="s">
        <v>1124</v>
      </c>
      <c r="CV831" s="410" t="str">
        <f>IF(VLOOKUP(BS831,'Données par municipalité'!$B$6:$F$1113,4,FALSE)="","",VLOOKUP(BS831,'Données par municipalité'!$B$6:$F$1113,4,FALSE))</f>
        <v/>
      </c>
      <c r="CW831" s="476" t="s">
        <v>4723</v>
      </c>
      <c r="CX831" s="483" t="s">
        <v>1124</v>
      </c>
      <c r="CY831" s="483" t="s">
        <v>1124</v>
      </c>
      <c r="CZ831" s="483" t="s">
        <v>1124</v>
      </c>
      <c r="DA831" s="483" t="s">
        <v>1124</v>
      </c>
      <c r="DB831" s="483" t="s">
        <v>1124</v>
      </c>
      <c r="DC831" s="483" t="s">
        <v>1124</v>
      </c>
      <c r="DD831" s="483" t="s">
        <v>1124</v>
      </c>
      <c r="DE831" s="483" t="str">
        <f>IFERROR(SUM(VLOOKUP($BS831,'État &amp; Plan d''action'!$B$6:$Z$1113,18,FALSE),VLOOKUP($BS831,'État &amp; Plan d''action'!$B$6:$Z$1113,20,FALSE))/(VLOOKUP($BS831,'Données par municipalité'!$B$4:$L$1113,11,FALSE)),"")</f>
        <v/>
      </c>
      <c r="DF831" s="483" t="str">
        <f>IFERROR(SUM(VLOOKUP($BS831,'État &amp; Plan d''action'!$B$6:$Z$1113,19,FALSE),VLOOKUP($BS831,'État &amp; Plan d''action'!$B$6:$Z$1113,21,FALSE))/(VLOOKUP($BS831,'Données par municipalité'!$B$4:$L$1113,11,FALSE)),"")</f>
        <v/>
      </c>
      <c r="DG831" s="476" t="s">
        <v>4723</v>
      </c>
      <c r="DH831" s="484" t="s">
        <v>1124</v>
      </c>
      <c r="DI831" s="484" t="s">
        <v>1124</v>
      </c>
      <c r="DJ831" s="484">
        <v>0</v>
      </c>
      <c r="DK831" s="484">
        <v>0</v>
      </c>
      <c r="DL831" s="484" t="s">
        <v>1124</v>
      </c>
      <c r="DM831" s="484" t="s">
        <v>1124</v>
      </c>
      <c r="DN831" s="484" t="s">
        <v>1124</v>
      </c>
      <c r="DO831" s="484" t="s">
        <v>1124</v>
      </c>
      <c r="DP831" s="484" t="s">
        <v>1124</v>
      </c>
      <c r="DQ831" s="484" t="str">
        <f>IF(VLOOKUP($BS831,'État &amp; Plan d''action'!$B$6:$AJ$1113,28,FALSE)="","",VLOOKUP($BS831,'État &amp; Plan d''action'!$B$6:$AJ$1113,28,FALSE))</f>
        <v/>
      </c>
      <c r="DR831" s="70" t="str">
        <f>IF(VLOOKUP($BS831,'État &amp; Plan d''action'!$B$6:$AJ$1113,29,FALSE)="","",VLOOKUP($BS831,'État &amp; Plan d''action'!$B$6:$AJ$1113,29,FALSE))</f>
        <v/>
      </c>
      <c r="DS831" s="70" t="str">
        <f>IF(VLOOKUP($BS831,'État &amp; Plan d''action'!$B$6:$AJ$1113,30,FALSE)="","",VLOOKUP($BS831,'État &amp; Plan d''action'!$B$6:$AJ$1113,30,FALSE))</f>
        <v/>
      </c>
      <c r="DT831" s="70" t="s">
        <v>1124</v>
      </c>
      <c r="DU831" s="485" t="s">
        <v>1124</v>
      </c>
      <c r="DV831" s="485" t="s">
        <v>1124</v>
      </c>
      <c r="DW831" s="70" t="s">
        <v>1124</v>
      </c>
      <c r="DX831" s="70" t="s">
        <v>1124</v>
      </c>
      <c r="DY831" s="70" t="s">
        <v>1124</v>
      </c>
      <c r="DZ831" s="70" t="str">
        <f>VLOOKUP($BS831,'État &amp; Plan d''action'!$B$6:$AH$1113,31,FALSE)</f>
        <v/>
      </c>
      <c r="EA831" s="70" t="str">
        <f>VLOOKUP($BS831,'État &amp; Plan d''action'!$B$6:$AH$1113,32,FALSE)</f>
        <v/>
      </c>
      <c r="EB831" s="70" t="str">
        <f>VLOOKUP($BS831,'État &amp; Plan d''action'!$B$6:$AH$1113,33,FALSE)</f>
        <v/>
      </c>
      <c r="EC831" s="70" t="s">
        <v>1124</v>
      </c>
      <c r="ED831" s="70" t="s">
        <v>1124</v>
      </c>
      <c r="EE831" s="70" t="s">
        <v>1124</v>
      </c>
      <c r="EF831" s="70" t="s">
        <v>1124</v>
      </c>
      <c r="EG831" s="70" t="s">
        <v>1124</v>
      </c>
      <c r="EH831" s="72"/>
      <c r="EI831" s="72">
        <v>751</v>
      </c>
    </row>
    <row r="832" spans="71:139" x14ac:dyDescent="0.35">
      <c r="BS832" s="486">
        <v>12010</v>
      </c>
      <c r="BT832" s="479" t="s">
        <v>29</v>
      </c>
      <c r="BU832" s="479">
        <v>1</v>
      </c>
      <c r="BV832" s="476" t="s">
        <v>1187</v>
      </c>
      <c r="BW832" s="476" t="s">
        <v>1187</v>
      </c>
      <c r="BX832" s="476" t="s">
        <v>1187</v>
      </c>
      <c r="BY832" s="476" t="s">
        <v>1187</v>
      </c>
      <c r="BZ832" s="476" t="s">
        <v>1187</v>
      </c>
      <c r="CA832" s="476" t="s">
        <v>1187</v>
      </c>
      <c r="CB832" s="476" t="s">
        <v>1187</v>
      </c>
      <c r="CC832" s="476" t="s">
        <v>1187</v>
      </c>
      <c r="CD832" s="476" t="s">
        <v>1187</v>
      </c>
      <c r="CE832" s="476" t="s">
        <v>1188</v>
      </c>
      <c r="CF832" s="476" t="s">
        <v>1188</v>
      </c>
      <c r="CG832" s="476" t="s">
        <v>1188</v>
      </c>
      <c r="CH832" s="476" t="s">
        <v>1188</v>
      </c>
      <c r="CI832" s="476" t="s">
        <v>1188</v>
      </c>
      <c r="CJ832" s="476" t="s">
        <v>1188</v>
      </c>
      <c r="CK832" s="476" t="s">
        <v>1188</v>
      </c>
      <c r="CL832" s="476" t="s">
        <v>1188</v>
      </c>
      <c r="CM832" s="476" t="str">
        <f>IF(VLOOKUP(BS832,'Données par municipalité'!$B$6:$E$1113,4,FALSE)="","non","oui")</f>
        <v>oui</v>
      </c>
      <c r="CN832" s="410">
        <v>415.76840160147827</v>
      </c>
      <c r="CO832" s="410">
        <v>436.85203776311619</v>
      </c>
      <c r="CP832" s="410">
        <v>321.09885629098085</v>
      </c>
      <c r="CQ832" s="410">
        <v>373.83530080171704</v>
      </c>
      <c r="CR832" s="410">
        <v>535.18265117292128</v>
      </c>
      <c r="CS832" s="410">
        <v>372.62728188462307</v>
      </c>
      <c r="CT832" s="410">
        <v>341.42634330977717</v>
      </c>
      <c r="CU832" s="410">
        <v>301</v>
      </c>
      <c r="CV832" s="410">
        <f>IF(VLOOKUP(BS832,'Données par municipalité'!$B$6:$F$1113,4,FALSE)="","",VLOOKUP(BS832,'Données par municipalité'!$B$6:$F$1113,4,FALSE))</f>
        <v>253</v>
      </c>
      <c r="CW832" s="476" t="s">
        <v>4723</v>
      </c>
      <c r="CX832" s="483">
        <v>1</v>
      </c>
      <c r="CY832" s="483">
        <v>0.5</v>
      </c>
      <c r="CZ832" s="483">
        <v>1</v>
      </c>
      <c r="DA832" s="483">
        <v>1</v>
      </c>
      <c r="DB832" s="483">
        <v>1</v>
      </c>
      <c r="DC832" s="483">
        <v>1</v>
      </c>
      <c r="DD832" s="483">
        <v>1.9238095238095236</v>
      </c>
      <c r="DE832" s="483">
        <f>IFERROR(SUM(VLOOKUP($BS832,'État &amp; Plan d''action'!$B$6:$Z$1113,18,FALSE),VLOOKUP($BS832,'État &amp; Plan d''action'!$B$6:$Z$1113,20,FALSE))/(VLOOKUP($BS832,'Données par municipalité'!$B$4:$L$1113,11,FALSE)),"")</f>
        <v>0.9760858955588092</v>
      </c>
      <c r="DF832" s="483">
        <f>IFERROR(SUM(VLOOKUP($BS832,'État &amp; Plan d''action'!$B$6:$Z$1113,19,FALSE),VLOOKUP($BS832,'État &amp; Plan d''action'!$B$6:$Z$1113,21,FALSE))/(VLOOKUP($BS832,'Données par municipalité'!$B$4:$L$1113,11,FALSE)),"")</f>
        <v>0.9760858955588092</v>
      </c>
      <c r="DG832" s="476" t="s">
        <v>4723</v>
      </c>
      <c r="DH832" s="484">
        <v>3</v>
      </c>
      <c r="DI832" s="484">
        <v>3</v>
      </c>
      <c r="DJ832" s="484">
        <v>2</v>
      </c>
      <c r="DK832" s="484">
        <v>4</v>
      </c>
      <c r="DL832" s="484">
        <v>2</v>
      </c>
      <c r="DM832" s="484">
        <v>2</v>
      </c>
      <c r="DN832" s="484">
        <v>3</v>
      </c>
      <c r="DO832" s="484">
        <v>0</v>
      </c>
      <c r="DP832" s="484">
        <v>1</v>
      </c>
      <c r="DQ832" s="484">
        <f>IF(VLOOKUP($BS832,'État &amp; Plan d''action'!$B$6:$AJ$1113,28,FALSE)="","",VLOOKUP($BS832,'État &amp; Plan d''action'!$B$6:$AJ$1113,28,FALSE))</f>
        <v>3</v>
      </c>
      <c r="DR832" s="70">
        <f>IF(VLOOKUP($BS832,'État &amp; Plan d''action'!$B$6:$AJ$1113,29,FALSE)="","",VLOOKUP($BS832,'État &amp; Plan d''action'!$B$6:$AJ$1113,29,FALSE))</f>
        <v>0</v>
      </c>
      <c r="DS832" s="70">
        <f>IF(VLOOKUP($BS832,'État &amp; Plan d''action'!$B$6:$AJ$1113,30,FALSE)="","",VLOOKUP($BS832,'État &amp; Plan d''action'!$B$6:$AJ$1113,30,FALSE))</f>
        <v>1</v>
      </c>
      <c r="DT832" s="70">
        <v>212</v>
      </c>
      <c r="DU832" s="485">
        <v>2.3423482085642067</v>
      </c>
      <c r="DV832" s="485">
        <v>1.4686573569308548</v>
      </c>
      <c r="DW832" s="70">
        <v>1</v>
      </c>
      <c r="DX832" s="70">
        <v>0</v>
      </c>
      <c r="DY832" s="70">
        <v>2</v>
      </c>
      <c r="DZ832" s="70">
        <f>VLOOKUP($BS832,'État &amp; Plan d''action'!$B$6:$AH$1113,31,FALSE)</f>
        <v>1</v>
      </c>
      <c r="EA832" s="70">
        <f>VLOOKUP($BS832,'État &amp; Plan d''action'!$B$6:$AH$1113,32,FALSE)</f>
        <v>0</v>
      </c>
      <c r="EB832" s="70">
        <f>VLOOKUP($BS832,'État &amp; Plan d''action'!$B$6:$AH$1113,33,FALSE)</f>
        <v>1</v>
      </c>
      <c r="EC832" s="70">
        <v>0</v>
      </c>
      <c r="ED832" s="70">
        <v>10.1</v>
      </c>
      <c r="EE832" s="70">
        <v>10.1</v>
      </c>
      <c r="EF832" s="70">
        <v>0</v>
      </c>
      <c r="EG832" s="70">
        <v>0</v>
      </c>
      <c r="EH832" s="72">
        <v>56.635135135135137</v>
      </c>
      <c r="EI832" s="72">
        <v>1335</v>
      </c>
    </row>
    <row r="833" spans="71:139" x14ac:dyDescent="0.35">
      <c r="BS833" s="486">
        <v>54100</v>
      </c>
      <c r="BT833" s="479" t="s">
        <v>553</v>
      </c>
      <c r="BU833" s="479">
        <v>16</v>
      </c>
      <c r="BV833" s="476" t="s">
        <v>1187</v>
      </c>
      <c r="BW833" s="476" t="s">
        <v>1187</v>
      </c>
      <c r="BX833" s="476" t="s">
        <v>1187</v>
      </c>
      <c r="BY833" s="476" t="s">
        <v>1187</v>
      </c>
      <c r="BZ833" s="476" t="s">
        <v>1187</v>
      </c>
      <c r="CA833" s="476" t="s">
        <v>1187</v>
      </c>
      <c r="CB833" s="476" t="s">
        <v>1187</v>
      </c>
      <c r="CC833" s="476" t="s">
        <v>1187</v>
      </c>
      <c r="CD833" s="476" t="s">
        <v>1187</v>
      </c>
      <c r="CE833" s="476" t="s">
        <v>1188</v>
      </c>
      <c r="CF833" s="476" t="s">
        <v>1188</v>
      </c>
      <c r="CG833" s="476" t="s">
        <v>1188</v>
      </c>
      <c r="CH833" s="476" t="s">
        <v>1188</v>
      </c>
      <c r="CI833" s="476" t="s">
        <v>1188</v>
      </c>
      <c r="CJ833" s="476" t="s">
        <v>1188</v>
      </c>
      <c r="CK833" s="476" t="s">
        <v>1188</v>
      </c>
      <c r="CL833" s="476" t="s">
        <v>1188</v>
      </c>
      <c r="CM833" s="476" t="str">
        <f>IF(VLOOKUP(BS833,'Données par municipalité'!$B$6:$E$1113,4,FALSE)="","non","oui")</f>
        <v>non</v>
      </c>
      <c r="CN833" s="410">
        <v>434.400841009695</v>
      </c>
      <c r="CO833" s="410">
        <v>473.68733665953903</v>
      </c>
      <c r="CP833" s="410">
        <v>565.43043925543861</v>
      </c>
      <c r="CQ833" s="410">
        <v>478.91617843046612</v>
      </c>
      <c r="CR833" s="410">
        <v>396.55687055560213</v>
      </c>
      <c r="CS833" s="410">
        <v>361.03884997904856</v>
      </c>
      <c r="CT833" s="410">
        <v>348.97743508167264</v>
      </c>
      <c r="CU833" s="410">
        <v>338</v>
      </c>
      <c r="CV833" s="410" t="str">
        <f>IF(VLOOKUP(BS833,'Données par municipalité'!$B$6:$F$1113,4,FALSE)="","",VLOOKUP(BS833,'Données par municipalité'!$B$6:$F$1113,4,FALSE))</f>
        <v/>
      </c>
      <c r="CW833" s="476" t="s">
        <v>4723</v>
      </c>
      <c r="CX833" s="483">
        <v>0.25</v>
      </c>
      <c r="CY833" s="483">
        <v>0.25</v>
      </c>
      <c r="CZ833" s="483">
        <v>0.25</v>
      </c>
      <c r="DA833" s="483">
        <v>0</v>
      </c>
      <c r="DB833" s="483">
        <v>0</v>
      </c>
      <c r="DC833" s="483">
        <v>0</v>
      </c>
      <c r="DD833" s="483">
        <v>0</v>
      </c>
      <c r="DE833" s="483" t="str">
        <f>IFERROR(SUM(VLOOKUP($BS833,'État &amp; Plan d''action'!$B$6:$Z$1113,18,FALSE),VLOOKUP($BS833,'État &amp; Plan d''action'!$B$6:$Z$1113,20,FALSE))/(VLOOKUP($BS833,'Données par municipalité'!$B$4:$L$1113,11,FALSE)),"")</f>
        <v/>
      </c>
      <c r="DF833" s="483" t="str">
        <f>IFERROR(SUM(VLOOKUP($BS833,'État &amp; Plan d''action'!$B$6:$Z$1113,19,FALSE),VLOOKUP($BS833,'État &amp; Plan d''action'!$B$6:$Z$1113,21,FALSE))/(VLOOKUP($BS833,'Données par municipalité'!$B$4:$L$1113,11,FALSE)),"")</f>
        <v/>
      </c>
      <c r="DG833" s="476" t="s">
        <v>4723</v>
      </c>
      <c r="DH833" s="484">
        <v>1</v>
      </c>
      <c r="DI833" s="484">
        <v>6</v>
      </c>
      <c r="DJ833" s="484">
        <v>5</v>
      </c>
      <c r="DK833" s="484">
        <v>3</v>
      </c>
      <c r="DL833" s="484">
        <v>4</v>
      </c>
      <c r="DM833" s="484">
        <v>2</v>
      </c>
      <c r="DN833" s="484">
        <v>0</v>
      </c>
      <c r="DO833" s="484">
        <v>0</v>
      </c>
      <c r="DP833" s="484">
        <v>1</v>
      </c>
      <c r="DQ833" s="484" t="str">
        <f>IF(VLOOKUP($BS833,'État &amp; Plan d''action'!$B$6:$AJ$1113,28,FALSE)="","",VLOOKUP($BS833,'État &amp; Plan d''action'!$B$6:$AJ$1113,28,FALSE))</f>
        <v/>
      </c>
      <c r="DR833" s="70" t="str">
        <f>IF(VLOOKUP($BS833,'État &amp; Plan d''action'!$B$6:$AJ$1113,29,FALSE)="","",VLOOKUP($BS833,'État &amp; Plan d''action'!$B$6:$AJ$1113,29,FALSE))</f>
        <v/>
      </c>
      <c r="DS833" s="70" t="str">
        <f>IF(VLOOKUP($BS833,'État &amp; Plan d''action'!$B$6:$AJ$1113,30,FALSE)="","",VLOOKUP($BS833,'État &amp; Plan d''action'!$B$6:$AJ$1113,30,FALSE))</f>
        <v/>
      </c>
      <c r="DT833" s="70">
        <v>293</v>
      </c>
      <c r="DU833" s="485">
        <v>0.23955030625832122</v>
      </c>
      <c r="DV833" s="485" t="s">
        <v>1124</v>
      </c>
      <c r="DW833" s="70">
        <v>0</v>
      </c>
      <c r="DX833" s="70">
        <v>0</v>
      </c>
      <c r="DY833" s="70">
        <v>30</v>
      </c>
      <c r="DZ833" s="70" t="str">
        <f>VLOOKUP($BS833,'État &amp; Plan d''action'!$B$6:$AH$1113,31,FALSE)</f>
        <v/>
      </c>
      <c r="EA833" s="70" t="str">
        <f>VLOOKUP($BS833,'État &amp; Plan d''action'!$B$6:$AH$1113,32,FALSE)</f>
        <v/>
      </c>
      <c r="EB833" s="70" t="str">
        <f>VLOOKUP($BS833,'État &amp; Plan d''action'!$B$6:$AH$1113,33,FALSE)</f>
        <v/>
      </c>
      <c r="EC833" s="70">
        <v>0</v>
      </c>
      <c r="ED833" s="70">
        <v>0</v>
      </c>
      <c r="EE833" s="70">
        <v>0</v>
      </c>
      <c r="EF833" s="70">
        <v>0</v>
      </c>
      <c r="EG833" s="70">
        <v>0</v>
      </c>
      <c r="EH833" s="72">
        <v>75</v>
      </c>
      <c r="EI833" s="72">
        <v>1318</v>
      </c>
    </row>
    <row r="834" spans="71:139" x14ac:dyDescent="0.35">
      <c r="BS834" s="486">
        <v>54048</v>
      </c>
      <c r="BT834" s="479" t="s">
        <v>547</v>
      </c>
      <c r="BU834" s="479">
        <v>16</v>
      </c>
      <c r="BV834" s="476" t="s">
        <v>1187</v>
      </c>
      <c r="BW834" s="476" t="s">
        <v>1187</v>
      </c>
      <c r="BX834" s="476" t="s">
        <v>1187</v>
      </c>
      <c r="BY834" s="476" t="s">
        <v>1187</v>
      </c>
      <c r="BZ834" s="476" t="s">
        <v>1187</v>
      </c>
      <c r="CA834" s="476" t="s">
        <v>1187</v>
      </c>
      <c r="CB834" s="476" t="s">
        <v>1187</v>
      </c>
      <c r="CC834" s="476" t="s">
        <v>1187</v>
      </c>
      <c r="CD834" s="476" t="s">
        <v>1187</v>
      </c>
      <c r="CE834" s="476" t="s">
        <v>1188</v>
      </c>
      <c r="CF834" s="476" t="s">
        <v>1188</v>
      </c>
      <c r="CG834" s="476" t="s">
        <v>1188</v>
      </c>
      <c r="CH834" s="476" t="s">
        <v>1188</v>
      </c>
      <c r="CI834" s="476" t="s">
        <v>1188</v>
      </c>
      <c r="CJ834" s="476" t="s">
        <v>1188</v>
      </c>
      <c r="CK834" s="476" t="s">
        <v>1188</v>
      </c>
      <c r="CL834" s="476" t="s">
        <v>1187</v>
      </c>
      <c r="CM834" s="476" t="str">
        <f>IF(VLOOKUP(BS834,'Données par municipalité'!$B$6:$E$1113,4,FALSE)="","non","oui")</f>
        <v>non</v>
      </c>
      <c r="CN834" s="410">
        <v>558.88437948833268</v>
      </c>
      <c r="CO834" s="410">
        <v>557.73003067366994</v>
      </c>
      <c r="CP834" s="410">
        <v>532.11777190217106</v>
      </c>
      <c r="CQ834" s="410">
        <v>519.15801101158331</v>
      </c>
      <c r="CR834" s="410">
        <v>539.05081504328712</v>
      </c>
      <c r="CS834" s="410">
        <v>542.82848974224987</v>
      </c>
      <c r="CT834" s="410">
        <v>521.40605170983974</v>
      </c>
      <c r="CU834" s="410" t="s">
        <v>1124</v>
      </c>
      <c r="CV834" s="410" t="str">
        <f>IF(VLOOKUP(BS834,'Données par municipalité'!$B$6:$F$1113,4,FALSE)="","",VLOOKUP(BS834,'Données par municipalité'!$B$6:$F$1113,4,FALSE))</f>
        <v/>
      </c>
      <c r="CW834" s="476" t="s">
        <v>4723</v>
      </c>
      <c r="CX834" s="483">
        <v>0.1</v>
      </c>
      <c r="CY834" s="483">
        <v>0.1</v>
      </c>
      <c r="CZ834" s="483">
        <v>0.56000000000000005</v>
      </c>
      <c r="DA834" s="483">
        <v>0.52</v>
      </c>
      <c r="DB834" s="483">
        <v>0.6</v>
      </c>
      <c r="DC834" s="483">
        <v>0.6</v>
      </c>
      <c r="DD834" s="483" t="s">
        <v>1124</v>
      </c>
      <c r="DE834" s="483" t="str">
        <f>IFERROR(SUM(VLOOKUP($BS834,'État &amp; Plan d''action'!$B$6:$Z$1113,18,FALSE),VLOOKUP($BS834,'État &amp; Plan d''action'!$B$6:$Z$1113,20,FALSE))/(VLOOKUP($BS834,'Données par municipalité'!$B$4:$L$1113,11,FALSE)),"")</f>
        <v/>
      </c>
      <c r="DF834" s="483" t="str">
        <f>IFERROR(SUM(VLOOKUP($BS834,'État &amp; Plan d''action'!$B$6:$Z$1113,19,FALSE),VLOOKUP($BS834,'État &amp; Plan d''action'!$B$6:$Z$1113,21,FALSE))/(VLOOKUP($BS834,'Données par municipalité'!$B$4:$L$1113,11,FALSE)),"")</f>
        <v/>
      </c>
      <c r="DG834" s="476" t="s">
        <v>4723</v>
      </c>
      <c r="DH834" s="484">
        <v>106</v>
      </c>
      <c r="DI834" s="484">
        <v>70</v>
      </c>
      <c r="DJ834" s="484">
        <v>78</v>
      </c>
      <c r="DK834" s="484">
        <v>112</v>
      </c>
      <c r="DL834" s="484">
        <v>75</v>
      </c>
      <c r="DM834" s="484">
        <v>61</v>
      </c>
      <c r="DN834" s="484" t="s">
        <v>1124</v>
      </c>
      <c r="DO834" s="484" t="s">
        <v>1124</v>
      </c>
      <c r="DP834" s="484" t="s">
        <v>1124</v>
      </c>
      <c r="DQ834" s="484" t="str">
        <f>IF(VLOOKUP($BS834,'État &amp; Plan d''action'!$B$6:$AJ$1113,28,FALSE)="","",VLOOKUP($BS834,'État &amp; Plan d''action'!$B$6:$AJ$1113,28,FALSE))</f>
        <v/>
      </c>
      <c r="DR834" s="70" t="str">
        <f>IF(VLOOKUP($BS834,'État &amp; Plan d''action'!$B$6:$AJ$1113,29,FALSE)="","",VLOOKUP($BS834,'État &amp; Plan d''action'!$B$6:$AJ$1113,29,FALSE))</f>
        <v/>
      </c>
      <c r="DS834" s="70" t="str">
        <f>IF(VLOOKUP($BS834,'État &amp; Plan d''action'!$B$6:$AJ$1113,30,FALSE)="","",VLOOKUP($BS834,'État &amp; Plan d''action'!$B$6:$AJ$1113,30,FALSE))</f>
        <v/>
      </c>
      <c r="DT834" s="70" t="s">
        <v>1124</v>
      </c>
      <c r="DU834" s="485" t="s">
        <v>1124</v>
      </c>
      <c r="DV834" s="485" t="s">
        <v>1124</v>
      </c>
      <c r="DW834" s="70" t="s">
        <v>1124</v>
      </c>
      <c r="DX834" s="70" t="s">
        <v>1124</v>
      </c>
      <c r="DY834" s="70" t="s">
        <v>1124</v>
      </c>
      <c r="DZ834" s="70" t="str">
        <f>VLOOKUP($BS834,'État &amp; Plan d''action'!$B$6:$AH$1113,31,FALSE)</f>
        <v/>
      </c>
      <c r="EA834" s="70" t="str">
        <f>VLOOKUP($BS834,'État &amp; Plan d''action'!$B$6:$AH$1113,32,FALSE)</f>
        <v/>
      </c>
      <c r="EB834" s="70" t="str">
        <f>VLOOKUP($BS834,'État &amp; Plan d''action'!$B$6:$AH$1113,33,FALSE)</f>
        <v/>
      </c>
      <c r="EC834" s="70" t="s">
        <v>1124</v>
      </c>
      <c r="ED834" s="70" t="s">
        <v>1124</v>
      </c>
      <c r="EE834" s="70" t="s">
        <v>1124</v>
      </c>
      <c r="EF834" s="70" t="s">
        <v>1124</v>
      </c>
      <c r="EG834" s="70" t="s">
        <v>1124</v>
      </c>
      <c r="EH834" s="72"/>
      <c r="EI834" s="72">
        <v>56348</v>
      </c>
    </row>
    <row r="835" spans="71:139" x14ac:dyDescent="0.35">
      <c r="BS835" s="486">
        <v>52045</v>
      </c>
      <c r="BT835" s="479" t="s">
        <v>520</v>
      </c>
      <c r="BU835" s="479">
        <v>14</v>
      </c>
      <c r="BV835" s="476" t="s">
        <v>1187</v>
      </c>
      <c r="BW835" s="476" t="s">
        <v>1187</v>
      </c>
      <c r="BX835" s="476" t="s">
        <v>1187</v>
      </c>
      <c r="BY835" s="476" t="s">
        <v>1187</v>
      </c>
      <c r="BZ835" s="476" t="s">
        <v>1187</v>
      </c>
      <c r="CA835" s="476" t="s">
        <v>1187</v>
      </c>
      <c r="CB835" s="476" t="s">
        <v>1187</v>
      </c>
      <c r="CC835" s="476" t="s">
        <v>1187</v>
      </c>
      <c r="CD835" s="476" t="s">
        <v>1187</v>
      </c>
      <c r="CE835" s="476" t="s">
        <v>1188</v>
      </c>
      <c r="CF835" s="476" t="s">
        <v>1188</v>
      </c>
      <c r="CG835" s="476" t="s">
        <v>1188</v>
      </c>
      <c r="CH835" s="476" t="s">
        <v>1188</v>
      </c>
      <c r="CI835" s="476" t="s">
        <v>1188</v>
      </c>
      <c r="CJ835" s="476" t="s">
        <v>1188</v>
      </c>
      <c r="CK835" s="476" t="s">
        <v>1188</v>
      </c>
      <c r="CL835" s="476" t="s">
        <v>1188</v>
      </c>
      <c r="CM835" s="476" t="str">
        <f>IF(VLOOKUP(BS835,'Données par municipalité'!$B$6:$E$1113,4,FALSE)="","non","oui")</f>
        <v>oui</v>
      </c>
      <c r="CN835" s="410">
        <v>420.56530214424953</v>
      </c>
      <c r="CO835" s="410">
        <v>490.05206338615761</v>
      </c>
      <c r="CP835" s="410">
        <v>379.63486826626502</v>
      </c>
      <c r="CQ835" s="410">
        <v>343.68019479944468</v>
      </c>
      <c r="CR835" s="410">
        <v>358.96560179347063</v>
      </c>
      <c r="CS835" s="410">
        <v>366.63667104070009</v>
      </c>
      <c r="CT835" s="410">
        <v>345.61099134870506</v>
      </c>
      <c r="CU835" s="410">
        <v>400</v>
      </c>
      <c r="CV835" s="410">
        <f>IF(VLOOKUP(BS835,'Données par municipalité'!$B$6:$F$1113,4,FALSE)="","",VLOOKUP(BS835,'Données par municipalité'!$B$6:$F$1113,4,FALSE))</f>
        <v>377</v>
      </c>
      <c r="CW835" s="476" t="s">
        <v>4723</v>
      </c>
      <c r="CX835" s="483">
        <v>0</v>
      </c>
      <c r="CY835" s="483">
        <v>0</v>
      </c>
      <c r="CZ835" s="483">
        <v>1</v>
      </c>
      <c r="DA835" s="483">
        <v>1</v>
      </c>
      <c r="DB835" s="483">
        <v>1</v>
      </c>
      <c r="DC835" s="483">
        <v>1</v>
      </c>
      <c r="DD835" s="483">
        <v>0.80090725806451613</v>
      </c>
      <c r="DE835" s="483">
        <f>IFERROR(SUM(VLOOKUP($BS835,'État &amp; Plan d''action'!$B$6:$Z$1113,18,FALSE),VLOOKUP($BS835,'État &amp; Plan d''action'!$B$6:$Z$1113,20,FALSE))/(VLOOKUP($BS835,'Données par municipalité'!$B$4:$L$1113,11,FALSE)),"")</f>
        <v>0.99999999999999989</v>
      </c>
      <c r="DF835" s="483">
        <f>IFERROR(SUM(VLOOKUP($BS835,'État &amp; Plan d''action'!$B$6:$Z$1113,19,FALSE),VLOOKUP($BS835,'État &amp; Plan d''action'!$B$6:$Z$1113,21,FALSE))/(VLOOKUP($BS835,'Données par municipalité'!$B$4:$L$1113,11,FALSE)),"")</f>
        <v>0.99999999999999989</v>
      </c>
      <c r="DG835" s="476" t="s">
        <v>4723</v>
      </c>
      <c r="DH835" s="484">
        <v>3</v>
      </c>
      <c r="DI835" s="484">
        <v>2</v>
      </c>
      <c r="DJ835" s="484">
        <v>1</v>
      </c>
      <c r="DK835" s="484">
        <v>0</v>
      </c>
      <c r="DL835" s="484">
        <v>2</v>
      </c>
      <c r="DM835" s="484">
        <v>3</v>
      </c>
      <c r="DN835" s="484">
        <v>12</v>
      </c>
      <c r="DO835" s="484">
        <v>0</v>
      </c>
      <c r="DP835" s="484">
        <v>2</v>
      </c>
      <c r="DQ835" s="484">
        <f>IF(VLOOKUP($BS835,'État &amp; Plan d''action'!$B$6:$AJ$1113,28,FALSE)="","",VLOOKUP($BS835,'État &amp; Plan d''action'!$B$6:$AJ$1113,28,FALSE))</f>
        <v>0</v>
      </c>
      <c r="DR835" s="70">
        <f>IF(VLOOKUP($BS835,'État &amp; Plan d''action'!$B$6:$AJ$1113,29,FALSE)="","",VLOOKUP($BS835,'État &amp; Plan d''action'!$B$6:$AJ$1113,29,FALSE))</f>
        <v>0</v>
      </c>
      <c r="DS835" s="70">
        <f>IF(VLOOKUP($BS835,'État &amp; Plan d''action'!$B$6:$AJ$1113,30,FALSE)="","",VLOOKUP($BS835,'État &amp; Plan d''action'!$B$6:$AJ$1113,30,FALSE))</f>
        <v>3</v>
      </c>
      <c r="DT835" s="70">
        <v>184</v>
      </c>
      <c r="DU835" s="485">
        <v>4.6511427150983584</v>
      </c>
      <c r="DV835" s="485">
        <v>4.0849422218735896</v>
      </c>
      <c r="DW835" s="70">
        <v>3</v>
      </c>
      <c r="DX835" s="70">
        <v>0</v>
      </c>
      <c r="DY835" s="70">
        <v>0</v>
      </c>
      <c r="DZ835" s="70">
        <f>VLOOKUP($BS835,'État &amp; Plan d''action'!$B$6:$AH$1113,31,FALSE)</f>
        <v>0</v>
      </c>
      <c r="EA835" s="70">
        <f>VLOOKUP($BS835,'État &amp; Plan d''action'!$B$6:$AH$1113,32,FALSE)</f>
        <v>0</v>
      </c>
      <c r="EB835" s="70">
        <f>VLOOKUP($BS835,'État &amp; Plan d''action'!$B$6:$AH$1113,33,FALSE)</f>
        <v>2</v>
      </c>
      <c r="EC835" s="70">
        <v>29.47</v>
      </c>
      <c r="ED835" s="70">
        <v>14.734999999999999</v>
      </c>
      <c r="EE835" s="70">
        <v>9.1</v>
      </c>
      <c r="EF835" s="70">
        <v>20.629000000000001</v>
      </c>
      <c r="EG835" s="70">
        <v>0</v>
      </c>
      <c r="EH835" s="72">
        <v>68.754549748148847</v>
      </c>
      <c r="EI835" s="72">
        <v>2060</v>
      </c>
    </row>
    <row r="836" spans="71:139" x14ac:dyDescent="0.35">
      <c r="BS836" s="486">
        <v>46095</v>
      </c>
      <c r="BT836" s="479" t="s">
        <v>444</v>
      </c>
      <c r="BU836" s="479">
        <v>5</v>
      </c>
      <c r="BV836" s="476" t="s">
        <v>1188</v>
      </c>
      <c r="BW836" s="476" t="s">
        <v>1188</v>
      </c>
      <c r="BX836" s="476" t="s">
        <v>1188</v>
      </c>
      <c r="BY836" s="476" t="s">
        <v>1188</v>
      </c>
      <c r="BZ836" s="476" t="s">
        <v>1188</v>
      </c>
      <c r="CA836" s="476" t="s">
        <v>1188</v>
      </c>
      <c r="CB836" s="476" t="s">
        <v>1188</v>
      </c>
      <c r="CC836" s="476" t="s">
        <v>1188</v>
      </c>
      <c r="CD836" s="476" t="s">
        <v>1188</v>
      </c>
      <c r="CE836" s="476" t="s">
        <v>1187</v>
      </c>
      <c r="CF836" s="476" t="s">
        <v>1187</v>
      </c>
      <c r="CG836" s="476" t="s">
        <v>1187</v>
      </c>
      <c r="CH836" s="476" t="s">
        <v>1187</v>
      </c>
      <c r="CI836" s="476" t="s">
        <v>1187</v>
      </c>
      <c r="CJ836" s="476" t="s">
        <v>1187</v>
      </c>
      <c r="CK836" s="476" t="s">
        <v>1187</v>
      </c>
      <c r="CL836" s="476" t="s">
        <v>1187</v>
      </c>
      <c r="CM836" s="476" t="str">
        <f>IF(VLOOKUP(BS836,'Données par municipalité'!$B$6:$E$1113,4,FALSE)="","non","oui")</f>
        <v>non</v>
      </c>
      <c r="CN836" s="410" t="s">
        <v>1124</v>
      </c>
      <c r="CO836" s="410" t="s">
        <v>1124</v>
      </c>
      <c r="CP836" s="410"/>
      <c r="CQ836" s="410"/>
      <c r="CR836" s="410"/>
      <c r="CS836" s="410" t="s">
        <v>1124</v>
      </c>
      <c r="CT836" s="410"/>
      <c r="CU836" s="410" t="s">
        <v>1124</v>
      </c>
      <c r="CV836" s="410" t="str">
        <f>IF(VLOOKUP(BS836,'Données par municipalité'!$B$6:$F$1113,4,FALSE)="","",VLOOKUP(BS836,'Données par municipalité'!$B$6:$F$1113,4,FALSE))</f>
        <v/>
      </c>
      <c r="CW836" s="476" t="s">
        <v>4723</v>
      </c>
      <c r="CX836" s="483" t="s">
        <v>1124</v>
      </c>
      <c r="CY836" s="483" t="s">
        <v>1124</v>
      </c>
      <c r="CZ836" s="483" t="s">
        <v>1124</v>
      </c>
      <c r="DA836" s="483" t="s">
        <v>1124</v>
      </c>
      <c r="DB836" s="483" t="s">
        <v>1124</v>
      </c>
      <c r="DC836" s="483" t="s">
        <v>1124</v>
      </c>
      <c r="DD836" s="483" t="s">
        <v>1124</v>
      </c>
      <c r="DE836" s="483" t="str">
        <f>IFERROR(SUM(VLOOKUP($BS836,'État &amp; Plan d''action'!$B$6:$Z$1113,18,FALSE),VLOOKUP($BS836,'État &amp; Plan d''action'!$B$6:$Z$1113,20,FALSE))/(VLOOKUP($BS836,'Données par municipalité'!$B$4:$L$1113,11,FALSE)),"")</f>
        <v/>
      </c>
      <c r="DF836" s="483" t="str">
        <f>IFERROR(SUM(VLOOKUP($BS836,'État &amp; Plan d''action'!$B$6:$Z$1113,19,FALSE),VLOOKUP($BS836,'État &amp; Plan d''action'!$B$6:$Z$1113,21,FALSE))/(VLOOKUP($BS836,'Données par municipalité'!$B$4:$L$1113,11,FALSE)),"")</f>
        <v/>
      </c>
      <c r="DG836" s="476" t="s">
        <v>4723</v>
      </c>
      <c r="DH836" s="484" t="s">
        <v>1124</v>
      </c>
      <c r="DI836" s="484" t="s">
        <v>1124</v>
      </c>
      <c r="DJ836" s="484">
        <v>0</v>
      </c>
      <c r="DK836" s="484">
        <v>0</v>
      </c>
      <c r="DL836" s="484" t="s">
        <v>1124</v>
      </c>
      <c r="DM836" s="484" t="s">
        <v>1124</v>
      </c>
      <c r="DN836" s="484" t="s">
        <v>1124</v>
      </c>
      <c r="DO836" s="484" t="s">
        <v>1124</v>
      </c>
      <c r="DP836" s="484" t="s">
        <v>1124</v>
      </c>
      <c r="DQ836" s="484" t="str">
        <f>IF(VLOOKUP($BS836,'État &amp; Plan d''action'!$B$6:$AJ$1113,28,FALSE)="","",VLOOKUP($BS836,'État &amp; Plan d''action'!$B$6:$AJ$1113,28,FALSE))</f>
        <v/>
      </c>
      <c r="DR836" s="70" t="str">
        <f>IF(VLOOKUP($BS836,'État &amp; Plan d''action'!$B$6:$AJ$1113,29,FALSE)="","",VLOOKUP($BS836,'État &amp; Plan d''action'!$B$6:$AJ$1113,29,FALSE))</f>
        <v/>
      </c>
      <c r="DS836" s="70" t="str">
        <f>IF(VLOOKUP($BS836,'État &amp; Plan d''action'!$B$6:$AJ$1113,30,FALSE)="","",VLOOKUP($BS836,'État &amp; Plan d''action'!$B$6:$AJ$1113,30,FALSE))</f>
        <v/>
      </c>
      <c r="DT836" s="70" t="s">
        <v>1124</v>
      </c>
      <c r="DU836" s="485" t="s">
        <v>1124</v>
      </c>
      <c r="DV836" s="485" t="s">
        <v>1124</v>
      </c>
      <c r="DW836" s="70" t="s">
        <v>1124</v>
      </c>
      <c r="DX836" s="70" t="s">
        <v>1124</v>
      </c>
      <c r="DY836" s="70" t="s">
        <v>1124</v>
      </c>
      <c r="DZ836" s="70" t="str">
        <f>VLOOKUP($BS836,'État &amp; Plan d''action'!$B$6:$AH$1113,31,FALSE)</f>
        <v/>
      </c>
      <c r="EA836" s="70" t="str">
        <f>VLOOKUP($BS836,'État &amp; Plan d''action'!$B$6:$AH$1113,32,FALSE)</f>
        <v/>
      </c>
      <c r="EB836" s="70" t="str">
        <f>VLOOKUP($BS836,'État &amp; Plan d''action'!$B$6:$AH$1113,33,FALSE)</f>
        <v/>
      </c>
      <c r="EC836" s="70" t="s">
        <v>1124</v>
      </c>
      <c r="ED836" s="70" t="s">
        <v>1124</v>
      </c>
      <c r="EE836" s="70" t="s">
        <v>1124</v>
      </c>
      <c r="EF836" s="70" t="s">
        <v>1124</v>
      </c>
      <c r="EG836" s="70" t="s">
        <v>1124</v>
      </c>
      <c r="EH836" s="72"/>
      <c r="EI836" s="72">
        <v>679</v>
      </c>
    </row>
    <row r="837" spans="71:139" x14ac:dyDescent="0.35">
      <c r="BS837" s="486">
        <v>15005</v>
      </c>
      <c r="BT837" s="479" t="s">
        <v>77</v>
      </c>
      <c r="BU837" s="479">
        <v>3</v>
      </c>
      <c r="BV837" s="476" t="s">
        <v>1187</v>
      </c>
      <c r="BW837" s="476" t="s">
        <v>1187</v>
      </c>
      <c r="BX837" s="476" t="s">
        <v>1187</v>
      </c>
      <c r="BY837" s="476" t="s">
        <v>1187</v>
      </c>
      <c r="BZ837" s="476" t="s">
        <v>1187</v>
      </c>
      <c r="CA837" s="476" t="s">
        <v>1187</v>
      </c>
      <c r="CB837" s="476" t="s">
        <v>1187</v>
      </c>
      <c r="CC837" s="476" t="s">
        <v>1187</v>
      </c>
      <c r="CD837" s="476" t="s">
        <v>1187</v>
      </c>
      <c r="CE837" s="476" t="s">
        <v>1188</v>
      </c>
      <c r="CF837" s="476" t="s">
        <v>1188</v>
      </c>
      <c r="CG837" s="476" t="s">
        <v>1188</v>
      </c>
      <c r="CH837" s="476" t="s">
        <v>1188</v>
      </c>
      <c r="CI837" s="476" t="s">
        <v>1188</v>
      </c>
      <c r="CJ837" s="476" t="s">
        <v>1188</v>
      </c>
      <c r="CK837" s="476" t="s">
        <v>1188</v>
      </c>
      <c r="CL837" s="476" t="s">
        <v>1188</v>
      </c>
      <c r="CM837" s="476" t="str">
        <f>IF(VLOOKUP(BS837,'Données par municipalité'!$B$6:$E$1113,4,FALSE)="","non","oui")</f>
        <v>oui</v>
      </c>
      <c r="CN837" s="410">
        <v>1105.7678011731341</v>
      </c>
      <c r="CO837" s="410">
        <v>1577.0681461507813</v>
      </c>
      <c r="CP837" s="410">
        <v>880.84914216644256</v>
      </c>
      <c r="CQ837" s="410">
        <v>888.5947096041707</v>
      </c>
      <c r="CR837" s="410">
        <v>971.5977365580826</v>
      </c>
      <c r="CS837" s="410">
        <v>588.79343809238446</v>
      </c>
      <c r="CT837" s="410">
        <v>534.56793947513108</v>
      </c>
      <c r="CU837" s="410">
        <v>532</v>
      </c>
      <c r="CV837" s="410">
        <f>IF(VLOOKUP(BS837,'Données par municipalité'!$B$6:$F$1113,4,FALSE)="","",VLOOKUP(BS837,'Données par municipalité'!$B$6:$F$1113,4,FALSE))</f>
        <v>685</v>
      </c>
      <c r="CW837" s="476" t="s">
        <v>4723</v>
      </c>
      <c r="CX837" s="483">
        <v>1</v>
      </c>
      <c r="CY837" s="483">
        <v>1</v>
      </c>
      <c r="CZ837" s="483">
        <v>1</v>
      </c>
      <c r="DA837" s="483">
        <v>1</v>
      </c>
      <c r="DB837" s="483">
        <v>1</v>
      </c>
      <c r="DC837" s="483">
        <v>1</v>
      </c>
      <c r="DD837" s="483">
        <v>1</v>
      </c>
      <c r="DE837" s="483">
        <f>IFERROR(SUM(VLOOKUP($BS837,'État &amp; Plan d''action'!$B$6:$Z$1113,18,FALSE),VLOOKUP($BS837,'État &amp; Plan d''action'!$B$6:$Z$1113,20,FALSE))/(VLOOKUP($BS837,'Données par municipalité'!$B$4:$L$1113,11,FALSE)),"")</f>
        <v>1</v>
      </c>
      <c r="DF837" s="483">
        <f>IFERROR(SUM(VLOOKUP($BS837,'État &amp; Plan d''action'!$B$6:$Z$1113,19,FALSE),VLOOKUP($BS837,'État &amp; Plan d''action'!$B$6:$Z$1113,21,FALSE))/(VLOOKUP($BS837,'Données par municipalité'!$B$4:$L$1113,11,FALSE)),"")</f>
        <v>1</v>
      </c>
      <c r="DG837" s="476" t="s">
        <v>4723</v>
      </c>
      <c r="DH837" s="484">
        <v>1</v>
      </c>
      <c r="DI837" s="484">
        <v>1</v>
      </c>
      <c r="DJ837" s="484">
        <v>5</v>
      </c>
      <c r="DK837" s="484">
        <v>6</v>
      </c>
      <c r="DL837" s="484">
        <v>5</v>
      </c>
      <c r="DM837" s="484">
        <v>5</v>
      </c>
      <c r="DN837" s="484">
        <v>0</v>
      </c>
      <c r="DO837" s="484">
        <v>0</v>
      </c>
      <c r="DP837" s="484">
        <v>1</v>
      </c>
      <c r="DQ837" s="484">
        <f>IF(VLOOKUP($BS837,'État &amp; Plan d''action'!$B$6:$AJ$1113,28,FALSE)="","",VLOOKUP($BS837,'État &amp; Plan d''action'!$B$6:$AJ$1113,28,FALSE))</f>
        <v>0</v>
      </c>
      <c r="DR837" s="70">
        <f>IF(VLOOKUP($BS837,'État &amp; Plan d''action'!$B$6:$AJ$1113,29,FALSE)="","",VLOOKUP($BS837,'État &amp; Plan d''action'!$B$6:$AJ$1113,29,FALSE))</f>
        <v>1</v>
      </c>
      <c r="DS837" s="70">
        <f>IF(VLOOKUP($BS837,'État &amp; Plan d''action'!$B$6:$AJ$1113,30,FALSE)="","",VLOOKUP($BS837,'État &amp; Plan d''action'!$B$6:$AJ$1113,30,FALSE))</f>
        <v>0</v>
      </c>
      <c r="DT837" s="70">
        <v>360</v>
      </c>
      <c r="DU837" s="485">
        <v>1.33778905200691</v>
      </c>
      <c r="DV837" s="485">
        <v>2.9249050042428548</v>
      </c>
      <c r="DW837" s="70">
        <v>0</v>
      </c>
      <c r="DX837" s="70">
        <v>0</v>
      </c>
      <c r="DY837" s="70">
        <v>5</v>
      </c>
      <c r="DZ837" s="70">
        <f>VLOOKUP($BS837,'État &amp; Plan d''action'!$B$6:$AH$1113,31,FALSE)</f>
        <v>0</v>
      </c>
      <c r="EA837" s="70">
        <f>VLOOKUP($BS837,'État &amp; Plan d''action'!$B$6:$AH$1113,32,FALSE)</f>
        <v>5</v>
      </c>
      <c r="EB837" s="70">
        <f>VLOOKUP($BS837,'État &amp; Plan d''action'!$B$6:$AH$1113,33,FALSE)</f>
        <v>0</v>
      </c>
      <c r="EC837" s="70">
        <v>0</v>
      </c>
      <c r="ED837" s="70">
        <v>5.96</v>
      </c>
      <c r="EE837" s="70">
        <v>0</v>
      </c>
      <c r="EF837" s="70">
        <v>0</v>
      </c>
      <c r="EG837" s="70">
        <v>0</v>
      </c>
      <c r="EH837" s="72">
        <v>60</v>
      </c>
      <c r="EI837" s="72">
        <v>682</v>
      </c>
    </row>
    <row r="838" spans="71:139" x14ac:dyDescent="0.35">
      <c r="BS838" s="486">
        <v>26063</v>
      </c>
      <c r="BT838" s="479" t="s">
        <v>176</v>
      </c>
      <c r="BU838" s="479">
        <v>12</v>
      </c>
      <c r="BV838" s="476" t="s">
        <v>1188</v>
      </c>
      <c r="BW838" s="476" t="s">
        <v>1188</v>
      </c>
      <c r="BX838" s="476" t="s">
        <v>1188</v>
      </c>
      <c r="BY838" s="476" t="s">
        <v>1188</v>
      </c>
      <c r="BZ838" s="476" t="s">
        <v>1188</v>
      </c>
      <c r="CA838" s="476" t="s">
        <v>1188</v>
      </c>
      <c r="CB838" s="476" t="s">
        <v>1188</v>
      </c>
      <c r="CC838" s="476" t="s">
        <v>1188</v>
      </c>
      <c r="CD838" s="476" t="s">
        <v>1187</v>
      </c>
      <c r="CE838" s="476" t="s">
        <v>1187</v>
      </c>
      <c r="CF838" s="476" t="s">
        <v>1187</v>
      </c>
      <c r="CG838" s="476" t="s">
        <v>1187</v>
      </c>
      <c r="CH838" s="476" t="s">
        <v>1187</v>
      </c>
      <c r="CI838" s="476" t="s">
        <v>1187</v>
      </c>
      <c r="CJ838" s="476" t="s">
        <v>1187</v>
      </c>
      <c r="CK838" s="476" t="s">
        <v>1187</v>
      </c>
      <c r="CL838" s="476" t="s">
        <v>1187</v>
      </c>
      <c r="CM838" s="476" t="str">
        <f>IF(VLOOKUP(BS838,'Données par municipalité'!$B$6:$E$1113,4,FALSE)="","non","oui")</f>
        <v>non</v>
      </c>
      <c r="CN838" s="410" t="s">
        <v>1124</v>
      </c>
      <c r="CO838" s="410" t="s">
        <v>1124</v>
      </c>
      <c r="CP838" s="410"/>
      <c r="CQ838" s="410"/>
      <c r="CR838" s="410"/>
      <c r="CS838" s="410" t="s">
        <v>1124</v>
      </c>
      <c r="CT838" s="410"/>
      <c r="CU838" s="410" t="s">
        <v>1124</v>
      </c>
      <c r="CV838" s="410" t="str">
        <f>IF(VLOOKUP(BS838,'Données par municipalité'!$B$6:$F$1113,4,FALSE)="","",VLOOKUP(BS838,'Données par municipalité'!$B$6:$F$1113,4,FALSE))</f>
        <v/>
      </c>
      <c r="CW838" s="476" t="s">
        <v>4723</v>
      </c>
      <c r="CX838" s="483" t="s">
        <v>1124</v>
      </c>
      <c r="CY838" s="483" t="s">
        <v>1124</v>
      </c>
      <c r="CZ838" s="483" t="s">
        <v>1124</v>
      </c>
      <c r="DA838" s="483" t="s">
        <v>1124</v>
      </c>
      <c r="DB838" s="483" t="s">
        <v>1124</v>
      </c>
      <c r="DC838" s="483" t="s">
        <v>1124</v>
      </c>
      <c r="DD838" s="483" t="s">
        <v>1124</v>
      </c>
      <c r="DE838" s="483" t="str">
        <f>IFERROR(SUM(VLOOKUP($BS838,'État &amp; Plan d''action'!$B$6:$Z$1113,18,FALSE),VLOOKUP($BS838,'État &amp; Plan d''action'!$B$6:$Z$1113,20,FALSE))/(VLOOKUP($BS838,'Données par municipalité'!$B$4:$L$1113,11,FALSE)),"")</f>
        <v/>
      </c>
      <c r="DF838" s="483" t="str">
        <f>IFERROR(SUM(VLOOKUP($BS838,'État &amp; Plan d''action'!$B$6:$Z$1113,19,FALSE),VLOOKUP($BS838,'État &amp; Plan d''action'!$B$6:$Z$1113,21,FALSE))/(VLOOKUP($BS838,'Données par municipalité'!$B$4:$L$1113,11,FALSE)),"")</f>
        <v/>
      </c>
      <c r="DG838" s="476" t="s">
        <v>4723</v>
      </c>
      <c r="DH838" s="484" t="s">
        <v>1124</v>
      </c>
      <c r="DI838" s="484" t="s">
        <v>1124</v>
      </c>
      <c r="DJ838" s="484">
        <v>0</v>
      </c>
      <c r="DK838" s="484">
        <v>0</v>
      </c>
      <c r="DL838" s="484" t="s">
        <v>1124</v>
      </c>
      <c r="DM838" s="484" t="s">
        <v>1124</v>
      </c>
      <c r="DN838" s="484" t="s">
        <v>1124</v>
      </c>
      <c r="DO838" s="484" t="s">
        <v>1124</v>
      </c>
      <c r="DP838" s="484" t="s">
        <v>1124</v>
      </c>
      <c r="DQ838" s="484" t="str">
        <f>IF(VLOOKUP($BS838,'État &amp; Plan d''action'!$B$6:$AJ$1113,28,FALSE)="","",VLOOKUP($BS838,'État &amp; Plan d''action'!$B$6:$AJ$1113,28,FALSE))</f>
        <v/>
      </c>
      <c r="DR838" s="70" t="str">
        <f>IF(VLOOKUP($BS838,'État &amp; Plan d''action'!$B$6:$AJ$1113,29,FALSE)="","",VLOOKUP($BS838,'État &amp; Plan d''action'!$B$6:$AJ$1113,29,FALSE))</f>
        <v/>
      </c>
      <c r="DS838" s="70" t="str">
        <f>IF(VLOOKUP($BS838,'État &amp; Plan d''action'!$B$6:$AJ$1113,30,FALSE)="","",VLOOKUP($BS838,'État &amp; Plan d''action'!$B$6:$AJ$1113,30,FALSE))</f>
        <v/>
      </c>
      <c r="DT838" s="70" t="s">
        <v>1124</v>
      </c>
      <c r="DU838" s="485" t="s">
        <v>1124</v>
      </c>
      <c r="DV838" s="485" t="s">
        <v>1124</v>
      </c>
      <c r="DW838" s="70" t="s">
        <v>1124</v>
      </c>
      <c r="DX838" s="70" t="s">
        <v>1124</v>
      </c>
      <c r="DY838" s="70" t="s">
        <v>1124</v>
      </c>
      <c r="DZ838" s="70" t="str">
        <f>VLOOKUP($BS838,'État &amp; Plan d''action'!$B$6:$AH$1113,31,FALSE)</f>
        <v/>
      </c>
      <c r="EA838" s="70" t="str">
        <f>VLOOKUP($BS838,'État &amp; Plan d''action'!$B$6:$AH$1113,32,FALSE)</f>
        <v/>
      </c>
      <c r="EB838" s="70" t="str">
        <f>VLOOKUP($BS838,'État &amp; Plan d''action'!$B$6:$AH$1113,33,FALSE)</f>
        <v/>
      </c>
      <c r="EC838" s="70" t="s">
        <v>1124</v>
      </c>
      <c r="ED838" s="70" t="s">
        <v>1124</v>
      </c>
      <c r="EE838" s="70" t="s">
        <v>1124</v>
      </c>
      <c r="EF838" s="70" t="s">
        <v>1124</v>
      </c>
      <c r="EG838" s="70" t="s">
        <v>1124</v>
      </c>
      <c r="EH838" s="72"/>
      <c r="EI838" s="72">
        <v>3065</v>
      </c>
    </row>
    <row r="839" spans="71:139" x14ac:dyDescent="0.35">
      <c r="BS839" s="486">
        <v>67040</v>
      </c>
      <c r="BT839" s="479" t="s">
        <v>669</v>
      </c>
      <c r="BU839" s="479">
        <v>16</v>
      </c>
      <c r="BV839" s="476" t="s">
        <v>1187</v>
      </c>
      <c r="BW839" s="476" t="s">
        <v>1187</v>
      </c>
      <c r="BX839" s="476" t="s">
        <v>1187</v>
      </c>
      <c r="BY839" s="476" t="s">
        <v>1187</v>
      </c>
      <c r="BZ839" s="476" t="s">
        <v>1187</v>
      </c>
      <c r="CA839" s="476" t="s">
        <v>1187</v>
      </c>
      <c r="CB839" s="476" t="s">
        <v>1187</v>
      </c>
      <c r="CC839" s="476" t="s">
        <v>1187</v>
      </c>
      <c r="CD839" s="476" t="s">
        <v>1187</v>
      </c>
      <c r="CE839" s="476" t="s">
        <v>1188</v>
      </c>
      <c r="CF839" s="476" t="s">
        <v>1188</v>
      </c>
      <c r="CG839" s="476" t="s">
        <v>1188</v>
      </c>
      <c r="CH839" s="476" t="s">
        <v>1188</v>
      </c>
      <c r="CI839" s="476" t="s">
        <v>1187</v>
      </c>
      <c r="CJ839" s="476" t="s">
        <v>1188</v>
      </c>
      <c r="CK839" s="476" t="s">
        <v>1188</v>
      </c>
      <c r="CL839" s="476" t="s">
        <v>1188</v>
      </c>
      <c r="CM839" s="476" t="str">
        <f>IF(VLOOKUP(BS839,'Données par municipalité'!$B$6:$E$1113,4,FALSE)="","non","oui")</f>
        <v>oui</v>
      </c>
      <c r="CN839" s="410">
        <v>439.46529249021341</v>
      </c>
      <c r="CO839" s="410">
        <v>342.20729410636989</v>
      </c>
      <c r="CP839" s="410">
        <v>288.21593203429984</v>
      </c>
      <c r="CQ839" s="410">
        <v>279.1512309756784</v>
      </c>
      <c r="CR839" s="410"/>
      <c r="CS839" s="410">
        <v>390.61910425277478</v>
      </c>
      <c r="CT839" s="410">
        <v>327.31061336888075</v>
      </c>
      <c r="CU839" s="410">
        <v>379</v>
      </c>
      <c r="CV839" s="410">
        <f>IF(VLOOKUP(BS839,'Données par municipalité'!$B$6:$F$1113,4,FALSE)="","",VLOOKUP(BS839,'Données par municipalité'!$B$6:$F$1113,4,FALSE))</f>
        <v>334</v>
      </c>
      <c r="CW839" s="476" t="s">
        <v>4723</v>
      </c>
      <c r="CX839" s="483">
        <v>0.02</v>
      </c>
      <c r="CY839" s="483">
        <v>0.1</v>
      </c>
      <c r="CZ839" s="483">
        <v>0.1</v>
      </c>
      <c r="DA839" s="483" t="s">
        <v>1124</v>
      </c>
      <c r="DB839" s="483">
        <v>1</v>
      </c>
      <c r="DC839" s="483">
        <v>1</v>
      </c>
      <c r="DD839" s="483">
        <v>1.1247401247401247</v>
      </c>
      <c r="DE839" s="483">
        <f>IFERROR(SUM(VLOOKUP($BS839,'État &amp; Plan d''action'!$B$6:$Z$1113,18,FALSE),VLOOKUP($BS839,'État &amp; Plan d''action'!$B$6:$Z$1113,20,FALSE))/(VLOOKUP($BS839,'Données par municipalité'!$B$4:$L$1113,11,FALSE)),"")</f>
        <v>0.89995500224988756</v>
      </c>
      <c r="DF839" s="483">
        <f>IFERROR(SUM(VLOOKUP($BS839,'État &amp; Plan d''action'!$B$6:$Z$1113,19,FALSE),VLOOKUP($BS839,'État &amp; Plan d''action'!$B$6:$Z$1113,21,FALSE))/(VLOOKUP($BS839,'Données par municipalité'!$B$4:$L$1113,11,FALSE)),"")</f>
        <v>0.89995500224988756</v>
      </c>
      <c r="DG839" s="476" t="s">
        <v>4723</v>
      </c>
      <c r="DH839" s="484">
        <v>2</v>
      </c>
      <c r="DI839" s="484" t="s">
        <v>1124</v>
      </c>
      <c r="DJ839" s="484">
        <v>4</v>
      </c>
      <c r="DK839" s="484">
        <v>3</v>
      </c>
      <c r="DL839" s="484">
        <v>3</v>
      </c>
      <c r="DM839" s="484">
        <v>2</v>
      </c>
      <c r="DN839" s="484">
        <v>0</v>
      </c>
      <c r="DO839" s="484">
        <v>2</v>
      </c>
      <c r="DP839" s="484">
        <v>1</v>
      </c>
      <c r="DQ839" s="484">
        <f>IF(VLOOKUP($BS839,'État &amp; Plan d''action'!$B$6:$AJ$1113,28,FALSE)="","",VLOOKUP($BS839,'État &amp; Plan d''action'!$B$6:$AJ$1113,28,FALSE))</f>
        <v>0</v>
      </c>
      <c r="DR839" s="70">
        <f>IF(VLOOKUP($BS839,'État &amp; Plan d''action'!$B$6:$AJ$1113,29,FALSE)="","",VLOOKUP($BS839,'État &amp; Plan d''action'!$B$6:$AJ$1113,29,FALSE))</f>
        <v>4</v>
      </c>
      <c r="DS839" s="70">
        <f>IF(VLOOKUP($BS839,'État &amp; Plan d''action'!$B$6:$AJ$1113,30,FALSE)="","",VLOOKUP($BS839,'État &amp; Plan d''action'!$B$6:$AJ$1113,30,FALSE))</f>
        <v>1</v>
      </c>
      <c r="DT839" s="70">
        <v>211</v>
      </c>
      <c r="DU839" s="485">
        <v>4.6486606369866177</v>
      </c>
      <c r="DV839" s="485">
        <v>4.397946878762375</v>
      </c>
      <c r="DW839" s="70">
        <v>0</v>
      </c>
      <c r="DX839" s="70">
        <v>7</v>
      </c>
      <c r="DY839" s="70">
        <v>7</v>
      </c>
      <c r="DZ839" s="70">
        <f>VLOOKUP($BS839,'État &amp; Plan d''action'!$B$6:$AH$1113,31,FALSE)</f>
        <v>0</v>
      </c>
      <c r="EA839" s="70">
        <f>VLOOKUP($BS839,'État &amp; Plan d''action'!$B$6:$AH$1113,32,FALSE)</f>
        <v>3</v>
      </c>
      <c r="EB839" s="70">
        <f>VLOOKUP($BS839,'État &amp; Plan d''action'!$B$6:$AH$1113,33,FALSE)</f>
        <v>3</v>
      </c>
      <c r="EC839" s="70">
        <v>0</v>
      </c>
      <c r="ED839" s="70">
        <v>12.025</v>
      </c>
      <c r="EE839" s="70">
        <v>1.5</v>
      </c>
      <c r="EF839" s="70">
        <v>0</v>
      </c>
      <c r="EG839" s="70">
        <v>0</v>
      </c>
      <c r="EH839" s="72">
        <v>71</v>
      </c>
      <c r="EI839" s="72">
        <v>2741</v>
      </c>
    </row>
    <row r="840" spans="71:139" x14ac:dyDescent="0.35">
      <c r="BS840" s="486">
        <v>41012</v>
      </c>
      <c r="BT840" s="479" t="s">
        <v>365</v>
      </c>
      <c r="BU840" s="479">
        <v>5</v>
      </c>
      <c r="BV840" s="476" t="s">
        <v>1187</v>
      </c>
      <c r="BW840" s="476" t="s">
        <v>1187</v>
      </c>
      <c r="BX840" s="476" t="s">
        <v>1187</v>
      </c>
      <c r="BY840" s="476" t="s">
        <v>1187</v>
      </c>
      <c r="BZ840" s="476" t="s">
        <v>1187</v>
      </c>
      <c r="CA840" s="476" t="s">
        <v>1187</v>
      </c>
      <c r="CB840" s="476" t="s">
        <v>1187</v>
      </c>
      <c r="CC840" s="476" t="s">
        <v>1187</v>
      </c>
      <c r="CD840" s="476" t="s">
        <v>1187</v>
      </c>
      <c r="CE840" s="476" t="s">
        <v>1188</v>
      </c>
      <c r="CF840" s="476" t="s">
        <v>1188</v>
      </c>
      <c r="CG840" s="476" t="s">
        <v>1188</v>
      </c>
      <c r="CH840" s="476" t="s">
        <v>1188</v>
      </c>
      <c r="CI840" s="476" t="s">
        <v>1188</v>
      </c>
      <c r="CJ840" s="476" t="s">
        <v>1188</v>
      </c>
      <c r="CK840" s="476" t="s">
        <v>1188</v>
      </c>
      <c r="CL840" s="476" t="s">
        <v>1188</v>
      </c>
      <c r="CM840" s="476" t="str">
        <f>IF(VLOOKUP(BS840,'Données par municipalité'!$B$6:$E$1113,4,FALSE)="","non","oui")</f>
        <v>oui</v>
      </c>
      <c r="CN840" s="410">
        <v>297.66950867384458</v>
      </c>
      <c r="CO840" s="410">
        <v>453.19346545287573</v>
      </c>
      <c r="CP840" s="410">
        <v>318.27698815929568</v>
      </c>
      <c r="CQ840" s="410">
        <v>354.59298720333726</v>
      </c>
      <c r="CR840" s="410">
        <v>552.33418819457472</v>
      </c>
      <c r="CS840" s="410">
        <v>459.64302973336095</v>
      </c>
      <c r="CT840" s="410">
        <v>445.44909940492835</v>
      </c>
      <c r="CU840" s="410">
        <v>491</v>
      </c>
      <c r="CV840" s="410">
        <f>IF(VLOOKUP(BS840,'Données par municipalité'!$B$6:$F$1113,4,FALSE)="","",VLOOKUP(BS840,'Données par municipalité'!$B$6:$F$1113,4,FALSE))</f>
        <v>484</v>
      </c>
      <c r="CW840" s="476" t="s">
        <v>4723</v>
      </c>
      <c r="CX840" s="483">
        <v>0</v>
      </c>
      <c r="CY840" s="483">
        <v>0</v>
      </c>
      <c r="CZ840" s="483">
        <v>0</v>
      </c>
      <c r="DA840" s="483">
        <v>0</v>
      </c>
      <c r="DB840" s="483">
        <v>0</v>
      </c>
      <c r="DC840" s="483">
        <v>0</v>
      </c>
      <c r="DD840" s="483">
        <v>0.49950049950049946</v>
      </c>
      <c r="DE840" s="483">
        <f>IFERROR(SUM(VLOOKUP($BS840,'État &amp; Plan d''action'!$B$6:$Z$1113,18,FALSE),VLOOKUP($BS840,'État &amp; Plan d''action'!$B$6:$Z$1113,20,FALSE))/(VLOOKUP($BS840,'Données par municipalité'!$B$4:$L$1113,11,FALSE)),"")</f>
        <v>1</v>
      </c>
      <c r="DF840" s="483">
        <f>IFERROR(SUM(VLOOKUP($BS840,'État &amp; Plan d''action'!$B$6:$Z$1113,19,FALSE),VLOOKUP($BS840,'État &amp; Plan d''action'!$B$6:$Z$1113,21,FALSE))/(VLOOKUP($BS840,'Données par municipalité'!$B$4:$L$1113,11,FALSE)),"")</f>
        <v>1</v>
      </c>
      <c r="DG840" s="476" t="s">
        <v>4723</v>
      </c>
      <c r="DH840" s="484">
        <v>1</v>
      </c>
      <c r="DI840" s="484">
        <v>2</v>
      </c>
      <c r="DJ840" s="484">
        <v>3</v>
      </c>
      <c r="DK840" s="484">
        <v>2</v>
      </c>
      <c r="DL840" s="484">
        <v>2</v>
      </c>
      <c r="DM840" s="484">
        <v>1</v>
      </c>
      <c r="DN840" s="484">
        <v>1</v>
      </c>
      <c r="DO840" s="484">
        <v>1</v>
      </c>
      <c r="DP840" s="484">
        <v>0</v>
      </c>
      <c r="DQ840" s="484">
        <f>IF(VLOOKUP($BS840,'État &amp; Plan d''action'!$B$6:$AJ$1113,28,FALSE)="","",VLOOKUP($BS840,'État &amp; Plan d''action'!$B$6:$AJ$1113,28,FALSE))</f>
        <v>1</v>
      </c>
      <c r="DR840" s="70">
        <f>IF(VLOOKUP($BS840,'État &amp; Plan d''action'!$B$6:$AJ$1113,29,FALSE)="","",VLOOKUP($BS840,'État &amp; Plan d''action'!$B$6:$AJ$1113,29,FALSE))</f>
        <v>1</v>
      </c>
      <c r="DS840" s="70">
        <f>IF(VLOOKUP($BS840,'État &amp; Plan d''action'!$B$6:$AJ$1113,30,FALSE)="","",VLOOKUP($BS840,'État &amp; Plan d''action'!$B$6:$AJ$1113,30,FALSE))</f>
        <v>0</v>
      </c>
      <c r="DT840" s="70">
        <v>164</v>
      </c>
      <c r="DU840" s="485">
        <v>6.1168550091691447</v>
      </c>
      <c r="DV840" s="485">
        <v>5.9069874443646428</v>
      </c>
      <c r="DW840" s="70">
        <v>1</v>
      </c>
      <c r="DX840" s="70">
        <v>1</v>
      </c>
      <c r="DY840" s="70">
        <v>0</v>
      </c>
      <c r="DZ840" s="70">
        <f>VLOOKUP($BS840,'État &amp; Plan d''action'!$B$6:$AH$1113,31,FALSE)</f>
        <v>1</v>
      </c>
      <c r="EA840" s="70">
        <f>VLOOKUP($BS840,'État &amp; Plan d''action'!$B$6:$AH$1113,32,FALSE)</f>
        <v>1</v>
      </c>
      <c r="EB840" s="70">
        <f>VLOOKUP($BS840,'État &amp; Plan d''action'!$B$6:$AH$1113,33,FALSE)</f>
        <v>0</v>
      </c>
      <c r="EC840" s="70">
        <v>0</v>
      </c>
      <c r="ED840" s="70">
        <v>0</v>
      </c>
      <c r="EE840" s="70">
        <v>3</v>
      </c>
      <c r="EF840" s="70">
        <v>0</v>
      </c>
      <c r="EG840" s="70">
        <v>0</v>
      </c>
      <c r="EH840" s="72">
        <v>67</v>
      </c>
      <c r="EI840" s="72">
        <v>683</v>
      </c>
    </row>
    <row r="841" spans="71:139" x14ac:dyDescent="0.35">
      <c r="BS841" s="486">
        <v>63013</v>
      </c>
      <c r="BT841" s="479" t="s">
        <v>635</v>
      </c>
      <c r="BU841" s="479">
        <v>14</v>
      </c>
      <c r="BV841" s="476" t="s">
        <v>1187</v>
      </c>
      <c r="BW841" s="476" t="s">
        <v>1187</v>
      </c>
      <c r="BX841" s="476" t="s">
        <v>1187</v>
      </c>
      <c r="BY841" s="476" t="s">
        <v>1187</v>
      </c>
      <c r="BZ841" s="476" t="s">
        <v>1187</v>
      </c>
      <c r="CA841" s="476" t="s">
        <v>1187</v>
      </c>
      <c r="CB841" s="476" t="s">
        <v>1187</v>
      </c>
      <c r="CC841" s="476" t="s">
        <v>1187</v>
      </c>
      <c r="CD841" s="476" t="s">
        <v>1187</v>
      </c>
      <c r="CE841" s="476" t="s">
        <v>1188</v>
      </c>
      <c r="CF841" s="476" t="s">
        <v>1188</v>
      </c>
      <c r="CG841" s="476" t="s">
        <v>1188</v>
      </c>
      <c r="CH841" s="476" t="s">
        <v>1188</v>
      </c>
      <c r="CI841" s="476" t="s">
        <v>1188</v>
      </c>
      <c r="CJ841" s="476" t="s">
        <v>1188</v>
      </c>
      <c r="CK841" s="476" t="s">
        <v>1187</v>
      </c>
      <c r="CL841" s="476" t="s">
        <v>1188</v>
      </c>
      <c r="CM841" s="476" t="str">
        <f>IF(VLOOKUP(BS841,'Données par municipalité'!$B$6:$E$1113,4,FALSE)="","non","oui")</f>
        <v>oui</v>
      </c>
      <c r="CN841" s="410">
        <v>395.19252375297521</v>
      </c>
      <c r="CO841" s="410">
        <v>387.22375375142769</v>
      </c>
      <c r="CP841" s="410">
        <v>344.12451724907783</v>
      </c>
      <c r="CQ841" s="410">
        <v>314.85011877639289</v>
      </c>
      <c r="CR841" s="410">
        <v>420.36935599235846</v>
      </c>
      <c r="CS841" s="410">
        <v>411.94398931529361</v>
      </c>
      <c r="CT841" s="410"/>
      <c r="CU841" s="410">
        <v>382</v>
      </c>
      <c r="CV841" s="410">
        <f>IF(VLOOKUP(BS841,'Données par municipalité'!$B$6:$F$1113,4,FALSE)="","",VLOOKUP(BS841,'Données par municipalité'!$B$6:$F$1113,4,FALSE))</f>
        <v>328</v>
      </c>
      <c r="CW841" s="476" t="s">
        <v>4723</v>
      </c>
      <c r="CX841" s="483">
        <v>0</v>
      </c>
      <c r="CY841" s="483">
        <v>0</v>
      </c>
      <c r="CZ841" s="483">
        <v>0</v>
      </c>
      <c r="DA841" s="483">
        <v>0</v>
      </c>
      <c r="DB841" s="483">
        <v>0</v>
      </c>
      <c r="DC841" s="483" t="s">
        <v>1124</v>
      </c>
      <c r="DD841" s="483">
        <v>0</v>
      </c>
      <c r="DE841" s="483">
        <f>IFERROR(SUM(VLOOKUP($BS841,'État &amp; Plan d''action'!$B$6:$Z$1113,18,FALSE),VLOOKUP($BS841,'État &amp; Plan d''action'!$B$6:$Z$1113,20,FALSE))/(VLOOKUP($BS841,'Données par municipalité'!$B$4:$L$1113,11,FALSE)),"")</f>
        <v>2</v>
      </c>
      <c r="DF841" s="483">
        <f>IFERROR(SUM(VLOOKUP($BS841,'État &amp; Plan d''action'!$B$6:$Z$1113,19,FALSE),VLOOKUP($BS841,'État &amp; Plan d''action'!$B$6:$Z$1113,21,FALSE))/(VLOOKUP($BS841,'Données par municipalité'!$B$4:$L$1113,11,FALSE)),"")</f>
        <v>2</v>
      </c>
      <c r="DG841" s="476" t="s">
        <v>4723</v>
      </c>
      <c r="DH841" s="484">
        <v>8</v>
      </c>
      <c r="DI841" s="484">
        <v>8</v>
      </c>
      <c r="DJ841" s="484">
        <v>10</v>
      </c>
      <c r="DK841" s="484">
        <v>10</v>
      </c>
      <c r="DL841" s="484">
        <v>7</v>
      </c>
      <c r="DM841" s="484" t="s">
        <v>1124</v>
      </c>
      <c r="DN841" s="484">
        <v>12</v>
      </c>
      <c r="DO841" s="484">
        <v>0</v>
      </c>
      <c r="DP841" s="484">
        <v>0</v>
      </c>
      <c r="DQ841" s="484">
        <f>IF(VLOOKUP($BS841,'État &amp; Plan d''action'!$B$6:$AJ$1113,28,FALSE)="","",VLOOKUP($BS841,'État &amp; Plan d''action'!$B$6:$AJ$1113,28,FALSE))</f>
        <v>5</v>
      </c>
      <c r="DR841" s="70">
        <f>IF(VLOOKUP($BS841,'État &amp; Plan d''action'!$B$6:$AJ$1113,29,FALSE)="","",VLOOKUP($BS841,'État &amp; Plan d''action'!$B$6:$AJ$1113,29,FALSE))</f>
        <v>0</v>
      </c>
      <c r="DS841" s="70">
        <f>IF(VLOOKUP($BS841,'État &amp; Plan d''action'!$B$6:$AJ$1113,30,FALSE)="","",VLOOKUP($BS841,'État &amp; Plan d''action'!$B$6:$AJ$1113,30,FALSE))</f>
        <v>0</v>
      </c>
      <c r="DT841" s="70">
        <v>326</v>
      </c>
      <c r="DU841" s="485">
        <v>2.2477287379929431</v>
      </c>
      <c r="DV841" s="485">
        <v>3.4779924616486322</v>
      </c>
      <c r="DW841" s="70">
        <v>1</v>
      </c>
      <c r="DX841" s="70">
        <v>0</v>
      </c>
      <c r="DY841" s="70">
        <v>0</v>
      </c>
      <c r="DZ841" s="70">
        <f>VLOOKUP($BS841,'État &amp; Plan d''action'!$B$6:$AH$1113,31,FALSE)</f>
        <v>1</v>
      </c>
      <c r="EA841" s="70">
        <f>VLOOKUP($BS841,'État &amp; Plan d''action'!$B$6:$AH$1113,32,FALSE)</f>
        <v>0</v>
      </c>
      <c r="EB841" s="70">
        <f>VLOOKUP($BS841,'État &amp; Plan d''action'!$B$6:$AH$1113,33,FALSE)</f>
        <v>0</v>
      </c>
      <c r="EC841" s="70">
        <v>26.111999999999998</v>
      </c>
      <c r="ED841" s="70">
        <v>0</v>
      </c>
      <c r="EE841" s="70">
        <v>0</v>
      </c>
      <c r="EF841" s="70">
        <v>0</v>
      </c>
      <c r="EG841" s="70">
        <v>0</v>
      </c>
      <c r="EH841" s="72">
        <v>61</v>
      </c>
      <c r="EI841" s="72">
        <v>4033</v>
      </c>
    </row>
    <row r="842" spans="71:139" x14ac:dyDescent="0.35">
      <c r="BS842" s="486">
        <v>31140</v>
      </c>
      <c r="BT842" s="479" t="s">
        <v>255</v>
      </c>
      <c r="BU842" s="479">
        <v>12</v>
      </c>
      <c r="BV842" s="476" t="s">
        <v>1188</v>
      </c>
      <c r="BW842" s="476" t="s">
        <v>1188</v>
      </c>
      <c r="BX842" s="476" t="s">
        <v>1188</v>
      </c>
      <c r="BY842" s="476" t="s">
        <v>1188</v>
      </c>
      <c r="BZ842" s="476" t="s">
        <v>1188</v>
      </c>
      <c r="CA842" s="476" t="s">
        <v>1187</v>
      </c>
      <c r="CB842" s="476" t="s">
        <v>1187</v>
      </c>
      <c r="CC842" s="476" t="s">
        <v>1187</v>
      </c>
      <c r="CD842" s="476" t="s">
        <v>1187</v>
      </c>
      <c r="CE842" s="476" t="s">
        <v>1187</v>
      </c>
      <c r="CF842" s="476" t="s">
        <v>1187</v>
      </c>
      <c r="CG842" s="476" t="s">
        <v>1187</v>
      </c>
      <c r="CH842" s="476" t="s">
        <v>1187</v>
      </c>
      <c r="CI842" s="476" t="s">
        <v>1187</v>
      </c>
      <c r="CJ842" s="476" t="s">
        <v>1188</v>
      </c>
      <c r="CK842" s="476" t="s">
        <v>1188</v>
      </c>
      <c r="CL842" s="476" t="s">
        <v>1188</v>
      </c>
      <c r="CM842" s="476" t="str">
        <f>IF(VLOOKUP(BS842,'Données par municipalité'!$B$6:$E$1113,4,FALSE)="","non","oui")</f>
        <v>oui</v>
      </c>
      <c r="CN842" s="410" t="s">
        <v>1124</v>
      </c>
      <c r="CO842" s="410" t="s">
        <v>1124</v>
      </c>
      <c r="CP842" s="410"/>
      <c r="CQ842" s="410"/>
      <c r="CR842" s="410"/>
      <c r="CS842" s="410">
        <v>218.38463638069786</v>
      </c>
      <c r="CT842" s="410">
        <v>166.79211199759143</v>
      </c>
      <c r="CU842" s="410">
        <v>252</v>
      </c>
      <c r="CV842" s="410">
        <f>IF(VLOOKUP(BS842,'Données par municipalité'!$B$6:$F$1113,4,FALSE)="","",VLOOKUP(BS842,'Données par municipalité'!$B$6:$F$1113,4,FALSE))</f>
        <v>253</v>
      </c>
      <c r="CW842" s="476" t="s">
        <v>4723</v>
      </c>
      <c r="CX842" s="483" t="s">
        <v>1124</v>
      </c>
      <c r="CY842" s="483" t="s">
        <v>1124</v>
      </c>
      <c r="CZ842" s="483" t="s">
        <v>1124</v>
      </c>
      <c r="DA842" s="483" t="s">
        <v>1124</v>
      </c>
      <c r="DB842" s="483">
        <v>0</v>
      </c>
      <c r="DC842" s="483">
        <v>0</v>
      </c>
      <c r="DD842" s="483">
        <v>0</v>
      </c>
      <c r="DE842" s="483">
        <f>IFERROR(SUM(VLOOKUP($BS842,'État &amp; Plan d''action'!$B$6:$Z$1113,18,FALSE),VLOOKUP($BS842,'État &amp; Plan d''action'!$B$6:$Z$1113,20,FALSE))/(VLOOKUP($BS842,'Données par municipalité'!$B$4:$L$1113,11,FALSE)),"")</f>
        <v>0</v>
      </c>
      <c r="DF842" s="483">
        <f>IFERROR(SUM(VLOOKUP($BS842,'État &amp; Plan d''action'!$B$6:$Z$1113,19,FALSE),VLOOKUP($BS842,'État &amp; Plan d''action'!$B$6:$Z$1113,21,FALSE))/(VLOOKUP($BS842,'Données par municipalité'!$B$4:$L$1113,11,FALSE)),"")</f>
        <v>0</v>
      </c>
      <c r="DG842" s="476" t="s">
        <v>4723</v>
      </c>
      <c r="DH842" s="484" t="s">
        <v>1124</v>
      </c>
      <c r="DI842" s="484" t="s">
        <v>1124</v>
      </c>
      <c r="DJ842" s="484">
        <v>0</v>
      </c>
      <c r="DK842" s="484">
        <v>0</v>
      </c>
      <c r="DL842" s="484">
        <v>1</v>
      </c>
      <c r="DM842" s="484">
        <v>0</v>
      </c>
      <c r="DN842" s="484">
        <v>1</v>
      </c>
      <c r="DO842" s="484">
        <v>0</v>
      </c>
      <c r="DP842" s="484">
        <v>0</v>
      </c>
      <c r="DQ842" s="484">
        <f>IF(VLOOKUP($BS842,'État &amp; Plan d''action'!$B$6:$AJ$1113,28,FALSE)="","",VLOOKUP($BS842,'État &amp; Plan d''action'!$B$6:$AJ$1113,28,FALSE))</f>
        <v>0</v>
      </c>
      <c r="DR842" s="70">
        <f>IF(VLOOKUP($BS842,'État &amp; Plan d''action'!$B$6:$AJ$1113,29,FALSE)="","",VLOOKUP($BS842,'État &amp; Plan d''action'!$B$6:$AJ$1113,29,FALSE))</f>
        <v>0</v>
      </c>
      <c r="DS842" s="70">
        <f>IF(VLOOKUP($BS842,'État &amp; Plan d''action'!$B$6:$AJ$1113,30,FALSE)="","",VLOOKUP($BS842,'État &amp; Plan d''action'!$B$6:$AJ$1113,30,FALSE))</f>
        <v>0</v>
      </c>
      <c r="DT842" s="70">
        <v>159</v>
      </c>
      <c r="DU842" s="485">
        <v>2.5964760488586163</v>
      </c>
      <c r="DV842" s="485">
        <v>0.98581478807087508</v>
      </c>
      <c r="DW842" s="70">
        <v>2</v>
      </c>
      <c r="DX842" s="70">
        <v>0</v>
      </c>
      <c r="DY842" s="70">
        <v>0</v>
      </c>
      <c r="DZ842" s="70">
        <f>VLOOKUP($BS842,'État &amp; Plan d''action'!$B$6:$AH$1113,31,FALSE)</f>
        <v>0</v>
      </c>
      <c r="EA842" s="70">
        <f>VLOOKUP($BS842,'État &amp; Plan d''action'!$B$6:$AH$1113,32,FALSE)</f>
        <v>0</v>
      </c>
      <c r="EB842" s="70">
        <f>VLOOKUP($BS842,'État &amp; Plan d''action'!$B$6:$AH$1113,33,FALSE)</f>
        <v>0</v>
      </c>
      <c r="EC842" s="70">
        <v>0</v>
      </c>
      <c r="ED842" s="70">
        <v>0</v>
      </c>
      <c r="EE842" s="70">
        <v>0</v>
      </c>
      <c r="EF842" s="70">
        <v>0</v>
      </c>
      <c r="EG842" s="70">
        <v>0</v>
      </c>
      <c r="EH842" s="72">
        <v>59</v>
      </c>
      <c r="EI842" s="72">
        <v>691</v>
      </c>
    </row>
    <row r="843" spans="71:139" x14ac:dyDescent="0.35">
      <c r="BS843" s="486">
        <v>31025</v>
      </c>
      <c r="BT843" s="479" t="s">
        <v>240</v>
      </c>
      <c r="BU843" s="479">
        <v>12</v>
      </c>
      <c r="BV843" s="476" t="s">
        <v>1188</v>
      </c>
      <c r="BW843" s="476" t="s">
        <v>1188</v>
      </c>
      <c r="BX843" s="476" t="s">
        <v>1188</v>
      </c>
      <c r="BY843" s="476" t="s">
        <v>1188</v>
      </c>
      <c r="BZ843" s="476" t="s">
        <v>1188</v>
      </c>
      <c r="CA843" s="476" t="s">
        <v>1188</v>
      </c>
      <c r="CB843" s="476" t="s">
        <v>1188</v>
      </c>
      <c r="CC843" s="476" t="s">
        <v>1188</v>
      </c>
      <c r="CD843" s="476" t="s">
        <v>1188</v>
      </c>
      <c r="CE843" s="476" t="s">
        <v>1187</v>
      </c>
      <c r="CF843" s="476" t="s">
        <v>1187</v>
      </c>
      <c r="CG843" s="476" t="s">
        <v>1187</v>
      </c>
      <c r="CH843" s="476" t="s">
        <v>1187</v>
      </c>
      <c r="CI843" s="476" t="s">
        <v>1187</v>
      </c>
      <c r="CJ843" s="476" t="s">
        <v>1187</v>
      </c>
      <c r="CK843" s="476" t="s">
        <v>1187</v>
      </c>
      <c r="CL843" s="476" t="s">
        <v>1187</v>
      </c>
      <c r="CM843" s="476" t="str">
        <f>IF(VLOOKUP(BS843,'Données par municipalité'!$B$6:$E$1113,4,FALSE)="","non","oui")</f>
        <v>non</v>
      </c>
      <c r="CN843" s="410" t="s">
        <v>1124</v>
      </c>
      <c r="CO843" s="410" t="s">
        <v>1124</v>
      </c>
      <c r="CP843" s="410"/>
      <c r="CQ843" s="410"/>
      <c r="CR843" s="410"/>
      <c r="CS843" s="410" t="s">
        <v>1124</v>
      </c>
      <c r="CT843" s="410"/>
      <c r="CU843" s="410" t="s">
        <v>1124</v>
      </c>
      <c r="CV843" s="410" t="str">
        <f>IF(VLOOKUP(BS843,'Données par municipalité'!$B$6:$F$1113,4,FALSE)="","",VLOOKUP(BS843,'Données par municipalité'!$B$6:$F$1113,4,FALSE))</f>
        <v/>
      </c>
      <c r="CW843" s="476" t="s">
        <v>4723</v>
      </c>
      <c r="CX843" s="483" t="s">
        <v>1124</v>
      </c>
      <c r="CY843" s="483" t="s">
        <v>1124</v>
      </c>
      <c r="CZ843" s="483" t="s">
        <v>1124</v>
      </c>
      <c r="DA843" s="483" t="s">
        <v>1124</v>
      </c>
      <c r="DB843" s="483" t="s">
        <v>1124</v>
      </c>
      <c r="DC843" s="483" t="s">
        <v>1124</v>
      </c>
      <c r="DD843" s="483" t="s">
        <v>1124</v>
      </c>
      <c r="DE843" s="483" t="str">
        <f>IFERROR(SUM(VLOOKUP($BS843,'État &amp; Plan d''action'!$B$6:$Z$1113,18,FALSE),VLOOKUP($BS843,'État &amp; Plan d''action'!$B$6:$Z$1113,20,FALSE))/(VLOOKUP($BS843,'Données par municipalité'!$B$4:$L$1113,11,FALSE)),"")</f>
        <v/>
      </c>
      <c r="DF843" s="483" t="str">
        <f>IFERROR(SUM(VLOOKUP($BS843,'État &amp; Plan d''action'!$B$6:$Z$1113,19,FALSE),VLOOKUP($BS843,'État &amp; Plan d''action'!$B$6:$Z$1113,21,FALSE))/(VLOOKUP($BS843,'Données par municipalité'!$B$4:$L$1113,11,FALSE)),"")</f>
        <v/>
      </c>
      <c r="DG843" s="476" t="s">
        <v>4723</v>
      </c>
      <c r="DH843" s="484" t="s">
        <v>1124</v>
      </c>
      <c r="DI843" s="484" t="s">
        <v>1124</v>
      </c>
      <c r="DJ843" s="484">
        <v>0</v>
      </c>
      <c r="DK843" s="484">
        <v>0</v>
      </c>
      <c r="DL843" s="484" t="s">
        <v>1124</v>
      </c>
      <c r="DM843" s="484" t="s">
        <v>1124</v>
      </c>
      <c r="DN843" s="484" t="s">
        <v>1124</v>
      </c>
      <c r="DO843" s="484" t="s">
        <v>1124</v>
      </c>
      <c r="DP843" s="484" t="s">
        <v>1124</v>
      </c>
      <c r="DQ843" s="484" t="str">
        <f>IF(VLOOKUP($BS843,'État &amp; Plan d''action'!$B$6:$AJ$1113,28,FALSE)="","",VLOOKUP($BS843,'État &amp; Plan d''action'!$B$6:$AJ$1113,28,FALSE))</f>
        <v/>
      </c>
      <c r="DR843" s="70" t="str">
        <f>IF(VLOOKUP($BS843,'État &amp; Plan d''action'!$B$6:$AJ$1113,29,FALSE)="","",VLOOKUP($BS843,'État &amp; Plan d''action'!$B$6:$AJ$1113,29,FALSE))</f>
        <v/>
      </c>
      <c r="DS843" s="70" t="str">
        <f>IF(VLOOKUP($BS843,'État &amp; Plan d''action'!$B$6:$AJ$1113,30,FALSE)="","",VLOOKUP($BS843,'État &amp; Plan d''action'!$B$6:$AJ$1113,30,FALSE))</f>
        <v/>
      </c>
      <c r="DT843" s="70" t="s">
        <v>1124</v>
      </c>
      <c r="DU843" s="485" t="s">
        <v>1124</v>
      </c>
      <c r="DV843" s="485" t="s">
        <v>1124</v>
      </c>
      <c r="DW843" s="70" t="s">
        <v>1124</v>
      </c>
      <c r="DX843" s="70" t="s">
        <v>1124</v>
      </c>
      <c r="DY843" s="70" t="s">
        <v>1124</v>
      </c>
      <c r="DZ843" s="70" t="str">
        <f>VLOOKUP($BS843,'État &amp; Plan d''action'!$B$6:$AH$1113,31,FALSE)</f>
        <v/>
      </c>
      <c r="EA843" s="70" t="str">
        <f>VLOOKUP($BS843,'État &amp; Plan d''action'!$B$6:$AH$1113,32,FALSE)</f>
        <v/>
      </c>
      <c r="EB843" s="70" t="str">
        <f>VLOOKUP($BS843,'État &amp; Plan d''action'!$B$6:$AH$1113,33,FALSE)</f>
        <v/>
      </c>
      <c r="EC843" s="70" t="s">
        <v>1124</v>
      </c>
      <c r="ED843" s="70" t="s">
        <v>1124</v>
      </c>
      <c r="EE843" s="70" t="s">
        <v>1124</v>
      </c>
      <c r="EF843" s="70" t="s">
        <v>1124</v>
      </c>
      <c r="EG843" s="70" t="s">
        <v>1124</v>
      </c>
      <c r="EH843" s="72"/>
      <c r="EI843" s="72">
        <v>201</v>
      </c>
    </row>
    <row r="844" spans="71:139" x14ac:dyDescent="0.35">
      <c r="BS844" s="486">
        <v>68040</v>
      </c>
      <c r="BT844" s="479" t="s">
        <v>680</v>
      </c>
      <c r="BU844" s="479">
        <v>16</v>
      </c>
      <c r="BV844" s="476" t="s">
        <v>1188</v>
      </c>
      <c r="BW844" s="476" t="s">
        <v>1188</v>
      </c>
      <c r="BX844" s="476" t="s">
        <v>1188</v>
      </c>
      <c r="BY844" s="476" t="s">
        <v>1188</v>
      </c>
      <c r="BZ844" s="476" t="s">
        <v>1188</v>
      </c>
      <c r="CA844" s="476" t="s">
        <v>1188</v>
      </c>
      <c r="CB844" s="476" t="s">
        <v>1187</v>
      </c>
      <c r="CC844" s="476" t="s">
        <v>1187</v>
      </c>
      <c r="CD844" s="476" t="s">
        <v>1187</v>
      </c>
      <c r="CE844" s="476" t="s">
        <v>1187</v>
      </c>
      <c r="CF844" s="476" t="s">
        <v>1187</v>
      </c>
      <c r="CG844" s="476" t="s">
        <v>1187</v>
      </c>
      <c r="CH844" s="476" t="s">
        <v>1187</v>
      </c>
      <c r="CI844" s="476" t="s">
        <v>1187</v>
      </c>
      <c r="CJ844" s="476" t="s">
        <v>1187</v>
      </c>
      <c r="CK844" s="476" t="s">
        <v>1188</v>
      </c>
      <c r="CL844" s="476" t="s">
        <v>1187</v>
      </c>
      <c r="CM844" s="476" t="str">
        <f>IF(VLOOKUP(BS844,'Données par municipalité'!$B$6:$E$1113,4,FALSE)="","non","oui")</f>
        <v>non</v>
      </c>
      <c r="CN844" s="410" t="s">
        <v>1124</v>
      </c>
      <c r="CO844" s="410" t="s">
        <v>1124</v>
      </c>
      <c r="CP844" s="410"/>
      <c r="CQ844" s="410"/>
      <c r="CR844" s="410"/>
      <c r="CS844" s="410" t="s">
        <v>1124</v>
      </c>
      <c r="CT844" s="410">
        <v>170.64408177929172</v>
      </c>
      <c r="CU844" s="410" t="s">
        <v>1124</v>
      </c>
      <c r="CV844" s="410" t="str">
        <f>IF(VLOOKUP(BS844,'Données par municipalité'!$B$6:$F$1113,4,FALSE)="","",VLOOKUP(BS844,'Données par municipalité'!$B$6:$F$1113,4,FALSE))</f>
        <v/>
      </c>
      <c r="CW844" s="476" t="s">
        <v>4723</v>
      </c>
      <c r="CX844" s="483" t="s">
        <v>1124</v>
      </c>
      <c r="CY844" s="483" t="s">
        <v>1124</v>
      </c>
      <c r="CZ844" s="483" t="s">
        <v>1124</v>
      </c>
      <c r="DA844" s="483" t="s">
        <v>1124</v>
      </c>
      <c r="DB844" s="483" t="s">
        <v>1124</v>
      </c>
      <c r="DC844" s="483">
        <v>0</v>
      </c>
      <c r="DD844" s="483" t="s">
        <v>1124</v>
      </c>
      <c r="DE844" s="483" t="str">
        <f>IFERROR(SUM(VLOOKUP($BS844,'État &amp; Plan d''action'!$B$6:$Z$1113,18,FALSE),VLOOKUP($BS844,'État &amp; Plan d''action'!$B$6:$Z$1113,20,FALSE))/(VLOOKUP($BS844,'Données par municipalité'!$B$4:$L$1113,11,FALSE)),"")</f>
        <v/>
      </c>
      <c r="DF844" s="483" t="str">
        <f>IFERROR(SUM(VLOOKUP($BS844,'État &amp; Plan d''action'!$B$6:$Z$1113,19,FALSE),VLOOKUP($BS844,'État &amp; Plan d''action'!$B$6:$Z$1113,21,FALSE))/(VLOOKUP($BS844,'Données par municipalité'!$B$4:$L$1113,11,FALSE)),"")</f>
        <v/>
      </c>
      <c r="DG844" s="476" t="s">
        <v>4723</v>
      </c>
      <c r="DH844" s="484" t="s">
        <v>1124</v>
      </c>
      <c r="DI844" s="484" t="s">
        <v>1124</v>
      </c>
      <c r="DJ844" s="484">
        <v>0</v>
      </c>
      <c r="DK844" s="484">
        <v>0</v>
      </c>
      <c r="DL844" s="484" t="s">
        <v>1124</v>
      </c>
      <c r="DM844" s="484">
        <v>0</v>
      </c>
      <c r="DN844" s="484" t="s">
        <v>1124</v>
      </c>
      <c r="DO844" s="484" t="s">
        <v>1124</v>
      </c>
      <c r="DP844" s="484" t="s">
        <v>1124</v>
      </c>
      <c r="DQ844" s="484" t="str">
        <f>IF(VLOOKUP($BS844,'État &amp; Plan d''action'!$B$6:$AJ$1113,28,FALSE)="","",VLOOKUP($BS844,'État &amp; Plan d''action'!$B$6:$AJ$1113,28,FALSE))</f>
        <v/>
      </c>
      <c r="DR844" s="70" t="str">
        <f>IF(VLOOKUP($BS844,'État &amp; Plan d''action'!$B$6:$AJ$1113,29,FALSE)="","",VLOOKUP($BS844,'État &amp; Plan d''action'!$B$6:$AJ$1113,29,FALSE))</f>
        <v/>
      </c>
      <c r="DS844" s="70" t="str">
        <f>IF(VLOOKUP($BS844,'État &amp; Plan d''action'!$B$6:$AJ$1113,30,FALSE)="","",VLOOKUP($BS844,'État &amp; Plan d''action'!$B$6:$AJ$1113,30,FALSE))</f>
        <v/>
      </c>
      <c r="DT844" s="70" t="s">
        <v>1124</v>
      </c>
      <c r="DU844" s="485" t="s">
        <v>1124</v>
      </c>
      <c r="DV844" s="485" t="s">
        <v>1124</v>
      </c>
      <c r="DW844" s="70" t="s">
        <v>1124</v>
      </c>
      <c r="DX844" s="70" t="s">
        <v>1124</v>
      </c>
      <c r="DY844" s="70" t="s">
        <v>1124</v>
      </c>
      <c r="DZ844" s="70" t="str">
        <f>VLOOKUP($BS844,'État &amp; Plan d''action'!$B$6:$AH$1113,31,FALSE)</f>
        <v/>
      </c>
      <c r="EA844" s="70" t="str">
        <f>VLOOKUP($BS844,'État &amp; Plan d''action'!$B$6:$AH$1113,32,FALSE)</f>
        <v/>
      </c>
      <c r="EB844" s="70" t="str">
        <f>VLOOKUP($BS844,'État &amp; Plan d''action'!$B$6:$AH$1113,33,FALSE)</f>
        <v/>
      </c>
      <c r="EC844" s="70" t="s">
        <v>1124</v>
      </c>
      <c r="ED844" s="70" t="s">
        <v>1124</v>
      </c>
      <c r="EE844" s="70" t="s">
        <v>1124</v>
      </c>
      <c r="EF844" s="70" t="s">
        <v>1124</v>
      </c>
      <c r="EG844" s="70" t="s">
        <v>1124</v>
      </c>
      <c r="EH844" s="72"/>
      <c r="EI844" s="72">
        <v>1817</v>
      </c>
    </row>
    <row r="845" spans="71:139" x14ac:dyDescent="0.35">
      <c r="BS845" s="486">
        <v>33065</v>
      </c>
      <c r="BT845" s="479" t="s">
        <v>276</v>
      </c>
      <c r="BU845" s="479">
        <v>12</v>
      </c>
      <c r="BV845" s="476" t="s">
        <v>1188</v>
      </c>
      <c r="BW845" s="476" t="s">
        <v>1188</v>
      </c>
      <c r="BX845" s="476" t="s">
        <v>1188</v>
      </c>
      <c r="BY845" s="476" t="s">
        <v>1188</v>
      </c>
      <c r="BZ845" s="476" t="s">
        <v>1188</v>
      </c>
      <c r="CA845" s="476" t="s">
        <v>1188</v>
      </c>
      <c r="CB845" s="476" t="s">
        <v>1188</v>
      </c>
      <c r="CC845" s="476" t="s">
        <v>1188</v>
      </c>
      <c r="CD845" s="476" t="s">
        <v>1188</v>
      </c>
      <c r="CE845" s="476" t="s">
        <v>1187</v>
      </c>
      <c r="CF845" s="476" t="s">
        <v>1187</v>
      </c>
      <c r="CG845" s="476" t="s">
        <v>1187</v>
      </c>
      <c r="CH845" s="476" t="s">
        <v>1187</v>
      </c>
      <c r="CI845" s="476" t="s">
        <v>1187</v>
      </c>
      <c r="CJ845" s="476" t="s">
        <v>1187</v>
      </c>
      <c r="CK845" s="476" t="s">
        <v>1187</v>
      </c>
      <c r="CL845" s="476" t="s">
        <v>1187</v>
      </c>
      <c r="CM845" s="476" t="str">
        <f>IF(VLOOKUP(BS845,'Données par municipalité'!$B$6:$E$1113,4,FALSE)="","non","oui")</f>
        <v>non</v>
      </c>
      <c r="CN845" s="410" t="s">
        <v>1124</v>
      </c>
      <c r="CO845" s="410" t="s">
        <v>1124</v>
      </c>
      <c r="CP845" s="410"/>
      <c r="CQ845" s="410"/>
      <c r="CR845" s="410"/>
      <c r="CS845" s="410" t="s">
        <v>1124</v>
      </c>
      <c r="CT845" s="410"/>
      <c r="CU845" s="410" t="s">
        <v>1124</v>
      </c>
      <c r="CV845" s="410" t="str">
        <f>IF(VLOOKUP(BS845,'Données par municipalité'!$B$6:$F$1113,4,FALSE)="","",VLOOKUP(BS845,'Données par municipalité'!$B$6:$F$1113,4,FALSE))</f>
        <v/>
      </c>
      <c r="CW845" s="476" t="s">
        <v>4723</v>
      </c>
      <c r="CX845" s="483" t="s">
        <v>1124</v>
      </c>
      <c r="CY845" s="483" t="s">
        <v>1124</v>
      </c>
      <c r="CZ845" s="483" t="s">
        <v>1124</v>
      </c>
      <c r="DA845" s="483" t="s">
        <v>1124</v>
      </c>
      <c r="DB845" s="483" t="s">
        <v>1124</v>
      </c>
      <c r="DC845" s="483" t="s">
        <v>1124</v>
      </c>
      <c r="DD845" s="483" t="s">
        <v>1124</v>
      </c>
      <c r="DE845" s="483" t="str">
        <f>IFERROR(SUM(VLOOKUP($BS845,'État &amp; Plan d''action'!$B$6:$Z$1113,18,FALSE),VLOOKUP($BS845,'État &amp; Plan d''action'!$B$6:$Z$1113,20,FALSE))/(VLOOKUP($BS845,'Données par municipalité'!$B$4:$L$1113,11,FALSE)),"")</f>
        <v/>
      </c>
      <c r="DF845" s="483" t="str">
        <f>IFERROR(SUM(VLOOKUP($BS845,'État &amp; Plan d''action'!$B$6:$Z$1113,19,FALSE),VLOOKUP($BS845,'État &amp; Plan d''action'!$B$6:$Z$1113,21,FALSE))/(VLOOKUP($BS845,'Données par municipalité'!$B$4:$L$1113,11,FALSE)),"")</f>
        <v/>
      </c>
      <c r="DG845" s="476" t="s">
        <v>4723</v>
      </c>
      <c r="DH845" s="484" t="s">
        <v>1124</v>
      </c>
      <c r="DI845" s="484" t="s">
        <v>1124</v>
      </c>
      <c r="DJ845" s="484">
        <v>0</v>
      </c>
      <c r="DK845" s="484">
        <v>0</v>
      </c>
      <c r="DL845" s="484" t="s">
        <v>1124</v>
      </c>
      <c r="DM845" s="484" t="s">
        <v>1124</v>
      </c>
      <c r="DN845" s="484" t="s">
        <v>1124</v>
      </c>
      <c r="DO845" s="484" t="s">
        <v>1124</v>
      </c>
      <c r="DP845" s="484" t="s">
        <v>1124</v>
      </c>
      <c r="DQ845" s="484" t="str">
        <f>IF(VLOOKUP($BS845,'État &amp; Plan d''action'!$B$6:$AJ$1113,28,FALSE)="","",VLOOKUP($BS845,'État &amp; Plan d''action'!$B$6:$AJ$1113,28,FALSE))</f>
        <v/>
      </c>
      <c r="DR845" s="70" t="str">
        <f>IF(VLOOKUP($BS845,'État &amp; Plan d''action'!$B$6:$AJ$1113,29,FALSE)="","",VLOOKUP($BS845,'État &amp; Plan d''action'!$B$6:$AJ$1113,29,FALSE))</f>
        <v/>
      </c>
      <c r="DS845" s="70" t="str">
        <f>IF(VLOOKUP($BS845,'État &amp; Plan d''action'!$B$6:$AJ$1113,30,FALSE)="","",VLOOKUP($BS845,'État &amp; Plan d''action'!$B$6:$AJ$1113,30,FALSE))</f>
        <v/>
      </c>
      <c r="DT845" s="70" t="s">
        <v>1124</v>
      </c>
      <c r="DU845" s="485" t="s">
        <v>1124</v>
      </c>
      <c r="DV845" s="485" t="s">
        <v>1124</v>
      </c>
      <c r="DW845" s="70" t="s">
        <v>1124</v>
      </c>
      <c r="DX845" s="70" t="s">
        <v>1124</v>
      </c>
      <c r="DY845" s="70" t="s">
        <v>1124</v>
      </c>
      <c r="DZ845" s="70" t="str">
        <f>VLOOKUP($BS845,'État &amp; Plan d''action'!$B$6:$AH$1113,31,FALSE)</f>
        <v/>
      </c>
      <c r="EA845" s="70" t="str">
        <f>VLOOKUP($BS845,'État &amp; Plan d''action'!$B$6:$AH$1113,32,FALSE)</f>
        <v/>
      </c>
      <c r="EB845" s="70" t="str">
        <f>VLOOKUP($BS845,'État &amp; Plan d''action'!$B$6:$AH$1113,33,FALSE)</f>
        <v/>
      </c>
      <c r="EC845" s="70" t="s">
        <v>1124</v>
      </c>
      <c r="ED845" s="70" t="s">
        <v>1124</v>
      </c>
      <c r="EE845" s="70" t="s">
        <v>1124</v>
      </c>
      <c r="EF845" s="70" t="s">
        <v>1124</v>
      </c>
      <c r="EG845" s="70" t="s">
        <v>1124</v>
      </c>
      <c r="EH845" s="72"/>
      <c r="EI845" s="72">
        <v>1034</v>
      </c>
    </row>
    <row r="846" spans="71:139" x14ac:dyDescent="0.35">
      <c r="BS846" s="486">
        <v>57033</v>
      </c>
      <c r="BT846" s="479" t="s">
        <v>586</v>
      </c>
      <c r="BU846" s="479">
        <v>16</v>
      </c>
      <c r="BV846" s="476" t="s">
        <v>1187</v>
      </c>
      <c r="BW846" s="476" t="s">
        <v>1187</v>
      </c>
      <c r="BX846" s="476" t="s">
        <v>1187</v>
      </c>
      <c r="BY846" s="476" t="s">
        <v>1187</v>
      </c>
      <c r="BZ846" s="476" t="s">
        <v>1187</v>
      </c>
      <c r="CA846" s="476" t="s">
        <v>1187</v>
      </c>
      <c r="CB846" s="476" t="s">
        <v>1187</v>
      </c>
      <c r="CC846" s="476" t="s">
        <v>1187</v>
      </c>
      <c r="CD846" s="476" t="s">
        <v>1187</v>
      </c>
      <c r="CE846" s="476" t="s">
        <v>1188</v>
      </c>
      <c r="CF846" s="476" t="s">
        <v>1188</v>
      </c>
      <c r="CG846" s="476" t="s">
        <v>1188</v>
      </c>
      <c r="CH846" s="476" t="s">
        <v>1188</v>
      </c>
      <c r="CI846" s="476" t="s">
        <v>1188</v>
      </c>
      <c r="CJ846" s="476" t="s">
        <v>1188</v>
      </c>
      <c r="CK846" s="476" t="s">
        <v>1188</v>
      </c>
      <c r="CL846" s="476" t="s">
        <v>1187</v>
      </c>
      <c r="CM846" s="476" t="str">
        <f>IF(VLOOKUP(BS846,'Données par municipalité'!$B$6:$E$1113,4,FALSE)="","non","oui")</f>
        <v>oui</v>
      </c>
      <c r="CN846" s="410">
        <v>890.46722339791927</v>
      </c>
      <c r="CO846" s="410">
        <v>812.29904173596265</v>
      </c>
      <c r="CP846" s="410">
        <v>772.43024702633807</v>
      </c>
      <c r="CQ846" s="410">
        <v>924.61349115289147</v>
      </c>
      <c r="CR846" s="410">
        <v>846.76655018468273</v>
      </c>
      <c r="CS846" s="410">
        <v>893.90131280198784</v>
      </c>
      <c r="CT846" s="410">
        <v>839.86521133982853</v>
      </c>
      <c r="CU846" s="410" t="s">
        <v>1124</v>
      </c>
      <c r="CV846" s="410">
        <f>IF(VLOOKUP(BS846,'Données par municipalité'!$B$6:$F$1113,4,FALSE)="","",VLOOKUP(BS846,'Données par municipalité'!$B$6:$F$1113,4,FALSE))</f>
        <v>726</v>
      </c>
      <c r="CW846" s="476" t="s">
        <v>4723</v>
      </c>
      <c r="CX846" s="483">
        <v>0.7</v>
      </c>
      <c r="CY846" s="483">
        <v>0</v>
      </c>
      <c r="CZ846" s="483">
        <v>0.1</v>
      </c>
      <c r="DA846" s="483">
        <v>0</v>
      </c>
      <c r="DB846" s="483">
        <v>0</v>
      </c>
      <c r="DC846" s="483">
        <v>0</v>
      </c>
      <c r="DD846" s="483" t="s">
        <v>1124</v>
      </c>
      <c r="DE846" s="483">
        <f>IFERROR(SUM(VLOOKUP($BS846,'État &amp; Plan d''action'!$B$6:$Z$1113,18,FALSE),VLOOKUP($BS846,'État &amp; Plan d''action'!$B$6:$Z$1113,20,FALSE))/(VLOOKUP($BS846,'Données par municipalité'!$B$4:$L$1113,11,FALSE)),"")</f>
        <v>0</v>
      </c>
      <c r="DF846" s="483">
        <f>IFERROR(SUM(VLOOKUP($BS846,'État &amp; Plan d''action'!$B$6:$Z$1113,19,FALSE),VLOOKUP($BS846,'État &amp; Plan d''action'!$B$6:$Z$1113,21,FALSE))/(VLOOKUP($BS846,'Données par municipalité'!$B$4:$L$1113,11,FALSE)),"")</f>
        <v>0</v>
      </c>
      <c r="DG846" s="476" t="s">
        <v>4723</v>
      </c>
      <c r="DH846" s="484">
        <v>4</v>
      </c>
      <c r="DI846" s="484">
        <v>8</v>
      </c>
      <c r="DJ846" s="484">
        <v>8</v>
      </c>
      <c r="DK846" s="484">
        <v>10</v>
      </c>
      <c r="DL846" s="484">
        <v>15</v>
      </c>
      <c r="DM846" s="484">
        <v>4</v>
      </c>
      <c r="DN846" s="484" t="s">
        <v>1124</v>
      </c>
      <c r="DO846" s="484" t="s">
        <v>1124</v>
      </c>
      <c r="DP846" s="484" t="s">
        <v>1124</v>
      </c>
      <c r="DQ846" s="484">
        <f>IF(VLOOKUP($BS846,'État &amp; Plan d''action'!$B$6:$AJ$1113,28,FALSE)="","",VLOOKUP($BS846,'État &amp; Plan d''action'!$B$6:$AJ$1113,28,FALSE))</f>
        <v>1</v>
      </c>
      <c r="DR846" s="70">
        <f>IF(VLOOKUP($BS846,'État &amp; Plan d''action'!$B$6:$AJ$1113,29,FALSE)="","",VLOOKUP($BS846,'État &amp; Plan d''action'!$B$6:$AJ$1113,29,FALSE))</f>
        <v>4</v>
      </c>
      <c r="DS846" s="70">
        <f>IF(VLOOKUP($BS846,'État &amp; Plan d''action'!$B$6:$AJ$1113,30,FALSE)="","",VLOOKUP($BS846,'État &amp; Plan d''action'!$B$6:$AJ$1113,30,FALSE))</f>
        <v>0</v>
      </c>
      <c r="DT846" s="70" t="s">
        <v>1124</v>
      </c>
      <c r="DU846" s="485" t="s">
        <v>1124</v>
      </c>
      <c r="DV846" s="485">
        <v>1.9943019041989662</v>
      </c>
      <c r="DW846" s="70" t="s">
        <v>1124</v>
      </c>
      <c r="DX846" s="70" t="s">
        <v>1124</v>
      </c>
      <c r="DY846" s="70" t="s">
        <v>1124</v>
      </c>
      <c r="DZ846" s="70">
        <f>VLOOKUP($BS846,'État &amp; Plan d''action'!$B$6:$AH$1113,31,FALSE)</f>
        <v>5</v>
      </c>
      <c r="EA846" s="70">
        <f>VLOOKUP($BS846,'État &amp; Plan d''action'!$B$6:$AH$1113,32,FALSE)</f>
        <v>5</v>
      </c>
      <c r="EB846" s="70">
        <f>VLOOKUP($BS846,'État &amp; Plan d''action'!$B$6:$AH$1113,33,FALSE)</f>
        <v>0</v>
      </c>
      <c r="EC846" s="70" t="s">
        <v>1124</v>
      </c>
      <c r="ED846" s="70" t="s">
        <v>1124</v>
      </c>
      <c r="EE846" s="70" t="s">
        <v>1124</v>
      </c>
      <c r="EF846" s="70" t="s">
        <v>1124</v>
      </c>
      <c r="EG846" s="70" t="s">
        <v>1124</v>
      </c>
      <c r="EH846" s="72"/>
      <c r="EI846" s="72">
        <v>3170</v>
      </c>
    </row>
    <row r="847" spans="71:139" x14ac:dyDescent="0.35">
      <c r="BS847" s="486">
        <v>31100</v>
      </c>
      <c r="BT847" s="479" t="s">
        <v>250</v>
      </c>
      <c r="BU847" s="479">
        <v>12</v>
      </c>
      <c r="BV847" s="476" t="s">
        <v>1188</v>
      </c>
      <c r="BW847" s="476" t="s">
        <v>1188</v>
      </c>
      <c r="BX847" s="476" t="s">
        <v>1188</v>
      </c>
      <c r="BY847" s="476" t="s">
        <v>1188</v>
      </c>
      <c r="BZ847" s="476" t="s">
        <v>1188</v>
      </c>
      <c r="CA847" s="476" t="s">
        <v>1188</v>
      </c>
      <c r="CB847" s="476" t="s">
        <v>1188</v>
      </c>
      <c r="CC847" s="476" t="s">
        <v>1188</v>
      </c>
      <c r="CD847" s="476" t="s">
        <v>1188</v>
      </c>
      <c r="CE847" s="476" t="s">
        <v>1187</v>
      </c>
      <c r="CF847" s="476" t="s">
        <v>1187</v>
      </c>
      <c r="CG847" s="476" t="s">
        <v>1187</v>
      </c>
      <c r="CH847" s="476" t="s">
        <v>1187</v>
      </c>
      <c r="CI847" s="476" t="s">
        <v>1187</v>
      </c>
      <c r="CJ847" s="476" t="s">
        <v>1187</v>
      </c>
      <c r="CK847" s="476" t="s">
        <v>1187</v>
      </c>
      <c r="CL847" s="476" t="s">
        <v>1187</v>
      </c>
      <c r="CM847" s="476" t="str">
        <f>IF(VLOOKUP(BS847,'Données par municipalité'!$B$6:$E$1113,4,FALSE)="","non","oui")</f>
        <v>non</v>
      </c>
      <c r="CN847" s="410" t="s">
        <v>1124</v>
      </c>
      <c r="CO847" s="410" t="s">
        <v>1124</v>
      </c>
      <c r="CP847" s="410"/>
      <c r="CQ847" s="410"/>
      <c r="CR847" s="410"/>
      <c r="CS847" s="410" t="s">
        <v>1124</v>
      </c>
      <c r="CT847" s="410"/>
      <c r="CU847" s="410" t="s">
        <v>1124</v>
      </c>
      <c r="CV847" s="410" t="str">
        <f>IF(VLOOKUP(BS847,'Données par municipalité'!$B$6:$F$1113,4,FALSE)="","",VLOOKUP(BS847,'Données par municipalité'!$B$6:$F$1113,4,FALSE))</f>
        <v/>
      </c>
      <c r="CW847" s="476" t="s">
        <v>4723</v>
      </c>
      <c r="CX847" s="483" t="s">
        <v>1124</v>
      </c>
      <c r="CY847" s="483" t="s">
        <v>1124</v>
      </c>
      <c r="CZ847" s="483" t="s">
        <v>1124</v>
      </c>
      <c r="DA847" s="483" t="s">
        <v>1124</v>
      </c>
      <c r="DB847" s="483" t="s">
        <v>1124</v>
      </c>
      <c r="DC847" s="483" t="s">
        <v>1124</v>
      </c>
      <c r="DD847" s="483" t="s">
        <v>1124</v>
      </c>
      <c r="DE847" s="483" t="str">
        <f>IFERROR(SUM(VLOOKUP($BS847,'État &amp; Plan d''action'!$B$6:$Z$1113,18,FALSE),VLOOKUP($BS847,'État &amp; Plan d''action'!$B$6:$Z$1113,20,FALSE))/(VLOOKUP($BS847,'Données par municipalité'!$B$4:$L$1113,11,FALSE)),"")</f>
        <v/>
      </c>
      <c r="DF847" s="483" t="str">
        <f>IFERROR(SUM(VLOOKUP($BS847,'État &amp; Plan d''action'!$B$6:$Z$1113,19,FALSE),VLOOKUP($BS847,'État &amp; Plan d''action'!$B$6:$Z$1113,21,FALSE))/(VLOOKUP($BS847,'Données par municipalité'!$B$4:$L$1113,11,FALSE)),"")</f>
        <v/>
      </c>
      <c r="DG847" s="476" t="s">
        <v>4723</v>
      </c>
      <c r="DH847" s="484" t="s">
        <v>1124</v>
      </c>
      <c r="DI847" s="484" t="s">
        <v>1124</v>
      </c>
      <c r="DJ847" s="484">
        <v>0</v>
      </c>
      <c r="DK847" s="484">
        <v>0</v>
      </c>
      <c r="DL847" s="484" t="s">
        <v>1124</v>
      </c>
      <c r="DM847" s="484" t="s">
        <v>1124</v>
      </c>
      <c r="DN847" s="484" t="s">
        <v>1124</v>
      </c>
      <c r="DO847" s="484" t="s">
        <v>1124</v>
      </c>
      <c r="DP847" s="484" t="s">
        <v>1124</v>
      </c>
      <c r="DQ847" s="484" t="str">
        <f>IF(VLOOKUP($BS847,'État &amp; Plan d''action'!$B$6:$AJ$1113,28,FALSE)="","",VLOOKUP($BS847,'État &amp; Plan d''action'!$B$6:$AJ$1113,28,FALSE))</f>
        <v/>
      </c>
      <c r="DR847" s="70" t="str">
        <f>IF(VLOOKUP($BS847,'État &amp; Plan d''action'!$B$6:$AJ$1113,29,FALSE)="","",VLOOKUP($BS847,'État &amp; Plan d''action'!$B$6:$AJ$1113,29,FALSE))</f>
        <v/>
      </c>
      <c r="DS847" s="70" t="str">
        <f>IF(VLOOKUP($BS847,'État &amp; Plan d''action'!$B$6:$AJ$1113,30,FALSE)="","",VLOOKUP($BS847,'État &amp; Plan d''action'!$B$6:$AJ$1113,30,FALSE))</f>
        <v/>
      </c>
      <c r="DT847" s="70" t="s">
        <v>1124</v>
      </c>
      <c r="DU847" s="485" t="s">
        <v>1124</v>
      </c>
      <c r="DV847" s="485" t="s">
        <v>1124</v>
      </c>
      <c r="DW847" s="70" t="s">
        <v>1124</v>
      </c>
      <c r="DX847" s="70" t="s">
        <v>1124</v>
      </c>
      <c r="DY847" s="70" t="s">
        <v>1124</v>
      </c>
      <c r="DZ847" s="70" t="str">
        <f>VLOOKUP($BS847,'État &amp; Plan d''action'!$B$6:$AH$1113,31,FALSE)</f>
        <v/>
      </c>
      <c r="EA847" s="70" t="str">
        <f>VLOOKUP($BS847,'État &amp; Plan d''action'!$B$6:$AH$1113,32,FALSE)</f>
        <v/>
      </c>
      <c r="EB847" s="70" t="str">
        <f>VLOOKUP($BS847,'État &amp; Plan d''action'!$B$6:$AH$1113,33,FALSE)</f>
        <v/>
      </c>
      <c r="EC847" s="70" t="s">
        <v>1124</v>
      </c>
      <c r="ED847" s="70" t="s">
        <v>1124</v>
      </c>
      <c r="EE847" s="70" t="s">
        <v>1124</v>
      </c>
      <c r="EF847" s="70" t="s">
        <v>1124</v>
      </c>
      <c r="EG847" s="70" t="s">
        <v>1124</v>
      </c>
      <c r="EH847" s="72"/>
      <c r="EI847" s="72">
        <v>364</v>
      </c>
    </row>
    <row r="848" spans="71:139" x14ac:dyDescent="0.35">
      <c r="BS848" s="486">
        <v>8010</v>
      </c>
      <c r="BT848" s="479" t="s">
        <v>1087</v>
      </c>
      <c r="BU848" s="479">
        <v>1</v>
      </c>
      <c r="BV848" s="476" t="s">
        <v>1188</v>
      </c>
      <c r="BW848" s="476" t="s">
        <v>1188</v>
      </c>
      <c r="BX848" s="476" t="s">
        <v>1188</v>
      </c>
      <c r="BY848" s="476" t="s">
        <v>1188</v>
      </c>
      <c r="BZ848" s="476" t="s">
        <v>1188</v>
      </c>
      <c r="CA848" s="476" t="s">
        <v>1188</v>
      </c>
      <c r="CB848" s="476" t="s">
        <v>1188</v>
      </c>
      <c r="CC848" s="476" t="s">
        <v>1188</v>
      </c>
      <c r="CD848" s="476" t="s">
        <v>1188</v>
      </c>
      <c r="CE848" s="476" t="s">
        <v>1188</v>
      </c>
      <c r="CF848" s="476" t="s">
        <v>1188</v>
      </c>
      <c r="CG848" s="476" t="s">
        <v>1187</v>
      </c>
      <c r="CH848" s="476" t="s">
        <v>1187</v>
      </c>
      <c r="CI848" s="476" t="s">
        <v>1187</v>
      </c>
      <c r="CJ848" s="476" t="s">
        <v>1187</v>
      </c>
      <c r="CK848" s="476" t="s">
        <v>1187</v>
      </c>
      <c r="CL848" s="476" t="s">
        <v>1187</v>
      </c>
      <c r="CM848" s="476" t="str">
        <f>IF(VLOOKUP(BS848,'Données par municipalité'!$B$6:$E$1113,4,FALSE)="","non","oui")</f>
        <v>non</v>
      </c>
      <c r="CN848" s="410">
        <v>1682.121856579219</v>
      </c>
      <c r="CO848" s="410">
        <v>1295.0659336953222</v>
      </c>
      <c r="CP848" s="410"/>
      <c r="CQ848" s="410"/>
      <c r="CR848" s="410"/>
      <c r="CS848" s="410" t="s">
        <v>1124</v>
      </c>
      <c r="CT848" s="410"/>
      <c r="CU848" s="410" t="s">
        <v>1124</v>
      </c>
      <c r="CV848" s="410" t="str">
        <f>IF(VLOOKUP(BS848,'Données par municipalité'!$B$6:$F$1113,4,FALSE)="","",VLOOKUP(BS848,'Données par municipalité'!$B$6:$F$1113,4,FALSE))</f>
        <v/>
      </c>
      <c r="CW848" s="476" t="s">
        <v>4723</v>
      </c>
      <c r="CX848" s="483" t="s">
        <v>1124</v>
      </c>
      <c r="CY848" s="483" t="s">
        <v>1124</v>
      </c>
      <c r="CZ848" s="483" t="s">
        <v>1124</v>
      </c>
      <c r="DA848" s="483" t="s">
        <v>1124</v>
      </c>
      <c r="DB848" s="483" t="s">
        <v>1124</v>
      </c>
      <c r="DC848" s="483" t="s">
        <v>1124</v>
      </c>
      <c r="DD848" s="483" t="s">
        <v>1124</v>
      </c>
      <c r="DE848" s="483" t="str">
        <f>IFERROR(SUM(VLOOKUP($BS848,'État &amp; Plan d''action'!$B$6:$Z$1113,18,FALSE),VLOOKUP($BS848,'État &amp; Plan d''action'!$B$6:$Z$1113,20,FALSE))/(VLOOKUP($BS848,'Données par municipalité'!$B$4:$L$1113,11,FALSE)),"")</f>
        <v/>
      </c>
      <c r="DF848" s="483" t="str">
        <f>IFERROR(SUM(VLOOKUP($BS848,'État &amp; Plan d''action'!$B$6:$Z$1113,19,FALSE),VLOOKUP($BS848,'État &amp; Plan d''action'!$B$6:$Z$1113,21,FALSE))/(VLOOKUP($BS848,'Données par municipalité'!$B$4:$L$1113,11,FALSE)),"")</f>
        <v/>
      </c>
      <c r="DG848" s="476" t="s">
        <v>4723</v>
      </c>
      <c r="DH848" s="484">
        <v>2</v>
      </c>
      <c r="DI848" s="484" t="s">
        <v>1124</v>
      </c>
      <c r="DJ848" s="484">
        <v>0</v>
      </c>
      <c r="DK848" s="484">
        <v>0</v>
      </c>
      <c r="DL848" s="484" t="s">
        <v>1124</v>
      </c>
      <c r="DM848" s="484" t="s">
        <v>1124</v>
      </c>
      <c r="DN848" s="484" t="s">
        <v>1124</v>
      </c>
      <c r="DO848" s="484" t="s">
        <v>1124</v>
      </c>
      <c r="DP848" s="484" t="s">
        <v>1124</v>
      </c>
      <c r="DQ848" s="484" t="str">
        <f>IF(VLOOKUP($BS848,'État &amp; Plan d''action'!$B$6:$AJ$1113,28,FALSE)="","",VLOOKUP($BS848,'État &amp; Plan d''action'!$B$6:$AJ$1113,28,FALSE))</f>
        <v/>
      </c>
      <c r="DR848" s="70" t="str">
        <f>IF(VLOOKUP($BS848,'État &amp; Plan d''action'!$B$6:$AJ$1113,29,FALSE)="","",VLOOKUP($BS848,'État &amp; Plan d''action'!$B$6:$AJ$1113,29,FALSE))</f>
        <v/>
      </c>
      <c r="DS848" s="70" t="str">
        <f>IF(VLOOKUP($BS848,'État &amp; Plan d''action'!$B$6:$AJ$1113,30,FALSE)="","",VLOOKUP($BS848,'État &amp; Plan d''action'!$B$6:$AJ$1113,30,FALSE))</f>
        <v/>
      </c>
      <c r="DT848" s="70" t="s">
        <v>1124</v>
      </c>
      <c r="DU848" s="485" t="s">
        <v>1124</v>
      </c>
      <c r="DV848" s="485" t="s">
        <v>1124</v>
      </c>
      <c r="DW848" s="70" t="s">
        <v>1124</v>
      </c>
      <c r="DX848" s="70" t="s">
        <v>1124</v>
      </c>
      <c r="DY848" s="70" t="s">
        <v>1124</v>
      </c>
      <c r="DZ848" s="70" t="str">
        <f>VLOOKUP($BS848,'État &amp; Plan d''action'!$B$6:$AH$1113,31,FALSE)</f>
        <v/>
      </c>
      <c r="EA848" s="70" t="str">
        <f>VLOOKUP($BS848,'État &amp; Plan d''action'!$B$6:$AH$1113,32,FALSE)</f>
        <v/>
      </c>
      <c r="EB848" s="70" t="str">
        <f>VLOOKUP($BS848,'État &amp; Plan d''action'!$B$6:$AH$1113,33,FALSE)</f>
        <v/>
      </c>
      <c r="EC848" s="70" t="s">
        <v>1124</v>
      </c>
      <c r="ED848" s="70" t="s">
        <v>1124</v>
      </c>
      <c r="EE848" s="70" t="s">
        <v>1124</v>
      </c>
      <c r="EF848" s="70" t="s">
        <v>1124</v>
      </c>
      <c r="EG848" s="70" t="s">
        <v>1124</v>
      </c>
      <c r="EH848" s="72"/>
      <c r="EI848" s="72">
        <v>165</v>
      </c>
    </row>
    <row r="849" spans="71:139" x14ac:dyDescent="0.35">
      <c r="BS849" s="486">
        <v>11010</v>
      </c>
      <c r="BT849" s="479" t="s">
        <v>18</v>
      </c>
      <c r="BU849" s="479">
        <v>1</v>
      </c>
      <c r="BV849" s="476" t="s">
        <v>1187</v>
      </c>
      <c r="BW849" s="476" t="s">
        <v>1187</v>
      </c>
      <c r="BX849" s="476" t="s">
        <v>1187</v>
      </c>
      <c r="BY849" s="476" t="s">
        <v>1187</v>
      </c>
      <c r="BZ849" s="476" t="s">
        <v>1187</v>
      </c>
      <c r="CA849" s="476" t="s">
        <v>1187</v>
      </c>
      <c r="CB849" s="476" t="s">
        <v>1187</v>
      </c>
      <c r="CC849" s="476" t="s">
        <v>1187</v>
      </c>
      <c r="CD849" s="476" t="s">
        <v>1187</v>
      </c>
      <c r="CE849" s="476" t="s">
        <v>1188</v>
      </c>
      <c r="CF849" s="476" t="s">
        <v>1188</v>
      </c>
      <c r="CG849" s="476" t="s">
        <v>1188</v>
      </c>
      <c r="CH849" s="476" t="s">
        <v>1188</v>
      </c>
      <c r="CI849" s="476" t="s">
        <v>1188</v>
      </c>
      <c r="CJ849" s="476" t="s">
        <v>1188</v>
      </c>
      <c r="CK849" s="476" t="s">
        <v>1188</v>
      </c>
      <c r="CL849" s="476" t="s">
        <v>1188</v>
      </c>
      <c r="CM849" s="476" t="str">
        <f>IF(VLOOKUP(BS849,'Données par municipalité'!$B$6:$E$1113,4,FALSE)="","non","oui")</f>
        <v>oui</v>
      </c>
      <c r="CN849" s="410">
        <v>321.13553525265343</v>
      </c>
      <c r="CO849" s="410">
        <v>308.54722585108476</v>
      </c>
      <c r="CP849" s="410">
        <v>230.77988871152564</v>
      </c>
      <c r="CQ849" s="410">
        <v>257.20783548859833</v>
      </c>
      <c r="CR849" s="410">
        <v>233.89518983802137</v>
      </c>
      <c r="CS849" s="410">
        <v>277.72595321049721</v>
      </c>
      <c r="CT849" s="410">
        <v>214.75127424103638</v>
      </c>
      <c r="CU849" s="410">
        <v>257</v>
      </c>
      <c r="CV849" s="410">
        <f>IF(VLOOKUP(BS849,'Données par municipalité'!$B$6:$F$1113,4,FALSE)="","",VLOOKUP(BS849,'Données par municipalité'!$B$6:$F$1113,4,FALSE))</f>
        <v>249</v>
      </c>
      <c r="CW849" s="476" t="s">
        <v>4723</v>
      </c>
      <c r="CX849" s="483">
        <v>1</v>
      </c>
      <c r="CY849" s="483">
        <v>0</v>
      </c>
      <c r="CZ849" s="483">
        <v>0</v>
      </c>
      <c r="DA849" s="483">
        <v>0</v>
      </c>
      <c r="DB849" s="483">
        <v>0</v>
      </c>
      <c r="DC849" s="483">
        <v>0</v>
      </c>
      <c r="DD849" s="483">
        <v>0.28068862275449102</v>
      </c>
      <c r="DE849" s="483">
        <f>IFERROR(SUM(VLOOKUP($BS849,'État &amp; Plan d''action'!$B$6:$Z$1113,18,FALSE),VLOOKUP($BS849,'État &amp; Plan d''action'!$B$6:$Z$1113,20,FALSE))/(VLOOKUP($BS849,'Données par municipalité'!$B$4:$L$1113,11,FALSE)),"")</f>
        <v>0</v>
      </c>
      <c r="DF849" s="483">
        <f>IFERROR(SUM(VLOOKUP($BS849,'État &amp; Plan d''action'!$B$6:$Z$1113,19,FALSE),VLOOKUP($BS849,'État &amp; Plan d''action'!$B$6:$Z$1113,21,FALSE))/(VLOOKUP($BS849,'Données par municipalité'!$B$4:$L$1113,11,FALSE)),"")</f>
        <v>0</v>
      </c>
      <c r="DG849" s="476" t="s">
        <v>4723</v>
      </c>
      <c r="DH849" s="484">
        <v>0</v>
      </c>
      <c r="DI849" s="484">
        <v>2</v>
      </c>
      <c r="DJ849" s="484">
        <v>0</v>
      </c>
      <c r="DK849" s="484">
        <v>2</v>
      </c>
      <c r="DL849" s="484">
        <v>2</v>
      </c>
      <c r="DM849" s="484">
        <v>0</v>
      </c>
      <c r="DN849" s="484">
        <v>0</v>
      </c>
      <c r="DO849" s="484">
        <v>0</v>
      </c>
      <c r="DP849" s="484">
        <v>0</v>
      </c>
      <c r="DQ849" s="484">
        <f>IF(VLOOKUP($BS849,'État &amp; Plan d''action'!$B$6:$AJ$1113,28,FALSE)="","",VLOOKUP($BS849,'État &amp; Plan d''action'!$B$6:$AJ$1113,28,FALSE))</f>
        <v>0</v>
      </c>
      <c r="DR849" s="70">
        <f>IF(VLOOKUP($BS849,'État &amp; Plan d''action'!$B$6:$AJ$1113,29,FALSE)="","",VLOOKUP($BS849,'État &amp; Plan d''action'!$B$6:$AJ$1113,29,FALSE))</f>
        <v>0</v>
      </c>
      <c r="DS849" s="70">
        <f>IF(VLOOKUP($BS849,'État &amp; Plan d''action'!$B$6:$AJ$1113,30,FALSE)="","",VLOOKUP($BS849,'État &amp; Plan d''action'!$B$6:$AJ$1113,30,FALSE))</f>
        <v>0</v>
      </c>
      <c r="DT849" s="70">
        <v>205</v>
      </c>
      <c r="DU849" s="485">
        <v>1.421815681053952</v>
      </c>
      <c r="DV849" s="485">
        <v>1.1993638129085806</v>
      </c>
      <c r="DW849" s="70">
        <v>0</v>
      </c>
      <c r="DX849" s="70">
        <v>0</v>
      </c>
      <c r="DY849" s="70">
        <v>0</v>
      </c>
      <c r="DZ849" s="70">
        <f>VLOOKUP($BS849,'État &amp; Plan d''action'!$B$6:$AH$1113,31,FALSE)</f>
        <v>0</v>
      </c>
      <c r="EA849" s="70">
        <f>VLOOKUP($BS849,'État &amp; Plan d''action'!$B$6:$AH$1113,32,FALSE)</f>
        <v>0</v>
      </c>
      <c r="EB849" s="70">
        <f>VLOOKUP($BS849,'État &amp; Plan d''action'!$B$6:$AH$1113,33,FALSE)</f>
        <v>0</v>
      </c>
      <c r="EC849" s="70">
        <v>0</v>
      </c>
      <c r="ED849" s="70">
        <v>0</v>
      </c>
      <c r="EE849" s="70">
        <v>3</v>
      </c>
      <c r="EF849" s="70">
        <v>0</v>
      </c>
      <c r="EG849" s="70">
        <v>0</v>
      </c>
      <c r="EH849" s="72">
        <v>45</v>
      </c>
      <c r="EI849" s="72">
        <v>1618</v>
      </c>
    </row>
    <row r="850" spans="71:139" x14ac:dyDescent="0.35">
      <c r="BS850" s="486">
        <v>13010</v>
      </c>
      <c r="BT850" s="479" t="s">
        <v>42</v>
      </c>
      <c r="BU850" s="479">
        <v>1</v>
      </c>
      <c r="BV850" s="476" t="s">
        <v>1188</v>
      </c>
      <c r="BW850" s="476" t="s">
        <v>1188</v>
      </c>
      <c r="BX850" s="476" t="s">
        <v>1188</v>
      </c>
      <c r="BY850" s="476" t="s">
        <v>1188</v>
      </c>
      <c r="BZ850" s="476" t="s">
        <v>1188</v>
      </c>
      <c r="CA850" s="476" t="s">
        <v>1188</v>
      </c>
      <c r="CB850" s="476" t="s">
        <v>1188</v>
      </c>
      <c r="CC850" s="476" t="s">
        <v>1188</v>
      </c>
      <c r="CD850" s="476" t="s">
        <v>1188</v>
      </c>
      <c r="CE850" s="476" t="s">
        <v>1187</v>
      </c>
      <c r="CF850" s="476" t="s">
        <v>1187</v>
      </c>
      <c r="CG850" s="476" t="s">
        <v>1187</v>
      </c>
      <c r="CH850" s="476" t="s">
        <v>1187</v>
      </c>
      <c r="CI850" s="476" t="s">
        <v>1187</v>
      </c>
      <c r="CJ850" s="476" t="s">
        <v>1187</v>
      </c>
      <c r="CK850" s="476" t="s">
        <v>1187</v>
      </c>
      <c r="CL850" s="476" t="s">
        <v>1187</v>
      </c>
      <c r="CM850" s="476" t="str">
        <f>IF(VLOOKUP(BS850,'Données par municipalité'!$B$6:$E$1113,4,FALSE)="","non","oui")</f>
        <v>non</v>
      </c>
      <c r="CN850" s="410" t="s">
        <v>1124</v>
      </c>
      <c r="CO850" s="410" t="s">
        <v>1124</v>
      </c>
      <c r="CP850" s="410"/>
      <c r="CQ850" s="410"/>
      <c r="CR850" s="410"/>
      <c r="CS850" s="410" t="s">
        <v>1124</v>
      </c>
      <c r="CT850" s="410"/>
      <c r="CU850" s="410" t="s">
        <v>1124</v>
      </c>
      <c r="CV850" s="410" t="str">
        <f>IF(VLOOKUP(BS850,'Données par municipalité'!$B$6:$F$1113,4,FALSE)="","",VLOOKUP(BS850,'Données par municipalité'!$B$6:$F$1113,4,FALSE))</f>
        <v/>
      </c>
      <c r="CW850" s="476" t="s">
        <v>4723</v>
      </c>
      <c r="CX850" s="483" t="s">
        <v>1124</v>
      </c>
      <c r="CY850" s="483" t="s">
        <v>1124</v>
      </c>
      <c r="CZ850" s="483" t="s">
        <v>1124</v>
      </c>
      <c r="DA850" s="483" t="s">
        <v>1124</v>
      </c>
      <c r="DB850" s="483" t="s">
        <v>1124</v>
      </c>
      <c r="DC850" s="483" t="s">
        <v>1124</v>
      </c>
      <c r="DD850" s="483" t="s">
        <v>1124</v>
      </c>
      <c r="DE850" s="483" t="str">
        <f>IFERROR(SUM(VLOOKUP($BS850,'État &amp; Plan d''action'!$B$6:$Z$1113,18,FALSE),VLOOKUP($BS850,'État &amp; Plan d''action'!$B$6:$Z$1113,20,FALSE))/(VLOOKUP($BS850,'Données par municipalité'!$B$4:$L$1113,11,FALSE)),"")</f>
        <v/>
      </c>
      <c r="DF850" s="483" t="str">
        <f>IFERROR(SUM(VLOOKUP($BS850,'État &amp; Plan d''action'!$B$6:$Z$1113,19,FALSE),VLOOKUP($BS850,'État &amp; Plan d''action'!$B$6:$Z$1113,21,FALSE))/(VLOOKUP($BS850,'Données par municipalité'!$B$4:$L$1113,11,FALSE)),"")</f>
        <v/>
      </c>
      <c r="DG850" s="476" t="s">
        <v>4723</v>
      </c>
      <c r="DH850" s="484" t="s">
        <v>1124</v>
      </c>
      <c r="DI850" s="484" t="s">
        <v>1124</v>
      </c>
      <c r="DJ850" s="484">
        <v>0</v>
      </c>
      <c r="DK850" s="484">
        <v>0</v>
      </c>
      <c r="DL850" s="484" t="s">
        <v>1124</v>
      </c>
      <c r="DM850" s="484" t="s">
        <v>1124</v>
      </c>
      <c r="DN850" s="484" t="s">
        <v>1124</v>
      </c>
      <c r="DO850" s="484" t="s">
        <v>1124</v>
      </c>
      <c r="DP850" s="484" t="s">
        <v>1124</v>
      </c>
      <c r="DQ850" s="484" t="str">
        <f>IF(VLOOKUP($BS850,'État &amp; Plan d''action'!$B$6:$AJ$1113,28,FALSE)="","",VLOOKUP($BS850,'État &amp; Plan d''action'!$B$6:$AJ$1113,28,FALSE))</f>
        <v/>
      </c>
      <c r="DR850" s="70" t="str">
        <f>IF(VLOOKUP($BS850,'État &amp; Plan d''action'!$B$6:$AJ$1113,29,FALSE)="","",VLOOKUP($BS850,'État &amp; Plan d''action'!$B$6:$AJ$1113,29,FALSE))</f>
        <v/>
      </c>
      <c r="DS850" s="70" t="str">
        <f>IF(VLOOKUP($BS850,'État &amp; Plan d''action'!$B$6:$AJ$1113,30,FALSE)="","",VLOOKUP($BS850,'État &amp; Plan d''action'!$B$6:$AJ$1113,30,FALSE))</f>
        <v/>
      </c>
      <c r="DT850" s="70" t="s">
        <v>1124</v>
      </c>
      <c r="DU850" s="485" t="s">
        <v>1124</v>
      </c>
      <c r="DV850" s="485" t="s">
        <v>1124</v>
      </c>
      <c r="DW850" s="70" t="s">
        <v>1124</v>
      </c>
      <c r="DX850" s="70" t="s">
        <v>1124</v>
      </c>
      <c r="DY850" s="70" t="s">
        <v>1124</v>
      </c>
      <c r="DZ850" s="70" t="str">
        <f>VLOOKUP($BS850,'État &amp; Plan d''action'!$B$6:$AH$1113,31,FALSE)</f>
        <v/>
      </c>
      <c r="EA850" s="70" t="str">
        <f>VLOOKUP($BS850,'État &amp; Plan d''action'!$B$6:$AH$1113,32,FALSE)</f>
        <v/>
      </c>
      <c r="EB850" s="70" t="str">
        <f>VLOOKUP($BS850,'État &amp; Plan d''action'!$B$6:$AH$1113,33,FALSE)</f>
        <v/>
      </c>
      <c r="EC850" s="70" t="s">
        <v>1124</v>
      </c>
      <c r="ED850" s="70" t="s">
        <v>1124</v>
      </c>
      <c r="EE850" s="70" t="s">
        <v>1124</v>
      </c>
      <c r="EF850" s="70" t="s">
        <v>1124</v>
      </c>
      <c r="EG850" s="70" t="s">
        <v>1124</v>
      </c>
      <c r="EH850" s="72"/>
      <c r="EI850" s="72">
        <v>241</v>
      </c>
    </row>
    <row r="851" spans="71:139" x14ac:dyDescent="0.35">
      <c r="BS851" s="486">
        <v>20015</v>
      </c>
      <c r="BT851" s="479" t="s">
        <v>140</v>
      </c>
      <c r="BU851" s="479">
        <v>3</v>
      </c>
      <c r="BV851" s="476" t="s">
        <v>1188</v>
      </c>
      <c r="BW851" s="476" t="s">
        <v>1188</v>
      </c>
      <c r="BX851" s="476" t="s">
        <v>1188</v>
      </c>
      <c r="BY851" s="476" t="s">
        <v>1188</v>
      </c>
      <c r="BZ851" s="476" t="s">
        <v>1188</v>
      </c>
      <c r="CA851" s="476" t="s">
        <v>1188</v>
      </c>
      <c r="CB851" s="476" t="s">
        <v>1188</v>
      </c>
      <c r="CC851" s="476" t="s">
        <v>1188</v>
      </c>
      <c r="CD851" s="476" t="s">
        <v>1188</v>
      </c>
      <c r="CE851" s="476" t="s">
        <v>1187</v>
      </c>
      <c r="CF851" s="476" t="s">
        <v>1187</v>
      </c>
      <c r="CG851" s="476" t="s">
        <v>1187</v>
      </c>
      <c r="CH851" s="476" t="s">
        <v>1187</v>
      </c>
      <c r="CI851" s="476" t="s">
        <v>1187</v>
      </c>
      <c r="CJ851" s="476" t="s">
        <v>1187</v>
      </c>
      <c r="CK851" s="476" t="s">
        <v>1187</v>
      </c>
      <c r="CL851" s="476" t="s">
        <v>1187</v>
      </c>
      <c r="CM851" s="476" t="str">
        <f>IF(VLOOKUP(BS851,'Données par municipalité'!$B$6:$E$1113,4,FALSE)="","non","oui")</f>
        <v>non</v>
      </c>
      <c r="CN851" s="410" t="s">
        <v>1124</v>
      </c>
      <c r="CO851" s="410" t="s">
        <v>1124</v>
      </c>
      <c r="CP851" s="410"/>
      <c r="CQ851" s="410"/>
      <c r="CR851" s="410"/>
      <c r="CS851" s="410" t="s">
        <v>1124</v>
      </c>
      <c r="CT851" s="410"/>
      <c r="CU851" s="410" t="s">
        <v>1124</v>
      </c>
      <c r="CV851" s="410" t="str">
        <f>IF(VLOOKUP(BS851,'Données par municipalité'!$B$6:$F$1113,4,FALSE)="","",VLOOKUP(BS851,'Données par municipalité'!$B$6:$F$1113,4,FALSE))</f>
        <v/>
      </c>
      <c r="CW851" s="476" t="s">
        <v>4723</v>
      </c>
      <c r="CX851" s="483" t="s">
        <v>1124</v>
      </c>
      <c r="CY851" s="483" t="s">
        <v>1124</v>
      </c>
      <c r="CZ851" s="483" t="s">
        <v>1124</v>
      </c>
      <c r="DA851" s="483" t="s">
        <v>1124</v>
      </c>
      <c r="DB851" s="483" t="s">
        <v>1124</v>
      </c>
      <c r="DC851" s="483" t="s">
        <v>1124</v>
      </c>
      <c r="DD851" s="483" t="s">
        <v>1124</v>
      </c>
      <c r="DE851" s="483" t="str">
        <f>IFERROR(SUM(VLOOKUP($BS851,'État &amp; Plan d''action'!$B$6:$Z$1113,18,FALSE),VLOOKUP($BS851,'État &amp; Plan d''action'!$B$6:$Z$1113,20,FALSE))/(VLOOKUP($BS851,'Données par municipalité'!$B$4:$L$1113,11,FALSE)),"")</f>
        <v/>
      </c>
      <c r="DF851" s="483" t="str">
        <f>IFERROR(SUM(VLOOKUP($BS851,'État &amp; Plan d''action'!$B$6:$Z$1113,19,FALSE),VLOOKUP($BS851,'État &amp; Plan d''action'!$B$6:$Z$1113,21,FALSE))/(VLOOKUP($BS851,'Données par municipalité'!$B$4:$L$1113,11,FALSE)),"")</f>
        <v/>
      </c>
      <c r="DG851" s="476" t="s">
        <v>4723</v>
      </c>
      <c r="DH851" s="484" t="s">
        <v>1124</v>
      </c>
      <c r="DI851" s="484" t="s">
        <v>1124</v>
      </c>
      <c r="DJ851" s="484">
        <v>0</v>
      </c>
      <c r="DK851" s="484">
        <v>0</v>
      </c>
      <c r="DL851" s="484" t="s">
        <v>1124</v>
      </c>
      <c r="DM851" s="484" t="s">
        <v>1124</v>
      </c>
      <c r="DN851" s="484" t="s">
        <v>1124</v>
      </c>
      <c r="DO851" s="484" t="s">
        <v>1124</v>
      </c>
      <c r="DP851" s="484" t="s">
        <v>1124</v>
      </c>
      <c r="DQ851" s="484" t="str">
        <f>IF(VLOOKUP($BS851,'État &amp; Plan d''action'!$B$6:$AJ$1113,28,FALSE)="","",VLOOKUP($BS851,'État &amp; Plan d''action'!$B$6:$AJ$1113,28,FALSE))</f>
        <v/>
      </c>
      <c r="DR851" s="70" t="str">
        <f>IF(VLOOKUP($BS851,'État &amp; Plan d''action'!$B$6:$AJ$1113,29,FALSE)="","",VLOOKUP($BS851,'État &amp; Plan d''action'!$B$6:$AJ$1113,29,FALSE))</f>
        <v/>
      </c>
      <c r="DS851" s="70" t="str">
        <f>IF(VLOOKUP($BS851,'État &amp; Plan d''action'!$B$6:$AJ$1113,30,FALSE)="","",VLOOKUP($BS851,'État &amp; Plan d''action'!$B$6:$AJ$1113,30,FALSE))</f>
        <v/>
      </c>
      <c r="DT851" s="70" t="s">
        <v>1124</v>
      </c>
      <c r="DU851" s="485" t="s">
        <v>1124</v>
      </c>
      <c r="DV851" s="485" t="s">
        <v>1124</v>
      </c>
      <c r="DW851" s="70" t="s">
        <v>1124</v>
      </c>
      <c r="DX851" s="70" t="s">
        <v>1124</v>
      </c>
      <c r="DY851" s="70" t="s">
        <v>1124</v>
      </c>
      <c r="DZ851" s="70" t="str">
        <f>VLOOKUP($BS851,'État &amp; Plan d''action'!$B$6:$AH$1113,31,FALSE)</f>
        <v/>
      </c>
      <c r="EA851" s="70" t="str">
        <f>VLOOKUP($BS851,'État &amp; Plan d''action'!$B$6:$AH$1113,32,FALSE)</f>
        <v/>
      </c>
      <c r="EB851" s="70" t="str">
        <f>VLOOKUP($BS851,'État &amp; Plan d''action'!$B$6:$AH$1113,33,FALSE)</f>
        <v/>
      </c>
      <c r="EC851" s="70" t="s">
        <v>1124</v>
      </c>
      <c r="ED851" s="70" t="s">
        <v>1124</v>
      </c>
      <c r="EE851" s="70" t="s">
        <v>1124</v>
      </c>
      <c r="EF851" s="70" t="s">
        <v>1124</v>
      </c>
      <c r="EG851" s="70" t="s">
        <v>1124</v>
      </c>
      <c r="EH851" s="72"/>
      <c r="EI851" s="72">
        <v>1215</v>
      </c>
    </row>
    <row r="852" spans="71:139" x14ac:dyDescent="0.35">
      <c r="BS852" s="486">
        <v>62015</v>
      </c>
      <c r="BT852" s="479" t="s">
        <v>620</v>
      </c>
      <c r="BU852" s="479">
        <v>14</v>
      </c>
      <c r="BV852" s="476" t="s">
        <v>1187</v>
      </c>
      <c r="BW852" s="476" t="s">
        <v>1187</v>
      </c>
      <c r="BX852" s="476" t="s">
        <v>1187</v>
      </c>
      <c r="BY852" s="476" t="s">
        <v>1187</v>
      </c>
      <c r="BZ852" s="476" t="s">
        <v>1187</v>
      </c>
      <c r="CA852" s="476" t="s">
        <v>1187</v>
      </c>
      <c r="CB852" s="476" t="s">
        <v>1187</v>
      </c>
      <c r="CC852" s="476" t="s">
        <v>1187</v>
      </c>
      <c r="CD852" s="476" t="s">
        <v>1187</v>
      </c>
      <c r="CE852" s="476" t="s">
        <v>1188</v>
      </c>
      <c r="CF852" s="476" t="s">
        <v>1188</v>
      </c>
      <c r="CG852" s="476" t="s">
        <v>1187</v>
      </c>
      <c r="CH852" s="476" t="s">
        <v>1187</v>
      </c>
      <c r="CI852" s="476" t="s">
        <v>1188</v>
      </c>
      <c r="CJ852" s="476" t="s">
        <v>1187</v>
      </c>
      <c r="CK852" s="476" t="s">
        <v>1188</v>
      </c>
      <c r="CL852" s="476" t="s">
        <v>1187</v>
      </c>
      <c r="CM852" s="476" t="str">
        <f>IF(VLOOKUP(BS852,'Données par municipalité'!$B$6:$E$1113,4,FALSE)="","non","oui")</f>
        <v>oui</v>
      </c>
      <c r="CN852" s="410">
        <v>378.69531432506972</v>
      </c>
      <c r="CO852" s="410">
        <v>489.3984165937095</v>
      </c>
      <c r="CP852" s="410"/>
      <c r="CQ852" s="410"/>
      <c r="CR852" s="410">
        <v>338.23078235953409</v>
      </c>
      <c r="CS852" s="410" t="s">
        <v>1124</v>
      </c>
      <c r="CT852" s="410">
        <v>402.60232252589316</v>
      </c>
      <c r="CU852" s="410" t="s">
        <v>1124</v>
      </c>
      <c r="CV852" s="410">
        <f>IF(VLOOKUP(BS852,'Données par municipalité'!$B$6:$F$1113,4,FALSE)="","",VLOOKUP(BS852,'Données par municipalité'!$B$6:$F$1113,4,FALSE))</f>
        <v>355</v>
      </c>
      <c r="CW852" s="476" t="s">
        <v>4723</v>
      </c>
      <c r="CX852" s="483">
        <v>0</v>
      </c>
      <c r="CY852" s="483" t="s">
        <v>1124</v>
      </c>
      <c r="CZ852" s="483" t="s">
        <v>1124</v>
      </c>
      <c r="DA852" s="483">
        <v>0</v>
      </c>
      <c r="DB852" s="483" t="s">
        <v>1124</v>
      </c>
      <c r="DC852" s="483">
        <v>0.5</v>
      </c>
      <c r="DD852" s="483" t="s">
        <v>1124</v>
      </c>
      <c r="DE852" s="483">
        <f>IFERROR(SUM(VLOOKUP($BS852,'État &amp; Plan d''action'!$B$6:$Z$1113,18,FALSE),VLOOKUP($BS852,'État &amp; Plan d''action'!$B$6:$Z$1113,20,FALSE))/(VLOOKUP($BS852,'Données par municipalité'!$B$4:$L$1113,11,FALSE)),"")</f>
        <v>1.5</v>
      </c>
      <c r="DF852" s="483">
        <f>IFERROR(SUM(VLOOKUP($BS852,'État &amp; Plan d''action'!$B$6:$Z$1113,19,FALSE),VLOOKUP($BS852,'État &amp; Plan d''action'!$B$6:$Z$1113,21,FALSE))/(VLOOKUP($BS852,'Données par municipalité'!$B$4:$L$1113,11,FALSE)),"")</f>
        <v>1</v>
      </c>
      <c r="DG852" s="476" t="s">
        <v>4723</v>
      </c>
      <c r="DH852" s="484">
        <v>1</v>
      </c>
      <c r="DI852" s="484" t="s">
        <v>1124</v>
      </c>
      <c r="DJ852" s="484">
        <v>0</v>
      </c>
      <c r="DK852" s="484">
        <v>2</v>
      </c>
      <c r="DL852" s="484" t="s">
        <v>1124</v>
      </c>
      <c r="DM852" s="484">
        <v>2</v>
      </c>
      <c r="DN852" s="484" t="s">
        <v>1124</v>
      </c>
      <c r="DO852" s="484" t="s">
        <v>1124</v>
      </c>
      <c r="DP852" s="484" t="s">
        <v>1124</v>
      </c>
      <c r="DQ852" s="484">
        <f>IF(VLOOKUP($BS852,'État &amp; Plan d''action'!$B$6:$AJ$1113,28,FALSE)="","",VLOOKUP($BS852,'État &amp; Plan d''action'!$B$6:$AJ$1113,28,FALSE))</f>
        <v>1</v>
      </c>
      <c r="DR852" s="70">
        <f>IF(VLOOKUP($BS852,'État &amp; Plan d''action'!$B$6:$AJ$1113,29,FALSE)="","",VLOOKUP($BS852,'État &amp; Plan d''action'!$B$6:$AJ$1113,29,FALSE))</f>
        <v>0</v>
      </c>
      <c r="DS852" s="70">
        <f>IF(VLOOKUP($BS852,'État &amp; Plan d''action'!$B$6:$AJ$1113,30,FALSE)="","",VLOOKUP($BS852,'État &amp; Plan d''action'!$B$6:$AJ$1113,30,FALSE))</f>
        <v>0</v>
      </c>
      <c r="DT852" s="70" t="s">
        <v>1124</v>
      </c>
      <c r="DU852" s="485" t="s">
        <v>1124</v>
      </c>
      <c r="DV852" s="485">
        <v>3.2002981991002422</v>
      </c>
      <c r="DW852" s="70" t="s">
        <v>1124</v>
      </c>
      <c r="DX852" s="70" t="s">
        <v>1124</v>
      </c>
      <c r="DY852" s="70" t="s">
        <v>1124</v>
      </c>
      <c r="DZ852" s="70">
        <f>VLOOKUP($BS852,'État &amp; Plan d''action'!$B$6:$AH$1113,31,FALSE)</f>
        <v>1</v>
      </c>
      <c r="EA852" s="70">
        <f>VLOOKUP($BS852,'État &amp; Plan d''action'!$B$6:$AH$1113,32,FALSE)</f>
        <v>0</v>
      </c>
      <c r="EB852" s="70">
        <f>VLOOKUP($BS852,'État &amp; Plan d''action'!$B$6:$AH$1113,33,FALSE)</f>
        <v>0</v>
      </c>
      <c r="EC852" s="70" t="s">
        <v>1124</v>
      </c>
      <c r="ED852" s="70" t="s">
        <v>1124</v>
      </c>
      <c r="EE852" s="70" t="s">
        <v>1124</v>
      </c>
      <c r="EF852" s="70" t="s">
        <v>1124</v>
      </c>
      <c r="EG852" s="70" t="s">
        <v>1124</v>
      </c>
      <c r="EH852" s="72"/>
      <c r="EI852" s="72">
        <v>4496</v>
      </c>
    </row>
    <row r="853" spans="71:139" x14ac:dyDescent="0.35">
      <c r="BS853" s="486">
        <v>17070</v>
      </c>
      <c r="BT853" s="479" t="s">
        <v>102</v>
      </c>
      <c r="BU853" s="479">
        <v>12</v>
      </c>
      <c r="BV853" s="476" t="s">
        <v>1187</v>
      </c>
      <c r="BW853" s="476" t="s">
        <v>1187</v>
      </c>
      <c r="BX853" s="476" t="s">
        <v>1187</v>
      </c>
      <c r="BY853" s="476" t="s">
        <v>1187</v>
      </c>
      <c r="BZ853" s="476" t="s">
        <v>1187</v>
      </c>
      <c r="CA853" s="476" t="s">
        <v>1187</v>
      </c>
      <c r="CB853" s="476" t="s">
        <v>1187</v>
      </c>
      <c r="CC853" s="476" t="s">
        <v>1187</v>
      </c>
      <c r="CD853" s="476" t="s">
        <v>1187</v>
      </c>
      <c r="CE853" s="476" t="s">
        <v>1188</v>
      </c>
      <c r="CF853" s="476" t="s">
        <v>1188</v>
      </c>
      <c r="CG853" s="476" t="s">
        <v>1188</v>
      </c>
      <c r="CH853" s="476" t="s">
        <v>1188</v>
      </c>
      <c r="CI853" s="476" t="s">
        <v>1188</v>
      </c>
      <c r="CJ853" s="476" t="s">
        <v>1188</v>
      </c>
      <c r="CK853" s="476" t="s">
        <v>1188</v>
      </c>
      <c r="CL853" s="476" t="s">
        <v>1188</v>
      </c>
      <c r="CM853" s="476" t="str">
        <f>IF(VLOOKUP(BS853,'Données par municipalité'!$B$6:$E$1113,4,FALSE)="","non","oui")</f>
        <v>non</v>
      </c>
      <c r="CN853" s="410">
        <v>467.19367588932806</v>
      </c>
      <c r="CO853" s="410">
        <v>432.06548737553732</v>
      </c>
      <c r="CP853" s="410">
        <v>508.76972255828156</v>
      </c>
      <c r="CQ853" s="410">
        <v>547.4763455933878</v>
      </c>
      <c r="CR853" s="410">
        <v>803.05276947111349</v>
      </c>
      <c r="CS853" s="410">
        <v>637.63317575637041</v>
      </c>
      <c r="CT853" s="410">
        <v>511.17867264207251</v>
      </c>
      <c r="CU853" s="410">
        <v>696</v>
      </c>
      <c r="CV853" s="410" t="str">
        <f>IF(VLOOKUP(BS853,'Données par municipalité'!$B$6:$F$1113,4,FALSE)="","",VLOOKUP(BS853,'Données par municipalité'!$B$6:$F$1113,4,FALSE))</f>
        <v/>
      </c>
      <c r="CW853" s="476" t="s">
        <v>4723</v>
      </c>
      <c r="CX853" s="483">
        <v>0.05</v>
      </c>
      <c r="CY853" s="483">
        <v>0.05</v>
      </c>
      <c r="CZ853" s="483">
        <v>0.1</v>
      </c>
      <c r="DA853" s="483">
        <v>0.5</v>
      </c>
      <c r="DB853" s="483">
        <v>0.75</v>
      </c>
      <c r="DC853" s="483">
        <v>1</v>
      </c>
      <c r="DD853" s="483">
        <v>1</v>
      </c>
      <c r="DE853" s="483" t="str">
        <f>IFERROR(SUM(VLOOKUP($BS853,'État &amp; Plan d''action'!$B$6:$Z$1113,18,FALSE),VLOOKUP($BS853,'État &amp; Plan d''action'!$B$6:$Z$1113,20,FALSE))/(VLOOKUP($BS853,'Données par municipalité'!$B$4:$L$1113,11,FALSE)),"")</f>
        <v/>
      </c>
      <c r="DF853" s="483" t="str">
        <f>IFERROR(SUM(VLOOKUP($BS853,'État &amp; Plan d''action'!$B$6:$Z$1113,19,FALSE),VLOOKUP($BS853,'État &amp; Plan d''action'!$B$6:$Z$1113,21,FALSE))/(VLOOKUP($BS853,'Données par municipalité'!$B$4:$L$1113,11,FALSE)),"")</f>
        <v/>
      </c>
      <c r="DG853" s="476" t="s">
        <v>4723</v>
      </c>
      <c r="DH853" s="484">
        <v>5</v>
      </c>
      <c r="DI853" s="484">
        <v>1</v>
      </c>
      <c r="DJ853" s="484">
        <v>1</v>
      </c>
      <c r="DK853" s="484">
        <v>3</v>
      </c>
      <c r="DL853" s="484">
        <v>3</v>
      </c>
      <c r="DM853" s="484">
        <v>1</v>
      </c>
      <c r="DN853" s="484">
        <v>3</v>
      </c>
      <c r="DO853" s="484">
        <v>3</v>
      </c>
      <c r="DP853" s="484">
        <v>5</v>
      </c>
      <c r="DQ853" s="484" t="str">
        <f>IF(VLOOKUP($BS853,'État &amp; Plan d''action'!$B$6:$AJ$1113,28,FALSE)="","",VLOOKUP($BS853,'État &amp; Plan d''action'!$B$6:$AJ$1113,28,FALSE))</f>
        <v/>
      </c>
      <c r="DR853" s="70" t="str">
        <f>IF(VLOOKUP($BS853,'État &amp; Plan d''action'!$B$6:$AJ$1113,29,FALSE)="","",VLOOKUP($BS853,'État &amp; Plan d''action'!$B$6:$AJ$1113,29,FALSE))</f>
        <v/>
      </c>
      <c r="DS853" s="70" t="str">
        <f>IF(VLOOKUP($BS853,'État &amp; Plan d''action'!$B$6:$AJ$1113,30,FALSE)="","",VLOOKUP($BS853,'État &amp; Plan d''action'!$B$6:$AJ$1113,30,FALSE))</f>
        <v/>
      </c>
      <c r="DT853" s="70">
        <v>249</v>
      </c>
      <c r="DU853" s="485">
        <v>11.089570557286766</v>
      </c>
      <c r="DV853" s="485" t="s">
        <v>1124</v>
      </c>
      <c r="DW853" s="70">
        <v>2</v>
      </c>
      <c r="DX853" s="70">
        <v>2</v>
      </c>
      <c r="DY853" s="70">
        <v>2</v>
      </c>
      <c r="DZ853" s="70" t="str">
        <f>VLOOKUP($BS853,'État &amp; Plan d''action'!$B$6:$AH$1113,31,FALSE)</f>
        <v/>
      </c>
      <c r="EA853" s="70" t="str">
        <f>VLOOKUP($BS853,'État &amp; Plan d''action'!$B$6:$AH$1113,32,FALSE)</f>
        <v/>
      </c>
      <c r="EB853" s="70" t="str">
        <f>VLOOKUP($BS853,'État &amp; Plan d''action'!$B$6:$AH$1113,33,FALSE)</f>
        <v/>
      </c>
      <c r="EC853" s="70">
        <v>0</v>
      </c>
      <c r="ED853" s="70">
        <v>27.448</v>
      </c>
      <c r="EE853" s="70">
        <v>0</v>
      </c>
      <c r="EF853" s="70">
        <v>0</v>
      </c>
      <c r="EG853" s="70">
        <v>0</v>
      </c>
      <c r="EH853" s="72">
        <v>62</v>
      </c>
      <c r="EI853" s="72">
        <v>3400</v>
      </c>
    </row>
    <row r="854" spans="71:139" x14ac:dyDescent="0.35">
      <c r="BS854" s="486">
        <v>56083</v>
      </c>
      <c r="BT854" s="479" t="s">
        <v>578</v>
      </c>
      <c r="BU854" s="479">
        <v>16</v>
      </c>
      <c r="BV854" s="476" t="s">
        <v>1187</v>
      </c>
      <c r="BW854" s="476" t="s">
        <v>1187</v>
      </c>
      <c r="BX854" s="476" t="s">
        <v>1187</v>
      </c>
      <c r="BY854" s="476" t="s">
        <v>1187</v>
      </c>
      <c r="BZ854" s="476" t="s">
        <v>1187</v>
      </c>
      <c r="CA854" s="476" t="s">
        <v>1187</v>
      </c>
      <c r="CB854" s="476" t="s">
        <v>1187</v>
      </c>
      <c r="CC854" s="476" t="s">
        <v>1187</v>
      </c>
      <c r="CD854" s="476" t="s">
        <v>1187</v>
      </c>
      <c r="CE854" s="476" t="s">
        <v>1188</v>
      </c>
      <c r="CF854" s="476" t="s">
        <v>1188</v>
      </c>
      <c r="CG854" s="476" t="s">
        <v>1188</v>
      </c>
      <c r="CH854" s="476" t="s">
        <v>1188</v>
      </c>
      <c r="CI854" s="476" t="s">
        <v>1188</v>
      </c>
      <c r="CJ854" s="476" t="s">
        <v>1188</v>
      </c>
      <c r="CK854" s="476" t="s">
        <v>1188</v>
      </c>
      <c r="CL854" s="476" t="s">
        <v>1188</v>
      </c>
      <c r="CM854" s="476" t="str">
        <f>IF(VLOOKUP(BS854,'Données par municipalité'!$B$6:$E$1113,4,FALSE)="","non","oui")</f>
        <v>oui</v>
      </c>
      <c r="CN854" s="410">
        <v>476.94403698514174</v>
      </c>
      <c r="CO854" s="410">
        <v>488.39706977714889</v>
      </c>
      <c r="CP854" s="410">
        <v>445.81604102012915</v>
      </c>
      <c r="CQ854" s="410">
        <v>428.34298174196999</v>
      </c>
      <c r="CR854" s="410">
        <v>427.29811239567795</v>
      </c>
      <c r="CS854" s="410">
        <v>426.2547398725182</v>
      </c>
      <c r="CT854" s="410">
        <v>418.06643881703587</v>
      </c>
      <c r="CU854" s="410">
        <v>422</v>
      </c>
      <c r="CV854" s="410">
        <f>IF(VLOOKUP(BS854,'Données par municipalité'!$B$6:$F$1113,4,FALSE)="","",VLOOKUP(BS854,'Données par municipalité'!$B$6:$F$1113,4,FALSE))</f>
        <v>430</v>
      </c>
      <c r="CW854" s="476" t="s">
        <v>4723</v>
      </c>
      <c r="CX854" s="483">
        <v>1</v>
      </c>
      <c r="CY854" s="483">
        <v>1</v>
      </c>
      <c r="CZ854" s="483">
        <v>0.01</v>
      </c>
      <c r="DA854" s="483">
        <v>1</v>
      </c>
      <c r="DB854" s="483">
        <v>1</v>
      </c>
      <c r="DC854" s="483">
        <v>1</v>
      </c>
      <c r="DD854" s="483">
        <v>1</v>
      </c>
      <c r="DE854" s="483">
        <f>IFERROR(SUM(VLOOKUP($BS854,'État &amp; Plan d''action'!$B$6:$Z$1113,18,FALSE),VLOOKUP($BS854,'État &amp; Plan d''action'!$B$6:$Z$1113,20,FALSE))/(VLOOKUP($BS854,'Données par municipalité'!$B$4:$L$1113,11,FALSE)),"")</f>
        <v>1</v>
      </c>
      <c r="DF854" s="483">
        <f>IFERROR(SUM(VLOOKUP($BS854,'État &amp; Plan d''action'!$B$6:$Z$1113,19,FALSE),VLOOKUP($BS854,'État &amp; Plan d''action'!$B$6:$Z$1113,21,FALSE))/(VLOOKUP($BS854,'Données par municipalité'!$B$4:$L$1113,11,FALSE)),"")</f>
        <v>1.1708405354343367</v>
      </c>
      <c r="DG854" s="476" t="s">
        <v>4723</v>
      </c>
      <c r="DH854" s="484">
        <v>155</v>
      </c>
      <c r="DI854" s="484">
        <v>160</v>
      </c>
      <c r="DJ854" s="484">
        <v>163</v>
      </c>
      <c r="DK854" s="484">
        <v>221</v>
      </c>
      <c r="DL854" s="484">
        <v>179</v>
      </c>
      <c r="DM854" s="484">
        <v>148</v>
      </c>
      <c r="DN854" s="484">
        <v>168</v>
      </c>
      <c r="DO854" s="484">
        <v>7</v>
      </c>
      <c r="DP854" s="484">
        <v>11</v>
      </c>
      <c r="DQ854" s="484">
        <f>IF(VLOOKUP($BS854,'État &amp; Plan d''action'!$B$6:$AJ$1113,28,FALSE)="","",VLOOKUP($BS854,'État &amp; Plan d''action'!$B$6:$AJ$1113,28,FALSE))</f>
        <v>118</v>
      </c>
      <c r="DR854" s="70">
        <f>IF(VLOOKUP($BS854,'État &amp; Plan d''action'!$B$6:$AJ$1113,29,FALSE)="","",VLOOKUP($BS854,'État &amp; Plan d''action'!$B$6:$AJ$1113,29,FALSE))</f>
        <v>42</v>
      </c>
      <c r="DS854" s="70">
        <f>IF(VLOOKUP($BS854,'État &amp; Plan d''action'!$B$6:$AJ$1113,30,FALSE)="","",VLOOKUP($BS854,'État &amp; Plan d''action'!$B$6:$AJ$1113,30,FALSE))</f>
        <v>13</v>
      </c>
      <c r="DT854" s="70">
        <v>243</v>
      </c>
      <c r="DU854" s="485">
        <v>3.8506717793696721</v>
      </c>
      <c r="DV854" s="485">
        <v>3.0475325516971106</v>
      </c>
      <c r="DW854" s="70">
        <v>5</v>
      </c>
      <c r="DX854" s="70">
        <v>5</v>
      </c>
      <c r="DY854" s="70">
        <v>15</v>
      </c>
      <c r="DZ854" s="70">
        <f>VLOOKUP($BS854,'État &amp; Plan d''action'!$B$6:$AH$1113,31,FALSE)</f>
        <v>3</v>
      </c>
      <c r="EA854" s="70">
        <f>VLOOKUP($BS854,'État &amp; Plan d''action'!$B$6:$AH$1113,32,FALSE)</f>
        <v>4</v>
      </c>
      <c r="EB854" s="70">
        <f>VLOOKUP($BS854,'État &amp; Plan d''action'!$B$6:$AH$1113,33,FALSE)</f>
        <v>15</v>
      </c>
      <c r="EC854" s="70">
        <v>0</v>
      </c>
      <c r="ED854" s="70">
        <v>497.54</v>
      </c>
      <c r="EE854" s="70">
        <v>0</v>
      </c>
      <c r="EF854" s="70">
        <v>0</v>
      </c>
      <c r="EG854" s="70">
        <v>0</v>
      </c>
      <c r="EH854" s="72">
        <v>57</v>
      </c>
      <c r="EI854" s="72">
        <v>97087</v>
      </c>
    </row>
    <row r="855" spans="71:139" x14ac:dyDescent="0.35">
      <c r="BS855" s="486">
        <v>75017</v>
      </c>
      <c r="BT855" s="479" t="s">
        <v>743</v>
      </c>
      <c r="BU855" s="479">
        <v>15</v>
      </c>
      <c r="BV855" s="476" t="s">
        <v>1187</v>
      </c>
      <c r="BW855" s="476" t="s">
        <v>1187</v>
      </c>
      <c r="BX855" s="476" t="s">
        <v>1187</v>
      </c>
      <c r="BY855" s="476" t="s">
        <v>1187</v>
      </c>
      <c r="BZ855" s="476" t="s">
        <v>1187</v>
      </c>
      <c r="CA855" s="476" t="s">
        <v>1187</v>
      </c>
      <c r="CB855" s="476" t="s">
        <v>1187</v>
      </c>
      <c r="CC855" s="476" t="s">
        <v>1187</v>
      </c>
      <c r="CD855" s="476" t="s">
        <v>1187</v>
      </c>
      <c r="CE855" s="476" t="s">
        <v>1188</v>
      </c>
      <c r="CF855" s="476" t="s">
        <v>1188</v>
      </c>
      <c r="CG855" s="476" t="s">
        <v>1187</v>
      </c>
      <c r="CH855" s="476" t="s">
        <v>1188</v>
      </c>
      <c r="CI855" s="476" t="s">
        <v>1187</v>
      </c>
      <c r="CJ855" s="476" t="s">
        <v>1188</v>
      </c>
      <c r="CK855" s="476" t="s">
        <v>1188</v>
      </c>
      <c r="CL855" s="476" t="s">
        <v>1187</v>
      </c>
      <c r="CM855" s="476" t="str">
        <f>IF(VLOOKUP(BS855,'Données par municipalité'!$B$6:$E$1113,4,FALSE)="","non","oui")</f>
        <v>non</v>
      </c>
      <c r="CN855" s="410">
        <v>525.45499018033547</v>
      </c>
      <c r="CO855" s="410">
        <v>400.48615875249931</v>
      </c>
      <c r="CP855" s="410"/>
      <c r="CQ855" s="410">
        <v>318.7967665242175</v>
      </c>
      <c r="CR855" s="410"/>
      <c r="CS855" s="410">
        <v>427.1159526662089</v>
      </c>
      <c r="CT855" s="410">
        <v>400.84290094813156</v>
      </c>
      <c r="CU855" s="410" t="s">
        <v>1124</v>
      </c>
      <c r="CV855" s="410" t="str">
        <f>IF(VLOOKUP(BS855,'Données par municipalité'!$B$6:$F$1113,4,FALSE)="","",VLOOKUP(BS855,'Données par municipalité'!$B$6:$F$1113,4,FALSE))</f>
        <v/>
      </c>
      <c r="CW855" s="476" t="s">
        <v>4723</v>
      </c>
      <c r="CX855" s="483">
        <v>0</v>
      </c>
      <c r="CY855" s="483" t="s">
        <v>1124</v>
      </c>
      <c r="CZ855" s="483">
        <v>6</v>
      </c>
      <c r="DA855" s="483" t="s">
        <v>1124</v>
      </c>
      <c r="DB855" s="483">
        <v>6</v>
      </c>
      <c r="DC855" s="483">
        <v>6</v>
      </c>
      <c r="DD855" s="483" t="s">
        <v>1124</v>
      </c>
      <c r="DE855" s="483" t="str">
        <f>IFERROR(SUM(VLOOKUP($BS855,'État &amp; Plan d''action'!$B$6:$Z$1113,18,FALSE),VLOOKUP($BS855,'État &amp; Plan d''action'!$B$6:$Z$1113,20,FALSE))/(VLOOKUP($BS855,'Données par municipalité'!$B$4:$L$1113,11,FALSE)),"")</f>
        <v/>
      </c>
      <c r="DF855" s="483" t="str">
        <f>IFERROR(SUM(VLOOKUP($BS855,'État &amp; Plan d''action'!$B$6:$Z$1113,19,FALSE),VLOOKUP($BS855,'État &amp; Plan d''action'!$B$6:$Z$1113,21,FALSE))/(VLOOKUP($BS855,'Données par municipalité'!$B$4:$L$1113,11,FALSE)),"")</f>
        <v/>
      </c>
      <c r="DG855" s="476" t="s">
        <v>4723</v>
      </c>
      <c r="DH855" s="484">
        <v>45</v>
      </c>
      <c r="DI855" s="484">
        <v>105</v>
      </c>
      <c r="DJ855" s="484">
        <v>119</v>
      </c>
      <c r="DK855" s="484">
        <v>154</v>
      </c>
      <c r="DL855" s="484">
        <v>123</v>
      </c>
      <c r="DM855" s="484">
        <v>125</v>
      </c>
      <c r="DN855" s="484" t="s">
        <v>1124</v>
      </c>
      <c r="DO855" s="484" t="s">
        <v>1124</v>
      </c>
      <c r="DP855" s="484" t="s">
        <v>1124</v>
      </c>
      <c r="DQ855" s="484" t="str">
        <f>IF(VLOOKUP($BS855,'État &amp; Plan d''action'!$B$6:$AJ$1113,28,FALSE)="","",VLOOKUP($BS855,'État &amp; Plan d''action'!$B$6:$AJ$1113,28,FALSE))</f>
        <v/>
      </c>
      <c r="DR855" s="70" t="str">
        <f>IF(VLOOKUP($BS855,'État &amp; Plan d''action'!$B$6:$AJ$1113,29,FALSE)="","",VLOOKUP($BS855,'État &amp; Plan d''action'!$B$6:$AJ$1113,29,FALSE))</f>
        <v/>
      </c>
      <c r="DS855" s="70" t="str">
        <f>IF(VLOOKUP($BS855,'État &amp; Plan d''action'!$B$6:$AJ$1113,30,FALSE)="","",VLOOKUP($BS855,'État &amp; Plan d''action'!$B$6:$AJ$1113,30,FALSE))</f>
        <v/>
      </c>
      <c r="DT855" s="70" t="s">
        <v>1124</v>
      </c>
      <c r="DU855" s="485" t="s">
        <v>1124</v>
      </c>
      <c r="DV855" s="485" t="s">
        <v>1124</v>
      </c>
      <c r="DW855" s="70" t="s">
        <v>1124</v>
      </c>
      <c r="DX855" s="70" t="s">
        <v>1124</v>
      </c>
      <c r="DY855" s="70" t="s">
        <v>1124</v>
      </c>
      <c r="DZ855" s="70" t="str">
        <f>VLOOKUP($BS855,'État &amp; Plan d''action'!$B$6:$AH$1113,31,FALSE)</f>
        <v/>
      </c>
      <c r="EA855" s="70" t="str">
        <f>VLOOKUP($BS855,'État &amp; Plan d''action'!$B$6:$AH$1113,32,FALSE)</f>
        <v/>
      </c>
      <c r="EB855" s="70" t="str">
        <f>VLOOKUP($BS855,'État &amp; Plan d''action'!$B$6:$AH$1113,33,FALSE)</f>
        <v/>
      </c>
      <c r="EC855" s="70" t="s">
        <v>1124</v>
      </c>
      <c r="ED855" s="70" t="s">
        <v>1124</v>
      </c>
      <c r="EE855" s="70" t="s">
        <v>1124</v>
      </c>
      <c r="EF855" s="70" t="s">
        <v>1124</v>
      </c>
      <c r="EG855" s="70" t="s">
        <v>1124</v>
      </c>
      <c r="EH855" s="72"/>
      <c r="EI855" s="72">
        <v>77828</v>
      </c>
    </row>
    <row r="856" spans="71:139" x14ac:dyDescent="0.35">
      <c r="BS856" s="486">
        <v>21020</v>
      </c>
      <c r="BT856" s="479" t="s">
        <v>147</v>
      </c>
      <c r="BU856" s="479">
        <v>3</v>
      </c>
      <c r="BV856" s="476" t="s">
        <v>1187</v>
      </c>
      <c r="BW856" s="476" t="s">
        <v>1187</v>
      </c>
      <c r="BX856" s="476" t="s">
        <v>1187</v>
      </c>
      <c r="BY856" s="476" t="s">
        <v>1187</v>
      </c>
      <c r="BZ856" s="476" t="s">
        <v>1187</v>
      </c>
      <c r="CA856" s="476" t="s">
        <v>1187</v>
      </c>
      <c r="CB856" s="476" t="s">
        <v>1187</v>
      </c>
      <c r="CC856" s="476" t="s">
        <v>1187</v>
      </c>
      <c r="CD856" s="476" t="s">
        <v>1187</v>
      </c>
      <c r="CE856" s="476" t="s">
        <v>1188</v>
      </c>
      <c r="CF856" s="476" t="s">
        <v>1188</v>
      </c>
      <c r="CG856" s="476" t="s">
        <v>1187</v>
      </c>
      <c r="CH856" s="476" t="s">
        <v>1187</v>
      </c>
      <c r="CI856" s="476" t="s">
        <v>1187</v>
      </c>
      <c r="CJ856" s="476" t="s">
        <v>1188</v>
      </c>
      <c r="CK856" s="476" t="s">
        <v>1188</v>
      </c>
      <c r="CL856" s="476" t="s">
        <v>1188</v>
      </c>
      <c r="CM856" s="476" t="str">
        <f>IF(VLOOKUP(BS856,'Données par municipalité'!$B$6:$E$1113,4,FALSE)="","non","oui")</f>
        <v>oui</v>
      </c>
      <c r="CN856" s="410">
        <v>439.59625755074541</v>
      </c>
      <c r="CO856" s="410">
        <v>442.5276206924288</v>
      </c>
      <c r="CP856" s="410"/>
      <c r="CQ856" s="410"/>
      <c r="CR856" s="410"/>
      <c r="CS856" s="410">
        <v>395.51941307123531</v>
      </c>
      <c r="CT856" s="410">
        <v>361.2080427049105</v>
      </c>
      <c r="CU856" s="410">
        <v>431</v>
      </c>
      <c r="CV856" s="410">
        <f>IF(VLOOKUP(BS856,'Données par municipalité'!$B$6:$F$1113,4,FALSE)="","",VLOOKUP(BS856,'Données par municipalité'!$B$6:$F$1113,4,FALSE))</f>
        <v>392</v>
      </c>
      <c r="CW856" s="476" t="s">
        <v>4723</v>
      </c>
      <c r="CX856" s="483">
        <v>0</v>
      </c>
      <c r="CY856" s="483" t="s">
        <v>1124</v>
      </c>
      <c r="CZ856" s="483" t="s">
        <v>1124</v>
      </c>
      <c r="DA856" s="483" t="s">
        <v>1124</v>
      </c>
      <c r="DB856" s="483">
        <v>0.93</v>
      </c>
      <c r="DC856" s="483">
        <v>1</v>
      </c>
      <c r="DD856" s="483">
        <v>1.4715868898844611</v>
      </c>
      <c r="DE856" s="483">
        <f>IFERROR(SUM(VLOOKUP($BS856,'État &amp; Plan d''action'!$B$6:$Z$1113,18,FALSE),VLOOKUP($BS856,'État &amp; Plan d''action'!$B$6:$Z$1113,20,FALSE))/(VLOOKUP($BS856,'Données par municipalité'!$B$4:$L$1113,11,FALSE)),"")</f>
        <v>1.4715868898844611</v>
      </c>
      <c r="DF856" s="483">
        <f>IFERROR(SUM(VLOOKUP($BS856,'État &amp; Plan d''action'!$B$6:$Z$1113,19,FALSE),VLOOKUP($BS856,'État &amp; Plan d''action'!$B$6:$Z$1113,21,FALSE))/(VLOOKUP($BS856,'Données par municipalité'!$B$4:$L$1113,11,FALSE)),"")</f>
        <v>1.4715868898844611</v>
      </c>
      <c r="DG856" s="476" t="s">
        <v>4723</v>
      </c>
      <c r="DH856" s="484">
        <v>0</v>
      </c>
      <c r="DI856" s="484" t="s">
        <v>1124</v>
      </c>
      <c r="DJ856" s="484">
        <v>0</v>
      </c>
      <c r="DK856" s="484">
        <v>0</v>
      </c>
      <c r="DL856" s="484">
        <v>6</v>
      </c>
      <c r="DM856" s="484">
        <v>11</v>
      </c>
      <c r="DN856" s="484">
        <v>2</v>
      </c>
      <c r="DO856" s="484">
        <v>0</v>
      </c>
      <c r="DP856" s="484">
        <v>0</v>
      </c>
      <c r="DQ856" s="484">
        <f>IF(VLOOKUP($BS856,'État &amp; Plan d''action'!$B$6:$AJ$1113,28,FALSE)="","",VLOOKUP($BS856,'État &amp; Plan d''action'!$B$6:$AJ$1113,28,FALSE))</f>
        <v>3</v>
      </c>
      <c r="DR856" s="70">
        <f>IF(VLOOKUP($BS856,'État &amp; Plan d''action'!$B$6:$AJ$1113,29,FALSE)="","",VLOOKUP($BS856,'État &amp; Plan d''action'!$B$6:$AJ$1113,29,FALSE))</f>
        <v>0</v>
      </c>
      <c r="DS856" s="70">
        <f>IF(VLOOKUP($BS856,'État &amp; Plan d''action'!$B$6:$AJ$1113,30,FALSE)="","",VLOOKUP($BS856,'État &amp; Plan d''action'!$B$6:$AJ$1113,30,FALSE))</f>
        <v>0</v>
      </c>
      <c r="DT856" s="70">
        <v>275</v>
      </c>
      <c r="DU856" s="485">
        <v>1.4084850134465836</v>
      </c>
      <c r="DV856" s="485">
        <v>1.1838225808669405</v>
      </c>
      <c r="DW856" s="70">
        <v>1</v>
      </c>
      <c r="DX856" s="70">
        <v>0</v>
      </c>
      <c r="DY856" s="70">
        <v>0</v>
      </c>
      <c r="DZ856" s="70">
        <f>VLOOKUP($BS856,'État &amp; Plan d''action'!$B$6:$AH$1113,31,FALSE)</f>
        <v>1</v>
      </c>
      <c r="EA856" s="70">
        <f>VLOOKUP($BS856,'État &amp; Plan d''action'!$B$6:$AH$1113,32,FALSE)</f>
        <v>0</v>
      </c>
      <c r="EB856" s="70">
        <f>VLOOKUP($BS856,'État &amp; Plan d''action'!$B$6:$AH$1113,33,FALSE)</f>
        <v>0</v>
      </c>
      <c r="EC856" s="70">
        <v>0</v>
      </c>
      <c r="ED856" s="70">
        <v>21.204999999999998</v>
      </c>
      <c r="EE856" s="70">
        <v>10</v>
      </c>
      <c r="EF856" s="70">
        <v>0</v>
      </c>
      <c r="EG856" s="70">
        <v>0</v>
      </c>
      <c r="EH856" s="72">
        <v>68.5</v>
      </c>
      <c r="EI856" s="72">
        <v>1452</v>
      </c>
    </row>
    <row r="857" spans="71:139" x14ac:dyDescent="0.35">
      <c r="BS857" s="486">
        <v>47040</v>
      </c>
      <c r="BT857" s="479" t="s">
        <v>453</v>
      </c>
      <c r="BU857" s="479">
        <v>5</v>
      </c>
      <c r="BV857" s="476" t="s">
        <v>1188</v>
      </c>
      <c r="BW857" s="476" t="s">
        <v>1188</v>
      </c>
      <c r="BX857" s="476" t="s">
        <v>1188</v>
      </c>
      <c r="BY857" s="476" t="s">
        <v>1188</v>
      </c>
      <c r="BZ857" s="476" t="s">
        <v>1188</v>
      </c>
      <c r="CA857" s="476" t="s">
        <v>1188</v>
      </c>
      <c r="CB857" s="476" t="s">
        <v>1188</v>
      </c>
      <c r="CC857" s="476" t="s">
        <v>1188</v>
      </c>
      <c r="CD857" s="476" t="s">
        <v>1188</v>
      </c>
      <c r="CE857" s="476" t="s">
        <v>1187</v>
      </c>
      <c r="CF857" s="476" t="s">
        <v>1187</v>
      </c>
      <c r="CG857" s="476" t="s">
        <v>1187</v>
      </c>
      <c r="CH857" s="476" t="s">
        <v>1187</v>
      </c>
      <c r="CI857" s="476" t="s">
        <v>1187</v>
      </c>
      <c r="CJ857" s="476" t="s">
        <v>1187</v>
      </c>
      <c r="CK857" s="476" t="s">
        <v>1187</v>
      </c>
      <c r="CL857" s="476" t="s">
        <v>1187</v>
      </c>
      <c r="CM857" s="476" t="str">
        <f>IF(VLOOKUP(BS857,'Données par municipalité'!$B$6:$E$1113,4,FALSE)="","non","oui")</f>
        <v>non</v>
      </c>
      <c r="CN857" s="410" t="s">
        <v>1124</v>
      </c>
      <c r="CO857" s="410" t="s">
        <v>1124</v>
      </c>
      <c r="CP857" s="410"/>
      <c r="CQ857" s="410"/>
      <c r="CR857" s="410"/>
      <c r="CS857" s="410" t="s">
        <v>1124</v>
      </c>
      <c r="CT857" s="410"/>
      <c r="CU857" s="410" t="s">
        <v>1124</v>
      </c>
      <c r="CV857" s="410" t="str">
        <f>IF(VLOOKUP(BS857,'Données par municipalité'!$B$6:$F$1113,4,FALSE)="","",VLOOKUP(BS857,'Données par municipalité'!$B$6:$F$1113,4,FALSE))</f>
        <v/>
      </c>
      <c r="CW857" s="476" t="s">
        <v>4723</v>
      </c>
      <c r="CX857" s="483" t="s">
        <v>1124</v>
      </c>
      <c r="CY857" s="483" t="s">
        <v>1124</v>
      </c>
      <c r="CZ857" s="483" t="s">
        <v>1124</v>
      </c>
      <c r="DA857" s="483" t="s">
        <v>1124</v>
      </c>
      <c r="DB857" s="483" t="s">
        <v>1124</v>
      </c>
      <c r="DC857" s="483" t="s">
        <v>1124</v>
      </c>
      <c r="DD857" s="483" t="s">
        <v>1124</v>
      </c>
      <c r="DE857" s="483" t="str">
        <f>IFERROR(SUM(VLOOKUP($BS857,'État &amp; Plan d''action'!$B$6:$Z$1113,18,FALSE),VLOOKUP($BS857,'État &amp; Plan d''action'!$B$6:$Z$1113,20,FALSE))/(VLOOKUP($BS857,'Données par municipalité'!$B$4:$L$1113,11,FALSE)),"")</f>
        <v/>
      </c>
      <c r="DF857" s="483" t="str">
        <f>IFERROR(SUM(VLOOKUP($BS857,'État &amp; Plan d''action'!$B$6:$Z$1113,19,FALSE),VLOOKUP($BS857,'État &amp; Plan d''action'!$B$6:$Z$1113,21,FALSE))/(VLOOKUP($BS857,'Données par municipalité'!$B$4:$L$1113,11,FALSE)),"")</f>
        <v/>
      </c>
      <c r="DG857" s="476" t="s">
        <v>4723</v>
      </c>
      <c r="DH857" s="484" t="s">
        <v>1124</v>
      </c>
      <c r="DI857" s="484" t="s">
        <v>1124</v>
      </c>
      <c r="DJ857" s="484">
        <v>0</v>
      </c>
      <c r="DK857" s="484">
        <v>0</v>
      </c>
      <c r="DL857" s="484" t="s">
        <v>1124</v>
      </c>
      <c r="DM857" s="484" t="s">
        <v>1124</v>
      </c>
      <c r="DN857" s="484" t="s">
        <v>1124</v>
      </c>
      <c r="DO857" s="484" t="s">
        <v>1124</v>
      </c>
      <c r="DP857" s="484" t="s">
        <v>1124</v>
      </c>
      <c r="DQ857" s="484" t="str">
        <f>IF(VLOOKUP($BS857,'État &amp; Plan d''action'!$B$6:$AJ$1113,28,FALSE)="","",VLOOKUP($BS857,'État &amp; Plan d''action'!$B$6:$AJ$1113,28,FALSE))</f>
        <v/>
      </c>
      <c r="DR857" s="70" t="str">
        <f>IF(VLOOKUP($BS857,'État &amp; Plan d''action'!$B$6:$AJ$1113,29,FALSE)="","",VLOOKUP($BS857,'État &amp; Plan d''action'!$B$6:$AJ$1113,29,FALSE))</f>
        <v/>
      </c>
      <c r="DS857" s="70" t="str">
        <f>IF(VLOOKUP($BS857,'État &amp; Plan d''action'!$B$6:$AJ$1113,30,FALSE)="","",VLOOKUP($BS857,'État &amp; Plan d''action'!$B$6:$AJ$1113,30,FALSE))</f>
        <v/>
      </c>
      <c r="DT857" s="70" t="s">
        <v>1124</v>
      </c>
      <c r="DU857" s="485" t="s">
        <v>1124</v>
      </c>
      <c r="DV857" s="485" t="s">
        <v>1124</v>
      </c>
      <c r="DW857" s="70" t="s">
        <v>1124</v>
      </c>
      <c r="DX857" s="70" t="s">
        <v>1124</v>
      </c>
      <c r="DY857" s="70" t="s">
        <v>1124</v>
      </c>
      <c r="DZ857" s="70" t="str">
        <f>VLOOKUP($BS857,'État &amp; Plan d''action'!$B$6:$AH$1113,31,FALSE)</f>
        <v/>
      </c>
      <c r="EA857" s="70" t="str">
        <f>VLOOKUP($BS857,'État &amp; Plan d''action'!$B$6:$AH$1113,32,FALSE)</f>
        <v/>
      </c>
      <c r="EB857" s="70" t="str">
        <f>VLOOKUP($BS857,'État &amp; Plan d''action'!$B$6:$AH$1113,33,FALSE)</f>
        <v/>
      </c>
      <c r="EC857" s="70" t="s">
        <v>1124</v>
      </c>
      <c r="ED857" s="70" t="s">
        <v>1124</v>
      </c>
      <c r="EE857" s="70" t="s">
        <v>1124</v>
      </c>
      <c r="EF857" s="70" t="s">
        <v>1124</v>
      </c>
      <c r="EG857" s="70" t="s">
        <v>1124</v>
      </c>
      <c r="EH857" s="72"/>
      <c r="EI857" s="72">
        <v>1372</v>
      </c>
    </row>
    <row r="858" spans="71:139" x14ac:dyDescent="0.35">
      <c r="BS858" s="486">
        <v>27043</v>
      </c>
      <c r="BT858" s="479" t="s">
        <v>182</v>
      </c>
      <c r="BU858" s="479">
        <v>12</v>
      </c>
      <c r="BV858" s="476" t="s">
        <v>1187</v>
      </c>
      <c r="BW858" s="476" t="s">
        <v>1187</v>
      </c>
      <c r="BX858" s="476" t="s">
        <v>1187</v>
      </c>
      <c r="BY858" s="476" t="s">
        <v>1187</v>
      </c>
      <c r="BZ858" s="476" t="s">
        <v>1187</v>
      </c>
      <c r="CA858" s="476" t="s">
        <v>1187</v>
      </c>
      <c r="CB858" s="476" t="s">
        <v>1187</v>
      </c>
      <c r="CC858" s="476" t="s">
        <v>1187</v>
      </c>
      <c r="CD858" s="476" t="s">
        <v>1187</v>
      </c>
      <c r="CE858" s="476" t="s">
        <v>1188</v>
      </c>
      <c r="CF858" s="476" t="s">
        <v>1188</v>
      </c>
      <c r="CG858" s="476" t="s">
        <v>1188</v>
      </c>
      <c r="CH858" s="476" t="s">
        <v>1188</v>
      </c>
      <c r="CI858" s="476" t="s">
        <v>1188</v>
      </c>
      <c r="CJ858" s="476" t="s">
        <v>1188</v>
      </c>
      <c r="CK858" s="476" t="s">
        <v>1188</v>
      </c>
      <c r="CL858" s="476" t="s">
        <v>1188</v>
      </c>
      <c r="CM858" s="476" t="str">
        <f>IF(VLOOKUP(BS858,'Données par municipalité'!$B$6:$E$1113,4,FALSE)="","non","oui")</f>
        <v>oui</v>
      </c>
      <c r="CN858" s="410">
        <v>391.27864024655173</v>
      </c>
      <c r="CO858" s="410">
        <v>322.47882877486114</v>
      </c>
      <c r="CP858" s="410">
        <v>297.93765462885017</v>
      </c>
      <c r="CQ858" s="410">
        <v>298.47716707907375</v>
      </c>
      <c r="CR858" s="410">
        <v>300.07121371888718</v>
      </c>
      <c r="CS858" s="410">
        <v>324.14296378664562</v>
      </c>
      <c r="CT858" s="410">
        <v>319.98732772312854</v>
      </c>
      <c r="CU858" s="410">
        <v>281</v>
      </c>
      <c r="CV858" s="410">
        <f>IF(VLOOKUP(BS858,'Données par municipalité'!$B$6:$F$1113,4,FALSE)="","",VLOOKUP(BS858,'Données par municipalité'!$B$6:$F$1113,4,FALSE))</f>
        <v>267</v>
      </c>
      <c r="CW858" s="476" t="s">
        <v>4723</v>
      </c>
      <c r="CX858" s="483">
        <v>0</v>
      </c>
      <c r="CY858" s="483">
        <v>0.15</v>
      </c>
      <c r="CZ858" s="483">
        <v>0.15</v>
      </c>
      <c r="DA858" s="483">
        <v>0.15</v>
      </c>
      <c r="DB858" s="483">
        <v>0.15</v>
      </c>
      <c r="DC858" s="483">
        <v>1</v>
      </c>
      <c r="DD858" s="483">
        <v>1</v>
      </c>
      <c r="DE858" s="483">
        <f>IFERROR(SUM(VLOOKUP($BS858,'État &amp; Plan d''action'!$B$6:$Z$1113,18,FALSE),VLOOKUP($BS858,'État &amp; Plan d''action'!$B$6:$Z$1113,20,FALSE))/(VLOOKUP($BS858,'Données par municipalité'!$B$4:$L$1113,11,FALSE)),"")</f>
        <v>1</v>
      </c>
      <c r="DF858" s="483">
        <f>IFERROR(SUM(VLOOKUP($BS858,'État &amp; Plan d''action'!$B$6:$Z$1113,19,FALSE),VLOOKUP($BS858,'État &amp; Plan d''action'!$B$6:$Z$1113,21,FALSE))/(VLOOKUP($BS858,'Données par municipalité'!$B$4:$L$1113,11,FALSE)),"")</f>
        <v>1</v>
      </c>
      <c r="DG858" s="476" t="s">
        <v>4723</v>
      </c>
      <c r="DH858" s="484">
        <v>14</v>
      </c>
      <c r="DI858" s="484">
        <v>19</v>
      </c>
      <c r="DJ858" s="484">
        <v>8</v>
      </c>
      <c r="DK858" s="484">
        <v>14</v>
      </c>
      <c r="DL858" s="484">
        <v>4</v>
      </c>
      <c r="DM858" s="484">
        <v>12</v>
      </c>
      <c r="DN858" s="484">
        <v>34</v>
      </c>
      <c r="DO858" s="484">
        <v>3</v>
      </c>
      <c r="DP858" s="484">
        <v>5</v>
      </c>
      <c r="DQ858" s="484">
        <f>IF(VLOOKUP($BS858,'État &amp; Plan d''action'!$B$6:$AJ$1113,28,FALSE)="","",VLOOKUP($BS858,'État &amp; Plan d''action'!$B$6:$AJ$1113,28,FALSE))</f>
        <v>20</v>
      </c>
      <c r="DR858" s="70">
        <f>IF(VLOOKUP($BS858,'État &amp; Plan d''action'!$B$6:$AJ$1113,29,FALSE)="","",VLOOKUP($BS858,'État &amp; Plan d''action'!$B$6:$AJ$1113,29,FALSE))</f>
        <v>1</v>
      </c>
      <c r="DS858" s="70">
        <f>IF(VLOOKUP($BS858,'État &amp; Plan d''action'!$B$6:$AJ$1113,30,FALSE)="","",VLOOKUP($BS858,'État &amp; Plan d''action'!$B$6:$AJ$1113,30,FALSE))</f>
        <v>0</v>
      </c>
      <c r="DT858" s="70">
        <v>234</v>
      </c>
      <c r="DU858" s="485">
        <v>2.508423826971895</v>
      </c>
      <c r="DV858" s="485">
        <v>1.983556407866415</v>
      </c>
      <c r="DW858" s="70">
        <v>1</v>
      </c>
      <c r="DX858" s="70">
        <v>2</v>
      </c>
      <c r="DY858" s="70">
        <v>7</v>
      </c>
      <c r="DZ858" s="70">
        <f>VLOOKUP($BS858,'État &amp; Plan d''action'!$B$6:$AH$1113,31,FALSE)</f>
        <v>1</v>
      </c>
      <c r="EA858" s="70">
        <f>VLOOKUP($BS858,'État &amp; Plan d''action'!$B$6:$AH$1113,32,FALSE)</f>
        <v>1</v>
      </c>
      <c r="EB858" s="70">
        <f>VLOOKUP($BS858,'État &amp; Plan d''action'!$B$6:$AH$1113,33,FALSE)</f>
        <v>0</v>
      </c>
      <c r="EC858" s="70">
        <v>23.28</v>
      </c>
      <c r="ED858" s="70">
        <v>34.92</v>
      </c>
      <c r="EE858" s="70">
        <v>0</v>
      </c>
      <c r="EF858" s="70">
        <v>0</v>
      </c>
      <c r="EG858" s="70">
        <v>0</v>
      </c>
      <c r="EH858" s="72">
        <v>62</v>
      </c>
      <c r="EI858" s="72">
        <v>4916</v>
      </c>
    </row>
    <row r="859" spans="71:139" x14ac:dyDescent="0.35">
      <c r="BS859" s="486">
        <v>31045</v>
      </c>
      <c r="BT859" s="479" t="s">
        <v>244</v>
      </c>
      <c r="BU859" s="479">
        <v>12</v>
      </c>
      <c r="BV859" s="476" t="s">
        <v>1187</v>
      </c>
      <c r="BW859" s="476" t="s">
        <v>1187</v>
      </c>
      <c r="BX859" s="476" t="s">
        <v>1187</v>
      </c>
      <c r="BY859" s="476" t="s">
        <v>1187</v>
      </c>
      <c r="BZ859" s="476" t="s">
        <v>1187</v>
      </c>
      <c r="CA859" s="476" t="s">
        <v>1187</v>
      </c>
      <c r="CB859" s="476" t="s">
        <v>1187</v>
      </c>
      <c r="CC859" s="476" t="s">
        <v>1187</v>
      </c>
      <c r="CD859" s="476" t="s">
        <v>1187</v>
      </c>
      <c r="CE859" s="476" t="s">
        <v>1188</v>
      </c>
      <c r="CF859" s="476" t="s">
        <v>1188</v>
      </c>
      <c r="CG859" s="476" t="s">
        <v>1188</v>
      </c>
      <c r="CH859" s="476" t="s">
        <v>1188</v>
      </c>
      <c r="CI859" s="476" t="s">
        <v>1188</v>
      </c>
      <c r="CJ859" s="476" t="s">
        <v>1188</v>
      </c>
      <c r="CK859" s="476" t="s">
        <v>1187</v>
      </c>
      <c r="CL859" s="476" t="s">
        <v>1187</v>
      </c>
      <c r="CM859" s="476" t="str">
        <f>IF(VLOOKUP(BS859,'Données par municipalité'!$B$6:$E$1113,4,FALSE)="","non","oui")</f>
        <v>oui</v>
      </c>
      <c r="CN859" s="410">
        <v>579.59855848919403</v>
      </c>
      <c r="CO859" s="410">
        <v>392.34371541253194</v>
      </c>
      <c r="CP859" s="410">
        <v>415.14515853701658</v>
      </c>
      <c r="CQ859" s="410">
        <v>437.10054878475506</v>
      </c>
      <c r="CR859" s="410">
        <v>493.48428404907867</v>
      </c>
      <c r="CS859" s="410">
        <v>399.85349128558545</v>
      </c>
      <c r="CT859" s="410"/>
      <c r="CU859" s="410" t="s">
        <v>1124</v>
      </c>
      <c r="CV859" s="410">
        <f>IF(VLOOKUP(BS859,'Données par municipalité'!$B$6:$F$1113,4,FALSE)="","",VLOOKUP(BS859,'Données par municipalité'!$B$6:$F$1113,4,FALSE))</f>
        <v>470</v>
      </c>
      <c r="CW859" s="476" t="s">
        <v>4723</v>
      </c>
      <c r="CX859" s="483">
        <v>0</v>
      </c>
      <c r="CY859" s="483">
        <v>1E-3</v>
      </c>
      <c r="CZ859" s="483">
        <v>1</v>
      </c>
      <c r="DA859" s="483">
        <v>1</v>
      </c>
      <c r="DB859" s="483">
        <v>1</v>
      </c>
      <c r="DC859" s="483" t="s">
        <v>1124</v>
      </c>
      <c r="DD859" s="483" t="s">
        <v>1124</v>
      </c>
      <c r="DE859" s="483">
        <f>IFERROR(SUM(VLOOKUP($BS859,'État &amp; Plan d''action'!$B$6:$Z$1113,18,FALSE),VLOOKUP($BS859,'État &amp; Plan d''action'!$B$6:$Z$1113,20,FALSE))/(VLOOKUP($BS859,'Données par municipalité'!$B$4:$L$1113,11,FALSE)),"")</f>
        <v>0.80798538950815535</v>
      </c>
      <c r="DF859" s="483">
        <f>IFERROR(SUM(VLOOKUP($BS859,'État &amp; Plan d''action'!$B$6:$Z$1113,19,FALSE),VLOOKUP($BS859,'État &amp; Plan d''action'!$B$6:$Z$1113,21,FALSE))/(VLOOKUP($BS859,'Données par municipalité'!$B$4:$L$1113,11,FALSE)),"")</f>
        <v>0.40399269475407767</v>
      </c>
      <c r="DG859" s="476" t="s">
        <v>4723</v>
      </c>
      <c r="DH859" s="484">
        <v>0</v>
      </c>
      <c r="DI859" s="484">
        <v>0</v>
      </c>
      <c r="DJ859" s="484">
        <v>1</v>
      </c>
      <c r="DK859" s="484">
        <v>2</v>
      </c>
      <c r="DL859" s="484">
        <v>3</v>
      </c>
      <c r="DM859" s="484" t="s">
        <v>1124</v>
      </c>
      <c r="DN859" s="484" t="s">
        <v>1124</v>
      </c>
      <c r="DO859" s="484" t="s">
        <v>1124</v>
      </c>
      <c r="DP859" s="484" t="s">
        <v>1124</v>
      </c>
      <c r="DQ859" s="484">
        <f>IF(VLOOKUP($BS859,'État &amp; Plan d''action'!$B$6:$AJ$1113,28,FALSE)="","",VLOOKUP($BS859,'État &amp; Plan d''action'!$B$6:$AJ$1113,28,FALSE))</f>
        <v>0</v>
      </c>
      <c r="DR859" s="70">
        <f>IF(VLOOKUP($BS859,'État &amp; Plan d''action'!$B$6:$AJ$1113,29,FALSE)="","",VLOOKUP($BS859,'État &amp; Plan d''action'!$B$6:$AJ$1113,29,FALSE))</f>
        <v>2</v>
      </c>
      <c r="DS859" s="70">
        <f>IF(VLOOKUP($BS859,'État &amp; Plan d''action'!$B$6:$AJ$1113,30,FALSE)="","",VLOOKUP($BS859,'État &amp; Plan d''action'!$B$6:$AJ$1113,30,FALSE))</f>
        <v>2</v>
      </c>
      <c r="DT859" s="70" t="s">
        <v>1124</v>
      </c>
      <c r="DU859" s="485" t="s">
        <v>1124</v>
      </c>
      <c r="DV859" s="485">
        <v>7.0775742395424031</v>
      </c>
      <c r="DW859" s="70" t="s">
        <v>1124</v>
      </c>
      <c r="DX859" s="70" t="s">
        <v>1124</v>
      </c>
      <c r="DY859" s="70" t="s">
        <v>1124</v>
      </c>
      <c r="DZ859" s="70">
        <f>VLOOKUP($BS859,'État &amp; Plan d''action'!$B$6:$AH$1113,31,FALSE)</f>
        <v>0</v>
      </c>
      <c r="EA859" s="70">
        <f>VLOOKUP($BS859,'État &amp; Plan d''action'!$B$6:$AH$1113,32,FALSE)</f>
        <v>3</v>
      </c>
      <c r="EB859" s="70">
        <f>VLOOKUP($BS859,'État &amp; Plan d''action'!$B$6:$AH$1113,33,FALSE)</f>
        <v>3</v>
      </c>
      <c r="EC859" s="70" t="s">
        <v>1124</v>
      </c>
      <c r="ED859" s="70" t="s">
        <v>1124</v>
      </c>
      <c r="EE859" s="70" t="s">
        <v>1124</v>
      </c>
      <c r="EF859" s="70" t="s">
        <v>1124</v>
      </c>
      <c r="EG859" s="70" t="s">
        <v>1124</v>
      </c>
      <c r="EH859" s="72"/>
      <c r="EI859" s="72">
        <v>1764</v>
      </c>
    </row>
    <row r="860" spans="71:139" x14ac:dyDescent="0.35">
      <c r="BS860" s="486">
        <v>14030</v>
      </c>
      <c r="BT860" s="479" t="s">
        <v>64</v>
      </c>
      <c r="BU860" s="479">
        <v>1</v>
      </c>
      <c r="BV860" s="476" t="s">
        <v>1188</v>
      </c>
      <c r="BW860" s="476" t="s">
        <v>1188</v>
      </c>
      <c r="BX860" s="476" t="s">
        <v>1188</v>
      </c>
      <c r="BY860" s="476" t="s">
        <v>1188</v>
      </c>
      <c r="BZ860" s="476" t="s">
        <v>1188</v>
      </c>
      <c r="CA860" s="476" t="s">
        <v>1188</v>
      </c>
      <c r="CB860" s="476" t="s">
        <v>1188</v>
      </c>
      <c r="CC860" s="476" t="s">
        <v>1188</v>
      </c>
      <c r="CD860" s="476" t="s">
        <v>1188</v>
      </c>
      <c r="CE860" s="476" t="s">
        <v>1187</v>
      </c>
      <c r="CF860" s="476" t="s">
        <v>1187</v>
      </c>
      <c r="CG860" s="476" t="s">
        <v>1187</v>
      </c>
      <c r="CH860" s="476" t="s">
        <v>1187</v>
      </c>
      <c r="CI860" s="476" t="s">
        <v>1187</v>
      </c>
      <c r="CJ860" s="476" t="s">
        <v>1187</v>
      </c>
      <c r="CK860" s="476" t="s">
        <v>1187</v>
      </c>
      <c r="CL860" s="476" t="s">
        <v>1187</v>
      </c>
      <c r="CM860" s="476" t="str">
        <f>IF(VLOOKUP(BS860,'Données par municipalité'!$B$6:$E$1113,4,FALSE)="","non","oui")</f>
        <v>non</v>
      </c>
      <c r="CN860" s="410" t="s">
        <v>1124</v>
      </c>
      <c r="CO860" s="410" t="s">
        <v>1124</v>
      </c>
      <c r="CP860" s="410"/>
      <c r="CQ860" s="410"/>
      <c r="CR860" s="410"/>
      <c r="CS860" s="410" t="s">
        <v>1124</v>
      </c>
      <c r="CT860" s="410"/>
      <c r="CU860" s="410" t="s">
        <v>1124</v>
      </c>
      <c r="CV860" s="410" t="str">
        <f>IF(VLOOKUP(BS860,'Données par municipalité'!$B$6:$F$1113,4,FALSE)="","",VLOOKUP(BS860,'Données par municipalité'!$B$6:$F$1113,4,FALSE))</f>
        <v/>
      </c>
      <c r="CW860" s="476" t="s">
        <v>4723</v>
      </c>
      <c r="CX860" s="483" t="s">
        <v>1124</v>
      </c>
      <c r="CY860" s="483" t="s">
        <v>1124</v>
      </c>
      <c r="CZ860" s="483" t="s">
        <v>1124</v>
      </c>
      <c r="DA860" s="483" t="s">
        <v>1124</v>
      </c>
      <c r="DB860" s="483" t="s">
        <v>1124</v>
      </c>
      <c r="DC860" s="483" t="s">
        <v>1124</v>
      </c>
      <c r="DD860" s="483" t="s">
        <v>1124</v>
      </c>
      <c r="DE860" s="483" t="str">
        <f>IFERROR(SUM(VLOOKUP($BS860,'État &amp; Plan d''action'!$B$6:$Z$1113,18,FALSE),VLOOKUP($BS860,'État &amp; Plan d''action'!$B$6:$Z$1113,20,FALSE))/(VLOOKUP($BS860,'Données par municipalité'!$B$4:$L$1113,11,FALSE)),"")</f>
        <v/>
      </c>
      <c r="DF860" s="483" t="str">
        <f>IFERROR(SUM(VLOOKUP($BS860,'État &amp; Plan d''action'!$B$6:$Z$1113,19,FALSE),VLOOKUP($BS860,'État &amp; Plan d''action'!$B$6:$Z$1113,21,FALSE))/(VLOOKUP($BS860,'Données par municipalité'!$B$4:$L$1113,11,FALSE)),"")</f>
        <v/>
      </c>
      <c r="DG860" s="476" t="s">
        <v>4723</v>
      </c>
      <c r="DH860" s="484" t="s">
        <v>1124</v>
      </c>
      <c r="DI860" s="484" t="s">
        <v>1124</v>
      </c>
      <c r="DJ860" s="484">
        <v>0</v>
      </c>
      <c r="DK860" s="484">
        <v>0</v>
      </c>
      <c r="DL860" s="484" t="s">
        <v>1124</v>
      </c>
      <c r="DM860" s="484" t="s">
        <v>1124</v>
      </c>
      <c r="DN860" s="484" t="s">
        <v>1124</v>
      </c>
      <c r="DO860" s="484" t="s">
        <v>1124</v>
      </c>
      <c r="DP860" s="484" t="s">
        <v>1124</v>
      </c>
      <c r="DQ860" s="484" t="str">
        <f>IF(VLOOKUP($BS860,'État &amp; Plan d''action'!$B$6:$AJ$1113,28,FALSE)="","",VLOOKUP($BS860,'État &amp; Plan d''action'!$B$6:$AJ$1113,28,FALSE))</f>
        <v/>
      </c>
      <c r="DR860" s="70" t="str">
        <f>IF(VLOOKUP($BS860,'État &amp; Plan d''action'!$B$6:$AJ$1113,29,FALSE)="","",VLOOKUP($BS860,'État &amp; Plan d''action'!$B$6:$AJ$1113,29,FALSE))</f>
        <v/>
      </c>
      <c r="DS860" s="70" t="str">
        <f>IF(VLOOKUP($BS860,'État &amp; Plan d''action'!$B$6:$AJ$1113,30,FALSE)="","",VLOOKUP($BS860,'État &amp; Plan d''action'!$B$6:$AJ$1113,30,FALSE))</f>
        <v/>
      </c>
      <c r="DT860" s="70" t="s">
        <v>1124</v>
      </c>
      <c r="DU860" s="485" t="s">
        <v>1124</v>
      </c>
      <c r="DV860" s="485" t="s">
        <v>1124</v>
      </c>
      <c r="DW860" s="70" t="s">
        <v>1124</v>
      </c>
      <c r="DX860" s="70" t="s">
        <v>1124</v>
      </c>
      <c r="DY860" s="70" t="s">
        <v>1124</v>
      </c>
      <c r="DZ860" s="70" t="str">
        <f>VLOOKUP($BS860,'État &amp; Plan d''action'!$B$6:$AH$1113,31,FALSE)</f>
        <v/>
      </c>
      <c r="EA860" s="70" t="str">
        <f>VLOOKUP($BS860,'État &amp; Plan d''action'!$B$6:$AH$1113,32,FALSE)</f>
        <v/>
      </c>
      <c r="EB860" s="70" t="str">
        <f>VLOOKUP($BS860,'État &amp; Plan d''action'!$B$6:$AH$1113,33,FALSE)</f>
        <v/>
      </c>
      <c r="EC860" s="70" t="s">
        <v>1124</v>
      </c>
      <c r="ED860" s="70" t="s">
        <v>1124</v>
      </c>
      <c r="EE860" s="70" t="s">
        <v>1124</v>
      </c>
      <c r="EF860" s="70" t="s">
        <v>1124</v>
      </c>
      <c r="EG860" s="70" t="s">
        <v>1124</v>
      </c>
      <c r="EH860" s="72"/>
      <c r="EI860" s="72">
        <v>389</v>
      </c>
    </row>
    <row r="861" spans="71:139" x14ac:dyDescent="0.35">
      <c r="BS861" s="486">
        <v>9070</v>
      </c>
      <c r="BT861" s="479" t="s">
        <v>1109</v>
      </c>
      <c r="BU861" s="479">
        <v>1</v>
      </c>
      <c r="BV861" s="476" t="s">
        <v>1188</v>
      </c>
      <c r="BW861" s="476" t="s">
        <v>1188</v>
      </c>
      <c r="BX861" s="476" t="s">
        <v>1188</v>
      </c>
      <c r="BY861" s="476" t="s">
        <v>1188</v>
      </c>
      <c r="BZ861" s="476" t="s">
        <v>1188</v>
      </c>
      <c r="CA861" s="476" t="s">
        <v>1188</v>
      </c>
      <c r="CB861" s="476" t="s">
        <v>1188</v>
      </c>
      <c r="CC861" s="476" t="s">
        <v>1188</v>
      </c>
      <c r="CD861" s="476" t="s">
        <v>1188</v>
      </c>
      <c r="CE861" s="476" t="s">
        <v>1188</v>
      </c>
      <c r="CF861" s="476" t="s">
        <v>1188</v>
      </c>
      <c r="CG861" s="476" t="s">
        <v>1188</v>
      </c>
      <c r="CH861" s="476" t="s">
        <v>1188</v>
      </c>
      <c r="CI861" s="476" t="s">
        <v>1188</v>
      </c>
      <c r="CJ861" s="476" t="s">
        <v>1187</v>
      </c>
      <c r="CK861" s="476" t="s">
        <v>1187</v>
      </c>
      <c r="CL861" s="476" t="s">
        <v>1187</v>
      </c>
      <c r="CM861" s="476" t="str">
        <f>IF(VLOOKUP(BS861,'Données par municipalité'!$B$6:$E$1113,4,FALSE)="","non","oui")</f>
        <v>non</v>
      </c>
      <c r="CN861" s="410">
        <v>436.09562812531635</v>
      </c>
      <c r="CO861" s="410">
        <v>325.99061547210795</v>
      </c>
      <c r="CP861" s="410">
        <v>375.22236427663199</v>
      </c>
      <c r="CQ861" s="410">
        <v>420.77071150923348</v>
      </c>
      <c r="CR861" s="410">
        <v>247.59034859770475</v>
      </c>
      <c r="CS861" s="410" t="s">
        <v>1124</v>
      </c>
      <c r="CT861" s="410"/>
      <c r="CU861" s="410" t="s">
        <v>1124</v>
      </c>
      <c r="CV861" s="410" t="str">
        <f>IF(VLOOKUP(BS861,'Données par municipalité'!$B$6:$F$1113,4,FALSE)="","",VLOOKUP(BS861,'Données par municipalité'!$B$6:$F$1113,4,FALSE))</f>
        <v/>
      </c>
      <c r="CW861" s="476" t="s">
        <v>4723</v>
      </c>
      <c r="CX861" s="483" t="s">
        <v>1124</v>
      </c>
      <c r="CY861" s="483">
        <v>0</v>
      </c>
      <c r="CZ861" s="483">
        <v>0</v>
      </c>
      <c r="DA861" s="483">
        <v>0</v>
      </c>
      <c r="DB861" s="483" t="s">
        <v>1124</v>
      </c>
      <c r="DC861" s="483" t="s">
        <v>1124</v>
      </c>
      <c r="DD861" s="483" t="s">
        <v>1124</v>
      </c>
      <c r="DE861" s="483" t="str">
        <f>IFERROR(SUM(VLOOKUP($BS861,'État &amp; Plan d''action'!$B$6:$Z$1113,18,FALSE),VLOOKUP($BS861,'État &amp; Plan d''action'!$B$6:$Z$1113,20,FALSE))/(VLOOKUP($BS861,'Données par municipalité'!$B$4:$L$1113,11,FALSE)),"")</f>
        <v/>
      </c>
      <c r="DF861" s="483" t="str">
        <f>IFERROR(SUM(VLOOKUP($BS861,'État &amp; Plan d''action'!$B$6:$Z$1113,19,FALSE),VLOOKUP($BS861,'État &amp; Plan d''action'!$B$6:$Z$1113,21,FALSE))/(VLOOKUP($BS861,'Données par municipalité'!$B$4:$L$1113,11,FALSE)),"")</f>
        <v/>
      </c>
      <c r="DG861" s="476" t="s">
        <v>4723</v>
      </c>
      <c r="DH861" s="484">
        <v>0</v>
      </c>
      <c r="DI861" s="484">
        <v>1</v>
      </c>
      <c r="DJ861" s="484">
        <v>2</v>
      </c>
      <c r="DK861" s="484">
        <v>0</v>
      </c>
      <c r="DL861" s="484" t="s">
        <v>1124</v>
      </c>
      <c r="DM861" s="484" t="s">
        <v>1124</v>
      </c>
      <c r="DN861" s="484" t="s">
        <v>1124</v>
      </c>
      <c r="DO861" s="484" t="s">
        <v>1124</v>
      </c>
      <c r="DP861" s="484" t="s">
        <v>1124</v>
      </c>
      <c r="DQ861" s="484" t="str">
        <f>IF(VLOOKUP($BS861,'État &amp; Plan d''action'!$B$6:$AJ$1113,28,FALSE)="","",VLOOKUP($BS861,'État &amp; Plan d''action'!$B$6:$AJ$1113,28,FALSE))</f>
        <v/>
      </c>
      <c r="DR861" s="70" t="str">
        <f>IF(VLOOKUP($BS861,'État &amp; Plan d''action'!$B$6:$AJ$1113,29,FALSE)="","",VLOOKUP($BS861,'État &amp; Plan d''action'!$B$6:$AJ$1113,29,FALSE))</f>
        <v/>
      </c>
      <c r="DS861" s="70" t="str">
        <f>IF(VLOOKUP($BS861,'État &amp; Plan d''action'!$B$6:$AJ$1113,30,FALSE)="","",VLOOKUP($BS861,'État &amp; Plan d''action'!$B$6:$AJ$1113,30,FALSE))</f>
        <v/>
      </c>
      <c r="DT861" s="70" t="s">
        <v>1124</v>
      </c>
      <c r="DU861" s="485" t="s">
        <v>1124</v>
      </c>
      <c r="DV861" s="485" t="s">
        <v>1124</v>
      </c>
      <c r="DW861" s="70" t="s">
        <v>1124</v>
      </c>
      <c r="DX861" s="70" t="s">
        <v>1124</v>
      </c>
      <c r="DY861" s="70" t="s">
        <v>1124</v>
      </c>
      <c r="DZ861" s="70" t="str">
        <f>VLOOKUP($BS861,'État &amp; Plan d''action'!$B$6:$AH$1113,31,FALSE)</f>
        <v/>
      </c>
      <c r="EA861" s="70" t="str">
        <f>VLOOKUP($BS861,'État &amp; Plan d''action'!$B$6:$AH$1113,32,FALSE)</f>
        <v/>
      </c>
      <c r="EB861" s="70" t="str">
        <f>VLOOKUP($BS861,'État &amp; Plan d''action'!$B$6:$AH$1113,33,FALSE)</f>
        <v/>
      </c>
      <c r="EC861" s="70" t="s">
        <v>1124</v>
      </c>
      <c r="ED861" s="70" t="s">
        <v>1124</v>
      </c>
      <c r="EE861" s="70" t="s">
        <v>1124</v>
      </c>
      <c r="EF861" s="70" t="s">
        <v>1124</v>
      </c>
      <c r="EG861" s="70" t="s">
        <v>1124</v>
      </c>
      <c r="EH861" s="72"/>
      <c r="EI861" s="72">
        <v>549</v>
      </c>
    </row>
    <row r="862" spans="71:139" x14ac:dyDescent="0.35">
      <c r="BS862" s="486">
        <v>27050</v>
      </c>
      <c r="BT862" s="479" t="s">
        <v>183</v>
      </c>
      <c r="BU862" s="479">
        <v>12</v>
      </c>
      <c r="BV862" s="476" t="s">
        <v>1188</v>
      </c>
      <c r="BW862" s="476" t="s">
        <v>1188</v>
      </c>
      <c r="BX862" s="476" t="s">
        <v>1188</v>
      </c>
      <c r="BY862" s="476" t="s">
        <v>1188</v>
      </c>
      <c r="BZ862" s="476" t="s">
        <v>1188</v>
      </c>
      <c r="CA862" s="476" t="s">
        <v>1188</v>
      </c>
      <c r="CB862" s="476" t="s">
        <v>1188</v>
      </c>
      <c r="CC862" s="476" t="s">
        <v>1188</v>
      </c>
      <c r="CD862" s="476" t="s">
        <v>1188</v>
      </c>
      <c r="CE862" s="476" t="s">
        <v>1187</v>
      </c>
      <c r="CF862" s="476" t="s">
        <v>1187</v>
      </c>
      <c r="CG862" s="476" t="s">
        <v>1187</v>
      </c>
      <c r="CH862" s="476" t="s">
        <v>1187</v>
      </c>
      <c r="CI862" s="476" t="s">
        <v>1187</v>
      </c>
      <c r="CJ862" s="476" t="s">
        <v>1187</v>
      </c>
      <c r="CK862" s="476" t="s">
        <v>1187</v>
      </c>
      <c r="CL862" s="476" t="s">
        <v>1187</v>
      </c>
      <c r="CM862" s="476" t="str">
        <f>IF(VLOOKUP(BS862,'Données par municipalité'!$B$6:$E$1113,4,FALSE)="","non","oui")</f>
        <v>non</v>
      </c>
      <c r="CN862" s="410" t="s">
        <v>1124</v>
      </c>
      <c r="CO862" s="410" t="s">
        <v>1124</v>
      </c>
      <c r="CP862" s="410"/>
      <c r="CQ862" s="410"/>
      <c r="CR862" s="410"/>
      <c r="CS862" s="410" t="s">
        <v>1124</v>
      </c>
      <c r="CT862" s="410"/>
      <c r="CU862" s="410" t="s">
        <v>1124</v>
      </c>
      <c r="CV862" s="410" t="str">
        <f>IF(VLOOKUP(BS862,'Données par municipalité'!$B$6:$F$1113,4,FALSE)="","",VLOOKUP(BS862,'Données par municipalité'!$B$6:$F$1113,4,FALSE))</f>
        <v/>
      </c>
      <c r="CW862" s="476" t="s">
        <v>4723</v>
      </c>
      <c r="CX862" s="483" t="s">
        <v>1124</v>
      </c>
      <c r="CY862" s="483" t="s">
        <v>1124</v>
      </c>
      <c r="CZ862" s="483" t="s">
        <v>1124</v>
      </c>
      <c r="DA862" s="483" t="s">
        <v>1124</v>
      </c>
      <c r="DB862" s="483" t="s">
        <v>1124</v>
      </c>
      <c r="DC862" s="483" t="s">
        <v>1124</v>
      </c>
      <c r="DD862" s="483" t="s">
        <v>1124</v>
      </c>
      <c r="DE862" s="483" t="str">
        <f>IFERROR(SUM(VLOOKUP($BS862,'État &amp; Plan d''action'!$B$6:$Z$1113,18,FALSE),VLOOKUP($BS862,'État &amp; Plan d''action'!$B$6:$Z$1113,20,FALSE))/(VLOOKUP($BS862,'Données par municipalité'!$B$4:$L$1113,11,FALSE)),"")</f>
        <v/>
      </c>
      <c r="DF862" s="483" t="str">
        <f>IFERROR(SUM(VLOOKUP($BS862,'État &amp; Plan d''action'!$B$6:$Z$1113,19,FALSE),VLOOKUP($BS862,'État &amp; Plan d''action'!$B$6:$Z$1113,21,FALSE))/(VLOOKUP($BS862,'Données par municipalité'!$B$4:$L$1113,11,FALSE)),"")</f>
        <v/>
      </c>
      <c r="DG862" s="476" t="s">
        <v>4723</v>
      </c>
      <c r="DH862" s="484" t="s">
        <v>1124</v>
      </c>
      <c r="DI862" s="484" t="s">
        <v>1124</v>
      </c>
      <c r="DJ862" s="484">
        <v>0</v>
      </c>
      <c r="DK862" s="484">
        <v>0</v>
      </c>
      <c r="DL862" s="484" t="s">
        <v>1124</v>
      </c>
      <c r="DM862" s="484" t="s">
        <v>1124</v>
      </c>
      <c r="DN862" s="484" t="s">
        <v>1124</v>
      </c>
      <c r="DO862" s="484" t="s">
        <v>1124</v>
      </c>
      <c r="DP862" s="484" t="s">
        <v>1124</v>
      </c>
      <c r="DQ862" s="484" t="str">
        <f>IF(VLOOKUP($BS862,'État &amp; Plan d''action'!$B$6:$AJ$1113,28,FALSE)="","",VLOOKUP($BS862,'État &amp; Plan d''action'!$B$6:$AJ$1113,28,FALSE))</f>
        <v/>
      </c>
      <c r="DR862" s="70" t="str">
        <f>IF(VLOOKUP($BS862,'État &amp; Plan d''action'!$B$6:$AJ$1113,29,FALSE)="","",VLOOKUP($BS862,'État &amp; Plan d''action'!$B$6:$AJ$1113,29,FALSE))</f>
        <v/>
      </c>
      <c r="DS862" s="70" t="str">
        <f>IF(VLOOKUP($BS862,'État &amp; Plan d''action'!$B$6:$AJ$1113,30,FALSE)="","",VLOOKUP($BS862,'État &amp; Plan d''action'!$B$6:$AJ$1113,30,FALSE))</f>
        <v/>
      </c>
      <c r="DT862" s="70" t="s">
        <v>1124</v>
      </c>
      <c r="DU862" s="485" t="s">
        <v>1124</v>
      </c>
      <c r="DV862" s="485" t="s">
        <v>1124</v>
      </c>
      <c r="DW862" s="70" t="s">
        <v>1124</v>
      </c>
      <c r="DX862" s="70" t="s">
        <v>1124</v>
      </c>
      <c r="DY862" s="70" t="s">
        <v>1124</v>
      </c>
      <c r="DZ862" s="70" t="str">
        <f>VLOOKUP($BS862,'État &amp; Plan d''action'!$B$6:$AH$1113,31,FALSE)</f>
        <v/>
      </c>
      <c r="EA862" s="70" t="str">
        <f>VLOOKUP($BS862,'État &amp; Plan d''action'!$B$6:$AH$1113,32,FALSE)</f>
        <v/>
      </c>
      <c r="EB862" s="70" t="str">
        <f>VLOOKUP($BS862,'État &amp; Plan d''action'!$B$6:$AH$1113,33,FALSE)</f>
        <v/>
      </c>
      <c r="EC862" s="70" t="s">
        <v>1124</v>
      </c>
      <c r="ED862" s="70" t="s">
        <v>1124</v>
      </c>
      <c r="EE862" s="70" t="s">
        <v>1124</v>
      </c>
      <c r="EF862" s="70" t="s">
        <v>1124</v>
      </c>
      <c r="EG862" s="70" t="s">
        <v>1124</v>
      </c>
      <c r="EH862" s="72"/>
      <c r="EI862" s="72">
        <v>414</v>
      </c>
    </row>
    <row r="863" spans="71:139" x14ac:dyDescent="0.35">
      <c r="BS863" s="486">
        <v>53050</v>
      </c>
      <c r="BT863" s="479" t="s">
        <v>537</v>
      </c>
      <c r="BU863" s="479">
        <v>16</v>
      </c>
      <c r="BV863" s="476" t="s">
        <v>1187</v>
      </c>
      <c r="BW863" s="476" t="s">
        <v>1187</v>
      </c>
      <c r="BX863" s="476" t="s">
        <v>1187</v>
      </c>
      <c r="BY863" s="476" t="s">
        <v>1187</v>
      </c>
      <c r="BZ863" s="476" t="s">
        <v>1187</v>
      </c>
      <c r="CA863" s="476" t="s">
        <v>1187</v>
      </c>
      <c r="CB863" s="476" t="s">
        <v>1187</v>
      </c>
      <c r="CC863" s="476" t="s">
        <v>1187</v>
      </c>
      <c r="CD863" s="476" t="s">
        <v>1187</v>
      </c>
      <c r="CE863" s="476" t="s">
        <v>1188</v>
      </c>
      <c r="CF863" s="476" t="s">
        <v>1188</v>
      </c>
      <c r="CG863" s="476" t="s">
        <v>1188</v>
      </c>
      <c r="CH863" s="476" t="s">
        <v>1188</v>
      </c>
      <c r="CI863" s="476" t="s">
        <v>1188</v>
      </c>
      <c r="CJ863" s="476" t="s">
        <v>1188</v>
      </c>
      <c r="CK863" s="476" t="s">
        <v>1188</v>
      </c>
      <c r="CL863" s="476" t="s">
        <v>1187</v>
      </c>
      <c r="CM863" s="476" t="str">
        <f>IF(VLOOKUP(BS863,'Données par municipalité'!$B$6:$E$1113,4,FALSE)="","non","oui")</f>
        <v>non</v>
      </c>
      <c r="CN863" s="410">
        <v>733</v>
      </c>
      <c r="CO863" s="410">
        <v>631.68895593884304</v>
      </c>
      <c r="CP863" s="410">
        <v>673</v>
      </c>
      <c r="CQ863" s="410">
        <v>635</v>
      </c>
      <c r="CR863" s="410">
        <v>653</v>
      </c>
      <c r="CS863" s="410">
        <v>655</v>
      </c>
      <c r="CT863" s="410">
        <v>574.35205816817165</v>
      </c>
      <c r="CU863" s="410" t="s">
        <v>1124</v>
      </c>
      <c r="CV863" s="410" t="str">
        <f>IF(VLOOKUP(BS863,'Données par municipalité'!$B$6:$F$1113,4,FALSE)="","",VLOOKUP(BS863,'Données par municipalité'!$B$6:$F$1113,4,FALSE))</f>
        <v/>
      </c>
      <c r="CW863" s="476" t="s">
        <v>4723</v>
      </c>
      <c r="CX863" s="483">
        <v>0</v>
      </c>
      <c r="CY863" s="483">
        <v>0</v>
      </c>
      <c r="CZ863" s="483">
        <v>0</v>
      </c>
      <c r="DA863" s="483">
        <v>0</v>
      </c>
      <c r="DB863" s="483">
        <v>0</v>
      </c>
      <c r="DC863" s="483">
        <v>0</v>
      </c>
      <c r="DD863" s="483" t="s">
        <v>1124</v>
      </c>
      <c r="DE863" s="483" t="str">
        <f>IFERROR(SUM(VLOOKUP($BS863,'État &amp; Plan d''action'!$B$6:$Z$1113,18,FALSE),VLOOKUP($BS863,'État &amp; Plan d''action'!$B$6:$Z$1113,20,FALSE))/(VLOOKUP($BS863,'Données par municipalité'!$B$4:$L$1113,11,FALSE)),"")</f>
        <v/>
      </c>
      <c r="DF863" s="483" t="str">
        <f>IFERROR(SUM(VLOOKUP($BS863,'État &amp; Plan d''action'!$B$6:$Z$1113,19,FALSE),VLOOKUP($BS863,'État &amp; Plan d''action'!$B$6:$Z$1113,21,FALSE))/(VLOOKUP($BS863,'Données par municipalité'!$B$4:$L$1113,11,FALSE)),"")</f>
        <v/>
      </c>
      <c r="DG863" s="476" t="s">
        <v>4723</v>
      </c>
      <c r="DH863" s="484">
        <v>26</v>
      </c>
      <c r="DI863" s="484">
        <v>1</v>
      </c>
      <c r="DJ863" s="484">
        <v>5</v>
      </c>
      <c r="DK863" s="484">
        <v>4</v>
      </c>
      <c r="DL863" s="484">
        <v>2</v>
      </c>
      <c r="DM863" s="484">
        <v>2</v>
      </c>
      <c r="DN863" s="484" t="s">
        <v>1124</v>
      </c>
      <c r="DO863" s="484" t="s">
        <v>1124</v>
      </c>
      <c r="DP863" s="484" t="s">
        <v>1124</v>
      </c>
      <c r="DQ863" s="484" t="str">
        <f>IF(VLOOKUP($BS863,'État &amp; Plan d''action'!$B$6:$AJ$1113,28,FALSE)="","",VLOOKUP($BS863,'État &amp; Plan d''action'!$B$6:$AJ$1113,28,FALSE))</f>
        <v/>
      </c>
      <c r="DR863" s="70" t="str">
        <f>IF(VLOOKUP($BS863,'État &amp; Plan d''action'!$B$6:$AJ$1113,29,FALSE)="","",VLOOKUP($BS863,'État &amp; Plan d''action'!$B$6:$AJ$1113,29,FALSE))</f>
        <v/>
      </c>
      <c r="DS863" s="70" t="str">
        <f>IF(VLOOKUP($BS863,'État &amp; Plan d''action'!$B$6:$AJ$1113,30,FALSE)="","",VLOOKUP($BS863,'État &amp; Plan d''action'!$B$6:$AJ$1113,30,FALSE))</f>
        <v/>
      </c>
      <c r="DT863" s="70" t="s">
        <v>1124</v>
      </c>
      <c r="DU863" s="485" t="s">
        <v>1124</v>
      </c>
      <c r="DV863" s="485" t="s">
        <v>1124</v>
      </c>
      <c r="DW863" s="70" t="s">
        <v>1124</v>
      </c>
      <c r="DX863" s="70" t="s">
        <v>1124</v>
      </c>
      <c r="DY863" s="70" t="s">
        <v>1124</v>
      </c>
      <c r="DZ863" s="70" t="str">
        <f>VLOOKUP($BS863,'État &amp; Plan d''action'!$B$6:$AH$1113,31,FALSE)</f>
        <v/>
      </c>
      <c r="EA863" s="70" t="str">
        <f>VLOOKUP($BS863,'État &amp; Plan d''action'!$B$6:$AH$1113,32,FALSE)</f>
        <v/>
      </c>
      <c r="EB863" s="70" t="str">
        <f>VLOOKUP($BS863,'État &amp; Plan d''action'!$B$6:$AH$1113,33,FALSE)</f>
        <v/>
      </c>
      <c r="EC863" s="70" t="s">
        <v>1124</v>
      </c>
      <c r="ED863" s="70" t="s">
        <v>1124</v>
      </c>
      <c r="EE863" s="70" t="s">
        <v>1124</v>
      </c>
      <c r="EF863" s="70" t="s">
        <v>1124</v>
      </c>
      <c r="EG863" s="70" t="s">
        <v>1124</v>
      </c>
      <c r="EH863" s="72"/>
      <c r="EI863" s="72">
        <v>1613</v>
      </c>
    </row>
    <row r="864" spans="71:139" x14ac:dyDescent="0.35">
      <c r="BS864" s="486">
        <v>72025</v>
      </c>
      <c r="BT864" s="479" t="s">
        <v>731</v>
      </c>
      <c r="BU864" s="479">
        <v>15</v>
      </c>
      <c r="BV864" s="476" t="s">
        <v>1187</v>
      </c>
      <c r="BW864" s="476" t="s">
        <v>1187</v>
      </c>
      <c r="BX864" s="476" t="s">
        <v>1187</v>
      </c>
      <c r="BY864" s="476" t="s">
        <v>1187</v>
      </c>
      <c r="BZ864" s="476" t="s">
        <v>1187</v>
      </c>
      <c r="CA864" s="476" t="s">
        <v>1187</v>
      </c>
      <c r="CB864" s="476" t="s">
        <v>1187</v>
      </c>
      <c r="CC864" s="476" t="s">
        <v>1187</v>
      </c>
      <c r="CD864" s="476" t="s">
        <v>1187</v>
      </c>
      <c r="CE864" s="476" t="s">
        <v>1188</v>
      </c>
      <c r="CF864" s="476" t="s">
        <v>1188</v>
      </c>
      <c r="CG864" s="476" t="s">
        <v>1188</v>
      </c>
      <c r="CH864" s="476" t="s">
        <v>1187</v>
      </c>
      <c r="CI864" s="476" t="s">
        <v>1187</v>
      </c>
      <c r="CJ864" s="476" t="s">
        <v>1188</v>
      </c>
      <c r="CK864" s="476" t="s">
        <v>1188</v>
      </c>
      <c r="CL864" s="476" t="s">
        <v>1188</v>
      </c>
      <c r="CM864" s="476" t="str">
        <f>IF(VLOOKUP(BS864,'Données par municipalité'!$B$6:$E$1113,4,FALSE)="","non","oui")</f>
        <v>oui</v>
      </c>
      <c r="CN864" s="410">
        <v>555.99343185550083</v>
      </c>
      <c r="CO864" s="410">
        <v>495.73688924255589</v>
      </c>
      <c r="CP864" s="410">
        <v>383.02019949800234</v>
      </c>
      <c r="CQ864" s="410"/>
      <c r="CR864" s="410"/>
      <c r="CS864" s="410">
        <v>381.47027502815399</v>
      </c>
      <c r="CT864" s="410">
        <v>345.87190356045056</v>
      </c>
      <c r="CU864" s="410">
        <v>331</v>
      </c>
      <c r="CV864" s="410">
        <f>IF(VLOOKUP(BS864,'Données par municipalité'!$B$6:$F$1113,4,FALSE)="","",VLOOKUP(BS864,'Données par municipalité'!$B$6:$F$1113,4,FALSE))</f>
        <v>317</v>
      </c>
      <c r="CW864" s="476" t="s">
        <v>4723</v>
      </c>
      <c r="CX864" s="483">
        <v>0.25489999999999996</v>
      </c>
      <c r="CY864" s="483">
        <v>0</v>
      </c>
      <c r="CZ864" s="483" t="s">
        <v>1124</v>
      </c>
      <c r="DA864" s="483" t="s">
        <v>1124</v>
      </c>
      <c r="DB864" s="483">
        <v>1</v>
      </c>
      <c r="DC864" s="483">
        <v>1</v>
      </c>
      <c r="DD864" s="483">
        <v>0.5</v>
      </c>
      <c r="DE864" s="483">
        <f>IFERROR(SUM(VLOOKUP($BS864,'État &amp; Plan d''action'!$B$6:$Z$1113,18,FALSE),VLOOKUP($BS864,'État &amp; Plan d''action'!$B$6:$Z$1113,20,FALSE))/(VLOOKUP($BS864,'Données par municipalité'!$B$4:$L$1113,11,FALSE)),"")</f>
        <v>0.52253947383335408</v>
      </c>
      <c r="DF864" s="483">
        <f>IFERROR(SUM(VLOOKUP($BS864,'État &amp; Plan d''action'!$B$6:$Z$1113,19,FALSE),VLOOKUP($BS864,'État &amp; Plan d''action'!$B$6:$Z$1113,21,FALSE))/(VLOOKUP($BS864,'Données par municipalité'!$B$4:$L$1113,11,FALSE)),"")</f>
        <v>0.52253947383335408</v>
      </c>
      <c r="DG864" s="476" t="s">
        <v>4723</v>
      </c>
      <c r="DH864" s="484">
        <v>8</v>
      </c>
      <c r="DI864" s="484">
        <v>2</v>
      </c>
      <c r="DJ864" s="484">
        <v>3</v>
      </c>
      <c r="DK864" s="484">
        <v>6</v>
      </c>
      <c r="DL864" s="484">
        <v>2</v>
      </c>
      <c r="DM864" s="484">
        <v>3</v>
      </c>
      <c r="DN864" s="484">
        <v>7</v>
      </c>
      <c r="DO864" s="484">
        <v>0</v>
      </c>
      <c r="DP864" s="484">
        <v>0</v>
      </c>
      <c r="DQ864" s="484">
        <f>IF(VLOOKUP($BS864,'État &amp; Plan d''action'!$B$6:$AJ$1113,28,FALSE)="","",VLOOKUP($BS864,'État &amp; Plan d''action'!$B$6:$AJ$1113,28,FALSE))</f>
        <v>7</v>
      </c>
      <c r="DR864" s="70">
        <f>IF(VLOOKUP($BS864,'État &amp; Plan d''action'!$B$6:$AJ$1113,29,FALSE)="","",VLOOKUP($BS864,'État &amp; Plan d''action'!$B$6:$AJ$1113,29,FALSE))</f>
        <v>10</v>
      </c>
      <c r="DS864" s="70">
        <f>IF(VLOOKUP($BS864,'État &amp; Plan d''action'!$B$6:$AJ$1113,30,FALSE)="","",VLOOKUP($BS864,'État &amp; Plan d''action'!$B$6:$AJ$1113,30,FALSE))</f>
        <v>1</v>
      </c>
      <c r="DT864" s="70">
        <v>220</v>
      </c>
      <c r="DU864" s="485">
        <v>1.5162022197389198</v>
      </c>
      <c r="DV864" s="485">
        <v>2.1080915474621968</v>
      </c>
      <c r="DW864" s="70">
        <v>15</v>
      </c>
      <c r="DX864" s="70">
        <v>0</v>
      </c>
      <c r="DY864" s="70">
        <v>0</v>
      </c>
      <c r="DZ864" s="70">
        <f>VLOOKUP($BS864,'État &amp; Plan d''action'!$B$6:$AH$1113,31,FALSE)</f>
        <v>71</v>
      </c>
      <c r="EA864" s="70">
        <f>VLOOKUP($BS864,'État &amp; Plan d''action'!$B$6:$AH$1113,32,FALSE)</f>
        <v>137</v>
      </c>
      <c r="EB864" s="70">
        <f>VLOOKUP($BS864,'État &amp; Plan d''action'!$B$6:$AH$1113,33,FALSE)</f>
        <v>1</v>
      </c>
      <c r="EC864" s="70">
        <v>0</v>
      </c>
      <c r="ED864" s="70">
        <v>23.05</v>
      </c>
      <c r="EE864" s="70">
        <v>0</v>
      </c>
      <c r="EF864" s="70">
        <v>0</v>
      </c>
      <c r="EG864" s="70">
        <v>0</v>
      </c>
      <c r="EH864" s="72">
        <v>56.352941176470587</v>
      </c>
      <c r="EI864" s="72">
        <v>6886</v>
      </c>
    </row>
    <row r="865" spans="71:139" x14ac:dyDescent="0.35">
      <c r="BS865" s="486">
        <v>54110</v>
      </c>
      <c r="BT865" s="479" t="s">
        <v>555</v>
      </c>
      <c r="BU865" s="479">
        <v>16</v>
      </c>
      <c r="BV865" s="476" t="s">
        <v>1187</v>
      </c>
      <c r="BW865" s="476" t="s">
        <v>1187</v>
      </c>
      <c r="BX865" s="476" t="s">
        <v>1187</v>
      </c>
      <c r="BY865" s="476" t="s">
        <v>1187</v>
      </c>
      <c r="BZ865" s="476" t="s">
        <v>1187</v>
      </c>
      <c r="CA865" s="476" t="s">
        <v>1187</v>
      </c>
      <c r="CB865" s="476" t="s">
        <v>1187</v>
      </c>
      <c r="CC865" s="476" t="s">
        <v>1187</v>
      </c>
      <c r="CD865" s="476" t="s">
        <v>1187</v>
      </c>
      <c r="CE865" s="476" t="s">
        <v>1188</v>
      </c>
      <c r="CF865" s="476" t="s">
        <v>1188</v>
      </c>
      <c r="CG865" s="476" t="s">
        <v>1188</v>
      </c>
      <c r="CH865" s="476" t="s">
        <v>1188</v>
      </c>
      <c r="CI865" s="476" t="s">
        <v>1188</v>
      </c>
      <c r="CJ865" s="476" t="s">
        <v>1188</v>
      </c>
      <c r="CK865" s="476" t="s">
        <v>1188</v>
      </c>
      <c r="CL865" s="476" t="s">
        <v>1188</v>
      </c>
      <c r="CM865" s="476" t="str">
        <f>IF(VLOOKUP(BS865,'Données par municipalité'!$B$6:$E$1113,4,FALSE)="","non","oui")</f>
        <v>non</v>
      </c>
      <c r="CN865" s="410">
        <v>476.70772284290956</v>
      </c>
      <c r="CO865" s="410">
        <v>504.79273654329114</v>
      </c>
      <c r="CP865" s="410">
        <v>522.09561146994861</v>
      </c>
      <c r="CQ865" s="410">
        <v>481.33844263633165</v>
      </c>
      <c r="CR865" s="410">
        <v>498.30353485944818</v>
      </c>
      <c r="CS865" s="410">
        <v>553.70340627612245</v>
      </c>
      <c r="CT865" s="410">
        <v>447.60403728543372</v>
      </c>
      <c r="CU865" s="410">
        <v>454</v>
      </c>
      <c r="CV865" s="410" t="str">
        <f>IF(VLOOKUP(BS865,'Données par municipalité'!$B$6:$F$1113,4,FALSE)="","",VLOOKUP(BS865,'Données par municipalité'!$B$6:$F$1113,4,FALSE))</f>
        <v/>
      </c>
      <c r="CW865" s="476" t="s">
        <v>4723</v>
      </c>
      <c r="CX865" s="483">
        <v>0</v>
      </c>
      <c r="CY865" s="483">
        <v>0</v>
      </c>
      <c r="CZ865" s="483">
        <v>0</v>
      </c>
      <c r="DA865" s="483">
        <v>0</v>
      </c>
      <c r="DB865" s="483">
        <v>0</v>
      </c>
      <c r="DC865" s="483">
        <v>0</v>
      </c>
      <c r="DD865" s="483">
        <v>0</v>
      </c>
      <c r="DE865" s="483" t="str">
        <f>IFERROR(SUM(VLOOKUP($BS865,'État &amp; Plan d''action'!$B$6:$Z$1113,18,FALSE),VLOOKUP($BS865,'État &amp; Plan d''action'!$B$6:$Z$1113,20,FALSE))/(VLOOKUP($BS865,'Données par municipalité'!$B$4:$L$1113,11,FALSE)),"")</f>
        <v/>
      </c>
      <c r="DF865" s="483" t="str">
        <f>IFERROR(SUM(VLOOKUP($BS865,'État &amp; Plan d''action'!$B$6:$Z$1113,19,FALSE),VLOOKUP($BS865,'État &amp; Plan d''action'!$B$6:$Z$1113,21,FALSE))/(VLOOKUP($BS865,'Données par municipalité'!$B$4:$L$1113,11,FALSE)),"")</f>
        <v/>
      </c>
      <c r="DG865" s="476" t="s">
        <v>4723</v>
      </c>
      <c r="DH865" s="484">
        <v>2</v>
      </c>
      <c r="DI865" s="484">
        <v>0</v>
      </c>
      <c r="DJ865" s="484">
        <v>0</v>
      </c>
      <c r="DK865" s="484">
        <v>0</v>
      </c>
      <c r="DL865" s="484">
        <v>0</v>
      </c>
      <c r="DM865" s="484">
        <v>0</v>
      </c>
      <c r="DN865" s="484">
        <v>0</v>
      </c>
      <c r="DO865" s="484">
        <v>0</v>
      </c>
      <c r="DP865" s="484">
        <v>3</v>
      </c>
      <c r="DQ865" s="484" t="str">
        <f>IF(VLOOKUP($BS865,'État &amp; Plan d''action'!$B$6:$AJ$1113,28,FALSE)="","",VLOOKUP($BS865,'État &amp; Plan d''action'!$B$6:$AJ$1113,28,FALSE))</f>
        <v/>
      </c>
      <c r="DR865" s="70" t="str">
        <f>IF(VLOOKUP($BS865,'État &amp; Plan d''action'!$B$6:$AJ$1113,29,FALSE)="","",VLOOKUP($BS865,'État &amp; Plan d''action'!$B$6:$AJ$1113,29,FALSE))</f>
        <v/>
      </c>
      <c r="DS865" s="70" t="str">
        <f>IF(VLOOKUP($BS865,'État &amp; Plan d''action'!$B$6:$AJ$1113,30,FALSE)="","",VLOOKUP($BS865,'État &amp; Plan d''action'!$B$6:$AJ$1113,30,FALSE))</f>
        <v/>
      </c>
      <c r="DT865" s="70">
        <v>192</v>
      </c>
      <c r="DU865" s="485">
        <v>0.52595570358987909</v>
      </c>
      <c r="DV865" s="485" t="s">
        <v>1124</v>
      </c>
      <c r="DW865" s="70">
        <v>0</v>
      </c>
      <c r="DX865" s="70">
        <v>0</v>
      </c>
      <c r="DY865" s="70">
        <v>5</v>
      </c>
      <c r="DZ865" s="70" t="str">
        <f>VLOOKUP($BS865,'État &amp; Plan d''action'!$B$6:$AH$1113,31,FALSE)</f>
        <v/>
      </c>
      <c r="EA865" s="70" t="str">
        <f>VLOOKUP($BS865,'État &amp; Plan d''action'!$B$6:$AH$1113,32,FALSE)</f>
        <v/>
      </c>
      <c r="EB865" s="70" t="str">
        <f>VLOOKUP($BS865,'État &amp; Plan d''action'!$B$6:$AH$1113,33,FALSE)</f>
        <v/>
      </c>
      <c r="EC865" s="70">
        <v>0</v>
      </c>
      <c r="ED865" s="70">
        <v>0</v>
      </c>
      <c r="EE865" s="70">
        <v>0</v>
      </c>
      <c r="EF865" s="70">
        <v>0</v>
      </c>
      <c r="EG865" s="70">
        <v>0</v>
      </c>
      <c r="EH865" s="72">
        <v>53</v>
      </c>
      <c r="EI865" s="72">
        <v>1322</v>
      </c>
    </row>
    <row r="866" spans="71:139" x14ac:dyDescent="0.35">
      <c r="BS866" s="486">
        <v>27055</v>
      </c>
      <c r="BT866" s="479" t="s">
        <v>184</v>
      </c>
      <c r="BU866" s="479">
        <v>12</v>
      </c>
      <c r="BV866" s="476" t="s">
        <v>1187</v>
      </c>
      <c r="BW866" s="476" t="s">
        <v>1187</v>
      </c>
      <c r="BX866" s="476" t="s">
        <v>1187</v>
      </c>
      <c r="BY866" s="476" t="s">
        <v>1187</v>
      </c>
      <c r="BZ866" s="476" t="s">
        <v>1187</v>
      </c>
      <c r="CA866" s="476" t="s">
        <v>1187</v>
      </c>
      <c r="CB866" s="476" t="s">
        <v>1187</v>
      </c>
      <c r="CC866" s="476" t="s">
        <v>1187</v>
      </c>
      <c r="CD866" s="476" t="s">
        <v>1187</v>
      </c>
      <c r="CE866" s="476" t="s">
        <v>1188</v>
      </c>
      <c r="CF866" s="476" t="s">
        <v>1188</v>
      </c>
      <c r="CG866" s="476" t="s">
        <v>1188</v>
      </c>
      <c r="CH866" s="476" t="s">
        <v>1187</v>
      </c>
      <c r="CI866" s="476" t="s">
        <v>1188</v>
      </c>
      <c r="CJ866" s="476" t="s">
        <v>1188</v>
      </c>
      <c r="CK866" s="476" t="s">
        <v>1188</v>
      </c>
      <c r="CL866" s="476" t="s">
        <v>1188</v>
      </c>
      <c r="CM866" s="476" t="str">
        <f>IF(VLOOKUP(BS866,'Données par municipalité'!$B$6:$E$1113,4,FALSE)="","non","oui")</f>
        <v>oui</v>
      </c>
      <c r="CN866" s="410">
        <v>158.87201054891182</v>
      </c>
      <c r="CO866" s="410">
        <v>138.05473030257693</v>
      </c>
      <c r="CP866" s="410">
        <v>129.13485731489646</v>
      </c>
      <c r="CQ866" s="410"/>
      <c r="CR866" s="410">
        <v>189.52849626483291</v>
      </c>
      <c r="CS866" s="410">
        <v>333.67493739232367</v>
      </c>
      <c r="CT866" s="410">
        <v>304.14520844773591</v>
      </c>
      <c r="CU866" s="410">
        <v>36.56</v>
      </c>
      <c r="CV866" s="410">
        <f>IF(VLOOKUP(BS866,'Données par municipalité'!$B$6:$F$1113,4,FALSE)="","",VLOOKUP(BS866,'Données par municipalité'!$B$6:$F$1113,4,FALSE))</f>
        <v>337</v>
      </c>
      <c r="CW866" s="476" t="s">
        <v>4723</v>
      </c>
      <c r="CX866" s="483">
        <v>1</v>
      </c>
      <c r="CY866" s="483">
        <v>0</v>
      </c>
      <c r="CZ866" s="483" t="s">
        <v>1124</v>
      </c>
      <c r="DA866" s="483">
        <v>0</v>
      </c>
      <c r="DB866" s="483">
        <v>0</v>
      </c>
      <c r="DC866" s="483">
        <v>0</v>
      </c>
      <c r="DD866" s="483">
        <v>0</v>
      </c>
      <c r="DE866" s="483">
        <f>IFERROR(SUM(VLOOKUP($BS866,'État &amp; Plan d''action'!$B$6:$Z$1113,18,FALSE),VLOOKUP($BS866,'État &amp; Plan d''action'!$B$6:$Z$1113,20,FALSE))/(VLOOKUP($BS866,'Données par municipalité'!$B$4:$L$1113,11,FALSE)),"")</f>
        <v>1</v>
      </c>
      <c r="DF866" s="483">
        <f>IFERROR(SUM(VLOOKUP($BS866,'État &amp; Plan d''action'!$B$6:$Z$1113,19,FALSE),VLOOKUP($BS866,'État &amp; Plan d''action'!$B$6:$Z$1113,21,FALSE))/(VLOOKUP($BS866,'Données par municipalité'!$B$4:$L$1113,11,FALSE)),"")</f>
        <v>0</v>
      </c>
      <c r="DG866" s="476" t="s">
        <v>4723</v>
      </c>
      <c r="DH866" s="484">
        <v>0</v>
      </c>
      <c r="DI866" s="484">
        <v>0</v>
      </c>
      <c r="DJ866" s="484">
        <v>0</v>
      </c>
      <c r="DK866" s="484">
        <v>0</v>
      </c>
      <c r="DL866" s="484">
        <v>1</v>
      </c>
      <c r="DM866" s="484">
        <v>0</v>
      </c>
      <c r="DN866" s="484">
        <v>0</v>
      </c>
      <c r="DO866" s="484">
        <v>0</v>
      </c>
      <c r="DP866" s="484">
        <v>0</v>
      </c>
      <c r="DQ866" s="484">
        <f>IF(VLOOKUP($BS866,'État &amp; Plan d''action'!$B$6:$AJ$1113,28,FALSE)="","",VLOOKUP($BS866,'État &amp; Plan d''action'!$B$6:$AJ$1113,28,FALSE))</f>
        <v>0</v>
      </c>
      <c r="DR866" s="70">
        <f>IF(VLOOKUP($BS866,'État &amp; Plan d''action'!$B$6:$AJ$1113,29,FALSE)="","",VLOOKUP($BS866,'État &amp; Plan d''action'!$B$6:$AJ$1113,29,FALSE))</f>
        <v>0</v>
      </c>
      <c r="DS866" s="70">
        <f>IF(VLOOKUP($BS866,'État &amp; Plan d''action'!$B$6:$AJ$1113,30,FALSE)="","",VLOOKUP($BS866,'État &amp; Plan d''action'!$B$6:$AJ$1113,30,FALSE))</f>
        <v>1</v>
      </c>
      <c r="DT866" s="70">
        <v>255.49588670737526</v>
      </c>
      <c r="DU866" s="485">
        <v>1.2905670352462031</v>
      </c>
      <c r="DV866" s="485">
        <v>1.5574824170099819</v>
      </c>
      <c r="DW866" s="70">
        <v>0</v>
      </c>
      <c r="DX866" s="70">
        <v>0</v>
      </c>
      <c r="DY866" s="70">
        <v>0</v>
      </c>
      <c r="DZ866" s="70">
        <f>VLOOKUP($BS866,'État &amp; Plan d''action'!$B$6:$AH$1113,31,FALSE)</f>
        <v>0</v>
      </c>
      <c r="EA866" s="70">
        <f>VLOOKUP($BS866,'État &amp; Plan d''action'!$B$6:$AH$1113,32,FALSE)</f>
        <v>0</v>
      </c>
      <c r="EB866" s="70">
        <f>VLOOKUP($BS866,'État &amp; Plan d''action'!$B$6:$AH$1113,33,FALSE)</f>
        <v>6</v>
      </c>
      <c r="EC866" s="70">
        <v>2.9649999999999999</v>
      </c>
      <c r="ED866" s="70">
        <v>0</v>
      </c>
      <c r="EE866" s="70">
        <v>0</v>
      </c>
      <c r="EF866" s="70">
        <v>0</v>
      </c>
      <c r="EG866" s="70">
        <v>0</v>
      </c>
      <c r="EH866" s="72">
        <v>62</v>
      </c>
      <c r="EI866" s="72">
        <v>538</v>
      </c>
    </row>
    <row r="867" spans="71:139" x14ac:dyDescent="0.35">
      <c r="BS867" s="486">
        <v>31035</v>
      </c>
      <c r="BT867" s="479" t="s">
        <v>242</v>
      </c>
      <c r="BU867" s="479">
        <v>12</v>
      </c>
      <c r="BV867" s="476" t="s">
        <v>1188</v>
      </c>
      <c r="BW867" s="476" t="s">
        <v>1188</v>
      </c>
      <c r="BX867" s="476" t="s">
        <v>1188</v>
      </c>
      <c r="BY867" s="476" t="s">
        <v>1188</v>
      </c>
      <c r="BZ867" s="476" t="s">
        <v>1188</v>
      </c>
      <c r="CA867" s="476" t="s">
        <v>1188</v>
      </c>
      <c r="CB867" s="476" t="s">
        <v>1188</v>
      </c>
      <c r="CC867" s="476" t="s">
        <v>1188</v>
      </c>
      <c r="CD867" s="476" t="s">
        <v>1188</v>
      </c>
      <c r="CE867" s="476" t="s">
        <v>1187</v>
      </c>
      <c r="CF867" s="476" t="s">
        <v>1187</v>
      </c>
      <c r="CG867" s="476" t="s">
        <v>1187</v>
      </c>
      <c r="CH867" s="476" t="s">
        <v>1187</v>
      </c>
      <c r="CI867" s="476" t="s">
        <v>1187</v>
      </c>
      <c r="CJ867" s="476" t="s">
        <v>1187</v>
      </c>
      <c r="CK867" s="476" t="s">
        <v>1187</v>
      </c>
      <c r="CL867" s="476" t="s">
        <v>1187</v>
      </c>
      <c r="CM867" s="476" t="str">
        <f>IF(VLOOKUP(BS867,'Données par municipalité'!$B$6:$E$1113,4,FALSE)="","non","oui")</f>
        <v>non</v>
      </c>
      <c r="CN867" s="410" t="s">
        <v>1124</v>
      </c>
      <c r="CO867" s="410" t="s">
        <v>1124</v>
      </c>
      <c r="CP867" s="410"/>
      <c r="CQ867" s="410"/>
      <c r="CR867" s="410"/>
      <c r="CS867" s="410" t="s">
        <v>1124</v>
      </c>
      <c r="CT867" s="410"/>
      <c r="CU867" s="410" t="s">
        <v>1124</v>
      </c>
      <c r="CV867" s="410" t="str">
        <f>IF(VLOOKUP(BS867,'Données par municipalité'!$B$6:$F$1113,4,FALSE)="","",VLOOKUP(BS867,'Données par municipalité'!$B$6:$F$1113,4,FALSE))</f>
        <v/>
      </c>
      <c r="CW867" s="476" t="s">
        <v>4723</v>
      </c>
      <c r="CX867" s="483" t="s">
        <v>1124</v>
      </c>
      <c r="CY867" s="483" t="s">
        <v>1124</v>
      </c>
      <c r="CZ867" s="483" t="s">
        <v>1124</v>
      </c>
      <c r="DA867" s="483" t="s">
        <v>1124</v>
      </c>
      <c r="DB867" s="483" t="s">
        <v>1124</v>
      </c>
      <c r="DC867" s="483" t="s">
        <v>1124</v>
      </c>
      <c r="DD867" s="483" t="s">
        <v>1124</v>
      </c>
      <c r="DE867" s="483" t="str">
        <f>IFERROR(SUM(VLOOKUP($BS867,'État &amp; Plan d''action'!$B$6:$Z$1113,18,FALSE),VLOOKUP($BS867,'État &amp; Plan d''action'!$B$6:$Z$1113,20,FALSE))/(VLOOKUP($BS867,'Données par municipalité'!$B$4:$L$1113,11,FALSE)),"")</f>
        <v/>
      </c>
      <c r="DF867" s="483" t="str">
        <f>IFERROR(SUM(VLOOKUP($BS867,'État &amp; Plan d''action'!$B$6:$Z$1113,19,FALSE),VLOOKUP($BS867,'État &amp; Plan d''action'!$B$6:$Z$1113,21,FALSE))/(VLOOKUP($BS867,'Données par municipalité'!$B$4:$L$1113,11,FALSE)),"")</f>
        <v/>
      </c>
      <c r="DG867" s="476" t="s">
        <v>4723</v>
      </c>
      <c r="DH867" s="484" t="s">
        <v>1124</v>
      </c>
      <c r="DI867" s="484" t="s">
        <v>1124</v>
      </c>
      <c r="DJ867" s="484">
        <v>0</v>
      </c>
      <c r="DK867" s="484">
        <v>0</v>
      </c>
      <c r="DL867" s="484" t="s">
        <v>1124</v>
      </c>
      <c r="DM867" s="484" t="s">
        <v>1124</v>
      </c>
      <c r="DN867" s="484" t="s">
        <v>1124</v>
      </c>
      <c r="DO867" s="484" t="s">
        <v>1124</v>
      </c>
      <c r="DP867" s="484" t="s">
        <v>1124</v>
      </c>
      <c r="DQ867" s="484" t="str">
        <f>IF(VLOOKUP($BS867,'État &amp; Plan d''action'!$B$6:$AJ$1113,28,FALSE)="","",VLOOKUP($BS867,'État &amp; Plan d''action'!$B$6:$AJ$1113,28,FALSE))</f>
        <v/>
      </c>
      <c r="DR867" s="70" t="str">
        <f>IF(VLOOKUP($BS867,'État &amp; Plan d''action'!$B$6:$AJ$1113,29,FALSE)="","",VLOOKUP($BS867,'État &amp; Plan d''action'!$B$6:$AJ$1113,29,FALSE))</f>
        <v/>
      </c>
      <c r="DS867" s="70" t="str">
        <f>IF(VLOOKUP($BS867,'État &amp; Plan d''action'!$B$6:$AJ$1113,30,FALSE)="","",VLOOKUP($BS867,'État &amp; Plan d''action'!$B$6:$AJ$1113,30,FALSE))</f>
        <v/>
      </c>
      <c r="DT867" s="70" t="s">
        <v>1124</v>
      </c>
      <c r="DU867" s="485" t="s">
        <v>1124</v>
      </c>
      <c r="DV867" s="485" t="s">
        <v>1124</v>
      </c>
      <c r="DW867" s="70" t="s">
        <v>1124</v>
      </c>
      <c r="DX867" s="70" t="s">
        <v>1124</v>
      </c>
      <c r="DY867" s="70" t="s">
        <v>1124</v>
      </c>
      <c r="DZ867" s="70" t="str">
        <f>VLOOKUP($BS867,'État &amp; Plan d''action'!$B$6:$AH$1113,31,FALSE)</f>
        <v/>
      </c>
      <c r="EA867" s="70" t="str">
        <f>VLOOKUP($BS867,'État &amp; Plan d''action'!$B$6:$AH$1113,32,FALSE)</f>
        <v/>
      </c>
      <c r="EB867" s="70" t="str">
        <f>VLOOKUP($BS867,'État &amp; Plan d''action'!$B$6:$AH$1113,33,FALSE)</f>
        <v/>
      </c>
      <c r="EC867" s="70" t="s">
        <v>1124</v>
      </c>
      <c r="ED867" s="70" t="s">
        <v>1124</v>
      </c>
      <c r="EE867" s="70" t="s">
        <v>1124</v>
      </c>
      <c r="EF867" s="70" t="s">
        <v>1124</v>
      </c>
      <c r="EG867" s="70" t="s">
        <v>1124</v>
      </c>
      <c r="EH867" s="72"/>
      <c r="EI867" s="72">
        <v>394</v>
      </c>
    </row>
    <row r="868" spans="71:139" x14ac:dyDescent="0.35">
      <c r="BS868" s="486">
        <v>18005</v>
      </c>
      <c r="BT868" s="479" t="s">
        <v>104</v>
      </c>
      <c r="BU868" s="479">
        <v>12</v>
      </c>
      <c r="BV868" s="476" t="s">
        <v>1187</v>
      </c>
      <c r="BW868" s="476" t="s">
        <v>1187</v>
      </c>
      <c r="BX868" s="476" t="s">
        <v>1187</v>
      </c>
      <c r="BY868" s="476" t="s">
        <v>1187</v>
      </c>
      <c r="BZ868" s="476" t="s">
        <v>1187</v>
      </c>
      <c r="CA868" s="476" t="s">
        <v>1187</v>
      </c>
      <c r="CB868" s="476" t="s">
        <v>1187</v>
      </c>
      <c r="CC868" s="476" t="s">
        <v>1187</v>
      </c>
      <c r="CD868" s="476" t="s">
        <v>1187</v>
      </c>
      <c r="CE868" s="476" t="s">
        <v>1188</v>
      </c>
      <c r="CF868" s="476" t="s">
        <v>1188</v>
      </c>
      <c r="CG868" s="476" t="s">
        <v>1188</v>
      </c>
      <c r="CH868" s="476" t="s">
        <v>1188</v>
      </c>
      <c r="CI868" s="476" t="s">
        <v>1188</v>
      </c>
      <c r="CJ868" s="476" t="s">
        <v>1188</v>
      </c>
      <c r="CK868" s="476" t="s">
        <v>1188</v>
      </c>
      <c r="CL868" s="476" t="s">
        <v>1188</v>
      </c>
      <c r="CM868" s="476" t="str">
        <f>IF(VLOOKUP(BS868,'Données par municipalité'!$B$6:$E$1113,4,FALSE)="","non","oui")</f>
        <v>oui</v>
      </c>
      <c r="CN868" s="410">
        <v>410.16562185589351</v>
      </c>
      <c r="CO868" s="410">
        <v>447.27378656380586</v>
      </c>
      <c r="CP868" s="410">
        <v>308.55314325914054</v>
      </c>
      <c r="CQ868" s="410">
        <v>343.99220802663513</v>
      </c>
      <c r="CR868" s="410">
        <v>317.83031374281921</v>
      </c>
      <c r="CS868" s="410">
        <v>335.70724715578251</v>
      </c>
      <c r="CT868" s="410">
        <v>323.95357686453576</v>
      </c>
      <c r="CU868" s="410">
        <v>329</v>
      </c>
      <c r="CV868" s="410">
        <f>IF(VLOOKUP(BS868,'Données par municipalité'!$B$6:$F$1113,4,FALSE)="","",VLOOKUP(BS868,'Données par municipalité'!$B$6:$F$1113,4,FALSE))</f>
        <v>344</v>
      </c>
      <c r="CW868" s="476" t="s">
        <v>4723</v>
      </c>
      <c r="CX868" s="483">
        <v>0.1</v>
      </c>
      <c r="CY868" s="483">
        <v>0</v>
      </c>
      <c r="CZ868" s="483">
        <v>1</v>
      </c>
      <c r="DA868" s="483">
        <v>1</v>
      </c>
      <c r="DB868" s="483">
        <v>1</v>
      </c>
      <c r="DC868" s="483">
        <v>1</v>
      </c>
      <c r="DD868" s="483">
        <v>0.50013196093956191</v>
      </c>
      <c r="DE868" s="483">
        <f>IFERROR(SUM(VLOOKUP($BS868,'État &amp; Plan d''action'!$B$6:$Z$1113,18,FALSE),VLOOKUP($BS868,'État &amp; Plan d''action'!$B$6:$Z$1113,20,FALSE))/(VLOOKUP($BS868,'Données par municipalité'!$B$4:$L$1113,11,FALSE)),"")</f>
        <v>1</v>
      </c>
      <c r="DF868" s="483">
        <f>IFERROR(SUM(VLOOKUP($BS868,'État &amp; Plan d''action'!$B$6:$Z$1113,19,FALSE),VLOOKUP($BS868,'État &amp; Plan d''action'!$B$6:$Z$1113,21,FALSE))/(VLOOKUP($BS868,'Données par municipalité'!$B$4:$L$1113,11,FALSE)),"")</f>
        <v>1</v>
      </c>
      <c r="DG868" s="476" t="s">
        <v>4723</v>
      </c>
      <c r="DH868" s="484">
        <v>0</v>
      </c>
      <c r="DI868" s="484">
        <v>0</v>
      </c>
      <c r="DJ868" s="484">
        <v>2</v>
      </c>
      <c r="DK868" s="484">
        <v>0</v>
      </c>
      <c r="DL868" s="484">
        <v>1</v>
      </c>
      <c r="DM868" s="484">
        <v>2</v>
      </c>
      <c r="DN868" s="484">
        <v>1</v>
      </c>
      <c r="DO868" s="484">
        <v>0</v>
      </c>
      <c r="DP868" s="484">
        <v>0</v>
      </c>
      <c r="DQ868" s="484">
        <f>IF(VLOOKUP($BS868,'État &amp; Plan d''action'!$B$6:$AJ$1113,28,FALSE)="","",VLOOKUP($BS868,'État &amp; Plan d''action'!$B$6:$AJ$1113,28,FALSE))</f>
        <v>0</v>
      </c>
      <c r="DR868" s="70">
        <f>IF(VLOOKUP($BS868,'État &amp; Plan d''action'!$B$6:$AJ$1113,29,FALSE)="","",VLOOKUP($BS868,'État &amp; Plan d''action'!$B$6:$AJ$1113,29,FALSE))</f>
        <v>0</v>
      </c>
      <c r="DS868" s="70">
        <f>IF(VLOOKUP($BS868,'État &amp; Plan d''action'!$B$6:$AJ$1113,30,FALSE)="","",VLOOKUP($BS868,'État &amp; Plan d''action'!$B$6:$AJ$1113,30,FALSE))</f>
        <v>0</v>
      </c>
      <c r="DT868" s="70">
        <v>250</v>
      </c>
      <c r="DU868" s="485">
        <v>1.8735199192637817</v>
      </c>
      <c r="DV868" s="485">
        <v>2.3817998849402118</v>
      </c>
      <c r="DW868" s="70">
        <v>1</v>
      </c>
      <c r="DX868" s="70">
        <v>0</v>
      </c>
      <c r="DY868" s="70">
        <v>0</v>
      </c>
      <c r="DZ868" s="70">
        <f>VLOOKUP($BS868,'État &amp; Plan d''action'!$B$6:$AH$1113,31,FALSE)</f>
        <v>0</v>
      </c>
      <c r="EA868" s="70">
        <f>VLOOKUP($BS868,'État &amp; Plan d''action'!$B$6:$AH$1113,32,FALSE)</f>
        <v>0</v>
      </c>
      <c r="EB868" s="70">
        <f>VLOOKUP($BS868,'État &amp; Plan d''action'!$B$6:$AH$1113,33,FALSE)</f>
        <v>0</v>
      </c>
      <c r="EC868" s="70">
        <v>0</v>
      </c>
      <c r="ED868" s="70">
        <v>1.895</v>
      </c>
      <c r="EE868" s="70">
        <v>0</v>
      </c>
      <c r="EF868" s="70">
        <v>0</v>
      </c>
      <c r="EG868" s="70">
        <v>0</v>
      </c>
      <c r="EH868" s="72">
        <v>59</v>
      </c>
      <c r="EI868" s="72">
        <v>663</v>
      </c>
    </row>
    <row r="869" spans="71:139" x14ac:dyDescent="0.35">
      <c r="BS869" s="486">
        <v>13040</v>
      </c>
      <c r="BT869" s="479" t="s">
        <v>47</v>
      </c>
      <c r="BU869" s="479">
        <v>1</v>
      </c>
      <c r="BV869" s="476" t="s">
        <v>1187</v>
      </c>
      <c r="BW869" s="476" t="s">
        <v>1187</v>
      </c>
      <c r="BX869" s="476" t="s">
        <v>1187</v>
      </c>
      <c r="BY869" s="476" t="s">
        <v>1187</v>
      </c>
      <c r="BZ869" s="476" t="s">
        <v>1187</v>
      </c>
      <c r="CA869" s="476" t="s">
        <v>1187</v>
      </c>
      <c r="CB869" s="476" t="s">
        <v>1187</v>
      </c>
      <c r="CC869" s="476" t="s">
        <v>1187</v>
      </c>
      <c r="CD869" s="476" t="s">
        <v>1187</v>
      </c>
      <c r="CE869" s="476" t="s">
        <v>1188</v>
      </c>
      <c r="CF869" s="476" t="s">
        <v>1188</v>
      </c>
      <c r="CG869" s="476" t="s">
        <v>1188</v>
      </c>
      <c r="CH869" s="476" t="s">
        <v>1188</v>
      </c>
      <c r="CI869" s="476" t="s">
        <v>1188</v>
      </c>
      <c r="CJ869" s="476" t="s">
        <v>1188</v>
      </c>
      <c r="CK869" s="476" t="s">
        <v>1188</v>
      </c>
      <c r="CL869" s="476" t="s">
        <v>1188</v>
      </c>
      <c r="CM869" s="476" t="str">
        <f>IF(VLOOKUP(BS869,'Données par municipalité'!$B$6:$E$1113,4,FALSE)="","non","oui")</f>
        <v>oui</v>
      </c>
      <c r="CN869" s="410">
        <v>232.55813953488371</v>
      </c>
      <c r="CO869" s="410">
        <v>252.49620542181438</v>
      </c>
      <c r="CP869" s="410">
        <v>337.83397728603205</v>
      </c>
      <c r="CQ869" s="410">
        <v>256.32914048879553</v>
      </c>
      <c r="CR869" s="410">
        <v>242.93270814361276</v>
      </c>
      <c r="CS869" s="410">
        <v>225.22274656195523</v>
      </c>
      <c r="CT869" s="410">
        <v>227.66587026688214</v>
      </c>
      <c r="CU869" s="410">
        <v>223</v>
      </c>
      <c r="CV869" s="410">
        <f>IF(VLOOKUP(BS869,'Données par municipalité'!$B$6:$F$1113,4,FALSE)="","",VLOOKUP(BS869,'Données par municipalité'!$B$6:$F$1113,4,FALSE))</f>
        <v>226</v>
      </c>
      <c r="CW869" s="476" t="s">
        <v>4723</v>
      </c>
      <c r="CX869" s="483">
        <v>1</v>
      </c>
      <c r="CY869" s="483">
        <v>0</v>
      </c>
      <c r="CZ869" s="483">
        <v>0</v>
      </c>
      <c r="DA869" s="483">
        <v>0</v>
      </c>
      <c r="DB869" s="483">
        <v>0</v>
      </c>
      <c r="DC869" s="483">
        <v>0</v>
      </c>
      <c r="DD869" s="483">
        <v>0</v>
      </c>
      <c r="DE869" s="483">
        <f>IFERROR(SUM(VLOOKUP($BS869,'État &amp; Plan d''action'!$B$6:$Z$1113,18,FALSE),VLOOKUP($BS869,'État &amp; Plan d''action'!$B$6:$Z$1113,20,FALSE))/(VLOOKUP($BS869,'Données par municipalité'!$B$4:$L$1113,11,FALSE)),"")</f>
        <v>0</v>
      </c>
      <c r="DF869" s="483">
        <f>IFERROR(SUM(VLOOKUP($BS869,'État &amp; Plan d''action'!$B$6:$Z$1113,19,FALSE),VLOOKUP($BS869,'État &amp; Plan d''action'!$B$6:$Z$1113,21,FALSE))/(VLOOKUP($BS869,'Données par municipalité'!$B$4:$L$1113,11,FALSE)),"")</f>
        <v>0</v>
      </c>
      <c r="DG869" s="476" t="s">
        <v>4723</v>
      </c>
      <c r="DH869" s="484">
        <v>0</v>
      </c>
      <c r="DI869" s="484">
        <v>1</v>
      </c>
      <c r="DJ869" s="484">
        <v>0</v>
      </c>
      <c r="DK869" s="484">
        <v>0</v>
      </c>
      <c r="DL869" s="484">
        <v>0</v>
      </c>
      <c r="DM869" s="484">
        <v>0</v>
      </c>
      <c r="DN869" s="484">
        <v>0</v>
      </c>
      <c r="DO869" s="484">
        <v>0</v>
      </c>
      <c r="DP869" s="484">
        <v>0</v>
      </c>
      <c r="DQ869" s="484">
        <f>IF(VLOOKUP($BS869,'État &amp; Plan d''action'!$B$6:$AJ$1113,28,FALSE)="","",VLOOKUP($BS869,'État &amp; Plan d''action'!$B$6:$AJ$1113,28,FALSE))</f>
        <v>0</v>
      </c>
      <c r="DR869" s="70">
        <f>IF(VLOOKUP($BS869,'État &amp; Plan d''action'!$B$6:$AJ$1113,29,FALSE)="","",VLOOKUP($BS869,'État &amp; Plan d''action'!$B$6:$AJ$1113,29,FALSE))</f>
        <v>0</v>
      </c>
      <c r="DS869" s="70">
        <f>IF(VLOOKUP($BS869,'État &amp; Plan d''action'!$B$6:$AJ$1113,30,FALSE)="","",VLOOKUP($BS869,'État &amp; Plan d''action'!$B$6:$AJ$1113,30,FALSE))</f>
        <v>0</v>
      </c>
      <c r="DT869" s="70">
        <v>180</v>
      </c>
      <c r="DU869" s="485">
        <v>0.5638156592708834</v>
      </c>
      <c r="DV869" s="485">
        <v>0.69978722373525926</v>
      </c>
      <c r="DW869" s="70">
        <v>0</v>
      </c>
      <c r="DX869" s="70">
        <v>0</v>
      </c>
      <c r="DY869" s="70">
        <v>0</v>
      </c>
      <c r="DZ869" s="70">
        <f>VLOOKUP($BS869,'État &amp; Plan d''action'!$B$6:$AH$1113,31,FALSE)</f>
        <v>0</v>
      </c>
      <c r="EA869" s="70">
        <f>VLOOKUP($BS869,'État &amp; Plan d''action'!$B$6:$AH$1113,32,FALSE)</f>
        <v>0</v>
      </c>
      <c r="EB869" s="70">
        <f>VLOOKUP($BS869,'État &amp; Plan d''action'!$B$6:$AH$1113,33,FALSE)</f>
        <v>0</v>
      </c>
      <c r="EC869" s="70">
        <v>4.2560000000000002</v>
      </c>
      <c r="ED869" s="70">
        <v>0</v>
      </c>
      <c r="EE869" s="70">
        <v>0</v>
      </c>
      <c r="EF869" s="70">
        <v>0</v>
      </c>
      <c r="EG869" s="70">
        <v>0</v>
      </c>
      <c r="EH869" s="72">
        <v>57.14864864864866</v>
      </c>
      <c r="EI869" s="72">
        <v>585</v>
      </c>
    </row>
    <row r="870" spans="71:139" x14ac:dyDescent="0.35">
      <c r="BS870" s="486">
        <v>51045</v>
      </c>
      <c r="BT870" s="479" t="s">
        <v>505</v>
      </c>
      <c r="BU870" s="479">
        <v>4</v>
      </c>
      <c r="BV870" s="476" t="s">
        <v>1187</v>
      </c>
      <c r="BW870" s="476" t="s">
        <v>1187</v>
      </c>
      <c r="BX870" s="476" t="s">
        <v>1187</v>
      </c>
      <c r="BY870" s="476" t="s">
        <v>1187</v>
      </c>
      <c r="BZ870" s="476" t="s">
        <v>1187</v>
      </c>
      <c r="CA870" s="476" t="s">
        <v>1187</v>
      </c>
      <c r="CB870" s="476" t="s">
        <v>1187</v>
      </c>
      <c r="CC870" s="476" t="s">
        <v>1187</v>
      </c>
      <c r="CD870" s="476" t="s">
        <v>1187</v>
      </c>
      <c r="CE870" s="476" t="s">
        <v>1188</v>
      </c>
      <c r="CF870" s="476" t="s">
        <v>1188</v>
      </c>
      <c r="CG870" s="476" t="s">
        <v>1187</v>
      </c>
      <c r="CH870" s="476" t="s">
        <v>1188</v>
      </c>
      <c r="CI870" s="476" t="s">
        <v>1188</v>
      </c>
      <c r="CJ870" s="476" t="s">
        <v>1188</v>
      </c>
      <c r="CK870" s="476" t="s">
        <v>1188</v>
      </c>
      <c r="CL870" s="476" t="s">
        <v>1187</v>
      </c>
      <c r="CM870" s="476" t="str">
        <f>IF(VLOOKUP(BS870,'Données par municipalité'!$B$6:$E$1113,4,FALSE)="","non","oui")</f>
        <v>non</v>
      </c>
      <c r="CN870" s="410">
        <v>672.67180844940719</v>
      </c>
      <c r="CO870" s="410">
        <v>839.41887697922346</v>
      </c>
      <c r="CP870" s="410"/>
      <c r="CQ870" s="410">
        <v>690.24600471574547</v>
      </c>
      <c r="CR870" s="410">
        <v>712.19326771804606</v>
      </c>
      <c r="CS870" s="410">
        <v>592.42673301049956</v>
      </c>
      <c r="CT870" s="410">
        <v>499.55132023029586</v>
      </c>
      <c r="CU870" s="410" t="s">
        <v>1124</v>
      </c>
      <c r="CV870" s="410" t="str">
        <f>IF(VLOOKUP(BS870,'Données par municipalité'!$B$6:$F$1113,4,FALSE)="","",VLOOKUP(BS870,'Données par municipalité'!$B$6:$F$1113,4,FALSE))</f>
        <v/>
      </c>
      <c r="CW870" s="476" t="s">
        <v>4723</v>
      </c>
      <c r="CX870" s="483">
        <v>0.1</v>
      </c>
      <c r="CY870" s="483" t="s">
        <v>1124</v>
      </c>
      <c r="CZ870" s="483">
        <v>0.25</v>
      </c>
      <c r="DA870" s="483">
        <v>0.25</v>
      </c>
      <c r="DB870" s="483">
        <v>1</v>
      </c>
      <c r="DC870" s="483">
        <v>1</v>
      </c>
      <c r="DD870" s="483" t="s">
        <v>1124</v>
      </c>
      <c r="DE870" s="483" t="str">
        <f>IFERROR(SUM(VLOOKUP($BS870,'État &amp; Plan d''action'!$B$6:$Z$1113,18,FALSE),VLOOKUP($BS870,'État &amp; Plan d''action'!$B$6:$Z$1113,20,FALSE))/(VLOOKUP($BS870,'Données par municipalité'!$B$4:$L$1113,11,FALSE)),"")</f>
        <v/>
      </c>
      <c r="DF870" s="483" t="str">
        <f>IFERROR(SUM(VLOOKUP($BS870,'État &amp; Plan d''action'!$B$6:$Z$1113,19,FALSE),VLOOKUP($BS870,'État &amp; Plan d''action'!$B$6:$Z$1113,21,FALSE))/(VLOOKUP($BS870,'Données par municipalité'!$B$4:$L$1113,11,FALSE)),"")</f>
        <v/>
      </c>
      <c r="DG870" s="476" t="s">
        <v>4723</v>
      </c>
      <c r="DH870" s="484">
        <v>3</v>
      </c>
      <c r="DI870" s="484" t="s">
        <v>1124</v>
      </c>
      <c r="DJ870" s="484">
        <v>9</v>
      </c>
      <c r="DK870" s="484">
        <v>8</v>
      </c>
      <c r="DL870" s="484">
        <v>8</v>
      </c>
      <c r="DM870" s="484">
        <v>8</v>
      </c>
      <c r="DN870" s="484" t="s">
        <v>1124</v>
      </c>
      <c r="DO870" s="484" t="s">
        <v>1124</v>
      </c>
      <c r="DP870" s="484" t="s">
        <v>1124</v>
      </c>
      <c r="DQ870" s="484" t="str">
        <f>IF(VLOOKUP($BS870,'État &amp; Plan d''action'!$B$6:$AJ$1113,28,FALSE)="","",VLOOKUP($BS870,'État &amp; Plan d''action'!$B$6:$AJ$1113,28,FALSE))</f>
        <v/>
      </c>
      <c r="DR870" s="70" t="str">
        <f>IF(VLOOKUP($BS870,'État &amp; Plan d''action'!$B$6:$AJ$1113,29,FALSE)="","",VLOOKUP($BS870,'État &amp; Plan d''action'!$B$6:$AJ$1113,29,FALSE))</f>
        <v/>
      </c>
      <c r="DS870" s="70" t="str">
        <f>IF(VLOOKUP($BS870,'État &amp; Plan d''action'!$B$6:$AJ$1113,30,FALSE)="","",VLOOKUP($BS870,'État &amp; Plan d''action'!$B$6:$AJ$1113,30,FALSE))</f>
        <v/>
      </c>
      <c r="DT870" s="70" t="s">
        <v>1124</v>
      </c>
      <c r="DU870" s="485" t="s">
        <v>1124</v>
      </c>
      <c r="DV870" s="485" t="s">
        <v>1124</v>
      </c>
      <c r="DW870" s="70" t="s">
        <v>1124</v>
      </c>
      <c r="DX870" s="70" t="s">
        <v>1124</v>
      </c>
      <c r="DY870" s="70" t="s">
        <v>1124</v>
      </c>
      <c r="DZ870" s="70" t="str">
        <f>VLOOKUP($BS870,'État &amp; Plan d''action'!$B$6:$AH$1113,31,FALSE)</f>
        <v/>
      </c>
      <c r="EA870" s="70" t="str">
        <f>VLOOKUP($BS870,'État &amp; Plan d''action'!$B$6:$AH$1113,32,FALSE)</f>
        <v/>
      </c>
      <c r="EB870" s="70" t="str">
        <f>VLOOKUP($BS870,'État &amp; Plan d''action'!$B$6:$AH$1113,33,FALSE)</f>
        <v/>
      </c>
      <c r="EC870" s="70" t="s">
        <v>1124</v>
      </c>
      <c r="ED870" s="70" t="s">
        <v>1124</v>
      </c>
      <c r="EE870" s="70" t="s">
        <v>1124</v>
      </c>
      <c r="EF870" s="70" t="s">
        <v>1124</v>
      </c>
      <c r="EG870" s="70" t="s">
        <v>1124</v>
      </c>
      <c r="EH870" s="72"/>
      <c r="EI870" s="72">
        <v>974</v>
      </c>
    </row>
    <row r="871" spans="71:139" x14ac:dyDescent="0.35">
      <c r="BS871" s="486">
        <v>87120</v>
      </c>
      <c r="BT871" s="479" t="s">
        <v>910</v>
      </c>
      <c r="BU871" s="479">
        <v>8</v>
      </c>
      <c r="BV871" s="476" t="s">
        <v>1187</v>
      </c>
      <c r="BW871" s="476" t="s">
        <v>1187</v>
      </c>
      <c r="BX871" s="476" t="s">
        <v>1187</v>
      </c>
      <c r="BY871" s="476" t="s">
        <v>1187</v>
      </c>
      <c r="BZ871" s="476" t="s">
        <v>1187</v>
      </c>
      <c r="CA871" s="476" t="s">
        <v>1187</v>
      </c>
      <c r="CB871" s="476" t="s">
        <v>1187</v>
      </c>
      <c r="CC871" s="476" t="s">
        <v>1187</v>
      </c>
      <c r="CD871" s="476" t="s">
        <v>1187</v>
      </c>
      <c r="CE871" s="476" t="s">
        <v>1187</v>
      </c>
      <c r="CF871" s="476" t="s">
        <v>1187</v>
      </c>
      <c r="CG871" s="476" t="s">
        <v>1187</v>
      </c>
      <c r="CH871" s="476" t="s">
        <v>1187</v>
      </c>
      <c r="CI871" s="476" t="s">
        <v>1187</v>
      </c>
      <c r="CJ871" s="476" t="s">
        <v>1187</v>
      </c>
      <c r="CK871" s="476" t="s">
        <v>1187</v>
      </c>
      <c r="CL871" s="476" t="s">
        <v>1188</v>
      </c>
      <c r="CM871" s="476" t="str">
        <f>IF(VLOOKUP(BS871,'Données par municipalité'!$B$6:$E$1113,4,FALSE)="","non","oui")</f>
        <v>non</v>
      </c>
      <c r="CN871" s="410" t="s">
        <v>1124</v>
      </c>
      <c r="CO871" s="410" t="s">
        <v>1124</v>
      </c>
      <c r="CP871" s="410"/>
      <c r="CQ871" s="410"/>
      <c r="CR871" s="410"/>
      <c r="CS871" s="410" t="s">
        <v>1124</v>
      </c>
      <c r="CT871" s="410"/>
      <c r="CU871" s="410">
        <v>136</v>
      </c>
      <c r="CV871" s="410" t="str">
        <f>IF(VLOOKUP(BS871,'Données par municipalité'!$B$6:$F$1113,4,FALSE)="","",VLOOKUP(BS871,'Données par municipalité'!$B$6:$F$1113,4,FALSE))</f>
        <v/>
      </c>
      <c r="CW871" s="476" t="s">
        <v>4723</v>
      </c>
      <c r="CX871" s="483" t="s">
        <v>1124</v>
      </c>
      <c r="CY871" s="483" t="s">
        <v>1124</v>
      </c>
      <c r="CZ871" s="483" t="s">
        <v>1124</v>
      </c>
      <c r="DA871" s="483" t="s">
        <v>1124</v>
      </c>
      <c r="DB871" s="483" t="s">
        <v>1124</v>
      </c>
      <c r="DC871" s="483" t="s">
        <v>1124</v>
      </c>
      <c r="DD871" s="483">
        <v>0</v>
      </c>
      <c r="DE871" s="483" t="str">
        <f>IFERROR(SUM(VLOOKUP($BS871,'État &amp; Plan d''action'!$B$6:$Z$1113,18,FALSE),VLOOKUP($BS871,'État &amp; Plan d''action'!$B$6:$Z$1113,20,FALSE))/(VLOOKUP($BS871,'Données par municipalité'!$B$4:$L$1113,11,FALSE)),"")</f>
        <v/>
      </c>
      <c r="DF871" s="483" t="str">
        <f>IFERROR(SUM(VLOOKUP($BS871,'État &amp; Plan d''action'!$B$6:$Z$1113,19,FALSE),VLOOKUP($BS871,'État &amp; Plan d''action'!$B$6:$Z$1113,21,FALSE))/(VLOOKUP($BS871,'Données par municipalité'!$B$4:$L$1113,11,FALSE)),"")</f>
        <v/>
      </c>
      <c r="DG871" s="476" t="s">
        <v>4723</v>
      </c>
      <c r="DH871" s="484">
        <v>7</v>
      </c>
      <c r="DI871" s="484" t="s">
        <v>1124</v>
      </c>
      <c r="DJ871" s="484">
        <v>0</v>
      </c>
      <c r="DK871" s="484">
        <v>2</v>
      </c>
      <c r="DL871" s="484" t="s">
        <v>1124</v>
      </c>
      <c r="DM871" s="484" t="s">
        <v>1124</v>
      </c>
      <c r="DN871" s="484">
        <v>0</v>
      </c>
      <c r="DO871" s="484">
        <v>0</v>
      </c>
      <c r="DP871" s="484">
        <v>0</v>
      </c>
      <c r="DQ871" s="484" t="str">
        <f>IF(VLOOKUP($BS871,'État &amp; Plan d''action'!$B$6:$AJ$1113,28,FALSE)="","",VLOOKUP($BS871,'État &amp; Plan d''action'!$B$6:$AJ$1113,28,FALSE))</f>
        <v/>
      </c>
      <c r="DR871" s="70" t="str">
        <f>IF(VLOOKUP($BS871,'État &amp; Plan d''action'!$B$6:$AJ$1113,29,FALSE)="","",VLOOKUP($BS871,'État &amp; Plan d''action'!$B$6:$AJ$1113,29,FALSE))</f>
        <v/>
      </c>
      <c r="DS871" s="70" t="str">
        <f>IF(VLOOKUP($BS871,'État &amp; Plan d''action'!$B$6:$AJ$1113,30,FALSE)="","",VLOOKUP($BS871,'État &amp; Plan d''action'!$B$6:$AJ$1113,30,FALSE))</f>
        <v/>
      </c>
      <c r="DT871" s="70">
        <v>100</v>
      </c>
      <c r="DU871" s="485">
        <v>0.55497815339955103</v>
      </c>
      <c r="DV871" s="485" t="s">
        <v>1124</v>
      </c>
      <c r="DW871" s="70">
        <v>0</v>
      </c>
      <c r="DX871" s="70">
        <v>0</v>
      </c>
      <c r="DY871" s="70">
        <v>0</v>
      </c>
      <c r="DZ871" s="70" t="str">
        <f>VLOOKUP($BS871,'État &amp; Plan d''action'!$B$6:$AH$1113,31,FALSE)</f>
        <v/>
      </c>
      <c r="EA871" s="70" t="str">
        <f>VLOOKUP($BS871,'État &amp; Plan d''action'!$B$6:$AH$1113,32,FALSE)</f>
        <v/>
      </c>
      <c r="EB871" s="70" t="str">
        <f>VLOOKUP($BS871,'État &amp; Plan d''action'!$B$6:$AH$1113,33,FALSE)</f>
        <v/>
      </c>
      <c r="EC871" s="70">
        <v>0</v>
      </c>
      <c r="ED871" s="70">
        <v>0</v>
      </c>
      <c r="EE871" s="70">
        <v>0</v>
      </c>
      <c r="EF871" s="70">
        <v>0</v>
      </c>
      <c r="EG871" s="70">
        <v>0</v>
      </c>
      <c r="EH871" s="72">
        <v>29</v>
      </c>
      <c r="EI871" s="72">
        <v>189</v>
      </c>
    </row>
    <row r="872" spans="71:139" x14ac:dyDescent="0.35">
      <c r="BS872" s="486">
        <v>58012</v>
      </c>
      <c r="BT872" s="479" t="s">
        <v>595</v>
      </c>
      <c r="BU872" s="479">
        <v>16</v>
      </c>
      <c r="BV872" s="476" t="s">
        <v>1187</v>
      </c>
      <c r="BW872" s="476" t="s">
        <v>1187</v>
      </c>
      <c r="BX872" s="476" t="s">
        <v>1187</v>
      </c>
      <c r="BY872" s="476" t="s">
        <v>1187</v>
      </c>
      <c r="BZ872" s="476" t="s">
        <v>1187</v>
      </c>
      <c r="CA872" s="476" t="s">
        <v>1187</v>
      </c>
      <c r="CB872" s="476" t="s">
        <v>1187</v>
      </c>
      <c r="CC872" s="476" t="s">
        <v>1187</v>
      </c>
      <c r="CD872" s="476" t="s">
        <v>1187</v>
      </c>
      <c r="CE872" s="476" t="s">
        <v>1188</v>
      </c>
      <c r="CF872" s="476" t="s">
        <v>1188</v>
      </c>
      <c r="CG872" s="476" t="s">
        <v>1188</v>
      </c>
      <c r="CH872" s="476" t="s">
        <v>1188</v>
      </c>
      <c r="CI872" s="476" t="s">
        <v>1188</v>
      </c>
      <c r="CJ872" s="476" t="s">
        <v>1188</v>
      </c>
      <c r="CK872" s="476" t="s">
        <v>1187</v>
      </c>
      <c r="CL872" s="476" t="s">
        <v>1188</v>
      </c>
      <c r="CM872" s="476" t="str">
        <f>IF(VLOOKUP(BS872,'Données par municipalité'!$B$6:$E$1113,4,FALSE)="","non","oui")</f>
        <v>non</v>
      </c>
      <c r="CN872" s="410">
        <v>743.27106866343024</v>
      </c>
      <c r="CO872" s="410">
        <v>688.35131101365653</v>
      </c>
      <c r="CP872" s="410">
        <v>613.50145448211822</v>
      </c>
      <c r="CQ872" s="410">
        <v>572.67616505156604</v>
      </c>
      <c r="CR872" s="410">
        <v>522.37894478986527</v>
      </c>
      <c r="CS872" s="410">
        <v>703.03267825950775</v>
      </c>
      <c r="CT872" s="410"/>
      <c r="CU872" s="410">
        <v>741</v>
      </c>
      <c r="CV872" s="410" t="str">
        <f>IF(VLOOKUP(BS872,'Données par municipalité'!$B$6:$F$1113,4,FALSE)="","",VLOOKUP(BS872,'Données par municipalité'!$B$6:$F$1113,4,FALSE))</f>
        <v/>
      </c>
      <c r="CW872" s="476" t="s">
        <v>4723</v>
      </c>
      <c r="CX872" s="483">
        <v>1</v>
      </c>
      <c r="CY872" s="483">
        <v>1</v>
      </c>
      <c r="CZ872" s="483">
        <v>1</v>
      </c>
      <c r="DA872" s="483">
        <v>1</v>
      </c>
      <c r="DB872" s="483">
        <v>1</v>
      </c>
      <c r="DC872" s="483" t="s">
        <v>1124</v>
      </c>
      <c r="DD872" s="483">
        <v>2</v>
      </c>
      <c r="DE872" s="483" t="str">
        <f>IFERROR(SUM(VLOOKUP($BS872,'État &amp; Plan d''action'!$B$6:$Z$1113,18,FALSE),VLOOKUP($BS872,'État &amp; Plan d''action'!$B$6:$Z$1113,20,FALSE))/(VLOOKUP($BS872,'Données par municipalité'!$B$4:$L$1113,11,FALSE)),"")</f>
        <v/>
      </c>
      <c r="DF872" s="483" t="str">
        <f>IFERROR(SUM(VLOOKUP($BS872,'État &amp; Plan d''action'!$B$6:$Z$1113,19,FALSE),VLOOKUP($BS872,'État &amp; Plan d''action'!$B$6:$Z$1113,21,FALSE))/(VLOOKUP($BS872,'Données par municipalité'!$B$4:$L$1113,11,FALSE)),"")</f>
        <v/>
      </c>
      <c r="DG872" s="476" t="s">
        <v>4723</v>
      </c>
      <c r="DH872" s="484">
        <v>39</v>
      </c>
      <c r="DI872" s="484">
        <v>35</v>
      </c>
      <c r="DJ872" s="484">
        <v>31</v>
      </c>
      <c r="DK872" s="484">
        <v>44</v>
      </c>
      <c r="DL872" s="484">
        <v>31</v>
      </c>
      <c r="DM872" s="484" t="s">
        <v>1124</v>
      </c>
      <c r="DN872" s="484">
        <v>28</v>
      </c>
      <c r="DO872" s="484">
        <v>2</v>
      </c>
      <c r="DP872" s="484">
        <v>2</v>
      </c>
      <c r="DQ872" s="484" t="str">
        <f>IF(VLOOKUP($BS872,'État &amp; Plan d''action'!$B$6:$AJ$1113,28,FALSE)="","",VLOOKUP($BS872,'État &amp; Plan d''action'!$B$6:$AJ$1113,28,FALSE))</f>
        <v/>
      </c>
      <c r="DR872" s="70" t="str">
        <f>IF(VLOOKUP($BS872,'État &amp; Plan d''action'!$B$6:$AJ$1113,29,FALSE)="","",VLOOKUP($BS872,'État &amp; Plan d''action'!$B$6:$AJ$1113,29,FALSE))</f>
        <v/>
      </c>
      <c r="DS872" s="70" t="str">
        <f>IF(VLOOKUP($BS872,'État &amp; Plan d''action'!$B$6:$AJ$1113,30,FALSE)="","",VLOOKUP($BS872,'État &amp; Plan d''action'!$B$6:$AJ$1113,30,FALSE))</f>
        <v/>
      </c>
      <c r="DT872" s="70">
        <v>448</v>
      </c>
      <c r="DU872" s="485">
        <v>7.1373488438767207</v>
      </c>
      <c r="DV872" s="485" t="s">
        <v>1124</v>
      </c>
      <c r="DW872" s="70">
        <v>1</v>
      </c>
      <c r="DX872" s="70">
        <v>1</v>
      </c>
      <c r="DY872" s="70">
        <v>5</v>
      </c>
      <c r="DZ872" s="70" t="str">
        <f>VLOOKUP($BS872,'État &amp; Plan d''action'!$B$6:$AH$1113,31,FALSE)</f>
        <v/>
      </c>
      <c r="EA872" s="70" t="str">
        <f>VLOOKUP($BS872,'État &amp; Plan d''action'!$B$6:$AH$1113,32,FALSE)</f>
        <v/>
      </c>
      <c r="EB872" s="70" t="str">
        <f>VLOOKUP($BS872,'État &amp; Plan d''action'!$B$6:$AH$1113,33,FALSE)</f>
        <v/>
      </c>
      <c r="EC872" s="70">
        <v>0</v>
      </c>
      <c r="ED872" s="70">
        <v>105</v>
      </c>
      <c r="EE872" s="70">
        <v>105</v>
      </c>
      <c r="EF872" s="70">
        <v>0</v>
      </c>
      <c r="EG872" s="70">
        <v>0</v>
      </c>
      <c r="EH872" s="72">
        <v>50</v>
      </c>
      <c r="EI872" s="72">
        <v>22508</v>
      </c>
    </row>
    <row r="873" spans="71:139" x14ac:dyDescent="0.35">
      <c r="BS873" s="486">
        <v>26070</v>
      </c>
      <c r="BT873" s="479" t="s">
        <v>177</v>
      </c>
      <c r="BU873" s="479">
        <v>12</v>
      </c>
      <c r="BV873" s="476" t="s">
        <v>1187</v>
      </c>
      <c r="BW873" s="476" t="s">
        <v>1187</v>
      </c>
      <c r="BX873" s="476" t="s">
        <v>1187</v>
      </c>
      <c r="BY873" s="476" t="s">
        <v>1187</v>
      </c>
      <c r="BZ873" s="476" t="s">
        <v>1187</v>
      </c>
      <c r="CA873" s="476" t="s">
        <v>1187</v>
      </c>
      <c r="CB873" s="476" t="s">
        <v>1187</v>
      </c>
      <c r="CC873" s="476" t="s">
        <v>1187</v>
      </c>
      <c r="CD873" s="476" t="s">
        <v>1187</v>
      </c>
      <c r="CE873" s="476" t="s">
        <v>1188</v>
      </c>
      <c r="CF873" s="476" t="s">
        <v>1188</v>
      </c>
      <c r="CG873" s="476" t="s">
        <v>1188</v>
      </c>
      <c r="CH873" s="476" t="s">
        <v>1188</v>
      </c>
      <c r="CI873" s="476" t="s">
        <v>1188</v>
      </c>
      <c r="CJ873" s="476" t="s">
        <v>1188</v>
      </c>
      <c r="CK873" s="476" t="s">
        <v>1188</v>
      </c>
      <c r="CL873" s="476" t="s">
        <v>1188</v>
      </c>
      <c r="CM873" s="476" t="str">
        <f>IF(VLOOKUP(BS873,'Données par municipalité'!$B$6:$E$1113,4,FALSE)="","non","oui")</f>
        <v>oui</v>
      </c>
      <c r="CN873" s="410">
        <v>254.89261598218405</v>
      </c>
      <c r="CO873" s="410">
        <v>250.17713349628383</v>
      </c>
      <c r="CP873" s="410">
        <v>240.16662620921031</v>
      </c>
      <c r="CQ873" s="410">
        <v>241.52867273555793</v>
      </c>
      <c r="CR873" s="410">
        <v>229.42856361233723</v>
      </c>
      <c r="CS873" s="410">
        <v>238.25494121034635</v>
      </c>
      <c r="CT873" s="410">
        <v>245.17299790967701</v>
      </c>
      <c r="CU873" s="410">
        <v>248</v>
      </c>
      <c r="CV873" s="410">
        <f>IF(VLOOKUP(BS873,'Données par municipalité'!$B$6:$F$1113,4,FALSE)="","",VLOOKUP(BS873,'Données par municipalité'!$B$6:$F$1113,4,FALSE))</f>
        <v>240</v>
      </c>
      <c r="CW873" s="476" t="s">
        <v>4723</v>
      </c>
      <c r="CX873" s="483">
        <v>0.05</v>
      </c>
      <c r="CY873" s="483">
        <v>0.05</v>
      </c>
      <c r="CZ873" s="483">
        <v>0.05</v>
      </c>
      <c r="DA873" s="483">
        <v>0.05</v>
      </c>
      <c r="DB873" s="483">
        <v>0.05</v>
      </c>
      <c r="DC873" s="483">
        <v>0.05</v>
      </c>
      <c r="DD873" s="483">
        <v>0</v>
      </c>
      <c r="DE873" s="483">
        <f>IFERROR(SUM(VLOOKUP($BS873,'État &amp; Plan d''action'!$B$6:$Z$1113,18,FALSE),VLOOKUP($BS873,'État &amp; Plan d''action'!$B$6:$Z$1113,20,FALSE))/(VLOOKUP($BS873,'Données par municipalité'!$B$4:$L$1113,11,FALSE)),"")</f>
        <v>1</v>
      </c>
      <c r="DF873" s="483">
        <f>IFERROR(SUM(VLOOKUP($BS873,'État &amp; Plan d''action'!$B$6:$Z$1113,19,FALSE),VLOOKUP($BS873,'État &amp; Plan d''action'!$B$6:$Z$1113,21,FALSE))/(VLOOKUP($BS873,'Données par municipalité'!$B$4:$L$1113,11,FALSE)),"")</f>
        <v>1</v>
      </c>
      <c r="DG873" s="476" t="s">
        <v>4723</v>
      </c>
      <c r="DH873" s="484">
        <v>1</v>
      </c>
      <c r="DI873" s="484">
        <v>5</v>
      </c>
      <c r="DJ873" s="484">
        <v>3</v>
      </c>
      <c r="DK873" s="484">
        <v>0</v>
      </c>
      <c r="DL873" s="484">
        <v>1</v>
      </c>
      <c r="DM873" s="484">
        <v>2</v>
      </c>
      <c r="DN873" s="484">
        <v>0</v>
      </c>
      <c r="DO873" s="484">
        <v>0</v>
      </c>
      <c r="DP873" s="484">
        <v>2</v>
      </c>
      <c r="DQ873" s="484">
        <f>IF(VLOOKUP($BS873,'État &amp; Plan d''action'!$B$6:$AJ$1113,28,FALSE)="","",VLOOKUP($BS873,'État &amp; Plan d''action'!$B$6:$AJ$1113,28,FALSE))</f>
        <v>1</v>
      </c>
      <c r="DR873" s="70">
        <f>IF(VLOOKUP($BS873,'État &amp; Plan d''action'!$B$6:$AJ$1113,29,FALSE)="","",VLOOKUP($BS873,'État &amp; Plan d''action'!$B$6:$AJ$1113,29,FALSE))</f>
        <v>0</v>
      </c>
      <c r="DS873" s="70">
        <f>IF(VLOOKUP($BS873,'État &amp; Plan d''action'!$B$6:$AJ$1113,30,FALSE)="","",VLOOKUP($BS873,'État &amp; Plan d''action'!$B$6:$AJ$1113,30,FALSE))</f>
        <v>0</v>
      </c>
      <c r="DT873" s="70">
        <v>210</v>
      </c>
      <c r="DU873" s="485">
        <v>1.0154346620046817</v>
      </c>
      <c r="DV873" s="485">
        <v>1.491996415585868</v>
      </c>
      <c r="DW873" s="70">
        <v>0</v>
      </c>
      <c r="DX873" s="70">
        <v>0</v>
      </c>
      <c r="DY873" s="70">
        <v>7</v>
      </c>
      <c r="DZ873" s="70">
        <f>VLOOKUP($BS873,'État &amp; Plan d''action'!$B$6:$AH$1113,31,FALSE)</f>
        <v>1</v>
      </c>
      <c r="EA873" s="70">
        <f>VLOOKUP($BS873,'État &amp; Plan d''action'!$B$6:$AH$1113,32,FALSE)</f>
        <v>0</v>
      </c>
      <c r="EB873" s="70">
        <f>VLOOKUP($BS873,'État &amp; Plan d''action'!$B$6:$AH$1113,33,FALSE)</f>
        <v>0</v>
      </c>
      <c r="EC873" s="70">
        <v>0</v>
      </c>
      <c r="ED873" s="70">
        <v>0</v>
      </c>
      <c r="EE873" s="70">
        <v>0</v>
      </c>
      <c r="EF873" s="70">
        <v>0</v>
      </c>
      <c r="EG873" s="70">
        <v>0</v>
      </c>
      <c r="EH873" s="72">
        <v>58.378378378378386</v>
      </c>
      <c r="EI873" s="72">
        <v>6718</v>
      </c>
    </row>
    <row r="874" spans="71:139" x14ac:dyDescent="0.35">
      <c r="BS874" s="486">
        <v>20020</v>
      </c>
      <c r="BT874" s="479" t="s">
        <v>141</v>
      </c>
      <c r="BU874" s="479">
        <v>3</v>
      </c>
      <c r="BV874" s="476" t="s">
        <v>1188</v>
      </c>
      <c r="BW874" s="476" t="s">
        <v>1188</v>
      </c>
      <c r="BX874" s="476" t="s">
        <v>1188</v>
      </c>
      <c r="BY874" s="476" t="s">
        <v>1188</v>
      </c>
      <c r="BZ874" s="476" t="s">
        <v>1188</v>
      </c>
      <c r="CA874" s="476" t="s">
        <v>1188</v>
      </c>
      <c r="CB874" s="476" t="s">
        <v>1188</v>
      </c>
      <c r="CC874" s="476" t="s">
        <v>1188</v>
      </c>
      <c r="CD874" s="476" t="s">
        <v>1188</v>
      </c>
      <c r="CE874" s="476" t="s">
        <v>1187</v>
      </c>
      <c r="CF874" s="476" t="s">
        <v>1187</v>
      </c>
      <c r="CG874" s="476" t="s">
        <v>1187</v>
      </c>
      <c r="CH874" s="476" t="s">
        <v>1187</v>
      </c>
      <c r="CI874" s="476" t="s">
        <v>1187</v>
      </c>
      <c r="CJ874" s="476" t="s">
        <v>1187</v>
      </c>
      <c r="CK874" s="476" t="s">
        <v>1187</v>
      </c>
      <c r="CL874" s="476" t="s">
        <v>1187</v>
      </c>
      <c r="CM874" s="476" t="str">
        <f>IF(VLOOKUP(BS874,'Données par municipalité'!$B$6:$E$1113,4,FALSE)="","non","oui")</f>
        <v>non</v>
      </c>
      <c r="CN874" s="410" t="s">
        <v>1124</v>
      </c>
      <c r="CO874" s="410" t="s">
        <v>1124</v>
      </c>
      <c r="CP874" s="410"/>
      <c r="CQ874" s="410"/>
      <c r="CR874" s="410"/>
      <c r="CS874" s="410" t="s">
        <v>1124</v>
      </c>
      <c r="CT874" s="410"/>
      <c r="CU874" s="410" t="s">
        <v>1124</v>
      </c>
      <c r="CV874" s="410" t="str">
        <f>IF(VLOOKUP(BS874,'Données par municipalité'!$B$6:$F$1113,4,FALSE)="","",VLOOKUP(BS874,'Données par municipalité'!$B$6:$F$1113,4,FALSE))</f>
        <v/>
      </c>
      <c r="CW874" s="476" t="s">
        <v>4723</v>
      </c>
      <c r="CX874" s="483" t="s">
        <v>1124</v>
      </c>
      <c r="CY874" s="483" t="s">
        <v>1124</v>
      </c>
      <c r="CZ874" s="483" t="s">
        <v>1124</v>
      </c>
      <c r="DA874" s="483" t="s">
        <v>1124</v>
      </c>
      <c r="DB874" s="483" t="s">
        <v>1124</v>
      </c>
      <c r="DC874" s="483" t="s">
        <v>1124</v>
      </c>
      <c r="DD874" s="483" t="s">
        <v>1124</v>
      </c>
      <c r="DE874" s="483" t="str">
        <f>IFERROR(SUM(VLOOKUP($BS874,'État &amp; Plan d''action'!$B$6:$Z$1113,18,FALSE),VLOOKUP($BS874,'État &amp; Plan d''action'!$B$6:$Z$1113,20,FALSE))/(VLOOKUP($BS874,'Données par municipalité'!$B$4:$L$1113,11,FALSE)),"")</f>
        <v/>
      </c>
      <c r="DF874" s="483" t="str">
        <f>IFERROR(SUM(VLOOKUP($BS874,'État &amp; Plan d''action'!$B$6:$Z$1113,19,FALSE),VLOOKUP($BS874,'État &amp; Plan d''action'!$B$6:$Z$1113,21,FALSE))/(VLOOKUP($BS874,'Données par municipalité'!$B$4:$L$1113,11,FALSE)),"")</f>
        <v/>
      </c>
      <c r="DG874" s="476" t="s">
        <v>4723</v>
      </c>
      <c r="DH874" s="484" t="s">
        <v>1124</v>
      </c>
      <c r="DI874" s="484" t="s">
        <v>1124</v>
      </c>
      <c r="DJ874" s="484">
        <v>0</v>
      </c>
      <c r="DK874" s="484">
        <v>0</v>
      </c>
      <c r="DL874" s="484" t="s">
        <v>1124</v>
      </c>
      <c r="DM874" s="484" t="s">
        <v>1124</v>
      </c>
      <c r="DN874" s="484" t="s">
        <v>1124</v>
      </c>
      <c r="DO874" s="484" t="s">
        <v>1124</v>
      </c>
      <c r="DP874" s="484" t="s">
        <v>1124</v>
      </c>
      <c r="DQ874" s="484" t="str">
        <f>IF(VLOOKUP($BS874,'État &amp; Plan d''action'!$B$6:$AJ$1113,28,FALSE)="","",VLOOKUP($BS874,'État &amp; Plan d''action'!$B$6:$AJ$1113,28,FALSE))</f>
        <v/>
      </c>
      <c r="DR874" s="70" t="str">
        <f>IF(VLOOKUP($BS874,'État &amp; Plan d''action'!$B$6:$AJ$1113,29,FALSE)="","",VLOOKUP($BS874,'État &amp; Plan d''action'!$B$6:$AJ$1113,29,FALSE))</f>
        <v/>
      </c>
      <c r="DS874" s="70" t="str">
        <f>IF(VLOOKUP($BS874,'État &amp; Plan d''action'!$B$6:$AJ$1113,30,FALSE)="","",VLOOKUP($BS874,'État &amp; Plan d''action'!$B$6:$AJ$1113,30,FALSE))</f>
        <v/>
      </c>
      <c r="DT874" s="70" t="s">
        <v>1124</v>
      </c>
      <c r="DU874" s="485" t="s">
        <v>1124</v>
      </c>
      <c r="DV874" s="485" t="s">
        <v>1124</v>
      </c>
      <c r="DW874" s="70" t="s">
        <v>1124</v>
      </c>
      <c r="DX874" s="70" t="s">
        <v>1124</v>
      </c>
      <c r="DY874" s="70" t="s">
        <v>1124</v>
      </c>
      <c r="DZ874" s="70" t="str">
        <f>VLOOKUP($BS874,'État &amp; Plan d''action'!$B$6:$AH$1113,31,FALSE)</f>
        <v/>
      </c>
      <c r="EA874" s="70" t="str">
        <f>VLOOKUP($BS874,'État &amp; Plan d''action'!$B$6:$AH$1113,32,FALSE)</f>
        <v/>
      </c>
      <c r="EB874" s="70" t="str">
        <f>VLOOKUP($BS874,'État &amp; Plan d''action'!$B$6:$AH$1113,33,FALSE)</f>
        <v/>
      </c>
      <c r="EC874" s="70" t="s">
        <v>1124</v>
      </c>
      <c r="ED874" s="70" t="s">
        <v>1124</v>
      </c>
      <c r="EE874" s="70" t="s">
        <v>1124</v>
      </c>
      <c r="EF874" s="70" t="s">
        <v>1124</v>
      </c>
      <c r="EG874" s="70" t="s">
        <v>1124</v>
      </c>
      <c r="EH874" s="72"/>
      <c r="EI874" s="72">
        <v>1837</v>
      </c>
    </row>
    <row r="875" spans="71:139" x14ac:dyDescent="0.35">
      <c r="BS875" s="486">
        <v>71105</v>
      </c>
      <c r="BT875" s="479" t="s">
        <v>721</v>
      </c>
      <c r="BU875" s="479">
        <v>16</v>
      </c>
      <c r="BV875" s="476" t="s">
        <v>1187</v>
      </c>
      <c r="BW875" s="476" t="s">
        <v>1187</v>
      </c>
      <c r="BX875" s="476" t="s">
        <v>1187</v>
      </c>
      <c r="BY875" s="476" t="s">
        <v>1187</v>
      </c>
      <c r="BZ875" s="476" t="s">
        <v>1187</v>
      </c>
      <c r="CA875" s="476" t="s">
        <v>1187</v>
      </c>
      <c r="CB875" s="476" t="s">
        <v>1187</v>
      </c>
      <c r="CC875" s="476" t="s">
        <v>1187</v>
      </c>
      <c r="CD875" s="476" t="s">
        <v>1187</v>
      </c>
      <c r="CE875" s="476" t="s">
        <v>1188</v>
      </c>
      <c r="CF875" s="476" t="s">
        <v>1188</v>
      </c>
      <c r="CG875" s="476" t="s">
        <v>1188</v>
      </c>
      <c r="CH875" s="476" t="s">
        <v>1188</v>
      </c>
      <c r="CI875" s="476" t="s">
        <v>1188</v>
      </c>
      <c r="CJ875" s="476" t="s">
        <v>1188</v>
      </c>
      <c r="CK875" s="476" t="s">
        <v>1188</v>
      </c>
      <c r="CL875" s="476" t="s">
        <v>1188</v>
      </c>
      <c r="CM875" s="476" t="str">
        <f>IF(VLOOKUP(BS875,'Données par municipalité'!$B$6:$E$1113,4,FALSE)="","non","oui")</f>
        <v>oui</v>
      </c>
      <c r="CN875" s="410">
        <v>456.49456928874463</v>
      </c>
      <c r="CO875" s="410">
        <v>431.08535348147882</v>
      </c>
      <c r="CP875" s="410">
        <v>372.73236647094166</v>
      </c>
      <c r="CQ875" s="410">
        <v>314.39593623369763</v>
      </c>
      <c r="CR875" s="410">
        <v>331.47236023840571</v>
      </c>
      <c r="CS875" s="410">
        <v>334.9459850132684</v>
      </c>
      <c r="CT875" s="410">
        <v>306.42694408430231</v>
      </c>
      <c r="CU875" s="410">
        <v>332</v>
      </c>
      <c r="CV875" s="410">
        <f>IF(VLOOKUP(BS875,'Données par municipalité'!$B$6:$F$1113,4,FALSE)="","",VLOOKUP(BS875,'Données par municipalité'!$B$6:$F$1113,4,FALSE))</f>
        <v>313</v>
      </c>
      <c r="CW875" s="476" t="s">
        <v>4723</v>
      </c>
      <c r="CX875" s="483">
        <v>0</v>
      </c>
      <c r="CY875" s="483">
        <v>0.01</v>
      </c>
      <c r="CZ875" s="483">
        <v>0</v>
      </c>
      <c r="DA875" s="483">
        <v>0</v>
      </c>
      <c r="DB875" s="483">
        <v>0</v>
      </c>
      <c r="DC875" s="483">
        <v>0.1</v>
      </c>
      <c r="DD875" s="483">
        <v>0</v>
      </c>
      <c r="DE875" s="483">
        <f>IFERROR(SUM(VLOOKUP($BS875,'État &amp; Plan d''action'!$B$6:$Z$1113,18,FALSE),VLOOKUP($BS875,'État &amp; Plan d''action'!$B$6:$Z$1113,20,FALSE))/(VLOOKUP($BS875,'Données par municipalité'!$B$4:$L$1113,11,FALSE)),"")</f>
        <v>0</v>
      </c>
      <c r="DF875" s="483">
        <f>IFERROR(SUM(VLOOKUP($BS875,'État &amp; Plan d''action'!$B$6:$Z$1113,19,FALSE),VLOOKUP($BS875,'État &amp; Plan d''action'!$B$6:$Z$1113,21,FALSE))/(VLOOKUP($BS875,'Données par municipalité'!$B$4:$L$1113,11,FALSE)),"")</f>
        <v>0</v>
      </c>
      <c r="DG875" s="476" t="s">
        <v>4723</v>
      </c>
      <c r="DH875" s="484">
        <v>9</v>
      </c>
      <c r="DI875" s="484" t="s">
        <v>1124</v>
      </c>
      <c r="DJ875" s="484">
        <v>24</v>
      </c>
      <c r="DK875" s="484">
        <v>25</v>
      </c>
      <c r="DL875" s="484">
        <v>28</v>
      </c>
      <c r="DM875" s="484">
        <v>25</v>
      </c>
      <c r="DN875" s="484">
        <v>2</v>
      </c>
      <c r="DO875" s="484">
        <v>20</v>
      </c>
      <c r="DP875" s="484">
        <v>5</v>
      </c>
      <c r="DQ875" s="484">
        <f>IF(VLOOKUP($BS875,'État &amp; Plan d''action'!$B$6:$AJ$1113,28,FALSE)="","",VLOOKUP($BS875,'État &amp; Plan d''action'!$B$6:$AJ$1113,28,FALSE))</f>
        <v>9</v>
      </c>
      <c r="DR875" s="70">
        <f>IF(VLOOKUP($BS875,'État &amp; Plan d''action'!$B$6:$AJ$1113,29,FALSE)="","",VLOOKUP($BS875,'État &amp; Plan d''action'!$B$6:$AJ$1113,29,FALSE))</f>
        <v>11</v>
      </c>
      <c r="DS875" s="70">
        <f>IF(VLOOKUP($BS875,'État &amp; Plan d''action'!$B$6:$AJ$1113,30,FALSE)="","",VLOOKUP($BS875,'État &amp; Plan d''action'!$B$6:$AJ$1113,30,FALSE))</f>
        <v>20</v>
      </c>
      <c r="DT875" s="70">
        <v>269</v>
      </c>
      <c r="DU875" s="485">
        <v>1.7175607051938233</v>
      </c>
      <c r="DV875" s="485">
        <v>1.5190182157314689</v>
      </c>
      <c r="DW875" s="70">
        <v>5</v>
      </c>
      <c r="DX875" s="70">
        <v>7</v>
      </c>
      <c r="DY875" s="70">
        <v>10</v>
      </c>
      <c r="DZ875" s="70">
        <f>VLOOKUP($BS875,'État &amp; Plan d''action'!$B$6:$AH$1113,31,FALSE)</f>
        <v>2</v>
      </c>
      <c r="EA875" s="70">
        <f>VLOOKUP($BS875,'État &amp; Plan d''action'!$B$6:$AH$1113,32,FALSE)</f>
        <v>5</v>
      </c>
      <c r="EB875" s="70">
        <f>VLOOKUP($BS875,'État &amp; Plan d''action'!$B$6:$AH$1113,33,FALSE)</f>
        <v>7</v>
      </c>
      <c r="EC875" s="70">
        <v>0</v>
      </c>
      <c r="ED875" s="70">
        <v>0</v>
      </c>
      <c r="EE875" s="70">
        <v>0</v>
      </c>
      <c r="EF875" s="70">
        <v>0</v>
      </c>
      <c r="EG875" s="70">
        <v>0</v>
      </c>
      <c r="EH875" s="72">
        <v>59.5</v>
      </c>
      <c r="EI875" s="72">
        <v>20886</v>
      </c>
    </row>
    <row r="876" spans="71:139" x14ac:dyDescent="0.35">
      <c r="BS876" s="486">
        <v>19050</v>
      </c>
      <c r="BT876" s="479" t="s">
        <v>126</v>
      </c>
      <c r="BU876" s="479">
        <v>12</v>
      </c>
      <c r="BV876" s="476" t="s">
        <v>1187</v>
      </c>
      <c r="BW876" s="476" t="s">
        <v>1187</v>
      </c>
      <c r="BX876" s="476" t="s">
        <v>1187</v>
      </c>
      <c r="BY876" s="476" t="s">
        <v>1187</v>
      </c>
      <c r="BZ876" s="476" t="s">
        <v>1187</v>
      </c>
      <c r="CA876" s="476" t="s">
        <v>1187</v>
      </c>
      <c r="CB876" s="476" t="s">
        <v>1187</v>
      </c>
      <c r="CC876" s="476" t="s">
        <v>1187</v>
      </c>
      <c r="CD876" s="476" t="s">
        <v>1187</v>
      </c>
      <c r="CE876" s="476" t="s">
        <v>1188</v>
      </c>
      <c r="CF876" s="476" t="s">
        <v>1188</v>
      </c>
      <c r="CG876" s="476" t="s">
        <v>1188</v>
      </c>
      <c r="CH876" s="476" t="s">
        <v>1188</v>
      </c>
      <c r="CI876" s="476" t="s">
        <v>1188</v>
      </c>
      <c r="CJ876" s="476" t="s">
        <v>1188</v>
      </c>
      <c r="CK876" s="476" t="s">
        <v>1188</v>
      </c>
      <c r="CL876" s="476" t="s">
        <v>1188</v>
      </c>
      <c r="CM876" s="476" t="str">
        <f>IF(VLOOKUP(BS876,'Données par municipalité'!$B$6:$E$1113,4,FALSE)="","non","oui")</f>
        <v>oui</v>
      </c>
      <c r="CN876" s="410">
        <v>266.82294337411179</v>
      </c>
      <c r="CO876" s="410">
        <v>277.30061703186567</v>
      </c>
      <c r="CP876" s="410">
        <v>266.16288408646011</v>
      </c>
      <c r="CQ876" s="410">
        <v>266.42555414780611</v>
      </c>
      <c r="CR876" s="410">
        <v>267.87479359025053</v>
      </c>
      <c r="CS876" s="410">
        <v>272.7915631840832</v>
      </c>
      <c r="CT876" s="410">
        <v>237.06333888511546</v>
      </c>
      <c r="CU876" s="410">
        <v>282</v>
      </c>
      <c r="CV876" s="410">
        <f>IF(VLOOKUP(BS876,'Données par municipalité'!$B$6:$F$1113,4,FALSE)="","",VLOOKUP(BS876,'Données par municipalité'!$B$6:$F$1113,4,FALSE))</f>
        <v>286</v>
      </c>
      <c r="CW876" s="476" t="s">
        <v>4723</v>
      </c>
      <c r="CX876" s="483">
        <v>1</v>
      </c>
      <c r="CY876" s="483">
        <v>0</v>
      </c>
      <c r="CZ876" s="483">
        <v>0</v>
      </c>
      <c r="DA876" s="483">
        <v>0</v>
      </c>
      <c r="DB876" s="483">
        <v>0</v>
      </c>
      <c r="DC876" s="483">
        <v>0</v>
      </c>
      <c r="DD876" s="483">
        <v>0.99876557064302551</v>
      </c>
      <c r="DE876" s="483">
        <f>IFERROR(SUM(VLOOKUP($BS876,'État &amp; Plan d''action'!$B$6:$Z$1113,18,FALSE),VLOOKUP($BS876,'État &amp; Plan d''action'!$B$6:$Z$1113,20,FALSE))/(VLOOKUP($BS876,'Données par municipalité'!$B$4:$L$1113,11,FALSE)),"")</f>
        <v>0</v>
      </c>
      <c r="DF876" s="483">
        <f>IFERROR(SUM(VLOOKUP($BS876,'État &amp; Plan d''action'!$B$6:$Z$1113,19,FALSE),VLOOKUP($BS876,'État &amp; Plan d''action'!$B$6:$Z$1113,21,FALSE))/(VLOOKUP($BS876,'Données par municipalité'!$B$4:$L$1113,11,FALSE)),"")</f>
        <v>0</v>
      </c>
      <c r="DG876" s="476" t="s">
        <v>4723</v>
      </c>
      <c r="DH876" s="484">
        <v>0</v>
      </c>
      <c r="DI876" s="484">
        <v>0</v>
      </c>
      <c r="DJ876" s="484">
        <v>1</v>
      </c>
      <c r="DK876" s="484">
        <v>1</v>
      </c>
      <c r="DL876" s="484">
        <v>2</v>
      </c>
      <c r="DM876" s="484">
        <v>2</v>
      </c>
      <c r="DN876" s="484">
        <v>0</v>
      </c>
      <c r="DO876" s="484">
        <v>1</v>
      </c>
      <c r="DP876" s="484">
        <v>1</v>
      </c>
      <c r="DQ876" s="484">
        <f>IF(VLOOKUP($BS876,'État &amp; Plan d''action'!$B$6:$AJ$1113,28,FALSE)="","",VLOOKUP($BS876,'État &amp; Plan d''action'!$B$6:$AJ$1113,28,FALSE))</f>
        <v>0</v>
      </c>
      <c r="DR876" s="70">
        <f>IF(VLOOKUP($BS876,'État &amp; Plan d''action'!$B$6:$AJ$1113,29,FALSE)="","",VLOOKUP($BS876,'État &amp; Plan d''action'!$B$6:$AJ$1113,29,FALSE))</f>
        <v>2</v>
      </c>
      <c r="DS876" s="70">
        <f>IF(VLOOKUP($BS876,'État &amp; Plan d''action'!$B$6:$AJ$1113,30,FALSE)="","",VLOOKUP($BS876,'État &amp; Plan d''action'!$B$6:$AJ$1113,30,FALSE))</f>
        <v>0</v>
      </c>
      <c r="DT876" s="70">
        <v>162</v>
      </c>
      <c r="DU876" s="485">
        <v>0.69248571993437757</v>
      </c>
      <c r="DV876" s="485">
        <v>0.98140747619422497</v>
      </c>
      <c r="DW876" s="70">
        <v>0</v>
      </c>
      <c r="DX876" s="70">
        <v>5</v>
      </c>
      <c r="DY876" s="70">
        <v>10</v>
      </c>
      <c r="DZ876" s="70">
        <f>VLOOKUP($BS876,'État &amp; Plan d''action'!$B$6:$AH$1113,31,FALSE)</f>
        <v>0</v>
      </c>
      <c r="EA876" s="70">
        <f>VLOOKUP($BS876,'État &amp; Plan d''action'!$B$6:$AH$1113,32,FALSE)</f>
        <v>3</v>
      </c>
      <c r="EB876" s="70">
        <f>VLOOKUP($BS876,'État &amp; Plan d''action'!$B$6:$AH$1113,33,FALSE)</f>
        <v>0</v>
      </c>
      <c r="EC876" s="70">
        <v>8.9</v>
      </c>
      <c r="ED876" s="70">
        <v>0</v>
      </c>
      <c r="EE876" s="70">
        <v>8.9</v>
      </c>
      <c r="EF876" s="70">
        <v>0</v>
      </c>
      <c r="EG876" s="70">
        <v>0</v>
      </c>
      <c r="EH876" s="72">
        <v>66</v>
      </c>
      <c r="EI876" s="72">
        <v>1306</v>
      </c>
    </row>
    <row r="877" spans="71:139" x14ac:dyDescent="0.35">
      <c r="BS877" s="486">
        <v>8065</v>
      </c>
      <c r="BT877" s="479" t="s">
        <v>1094</v>
      </c>
      <c r="BU877" s="479">
        <v>1</v>
      </c>
      <c r="BV877" s="476" t="s">
        <v>1188</v>
      </c>
      <c r="BW877" s="476" t="s">
        <v>1188</v>
      </c>
      <c r="BX877" s="476" t="s">
        <v>1188</v>
      </c>
      <c r="BY877" s="476" t="s">
        <v>1188</v>
      </c>
      <c r="BZ877" s="476" t="s">
        <v>1188</v>
      </c>
      <c r="CA877" s="476" t="s">
        <v>1188</v>
      </c>
      <c r="CB877" s="476" t="s">
        <v>1188</v>
      </c>
      <c r="CC877" s="476" t="s">
        <v>1188</v>
      </c>
      <c r="CD877" s="476" t="s">
        <v>1188</v>
      </c>
      <c r="CE877" s="476" t="s">
        <v>1188</v>
      </c>
      <c r="CF877" s="476" t="s">
        <v>1188</v>
      </c>
      <c r="CG877" s="476" t="s">
        <v>1187</v>
      </c>
      <c r="CH877" s="476" t="s">
        <v>1188</v>
      </c>
      <c r="CI877" s="476" t="s">
        <v>1188</v>
      </c>
      <c r="CJ877" s="476" t="s">
        <v>1187</v>
      </c>
      <c r="CK877" s="476" t="s">
        <v>1187</v>
      </c>
      <c r="CL877" s="476" t="s">
        <v>1187</v>
      </c>
      <c r="CM877" s="476" t="str">
        <f>IF(VLOOKUP(BS877,'Données par municipalité'!$B$6:$E$1113,4,FALSE)="","non","oui")</f>
        <v>non</v>
      </c>
      <c r="CN877" s="410">
        <v>763.72278442195648</v>
      </c>
      <c r="CO877" s="410">
        <v>717.92327527800012</v>
      </c>
      <c r="CP877" s="410"/>
      <c r="CQ877" s="410">
        <v>605.96944072753513</v>
      </c>
      <c r="CR877" s="410">
        <v>689.06651642215638</v>
      </c>
      <c r="CS877" s="410" t="s">
        <v>1124</v>
      </c>
      <c r="CT877" s="410"/>
      <c r="CU877" s="410" t="s">
        <v>1124</v>
      </c>
      <c r="CV877" s="410" t="str">
        <f>IF(VLOOKUP(BS877,'Données par municipalité'!$B$6:$F$1113,4,FALSE)="","",VLOOKUP(BS877,'Données par municipalité'!$B$6:$F$1113,4,FALSE))</f>
        <v/>
      </c>
      <c r="CW877" s="476" t="s">
        <v>4723</v>
      </c>
      <c r="CX877" s="483" t="s">
        <v>1124</v>
      </c>
      <c r="CY877" s="483" t="s">
        <v>1124</v>
      </c>
      <c r="CZ877" s="483">
        <v>0</v>
      </c>
      <c r="DA877" s="483">
        <v>0</v>
      </c>
      <c r="DB877" s="483" t="s">
        <v>1124</v>
      </c>
      <c r="DC877" s="483" t="s">
        <v>1124</v>
      </c>
      <c r="DD877" s="483" t="s">
        <v>1124</v>
      </c>
      <c r="DE877" s="483" t="str">
        <f>IFERROR(SUM(VLOOKUP($BS877,'État &amp; Plan d''action'!$B$6:$Z$1113,18,FALSE),VLOOKUP($BS877,'État &amp; Plan d''action'!$B$6:$Z$1113,20,FALSE))/(VLOOKUP($BS877,'Données par municipalité'!$B$4:$L$1113,11,FALSE)),"")</f>
        <v/>
      </c>
      <c r="DF877" s="483" t="str">
        <f>IFERROR(SUM(VLOOKUP($BS877,'État &amp; Plan d''action'!$B$6:$Z$1113,19,FALSE),VLOOKUP($BS877,'État &amp; Plan d''action'!$B$6:$Z$1113,21,FALSE))/(VLOOKUP($BS877,'Données par municipalité'!$B$4:$L$1113,11,FALSE)),"")</f>
        <v/>
      </c>
      <c r="DG877" s="476" t="s">
        <v>4723</v>
      </c>
      <c r="DH877" s="484">
        <v>17</v>
      </c>
      <c r="DI877" s="484" t="s">
        <v>1124</v>
      </c>
      <c r="DJ877" s="484">
        <v>24</v>
      </c>
      <c r="DK877" s="484">
        <v>22</v>
      </c>
      <c r="DL877" s="484" t="s">
        <v>1124</v>
      </c>
      <c r="DM877" s="484" t="s">
        <v>1124</v>
      </c>
      <c r="DN877" s="484" t="s">
        <v>1124</v>
      </c>
      <c r="DO877" s="484" t="s">
        <v>1124</v>
      </c>
      <c r="DP877" s="484" t="s">
        <v>1124</v>
      </c>
      <c r="DQ877" s="484" t="str">
        <f>IF(VLOOKUP($BS877,'État &amp; Plan d''action'!$B$6:$AJ$1113,28,FALSE)="","",VLOOKUP($BS877,'État &amp; Plan d''action'!$B$6:$AJ$1113,28,FALSE))</f>
        <v/>
      </c>
      <c r="DR877" s="70" t="str">
        <f>IF(VLOOKUP($BS877,'État &amp; Plan d''action'!$B$6:$AJ$1113,29,FALSE)="","",VLOOKUP($BS877,'État &amp; Plan d''action'!$B$6:$AJ$1113,29,FALSE))</f>
        <v/>
      </c>
      <c r="DS877" s="70" t="str">
        <f>IF(VLOOKUP($BS877,'État &amp; Plan d''action'!$B$6:$AJ$1113,30,FALSE)="","",VLOOKUP($BS877,'État &amp; Plan d''action'!$B$6:$AJ$1113,30,FALSE))</f>
        <v/>
      </c>
      <c r="DT877" s="70" t="s">
        <v>1124</v>
      </c>
      <c r="DU877" s="485" t="s">
        <v>1124</v>
      </c>
      <c r="DV877" s="485" t="s">
        <v>1124</v>
      </c>
      <c r="DW877" s="70" t="s">
        <v>1124</v>
      </c>
      <c r="DX877" s="70" t="s">
        <v>1124</v>
      </c>
      <c r="DY877" s="70" t="s">
        <v>1124</v>
      </c>
      <c r="DZ877" s="70" t="str">
        <f>VLOOKUP($BS877,'État &amp; Plan d''action'!$B$6:$AH$1113,31,FALSE)</f>
        <v/>
      </c>
      <c r="EA877" s="70" t="str">
        <f>VLOOKUP($BS877,'État &amp; Plan d''action'!$B$6:$AH$1113,32,FALSE)</f>
        <v/>
      </c>
      <c r="EB877" s="70" t="str">
        <f>VLOOKUP($BS877,'État &amp; Plan d''action'!$B$6:$AH$1113,33,FALSE)</f>
        <v/>
      </c>
      <c r="EC877" s="70" t="s">
        <v>1124</v>
      </c>
      <c r="ED877" s="70" t="s">
        <v>1124</v>
      </c>
      <c r="EE877" s="70" t="s">
        <v>1124</v>
      </c>
      <c r="EF877" s="70" t="s">
        <v>1124</v>
      </c>
      <c r="EG877" s="70" t="s">
        <v>1124</v>
      </c>
      <c r="EH877" s="72"/>
      <c r="EI877" s="72">
        <v>380</v>
      </c>
    </row>
    <row r="878" spans="71:139" x14ac:dyDescent="0.35">
      <c r="BS878" s="486">
        <v>50042</v>
      </c>
      <c r="BT878" s="479" t="s">
        <v>487</v>
      </c>
      <c r="BU878" s="479">
        <v>17</v>
      </c>
      <c r="BV878" s="476" t="s">
        <v>1187</v>
      </c>
      <c r="BW878" s="476" t="s">
        <v>1187</v>
      </c>
      <c r="BX878" s="476" t="s">
        <v>1187</v>
      </c>
      <c r="BY878" s="476" t="s">
        <v>1187</v>
      </c>
      <c r="BZ878" s="476" t="s">
        <v>1187</v>
      </c>
      <c r="CA878" s="476" t="s">
        <v>1187</v>
      </c>
      <c r="CB878" s="476" t="s">
        <v>1187</v>
      </c>
      <c r="CC878" s="476" t="s">
        <v>1187</v>
      </c>
      <c r="CD878" s="476" t="s">
        <v>1187</v>
      </c>
      <c r="CE878" s="476" t="s">
        <v>1188</v>
      </c>
      <c r="CF878" s="476" t="s">
        <v>1188</v>
      </c>
      <c r="CG878" s="476" t="s">
        <v>1187</v>
      </c>
      <c r="CH878" s="476" t="s">
        <v>1187</v>
      </c>
      <c r="CI878" s="476" t="s">
        <v>1188</v>
      </c>
      <c r="CJ878" s="476" t="s">
        <v>1187</v>
      </c>
      <c r="CK878" s="476" t="s">
        <v>1187</v>
      </c>
      <c r="CL878" s="476" t="s">
        <v>1188</v>
      </c>
      <c r="CM878" s="476" t="str">
        <f>IF(VLOOKUP(BS878,'Données par municipalité'!$B$6:$E$1113,4,FALSE)="","non","oui")</f>
        <v>oui</v>
      </c>
      <c r="CN878" s="410">
        <v>354.187395773817</v>
      </c>
      <c r="CO878" s="410">
        <v>344.47938320658892</v>
      </c>
      <c r="CP878" s="410"/>
      <c r="CQ878" s="410"/>
      <c r="CR878" s="410">
        <v>250.7752375001084</v>
      </c>
      <c r="CS878" s="410" t="s">
        <v>1124</v>
      </c>
      <c r="CT878" s="410"/>
      <c r="CU878" s="410">
        <v>249</v>
      </c>
      <c r="CV878" s="410">
        <f>IF(VLOOKUP(BS878,'Données par municipalité'!$B$6:$F$1113,4,FALSE)="","",VLOOKUP(BS878,'Données par municipalité'!$B$6:$F$1113,4,FALSE))</f>
        <v>234</v>
      </c>
      <c r="CW878" s="476" t="s">
        <v>4723</v>
      </c>
      <c r="CX878" s="483">
        <v>0.25</v>
      </c>
      <c r="CY878" s="483" t="s">
        <v>1124</v>
      </c>
      <c r="CZ878" s="483" t="s">
        <v>1124</v>
      </c>
      <c r="DA878" s="483">
        <v>0.1</v>
      </c>
      <c r="DB878" s="483" t="s">
        <v>1124</v>
      </c>
      <c r="DC878" s="483" t="s">
        <v>1124</v>
      </c>
      <c r="DD878" s="483">
        <v>0</v>
      </c>
      <c r="DE878" s="483">
        <f>IFERROR(SUM(VLOOKUP($BS878,'État &amp; Plan d''action'!$B$6:$Z$1113,18,FALSE),VLOOKUP($BS878,'État &amp; Plan d''action'!$B$6:$Z$1113,20,FALSE))/(VLOOKUP($BS878,'Données par municipalité'!$B$4:$L$1113,11,FALSE)),"")</f>
        <v>0</v>
      </c>
      <c r="DF878" s="483">
        <f>IFERROR(SUM(VLOOKUP($BS878,'État &amp; Plan d''action'!$B$6:$Z$1113,19,FALSE),VLOOKUP($BS878,'État &amp; Plan d''action'!$B$6:$Z$1113,21,FALSE))/(VLOOKUP($BS878,'Données par municipalité'!$B$4:$L$1113,11,FALSE)),"")</f>
        <v>0</v>
      </c>
      <c r="DG878" s="476" t="s">
        <v>4723</v>
      </c>
      <c r="DH878" s="484">
        <v>0</v>
      </c>
      <c r="DI878" s="484" t="s">
        <v>1124</v>
      </c>
      <c r="DJ878" s="484">
        <v>0</v>
      </c>
      <c r="DK878" s="484">
        <v>3</v>
      </c>
      <c r="DL878" s="484" t="s">
        <v>1124</v>
      </c>
      <c r="DM878" s="484" t="s">
        <v>1124</v>
      </c>
      <c r="DN878" s="484">
        <v>1</v>
      </c>
      <c r="DO878" s="484">
        <v>0</v>
      </c>
      <c r="DP878" s="484">
        <v>0</v>
      </c>
      <c r="DQ878" s="484">
        <f>IF(VLOOKUP($BS878,'État &amp; Plan d''action'!$B$6:$AJ$1113,28,FALSE)="","",VLOOKUP($BS878,'État &amp; Plan d''action'!$B$6:$AJ$1113,28,FALSE))</f>
        <v>0</v>
      </c>
      <c r="DR878" s="70">
        <f>IF(VLOOKUP($BS878,'État &amp; Plan d''action'!$B$6:$AJ$1113,29,FALSE)="","",VLOOKUP($BS878,'État &amp; Plan d''action'!$B$6:$AJ$1113,29,FALSE))</f>
        <v>1</v>
      </c>
      <c r="DS878" s="70">
        <f>IF(VLOOKUP($BS878,'État &amp; Plan d''action'!$B$6:$AJ$1113,30,FALSE)="","",VLOOKUP($BS878,'État &amp; Plan d''action'!$B$6:$AJ$1113,30,FALSE))</f>
        <v>0</v>
      </c>
      <c r="DT878" s="70">
        <v>160</v>
      </c>
      <c r="DU878" s="485">
        <v>2.6524022523700199</v>
      </c>
      <c r="DV878" s="485">
        <v>1.0190167647170738</v>
      </c>
      <c r="DW878" s="70">
        <v>1</v>
      </c>
      <c r="DX878" s="70">
        <v>0</v>
      </c>
      <c r="DY878" s="70">
        <v>0</v>
      </c>
      <c r="DZ878" s="70">
        <f>VLOOKUP($BS878,'État &amp; Plan d''action'!$B$6:$AH$1113,31,FALSE)</f>
        <v>0</v>
      </c>
      <c r="EA878" s="70">
        <f>VLOOKUP($BS878,'État &amp; Plan d''action'!$B$6:$AH$1113,32,FALSE)</f>
        <v>1</v>
      </c>
      <c r="EB878" s="70">
        <f>VLOOKUP($BS878,'État &amp; Plan d''action'!$B$6:$AH$1113,33,FALSE)</f>
        <v>0</v>
      </c>
      <c r="EC878" s="70">
        <v>15.4</v>
      </c>
      <c r="ED878" s="70">
        <v>0</v>
      </c>
      <c r="EE878" s="70">
        <v>0</v>
      </c>
      <c r="EF878" s="70">
        <v>0</v>
      </c>
      <c r="EG878" s="70">
        <v>0</v>
      </c>
      <c r="EH878" s="72">
        <v>59</v>
      </c>
      <c r="EI878" s="72">
        <v>2499</v>
      </c>
    </row>
    <row r="879" spans="71:139" x14ac:dyDescent="0.35">
      <c r="BS879" s="486">
        <v>34115</v>
      </c>
      <c r="BT879" s="479" t="s">
        <v>299</v>
      </c>
      <c r="BU879" s="479">
        <v>3</v>
      </c>
      <c r="BV879" s="476" t="s">
        <v>1187</v>
      </c>
      <c r="BW879" s="476" t="s">
        <v>1187</v>
      </c>
      <c r="BX879" s="476" t="s">
        <v>1187</v>
      </c>
      <c r="BY879" s="476" t="s">
        <v>1187</v>
      </c>
      <c r="BZ879" s="476" t="s">
        <v>1187</v>
      </c>
      <c r="CA879" s="476" t="s">
        <v>1187</v>
      </c>
      <c r="CB879" s="476" t="s">
        <v>1187</v>
      </c>
      <c r="CC879" s="476" t="s">
        <v>1187</v>
      </c>
      <c r="CD879" s="476" t="s">
        <v>1187</v>
      </c>
      <c r="CE879" s="476" t="s">
        <v>1188</v>
      </c>
      <c r="CF879" s="476" t="s">
        <v>1188</v>
      </c>
      <c r="CG879" s="476" t="s">
        <v>1187</v>
      </c>
      <c r="CH879" s="476" t="s">
        <v>1188</v>
      </c>
      <c r="CI879" s="476" t="s">
        <v>1188</v>
      </c>
      <c r="CJ879" s="476" t="s">
        <v>1188</v>
      </c>
      <c r="CK879" s="476" t="s">
        <v>1188</v>
      </c>
      <c r="CL879" s="476" t="s">
        <v>1188</v>
      </c>
      <c r="CM879" s="476" t="str">
        <f>IF(VLOOKUP(BS879,'Données par municipalité'!$B$6:$E$1113,4,FALSE)="","non","oui")</f>
        <v>oui</v>
      </c>
      <c r="CN879" s="410">
        <v>425.20146697532761</v>
      </c>
      <c r="CO879" s="410">
        <v>409.99866418983106</v>
      </c>
      <c r="CP879" s="410"/>
      <c r="CQ879" s="410">
        <v>168.69316977897833</v>
      </c>
      <c r="CR879" s="410">
        <v>166.50528150774721</v>
      </c>
      <c r="CS879" s="410">
        <v>206.84285299194053</v>
      </c>
      <c r="CT879" s="410">
        <v>335.1027103365526</v>
      </c>
      <c r="CU879" s="410">
        <v>172</v>
      </c>
      <c r="CV879" s="410">
        <f>IF(VLOOKUP(BS879,'Données par municipalité'!$B$6:$F$1113,4,FALSE)="","",VLOOKUP(BS879,'Données par municipalité'!$B$6:$F$1113,4,FALSE))</f>
        <v>137</v>
      </c>
      <c r="CW879" s="476" t="s">
        <v>4723</v>
      </c>
      <c r="CX879" s="483">
        <v>0</v>
      </c>
      <c r="CY879" s="483" t="s">
        <v>1124</v>
      </c>
      <c r="CZ879" s="483">
        <v>1</v>
      </c>
      <c r="DA879" s="483">
        <v>1</v>
      </c>
      <c r="DB879" s="483">
        <v>1</v>
      </c>
      <c r="DC879" s="483">
        <v>0</v>
      </c>
      <c r="DD879" s="483">
        <v>0</v>
      </c>
      <c r="DE879" s="483">
        <f>IFERROR(SUM(VLOOKUP($BS879,'État &amp; Plan d''action'!$B$6:$Z$1113,18,FALSE),VLOOKUP($BS879,'État &amp; Plan d''action'!$B$6:$Z$1113,20,FALSE))/(VLOOKUP($BS879,'Données par municipalité'!$B$4:$L$1113,11,FALSE)),"")</f>
        <v>0</v>
      </c>
      <c r="DF879" s="483">
        <f>IFERROR(SUM(VLOOKUP($BS879,'État &amp; Plan d''action'!$B$6:$Z$1113,19,FALSE),VLOOKUP($BS879,'État &amp; Plan d''action'!$B$6:$Z$1113,21,FALSE))/(VLOOKUP($BS879,'Données par municipalité'!$B$4:$L$1113,11,FALSE)),"")</f>
        <v>0</v>
      </c>
      <c r="DG879" s="476" t="s">
        <v>4723</v>
      </c>
      <c r="DH879" s="484">
        <v>0</v>
      </c>
      <c r="DI879" s="484" t="s">
        <v>1124</v>
      </c>
      <c r="DJ879" s="484">
        <v>2</v>
      </c>
      <c r="DK879" s="484">
        <v>2</v>
      </c>
      <c r="DL879" s="484">
        <v>3</v>
      </c>
      <c r="DM879" s="484">
        <v>2</v>
      </c>
      <c r="DN879" s="484">
        <v>2</v>
      </c>
      <c r="DO879" s="484">
        <v>0</v>
      </c>
      <c r="DP879" s="484">
        <v>0</v>
      </c>
      <c r="DQ879" s="484">
        <f>IF(VLOOKUP($BS879,'État &amp; Plan d''action'!$B$6:$AJ$1113,28,FALSE)="","",VLOOKUP($BS879,'État &amp; Plan d''action'!$B$6:$AJ$1113,28,FALSE))</f>
        <v>3</v>
      </c>
      <c r="DR879" s="70">
        <f>IF(VLOOKUP($BS879,'État &amp; Plan d''action'!$B$6:$AJ$1113,29,FALSE)="","",VLOOKUP($BS879,'État &amp; Plan d''action'!$B$6:$AJ$1113,29,FALSE))</f>
        <v>0</v>
      </c>
      <c r="DS879" s="70">
        <f>IF(VLOOKUP($BS879,'État &amp; Plan d''action'!$B$6:$AJ$1113,30,FALSE)="","",VLOOKUP($BS879,'État &amp; Plan d''action'!$B$6:$AJ$1113,30,FALSE))</f>
        <v>0</v>
      </c>
      <c r="DT879" s="70">
        <v>110</v>
      </c>
      <c r="DU879" s="485">
        <v>1.374707250876519</v>
      </c>
      <c r="DV879" s="485">
        <v>0.51772635468097028</v>
      </c>
      <c r="DW879" s="70">
        <v>2</v>
      </c>
      <c r="DX879" s="70">
        <v>0</v>
      </c>
      <c r="DY879" s="70">
        <v>0</v>
      </c>
      <c r="DZ879" s="70">
        <f>VLOOKUP($BS879,'État &amp; Plan d''action'!$B$6:$AH$1113,31,FALSE)</f>
        <v>2</v>
      </c>
      <c r="EA879" s="70">
        <f>VLOOKUP($BS879,'État &amp; Plan d''action'!$B$6:$AH$1113,32,FALSE)</f>
        <v>0</v>
      </c>
      <c r="EB879" s="70">
        <f>VLOOKUP($BS879,'État &amp; Plan d''action'!$B$6:$AH$1113,33,FALSE)</f>
        <v>0</v>
      </c>
      <c r="EC879" s="70">
        <v>0</v>
      </c>
      <c r="ED879" s="70">
        <v>0</v>
      </c>
      <c r="EE879" s="70">
        <v>0</v>
      </c>
      <c r="EF879" s="70">
        <v>0</v>
      </c>
      <c r="EG879" s="70">
        <v>0</v>
      </c>
      <c r="EH879" s="72">
        <v>52</v>
      </c>
      <c r="EI879" s="72">
        <v>1138</v>
      </c>
    </row>
    <row r="880" spans="71:139" x14ac:dyDescent="0.35">
      <c r="BS880" s="486">
        <v>19020</v>
      </c>
      <c r="BT880" s="479" t="s">
        <v>121</v>
      </c>
      <c r="BU880" s="479">
        <v>12</v>
      </c>
      <c r="BV880" s="476" t="s">
        <v>1187</v>
      </c>
      <c r="BW880" s="476" t="s">
        <v>1187</v>
      </c>
      <c r="BX880" s="476" t="s">
        <v>1187</v>
      </c>
      <c r="BY880" s="476" t="s">
        <v>1187</v>
      </c>
      <c r="BZ880" s="476" t="s">
        <v>1187</v>
      </c>
      <c r="CA880" s="476" t="s">
        <v>1187</v>
      </c>
      <c r="CB880" s="476" t="s">
        <v>1187</v>
      </c>
      <c r="CC880" s="476" t="s">
        <v>1187</v>
      </c>
      <c r="CD880" s="476" t="s">
        <v>1187</v>
      </c>
      <c r="CE880" s="476" t="s">
        <v>1188</v>
      </c>
      <c r="CF880" s="476" t="s">
        <v>1188</v>
      </c>
      <c r="CG880" s="476" t="s">
        <v>1188</v>
      </c>
      <c r="CH880" s="476" t="s">
        <v>1188</v>
      </c>
      <c r="CI880" s="476" t="s">
        <v>1188</v>
      </c>
      <c r="CJ880" s="476" t="s">
        <v>1188</v>
      </c>
      <c r="CK880" s="476" t="s">
        <v>1188</v>
      </c>
      <c r="CL880" s="476" t="s">
        <v>1188</v>
      </c>
      <c r="CM880" s="476" t="str">
        <f>IF(VLOOKUP(BS880,'Données par municipalité'!$B$6:$E$1113,4,FALSE)="","non","oui")</f>
        <v>oui</v>
      </c>
      <c r="CN880" s="410">
        <v>292.10478695596322</v>
      </c>
      <c r="CO880" s="410">
        <v>267.87429669274047</v>
      </c>
      <c r="CP880" s="410">
        <v>211.00029370642622</v>
      </c>
      <c r="CQ880" s="410">
        <v>262.68623240009197</v>
      </c>
      <c r="CR880" s="410">
        <v>263.16822397084678</v>
      </c>
      <c r="CS880" s="410">
        <v>237.4699085711016</v>
      </c>
      <c r="CT880" s="410">
        <v>233.19394376351838</v>
      </c>
      <c r="CU880" s="410">
        <v>234</v>
      </c>
      <c r="CV880" s="410">
        <f>IF(VLOOKUP(BS880,'Données par municipalité'!$B$6:$F$1113,4,FALSE)="","",VLOOKUP(BS880,'Données par municipalité'!$B$6:$F$1113,4,FALSE))</f>
        <v>245</v>
      </c>
      <c r="CW880" s="476" t="s">
        <v>4723</v>
      </c>
      <c r="CX880" s="483">
        <v>0</v>
      </c>
      <c r="CY880" s="483">
        <v>0</v>
      </c>
      <c r="CZ880" s="483">
        <v>0.1</v>
      </c>
      <c r="DA880" s="483">
        <v>0.25</v>
      </c>
      <c r="DB880" s="483">
        <v>1</v>
      </c>
      <c r="DC880" s="483">
        <v>1</v>
      </c>
      <c r="DD880" s="483">
        <v>1</v>
      </c>
      <c r="DE880" s="483">
        <f>IFERROR(SUM(VLOOKUP($BS880,'État &amp; Plan d''action'!$B$6:$Z$1113,18,FALSE),VLOOKUP($BS880,'État &amp; Plan d''action'!$B$6:$Z$1113,20,FALSE))/(VLOOKUP($BS880,'Données par municipalité'!$B$4:$L$1113,11,FALSE)),"")</f>
        <v>0.5</v>
      </c>
      <c r="DF880" s="483">
        <f>IFERROR(SUM(VLOOKUP($BS880,'État &amp; Plan d''action'!$B$6:$Z$1113,19,FALSE),VLOOKUP($BS880,'État &amp; Plan d''action'!$B$6:$Z$1113,21,FALSE))/(VLOOKUP($BS880,'Données par municipalité'!$B$4:$L$1113,11,FALSE)),"")</f>
        <v>0.5</v>
      </c>
      <c r="DG880" s="476" t="s">
        <v>4723</v>
      </c>
      <c r="DH880" s="484">
        <v>1</v>
      </c>
      <c r="DI880" s="484">
        <v>1</v>
      </c>
      <c r="DJ880" s="484">
        <v>1</v>
      </c>
      <c r="DK880" s="484">
        <v>3</v>
      </c>
      <c r="DL880" s="484">
        <v>1</v>
      </c>
      <c r="DM880" s="484">
        <v>1</v>
      </c>
      <c r="DN880" s="484">
        <v>0</v>
      </c>
      <c r="DO880" s="484">
        <v>1</v>
      </c>
      <c r="DP880" s="484">
        <v>1</v>
      </c>
      <c r="DQ880" s="484">
        <f>IF(VLOOKUP($BS880,'État &amp; Plan d''action'!$B$6:$AJ$1113,28,FALSE)="","",VLOOKUP($BS880,'État &amp; Plan d''action'!$B$6:$AJ$1113,28,FALSE))</f>
        <v>0</v>
      </c>
      <c r="DR880" s="70">
        <f>IF(VLOOKUP($BS880,'État &amp; Plan d''action'!$B$6:$AJ$1113,29,FALSE)="","",VLOOKUP($BS880,'État &amp; Plan d''action'!$B$6:$AJ$1113,29,FALSE))</f>
        <v>0</v>
      </c>
      <c r="DS880" s="70">
        <f>IF(VLOOKUP($BS880,'État &amp; Plan d''action'!$B$6:$AJ$1113,30,FALSE)="","",VLOOKUP($BS880,'État &amp; Plan d''action'!$B$6:$AJ$1113,30,FALSE))</f>
        <v>1</v>
      </c>
      <c r="DT880" s="70">
        <v>155</v>
      </c>
      <c r="DU880" s="485">
        <v>2.4881116779873924</v>
      </c>
      <c r="DV880" s="485">
        <v>0.93591259203159627</v>
      </c>
      <c r="DW880" s="70">
        <v>0</v>
      </c>
      <c r="DX880" s="70">
        <v>3</v>
      </c>
      <c r="DY880" s="70">
        <v>5</v>
      </c>
      <c r="DZ880" s="70">
        <f>VLOOKUP($BS880,'État &amp; Plan d''action'!$B$6:$AH$1113,31,FALSE)</f>
        <v>0</v>
      </c>
      <c r="EA880" s="70">
        <f>VLOOKUP($BS880,'État &amp; Plan d''action'!$B$6:$AH$1113,32,FALSE)</f>
        <v>0</v>
      </c>
      <c r="EB880" s="70">
        <f>VLOOKUP($BS880,'État &amp; Plan d''action'!$B$6:$AH$1113,33,FALSE)</f>
        <v>2</v>
      </c>
      <c r="EC880" s="70">
        <v>0</v>
      </c>
      <c r="ED880" s="70">
        <v>8.7249999999999996</v>
      </c>
      <c r="EE880" s="70">
        <v>0</v>
      </c>
      <c r="EF880" s="70">
        <v>0</v>
      </c>
      <c r="EG880" s="70">
        <v>0</v>
      </c>
      <c r="EH880" s="72">
        <v>64</v>
      </c>
      <c r="EI880" s="72">
        <v>1101</v>
      </c>
    </row>
    <row r="881" spans="71:139" x14ac:dyDescent="0.35">
      <c r="BS881" s="486">
        <v>7030</v>
      </c>
      <c r="BT881" s="479" t="s">
        <v>1072</v>
      </c>
      <c r="BU881" s="479">
        <v>1</v>
      </c>
      <c r="BV881" s="476" t="s">
        <v>1188</v>
      </c>
      <c r="BW881" s="476" t="s">
        <v>1188</v>
      </c>
      <c r="BX881" s="476" t="s">
        <v>1188</v>
      </c>
      <c r="BY881" s="476" t="s">
        <v>1188</v>
      </c>
      <c r="BZ881" s="476" t="s">
        <v>1188</v>
      </c>
      <c r="CA881" s="476" t="s">
        <v>1188</v>
      </c>
      <c r="CB881" s="476" t="s">
        <v>1188</v>
      </c>
      <c r="CC881" s="476" t="s">
        <v>1188</v>
      </c>
      <c r="CD881" s="476" t="s">
        <v>1188</v>
      </c>
      <c r="CE881" s="476" t="s">
        <v>1187</v>
      </c>
      <c r="CF881" s="476" t="s">
        <v>1187</v>
      </c>
      <c r="CG881" s="476" t="s">
        <v>1187</v>
      </c>
      <c r="CH881" s="476" t="s">
        <v>1187</v>
      </c>
      <c r="CI881" s="476" t="s">
        <v>1187</v>
      </c>
      <c r="CJ881" s="476" t="s">
        <v>1187</v>
      </c>
      <c r="CK881" s="476" t="s">
        <v>1187</v>
      </c>
      <c r="CL881" s="476" t="s">
        <v>1187</v>
      </c>
      <c r="CM881" s="476" t="str">
        <f>IF(VLOOKUP(BS881,'Données par municipalité'!$B$6:$E$1113,4,FALSE)="","non","oui")</f>
        <v>non</v>
      </c>
      <c r="CN881" s="410" t="s">
        <v>1124</v>
      </c>
      <c r="CO881" s="410" t="s">
        <v>1124</v>
      </c>
      <c r="CP881" s="410"/>
      <c r="CQ881" s="410"/>
      <c r="CR881" s="410"/>
      <c r="CS881" s="410" t="s">
        <v>1124</v>
      </c>
      <c r="CT881" s="410"/>
      <c r="CU881" s="410" t="s">
        <v>1124</v>
      </c>
      <c r="CV881" s="410" t="str">
        <f>IF(VLOOKUP(BS881,'Données par municipalité'!$B$6:$F$1113,4,FALSE)="","",VLOOKUP(BS881,'Données par municipalité'!$B$6:$F$1113,4,FALSE))</f>
        <v/>
      </c>
      <c r="CW881" s="476" t="s">
        <v>4723</v>
      </c>
      <c r="CX881" s="483" t="s">
        <v>1124</v>
      </c>
      <c r="CY881" s="483" t="s">
        <v>1124</v>
      </c>
      <c r="CZ881" s="483" t="s">
        <v>1124</v>
      </c>
      <c r="DA881" s="483" t="s">
        <v>1124</v>
      </c>
      <c r="DB881" s="483" t="s">
        <v>1124</v>
      </c>
      <c r="DC881" s="483" t="s">
        <v>1124</v>
      </c>
      <c r="DD881" s="483" t="s">
        <v>1124</v>
      </c>
      <c r="DE881" s="483" t="str">
        <f>IFERROR(SUM(VLOOKUP($BS881,'État &amp; Plan d''action'!$B$6:$Z$1113,18,FALSE),VLOOKUP($BS881,'État &amp; Plan d''action'!$B$6:$Z$1113,20,FALSE))/(VLOOKUP($BS881,'Données par municipalité'!$B$4:$L$1113,11,FALSE)),"")</f>
        <v/>
      </c>
      <c r="DF881" s="483" t="str">
        <f>IFERROR(SUM(VLOOKUP($BS881,'État &amp; Plan d''action'!$B$6:$Z$1113,19,FALSE),VLOOKUP($BS881,'État &amp; Plan d''action'!$B$6:$Z$1113,21,FALSE))/(VLOOKUP($BS881,'Données par municipalité'!$B$4:$L$1113,11,FALSE)),"")</f>
        <v/>
      </c>
      <c r="DG881" s="476" t="s">
        <v>4723</v>
      </c>
      <c r="DH881" s="484" t="s">
        <v>1124</v>
      </c>
      <c r="DI881" s="484" t="s">
        <v>1124</v>
      </c>
      <c r="DJ881" s="484">
        <v>0</v>
      </c>
      <c r="DK881" s="484">
        <v>0</v>
      </c>
      <c r="DL881" s="484" t="s">
        <v>1124</v>
      </c>
      <c r="DM881" s="484" t="s">
        <v>1124</v>
      </c>
      <c r="DN881" s="484" t="s">
        <v>1124</v>
      </c>
      <c r="DO881" s="484" t="s">
        <v>1124</v>
      </c>
      <c r="DP881" s="484" t="s">
        <v>1124</v>
      </c>
      <c r="DQ881" s="484" t="str">
        <f>IF(VLOOKUP($BS881,'État &amp; Plan d''action'!$B$6:$AJ$1113,28,FALSE)="","",VLOOKUP($BS881,'État &amp; Plan d''action'!$B$6:$AJ$1113,28,FALSE))</f>
        <v/>
      </c>
      <c r="DR881" s="70" t="str">
        <f>IF(VLOOKUP($BS881,'État &amp; Plan d''action'!$B$6:$AJ$1113,29,FALSE)="","",VLOOKUP($BS881,'État &amp; Plan d''action'!$B$6:$AJ$1113,29,FALSE))</f>
        <v/>
      </c>
      <c r="DS881" s="70" t="str">
        <f>IF(VLOOKUP($BS881,'État &amp; Plan d''action'!$B$6:$AJ$1113,30,FALSE)="","",VLOOKUP($BS881,'État &amp; Plan d''action'!$B$6:$AJ$1113,30,FALSE))</f>
        <v/>
      </c>
      <c r="DT881" s="70" t="s">
        <v>1124</v>
      </c>
      <c r="DU881" s="485" t="s">
        <v>1124</v>
      </c>
      <c r="DV881" s="485" t="s">
        <v>1124</v>
      </c>
      <c r="DW881" s="70" t="s">
        <v>1124</v>
      </c>
      <c r="DX881" s="70" t="s">
        <v>1124</v>
      </c>
      <c r="DY881" s="70" t="s">
        <v>1124</v>
      </c>
      <c r="DZ881" s="70" t="str">
        <f>VLOOKUP($BS881,'État &amp; Plan d''action'!$B$6:$AH$1113,31,FALSE)</f>
        <v/>
      </c>
      <c r="EA881" s="70" t="str">
        <f>VLOOKUP($BS881,'État &amp; Plan d''action'!$B$6:$AH$1113,32,FALSE)</f>
        <v/>
      </c>
      <c r="EB881" s="70" t="str">
        <f>VLOOKUP($BS881,'État &amp; Plan d''action'!$B$6:$AH$1113,33,FALSE)</f>
        <v/>
      </c>
      <c r="EC881" s="70" t="s">
        <v>1124</v>
      </c>
      <c r="ED881" s="70" t="s">
        <v>1124</v>
      </c>
      <c r="EE881" s="70" t="s">
        <v>1124</v>
      </c>
      <c r="EF881" s="70" t="s">
        <v>1124</v>
      </c>
      <c r="EG881" s="70" t="s">
        <v>1124</v>
      </c>
      <c r="EH881" s="72"/>
      <c r="EI881" s="72">
        <v>998</v>
      </c>
    </row>
    <row r="882" spans="71:139" x14ac:dyDescent="0.35">
      <c r="BS882" s="486">
        <v>51035</v>
      </c>
      <c r="BT882" s="479" t="s">
        <v>503</v>
      </c>
      <c r="BU882" s="479">
        <v>4</v>
      </c>
      <c r="BV882" s="476" t="s">
        <v>1187</v>
      </c>
      <c r="BW882" s="476" t="s">
        <v>1187</v>
      </c>
      <c r="BX882" s="476" t="s">
        <v>1187</v>
      </c>
      <c r="BY882" s="476" t="s">
        <v>1187</v>
      </c>
      <c r="BZ882" s="476" t="s">
        <v>1187</v>
      </c>
      <c r="CA882" s="476" t="s">
        <v>1187</v>
      </c>
      <c r="CB882" s="476" t="s">
        <v>1187</v>
      </c>
      <c r="CC882" s="476" t="s">
        <v>1187</v>
      </c>
      <c r="CD882" s="476" t="s">
        <v>1187</v>
      </c>
      <c r="CE882" s="476" t="s">
        <v>1188</v>
      </c>
      <c r="CF882" s="476" t="s">
        <v>1188</v>
      </c>
      <c r="CG882" s="476" t="s">
        <v>1188</v>
      </c>
      <c r="CH882" s="476" t="s">
        <v>1188</v>
      </c>
      <c r="CI882" s="476" t="s">
        <v>1188</v>
      </c>
      <c r="CJ882" s="476" t="s">
        <v>1188</v>
      </c>
      <c r="CK882" s="476" t="s">
        <v>1188</v>
      </c>
      <c r="CL882" s="476" t="s">
        <v>1188</v>
      </c>
      <c r="CM882" s="476" t="str">
        <f>IF(VLOOKUP(BS882,'Données par municipalité'!$B$6:$E$1113,4,FALSE)="","non","oui")</f>
        <v>oui</v>
      </c>
      <c r="CN882" s="410">
        <v>685.08013002947155</v>
      </c>
      <c r="CO882" s="410">
        <v>708.85336106196712</v>
      </c>
      <c r="CP882" s="410">
        <v>650.88655323853141</v>
      </c>
      <c r="CQ882" s="410">
        <v>651.72566953483749</v>
      </c>
      <c r="CR882" s="410">
        <v>695.89563052511562</v>
      </c>
      <c r="CS882" s="410">
        <v>679.52650859795585</v>
      </c>
      <c r="CT882" s="410">
        <v>573.6365329551013</v>
      </c>
      <c r="CU882" s="410">
        <v>606</v>
      </c>
      <c r="CV882" s="410">
        <f>IF(VLOOKUP(BS882,'Données par municipalité'!$B$6:$F$1113,4,FALSE)="","",VLOOKUP(BS882,'Données par municipalité'!$B$6:$F$1113,4,FALSE))</f>
        <v>642</v>
      </c>
      <c r="CW882" s="476" t="s">
        <v>4723</v>
      </c>
      <c r="CX882" s="483">
        <v>0</v>
      </c>
      <c r="CY882" s="483">
        <v>1</v>
      </c>
      <c r="CZ882" s="483">
        <v>1</v>
      </c>
      <c r="DA882" s="483">
        <v>1</v>
      </c>
      <c r="DB882" s="483">
        <v>1</v>
      </c>
      <c r="DC882" s="483">
        <v>1</v>
      </c>
      <c r="DD882" s="483">
        <v>0</v>
      </c>
      <c r="DE882" s="483">
        <f>IFERROR(SUM(VLOOKUP($BS882,'État &amp; Plan d''action'!$B$6:$Z$1113,18,FALSE),VLOOKUP($BS882,'État &amp; Plan d''action'!$B$6:$Z$1113,20,FALSE))/(VLOOKUP($BS882,'Données par municipalité'!$B$4:$L$1113,11,FALSE)),"")</f>
        <v>0</v>
      </c>
      <c r="DF882" s="483">
        <f>IFERROR(SUM(VLOOKUP($BS882,'État &amp; Plan d''action'!$B$6:$Z$1113,19,FALSE),VLOOKUP($BS882,'État &amp; Plan d''action'!$B$6:$Z$1113,21,FALSE))/(VLOOKUP($BS882,'Données par municipalité'!$B$4:$L$1113,11,FALSE)),"")</f>
        <v>0</v>
      </c>
      <c r="DG882" s="476" t="s">
        <v>4723</v>
      </c>
      <c r="DH882" s="484">
        <v>6</v>
      </c>
      <c r="DI882" s="484">
        <v>3</v>
      </c>
      <c r="DJ882" s="484">
        <v>2</v>
      </c>
      <c r="DK882" s="484">
        <v>1</v>
      </c>
      <c r="DL882" s="484">
        <v>0</v>
      </c>
      <c r="DM882" s="484">
        <v>4</v>
      </c>
      <c r="DN882" s="484">
        <v>0</v>
      </c>
      <c r="DO882" s="484">
        <v>0</v>
      </c>
      <c r="DP882" s="484">
        <v>5</v>
      </c>
      <c r="DQ882" s="484">
        <f>IF(VLOOKUP($BS882,'État &amp; Plan d''action'!$B$6:$AJ$1113,28,FALSE)="","",VLOOKUP($BS882,'État &amp; Plan d''action'!$B$6:$AJ$1113,28,FALSE))</f>
        <v>1</v>
      </c>
      <c r="DR882" s="70">
        <f>IF(VLOOKUP($BS882,'État &amp; Plan d''action'!$B$6:$AJ$1113,29,FALSE)="","",VLOOKUP($BS882,'État &amp; Plan d''action'!$B$6:$AJ$1113,29,FALSE))</f>
        <v>0</v>
      </c>
      <c r="DS882" s="70">
        <f>IF(VLOOKUP($BS882,'État &amp; Plan d''action'!$B$6:$AJ$1113,30,FALSE)="","",VLOOKUP($BS882,'État &amp; Plan d''action'!$B$6:$AJ$1113,30,FALSE))</f>
        <v>0</v>
      </c>
      <c r="DT882" s="70">
        <v>180</v>
      </c>
      <c r="DU882" s="485">
        <v>2.1101700660107769</v>
      </c>
      <c r="DV882" s="485">
        <v>2.5037155502157273</v>
      </c>
      <c r="DW882" s="70">
        <v>0</v>
      </c>
      <c r="DX882" s="70">
        <v>0</v>
      </c>
      <c r="DY882" s="70">
        <v>1</v>
      </c>
      <c r="DZ882" s="70">
        <f>VLOOKUP($BS882,'État &amp; Plan d''action'!$B$6:$AH$1113,31,FALSE)</f>
        <v>1</v>
      </c>
      <c r="EA882" s="70">
        <f>VLOOKUP($BS882,'État &amp; Plan d''action'!$B$6:$AH$1113,32,FALSE)</f>
        <v>0</v>
      </c>
      <c r="EB882" s="70">
        <f>VLOOKUP($BS882,'État &amp; Plan d''action'!$B$6:$AH$1113,33,FALSE)</f>
        <v>0</v>
      </c>
      <c r="EC882" s="70">
        <v>0</v>
      </c>
      <c r="ED882" s="70">
        <v>0</v>
      </c>
      <c r="EE882" s="70">
        <v>0</v>
      </c>
      <c r="EF882" s="70">
        <v>0</v>
      </c>
      <c r="EG882" s="70">
        <v>0</v>
      </c>
      <c r="EH882" s="72">
        <v>68</v>
      </c>
      <c r="EI882" s="72">
        <v>964</v>
      </c>
    </row>
    <row r="883" spans="71:139" x14ac:dyDescent="0.35">
      <c r="BS883" s="486">
        <v>54072</v>
      </c>
      <c r="BT883" s="479" t="s">
        <v>550</v>
      </c>
      <c r="BU883" s="479">
        <v>16</v>
      </c>
      <c r="BV883" s="476" t="s">
        <v>1187</v>
      </c>
      <c r="BW883" s="476" t="s">
        <v>1187</v>
      </c>
      <c r="BX883" s="476" t="s">
        <v>1187</v>
      </c>
      <c r="BY883" s="476" t="s">
        <v>1187</v>
      </c>
      <c r="BZ883" s="476" t="s">
        <v>1187</v>
      </c>
      <c r="CA883" s="476" t="s">
        <v>1187</v>
      </c>
      <c r="CB883" s="476" t="s">
        <v>1187</v>
      </c>
      <c r="CC883" s="476" t="s">
        <v>1187</v>
      </c>
      <c r="CD883" s="476" t="s">
        <v>1187</v>
      </c>
      <c r="CE883" s="476" t="s">
        <v>1188</v>
      </c>
      <c r="CF883" s="476" t="s">
        <v>1188</v>
      </c>
      <c r="CG883" s="476" t="s">
        <v>1187</v>
      </c>
      <c r="CH883" s="476" t="s">
        <v>1188</v>
      </c>
      <c r="CI883" s="476" t="s">
        <v>1188</v>
      </c>
      <c r="CJ883" s="476" t="s">
        <v>1188</v>
      </c>
      <c r="CK883" s="476" t="s">
        <v>1188</v>
      </c>
      <c r="CL883" s="476" t="s">
        <v>1188</v>
      </c>
      <c r="CM883" s="476" t="str">
        <f>IF(VLOOKUP(BS883,'Données par municipalité'!$B$6:$E$1113,4,FALSE)="","non","oui")</f>
        <v>non</v>
      </c>
      <c r="CN883" s="410">
        <v>186.35105878300084</v>
      </c>
      <c r="CO883" s="410">
        <v>188.12914457397173</v>
      </c>
      <c r="CP883" s="410"/>
      <c r="CQ883" s="410">
        <v>166.10014792215733</v>
      </c>
      <c r="CR883" s="410">
        <v>210.28823202043696</v>
      </c>
      <c r="CS883" s="410">
        <v>196.26500707324192</v>
      </c>
      <c r="CT883" s="410">
        <v>173.25209037537803</v>
      </c>
      <c r="CU883" s="410">
        <v>205</v>
      </c>
      <c r="CV883" s="410" t="str">
        <f>IF(VLOOKUP(BS883,'Données par municipalité'!$B$6:$F$1113,4,FALSE)="","",VLOOKUP(BS883,'Données par municipalité'!$B$6:$F$1113,4,FALSE))</f>
        <v/>
      </c>
      <c r="CW883" s="476" t="s">
        <v>4723</v>
      </c>
      <c r="CX883" s="483">
        <v>0.6</v>
      </c>
      <c r="CY883" s="483" t="s">
        <v>1124</v>
      </c>
      <c r="CZ883" s="483">
        <v>0</v>
      </c>
      <c r="DA883" s="483">
        <v>0</v>
      </c>
      <c r="DB883" s="483">
        <v>1</v>
      </c>
      <c r="DC883" s="483">
        <v>1</v>
      </c>
      <c r="DD883" s="483">
        <v>0</v>
      </c>
      <c r="DE883" s="483" t="str">
        <f>IFERROR(SUM(VLOOKUP($BS883,'État &amp; Plan d''action'!$B$6:$Z$1113,18,FALSE),VLOOKUP($BS883,'État &amp; Plan d''action'!$B$6:$Z$1113,20,FALSE))/(VLOOKUP($BS883,'Données par municipalité'!$B$4:$L$1113,11,FALSE)),"")</f>
        <v/>
      </c>
      <c r="DF883" s="483" t="str">
        <f>IFERROR(SUM(VLOOKUP($BS883,'État &amp; Plan d''action'!$B$6:$Z$1113,19,FALSE),VLOOKUP($BS883,'État &amp; Plan d''action'!$B$6:$Z$1113,21,FALSE))/(VLOOKUP($BS883,'Données par municipalité'!$B$4:$L$1113,11,FALSE)),"")</f>
        <v/>
      </c>
      <c r="DG883" s="476" t="s">
        <v>4723</v>
      </c>
      <c r="DH883" s="484">
        <v>2</v>
      </c>
      <c r="DI883" s="484" t="s">
        <v>1124</v>
      </c>
      <c r="DJ883" s="484">
        <v>0</v>
      </c>
      <c r="DK883" s="484">
        <v>4</v>
      </c>
      <c r="DL883" s="484">
        <v>1</v>
      </c>
      <c r="DM883" s="484">
        <v>1</v>
      </c>
      <c r="DN883" s="484">
        <v>0</v>
      </c>
      <c r="DO883" s="484">
        <v>0</v>
      </c>
      <c r="DP883" s="484">
        <v>0</v>
      </c>
      <c r="DQ883" s="484" t="str">
        <f>IF(VLOOKUP($BS883,'État &amp; Plan d''action'!$B$6:$AJ$1113,28,FALSE)="","",VLOOKUP($BS883,'État &amp; Plan d''action'!$B$6:$AJ$1113,28,FALSE))</f>
        <v/>
      </c>
      <c r="DR883" s="70" t="str">
        <f>IF(VLOOKUP($BS883,'État &amp; Plan d''action'!$B$6:$AJ$1113,29,FALSE)="","",VLOOKUP($BS883,'État &amp; Plan d''action'!$B$6:$AJ$1113,29,FALSE))</f>
        <v/>
      </c>
      <c r="DS883" s="70" t="str">
        <f>IF(VLOOKUP($BS883,'État &amp; Plan d''action'!$B$6:$AJ$1113,30,FALSE)="","",VLOOKUP($BS883,'État &amp; Plan d''action'!$B$6:$AJ$1113,30,FALSE))</f>
        <v/>
      </c>
      <c r="DT883" s="70">
        <v>170</v>
      </c>
      <c r="DU883" s="485">
        <v>1.6122174192007637</v>
      </c>
      <c r="DV883" s="485" t="s">
        <v>1124</v>
      </c>
      <c r="DW883" s="70">
        <v>1</v>
      </c>
      <c r="DX883" s="70">
        <v>1</v>
      </c>
      <c r="DY883" s="70">
        <v>1</v>
      </c>
      <c r="DZ883" s="70" t="str">
        <f>VLOOKUP($BS883,'État &amp; Plan d''action'!$B$6:$AH$1113,31,FALSE)</f>
        <v/>
      </c>
      <c r="EA883" s="70" t="str">
        <f>VLOOKUP($BS883,'État &amp; Plan d''action'!$B$6:$AH$1113,32,FALSE)</f>
        <v/>
      </c>
      <c r="EB883" s="70" t="str">
        <f>VLOOKUP($BS883,'État &amp; Plan d''action'!$B$6:$AH$1113,33,FALSE)</f>
        <v/>
      </c>
      <c r="EC883" s="70">
        <v>10.897</v>
      </c>
      <c r="ED883" s="70">
        <v>0</v>
      </c>
      <c r="EE883" s="70">
        <v>0</v>
      </c>
      <c r="EF883" s="70">
        <v>0</v>
      </c>
      <c r="EG883" s="70">
        <v>0</v>
      </c>
      <c r="EH883" s="72">
        <v>45</v>
      </c>
      <c r="EI883" s="72">
        <v>3038</v>
      </c>
    </row>
    <row r="884" spans="71:139" x14ac:dyDescent="0.35">
      <c r="BS884" s="486">
        <v>63065</v>
      </c>
      <c r="BT884" s="479" t="s">
        <v>643</v>
      </c>
      <c r="BU884" s="479">
        <v>14</v>
      </c>
      <c r="BV884" s="476" t="s">
        <v>1187</v>
      </c>
      <c r="BW884" s="476" t="s">
        <v>1187</v>
      </c>
      <c r="BX884" s="476" t="s">
        <v>1187</v>
      </c>
      <c r="BY884" s="476" t="s">
        <v>1187</v>
      </c>
      <c r="BZ884" s="476" t="s">
        <v>1187</v>
      </c>
      <c r="CA884" s="476" t="s">
        <v>1187</v>
      </c>
      <c r="CB884" s="476" t="s">
        <v>1187</v>
      </c>
      <c r="CC884" s="476" t="s">
        <v>1187</v>
      </c>
      <c r="CD884" s="476" t="s">
        <v>1187</v>
      </c>
      <c r="CE884" s="476" t="s">
        <v>1188</v>
      </c>
      <c r="CF884" s="476" t="s">
        <v>1188</v>
      </c>
      <c r="CG884" s="476" t="s">
        <v>1188</v>
      </c>
      <c r="CH884" s="476" t="s">
        <v>1188</v>
      </c>
      <c r="CI884" s="476" t="s">
        <v>1188</v>
      </c>
      <c r="CJ884" s="476" t="s">
        <v>1188</v>
      </c>
      <c r="CK884" s="476" t="s">
        <v>1188</v>
      </c>
      <c r="CL884" s="476" t="s">
        <v>1187</v>
      </c>
      <c r="CM884" s="476" t="str">
        <f>IF(VLOOKUP(BS884,'Données par municipalité'!$B$6:$E$1113,4,FALSE)="","non","oui")</f>
        <v>oui</v>
      </c>
      <c r="CN884" s="410">
        <v>280.28397417729491</v>
      </c>
      <c r="CO884" s="410">
        <v>309.93231848368811</v>
      </c>
      <c r="CP884" s="410">
        <v>271.5739290094071</v>
      </c>
      <c r="CQ884" s="410">
        <v>255.83941388694078</v>
      </c>
      <c r="CR884" s="410">
        <v>224.52111635309495</v>
      </c>
      <c r="CS884" s="410">
        <v>239.91147005250187</v>
      </c>
      <c r="CT884" s="410">
        <v>204.50485275422389</v>
      </c>
      <c r="CU884" s="410" t="s">
        <v>1124</v>
      </c>
      <c r="CV884" s="410">
        <f>IF(VLOOKUP(BS884,'Données par municipalité'!$B$6:$F$1113,4,FALSE)="","",VLOOKUP(BS884,'Données par municipalité'!$B$6:$F$1113,4,FALSE))</f>
        <v>271</v>
      </c>
      <c r="CW884" s="476" t="s">
        <v>4723</v>
      </c>
      <c r="CX884" s="483">
        <v>0</v>
      </c>
      <c r="CY884" s="483">
        <v>1</v>
      </c>
      <c r="CZ884" s="483">
        <v>1</v>
      </c>
      <c r="DA884" s="483">
        <v>0</v>
      </c>
      <c r="DB884" s="483">
        <v>1</v>
      </c>
      <c r="DC884" s="483">
        <v>1</v>
      </c>
      <c r="DD884" s="483" t="s">
        <v>1124</v>
      </c>
      <c r="DE884" s="483">
        <f>IFERROR(SUM(VLOOKUP($BS884,'État &amp; Plan d''action'!$B$6:$Z$1113,18,FALSE),VLOOKUP($BS884,'État &amp; Plan d''action'!$B$6:$Z$1113,20,FALSE))/(VLOOKUP($BS884,'Données par municipalité'!$B$4:$L$1113,11,FALSE)),"")</f>
        <v>0</v>
      </c>
      <c r="DF884" s="483">
        <f>IFERROR(SUM(VLOOKUP($BS884,'État &amp; Plan d''action'!$B$6:$Z$1113,19,FALSE),VLOOKUP($BS884,'État &amp; Plan d''action'!$B$6:$Z$1113,21,FALSE))/(VLOOKUP($BS884,'Données par municipalité'!$B$4:$L$1113,11,FALSE)),"")</f>
        <v>0</v>
      </c>
      <c r="DG884" s="476" t="s">
        <v>4723</v>
      </c>
      <c r="DH884" s="484">
        <v>1</v>
      </c>
      <c r="DI884" s="484">
        <v>1</v>
      </c>
      <c r="DJ884" s="484">
        <v>1</v>
      </c>
      <c r="DK884" s="484">
        <v>0</v>
      </c>
      <c r="DL884" s="484">
        <v>3</v>
      </c>
      <c r="DM884" s="484">
        <v>1</v>
      </c>
      <c r="DN884" s="484" t="s">
        <v>1124</v>
      </c>
      <c r="DO884" s="484" t="s">
        <v>1124</v>
      </c>
      <c r="DP884" s="484" t="s">
        <v>1124</v>
      </c>
      <c r="DQ884" s="484">
        <f>IF(VLOOKUP($BS884,'État &amp; Plan d''action'!$B$6:$AJ$1113,28,FALSE)="","",VLOOKUP($BS884,'État &amp; Plan d''action'!$B$6:$AJ$1113,28,FALSE))</f>
        <v>0</v>
      </c>
      <c r="DR884" s="70">
        <f>IF(VLOOKUP($BS884,'État &amp; Plan d''action'!$B$6:$AJ$1113,29,FALSE)="","",VLOOKUP($BS884,'État &amp; Plan d''action'!$B$6:$AJ$1113,29,FALSE))</f>
        <v>0</v>
      </c>
      <c r="DS884" s="70">
        <f>IF(VLOOKUP($BS884,'État &amp; Plan d''action'!$B$6:$AJ$1113,30,FALSE)="","",VLOOKUP($BS884,'État &amp; Plan d''action'!$B$6:$AJ$1113,30,FALSE))</f>
        <v>0</v>
      </c>
      <c r="DT884" s="70" t="s">
        <v>1124</v>
      </c>
      <c r="DU884" s="485" t="s">
        <v>1124</v>
      </c>
      <c r="DV884" s="485">
        <v>0.82419292552106271</v>
      </c>
      <c r="DW884" s="70" t="s">
        <v>1124</v>
      </c>
      <c r="DX884" s="70" t="s">
        <v>1124</v>
      </c>
      <c r="DY884" s="70" t="s">
        <v>1124</v>
      </c>
      <c r="DZ884" s="70">
        <f>VLOOKUP($BS884,'État &amp; Plan d''action'!$B$6:$AH$1113,31,FALSE)</f>
        <v>0</v>
      </c>
      <c r="EA884" s="70">
        <f>VLOOKUP($BS884,'État &amp; Plan d''action'!$B$6:$AH$1113,32,FALSE)</f>
        <v>0</v>
      </c>
      <c r="EB884" s="70">
        <f>VLOOKUP($BS884,'État &amp; Plan d''action'!$B$6:$AH$1113,33,FALSE)</f>
        <v>0</v>
      </c>
      <c r="EC884" s="70" t="s">
        <v>1124</v>
      </c>
      <c r="ED884" s="70" t="s">
        <v>1124</v>
      </c>
      <c r="EE884" s="70" t="s">
        <v>1124</v>
      </c>
      <c r="EF884" s="70" t="s">
        <v>1124</v>
      </c>
      <c r="EG884" s="70" t="s">
        <v>1124</v>
      </c>
      <c r="EH884" s="72"/>
      <c r="EI884" s="72">
        <v>2011</v>
      </c>
    </row>
    <row r="885" spans="71:139" x14ac:dyDescent="0.35">
      <c r="BS885" s="486">
        <v>63048</v>
      </c>
      <c r="BT885" s="479" t="s">
        <v>640</v>
      </c>
      <c r="BU885" s="479">
        <v>14</v>
      </c>
      <c r="BV885" s="476" t="s">
        <v>1187</v>
      </c>
      <c r="BW885" s="476" t="s">
        <v>1187</v>
      </c>
      <c r="BX885" s="476" t="s">
        <v>1187</v>
      </c>
      <c r="BY885" s="476" t="s">
        <v>1187</v>
      </c>
      <c r="BZ885" s="476" t="s">
        <v>1187</v>
      </c>
      <c r="CA885" s="476" t="s">
        <v>1187</v>
      </c>
      <c r="CB885" s="476" t="s">
        <v>1187</v>
      </c>
      <c r="CC885" s="476" t="s">
        <v>1187</v>
      </c>
      <c r="CD885" s="476" t="s">
        <v>1187</v>
      </c>
      <c r="CE885" s="476" t="s">
        <v>1188</v>
      </c>
      <c r="CF885" s="476" t="s">
        <v>1187</v>
      </c>
      <c r="CG885" s="476" t="s">
        <v>1187</v>
      </c>
      <c r="CH885" s="476" t="s">
        <v>1187</v>
      </c>
      <c r="CI885" s="476" t="s">
        <v>1187</v>
      </c>
      <c r="CJ885" s="476" t="s">
        <v>1187</v>
      </c>
      <c r="CK885" s="476" t="s">
        <v>1187</v>
      </c>
      <c r="CL885" s="476" t="s">
        <v>1187</v>
      </c>
      <c r="CM885" s="476" t="str">
        <f>IF(VLOOKUP(BS885,'Données par municipalité'!$B$6:$E$1113,4,FALSE)="","non","oui")</f>
        <v>oui</v>
      </c>
      <c r="CN885" s="410">
        <v>457.75136538633723</v>
      </c>
      <c r="CO885" s="410" t="s">
        <v>1124</v>
      </c>
      <c r="CP885" s="410"/>
      <c r="CQ885" s="410"/>
      <c r="CR885" s="410"/>
      <c r="CS885" s="410" t="s">
        <v>1124</v>
      </c>
      <c r="CT885" s="410"/>
      <c r="CU885" s="410" t="s">
        <v>1124</v>
      </c>
      <c r="CV885" s="410">
        <f>IF(VLOOKUP(BS885,'Données par municipalité'!$B$6:$F$1113,4,FALSE)="","",VLOOKUP(BS885,'Données par municipalité'!$B$6:$F$1113,4,FALSE))</f>
        <v>357</v>
      </c>
      <c r="CW885" s="476" t="s">
        <v>4723</v>
      </c>
      <c r="CX885" s="483" t="s">
        <v>1124</v>
      </c>
      <c r="CY885" s="483" t="s">
        <v>1124</v>
      </c>
      <c r="CZ885" s="483" t="s">
        <v>1124</v>
      </c>
      <c r="DA885" s="483" t="s">
        <v>1124</v>
      </c>
      <c r="DB885" s="483" t="s">
        <v>1124</v>
      </c>
      <c r="DC885" s="483" t="s">
        <v>1124</v>
      </c>
      <c r="DD885" s="483" t="s">
        <v>1124</v>
      </c>
      <c r="DE885" s="483">
        <f>IFERROR(SUM(VLOOKUP($BS885,'État &amp; Plan d''action'!$B$6:$Z$1113,18,FALSE),VLOOKUP($BS885,'État &amp; Plan d''action'!$B$6:$Z$1113,20,FALSE))/(VLOOKUP($BS885,'Données par municipalité'!$B$4:$L$1113,11,FALSE)),"")</f>
        <v>1</v>
      </c>
      <c r="DF885" s="483">
        <f>IFERROR(SUM(VLOOKUP($BS885,'État &amp; Plan d''action'!$B$6:$Z$1113,19,FALSE),VLOOKUP($BS885,'État &amp; Plan d''action'!$B$6:$Z$1113,21,FALSE))/(VLOOKUP($BS885,'Données par municipalité'!$B$4:$L$1113,11,FALSE)),"")</f>
        <v>1</v>
      </c>
      <c r="DG885" s="476" t="s">
        <v>4723</v>
      </c>
      <c r="DH885" s="484" t="s">
        <v>1124</v>
      </c>
      <c r="DI885" s="484" t="s">
        <v>1124</v>
      </c>
      <c r="DJ885" s="484">
        <v>0</v>
      </c>
      <c r="DK885" s="484">
        <v>0</v>
      </c>
      <c r="DL885" s="484" t="s">
        <v>1124</v>
      </c>
      <c r="DM885" s="484" t="s">
        <v>1124</v>
      </c>
      <c r="DN885" s="484" t="s">
        <v>1124</v>
      </c>
      <c r="DO885" s="484" t="s">
        <v>1124</v>
      </c>
      <c r="DP885" s="484" t="s">
        <v>1124</v>
      </c>
      <c r="DQ885" s="484">
        <f>IF(VLOOKUP($BS885,'État &amp; Plan d''action'!$B$6:$AJ$1113,28,FALSE)="","",VLOOKUP($BS885,'État &amp; Plan d''action'!$B$6:$AJ$1113,28,FALSE))</f>
        <v>2</v>
      </c>
      <c r="DR885" s="70">
        <f>IF(VLOOKUP($BS885,'État &amp; Plan d''action'!$B$6:$AJ$1113,29,FALSE)="","",VLOOKUP($BS885,'État &amp; Plan d''action'!$B$6:$AJ$1113,29,FALSE))</f>
        <v>2</v>
      </c>
      <c r="DS885" s="70">
        <f>IF(VLOOKUP($BS885,'État &amp; Plan d''action'!$B$6:$AJ$1113,30,FALSE)="","",VLOOKUP($BS885,'État &amp; Plan d''action'!$B$6:$AJ$1113,30,FALSE))</f>
        <v>0</v>
      </c>
      <c r="DT885" s="70" t="s">
        <v>1124</v>
      </c>
      <c r="DU885" s="485" t="s">
        <v>1124</v>
      </c>
      <c r="DV885" s="485">
        <v>20.080032725440109</v>
      </c>
      <c r="DW885" s="70" t="s">
        <v>1124</v>
      </c>
      <c r="DX885" s="70" t="s">
        <v>1124</v>
      </c>
      <c r="DY885" s="70" t="s">
        <v>1124</v>
      </c>
      <c r="DZ885" s="70">
        <f>VLOOKUP($BS885,'État &amp; Plan d''action'!$B$6:$AH$1113,31,FALSE)</f>
        <v>1</v>
      </c>
      <c r="EA885" s="70">
        <f>VLOOKUP($BS885,'État &amp; Plan d''action'!$B$6:$AH$1113,32,FALSE)</f>
        <v>1</v>
      </c>
      <c r="EB885" s="70">
        <f>VLOOKUP($BS885,'État &amp; Plan d''action'!$B$6:$AH$1113,33,FALSE)</f>
        <v>0</v>
      </c>
      <c r="EC885" s="70" t="s">
        <v>1124</v>
      </c>
      <c r="ED885" s="70" t="s">
        <v>1124</v>
      </c>
      <c r="EE885" s="70" t="s">
        <v>1124</v>
      </c>
      <c r="EF885" s="70" t="s">
        <v>1124</v>
      </c>
      <c r="EG885" s="70" t="s">
        <v>1124</v>
      </c>
      <c r="EH885" s="72"/>
      <c r="EI885" s="72">
        <v>22171</v>
      </c>
    </row>
    <row r="886" spans="71:139" x14ac:dyDescent="0.35">
      <c r="BS886" s="486">
        <v>54120</v>
      </c>
      <c r="BT886" s="479" t="s">
        <v>557</v>
      </c>
      <c r="BU886" s="479">
        <v>16</v>
      </c>
      <c r="BV886" s="476" t="s">
        <v>1187</v>
      </c>
      <c r="BW886" s="476" t="s">
        <v>1187</v>
      </c>
      <c r="BX886" s="476" t="s">
        <v>1187</v>
      </c>
      <c r="BY886" s="476" t="s">
        <v>1187</v>
      </c>
      <c r="BZ886" s="476" t="s">
        <v>1187</v>
      </c>
      <c r="CA886" s="476" t="s">
        <v>1187</v>
      </c>
      <c r="CB886" s="476" t="s">
        <v>1187</v>
      </c>
      <c r="CC886" s="476" t="s">
        <v>1187</v>
      </c>
      <c r="CD886" s="476" t="s">
        <v>1187</v>
      </c>
      <c r="CE886" s="476" t="s">
        <v>1188</v>
      </c>
      <c r="CF886" s="476" t="s">
        <v>1188</v>
      </c>
      <c r="CG886" s="476" t="s">
        <v>1188</v>
      </c>
      <c r="CH886" s="476" t="s">
        <v>1188</v>
      </c>
      <c r="CI886" s="476" t="s">
        <v>1188</v>
      </c>
      <c r="CJ886" s="476" t="s">
        <v>1188</v>
      </c>
      <c r="CK886" s="476" t="s">
        <v>1188</v>
      </c>
      <c r="CL886" s="476" t="s">
        <v>1188</v>
      </c>
      <c r="CM886" s="476" t="str">
        <f>IF(VLOOKUP(BS886,'Données par municipalité'!$B$6:$E$1113,4,FALSE)="","non","oui")</f>
        <v>oui</v>
      </c>
      <c r="CN886" s="410">
        <v>738.77114376834072</v>
      </c>
      <c r="CO886" s="410">
        <v>658.42200395607392</v>
      </c>
      <c r="CP886" s="410">
        <v>706.19344421363087</v>
      </c>
      <c r="CQ886" s="410">
        <v>809.52615159776281</v>
      </c>
      <c r="CR886" s="410">
        <v>723.63667747543366</v>
      </c>
      <c r="CS886" s="410">
        <v>706.26821811363402</v>
      </c>
      <c r="CT886" s="410">
        <v>910.79265814509085</v>
      </c>
      <c r="CU886" s="410">
        <v>948</v>
      </c>
      <c r="CV886" s="410">
        <f>IF(VLOOKUP(BS886,'Données par municipalité'!$B$6:$F$1113,4,FALSE)="","",VLOOKUP(BS886,'Données par municipalité'!$B$6:$F$1113,4,FALSE))</f>
        <v>865</v>
      </c>
      <c r="CW886" s="476" t="s">
        <v>4723</v>
      </c>
      <c r="CX886" s="483">
        <v>0</v>
      </c>
      <c r="CY886" s="483">
        <v>0</v>
      </c>
      <c r="CZ886" s="483">
        <v>0</v>
      </c>
      <c r="DA886" s="483">
        <v>0</v>
      </c>
      <c r="DB886" s="483">
        <v>0</v>
      </c>
      <c r="DC886" s="483">
        <v>0</v>
      </c>
      <c r="DD886" s="483">
        <v>0</v>
      </c>
      <c r="DE886" s="483">
        <f>IFERROR(SUM(VLOOKUP($BS886,'État &amp; Plan d''action'!$B$6:$Z$1113,18,FALSE),VLOOKUP($BS886,'État &amp; Plan d''action'!$B$6:$Z$1113,20,FALSE))/(VLOOKUP($BS886,'Données par municipalité'!$B$4:$L$1113,11,FALSE)),"")</f>
        <v>0</v>
      </c>
      <c r="DF886" s="483">
        <f>IFERROR(SUM(VLOOKUP($BS886,'État &amp; Plan d''action'!$B$6:$Z$1113,19,FALSE),VLOOKUP($BS886,'État &amp; Plan d''action'!$B$6:$Z$1113,21,FALSE))/(VLOOKUP($BS886,'Données par municipalité'!$B$4:$L$1113,11,FALSE)),"")</f>
        <v>0</v>
      </c>
      <c r="DG886" s="476" t="s">
        <v>4723</v>
      </c>
      <c r="DH886" s="484">
        <v>2</v>
      </c>
      <c r="DI886" s="484">
        <v>0</v>
      </c>
      <c r="DJ886" s="484">
        <v>0</v>
      </c>
      <c r="DK886" s="484">
        <v>0</v>
      </c>
      <c r="DL886" s="484">
        <v>0</v>
      </c>
      <c r="DM886" s="484">
        <v>0</v>
      </c>
      <c r="DN886" s="484">
        <v>0</v>
      </c>
      <c r="DO886" s="484">
        <v>0</v>
      </c>
      <c r="DP886" s="484">
        <v>0</v>
      </c>
      <c r="DQ886" s="484">
        <f>IF(VLOOKUP($BS886,'État &amp; Plan d''action'!$B$6:$AJ$1113,28,FALSE)="","",VLOOKUP($BS886,'État &amp; Plan d''action'!$B$6:$AJ$1113,28,FALSE))</f>
        <v>0</v>
      </c>
      <c r="DR886" s="70">
        <f>IF(VLOOKUP($BS886,'État &amp; Plan d''action'!$B$6:$AJ$1113,29,FALSE)="","",VLOOKUP($BS886,'État &amp; Plan d''action'!$B$6:$AJ$1113,29,FALSE))</f>
        <v>0</v>
      </c>
      <c r="DS886" s="70">
        <f>IF(VLOOKUP($BS886,'État &amp; Plan d''action'!$B$6:$AJ$1113,30,FALSE)="","",VLOOKUP($BS886,'État &amp; Plan d''action'!$B$6:$AJ$1113,30,FALSE))</f>
        <v>2</v>
      </c>
      <c r="DT886" s="70">
        <v>241</v>
      </c>
      <c r="DU886" s="485">
        <v>0.70939701602451233</v>
      </c>
      <c r="DV886" s="485">
        <v>1.2228315237206706</v>
      </c>
      <c r="DW886" s="70">
        <v>0</v>
      </c>
      <c r="DX886" s="70">
        <v>0</v>
      </c>
      <c r="DY886" s="70">
        <v>0</v>
      </c>
      <c r="DZ886" s="70">
        <f>VLOOKUP($BS886,'État &amp; Plan d''action'!$B$6:$AH$1113,31,FALSE)</f>
        <v>0</v>
      </c>
      <c r="EA886" s="70">
        <f>VLOOKUP($BS886,'État &amp; Plan d''action'!$B$6:$AH$1113,32,FALSE)</f>
        <v>0</v>
      </c>
      <c r="EB886" s="70">
        <f>VLOOKUP($BS886,'État &amp; Plan d''action'!$B$6:$AH$1113,33,FALSE)</f>
        <v>2</v>
      </c>
      <c r="EC886" s="70">
        <v>0</v>
      </c>
      <c r="ED886" s="70">
        <v>0</v>
      </c>
      <c r="EE886" s="70">
        <v>0</v>
      </c>
      <c r="EF886" s="70">
        <v>0</v>
      </c>
      <c r="EG886" s="70">
        <v>0</v>
      </c>
      <c r="EH886" s="72">
        <v>54.188888888888883</v>
      </c>
      <c r="EI886" s="72">
        <v>722</v>
      </c>
    </row>
    <row r="887" spans="71:139" x14ac:dyDescent="0.35">
      <c r="BS887" s="486">
        <v>39170</v>
      </c>
      <c r="BT887" s="479" t="s">
        <v>357</v>
      </c>
      <c r="BU887" s="479">
        <v>17</v>
      </c>
      <c r="BV887" s="476" t="s">
        <v>1188</v>
      </c>
      <c r="BW887" s="476" t="s">
        <v>1188</v>
      </c>
      <c r="BX887" s="476" t="s">
        <v>1188</v>
      </c>
      <c r="BY887" s="476" t="s">
        <v>1188</v>
      </c>
      <c r="BZ887" s="476" t="s">
        <v>1188</v>
      </c>
      <c r="CA887" s="476" t="s">
        <v>1188</v>
      </c>
      <c r="CB887" s="476" t="s">
        <v>1188</v>
      </c>
      <c r="CC887" s="476" t="s">
        <v>1188</v>
      </c>
      <c r="CD887" s="476" t="s">
        <v>1324</v>
      </c>
      <c r="CE887" s="476" t="s">
        <v>1187</v>
      </c>
      <c r="CF887" s="476" t="s">
        <v>1187</v>
      </c>
      <c r="CG887" s="476" t="s">
        <v>1187</v>
      </c>
      <c r="CH887" s="476" t="s">
        <v>1187</v>
      </c>
      <c r="CI887" s="476" t="s">
        <v>1187</v>
      </c>
      <c r="CJ887" s="476" t="s">
        <v>1187</v>
      </c>
      <c r="CK887" s="476" t="s">
        <v>1187</v>
      </c>
      <c r="CL887" s="476" t="s">
        <v>1187</v>
      </c>
      <c r="CM887" s="476" t="str">
        <f>IF(VLOOKUP(BS887,'Données par municipalité'!$B$6:$E$1113,4,FALSE)="","non","oui")</f>
        <v>non</v>
      </c>
      <c r="CN887" s="410" t="s">
        <v>1124</v>
      </c>
      <c r="CO887" s="410" t="s">
        <v>1124</v>
      </c>
      <c r="CP887" s="410"/>
      <c r="CQ887" s="410"/>
      <c r="CR887" s="410"/>
      <c r="CS887" s="410" t="s">
        <v>1124</v>
      </c>
      <c r="CT887" s="410"/>
      <c r="CU887" s="410" t="s">
        <v>1124</v>
      </c>
      <c r="CV887" s="410" t="str">
        <f>IF(VLOOKUP(BS887,'Données par municipalité'!$B$6:$F$1113,4,FALSE)="","",VLOOKUP(BS887,'Données par municipalité'!$B$6:$F$1113,4,FALSE))</f>
        <v/>
      </c>
      <c r="CW887" s="476" t="s">
        <v>4723</v>
      </c>
      <c r="CX887" s="483" t="s">
        <v>1124</v>
      </c>
      <c r="CY887" s="483" t="s">
        <v>1124</v>
      </c>
      <c r="CZ887" s="483" t="s">
        <v>1124</v>
      </c>
      <c r="DA887" s="483" t="s">
        <v>1124</v>
      </c>
      <c r="DB887" s="483" t="s">
        <v>1124</v>
      </c>
      <c r="DC887" s="483" t="s">
        <v>1124</v>
      </c>
      <c r="DD887" s="483" t="s">
        <v>1124</v>
      </c>
      <c r="DE887" s="483" t="str">
        <f>IFERROR(SUM(VLOOKUP($BS887,'État &amp; Plan d''action'!$B$6:$Z$1113,18,FALSE),VLOOKUP($BS887,'État &amp; Plan d''action'!$B$6:$Z$1113,20,FALSE))/(VLOOKUP($BS887,'Données par municipalité'!$B$4:$L$1113,11,FALSE)),"")</f>
        <v/>
      </c>
      <c r="DF887" s="483" t="str">
        <f>IFERROR(SUM(VLOOKUP($BS887,'État &amp; Plan d''action'!$B$6:$Z$1113,19,FALSE),VLOOKUP($BS887,'État &amp; Plan d''action'!$B$6:$Z$1113,21,FALSE))/(VLOOKUP($BS887,'Données par municipalité'!$B$4:$L$1113,11,FALSE)),"")</f>
        <v/>
      </c>
      <c r="DG887" s="476" t="s">
        <v>4723</v>
      </c>
      <c r="DH887" s="484" t="s">
        <v>1124</v>
      </c>
      <c r="DI887" s="484" t="s">
        <v>1124</v>
      </c>
      <c r="DJ887" s="484">
        <v>0</v>
      </c>
      <c r="DK887" s="484">
        <v>0</v>
      </c>
      <c r="DL887" s="484" t="s">
        <v>1124</v>
      </c>
      <c r="DM887" s="484" t="s">
        <v>1124</v>
      </c>
      <c r="DN887" s="484" t="s">
        <v>1124</v>
      </c>
      <c r="DO887" s="484" t="s">
        <v>1124</v>
      </c>
      <c r="DP887" s="484" t="s">
        <v>1124</v>
      </c>
      <c r="DQ887" s="484" t="str">
        <f>IF(VLOOKUP($BS887,'État &amp; Plan d''action'!$B$6:$AJ$1113,28,FALSE)="","",VLOOKUP($BS887,'État &amp; Plan d''action'!$B$6:$AJ$1113,28,FALSE))</f>
        <v/>
      </c>
      <c r="DR887" s="70" t="str">
        <f>IF(VLOOKUP($BS887,'État &amp; Plan d''action'!$B$6:$AJ$1113,29,FALSE)="","",VLOOKUP($BS887,'État &amp; Plan d''action'!$B$6:$AJ$1113,29,FALSE))</f>
        <v/>
      </c>
      <c r="DS887" s="70" t="str">
        <f>IF(VLOOKUP($BS887,'État &amp; Plan d''action'!$B$6:$AJ$1113,30,FALSE)="","",VLOOKUP($BS887,'État &amp; Plan d''action'!$B$6:$AJ$1113,30,FALSE))</f>
        <v/>
      </c>
      <c r="DT887" s="70" t="s">
        <v>1124</v>
      </c>
      <c r="DU887" s="485" t="s">
        <v>1124</v>
      </c>
      <c r="DV887" s="485" t="s">
        <v>1124</v>
      </c>
      <c r="DW887" s="70" t="s">
        <v>1124</v>
      </c>
      <c r="DX887" s="70" t="s">
        <v>1124</v>
      </c>
      <c r="DY887" s="70" t="s">
        <v>1124</v>
      </c>
      <c r="DZ887" s="70" t="str">
        <f>VLOOKUP($BS887,'État &amp; Plan d''action'!$B$6:$AH$1113,31,FALSE)</f>
        <v/>
      </c>
      <c r="EA887" s="70" t="str">
        <f>VLOOKUP($BS887,'État &amp; Plan d''action'!$B$6:$AH$1113,32,FALSE)</f>
        <v/>
      </c>
      <c r="EB887" s="70" t="str">
        <f>VLOOKUP($BS887,'État &amp; Plan d''action'!$B$6:$AH$1113,33,FALSE)</f>
        <v/>
      </c>
      <c r="EC887" s="70" t="s">
        <v>1124</v>
      </c>
      <c r="ED887" s="70" t="s">
        <v>1124</v>
      </c>
      <c r="EE887" s="70" t="s">
        <v>1124</v>
      </c>
      <c r="EF887" s="70" t="s">
        <v>1124</v>
      </c>
      <c r="EG887" s="70" t="s">
        <v>1124</v>
      </c>
      <c r="EH887" s="72"/>
      <c r="EI887" s="72">
        <v>1095</v>
      </c>
    </row>
    <row r="888" spans="71:139" x14ac:dyDescent="0.35">
      <c r="BS888" s="486">
        <v>28035</v>
      </c>
      <c r="BT888" s="479" t="s">
        <v>193</v>
      </c>
      <c r="BU888" s="479">
        <v>12</v>
      </c>
      <c r="BV888" s="476" t="s">
        <v>1188</v>
      </c>
      <c r="BW888" s="476" t="s">
        <v>1188</v>
      </c>
      <c r="BX888" s="476" t="s">
        <v>1188</v>
      </c>
      <c r="BY888" s="476" t="s">
        <v>1188</v>
      </c>
      <c r="BZ888" s="476" t="s">
        <v>1188</v>
      </c>
      <c r="CA888" s="476" t="s">
        <v>1188</v>
      </c>
      <c r="CB888" s="476" t="s">
        <v>1188</v>
      </c>
      <c r="CC888" s="476" t="s">
        <v>1188</v>
      </c>
      <c r="CD888" s="476" t="s">
        <v>1188</v>
      </c>
      <c r="CE888" s="476" t="s">
        <v>1187</v>
      </c>
      <c r="CF888" s="476" t="s">
        <v>1187</v>
      </c>
      <c r="CG888" s="476" t="s">
        <v>1187</v>
      </c>
      <c r="CH888" s="476" t="s">
        <v>1187</v>
      </c>
      <c r="CI888" s="476" t="s">
        <v>1187</v>
      </c>
      <c r="CJ888" s="476" t="s">
        <v>1187</v>
      </c>
      <c r="CK888" s="476" t="s">
        <v>1187</v>
      </c>
      <c r="CL888" s="476" t="s">
        <v>1187</v>
      </c>
      <c r="CM888" s="476" t="str">
        <f>IF(VLOOKUP(BS888,'Données par municipalité'!$B$6:$E$1113,4,FALSE)="","non","oui")</f>
        <v>non</v>
      </c>
      <c r="CN888" s="410" t="s">
        <v>1124</v>
      </c>
      <c r="CO888" s="410" t="s">
        <v>1124</v>
      </c>
      <c r="CP888" s="410"/>
      <c r="CQ888" s="410"/>
      <c r="CR888" s="410"/>
      <c r="CS888" s="410" t="s">
        <v>1124</v>
      </c>
      <c r="CT888" s="410"/>
      <c r="CU888" s="410" t="s">
        <v>1124</v>
      </c>
      <c r="CV888" s="410" t="str">
        <f>IF(VLOOKUP(BS888,'Données par municipalité'!$B$6:$F$1113,4,FALSE)="","",VLOOKUP(BS888,'Données par municipalité'!$B$6:$F$1113,4,FALSE))</f>
        <v/>
      </c>
      <c r="CW888" s="476" t="s">
        <v>4723</v>
      </c>
      <c r="CX888" s="483" t="s">
        <v>1124</v>
      </c>
      <c r="CY888" s="483" t="s">
        <v>1124</v>
      </c>
      <c r="CZ888" s="483" t="s">
        <v>1124</v>
      </c>
      <c r="DA888" s="483" t="s">
        <v>1124</v>
      </c>
      <c r="DB888" s="483" t="s">
        <v>1124</v>
      </c>
      <c r="DC888" s="483" t="s">
        <v>1124</v>
      </c>
      <c r="DD888" s="483" t="s">
        <v>1124</v>
      </c>
      <c r="DE888" s="483" t="str">
        <f>IFERROR(SUM(VLOOKUP($BS888,'État &amp; Plan d''action'!$B$6:$Z$1113,18,FALSE),VLOOKUP($BS888,'État &amp; Plan d''action'!$B$6:$Z$1113,20,FALSE))/(VLOOKUP($BS888,'Données par municipalité'!$B$4:$L$1113,11,FALSE)),"")</f>
        <v/>
      </c>
      <c r="DF888" s="483" t="str">
        <f>IFERROR(SUM(VLOOKUP($BS888,'État &amp; Plan d''action'!$B$6:$Z$1113,19,FALSE),VLOOKUP($BS888,'État &amp; Plan d''action'!$B$6:$Z$1113,21,FALSE))/(VLOOKUP($BS888,'Données par municipalité'!$B$4:$L$1113,11,FALSE)),"")</f>
        <v/>
      </c>
      <c r="DG888" s="476" t="s">
        <v>4723</v>
      </c>
      <c r="DH888" s="484" t="s">
        <v>1124</v>
      </c>
      <c r="DI888" s="484" t="s">
        <v>1124</v>
      </c>
      <c r="DJ888" s="484">
        <v>0</v>
      </c>
      <c r="DK888" s="484">
        <v>0</v>
      </c>
      <c r="DL888" s="484" t="s">
        <v>1124</v>
      </c>
      <c r="DM888" s="484" t="s">
        <v>1124</v>
      </c>
      <c r="DN888" s="484" t="s">
        <v>1124</v>
      </c>
      <c r="DO888" s="484" t="s">
        <v>1124</v>
      </c>
      <c r="DP888" s="484" t="s">
        <v>1124</v>
      </c>
      <c r="DQ888" s="484" t="str">
        <f>IF(VLOOKUP($BS888,'État &amp; Plan d''action'!$B$6:$AJ$1113,28,FALSE)="","",VLOOKUP($BS888,'État &amp; Plan d''action'!$B$6:$AJ$1113,28,FALSE))</f>
        <v/>
      </c>
      <c r="DR888" s="70" t="str">
        <f>IF(VLOOKUP($BS888,'État &amp; Plan d''action'!$B$6:$AJ$1113,29,FALSE)="","",VLOOKUP($BS888,'État &amp; Plan d''action'!$B$6:$AJ$1113,29,FALSE))</f>
        <v/>
      </c>
      <c r="DS888" s="70" t="str">
        <f>IF(VLOOKUP($BS888,'État &amp; Plan d''action'!$B$6:$AJ$1113,30,FALSE)="","",VLOOKUP($BS888,'État &amp; Plan d''action'!$B$6:$AJ$1113,30,FALSE))</f>
        <v/>
      </c>
      <c r="DT888" s="70" t="s">
        <v>1124</v>
      </c>
      <c r="DU888" s="485" t="s">
        <v>1124</v>
      </c>
      <c r="DV888" s="485" t="s">
        <v>1124</v>
      </c>
      <c r="DW888" s="70" t="s">
        <v>1124</v>
      </c>
      <c r="DX888" s="70" t="s">
        <v>1124</v>
      </c>
      <c r="DY888" s="70" t="s">
        <v>1124</v>
      </c>
      <c r="DZ888" s="70" t="str">
        <f>VLOOKUP($BS888,'État &amp; Plan d''action'!$B$6:$AH$1113,31,FALSE)</f>
        <v/>
      </c>
      <c r="EA888" s="70" t="str">
        <f>VLOOKUP($BS888,'État &amp; Plan d''action'!$B$6:$AH$1113,32,FALSE)</f>
        <v/>
      </c>
      <c r="EB888" s="70" t="str">
        <f>VLOOKUP($BS888,'État &amp; Plan d''action'!$B$6:$AH$1113,33,FALSE)</f>
        <v/>
      </c>
      <c r="EC888" s="70" t="s">
        <v>1124</v>
      </c>
      <c r="ED888" s="70" t="s">
        <v>1124</v>
      </c>
      <c r="EE888" s="70" t="s">
        <v>1124</v>
      </c>
      <c r="EF888" s="70" t="s">
        <v>1124</v>
      </c>
      <c r="EG888" s="70" t="s">
        <v>1124</v>
      </c>
      <c r="EH888" s="72"/>
      <c r="EI888" s="72">
        <v>363</v>
      </c>
    </row>
    <row r="889" spans="71:139" x14ac:dyDescent="0.35">
      <c r="BS889" s="486">
        <v>70035</v>
      </c>
      <c r="BT889" s="479" t="s">
        <v>701</v>
      </c>
      <c r="BU889" s="479">
        <v>16</v>
      </c>
      <c r="BV889" s="476" t="s">
        <v>1188</v>
      </c>
      <c r="BW889" s="476" t="s">
        <v>1188</v>
      </c>
      <c r="BX889" s="476" t="s">
        <v>1188</v>
      </c>
      <c r="BY889" s="476" t="s">
        <v>1188</v>
      </c>
      <c r="BZ889" s="476" t="s">
        <v>1188</v>
      </c>
      <c r="CA889" s="476" t="s">
        <v>1188</v>
      </c>
      <c r="CB889" s="476" t="s">
        <v>1188</v>
      </c>
      <c r="CC889" s="476" t="s">
        <v>1188</v>
      </c>
      <c r="CD889" s="476" t="s">
        <v>1188</v>
      </c>
      <c r="CE889" s="476" t="s">
        <v>1187</v>
      </c>
      <c r="CF889" s="476" t="s">
        <v>1187</v>
      </c>
      <c r="CG889" s="476" t="s">
        <v>1187</v>
      </c>
      <c r="CH889" s="476" t="s">
        <v>1187</v>
      </c>
      <c r="CI889" s="476" t="s">
        <v>1187</v>
      </c>
      <c r="CJ889" s="476" t="s">
        <v>1187</v>
      </c>
      <c r="CK889" s="476" t="s">
        <v>1187</v>
      </c>
      <c r="CL889" s="476" t="s">
        <v>1187</v>
      </c>
      <c r="CM889" s="476" t="str">
        <f>IF(VLOOKUP(BS889,'Données par municipalité'!$B$6:$E$1113,4,FALSE)="","non","oui")</f>
        <v>non</v>
      </c>
      <c r="CN889" s="410" t="s">
        <v>1124</v>
      </c>
      <c r="CO889" s="410" t="s">
        <v>1124</v>
      </c>
      <c r="CP889" s="410"/>
      <c r="CQ889" s="410"/>
      <c r="CR889" s="410"/>
      <c r="CS889" s="410" t="s">
        <v>1124</v>
      </c>
      <c r="CT889" s="410"/>
      <c r="CU889" s="410" t="s">
        <v>1124</v>
      </c>
      <c r="CV889" s="410" t="str">
        <f>IF(VLOOKUP(BS889,'Données par municipalité'!$B$6:$F$1113,4,FALSE)="","",VLOOKUP(BS889,'Données par municipalité'!$B$6:$F$1113,4,FALSE))</f>
        <v/>
      </c>
      <c r="CW889" s="476" t="s">
        <v>4723</v>
      </c>
      <c r="CX889" s="483" t="s">
        <v>1124</v>
      </c>
      <c r="CY889" s="483" t="s">
        <v>1124</v>
      </c>
      <c r="CZ889" s="483" t="s">
        <v>1124</v>
      </c>
      <c r="DA889" s="483" t="s">
        <v>1124</v>
      </c>
      <c r="DB889" s="483" t="s">
        <v>1124</v>
      </c>
      <c r="DC889" s="483" t="s">
        <v>1124</v>
      </c>
      <c r="DD889" s="483" t="s">
        <v>1124</v>
      </c>
      <c r="DE889" s="483" t="str">
        <f>IFERROR(SUM(VLOOKUP($BS889,'État &amp; Plan d''action'!$B$6:$Z$1113,18,FALSE),VLOOKUP($BS889,'État &amp; Plan d''action'!$B$6:$Z$1113,20,FALSE))/(VLOOKUP($BS889,'Données par municipalité'!$B$4:$L$1113,11,FALSE)),"")</f>
        <v/>
      </c>
      <c r="DF889" s="483" t="str">
        <f>IFERROR(SUM(VLOOKUP($BS889,'État &amp; Plan d''action'!$B$6:$Z$1113,19,FALSE),VLOOKUP($BS889,'État &amp; Plan d''action'!$B$6:$Z$1113,21,FALSE))/(VLOOKUP($BS889,'Données par municipalité'!$B$4:$L$1113,11,FALSE)),"")</f>
        <v/>
      </c>
      <c r="DG889" s="476" t="s">
        <v>4723</v>
      </c>
      <c r="DH889" s="484" t="s">
        <v>1124</v>
      </c>
      <c r="DI889" s="484" t="s">
        <v>1124</v>
      </c>
      <c r="DJ889" s="484">
        <v>0</v>
      </c>
      <c r="DK889" s="484">
        <v>0</v>
      </c>
      <c r="DL889" s="484" t="s">
        <v>1124</v>
      </c>
      <c r="DM889" s="484" t="s">
        <v>1124</v>
      </c>
      <c r="DN889" s="484" t="s">
        <v>1124</v>
      </c>
      <c r="DO889" s="484" t="s">
        <v>1124</v>
      </c>
      <c r="DP889" s="484" t="s">
        <v>1124</v>
      </c>
      <c r="DQ889" s="484" t="str">
        <f>IF(VLOOKUP($BS889,'État &amp; Plan d''action'!$B$6:$AJ$1113,28,FALSE)="","",VLOOKUP($BS889,'État &amp; Plan d''action'!$B$6:$AJ$1113,28,FALSE))</f>
        <v/>
      </c>
      <c r="DR889" s="70" t="str">
        <f>IF(VLOOKUP($BS889,'État &amp; Plan d''action'!$B$6:$AJ$1113,29,FALSE)="","",VLOOKUP($BS889,'État &amp; Plan d''action'!$B$6:$AJ$1113,29,FALSE))</f>
        <v/>
      </c>
      <c r="DS889" s="70" t="str">
        <f>IF(VLOOKUP($BS889,'État &amp; Plan d''action'!$B$6:$AJ$1113,30,FALSE)="","",VLOOKUP($BS889,'État &amp; Plan d''action'!$B$6:$AJ$1113,30,FALSE))</f>
        <v/>
      </c>
      <c r="DT889" s="70" t="s">
        <v>1124</v>
      </c>
      <c r="DU889" s="485" t="s">
        <v>1124</v>
      </c>
      <c r="DV889" s="485" t="s">
        <v>1124</v>
      </c>
      <c r="DW889" s="70" t="s">
        <v>1124</v>
      </c>
      <c r="DX889" s="70" t="s">
        <v>1124</v>
      </c>
      <c r="DY889" s="70" t="s">
        <v>1124</v>
      </c>
      <c r="DZ889" s="70" t="str">
        <f>VLOOKUP($BS889,'État &amp; Plan d''action'!$B$6:$AH$1113,31,FALSE)</f>
        <v/>
      </c>
      <c r="EA889" s="70" t="str">
        <f>VLOOKUP($BS889,'État &amp; Plan d''action'!$B$6:$AH$1113,32,FALSE)</f>
        <v/>
      </c>
      <c r="EB889" s="70" t="str">
        <f>VLOOKUP($BS889,'État &amp; Plan d''action'!$B$6:$AH$1113,33,FALSE)</f>
        <v/>
      </c>
      <c r="EC889" s="70" t="s">
        <v>1124</v>
      </c>
      <c r="ED889" s="70" t="s">
        <v>1124</v>
      </c>
      <c r="EE889" s="70" t="s">
        <v>1124</v>
      </c>
      <c r="EF889" s="70" t="s">
        <v>1124</v>
      </c>
      <c r="EG889" s="70" t="s">
        <v>1124</v>
      </c>
      <c r="EH889" s="72"/>
      <c r="EI889" s="72">
        <v>1602</v>
      </c>
    </row>
    <row r="890" spans="71:139" x14ac:dyDescent="0.35">
      <c r="BS890" s="486">
        <v>21015</v>
      </c>
      <c r="BT890" s="479" t="s">
        <v>146</v>
      </c>
      <c r="BU890" s="479">
        <v>3</v>
      </c>
      <c r="BV890" s="476" t="s">
        <v>1188</v>
      </c>
      <c r="BW890" s="476" t="s">
        <v>1188</v>
      </c>
      <c r="BX890" s="476" t="s">
        <v>1188</v>
      </c>
      <c r="BY890" s="476" t="s">
        <v>1188</v>
      </c>
      <c r="BZ890" s="476" t="s">
        <v>1188</v>
      </c>
      <c r="CA890" s="476" t="s">
        <v>1188</v>
      </c>
      <c r="CB890" s="476" t="s">
        <v>1188</v>
      </c>
      <c r="CC890" s="476" t="s">
        <v>1188</v>
      </c>
      <c r="CD890" s="476" t="s">
        <v>1324</v>
      </c>
      <c r="CE890" s="476" t="s">
        <v>1187</v>
      </c>
      <c r="CF890" s="476" t="s">
        <v>1187</v>
      </c>
      <c r="CG890" s="476" t="s">
        <v>1187</v>
      </c>
      <c r="CH890" s="476" t="s">
        <v>1187</v>
      </c>
      <c r="CI890" s="476" t="s">
        <v>1187</v>
      </c>
      <c r="CJ890" s="476" t="s">
        <v>1187</v>
      </c>
      <c r="CK890" s="476" t="s">
        <v>1187</v>
      </c>
      <c r="CL890" s="476" t="s">
        <v>1187</v>
      </c>
      <c r="CM890" s="476" t="str">
        <f>IF(VLOOKUP(BS890,'Données par municipalité'!$B$6:$E$1113,4,FALSE)="","non","oui")</f>
        <v>non</v>
      </c>
      <c r="CN890" s="410" t="s">
        <v>1124</v>
      </c>
      <c r="CO890" s="410" t="s">
        <v>1124</v>
      </c>
      <c r="CP890" s="410"/>
      <c r="CQ890" s="410"/>
      <c r="CR890" s="410"/>
      <c r="CS890" s="410" t="s">
        <v>1124</v>
      </c>
      <c r="CT890" s="410"/>
      <c r="CU890" s="410" t="s">
        <v>1124</v>
      </c>
      <c r="CV890" s="410" t="str">
        <f>IF(VLOOKUP(BS890,'Données par municipalité'!$B$6:$F$1113,4,FALSE)="","",VLOOKUP(BS890,'Données par municipalité'!$B$6:$F$1113,4,FALSE))</f>
        <v/>
      </c>
      <c r="CW890" s="476" t="s">
        <v>4723</v>
      </c>
      <c r="CX890" s="483" t="s">
        <v>1124</v>
      </c>
      <c r="CY890" s="483" t="s">
        <v>1124</v>
      </c>
      <c r="CZ890" s="483" t="s">
        <v>1124</v>
      </c>
      <c r="DA890" s="483" t="s">
        <v>1124</v>
      </c>
      <c r="DB890" s="483" t="s">
        <v>1124</v>
      </c>
      <c r="DC890" s="483" t="s">
        <v>1124</v>
      </c>
      <c r="DD890" s="483" t="s">
        <v>1124</v>
      </c>
      <c r="DE890" s="483" t="str">
        <f>IFERROR(SUM(VLOOKUP($BS890,'État &amp; Plan d''action'!$B$6:$Z$1113,18,FALSE),VLOOKUP($BS890,'État &amp; Plan d''action'!$B$6:$Z$1113,20,FALSE))/(VLOOKUP($BS890,'Données par municipalité'!$B$4:$L$1113,11,FALSE)),"")</f>
        <v/>
      </c>
      <c r="DF890" s="483" t="str">
        <f>IFERROR(SUM(VLOOKUP($BS890,'État &amp; Plan d''action'!$B$6:$Z$1113,19,FALSE),VLOOKUP($BS890,'État &amp; Plan d''action'!$B$6:$Z$1113,21,FALSE))/(VLOOKUP($BS890,'Données par municipalité'!$B$4:$L$1113,11,FALSE)),"")</f>
        <v/>
      </c>
      <c r="DG890" s="476" t="s">
        <v>4723</v>
      </c>
      <c r="DH890" s="484" t="s">
        <v>1124</v>
      </c>
      <c r="DI890" s="484" t="s">
        <v>1124</v>
      </c>
      <c r="DJ890" s="484">
        <v>0</v>
      </c>
      <c r="DK890" s="484">
        <v>0</v>
      </c>
      <c r="DL890" s="484" t="s">
        <v>1124</v>
      </c>
      <c r="DM890" s="484" t="s">
        <v>1124</v>
      </c>
      <c r="DN890" s="484" t="s">
        <v>1124</v>
      </c>
      <c r="DO890" s="484" t="s">
        <v>1124</v>
      </c>
      <c r="DP890" s="484" t="s">
        <v>1124</v>
      </c>
      <c r="DQ890" s="484" t="str">
        <f>IF(VLOOKUP($BS890,'État &amp; Plan d''action'!$B$6:$AJ$1113,28,FALSE)="","",VLOOKUP($BS890,'État &amp; Plan d''action'!$B$6:$AJ$1113,28,FALSE))</f>
        <v/>
      </c>
      <c r="DR890" s="70" t="str">
        <f>IF(VLOOKUP($BS890,'État &amp; Plan d''action'!$B$6:$AJ$1113,29,FALSE)="","",VLOOKUP($BS890,'État &amp; Plan d''action'!$B$6:$AJ$1113,29,FALSE))</f>
        <v/>
      </c>
      <c r="DS890" s="70" t="str">
        <f>IF(VLOOKUP($BS890,'État &amp; Plan d''action'!$B$6:$AJ$1113,30,FALSE)="","",VLOOKUP($BS890,'État &amp; Plan d''action'!$B$6:$AJ$1113,30,FALSE))</f>
        <v/>
      </c>
      <c r="DT890" s="70" t="s">
        <v>1124</v>
      </c>
      <c r="DU890" s="485" t="s">
        <v>1124</v>
      </c>
      <c r="DV890" s="485" t="s">
        <v>1124</v>
      </c>
      <c r="DW890" s="70" t="s">
        <v>1124</v>
      </c>
      <c r="DX890" s="70" t="s">
        <v>1124</v>
      </c>
      <c r="DY890" s="70" t="s">
        <v>1124</v>
      </c>
      <c r="DZ890" s="70" t="str">
        <f>VLOOKUP($BS890,'État &amp; Plan d''action'!$B$6:$AH$1113,31,FALSE)</f>
        <v/>
      </c>
      <c r="EA890" s="70" t="str">
        <f>VLOOKUP($BS890,'État &amp; Plan d''action'!$B$6:$AH$1113,32,FALSE)</f>
        <v/>
      </c>
      <c r="EB890" s="70" t="str">
        <f>VLOOKUP($BS890,'État &amp; Plan d''action'!$B$6:$AH$1113,33,FALSE)</f>
        <v/>
      </c>
      <c r="EC890" s="70" t="s">
        <v>1124</v>
      </c>
      <c r="ED890" s="70" t="s">
        <v>1124</v>
      </c>
      <c r="EE890" s="70" t="s">
        <v>1124</v>
      </c>
      <c r="EF890" s="70" t="s">
        <v>1124</v>
      </c>
      <c r="EG890" s="70" t="s">
        <v>1124</v>
      </c>
      <c r="EH890" s="72"/>
      <c r="EI890" s="72">
        <v>5</v>
      </c>
    </row>
    <row r="891" spans="71:139" x14ac:dyDescent="0.35">
      <c r="BS891" s="486">
        <v>13080</v>
      </c>
      <c r="BT891" s="479" t="s">
        <v>55</v>
      </c>
      <c r="BU891" s="479">
        <v>1</v>
      </c>
      <c r="BV891" s="476" t="s">
        <v>1188</v>
      </c>
      <c r="BW891" s="476" t="s">
        <v>1188</v>
      </c>
      <c r="BX891" s="476" t="s">
        <v>1188</v>
      </c>
      <c r="BY891" s="476" t="s">
        <v>1188</v>
      </c>
      <c r="BZ891" s="476" t="s">
        <v>1188</v>
      </c>
      <c r="CA891" s="476" t="s">
        <v>1188</v>
      </c>
      <c r="CB891" s="476" t="s">
        <v>1188</v>
      </c>
      <c r="CC891" s="476" t="s">
        <v>1188</v>
      </c>
      <c r="CD891" s="476" t="s">
        <v>1188</v>
      </c>
      <c r="CE891" s="476" t="s">
        <v>1187</v>
      </c>
      <c r="CF891" s="476" t="s">
        <v>1187</v>
      </c>
      <c r="CG891" s="476" t="s">
        <v>1187</v>
      </c>
      <c r="CH891" s="476" t="s">
        <v>1187</v>
      </c>
      <c r="CI891" s="476" t="s">
        <v>1187</v>
      </c>
      <c r="CJ891" s="476" t="s">
        <v>1187</v>
      </c>
      <c r="CK891" s="476" t="s">
        <v>1187</v>
      </c>
      <c r="CL891" s="476" t="s">
        <v>1187</v>
      </c>
      <c r="CM891" s="476" t="str">
        <f>IF(VLOOKUP(BS891,'Données par municipalité'!$B$6:$E$1113,4,FALSE)="","non","oui")</f>
        <v>non</v>
      </c>
      <c r="CN891" s="410" t="s">
        <v>1124</v>
      </c>
      <c r="CO891" s="410" t="s">
        <v>1124</v>
      </c>
      <c r="CP891" s="410"/>
      <c r="CQ891" s="410"/>
      <c r="CR891" s="410"/>
      <c r="CS891" s="410" t="s">
        <v>1124</v>
      </c>
      <c r="CT891" s="410"/>
      <c r="CU891" s="410" t="s">
        <v>1124</v>
      </c>
      <c r="CV891" s="410" t="str">
        <f>IF(VLOOKUP(BS891,'Données par municipalité'!$B$6:$F$1113,4,FALSE)="","",VLOOKUP(BS891,'Données par municipalité'!$B$6:$F$1113,4,FALSE))</f>
        <v/>
      </c>
      <c r="CW891" s="476" t="s">
        <v>4723</v>
      </c>
      <c r="CX891" s="483" t="s">
        <v>1124</v>
      </c>
      <c r="CY891" s="483" t="s">
        <v>1124</v>
      </c>
      <c r="CZ891" s="483" t="s">
        <v>1124</v>
      </c>
      <c r="DA891" s="483" t="s">
        <v>1124</v>
      </c>
      <c r="DB891" s="483" t="s">
        <v>1124</v>
      </c>
      <c r="DC891" s="483" t="s">
        <v>1124</v>
      </c>
      <c r="DD891" s="483" t="s">
        <v>1124</v>
      </c>
      <c r="DE891" s="483" t="str">
        <f>IFERROR(SUM(VLOOKUP($BS891,'État &amp; Plan d''action'!$B$6:$Z$1113,18,FALSE),VLOOKUP($BS891,'État &amp; Plan d''action'!$B$6:$Z$1113,20,FALSE))/(VLOOKUP($BS891,'Données par municipalité'!$B$4:$L$1113,11,FALSE)),"")</f>
        <v/>
      </c>
      <c r="DF891" s="483" t="str">
        <f>IFERROR(SUM(VLOOKUP($BS891,'État &amp; Plan d''action'!$B$6:$Z$1113,19,FALSE),VLOOKUP($BS891,'État &amp; Plan d''action'!$B$6:$Z$1113,21,FALSE))/(VLOOKUP($BS891,'Données par municipalité'!$B$4:$L$1113,11,FALSE)),"")</f>
        <v/>
      </c>
      <c r="DG891" s="476" t="s">
        <v>4723</v>
      </c>
      <c r="DH891" s="484" t="s">
        <v>1124</v>
      </c>
      <c r="DI891" s="484" t="s">
        <v>1124</v>
      </c>
      <c r="DJ891" s="484">
        <v>0</v>
      </c>
      <c r="DK891" s="484">
        <v>0</v>
      </c>
      <c r="DL891" s="484" t="s">
        <v>1124</v>
      </c>
      <c r="DM891" s="484" t="s">
        <v>1124</v>
      </c>
      <c r="DN891" s="484" t="s">
        <v>1124</v>
      </c>
      <c r="DO891" s="484" t="s">
        <v>1124</v>
      </c>
      <c r="DP891" s="484" t="s">
        <v>1124</v>
      </c>
      <c r="DQ891" s="484" t="str">
        <f>IF(VLOOKUP($BS891,'État &amp; Plan d''action'!$B$6:$AJ$1113,28,FALSE)="","",VLOOKUP($BS891,'État &amp; Plan d''action'!$B$6:$AJ$1113,28,FALSE))</f>
        <v/>
      </c>
      <c r="DR891" s="70" t="str">
        <f>IF(VLOOKUP($BS891,'État &amp; Plan d''action'!$B$6:$AJ$1113,29,FALSE)="","",VLOOKUP($BS891,'État &amp; Plan d''action'!$B$6:$AJ$1113,29,FALSE))</f>
        <v/>
      </c>
      <c r="DS891" s="70" t="str">
        <f>IF(VLOOKUP($BS891,'État &amp; Plan d''action'!$B$6:$AJ$1113,30,FALSE)="","",VLOOKUP($BS891,'État &amp; Plan d''action'!$B$6:$AJ$1113,30,FALSE))</f>
        <v/>
      </c>
      <c r="DT891" s="70" t="s">
        <v>1124</v>
      </c>
      <c r="DU891" s="485" t="s">
        <v>1124</v>
      </c>
      <c r="DV891" s="485" t="s">
        <v>1124</v>
      </c>
      <c r="DW891" s="70" t="s">
        <v>1124</v>
      </c>
      <c r="DX891" s="70" t="s">
        <v>1124</v>
      </c>
      <c r="DY891" s="70" t="s">
        <v>1124</v>
      </c>
      <c r="DZ891" s="70" t="str">
        <f>VLOOKUP($BS891,'État &amp; Plan d''action'!$B$6:$AH$1113,31,FALSE)</f>
        <v/>
      </c>
      <c r="EA891" s="70" t="str">
        <f>VLOOKUP($BS891,'État &amp; Plan d''action'!$B$6:$AH$1113,32,FALSE)</f>
        <v/>
      </c>
      <c r="EB891" s="70" t="str">
        <f>VLOOKUP($BS891,'État &amp; Plan d''action'!$B$6:$AH$1113,33,FALSE)</f>
        <v/>
      </c>
      <c r="EC891" s="70" t="s">
        <v>1124</v>
      </c>
      <c r="ED891" s="70" t="s">
        <v>1124</v>
      </c>
      <c r="EE891" s="70" t="s">
        <v>1124</v>
      </c>
      <c r="EF891" s="70" t="s">
        <v>1124</v>
      </c>
      <c r="EG891" s="70" t="s">
        <v>1124</v>
      </c>
      <c r="EH891" s="72"/>
      <c r="EI891" s="72">
        <v>1263</v>
      </c>
    </row>
    <row r="892" spans="71:139" x14ac:dyDescent="0.35">
      <c r="BS892" s="486">
        <v>28060</v>
      </c>
      <c r="BT892" s="479" t="s">
        <v>197</v>
      </c>
      <c r="BU892" s="479">
        <v>12</v>
      </c>
      <c r="BV892" s="476" t="s">
        <v>1187</v>
      </c>
      <c r="BW892" s="476" t="s">
        <v>1187</v>
      </c>
      <c r="BX892" s="476" t="s">
        <v>1187</v>
      </c>
      <c r="BY892" s="476" t="s">
        <v>1187</v>
      </c>
      <c r="BZ892" s="476" t="s">
        <v>1187</v>
      </c>
      <c r="CA892" s="476" t="s">
        <v>1187</v>
      </c>
      <c r="CB892" s="476" t="s">
        <v>1187</v>
      </c>
      <c r="CC892" s="476" t="s">
        <v>1187</v>
      </c>
      <c r="CD892" s="476" t="s">
        <v>1187</v>
      </c>
      <c r="CE892" s="476" t="s">
        <v>1188</v>
      </c>
      <c r="CF892" s="476" t="s">
        <v>1188</v>
      </c>
      <c r="CG892" s="476" t="s">
        <v>1188</v>
      </c>
      <c r="CH892" s="476" t="s">
        <v>1188</v>
      </c>
      <c r="CI892" s="476" t="s">
        <v>1188</v>
      </c>
      <c r="CJ892" s="476" t="s">
        <v>1188</v>
      </c>
      <c r="CK892" s="476" t="s">
        <v>1188</v>
      </c>
      <c r="CL892" s="476" t="s">
        <v>1188</v>
      </c>
      <c r="CM892" s="476" t="str">
        <f>IF(VLOOKUP(BS892,'Données par municipalité'!$B$6:$E$1113,4,FALSE)="","non","oui")</f>
        <v>oui</v>
      </c>
      <c r="CN892" s="410">
        <v>319.55197047078099</v>
      </c>
      <c r="CO892" s="410">
        <v>318.67887765528712</v>
      </c>
      <c r="CP892" s="410">
        <v>337.41338102723682</v>
      </c>
      <c r="CQ892" s="410">
        <v>328.20450097847362</v>
      </c>
      <c r="CR892" s="410">
        <v>332.30185909980435</v>
      </c>
      <c r="CS892" s="410">
        <v>344.28432927904106</v>
      </c>
      <c r="CT892" s="410">
        <v>358.55059655324794</v>
      </c>
      <c r="CU892" s="410">
        <v>235</v>
      </c>
      <c r="CV892" s="410">
        <f>IF(VLOOKUP(BS892,'Données par municipalité'!$B$6:$F$1113,4,FALSE)="","",VLOOKUP(BS892,'Données par municipalité'!$B$6:$F$1113,4,FALSE))</f>
        <v>260</v>
      </c>
      <c r="CW892" s="476" t="s">
        <v>4723</v>
      </c>
      <c r="CX892" s="483">
        <v>0</v>
      </c>
      <c r="CY892" s="483">
        <v>0</v>
      </c>
      <c r="CZ892" s="483">
        <v>0</v>
      </c>
      <c r="DA892" s="483">
        <v>0</v>
      </c>
      <c r="DB892" s="483">
        <v>0</v>
      </c>
      <c r="DC892" s="483">
        <v>0</v>
      </c>
      <c r="DD892" s="483">
        <v>0</v>
      </c>
      <c r="DE892" s="483">
        <f>IFERROR(SUM(VLOOKUP($BS892,'État &amp; Plan d''action'!$B$6:$Z$1113,18,FALSE),VLOOKUP($BS892,'État &amp; Plan d''action'!$B$6:$Z$1113,20,FALSE))/(VLOOKUP($BS892,'Données par municipalité'!$B$4:$L$1113,11,FALSE)),"")</f>
        <v>0</v>
      </c>
      <c r="DF892" s="483">
        <f>IFERROR(SUM(VLOOKUP($BS892,'État &amp; Plan d''action'!$B$6:$Z$1113,19,FALSE),VLOOKUP($BS892,'État &amp; Plan d''action'!$B$6:$Z$1113,21,FALSE))/(VLOOKUP($BS892,'Données par municipalité'!$B$4:$L$1113,11,FALSE)),"")</f>
        <v>0</v>
      </c>
      <c r="DG892" s="476" t="s">
        <v>4723</v>
      </c>
      <c r="DH892" s="484">
        <v>0</v>
      </c>
      <c r="DI892" s="484">
        <v>0</v>
      </c>
      <c r="DJ892" s="484">
        <v>0</v>
      </c>
      <c r="DK892" s="484">
        <v>0</v>
      </c>
      <c r="DL892" s="484">
        <v>0</v>
      </c>
      <c r="DM892" s="484">
        <v>0</v>
      </c>
      <c r="DN892" s="484">
        <v>0</v>
      </c>
      <c r="DO892" s="484">
        <v>0</v>
      </c>
      <c r="DP892" s="484">
        <v>0</v>
      </c>
      <c r="DQ892" s="484">
        <f>IF(VLOOKUP($BS892,'État &amp; Plan d''action'!$B$6:$AJ$1113,28,FALSE)="","",VLOOKUP($BS892,'État &amp; Plan d''action'!$B$6:$AJ$1113,28,FALSE))</f>
        <v>1</v>
      </c>
      <c r="DR892" s="70">
        <f>IF(VLOOKUP($BS892,'État &amp; Plan d''action'!$B$6:$AJ$1113,29,FALSE)="","",VLOOKUP($BS892,'État &amp; Plan d''action'!$B$6:$AJ$1113,29,FALSE))</f>
        <v>0</v>
      </c>
      <c r="DS892" s="70">
        <f>IF(VLOOKUP($BS892,'État &amp; Plan d''action'!$B$6:$AJ$1113,30,FALSE)="","",VLOOKUP($BS892,'État &amp; Plan d''action'!$B$6:$AJ$1113,30,FALSE))</f>
        <v>0</v>
      </c>
      <c r="DT892" s="70">
        <v>171</v>
      </c>
      <c r="DU892" s="485">
        <v>2.3958149983374577</v>
      </c>
      <c r="DV892" s="485">
        <v>0.64830465360594824</v>
      </c>
      <c r="DW892" s="70">
        <v>0</v>
      </c>
      <c r="DX892" s="70">
        <v>0</v>
      </c>
      <c r="DY892" s="70">
        <v>0</v>
      </c>
      <c r="DZ892" s="70">
        <f>VLOOKUP($BS892,'État &amp; Plan d''action'!$B$6:$AH$1113,31,FALSE)</f>
        <v>1</v>
      </c>
      <c r="EA892" s="70">
        <f>VLOOKUP($BS892,'État &amp; Plan d''action'!$B$6:$AH$1113,32,FALSE)</f>
        <v>0</v>
      </c>
      <c r="EB892" s="70">
        <f>VLOOKUP($BS892,'État &amp; Plan d''action'!$B$6:$AH$1113,33,FALSE)</f>
        <v>0</v>
      </c>
      <c r="EC892" s="70">
        <v>0</v>
      </c>
      <c r="ED892" s="70">
        <v>0</v>
      </c>
      <c r="EE892" s="70">
        <v>0</v>
      </c>
      <c r="EF892" s="70">
        <v>0</v>
      </c>
      <c r="EG892" s="70">
        <v>0</v>
      </c>
      <c r="EH892" s="72">
        <v>58</v>
      </c>
      <c r="EI892" s="72">
        <v>469</v>
      </c>
    </row>
    <row r="893" spans="71:139" x14ac:dyDescent="0.35">
      <c r="BS893" s="486">
        <v>37225</v>
      </c>
      <c r="BT893" s="479" t="s">
        <v>319</v>
      </c>
      <c r="BU893" s="479">
        <v>4</v>
      </c>
      <c r="BV893" s="476" t="s">
        <v>1187</v>
      </c>
      <c r="BW893" s="476" t="s">
        <v>1187</v>
      </c>
      <c r="BX893" s="476" t="s">
        <v>1187</v>
      </c>
      <c r="BY893" s="476" t="s">
        <v>1187</v>
      </c>
      <c r="BZ893" s="476" t="s">
        <v>1187</v>
      </c>
      <c r="CA893" s="476" t="s">
        <v>1187</v>
      </c>
      <c r="CB893" s="476" t="s">
        <v>1187</v>
      </c>
      <c r="CC893" s="476" t="s">
        <v>1187</v>
      </c>
      <c r="CD893" s="476" t="s">
        <v>1187</v>
      </c>
      <c r="CE893" s="476" t="s">
        <v>1188</v>
      </c>
      <c r="CF893" s="476" t="s">
        <v>1187</v>
      </c>
      <c r="CG893" s="476" t="s">
        <v>1187</v>
      </c>
      <c r="CH893" s="476" t="s">
        <v>1187</v>
      </c>
      <c r="CI893" s="476" t="s">
        <v>1187</v>
      </c>
      <c r="CJ893" s="476" t="s">
        <v>1188</v>
      </c>
      <c r="CK893" s="476" t="s">
        <v>1188</v>
      </c>
      <c r="CL893" s="476" t="s">
        <v>1188</v>
      </c>
      <c r="CM893" s="476" t="str">
        <f>IF(VLOOKUP(BS893,'Données par municipalité'!$B$6:$E$1113,4,FALSE)="","non","oui")</f>
        <v>oui</v>
      </c>
      <c r="CN893" s="410">
        <v>465.3511720428923</v>
      </c>
      <c r="CO893" s="410" t="s">
        <v>1124</v>
      </c>
      <c r="CP893" s="410"/>
      <c r="CQ893" s="410"/>
      <c r="CR893" s="410"/>
      <c r="CS893" s="410">
        <v>315.57614071225368</v>
      </c>
      <c r="CT893" s="410">
        <v>377</v>
      </c>
      <c r="CU893" s="410">
        <v>464</v>
      </c>
      <c r="CV893" s="410">
        <f>IF(VLOOKUP(BS893,'Données par municipalité'!$B$6:$F$1113,4,FALSE)="","",VLOOKUP(BS893,'Données par municipalité'!$B$6:$F$1113,4,FALSE))</f>
        <v>411</v>
      </c>
      <c r="CW893" s="476" t="s">
        <v>4723</v>
      </c>
      <c r="CX893" s="483" t="s">
        <v>1124</v>
      </c>
      <c r="CY893" s="483" t="s">
        <v>1124</v>
      </c>
      <c r="CZ893" s="483" t="s">
        <v>1124</v>
      </c>
      <c r="DA893" s="483" t="s">
        <v>1124</v>
      </c>
      <c r="DB893" s="483">
        <v>0</v>
      </c>
      <c r="DC893" s="483">
        <v>0</v>
      </c>
      <c r="DD893" s="483">
        <v>1.1575257191533976</v>
      </c>
      <c r="DE893" s="483">
        <f>IFERROR(SUM(VLOOKUP($BS893,'État &amp; Plan d''action'!$B$6:$Z$1113,18,FALSE),VLOOKUP($BS893,'État &amp; Plan d''action'!$B$6:$Z$1113,20,FALSE))/(VLOOKUP($BS893,'Données par municipalité'!$B$4:$L$1113,11,FALSE)),"")</f>
        <v>1</v>
      </c>
      <c r="DF893" s="483">
        <f>IFERROR(SUM(VLOOKUP($BS893,'État &amp; Plan d''action'!$B$6:$Z$1113,19,FALSE),VLOOKUP($BS893,'État &amp; Plan d''action'!$B$6:$Z$1113,21,FALSE))/(VLOOKUP($BS893,'Données par municipalité'!$B$4:$L$1113,11,FALSE)),"")</f>
        <v>0.99705130725378421</v>
      </c>
      <c r="DG893" s="476" t="s">
        <v>4723</v>
      </c>
      <c r="DH893" s="484" t="s">
        <v>1124</v>
      </c>
      <c r="DI893" s="484" t="s">
        <v>1124</v>
      </c>
      <c r="DJ893" s="484">
        <v>0</v>
      </c>
      <c r="DK893" s="484">
        <v>0</v>
      </c>
      <c r="DL893" s="484">
        <v>0</v>
      </c>
      <c r="DM893" s="484">
        <v>2</v>
      </c>
      <c r="DN893" s="484">
        <v>0</v>
      </c>
      <c r="DO893" s="484">
        <v>0</v>
      </c>
      <c r="DP893" s="484">
        <v>0</v>
      </c>
      <c r="DQ893" s="484">
        <f>IF(VLOOKUP($BS893,'État &amp; Plan d''action'!$B$6:$AJ$1113,28,FALSE)="","",VLOOKUP($BS893,'État &amp; Plan d''action'!$B$6:$AJ$1113,28,FALSE))</f>
        <v>0</v>
      </c>
      <c r="DR893" s="70">
        <f>IF(VLOOKUP($BS893,'État &amp; Plan d''action'!$B$6:$AJ$1113,29,FALSE)="","",VLOOKUP($BS893,'État &amp; Plan d''action'!$B$6:$AJ$1113,29,FALSE))</f>
        <v>1</v>
      </c>
      <c r="DS893" s="70">
        <f>IF(VLOOKUP($BS893,'État &amp; Plan d''action'!$B$6:$AJ$1113,30,FALSE)="","",VLOOKUP($BS893,'État &amp; Plan d''action'!$B$6:$AJ$1113,30,FALSE))</f>
        <v>3</v>
      </c>
      <c r="DT893" s="70">
        <v>217</v>
      </c>
      <c r="DU893" s="485">
        <v>0.91893857924145139</v>
      </c>
      <c r="DV893" s="485">
        <v>0.8</v>
      </c>
      <c r="DW893" s="70">
        <v>0</v>
      </c>
      <c r="DX893" s="70">
        <v>0</v>
      </c>
      <c r="DY893" s="70">
        <v>0</v>
      </c>
      <c r="DZ893" s="70">
        <f>VLOOKUP($BS893,'État &amp; Plan d''action'!$B$6:$AH$1113,31,FALSE)</f>
        <v>0</v>
      </c>
      <c r="EA893" s="70">
        <f>VLOOKUP($BS893,'État &amp; Plan d''action'!$B$6:$AH$1113,32,FALSE)</f>
        <v>1</v>
      </c>
      <c r="EB893" s="70">
        <f>VLOOKUP($BS893,'État &amp; Plan d''action'!$B$6:$AH$1113,33,FALSE)</f>
        <v>2</v>
      </c>
      <c r="EC893" s="70">
        <v>0</v>
      </c>
      <c r="ED893" s="70">
        <v>17.664999999999999</v>
      </c>
      <c r="EE893" s="70">
        <v>0</v>
      </c>
      <c r="EF893" s="70">
        <v>0</v>
      </c>
      <c r="EG893" s="70">
        <v>0</v>
      </c>
      <c r="EH893" s="72">
        <v>62</v>
      </c>
      <c r="EI893" s="72">
        <v>544</v>
      </c>
    </row>
    <row r="894" spans="71:139" x14ac:dyDescent="0.35">
      <c r="BS894" s="486">
        <v>49030</v>
      </c>
      <c r="BT894" s="479" t="s">
        <v>468</v>
      </c>
      <c r="BU894" s="479">
        <v>17</v>
      </c>
      <c r="BV894" s="476" t="s">
        <v>1188</v>
      </c>
      <c r="BW894" s="476" t="s">
        <v>1188</v>
      </c>
      <c r="BX894" s="476" t="s">
        <v>1188</v>
      </c>
      <c r="BY894" s="476" t="s">
        <v>1188</v>
      </c>
      <c r="BZ894" s="476" t="s">
        <v>1188</v>
      </c>
      <c r="CA894" s="476" t="s">
        <v>1188</v>
      </c>
      <c r="CB894" s="476" t="s">
        <v>1188</v>
      </c>
      <c r="CC894" s="476" t="s">
        <v>1188</v>
      </c>
      <c r="CD894" s="476" t="s">
        <v>1324</v>
      </c>
      <c r="CE894" s="476" t="s">
        <v>1187</v>
      </c>
      <c r="CF894" s="476" t="s">
        <v>1187</v>
      </c>
      <c r="CG894" s="476" t="s">
        <v>1187</v>
      </c>
      <c r="CH894" s="476" t="s">
        <v>1187</v>
      </c>
      <c r="CI894" s="476" t="s">
        <v>1187</v>
      </c>
      <c r="CJ894" s="476" t="s">
        <v>1187</v>
      </c>
      <c r="CK894" s="476" t="s">
        <v>1187</v>
      </c>
      <c r="CL894" s="476" t="s">
        <v>1187</v>
      </c>
      <c r="CM894" s="476" t="str">
        <f>IF(VLOOKUP(BS894,'Données par municipalité'!$B$6:$E$1113,4,FALSE)="","non","oui")</f>
        <v>non</v>
      </c>
      <c r="CN894" s="410" t="s">
        <v>1124</v>
      </c>
      <c r="CO894" s="410" t="s">
        <v>1124</v>
      </c>
      <c r="CP894" s="410"/>
      <c r="CQ894" s="410"/>
      <c r="CR894" s="410"/>
      <c r="CS894" s="410" t="s">
        <v>1124</v>
      </c>
      <c r="CT894" s="410"/>
      <c r="CU894" s="410" t="s">
        <v>1124</v>
      </c>
      <c r="CV894" s="410" t="str">
        <f>IF(VLOOKUP(BS894,'Données par municipalité'!$B$6:$F$1113,4,FALSE)="","",VLOOKUP(BS894,'Données par municipalité'!$B$6:$F$1113,4,FALSE))</f>
        <v/>
      </c>
      <c r="CW894" s="476" t="s">
        <v>4723</v>
      </c>
      <c r="CX894" s="483" t="s">
        <v>1124</v>
      </c>
      <c r="CY894" s="483" t="s">
        <v>1124</v>
      </c>
      <c r="CZ894" s="483" t="s">
        <v>1124</v>
      </c>
      <c r="DA894" s="483" t="s">
        <v>1124</v>
      </c>
      <c r="DB894" s="483" t="s">
        <v>1124</v>
      </c>
      <c r="DC894" s="483" t="s">
        <v>1124</v>
      </c>
      <c r="DD894" s="483" t="s">
        <v>1124</v>
      </c>
      <c r="DE894" s="483" t="str">
        <f>IFERROR(SUM(VLOOKUP($BS894,'État &amp; Plan d''action'!$B$6:$Z$1113,18,FALSE),VLOOKUP($BS894,'État &amp; Plan d''action'!$B$6:$Z$1113,20,FALSE))/(VLOOKUP($BS894,'Données par municipalité'!$B$4:$L$1113,11,FALSE)),"")</f>
        <v/>
      </c>
      <c r="DF894" s="483" t="str">
        <f>IFERROR(SUM(VLOOKUP($BS894,'État &amp; Plan d''action'!$B$6:$Z$1113,19,FALSE),VLOOKUP($BS894,'État &amp; Plan d''action'!$B$6:$Z$1113,21,FALSE))/(VLOOKUP($BS894,'Données par municipalité'!$B$4:$L$1113,11,FALSE)),"")</f>
        <v/>
      </c>
      <c r="DG894" s="476" t="s">
        <v>4723</v>
      </c>
      <c r="DH894" s="484" t="s">
        <v>1124</v>
      </c>
      <c r="DI894" s="484" t="s">
        <v>1124</v>
      </c>
      <c r="DJ894" s="484">
        <v>0</v>
      </c>
      <c r="DK894" s="484">
        <v>0</v>
      </c>
      <c r="DL894" s="484" t="s">
        <v>1124</v>
      </c>
      <c r="DM894" s="484" t="s">
        <v>1124</v>
      </c>
      <c r="DN894" s="484" t="s">
        <v>1124</v>
      </c>
      <c r="DO894" s="484" t="s">
        <v>1124</v>
      </c>
      <c r="DP894" s="484" t="s">
        <v>1124</v>
      </c>
      <c r="DQ894" s="484" t="str">
        <f>IF(VLOOKUP($BS894,'État &amp; Plan d''action'!$B$6:$AJ$1113,28,FALSE)="","",VLOOKUP($BS894,'État &amp; Plan d''action'!$B$6:$AJ$1113,28,FALSE))</f>
        <v/>
      </c>
      <c r="DR894" s="70" t="str">
        <f>IF(VLOOKUP($BS894,'État &amp; Plan d''action'!$B$6:$AJ$1113,29,FALSE)="","",VLOOKUP($BS894,'État &amp; Plan d''action'!$B$6:$AJ$1113,29,FALSE))</f>
        <v/>
      </c>
      <c r="DS894" s="70" t="str">
        <f>IF(VLOOKUP($BS894,'État &amp; Plan d''action'!$B$6:$AJ$1113,30,FALSE)="","",VLOOKUP($BS894,'État &amp; Plan d''action'!$B$6:$AJ$1113,30,FALSE))</f>
        <v/>
      </c>
      <c r="DT894" s="70" t="s">
        <v>1124</v>
      </c>
      <c r="DU894" s="485" t="s">
        <v>1124</v>
      </c>
      <c r="DV894" s="485" t="s">
        <v>1124</v>
      </c>
      <c r="DW894" s="70" t="s">
        <v>1124</v>
      </c>
      <c r="DX894" s="70" t="s">
        <v>1124</v>
      </c>
      <c r="DY894" s="70" t="s">
        <v>1124</v>
      </c>
      <c r="DZ894" s="70" t="str">
        <f>VLOOKUP($BS894,'État &amp; Plan d''action'!$B$6:$AH$1113,31,FALSE)</f>
        <v/>
      </c>
      <c r="EA894" s="70" t="str">
        <f>VLOOKUP($BS894,'État &amp; Plan d''action'!$B$6:$AH$1113,32,FALSE)</f>
        <v/>
      </c>
      <c r="EB894" s="70" t="str">
        <f>VLOOKUP($BS894,'État &amp; Plan d''action'!$B$6:$AH$1113,33,FALSE)</f>
        <v/>
      </c>
      <c r="EC894" s="70" t="s">
        <v>1124</v>
      </c>
      <c r="ED894" s="70" t="s">
        <v>1124</v>
      </c>
      <c r="EE894" s="70" t="s">
        <v>1124</v>
      </c>
      <c r="EF894" s="70" t="s">
        <v>1124</v>
      </c>
      <c r="EG894" s="70" t="s">
        <v>1124</v>
      </c>
      <c r="EH894" s="72"/>
      <c r="EI894" s="72">
        <v>1726</v>
      </c>
    </row>
    <row r="895" spans="71:139" x14ac:dyDescent="0.35">
      <c r="BS895" s="486">
        <v>30072</v>
      </c>
      <c r="BT895" s="479" t="s">
        <v>229</v>
      </c>
      <c r="BU895" s="479">
        <v>5</v>
      </c>
      <c r="BV895" s="476" t="s">
        <v>1187</v>
      </c>
      <c r="BW895" s="476" t="s">
        <v>1187</v>
      </c>
      <c r="BX895" s="476" t="s">
        <v>1187</v>
      </c>
      <c r="BY895" s="476" t="s">
        <v>1187</v>
      </c>
      <c r="BZ895" s="476" t="s">
        <v>1187</v>
      </c>
      <c r="CA895" s="476" t="s">
        <v>1187</v>
      </c>
      <c r="CB895" s="476" t="s">
        <v>1187</v>
      </c>
      <c r="CC895" s="476" t="s">
        <v>1187</v>
      </c>
      <c r="CD895" s="476" t="s">
        <v>1187</v>
      </c>
      <c r="CE895" s="476" t="s">
        <v>1188</v>
      </c>
      <c r="CF895" s="476" t="s">
        <v>1188</v>
      </c>
      <c r="CG895" s="476" t="s">
        <v>1187</v>
      </c>
      <c r="CH895" s="476" t="s">
        <v>1187</v>
      </c>
      <c r="CI895" s="476" t="s">
        <v>1188</v>
      </c>
      <c r="CJ895" s="476" t="s">
        <v>1187</v>
      </c>
      <c r="CK895" s="476" t="s">
        <v>1188</v>
      </c>
      <c r="CL895" s="476" t="s">
        <v>1187</v>
      </c>
      <c r="CM895" s="476" t="str">
        <f>IF(VLOOKUP(BS895,'Données par municipalité'!$B$6:$E$1113,4,FALSE)="","non","oui")</f>
        <v>oui</v>
      </c>
      <c r="CN895" s="410">
        <v>281.35084829737946</v>
      </c>
      <c r="CO895" s="410">
        <v>239.04983651107528</v>
      </c>
      <c r="CP895" s="410"/>
      <c r="CQ895" s="410"/>
      <c r="CR895" s="410">
        <v>261.02901520871535</v>
      </c>
      <c r="CS895" s="410" t="s">
        <v>1124</v>
      </c>
      <c r="CT895" s="410">
        <v>281.54800287288532</v>
      </c>
      <c r="CU895" s="410" t="s">
        <v>1124</v>
      </c>
      <c r="CV895" s="410">
        <f>IF(VLOOKUP(BS895,'Données par municipalité'!$B$6:$F$1113,4,FALSE)="","",VLOOKUP(BS895,'Données par municipalité'!$B$6:$F$1113,4,FALSE))</f>
        <v>238</v>
      </c>
      <c r="CW895" s="476" t="s">
        <v>4723</v>
      </c>
      <c r="CX895" s="483">
        <v>1</v>
      </c>
      <c r="CY895" s="483" t="s">
        <v>1124</v>
      </c>
      <c r="CZ895" s="483" t="s">
        <v>1124</v>
      </c>
      <c r="DA895" s="483">
        <v>0</v>
      </c>
      <c r="DB895" s="483" t="s">
        <v>1124</v>
      </c>
      <c r="DC895" s="483">
        <v>1</v>
      </c>
      <c r="DD895" s="483" t="s">
        <v>1124</v>
      </c>
      <c r="DE895" s="483">
        <f>IFERROR(SUM(VLOOKUP($BS895,'État &amp; Plan d''action'!$B$6:$Z$1113,18,FALSE),VLOOKUP($BS895,'État &amp; Plan d''action'!$B$6:$Z$1113,20,FALSE))/(VLOOKUP($BS895,'Données par municipalité'!$B$4:$L$1113,11,FALSE)),"")</f>
        <v>1</v>
      </c>
      <c r="DF895" s="483">
        <f>IFERROR(SUM(VLOOKUP($BS895,'État &amp; Plan d''action'!$B$6:$Z$1113,19,FALSE),VLOOKUP($BS895,'État &amp; Plan d''action'!$B$6:$Z$1113,21,FALSE))/(VLOOKUP($BS895,'Données par municipalité'!$B$4:$L$1113,11,FALSE)),"")</f>
        <v>1</v>
      </c>
      <c r="DG895" s="476" t="s">
        <v>4723</v>
      </c>
      <c r="DH895" s="484">
        <v>1</v>
      </c>
      <c r="DI895" s="484" t="s">
        <v>1124</v>
      </c>
      <c r="DJ895" s="484">
        <v>0</v>
      </c>
      <c r="DK895" s="484">
        <v>0</v>
      </c>
      <c r="DL895" s="484" t="s">
        <v>1124</v>
      </c>
      <c r="DM895" s="484">
        <v>2</v>
      </c>
      <c r="DN895" s="484" t="s">
        <v>1124</v>
      </c>
      <c r="DO895" s="484" t="s">
        <v>1124</v>
      </c>
      <c r="DP895" s="484" t="s">
        <v>1124</v>
      </c>
      <c r="DQ895" s="484">
        <f>IF(VLOOKUP($BS895,'État &amp; Plan d''action'!$B$6:$AJ$1113,28,FALSE)="","",VLOOKUP($BS895,'État &amp; Plan d''action'!$B$6:$AJ$1113,28,FALSE))</f>
        <v>2</v>
      </c>
      <c r="DR895" s="70">
        <f>IF(VLOOKUP($BS895,'État &amp; Plan d''action'!$B$6:$AJ$1113,29,FALSE)="","",VLOOKUP($BS895,'État &amp; Plan d''action'!$B$6:$AJ$1113,29,FALSE))</f>
        <v>0</v>
      </c>
      <c r="DS895" s="70">
        <f>IF(VLOOKUP($BS895,'État &amp; Plan d''action'!$B$6:$AJ$1113,30,FALSE)="","",VLOOKUP($BS895,'État &amp; Plan d''action'!$B$6:$AJ$1113,30,FALSE))</f>
        <v>0</v>
      </c>
      <c r="DT895" s="70" t="s">
        <v>1124</v>
      </c>
      <c r="DU895" s="485" t="s">
        <v>1124</v>
      </c>
      <c r="DV895" s="485">
        <v>0.5480847589700325</v>
      </c>
      <c r="DW895" s="70" t="s">
        <v>1124</v>
      </c>
      <c r="DX895" s="70" t="s">
        <v>1124</v>
      </c>
      <c r="DY895" s="70" t="s">
        <v>1124</v>
      </c>
      <c r="DZ895" s="70">
        <f>VLOOKUP($BS895,'État &amp; Plan d''action'!$B$6:$AH$1113,31,FALSE)</f>
        <v>7</v>
      </c>
      <c r="EA895" s="70">
        <f>VLOOKUP($BS895,'État &amp; Plan d''action'!$B$6:$AH$1113,32,FALSE)</f>
        <v>0</v>
      </c>
      <c r="EB895" s="70">
        <f>VLOOKUP($BS895,'État &amp; Plan d''action'!$B$6:$AH$1113,33,FALSE)</f>
        <v>0</v>
      </c>
      <c r="EC895" s="70" t="s">
        <v>1124</v>
      </c>
      <c r="ED895" s="70" t="s">
        <v>1124</v>
      </c>
      <c r="EE895" s="70" t="s">
        <v>1124</v>
      </c>
      <c r="EF895" s="70" t="s">
        <v>1124</v>
      </c>
      <c r="EG895" s="70" t="s">
        <v>1124</v>
      </c>
      <c r="EH895" s="72"/>
      <c r="EI895" s="72">
        <v>1077</v>
      </c>
    </row>
    <row r="896" spans="71:139" x14ac:dyDescent="0.35">
      <c r="BS896" s="486">
        <v>93080</v>
      </c>
      <c r="BT896" s="479" t="s">
        <v>971</v>
      </c>
      <c r="BU896" s="479">
        <v>2</v>
      </c>
      <c r="BV896" s="476" t="s">
        <v>1187</v>
      </c>
      <c r="BW896" s="476" t="s">
        <v>1187</v>
      </c>
      <c r="BX896" s="476" t="s">
        <v>1187</v>
      </c>
      <c r="BY896" s="476" t="s">
        <v>1187</v>
      </c>
      <c r="BZ896" s="476" t="s">
        <v>1187</v>
      </c>
      <c r="CA896" s="476" t="s">
        <v>1187</v>
      </c>
      <c r="CB896" s="476" t="s">
        <v>1187</v>
      </c>
      <c r="CC896" s="476" t="s">
        <v>1187</v>
      </c>
      <c r="CD896" s="476" t="s">
        <v>1187</v>
      </c>
      <c r="CE896" s="476" t="s">
        <v>1188</v>
      </c>
      <c r="CF896" s="476" t="s">
        <v>1188</v>
      </c>
      <c r="CG896" s="476" t="s">
        <v>1188</v>
      </c>
      <c r="CH896" s="476" t="s">
        <v>1188</v>
      </c>
      <c r="CI896" s="476" t="s">
        <v>1188</v>
      </c>
      <c r="CJ896" s="476" t="s">
        <v>1188</v>
      </c>
      <c r="CK896" s="476" t="s">
        <v>1188</v>
      </c>
      <c r="CL896" s="476" t="s">
        <v>1188</v>
      </c>
      <c r="CM896" s="476" t="str">
        <f>IF(VLOOKUP(BS896,'Données par municipalité'!$B$6:$E$1113,4,FALSE)="","non","oui")</f>
        <v>non</v>
      </c>
      <c r="CN896" s="410">
        <v>602.82736578150514</v>
      </c>
      <c r="CO896" s="410">
        <v>468.96076404273128</v>
      </c>
      <c r="CP896" s="410">
        <v>521.33777613229677</v>
      </c>
      <c r="CQ896" s="410">
        <v>598.70684931506844</v>
      </c>
      <c r="CR896" s="410">
        <v>892.39199157007386</v>
      </c>
      <c r="CS896" s="410">
        <v>512.85189119335848</v>
      </c>
      <c r="CT896" s="410">
        <v>413.73577987045707</v>
      </c>
      <c r="CU896" s="410">
        <v>455</v>
      </c>
      <c r="CV896" s="410" t="str">
        <f>IF(VLOOKUP(BS896,'Données par municipalité'!$B$6:$F$1113,4,FALSE)="","",VLOOKUP(BS896,'Données par municipalité'!$B$6:$F$1113,4,FALSE))</f>
        <v/>
      </c>
      <c r="CW896" s="476" t="s">
        <v>4723</v>
      </c>
      <c r="CX896" s="483">
        <v>0</v>
      </c>
      <c r="CY896" s="483">
        <v>0</v>
      </c>
      <c r="CZ896" s="483">
        <v>0.01</v>
      </c>
      <c r="DA896" s="483">
        <v>0</v>
      </c>
      <c r="DB896" s="483">
        <v>0.25</v>
      </c>
      <c r="DC896" s="483">
        <v>0.5</v>
      </c>
      <c r="DD896" s="483">
        <v>0</v>
      </c>
      <c r="DE896" s="483" t="str">
        <f>IFERROR(SUM(VLOOKUP($BS896,'État &amp; Plan d''action'!$B$6:$Z$1113,18,FALSE),VLOOKUP($BS896,'État &amp; Plan d''action'!$B$6:$Z$1113,20,FALSE))/(VLOOKUP($BS896,'Données par municipalité'!$B$4:$L$1113,11,FALSE)),"")</f>
        <v/>
      </c>
      <c r="DF896" s="483" t="str">
        <f>IFERROR(SUM(VLOOKUP($BS896,'État &amp; Plan d''action'!$B$6:$Z$1113,19,FALSE),VLOOKUP($BS896,'État &amp; Plan d''action'!$B$6:$Z$1113,21,FALSE))/(VLOOKUP($BS896,'Données par municipalité'!$B$4:$L$1113,11,FALSE)),"")</f>
        <v/>
      </c>
      <c r="DG896" s="476" t="s">
        <v>4723</v>
      </c>
      <c r="DH896" s="484">
        <v>3</v>
      </c>
      <c r="DI896" s="484">
        <v>3</v>
      </c>
      <c r="DJ896" s="484">
        <v>0</v>
      </c>
      <c r="DK896" s="484">
        <v>2</v>
      </c>
      <c r="DL896" s="484">
        <v>1</v>
      </c>
      <c r="DM896" s="484">
        <v>1</v>
      </c>
      <c r="DN896" s="484">
        <v>0</v>
      </c>
      <c r="DO896" s="484">
        <v>2</v>
      </c>
      <c r="DP896" s="484">
        <v>1</v>
      </c>
      <c r="DQ896" s="484" t="str">
        <f>IF(VLOOKUP($BS896,'État &amp; Plan d''action'!$B$6:$AJ$1113,28,FALSE)="","",VLOOKUP($BS896,'État &amp; Plan d''action'!$B$6:$AJ$1113,28,FALSE))</f>
        <v/>
      </c>
      <c r="DR896" s="70" t="str">
        <f>IF(VLOOKUP($BS896,'État &amp; Plan d''action'!$B$6:$AJ$1113,29,FALSE)="","",VLOOKUP($BS896,'État &amp; Plan d''action'!$B$6:$AJ$1113,29,FALSE))</f>
        <v/>
      </c>
      <c r="DS896" s="70" t="str">
        <f>IF(VLOOKUP($BS896,'État &amp; Plan d''action'!$B$6:$AJ$1113,30,FALSE)="","",VLOOKUP($BS896,'État &amp; Plan d''action'!$B$6:$AJ$1113,30,FALSE))</f>
        <v/>
      </c>
      <c r="DT896" s="70">
        <v>287</v>
      </c>
      <c r="DU896" s="485">
        <v>2.4164611621996372</v>
      </c>
      <c r="DV896" s="485" t="s">
        <v>1124</v>
      </c>
      <c r="DW896" s="70">
        <v>0</v>
      </c>
      <c r="DX896" s="70">
        <v>5</v>
      </c>
      <c r="DY896" s="70">
        <v>5</v>
      </c>
      <c r="DZ896" s="70" t="str">
        <f>VLOOKUP($BS896,'État &amp; Plan d''action'!$B$6:$AH$1113,31,FALSE)</f>
        <v/>
      </c>
      <c r="EA896" s="70" t="str">
        <f>VLOOKUP($BS896,'État &amp; Plan d''action'!$B$6:$AH$1113,32,FALSE)</f>
        <v/>
      </c>
      <c r="EB896" s="70" t="str">
        <f>VLOOKUP($BS896,'État &amp; Plan d''action'!$B$6:$AH$1113,33,FALSE)</f>
        <v/>
      </c>
      <c r="EC896" s="70">
        <v>0</v>
      </c>
      <c r="ED896" s="70">
        <v>0</v>
      </c>
      <c r="EE896" s="70">
        <v>0</v>
      </c>
      <c r="EF896" s="70">
        <v>0</v>
      </c>
      <c r="EG896" s="70">
        <v>0</v>
      </c>
      <c r="EH896" s="72">
        <v>59</v>
      </c>
      <c r="EI896" s="72">
        <v>649</v>
      </c>
    </row>
    <row r="897" spans="71:139" x14ac:dyDescent="0.35">
      <c r="BS897" s="486">
        <v>28075</v>
      </c>
      <c r="BT897" s="479" t="s">
        <v>200</v>
      </c>
      <c r="BU897" s="479">
        <v>12</v>
      </c>
      <c r="BV897" s="476" t="s">
        <v>1187</v>
      </c>
      <c r="BW897" s="476" t="s">
        <v>1187</v>
      </c>
      <c r="BX897" s="476" t="s">
        <v>1187</v>
      </c>
      <c r="BY897" s="476" t="s">
        <v>1187</v>
      </c>
      <c r="BZ897" s="476" t="s">
        <v>1187</v>
      </c>
      <c r="CA897" s="476" t="s">
        <v>1187</v>
      </c>
      <c r="CB897" s="476" t="s">
        <v>1187</v>
      </c>
      <c r="CC897" s="476" t="s">
        <v>1187</v>
      </c>
      <c r="CD897" s="476" t="s">
        <v>1187</v>
      </c>
      <c r="CE897" s="476" t="s">
        <v>1188</v>
      </c>
      <c r="CF897" s="476" t="s">
        <v>1188</v>
      </c>
      <c r="CG897" s="476" t="s">
        <v>1188</v>
      </c>
      <c r="CH897" s="476" t="s">
        <v>1188</v>
      </c>
      <c r="CI897" s="476" t="s">
        <v>1188</v>
      </c>
      <c r="CJ897" s="476" t="s">
        <v>1188</v>
      </c>
      <c r="CK897" s="476" t="s">
        <v>1188</v>
      </c>
      <c r="CL897" s="476" t="s">
        <v>1188</v>
      </c>
      <c r="CM897" s="476" t="str">
        <f>IF(VLOOKUP(BS897,'Données par municipalité'!$B$6:$E$1113,4,FALSE)="","non","oui")</f>
        <v>oui</v>
      </c>
      <c r="CN897" s="410">
        <v>640.11110409696346</v>
      </c>
      <c r="CO897" s="410">
        <v>834.49879773774455</v>
      </c>
      <c r="CP897" s="410">
        <v>518.2959105375046</v>
      </c>
      <c r="CQ897" s="410">
        <v>502.66369279764342</v>
      </c>
      <c r="CR897" s="410">
        <v>480.23086344349758</v>
      </c>
      <c r="CS897" s="410">
        <v>303.15337332727438</v>
      </c>
      <c r="CT897" s="410">
        <v>264.9082426897329</v>
      </c>
      <c r="CU897" s="410">
        <v>275</v>
      </c>
      <c r="CV897" s="410">
        <f>IF(VLOOKUP(BS897,'Données par municipalité'!$B$6:$F$1113,4,FALSE)="","",VLOOKUP(BS897,'Données par municipalité'!$B$6:$F$1113,4,FALSE))</f>
        <v>246</v>
      </c>
      <c r="CW897" s="476" t="s">
        <v>4723</v>
      </c>
      <c r="CX897" s="483">
        <v>0</v>
      </c>
      <c r="CY897" s="483">
        <v>1</v>
      </c>
      <c r="CZ897" s="483">
        <v>0.6</v>
      </c>
      <c r="DA897" s="483">
        <v>1</v>
      </c>
      <c r="DB897" s="483">
        <v>1</v>
      </c>
      <c r="DC897" s="483">
        <v>1</v>
      </c>
      <c r="DD897" s="483">
        <v>1</v>
      </c>
      <c r="DE897" s="483">
        <f>IFERROR(SUM(VLOOKUP($BS897,'État &amp; Plan d''action'!$B$6:$Z$1113,18,FALSE),VLOOKUP($BS897,'État &amp; Plan d''action'!$B$6:$Z$1113,20,FALSE))/(VLOOKUP($BS897,'Données par municipalité'!$B$4:$L$1113,11,FALSE)),"")</f>
        <v>1</v>
      </c>
      <c r="DF897" s="483">
        <f>IFERROR(SUM(VLOOKUP($BS897,'État &amp; Plan d''action'!$B$6:$Z$1113,19,FALSE),VLOOKUP($BS897,'État &amp; Plan d''action'!$B$6:$Z$1113,21,FALSE))/(VLOOKUP($BS897,'Données par municipalité'!$B$4:$L$1113,11,FALSE)),"")</f>
        <v>1</v>
      </c>
      <c r="DG897" s="476" t="s">
        <v>4723</v>
      </c>
      <c r="DH897" s="484">
        <v>1</v>
      </c>
      <c r="DI897" s="484">
        <v>1</v>
      </c>
      <c r="DJ897" s="484">
        <v>1</v>
      </c>
      <c r="DK897" s="484">
        <v>1</v>
      </c>
      <c r="DL897" s="484">
        <v>2</v>
      </c>
      <c r="DM897" s="484">
        <v>1</v>
      </c>
      <c r="DN897" s="484">
        <v>0</v>
      </c>
      <c r="DO897" s="484">
        <v>0</v>
      </c>
      <c r="DP897" s="484">
        <v>2</v>
      </c>
      <c r="DQ897" s="484">
        <f>IF(VLOOKUP($BS897,'État &amp; Plan d''action'!$B$6:$AJ$1113,28,FALSE)="","",VLOOKUP($BS897,'État &amp; Plan d''action'!$B$6:$AJ$1113,28,FALSE))</f>
        <v>0</v>
      </c>
      <c r="DR897" s="70">
        <f>IF(VLOOKUP($BS897,'État &amp; Plan d''action'!$B$6:$AJ$1113,29,FALSE)="","",VLOOKUP($BS897,'État &amp; Plan d''action'!$B$6:$AJ$1113,29,FALSE))</f>
        <v>0</v>
      </c>
      <c r="DS897" s="70">
        <f>IF(VLOOKUP($BS897,'État &amp; Plan d''action'!$B$6:$AJ$1113,30,FALSE)="","",VLOOKUP($BS897,'État &amp; Plan d''action'!$B$6:$AJ$1113,30,FALSE))</f>
        <v>0</v>
      </c>
      <c r="DT897" s="70">
        <v>224</v>
      </c>
      <c r="DU897" s="485">
        <v>0.78750017620316437</v>
      </c>
      <c r="DV897" s="485">
        <v>1.1947502673253718</v>
      </c>
      <c r="DW897" s="70">
        <v>0</v>
      </c>
      <c r="DX897" s="70">
        <v>0</v>
      </c>
      <c r="DY897" s="70">
        <v>3</v>
      </c>
      <c r="DZ897" s="70">
        <f>VLOOKUP($BS897,'État &amp; Plan d''action'!$B$6:$AH$1113,31,FALSE)</f>
        <v>0</v>
      </c>
      <c r="EA897" s="70">
        <f>VLOOKUP($BS897,'État &amp; Plan d''action'!$B$6:$AH$1113,32,FALSE)</f>
        <v>0</v>
      </c>
      <c r="EB897" s="70">
        <f>VLOOKUP($BS897,'État &amp; Plan d''action'!$B$6:$AH$1113,33,FALSE)</f>
        <v>0</v>
      </c>
      <c r="EC897" s="70">
        <v>0</v>
      </c>
      <c r="ED897" s="70">
        <v>0</v>
      </c>
      <c r="EE897" s="70">
        <v>3.7429999999999999</v>
      </c>
      <c r="EF897" s="70">
        <v>0</v>
      </c>
      <c r="EG897" s="70">
        <v>0</v>
      </c>
      <c r="EH897" s="72">
        <v>62</v>
      </c>
      <c r="EI897" s="72">
        <v>643</v>
      </c>
    </row>
    <row r="898" spans="71:139" x14ac:dyDescent="0.35">
      <c r="BS898" s="486">
        <v>49095</v>
      </c>
      <c r="BT898" s="479" t="s">
        <v>476</v>
      </c>
      <c r="BU898" s="479">
        <v>17</v>
      </c>
      <c r="BV898" s="476" t="s">
        <v>1187</v>
      </c>
      <c r="BW898" s="476" t="s">
        <v>1187</v>
      </c>
      <c r="BX898" s="476" t="s">
        <v>1187</v>
      </c>
      <c r="BY898" s="476" t="s">
        <v>1187</v>
      </c>
      <c r="BZ898" s="476" t="s">
        <v>1187</v>
      </c>
      <c r="CA898" s="476" t="s">
        <v>1187</v>
      </c>
      <c r="CB898" s="476" t="s">
        <v>1187</v>
      </c>
      <c r="CC898" s="476" t="s">
        <v>1187</v>
      </c>
      <c r="CD898" s="476" t="s">
        <v>1187</v>
      </c>
      <c r="CE898" s="476" t="s">
        <v>1188</v>
      </c>
      <c r="CF898" s="476" t="s">
        <v>1188</v>
      </c>
      <c r="CG898" s="476" t="s">
        <v>1188</v>
      </c>
      <c r="CH898" s="476" t="s">
        <v>1188</v>
      </c>
      <c r="CI898" s="476" t="s">
        <v>1188</v>
      </c>
      <c r="CJ898" s="476" t="s">
        <v>1188</v>
      </c>
      <c r="CK898" s="476" t="s">
        <v>1188</v>
      </c>
      <c r="CL898" s="476" t="s">
        <v>1188</v>
      </c>
      <c r="CM898" s="476" t="str">
        <f>IF(VLOOKUP(BS898,'Données par municipalité'!$B$6:$E$1113,4,FALSE)="","non","oui")</f>
        <v>oui</v>
      </c>
      <c r="CN898" s="410">
        <v>151.87189457461281</v>
      </c>
      <c r="CO898" s="410">
        <v>266.57883551996008</v>
      </c>
      <c r="CP898" s="410">
        <v>249.01600771404063</v>
      </c>
      <c r="CQ898" s="410">
        <v>192.17223386334689</v>
      </c>
      <c r="CR898" s="410">
        <v>461</v>
      </c>
      <c r="CS898" s="410">
        <v>207.3649390678863</v>
      </c>
      <c r="CT898" s="410">
        <v>460</v>
      </c>
      <c r="CU898" s="410">
        <v>231</v>
      </c>
      <c r="CV898" s="410">
        <f>IF(VLOOKUP(BS898,'Données par municipalité'!$B$6:$F$1113,4,FALSE)="","",VLOOKUP(BS898,'Données par municipalité'!$B$6:$F$1113,4,FALSE))</f>
        <v>149</v>
      </c>
      <c r="CW898" s="476" t="s">
        <v>4723</v>
      </c>
      <c r="CX898" s="483">
        <v>0</v>
      </c>
      <c r="CY898" s="483">
        <v>0</v>
      </c>
      <c r="CZ898" s="483">
        <v>0</v>
      </c>
      <c r="DA898" s="483">
        <v>0</v>
      </c>
      <c r="DB898" s="483">
        <v>1</v>
      </c>
      <c r="DC898" s="483">
        <v>1</v>
      </c>
      <c r="DD898" s="483">
        <v>0</v>
      </c>
      <c r="DE898" s="483">
        <f>IFERROR(SUM(VLOOKUP($BS898,'État &amp; Plan d''action'!$B$6:$Z$1113,18,FALSE),VLOOKUP($BS898,'État &amp; Plan d''action'!$B$6:$Z$1113,20,FALSE))/(VLOOKUP($BS898,'Données par municipalité'!$B$4:$L$1113,11,FALSE)),"")</f>
        <v>0</v>
      </c>
      <c r="DF898" s="483">
        <f>IFERROR(SUM(VLOOKUP($BS898,'État &amp; Plan d''action'!$B$6:$Z$1113,19,FALSE),VLOOKUP($BS898,'État &amp; Plan d''action'!$B$6:$Z$1113,21,FALSE))/(VLOOKUP($BS898,'Données par municipalité'!$B$4:$L$1113,11,FALSE)),"")</f>
        <v>0</v>
      </c>
      <c r="DG898" s="476" t="s">
        <v>4723</v>
      </c>
      <c r="DH898" s="484">
        <v>2</v>
      </c>
      <c r="DI898" s="484">
        <v>0</v>
      </c>
      <c r="DJ898" s="484">
        <v>0</v>
      </c>
      <c r="DK898" s="484">
        <v>0</v>
      </c>
      <c r="DL898" s="484">
        <v>0</v>
      </c>
      <c r="DM898" s="484">
        <v>2</v>
      </c>
      <c r="DN898" s="484">
        <v>2</v>
      </c>
      <c r="DO898" s="484">
        <v>0</v>
      </c>
      <c r="DP898" s="484">
        <v>0</v>
      </c>
      <c r="DQ898" s="484">
        <f>IF(VLOOKUP($BS898,'État &amp; Plan d''action'!$B$6:$AJ$1113,28,FALSE)="","",VLOOKUP($BS898,'État &amp; Plan d''action'!$B$6:$AJ$1113,28,FALSE))</f>
        <v>0</v>
      </c>
      <c r="DR898" s="70">
        <f>IF(VLOOKUP($BS898,'État &amp; Plan d''action'!$B$6:$AJ$1113,29,FALSE)="","",VLOOKUP($BS898,'État &amp; Plan d''action'!$B$6:$AJ$1113,29,FALSE))</f>
        <v>1</v>
      </c>
      <c r="DS898" s="70">
        <f>IF(VLOOKUP($BS898,'État &amp; Plan d''action'!$B$6:$AJ$1113,30,FALSE)="","",VLOOKUP($BS898,'État &amp; Plan d''action'!$B$6:$AJ$1113,30,FALSE))</f>
        <v>0</v>
      </c>
      <c r="DT898" s="70">
        <v>197</v>
      </c>
      <c r="DU898" s="485">
        <v>0.35327931383474426</v>
      </c>
      <c r="DV898" s="485">
        <v>6.0602528344408525E-2</v>
      </c>
      <c r="DW898" s="70">
        <v>2</v>
      </c>
      <c r="DX898" s="70">
        <v>0</v>
      </c>
      <c r="DY898" s="70">
        <v>0</v>
      </c>
      <c r="DZ898" s="70">
        <f>VLOOKUP($BS898,'État &amp; Plan d''action'!$B$6:$AH$1113,31,FALSE)</f>
        <v>0</v>
      </c>
      <c r="EA898" s="70">
        <f>VLOOKUP($BS898,'État &amp; Plan d''action'!$B$6:$AH$1113,32,FALSE)</f>
        <v>1</v>
      </c>
      <c r="EB898" s="70">
        <f>VLOOKUP($BS898,'État &amp; Plan d''action'!$B$6:$AH$1113,33,FALSE)</f>
        <v>0</v>
      </c>
      <c r="EC898" s="70">
        <v>0</v>
      </c>
      <c r="ED898" s="70">
        <v>0</v>
      </c>
      <c r="EE898" s="70">
        <v>0</v>
      </c>
      <c r="EF898" s="70">
        <v>0</v>
      </c>
      <c r="EG898" s="70">
        <v>0</v>
      </c>
      <c r="EH898" s="72">
        <v>56</v>
      </c>
      <c r="EI898" s="72">
        <v>1382</v>
      </c>
    </row>
    <row r="899" spans="71:139" x14ac:dyDescent="0.35">
      <c r="BS899" s="486">
        <v>19025</v>
      </c>
      <c r="BT899" s="479" t="s">
        <v>122</v>
      </c>
      <c r="BU899" s="479">
        <v>12</v>
      </c>
      <c r="BV899" s="476" t="s">
        <v>1187</v>
      </c>
      <c r="BW899" s="476" t="s">
        <v>1187</v>
      </c>
      <c r="BX899" s="476" t="s">
        <v>1187</v>
      </c>
      <c r="BY899" s="476" t="s">
        <v>1187</v>
      </c>
      <c r="BZ899" s="476" t="s">
        <v>1187</v>
      </c>
      <c r="CA899" s="476" t="s">
        <v>1187</v>
      </c>
      <c r="CB899" s="476" t="s">
        <v>1187</v>
      </c>
      <c r="CC899" s="476" t="s">
        <v>1187</v>
      </c>
      <c r="CD899" s="476" t="s">
        <v>1187</v>
      </c>
      <c r="CE899" s="476" t="s">
        <v>1188</v>
      </c>
      <c r="CF899" s="476" t="s">
        <v>1188</v>
      </c>
      <c r="CG899" s="476" t="s">
        <v>1187</v>
      </c>
      <c r="CH899" s="476" t="s">
        <v>1188</v>
      </c>
      <c r="CI899" s="476" t="s">
        <v>1188</v>
      </c>
      <c r="CJ899" s="476" t="s">
        <v>1188</v>
      </c>
      <c r="CK899" s="476" t="s">
        <v>1188</v>
      </c>
      <c r="CL899" s="476" t="s">
        <v>1188</v>
      </c>
      <c r="CM899" s="476" t="str">
        <f>IF(VLOOKUP(BS899,'Données par municipalité'!$B$6:$E$1113,4,FALSE)="","non","oui")</f>
        <v>oui</v>
      </c>
      <c r="CN899" s="410">
        <v>388.71898772381059</v>
      </c>
      <c r="CO899" s="410">
        <v>394.32311221797556</v>
      </c>
      <c r="CP899" s="410"/>
      <c r="CQ899" s="410">
        <v>277.62539240867585</v>
      </c>
      <c r="CR899" s="410">
        <v>267.6810697002561</v>
      </c>
      <c r="CS899" s="410">
        <v>266.36450271221719</v>
      </c>
      <c r="CT899" s="410">
        <v>302.46987606551727</v>
      </c>
      <c r="CU899" s="410">
        <v>295</v>
      </c>
      <c r="CV899" s="410">
        <f>IF(VLOOKUP(BS899,'Données par municipalité'!$B$6:$F$1113,4,FALSE)="","",VLOOKUP(BS899,'Données par municipalité'!$B$6:$F$1113,4,FALSE))</f>
        <v>312</v>
      </c>
      <c r="CW899" s="476" t="s">
        <v>4723</v>
      </c>
      <c r="CX899" s="483">
        <v>0</v>
      </c>
      <c r="CY899" s="483" t="s">
        <v>1124</v>
      </c>
      <c r="CZ899" s="483">
        <v>0</v>
      </c>
      <c r="DA899" s="483">
        <v>0</v>
      </c>
      <c r="DB899" s="483">
        <v>0</v>
      </c>
      <c r="DC899" s="483">
        <v>0</v>
      </c>
      <c r="DD899" s="483">
        <v>0</v>
      </c>
      <c r="DE899" s="483">
        <f>IFERROR(SUM(VLOOKUP($BS899,'État &amp; Plan d''action'!$B$6:$Z$1113,18,FALSE),VLOOKUP($BS899,'État &amp; Plan d''action'!$B$6:$Z$1113,20,FALSE))/(VLOOKUP($BS899,'Données par municipalité'!$B$4:$L$1113,11,FALSE)),"")</f>
        <v>0</v>
      </c>
      <c r="DF899" s="483">
        <f>IFERROR(SUM(VLOOKUP($BS899,'État &amp; Plan d''action'!$B$6:$Z$1113,19,FALSE),VLOOKUP($BS899,'État &amp; Plan d''action'!$B$6:$Z$1113,21,FALSE))/(VLOOKUP($BS899,'Données par municipalité'!$B$4:$L$1113,11,FALSE)),"")</f>
        <v>0</v>
      </c>
      <c r="DG899" s="476" t="s">
        <v>4723</v>
      </c>
      <c r="DH899" s="484">
        <v>1</v>
      </c>
      <c r="DI899" s="484" t="s">
        <v>1124</v>
      </c>
      <c r="DJ899" s="484">
        <v>0</v>
      </c>
      <c r="DK899" s="484">
        <v>0</v>
      </c>
      <c r="DL899" s="484">
        <v>0</v>
      </c>
      <c r="DM899" s="484">
        <v>0</v>
      </c>
      <c r="DN899" s="484">
        <v>0</v>
      </c>
      <c r="DO899" s="484">
        <v>0</v>
      </c>
      <c r="DP899" s="484">
        <v>0</v>
      </c>
      <c r="DQ899" s="484">
        <f>IF(VLOOKUP($BS899,'État &amp; Plan d''action'!$B$6:$AJ$1113,28,FALSE)="","",VLOOKUP($BS899,'État &amp; Plan d''action'!$B$6:$AJ$1113,28,FALSE))</f>
        <v>0</v>
      </c>
      <c r="DR899" s="70">
        <f>IF(VLOOKUP($BS899,'État &amp; Plan d''action'!$B$6:$AJ$1113,29,FALSE)="","",VLOOKUP($BS899,'État &amp; Plan d''action'!$B$6:$AJ$1113,29,FALSE))</f>
        <v>0</v>
      </c>
      <c r="DS899" s="70">
        <f>IF(VLOOKUP($BS899,'État &amp; Plan d''action'!$B$6:$AJ$1113,30,FALSE)="","",VLOOKUP($BS899,'État &amp; Plan d''action'!$B$6:$AJ$1113,30,FALSE))</f>
        <v>0</v>
      </c>
      <c r="DT899" s="70">
        <v>243</v>
      </c>
      <c r="DU899" s="485">
        <v>1.1757528928718668</v>
      </c>
      <c r="DV899" s="485">
        <v>1.5892235093284646</v>
      </c>
      <c r="DW899" s="70">
        <v>0</v>
      </c>
      <c r="DX899" s="70">
        <v>0</v>
      </c>
      <c r="DY899" s="70">
        <v>0</v>
      </c>
      <c r="DZ899" s="70">
        <f>VLOOKUP($BS899,'État &amp; Plan d''action'!$B$6:$AH$1113,31,FALSE)</f>
        <v>0</v>
      </c>
      <c r="EA899" s="70">
        <f>VLOOKUP($BS899,'État &amp; Plan d''action'!$B$6:$AH$1113,32,FALSE)</f>
        <v>0</v>
      </c>
      <c r="EB899" s="70">
        <f>VLOOKUP($BS899,'État &amp; Plan d''action'!$B$6:$AH$1113,33,FALSE)</f>
        <v>0</v>
      </c>
      <c r="EC899" s="70">
        <v>0</v>
      </c>
      <c r="ED899" s="70">
        <v>0</v>
      </c>
      <c r="EE899" s="70">
        <v>0</v>
      </c>
      <c r="EF899" s="70">
        <v>0</v>
      </c>
      <c r="EG899" s="70">
        <v>0</v>
      </c>
      <c r="EH899" s="72">
        <v>59</v>
      </c>
      <c r="EI899" s="72">
        <v>1523</v>
      </c>
    </row>
    <row r="900" spans="71:139" x14ac:dyDescent="0.35">
      <c r="BS900" s="486">
        <v>44003</v>
      </c>
      <c r="BT900" s="479" t="s">
        <v>398</v>
      </c>
      <c r="BU900" s="479">
        <v>5</v>
      </c>
      <c r="BV900" s="476" t="s">
        <v>1188</v>
      </c>
      <c r="BW900" s="476" t="s">
        <v>1188</v>
      </c>
      <c r="BX900" s="476" t="s">
        <v>1188</v>
      </c>
      <c r="BY900" s="476" t="s">
        <v>1188</v>
      </c>
      <c r="BZ900" s="476" t="s">
        <v>1188</v>
      </c>
      <c r="CA900" s="476" t="s">
        <v>1188</v>
      </c>
      <c r="CB900" s="476" t="s">
        <v>1188</v>
      </c>
      <c r="CC900" s="476" t="s">
        <v>1188</v>
      </c>
      <c r="CD900" s="476" t="s">
        <v>1188</v>
      </c>
      <c r="CE900" s="476" t="s">
        <v>1187</v>
      </c>
      <c r="CF900" s="476" t="s">
        <v>1187</v>
      </c>
      <c r="CG900" s="476" t="s">
        <v>1187</v>
      </c>
      <c r="CH900" s="476" t="s">
        <v>1187</v>
      </c>
      <c r="CI900" s="476" t="s">
        <v>1187</v>
      </c>
      <c r="CJ900" s="476" t="s">
        <v>1187</v>
      </c>
      <c r="CK900" s="476" t="s">
        <v>1187</v>
      </c>
      <c r="CL900" s="476" t="s">
        <v>1187</v>
      </c>
      <c r="CM900" s="476" t="str">
        <f>IF(VLOOKUP(BS900,'Données par municipalité'!$B$6:$E$1113,4,FALSE)="","non","oui")</f>
        <v>non</v>
      </c>
      <c r="CN900" s="410" t="s">
        <v>1124</v>
      </c>
      <c r="CO900" s="410" t="s">
        <v>1124</v>
      </c>
      <c r="CP900" s="410"/>
      <c r="CQ900" s="410"/>
      <c r="CR900" s="410"/>
      <c r="CS900" s="410" t="s">
        <v>1124</v>
      </c>
      <c r="CT900" s="410"/>
      <c r="CU900" s="410" t="s">
        <v>1124</v>
      </c>
      <c r="CV900" s="410" t="str">
        <f>IF(VLOOKUP(BS900,'Données par municipalité'!$B$6:$F$1113,4,FALSE)="","",VLOOKUP(BS900,'Données par municipalité'!$B$6:$F$1113,4,FALSE))</f>
        <v/>
      </c>
      <c r="CW900" s="476" t="s">
        <v>4723</v>
      </c>
      <c r="CX900" s="483" t="s">
        <v>1124</v>
      </c>
      <c r="CY900" s="483" t="s">
        <v>1124</v>
      </c>
      <c r="CZ900" s="483" t="s">
        <v>1124</v>
      </c>
      <c r="DA900" s="483" t="s">
        <v>1124</v>
      </c>
      <c r="DB900" s="483" t="s">
        <v>1124</v>
      </c>
      <c r="DC900" s="483" t="s">
        <v>1124</v>
      </c>
      <c r="DD900" s="483" t="s">
        <v>1124</v>
      </c>
      <c r="DE900" s="483" t="str">
        <f>IFERROR(SUM(VLOOKUP($BS900,'État &amp; Plan d''action'!$B$6:$Z$1113,18,FALSE),VLOOKUP($BS900,'État &amp; Plan d''action'!$B$6:$Z$1113,20,FALSE))/(VLOOKUP($BS900,'Données par municipalité'!$B$4:$L$1113,11,FALSE)),"")</f>
        <v/>
      </c>
      <c r="DF900" s="483" t="str">
        <f>IFERROR(SUM(VLOOKUP($BS900,'État &amp; Plan d''action'!$B$6:$Z$1113,19,FALSE),VLOOKUP($BS900,'État &amp; Plan d''action'!$B$6:$Z$1113,21,FALSE))/(VLOOKUP($BS900,'Données par municipalité'!$B$4:$L$1113,11,FALSE)),"")</f>
        <v/>
      </c>
      <c r="DG900" s="476" t="s">
        <v>4723</v>
      </c>
      <c r="DH900" s="484" t="s">
        <v>1124</v>
      </c>
      <c r="DI900" s="484" t="s">
        <v>1124</v>
      </c>
      <c r="DJ900" s="484">
        <v>0</v>
      </c>
      <c r="DK900" s="484">
        <v>0</v>
      </c>
      <c r="DL900" s="484" t="s">
        <v>1124</v>
      </c>
      <c r="DM900" s="484" t="s">
        <v>1124</v>
      </c>
      <c r="DN900" s="484" t="s">
        <v>1124</v>
      </c>
      <c r="DO900" s="484" t="s">
        <v>1124</v>
      </c>
      <c r="DP900" s="484" t="s">
        <v>1124</v>
      </c>
      <c r="DQ900" s="484" t="str">
        <f>IF(VLOOKUP($BS900,'État &amp; Plan d''action'!$B$6:$AJ$1113,28,FALSE)="","",VLOOKUP($BS900,'État &amp; Plan d''action'!$B$6:$AJ$1113,28,FALSE))</f>
        <v/>
      </c>
      <c r="DR900" s="70" t="str">
        <f>IF(VLOOKUP($BS900,'État &amp; Plan d''action'!$B$6:$AJ$1113,29,FALSE)="","",VLOOKUP($BS900,'État &amp; Plan d''action'!$B$6:$AJ$1113,29,FALSE))</f>
        <v/>
      </c>
      <c r="DS900" s="70" t="str">
        <f>IF(VLOOKUP($BS900,'État &amp; Plan d''action'!$B$6:$AJ$1113,30,FALSE)="","",VLOOKUP($BS900,'État &amp; Plan d''action'!$B$6:$AJ$1113,30,FALSE))</f>
        <v/>
      </c>
      <c r="DT900" s="70" t="s">
        <v>1124</v>
      </c>
      <c r="DU900" s="485" t="s">
        <v>1124</v>
      </c>
      <c r="DV900" s="485" t="s">
        <v>1124</v>
      </c>
      <c r="DW900" s="70" t="s">
        <v>1124</v>
      </c>
      <c r="DX900" s="70" t="s">
        <v>1124</v>
      </c>
      <c r="DY900" s="70" t="s">
        <v>1124</v>
      </c>
      <c r="DZ900" s="70" t="str">
        <f>VLOOKUP($BS900,'État &amp; Plan d''action'!$B$6:$AH$1113,31,FALSE)</f>
        <v/>
      </c>
      <c r="EA900" s="70" t="str">
        <f>VLOOKUP($BS900,'État &amp; Plan d''action'!$B$6:$AH$1113,32,FALSE)</f>
        <v/>
      </c>
      <c r="EB900" s="70" t="str">
        <f>VLOOKUP($BS900,'État &amp; Plan d''action'!$B$6:$AH$1113,33,FALSE)</f>
        <v/>
      </c>
      <c r="EC900" s="70" t="s">
        <v>1124</v>
      </c>
      <c r="ED900" s="70" t="s">
        <v>1124</v>
      </c>
      <c r="EE900" s="70" t="s">
        <v>1124</v>
      </c>
      <c r="EF900" s="70" t="s">
        <v>1124</v>
      </c>
      <c r="EG900" s="70" t="s">
        <v>1124</v>
      </c>
      <c r="EH900" s="72"/>
      <c r="EI900" s="72">
        <v>472</v>
      </c>
    </row>
    <row r="901" spans="71:139" x14ac:dyDescent="0.35">
      <c r="BS901" s="486">
        <v>88040</v>
      </c>
      <c r="BT901" s="479" t="s">
        <v>917</v>
      </c>
      <c r="BU901" s="479">
        <v>8</v>
      </c>
      <c r="BV901" s="476" t="s">
        <v>1188</v>
      </c>
      <c r="BW901" s="476" t="s">
        <v>1188</v>
      </c>
      <c r="BX901" s="476" t="s">
        <v>1188</v>
      </c>
      <c r="BY901" s="476" t="s">
        <v>1188</v>
      </c>
      <c r="BZ901" s="476" t="s">
        <v>1188</v>
      </c>
      <c r="CA901" s="476" t="s">
        <v>1188</v>
      </c>
      <c r="CB901" s="476" t="s">
        <v>1188</v>
      </c>
      <c r="CC901" s="476" t="s">
        <v>1188</v>
      </c>
      <c r="CD901" s="476" t="s">
        <v>1188</v>
      </c>
      <c r="CE901" s="476" t="s">
        <v>1187</v>
      </c>
      <c r="CF901" s="476" t="s">
        <v>1187</v>
      </c>
      <c r="CG901" s="476" t="s">
        <v>1187</v>
      </c>
      <c r="CH901" s="476" t="s">
        <v>1187</v>
      </c>
      <c r="CI901" s="476" t="s">
        <v>1187</v>
      </c>
      <c r="CJ901" s="476" t="s">
        <v>1187</v>
      </c>
      <c r="CK901" s="476" t="s">
        <v>1187</v>
      </c>
      <c r="CL901" s="476" t="s">
        <v>1187</v>
      </c>
      <c r="CM901" s="476" t="str">
        <f>IF(VLOOKUP(BS901,'Données par municipalité'!$B$6:$E$1113,4,FALSE)="","non","oui")</f>
        <v>non</v>
      </c>
      <c r="CN901" s="410" t="s">
        <v>1124</v>
      </c>
      <c r="CO901" s="410" t="s">
        <v>1124</v>
      </c>
      <c r="CP901" s="410"/>
      <c r="CQ901" s="410"/>
      <c r="CR901" s="410"/>
      <c r="CS901" s="410" t="s">
        <v>1124</v>
      </c>
      <c r="CT901" s="410"/>
      <c r="CU901" s="410" t="s">
        <v>1124</v>
      </c>
      <c r="CV901" s="410" t="str">
        <f>IF(VLOOKUP(BS901,'Données par municipalité'!$B$6:$F$1113,4,FALSE)="","",VLOOKUP(BS901,'Données par municipalité'!$B$6:$F$1113,4,FALSE))</f>
        <v/>
      </c>
      <c r="CW901" s="476" t="s">
        <v>4723</v>
      </c>
      <c r="CX901" s="483" t="s">
        <v>1124</v>
      </c>
      <c r="CY901" s="483" t="s">
        <v>1124</v>
      </c>
      <c r="CZ901" s="483" t="s">
        <v>1124</v>
      </c>
      <c r="DA901" s="483" t="s">
        <v>1124</v>
      </c>
      <c r="DB901" s="483" t="s">
        <v>1124</v>
      </c>
      <c r="DC901" s="483" t="s">
        <v>1124</v>
      </c>
      <c r="DD901" s="483" t="s">
        <v>1124</v>
      </c>
      <c r="DE901" s="483" t="str">
        <f>IFERROR(SUM(VLOOKUP($BS901,'État &amp; Plan d''action'!$B$6:$Z$1113,18,FALSE),VLOOKUP($BS901,'État &amp; Plan d''action'!$B$6:$Z$1113,20,FALSE))/(VLOOKUP($BS901,'Données par municipalité'!$B$4:$L$1113,11,FALSE)),"")</f>
        <v/>
      </c>
      <c r="DF901" s="483" t="str">
        <f>IFERROR(SUM(VLOOKUP($BS901,'État &amp; Plan d''action'!$B$6:$Z$1113,19,FALSE),VLOOKUP($BS901,'État &amp; Plan d''action'!$B$6:$Z$1113,21,FALSE))/(VLOOKUP($BS901,'Données par municipalité'!$B$4:$L$1113,11,FALSE)),"")</f>
        <v/>
      </c>
      <c r="DG901" s="476" t="s">
        <v>4723</v>
      </c>
      <c r="DH901" s="484">
        <v>1</v>
      </c>
      <c r="DI901" s="484">
        <v>0</v>
      </c>
      <c r="DJ901" s="484">
        <v>0</v>
      </c>
      <c r="DK901" s="484">
        <v>0</v>
      </c>
      <c r="DL901" s="484" t="s">
        <v>1124</v>
      </c>
      <c r="DM901" s="484" t="s">
        <v>1124</v>
      </c>
      <c r="DN901" s="484" t="s">
        <v>1124</v>
      </c>
      <c r="DO901" s="484" t="s">
        <v>1124</v>
      </c>
      <c r="DP901" s="484" t="s">
        <v>1124</v>
      </c>
      <c r="DQ901" s="484" t="str">
        <f>IF(VLOOKUP($BS901,'État &amp; Plan d''action'!$B$6:$AJ$1113,28,FALSE)="","",VLOOKUP($BS901,'État &amp; Plan d''action'!$B$6:$AJ$1113,28,FALSE))</f>
        <v/>
      </c>
      <c r="DR901" s="70" t="str">
        <f>IF(VLOOKUP($BS901,'État &amp; Plan d''action'!$B$6:$AJ$1113,29,FALSE)="","",VLOOKUP($BS901,'État &amp; Plan d''action'!$B$6:$AJ$1113,29,FALSE))</f>
        <v/>
      </c>
      <c r="DS901" s="70" t="str">
        <f>IF(VLOOKUP($BS901,'État &amp; Plan d''action'!$B$6:$AJ$1113,30,FALSE)="","",VLOOKUP($BS901,'État &amp; Plan d''action'!$B$6:$AJ$1113,30,FALSE))</f>
        <v/>
      </c>
      <c r="DT901" s="70" t="s">
        <v>1124</v>
      </c>
      <c r="DU901" s="485" t="s">
        <v>1124</v>
      </c>
      <c r="DV901" s="485" t="s">
        <v>1124</v>
      </c>
      <c r="DW901" s="70" t="s">
        <v>1124</v>
      </c>
      <c r="DX901" s="70" t="s">
        <v>1124</v>
      </c>
      <c r="DY901" s="70" t="s">
        <v>1124</v>
      </c>
      <c r="DZ901" s="70" t="str">
        <f>VLOOKUP($BS901,'État &amp; Plan d''action'!$B$6:$AH$1113,31,FALSE)</f>
        <v/>
      </c>
      <c r="EA901" s="70" t="str">
        <f>VLOOKUP($BS901,'État &amp; Plan d''action'!$B$6:$AH$1113,32,FALSE)</f>
        <v/>
      </c>
      <c r="EB901" s="70" t="str">
        <f>VLOOKUP($BS901,'État &amp; Plan d''action'!$B$6:$AH$1113,33,FALSE)</f>
        <v/>
      </c>
      <c r="EC901" s="70" t="s">
        <v>1124</v>
      </c>
      <c r="ED901" s="70" t="s">
        <v>1124</v>
      </c>
      <c r="EE901" s="70" t="s">
        <v>1124</v>
      </c>
      <c r="EF901" s="70" t="s">
        <v>1124</v>
      </c>
      <c r="EG901" s="70" t="s">
        <v>1124</v>
      </c>
      <c r="EH901" s="72"/>
      <c r="EI901" s="72">
        <v>848</v>
      </c>
    </row>
    <row r="902" spans="71:139" x14ac:dyDescent="0.35">
      <c r="BS902" s="486">
        <v>34065</v>
      </c>
      <c r="BT902" s="479" t="s">
        <v>293</v>
      </c>
      <c r="BU902" s="479">
        <v>3</v>
      </c>
      <c r="BV902" s="476" t="s">
        <v>1187</v>
      </c>
      <c r="BW902" s="476" t="s">
        <v>1187</v>
      </c>
      <c r="BX902" s="476" t="s">
        <v>1187</v>
      </c>
      <c r="BY902" s="476" t="s">
        <v>1187</v>
      </c>
      <c r="BZ902" s="476" t="s">
        <v>1187</v>
      </c>
      <c r="CA902" s="476" t="s">
        <v>1187</v>
      </c>
      <c r="CB902" s="476" t="s">
        <v>1187</v>
      </c>
      <c r="CC902" s="476" t="s">
        <v>1187</v>
      </c>
      <c r="CD902" s="476" t="s">
        <v>1187</v>
      </c>
      <c r="CE902" s="476" t="s">
        <v>1188</v>
      </c>
      <c r="CF902" s="476" t="s">
        <v>1188</v>
      </c>
      <c r="CG902" s="476" t="s">
        <v>1188</v>
      </c>
      <c r="CH902" s="476" t="s">
        <v>1188</v>
      </c>
      <c r="CI902" s="476" t="s">
        <v>1188</v>
      </c>
      <c r="CJ902" s="476" t="s">
        <v>1188</v>
      </c>
      <c r="CK902" s="476" t="s">
        <v>1188</v>
      </c>
      <c r="CL902" s="476" t="s">
        <v>1187</v>
      </c>
      <c r="CM902" s="476" t="str">
        <f>IF(VLOOKUP(BS902,'Données par municipalité'!$B$6:$E$1113,4,FALSE)="","non","oui")</f>
        <v>oui</v>
      </c>
      <c r="CN902" s="410">
        <v>586.79887074732346</v>
      </c>
      <c r="CO902" s="410">
        <v>516.52842230470048</v>
      </c>
      <c r="CP902" s="410">
        <v>490.5641527198124</v>
      </c>
      <c r="CQ902" s="410">
        <v>528.90333949157389</v>
      </c>
      <c r="CR902" s="410">
        <v>537.59617140118553</v>
      </c>
      <c r="CS902" s="410">
        <v>456.7580726595175</v>
      </c>
      <c r="CT902" s="410">
        <v>515.68653606179043</v>
      </c>
      <c r="CU902" s="410" t="s">
        <v>1124</v>
      </c>
      <c r="CV902" s="410">
        <f>IF(VLOOKUP(BS902,'Données par municipalité'!$B$6:$F$1113,4,FALSE)="","",VLOOKUP(BS902,'Données par municipalité'!$B$6:$F$1113,4,FALSE))</f>
        <v>375</v>
      </c>
      <c r="CW902" s="476" t="s">
        <v>4723</v>
      </c>
      <c r="CX902" s="483">
        <v>0.02</v>
      </c>
      <c r="CY902" s="483">
        <v>0.08</v>
      </c>
      <c r="CZ902" s="483">
        <v>1</v>
      </c>
      <c r="DA902" s="483">
        <v>1</v>
      </c>
      <c r="DB902" s="483">
        <v>1</v>
      </c>
      <c r="DC902" s="483">
        <v>1</v>
      </c>
      <c r="DD902" s="483" t="s">
        <v>1124</v>
      </c>
      <c r="DE902" s="483">
        <f>IFERROR(SUM(VLOOKUP($BS902,'État &amp; Plan d''action'!$B$6:$Z$1113,18,FALSE),VLOOKUP($BS902,'État &amp; Plan d''action'!$B$6:$Z$1113,20,FALSE))/(VLOOKUP($BS902,'Données par municipalité'!$B$4:$L$1113,11,FALSE)),"")</f>
        <v>1</v>
      </c>
      <c r="DF902" s="483">
        <f>IFERROR(SUM(VLOOKUP($BS902,'État &amp; Plan d''action'!$B$6:$Z$1113,19,FALSE),VLOOKUP($BS902,'État &amp; Plan d''action'!$B$6:$Z$1113,21,FALSE))/(VLOOKUP($BS902,'Données par municipalité'!$B$4:$L$1113,11,FALSE)),"")</f>
        <v>2</v>
      </c>
      <c r="DG902" s="476" t="s">
        <v>4723</v>
      </c>
      <c r="DH902" s="484">
        <v>5</v>
      </c>
      <c r="DI902" s="484">
        <v>0</v>
      </c>
      <c r="DJ902" s="484">
        <v>2</v>
      </c>
      <c r="DK902" s="484">
        <v>5</v>
      </c>
      <c r="DL902" s="484">
        <v>7</v>
      </c>
      <c r="DM902" s="484">
        <v>6</v>
      </c>
      <c r="DN902" s="484" t="s">
        <v>1124</v>
      </c>
      <c r="DO902" s="484" t="s">
        <v>1124</v>
      </c>
      <c r="DP902" s="484" t="s">
        <v>1124</v>
      </c>
      <c r="DQ902" s="484">
        <f>IF(VLOOKUP($BS902,'État &amp; Plan d''action'!$B$6:$AJ$1113,28,FALSE)="","",VLOOKUP($BS902,'État &amp; Plan d''action'!$B$6:$AJ$1113,28,FALSE))</f>
        <v>2</v>
      </c>
      <c r="DR902" s="70">
        <f>IF(VLOOKUP($BS902,'État &amp; Plan d''action'!$B$6:$AJ$1113,29,FALSE)="","",VLOOKUP($BS902,'État &amp; Plan d''action'!$B$6:$AJ$1113,29,FALSE))</f>
        <v>2</v>
      </c>
      <c r="DS902" s="70">
        <f>IF(VLOOKUP($BS902,'État &amp; Plan d''action'!$B$6:$AJ$1113,30,FALSE)="","",VLOOKUP($BS902,'État &amp; Plan d''action'!$B$6:$AJ$1113,30,FALSE))</f>
        <v>0</v>
      </c>
      <c r="DT902" s="70" t="s">
        <v>1124</v>
      </c>
      <c r="DU902" s="485" t="s">
        <v>1124</v>
      </c>
      <c r="DV902" s="485">
        <v>4.9753406275936332</v>
      </c>
      <c r="DW902" s="70" t="s">
        <v>1124</v>
      </c>
      <c r="DX902" s="70" t="s">
        <v>1124</v>
      </c>
      <c r="DY902" s="70" t="s">
        <v>1124</v>
      </c>
      <c r="DZ902" s="70">
        <f>VLOOKUP($BS902,'État &amp; Plan d''action'!$B$6:$AH$1113,31,FALSE)</f>
        <v>2</v>
      </c>
      <c r="EA902" s="70">
        <f>VLOOKUP($BS902,'État &amp; Plan d''action'!$B$6:$AH$1113,32,FALSE)</f>
        <v>3</v>
      </c>
      <c r="EB902" s="70">
        <f>VLOOKUP($BS902,'État &amp; Plan d''action'!$B$6:$AH$1113,33,FALSE)</f>
        <v>0</v>
      </c>
      <c r="EC902" s="70" t="s">
        <v>1124</v>
      </c>
      <c r="ED902" s="70" t="s">
        <v>1124</v>
      </c>
      <c r="EE902" s="70" t="s">
        <v>1124</v>
      </c>
      <c r="EF902" s="70" t="s">
        <v>1124</v>
      </c>
      <c r="EG902" s="70" t="s">
        <v>1124</v>
      </c>
      <c r="EH902" s="72"/>
      <c r="EI902" s="72">
        <v>2971</v>
      </c>
    </row>
    <row r="903" spans="71:139" x14ac:dyDescent="0.35">
      <c r="BS903" s="486">
        <v>13020</v>
      </c>
      <c r="BT903" s="479" t="s">
        <v>44</v>
      </c>
      <c r="BU903" s="479">
        <v>1</v>
      </c>
      <c r="BV903" s="476" t="s">
        <v>1187</v>
      </c>
      <c r="BW903" s="476" t="s">
        <v>1187</v>
      </c>
      <c r="BX903" s="476" t="s">
        <v>1187</v>
      </c>
      <c r="BY903" s="476" t="s">
        <v>1187</v>
      </c>
      <c r="BZ903" s="476" t="s">
        <v>1187</v>
      </c>
      <c r="CA903" s="476" t="s">
        <v>1187</v>
      </c>
      <c r="CB903" s="476" t="s">
        <v>1187</v>
      </c>
      <c r="CC903" s="476" t="s">
        <v>1187</v>
      </c>
      <c r="CD903" s="476" t="s">
        <v>1187</v>
      </c>
      <c r="CE903" s="476" t="s">
        <v>1188</v>
      </c>
      <c r="CF903" s="476" t="s">
        <v>1188</v>
      </c>
      <c r="CG903" s="476" t="s">
        <v>1188</v>
      </c>
      <c r="CH903" s="476" t="s">
        <v>1188</v>
      </c>
      <c r="CI903" s="476" t="s">
        <v>1188</v>
      </c>
      <c r="CJ903" s="476" t="s">
        <v>1187</v>
      </c>
      <c r="CK903" s="476" t="s">
        <v>1187</v>
      </c>
      <c r="CL903" s="476" t="s">
        <v>1188</v>
      </c>
      <c r="CM903" s="476" t="str">
        <f>IF(VLOOKUP(BS903,'Données par municipalité'!$B$6:$E$1113,4,FALSE)="","non","oui")</f>
        <v>oui</v>
      </c>
      <c r="CN903" s="410">
        <v>1104.1203753640382</v>
      </c>
      <c r="CO903" s="410">
        <v>402.63916482387276</v>
      </c>
      <c r="CP903" s="410">
        <v>234.76540836810125</v>
      </c>
      <c r="CQ903" s="410">
        <v>212.72838600101366</v>
      </c>
      <c r="CR903" s="410">
        <v>238.69653951945182</v>
      </c>
      <c r="CS903" s="410" t="s">
        <v>1124</v>
      </c>
      <c r="CT903" s="410"/>
      <c r="CU903" s="410">
        <v>292</v>
      </c>
      <c r="CV903" s="410">
        <f>IF(VLOOKUP(BS903,'Données par municipalité'!$B$6:$F$1113,4,FALSE)="","",VLOOKUP(BS903,'Données par municipalité'!$B$6:$F$1113,4,FALSE))</f>
        <v>242</v>
      </c>
      <c r="CW903" s="476" t="s">
        <v>4723</v>
      </c>
      <c r="CX903" s="483">
        <v>1</v>
      </c>
      <c r="CY903" s="483">
        <v>1</v>
      </c>
      <c r="CZ903" s="483">
        <v>1</v>
      </c>
      <c r="DA903" s="483">
        <v>1</v>
      </c>
      <c r="DB903" s="483" t="s">
        <v>1124</v>
      </c>
      <c r="DC903" s="483" t="s">
        <v>1124</v>
      </c>
      <c r="DD903" s="483">
        <v>0</v>
      </c>
      <c r="DE903" s="483">
        <f>IFERROR(SUM(VLOOKUP($BS903,'État &amp; Plan d''action'!$B$6:$Z$1113,18,FALSE),VLOOKUP($BS903,'État &amp; Plan d''action'!$B$6:$Z$1113,20,FALSE))/(VLOOKUP($BS903,'Données par municipalité'!$B$4:$L$1113,11,FALSE)),"")</f>
        <v>0</v>
      </c>
      <c r="DF903" s="483">
        <f>IFERROR(SUM(VLOOKUP($BS903,'État &amp; Plan d''action'!$B$6:$Z$1113,19,FALSE),VLOOKUP($BS903,'État &amp; Plan d''action'!$B$6:$Z$1113,21,FALSE))/(VLOOKUP($BS903,'Données par municipalité'!$B$4:$L$1113,11,FALSE)),"")</f>
        <v>0</v>
      </c>
      <c r="DG903" s="476" t="s">
        <v>4723</v>
      </c>
      <c r="DH903" s="484">
        <v>0</v>
      </c>
      <c r="DI903" s="484">
        <v>0</v>
      </c>
      <c r="DJ903" s="484">
        <v>0</v>
      </c>
      <c r="DK903" s="484">
        <v>0</v>
      </c>
      <c r="DL903" s="484" t="s">
        <v>1124</v>
      </c>
      <c r="DM903" s="484" t="s">
        <v>1124</v>
      </c>
      <c r="DN903" s="484">
        <v>0</v>
      </c>
      <c r="DO903" s="484">
        <v>0</v>
      </c>
      <c r="DP903" s="484">
        <v>0</v>
      </c>
      <c r="DQ903" s="484">
        <f>IF(VLOOKUP($BS903,'État &amp; Plan d''action'!$B$6:$AJ$1113,28,FALSE)="","",VLOOKUP($BS903,'État &amp; Plan d''action'!$B$6:$AJ$1113,28,FALSE))</f>
        <v>0</v>
      </c>
      <c r="DR903" s="70">
        <f>IF(VLOOKUP($BS903,'État &amp; Plan d''action'!$B$6:$AJ$1113,29,FALSE)="","",VLOOKUP($BS903,'État &amp; Plan d''action'!$B$6:$AJ$1113,29,FALSE))</f>
        <v>0</v>
      </c>
      <c r="DS903" s="70">
        <f>IF(VLOOKUP($BS903,'État &amp; Plan d''action'!$B$6:$AJ$1113,30,FALSE)="","",VLOOKUP($BS903,'État &amp; Plan d''action'!$B$6:$AJ$1113,30,FALSE))</f>
        <v>0</v>
      </c>
      <c r="DT903" s="70">
        <v>193</v>
      </c>
      <c r="DU903" s="485">
        <v>1.4440349202381493</v>
      </c>
      <c r="DV903" s="485">
        <v>0.86134472230879089</v>
      </c>
      <c r="DW903" s="70">
        <v>0</v>
      </c>
      <c r="DX903" s="70">
        <v>0</v>
      </c>
      <c r="DY903" s="70">
        <v>0</v>
      </c>
      <c r="DZ903" s="70">
        <f>VLOOKUP($BS903,'État &amp; Plan d''action'!$B$6:$AH$1113,31,FALSE)</f>
        <v>0</v>
      </c>
      <c r="EA903" s="70">
        <f>VLOOKUP($BS903,'État &amp; Plan d''action'!$B$6:$AH$1113,32,FALSE)</f>
        <v>0</v>
      </c>
      <c r="EB903" s="70">
        <f>VLOOKUP($BS903,'État &amp; Plan d''action'!$B$6:$AH$1113,33,FALSE)</f>
        <v>0</v>
      </c>
      <c r="EC903" s="70">
        <v>0</v>
      </c>
      <c r="ED903" s="70">
        <v>0</v>
      </c>
      <c r="EE903" s="70">
        <v>0</v>
      </c>
      <c r="EF903" s="70">
        <v>0</v>
      </c>
      <c r="EG903" s="70">
        <v>0</v>
      </c>
      <c r="EH903" s="72">
        <v>42</v>
      </c>
      <c r="EI903" s="72">
        <v>395</v>
      </c>
    </row>
    <row r="904" spans="71:139" x14ac:dyDescent="0.35">
      <c r="BS904" s="486">
        <v>17020</v>
      </c>
      <c r="BT904" s="479" t="s">
        <v>93</v>
      </c>
      <c r="BU904" s="479">
        <v>12</v>
      </c>
      <c r="BV904" s="476" t="s">
        <v>1188</v>
      </c>
      <c r="BW904" s="476" t="s">
        <v>1188</v>
      </c>
      <c r="BX904" s="476" t="s">
        <v>1188</v>
      </c>
      <c r="BY904" s="476" t="s">
        <v>1188</v>
      </c>
      <c r="BZ904" s="476" t="s">
        <v>1188</v>
      </c>
      <c r="CA904" s="476" t="s">
        <v>1188</v>
      </c>
      <c r="CB904" s="476" t="s">
        <v>1188</v>
      </c>
      <c r="CC904" s="476" t="s">
        <v>1188</v>
      </c>
      <c r="CD904" s="476" t="s">
        <v>1188</v>
      </c>
      <c r="CE904" s="476" t="s">
        <v>1187</v>
      </c>
      <c r="CF904" s="476" t="s">
        <v>1187</v>
      </c>
      <c r="CG904" s="476" t="s">
        <v>1187</v>
      </c>
      <c r="CH904" s="476" t="s">
        <v>1187</v>
      </c>
      <c r="CI904" s="476" t="s">
        <v>1187</v>
      </c>
      <c r="CJ904" s="476" t="s">
        <v>1187</v>
      </c>
      <c r="CK904" s="476" t="s">
        <v>1187</v>
      </c>
      <c r="CL904" s="476" t="s">
        <v>1187</v>
      </c>
      <c r="CM904" s="476" t="str">
        <f>IF(VLOOKUP(BS904,'Données par municipalité'!$B$6:$E$1113,4,FALSE)="","non","oui")</f>
        <v>non</v>
      </c>
      <c r="CN904" s="410" t="s">
        <v>1124</v>
      </c>
      <c r="CO904" s="410" t="s">
        <v>1124</v>
      </c>
      <c r="CP904" s="410"/>
      <c r="CQ904" s="410"/>
      <c r="CR904" s="410"/>
      <c r="CS904" s="410" t="s">
        <v>1124</v>
      </c>
      <c r="CT904" s="410"/>
      <c r="CU904" s="410" t="s">
        <v>1124</v>
      </c>
      <c r="CV904" s="410" t="str">
        <f>IF(VLOOKUP(BS904,'Données par municipalité'!$B$6:$F$1113,4,FALSE)="","",VLOOKUP(BS904,'Données par municipalité'!$B$6:$F$1113,4,FALSE))</f>
        <v/>
      </c>
      <c r="CW904" s="476" t="s">
        <v>4723</v>
      </c>
      <c r="CX904" s="483" t="s">
        <v>1124</v>
      </c>
      <c r="CY904" s="483" t="s">
        <v>1124</v>
      </c>
      <c r="CZ904" s="483" t="s">
        <v>1124</v>
      </c>
      <c r="DA904" s="483" t="s">
        <v>1124</v>
      </c>
      <c r="DB904" s="483" t="s">
        <v>1124</v>
      </c>
      <c r="DC904" s="483" t="s">
        <v>1124</v>
      </c>
      <c r="DD904" s="483" t="s">
        <v>1124</v>
      </c>
      <c r="DE904" s="483" t="str">
        <f>IFERROR(SUM(VLOOKUP($BS904,'État &amp; Plan d''action'!$B$6:$Z$1113,18,FALSE),VLOOKUP($BS904,'État &amp; Plan d''action'!$B$6:$Z$1113,20,FALSE))/(VLOOKUP($BS904,'Données par municipalité'!$B$4:$L$1113,11,FALSE)),"")</f>
        <v/>
      </c>
      <c r="DF904" s="483" t="str">
        <f>IFERROR(SUM(VLOOKUP($BS904,'État &amp; Plan d''action'!$B$6:$Z$1113,19,FALSE),VLOOKUP($BS904,'État &amp; Plan d''action'!$B$6:$Z$1113,21,FALSE))/(VLOOKUP($BS904,'Données par municipalité'!$B$4:$L$1113,11,FALSE)),"")</f>
        <v/>
      </c>
      <c r="DG904" s="476" t="s">
        <v>4723</v>
      </c>
      <c r="DH904" s="484" t="s">
        <v>1124</v>
      </c>
      <c r="DI904" s="484" t="s">
        <v>1124</v>
      </c>
      <c r="DJ904" s="484">
        <v>0</v>
      </c>
      <c r="DK904" s="484">
        <v>0</v>
      </c>
      <c r="DL904" s="484" t="s">
        <v>1124</v>
      </c>
      <c r="DM904" s="484" t="s">
        <v>1124</v>
      </c>
      <c r="DN904" s="484" t="s">
        <v>1124</v>
      </c>
      <c r="DO904" s="484" t="s">
        <v>1124</v>
      </c>
      <c r="DP904" s="484" t="s">
        <v>1124</v>
      </c>
      <c r="DQ904" s="484" t="str">
        <f>IF(VLOOKUP($BS904,'État &amp; Plan d''action'!$B$6:$AJ$1113,28,FALSE)="","",VLOOKUP($BS904,'État &amp; Plan d''action'!$B$6:$AJ$1113,28,FALSE))</f>
        <v/>
      </c>
      <c r="DR904" s="70" t="str">
        <f>IF(VLOOKUP($BS904,'État &amp; Plan d''action'!$B$6:$AJ$1113,29,FALSE)="","",VLOOKUP($BS904,'État &amp; Plan d''action'!$B$6:$AJ$1113,29,FALSE))</f>
        <v/>
      </c>
      <c r="DS904" s="70" t="str">
        <f>IF(VLOOKUP($BS904,'État &amp; Plan d''action'!$B$6:$AJ$1113,30,FALSE)="","",VLOOKUP($BS904,'État &amp; Plan d''action'!$B$6:$AJ$1113,30,FALSE))</f>
        <v/>
      </c>
      <c r="DT904" s="70" t="s">
        <v>1124</v>
      </c>
      <c r="DU904" s="485" t="s">
        <v>1124</v>
      </c>
      <c r="DV904" s="485" t="s">
        <v>1124</v>
      </c>
      <c r="DW904" s="70" t="s">
        <v>1124</v>
      </c>
      <c r="DX904" s="70" t="s">
        <v>1124</v>
      </c>
      <c r="DY904" s="70" t="s">
        <v>1124</v>
      </c>
      <c r="DZ904" s="70" t="str">
        <f>VLOOKUP($BS904,'État &amp; Plan d''action'!$B$6:$AH$1113,31,FALSE)</f>
        <v/>
      </c>
      <c r="EA904" s="70" t="str">
        <f>VLOOKUP($BS904,'État &amp; Plan d''action'!$B$6:$AH$1113,32,FALSE)</f>
        <v/>
      </c>
      <c r="EB904" s="70" t="str">
        <f>VLOOKUP($BS904,'État &amp; Plan d''action'!$B$6:$AH$1113,33,FALSE)</f>
        <v/>
      </c>
      <c r="EC904" s="70" t="s">
        <v>1124</v>
      </c>
      <c r="ED904" s="70" t="s">
        <v>1124</v>
      </c>
      <c r="EE904" s="70" t="s">
        <v>1124</v>
      </c>
      <c r="EF904" s="70" t="s">
        <v>1124</v>
      </c>
      <c r="EG904" s="70" t="s">
        <v>1124</v>
      </c>
      <c r="EH904" s="72"/>
      <c r="EI904" s="72">
        <v>449</v>
      </c>
    </row>
    <row r="905" spans="71:139" x14ac:dyDescent="0.35">
      <c r="BS905" s="486">
        <v>54125</v>
      </c>
      <c r="BT905" s="479" t="s">
        <v>558</v>
      </c>
      <c r="BU905" s="479">
        <v>16</v>
      </c>
      <c r="BV905" s="476" t="s">
        <v>1187</v>
      </c>
      <c r="BW905" s="476" t="s">
        <v>1187</v>
      </c>
      <c r="BX905" s="476" t="s">
        <v>1187</v>
      </c>
      <c r="BY905" s="476" t="s">
        <v>1187</v>
      </c>
      <c r="BZ905" s="476" t="s">
        <v>1187</v>
      </c>
      <c r="CA905" s="476" t="s">
        <v>1187</v>
      </c>
      <c r="CB905" s="476" t="s">
        <v>1187</v>
      </c>
      <c r="CC905" s="476" t="s">
        <v>1187</v>
      </c>
      <c r="CD905" s="476" t="s">
        <v>1187</v>
      </c>
      <c r="CE905" s="476" t="s">
        <v>1188</v>
      </c>
      <c r="CF905" s="476" t="s">
        <v>1188</v>
      </c>
      <c r="CG905" s="476" t="s">
        <v>1188</v>
      </c>
      <c r="CH905" s="476" t="s">
        <v>1188</v>
      </c>
      <c r="CI905" s="476" t="s">
        <v>1188</v>
      </c>
      <c r="CJ905" s="476" t="s">
        <v>1188</v>
      </c>
      <c r="CK905" s="476" t="s">
        <v>1188</v>
      </c>
      <c r="CL905" s="476" t="s">
        <v>1188</v>
      </c>
      <c r="CM905" s="476" t="str">
        <f>IF(VLOOKUP(BS905,'Données par municipalité'!$B$6:$E$1113,4,FALSE)="","non","oui")</f>
        <v>non</v>
      </c>
      <c r="CN905" s="410">
        <v>515.68068856951618</v>
      </c>
      <c r="CO905" s="410">
        <v>599.69023786957632</v>
      </c>
      <c r="CP905" s="410">
        <v>640.85144810903296</v>
      </c>
      <c r="CQ905" s="410">
        <v>671.03435597859391</v>
      </c>
      <c r="CR905" s="410">
        <v>470.8701101733273</v>
      </c>
      <c r="CS905" s="410">
        <v>580.02545077531067</v>
      </c>
      <c r="CT905" s="410">
        <v>550.51386014011314</v>
      </c>
      <c r="CU905" s="410">
        <v>741</v>
      </c>
      <c r="CV905" s="410" t="str">
        <f>IF(VLOOKUP(BS905,'Données par municipalité'!$B$6:$F$1113,4,FALSE)="","",VLOOKUP(BS905,'Données par municipalité'!$B$6:$F$1113,4,FALSE))</f>
        <v/>
      </c>
      <c r="CW905" s="476" t="s">
        <v>4723</v>
      </c>
      <c r="CX905" s="483">
        <v>0</v>
      </c>
      <c r="CY905" s="483">
        <v>0</v>
      </c>
      <c r="CZ905" s="483">
        <v>0</v>
      </c>
      <c r="DA905" s="483">
        <v>0</v>
      </c>
      <c r="DB905" s="483">
        <v>0</v>
      </c>
      <c r="DC905" s="483">
        <v>0</v>
      </c>
      <c r="DD905" s="483">
        <v>0</v>
      </c>
      <c r="DE905" s="483" t="str">
        <f>IFERROR(SUM(VLOOKUP($BS905,'État &amp; Plan d''action'!$B$6:$Z$1113,18,FALSE),VLOOKUP($BS905,'État &amp; Plan d''action'!$B$6:$Z$1113,20,FALSE))/(VLOOKUP($BS905,'Données par municipalité'!$B$4:$L$1113,11,FALSE)),"")</f>
        <v/>
      </c>
      <c r="DF905" s="483" t="str">
        <f>IFERROR(SUM(VLOOKUP($BS905,'État &amp; Plan d''action'!$B$6:$Z$1113,19,FALSE),VLOOKUP($BS905,'État &amp; Plan d''action'!$B$6:$Z$1113,21,FALSE))/(VLOOKUP($BS905,'Données par municipalité'!$B$4:$L$1113,11,FALSE)),"")</f>
        <v/>
      </c>
      <c r="DG905" s="476" t="s">
        <v>4723</v>
      </c>
      <c r="DH905" s="484">
        <v>0</v>
      </c>
      <c r="DI905" s="484">
        <v>0</v>
      </c>
      <c r="DJ905" s="484">
        <v>0</v>
      </c>
      <c r="DK905" s="484">
        <v>0</v>
      </c>
      <c r="DL905" s="484">
        <v>0</v>
      </c>
      <c r="DM905" s="484">
        <v>0</v>
      </c>
      <c r="DN905" s="484">
        <v>0</v>
      </c>
      <c r="DO905" s="484">
        <v>0</v>
      </c>
      <c r="DP905" s="484">
        <v>0</v>
      </c>
      <c r="DQ905" s="484" t="str">
        <f>IF(VLOOKUP($BS905,'État &amp; Plan d''action'!$B$6:$AJ$1113,28,FALSE)="","",VLOOKUP($BS905,'État &amp; Plan d''action'!$B$6:$AJ$1113,28,FALSE))</f>
        <v/>
      </c>
      <c r="DR905" s="70" t="str">
        <f>IF(VLOOKUP($BS905,'État &amp; Plan d''action'!$B$6:$AJ$1113,29,FALSE)="","",VLOOKUP($BS905,'État &amp; Plan d''action'!$B$6:$AJ$1113,29,FALSE))</f>
        <v/>
      </c>
      <c r="DS905" s="70" t="str">
        <f>IF(VLOOKUP($BS905,'État &amp; Plan d''action'!$B$6:$AJ$1113,30,FALSE)="","",VLOOKUP($BS905,'État &amp; Plan d''action'!$B$6:$AJ$1113,30,FALSE))</f>
        <v/>
      </c>
      <c r="DT905" s="70">
        <v>371</v>
      </c>
      <c r="DU905" s="485">
        <v>1.1639347142430467</v>
      </c>
      <c r="DV905" s="485" t="s">
        <v>1124</v>
      </c>
      <c r="DW905" s="70">
        <v>0</v>
      </c>
      <c r="DX905" s="70">
        <v>0</v>
      </c>
      <c r="DY905" s="70">
        <v>0</v>
      </c>
      <c r="DZ905" s="70" t="str">
        <f>VLOOKUP($BS905,'État &amp; Plan d''action'!$B$6:$AH$1113,31,FALSE)</f>
        <v/>
      </c>
      <c r="EA905" s="70" t="str">
        <f>VLOOKUP($BS905,'État &amp; Plan d''action'!$B$6:$AH$1113,32,FALSE)</f>
        <v/>
      </c>
      <c r="EB905" s="70" t="str">
        <f>VLOOKUP($BS905,'État &amp; Plan d''action'!$B$6:$AH$1113,33,FALSE)</f>
        <v/>
      </c>
      <c r="EC905" s="70">
        <v>0</v>
      </c>
      <c r="ED905" s="70">
        <v>0</v>
      </c>
      <c r="EE905" s="70">
        <v>0</v>
      </c>
      <c r="EF905" s="70">
        <v>0</v>
      </c>
      <c r="EG905" s="70">
        <v>0</v>
      </c>
      <c r="EH905" s="72">
        <v>69</v>
      </c>
      <c r="EI905" s="72">
        <v>507</v>
      </c>
    </row>
    <row r="906" spans="71:139" x14ac:dyDescent="0.35">
      <c r="BS906" s="486">
        <v>10025</v>
      </c>
      <c r="BT906" s="479" t="s">
        <v>11</v>
      </c>
      <c r="BU906" s="479">
        <v>1</v>
      </c>
      <c r="BV906" s="476" t="s">
        <v>1188</v>
      </c>
      <c r="BW906" s="476" t="s">
        <v>1188</v>
      </c>
      <c r="BX906" s="476" t="s">
        <v>1188</v>
      </c>
      <c r="BY906" s="476" t="s">
        <v>1188</v>
      </c>
      <c r="BZ906" s="476" t="s">
        <v>1188</v>
      </c>
      <c r="CA906" s="476" t="s">
        <v>1188</v>
      </c>
      <c r="CB906" s="476" t="s">
        <v>1188</v>
      </c>
      <c r="CC906" s="476" t="s">
        <v>1188</v>
      </c>
      <c r="CD906" s="476" t="s">
        <v>1188</v>
      </c>
      <c r="CE906" s="476" t="s">
        <v>1187</v>
      </c>
      <c r="CF906" s="476" t="s">
        <v>1187</v>
      </c>
      <c r="CG906" s="476" t="s">
        <v>1187</v>
      </c>
      <c r="CH906" s="476" t="s">
        <v>1187</v>
      </c>
      <c r="CI906" s="476" t="s">
        <v>1187</v>
      </c>
      <c r="CJ906" s="476" t="s">
        <v>1187</v>
      </c>
      <c r="CK906" s="476" t="s">
        <v>1187</v>
      </c>
      <c r="CL906" s="476" t="s">
        <v>1187</v>
      </c>
      <c r="CM906" s="476" t="str">
        <f>IF(VLOOKUP(BS906,'Données par municipalité'!$B$6:$E$1113,4,FALSE)="","non","oui")</f>
        <v>non</v>
      </c>
      <c r="CN906" s="410" t="s">
        <v>1124</v>
      </c>
      <c r="CO906" s="410" t="s">
        <v>1124</v>
      </c>
      <c r="CP906" s="410"/>
      <c r="CQ906" s="410"/>
      <c r="CR906" s="410"/>
      <c r="CS906" s="410" t="s">
        <v>1124</v>
      </c>
      <c r="CT906" s="410"/>
      <c r="CU906" s="410" t="s">
        <v>1124</v>
      </c>
      <c r="CV906" s="410" t="str">
        <f>IF(VLOOKUP(BS906,'Données par municipalité'!$B$6:$F$1113,4,FALSE)="","",VLOOKUP(BS906,'Données par municipalité'!$B$6:$F$1113,4,FALSE))</f>
        <v/>
      </c>
      <c r="CW906" s="476" t="s">
        <v>4723</v>
      </c>
      <c r="CX906" s="483" t="s">
        <v>1124</v>
      </c>
      <c r="CY906" s="483" t="s">
        <v>1124</v>
      </c>
      <c r="CZ906" s="483" t="s">
        <v>1124</v>
      </c>
      <c r="DA906" s="483" t="s">
        <v>1124</v>
      </c>
      <c r="DB906" s="483" t="s">
        <v>1124</v>
      </c>
      <c r="DC906" s="483" t="s">
        <v>1124</v>
      </c>
      <c r="DD906" s="483" t="s">
        <v>1124</v>
      </c>
      <c r="DE906" s="483" t="str">
        <f>IFERROR(SUM(VLOOKUP($BS906,'État &amp; Plan d''action'!$B$6:$Z$1113,18,FALSE),VLOOKUP($BS906,'État &amp; Plan d''action'!$B$6:$Z$1113,20,FALSE))/(VLOOKUP($BS906,'Données par municipalité'!$B$4:$L$1113,11,FALSE)),"")</f>
        <v/>
      </c>
      <c r="DF906" s="483" t="str">
        <f>IFERROR(SUM(VLOOKUP($BS906,'État &amp; Plan d''action'!$B$6:$Z$1113,19,FALSE),VLOOKUP($BS906,'État &amp; Plan d''action'!$B$6:$Z$1113,21,FALSE))/(VLOOKUP($BS906,'Données par municipalité'!$B$4:$L$1113,11,FALSE)),"")</f>
        <v/>
      </c>
      <c r="DG906" s="476" t="s">
        <v>4723</v>
      </c>
      <c r="DH906" s="484" t="s">
        <v>1124</v>
      </c>
      <c r="DI906" s="484" t="s">
        <v>1124</v>
      </c>
      <c r="DJ906" s="484">
        <v>0</v>
      </c>
      <c r="DK906" s="484">
        <v>0</v>
      </c>
      <c r="DL906" s="484" t="s">
        <v>1124</v>
      </c>
      <c r="DM906" s="484" t="s">
        <v>1124</v>
      </c>
      <c r="DN906" s="484" t="s">
        <v>1124</v>
      </c>
      <c r="DO906" s="484" t="s">
        <v>1124</v>
      </c>
      <c r="DP906" s="484" t="s">
        <v>1124</v>
      </c>
      <c r="DQ906" s="484" t="str">
        <f>IF(VLOOKUP($BS906,'État &amp; Plan d''action'!$B$6:$AJ$1113,28,FALSE)="","",VLOOKUP($BS906,'État &amp; Plan d''action'!$B$6:$AJ$1113,28,FALSE))</f>
        <v/>
      </c>
      <c r="DR906" s="70" t="str">
        <f>IF(VLOOKUP($BS906,'État &amp; Plan d''action'!$B$6:$AJ$1113,29,FALSE)="","",VLOOKUP($BS906,'État &amp; Plan d''action'!$B$6:$AJ$1113,29,FALSE))</f>
        <v/>
      </c>
      <c r="DS906" s="70" t="str">
        <f>IF(VLOOKUP($BS906,'État &amp; Plan d''action'!$B$6:$AJ$1113,30,FALSE)="","",VLOOKUP($BS906,'État &amp; Plan d''action'!$B$6:$AJ$1113,30,FALSE))</f>
        <v/>
      </c>
      <c r="DT906" s="70" t="s">
        <v>1124</v>
      </c>
      <c r="DU906" s="485" t="s">
        <v>1124</v>
      </c>
      <c r="DV906" s="485" t="s">
        <v>1124</v>
      </c>
      <c r="DW906" s="70" t="s">
        <v>1124</v>
      </c>
      <c r="DX906" s="70" t="s">
        <v>1124</v>
      </c>
      <c r="DY906" s="70" t="s">
        <v>1124</v>
      </c>
      <c r="DZ906" s="70" t="str">
        <f>VLOOKUP($BS906,'État &amp; Plan d''action'!$B$6:$AH$1113,31,FALSE)</f>
        <v/>
      </c>
      <c r="EA906" s="70" t="str">
        <f>VLOOKUP($BS906,'État &amp; Plan d''action'!$B$6:$AH$1113,32,FALSE)</f>
        <v/>
      </c>
      <c r="EB906" s="70" t="str">
        <f>VLOOKUP($BS906,'État &amp; Plan d''action'!$B$6:$AH$1113,33,FALSE)</f>
        <v/>
      </c>
      <c r="EC906" s="70" t="s">
        <v>1124</v>
      </c>
      <c r="ED906" s="70" t="s">
        <v>1124</v>
      </c>
      <c r="EE906" s="70" t="s">
        <v>1124</v>
      </c>
      <c r="EF906" s="70" t="s">
        <v>1124</v>
      </c>
      <c r="EG906" s="70" t="s">
        <v>1124</v>
      </c>
      <c r="EH906" s="72"/>
      <c r="EI906" s="72">
        <v>340</v>
      </c>
    </row>
    <row r="907" spans="71:139" x14ac:dyDescent="0.35">
      <c r="BS907" s="486">
        <v>57050</v>
      </c>
      <c r="BT907" s="479" t="s">
        <v>590</v>
      </c>
      <c r="BU907" s="479">
        <v>16</v>
      </c>
      <c r="BV907" s="476" t="s">
        <v>1187</v>
      </c>
      <c r="BW907" s="476" t="s">
        <v>1187</v>
      </c>
      <c r="BX907" s="476" t="s">
        <v>1187</v>
      </c>
      <c r="BY907" s="476" t="s">
        <v>1187</v>
      </c>
      <c r="BZ907" s="476" t="s">
        <v>1187</v>
      </c>
      <c r="CA907" s="476" t="s">
        <v>1187</v>
      </c>
      <c r="CB907" s="476" t="s">
        <v>1187</v>
      </c>
      <c r="CC907" s="476" t="s">
        <v>1187</v>
      </c>
      <c r="CD907" s="476" t="s">
        <v>1187</v>
      </c>
      <c r="CE907" s="476" t="s">
        <v>1188</v>
      </c>
      <c r="CF907" s="476" t="s">
        <v>1188</v>
      </c>
      <c r="CG907" s="476" t="s">
        <v>1187</v>
      </c>
      <c r="CH907" s="476" t="s">
        <v>1188</v>
      </c>
      <c r="CI907" s="476" t="s">
        <v>1188</v>
      </c>
      <c r="CJ907" s="476" t="s">
        <v>1188</v>
      </c>
      <c r="CK907" s="476" t="s">
        <v>1188</v>
      </c>
      <c r="CL907" s="476" t="s">
        <v>1188</v>
      </c>
      <c r="CM907" s="476" t="str">
        <f>IF(VLOOKUP(BS907,'Données par municipalité'!$B$6:$E$1113,4,FALSE)="","non","oui")</f>
        <v>oui</v>
      </c>
      <c r="CN907" s="410">
        <v>708</v>
      </c>
      <c r="CO907" s="410">
        <v>646.94632706078596</v>
      </c>
      <c r="CP907" s="410"/>
      <c r="CQ907" s="410">
        <v>528</v>
      </c>
      <c r="CR907" s="410">
        <v>561.59127625201938</v>
      </c>
      <c r="CS907" s="410">
        <v>613</v>
      </c>
      <c r="CT907" s="410">
        <v>529.1975959385378</v>
      </c>
      <c r="CU907" s="410">
        <v>611</v>
      </c>
      <c r="CV907" s="410">
        <f>IF(VLOOKUP(BS907,'Données par municipalité'!$B$6:$F$1113,4,FALSE)="","",VLOOKUP(BS907,'Données par municipalité'!$B$6:$F$1113,4,FALSE))</f>
        <v>581</v>
      </c>
      <c r="CW907" s="476" t="s">
        <v>4723</v>
      </c>
      <c r="CX907" s="483">
        <v>0</v>
      </c>
      <c r="CY907" s="483" t="s">
        <v>1124</v>
      </c>
      <c r="CZ907" s="483">
        <v>1</v>
      </c>
      <c r="DA907" s="483">
        <v>1</v>
      </c>
      <c r="DB907" s="483">
        <v>1</v>
      </c>
      <c r="DC907" s="483">
        <v>1</v>
      </c>
      <c r="DD907" s="483" t="s">
        <v>1124</v>
      </c>
      <c r="DE907" s="483" t="str">
        <f>IFERROR(SUM(VLOOKUP($BS907,'État &amp; Plan d''action'!$B$6:$Z$1113,18,FALSE),VLOOKUP($BS907,'État &amp; Plan d''action'!$B$6:$Z$1113,20,FALSE))/(VLOOKUP($BS907,'Données par municipalité'!$B$4:$L$1113,11,FALSE)),"")</f>
        <v/>
      </c>
      <c r="DF907" s="483" t="str">
        <f>IFERROR(SUM(VLOOKUP($BS907,'État &amp; Plan d''action'!$B$6:$Z$1113,19,FALSE),VLOOKUP($BS907,'État &amp; Plan d''action'!$B$6:$Z$1113,21,FALSE))/(VLOOKUP($BS907,'Données par municipalité'!$B$4:$L$1113,11,FALSE)),"")</f>
        <v/>
      </c>
      <c r="DG907" s="476" t="s">
        <v>4723</v>
      </c>
      <c r="DH907" s="484">
        <v>4</v>
      </c>
      <c r="DI907" s="484" t="s">
        <v>1124</v>
      </c>
      <c r="DJ907" s="484">
        <v>3</v>
      </c>
      <c r="DK907" s="484">
        <v>6</v>
      </c>
      <c r="DL907" s="484">
        <v>3</v>
      </c>
      <c r="DM907" s="484">
        <v>5</v>
      </c>
      <c r="DN907" s="484">
        <v>0</v>
      </c>
      <c r="DO907" s="484">
        <v>0</v>
      </c>
      <c r="DP907" s="484">
        <v>0</v>
      </c>
      <c r="DQ907" s="484">
        <f>IF(VLOOKUP($BS907,'État &amp; Plan d''action'!$B$6:$AJ$1113,28,FALSE)="","",VLOOKUP($BS907,'État &amp; Plan d''action'!$B$6:$AJ$1113,28,FALSE))</f>
        <v>0</v>
      </c>
      <c r="DR907" s="70">
        <f>IF(VLOOKUP($BS907,'État &amp; Plan d''action'!$B$6:$AJ$1113,29,FALSE)="","",VLOOKUP($BS907,'État &amp; Plan d''action'!$B$6:$AJ$1113,29,FALSE))</f>
        <v>0</v>
      </c>
      <c r="DS907" s="70">
        <f>IF(VLOOKUP($BS907,'État &amp; Plan d''action'!$B$6:$AJ$1113,30,FALSE)="","",VLOOKUP($BS907,'État &amp; Plan d''action'!$B$6:$AJ$1113,30,FALSE))</f>
        <v>0</v>
      </c>
      <c r="DT907" s="70">
        <v>228</v>
      </c>
      <c r="DU907" s="485" t="s">
        <v>1124</v>
      </c>
      <c r="DV907" s="485">
        <v>1.1000000000000001</v>
      </c>
      <c r="DW907" s="70">
        <v>0</v>
      </c>
      <c r="DX907" s="70">
        <v>0</v>
      </c>
      <c r="DY907" s="70">
        <v>0</v>
      </c>
      <c r="DZ907" s="70">
        <f>VLOOKUP($BS907,'État &amp; Plan d''action'!$B$6:$AH$1113,31,FALSE)</f>
        <v>0</v>
      </c>
      <c r="EA907" s="70">
        <f>VLOOKUP($BS907,'État &amp; Plan d''action'!$B$6:$AH$1113,32,FALSE)</f>
        <v>0</v>
      </c>
      <c r="EB907" s="70">
        <f>VLOOKUP($BS907,'État &amp; Plan d''action'!$B$6:$AH$1113,33,FALSE)</f>
        <v>0</v>
      </c>
      <c r="EC907" s="70">
        <v>0</v>
      </c>
      <c r="ED907" s="70">
        <v>0</v>
      </c>
      <c r="EE907" s="70">
        <v>0</v>
      </c>
      <c r="EF907" s="70">
        <v>0</v>
      </c>
      <c r="EG907" s="70">
        <v>0</v>
      </c>
      <c r="EH907" s="72">
        <v>67</v>
      </c>
      <c r="EI907" s="72">
        <v>2209</v>
      </c>
    </row>
    <row r="908" spans="71:139" x14ac:dyDescent="0.35">
      <c r="BS908" s="486">
        <v>29045</v>
      </c>
      <c r="BT908" s="479" t="s">
        <v>207</v>
      </c>
      <c r="BU908" s="479">
        <v>12</v>
      </c>
      <c r="BV908" s="476" t="s">
        <v>1187</v>
      </c>
      <c r="BW908" s="476" t="s">
        <v>1187</v>
      </c>
      <c r="BX908" s="476" t="s">
        <v>1187</v>
      </c>
      <c r="BY908" s="476" t="s">
        <v>1187</v>
      </c>
      <c r="BZ908" s="476" t="s">
        <v>1187</v>
      </c>
      <c r="CA908" s="476" t="s">
        <v>1187</v>
      </c>
      <c r="CB908" s="476" t="s">
        <v>1187</v>
      </c>
      <c r="CC908" s="476" t="s">
        <v>1187</v>
      </c>
      <c r="CD908" s="476" t="s">
        <v>1187</v>
      </c>
      <c r="CE908" s="476" t="s">
        <v>1188</v>
      </c>
      <c r="CF908" s="476" t="s">
        <v>1188</v>
      </c>
      <c r="CG908" s="476" t="s">
        <v>1188</v>
      </c>
      <c r="CH908" s="476" t="s">
        <v>1188</v>
      </c>
      <c r="CI908" s="476" t="s">
        <v>1188</v>
      </c>
      <c r="CJ908" s="476" t="s">
        <v>1188</v>
      </c>
      <c r="CK908" s="476" t="s">
        <v>1188</v>
      </c>
      <c r="CL908" s="476" t="s">
        <v>1188</v>
      </c>
      <c r="CM908" s="476" t="str">
        <f>IF(VLOOKUP(BS908,'Données par municipalité'!$B$6:$E$1113,4,FALSE)="","non","oui")</f>
        <v>oui</v>
      </c>
      <c r="CN908" s="410">
        <v>275.54725335547255</v>
      </c>
      <c r="CO908" s="410">
        <v>275.60026494452723</v>
      </c>
      <c r="CP908" s="410">
        <v>264.78760204787602</v>
      </c>
      <c r="CQ908" s="410">
        <v>258.11997173298539</v>
      </c>
      <c r="CR908" s="410">
        <v>249.27355749273556</v>
      </c>
      <c r="CS908" s="410">
        <v>206.00978879609312</v>
      </c>
      <c r="CT908" s="410">
        <v>196.00971059580601</v>
      </c>
      <c r="CU908" s="410">
        <v>214</v>
      </c>
      <c r="CV908" s="410">
        <f>IF(VLOOKUP(BS908,'Données par municipalité'!$B$6:$F$1113,4,FALSE)="","",VLOOKUP(BS908,'Données par municipalité'!$B$6:$F$1113,4,FALSE))</f>
        <v>227</v>
      </c>
      <c r="CW908" s="476" t="s">
        <v>4723</v>
      </c>
      <c r="CX908" s="483">
        <v>1</v>
      </c>
      <c r="CY908" s="483">
        <v>1</v>
      </c>
      <c r="CZ908" s="483">
        <v>1</v>
      </c>
      <c r="DA908" s="483">
        <v>1</v>
      </c>
      <c r="DB908" s="483">
        <v>0</v>
      </c>
      <c r="DC908" s="483">
        <v>0.4</v>
      </c>
      <c r="DD908" s="483">
        <v>0</v>
      </c>
      <c r="DE908" s="483">
        <f>IFERROR(SUM(VLOOKUP($BS908,'État &amp; Plan d''action'!$B$6:$Z$1113,18,FALSE),VLOOKUP($BS908,'État &amp; Plan d''action'!$B$6:$Z$1113,20,FALSE))/(VLOOKUP($BS908,'Données par municipalité'!$B$4:$L$1113,11,FALSE)),"")</f>
        <v>0</v>
      </c>
      <c r="DF908" s="483">
        <f>IFERROR(SUM(VLOOKUP($BS908,'État &amp; Plan d''action'!$B$6:$Z$1113,19,FALSE),VLOOKUP($BS908,'État &amp; Plan d''action'!$B$6:$Z$1113,21,FALSE))/(VLOOKUP($BS908,'Données par municipalité'!$B$4:$L$1113,11,FALSE)),"")</f>
        <v>0.25001124555800458</v>
      </c>
      <c r="DG908" s="476" t="s">
        <v>4723</v>
      </c>
      <c r="DH908" s="484">
        <v>1</v>
      </c>
      <c r="DI908" s="484">
        <v>3</v>
      </c>
      <c r="DJ908" s="484">
        <v>1</v>
      </c>
      <c r="DK908" s="484">
        <v>5</v>
      </c>
      <c r="DL908" s="484">
        <v>6</v>
      </c>
      <c r="DM908" s="484">
        <v>3</v>
      </c>
      <c r="DN908" s="484">
        <v>2</v>
      </c>
      <c r="DO908" s="484">
        <v>1</v>
      </c>
      <c r="DP908" s="484">
        <v>0</v>
      </c>
      <c r="DQ908" s="484">
        <f>IF(VLOOKUP($BS908,'État &amp; Plan d''action'!$B$6:$AJ$1113,28,FALSE)="","",VLOOKUP($BS908,'État &amp; Plan d''action'!$B$6:$AJ$1113,28,FALSE))</f>
        <v>7</v>
      </c>
      <c r="DR908" s="70">
        <f>IF(VLOOKUP($BS908,'État &amp; Plan d''action'!$B$6:$AJ$1113,29,FALSE)="","",VLOOKUP($BS908,'État &amp; Plan d''action'!$B$6:$AJ$1113,29,FALSE))</f>
        <v>0</v>
      </c>
      <c r="DS908" s="70">
        <f>IF(VLOOKUP($BS908,'État &amp; Plan d''action'!$B$6:$AJ$1113,30,FALSE)="","",VLOOKUP($BS908,'État &amp; Plan d''action'!$B$6:$AJ$1113,30,FALSE))</f>
        <v>0</v>
      </c>
      <c r="DT908" s="70">
        <v>192</v>
      </c>
      <c r="DU908" s="485">
        <v>0.47754242819834009</v>
      </c>
      <c r="DV908" s="485">
        <v>0.6243129016944402</v>
      </c>
      <c r="DW908" s="70">
        <v>2</v>
      </c>
      <c r="DX908" s="70">
        <v>2</v>
      </c>
      <c r="DY908" s="70">
        <v>0</v>
      </c>
      <c r="DZ908" s="70">
        <f>VLOOKUP($BS908,'État &amp; Plan d''action'!$B$6:$AH$1113,31,FALSE)</f>
        <v>1</v>
      </c>
      <c r="EA908" s="70">
        <f>VLOOKUP($BS908,'État &amp; Plan d''action'!$B$6:$AH$1113,32,FALSE)</f>
        <v>0</v>
      </c>
      <c r="EB908" s="70">
        <f>VLOOKUP($BS908,'État &amp; Plan d''action'!$B$6:$AH$1113,33,FALSE)</f>
        <v>0</v>
      </c>
      <c r="EC908" s="70">
        <v>0</v>
      </c>
      <c r="ED908" s="70">
        <v>0</v>
      </c>
      <c r="EE908" s="70">
        <v>0</v>
      </c>
      <c r="EF908" s="70">
        <v>0</v>
      </c>
      <c r="EG908" s="70">
        <v>0</v>
      </c>
      <c r="EH908" s="72">
        <v>59</v>
      </c>
      <c r="EI908" s="72">
        <v>2526</v>
      </c>
    </row>
    <row r="909" spans="71:139" x14ac:dyDescent="0.35">
      <c r="BS909" s="486">
        <v>55065</v>
      </c>
      <c r="BT909" s="479" t="s">
        <v>566</v>
      </c>
      <c r="BU909" s="479">
        <v>16</v>
      </c>
      <c r="BV909" s="476" t="s">
        <v>1187</v>
      </c>
      <c r="BW909" s="476" t="s">
        <v>1187</v>
      </c>
      <c r="BX909" s="476" t="s">
        <v>1187</v>
      </c>
      <c r="BY909" s="476" t="s">
        <v>1187</v>
      </c>
      <c r="BZ909" s="476" t="s">
        <v>1187</v>
      </c>
      <c r="CA909" s="476" t="s">
        <v>1187</v>
      </c>
      <c r="CB909" s="476" t="s">
        <v>1187</v>
      </c>
      <c r="CC909" s="476" t="s">
        <v>1187</v>
      </c>
      <c r="CD909" s="476" t="s">
        <v>1187</v>
      </c>
      <c r="CE909" s="476" t="s">
        <v>1188</v>
      </c>
      <c r="CF909" s="476" t="s">
        <v>1188</v>
      </c>
      <c r="CG909" s="476" t="s">
        <v>1188</v>
      </c>
      <c r="CH909" s="476" t="s">
        <v>1188</v>
      </c>
      <c r="CI909" s="476" t="s">
        <v>1188</v>
      </c>
      <c r="CJ909" s="476" t="s">
        <v>1187</v>
      </c>
      <c r="CK909" s="476" t="s">
        <v>1187</v>
      </c>
      <c r="CL909" s="476" t="s">
        <v>1188</v>
      </c>
      <c r="CM909" s="476" t="str">
        <f>IF(VLOOKUP(BS909,'Données par municipalité'!$B$6:$E$1113,4,FALSE)="","non","oui")</f>
        <v>non</v>
      </c>
      <c r="CN909" s="410">
        <v>320.21606979586909</v>
      </c>
      <c r="CO909" s="410">
        <v>301.0150037109504</v>
      </c>
      <c r="CP909" s="410">
        <v>295.90020621973002</v>
      </c>
      <c r="CQ909" s="410">
        <v>295.279263749748</v>
      </c>
      <c r="CR909" s="410">
        <v>336.10500951848451</v>
      </c>
      <c r="CS909" s="410" t="s">
        <v>1124</v>
      </c>
      <c r="CT909" s="410"/>
      <c r="CU909" s="410">
        <v>283</v>
      </c>
      <c r="CV909" s="410" t="str">
        <f>IF(VLOOKUP(BS909,'Données par municipalité'!$B$6:$F$1113,4,FALSE)="","",VLOOKUP(BS909,'Données par municipalité'!$B$6:$F$1113,4,FALSE))</f>
        <v/>
      </c>
      <c r="CW909" s="476" t="s">
        <v>4723</v>
      </c>
      <c r="CX909" s="483">
        <v>0.5</v>
      </c>
      <c r="CY909" s="483">
        <v>0.25</v>
      </c>
      <c r="CZ909" s="483">
        <v>0.5</v>
      </c>
      <c r="DA909" s="483">
        <v>0.8</v>
      </c>
      <c r="DB909" s="483" t="s">
        <v>1124</v>
      </c>
      <c r="DC909" s="483" t="s">
        <v>1124</v>
      </c>
      <c r="DD909" s="483">
        <v>0</v>
      </c>
      <c r="DE909" s="483" t="str">
        <f>IFERROR(SUM(VLOOKUP($BS909,'État &amp; Plan d''action'!$B$6:$Z$1113,18,FALSE),VLOOKUP($BS909,'État &amp; Plan d''action'!$B$6:$Z$1113,20,FALSE))/(VLOOKUP($BS909,'Données par municipalité'!$B$4:$L$1113,11,FALSE)),"")</f>
        <v/>
      </c>
      <c r="DF909" s="483" t="str">
        <f>IFERROR(SUM(VLOOKUP($BS909,'État &amp; Plan d''action'!$B$6:$Z$1113,19,FALSE),VLOOKUP($BS909,'État &amp; Plan d''action'!$B$6:$Z$1113,21,FALSE))/(VLOOKUP($BS909,'Données par municipalité'!$B$4:$L$1113,11,FALSE)),"")</f>
        <v/>
      </c>
      <c r="DG909" s="476" t="s">
        <v>4723</v>
      </c>
      <c r="DH909" s="484">
        <v>9</v>
      </c>
      <c r="DI909" s="484">
        <v>3</v>
      </c>
      <c r="DJ909" s="484">
        <v>4</v>
      </c>
      <c r="DK909" s="484">
        <v>9</v>
      </c>
      <c r="DL909" s="484" t="s">
        <v>1124</v>
      </c>
      <c r="DM909" s="484" t="s">
        <v>1124</v>
      </c>
      <c r="DN909" s="484">
        <v>7</v>
      </c>
      <c r="DO909" s="484">
        <v>0</v>
      </c>
      <c r="DP909" s="484">
        <v>0</v>
      </c>
      <c r="DQ909" s="484" t="str">
        <f>IF(VLOOKUP($BS909,'État &amp; Plan d''action'!$B$6:$AJ$1113,28,FALSE)="","",VLOOKUP($BS909,'État &amp; Plan d''action'!$B$6:$AJ$1113,28,FALSE))</f>
        <v/>
      </c>
      <c r="DR909" s="70" t="str">
        <f>IF(VLOOKUP($BS909,'État &amp; Plan d''action'!$B$6:$AJ$1113,29,FALSE)="","",VLOOKUP($BS909,'État &amp; Plan d''action'!$B$6:$AJ$1113,29,FALSE))</f>
        <v/>
      </c>
      <c r="DS909" s="70" t="str">
        <f>IF(VLOOKUP($BS909,'État &amp; Plan d''action'!$B$6:$AJ$1113,30,FALSE)="","",VLOOKUP($BS909,'État &amp; Plan d''action'!$B$6:$AJ$1113,30,FALSE))</f>
        <v/>
      </c>
      <c r="DT909" s="70">
        <v>250</v>
      </c>
      <c r="DU909" s="485">
        <v>1.1405013394075085</v>
      </c>
      <c r="DV909" s="485" t="s">
        <v>1124</v>
      </c>
      <c r="DW909" s="70">
        <v>1</v>
      </c>
      <c r="DX909" s="70">
        <v>0</v>
      </c>
      <c r="DY909" s="70">
        <v>0</v>
      </c>
      <c r="DZ909" s="70" t="str">
        <f>VLOOKUP($BS909,'État &amp; Plan d''action'!$B$6:$AH$1113,31,FALSE)</f>
        <v/>
      </c>
      <c r="EA909" s="70" t="str">
        <f>VLOOKUP($BS909,'État &amp; Plan d''action'!$B$6:$AH$1113,32,FALSE)</f>
        <v/>
      </c>
      <c r="EB909" s="70" t="str">
        <f>VLOOKUP($BS909,'État &amp; Plan d''action'!$B$6:$AH$1113,33,FALSE)</f>
        <v/>
      </c>
      <c r="EC909" s="70">
        <v>0</v>
      </c>
      <c r="ED909" s="70">
        <v>0</v>
      </c>
      <c r="EE909" s="70">
        <v>0</v>
      </c>
      <c r="EF909" s="70">
        <v>0</v>
      </c>
      <c r="EG909" s="70">
        <v>0</v>
      </c>
      <c r="EH909" s="72">
        <v>57</v>
      </c>
      <c r="EI909" s="72">
        <v>4589</v>
      </c>
    </row>
    <row r="910" spans="71:139" x14ac:dyDescent="0.35">
      <c r="BS910" s="486">
        <v>67005</v>
      </c>
      <c r="BT910" s="479" t="s">
        <v>662</v>
      </c>
      <c r="BU910" s="479">
        <v>16</v>
      </c>
      <c r="BV910" s="476" t="s">
        <v>1187</v>
      </c>
      <c r="BW910" s="476" t="s">
        <v>1187</v>
      </c>
      <c r="BX910" s="476" t="s">
        <v>1187</v>
      </c>
      <c r="BY910" s="476" t="s">
        <v>1187</v>
      </c>
      <c r="BZ910" s="476" t="s">
        <v>1187</v>
      </c>
      <c r="CA910" s="476" t="s">
        <v>1187</v>
      </c>
      <c r="CB910" s="476" t="s">
        <v>1187</v>
      </c>
      <c r="CC910" s="476" t="s">
        <v>1187</v>
      </c>
      <c r="CD910" s="476" t="s">
        <v>1187</v>
      </c>
      <c r="CE910" s="476" t="s">
        <v>1188</v>
      </c>
      <c r="CF910" s="476" t="s">
        <v>1188</v>
      </c>
      <c r="CG910" s="476" t="s">
        <v>1188</v>
      </c>
      <c r="CH910" s="476" t="s">
        <v>1188</v>
      </c>
      <c r="CI910" s="476" t="s">
        <v>1188</v>
      </c>
      <c r="CJ910" s="476" t="s">
        <v>1188</v>
      </c>
      <c r="CK910" s="476" t="s">
        <v>1188</v>
      </c>
      <c r="CL910" s="476" t="s">
        <v>1187</v>
      </c>
      <c r="CM910" s="476" t="str">
        <f>IF(VLOOKUP(BS910,'Données par municipalité'!$B$6:$E$1113,4,FALSE)="","non","oui")</f>
        <v>non</v>
      </c>
      <c r="CN910" s="410">
        <v>322.43816084815882</v>
      </c>
      <c r="CO910" s="410">
        <v>315.38714885091497</v>
      </c>
      <c r="CP910" s="410">
        <v>280.5657713517196</v>
      </c>
      <c r="CQ910" s="410">
        <v>303.65954980911545</v>
      </c>
      <c r="CR910" s="410">
        <v>297.85661170948208</v>
      </c>
      <c r="CS910" s="410">
        <v>456.53687440613567</v>
      </c>
      <c r="CT910" s="410">
        <v>374.94504043571544</v>
      </c>
      <c r="CU910" s="410" t="s">
        <v>1124</v>
      </c>
      <c r="CV910" s="410" t="str">
        <f>IF(VLOOKUP(BS910,'Données par municipalité'!$B$6:$F$1113,4,FALSE)="","",VLOOKUP(BS910,'Données par municipalité'!$B$6:$F$1113,4,FALSE))</f>
        <v/>
      </c>
      <c r="CW910" s="476" t="s">
        <v>4723</v>
      </c>
      <c r="CX910" s="483">
        <v>0</v>
      </c>
      <c r="CY910" s="483">
        <v>1</v>
      </c>
      <c r="CZ910" s="483">
        <v>1</v>
      </c>
      <c r="DA910" s="483">
        <v>0</v>
      </c>
      <c r="DB910" s="483">
        <v>0</v>
      </c>
      <c r="DC910" s="483">
        <v>0</v>
      </c>
      <c r="DD910" s="483" t="s">
        <v>1124</v>
      </c>
      <c r="DE910" s="483" t="str">
        <f>IFERROR(SUM(VLOOKUP($BS910,'État &amp; Plan d''action'!$B$6:$Z$1113,18,FALSE),VLOOKUP($BS910,'État &amp; Plan d''action'!$B$6:$Z$1113,20,FALSE))/(VLOOKUP($BS910,'Données par municipalité'!$B$4:$L$1113,11,FALSE)),"")</f>
        <v/>
      </c>
      <c r="DF910" s="483" t="str">
        <f>IFERROR(SUM(VLOOKUP($BS910,'État &amp; Plan d''action'!$B$6:$Z$1113,19,FALSE),VLOOKUP($BS910,'État &amp; Plan d''action'!$B$6:$Z$1113,21,FALSE))/(VLOOKUP($BS910,'Données par municipalité'!$B$4:$L$1113,11,FALSE)),"")</f>
        <v/>
      </c>
      <c r="DG910" s="476" t="s">
        <v>4723</v>
      </c>
      <c r="DH910" s="484">
        <v>0</v>
      </c>
      <c r="DI910" s="484">
        <v>1</v>
      </c>
      <c r="DJ910" s="484">
        <v>1</v>
      </c>
      <c r="DK910" s="484">
        <v>0</v>
      </c>
      <c r="DL910" s="484">
        <v>1</v>
      </c>
      <c r="DM910" s="484">
        <v>0</v>
      </c>
      <c r="DN910" s="484" t="s">
        <v>1124</v>
      </c>
      <c r="DO910" s="484" t="s">
        <v>1124</v>
      </c>
      <c r="DP910" s="484" t="s">
        <v>1124</v>
      </c>
      <c r="DQ910" s="484" t="str">
        <f>IF(VLOOKUP($BS910,'État &amp; Plan d''action'!$B$6:$AJ$1113,28,FALSE)="","",VLOOKUP($BS910,'État &amp; Plan d''action'!$B$6:$AJ$1113,28,FALSE))</f>
        <v/>
      </c>
      <c r="DR910" s="70" t="str">
        <f>IF(VLOOKUP($BS910,'État &amp; Plan d''action'!$B$6:$AJ$1113,29,FALSE)="","",VLOOKUP($BS910,'État &amp; Plan d''action'!$B$6:$AJ$1113,29,FALSE))</f>
        <v/>
      </c>
      <c r="DS910" s="70" t="str">
        <f>IF(VLOOKUP($BS910,'État &amp; Plan d''action'!$B$6:$AJ$1113,30,FALSE)="","",VLOOKUP($BS910,'État &amp; Plan d''action'!$B$6:$AJ$1113,30,FALSE))</f>
        <v/>
      </c>
      <c r="DT910" s="70" t="s">
        <v>1124</v>
      </c>
      <c r="DU910" s="485" t="s">
        <v>1124</v>
      </c>
      <c r="DV910" s="485" t="s">
        <v>1124</v>
      </c>
      <c r="DW910" s="70" t="s">
        <v>1124</v>
      </c>
      <c r="DX910" s="70" t="s">
        <v>1124</v>
      </c>
      <c r="DY910" s="70" t="s">
        <v>1124</v>
      </c>
      <c r="DZ910" s="70" t="str">
        <f>VLOOKUP($BS910,'État &amp; Plan d''action'!$B$6:$AH$1113,31,FALSE)</f>
        <v/>
      </c>
      <c r="EA910" s="70" t="str">
        <f>VLOOKUP($BS910,'État &amp; Plan d''action'!$B$6:$AH$1113,32,FALSE)</f>
        <v/>
      </c>
      <c r="EB910" s="70" t="str">
        <f>VLOOKUP($BS910,'État &amp; Plan d''action'!$B$6:$AH$1113,33,FALSE)</f>
        <v/>
      </c>
      <c r="EC910" s="70" t="s">
        <v>1124</v>
      </c>
      <c r="ED910" s="70" t="s">
        <v>1124</v>
      </c>
      <c r="EE910" s="70" t="s">
        <v>1124</v>
      </c>
      <c r="EF910" s="70" t="s">
        <v>1124</v>
      </c>
      <c r="EG910" s="70" t="s">
        <v>1124</v>
      </c>
      <c r="EH910" s="72"/>
      <c r="EI910" s="72">
        <v>2313</v>
      </c>
    </row>
    <row r="911" spans="71:139" x14ac:dyDescent="0.35">
      <c r="BS911" s="486">
        <v>57045</v>
      </c>
      <c r="BT911" s="479" t="s">
        <v>589</v>
      </c>
      <c r="BU911" s="479">
        <v>16</v>
      </c>
      <c r="BV911" s="476" t="s">
        <v>1187</v>
      </c>
      <c r="BW911" s="476" t="s">
        <v>1187</v>
      </c>
      <c r="BX911" s="476" t="s">
        <v>1187</v>
      </c>
      <c r="BY911" s="476" t="s">
        <v>1187</v>
      </c>
      <c r="BZ911" s="476" t="s">
        <v>1187</v>
      </c>
      <c r="CA911" s="476" t="s">
        <v>1187</v>
      </c>
      <c r="CB911" s="476" t="s">
        <v>1187</v>
      </c>
      <c r="CC911" s="476" t="s">
        <v>1187</v>
      </c>
      <c r="CD911" s="476" t="s">
        <v>1187</v>
      </c>
      <c r="CE911" s="476" t="s">
        <v>1188</v>
      </c>
      <c r="CF911" s="476" t="s">
        <v>1188</v>
      </c>
      <c r="CG911" s="476" t="s">
        <v>1187</v>
      </c>
      <c r="CH911" s="476" t="s">
        <v>1188</v>
      </c>
      <c r="CI911" s="476" t="s">
        <v>1188</v>
      </c>
      <c r="CJ911" s="476" t="s">
        <v>1188</v>
      </c>
      <c r="CK911" s="476" t="s">
        <v>1188</v>
      </c>
      <c r="CL911" s="476" t="s">
        <v>1188</v>
      </c>
      <c r="CM911" s="476" t="str">
        <f>IF(VLOOKUP(BS911,'Données par municipalité'!$B$6:$E$1113,4,FALSE)="","non","oui")</f>
        <v>oui</v>
      </c>
      <c r="CN911" s="410">
        <v>708</v>
      </c>
      <c r="CO911" s="410">
        <v>646.94632706078596</v>
      </c>
      <c r="CP911" s="410"/>
      <c r="CQ911" s="410">
        <v>528</v>
      </c>
      <c r="CR911" s="410">
        <v>561.59127625201938</v>
      </c>
      <c r="CS911" s="410">
        <v>613</v>
      </c>
      <c r="CT911" s="410">
        <v>529.1975959385378</v>
      </c>
      <c r="CU911" s="410">
        <v>611</v>
      </c>
      <c r="CV911" s="410">
        <f>IF(VLOOKUP(BS911,'Données par municipalité'!$B$6:$F$1113,4,FALSE)="","",VLOOKUP(BS911,'Données par municipalité'!$B$6:$F$1113,4,FALSE))</f>
        <v>581</v>
      </c>
      <c r="CW911" s="476" t="s">
        <v>4723</v>
      </c>
      <c r="CX911" s="483">
        <v>0</v>
      </c>
      <c r="CY911" s="483" t="s">
        <v>1124</v>
      </c>
      <c r="CZ911" s="483">
        <v>1</v>
      </c>
      <c r="DA911" s="483">
        <v>1</v>
      </c>
      <c r="DB911" s="483">
        <v>1</v>
      </c>
      <c r="DC911" s="483">
        <v>1</v>
      </c>
      <c r="DD911" s="483" t="s">
        <v>1124</v>
      </c>
      <c r="DE911" s="483" t="str">
        <f>IFERROR(SUM(VLOOKUP($BS911,'État &amp; Plan d''action'!$B$6:$Z$1113,18,FALSE),VLOOKUP($BS911,'État &amp; Plan d''action'!$B$6:$Z$1113,20,FALSE))/(VLOOKUP($BS911,'Données par municipalité'!$B$4:$L$1113,11,FALSE)),"")</f>
        <v/>
      </c>
      <c r="DF911" s="483" t="str">
        <f>IFERROR(SUM(VLOOKUP($BS911,'État &amp; Plan d''action'!$B$6:$Z$1113,19,FALSE),VLOOKUP($BS911,'État &amp; Plan d''action'!$B$6:$Z$1113,21,FALSE))/(VLOOKUP($BS911,'Données par municipalité'!$B$4:$L$1113,11,FALSE)),"")</f>
        <v/>
      </c>
      <c r="DG911" s="476" t="s">
        <v>4723</v>
      </c>
      <c r="DH911" s="484">
        <v>5</v>
      </c>
      <c r="DI911" s="484" t="s">
        <v>1124</v>
      </c>
      <c r="DJ911" s="484">
        <v>2</v>
      </c>
      <c r="DK911" s="484">
        <v>2</v>
      </c>
      <c r="DL911" s="484">
        <v>6</v>
      </c>
      <c r="DM911" s="484">
        <v>4</v>
      </c>
      <c r="DN911" s="484">
        <v>0</v>
      </c>
      <c r="DO911" s="484">
        <v>0</v>
      </c>
      <c r="DP911" s="484">
        <v>0</v>
      </c>
      <c r="DQ911" s="484">
        <f>IF(VLOOKUP($BS911,'État &amp; Plan d''action'!$B$6:$AJ$1113,28,FALSE)="","",VLOOKUP($BS911,'État &amp; Plan d''action'!$B$6:$AJ$1113,28,FALSE))</f>
        <v>0</v>
      </c>
      <c r="DR911" s="70">
        <f>IF(VLOOKUP($BS911,'État &amp; Plan d''action'!$B$6:$AJ$1113,29,FALSE)="","",VLOOKUP($BS911,'État &amp; Plan d''action'!$B$6:$AJ$1113,29,FALSE))</f>
        <v>0</v>
      </c>
      <c r="DS911" s="70">
        <f>IF(VLOOKUP($BS911,'État &amp; Plan d''action'!$B$6:$AJ$1113,30,FALSE)="","",VLOOKUP($BS911,'État &amp; Plan d''action'!$B$6:$AJ$1113,30,FALSE))</f>
        <v>0</v>
      </c>
      <c r="DT911" s="70">
        <v>228</v>
      </c>
      <c r="DU911" s="485" t="s">
        <v>1124</v>
      </c>
      <c r="DV911" s="485">
        <v>1.1000000000000001</v>
      </c>
      <c r="DW911" s="70">
        <v>0</v>
      </c>
      <c r="DX911" s="70">
        <v>0</v>
      </c>
      <c r="DY911" s="70">
        <v>0</v>
      </c>
      <c r="DZ911" s="70">
        <f>VLOOKUP($BS911,'État &amp; Plan d''action'!$B$6:$AH$1113,31,FALSE)</f>
        <v>0</v>
      </c>
      <c r="EA911" s="70">
        <f>VLOOKUP($BS911,'État &amp; Plan d''action'!$B$6:$AH$1113,32,FALSE)</f>
        <v>0</v>
      </c>
      <c r="EB911" s="70">
        <f>VLOOKUP($BS911,'État &amp; Plan d''action'!$B$6:$AH$1113,33,FALSE)</f>
        <v>0</v>
      </c>
      <c r="EC911" s="70">
        <v>0</v>
      </c>
      <c r="ED911" s="70">
        <v>0</v>
      </c>
      <c r="EE911" s="70">
        <v>0</v>
      </c>
      <c r="EF911" s="70">
        <v>0</v>
      </c>
      <c r="EG911" s="70">
        <v>0</v>
      </c>
      <c r="EH911" s="72">
        <v>67</v>
      </c>
      <c r="EI911" s="72">
        <v>2729</v>
      </c>
    </row>
    <row r="912" spans="71:139" x14ac:dyDescent="0.35">
      <c r="BS912" s="486">
        <v>11050</v>
      </c>
      <c r="BT912" s="479" t="s">
        <v>26</v>
      </c>
      <c r="BU912" s="479">
        <v>1</v>
      </c>
      <c r="BV912" s="476" t="s">
        <v>1187</v>
      </c>
      <c r="BW912" s="476" t="s">
        <v>1187</v>
      </c>
      <c r="BX912" s="476" t="s">
        <v>1187</v>
      </c>
      <c r="BY912" s="476" t="s">
        <v>1187</v>
      </c>
      <c r="BZ912" s="476" t="s">
        <v>1187</v>
      </c>
      <c r="CA912" s="476" t="s">
        <v>1187</v>
      </c>
      <c r="CB912" s="476" t="s">
        <v>1187</v>
      </c>
      <c r="CC912" s="476" t="s">
        <v>1187</v>
      </c>
      <c r="CD912" s="476" t="s">
        <v>1187</v>
      </c>
      <c r="CE912" s="476" t="s">
        <v>1188</v>
      </c>
      <c r="CF912" s="476" t="s">
        <v>1188</v>
      </c>
      <c r="CG912" s="476" t="s">
        <v>1188</v>
      </c>
      <c r="CH912" s="476" t="s">
        <v>1187</v>
      </c>
      <c r="CI912" s="476" t="s">
        <v>1187</v>
      </c>
      <c r="CJ912" s="476" t="s">
        <v>1188</v>
      </c>
      <c r="CK912" s="476" t="s">
        <v>1188</v>
      </c>
      <c r="CL912" s="476" t="s">
        <v>1188</v>
      </c>
      <c r="CM912" s="476" t="str">
        <f>IF(VLOOKUP(BS912,'Données par municipalité'!$B$6:$E$1113,4,FALSE)="","non","oui")</f>
        <v>oui</v>
      </c>
      <c r="CN912" s="410">
        <v>306.25286753621288</v>
      </c>
      <c r="CO912" s="410">
        <v>295.92052420207148</v>
      </c>
      <c r="CP912" s="410">
        <v>358.34706454988947</v>
      </c>
      <c r="CQ912" s="410"/>
      <c r="CR912" s="410"/>
      <c r="CS912" s="410">
        <v>304.57343920731211</v>
      </c>
      <c r="CT912" s="410">
        <v>275.1362651333983</v>
      </c>
      <c r="CU912" s="410">
        <v>246</v>
      </c>
      <c r="CV912" s="410">
        <f>IF(VLOOKUP(BS912,'Données par municipalité'!$B$6:$F$1113,4,FALSE)="","",VLOOKUP(BS912,'Données par municipalité'!$B$6:$F$1113,4,FALSE))</f>
        <v>245</v>
      </c>
      <c r="CW912" s="476" t="s">
        <v>4723</v>
      </c>
      <c r="CX912" s="483">
        <v>0</v>
      </c>
      <c r="CY912" s="483">
        <v>0.01</v>
      </c>
      <c r="CZ912" s="483" t="s">
        <v>1124</v>
      </c>
      <c r="DA912" s="483" t="s">
        <v>1124</v>
      </c>
      <c r="DB912" s="483">
        <v>1</v>
      </c>
      <c r="DC912" s="483">
        <v>1</v>
      </c>
      <c r="DD912" s="483">
        <v>0</v>
      </c>
      <c r="DE912" s="483">
        <f>IFERROR(SUM(VLOOKUP($BS912,'État &amp; Plan d''action'!$B$6:$Z$1113,18,FALSE),VLOOKUP($BS912,'État &amp; Plan d''action'!$B$6:$Z$1113,20,FALSE))/(VLOOKUP($BS912,'Données par municipalité'!$B$4:$L$1113,11,FALSE)),"")</f>
        <v>0</v>
      </c>
      <c r="DF912" s="483">
        <f>IFERROR(SUM(VLOOKUP($BS912,'État &amp; Plan d''action'!$B$6:$Z$1113,19,FALSE),VLOOKUP($BS912,'État &amp; Plan d''action'!$B$6:$Z$1113,21,FALSE))/(VLOOKUP($BS912,'Données par municipalité'!$B$4:$L$1113,11,FALSE)),"")</f>
        <v>1.0000000000000002</v>
      </c>
      <c r="DG912" s="476" t="s">
        <v>4723</v>
      </c>
      <c r="DH912" s="484">
        <v>1</v>
      </c>
      <c r="DI912" s="484">
        <v>1</v>
      </c>
      <c r="DJ912" s="484">
        <v>0</v>
      </c>
      <c r="DK912" s="484">
        <v>0</v>
      </c>
      <c r="DL912" s="484">
        <v>0</v>
      </c>
      <c r="DM912" s="484">
        <v>4</v>
      </c>
      <c r="DN912" s="484">
        <v>0</v>
      </c>
      <c r="DO912" s="484">
        <v>0</v>
      </c>
      <c r="DP912" s="484">
        <v>0</v>
      </c>
      <c r="DQ912" s="484">
        <f>IF(VLOOKUP($BS912,'État &amp; Plan d''action'!$B$6:$AJ$1113,28,FALSE)="","",VLOOKUP($BS912,'État &amp; Plan d''action'!$B$6:$AJ$1113,28,FALSE))</f>
        <v>0</v>
      </c>
      <c r="DR912" s="70">
        <f>IF(VLOOKUP($BS912,'État &amp; Plan d''action'!$B$6:$AJ$1113,29,FALSE)="","",VLOOKUP($BS912,'État &amp; Plan d''action'!$B$6:$AJ$1113,29,FALSE))</f>
        <v>0</v>
      </c>
      <c r="DS912" s="70">
        <f>IF(VLOOKUP($BS912,'État &amp; Plan d''action'!$B$6:$AJ$1113,30,FALSE)="","",VLOOKUP($BS912,'État &amp; Plan d''action'!$B$6:$AJ$1113,30,FALSE))</f>
        <v>0</v>
      </c>
      <c r="DT912" s="70">
        <v>178</v>
      </c>
      <c r="DU912" s="485">
        <v>1.9194775050316135</v>
      </c>
      <c r="DV912" s="485">
        <v>0.87410568502284181</v>
      </c>
      <c r="DW912" s="70">
        <v>5</v>
      </c>
      <c r="DX912" s="70">
        <v>5</v>
      </c>
      <c r="DY912" s="70">
        <v>20</v>
      </c>
      <c r="DZ912" s="70">
        <f>VLOOKUP($BS912,'État &amp; Plan d''action'!$B$6:$AH$1113,31,FALSE)</f>
        <v>0</v>
      </c>
      <c r="EA912" s="70">
        <f>VLOOKUP($BS912,'État &amp; Plan d''action'!$B$6:$AH$1113,32,FALSE)</f>
        <v>0</v>
      </c>
      <c r="EB912" s="70">
        <f>VLOOKUP($BS912,'État &amp; Plan d''action'!$B$6:$AH$1113,33,FALSE)</f>
        <v>0</v>
      </c>
      <c r="EC912" s="70">
        <v>0</v>
      </c>
      <c r="ED912" s="70">
        <v>0</v>
      </c>
      <c r="EE912" s="70">
        <v>0</v>
      </c>
      <c r="EF912" s="70">
        <v>0</v>
      </c>
      <c r="EG912" s="70">
        <v>0</v>
      </c>
      <c r="EH912" s="72">
        <v>59</v>
      </c>
      <c r="EI912" s="72">
        <v>659</v>
      </c>
    </row>
    <row r="913" spans="71:139" x14ac:dyDescent="0.35">
      <c r="BS913" s="486">
        <v>88050</v>
      </c>
      <c r="BT913" s="479" t="s">
        <v>919</v>
      </c>
      <c r="BU913" s="479">
        <v>8</v>
      </c>
      <c r="BV913" s="476" t="s">
        <v>1188</v>
      </c>
      <c r="BW913" s="476" t="s">
        <v>1188</v>
      </c>
      <c r="BX913" s="476" t="s">
        <v>1188</v>
      </c>
      <c r="BY913" s="476" t="s">
        <v>1188</v>
      </c>
      <c r="BZ913" s="476" t="s">
        <v>1188</v>
      </c>
      <c r="CA913" s="476" t="s">
        <v>1188</v>
      </c>
      <c r="CB913" s="476" t="s">
        <v>1188</v>
      </c>
      <c r="CC913" s="476" t="s">
        <v>1188</v>
      </c>
      <c r="CD913" s="476" t="s">
        <v>1188</v>
      </c>
      <c r="CE913" s="476" t="s">
        <v>1187</v>
      </c>
      <c r="CF913" s="476" t="s">
        <v>1187</v>
      </c>
      <c r="CG913" s="476" t="s">
        <v>1187</v>
      </c>
      <c r="CH913" s="476" t="s">
        <v>1187</v>
      </c>
      <c r="CI913" s="476" t="s">
        <v>1187</v>
      </c>
      <c r="CJ913" s="476" t="s">
        <v>1187</v>
      </c>
      <c r="CK913" s="476" t="s">
        <v>1187</v>
      </c>
      <c r="CL913" s="476" t="s">
        <v>1187</v>
      </c>
      <c r="CM913" s="476" t="str">
        <f>IF(VLOOKUP(BS913,'Données par municipalité'!$B$6:$E$1113,4,FALSE)="","non","oui")</f>
        <v>non</v>
      </c>
      <c r="CN913" s="410" t="s">
        <v>1124</v>
      </c>
      <c r="CO913" s="410" t="s">
        <v>1124</v>
      </c>
      <c r="CP913" s="410"/>
      <c r="CQ913" s="410"/>
      <c r="CR913" s="410"/>
      <c r="CS913" s="410" t="s">
        <v>1124</v>
      </c>
      <c r="CT913" s="410"/>
      <c r="CU913" s="410" t="s">
        <v>1124</v>
      </c>
      <c r="CV913" s="410" t="str">
        <f>IF(VLOOKUP(BS913,'Données par municipalité'!$B$6:$F$1113,4,FALSE)="","",VLOOKUP(BS913,'Données par municipalité'!$B$6:$F$1113,4,FALSE))</f>
        <v/>
      </c>
      <c r="CW913" s="476" t="s">
        <v>4723</v>
      </c>
      <c r="CX913" s="483" t="s">
        <v>1124</v>
      </c>
      <c r="CY913" s="483" t="s">
        <v>1124</v>
      </c>
      <c r="CZ913" s="483" t="s">
        <v>1124</v>
      </c>
      <c r="DA913" s="483" t="s">
        <v>1124</v>
      </c>
      <c r="DB913" s="483" t="s">
        <v>1124</v>
      </c>
      <c r="DC913" s="483" t="s">
        <v>1124</v>
      </c>
      <c r="DD913" s="483" t="s">
        <v>1124</v>
      </c>
      <c r="DE913" s="483" t="str">
        <f>IFERROR(SUM(VLOOKUP($BS913,'État &amp; Plan d''action'!$B$6:$Z$1113,18,FALSE),VLOOKUP($BS913,'État &amp; Plan d''action'!$B$6:$Z$1113,20,FALSE))/(VLOOKUP($BS913,'Données par municipalité'!$B$4:$L$1113,11,FALSE)),"")</f>
        <v/>
      </c>
      <c r="DF913" s="483" t="str">
        <f>IFERROR(SUM(VLOOKUP($BS913,'État &amp; Plan d''action'!$B$6:$Z$1113,19,FALSE),VLOOKUP($BS913,'État &amp; Plan d''action'!$B$6:$Z$1113,21,FALSE))/(VLOOKUP($BS913,'Données par municipalité'!$B$4:$L$1113,11,FALSE)),"")</f>
        <v/>
      </c>
      <c r="DG913" s="476" t="s">
        <v>4723</v>
      </c>
      <c r="DH913" s="484" t="s">
        <v>1124</v>
      </c>
      <c r="DI913" s="484" t="s">
        <v>1124</v>
      </c>
      <c r="DJ913" s="484">
        <v>0</v>
      </c>
      <c r="DK913" s="484">
        <v>0</v>
      </c>
      <c r="DL913" s="484" t="s">
        <v>1124</v>
      </c>
      <c r="DM913" s="484" t="s">
        <v>1124</v>
      </c>
      <c r="DN913" s="484" t="s">
        <v>1124</v>
      </c>
      <c r="DO913" s="484" t="s">
        <v>1124</v>
      </c>
      <c r="DP913" s="484" t="s">
        <v>1124</v>
      </c>
      <c r="DQ913" s="484" t="str">
        <f>IF(VLOOKUP($BS913,'État &amp; Plan d''action'!$B$6:$AJ$1113,28,FALSE)="","",VLOOKUP($BS913,'État &amp; Plan d''action'!$B$6:$AJ$1113,28,FALSE))</f>
        <v/>
      </c>
      <c r="DR913" s="70" t="str">
        <f>IF(VLOOKUP($BS913,'État &amp; Plan d''action'!$B$6:$AJ$1113,29,FALSE)="","",VLOOKUP($BS913,'État &amp; Plan d''action'!$B$6:$AJ$1113,29,FALSE))</f>
        <v/>
      </c>
      <c r="DS913" s="70" t="str">
        <f>IF(VLOOKUP($BS913,'État &amp; Plan d''action'!$B$6:$AJ$1113,30,FALSE)="","",VLOOKUP($BS913,'État &amp; Plan d''action'!$B$6:$AJ$1113,30,FALSE))</f>
        <v/>
      </c>
      <c r="DT913" s="70" t="s">
        <v>1124</v>
      </c>
      <c r="DU913" s="485" t="s">
        <v>1124</v>
      </c>
      <c r="DV913" s="485" t="s">
        <v>1124</v>
      </c>
      <c r="DW913" s="70" t="s">
        <v>1124</v>
      </c>
      <c r="DX913" s="70" t="s">
        <v>1124</v>
      </c>
      <c r="DY913" s="70" t="s">
        <v>1124</v>
      </c>
      <c r="DZ913" s="70" t="str">
        <f>VLOOKUP($BS913,'État &amp; Plan d''action'!$B$6:$AH$1113,31,FALSE)</f>
        <v/>
      </c>
      <c r="EA913" s="70" t="str">
        <f>VLOOKUP($BS913,'État &amp; Plan d''action'!$B$6:$AH$1113,32,FALSE)</f>
        <v/>
      </c>
      <c r="EB913" s="70" t="str">
        <f>VLOOKUP($BS913,'État &amp; Plan d''action'!$B$6:$AH$1113,33,FALSE)</f>
        <v/>
      </c>
      <c r="EC913" s="70" t="s">
        <v>1124</v>
      </c>
      <c r="ED913" s="70" t="s">
        <v>1124</v>
      </c>
      <c r="EE913" s="70" t="s">
        <v>1124</v>
      </c>
      <c r="EF913" s="70" t="s">
        <v>1124</v>
      </c>
      <c r="EG913" s="70" t="s">
        <v>1124</v>
      </c>
      <c r="EH913" s="72"/>
      <c r="EI913" s="72">
        <v>766</v>
      </c>
    </row>
    <row r="914" spans="71:139" x14ac:dyDescent="0.35">
      <c r="BS914" s="486">
        <v>51070</v>
      </c>
      <c r="BT914" s="479" t="s">
        <v>510</v>
      </c>
      <c r="BU914" s="479">
        <v>4</v>
      </c>
      <c r="BV914" s="476" t="s">
        <v>1187</v>
      </c>
      <c r="BW914" s="476" t="s">
        <v>1187</v>
      </c>
      <c r="BX914" s="476" t="s">
        <v>1187</v>
      </c>
      <c r="BY914" s="476" t="s">
        <v>1187</v>
      </c>
      <c r="BZ914" s="476" t="s">
        <v>1187</v>
      </c>
      <c r="CA914" s="476" t="s">
        <v>1187</v>
      </c>
      <c r="CB914" s="476" t="s">
        <v>1187</v>
      </c>
      <c r="CC914" s="476" t="s">
        <v>1187</v>
      </c>
      <c r="CD914" s="476" t="s">
        <v>1187</v>
      </c>
      <c r="CE914" s="476" t="s">
        <v>1188</v>
      </c>
      <c r="CF914" s="476" t="s">
        <v>1188</v>
      </c>
      <c r="CG914" s="476" t="s">
        <v>1187</v>
      </c>
      <c r="CH914" s="476" t="s">
        <v>1187</v>
      </c>
      <c r="CI914" s="476" t="s">
        <v>1188</v>
      </c>
      <c r="CJ914" s="476" t="s">
        <v>1187</v>
      </c>
      <c r="CK914" s="476" t="s">
        <v>1188</v>
      </c>
      <c r="CL914" s="476" t="s">
        <v>1188</v>
      </c>
      <c r="CM914" s="476" t="str">
        <f>IF(VLOOKUP(BS914,'Données par municipalité'!$B$6:$E$1113,4,FALSE)="","non","oui")</f>
        <v>non</v>
      </c>
      <c r="CN914" s="410">
        <v>245.32842177967078</v>
      </c>
      <c r="CO914" s="410">
        <v>279.0777080187699</v>
      </c>
      <c r="CP914" s="410"/>
      <c r="CQ914" s="410"/>
      <c r="CR914" s="410">
        <v>214.46734431744829</v>
      </c>
      <c r="CS914" s="410" t="s">
        <v>1124</v>
      </c>
      <c r="CT914" s="410">
        <v>268.19633882820847</v>
      </c>
      <c r="CU914" s="410">
        <v>296</v>
      </c>
      <c r="CV914" s="410" t="str">
        <f>IF(VLOOKUP(BS914,'Données par municipalité'!$B$6:$F$1113,4,FALSE)="","",VLOOKUP(BS914,'Données par municipalité'!$B$6:$F$1113,4,FALSE))</f>
        <v/>
      </c>
      <c r="CW914" s="476" t="s">
        <v>4723</v>
      </c>
      <c r="CX914" s="483">
        <v>1</v>
      </c>
      <c r="CY914" s="483" t="s">
        <v>1124</v>
      </c>
      <c r="CZ914" s="483" t="s">
        <v>1124</v>
      </c>
      <c r="DA914" s="483">
        <v>0</v>
      </c>
      <c r="DB914" s="483" t="s">
        <v>1124</v>
      </c>
      <c r="DC914" s="483">
        <v>0</v>
      </c>
      <c r="DD914" s="483">
        <v>0</v>
      </c>
      <c r="DE914" s="483" t="str">
        <f>IFERROR(SUM(VLOOKUP($BS914,'État &amp; Plan d''action'!$B$6:$Z$1113,18,FALSE),VLOOKUP($BS914,'État &amp; Plan d''action'!$B$6:$Z$1113,20,FALSE))/(VLOOKUP($BS914,'Données par municipalité'!$B$4:$L$1113,11,FALSE)),"")</f>
        <v/>
      </c>
      <c r="DF914" s="483" t="str">
        <f>IFERROR(SUM(VLOOKUP($BS914,'État &amp; Plan d''action'!$B$6:$Z$1113,19,FALSE),VLOOKUP($BS914,'État &amp; Plan d''action'!$B$6:$Z$1113,21,FALSE))/(VLOOKUP($BS914,'Données par municipalité'!$B$4:$L$1113,11,FALSE)),"")</f>
        <v/>
      </c>
      <c r="DG914" s="476" t="s">
        <v>4723</v>
      </c>
      <c r="DH914" s="484">
        <v>1</v>
      </c>
      <c r="DI914" s="484" t="s">
        <v>1124</v>
      </c>
      <c r="DJ914" s="484">
        <v>0</v>
      </c>
      <c r="DK914" s="484">
        <v>1</v>
      </c>
      <c r="DL914" s="484" t="s">
        <v>1124</v>
      </c>
      <c r="DM914" s="484">
        <v>3</v>
      </c>
      <c r="DN914" s="484">
        <v>0</v>
      </c>
      <c r="DO914" s="484">
        <v>0</v>
      </c>
      <c r="DP914" s="484">
        <v>0</v>
      </c>
      <c r="DQ914" s="484" t="str">
        <f>IF(VLOOKUP($BS914,'État &amp; Plan d''action'!$B$6:$AJ$1113,28,FALSE)="","",VLOOKUP($BS914,'État &amp; Plan d''action'!$B$6:$AJ$1113,28,FALSE))</f>
        <v/>
      </c>
      <c r="DR914" s="70" t="str">
        <f>IF(VLOOKUP($BS914,'État &amp; Plan d''action'!$B$6:$AJ$1113,29,FALSE)="","",VLOOKUP($BS914,'État &amp; Plan d''action'!$B$6:$AJ$1113,29,FALSE))</f>
        <v/>
      </c>
      <c r="DS914" s="70" t="str">
        <f>IF(VLOOKUP($BS914,'État &amp; Plan d''action'!$B$6:$AJ$1113,30,FALSE)="","",VLOOKUP($BS914,'État &amp; Plan d''action'!$B$6:$AJ$1113,30,FALSE))</f>
        <v/>
      </c>
      <c r="DT914" s="70">
        <v>218</v>
      </c>
      <c r="DU914" s="485">
        <v>1.9956094586674731</v>
      </c>
      <c r="DV914" s="485" t="s">
        <v>1124</v>
      </c>
      <c r="DW914" s="70">
        <v>0</v>
      </c>
      <c r="DX914" s="70">
        <v>0</v>
      </c>
      <c r="DY914" s="70">
        <v>0</v>
      </c>
      <c r="DZ914" s="70" t="str">
        <f>VLOOKUP($BS914,'État &amp; Plan d''action'!$B$6:$AH$1113,31,FALSE)</f>
        <v/>
      </c>
      <c r="EA914" s="70" t="str">
        <f>VLOOKUP($BS914,'État &amp; Plan d''action'!$B$6:$AH$1113,32,FALSE)</f>
        <v/>
      </c>
      <c r="EB914" s="70" t="str">
        <f>VLOOKUP($BS914,'État &amp; Plan d''action'!$B$6:$AH$1113,33,FALSE)</f>
        <v/>
      </c>
      <c r="EC914" s="70">
        <v>0</v>
      </c>
      <c r="ED914" s="70">
        <v>0</v>
      </c>
      <c r="EE914" s="70">
        <v>0</v>
      </c>
      <c r="EF914" s="70">
        <v>0</v>
      </c>
      <c r="EG914" s="70">
        <v>0</v>
      </c>
      <c r="EH914" s="72">
        <v>58</v>
      </c>
      <c r="EI914" s="72">
        <v>1340</v>
      </c>
    </row>
    <row r="915" spans="71:139" x14ac:dyDescent="0.35">
      <c r="BS915" s="486">
        <v>37230</v>
      </c>
      <c r="BT915" s="479" t="s">
        <v>320</v>
      </c>
      <c r="BU915" s="479">
        <v>4</v>
      </c>
      <c r="BV915" s="476" t="s">
        <v>1187</v>
      </c>
      <c r="BW915" s="476" t="s">
        <v>1187</v>
      </c>
      <c r="BX915" s="476" t="s">
        <v>1187</v>
      </c>
      <c r="BY915" s="476" t="s">
        <v>1187</v>
      </c>
      <c r="BZ915" s="476" t="s">
        <v>1187</v>
      </c>
      <c r="CA915" s="476" t="s">
        <v>1187</v>
      </c>
      <c r="CB915" s="476" t="s">
        <v>1187</v>
      </c>
      <c r="CC915" s="476" t="s">
        <v>1187</v>
      </c>
      <c r="CD915" s="476" t="s">
        <v>1187</v>
      </c>
      <c r="CE915" s="476" t="s">
        <v>1188</v>
      </c>
      <c r="CF915" s="476" t="s">
        <v>1188</v>
      </c>
      <c r="CG915" s="476" t="s">
        <v>1188</v>
      </c>
      <c r="CH915" s="476" t="s">
        <v>1188</v>
      </c>
      <c r="CI915" s="476" t="s">
        <v>1188</v>
      </c>
      <c r="CJ915" s="476" t="s">
        <v>1188</v>
      </c>
      <c r="CK915" s="476" t="s">
        <v>1188</v>
      </c>
      <c r="CL915" s="476" t="s">
        <v>1188</v>
      </c>
      <c r="CM915" s="476" t="str">
        <f>IF(VLOOKUP(BS915,'Données par municipalité'!$B$6:$E$1113,4,FALSE)="","non","oui")</f>
        <v>oui</v>
      </c>
      <c r="CN915" s="410">
        <v>367.99728985374003</v>
      </c>
      <c r="CO915" s="410">
        <v>326.93194780540102</v>
      </c>
      <c r="CP915" s="410">
        <v>307.71925812427105</v>
      </c>
      <c r="CQ915" s="410">
        <v>320.0509107087442</v>
      </c>
      <c r="CR915" s="410">
        <v>334.22834247739138</v>
      </c>
      <c r="CS915" s="410">
        <v>333.74219591656612</v>
      </c>
      <c r="CT915" s="410">
        <v>300.77777610893764</v>
      </c>
      <c r="CU915" s="410">
        <v>283</v>
      </c>
      <c r="CV915" s="410">
        <f>IF(VLOOKUP(BS915,'Données par municipalité'!$B$6:$F$1113,4,FALSE)="","",VLOOKUP(BS915,'Données par municipalité'!$B$6:$F$1113,4,FALSE))</f>
        <v>281</v>
      </c>
      <c r="CW915" s="476" t="s">
        <v>4723</v>
      </c>
      <c r="CX915" s="483">
        <v>0</v>
      </c>
      <c r="CY915" s="483">
        <v>0</v>
      </c>
      <c r="CZ915" s="483">
        <v>0.01</v>
      </c>
      <c r="DA915" s="483">
        <v>1</v>
      </c>
      <c r="DB915" s="483">
        <v>1</v>
      </c>
      <c r="DC915" s="483">
        <v>1</v>
      </c>
      <c r="DD915" s="483">
        <v>0</v>
      </c>
      <c r="DE915" s="483">
        <f>IFERROR(SUM(VLOOKUP($BS915,'État &amp; Plan d''action'!$B$6:$Z$1113,18,FALSE),VLOOKUP($BS915,'État &amp; Plan d''action'!$B$6:$Z$1113,20,FALSE))/(VLOOKUP($BS915,'Données par municipalité'!$B$4:$L$1113,11,FALSE)),"")</f>
        <v>0</v>
      </c>
      <c r="DF915" s="483">
        <f>IFERROR(SUM(VLOOKUP($BS915,'État &amp; Plan d''action'!$B$6:$Z$1113,19,FALSE),VLOOKUP($BS915,'État &amp; Plan d''action'!$B$6:$Z$1113,21,FALSE))/(VLOOKUP($BS915,'Données par municipalité'!$B$4:$L$1113,11,FALSE)),"")</f>
        <v>0</v>
      </c>
      <c r="DG915" s="476" t="s">
        <v>4723</v>
      </c>
      <c r="DH915" s="484">
        <v>0</v>
      </c>
      <c r="DI915" s="484">
        <v>0</v>
      </c>
      <c r="DJ915" s="484">
        <v>4</v>
      </c>
      <c r="DK915" s="484">
        <v>0</v>
      </c>
      <c r="DL915" s="484">
        <v>0</v>
      </c>
      <c r="DM915" s="484">
        <v>0</v>
      </c>
      <c r="DN915" s="484">
        <v>3</v>
      </c>
      <c r="DO915" s="484">
        <v>0</v>
      </c>
      <c r="DP915" s="484">
        <v>0</v>
      </c>
      <c r="DQ915" s="484">
        <f>IF(VLOOKUP($BS915,'État &amp; Plan d''action'!$B$6:$AJ$1113,28,FALSE)="","",VLOOKUP($BS915,'État &amp; Plan d''action'!$B$6:$AJ$1113,28,FALSE))</f>
        <v>3</v>
      </c>
      <c r="DR915" s="70">
        <f>IF(VLOOKUP($BS915,'État &amp; Plan d''action'!$B$6:$AJ$1113,29,FALSE)="","",VLOOKUP($BS915,'État &amp; Plan d''action'!$B$6:$AJ$1113,29,FALSE))</f>
        <v>0</v>
      </c>
      <c r="DS915" s="70">
        <f>IF(VLOOKUP($BS915,'État &amp; Plan d''action'!$B$6:$AJ$1113,30,FALSE)="","",VLOOKUP($BS915,'État &amp; Plan d''action'!$B$6:$AJ$1113,30,FALSE))</f>
        <v>2</v>
      </c>
      <c r="DT915" s="70">
        <v>204</v>
      </c>
      <c r="DU915" s="485">
        <v>1.5834701466001102</v>
      </c>
      <c r="DV915" s="485">
        <v>1.0415179702048853</v>
      </c>
      <c r="DW915" s="70">
        <v>1</v>
      </c>
      <c r="DX915" s="70">
        <v>0</v>
      </c>
      <c r="DY915" s="70">
        <v>0</v>
      </c>
      <c r="DZ915" s="70">
        <f>VLOOKUP($BS915,'État &amp; Plan d''action'!$B$6:$AH$1113,31,FALSE)</f>
        <v>1</v>
      </c>
      <c r="EA915" s="70">
        <f>VLOOKUP($BS915,'État &amp; Plan d''action'!$B$6:$AH$1113,32,FALSE)</f>
        <v>0</v>
      </c>
      <c r="EB915" s="70">
        <f>VLOOKUP($BS915,'État &amp; Plan d''action'!$B$6:$AH$1113,33,FALSE)</f>
        <v>1</v>
      </c>
      <c r="EC915" s="70">
        <v>0</v>
      </c>
      <c r="ED915" s="70">
        <v>0</v>
      </c>
      <c r="EE915" s="70">
        <v>0</v>
      </c>
      <c r="EF915" s="70">
        <v>0</v>
      </c>
      <c r="EG915" s="70">
        <v>0</v>
      </c>
      <c r="EH915" s="72">
        <v>62</v>
      </c>
      <c r="EI915" s="72">
        <v>3457</v>
      </c>
    </row>
    <row r="916" spans="71:139" x14ac:dyDescent="0.35">
      <c r="BS916" s="486">
        <v>4010</v>
      </c>
      <c r="BT916" s="479" t="s">
        <v>1037</v>
      </c>
      <c r="BU916" s="479">
        <v>11</v>
      </c>
      <c r="BV916" s="476" t="s">
        <v>1187</v>
      </c>
      <c r="BW916" s="476" t="s">
        <v>1187</v>
      </c>
      <c r="BX916" s="476" t="s">
        <v>1187</v>
      </c>
      <c r="BY916" s="476" t="s">
        <v>1187</v>
      </c>
      <c r="BZ916" s="476" t="s">
        <v>1187</v>
      </c>
      <c r="CA916" s="476" t="s">
        <v>1187</v>
      </c>
      <c r="CB916" s="476" t="s">
        <v>1187</v>
      </c>
      <c r="CC916" s="476" t="s">
        <v>1187</v>
      </c>
      <c r="CD916" s="476" t="s">
        <v>1187</v>
      </c>
      <c r="CE916" s="476" t="s">
        <v>1188</v>
      </c>
      <c r="CF916" s="476" t="s">
        <v>1188</v>
      </c>
      <c r="CG916" s="476" t="s">
        <v>1188</v>
      </c>
      <c r="CH916" s="476" t="s">
        <v>1188</v>
      </c>
      <c r="CI916" s="476" t="s">
        <v>1188</v>
      </c>
      <c r="CJ916" s="476" t="s">
        <v>1188</v>
      </c>
      <c r="CK916" s="476" t="s">
        <v>1188</v>
      </c>
      <c r="CL916" s="476" t="s">
        <v>1188</v>
      </c>
      <c r="CM916" s="476" t="str">
        <f>IF(VLOOKUP(BS916,'Données par municipalité'!$B$6:$E$1113,4,FALSE)="","non","oui")</f>
        <v>oui</v>
      </c>
      <c r="CN916" s="410">
        <v>504.19503680753769</v>
      </c>
      <c r="CO916" s="410">
        <v>705.90946980221759</v>
      </c>
      <c r="CP916" s="410">
        <v>566.2653819363826</v>
      </c>
      <c r="CQ916" s="410">
        <v>531.74684545306172</v>
      </c>
      <c r="CR916" s="410">
        <v>550.22991380637211</v>
      </c>
      <c r="CS916" s="410">
        <v>543.77963811505219</v>
      </c>
      <c r="CT916" s="410">
        <v>529.87049738609835</v>
      </c>
      <c r="CU916" s="410">
        <v>490</v>
      </c>
      <c r="CV916" s="410">
        <f>IF(VLOOKUP(BS916,'Données par municipalité'!$B$6:$F$1113,4,FALSE)="","",VLOOKUP(BS916,'Données par municipalité'!$B$6:$F$1113,4,FALSE))</f>
        <v>466</v>
      </c>
      <c r="CW916" s="476" t="s">
        <v>4723</v>
      </c>
      <c r="CX916" s="483">
        <v>0.02</v>
      </c>
      <c r="CY916" s="483">
        <v>0</v>
      </c>
      <c r="CZ916" s="483">
        <v>0.33</v>
      </c>
      <c r="DA916" s="483">
        <v>1</v>
      </c>
      <c r="DB916" s="483">
        <v>1</v>
      </c>
      <c r="DC916" s="483">
        <v>1</v>
      </c>
      <c r="DD916" s="483" t="s">
        <v>1124</v>
      </c>
      <c r="DE916" s="483">
        <f>IFERROR(SUM(VLOOKUP($BS916,'État &amp; Plan d''action'!$B$6:$Z$1113,18,FALSE),VLOOKUP($BS916,'État &amp; Plan d''action'!$B$6:$Z$1113,20,FALSE))/(VLOOKUP($BS916,'Données par municipalité'!$B$4:$L$1113,11,FALSE)),"")</f>
        <v>1</v>
      </c>
      <c r="DF916" s="483">
        <f>IFERROR(SUM(VLOOKUP($BS916,'État &amp; Plan d''action'!$B$6:$Z$1113,19,FALSE),VLOOKUP($BS916,'État &amp; Plan d''action'!$B$6:$Z$1113,21,FALSE))/(VLOOKUP($BS916,'Données par municipalité'!$B$4:$L$1113,11,FALSE)),"")</f>
        <v>1</v>
      </c>
      <c r="DG916" s="476" t="s">
        <v>4723</v>
      </c>
      <c r="DH916" s="484">
        <v>0</v>
      </c>
      <c r="DI916" s="484">
        <v>1</v>
      </c>
      <c r="DJ916" s="484">
        <v>3</v>
      </c>
      <c r="DK916" s="484">
        <v>4</v>
      </c>
      <c r="DL916" s="484">
        <v>1</v>
      </c>
      <c r="DM916" s="484">
        <v>2</v>
      </c>
      <c r="DN916" s="484">
        <v>2</v>
      </c>
      <c r="DO916" s="484">
        <v>2</v>
      </c>
      <c r="DP916" s="484">
        <v>0</v>
      </c>
      <c r="DQ916" s="484">
        <f>IF(VLOOKUP($BS916,'État &amp; Plan d''action'!$B$6:$AJ$1113,28,FALSE)="","",VLOOKUP($BS916,'État &amp; Plan d''action'!$B$6:$AJ$1113,28,FALSE))</f>
        <v>1</v>
      </c>
      <c r="DR916" s="70">
        <f>IF(VLOOKUP($BS916,'État &amp; Plan d''action'!$B$6:$AJ$1113,29,FALSE)="","",VLOOKUP($BS916,'État &amp; Plan d''action'!$B$6:$AJ$1113,29,FALSE))</f>
        <v>0</v>
      </c>
      <c r="DS916" s="70">
        <f>IF(VLOOKUP($BS916,'État &amp; Plan d''action'!$B$6:$AJ$1113,30,FALSE)="","",VLOOKUP($BS916,'État &amp; Plan d''action'!$B$6:$AJ$1113,30,FALSE))</f>
        <v>0</v>
      </c>
      <c r="DT916" s="70">
        <v>237</v>
      </c>
      <c r="DU916" s="485">
        <v>1.7949797813156896</v>
      </c>
      <c r="DV916" s="485">
        <v>2.7393019103509006</v>
      </c>
      <c r="DW916" s="70">
        <v>1</v>
      </c>
      <c r="DX916" s="70">
        <v>2</v>
      </c>
      <c r="DY916" s="70">
        <v>0</v>
      </c>
      <c r="DZ916" s="70">
        <f>VLOOKUP($BS916,'État &amp; Plan d''action'!$B$6:$AH$1113,31,FALSE)</f>
        <v>1</v>
      </c>
      <c r="EA916" s="70">
        <f>VLOOKUP($BS916,'État &amp; Plan d''action'!$B$6:$AH$1113,32,FALSE)</f>
        <v>0</v>
      </c>
      <c r="EB916" s="70">
        <f>VLOOKUP($BS916,'État &amp; Plan d''action'!$B$6:$AH$1113,33,FALSE)</f>
        <v>0</v>
      </c>
      <c r="EC916" s="70">
        <v>0</v>
      </c>
      <c r="ED916" s="70">
        <v>0</v>
      </c>
      <c r="EE916" s="70">
        <v>0</v>
      </c>
      <c r="EF916" s="70">
        <v>0</v>
      </c>
      <c r="EG916" s="70">
        <v>0</v>
      </c>
      <c r="EH916" s="72">
        <v>56.5</v>
      </c>
      <c r="EI916" s="72">
        <v>1127</v>
      </c>
    </row>
    <row r="917" spans="71:139" x14ac:dyDescent="0.35">
      <c r="BS917" s="486">
        <v>11025</v>
      </c>
      <c r="BT917" s="479" t="s">
        <v>21</v>
      </c>
      <c r="BU917" s="479">
        <v>1</v>
      </c>
      <c r="BV917" s="476" t="s">
        <v>1188</v>
      </c>
      <c r="BW917" s="476" t="s">
        <v>1188</v>
      </c>
      <c r="BX917" s="476" t="s">
        <v>1188</v>
      </c>
      <c r="BY917" s="476" t="s">
        <v>1188</v>
      </c>
      <c r="BZ917" s="476" t="s">
        <v>1188</v>
      </c>
      <c r="CA917" s="476" t="s">
        <v>1188</v>
      </c>
      <c r="CB917" s="476" t="s">
        <v>1188</v>
      </c>
      <c r="CC917" s="476" t="s">
        <v>1188</v>
      </c>
      <c r="CD917" s="476" t="s">
        <v>1188</v>
      </c>
      <c r="CE917" s="476" t="s">
        <v>1187</v>
      </c>
      <c r="CF917" s="476" t="s">
        <v>1187</v>
      </c>
      <c r="CG917" s="476" t="s">
        <v>1187</v>
      </c>
      <c r="CH917" s="476" t="s">
        <v>1187</v>
      </c>
      <c r="CI917" s="476" t="s">
        <v>1187</v>
      </c>
      <c r="CJ917" s="476" t="s">
        <v>1187</v>
      </c>
      <c r="CK917" s="476" t="s">
        <v>1187</v>
      </c>
      <c r="CL917" s="476" t="s">
        <v>1187</v>
      </c>
      <c r="CM917" s="476" t="str">
        <f>IF(VLOOKUP(BS917,'Données par municipalité'!$B$6:$E$1113,4,FALSE)="","non","oui")</f>
        <v>non</v>
      </c>
      <c r="CN917" s="410" t="s">
        <v>1124</v>
      </c>
      <c r="CO917" s="410" t="s">
        <v>1124</v>
      </c>
      <c r="CP917" s="410"/>
      <c r="CQ917" s="410"/>
      <c r="CR917" s="410"/>
      <c r="CS917" s="410" t="s">
        <v>1124</v>
      </c>
      <c r="CT917" s="410"/>
      <c r="CU917" s="410" t="s">
        <v>1124</v>
      </c>
      <c r="CV917" s="410" t="str">
        <f>IF(VLOOKUP(BS917,'Données par municipalité'!$B$6:$F$1113,4,FALSE)="","",VLOOKUP(BS917,'Données par municipalité'!$B$6:$F$1113,4,FALSE))</f>
        <v/>
      </c>
      <c r="CW917" s="476" t="s">
        <v>4723</v>
      </c>
      <c r="CX917" s="483" t="s">
        <v>1124</v>
      </c>
      <c r="CY917" s="483" t="s">
        <v>1124</v>
      </c>
      <c r="CZ917" s="483" t="s">
        <v>1124</v>
      </c>
      <c r="DA917" s="483" t="s">
        <v>1124</v>
      </c>
      <c r="DB917" s="483" t="s">
        <v>1124</v>
      </c>
      <c r="DC917" s="483" t="s">
        <v>1124</v>
      </c>
      <c r="DD917" s="483" t="s">
        <v>1124</v>
      </c>
      <c r="DE917" s="483" t="str">
        <f>IFERROR(SUM(VLOOKUP($BS917,'État &amp; Plan d''action'!$B$6:$Z$1113,18,FALSE),VLOOKUP($BS917,'État &amp; Plan d''action'!$B$6:$Z$1113,20,FALSE))/(VLOOKUP($BS917,'Données par municipalité'!$B$4:$L$1113,11,FALSE)),"")</f>
        <v/>
      </c>
      <c r="DF917" s="483" t="str">
        <f>IFERROR(SUM(VLOOKUP($BS917,'État &amp; Plan d''action'!$B$6:$Z$1113,19,FALSE),VLOOKUP($BS917,'État &amp; Plan d''action'!$B$6:$Z$1113,21,FALSE))/(VLOOKUP($BS917,'Données par municipalité'!$B$4:$L$1113,11,FALSE)),"")</f>
        <v/>
      </c>
      <c r="DG917" s="476" t="s">
        <v>4723</v>
      </c>
      <c r="DH917" s="484" t="s">
        <v>1124</v>
      </c>
      <c r="DI917" s="484" t="s">
        <v>1124</v>
      </c>
      <c r="DJ917" s="484">
        <v>0</v>
      </c>
      <c r="DK917" s="484">
        <v>0</v>
      </c>
      <c r="DL917" s="484" t="s">
        <v>1124</v>
      </c>
      <c r="DM917" s="484" t="s">
        <v>1124</v>
      </c>
      <c r="DN917" s="484" t="s">
        <v>1124</v>
      </c>
      <c r="DO917" s="484" t="s">
        <v>1124</v>
      </c>
      <c r="DP917" s="484" t="s">
        <v>1124</v>
      </c>
      <c r="DQ917" s="484" t="str">
        <f>IF(VLOOKUP($BS917,'État &amp; Plan d''action'!$B$6:$AJ$1113,28,FALSE)="","",VLOOKUP($BS917,'État &amp; Plan d''action'!$B$6:$AJ$1113,28,FALSE))</f>
        <v/>
      </c>
      <c r="DR917" s="70" t="str">
        <f>IF(VLOOKUP($BS917,'État &amp; Plan d''action'!$B$6:$AJ$1113,29,FALSE)="","",VLOOKUP($BS917,'État &amp; Plan d''action'!$B$6:$AJ$1113,29,FALSE))</f>
        <v/>
      </c>
      <c r="DS917" s="70" t="str">
        <f>IF(VLOOKUP($BS917,'État &amp; Plan d''action'!$B$6:$AJ$1113,30,FALSE)="","",VLOOKUP($BS917,'État &amp; Plan d''action'!$B$6:$AJ$1113,30,FALSE))</f>
        <v/>
      </c>
      <c r="DT917" s="70" t="s">
        <v>1124</v>
      </c>
      <c r="DU917" s="485" t="s">
        <v>1124</v>
      </c>
      <c r="DV917" s="485" t="s">
        <v>1124</v>
      </c>
      <c r="DW917" s="70" t="s">
        <v>1124</v>
      </c>
      <c r="DX917" s="70" t="s">
        <v>1124</v>
      </c>
      <c r="DY917" s="70" t="s">
        <v>1124</v>
      </c>
      <c r="DZ917" s="70" t="str">
        <f>VLOOKUP($BS917,'État &amp; Plan d''action'!$B$6:$AH$1113,31,FALSE)</f>
        <v/>
      </c>
      <c r="EA917" s="70" t="str">
        <f>VLOOKUP($BS917,'État &amp; Plan d''action'!$B$6:$AH$1113,32,FALSE)</f>
        <v/>
      </c>
      <c r="EB917" s="70" t="str">
        <f>VLOOKUP($BS917,'État &amp; Plan d''action'!$B$6:$AH$1113,33,FALSE)</f>
        <v/>
      </c>
      <c r="EC917" s="70" t="s">
        <v>1124</v>
      </c>
      <c r="ED917" s="70" t="s">
        <v>1124</v>
      </c>
      <c r="EE917" s="70" t="s">
        <v>1124</v>
      </c>
      <c r="EF917" s="70" t="s">
        <v>1124</v>
      </c>
      <c r="EG917" s="70" t="s">
        <v>1124</v>
      </c>
      <c r="EH917" s="72"/>
      <c r="EI917" s="72">
        <v>218</v>
      </c>
    </row>
    <row r="918" spans="71:139" x14ac:dyDescent="0.35">
      <c r="BS918" s="486">
        <v>68050</v>
      </c>
      <c r="BT918" s="479" t="s">
        <v>682</v>
      </c>
      <c r="BU918" s="479">
        <v>16</v>
      </c>
      <c r="BV918" s="476" t="s">
        <v>1188</v>
      </c>
      <c r="BW918" s="476" t="s">
        <v>1188</v>
      </c>
      <c r="BX918" s="476" t="s">
        <v>1188</v>
      </c>
      <c r="BY918" s="476" t="s">
        <v>1188</v>
      </c>
      <c r="BZ918" s="476" t="s">
        <v>1188</v>
      </c>
      <c r="CA918" s="476" t="s">
        <v>1188</v>
      </c>
      <c r="CB918" s="476" t="s">
        <v>1188</v>
      </c>
      <c r="CC918" s="476" t="s">
        <v>1188</v>
      </c>
      <c r="CD918" s="476" t="s">
        <v>1188</v>
      </c>
      <c r="CE918" s="476" t="s">
        <v>1188</v>
      </c>
      <c r="CF918" s="476" t="s">
        <v>1188</v>
      </c>
      <c r="CG918" s="476" t="s">
        <v>1187</v>
      </c>
      <c r="CH918" s="476" t="s">
        <v>1188</v>
      </c>
      <c r="CI918" s="476" t="s">
        <v>1187</v>
      </c>
      <c r="CJ918" s="476" t="s">
        <v>1187</v>
      </c>
      <c r="CK918" s="476" t="s">
        <v>1187</v>
      </c>
      <c r="CL918" s="476" t="s">
        <v>1187</v>
      </c>
      <c r="CM918" s="476" t="str">
        <f>IF(VLOOKUP(BS918,'Données par municipalité'!$B$6:$E$1113,4,FALSE)="","non","oui")</f>
        <v>non</v>
      </c>
      <c r="CN918" s="410">
        <v>291.3761594692549</v>
      </c>
      <c r="CO918" s="410">
        <v>210.72982277132141</v>
      </c>
      <c r="CP918" s="410"/>
      <c r="CQ918" s="410">
        <v>191.78906966145175</v>
      </c>
      <c r="CR918" s="410"/>
      <c r="CS918" s="410" t="s">
        <v>1124</v>
      </c>
      <c r="CT918" s="410"/>
      <c r="CU918" s="410" t="s">
        <v>1124</v>
      </c>
      <c r="CV918" s="410" t="str">
        <f>IF(VLOOKUP(BS918,'Données par municipalité'!$B$6:$F$1113,4,FALSE)="","",VLOOKUP(BS918,'Données par municipalité'!$B$6:$F$1113,4,FALSE))</f>
        <v/>
      </c>
      <c r="CW918" s="476" t="s">
        <v>4723</v>
      </c>
      <c r="CX918" s="483" t="s">
        <v>1124</v>
      </c>
      <c r="CY918" s="483" t="s">
        <v>1124</v>
      </c>
      <c r="CZ918" s="483">
        <v>0</v>
      </c>
      <c r="DA918" s="483" t="s">
        <v>1124</v>
      </c>
      <c r="DB918" s="483" t="s">
        <v>1124</v>
      </c>
      <c r="DC918" s="483" t="s">
        <v>1124</v>
      </c>
      <c r="DD918" s="483" t="s">
        <v>1124</v>
      </c>
      <c r="DE918" s="483" t="str">
        <f>IFERROR(SUM(VLOOKUP($BS918,'État &amp; Plan d''action'!$B$6:$Z$1113,18,FALSE),VLOOKUP($BS918,'État &amp; Plan d''action'!$B$6:$Z$1113,20,FALSE))/(VLOOKUP($BS918,'Données par municipalité'!$B$4:$L$1113,11,FALSE)),"")</f>
        <v/>
      </c>
      <c r="DF918" s="483" t="str">
        <f>IFERROR(SUM(VLOOKUP($BS918,'État &amp; Plan d''action'!$B$6:$Z$1113,19,FALSE),VLOOKUP($BS918,'État &amp; Plan d''action'!$B$6:$Z$1113,21,FALSE))/(VLOOKUP($BS918,'Données par municipalité'!$B$4:$L$1113,11,FALSE)),"")</f>
        <v/>
      </c>
      <c r="DG918" s="476" t="s">
        <v>4723</v>
      </c>
      <c r="DH918" s="484" t="s">
        <v>1124</v>
      </c>
      <c r="DI918" s="484" t="s">
        <v>1124</v>
      </c>
      <c r="DJ918" s="484">
        <v>0</v>
      </c>
      <c r="DK918" s="484">
        <v>0</v>
      </c>
      <c r="DL918" s="484" t="s">
        <v>1124</v>
      </c>
      <c r="DM918" s="484" t="s">
        <v>1124</v>
      </c>
      <c r="DN918" s="484" t="s">
        <v>1124</v>
      </c>
      <c r="DO918" s="484" t="s">
        <v>1124</v>
      </c>
      <c r="DP918" s="484" t="s">
        <v>1124</v>
      </c>
      <c r="DQ918" s="484" t="str">
        <f>IF(VLOOKUP($BS918,'État &amp; Plan d''action'!$B$6:$AJ$1113,28,FALSE)="","",VLOOKUP($BS918,'État &amp; Plan d''action'!$B$6:$AJ$1113,28,FALSE))</f>
        <v/>
      </c>
      <c r="DR918" s="70" t="str">
        <f>IF(VLOOKUP($BS918,'État &amp; Plan d''action'!$B$6:$AJ$1113,29,FALSE)="","",VLOOKUP($BS918,'État &amp; Plan d''action'!$B$6:$AJ$1113,29,FALSE))</f>
        <v/>
      </c>
      <c r="DS918" s="70" t="str">
        <f>IF(VLOOKUP($BS918,'État &amp; Plan d''action'!$B$6:$AJ$1113,30,FALSE)="","",VLOOKUP($BS918,'État &amp; Plan d''action'!$B$6:$AJ$1113,30,FALSE))</f>
        <v/>
      </c>
      <c r="DT918" s="70" t="s">
        <v>1124</v>
      </c>
      <c r="DU918" s="485" t="s">
        <v>1124</v>
      </c>
      <c r="DV918" s="485" t="s">
        <v>1124</v>
      </c>
      <c r="DW918" s="70" t="s">
        <v>1124</v>
      </c>
      <c r="DX918" s="70" t="s">
        <v>1124</v>
      </c>
      <c r="DY918" s="70" t="s">
        <v>1124</v>
      </c>
      <c r="DZ918" s="70" t="str">
        <f>VLOOKUP($BS918,'État &amp; Plan d''action'!$B$6:$AH$1113,31,FALSE)</f>
        <v/>
      </c>
      <c r="EA918" s="70" t="str">
        <f>VLOOKUP($BS918,'État &amp; Plan d''action'!$B$6:$AH$1113,32,FALSE)</f>
        <v/>
      </c>
      <c r="EB918" s="70" t="str">
        <f>VLOOKUP($BS918,'État &amp; Plan d''action'!$B$6:$AH$1113,33,FALSE)</f>
        <v/>
      </c>
      <c r="EC918" s="70" t="s">
        <v>1124</v>
      </c>
      <c r="ED918" s="70" t="s">
        <v>1124</v>
      </c>
      <c r="EE918" s="70" t="s">
        <v>1124</v>
      </c>
      <c r="EF918" s="70" t="s">
        <v>1124</v>
      </c>
      <c r="EG918" s="70" t="s">
        <v>1124</v>
      </c>
      <c r="EH918" s="72"/>
      <c r="EI918" s="72">
        <v>3455</v>
      </c>
    </row>
    <row r="919" spans="71:139" x14ac:dyDescent="0.35">
      <c r="BS919" s="486">
        <v>19110</v>
      </c>
      <c r="BT919" s="479" t="s">
        <v>136</v>
      </c>
      <c r="BU919" s="479">
        <v>12</v>
      </c>
      <c r="BV919" s="476" t="s">
        <v>1187</v>
      </c>
      <c r="BW919" s="476" t="s">
        <v>1187</v>
      </c>
      <c r="BX919" s="476" t="s">
        <v>1187</v>
      </c>
      <c r="BY919" s="476" t="s">
        <v>1187</v>
      </c>
      <c r="BZ919" s="476" t="s">
        <v>1187</v>
      </c>
      <c r="CA919" s="476" t="s">
        <v>1187</v>
      </c>
      <c r="CB919" s="476" t="s">
        <v>1187</v>
      </c>
      <c r="CC919" s="476" t="s">
        <v>1187</v>
      </c>
      <c r="CD919" s="476" t="s">
        <v>1187</v>
      </c>
      <c r="CE919" s="476" t="s">
        <v>1188</v>
      </c>
      <c r="CF919" s="476" t="s">
        <v>1188</v>
      </c>
      <c r="CG919" s="476" t="s">
        <v>1188</v>
      </c>
      <c r="CH919" s="476" t="s">
        <v>1188</v>
      </c>
      <c r="CI919" s="476" t="s">
        <v>1188</v>
      </c>
      <c r="CJ919" s="476" t="s">
        <v>1188</v>
      </c>
      <c r="CK919" s="476" t="s">
        <v>1188</v>
      </c>
      <c r="CL919" s="476" t="s">
        <v>1187</v>
      </c>
      <c r="CM919" s="476" t="str">
        <f>IF(VLOOKUP(BS919,'Données par municipalité'!$B$6:$E$1113,4,FALSE)="","non","oui")</f>
        <v>oui</v>
      </c>
      <c r="CN919" s="410">
        <v>295.71207030240367</v>
      </c>
      <c r="CO919" s="410">
        <v>312.27645885312228</v>
      </c>
      <c r="CP919" s="410">
        <v>287.65697172330192</v>
      </c>
      <c r="CQ919" s="410">
        <v>299.35108071346622</v>
      </c>
      <c r="CR919" s="410">
        <v>276.58666112429148</v>
      </c>
      <c r="CS919" s="410">
        <v>271.30518582006653</v>
      </c>
      <c r="CT919" s="410">
        <v>338.46268977448216</v>
      </c>
      <c r="CU919" s="410" t="s">
        <v>1124</v>
      </c>
      <c r="CV919" s="410">
        <f>IF(VLOOKUP(BS919,'Données par municipalité'!$B$6:$F$1113,4,FALSE)="","",VLOOKUP(BS919,'Données par municipalité'!$B$6:$F$1113,4,FALSE))</f>
        <v>290</v>
      </c>
      <c r="CW919" s="476" t="s">
        <v>4723</v>
      </c>
      <c r="CX919" s="483">
        <v>0</v>
      </c>
      <c r="CY919" s="483">
        <v>0</v>
      </c>
      <c r="CZ919" s="483">
        <v>0</v>
      </c>
      <c r="DA919" s="483">
        <v>0</v>
      </c>
      <c r="DB919" s="483">
        <v>0</v>
      </c>
      <c r="DC919" s="483">
        <v>0</v>
      </c>
      <c r="DD919" s="483" t="s">
        <v>1124</v>
      </c>
      <c r="DE919" s="483">
        <f>IFERROR(SUM(VLOOKUP($BS919,'État &amp; Plan d''action'!$B$6:$Z$1113,18,FALSE),VLOOKUP($BS919,'État &amp; Plan d''action'!$B$6:$Z$1113,20,FALSE))/(VLOOKUP($BS919,'Données par municipalité'!$B$4:$L$1113,11,FALSE)),"")</f>
        <v>0</v>
      </c>
      <c r="DF919" s="483">
        <f>IFERROR(SUM(VLOOKUP($BS919,'État &amp; Plan d''action'!$B$6:$Z$1113,19,FALSE),VLOOKUP($BS919,'État &amp; Plan d''action'!$B$6:$Z$1113,21,FALSE))/(VLOOKUP($BS919,'Données par municipalité'!$B$4:$L$1113,11,FALSE)),"")</f>
        <v>0</v>
      </c>
      <c r="DG919" s="476" t="s">
        <v>4723</v>
      </c>
      <c r="DH919" s="484">
        <v>0</v>
      </c>
      <c r="DI919" s="484">
        <v>1</v>
      </c>
      <c r="DJ919" s="484">
        <v>0</v>
      </c>
      <c r="DK919" s="484">
        <v>0</v>
      </c>
      <c r="DL919" s="484">
        <v>1</v>
      </c>
      <c r="DM919" s="484">
        <v>2</v>
      </c>
      <c r="DN919" s="484" t="s">
        <v>1124</v>
      </c>
      <c r="DO919" s="484" t="s">
        <v>1124</v>
      </c>
      <c r="DP919" s="484" t="s">
        <v>1124</v>
      </c>
      <c r="DQ919" s="484">
        <f>IF(VLOOKUP($BS919,'État &amp; Plan d''action'!$B$6:$AJ$1113,28,FALSE)="","",VLOOKUP($BS919,'État &amp; Plan d''action'!$B$6:$AJ$1113,28,FALSE))</f>
        <v>2</v>
      </c>
      <c r="DR919" s="70">
        <f>IF(VLOOKUP($BS919,'État &amp; Plan d''action'!$B$6:$AJ$1113,29,FALSE)="","",VLOOKUP($BS919,'État &amp; Plan d''action'!$B$6:$AJ$1113,29,FALSE))</f>
        <v>1</v>
      </c>
      <c r="DS919" s="70">
        <f>IF(VLOOKUP($BS919,'État &amp; Plan d''action'!$B$6:$AJ$1113,30,FALSE)="","",VLOOKUP($BS919,'État &amp; Plan d''action'!$B$6:$AJ$1113,30,FALSE))</f>
        <v>1</v>
      </c>
      <c r="DT919" s="70" t="s">
        <v>1124</v>
      </c>
      <c r="DU919" s="485" t="s">
        <v>1124</v>
      </c>
      <c r="DV919" s="485">
        <v>1.2905672559385164</v>
      </c>
      <c r="DW919" s="70" t="s">
        <v>1124</v>
      </c>
      <c r="DX919" s="70" t="s">
        <v>1124</v>
      </c>
      <c r="DY919" s="70" t="s">
        <v>1124</v>
      </c>
      <c r="DZ919" s="70">
        <f>VLOOKUP($BS919,'État &amp; Plan d''action'!$B$6:$AH$1113,31,FALSE)</f>
        <v>7</v>
      </c>
      <c r="EA919" s="70">
        <f>VLOOKUP($BS919,'État &amp; Plan d''action'!$B$6:$AH$1113,32,FALSE)</f>
        <v>7</v>
      </c>
      <c r="EB919" s="70">
        <f>VLOOKUP($BS919,'État &amp; Plan d''action'!$B$6:$AH$1113,33,FALSE)</f>
        <v>7</v>
      </c>
      <c r="EC919" s="70" t="s">
        <v>1124</v>
      </c>
      <c r="ED919" s="70" t="s">
        <v>1124</v>
      </c>
      <c r="EE919" s="70" t="s">
        <v>1124</v>
      </c>
      <c r="EF919" s="70" t="s">
        <v>1124</v>
      </c>
      <c r="EG919" s="70" t="s">
        <v>1124</v>
      </c>
      <c r="EH919" s="72"/>
      <c r="EI919" s="72">
        <v>1823</v>
      </c>
    </row>
    <row r="920" spans="71:139" x14ac:dyDescent="0.35">
      <c r="BS920" s="486">
        <v>62085</v>
      </c>
      <c r="BT920" s="479" t="s">
        <v>633</v>
      </c>
      <c r="BU920" s="479">
        <v>14</v>
      </c>
      <c r="BV920" s="476" t="s">
        <v>1187</v>
      </c>
      <c r="BW920" s="476" t="s">
        <v>1187</v>
      </c>
      <c r="BX920" s="476" t="s">
        <v>1187</v>
      </c>
      <c r="BY920" s="476" t="s">
        <v>1187</v>
      </c>
      <c r="BZ920" s="476" t="s">
        <v>1187</v>
      </c>
      <c r="CA920" s="476" t="s">
        <v>1187</v>
      </c>
      <c r="CB920" s="476" t="s">
        <v>1187</v>
      </c>
      <c r="CC920" s="476" t="s">
        <v>1187</v>
      </c>
      <c r="CD920" s="476" t="s">
        <v>1187</v>
      </c>
      <c r="CE920" s="476" t="s">
        <v>1188</v>
      </c>
      <c r="CF920" s="476" t="s">
        <v>1188</v>
      </c>
      <c r="CG920" s="476" t="s">
        <v>1188</v>
      </c>
      <c r="CH920" s="476" t="s">
        <v>1187</v>
      </c>
      <c r="CI920" s="476" t="s">
        <v>1187</v>
      </c>
      <c r="CJ920" s="476" t="s">
        <v>1187</v>
      </c>
      <c r="CK920" s="476" t="s">
        <v>1187</v>
      </c>
      <c r="CL920" s="476" t="s">
        <v>1188</v>
      </c>
      <c r="CM920" s="476" t="str">
        <f>IF(VLOOKUP(BS920,'Données par municipalité'!$B$6:$E$1113,4,FALSE)="","non","oui")</f>
        <v>oui</v>
      </c>
      <c r="CN920" s="410">
        <v>399.64578225361294</v>
      </c>
      <c r="CO920" s="410">
        <v>425.55986103060445</v>
      </c>
      <c r="CP920" s="410">
        <v>616.93040958732661</v>
      </c>
      <c r="CQ920" s="410"/>
      <c r="CR920" s="410"/>
      <c r="CS920" s="410" t="s">
        <v>1124</v>
      </c>
      <c r="CT920" s="410"/>
      <c r="CU920" s="410">
        <v>1274</v>
      </c>
      <c r="CV920" s="410">
        <f>IF(VLOOKUP(BS920,'Données par municipalité'!$B$6:$F$1113,4,FALSE)="","",VLOOKUP(BS920,'Données par municipalité'!$B$6:$F$1113,4,FALSE))</f>
        <v>1195</v>
      </c>
      <c r="CW920" s="476" t="s">
        <v>4723</v>
      </c>
      <c r="CX920" s="483">
        <v>0</v>
      </c>
      <c r="CY920" s="483">
        <v>0.05</v>
      </c>
      <c r="CZ920" s="483" t="s">
        <v>1124</v>
      </c>
      <c r="DA920" s="483" t="s">
        <v>1124</v>
      </c>
      <c r="DB920" s="483" t="s">
        <v>1124</v>
      </c>
      <c r="DC920" s="483" t="s">
        <v>1124</v>
      </c>
      <c r="DD920" s="483">
        <v>1.3417374623184433</v>
      </c>
      <c r="DE920" s="483">
        <f>IFERROR(SUM(VLOOKUP($BS920,'État &amp; Plan d''action'!$B$6:$Z$1113,18,FALSE),VLOOKUP($BS920,'État &amp; Plan d''action'!$B$6:$Z$1113,20,FALSE))/(VLOOKUP($BS920,'Données par municipalité'!$B$4:$L$1113,11,FALSE)),"")</f>
        <v>1.5000273897562313</v>
      </c>
      <c r="DF920" s="483">
        <f>IFERROR(SUM(VLOOKUP($BS920,'État &amp; Plan d''action'!$B$6:$Z$1113,19,FALSE),VLOOKUP($BS920,'État &amp; Plan d''action'!$B$6:$Z$1113,21,FALSE))/(VLOOKUP($BS920,'Données par municipalité'!$B$4:$L$1113,11,FALSE)),"")</f>
        <v>1</v>
      </c>
      <c r="DG920" s="476" t="s">
        <v>4723</v>
      </c>
      <c r="DH920" s="484">
        <v>3</v>
      </c>
      <c r="DI920" s="484">
        <v>0</v>
      </c>
      <c r="DJ920" s="484">
        <v>0</v>
      </c>
      <c r="DK920" s="484">
        <v>0</v>
      </c>
      <c r="DL920" s="484" t="s">
        <v>1124</v>
      </c>
      <c r="DM920" s="484" t="s">
        <v>1124</v>
      </c>
      <c r="DN920" s="484">
        <v>1</v>
      </c>
      <c r="DO920" s="484">
        <v>1</v>
      </c>
      <c r="DP920" s="484">
        <v>1</v>
      </c>
      <c r="DQ920" s="484">
        <f>IF(VLOOKUP($BS920,'État &amp; Plan d''action'!$B$6:$AJ$1113,28,FALSE)="","",VLOOKUP($BS920,'État &amp; Plan d''action'!$B$6:$AJ$1113,28,FALSE))</f>
        <v>2</v>
      </c>
      <c r="DR920" s="70">
        <f>IF(VLOOKUP($BS920,'État &amp; Plan d''action'!$B$6:$AJ$1113,29,FALSE)="","",VLOOKUP($BS920,'État &amp; Plan d''action'!$B$6:$AJ$1113,29,FALSE))</f>
        <v>0</v>
      </c>
      <c r="DS920" s="70">
        <f>IF(VLOOKUP($BS920,'État &amp; Plan d''action'!$B$6:$AJ$1113,30,FALSE)="","",VLOOKUP($BS920,'État &amp; Plan d''action'!$B$6:$AJ$1113,30,FALSE))</f>
        <v>0</v>
      </c>
      <c r="DT920" s="70">
        <v>530</v>
      </c>
      <c r="DU920" s="485">
        <v>12.241106939295912</v>
      </c>
      <c r="DV920" s="485">
        <v>12.401634938249616</v>
      </c>
      <c r="DW920" s="70">
        <v>1</v>
      </c>
      <c r="DX920" s="70">
        <v>60</v>
      </c>
      <c r="DY920" s="70">
        <v>50</v>
      </c>
      <c r="DZ920" s="70">
        <f>VLOOKUP($BS920,'État &amp; Plan d''action'!$B$6:$AH$1113,31,FALSE)</f>
        <v>1</v>
      </c>
      <c r="EA920" s="70">
        <f>VLOOKUP($BS920,'État &amp; Plan d''action'!$B$6:$AH$1113,32,FALSE)</f>
        <v>0</v>
      </c>
      <c r="EB920" s="70">
        <f>VLOOKUP($BS920,'État &amp; Plan d''action'!$B$6:$AH$1113,33,FALSE)</f>
        <v>0</v>
      </c>
      <c r="EC920" s="70">
        <v>0</v>
      </c>
      <c r="ED920" s="70">
        <v>0</v>
      </c>
      <c r="EE920" s="70">
        <v>24.48</v>
      </c>
      <c r="EF920" s="70">
        <v>0</v>
      </c>
      <c r="EG920" s="70">
        <v>0</v>
      </c>
      <c r="EH920" s="72">
        <v>59.256756756756758</v>
      </c>
      <c r="EI920" s="72">
        <v>2345</v>
      </c>
    </row>
    <row r="921" spans="71:139" x14ac:dyDescent="0.35">
      <c r="BS921" s="486">
        <v>13065</v>
      </c>
      <c r="BT921" s="479" t="s">
        <v>52</v>
      </c>
      <c r="BU921" s="479">
        <v>1</v>
      </c>
      <c r="BV921" s="476" t="s">
        <v>1187</v>
      </c>
      <c r="BW921" s="476" t="s">
        <v>1187</v>
      </c>
      <c r="BX921" s="476" t="s">
        <v>1187</v>
      </c>
      <c r="BY921" s="476" t="s">
        <v>1187</v>
      </c>
      <c r="BZ921" s="476" t="s">
        <v>1187</v>
      </c>
      <c r="CA921" s="476" t="s">
        <v>1187</v>
      </c>
      <c r="CB921" s="476" t="s">
        <v>1187</v>
      </c>
      <c r="CC921" s="476" t="s">
        <v>1187</v>
      </c>
      <c r="CD921" s="476" t="s">
        <v>1187</v>
      </c>
      <c r="CE921" s="476" t="s">
        <v>1188</v>
      </c>
      <c r="CF921" s="476" t="s">
        <v>1188</v>
      </c>
      <c r="CG921" s="476" t="s">
        <v>1187</v>
      </c>
      <c r="CH921" s="476" t="s">
        <v>1187</v>
      </c>
      <c r="CI921" s="476" t="s">
        <v>1187</v>
      </c>
      <c r="CJ921" s="476" t="s">
        <v>1187</v>
      </c>
      <c r="CK921" s="476" t="s">
        <v>1188</v>
      </c>
      <c r="CL921" s="476" t="s">
        <v>1188</v>
      </c>
      <c r="CM921" s="476" t="str">
        <f>IF(VLOOKUP(BS921,'Données par municipalité'!$B$6:$E$1113,4,FALSE)="","non","oui")</f>
        <v>oui</v>
      </c>
      <c r="CN921" s="410">
        <v>294.59901800327333</v>
      </c>
      <c r="CO921" s="410">
        <v>303.46692798733255</v>
      </c>
      <c r="CP921" s="410"/>
      <c r="CQ921" s="410"/>
      <c r="CR921" s="410"/>
      <c r="CS921" s="410" t="s">
        <v>1124</v>
      </c>
      <c r="CT921" s="410">
        <v>329.19619941107248</v>
      </c>
      <c r="CU921" s="410">
        <v>390</v>
      </c>
      <c r="CV921" s="410">
        <f>IF(VLOOKUP(BS921,'Données par municipalité'!$B$6:$F$1113,4,FALSE)="","",VLOOKUP(BS921,'Données par municipalité'!$B$6:$F$1113,4,FALSE))</f>
        <v>369</v>
      </c>
      <c r="CW921" s="476" t="s">
        <v>4723</v>
      </c>
      <c r="CX921" s="483">
        <v>0.05</v>
      </c>
      <c r="CY921" s="483" t="s">
        <v>1124</v>
      </c>
      <c r="CZ921" s="483" t="s">
        <v>1124</v>
      </c>
      <c r="DA921" s="483" t="s">
        <v>1124</v>
      </c>
      <c r="DB921" s="483" t="s">
        <v>1124</v>
      </c>
      <c r="DC921" s="483">
        <v>0</v>
      </c>
      <c r="DD921" s="483">
        <v>0</v>
      </c>
      <c r="DE921" s="483">
        <f>IFERROR(SUM(VLOOKUP($BS921,'État &amp; Plan d''action'!$B$6:$Z$1113,18,FALSE),VLOOKUP($BS921,'État &amp; Plan d''action'!$B$6:$Z$1113,20,FALSE))/(VLOOKUP($BS921,'Données par municipalité'!$B$4:$L$1113,11,FALSE)),"")</f>
        <v>1</v>
      </c>
      <c r="DF921" s="483">
        <f>IFERROR(SUM(VLOOKUP($BS921,'État &amp; Plan d''action'!$B$6:$Z$1113,19,FALSE),VLOOKUP($BS921,'État &amp; Plan d''action'!$B$6:$Z$1113,21,FALSE))/(VLOOKUP($BS921,'Données par municipalité'!$B$4:$L$1113,11,FALSE)),"")</f>
        <v>0</v>
      </c>
      <c r="DG921" s="476" t="s">
        <v>4723</v>
      </c>
      <c r="DH921" s="484">
        <v>2</v>
      </c>
      <c r="DI921" s="484" t="s">
        <v>1124</v>
      </c>
      <c r="DJ921" s="484">
        <v>0</v>
      </c>
      <c r="DK921" s="484">
        <v>0</v>
      </c>
      <c r="DL921" s="484" t="s">
        <v>1124</v>
      </c>
      <c r="DM921" s="484">
        <v>4</v>
      </c>
      <c r="DN921" s="484">
        <v>6</v>
      </c>
      <c r="DO921" s="484">
        <v>3</v>
      </c>
      <c r="DP921" s="484">
        <v>0</v>
      </c>
      <c r="DQ921" s="484">
        <f>IF(VLOOKUP($BS921,'État &amp; Plan d''action'!$B$6:$AJ$1113,28,FALSE)="","",VLOOKUP($BS921,'État &amp; Plan d''action'!$B$6:$AJ$1113,28,FALSE))</f>
        <v>1</v>
      </c>
      <c r="DR921" s="70">
        <f>IF(VLOOKUP($BS921,'État &amp; Plan d''action'!$B$6:$AJ$1113,29,FALSE)="","",VLOOKUP($BS921,'État &amp; Plan d''action'!$B$6:$AJ$1113,29,FALSE))</f>
        <v>0</v>
      </c>
      <c r="DS921" s="70">
        <f>IF(VLOOKUP($BS921,'État &amp; Plan d''action'!$B$6:$AJ$1113,30,FALSE)="","",VLOOKUP($BS921,'État &amp; Plan d''action'!$B$6:$AJ$1113,30,FALSE))</f>
        <v>0</v>
      </c>
      <c r="DT921" s="70">
        <v>238</v>
      </c>
      <c r="DU921" s="485">
        <v>2.551396716422579</v>
      </c>
      <c r="DV921" s="485">
        <v>1.6756311640052983</v>
      </c>
      <c r="DW921" s="70">
        <v>2</v>
      </c>
      <c r="DX921" s="70">
        <v>2</v>
      </c>
      <c r="DY921" s="70">
        <v>0</v>
      </c>
      <c r="DZ921" s="70">
        <f>VLOOKUP($BS921,'État &amp; Plan d''action'!$B$6:$AH$1113,31,FALSE)</f>
        <v>1</v>
      </c>
      <c r="EA921" s="70">
        <f>VLOOKUP($BS921,'État &amp; Plan d''action'!$B$6:$AH$1113,32,FALSE)</f>
        <v>0</v>
      </c>
      <c r="EB921" s="70">
        <f>VLOOKUP($BS921,'État &amp; Plan d''action'!$B$6:$AH$1113,33,FALSE)</f>
        <v>0</v>
      </c>
      <c r="EC921" s="70">
        <v>12.097</v>
      </c>
      <c r="ED921" s="70">
        <v>0</v>
      </c>
      <c r="EE921" s="70">
        <v>0</v>
      </c>
      <c r="EF921" s="70">
        <v>0</v>
      </c>
      <c r="EG921" s="70">
        <v>0</v>
      </c>
      <c r="EH921" s="72">
        <v>30</v>
      </c>
      <c r="EI921" s="72">
        <v>1081</v>
      </c>
    </row>
    <row r="922" spans="71:139" x14ac:dyDescent="0.35">
      <c r="BS922" s="486">
        <v>12020</v>
      </c>
      <c r="BT922" s="479" t="s">
        <v>31</v>
      </c>
      <c r="BU922" s="479">
        <v>1</v>
      </c>
      <c r="BV922" s="476" t="s">
        <v>1187</v>
      </c>
      <c r="BW922" s="476" t="s">
        <v>1187</v>
      </c>
      <c r="BX922" s="476" t="s">
        <v>1187</v>
      </c>
      <c r="BY922" s="476" t="s">
        <v>1187</v>
      </c>
      <c r="BZ922" s="476" t="s">
        <v>1187</v>
      </c>
      <c r="CA922" s="476" t="s">
        <v>1187</v>
      </c>
      <c r="CB922" s="476" t="s">
        <v>1187</v>
      </c>
      <c r="CC922" s="476" t="s">
        <v>1187</v>
      </c>
      <c r="CD922" s="476" t="s">
        <v>1187</v>
      </c>
      <c r="CE922" s="476" t="s">
        <v>1188</v>
      </c>
      <c r="CF922" s="476" t="s">
        <v>1188</v>
      </c>
      <c r="CG922" s="476" t="s">
        <v>1188</v>
      </c>
      <c r="CH922" s="476" t="s">
        <v>1188</v>
      </c>
      <c r="CI922" s="476" t="s">
        <v>1188</v>
      </c>
      <c r="CJ922" s="476" t="s">
        <v>1188</v>
      </c>
      <c r="CK922" s="476" t="s">
        <v>1188</v>
      </c>
      <c r="CL922" s="476" t="s">
        <v>1188</v>
      </c>
      <c r="CM922" s="476" t="str">
        <f>IF(VLOOKUP(BS922,'Données par municipalité'!$B$6:$E$1113,4,FALSE)="","non","oui")</f>
        <v>oui</v>
      </c>
      <c r="CN922" s="410">
        <v>336.96603510474137</v>
      </c>
      <c r="CO922" s="410">
        <v>297.94296468332243</v>
      </c>
      <c r="CP922" s="410">
        <v>249.7590314013743</v>
      </c>
      <c r="CQ922" s="410">
        <v>259.61350111015548</v>
      </c>
      <c r="CR922" s="410">
        <v>183.24840623828118</v>
      </c>
      <c r="CS922" s="410">
        <v>175.4286791030714</v>
      </c>
      <c r="CT922" s="410">
        <v>165.52710222998365</v>
      </c>
      <c r="CU922" s="410">
        <v>188</v>
      </c>
      <c r="CV922" s="410">
        <f>IF(VLOOKUP(BS922,'Données par municipalité'!$B$6:$F$1113,4,FALSE)="","",VLOOKUP(BS922,'Données par municipalité'!$B$6:$F$1113,4,FALSE))</f>
        <v>193</v>
      </c>
      <c r="CW922" s="476" t="s">
        <v>4723</v>
      </c>
      <c r="CX922" s="483">
        <v>0</v>
      </c>
      <c r="CY922" s="483">
        <v>1</v>
      </c>
      <c r="CZ922" s="483">
        <v>1</v>
      </c>
      <c r="DA922" s="483">
        <v>1</v>
      </c>
      <c r="DB922" s="483">
        <v>0</v>
      </c>
      <c r="DC922" s="483">
        <v>0</v>
      </c>
      <c r="DD922" s="483">
        <v>0</v>
      </c>
      <c r="DE922" s="483">
        <f>IFERROR(SUM(VLOOKUP($BS922,'État &amp; Plan d''action'!$B$6:$Z$1113,18,FALSE),VLOOKUP($BS922,'État &amp; Plan d''action'!$B$6:$Z$1113,20,FALSE))/(VLOOKUP($BS922,'Données par municipalité'!$B$4:$L$1113,11,FALSE)),"")</f>
        <v>0</v>
      </c>
      <c r="DF922" s="483">
        <f>IFERROR(SUM(VLOOKUP($BS922,'État &amp; Plan d''action'!$B$6:$Z$1113,19,FALSE),VLOOKUP($BS922,'État &amp; Plan d''action'!$B$6:$Z$1113,21,FALSE))/(VLOOKUP($BS922,'Données par municipalité'!$B$4:$L$1113,11,FALSE)),"")</f>
        <v>0</v>
      </c>
      <c r="DG922" s="476" t="s">
        <v>4723</v>
      </c>
      <c r="DH922" s="484">
        <v>1</v>
      </c>
      <c r="DI922" s="484">
        <v>0</v>
      </c>
      <c r="DJ922" s="484">
        <v>1</v>
      </c>
      <c r="DK922" s="484">
        <v>1</v>
      </c>
      <c r="DL922" s="484">
        <v>0</v>
      </c>
      <c r="DM922" s="484">
        <v>0</v>
      </c>
      <c r="DN922" s="484">
        <v>1</v>
      </c>
      <c r="DO922" s="484">
        <v>0</v>
      </c>
      <c r="DP922" s="484">
        <v>0</v>
      </c>
      <c r="DQ922" s="484">
        <f>IF(VLOOKUP($BS922,'État &amp; Plan d''action'!$B$6:$AJ$1113,28,FALSE)="","",VLOOKUP($BS922,'État &amp; Plan d''action'!$B$6:$AJ$1113,28,FALSE))</f>
        <v>0</v>
      </c>
      <c r="DR922" s="70">
        <f>IF(VLOOKUP($BS922,'État &amp; Plan d''action'!$B$6:$AJ$1113,29,FALSE)="","",VLOOKUP($BS922,'État &amp; Plan d''action'!$B$6:$AJ$1113,29,FALSE))</f>
        <v>0</v>
      </c>
      <c r="DS922" s="70">
        <f>IF(VLOOKUP($BS922,'État &amp; Plan d''action'!$B$6:$AJ$1113,30,FALSE)="","",VLOOKUP($BS922,'État &amp; Plan d''action'!$B$6:$AJ$1113,30,FALSE))</f>
        <v>0</v>
      </c>
      <c r="DT922" s="70">
        <v>168</v>
      </c>
      <c r="DU922" s="485">
        <v>0.69111772646077052</v>
      </c>
      <c r="DV922" s="485">
        <v>0.72195749493653227</v>
      </c>
      <c r="DW922" s="70">
        <v>1</v>
      </c>
      <c r="DX922" s="70">
        <v>0</v>
      </c>
      <c r="DY922" s="70">
        <v>0</v>
      </c>
      <c r="DZ922" s="70">
        <f>VLOOKUP($BS922,'État &amp; Plan d''action'!$B$6:$AH$1113,31,FALSE)</f>
        <v>0</v>
      </c>
      <c r="EA922" s="70">
        <f>VLOOKUP($BS922,'État &amp; Plan d''action'!$B$6:$AH$1113,32,FALSE)</f>
        <v>0</v>
      </c>
      <c r="EB922" s="70">
        <f>VLOOKUP($BS922,'État &amp; Plan d''action'!$B$6:$AH$1113,33,FALSE)</f>
        <v>0</v>
      </c>
      <c r="EC922" s="70">
        <v>0</v>
      </c>
      <c r="ED922" s="70">
        <v>0</v>
      </c>
      <c r="EE922" s="70">
        <v>0</v>
      </c>
      <c r="EF922" s="70">
        <v>0</v>
      </c>
      <c r="EG922" s="70">
        <v>0</v>
      </c>
      <c r="EH922" s="72">
        <v>49.433933933933929</v>
      </c>
      <c r="EI922" s="72">
        <v>1165</v>
      </c>
    </row>
    <row r="923" spans="71:139" x14ac:dyDescent="0.35">
      <c r="BS923" s="486">
        <v>7095</v>
      </c>
      <c r="BT923" s="479" t="s">
        <v>1083</v>
      </c>
      <c r="BU923" s="479">
        <v>1</v>
      </c>
      <c r="BV923" s="476" t="s">
        <v>1187</v>
      </c>
      <c r="BW923" s="476" t="s">
        <v>1187</v>
      </c>
      <c r="BX923" s="476" t="s">
        <v>1187</v>
      </c>
      <c r="BY923" s="476" t="s">
        <v>1187</v>
      </c>
      <c r="BZ923" s="476" t="s">
        <v>1187</v>
      </c>
      <c r="CA923" s="476" t="s">
        <v>1187</v>
      </c>
      <c r="CB923" s="476" t="s">
        <v>1187</v>
      </c>
      <c r="CC923" s="476" t="s">
        <v>1187</v>
      </c>
      <c r="CD923" s="476" t="s">
        <v>1187</v>
      </c>
      <c r="CE923" s="476" t="s">
        <v>1188</v>
      </c>
      <c r="CF923" s="476" t="s">
        <v>1188</v>
      </c>
      <c r="CG923" s="476" t="s">
        <v>1187</v>
      </c>
      <c r="CH923" s="476" t="s">
        <v>1187</v>
      </c>
      <c r="CI923" s="476" t="s">
        <v>1187</v>
      </c>
      <c r="CJ923" s="476" t="s">
        <v>1187</v>
      </c>
      <c r="CK923" s="476" t="s">
        <v>1187</v>
      </c>
      <c r="CL923" s="476" t="s">
        <v>1187</v>
      </c>
      <c r="CM923" s="476" t="str">
        <f>IF(VLOOKUP(BS923,'Données par municipalité'!$B$6:$E$1113,4,FALSE)="","non","oui")</f>
        <v>oui</v>
      </c>
      <c r="CN923" s="410">
        <v>268.82756348071837</v>
      </c>
      <c r="CO923" s="410">
        <v>500.65096461119663</v>
      </c>
      <c r="CP923" s="410"/>
      <c r="CQ923" s="410"/>
      <c r="CR923" s="410"/>
      <c r="CS923" s="410" t="s">
        <v>1124</v>
      </c>
      <c r="CT923" s="410"/>
      <c r="CU923" s="410" t="s">
        <v>1124</v>
      </c>
      <c r="CV923" s="410">
        <f>IF(VLOOKUP(BS923,'Données par municipalité'!$B$6:$F$1113,4,FALSE)="","",VLOOKUP(BS923,'Données par municipalité'!$B$6:$F$1113,4,FALSE))</f>
        <v>169</v>
      </c>
      <c r="CW923" s="476" t="s">
        <v>4723</v>
      </c>
      <c r="CX923" s="483">
        <v>0</v>
      </c>
      <c r="CY923" s="483" t="s">
        <v>1124</v>
      </c>
      <c r="CZ923" s="483" t="s">
        <v>1124</v>
      </c>
      <c r="DA923" s="483" t="s">
        <v>1124</v>
      </c>
      <c r="DB923" s="483" t="s">
        <v>1124</v>
      </c>
      <c r="DC923" s="483" t="s">
        <v>1124</v>
      </c>
      <c r="DD923" s="483" t="s">
        <v>1124</v>
      </c>
      <c r="DE923" s="483">
        <f>IFERROR(SUM(VLOOKUP($BS923,'État &amp; Plan d''action'!$B$6:$Z$1113,18,FALSE),VLOOKUP($BS923,'État &amp; Plan d''action'!$B$6:$Z$1113,20,FALSE))/(VLOOKUP($BS923,'Données par municipalité'!$B$4:$L$1113,11,FALSE)),"")</f>
        <v>0</v>
      </c>
      <c r="DF923" s="483">
        <f>IFERROR(SUM(VLOOKUP($BS923,'État &amp; Plan d''action'!$B$6:$Z$1113,19,FALSE),VLOOKUP($BS923,'État &amp; Plan d''action'!$B$6:$Z$1113,21,FALSE))/(VLOOKUP($BS923,'Données par municipalité'!$B$4:$L$1113,11,FALSE)),"")</f>
        <v>2000</v>
      </c>
      <c r="DG923" s="476" t="s">
        <v>4723</v>
      </c>
      <c r="DH923" s="484">
        <v>0</v>
      </c>
      <c r="DI923" s="484" t="s">
        <v>1124</v>
      </c>
      <c r="DJ923" s="484">
        <v>0</v>
      </c>
      <c r="DK923" s="484">
        <v>0</v>
      </c>
      <c r="DL923" s="484" t="s">
        <v>1124</v>
      </c>
      <c r="DM923" s="484" t="s">
        <v>1124</v>
      </c>
      <c r="DN923" s="484" t="s">
        <v>1124</v>
      </c>
      <c r="DO923" s="484" t="s">
        <v>1124</v>
      </c>
      <c r="DP923" s="484" t="s">
        <v>1124</v>
      </c>
      <c r="DQ923" s="484">
        <f>IF(VLOOKUP($BS923,'État &amp; Plan d''action'!$B$6:$AJ$1113,28,FALSE)="","",VLOOKUP($BS923,'État &amp; Plan d''action'!$B$6:$AJ$1113,28,FALSE))</f>
        <v>1</v>
      </c>
      <c r="DR923" s="70">
        <f>IF(VLOOKUP($BS923,'État &amp; Plan d''action'!$B$6:$AJ$1113,29,FALSE)="","",VLOOKUP($BS923,'État &amp; Plan d''action'!$B$6:$AJ$1113,29,FALSE))</f>
        <v>0</v>
      </c>
      <c r="DS923" s="70">
        <f>IF(VLOOKUP($BS923,'État &amp; Plan d''action'!$B$6:$AJ$1113,30,FALSE)="","",VLOOKUP($BS923,'État &amp; Plan d''action'!$B$6:$AJ$1113,30,FALSE))</f>
        <v>0</v>
      </c>
      <c r="DT923" s="70" t="s">
        <v>1124</v>
      </c>
      <c r="DU923" s="485" t="s">
        <v>1124</v>
      </c>
      <c r="DV923" s="485">
        <v>0.65298787065222308</v>
      </c>
      <c r="DW923" s="70" t="s">
        <v>1124</v>
      </c>
      <c r="DX923" s="70" t="s">
        <v>1124</v>
      </c>
      <c r="DY923" s="70" t="s">
        <v>1124</v>
      </c>
      <c r="DZ923" s="70">
        <f>VLOOKUP($BS923,'État &amp; Plan d''action'!$B$6:$AH$1113,31,FALSE)</f>
        <v>1</v>
      </c>
      <c r="EA923" s="70">
        <f>VLOOKUP($BS923,'État &amp; Plan d''action'!$B$6:$AH$1113,32,FALSE)</f>
        <v>0</v>
      </c>
      <c r="EB923" s="70">
        <f>VLOOKUP($BS923,'État &amp; Plan d''action'!$B$6:$AH$1113,33,FALSE)</f>
        <v>0</v>
      </c>
      <c r="EC923" s="70" t="s">
        <v>1124</v>
      </c>
      <c r="ED923" s="70" t="s">
        <v>1124</v>
      </c>
      <c r="EE923" s="70" t="s">
        <v>1124</v>
      </c>
      <c r="EF923" s="70" t="s">
        <v>1124</v>
      </c>
      <c r="EG923" s="70" t="s">
        <v>1124</v>
      </c>
      <c r="EH923" s="72"/>
      <c r="EI923" s="72">
        <v>552</v>
      </c>
    </row>
    <row r="924" spans="71:139" x14ac:dyDescent="0.35">
      <c r="BS924" s="486">
        <v>37240</v>
      </c>
      <c r="BT924" s="479" t="s">
        <v>322</v>
      </c>
      <c r="BU924" s="479">
        <v>4</v>
      </c>
      <c r="BV924" s="476" t="s">
        <v>1187</v>
      </c>
      <c r="BW924" s="476" t="s">
        <v>1187</v>
      </c>
      <c r="BX924" s="476" t="s">
        <v>1187</v>
      </c>
      <c r="BY924" s="476" t="s">
        <v>1187</v>
      </c>
      <c r="BZ924" s="476" t="s">
        <v>1187</v>
      </c>
      <c r="CA924" s="476" t="s">
        <v>1187</v>
      </c>
      <c r="CB924" s="476" t="s">
        <v>1187</v>
      </c>
      <c r="CC924" s="476" t="s">
        <v>1187</v>
      </c>
      <c r="CD924" s="476" t="s">
        <v>1187</v>
      </c>
      <c r="CE924" s="476" t="s">
        <v>1188</v>
      </c>
      <c r="CF924" s="476" t="s">
        <v>1188</v>
      </c>
      <c r="CG924" s="476" t="s">
        <v>1188</v>
      </c>
      <c r="CH924" s="476" t="s">
        <v>1188</v>
      </c>
      <c r="CI924" s="476" t="s">
        <v>1188</v>
      </c>
      <c r="CJ924" s="476" t="s">
        <v>1188</v>
      </c>
      <c r="CK924" s="476" t="s">
        <v>1188</v>
      </c>
      <c r="CL924" s="476" t="s">
        <v>1188</v>
      </c>
      <c r="CM924" s="476" t="str">
        <f>IF(VLOOKUP(BS924,'Données par municipalité'!$B$6:$E$1113,4,FALSE)="","non","oui")</f>
        <v>oui</v>
      </c>
      <c r="CN924" s="410">
        <v>277.32463295269167</v>
      </c>
      <c r="CO924" s="410">
        <v>254.90705637764464</v>
      </c>
      <c r="CP924" s="410">
        <v>181.19861916524906</v>
      </c>
      <c r="CQ924" s="410">
        <v>237.00951245525837</v>
      </c>
      <c r="CR924" s="410">
        <v>253.20371188687579</v>
      </c>
      <c r="CS924" s="410">
        <v>289.84527365466636</v>
      </c>
      <c r="CT924" s="410">
        <v>257.28733855122874</v>
      </c>
      <c r="CU924" s="410">
        <v>285</v>
      </c>
      <c r="CV924" s="410">
        <f>IF(VLOOKUP(BS924,'Données par municipalité'!$B$6:$F$1113,4,FALSE)="","",VLOOKUP(BS924,'Données par municipalité'!$B$6:$F$1113,4,FALSE))</f>
        <v>262</v>
      </c>
      <c r="CW924" s="476" t="s">
        <v>4723</v>
      </c>
      <c r="CX924" s="483">
        <v>0</v>
      </c>
      <c r="CY924" s="483">
        <v>0</v>
      </c>
      <c r="CZ924" s="483">
        <v>0</v>
      </c>
      <c r="DA924" s="483">
        <v>0</v>
      </c>
      <c r="DB924" s="483">
        <v>0</v>
      </c>
      <c r="DC924" s="483">
        <v>0</v>
      </c>
      <c r="DD924" s="483">
        <v>0</v>
      </c>
      <c r="DE924" s="483">
        <f>IFERROR(SUM(VLOOKUP($BS924,'État &amp; Plan d''action'!$B$6:$Z$1113,18,FALSE),VLOOKUP($BS924,'État &amp; Plan d''action'!$B$6:$Z$1113,20,FALSE))/(VLOOKUP($BS924,'Données par municipalité'!$B$4:$L$1113,11,FALSE)),"")</f>
        <v>1</v>
      </c>
      <c r="DF924" s="483">
        <f>IFERROR(SUM(VLOOKUP($BS924,'État &amp; Plan d''action'!$B$6:$Z$1113,19,FALSE),VLOOKUP($BS924,'État &amp; Plan d''action'!$B$6:$Z$1113,21,FALSE))/(VLOOKUP($BS924,'Données par municipalité'!$B$4:$L$1113,11,FALSE)),"")</f>
        <v>1</v>
      </c>
      <c r="DG924" s="476" t="s">
        <v>4723</v>
      </c>
      <c r="DH924" s="484">
        <v>2</v>
      </c>
      <c r="DI924" s="484">
        <v>2</v>
      </c>
      <c r="DJ924" s="484">
        <v>3</v>
      </c>
      <c r="DK924" s="484">
        <v>4</v>
      </c>
      <c r="DL924" s="484">
        <v>2</v>
      </c>
      <c r="DM924" s="484">
        <v>2</v>
      </c>
      <c r="DN924" s="484">
        <v>2</v>
      </c>
      <c r="DO924" s="484">
        <v>0</v>
      </c>
      <c r="DP924" s="484">
        <v>0</v>
      </c>
      <c r="DQ924" s="484">
        <f>IF(VLOOKUP($BS924,'État &amp; Plan d''action'!$B$6:$AJ$1113,28,FALSE)="","",VLOOKUP($BS924,'État &amp; Plan d''action'!$B$6:$AJ$1113,28,FALSE))</f>
        <v>1</v>
      </c>
      <c r="DR924" s="70">
        <f>IF(VLOOKUP($BS924,'État &amp; Plan d''action'!$B$6:$AJ$1113,29,FALSE)="","",VLOOKUP($BS924,'État &amp; Plan d''action'!$B$6:$AJ$1113,29,FALSE))</f>
        <v>1</v>
      </c>
      <c r="DS924" s="70">
        <f>IF(VLOOKUP($BS924,'État &amp; Plan d''action'!$B$6:$AJ$1113,30,FALSE)="","",VLOOKUP($BS924,'État &amp; Plan d''action'!$B$6:$AJ$1113,30,FALSE))</f>
        <v>2</v>
      </c>
      <c r="DT924" s="70">
        <v>170</v>
      </c>
      <c r="DU924" s="485">
        <v>0.86962476255966537</v>
      </c>
      <c r="DV924" s="485">
        <v>0.77462594481845537</v>
      </c>
      <c r="DW924" s="70">
        <v>2</v>
      </c>
      <c r="DX924" s="70">
        <v>0</v>
      </c>
      <c r="DY924" s="70">
        <v>0</v>
      </c>
      <c r="DZ924" s="70">
        <f>VLOOKUP($BS924,'État &amp; Plan d''action'!$B$6:$AH$1113,31,FALSE)</f>
        <v>1</v>
      </c>
      <c r="EA924" s="70">
        <f>VLOOKUP($BS924,'État &amp; Plan d''action'!$B$6:$AH$1113,32,FALSE)</f>
        <v>1</v>
      </c>
      <c r="EB924" s="70">
        <f>VLOOKUP($BS924,'État &amp; Plan d''action'!$B$6:$AH$1113,33,FALSE)</f>
        <v>2</v>
      </c>
      <c r="EC924" s="70">
        <v>0</v>
      </c>
      <c r="ED924" s="70">
        <v>0</v>
      </c>
      <c r="EE924" s="70">
        <v>0</v>
      </c>
      <c r="EF924" s="70">
        <v>0</v>
      </c>
      <c r="EG924" s="70">
        <v>0</v>
      </c>
      <c r="EH924" s="72">
        <v>61</v>
      </c>
      <c r="EI924" s="72">
        <v>1844</v>
      </c>
    </row>
    <row r="925" spans="71:139" x14ac:dyDescent="0.35">
      <c r="BS925" s="486">
        <v>33030</v>
      </c>
      <c r="BT925" s="479" t="s">
        <v>270</v>
      </c>
      <c r="BU925" s="479">
        <v>12</v>
      </c>
      <c r="BV925" s="476" t="s">
        <v>1187</v>
      </c>
      <c r="BW925" s="476" t="s">
        <v>1187</v>
      </c>
      <c r="BX925" s="476" t="s">
        <v>1187</v>
      </c>
      <c r="BY925" s="476" t="s">
        <v>1187</v>
      </c>
      <c r="BZ925" s="476" t="s">
        <v>1187</v>
      </c>
      <c r="CA925" s="476" t="s">
        <v>1187</v>
      </c>
      <c r="CB925" s="476" t="s">
        <v>1187</v>
      </c>
      <c r="CC925" s="476" t="s">
        <v>1187</v>
      </c>
      <c r="CD925" s="476" t="s">
        <v>1187</v>
      </c>
      <c r="CE925" s="476" t="s">
        <v>1188</v>
      </c>
      <c r="CF925" s="476" t="s">
        <v>1188</v>
      </c>
      <c r="CG925" s="476" t="s">
        <v>1188</v>
      </c>
      <c r="CH925" s="476" t="s">
        <v>1188</v>
      </c>
      <c r="CI925" s="476" t="s">
        <v>1188</v>
      </c>
      <c r="CJ925" s="476" t="s">
        <v>1188</v>
      </c>
      <c r="CK925" s="476" t="s">
        <v>1188</v>
      </c>
      <c r="CL925" s="476" t="s">
        <v>1188</v>
      </c>
      <c r="CM925" s="476" t="str">
        <f>IF(VLOOKUP(BS925,'Données par municipalité'!$B$6:$E$1113,4,FALSE)="","non","oui")</f>
        <v>oui</v>
      </c>
      <c r="CN925" s="410">
        <v>261.03363005809013</v>
      </c>
      <c r="CO925" s="410">
        <v>235.38486446970353</v>
      </c>
      <c r="CP925" s="410">
        <v>252.10408877986788</v>
      </c>
      <c r="CQ925" s="410">
        <v>299.67197749701563</v>
      </c>
      <c r="CR925" s="410">
        <v>256.78937520200384</v>
      </c>
      <c r="CS925" s="410">
        <v>268.17639556551961</v>
      </c>
      <c r="CT925" s="410">
        <v>207.43480837963571</v>
      </c>
      <c r="CU925" s="410">
        <v>243</v>
      </c>
      <c r="CV925" s="410">
        <f>IF(VLOOKUP(BS925,'Données par municipalité'!$B$6:$F$1113,4,FALSE)="","",VLOOKUP(BS925,'Données par municipalité'!$B$6:$F$1113,4,FALSE))</f>
        <v>265</v>
      </c>
      <c r="CW925" s="476" t="s">
        <v>4723</v>
      </c>
      <c r="CX925" s="483">
        <v>1</v>
      </c>
      <c r="CY925" s="483">
        <v>0</v>
      </c>
      <c r="CZ925" s="483">
        <v>0</v>
      </c>
      <c r="DA925" s="483">
        <v>1</v>
      </c>
      <c r="DB925" s="483">
        <v>1</v>
      </c>
      <c r="DC925" s="483">
        <v>1</v>
      </c>
      <c r="DD925" s="483">
        <v>0</v>
      </c>
      <c r="DE925" s="483">
        <f>IFERROR(SUM(VLOOKUP($BS925,'État &amp; Plan d''action'!$B$6:$Z$1113,18,FALSE),VLOOKUP($BS925,'État &amp; Plan d''action'!$B$6:$Z$1113,20,FALSE))/(VLOOKUP($BS925,'Données par municipalité'!$B$4:$L$1113,11,FALSE)),"")</f>
        <v>0</v>
      </c>
      <c r="DF925" s="483">
        <f>IFERROR(SUM(VLOOKUP($BS925,'État &amp; Plan d''action'!$B$6:$Z$1113,19,FALSE),VLOOKUP($BS925,'État &amp; Plan d''action'!$B$6:$Z$1113,21,FALSE))/(VLOOKUP($BS925,'Données par municipalité'!$B$4:$L$1113,11,FALSE)),"")</f>
        <v>0.25786487880350695</v>
      </c>
      <c r="DG925" s="476" t="s">
        <v>4723</v>
      </c>
      <c r="DH925" s="484">
        <v>0</v>
      </c>
      <c r="DI925" s="484">
        <v>2</v>
      </c>
      <c r="DJ925" s="484">
        <v>2</v>
      </c>
      <c r="DK925" s="484">
        <v>0</v>
      </c>
      <c r="DL925" s="484">
        <v>0</v>
      </c>
      <c r="DM925" s="484">
        <v>0</v>
      </c>
      <c r="DN925" s="484">
        <v>0</v>
      </c>
      <c r="DO925" s="484">
        <v>0</v>
      </c>
      <c r="DP925" s="484">
        <v>0</v>
      </c>
      <c r="DQ925" s="484">
        <f>IF(VLOOKUP($BS925,'État &amp; Plan d''action'!$B$6:$AJ$1113,28,FALSE)="","",VLOOKUP($BS925,'État &amp; Plan d''action'!$B$6:$AJ$1113,28,FALSE))</f>
        <v>1</v>
      </c>
      <c r="DR925" s="70">
        <f>IF(VLOOKUP($BS925,'État &amp; Plan d''action'!$B$6:$AJ$1113,29,FALSE)="","",VLOOKUP($BS925,'État &amp; Plan d''action'!$B$6:$AJ$1113,29,FALSE))</f>
        <v>0</v>
      </c>
      <c r="DS925" s="70">
        <f>IF(VLOOKUP($BS925,'État &amp; Plan d''action'!$B$6:$AJ$1113,30,FALSE)="","",VLOOKUP($BS925,'État &amp; Plan d''action'!$B$6:$AJ$1113,30,FALSE))</f>
        <v>0</v>
      </c>
      <c r="DT925" s="70">
        <v>192</v>
      </c>
      <c r="DU925" s="485">
        <v>1.2859812471245355</v>
      </c>
      <c r="DV925" s="485">
        <v>2.1824375234390088</v>
      </c>
      <c r="DW925" s="70">
        <v>2</v>
      </c>
      <c r="DX925" s="70">
        <v>2</v>
      </c>
      <c r="DY925" s="70">
        <v>0</v>
      </c>
      <c r="DZ925" s="70">
        <f>VLOOKUP($BS925,'État &amp; Plan d''action'!$B$6:$AH$1113,31,FALSE)</f>
        <v>2</v>
      </c>
      <c r="EA925" s="70">
        <f>VLOOKUP($BS925,'État &amp; Plan d''action'!$B$6:$AH$1113,32,FALSE)</f>
        <v>0</v>
      </c>
      <c r="EB925" s="70">
        <f>VLOOKUP($BS925,'État &amp; Plan d''action'!$B$6:$AH$1113,33,FALSE)</f>
        <v>0</v>
      </c>
      <c r="EC925" s="70">
        <v>10.268000000000001</v>
      </c>
      <c r="ED925" s="70">
        <v>0</v>
      </c>
      <c r="EE925" s="70">
        <v>0</v>
      </c>
      <c r="EF925" s="70">
        <v>0</v>
      </c>
      <c r="EG925" s="70">
        <v>0</v>
      </c>
      <c r="EH925" s="72">
        <v>58</v>
      </c>
      <c r="EI925" s="72">
        <v>1107</v>
      </c>
    </row>
    <row r="926" spans="71:139" x14ac:dyDescent="0.35">
      <c r="BS926" s="486">
        <v>10015</v>
      </c>
      <c r="BT926" s="479" t="s">
        <v>10</v>
      </c>
      <c r="BU926" s="479">
        <v>1</v>
      </c>
      <c r="BV926" s="476" t="s">
        <v>1187</v>
      </c>
      <c r="BW926" s="476" t="s">
        <v>1187</v>
      </c>
      <c r="BX926" s="476" t="s">
        <v>1187</v>
      </c>
      <c r="BY926" s="476" t="s">
        <v>1187</v>
      </c>
      <c r="BZ926" s="476" t="s">
        <v>1187</v>
      </c>
      <c r="CA926" s="476" t="s">
        <v>1187</v>
      </c>
      <c r="CB926" s="476" t="s">
        <v>1187</v>
      </c>
      <c r="CC926" s="476" t="s">
        <v>1187</v>
      </c>
      <c r="CD926" s="476" t="s">
        <v>1187</v>
      </c>
      <c r="CE926" s="476" t="s">
        <v>1188</v>
      </c>
      <c r="CF926" s="476" t="s">
        <v>1188</v>
      </c>
      <c r="CG926" s="476" t="s">
        <v>1187</v>
      </c>
      <c r="CH926" s="476" t="s">
        <v>1187</v>
      </c>
      <c r="CI926" s="476" t="s">
        <v>1188</v>
      </c>
      <c r="CJ926" s="476" t="s">
        <v>1187</v>
      </c>
      <c r="CK926" s="476" t="s">
        <v>1188</v>
      </c>
      <c r="CL926" s="476" t="s">
        <v>1187</v>
      </c>
      <c r="CM926" s="476" t="str">
        <f>IF(VLOOKUP(BS926,'Données par municipalité'!$B$6:$E$1113,4,FALSE)="","non","oui")</f>
        <v>oui</v>
      </c>
      <c r="CN926" s="410">
        <v>284.29409602980502</v>
      </c>
      <c r="CO926" s="410">
        <v>230.74713227021098</v>
      </c>
      <c r="CP926" s="410"/>
      <c r="CQ926" s="410"/>
      <c r="CR926" s="410">
        <v>219.1591744897284</v>
      </c>
      <c r="CS926" s="410" t="s">
        <v>1124</v>
      </c>
      <c r="CT926" s="410">
        <v>184.86122068421429</v>
      </c>
      <c r="CU926" s="410" t="s">
        <v>1124</v>
      </c>
      <c r="CV926" s="410">
        <f>IF(VLOOKUP(BS926,'Données par municipalité'!$B$6:$F$1113,4,FALSE)="","",VLOOKUP(BS926,'Données par municipalité'!$B$6:$F$1113,4,FALSE))</f>
        <v>200</v>
      </c>
      <c r="CW926" s="476" t="s">
        <v>4723</v>
      </c>
      <c r="CX926" s="483">
        <v>0</v>
      </c>
      <c r="CY926" s="483" t="s">
        <v>1124</v>
      </c>
      <c r="CZ926" s="483" t="s">
        <v>1124</v>
      </c>
      <c r="DA926" s="483">
        <v>1</v>
      </c>
      <c r="DB926" s="483" t="s">
        <v>1124</v>
      </c>
      <c r="DC926" s="483">
        <v>1</v>
      </c>
      <c r="DD926" s="483" t="s">
        <v>1124</v>
      </c>
      <c r="DE926" s="483">
        <f>IFERROR(SUM(VLOOKUP($BS926,'État &amp; Plan d''action'!$B$6:$Z$1113,18,FALSE),VLOOKUP($BS926,'État &amp; Plan d''action'!$B$6:$Z$1113,20,FALSE))/(VLOOKUP($BS926,'Données par municipalité'!$B$4:$L$1113,11,FALSE)),"")</f>
        <v>0</v>
      </c>
      <c r="DF926" s="483">
        <f>IFERROR(SUM(VLOOKUP($BS926,'État &amp; Plan d''action'!$B$6:$Z$1113,19,FALSE),VLOOKUP($BS926,'État &amp; Plan d''action'!$B$6:$Z$1113,21,FALSE))/(VLOOKUP($BS926,'Données par municipalité'!$B$4:$L$1113,11,FALSE)),"")</f>
        <v>0</v>
      </c>
      <c r="DG926" s="476" t="s">
        <v>4723</v>
      </c>
      <c r="DH926" s="484">
        <v>0</v>
      </c>
      <c r="DI926" s="484" t="s">
        <v>1124</v>
      </c>
      <c r="DJ926" s="484">
        <v>0</v>
      </c>
      <c r="DK926" s="484">
        <v>0</v>
      </c>
      <c r="DL926" s="484" t="s">
        <v>1124</v>
      </c>
      <c r="DM926" s="484">
        <v>0</v>
      </c>
      <c r="DN926" s="484" t="s">
        <v>1124</v>
      </c>
      <c r="DO926" s="484" t="s">
        <v>1124</v>
      </c>
      <c r="DP926" s="484" t="s">
        <v>1124</v>
      </c>
      <c r="DQ926" s="484">
        <f>IF(VLOOKUP($BS926,'État &amp; Plan d''action'!$B$6:$AJ$1113,28,FALSE)="","",VLOOKUP($BS926,'État &amp; Plan d''action'!$B$6:$AJ$1113,28,FALSE))</f>
        <v>0</v>
      </c>
      <c r="DR926" s="70">
        <f>IF(VLOOKUP($BS926,'État &amp; Plan d''action'!$B$6:$AJ$1113,29,FALSE)="","",VLOOKUP($BS926,'État &amp; Plan d''action'!$B$6:$AJ$1113,29,FALSE))</f>
        <v>0</v>
      </c>
      <c r="DS926" s="70">
        <f>IF(VLOOKUP($BS926,'État &amp; Plan d''action'!$B$6:$AJ$1113,30,FALSE)="","",VLOOKUP($BS926,'État &amp; Plan d''action'!$B$6:$AJ$1113,30,FALSE))</f>
        <v>0</v>
      </c>
      <c r="DT926" s="70" t="s">
        <v>1124</v>
      </c>
      <c r="DU926" s="485" t="s">
        <v>1124</v>
      </c>
      <c r="DV926" s="485">
        <v>2.1183384320729877</v>
      </c>
      <c r="DW926" s="70" t="s">
        <v>1124</v>
      </c>
      <c r="DX926" s="70" t="s">
        <v>1124</v>
      </c>
      <c r="DY926" s="70" t="s">
        <v>1124</v>
      </c>
      <c r="DZ926" s="70">
        <f>VLOOKUP($BS926,'État &amp; Plan d''action'!$B$6:$AH$1113,31,FALSE)</f>
        <v>0</v>
      </c>
      <c r="EA926" s="70">
        <f>VLOOKUP($BS926,'État &amp; Plan d''action'!$B$6:$AH$1113,32,FALSE)</f>
        <v>0</v>
      </c>
      <c r="EB926" s="70">
        <f>VLOOKUP($BS926,'État &amp; Plan d''action'!$B$6:$AH$1113,33,FALSE)</f>
        <v>0</v>
      </c>
      <c r="EC926" s="70" t="s">
        <v>1124</v>
      </c>
      <c r="ED926" s="70" t="s">
        <v>1124</v>
      </c>
      <c r="EE926" s="70" t="s">
        <v>1124</v>
      </c>
      <c r="EF926" s="70" t="s">
        <v>1124</v>
      </c>
      <c r="EG926" s="70" t="s">
        <v>1124</v>
      </c>
      <c r="EH926" s="72"/>
      <c r="EI926" s="72">
        <v>990</v>
      </c>
    </row>
    <row r="927" spans="71:139" x14ac:dyDescent="0.35">
      <c r="BS927" s="486">
        <v>93045</v>
      </c>
      <c r="BT927" s="479" t="s">
        <v>965</v>
      </c>
      <c r="BU927" s="479">
        <v>2</v>
      </c>
      <c r="BV927" s="476" t="s">
        <v>1187</v>
      </c>
      <c r="BW927" s="476" t="s">
        <v>1187</v>
      </c>
      <c r="BX927" s="476" t="s">
        <v>1187</v>
      </c>
      <c r="BY927" s="476" t="s">
        <v>1187</v>
      </c>
      <c r="BZ927" s="476" t="s">
        <v>1187</v>
      </c>
      <c r="CA927" s="476" t="s">
        <v>1187</v>
      </c>
      <c r="CB927" s="476" t="s">
        <v>1187</v>
      </c>
      <c r="CC927" s="476" t="s">
        <v>1187</v>
      </c>
      <c r="CD927" s="476" t="s">
        <v>1187</v>
      </c>
      <c r="CE927" s="476" t="s">
        <v>1188</v>
      </c>
      <c r="CF927" s="476" t="s">
        <v>1188</v>
      </c>
      <c r="CG927" s="476" t="s">
        <v>1188</v>
      </c>
      <c r="CH927" s="476" t="s">
        <v>1187</v>
      </c>
      <c r="CI927" s="476" t="s">
        <v>1188</v>
      </c>
      <c r="CJ927" s="476" t="s">
        <v>1188</v>
      </c>
      <c r="CK927" s="476" t="s">
        <v>1188</v>
      </c>
      <c r="CL927" s="476" t="s">
        <v>1188</v>
      </c>
      <c r="CM927" s="476" t="str">
        <f>IF(VLOOKUP(BS927,'Données par municipalité'!$B$6:$E$1113,4,FALSE)="","non","oui")</f>
        <v>oui</v>
      </c>
      <c r="CN927" s="410">
        <v>576.39506932104109</v>
      </c>
      <c r="CO927" s="410">
        <v>405.17895701793674</v>
      </c>
      <c r="CP927" s="410">
        <v>380.2381792534585</v>
      </c>
      <c r="CQ927" s="410"/>
      <c r="CR927" s="410">
        <v>359.35160403935424</v>
      </c>
      <c r="CS927" s="410">
        <v>311.2978999368629</v>
      </c>
      <c r="CT927" s="410">
        <v>314.19622079915524</v>
      </c>
      <c r="CU927" s="410">
        <v>307</v>
      </c>
      <c r="CV927" s="410">
        <f>IF(VLOOKUP(BS927,'Données par municipalité'!$B$6:$F$1113,4,FALSE)="","",VLOOKUP(BS927,'Données par municipalité'!$B$6:$F$1113,4,FALSE))</f>
        <v>296</v>
      </c>
      <c r="CW927" s="476" t="s">
        <v>4723</v>
      </c>
      <c r="CX927" s="483">
        <v>0.3</v>
      </c>
      <c r="CY927" s="483">
        <v>1</v>
      </c>
      <c r="CZ927" s="483" t="s">
        <v>1124</v>
      </c>
      <c r="DA927" s="483">
        <v>0</v>
      </c>
      <c r="DB927" s="483">
        <v>0.5</v>
      </c>
      <c r="DC927" s="483">
        <v>0.5</v>
      </c>
      <c r="DD927" s="483">
        <v>0</v>
      </c>
      <c r="DE927" s="483">
        <f>IFERROR(SUM(VLOOKUP($BS927,'État &amp; Plan d''action'!$B$6:$Z$1113,18,FALSE),VLOOKUP($BS927,'État &amp; Plan d''action'!$B$6:$Z$1113,20,FALSE))/(VLOOKUP($BS927,'Données par municipalité'!$B$4:$L$1113,11,FALSE)),"")</f>
        <v>1.2286967418546366</v>
      </c>
      <c r="DF927" s="483">
        <f>IFERROR(SUM(VLOOKUP($BS927,'État &amp; Plan d''action'!$B$6:$Z$1113,19,FALSE),VLOOKUP($BS927,'État &amp; Plan d''action'!$B$6:$Z$1113,21,FALSE))/(VLOOKUP($BS927,'Données par municipalité'!$B$4:$L$1113,11,FALSE)),"")</f>
        <v>1.2286967418546366</v>
      </c>
      <c r="DG927" s="476" t="s">
        <v>4723</v>
      </c>
      <c r="DH927" s="484">
        <v>56</v>
      </c>
      <c r="DI927" s="484">
        <v>67</v>
      </c>
      <c r="DJ927" s="484">
        <v>66</v>
      </c>
      <c r="DK927" s="484">
        <v>85</v>
      </c>
      <c r="DL927" s="484">
        <v>3</v>
      </c>
      <c r="DM927" s="484">
        <v>3</v>
      </c>
      <c r="DN927" s="484">
        <v>3</v>
      </c>
      <c r="DO927" s="484">
        <v>10</v>
      </c>
      <c r="DP927" s="484">
        <v>15</v>
      </c>
      <c r="DQ927" s="484">
        <f>IF(VLOOKUP($BS927,'État &amp; Plan d''action'!$B$6:$AJ$1113,28,FALSE)="","",VLOOKUP($BS927,'État &amp; Plan d''action'!$B$6:$AJ$1113,28,FALSE))</f>
        <v>0</v>
      </c>
      <c r="DR927" s="70">
        <f>IF(VLOOKUP($BS927,'État &amp; Plan d''action'!$B$6:$AJ$1113,29,FALSE)="","",VLOOKUP($BS927,'État &amp; Plan d''action'!$B$6:$AJ$1113,29,FALSE))</f>
        <v>0</v>
      </c>
      <c r="DS927" s="70">
        <f>IF(VLOOKUP($BS927,'État &amp; Plan d''action'!$B$6:$AJ$1113,30,FALSE)="","",VLOOKUP($BS927,'État &amp; Plan d''action'!$B$6:$AJ$1113,30,FALSE))</f>
        <v>5</v>
      </c>
      <c r="DT927" s="70">
        <v>180</v>
      </c>
      <c r="DU927" s="485">
        <v>2.9719464967902054</v>
      </c>
      <c r="DV927" s="485">
        <v>4.9536115343307774</v>
      </c>
      <c r="DW927" s="70">
        <v>1</v>
      </c>
      <c r="DX927" s="70">
        <v>1</v>
      </c>
      <c r="DY927" s="70">
        <v>1</v>
      </c>
      <c r="DZ927" s="70">
        <f>VLOOKUP($BS927,'État &amp; Plan d''action'!$B$6:$AH$1113,31,FALSE)</f>
        <v>0</v>
      </c>
      <c r="EA927" s="70">
        <f>VLOOKUP($BS927,'État &amp; Plan d''action'!$B$6:$AH$1113,32,FALSE)</f>
        <v>0</v>
      </c>
      <c r="EB927" s="70">
        <f>VLOOKUP($BS927,'État &amp; Plan d''action'!$B$6:$AH$1113,33,FALSE)</f>
        <v>1</v>
      </c>
      <c r="EC927" s="70">
        <v>0</v>
      </c>
      <c r="ED927" s="70">
        <v>0</v>
      </c>
      <c r="EE927" s="70">
        <v>0</v>
      </c>
      <c r="EF927" s="70">
        <v>0</v>
      </c>
      <c r="EG927" s="70">
        <v>0</v>
      </c>
      <c r="EH927" s="72">
        <v>62</v>
      </c>
      <c r="EI927" s="72">
        <v>2046</v>
      </c>
    </row>
    <row r="928" spans="71:139" x14ac:dyDescent="0.35">
      <c r="BS928" s="486">
        <v>48050</v>
      </c>
      <c r="BT928" s="479" t="s">
        <v>463</v>
      </c>
      <c r="BU928" s="479">
        <v>16</v>
      </c>
      <c r="BV928" s="476" t="s">
        <v>1188</v>
      </c>
      <c r="BW928" s="476" t="s">
        <v>1188</v>
      </c>
      <c r="BX928" s="476" t="s">
        <v>1188</v>
      </c>
      <c r="BY928" s="476" t="s">
        <v>1188</v>
      </c>
      <c r="BZ928" s="476" t="s">
        <v>1188</v>
      </c>
      <c r="CA928" s="476" t="s">
        <v>1188</v>
      </c>
      <c r="CB928" s="476" t="s">
        <v>1188</v>
      </c>
      <c r="CC928" s="476" t="s">
        <v>1188</v>
      </c>
      <c r="CD928" s="476" t="s">
        <v>1188</v>
      </c>
      <c r="CE928" s="476" t="s">
        <v>1187</v>
      </c>
      <c r="CF928" s="476" t="s">
        <v>1187</v>
      </c>
      <c r="CG928" s="476" t="s">
        <v>1187</v>
      </c>
      <c r="CH928" s="476" t="s">
        <v>1187</v>
      </c>
      <c r="CI928" s="476" t="s">
        <v>1187</v>
      </c>
      <c r="CJ928" s="476" t="s">
        <v>1187</v>
      </c>
      <c r="CK928" s="476" t="s">
        <v>1187</v>
      </c>
      <c r="CL928" s="476" t="s">
        <v>1187</v>
      </c>
      <c r="CM928" s="476" t="str">
        <f>IF(VLOOKUP(BS928,'Données par municipalité'!$B$6:$E$1113,4,FALSE)="","non","oui")</f>
        <v>non</v>
      </c>
      <c r="CN928" s="410" t="s">
        <v>1124</v>
      </c>
      <c r="CO928" s="410" t="s">
        <v>1124</v>
      </c>
      <c r="CP928" s="410"/>
      <c r="CQ928" s="410"/>
      <c r="CR928" s="410"/>
      <c r="CS928" s="410" t="s">
        <v>1124</v>
      </c>
      <c r="CT928" s="410"/>
      <c r="CU928" s="410" t="s">
        <v>1124</v>
      </c>
      <c r="CV928" s="410" t="str">
        <f>IF(VLOOKUP(BS928,'Données par municipalité'!$B$6:$F$1113,4,FALSE)="","",VLOOKUP(BS928,'Données par municipalité'!$B$6:$F$1113,4,FALSE))</f>
        <v/>
      </c>
      <c r="CW928" s="476" t="s">
        <v>4723</v>
      </c>
      <c r="CX928" s="483" t="s">
        <v>1124</v>
      </c>
      <c r="CY928" s="483" t="s">
        <v>1124</v>
      </c>
      <c r="CZ928" s="483" t="s">
        <v>1124</v>
      </c>
      <c r="DA928" s="483" t="s">
        <v>1124</v>
      </c>
      <c r="DB928" s="483" t="s">
        <v>1124</v>
      </c>
      <c r="DC928" s="483" t="s">
        <v>1124</v>
      </c>
      <c r="DD928" s="483" t="s">
        <v>1124</v>
      </c>
      <c r="DE928" s="483" t="str">
        <f>IFERROR(SUM(VLOOKUP($BS928,'État &amp; Plan d''action'!$B$6:$Z$1113,18,FALSE),VLOOKUP($BS928,'État &amp; Plan d''action'!$B$6:$Z$1113,20,FALSE))/(VLOOKUP($BS928,'Données par municipalité'!$B$4:$L$1113,11,FALSE)),"")</f>
        <v/>
      </c>
      <c r="DF928" s="483" t="str">
        <f>IFERROR(SUM(VLOOKUP($BS928,'État &amp; Plan d''action'!$B$6:$Z$1113,19,FALSE),VLOOKUP($BS928,'État &amp; Plan d''action'!$B$6:$Z$1113,21,FALSE))/(VLOOKUP($BS928,'Données par municipalité'!$B$4:$L$1113,11,FALSE)),"")</f>
        <v/>
      </c>
      <c r="DG928" s="476" t="s">
        <v>4723</v>
      </c>
      <c r="DH928" s="484" t="s">
        <v>1124</v>
      </c>
      <c r="DI928" s="484" t="s">
        <v>1124</v>
      </c>
      <c r="DJ928" s="484">
        <v>0</v>
      </c>
      <c r="DK928" s="484">
        <v>0</v>
      </c>
      <c r="DL928" s="484" t="s">
        <v>1124</v>
      </c>
      <c r="DM928" s="484" t="s">
        <v>1124</v>
      </c>
      <c r="DN928" s="484" t="s">
        <v>1124</v>
      </c>
      <c r="DO928" s="484" t="s">
        <v>1124</v>
      </c>
      <c r="DP928" s="484" t="s">
        <v>1124</v>
      </c>
      <c r="DQ928" s="484" t="str">
        <f>IF(VLOOKUP($BS928,'État &amp; Plan d''action'!$B$6:$AJ$1113,28,FALSE)="","",VLOOKUP($BS928,'État &amp; Plan d''action'!$B$6:$AJ$1113,28,FALSE))</f>
        <v/>
      </c>
      <c r="DR928" s="70" t="str">
        <f>IF(VLOOKUP($BS928,'État &amp; Plan d''action'!$B$6:$AJ$1113,29,FALSE)="","",VLOOKUP($BS928,'État &amp; Plan d''action'!$B$6:$AJ$1113,29,FALSE))</f>
        <v/>
      </c>
      <c r="DS928" s="70" t="str">
        <f>IF(VLOOKUP($BS928,'État &amp; Plan d''action'!$B$6:$AJ$1113,30,FALSE)="","",VLOOKUP($BS928,'État &amp; Plan d''action'!$B$6:$AJ$1113,30,FALSE))</f>
        <v/>
      </c>
      <c r="DT928" s="70" t="s">
        <v>1124</v>
      </c>
      <c r="DU928" s="485" t="s">
        <v>1124</v>
      </c>
      <c r="DV928" s="485" t="s">
        <v>1124</v>
      </c>
      <c r="DW928" s="70" t="s">
        <v>1124</v>
      </c>
      <c r="DX928" s="70" t="s">
        <v>1124</v>
      </c>
      <c r="DY928" s="70" t="s">
        <v>1124</v>
      </c>
      <c r="DZ928" s="70" t="str">
        <f>VLOOKUP($BS928,'État &amp; Plan d''action'!$B$6:$AH$1113,31,FALSE)</f>
        <v/>
      </c>
      <c r="EA928" s="70" t="str">
        <f>VLOOKUP($BS928,'État &amp; Plan d''action'!$B$6:$AH$1113,32,FALSE)</f>
        <v/>
      </c>
      <c r="EB928" s="70" t="str">
        <f>VLOOKUP($BS928,'État &amp; Plan d''action'!$B$6:$AH$1113,33,FALSE)</f>
        <v/>
      </c>
      <c r="EC928" s="70" t="s">
        <v>1124</v>
      </c>
      <c r="ED928" s="70" t="s">
        <v>1124</v>
      </c>
      <c r="EE928" s="70" t="s">
        <v>1124</v>
      </c>
      <c r="EF928" s="70" t="s">
        <v>1124</v>
      </c>
      <c r="EG928" s="70" t="s">
        <v>1124</v>
      </c>
      <c r="EH928" s="72"/>
      <c r="EI928" s="72">
        <v>868</v>
      </c>
    </row>
    <row r="929" spans="71:139" x14ac:dyDescent="0.35">
      <c r="BS929" s="486">
        <v>19015</v>
      </c>
      <c r="BT929" s="479" t="s">
        <v>120</v>
      </c>
      <c r="BU929" s="479">
        <v>12</v>
      </c>
      <c r="BV929" s="476" t="s">
        <v>1188</v>
      </c>
      <c r="BW929" s="476" t="s">
        <v>1188</v>
      </c>
      <c r="BX929" s="476" t="s">
        <v>1188</v>
      </c>
      <c r="BY929" s="476" t="s">
        <v>1188</v>
      </c>
      <c r="BZ929" s="476" t="s">
        <v>1188</v>
      </c>
      <c r="CA929" s="476" t="s">
        <v>1188</v>
      </c>
      <c r="CB929" s="476" t="s">
        <v>1188</v>
      </c>
      <c r="CC929" s="476" t="s">
        <v>1188</v>
      </c>
      <c r="CD929" s="476" t="s">
        <v>1188</v>
      </c>
      <c r="CE929" s="476" t="s">
        <v>1187</v>
      </c>
      <c r="CF929" s="476" t="s">
        <v>1187</v>
      </c>
      <c r="CG929" s="476" t="s">
        <v>1187</v>
      </c>
      <c r="CH929" s="476" t="s">
        <v>1187</v>
      </c>
      <c r="CI929" s="476" t="s">
        <v>1187</v>
      </c>
      <c r="CJ929" s="476" t="s">
        <v>1187</v>
      </c>
      <c r="CK929" s="476" t="s">
        <v>1187</v>
      </c>
      <c r="CL929" s="476" t="s">
        <v>1187</v>
      </c>
      <c r="CM929" s="476" t="str">
        <f>IF(VLOOKUP(BS929,'Données par municipalité'!$B$6:$E$1113,4,FALSE)="","non","oui")</f>
        <v>non</v>
      </c>
      <c r="CN929" s="410" t="s">
        <v>1124</v>
      </c>
      <c r="CO929" s="410" t="s">
        <v>1124</v>
      </c>
      <c r="CP929" s="410"/>
      <c r="CQ929" s="410"/>
      <c r="CR929" s="410"/>
      <c r="CS929" s="410" t="s">
        <v>1124</v>
      </c>
      <c r="CT929" s="410"/>
      <c r="CU929" s="410" t="s">
        <v>1124</v>
      </c>
      <c r="CV929" s="410" t="str">
        <f>IF(VLOOKUP(BS929,'Données par municipalité'!$B$6:$F$1113,4,FALSE)="","",VLOOKUP(BS929,'Données par municipalité'!$B$6:$F$1113,4,FALSE))</f>
        <v/>
      </c>
      <c r="CW929" s="476" t="s">
        <v>4723</v>
      </c>
      <c r="CX929" s="483" t="s">
        <v>1124</v>
      </c>
      <c r="CY929" s="483" t="s">
        <v>1124</v>
      </c>
      <c r="CZ929" s="483" t="s">
        <v>1124</v>
      </c>
      <c r="DA929" s="483" t="s">
        <v>1124</v>
      </c>
      <c r="DB929" s="483" t="s">
        <v>1124</v>
      </c>
      <c r="DC929" s="483" t="s">
        <v>1124</v>
      </c>
      <c r="DD929" s="483" t="s">
        <v>1124</v>
      </c>
      <c r="DE929" s="483" t="str">
        <f>IFERROR(SUM(VLOOKUP($BS929,'État &amp; Plan d''action'!$B$6:$Z$1113,18,FALSE),VLOOKUP($BS929,'État &amp; Plan d''action'!$B$6:$Z$1113,20,FALSE))/(VLOOKUP($BS929,'Données par municipalité'!$B$4:$L$1113,11,FALSE)),"")</f>
        <v/>
      </c>
      <c r="DF929" s="483" t="str">
        <f>IFERROR(SUM(VLOOKUP($BS929,'État &amp; Plan d''action'!$B$6:$Z$1113,19,FALSE),VLOOKUP($BS929,'État &amp; Plan d''action'!$B$6:$Z$1113,21,FALSE))/(VLOOKUP($BS929,'Données par municipalité'!$B$4:$L$1113,11,FALSE)),"")</f>
        <v/>
      </c>
      <c r="DG929" s="476" t="s">
        <v>4723</v>
      </c>
      <c r="DH929" s="484" t="s">
        <v>1124</v>
      </c>
      <c r="DI929" s="484" t="s">
        <v>1124</v>
      </c>
      <c r="DJ929" s="484">
        <v>0</v>
      </c>
      <c r="DK929" s="484">
        <v>0</v>
      </c>
      <c r="DL929" s="484" t="s">
        <v>1124</v>
      </c>
      <c r="DM929" s="484" t="s">
        <v>1124</v>
      </c>
      <c r="DN929" s="484" t="s">
        <v>1124</v>
      </c>
      <c r="DO929" s="484" t="s">
        <v>1124</v>
      </c>
      <c r="DP929" s="484" t="s">
        <v>1124</v>
      </c>
      <c r="DQ929" s="484" t="str">
        <f>IF(VLOOKUP($BS929,'État &amp; Plan d''action'!$B$6:$AJ$1113,28,FALSE)="","",VLOOKUP($BS929,'État &amp; Plan d''action'!$B$6:$AJ$1113,28,FALSE))</f>
        <v/>
      </c>
      <c r="DR929" s="70" t="str">
        <f>IF(VLOOKUP($BS929,'État &amp; Plan d''action'!$B$6:$AJ$1113,29,FALSE)="","",VLOOKUP($BS929,'État &amp; Plan d''action'!$B$6:$AJ$1113,29,FALSE))</f>
        <v/>
      </c>
      <c r="DS929" s="70" t="str">
        <f>IF(VLOOKUP($BS929,'État &amp; Plan d''action'!$B$6:$AJ$1113,30,FALSE)="","",VLOOKUP($BS929,'État &amp; Plan d''action'!$B$6:$AJ$1113,30,FALSE))</f>
        <v/>
      </c>
      <c r="DT929" s="70" t="s">
        <v>1124</v>
      </c>
      <c r="DU929" s="485" t="s">
        <v>1124</v>
      </c>
      <c r="DV929" s="485" t="s">
        <v>1124</v>
      </c>
      <c r="DW929" s="70" t="s">
        <v>1124</v>
      </c>
      <c r="DX929" s="70" t="s">
        <v>1124</v>
      </c>
      <c r="DY929" s="70" t="s">
        <v>1124</v>
      </c>
      <c r="DZ929" s="70" t="str">
        <f>VLOOKUP($BS929,'État &amp; Plan d''action'!$B$6:$AH$1113,31,FALSE)</f>
        <v/>
      </c>
      <c r="EA929" s="70" t="str">
        <f>VLOOKUP($BS929,'État &amp; Plan d''action'!$B$6:$AH$1113,32,FALSE)</f>
        <v/>
      </c>
      <c r="EB929" s="70" t="str">
        <f>VLOOKUP($BS929,'État &amp; Plan d''action'!$B$6:$AH$1113,33,FALSE)</f>
        <v/>
      </c>
      <c r="EC929" s="70" t="s">
        <v>1124</v>
      </c>
      <c r="ED929" s="70" t="s">
        <v>1124</v>
      </c>
      <c r="EE929" s="70" t="s">
        <v>1124</v>
      </c>
      <c r="EF929" s="70" t="s">
        <v>1124</v>
      </c>
      <c r="EG929" s="70" t="s">
        <v>1124</v>
      </c>
      <c r="EH929" s="72"/>
      <c r="EI929" s="72">
        <v>357</v>
      </c>
    </row>
    <row r="930" spans="71:139" x14ac:dyDescent="0.35">
      <c r="BS930" s="486">
        <v>19045</v>
      </c>
      <c r="BT930" s="479" t="s">
        <v>125</v>
      </c>
      <c r="BU930" s="479">
        <v>12</v>
      </c>
      <c r="BV930" s="476" t="s">
        <v>1187</v>
      </c>
      <c r="BW930" s="476" t="s">
        <v>1187</v>
      </c>
      <c r="BX930" s="476" t="s">
        <v>1187</v>
      </c>
      <c r="BY930" s="476" t="s">
        <v>1187</v>
      </c>
      <c r="BZ930" s="476" t="s">
        <v>1187</v>
      </c>
      <c r="CA930" s="476" t="s">
        <v>1187</v>
      </c>
      <c r="CB930" s="476" t="s">
        <v>1187</v>
      </c>
      <c r="CC930" s="476" t="s">
        <v>1187</v>
      </c>
      <c r="CD930" s="476" t="s">
        <v>1187</v>
      </c>
      <c r="CE930" s="476" t="s">
        <v>1188</v>
      </c>
      <c r="CF930" s="476" t="s">
        <v>1188</v>
      </c>
      <c r="CG930" s="476" t="s">
        <v>1188</v>
      </c>
      <c r="CH930" s="476" t="s">
        <v>1188</v>
      </c>
      <c r="CI930" s="476" t="s">
        <v>1188</v>
      </c>
      <c r="CJ930" s="476" t="s">
        <v>1188</v>
      </c>
      <c r="CK930" s="476" t="s">
        <v>1188</v>
      </c>
      <c r="CL930" s="476" t="s">
        <v>1188</v>
      </c>
      <c r="CM930" s="476" t="str">
        <f>IF(VLOOKUP(BS930,'Données par municipalité'!$B$6:$E$1113,4,FALSE)="","non","oui")</f>
        <v>oui</v>
      </c>
      <c r="CN930" s="410">
        <v>272.41670894638935</v>
      </c>
      <c r="CO930" s="410">
        <v>259.2879198130633</v>
      </c>
      <c r="CP930" s="410">
        <v>263.52998568268924</v>
      </c>
      <c r="CQ930" s="410">
        <v>273.07551920766952</v>
      </c>
      <c r="CR930" s="410">
        <v>281.7700851974148</v>
      </c>
      <c r="CS930" s="410">
        <v>286.06886835052006</v>
      </c>
      <c r="CT930" s="410">
        <v>256.66267750810925</v>
      </c>
      <c r="CU930" s="410">
        <v>251</v>
      </c>
      <c r="CV930" s="410">
        <f>IF(VLOOKUP(BS930,'Données par municipalité'!$B$6:$F$1113,4,FALSE)="","",VLOOKUP(BS930,'Données par municipalité'!$B$6:$F$1113,4,FALSE))</f>
        <v>280</v>
      </c>
      <c r="CW930" s="476" t="s">
        <v>4723</v>
      </c>
      <c r="CX930" s="483">
        <v>0</v>
      </c>
      <c r="CY930" s="483">
        <v>0</v>
      </c>
      <c r="CZ930" s="483">
        <v>0</v>
      </c>
      <c r="DA930" s="483">
        <v>0</v>
      </c>
      <c r="DB930" s="483">
        <v>0</v>
      </c>
      <c r="DC930" s="483">
        <v>0</v>
      </c>
      <c r="DD930" s="483">
        <v>0</v>
      </c>
      <c r="DE930" s="483">
        <f>IFERROR(SUM(VLOOKUP($BS930,'État &amp; Plan d''action'!$B$6:$Z$1113,18,FALSE),VLOOKUP($BS930,'État &amp; Plan d''action'!$B$6:$Z$1113,20,FALSE))/(VLOOKUP($BS930,'Données par municipalité'!$B$4:$L$1113,11,FALSE)),"")</f>
        <v>0</v>
      </c>
      <c r="DF930" s="483">
        <f>IFERROR(SUM(VLOOKUP($BS930,'État &amp; Plan d''action'!$B$6:$Z$1113,19,FALSE),VLOOKUP($BS930,'État &amp; Plan d''action'!$B$6:$Z$1113,21,FALSE))/(VLOOKUP($BS930,'Données par municipalité'!$B$4:$L$1113,11,FALSE)),"")</f>
        <v>1</v>
      </c>
      <c r="DG930" s="476" t="s">
        <v>4723</v>
      </c>
      <c r="DH930" s="484">
        <v>0</v>
      </c>
      <c r="DI930" s="484">
        <v>0</v>
      </c>
      <c r="DJ930" s="484">
        <v>0</v>
      </c>
      <c r="DK930" s="484">
        <v>0</v>
      </c>
      <c r="DL930" s="484">
        <v>1</v>
      </c>
      <c r="DM930" s="484">
        <v>0</v>
      </c>
      <c r="DN930" s="484">
        <v>0</v>
      </c>
      <c r="DO930" s="484">
        <v>0</v>
      </c>
      <c r="DP930" s="484">
        <v>2</v>
      </c>
      <c r="DQ930" s="484">
        <f>IF(VLOOKUP($BS930,'État &amp; Plan d''action'!$B$6:$AJ$1113,28,FALSE)="","",VLOOKUP($BS930,'État &amp; Plan d''action'!$B$6:$AJ$1113,28,FALSE))</f>
        <v>0</v>
      </c>
      <c r="DR930" s="70">
        <f>IF(VLOOKUP($BS930,'État &amp; Plan d''action'!$B$6:$AJ$1113,29,FALSE)="","",VLOOKUP($BS930,'État &amp; Plan d''action'!$B$6:$AJ$1113,29,FALSE))</f>
        <v>0</v>
      </c>
      <c r="DS930" s="70">
        <f>IF(VLOOKUP($BS930,'État &amp; Plan d''action'!$B$6:$AJ$1113,30,FALSE)="","",VLOOKUP($BS930,'État &amp; Plan d''action'!$B$6:$AJ$1113,30,FALSE))</f>
        <v>0</v>
      </c>
      <c r="DT930" s="70">
        <v>195</v>
      </c>
      <c r="DU930" s="485">
        <v>1.1236472691438595</v>
      </c>
      <c r="DV930" s="485">
        <v>1.4117504289523435</v>
      </c>
      <c r="DW930" s="70">
        <v>0</v>
      </c>
      <c r="DX930" s="70">
        <v>0</v>
      </c>
      <c r="DY930" s="70">
        <v>5</v>
      </c>
      <c r="DZ930" s="70">
        <f>VLOOKUP($BS930,'État &amp; Plan d''action'!$B$6:$AH$1113,31,FALSE)</f>
        <v>0</v>
      </c>
      <c r="EA930" s="70">
        <f>VLOOKUP($BS930,'État &amp; Plan d''action'!$B$6:$AH$1113,32,FALSE)</f>
        <v>0</v>
      </c>
      <c r="EB930" s="70">
        <f>VLOOKUP($BS930,'État &amp; Plan d''action'!$B$6:$AH$1113,33,FALSE)</f>
        <v>0</v>
      </c>
      <c r="EC930" s="70">
        <v>0</v>
      </c>
      <c r="ED930" s="70">
        <v>0</v>
      </c>
      <c r="EE930" s="70">
        <v>0</v>
      </c>
      <c r="EF930" s="70">
        <v>0</v>
      </c>
      <c r="EG930" s="70">
        <v>0</v>
      </c>
      <c r="EH930" s="72">
        <v>62</v>
      </c>
      <c r="EI930" s="72">
        <v>745</v>
      </c>
    </row>
    <row r="931" spans="71:139" x14ac:dyDescent="0.35">
      <c r="BS931" s="486">
        <v>7100</v>
      </c>
      <c r="BT931" s="479" t="s">
        <v>1084</v>
      </c>
      <c r="BU931" s="479">
        <v>1</v>
      </c>
      <c r="BV931" s="476" t="s">
        <v>1187</v>
      </c>
      <c r="BW931" s="476" t="s">
        <v>1187</v>
      </c>
      <c r="BX931" s="476" t="s">
        <v>1187</v>
      </c>
      <c r="BY931" s="476" t="s">
        <v>1187</v>
      </c>
      <c r="BZ931" s="476" t="s">
        <v>1187</v>
      </c>
      <c r="CA931" s="476" t="s">
        <v>1187</v>
      </c>
      <c r="CB931" s="476" t="s">
        <v>1187</v>
      </c>
      <c r="CC931" s="476" t="s">
        <v>1187</v>
      </c>
      <c r="CD931" s="476" t="s">
        <v>1187</v>
      </c>
      <c r="CE931" s="476" t="s">
        <v>1188</v>
      </c>
      <c r="CF931" s="476" t="s">
        <v>1188</v>
      </c>
      <c r="CG931" s="476" t="s">
        <v>1187</v>
      </c>
      <c r="CH931" s="476" t="s">
        <v>1188</v>
      </c>
      <c r="CI931" s="476" t="s">
        <v>1188</v>
      </c>
      <c r="CJ931" s="476" t="s">
        <v>1188</v>
      </c>
      <c r="CK931" s="476" t="s">
        <v>1188</v>
      </c>
      <c r="CL931" s="476" t="s">
        <v>1188</v>
      </c>
      <c r="CM931" s="476" t="str">
        <f>IF(VLOOKUP(BS931,'Données par municipalité'!$B$6:$E$1113,4,FALSE)="","non","oui")</f>
        <v>oui</v>
      </c>
      <c r="CN931" s="410">
        <v>298.96847664631127</v>
      </c>
      <c r="CO931" s="410">
        <v>386.24136623423817</v>
      </c>
      <c r="CP931" s="410"/>
      <c r="CQ931" s="410">
        <v>302.43664019494577</v>
      </c>
      <c r="CR931" s="410">
        <v>276.98364456824964</v>
      </c>
      <c r="CS931" s="410">
        <v>221.29075889924491</v>
      </c>
      <c r="CT931" s="410">
        <v>235.8411236957823</v>
      </c>
      <c r="CU931" s="410">
        <v>248</v>
      </c>
      <c r="CV931" s="410">
        <f>IF(VLOOKUP(BS931,'Données par municipalité'!$B$6:$F$1113,4,FALSE)="","",VLOOKUP(BS931,'Données par municipalité'!$B$6:$F$1113,4,FALSE))</f>
        <v>244</v>
      </c>
      <c r="CW931" s="476" t="s">
        <v>4723</v>
      </c>
      <c r="CX931" s="483">
        <v>0</v>
      </c>
      <c r="CY931" s="483" t="s">
        <v>1124</v>
      </c>
      <c r="CZ931" s="483">
        <v>0</v>
      </c>
      <c r="DA931" s="483">
        <v>0</v>
      </c>
      <c r="DB931" s="483">
        <v>0</v>
      </c>
      <c r="DC931" s="483">
        <v>0</v>
      </c>
      <c r="DD931" s="483" t="s">
        <v>1124</v>
      </c>
      <c r="DE931" s="483">
        <f>IFERROR(SUM(VLOOKUP($BS931,'État &amp; Plan d''action'!$B$6:$Z$1113,18,FALSE),VLOOKUP($BS931,'État &amp; Plan d''action'!$B$6:$Z$1113,20,FALSE))/(VLOOKUP($BS931,'Données par municipalité'!$B$4:$L$1113,11,FALSE)),"")</f>
        <v>0</v>
      </c>
      <c r="DF931" s="483">
        <f>IFERROR(SUM(VLOOKUP($BS931,'État &amp; Plan d''action'!$B$6:$Z$1113,19,FALSE),VLOOKUP($BS931,'État &amp; Plan d''action'!$B$6:$Z$1113,21,FALSE))/(VLOOKUP($BS931,'Données par municipalité'!$B$4:$L$1113,11,FALSE)),"")</f>
        <v>1</v>
      </c>
      <c r="DG931" s="476" t="s">
        <v>4723</v>
      </c>
      <c r="DH931" s="484">
        <v>0</v>
      </c>
      <c r="DI931" s="484" t="s">
        <v>1124</v>
      </c>
      <c r="DJ931" s="484">
        <v>0</v>
      </c>
      <c r="DK931" s="484">
        <v>1</v>
      </c>
      <c r="DL931" s="484">
        <v>0</v>
      </c>
      <c r="DM931" s="484">
        <v>0</v>
      </c>
      <c r="DN931" s="484">
        <v>0</v>
      </c>
      <c r="DO931" s="484">
        <v>0</v>
      </c>
      <c r="DP931" s="484">
        <v>0</v>
      </c>
      <c r="DQ931" s="484">
        <f>IF(VLOOKUP($BS931,'État &amp; Plan d''action'!$B$6:$AJ$1113,28,FALSE)="","",VLOOKUP($BS931,'État &amp; Plan d''action'!$B$6:$AJ$1113,28,FALSE))</f>
        <v>0</v>
      </c>
      <c r="DR931" s="70">
        <f>IF(VLOOKUP($BS931,'État &amp; Plan d''action'!$B$6:$AJ$1113,29,FALSE)="","",VLOOKUP($BS931,'État &amp; Plan d''action'!$B$6:$AJ$1113,29,FALSE))</f>
        <v>0</v>
      </c>
      <c r="DS931" s="70">
        <f>IF(VLOOKUP($BS931,'État &amp; Plan d''action'!$B$6:$AJ$1113,30,FALSE)="","",VLOOKUP($BS931,'État &amp; Plan d''action'!$B$6:$AJ$1113,30,FALSE))</f>
        <v>0</v>
      </c>
      <c r="DT931" s="70">
        <v>140</v>
      </c>
      <c r="DU931" s="485">
        <v>2.2264947466697094</v>
      </c>
      <c r="DV931" s="485">
        <v>1.4108677131666547</v>
      </c>
      <c r="DW931" s="70">
        <v>0</v>
      </c>
      <c r="DX931" s="70">
        <v>0</v>
      </c>
      <c r="DY931" s="70">
        <v>0</v>
      </c>
      <c r="DZ931" s="70">
        <f>VLOOKUP($BS931,'État &amp; Plan d''action'!$B$6:$AH$1113,31,FALSE)</f>
        <v>0</v>
      </c>
      <c r="EA931" s="70">
        <f>VLOOKUP($BS931,'État &amp; Plan d''action'!$B$6:$AH$1113,32,FALSE)</f>
        <v>0</v>
      </c>
      <c r="EB931" s="70">
        <f>VLOOKUP($BS931,'État &amp; Plan d''action'!$B$6:$AH$1113,33,FALSE)</f>
        <v>0</v>
      </c>
      <c r="EC931" s="70">
        <v>0</v>
      </c>
      <c r="ED931" s="70">
        <v>0</v>
      </c>
      <c r="EE931" s="70">
        <v>0</v>
      </c>
      <c r="EF931" s="70">
        <v>0</v>
      </c>
      <c r="EG931" s="70">
        <v>0</v>
      </c>
      <c r="EH931" s="72">
        <v>58.554054054054063</v>
      </c>
      <c r="EI931" s="72">
        <v>412</v>
      </c>
    </row>
    <row r="932" spans="71:139" x14ac:dyDescent="0.35">
      <c r="BS932" s="486">
        <v>52070</v>
      </c>
      <c r="BT932" s="479" t="s">
        <v>524</v>
      </c>
      <c r="BU932" s="479">
        <v>14</v>
      </c>
      <c r="BV932" s="476" t="s">
        <v>1188</v>
      </c>
      <c r="BW932" s="476" t="s">
        <v>1188</v>
      </c>
      <c r="BX932" s="476" t="s">
        <v>1188</v>
      </c>
      <c r="BY932" s="476" t="s">
        <v>1188</v>
      </c>
      <c r="BZ932" s="476" t="s">
        <v>1188</v>
      </c>
      <c r="CA932" s="476" t="s">
        <v>1188</v>
      </c>
      <c r="CB932" s="476" t="s">
        <v>1188</v>
      </c>
      <c r="CC932" s="476" t="s">
        <v>1188</v>
      </c>
      <c r="CD932" s="476" t="s">
        <v>1324</v>
      </c>
      <c r="CE932" s="476" t="s">
        <v>1187</v>
      </c>
      <c r="CF932" s="476" t="s">
        <v>1187</v>
      </c>
      <c r="CG932" s="476" t="s">
        <v>1187</v>
      </c>
      <c r="CH932" s="476" t="s">
        <v>1187</v>
      </c>
      <c r="CI932" s="476" t="s">
        <v>1187</v>
      </c>
      <c r="CJ932" s="476" t="s">
        <v>1187</v>
      </c>
      <c r="CK932" s="476" t="s">
        <v>1187</v>
      </c>
      <c r="CL932" s="476" t="s">
        <v>1187</v>
      </c>
      <c r="CM932" s="476" t="str">
        <f>IF(VLOOKUP(BS932,'Données par municipalité'!$B$6:$E$1113,4,FALSE)="","non","oui")</f>
        <v>non</v>
      </c>
      <c r="CN932" s="410" t="s">
        <v>1124</v>
      </c>
      <c r="CO932" s="410" t="s">
        <v>1124</v>
      </c>
      <c r="CP932" s="410"/>
      <c r="CQ932" s="410"/>
      <c r="CR932" s="410"/>
      <c r="CS932" s="410" t="s">
        <v>1124</v>
      </c>
      <c r="CT932" s="410"/>
      <c r="CU932" s="410" t="s">
        <v>1124</v>
      </c>
      <c r="CV932" s="410" t="str">
        <f>IF(VLOOKUP(BS932,'Données par municipalité'!$B$6:$F$1113,4,FALSE)="","",VLOOKUP(BS932,'Données par municipalité'!$B$6:$F$1113,4,FALSE))</f>
        <v/>
      </c>
      <c r="CW932" s="476" t="s">
        <v>4723</v>
      </c>
      <c r="CX932" s="483" t="s">
        <v>1124</v>
      </c>
      <c r="CY932" s="483" t="s">
        <v>1124</v>
      </c>
      <c r="CZ932" s="483" t="s">
        <v>1124</v>
      </c>
      <c r="DA932" s="483" t="s">
        <v>1124</v>
      </c>
      <c r="DB932" s="483" t="s">
        <v>1124</v>
      </c>
      <c r="DC932" s="483" t="s">
        <v>1124</v>
      </c>
      <c r="DD932" s="483" t="s">
        <v>1124</v>
      </c>
      <c r="DE932" s="483" t="str">
        <f>IFERROR(SUM(VLOOKUP($BS932,'État &amp; Plan d''action'!$B$6:$Z$1113,18,FALSE),VLOOKUP($BS932,'État &amp; Plan d''action'!$B$6:$Z$1113,20,FALSE))/(VLOOKUP($BS932,'Données par municipalité'!$B$4:$L$1113,11,FALSE)),"")</f>
        <v/>
      </c>
      <c r="DF932" s="483" t="str">
        <f>IFERROR(SUM(VLOOKUP($BS932,'État &amp; Plan d''action'!$B$6:$Z$1113,19,FALSE),VLOOKUP($BS932,'État &amp; Plan d''action'!$B$6:$Z$1113,21,FALSE))/(VLOOKUP($BS932,'Données par municipalité'!$B$4:$L$1113,11,FALSE)),"")</f>
        <v/>
      </c>
      <c r="DG932" s="476" t="s">
        <v>4723</v>
      </c>
      <c r="DH932" s="484" t="s">
        <v>1124</v>
      </c>
      <c r="DI932" s="484" t="s">
        <v>1124</v>
      </c>
      <c r="DJ932" s="484">
        <v>0</v>
      </c>
      <c r="DK932" s="484">
        <v>0</v>
      </c>
      <c r="DL932" s="484" t="s">
        <v>1124</v>
      </c>
      <c r="DM932" s="484" t="s">
        <v>1124</v>
      </c>
      <c r="DN932" s="484" t="s">
        <v>1124</v>
      </c>
      <c r="DO932" s="484" t="s">
        <v>1124</v>
      </c>
      <c r="DP932" s="484" t="s">
        <v>1124</v>
      </c>
      <c r="DQ932" s="484" t="str">
        <f>IF(VLOOKUP($BS932,'État &amp; Plan d''action'!$B$6:$AJ$1113,28,FALSE)="","",VLOOKUP($BS932,'État &amp; Plan d''action'!$B$6:$AJ$1113,28,FALSE))</f>
        <v/>
      </c>
      <c r="DR932" s="70" t="str">
        <f>IF(VLOOKUP($BS932,'État &amp; Plan d''action'!$B$6:$AJ$1113,29,FALSE)="","",VLOOKUP($BS932,'État &amp; Plan d''action'!$B$6:$AJ$1113,29,FALSE))</f>
        <v/>
      </c>
      <c r="DS932" s="70" t="str">
        <f>IF(VLOOKUP($BS932,'État &amp; Plan d''action'!$B$6:$AJ$1113,30,FALSE)="","",VLOOKUP($BS932,'État &amp; Plan d''action'!$B$6:$AJ$1113,30,FALSE))</f>
        <v/>
      </c>
      <c r="DT932" s="70" t="s">
        <v>1124</v>
      </c>
      <c r="DU932" s="485" t="s">
        <v>1124</v>
      </c>
      <c r="DV932" s="485" t="s">
        <v>1124</v>
      </c>
      <c r="DW932" s="70" t="s">
        <v>1124</v>
      </c>
      <c r="DX932" s="70" t="s">
        <v>1124</v>
      </c>
      <c r="DY932" s="70" t="s">
        <v>1124</v>
      </c>
      <c r="DZ932" s="70" t="str">
        <f>VLOOKUP($BS932,'État &amp; Plan d''action'!$B$6:$AH$1113,31,FALSE)</f>
        <v/>
      </c>
      <c r="EA932" s="70" t="str">
        <f>VLOOKUP($BS932,'État &amp; Plan d''action'!$B$6:$AH$1113,32,FALSE)</f>
        <v/>
      </c>
      <c r="EB932" s="70" t="str">
        <f>VLOOKUP($BS932,'État &amp; Plan d''action'!$B$6:$AH$1113,33,FALSE)</f>
        <v/>
      </c>
      <c r="EC932" s="70" t="s">
        <v>1124</v>
      </c>
      <c r="ED932" s="70" t="s">
        <v>1124</v>
      </c>
      <c r="EE932" s="70" t="s">
        <v>1124</v>
      </c>
      <c r="EF932" s="70" t="s">
        <v>1124</v>
      </c>
      <c r="EG932" s="70" t="s">
        <v>1124</v>
      </c>
      <c r="EH932" s="72"/>
      <c r="EI932" s="72">
        <v>1085</v>
      </c>
    </row>
    <row r="933" spans="71:139" x14ac:dyDescent="0.35">
      <c r="BS933" s="486">
        <v>39043</v>
      </c>
      <c r="BT933" s="479" t="s">
        <v>344</v>
      </c>
      <c r="BU933" s="479">
        <v>17</v>
      </c>
      <c r="BV933" s="476" t="s">
        <v>1187</v>
      </c>
      <c r="BW933" s="476" t="s">
        <v>1187</v>
      </c>
      <c r="BX933" s="476" t="s">
        <v>1187</v>
      </c>
      <c r="BY933" s="476" t="s">
        <v>1187</v>
      </c>
      <c r="BZ933" s="476" t="s">
        <v>1187</v>
      </c>
      <c r="CA933" s="476" t="s">
        <v>1187</v>
      </c>
      <c r="CB933" s="476" t="s">
        <v>1187</v>
      </c>
      <c r="CC933" s="476" t="s">
        <v>1187</v>
      </c>
      <c r="CD933" s="476" t="s">
        <v>1187</v>
      </c>
      <c r="CE933" s="476" t="s">
        <v>1188</v>
      </c>
      <c r="CF933" s="476" t="s">
        <v>1188</v>
      </c>
      <c r="CG933" s="476" t="s">
        <v>1187</v>
      </c>
      <c r="CH933" s="476" t="s">
        <v>1188</v>
      </c>
      <c r="CI933" s="476" t="s">
        <v>1188</v>
      </c>
      <c r="CJ933" s="476" t="s">
        <v>1188</v>
      </c>
      <c r="CK933" s="476" t="s">
        <v>1188</v>
      </c>
      <c r="CL933" s="476" t="s">
        <v>1188</v>
      </c>
      <c r="CM933" s="476" t="str">
        <f>IF(VLOOKUP(BS933,'Données par municipalité'!$B$6:$E$1113,4,FALSE)="","non","oui")</f>
        <v>oui</v>
      </c>
      <c r="CN933" s="410">
        <v>573.9369292237443</v>
      </c>
      <c r="CO933" s="410">
        <v>486.60176917867159</v>
      </c>
      <c r="CP933" s="410"/>
      <c r="CQ933" s="410">
        <v>312.53837471797954</v>
      </c>
      <c r="CR933" s="410">
        <v>349.67084646884473</v>
      </c>
      <c r="CS933" s="410">
        <v>333.1512224720953</v>
      </c>
      <c r="CT933" s="410">
        <v>274.12141193137217</v>
      </c>
      <c r="CU933" s="410">
        <v>413</v>
      </c>
      <c r="CV933" s="410">
        <f>IF(VLOOKUP(BS933,'Données par municipalité'!$B$6:$F$1113,4,FALSE)="","",VLOOKUP(BS933,'Données par municipalité'!$B$6:$F$1113,4,FALSE))</f>
        <v>387</v>
      </c>
      <c r="CW933" s="476" t="s">
        <v>4723</v>
      </c>
      <c r="CX933" s="483">
        <v>0</v>
      </c>
      <c r="CY933" s="483" t="s">
        <v>1124</v>
      </c>
      <c r="CZ933" s="483">
        <v>0</v>
      </c>
      <c r="DA933" s="483">
        <v>0</v>
      </c>
      <c r="DB933" s="483">
        <v>0</v>
      </c>
      <c r="DC933" s="483">
        <v>0</v>
      </c>
      <c r="DD933" s="483">
        <v>0</v>
      </c>
      <c r="DE933" s="483">
        <f>IFERROR(SUM(VLOOKUP($BS933,'État &amp; Plan d''action'!$B$6:$Z$1113,18,FALSE),VLOOKUP($BS933,'État &amp; Plan d''action'!$B$6:$Z$1113,20,FALSE))/(VLOOKUP($BS933,'Données par municipalité'!$B$4:$L$1113,11,FALSE)),"")</f>
        <v>0.50040032025620496</v>
      </c>
      <c r="DF933" s="483">
        <f>IFERROR(SUM(VLOOKUP($BS933,'État &amp; Plan d''action'!$B$6:$Z$1113,19,FALSE),VLOOKUP($BS933,'État &amp; Plan d''action'!$B$6:$Z$1113,21,FALSE))/(VLOOKUP($BS933,'Données par municipalité'!$B$4:$L$1113,11,FALSE)),"")</f>
        <v>0.50040032025620496</v>
      </c>
      <c r="DG933" s="476" t="s">
        <v>4723</v>
      </c>
      <c r="DH933" s="484">
        <v>0</v>
      </c>
      <c r="DI933" s="484" t="s">
        <v>1124</v>
      </c>
      <c r="DJ933" s="484">
        <v>0</v>
      </c>
      <c r="DK933" s="484">
        <v>0</v>
      </c>
      <c r="DL933" s="484">
        <v>0</v>
      </c>
      <c r="DM933" s="484">
        <v>0</v>
      </c>
      <c r="DN933" s="484">
        <v>1</v>
      </c>
      <c r="DO933" s="484">
        <v>0</v>
      </c>
      <c r="DP933" s="484">
        <v>1</v>
      </c>
      <c r="DQ933" s="484">
        <f>IF(VLOOKUP($BS933,'État &amp; Plan d''action'!$B$6:$AJ$1113,28,FALSE)="","",VLOOKUP($BS933,'État &amp; Plan d''action'!$B$6:$AJ$1113,28,FALSE))</f>
        <v>0</v>
      </c>
      <c r="DR933" s="70">
        <f>IF(VLOOKUP($BS933,'État &amp; Plan d''action'!$B$6:$AJ$1113,29,FALSE)="","",VLOOKUP($BS933,'État &amp; Plan d''action'!$B$6:$AJ$1113,29,FALSE))</f>
        <v>0</v>
      </c>
      <c r="DS933" s="70">
        <f>IF(VLOOKUP($BS933,'État &amp; Plan d''action'!$B$6:$AJ$1113,30,FALSE)="","",VLOOKUP($BS933,'État &amp; Plan d''action'!$B$6:$AJ$1113,30,FALSE))</f>
        <v>0</v>
      </c>
      <c r="DT933" s="70">
        <v>338</v>
      </c>
      <c r="DU933" s="485">
        <v>1.2655695374037494</v>
      </c>
      <c r="DV933" s="485">
        <v>0.57915668827035827</v>
      </c>
      <c r="DW933" s="70">
        <v>1</v>
      </c>
      <c r="DX933" s="70">
        <v>0</v>
      </c>
      <c r="DY933" s="70">
        <v>2</v>
      </c>
      <c r="DZ933" s="70">
        <f>VLOOKUP($BS933,'État &amp; Plan d''action'!$B$6:$AH$1113,31,FALSE)</f>
        <v>0</v>
      </c>
      <c r="EA933" s="70">
        <f>VLOOKUP($BS933,'État &amp; Plan d''action'!$B$6:$AH$1113,32,FALSE)</f>
        <v>0</v>
      </c>
      <c r="EB933" s="70">
        <f>VLOOKUP($BS933,'État &amp; Plan d''action'!$B$6:$AH$1113,33,FALSE)</f>
        <v>0</v>
      </c>
      <c r="EC933" s="70">
        <v>0</v>
      </c>
      <c r="ED933" s="70">
        <v>0</v>
      </c>
      <c r="EE933" s="70">
        <v>0</v>
      </c>
      <c r="EF933" s="70">
        <v>0</v>
      </c>
      <c r="EG933" s="70">
        <v>0</v>
      </c>
      <c r="EH933" s="72">
        <v>45</v>
      </c>
      <c r="EI933" s="72">
        <v>1217</v>
      </c>
    </row>
    <row r="934" spans="71:139" x14ac:dyDescent="0.35">
      <c r="BS934" s="486">
        <v>9055</v>
      </c>
      <c r="BT934" s="479" t="s">
        <v>1106</v>
      </c>
      <c r="BU934" s="479">
        <v>1</v>
      </c>
      <c r="BV934" s="476" t="s">
        <v>1187</v>
      </c>
      <c r="BW934" s="476" t="s">
        <v>1187</v>
      </c>
      <c r="BX934" s="476" t="s">
        <v>1187</v>
      </c>
      <c r="BY934" s="476" t="s">
        <v>1187</v>
      </c>
      <c r="BZ934" s="476" t="s">
        <v>1187</v>
      </c>
      <c r="CA934" s="476" t="s">
        <v>1187</v>
      </c>
      <c r="CB934" s="476" t="s">
        <v>1187</v>
      </c>
      <c r="CC934" s="476" t="s">
        <v>1187</v>
      </c>
      <c r="CD934" s="476" t="s">
        <v>1187</v>
      </c>
      <c r="CE934" s="476" t="s">
        <v>1188</v>
      </c>
      <c r="CF934" s="476" t="s">
        <v>1188</v>
      </c>
      <c r="CG934" s="476" t="s">
        <v>1188</v>
      </c>
      <c r="CH934" s="476" t="s">
        <v>1188</v>
      </c>
      <c r="CI934" s="476" t="s">
        <v>1188</v>
      </c>
      <c r="CJ934" s="476" t="s">
        <v>1187</v>
      </c>
      <c r="CK934" s="476" t="s">
        <v>1187</v>
      </c>
      <c r="CL934" s="476" t="s">
        <v>1187</v>
      </c>
      <c r="CM934" s="476" t="str">
        <f>IF(VLOOKUP(BS934,'Données par municipalité'!$B$6:$E$1113,4,FALSE)="","non","oui")</f>
        <v>oui</v>
      </c>
      <c r="CN934" s="410">
        <v>1044.9757852497578</v>
      </c>
      <c r="CO934" s="410">
        <v>1144.0055951365352</v>
      </c>
      <c r="CP934" s="410">
        <v>517.10475157104759</v>
      </c>
      <c r="CQ934" s="410">
        <v>747.90187062137375</v>
      </c>
      <c r="CR934" s="410">
        <v>1164.9823911748711</v>
      </c>
      <c r="CS934" s="410" t="s">
        <v>1124</v>
      </c>
      <c r="CT934" s="410"/>
      <c r="CU934" s="410" t="s">
        <v>1124</v>
      </c>
      <c r="CV934" s="410">
        <f>IF(VLOOKUP(BS934,'Données par municipalité'!$B$6:$F$1113,4,FALSE)="","",VLOOKUP(BS934,'Données par municipalité'!$B$6:$F$1113,4,FALSE))</f>
        <v>122</v>
      </c>
      <c r="CW934" s="476" t="s">
        <v>4723</v>
      </c>
      <c r="CX934" s="483">
        <v>0</v>
      </c>
      <c r="CY934" s="483">
        <v>0</v>
      </c>
      <c r="CZ934" s="483">
        <v>0</v>
      </c>
      <c r="DA934" s="483">
        <v>0</v>
      </c>
      <c r="DB934" s="483" t="s">
        <v>1124</v>
      </c>
      <c r="DC934" s="483" t="s">
        <v>1124</v>
      </c>
      <c r="DD934" s="483" t="s">
        <v>1124</v>
      </c>
      <c r="DE934" s="483">
        <f>IFERROR(SUM(VLOOKUP($BS934,'État &amp; Plan d''action'!$B$6:$Z$1113,18,FALSE),VLOOKUP($BS934,'État &amp; Plan d''action'!$B$6:$Z$1113,20,FALSE))/(VLOOKUP($BS934,'Données par municipalité'!$B$4:$L$1113,11,FALSE)),"")</f>
        <v>0</v>
      </c>
      <c r="DF934" s="483">
        <f>IFERROR(SUM(VLOOKUP($BS934,'État &amp; Plan d''action'!$B$6:$Z$1113,19,FALSE),VLOOKUP($BS934,'État &amp; Plan d''action'!$B$6:$Z$1113,21,FALSE))/(VLOOKUP($BS934,'Données par municipalité'!$B$4:$L$1113,11,FALSE)),"")</f>
        <v>0</v>
      </c>
      <c r="DG934" s="476" t="s">
        <v>4723</v>
      </c>
      <c r="DH934" s="484">
        <v>3</v>
      </c>
      <c r="DI934" s="484">
        <v>5</v>
      </c>
      <c r="DJ934" s="484">
        <v>6</v>
      </c>
      <c r="DK934" s="484">
        <v>8</v>
      </c>
      <c r="DL934" s="484" t="s">
        <v>1124</v>
      </c>
      <c r="DM934" s="484" t="s">
        <v>1124</v>
      </c>
      <c r="DN934" s="484" t="s">
        <v>1124</v>
      </c>
      <c r="DO934" s="484" t="s">
        <v>1124</v>
      </c>
      <c r="DP934" s="484" t="s">
        <v>1124</v>
      </c>
      <c r="DQ934" s="484">
        <f>IF(VLOOKUP($BS934,'État &amp; Plan d''action'!$B$6:$AJ$1113,28,FALSE)="","",VLOOKUP($BS934,'État &amp; Plan d''action'!$B$6:$AJ$1113,28,FALSE))</f>
        <v>0</v>
      </c>
      <c r="DR934" s="70">
        <f>IF(VLOOKUP($BS934,'État &amp; Plan d''action'!$B$6:$AJ$1113,29,FALSE)="","",VLOOKUP($BS934,'État &amp; Plan d''action'!$B$6:$AJ$1113,29,FALSE))</f>
        <v>0</v>
      </c>
      <c r="DS934" s="70">
        <f>IF(VLOOKUP($BS934,'État &amp; Plan d''action'!$B$6:$AJ$1113,30,FALSE)="","",VLOOKUP($BS934,'État &amp; Plan d''action'!$B$6:$AJ$1113,30,FALSE))</f>
        <v>0</v>
      </c>
      <c r="DT934" s="70" t="s">
        <v>1124</v>
      </c>
      <c r="DU934" s="485" t="s">
        <v>1124</v>
      </c>
      <c r="DV934" s="485">
        <v>0.19920522997749304</v>
      </c>
      <c r="DW934" s="70" t="s">
        <v>1124</v>
      </c>
      <c r="DX934" s="70" t="s">
        <v>1124</v>
      </c>
      <c r="DY934" s="70" t="s">
        <v>1124</v>
      </c>
      <c r="DZ934" s="70">
        <f>VLOOKUP($BS934,'État &amp; Plan d''action'!$B$6:$AH$1113,31,FALSE)</f>
        <v>0</v>
      </c>
      <c r="EA934" s="70">
        <f>VLOOKUP($BS934,'État &amp; Plan d''action'!$B$6:$AH$1113,32,FALSE)</f>
        <v>0</v>
      </c>
      <c r="EB934" s="70">
        <f>VLOOKUP($BS934,'État &amp; Plan d''action'!$B$6:$AH$1113,33,FALSE)</f>
        <v>0</v>
      </c>
      <c r="EC934" s="70" t="s">
        <v>1124</v>
      </c>
      <c r="ED934" s="70" t="s">
        <v>1124</v>
      </c>
      <c r="EE934" s="70" t="s">
        <v>1124</v>
      </c>
      <c r="EF934" s="70" t="s">
        <v>1124</v>
      </c>
      <c r="EG934" s="70" t="s">
        <v>1124</v>
      </c>
      <c r="EH934" s="72"/>
      <c r="EI934" s="72">
        <v>515</v>
      </c>
    </row>
    <row r="935" spans="71:139" x14ac:dyDescent="0.35">
      <c r="BS935" s="486">
        <v>27035</v>
      </c>
      <c r="BT935" s="479" t="s">
        <v>181</v>
      </c>
      <c r="BU935" s="479">
        <v>12</v>
      </c>
      <c r="BV935" s="476" t="s">
        <v>1187</v>
      </c>
      <c r="BW935" s="476" t="s">
        <v>1187</v>
      </c>
      <c r="BX935" s="476" t="s">
        <v>1187</v>
      </c>
      <c r="BY935" s="476" t="s">
        <v>1187</v>
      </c>
      <c r="BZ935" s="476" t="s">
        <v>1187</v>
      </c>
      <c r="CA935" s="476" t="s">
        <v>1187</v>
      </c>
      <c r="CB935" s="476" t="s">
        <v>1187</v>
      </c>
      <c r="CC935" s="476" t="s">
        <v>1187</v>
      </c>
      <c r="CD935" s="476" t="s">
        <v>1187</v>
      </c>
      <c r="CE935" s="476" t="s">
        <v>1188</v>
      </c>
      <c r="CF935" s="476" t="s">
        <v>1188</v>
      </c>
      <c r="CG935" s="476" t="s">
        <v>1188</v>
      </c>
      <c r="CH935" s="476" t="s">
        <v>1188</v>
      </c>
      <c r="CI935" s="476" t="s">
        <v>1188</v>
      </c>
      <c r="CJ935" s="476" t="s">
        <v>1188</v>
      </c>
      <c r="CK935" s="476" t="s">
        <v>1188</v>
      </c>
      <c r="CL935" s="476" t="s">
        <v>1188</v>
      </c>
      <c r="CM935" s="476" t="str">
        <f>IF(VLOOKUP(BS935,'Données par municipalité'!$B$6:$E$1113,4,FALSE)="","non","oui")</f>
        <v>oui</v>
      </c>
      <c r="CN935" s="410">
        <v>274.10668855323524</v>
      </c>
      <c r="CO935" s="410">
        <v>268.70729411465379</v>
      </c>
      <c r="CP935" s="410">
        <v>272.99870417229664</v>
      </c>
      <c r="CQ935" s="410">
        <v>233.85719169736433</v>
      </c>
      <c r="CR935" s="410">
        <v>279.42836121485709</v>
      </c>
      <c r="CS935" s="410">
        <v>251.8122552800989</v>
      </c>
      <c r="CT935" s="410">
        <v>188.83665875555934</v>
      </c>
      <c r="CU935" s="410">
        <v>251</v>
      </c>
      <c r="CV935" s="410">
        <f>IF(VLOOKUP(BS935,'Données par municipalité'!$B$6:$F$1113,4,FALSE)="","",VLOOKUP(BS935,'Données par municipalité'!$B$6:$F$1113,4,FALSE))</f>
        <v>237</v>
      </c>
      <c r="CW935" s="476" t="s">
        <v>4723</v>
      </c>
      <c r="CX935" s="483">
        <v>0</v>
      </c>
      <c r="CY935" s="483">
        <v>0</v>
      </c>
      <c r="CZ935" s="483">
        <v>0</v>
      </c>
      <c r="DA935" s="483">
        <v>0</v>
      </c>
      <c r="DB935" s="483">
        <v>0</v>
      </c>
      <c r="DC935" s="483">
        <v>0</v>
      </c>
      <c r="DD935" s="483">
        <v>0</v>
      </c>
      <c r="DE935" s="483">
        <f>IFERROR(SUM(VLOOKUP($BS935,'État &amp; Plan d''action'!$B$6:$Z$1113,18,FALSE),VLOOKUP($BS935,'État &amp; Plan d''action'!$B$6:$Z$1113,20,FALSE))/(VLOOKUP($BS935,'Données par municipalité'!$B$4:$L$1113,11,FALSE)),"")</f>
        <v>0</v>
      </c>
      <c r="DF935" s="483">
        <f>IFERROR(SUM(VLOOKUP($BS935,'État &amp; Plan d''action'!$B$6:$Z$1113,19,FALSE),VLOOKUP($BS935,'État &amp; Plan d''action'!$B$6:$Z$1113,21,FALSE))/(VLOOKUP($BS935,'Données par municipalité'!$B$4:$L$1113,11,FALSE)),"")</f>
        <v>0</v>
      </c>
      <c r="DG935" s="476" t="s">
        <v>4723</v>
      </c>
      <c r="DH935" s="484">
        <v>0</v>
      </c>
      <c r="DI935" s="484">
        <v>0</v>
      </c>
      <c r="DJ935" s="484">
        <v>0</v>
      </c>
      <c r="DK935" s="484">
        <v>2</v>
      </c>
      <c r="DL935" s="484">
        <v>0</v>
      </c>
      <c r="DM935" s="484">
        <v>0</v>
      </c>
      <c r="DN935" s="484">
        <v>0</v>
      </c>
      <c r="DO935" s="484">
        <v>1</v>
      </c>
      <c r="DP935" s="484">
        <v>1</v>
      </c>
      <c r="DQ935" s="484">
        <f>IF(VLOOKUP($BS935,'État &amp; Plan d''action'!$B$6:$AJ$1113,28,FALSE)="","",VLOOKUP($BS935,'État &amp; Plan d''action'!$B$6:$AJ$1113,28,FALSE))</f>
        <v>1</v>
      </c>
      <c r="DR935" s="70">
        <f>IF(VLOOKUP($BS935,'État &amp; Plan d''action'!$B$6:$AJ$1113,29,FALSE)="","",VLOOKUP($BS935,'État &amp; Plan d''action'!$B$6:$AJ$1113,29,FALSE))</f>
        <v>0</v>
      </c>
      <c r="DS935" s="70">
        <f>IF(VLOOKUP($BS935,'État &amp; Plan d''action'!$B$6:$AJ$1113,30,FALSE)="","",VLOOKUP($BS935,'État &amp; Plan d''action'!$B$6:$AJ$1113,30,FALSE))</f>
        <v>1</v>
      </c>
      <c r="DT935" s="70">
        <v>211</v>
      </c>
      <c r="DU935" s="485">
        <v>1.0026528523384788</v>
      </c>
      <c r="DV935" s="485">
        <v>1.0413266052143915</v>
      </c>
      <c r="DW935" s="70">
        <v>0</v>
      </c>
      <c r="DX935" s="70">
        <v>3</v>
      </c>
      <c r="DY935" s="70">
        <v>3</v>
      </c>
      <c r="DZ935" s="70">
        <f>VLOOKUP($BS935,'État &amp; Plan d''action'!$B$6:$AH$1113,31,FALSE)</f>
        <v>1</v>
      </c>
      <c r="EA935" s="70">
        <f>VLOOKUP($BS935,'État &amp; Plan d''action'!$B$6:$AH$1113,32,FALSE)</f>
        <v>0</v>
      </c>
      <c r="EB935" s="70">
        <f>VLOOKUP($BS935,'État &amp; Plan d''action'!$B$6:$AH$1113,33,FALSE)</f>
        <v>1</v>
      </c>
      <c r="EC935" s="70">
        <v>0</v>
      </c>
      <c r="ED935" s="70">
        <v>0</v>
      </c>
      <c r="EE935" s="70">
        <v>0</v>
      </c>
      <c r="EF935" s="70">
        <v>0</v>
      </c>
      <c r="EG935" s="70">
        <v>0</v>
      </c>
      <c r="EH935" s="72">
        <v>48</v>
      </c>
      <c r="EI935" s="72">
        <v>1405</v>
      </c>
    </row>
    <row r="936" spans="71:139" x14ac:dyDescent="0.35">
      <c r="BS936" s="486">
        <v>17005</v>
      </c>
      <c r="BT936" s="479" t="s">
        <v>90</v>
      </c>
      <c r="BU936" s="479">
        <v>12</v>
      </c>
      <c r="BV936" s="476" t="s">
        <v>1188</v>
      </c>
      <c r="BW936" s="476" t="s">
        <v>1188</v>
      </c>
      <c r="BX936" s="476" t="s">
        <v>1188</v>
      </c>
      <c r="BY936" s="476" t="s">
        <v>1188</v>
      </c>
      <c r="BZ936" s="476" t="s">
        <v>1188</v>
      </c>
      <c r="CA936" s="476" t="s">
        <v>1188</v>
      </c>
      <c r="CB936" s="476" t="s">
        <v>1188</v>
      </c>
      <c r="CC936" s="476" t="s">
        <v>1188</v>
      </c>
      <c r="CD936" s="476" t="s">
        <v>1188</v>
      </c>
      <c r="CE936" s="476" t="s">
        <v>1187</v>
      </c>
      <c r="CF936" s="476" t="s">
        <v>1187</v>
      </c>
      <c r="CG936" s="476" t="s">
        <v>1187</v>
      </c>
      <c r="CH936" s="476" t="s">
        <v>1187</v>
      </c>
      <c r="CI936" s="476" t="s">
        <v>1187</v>
      </c>
      <c r="CJ936" s="476" t="s">
        <v>1187</v>
      </c>
      <c r="CK936" s="476" t="s">
        <v>1187</v>
      </c>
      <c r="CL936" s="476" t="s">
        <v>1187</v>
      </c>
      <c r="CM936" s="476" t="str">
        <f>IF(VLOOKUP(BS936,'Données par municipalité'!$B$6:$E$1113,4,FALSE)="","non","oui")</f>
        <v>non</v>
      </c>
      <c r="CN936" s="410" t="s">
        <v>1124</v>
      </c>
      <c r="CO936" s="410" t="s">
        <v>1124</v>
      </c>
      <c r="CP936" s="410"/>
      <c r="CQ936" s="410"/>
      <c r="CR936" s="410"/>
      <c r="CS936" s="410" t="s">
        <v>1124</v>
      </c>
      <c r="CT936" s="410"/>
      <c r="CU936" s="410" t="s">
        <v>1124</v>
      </c>
      <c r="CV936" s="410" t="str">
        <f>IF(VLOOKUP(BS936,'Données par municipalité'!$B$6:$F$1113,4,FALSE)="","",VLOOKUP(BS936,'Données par municipalité'!$B$6:$F$1113,4,FALSE))</f>
        <v/>
      </c>
      <c r="CW936" s="476" t="s">
        <v>4723</v>
      </c>
      <c r="CX936" s="483" t="s">
        <v>1124</v>
      </c>
      <c r="CY936" s="483" t="s">
        <v>1124</v>
      </c>
      <c r="CZ936" s="483" t="s">
        <v>1124</v>
      </c>
      <c r="DA936" s="483" t="s">
        <v>1124</v>
      </c>
      <c r="DB936" s="483" t="s">
        <v>1124</v>
      </c>
      <c r="DC936" s="483" t="s">
        <v>1124</v>
      </c>
      <c r="DD936" s="483" t="s">
        <v>1124</v>
      </c>
      <c r="DE936" s="483" t="str">
        <f>IFERROR(SUM(VLOOKUP($BS936,'État &amp; Plan d''action'!$B$6:$Z$1113,18,FALSE),VLOOKUP($BS936,'État &amp; Plan d''action'!$B$6:$Z$1113,20,FALSE))/(VLOOKUP($BS936,'Données par municipalité'!$B$4:$L$1113,11,FALSE)),"")</f>
        <v/>
      </c>
      <c r="DF936" s="483" t="str">
        <f>IFERROR(SUM(VLOOKUP($BS936,'État &amp; Plan d''action'!$B$6:$Z$1113,19,FALSE),VLOOKUP($BS936,'État &amp; Plan d''action'!$B$6:$Z$1113,21,FALSE))/(VLOOKUP($BS936,'Données par municipalité'!$B$4:$L$1113,11,FALSE)),"")</f>
        <v/>
      </c>
      <c r="DG936" s="476" t="s">
        <v>4723</v>
      </c>
      <c r="DH936" s="484" t="s">
        <v>1124</v>
      </c>
      <c r="DI936" s="484" t="s">
        <v>1124</v>
      </c>
      <c r="DJ936" s="484">
        <v>0</v>
      </c>
      <c r="DK936" s="484">
        <v>0</v>
      </c>
      <c r="DL936" s="484" t="s">
        <v>1124</v>
      </c>
      <c r="DM936" s="484" t="s">
        <v>1124</v>
      </c>
      <c r="DN936" s="484" t="s">
        <v>1124</v>
      </c>
      <c r="DO936" s="484" t="s">
        <v>1124</v>
      </c>
      <c r="DP936" s="484" t="s">
        <v>1124</v>
      </c>
      <c r="DQ936" s="484" t="str">
        <f>IF(VLOOKUP($BS936,'État &amp; Plan d''action'!$B$6:$AJ$1113,28,FALSE)="","",VLOOKUP($BS936,'État &amp; Plan d''action'!$B$6:$AJ$1113,28,FALSE))</f>
        <v/>
      </c>
      <c r="DR936" s="70" t="str">
        <f>IF(VLOOKUP($BS936,'État &amp; Plan d''action'!$B$6:$AJ$1113,29,FALSE)="","",VLOOKUP($BS936,'État &amp; Plan d''action'!$B$6:$AJ$1113,29,FALSE))</f>
        <v/>
      </c>
      <c r="DS936" s="70" t="str">
        <f>IF(VLOOKUP($BS936,'État &amp; Plan d''action'!$B$6:$AJ$1113,30,FALSE)="","",VLOOKUP($BS936,'État &amp; Plan d''action'!$B$6:$AJ$1113,30,FALSE))</f>
        <v/>
      </c>
      <c r="DT936" s="70" t="s">
        <v>1124</v>
      </c>
      <c r="DU936" s="485" t="s">
        <v>1124</v>
      </c>
      <c r="DV936" s="485" t="s">
        <v>1124</v>
      </c>
      <c r="DW936" s="70" t="s">
        <v>1124</v>
      </c>
      <c r="DX936" s="70" t="s">
        <v>1124</v>
      </c>
      <c r="DY936" s="70" t="s">
        <v>1124</v>
      </c>
      <c r="DZ936" s="70" t="str">
        <f>VLOOKUP($BS936,'État &amp; Plan d''action'!$B$6:$AH$1113,31,FALSE)</f>
        <v/>
      </c>
      <c r="EA936" s="70" t="str">
        <f>VLOOKUP($BS936,'État &amp; Plan d''action'!$B$6:$AH$1113,32,FALSE)</f>
        <v/>
      </c>
      <c r="EB936" s="70" t="str">
        <f>VLOOKUP($BS936,'État &amp; Plan d''action'!$B$6:$AH$1113,33,FALSE)</f>
        <v/>
      </c>
      <c r="EC936" s="70" t="s">
        <v>1124</v>
      </c>
      <c r="ED936" s="70" t="s">
        <v>1124</v>
      </c>
      <c r="EE936" s="70" t="s">
        <v>1124</v>
      </c>
      <c r="EF936" s="70" t="s">
        <v>1124</v>
      </c>
      <c r="EG936" s="70" t="s">
        <v>1124</v>
      </c>
      <c r="EH936" s="72"/>
      <c r="EI936" s="72">
        <v>282</v>
      </c>
    </row>
    <row r="937" spans="71:139" x14ac:dyDescent="0.35">
      <c r="BS937" s="486">
        <v>14080</v>
      </c>
      <c r="BT937" s="479" t="s">
        <v>74</v>
      </c>
      <c r="BU937" s="479">
        <v>1</v>
      </c>
      <c r="BV937" s="476" t="s">
        <v>1188</v>
      </c>
      <c r="BW937" s="476" t="s">
        <v>1188</v>
      </c>
      <c r="BX937" s="476" t="s">
        <v>1188</v>
      </c>
      <c r="BY937" s="476" t="s">
        <v>1188</v>
      </c>
      <c r="BZ937" s="476" t="s">
        <v>1188</v>
      </c>
      <c r="CA937" s="476" t="s">
        <v>1188</v>
      </c>
      <c r="CB937" s="476" t="s">
        <v>1188</v>
      </c>
      <c r="CC937" s="476" t="s">
        <v>1188</v>
      </c>
      <c r="CD937" s="476" t="s">
        <v>1188</v>
      </c>
      <c r="CE937" s="476" t="s">
        <v>1187</v>
      </c>
      <c r="CF937" s="476" t="s">
        <v>1187</v>
      </c>
      <c r="CG937" s="476" t="s">
        <v>1187</v>
      </c>
      <c r="CH937" s="476" t="s">
        <v>1187</v>
      </c>
      <c r="CI937" s="476" t="s">
        <v>1187</v>
      </c>
      <c r="CJ937" s="476" t="s">
        <v>1187</v>
      </c>
      <c r="CK937" s="476" t="s">
        <v>1187</v>
      </c>
      <c r="CL937" s="476" t="s">
        <v>1187</v>
      </c>
      <c r="CM937" s="476" t="str">
        <f>IF(VLOOKUP(BS937,'Données par municipalité'!$B$6:$E$1113,4,FALSE)="","non","oui")</f>
        <v>non</v>
      </c>
      <c r="CN937" s="410" t="s">
        <v>1124</v>
      </c>
      <c r="CO937" s="410" t="s">
        <v>1124</v>
      </c>
      <c r="CP937" s="410"/>
      <c r="CQ937" s="410"/>
      <c r="CR937" s="410"/>
      <c r="CS937" s="410" t="s">
        <v>1124</v>
      </c>
      <c r="CT937" s="410"/>
      <c r="CU937" s="410" t="s">
        <v>1124</v>
      </c>
      <c r="CV937" s="410" t="str">
        <f>IF(VLOOKUP(BS937,'Données par municipalité'!$B$6:$F$1113,4,FALSE)="","",VLOOKUP(BS937,'Données par municipalité'!$B$6:$F$1113,4,FALSE))</f>
        <v/>
      </c>
      <c r="CW937" s="476" t="s">
        <v>4723</v>
      </c>
      <c r="CX937" s="483" t="s">
        <v>1124</v>
      </c>
      <c r="CY937" s="483" t="s">
        <v>1124</v>
      </c>
      <c r="CZ937" s="483" t="s">
        <v>1124</v>
      </c>
      <c r="DA937" s="483" t="s">
        <v>1124</v>
      </c>
      <c r="DB937" s="483" t="s">
        <v>1124</v>
      </c>
      <c r="DC937" s="483" t="s">
        <v>1124</v>
      </c>
      <c r="DD937" s="483" t="s">
        <v>1124</v>
      </c>
      <c r="DE937" s="483" t="str">
        <f>IFERROR(SUM(VLOOKUP($BS937,'État &amp; Plan d''action'!$B$6:$Z$1113,18,FALSE),VLOOKUP($BS937,'État &amp; Plan d''action'!$B$6:$Z$1113,20,FALSE))/(VLOOKUP($BS937,'Données par municipalité'!$B$4:$L$1113,11,FALSE)),"")</f>
        <v/>
      </c>
      <c r="DF937" s="483" t="str">
        <f>IFERROR(SUM(VLOOKUP($BS937,'État &amp; Plan d''action'!$B$6:$Z$1113,19,FALSE),VLOOKUP($BS937,'État &amp; Plan d''action'!$B$6:$Z$1113,21,FALSE))/(VLOOKUP($BS937,'Données par municipalité'!$B$4:$L$1113,11,FALSE)),"")</f>
        <v/>
      </c>
      <c r="DG937" s="476" t="s">
        <v>4723</v>
      </c>
      <c r="DH937" s="484" t="s">
        <v>1124</v>
      </c>
      <c r="DI937" s="484" t="s">
        <v>1124</v>
      </c>
      <c r="DJ937" s="484">
        <v>0</v>
      </c>
      <c r="DK937" s="484">
        <v>0</v>
      </c>
      <c r="DL937" s="484" t="s">
        <v>1124</v>
      </c>
      <c r="DM937" s="484" t="s">
        <v>1124</v>
      </c>
      <c r="DN937" s="484" t="s">
        <v>1124</v>
      </c>
      <c r="DO937" s="484" t="s">
        <v>1124</v>
      </c>
      <c r="DP937" s="484" t="s">
        <v>1124</v>
      </c>
      <c r="DQ937" s="484" t="str">
        <f>IF(VLOOKUP($BS937,'État &amp; Plan d''action'!$B$6:$AJ$1113,28,FALSE)="","",VLOOKUP($BS937,'État &amp; Plan d''action'!$B$6:$AJ$1113,28,FALSE))</f>
        <v/>
      </c>
      <c r="DR937" s="70" t="str">
        <f>IF(VLOOKUP($BS937,'État &amp; Plan d''action'!$B$6:$AJ$1113,29,FALSE)="","",VLOOKUP($BS937,'État &amp; Plan d''action'!$B$6:$AJ$1113,29,FALSE))</f>
        <v/>
      </c>
      <c r="DS937" s="70" t="str">
        <f>IF(VLOOKUP($BS937,'État &amp; Plan d''action'!$B$6:$AJ$1113,30,FALSE)="","",VLOOKUP($BS937,'État &amp; Plan d''action'!$B$6:$AJ$1113,30,FALSE))</f>
        <v/>
      </c>
      <c r="DT937" s="70" t="s">
        <v>1124</v>
      </c>
      <c r="DU937" s="485" t="s">
        <v>1124</v>
      </c>
      <c r="DV937" s="485" t="s">
        <v>1124</v>
      </c>
      <c r="DW937" s="70" t="s">
        <v>1124</v>
      </c>
      <c r="DX937" s="70" t="s">
        <v>1124</v>
      </c>
      <c r="DY937" s="70" t="s">
        <v>1124</v>
      </c>
      <c r="DZ937" s="70" t="str">
        <f>VLOOKUP($BS937,'État &amp; Plan d''action'!$B$6:$AH$1113,31,FALSE)</f>
        <v/>
      </c>
      <c r="EA937" s="70" t="str">
        <f>VLOOKUP($BS937,'État &amp; Plan d''action'!$B$6:$AH$1113,32,FALSE)</f>
        <v/>
      </c>
      <c r="EB937" s="70" t="str">
        <f>VLOOKUP($BS937,'État &amp; Plan d''action'!$B$6:$AH$1113,33,FALSE)</f>
        <v/>
      </c>
      <c r="EC937" s="70" t="s">
        <v>1124</v>
      </c>
      <c r="ED937" s="70" t="s">
        <v>1124</v>
      </c>
      <c r="EE937" s="70" t="s">
        <v>1124</v>
      </c>
      <c r="EF937" s="70" t="s">
        <v>1124</v>
      </c>
      <c r="EG937" s="70" t="s">
        <v>1124</v>
      </c>
      <c r="EH937" s="72"/>
      <c r="EI937" s="72">
        <v>560</v>
      </c>
    </row>
    <row r="938" spans="71:139" x14ac:dyDescent="0.35">
      <c r="BS938" s="486">
        <v>53032</v>
      </c>
      <c r="BT938" s="479" t="s">
        <v>535</v>
      </c>
      <c r="BU938" s="479">
        <v>16</v>
      </c>
      <c r="BV938" s="476" t="s">
        <v>1187</v>
      </c>
      <c r="BW938" s="476" t="s">
        <v>1187</v>
      </c>
      <c r="BX938" s="476" t="s">
        <v>1187</v>
      </c>
      <c r="BY938" s="476" t="s">
        <v>1187</v>
      </c>
      <c r="BZ938" s="476" t="s">
        <v>1187</v>
      </c>
      <c r="CA938" s="476" t="s">
        <v>1187</v>
      </c>
      <c r="CB938" s="476" t="s">
        <v>1187</v>
      </c>
      <c r="CC938" s="476" t="s">
        <v>1187</v>
      </c>
      <c r="CD938" s="476" t="s">
        <v>1187</v>
      </c>
      <c r="CE938" s="476" t="s">
        <v>1188</v>
      </c>
      <c r="CF938" s="476" t="s">
        <v>1188</v>
      </c>
      <c r="CG938" s="476" t="s">
        <v>1188</v>
      </c>
      <c r="CH938" s="476" t="s">
        <v>1188</v>
      </c>
      <c r="CI938" s="476" t="s">
        <v>1188</v>
      </c>
      <c r="CJ938" s="476" t="s">
        <v>1188</v>
      </c>
      <c r="CK938" s="476" t="s">
        <v>1188</v>
      </c>
      <c r="CL938" s="476" t="s">
        <v>1188</v>
      </c>
      <c r="CM938" s="476" t="str">
        <f>IF(VLOOKUP(BS938,'Données par municipalité'!$B$6:$E$1113,4,FALSE)="","non","oui")</f>
        <v>oui</v>
      </c>
      <c r="CN938" s="410">
        <v>405.87853290792555</v>
      </c>
      <c r="CO938" s="410">
        <v>463.91650278185551</v>
      </c>
      <c r="CP938" s="410">
        <v>421.10058708414874</v>
      </c>
      <c r="CQ938" s="410">
        <v>457.94585624572932</v>
      </c>
      <c r="CR938" s="410">
        <v>489.19292860611716</v>
      </c>
      <c r="CS938" s="410">
        <v>444.03806643660363</v>
      </c>
      <c r="CT938" s="410">
        <v>483.86417636620649</v>
      </c>
      <c r="CU938" s="410">
        <v>353</v>
      </c>
      <c r="CV938" s="410">
        <f>IF(VLOOKUP(BS938,'Données par municipalité'!$B$6:$F$1113,4,FALSE)="","",VLOOKUP(BS938,'Données par municipalité'!$B$6:$F$1113,4,FALSE))</f>
        <v>434</v>
      </c>
      <c r="CW938" s="476" t="s">
        <v>4723</v>
      </c>
      <c r="CX938" s="483">
        <v>0</v>
      </c>
      <c r="CY938" s="483">
        <v>0</v>
      </c>
      <c r="CZ938" s="483">
        <v>0</v>
      </c>
      <c r="DA938" s="483">
        <v>0</v>
      </c>
      <c r="DB938" s="483">
        <v>0</v>
      </c>
      <c r="DC938" s="483">
        <v>0</v>
      </c>
      <c r="DD938" s="483">
        <v>0</v>
      </c>
      <c r="DE938" s="483">
        <f>IFERROR(SUM(VLOOKUP($BS938,'État &amp; Plan d''action'!$B$6:$Z$1113,18,FALSE),VLOOKUP($BS938,'État &amp; Plan d''action'!$B$6:$Z$1113,20,FALSE))/(VLOOKUP($BS938,'Données par municipalité'!$B$4:$L$1113,11,FALSE)),"")</f>
        <v>0</v>
      </c>
      <c r="DF938" s="483">
        <f>IFERROR(SUM(VLOOKUP($BS938,'État &amp; Plan d''action'!$B$6:$Z$1113,19,FALSE),VLOOKUP($BS938,'État &amp; Plan d''action'!$B$6:$Z$1113,21,FALSE))/(VLOOKUP($BS938,'Données par municipalité'!$B$4:$L$1113,11,FALSE)),"")</f>
        <v>0</v>
      </c>
      <c r="DG938" s="476" t="s">
        <v>4723</v>
      </c>
      <c r="DH938" s="484">
        <v>8</v>
      </c>
      <c r="DI938" s="484">
        <v>6</v>
      </c>
      <c r="DJ938" s="484">
        <v>14</v>
      </c>
      <c r="DK938" s="484">
        <v>5</v>
      </c>
      <c r="DL938" s="484">
        <v>6</v>
      </c>
      <c r="DM938" s="484">
        <v>2</v>
      </c>
      <c r="DN938" s="484">
        <v>5</v>
      </c>
      <c r="DO938" s="484">
        <v>0</v>
      </c>
      <c r="DP938" s="484">
        <v>0</v>
      </c>
      <c r="DQ938" s="484">
        <f>IF(VLOOKUP($BS938,'État &amp; Plan d''action'!$B$6:$AJ$1113,28,FALSE)="","",VLOOKUP($BS938,'État &amp; Plan d''action'!$B$6:$AJ$1113,28,FALSE))</f>
        <v>14</v>
      </c>
      <c r="DR938" s="70">
        <f>IF(VLOOKUP($BS938,'État &amp; Plan d''action'!$B$6:$AJ$1113,29,FALSE)="","",VLOOKUP($BS938,'État &amp; Plan d''action'!$B$6:$AJ$1113,29,FALSE))</f>
        <v>0</v>
      </c>
      <c r="DS938" s="70">
        <f>IF(VLOOKUP($BS938,'État &amp; Plan d''action'!$B$6:$AJ$1113,30,FALSE)="","",VLOOKUP($BS938,'État &amp; Plan d''action'!$B$6:$AJ$1113,30,FALSE))</f>
        <v>3</v>
      </c>
      <c r="DT938" s="70">
        <v>167</v>
      </c>
      <c r="DU938" s="485">
        <v>1.6220073606935865</v>
      </c>
      <c r="DV938" s="485">
        <v>1.8713690589292811</v>
      </c>
      <c r="DW938" s="70">
        <v>2</v>
      </c>
      <c r="DX938" s="70">
        <v>0</v>
      </c>
      <c r="DY938" s="70">
        <v>0</v>
      </c>
      <c r="DZ938" s="70">
        <f>VLOOKUP($BS938,'État &amp; Plan d''action'!$B$6:$AH$1113,31,FALSE)</f>
        <v>1</v>
      </c>
      <c r="EA938" s="70">
        <f>VLOOKUP($BS938,'État &amp; Plan d''action'!$B$6:$AH$1113,32,FALSE)</f>
        <v>0</v>
      </c>
      <c r="EB938" s="70">
        <f>VLOOKUP($BS938,'État &amp; Plan d''action'!$B$6:$AH$1113,33,FALSE)</f>
        <v>1</v>
      </c>
      <c r="EC938" s="70">
        <v>0</v>
      </c>
      <c r="ED938" s="70">
        <v>0</v>
      </c>
      <c r="EE938" s="70">
        <v>0</v>
      </c>
      <c r="EF938" s="70">
        <v>0</v>
      </c>
      <c r="EG938" s="70">
        <v>0</v>
      </c>
      <c r="EH938" s="72">
        <v>38</v>
      </c>
      <c r="EI938" s="72">
        <v>1722</v>
      </c>
    </row>
    <row r="939" spans="71:139" x14ac:dyDescent="0.35">
      <c r="BS939" s="486">
        <v>14070</v>
      </c>
      <c r="BT939" s="479" t="s">
        <v>72</v>
      </c>
      <c r="BU939" s="479">
        <v>1</v>
      </c>
      <c r="BV939" s="476" t="s">
        <v>1187</v>
      </c>
      <c r="BW939" s="476" t="s">
        <v>1187</v>
      </c>
      <c r="BX939" s="476" t="s">
        <v>1187</v>
      </c>
      <c r="BY939" s="476" t="s">
        <v>1187</v>
      </c>
      <c r="BZ939" s="476" t="s">
        <v>1187</v>
      </c>
      <c r="CA939" s="476" t="s">
        <v>1187</v>
      </c>
      <c r="CB939" s="476" t="s">
        <v>1187</v>
      </c>
      <c r="CC939" s="476" t="s">
        <v>1187</v>
      </c>
      <c r="CD939" s="476" t="s">
        <v>1187</v>
      </c>
      <c r="CE939" s="476" t="s">
        <v>1188</v>
      </c>
      <c r="CF939" s="476" t="s">
        <v>1188</v>
      </c>
      <c r="CG939" s="476" t="s">
        <v>1187</v>
      </c>
      <c r="CH939" s="476" t="s">
        <v>1187</v>
      </c>
      <c r="CI939" s="476" t="s">
        <v>1187</v>
      </c>
      <c r="CJ939" s="476" t="s">
        <v>1188</v>
      </c>
      <c r="CK939" s="476" t="s">
        <v>1188</v>
      </c>
      <c r="CL939" s="476" t="s">
        <v>1188</v>
      </c>
      <c r="CM939" s="476" t="str">
        <f>IF(VLOOKUP(BS939,'Données par municipalité'!$B$6:$E$1113,4,FALSE)="","non","oui")</f>
        <v>oui</v>
      </c>
      <c r="CN939" s="410">
        <v>297.57525220320139</v>
      </c>
      <c r="CO939" s="410">
        <v>280.46185500171413</v>
      </c>
      <c r="CP939" s="410"/>
      <c r="CQ939" s="410"/>
      <c r="CR939" s="410"/>
      <c r="CS939" s="410">
        <v>219.19316432066887</v>
      </c>
      <c r="CT939" s="410">
        <v>242.05352657849343</v>
      </c>
      <c r="CU939" s="410">
        <v>255</v>
      </c>
      <c r="CV939" s="410">
        <f>IF(VLOOKUP(BS939,'Données par municipalité'!$B$6:$F$1113,4,FALSE)="","",VLOOKUP(BS939,'Données par municipalité'!$B$6:$F$1113,4,FALSE))</f>
        <v>242</v>
      </c>
      <c r="CW939" s="476" t="s">
        <v>4723</v>
      </c>
      <c r="CX939" s="483">
        <v>0</v>
      </c>
      <c r="CY939" s="483" t="s">
        <v>1124</v>
      </c>
      <c r="CZ939" s="483" t="s">
        <v>1124</v>
      </c>
      <c r="DA939" s="483" t="s">
        <v>1124</v>
      </c>
      <c r="DB939" s="483">
        <v>0</v>
      </c>
      <c r="DC939" s="483">
        <v>0</v>
      </c>
      <c r="DD939" s="483">
        <v>0</v>
      </c>
      <c r="DE939" s="483">
        <f>IFERROR(SUM(VLOOKUP($BS939,'État &amp; Plan d''action'!$B$6:$Z$1113,18,FALSE),VLOOKUP($BS939,'État &amp; Plan d''action'!$B$6:$Z$1113,20,FALSE))/(VLOOKUP($BS939,'Données par municipalité'!$B$4:$L$1113,11,FALSE)),"")</f>
        <v>0</v>
      </c>
      <c r="DF939" s="483">
        <f>IFERROR(SUM(VLOOKUP($BS939,'État &amp; Plan d''action'!$B$6:$Z$1113,19,FALSE),VLOOKUP($BS939,'État &amp; Plan d''action'!$B$6:$Z$1113,21,FALSE))/(VLOOKUP($BS939,'Données par municipalité'!$B$4:$L$1113,11,FALSE)),"")</f>
        <v>0</v>
      </c>
      <c r="DG939" s="476" t="s">
        <v>4723</v>
      </c>
      <c r="DH939" s="484">
        <v>0</v>
      </c>
      <c r="DI939" s="484" t="s">
        <v>1124</v>
      </c>
      <c r="DJ939" s="484">
        <v>0</v>
      </c>
      <c r="DK939" s="484">
        <v>0</v>
      </c>
      <c r="DL939" s="484">
        <v>0</v>
      </c>
      <c r="DM939" s="484">
        <v>1</v>
      </c>
      <c r="DN939" s="484">
        <v>0</v>
      </c>
      <c r="DO939" s="484">
        <v>0</v>
      </c>
      <c r="DP939" s="484">
        <v>0</v>
      </c>
      <c r="DQ939" s="484">
        <f>IF(VLOOKUP($BS939,'État &amp; Plan d''action'!$B$6:$AJ$1113,28,FALSE)="","",VLOOKUP($BS939,'État &amp; Plan d''action'!$B$6:$AJ$1113,28,FALSE))</f>
        <v>1</v>
      </c>
      <c r="DR939" s="70">
        <f>IF(VLOOKUP($BS939,'État &amp; Plan d''action'!$B$6:$AJ$1113,29,FALSE)="","",VLOOKUP($BS939,'État &amp; Plan d''action'!$B$6:$AJ$1113,29,FALSE))</f>
        <v>0</v>
      </c>
      <c r="DS939" s="70">
        <f>IF(VLOOKUP($BS939,'État &amp; Plan d''action'!$B$6:$AJ$1113,30,FALSE)="","",VLOOKUP($BS939,'État &amp; Plan d''action'!$B$6:$AJ$1113,30,FALSE))</f>
        <v>0</v>
      </c>
      <c r="DT939" s="70">
        <v>200</v>
      </c>
      <c r="DU939" s="485">
        <v>1.0843803300384391</v>
      </c>
      <c r="DV939" s="485">
        <v>2.2957470799545745</v>
      </c>
      <c r="DW939" s="70">
        <v>0</v>
      </c>
      <c r="DX939" s="70">
        <v>0</v>
      </c>
      <c r="DY939" s="70">
        <v>0</v>
      </c>
      <c r="DZ939" s="70">
        <f>VLOOKUP($BS939,'État &amp; Plan d''action'!$B$6:$AH$1113,31,FALSE)</f>
        <v>3</v>
      </c>
      <c r="EA939" s="70">
        <f>VLOOKUP($BS939,'État &amp; Plan d''action'!$B$6:$AH$1113,32,FALSE)</f>
        <v>0</v>
      </c>
      <c r="EB939" s="70">
        <f>VLOOKUP($BS939,'État &amp; Plan d''action'!$B$6:$AH$1113,33,FALSE)</f>
        <v>0</v>
      </c>
      <c r="EC939" s="70">
        <v>0</v>
      </c>
      <c r="ED939" s="70">
        <v>0</v>
      </c>
      <c r="EE939" s="70">
        <v>0</v>
      </c>
      <c r="EF939" s="70">
        <v>0</v>
      </c>
      <c r="EG939" s="70">
        <v>0</v>
      </c>
      <c r="EH939" s="72">
        <v>45.081081081081081</v>
      </c>
      <c r="EI939" s="72">
        <v>1552</v>
      </c>
    </row>
    <row r="940" spans="71:139" x14ac:dyDescent="0.35">
      <c r="BS940" s="486">
        <v>17010</v>
      </c>
      <c r="BT940" s="479" t="s">
        <v>91</v>
      </c>
      <c r="BU940" s="479">
        <v>12</v>
      </c>
      <c r="BV940" s="476" t="s">
        <v>1187</v>
      </c>
      <c r="BW940" s="476" t="s">
        <v>1187</v>
      </c>
      <c r="BX940" s="476" t="s">
        <v>1187</v>
      </c>
      <c r="BY940" s="476" t="s">
        <v>1187</v>
      </c>
      <c r="BZ940" s="476" t="s">
        <v>1187</v>
      </c>
      <c r="CA940" s="476" t="s">
        <v>1187</v>
      </c>
      <c r="CB940" s="476" t="s">
        <v>1187</v>
      </c>
      <c r="CC940" s="476" t="s">
        <v>1187</v>
      </c>
      <c r="CD940" s="476" t="s">
        <v>1187</v>
      </c>
      <c r="CE940" s="476" t="s">
        <v>1188</v>
      </c>
      <c r="CF940" s="476" t="s">
        <v>1188</v>
      </c>
      <c r="CG940" s="476" t="s">
        <v>1188</v>
      </c>
      <c r="CH940" s="476" t="s">
        <v>1188</v>
      </c>
      <c r="CI940" s="476" t="s">
        <v>1188</v>
      </c>
      <c r="CJ940" s="476" t="s">
        <v>1188</v>
      </c>
      <c r="CK940" s="476" t="s">
        <v>1188</v>
      </c>
      <c r="CL940" s="476" t="s">
        <v>1188</v>
      </c>
      <c r="CM940" s="476" t="str">
        <f>IF(VLOOKUP(BS940,'Données par municipalité'!$B$6:$E$1113,4,FALSE)="","non","oui")</f>
        <v>oui</v>
      </c>
      <c r="CN940" s="410">
        <v>290.90909090909088</v>
      </c>
      <c r="CO940" s="410">
        <v>259.5035607514389</v>
      </c>
      <c r="CP940" s="410">
        <v>262.84917740091032</v>
      </c>
      <c r="CQ940" s="410">
        <v>278.06960598281063</v>
      </c>
      <c r="CR940" s="410">
        <v>267.00441081165394</v>
      </c>
      <c r="CS940" s="410">
        <v>262.53974580760877</v>
      </c>
      <c r="CT940" s="410">
        <v>278.84715154592516</v>
      </c>
      <c r="CU940" s="410">
        <v>274</v>
      </c>
      <c r="CV940" s="410">
        <f>IF(VLOOKUP(BS940,'Données par municipalité'!$B$6:$F$1113,4,FALSE)="","",VLOOKUP(BS940,'Données par municipalité'!$B$6:$F$1113,4,FALSE))</f>
        <v>440</v>
      </c>
      <c r="CW940" s="476" t="s">
        <v>4723</v>
      </c>
      <c r="CX940" s="483">
        <v>1</v>
      </c>
      <c r="CY940" s="483">
        <v>0.6</v>
      </c>
      <c r="CZ940" s="483">
        <v>0.6</v>
      </c>
      <c r="DA940" s="483">
        <v>1</v>
      </c>
      <c r="DB940" s="483">
        <v>1</v>
      </c>
      <c r="DC940" s="483">
        <v>0.75</v>
      </c>
      <c r="DD940" s="483">
        <v>0.25680534155110429</v>
      </c>
      <c r="DE940" s="483">
        <f>IFERROR(SUM(VLOOKUP($BS940,'État &amp; Plan d''action'!$B$6:$Z$1113,18,FALSE),VLOOKUP($BS940,'État &amp; Plan d''action'!$B$6:$Z$1113,20,FALSE))/(VLOOKUP($BS940,'Données par municipalité'!$B$4:$L$1113,11,FALSE)),"")</f>
        <v>0.25680534155110429</v>
      </c>
      <c r="DF940" s="483">
        <f>IFERROR(SUM(VLOOKUP($BS940,'État &amp; Plan d''action'!$B$6:$Z$1113,19,FALSE),VLOOKUP($BS940,'État &amp; Plan d''action'!$B$6:$Z$1113,21,FALSE))/(VLOOKUP($BS940,'Données par municipalité'!$B$4:$L$1113,11,FALSE)),"")</f>
        <v>0.25680534155110429</v>
      </c>
      <c r="DG940" s="476" t="s">
        <v>4723</v>
      </c>
      <c r="DH940" s="484">
        <v>2</v>
      </c>
      <c r="DI940" s="484">
        <v>2</v>
      </c>
      <c r="DJ940" s="484">
        <v>5</v>
      </c>
      <c r="DK940" s="484">
        <v>7</v>
      </c>
      <c r="DL940" s="484">
        <v>3</v>
      </c>
      <c r="DM940" s="484">
        <v>6</v>
      </c>
      <c r="DN940" s="484">
        <v>5</v>
      </c>
      <c r="DO940" s="484">
        <v>3</v>
      </c>
      <c r="DP940" s="484">
        <v>2</v>
      </c>
      <c r="DQ940" s="484">
        <f>IF(VLOOKUP($BS940,'État &amp; Plan d''action'!$B$6:$AJ$1113,28,FALSE)="","",VLOOKUP($BS940,'État &amp; Plan d''action'!$B$6:$AJ$1113,28,FALSE))</f>
        <v>6</v>
      </c>
      <c r="DR940" s="70">
        <f>IF(VLOOKUP($BS940,'État &amp; Plan d''action'!$B$6:$AJ$1113,29,FALSE)="","",VLOOKUP($BS940,'État &amp; Plan d''action'!$B$6:$AJ$1113,29,FALSE))</f>
        <v>0</v>
      </c>
      <c r="DS940" s="70">
        <f>IF(VLOOKUP($BS940,'État &amp; Plan d''action'!$B$6:$AJ$1113,30,FALSE)="","",VLOOKUP($BS940,'État &amp; Plan d''action'!$B$6:$AJ$1113,30,FALSE))</f>
        <v>1</v>
      </c>
      <c r="DT940" s="70">
        <v>161</v>
      </c>
      <c r="DU940" s="485">
        <v>0.66195534902064657</v>
      </c>
      <c r="DV940" s="485">
        <v>2.2122343563819684</v>
      </c>
      <c r="DW940" s="70">
        <v>1</v>
      </c>
      <c r="DX940" s="70">
        <v>1</v>
      </c>
      <c r="DY940" s="70">
        <v>1</v>
      </c>
      <c r="DZ940" s="70">
        <f>VLOOKUP($BS940,'État &amp; Plan d''action'!$B$6:$AH$1113,31,FALSE)</f>
        <v>2</v>
      </c>
      <c r="EA940" s="70">
        <f>VLOOKUP($BS940,'État &amp; Plan d''action'!$B$6:$AH$1113,32,FALSE)</f>
        <v>0</v>
      </c>
      <c r="EB940" s="70">
        <f>VLOOKUP($BS940,'État &amp; Plan d''action'!$B$6:$AH$1113,33,FALSE)</f>
        <v>2</v>
      </c>
      <c r="EC940" s="70">
        <v>0</v>
      </c>
      <c r="ED940" s="70">
        <v>5</v>
      </c>
      <c r="EE940" s="70">
        <v>0</v>
      </c>
      <c r="EF940" s="70">
        <v>0</v>
      </c>
      <c r="EG940" s="70">
        <v>0</v>
      </c>
      <c r="EH940" s="72">
        <v>57</v>
      </c>
      <c r="EI940" s="72">
        <v>2391</v>
      </c>
    </row>
    <row r="941" spans="71:139" x14ac:dyDescent="0.35">
      <c r="BS941" s="486">
        <v>14018</v>
      </c>
      <c r="BT941" s="479" t="s">
        <v>62</v>
      </c>
      <c r="BU941" s="479">
        <v>1</v>
      </c>
      <c r="BV941" s="476" t="s">
        <v>1187</v>
      </c>
      <c r="BW941" s="476" t="s">
        <v>1187</v>
      </c>
      <c r="BX941" s="476" t="s">
        <v>1187</v>
      </c>
      <c r="BY941" s="476" t="s">
        <v>1187</v>
      </c>
      <c r="BZ941" s="476" t="s">
        <v>1187</v>
      </c>
      <c r="CA941" s="476" t="s">
        <v>1187</v>
      </c>
      <c r="CB941" s="476" t="s">
        <v>1187</v>
      </c>
      <c r="CC941" s="476" t="s">
        <v>1187</v>
      </c>
      <c r="CD941" s="476" t="s">
        <v>1187</v>
      </c>
      <c r="CE941" s="476" t="s">
        <v>1188</v>
      </c>
      <c r="CF941" s="476" t="s">
        <v>1188</v>
      </c>
      <c r="CG941" s="476" t="s">
        <v>1188</v>
      </c>
      <c r="CH941" s="476" t="s">
        <v>1188</v>
      </c>
      <c r="CI941" s="476" t="s">
        <v>1188</v>
      </c>
      <c r="CJ941" s="476" t="s">
        <v>1188</v>
      </c>
      <c r="CK941" s="476" t="s">
        <v>1188</v>
      </c>
      <c r="CL941" s="476" t="s">
        <v>1188</v>
      </c>
      <c r="CM941" s="476" t="str">
        <f>IF(VLOOKUP(BS941,'Données par municipalité'!$B$6:$E$1113,4,FALSE)="","non","oui")</f>
        <v>oui</v>
      </c>
      <c r="CN941" s="410">
        <v>277.75974748814548</v>
      </c>
      <c r="CO941" s="410">
        <v>335.7446492692394</v>
      </c>
      <c r="CP941" s="410">
        <v>296.18454347197411</v>
      </c>
      <c r="CQ941" s="410">
        <v>500.37840762622835</v>
      </c>
      <c r="CR941" s="410">
        <v>417.95586719526938</v>
      </c>
      <c r="CS941" s="410">
        <v>466.34905233882409</v>
      </c>
      <c r="CT941" s="410">
        <v>363.88276210385067</v>
      </c>
      <c r="CU941" s="410">
        <v>448</v>
      </c>
      <c r="CV941" s="410">
        <f>IF(VLOOKUP(BS941,'Données par municipalité'!$B$6:$F$1113,4,FALSE)="","",VLOOKUP(BS941,'Données par municipalité'!$B$6:$F$1113,4,FALSE))</f>
        <v>461</v>
      </c>
      <c r="CW941" s="476" t="s">
        <v>4723</v>
      </c>
      <c r="CX941" s="483">
        <v>0</v>
      </c>
      <c r="CY941" s="483">
        <v>0</v>
      </c>
      <c r="CZ941" s="483">
        <v>0</v>
      </c>
      <c r="DA941" s="483">
        <v>0</v>
      </c>
      <c r="DB941" s="483">
        <v>0</v>
      </c>
      <c r="DC941" s="483">
        <v>0</v>
      </c>
      <c r="DD941" s="483">
        <v>0</v>
      </c>
      <c r="DE941" s="483">
        <f>IFERROR(SUM(VLOOKUP($BS941,'État &amp; Plan d''action'!$B$6:$Z$1113,18,FALSE),VLOOKUP($BS941,'État &amp; Plan d''action'!$B$6:$Z$1113,20,FALSE))/(VLOOKUP($BS941,'Données par municipalité'!$B$4:$L$1113,11,FALSE)),"")</f>
        <v>1</v>
      </c>
      <c r="DF941" s="483">
        <f>IFERROR(SUM(VLOOKUP($BS941,'État &amp; Plan d''action'!$B$6:$Z$1113,19,FALSE),VLOOKUP($BS941,'État &amp; Plan d''action'!$B$6:$Z$1113,21,FALSE))/(VLOOKUP($BS941,'Données par municipalité'!$B$4:$L$1113,11,FALSE)),"")</f>
        <v>1</v>
      </c>
      <c r="DG941" s="476" t="s">
        <v>4723</v>
      </c>
      <c r="DH941" s="484">
        <v>10</v>
      </c>
      <c r="DI941" s="484">
        <v>8</v>
      </c>
      <c r="DJ941" s="484">
        <v>9</v>
      </c>
      <c r="DK941" s="484">
        <v>8</v>
      </c>
      <c r="DL941" s="484">
        <v>8</v>
      </c>
      <c r="DM941" s="484">
        <v>9</v>
      </c>
      <c r="DN941" s="484">
        <v>13</v>
      </c>
      <c r="DO941" s="484">
        <v>6</v>
      </c>
      <c r="DP941" s="484">
        <v>6</v>
      </c>
      <c r="DQ941" s="484">
        <f>IF(VLOOKUP($BS941,'État &amp; Plan d''action'!$B$6:$AJ$1113,28,FALSE)="","",VLOOKUP($BS941,'État &amp; Plan d''action'!$B$6:$AJ$1113,28,FALSE))</f>
        <v>8</v>
      </c>
      <c r="DR941" s="70">
        <f>IF(VLOOKUP($BS941,'État &amp; Plan d''action'!$B$6:$AJ$1113,29,FALSE)="","",VLOOKUP($BS941,'État &amp; Plan d''action'!$B$6:$AJ$1113,29,FALSE))</f>
        <v>2</v>
      </c>
      <c r="DS941" s="70">
        <f>IF(VLOOKUP($BS941,'État &amp; Plan d''action'!$B$6:$AJ$1113,30,FALSE)="","",VLOOKUP($BS941,'État &amp; Plan d''action'!$B$6:$AJ$1113,30,FALSE))</f>
        <v>0</v>
      </c>
      <c r="DT941" s="70">
        <v>327</v>
      </c>
      <c r="DU941" s="485">
        <v>0.63696354617029993</v>
      </c>
      <c r="DV941" s="485">
        <v>2.7847808253495634</v>
      </c>
      <c r="DW941" s="70">
        <v>1</v>
      </c>
      <c r="DX941" s="70">
        <v>1</v>
      </c>
      <c r="DY941" s="70">
        <v>1</v>
      </c>
      <c r="DZ941" s="70">
        <f>VLOOKUP($BS941,'État &amp; Plan d''action'!$B$6:$AH$1113,31,FALSE)</f>
        <v>1</v>
      </c>
      <c r="EA941" s="70">
        <f>VLOOKUP($BS941,'État &amp; Plan d''action'!$B$6:$AH$1113,32,FALSE)</f>
        <v>1</v>
      </c>
      <c r="EB941" s="70">
        <f>VLOOKUP($BS941,'État &amp; Plan d''action'!$B$6:$AH$1113,33,FALSE)</f>
        <v>0</v>
      </c>
      <c r="EC941" s="70">
        <v>0</v>
      </c>
      <c r="ED941" s="70">
        <v>0</v>
      </c>
      <c r="EE941" s="70">
        <v>0</v>
      </c>
      <c r="EF941" s="70">
        <v>0</v>
      </c>
      <c r="EG941" s="70">
        <v>0</v>
      </c>
      <c r="EH941" s="72">
        <v>59</v>
      </c>
      <c r="EI941" s="72">
        <v>3493</v>
      </c>
    </row>
    <row r="942" spans="71:139" x14ac:dyDescent="0.35">
      <c r="BS942" s="486">
        <v>33025</v>
      </c>
      <c r="BT942" s="479" t="s">
        <v>269</v>
      </c>
      <c r="BU942" s="479">
        <v>12</v>
      </c>
      <c r="BV942" s="476" t="s">
        <v>1187</v>
      </c>
      <c r="BW942" s="476" t="s">
        <v>1187</v>
      </c>
      <c r="BX942" s="476" t="s">
        <v>1187</v>
      </c>
      <c r="BY942" s="476" t="s">
        <v>1187</v>
      </c>
      <c r="BZ942" s="476" t="s">
        <v>1187</v>
      </c>
      <c r="CA942" s="476" t="s">
        <v>1187</v>
      </c>
      <c r="CB942" s="476" t="s">
        <v>1187</v>
      </c>
      <c r="CC942" s="476" t="s">
        <v>1187</v>
      </c>
      <c r="CD942" s="476" t="s">
        <v>1187</v>
      </c>
      <c r="CE942" s="476" t="s">
        <v>1188</v>
      </c>
      <c r="CF942" s="476" t="s">
        <v>1188</v>
      </c>
      <c r="CG942" s="476" t="s">
        <v>1187</v>
      </c>
      <c r="CH942" s="476" t="s">
        <v>1188</v>
      </c>
      <c r="CI942" s="476" t="s">
        <v>1188</v>
      </c>
      <c r="CJ942" s="476" t="s">
        <v>1188</v>
      </c>
      <c r="CK942" s="476" t="s">
        <v>1188</v>
      </c>
      <c r="CL942" s="476" t="s">
        <v>1188</v>
      </c>
      <c r="CM942" s="476" t="str">
        <f>IF(VLOOKUP(BS942,'Données par municipalité'!$B$6:$E$1113,4,FALSE)="","non","oui")</f>
        <v>oui</v>
      </c>
      <c r="CN942" s="410">
        <v>349.42496304343206</v>
      </c>
      <c r="CO942" s="410">
        <v>370.91656419149263</v>
      </c>
      <c r="CP942" s="410"/>
      <c r="CQ942" s="410">
        <v>340.99879284102241</v>
      </c>
      <c r="CR942" s="410">
        <v>324.67127869152887</v>
      </c>
      <c r="CS942" s="410">
        <v>321.16054992680205</v>
      </c>
      <c r="CT942" s="410">
        <v>273.45388733652891</v>
      </c>
      <c r="CU942" s="410">
        <v>317</v>
      </c>
      <c r="CV942" s="410">
        <f>IF(VLOOKUP(BS942,'Données par municipalité'!$B$6:$F$1113,4,FALSE)="","",VLOOKUP(BS942,'Données par municipalité'!$B$6:$F$1113,4,FALSE))</f>
        <v>332</v>
      </c>
      <c r="CW942" s="476" t="s">
        <v>4723</v>
      </c>
      <c r="CX942" s="483">
        <v>0</v>
      </c>
      <c r="CY942" s="483" t="s">
        <v>1124</v>
      </c>
      <c r="CZ942" s="483">
        <v>0</v>
      </c>
      <c r="DA942" s="483">
        <v>0</v>
      </c>
      <c r="DB942" s="483">
        <v>0</v>
      </c>
      <c r="DC942" s="483">
        <v>0</v>
      </c>
      <c r="DD942" s="483">
        <v>1</v>
      </c>
      <c r="DE942" s="483">
        <f>IFERROR(SUM(VLOOKUP($BS942,'État &amp; Plan d''action'!$B$6:$Z$1113,18,FALSE),VLOOKUP($BS942,'État &amp; Plan d''action'!$B$6:$Z$1113,20,FALSE))/(VLOOKUP($BS942,'Données par municipalité'!$B$4:$L$1113,11,FALSE)),"")</f>
        <v>0.16561775422325273</v>
      </c>
      <c r="DF942" s="483">
        <f>IFERROR(SUM(VLOOKUP($BS942,'État &amp; Plan d''action'!$B$6:$Z$1113,19,FALSE),VLOOKUP($BS942,'État &amp; Plan d''action'!$B$6:$Z$1113,21,FALSE))/(VLOOKUP($BS942,'Données par municipalité'!$B$4:$L$1113,11,FALSE)),"")</f>
        <v>0</v>
      </c>
      <c r="DG942" s="476" t="s">
        <v>4723</v>
      </c>
      <c r="DH942" s="484">
        <v>0</v>
      </c>
      <c r="DI942" s="484" t="s">
        <v>1124</v>
      </c>
      <c r="DJ942" s="484">
        <v>0</v>
      </c>
      <c r="DK942" s="484">
        <v>0</v>
      </c>
      <c r="DL942" s="484">
        <v>1</v>
      </c>
      <c r="DM942" s="484">
        <v>1</v>
      </c>
      <c r="DN942" s="484">
        <v>0</v>
      </c>
      <c r="DO942" s="484">
        <v>0</v>
      </c>
      <c r="DP942" s="484">
        <v>0</v>
      </c>
      <c r="DQ942" s="484">
        <f>IF(VLOOKUP($BS942,'État &amp; Plan d''action'!$B$6:$AJ$1113,28,FALSE)="","",VLOOKUP($BS942,'État &amp; Plan d''action'!$B$6:$AJ$1113,28,FALSE))</f>
        <v>0</v>
      </c>
      <c r="DR942" s="70">
        <f>IF(VLOOKUP($BS942,'État &amp; Plan d''action'!$B$6:$AJ$1113,29,FALSE)="","",VLOOKUP($BS942,'État &amp; Plan d''action'!$B$6:$AJ$1113,29,FALSE))</f>
        <v>0</v>
      </c>
      <c r="DS942" s="70">
        <f>IF(VLOOKUP($BS942,'État &amp; Plan d''action'!$B$6:$AJ$1113,30,FALSE)="","",VLOOKUP($BS942,'État &amp; Plan d''action'!$B$6:$AJ$1113,30,FALSE))</f>
        <v>0</v>
      </c>
      <c r="DT942" s="70">
        <v>268</v>
      </c>
      <c r="DU942" s="485">
        <v>0.81321693461456024</v>
      </c>
      <c r="DV942" s="485">
        <v>2.5772880112378229</v>
      </c>
      <c r="DW942" s="70">
        <v>0</v>
      </c>
      <c r="DX942" s="70">
        <v>0</v>
      </c>
      <c r="DY942" s="70">
        <v>0</v>
      </c>
      <c r="DZ942" s="70">
        <f>VLOOKUP($BS942,'État &amp; Plan d''action'!$B$6:$AH$1113,31,FALSE)</f>
        <v>0</v>
      </c>
      <c r="EA942" s="70">
        <f>VLOOKUP($BS942,'État &amp; Plan d''action'!$B$6:$AH$1113,32,FALSE)</f>
        <v>0</v>
      </c>
      <c r="EB942" s="70">
        <f>VLOOKUP($BS942,'État &amp; Plan d''action'!$B$6:$AH$1113,33,FALSE)</f>
        <v>0</v>
      </c>
      <c r="EC942" s="70">
        <v>6.0380000000000003</v>
      </c>
      <c r="ED942" s="70">
        <v>6.0380000000000003</v>
      </c>
      <c r="EE942" s="70">
        <v>0</v>
      </c>
      <c r="EF942" s="70">
        <v>0</v>
      </c>
      <c r="EG942" s="70">
        <v>0</v>
      </c>
      <c r="EH942" s="72">
        <v>58.264705882352935</v>
      </c>
      <c r="EI942" s="72">
        <v>1073</v>
      </c>
    </row>
    <row r="943" spans="71:139" x14ac:dyDescent="0.35">
      <c r="BS943" s="486">
        <v>68025</v>
      </c>
      <c r="BT943" s="479" t="s">
        <v>677</v>
      </c>
      <c r="BU943" s="479">
        <v>16</v>
      </c>
      <c r="BV943" s="476" t="s">
        <v>1188</v>
      </c>
      <c r="BW943" s="476" t="s">
        <v>1188</v>
      </c>
      <c r="BX943" s="476" t="s">
        <v>1188</v>
      </c>
      <c r="BY943" s="476" t="s">
        <v>1188</v>
      </c>
      <c r="BZ943" s="476" t="s">
        <v>1188</v>
      </c>
      <c r="CA943" s="476" t="s">
        <v>1188</v>
      </c>
      <c r="CB943" s="476" t="s">
        <v>1188</v>
      </c>
      <c r="CC943" s="476" t="s">
        <v>1188</v>
      </c>
      <c r="CD943" s="476" t="s">
        <v>1188</v>
      </c>
      <c r="CE943" s="476" t="s">
        <v>1188</v>
      </c>
      <c r="CF943" s="476" t="s">
        <v>1188</v>
      </c>
      <c r="CG943" s="476" t="s">
        <v>1188</v>
      </c>
      <c r="CH943" s="476" t="s">
        <v>1188</v>
      </c>
      <c r="CI943" s="476" t="s">
        <v>1188</v>
      </c>
      <c r="CJ943" s="476" t="s">
        <v>1187</v>
      </c>
      <c r="CK943" s="476" t="s">
        <v>1187</v>
      </c>
      <c r="CL943" s="476" t="s">
        <v>1187</v>
      </c>
      <c r="CM943" s="476" t="str">
        <f>IF(VLOOKUP(BS943,'Données par municipalité'!$B$6:$E$1113,4,FALSE)="","non","oui")</f>
        <v>non</v>
      </c>
      <c r="CN943" s="410">
        <v>395.26651119543533</v>
      </c>
      <c r="CO943" s="410">
        <v>393.69379265661235</v>
      </c>
      <c r="CP943" s="410">
        <v>366.89904055092353</v>
      </c>
      <c r="CQ943" s="410">
        <v>338.38396239831468</v>
      </c>
      <c r="CR943" s="410">
        <v>325.00960161433204</v>
      </c>
      <c r="CS943" s="410" t="s">
        <v>1124</v>
      </c>
      <c r="CT943" s="410"/>
      <c r="CU943" s="410" t="s">
        <v>1124</v>
      </c>
      <c r="CV943" s="410" t="str">
        <f>IF(VLOOKUP(BS943,'Données par municipalité'!$B$6:$F$1113,4,FALSE)="","",VLOOKUP(BS943,'Données par municipalité'!$B$6:$F$1113,4,FALSE))</f>
        <v/>
      </c>
      <c r="CW943" s="476" t="s">
        <v>4723</v>
      </c>
      <c r="CX943" s="483" t="s">
        <v>1124</v>
      </c>
      <c r="CY943" s="483">
        <v>0</v>
      </c>
      <c r="CZ943" s="483">
        <v>0</v>
      </c>
      <c r="DA943" s="483">
        <v>0</v>
      </c>
      <c r="DB943" s="483" t="s">
        <v>1124</v>
      </c>
      <c r="DC943" s="483" t="s">
        <v>1124</v>
      </c>
      <c r="DD943" s="483" t="s">
        <v>1124</v>
      </c>
      <c r="DE943" s="483" t="str">
        <f>IFERROR(SUM(VLOOKUP($BS943,'État &amp; Plan d''action'!$B$6:$Z$1113,18,FALSE),VLOOKUP($BS943,'État &amp; Plan d''action'!$B$6:$Z$1113,20,FALSE))/(VLOOKUP($BS943,'Données par municipalité'!$B$4:$L$1113,11,FALSE)),"")</f>
        <v/>
      </c>
      <c r="DF943" s="483" t="str">
        <f>IFERROR(SUM(VLOOKUP($BS943,'État &amp; Plan d''action'!$B$6:$Z$1113,19,FALSE),VLOOKUP($BS943,'État &amp; Plan d''action'!$B$6:$Z$1113,21,FALSE))/(VLOOKUP($BS943,'Données par municipalité'!$B$4:$L$1113,11,FALSE)),"")</f>
        <v/>
      </c>
      <c r="DG943" s="476" t="s">
        <v>4723</v>
      </c>
      <c r="DH943" s="484" t="s">
        <v>1124</v>
      </c>
      <c r="DI943" s="484" t="s">
        <v>1124</v>
      </c>
      <c r="DJ943" s="484">
        <v>0</v>
      </c>
      <c r="DK943" s="484">
        <v>0</v>
      </c>
      <c r="DL943" s="484" t="s">
        <v>1124</v>
      </c>
      <c r="DM943" s="484" t="s">
        <v>1124</v>
      </c>
      <c r="DN943" s="484" t="s">
        <v>1124</v>
      </c>
      <c r="DO943" s="484" t="s">
        <v>1124</v>
      </c>
      <c r="DP943" s="484" t="s">
        <v>1124</v>
      </c>
      <c r="DQ943" s="484" t="str">
        <f>IF(VLOOKUP($BS943,'État &amp; Plan d''action'!$B$6:$AJ$1113,28,FALSE)="","",VLOOKUP($BS943,'État &amp; Plan d''action'!$B$6:$AJ$1113,28,FALSE))</f>
        <v/>
      </c>
      <c r="DR943" s="70" t="str">
        <f>IF(VLOOKUP($BS943,'État &amp; Plan d''action'!$B$6:$AJ$1113,29,FALSE)="","",VLOOKUP($BS943,'État &amp; Plan d''action'!$B$6:$AJ$1113,29,FALSE))</f>
        <v/>
      </c>
      <c r="DS943" s="70" t="str">
        <f>IF(VLOOKUP($BS943,'État &amp; Plan d''action'!$B$6:$AJ$1113,30,FALSE)="","",VLOOKUP($BS943,'État &amp; Plan d''action'!$B$6:$AJ$1113,30,FALSE))</f>
        <v/>
      </c>
      <c r="DT943" s="70" t="s">
        <v>1124</v>
      </c>
      <c r="DU943" s="485" t="s">
        <v>1124</v>
      </c>
      <c r="DV943" s="485" t="s">
        <v>1124</v>
      </c>
      <c r="DW943" s="70" t="s">
        <v>1124</v>
      </c>
      <c r="DX943" s="70" t="s">
        <v>1124</v>
      </c>
      <c r="DY943" s="70" t="s">
        <v>1124</v>
      </c>
      <c r="DZ943" s="70" t="str">
        <f>VLOOKUP($BS943,'État &amp; Plan d''action'!$B$6:$AH$1113,31,FALSE)</f>
        <v/>
      </c>
      <c r="EA943" s="70" t="str">
        <f>VLOOKUP($BS943,'État &amp; Plan d''action'!$B$6:$AH$1113,32,FALSE)</f>
        <v/>
      </c>
      <c r="EB943" s="70" t="str">
        <f>VLOOKUP($BS943,'État &amp; Plan d''action'!$B$6:$AH$1113,33,FALSE)</f>
        <v/>
      </c>
      <c r="EC943" s="70" t="s">
        <v>1124</v>
      </c>
      <c r="ED943" s="70" t="s">
        <v>1124</v>
      </c>
      <c r="EE943" s="70" t="s">
        <v>1124</v>
      </c>
      <c r="EF943" s="70" t="s">
        <v>1124</v>
      </c>
      <c r="EG943" s="70" t="s">
        <v>1124</v>
      </c>
      <c r="EH943" s="72"/>
      <c r="EI943" s="72">
        <v>2370</v>
      </c>
    </row>
    <row r="944" spans="71:139" x14ac:dyDescent="0.35">
      <c r="BS944" s="486">
        <v>61005</v>
      </c>
      <c r="BT944" s="479" t="s">
        <v>609</v>
      </c>
      <c r="BU944" s="479">
        <v>14</v>
      </c>
      <c r="BV944" s="476" t="s">
        <v>1187</v>
      </c>
      <c r="BW944" s="476" t="s">
        <v>1187</v>
      </c>
      <c r="BX944" s="476" t="s">
        <v>1187</v>
      </c>
      <c r="BY944" s="476" t="s">
        <v>1187</v>
      </c>
      <c r="BZ944" s="476" t="s">
        <v>1187</v>
      </c>
      <c r="CA944" s="476" t="s">
        <v>1187</v>
      </c>
      <c r="CB944" s="476" t="s">
        <v>1187</v>
      </c>
      <c r="CC944" s="476" t="s">
        <v>1187</v>
      </c>
      <c r="CD944" s="476" t="s">
        <v>1187</v>
      </c>
      <c r="CE944" s="476" t="s">
        <v>1188</v>
      </c>
      <c r="CF944" s="476" t="s">
        <v>1188</v>
      </c>
      <c r="CG944" s="476" t="s">
        <v>1188</v>
      </c>
      <c r="CH944" s="476" t="s">
        <v>1187</v>
      </c>
      <c r="CI944" s="476" t="s">
        <v>1187</v>
      </c>
      <c r="CJ944" s="476" t="s">
        <v>1187</v>
      </c>
      <c r="CK944" s="476" t="s">
        <v>1188</v>
      </c>
      <c r="CL944" s="476" t="s">
        <v>1188</v>
      </c>
      <c r="CM944" s="476" t="str">
        <f>IF(VLOOKUP(BS944,'Données par municipalité'!$B$6:$E$1113,4,FALSE)="","non","oui")</f>
        <v>oui</v>
      </c>
      <c r="CN944" s="410">
        <v>324.50821642023317</v>
      </c>
      <c r="CO944" s="410">
        <v>356.9535307967754</v>
      </c>
      <c r="CP944" s="410">
        <v>329.16093726008216</v>
      </c>
      <c r="CQ944" s="410"/>
      <c r="CR944" s="410"/>
      <c r="CS944" s="410" t="s">
        <v>1124</v>
      </c>
      <c r="CT944" s="410">
        <v>182.53939415961148</v>
      </c>
      <c r="CU944" s="410">
        <v>341</v>
      </c>
      <c r="CV944" s="410">
        <f>IF(VLOOKUP(BS944,'Données par municipalité'!$B$6:$F$1113,4,FALSE)="","",VLOOKUP(BS944,'Données par municipalité'!$B$6:$F$1113,4,FALSE))</f>
        <v>299</v>
      </c>
      <c r="CW944" s="476" t="s">
        <v>4723</v>
      </c>
      <c r="CX944" s="483">
        <v>0</v>
      </c>
      <c r="CY944" s="483">
        <v>0</v>
      </c>
      <c r="CZ944" s="483" t="s">
        <v>1124</v>
      </c>
      <c r="DA944" s="483" t="s">
        <v>1124</v>
      </c>
      <c r="DB944" s="483" t="s">
        <v>1124</v>
      </c>
      <c r="DC944" s="483">
        <v>1</v>
      </c>
      <c r="DD944" s="483">
        <v>1</v>
      </c>
      <c r="DE944" s="483">
        <f>IFERROR(SUM(VLOOKUP($BS944,'État &amp; Plan d''action'!$B$6:$Z$1113,18,FALSE),VLOOKUP($BS944,'État &amp; Plan d''action'!$B$6:$Z$1113,20,FALSE))/(VLOOKUP($BS944,'Données par municipalité'!$B$4:$L$1113,11,FALSE)),"")</f>
        <v>0.99999999999999989</v>
      </c>
      <c r="DF944" s="483">
        <f>IFERROR(SUM(VLOOKUP($BS944,'État &amp; Plan d''action'!$B$6:$Z$1113,19,FALSE),VLOOKUP($BS944,'État &amp; Plan d''action'!$B$6:$Z$1113,21,FALSE))/(VLOOKUP($BS944,'Données par municipalité'!$B$4:$L$1113,11,FALSE)),"")</f>
        <v>0.99999999999999989</v>
      </c>
      <c r="DG944" s="476" t="s">
        <v>4723</v>
      </c>
      <c r="DH944" s="484">
        <v>1</v>
      </c>
      <c r="DI944" s="484">
        <v>1</v>
      </c>
      <c r="DJ944" s="484">
        <v>0</v>
      </c>
      <c r="DK944" s="484">
        <v>0</v>
      </c>
      <c r="DL944" s="484" t="s">
        <v>1124</v>
      </c>
      <c r="DM944" s="484">
        <v>0</v>
      </c>
      <c r="DN944" s="484">
        <v>0</v>
      </c>
      <c r="DO944" s="484">
        <v>0</v>
      </c>
      <c r="DP944" s="484">
        <v>0</v>
      </c>
      <c r="DQ944" s="484">
        <f>IF(VLOOKUP($BS944,'État &amp; Plan d''action'!$B$6:$AJ$1113,28,FALSE)="","",VLOOKUP($BS944,'État &amp; Plan d''action'!$B$6:$AJ$1113,28,FALSE))</f>
        <v>0</v>
      </c>
      <c r="DR944" s="70">
        <f>IF(VLOOKUP($BS944,'État &amp; Plan d''action'!$B$6:$AJ$1113,29,FALSE)="","",VLOOKUP($BS944,'État &amp; Plan d''action'!$B$6:$AJ$1113,29,FALSE))</f>
        <v>0</v>
      </c>
      <c r="DS944" s="70">
        <f>IF(VLOOKUP($BS944,'État &amp; Plan d''action'!$B$6:$AJ$1113,30,FALSE)="","",VLOOKUP($BS944,'État &amp; Plan d''action'!$B$6:$AJ$1113,30,FALSE))</f>
        <v>1</v>
      </c>
      <c r="DT944" s="70">
        <v>290</v>
      </c>
      <c r="DU944" s="485">
        <v>1.5938460573673627</v>
      </c>
      <c r="DV944" s="485">
        <v>0.80699716804269794</v>
      </c>
      <c r="DW944" s="70">
        <v>0</v>
      </c>
      <c r="DX944" s="70">
        <v>0</v>
      </c>
      <c r="DY944" s="70">
        <v>0</v>
      </c>
      <c r="DZ944" s="70">
        <f>VLOOKUP($BS944,'État &amp; Plan d''action'!$B$6:$AH$1113,31,FALSE)</f>
        <v>0</v>
      </c>
      <c r="EA944" s="70">
        <f>VLOOKUP($BS944,'État &amp; Plan d''action'!$B$6:$AH$1113,32,FALSE)</f>
        <v>0</v>
      </c>
      <c r="EB944" s="70">
        <f>VLOOKUP($BS944,'État &amp; Plan d''action'!$B$6:$AH$1113,33,FALSE)</f>
        <v>5</v>
      </c>
      <c r="EC944" s="70">
        <v>0</v>
      </c>
      <c r="ED944" s="70">
        <v>24.503</v>
      </c>
      <c r="EE944" s="70">
        <v>0</v>
      </c>
      <c r="EF944" s="70">
        <v>0</v>
      </c>
      <c r="EG944" s="70">
        <v>0</v>
      </c>
      <c r="EH944" s="72">
        <v>64.351351351351354</v>
      </c>
      <c r="EI944" s="72">
        <v>6275</v>
      </c>
    </row>
    <row r="945" spans="71:139" x14ac:dyDescent="0.35">
      <c r="BS945" s="486">
        <v>55015</v>
      </c>
      <c r="BT945" s="479" t="s">
        <v>560</v>
      </c>
      <c r="BU945" s="479">
        <v>16</v>
      </c>
      <c r="BV945" s="476" t="s">
        <v>1187</v>
      </c>
      <c r="BW945" s="476" t="s">
        <v>1187</v>
      </c>
      <c r="BX945" s="476" t="s">
        <v>1187</v>
      </c>
      <c r="BY945" s="476" t="s">
        <v>1187</v>
      </c>
      <c r="BZ945" s="476" t="s">
        <v>1187</v>
      </c>
      <c r="CA945" s="476" t="s">
        <v>1187</v>
      </c>
      <c r="CB945" s="476" t="s">
        <v>1187</v>
      </c>
      <c r="CC945" s="476" t="s">
        <v>1187</v>
      </c>
      <c r="CD945" s="476" t="s">
        <v>1187</v>
      </c>
      <c r="CE945" s="476" t="s">
        <v>1188</v>
      </c>
      <c r="CF945" s="476" t="s">
        <v>1188</v>
      </c>
      <c r="CG945" s="476" t="s">
        <v>1187</v>
      </c>
      <c r="CH945" s="476" t="s">
        <v>1188</v>
      </c>
      <c r="CI945" s="476" t="s">
        <v>1188</v>
      </c>
      <c r="CJ945" s="476" t="s">
        <v>1188</v>
      </c>
      <c r="CK945" s="476" t="s">
        <v>1188</v>
      </c>
      <c r="CL945" s="476" t="s">
        <v>1188</v>
      </c>
      <c r="CM945" s="476" t="str">
        <f>IF(VLOOKUP(BS945,'Données par municipalité'!$B$6:$E$1113,4,FALSE)="","non","oui")</f>
        <v>oui</v>
      </c>
      <c r="CN945" s="410">
        <v>232.54733706829305</v>
      </c>
      <c r="CO945" s="410">
        <v>213.49150177531982</v>
      </c>
      <c r="CP945" s="410"/>
      <c r="CQ945" s="410">
        <v>258.08305315401856</v>
      </c>
      <c r="CR945" s="410">
        <v>269.13087534972834</v>
      </c>
      <c r="CS945" s="410">
        <v>305.03988706772788</v>
      </c>
      <c r="CT945" s="410">
        <v>248.95830649691291</v>
      </c>
      <c r="CU945" s="410">
        <v>242</v>
      </c>
      <c r="CV945" s="410">
        <f>IF(VLOOKUP(BS945,'Données par municipalité'!$B$6:$F$1113,4,FALSE)="","",VLOOKUP(BS945,'Données par municipalité'!$B$6:$F$1113,4,FALSE))</f>
        <v>238</v>
      </c>
      <c r="CW945" s="476" t="s">
        <v>4723</v>
      </c>
      <c r="CX945" s="483">
        <v>0.08</v>
      </c>
      <c r="CY945" s="483" t="s">
        <v>1124</v>
      </c>
      <c r="CZ945" s="483">
        <v>0.1</v>
      </c>
      <c r="DA945" s="483">
        <v>0</v>
      </c>
      <c r="DB945" s="483">
        <v>0.2</v>
      </c>
      <c r="DC945" s="483">
        <v>0.2</v>
      </c>
      <c r="DD945" s="483">
        <v>0.22361359570661893</v>
      </c>
      <c r="DE945" s="483">
        <f>IFERROR(SUM(VLOOKUP($BS945,'État &amp; Plan d''action'!$B$6:$Z$1113,18,FALSE),VLOOKUP($BS945,'État &amp; Plan d''action'!$B$6:$Z$1113,20,FALSE))/(VLOOKUP($BS945,'Données par municipalité'!$B$4:$L$1113,11,FALSE)),"")</f>
        <v>0</v>
      </c>
      <c r="DF945" s="483">
        <f>IFERROR(SUM(VLOOKUP($BS945,'État &amp; Plan d''action'!$B$6:$Z$1113,19,FALSE),VLOOKUP($BS945,'État &amp; Plan d''action'!$B$6:$Z$1113,21,FALSE))/(VLOOKUP($BS945,'Données par municipalité'!$B$4:$L$1113,11,FALSE)),"")</f>
        <v>0</v>
      </c>
      <c r="DG945" s="476" t="s">
        <v>4723</v>
      </c>
      <c r="DH945" s="484">
        <v>6</v>
      </c>
      <c r="DI945" s="484" t="s">
        <v>1124</v>
      </c>
      <c r="DJ945" s="484">
        <v>5</v>
      </c>
      <c r="DK945" s="484">
        <v>1</v>
      </c>
      <c r="DL945" s="484">
        <v>2</v>
      </c>
      <c r="DM945" s="484">
        <v>1</v>
      </c>
      <c r="DN945" s="484">
        <v>1</v>
      </c>
      <c r="DO945" s="484">
        <v>0</v>
      </c>
      <c r="DP945" s="484">
        <v>5</v>
      </c>
      <c r="DQ945" s="484">
        <f>IF(VLOOKUP($BS945,'État &amp; Plan d''action'!$B$6:$AJ$1113,28,FALSE)="","",VLOOKUP($BS945,'État &amp; Plan d''action'!$B$6:$AJ$1113,28,FALSE))</f>
        <v>0</v>
      </c>
      <c r="DR945" s="70">
        <f>IF(VLOOKUP($BS945,'État &amp; Plan d''action'!$B$6:$AJ$1113,29,FALSE)="","",VLOOKUP($BS945,'État &amp; Plan d''action'!$B$6:$AJ$1113,29,FALSE))</f>
        <v>2</v>
      </c>
      <c r="DS945" s="70">
        <f>IF(VLOOKUP($BS945,'État &amp; Plan d''action'!$B$6:$AJ$1113,30,FALSE)="","",VLOOKUP($BS945,'État &amp; Plan d''action'!$B$6:$AJ$1113,30,FALSE))</f>
        <v>1</v>
      </c>
      <c r="DT945" s="70">
        <v>157</v>
      </c>
      <c r="DU945" s="485">
        <v>0.7579017870463205</v>
      </c>
      <c r="DV945" s="485">
        <v>4.1418927924301512E-2</v>
      </c>
      <c r="DW945" s="70">
        <v>1</v>
      </c>
      <c r="DX945" s="70">
        <v>0</v>
      </c>
      <c r="DY945" s="70">
        <v>3</v>
      </c>
      <c r="DZ945" s="70">
        <f>VLOOKUP($BS945,'État &amp; Plan d''action'!$B$6:$AH$1113,31,FALSE)</f>
        <v>0</v>
      </c>
      <c r="EA945" s="70">
        <f>VLOOKUP($BS945,'État &amp; Plan d''action'!$B$6:$AH$1113,32,FALSE)</f>
        <v>2</v>
      </c>
      <c r="EB945" s="70">
        <f>VLOOKUP($BS945,'État &amp; Plan d''action'!$B$6:$AH$1113,33,FALSE)</f>
        <v>2</v>
      </c>
      <c r="EC945" s="70">
        <v>0</v>
      </c>
      <c r="ED945" s="70">
        <v>0</v>
      </c>
      <c r="EE945" s="70">
        <v>1</v>
      </c>
      <c r="EF945" s="70">
        <v>0</v>
      </c>
      <c r="EG945" s="70">
        <v>0</v>
      </c>
      <c r="EH945" s="72">
        <v>63.872549019607852</v>
      </c>
      <c r="EI945" s="72">
        <v>3098</v>
      </c>
    </row>
    <row r="946" spans="71:139" x14ac:dyDescent="0.35">
      <c r="BS946" s="486">
        <v>12035</v>
      </c>
      <c r="BT946" s="479" t="s">
        <v>34</v>
      </c>
      <c r="BU946" s="479">
        <v>1</v>
      </c>
      <c r="BV946" s="476" t="s">
        <v>1188</v>
      </c>
      <c r="BW946" s="476" t="s">
        <v>1188</v>
      </c>
      <c r="BX946" s="476" t="s">
        <v>1188</v>
      </c>
      <c r="BY946" s="476" t="s">
        <v>1188</v>
      </c>
      <c r="BZ946" s="476" t="s">
        <v>1188</v>
      </c>
      <c r="CA946" s="476" t="s">
        <v>1188</v>
      </c>
      <c r="CB946" s="476" t="s">
        <v>1188</v>
      </c>
      <c r="CC946" s="476" t="s">
        <v>1188</v>
      </c>
      <c r="CD946" s="476" t="s">
        <v>1188</v>
      </c>
      <c r="CE946" s="476" t="s">
        <v>1187</v>
      </c>
      <c r="CF946" s="476" t="s">
        <v>1187</v>
      </c>
      <c r="CG946" s="476" t="s">
        <v>1187</v>
      </c>
      <c r="CH946" s="476" t="s">
        <v>1187</v>
      </c>
      <c r="CI946" s="476" t="s">
        <v>1187</v>
      </c>
      <c r="CJ946" s="476" t="s">
        <v>1187</v>
      </c>
      <c r="CK946" s="476" t="s">
        <v>1187</v>
      </c>
      <c r="CL946" s="476" t="s">
        <v>1187</v>
      </c>
      <c r="CM946" s="476" t="str">
        <f>IF(VLOOKUP(BS946,'Données par municipalité'!$B$6:$E$1113,4,FALSE)="","non","oui")</f>
        <v>non</v>
      </c>
      <c r="CN946" s="410" t="s">
        <v>1124</v>
      </c>
      <c r="CO946" s="410" t="s">
        <v>1124</v>
      </c>
      <c r="CP946" s="410"/>
      <c r="CQ946" s="410"/>
      <c r="CR946" s="410"/>
      <c r="CS946" s="410" t="s">
        <v>1124</v>
      </c>
      <c r="CT946" s="410"/>
      <c r="CU946" s="410" t="s">
        <v>1124</v>
      </c>
      <c r="CV946" s="410" t="str">
        <f>IF(VLOOKUP(BS946,'Données par municipalité'!$B$6:$F$1113,4,FALSE)="","",VLOOKUP(BS946,'Données par municipalité'!$B$6:$F$1113,4,FALSE))</f>
        <v/>
      </c>
      <c r="CW946" s="476" t="s">
        <v>4723</v>
      </c>
      <c r="CX946" s="483" t="s">
        <v>1124</v>
      </c>
      <c r="CY946" s="483" t="s">
        <v>1124</v>
      </c>
      <c r="CZ946" s="483" t="s">
        <v>1124</v>
      </c>
      <c r="DA946" s="483" t="s">
        <v>1124</v>
      </c>
      <c r="DB946" s="483" t="s">
        <v>1124</v>
      </c>
      <c r="DC946" s="483" t="s">
        <v>1124</v>
      </c>
      <c r="DD946" s="483" t="s">
        <v>1124</v>
      </c>
      <c r="DE946" s="483" t="str">
        <f>IFERROR(SUM(VLOOKUP($BS946,'État &amp; Plan d''action'!$B$6:$Z$1113,18,FALSE),VLOOKUP($BS946,'État &amp; Plan d''action'!$B$6:$Z$1113,20,FALSE))/(VLOOKUP($BS946,'Données par municipalité'!$B$4:$L$1113,11,FALSE)),"")</f>
        <v/>
      </c>
      <c r="DF946" s="483" t="str">
        <f>IFERROR(SUM(VLOOKUP($BS946,'État &amp; Plan d''action'!$B$6:$Z$1113,19,FALSE),VLOOKUP($BS946,'État &amp; Plan d''action'!$B$6:$Z$1113,21,FALSE))/(VLOOKUP($BS946,'Données par municipalité'!$B$4:$L$1113,11,FALSE)),"")</f>
        <v/>
      </c>
      <c r="DG946" s="476" t="s">
        <v>4723</v>
      </c>
      <c r="DH946" s="484" t="s">
        <v>1124</v>
      </c>
      <c r="DI946" s="484" t="s">
        <v>1124</v>
      </c>
      <c r="DJ946" s="484">
        <v>0</v>
      </c>
      <c r="DK946" s="484">
        <v>0</v>
      </c>
      <c r="DL946" s="484" t="s">
        <v>1124</v>
      </c>
      <c r="DM946" s="484" t="s">
        <v>1124</v>
      </c>
      <c r="DN946" s="484" t="s">
        <v>1124</v>
      </c>
      <c r="DO946" s="484" t="s">
        <v>1124</v>
      </c>
      <c r="DP946" s="484" t="s">
        <v>1124</v>
      </c>
      <c r="DQ946" s="484" t="str">
        <f>IF(VLOOKUP($BS946,'État &amp; Plan d''action'!$B$6:$AJ$1113,28,FALSE)="","",VLOOKUP($BS946,'État &amp; Plan d''action'!$B$6:$AJ$1113,28,FALSE))</f>
        <v/>
      </c>
      <c r="DR946" s="70" t="str">
        <f>IF(VLOOKUP($BS946,'État &amp; Plan d''action'!$B$6:$AJ$1113,29,FALSE)="","",VLOOKUP($BS946,'État &amp; Plan d''action'!$B$6:$AJ$1113,29,FALSE))</f>
        <v/>
      </c>
      <c r="DS946" s="70" t="str">
        <f>IF(VLOOKUP($BS946,'État &amp; Plan d''action'!$B$6:$AJ$1113,30,FALSE)="","",VLOOKUP($BS946,'État &amp; Plan d''action'!$B$6:$AJ$1113,30,FALSE))</f>
        <v/>
      </c>
      <c r="DT946" s="70" t="s">
        <v>1124</v>
      </c>
      <c r="DU946" s="485" t="s">
        <v>1124</v>
      </c>
      <c r="DV946" s="485" t="s">
        <v>1124</v>
      </c>
      <c r="DW946" s="70" t="s">
        <v>1124</v>
      </c>
      <c r="DX946" s="70" t="s">
        <v>1124</v>
      </c>
      <c r="DY946" s="70" t="s">
        <v>1124</v>
      </c>
      <c r="DZ946" s="70" t="str">
        <f>VLOOKUP($BS946,'État &amp; Plan d''action'!$B$6:$AH$1113,31,FALSE)</f>
        <v/>
      </c>
      <c r="EA946" s="70" t="str">
        <f>VLOOKUP($BS946,'État &amp; Plan d''action'!$B$6:$AH$1113,32,FALSE)</f>
        <v/>
      </c>
      <c r="EB946" s="70" t="str">
        <f>VLOOKUP($BS946,'État &amp; Plan d''action'!$B$6:$AH$1113,33,FALSE)</f>
        <v/>
      </c>
      <c r="EC946" s="70" t="s">
        <v>1124</v>
      </c>
      <c r="ED946" s="70" t="s">
        <v>1124</v>
      </c>
      <c r="EE946" s="70" t="s">
        <v>1124</v>
      </c>
      <c r="EF946" s="70" t="s">
        <v>1124</v>
      </c>
      <c r="EG946" s="70" t="s">
        <v>1124</v>
      </c>
      <c r="EH946" s="72"/>
      <c r="EI946" s="72">
        <v>315</v>
      </c>
    </row>
    <row r="947" spans="71:139" x14ac:dyDescent="0.35">
      <c r="BS947" s="486">
        <v>56035</v>
      </c>
      <c r="BT947" s="479" t="s">
        <v>572</v>
      </c>
      <c r="BU947" s="479">
        <v>16</v>
      </c>
      <c r="BV947" s="476" t="s">
        <v>1188</v>
      </c>
      <c r="BW947" s="476" t="s">
        <v>1188</v>
      </c>
      <c r="BX947" s="476" t="s">
        <v>1188</v>
      </c>
      <c r="BY947" s="476" t="s">
        <v>1188</v>
      </c>
      <c r="BZ947" s="476" t="s">
        <v>1188</v>
      </c>
      <c r="CA947" s="476" t="s">
        <v>1188</v>
      </c>
      <c r="CB947" s="476" t="s">
        <v>1188</v>
      </c>
      <c r="CC947" s="476" t="s">
        <v>1188</v>
      </c>
      <c r="CD947" s="476" t="s">
        <v>1188</v>
      </c>
      <c r="CE947" s="476" t="s">
        <v>1187</v>
      </c>
      <c r="CF947" s="476" t="s">
        <v>1187</v>
      </c>
      <c r="CG947" s="476" t="s">
        <v>1187</v>
      </c>
      <c r="CH947" s="476" t="s">
        <v>1187</v>
      </c>
      <c r="CI947" s="476" t="s">
        <v>1187</v>
      </c>
      <c r="CJ947" s="476" t="s">
        <v>1187</v>
      </c>
      <c r="CK947" s="476" t="s">
        <v>1187</v>
      </c>
      <c r="CL947" s="476" t="s">
        <v>1187</v>
      </c>
      <c r="CM947" s="476" t="str">
        <f>IF(VLOOKUP(BS947,'Données par municipalité'!$B$6:$E$1113,4,FALSE)="","non","oui")</f>
        <v>non</v>
      </c>
      <c r="CN947" s="410" t="s">
        <v>1124</v>
      </c>
      <c r="CO947" s="410" t="s">
        <v>1124</v>
      </c>
      <c r="CP947" s="410"/>
      <c r="CQ947" s="410"/>
      <c r="CR947" s="410"/>
      <c r="CS947" s="410" t="s">
        <v>1124</v>
      </c>
      <c r="CT947" s="410"/>
      <c r="CU947" s="410" t="s">
        <v>1124</v>
      </c>
      <c r="CV947" s="410" t="str">
        <f>IF(VLOOKUP(BS947,'Données par municipalité'!$B$6:$F$1113,4,FALSE)="","",VLOOKUP(BS947,'Données par municipalité'!$B$6:$F$1113,4,FALSE))</f>
        <v/>
      </c>
      <c r="CW947" s="476" t="s">
        <v>4723</v>
      </c>
      <c r="CX947" s="483" t="s">
        <v>1124</v>
      </c>
      <c r="CY947" s="483" t="s">
        <v>1124</v>
      </c>
      <c r="CZ947" s="483" t="s">
        <v>1124</v>
      </c>
      <c r="DA947" s="483" t="s">
        <v>1124</v>
      </c>
      <c r="DB947" s="483" t="s">
        <v>1124</v>
      </c>
      <c r="DC947" s="483" t="s">
        <v>1124</v>
      </c>
      <c r="DD947" s="483" t="s">
        <v>1124</v>
      </c>
      <c r="DE947" s="483" t="str">
        <f>IFERROR(SUM(VLOOKUP($BS947,'État &amp; Plan d''action'!$B$6:$Z$1113,18,FALSE),VLOOKUP($BS947,'État &amp; Plan d''action'!$B$6:$Z$1113,20,FALSE))/(VLOOKUP($BS947,'Données par municipalité'!$B$4:$L$1113,11,FALSE)),"")</f>
        <v/>
      </c>
      <c r="DF947" s="483" t="str">
        <f>IFERROR(SUM(VLOOKUP($BS947,'État &amp; Plan d''action'!$B$6:$Z$1113,19,FALSE),VLOOKUP($BS947,'État &amp; Plan d''action'!$B$6:$Z$1113,21,FALSE))/(VLOOKUP($BS947,'Données par municipalité'!$B$4:$L$1113,11,FALSE)),"")</f>
        <v/>
      </c>
      <c r="DG947" s="476" t="s">
        <v>4723</v>
      </c>
      <c r="DH947" s="484" t="s">
        <v>1124</v>
      </c>
      <c r="DI947" s="484" t="s">
        <v>1124</v>
      </c>
      <c r="DJ947" s="484">
        <v>0</v>
      </c>
      <c r="DK947" s="484">
        <v>0</v>
      </c>
      <c r="DL947" s="484" t="s">
        <v>1124</v>
      </c>
      <c r="DM947" s="484" t="s">
        <v>1124</v>
      </c>
      <c r="DN947" s="484" t="s">
        <v>1124</v>
      </c>
      <c r="DO947" s="484" t="s">
        <v>1124</v>
      </c>
      <c r="DP947" s="484" t="s">
        <v>1124</v>
      </c>
      <c r="DQ947" s="484" t="str">
        <f>IF(VLOOKUP($BS947,'État &amp; Plan d''action'!$B$6:$AJ$1113,28,FALSE)="","",VLOOKUP($BS947,'État &amp; Plan d''action'!$B$6:$AJ$1113,28,FALSE))</f>
        <v/>
      </c>
      <c r="DR947" s="70" t="str">
        <f>IF(VLOOKUP($BS947,'État &amp; Plan d''action'!$B$6:$AJ$1113,29,FALSE)="","",VLOOKUP($BS947,'État &amp; Plan d''action'!$B$6:$AJ$1113,29,FALSE))</f>
        <v/>
      </c>
      <c r="DS947" s="70" t="str">
        <f>IF(VLOOKUP($BS947,'État &amp; Plan d''action'!$B$6:$AJ$1113,30,FALSE)="","",VLOOKUP($BS947,'État &amp; Plan d''action'!$B$6:$AJ$1113,30,FALSE))</f>
        <v/>
      </c>
      <c r="DT947" s="70" t="s">
        <v>1124</v>
      </c>
      <c r="DU947" s="485" t="s">
        <v>1124</v>
      </c>
      <c r="DV947" s="485" t="s">
        <v>1124</v>
      </c>
      <c r="DW947" s="70" t="s">
        <v>1124</v>
      </c>
      <c r="DX947" s="70" t="s">
        <v>1124</v>
      </c>
      <c r="DY947" s="70" t="s">
        <v>1124</v>
      </c>
      <c r="DZ947" s="70" t="str">
        <f>VLOOKUP($BS947,'État &amp; Plan d''action'!$B$6:$AH$1113,31,FALSE)</f>
        <v/>
      </c>
      <c r="EA947" s="70" t="str">
        <f>VLOOKUP($BS947,'État &amp; Plan d''action'!$B$6:$AH$1113,32,FALSE)</f>
        <v/>
      </c>
      <c r="EB947" s="70" t="str">
        <f>VLOOKUP($BS947,'État &amp; Plan d''action'!$B$6:$AH$1113,33,FALSE)</f>
        <v/>
      </c>
      <c r="EC947" s="70" t="s">
        <v>1124</v>
      </c>
      <c r="ED947" s="70" t="s">
        <v>1124</v>
      </c>
      <c r="EE947" s="70" t="s">
        <v>1124</v>
      </c>
      <c r="EF947" s="70" t="s">
        <v>1124</v>
      </c>
      <c r="EG947" s="70" t="s">
        <v>1124</v>
      </c>
      <c r="EH947" s="72"/>
      <c r="EI947" s="72">
        <v>2085</v>
      </c>
    </row>
    <row r="948" spans="71:139" x14ac:dyDescent="0.35">
      <c r="BS948" s="486">
        <v>18030</v>
      </c>
      <c r="BT948" s="479" t="s">
        <v>109</v>
      </c>
      <c r="BU948" s="479">
        <v>12</v>
      </c>
      <c r="BV948" s="476" t="s">
        <v>1187</v>
      </c>
      <c r="BW948" s="476" t="s">
        <v>1187</v>
      </c>
      <c r="BX948" s="476" t="s">
        <v>1187</v>
      </c>
      <c r="BY948" s="476" t="s">
        <v>1187</v>
      </c>
      <c r="BZ948" s="476" t="s">
        <v>1187</v>
      </c>
      <c r="CA948" s="476" t="s">
        <v>1187</v>
      </c>
      <c r="CB948" s="476" t="s">
        <v>1187</v>
      </c>
      <c r="CC948" s="476" t="s">
        <v>1187</v>
      </c>
      <c r="CD948" s="476" t="s">
        <v>1187</v>
      </c>
      <c r="CE948" s="476" t="s">
        <v>1188</v>
      </c>
      <c r="CF948" s="476" t="s">
        <v>1188</v>
      </c>
      <c r="CG948" s="476" t="s">
        <v>1188</v>
      </c>
      <c r="CH948" s="476" t="s">
        <v>1188</v>
      </c>
      <c r="CI948" s="476" t="s">
        <v>1188</v>
      </c>
      <c r="CJ948" s="476" t="s">
        <v>1188</v>
      </c>
      <c r="CK948" s="476" t="s">
        <v>1188</v>
      </c>
      <c r="CL948" s="476" t="s">
        <v>1188</v>
      </c>
      <c r="CM948" s="476" t="str">
        <f>IF(VLOOKUP(BS948,'Données par municipalité'!$B$6:$E$1113,4,FALSE)="","non","oui")</f>
        <v>non</v>
      </c>
      <c r="CN948" s="410">
        <v>354.95528577250155</v>
      </c>
      <c r="CO948" s="410">
        <v>437.36527568166537</v>
      </c>
      <c r="CP948" s="410">
        <v>406.38555748977467</v>
      </c>
      <c r="CQ948" s="410">
        <v>638.6782023552031</v>
      </c>
      <c r="CR948" s="410">
        <v>444.23455900024027</v>
      </c>
      <c r="CS948" s="410">
        <v>379.47205156569976</v>
      </c>
      <c r="CT948" s="410">
        <v>313.86375793660022</v>
      </c>
      <c r="CU948" s="410">
        <v>308</v>
      </c>
      <c r="CV948" s="410" t="str">
        <f>IF(VLOOKUP(BS948,'Données par municipalité'!$B$6:$F$1113,4,FALSE)="","",VLOOKUP(BS948,'Données par municipalité'!$B$6:$F$1113,4,FALSE))</f>
        <v/>
      </c>
      <c r="CW948" s="476" t="s">
        <v>4723</v>
      </c>
      <c r="CX948" s="483">
        <v>0.09</v>
      </c>
      <c r="CY948" s="483">
        <v>0</v>
      </c>
      <c r="CZ948" s="483">
        <v>0</v>
      </c>
      <c r="DA948" s="483">
        <v>0</v>
      </c>
      <c r="DB948" s="483">
        <v>1</v>
      </c>
      <c r="DC948" s="483">
        <v>0</v>
      </c>
      <c r="DD948" s="483">
        <v>0</v>
      </c>
      <c r="DE948" s="483" t="str">
        <f>IFERROR(SUM(VLOOKUP($BS948,'État &amp; Plan d''action'!$B$6:$Z$1113,18,FALSE),VLOOKUP($BS948,'État &amp; Plan d''action'!$B$6:$Z$1113,20,FALSE))/(VLOOKUP($BS948,'Données par municipalité'!$B$4:$L$1113,11,FALSE)),"")</f>
        <v/>
      </c>
      <c r="DF948" s="483" t="str">
        <f>IFERROR(SUM(VLOOKUP($BS948,'État &amp; Plan d''action'!$B$6:$Z$1113,19,FALSE),VLOOKUP($BS948,'État &amp; Plan d''action'!$B$6:$Z$1113,21,FALSE))/(VLOOKUP($BS948,'Données par municipalité'!$B$4:$L$1113,11,FALSE)),"")</f>
        <v/>
      </c>
      <c r="DG948" s="476" t="s">
        <v>4723</v>
      </c>
      <c r="DH948" s="484">
        <v>4</v>
      </c>
      <c r="DI948" s="484">
        <v>6</v>
      </c>
      <c r="DJ948" s="484">
        <v>8</v>
      </c>
      <c r="DK948" s="484">
        <v>7</v>
      </c>
      <c r="DL948" s="484">
        <v>4</v>
      </c>
      <c r="DM948" s="484">
        <v>0</v>
      </c>
      <c r="DN948" s="484">
        <v>0</v>
      </c>
      <c r="DO948" s="484">
        <v>1</v>
      </c>
      <c r="DP948" s="484">
        <v>0</v>
      </c>
      <c r="DQ948" s="484" t="str">
        <f>IF(VLOOKUP($BS948,'État &amp; Plan d''action'!$B$6:$AJ$1113,28,FALSE)="","",VLOOKUP($BS948,'État &amp; Plan d''action'!$B$6:$AJ$1113,28,FALSE))</f>
        <v/>
      </c>
      <c r="DR948" s="70" t="str">
        <f>IF(VLOOKUP($BS948,'État &amp; Plan d''action'!$B$6:$AJ$1113,29,FALSE)="","",VLOOKUP($BS948,'État &amp; Plan d''action'!$B$6:$AJ$1113,29,FALSE))</f>
        <v/>
      </c>
      <c r="DS948" s="70" t="str">
        <f>IF(VLOOKUP($BS948,'État &amp; Plan d''action'!$B$6:$AJ$1113,30,FALSE)="","",VLOOKUP($BS948,'État &amp; Plan d''action'!$B$6:$AJ$1113,30,FALSE))</f>
        <v/>
      </c>
      <c r="DT948" s="70">
        <v>224</v>
      </c>
      <c r="DU948" s="485">
        <v>1.00139918513097</v>
      </c>
      <c r="DV948" s="485" t="s">
        <v>1124</v>
      </c>
      <c r="DW948" s="70">
        <v>0</v>
      </c>
      <c r="DX948" s="70">
        <v>2</v>
      </c>
      <c r="DY948" s="70">
        <v>0</v>
      </c>
      <c r="DZ948" s="70" t="str">
        <f>VLOOKUP($BS948,'État &amp; Plan d''action'!$B$6:$AH$1113,31,FALSE)</f>
        <v/>
      </c>
      <c r="EA948" s="70" t="str">
        <f>VLOOKUP($BS948,'État &amp; Plan d''action'!$B$6:$AH$1113,32,FALSE)</f>
        <v/>
      </c>
      <c r="EB948" s="70" t="str">
        <f>VLOOKUP($BS948,'État &amp; Plan d''action'!$B$6:$AH$1113,33,FALSE)</f>
        <v/>
      </c>
      <c r="EC948" s="70">
        <v>0</v>
      </c>
      <c r="ED948" s="70">
        <v>0</v>
      </c>
      <c r="EE948" s="70">
        <v>0</v>
      </c>
      <c r="EF948" s="70">
        <v>0</v>
      </c>
      <c r="EG948" s="70">
        <v>0</v>
      </c>
      <c r="EH948" s="72">
        <v>61.36486486486487</v>
      </c>
      <c r="EI948" s="72">
        <v>821</v>
      </c>
    </row>
    <row r="949" spans="71:139" x14ac:dyDescent="0.35">
      <c r="BS949" s="486">
        <v>51060</v>
      </c>
      <c r="BT949" s="479" t="s">
        <v>508</v>
      </c>
      <c r="BU949" s="479">
        <v>4</v>
      </c>
      <c r="BV949" s="476" t="s">
        <v>1187</v>
      </c>
      <c r="BW949" s="476" t="s">
        <v>1187</v>
      </c>
      <c r="BX949" s="476" t="s">
        <v>1187</v>
      </c>
      <c r="BY949" s="476" t="s">
        <v>1187</v>
      </c>
      <c r="BZ949" s="476" t="s">
        <v>1187</v>
      </c>
      <c r="CA949" s="476" t="s">
        <v>1187</v>
      </c>
      <c r="CB949" s="476" t="s">
        <v>1187</v>
      </c>
      <c r="CC949" s="476" t="s">
        <v>1187</v>
      </c>
      <c r="CD949" s="476" t="s">
        <v>1187</v>
      </c>
      <c r="CE949" s="476" t="s">
        <v>1188</v>
      </c>
      <c r="CF949" s="476" t="s">
        <v>1188</v>
      </c>
      <c r="CG949" s="476" t="s">
        <v>1188</v>
      </c>
      <c r="CH949" s="476" t="s">
        <v>1187</v>
      </c>
      <c r="CI949" s="476" t="s">
        <v>1188</v>
      </c>
      <c r="CJ949" s="476" t="s">
        <v>1188</v>
      </c>
      <c r="CK949" s="476" t="s">
        <v>1188</v>
      </c>
      <c r="CL949" s="476" t="s">
        <v>1188</v>
      </c>
      <c r="CM949" s="476" t="str">
        <f>IF(VLOOKUP(BS949,'Données par municipalité'!$B$6:$E$1113,4,FALSE)="","non","oui")</f>
        <v>non</v>
      </c>
      <c r="CN949" s="410">
        <v>387.78716256180945</v>
      </c>
      <c r="CO949" s="410">
        <v>405.28570215141184</v>
      </c>
      <c r="CP949" s="410">
        <v>377.71527954596286</v>
      </c>
      <c r="CQ949" s="410"/>
      <c r="CR949" s="410">
        <v>392.36592581078969</v>
      </c>
      <c r="CS949" s="410">
        <v>301.67391257774693</v>
      </c>
      <c r="CT949" s="410">
        <v>327.37822986124939</v>
      </c>
      <c r="CU949" s="410">
        <v>385</v>
      </c>
      <c r="CV949" s="410" t="str">
        <f>IF(VLOOKUP(BS949,'Données par municipalité'!$B$6:$F$1113,4,FALSE)="","",VLOOKUP(BS949,'Données par municipalité'!$B$6:$F$1113,4,FALSE))</f>
        <v/>
      </c>
      <c r="CW949" s="476" t="s">
        <v>4723</v>
      </c>
      <c r="CX949" s="483">
        <v>0</v>
      </c>
      <c r="CY949" s="483">
        <v>0</v>
      </c>
      <c r="CZ949" s="483" t="s">
        <v>1124</v>
      </c>
      <c r="DA949" s="483">
        <v>1</v>
      </c>
      <c r="DB949" s="483">
        <v>1</v>
      </c>
      <c r="DC949" s="483">
        <v>1</v>
      </c>
      <c r="DD949" s="483">
        <v>2.8893383415197919E-2</v>
      </c>
      <c r="DE949" s="483" t="str">
        <f>IFERROR(SUM(VLOOKUP($BS949,'État &amp; Plan d''action'!$B$6:$Z$1113,18,FALSE),VLOOKUP($BS949,'État &amp; Plan d''action'!$B$6:$Z$1113,20,FALSE))/(VLOOKUP($BS949,'Données par municipalité'!$B$4:$L$1113,11,FALSE)),"")</f>
        <v/>
      </c>
      <c r="DF949" s="483" t="str">
        <f>IFERROR(SUM(VLOOKUP($BS949,'État &amp; Plan d''action'!$B$6:$Z$1113,19,FALSE),VLOOKUP($BS949,'État &amp; Plan d''action'!$B$6:$Z$1113,21,FALSE))/(VLOOKUP($BS949,'Données par municipalité'!$B$4:$L$1113,11,FALSE)),"")</f>
        <v/>
      </c>
      <c r="DG949" s="476" t="s">
        <v>4723</v>
      </c>
      <c r="DH949" s="484">
        <v>0</v>
      </c>
      <c r="DI949" s="484">
        <v>0</v>
      </c>
      <c r="DJ949" s="484">
        <v>0</v>
      </c>
      <c r="DK949" s="484">
        <v>2</v>
      </c>
      <c r="DL949" s="484">
        <v>5</v>
      </c>
      <c r="DM949" s="484">
        <v>5</v>
      </c>
      <c r="DN949" s="484">
        <v>0</v>
      </c>
      <c r="DO949" s="484">
        <v>2</v>
      </c>
      <c r="DP949" s="484">
        <v>0</v>
      </c>
      <c r="DQ949" s="484" t="str">
        <f>IF(VLOOKUP($BS949,'État &amp; Plan d''action'!$B$6:$AJ$1113,28,FALSE)="","",VLOOKUP($BS949,'État &amp; Plan d''action'!$B$6:$AJ$1113,28,FALSE))</f>
        <v/>
      </c>
      <c r="DR949" s="70" t="str">
        <f>IF(VLOOKUP($BS949,'État &amp; Plan d''action'!$B$6:$AJ$1113,29,FALSE)="","",VLOOKUP($BS949,'État &amp; Plan d''action'!$B$6:$AJ$1113,29,FALSE))</f>
        <v/>
      </c>
      <c r="DS949" s="70" t="str">
        <f>IF(VLOOKUP($BS949,'État &amp; Plan d''action'!$B$6:$AJ$1113,30,FALSE)="","",VLOOKUP($BS949,'État &amp; Plan d''action'!$B$6:$AJ$1113,30,FALSE))</f>
        <v/>
      </c>
      <c r="DT949" s="70">
        <v>231</v>
      </c>
      <c r="DU949" s="485">
        <v>2.0733545902534725</v>
      </c>
      <c r="DV949" s="485" t="s">
        <v>1124</v>
      </c>
      <c r="DW949" s="70">
        <v>0</v>
      </c>
      <c r="DX949" s="70">
        <v>1</v>
      </c>
      <c r="DY949" s="70">
        <v>0</v>
      </c>
      <c r="DZ949" s="70" t="str">
        <f>VLOOKUP($BS949,'État &amp; Plan d''action'!$B$6:$AH$1113,31,FALSE)</f>
        <v/>
      </c>
      <c r="EA949" s="70" t="str">
        <f>VLOOKUP($BS949,'État &amp; Plan d''action'!$B$6:$AH$1113,32,FALSE)</f>
        <v/>
      </c>
      <c r="EB949" s="70" t="str">
        <f>VLOOKUP($BS949,'État &amp; Plan d''action'!$B$6:$AH$1113,33,FALSE)</f>
        <v/>
      </c>
      <c r="EC949" s="70">
        <v>34.61</v>
      </c>
      <c r="ED949" s="70">
        <v>1</v>
      </c>
      <c r="EE949" s="70">
        <v>0</v>
      </c>
      <c r="EF949" s="70">
        <v>0</v>
      </c>
      <c r="EG949" s="70">
        <v>0</v>
      </c>
      <c r="EH949" s="72">
        <v>57</v>
      </c>
      <c r="EI949" s="72">
        <v>1519</v>
      </c>
    </row>
    <row r="950" spans="71:139" x14ac:dyDescent="0.35">
      <c r="BS950" s="486">
        <v>19005</v>
      </c>
      <c r="BT950" s="479" t="s">
        <v>118</v>
      </c>
      <c r="BU950" s="479">
        <v>12</v>
      </c>
      <c r="BV950" s="476" t="s">
        <v>1187</v>
      </c>
      <c r="BW950" s="476" t="s">
        <v>1187</v>
      </c>
      <c r="BX950" s="476" t="s">
        <v>1187</v>
      </c>
      <c r="BY950" s="476" t="s">
        <v>1187</v>
      </c>
      <c r="BZ950" s="476" t="s">
        <v>1187</v>
      </c>
      <c r="CA950" s="476" t="s">
        <v>1187</v>
      </c>
      <c r="CB950" s="476" t="s">
        <v>1187</v>
      </c>
      <c r="CC950" s="476" t="s">
        <v>1187</v>
      </c>
      <c r="CD950" s="476" t="s">
        <v>1187</v>
      </c>
      <c r="CE950" s="476" t="s">
        <v>1188</v>
      </c>
      <c r="CF950" s="476" t="s">
        <v>1188</v>
      </c>
      <c r="CG950" s="476" t="s">
        <v>1188</v>
      </c>
      <c r="CH950" s="476" t="s">
        <v>1188</v>
      </c>
      <c r="CI950" s="476" t="s">
        <v>1188</v>
      </c>
      <c r="CJ950" s="476" t="s">
        <v>1188</v>
      </c>
      <c r="CK950" s="476" t="s">
        <v>1188</v>
      </c>
      <c r="CL950" s="476" t="s">
        <v>1188</v>
      </c>
      <c r="CM950" s="476" t="str">
        <f>IF(VLOOKUP(BS950,'Données par municipalité'!$B$6:$E$1113,4,FALSE)="","non","oui")</f>
        <v>oui</v>
      </c>
      <c r="CN950" s="410">
        <v>337.65887707609238</v>
      </c>
      <c r="CO950" s="410">
        <v>307.27918956581647</v>
      </c>
      <c r="CP950" s="410">
        <v>318.88391446013668</v>
      </c>
      <c r="CQ950" s="410">
        <v>334.07601042173258</v>
      </c>
      <c r="CR950" s="410">
        <v>352.07597274463922</v>
      </c>
      <c r="CS950" s="410">
        <v>351.18618715202768</v>
      </c>
      <c r="CT950" s="410">
        <v>267.8128782442102</v>
      </c>
      <c r="CU950" s="410">
        <v>309</v>
      </c>
      <c r="CV950" s="410">
        <f>IF(VLOOKUP(BS950,'Données par municipalité'!$B$6:$F$1113,4,FALSE)="","",VLOOKUP(BS950,'Données par municipalité'!$B$6:$F$1113,4,FALSE))</f>
        <v>355</v>
      </c>
      <c r="CW950" s="476" t="s">
        <v>4723</v>
      </c>
      <c r="CX950" s="483">
        <v>0</v>
      </c>
      <c r="CY950" s="483">
        <v>0</v>
      </c>
      <c r="CZ950" s="483">
        <v>0.01</v>
      </c>
      <c r="DA950" s="483">
        <v>0</v>
      </c>
      <c r="DB950" s="483">
        <v>0</v>
      </c>
      <c r="DC950" s="483">
        <v>0</v>
      </c>
      <c r="DD950" s="483">
        <v>0</v>
      </c>
      <c r="DE950" s="483">
        <f>IFERROR(SUM(VLOOKUP($BS950,'État &amp; Plan d''action'!$B$6:$Z$1113,18,FALSE),VLOOKUP($BS950,'État &amp; Plan d''action'!$B$6:$Z$1113,20,FALSE))/(VLOOKUP($BS950,'Données par municipalité'!$B$4:$L$1113,11,FALSE)),"")</f>
        <v>0</v>
      </c>
      <c r="DF950" s="483">
        <f>IFERROR(SUM(VLOOKUP($BS950,'État &amp; Plan d''action'!$B$6:$Z$1113,19,FALSE),VLOOKUP($BS950,'État &amp; Plan d''action'!$B$6:$Z$1113,21,FALSE))/(VLOOKUP($BS950,'Données par municipalité'!$B$4:$L$1113,11,FALSE)),"")</f>
        <v>0</v>
      </c>
      <c r="DG950" s="476" t="s">
        <v>4723</v>
      </c>
      <c r="DH950" s="484">
        <v>0</v>
      </c>
      <c r="DI950" s="484">
        <v>0</v>
      </c>
      <c r="DJ950" s="484">
        <v>0</v>
      </c>
      <c r="DK950" s="484">
        <v>0</v>
      </c>
      <c r="DL950" s="484">
        <v>0</v>
      </c>
      <c r="DM950" s="484">
        <v>1</v>
      </c>
      <c r="DN950" s="484">
        <v>0</v>
      </c>
      <c r="DO950" s="484">
        <v>0</v>
      </c>
      <c r="DP950" s="484">
        <v>0</v>
      </c>
      <c r="DQ950" s="484">
        <f>IF(VLOOKUP($BS950,'État &amp; Plan d''action'!$B$6:$AJ$1113,28,FALSE)="","",VLOOKUP($BS950,'État &amp; Plan d''action'!$B$6:$AJ$1113,28,FALSE))</f>
        <v>2</v>
      </c>
      <c r="DR950" s="70">
        <f>IF(VLOOKUP($BS950,'État &amp; Plan d''action'!$B$6:$AJ$1113,29,FALSE)="","",VLOOKUP($BS950,'État &amp; Plan d''action'!$B$6:$AJ$1113,29,FALSE))</f>
        <v>2</v>
      </c>
      <c r="DS950" s="70">
        <f>IF(VLOOKUP($BS950,'État &amp; Plan d''action'!$B$6:$AJ$1113,30,FALSE)="","",VLOOKUP($BS950,'État &amp; Plan d''action'!$B$6:$AJ$1113,30,FALSE))</f>
        <v>0</v>
      </c>
      <c r="DT950" s="70">
        <v>212</v>
      </c>
      <c r="DU950" s="485">
        <v>0.81318527515376027</v>
      </c>
      <c r="DV950" s="485">
        <v>0.85039189615137023</v>
      </c>
      <c r="DW950" s="70">
        <v>0</v>
      </c>
      <c r="DX950" s="70">
        <v>0</v>
      </c>
      <c r="DY950" s="70">
        <v>0</v>
      </c>
      <c r="DZ950" s="70">
        <f>VLOOKUP($BS950,'État &amp; Plan d''action'!$B$6:$AH$1113,31,FALSE)</f>
        <v>3</v>
      </c>
      <c r="EA950" s="70">
        <f>VLOOKUP($BS950,'État &amp; Plan d''action'!$B$6:$AH$1113,32,FALSE)</f>
        <v>3</v>
      </c>
      <c r="EB950" s="70">
        <f>VLOOKUP($BS950,'État &amp; Plan d''action'!$B$6:$AH$1113,33,FALSE)</f>
        <v>0</v>
      </c>
      <c r="EC950" s="70">
        <v>0</v>
      </c>
      <c r="ED950" s="70">
        <v>0</v>
      </c>
      <c r="EE950" s="70">
        <v>0</v>
      </c>
      <c r="EF950" s="70">
        <v>0</v>
      </c>
      <c r="EG950" s="70">
        <v>0</v>
      </c>
      <c r="EH950" s="72">
        <v>60.603603603603602</v>
      </c>
      <c r="EI950" s="72">
        <v>705</v>
      </c>
    </row>
    <row r="951" spans="71:139" x14ac:dyDescent="0.35">
      <c r="BS951" s="486">
        <v>29065</v>
      </c>
      <c r="BT951" s="479" t="s">
        <v>210</v>
      </c>
      <c r="BU951" s="479">
        <v>12</v>
      </c>
      <c r="BV951" s="476" t="s">
        <v>1187</v>
      </c>
      <c r="BW951" s="476" t="s">
        <v>1187</v>
      </c>
      <c r="BX951" s="476" t="s">
        <v>1188</v>
      </c>
      <c r="BY951" s="476" t="s">
        <v>1188</v>
      </c>
      <c r="BZ951" s="476" t="s">
        <v>1188</v>
      </c>
      <c r="CA951" s="476" t="s">
        <v>1188</v>
      </c>
      <c r="CB951" s="476" t="s">
        <v>1188</v>
      </c>
      <c r="CC951" s="476" t="s">
        <v>1188</v>
      </c>
      <c r="CD951" s="476" t="s">
        <v>1188</v>
      </c>
      <c r="CE951" s="476" t="s">
        <v>1187</v>
      </c>
      <c r="CF951" s="476" t="s">
        <v>1187</v>
      </c>
      <c r="CG951" s="476" t="s">
        <v>1187</v>
      </c>
      <c r="CH951" s="476" t="s">
        <v>1187</v>
      </c>
      <c r="CI951" s="476" t="s">
        <v>1187</v>
      </c>
      <c r="CJ951" s="476" t="s">
        <v>1187</v>
      </c>
      <c r="CK951" s="476" t="s">
        <v>1187</v>
      </c>
      <c r="CL951" s="476" t="s">
        <v>1187</v>
      </c>
      <c r="CM951" s="476" t="str">
        <f>IF(VLOOKUP(BS951,'Données par municipalité'!$B$6:$E$1113,4,FALSE)="","non","oui")</f>
        <v>non</v>
      </c>
      <c r="CN951" s="410" t="s">
        <v>1124</v>
      </c>
      <c r="CO951" s="410" t="s">
        <v>1124</v>
      </c>
      <c r="CP951" s="410"/>
      <c r="CQ951" s="410"/>
      <c r="CR951" s="410"/>
      <c r="CS951" s="410" t="s">
        <v>1124</v>
      </c>
      <c r="CT951" s="410"/>
      <c r="CU951" s="410" t="s">
        <v>1124</v>
      </c>
      <c r="CV951" s="410" t="str">
        <f>IF(VLOOKUP(BS951,'Données par municipalité'!$B$6:$F$1113,4,FALSE)="","",VLOOKUP(BS951,'Données par municipalité'!$B$6:$F$1113,4,FALSE))</f>
        <v/>
      </c>
      <c r="CW951" s="476" t="s">
        <v>4723</v>
      </c>
      <c r="CX951" s="483" t="s">
        <v>1124</v>
      </c>
      <c r="CY951" s="483" t="s">
        <v>1124</v>
      </c>
      <c r="CZ951" s="483" t="s">
        <v>1124</v>
      </c>
      <c r="DA951" s="483" t="s">
        <v>1124</v>
      </c>
      <c r="DB951" s="483" t="s">
        <v>1124</v>
      </c>
      <c r="DC951" s="483" t="s">
        <v>1124</v>
      </c>
      <c r="DD951" s="483" t="s">
        <v>1124</v>
      </c>
      <c r="DE951" s="483" t="str">
        <f>IFERROR(SUM(VLOOKUP($BS951,'État &amp; Plan d''action'!$B$6:$Z$1113,18,FALSE),VLOOKUP($BS951,'État &amp; Plan d''action'!$B$6:$Z$1113,20,FALSE))/(VLOOKUP($BS951,'Données par municipalité'!$B$4:$L$1113,11,FALSE)),"")</f>
        <v/>
      </c>
      <c r="DF951" s="483" t="str">
        <f>IFERROR(SUM(VLOOKUP($BS951,'État &amp; Plan d''action'!$B$6:$Z$1113,19,FALSE),VLOOKUP($BS951,'État &amp; Plan d''action'!$B$6:$Z$1113,21,FALSE))/(VLOOKUP($BS951,'Données par municipalité'!$B$4:$L$1113,11,FALSE)),"")</f>
        <v/>
      </c>
      <c r="DG951" s="476" t="s">
        <v>4723</v>
      </c>
      <c r="DH951" s="484" t="s">
        <v>1124</v>
      </c>
      <c r="DI951" s="484" t="s">
        <v>1124</v>
      </c>
      <c r="DJ951" s="484">
        <v>0</v>
      </c>
      <c r="DK951" s="484">
        <v>0</v>
      </c>
      <c r="DL951" s="484" t="s">
        <v>1124</v>
      </c>
      <c r="DM951" s="484" t="s">
        <v>1124</v>
      </c>
      <c r="DN951" s="484" t="s">
        <v>1124</v>
      </c>
      <c r="DO951" s="484" t="s">
        <v>1124</v>
      </c>
      <c r="DP951" s="484" t="s">
        <v>1124</v>
      </c>
      <c r="DQ951" s="484" t="str">
        <f>IF(VLOOKUP($BS951,'État &amp; Plan d''action'!$B$6:$AJ$1113,28,FALSE)="","",VLOOKUP($BS951,'État &amp; Plan d''action'!$B$6:$AJ$1113,28,FALSE))</f>
        <v/>
      </c>
      <c r="DR951" s="70" t="str">
        <f>IF(VLOOKUP($BS951,'État &amp; Plan d''action'!$B$6:$AJ$1113,29,FALSE)="","",VLOOKUP($BS951,'État &amp; Plan d''action'!$B$6:$AJ$1113,29,FALSE))</f>
        <v/>
      </c>
      <c r="DS951" s="70" t="str">
        <f>IF(VLOOKUP($BS951,'État &amp; Plan d''action'!$B$6:$AJ$1113,30,FALSE)="","",VLOOKUP($BS951,'État &amp; Plan d''action'!$B$6:$AJ$1113,30,FALSE))</f>
        <v/>
      </c>
      <c r="DT951" s="70" t="s">
        <v>1124</v>
      </c>
      <c r="DU951" s="485" t="s">
        <v>1124</v>
      </c>
      <c r="DV951" s="485" t="s">
        <v>1124</v>
      </c>
      <c r="DW951" s="70" t="s">
        <v>1124</v>
      </c>
      <c r="DX951" s="70" t="s">
        <v>1124</v>
      </c>
      <c r="DY951" s="70" t="s">
        <v>1124</v>
      </c>
      <c r="DZ951" s="70" t="str">
        <f>VLOOKUP($BS951,'État &amp; Plan d''action'!$B$6:$AH$1113,31,FALSE)</f>
        <v/>
      </c>
      <c r="EA951" s="70" t="str">
        <f>VLOOKUP($BS951,'État &amp; Plan d''action'!$B$6:$AH$1113,32,FALSE)</f>
        <v/>
      </c>
      <c r="EB951" s="70" t="str">
        <f>VLOOKUP($BS951,'État &amp; Plan d''action'!$B$6:$AH$1113,33,FALSE)</f>
        <v/>
      </c>
      <c r="EC951" s="70" t="s">
        <v>1124</v>
      </c>
      <c r="ED951" s="70" t="s">
        <v>1124</v>
      </c>
      <c r="EE951" s="70" t="s">
        <v>1124</v>
      </c>
      <c r="EF951" s="70" t="s">
        <v>1124</v>
      </c>
      <c r="EG951" s="70" t="s">
        <v>1124</v>
      </c>
      <c r="EH951" s="72"/>
      <c r="EI951" s="72">
        <v>380</v>
      </c>
    </row>
    <row r="952" spans="71:139" x14ac:dyDescent="0.35">
      <c r="BS952" s="486">
        <v>67010</v>
      </c>
      <c r="BT952" s="479" t="s">
        <v>663</v>
      </c>
      <c r="BU952" s="479">
        <v>16</v>
      </c>
      <c r="BV952" s="476" t="s">
        <v>1187</v>
      </c>
      <c r="BW952" s="476" t="s">
        <v>1187</v>
      </c>
      <c r="BX952" s="476" t="s">
        <v>1187</v>
      </c>
      <c r="BY952" s="476" t="s">
        <v>1187</v>
      </c>
      <c r="BZ952" s="476" t="s">
        <v>1187</v>
      </c>
      <c r="CA952" s="476" t="s">
        <v>1187</v>
      </c>
      <c r="CB952" s="476" t="s">
        <v>1187</v>
      </c>
      <c r="CC952" s="476" t="s">
        <v>1187</v>
      </c>
      <c r="CD952" s="476" t="s">
        <v>1187</v>
      </c>
      <c r="CE952" s="476" t="s">
        <v>1188</v>
      </c>
      <c r="CF952" s="476" t="s">
        <v>1188</v>
      </c>
      <c r="CG952" s="476" t="s">
        <v>1188</v>
      </c>
      <c r="CH952" s="476" t="s">
        <v>1188</v>
      </c>
      <c r="CI952" s="476" t="s">
        <v>1188</v>
      </c>
      <c r="CJ952" s="476" t="s">
        <v>1188</v>
      </c>
      <c r="CK952" s="476" t="s">
        <v>1188</v>
      </c>
      <c r="CL952" s="476" t="s">
        <v>1188</v>
      </c>
      <c r="CM952" s="476" t="str">
        <f>IF(VLOOKUP(BS952,'Données par municipalité'!$B$6:$E$1113,4,FALSE)="","non","oui")</f>
        <v>oui</v>
      </c>
      <c r="CN952" s="410">
        <v>447.17590469124792</v>
      </c>
      <c r="CO952" s="410">
        <v>462.17747954107176</v>
      </c>
      <c r="CP952" s="410">
        <v>450.48190143412779</v>
      </c>
      <c r="CQ952" s="410">
        <v>446.77564188103958</v>
      </c>
      <c r="CR952" s="410">
        <v>481.52476675208982</v>
      </c>
      <c r="CS952" s="410">
        <v>272.25000766597691</v>
      </c>
      <c r="CT952" s="410">
        <v>251.40089138740205</v>
      </c>
      <c r="CU952" s="410">
        <v>234</v>
      </c>
      <c r="CV952" s="410">
        <f>IF(VLOOKUP(BS952,'Données par municipalité'!$B$6:$F$1113,4,FALSE)="","",VLOOKUP(BS952,'Données par municipalité'!$B$6:$F$1113,4,FALSE))</f>
        <v>236</v>
      </c>
      <c r="CW952" s="476" t="s">
        <v>4723</v>
      </c>
      <c r="CX952" s="483">
        <v>1</v>
      </c>
      <c r="CY952" s="483">
        <v>1</v>
      </c>
      <c r="CZ952" s="483">
        <v>1</v>
      </c>
      <c r="DA952" s="483">
        <v>1</v>
      </c>
      <c r="DB952" s="483">
        <v>1</v>
      </c>
      <c r="DC952" s="483">
        <v>1</v>
      </c>
      <c r="DD952" s="483">
        <v>0.98101855167967911</v>
      </c>
      <c r="DE952" s="483">
        <f>IFERROR(SUM(VLOOKUP($BS952,'État &amp; Plan d''action'!$B$6:$Z$1113,18,FALSE),VLOOKUP($BS952,'État &amp; Plan d''action'!$B$6:$Z$1113,20,FALSE))/(VLOOKUP($BS952,'Données par municipalité'!$B$4:$L$1113,11,FALSE)),"")</f>
        <v>0.9828489415141729</v>
      </c>
      <c r="DF952" s="483">
        <f>IFERROR(SUM(VLOOKUP($BS952,'État &amp; Plan d''action'!$B$6:$Z$1113,19,FALSE),VLOOKUP($BS952,'État &amp; Plan d''action'!$B$6:$Z$1113,21,FALSE))/(VLOOKUP($BS952,'Données par municipalité'!$B$4:$L$1113,11,FALSE)),"")</f>
        <v>1.1981341944743449</v>
      </c>
      <c r="DG952" s="476" t="s">
        <v>4723</v>
      </c>
      <c r="DH952" s="484">
        <v>2</v>
      </c>
      <c r="DI952" s="484">
        <v>4</v>
      </c>
      <c r="DJ952" s="484">
        <v>4</v>
      </c>
      <c r="DK952" s="484">
        <v>4</v>
      </c>
      <c r="DL952" s="484">
        <v>3</v>
      </c>
      <c r="DM952" s="484">
        <v>3</v>
      </c>
      <c r="DN952" s="484">
        <v>0</v>
      </c>
      <c r="DO952" s="484">
        <v>1</v>
      </c>
      <c r="DP952" s="484">
        <v>1</v>
      </c>
      <c r="DQ952" s="484">
        <f>IF(VLOOKUP($BS952,'État &amp; Plan d''action'!$B$6:$AJ$1113,28,FALSE)="","",VLOOKUP($BS952,'État &amp; Plan d''action'!$B$6:$AJ$1113,28,FALSE))</f>
        <v>1</v>
      </c>
      <c r="DR952" s="70">
        <f>IF(VLOOKUP($BS952,'État &amp; Plan d''action'!$B$6:$AJ$1113,29,FALSE)="","",VLOOKUP($BS952,'État &amp; Plan d''action'!$B$6:$AJ$1113,29,FALSE))</f>
        <v>1</v>
      </c>
      <c r="DS952" s="70">
        <f>IF(VLOOKUP($BS952,'État &amp; Plan d''action'!$B$6:$AJ$1113,30,FALSE)="","",VLOOKUP($BS952,'État &amp; Plan d''action'!$B$6:$AJ$1113,30,FALSE))</f>
        <v>2</v>
      </c>
      <c r="DT952" s="70">
        <v>210</v>
      </c>
      <c r="DU952" s="485">
        <v>0.89589265159098408</v>
      </c>
      <c r="DV952" s="485">
        <v>0.73505866407783016</v>
      </c>
      <c r="DW952" s="70">
        <v>0</v>
      </c>
      <c r="DX952" s="70">
        <v>7</v>
      </c>
      <c r="DY952" s="70">
        <v>21</v>
      </c>
      <c r="DZ952" s="70">
        <f>VLOOKUP($BS952,'État &amp; Plan d''action'!$B$6:$AH$1113,31,FALSE)</f>
        <v>6</v>
      </c>
      <c r="EA952" s="70">
        <f>VLOOKUP($BS952,'État &amp; Plan d''action'!$B$6:$AH$1113,32,FALSE)</f>
        <v>5</v>
      </c>
      <c r="EB952" s="70">
        <f>VLOOKUP($BS952,'État &amp; Plan d''action'!$B$6:$AH$1113,33,FALSE)</f>
        <v>20</v>
      </c>
      <c r="EC952" s="70">
        <v>0</v>
      </c>
      <c r="ED952" s="70">
        <v>27.391999999999999</v>
      </c>
      <c r="EE952" s="70">
        <v>0</v>
      </c>
      <c r="EF952" s="70">
        <v>0</v>
      </c>
      <c r="EG952" s="70">
        <v>0</v>
      </c>
      <c r="EH952" s="72">
        <v>50</v>
      </c>
      <c r="EI952" s="72">
        <v>6886</v>
      </c>
    </row>
    <row r="953" spans="71:139" x14ac:dyDescent="0.35">
      <c r="BS953" s="486">
        <v>14060</v>
      </c>
      <c r="BT953" s="479" t="s">
        <v>70</v>
      </c>
      <c r="BU953" s="479">
        <v>1</v>
      </c>
      <c r="BV953" s="476" t="s">
        <v>1187</v>
      </c>
      <c r="BW953" s="476" t="s">
        <v>1187</v>
      </c>
      <c r="BX953" s="476" t="s">
        <v>1187</v>
      </c>
      <c r="BY953" s="476" t="s">
        <v>1187</v>
      </c>
      <c r="BZ953" s="476" t="s">
        <v>1187</v>
      </c>
      <c r="CA953" s="476" t="s">
        <v>1187</v>
      </c>
      <c r="CB953" s="476" t="s">
        <v>1187</v>
      </c>
      <c r="CC953" s="476" t="s">
        <v>1187</v>
      </c>
      <c r="CD953" s="476" t="s">
        <v>1187</v>
      </c>
      <c r="CE953" s="476" t="s">
        <v>1188</v>
      </c>
      <c r="CF953" s="476" t="s">
        <v>1188</v>
      </c>
      <c r="CG953" s="476" t="s">
        <v>1188</v>
      </c>
      <c r="CH953" s="476" t="s">
        <v>1188</v>
      </c>
      <c r="CI953" s="476" t="s">
        <v>1188</v>
      </c>
      <c r="CJ953" s="476" t="s">
        <v>1188</v>
      </c>
      <c r="CK953" s="476" t="s">
        <v>1188</v>
      </c>
      <c r="CL953" s="476" t="s">
        <v>1188</v>
      </c>
      <c r="CM953" s="476" t="str">
        <f>IF(VLOOKUP(BS953,'Données par municipalité'!$B$6:$E$1113,4,FALSE)="","non","oui")</f>
        <v>oui</v>
      </c>
      <c r="CN953" s="410">
        <v>313.38373612770903</v>
      </c>
      <c r="CO953" s="410">
        <v>291.58677659540473</v>
      </c>
      <c r="CP953" s="410">
        <v>295.64126773053647</v>
      </c>
      <c r="CQ953" s="410">
        <v>255.65799515470951</v>
      </c>
      <c r="CR953" s="410">
        <v>262.53792405994295</v>
      </c>
      <c r="CS953" s="410">
        <v>256.69983456706905</v>
      </c>
      <c r="CT953" s="410">
        <v>234.98431274688784</v>
      </c>
      <c r="CU953" s="410">
        <v>345</v>
      </c>
      <c r="CV953" s="410">
        <f>IF(VLOOKUP(BS953,'Données par municipalité'!$B$6:$F$1113,4,FALSE)="","",VLOOKUP(BS953,'Données par municipalité'!$B$6:$F$1113,4,FALSE))</f>
        <v>211</v>
      </c>
      <c r="CW953" s="476" t="s">
        <v>4723</v>
      </c>
      <c r="CX953" s="483">
        <v>0</v>
      </c>
      <c r="CY953" s="483">
        <v>0</v>
      </c>
      <c r="CZ953" s="483">
        <v>0</v>
      </c>
      <c r="DA953" s="483">
        <v>0</v>
      </c>
      <c r="DB953" s="483">
        <v>0</v>
      </c>
      <c r="DC953" s="483">
        <v>0</v>
      </c>
      <c r="DD953" s="483">
        <v>0</v>
      </c>
      <c r="DE953" s="483">
        <f>IFERROR(SUM(VLOOKUP($BS953,'État &amp; Plan d''action'!$B$6:$Z$1113,18,FALSE),VLOOKUP($BS953,'État &amp; Plan d''action'!$B$6:$Z$1113,20,FALSE))/(VLOOKUP($BS953,'Données par municipalité'!$B$4:$L$1113,11,FALSE)),"")</f>
        <v>0</v>
      </c>
      <c r="DF953" s="483">
        <f>IFERROR(SUM(VLOOKUP($BS953,'État &amp; Plan d''action'!$B$6:$Z$1113,19,FALSE),VLOOKUP($BS953,'État &amp; Plan d''action'!$B$6:$Z$1113,21,FALSE))/(VLOOKUP($BS953,'Données par municipalité'!$B$4:$L$1113,11,FALSE)),"")</f>
        <v>0</v>
      </c>
      <c r="DG953" s="476" t="s">
        <v>4723</v>
      </c>
      <c r="DH953" s="484">
        <v>0</v>
      </c>
      <c r="DI953" s="484">
        <v>0</v>
      </c>
      <c r="DJ953" s="484">
        <v>0</v>
      </c>
      <c r="DK953" s="484">
        <v>0</v>
      </c>
      <c r="DL953" s="484">
        <v>0</v>
      </c>
      <c r="DM953" s="484">
        <v>0</v>
      </c>
      <c r="DN953" s="484">
        <v>0</v>
      </c>
      <c r="DO953" s="484">
        <v>0</v>
      </c>
      <c r="DP953" s="484">
        <v>0</v>
      </c>
      <c r="DQ953" s="484">
        <f>IF(VLOOKUP($BS953,'État &amp; Plan d''action'!$B$6:$AJ$1113,28,FALSE)="","",VLOOKUP($BS953,'État &amp; Plan d''action'!$B$6:$AJ$1113,28,FALSE))</f>
        <v>0</v>
      </c>
      <c r="DR953" s="70">
        <f>IF(VLOOKUP($BS953,'État &amp; Plan d''action'!$B$6:$AJ$1113,29,FALSE)="","",VLOOKUP($BS953,'État &amp; Plan d''action'!$B$6:$AJ$1113,29,FALSE))</f>
        <v>2</v>
      </c>
      <c r="DS953" s="70">
        <f>IF(VLOOKUP($BS953,'État &amp; Plan d''action'!$B$6:$AJ$1113,30,FALSE)="","",VLOOKUP($BS953,'État &amp; Plan d''action'!$B$6:$AJ$1113,30,FALSE))</f>
        <v>0</v>
      </c>
      <c r="DT953" s="70">
        <v>291</v>
      </c>
      <c r="DU953" s="485">
        <v>0.91985538234142383</v>
      </c>
      <c r="DV953" s="485">
        <v>0.8955134639586646</v>
      </c>
      <c r="DW953" s="70">
        <v>0</v>
      </c>
      <c r="DX953" s="70">
        <v>0</v>
      </c>
      <c r="DY953" s="70">
        <v>0</v>
      </c>
      <c r="DZ953" s="70">
        <f>VLOOKUP($BS953,'État &amp; Plan d''action'!$B$6:$AH$1113,31,FALSE)</f>
        <v>0</v>
      </c>
      <c r="EA953" s="70">
        <f>VLOOKUP($BS953,'État &amp; Plan d''action'!$B$6:$AH$1113,32,FALSE)</f>
        <v>1</v>
      </c>
      <c r="EB953" s="70">
        <f>VLOOKUP($BS953,'État &amp; Plan d''action'!$B$6:$AH$1113,33,FALSE)</f>
        <v>0</v>
      </c>
      <c r="EC953" s="70">
        <v>0</v>
      </c>
      <c r="ED953" s="70">
        <v>0</v>
      </c>
      <c r="EE953" s="70">
        <v>0</v>
      </c>
      <c r="EF953" s="70">
        <v>0</v>
      </c>
      <c r="EG953" s="70">
        <v>0</v>
      </c>
      <c r="EH953" s="72">
        <v>45</v>
      </c>
      <c r="EI953" s="72">
        <v>835</v>
      </c>
    </row>
    <row r="954" spans="71:139" x14ac:dyDescent="0.35">
      <c r="BS954" s="486">
        <v>54008</v>
      </c>
      <c r="BT954" s="479" t="s">
        <v>542</v>
      </c>
      <c r="BU954" s="479">
        <v>16</v>
      </c>
      <c r="BV954" s="476" t="s">
        <v>1187</v>
      </c>
      <c r="BW954" s="476" t="s">
        <v>1187</v>
      </c>
      <c r="BX954" s="476" t="s">
        <v>1187</v>
      </c>
      <c r="BY954" s="476" t="s">
        <v>1187</v>
      </c>
      <c r="BZ954" s="476" t="s">
        <v>1187</v>
      </c>
      <c r="CA954" s="476" t="s">
        <v>1187</v>
      </c>
      <c r="CB954" s="476" t="s">
        <v>1187</v>
      </c>
      <c r="CC954" s="476" t="s">
        <v>1187</v>
      </c>
      <c r="CD954" s="476" t="s">
        <v>1187</v>
      </c>
      <c r="CE954" s="476" t="s">
        <v>1188</v>
      </c>
      <c r="CF954" s="476" t="s">
        <v>1188</v>
      </c>
      <c r="CG954" s="476" t="s">
        <v>1188</v>
      </c>
      <c r="CH954" s="476" t="s">
        <v>1188</v>
      </c>
      <c r="CI954" s="476" t="s">
        <v>1188</v>
      </c>
      <c r="CJ954" s="476" t="s">
        <v>1188</v>
      </c>
      <c r="CK954" s="476" t="s">
        <v>1188</v>
      </c>
      <c r="CL954" s="476" t="s">
        <v>1188</v>
      </c>
      <c r="CM954" s="476" t="str">
        <f>IF(VLOOKUP(BS954,'Données par municipalité'!$B$6:$E$1113,4,FALSE)="","non","oui")</f>
        <v>oui</v>
      </c>
      <c r="CN954" s="410">
        <v>316.82073900573573</v>
      </c>
      <c r="CO954" s="410">
        <v>281.73859180965013</v>
      </c>
      <c r="CP954" s="410">
        <v>293.5073573770573</v>
      </c>
      <c r="CQ954" s="410">
        <v>287.53398215921953</v>
      </c>
      <c r="CR954" s="410">
        <v>295.66286558878795</v>
      </c>
      <c r="CS954" s="410">
        <v>314.49693808519373</v>
      </c>
      <c r="CT954" s="410">
        <v>285.19560927874642</v>
      </c>
      <c r="CU954" s="410">
        <v>277</v>
      </c>
      <c r="CV954" s="410">
        <f>IF(VLOOKUP(BS954,'Données par municipalité'!$B$6:$F$1113,4,FALSE)="","",VLOOKUP(BS954,'Données par municipalité'!$B$6:$F$1113,4,FALSE))</f>
        <v>301</v>
      </c>
      <c r="CW954" s="476" t="s">
        <v>4723</v>
      </c>
      <c r="CX954" s="483">
        <v>0</v>
      </c>
      <c r="CY954" s="483">
        <v>0</v>
      </c>
      <c r="CZ954" s="483">
        <v>0</v>
      </c>
      <c r="DA954" s="483">
        <v>0</v>
      </c>
      <c r="DB954" s="483">
        <v>0</v>
      </c>
      <c r="DC954" s="483">
        <v>0</v>
      </c>
      <c r="DD954" s="483">
        <v>0</v>
      </c>
      <c r="DE954" s="483">
        <f>IFERROR(SUM(VLOOKUP($BS954,'État &amp; Plan d''action'!$B$6:$Z$1113,18,FALSE),VLOOKUP($BS954,'État &amp; Plan d''action'!$B$6:$Z$1113,20,FALSE))/(VLOOKUP($BS954,'Données par municipalité'!$B$4:$L$1113,11,FALSE)),"")</f>
        <v>0</v>
      </c>
      <c r="DF954" s="483">
        <f>IFERROR(SUM(VLOOKUP($BS954,'État &amp; Plan d''action'!$B$6:$Z$1113,19,FALSE),VLOOKUP($BS954,'État &amp; Plan d''action'!$B$6:$Z$1113,21,FALSE))/(VLOOKUP($BS954,'Données par municipalité'!$B$4:$L$1113,11,FALSE)),"")</f>
        <v>0</v>
      </c>
      <c r="DG954" s="476" t="s">
        <v>4723</v>
      </c>
      <c r="DH954" s="484">
        <v>4</v>
      </c>
      <c r="DI954" s="484">
        <v>10</v>
      </c>
      <c r="DJ954" s="484">
        <v>3</v>
      </c>
      <c r="DK954" s="484">
        <v>5</v>
      </c>
      <c r="DL954" s="484">
        <v>3</v>
      </c>
      <c r="DM954" s="484">
        <v>8</v>
      </c>
      <c r="DN954" s="484">
        <v>3</v>
      </c>
      <c r="DO954" s="484">
        <v>0</v>
      </c>
      <c r="DP954" s="484">
        <v>2</v>
      </c>
      <c r="DQ954" s="484">
        <f>IF(VLOOKUP($BS954,'État &amp; Plan d''action'!$B$6:$AJ$1113,28,FALSE)="","",VLOOKUP($BS954,'État &amp; Plan d''action'!$B$6:$AJ$1113,28,FALSE))</f>
        <v>4</v>
      </c>
      <c r="DR954" s="70">
        <f>IF(VLOOKUP($BS954,'État &amp; Plan d''action'!$B$6:$AJ$1113,29,FALSE)="","",VLOOKUP($BS954,'État &amp; Plan d''action'!$B$6:$AJ$1113,29,FALSE))</f>
        <v>0</v>
      </c>
      <c r="DS954" s="70">
        <f>IF(VLOOKUP($BS954,'État &amp; Plan d''action'!$B$6:$AJ$1113,30,FALSE)="","",VLOOKUP($BS954,'État &amp; Plan d''action'!$B$6:$AJ$1113,30,FALSE))</f>
        <v>1</v>
      </c>
      <c r="DT954" s="70">
        <v>223</v>
      </c>
      <c r="DU954" s="485">
        <v>2.1339032995986957</v>
      </c>
      <c r="DV954" s="485">
        <v>1.7773639043916973</v>
      </c>
      <c r="DW954" s="70">
        <v>1</v>
      </c>
      <c r="DX954" s="70">
        <v>0</v>
      </c>
      <c r="DY954" s="70">
        <v>14</v>
      </c>
      <c r="DZ954" s="70">
        <f>VLOOKUP($BS954,'État &amp; Plan d''action'!$B$6:$AH$1113,31,FALSE)</f>
        <v>1</v>
      </c>
      <c r="EA954" s="70">
        <f>VLOOKUP($BS954,'État &amp; Plan d''action'!$B$6:$AH$1113,32,FALSE)</f>
        <v>0</v>
      </c>
      <c r="EB954" s="70">
        <f>VLOOKUP($BS954,'État &amp; Plan d''action'!$B$6:$AH$1113,33,FALSE)</f>
        <v>1</v>
      </c>
      <c r="EC954" s="70">
        <v>13</v>
      </c>
      <c r="ED954" s="70">
        <v>0</v>
      </c>
      <c r="EE954" s="70">
        <v>0</v>
      </c>
      <c r="EF954" s="70">
        <v>0</v>
      </c>
      <c r="EG954" s="70">
        <v>0</v>
      </c>
      <c r="EH954" s="72">
        <v>61.5</v>
      </c>
      <c r="EI954" s="72">
        <v>5715</v>
      </c>
    </row>
    <row r="955" spans="71:139" x14ac:dyDescent="0.35">
      <c r="BS955" s="486">
        <v>49130</v>
      </c>
      <c r="BT955" s="479" t="s">
        <v>481</v>
      </c>
      <c r="BU955" s="479">
        <v>17</v>
      </c>
      <c r="BV955" s="476" t="s">
        <v>1187</v>
      </c>
      <c r="BW955" s="476" t="s">
        <v>1187</v>
      </c>
      <c r="BX955" s="476" t="s">
        <v>1187</v>
      </c>
      <c r="BY955" s="476" t="s">
        <v>1187</v>
      </c>
      <c r="BZ955" s="476" t="s">
        <v>1187</v>
      </c>
      <c r="CA955" s="476" t="s">
        <v>1187</v>
      </c>
      <c r="CB955" s="476" t="s">
        <v>1187</v>
      </c>
      <c r="CC955" s="476" t="s">
        <v>1187</v>
      </c>
      <c r="CD955" s="476" t="s">
        <v>1187</v>
      </c>
      <c r="CE955" s="476" t="s">
        <v>1188</v>
      </c>
      <c r="CF955" s="476" t="s">
        <v>1188</v>
      </c>
      <c r="CG955" s="476" t="s">
        <v>1188</v>
      </c>
      <c r="CH955" s="476" t="s">
        <v>1188</v>
      </c>
      <c r="CI955" s="476" t="s">
        <v>1188</v>
      </c>
      <c r="CJ955" s="476" t="s">
        <v>1188</v>
      </c>
      <c r="CK955" s="476" t="s">
        <v>1188</v>
      </c>
      <c r="CL955" s="476" t="s">
        <v>1188</v>
      </c>
      <c r="CM955" s="476" t="str">
        <f>IF(VLOOKUP(BS955,'Données par municipalité'!$B$6:$E$1113,4,FALSE)="","non","oui")</f>
        <v>oui</v>
      </c>
      <c r="CN955" s="410">
        <v>310.0602308650254</v>
      </c>
      <c r="CO955" s="410">
        <v>298.18181818181819</v>
      </c>
      <c r="CP955" s="410">
        <v>314.2665453781583</v>
      </c>
      <c r="CQ955" s="410">
        <v>296.29704182783121</v>
      </c>
      <c r="CR955" s="410">
        <v>293.7483053694225</v>
      </c>
      <c r="CS955" s="410">
        <v>280.95386549634429</v>
      </c>
      <c r="CT955" s="410">
        <v>215.92676573655908</v>
      </c>
      <c r="CU955" s="410">
        <v>319</v>
      </c>
      <c r="CV955" s="410">
        <f>IF(VLOOKUP(BS955,'Données par municipalité'!$B$6:$F$1113,4,FALSE)="","",VLOOKUP(BS955,'Données par municipalité'!$B$6:$F$1113,4,FALSE))</f>
        <v>335</v>
      </c>
      <c r="CW955" s="476" t="s">
        <v>4723</v>
      </c>
      <c r="CX955" s="483">
        <v>0</v>
      </c>
      <c r="CY955" s="483">
        <v>0</v>
      </c>
      <c r="CZ955" s="483">
        <v>0</v>
      </c>
      <c r="DA955" s="483">
        <v>0</v>
      </c>
      <c r="DB955" s="483">
        <v>0.06</v>
      </c>
      <c r="DC955" s="483">
        <v>0</v>
      </c>
      <c r="DD955" s="483">
        <v>0</v>
      </c>
      <c r="DE955" s="483">
        <f>IFERROR(SUM(VLOOKUP($BS955,'État &amp; Plan d''action'!$B$6:$Z$1113,18,FALSE),VLOOKUP($BS955,'État &amp; Plan d''action'!$B$6:$Z$1113,20,FALSE))/(VLOOKUP($BS955,'Données par municipalité'!$B$4:$L$1113,11,FALSE)),"")</f>
        <v>0</v>
      </c>
      <c r="DF955" s="483">
        <f>IFERROR(SUM(VLOOKUP($BS955,'État &amp; Plan d''action'!$B$6:$Z$1113,19,FALSE),VLOOKUP($BS955,'État &amp; Plan d''action'!$B$6:$Z$1113,21,FALSE))/(VLOOKUP($BS955,'Données par municipalité'!$B$4:$L$1113,11,FALSE)),"")</f>
        <v>0</v>
      </c>
      <c r="DG955" s="476" t="s">
        <v>4723</v>
      </c>
      <c r="DH955" s="484">
        <v>0</v>
      </c>
      <c r="DI955" s="484">
        <v>0</v>
      </c>
      <c r="DJ955" s="484">
        <v>0</v>
      </c>
      <c r="DK955" s="484">
        <v>0</v>
      </c>
      <c r="DL955" s="484">
        <v>0</v>
      </c>
      <c r="DM955" s="484">
        <v>0</v>
      </c>
      <c r="DN955" s="484">
        <v>0</v>
      </c>
      <c r="DO955" s="484">
        <v>0</v>
      </c>
      <c r="DP955" s="484">
        <v>0</v>
      </c>
      <c r="DQ955" s="484">
        <f>IF(VLOOKUP($BS955,'État &amp; Plan d''action'!$B$6:$AJ$1113,28,FALSE)="","",VLOOKUP($BS955,'État &amp; Plan d''action'!$B$6:$AJ$1113,28,FALSE))</f>
        <v>0</v>
      </c>
      <c r="DR955" s="70">
        <f>IF(VLOOKUP($BS955,'État &amp; Plan d''action'!$B$6:$AJ$1113,29,FALSE)="","",VLOOKUP($BS955,'État &amp; Plan d''action'!$B$6:$AJ$1113,29,FALSE))</f>
        <v>0</v>
      </c>
      <c r="DS955" s="70">
        <f>IF(VLOOKUP($BS955,'État &amp; Plan d''action'!$B$6:$AJ$1113,30,FALSE)="","",VLOOKUP($BS955,'État &amp; Plan d''action'!$B$6:$AJ$1113,30,FALSE))</f>
        <v>0</v>
      </c>
      <c r="DT955" s="70">
        <v>189</v>
      </c>
      <c r="DU955" s="485">
        <v>0.77756378093994993</v>
      </c>
      <c r="DV955" s="485">
        <v>0.64493138945290018</v>
      </c>
      <c r="DW955" s="70">
        <v>0</v>
      </c>
      <c r="DX955" s="70">
        <v>0</v>
      </c>
      <c r="DY955" s="70">
        <v>0</v>
      </c>
      <c r="DZ955" s="70">
        <f>VLOOKUP($BS955,'État &amp; Plan d''action'!$B$6:$AH$1113,31,FALSE)</f>
        <v>0</v>
      </c>
      <c r="EA955" s="70">
        <f>VLOOKUP($BS955,'État &amp; Plan d''action'!$B$6:$AH$1113,32,FALSE)</f>
        <v>0</v>
      </c>
      <c r="EB955" s="70">
        <f>VLOOKUP($BS955,'État &amp; Plan d''action'!$B$6:$AH$1113,33,FALSE)</f>
        <v>0</v>
      </c>
      <c r="EC955" s="70">
        <v>7.6950000000000003</v>
      </c>
      <c r="ED955" s="70">
        <v>0</v>
      </c>
      <c r="EE955" s="70">
        <v>0</v>
      </c>
      <c r="EF955" s="70">
        <v>0</v>
      </c>
      <c r="EG955" s="70">
        <v>0</v>
      </c>
      <c r="EH955" s="72">
        <v>62</v>
      </c>
      <c r="EI955" s="72">
        <v>465</v>
      </c>
    </row>
    <row r="956" spans="71:139" x14ac:dyDescent="0.35">
      <c r="BS956" s="486">
        <v>61020</v>
      </c>
      <c r="BT956" s="479" t="s">
        <v>611</v>
      </c>
      <c r="BU956" s="479">
        <v>14</v>
      </c>
      <c r="BV956" s="476" t="s">
        <v>1188</v>
      </c>
      <c r="BW956" s="476" t="s">
        <v>1188</v>
      </c>
      <c r="BX956" s="476" t="s">
        <v>1188</v>
      </c>
      <c r="BY956" s="476" t="s">
        <v>1188</v>
      </c>
      <c r="BZ956" s="476" t="s">
        <v>1188</v>
      </c>
      <c r="CA956" s="476" t="s">
        <v>1188</v>
      </c>
      <c r="CB956" s="476" t="s">
        <v>1188</v>
      </c>
      <c r="CC956" s="476" t="s">
        <v>1188</v>
      </c>
      <c r="CD956" s="476" t="s">
        <v>1188</v>
      </c>
      <c r="CE956" s="476" t="s">
        <v>1187</v>
      </c>
      <c r="CF956" s="476" t="s">
        <v>1187</v>
      </c>
      <c r="CG956" s="476" t="s">
        <v>1187</v>
      </c>
      <c r="CH956" s="476" t="s">
        <v>1187</v>
      </c>
      <c r="CI956" s="476" t="s">
        <v>1187</v>
      </c>
      <c r="CJ956" s="476" t="s">
        <v>1187</v>
      </c>
      <c r="CK956" s="476" t="s">
        <v>1187</v>
      </c>
      <c r="CL956" s="476" t="s">
        <v>1187</v>
      </c>
      <c r="CM956" s="476" t="str">
        <f>IF(VLOOKUP(BS956,'Données par municipalité'!$B$6:$E$1113,4,FALSE)="","non","oui")</f>
        <v>non</v>
      </c>
      <c r="CN956" s="410" t="s">
        <v>1124</v>
      </c>
      <c r="CO956" s="410" t="s">
        <v>1124</v>
      </c>
      <c r="CP956" s="410"/>
      <c r="CQ956" s="410"/>
      <c r="CR956" s="410"/>
      <c r="CS956" s="410" t="s">
        <v>1124</v>
      </c>
      <c r="CT956" s="410"/>
      <c r="CU956" s="410" t="s">
        <v>1124</v>
      </c>
      <c r="CV956" s="410" t="str">
        <f>IF(VLOOKUP(BS956,'Données par municipalité'!$B$6:$F$1113,4,FALSE)="","",VLOOKUP(BS956,'Données par municipalité'!$B$6:$F$1113,4,FALSE))</f>
        <v/>
      </c>
      <c r="CW956" s="476" t="s">
        <v>4723</v>
      </c>
      <c r="CX956" s="483" t="s">
        <v>1124</v>
      </c>
      <c r="CY956" s="483" t="s">
        <v>1124</v>
      </c>
      <c r="CZ956" s="483" t="s">
        <v>1124</v>
      </c>
      <c r="DA956" s="483" t="s">
        <v>1124</v>
      </c>
      <c r="DB956" s="483" t="s">
        <v>1124</v>
      </c>
      <c r="DC956" s="483" t="s">
        <v>1124</v>
      </c>
      <c r="DD956" s="483" t="s">
        <v>1124</v>
      </c>
      <c r="DE956" s="483" t="str">
        <f>IFERROR(SUM(VLOOKUP($BS956,'État &amp; Plan d''action'!$B$6:$Z$1113,18,FALSE),VLOOKUP($BS956,'État &amp; Plan d''action'!$B$6:$Z$1113,20,FALSE))/(VLOOKUP($BS956,'Données par municipalité'!$B$4:$L$1113,11,FALSE)),"")</f>
        <v/>
      </c>
      <c r="DF956" s="483" t="str">
        <f>IFERROR(SUM(VLOOKUP($BS956,'État &amp; Plan d''action'!$B$6:$Z$1113,19,FALSE),VLOOKUP($BS956,'État &amp; Plan d''action'!$B$6:$Z$1113,21,FALSE))/(VLOOKUP($BS956,'Données par municipalité'!$B$4:$L$1113,11,FALSE)),"")</f>
        <v/>
      </c>
      <c r="DG956" s="476" t="s">
        <v>4723</v>
      </c>
      <c r="DH956" s="484" t="s">
        <v>1124</v>
      </c>
      <c r="DI956" s="484" t="s">
        <v>1124</v>
      </c>
      <c r="DJ956" s="484">
        <v>0</v>
      </c>
      <c r="DK956" s="484">
        <v>0</v>
      </c>
      <c r="DL956" s="484" t="s">
        <v>1124</v>
      </c>
      <c r="DM956" s="484" t="s">
        <v>1124</v>
      </c>
      <c r="DN956" s="484" t="s">
        <v>1124</v>
      </c>
      <c r="DO956" s="484" t="s">
        <v>1124</v>
      </c>
      <c r="DP956" s="484" t="s">
        <v>1124</v>
      </c>
      <c r="DQ956" s="484" t="str">
        <f>IF(VLOOKUP($BS956,'État &amp; Plan d''action'!$B$6:$AJ$1113,28,FALSE)="","",VLOOKUP($BS956,'État &amp; Plan d''action'!$B$6:$AJ$1113,28,FALSE))</f>
        <v/>
      </c>
      <c r="DR956" s="70" t="str">
        <f>IF(VLOOKUP($BS956,'État &amp; Plan d''action'!$B$6:$AJ$1113,29,FALSE)="","",VLOOKUP($BS956,'État &amp; Plan d''action'!$B$6:$AJ$1113,29,FALSE))</f>
        <v/>
      </c>
      <c r="DS956" s="70" t="str">
        <f>IF(VLOOKUP($BS956,'État &amp; Plan d''action'!$B$6:$AJ$1113,30,FALSE)="","",VLOOKUP($BS956,'État &amp; Plan d''action'!$B$6:$AJ$1113,30,FALSE))</f>
        <v/>
      </c>
      <c r="DT956" s="70" t="s">
        <v>1124</v>
      </c>
      <c r="DU956" s="485" t="s">
        <v>1124</v>
      </c>
      <c r="DV956" s="485" t="s">
        <v>1124</v>
      </c>
      <c r="DW956" s="70" t="s">
        <v>1124</v>
      </c>
      <c r="DX956" s="70" t="s">
        <v>1124</v>
      </c>
      <c r="DY956" s="70" t="s">
        <v>1124</v>
      </c>
      <c r="DZ956" s="70" t="str">
        <f>VLOOKUP($BS956,'État &amp; Plan d''action'!$B$6:$AH$1113,31,FALSE)</f>
        <v/>
      </c>
      <c r="EA956" s="70" t="str">
        <f>VLOOKUP($BS956,'État &amp; Plan d''action'!$B$6:$AH$1113,32,FALSE)</f>
        <v/>
      </c>
      <c r="EB956" s="70" t="str">
        <f>VLOOKUP($BS956,'État &amp; Plan d''action'!$B$6:$AH$1113,33,FALSE)</f>
        <v/>
      </c>
      <c r="EC956" s="70" t="s">
        <v>1124</v>
      </c>
      <c r="ED956" s="70" t="s">
        <v>1124</v>
      </c>
      <c r="EE956" s="70" t="s">
        <v>1124</v>
      </c>
      <c r="EF956" s="70" t="s">
        <v>1124</v>
      </c>
      <c r="EG956" s="70" t="s">
        <v>1124</v>
      </c>
      <c r="EH956" s="72"/>
      <c r="EI956" s="72">
        <v>299</v>
      </c>
    </row>
    <row r="957" spans="71:139" x14ac:dyDescent="0.35">
      <c r="BS957" s="486">
        <v>32050</v>
      </c>
      <c r="BT957" s="479" t="s">
        <v>261</v>
      </c>
      <c r="BU957" s="479">
        <v>17</v>
      </c>
      <c r="BV957" s="476" t="s">
        <v>1187</v>
      </c>
      <c r="BW957" s="476" t="s">
        <v>1187</v>
      </c>
      <c r="BX957" s="476" t="s">
        <v>1187</v>
      </c>
      <c r="BY957" s="476" t="s">
        <v>1187</v>
      </c>
      <c r="BZ957" s="476" t="s">
        <v>1187</v>
      </c>
      <c r="CA957" s="476" t="s">
        <v>1187</v>
      </c>
      <c r="CB957" s="476" t="s">
        <v>1187</v>
      </c>
      <c r="CC957" s="476" t="s">
        <v>1187</v>
      </c>
      <c r="CD957" s="476" t="s">
        <v>1187</v>
      </c>
      <c r="CE957" s="476" t="s">
        <v>1188</v>
      </c>
      <c r="CF957" s="476" t="s">
        <v>1188</v>
      </c>
      <c r="CG957" s="476" t="s">
        <v>1188</v>
      </c>
      <c r="CH957" s="476" t="s">
        <v>1187</v>
      </c>
      <c r="CI957" s="476" t="s">
        <v>1188</v>
      </c>
      <c r="CJ957" s="476" t="s">
        <v>1188</v>
      </c>
      <c r="CK957" s="476" t="s">
        <v>1188</v>
      </c>
      <c r="CL957" s="476" t="s">
        <v>1187</v>
      </c>
      <c r="CM957" s="476" t="str">
        <f>IF(VLOOKUP(BS957,'Données par municipalité'!$B$6:$E$1113,4,FALSE)="","non","oui")</f>
        <v>oui</v>
      </c>
      <c r="CN957" s="410">
        <v>333.01418962046449</v>
      </c>
      <c r="CO957" s="410">
        <v>323.85647139745498</v>
      </c>
      <c r="CP957" s="410">
        <v>331.94271481942718</v>
      </c>
      <c r="CQ957" s="410"/>
      <c r="CR957" s="410">
        <v>288.36047212888775</v>
      </c>
      <c r="CS957" s="410">
        <v>293.85747030268169</v>
      </c>
      <c r="CT957" s="410">
        <v>426.48597704162927</v>
      </c>
      <c r="CU957" s="410" t="s">
        <v>1124</v>
      </c>
      <c r="CV957" s="410">
        <f>IF(VLOOKUP(BS957,'Données par municipalité'!$B$6:$F$1113,4,FALSE)="","",VLOOKUP(BS957,'Données par municipalité'!$B$6:$F$1113,4,FALSE))</f>
        <v>166</v>
      </c>
      <c r="CW957" s="476" t="s">
        <v>4723</v>
      </c>
      <c r="CX957" s="483">
        <v>0.5</v>
      </c>
      <c r="CY957" s="483">
        <v>0.25</v>
      </c>
      <c r="CZ957" s="483" t="s">
        <v>1124</v>
      </c>
      <c r="DA957" s="483">
        <v>0</v>
      </c>
      <c r="DB957" s="483">
        <v>0</v>
      </c>
      <c r="DC957" s="483">
        <v>0</v>
      </c>
      <c r="DD957" s="483" t="s">
        <v>1124</v>
      </c>
      <c r="DE957" s="483">
        <f>IFERROR(SUM(VLOOKUP($BS957,'État &amp; Plan d''action'!$B$6:$Z$1113,18,FALSE),VLOOKUP($BS957,'État &amp; Plan d''action'!$B$6:$Z$1113,20,FALSE))/(VLOOKUP($BS957,'Données par municipalité'!$B$4:$L$1113,11,FALSE)),"")</f>
        <v>0</v>
      </c>
      <c r="DF957" s="483">
        <f>IFERROR(SUM(VLOOKUP($BS957,'État &amp; Plan d''action'!$B$6:$Z$1113,19,FALSE),VLOOKUP($BS957,'État &amp; Plan d''action'!$B$6:$Z$1113,21,FALSE))/(VLOOKUP($BS957,'Données par municipalité'!$B$4:$L$1113,11,FALSE)),"")</f>
        <v>0</v>
      </c>
      <c r="DG957" s="476" t="s">
        <v>4723</v>
      </c>
      <c r="DH957" s="484">
        <v>3</v>
      </c>
      <c r="DI957" s="484">
        <v>2</v>
      </c>
      <c r="DJ957" s="484">
        <v>0</v>
      </c>
      <c r="DK957" s="484">
        <v>3</v>
      </c>
      <c r="DL957" s="484">
        <v>2</v>
      </c>
      <c r="DM957" s="484">
        <v>5</v>
      </c>
      <c r="DN957" s="484" t="s">
        <v>1124</v>
      </c>
      <c r="DO957" s="484" t="s">
        <v>1124</v>
      </c>
      <c r="DP957" s="484" t="s">
        <v>1124</v>
      </c>
      <c r="DQ957" s="484">
        <f>IF(VLOOKUP($BS957,'État &amp; Plan d''action'!$B$6:$AJ$1113,28,FALSE)="","",VLOOKUP($BS957,'État &amp; Plan d''action'!$B$6:$AJ$1113,28,FALSE))</f>
        <v>0</v>
      </c>
      <c r="DR957" s="70">
        <f>IF(VLOOKUP($BS957,'État &amp; Plan d''action'!$B$6:$AJ$1113,29,FALSE)="","",VLOOKUP($BS957,'État &amp; Plan d''action'!$B$6:$AJ$1113,29,FALSE))</f>
        <v>3</v>
      </c>
      <c r="DS957" s="70">
        <f>IF(VLOOKUP($BS957,'État &amp; Plan d''action'!$B$6:$AJ$1113,30,FALSE)="","",VLOOKUP($BS957,'État &amp; Plan d''action'!$B$6:$AJ$1113,30,FALSE))</f>
        <v>0</v>
      </c>
      <c r="DT957" s="70" t="s">
        <v>1124</v>
      </c>
      <c r="DU957" s="485" t="s">
        <v>1124</v>
      </c>
      <c r="DV957" s="485">
        <v>0.64537176836264476</v>
      </c>
      <c r="DW957" s="70" t="s">
        <v>1124</v>
      </c>
      <c r="DX957" s="70" t="s">
        <v>1124</v>
      </c>
      <c r="DY957" s="70" t="s">
        <v>1124</v>
      </c>
      <c r="DZ957" s="70">
        <f>VLOOKUP($BS957,'État &amp; Plan d''action'!$B$6:$AH$1113,31,FALSE)</f>
        <v>0</v>
      </c>
      <c r="EA957" s="70">
        <f>VLOOKUP($BS957,'État &amp; Plan d''action'!$B$6:$AH$1113,32,FALSE)</f>
        <v>1</v>
      </c>
      <c r="EB957" s="70">
        <f>VLOOKUP($BS957,'État &amp; Plan d''action'!$B$6:$AH$1113,33,FALSE)</f>
        <v>0</v>
      </c>
      <c r="EC957" s="70" t="s">
        <v>1124</v>
      </c>
      <c r="ED957" s="70" t="s">
        <v>1124</v>
      </c>
      <c r="EE957" s="70" t="s">
        <v>1124</v>
      </c>
      <c r="EF957" s="70" t="s">
        <v>1124</v>
      </c>
      <c r="EG957" s="70" t="s">
        <v>1124</v>
      </c>
      <c r="EH957" s="72"/>
      <c r="EI957" s="72">
        <v>514</v>
      </c>
    </row>
    <row r="958" spans="71:139" x14ac:dyDescent="0.35">
      <c r="BS958" s="486">
        <v>31135</v>
      </c>
      <c r="BT958" s="479" t="s">
        <v>254</v>
      </c>
      <c r="BU958" s="479">
        <v>12</v>
      </c>
      <c r="BV958" s="476" t="s">
        <v>1187</v>
      </c>
      <c r="BW958" s="476" t="s">
        <v>1187</v>
      </c>
      <c r="BX958" s="476" t="s">
        <v>1187</v>
      </c>
      <c r="BY958" s="476" t="s">
        <v>1187</v>
      </c>
      <c r="BZ958" s="476" t="s">
        <v>1187</v>
      </c>
      <c r="CA958" s="476" t="s">
        <v>1187</v>
      </c>
      <c r="CB958" s="476" t="s">
        <v>1187</v>
      </c>
      <c r="CC958" s="476" t="s">
        <v>1187</v>
      </c>
      <c r="CD958" s="476" t="s">
        <v>1187</v>
      </c>
      <c r="CE958" s="476" t="s">
        <v>1188</v>
      </c>
      <c r="CF958" s="476" t="s">
        <v>1188</v>
      </c>
      <c r="CG958" s="476" t="s">
        <v>1188</v>
      </c>
      <c r="CH958" s="476" t="s">
        <v>1188</v>
      </c>
      <c r="CI958" s="476" t="s">
        <v>1188</v>
      </c>
      <c r="CJ958" s="476" t="s">
        <v>1188</v>
      </c>
      <c r="CK958" s="476" t="s">
        <v>1188</v>
      </c>
      <c r="CL958" s="476" t="s">
        <v>1188</v>
      </c>
      <c r="CM958" s="476" t="str">
        <f>IF(VLOOKUP(BS958,'Données par municipalité'!$B$6:$E$1113,4,FALSE)="","non","oui")</f>
        <v>oui</v>
      </c>
      <c r="CN958" s="410">
        <v>197.37299040607235</v>
      </c>
      <c r="CO958" s="410">
        <v>210.47412980903559</v>
      </c>
      <c r="CP958" s="410">
        <v>266.27065813773834</v>
      </c>
      <c r="CQ958" s="410">
        <v>246.03532049276899</v>
      </c>
      <c r="CR958" s="410">
        <v>263.24361790977514</v>
      </c>
      <c r="CS958" s="410">
        <v>309.75706828065273</v>
      </c>
      <c r="CT958" s="410">
        <v>266.99094524193305</v>
      </c>
      <c r="CU958" s="410">
        <v>314</v>
      </c>
      <c r="CV958" s="410">
        <f>IF(VLOOKUP(BS958,'Données par municipalité'!$B$6:$F$1113,4,FALSE)="","",VLOOKUP(BS958,'Données par municipalité'!$B$6:$F$1113,4,FALSE))</f>
        <v>420</v>
      </c>
      <c r="CW958" s="476" t="s">
        <v>4723</v>
      </c>
      <c r="CX958" s="483">
        <v>0</v>
      </c>
      <c r="CY958" s="483">
        <v>0</v>
      </c>
      <c r="CZ958" s="483">
        <v>0</v>
      </c>
      <c r="DA958" s="483">
        <v>0</v>
      </c>
      <c r="DB958" s="483">
        <v>0</v>
      </c>
      <c r="DC958" s="483">
        <v>0</v>
      </c>
      <c r="DD958" s="483">
        <v>0</v>
      </c>
      <c r="DE958" s="483">
        <f>IFERROR(SUM(VLOOKUP($BS958,'État &amp; Plan d''action'!$B$6:$Z$1113,18,FALSE),VLOOKUP($BS958,'État &amp; Plan d''action'!$B$6:$Z$1113,20,FALSE))/(VLOOKUP($BS958,'Données par municipalité'!$B$4:$L$1113,11,FALSE)),"")</f>
        <v>0</v>
      </c>
      <c r="DF958" s="483">
        <f>IFERROR(SUM(VLOOKUP($BS958,'État &amp; Plan d''action'!$B$6:$Z$1113,19,FALSE),VLOOKUP($BS958,'État &amp; Plan d''action'!$B$6:$Z$1113,21,FALSE))/(VLOOKUP($BS958,'Données par municipalité'!$B$4:$L$1113,11,FALSE)),"")</f>
        <v>0</v>
      </c>
      <c r="DG958" s="476" t="s">
        <v>4723</v>
      </c>
      <c r="DH958" s="484">
        <v>0</v>
      </c>
      <c r="DI958" s="484">
        <v>3</v>
      </c>
      <c r="DJ958" s="484">
        <v>1</v>
      </c>
      <c r="DK958" s="484">
        <v>0</v>
      </c>
      <c r="DL958" s="484">
        <v>0</v>
      </c>
      <c r="DM958" s="484">
        <v>0</v>
      </c>
      <c r="DN958" s="484">
        <v>0</v>
      </c>
      <c r="DO958" s="484">
        <v>0</v>
      </c>
      <c r="DP958" s="484">
        <v>0</v>
      </c>
      <c r="DQ958" s="484">
        <f>IF(VLOOKUP($BS958,'État &amp; Plan d''action'!$B$6:$AJ$1113,28,FALSE)="","",VLOOKUP($BS958,'État &amp; Plan d''action'!$B$6:$AJ$1113,28,FALSE))</f>
        <v>0</v>
      </c>
      <c r="DR958" s="70">
        <f>IF(VLOOKUP($BS958,'État &amp; Plan d''action'!$B$6:$AJ$1113,29,FALSE)="","",VLOOKUP($BS958,'État &amp; Plan d''action'!$B$6:$AJ$1113,29,FALSE))</f>
        <v>0</v>
      </c>
      <c r="DS958" s="70">
        <f>IF(VLOOKUP($BS958,'État &amp; Plan d''action'!$B$6:$AJ$1113,30,FALSE)="","",VLOOKUP($BS958,'État &amp; Plan d''action'!$B$6:$AJ$1113,30,FALSE))</f>
        <v>0</v>
      </c>
      <c r="DT958" s="70">
        <v>240</v>
      </c>
      <c r="DU958" s="485">
        <v>1.5969409200611251</v>
      </c>
      <c r="DV958" s="485">
        <v>1.4</v>
      </c>
      <c r="DW958" s="70">
        <v>0</v>
      </c>
      <c r="DX958" s="70">
        <v>0</v>
      </c>
      <c r="DY958" s="70">
        <v>0</v>
      </c>
      <c r="DZ958" s="70">
        <f>VLOOKUP($BS958,'État &amp; Plan d''action'!$B$6:$AH$1113,31,FALSE)</f>
        <v>0</v>
      </c>
      <c r="EA958" s="70">
        <f>VLOOKUP($BS958,'État &amp; Plan d''action'!$B$6:$AH$1113,32,FALSE)</f>
        <v>0</v>
      </c>
      <c r="EB958" s="70">
        <f>VLOOKUP($BS958,'État &amp; Plan d''action'!$B$6:$AH$1113,33,FALSE)</f>
        <v>0</v>
      </c>
      <c r="EC958" s="70">
        <v>0</v>
      </c>
      <c r="ED958" s="70">
        <v>0</v>
      </c>
      <c r="EE958" s="70">
        <v>0</v>
      </c>
      <c r="EF958" s="70">
        <v>0</v>
      </c>
      <c r="EG958" s="70">
        <v>0</v>
      </c>
      <c r="EH958" s="72">
        <v>59</v>
      </c>
      <c r="EI958" s="72">
        <v>897</v>
      </c>
    </row>
    <row r="959" spans="71:139" x14ac:dyDescent="0.35">
      <c r="BS959" s="486">
        <v>13075</v>
      </c>
      <c r="BT959" s="479" t="s">
        <v>54</v>
      </c>
      <c r="BU959" s="479">
        <v>1</v>
      </c>
      <c r="BV959" s="476" t="s">
        <v>1188</v>
      </c>
      <c r="BW959" s="476" t="s">
        <v>1188</v>
      </c>
      <c r="BX959" s="476" t="s">
        <v>1188</v>
      </c>
      <c r="BY959" s="476" t="s">
        <v>1188</v>
      </c>
      <c r="BZ959" s="476" t="s">
        <v>1188</v>
      </c>
      <c r="CA959" s="476" t="s">
        <v>1188</v>
      </c>
      <c r="CB959" s="476" t="s">
        <v>1188</v>
      </c>
      <c r="CC959" s="476" t="s">
        <v>1188</v>
      </c>
      <c r="CD959" s="476" t="s">
        <v>1188</v>
      </c>
      <c r="CE959" s="476" t="s">
        <v>1187</v>
      </c>
      <c r="CF959" s="476" t="s">
        <v>1187</v>
      </c>
      <c r="CG959" s="476" t="s">
        <v>1187</v>
      </c>
      <c r="CH959" s="476" t="s">
        <v>1187</v>
      </c>
      <c r="CI959" s="476" t="s">
        <v>1187</v>
      </c>
      <c r="CJ959" s="476" t="s">
        <v>1187</v>
      </c>
      <c r="CK959" s="476" t="s">
        <v>1187</v>
      </c>
      <c r="CL959" s="476" t="s">
        <v>1187</v>
      </c>
      <c r="CM959" s="476" t="str">
        <f>IF(VLOOKUP(BS959,'Données par municipalité'!$B$6:$E$1113,4,FALSE)="","non","oui")</f>
        <v>non</v>
      </c>
      <c r="CN959" s="410" t="s">
        <v>1124</v>
      </c>
      <c r="CO959" s="410" t="s">
        <v>1124</v>
      </c>
      <c r="CP959" s="410"/>
      <c r="CQ959" s="410"/>
      <c r="CR959" s="410"/>
      <c r="CS959" s="410" t="s">
        <v>1124</v>
      </c>
      <c r="CT959" s="410"/>
      <c r="CU959" s="410" t="s">
        <v>1124</v>
      </c>
      <c r="CV959" s="410" t="str">
        <f>IF(VLOOKUP(BS959,'Données par municipalité'!$B$6:$F$1113,4,FALSE)="","",VLOOKUP(BS959,'Données par municipalité'!$B$6:$F$1113,4,FALSE))</f>
        <v/>
      </c>
      <c r="CW959" s="476" t="s">
        <v>4723</v>
      </c>
      <c r="CX959" s="483" t="s">
        <v>1124</v>
      </c>
      <c r="CY959" s="483" t="s">
        <v>1124</v>
      </c>
      <c r="CZ959" s="483" t="s">
        <v>1124</v>
      </c>
      <c r="DA959" s="483" t="s">
        <v>1124</v>
      </c>
      <c r="DB959" s="483" t="s">
        <v>1124</v>
      </c>
      <c r="DC959" s="483" t="s">
        <v>1124</v>
      </c>
      <c r="DD959" s="483" t="s">
        <v>1124</v>
      </c>
      <c r="DE959" s="483" t="str">
        <f>IFERROR(SUM(VLOOKUP($BS959,'État &amp; Plan d''action'!$B$6:$Z$1113,18,FALSE),VLOOKUP($BS959,'État &amp; Plan d''action'!$B$6:$Z$1113,20,FALSE))/(VLOOKUP($BS959,'Données par municipalité'!$B$4:$L$1113,11,FALSE)),"")</f>
        <v/>
      </c>
      <c r="DF959" s="483" t="str">
        <f>IFERROR(SUM(VLOOKUP($BS959,'État &amp; Plan d''action'!$B$6:$Z$1113,19,FALSE),VLOOKUP($BS959,'État &amp; Plan d''action'!$B$6:$Z$1113,21,FALSE))/(VLOOKUP($BS959,'Données par municipalité'!$B$4:$L$1113,11,FALSE)),"")</f>
        <v/>
      </c>
      <c r="DG959" s="476" t="s">
        <v>4723</v>
      </c>
      <c r="DH959" s="484" t="s">
        <v>1124</v>
      </c>
      <c r="DI959" s="484" t="s">
        <v>1124</v>
      </c>
      <c r="DJ959" s="484">
        <v>0</v>
      </c>
      <c r="DK959" s="484">
        <v>0</v>
      </c>
      <c r="DL959" s="484" t="s">
        <v>1124</v>
      </c>
      <c r="DM959" s="484" t="s">
        <v>1124</v>
      </c>
      <c r="DN959" s="484" t="s">
        <v>1124</v>
      </c>
      <c r="DO959" s="484" t="s">
        <v>1124</v>
      </c>
      <c r="DP959" s="484" t="s">
        <v>1124</v>
      </c>
      <c r="DQ959" s="484" t="str">
        <f>IF(VLOOKUP($BS959,'État &amp; Plan d''action'!$B$6:$AJ$1113,28,FALSE)="","",VLOOKUP($BS959,'État &amp; Plan d''action'!$B$6:$AJ$1113,28,FALSE))</f>
        <v/>
      </c>
      <c r="DR959" s="70" t="str">
        <f>IF(VLOOKUP($BS959,'État &amp; Plan d''action'!$B$6:$AJ$1113,29,FALSE)="","",VLOOKUP($BS959,'État &amp; Plan d''action'!$B$6:$AJ$1113,29,FALSE))</f>
        <v/>
      </c>
      <c r="DS959" s="70" t="str">
        <f>IF(VLOOKUP($BS959,'État &amp; Plan d''action'!$B$6:$AJ$1113,30,FALSE)="","",VLOOKUP($BS959,'État &amp; Plan d''action'!$B$6:$AJ$1113,30,FALSE))</f>
        <v/>
      </c>
      <c r="DT959" s="70" t="s">
        <v>1124</v>
      </c>
      <c r="DU959" s="485" t="s">
        <v>1124</v>
      </c>
      <c r="DV959" s="485" t="s">
        <v>1124</v>
      </c>
      <c r="DW959" s="70" t="s">
        <v>1124</v>
      </c>
      <c r="DX959" s="70" t="s">
        <v>1124</v>
      </c>
      <c r="DY959" s="70" t="s">
        <v>1124</v>
      </c>
      <c r="DZ959" s="70" t="str">
        <f>VLOOKUP($BS959,'État &amp; Plan d''action'!$B$6:$AH$1113,31,FALSE)</f>
        <v/>
      </c>
      <c r="EA959" s="70" t="str">
        <f>VLOOKUP($BS959,'État &amp; Plan d''action'!$B$6:$AH$1113,32,FALSE)</f>
        <v/>
      </c>
      <c r="EB959" s="70" t="str">
        <f>VLOOKUP($BS959,'État &amp; Plan d''action'!$B$6:$AH$1113,33,FALSE)</f>
        <v/>
      </c>
      <c r="EC959" s="70" t="s">
        <v>1124</v>
      </c>
      <c r="ED959" s="70" t="s">
        <v>1124</v>
      </c>
      <c r="EE959" s="70" t="s">
        <v>1124</v>
      </c>
      <c r="EF959" s="70" t="s">
        <v>1124</v>
      </c>
      <c r="EG959" s="70" t="s">
        <v>1124</v>
      </c>
      <c r="EH959" s="72"/>
      <c r="EI959" s="72">
        <v>133</v>
      </c>
    </row>
    <row r="960" spans="71:139" x14ac:dyDescent="0.35">
      <c r="BS960" s="486">
        <v>18055</v>
      </c>
      <c r="BT960" s="479" t="s">
        <v>114</v>
      </c>
      <c r="BU960" s="479">
        <v>12</v>
      </c>
      <c r="BV960" s="476" t="s">
        <v>1187</v>
      </c>
      <c r="BW960" s="476" t="s">
        <v>1187</v>
      </c>
      <c r="BX960" s="476" t="s">
        <v>1187</v>
      </c>
      <c r="BY960" s="476" t="s">
        <v>1187</v>
      </c>
      <c r="BZ960" s="476" t="s">
        <v>1187</v>
      </c>
      <c r="CA960" s="476" t="s">
        <v>1187</v>
      </c>
      <c r="CB960" s="476" t="s">
        <v>1187</v>
      </c>
      <c r="CC960" s="476" t="s">
        <v>1187</v>
      </c>
      <c r="CD960" s="476" t="s">
        <v>1187</v>
      </c>
      <c r="CE960" s="476" t="s">
        <v>1188</v>
      </c>
      <c r="CF960" s="476" t="s">
        <v>1188</v>
      </c>
      <c r="CG960" s="476" t="s">
        <v>1188</v>
      </c>
      <c r="CH960" s="476" t="s">
        <v>1188</v>
      </c>
      <c r="CI960" s="476" t="s">
        <v>1187</v>
      </c>
      <c r="CJ960" s="476" t="s">
        <v>1187</v>
      </c>
      <c r="CK960" s="476" t="s">
        <v>1187</v>
      </c>
      <c r="CL960" s="476" t="s">
        <v>1188</v>
      </c>
      <c r="CM960" s="476" t="str">
        <f>IF(VLOOKUP(BS960,'Données par municipalité'!$B$6:$E$1113,4,FALSE)="","non","oui")</f>
        <v>non</v>
      </c>
      <c r="CN960" s="410">
        <v>686.29056101119977</v>
      </c>
      <c r="CO960" s="410">
        <v>781.09750727587459</v>
      </c>
      <c r="CP960" s="410">
        <v>558.02559692718967</v>
      </c>
      <c r="CQ960" s="410">
        <v>530.47071541661933</v>
      </c>
      <c r="CR960" s="410"/>
      <c r="CS960" s="410" t="s">
        <v>1124</v>
      </c>
      <c r="CT960" s="410"/>
      <c r="CU960" s="410">
        <v>525</v>
      </c>
      <c r="CV960" s="410" t="str">
        <f>IF(VLOOKUP(BS960,'Données par municipalité'!$B$6:$F$1113,4,FALSE)="","",VLOOKUP(BS960,'Données par municipalité'!$B$6:$F$1113,4,FALSE))</f>
        <v/>
      </c>
      <c r="CW960" s="476" t="s">
        <v>4723</v>
      </c>
      <c r="CX960" s="483">
        <v>0</v>
      </c>
      <c r="CY960" s="483">
        <v>0.2</v>
      </c>
      <c r="CZ960" s="483">
        <v>0.2</v>
      </c>
      <c r="DA960" s="483" t="s">
        <v>1124</v>
      </c>
      <c r="DB960" s="483" t="s">
        <v>1124</v>
      </c>
      <c r="DC960" s="483" t="s">
        <v>1124</v>
      </c>
      <c r="DD960" s="483">
        <v>0</v>
      </c>
      <c r="DE960" s="483" t="str">
        <f>IFERROR(SUM(VLOOKUP($BS960,'État &amp; Plan d''action'!$B$6:$Z$1113,18,FALSE),VLOOKUP($BS960,'État &amp; Plan d''action'!$B$6:$Z$1113,20,FALSE))/(VLOOKUP($BS960,'Données par municipalité'!$B$4:$L$1113,11,FALSE)),"")</f>
        <v/>
      </c>
      <c r="DF960" s="483" t="str">
        <f>IFERROR(SUM(VLOOKUP($BS960,'État &amp; Plan d''action'!$B$6:$Z$1113,19,FALSE),VLOOKUP($BS960,'État &amp; Plan d''action'!$B$6:$Z$1113,21,FALSE))/(VLOOKUP($BS960,'Données par municipalité'!$B$4:$L$1113,11,FALSE)),"")</f>
        <v/>
      </c>
      <c r="DG960" s="476" t="s">
        <v>4723</v>
      </c>
      <c r="DH960" s="484">
        <v>2</v>
      </c>
      <c r="DI960" s="484">
        <v>1</v>
      </c>
      <c r="DJ960" s="484">
        <v>1</v>
      </c>
      <c r="DK960" s="484">
        <v>0</v>
      </c>
      <c r="DL960" s="484" t="s">
        <v>1124</v>
      </c>
      <c r="DM960" s="484" t="s">
        <v>1124</v>
      </c>
      <c r="DN960" s="484">
        <v>0</v>
      </c>
      <c r="DO960" s="484">
        <v>0</v>
      </c>
      <c r="DP960" s="484">
        <v>0</v>
      </c>
      <c r="DQ960" s="484" t="str">
        <f>IF(VLOOKUP($BS960,'État &amp; Plan d''action'!$B$6:$AJ$1113,28,FALSE)="","",VLOOKUP($BS960,'État &amp; Plan d''action'!$B$6:$AJ$1113,28,FALSE))</f>
        <v/>
      </c>
      <c r="DR960" s="70" t="str">
        <f>IF(VLOOKUP($BS960,'État &amp; Plan d''action'!$B$6:$AJ$1113,29,FALSE)="","",VLOOKUP($BS960,'État &amp; Plan d''action'!$B$6:$AJ$1113,29,FALSE))</f>
        <v/>
      </c>
      <c r="DS960" s="70" t="str">
        <f>IF(VLOOKUP($BS960,'État &amp; Plan d''action'!$B$6:$AJ$1113,30,FALSE)="","",VLOOKUP($BS960,'État &amp; Plan d''action'!$B$6:$AJ$1113,30,FALSE))</f>
        <v/>
      </c>
      <c r="DT960" s="70">
        <v>221</v>
      </c>
      <c r="DU960" s="485">
        <v>1.5303376746926429</v>
      </c>
      <c r="DV960" s="485" t="s">
        <v>1124</v>
      </c>
      <c r="DW960" s="70">
        <v>0</v>
      </c>
      <c r="DX960" s="70">
        <v>0</v>
      </c>
      <c r="DY960" s="70">
        <v>0</v>
      </c>
      <c r="DZ960" s="70" t="str">
        <f>VLOOKUP($BS960,'État &amp; Plan d''action'!$B$6:$AH$1113,31,FALSE)</f>
        <v/>
      </c>
      <c r="EA960" s="70" t="str">
        <f>VLOOKUP($BS960,'État &amp; Plan d''action'!$B$6:$AH$1113,32,FALSE)</f>
        <v/>
      </c>
      <c r="EB960" s="70" t="str">
        <f>VLOOKUP($BS960,'État &amp; Plan d''action'!$B$6:$AH$1113,33,FALSE)</f>
        <v/>
      </c>
      <c r="EC960" s="70">
        <v>15.699</v>
      </c>
      <c r="ED960" s="70">
        <v>0</v>
      </c>
      <c r="EE960" s="70">
        <v>0</v>
      </c>
      <c r="EF960" s="70">
        <v>0</v>
      </c>
      <c r="EG960" s="70">
        <v>0</v>
      </c>
      <c r="EH960" s="72">
        <v>61.196533746506383</v>
      </c>
      <c r="EI960" s="72">
        <v>910</v>
      </c>
    </row>
    <row r="961" spans="71:139" x14ac:dyDescent="0.35">
      <c r="BS961" s="486">
        <v>20025</v>
      </c>
      <c r="BT961" s="479" t="s">
        <v>142</v>
      </c>
      <c r="BU961" s="479">
        <v>3</v>
      </c>
      <c r="BV961" s="476" t="s">
        <v>1188</v>
      </c>
      <c r="BW961" s="476" t="s">
        <v>1188</v>
      </c>
      <c r="BX961" s="476" t="s">
        <v>1188</v>
      </c>
      <c r="BY961" s="476" t="s">
        <v>1188</v>
      </c>
      <c r="BZ961" s="476" t="s">
        <v>1188</v>
      </c>
      <c r="CA961" s="476" t="s">
        <v>1188</v>
      </c>
      <c r="CB961" s="476" t="s">
        <v>1188</v>
      </c>
      <c r="CC961" s="476" t="s">
        <v>1188</v>
      </c>
      <c r="CD961" s="476" t="s">
        <v>1188</v>
      </c>
      <c r="CE961" s="476" t="s">
        <v>1187</v>
      </c>
      <c r="CF961" s="476" t="s">
        <v>1187</v>
      </c>
      <c r="CG961" s="476" t="s">
        <v>1187</v>
      </c>
      <c r="CH961" s="476" t="s">
        <v>1187</v>
      </c>
      <c r="CI961" s="476" t="s">
        <v>1187</v>
      </c>
      <c r="CJ961" s="476" t="s">
        <v>1187</v>
      </c>
      <c r="CK961" s="476" t="s">
        <v>1187</v>
      </c>
      <c r="CL961" s="476" t="s">
        <v>1187</v>
      </c>
      <c r="CM961" s="476" t="str">
        <f>IF(VLOOKUP(BS961,'Données par municipalité'!$B$6:$E$1113,4,FALSE)="","non","oui")</f>
        <v>non</v>
      </c>
      <c r="CN961" s="410" t="s">
        <v>1124</v>
      </c>
      <c r="CO961" s="410" t="s">
        <v>1124</v>
      </c>
      <c r="CP961" s="410"/>
      <c r="CQ961" s="410"/>
      <c r="CR961" s="410"/>
      <c r="CS961" s="410" t="s">
        <v>1124</v>
      </c>
      <c r="CT961" s="410"/>
      <c r="CU961" s="410" t="s">
        <v>1124</v>
      </c>
      <c r="CV961" s="410" t="str">
        <f>IF(VLOOKUP(BS961,'Données par municipalité'!$B$6:$F$1113,4,FALSE)="","",VLOOKUP(BS961,'Données par municipalité'!$B$6:$F$1113,4,FALSE))</f>
        <v/>
      </c>
      <c r="CW961" s="476" t="s">
        <v>4723</v>
      </c>
      <c r="CX961" s="483" t="s">
        <v>1124</v>
      </c>
      <c r="CY961" s="483" t="s">
        <v>1124</v>
      </c>
      <c r="CZ961" s="483" t="s">
        <v>1124</v>
      </c>
      <c r="DA961" s="483" t="s">
        <v>1124</v>
      </c>
      <c r="DB961" s="483" t="s">
        <v>1124</v>
      </c>
      <c r="DC961" s="483" t="s">
        <v>1124</v>
      </c>
      <c r="DD961" s="483" t="s">
        <v>1124</v>
      </c>
      <c r="DE961" s="483" t="str">
        <f>IFERROR(SUM(VLOOKUP($BS961,'État &amp; Plan d''action'!$B$6:$Z$1113,18,FALSE),VLOOKUP($BS961,'État &amp; Plan d''action'!$B$6:$Z$1113,20,FALSE))/(VLOOKUP($BS961,'Données par municipalité'!$B$4:$L$1113,11,FALSE)),"")</f>
        <v/>
      </c>
      <c r="DF961" s="483" t="str">
        <f>IFERROR(SUM(VLOOKUP($BS961,'État &amp; Plan d''action'!$B$6:$Z$1113,19,FALSE),VLOOKUP($BS961,'État &amp; Plan d''action'!$B$6:$Z$1113,21,FALSE))/(VLOOKUP($BS961,'Données par municipalité'!$B$4:$L$1113,11,FALSE)),"")</f>
        <v/>
      </c>
      <c r="DG961" s="476" t="s">
        <v>4723</v>
      </c>
      <c r="DH961" s="484" t="s">
        <v>1124</v>
      </c>
      <c r="DI961" s="484" t="s">
        <v>1124</v>
      </c>
      <c r="DJ961" s="484">
        <v>0</v>
      </c>
      <c r="DK961" s="484">
        <v>0</v>
      </c>
      <c r="DL961" s="484" t="s">
        <v>1124</v>
      </c>
      <c r="DM961" s="484" t="s">
        <v>1124</v>
      </c>
      <c r="DN961" s="484" t="s">
        <v>1124</v>
      </c>
      <c r="DO961" s="484" t="s">
        <v>1124</v>
      </c>
      <c r="DP961" s="484" t="s">
        <v>1124</v>
      </c>
      <c r="DQ961" s="484" t="str">
        <f>IF(VLOOKUP($BS961,'État &amp; Plan d''action'!$B$6:$AJ$1113,28,FALSE)="","",VLOOKUP($BS961,'État &amp; Plan d''action'!$B$6:$AJ$1113,28,FALSE))</f>
        <v/>
      </c>
      <c r="DR961" s="70" t="str">
        <f>IF(VLOOKUP($BS961,'État &amp; Plan d''action'!$B$6:$AJ$1113,29,FALSE)="","",VLOOKUP($BS961,'État &amp; Plan d''action'!$B$6:$AJ$1113,29,FALSE))</f>
        <v/>
      </c>
      <c r="DS961" s="70" t="str">
        <f>IF(VLOOKUP($BS961,'État &amp; Plan d''action'!$B$6:$AJ$1113,30,FALSE)="","",VLOOKUP($BS961,'État &amp; Plan d''action'!$B$6:$AJ$1113,30,FALSE))</f>
        <v/>
      </c>
      <c r="DT961" s="70" t="s">
        <v>1124</v>
      </c>
      <c r="DU961" s="485" t="s">
        <v>1124</v>
      </c>
      <c r="DV961" s="485" t="s">
        <v>1124</v>
      </c>
      <c r="DW961" s="70" t="s">
        <v>1124</v>
      </c>
      <c r="DX961" s="70" t="s">
        <v>1124</v>
      </c>
      <c r="DY961" s="70" t="s">
        <v>1124</v>
      </c>
      <c r="DZ961" s="70" t="str">
        <f>VLOOKUP($BS961,'État &amp; Plan d''action'!$B$6:$AH$1113,31,FALSE)</f>
        <v/>
      </c>
      <c r="EA961" s="70" t="str">
        <f>VLOOKUP($BS961,'État &amp; Plan d''action'!$B$6:$AH$1113,32,FALSE)</f>
        <v/>
      </c>
      <c r="EB961" s="70" t="str">
        <f>VLOOKUP($BS961,'État &amp; Plan d''action'!$B$6:$AH$1113,33,FALSE)</f>
        <v/>
      </c>
      <c r="EC961" s="70" t="s">
        <v>1124</v>
      </c>
      <c r="ED961" s="70" t="s">
        <v>1124</v>
      </c>
      <c r="EE961" s="70" t="s">
        <v>1124</v>
      </c>
      <c r="EF961" s="70" t="s">
        <v>1124</v>
      </c>
      <c r="EG961" s="70" t="s">
        <v>1124</v>
      </c>
      <c r="EH961" s="72"/>
      <c r="EI961" s="72">
        <v>2005</v>
      </c>
    </row>
    <row r="962" spans="71:139" x14ac:dyDescent="0.35">
      <c r="BS962" s="486">
        <v>38065</v>
      </c>
      <c r="BT962" s="479" t="s">
        <v>335</v>
      </c>
      <c r="BU962" s="479">
        <v>17</v>
      </c>
      <c r="BV962" s="476" t="s">
        <v>1187</v>
      </c>
      <c r="BW962" s="476" t="s">
        <v>1187</v>
      </c>
      <c r="BX962" s="476" t="s">
        <v>1187</v>
      </c>
      <c r="BY962" s="476" t="s">
        <v>1187</v>
      </c>
      <c r="BZ962" s="476" t="s">
        <v>1187</v>
      </c>
      <c r="CA962" s="476" t="s">
        <v>1187</v>
      </c>
      <c r="CB962" s="476" t="s">
        <v>1187</v>
      </c>
      <c r="CC962" s="476" t="s">
        <v>1187</v>
      </c>
      <c r="CD962" s="476" t="s">
        <v>1187</v>
      </c>
      <c r="CE962" s="476" t="s">
        <v>1188</v>
      </c>
      <c r="CF962" s="476" t="s">
        <v>1188</v>
      </c>
      <c r="CG962" s="476" t="s">
        <v>1187</v>
      </c>
      <c r="CH962" s="476" t="s">
        <v>1187</v>
      </c>
      <c r="CI962" s="476" t="s">
        <v>1188</v>
      </c>
      <c r="CJ962" s="476" t="s">
        <v>1188</v>
      </c>
      <c r="CK962" s="476" t="s">
        <v>1187</v>
      </c>
      <c r="CL962" s="476" t="s">
        <v>1187</v>
      </c>
      <c r="CM962" s="476" t="str">
        <f>IF(VLOOKUP(BS962,'Données par municipalité'!$B$6:$E$1113,4,FALSE)="","non","oui")</f>
        <v>oui</v>
      </c>
      <c r="CN962" s="410">
        <v>674.34554973821992</v>
      </c>
      <c r="CO962" s="410">
        <v>609.0209471766849</v>
      </c>
      <c r="CP962" s="410"/>
      <c r="CQ962" s="410"/>
      <c r="CR962" s="410">
        <v>617.30709153389557</v>
      </c>
      <c r="CS962" s="410">
        <v>506.31742532486743</v>
      </c>
      <c r="CT962" s="410"/>
      <c r="CU962" s="410" t="s">
        <v>1124</v>
      </c>
      <c r="CV962" s="410">
        <f>IF(VLOOKUP(BS962,'Données par municipalité'!$B$6:$F$1113,4,FALSE)="","",VLOOKUP(BS962,'Données par municipalité'!$B$6:$F$1113,4,FALSE))</f>
        <v>597</v>
      </c>
      <c r="CW962" s="476" t="s">
        <v>4723</v>
      </c>
      <c r="CX962" s="483">
        <v>0</v>
      </c>
      <c r="CY962" s="483" t="s">
        <v>1124</v>
      </c>
      <c r="CZ962" s="483" t="s">
        <v>1124</v>
      </c>
      <c r="DA962" s="483">
        <v>0.3</v>
      </c>
      <c r="DB962" s="483">
        <v>1</v>
      </c>
      <c r="DC962" s="483" t="s">
        <v>1124</v>
      </c>
      <c r="DD962" s="483" t="s">
        <v>1124</v>
      </c>
      <c r="DE962" s="483">
        <f>IFERROR(SUM(VLOOKUP($BS962,'État &amp; Plan d''action'!$B$6:$Z$1113,18,FALSE),VLOOKUP($BS962,'État &amp; Plan d''action'!$B$6:$Z$1113,20,FALSE))/(VLOOKUP($BS962,'Données par municipalité'!$B$4:$L$1113,11,FALSE)),"")</f>
        <v>0</v>
      </c>
      <c r="DF962" s="483">
        <f>IFERROR(SUM(VLOOKUP($BS962,'État &amp; Plan d''action'!$B$6:$Z$1113,19,FALSE),VLOOKUP($BS962,'État &amp; Plan d''action'!$B$6:$Z$1113,21,FALSE))/(VLOOKUP($BS962,'Données par municipalité'!$B$4:$L$1113,11,FALSE)),"")</f>
        <v>0</v>
      </c>
      <c r="DG962" s="476" t="s">
        <v>4723</v>
      </c>
      <c r="DH962" s="484">
        <v>2</v>
      </c>
      <c r="DI962" s="484" t="s">
        <v>1124</v>
      </c>
      <c r="DJ962" s="484">
        <v>0</v>
      </c>
      <c r="DK962" s="484">
        <v>2</v>
      </c>
      <c r="DL962" s="484">
        <v>1</v>
      </c>
      <c r="DM962" s="484" t="s">
        <v>1124</v>
      </c>
      <c r="DN962" s="484" t="s">
        <v>1124</v>
      </c>
      <c r="DO962" s="484" t="s">
        <v>1124</v>
      </c>
      <c r="DP962" s="484" t="s">
        <v>1124</v>
      </c>
      <c r="DQ962" s="484">
        <f>IF(VLOOKUP($BS962,'État &amp; Plan d''action'!$B$6:$AJ$1113,28,FALSE)="","",VLOOKUP($BS962,'État &amp; Plan d''action'!$B$6:$AJ$1113,28,FALSE))</f>
        <v>8</v>
      </c>
      <c r="DR962" s="70">
        <f>IF(VLOOKUP($BS962,'État &amp; Plan d''action'!$B$6:$AJ$1113,29,FALSE)="","",VLOOKUP($BS962,'État &amp; Plan d''action'!$B$6:$AJ$1113,29,FALSE))</f>
        <v>5</v>
      </c>
      <c r="DS962" s="70">
        <f>IF(VLOOKUP($BS962,'État &amp; Plan d''action'!$B$6:$AJ$1113,30,FALSE)="","",VLOOKUP($BS962,'État &amp; Plan d''action'!$B$6:$AJ$1113,30,FALSE))</f>
        <v>6</v>
      </c>
      <c r="DT962" s="70" t="s">
        <v>1124</v>
      </c>
      <c r="DU962" s="485" t="s">
        <v>1124</v>
      </c>
      <c r="DV962" s="485">
        <v>1.7794478550888153</v>
      </c>
      <c r="DW962" s="70" t="s">
        <v>1124</v>
      </c>
      <c r="DX962" s="70" t="s">
        <v>1124</v>
      </c>
      <c r="DY962" s="70" t="s">
        <v>1124</v>
      </c>
      <c r="DZ962" s="70">
        <f>VLOOKUP($BS962,'État &amp; Plan d''action'!$B$6:$AH$1113,31,FALSE)</f>
        <v>3</v>
      </c>
      <c r="EA962" s="70">
        <f>VLOOKUP($BS962,'État &amp; Plan d''action'!$B$6:$AH$1113,32,FALSE)</f>
        <v>7</v>
      </c>
      <c r="EB962" s="70">
        <f>VLOOKUP($BS962,'État &amp; Plan d''action'!$B$6:$AH$1113,33,FALSE)</f>
        <v>10</v>
      </c>
      <c r="EC962" s="70" t="s">
        <v>1124</v>
      </c>
      <c r="ED962" s="70" t="s">
        <v>1124</v>
      </c>
      <c r="EE962" s="70" t="s">
        <v>1124</v>
      </c>
      <c r="EF962" s="70" t="s">
        <v>1124</v>
      </c>
      <c r="EG962" s="70" t="s">
        <v>1124</v>
      </c>
      <c r="EH962" s="72"/>
      <c r="EI962" s="72">
        <v>1142</v>
      </c>
    </row>
    <row r="963" spans="71:139" x14ac:dyDescent="0.35">
      <c r="BS963" s="486">
        <v>72043</v>
      </c>
      <c r="BT963" s="479" t="s">
        <v>733</v>
      </c>
      <c r="BU963" s="479">
        <v>15</v>
      </c>
      <c r="BV963" s="476" t="s">
        <v>1187</v>
      </c>
      <c r="BW963" s="476" t="s">
        <v>1187</v>
      </c>
      <c r="BX963" s="476" t="s">
        <v>1187</v>
      </c>
      <c r="BY963" s="476" t="s">
        <v>1187</v>
      </c>
      <c r="BZ963" s="476" t="s">
        <v>1187</v>
      </c>
      <c r="CA963" s="476" t="s">
        <v>1187</v>
      </c>
      <c r="CB963" s="476" t="s">
        <v>1187</v>
      </c>
      <c r="CC963" s="476" t="s">
        <v>1187</v>
      </c>
      <c r="CD963" s="476" t="s">
        <v>1187</v>
      </c>
      <c r="CE963" s="476" t="s">
        <v>1188</v>
      </c>
      <c r="CF963" s="476" t="s">
        <v>1188</v>
      </c>
      <c r="CG963" s="476" t="s">
        <v>1188</v>
      </c>
      <c r="CH963" s="476" t="s">
        <v>1188</v>
      </c>
      <c r="CI963" s="476" t="s">
        <v>1188</v>
      </c>
      <c r="CJ963" s="476" t="s">
        <v>1188</v>
      </c>
      <c r="CK963" s="476" t="s">
        <v>1188</v>
      </c>
      <c r="CL963" s="476" t="s">
        <v>1188</v>
      </c>
      <c r="CM963" s="476" t="str">
        <f>IF(VLOOKUP(BS963,'Données par municipalité'!$B$6:$E$1113,4,FALSE)="","non","oui")</f>
        <v>oui</v>
      </c>
      <c r="CN963" s="410">
        <v>673.59881646104964</v>
      </c>
      <c r="CO963" s="410">
        <v>744.24271690513797</v>
      </c>
      <c r="CP963" s="410">
        <v>591.68387467629657</v>
      </c>
      <c r="CQ963" s="410">
        <v>485.79930735459078</v>
      </c>
      <c r="CR963" s="410">
        <v>520.19650198920169</v>
      </c>
      <c r="CS963" s="410">
        <v>354.3361955065767</v>
      </c>
      <c r="CT963" s="410">
        <v>330.93133188074194</v>
      </c>
      <c r="CU963" s="410">
        <v>376</v>
      </c>
      <c r="CV963" s="410">
        <f>IF(VLOOKUP(BS963,'Données par municipalité'!$B$6:$F$1113,4,FALSE)="","",VLOOKUP(BS963,'Données par municipalité'!$B$6:$F$1113,4,FALSE))</f>
        <v>473</v>
      </c>
      <c r="CW963" s="476" t="s">
        <v>4723</v>
      </c>
      <c r="CX963" s="483">
        <v>0</v>
      </c>
      <c r="CY963" s="483">
        <v>0</v>
      </c>
      <c r="CZ963" s="483">
        <v>0</v>
      </c>
      <c r="DA963" s="483">
        <v>0</v>
      </c>
      <c r="DB963" s="483">
        <v>0</v>
      </c>
      <c r="DC963" s="483">
        <v>0</v>
      </c>
      <c r="DD963" s="483">
        <v>0.52728199898011219</v>
      </c>
      <c r="DE963" s="483">
        <f>IFERROR(SUM(VLOOKUP($BS963,'État &amp; Plan d''action'!$B$6:$Z$1113,18,FALSE),VLOOKUP($BS963,'État &amp; Plan d''action'!$B$6:$Z$1113,20,FALSE))/(VLOOKUP($BS963,'Données par municipalité'!$B$4:$L$1113,11,FALSE)),"")</f>
        <v>0.61381396521300724</v>
      </c>
      <c r="DF963" s="483">
        <f>IFERROR(SUM(VLOOKUP($BS963,'État &amp; Plan d''action'!$B$6:$Z$1113,19,FALSE),VLOOKUP($BS963,'État &amp; Plan d''action'!$B$6:$Z$1113,21,FALSE))/(VLOOKUP($BS963,'Données par municipalité'!$B$4:$L$1113,11,FALSE)),"")</f>
        <v>1</v>
      </c>
      <c r="DG963" s="476" t="s">
        <v>4723</v>
      </c>
      <c r="DH963" s="484">
        <v>0</v>
      </c>
      <c r="DI963" s="484" t="s">
        <v>1124</v>
      </c>
      <c r="DJ963" s="484">
        <v>0</v>
      </c>
      <c r="DK963" s="484">
        <v>0</v>
      </c>
      <c r="DL963" s="484">
        <v>0</v>
      </c>
      <c r="DM963" s="484">
        <v>0</v>
      </c>
      <c r="DN963" s="484">
        <v>0</v>
      </c>
      <c r="DO963" s="484">
        <v>2</v>
      </c>
      <c r="DP963" s="484">
        <v>0</v>
      </c>
      <c r="DQ963" s="484">
        <f>IF(VLOOKUP($BS963,'État &amp; Plan d''action'!$B$6:$AJ$1113,28,FALSE)="","",VLOOKUP($BS963,'État &amp; Plan d''action'!$B$6:$AJ$1113,28,FALSE))</f>
        <v>2</v>
      </c>
      <c r="DR963" s="70">
        <f>IF(VLOOKUP($BS963,'État &amp; Plan d''action'!$B$6:$AJ$1113,29,FALSE)="","",VLOOKUP($BS963,'État &amp; Plan d''action'!$B$6:$AJ$1113,29,FALSE))</f>
        <v>2</v>
      </c>
      <c r="DS963" s="70">
        <f>IF(VLOOKUP($BS963,'État &amp; Plan d''action'!$B$6:$AJ$1113,30,FALSE)="","",VLOOKUP($BS963,'État &amp; Plan d''action'!$B$6:$AJ$1113,30,FALSE))</f>
        <v>0</v>
      </c>
      <c r="DT963" s="70">
        <v>223</v>
      </c>
      <c r="DU963" s="485">
        <v>1.3987711242428233</v>
      </c>
      <c r="DV963" s="485">
        <v>10.193659295900392</v>
      </c>
      <c r="DW963" s="70">
        <v>0</v>
      </c>
      <c r="DX963" s="70">
        <v>3</v>
      </c>
      <c r="DY963" s="70">
        <v>0</v>
      </c>
      <c r="DZ963" s="70">
        <f>VLOOKUP($BS963,'État &amp; Plan d''action'!$B$6:$AH$1113,31,FALSE)</f>
        <v>2</v>
      </c>
      <c r="EA963" s="70">
        <f>VLOOKUP($BS963,'État &amp; Plan d''action'!$B$6:$AH$1113,32,FALSE)</f>
        <v>2</v>
      </c>
      <c r="EB963" s="70">
        <f>VLOOKUP($BS963,'État &amp; Plan d''action'!$B$6:$AH$1113,33,FALSE)</f>
        <v>0</v>
      </c>
      <c r="EC963" s="70">
        <v>3.9220000000000002</v>
      </c>
      <c r="ED963" s="70">
        <v>0.26800000000000002</v>
      </c>
      <c r="EE963" s="70">
        <v>1.8</v>
      </c>
      <c r="EF963" s="70">
        <v>0</v>
      </c>
      <c r="EG963" s="70">
        <v>0</v>
      </c>
      <c r="EH963" s="72">
        <v>42</v>
      </c>
      <c r="EI963" s="72">
        <v>1734</v>
      </c>
    </row>
    <row r="964" spans="71:139" x14ac:dyDescent="0.35">
      <c r="BS964" s="486">
        <v>71020</v>
      </c>
      <c r="BT964" s="479" t="s">
        <v>706</v>
      </c>
      <c r="BU964" s="479">
        <v>16</v>
      </c>
      <c r="BV964" s="476" t="s">
        <v>1187</v>
      </c>
      <c r="BW964" s="476" t="s">
        <v>1187</v>
      </c>
      <c r="BX964" s="476" t="s">
        <v>1187</v>
      </c>
      <c r="BY964" s="476" t="s">
        <v>1187</v>
      </c>
      <c r="BZ964" s="476" t="s">
        <v>1187</v>
      </c>
      <c r="CA964" s="476" t="s">
        <v>1187</v>
      </c>
      <c r="CB964" s="476" t="s">
        <v>1187</v>
      </c>
      <c r="CC964" s="476" t="s">
        <v>1187</v>
      </c>
      <c r="CD964" s="476" t="s">
        <v>1187</v>
      </c>
      <c r="CE964" s="476" t="s">
        <v>1188</v>
      </c>
      <c r="CF964" s="476" t="s">
        <v>1188</v>
      </c>
      <c r="CG964" s="476" t="s">
        <v>1188</v>
      </c>
      <c r="CH964" s="476" t="s">
        <v>1188</v>
      </c>
      <c r="CI964" s="476" t="s">
        <v>1188</v>
      </c>
      <c r="CJ964" s="476" t="s">
        <v>1187</v>
      </c>
      <c r="CK964" s="476" t="s">
        <v>1188</v>
      </c>
      <c r="CL964" s="476" t="s">
        <v>1188</v>
      </c>
      <c r="CM964" s="476" t="str">
        <f>IF(VLOOKUP(BS964,'Données par municipalité'!$B$6:$E$1113,4,FALSE)="","non","oui")</f>
        <v>oui</v>
      </c>
      <c r="CN964" s="410">
        <v>368.73141457555028</v>
      </c>
      <c r="CO964" s="410">
        <v>348.37600034153218</v>
      </c>
      <c r="CP964" s="410">
        <v>323.59502615159062</v>
      </c>
      <c r="CQ964" s="410">
        <v>285.92457278494709</v>
      </c>
      <c r="CR964" s="410">
        <v>283.25416035446773</v>
      </c>
      <c r="CS964" s="410" t="s">
        <v>1124</v>
      </c>
      <c r="CT964" s="410">
        <v>296.60981107816974</v>
      </c>
      <c r="CU964" s="410">
        <v>274</v>
      </c>
      <c r="CV964" s="410">
        <f>IF(VLOOKUP(BS964,'Données par municipalité'!$B$6:$F$1113,4,FALSE)="","",VLOOKUP(BS964,'Données par municipalité'!$B$6:$F$1113,4,FALSE))</f>
        <v>234</v>
      </c>
      <c r="CW964" s="476" t="s">
        <v>4723</v>
      </c>
      <c r="CX964" s="483">
        <v>1</v>
      </c>
      <c r="CY964" s="483">
        <v>1</v>
      </c>
      <c r="CZ964" s="483">
        <v>1</v>
      </c>
      <c r="DA964" s="483">
        <v>0</v>
      </c>
      <c r="DB964" s="483" t="s">
        <v>1124</v>
      </c>
      <c r="DC964" s="483">
        <v>0</v>
      </c>
      <c r="DD964" s="483">
        <v>0</v>
      </c>
      <c r="DE964" s="483">
        <f>IFERROR(SUM(VLOOKUP($BS964,'État &amp; Plan d''action'!$B$6:$Z$1113,18,FALSE),VLOOKUP($BS964,'État &amp; Plan d''action'!$B$6:$Z$1113,20,FALSE))/(VLOOKUP($BS964,'Données par municipalité'!$B$4:$L$1113,11,FALSE)),"")</f>
        <v>0</v>
      </c>
      <c r="DF964" s="483">
        <f>IFERROR(SUM(VLOOKUP($BS964,'État &amp; Plan d''action'!$B$6:$Z$1113,19,FALSE),VLOOKUP($BS964,'État &amp; Plan d''action'!$B$6:$Z$1113,21,FALSE))/(VLOOKUP($BS964,'Données par municipalité'!$B$4:$L$1113,11,FALSE)),"")</f>
        <v>0</v>
      </c>
      <c r="DG964" s="476" t="s">
        <v>4723</v>
      </c>
      <c r="DH964" s="484">
        <v>1</v>
      </c>
      <c r="DI964" s="484">
        <v>1</v>
      </c>
      <c r="DJ964" s="484">
        <v>0</v>
      </c>
      <c r="DK964" s="484">
        <v>2</v>
      </c>
      <c r="DL964" s="484" t="s">
        <v>1124</v>
      </c>
      <c r="DM964" s="484">
        <v>1</v>
      </c>
      <c r="DN964" s="484">
        <v>4</v>
      </c>
      <c r="DO964" s="484">
        <v>5</v>
      </c>
      <c r="DP964" s="484">
        <v>1</v>
      </c>
      <c r="DQ964" s="484">
        <f>IF(VLOOKUP($BS964,'État &amp; Plan d''action'!$B$6:$AJ$1113,28,FALSE)="","",VLOOKUP($BS964,'État &amp; Plan d''action'!$B$6:$AJ$1113,28,FALSE))</f>
        <v>1</v>
      </c>
      <c r="DR964" s="70">
        <f>IF(VLOOKUP($BS964,'État &amp; Plan d''action'!$B$6:$AJ$1113,29,FALSE)="","",VLOOKUP($BS964,'État &amp; Plan d''action'!$B$6:$AJ$1113,29,FALSE))</f>
        <v>0</v>
      </c>
      <c r="DS964" s="70">
        <f>IF(VLOOKUP($BS964,'État &amp; Plan d''action'!$B$6:$AJ$1113,30,FALSE)="","",VLOOKUP($BS964,'État &amp; Plan d''action'!$B$6:$AJ$1113,30,FALSE))</f>
        <v>0</v>
      </c>
      <c r="DT964" s="70">
        <v>207</v>
      </c>
      <c r="DU964" s="485">
        <v>1.0927231615498338</v>
      </c>
      <c r="DV964" s="485">
        <v>0.89150208151055654</v>
      </c>
      <c r="DW964" s="70">
        <v>3</v>
      </c>
      <c r="DX964" s="70">
        <v>1</v>
      </c>
      <c r="DY964" s="70">
        <v>1</v>
      </c>
      <c r="DZ964" s="70">
        <f>VLOOKUP($BS964,'État &amp; Plan d''action'!$B$6:$AH$1113,31,FALSE)</f>
        <v>1</v>
      </c>
      <c r="EA964" s="70">
        <f>VLOOKUP($BS964,'État &amp; Plan d''action'!$B$6:$AH$1113,32,FALSE)</f>
        <v>0</v>
      </c>
      <c r="EB964" s="70">
        <f>VLOOKUP($BS964,'État &amp; Plan d''action'!$B$6:$AH$1113,33,FALSE)</f>
        <v>0</v>
      </c>
      <c r="EC964" s="70">
        <v>0</v>
      </c>
      <c r="ED964" s="70">
        <v>0</v>
      </c>
      <c r="EE964" s="70">
        <v>0</v>
      </c>
      <c r="EF964" s="70">
        <v>0</v>
      </c>
      <c r="EG964" s="70">
        <v>0</v>
      </c>
      <c r="EH964" s="72">
        <v>52</v>
      </c>
      <c r="EI964" s="72">
        <v>2316</v>
      </c>
    </row>
    <row r="965" spans="71:139" x14ac:dyDescent="0.35">
      <c r="BS965" s="486">
        <v>91035</v>
      </c>
      <c r="BT965" s="479" t="s">
        <v>943</v>
      </c>
      <c r="BU965" s="479">
        <v>2</v>
      </c>
      <c r="BV965" s="476" t="s">
        <v>1187</v>
      </c>
      <c r="BW965" s="476" t="s">
        <v>1187</v>
      </c>
      <c r="BX965" s="476" t="s">
        <v>1187</v>
      </c>
      <c r="BY965" s="476" t="s">
        <v>1187</v>
      </c>
      <c r="BZ965" s="476" t="s">
        <v>1187</v>
      </c>
      <c r="CA965" s="476" t="s">
        <v>1187</v>
      </c>
      <c r="CB965" s="476" t="s">
        <v>1187</v>
      </c>
      <c r="CC965" s="476" t="s">
        <v>1187</v>
      </c>
      <c r="CD965" s="476" t="s">
        <v>1187</v>
      </c>
      <c r="CE965" s="476" t="s">
        <v>1188</v>
      </c>
      <c r="CF965" s="476" t="s">
        <v>1188</v>
      </c>
      <c r="CG965" s="476" t="s">
        <v>1188</v>
      </c>
      <c r="CH965" s="476" t="s">
        <v>1188</v>
      </c>
      <c r="CI965" s="476" t="s">
        <v>1187</v>
      </c>
      <c r="CJ965" s="476" t="s">
        <v>1188</v>
      </c>
      <c r="CK965" s="476" t="s">
        <v>1187</v>
      </c>
      <c r="CL965" s="476" t="s">
        <v>1188</v>
      </c>
      <c r="CM965" s="476" t="str">
        <f>IF(VLOOKUP(BS965,'Données par municipalité'!$B$6:$E$1113,4,FALSE)="","non","oui")</f>
        <v>non</v>
      </c>
      <c r="CN965" s="410">
        <v>672.84795962829469</v>
      </c>
      <c r="CO965" s="410">
        <v>645.45272356737451</v>
      </c>
      <c r="CP965" s="410">
        <v>645.83990896937553</v>
      </c>
      <c r="CQ965" s="410">
        <v>628.56948987268595</v>
      </c>
      <c r="CR965" s="410"/>
      <c r="CS965" s="410">
        <v>584.15425845161667</v>
      </c>
      <c r="CT965" s="410"/>
      <c r="CU965" s="410">
        <v>741</v>
      </c>
      <c r="CV965" s="410" t="str">
        <f>IF(VLOOKUP(BS965,'Données par municipalité'!$B$6:$F$1113,4,FALSE)="","",VLOOKUP(BS965,'Données par municipalité'!$B$6:$F$1113,4,FALSE))</f>
        <v/>
      </c>
      <c r="CW965" s="476" t="s">
        <v>4723</v>
      </c>
      <c r="CX965" s="483">
        <v>0</v>
      </c>
      <c r="CY965" s="483">
        <v>0</v>
      </c>
      <c r="CZ965" s="483">
        <v>0</v>
      </c>
      <c r="DA965" s="483" t="s">
        <v>1124</v>
      </c>
      <c r="DB965" s="483">
        <v>0</v>
      </c>
      <c r="DC965" s="483" t="s">
        <v>1124</v>
      </c>
      <c r="DD965" s="483">
        <v>0</v>
      </c>
      <c r="DE965" s="483" t="str">
        <f>IFERROR(SUM(VLOOKUP($BS965,'État &amp; Plan d''action'!$B$6:$Z$1113,18,FALSE),VLOOKUP($BS965,'État &amp; Plan d''action'!$B$6:$Z$1113,20,FALSE))/(VLOOKUP($BS965,'Données par municipalité'!$B$4:$L$1113,11,FALSE)),"")</f>
        <v/>
      </c>
      <c r="DF965" s="483" t="str">
        <f>IFERROR(SUM(VLOOKUP($BS965,'État &amp; Plan d''action'!$B$6:$Z$1113,19,FALSE),VLOOKUP($BS965,'État &amp; Plan d''action'!$B$6:$Z$1113,21,FALSE))/(VLOOKUP($BS965,'Données par municipalité'!$B$4:$L$1113,11,FALSE)),"")</f>
        <v/>
      </c>
      <c r="DG965" s="476" t="s">
        <v>4723</v>
      </c>
      <c r="DH965" s="484">
        <v>0</v>
      </c>
      <c r="DI965" s="484">
        <v>0</v>
      </c>
      <c r="DJ965" s="484">
        <v>0</v>
      </c>
      <c r="DK965" s="484">
        <v>0</v>
      </c>
      <c r="DL965" s="484">
        <v>3</v>
      </c>
      <c r="DM965" s="484" t="s">
        <v>1124</v>
      </c>
      <c r="DN965" s="484">
        <v>5</v>
      </c>
      <c r="DO965" s="484">
        <v>0</v>
      </c>
      <c r="DP965" s="484">
        <v>0</v>
      </c>
      <c r="DQ965" s="484" t="str">
        <f>IF(VLOOKUP($BS965,'État &amp; Plan d''action'!$B$6:$AJ$1113,28,FALSE)="","",VLOOKUP($BS965,'État &amp; Plan d''action'!$B$6:$AJ$1113,28,FALSE))</f>
        <v/>
      </c>
      <c r="DR965" s="70" t="str">
        <f>IF(VLOOKUP($BS965,'État &amp; Plan d''action'!$B$6:$AJ$1113,29,FALSE)="","",VLOOKUP($BS965,'État &amp; Plan d''action'!$B$6:$AJ$1113,29,FALSE))</f>
        <v/>
      </c>
      <c r="DS965" s="70" t="str">
        <f>IF(VLOOKUP($BS965,'État &amp; Plan d''action'!$B$6:$AJ$1113,30,FALSE)="","",VLOOKUP($BS965,'État &amp; Plan d''action'!$B$6:$AJ$1113,30,FALSE))</f>
        <v/>
      </c>
      <c r="DT965" s="70">
        <v>492</v>
      </c>
      <c r="DU965" s="485">
        <v>1.4167781376311688</v>
      </c>
      <c r="DV965" s="485" t="s">
        <v>1124</v>
      </c>
      <c r="DW965" s="70">
        <v>1</v>
      </c>
      <c r="DX965" s="70">
        <v>0</v>
      </c>
      <c r="DY965" s="70">
        <v>0</v>
      </c>
      <c r="DZ965" s="70" t="str">
        <f>VLOOKUP($BS965,'État &amp; Plan d''action'!$B$6:$AH$1113,31,FALSE)</f>
        <v/>
      </c>
      <c r="EA965" s="70" t="str">
        <f>VLOOKUP($BS965,'État &amp; Plan d''action'!$B$6:$AH$1113,32,FALSE)</f>
        <v/>
      </c>
      <c r="EB965" s="70" t="str">
        <f>VLOOKUP($BS965,'État &amp; Plan d''action'!$B$6:$AH$1113,33,FALSE)</f>
        <v/>
      </c>
      <c r="EC965" s="70">
        <v>0</v>
      </c>
      <c r="ED965" s="70">
        <v>0</v>
      </c>
      <c r="EE965" s="70">
        <v>0</v>
      </c>
      <c r="EF965" s="70">
        <v>0</v>
      </c>
      <c r="EG965" s="70">
        <v>0</v>
      </c>
      <c r="EH965" s="72">
        <v>58</v>
      </c>
      <c r="EI965" s="72">
        <v>2686</v>
      </c>
    </row>
    <row r="966" spans="71:139" x14ac:dyDescent="0.35">
      <c r="BS966" s="486">
        <v>28020</v>
      </c>
      <c r="BT966" s="479" t="s">
        <v>190</v>
      </c>
      <c r="BU966" s="479">
        <v>12</v>
      </c>
      <c r="BV966" s="476" t="s">
        <v>1187</v>
      </c>
      <c r="BW966" s="476" t="s">
        <v>1187</v>
      </c>
      <c r="BX966" s="476" t="s">
        <v>1187</v>
      </c>
      <c r="BY966" s="476" t="s">
        <v>1187</v>
      </c>
      <c r="BZ966" s="476" t="s">
        <v>1187</v>
      </c>
      <c r="CA966" s="476" t="s">
        <v>1187</v>
      </c>
      <c r="CB966" s="476" t="s">
        <v>1187</v>
      </c>
      <c r="CC966" s="476" t="s">
        <v>1187</v>
      </c>
      <c r="CD966" s="476" t="s">
        <v>1187</v>
      </c>
      <c r="CE966" s="476" t="s">
        <v>1188</v>
      </c>
      <c r="CF966" s="476" t="s">
        <v>1188</v>
      </c>
      <c r="CG966" s="476" t="s">
        <v>1188</v>
      </c>
      <c r="CH966" s="476" t="s">
        <v>1188</v>
      </c>
      <c r="CI966" s="476" t="s">
        <v>1188</v>
      </c>
      <c r="CJ966" s="476" t="s">
        <v>1188</v>
      </c>
      <c r="CK966" s="476" t="s">
        <v>1188</v>
      </c>
      <c r="CL966" s="476" t="s">
        <v>1188</v>
      </c>
      <c r="CM966" s="476" t="str">
        <f>IF(VLOOKUP(BS966,'Données par municipalité'!$B$6:$E$1113,4,FALSE)="","non","oui")</f>
        <v>oui</v>
      </c>
      <c r="CN966" s="410">
        <v>375.2957493677082</v>
      </c>
      <c r="CO966" s="410">
        <v>330.16995527717808</v>
      </c>
      <c r="CP966" s="410">
        <v>309.69452482431257</v>
      </c>
      <c r="CQ966" s="410">
        <v>301.90023577591933</v>
      </c>
      <c r="CR966" s="410">
        <v>280.78469114013132</v>
      </c>
      <c r="CS966" s="410">
        <v>275.43262619799305</v>
      </c>
      <c r="CT966" s="410">
        <v>262.79052059773289</v>
      </c>
      <c r="CU966" s="410">
        <v>229</v>
      </c>
      <c r="CV966" s="410">
        <f>IF(VLOOKUP(BS966,'Données par municipalité'!$B$6:$F$1113,4,FALSE)="","",VLOOKUP(BS966,'Données par municipalité'!$B$6:$F$1113,4,FALSE))</f>
        <v>271</v>
      </c>
      <c r="CW966" s="476" t="s">
        <v>4723</v>
      </c>
      <c r="CX966" s="483">
        <v>0</v>
      </c>
      <c r="CY966" s="483">
        <v>0</v>
      </c>
      <c r="CZ966" s="483">
        <v>0</v>
      </c>
      <c r="DA966" s="483">
        <v>0</v>
      </c>
      <c r="DB966" s="483">
        <v>0.15</v>
      </c>
      <c r="DC966" s="483">
        <v>0.2</v>
      </c>
      <c r="DD966" s="483">
        <v>1</v>
      </c>
      <c r="DE966" s="483">
        <f>IFERROR(SUM(VLOOKUP($BS966,'État &amp; Plan d''action'!$B$6:$Z$1113,18,FALSE),VLOOKUP($BS966,'État &amp; Plan d''action'!$B$6:$Z$1113,20,FALSE))/(VLOOKUP($BS966,'Données par municipalité'!$B$4:$L$1113,11,FALSE)),"")</f>
        <v>0.38699690402476783</v>
      </c>
      <c r="DF966" s="483">
        <f>IFERROR(SUM(VLOOKUP($BS966,'État &amp; Plan d''action'!$B$6:$Z$1113,19,FALSE),VLOOKUP($BS966,'État &amp; Plan d''action'!$B$6:$Z$1113,21,FALSE))/(VLOOKUP($BS966,'Données par municipalité'!$B$4:$L$1113,11,FALSE)),"")</f>
        <v>0.38699690402476783</v>
      </c>
      <c r="DG966" s="476" t="s">
        <v>4723</v>
      </c>
      <c r="DH966" s="484">
        <v>6</v>
      </c>
      <c r="DI966" s="484">
        <v>10</v>
      </c>
      <c r="DJ966" s="484">
        <v>13</v>
      </c>
      <c r="DK966" s="484">
        <v>12</v>
      </c>
      <c r="DL966" s="484">
        <v>4</v>
      </c>
      <c r="DM966" s="484">
        <v>8</v>
      </c>
      <c r="DN966" s="484">
        <v>4</v>
      </c>
      <c r="DO966" s="484">
        <v>1</v>
      </c>
      <c r="DP966" s="484">
        <v>0</v>
      </c>
      <c r="DQ966" s="484">
        <f>IF(VLOOKUP($BS966,'État &amp; Plan d''action'!$B$6:$AJ$1113,28,FALSE)="","",VLOOKUP($BS966,'État &amp; Plan d''action'!$B$6:$AJ$1113,28,FALSE))</f>
        <v>6</v>
      </c>
      <c r="DR966" s="70">
        <f>IF(VLOOKUP($BS966,'État &amp; Plan d''action'!$B$6:$AJ$1113,29,FALSE)="","",VLOOKUP($BS966,'État &amp; Plan d''action'!$B$6:$AJ$1113,29,FALSE))</f>
        <v>1</v>
      </c>
      <c r="DS966" s="70">
        <f>IF(VLOOKUP($BS966,'État &amp; Plan d''action'!$B$6:$AJ$1113,30,FALSE)="","",VLOOKUP($BS966,'État &amp; Plan d''action'!$B$6:$AJ$1113,30,FALSE))</f>
        <v>2</v>
      </c>
      <c r="DT966" s="70">
        <v>203</v>
      </c>
      <c r="DU966" s="485">
        <v>0.50892556132006839</v>
      </c>
      <c r="DV966" s="485">
        <v>1.3103691021666297</v>
      </c>
      <c r="DW966" s="70">
        <v>1</v>
      </c>
      <c r="DX966" s="70">
        <v>1</v>
      </c>
      <c r="DY966" s="70">
        <v>0</v>
      </c>
      <c r="DZ966" s="70">
        <f>VLOOKUP($BS966,'État &amp; Plan d''action'!$B$6:$AH$1113,31,FALSE)</f>
        <v>1</v>
      </c>
      <c r="EA966" s="70">
        <f>VLOOKUP($BS966,'État &amp; Plan d''action'!$B$6:$AH$1113,32,FALSE)</f>
        <v>1</v>
      </c>
      <c r="EB966" s="70">
        <f>VLOOKUP($BS966,'État &amp; Plan d''action'!$B$6:$AH$1113,33,FALSE)</f>
        <v>1</v>
      </c>
      <c r="EC966" s="70">
        <v>0</v>
      </c>
      <c r="ED966" s="70">
        <v>15.84</v>
      </c>
      <c r="EE966" s="70">
        <v>10</v>
      </c>
      <c r="EF966" s="70">
        <v>0</v>
      </c>
      <c r="EG966" s="70">
        <v>0</v>
      </c>
      <c r="EH966" s="72">
        <v>59</v>
      </c>
      <c r="EI966" s="72">
        <v>3529</v>
      </c>
    </row>
    <row r="967" spans="71:139" x14ac:dyDescent="0.35">
      <c r="BS967" s="486">
        <v>37250</v>
      </c>
      <c r="BT967" s="479" t="s">
        <v>324</v>
      </c>
      <c r="BU967" s="479">
        <v>4</v>
      </c>
      <c r="BV967" s="476" t="s">
        <v>1188</v>
      </c>
      <c r="BW967" s="476" t="s">
        <v>1188</v>
      </c>
      <c r="BX967" s="476" t="s">
        <v>1188</v>
      </c>
      <c r="BY967" s="476" t="s">
        <v>1188</v>
      </c>
      <c r="BZ967" s="476" t="s">
        <v>1187</v>
      </c>
      <c r="CA967" s="476" t="s">
        <v>1187</v>
      </c>
      <c r="CB967" s="476" t="s">
        <v>1187</v>
      </c>
      <c r="CC967" s="476" t="s">
        <v>1187</v>
      </c>
      <c r="CD967" s="476" t="s">
        <v>1187</v>
      </c>
      <c r="CE967" s="476" t="s">
        <v>1187</v>
      </c>
      <c r="CF967" s="476" t="s">
        <v>1187</v>
      </c>
      <c r="CG967" s="476" t="s">
        <v>1187</v>
      </c>
      <c r="CH967" s="476" t="s">
        <v>1187</v>
      </c>
      <c r="CI967" s="476" t="s">
        <v>1187</v>
      </c>
      <c r="CJ967" s="476" t="s">
        <v>1187</v>
      </c>
      <c r="CK967" s="476" t="s">
        <v>1188</v>
      </c>
      <c r="CL967" s="476" t="s">
        <v>1188</v>
      </c>
      <c r="CM967" s="476" t="str">
        <f>IF(VLOOKUP(BS967,'Données par municipalité'!$B$6:$E$1113,4,FALSE)="","non","oui")</f>
        <v>oui</v>
      </c>
      <c r="CN967" s="410" t="s">
        <v>1124</v>
      </c>
      <c r="CO967" s="410" t="s">
        <v>1124</v>
      </c>
      <c r="CP967" s="410"/>
      <c r="CQ967" s="410"/>
      <c r="CR967" s="410"/>
      <c r="CS967" s="410" t="s">
        <v>1124</v>
      </c>
      <c r="CT967" s="410">
        <v>455.28786282210939</v>
      </c>
      <c r="CU967" s="410">
        <v>421</v>
      </c>
      <c r="CV967" s="410">
        <f>IF(VLOOKUP(BS967,'Données par municipalité'!$B$6:$F$1113,4,FALSE)="","",VLOOKUP(BS967,'Données par municipalité'!$B$6:$F$1113,4,FALSE))</f>
        <v>366</v>
      </c>
      <c r="CW967" s="476" t="s">
        <v>4723</v>
      </c>
      <c r="CX967" s="483" t="s">
        <v>1124</v>
      </c>
      <c r="CY967" s="483" t="s">
        <v>1124</v>
      </c>
      <c r="CZ967" s="483" t="s">
        <v>1124</v>
      </c>
      <c r="DA967" s="483" t="s">
        <v>1124</v>
      </c>
      <c r="DB967" s="483" t="s">
        <v>1124</v>
      </c>
      <c r="DC967" s="483">
        <v>1</v>
      </c>
      <c r="DD967" s="483">
        <v>0</v>
      </c>
      <c r="DE967" s="483">
        <f>IFERROR(SUM(VLOOKUP($BS967,'État &amp; Plan d''action'!$B$6:$Z$1113,18,FALSE),VLOOKUP($BS967,'État &amp; Plan d''action'!$B$6:$Z$1113,20,FALSE))/(VLOOKUP($BS967,'Données par municipalité'!$B$4:$L$1113,11,FALSE)),"")</f>
        <v>0</v>
      </c>
      <c r="DF967" s="483">
        <f>IFERROR(SUM(VLOOKUP($BS967,'État &amp; Plan d''action'!$B$6:$Z$1113,19,FALSE),VLOOKUP($BS967,'État &amp; Plan d''action'!$B$6:$Z$1113,21,FALSE))/(VLOOKUP($BS967,'Données par municipalité'!$B$4:$L$1113,11,FALSE)),"")</f>
        <v>0</v>
      </c>
      <c r="DG967" s="476" t="s">
        <v>4723</v>
      </c>
      <c r="DH967" s="484" t="s">
        <v>1124</v>
      </c>
      <c r="DI967" s="484" t="s">
        <v>1124</v>
      </c>
      <c r="DJ967" s="484">
        <v>0</v>
      </c>
      <c r="DK967" s="484">
        <v>0</v>
      </c>
      <c r="DL967" s="484" t="s">
        <v>1124</v>
      </c>
      <c r="DM967" s="484">
        <v>1</v>
      </c>
      <c r="DN967" s="484">
        <v>2</v>
      </c>
      <c r="DO967" s="484">
        <v>0</v>
      </c>
      <c r="DP967" s="484">
        <v>1</v>
      </c>
      <c r="DQ967" s="484">
        <f>IF(VLOOKUP($BS967,'État &amp; Plan d''action'!$B$6:$AJ$1113,28,FALSE)="","",VLOOKUP($BS967,'État &amp; Plan d''action'!$B$6:$AJ$1113,28,FALSE))</f>
        <v>0</v>
      </c>
      <c r="DR967" s="70">
        <f>IF(VLOOKUP($BS967,'État &amp; Plan d''action'!$B$6:$AJ$1113,29,FALSE)="","",VLOOKUP($BS967,'État &amp; Plan d''action'!$B$6:$AJ$1113,29,FALSE))</f>
        <v>2</v>
      </c>
      <c r="DS967" s="70">
        <f>IF(VLOOKUP($BS967,'État &amp; Plan d''action'!$B$6:$AJ$1113,30,FALSE)="","",VLOOKUP($BS967,'État &amp; Plan d''action'!$B$6:$AJ$1113,30,FALSE))</f>
        <v>2</v>
      </c>
      <c r="DT967" s="70">
        <v>314</v>
      </c>
      <c r="DU967" s="485">
        <v>1.3262469307330405</v>
      </c>
      <c r="DV967" s="485">
        <v>0.82281442233233404</v>
      </c>
      <c r="DW967" s="70">
        <v>120</v>
      </c>
      <c r="DX967" s="70">
        <v>0</v>
      </c>
      <c r="DY967" s="70">
        <v>365</v>
      </c>
      <c r="DZ967" s="70">
        <f>VLOOKUP($BS967,'État &amp; Plan d''action'!$B$6:$AH$1113,31,FALSE)</f>
        <v>0</v>
      </c>
      <c r="EA967" s="70">
        <f>VLOOKUP($BS967,'État &amp; Plan d''action'!$B$6:$AH$1113,32,FALSE)</f>
        <v>2</v>
      </c>
      <c r="EB967" s="70">
        <f>VLOOKUP($BS967,'État &amp; Plan d''action'!$B$6:$AH$1113,33,FALSE)</f>
        <v>5</v>
      </c>
      <c r="EC967" s="70">
        <v>0</v>
      </c>
      <c r="ED967" s="70">
        <v>0</v>
      </c>
      <c r="EE967" s="70">
        <v>0</v>
      </c>
      <c r="EF967" s="70">
        <v>0</v>
      </c>
      <c r="EG967" s="70">
        <v>0</v>
      </c>
      <c r="EH967" s="72">
        <v>45</v>
      </c>
      <c r="EI967" s="72">
        <v>552</v>
      </c>
    </row>
    <row r="968" spans="71:139" x14ac:dyDescent="0.35">
      <c r="BS968" s="486">
        <v>19082</v>
      </c>
      <c r="BT968" s="479" t="s">
        <v>132</v>
      </c>
      <c r="BU968" s="479">
        <v>12</v>
      </c>
      <c r="BV968" s="476" t="s">
        <v>1187</v>
      </c>
      <c r="BW968" s="476" t="s">
        <v>1187</v>
      </c>
      <c r="BX968" s="476" t="s">
        <v>1187</v>
      </c>
      <c r="BY968" s="476" t="s">
        <v>1187</v>
      </c>
      <c r="BZ968" s="476" t="s">
        <v>1187</v>
      </c>
      <c r="CA968" s="476" t="s">
        <v>1187</v>
      </c>
      <c r="CB968" s="476" t="s">
        <v>1187</v>
      </c>
      <c r="CC968" s="476" t="s">
        <v>1187</v>
      </c>
      <c r="CD968" s="476" t="s">
        <v>1187</v>
      </c>
      <c r="CE968" s="476" t="s">
        <v>1188</v>
      </c>
      <c r="CF968" s="476" t="s">
        <v>1188</v>
      </c>
      <c r="CG968" s="476" t="s">
        <v>1188</v>
      </c>
      <c r="CH968" s="476" t="s">
        <v>1188</v>
      </c>
      <c r="CI968" s="476" t="s">
        <v>1188</v>
      </c>
      <c r="CJ968" s="476" t="s">
        <v>1187</v>
      </c>
      <c r="CK968" s="476" t="s">
        <v>1187</v>
      </c>
      <c r="CL968" s="476" t="s">
        <v>1187</v>
      </c>
      <c r="CM968" s="476" t="str">
        <f>IF(VLOOKUP(BS968,'Données par municipalité'!$B$6:$E$1113,4,FALSE)="","non","oui")</f>
        <v>oui</v>
      </c>
      <c r="CN968" s="410">
        <v>383.6921069797782</v>
      </c>
      <c r="CO968" s="410">
        <v>387.75327134284902</v>
      </c>
      <c r="CP968" s="410">
        <v>368.3188779458078</v>
      </c>
      <c r="CQ968" s="410">
        <v>247.57870053176921</v>
      </c>
      <c r="CR968" s="410">
        <v>282.97728608386399</v>
      </c>
      <c r="CS968" s="410" t="s">
        <v>1124</v>
      </c>
      <c r="CT968" s="410"/>
      <c r="CU968" s="410" t="s">
        <v>1124</v>
      </c>
      <c r="CV968" s="410">
        <f>IF(VLOOKUP(BS968,'Données par municipalité'!$B$6:$F$1113,4,FALSE)="","",VLOOKUP(BS968,'Données par municipalité'!$B$6:$F$1113,4,FALSE))</f>
        <v>369</v>
      </c>
      <c r="CW968" s="476" t="s">
        <v>4723</v>
      </c>
      <c r="CX968" s="483">
        <v>0.2</v>
      </c>
      <c r="CY968" s="483">
        <v>0.3</v>
      </c>
      <c r="CZ968" s="483">
        <v>0.3</v>
      </c>
      <c r="DA968" s="483">
        <v>0.1</v>
      </c>
      <c r="DB968" s="483" t="s">
        <v>1124</v>
      </c>
      <c r="DC968" s="483" t="s">
        <v>1124</v>
      </c>
      <c r="DD968" s="483" t="s">
        <v>1124</v>
      </c>
      <c r="DE968" s="483">
        <f>IFERROR(SUM(VLOOKUP($BS968,'État &amp; Plan d''action'!$B$6:$Z$1113,18,FALSE),VLOOKUP($BS968,'État &amp; Plan d''action'!$B$6:$Z$1113,20,FALSE))/(VLOOKUP($BS968,'Données par municipalité'!$B$4:$L$1113,11,FALSE)),"")</f>
        <v>1</v>
      </c>
      <c r="DF968" s="483">
        <f>IFERROR(SUM(VLOOKUP($BS968,'État &amp; Plan d''action'!$B$6:$Z$1113,19,FALSE),VLOOKUP($BS968,'État &amp; Plan d''action'!$B$6:$Z$1113,21,FALSE))/(VLOOKUP($BS968,'Données par municipalité'!$B$4:$L$1113,11,FALSE)),"")</f>
        <v>0</v>
      </c>
      <c r="DG968" s="476" t="s">
        <v>4723</v>
      </c>
      <c r="DH968" s="484">
        <v>5</v>
      </c>
      <c r="DI968" s="484">
        <v>10</v>
      </c>
      <c r="DJ968" s="484">
        <v>0</v>
      </c>
      <c r="DK968" s="484">
        <v>2</v>
      </c>
      <c r="DL968" s="484" t="s">
        <v>1124</v>
      </c>
      <c r="DM968" s="484" t="s">
        <v>1124</v>
      </c>
      <c r="DN968" s="484" t="s">
        <v>1124</v>
      </c>
      <c r="DO968" s="484" t="s">
        <v>1124</v>
      </c>
      <c r="DP968" s="484" t="s">
        <v>1124</v>
      </c>
      <c r="DQ968" s="484">
        <f>IF(VLOOKUP($BS968,'État &amp; Plan d''action'!$B$6:$AJ$1113,28,FALSE)="","",VLOOKUP($BS968,'État &amp; Plan d''action'!$B$6:$AJ$1113,28,FALSE))</f>
        <v>3</v>
      </c>
      <c r="DR968" s="70">
        <f>IF(VLOOKUP($BS968,'État &amp; Plan d''action'!$B$6:$AJ$1113,29,FALSE)="","",VLOOKUP($BS968,'État &amp; Plan d''action'!$B$6:$AJ$1113,29,FALSE))</f>
        <v>1</v>
      </c>
      <c r="DS968" s="70">
        <f>IF(VLOOKUP($BS968,'État &amp; Plan d''action'!$B$6:$AJ$1113,30,FALSE)="","",VLOOKUP($BS968,'État &amp; Plan d''action'!$B$6:$AJ$1113,30,FALSE))</f>
        <v>0</v>
      </c>
      <c r="DT968" s="70" t="s">
        <v>1124</v>
      </c>
      <c r="DU968" s="485" t="s">
        <v>1124</v>
      </c>
      <c r="DV968" s="485">
        <v>0.69326940203693777</v>
      </c>
      <c r="DW968" s="70" t="s">
        <v>1124</v>
      </c>
      <c r="DX968" s="70" t="s">
        <v>1124</v>
      </c>
      <c r="DY968" s="70" t="s">
        <v>1124</v>
      </c>
      <c r="DZ968" s="70">
        <f>VLOOKUP($BS968,'État &amp; Plan d''action'!$B$6:$AH$1113,31,FALSE)</f>
        <v>11</v>
      </c>
      <c r="EA968" s="70">
        <f>VLOOKUP($BS968,'État &amp; Plan d''action'!$B$6:$AH$1113,32,FALSE)</f>
        <v>7</v>
      </c>
      <c r="EB968" s="70">
        <f>VLOOKUP($BS968,'État &amp; Plan d''action'!$B$6:$AH$1113,33,FALSE)</f>
        <v>0</v>
      </c>
      <c r="EC968" s="70" t="s">
        <v>1124</v>
      </c>
      <c r="ED968" s="70" t="s">
        <v>1124</v>
      </c>
      <c r="EE968" s="70" t="s">
        <v>1124</v>
      </c>
      <c r="EF968" s="70" t="s">
        <v>1124</v>
      </c>
      <c r="EG968" s="70" t="s">
        <v>1124</v>
      </c>
      <c r="EH968" s="72"/>
      <c r="EI968" s="72">
        <v>2401</v>
      </c>
    </row>
    <row r="969" spans="71:139" x14ac:dyDescent="0.35">
      <c r="BS969" s="486">
        <v>34128</v>
      </c>
      <c r="BT969" s="479" t="s">
        <v>301</v>
      </c>
      <c r="BU969" s="479">
        <v>3</v>
      </c>
      <c r="BV969" s="476" t="s">
        <v>1187</v>
      </c>
      <c r="BW969" s="476" t="s">
        <v>1187</v>
      </c>
      <c r="BX969" s="476" t="s">
        <v>1187</v>
      </c>
      <c r="BY969" s="476" t="s">
        <v>1187</v>
      </c>
      <c r="BZ969" s="476" t="s">
        <v>1187</v>
      </c>
      <c r="CA969" s="476" t="s">
        <v>1187</v>
      </c>
      <c r="CB969" s="476" t="s">
        <v>1187</v>
      </c>
      <c r="CC969" s="476" t="s">
        <v>1187</v>
      </c>
      <c r="CD969" s="476" t="s">
        <v>1187</v>
      </c>
      <c r="CE969" s="476" t="s">
        <v>1188</v>
      </c>
      <c r="CF969" s="476" t="s">
        <v>1188</v>
      </c>
      <c r="CG969" s="476" t="s">
        <v>1188</v>
      </c>
      <c r="CH969" s="476" t="s">
        <v>1188</v>
      </c>
      <c r="CI969" s="476" t="s">
        <v>1188</v>
      </c>
      <c r="CJ969" s="476" t="s">
        <v>1188</v>
      </c>
      <c r="CK969" s="476" t="s">
        <v>1187</v>
      </c>
      <c r="CL969" s="476" t="s">
        <v>1188</v>
      </c>
      <c r="CM969" s="476" t="str">
        <f>IF(VLOOKUP(BS969,'Données par municipalité'!$B$6:$E$1113,4,FALSE)="","non","oui")</f>
        <v>oui</v>
      </c>
      <c r="CN969" s="410">
        <v>563.49681915268616</v>
      </c>
      <c r="CO969" s="410">
        <v>551.88998992696406</v>
      </c>
      <c r="CP969" s="410">
        <v>456.3955122944206</v>
      </c>
      <c r="CQ969" s="410">
        <v>446.89922433050884</v>
      </c>
      <c r="CR969" s="410">
        <v>459.75834567444156</v>
      </c>
      <c r="CS969" s="410">
        <v>461.79024301971771</v>
      </c>
      <c r="CT969" s="410"/>
      <c r="CU969" s="410">
        <v>478</v>
      </c>
      <c r="CV969" s="410">
        <f>IF(VLOOKUP(BS969,'Données par municipalité'!$B$6:$F$1113,4,FALSE)="","",VLOOKUP(BS969,'Données par municipalité'!$B$6:$F$1113,4,FALSE))</f>
        <v>429</v>
      </c>
      <c r="CW969" s="476" t="s">
        <v>4723</v>
      </c>
      <c r="CX969" s="483">
        <v>0.5</v>
      </c>
      <c r="CY969" s="483">
        <v>0.2</v>
      </c>
      <c r="CZ969" s="483">
        <v>0.4</v>
      </c>
      <c r="DA969" s="483">
        <v>0.4</v>
      </c>
      <c r="DB969" s="483">
        <v>1</v>
      </c>
      <c r="DC969" s="483" t="s">
        <v>1124</v>
      </c>
      <c r="DD969" s="483">
        <v>0.89104091497038596</v>
      </c>
      <c r="DE969" s="483">
        <f>IFERROR(SUM(VLOOKUP($BS969,'État &amp; Plan d''action'!$B$6:$Z$1113,18,FALSE),VLOOKUP($BS969,'État &amp; Plan d''action'!$B$6:$Z$1113,20,FALSE))/(VLOOKUP($BS969,'Données par municipalité'!$B$4:$L$1113,11,FALSE)),"")</f>
        <v>0.89170444549698891</v>
      </c>
      <c r="DF969" s="483">
        <f>IFERROR(SUM(VLOOKUP($BS969,'État &amp; Plan d''action'!$B$6:$Z$1113,19,FALSE),VLOOKUP($BS969,'État &amp; Plan d''action'!$B$6:$Z$1113,21,FALSE))/(VLOOKUP($BS969,'Données par municipalité'!$B$4:$L$1113,11,FALSE)),"")</f>
        <v>0.89170444549698891</v>
      </c>
      <c r="DG969" s="476" t="s">
        <v>4723</v>
      </c>
      <c r="DH969" s="484">
        <v>6</v>
      </c>
      <c r="DI969" s="484">
        <v>2</v>
      </c>
      <c r="DJ969" s="484">
        <v>3</v>
      </c>
      <c r="DK969" s="484">
        <v>4</v>
      </c>
      <c r="DL969" s="484">
        <v>13</v>
      </c>
      <c r="DM969" s="484" t="s">
        <v>1124</v>
      </c>
      <c r="DN969" s="484">
        <v>2</v>
      </c>
      <c r="DO969" s="484">
        <v>2</v>
      </c>
      <c r="DP969" s="484">
        <v>5</v>
      </c>
      <c r="DQ969" s="484">
        <f>IF(VLOOKUP($BS969,'État &amp; Plan d''action'!$B$6:$AJ$1113,28,FALSE)="","",VLOOKUP($BS969,'État &amp; Plan d''action'!$B$6:$AJ$1113,28,FALSE))</f>
        <v>1</v>
      </c>
      <c r="DR969" s="70">
        <f>IF(VLOOKUP($BS969,'État &amp; Plan d''action'!$B$6:$AJ$1113,29,FALSE)="","",VLOOKUP($BS969,'État &amp; Plan d''action'!$B$6:$AJ$1113,29,FALSE))</f>
        <v>0</v>
      </c>
      <c r="DS969" s="70">
        <f>IF(VLOOKUP($BS969,'État &amp; Plan d''action'!$B$6:$AJ$1113,30,FALSE)="","",VLOOKUP($BS969,'État &amp; Plan d''action'!$B$6:$AJ$1113,30,FALSE))</f>
        <v>9</v>
      </c>
      <c r="DT969" s="70">
        <v>257</v>
      </c>
      <c r="DU969" s="485">
        <v>1.7443139118840034</v>
      </c>
      <c r="DV969" s="485">
        <v>2.4260820663553333</v>
      </c>
      <c r="DW969" s="70">
        <v>2</v>
      </c>
      <c r="DX969" s="70">
        <v>5</v>
      </c>
      <c r="DY969" s="70">
        <v>20</v>
      </c>
      <c r="DZ969" s="70">
        <f>VLOOKUP($BS969,'État &amp; Plan d''action'!$B$6:$AH$1113,31,FALSE)</f>
        <v>3</v>
      </c>
      <c r="EA969" s="70">
        <f>VLOOKUP($BS969,'État &amp; Plan d''action'!$B$6:$AH$1113,32,FALSE)</f>
        <v>0</v>
      </c>
      <c r="EB969" s="70">
        <f>VLOOKUP($BS969,'État &amp; Plan d''action'!$B$6:$AH$1113,33,FALSE)</f>
        <v>20</v>
      </c>
      <c r="EC969" s="70">
        <v>54.069000000000003</v>
      </c>
      <c r="ED969" s="70">
        <v>0</v>
      </c>
      <c r="EE969" s="70">
        <v>52.353999999999999</v>
      </c>
      <c r="EF969" s="70">
        <v>0</v>
      </c>
      <c r="EG969" s="70">
        <v>0</v>
      </c>
      <c r="EH969" s="72">
        <v>62</v>
      </c>
      <c r="EI969" s="72">
        <v>10638</v>
      </c>
    </row>
    <row r="970" spans="71:139" x14ac:dyDescent="0.35">
      <c r="BS970" s="486">
        <v>68055</v>
      </c>
      <c r="BT970" s="479" t="s">
        <v>683</v>
      </c>
      <c r="BU970" s="479">
        <v>16</v>
      </c>
      <c r="BV970" s="476" t="s">
        <v>1187</v>
      </c>
      <c r="BW970" s="476" t="s">
        <v>1187</v>
      </c>
      <c r="BX970" s="476" t="s">
        <v>1187</v>
      </c>
      <c r="BY970" s="476" t="s">
        <v>1187</v>
      </c>
      <c r="BZ970" s="476" t="s">
        <v>1187</v>
      </c>
      <c r="CA970" s="476" t="s">
        <v>1187</v>
      </c>
      <c r="CB970" s="476" t="s">
        <v>1187</v>
      </c>
      <c r="CC970" s="476" t="s">
        <v>1187</v>
      </c>
      <c r="CD970" s="476" t="s">
        <v>1187</v>
      </c>
      <c r="CE970" s="476" t="s">
        <v>1187</v>
      </c>
      <c r="CF970" s="476" t="s">
        <v>1187</v>
      </c>
      <c r="CG970" s="476" t="s">
        <v>1187</v>
      </c>
      <c r="CH970" s="476" t="s">
        <v>1187</v>
      </c>
      <c r="CI970" s="476" t="s">
        <v>1187</v>
      </c>
      <c r="CJ970" s="476" t="s">
        <v>1187</v>
      </c>
      <c r="CK970" s="476" t="s">
        <v>1187</v>
      </c>
      <c r="CL970" s="476" t="s">
        <v>1187</v>
      </c>
      <c r="CM970" s="476" t="str">
        <f>IF(VLOOKUP(BS970,'Données par municipalité'!$B$6:$E$1113,4,FALSE)="","non","oui")</f>
        <v>oui</v>
      </c>
      <c r="CN970" s="410" t="s">
        <v>1124</v>
      </c>
      <c r="CO970" s="410" t="s">
        <v>1124</v>
      </c>
      <c r="CP970" s="410"/>
      <c r="CQ970" s="410"/>
      <c r="CR970" s="410"/>
      <c r="CS970" s="410" t="s">
        <v>1124</v>
      </c>
      <c r="CT970" s="410"/>
      <c r="CU970" s="410" t="s">
        <v>1124</v>
      </c>
      <c r="CV970" s="410">
        <f>IF(VLOOKUP(BS970,'Données par municipalité'!$B$6:$F$1113,4,FALSE)="","",VLOOKUP(BS970,'Données par municipalité'!$B$6:$F$1113,4,FALSE))</f>
        <v>366</v>
      </c>
      <c r="CW970" s="476" t="s">
        <v>4723</v>
      </c>
      <c r="CX970" s="483" t="s">
        <v>1124</v>
      </c>
      <c r="CY970" s="483" t="s">
        <v>1124</v>
      </c>
      <c r="CZ970" s="483" t="s">
        <v>1124</v>
      </c>
      <c r="DA970" s="483" t="s">
        <v>1124</v>
      </c>
      <c r="DB970" s="483" t="s">
        <v>1124</v>
      </c>
      <c r="DC970" s="483" t="s">
        <v>1124</v>
      </c>
      <c r="DD970" s="483" t="s">
        <v>1124</v>
      </c>
      <c r="DE970" s="483">
        <f>IFERROR(SUM(VLOOKUP($BS970,'État &amp; Plan d''action'!$B$6:$Z$1113,18,FALSE),VLOOKUP($BS970,'État &amp; Plan d''action'!$B$6:$Z$1113,20,FALSE))/(VLOOKUP($BS970,'Données par municipalité'!$B$4:$L$1113,11,FALSE)),"")</f>
        <v>0</v>
      </c>
      <c r="DF970" s="483">
        <f>IFERROR(SUM(VLOOKUP($BS970,'État &amp; Plan d''action'!$B$6:$Z$1113,19,FALSE),VLOOKUP($BS970,'État &amp; Plan d''action'!$B$6:$Z$1113,21,FALSE))/(VLOOKUP($BS970,'Données par municipalité'!$B$4:$L$1113,11,FALSE)),"")</f>
        <v>0</v>
      </c>
      <c r="DG970" s="476" t="s">
        <v>4723</v>
      </c>
      <c r="DH970" s="484">
        <v>3</v>
      </c>
      <c r="DI970" s="484" t="s">
        <v>1124</v>
      </c>
      <c r="DJ970" s="484">
        <v>3</v>
      </c>
      <c r="DK970" s="484">
        <v>0</v>
      </c>
      <c r="DL970" s="484" t="s">
        <v>1124</v>
      </c>
      <c r="DM970" s="484" t="s">
        <v>1124</v>
      </c>
      <c r="DN970" s="484" t="s">
        <v>1124</v>
      </c>
      <c r="DO970" s="484" t="s">
        <v>1124</v>
      </c>
      <c r="DP970" s="484" t="s">
        <v>1124</v>
      </c>
      <c r="DQ970" s="484">
        <f>IF(VLOOKUP($BS970,'État &amp; Plan d''action'!$B$6:$AJ$1113,28,FALSE)="","",VLOOKUP($BS970,'État &amp; Plan d''action'!$B$6:$AJ$1113,28,FALSE))</f>
        <v>5</v>
      </c>
      <c r="DR970" s="70">
        <f>IF(VLOOKUP($BS970,'État &amp; Plan d''action'!$B$6:$AJ$1113,29,FALSE)="","",VLOOKUP($BS970,'État &amp; Plan d''action'!$B$6:$AJ$1113,29,FALSE))</f>
        <v>0</v>
      </c>
      <c r="DS970" s="70">
        <f>IF(VLOOKUP($BS970,'État &amp; Plan d''action'!$B$6:$AJ$1113,30,FALSE)="","",VLOOKUP($BS970,'État &amp; Plan d''action'!$B$6:$AJ$1113,30,FALSE))</f>
        <v>1</v>
      </c>
      <c r="DT970" s="70" t="s">
        <v>1124</v>
      </c>
      <c r="DU970" s="485" t="s">
        <v>1124</v>
      </c>
      <c r="DV970" s="485">
        <v>0.95137739561704093</v>
      </c>
      <c r="DW970" s="70" t="s">
        <v>1124</v>
      </c>
      <c r="DX970" s="70" t="s">
        <v>1124</v>
      </c>
      <c r="DY970" s="70" t="s">
        <v>1124</v>
      </c>
      <c r="DZ970" s="70">
        <f>VLOOKUP($BS970,'État &amp; Plan d''action'!$B$6:$AH$1113,31,FALSE)</f>
        <v>1</v>
      </c>
      <c r="EA970" s="70">
        <f>VLOOKUP($BS970,'État &amp; Plan d''action'!$B$6:$AH$1113,32,FALSE)</f>
        <v>0</v>
      </c>
      <c r="EB970" s="70">
        <f>VLOOKUP($BS970,'État &amp; Plan d''action'!$B$6:$AH$1113,33,FALSE)</f>
        <v>1</v>
      </c>
      <c r="EC970" s="70" t="s">
        <v>1124</v>
      </c>
      <c r="ED970" s="70" t="s">
        <v>1124</v>
      </c>
      <c r="EE970" s="70" t="s">
        <v>1124</v>
      </c>
      <c r="EF970" s="70" t="s">
        <v>1124</v>
      </c>
      <c r="EG970" s="70" t="s">
        <v>1124</v>
      </c>
      <c r="EH970" s="72"/>
      <c r="EI970" s="72">
        <v>8660</v>
      </c>
    </row>
    <row r="971" spans="71:139" x14ac:dyDescent="0.35">
      <c r="BS971" s="486">
        <v>39020</v>
      </c>
      <c r="BT971" s="479" t="s">
        <v>340</v>
      </c>
      <c r="BU971" s="479">
        <v>17</v>
      </c>
      <c r="BV971" s="476" t="s">
        <v>1188</v>
      </c>
      <c r="BW971" s="476" t="s">
        <v>1188</v>
      </c>
      <c r="BX971" s="476" t="s">
        <v>1188</v>
      </c>
      <c r="BY971" s="476" t="s">
        <v>1188</v>
      </c>
      <c r="BZ971" s="476" t="s">
        <v>1188</v>
      </c>
      <c r="CA971" s="476" t="s">
        <v>1188</v>
      </c>
      <c r="CB971" s="476" t="s">
        <v>1187</v>
      </c>
      <c r="CC971" s="476" t="s">
        <v>1187</v>
      </c>
      <c r="CD971" s="476" t="s">
        <v>1187</v>
      </c>
      <c r="CE971" s="476" t="s">
        <v>1187</v>
      </c>
      <c r="CF971" s="476" t="s">
        <v>1187</v>
      </c>
      <c r="CG971" s="476" t="s">
        <v>1187</v>
      </c>
      <c r="CH971" s="476" t="s">
        <v>1187</v>
      </c>
      <c r="CI971" s="476" t="s">
        <v>1187</v>
      </c>
      <c r="CJ971" s="476" t="s">
        <v>1187</v>
      </c>
      <c r="CK971" s="476" t="s">
        <v>1187</v>
      </c>
      <c r="CL971" s="476" t="s">
        <v>1188</v>
      </c>
      <c r="CM971" s="476" t="str">
        <f>IF(VLOOKUP(BS971,'Données par municipalité'!$B$6:$E$1113,4,FALSE)="","non","oui")</f>
        <v>oui</v>
      </c>
      <c r="CN971" s="410" t="s">
        <v>1124</v>
      </c>
      <c r="CO971" s="410" t="s">
        <v>1124</v>
      </c>
      <c r="CP971" s="410"/>
      <c r="CQ971" s="410"/>
      <c r="CR971" s="410"/>
      <c r="CS971" s="410" t="s">
        <v>1124</v>
      </c>
      <c r="CT971" s="410"/>
      <c r="CU971" s="410">
        <v>198</v>
      </c>
      <c r="CV971" s="410">
        <f>IF(VLOOKUP(BS971,'Données par municipalité'!$B$6:$F$1113,4,FALSE)="","",VLOOKUP(BS971,'Données par municipalité'!$B$6:$F$1113,4,FALSE))</f>
        <v>286</v>
      </c>
      <c r="CW971" s="476" t="s">
        <v>4723</v>
      </c>
      <c r="CX971" s="483" t="s">
        <v>1124</v>
      </c>
      <c r="CY971" s="483" t="s">
        <v>1124</v>
      </c>
      <c r="CZ971" s="483" t="s">
        <v>1124</v>
      </c>
      <c r="DA971" s="483" t="s">
        <v>1124</v>
      </c>
      <c r="DB971" s="483" t="s">
        <v>1124</v>
      </c>
      <c r="DC971" s="483" t="s">
        <v>1124</v>
      </c>
      <c r="DD971" s="483">
        <v>1</v>
      </c>
      <c r="DE971" s="483">
        <f>IFERROR(SUM(VLOOKUP($BS971,'État &amp; Plan d''action'!$B$6:$Z$1113,18,FALSE),VLOOKUP($BS971,'État &amp; Plan d''action'!$B$6:$Z$1113,20,FALSE))/(VLOOKUP($BS971,'Données par municipalité'!$B$4:$L$1113,11,FALSE)),"")</f>
        <v>1</v>
      </c>
      <c r="DF971" s="483">
        <f>IFERROR(SUM(VLOOKUP($BS971,'État &amp; Plan d''action'!$B$6:$Z$1113,19,FALSE),VLOOKUP($BS971,'État &amp; Plan d''action'!$B$6:$Z$1113,21,FALSE))/(VLOOKUP($BS971,'Données par municipalité'!$B$4:$L$1113,11,FALSE)),"")</f>
        <v>1</v>
      </c>
      <c r="DG971" s="476" t="s">
        <v>4723</v>
      </c>
      <c r="DH971" s="484" t="s">
        <v>1124</v>
      </c>
      <c r="DI971" s="484" t="s">
        <v>1124</v>
      </c>
      <c r="DJ971" s="484">
        <v>0</v>
      </c>
      <c r="DK971" s="484">
        <v>0</v>
      </c>
      <c r="DL971" s="484" t="s">
        <v>1124</v>
      </c>
      <c r="DM971" s="484" t="s">
        <v>1124</v>
      </c>
      <c r="DN971" s="484">
        <v>10</v>
      </c>
      <c r="DO971" s="484">
        <v>0</v>
      </c>
      <c r="DP971" s="484">
        <v>0</v>
      </c>
      <c r="DQ971" s="484">
        <f>IF(VLOOKUP($BS971,'État &amp; Plan d''action'!$B$6:$AJ$1113,28,FALSE)="","",VLOOKUP($BS971,'État &amp; Plan d''action'!$B$6:$AJ$1113,28,FALSE))</f>
        <v>2</v>
      </c>
      <c r="DR971" s="70">
        <f>IF(VLOOKUP($BS971,'État &amp; Plan d''action'!$B$6:$AJ$1113,29,FALSE)="","",VLOOKUP($BS971,'État &amp; Plan d''action'!$B$6:$AJ$1113,29,FALSE))</f>
        <v>7</v>
      </c>
      <c r="DS971" s="70">
        <f>IF(VLOOKUP($BS971,'État &amp; Plan d''action'!$B$6:$AJ$1113,30,FALSE)="","",VLOOKUP($BS971,'État &amp; Plan d''action'!$B$6:$AJ$1113,30,FALSE))</f>
        <v>0</v>
      </c>
      <c r="DT971" s="70">
        <v>151</v>
      </c>
      <c r="DU971" s="485">
        <v>0.76151607899697715</v>
      </c>
      <c r="DV971" s="485">
        <v>1.1875554604887395</v>
      </c>
      <c r="DW971" s="70">
        <v>2</v>
      </c>
      <c r="DX971" s="70">
        <v>0</v>
      </c>
      <c r="DY971" s="70">
        <v>0</v>
      </c>
      <c r="DZ971" s="70">
        <f>VLOOKUP($BS971,'État &amp; Plan d''action'!$B$6:$AH$1113,31,FALSE)</f>
        <v>3</v>
      </c>
      <c r="EA971" s="70">
        <f>VLOOKUP($BS971,'État &amp; Plan d''action'!$B$6:$AH$1113,32,FALSE)</f>
        <v>1</v>
      </c>
      <c r="EB971" s="70">
        <f>VLOOKUP($BS971,'État &amp; Plan d''action'!$B$6:$AH$1113,33,FALSE)</f>
        <v>0</v>
      </c>
      <c r="EC971" s="70">
        <v>5.9249999999999998</v>
      </c>
      <c r="ED971" s="70">
        <v>0</v>
      </c>
      <c r="EE971" s="70">
        <v>5.9249999999999998</v>
      </c>
      <c r="EF971" s="70">
        <v>0</v>
      </c>
      <c r="EG971" s="70">
        <v>0</v>
      </c>
      <c r="EH971" s="72">
        <v>63</v>
      </c>
      <c r="EI971" s="72">
        <v>441</v>
      </c>
    </row>
    <row r="972" spans="71:139" x14ac:dyDescent="0.35">
      <c r="BS972" s="486">
        <v>29050</v>
      </c>
      <c r="BT972" s="479" t="s">
        <v>208</v>
      </c>
      <c r="BU972" s="479">
        <v>12</v>
      </c>
      <c r="BV972" s="476" t="s">
        <v>1188</v>
      </c>
      <c r="BW972" s="476" t="s">
        <v>1188</v>
      </c>
      <c r="BX972" s="476" t="s">
        <v>1188</v>
      </c>
      <c r="BY972" s="476" t="s">
        <v>1188</v>
      </c>
      <c r="BZ972" s="476" t="s">
        <v>1188</v>
      </c>
      <c r="CA972" s="476" t="s">
        <v>1188</v>
      </c>
      <c r="CB972" s="476" t="s">
        <v>1188</v>
      </c>
      <c r="CC972" s="476" t="s">
        <v>1188</v>
      </c>
      <c r="CD972" s="476" t="s">
        <v>1188</v>
      </c>
      <c r="CE972" s="476" t="s">
        <v>1187</v>
      </c>
      <c r="CF972" s="476" t="s">
        <v>1187</v>
      </c>
      <c r="CG972" s="476" t="s">
        <v>1187</v>
      </c>
      <c r="CH972" s="476" t="s">
        <v>1187</v>
      </c>
      <c r="CI972" s="476" t="s">
        <v>1187</v>
      </c>
      <c r="CJ972" s="476" t="s">
        <v>1187</v>
      </c>
      <c r="CK972" s="476" t="s">
        <v>1187</v>
      </c>
      <c r="CL972" s="476" t="s">
        <v>1187</v>
      </c>
      <c r="CM972" s="476" t="str">
        <f>IF(VLOOKUP(BS972,'Données par municipalité'!$B$6:$E$1113,4,FALSE)="","non","oui")</f>
        <v>non</v>
      </c>
      <c r="CN972" s="410" t="s">
        <v>1124</v>
      </c>
      <c r="CO972" s="410" t="s">
        <v>1124</v>
      </c>
      <c r="CP972" s="410"/>
      <c r="CQ972" s="410"/>
      <c r="CR972" s="410"/>
      <c r="CS972" s="410" t="s">
        <v>1124</v>
      </c>
      <c r="CT972" s="410"/>
      <c r="CU972" s="410" t="s">
        <v>1124</v>
      </c>
      <c r="CV972" s="410" t="str">
        <f>IF(VLOOKUP(BS972,'Données par municipalité'!$B$6:$F$1113,4,FALSE)="","",VLOOKUP(BS972,'Données par municipalité'!$B$6:$F$1113,4,FALSE))</f>
        <v/>
      </c>
      <c r="CW972" s="476" t="s">
        <v>4723</v>
      </c>
      <c r="CX972" s="483" t="s">
        <v>1124</v>
      </c>
      <c r="CY972" s="483" t="s">
        <v>1124</v>
      </c>
      <c r="CZ972" s="483" t="s">
        <v>1124</v>
      </c>
      <c r="DA972" s="483" t="s">
        <v>1124</v>
      </c>
      <c r="DB972" s="483" t="s">
        <v>1124</v>
      </c>
      <c r="DC972" s="483" t="s">
        <v>1124</v>
      </c>
      <c r="DD972" s="483" t="s">
        <v>1124</v>
      </c>
      <c r="DE972" s="483" t="str">
        <f>IFERROR(SUM(VLOOKUP($BS972,'État &amp; Plan d''action'!$B$6:$Z$1113,18,FALSE),VLOOKUP($BS972,'État &amp; Plan d''action'!$B$6:$Z$1113,20,FALSE))/(VLOOKUP($BS972,'Données par municipalité'!$B$4:$L$1113,11,FALSE)),"")</f>
        <v/>
      </c>
      <c r="DF972" s="483" t="str">
        <f>IFERROR(SUM(VLOOKUP($BS972,'État &amp; Plan d''action'!$B$6:$Z$1113,19,FALSE),VLOOKUP($BS972,'État &amp; Plan d''action'!$B$6:$Z$1113,21,FALSE))/(VLOOKUP($BS972,'Données par municipalité'!$B$4:$L$1113,11,FALSE)),"")</f>
        <v/>
      </c>
      <c r="DG972" s="476" t="s">
        <v>4723</v>
      </c>
      <c r="DH972" s="484" t="s">
        <v>1124</v>
      </c>
      <c r="DI972" s="484" t="s">
        <v>1124</v>
      </c>
      <c r="DJ972" s="484">
        <v>0</v>
      </c>
      <c r="DK972" s="484">
        <v>0</v>
      </c>
      <c r="DL972" s="484" t="s">
        <v>1124</v>
      </c>
      <c r="DM972" s="484" t="s">
        <v>1124</v>
      </c>
      <c r="DN972" s="484" t="s">
        <v>1124</v>
      </c>
      <c r="DO972" s="484" t="s">
        <v>1124</v>
      </c>
      <c r="DP972" s="484" t="s">
        <v>1124</v>
      </c>
      <c r="DQ972" s="484" t="str">
        <f>IF(VLOOKUP($BS972,'État &amp; Plan d''action'!$B$6:$AJ$1113,28,FALSE)="","",VLOOKUP($BS972,'État &amp; Plan d''action'!$B$6:$AJ$1113,28,FALSE))</f>
        <v/>
      </c>
      <c r="DR972" s="70" t="str">
        <f>IF(VLOOKUP($BS972,'État &amp; Plan d''action'!$B$6:$AJ$1113,29,FALSE)="","",VLOOKUP($BS972,'État &amp; Plan d''action'!$B$6:$AJ$1113,29,FALSE))</f>
        <v/>
      </c>
      <c r="DS972" s="70" t="str">
        <f>IF(VLOOKUP($BS972,'État &amp; Plan d''action'!$B$6:$AJ$1113,30,FALSE)="","",VLOOKUP($BS972,'État &amp; Plan d''action'!$B$6:$AJ$1113,30,FALSE))</f>
        <v/>
      </c>
      <c r="DT972" s="70" t="s">
        <v>1124</v>
      </c>
      <c r="DU972" s="485" t="s">
        <v>1124</v>
      </c>
      <c r="DV972" s="485" t="s">
        <v>1124</v>
      </c>
      <c r="DW972" s="70" t="s">
        <v>1124</v>
      </c>
      <c r="DX972" s="70" t="s">
        <v>1124</v>
      </c>
      <c r="DY972" s="70" t="s">
        <v>1124</v>
      </c>
      <c r="DZ972" s="70" t="str">
        <f>VLOOKUP($BS972,'État &amp; Plan d''action'!$B$6:$AH$1113,31,FALSE)</f>
        <v/>
      </c>
      <c r="EA972" s="70" t="str">
        <f>VLOOKUP($BS972,'État &amp; Plan d''action'!$B$6:$AH$1113,32,FALSE)</f>
        <v/>
      </c>
      <c r="EB972" s="70" t="str">
        <f>VLOOKUP($BS972,'État &amp; Plan d''action'!$B$6:$AH$1113,33,FALSE)</f>
        <v/>
      </c>
      <c r="EC972" s="70" t="s">
        <v>1124</v>
      </c>
      <c r="ED972" s="70" t="s">
        <v>1124</v>
      </c>
      <c r="EE972" s="70" t="s">
        <v>1124</v>
      </c>
      <c r="EF972" s="70" t="s">
        <v>1124</v>
      </c>
      <c r="EG972" s="70" t="s">
        <v>1124</v>
      </c>
      <c r="EH972" s="72"/>
      <c r="EI972" s="72">
        <v>783</v>
      </c>
    </row>
    <row r="973" spans="71:139" x14ac:dyDescent="0.35">
      <c r="BS973" s="486">
        <v>8035</v>
      </c>
      <c r="BT973" s="479" t="s">
        <v>1091</v>
      </c>
      <c r="BU973" s="479">
        <v>1</v>
      </c>
      <c r="BV973" s="476" t="s">
        <v>1187</v>
      </c>
      <c r="BW973" s="476" t="s">
        <v>1187</v>
      </c>
      <c r="BX973" s="476" t="s">
        <v>1187</v>
      </c>
      <c r="BY973" s="476" t="s">
        <v>1187</v>
      </c>
      <c r="BZ973" s="476" t="s">
        <v>1187</v>
      </c>
      <c r="CA973" s="476" t="s">
        <v>1187</v>
      </c>
      <c r="CB973" s="476" t="s">
        <v>1187</v>
      </c>
      <c r="CC973" s="476" t="s">
        <v>1187</v>
      </c>
      <c r="CD973" s="476" t="s">
        <v>1187</v>
      </c>
      <c r="CE973" s="476" t="s">
        <v>1188</v>
      </c>
      <c r="CF973" s="476" t="s">
        <v>1188</v>
      </c>
      <c r="CG973" s="476" t="s">
        <v>1188</v>
      </c>
      <c r="CH973" s="476" t="s">
        <v>1187</v>
      </c>
      <c r="CI973" s="476" t="s">
        <v>1187</v>
      </c>
      <c r="CJ973" s="476" t="s">
        <v>1187</v>
      </c>
      <c r="CK973" s="476" t="s">
        <v>1188</v>
      </c>
      <c r="CL973" s="476" t="s">
        <v>1188</v>
      </c>
      <c r="CM973" s="476" t="str">
        <f>IF(VLOOKUP(BS973,'Données par municipalité'!$B$6:$E$1113,4,FALSE)="","non","oui")</f>
        <v>oui</v>
      </c>
      <c r="CN973" s="410">
        <v>360.80614401319519</v>
      </c>
      <c r="CO973" s="410">
        <v>268.95739549955096</v>
      </c>
      <c r="CP973" s="410">
        <v>324.80324632966511</v>
      </c>
      <c r="CQ973" s="410"/>
      <c r="CR973" s="410"/>
      <c r="CS973" s="410" t="s">
        <v>1124</v>
      </c>
      <c r="CT973" s="410">
        <v>308.37958358730867</v>
      </c>
      <c r="CU973" s="410">
        <v>296</v>
      </c>
      <c r="CV973" s="410">
        <f>IF(VLOOKUP(BS973,'Données par municipalité'!$B$6:$F$1113,4,FALSE)="","",VLOOKUP(BS973,'Données par municipalité'!$B$6:$F$1113,4,FALSE))</f>
        <v>284</v>
      </c>
      <c r="CW973" s="476" t="s">
        <v>4723</v>
      </c>
      <c r="CX973" s="483">
        <v>1</v>
      </c>
      <c r="CY973" s="483">
        <v>0.01</v>
      </c>
      <c r="CZ973" s="483" t="s">
        <v>1124</v>
      </c>
      <c r="DA973" s="483" t="s">
        <v>1124</v>
      </c>
      <c r="DB973" s="483" t="s">
        <v>1124</v>
      </c>
      <c r="DC973" s="483">
        <v>0</v>
      </c>
      <c r="DD973" s="483" t="s">
        <v>1124</v>
      </c>
      <c r="DE973" s="483">
        <f>IFERROR(SUM(VLOOKUP($BS973,'État &amp; Plan d''action'!$B$6:$Z$1113,18,FALSE),VLOOKUP($BS973,'État &amp; Plan d''action'!$B$6:$Z$1113,20,FALSE))/(VLOOKUP($BS973,'Données par municipalité'!$B$4:$L$1113,11,FALSE)),"")</f>
        <v>0</v>
      </c>
      <c r="DF973" s="483">
        <f>IFERROR(SUM(VLOOKUP($BS973,'État &amp; Plan d''action'!$B$6:$Z$1113,19,FALSE),VLOOKUP($BS973,'État &amp; Plan d''action'!$B$6:$Z$1113,21,FALSE))/(VLOOKUP($BS973,'Données par municipalité'!$B$4:$L$1113,11,FALSE)),"")</f>
        <v>1</v>
      </c>
      <c r="DG973" s="476" t="s">
        <v>4723</v>
      </c>
      <c r="DH973" s="484">
        <v>0</v>
      </c>
      <c r="DI973" s="484">
        <v>0</v>
      </c>
      <c r="DJ973" s="484">
        <v>0</v>
      </c>
      <c r="DK973" s="484">
        <v>0</v>
      </c>
      <c r="DL973" s="484" t="s">
        <v>1124</v>
      </c>
      <c r="DM973" s="484">
        <v>0</v>
      </c>
      <c r="DN973" s="484">
        <v>0</v>
      </c>
      <c r="DO973" s="484">
        <v>0</v>
      </c>
      <c r="DP973" s="484">
        <v>1</v>
      </c>
      <c r="DQ973" s="484">
        <f>IF(VLOOKUP($BS973,'État &amp; Plan d''action'!$B$6:$AJ$1113,28,FALSE)="","",VLOOKUP($BS973,'État &amp; Plan d''action'!$B$6:$AJ$1113,28,FALSE))</f>
        <v>0</v>
      </c>
      <c r="DR973" s="70">
        <f>IF(VLOOKUP($BS973,'État &amp; Plan d''action'!$B$6:$AJ$1113,29,FALSE)="","",VLOOKUP($BS973,'État &amp; Plan d''action'!$B$6:$AJ$1113,29,FALSE))</f>
        <v>0</v>
      </c>
      <c r="DS973" s="70">
        <f>IF(VLOOKUP($BS973,'État &amp; Plan d''action'!$B$6:$AJ$1113,30,FALSE)="","",VLOOKUP($BS973,'État &amp; Plan d''action'!$B$6:$AJ$1113,30,FALSE))</f>
        <v>0</v>
      </c>
      <c r="DT973" s="70">
        <v>198</v>
      </c>
      <c r="DU973" s="485">
        <v>2.6071579148099975</v>
      </c>
      <c r="DV973" s="485">
        <v>1.9958647758728265</v>
      </c>
      <c r="DW973" s="70">
        <v>0</v>
      </c>
      <c r="DX973" s="70">
        <v>0</v>
      </c>
      <c r="DY973" s="70">
        <v>5</v>
      </c>
      <c r="DZ973" s="70">
        <f>VLOOKUP($BS973,'État &amp; Plan d''action'!$B$6:$AH$1113,31,FALSE)</f>
        <v>0</v>
      </c>
      <c r="EA973" s="70">
        <f>VLOOKUP($BS973,'État &amp; Plan d''action'!$B$6:$AH$1113,32,FALSE)</f>
        <v>0</v>
      </c>
      <c r="EB973" s="70">
        <f>VLOOKUP($BS973,'État &amp; Plan d''action'!$B$6:$AH$1113,33,FALSE)</f>
        <v>0</v>
      </c>
      <c r="EC973" s="70">
        <v>0</v>
      </c>
      <c r="ED973" s="70">
        <v>0</v>
      </c>
      <c r="EE973" s="70">
        <v>0</v>
      </c>
      <c r="EF973" s="70">
        <v>0</v>
      </c>
      <c r="EG973" s="70">
        <v>0</v>
      </c>
      <c r="EH973" s="72">
        <v>59</v>
      </c>
      <c r="EI973" s="72">
        <v>967</v>
      </c>
    </row>
    <row r="974" spans="71:139" x14ac:dyDescent="0.35">
      <c r="BS974" s="486">
        <v>53020</v>
      </c>
      <c r="BT974" s="479" t="s">
        <v>533</v>
      </c>
      <c r="BU974" s="479">
        <v>16</v>
      </c>
      <c r="BV974" s="476" t="s">
        <v>1187</v>
      </c>
      <c r="BW974" s="476" t="s">
        <v>1187</v>
      </c>
      <c r="BX974" s="476" t="s">
        <v>1187</v>
      </c>
      <c r="BY974" s="476" t="s">
        <v>1187</v>
      </c>
      <c r="BZ974" s="476" t="s">
        <v>1187</v>
      </c>
      <c r="CA974" s="476" t="s">
        <v>1187</v>
      </c>
      <c r="CB974" s="476" t="s">
        <v>1187</v>
      </c>
      <c r="CC974" s="476" t="s">
        <v>1187</v>
      </c>
      <c r="CD974" s="476" t="s">
        <v>1187</v>
      </c>
      <c r="CE974" s="476" t="s">
        <v>1188</v>
      </c>
      <c r="CF974" s="476" t="s">
        <v>1188</v>
      </c>
      <c r="CG974" s="476" t="s">
        <v>1188</v>
      </c>
      <c r="CH974" s="476" t="s">
        <v>1188</v>
      </c>
      <c r="CI974" s="476" t="s">
        <v>1188</v>
      </c>
      <c r="CJ974" s="476" t="s">
        <v>1188</v>
      </c>
      <c r="CK974" s="476" t="s">
        <v>1188</v>
      </c>
      <c r="CL974" s="476" t="s">
        <v>1188</v>
      </c>
      <c r="CM974" s="476" t="str">
        <f>IF(VLOOKUP(BS974,'Données par municipalité'!$B$6:$E$1113,4,FALSE)="","non","oui")</f>
        <v>oui</v>
      </c>
      <c r="CN974" s="410">
        <v>337.97138601184537</v>
      </c>
      <c r="CO974" s="410">
        <v>367.59490572803827</v>
      </c>
      <c r="CP974" s="410">
        <v>357.14164628024031</v>
      </c>
      <c r="CQ974" s="410">
        <v>393.10150157792225</v>
      </c>
      <c r="CR974" s="410">
        <v>489.19292860611716</v>
      </c>
      <c r="CS974" s="410">
        <v>386.85368538849855</v>
      </c>
      <c r="CT974" s="410">
        <v>484</v>
      </c>
      <c r="CU974" s="410">
        <v>389</v>
      </c>
      <c r="CV974" s="410">
        <f>IF(VLOOKUP(BS974,'Données par municipalité'!$B$6:$F$1113,4,FALSE)="","",VLOOKUP(BS974,'Données par municipalité'!$B$6:$F$1113,4,FALSE))</f>
        <v>374</v>
      </c>
      <c r="CW974" s="476" t="s">
        <v>4723</v>
      </c>
      <c r="CX974" s="483">
        <v>0</v>
      </c>
      <c r="CY974" s="483">
        <v>0</v>
      </c>
      <c r="CZ974" s="483">
        <v>0</v>
      </c>
      <c r="DA974" s="483">
        <v>0</v>
      </c>
      <c r="DB974" s="483">
        <v>0</v>
      </c>
      <c r="DC974" s="483">
        <v>0</v>
      </c>
      <c r="DD974" s="483">
        <v>0</v>
      </c>
      <c r="DE974" s="483">
        <f>IFERROR(SUM(VLOOKUP($BS974,'État &amp; Plan d''action'!$B$6:$Z$1113,18,FALSE),VLOOKUP($BS974,'État &amp; Plan d''action'!$B$6:$Z$1113,20,FALSE))/(VLOOKUP($BS974,'Données par municipalité'!$B$4:$L$1113,11,FALSE)),"")</f>
        <v>0</v>
      </c>
      <c r="DF974" s="483">
        <f>IFERROR(SUM(VLOOKUP($BS974,'État &amp; Plan d''action'!$B$6:$Z$1113,19,FALSE),VLOOKUP($BS974,'État &amp; Plan d''action'!$B$6:$Z$1113,21,FALSE))/(VLOOKUP($BS974,'Données par municipalité'!$B$4:$L$1113,11,FALSE)),"")</f>
        <v>0</v>
      </c>
      <c r="DG974" s="476" t="s">
        <v>4723</v>
      </c>
      <c r="DH974" s="484">
        <v>0</v>
      </c>
      <c r="DI974" s="484">
        <v>2</v>
      </c>
      <c r="DJ974" s="484">
        <v>0</v>
      </c>
      <c r="DK974" s="484">
        <v>1</v>
      </c>
      <c r="DL974" s="484">
        <v>1</v>
      </c>
      <c r="DM974" s="484">
        <v>1</v>
      </c>
      <c r="DN974" s="484">
        <v>0</v>
      </c>
      <c r="DO974" s="484">
        <v>0</v>
      </c>
      <c r="DP974" s="484">
        <v>0</v>
      </c>
      <c r="DQ974" s="484">
        <f>IF(VLOOKUP($BS974,'État &amp; Plan d''action'!$B$6:$AJ$1113,28,FALSE)="","",VLOOKUP($BS974,'État &amp; Plan d''action'!$B$6:$AJ$1113,28,FALSE))</f>
        <v>0</v>
      </c>
      <c r="DR974" s="70">
        <f>IF(VLOOKUP($BS974,'État &amp; Plan d''action'!$B$6:$AJ$1113,29,FALSE)="","",VLOOKUP($BS974,'État &amp; Plan d''action'!$B$6:$AJ$1113,29,FALSE))</f>
        <v>0</v>
      </c>
      <c r="DS974" s="70">
        <f>IF(VLOOKUP($BS974,'État &amp; Plan d''action'!$B$6:$AJ$1113,30,FALSE)="","",VLOOKUP($BS974,'État &amp; Plan d''action'!$B$6:$AJ$1113,30,FALSE))</f>
        <v>0</v>
      </c>
      <c r="DT974" s="70">
        <v>214</v>
      </c>
      <c r="DU974" s="485">
        <v>1.4969822821565095</v>
      </c>
      <c r="DV974" s="485">
        <v>1.299443767649556</v>
      </c>
      <c r="DW974" s="70">
        <v>0</v>
      </c>
      <c r="DX974" s="70">
        <v>0</v>
      </c>
      <c r="DY974" s="70">
        <v>0</v>
      </c>
      <c r="DZ974" s="70">
        <f>VLOOKUP($BS974,'État &amp; Plan d''action'!$B$6:$AH$1113,31,FALSE)</f>
        <v>0</v>
      </c>
      <c r="EA974" s="70">
        <f>VLOOKUP($BS974,'État &amp; Plan d''action'!$B$6:$AH$1113,32,FALSE)</f>
        <v>0</v>
      </c>
      <c r="EB974" s="70">
        <f>VLOOKUP($BS974,'État &amp; Plan d''action'!$B$6:$AH$1113,33,FALSE)</f>
        <v>0</v>
      </c>
      <c r="EC974" s="70">
        <v>0</v>
      </c>
      <c r="ED974" s="70">
        <v>0</v>
      </c>
      <c r="EE974" s="70">
        <v>0</v>
      </c>
      <c r="EF974" s="70">
        <v>0</v>
      </c>
      <c r="EG974" s="70">
        <v>0</v>
      </c>
      <c r="EH974" s="72">
        <v>75</v>
      </c>
      <c r="EI974" s="72">
        <v>1785</v>
      </c>
    </row>
    <row r="975" spans="71:139" x14ac:dyDescent="0.35">
      <c r="BS975" s="486">
        <v>30070</v>
      </c>
      <c r="BT975" s="479" t="s">
        <v>228</v>
      </c>
      <c r="BU975" s="479">
        <v>5</v>
      </c>
      <c r="BV975" s="476" t="s">
        <v>1188</v>
      </c>
      <c r="BW975" s="476" t="s">
        <v>1188</v>
      </c>
      <c r="BX975" s="476" t="s">
        <v>1188</v>
      </c>
      <c r="BY975" s="476" t="s">
        <v>1188</v>
      </c>
      <c r="BZ975" s="476" t="s">
        <v>1188</v>
      </c>
      <c r="CA975" s="476" t="s">
        <v>1188</v>
      </c>
      <c r="CB975" s="476" t="s">
        <v>1188</v>
      </c>
      <c r="CC975" s="476" t="s">
        <v>1188</v>
      </c>
      <c r="CD975" s="476" t="s">
        <v>1188</v>
      </c>
      <c r="CE975" s="476" t="s">
        <v>1187</v>
      </c>
      <c r="CF975" s="476" t="s">
        <v>1187</v>
      </c>
      <c r="CG975" s="476" t="s">
        <v>1187</v>
      </c>
      <c r="CH975" s="476" t="s">
        <v>1187</v>
      </c>
      <c r="CI975" s="476" t="s">
        <v>1187</v>
      </c>
      <c r="CJ975" s="476" t="s">
        <v>1187</v>
      </c>
      <c r="CK975" s="476" t="s">
        <v>1187</v>
      </c>
      <c r="CL975" s="476" t="s">
        <v>1187</v>
      </c>
      <c r="CM975" s="476" t="str">
        <f>IF(VLOOKUP(BS975,'Données par municipalité'!$B$6:$E$1113,4,FALSE)="","non","oui")</f>
        <v>non</v>
      </c>
      <c r="CN975" s="410" t="s">
        <v>1124</v>
      </c>
      <c r="CO975" s="410" t="s">
        <v>1124</v>
      </c>
      <c r="CP975" s="410"/>
      <c r="CQ975" s="410"/>
      <c r="CR975" s="410"/>
      <c r="CS975" s="410" t="s">
        <v>1124</v>
      </c>
      <c r="CT975" s="410"/>
      <c r="CU975" s="410" t="s">
        <v>1124</v>
      </c>
      <c r="CV975" s="410" t="str">
        <f>IF(VLOOKUP(BS975,'Données par municipalité'!$B$6:$F$1113,4,FALSE)="","",VLOOKUP(BS975,'Données par municipalité'!$B$6:$F$1113,4,FALSE))</f>
        <v/>
      </c>
      <c r="CW975" s="476" t="s">
        <v>4723</v>
      </c>
      <c r="CX975" s="483" t="s">
        <v>1124</v>
      </c>
      <c r="CY975" s="483" t="s">
        <v>1124</v>
      </c>
      <c r="CZ975" s="483" t="s">
        <v>1124</v>
      </c>
      <c r="DA975" s="483" t="s">
        <v>1124</v>
      </c>
      <c r="DB975" s="483" t="s">
        <v>1124</v>
      </c>
      <c r="DC975" s="483" t="s">
        <v>1124</v>
      </c>
      <c r="DD975" s="483" t="s">
        <v>1124</v>
      </c>
      <c r="DE975" s="483" t="str">
        <f>IFERROR(SUM(VLOOKUP($BS975,'État &amp; Plan d''action'!$B$6:$Z$1113,18,FALSE),VLOOKUP($BS975,'État &amp; Plan d''action'!$B$6:$Z$1113,20,FALSE))/(VLOOKUP($BS975,'Données par municipalité'!$B$4:$L$1113,11,FALSE)),"")</f>
        <v/>
      </c>
      <c r="DF975" s="483" t="str">
        <f>IFERROR(SUM(VLOOKUP($BS975,'État &amp; Plan d''action'!$B$6:$Z$1113,19,FALSE),VLOOKUP($BS975,'État &amp; Plan d''action'!$B$6:$Z$1113,21,FALSE))/(VLOOKUP($BS975,'Données par municipalité'!$B$4:$L$1113,11,FALSE)),"")</f>
        <v/>
      </c>
      <c r="DG975" s="476" t="s">
        <v>4723</v>
      </c>
      <c r="DH975" s="484" t="s">
        <v>1124</v>
      </c>
      <c r="DI975" s="484" t="s">
        <v>1124</v>
      </c>
      <c r="DJ975" s="484">
        <v>0</v>
      </c>
      <c r="DK975" s="484">
        <v>0</v>
      </c>
      <c r="DL975" s="484" t="s">
        <v>1124</v>
      </c>
      <c r="DM975" s="484" t="s">
        <v>1124</v>
      </c>
      <c r="DN975" s="484" t="s">
        <v>1124</v>
      </c>
      <c r="DO975" s="484" t="s">
        <v>1124</v>
      </c>
      <c r="DP975" s="484" t="s">
        <v>1124</v>
      </c>
      <c r="DQ975" s="484" t="str">
        <f>IF(VLOOKUP($BS975,'État &amp; Plan d''action'!$B$6:$AJ$1113,28,FALSE)="","",VLOOKUP($BS975,'État &amp; Plan d''action'!$B$6:$AJ$1113,28,FALSE))</f>
        <v/>
      </c>
      <c r="DR975" s="70" t="str">
        <f>IF(VLOOKUP($BS975,'État &amp; Plan d''action'!$B$6:$AJ$1113,29,FALSE)="","",VLOOKUP($BS975,'État &amp; Plan d''action'!$B$6:$AJ$1113,29,FALSE))</f>
        <v/>
      </c>
      <c r="DS975" s="70" t="str">
        <f>IF(VLOOKUP($BS975,'État &amp; Plan d''action'!$B$6:$AJ$1113,30,FALSE)="","",VLOOKUP($BS975,'État &amp; Plan d''action'!$B$6:$AJ$1113,30,FALSE))</f>
        <v/>
      </c>
      <c r="DT975" s="70" t="s">
        <v>1124</v>
      </c>
      <c r="DU975" s="485" t="s">
        <v>1124</v>
      </c>
      <c r="DV975" s="485" t="s">
        <v>1124</v>
      </c>
      <c r="DW975" s="70" t="s">
        <v>1124</v>
      </c>
      <c r="DX975" s="70" t="s">
        <v>1124</v>
      </c>
      <c r="DY975" s="70" t="s">
        <v>1124</v>
      </c>
      <c r="DZ975" s="70" t="str">
        <f>VLOOKUP($BS975,'État &amp; Plan d''action'!$B$6:$AH$1113,31,FALSE)</f>
        <v/>
      </c>
      <c r="EA975" s="70" t="str">
        <f>VLOOKUP($BS975,'État &amp; Plan d''action'!$B$6:$AH$1113,32,FALSE)</f>
        <v/>
      </c>
      <c r="EB975" s="70" t="str">
        <f>VLOOKUP($BS975,'État &amp; Plan d''action'!$B$6:$AH$1113,33,FALSE)</f>
        <v/>
      </c>
      <c r="EC975" s="70" t="s">
        <v>1124</v>
      </c>
      <c r="ED975" s="70" t="s">
        <v>1124</v>
      </c>
      <c r="EE975" s="70" t="s">
        <v>1124</v>
      </c>
      <c r="EF975" s="70" t="s">
        <v>1124</v>
      </c>
      <c r="EG975" s="70" t="s">
        <v>1124</v>
      </c>
      <c r="EH975" s="72"/>
      <c r="EI975" s="72">
        <v>569</v>
      </c>
    </row>
    <row r="976" spans="71:139" x14ac:dyDescent="0.35">
      <c r="BS976" s="486">
        <v>63035</v>
      </c>
      <c r="BT976" s="479" t="s">
        <v>638</v>
      </c>
      <c r="BU976" s="479">
        <v>14</v>
      </c>
      <c r="BV976" s="476" t="s">
        <v>1187</v>
      </c>
      <c r="BW976" s="476" t="s">
        <v>1187</v>
      </c>
      <c r="BX976" s="476" t="s">
        <v>1187</v>
      </c>
      <c r="BY976" s="476" t="s">
        <v>1187</v>
      </c>
      <c r="BZ976" s="476" t="s">
        <v>1187</v>
      </c>
      <c r="CA976" s="476" t="s">
        <v>1187</v>
      </c>
      <c r="CB976" s="476" t="s">
        <v>1187</v>
      </c>
      <c r="CC976" s="476" t="s">
        <v>1187</v>
      </c>
      <c r="CD976" s="476" t="s">
        <v>1187</v>
      </c>
      <c r="CE976" s="476" t="s">
        <v>1188</v>
      </c>
      <c r="CF976" s="476" t="s">
        <v>1188</v>
      </c>
      <c r="CG976" s="476" t="s">
        <v>1188</v>
      </c>
      <c r="CH976" s="476" t="s">
        <v>1188</v>
      </c>
      <c r="CI976" s="476" t="s">
        <v>1188</v>
      </c>
      <c r="CJ976" s="476" t="s">
        <v>1188</v>
      </c>
      <c r="CK976" s="476" t="s">
        <v>1188</v>
      </c>
      <c r="CL976" s="476" t="s">
        <v>1187</v>
      </c>
      <c r="CM976" s="476" t="str">
        <f>IF(VLOOKUP(BS976,'Données par municipalité'!$B$6:$E$1113,4,FALSE)="","non","oui")</f>
        <v>oui</v>
      </c>
      <c r="CN976" s="410">
        <v>356.05659422704986</v>
      </c>
      <c r="CO976" s="410">
        <v>301.1464506463484</v>
      </c>
      <c r="CP976" s="410">
        <v>276.06331663798647</v>
      </c>
      <c r="CQ976" s="410">
        <v>325.74267306692417</v>
      </c>
      <c r="CR976" s="410">
        <v>305.74954927751355</v>
      </c>
      <c r="CS976" s="410">
        <v>302.63408690475893</v>
      </c>
      <c r="CT976" s="410">
        <v>330.56495203588997</v>
      </c>
      <c r="CU976" s="410" t="s">
        <v>1124</v>
      </c>
      <c r="CV976" s="410">
        <f>IF(VLOOKUP(BS976,'Données par municipalité'!$B$6:$F$1113,4,FALSE)="","",VLOOKUP(BS976,'Données par municipalité'!$B$6:$F$1113,4,FALSE))</f>
        <v>305</v>
      </c>
      <c r="CW976" s="476" t="s">
        <v>4723</v>
      </c>
      <c r="CX976" s="483">
        <v>1</v>
      </c>
      <c r="CY976" s="483">
        <v>1</v>
      </c>
      <c r="CZ976" s="483">
        <v>1</v>
      </c>
      <c r="DA976" s="483">
        <v>1</v>
      </c>
      <c r="DB976" s="483">
        <v>1</v>
      </c>
      <c r="DC976" s="483">
        <v>1</v>
      </c>
      <c r="DD976" s="483" t="s">
        <v>1124</v>
      </c>
      <c r="DE976" s="483">
        <f>IFERROR(SUM(VLOOKUP($BS976,'État &amp; Plan d''action'!$B$6:$Z$1113,18,FALSE),VLOOKUP($BS976,'État &amp; Plan d''action'!$B$6:$Z$1113,20,FALSE))/(VLOOKUP($BS976,'Données par municipalité'!$B$4:$L$1113,11,FALSE)),"")</f>
        <v>1</v>
      </c>
      <c r="DF976" s="483">
        <f>IFERROR(SUM(VLOOKUP($BS976,'État &amp; Plan d''action'!$B$6:$Z$1113,19,FALSE),VLOOKUP($BS976,'État &amp; Plan d''action'!$B$6:$Z$1113,21,FALSE))/(VLOOKUP($BS976,'Données par municipalité'!$B$4:$L$1113,11,FALSE)),"")</f>
        <v>1</v>
      </c>
      <c r="DG976" s="476" t="s">
        <v>4723</v>
      </c>
      <c r="DH976" s="484">
        <v>3</v>
      </c>
      <c r="DI976" s="484">
        <v>3</v>
      </c>
      <c r="DJ976" s="484">
        <v>2</v>
      </c>
      <c r="DK976" s="484">
        <v>10</v>
      </c>
      <c r="DL976" s="484">
        <v>2</v>
      </c>
      <c r="DM976" s="484">
        <v>4</v>
      </c>
      <c r="DN976" s="484" t="s">
        <v>1124</v>
      </c>
      <c r="DO976" s="484" t="s">
        <v>1124</v>
      </c>
      <c r="DP976" s="484" t="s">
        <v>1124</v>
      </c>
      <c r="DQ976" s="484">
        <f>IF(VLOOKUP($BS976,'État &amp; Plan d''action'!$B$6:$AJ$1113,28,FALSE)="","",VLOOKUP($BS976,'État &amp; Plan d''action'!$B$6:$AJ$1113,28,FALSE))</f>
        <v>3</v>
      </c>
      <c r="DR976" s="70">
        <f>IF(VLOOKUP($BS976,'État &amp; Plan d''action'!$B$6:$AJ$1113,29,FALSE)="","",VLOOKUP($BS976,'État &amp; Plan d''action'!$B$6:$AJ$1113,29,FALSE))</f>
        <v>0</v>
      </c>
      <c r="DS976" s="70">
        <f>IF(VLOOKUP($BS976,'État &amp; Plan d''action'!$B$6:$AJ$1113,30,FALSE)="","",VLOOKUP($BS976,'État &amp; Plan d''action'!$B$6:$AJ$1113,30,FALSE))</f>
        <v>0</v>
      </c>
      <c r="DT976" s="70" t="s">
        <v>1124</v>
      </c>
      <c r="DU976" s="485" t="s">
        <v>1124</v>
      </c>
      <c r="DV976" s="485">
        <v>1.8940424734604071</v>
      </c>
      <c r="DW976" s="70" t="s">
        <v>1124</v>
      </c>
      <c r="DX976" s="70" t="s">
        <v>1124</v>
      </c>
      <c r="DY976" s="70" t="s">
        <v>1124</v>
      </c>
      <c r="DZ976" s="70">
        <f>VLOOKUP($BS976,'État &amp; Plan d''action'!$B$6:$AH$1113,31,FALSE)</f>
        <v>1</v>
      </c>
      <c r="EA976" s="70">
        <f>VLOOKUP($BS976,'État &amp; Plan d''action'!$B$6:$AH$1113,32,FALSE)</f>
        <v>0</v>
      </c>
      <c r="EB976" s="70">
        <f>VLOOKUP($BS976,'État &amp; Plan d''action'!$B$6:$AH$1113,33,FALSE)</f>
        <v>0</v>
      </c>
      <c r="EC976" s="70" t="s">
        <v>1124</v>
      </c>
      <c r="ED976" s="70" t="s">
        <v>1124</v>
      </c>
      <c r="EE976" s="70" t="s">
        <v>1124</v>
      </c>
      <c r="EF976" s="70" t="s">
        <v>1124</v>
      </c>
      <c r="EG976" s="70" t="s">
        <v>1124</v>
      </c>
      <c r="EH976" s="72"/>
      <c r="EI976" s="72">
        <v>5321</v>
      </c>
    </row>
    <row r="977" spans="71:139" x14ac:dyDescent="0.35">
      <c r="BS977" s="486">
        <v>35045</v>
      </c>
      <c r="BT977" s="479" t="s">
        <v>310</v>
      </c>
      <c r="BU977" s="479">
        <v>4</v>
      </c>
      <c r="BV977" s="476" t="s">
        <v>1187</v>
      </c>
      <c r="BW977" s="476" t="s">
        <v>1187</v>
      </c>
      <c r="BX977" s="476" t="s">
        <v>1187</v>
      </c>
      <c r="BY977" s="476" t="s">
        <v>1187</v>
      </c>
      <c r="BZ977" s="476" t="s">
        <v>1187</v>
      </c>
      <c r="CA977" s="476" t="s">
        <v>1187</v>
      </c>
      <c r="CB977" s="476" t="s">
        <v>1187</v>
      </c>
      <c r="CC977" s="476" t="s">
        <v>1187</v>
      </c>
      <c r="CD977" s="476" t="s">
        <v>1187</v>
      </c>
      <c r="CE977" s="476" t="s">
        <v>1188</v>
      </c>
      <c r="CF977" s="476" t="s">
        <v>1188</v>
      </c>
      <c r="CG977" s="476" t="s">
        <v>1187</v>
      </c>
      <c r="CH977" s="476" t="s">
        <v>1188</v>
      </c>
      <c r="CI977" s="476" t="s">
        <v>1188</v>
      </c>
      <c r="CJ977" s="476" t="s">
        <v>1188</v>
      </c>
      <c r="CK977" s="476" t="s">
        <v>1188</v>
      </c>
      <c r="CL977" s="476" t="s">
        <v>1187</v>
      </c>
      <c r="CM977" s="476" t="str">
        <f>IF(VLOOKUP(BS977,'Données par municipalité'!$B$6:$E$1113,4,FALSE)="","non","oui")</f>
        <v>non</v>
      </c>
      <c r="CN977" s="410">
        <v>185.9644936322438</v>
      </c>
      <c r="CO977" s="410">
        <v>191.22667314836312</v>
      </c>
      <c r="CP977" s="410"/>
      <c r="CQ977" s="410">
        <v>1357.6512700488745</v>
      </c>
      <c r="CR977" s="410">
        <v>1385.2683895797802</v>
      </c>
      <c r="CS977" s="410">
        <v>1298.5531866700642</v>
      </c>
      <c r="CT977" s="410">
        <v>828.68302326199182</v>
      </c>
      <c r="CU977" s="410" t="s">
        <v>1124</v>
      </c>
      <c r="CV977" s="410" t="str">
        <f>IF(VLOOKUP(BS977,'Données par municipalité'!$B$6:$F$1113,4,FALSE)="","",VLOOKUP(BS977,'Données par municipalité'!$B$6:$F$1113,4,FALSE))</f>
        <v/>
      </c>
      <c r="CW977" s="476" t="s">
        <v>4723</v>
      </c>
      <c r="CX977" s="483">
        <v>0</v>
      </c>
      <c r="CY977" s="483" t="s">
        <v>1124</v>
      </c>
      <c r="CZ977" s="483">
        <v>0</v>
      </c>
      <c r="DA977" s="483">
        <v>0.05</v>
      </c>
      <c r="DB977" s="483">
        <v>0.3</v>
      </c>
      <c r="DC977" s="483">
        <v>1</v>
      </c>
      <c r="DD977" s="483" t="s">
        <v>1124</v>
      </c>
      <c r="DE977" s="483" t="str">
        <f>IFERROR(SUM(VLOOKUP($BS977,'État &amp; Plan d''action'!$B$6:$Z$1113,18,FALSE),VLOOKUP($BS977,'État &amp; Plan d''action'!$B$6:$Z$1113,20,FALSE))/(VLOOKUP($BS977,'Données par municipalité'!$B$4:$L$1113,11,FALSE)),"")</f>
        <v/>
      </c>
      <c r="DF977" s="483" t="str">
        <f>IFERROR(SUM(VLOOKUP($BS977,'État &amp; Plan d''action'!$B$6:$Z$1113,19,FALSE),VLOOKUP($BS977,'État &amp; Plan d''action'!$B$6:$Z$1113,21,FALSE))/(VLOOKUP($BS977,'Données par municipalité'!$B$4:$L$1113,11,FALSE)),"")</f>
        <v/>
      </c>
      <c r="DG977" s="476" t="s">
        <v>4723</v>
      </c>
      <c r="DH977" s="484">
        <v>6</v>
      </c>
      <c r="DI977" s="484" t="s">
        <v>1124</v>
      </c>
      <c r="DJ977" s="484">
        <v>4</v>
      </c>
      <c r="DK977" s="484">
        <v>4</v>
      </c>
      <c r="DL977" s="484">
        <v>3</v>
      </c>
      <c r="DM977" s="484">
        <v>8</v>
      </c>
      <c r="DN977" s="484" t="s">
        <v>1124</v>
      </c>
      <c r="DO977" s="484" t="s">
        <v>1124</v>
      </c>
      <c r="DP977" s="484" t="s">
        <v>1124</v>
      </c>
      <c r="DQ977" s="484" t="str">
        <f>IF(VLOOKUP($BS977,'État &amp; Plan d''action'!$B$6:$AJ$1113,28,FALSE)="","",VLOOKUP($BS977,'État &amp; Plan d''action'!$B$6:$AJ$1113,28,FALSE))</f>
        <v/>
      </c>
      <c r="DR977" s="70" t="str">
        <f>IF(VLOOKUP($BS977,'État &amp; Plan d''action'!$B$6:$AJ$1113,29,FALSE)="","",VLOOKUP($BS977,'État &amp; Plan d''action'!$B$6:$AJ$1113,29,FALSE))</f>
        <v/>
      </c>
      <c r="DS977" s="70" t="str">
        <f>IF(VLOOKUP($BS977,'État &amp; Plan d''action'!$B$6:$AJ$1113,30,FALSE)="","",VLOOKUP($BS977,'État &amp; Plan d''action'!$B$6:$AJ$1113,30,FALSE))</f>
        <v/>
      </c>
      <c r="DT977" s="70" t="s">
        <v>1124</v>
      </c>
      <c r="DU977" s="485" t="s">
        <v>1124</v>
      </c>
      <c r="DV977" s="485" t="s">
        <v>1124</v>
      </c>
      <c r="DW977" s="70" t="s">
        <v>1124</v>
      </c>
      <c r="DX977" s="70" t="s">
        <v>1124</v>
      </c>
      <c r="DY977" s="70" t="s">
        <v>1124</v>
      </c>
      <c r="DZ977" s="70" t="str">
        <f>VLOOKUP($BS977,'État &amp; Plan d''action'!$B$6:$AH$1113,31,FALSE)</f>
        <v/>
      </c>
      <c r="EA977" s="70" t="str">
        <f>VLOOKUP($BS977,'État &amp; Plan d''action'!$B$6:$AH$1113,32,FALSE)</f>
        <v/>
      </c>
      <c r="EB977" s="70" t="str">
        <f>VLOOKUP($BS977,'État &amp; Plan d''action'!$B$6:$AH$1113,33,FALSE)</f>
        <v/>
      </c>
      <c r="EC977" s="70" t="s">
        <v>1124</v>
      </c>
      <c r="ED977" s="70" t="s">
        <v>1124</v>
      </c>
      <c r="EE977" s="70" t="s">
        <v>1124</v>
      </c>
      <c r="EF977" s="70" t="s">
        <v>1124</v>
      </c>
      <c r="EG977" s="70" t="s">
        <v>1124</v>
      </c>
      <c r="EH977" s="72"/>
      <c r="EI977" s="72">
        <v>307</v>
      </c>
    </row>
    <row r="978" spans="71:139" x14ac:dyDescent="0.35">
      <c r="BS978" s="486">
        <v>53040</v>
      </c>
      <c r="BT978" s="479" t="s">
        <v>536</v>
      </c>
      <c r="BU978" s="479">
        <v>16</v>
      </c>
      <c r="BV978" s="476" t="s">
        <v>1187</v>
      </c>
      <c r="BW978" s="476" t="s">
        <v>1187</v>
      </c>
      <c r="BX978" s="476" t="s">
        <v>1187</v>
      </c>
      <c r="BY978" s="476" t="s">
        <v>1187</v>
      </c>
      <c r="BZ978" s="476" t="s">
        <v>1187</v>
      </c>
      <c r="CA978" s="476" t="s">
        <v>1187</v>
      </c>
      <c r="CB978" s="476" t="s">
        <v>1187</v>
      </c>
      <c r="CC978" s="476" t="s">
        <v>1187</v>
      </c>
      <c r="CD978" s="476" t="s">
        <v>1187</v>
      </c>
      <c r="CE978" s="476" t="s">
        <v>1188</v>
      </c>
      <c r="CF978" s="476" t="s">
        <v>1188</v>
      </c>
      <c r="CG978" s="476" t="s">
        <v>1188</v>
      </c>
      <c r="CH978" s="476" t="s">
        <v>1188</v>
      </c>
      <c r="CI978" s="476" t="s">
        <v>1188</v>
      </c>
      <c r="CJ978" s="476" t="s">
        <v>1188</v>
      </c>
      <c r="CK978" s="476" t="s">
        <v>1188</v>
      </c>
      <c r="CL978" s="476" t="s">
        <v>1188</v>
      </c>
      <c r="CM978" s="476" t="str">
        <f>IF(VLOOKUP(BS978,'Données par municipalité'!$B$6:$E$1113,4,FALSE)="","non","oui")</f>
        <v>non</v>
      </c>
      <c r="CN978" s="410">
        <v>329.80529195381393</v>
      </c>
      <c r="CO978" s="410">
        <v>328.87179673202104</v>
      </c>
      <c r="CP978" s="410">
        <v>316.40925270463356</v>
      </c>
      <c r="CQ978" s="410">
        <v>303.81088407842736</v>
      </c>
      <c r="CR978" s="410">
        <v>312.08404132486839</v>
      </c>
      <c r="CS978" s="410">
        <v>343.62266777731384</v>
      </c>
      <c r="CT978" s="410">
        <v>574.35205816817165</v>
      </c>
      <c r="CU978" s="410">
        <v>305</v>
      </c>
      <c r="CV978" s="410" t="str">
        <f>IF(VLOOKUP(BS978,'Données par municipalité'!$B$6:$F$1113,4,FALSE)="","",VLOOKUP(BS978,'Données par municipalité'!$B$6:$F$1113,4,FALSE))</f>
        <v/>
      </c>
      <c r="CW978" s="476" t="s">
        <v>4723</v>
      </c>
      <c r="CX978" s="483">
        <v>1</v>
      </c>
      <c r="CY978" s="483">
        <v>1</v>
      </c>
      <c r="CZ978" s="483">
        <v>0</v>
      </c>
      <c r="DA978" s="483">
        <v>0</v>
      </c>
      <c r="DB978" s="483">
        <v>0</v>
      </c>
      <c r="DC978" s="483">
        <v>0</v>
      </c>
      <c r="DD978" s="483">
        <v>0</v>
      </c>
      <c r="DE978" s="483" t="str">
        <f>IFERROR(SUM(VLOOKUP($BS978,'État &amp; Plan d''action'!$B$6:$Z$1113,18,FALSE),VLOOKUP($BS978,'État &amp; Plan d''action'!$B$6:$Z$1113,20,FALSE))/(VLOOKUP($BS978,'Données par municipalité'!$B$4:$L$1113,11,FALSE)),"")</f>
        <v/>
      </c>
      <c r="DF978" s="483" t="str">
        <f>IFERROR(SUM(VLOOKUP($BS978,'État &amp; Plan d''action'!$B$6:$Z$1113,19,FALSE),VLOOKUP($BS978,'État &amp; Plan d''action'!$B$6:$Z$1113,21,FALSE))/(VLOOKUP($BS978,'Données par municipalité'!$B$4:$L$1113,11,FALSE)),"")</f>
        <v/>
      </c>
      <c r="DG978" s="476" t="s">
        <v>4723</v>
      </c>
      <c r="DH978" s="484">
        <v>2</v>
      </c>
      <c r="DI978" s="484">
        <v>3</v>
      </c>
      <c r="DJ978" s="484">
        <v>4</v>
      </c>
      <c r="DK978" s="484">
        <v>3</v>
      </c>
      <c r="DL978" s="484">
        <v>1</v>
      </c>
      <c r="DM978" s="484">
        <v>2</v>
      </c>
      <c r="DN978" s="484">
        <v>0</v>
      </c>
      <c r="DO978" s="484">
        <v>4</v>
      </c>
      <c r="DP978" s="484">
        <v>8</v>
      </c>
      <c r="DQ978" s="484" t="str">
        <f>IF(VLOOKUP($BS978,'État &amp; Plan d''action'!$B$6:$AJ$1113,28,FALSE)="","",VLOOKUP($BS978,'État &amp; Plan d''action'!$B$6:$AJ$1113,28,FALSE))</f>
        <v/>
      </c>
      <c r="DR978" s="70" t="str">
        <f>IF(VLOOKUP($BS978,'État &amp; Plan d''action'!$B$6:$AJ$1113,29,FALSE)="","",VLOOKUP($BS978,'État &amp; Plan d''action'!$B$6:$AJ$1113,29,FALSE))</f>
        <v/>
      </c>
      <c r="DS978" s="70" t="str">
        <f>IF(VLOOKUP($BS978,'État &amp; Plan d''action'!$B$6:$AJ$1113,30,FALSE)="","",VLOOKUP($BS978,'État &amp; Plan d''action'!$B$6:$AJ$1113,30,FALSE))</f>
        <v/>
      </c>
      <c r="DT978" s="70">
        <v>204</v>
      </c>
      <c r="DU978" s="485">
        <v>2.9827094258369482</v>
      </c>
      <c r="DV978" s="485" t="s">
        <v>1124</v>
      </c>
      <c r="DW978" s="70">
        <v>0</v>
      </c>
      <c r="DX978" s="70">
        <v>2</v>
      </c>
      <c r="DY978" s="70">
        <v>2</v>
      </c>
      <c r="DZ978" s="70" t="str">
        <f>VLOOKUP($BS978,'État &amp; Plan d''action'!$B$6:$AH$1113,31,FALSE)</f>
        <v/>
      </c>
      <c r="EA978" s="70" t="str">
        <f>VLOOKUP($BS978,'État &amp; Plan d''action'!$B$6:$AH$1113,32,FALSE)</f>
        <v/>
      </c>
      <c r="EB978" s="70" t="str">
        <f>VLOOKUP($BS978,'État &amp; Plan d''action'!$B$6:$AH$1113,33,FALSE)</f>
        <v/>
      </c>
      <c r="EC978" s="70">
        <v>0</v>
      </c>
      <c r="ED978" s="70">
        <v>0</v>
      </c>
      <c r="EE978" s="70">
        <v>0</v>
      </c>
      <c r="EF978" s="70">
        <v>0</v>
      </c>
      <c r="EG978" s="70">
        <v>0</v>
      </c>
      <c r="EH978" s="72">
        <v>45</v>
      </c>
      <c r="EI978" s="72">
        <v>2253</v>
      </c>
    </row>
    <row r="979" spans="71:139" x14ac:dyDescent="0.35">
      <c r="BS979" s="486">
        <v>17065</v>
      </c>
      <c r="BT979" s="479" t="s">
        <v>101</v>
      </c>
      <c r="BU979" s="479">
        <v>12</v>
      </c>
      <c r="BV979" s="476" t="s">
        <v>1188</v>
      </c>
      <c r="BW979" s="476" t="s">
        <v>1188</v>
      </c>
      <c r="BX979" s="476" t="s">
        <v>1188</v>
      </c>
      <c r="BY979" s="476" t="s">
        <v>1188</v>
      </c>
      <c r="BZ979" s="476" t="s">
        <v>1187</v>
      </c>
      <c r="CA979" s="476" t="s">
        <v>1188</v>
      </c>
      <c r="CB979" s="476" t="s">
        <v>1187</v>
      </c>
      <c r="CC979" s="476" t="s">
        <v>1187</v>
      </c>
      <c r="CD979" s="476" t="s">
        <v>1187</v>
      </c>
      <c r="CE979" s="476" t="s">
        <v>1187</v>
      </c>
      <c r="CF979" s="476" t="s">
        <v>1187</v>
      </c>
      <c r="CG979" s="476" t="s">
        <v>1187</v>
      </c>
      <c r="CH979" s="476" t="s">
        <v>1187</v>
      </c>
      <c r="CI979" s="476" t="s">
        <v>1188</v>
      </c>
      <c r="CJ979" s="476" t="s">
        <v>1187</v>
      </c>
      <c r="CK979" s="476" t="s">
        <v>1188</v>
      </c>
      <c r="CL979" s="476" t="s">
        <v>1188</v>
      </c>
      <c r="CM979" s="476" t="str">
        <f>IF(VLOOKUP(BS979,'Données par municipalité'!$B$6:$E$1113,4,FALSE)="","non","oui")</f>
        <v>oui</v>
      </c>
      <c r="CN979" s="410" t="s">
        <v>1124</v>
      </c>
      <c r="CO979" s="410" t="s">
        <v>1124</v>
      </c>
      <c r="CP979" s="410"/>
      <c r="CQ979" s="410"/>
      <c r="CR979" s="410">
        <v>185.25756805479983</v>
      </c>
      <c r="CS979" s="410" t="s">
        <v>1124</v>
      </c>
      <c r="CT979" s="410">
        <v>190.34414051670305</v>
      </c>
      <c r="CU979" s="410">
        <v>221</v>
      </c>
      <c r="CV979" s="410">
        <f>IF(VLOOKUP(BS979,'Données par municipalité'!$B$6:$F$1113,4,FALSE)="","",VLOOKUP(BS979,'Données par municipalité'!$B$6:$F$1113,4,FALSE))</f>
        <v>214</v>
      </c>
      <c r="CW979" s="476" t="s">
        <v>4723</v>
      </c>
      <c r="CX979" s="483" t="s">
        <v>1124</v>
      </c>
      <c r="CY979" s="483" t="s">
        <v>1124</v>
      </c>
      <c r="CZ979" s="483" t="s">
        <v>1124</v>
      </c>
      <c r="DA979" s="483">
        <v>0</v>
      </c>
      <c r="DB979" s="483" t="s">
        <v>1124</v>
      </c>
      <c r="DC979" s="483">
        <v>0</v>
      </c>
      <c r="DD979" s="483">
        <v>0</v>
      </c>
      <c r="DE979" s="483">
        <f>IFERROR(SUM(VLOOKUP($BS979,'État &amp; Plan d''action'!$B$6:$Z$1113,18,FALSE),VLOOKUP($BS979,'État &amp; Plan d''action'!$B$6:$Z$1113,20,FALSE))/(VLOOKUP($BS979,'Données par municipalité'!$B$4:$L$1113,11,FALSE)),"")</f>
        <v>0</v>
      </c>
      <c r="DF979" s="483">
        <f>IFERROR(SUM(VLOOKUP($BS979,'État &amp; Plan d''action'!$B$6:$Z$1113,19,FALSE),VLOOKUP($BS979,'État &amp; Plan d''action'!$B$6:$Z$1113,21,FALSE))/(VLOOKUP($BS979,'Données par municipalité'!$B$4:$L$1113,11,FALSE)),"")</f>
        <v>0</v>
      </c>
      <c r="DG979" s="476" t="s">
        <v>4723</v>
      </c>
      <c r="DH979" s="484" t="s">
        <v>1124</v>
      </c>
      <c r="DI979" s="484" t="s">
        <v>1124</v>
      </c>
      <c r="DJ979" s="484">
        <v>0</v>
      </c>
      <c r="DK979" s="484">
        <v>0</v>
      </c>
      <c r="DL979" s="484" t="s">
        <v>1124</v>
      </c>
      <c r="DM979" s="484">
        <v>0</v>
      </c>
      <c r="DN979" s="484">
        <v>0</v>
      </c>
      <c r="DO979" s="484">
        <v>0</v>
      </c>
      <c r="DP979" s="484">
        <v>0</v>
      </c>
      <c r="DQ979" s="484">
        <f>IF(VLOOKUP($BS979,'État &amp; Plan d''action'!$B$6:$AJ$1113,28,FALSE)="","",VLOOKUP($BS979,'État &amp; Plan d''action'!$B$6:$AJ$1113,28,FALSE))</f>
        <v>0</v>
      </c>
      <c r="DR979" s="70">
        <f>IF(VLOOKUP($BS979,'État &amp; Plan d''action'!$B$6:$AJ$1113,29,FALSE)="","",VLOOKUP($BS979,'État &amp; Plan d''action'!$B$6:$AJ$1113,29,FALSE))</f>
        <v>0</v>
      </c>
      <c r="DS979" s="70">
        <f>IF(VLOOKUP($BS979,'État &amp; Plan d''action'!$B$6:$AJ$1113,30,FALSE)="","",VLOOKUP($BS979,'État &amp; Plan d''action'!$B$6:$AJ$1113,30,FALSE))</f>
        <v>0</v>
      </c>
      <c r="DT979" s="70">
        <v>138</v>
      </c>
      <c r="DU979" s="485">
        <v>1.7798542744312811</v>
      </c>
      <c r="DV979" s="485">
        <v>0.59328899105442068</v>
      </c>
      <c r="DW979" s="70">
        <v>0</v>
      </c>
      <c r="DX979" s="70">
        <v>0</v>
      </c>
      <c r="DY979" s="70">
        <v>0</v>
      </c>
      <c r="DZ979" s="70">
        <f>VLOOKUP($BS979,'État &amp; Plan d''action'!$B$6:$AH$1113,31,FALSE)</f>
        <v>0</v>
      </c>
      <c r="EA979" s="70">
        <f>VLOOKUP($BS979,'État &amp; Plan d''action'!$B$6:$AH$1113,32,FALSE)</f>
        <v>0</v>
      </c>
      <c r="EB979" s="70">
        <f>VLOOKUP($BS979,'État &amp; Plan d''action'!$B$6:$AH$1113,33,FALSE)</f>
        <v>0</v>
      </c>
      <c r="EC979" s="70">
        <v>4.95</v>
      </c>
      <c r="ED979" s="70">
        <v>0</v>
      </c>
      <c r="EE979" s="70">
        <v>0</v>
      </c>
      <c r="EF979" s="70">
        <v>0</v>
      </c>
      <c r="EG979" s="70">
        <v>0</v>
      </c>
      <c r="EH979" s="72">
        <v>58</v>
      </c>
      <c r="EI979" s="72">
        <v>922</v>
      </c>
    </row>
    <row r="980" spans="71:139" x14ac:dyDescent="0.35">
      <c r="BS980" s="486">
        <v>63040</v>
      </c>
      <c r="BT980" s="479" t="s">
        <v>639</v>
      </c>
      <c r="BU980" s="479">
        <v>14</v>
      </c>
      <c r="BV980" s="476" t="s">
        <v>1188</v>
      </c>
      <c r="BW980" s="476" t="s">
        <v>1188</v>
      </c>
      <c r="BX980" s="476" t="s">
        <v>1188</v>
      </c>
      <c r="BY980" s="476" t="s">
        <v>1188</v>
      </c>
      <c r="BZ980" s="476" t="s">
        <v>1188</v>
      </c>
      <c r="CA980" s="476" t="s">
        <v>1188</v>
      </c>
      <c r="CB980" s="476" t="s">
        <v>1188</v>
      </c>
      <c r="CC980" s="476" t="s">
        <v>1188</v>
      </c>
      <c r="CD980" s="476" t="s">
        <v>1188</v>
      </c>
      <c r="CE980" s="476" t="s">
        <v>1187</v>
      </c>
      <c r="CF980" s="476" t="s">
        <v>1187</v>
      </c>
      <c r="CG980" s="476" t="s">
        <v>1187</v>
      </c>
      <c r="CH980" s="476" t="s">
        <v>1187</v>
      </c>
      <c r="CI980" s="476" t="s">
        <v>1187</v>
      </c>
      <c r="CJ980" s="476" t="s">
        <v>1187</v>
      </c>
      <c r="CK980" s="476" t="s">
        <v>1187</v>
      </c>
      <c r="CL980" s="476" t="s">
        <v>1187</v>
      </c>
      <c r="CM980" s="476" t="str">
        <f>IF(VLOOKUP(BS980,'Données par municipalité'!$B$6:$E$1113,4,FALSE)="","non","oui")</f>
        <v>non</v>
      </c>
      <c r="CN980" s="410" t="s">
        <v>1124</v>
      </c>
      <c r="CO980" s="410" t="s">
        <v>1124</v>
      </c>
      <c r="CP980" s="410"/>
      <c r="CQ980" s="410"/>
      <c r="CR980" s="410"/>
      <c r="CS980" s="410" t="s">
        <v>1124</v>
      </c>
      <c r="CT980" s="410"/>
      <c r="CU980" s="410" t="s">
        <v>1124</v>
      </c>
      <c r="CV980" s="410" t="str">
        <f>IF(VLOOKUP(BS980,'Données par municipalité'!$B$6:$F$1113,4,FALSE)="","",VLOOKUP(BS980,'Données par municipalité'!$B$6:$F$1113,4,FALSE))</f>
        <v/>
      </c>
      <c r="CW980" s="476" t="s">
        <v>4723</v>
      </c>
      <c r="CX980" s="483" t="s">
        <v>1124</v>
      </c>
      <c r="CY980" s="483" t="s">
        <v>1124</v>
      </c>
      <c r="CZ980" s="483" t="s">
        <v>1124</v>
      </c>
      <c r="DA980" s="483" t="s">
        <v>1124</v>
      </c>
      <c r="DB980" s="483" t="s">
        <v>1124</v>
      </c>
      <c r="DC980" s="483" t="s">
        <v>1124</v>
      </c>
      <c r="DD980" s="483" t="s">
        <v>1124</v>
      </c>
      <c r="DE980" s="483" t="str">
        <f>IFERROR(SUM(VLOOKUP($BS980,'État &amp; Plan d''action'!$B$6:$Z$1113,18,FALSE),VLOOKUP($BS980,'État &amp; Plan d''action'!$B$6:$Z$1113,20,FALSE))/(VLOOKUP($BS980,'Données par municipalité'!$B$4:$L$1113,11,FALSE)),"")</f>
        <v/>
      </c>
      <c r="DF980" s="483" t="str">
        <f>IFERROR(SUM(VLOOKUP($BS980,'État &amp; Plan d''action'!$B$6:$Z$1113,19,FALSE),VLOOKUP($BS980,'État &amp; Plan d''action'!$B$6:$Z$1113,21,FALSE))/(VLOOKUP($BS980,'Données par municipalité'!$B$4:$L$1113,11,FALSE)),"")</f>
        <v/>
      </c>
      <c r="DG980" s="476" t="s">
        <v>4723</v>
      </c>
      <c r="DH980" s="484" t="s">
        <v>1124</v>
      </c>
      <c r="DI980" s="484" t="s">
        <v>1124</v>
      </c>
      <c r="DJ980" s="484">
        <v>0</v>
      </c>
      <c r="DK980" s="484">
        <v>0</v>
      </c>
      <c r="DL980" s="484" t="s">
        <v>1124</v>
      </c>
      <c r="DM980" s="484" t="s">
        <v>1124</v>
      </c>
      <c r="DN980" s="484" t="s">
        <v>1124</v>
      </c>
      <c r="DO980" s="484" t="s">
        <v>1124</v>
      </c>
      <c r="DP980" s="484" t="s">
        <v>1124</v>
      </c>
      <c r="DQ980" s="484" t="str">
        <f>IF(VLOOKUP($BS980,'État &amp; Plan d''action'!$B$6:$AJ$1113,28,FALSE)="","",VLOOKUP($BS980,'État &amp; Plan d''action'!$B$6:$AJ$1113,28,FALSE))</f>
        <v/>
      </c>
      <c r="DR980" s="70" t="str">
        <f>IF(VLOOKUP($BS980,'État &amp; Plan d''action'!$B$6:$AJ$1113,29,FALSE)="","",VLOOKUP($BS980,'État &amp; Plan d''action'!$B$6:$AJ$1113,29,FALSE))</f>
        <v/>
      </c>
      <c r="DS980" s="70" t="str">
        <f>IF(VLOOKUP($BS980,'État &amp; Plan d''action'!$B$6:$AJ$1113,30,FALSE)="","",VLOOKUP($BS980,'État &amp; Plan d''action'!$B$6:$AJ$1113,30,FALSE))</f>
        <v/>
      </c>
      <c r="DT980" s="70" t="s">
        <v>1124</v>
      </c>
      <c r="DU980" s="485" t="s">
        <v>1124</v>
      </c>
      <c r="DV980" s="485" t="s">
        <v>1124</v>
      </c>
      <c r="DW980" s="70" t="s">
        <v>1124</v>
      </c>
      <c r="DX980" s="70" t="s">
        <v>1124</v>
      </c>
      <c r="DY980" s="70" t="s">
        <v>1124</v>
      </c>
      <c r="DZ980" s="70" t="str">
        <f>VLOOKUP($BS980,'État &amp; Plan d''action'!$B$6:$AH$1113,31,FALSE)</f>
        <v/>
      </c>
      <c r="EA980" s="70" t="str">
        <f>VLOOKUP($BS980,'État &amp; Plan d''action'!$B$6:$AH$1113,32,FALSE)</f>
        <v/>
      </c>
      <c r="EB980" s="70" t="str">
        <f>VLOOKUP($BS980,'État &amp; Plan d''action'!$B$6:$AH$1113,33,FALSE)</f>
        <v/>
      </c>
      <c r="EC980" s="70" t="s">
        <v>1124</v>
      </c>
      <c r="ED980" s="70" t="s">
        <v>1124</v>
      </c>
      <c r="EE980" s="70" t="s">
        <v>1124</v>
      </c>
      <c r="EF980" s="70" t="s">
        <v>1124</v>
      </c>
      <c r="EG980" s="70" t="s">
        <v>1124</v>
      </c>
      <c r="EH980" s="72"/>
      <c r="EI980" s="72">
        <v>274</v>
      </c>
    </row>
    <row r="981" spans="71:139" x14ac:dyDescent="0.35">
      <c r="BS981" s="486">
        <v>30100</v>
      </c>
      <c r="BT981" s="479" t="s">
        <v>234</v>
      </c>
      <c r="BU981" s="479">
        <v>5</v>
      </c>
      <c r="BV981" s="476" t="s">
        <v>1187</v>
      </c>
      <c r="BW981" s="476" t="s">
        <v>1187</v>
      </c>
      <c r="BX981" s="476" t="s">
        <v>1187</v>
      </c>
      <c r="BY981" s="476" t="s">
        <v>1187</v>
      </c>
      <c r="BZ981" s="476" t="s">
        <v>1187</v>
      </c>
      <c r="CA981" s="476" t="s">
        <v>1187</v>
      </c>
      <c r="CB981" s="476" t="s">
        <v>1187</v>
      </c>
      <c r="CC981" s="476" t="s">
        <v>1187</v>
      </c>
      <c r="CD981" s="476" t="s">
        <v>1187</v>
      </c>
      <c r="CE981" s="476" t="s">
        <v>1188</v>
      </c>
      <c r="CF981" s="476" t="s">
        <v>1188</v>
      </c>
      <c r="CG981" s="476" t="s">
        <v>1187</v>
      </c>
      <c r="CH981" s="476" t="s">
        <v>1188</v>
      </c>
      <c r="CI981" s="476" t="s">
        <v>1188</v>
      </c>
      <c r="CJ981" s="476" t="s">
        <v>1188</v>
      </c>
      <c r="CK981" s="476" t="s">
        <v>1188</v>
      </c>
      <c r="CL981" s="476" t="s">
        <v>1188</v>
      </c>
      <c r="CM981" s="476" t="str">
        <f>IF(VLOOKUP(BS981,'Données par municipalité'!$B$6:$E$1113,4,FALSE)="","non","oui")</f>
        <v>oui</v>
      </c>
      <c r="CN981" s="410">
        <v>701.76236645785139</v>
      </c>
      <c r="CO981" s="410">
        <v>690.85140137493386</v>
      </c>
      <c r="CP981" s="410"/>
      <c r="CQ981" s="410">
        <v>449.44411220542344</v>
      </c>
      <c r="CR981" s="410">
        <v>268.1442502931335</v>
      </c>
      <c r="CS981" s="410">
        <v>292.66363965536016</v>
      </c>
      <c r="CT981" s="410">
        <v>387.73312742671146</v>
      </c>
      <c r="CU981" s="410">
        <v>384</v>
      </c>
      <c r="CV981" s="410">
        <f>IF(VLOOKUP(BS981,'Données par municipalité'!$B$6:$F$1113,4,FALSE)="","",VLOOKUP(BS981,'Données par municipalité'!$B$6:$F$1113,4,FALSE))</f>
        <v>363</v>
      </c>
      <c r="CW981" s="476" t="s">
        <v>4723</v>
      </c>
      <c r="CX981" s="483">
        <v>1</v>
      </c>
      <c r="CY981" s="483" t="s">
        <v>1124</v>
      </c>
      <c r="CZ981" s="483">
        <v>0</v>
      </c>
      <c r="DA981" s="483">
        <v>0</v>
      </c>
      <c r="DB981" s="483">
        <v>1</v>
      </c>
      <c r="DC981" s="483">
        <v>1</v>
      </c>
      <c r="DD981" s="483">
        <v>1</v>
      </c>
      <c r="DE981" s="483">
        <f>IFERROR(SUM(VLOOKUP($BS981,'État &amp; Plan d''action'!$B$6:$Z$1113,18,FALSE),VLOOKUP($BS981,'État &amp; Plan d''action'!$B$6:$Z$1113,20,FALSE))/(VLOOKUP($BS981,'Données par municipalité'!$B$4:$L$1113,11,FALSE)),"")</f>
        <v>1</v>
      </c>
      <c r="DF981" s="483">
        <f>IFERROR(SUM(VLOOKUP($BS981,'État &amp; Plan d''action'!$B$6:$Z$1113,19,FALSE),VLOOKUP($BS981,'État &amp; Plan d''action'!$B$6:$Z$1113,21,FALSE))/(VLOOKUP($BS981,'Données par municipalité'!$B$4:$L$1113,11,FALSE)),"")</f>
        <v>1</v>
      </c>
      <c r="DG981" s="476" t="s">
        <v>4723</v>
      </c>
      <c r="DH981" s="484">
        <v>0</v>
      </c>
      <c r="DI981" s="484" t="s">
        <v>1124</v>
      </c>
      <c r="DJ981" s="484">
        <v>2</v>
      </c>
      <c r="DK981" s="484">
        <v>0</v>
      </c>
      <c r="DL981" s="484">
        <v>2</v>
      </c>
      <c r="DM981" s="484">
        <v>0</v>
      </c>
      <c r="DN981" s="484">
        <v>0</v>
      </c>
      <c r="DO981" s="484">
        <v>1</v>
      </c>
      <c r="DP981" s="484">
        <v>0</v>
      </c>
      <c r="DQ981" s="484">
        <f>IF(VLOOKUP($BS981,'État &amp; Plan d''action'!$B$6:$AJ$1113,28,FALSE)="","",VLOOKUP($BS981,'État &amp; Plan d''action'!$B$6:$AJ$1113,28,FALSE))</f>
        <v>0</v>
      </c>
      <c r="DR981" s="70">
        <f>IF(VLOOKUP($BS981,'État &amp; Plan d''action'!$B$6:$AJ$1113,29,FALSE)="","",VLOOKUP($BS981,'État &amp; Plan d''action'!$B$6:$AJ$1113,29,FALSE))</f>
        <v>0</v>
      </c>
      <c r="DS981" s="70">
        <f>IF(VLOOKUP($BS981,'État &amp; Plan d''action'!$B$6:$AJ$1113,30,FALSE)="","",VLOOKUP($BS981,'État &amp; Plan d''action'!$B$6:$AJ$1113,30,FALSE))</f>
        <v>0</v>
      </c>
      <c r="DT981" s="70">
        <v>171</v>
      </c>
      <c r="DU981" s="485">
        <v>4.4726694499328445</v>
      </c>
      <c r="DV981" s="485">
        <v>3.566342726623676</v>
      </c>
      <c r="DW981" s="70">
        <v>0</v>
      </c>
      <c r="DX981" s="70">
        <v>3</v>
      </c>
      <c r="DY981" s="70">
        <v>0</v>
      </c>
      <c r="DZ981" s="70">
        <f>VLOOKUP($BS981,'État &amp; Plan d''action'!$B$6:$AH$1113,31,FALSE)</f>
        <v>0</v>
      </c>
      <c r="EA981" s="70">
        <f>VLOOKUP($BS981,'État &amp; Plan d''action'!$B$6:$AH$1113,32,FALSE)</f>
        <v>0</v>
      </c>
      <c r="EB981" s="70">
        <f>VLOOKUP($BS981,'État &amp; Plan d''action'!$B$6:$AH$1113,33,FALSE)</f>
        <v>0</v>
      </c>
      <c r="EC981" s="70">
        <v>0</v>
      </c>
      <c r="ED981" s="70">
        <v>5.3310000000000004</v>
      </c>
      <c r="EE981" s="70">
        <v>0</v>
      </c>
      <c r="EF981" s="70">
        <v>0</v>
      </c>
      <c r="EG981" s="70">
        <v>0</v>
      </c>
      <c r="EH981" s="72">
        <v>63.89215686274509</v>
      </c>
      <c r="EI981" s="72">
        <v>711</v>
      </c>
    </row>
    <row r="982" spans="71:139" x14ac:dyDescent="0.35">
      <c r="BS982" s="486">
        <v>39145</v>
      </c>
      <c r="BT982" s="479" t="s">
        <v>355</v>
      </c>
      <c r="BU982" s="479">
        <v>17</v>
      </c>
      <c r="BV982" s="476" t="s">
        <v>1187</v>
      </c>
      <c r="BW982" s="476" t="s">
        <v>1187</v>
      </c>
      <c r="BX982" s="476" t="s">
        <v>1187</v>
      </c>
      <c r="BY982" s="476" t="s">
        <v>1187</v>
      </c>
      <c r="BZ982" s="476" t="s">
        <v>1187</v>
      </c>
      <c r="CA982" s="476" t="s">
        <v>1187</v>
      </c>
      <c r="CB982" s="476" t="s">
        <v>1187</v>
      </c>
      <c r="CC982" s="476" t="s">
        <v>1187</v>
      </c>
      <c r="CD982" s="476" t="s">
        <v>1187</v>
      </c>
      <c r="CE982" s="476" t="s">
        <v>1188</v>
      </c>
      <c r="CF982" s="476" t="s">
        <v>1188</v>
      </c>
      <c r="CG982" s="476" t="s">
        <v>1188</v>
      </c>
      <c r="CH982" s="476" t="s">
        <v>1188</v>
      </c>
      <c r="CI982" s="476" t="s">
        <v>1187</v>
      </c>
      <c r="CJ982" s="476" t="s">
        <v>1187</v>
      </c>
      <c r="CK982" s="476" t="s">
        <v>1187</v>
      </c>
      <c r="CL982" s="476" t="s">
        <v>1187</v>
      </c>
      <c r="CM982" s="476" t="str">
        <f>IF(VLOOKUP(BS982,'Données par municipalité'!$B$6:$E$1113,4,FALSE)="","non","oui")</f>
        <v>oui</v>
      </c>
      <c r="CN982" s="410">
        <v>592.65418052395125</v>
      </c>
      <c r="CO982" s="410">
        <v>662.40945482272207</v>
      </c>
      <c r="CP982" s="410">
        <v>291.38460814018129</v>
      </c>
      <c r="CQ982" s="410">
        <v>324.27241770715096</v>
      </c>
      <c r="CR982" s="410"/>
      <c r="CS982" s="410" t="s">
        <v>1124</v>
      </c>
      <c r="CT982" s="410"/>
      <c r="CU982" s="410" t="s">
        <v>1124</v>
      </c>
      <c r="CV982" s="410">
        <f>IF(VLOOKUP(BS982,'Données par municipalité'!$B$6:$F$1113,4,FALSE)="","",VLOOKUP(BS982,'Données par municipalité'!$B$6:$F$1113,4,FALSE))</f>
        <v>434</v>
      </c>
      <c r="CW982" s="476" t="s">
        <v>4723</v>
      </c>
      <c r="CX982" s="483">
        <v>1</v>
      </c>
      <c r="CY982" s="483">
        <v>1</v>
      </c>
      <c r="CZ982" s="483">
        <v>0</v>
      </c>
      <c r="DA982" s="483" t="s">
        <v>1124</v>
      </c>
      <c r="DB982" s="483" t="s">
        <v>1124</v>
      </c>
      <c r="DC982" s="483" t="s">
        <v>1124</v>
      </c>
      <c r="DD982" s="483" t="s">
        <v>1124</v>
      </c>
      <c r="DE982" s="483">
        <f>IFERROR(SUM(VLOOKUP($BS982,'État &amp; Plan d''action'!$B$6:$Z$1113,18,FALSE),VLOOKUP($BS982,'État &amp; Plan d''action'!$B$6:$Z$1113,20,FALSE))/(VLOOKUP($BS982,'Données par municipalité'!$B$4:$L$1113,11,FALSE)),"")</f>
        <v>7.0343275182892517E-2</v>
      </c>
      <c r="DF982" s="483">
        <f>IFERROR(SUM(VLOOKUP($BS982,'État &amp; Plan d''action'!$B$6:$Z$1113,19,FALSE),VLOOKUP($BS982,'État &amp; Plan d''action'!$B$6:$Z$1113,21,FALSE))/(VLOOKUP($BS982,'Données par municipalité'!$B$4:$L$1113,11,FALSE)),"")</f>
        <v>0</v>
      </c>
      <c r="DG982" s="476" t="s">
        <v>4723</v>
      </c>
      <c r="DH982" s="484">
        <v>0</v>
      </c>
      <c r="DI982" s="484">
        <v>1</v>
      </c>
      <c r="DJ982" s="484">
        <v>2</v>
      </c>
      <c r="DK982" s="484">
        <v>0</v>
      </c>
      <c r="DL982" s="484" t="s">
        <v>1124</v>
      </c>
      <c r="DM982" s="484" t="s">
        <v>1124</v>
      </c>
      <c r="DN982" s="484" t="s">
        <v>1124</v>
      </c>
      <c r="DO982" s="484" t="s">
        <v>1124</v>
      </c>
      <c r="DP982" s="484" t="s">
        <v>1124</v>
      </c>
      <c r="DQ982" s="484">
        <f>IF(VLOOKUP($BS982,'État &amp; Plan d''action'!$B$6:$AJ$1113,28,FALSE)="","",VLOOKUP($BS982,'État &amp; Plan d''action'!$B$6:$AJ$1113,28,FALSE))</f>
        <v>3</v>
      </c>
      <c r="DR982" s="70">
        <f>IF(VLOOKUP($BS982,'État &amp; Plan d''action'!$B$6:$AJ$1113,29,FALSE)="","",VLOOKUP($BS982,'État &amp; Plan d''action'!$B$6:$AJ$1113,29,FALSE))</f>
        <v>0</v>
      </c>
      <c r="DS982" s="70">
        <f>IF(VLOOKUP($BS982,'État &amp; Plan d''action'!$B$6:$AJ$1113,30,FALSE)="","",VLOOKUP($BS982,'État &amp; Plan d''action'!$B$6:$AJ$1113,30,FALSE))</f>
        <v>1</v>
      </c>
      <c r="DT982" s="70" t="s">
        <v>1124</v>
      </c>
      <c r="DU982" s="485" t="s">
        <v>1124</v>
      </c>
      <c r="DV982" s="485">
        <v>1.7249800822802579</v>
      </c>
      <c r="DW982" s="70" t="s">
        <v>1124</v>
      </c>
      <c r="DX982" s="70" t="s">
        <v>1124</v>
      </c>
      <c r="DY982" s="70" t="s">
        <v>1124</v>
      </c>
      <c r="DZ982" s="70">
        <f>VLOOKUP($BS982,'État &amp; Plan d''action'!$B$6:$AH$1113,31,FALSE)</f>
        <v>3</v>
      </c>
      <c r="EA982" s="70">
        <f>VLOOKUP($BS982,'État &amp; Plan d''action'!$B$6:$AH$1113,32,FALSE)</f>
        <v>0</v>
      </c>
      <c r="EB982" s="70">
        <f>VLOOKUP($BS982,'État &amp; Plan d''action'!$B$6:$AH$1113,33,FALSE)</f>
        <v>1</v>
      </c>
      <c r="EC982" s="70" t="s">
        <v>1124</v>
      </c>
      <c r="ED982" s="70" t="s">
        <v>1124</v>
      </c>
      <c r="EE982" s="70" t="s">
        <v>1124</v>
      </c>
      <c r="EF982" s="70" t="s">
        <v>1124</v>
      </c>
      <c r="EG982" s="70" t="s">
        <v>1124</v>
      </c>
      <c r="EH982" s="72"/>
      <c r="EI982" s="72">
        <v>887</v>
      </c>
    </row>
    <row r="983" spans="71:139" x14ac:dyDescent="0.35">
      <c r="BS983" s="486">
        <v>39130</v>
      </c>
      <c r="BT983" s="479" t="s">
        <v>353</v>
      </c>
      <c r="BU983" s="479">
        <v>17</v>
      </c>
      <c r="BV983" s="476" t="s">
        <v>1188</v>
      </c>
      <c r="BW983" s="476" t="s">
        <v>1188</v>
      </c>
      <c r="BX983" s="476" t="s">
        <v>1188</v>
      </c>
      <c r="BY983" s="476" t="s">
        <v>1188</v>
      </c>
      <c r="BZ983" s="476" t="s">
        <v>1188</v>
      </c>
      <c r="CA983" s="476" t="s">
        <v>1188</v>
      </c>
      <c r="CB983" s="476" t="s">
        <v>1188</v>
      </c>
      <c r="CC983" s="476" t="s">
        <v>1188</v>
      </c>
      <c r="CD983" s="476" t="s">
        <v>1188</v>
      </c>
      <c r="CE983" s="476" t="s">
        <v>1187</v>
      </c>
      <c r="CF983" s="476" t="s">
        <v>1187</v>
      </c>
      <c r="CG983" s="476" t="s">
        <v>1187</v>
      </c>
      <c r="CH983" s="476" t="s">
        <v>1187</v>
      </c>
      <c r="CI983" s="476" t="s">
        <v>1187</v>
      </c>
      <c r="CJ983" s="476" t="s">
        <v>1187</v>
      </c>
      <c r="CK983" s="476" t="s">
        <v>1187</v>
      </c>
      <c r="CL983" s="476" t="s">
        <v>1187</v>
      </c>
      <c r="CM983" s="476" t="str">
        <f>IF(VLOOKUP(BS983,'Données par municipalité'!$B$6:$E$1113,4,FALSE)="","non","oui")</f>
        <v>non</v>
      </c>
      <c r="CN983" s="410" t="s">
        <v>1124</v>
      </c>
      <c r="CO983" s="410" t="s">
        <v>1124</v>
      </c>
      <c r="CP983" s="410"/>
      <c r="CQ983" s="410"/>
      <c r="CR983" s="410"/>
      <c r="CS983" s="410" t="s">
        <v>1124</v>
      </c>
      <c r="CT983" s="410"/>
      <c r="CU983" s="410" t="s">
        <v>1124</v>
      </c>
      <c r="CV983" s="410" t="str">
        <f>IF(VLOOKUP(BS983,'Données par municipalité'!$B$6:$F$1113,4,FALSE)="","",VLOOKUP(BS983,'Données par municipalité'!$B$6:$F$1113,4,FALSE))</f>
        <v/>
      </c>
      <c r="CW983" s="476" t="s">
        <v>4723</v>
      </c>
      <c r="CX983" s="483" t="s">
        <v>1124</v>
      </c>
      <c r="CY983" s="483" t="s">
        <v>1124</v>
      </c>
      <c r="CZ983" s="483" t="s">
        <v>1124</v>
      </c>
      <c r="DA983" s="483" t="s">
        <v>1124</v>
      </c>
      <c r="DB983" s="483" t="s">
        <v>1124</v>
      </c>
      <c r="DC983" s="483" t="s">
        <v>1124</v>
      </c>
      <c r="DD983" s="483" t="s">
        <v>1124</v>
      </c>
      <c r="DE983" s="483" t="str">
        <f>IFERROR(SUM(VLOOKUP($BS983,'État &amp; Plan d''action'!$B$6:$Z$1113,18,FALSE),VLOOKUP($BS983,'État &amp; Plan d''action'!$B$6:$Z$1113,20,FALSE))/(VLOOKUP($BS983,'Données par municipalité'!$B$4:$L$1113,11,FALSE)),"")</f>
        <v/>
      </c>
      <c r="DF983" s="483" t="str">
        <f>IFERROR(SUM(VLOOKUP($BS983,'État &amp; Plan d''action'!$B$6:$Z$1113,19,FALSE),VLOOKUP($BS983,'État &amp; Plan d''action'!$B$6:$Z$1113,21,FALSE))/(VLOOKUP($BS983,'Données par municipalité'!$B$4:$L$1113,11,FALSE)),"")</f>
        <v/>
      </c>
      <c r="DG983" s="476" t="s">
        <v>4723</v>
      </c>
      <c r="DH983" s="484" t="s">
        <v>1124</v>
      </c>
      <c r="DI983" s="484" t="s">
        <v>1124</v>
      </c>
      <c r="DJ983" s="484">
        <v>0</v>
      </c>
      <c r="DK983" s="484">
        <v>0</v>
      </c>
      <c r="DL983" s="484" t="s">
        <v>1124</v>
      </c>
      <c r="DM983" s="484" t="s">
        <v>1124</v>
      </c>
      <c r="DN983" s="484" t="s">
        <v>1124</v>
      </c>
      <c r="DO983" s="484" t="s">
        <v>1124</v>
      </c>
      <c r="DP983" s="484" t="s">
        <v>1124</v>
      </c>
      <c r="DQ983" s="484" t="str">
        <f>IF(VLOOKUP($BS983,'État &amp; Plan d''action'!$B$6:$AJ$1113,28,FALSE)="","",VLOOKUP($BS983,'État &amp; Plan d''action'!$B$6:$AJ$1113,28,FALSE))</f>
        <v/>
      </c>
      <c r="DR983" s="70" t="str">
        <f>IF(VLOOKUP($BS983,'État &amp; Plan d''action'!$B$6:$AJ$1113,29,FALSE)="","",VLOOKUP($BS983,'État &amp; Plan d''action'!$B$6:$AJ$1113,29,FALSE))</f>
        <v/>
      </c>
      <c r="DS983" s="70" t="str">
        <f>IF(VLOOKUP($BS983,'État &amp; Plan d''action'!$B$6:$AJ$1113,30,FALSE)="","",VLOOKUP($BS983,'État &amp; Plan d''action'!$B$6:$AJ$1113,30,FALSE))</f>
        <v/>
      </c>
      <c r="DT983" s="70" t="s">
        <v>1124</v>
      </c>
      <c r="DU983" s="485" t="s">
        <v>1124</v>
      </c>
      <c r="DV983" s="485" t="s">
        <v>1124</v>
      </c>
      <c r="DW983" s="70" t="s">
        <v>1124</v>
      </c>
      <c r="DX983" s="70" t="s">
        <v>1124</v>
      </c>
      <c r="DY983" s="70" t="s">
        <v>1124</v>
      </c>
      <c r="DZ983" s="70" t="str">
        <f>VLOOKUP($BS983,'État &amp; Plan d''action'!$B$6:$AH$1113,31,FALSE)</f>
        <v/>
      </c>
      <c r="EA983" s="70" t="str">
        <f>VLOOKUP($BS983,'État &amp; Plan d''action'!$B$6:$AH$1113,32,FALSE)</f>
        <v/>
      </c>
      <c r="EB983" s="70" t="str">
        <f>VLOOKUP($BS983,'État &amp; Plan d''action'!$B$6:$AH$1113,33,FALSE)</f>
        <v/>
      </c>
      <c r="EC983" s="70" t="s">
        <v>1124</v>
      </c>
      <c r="ED983" s="70" t="s">
        <v>1124</v>
      </c>
      <c r="EE983" s="70" t="s">
        <v>1124</v>
      </c>
      <c r="EF983" s="70" t="s">
        <v>1124</v>
      </c>
      <c r="EG983" s="70" t="s">
        <v>1124</v>
      </c>
      <c r="EH983" s="72"/>
      <c r="EI983" s="72">
        <v>776</v>
      </c>
    </row>
    <row r="984" spans="71:139" x14ac:dyDescent="0.35">
      <c r="BS984" s="486">
        <v>26010</v>
      </c>
      <c r="BT984" s="479" t="s">
        <v>168</v>
      </c>
      <c r="BU984" s="479">
        <v>12</v>
      </c>
      <c r="BV984" s="476" t="s">
        <v>1188</v>
      </c>
      <c r="BW984" s="476" t="s">
        <v>1188</v>
      </c>
      <c r="BX984" s="476" t="s">
        <v>1188</v>
      </c>
      <c r="BY984" s="476" t="s">
        <v>1188</v>
      </c>
      <c r="BZ984" s="476" t="s">
        <v>1188</v>
      </c>
      <c r="CA984" s="476" t="s">
        <v>1188</v>
      </c>
      <c r="CB984" s="476" t="s">
        <v>1188</v>
      </c>
      <c r="CC984" s="476" t="s">
        <v>1188</v>
      </c>
      <c r="CD984" s="476" t="s">
        <v>1188</v>
      </c>
      <c r="CE984" s="476" t="s">
        <v>1187</v>
      </c>
      <c r="CF984" s="476" t="s">
        <v>1187</v>
      </c>
      <c r="CG984" s="476" t="s">
        <v>1187</v>
      </c>
      <c r="CH984" s="476" t="s">
        <v>1187</v>
      </c>
      <c r="CI984" s="476" t="s">
        <v>1187</v>
      </c>
      <c r="CJ984" s="476" t="s">
        <v>1187</v>
      </c>
      <c r="CK984" s="476" t="s">
        <v>1187</v>
      </c>
      <c r="CL984" s="476" t="s">
        <v>1187</v>
      </c>
      <c r="CM984" s="476" t="str">
        <f>IF(VLOOKUP(BS984,'Données par municipalité'!$B$6:$E$1113,4,FALSE)="","non","oui")</f>
        <v>non</v>
      </c>
      <c r="CN984" s="410" t="s">
        <v>1124</v>
      </c>
      <c r="CO984" s="410" t="s">
        <v>1124</v>
      </c>
      <c r="CP984" s="410"/>
      <c r="CQ984" s="410"/>
      <c r="CR984" s="410"/>
      <c r="CS984" s="410" t="s">
        <v>1124</v>
      </c>
      <c r="CT984" s="410"/>
      <c r="CU984" s="410" t="s">
        <v>1124</v>
      </c>
      <c r="CV984" s="410" t="str">
        <f>IF(VLOOKUP(BS984,'Données par municipalité'!$B$6:$F$1113,4,FALSE)="","",VLOOKUP(BS984,'Données par municipalité'!$B$6:$F$1113,4,FALSE))</f>
        <v/>
      </c>
      <c r="CW984" s="476" t="s">
        <v>4723</v>
      </c>
      <c r="CX984" s="483" t="s">
        <v>1124</v>
      </c>
      <c r="CY984" s="483" t="s">
        <v>1124</v>
      </c>
      <c r="CZ984" s="483" t="s">
        <v>1124</v>
      </c>
      <c r="DA984" s="483" t="s">
        <v>1124</v>
      </c>
      <c r="DB984" s="483" t="s">
        <v>1124</v>
      </c>
      <c r="DC984" s="483" t="s">
        <v>1124</v>
      </c>
      <c r="DD984" s="483" t="s">
        <v>1124</v>
      </c>
      <c r="DE984" s="483" t="str">
        <f>IFERROR(SUM(VLOOKUP($BS984,'État &amp; Plan d''action'!$B$6:$Z$1113,18,FALSE),VLOOKUP($BS984,'État &amp; Plan d''action'!$B$6:$Z$1113,20,FALSE))/(VLOOKUP($BS984,'Données par municipalité'!$B$4:$L$1113,11,FALSE)),"")</f>
        <v/>
      </c>
      <c r="DF984" s="483" t="str">
        <f>IFERROR(SUM(VLOOKUP($BS984,'État &amp; Plan d''action'!$B$6:$Z$1113,19,FALSE),VLOOKUP($BS984,'État &amp; Plan d''action'!$B$6:$Z$1113,21,FALSE))/(VLOOKUP($BS984,'Données par municipalité'!$B$4:$L$1113,11,FALSE)),"")</f>
        <v/>
      </c>
      <c r="DG984" s="476" t="s">
        <v>4723</v>
      </c>
      <c r="DH984" s="484" t="s">
        <v>1124</v>
      </c>
      <c r="DI984" s="484" t="s">
        <v>1124</v>
      </c>
      <c r="DJ984" s="484">
        <v>0</v>
      </c>
      <c r="DK984" s="484">
        <v>0</v>
      </c>
      <c r="DL984" s="484" t="s">
        <v>1124</v>
      </c>
      <c r="DM984" s="484" t="s">
        <v>1124</v>
      </c>
      <c r="DN984" s="484" t="s">
        <v>1124</v>
      </c>
      <c r="DO984" s="484" t="s">
        <v>1124</v>
      </c>
      <c r="DP984" s="484" t="s">
        <v>1124</v>
      </c>
      <c r="DQ984" s="484" t="str">
        <f>IF(VLOOKUP($BS984,'État &amp; Plan d''action'!$B$6:$AJ$1113,28,FALSE)="","",VLOOKUP($BS984,'État &amp; Plan d''action'!$B$6:$AJ$1113,28,FALSE))</f>
        <v/>
      </c>
      <c r="DR984" s="70" t="str">
        <f>IF(VLOOKUP($BS984,'État &amp; Plan d''action'!$B$6:$AJ$1113,29,FALSE)="","",VLOOKUP($BS984,'État &amp; Plan d''action'!$B$6:$AJ$1113,29,FALSE))</f>
        <v/>
      </c>
      <c r="DS984" s="70" t="str">
        <f>IF(VLOOKUP($BS984,'État &amp; Plan d''action'!$B$6:$AJ$1113,30,FALSE)="","",VLOOKUP($BS984,'État &amp; Plan d''action'!$B$6:$AJ$1113,30,FALSE))</f>
        <v/>
      </c>
      <c r="DT984" s="70" t="s">
        <v>1124</v>
      </c>
      <c r="DU984" s="485" t="s">
        <v>1124</v>
      </c>
      <c r="DV984" s="485" t="s">
        <v>1124</v>
      </c>
      <c r="DW984" s="70" t="s">
        <v>1124</v>
      </c>
      <c r="DX984" s="70" t="s">
        <v>1124</v>
      </c>
      <c r="DY984" s="70" t="s">
        <v>1124</v>
      </c>
      <c r="DZ984" s="70" t="str">
        <f>VLOOKUP($BS984,'État &amp; Plan d''action'!$B$6:$AH$1113,31,FALSE)</f>
        <v/>
      </c>
      <c r="EA984" s="70" t="str">
        <f>VLOOKUP($BS984,'État &amp; Plan d''action'!$B$6:$AH$1113,32,FALSE)</f>
        <v/>
      </c>
      <c r="EB984" s="70" t="str">
        <f>VLOOKUP($BS984,'État &amp; Plan d''action'!$B$6:$AH$1113,33,FALSE)</f>
        <v/>
      </c>
      <c r="EC984" s="70" t="s">
        <v>1124</v>
      </c>
      <c r="ED984" s="70" t="s">
        <v>1124</v>
      </c>
      <c r="EE984" s="70" t="s">
        <v>1124</v>
      </c>
      <c r="EF984" s="70" t="s">
        <v>1124</v>
      </c>
      <c r="EG984" s="70" t="s">
        <v>1124</v>
      </c>
      <c r="EH984" s="72"/>
      <c r="EI984" s="72">
        <v>1174</v>
      </c>
    </row>
    <row r="985" spans="71:139" x14ac:dyDescent="0.35">
      <c r="BS985" s="486">
        <v>77043</v>
      </c>
      <c r="BT985" s="479" t="s">
        <v>761</v>
      </c>
      <c r="BU985" s="479">
        <v>15</v>
      </c>
      <c r="BV985" s="476" t="s">
        <v>1187</v>
      </c>
      <c r="BW985" s="476" t="s">
        <v>1187</v>
      </c>
      <c r="BX985" s="476" t="s">
        <v>1187</v>
      </c>
      <c r="BY985" s="476" t="s">
        <v>1187</v>
      </c>
      <c r="BZ985" s="476" t="s">
        <v>1187</v>
      </c>
      <c r="CA985" s="476" t="s">
        <v>1187</v>
      </c>
      <c r="CB985" s="476" t="s">
        <v>1187</v>
      </c>
      <c r="CC985" s="476" t="s">
        <v>1187</v>
      </c>
      <c r="CD985" s="476" t="s">
        <v>1187</v>
      </c>
      <c r="CE985" s="476" t="s">
        <v>1188</v>
      </c>
      <c r="CF985" s="476" t="s">
        <v>1188</v>
      </c>
      <c r="CG985" s="476" t="s">
        <v>1188</v>
      </c>
      <c r="CH985" s="476" t="s">
        <v>1188</v>
      </c>
      <c r="CI985" s="476" t="s">
        <v>1188</v>
      </c>
      <c r="CJ985" s="476" t="s">
        <v>1187</v>
      </c>
      <c r="CK985" s="476" t="s">
        <v>1188</v>
      </c>
      <c r="CL985" s="476" t="s">
        <v>1188</v>
      </c>
      <c r="CM985" s="476" t="str">
        <f>IF(VLOOKUP(BS985,'Données par municipalité'!$B$6:$E$1113,4,FALSE)="","non","oui")</f>
        <v>oui</v>
      </c>
      <c r="CN985" s="410">
        <v>491.6621969458327</v>
      </c>
      <c r="CO985" s="410">
        <v>462.90363302064475</v>
      </c>
      <c r="CP985" s="410">
        <v>570.29822920897152</v>
      </c>
      <c r="CQ985" s="410">
        <v>509.50246080207137</v>
      </c>
      <c r="CR985" s="410">
        <v>465.10619062864123</v>
      </c>
      <c r="CS985" s="410" t="s">
        <v>1124</v>
      </c>
      <c r="CT985" s="410">
        <v>512.80293176461373</v>
      </c>
      <c r="CU985" s="410">
        <v>501</v>
      </c>
      <c r="CV985" s="410">
        <f>IF(VLOOKUP(BS985,'Données par municipalité'!$B$6:$F$1113,4,FALSE)="","",VLOOKUP(BS985,'Données par municipalité'!$B$6:$F$1113,4,FALSE))</f>
        <v>532</v>
      </c>
      <c r="CW985" s="476" t="s">
        <v>4723</v>
      </c>
      <c r="CX985" s="483">
        <v>0.2</v>
      </c>
      <c r="CY985" s="483">
        <v>0.1</v>
      </c>
      <c r="CZ985" s="483">
        <v>0.1</v>
      </c>
      <c r="DA985" s="483">
        <v>0.3</v>
      </c>
      <c r="DB985" s="483" t="s">
        <v>1124</v>
      </c>
      <c r="DC985" s="483">
        <v>0</v>
      </c>
      <c r="DD985" s="483">
        <v>0</v>
      </c>
      <c r="DE985" s="483">
        <f>IFERROR(SUM(VLOOKUP($BS985,'État &amp; Plan d''action'!$B$6:$Z$1113,18,FALSE),VLOOKUP($BS985,'État &amp; Plan d''action'!$B$6:$Z$1113,20,FALSE))/(VLOOKUP($BS985,'Données par municipalité'!$B$4:$L$1113,11,FALSE)),"")</f>
        <v>0</v>
      </c>
      <c r="DF985" s="483">
        <f>IFERROR(SUM(VLOOKUP($BS985,'État &amp; Plan d''action'!$B$6:$Z$1113,19,FALSE),VLOOKUP($BS985,'État &amp; Plan d''action'!$B$6:$Z$1113,21,FALSE))/(VLOOKUP($BS985,'Données par municipalité'!$B$4:$L$1113,11,FALSE)),"")</f>
        <v>0.99999999999999989</v>
      </c>
      <c r="DG985" s="476" t="s">
        <v>4723</v>
      </c>
      <c r="DH985" s="484">
        <v>10</v>
      </c>
      <c r="DI985" s="484">
        <v>12</v>
      </c>
      <c r="DJ985" s="484">
        <v>8</v>
      </c>
      <c r="DK985" s="484">
        <v>13</v>
      </c>
      <c r="DL985" s="484" t="s">
        <v>1124</v>
      </c>
      <c r="DM985" s="484">
        <v>11</v>
      </c>
      <c r="DN985" s="484">
        <v>7</v>
      </c>
      <c r="DO985" s="484">
        <v>4</v>
      </c>
      <c r="DP985" s="484">
        <v>0</v>
      </c>
      <c r="DQ985" s="484">
        <f>IF(VLOOKUP($BS985,'État &amp; Plan d''action'!$B$6:$AJ$1113,28,FALSE)="","",VLOOKUP($BS985,'État &amp; Plan d''action'!$B$6:$AJ$1113,28,FALSE))</f>
        <v>9</v>
      </c>
      <c r="DR985" s="70">
        <f>IF(VLOOKUP($BS985,'État &amp; Plan d''action'!$B$6:$AJ$1113,29,FALSE)="","",VLOOKUP($BS985,'État &amp; Plan d''action'!$B$6:$AJ$1113,29,FALSE))</f>
        <v>6</v>
      </c>
      <c r="DS985" s="70">
        <f>IF(VLOOKUP($BS985,'État &amp; Plan d''action'!$B$6:$AJ$1113,30,FALSE)="","",VLOOKUP($BS985,'État &amp; Plan d''action'!$B$6:$AJ$1113,30,FALSE))</f>
        <v>1</v>
      </c>
      <c r="DT985" s="70">
        <v>242</v>
      </c>
      <c r="DU985" s="485">
        <v>2.1913372055266445</v>
      </c>
      <c r="DV985" s="485">
        <v>2.6537547758317008</v>
      </c>
      <c r="DW985" s="70">
        <v>2</v>
      </c>
      <c r="DX985" s="70">
        <v>2</v>
      </c>
      <c r="DY985" s="70">
        <v>0</v>
      </c>
      <c r="DZ985" s="70">
        <f>VLOOKUP($BS985,'État &amp; Plan d''action'!$B$6:$AH$1113,31,FALSE)</f>
        <v>1</v>
      </c>
      <c r="EA985" s="70">
        <f>VLOOKUP($BS985,'État &amp; Plan d''action'!$B$6:$AH$1113,32,FALSE)</f>
        <v>1</v>
      </c>
      <c r="EB985" s="70">
        <f>VLOOKUP($BS985,'État &amp; Plan d''action'!$B$6:$AH$1113,33,FALSE)</f>
        <v>1</v>
      </c>
      <c r="EC985" s="70">
        <v>63.137999999999998</v>
      </c>
      <c r="ED985" s="70">
        <v>0</v>
      </c>
      <c r="EE985" s="70">
        <v>0</v>
      </c>
      <c r="EF985" s="70">
        <v>20</v>
      </c>
      <c r="EG985" s="70">
        <v>0</v>
      </c>
      <c r="EH985" s="72">
        <v>60.661764705882355</v>
      </c>
      <c r="EI985" s="72">
        <v>10633</v>
      </c>
    </row>
    <row r="986" spans="71:139" x14ac:dyDescent="0.35">
      <c r="BS986" s="486">
        <v>30085</v>
      </c>
      <c r="BT986" s="479" t="s">
        <v>231</v>
      </c>
      <c r="BU986" s="479">
        <v>5</v>
      </c>
      <c r="BV986" s="476" t="s">
        <v>1187</v>
      </c>
      <c r="BW986" s="476" t="s">
        <v>1187</v>
      </c>
      <c r="BX986" s="476" t="s">
        <v>1187</v>
      </c>
      <c r="BY986" s="476" t="s">
        <v>1187</v>
      </c>
      <c r="BZ986" s="476" t="s">
        <v>1187</v>
      </c>
      <c r="CA986" s="476" t="s">
        <v>1187</v>
      </c>
      <c r="CB986" s="476" t="s">
        <v>1187</v>
      </c>
      <c r="CC986" s="476" t="s">
        <v>1187</v>
      </c>
      <c r="CD986" s="476" t="s">
        <v>1187</v>
      </c>
      <c r="CE986" s="476" t="s">
        <v>1188</v>
      </c>
      <c r="CF986" s="476" t="s">
        <v>1188</v>
      </c>
      <c r="CG986" s="476" t="s">
        <v>1188</v>
      </c>
      <c r="CH986" s="476" t="s">
        <v>1188</v>
      </c>
      <c r="CI986" s="476" t="s">
        <v>1188</v>
      </c>
      <c r="CJ986" s="476" t="s">
        <v>1188</v>
      </c>
      <c r="CK986" s="476" t="s">
        <v>1188</v>
      </c>
      <c r="CL986" s="476" t="s">
        <v>1188</v>
      </c>
      <c r="CM986" s="476" t="str">
        <f>IF(VLOOKUP(BS986,'Données par municipalité'!$B$6:$E$1113,4,FALSE)="","non","oui")</f>
        <v>oui</v>
      </c>
      <c r="CN986" s="410">
        <v>311.97564687975643</v>
      </c>
      <c r="CO986" s="410">
        <v>349.46779582006059</v>
      </c>
      <c r="CP986" s="410">
        <v>286.33763591341915</v>
      </c>
      <c r="CQ986" s="410">
        <v>290.98523988464228</v>
      </c>
      <c r="CR986" s="410">
        <v>292.58024200923421</v>
      </c>
      <c r="CS986" s="410">
        <v>312.40626550224385</v>
      </c>
      <c r="CT986" s="410">
        <v>261.50847679648149</v>
      </c>
      <c r="CU986" s="410">
        <v>307</v>
      </c>
      <c r="CV986" s="410">
        <f>IF(VLOOKUP(BS986,'Données par municipalité'!$B$6:$F$1113,4,FALSE)="","",VLOOKUP(BS986,'Données par municipalité'!$B$6:$F$1113,4,FALSE))</f>
        <v>326</v>
      </c>
      <c r="CW986" s="476" t="s">
        <v>4723</v>
      </c>
      <c r="CX986" s="483">
        <v>0</v>
      </c>
      <c r="CY986" s="483">
        <v>0</v>
      </c>
      <c r="CZ986" s="483">
        <v>0</v>
      </c>
      <c r="DA986" s="483">
        <v>0</v>
      </c>
      <c r="DB986" s="483">
        <v>0</v>
      </c>
      <c r="DC986" s="483">
        <v>0</v>
      </c>
      <c r="DD986" s="483">
        <v>0</v>
      </c>
      <c r="DE986" s="483">
        <f>IFERROR(SUM(VLOOKUP($BS986,'État &amp; Plan d''action'!$B$6:$Z$1113,18,FALSE),VLOOKUP($BS986,'État &amp; Plan d''action'!$B$6:$Z$1113,20,FALSE))/(VLOOKUP($BS986,'Données par municipalité'!$B$4:$L$1113,11,FALSE)),"")</f>
        <v>0</v>
      </c>
      <c r="DF986" s="483">
        <f>IFERROR(SUM(VLOOKUP($BS986,'État &amp; Plan d''action'!$B$6:$Z$1113,19,FALSE),VLOOKUP($BS986,'État &amp; Plan d''action'!$B$6:$Z$1113,21,FALSE))/(VLOOKUP($BS986,'Données par municipalité'!$B$4:$L$1113,11,FALSE)),"")</f>
        <v>0</v>
      </c>
      <c r="DG986" s="476" t="s">
        <v>4723</v>
      </c>
      <c r="DH986" s="484">
        <v>0</v>
      </c>
      <c r="DI986" s="484">
        <v>0</v>
      </c>
      <c r="DJ986" s="484">
        <v>1</v>
      </c>
      <c r="DK986" s="484">
        <v>0</v>
      </c>
      <c r="DL986" s="484">
        <v>0</v>
      </c>
      <c r="DM986" s="484">
        <v>0</v>
      </c>
      <c r="DN986" s="484">
        <v>0</v>
      </c>
      <c r="DO986" s="484">
        <v>0</v>
      </c>
      <c r="DP986" s="484">
        <v>0</v>
      </c>
      <c r="DQ986" s="484">
        <f>IF(VLOOKUP($BS986,'État &amp; Plan d''action'!$B$6:$AJ$1113,28,FALSE)="","",VLOOKUP($BS986,'État &amp; Plan d''action'!$B$6:$AJ$1113,28,FALSE))</f>
        <v>0</v>
      </c>
      <c r="DR986" s="70">
        <f>IF(VLOOKUP($BS986,'État &amp; Plan d''action'!$B$6:$AJ$1113,29,FALSE)="","",VLOOKUP($BS986,'État &amp; Plan d''action'!$B$6:$AJ$1113,29,FALSE))</f>
        <v>0</v>
      </c>
      <c r="DS986" s="70">
        <f>IF(VLOOKUP($BS986,'État &amp; Plan d''action'!$B$6:$AJ$1113,30,FALSE)="","",VLOOKUP($BS986,'État &amp; Plan d''action'!$B$6:$AJ$1113,30,FALSE))</f>
        <v>0</v>
      </c>
      <c r="DT986" s="70">
        <v>169</v>
      </c>
      <c r="DU986" s="485">
        <v>0.39305879008574013</v>
      </c>
      <c r="DV986" s="485">
        <v>0.40170009621030867</v>
      </c>
      <c r="DW986" s="70">
        <v>0</v>
      </c>
      <c r="DX986" s="70">
        <v>0</v>
      </c>
      <c r="DY986" s="70">
        <v>0</v>
      </c>
      <c r="DZ986" s="70">
        <f>VLOOKUP($BS986,'État &amp; Plan d''action'!$B$6:$AH$1113,31,FALSE)</f>
        <v>0</v>
      </c>
      <c r="EA986" s="70">
        <f>VLOOKUP($BS986,'État &amp; Plan d''action'!$B$6:$AH$1113,32,FALSE)</f>
        <v>0</v>
      </c>
      <c r="EB986" s="70">
        <f>VLOOKUP($BS986,'État &amp; Plan d''action'!$B$6:$AH$1113,33,FALSE)</f>
        <v>0</v>
      </c>
      <c r="EC986" s="70">
        <v>0</v>
      </c>
      <c r="ED986" s="70">
        <v>0</v>
      </c>
      <c r="EE986" s="70">
        <v>0</v>
      </c>
      <c r="EF986" s="70">
        <v>0</v>
      </c>
      <c r="EG986" s="70">
        <v>0</v>
      </c>
      <c r="EH986" s="72">
        <v>70</v>
      </c>
      <c r="EI986" s="72">
        <v>663</v>
      </c>
    </row>
    <row r="987" spans="71:139" x14ac:dyDescent="0.35">
      <c r="BS987" s="486">
        <v>56050</v>
      </c>
      <c r="BT987" s="479" t="s">
        <v>574</v>
      </c>
      <c r="BU987" s="479">
        <v>16</v>
      </c>
      <c r="BV987" s="476" t="s">
        <v>1187</v>
      </c>
      <c r="BW987" s="476" t="s">
        <v>1187</v>
      </c>
      <c r="BX987" s="476" t="s">
        <v>1187</v>
      </c>
      <c r="BY987" s="476" t="s">
        <v>1187</v>
      </c>
      <c r="BZ987" s="476" t="s">
        <v>1187</v>
      </c>
      <c r="CA987" s="476" t="s">
        <v>1187</v>
      </c>
      <c r="CB987" s="476" t="s">
        <v>1187</v>
      </c>
      <c r="CC987" s="476" t="s">
        <v>1187</v>
      </c>
      <c r="CD987" s="476" t="s">
        <v>1187</v>
      </c>
      <c r="CE987" s="476" t="s">
        <v>1188</v>
      </c>
      <c r="CF987" s="476" t="s">
        <v>1188</v>
      </c>
      <c r="CG987" s="476" t="s">
        <v>1188</v>
      </c>
      <c r="CH987" s="476" t="s">
        <v>1188</v>
      </c>
      <c r="CI987" s="476" t="s">
        <v>1188</v>
      </c>
      <c r="CJ987" s="476" t="s">
        <v>1188</v>
      </c>
      <c r="CK987" s="476" t="s">
        <v>1188</v>
      </c>
      <c r="CL987" s="476" t="s">
        <v>1187</v>
      </c>
      <c r="CM987" s="476" t="str">
        <f>IF(VLOOKUP(BS987,'Données par municipalité'!$B$6:$E$1113,4,FALSE)="","non","oui")</f>
        <v>non</v>
      </c>
      <c r="CN987" s="410">
        <v>389.70679203266116</v>
      </c>
      <c r="CO987" s="410">
        <v>443.27493377454641</v>
      </c>
      <c r="CP987" s="410">
        <v>330.22085439287866</v>
      </c>
      <c r="CQ987" s="410">
        <v>290.40126290401264</v>
      </c>
      <c r="CR987" s="410">
        <v>288.79202988792025</v>
      </c>
      <c r="CS987" s="410">
        <v>303.15136189453131</v>
      </c>
      <c r="CT987" s="410">
        <v>282</v>
      </c>
      <c r="CU987" s="410" t="s">
        <v>1124</v>
      </c>
      <c r="CV987" s="410" t="str">
        <f>IF(VLOOKUP(BS987,'Données par municipalité'!$B$6:$F$1113,4,FALSE)="","",VLOOKUP(BS987,'Données par municipalité'!$B$6:$F$1113,4,FALSE))</f>
        <v/>
      </c>
      <c r="CW987" s="476" t="s">
        <v>4723</v>
      </c>
      <c r="CX987" s="483">
        <v>0</v>
      </c>
      <c r="CY987" s="483">
        <v>1</v>
      </c>
      <c r="CZ987" s="483">
        <v>1</v>
      </c>
      <c r="DA987" s="483">
        <v>0</v>
      </c>
      <c r="DB987" s="483">
        <v>0</v>
      </c>
      <c r="DC987" s="483">
        <v>0</v>
      </c>
      <c r="DD987" s="483" t="s">
        <v>1124</v>
      </c>
      <c r="DE987" s="483" t="str">
        <f>IFERROR(SUM(VLOOKUP($BS987,'État &amp; Plan d''action'!$B$6:$Z$1113,18,FALSE),VLOOKUP($BS987,'État &amp; Plan d''action'!$B$6:$Z$1113,20,FALSE))/(VLOOKUP($BS987,'Données par municipalité'!$B$4:$L$1113,11,FALSE)),"")</f>
        <v/>
      </c>
      <c r="DF987" s="483" t="str">
        <f>IFERROR(SUM(VLOOKUP($BS987,'État &amp; Plan d''action'!$B$6:$Z$1113,19,FALSE),VLOOKUP($BS987,'État &amp; Plan d''action'!$B$6:$Z$1113,21,FALSE))/(VLOOKUP($BS987,'Données par municipalité'!$B$4:$L$1113,11,FALSE)),"")</f>
        <v/>
      </c>
      <c r="DG987" s="476" t="s">
        <v>4723</v>
      </c>
      <c r="DH987" s="484">
        <v>1</v>
      </c>
      <c r="DI987" s="484">
        <v>0</v>
      </c>
      <c r="DJ987" s="484">
        <v>2</v>
      </c>
      <c r="DK987" s="484">
        <v>1</v>
      </c>
      <c r="DL987" s="484">
        <v>0</v>
      </c>
      <c r="DM987" s="484">
        <v>0</v>
      </c>
      <c r="DN987" s="484" t="s">
        <v>1124</v>
      </c>
      <c r="DO987" s="484" t="s">
        <v>1124</v>
      </c>
      <c r="DP987" s="484" t="s">
        <v>1124</v>
      </c>
      <c r="DQ987" s="484" t="str">
        <f>IF(VLOOKUP($BS987,'État &amp; Plan d''action'!$B$6:$AJ$1113,28,FALSE)="","",VLOOKUP($BS987,'État &amp; Plan d''action'!$B$6:$AJ$1113,28,FALSE))</f>
        <v/>
      </c>
      <c r="DR987" s="70" t="str">
        <f>IF(VLOOKUP($BS987,'État &amp; Plan d''action'!$B$6:$AJ$1113,29,FALSE)="","",VLOOKUP($BS987,'État &amp; Plan d''action'!$B$6:$AJ$1113,29,FALSE))</f>
        <v/>
      </c>
      <c r="DS987" s="70" t="str">
        <f>IF(VLOOKUP($BS987,'État &amp; Plan d''action'!$B$6:$AJ$1113,30,FALSE)="","",VLOOKUP($BS987,'État &amp; Plan d''action'!$B$6:$AJ$1113,30,FALSE))</f>
        <v/>
      </c>
      <c r="DT987" s="70" t="s">
        <v>1124</v>
      </c>
      <c r="DU987" s="485" t="s">
        <v>1124</v>
      </c>
      <c r="DV987" s="485" t="s">
        <v>1124</v>
      </c>
      <c r="DW987" s="70" t="s">
        <v>1124</v>
      </c>
      <c r="DX987" s="70" t="s">
        <v>1124</v>
      </c>
      <c r="DY987" s="70" t="s">
        <v>1124</v>
      </c>
      <c r="DZ987" s="70" t="str">
        <f>VLOOKUP($BS987,'État &amp; Plan d''action'!$B$6:$AH$1113,31,FALSE)</f>
        <v/>
      </c>
      <c r="EA987" s="70" t="str">
        <f>VLOOKUP($BS987,'État &amp; Plan d''action'!$B$6:$AH$1113,32,FALSE)</f>
        <v/>
      </c>
      <c r="EB987" s="70" t="str">
        <f>VLOOKUP($BS987,'État &amp; Plan d''action'!$B$6:$AH$1113,33,FALSE)</f>
        <v/>
      </c>
      <c r="EC987" s="70" t="s">
        <v>1124</v>
      </c>
      <c r="ED987" s="70" t="s">
        <v>1124</v>
      </c>
      <c r="EE987" s="70" t="s">
        <v>1124</v>
      </c>
      <c r="EF987" s="70" t="s">
        <v>1124</v>
      </c>
      <c r="EG987" s="70" t="s">
        <v>1124</v>
      </c>
      <c r="EH987" s="72"/>
      <c r="EI987" s="72">
        <v>732</v>
      </c>
    </row>
    <row r="988" spans="71:139" x14ac:dyDescent="0.35">
      <c r="BS988" s="486">
        <v>51030</v>
      </c>
      <c r="BT988" s="479" t="s">
        <v>502</v>
      </c>
      <c r="BU988" s="479">
        <v>4</v>
      </c>
      <c r="BV988" s="476" t="s">
        <v>1187</v>
      </c>
      <c r="BW988" s="476" t="s">
        <v>1187</v>
      </c>
      <c r="BX988" s="476" t="s">
        <v>1187</v>
      </c>
      <c r="BY988" s="476" t="s">
        <v>1187</v>
      </c>
      <c r="BZ988" s="476" t="s">
        <v>1187</v>
      </c>
      <c r="CA988" s="476" t="s">
        <v>1187</v>
      </c>
      <c r="CB988" s="476" t="s">
        <v>1187</v>
      </c>
      <c r="CC988" s="476" t="s">
        <v>1187</v>
      </c>
      <c r="CD988" s="476" t="s">
        <v>1187</v>
      </c>
      <c r="CE988" s="476" t="s">
        <v>1188</v>
      </c>
      <c r="CF988" s="476" t="s">
        <v>1188</v>
      </c>
      <c r="CG988" s="476" t="s">
        <v>1188</v>
      </c>
      <c r="CH988" s="476" t="s">
        <v>1187</v>
      </c>
      <c r="CI988" s="476" t="s">
        <v>1188</v>
      </c>
      <c r="CJ988" s="476" t="s">
        <v>1188</v>
      </c>
      <c r="CK988" s="476" t="s">
        <v>1188</v>
      </c>
      <c r="CL988" s="476" t="s">
        <v>1188</v>
      </c>
      <c r="CM988" s="476" t="str">
        <f>IF(VLOOKUP(BS988,'Données par municipalité'!$B$6:$E$1113,4,FALSE)="","non","oui")</f>
        <v>oui</v>
      </c>
      <c r="CN988" s="410">
        <v>613.68760644813233</v>
      </c>
      <c r="CO988" s="410">
        <v>621.22729744912408</v>
      </c>
      <c r="CP988" s="410">
        <v>585.43221343126322</v>
      </c>
      <c r="CQ988" s="410"/>
      <c r="CR988" s="410">
        <v>703.8705058971525</v>
      </c>
      <c r="CS988" s="410">
        <v>667.89380679159444</v>
      </c>
      <c r="CT988" s="410">
        <v>532.24467387083382</v>
      </c>
      <c r="CU988" s="410">
        <v>621</v>
      </c>
      <c r="CV988" s="410">
        <f>IF(VLOOKUP(BS988,'Données par municipalité'!$B$6:$F$1113,4,FALSE)="","",VLOOKUP(BS988,'Données par municipalité'!$B$6:$F$1113,4,FALSE))</f>
        <v>622</v>
      </c>
      <c r="CW988" s="476" t="s">
        <v>4723</v>
      </c>
      <c r="CX988" s="483">
        <v>0</v>
      </c>
      <c r="CY988" s="483">
        <v>0</v>
      </c>
      <c r="CZ988" s="483" t="s">
        <v>1124</v>
      </c>
      <c r="DA988" s="483">
        <v>1</v>
      </c>
      <c r="DB988" s="483">
        <v>1</v>
      </c>
      <c r="DC988" s="483">
        <v>1</v>
      </c>
      <c r="DD988" s="483">
        <v>0</v>
      </c>
      <c r="DE988" s="483">
        <f>IFERROR(SUM(VLOOKUP($BS988,'État &amp; Plan d''action'!$B$6:$Z$1113,18,FALSE),VLOOKUP($BS988,'État &amp; Plan d''action'!$B$6:$Z$1113,20,FALSE))/(VLOOKUP($BS988,'Données par municipalité'!$B$4:$L$1113,11,FALSE)),"")</f>
        <v>0</v>
      </c>
      <c r="DF988" s="483">
        <f>IFERROR(SUM(VLOOKUP($BS988,'État &amp; Plan d''action'!$B$6:$Z$1113,19,FALSE),VLOOKUP($BS988,'État &amp; Plan d''action'!$B$6:$Z$1113,21,FALSE))/(VLOOKUP($BS988,'Données par municipalité'!$B$4:$L$1113,11,FALSE)),"")</f>
        <v>1</v>
      </c>
      <c r="DG988" s="476" t="s">
        <v>4723</v>
      </c>
      <c r="DH988" s="484">
        <v>5</v>
      </c>
      <c r="DI988" s="484">
        <v>0</v>
      </c>
      <c r="DJ988" s="484">
        <v>0</v>
      </c>
      <c r="DK988" s="484">
        <v>3</v>
      </c>
      <c r="DL988" s="484">
        <v>2</v>
      </c>
      <c r="DM988" s="484">
        <v>2</v>
      </c>
      <c r="DN988" s="484">
        <v>1</v>
      </c>
      <c r="DO988" s="484">
        <v>0</v>
      </c>
      <c r="DP988" s="484">
        <v>0</v>
      </c>
      <c r="DQ988" s="484">
        <f>IF(VLOOKUP($BS988,'État &amp; Plan d''action'!$B$6:$AJ$1113,28,FALSE)="","",VLOOKUP($BS988,'État &amp; Plan d''action'!$B$6:$AJ$1113,28,FALSE))</f>
        <v>0</v>
      </c>
      <c r="DR988" s="70">
        <f>IF(VLOOKUP($BS988,'État &amp; Plan d''action'!$B$6:$AJ$1113,29,FALSE)="","",VLOOKUP($BS988,'État &amp; Plan d''action'!$B$6:$AJ$1113,29,FALSE))</f>
        <v>0</v>
      </c>
      <c r="DS988" s="70">
        <f>IF(VLOOKUP($BS988,'État &amp; Plan d''action'!$B$6:$AJ$1113,30,FALSE)="","",VLOOKUP($BS988,'État &amp; Plan d''action'!$B$6:$AJ$1113,30,FALSE))</f>
        <v>0</v>
      </c>
      <c r="DT988" s="70">
        <v>117</v>
      </c>
      <c r="DU988" s="485">
        <v>3.2099512567678055</v>
      </c>
      <c r="DV988" s="485">
        <v>2.001876865899793</v>
      </c>
      <c r="DW988" s="70">
        <v>2</v>
      </c>
      <c r="DX988" s="70">
        <v>0</v>
      </c>
      <c r="DY988" s="70">
        <v>0</v>
      </c>
      <c r="DZ988" s="70">
        <f>VLOOKUP($BS988,'État &amp; Plan d''action'!$B$6:$AH$1113,31,FALSE)</f>
        <v>0</v>
      </c>
      <c r="EA988" s="70">
        <f>VLOOKUP($BS988,'État &amp; Plan d''action'!$B$6:$AH$1113,32,FALSE)</f>
        <v>0</v>
      </c>
      <c r="EB988" s="70">
        <f>VLOOKUP($BS988,'État &amp; Plan d''action'!$B$6:$AH$1113,33,FALSE)</f>
        <v>0</v>
      </c>
      <c r="EC988" s="70">
        <v>0</v>
      </c>
      <c r="ED988" s="70">
        <v>0</v>
      </c>
      <c r="EE988" s="70">
        <v>0</v>
      </c>
      <c r="EF988" s="70">
        <v>0</v>
      </c>
      <c r="EG988" s="70">
        <v>0</v>
      </c>
      <c r="EH988" s="72">
        <v>53</v>
      </c>
      <c r="EI988" s="72">
        <v>322</v>
      </c>
    </row>
    <row r="989" spans="71:139" x14ac:dyDescent="0.35">
      <c r="BS989" s="486">
        <v>35020</v>
      </c>
      <c r="BT989" s="479" t="s">
        <v>306</v>
      </c>
      <c r="BU989" s="479">
        <v>4</v>
      </c>
      <c r="BV989" s="476" t="s">
        <v>1187</v>
      </c>
      <c r="BW989" s="476" t="s">
        <v>1187</v>
      </c>
      <c r="BX989" s="476" t="s">
        <v>1187</v>
      </c>
      <c r="BY989" s="476" t="s">
        <v>1187</v>
      </c>
      <c r="BZ989" s="476" t="s">
        <v>1187</v>
      </c>
      <c r="CA989" s="476" t="s">
        <v>1187</v>
      </c>
      <c r="CB989" s="476" t="s">
        <v>1187</v>
      </c>
      <c r="CC989" s="476" t="s">
        <v>1187</v>
      </c>
      <c r="CD989" s="476" t="s">
        <v>1187</v>
      </c>
      <c r="CE989" s="476" t="s">
        <v>1188</v>
      </c>
      <c r="CF989" s="476" t="s">
        <v>1188</v>
      </c>
      <c r="CG989" s="476" t="s">
        <v>1188</v>
      </c>
      <c r="CH989" s="476" t="s">
        <v>1188</v>
      </c>
      <c r="CI989" s="476" t="s">
        <v>1188</v>
      </c>
      <c r="CJ989" s="476" t="s">
        <v>1188</v>
      </c>
      <c r="CK989" s="476" t="s">
        <v>1188</v>
      </c>
      <c r="CL989" s="476" t="s">
        <v>1188</v>
      </c>
      <c r="CM989" s="476" t="str">
        <f>IF(VLOOKUP(BS989,'Données par municipalité'!$B$6:$E$1113,4,FALSE)="","non","oui")</f>
        <v>oui</v>
      </c>
      <c r="CN989" s="410">
        <v>297.2971048112064</v>
      </c>
      <c r="CO989" s="410">
        <v>266.28911178864786</v>
      </c>
      <c r="CP989" s="410">
        <v>257.25813638351309</v>
      </c>
      <c r="CQ989" s="410">
        <v>368.20509537831259</v>
      </c>
      <c r="CR989" s="410">
        <v>342.72465374143945</v>
      </c>
      <c r="CS989" s="410">
        <v>297.40096377463846</v>
      </c>
      <c r="CT989" s="410">
        <v>282.42945755271182</v>
      </c>
      <c r="CU989" s="410">
        <v>311</v>
      </c>
      <c r="CV989" s="410">
        <f>IF(VLOOKUP(BS989,'Données par municipalité'!$B$6:$F$1113,4,FALSE)="","",VLOOKUP(BS989,'Données par municipalité'!$B$6:$F$1113,4,FALSE))</f>
        <v>390</v>
      </c>
      <c r="CW989" s="476" t="s">
        <v>4723</v>
      </c>
      <c r="CX989" s="483">
        <v>0</v>
      </c>
      <c r="CY989" s="483">
        <v>1</v>
      </c>
      <c r="CZ989" s="483">
        <v>1</v>
      </c>
      <c r="DA989" s="483">
        <v>1</v>
      </c>
      <c r="DB989" s="483">
        <v>1</v>
      </c>
      <c r="DC989" s="483">
        <v>1</v>
      </c>
      <c r="DD989" s="483">
        <v>2.0535248041775458</v>
      </c>
      <c r="DE989" s="483">
        <f>IFERROR(SUM(VLOOKUP($BS989,'État &amp; Plan d''action'!$B$6:$Z$1113,18,FALSE),VLOOKUP($BS989,'État &amp; Plan d''action'!$B$6:$Z$1113,20,FALSE))/(VLOOKUP($BS989,'Données par municipalité'!$B$4:$L$1113,11,FALSE)),"")</f>
        <v>1</v>
      </c>
      <c r="DF989" s="483">
        <f>IFERROR(SUM(VLOOKUP($BS989,'État &amp; Plan d''action'!$B$6:$Z$1113,19,FALSE),VLOOKUP($BS989,'État &amp; Plan d''action'!$B$6:$Z$1113,21,FALSE))/(VLOOKUP($BS989,'Données par municipalité'!$B$4:$L$1113,11,FALSE)),"")</f>
        <v>1</v>
      </c>
      <c r="DG989" s="476" t="s">
        <v>4723</v>
      </c>
      <c r="DH989" s="484">
        <v>2</v>
      </c>
      <c r="DI989" s="484">
        <v>2</v>
      </c>
      <c r="DJ989" s="484">
        <v>1</v>
      </c>
      <c r="DK989" s="484">
        <v>2</v>
      </c>
      <c r="DL989" s="484">
        <v>0</v>
      </c>
      <c r="DM989" s="484">
        <v>0</v>
      </c>
      <c r="DN989" s="484">
        <v>0</v>
      </c>
      <c r="DO989" s="484">
        <v>0</v>
      </c>
      <c r="DP989" s="484">
        <v>0</v>
      </c>
      <c r="DQ989" s="484">
        <f>IF(VLOOKUP($BS989,'État &amp; Plan d''action'!$B$6:$AJ$1113,28,FALSE)="","",VLOOKUP($BS989,'État &amp; Plan d''action'!$B$6:$AJ$1113,28,FALSE))</f>
        <v>0</v>
      </c>
      <c r="DR989" s="70">
        <f>IF(VLOOKUP($BS989,'État &amp; Plan d''action'!$B$6:$AJ$1113,29,FALSE)="","",VLOOKUP($BS989,'État &amp; Plan d''action'!$B$6:$AJ$1113,29,FALSE))</f>
        <v>3</v>
      </c>
      <c r="DS989" s="70">
        <f>IF(VLOOKUP($BS989,'État &amp; Plan d''action'!$B$6:$AJ$1113,30,FALSE)="","",VLOOKUP($BS989,'État &amp; Plan d''action'!$B$6:$AJ$1113,30,FALSE))</f>
        <v>3</v>
      </c>
      <c r="DT989" s="70">
        <v>250</v>
      </c>
      <c r="DU989" s="485">
        <v>1.2042737338523375</v>
      </c>
      <c r="DV989" s="485">
        <v>4.529542986988683</v>
      </c>
      <c r="DW989" s="70">
        <v>0</v>
      </c>
      <c r="DX989" s="70">
        <v>0</v>
      </c>
      <c r="DY989" s="70">
        <v>0</v>
      </c>
      <c r="DZ989" s="70">
        <f>VLOOKUP($BS989,'État &amp; Plan d''action'!$B$6:$AH$1113,31,FALSE)</f>
        <v>0</v>
      </c>
      <c r="EA989" s="70">
        <f>VLOOKUP($BS989,'État &amp; Plan d''action'!$B$6:$AH$1113,32,FALSE)</f>
        <v>2</v>
      </c>
      <c r="EB989" s="70">
        <f>VLOOKUP($BS989,'État &amp; Plan d''action'!$B$6:$AH$1113,33,FALSE)</f>
        <v>3</v>
      </c>
      <c r="EC989" s="70">
        <v>0</v>
      </c>
      <c r="ED989" s="70">
        <v>31.46</v>
      </c>
      <c r="EE989" s="70">
        <v>0</v>
      </c>
      <c r="EF989" s="70">
        <v>0</v>
      </c>
      <c r="EG989" s="70">
        <v>0</v>
      </c>
      <c r="EH989" s="72">
        <v>29</v>
      </c>
      <c r="EI989" s="72">
        <v>863</v>
      </c>
    </row>
    <row r="990" spans="71:139" x14ac:dyDescent="0.35">
      <c r="BS990" s="486">
        <v>27070</v>
      </c>
      <c r="BT990" s="479" t="s">
        <v>187</v>
      </c>
      <c r="BU990" s="479">
        <v>12</v>
      </c>
      <c r="BV990" s="476" t="s">
        <v>1188</v>
      </c>
      <c r="BW990" s="476" t="s">
        <v>1188</v>
      </c>
      <c r="BX990" s="476" t="s">
        <v>1188</v>
      </c>
      <c r="BY990" s="476" t="s">
        <v>1188</v>
      </c>
      <c r="BZ990" s="476" t="s">
        <v>1188</v>
      </c>
      <c r="CA990" s="476" t="s">
        <v>1188</v>
      </c>
      <c r="CB990" s="476" t="s">
        <v>1188</v>
      </c>
      <c r="CC990" s="476" t="s">
        <v>1188</v>
      </c>
      <c r="CD990" s="476" t="s">
        <v>1188</v>
      </c>
      <c r="CE990" s="476" t="s">
        <v>1187</v>
      </c>
      <c r="CF990" s="476" t="s">
        <v>1187</v>
      </c>
      <c r="CG990" s="476" t="s">
        <v>1187</v>
      </c>
      <c r="CH990" s="476" t="s">
        <v>1187</v>
      </c>
      <c r="CI990" s="476" t="s">
        <v>1187</v>
      </c>
      <c r="CJ990" s="476" t="s">
        <v>1187</v>
      </c>
      <c r="CK990" s="476" t="s">
        <v>1187</v>
      </c>
      <c r="CL990" s="476" t="s">
        <v>1187</v>
      </c>
      <c r="CM990" s="476" t="str">
        <f>IF(VLOOKUP(BS990,'Données par municipalité'!$B$6:$E$1113,4,FALSE)="","non","oui")</f>
        <v>non</v>
      </c>
      <c r="CN990" s="410" t="s">
        <v>1124</v>
      </c>
      <c r="CO990" s="410" t="s">
        <v>1124</v>
      </c>
      <c r="CP990" s="410"/>
      <c r="CQ990" s="410"/>
      <c r="CR990" s="410"/>
      <c r="CS990" s="410" t="s">
        <v>1124</v>
      </c>
      <c r="CT990" s="410"/>
      <c r="CU990" s="410" t="s">
        <v>1124</v>
      </c>
      <c r="CV990" s="410" t="str">
        <f>IF(VLOOKUP(BS990,'Données par municipalité'!$B$6:$F$1113,4,FALSE)="","",VLOOKUP(BS990,'Données par municipalité'!$B$6:$F$1113,4,FALSE))</f>
        <v/>
      </c>
      <c r="CW990" s="476" t="s">
        <v>4723</v>
      </c>
      <c r="CX990" s="483" t="s">
        <v>1124</v>
      </c>
      <c r="CY990" s="483" t="s">
        <v>1124</v>
      </c>
      <c r="CZ990" s="483" t="s">
        <v>1124</v>
      </c>
      <c r="DA990" s="483" t="s">
        <v>1124</v>
      </c>
      <c r="DB990" s="483" t="s">
        <v>1124</v>
      </c>
      <c r="DC990" s="483" t="s">
        <v>1124</v>
      </c>
      <c r="DD990" s="483" t="s">
        <v>1124</v>
      </c>
      <c r="DE990" s="483" t="str">
        <f>IFERROR(SUM(VLOOKUP($BS990,'État &amp; Plan d''action'!$B$6:$Z$1113,18,FALSE),VLOOKUP($BS990,'État &amp; Plan d''action'!$B$6:$Z$1113,20,FALSE))/(VLOOKUP($BS990,'Données par municipalité'!$B$4:$L$1113,11,FALSE)),"")</f>
        <v/>
      </c>
      <c r="DF990" s="483" t="str">
        <f>IFERROR(SUM(VLOOKUP($BS990,'État &amp; Plan d''action'!$B$6:$Z$1113,19,FALSE),VLOOKUP($BS990,'État &amp; Plan d''action'!$B$6:$Z$1113,21,FALSE))/(VLOOKUP($BS990,'Données par municipalité'!$B$4:$L$1113,11,FALSE)),"")</f>
        <v/>
      </c>
      <c r="DG990" s="476" t="s">
        <v>4723</v>
      </c>
      <c r="DH990" s="484" t="s">
        <v>1124</v>
      </c>
      <c r="DI990" s="484" t="s">
        <v>1124</v>
      </c>
      <c r="DJ990" s="484">
        <v>0</v>
      </c>
      <c r="DK990" s="484">
        <v>0</v>
      </c>
      <c r="DL990" s="484" t="s">
        <v>1124</v>
      </c>
      <c r="DM990" s="484" t="s">
        <v>1124</v>
      </c>
      <c r="DN990" s="484" t="s">
        <v>1124</v>
      </c>
      <c r="DO990" s="484" t="s">
        <v>1124</v>
      </c>
      <c r="DP990" s="484" t="s">
        <v>1124</v>
      </c>
      <c r="DQ990" s="484" t="str">
        <f>IF(VLOOKUP($BS990,'État &amp; Plan d''action'!$B$6:$AJ$1113,28,FALSE)="","",VLOOKUP($BS990,'État &amp; Plan d''action'!$B$6:$AJ$1113,28,FALSE))</f>
        <v/>
      </c>
      <c r="DR990" s="70" t="str">
        <f>IF(VLOOKUP($BS990,'État &amp; Plan d''action'!$B$6:$AJ$1113,29,FALSE)="","",VLOOKUP($BS990,'État &amp; Plan d''action'!$B$6:$AJ$1113,29,FALSE))</f>
        <v/>
      </c>
      <c r="DS990" s="70" t="str">
        <f>IF(VLOOKUP($BS990,'État &amp; Plan d''action'!$B$6:$AJ$1113,30,FALSE)="","",VLOOKUP($BS990,'État &amp; Plan d''action'!$B$6:$AJ$1113,30,FALSE))</f>
        <v/>
      </c>
      <c r="DT990" s="70" t="s">
        <v>1124</v>
      </c>
      <c r="DU990" s="485" t="s">
        <v>1124</v>
      </c>
      <c r="DV990" s="485" t="s">
        <v>1124</v>
      </c>
      <c r="DW990" s="70" t="s">
        <v>1124</v>
      </c>
      <c r="DX990" s="70" t="s">
        <v>1124</v>
      </c>
      <c r="DY990" s="70" t="s">
        <v>1124</v>
      </c>
      <c r="DZ990" s="70" t="str">
        <f>VLOOKUP($BS990,'État &amp; Plan d''action'!$B$6:$AH$1113,31,FALSE)</f>
        <v/>
      </c>
      <c r="EA990" s="70" t="str">
        <f>VLOOKUP($BS990,'État &amp; Plan d''action'!$B$6:$AH$1113,32,FALSE)</f>
        <v/>
      </c>
      <c r="EB990" s="70" t="str">
        <f>VLOOKUP($BS990,'État &amp; Plan d''action'!$B$6:$AH$1113,33,FALSE)</f>
        <v/>
      </c>
      <c r="EC990" s="70" t="s">
        <v>1124</v>
      </c>
      <c r="ED990" s="70" t="s">
        <v>1124</v>
      </c>
      <c r="EE990" s="70" t="s">
        <v>1124</v>
      </c>
      <c r="EF990" s="70" t="s">
        <v>1124</v>
      </c>
      <c r="EG990" s="70" t="s">
        <v>1124</v>
      </c>
      <c r="EH990" s="72"/>
      <c r="EI990" s="72">
        <v>286</v>
      </c>
    </row>
    <row r="991" spans="71:139" x14ac:dyDescent="0.35">
      <c r="BS991" s="486">
        <v>15058</v>
      </c>
      <c r="BT991" s="479" t="s">
        <v>82</v>
      </c>
      <c r="BU991" s="479">
        <v>3</v>
      </c>
      <c r="BV991" s="476" t="s">
        <v>1187</v>
      </c>
      <c r="BW991" s="476" t="s">
        <v>1187</v>
      </c>
      <c r="BX991" s="476" t="s">
        <v>1187</v>
      </c>
      <c r="BY991" s="476" t="s">
        <v>1187</v>
      </c>
      <c r="BZ991" s="476" t="s">
        <v>1187</v>
      </c>
      <c r="CA991" s="476" t="s">
        <v>1187</v>
      </c>
      <c r="CB991" s="476" t="s">
        <v>1187</v>
      </c>
      <c r="CC991" s="476" t="s">
        <v>1187</v>
      </c>
      <c r="CD991" s="476" t="s">
        <v>1187</v>
      </c>
      <c r="CE991" s="476" t="s">
        <v>1188</v>
      </c>
      <c r="CF991" s="476" t="s">
        <v>1188</v>
      </c>
      <c r="CG991" s="476" t="s">
        <v>1188</v>
      </c>
      <c r="CH991" s="476" t="s">
        <v>1188</v>
      </c>
      <c r="CI991" s="476" t="s">
        <v>1187</v>
      </c>
      <c r="CJ991" s="476" t="s">
        <v>1188</v>
      </c>
      <c r="CK991" s="476" t="s">
        <v>1188</v>
      </c>
      <c r="CL991" s="476" t="s">
        <v>1188</v>
      </c>
      <c r="CM991" s="476" t="str">
        <f>IF(VLOOKUP(BS991,'Données par municipalité'!$B$6:$E$1113,4,FALSE)="","non","oui")</f>
        <v>oui</v>
      </c>
      <c r="CN991" s="410">
        <v>627.23658801520719</v>
      </c>
      <c r="CO991" s="410">
        <v>639.70587875191188</v>
      </c>
      <c r="CP991" s="410">
        <v>621.52522584291842</v>
      </c>
      <c r="CQ991" s="410">
        <v>353.69273248800368</v>
      </c>
      <c r="CR991" s="410"/>
      <c r="CS991" s="410">
        <v>479.91449971735443</v>
      </c>
      <c r="CT991" s="410">
        <v>486.49495164805535</v>
      </c>
      <c r="CU991" s="410">
        <v>508</v>
      </c>
      <c r="CV991" s="410">
        <f>IF(VLOOKUP(BS991,'Données par municipalité'!$B$6:$F$1113,4,FALSE)="","",VLOOKUP(BS991,'Données par municipalité'!$B$6:$F$1113,4,FALSE))</f>
        <v>492</v>
      </c>
      <c r="CW991" s="476" t="s">
        <v>4723</v>
      </c>
      <c r="CX991" s="483">
        <v>0</v>
      </c>
      <c r="CY991" s="483">
        <v>0</v>
      </c>
      <c r="CZ991" s="483">
        <v>1</v>
      </c>
      <c r="DA991" s="483" t="s">
        <v>1124</v>
      </c>
      <c r="DB991" s="483">
        <v>1</v>
      </c>
      <c r="DC991" s="483">
        <v>1</v>
      </c>
      <c r="DD991" s="483">
        <v>0.14491638093905257</v>
      </c>
      <c r="DE991" s="483">
        <f>IFERROR(SUM(VLOOKUP($BS991,'État &amp; Plan d''action'!$B$6:$Z$1113,18,FALSE),VLOOKUP($BS991,'État &amp; Plan d''action'!$B$6:$Z$1113,20,FALSE))/(VLOOKUP($BS991,'Données par municipalité'!$B$4:$L$1113,11,FALSE)),"")</f>
        <v>0</v>
      </c>
      <c r="DF991" s="483">
        <f>IFERROR(SUM(VLOOKUP($BS991,'État &amp; Plan d''action'!$B$6:$Z$1113,19,FALSE),VLOOKUP($BS991,'État &amp; Plan d''action'!$B$6:$Z$1113,21,FALSE))/(VLOOKUP($BS991,'Données par municipalité'!$B$4:$L$1113,11,FALSE)),"")</f>
        <v>0</v>
      </c>
      <c r="DG991" s="476" t="s">
        <v>4723</v>
      </c>
      <c r="DH991" s="484">
        <v>1</v>
      </c>
      <c r="DI991" s="484">
        <v>2</v>
      </c>
      <c r="DJ991" s="484">
        <v>1</v>
      </c>
      <c r="DK991" s="484">
        <v>0</v>
      </c>
      <c r="DL991" s="484">
        <v>3</v>
      </c>
      <c r="DM991" s="484">
        <v>3</v>
      </c>
      <c r="DN991" s="484">
        <v>3</v>
      </c>
      <c r="DO991" s="484">
        <v>1</v>
      </c>
      <c r="DP991" s="484">
        <v>0</v>
      </c>
      <c r="DQ991" s="484">
        <f>IF(VLOOKUP($BS991,'État &amp; Plan d''action'!$B$6:$AJ$1113,28,FALSE)="","",VLOOKUP($BS991,'État &amp; Plan d''action'!$B$6:$AJ$1113,28,FALSE))</f>
        <v>1</v>
      </c>
      <c r="DR991" s="70">
        <f>IF(VLOOKUP($BS991,'État &amp; Plan d''action'!$B$6:$AJ$1113,29,FALSE)="","",VLOOKUP($BS991,'État &amp; Plan d''action'!$B$6:$AJ$1113,29,FALSE))</f>
        <v>0</v>
      </c>
      <c r="DS991" s="70">
        <f>IF(VLOOKUP($BS991,'État &amp; Plan d''action'!$B$6:$AJ$1113,30,FALSE)="","",VLOOKUP($BS991,'État &amp; Plan d''action'!$B$6:$AJ$1113,30,FALSE))</f>
        <v>0</v>
      </c>
      <c r="DT991" s="70">
        <v>253</v>
      </c>
      <c r="DU991" s="485">
        <v>3.061718326802759</v>
      </c>
      <c r="DV991" s="485">
        <v>2.6288680886366418</v>
      </c>
      <c r="DW991" s="70">
        <v>1</v>
      </c>
      <c r="DX991" s="70">
        <v>1</v>
      </c>
      <c r="DY991" s="70">
        <v>0</v>
      </c>
      <c r="DZ991" s="70">
        <f>VLOOKUP($BS991,'État &amp; Plan d''action'!$B$6:$AH$1113,31,FALSE)</f>
        <v>1</v>
      </c>
      <c r="EA991" s="70">
        <f>VLOOKUP($BS991,'État &amp; Plan d''action'!$B$6:$AH$1113,32,FALSE)</f>
        <v>0</v>
      </c>
      <c r="EB991" s="70">
        <f>VLOOKUP($BS991,'État &amp; Plan d''action'!$B$6:$AH$1113,33,FALSE)</f>
        <v>0</v>
      </c>
      <c r="EC991" s="70">
        <v>12.22</v>
      </c>
      <c r="ED991" s="70">
        <v>2.0710000000000002</v>
      </c>
      <c r="EE991" s="70">
        <v>0</v>
      </c>
      <c r="EF991" s="70">
        <v>0</v>
      </c>
      <c r="EG991" s="70">
        <v>0</v>
      </c>
      <c r="EH991" s="72">
        <v>57.365055079559369</v>
      </c>
      <c r="EI991" s="72">
        <v>1197</v>
      </c>
    </row>
    <row r="992" spans="71:139" x14ac:dyDescent="0.35">
      <c r="BS992" s="486">
        <v>5055</v>
      </c>
      <c r="BT992" s="479" t="s">
        <v>1052</v>
      </c>
      <c r="BU992" s="479">
        <v>11</v>
      </c>
      <c r="BV992" s="476" t="s">
        <v>1187</v>
      </c>
      <c r="BW992" s="476" t="s">
        <v>1187</v>
      </c>
      <c r="BX992" s="476" t="s">
        <v>1187</v>
      </c>
      <c r="BY992" s="476" t="s">
        <v>1187</v>
      </c>
      <c r="BZ992" s="476" t="s">
        <v>1187</v>
      </c>
      <c r="CA992" s="476" t="s">
        <v>1187</v>
      </c>
      <c r="CB992" s="476" t="s">
        <v>1187</v>
      </c>
      <c r="CC992" s="476" t="s">
        <v>1187</v>
      </c>
      <c r="CD992" s="476" t="s">
        <v>1187</v>
      </c>
      <c r="CE992" s="476" t="s">
        <v>1188</v>
      </c>
      <c r="CF992" s="476" t="s">
        <v>1188</v>
      </c>
      <c r="CG992" s="476" t="s">
        <v>1188</v>
      </c>
      <c r="CH992" s="476" t="s">
        <v>1188</v>
      </c>
      <c r="CI992" s="476" t="s">
        <v>1188</v>
      </c>
      <c r="CJ992" s="476" t="s">
        <v>1188</v>
      </c>
      <c r="CK992" s="476" t="s">
        <v>1188</v>
      </c>
      <c r="CL992" s="476" t="s">
        <v>1188</v>
      </c>
      <c r="CM992" s="476" t="str">
        <f>IF(VLOOKUP(BS992,'Données par municipalité'!$B$6:$E$1113,4,FALSE)="","non","oui")</f>
        <v>oui</v>
      </c>
      <c r="CN992" s="410">
        <v>507.0680597802471</v>
      </c>
      <c r="CO992" s="410">
        <v>471.84586247086253</v>
      </c>
      <c r="CP992" s="410">
        <v>312.68566980706402</v>
      </c>
      <c r="CQ992" s="410">
        <v>347.27556571717759</v>
      </c>
      <c r="CR992" s="410">
        <v>297.52205511015723</v>
      </c>
      <c r="CS992" s="410">
        <v>320.94318638089851</v>
      </c>
      <c r="CT992" s="410">
        <v>287.14644711109582</v>
      </c>
      <c r="CU992" s="410">
        <v>295</v>
      </c>
      <c r="CV992" s="410">
        <f>IF(VLOOKUP(BS992,'Données par municipalité'!$B$6:$F$1113,4,FALSE)="","",VLOOKUP(BS992,'Données par municipalité'!$B$6:$F$1113,4,FALSE))</f>
        <v>294</v>
      </c>
      <c r="CW992" s="476" t="s">
        <v>4723</v>
      </c>
      <c r="CX992" s="483">
        <v>0.05</v>
      </c>
      <c r="CY992" s="483">
        <v>0.05</v>
      </c>
      <c r="CZ992" s="483">
        <v>1</v>
      </c>
      <c r="DA992" s="483">
        <v>1</v>
      </c>
      <c r="DB992" s="483">
        <v>1</v>
      </c>
      <c r="DC992" s="483">
        <v>0</v>
      </c>
      <c r="DD992" s="483" t="s">
        <v>1124</v>
      </c>
      <c r="DE992" s="483">
        <f>IFERROR(SUM(VLOOKUP($BS992,'État &amp; Plan d''action'!$B$6:$Z$1113,18,FALSE),VLOOKUP($BS992,'État &amp; Plan d''action'!$B$6:$Z$1113,20,FALSE))/(VLOOKUP($BS992,'Données par municipalité'!$B$4:$L$1113,11,FALSE)),"")</f>
        <v>2</v>
      </c>
      <c r="DF992" s="483">
        <f>IFERROR(SUM(VLOOKUP($BS992,'État &amp; Plan d''action'!$B$6:$Z$1113,19,FALSE),VLOOKUP($BS992,'État &amp; Plan d''action'!$B$6:$Z$1113,21,FALSE))/(VLOOKUP($BS992,'Données par municipalité'!$B$4:$L$1113,11,FALSE)),"")</f>
        <v>2</v>
      </c>
      <c r="DG992" s="476" t="s">
        <v>4723</v>
      </c>
      <c r="DH992" s="484">
        <v>1</v>
      </c>
      <c r="DI992" s="484">
        <v>3</v>
      </c>
      <c r="DJ992" s="484">
        <v>0</v>
      </c>
      <c r="DK992" s="484">
        <v>0</v>
      </c>
      <c r="DL992" s="484">
        <v>1</v>
      </c>
      <c r="DM992" s="484">
        <v>0</v>
      </c>
      <c r="DN992" s="484">
        <v>2</v>
      </c>
      <c r="DO992" s="484">
        <v>0</v>
      </c>
      <c r="DP992" s="484">
        <v>0</v>
      </c>
      <c r="DQ992" s="484">
        <f>IF(VLOOKUP($BS992,'État &amp; Plan d''action'!$B$6:$AJ$1113,28,FALSE)="","",VLOOKUP($BS992,'État &amp; Plan d''action'!$B$6:$AJ$1113,28,FALSE))</f>
        <v>1</v>
      </c>
      <c r="DR992" s="70">
        <f>IF(VLOOKUP($BS992,'État &amp; Plan d''action'!$B$6:$AJ$1113,29,FALSE)="","",VLOOKUP($BS992,'État &amp; Plan d''action'!$B$6:$AJ$1113,29,FALSE))</f>
        <v>0</v>
      </c>
      <c r="DS992" s="70">
        <f>IF(VLOOKUP($BS992,'État &amp; Plan d''action'!$B$6:$AJ$1113,30,FALSE)="","",VLOOKUP($BS992,'État &amp; Plan d''action'!$B$6:$AJ$1113,30,FALSE))</f>
        <v>0</v>
      </c>
      <c r="DT992" s="70">
        <v>234</v>
      </c>
      <c r="DU992" s="485">
        <v>1.1690515522897604</v>
      </c>
      <c r="DV992" s="485">
        <v>2.3016816189521645</v>
      </c>
      <c r="DW992" s="70">
        <v>1</v>
      </c>
      <c r="DX992" s="70">
        <v>0</v>
      </c>
      <c r="DY992" s="70">
        <v>0</v>
      </c>
      <c r="DZ992" s="70">
        <f>VLOOKUP($BS992,'État &amp; Plan d''action'!$B$6:$AH$1113,31,FALSE)</f>
        <v>1</v>
      </c>
      <c r="EA992" s="70">
        <f>VLOOKUP($BS992,'État &amp; Plan d''action'!$B$6:$AH$1113,32,FALSE)</f>
        <v>0</v>
      </c>
      <c r="EB992" s="70">
        <f>VLOOKUP($BS992,'État &amp; Plan d''action'!$B$6:$AH$1113,33,FALSE)</f>
        <v>0</v>
      </c>
      <c r="EC992" s="70">
        <v>0</v>
      </c>
      <c r="ED992" s="70">
        <v>12.895</v>
      </c>
      <c r="EE992" s="70">
        <v>0</v>
      </c>
      <c r="EF992" s="70">
        <v>0</v>
      </c>
      <c r="EG992" s="70">
        <v>0</v>
      </c>
      <c r="EH992" s="72">
        <v>59</v>
      </c>
      <c r="EI992" s="72">
        <v>1149</v>
      </c>
    </row>
    <row r="993" spans="71:139" x14ac:dyDescent="0.35">
      <c r="BS993" s="486">
        <v>11055</v>
      </c>
      <c r="BT993" s="479" t="s">
        <v>27</v>
      </c>
      <c r="BU993" s="479">
        <v>1</v>
      </c>
      <c r="BV993" s="476" t="s">
        <v>1187</v>
      </c>
      <c r="BW993" s="476" t="s">
        <v>1187</v>
      </c>
      <c r="BX993" s="476" t="s">
        <v>1187</v>
      </c>
      <c r="BY993" s="476" t="s">
        <v>1187</v>
      </c>
      <c r="BZ993" s="476" t="s">
        <v>1187</v>
      </c>
      <c r="CA993" s="476" t="s">
        <v>1187</v>
      </c>
      <c r="CB993" s="476" t="s">
        <v>1187</v>
      </c>
      <c r="CC993" s="476" t="s">
        <v>1187</v>
      </c>
      <c r="CD993" s="476" t="s">
        <v>1187</v>
      </c>
      <c r="CE993" s="476" t="s">
        <v>1188</v>
      </c>
      <c r="CF993" s="476" t="s">
        <v>1188</v>
      </c>
      <c r="CG993" s="476" t="s">
        <v>1188</v>
      </c>
      <c r="CH993" s="476" t="s">
        <v>1188</v>
      </c>
      <c r="CI993" s="476" t="s">
        <v>1188</v>
      </c>
      <c r="CJ993" s="476" t="s">
        <v>1187</v>
      </c>
      <c r="CK993" s="476" t="s">
        <v>1187</v>
      </c>
      <c r="CL993" s="476" t="s">
        <v>1188</v>
      </c>
      <c r="CM993" s="476" t="str">
        <f>IF(VLOOKUP(BS993,'Données par municipalité'!$B$6:$E$1113,4,FALSE)="","non","oui")</f>
        <v>oui</v>
      </c>
      <c r="CN993" s="410">
        <v>301.2879053974944</v>
      </c>
      <c r="CO993" s="410">
        <v>452.78055298549663</v>
      </c>
      <c r="CP993" s="410">
        <v>269.2317344544125</v>
      </c>
      <c r="CQ993" s="410">
        <v>267.35179071062367</v>
      </c>
      <c r="CR993" s="410">
        <v>310.29423927816612</v>
      </c>
      <c r="CS993" s="410" t="s">
        <v>1124</v>
      </c>
      <c r="CT993" s="410"/>
      <c r="CU993" s="410">
        <v>338</v>
      </c>
      <c r="CV993" s="410">
        <f>IF(VLOOKUP(BS993,'Données par municipalité'!$B$6:$F$1113,4,FALSE)="","",VLOOKUP(BS993,'Données par municipalité'!$B$6:$F$1113,4,FALSE))</f>
        <v>229</v>
      </c>
      <c r="CW993" s="476" t="s">
        <v>4723</v>
      </c>
      <c r="CX993" s="483">
        <v>0.15</v>
      </c>
      <c r="CY993" s="483">
        <v>0.25</v>
      </c>
      <c r="CZ993" s="483">
        <v>0.25</v>
      </c>
      <c r="DA993" s="483">
        <v>1</v>
      </c>
      <c r="DB993" s="483" t="s">
        <v>1124</v>
      </c>
      <c r="DC993" s="483" t="s">
        <v>1124</v>
      </c>
      <c r="DD993" s="483">
        <v>0</v>
      </c>
      <c r="DE993" s="483">
        <f>IFERROR(SUM(VLOOKUP($BS993,'État &amp; Plan d''action'!$B$6:$Z$1113,18,FALSE),VLOOKUP($BS993,'État &amp; Plan d''action'!$B$6:$Z$1113,20,FALSE))/(VLOOKUP($BS993,'Données par municipalité'!$B$4:$L$1113,11,FALSE)),"")</f>
        <v>0</v>
      </c>
      <c r="DF993" s="483">
        <f>IFERROR(SUM(VLOOKUP($BS993,'État &amp; Plan d''action'!$B$6:$Z$1113,19,FALSE),VLOOKUP($BS993,'État &amp; Plan d''action'!$B$6:$Z$1113,21,FALSE))/(VLOOKUP($BS993,'Données par municipalité'!$B$4:$L$1113,11,FALSE)),"")</f>
        <v>0</v>
      </c>
      <c r="DG993" s="476" t="s">
        <v>4723</v>
      </c>
      <c r="DH993" s="484">
        <v>1</v>
      </c>
      <c r="DI993" s="484">
        <v>1</v>
      </c>
      <c r="DJ993" s="484">
        <v>0</v>
      </c>
      <c r="DK993" s="484">
        <v>0</v>
      </c>
      <c r="DL993" s="484" t="s">
        <v>1124</v>
      </c>
      <c r="DM993" s="484" t="s">
        <v>1124</v>
      </c>
      <c r="DN993" s="484">
        <v>0</v>
      </c>
      <c r="DO993" s="484">
        <v>0</v>
      </c>
      <c r="DP993" s="484">
        <v>2</v>
      </c>
      <c r="DQ993" s="484">
        <f>IF(VLOOKUP($BS993,'État &amp; Plan d''action'!$B$6:$AJ$1113,28,FALSE)="","",VLOOKUP($BS993,'État &amp; Plan d''action'!$B$6:$AJ$1113,28,FALSE))</f>
        <v>0</v>
      </c>
      <c r="DR993" s="70">
        <f>IF(VLOOKUP($BS993,'État &amp; Plan d''action'!$B$6:$AJ$1113,29,FALSE)="","",VLOOKUP($BS993,'État &amp; Plan d''action'!$B$6:$AJ$1113,29,FALSE))</f>
        <v>0</v>
      </c>
      <c r="DS993" s="70">
        <f>IF(VLOOKUP($BS993,'État &amp; Plan d''action'!$B$6:$AJ$1113,30,FALSE)="","",VLOOKUP($BS993,'État &amp; Plan d''action'!$B$6:$AJ$1113,30,FALSE))</f>
        <v>1</v>
      </c>
      <c r="DT993" s="70">
        <v>270</v>
      </c>
      <c r="DU993" s="485">
        <v>0.98886146446427436</v>
      </c>
      <c r="DV993" s="485">
        <v>0.95979373062581708</v>
      </c>
      <c r="DW993" s="70">
        <v>0</v>
      </c>
      <c r="DX993" s="70">
        <v>0</v>
      </c>
      <c r="DY993" s="70">
        <v>1</v>
      </c>
      <c r="DZ993" s="70">
        <f>VLOOKUP($BS993,'État &amp; Plan d''action'!$B$6:$AH$1113,31,FALSE)</f>
        <v>0</v>
      </c>
      <c r="EA993" s="70">
        <f>VLOOKUP($BS993,'État &amp; Plan d''action'!$B$6:$AH$1113,32,FALSE)</f>
        <v>0</v>
      </c>
      <c r="EB993" s="70">
        <f>VLOOKUP($BS993,'État &amp; Plan d''action'!$B$6:$AH$1113,33,FALSE)</f>
        <v>1</v>
      </c>
      <c r="EC993" s="70">
        <v>0</v>
      </c>
      <c r="ED993" s="70">
        <v>0</v>
      </c>
      <c r="EE993" s="70">
        <v>0</v>
      </c>
      <c r="EF993" s="70">
        <v>0</v>
      </c>
      <c r="EG993" s="70">
        <v>0</v>
      </c>
      <c r="EH993" s="72">
        <v>59</v>
      </c>
      <c r="EI993" s="72">
        <v>429</v>
      </c>
    </row>
    <row r="994" spans="71:139" x14ac:dyDescent="0.35">
      <c r="BS994" s="486">
        <v>54090</v>
      </c>
      <c r="BT994" s="479" t="s">
        <v>551</v>
      </c>
      <c r="BU994" s="479">
        <v>16</v>
      </c>
      <c r="BV994" s="476" t="s">
        <v>1187</v>
      </c>
      <c r="BW994" s="476" t="s">
        <v>1187</v>
      </c>
      <c r="BX994" s="476" t="s">
        <v>1187</v>
      </c>
      <c r="BY994" s="476" t="s">
        <v>1187</v>
      </c>
      <c r="BZ994" s="476" t="s">
        <v>1187</v>
      </c>
      <c r="CA994" s="476" t="s">
        <v>1187</v>
      </c>
      <c r="CB994" s="476" t="s">
        <v>1187</v>
      </c>
      <c r="CC994" s="476" t="s">
        <v>1187</v>
      </c>
      <c r="CD994" s="476" t="s">
        <v>1187</v>
      </c>
      <c r="CE994" s="476" t="s">
        <v>1188</v>
      </c>
      <c r="CF994" s="476" t="s">
        <v>1188</v>
      </c>
      <c r="CG994" s="476" t="s">
        <v>1188</v>
      </c>
      <c r="CH994" s="476" t="s">
        <v>1188</v>
      </c>
      <c r="CI994" s="476" t="s">
        <v>1188</v>
      </c>
      <c r="CJ994" s="476" t="s">
        <v>1188</v>
      </c>
      <c r="CK994" s="476" t="s">
        <v>1188</v>
      </c>
      <c r="CL994" s="476" t="s">
        <v>1188</v>
      </c>
      <c r="CM994" s="476" t="str">
        <f>IF(VLOOKUP(BS994,'Données par municipalité'!$B$6:$E$1113,4,FALSE)="","non","oui")</f>
        <v>oui</v>
      </c>
      <c r="CN994" s="410">
        <v>307.32336955750185</v>
      </c>
      <c r="CO994" s="410">
        <v>353.65875017514361</v>
      </c>
      <c r="CP994" s="410">
        <v>296.94032997802952</v>
      </c>
      <c r="CQ994" s="410">
        <v>298.9086827280853</v>
      </c>
      <c r="CR994" s="410">
        <v>329.72201226169483</v>
      </c>
      <c r="CS994" s="410">
        <v>323.21805084988966</v>
      </c>
      <c r="CT994" s="410">
        <v>332.3260987931215</v>
      </c>
      <c r="CU994" s="410">
        <v>380</v>
      </c>
      <c r="CV994" s="410">
        <f>IF(VLOOKUP(BS994,'Données par municipalité'!$B$6:$F$1113,4,FALSE)="","",VLOOKUP(BS994,'Données par municipalité'!$B$6:$F$1113,4,FALSE))</f>
        <v>330</v>
      </c>
      <c r="CW994" s="476" t="s">
        <v>4723</v>
      </c>
      <c r="CX994" s="483">
        <v>0</v>
      </c>
      <c r="CY994" s="483">
        <v>0</v>
      </c>
      <c r="CZ994" s="483">
        <v>0</v>
      </c>
      <c r="DA994" s="483">
        <v>0</v>
      </c>
      <c r="DB994" s="483">
        <v>0</v>
      </c>
      <c r="DC994" s="483">
        <v>0</v>
      </c>
      <c r="DD994" s="483">
        <v>0</v>
      </c>
      <c r="DE994" s="483">
        <f>IFERROR(SUM(VLOOKUP($BS994,'État &amp; Plan d''action'!$B$6:$Z$1113,18,FALSE),VLOOKUP($BS994,'État &amp; Plan d''action'!$B$6:$Z$1113,20,FALSE))/(VLOOKUP($BS994,'Données par municipalité'!$B$4:$L$1113,11,FALSE)),"")</f>
        <v>1.4999465640696805</v>
      </c>
      <c r="DF994" s="483">
        <f>IFERROR(SUM(VLOOKUP($BS994,'État &amp; Plan d''action'!$B$6:$Z$1113,19,FALSE),VLOOKUP($BS994,'État &amp; Plan d''action'!$B$6:$Z$1113,21,FALSE))/(VLOOKUP($BS994,'Données par municipalité'!$B$4:$L$1113,11,FALSE)),"")</f>
        <v>1.4999465640696805</v>
      </c>
      <c r="DG994" s="476" t="s">
        <v>4723</v>
      </c>
      <c r="DH994" s="484">
        <v>1</v>
      </c>
      <c r="DI994" s="484">
        <v>0</v>
      </c>
      <c r="DJ994" s="484">
        <v>0</v>
      </c>
      <c r="DK994" s="484">
        <v>0</v>
      </c>
      <c r="DL994" s="484">
        <v>0</v>
      </c>
      <c r="DM994" s="484">
        <v>0</v>
      </c>
      <c r="DN994" s="484">
        <v>1</v>
      </c>
      <c r="DO994" s="484">
        <v>0</v>
      </c>
      <c r="DP994" s="484">
        <v>0</v>
      </c>
      <c r="DQ994" s="484">
        <f>IF(VLOOKUP($BS994,'État &amp; Plan d''action'!$B$6:$AJ$1113,28,FALSE)="","",VLOOKUP($BS994,'État &amp; Plan d''action'!$B$6:$AJ$1113,28,FALSE))</f>
        <v>0</v>
      </c>
      <c r="DR994" s="70">
        <f>IF(VLOOKUP($BS994,'État &amp; Plan d''action'!$B$6:$AJ$1113,29,FALSE)="","",VLOOKUP($BS994,'État &amp; Plan d''action'!$B$6:$AJ$1113,29,FALSE))</f>
        <v>1</v>
      </c>
      <c r="DS994" s="70">
        <f>IF(VLOOKUP($BS994,'État &amp; Plan d''action'!$B$6:$AJ$1113,30,FALSE)="","",VLOOKUP($BS994,'État &amp; Plan d''action'!$B$6:$AJ$1113,30,FALSE))</f>
        <v>0</v>
      </c>
      <c r="DT994" s="70">
        <v>185</v>
      </c>
      <c r="DU994" s="485">
        <v>3.770103257334104</v>
      </c>
      <c r="DV994" s="485">
        <v>1.2372844629982147</v>
      </c>
      <c r="DW994" s="70">
        <v>1</v>
      </c>
      <c r="DX994" s="70">
        <v>0</v>
      </c>
      <c r="DY994" s="70">
        <v>0</v>
      </c>
      <c r="DZ994" s="70">
        <f>VLOOKUP($BS994,'État &amp; Plan d''action'!$B$6:$AH$1113,31,FALSE)</f>
        <v>0</v>
      </c>
      <c r="EA994" s="70">
        <f>VLOOKUP($BS994,'État &amp; Plan d''action'!$B$6:$AH$1113,32,FALSE)</f>
        <v>2</v>
      </c>
      <c r="EB994" s="70">
        <f>VLOOKUP($BS994,'État &amp; Plan d''action'!$B$6:$AH$1113,33,FALSE)</f>
        <v>0</v>
      </c>
      <c r="EC994" s="70">
        <v>0</v>
      </c>
      <c r="ED994" s="70">
        <v>0</v>
      </c>
      <c r="EE994" s="70">
        <v>0</v>
      </c>
      <c r="EF994" s="70">
        <v>0</v>
      </c>
      <c r="EG994" s="70">
        <v>0</v>
      </c>
      <c r="EH994" s="72">
        <v>48.71880280941469</v>
      </c>
      <c r="EI994" s="72">
        <v>1435</v>
      </c>
    </row>
    <row r="995" spans="71:139" x14ac:dyDescent="0.35">
      <c r="BS995" s="486">
        <v>29125</v>
      </c>
      <c r="BT995" s="479" t="s">
        <v>216</v>
      </c>
      <c r="BU995" s="479">
        <v>12</v>
      </c>
      <c r="BV995" s="476" t="s">
        <v>1188</v>
      </c>
      <c r="BW995" s="476" t="s">
        <v>1188</v>
      </c>
      <c r="BX995" s="476" t="s">
        <v>1188</v>
      </c>
      <c r="BY995" s="476" t="s">
        <v>1188</v>
      </c>
      <c r="BZ995" s="476" t="s">
        <v>1188</v>
      </c>
      <c r="CA995" s="476" t="s">
        <v>1188</v>
      </c>
      <c r="CB995" s="476" t="s">
        <v>1188</v>
      </c>
      <c r="CC995" s="476" t="s">
        <v>1188</v>
      </c>
      <c r="CD995" s="476" t="s">
        <v>1188</v>
      </c>
      <c r="CE995" s="476" t="s">
        <v>1187</v>
      </c>
      <c r="CF995" s="476" t="s">
        <v>1187</v>
      </c>
      <c r="CG995" s="476" t="s">
        <v>1187</v>
      </c>
      <c r="CH995" s="476" t="s">
        <v>1187</v>
      </c>
      <c r="CI995" s="476" t="s">
        <v>1187</v>
      </c>
      <c r="CJ995" s="476" t="s">
        <v>1187</v>
      </c>
      <c r="CK995" s="476" t="s">
        <v>1187</v>
      </c>
      <c r="CL995" s="476" t="s">
        <v>1187</v>
      </c>
      <c r="CM995" s="476" t="str">
        <f>IF(VLOOKUP(BS995,'Données par municipalité'!$B$6:$E$1113,4,FALSE)="","non","oui")</f>
        <v>non</v>
      </c>
      <c r="CN995" s="410" t="s">
        <v>1124</v>
      </c>
      <c r="CO995" s="410" t="s">
        <v>1124</v>
      </c>
      <c r="CP995" s="410"/>
      <c r="CQ995" s="410"/>
      <c r="CR995" s="410"/>
      <c r="CS995" s="410" t="s">
        <v>1124</v>
      </c>
      <c r="CT995" s="410"/>
      <c r="CU995" s="410" t="s">
        <v>1124</v>
      </c>
      <c r="CV995" s="410" t="str">
        <f>IF(VLOOKUP(BS995,'Données par municipalité'!$B$6:$F$1113,4,FALSE)="","",VLOOKUP(BS995,'Données par municipalité'!$B$6:$F$1113,4,FALSE))</f>
        <v/>
      </c>
      <c r="CW995" s="476" t="s">
        <v>4723</v>
      </c>
      <c r="CX995" s="483" t="s">
        <v>1124</v>
      </c>
      <c r="CY995" s="483" t="s">
        <v>1124</v>
      </c>
      <c r="CZ995" s="483" t="s">
        <v>1124</v>
      </c>
      <c r="DA995" s="483" t="s">
        <v>1124</v>
      </c>
      <c r="DB995" s="483" t="s">
        <v>1124</v>
      </c>
      <c r="DC995" s="483" t="s">
        <v>1124</v>
      </c>
      <c r="DD995" s="483" t="s">
        <v>1124</v>
      </c>
      <c r="DE995" s="483" t="str">
        <f>IFERROR(SUM(VLOOKUP($BS995,'État &amp; Plan d''action'!$B$6:$Z$1113,18,FALSE),VLOOKUP($BS995,'État &amp; Plan d''action'!$B$6:$Z$1113,20,FALSE))/(VLOOKUP($BS995,'Données par municipalité'!$B$4:$L$1113,11,FALSE)),"")</f>
        <v/>
      </c>
      <c r="DF995" s="483" t="str">
        <f>IFERROR(SUM(VLOOKUP($BS995,'État &amp; Plan d''action'!$B$6:$Z$1113,19,FALSE),VLOOKUP($BS995,'État &amp; Plan d''action'!$B$6:$Z$1113,21,FALSE))/(VLOOKUP($BS995,'Données par municipalité'!$B$4:$L$1113,11,FALSE)),"")</f>
        <v/>
      </c>
      <c r="DG995" s="476" t="s">
        <v>4723</v>
      </c>
      <c r="DH995" s="484" t="s">
        <v>1124</v>
      </c>
      <c r="DI995" s="484" t="s">
        <v>1124</v>
      </c>
      <c r="DJ995" s="484">
        <v>0</v>
      </c>
      <c r="DK995" s="484">
        <v>0</v>
      </c>
      <c r="DL995" s="484" t="s">
        <v>1124</v>
      </c>
      <c r="DM995" s="484" t="s">
        <v>1124</v>
      </c>
      <c r="DN995" s="484" t="s">
        <v>1124</v>
      </c>
      <c r="DO995" s="484" t="s">
        <v>1124</v>
      </c>
      <c r="DP995" s="484" t="s">
        <v>1124</v>
      </c>
      <c r="DQ995" s="484" t="str">
        <f>IF(VLOOKUP($BS995,'État &amp; Plan d''action'!$B$6:$AJ$1113,28,FALSE)="","",VLOOKUP($BS995,'État &amp; Plan d''action'!$B$6:$AJ$1113,28,FALSE))</f>
        <v/>
      </c>
      <c r="DR995" s="70" t="str">
        <f>IF(VLOOKUP($BS995,'État &amp; Plan d''action'!$B$6:$AJ$1113,29,FALSE)="","",VLOOKUP($BS995,'État &amp; Plan d''action'!$B$6:$AJ$1113,29,FALSE))</f>
        <v/>
      </c>
      <c r="DS995" s="70" t="str">
        <f>IF(VLOOKUP($BS995,'État &amp; Plan d''action'!$B$6:$AJ$1113,30,FALSE)="","",VLOOKUP($BS995,'État &amp; Plan d''action'!$B$6:$AJ$1113,30,FALSE))</f>
        <v/>
      </c>
      <c r="DT995" s="70" t="s">
        <v>1124</v>
      </c>
      <c r="DU995" s="485" t="s">
        <v>1124</v>
      </c>
      <c r="DV995" s="485" t="s">
        <v>1124</v>
      </c>
      <c r="DW995" s="70" t="s">
        <v>1124</v>
      </c>
      <c r="DX995" s="70" t="s">
        <v>1124</v>
      </c>
      <c r="DY995" s="70" t="s">
        <v>1124</v>
      </c>
      <c r="DZ995" s="70" t="str">
        <f>VLOOKUP($BS995,'État &amp; Plan d''action'!$B$6:$AH$1113,31,FALSE)</f>
        <v/>
      </c>
      <c r="EA995" s="70" t="str">
        <f>VLOOKUP($BS995,'État &amp; Plan d''action'!$B$6:$AH$1113,32,FALSE)</f>
        <v/>
      </c>
      <c r="EB995" s="70" t="str">
        <f>VLOOKUP($BS995,'État &amp; Plan d''action'!$B$6:$AH$1113,33,FALSE)</f>
        <v/>
      </c>
      <c r="EC995" s="70" t="s">
        <v>1124</v>
      </c>
      <c r="ED995" s="70" t="s">
        <v>1124</v>
      </c>
      <c r="EE995" s="70" t="s">
        <v>1124</v>
      </c>
      <c r="EF995" s="70" t="s">
        <v>1124</v>
      </c>
      <c r="EG995" s="70" t="s">
        <v>1124</v>
      </c>
      <c r="EH995" s="72"/>
      <c r="EI995" s="72">
        <v>585</v>
      </c>
    </row>
    <row r="996" spans="71:139" x14ac:dyDescent="0.35">
      <c r="BS996" s="486">
        <v>80070</v>
      </c>
      <c r="BT996" s="479" t="s">
        <v>814</v>
      </c>
      <c r="BU996" s="479">
        <v>7</v>
      </c>
      <c r="BV996" s="476" t="s">
        <v>1187</v>
      </c>
      <c r="BW996" s="476" t="s">
        <v>1187</v>
      </c>
      <c r="BX996" s="476" t="s">
        <v>1187</v>
      </c>
      <c r="BY996" s="476" t="s">
        <v>1187</v>
      </c>
      <c r="BZ996" s="476" t="s">
        <v>1187</v>
      </c>
      <c r="CA996" s="476" t="s">
        <v>1188</v>
      </c>
      <c r="CB996" s="476" t="s">
        <v>1188</v>
      </c>
      <c r="CC996" s="476" t="s">
        <v>1188</v>
      </c>
      <c r="CD996" s="476" t="s">
        <v>1188</v>
      </c>
      <c r="CE996" s="476" t="s">
        <v>1188</v>
      </c>
      <c r="CF996" s="476" t="s">
        <v>1188</v>
      </c>
      <c r="CG996" s="476" t="s">
        <v>1188</v>
      </c>
      <c r="CH996" s="476" t="s">
        <v>1188</v>
      </c>
      <c r="CI996" s="476" t="s">
        <v>1188</v>
      </c>
      <c r="CJ996" s="476" t="s">
        <v>1187</v>
      </c>
      <c r="CK996" s="476" t="s">
        <v>1187</v>
      </c>
      <c r="CL996" s="476" t="s">
        <v>1187</v>
      </c>
      <c r="CM996" s="476" t="str">
        <f>IF(VLOOKUP(BS996,'Données par municipalité'!$B$6:$E$1113,4,FALSE)="","non","oui")</f>
        <v>non</v>
      </c>
      <c r="CN996" s="410">
        <v>296.92740667762939</v>
      </c>
      <c r="CO996" s="410">
        <v>293.88774291607859</v>
      </c>
      <c r="CP996" s="410">
        <v>258.72314613557097</v>
      </c>
      <c r="CQ996" s="410">
        <v>217.25724106556135</v>
      </c>
      <c r="CR996" s="410">
        <v>305.05880416541532</v>
      </c>
      <c r="CS996" s="410" t="s">
        <v>1124</v>
      </c>
      <c r="CT996" s="410"/>
      <c r="CU996" s="410" t="s">
        <v>1124</v>
      </c>
      <c r="CV996" s="410" t="str">
        <f>IF(VLOOKUP(BS996,'Données par municipalité'!$B$6:$F$1113,4,FALSE)="","",VLOOKUP(BS996,'Données par municipalité'!$B$6:$F$1113,4,FALSE))</f>
        <v/>
      </c>
      <c r="CW996" s="476" t="s">
        <v>4723</v>
      </c>
      <c r="CX996" s="483">
        <v>0</v>
      </c>
      <c r="CY996" s="483">
        <v>0</v>
      </c>
      <c r="CZ996" s="483">
        <v>0</v>
      </c>
      <c r="DA996" s="483">
        <v>0</v>
      </c>
      <c r="DB996" s="483" t="s">
        <v>1124</v>
      </c>
      <c r="DC996" s="483" t="s">
        <v>1124</v>
      </c>
      <c r="DD996" s="483" t="s">
        <v>1124</v>
      </c>
      <c r="DE996" s="483" t="str">
        <f>IFERROR(SUM(VLOOKUP($BS996,'État &amp; Plan d''action'!$B$6:$Z$1113,18,FALSE),VLOOKUP($BS996,'État &amp; Plan d''action'!$B$6:$Z$1113,20,FALSE))/(VLOOKUP($BS996,'Données par municipalité'!$B$4:$L$1113,11,FALSE)),"")</f>
        <v/>
      </c>
      <c r="DF996" s="483" t="str">
        <f>IFERROR(SUM(VLOOKUP($BS996,'État &amp; Plan d''action'!$B$6:$Z$1113,19,FALSE),VLOOKUP($BS996,'État &amp; Plan d''action'!$B$6:$Z$1113,21,FALSE))/(VLOOKUP($BS996,'Données par municipalité'!$B$4:$L$1113,11,FALSE)),"")</f>
        <v/>
      </c>
      <c r="DG996" s="476" t="s">
        <v>4723</v>
      </c>
      <c r="DH996" s="484">
        <v>0</v>
      </c>
      <c r="DI996" s="484">
        <v>0</v>
      </c>
      <c r="DJ996" s="484">
        <v>1</v>
      </c>
      <c r="DK996" s="484">
        <v>0</v>
      </c>
      <c r="DL996" s="484" t="s">
        <v>1124</v>
      </c>
      <c r="DM996" s="484" t="s">
        <v>1124</v>
      </c>
      <c r="DN996" s="484" t="s">
        <v>1124</v>
      </c>
      <c r="DO996" s="484" t="s">
        <v>1124</v>
      </c>
      <c r="DP996" s="484" t="s">
        <v>1124</v>
      </c>
      <c r="DQ996" s="484" t="str">
        <f>IF(VLOOKUP($BS996,'État &amp; Plan d''action'!$B$6:$AJ$1113,28,FALSE)="","",VLOOKUP($BS996,'État &amp; Plan d''action'!$B$6:$AJ$1113,28,FALSE))</f>
        <v/>
      </c>
      <c r="DR996" s="70" t="str">
        <f>IF(VLOOKUP($BS996,'État &amp; Plan d''action'!$B$6:$AJ$1113,29,FALSE)="","",VLOOKUP($BS996,'État &amp; Plan d''action'!$B$6:$AJ$1113,29,FALSE))</f>
        <v/>
      </c>
      <c r="DS996" s="70" t="str">
        <f>IF(VLOOKUP($BS996,'État &amp; Plan d''action'!$B$6:$AJ$1113,30,FALSE)="","",VLOOKUP($BS996,'État &amp; Plan d''action'!$B$6:$AJ$1113,30,FALSE))</f>
        <v/>
      </c>
      <c r="DT996" s="70" t="s">
        <v>1124</v>
      </c>
      <c r="DU996" s="485" t="s">
        <v>1124</v>
      </c>
      <c r="DV996" s="485" t="s">
        <v>1124</v>
      </c>
      <c r="DW996" s="70" t="s">
        <v>1124</v>
      </c>
      <c r="DX996" s="70" t="s">
        <v>1124</v>
      </c>
      <c r="DY996" s="70" t="s">
        <v>1124</v>
      </c>
      <c r="DZ996" s="70" t="str">
        <f>VLOOKUP($BS996,'État &amp; Plan d''action'!$B$6:$AH$1113,31,FALSE)</f>
        <v/>
      </c>
      <c r="EA996" s="70" t="str">
        <f>VLOOKUP($BS996,'État &amp; Plan d''action'!$B$6:$AH$1113,32,FALSE)</f>
        <v/>
      </c>
      <c r="EB996" s="70" t="str">
        <f>VLOOKUP($BS996,'État &amp; Plan d''action'!$B$6:$AH$1113,33,FALSE)</f>
        <v/>
      </c>
      <c r="EC996" s="70" t="s">
        <v>1124</v>
      </c>
      <c r="ED996" s="70" t="s">
        <v>1124</v>
      </c>
      <c r="EE996" s="70" t="s">
        <v>1124</v>
      </c>
      <c r="EF996" s="70" t="s">
        <v>1124</v>
      </c>
      <c r="EG996" s="70" t="s">
        <v>1124</v>
      </c>
      <c r="EH996" s="72"/>
      <c r="EI996" s="72">
        <v>479</v>
      </c>
    </row>
    <row r="997" spans="71:139" x14ac:dyDescent="0.35">
      <c r="BS997" s="486">
        <v>39005</v>
      </c>
      <c r="BT997" s="479" t="s">
        <v>337</v>
      </c>
      <c r="BU997" s="479">
        <v>17</v>
      </c>
      <c r="BV997" s="476" t="s">
        <v>1187</v>
      </c>
      <c r="BW997" s="476" t="s">
        <v>1187</v>
      </c>
      <c r="BX997" s="476" t="s">
        <v>1187</v>
      </c>
      <c r="BY997" s="476" t="s">
        <v>1187</v>
      </c>
      <c r="BZ997" s="476" t="s">
        <v>1187</v>
      </c>
      <c r="CA997" s="476" t="s">
        <v>1187</v>
      </c>
      <c r="CB997" s="476" t="s">
        <v>1187</v>
      </c>
      <c r="CC997" s="476" t="s">
        <v>1187</v>
      </c>
      <c r="CD997" s="476" t="s">
        <v>1187</v>
      </c>
      <c r="CE997" s="476" t="s">
        <v>1188</v>
      </c>
      <c r="CF997" s="476" t="s">
        <v>1188</v>
      </c>
      <c r="CG997" s="476" t="s">
        <v>1188</v>
      </c>
      <c r="CH997" s="476" t="s">
        <v>1188</v>
      </c>
      <c r="CI997" s="476" t="s">
        <v>1187</v>
      </c>
      <c r="CJ997" s="476" t="s">
        <v>1187</v>
      </c>
      <c r="CK997" s="476" t="s">
        <v>1187</v>
      </c>
      <c r="CL997" s="476" t="s">
        <v>1188</v>
      </c>
      <c r="CM997" s="476" t="str">
        <f>IF(VLOOKUP(BS997,'Données par municipalité'!$B$6:$E$1113,4,FALSE)="","non","oui")</f>
        <v>non</v>
      </c>
      <c r="CN997" s="410">
        <v>208.02413640727141</v>
      </c>
      <c r="CO997" s="410">
        <v>180.71080800160468</v>
      </c>
      <c r="CP997" s="410">
        <v>384.89684288075472</v>
      </c>
      <c r="CQ997" s="410">
        <v>260.53462307046249</v>
      </c>
      <c r="CR997" s="410"/>
      <c r="CS997" s="410" t="s">
        <v>1124</v>
      </c>
      <c r="CT997" s="410"/>
      <c r="CU997" s="410">
        <v>285</v>
      </c>
      <c r="CV997" s="410" t="str">
        <f>IF(VLOOKUP(BS997,'Données par municipalité'!$B$6:$F$1113,4,FALSE)="","",VLOOKUP(BS997,'Données par municipalité'!$B$6:$F$1113,4,FALSE))</f>
        <v/>
      </c>
      <c r="CW997" s="476" t="s">
        <v>4723</v>
      </c>
      <c r="CX997" s="483">
        <v>0</v>
      </c>
      <c r="CY997" s="483">
        <v>0.25</v>
      </c>
      <c r="CZ997" s="483">
        <v>0.5</v>
      </c>
      <c r="DA997" s="483" t="s">
        <v>1124</v>
      </c>
      <c r="DB997" s="483" t="s">
        <v>1124</v>
      </c>
      <c r="DC997" s="483" t="s">
        <v>1124</v>
      </c>
      <c r="DD997" s="483">
        <v>0</v>
      </c>
      <c r="DE997" s="483" t="str">
        <f>IFERROR(SUM(VLOOKUP($BS997,'État &amp; Plan d''action'!$B$6:$Z$1113,18,FALSE),VLOOKUP($BS997,'État &amp; Plan d''action'!$B$6:$Z$1113,20,FALSE))/(VLOOKUP($BS997,'Données par municipalité'!$B$4:$L$1113,11,FALSE)),"")</f>
        <v/>
      </c>
      <c r="DF997" s="483" t="str">
        <f>IFERROR(SUM(VLOOKUP($BS997,'État &amp; Plan d''action'!$B$6:$Z$1113,19,FALSE),VLOOKUP($BS997,'État &amp; Plan d''action'!$B$6:$Z$1113,21,FALSE))/(VLOOKUP($BS997,'Données par municipalité'!$B$4:$L$1113,11,FALSE)),"")</f>
        <v/>
      </c>
      <c r="DG997" s="476" t="s">
        <v>4723</v>
      </c>
      <c r="DH997" s="484">
        <v>0</v>
      </c>
      <c r="DI997" s="484">
        <v>2</v>
      </c>
      <c r="DJ997" s="484">
        <v>1</v>
      </c>
      <c r="DK997" s="484">
        <v>0</v>
      </c>
      <c r="DL997" s="484" t="s">
        <v>1124</v>
      </c>
      <c r="DM997" s="484" t="s">
        <v>1124</v>
      </c>
      <c r="DN997" s="484">
        <v>1</v>
      </c>
      <c r="DO997" s="484">
        <v>0</v>
      </c>
      <c r="DP997" s="484">
        <v>0</v>
      </c>
      <c r="DQ997" s="484" t="str">
        <f>IF(VLOOKUP($BS997,'État &amp; Plan d''action'!$B$6:$AJ$1113,28,FALSE)="","",VLOOKUP($BS997,'État &amp; Plan d''action'!$B$6:$AJ$1113,28,FALSE))</f>
        <v/>
      </c>
      <c r="DR997" s="70" t="str">
        <f>IF(VLOOKUP($BS997,'État &amp; Plan d''action'!$B$6:$AJ$1113,29,FALSE)="","",VLOOKUP($BS997,'État &amp; Plan d''action'!$B$6:$AJ$1113,29,FALSE))</f>
        <v/>
      </c>
      <c r="DS997" s="70" t="str">
        <f>IF(VLOOKUP($BS997,'État &amp; Plan d''action'!$B$6:$AJ$1113,30,FALSE)="","",VLOOKUP($BS997,'État &amp; Plan d''action'!$B$6:$AJ$1113,30,FALSE))</f>
        <v/>
      </c>
      <c r="DT997" s="70">
        <v>230</v>
      </c>
      <c r="DU997" s="485">
        <v>0.62688483264633077</v>
      </c>
      <c r="DV997" s="485" t="s">
        <v>1124</v>
      </c>
      <c r="DW997" s="70">
        <v>31</v>
      </c>
      <c r="DX997" s="70">
        <v>0</v>
      </c>
      <c r="DY997" s="70">
        <v>0</v>
      </c>
      <c r="DZ997" s="70" t="str">
        <f>VLOOKUP($BS997,'État &amp; Plan d''action'!$B$6:$AH$1113,31,FALSE)</f>
        <v/>
      </c>
      <c r="EA997" s="70" t="str">
        <f>VLOOKUP($BS997,'État &amp; Plan d''action'!$B$6:$AH$1113,32,FALSE)</f>
        <v/>
      </c>
      <c r="EB997" s="70" t="str">
        <f>VLOOKUP($BS997,'État &amp; Plan d''action'!$B$6:$AH$1113,33,FALSE)</f>
        <v/>
      </c>
      <c r="EC997" s="70">
        <v>0</v>
      </c>
      <c r="ED997" s="70">
        <v>0</v>
      </c>
      <c r="EE997" s="70">
        <v>0</v>
      </c>
      <c r="EF997" s="70">
        <v>0</v>
      </c>
      <c r="EG997" s="70">
        <v>0</v>
      </c>
      <c r="EH997" s="72">
        <v>62</v>
      </c>
      <c r="EI997" s="72">
        <v>289</v>
      </c>
    </row>
    <row r="998" spans="71:139" x14ac:dyDescent="0.35">
      <c r="BS998" s="486">
        <v>92070</v>
      </c>
      <c r="BT998" s="479" t="s">
        <v>957</v>
      </c>
      <c r="BU998" s="479">
        <v>2</v>
      </c>
      <c r="BV998" s="476" t="s">
        <v>1187</v>
      </c>
      <c r="BW998" s="476" t="s">
        <v>1187</v>
      </c>
      <c r="BX998" s="476" t="s">
        <v>1187</v>
      </c>
      <c r="BY998" s="476" t="s">
        <v>1187</v>
      </c>
      <c r="BZ998" s="476" t="s">
        <v>1187</v>
      </c>
      <c r="CA998" s="476" t="s">
        <v>1187</v>
      </c>
      <c r="CB998" s="476" t="s">
        <v>1187</v>
      </c>
      <c r="CC998" s="476" t="s">
        <v>1187</v>
      </c>
      <c r="CD998" s="476" t="s">
        <v>1187</v>
      </c>
      <c r="CE998" s="476" t="s">
        <v>1188</v>
      </c>
      <c r="CF998" s="476" t="s">
        <v>1188</v>
      </c>
      <c r="CG998" s="476" t="s">
        <v>1188</v>
      </c>
      <c r="CH998" s="476" t="s">
        <v>1188</v>
      </c>
      <c r="CI998" s="476" t="s">
        <v>1188</v>
      </c>
      <c r="CJ998" s="476" t="s">
        <v>1187</v>
      </c>
      <c r="CK998" s="476" t="s">
        <v>1188</v>
      </c>
      <c r="CL998" s="476" t="s">
        <v>1188</v>
      </c>
      <c r="CM998" s="476" t="str">
        <f>IF(VLOOKUP(BS998,'Données par municipalité'!$B$6:$E$1113,4,FALSE)="","non","oui")</f>
        <v>oui</v>
      </c>
      <c r="CN998" s="410">
        <v>224.19119790148642</v>
      </c>
      <c r="CO998" s="410">
        <v>249.31209549277219</v>
      </c>
      <c r="CP998" s="410">
        <v>206.56757019333529</v>
      </c>
      <c r="CQ998" s="410">
        <v>253.10405129699794</v>
      </c>
      <c r="CR998" s="410">
        <v>266.25692757405949</v>
      </c>
      <c r="CS998" s="410" t="s">
        <v>1124</v>
      </c>
      <c r="CT998" s="410">
        <v>324.02528977871447</v>
      </c>
      <c r="CU998" s="410">
        <v>327</v>
      </c>
      <c r="CV998" s="410">
        <f>IF(VLOOKUP(BS998,'Données par municipalité'!$B$6:$F$1113,4,FALSE)="","",VLOOKUP(BS998,'Données par municipalité'!$B$6:$F$1113,4,FALSE))</f>
        <v>398</v>
      </c>
      <c r="CW998" s="476" t="s">
        <v>4723</v>
      </c>
      <c r="CX998" s="483">
        <v>0</v>
      </c>
      <c r="CY998" s="483">
        <v>0.1</v>
      </c>
      <c r="CZ998" s="483">
        <v>0.1</v>
      </c>
      <c r="DA998" s="483">
        <v>0.1</v>
      </c>
      <c r="DB998" s="483" t="s">
        <v>1124</v>
      </c>
      <c r="DC998" s="483">
        <v>0</v>
      </c>
      <c r="DD998" s="483">
        <v>0</v>
      </c>
      <c r="DE998" s="483">
        <f>IFERROR(SUM(VLOOKUP($BS998,'État &amp; Plan d''action'!$B$6:$Z$1113,18,FALSE),VLOOKUP($BS998,'État &amp; Plan d''action'!$B$6:$Z$1113,20,FALSE))/(VLOOKUP($BS998,'Données par municipalité'!$B$4:$L$1113,11,FALSE)),"")</f>
        <v>1</v>
      </c>
      <c r="DF998" s="483">
        <f>IFERROR(SUM(VLOOKUP($BS998,'État &amp; Plan d''action'!$B$6:$Z$1113,19,FALSE),VLOOKUP($BS998,'État &amp; Plan d''action'!$B$6:$Z$1113,21,FALSE))/(VLOOKUP($BS998,'Données par municipalité'!$B$4:$L$1113,11,FALSE)),"")</f>
        <v>1</v>
      </c>
      <c r="DG998" s="476" t="s">
        <v>4723</v>
      </c>
      <c r="DH998" s="484">
        <v>6</v>
      </c>
      <c r="DI998" s="484" t="s">
        <v>1124</v>
      </c>
      <c r="DJ998" s="484">
        <v>2</v>
      </c>
      <c r="DK998" s="484">
        <v>1</v>
      </c>
      <c r="DL998" s="484" t="s">
        <v>1124</v>
      </c>
      <c r="DM998" s="484">
        <v>0</v>
      </c>
      <c r="DN998" s="484">
        <v>0</v>
      </c>
      <c r="DO998" s="484">
        <v>0</v>
      </c>
      <c r="DP998" s="484">
        <v>0</v>
      </c>
      <c r="DQ998" s="484">
        <f>IF(VLOOKUP($BS998,'État &amp; Plan d''action'!$B$6:$AJ$1113,28,FALSE)="","",VLOOKUP($BS998,'État &amp; Plan d''action'!$B$6:$AJ$1113,28,FALSE))</f>
        <v>0</v>
      </c>
      <c r="DR998" s="70">
        <f>IF(VLOOKUP($BS998,'État &amp; Plan d''action'!$B$6:$AJ$1113,29,FALSE)="","",VLOOKUP($BS998,'État &amp; Plan d''action'!$B$6:$AJ$1113,29,FALSE))</f>
        <v>1</v>
      </c>
      <c r="DS998" s="70">
        <f>IF(VLOOKUP($BS998,'État &amp; Plan d''action'!$B$6:$AJ$1113,30,FALSE)="","",VLOOKUP($BS998,'État &amp; Plan d''action'!$B$6:$AJ$1113,30,FALSE))</f>
        <v>0</v>
      </c>
      <c r="DT998" s="70">
        <v>201</v>
      </c>
      <c r="DU998" s="485">
        <v>3.0757880520056915</v>
      </c>
      <c r="DV998" s="485">
        <v>4.4316356349145378</v>
      </c>
      <c r="DW998" s="70">
        <v>0</v>
      </c>
      <c r="DX998" s="70">
        <v>0</v>
      </c>
      <c r="DY998" s="70">
        <v>0</v>
      </c>
      <c r="DZ998" s="70">
        <f>VLOOKUP($BS998,'État &amp; Plan d''action'!$B$6:$AH$1113,31,FALSE)</f>
        <v>0</v>
      </c>
      <c r="EA998" s="70">
        <f>VLOOKUP($BS998,'État &amp; Plan d''action'!$B$6:$AH$1113,32,FALSE)</f>
        <v>2</v>
      </c>
      <c r="EB998" s="70">
        <f>VLOOKUP($BS998,'État &amp; Plan d''action'!$B$6:$AH$1113,33,FALSE)</f>
        <v>0</v>
      </c>
      <c r="EC998" s="70">
        <v>0</v>
      </c>
      <c r="ED998" s="70">
        <v>0</v>
      </c>
      <c r="EE998" s="70">
        <v>0</v>
      </c>
      <c r="EF998" s="70">
        <v>0</v>
      </c>
      <c r="EG998" s="70">
        <v>0</v>
      </c>
      <c r="EH998" s="72">
        <v>39</v>
      </c>
      <c r="EI998" s="72">
        <v>359</v>
      </c>
    </row>
    <row r="999" spans="71:139" x14ac:dyDescent="0.35">
      <c r="BS999" s="486">
        <v>37245</v>
      </c>
      <c r="BT999" s="479" t="s">
        <v>323</v>
      </c>
      <c r="BU999" s="479">
        <v>4</v>
      </c>
      <c r="BV999" s="476" t="s">
        <v>1187</v>
      </c>
      <c r="BW999" s="476" t="s">
        <v>1187</v>
      </c>
      <c r="BX999" s="476" t="s">
        <v>1187</v>
      </c>
      <c r="BY999" s="476" t="s">
        <v>1187</v>
      </c>
      <c r="BZ999" s="476" t="s">
        <v>1187</v>
      </c>
      <c r="CA999" s="476" t="s">
        <v>1187</v>
      </c>
      <c r="CB999" s="476" t="s">
        <v>1187</v>
      </c>
      <c r="CC999" s="476" t="s">
        <v>1187</v>
      </c>
      <c r="CD999" s="476" t="s">
        <v>1187</v>
      </c>
      <c r="CE999" s="476" t="s">
        <v>1188</v>
      </c>
      <c r="CF999" s="476" t="s">
        <v>1188</v>
      </c>
      <c r="CG999" s="476" t="s">
        <v>1188</v>
      </c>
      <c r="CH999" s="476" t="s">
        <v>1188</v>
      </c>
      <c r="CI999" s="476" t="s">
        <v>1187</v>
      </c>
      <c r="CJ999" s="476" t="s">
        <v>1188</v>
      </c>
      <c r="CK999" s="476" t="s">
        <v>1188</v>
      </c>
      <c r="CL999" s="476" t="s">
        <v>1188</v>
      </c>
      <c r="CM999" s="476" t="str">
        <f>IF(VLOOKUP(BS999,'Données par municipalité'!$B$6:$E$1113,4,FALSE)="","non","oui")</f>
        <v>oui</v>
      </c>
      <c r="CN999" s="410">
        <v>449.39228062850361</v>
      </c>
      <c r="CO999" s="410">
        <v>430.77330723588454</v>
      </c>
      <c r="CP999" s="410">
        <v>387.12729395877318</v>
      </c>
      <c r="CQ999" s="410">
        <v>458.62578742387564</v>
      </c>
      <c r="CR999" s="410"/>
      <c r="CS999" s="410">
        <v>251.72587467669433</v>
      </c>
      <c r="CT999" s="410">
        <v>281.09946560289029</v>
      </c>
      <c r="CU999" s="410">
        <v>320</v>
      </c>
      <c r="CV999" s="410">
        <f>IF(VLOOKUP(BS999,'Données par municipalité'!$B$6:$F$1113,4,FALSE)="","",VLOOKUP(BS999,'Données par municipalité'!$B$6:$F$1113,4,FALSE))</f>
        <v>328</v>
      </c>
      <c r="CW999" s="476" t="s">
        <v>4723</v>
      </c>
      <c r="CX999" s="483">
        <v>0</v>
      </c>
      <c r="CY999" s="483">
        <v>1</v>
      </c>
      <c r="CZ999" s="483">
        <v>1</v>
      </c>
      <c r="DA999" s="483" t="s">
        <v>1124</v>
      </c>
      <c r="DB999" s="483">
        <v>1</v>
      </c>
      <c r="DC999" s="483">
        <v>1</v>
      </c>
      <c r="DD999" s="483">
        <v>0.83423035522066746</v>
      </c>
      <c r="DE999" s="483">
        <f>IFERROR(SUM(VLOOKUP($BS999,'État &amp; Plan d''action'!$B$6:$Z$1113,18,FALSE),VLOOKUP($BS999,'État &amp; Plan d''action'!$B$6:$Z$1113,20,FALSE))/(VLOOKUP($BS999,'Données par municipalité'!$B$4:$L$1113,11,FALSE)),"")</f>
        <v>0.75</v>
      </c>
      <c r="DF999" s="483">
        <f>IFERROR(SUM(VLOOKUP($BS999,'État &amp; Plan d''action'!$B$6:$Z$1113,19,FALSE),VLOOKUP($BS999,'État &amp; Plan d''action'!$B$6:$Z$1113,21,FALSE))/(VLOOKUP($BS999,'Données par municipalité'!$B$4:$L$1113,11,FALSE)),"")</f>
        <v>0</v>
      </c>
      <c r="DG999" s="476" t="s">
        <v>4723</v>
      </c>
      <c r="DH999" s="484">
        <v>5</v>
      </c>
      <c r="DI999" s="484">
        <v>2</v>
      </c>
      <c r="DJ999" s="484">
        <v>4</v>
      </c>
      <c r="DK999" s="484">
        <v>0</v>
      </c>
      <c r="DL999" s="484">
        <v>0</v>
      </c>
      <c r="DM999" s="484">
        <v>1</v>
      </c>
      <c r="DN999" s="484">
        <v>2</v>
      </c>
      <c r="DO999" s="484">
        <v>4</v>
      </c>
      <c r="DP999" s="484">
        <v>3</v>
      </c>
      <c r="DQ999" s="484">
        <f>IF(VLOOKUP($BS999,'État &amp; Plan d''action'!$B$6:$AJ$1113,28,FALSE)="","",VLOOKUP($BS999,'État &amp; Plan d''action'!$B$6:$AJ$1113,28,FALSE))</f>
        <v>1</v>
      </c>
      <c r="DR999" s="70">
        <f>IF(VLOOKUP($BS999,'État &amp; Plan d''action'!$B$6:$AJ$1113,29,FALSE)="","",VLOOKUP($BS999,'État &amp; Plan d''action'!$B$6:$AJ$1113,29,FALSE))</f>
        <v>0</v>
      </c>
      <c r="DS999" s="70">
        <f>IF(VLOOKUP($BS999,'État &amp; Plan d''action'!$B$6:$AJ$1113,30,FALSE)="","",VLOOKUP($BS999,'État &amp; Plan d''action'!$B$6:$AJ$1113,30,FALSE))</f>
        <v>3</v>
      </c>
      <c r="DT999" s="70">
        <v>185</v>
      </c>
      <c r="DU999" s="485">
        <v>2.2024555334607223</v>
      </c>
      <c r="DV999" s="485">
        <v>2.1923998757515255</v>
      </c>
      <c r="DW999" s="70">
        <v>4</v>
      </c>
      <c r="DX999" s="70">
        <v>2</v>
      </c>
      <c r="DY999" s="70">
        <v>2</v>
      </c>
      <c r="DZ999" s="70">
        <f>VLOOKUP($BS999,'État &amp; Plan d''action'!$B$6:$AH$1113,31,FALSE)</f>
        <v>15</v>
      </c>
      <c r="EA999" s="70">
        <f>VLOOKUP($BS999,'État &amp; Plan d''action'!$B$6:$AH$1113,32,FALSE)</f>
        <v>0</v>
      </c>
      <c r="EB999" s="70">
        <f>VLOOKUP($BS999,'État &amp; Plan d''action'!$B$6:$AH$1113,33,FALSE)</f>
        <v>1</v>
      </c>
      <c r="EC999" s="70">
        <v>15.5</v>
      </c>
      <c r="ED999" s="70">
        <v>7.5</v>
      </c>
      <c r="EE999" s="70">
        <v>8</v>
      </c>
      <c r="EF999" s="70">
        <v>0</v>
      </c>
      <c r="EG999" s="70">
        <v>0</v>
      </c>
      <c r="EH999" s="72">
        <v>56</v>
      </c>
      <c r="EI999" s="72">
        <v>1049</v>
      </c>
    </row>
    <row r="1000" spans="71:139" x14ac:dyDescent="0.35">
      <c r="BS1000" s="486">
        <v>70040</v>
      </c>
      <c r="BT1000" s="479" t="s">
        <v>702</v>
      </c>
      <c r="BU1000" s="479">
        <v>16</v>
      </c>
      <c r="BV1000" s="476" t="s">
        <v>1188</v>
      </c>
      <c r="BW1000" s="476" t="s">
        <v>1188</v>
      </c>
      <c r="BX1000" s="476" t="s">
        <v>1188</v>
      </c>
      <c r="BY1000" s="476" t="s">
        <v>1188</v>
      </c>
      <c r="BZ1000" s="476" t="s">
        <v>1188</v>
      </c>
      <c r="CA1000" s="476" t="s">
        <v>1188</v>
      </c>
      <c r="CB1000" s="476" t="s">
        <v>1188</v>
      </c>
      <c r="CC1000" s="476" t="s">
        <v>1188</v>
      </c>
      <c r="CD1000" s="476" t="s">
        <v>1188</v>
      </c>
      <c r="CE1000" s="476" t="s">
        <v>1188</v>
      </c>
      <c r="CF1000" s="476" t="s">
        <v>1188</v>
      </c>
      <c r="CG1000" s="476" t="s">
        <v>1188</v>
      </c>
      <c r="CH1000" s="476" t="s">
        <v>1188</v>
      </c>
      <c r="CI1000" s="476" t="s">
        <v>1188</v>
      </c>
      <c r="CJ1000" s="476" t="s">
        <v>1187</v>
      </c>
      <c r="CK1000" s="476" t="s">
        <v>1187</v>
      </c>
      <c r="CL1000" s="476" t="s">
        <v>1187</v>
      </c>
      <c r="CM1000" s="476" t="str">
        <f>IF(VLOOKUP(BS1000,'Données par municipalité'!$B$6:$E$1113,4,FALSE)="","non","oui")</f>
        <v>non</v>
      </c>
      <c r="CN1000" s="410">
        <v>920.146403100312</v>
      </c>
      <c r="CO1000" s="410">
        <v>913.81301050631134</v>
      </c>
      <c r="CP1000" s="410">
        <v>949.98875102509828</v>
      </c>
      <c r="CQ1000" s="410">
        <v>999.56894995003972</v>
      </c>
      <c r="CR1000" s="410">
        <v>1081.9809426427698</v>
      </c>
      <c r="CS1000" s="410" t="s">
        <v>1124</v>
      </c>
      <c r="CT1000" s="410"/>
      <c r="CU1000" s="410" t="s">
        <v>1124</v>
      </c>
      <c r="CV1000" s="410" t="str">
        <f>IF(VLOOKUP(BS1000,'Données par municipalité'!$B$6:$F$1113,4,FALSE)="","",VLOOKUP(BS1000,'Données par municipalité'!$B$6:$F$1113,4,FALSE))</f>
        <v/>
      </c>
      <c r="CW1000" s="476" t="s">
        <v>4723</v>
      </c>
      <c r="CX1000" s="483" t="s">
        <v>1124</v>
      </c>
      <c r="CY1000" s="483">
        <v>0</v>
      </c>
      <c r="CZ1000" s="483">
        <v>0</v>
      </c>
      <c r="DA1000" s="483">
        <v>0</v>
      </c>
      <c r="DB1000" s="483" t="s">
        <v>1124</v>
      </c>
      <c r="DC1000" s="483" t="s">
        <v>1124</v>
      </c>
      <c r="DD1000" s="483" t="s">
        <v>1124</v>
      </c>
      <c r="DE1000" s="483" t="str">
        <f>IFERROR(SUM(VLOOKUP($BS1000,'État &amp; Plan d''action'!$B$6:$Z$1113,18,FALSE),VLOOKUP($BS1000,'État &amp; Plan d''action'!$B$6:$Z$1113,20,FALSE))/(VLOOKUP($BS1000,'Données par municipalité'!$B$4:$L$1113,11,FALSE)),"")</f>
        <v/>
      </c>
      <c r="DF1000" s="483" t="str">
        <f>IFERROR(SUM(VLOOKUP($BS1000,'État &amp; Plan d''action'!$B$6:$Z$1113,19,FALSE),VLOOKUP($BS1000,'État &amp; Plan d''action'!$B$6:$Z$1113,21,FALSE))/(VLOOKUP($BS1000,'Données par municipalité'!$B$4:$L$1113,11,FALSE)),"")</f>
        <v/>
      </c>
      <c r="DG1000" s="476" t="s">
        <v>4723</v>
      </c>
      <c r="DH1000" s="484" t="s">
        <v>1124</v>
      </c>
      <c r="DI1000" s="484" t="s">
        <v>1124</v>
      </c>
      <c r="DJ1000" s="484">
        <v>0</v>
      </c>
      <c r="DK1000" s="484">
        <v>0</v>
      </c>
      <c r="DL1000" s="484" t="s">
        <v>1124</v>
      </c>
      <c r="DM1000" s="484" t="s">
        <v>1124</v>
      </c>
      <c r="DN1000" s="484" t="s">
        <v>1124</v>
      </c>
      <c r="DO1000" s="484" t="s">
        <v>1124</v>
      </c>
      <c r="DP1000" s="484" t="s">
        <v>1124</v>
      </c>
      <c r="DQ1000" s="484" t="str">
        <f>IF(VLOOKUP($BS1000,'État &amp; Plan d''action'!$B$6:$AJ$1113,28,FALSE)="","",VLOOKUP($BS1000,'État &amp; Plan d''action'!$B$6:$AJ$1113,28,FALSE))</f>
        <v/>
      </c>
      <c r="DR1000" s="70" t="str">
        <f>IF(VLOOKUP($BS1000,'État &amp; Plan d''action'!$B$6:$AJ$1113,29,FALSE)="","",VLOOKUP($BS1000,'État &amp; Plan d''action'!$B$6:$AJ$1113,29,FALSE))</f>
        <v/>
      </c>
      <c r="DS1000" s="70" t="str">
        <f>IF(VLOOKUP($BS1000,'État &amp; Plan d''action'!$B$6:$AJ$1113,30,FALSE)="","",VLOOKUP($BS1000,'État &amp; Plan d''action'!$B$6:$AJ$1113,30,FALSE))</f>
        <v/>
      </c>
      <c r="DT1000" s="70" t="s">
        <v>1124</v>
      </c>
      <c r="DU1000" s="485" t="s">
        <v>1124</v>
      </c>
      <c r="DV1000" s="485" t="s">
        <v>1124</v>
      </c>
      <c r="DW1000" s="70" t="s">
        <v>1124</v>
      </c>
      <c r="DX1000" s="70" t="s">
        <v>1124</v>
      </c>
      <c r="DY1000" s="70" t="s">
        <v>1124</v>
      </c>
      <c r="DZ1000" s="70" t="str">
        <f>VLOOKUP($BS1000,'État &amp; Plan d''action'!$B$6:$AH$1113,31,FALSE)</f>
        <v/>
      </c>
      <c r="EA1000" s="70" t="str">
        <f>VLOOKUP($BS1000,'État &amp; Plan d''action'!$B$6:$AH$1113,32,FALSE)</f>
        <v/>
      </c>
      <c r="EB1000" s="70" t="str">
        <f>VLOOKUP($BS1000,'État &amp; Plan d''action'!$B$6:$AH$1113,33,FALSE)</f>
        <v/>
      </c>
      <c r="EC1000" s="70" t="s">
        <v>1124</v>
      </c>
      <c r="ED1000" s="70" t="s">
        <v>1124</v>
      </c>
      <c r="EE1000" s="70" t="s">
        <v>1124</v>
      </c>
      <c r="EF1000" s="70" t="s">
        <v>1124</v>
      </c>
      <c r="EG1000" s="70" t="s">
        <v>1124</v>
      </c>
      <c r="EH1000" s="72"/>
      <c r="EI1000" s="72">
        <v>1717</v>
      </c>
    </row>
    <row r="1001" spans="71:139" x14ac:dyDescent="0.35">
      <c r="BS1001" s="486">
        <v>60020</v>
      </c>
      <c r="BT1001" s="479" t="s">
        <v>607</v>
      </c>
      <c r="BU1001" s="479">
        <v>14</v>
      </c>
      <c r="BV1001" s="476" t="s">
        <v>1187</v>
      </c>
      <c r="BW1001" s="476" t="s">
        <v>1187</v>
      </c>
      <c r="BX1001" s="476" t="s">
        <v>1187</v>
      </c>
      <c r="BY1001" s="476" t="s">
        <v>1187</v>
      </c>
      <c r="BZ1001" s="476" t="s">
        <v>1187</v>
      </c>
      <c r="CA1001" s="476" t="s">
        <v>1187</v>
      </c>
      <c r="CB1001" s="476" t="s">
        <v>1187</v>
      </c>
      <c r="CC1001" s="476" t="s">
        <v>1187</v>
      </c>
      <c r="CD1001" s="476" t="s">
        <v>1187</v>
      </c>
      <c r="CE1001" s="476" t="s">
        <v>1188</v>
      </c>
      <c r="CF1001" s="476" t="s">
        <v>1188</v>
      </c>
      <c r="CG1001" s="476" t="s">
        <v>1188</v>
      </c>
      <c r="CH1001" s="476" t="s">
        <v>1188</v>
      </c>
      <c r="CI1001" s="476" t="s">
        <v>1188</v>
      </c>
      <c r="CJ1001" s="476" t="s">
        <v>1188</v>
      </c>
      <c r="CK1001" s="476" t="s">
        <v>1187</v>
      </c>
      <c r="CL1001" s="476" t="s">
        <v>1188</v>
      </c>
      <c r="CM1001" s="476" t="str">
        <f>IF(VLOOKUP(BS1001,'Données par municipalité'!$B$6:$E$1113,4,FALSE)="","non","oui")</f>
        <v>oui</v>
      </c>
      <c r="CN1001" s="410">
        <v>336.38773513319222</v>
      </c>
      <c r="CO1001" s="410">
        <v>322.34819732553876</v>
      </c>
      <c r="CP1001" s="410">
        <v>352.74172501213781</v>
      </c>
      <c r="CQ1001" s="410">
        <v>364.92162573169401</v>
      </c>
      <c r="CR1001" s="410">
        <v>363.33732891255931</v>
      </c>
      <c r="CS1001" s="410">
        <v>352.39490603963992</v>
      </c>
      <c r="CT1001" s="410"/>
      <c r="CU1001" s="410">
        <v>333</v>
      </c>
      <c r="CV1001" s="410">
        <f>IF(VLOOKUP(BS1001,'Données par municipalité'!$B$6:$F$1113,4,FALSE)="","",VLOOKUP(BS1001,'Données par municipalité'!$B$6:$F$1113,4,FALSE))</f>
        <v>397</v>
      </c>
      <c r="CW1001" s="476" t="s">
        <v>4723</v>
      </c>
      <c r="CX1001" s="483">
        <v>0</v>
      </c>
      <c r="CY1001" s="483">
        <v>0</v>
      </c>
      <c r="CZ1001" s="483">
        <v>0</v>
      </c>
      <c r="DA1001" s="483">
        <v>0</v>
      </c>
      <c r="DB1001" s="483">
        <v>1</v>
      </c>
      <c r="DC1001" s="483" t="s">
        <v>1124</v>
      </c>
      <c r="DD1001" s="483">
        <v>0</v>
      </c>
      <c r="DE1001" s="483">
        <f>IFERROR(SUM(VLOOKUP($BS1001,'État &amp; Plan d''action'!$B$6:$Z$1113,18,FALSE),VLOOKUP($BS1001,'État &amp; Plan d''action'!$B$6:$Z$1113,20,FALSE))/(VLOOKUP($BS1001,'Données par municipalité'!$B$4:$L$1113,11,FALSE)),"")</f>
        <v>1</v>
      </c>
      <c r="DF1001" s="483">
        <f>IFERROR(SUM(VLOOKUP($BS1001,'État &amp; Plan d''action'!$B$6:$Z$1113,19,FALSE),VLOOKUP($BS1001,'État &amp; Plan d''action'!$B$6:$Z$1113,21,FALSE))/(VLOOKUP($BS1001,'Données par municipalité'!$B$4:$L$1113,11,FALSE)),"")</f>
        <v>1</v>
      </c>
      <c r="DG1001" s="476" t="s">
        <v>4723</v>
      </c>
      <c r="DH1001" s="484">
        <v>12</v>
      </c>
      <c r="DI1001" s="484">
        <v>10</v>
      </c>
      <c r="DJ1001" s="484">
        <v>8</v>
      </c>
      <c r="DK1001" s="484">
        <v>0</v>
      </c>
      <c r="DL1001" s="484">
        <v>3</v>
      </c>
      <c r="DM1001" s="484" t="s">
        <v>1124</v>
      </c>
      <c r="DN1001" s="484">
        <v>5</v>
      </c>
      <c r="DO1001" s="484">
        <v>0</v>
      </c>
      <c r="DP1001" s="484">
        <v>0</v>
      </c>
      <c r="DQ1001" s="484">
        <f>IF(VLOOKUP($BS1001,'État &amp; Plan d''action'!$B$6:$AJ$1113,28,FALSE)="","",VLOOKUP($BS1001,'État &amp; Plan d''action'!$B$6:$AJ$1113,28,FALSE))</f>
        <v>6</v>
      </c>
      <c r="DR1001" s="70">
        <f>IF(VLOOKUP($BS1001,'État &amp; Plan d''action'!$B$6:$AJ$1113,29,FALSE)="","",VLOOKUP($BS1001,'État &amp; Plan d''action'!$B$6:$AJ$1113,29,FALSE))</f>
        <v>1</v>
      </c>
      <c r="DS1001" s="70">
        <f>IF(VLOOKUP($BS1001,'État &amp; Plan d''action'!$B$6:$AJ$1113,30,FALSE)="","",VLOOKUP($BS1001,'État &amp; Plan d''action'!$B$6:$AJ$1113,30,FALSE))</f>
        <v>0</v>
      </c>
      <c r="DT1001" s="70">
        <v>210</v>
      </c>
      <c r="DU1001" s="485">
        <v>2.7933197926091227</v>
      </c>
      <c r="DV1001" s="485">
        <v>5.3040008988361436</v>
      </c>
      <c r="DW1001" s="70">
        <v>1</v>
      </c>
      <c r="DX1001" s="70">
        <v>0</v>
      </c>
      <c r="DY1001" s="70">
        <v>0</v>
      </c>
      <c r="DZ1001" s="70">
        <f>VLOOKUP($BS1001,'État &amp; Plan d''action'!$B$6:$AH$1113,31,FALSE)</f>
        <v>1</v>
      </c>
      <c r="EA1001" s="70">
        <f>VLOOKUP($BS1001,'État &amp; Plan d''action'!$B$6:$AH$1113,32,FALSE)</f>
        <v>1</v>
      </c>
      <c r="EB1001" s="70">
        <f>VLOOKUP($BS1001,'État &amp; Plan d''action'!$B$6:$AH$1113,33,FALSE)</f>
        <v>0</v>
      </c>
      <c r="EC1001" s="70">
        <v>0</v>
      </c>
      <c r="ED1001" s="70">
        <v>0</v>
      </c>
      <c r="EE1001" s="70">
        <v>0</v>
      </c>
      <c r="EF1001" s="70">
        <v>0</v>
      </c>
      <c r="EG1001" s="70">
        <v>0</v>
      </c>
      <c r="EH1001" s="72">
        <v>52</v>
      </c>
      <c r="EI1001" s="72">
        <v>3421</v>
      </c>
    </row>
    <row r="1002" spans="71:139" x14ac:dyDescent="0.35">
      <c r="BS1002" s="486">
        <v>38005</v>
      </c>
      <c r="BT1002" s="479" t="s">
        <v>325</v>
      </c>
      <c r="BU1002" s="479">
        <v>17</v>
      </c>
      <c r="BV1002" s="476" t="s">
        <v>1187</v>
      </c>
      <c r="BW1002" s="476" t="s">
        <v>1187</v>
      </c>
      <c r="BX1002" s="476" t="s">
        <v>1187</v>
      </c>
      <c r="BY1002" s="476" t="s">
        <v>1187</v>
      </c>
      <c r="BZ1002" s="476" t="s">
        <v>1187</v>
      </c>
      <c r="CA1002" s="476" t="s">
        <v>1187</v>
      </c>
      <c r="CB1002" s="476" t="s">
        <v>1187</v>
      </c>
      <c r="CC1002" s="476" t="s">
        <v>1187</v>
      </c>
      <c r="CD1002" s="476" t="s">
        <v>1187</v>
      </c>
      <c r="CE1002" s="476" t="s">
        <v>1188</v>
      </c>
      <c r="CF1002" s="476" t="s">
        <v>1188</v>
      </c>
      <c r="CG1002" s="476" t="s">
        <v>1188</v>
      </c>
      <c r="CH1002" s="476" t="s">
        <v>1188</v>
      </c>
      <c r="CI1002" s="476" t="s">
        <v>1188</v>
      </c>
      <c r="CJ1002" s="476" t="s">
        <v>1187</v>
      </c>
      <c r="CK1002" s="476" t="s">
        <v>1188</v>
      </c>
      <c r="CL1002" s="476" t="s">
        <v>1187</v>
      </c>
      <c r="CM1002" s="476" t="str">
        <f>IF(VLOOKUP(BS1002,'Données par municipalité'!$B$6:$E$1113,4,FALSE)="","non","oui")</f>
        <v>oui</v>
      </c>
      <c r="CN1002" s="410">
        <v>236.13238762312088</v>
      </c>
      <c r="CO1002" s="410">
        <v>229.26288543389722</v>
      </c>
      <c r="CP1002" s="410">
        <v>214.80572924589478</v>
      </c>
      <c r="CQ1002" s="410">
        <v>204.10805033226495</v>
      </c>
      <c r="CR1002" s="410">
        <v>232.05743339650948</v>
      </c>
      <c r="CS1002" s="410" t="s">
        <v>1124</v>
      </c>
      <c r="CT1002" s="410">
        <v>201.10663443459575</v>
      </c>
      <c r="CU1002" s="410" t="s">
        <v>1124</v>
      </c>
      <c r="CV1002" s="410">
        <f>IF(VLOOKUP(BS1002,'Données par municipalité'!$B$6:$F$1113,4,FALSE)="","",VLOOKUP(BS1002,'Données par municipalité'!$B$6:$F$1113,4,FALSE))</f>
        <v>242</v>
      </c>
      <c r="CW1002" s="476" t="s">
        <v>4723</v>
      </c>
      <c r="CX1002" s="483">
        <v>0</v>
      </c>
      <c r="CY1002" s="483">
        <v>0</v>
      </c>
      <c r="CZ1002" s="483">
        <v>0</v>
      </c>
      <c r="DA1002" s="483">
        <v>0</v>
      </c>
      <c r="DB1002" s="483" t="s">
        <v>1124</v>
      </c>
      <c r="DC1002" s="483">
        <v>0</v>
      </c>
      <c r="DD1002" s="483" t="s">
        <v>1124</v>
      </c>
      <c r="DE1002" s="483">
        <f>IFERROR(SUM(VLOOKUP($BS1002,'État &amp; Plan d''action'!$B$6:$Z$1113,18,FALSE),VLOOKUP($BS1002,'État &amp; Plan d''action'!$B$6:$Z$1113,20,FALSE))/(VLOOKUP($BS1002,'Données par municipalité'!$B$4:$L$1113,11,FALSE)),"")</f>
        <v>0</v>
      </c>
      <c r="DF1002" s="483">
        <f>IFERROR(SUM(VLOOKUP($BS1002,'État &amp; Plan d''action'!$B$6:$Z$1113,19,FALSE),VLOOKUP($BS1002,'État &amp; Plan d''action'!$B$6:$Z$1113,21,FALSE))/(VLOOKUP($BS1002,'Données par municipalité'!$B$4:$L$1113,11,FALSE)),"")</f>
        <v>0</v>
      </c>
      <c r="DG1002" s="476" t="s">
        <v>4723</v>
      </c>
      <c r="DH1002" s="484">
        <v>0</v>
      </c>
      <c r="DI1002" s="484">
        <v>0</v>
      </c>
      <c r="DJ1002" s="484">
        <v>0</v>
      </c>
      <c r="DK1002" s="484">
        <v>0</v>
      </c>
      <c r="DL1002" s="484" t="s">
        <v>1124</v>
      </c>
      <c r="DM1002" s="484">
        <v>0</v>
      </c>
      <c r="DN1002" s="484" t="s">
        <v>1124</v>
      </c>
      <c r="DO1002" s="484" t="s">
        <v>1124</v>
      </c>
      <c r="DP1002" s="484" t="s">
        <v>1124</v>
      </c>
      <c r="DQ1002" s="484">
        <f>IF(VLOOKUP($BS1002,'État &amp; Plan d''action'!$B$6:$AJ$1113,28,FALSE)="","",VLOOKUP($BS1002,'État &amp; Plan d''action'!$B$6:$AJ$1113,28,FALSE))</f>
        <v>0</v>
      </c>
      <c r="DR1002" s="70">
        <f>IF(VLOOKUP($BS1002,'État &amp; Plan d''action'!$B$6:$AJ$1113,29,FALSE)="","",VLOOKUP($BS1002,'État &amp; Plan d''action'!$B$6:$AJ$1113,29,FALSE))</f>
        <v>0</v>
      </c>
      <c r="DS1002" s="70">
        <f>IF(VLOOKUP($BS1002,'État &amp; Plan d''action'!$B$6:$AJ$1113,30,FALSE)="","",VLOOKUP($BS1002,'État &amp; Plan d''action'!$B$6:$AJ$1113,30,FALSE))</f>
        <v>0</v>
      </c>
      <c r="DT1002" s="70" t="s">
        <v>1124</v>
      </c>
      <c r="DU1002" s="485" t="s">
        <v>1124</v>
      </c>
      <c r="DV1002" s="485">
        <v>1.7412511959590635</v>
      </c>
      <c r="DW1002" s="70" t="s">
        <v>1124</v>
      </c>
      <c r="DX1002" s="70" t="s">
        <v>1124</v>
      </c>
      <c r="DY1002" s="70" t="s">
        <v>1124</v>
      </c>
      <c r="DZ1002" s="70">
        <f>VLOOKUP($BS1002,'État &amp; Plan d''action'!$B$6:$AH$1113,31,FALSE)</f>
        <v>0</v>
      </c>
      <c r="EA1002" s="70">
        <f>VLOOKUP($BS1002,'État &amp; Plan d''action'!$B$6:$AH$1113,32,FALSE)</f>
        <v>0</v>
      </c>
      <c r="EB1002" s="70">
        <f>VLOOKUP($BS1002,'État &amp; Plan d''action'!$B$6:$AH$1113,33,FALSE)</f>
        <v>0</v>
      </c>
      <c r="EC1002" s="70" t="s">
        <v>1124</v>
      </c>
      <c r="ED1002" s="70" t="s">
        <v>1124</v>
      </c>
      <c r="EE1002" s="70" t="s">
        <v>1124</v>
      </c>
      <c r="EF1002" s="70" t="s">
        <v>1124</v>
      </c>
      <c r="EG1002" s="70" t="s">
        <v>1124</v>
      </c>
      <c r="EH1002" s="72"/>
      <c r="EI1002" s="72">
        <v>773</v>
      </c>
    </row>
    <row r="1003" spans="71:139" x14ac:dyDescent="0.35">
      <c r="BS1003" s="486">
        <v>33007</v>
      </c>
      <c r="BT1003" s="479" t="s">
        <v>267</v>
      </c>
      <c r="BU1003" s="479">
        <v>12</v>
      </c>
      <c r="BV1003" s="476" t="s">
        <v>1188</v>
      </c>
      <c r="BW1003" s="476" t="s">
        <v>1188</v>
      </c>
      <c r="BX1003" s="476" t="s">
        <v>1188</v>
      </c>
      <c r="BY1003" s="476" t="s">
        <v>1188</v>
      </c>
      <c r="BZ1003" s="476" t="s">
        <v>1188</v>
      </c>
      <c r="CA1003" s="476" t="s">
        <v>1188</v>
      </c>
      <c r="CB1003" s="476" t="s">
        <v>1188</v>
      </c>
      <c r="CC1003" s="476" t="s">
        <v>1188</v>
      </c>
      <c r="CD1003" s="476" t="s">
        <v>1188</v>
      </c>
      <c r="CE1003" s="476" t="s">
        <v>1187</v>
      </c>
      <c r="CF1003" s="476" t="s">
        <v>1187</v>
      </c>
      <c r="CG1003" s="476" t="s">
        <v>1187</v>
      </c>
      <c r="CH1003" s="476" t="s">
        <v>1187</v>
      </c>
      <c r="CI1003" s="476" t="s">
        <v>1187</v>
      </c>
      <c r="CJ1003" s="476" t="s">
        <v>1187</v>
      </c>
      <c r="CK1003" s="476" t="s">
        <v>1187</v>
      </c>
      <c r="CL1003" s="476" t="s">
        <v>1187</v>
      </c>
      <c r="CM1003" s="476" t="str">
        <f>IF(VLOOKUP(BS1003,'Données par municipalité'!$B$6:$E$1113,4,FALSE)="","non","oui")</f>
        <v>non</v>
      </c>
      <c r="CN1003" s="410" t="s">
        <v>1124</v>
      </c>
      <c r="CO1003" s="410" t="s">
        <v>1124</v>
      </c>
      <c r="CP1003" s="410"/>
      <c r="CQ1003" s="410"/>
      <c r="CR1003" s="410"/>
      <c r="CS1003" s="410" t="s">
        <v>1124</v>
      </c>
      <c r="CT1003" s="410"/>
      <c r="CU1003" s="410" t="s">
        <v>1124</v>
      </c>
      <c r="CV1003" s="410" t="str">
        <f>IF(VLOOKUP(BS1003,'Données par municipalité'!$B$6:$F$1113,4,FALSE)="","",VLOOKUP(BS1003,'Données par municipalité'!$B$6:$F$1113,4,FALSE))</f>
        <v/>
      </c>
      <c r="CW1003" s="476" t="s">
        <v>4723</v>
      </c>
      <c r="CX1003" s="483" t="s">
        <v>1124</v>
      </c>
      <c r="CY1003" s="483" t="s">
        <v>1124</v>
      </c>
      <c r="CZ1003" s="483" t="s">
        <v>1124</v>
      </c>
      <c r="DA1003" s="483" t="s">
        <v>1124</v>
      </c>
      <c r="DB1003" s="483" t="s">
        <v>1124</v>
      </c>
      <c r="DC1003" s="483" t="s">
        <v>1124</v>
      </c>
      <c r="DD1003" s="483" t="s">
        <v>1124</v>
      </c>
      <c r="DE1003" s="483" t="str">
        <f>IFERROR(SUM(VLOOKUP($BS1003,'État &amp; Plan d''action'!$B$6:$Z$1113,18,FALSE),VLOOKUP($BS1003,'État &amp; Plan d''action'!$B$6:$Z$1113,20,FALSE))/(VLOOKUP($BS1003,'Données par municipalité'!$B$4:$L$1113,11,FALSE)),"")</f>
        <v/>
      </c>
      <c r="DF1003" s="483" t="str">
        <f>IFERROR(SUM(VLOOKUP($BS1003,'État &amp; Plan d''action'!$B$6:$Z$1113,19,FALSE),VLOOKUP($BS1003,'État &amp; Plan d''action'!$B$6:$Z$1113,21,FALSE))/(VLOOKUP($BS1003,'Données par municipalité'!$B$4:$L$1113,11,FALSE)),"")</f>
        <v/>
      </c>
      <c r="DG1003" s="476" t="s">
        <v>4723</v>
      </c>
      <c r="DH1003" s="484" t="s">
        <v>1124</v>
      </c>
      <c r="DI1003" s="484" t="s">
        <v>1124</v>
      </c>
      <c r="DJ1003" s="484">
        <v>0</v>
      </c>
      <c r="DK1003" s="484">
        <v>0</v>
      </c>
      <c r="DL1003" s="484" t="s">
        <v>1124</v>
      </c>
      <c r="DM1003" s="484" t="s">
        <v>1124</v>
      </c>
      <c r="DN1003" s="484" t="s">
        <v>1124</v>
      </c>
      <c r="DO1003" s="484" t="s">
        <v>1124</v>
      </c>
      <c r="DP1003" s="484" t="s">
        <v>1124</v>
      </c>
      <c r="DQ1003" s="484" t="str">
        <f>IF(VLOOKUP($BS1003,'État &amp; Plan d''action'!$B$6:$AJ$1113,28,FALSE)="","",VLOOKUP($BS1003,'État &amp; Plan d''action'!$B$6:$AJ$1113,28,FALSE))</f>
        <v/>
      </c>
      <c r="DR1003" s="70" t="str">
        <f>IF(VLOOKUP($BS1003,'État &amp; Plan d''action'!$B$6:$AJ$1113,29,FALSE)="","",VLOOKUP($BS1003,'État &amp; Plan d''action'!$B$6:$AJ$1113,29,FALSE))</f>
        <v/>
      </c>
      <c r="DS1003" s="70" t="str">
        <f>IF(VLOOKUP($BS1003,'État &amp; Plan d''action'!$B$6:$AJ$1113,30,FALSE)="","",VLOOKUP($BS1003,'État &amp; Plan d''action'!$B$6:$AJ$1113,30,FALSE))</f>
        <v/>
      </c>
      <c r="DT1003" s="70" t="s">
        <v>1124</v>
      </c>
      <c r="DU1003" s="485" t="s">
        <v>1124</v>
      </c>
      <c r="DV1003" s="485" t="s">
        <v>1124</v>
      </c>
      <c r="DW1003" s="70" t="s">
        <v>1124</v>
      </c>
      <c r="DX1003" s="70" t="s">
        <v>1124</v>
      </c>
      <c r="DY1003" s="70" t="s">
        <v>1124</v>
      </c>
      <c r="DZ1003" s="70" t="str">
        <f>VLOOKUP($BS1003,'État &amp; Plan d''action'!$B$6:$AH$1113,31,FALSE)</f>
        <v/>
      </c>
      <c r="EA1003" s="70" t="str">
        <f>VLOOKUP($BS1003,'État &amp; Plan d''action'!$B$6:$AH$1113,32,FALSE)</f>
        <v/>
      </c>
      <c r="EB1003" s="70" t="str">
        <f>VLOOKUP($BS1003,'État &amp; Plan d''action'!$B$6:$AH$1113,33,FALSE)</f>
        <v/>
      </c>
      <c r="EC1003" s="70" t="s">
        <v>1124</v>
      </c>
      <c r="ED1003" s="70" t="s">
        <v>1124</v>
      </c>
      <c r="EE1003" s="70" t="s">
        <v>1124</v>
      </c>
      <c r="EF1003" s="70" t="s">
        <v>1124</v>
      </c>
      <c r="EG1003" s="70" t="s">
        <v>1124</v>
      </c>
      <c r="EH1003" s="72"/>
      <c r="EI1003" s="72">
        <v>1010</v>
      </c>
    </row>
    <row r="1004" spans="71:139" x14ac:dyDescent="0.35">
      <c r="BS1004" s="486">
        <v>71015</v>
      </c>
      <c r="BT1004" s="479" t="s">
        <v>705</v>
      </c>
      <c r="BU1004" s="479">
        <v>16</v>
      </c>
      <c r="BV1004" s="476" t="s">
        <v>1188</v>
      </c>
      <c r="BW1004" s="476" t="s">
        <v>1188</v>
      </c>
      <c r="BX1004" s="476" t="s">
        <v>1188</v>
      </c>
      <c r="BY1004" s="476" t="s">
        <v>1188</v>
      </c>
      <c r="BZ1004" s="476" t="s">
        <v>1188</v>
      </c>
      <c r="CA1004" s="476" t="s">
        <v>1188</v>
      </c>
      <c r="CB1004" s="476" t="s">
        <v>1188</v>
      </c>
      <c r="CC1004" s="476" t="s">
        <v>1188</v>
      </c>
      <c r="CD1004" s="476" t="s">
        <v>1188</v>
      </c>
      <c r="CE1004" s="476" t="s">
        <v>1188</v>
      </c>
      <c r="CF1004" s="476" t="s">
        <v>1188</v>
      </c>
      <c r="CG1004" s="476" t="s">
        <v>1188</v>
      </c>
      <c r="CH1004" s="476" t="s">
        <v>1188</v>
      </c>
      <c r="CI1004" s="476" t="s">
        <v>1188</v>
      </c>
      <c r="CJ1004" s="476" t="s">
        <v>1187</v>
      </c>
      <c r="CK1004" s="476" t="s">
        <v>1187</v>
      </c>
      <c r="CL1004" s="476" t="s">
        <v>1187</v>
      </c>
      <c r="CM1004" s="476" t="str">
        <f>IF(VLOOKUP(BS1004,'Données par municipalité'!$B$6:$E$1113,4,FALSE)="","non","oui")</f>
        <v>non</v>
      </c>
      <c r="CN1004" s="410">
        <v>358.73322133773468</v>
      </c>
      <c r="CO1004" s="410">
        <v>306.1298867567499</v>
      </c>
      <c r="CP1004" s="410">
        <v>273.04648273955388</v>
      </c>
      <c r="CQ1004" s="410">
        <v>339.26405123610209</v>
      </c>
      <c r="CR1004" s="410">
        <v>293.0183255539215</v>
      </c>
      <c r="CS1004" s="410" t="s">
        <v>1124</v>
      </c>
      <c r="CT1004" s="410"/>
      <c r="CU1004" s="410" t="s">
        <v>1124</v>
      </c>
      <c r="CV1004" s="410" t="str">
        <f>IF(VLOOKUP(BS1004,'Données par municipalité'!$B$6:$F$1113,4,FALSE)="","",VLOOKUP(BS1004,'Données par municipalité'!$B$6:$F$1113,4,FALSE))</f>
        <v/>
      </c>
      <c r="CW1004" s="476" t="s">
        <v>4723</v>
      </c>
      <c r="CX1004" s="483" t="s">
        <v>1124</v>
      </c>
      <c r="CY1004" s="483">
        <v>0</v>
      </c>
      <c r="CZ1004" s="483">
        <v>0</v>
      </c>
      <c r="DA1004" s="483">
        <v>0</v>
      </c>
      <c r="DB1004" s="483" t="s">
        <v>1124</v>
      </c>
      <c r="DC1004" s="483" t="s">
        <v>1124</v>
      </c>
      <c r="DD1004" s="483" t="s">
        <v>1124</v>
      </c>
      <c r="DE1004" s="483" t="str">
        <f>IFERROR(SUM(VLOOKUP($BS1004,'État &amp; Plan d''action'!$B$6:$Z$1113,18,FALSE),VLOOKUP($BS1004,'État &amp; Plan d''action'!$B$6:$Z$1113,20,FALSE))/(VLOOKUP($BS1004,'Données par municipalité'!$B$4:$L$1113,11,FALSE)),"")</f>
        <v/>
      </c>
      <c r="DF1004" s="483" t="str">
        <f>IFERROR(SUM(VLOOKUP($BS1004,'État &amp; Plan d''action'!$B$6:$Z$1113,19,FALSE),VLOOKUP($BS1004,'État &amp; Plan d''action'!$B$6:$Z$1113,21,FALSE))/(VLOOKUP($BS1004,'Données par municipalité'!$B$4:$L$1113,11,FALSE)),"")</f>
        <v/>
      </c>
      <c r="DG1004" s="476" t="s">
        <v>4723</v>
      </c>
      <c r="DH1004" s="484" t="s">
        <v>1124</v>
      </c>
      <c r="DI1004" s="484" t="s">
        <v>1124</v>
      </c>
      <c r="DJ1004" s="484">
        <v>0</v>
      </c>
      <c r="DK1004" s="484">
        <v>0</v>
      </c>
      <c r="DL1004" s="484" t="s">
        <v>1124</v>
      </c>
      <c r="DM1004" s="484" t="s">
        <v>1124</v>
      </c>
      <c r="DN1004" s="484" t="s">
        <v>1124</v>
      </c>
      <c r="DO1004" s="484" t="s">
        <v>1124</v>
      </c>
      <c r="DP1004" s="484" t="s">
        <v>1124</v>
      </c>
      <c r="DQ1004" s="484" t="str">
        <f>IF(VLOOKUP($BS1004,'État &amp; Plan d''action'!$B$6:$AJ$1113,28,FALSE)="","",VLOOKUP($BS1004,'État &amp; Plan d''action'!$B$6:$AJ$1113,28,FALSE))</f>
        <v/>
      </c>
      <c r="DR1004" s="70" t="str">
        <f>IF(VLOOKUP($BS1004,'État &amp; Plan d''action'!$B$6:$AJ$1113,29,FALSE)="","",VLOOKUP($BS1004,'État &amp; Plan d''action'!$B$6:$AJ$1113,29,FALSE))</f>
        <v/>
      </c>
      <c r="DS1004" s="70" t="str">
        <f>IF(VLOOKUP($BS1004,'État &amp; Plan d''action'!$B$6:$AJ$1113,30,FALSE)="","",VLOOKUP($BS1004,'État &amp; Plan d''action'!$B$6:$AJ$1113,30,FALSE))</f>
        <v/>
      </c>
      <c r="DT1004" s="70" t="s">
        <v>1124</v>
      </c>
      <c r="DU1004" s="485" t="s">
        <v>1124</v>
      </c>
      <c r="DV1004" s="485" t="s">
        <v>1124</v>
      </c>
      <c r="DW1004" s="70" t="s">
        <v>1124</v>
      </c>
      <c r="DX1004" s="70" t="s">
        <v>1124</v>
      </c>
      <c r="DY1004" s="70" t="s">
        <v>1124</v>
      </c>
      <c r="DZ1004" s="70" t="str">
        <f>VLOOKUP($BS1004,'État &amp; Plan d''action'!$B$6:$AH$1113,31,FALSE)</f>
        <v/>
      </c>
      <c r="EA1004" s="70" t="str">
        <f>VLOOKUP($BS1004,'État &amp; Plan d''action'!$B$6:$AH$1113,32,FALSE)</f>
        <v/>
      </c>
      <c r="EB1004" s="70" t="str">
        <f>VLOOKUP($BS1004,'État &amp; Plan d''action'!$B$6:$AH$1113,33,FALSE)</f>
        <v/>
      </c>
      <c r="EC1004" s="70" t="s">
        <v>1124</v>
      </c>
      <c r="ED1004" s="70" t="s">
        <v>1124</v>
      </c>
      <c r="EE1004" s="70" t="s">
        <v>1124</v>
      </c>
      <c r="EF1004" s="70" t="s">
        <v>1124</v>
      </c>
      <c r="EG1004" s="70" t="s">
        <v>1124</v>
      </c>
      <c r="EH1004" s="72"/>
      <c r="EI1004" s="72">
        <v>771</v>
      </c>
    </row>
    <row r="1005" spans="71:139" x14ac:dyDescent="0.35">
      <c r="BS1005" s="486">
        <v>7070</v>
      </c>
      <c r="BT1005" s="479" t="s">
        <v>1078</v>
      </c>
      <c r="BU1005" s="479">
        <v>1</v>
      </c>
      <c r="BV1005" s="476" t="s">
        <v>1187</v>
      </c>
      <c r="BW1005" s="476" t="s">
        <v>1187</v>
      </c>
      <c r="BX1005" s="476" t="s">
        <v>1187</v>
      </c>
      <c r="BY1005" s="476" t="s">
        <v>1187</v>
      </c>
      <c r="BZ1005" s="476" t="s">
        <v>1187</v>
      </c>
      <c r="CA1005" s="476" t="s">
        <v>1187</v>
      </c>
      <c r="CB1005" s="476" t="s">
        <v>1187</v>
      </c>
      <c r="CC1005" s="476" t="s">
        <v>1187</v>
      </c>
      <c r="CD1005" s="476" t="s">
        <v>1187</v>
      </c>
      <c r="CE1005" s="476" t="s">
        <v>1188</v>
      </c>
      <c r="CF1005" s="476" t="s">
        <v>1188</v>
      </c>
      <c r="CG1005" s="476" t="s">
        <v>1188</v>
      </c>
      <c r="CH1005" s="476" t="s">
        <v>1188</v>
      </c>
      <c r="CI1005" s="476" t="s">
        <v>1188</v>
      </c>
      <c r="CJ1005" s="476" t="s">
        <v>1188</v>
      </c>
      <c r="CK1005" s="476" t="s">
        <v>1188</v>
      </c>
      <c r="CL1005" s="476" t="s">
        <v>1188</v>
      </c>
      <c r="CM1005" s="476" t="str">
        <f>IF(VLOOKUP(BS1005,'Données par municipalité'!$B$6:$E$1113,4,FALSE)="","non","oui")</f>
        <v>oui</v>
      </c>
      <c r="CN1005" s="410">
        <v>279.75438606105274</v>
      </c>
      <c r="CO1005" s="410">
        <v>401.38041132492998</v>
      </c>
      <c r="CP1005" s="410">
        <v>764.71209821514356</v>
      </c>
      <c r="CQ1005" s="410">
        <v>279.98112604784296</v>
      </c>
      <c r="CR1005" s="410">
        <v>194.0043116365851</v>
      </c>
      <c r="CS1005" s="410">
        <v>193.02749184563899</v>
      </c>
      <c r="CT1005" s="410">
        <v>186.16388055196927</v>
      </c>
      <c r="CU1005" s="410">
        <v>150</v>
      </c>
      <c r="CV1005" s="410">
        <f>IF(VLOOKUP(BS1005,'Données par municipalité'!$B$6:$F$1113,4,FALSE)="","",VLOOKUP(BS1005,'Données par municipalité'!$B$6:$F$1113,4,FALSE))</f>
        <v>145</v>
      </c>
      <c r="CW1005" s="476" t="s">
        <v>4723</v>
      </c>
      <c r="CX1005" s="483">
        <v>1</v>
      </c>
      <c r="CY1005" s="483">
        <v>0</v>
      </c>
      <c r="CZ1005" s="483">
        <v>0</v>
      </c>
      <c r="DA1005" s="483">
        <v>1</v>
      </c>
      <c r="DB1005" s="483">
        <v>1</v>
      </c>
      <c r="DC1005" s="483">
        <v>1</v>
      </c>
      <c r="DD1005" s="483" t="s">
        <v>1124</v>
      </c>
      <c r="DE1005" s="483">
        <f>IFERROR(SUM(VLOOKUP($BS1005,'État &amp; Plan d''action'!$B$6:$Z$1113,18,FALSE),VLOOKUP($BS1005,'État &amp; Plan d''action'!$B$6:$Z$1113,20,FALSE))/(VLOOKUP($BS1005,'Données par municipalité'!$B$4:$L$1113,11,FALSE)),"")</f>
        <v>0</v>
      </c>
      <c r="DF1005" s="483">
        <f>IFERROR(SUM(VLOOKUP($BS1005,'État &amp; Plan d''action'!$B$6:$Z$1113,19,FALSE),VLOOKUP($BS1005,'État &amp; Plan d''action'!$B$6:$Z$1113,21,FALSE))/(VLOOKUP($BS1005,'Données par municipalité'!$B$4:$L$1113,11,FALSE)),"")</f>
        <v>0</v>
      </c>
      <c r="DG1005" s="476" t="s">
        <v>4723</v>
      </c>
      <c r="DH1005" s="484">
        <v>0</v>
      </c>
      <c r="DI1005" s="484">
        <v>3</v>
      </c>
      <c r="DJ1005" s="484">
        <v>0</v>
      </c>
      <c r="DK1005" s="484">
        <v>0</v>
      </c>
      <c r="DL1005" s="484">
        <v>0</v>
      </c>
      <c r="DM1005" s="484">
        <v>0</v>
      </c>
      <c r="DN1005" s="484">
        <v>0</v>
      </c>
      <c r="DO1005" s="484">
        <v>0</v>
      </c>
      <c r="DP1005" s="484">
        <v>0</v>
      </c>
      <c r="DQ1005" s="484">
        <f>IF(VLOOKUP($BS1005,'État &amp; Plan d''action'!$B$6:$AJ$1113,28,FALSE)="","",VLOOKUP($BS1005,'État &amp; Plan d''action'!$B$6:$AJ$1113,28,FALSE))</f>
        <v>0</v>
      </c>
      <c r="DR1005" s="70">
        <f>IF(VLOOKUP($BS1005,'État &amp; Plan d''action'!$B$6:$AJ$1113,29,FALSE)="","",VLOOKUP($BS1005,'État &amp; Plan d''action'!$B$6:$AJ$1113,29,FALSE))</f>
        <v>0</v>
      </c>
      <c r="DS1005" s="70">
        <f>IF(VLOOKUP($BS1005,'État &amp; Plan d''action'!$B$6:$AJ$1113,30,FALSE)="","",VLOOKUP($BS1005,'État &amp; Plan d''action'!$B$6:$AJ$1113,30,FALSE))</f>
        <v>0</v>
      </c>
      <c r="DT1005" s="70">
        <v>103</v>
      </c>
      <c r="DU1005" s="485">
        <v>1.3536928741607102</v>
      </c>
      <c r="DV1005" s="485">
        <v>1.1825795888459918</v>
      </c>
      <c r="DW1005" s="70">
        <v>0</v>
      </c>
      <c r="DX1005" s="70">
        <v>0</v>
      </c>
      <c r="DY1005" s="70">
        <v>0</v>
      </c>
      <c r="DZ1005" s="70">
        <f>VLOOKUP($BS1005,'État &amp; Plan d''action'!$B$6:$AH$1113,31,FALSE)</f>
        <v>0</v>
      </c>
      <c r="EA1005" s="70">
        <f>VLOOKUP($BS1005,'État &amp; Plan d''action'!$B$6:$AH$1113,32,FALSE)</f>
        <v>0</v>
      </c>
      <c r="EB1005" s="70">
        <f>VLOOKUP($BS1005,'État &amp; Plan d''action'!$B$6:$AH$1113,33,FALSE)</f>
        <v>0</v>
      </c>
      <c r="EC1005" s="70">
        <v>0</v>
      </c>
      <c r="ED1005" s="70">
        <v>0</v>
      </c>
      <c r="EE1005" s="70">
        <v>0</v>
      </c>
      <c r="EF1005" s="70">
        <v>0</v>
      </c>
      <c r="EG1005" s="70">
        <v>0</v>
      </c>
      <c r="EH1005" s="72">
        <v>59</v>
      </c>
      <c r="EI1005" s="72">
        <v>427</v>
      </c>
    </row>
    <row r="1006" spans="71:139" x14ac:dyDescent="0.35">
      <c r="BS1006" s="486">
        <v>48045</v>
      </c>
      <c r="BT1006" s="479" t="s">
        <v>462</v>
      </c>
      <c r="BU1006" s="479">
        <v>16</v>
      </c>
      <c r="BV1006" s="476" t="s">
        <v>1188</v>
      </c>
      <c r="BW1006" s="476" t="s">
        <v>1188</v>
      </c>
      <c r="BX1006" s="476" t="s">
        <v>1188</v>
      </c>
      <c r="BY1006" s="476" t="s">
        <v>1188</v>
      </c>
      <c r="BZ1006" s="476" t="s">
        <v>1188</v>
      </c>
      <c r="CA1006" s="476" t="s">
        <v>1188</v>
      </c>
      <c r="CB1006" s="476" t="s">
        <v>1188</v>
      </c>
      <c r="CC1006" s="476" t="s">
        <v>1188</v>
      </c>
      <c r="CD1006" s="476" t="s">
        <v>1188</v>
      </c>
      <c r="CE1006" s="476" t="s">
        <v>1187</v>
      </c>
      <c r="CF1006" s="476" t="s">
        <v>1187</v>
      </c>
      <c r="CG1006" s="476" t="s">
        <v>1187</v>
      </c>
      <c r="CH1006" s="476" t="s">
        <v>1187</v>
      </c>
      <c r="CI1006" s="476" t="s">
        <v>1187</v>
      </c>
      <c r="CJ1006" s="476" t="s">
        <v>1187</v>
      </c>
      <c r="CK1006" s="476" t="s">
        <v>1187</v>
      </c>
      <c r="CL1006" s="476" t="s">
        <v>1187</v>
      </c>
      <c r="CM1006" s="476" t="str">
        <f>IF(VLOOKUP(BS1006,'Données par municipalité'!$B$6:$E$1113,4,FALSE)="","non","oui")</f>
        <v>non</v>
      </c>
      <c r="CN1006" s="410" t="s">
        <v>1124</v>
      </c>
      <c r="CO1006" s="410" t="s">
        <v>1124</v>
      </c>
      <c r="CP1006" s="410"/>
      <c r="CQ1006" s="410"/>
      <c r="CR1006" s="410"/>
      <c r="CS1006" s="410" t="s">
        <v>1124</v>
      </c>
      <c r="CT1006" s="410"/>
      <c r="CU1006" s="410" t="s">
        <v>1124</v>
      </c>
      <c r="CV1006" s="410" t="str">
        <f>IF(VLOOKUP(BS1006,'Données par municipalité'!$B$6:$F$1113,4,FALSE)="","",VLOOKUP(BS1006,'Données par municipalité'!$B$6:$F$1113,4,FALSE))</f>
        <v/>
      </c>
      <c r="CW1006" s="476" t="s">
        <v>4723</v>
      </c>
      <c r="CX1006" s="483" t="s">
        <v>1124</v>
      </c>
      <c r="CY1006" s="483" t="s">
        <v>1124</v>
      </c>
      <c r="CZ1006" s="483" t="s">
        <v>1124</v>
      </c>
      <c r="DA1006" s="483" t="s">
        <v>1124</v>
      </c>
      <c r="DB1006" s="483" t="s">
        <v>1124</v>
      </c>
      <c r="DC1006" s="483" t="s">
        <v>1124</v>
      </c>
      <c r="DD1006" s="483" t="s">
        <v>1124</v>
      </c>
      <c r="DE1006" s="483" t="str">
        <f>IFERROR(SUM(VLOOKUP($BS1006,'État &amp; Plan d''action'!$B$6:$Z$1113,18,FALSE),VLOOKUP($BS1006,'État &amp; Plan d''action'!$B$6:$Z$1113,20,FALSE))/(VLOOKUP($BS1006,'Données par municipalité'!$B$4:$L$1113,11,FALSE)),"")</f>
        <v/>
      </c>
      <c r="DF1006" s="483" t="str">
        <f>IFERROR(SUM(VLOOKUP($BS1006,'État &amp; Plan d''action'!$B$6:$Z$1113,19,FALSE),VLOOKUP($BS1006,'État &amp; Plan d''action'!$B$6:$Z$1113,21,FALSE))/(VLOOKUP($BS1006,'Données par municipalité'!$B$4:$L$1113,11,FALSE)),"")</f>
        <v/>
      </c>
      <c r="DG1006" s="476" t="s">
        <v>4723</v>
      </c>
      <c r="DH1006" s="484" t="s">
        <v>1124</v>
      </c>
      <c r="DI1006" s="484" t="s">
        <v>1124</v>
      </c>
      <c r="DJ1006" s="484">
        <v>0</v>
      </c>
      <c r="DK1006" s="484">
        <v>0</v>
      </c>
      <c r="DL1006" s="484" t="s">
        <v>1124</v>
      </c>
      <c r="DM1006" s="484" t="s">
        <v>1124</v>
      </c>
      <c r="DN1006" s="484" t="s">
        <v>1124</v>
      </c>
      <c r="DO1006" s="484" t="s">
        <v>1124</v>
      </c>
      <c r="DP1006" s="484" t="s">
        <v>1124</v>
      </c>
      <c r="DQ1006" s="484" t="str">
        <f>IF(VLOOKUP($BS1006,'État &amp; Plan d''action'!$B$6:$AJ$1113,28,FALSE)="","",VLOOKUP($BS1006,'État &amp; Plan d''action'!$B$6:$AJ$1113,28,FALSE))</f>
        <v/>
      </c>
      <c r="DR1006" s="70" t="str">
        <f>IF(VLOOKUP($BS1006,'État &amp; Plan d''action'!$B$6:$AJ$1113,29,FALSE)="","",VLOOKUP($BS1006,'État &amp; Plan d''action'!$B$6:$AJ$1113,29,FALSE))</f>
        <v/>
      </c>
      <c r="DS1006" s="70" t="str">
        <f>IF(VLOOKUP($BS1006,'État &amp; Plan d''action'!$B$6:$AJ$1113,30,FALSE)="","",VLOOKUP($BS1006,'État &amp; Plan d''action'!$B$6:$AJ$1113,30,FALSE))</f>
        <v/>
      </c>
      <c r="DT1006" s="70" t="s">
        <v>1124</v>
      </c>
      <c r="DU1006" s="485" t="s">
        <v>1124</v>
      </c>
      <c r="DV1006" s="485" t="s">
        <v>1124</v>
      </c>
      <c r="DW1006" s="70" t="s">
        <v>1124</v>
      </c>
      <c r="DX1006" s="70" t="s">
        <v>1124</v>
      </c>
      <c r="DY1006" s="70" t="s">
        <v>1124</v>
      </c>
      <c r="DZ1006" s="70" t="str">
        <f>VLOOKUP($BS1006,'État &amp; Plan d''action'!$B$6:$AH$1113,31,FALSE)</f>
        <v/>
      </c>
      <c r="EA1006" s="70" t="str">
        <f>VLOOKUP($BS1006,'État &amp; Plan d''action'!$B$6:$AH$1113,32,FALSE)</f>
        <v/>
      </c>
      <c r="EB1006" s="70" t="str">
        <f>VLOOKUP($BS1006,'État &amp; Plan d''action'!$B$6:$AH$1113,33,FALSE)</f>
        <v/>
      </c>
      <c r="EC1006" s="70" t="s">
        <v>1124</v>
      </c>
      <c r="ED1006" s="70" t="s">
        <v>1124</v>
      </c>
      <c r="EE1006" s="70" t="s">
        <v>1124</v>
      </c>
      <c r="EF1006" s="70" t="s">
        <v>1124</v>
      </c>
      <c r="EG1006" s="70" t="s">
        <v>1124</v>
      </c>
      <c r="EH1006" s="72"/>
      <c r="EI1006" s="72">
        <v>1552</v>
      </c>
    </row>
    <row r="1007" spans="71:139" x14ac:dyDescent="0.35">
      <c r="BS1007" s="486">
        <v>29005</v>
      </c>
      <c r="BT1007" s="479" t="s">
        <v>201</v>
      </c>
      <c r="BU1007" s="479">
        <v>12</v>
      </c>
      <c r="BV1007" s="476" t="s">
        <v>1187</v>
      </c>
      <c r="BW1007" s="476" t="s">
        <v>1187</v>
      </c>
      <c r="BX1007" s="476" t="s">
        <v>1187</v>
      </c>
      <c r="BY1007" s="476" t="s">
        <v>1187</v>
      </c>
      <c r="BZ1007" s="476" t="s">
        <v>1187</v>
      </c>
      <c r="CA1007" s="476" t="s">
        <v>1187</v>
      </c>
      <c r="CB1007" s="476" t="s">
        <v>1187</v>
      </c>
      <c r="CC1007" s="476" t="s">
        <v>1187</v>
      </c>
      <c r="CD1007" s="476" t="s">
        <v>1187</v>
      </c>
      <c r="CE1007" s="476" t="s">
        <v>1188</v>
      </c>
      <c r="CF1007" s="476" t="s">
        <v>1188</v>
      </c>
      <c r="CG1007" s="476" t="s">
        <v>1188</v>
      </c>
      <c r="CH1007" s="476" t="s">
        <v>1188</v>
      </c>
      <c r="CI1007" s="476" t="s">
        <v>1188</v>
      </c>
      <c r="CJ1007" s="476" t="s">
        <v>1188</v>
      </c>
      <c r="CK1007" s="476" t="s">
        <v>1188</v>
      </c>
      <c r="CL1007" s="476" t="s">
        <v>1188</v>
      </c>
      <c r="CM1007" s="476" t="str">
        <f>IF(VLOOKUP(BS1007,'Données par municipalité'!$B$6:$E$1113,4,FALSE)="","non","oui")</f>
        <v>non</v>
      </c>
      <c r="CN1007" s="410">
        <v>300.24601621470509</v>
      </c>
      <c r="CO1007" s="410">
        <v>260.61010647287475</v>
      </c>
      <c r="CP1007" s="410">
        <v>242.28221838010373</v>
      </c>
      <c r="CQ1007" s="410">
        <v>247.35204149487967</v>
      </c>
      <c r="CR1007" s="410">
        <v>260.92310147626011</v>
      </c>
      <c r="CS1007" s="410">
        <v>259.73542362990082</v>
      </c>
      <c r="CT1007" s="410">
        <v>226.86634963446662</v>
      </c>
      <c r="CU1007" s="410">
        <v>287</v>
      </c>
      <c r="CV1007" s="410" t="str">
        <f>IF(VLOOKUP(BS1007,'Données par municipalité'!$B$6:$F$1113,4,FALSE)="","",VLOOKUP(BS1007,'Données par municipalité'!$B$6:$F$1113,4,FALSE))</f>
        <v/>
      </c>
      <c r="CW1007" s="476" t="s">
        <v>4723</v>
      </c>
      <c r="CX1007" s="483">
        <v>0</v>
      </c>
      <c r="CY1007" s="483">
        <v>0</v>
      </c>
      <c r="CZ1007" s="483">
        <v>1</v>
      </c>
      <c r="DA1007" s="483">
        <v>1</v>
      </c>
      <c r="DB1007" s="483">
        <v>1</v>
      </c>
      <c r="DC1007" s="483">
        <v>1</v>
      </c>
      <c r="DD1007" s="483">
        <v>1</v>
      </c>
      <c r="DE1007" s="483" t="str">
        <f>IFERROR(SUM(VLOOKUP($BS1007,'État &amp; Plan d''action'!$B$6:$Z$1113,18,FALSE),VLOOKUP($BS1007,'État &amp; Plan d''action'!$B$6:$Z$1113,20,FALSE))/(VLOOKUP($BS1007,'Données par municipalité'!$B$4:$L$1113,11,FALSE)),"")</f>
        <v/>
      </c>
      <c r="DF1007" s="483" t="str">
        <f>IFERROR(SUM(VLOOKUP($BS1007,'État &amp; Plan d''action'!$B$6:$Z$1113,19,FALSE),VLOOKUP($BS1007,'État &amp; Plan d''action'!$B$6:$Z$1113,21,FALSE))/(VLOOKUP($BS1007,'Données par municipalité'!$B$4:$L$1113,11,FALSE)),"")</f>
        <v/>
      </c>
      <c r="DG1007" s="476" t="s">
        <v>4723</v>
      </c>
      <c r="DH1007" s="484">
        <v>0</v>
      </c>
      <c r="DI1007" s="484">
        <v>1</v>
      </c>
      <c r="DJ1007" s="484">
        <v>0</v>
      </c>
      <c r="DK1007" s="484">
        <v>0</v>
      </c>
      <c r="DL1007" s="484">
        <v>0</v>
      </c>
      <c r="DM1007" s="484">
        <v>0</v>
      </c>
      <c r="DN1007" s="484">
        <v>1</v>
      </c>
      <c r="DO1007" s="484">
        <v>0</v>
      </c>
      <c r="DP1007" s="484">
        <v>0</v>
      </c>
      <c r="DQ1007" s="484" t="str">
        <f>IF(VLOOKUP($BS1007,'État &amp; Plan d''action'!$B$6:$AJ$1113,28,FALSE)="","",VLOOKUP($BS1007,'État &amp; Plan d''action'!$B$6:$AJ$1113,28,FALSE))</f>
        <v/>
      </c>
      <c r="DR1007" s="70" t="str">
        <f>IF(VLOOKUP($BS1007,'État &amp; Plan d''action'!$B$6:$AJ$1113,29,FALSE)="","",VLOOKUP($BS1007,'État &amp; Plan d''action'!$B$6:$AJ$1113,29,FALSE))</f>
        <v/>
      </c>
      <c r="DS1007" s="70" t="str">
        <f>IF(VLOOKUP($BS1007,'État &amp; Plan d''action'!$B$6:$AJ$1113,30,FALSE)="","",VLOOKUP($BS1007,'État &amp; Plan d''action'!$B$6:$AJ$1113,30,FALSE))</f>
        <v/>
      </c>
      <c r="DT1007" s="70">
        <v>249</v>
      </c>
      <c r="DU1007" s="485">
        <v>0.77317950869650298</v>
      </c>
      <c r="DV1007" s="485" t="s">
        <v>1124</v>
      </c>
      <c r="DW1007" s="70">
        <v>1</v>
      </c>
      <c r="DX1007" s="70">
        <v>0</v>
      </c>
      <c r="DY1007" s="70">
        <v>0</v>
      </c>
      <c r="DZ1007" s="70" t="str">
        <f>VLOOKUP($BS1007,'État &amp; Plan d''action'!$B$6:$AH$1113,31,FALSE)</f>
        <v/>
      </c>
      <c r="EA1007" s="70" t="str">
        <f>VLOOKUP($BS1007,'État &amp; Plan d''action'!$B$6:$AH$1113,32,FALSE)</f>
        <v/>
      </c>
      <c r="EB1007" s="70" t="str">
        <f>VLOOKUP($BS1007,'État &amp; Plan d''action'!$B$6:$AH$1113,33,FALSE)</f>
        <v/>
      </c>
      <c r="EC1007" s="70">
        <v>7.3</v>
      </c>
      <c r="ED1007" s="70">
        <v>0</v>
      </c>
      <c r="EE1007" s="70">
        <v>7.3</v>
      </c>
      <c r="EF1007" s="70">
        <v>0</v>
      </c>
      <c r="EG1007" s="70">
        <v>0</v>
      </c>
      <c r="EH1007" s="72">
        <v>54</v>
      </c>
      <c r="EI1007" s="72">
        <v>734</v>
      </c>
    </row>
    <row r="1008" spans="71:139" x14ac:dyDescent="0.35">
      <c r="BS1008" s="486">
        <v>61027</v>
      </c>
      <c r="BT1008" s="479" t="s">
        <v>613</v>
      </c>
      <c r="BU1008" s="479">
        <v>14</v>
      </c>
      <c r="BV1008" s="476" t="s">
        <v>1187</v>
      </c>
      <c r="BW1008" s="476" t="s">
        <v>1187</v>
      </c>
      <c r="BX1008" s="476" t="s">
        <v>1187</v>
      </c>
      <c r="BY1008" s="476" t="s">
        <v>1187</v>
      </c>
      <c r="BZ1008" s="476" t="s">
        <v>1187</v>
      </c>
      <c r="CA1008" s="476" t="s">
        <v>1187</v>
      </c>
      <c r="CB1008" s="476" t="s">
        <v>1187</v>
      </c>
      <c r="CC1008" s="476" t="s">
        <v>1187</v>
      </c>
      <c r="CD1008" s="476" t="s">
        <v>1187</v>
      </c>
      <c r="CE1008" s="476" t="s">
        <v>1188</v>
      </c>
      <c r="CF1008" s="476" t="s">
        <v>1188</v>
      </c>
      <c r="CG1008" s="476" t="s">
        <v>1188</v>
      </c>
      <c r="CH1008" s="476" t="s">
        <v>1188</v>
      </c>
      <c r="CI1008" s="476" t="s">
        <v>1188</v>
      </c>
      <c r="CJ1008" s="476" t="s">
        <v>1188</v>
      </c>
      <c r="CK1008" s="476" t="s">
        <v>1188</v>
      </c>
      <c r="CL1008" s="476" t="s">
        <v>1188</v>
      </c>
      <c r="CM1008" s="476" t="str">
        <f>IF(VLOOKUP(BS1008,'Données par municipalité'!$B$6:$E$1113,4,FALSE)="","non","oui")</f>
        <v>oui</v>
      </c>
      <c r="CN1008" s="410">
        <v>344.78232953082971</v>
      </c>
      <c r="CO1008" s="410">
        <v>391.7797635044343</v>
      </c>
      <c r="CP1008" s="410">
        <v>228.01978262410762</v>
      </c>
      <c r="CQ1008" s="410">
        <v>349.9880250863589</v>
      </c>
      <c r="CR1008" s="410">
        <v>253.8969285896095</v>
      </c>
      <c r="CS1008" s="410">
        <v>273.08523019836019</v>
      </c>
      <c r="CT1008" s="410">
        <v>238.57659713230746</v>
      </c>
      <c r="CU1008" s="410">
        <v>275</v>
      </c>
      <c r="CV1008" s="410">
        <f>IF(VLOOKUP(BS1008,'Données par municipalité'!$B$6:$F$1113,4,FALSE)="","",VLOOKUP(BS1008,'Données par municipalité'!$B$6:$F$1113,4,FALSE))</f>
        <v>260</v>
      </c>
      <c r="CW1008" s="476" t="s">
        <v>4723</v>
      </c>
      <c r="CX1008" s="483">
        <v>0</v>
      </c>
      <c r="CY1008" s="483">
        <v>0</v>
      </c>
      <c r="CZ1008" s="483">
        <v>0</v>
      </c>
      <c r="DA1008" s="483">
        <v>0</v>
      </c>
      <c r="DB1008" s="483">
        <v>0</v>
      </c>
      <c r="DC1008" s="483">
        <v>0</v>
      </c>
      <c r="DD1008" s="483">
        <v>0</v>
      </c>
      <c r="DE1008" s="483">
        <f>IFERROR(SUM(VLOOKUP($BS1008,'État &amp; Plan d''action'!$B$6:$Z$1113,18,FALSE),VLOOKUP($BS1008,'État &amp; Plan d''action'!$B$6:$Z$1113,20,FALSE))/(VLOOKUP($BS1008,'Données par municipalité'!$B$4:$L$1113,11,FALSE)),"")</f>
        <v>0</v>
      </c>
      <c r="DF1008" s="483">
        <f>IFERROR(SUM(VLOOKUP($BS1008,'État &amp; Plan d''action'!$B$6:$Z$1113,19,FALSE),VLOOKUP($BS1008,'État &amp; Plan d''action'!$B$6:$Z$1113,21,FALSE))/(VLOOKUP($BS1008,'Données par municipalité'!$B$4:$L$1113,11,FALSE)),"")</f>
        <v>0</v>
      </c>
      <c r="DG1008" s="476" t="s">
        <v>4723</v>
      </c>
      <c r="DH1008" s="484">
        <v>0</v>
      </c>
      <c r="DI1008" s="484">
        <v>0</v>
      </c>
      <c r="DJ1008" s="484">
        <v>1</v>
      </c>
      <c r="DK1008" s="484">
        <v>0</v>
      </c>
      <c r="DL1008" s="484">
        <v>0</v>
      </c>
      <c r="DM1008" s="484">
        <v>0</v>
      </c>
      <c r="DN1008" s="484">
        <v>0</v>
      </c>
      <c r="DO1008" s="484">
        <v>0</v>
      </c>
      <c r="DP1008" s="484">
        <v>0</v>
      </c>
      <c r="DQ1008" s="484">
        <f>IF(VLOOKUP($BS1008,'État &amp; Plan d''action'!$B$6:$AJ$1113,28,FALSE)="","",VLOOKUP($BS1008,'État &amp; Plan d''action'!$B$6:$AJ$1113,28,FALSE))</f>
        <v>0</v>
      </c>
      <c r="DR1008" s="70">
        <f>IF(VLOOKUP($BS1008,'État &amp; Plan d''action'!$B$6:$AJ$1113,29,FALSE)="","",VLOOKUP($BS1008,'État &amp; Plan d''action'!$B$6:$AJ$1113,29,FALSE))</f>
        <v>1</v>
      </c>
      <c r="DS1008" s="70">
        <f>IF(VLOOKUP($BS1008,'État &amp; Plan d''action'!$B$6:$AJ$1113,30,FALSE)="","",VLOOKUP($BS1008,'État &amp; Plan d''action'!$B$6:$AJ$1113,30,FALSE))</f>
        <v>0</v>
      </c>
      <c r="DT1008" s="70">
        <v>186</v>
      </c>
      <c r="DU1008" s="485">
        <v>0.65985537876683109</v>
      </c>
      <c r="DV1008" s="485">
        <v>0.2965396484715877</v>
      </c>
      <c r="DW1008" s="70">
        <v>0</v>
      </c>
      <c r="DX1008" s="70">
        <v>0</v>
      </c>
      <c r="DY1008" s="70">
        <v>0</v>
      </c>
      <c r="DZ1008" s="70">
        <f>VLOOKUP($BS1008,'État &amp; Plan d''action'!$B$6:$AH$1113,31,FALSE)</f>
        <v>0</v>
      </c>
      <c r="EA1008" s="70">
        <f>VLOOKUP($BS1008,'État &amp; Plan d''action'!$B$6:$AH$1113,32,FALSE)</f>
        <v>1</v>
      </c>
      <c r="EB1008" s="70">
        <f>VLOOKUP($BS1008,'État &amp; Plan d''action'!$B$6:$AH$1113,33,FALSE)</f>
        <v>0</v>
      </c>
      <c r="EC1008" s="70">
        <v>0</v>
      </c>
      <c r="ED1008" s="70">
        <v>0</v>
      </c>
      <c r="EE1008" s="70">
        <v>0</v>
      </c>
      <c r="EF1008" s="70">
        <v>0</v>
      </c>
      <c r="EG1008" s="70">
        <v>0</v>
      </c>
      <c r="EH1008" s="72">
        <v>60</v>
      </c>
      <c r="EI1008" s="72">
        <v>3451</v>
      </c>
    </row>
    <row r="1009" spans="71:139" x14ac:dyDescent="0.35">
      <c r="BS1009" s="486">
        <v>92045</v>
      </c>
      <c r="BT1009" s="479" t="s">
        <v>952</v>
      </c>
      <c r="BU1009" s="479">
        <v>2</v>
      </c>
      <c r="BV1009" s="476" t="s">
        <v>1187</v>
      </c>
      <c r="BW1009" s="476" t="s">
        <v>1187</v>
      </c>
      <c r="BX1009" s="476" t="s">
        <v>1187</v>
      </c>
      <c r="BY1009" s="476" t="s">
        <v>1187</v>
      </c>
      <c r="BZ1009" s="476" t="s">
        <v>1187</v>
      </c>
      <c r="CA1009" s="476" t="s">
        <v>1187</v>
      </c>
      <c r="CB1009" s="476" t="s">
        <v>1187</v>
      </c>
      <c r="CC1009" s="476" t="s">
        <v>1187</v>
      </c>
      <c r="CD1009" s="476" t="s">
        <v>1187</v>
      </c>
      <c r="CE1009" s="476" t="s">
        <v>1188</v>
      </c>
      <c r="CF1009" s="476" t="s">
        <v>1188</v>
      </c>
      <c r="CG1009" s="476" t="s">
        <v>1188</v>
      </c>
      <c r="CH1009" s="476" t="s">
        <v>1188</v>
      </c>
      <c r="CI1009" s="476" t="s">
        <v>1188</v>
      </c>
      <c r="CJ1009" s="476" t="s">
        <v>1188</v>
      </c>
      <c r="CK1009" s="476" t="s">
        <v>1187</v>
      </c>
      <c r="CL1009" s="476" t="s">
        <v>1187</v>
      </c>
      <c r="CM1009" s="476" t="str">
        <f>IF(VLOOKUP(BS1009,'Données par municipalité'!$B$6:$E$1113,4,FALSE)="","non","oui")</f>
        <v>oui</v>
      </c>
      <c r="CN1009" s="410">
        <v>999.81552441139115</v>
      </c>
      <c r="CO1009" s="410">
        <v>1262.4519570162365</v>
      </c>
      <c r="CP1009" s="410">
        <v>822.40507883673342</v>
      </c>
      <c r="CQ1009" s="410">
        <v>635.60694121964991</v>
      </c>
      <c r="CR1009" s="410">
        <v>650.31146749823665</v>
      </c>
      <c r="CS1009" s="410">
        <v>500.51001821493622</v>
      </c>
      <c r="CT1009" s="410"/>
      <c r="CU1009" s="410" t="s">
        <v>1124</v>
      </c>
      <c r="CV1009" s="410">
        <f>IF(VLOOKUP(BS1009,'Données par municipalité'!$B$6:$F$1113,4,FALSE)="","",VLOOKUP(BS1009,'Données par municipalité'!$B$6:$F$1113,4,FALSE))</f>
        <v>343</v>
      </c>
      <c r="CW1009" s="476" t="s">
        <v>4723</v>
      </c>
      <c r="CX1009" s="483">
        <v>0.1</v>
      </c>
      <c r="CY1009" s="483">
        <v>1</v>
      </c>
      <c r="CZ1009" s="483">
        <v>1</v>
      </c>
      <c r="DA1009" s="483">
        <v>1</v>
      </c>
      <c r="DB1009" s="483">
        <v>1</v>
      </c>
      <c r="DC1009" s="483" t="s">
        <v>1124</v>
      </c>
      <c r="DD1009" s="483" t="s">
        <v>1124</v>
      </c>
      <c r="DE1009" s="483">
        <f>IFERROR(SUM(VLOOKUP($BS1009,'État &amp; Plan d''action'!$B$6:$Z$1113,18,FALSE),VLOOKUP($BS1009,'État &amp; Plan d''action'!$B$6:$Z$1113,20,FALSE))/(VLOOKUP($BS1009,'Données par municipalité'!$B$4:$L$1113,11,FALSE)),"")</f>
        <v>1.5</v>
      </c>
      <c r="DF1009" s="483">
        <f>IFERROR(SUM(VLOOKUP($BS1009,'État &amp; Plan d''action'!$B$6:$Z$1113,19,FALSE),VLOOKUP($BS1009,'État &amp; Plan d''action'!$B$6:$Z$1113,21,FALSE))/(VLOOKUP($BS1009,'Données par municipalité'!$B$4:$L$1113,11,FALSE)),"")</f>
        <v>0</v>
      </c>
      <c r="DG1009" s="476" t="s">
        <v>4723</v>
      </c>
      <c r="DH1009" s="484">
        <v>12</v>
      </c>
      <c r="DI1009" s="484">
        <v>19</v>
      </c>
      <c r="DJ1009" s="484">
        <v>10</v>
      </c>
      <c r="DK1009" s="484">
        <v>20</v>
      </c>
      <c r="DL1009" s="484">
        <v>1</v>
      </c>
      <c r="DM1009" s="484" t="s">
        <v>1124</v>
      </c>
      <c r="DN1009" s="484" t="s">
        <v>1124</v>
      </c>
      <c r="DO1009" s="484" t="s">
        <v>1124</v>
      </c>
      <c r="DP1009" s="484" t="s">
        <v>1124</v>
      </c>
      <c r="DQ1009" s="484">
        <f>IF(VLOOKUP($BS1009,'État &amp; Plan d''action'!$B$6:$AJ$1113,28,FALSE)="","",VLOOKUP($BS1009,'État &amp; Plan d''action'!$B$6:$AJ$1113,28,FALSE))</f>
        <v>2</v>
      </c>
      <c r="DR1009" s="70">
        <f>IF(VLOOKUP($BS1009,'État &amp; Plan d''action'!$B$6:$AJ$1113,29,FALSE)="","",VLOOKUP($BS1009,'État &amp; Plan d''action'!$B$6:$AJ$1113,29,FALSE))</f>
        <v>0</v>
      </c>
      <c r="DS1009" s="70">
        <f>IF(VLOOKUP($BS1009,'État &amp; Plan d''action'!$B$6:$AJ$1113,30,FALSE)="","",VLOOKUP($BS1009,'État &amp; Plan d''action'!$B$6:$AJ$1113,30,FALSE))</f>
        <v>0</v>
      </c>
      <c r="DT1009" s="70" t="s">
        <v>1124</v>
      </c>
      <c r="DU1009" s="485" t="s">
        <v>1124</v>
      </c>
      <c r="DV1009" s="485">
        <v>3.0484625616015677</v>
      </c>
      <c r="DW1009" s="70" t="s">
        <v>1124</v>
      </c>
      <c r="DX1009" s="70" t="s">
        <v>1124</v>
      </c>
      <c r="DY1009" s="70" t="s">
        <v>1124</v>
      </c>
      <c r="DZ1009" s="70">
        <f>VLOOKUP($BS1009,'État &amp; Plan d''action'!$B$6:$AH$1113,31,FALSE)</f>
        <v>1</v>
      </c>
      <c r="EA1009" s="70">
        <f>VLOOKUP($BS1009,'État &amp; Plan d''action'!$B$6:$AH$1113,32,FALSE)</f>
        <v>0</v>
      </c>
      <c r="EB1009" s="70">
        <f>VLOOKUP($BS1009,'État &amp; Plan d''action'!$B$6:$AH$1113,33,FALSE)</f>
        <v>0</v>
      </c>
      <c r="EC1009" s="70" t="s">
        <v>1124</v>
      </c>
      <c r="ED1009" s="70" t="s">
        <v>1124</v>
      </c>
      <c r="EE1009" s="70" t="s">
        <v>1124</v>
      </c>
      <c r="EF1009" s="70" t="s">
        <v>1124</v>
      </c>
      <c r="EG1009" s="70" t="s">
        <v>1124</v>
      </c>
      <c r="EH1009" s="72"/>
      <c r="EI1009" s="72">
        <v>697</v>
      </c>
    </row>
    <row r="1010" spans="71:139" x14ac:dyDescent="0.35">
      <c r="BS1010" s="486">
        <v>34085</v>
      </c>
      <c r="BT1010" s="479" t="s">
        <v>295</v>
      </c>
      <c r="BU1010" s="479">
        <v>3</v>
      </c>
      <c r="BV1010" s="476" t="s">
        <v>1187</v>
      </c>
      <c r="BW1010" s="476" t="s">
        <v>1187</v>
      </c>
      <c r="BX1010" s="476" t="s">
        <v>1187</v>
      </c>
      <c r="BY1010" s="476" t="s">
        <v>1187</v>
      </c>
      <c r="BZ1010" s="476" t="s">
        <v>1187</v>
      </c>
      <c r="CA1010" s="476" t="s">
        <v>1187</v>
      </c>
      <c r="CB1010" s="476" t="s">
        <v>1187</v>
      </c>
      <c r="CC1010" s="476" t="s">
        <v>1187</v>
      </c>
      <c r="CD1010" s="476" t="s">
        <v>1187</v>
      </c>
      <c r="CE1010" s="476" t="s">
        <v>1188</v>
      </c>
      <c r="CF1010" s="476" t="s">
        <v>1188</v>
      </c>
      <c r="CG1010" s="476" t="s">
        <v>1188</v>
      </c>
      <c r="CH1010" s="476" t="s">
        <v>1188</v>
      </c>
      <c r="CI1010" s="476" t="s">
        <v>1188</v>
      </c>
      <c r="CJ1010" s="476" t="s">
        <v>1188</v>
      </c>
      <c r="CK1010" s="476" t="s">
        <v>1188</v>
      </c>
      <c r="CL1010" s="476" t="s">
        <v>1188</v>
      </c>
      <c r="CM1010" s="476" t="str">
        <f>IF(VLOOKUP(BS1010,'Données par municipalité'!$B$6:$E$1113,4,FALSE)="","non","oui")</f>
        <v>oui</v>
      </c>
      <c r="CN1010" s="410">
        <v>528</v>
      </c>
      <c r="CO1010" s="410">
        <v>418.67325964827199</v>
      </c>
      <c r="CP1010" s="410">
        <v>333</v>
      </c>
      <c r="CQ1010" s="410">
        <v>456</v>
      </c>
      <c r="CR1010" s="410">
        <v>395</v>
      </c>
      <c r="CS1010" s="410">
        <v>355.11632627760002</v>
      </c>
      <c r="CT1010" s="410">
        <v>303</v>
      </c>
      <c r="CU1010" s="410">
        <v>490</v>
      </c>
      <c r="CV1010" s="410">
        <f>IF(VLOOKUP(BS1010,'Données par municipalité'!$B$6:$F$1113,4,FALSE)="","",VLOOKUP(BS1010,'Données par municipalité'!$B$6:$F$1113,4,FALSE))</f>
        <v>462</v>
      </c>
      <c r="CW1010" s="476" t="s">
        <v>4723</v>
      </c>
      <c r="CX1010" s="483">
        <v>0</v>
      </c>
      <c r="CY1010" s="483">
        <v>0.25</v>
      </c>
      <c r="CZ1010" s="483">
        <v>0.25</v>
      </c>
      <c r="DA1010" s="483">
        <v>0.26</v>
      </c>
      <c r="DB1010" s="483">
        <v>0</v>
      </c>
      <c r="DC1010" s="483">
        <v>0</v>
      </c>
      <c r="DD1010" s="483" t="s">
        <v>1124</v>
      </c>
      <c r="DE1010" s="483" t="str">
        <f>IFERROR(SUM(VLOOKUP($BS1010,'État &amp; Plan d''action'!$B$6:$Z$1113,18,FALSE),VLOOKUP($BS1010,'État &amp; Plan d''action'!$B$6:$Z$1113,20,FALSE))/(VLOOKUP($BS1010,'Données par municipalité'!$B$4:$L$1113,11,FALSE)),"")</f>
        <v/>
      </c>
      <c r="DF1010" s="483" t="str">
        <f>IFERROR(SUM(VLOOKUP($BS1010,'État &amp; Plan d''action'!$B$6:$Z$1113,19,FALSE),VLOOKUP($BS1010,'État &amp; Plan d''action'!$B$6:$Z$1113,21,FALSE))/(VLOOKUP($BS1010,'Données par municipalité'!$B$4:$L$1113,11,FALSE)),"")</f>
        <v/>
      </c>
      <c r="DG1010" s="476" t="s">
        <v>4723</v>
      </c>
      <c r="DH1010" s="484">
        <v>3</v>
      </c>
      <c r="DI1010" s="484">
        <v>3</v>
      </c>
      <c r="DJ1010" s="484">
        <v>15</v>
      </c>
      <c r="DK1010" s="484">
        <v>6</v>
      </c>
      <c r="DL1010" s="484">
        <v>9</v>
      </c>
      <c r="DM1010" s="484">
        <v>6</v>
      </c>
      <c r="DN1010" s="484">
        <v>0</v>
      </c>
      <c r="DO1010" s="484">
        <v>0</v>
      </c>
      <c r="DP1010" s="484">
        <v>0</v>
      </c>
      <c r="DQ1010" s="484">
        <f>IF(VLOOKUP($BS1010,'État &amp; Plan d''action'!$B$6:$AJ$1113,28,FALSE)="","",VLOOKUP($BS1010,'État &amp; Plan d''action'!$B$6:$AJ$1113,28,FALSE))</f>
        <v>0</v>
      </c>
      <c r="DR1010" s="70">
        <f>IF(VLOOKUP($BS1010,'État &amp; Plan d''action'!$B$6:$AJ$1113,29,FALSE)="","",VLOOKUP($BS1010,'État &amp; Plan d''action'!$B$6:$AJ$1113,29,FALSE))</f>
        <v>0</v>
      </c>
      <c r="DS1010" s="70">
        <f>IF(VLOOKUP($BS1010,'État &amp; Plan d''action'!$B$6:$AJ$1113,30,FALSE)="","",VLOOKUP($BS1010,'État &amp; Plan d''action'!$B$6:$AJ$1113,30,FALSE))</f>
        <v>0</v>
      </c>
      <c r="DT1010" s="70">
        <v>276</v>
      </c>
      <c r="DU1010" s="485" t="s">
        <v>1124</v>
      </c>
      <c r="DV1010" s="485">
        <v>0.5</v>
      </c>
      <c r="DW1010" s="70">
        <v>0</v>
      </c>
      <c r="DX1010" s="70">
        <v>0</v>
      </c>
      <c r="DY1010" s="70">
        <v>0</v>
      </c>
      <c r="DZ1010" s="70">
        <f>VLOOKUP($BS1010,'État &amp; Plan d''action'!$B$6:$AH$1113,31,FALSE)</f>
        <v>0</v>
      </c>
      <c r="EA1010" s="70">
        <f>VLOOKUP($BS1010,'État &amp; Plan d''action'!$B$6:$AH$1113,32,FALSE)</f>
        <v>0</v>
      </c>
      <c r="EB1010" s="70">
        <f>VLOOKUP($BS1010,'État &amp; Plan d''action'!$B$6:$AH$1113,33,FALSE)</f>
        <v>0</v>
      </c>
      <c r="EC1010" s="70">
        <v>0</v>
      </c>
      <c r="ED1010" s="70">
        <v>0</v>
      </c>
      <c r="EE1010" s="70">
        <v>0</v>
      </c>
      <c r="EF1010" s="70">
        <v>0</v>
      </c>
      <c r="EG1010" s="70">
        <v>0</v>
      </c>
      <c r="EH1010" s="72">
        <v>52</v>
      </c>
      <c r="EI1010" s="72">
        <v>282</v>
      </c>
    </row>
    <row r="1011" spans="71:139" x14ac:dyDescent="0.35">
      <c r="BS1011" s="486">
        <v>35027</v>
      </c>
      <c r="BT1011" s="479" t="s">
        <v>307</v>
      </c>
      <c r="BU1011" s="479">
        <v>4</v>
      </c>
      <c r="BV1011" s="476" t="s">
        <v>1187</v>
      </c>
      <c r="BW1011" s="476" t="s">
        <v>1187</v>
      </c>
      <c r="BX1011" s="476" t="s">
        <v>1187</v>
      </c>
      <c r="BY1011" s="476" t="s">
        <v>1187</v>
      </c>
      <c r="BZ1011" s="476" t="s">
        <v>1187</v>
      </c>
      <c r="CA1011" s="476" t="s">
        <v>1187</v>
      </c>
      <c r="CB1011" s="476" t="s">
        <v>1187</v>
      </c>
      <c r="CC1011" s="476" t="s">
        <v>1187</v>
      </c>
      <c r="CD1011" s="476" t="s">
        <v>1187</v>
      </c>
      <c r="CE1011" s="476" t="s">
        <v>1188</v>
      </c>
      <c r="CF1011" s="476" t="s">
        <v>1188</v>
      </c>
      <c r="CG1011" s="476" t="s">
        <v>1188</v>
      </c>
      <c r="CH1011" s="476" t="s">
        <v>1187</v>
      </c>
      <c r="CI1011" s="476" t="s">
        <v>1188</v>
      </c>
      <c r="CJ1011" s="476" t="s">
        <v>1188</v>
      </c>
      <c r="CK1011" s="476" t="s">
        <v>1187</v>
      </c>
      <c r="CL1011" s="476" t="s">
        <v>1187</v>
      </c>
      <c r="CM1011" s="476" t="str">
        <f>IF(VLOOKUP(BS1011,'Données par municipalité'!$B$6:$E$1113,4,FALSE)="","non","oui")</f>
        <v>oui</v>
      </c>
      <c r="CN1011" s="410">
        <v>635.25525227106368</v>
      </c>
      <c r="CO1011" s="410">
        <v>626.11887472251101</v>
      </c>
      <c r="CP1011" s="410">
        <v>496.90528277106858</v>
      </c>
      <c r="CQ1011" s="410"/>
      <c r="CR1011" s="410">
        <v>657.82968634210113</v>
      </c>
      <c r="CS1011" s="410">
        <v>473.99988774208668</v>
      </c>
      <c r="CT1011" s="410"/>
      <c r="CU1011" s="410" t="s">
        <v>1124</v>
      </c>
      <c r="CV1011" s="410">
        <f>IF(VLOOKUP(BS1011,'Données par municipalité'!$B$6:$F$1113,4,FALSE)="","",VLOOKUP(BS1011,'Données par municipalité'!$B$6:$F$1113,4,FALSE))</f>
        <v>522</v>
      </c>
      <c r="CW1011" s="476" t="s">
        <v>4723</v>
      </c>
      <c r="CX1011" s="483">
        <v>1</v>
      </c>
      <c r="CY1011" s="483">
        <v>1</v>
      </c>
      <c r="CZ1011" s="483" t="s">
        <v>1124</v>
      </c>
      <c r="DA1011" s="483">
        <v>1</v>
      </c>
      <c r="DB1011" s="483">
        <v>1</v>
      </c>
      <c r="DC1011" s="483" t="s">
        <v>1124</v>
      </c>
      <c r="DD1011" s="483" t="s">
        <v>1124</v>
      </c>
      <c r="DE1011" s="483">
        <f>IFERROR(SUM(VLOOKUP($BS1011,'État &amp; Plan d''action'!$B$6:$Z$1113,18,FALSE),VLOOKUP($BS1011,'État &amp; Plan d''action'!$B$6:$Z$1113,20,FALSE))/(VLOOKUP($BS1011,'Données par municipalité'!$B$4:$L$1113,11,FALSE)),"")</f>
        <v>2.4217718635989796</v>
      </c>
      <c r="DF1011" s="483">
        <f>IFERROR(SUM(VLOOKUP($BS1011,'État &amp; Plan d''action'!$B$6:$Z$1113,19,FALSE),VLOOKUP($BS1011,'État &amp; Plan d''action'!$B$6:$Z$1113,21,FALSE))/(VLOOKUP($BS1011,'Données par municipalité'!$B$4:$L$1113,11,FALSE)),"")</f>
        <v>2.4217718635989796</v>
      </c>
      <c r="DG1011" s="476" t="s">
        <v>4723</v>
      </c>
      <c r="DH1011" s="484">
        <v>7</v>
      </c>
      <c r="DI1011" s="484">
        <v>29</v>
      </c>
      <c r="DJ1011" s="484">
        <v>0</v>
      </c>
      <c r="DK1011" s="484">
        <v>10</v>
      </c>
      <c r="DL1011" s="484">
        <v>54</v>
      </c>
      <c r="DM1011" s="484" t="s">
        <v>1124</v>
      </c>
      <c r="DN1011" s="484" t="s">
        <v>1124</v>
      </c>
      <c r="DO1011" s="484" t="s">
        <v>1124</v>
      </c>
      <c r="DP1011" s="484" t="s">
        <v>1124</v>
      </c>
      <c r="DQ1011" s="484">
        <f>IF(VLOOKUP($BS1011,'État &amp; Plan d''action'!$B$6:$AJ$1113,28,FALSE)="","",VLOOKUP($BS1011,'État &amp; Plan d''action'!$B$6:$AJ$1113,28,FALSE))</f>
        <v>7</v>
      </c>
      <c r="DR1011" s="70">
        <f>IF(VLOOKUP($BS1011,'État &amp; Plan d''action'!$B$6:$AJ$1113,29,FALSE)="","",VLOOKUP($BS1011,'État &amp; Plan d''action'!$B$6:$AJ$1113,29,FALSE))</f>
        <v>30</v>
      </c>
      <c r="DS1011" s="70">
        <f>IF(VLOOKUP($BS1011,'État &amp; Plan d''action'!$B$6:$AJ$1113,30,FALSE)="","",VLOOKUP($BS1011,'État &amp; Plan d''action'!$B$6:$AJ$1113,30,FALSE))</f>
        <v>8</v>
      </c>
      <c r="DT1011" s="70" t="s">
        <v>1124</v>
      </c>
      <c r="DU1011" s="485" t="s">
        <v>1124</v>
      </c>
      <c r="DV1011" s="485">
        <v>5.8699238580775042</v>
      </c>
      <c r="DW1011" s="70" t="s">
        <v>1124</v>
      </c>
      <c r="DX1011" s="70" t="s">
        <v>1124</v>
      </c>
      <c r="DY1011" s="70" t="s">
        <v>1124</v>
      </c>
      <c r="DZ1011" s="70">
        <f>VLOOKUP($BS1011,'État &amp; Plan d''action'!$B$6:$AH$1113,31,FALSE)</f>
        <v>2</v>
      </c>
      <c r="EA1011" s="70">
        <f>VLOOKUP($BS1011,'État &amp; Plan d''action'!$B$6:$AH$1113,32,FALSE)</f>
        <v>3</v>
      </c>
      <c r="EB1011" s="70">
        <f>VLOOKUP($BS1011,'État &amp; Plan d''action'!$B$6:$AH$1113,33,FALSE)</f>
        <v>7</v>
      </c>
      <c r="EC1011" s="70" t="s">
        <v>1124</v>
      </c>
      <c r="ED1011" s="70" t="s">
        <v>1124</v>
      </c>
      <c r="EE1011" s="70" t="s">
        <v>1124</v>
      </c>
      <c r="EF1011" s="70" t="s">
        <v>1124</v>
      </c>
      <c r="EG1011" s="70" t="s">
        <v>1124</v>
      </c>
      <c r="EH1011" s="72"/>
      <c r="EI1011" s="72">
        <v>3733</v>
      </c>
    </row>
    <row r="1012" spans="71:139" x14ac:dyDescent="0.35">
      <c r="BS1012" s="486">
        <v>21005</v>
      </c>
      <c r="BT1012" s="479" t="s">
        <v>144</v>
      </c>
      <c r="BU1012" s="479">
        <v>3</v>
      </c>
      <c r="BV1012" s="476" t="s">
        <v>1187</v>
      </c>
      <c r="BW1012" s="476" t="s">
        <v>1187</v>
      </c>
      <c r="BX1012" s="476" t="s">
        <v>1187</v>
      </c>
      <c r="BY1012" s="476" t="s">
        <v>1187</v>
      </c>
      <c r="BZ1012" s="476" t="s">
        <v>1187</v>
      </c>
      <c r="CA1012" s="476" t="s">
        <v>1187</v>
      </c>
      <c r="CB1012" s="476" t="s">
        <v>1187</v>
      </c>
      <c r="CC1012" s="476" t="s">
        <v>1187</v>
      </c>
      <c r="CD1012" s="476" t="s">
        <v>1187</v>
      </c>
      <c r="CE1012" s="476" t="s">
        <v>1188</v>
      </c>
      <c r="CF1012" s="476" t="s">
        <v>1188</v>
      </c>
      <c r="CG1012" s="476" t="s">
        <v>1188</v>
      </c>
      <c r="CH1012" s="476" t="s">
        <v>1188</v>
      </c>
      <c r="CI1012" s="476" t="s">
        <v>1188</v>
      </c>
      <c r="CJ1012" s="476" t="s">
        <v>1188</v>
      </c>
      <c r="CK1012" s="476" t="s">
        <v>1188</v>
      </c>
      <c r="CL1012" s="476" t="s">
        <v>1188</v>
      </c>
      <c r="CM1012" s="476" t="str">
        <f>IF(VLOOKUP(BS1012,'Données par municipalité'!$B$6:$E$1113,4,FALSE)="","non","oui")</f>
        <v>oui</v>
      </c>
      <c r="CN1012" s="410">
        <v>532.58072003565871</v>
      </c>
      <c r="CO1012" s="410">
        <v>467.19129112487559</v>
      </c>
      <c r="CP1012" s="410">
        <v>328.95079780411476</v>
      </c>
      <c r="CQ1012" s="410">
        <v>362.07399685534051</v>
      </c>
      <c r="CR1012" s="410">
        <v>285.46229168520762</v>
      </c>
      <c r="CS1012" s="410">
        <v>281.45232556042487</v>
      </c>
      <c r="CT1012" s="410">
        <v>256.58268866257163</v>
      </c>
      <c r="CU1012" s="410">
        <v>290</v>
      </c>
      <c r="CV1012" s="410">
        <f>IF(VLOOKUP(BS1012,'Données par municipalité'!$B$6:$F$1113,4,FALSE)="","",VLOOKUP(BS1012,'Données par municipalité'!$B$6:$F$1113,4,FALSE))</f>
        <v>291</v>
      </c>
      <c r="CW1012" s="476" t="s">
        <v>4723</v>
      </c>
      <c r="CX1012" s="483">
        <v>0</v>
      </c>
      <c r="CY1012" s="483">
        <v>0</v>
      </c>
      <c r="CZ1012" s="483">
        <v>0</v>
      </c>
      <c r="DA1012" s="483">
        <v>0</v>
      </c>
      <c r="DB1012" s="483">
        <v>0</v>
      </c>
      <c r="DC1012" s="483">
        <v>0</v>
      </c>
      <c r="DD1012" s="483">
        <v>0</v>
      </c>
      <c r="DE1012" s="483">
        <f>IFERROR(SUM(VLOOKUP($BS1012,'État &amp; Plan d''action'!$B$6:$Z$1113,18,FALSE),VLOOKUP($BS1012,'État &amp; Plan d''action'!$B$6:$Z$1113,20,FALSE))/(VLOOKUP($BS1012,'Données par municipalité'!$B$4:$L$1113,11,FALSE)),"")</f>
        <v>0</v>
      </c>
      <c r="DF1012" s="483">
        <f>IFERROR(SUM(VLOOKUP($BS1012,'État &amp; Plan d''action'!$B$6:$Z$1113,19,FALSE),VLOOKUP($BS1012,'État &amp; Plan d''action'!$B$6:$Z$1113,21,FALSE))/(VLOOKUP($BS1012,'Données par municipalité'!$B$4:$L$1113,11,FALSE)),"")</f>
        <v>0</v>
      </c>
      <c r="DG1012" s="476" t="s">
        <v>4723</v>
      </c>
      <c r="DH1012" s="484">
        <v>0</v>
      </c>
      <c r="DI1012" s="484">
        <v>0</v>
      </c>
      <c r="DJ1012" s="484">
        <v>0</v>
      </c>
      <c r="DK1012" s="484">
        <v>0</v>
      </c>
      <c r="DL1012" s="484">
        <v>0</v>
      </c>
      <c r="DM1012" s="484">
        <v>0</v>
      </c>
      <c r="DN1012" s="484">
        <v>0</v>
      </c>
      <c r="DO1012" s="484">
        <v>1</v>
      </c>
      <c r="DP1012" s="484">
        <v>0</v>
      </c>
      <c r="DQ1012" s="484">
        <f>IF(VLOOKUP($BS1012,'État &amp; Plan d''action'!$B$6:$AJ$1113,28,FALSE)="","",VLOOKUP($BS1012,'État &amp; Plan d''action'!$B$6:$AJ$1113,28,FALSE))</f>
        <v>0</v>
      </c>
      <c r="DR1012" s="70">
        <f>IF(VLOOKUP($BS1012,'État &amp; Plan d''action'!$B$6:$AJ$1113,29,FALSE)="","",VLOOKUP($BS1012,'État &amp; Plan d''action'!$B$6:$AJ$1113,29,FALSE))</f>
        <v>0</v>
      </c>
      <c r="DS1012" s="70">
        <f>IF(VLOOKUP($BS1012,'État &amp; Plan d''action'!$B$6:$AJ$1113,30,FALSE)="","",VLOOKUP($BS1012,'État &amp; Plan d''action'!$B$6:$AJ$1113,30,FALSE))</f>
        <v>0</v>
      </c>
      <c r="DT1012" s="70">
        <v>252</v>
      </c>
      <c r="DU1012" s="485">
        <v>0.67855028748903401</v>
      </c>
      <c r="DV1012" s="485">
        <v>0.74776640859435883</v>
      </c>
      <c r="DW1012" s="70">
        <v>0</v>
      </c>
      <c r="DX1012" s="70">
        <v>1</v>
      </c>
      <c r="DY1012" s="70">
        <v>0</v>
      </c>
      <c r="DZ1012" s="70">
        <f>VLOOKUP($BS1012,'État &amp; Plan d''action'!$B$6:$AH$1113,31,FALSE)</f>
        <v>0</v>
      </c>
      <c r="EA1012" s="70">
        <f>VLOOKUP($BS1012,'État &amp; Plan d''action'!$B$6:$AH$1113,32,FALSE)</f>
        <v>0</v>
      </c>
      <c r="EB1012" s="70">
        <f>VLOOKUP($BS1012,'État &amp; Plan d''action'!$B$6:$AH$1113,33,FALSE)</f>
        <v>0</v>
      </c>
      <c r="EC1012" s="70">
        <v>0</v>
      </c>
      <c r="ED1012" s="70">
        <v>0</v>
      </c>
      <c r="EE1012" s="70">
        <v>0</v>
      </c>
      <c r="EF1012" s="70">
        <v>0</v>
      </c>
      <c r="EG1012" s="70">
        <v>0</v>
      </c>
      <c r="EH1012" s="72">
        <v>59</v>
      </c>
      <c r="EI1012" s="72">
        <v>1465</v>
      </c>
    </row>
    <row r="1013" spans="71:139" x14ac:dyDescent="0.35">
      <c r="BS1013" s="486">
        <v>34090</v>
      </c>
      <c r="BT1013" s="479" t="s">
        <v>296</v>
      </c>
      <c r="BU1013" s="479">
        <v>3</v>
      </c>
      <c r="BV1013" s="476" t="s">
        <v>1187</v>
      </c>
      <c r="BW1013" s="476" t="s">
        <v>1187</v>
      </c>
      <c r="BX1013" s="476" t="s">
        <v>1187</v>
      </c>
      <c r="BY1013" s="476" t="s">
        <v>1187</v>
      </c>
      <c r="BZ1013" s="476" t="s">
        <v>1187</v>
      </c>
      <c r="CA1013" s="476" t="s">
        <v>1187</v>
      </c>
      <c r="CB1013" s="476" t="s">
        <v>1187</v>
      </c>
      <c r="CC1013" s="476" t="s">
        <v>1187</v>
      </c>
      <c r="CD1013" s="476" t="s">
        <v>1187</v>
      </c>
      <c r="CE1013" s="476" t="s">
        <v>1188</v>
      </c>
      <c r="CF1013" s="476" t="s">
        <v>1188</v>
      </c>
      <c r="CG1013" s="476" t="s">
        <v>1187</v>
      </c>
      <c r="CH1013" s="476" t="s">
        <v>1188</v>
      </c>
      <c r="CI1013" s="476" t="s">
        <v>1188</v>
      </c>
      <c r="CJ1013" s="476" t="s">
        <v>1188</v>
      </c>
      <c r="CK1013" s="476" t="s">
        <v>1187</v>
      </c>
      <c r="CL1013" s="476" t="s">
        <v>1188</v>
      </c>
      <c r="CM1013" s="476" t="str">
        <f>IF(VLOOKUP(BS1013,'Données par municipalité'!$B$6:$E$1113,4,FALSE)="","non","oui")</f>
        <v>non</v>
      </c>
      <c r="CN1013" s="410">
        <v>317.28811875065975</v>
      </c>
      <c r="CO1013" s="410">
        <v>324.82051696501941</v>
      </c>
      <c r="CP1013" s="410"/>
      <c r="CQ1013" s="410">
        <v>484.08745946229772</v>
      </c>
      <c r="CR1013" s="410">
        <v>559.48021387610129</v>
      </c>
      <c r="CS1013" s="410">
        <v>483.1416149122569</v>
      </c>
      <c r="CT1013" s="410"/>
      <c r="CU1013" s="410">
        <v>735</v>
      </c>
      <c r="CV1013" s="410" t="str">
        <f>IF(VLOOKUP(BS1013,'Données par municipalité'!$B$6:$F$1113,4,FALSE)="","",VLOOKUP(BS1013,'Données par municipalité'!$B$6:$F$1113,4,FALSE))</f>
        <v/>
      </c>
      <c r="CW1013" s="476" t="s">
        <v>4723</v>
      </c>
      <c r="CX1013" s="483">
        <v>0.05</v>
      </c>
      <c r="CY1013" s="483" t="s">
        <v>1124</v>
      </c>
      <c r="CZ1013" s="483">
        <v>1</v>
      </c>
      <c r="DA1013" s="483">
        <v>1</v>
      </c>
      <c r="DB1013" s="483">
        <v>1</v>
      </c>
      <c r="DC1013" s="483" t="s">
        <v>1124</v>
      </c>
      <c r="DD1013" s="483">
        <v>0</v>
      </c>
      <c r="DE1013" s="483" t="str">
        <f>IFERROR(SUM(VLOOKUP($BS1013,'État &amp; Plan d''action'!$B$6:$Z$1113,18,FALSE),VLOOKUP($BS1013,'État &amp; Plan d''action'!$B$6:$Z$1113,20,FALSE))/(VLOOKUP($BS1013,'Données par municipalité'!$B$4:$L$1113,11,FALSE)),"")</f>
        <v/>
      </c>
      <c r="DF1013" s="483" t="str">
        <f>IFERROR(SUM(VLOOKUP($BS1013,'État &amp; Plan d''action'!$B$6:$Z$1113,19,FALSE),VLOOKUP($BS1013,'État &amp; Plan d''action'!$B$6:$Z$1113,21,FALSE))/(VLOOKUP($BS1013,'Données par municipalité'!$B$4:$L$1113,11,FALSE)),"")</f>
        <v/>
      </c>
      <c r="DG1013" s="476" t="s">
        <v>4723</v>
      </c>
      <c r="DH1013" s="484">
        <v>0</v>
      </c>
      <c r="DI1013" s="484" t="s">
        <v>1124</v>
      </c>
      <c r="DJ1013" s="484">
        <v>1</v>
      </c>
      <c r="DK1013" s="484">
        <v>1</v>
      </c>
      <c r="DL1013" s="484">
        <v>1</v>
      </c>
      <c r="DM1013" s="484" t="s">
        <v>1124</v>
      </c>
      <c r="DN1013" s="484">
        <v>1</v>
      </c>
      <c r="DO1013" s="484">
        <v>0</v>
      </c>
      <c r="DP1013" s="484">
        <v>0</v>
      </c>
      <c r="DQ1013" s="484" t="str">
        <f>IF(VLOOKUP($BS1013,'État &amp; Plan d''action'!$B$6:$AJ$1113,28,FALSE)="","",VLOOKUP($BS1013,'État &amp; Plan d''action'!$B$6:$AJ$1113,28,FALSE))</f>
        <v/>
      </c>
      <c r="DR1013" s="70" t="str">
        <f>IF(VLOOKUP($BS1013,'État &amp; Plan d''action'!$B$6:$AJ$1113,29,FALSE)="","",VLOOKUP($BS1013,'État &amp; Plan d''action'!$B$6:$AJ$1113,29,FALSE))</f>
        <v/>
      </c>
      <c r="DS1013" s="70" t="str">
        <f>IF(VLOOKUP($BS1013,'État &amp; Plan d''action'!$B$6:$AJ$1113,30,FALSE)="","",VLOOKUP($BS1013,'État &amp; Plan d''action'!$B$6:$AJ$1113,30,FALSE))</f>
        <v/>
      </c>
      <c r="DT1013" s="70">
        <v>567</v>
      </c>
      <c r="DU1013" s="485">
        <v>2.9410933533566248</v>
      </c>
      <c r="DV1013" s="485" t="s">
        <v>1124</v>
      </c>
      <c r="DW1013" s="70">
        <v>3</v>
      </c>
      <c r="DX1013" s="70">
        <v>0</v>
      </c>
      <c r="DY1013" s="70">
        <v>0</v>
      </c>
      <c r="DZ1013" s="70" t="str">
        <f>VLOOKUP($BS1013,'État &amp; Plan d''action'!$B$6:$AH$1113,31,FALSE)</f>
        <v/>
      </c>
      <c r="EA1013" s="70" t="str">
        <f>VLOOKUP($BS1013,'État &amp; Plan d''action'!$B$6:$AH$1113,32,FALSE)</f>
        <v/>
      </c>
      <c r="EB1013" s="70" t="str">
        <f>VLOOKUP($BS1013,'État &amp; Plan d''action'!$B$6:$AH$1113,33,FALSE)</f>
        <v/>
      </c>
      <c r="EC1013" s="70">
        <v>0</v>
      </c>
      <c r="ED1013" s="70">
        <v>0</v>
      </c>
      <c r="EE1013" s="70">
        <v>0</v>
      </c>
      <c r="EF1013" s="70">
        <v>0</v>
      </c>
      <c r="EG1013" s="70">
        <v>0</v>
      </c>
      <c r="EH1013" s="72">
        <v>48.790697674418603</v>
      </c>
      <c r="EI1013" s="72">
        <v>1393</v>
      </c>
    </row>
    <row r="1014" spans="71:139" x14ac:dyDescent="0.35">
      <c r="BS1014" s="486">
        <v>8073</v>
      </c>
      <c r="BT1014" s="479" t="s">
        <v>1095</v>
      </c>
      <c r="BU1014" s="479">
        <v>1</v>
      </c>
      <c r="BV1014" s="476" t="s">
        <v>1187</v>
      </c>
      <c r="BW1014" s="476" t="s">
        <v>1187</v>
      </c>
      <c r="BX1014" s="476" t="s">
        <v>1187</v>
      </c>
      <c r="BY1014" s="476" t="s">
        <v>1187</v>
      </c>
      <c r="BZ1014" s="476" t="s">
        <v>1187</v>
      </c>
      <c r="CA1014" s="476" t="s">
        <v>1187</v>
      </c>
      <c r="CB1014" s="476" t="s">
        <v>1187</v>
      </c>
      <c r="CC1014" s="476" t="s">
        <v>1187</v>
      </c>
      <c r="CD1014" s="476" t="s">
        <v>1187</v>
      </c>
      <c r="CE1014" s="476" t="s">
        <v>1187</v>
      </c>
      <c r="CF1014" s="476" t="s">
        <v>1187</v>
      </c>
      <c r="CG1014" s="476" t="s">
        <v>1187</v>
      </c>
      <c r="CH1014" s="476" t="s">
        <v>1187</v>
      </c>
      <c r="CI1014" s="476" t="s">
        <v>1187</v>
      </c>
      <c r="CJ1014" s="476" t="s">
        <v>1187</v>
      </c>
      <c r="CK1014" s="476" t="s">
        <v>1187</v>
      </c>
      <c r="CL1014" s="476" t="s">
        <v>1188</v>
      </c>
      <c r="CM1014" s="476" t="str">
        <f>IF(VLOOKUP(BS1014,'Données par municipalité'!$B$6:$E$1113,4,FALSE)="","non","oui")</f>
        <v>oui</v>
      </c>
      <c r="CN1014" s="410" t="s">
        <v>1124</v>
      </c>
      <c r="CO1014" s="410" t="s">
        <v>1124</v>
      </c>
      <c r="CP1014" s="410"/>
      <c r="CQ1014" s="410"/>
      <c r="CR1014" s="410"/>
      <c r="CS1014" s="410" t="s">
        <v>1124</v>
      </c>
      <c r="CT1014" s="410"/>
      <c r="CU1014" s="410">
        <v>362</v>
      </c>
      <c r="CV1014" s="410">
        <f>IF(VLOOKUP(BS1014,'Données par municipalité'!$B$6:$F$1113,4,FALSE)="","",VLOOKUP(BS1014,'Données par municipalité'!$B$6:$F$1113,4,FALSE))</f>
        <v>299</v>
      </c>
      <c r="CW1014" s="476" t="s">
        <v>4723</v>
      </c>
      <c r="CX1014" s="483" t="s">
        <v>1124</v>
      </c>
      <c r="CY1014" s="483" t="s">
        <v>1124</v>
      </c>
      <c r="CZ1014" s="483" t="s">
        <v>1124</v>
      </c>
      <c r="DA1014" s="483" t="s">
        <v>1124</v>
      </c>
      <c r="DB1014" s="483" t="s">
        <v>1124</v>
      </c>
      <c r="DC1014" s="483" t="s">
        <v>1124</v>
      </c>
      <c r="DD1014" s="483" t="s">
        <v>1124</v>
      </c>
      <c r="DE1014" s="483">
        <f>IFERROR(SUM(VLOOKUP($BS1014,'État &amp; Plan d''action'!$B$6:$Z$1113,18,FALSE),VLOOKUP($BS1014,'État &amp; Plan d''action'!$B$6:$Z$1113,20,FALSE))/(VLOOKUP($BS1014,'Données par municipalité'!$B$4:$L$1113,11,FALSE)),"")</f>
        <v>0</v>
      </c>
      <c r="DF1014" s="483">
        <f>IFERROR(SUM(VLOOKUP($BS1014,'État &amp; Plan d''action'!$B$6:$Z$1113,19,FALSE),VLOOKUP($BS1014,'État &amp; Plan d''action'!$B$6:$Z$1113,21,FALSE))/(VLOOKUP($BS1014,'Données par municipalité'!$B$4:$L$1113,11,FALSE)),"")</f>
        <v>0</v>
      </c>
      <c r="DG1014" s="476" t="s">
        <v>4723</v>
      </c>
      <c r="DH1014" s="484" t="s">
        <v>1124</v>
      </c>
      <c r="DI1014" s="484" t="s">
        <v>1124</v>
      </c>
      <c r="DJ1014" s="484">
        <v>0</v>
      </c>
      <c r="DK1014" s="484">
        <v>0</v>
      </c>
      <c r="DL1014" s="484" t="s">
        <v>1124</v>
      </c>
      <c r="DM1014" s="484" t="s">
        <v>1124</v>
      </c>
      <c r="DN1014" s="484">
        <v>2</v>
      </c>
      <c r="DO1014" s="484">
        <v>0</v>
      </c>
      <c r="DP1014" s="484">
        <v>0</v>
      </c>
      <c r="DQ1014" s="484">
        <f>IF(VLOOKUP($BS1014,'État &amp; Plan d''action'!$B$6:$AJ$1113,28,FALSE)="","",VLOOKUP($BS1014,'État &amp; Plan d''action'!$B$6:$AJ$1113,28,FALSE))</f>
        <v>0</v>
      </c>
      <c r="DR1014" s="70">
        <f>IF(VLOOKUP($BS1014,'État &amp; Plan d''action'!$B$6:$AJ$1113,29,FALSE)="","",VLOOKUP($BS1014,'État &amp; Plan d''action'!$B$6:$AJ$1113,29,FALSE))</f>
        <v>0</v>
      </c>
      <c r="DS1014" s="70">
        <f>IF(VLOOKUP($BS1014,'État &amp; Plan d''action'!$B$6:$AJ$1113,30,FALSE)="","",VLOOKUP($BS1014,'État &amp; Plan d''action'!$B$6:$AJ$1113,30,FALSE))</f>
        <v>0</v>
      </c>
      <c r="DT1014" s="70">
        <v>294</v>
      </c>
      <c r="DU1014" s="485">
        <v>1.112006930812139</v>
      </c>
      <c r="DV1014" s="485">
        <v>1.4117993171808405</v>
      </c>
      <c r="DW1014" s="70">
        <v>1</v>
      </c>
      <c r="DX1014" s="70">
        <v>0</v>
      </c>
      <c r="DY1014" s="70">
        <v>0</v>
      </c>
      <c r="DZ1014" s="70">
        <f>VLOOKUP($BS1014,'État &amp; Plan d''action'!$B$6:$AH$1113,31,FALSE)</f>
        <v>0</v>
      </c>
      <c r="EA1014" s="70">
        <f>VLOOKUP($BS1014,'État &amp; Plan d''action'!$B$6:$AH$1113,32,FALSE)</f>
        <v>0</v>
      </c>
      <c r="EB1014" s="70">
        <f>VLOOKUP($BS1014,'État &amp; Plan d''action'!$B$6:$AH$1113,33,FALSE)</f>
        <v>0</v>
      </c>
      <c r="EC1014" s="70">
        <v>0</v>
      </c>
      <c r="ED1014" s="70">
        <v>9.3360000000000003</v>
      </c>
      <c r="EE1014" s="70">
        <v>0</v>
      </c>
      <c r="EF1014" s="70">
        <v>0</v>
      </c>
      <c r="EG1014" s="70">
        <v>0</v>
      </c>
      <c r="EH1014" s="72">
        <v>45</v>
      </c>
      <c r="EI1014" s="72">
        <v>1564</v>
      </c>
    </row>
    <row r="1015" spans="71:139" x14ac:dyDescent="0.35">
      <c r="BS1015" s="486">
        <v>16055</v>
      </c>
      <c r="BT1015" s="479" t="s">
        <v>89</v>
      </c>
      <c r="BU1015" s="479">
        <v>3</v>
      </c>
      <c r="BV1015" s="476" t="s">
        <v>1187</v>
      </c>
      <c r="BW1015" s="476" t="s">
        <v>1187</v>
      </c>
      <c r="BX1015" s="476" t="s">
        <v>1187</v>
      </c>
      <c r="BY1015" s="476" t="s">
        <v>1187</v>
      </c>
      <c r="BZ1015" s="476" t="s">
        <v>1187</v>
      </c>
      <c r="CA1015" s="476" t="s">
        <v>1187</v>
      </c>
      <c r="CB1015" s="476" t="s">
        <v>1187</v>
      </c>
      <c r="CC1015" s="476" t="s">
        <v>1187</v>
      </c>
      <c r="CD1015" s="476" t="s">
        <v>1187</v>
      </c>
      <c r="CE1015" s="476" t="s">
        <v>1188</v>
      </c>
      <c r="CF1015" s="476" t="s">
        <v>1188</v>
      </c>
      <c r="CG1015" s="476" t="s">
        <v>1188</v>
      </c>
      <c r="CH1015" s="476" t="s">
        <v>1188</v>
      </c>
      <c r="CI1015" s="476" t="s">
        <v>1188</v>
      </c>
      <c r="CJ1015" s="476" t="s">
        <v>1188</v>
      </c>
      <c r="CK1015" s="476" t="s">
        <v>1187</v>
      </c>
      <c r="CL1015" s="476" t="s">
        <v>1188</v>
      </c>
      <c r="CM1015" s="476" t="str">
        <f>IF(VLOOKUP(BS1015,'Données par municipalité'!$B$6:$E$1113,4,FALSE)="","non","oui")</f>
        <v>oui</v>
      </c>
      <c r="CN1015" s="410">
        <v>583.17326431929996</v>
      </c>
      <c r="CO1015" s="410">
        <v>721.65357314287348</v>
      </c>
      <c r="CP1015" s="410">
        <v>729.27611379042025</v>
      </c>
      <c r="CQ1015" s="410">
        <v>512.40639883095787</v>
      </c>
      <c r="CR1015" s="410">
        <v>438.28374431720988</v>
      </c>
      <c r="CS1015" s="410">
        <v>383.89745737294629</v>
      </c>
      <c r="CT1015" s="410"/>
      <c r="CU1015" s="410">
        <v>524</v>
      </c>
      <c r="CV1015" s="410">
        <f>IF(VLOOKUP(BS1015,'Données par municipalité'!$B$6:$F$1113,4,FALSE)="","",VLOOKUP(BS1015,'Données par municipalité'!$B$6:$F$1113,4,FALSE))</f>
        <v>424</v>
      </c>
      <c r="CW1015" s="476" t="s">
        <v>4723</v>
      </c>
      <c r="CX1015" s="483">
        <v>0</v>
      </c>
      <c r="CY1015" s="483">
        <v>0</v>
      </c>
      <c r="CZ1015" s="483">
        <v>0</v>
      </c>
      <c r="DA1015" s="483">
        <v>0</v>
      </c>
      <c r="DB1015" s="483">
        <v>0</v>
      </c>
      <c r="DC1015" s="483" t="s">
        <v>1124</v>
      </c>
      <c r="DD1015" s="483">
        <v>0</v>
      </c>
      <c r="DE1015" s="483">
        <f>IFERROR(SUM(VLOOKUP($BS1015,'État &amp; Plan d''action'!$B$6:$Z$1113,18,FALSE),VLOOKUP($BS1015,'État &amp; Plan d''action'!$B$6:$Z$1113,20,FALSE))/(VLOOKUP($BS1015,'Données par municipalité'!$B$4:$L$1113,11,FALSE)),"")</f>
        <v>0</v>
      </c>
      <c r="DF1015" s="483">
        <f>IFERROR(SUM(VLOOKUP($BS1015,'État &amp; Plan d''action'!$B$6:$Z$1113,19,FALSE),VLOOKUP($BS1015,'État &amp; Plan d''action'!$B$6:$Z$1113,21,FALSE))/(VLOOKUP($BS1015,'Données par municipalité'!$B$4:$L$1113,11,FALSE)),"")</f>
        <v>0</v>
      </c>
      <c r="DG1015" s="476" t="s">
        <v>4723</v>
      </c>
      <c r="DH1015" s="484">
        <v>0</v>
      </c>
      <c r="DI1015" s="484">
        <v>0</v>
      </c>
      <c r="DJ1015" s="484">
        <v>0</v>
      </c>
      <c r="DK1015" s="484">
        <v>2</v>
      </c>
      <c r="DL1015" s="484">
        <v>1</v>
      </c>
      <c r="DM1015" s="484" t="s">
        <v>1124</v>
      </c>
      <c r="DN1015" s="484">
        <v>1</v>
      </c>
      <c r="DO1015" s="484">
        <v>0</v>
      </c>
      <c r="DP1015" s="484">
        <v>1</v>
      </c>
      <c r="DQ1015" s="484">
        <f>IF(VLOOKUP($BS1015,'État &amp; Plan d''action'!$B$6:$AJ$1113,28,FALSE)="","",VLOOKUP($BS1015,'État &amp; Plan d''action'!$B$6:$AJ$1113,28,FALSE))</f>
        <v>3</v>
      </c>
      <c r="DR1015" s="70">
        <f>IF(VLOOKUP($BS1015,'État &amp; Plan d''action'!$B$6:$AJ$1113,29,FALSE)="","",VLOOKUP($BS1015,'État &amp; Plan d''action'!$B$6:$AJ$1113,29,FALSE))</f>
        <v>0</v>
      </c>
      <c r="DS1015" s="70">
        <f>IF(VLOOKUP($BS1015,'État &amp; Plan d''action'!$B$6:$AJ$1113,30,FALSE)="","",VLOOKUP($BS1015,'État &amp; Plan d''action'!$B$6:$AJ$1113,30,FALSE))</f>
        <v>0</v>
      </c>
      <c r="DT1015" s="70">
        <v>407</v>
      </c>
      <c r="DU1015" s="485">
        <v>1.8691192386646005</v>
      </c>
      <c r="DV1015" s="485">
        <v>2.6358510953042305</v>
      </c>
      <c r="DW1015" s="70">
        <v>1</v>
      </c>
      <c r="DX1015" s="70">
        <v>0</v>
      </c>
      <c r="DY1015" s="70">
        <v>7</v>
      </c>
      <c r="DZ1015" s="70">
        <f>VLOOKUP($BS1015,'État &amp; Plan d''action'!$B$6:$AH$1113,31,FALSE)</f>
        <v>1</v>
      </c>
      <c r="EA1015" s="70">
        <f>VLOOKUP($BS1015,'État &amp; Plan d''action'!$B$6:$AH$1113,32,FALSE)</f>
        <v>0</v>
      </c>
      <c r="EB1015" s="70">
        <f>VLOOKUP($BS1015,'État &amp; Plan d''action'!$B$6:$AH$1113,33,FALSE)</f>
        <v>0</v>
      </c>
      <c r="EC1015" s="70">
        <v>0</v>
      </c>
      <c r="ED1015" s="70">
        <v>0</v>
      </c>
      <c r="EE1015" s="70">
        <v>0</v>
      </c>
      <c r="EF1015" s="70">
        <v>0</v>
      </c>
      <c r="EG1015" s="70">
        <v>0</v>
      </c>
      <c r="EH1015" s="72">
        <v>58</v>
      </c>
      <c r="EI1015" s="72">
        <v>1413</v>
      </c>
    </row>
    <row r="1016" spans="71:139" x14ac:dyDescent="0.35">
      <c r="BS1016" s="486">
        <v>70005</v>
      </c>
      <c r="BT1016" s="479" t="s">
        <v>697</v>
      </c>
      <c r="BU1016" s="479">
        <v>16</v>
      </c>
      <c r="BV1016" s="476" t="s">
        <v>1187</v>
      </c>
      <c r="BW1016" s="476" t="s">
        <v>1187</v>
      </c>
      <c r="BX1016" s="476" t="s">
        <v>1187</v>
      </c>
      <c r="BY1016" s="476" t="s">
        <v>1188</v>
      </c>
      <c r="BZ1016" s="476" t="s">
        <v>1188</v>
      </c>
      <c r="CA1016" s="476" t="s">
        <v>1188</v>
      </c>
      <c r="CB1016" s="476" t="s">
        <v>1188</v>
      </c>
      <c r="CC1016" s="476" t="s">
        <v>1188</v>
      </c>
      <c r="CD1016" s="476" t="s">
        <v>1188</v>
      </c>
      <c r="CE1016" s="476" t="s">
        <v>1188</v>
      </c>
      <c r="CF1016" s="476" t="s">
        <v>1188</v>
      </c>
      <c r="CG1016" s="476" t="s">
        <v>1187</v>
      </c>
      <c r="CH1016" s="476" t="s">
        <v>1188</v>
      </c>
      <c r="CI1016" s="476" t="s">
        <v>1187</v>
      </c>
      <c r="CJ1016" s="476" t="s">
        <v>1187</v>
      </c>
      <c r="CK1016" s="476" t="s">
        <v>1187</v>
      </c>
      <c r="CL1016" s="476" t="s">
        <v>1187</v>
      </c>
      <c r="CM1016" s="476" t="str">
        <f>IF(VLOOKUP(BS1016,'Données par municipalité'!$B$6:$E$1113,4,FALSE)="","non","oui")</f>
        <v>non</v>
      </c>
      <c r="CN1016" s="410">
        <v>584.41310389613784</v>
      </c>
      <c r="CO1016" s="410">
        <v>496.95707786755372</v>
      </c>
      <c r="CP1016" s="410"/>
      <c r="CQ1016" s="410">
        <v>374.89084421242205</v>
      </c>
      <c r="CR1016" s="410"/>
      <c r="CS1016" s="410" t="s">
        <v>1124</v>
      </c>
      <c r="CT1016" s="410"/>
      <c r="CU1016" s="410" t="s">
        <v>1124</v>
      </c>
      <c r="CV1016" s="410" t="str">
        <f>IF(VLOOKUP(BS1016,'Données par municipalité'!$B$6:$F$1113,4,FALSE)="","",VLOOKUP(BS1016,'Données par municipalité'!$B$6:$F$1113,4,FALSE))</f>
        <v/>
      </c>
      <c r="CW1016" s="476" t="s">
        <v>4723</v>
      </c>
      <c r="CX1016" s="483">
        <v>1</v>
      </c>
      <c r="CY1016" s="483" t="s">
        <v>1124</v>
      </c>
      <c r="CZ1016" s="483">
        <v>0</v>
      </c>
      <c r="DA1016" s="483" t="s">
        <v>1124</v>
      </c>
      <c r="DB1016" s="483" t="s">
        <v>1124</v>
      </c>
      <c r="DC1016" s="483" t="s">
        <v>1124</v>
      </c>
      <c r="DD1016" s="483" t="s">
        <v>1124</v>
      </c>
      <c r="DE1016" s="483" t="str">
        <f>IFERROR(SUM(VLOOKUP($BS1016,'État &amp; Plan d''action'!$B$6:$Z$1113,18,FALSE),VLOOKUP($BS1016,'État &amp; Plan d''action'!$B$6:$Z$1113,20,FALSE))/(VLOOKUP($BS1016,'Données par municipalité'!$B$4:$L$1113,11,FALSE)),"")</f>
        <v/>
      </c>
      <c r="DF1016" s="483" t="str">
        <f>IFERROR(SUM(VLOOKUP($BS1016,'État &amp; Plan d''action'!$B$6:$Z$1113,19,FALSE),VLOOKUP($BS1016,'État &amp; Plan d''action'!$B$6:$Z$1113,21,FALSE))/(VLOOKUP($BS1016,'Données par municipalité'!$B$4:$L$1113,11,FALSE)),"")</f>
        <v/>
      </c>
      <c r="DG1016" s="476" t="s">
        <v>4723</v>
      </c>
      <c r="DH1016" s="484">
        <v>0</v>
      </c>
      <c r="DI1016" s="484">
        <v>0</v>
      </c>
      <c r="DJ1016" s="484">
        <v>0</v>
      </c>
      <c r="DK1016" s="484">
        <v>0</v>
      </c>
      <c r="DL1016" s="484" t="s">
        <v>1124</v>
      </c>
      <c r="DM1016" s="484" t="s">
        <v>1124</v>
      </c>
      <c r="DN1016" s="484" t="s">
        <v>1124</v>
      </c>
      <c r="DO1016" s="484" t="s">
        <v>1124</v>
      </c>
      <c r="DP1016" s="484" t="s">
        <v>1124</v>
      </c>
      <c r="DQ1016" s="484" t="str">
        <f>IF(VLOOKUP($BS1016,'État &amp; Plan d''action'!$B$6:$AJ$1113,28,FALSE)="","",VLOOKUP($BS1016,'État &amp; Plan d''action'!$B$6:$AJ$1113,28,FALSE))</f>
        <v/>
      </c>
      <c r="DR1016" s="70" t="str">
        <f>IF(VLOOKUP($BS1016,'État &amp; Plan d''action'!$B$6:$AJ$1113,29,FALSE)="","",VLOOKUP($BS1016,'État &amp; Plan d''action'!$B$6:$AJ$1113,29,FALSE))</f>
        <v/>
      </c>
      <c r="DS1016" s="70" t="str">
        <f>IF(VLOOKUP($BS1016,'État &amp; Plan d''action'!$B$6:$AJ$1113,30,FALSE)="","",VLOOKUP($BS1016,'État &amp; Plan d''action'!$B$6:$AJ$1113,30,FALSE))</f>
        <v/>
      </c>
      <c r="DT1016" s="70" t="s">
        <v>1124</v>
      </c>
      <c r="DU1016" s="485" t="s">
        <v>1124</v>
      </c>
      <c r="DV1016" s="485" t="s">
        <v>1124</v>
      </c>
      <c r="DW1016" s="70" t="s">
        <v>1124</v>
      </c>
      <c r="DX1016" s="70" t="s">
        <v>1124</v>
      </c>
      <c r="DY1016" s="70" t="s">
        <v>1124</v>
      </c>
      <c r="DZ1016" s="70" t="str">
        <f>VLOOKUP($BS1016,'État &amp; Plan d''action'!$B$6:$AH$1113,31,FALSE)</f>
        <v/>
      </c>
      <c r="EA1016" s="70" t="str">
        <f>VLOOKUP($BS1016,'État &amp; Plan d''action'!$B$6:$AH$1113,32,FALSE)</f>
        <v/>
      </c>
      <c r="EB1016" s="70" t="str">
        <f>VLOOKUP($BS1016,'État &amp; Plan d''action'!$B$6:$AH$1113,33,FALSE)</f>
        <v/>
      </c>
      <c r="EC1016" s="70" t="s">
        <v>1124</v>
      </c>
      <c r="ED1016" s="70" t="s">
        <v>1124</v>
      </c>
      <c r="EE1016" s="70" t="s">
        <v>1124</v>
      </c>
      <c r="EF1016" s="70" t="s">
        <v>1124</v>
      </c>
      <c r="EG1016" s="70" t="s">
        <v>1124</v>
      </c>
      <c r="EH1016" s="72"/>
      <c r="EI1016" s="72">
        <v>1277</v>
      </c>
    </row>
    <row r="1017" spans="71:139" x14ac:dyDescent="0.35">
      <c r="BS1017" s="486">
        <v>56030</v>
      </c>
      <c r="BT1017" s="479" t="s">
        <v>571</v>
      </c>
      <c r="BU1017" s="479">
        <v>16</v>
      </c>
      <c r="BV1017" s="476" t="s">
        <v>1188</v>
      </c>
      <c r="BW1017" s="476" t="s">
        <v>1188</v>
      </c>
      <c r="BX1017" s="476" t="s">
        <v>1188</v>
      </c>
      <c r="BY1017" s="476" t="s">
        <v>1188</v>
      </c>
      <c r="BZ1017" s="476" t="s">
        <v>1188</v>
      </c>
      <c r="CA1017" s="476" t="s">
        <v>1188</v>
      </c>
      <c r="CB1017" s="476" t="s">
        <v>1188</v>
      </c>
      <c r="CC1017" s="476" t="s">
        <v>1188</v>
      </c>
      <c r="CD1017" s="476" t="s">
        <v>1188</v>
      </c>
      <c r="CE1017" s="476" t="s">
        <v>1187</v>
      </c>
      <c r="CF1017" s="476" t="s">
        <v>1187</v>
      </c>
      <c r="CG1017" s="476" t="s">
        <v>1187</v>
      </c>
      <c r="CH1017" s="476" t="s">
        <v>1187</v>
      </c>
      <c r="CI1017" s="476" t="s">
        <v>1187</v>
      </c>
      <c r="CJ1017" s="476" t="s">
        <v>1187</v>
      </c>
      <c r="CK1017" s="476" t="s">
        <v>1187</v>
      </c>
      <c r="CL1017" s="476" t="s">
        <v>1187</v>
      </c>
      <c r="CM1017" s="476" t="str">
        <f>IF(VLOOKUP(BS1017,'Données par municipalité'!$B$6:$E$1113,4,FALSE)="","non","oui")</f>
        <v>non</v>
      </c>
      <c r="CN1017" s="410" t="s">
        <v>1124</v>
      </c>
      <c r="CO1017" s="410" t="s">
        <v>1124</v>
      </c>
      <c r="CP1017" s="410"/>
      <c r="CQ1017" s="410"/>
      <c r="CR1017" s="410"/>
      <c r="CS1017" s="410" t="s">
        <v>1124</v>
      </c>
      <c r="CT1017" s="410"/>
      <c r="CU1017" s="410" t="s">
        <v>1124</v>
      </c>
      <c r="CV1017" s="410" t="str">
        <f>IF(VLOOKUP(BS1017,'Données par municipalité'!$B$6:$F$1113,4,FALSE)="","",VLOOKUP(BS1017,'Données par municipalité'!$B$6:$F$1113,4,FALSE))</f>
        <v/>
      </c>
      <c r="CW1017" s="476" t="s">
        <v>4723</v>
      </c>
      <c r="CX1017" s="483" t="s">
        <v>1124</v>
      </c>
      <c r="CY1017" s="483" t="s">
        <v>1124</v>
      </c>
      <c r="CZ1017" s="483" t="s">
        <v>1124</v>
      </c>
      <c r="DA1017" s="483" t="s">
        <v>1124</v>
      </c>
      <c r="DB1017" s="483" t="s">
        <v>1124</v>
      </c>
      <c r="DC1017" s="483" t="s">
        <v>1124</v>
      </c>
      <c r="DD1017" s="483" t="s">
        <v>1124</v>
      </c>
      <c r="DE1017" s="483" t="str">
        <f>IFERROR(SUM(VLOOKUP($BS1017,'État &amp; Plan d''action'!$B$6:$Z$1113,18,FALSE),VLOOKUP($BS1017,'État &amp; Plan d''action'!$B$6:$Z$1113,20,FALSE))/(VLOOKUP($BS1017,'Données par municipalité'!$B$4:$L$1113,11,FALSE)),"")</f>
        <v/>
      </c>
      <c r="DF1017" s="483" t="str">
        <f>IFERROR(SUM(VLOOKUP($BS1017,'État &amp; Plan d''action'!$B$6:$Z$1113,19,FALSE),VLOOKUP($BS1017,'État &amp; Plan d''action'!$B$6:$Z$1113,21,FALSE))/(VLOOKUP($BS1017,'Données par municipalité'!$B$4:$L$1113,11,FALSE)),"")</f>
        <v/>
      </c>
      <c r="DG1017" s="476" t="s">
        <v>4723</v>
      </c>
      <c r="DH1017" s="484" t="s">
        <v>1124</v>
      </c>
      <c r="DI1017" s="484" t="s">
        <v>1124</v>
      </c>
      <c r="DJ1017" s="484">
        <v>0</v>
      </c>
      <c r="DK1017" s="484">
        <v>0</v>
      </c>
      <c r="DL1017" s="484" t="s">
        <v>1124</v>
      </c>
      <c r="DM1017" s="484" t="s">
        <v>1124</v>
      </c>
      <c r="DN1017" s="484" t="s">
        <v>1124</v>
      </c>
      <c r="DO1017" s="484" t="s">
        <v>1124</v>
      </c>
      <c r="DP1017" s="484" t="s">
        <v>1124</v>
      </c>
      <c r="DQ1017" s="484" t="str">
        <f>IF(VLOOKUP($BS1017,'État &amp; Plan d''action'!$B$6:$AJ$1113,28,FALSE)="","",VLOOKUP($BS1017,'État &amp; Plan d''action'!$B$6:$AJ$1113,28,FALSE))</f>
        <v/>
      </c>
      <c r="DR1017" s="70" t="str">
        <f>IF(VLOOKUP($BS1017,'État &amp; Plan d''action'!$B$6:$AJ$1113,29,FALSE)="","",VLOOKUP($BS1017,'État &amp; Plan d''action'!$B$6:$AJ$1113,29,FALSE))</f>
        <v/>
      </c>
      <c r="DS1017" s="70" t="str">
        <f>IF(VLOOKUP($BS1017,'État &amp; Plan d''action'!$B$6:$AJ$1113,30,FALSE)="","",VLOOKUP($BS1017,'État &amp; Plan d''action'!$B$6:$AJ$1113,30,FALSE))</f>
        <v/>
      </c>
      <c r="DT1017" s="70" t="s">
        <v>1124</v>
      </c>
      <c r="DU1017" s="485" t="s">
        <v>1124</v>
      </c>
      <c r="DV1017" s="485" t="s">
        <v>1124</v>
      </c>
      <c r="DW1017" s="70" t="s">
        <v>1124</v>
      </c>
      <c r="DX1017" s="70" t="s">
        <v>1124</v>
      </c>
      <c r="DY1017" s="70" t="s">
        <v>1124</v>
      </c>
      <c r="DZ1017" s="70" t="str">
        <f>VLOOKUP($BS1017,'État &amp; Plan d''action'!$B$6:$AH$1113,31,FALSE)</f>
        <v/>
      </c>
      <c r="EA1017" s="70" t="str">
        <f>VLOOKUP($BS1017,'État &amp; Plan d''action'!$B$6:$AH$1113,32,FALSE)</f>
        <v/>
      </c>
      <c r="EB1017" s="70" t="str">
        <f>VLOOKUP($BS1017,'État &amp; Plan d''action'!$B$6:$AH$1113,33,FALSE)</f>
        <v/>
      </c>
      <c r="EC1017" s="70" t="s">
        <v>1124</v>
      </c>
      <c r="ED1017" s="70" t="s">
        <v>1124</v>
      </c>
      <c r="EE1017" s="70" t="s">
        <v>1124</v>
      </c>
      <c r="EF1017" s="70" t="s">
        <v>1124</v>
      </c>
      <c r="EG1017" s="70" t="s">
        <v>1124</v>
      </c>
      <c r="EH1017" s="72"/>
      <c r="EI1017" s="72">
        <v>450</v>
      </c>
    </row>
    <row r="1018" spans="71:139" x14ac:dyDescent="0.35">
      <c r="BS1018" s="486">
        <v>39135</v>
      </c>
      <c r="BT1018" s="479" t="s">
        <v>354</v>
      </c>
      <c r="BU1018" s="479">
        <v>17</v>
      </c>
      <c r="BV1018" s="476" t="s">
        <v>1188</v>
      </c>
      <c r="BW1018" s="476" t="s">
        <v>1188</v>
      </c>
      <c r="BX1018" s="476" t="s">
        <v>1188</v>
      </c>
      <c r="BY1018" s="476" t="s">
        <v>1188</v>
      </c>
      <c r="BZ1018" s="476" t="s">
        <v>1188</v>
      </c>
      <c r="CA1018" s="476" t="s">
        <v>1188</v>
      </c>
      <c r="CB1018" s="476" t="s">
        <v>1188</v>
      </c>
      <c r="CC1018" s="476" t="s">
        <v>1188</v>
      </c>
      <c r="CD1018" s="476" t="s">
        <v>1188</v>
      </c>
      <c r="CE1018" s="476" t="s">
        <v>1187</v>
      </c>
      <c r="CF1018" s="476" t="s">
        <v>1187</v>
      </c>
      <c r="CG1018" s="476" t="s">
        <v>1187</v>
      </c>
      <c r="CH1018" s="476" t="s">
        <v>1187</v>
      </c>
      <c r="CI1018" s="476" t="s">
        <v>1187</v>
      </c>
      <c r="CJ1018" s="476" t="s">
        <v>1187</v>
      </c>
      <c r="CK1018" s="476" t="s">
        <v>1187</v>
      </c>
      <c r="CL1018" s="476" t="s">
        <v>1187</v>
      </c>
      <c r="CM1018" s="476" t="str">
        <f>IF(VLOOKUP(BS1018,'Données par municipalité'!$B$6:$E$1113,4,FALSE)="","non","oui")</f>
        <v>non</v>
      </c>
      <c r="CN1018" s="410" t="s">
        <v>1124</v>
      </c>
      <c r="CO1018" s="410" t="s">
        <v>1124</v>
      </c>
      <c r="CP1018" s="410"/>
      <c r="CQ1018" s="410"/>
      <c r="CR1018" s="410"/>
      <c r="CS1018" s="410" t="s">
        <v>1124</v>
      </c>
      <c r="CT1018" s="410"/>
      <c r="CU1018" s="410" t="s">
        <v>1124</v>
      </c>
      <c r="CV1018" s="410" t="str">
        <f>IF(VLOOKUP(BS1018,'Données par municipalité'!$B$6:$F$1113,4,FALSE)="","",VLOOKUP(BS1018,'Données par municipalité'!$B$6:$F$1113,4,FALSE))</f>
        <v/>
      </c>
      <c r="CW1018" s="476" t="s">
        <v>4723</v>
      </c>
      <c r="CX1018" s="483" t="s">
        <v>1124</v>
      </c>
      <c r="CY1018" s="483" t="s">
        <v>1124</v>
      </c>
      <c r="CZ1018" s="483" t="s">
        <v>1124</v>
      </c>
      <c r="DA1018" s="483" t="s">
        <v>1124</v>
      </c>
      <c r="DB1018" s="483" t="s">
        <v>1124</v>
      </c>
      <c r="DC1018" s="483" t="s">
        <v>1124</v>
      </c>
      <c r="DD1018" s="483" t="s">
        <v>1124</v>
      </c>
      <c r="DE1018" s="483" t="str">
        <f>IFERROR(SUM(VLOOKUP($BS1018,'État &amp; Plan d''action'!$B$6:$Z$1113,18,FALSE),VLOOKUP($BS1018,'État &amp; Plan d''action'!$B$6:$Z$1113,20,FALSE))/(VLOOKUP($BS1018,'Données par municipalité'!$B$4:$L$1113,11,FALSE)),"")</f>
        <v/>
      </c>
      <c r="DF1018" s="483" t="str">
        <f>IFERROR(SUM(VLOOKUP($BS1018,'État &amp; Plan d''action'!$B$6:$Z$1113,19,FALSE),VLOOKUP($BS1018,'État &amp; Plan d''action'!$B$6:$Z$1113,21,FALSE))/(VLOOKUP($BS1018,'Données par municipalité'!$B$4:$L$1113,11,FALSE)),"")</f>
        <v/>
      </c>
      <c r="DG1018" s="476" t="s">
        <v>4723</v>
      </c>
      <c r="DH1018" s="484" t="s">
        <v>1124</v>
      </c>
      <c r="DI1018" s="484" t="s">
        <v>1124</v>
      </c>
      <c r="DJ1018" s="484">
        <v>0</v>
      </c>
      <c r="DK1018" s="484">
        <v>0</v>
      </c>
      <c r="DL1018" s="484" t="s">
        <v>1124</v>
      </c>
      <c r="DM1018" s="484" t="s">
        <v>1124</v>
      </c>
      <c r="DN1018" s="484" t="s">
        <v>1124</v>
      </c>
      <c r="DO1018" s="484" t="s">
        <v>1124</v>
      </c>
      <c r="DP1018" s="484" t="s">
        <v>1124</v>
      </c>
      <c r="DQ1018" s="484" t="str">
        <f>IF(VLOOKUP($BS1018,'État &amp; Plan d''action'!$B$6:$AJ$1113,28,FALSE)="","",VLOOKUP($BS1018,'État &amp; Plan d''action'!$B$6:$AJ$1113,28,FALSE))</f>
        <v/>
      </c>
      <c r="DR1018" s="70" t="str">
        <f>IF(VLOOKUP($BS1018,'État &amp; Plan d''action'!$B$6:$AJ$1113,29,FALSE)="","",VLOOKUP($BS1018,'État &amp; Plan d''action'!$B$6:$AJ$1113,29,FALSE))</f>
        <v/>
      </c>
      <c r="DS1018" s="70" t="str">
        <f>IF(VLOOKUP($BS1018,'État &amp; Plan d''action'!$B$6:$AJ$1113,30,FALSE)="","",VLOOKUP($BS1018,'État &amp; Plan d''action'!$B$6:$AJ$1113,30,FALSE))</f>
        <v/>
      </c>
      <c r="DT1018" s="70" t="s">
        <v>1124</v>
      </c>
      <c r="DU1018" s="485" t="s">
        <v>1124</v>
      </c>
      <c r="DV1018" s="485" t="s">
        <v>1124</v>
      </c>
      <c r="DW1018" s="70" t="s">
        <v>1124</v>
      </c>
      <c r="DX1018" s="70" t="s">
        <v>1124</v>
      </c>
      <c r="DY1018" s="70" t="s">
        <v>1124</v>
      </c>
      <c r="DZ1018" s="70" t="str">
        <f>VLOOKUP($BS1018,'État &amp; Plan d''action'!$B$6:$AH$1113,31,FALSE)</f>
        <v/>
      </c>
      <c r="EA1018" s="70" t="str">
        <f>VLOOKUP($BS1018,'État &amp; Plan d''action'!$B$6:$AH$1113,32,FALSE)</f>
        <v/>
      </c>
      <c r="EB1018" s="70" t="str">
        <f>VLOOKUP($BS1018,'État &amp; Plan d''action'!$B$6:$AH$1113,33,FALSE)</f>
        <v/>
      </c>
      <c r="EC1018" s="70" t="s">
        <v>1124</v>
      </c>
      <c r="ED1018" s="70" t="s">
        <v>1124</v>
      </c>
      <c r="EE1018" s="70" t="s">
        <v>1124</v>
      </c>
      <c r="EF1018" s="70" t="s">
        <v>1124</v>
      </c>
      <c r="EG1018" s="70" t="s">
        <v>1124</v>
      </c>
      <c r="EH1018" s="72"/>
      <c r="EI1018" s="72">
        <v>1253</v>
      </c>
    </row>
    <row r="1019" spans="71:139" x14ac:dyDescent="0.35">
      <c r="BS1019" s="486">
        <v>10060</v>
      </c>
      <c r="BT1019" s="479" t="s">
        <v>14</v>
      </c>
      <c r="BU1019" s="479">
        <v>1</v>
      </c>
      <c r="BV1019" s="476" t="s">
        <v>1188</v>
      </c>
      <c r="BW1019" s="476" t="s">
        <v>1188</v>
      </c>
      <c r="BX1019" s="476" t="s">
        <v>1188</v>
      </c>
      <c r="BY1019" s="476" t="s">
        <v>1188</v>
      </c>
      <c r="BZ1019" s="476" t="s">
        <v>1188</v>
      </c>
      <c r="CA1019" s="476" t="s">
        <v>1188</v>
      </c>
      <c r="CB1019" s="476" t="s">
        <v>1188</v>
      </c>
      <c r="CC1019" s="476" t="s">
        <v>1188</v>
      </c>
      <c r="CD1019" s="476" t="s">
        <v>1188</v>
      </c>
      <c r="CE1019" s="476" t="s">
        <v>1187</v>
      </c>
      <c r="CF1019" s="476" t="s">
        <v>1187</v>
      </c>
      <c r="CG1019" s="476" t="s">
        <v>1187</v>
      </c>
      <c r="CH1019" s="476" t="s">
        <v>1187</v>
      </c>
      <c r="CI1019" s="476" t="s">
        <v>1187</v>
      </c>
      <c r="CJ1019" s="476" t="s">
        <v>1187</v>
      </c>
      <c r="CK1019" s="476" t="s">
        <v>1187</v>
      </c>
      <c r="CL1019" s="476" t="s">
        <v>1187</v>
      </c>
      <c r="CM1019" s="476" t="str">
        <f>IF(VLOOKUP(BS1019,'Données par municipalité'!$B$6:$E$1113,4,FALSE)="","non","oui")</f>
        <v>non</v>
      </c>
      <c r="CN1019" s="410" t="s">
        <v>1124</v>
      </c>
      <c r="CO1019" s="410" t="s">
        <v>1124</v>
      </c>
      <c r="CP1019" s="410"/>
      <c r="CQ1019" s="410"/>
      <c r="CR1019" s="410"/>
      <c r="CS1019" s="410" t="s">
        <v>1124</v>
      </c>
      <c r="CT1019" s="410"/>
      <c r="CU1019" s="410" t="s">
        <v>1124</v>
      </c>
      <c r="CV1019" s="410" t="str">
        <f>IF(VLOOKUP(BS1019,'Données par municipalité'!$B$6:$F$1113,4,FALSE)="","",VLOOKUP(BS1019,'Données par municipalité'!$B$6:$F$1113,4,FALSE))</f>
        <v/>
      </c>
      <c r="CW1019" s="476" t="s">
        <v>4723</v>
      </c>
      <c r="CX1019" s="483" t="s">
        <v>1124</v>
      </c>
      <c r="CY1019" s="483" t="s">
        <v>1124</v>
      </c>
      <c r="CZ1019" s="483" t="s">
        <v>1124</v>
      </c>
      <c r="DA1019" s="483" t="s">
        <v>1124</v>
      </c>
      <c r="DB1019" s="483" t="s">
        <v>1124</v>
      </c>
      <c r="DC1019" s="483" t="s">
        <v>1124</v>
      </c>
      <c r="DD1019" s="483" t="s">
        <v>1124</v>
      </c>
      <c r="DE1019" s="483" t="str">
        <f>IFERROR(SUM(VLOOKUP($BS1019,'État &amp; Plan d''action'!$B$6:$Z$1113,18,FALSE),VLOOKUP($BS1019,'État &amp; Plan d''action'!$B$6:$Z$1113,20,FALSE))/(VLOOKUP($BS1019,'Données par municipalité'!$B$4:$L$1113,11,FALSE)),"")</f>
        <v/>
      </c>
      <c r="DF1019" s="483" t="str">
        <f>IFERROR(SUM(VLOOKUP($BS1019,'État &amp; Plan d''action'!$B$6:$Z$1113,19,FALSE),VLOOKUP($BS1019,'État &amp; Plan d''action'!$B$6:$Z$1113,21,FALSE))/(VLOOKUP($BS1019,'Données par municipalité'!$B$4:$L$1113,11,FALSE)),"")</f>
        <v/>
      </c>
      <c r="DG1019" s="476" t="s">
        <v>4723</v>
      </c>
      <c r="DH1019" s="484" t="s">
        <v>1124</v>
      </c>
      <c r="DI1019" s="484" t="s">
        <v>1124</v>
      </c>
      <c r="DJ1019" s="484">
        <v>0</v>
      </c>
      <c r="DK1019" s="484">
        <v>0</v>
      </c>
      <c r="DL1019" s="484" t="s">
        <v>1124</v>
      </c>
      <c r="DM1019" s="484" t="s">
        <v>1124</v>
      </c>
      <c r="DN1019" s="484" t="s">
        <v>1124</v>
      </c>
      <c r="DO1019" s="484" t="s">
        <v>1124</v>
      </c>
      <c r="DP1019" s="484" t="s">
        <v>1124</v>
      </c>
      <c r="DQ1019" s="484" t="str">
        <f>IF(VLOOKUP($BS1019,'État &amp; Plan d''action'!$B$6:$AJ$1113,28,FALSE)="","",VLOOKUP($BS1019,'État &amp; Plan d''action'!$B$6:$AJ$1113,28,FALSE))</f>
        <v/>
      </c>
      <c r="DR1019" s="70" t="str">
        <f>IF(VLOOKUP($BS1019,'État &amp; Plan d''action'!$B$6:$AJ$1113,29,FALSE)="","",VLOOKUP($BS1019,'État &amp; Plan d''action'!$B$6:$AJ$1113,29,FALSE))</f>
        <v/>
      </c>
      <c r="DS1019" s="70" t="str">
        <f>IF(VLOOKUP($BS1019,'État &amp; Plan d''action'!$B$6:$AJ$1113,30,FALSE)="","",VLOOKUP($BS1019,'État &amp; Plan d''action'!$B$6:$AJ$1113,30,FALSE))</f>
        <v/>
      </c>
      <c r="DT1019" s="70" t="s">
        <v>1124</v>
      </c>
      <c r="DU1019" s="485" t="s">
        <v>1124</v>
      </c>
      <c r="DV1019" s="485" t="s">
        <v>1124</v>
      </c>
      <c r="DW1019" s="70" t="s">
        <v>1124</v>
      </c>
      <c r="DX1019" s="70" t="s">
        <v>1124</v>
      </c>
      <c r="DY1019" s="70" t="s">
        <v>1124</v>
      </c>
      <c r="DZ1019" s="70" t="str">
        <f>VLOOKUP($BS1019,'État &amp; Plan d''action'!$B$6:$AH$1113,31,FALSE)</f>
        <v/>
      </c>
      <c r="EA1019" s="70" t="str">
        <f>VLOOKUP($BS1019,'État &amp; Plan d''action'!$B$6:$AH$1113,32,FALSE)</f>
        <v/>
      </c>
      <c r="EB1019" s="70" t="str">
        <f>VLOOKUP($BS1019,'État &amp; Plan d''action'!$B$6:$AH$1113,33,FALSE)</f>
        <v/>
      </c>
      <c r="EC1019" s="70" t="s">
        <v>1124</v>
      </c>
      <c r="ED1019" s="70" t="s">
        <v>1124</v>
      </c>
      <c r="EE1019" s="70" t="s">
        <v>1124</v>
      </c>
      <c r="EF1019" s="70" t="s">
        <v>1124</v>
      </c>
      <c r="EG1019" s="70" t="s">
        <v>1124</v>
      </c>
      <c r="EH1019" s="72"/>
      <c r="EI1019" s="72">
        <v>832</v>
      </c>
    </row>
    <row r="1020" spans="71:139" x14ac:dyDescent="0.35">
      <c r="BS1020" s="486">
        <v>54065</v>
      </c>
      <c r="BT1020" s="479" t="s">
        <v>549</v>
      </c>
      <c r="BU1020" s="479">
        <v>16</v>
      </c>
      <c r="BV1020" s="476" t="s">
        <v>1188</v>
      </c>
      <c r="BW1020" s="476" t="s">
        <v>1188</v>
      </c>
      <c r="BX1020" s="476" t="s">
        <v>1188</v>
      </c>
      <c r="BY1020" s="476" t="s">
        <v>1188</v>
      </c>
      <c r="BZ1020" s="476" t="s">
        <v>1188</v>
      </c>
      <c r="CA1020" s="476" t="s">
        <v>1188</v>
      </c>
      <c r="CB1020" s="476" t="s">
        <v>1188</v>
      </c>
      <c r="CC1020" s="476" t="s">
        <v>1188</v>
      </c>
      <c r="CD1020" s="476" t="s">
        <v>1188</v>
      </c>
      <c r="CE1020" s="476" t="s">
        <v>1187</v>
      </c>
      <c r="CF1020" s="476" t="s">
        <v>1187</v>
      </c>
      <c r="CG1020" s="476" t="s">
        <v>1187</v>
      </c>
      <c r="CH1020" s="476" t="s">
        <v>1187</v>
      </c>
      <c r="CI1020" s="476" t="s">
        <v>1187</v>
      </c>
      <c r="CJ1020" s="476" t="s">
        <v>1187</v>
      </c>
      <c r="CK1020" s="476" t="s">
        <v>1187</v>
      </c>
      <c r="CL1020" s="476" t="s">
        <v>1187</v>
      </c>
      <c r="CM1020" s="476" t="str">
        <f>IF(VLOOKUP(BS1020,'Données par municipalité'!$B$6:$E$1113,4,FALSE)="","non","oui")</f>
        <v>non</v>
      </c>
      <c r="CN1020" s="410" t="s">
        <v>1124</v>
      </c>
      <c r="CO1020" s="410" t="s">
        <v>1124</v>
      </c>
      <c r="CP1020" s="410"/>
      <c r="CQ1020" s="410"/>
      <c r="CR1020" s="410"/>
      <c r="CS1020" s="410" t="s">
        <v>1124</v>
      </c>
      <c r="CT1020" s="410"/>
      <c r="CU1020" s="410" t="s">
        <v>1124</v>
      </c>
      <c r="CV1020" s="410" t="str">
        <f>IF(VLOOKUP(BS1020,'Données par municipalité'!$B$6:$F$1113,4,FALSE)="","",VLOOKUP(BS1020,'Données par municipalité'!$B$6:$F$1113,4,FALSE))</f>
        <v/>
      </c>
      <c r="CW1020" s="476" t="s">
        <v>4723</v>
      </c>
      <c r="CX1020" s="483" t="s">
        <v>1124</v>
      </c>
      <c r="CY1020" s="483" t="s">
        <v>1124</v>
      </c>
      <c r="CZ1020" s="483" t="s">
        <v>1124</v>
      </c>
      <c r="DA1020" s="483" t="s">
        <v>1124</v>
      </c>
      <c r="DB1020" s="483" t="s">
        <v>1124</v>
      </c>
      <c r="DC1020" s="483" t="s">
        <v>1124</v>
      </c>
      <c r="DD1020" s="483" t="s">
        <v>1124</v>
      </c>
      <c r="DE1020" s="483" t="str">
        <f>IFERROR(SUM(VLOOKUP($BS1020,'État &amp; Plan d''action'!$B$6:$Z$1113,18,FALSE),VLOOKUP($BS1020,'État &amp; Plan d''action'!$B$6:$Z$1113,20,FALSE))/(VLOOKUP($BS1020,'Données par municipalité'!$B$4:$L$1113,11,FALSE)),"")</f>
        <v/>
      </c>
      <c r="DF1020" s="483" t="str">
        <f>IFERROR(SUM(VLOOKUP($BS1020,'État &amp; Plan d''action'!$B$6:$Z$1113,19,FALSE),VLOOKUP($BS1020,'État &amp; Plan d''action'!$B$6:$Z$1113,21,FALSE))/(VLOOKUP($BS1020,'Données par municipalité'!$B$4:$L$1113,11,FALSE)),"")</f>
        <v/>
      </c>
      <c r="DG1020" s="476" t="s">
        <v>4723</v>
      </c>
      <c r="DH1020" s="484" t="s">
        <v>1124</v>
      </c>
      <c r="DI1020" s="484" t="s">
        <v>1124</v>
      </c>
      <c r="DJ1020" s="484">
        <v>0</v>
      </c>
      <c r="DK1020" s="484">
        <v>0</v>
      </c>
      <c r="DL1020" s="484" t="s">
        <v>1124</v>
      </c>
      <c r="DM1020" s="484" t="s">
        <v>1124</v>
      </c>
      <c r="DN1020" s="484" t="s">
        <v>1124</v>
      </c>
      <c r="DO1020" s="484" t="s">
        <v>1124</v>
      </c>
      <c r="DP1020" s="484" t="s">
        <v>1124</v>
      </c>
      <c r="DQ1020" s="484" t="str">
        <f>IF(VLOOKUP($BS1020,'État &amp; Plan d''action'!$B$6:$AJ$1113,28,FALSE)="","",VLOOKUP($BS1020,'État &amp; Plan d''action'!$B$6:$AJ$1113,28,FALSE))</f>
        <v/>
      </c>
      <c r="DR1020" s="70" t="str">
        <f>IF(VLOOKUP($BS1020,'État &amp; Plan d''action'!$B$6:$AJ$1113,29,FALSE)="","",VLOOKUP($BS1020,'État &amp; Plan d''action'!$B$6:$AJ$1113,29,FALSE))</f>
        <v/>
      </c>
      <c r="DS1020" s="70" t="str">
        <f>IF(VLOOKUP($BS1020,'État &amp; Plan d''action'!$B$6:$AJ$1113,30,FALSE)="","",VLOOKUP($BS1020,'État &amp; Plan d''action'!$B$6:$AJ$1113,30,FALSE))</f>
        <v/>
      </c>
      <c r="DT1020" s="70" t="s">
        <v>1124</v>
      </c>
      <c r="DU1020" s="485" t="s">
        <v>1124</v>
      </c>
      <c r="DV1020" s="485" t="s">
        <v>1124</v>
      </c>
      <c r="DW1020" s="70" t="s">
        <v>1124</v>
      </c>
      <c r="DX1020" s="70" t="s">
        <v>1124</v>
      </c>
      <c r="DY1020" s="70" t="s">
        <v>1124</v>
      </c>
      <c r="DZ1020" s="70" t="str">
        <f>VLOOKUP($BS1020,'État &amp; Plan d''action'!$B$6:$AH$1113,31,FALSE)</f>
        <v/>
      </c>
      <c r="EA1020" s="70" t="str">
        <f>VLOOKUP($BS1020,'État &amp; Plan d''action'!$B$6:$AH$1113,32,FALSE)</f>
        <v/>
      </c>
      <c r="EB1020" s="70" t="str">
        <f>VLOOKUP($BS1020,'État &amp; Plan d''action'!$B$6:$AH$1113,33,FALSE)</f>
        <v/>
      </c>
      <c r="EC1020" s="70" t="s">
        <v>1124</v>
      </c>
      <c r="ED1020" s="70" t="s">
        <v>1124</v>
      </c>
      <c r="EE1020" s="70" t="s">
        <v>1124</v>
      </c>
      <c r="EF1020" s="70" t="s">
        <v>1124</v>
      </c>
      <c r="EG1020" s="70" t="s">
        <v>1124</v>
      </c>
      <c r="EH1020" s="72"/>
      <c r="EI1020" s="72">
        <v>1813</v>
      </c>
    </row>
    <row r="1021" spans="71:139" x14ac:dyDescent="0.35">
      <c r="BS1021" s="486">
        <v>19117</v>
      </c>
      <c r="BT1021" s="479" t="s">
        <v>137</v>
      </c>
      <c r="BU1021" s="479">
        <v>12</v>
      </c>
      <c r="BV1021" s="476" t="s">
        <v>1188</v>
      </c>
      <c r="BW1021" s="476" t="s">
        <v>1188</v>
      </c>
      <c r="BX1021" s="476" t="s">
        <v>1188</v>
      </c>
      <c r="BY1021" s="476" t="s">
        <v>1188</v>
      </c>
      <c r="BZ1021" s="476" t="s">
        <v>1188</v>
      </c>
      <c r="CA1021" s="476" t="s">
        <v>1188</v>
      </c>
      <c r="CB1021" s="476" t="s">
        <v>1188</v>
      </c>
      <c r="CC1021" s="476" t="s">
        <v>1188</v>
      </c>
      <c r="CD1021" s="476" t="s">
        <v>1188</v>
      </c>
      <c r="CE1021" s="476" t="s">
        <v>1187</v>
      </c>
      <c r="CF1021" s="476" t="s">
        <v>1187</v>
      </c>
      <c r="CG1021" s="476" t="s">
        <v>1187</v>
      </c>
      <c r="CH1021" s="476" t="s">
        <v>1187</v>
      </c>
      <c r="CI1021" s="476" t="s">
        <v>1187</v>
      </c>
      <c r="CJ1021" s="476" t="s">
        <v>1187</v>
      </c>
      <c r="CK1021" s="476" t="s">
        <v>1187</v>
      </c>
      <c r="CL1021" s="476" t="s">
        <v>1187</v>
      </c>
      <c r="CM1021" s="476" t="str">
        <f>IF(VLOOKUP(BS1021,'Données par municipalité'!$B$6:$E$1113,4,FALSE)="","non","oui")</f>
        <v>non</v>
      </c>
      <c r="CN1021" s="410" t="s">
        <v>1124</v>
      </c>
      <c r="CO1021" s="410" t="s">
        <v>1124</v>
      </c>
      <c r="CP1021" s="410"/>
      <c r="CQ1021" s="410"/>
      <c r="CR1021" s="410"/>
      <c r="CS1021" s="410" t="s">
        <v>1124</v>
      </c>
      <c r="CT1021" s="410"/>
      <c r="CU1021" s="410" t="s">
        <v>1124</v>
      </c>
      <c r="CV1021" s="410" t="str">
        <f>IF(VLOOKUP(BS1021,'Données par municipalité'!$B$6:$F$1113,4,FALSE)="","",VLOOKUP(BS1021,'Données par municipalité'!$B$6:$F$1113,4,FALSE))</f>
        <v/>
      </c>
      <c r="CW1021" s="476" t="s">
        <v>4723</v>
      </c>
      <c r="CX1021" s="483" t="s">
        <v>1124</v>
      </c>
      <c r="CY1021" s="483" t="s">
        <v>1124</v>
      </c>
      <c r="CZ1021" s="483" t="s">
        <v>1124</v>
      </c>
      <c r="DA1021" s="483" t="s">
        <v>1124</v>
      </c>
      <c r="DB1021" s="483" t="s">
        <v>1124</v>
      </c>
      <c r="DC1021" s="483" t="s">
        <v>1124</v>
      </c>
      <c r="DD1021" s="483" t="s">
        <v>1124</v>
      </c>
      <c r="DE1021" s="483" t="str">
        <f>IFERROR(SUM(VLOOKUP($BS1021,'État &amp; Plan d''action'!$B$6:$Z$1113,18,FALSE),VLOOKUP($BS1021,'État &amp; Plan d''action'!$B$6:$Z$1113,20,FALSE))/(VLOOKUP($BS1021,'Données par municipalité'!$B$4:$L$1113,11,FALSE)),"")</f>
        <v/>
      </c>
      <c r="DF1021" s="483" t="str">
        <f>IFERROR(SUM(VLOOKUP($BS1021,'État &amp; Plan d''action'!$B$6:$Z$1113,19,FALSE),VLOOKUP($BS1021,'État &amp; Plan d''action'!$B$6:$Z$1113,21,FALSE))/(VLOOKUP($BS1021,'Données par municipalité'!$B$4:$L$1113,11,FALSE)),"")</f>
        <v/>
      </c>
      <c r="DG1021" s="476" t="s">
        <v>4723</v>
      </c>
      <c r="DH1021" s="484" t="s">
        <v>1124</v>
      </c>
      <c r="DI1021" s="484" t="s">
        <v>1124</v>
      </c>
      <c r="DJ1021" s="484">
        <v>0</v>
      </c>
      <c r="DK1021" s="484">
        <v>0</v>
      </c>
      <c r="DL1021" s="484" t="s">
        <v>1124</v>
      </c>
      <c r="DM1021" s="484" t="s">
        <v>1124</v>
      </c>
      <c r="DN1021" s="484" t="s">
        <v>1124</v>
      </c>
      <c r="DO1021" s="484" t="s">
        <v>1124</v>
      </c>
      <c r="DP1021" s="484" t="s">
        <v>1124</v>
      </c>
      <c r="DQ1021" s="484" t="str">
        <f>IF(VLOOKUP($BS1021,'État &amp; Plan d''action'!$B$6:$AJ$1113,28,FALSE)="","",VLOOKUP($BS1021,'État &amp; Plan d''action'!$B$6:$AJ$1113,28,FALSE))</f>
        <v/>
      </c>
      <c r="DR1021" s="70" t="str">
        <f>IF(VLOOKUP($BS1021,'État &amp; Plan d''action'!$B$6:$AJ$1113,29,FALSE)="","",VLOOKUP($BS1021,'État &amp; Plan d''action'!$B$6:$AJ$1113,29,FALSE))</f>
        <v/>
      </c>
      <c r="DS1021" s="70" t="str">
        <f>IF(VLOOKUP($BS1021,'État &amp; Plan d''action'!$B$6:$AJ$1113,30,FALSE)="","",VLOOKUP($BS1021,'État &amp; Plan d''action'!$B$6:$AJ$1113,30,FALSE))</f>
        <v/>
      </c>
      <c r="DT1021" s="70" t="s">
        <v>1124</v>
      </c>
      <c r="DU1021" s="485" t="s">
        <v>1124</v>
      </c>
      <c r="DV1021" s="485" t="s">
        <v>1124</v>
      </c>
      <c r="DW1021" s="70" t="s">
        <v>1124</v>
      </c>
      <c r="DX1021" s="70" t="s">
        <v>1124</v>
      </c>
      <c r="DY1021" s="70" t="s">
        <v>1124</v>
      </c>
      <c r="DZ1021" s="70" t="str">
        <f>VLOOKUP($BS1021,'État &amp; Plan d''action'!$B$6:$AH$1113,31,FALSE)</f>
        <v/>
      </c>
      <c r="EA1021" s="70" t="str">
        <f>VLOOKUP($BS1021,'État &amp; Plan d''action'!$B$6:$AH$1113,32,FALSE)</f>
        <v/>
      </c>
      <c r="EB1021" s="70" t="str">
        <f>VLOOKUP($BS1021,'État &amp; Plan d''action'!$B$6:$AH$1113,33,FALSE)</f>
        <v/>
      </c>
      <c r="EC1021" s="70" t="s">
        <v>1124</v>
      </c>
      <c r="ED1021" s="70" t="s">
        <v>1124</v>
      </c>
      <c r="EE1021" s="70" t="s">
        <v>1124</v>
      </c>
      <c r="EF1021" s="70" t="s">
        <v>1124</v>
      </c>
      <c r="EG1021" s="70" t="s">
        <v>1124</v>
      </c>
      <c r="EH1021" s="72"/>
      <c r="EI1021" s="72">
        <v>1078</v>
      </c>
    </row>
    <row r="1022" spans="71:139" x14ac:dyDescent="0.35">
      <c r="BS1022" s="486">
        <v>44005</v>
      </c>
      <c r="BT1022" s="479" t="s">
        <v>399</v>
      </c>
      <c r="BU1022" s="479">
        <v>5</v>
      </c>
      <c r="BV1022" s="476" t="s">
        <v>1187</v>
      </c>
      <c r="BW1022" s="476" t="s">
        <v>1187</v>
      </c>
      <c r="BX1022" s="476" t="s">
        <v>1187</v>
      </c>
      <c r="BY1022" s="476" t="s">
        <v>1188</v>
      </c>
      <c r="BZ1022" s="476" t="s">
        <v>1188</v>
      </c>
      <c r="CA1022" s="476" t="s">
        <v>1188</v>
      </c>
      <c r="CB1022" s="476" t="s">
        <v>1188</v>
      </c>
      <c r="CC1022" s="476" t="s">
        <v>1188</v>
      </c>
      <c r="CD1022" s="476" t="s">
        <v>1188</v>
      </c>
      <c r="CE1022" s="476" t="s">
        <v>1188</v>
      </c>
      <c r="CF1022" s="476" t="s">
        <v>1188</v>
      </c>
      <c r="CG1022" s="476" t="s">
        <v>1188</v>
      </c>
      <c r="CH1022" s="476" t="s">
        <v>1187</v>
      </c>
      <c r="CI1022" s="476" t="s">
        <v>1187</v>
      </c>
      <c r="CJ1022" s="476" t="s">
        <v>1187</v>
      </c>
      <c r="CK1022" s="476" t="s">
        <v>1187</v>
      </c>
      <c r="CL1022" s="476" t="s">
        <v>1187</v>
      </c>
      <c r="CM1022" s="476" t="str">
        <f>IF(VLOOKUP(BS1022,'Données par municipalité'!$B$6:$E$1113,4,FALSE)="","non","oui")</f>
        <v>non</v>
      </c>
      <c r="CN1022" s="410">
        <v>289.85507246376812</v>
      </c>
      <c r="CO1022" s="410">
        <v>294.8047834006494</v>
      </c>
      <c r="CP1022" s="410">
        <v>277.54615842763553</v>
      </c>
      <c r="CQ1022" s="410"/>
      <c r="CR1022" s="410"/>
      <c r="CS1022" s="410" t="s">
        <v>1124</v>
      </c>
      <c r="CT1022" s="410"/>
      <c r="CU1022" s="410" t="s">
        <v>1124</v>
      </c>
      <c r="CV1022" s="410" t="str">
        <f>IF(VLOOKUP(BS1022,'Données par municipalité'!$B$6:$F$1113,4,FALSE)="","",VLOOKUP(BS1022,'Données par municipalité'!$B$6:$F$1113,4,FALSE))</f>
        <v/>
      </c>
      <c r="CW1022" s="476" t="s">
        <v>4723</v>
      </c>
      <c r="CX1022" s="483">
        <v>0</v>
      </c>
      <c r="CY1022" s="483">
        <v>0</v>
      </c>
      <c r="CZ1022" s="483" t="s">
        <v>1124</v>
      </c>
      <c r="DA1022" s="483" t="s">
        <v>1124</v>
      </c>
      <c r="DB1022" s="483" t="s">
        <v>1124</v>
      </c>
      <c r="DC1022" s="483" t="s">
        <v>1124</v>
      </c>
      <c r="DD1022" s="483" t="s">
        <v>1124</v>
      </c>
      <c r="DE1022" s="483" t="str">
        <f>IFERROR(SUM(VLOOKUP($BS1022,'État &amp; Plan d''action'!$B$6:$Z$1113,18,FALSE),VLOOKUP($BS1022,'État &amp; Plan d''action'!$B$6:$Z$1113,20,FALSE))/(VLOOKUP($BS1022,'Données par municipalité'!$B$4:$L$1113,11,FALSE)),"")</f>
        <v/>
      </c>
      <c r="DF1022" s="483" t="str">
        <f>IFERROR(SUM(VLOOKUP($BS1022,'État &amp; Plan d''action'!$B$6:$Z$1113,19,FALSE),VLOOKUP($BS1022,'État &amp; Plan d''action'!$B$6:$Z$1113,21,FALSE))/(VLOOKUP($BS1022,'Données par municipalité'!$B$4:$L$1113,11,FALSE)),"")</f>
        <v/>
      </c>
      <c r="DG1022" s="476" t="s">
        <v>4723</v>
      </c>
      <c r="DH1022" s="484">
        <v>0</v>
      </c>
      <c r="DI1022" s="484">
        <v>0</v>
      </c>
      <c r="DJ1022" s="484">
        <v>0</v>
      </c>
      <c r="DK1022" s="484">
        <v>0</v>
      </c>
      <c r="DL1022" s="484" t="s">
        <v>1124</v>
      </c>
      <c r="DM1022" s="484" t="s">
        <v>1124</v>
      </c>
      <c r="DN1022" s="484" t="s">
        <v>1124</v>
      </c>
      <c r="DO1022" s="484" t="s">
        <v>1124</v>
      </c>
      <c r="DP1022" s="484" t="s">
        <v>1124</v>
      </c>
      <c r="DQ1022" s="484" t="str">
        <f>IF(VLOOKUP($BS1022,'État &amp; Plan d''action'!$B$6:$AJ$1113,28,FALSE)="","",VLOOKUP($BS1022,'État &amp; Plan d''action'!$B$6:$AJ$1113,28,FALSE))</f>
        <v/>
      </c>
      <c r="DR1022" s="70" t="str">
        <f>IF(VLOOKUP($BS1022,'État &amp; Plan d''action'!$B$6:$AJ$1113,29,FALSE)="","",VLOOKUP($BS1022,'État &amp; Plan d''action'!$B$6:$AJ$1113,29,FALSE))</f>
        <v/>
      </c>
      <c r="DS1022" s="70" t="str">
        <f>IF(VLOOKUP($BS1022,'État &amp; Plan d''action'!$B$6:$AJ$1113,30,FALSE)="","",VLOOKUP($BS1022,'État &amp; Plan d''action'!$B$6:$AJ$1113,30,FALSE))</f>
        <v/>
      </c>
      <c r="DT1022" s="70" t="s">
        <v>1124</v>
      </c>
      <c r="DU1022" s="485" t="s">
        <v>1124</v>
      </c>
      <c r="DV1022" s="485" t="s">
        <v>1124</v>
      </c>
      <c r="DW1022" s="70" t="s">
        <v>1124</v>
      </c>
      <c r="DX1022" s="70" t="s">
        <v>1124</v>
      </c>
      <c r="DY1022" s="70" t="s">
        <v>1124</v>
      </c>
      <c r="DZ1022" s="70" t="str">
        <f>VLOOKUP($BS1022,'État &amp; Plan d''action'!$B$6:$AH$1113,31,FALSE)</f>
        <v/>
      </c>
      <c r="EA1022" s="70" t="str">
        <f>VLOOKUP($BS1022,'État &amp; Plan d''action'!$B$6:$AH$1113,32,FALSE)</f>
        <v/>
      </c>
      <c r="EB1022" s="70" t="str">
        <f>VLOOKUP($BS1022,'État &amp; Plan d''action'!$B$6:$AH$1113,33,FALSE)</f>
        <v/>
      </c>
      <c r="EC1022" s="70" t="s">
        <v>1124</v>
      </c>
      <c r="ED1022" s="70" t="s">
        <v>1124</v>
      </c>
      <c r="EE1022" s="70" t="s">
        <v>1124</v>
      </c>
      <c r="EF1022" s="70" t="s">
        <v>1124</v>
      </c>
      <c r="EG1022" s="70" t="s">
        <v>1124</v>
      </c>
      <c r="EH1022" s="72"/>
      <c r="EI1022" s="72">
        <v>100</v>
      </c>
    </row>
    <row r="1023" spans="71:139" x14ac:dyDescent="0.35">
      <c r="BS1023" s="486">
        <v>7075</v>
      </c>
      <c r="BT1023" s="479" t="s">
        <v>1079</v>
      </c>
      <c r="BU1023" s="479">
        <v>1</v>
      </c>
      <c r="BV1023" s="476" t="s">
        <v>1187</v>
      </c>
      <c r="BW1023" s="476" t="s">
        <v>1187</v>
      </c>
      <c r="BX1023" s="476" t="s">
        <v>1187</v>
      </c>
      <c r="BY1023" s="476" t="s">
        <v>1187</v>
      </c>
      <c r="BZ1023" s="476" t="s">
        <v>1187</v>
      </c>
      <c r="CA1023" s="476" t="s">
        <v>1187</v>
      </c>
      <c r="CB1023" s="476" t="s">
        <v>1187</v>
      </c>
      <c r="CC1023" s="476" t="s">
        <v>1187</v>
      </c>
      <c r="CD1023" s="476" t="s">
        <v>1187</v>
      </c>
      <c r="CE1023" s="476" t="s">
        <v>1188</v>
      </c>
      <c r="CF1023" s="476" t="s">
        <v>1188</v>
      </c>
      <c r="CG1023" s="476" t="s">
        <v>1187</v>
      </c>
      <c r="CH1023" s="476" t="s">
        <v>1187</v>
      </c>
      <c r="CI1023" s="476" t="s">
        <v>1188</v>
      </c>
      <c r="CJ1023" s="476" t="s">
        <v>1188</v>
      </c>
      <c r="CK1023" s="476" t="s">
        <v>1188</v>
      </c>
      <c r="CL1023" s="476" t="s">
        <v>1188</v>
      </c>
      <c r="CM1023" s="476" t="str">
        <f>IF(VLOOKUP(BS1023,'Données par municipalité'!$B$6:$E$1113,4,FALSE)="","non","oui")</f>
        <v>oui</v>
      </c>
      <c r="CN1023" s="410">
        <v>151.11111111111111</v>
      </c>
      <c r="CO1023" s="410">
        <v>202.62101649015915</v>
      </c>
      <c r="CP1023" s="410"/>
      <c r="CQ1023" s="410"/>
      <c r="CR1023" s="410">
        <v>206.61583917023077</v>
      </c>
      <c r="CS1023" s="410">
        <v>389.76697629164011</v>
      </c>
      <c r="CT1023" s="410">
        <v>324.64486429577698</v>
      </c>
      <c r="CU1023" s="410">
        <v>335</v>
      </c>
      <c r="CV1023" s="410">
        <f>IF(VLOOKUP(BS1023,'Données par municipalité'!$B$6:$F$1113,4,FALSE)="","",VLOOKUP(BS1023,'Données par municipalité'!$B$6:$F$1113,4,FALSE))</f>
        <v>405</v>
      </c>
      <c r="CW1023" s="476" t="s">
        <v>4723</v>
      </c>
      <c r="CX1023" s="483">
        <v>0</v>
      </c>
      <c r="CY1023" s="483" t="s">
        <v>1124</v>
      </c>
      <c r="CZ1023" s="483" t="s">
        <v>1124</v>
      </c>
      <c r="DA1023" s="483">
        <v>1</v>
      </c>
      <c r="DB1023" s="483">
        <v>0.5</v>
      </c>
      <c r="DC1023" s="483">
        <v>0</v>
      </c>
      <c r="DD1023" s="483" t="s">
        <v>1124</v>
      </c>
      <c r="DE1023" s="483">
        <f>IFERROR(SUM(VLOOKUP($BS1023,'État &amp; Plan d''action'!$B$6:$Z$1113,18,FALSE),VLOOKUP($BS1023,'État &amp; Plan d''action'!$B$6:$Z$1113,20,FALSE))/(VLOOKUP($BS1023,'Données par municipalité'!$B$4:$L$1113,11,FALSE)),"")</f>
        <v>2.1881838074398249E-2</v>
      </c>
      <c r="DF1023" s="483">
        <f>IFERROR(SUM(VLOOKUP($BS1023,'État &amp; Plan d''action'!$B$6:$Z$1113,19,FALSE),VLOOKUP($BS1023,'État &amp; Plan d''action'!$B$6:$Z$1113,21,FALSE))/(VLOOKUP($BS1023,'Données par municipalité'!$B$4:$L$1113,11,FALSE)),"")</f>
        <v>1.5317286652078776E-2</v>
      </c>
      <c r="DG1023" s="476" t="s">
        <v>4723</v>
      </c>
      <c r="DH1023" s="484">
        <v>0</v>
      </c>
      <c r="DI1023" s="484" t="s">
        <v>1124</v>
      </c>
      <c r="DJ1023" s="484">
        <v>0</v>
      </c>
      <c r="DK1023" s="484">
        <v>0</v>
      </c>
      <c r="DL1023" s="484">
        <v>2</v>
      </c>
      <c r="DM1023" s="484">
        <v>5</v>
      </c>
      <c r="DN1023" s="484">
        <v>2</v>
      </c>
      <c r="DO1023" s="484">
        <v>0</v>
      </c>
      <c r="DP1023" s="484">
        <v>0</v>
      </c>
      <c r="DQ1023" s="484">
        <f>IF(VLOOKUP($BS1023,'État &amp; Plan d''action'!$B$6:$AJ$1113,28,FALSE)="","",VLOOKUP($BS1023,'État &amp; Plan d''action'!$B$6:$AJ$1113,28,FALSE))</f>
        <v>2</v>
      </c>
      <c r="DR1023" s="70">
        <f>IF(VLOOKUP($BS1023,'État &amp; Plan d''action'!$B$6:$AJ$1113,29,FALSE)="","",VLOOKUP($BS1023,'État &amp; Plan d''action'!$B$6:$AJ$1113,29,FALSE))</f>
        <v>0</v>
      </c>
      <c r="DS1023" s="70">
        <f>IF(VLOOKUP($BS1023,'État &amp; Plan d''action'!$B$6:$AJ$1113,30,FALSE)="","",VLOOKUP($BS1023,'État &amp; Plan d''action'!$B$6:$AJ$1113,30,FALSE))</f>
        <v>0</v>
      </c>
      <c r="DT1023" s="70">
        <v>232</v>
      </c>
      <c r="DU1023" s="485">
        <v>1.7880834963469454</v>
      </c>
      <c r="DV1023" s="485">
        <v>2.5204600734564049</v>
      </c>
      <c r="DW1023" s="70">
        <v>2</v>
      </c>
      <c r="DX1023" s="70">
        <v>0</v>
      </c>
      <c r="DY1023" s="70">
        <v>0</v>
      </c>
      <c r="DZ1023" s="70">
        <f>VLOOKUP($BS1023,'État &amp; Plan d''action'!$B$6:$AH$1113,31,FALSE)</f>
        <v>2</v>
      </c>
      <c r="EA1023" s="70">
        <f>VLOOKUP($BS1023,'État &amp; Plan d''action'!$B$6:$AH$1113,32,FALSE)</f>
        <v>0</v>
      </c>
      <c r="EB1023" s="70">
        <f>VLOOKUP($BS1023,'État &amp; Plan d''action'!$B$6:$AH$1113,33,FALSE)</f>
        <v>0</v>
      </c>
      <c r="EC1023" s="70">
        <v>0</v>
      </c>
      <c r="ED1023" s="70">
        <v>0</v>
      </c>
      <c r="EE1023" s="70">
        <v>4.57</v>
      </c>
      <c r="EF1023" s="70">
        <v>0</v>
      </c>
      <c r="EG1023" s="70">
        <v>0</v>
      </c>
      <c r="EH1023" s="72">
        <v>52</v>
      </c>
      <c r="EI1023" s="72">
        <v>421</v>
      </c>
    </row>
    <row r="1024" spans="71:139" x14ac:dyDescent="0.35">
      <c r="BS1024" s="486">
        <v>27008</v>
      </c>
      <c r="BT1024" s="479" t="s">
        <v>178</v>
      </c>
      <c r="BU1024" s="479">
        <v>12</v>
      </c>
      <c r="BV1024" s="476" t="s">
        <v>1187</v>
      </c>
      <c r="BW1024" s="476" t="s">
        <v>1187</v>
      </c>
      <c r="BX1024" s="476" t="s">
        <v>1187</v>
      </c>
      <c r="BY1024" s="476" t="s">
        <v>1187</v>
      </c>
      <c r="BZ1024" s="476" t="s">
        <v>1187</v>
      </c>
      <c r="CA1024" s="476" t="s">
        <v>1188</v>
      </c>
      <c r="CB1024" s="476" t="s">
        <v>1188</v>
      </c>
      <c r="CC1024" s="476" t="s">
        <v>1188</v>
      </c>
      <c r="CD1024" s="476" t="s">
        <v>1188</v>
      </c>
      <c r="CE1024" s="476" t="s">
        <v>1188</v>
      </c>
      <c r="CF1024" s="476" t="s">
        <v>1188</v>
      </c>
      <c r="CG1024" s="476" t="s">
        <v>1188</v>
      </c>
      <c r="CH1024" s="476" t="s">
        <v>1188</v>
      </c>
      <c r="CI1024" s="476" t="s">
        <v>1187</v>
      </c>
      <c r="CJ1024" s="476" t="s">
        <v>1187</v>
      </c>
      <c r="CK1024" s="476" t="s">
        <v>1187</v>
      </c>
      <c r="CL1024" s="476" t="s">
        <v>1187</v>
      </c>
      <c r="CM1024" s="476" t="str">
        <f>IF(VLOOKUP(BS1024,'Données par municipalité'!$B$6:$E$1113,4,FALSE)="","non","oui")</f>
        <v>non</v>
      </c>
      <c r="CN1024" s="410">
        <v>296.26214461252084</v>
      </c>
      <c r="CO1024" s="410">
        <v>326.52172321057247</v>
      </c>
      <c r="CP1024" s="410">
        <v>244.58558137314614</v>
      </c>
      <c r="CQ1024" s="410">
        <v>258.10574243435258</v>
      </c>
      <c r="CR1024" s="410"/>
      <c r="CS1024" s="410" t="s">
        <v>1124</v>
      </c>
      <c r="CT1024" s="410"/>
      <c r="CU1024" s="410" t="s">
        <v>1124</v>
      </c>
      <c r="CV1024" s="410" t="str">
        <f>IF(VLOOKUP(BS1024,'Données par municipalité'!$B$6:$F$1113,4,FALSE)="","",VLOOKUP(BS1024,'Données par municipalité'!$B$6:$F$1113,4,FALSE))</f>
        <v/>
      </c>
      <c r="CW1024" s="476" t="s">
        <v>4723</v>
      </c>
      <c r="CX1024" s="483">
        <v>0.01</v>
      </c>
      <c r="CY1024" s="483">
        <v>0.01</v>
      </c>
      <c r="CZ1024" s="483">
        <v>0.01</v>
      </c>
      <c r="DA1024" s="483" t="s">
        <v>1124</v>
      </c>
      <c r="DB1024" s="483" t="s">
        <v>1124</v>
      </c>
      <c r="DC1024" s="483" t="s">
        <v>1124</v>
      </c>
      <c r="DD1024" s="483" t="s">
        <v>1124</v>
      </c>
      <c r="DE1024" s="483" t="str">
        <f>IFERROR(SUM(VLOOKUP($BS1024,'État &amp; Plan d''action'!$B$6:$Z$1113,18,FALSE),VLOOKUP($BS1024,'État &amp; Plan d''action'!$B$6:$Z$1113,20,FALSE))/(VLOOKUP($BS1024,'Données par municipalité'!$B$4:$L$1113,11,FALSE)),"")</f>
        <v/>
      </c>
      <c r="DF1024" s="483" t="str">
        <f>IFERROR(SUM(VLOOKUP($BS1024,'État &amp; Plan d''action'!$B$6:$Z$1113,19,FALSE),VLOOKUP($BS1024,'État &amp; Plan d''action'!$B$6:$Z$1113,21,FALSE))/(VLOOKUP($BS1024,'Données par municipalité'!$B$4:$L$1113,11,FALSE)),"")</f>
        <v/>
      </c>
      <c r="DG1024" s="476" t="s">
        <v>4723</v>
      </c>
      <c r="DH1024" s="484">
        <v>2</v>
      </c>
      <c r="DI1024" s="484">
        <v>4</v>
      </c>
      <c r="DJ1024" s="484">
        <v>3</v>
      </c>
      <c r="DK1024" s="484">
        <v>0</v>
      </c>
      <c r="DL1024" s="484" t="s">
        <v>1124</v>
      </c>
      <c r="DM1024" s="484" t="s">
        <v>1124</v>
      </c>
      <c r="DN1024" s="484" t="s">
        <v>1124</v>
      </c>
      <c r="DO1024" s="484" t="s">
        <v>1124</v>
      </c>
      <c r="DP1024" s="484" t="s">
        <v>1124</v>
      </c>
      <c r="DQ1024" s="484" t="str">
        <f>IF(VLOOKUP($BS1024,'État &amp; Plan d''action'!$B$6:$AJ$1113,28,FALSE)="","",VLOOKUP($BS1024,'État &amp; Plan d''action'!$B$6:$AJ$1113,28,FALSE))</f>
        <v/>
      </c>
      <c r="DR1024" s="70" t="str">
        <f>IF(VLOOKUP($BS1024,'État &amp; Plan d''action'!$B$6:$AJ$1113,29,FALSE)="","",VLOOKUP($BS1024,'État &amp; Plan d''action'!$B$6:$AJ$1113,29,FALSE))</f>
        <v/>
      </c>
      <c r="DS1024" s="70" t="str">
        <f>IF(VLOOKUP($BS1024,'État &amp; Plan d''action'!$B$6:$AJ$1113,30,FALSE)="","",VLOOKUP($BS1024,'État &amp; Plan d''action'!$B$6:$AJ$1113,30,FALSE))</f>
        <v/>
      </c>
      <c r="DT1024" s="70" t="s">
        <v>1124</v>
      </c>
      <c r="DU1024" s="485" t="s">
        <v>1124</v>
      </c>
      <c r="DV1024" s="485" t="s">
        <v>1124</v>
      </c>
      <c r="DW1024" s="70" t="s">
        <v>1124</v>
      </c>
      <c r="DX1024" s="70" t="s">
        <v>1124</v>
      </c>
      <c r="DY1024" s="70" t="s">
        <v>1124</v>
      </c>
      <c r="DZ1024" s="70" t="str">
        <f>VLOOKUP($BS1024,'État &amp; Plan d''action'!$B$6:$AH$1113,31,FALSE)</f>
        <v/>
      </c>
      <c r="EA1024" s="70" t="str">
        <f>VLOOKUP($BS1024,'État &amp; Plan d''action'!$B$6:$AH$1113,32,FALSE)</f>
        <v/>
      </c>
      <c r="EB1024" s="70" t="str">
        <f>VLOOKUP($BS1024,'État &amp; Plan d''action'!$B$6:$AH$1113,33,FALSE)</f>
        <v/>
      </c>
      <c r="EC1024" s="70" t="s">
        <v>1124</v>
      </c>
      <c r="ED1024" s="70" t="s">
        <v>1124</v>
      </c>
      <c r="EE1024" s="70" t="s">
        <v>1124</v>
      </c>
      <c r="EF1024" s="70" t="s">
        <v>1124</v>
      </c>
      <c r="EG1024" s="70" t="s">
        <v>1124</v>
      </c>
      <c r="EH1024" s="72"/>
      <c r="EI1024" s="72">
        <v>2465</v>
      </c>
    </row>
    <row r="1025" spans="71:139" x14ac:dyDescent="0.35">
      <c r="BS1025" s="486">
        <v>50023</v>
      </c>
      <c r="BT1025" s="479" t="s">
        <v>484</v>
      </c>
      <c r="BU1025" s="479">
        <v>17</v>
      </c>
      <c r="BV1025" s="476" t="s">
        <v>1187</v>
      </c>
      <c r="BW1025" s="476" t="s">
        <v>1187</v>
      </c>
      <c r="BX1025" s="476" t="s">
        <v>1187</v>
      </c>
      <c r="BY1025" s="476" t="s">
        <v>1187</v>
      </c>
      <c r="BZ1025" s="476" t="s">
        <v>1187</v>
      </c>
      <c r="CA1025" s="476" t="s">
        <v>1187</v>
      </c>
      <c r="CB1025" s="476" t="s">
        <v>1187</v>
      </c>
      <c r="CC1025" s="476" t="s">
        <v>1187</v>
      </c>
      <c r="CD1025" s="476" t="s">
        <v>1187</v>
      </c>
      <c r="CE1025" s="476" t="s">
        <v>1188</v>
      </c>
      <c r="CF1025" s="476" t="s">
        <v>1188</v>
      </c>
      <c r="CG1025" s="476" t="s">
        <v>1188</v>
      </c>
      <c r="CH1025" s="476" t="s">
        <v>1188</v>
      </c>
      <c r="CI1025" s="476" t="s">
        <v>1187</v>
      </c>
      <c r="CJ1025" s="476" t="s">
        <v>1188</v>
      </c>
      <c r="CK1025" s="476" t="s">
        <v>1188</v>
      </c>
      <c r="CL1025" s="476" t="s">
        <v>1188</v>
      </c>
      <c r="CM1025" s="476" t="str">
        <f>IF(VLOOKUP(BS1025,'Données par municipalité'!$B$6:$E$1113,4,FALSE)="","non","oui")</f>
        <v>oui</v>
      </c>
      <c r="CN1025" s="410">
        <v>357.38654941090255</v>
      </c>
      <c r="CO1025" s="410">
        <v>588.78299212244042</v>
      </c>
      <c r="CP1025" s="410">
        <v>390.21496521190443</v>
      </c>
      <c r="CQ1025" s="410">
        <v>405.19429132783932</v>
      </c>
      <c r="CR1025" s="410"/>
      <c r="CS1025" s="410">
        <v>291.84162957653803</v>
      </c>
      <c r="CT1025" s="410">
        <v>237.02102991124235</v>
      </c>
      <c r="CU1025" s="410">
        <v>247</v>
      </c>
      <c r="CV1025" s="410">
        <f>IF(VLOOKUP(BS1025,'Données par municipalité'!$B$6:$F$1113,4,FALSE)="","",VLOOKUP(BS1025,'Données par municipalité'!$B$6:$F$1113,4,FALSE))</f>
        <v>245</v>
      </c>
      <c r="CW1025" s="476" t="s">
        <v>4723</v>
      </c>
      <c r="CX1025" s="483">
        <v>0</v>
      </c>
      <c r="CY1025" s="483">
        <v>0</v>
      </c>
      <c r="CZ1025" s="483">
        <v>0</v>
      </c>
      <c r="DA1025" s="483" t="s">
        <v>1124</v>
      </c>
      <c r="DB1025" s="483">
        <v>1</v>
      </c>
      <c r="DC1025" s="483">
        <v>1</v>
      </c>
      <c r="DD1025" s="483">
        <v>0</v>
      </c>
      <c r="DE1025" s="483">
        <f>IFERROR(SUM(VLOOKUP($BS1025,'État &amp; Plan d''action'!$B$6:$Z$1113,18,FALSE),VLOOKUP($BS1025,'État &amp; Plan d''action'!$B$6:$Z$1113,20,FALSE))/(VLOOKUP($BS1025,'Données par municipalité'!$B$4:$L$1113,11,FALSE)),"")</f>
        <v>0</v>
      </c>
      <c r="DF1025" s="483">
        <f>IFERROR(SUM(VLOOKUP($BS1025,'État &amp; Plan d''action'!$B$6:$Z$1113,19,FALSE),VLOOKUP($BS1025,'État &amp; Plan d''action'!$B$6:$Z$1113,21,FALSE))/(VLOOKUP($BS1025,'Données par municipalité'!$B$4:$L$1113,11,FALSE)),"")</f>
        <v>1.1029124215292785</v>
      </c>
      <c r="DG1025" s="476" t="s">
        <v>4723</v>
      </c>
      <c r="DH1025" s="484">
        <v>0</v>
      </c>
      <c r="DI1025" s="484">
        <v>0</v>
      </c>
      <c r="DJ1025" s="484">
        <v>0</v>
      </c>
      <c r="DK1025" s="484">
        <v>0</v>
      </c>
      <c r="DL1025" s="484">
        <v>0</v>
      </c>
      <c r="DM1025" s="484">
        <v>0</v>
      </c>
      <c r="DN1025" s="484">
        <v>0</v>
      </c>
      <c r="DO1025" s="484">
        <v>0</v>
      </c>
      <c r="DP1025" s="484">
        <v>0</v>
      </c>
      <c r="DQ1025" s="484">
        <f>IF(VLOOKUP($BS1025,'État &amp; Plan d''action'!$B$6:$AJ$1113,28,FALSE)="","",VLOOKUP($BS1025,'État &amp; Plan d''action'!$B$6:$AJ$1113,28,FALSE))</f>
        <v>0</v>
      </c>
      <c r="DR1025" s="70">
        <f>IF(VLOOKUP($BS1025,'État &amp; Plan d''action'!$B$6:$AJ$1113,29,FALSE)="","",VLOOKUP($BS1025,'État &amp; Plan d''action'!$B$6:$AJ$1113,29,FALSE))</f>
        <v>0</v>
      </c>
      <c r="DS1025" s="70">
        <f>IF(VLOOKUP($BS1025,'État &amp; Plan d''action'!$B$6:$AJ$1113,30,FALSE)="","",VLOOKUP($BS1025,'État &amp; Plan d''action'!$B$6:$AJ$1113,30,FALSE))</f>
        <v>0</v>
      </c>
      <c r="DT1025" s="70">
        <v>165</v>
      </c>
      <c r="DU1025" s="485">
        <v>1.2064223385981498</v>
      </c>
      <c r="DV1025" s="485">
        <v>1.2203296482179098</v>
      </c>
      <c r="DW1025" s="70">
        <v>0</v>
      </c>
      <c r="DX1025" s="70">
        <v>0</v>
      </c>
      <c r="DY1025" s="70">
        <v>0</v>
      </c>
      <c r="DZ1025" s="70">
        <f>VLOOKUP($BS1025,'État &amp; Plan d''action'!$B$6:$AH$1113,31,FALSE)</f>
        <v>0</v>
      </c>
      <c r="EA1025" s="70">
        <f>VLOOKUP($BS1025,'État &amp; Plan d''action'!$B$6:$AH$1113,32,FALSE)</f>
        <v>0</v>
      </c>
      <c r="EB1025" s="70">
        <f>VLOOKUP($BS1025,'État &amp; Plan d''action'!$B$6:$AH$1113,33,FALSE)</f>
        <v>0</v>
      </c>
      <c r="EC1025" s="70">
        <v>9.7170000000000005</v>
      </c>
      <c r="ED1025" s="70">
        <v>0</v>
      </c>
      <c r="EE1025" s="70">
        <v>0</v>
      </c>
      <c r="EF1025" s="70">
        <v>0</v>
      </c>
      <c r="EG1025" s="70">
        <v>0</v>
      </c>
      <c r="EH1025" s="72">
        <v>56</v>
      </c>
      <c r="EI1025" s="72">
        <v>1189</v>
      </c>
    </row>
    <row r="1026" spans="71:139" x14ac:dyDescent="0.35">
      <c r="BS1026" s="486">
        <v>28005</v>
      </c>
      <c r="BT1026" s="479" t="s">
        <v>188</v>
      </c>
      <c r="BU1026" s="479">
        <v>12</v>
      </c>
      <c r="BV1026" s="476" t="s">
        <v>1188</v>
      </c>
      <c r="BW1026" s="476" t="s">
        <v>1188</v>
      </c>
      <c r="BX1026" s="476" t="s">
        <v>1188</v>
      </c>
      <c r="BY1026" s="476" t="s">
        <v>1188</v>
      </c>
      <c r="BZ1026" s="476" t="s">
        <v>1187</v>
      </c>
      <c r="CA1026" s="476" t="s">
        <v>1187</v>
      </c>
      <c r="CB1026" s="476" t="s">
        <v>1187</v>
      </c>
      <c r="CC1026" s="476" t="s">
        <v>1187</v>
      </c>
      <c r="CD1026" s="476" t="s">
        <v>1187</v>
      </c>
      <c r="CE1026" s="476" t="s">
        <v>1187</v>
      </c>
      <c r="CF1026" s="476" t="s">
        <v>1187</v>
      </c>
      <c r="CG1026" s="476" t="s">
        <v>1187</v>
      </c>
      <c r="CH1026" s="476" t="s">
        <v>1187</v>
      </c>
      <c r="CI1026" s="476" t="s">
        <v>1188</v>
      </c>
      <c r="CJ1026" s="476" t="s">
        <v>1188</v>
      </c>
      <c r="CK1026" s="476" t="s">
        <v>1188</v>
      </c>
      <c r="CL1026" s="476" t="s">
        <v>1188</v>
      </c>
      <c r="CM1026" s="476" t="str">
        <f>IF(VLOOKUP(BS1026,'Données par municipalité'!$B$6:$E$1113,4,FALSE)="","non","oui")</f>
        <v>oui</v>
      </c>
      <c r="CN1026" s="410" t="s">
        <v>1124</v>
      </c>
      <c r="CO1026" s="410" t="s">
        <v>1124</v>
      </c>
      <c r="CP1026" s="410"/>
      <c r="CQ1026" s="410"/>
      <c r="CR1026" s="410">
        <v>144.41034092079511</v>
      </c>
      <c r="CS1026" s="410">
        <v>147.782023364422</v>
      </c>
      <c r="CT1026" s="410">
        <v>192.56480075037976</v>
      </c>
      <c r="CU1026" s="410">
        <v>281</v>
      </c>
      <c r="CV1026" s="410">
        <f>IF(VLOOKUP(BS1026,'Données par municipalité'!$B$6:$F$1113,4,FALSE)="","",VLOOKUP(BS1026,'Données par municipalité'!$B$6:$F$1113,4,FALSE))</f>
        <v>349</v>
      </c>
      <c r="CW1026" s="476" t="s">
        <v>4723</v>
      </c>
      <c r="CX1026" s="483" t="s">
        <v>1124</v>
      </c>
      <c r="CY1026" s="483" t="s">
        <v>1124</v>
      </c>
      <c r="CZ1026" s="483" t="s">
        <v>1124</v>
      </c>
      <c r="DA1026" s="483">
        <v>0</v>
      </c>
      <c r="DB1026" s="483">
        <v>0</v>
      </c>
      <c r="DC1026" s="483">
        <v>0</v>
      </c>
      <c r="DD1026" s="483">
        <v>0</v>
      </c>
      <c r="DE1026" s="483">
        <f>IFERROR(SUM(VLOOKUP($BS1026,'État &amp; Plan d''action'!$B$6:$Z$1113,18,FALSE),VLOOKUP($BS1026,'État &amp; Plan d''action'!$B$6:$Z$1113,20,FALSE))/(VLOOKUP($BS1026,'Données par municipalité'!$B$4:$L$1113,11,FALSE)),"")</f>
        <v>0</v>
      </c>
      <c r="DF1026" s="483">
        <f>IFERROR(SUM(VLOOKUP($BS1026,'État &amp; Plan d''action'!$B$6:$Z$1113,19,FALSE),VLOOKUP($BS1026,'État &amp; Plan d''action'!$B$6:$Z$1113,21,FALSE))/(VLOOKUP($BS1026,'Données par municipalité'!$B$4:$L$1113,11,FALSE)),"")</f>
        <v>0</v>
      </c>
      <c r="DG1026" s="476" t="s">
        <v>4723</v>
      </c>
      <c r="DH1026" s="484" t="s">
        <v>1124</v>
      </c>
      <c r="DI1026" s="484" t="s">
        <v>1124</v>
      </c>
      <c r="DJ1026" s="484">
        <v>0</v>
      </c>
      <c r="DK1026" s="484">
        <v>0</v>
      </c>
      <c r="DL1026" s="484">
        <v>0</v>
      </c>
      <c r="DM1026" s="484">
        <v>0</v>
      </c>
      <c r="DN1026" s="484">
        <v>0</v>
      </c>
      <c r="DO1026" s="484">
        <v>0</v>
      </c>
      <c r="DP1026" s="484">
        <v>0</v>
      </c>
      <c r="DQ1026" s="484">
        <f>IF(VLOOKUP($BS1026,'État &amp; Plan d''action'!$B$6:$AJ$1113,28,FALSE)="","",VLOOKUP($BS1026,'État &amp; Plan d''action'!$B$6:$AJ$1113,28,FALSE))</f>
        <v>0</v>
      </c>
      <c r="DR1026" s="70">
        <f>IF(VLOOKUP($BS1026,'État &amp; Plan d''action'!$B$6:$AJ$1113,29,FALSE)="","",VLOOKUP($BS1026,'État &amp; Plan d''action'!$B$6:$AJ$1113,29,FALSE))</f>
        <v>0</v>
      </c>
      <c r="DS1026" s="70">
        <f>IF(VLOOKUP($BS1026,'État &amp; Plan d''action'!$B$6:$AJ$1113,30,FALSE)="","",VLOOKUP($BS1026,'État &amp; Plan d''action'!$B$6:$AJ$1113,30,FALSE))</f>
        <v>0</v>
      </c>
      <c r="DT1026" s="70">
        <v>201</v>
      </c>
      <c r="DU1026" s="485">
        <v>1.3716074023854701</v>
      </c>
      <c r="DV1026" s="485">
        <v>1.8596530979594681</v>
      </c>
      <c r="DW1026" s="70">
        <v>0</v>
      </c>
      <c r="DX1026" s="70">
        <v>0</v>
      </c>
      <c r="DY1026" s="70">
        <v>0</v>
      </c>
      <c r="DZ1026" s="70">
        <f>VLOOKUP($BS1026,'État &amp; Plan d''action'!$B$6:$AH$1113,31,FALSE)</f>
        <v>0</v>
      </c>
      <c r="EA1026" s="70">
        <f>VLOOKUP($BS1026,'État &amp; Plan d''action'!$B$6:$AH$1113,32,FALSE)</f>
        <v>0</v>
      </c>
      <c r="EB1026" s="70">
        <f>VLOOKUP($BS1026,'État &amp; Plan d''action'!$B$6:$AH$1113,33,FALSE)</f>
        <v>0</v>
      </c>
      <c r="EC1026" s="70">
        <v>0</v>
      </c>
      <c r="ED1026" s="70">
        <v>0</v>
      </c>
      <c r="EE1026" s="70">
        <v>0</v>
      </c>
      <c r="EF1026" s="70">
        <v>0</v>
      </c>
      <c r="EG1026" s="70">
        <v>0</v>
      </c>
      <c r="EH1026" s="72">
        <v>48</v>
      </c>
      <c r="EI1026" s="72">
        <v>1650</v>
      </c>
    </row>
    <row r="1027" spans="71:139" x14ac:dyDescent="0.35">
      <c r="BS1027" s="486">
        <v>62080</v>
      </c>
      <c r="BT1027" s="479" t="s">
        <v>632</v>
      </c>
      <c r="BU1027" s="479">
        <v>14</v>
      </c>
      <c r="BV1027" s="476" t="s">
        <v>1187</v>
      </c>
      <c r="BW1027" s="476" t="s">
        <v>1187</v>
      </c>
      <c r="BX1027" s="476" t="s">
        <v>1187</v>
      </c>
      <c r="BY1027" s="476" t="s">
        <v>1187</v>
      </c>
      <c r="BZ1027" s="476" t="s">
        <v>1187</v>
      </c>
      <c r="CA1027" s="476" t="s">
        <v>1187</v>
      </c>
      <c r="CB1027" s="476" t="s">
        <v>1187</v>
      </c>
      <c r="CC1027" s="476" t="s">
        <v>1187</v>
      </c>
      <c r="CD1027" s="476" t="s">
        <v>1187</v>
      </c>
      <c r="CE1027" s="476" t="s">
        <v>1188</v>
      </c>
      <c r="CF1027" s="476" t="s">
        <v>1188</v>
      </c>
      <c r="CG1027" s="476" t="s">
        <v>1188</v>
      </c>
      <c r="CH1027" s="476" t="s">
        <v>1188</v>
      </c>
      <c r="CI1027" s="476" t="s">
        <v>1188</v>
      </c>
      <c r="CJ1027" s="476" t="s">
        <v>1188</v>
      </c>
      <c r="CK1027" s="476" t="s">
        <v>1188</v>
      </c>
      <c r="CL1027" s="476" t="s">
        <v>1188</v>
      </c>
      <c r="CM1027" s="476" t="str">
        <f>IF(VLOOKUP(BS1027,'Données par municipalité'!$B$6:$E$1113,4,FALSE)="","non","oui")</f>
        <v>oui</v>
      </c>
      <c r="CN1027" s="410">
        <v>747.18164962487197</v>
      </c>
      <c r="CO1027" s="410">
        <v>383.25484578679482</v>
      </c>
      <c r="CP1027" s="410">
        <v>491.71881658613961</v>
      </c>
      <c r="CQ1027" s="410">
        <v>641.40970543468518</v>
      </c>
      <c r="CR1027" s="410">
        <v>691.47944338203081</v>
      </c>
      <c r="CS1027" s="410">
        <v>381.32418680784127</v>
      </c>
      <c r="CT1027" s="410">
        <v>309.75459958877406</v>
      </c>
      <c r="CU1027" s="410">
        <v>268</v>
      </c>
      <c r="CV1027" s="410">
        <f>IF(VLOOKUP(BS1027,'Données par municipalité'!$B$6:$F$1113,4,FALSE)="","",VLOOKUP(BS1027,'Données par municipalité'!$B$6:$F$1113,4,FALSE))</f>
        <v>266</v>
      </c>
      <c r="CW1027" s="476" t="s">
        <v>4723</v>
      </c>
      <c r="CX1027" s="483">
        <v>0</v>
      </c>
      <c r="CY1027" s="483">
        <v>0</v>
      </c>
      <c r="CZ1027" s="483">
        <v>0</v>
      </c>
      <c r="DA1027" s="483">
        <v>0</v>
      </c>
      <c r="DB1027" s="483">
        <v>1</v>
      </c>
      <c r="DC1027" s="483">
        <v>1</v>
      </c>
      <c r="DD1027" s="483">
        <v>0</v>
      </c>
      <c r="DE1027" s="483">
        <f>IFERROR(SUM(VLOOKUP($BS1027,'État &amp; Plan d''action'!$B$6:$Z$1113,18,FALSE),VLOOKUP($BS1027,'État &amp; Plan d''action'!$B$6:$Z$1113,20,FALSE))/(VLOOKUP($BS1027,'Données par municipalité'!$B$4:$L$1113,11,FALSE)),"")</f>
        <v>0</v>
      </c>
      <c r="DF1027" s="483">
        <f>IFERROR(SUM(VLOOKUP($BS1027,'État &amp; Plan d''action'!$B$6:$Z$1113,19,FALSE),VLOOKUP($BS1027,'État &amp; Plan d''action'!$B$6:$Z$1113,21,FALSE))/(VLOOKUP($BS1027,'Données par municipalité'!$B$4:$L$1113,11,FALSE)),"")</f>
        <v>0</v>
      </c>
      <c r="DG1027" s="476" t="s">
        <v>4723</v>
      </c>
      <c r="DH1027" s="484">
        <v>2</v>
      </c>
      <c r="DI1027" s="484">
        <v>2</v>
      </c>
      <c r="DJ1027" s="484">
        <v>1</v>
      </c>
      <c r="DK1027" s="484">
        <v>0</v>
      </c>
      <c r="DL1027" s="484">
        <v>1</v>
      </c>
      <c r="DM1027" s="484">
        <v>1</v>
      </c>
      <c r="DN1027" s="484">
        <v>0</v>
      </c>
      <c r="DO1027" s="484">
        <v>0</v>
      </c>
      <c r="DP1027" s="484">
        <v>1</v>
      </c>
      <c r="DQ1027" s="484">
        <f>IF(VLOOKUP($BS1027,'État &amp; Plan d''action'!$B$6:$AJ$1113,28,FALSE)="","",VLOOKUP($BS1027,'État &amp; Plan d''action'!$B$6:$AJ$1113,28,FALSE))</f>
        <v>0</v>
      </c>
      <c r="DR1027" s="70">
        <f>IF(VLOOKUP($BS1027,'État &amp; Plan d''action'!$B$6:$AJ$1113,29,FALSE)="","",VLOOKUP($BS1027,'État &amp; Plan d''action'!$B$6:$AJ$1113,29,FALSE))</f>
        <v>0</v>
      </c>
      <c r="DS1027" s="70">
        <f>IF(VLOOKUP($BS1027,'État &amp; Plan d''action'!$B$6:$AJ$1113,30,FALSE)="","",VLOOKUP($BS1027,'État &amp; Plan d''action'!$B$6:$AJ$1113,30,FALSE))</f>
        <v>0</v>
      </c>
      <c r="DT1027" s="70">
        <v>194</v>
      </c>
      <c r="DU1027" s="485">
        <v>1.5999970377197703</v>
      </c>
      <c r="DV1027" s="485">
        <v>1.0999282797006318</v>
      </c>
      <c r="DW1027" s="70">
        <v>0</v>
      </c>
      <c r="DX1027" s="70">
        <v>0</v>
      </c>
      <c r="DY1027" s="70">
        <v>15</v>
      </c>
      <c r="DZ1027" s="70">
        <f>VLOOKUP($BS1027,'État &amp; Plan d''action'!$B$6:$AH$1113,31,FALSE)</f>
        <v>0</v>
      </c>
      <c r="EA1027" s="70">
        <f>VLOOKUP($BS1027,'État &amp; Plan d''action'!$B$6:$AH$1113,32,FALSE)</f>
        <v>0</v>
      </c>
      <c r="EB1027" s="70">
        <f>VLOOKUP($BS1027,'État &amp; Plan d''action'!$B$6:$AH$1113,33,FALSE)</f>
        <v>0</v>
      </c>
      <c r="EC1027" s="70">
        <v>0</v>
      </c>
      <c r="ED1027" s="70">
        <v>0</v>
      </c>
      <c r="EE1027" s="70">
        <v>0</v>
      </c>
      <c r="EF1027" s="70">
        <v>0</v>
      </c>
      <c r="EG1027" s="70">
        <v>0</v>
      </c>
      <c r="EH1027" s="72">
        <v>59</v>
      </c>
      <c r="EI1027" s="72">
        <v>1169</v>
      </c>
    </row>
    <row r="1028" spans="71:139" x14ac:dyDescent="0.35">
      <c r="BS1028" s="486">
        <v>7035</v>
      </c>
      <c r="BT1028" s="479" t="s">
        <v>1073</v>
      </c>
      <c r="BU1028" s="479">
        <v>1</v>
      </c>
      <c r="BV1028" s="476" t="s">
        <v>1188</v>
      </c>
      <c r="BW1028" s="476" t="s">
        <v>1188</v>
      </c>
      <c r="BX1028" s="476" t="s">
        <v>1188</v>
      </c>
      <c r="BY1028" s="476" t="s">
        <v>1188</v>
      </c>
      <c r="BZ1028" s="476" t="s">
        <v>1188</v>
      </c>
      <c r="CA1028" s="476" t="s">
        <v>1188</v>
      </c>
      <c r="CB1028" s="476" t="s">
        <v>1188</v>
      </c>
      <c r="CC1028" s="476" t="s">
        <v>1188</v>
      </c>
      <c r="CD1028" s="476" t="s">
        <v>1188</v>
      </c>
      <c r="CE1028" s="476" t="s">
        <v>1187</v>
      </c>
      <c r="CF1028" s="476" t="s">
        <v>1187</v>
      </c>
      <c r="CG1028" s="476" t="s">
        <v>1187</v>
      </c>
      <c r="CH1028" s="476" t="s">
        <v>1187</v>
      </c>
      <c r="CI1028" s="476" t="s">
        <v>1187</v>
      </c>
      <c r="CJ1028" s="476" t="s">
        <v>1187</v>
      </c>
      <c r="CK1028" s="476" t="s">
        <v>1187</v>
      </c>
      <c r="CL1028" s="476" t="s">
        <v>1187</v>
      </c>
      <c r="CM1028" s="476" t="str">
        <f>IF(VLOOKUP(BS1028,'Données par municipalité'!$B$6:$E$1113,4,FALSE)="","non","oui")</f>
        <v>non</v>
      </c>
      <c r="CN1028" s="410" t="s">
        <v>1124</v>
      </c>
      <c r="CO1028" s="410" t="s">
        <v>1124</v>
      </c>
      <c r="CP1028" s="410"/>
      <c r="CQ1028" s="410"/>
      <c r="CR1028" s="410"/>
      <c r="CS1028" s="410" t="s">
        <v>1124</v>
      </c>
      <c r="CT1028" s="410"/>
      <c r="CU1028" s="410" t="s">
        <v>1124</v>
      </c>
      <c r="CV1028" s="410" t="str">
        <f>IF(VLOOKUP(BS1028,'Données par municipalité'!$B$6:$F$1113,4,FALSE)="","",VLOOKUP(BS1028,'Données par municipalité'!$B$6:$F$1113,4,FALSE))</f>
        <v/>
      </c>
      <c r="CW1028" s="476" t="s">
        <v>4723</v>
      </c>
      <c r="CX1028" s="483" t="s">
        <v>1124</v>
      </c>
      <c r="CY1028" s="483" t="s">
        <v>1124</v>
      </c>
      <c r="CZ1028" s="483" t="s">
        <v>1124</v>
      </c>
      <c r="DA1028" s="483" t="s">
        <v>1124</v>
      </c>
      <c r="DB1028" s="483" t="s">
        <v>1124</v>
      </c>
      <c r="DC1028" s="483" t="s">
        <v>1124</v>
      </c>
      <c r="DD1028" s="483" t="s">
        <v>1124</v>
      </c>
      <c r="DE1028" s="483" t="str">
        <f>IFERROR(SUM(VLOOKUP($BS1028,'État &amp; Plan d''action'!$B$6:$Z$1113,18,FALSE),VLOOKUP($BS1028,'État &amp; Plan d''action'!$B$6:$Z$1113,20,FALSE))/(VLOOKUP($BS1028,'Données par municipalité'!$B$4:$L$1113,11,FALSE)),"")</f>
        <v/>
      </c>
      <c r="DF1028" s="483" t="str">
        <f>IFERROR(SUM(VLOOKUP($BS1028,'État &amp; Plan d''action'!$B$6:$Z$1113,19,FALSE),VLOOKUP($BS1028,'État &amp; Plan d''action'!$B$6:$Z$1113,21,FALSE))/(VLOOKUP($BS1028,'Données par municipalité'!$B$4:$L$1113,11,FALSE)),"")</f>
        <v/>
      </c>
      <c r="DG1028" s="476" t="s">
        <v>4723</v>
      </c>
      <c r="DH1028" s="484" t="s">
        <v>1124</v>
      </c>
      <c r="DI1028" s="484" t="s">
        <v>1124</v>
      </c>
      <c r="DJ1028" s="484">
        <v>0</v>
      </c>
      <c r="DK1028" s="484">
        <v>0</v>
      </c>
      <c r="DL1028" s="484" t="s">
        <v>1124</v>
      </c>
      <c r="DM1028" s="484" t="s">
        <v>1124</v>
      </c>
      <c r="DN1028" s="484" t="s">
        <v>1124</v>
      </c>
      <c r="DO1028" s="484" t="s">
        <v>1124</v>
      </c>
      <c r="DP1028" s="484" t="s">
        <v>1124</v>
      </c>
      <c r="DQ1028" s="484" t="str">
        <f>IF(VLOOKUP($BS1028,'État &amp; Plan d''action'!$B$6:$AJ$1113,28,FALSE)="","",VLOOKUP($BS1028,'État &amp; Plan d''action'!$B$6:$AJ$1113,28,FALSE))</f>
        <v/>
      </c>
      <c r="DR1028" s="70" t="str">
        <f>IF(VLOOKUP($BS1028,'État &amp; Plan d''action'!$B$6:$AJ$1113,29,FALSE)="","",VLOOKUP($BS1028,'État &amp; Plan d''action'!$B$6:$AJ$1113,29,FALSE))</f>
        <v/>
      </c>
      <c r="DS1028" s="70" t="str">
        <f>IF(VLOOKUP($BS1028,'État &amp; Plan d''action'!$B$6:$AJ$1113,30,FALSE)="","",VLOOKUP($BS1028,'État &amp; Plan d''action'!$B$6:$AJ$1113,30,FALSE))</f>
        <v/>
      </c>
      <c r="DT1028" s="70" t="s">
        <v>1124</v>
      </c>
      <c r="DU1028" s="485" t="s">
        <v>1124</v>
      </c>
      <c r="DV1028" s="485" t="s">
        <v>1124</v>
      </c>
      <c r="DW1028" s="70" t="s">
        <v>1124</v>
      </c>
      <c r="DX1028" s="70" t="s">
        <v>1124</v>
      </c>
      <c r="DY1028" s="70" t="s">
        <v>1124</v>
      </c>
      <c r="DZ1028" s="70" t="str">
        <f>VLOOKUP($BS1028,'État &amp; Plan d''action'!$B$6:$AH$1113,31,FALSE)</f>
        <v/>
      </c>
      <c r="EA1028" s="70" t="str">
        <f>VLOOKUP($BS1028,'État &amp; Plan d''action'!$B$6:$AH$1113,32,FALSE)</f>
        <v/>
      </c>
      <c r="EB1028" s="70" t="str">
        <f>VLOOKUP($BS1028,'État &amp; Plan d''action'!$B$6:$AH$1113,33,FALSE)</f>
        <v/>
      </c>
      <c r="EC1028" s="70" t="s">
        <v>1124</v>
      </c>
      <c r="ED1028" s="70" t="s">
        <v>1124</v>
      </c>
      <c r="EE1028" s="70" t="s">
        <v>1124</v>
      </c>
      <c r="EF1028" s="70" t="s">
        <v>1124</v>
      </c>
      <c r="EG1028" s="70" t="s">
        <v>1124</v>
      </c>
      <c r="EH1028" s="72"/>
      <c r="EI1028" s="72">
        <v>358</v>
      </c>
    </row>
    <row r="1029" spans="71:139" x14ac:dyDescent="0.35">
      <c r="BS1029" s="486">
        <v>50090</v>
      </c>
      <c r="BT1029" s="479" t="s">
        <v>493</v>
      </c>
      <c r="BU1029" s="479">
        <v>17</v>
      </c>
      <c r="BV1029" s="476" t="s">
        <v>1187</v>
      </c>
      <c r="BW1029" s="476" t="s">
        <v>1187</v>
      </c>
      <c r="BX1029" s="476" t="s">
        <v>1187</v>
      </c>
      <c r="BY1029" s="476" t="s">
        <v>1187</v>
      </c>
      <c r="BZ1029" s="476" t="s">
        <v>1187</v>
      </c>
      <c r="CA1029" s="476" t="s">
        <v>1187</v>
      </c>
      <c r="CB1029" s="476" t="s">
        <v>1187</v>
      </c>
      <c r="CC1029" s="476" t="s">
        <v>1187</v>
      </c>
      <c r="CD1029" s="476" t="s">
        <v>1187</v>
      </c>
      <c r="CE1029" s="476" t="s">
        <v>1188</v>
      </c>
      <c r="CF1029" s="476" t="s">
        <v>1188</v>
      </c>
      <c r="CG1029" s="476" t="s">
        <v>1188</v>
      </c>
      <c r="CH1029" s="476" t="s">
        <v>1188</v>
      </c>
      <c r="CI1029" s="476" t="s">
        <v>1188</v>
      </c>
      <c r="CJ1029" s="476" t="s">
        <v>1188</v>
      </c>
      <c r="CK1029" s="476" t="s">
        <v>1188</v>
      </c>
      <c r="CL1029" s="476" t="s">
        <v>1188</v>
      </c>
      <c r="CM1029" s="476" t="str">
        <f>IF(VLOOKUP(BS1029,'Données par municipalité'!$B$6:$E$1113,4,FALSE)="","non","oui")</f>
        <v>oui</v>
      </c>
      <c r="CN1029" s="410">
        <v>498.57901984794557</v>
      </c>
      <c r="CO1029" s="410">
        <v>564.64586001746409</v>
      </c>
      <c r="CP1029" s="410">
        <v>534.32828042080928</v>
      </c>
      <c r="CQ1029" s="410">
        <v>561.37378280754047</v>
      </c>
      <c r="CR1029" s="410">
        <v>554.42236599994317</v>
      </c>
      <c r="CS1029" s="410">
        <v>564.26760700816919</v>
      </c>
      <c r="CT1029" s="410">
        <v>487.60214601077331</v>
      </c>
      <c r="CU1029" s="410">
        <v>677</v>
      </c>
      <c r="CV1029" s="410">
        <f>IF(VLOOKUP(BS1029,'Données par municipalité'!$B$6:$F$1113,4,FALSE)="","",VLOOKUP(BS1029,'Données par municipalité'!$B$6:$F$1113,4,FALSE))</f>
        <v>658</v>
      </c>
      <c r="CW1029" s="476" t="s">
        <v>4723</v>
      </c>
      <c r="CX1029" s="483">
        <v>0</v>
      </c>
      <c r="CY1029" s="483">
        <v>0</v>
      </c>
      <c r="CZ1029" s="483">
        <v>0</v>
      </c>
      <c r="DA1029" s="483">
        <v>0</v>
      </c>
      <c r="DB1029" s="483">
        <v>0</v>
      </c>
      <c r="DC1029" s="483">
        <v>0</v>
      </c>
      <c r="DD1029" s="483">
        <v>0</v>
      </c>
      <c r="DE1029" s="483">
        <f>IFERROR(SUM(VLOOKUP($BS1029,'État &amp; Plan d''action'!$B$6:$Z$1113,18,FALSE),VLOOKUP($BS1029,'État &amp; Plan d''action'!$B$6:$Z$1113,20,FALSE))/(VLOOKUP($BS1029,'Données par municipalité'!$B$4:$L$1113,11,FALSE)),"")</f>
        <v>0</v>
      </c>
      <c r="DF1029" s="483">
        <f>IFERROR(SUM(VLOOKUP($BS1029,'État &amp; Plan d''action'!$B$6:$Z$1113,19,FALSE),VLOOKUP($BS1029,'État &amp; Plan d''action'!$B$6:$Z$1113,21,FALSE))/(VLOOKUP($BS1029,'Données par municipalité'!$B$4:$L$1113,11,FALSE)),"")</f>
        <v>0</v>
      </c>
      <c r="DG1029" s="476" t="s">
        <v>4723</v>
      </c>
      <c r="DH1029" s="484">
        <v>1</v>
      </c>
      <c r="DI1029" s="484">
        <v>3</v>
      </c>
      <c r="DJ1029" s="484">
        <v>5</v>
      </c>
      <c r="DK1029" s="484">
        <v>0</v>
      </c>
      <c r="DL1029" s="484">
        <v>0</v>
      </c>
      <c r="DM1029" s="484">
        <v>2</v>
      </c>
      <c r="DN1029" s="484">
        <v>2</v>
      </c>
      <c r="DO1029" s="484">
        <v>0</v>
      </c>
      <c r="DP1029" s="484">
        <v>0</v>
      </c>
      <c r="DQ1029" s="484">
        <f>IF(VLOOKUP($BS1029,'État &amp; Plan d''action'!$B$6:$AJ$1113,28,FALSE)="","",VLOOKUP($BS1029,'État &amp; Plan d''action'!$B$6:$AJ$1113,28,FALSE))</f>
        <v>2</v>
      </c>
      <c r="DR1029" s="70">
        <f>IF(VLOOKUP($BS1029,'État &amp; Plan d''action'!$B$6:$AJ$1113,29,FALSE)="","",VLOOKUP($BS1029,'État &amp; Plan d''action'!$B$6:$AJ$1113,29,FALSE))</f>
        <v>0</v>
      </c>
      <c r="DS1029" s="70">
        <f>IF(VLOOKUP($BS1029,'État &amp; Plan d''action'!$B$6:$AJ$1113,30,FALSE)="","",VLOOKUP($BS1029,'État &amp; Plan d''action'!$B$6:$AJ$1113,30,FALSE))</f>
        <v>0</v>
      </c>
      <c r="DT1029" s="70">
        <v>121</v>
      </c>
      <c r="DU1029" s="485">
        <v>0.68142886767168598</v>
      </c>
      <c r="DV1029" s="485">
        <v>0.23789574625206769</v>
      </c>
      <c r="DW1029" s="70">
        <v>1</v>
      </c>
      <c r="DX1029" s="70">
        <v>0</v>
      </c>
      <c r="DY1029" s="70">
        <v>0</v>
      </c>
      <c r="DZ1029" s="70">
        <f>VLOOKUP($BS1029,'État &amp; Plan d''action'!$B$6:$AH$1113,31,FALSE)</f>
        <v>1</v>
      </c>
      <c r="EA1029" s="70">
        <f>VLOOKUP($BS1029,'État &amp; Plan d''action'!$B$6:$AH$1113,32,FALSE)</f>
        <v>0</v>
      </c>
      <c r="EB1029" s="70">
        <f>VLOOKUP($BS1029,'État &amp; Plan d''action'!$B$6:$AH$1113,33,FALSE)</f>
        <v>0</v>
      </c>
      <c r="EC1029" s="70">
        <v>0</v>
      </c>
      <c r="ED1029" s="70">
        <v>0</v>
      </c>
      <c r="EE1029" s="70">
        <v>0</v>
      </c>
      <c r="EF1029" s="70">
        <v>0</v>
      </c>
      <c r="EG1029" s="70">
        <v>0</v>
      </c>
      <c r="EH1029" s="72">
        <v>75</v>
      </c>
      <c r="EI1029" s="72">
        <v>696</v>
      </c>
    </row>
    <row r="1030" spans="71:139" x14ac:dyDescent="0.35">
      <c r="BS1030" s="486">
        <v>71025</v>
      </c>
      <c r="BT1030" s="479" t="s">
        <v>707</v>
      </c>
      <c r="BU1030" s="479">
        <v>16</v>
      </c>
      <c r="BV1030" s="476" t="s">
        <v>1187</v>
      </c>
      <c r="BW1030" s="476" t="s">
        <v>1187</v>
      </c>
      <c r="BX1030" s="476" t="s">
        <v>1187</v>
      </c>
      <c r="BY1030" s="476" t="s">
        <v>1187</v>
      </c>
      <c r="BZ1030" s="476" t="s">
        <v>1187</v>
      </c>
      <c r="CA1030" s="476" t="s">
        <v>1187</v>
      </c>
      <c r="CB1030" s="476" t="s">
        <v>1187</v>
      </c>
      <c r="CC1030" s="476" t="s">
        <v>1187</v>
      </c>
      <c r="CD1030" s="476" t="s">
        <v>1187</v>
      </c>
      <c r="CE1030" s="476" t="s">
        <v>1188</v>
      </c>
      <c r="CF1030" s="476" t="s">
        <v>1188</v>
      </c>
      <c r="CG1030" s="476" t="s">
        <v>1187</v>
      </c>
      <c r="CH1030" s="476" t="s">
        <v>1188</v>
      </c>
      <c r="CI1030" s="476" t="s">
        <v>1188</v>
      </c>
      <c r="CJ1030" s="476" t="s">
        <v>1188</v>
      </c>
      <c r="CK1030" s="476" t="s">
        <v>1188</v>
      </c>
      <c r="CL1030" s="476" t="s">
        <v>1188</v>
      </c>
      <c r="CM1030" s="476" t="str">
        <f>IF(VLOOKUP(BS1030,'Données par municipalité'!$B$6:$E$1113,4,FALSE)="","non","oui")</f>
        <v>oui</v>
      </c>
      <c r="CN1030" s="410">
        <v>359.58586588307497</v>
      </c>
      <c r="CO1030" s="410">
        <v>311.75368868089782</v>
      </c>
      <c r="CP1030" s="410"/>
      <c r="CQ1030" s="410">
        <v>326.98536351697999</v>
      </c>
      <c r="CR1030" s="410">
        <v>285.72908214405038</v>
      </c>
      <c r="CS1030" s="410">
        <v>314.20891751120547</v>
      </c>
      <c r="CT1030" s="410">
        <v>279.74878138360845</v>
      </c>
      <c r="CU1030" s="410">
        <v>322</v>
      </c>
      <c r="CV1030" s="410">
        <f>IF(VLOOKUP(BS1030,'Données par municipalité'!$B$6:$F$1113,4,FALSE)="","",VLOOKUP(BS1030,'Données par municipalité'!$B$6:$F$1113,4,FALSE))</f>
        <v>316</v>
      </c>
      <c r="CW1030" s="476" t="s">
        <v>4723</v>
      </c>
      <c r="CX1030" s="483">
        <v>0.2</v>
      </c>
      <c r="CY1030" s="483" t="s">
        <v>1124</v>
      </c>
      <c r="CZ1030" s="483">
        <v>0</v>
      </c>
      <c r="DA1030" s="483">
        <v>0</v>
      </c>
      <c r="DB1030" s="483">
        <v>0</v>
      </c>
      <c r="DC1030" s="483">
        <v>1</v>
      </c>
      <c r="DD1030" s="483">
        <v>0</v>
      </c>
      <c r="DE1030" s="483">
        <f>IFERROR(SUM(VLOOKUP($BS1030,'État &amp; Plan d''action'!$B$6:$Z$1113,18,FALSE),VLOOKUP($BS1030,'État &amp; Plan d''action'!$B$6:$Z$1113,20,FALSE))/(VLOOKUP($BS1030,'Données par municipalité'!$B$4:$L$1113,11,FALSE)),"")</f>
        <v>0</v>
      </c>
      <c r="DF1030" s="483">
        <f>IFERROR(SUM(VLOOKUP($BS1030,'État &amp; Plan d''action'!$B$6:$Z$1113,19,FALSE),VLOOKUP($BS1030,'État &amp; Plan d''action'!$B$6:$Z$1113,21,FALSE))/(VLOOKUP($BS1030,'Données par municipalité'!$B$4:$L$1113,11,FALSE)),"")</f>
        <v>1</v>
      </c>
      <c r="DG1030" s="476" t="s">
        <v>4723</v>
      </c>
      <c r="DH1030" s="484">
        <v>2</v>
      </c>
      <c r="DI1030" s="484">
        <v>3</v>
      </c>
      <c r="DJ1030" s="484">
        <v>1</v>
      </c>
      <c r="DK1030" s="484">
        <v>1</v>
      </c>
      <c r="DL1030" s="484">
        <v>3</v>
      </c>
      <c r="DM1030" s="484">
        <v>3</v>
      </c>
      <c r="DN1030" s="484">
        <v>4</v>
      </c>
      <c r="DO1030" s="484">
        <v>0</v>
      </c>
      <c r="DP1030" s="484">
        <v>0</v>
      </c>
      <c r="DQ1030" s="484">
        <f>IF(VLOOKUP($BS1030,'État &amp; Plan d''action'!$B$6:$AJ$1113,28,FALSE)="","",VLOOKUP($BS1030,'État &amp; Plan d''action'!$B$6:$AJ$1113,28,FALSE))</f>
        <v>2</v>
      </c>
      <c r="DR1030" s="70">
        <f>IF(VLOOKUP($BS1030,'État &amp; Plan d''action'!$B$6:$AJ$1113,29,FALSE)="","",VLOOKUP($BS1030,'État &amp; Plan d''action'!$B$6:$AJ$1113,29,FALSE))</f>
        <v>0</v>
      </c>
      <c r="DS1030" s="70">
        <f>IF(VLOOKUP($BS1030,'État &amp; Plan d''action'!$B$6:$AJ$1113,30,FALSE)="","",VLOOKUP($BS1030,'État &amp; Plan d''action'!$B$6:$AJ$1113,30,FALSE))</f>
        <v>0</v>
      </c>
      <c r="DT1030" s="70">
        <v>270</v>
      </c>
      <c r="DU1030" s="485">
        <v>1.0739193288779143</v>
      </c>
      <c r="DV1030" s="485">
        <v>3.5218036310388512</v>
      </c>
      <c r="DW1030" s="70">
        <v>1</v>
      </c>
      <c r="DX1030" s="70">
        <v>0</v>
      </c>
      <c r="DY1030" s="70">
        <v>0</v>
      </c>
      <c r="DZ1030" s="70">
        <f>VLOOKUP($BS1030,'État &amp; Plan d''action'!$B$6:$AH$1113,31,FALSE)</f>
        <v>1</v>
      </c>
      <c r="EA1030" s="70">
        <f>VLOOKUP($BS1030,'État &amp; Plan d''action'!$B$6:$AH$1113,32,FALSE)</f>
        <v>0</v>
      </c>
      <c r="EB1030" s="70">
        <f>VLOOKUP($BS1030,'État &amp; Plan d''action'!$B$6:$AH$1113,33,FALSE)</f>
        <v>0</v>
      </c>
      <c r="EC1030" s="70">
        <v>0</v>
      </c>
      <c r="ED1030" s="70">
        <v>0</v>
      </c>
      <c r="EE1030" s="70">
        <v>0</v>
      </c>
      <c r="EF1030" s="70">
        <v>0</v>
      </c>
      <c r="EG1030" s="70">
        <v>0</v>
      </c>
      <c r="EH1030" s="72">
        <v>55</v>
      </c>
      <c r="EI1030" s="72">
        <v>8623</v>
      </c>
    </row>
    <row r="1031" spans="71:139" x14ac:dyDescent="0.35">
      <c r="BS1031" s="486">
        <v>70052</v>
      </c>
      <c r="BT1031" s="479" t="s">
        <v>703</v>
      </c>
      <c r="BU1031" s="479">
        <v>16</v>
      </c>
      <c r="BV1031" s="476" t="s">
        <v>1187</v>
      </c>
      <c r="BW1031" s="476" t="s">
        <v>1187</v>
      </c>
      <c r="BX1031" s="476" t="s">
        <v>1187</v>
      </c>
      <c r="BY1031" s="476" t="s">
        <v>1187</v>
      </c>
      <c r="BZ1031" s="476" t="s">
        <v>1187</v>
      </c>
      <c r="CA1031" s="476" t="s">
        <v>1187</v>
      </c>
      <c r="CB1031" s="476" t="s">
        <v>1187</v>
      </c>
      <c r="CC1031" s="476" t="s">
        <v>1187</v>
      </c>
      <c r="CD1031" s="476" t="s">
        <v>1187</v>
      </c>
      <c r="CE1031" s="476" t="s">
        <v>1187</v>
      </c>
      <c r="CF1031" s="476" t="s">
        <v>1187</v>
      </c>
      <c r="CG1031" s="476" t="s">
        <v>1187</v>
      </c>
      <c r="CH1031" s="476" t="s">
        <v>1187</v>
      </c>
      <c r="CI1031" s="476" t="s">
        <v>1187</v>
      </c>
      <c r="CJ1031" s="476" t="s">
        <v>1188</v>
      </c>
      <c r="CK1031" s="476" t="s">
        <v>1188</v>
      </c>
      <c r="CL1031" s="476" t="s">
        <v>1187</v>
      </c>
      <c r="CM1031" s="476" t="str">
        <f>IF(VLOOKUP(BS1031,'Données par municipalité'!$B$6:$E$1113,4,FALSE)="","non","oui")</f>
        <v>non</v>
      </c>
      <c r="CN1031" s="410" t="s">
        <v>1124</v>
      </c>
      <c r="CO1031" s="410" t="s">
        <v>1124</v>
      </c>
      <c r="CP1031" s="410"/>
      <c r="CQ1031" s="410"/>
      <c r="CR1031" s="410"/>
      <c r="CS1031" s="410">
        <v>1039.3464932874219</v>
      </c>
      <c r="CT1031" s="410">
        <v>1028.8235345683163</v>
      </c>
      <c r="CU1031" s="410" t="s">
        <v>1124</v>
      </c>
      <c r="CV1031" s="410" t="str">
        <f>IF(VLOOKUP(BS1031,'Données par municipalité'!$B$6:$F$1113,4,FALSE)="","",VLOOKUP(BS1031,'Données par municipalité'!$B$6:$F$1113,4,FALSE))</f>
        <v/>
      </c>
      <c r="CW1031" s="476" t="s">
        <v>4723</v>
      </c>
      <c r="CX1031" s="483" t="s">
        <v>1124</v>
      </c>
      <c r="CY1031" s="483" t="s">
        <v>1124</v>
      </c>
      <c r="CZ1031" s="483" t="s">
        <v>1124</v>
      </c>
      <c r="DA1031" s="483" t="s">
        <v>1124</v>
      </c>
      <c r="DB1031" s="483">
        <v>0.2</v>
      </c>
      <c r="DC1031" s="483">
        <v>1</v>
      </c>
      <c r="DD1031" s="483" t="s">
        <v>1124</v>
      </c>
      <c r="DE1031" s="483" t="str">
        <f>IFERROR(SUM(VLOOKUP($BS1031,'État &amp; Plan d''action'!$B$6:$Z$1113,18,FALSE),VLOOKUP($BS1031,'État &amp; Plan d''action'!$B$6:$Z$1113,20,FALSE))/(VLOOKUP($BS1031,'Données par municipalité'!$B$4:$L$1113,11,FALSE)),"")</f>
        <v/>
      </c>
      <c r="DF1031" s="483" t="str">
        <f>IFERROR(SUM(VLOOKUP($BS1031,'État &amp; Plan d''action'!$B$6:$Z$1113,19,FALSE),VLOOKUP($BS1031,'État &amp; Plan d''action'!$B$6:$Z$1113,21,FALSE))/(VLOOKUP($BS1031,'Données par municipalité'!$B$4:$L$1113,11,FALSE)),"")</f>
        <v/>
      </c>
      <c r="DG1031" s="476" t="s">
        <v>4723</v>
      </c>
      <c r="DH1031" s="484">
        <v>132</v>
      </c>
      <c r="DI1031" s="484">
        <v>201</v>
      </c>
      <c r="DJ1031" s="484">
        <v>326</v>
      </c>
      <c r="DK1031" s="484">
        <v>277</v>
      </c>
      <c r="DL1031" s="484">
        <v>203</v>
      </c>
      <c r="DM1031" s="484">
        <v>168</v>
      </c>
      <c r="DN1031" s="484" t="s">
        <v>1124</v>
      </c>
      <c r="DO1031" s="484" t="s">
        <v>1124</v>
      </c>
      <c r="DP1031" s="484" t="s">
        <v>1124</v>
      </c>
      <c r="DQ1031" s="484" t="str">
        <f>IF(VLOOKUP($BS1031,'État &amp; Plan d''action'!$B$6:$AJ$1113,28,FALSE)="","",VLOOKUP($BS1031,'État &amp; Plan d''action'!$B$6:$AJ$1113,28,FALSE))</f>
        <v/>
      </c>
      <c r="DR1031" s="70" t="str">
        <f>IF(VLOOKUP($BS1031,'État &amp; Plan d''action'!$B$6:$AJ$1113,29,FALSE)="","",VLOOKUP($BS1031,'État &amp; Plan d''action'!$B$6:$AJ$1113,29,FALSE))</f>
        <v/>
      </c>
      <c r="DS1031" s="70" t="str">
        <f>IF(VLOOKUP($BS1031,'État &amp; Plan d''action'!$B$6:$AJ$1113,30,FALSE)="","",VLOOKUP($BS1031,'État &amp; Plan d''action'!$B$6:$AJ$1113,30,FALSE))</f>
        <v/>
      </c>
      <c r="DT1031" s="70" t="s">
        <v>1124</v>
      </c>
      <c r="DU1031" s="485" t="s">
        <v>1124</v>
      </c>
      <c r="DV1031" s="485" t="s">
        <v>1124</v>
      </c>
      <c r="DW1031" s="70" t="s">
        <v>1124</v>
      </c>
      <c r="DX1031" s="70" t="s">
        <v>1124</v>
      </c>
      <c r="DY1031" s="70" t="s">
        <v>1124</v>
      </c>
      <c r="DZ1031" s="70" t="str">
        <f>VLOOKUP($BS1031,'État &amp; Plan d''action'!$B$6:$AH$1113,31,FALSE)</f>
        <v/>
      </c>
      <c r="EA1031" s="70" t="str">
        <f>VLOOKUP($BS1031,'État &amp; Plan d''action'!$B$6:$AH$1113,32,FALSE)</f>
        <v/>
      </c>
      <c r="EB1031" s="70" t="str">
        <f>VLOOKUP($BS1031,'État &amp; Plan d''action'!$B$6:$AH$1113,33,FALSE)</f>
        <v/>
      </c>
      <c r="EC1031" s="70" t="s">
        <v>1124</v>
      </c>
      <c r="ED1031" s="70" t="s">
        <v>1124</v>
      </c>
      <c r="EE1031" s="70" t="s">
        <v>1124</v>
      </c>
      <c r="EF1031" s="70" t="s">
        <v>1124</v>
      </c>
      <c r="EG1031" s="70" t="s">
        <v>1124</v>
      </c>
      <c r="EH1031" s="72"/>
      <c r="EI1031" s="72">
        <v>41701</v>
      </c>
    </row>
    <row r="1032" spans="71:139" x14ac:dyDescent="0.35">
      <c r="BS1032" s="486">
        <v>7085</v>
      </c>
      <c r="BT1032" s="479" t="s">
        <v>1081</v>
      </c>
      <c r="BU1032" s="479">
        <v>1</v>
      </c>
      <c r="BV1032" s="476" t="s">
        <v>1187</v>
      </c>
      <c r="BW1032" s="476" t="s">
        <v>1187</v>
      </c>
      <c r="BX1032" s="476" t="s">
        <v>1187</v>
      </c>
      <c r="BY1032" s="476" t="s">
        <v>1187</v>
      </c>
      <c r="BZ1032" s="476" t="s">
        <v>1187</v>
      </c>
      <c r="CA1032" s="476" t="s">
        <v>1187</v>
      </c>
      <c r="CB1032" s="476" t="s">
        <v>1187</v>
      </c>
      <c r="CC1032" s="476" t="s">
        <v>1187</v>
      </c>
      <c r="CD1032" s="476" t="s">
        <v>1187</v>
      </c>
      <c r="CE1032" s="476" t="s">
        <v>1188</v>
      </c>
      <c r="CF1032" s="476" t="s">
        <v>1188</v>
      </c>
      <c r="CG1032" s="476" t="s">
        <v>1187</v>
      </c>
      <c r="CH1032" s="476" t="s">
        <v>1187</v>
      </c>
      <c r="CI1032" s="476" t="s">
        <v>1188</v>
      </c>
      <c r="CJ1032" s="476" t="s">
        <v>1188</v>
      </c>
      <c r="CK1032" s="476" t="s">
        <v>1188</v>
      </c>
      <c r="CL1032" s="476" t="s">
        <v>1187</v>
      </c>
      <c r="CM1032" s="476" t="str">
        <f>IF(VLOOKUP(BS1032,'Données par municipalité'!$B$6:$E$1113,4,FALSE)="","non","oui")</f>
        <v>oui</v>
      </c>
      <c r="CN1032" s="410">
        <v>600.42961994634857</v>
      </c>
      <c r="CO1032" s="410">
        <v>568.89511853251258</v>
      </c>
      <c r="CP1032" s="410"/>
      <c r="CQ1032" s="410"/>
      <c r="CR1032" s="410">
        <v>490.4301534387597</v>
      </c>
      <c r="CS1032" s="410">
        <v>799.98192051948763</v>
      </c>
      <c r="CT1032" s="410">
        <v>496.95482291403658</v>
      </c>
      <c r="CU1032" s="410" t="s">
        <v>1124</v>
      </c>
      <c r="CV1032" s="410">
        <f>IF(VLOOKUP(BS1032,'Données par municipalité'!$B$6:$F$1113,4,FALSE)="","",VLOOKUP(BS1032,'Données par municipalité'!$B$6:$F$1113,4,FALSE))</f>
        <v>441</v>
      </c>
      <c r="CW1032" s="476" t="s">
        <v>4723</v>
      </c>
      <c r="CX1032" s="483">
        <v>1</v>
      </c>
      <c r="CY1032" s="483" t="s">
        <v>1124</v>
      </c>
      <c r="CZ1032" s="483" t="s">
        <v>1124</v>
      </c>
      <c r="DA1032" s="483">
        <v>1</v>
      </c>
      <c r="DB1032" s="483">
        <v>1</v>
      </c>
      <c r="DC1032" s="483">
        <v>0.2</v>
      </c>
      <c r="DD1032" s="483" t="s">
        <v>1124</v>
      </c>
      <c r="DE1032" s="483">
        <f>IFERROR(SUM(VLOOKUP($BS1032,'État &amp; Plan d''action'!$B$6:$Z$1113,18,FALSE),VLOOKUP($BS1032,'État &amp; Plan d''action'!$B$6:$Z$1113,20,FALSE))/(VLOOKUP($BS1032,'Données par municipalité'!$B$4:$L$1113,11,FALSE)),"")</f>
        <v>1.0660486674391656</v>
      </c>
      <c r="DF1032" s="483">
        <f>IFERROR(SUM(VLOOKUP($BS1032,'État &amp; Plan d''action'!$B$6:$Z$1113,19,FALSE),VLOOKUP($BS1032,'État &amp; Plan d''action'!$B$6:$Z$1113,21,FALSE))/(VLOOKUP($BS1032,'Données par municipalité'!$B$4:$L$1113,11,FALSE)),"")</f>
        <v>1</v>
      </c>
      <c r="DG1032" s="476" t="s">
        <v>4723</v>
      </c>
      <c r="DH1032" s="484">
        <v>1</v>
      </c>
      <c r="DI1032" s="484" t="s">
        <v>1124</v>
      </c>
      <c r="DJ1032" s="484">
        <v>0</v>
      </c>
      <c r="DK1032" s="484">
        <v>3</v>
      </c>
      <c r="DL1032" s="484">
        <v>2</v>
      </c>
      <c r="DM1032" s="484">
        <v>5</v>
      </c>
      <c r="DN1032" s="484" t="s">
        <v>1124</v>
      </c>
      <c r="DO1032" s="484" t="s">
        <v>1124</v>
      </c>
      <c r="DP1032" s="484" t="s">
        <v>1124</v>
      </c>
      <c r="DQ1032" s="484">
        <f>IF(VLOOKUP($BS1032,'État &amp; Plan d''action'!$B$6:$AJ$1113,28,FALSE)="","",VLOOKUP($BS1032,'État &amp; Plan d''action'!$B$6:$AJ$1113,28,FALSE))</f>
        <v>9</v>
      </c>
      <c r="DR1032" s="70">
        <f>IF(VLOOKUP($BS1032,'État &amp; Plan d''action'!$B$6:$AJ$1113,29,FALSE)="","",VLOOKUP($BS1032,'État &amp; Plan d''action'!$B$6:$AJ$1113,29,FALSE))</f>
        <v>2</v>
      </c>
      <c r="DS1032" s="70">
        <f>IF(VLOOKUP($BS1032,'État &amp; Plan d''action'!$B$6:$AJ$1113,30,FALSE)="","",VLOOKUP($BS1032,'État &amp; Plan d''action'!$B$6:$AJ$1113,30,FALSE))</f>
        <v>0</v>
      </c>
      <c r="DT1032" s="70" t="s">
        <v>1124</v>
      </c>
      <c r="DU1032" s="485" t="s">
        <v>1124</v>
      </c>
      <c r="DV1032" s="485">
        <v>1.8273709210470632</v>
      </c>
      <c r="DW1032" s="70" t="s">
        <v>1124</v>
      </c>
      <c r="DX1032" s="70" t="s">
        <v>1124</v>
      </c>
      <c r="DY1032" s="70" t="s">
        <v>1124</v>
      </c>
      <c r="DZ1032" s="70">
        <f>VLOOKUP($BS1032,'État &amp; Plan d''action'!$B$6:$AH$1113,31,FALSE)</f>
        <v>1</v>
      </c>
      <c r="EA1032" s="70">
        <f>VLOOKUP($BS1032,'État &amp; Plan d''action'!$B$6:$AH$1113,32,FALSE)</f>
        <v>3</v>
      </c>
      <c r="EB1032" s="70">
        <f>VLOOKUP($BS1032,'État &amp; Plan d''action'!$B$6:$AH$1113,33,FALSE)</f>
        <v>0</v>
      </c>
      <c r="EC1032" s="70" t="s">
        <v>1124</v>
      </c>
      <c r="ED1032" s="70" t="s">
        <v>1124</v>
      </c>
      <c r="EE1032" s="70" t="s">
        <v>1124</v>
      </c>
      <c r="EF1032" s="70" t="s">
        <v>1124</v>
      </c>
      <c r="EG1032" s="70" t="s">
        <v>1124</v>
      </c>
      <c r="EH1032" s="72"/>
      <c r="EI1032" s="72">
        <v>1793</v>
      </c>
    </row>
    <row r="1033" spans="71:139" x14ac:dyDescent="0.35">
      <c r="BS1033" s="486">
        <v>97040</v>
      </c>
      <c r="BT1033" s="479" t="s">
        <v>1005</v>
      </c>
      <c r="BU1033" s="479">
        <v>9</v>
      </c>
      <c r="BV1033" s="476" t="s">
        <v>1187</v>
      </c>
      <c r="BW1033" s="476" t="s">
        <v>1187</v>
      </c>
      <c r="BX1033" s="476" t="s">
        <v>1187</v>
      </c>
      <c r="BY1033" s="476" t="s">
        <v>1187</v>
      </c>
      <c r="BZ1033" s="476" t="s">
        <v>1187</v>
      </c>
      <c r="CA1033" s="476" t="s">
        <v>1187</v>
      </c>
      <c r="CB1033" s="476" t="s">
        <v>1187</v>
      </c>
      <c r="CC1033" s="476" t="s">
        <v>1187</v>
      </c>
      <c r="CD1033" s="476" t="s">
        <v>1187</v>
      </c>
      <c r="CE1033" s="476" t="s">
        <v>1188</v>
      </c>
      <c r="CF1033" s="476" t="s">
        <v>1188</v>
      </c>
      <c r="CG1033" s="476" t="s">
        <v>1187</v>
      </c>
      <c r="CH1033" s="476" t="s">
        <v>1187</v>
      </c>
      <c r="CI1033" s="476" t="s">
        <v>1187</v>
      </c>
      <c r="CJ1033" s="476" t="s">
        <v>1187</v>
      </c>
      <c r="CK1033" s="476" t="s">
        <v>1187</v>
      </c>
      <c r="CL1033" s="476" t="s">
        <v>1187</v>
      </c>
      <c r="CM1033" s="476" t="str">
        <f>IF(VLOOKUP(BS1033,'Données par municipalité'!$B$6:$E$1113,4,FALSE)="","non","oui")</f>
        <v>non</v>
      </c>
      <c r="CN1033" s="410">
        <v>3508.7719298245615</v>
      </c>
      <c r="CO1033" s="410">
        <v>3496.266365204252</v>
      </c>
      <c r="CP1033" s="410"/>
      <c r="CQ1033" s="410"/>
      <c r="CR1033" s="410"/>
      <c r="CS1033" s="410" t="s">
        <v>1124</v>
      </c>
      <c r="CT1033" s="410"/>
      <c r="CU1033" s="410" t="s">
        <v>1124</v>
      </c>
      <c r="CV1033" s="410" t="str">
        <f>IF(VLOOKUP(BS1033,'Données par municipalité'!$B$6:$F$1113,4,FALSE)="","",VLOOKUP(BS1033,'Données par municipalité'!$B$6:$F$1113,4,FALSE))</f>
        <v/>
      </c>
      <c r="CW1033" s="476" t="s">
        <v>4723</v>
      </c>
      <c r="CX1033" s="483">
        <v>0.5</v>
      </c>
      <c r="CY1033" s="483" t="s">
        <v>1124</v>
      </c>
      <c r="CZ1033" s="483" t="s">
        <v>1124</v>
      </c>
      <c r="DA1033" s="483" t="s">
        <v>1124</v>
      </c>
      <c r="DB1033" s="483" t="s">
        <v>1124</v>
      </c>
      <c r="DC1033" s="483" t="s">
        <v>1124</v>
      </c>
      <c r="DD1033" s="483" t="s">
        <v>1124</v>
      </c>
      <c r="DE1033" s="483" t="str">
        <f>IFERROR(SUM(VLOOKUP($BS1033,'État &amp; Plan d''action'!$B$6:$Z$1113,18,FALSE),VLOOKUP($BS1033,'État &amp; Plan d''action'!$B$6:$Z$1113,20,FALSE))/(VLOOKUP($BS1033,'Données par municipalité'!$B$4:$L$1113,11,FALSE)),"")</f>
        <v/>
      </c>
      <c r="DF1033" s="483" t="str">
        <f>IFERROR(SUM(VLOOKUP($BS1033,'État &amp; Plan d''action'!$B$6:$Z$1113,19,FALSE),VLOOKUP($BS1033,'État &amp; Plan d''action'!$B$6:$Z$1113,21,FALSE))/(VLOOKUP($BS1033,'Données par municipalité'!$B$4:$L$1113,11,FALSE)),"")</f>
        <v/>
      </c>
      <c r="DG1033" s="476" t="s">
        <v>4723</v>
      </c>
      <c r="DH1033" s="484">
        <v>2</v>
      </c>
      <c r="DI1033" s="484" t="s">
        <v>1124</v>
      </c>
      <c r="DJ1033" s="484">
        <v>0</v>
      </c>
      <c r="DK1033" s="484">
        <v>5</v>
      </c>
      <c r="DL1033" s="484" t="s">
        <v>1124</v>
      </c>
      <c r="DM1033" s="484" t="s">
        <v>1124</v>
      </c>
      <c r="DN1033" s="484" t="s">
        <v>1124</v>
      </c>
      <c r="DO1033" s="484" t="s">
        <v>1124</v>
      </c>
      <c r="DP1033" s="484" t="s">
        <v>1124</v>
      </c>
      <c r="DQ1033" s="484" t="str">
        <f>IF(VLOOKUP($BS1033,'État &amp; Plan d''action'!$B$6:$AJ$1113,28,FALSE)="","",VLOOKUP($BS1033,'État &amp; Plan d''action'!$B$6:$AJ$1113,28,FALSE))</f>
        <v/>
      </c>
      <c r="DR1033" s="70" t="str">
        <f>IF(VLOOKUP($BS1033,'État &amp; Plan d''action'!$B$6:$AJ$1113,29,FALSE)="","",VLOOKUP($BS1033,'État &amp; Plan d''action'!$B$6:$AJ$1113,29,FALSE))</f>
        <v/>
      </c>
      <c r="DS1033" s="70" t="str">
        <f>IF(VLOOKUP($BS1033,'État &amp; Plan d''action'!$B$6:$AJ$1113,30,FALSE)="","",VLOOKUP($BS1033,'État &amp; Plan d''action'!$B$6:$AJ$1113,30,FALSE))</f>
        <v/>
      </c>
      <c r="DT1033" s="70" t="s">
        <v>1124</v>
      </c>
      <c r="DU1033" s="485" t="s">
        <v>1124</v>
      </c>
      <c r="DV1033" s="485" t="s">
        <v>1124</v>
      </c>
      <c r="DW1033" s="70" t="s">
        <v>1124</v>
      </c>
      <c r="DX1033" s="70" t="s">
        <v>1124</v>
      </c>
      <c r="DY1033" s="70" t="s">
        <v>1124</v>
      </c>
      <c r="DZ1033" s="70" t="str">
        <f>VLOOKUP($BS1033,'État &amp; Plan d''action'!$B$6:$AH$1113,31,FALSE)</f>
        <v/>
      </c>
      <c r="EA1033" s="70" t="str">
        <f>VLOOKUP($BS1033,'État &amp; Plan d''action'!$B$6:$AH$1113,32,FALSE)</f>
        <v/>
      </c>
      <c r="EB1033" s="70" t="str">
        <f>VLOOKUP($BS1033,'État &amp; Plan d''action'!$B$6:$AH$1113,33,FALSE)</f>
        <v/>
      </c>
      <c r="EC1033" s="70" t="s">
        <v>1124</v>
      </c>
      <c r="ED1033" s="70" t="s">
        <v>1124</v>
      </c>
      <c r="EE1033" s="70" t="s">
        <v>1124</v>
      </c>
      <c r="EF1033" s="70" t="s">
        <v>1124</v>
      </c>
      <c r="EG1033" s="70" t="s">
        <v>1124</v>
      </c>
      <c r="EH1033" s="72"/>
      <c r="EI1033" s="72">
        <v>154</v>
      </c>
    </row>
    <row r="1034" spans="71:139" x14ac:dyDescent="0.35">
      <c r="BS1034" s="486">
        <v>41080</v>
      </c>
      <c r="BT1034" s="479" t="s">
        <v>375</v>
      </c>
      <c r="BU1034" s="479">
        <v>5</v>
      </c>
      <c r="BV1034" s="476" t="s">
        <v>1187</v>
      </c>
      <c r="BW1034" s="476" t="s">
        <v>1187</v>
      </c>
      <c r="BX1034" s="476" t="s">
        <v>1187</v>
      </c>
      <c r="BY1034" s="476" t="s">
        <v>1187</v>
      </c>
      <c r="BZ1034" s="476" t="s">
        <v>1187</v>
      </c>
      <c r="CA1034" s="476" t="s">
        <v>1187</v>
      </c>
      <c r="CB1034" s="476" t="s">
        <v>1187</v>
      </c>
      <c r="CC1034" s="476" t="s">
        <v>1187</v>
      </c>
      <c r="CD1034" s="476" t="s">
        <v>1187</v>
      </c>
      <c r="CE1034" s="476" t="s">
        <v>1188</v>
      </c>
      <c r="CF1034" s="476" t="s">
        <v>1187</v>
      </c>
      <c r="CG1034" s="476" t="s">
        <v>1187</v>
      </c>
      <c r="CH1034" s="476" t="s">
        <v>1187</v>
      </c>
      <c r="CI1034" s="476" t="s">
        <v>1187</v>
      </c>
      <c r="CJ1034" s="476" t="s">
        <v>1188</v>
      </c>
      <c r="CK1034" s="476" t="s">
        <v>1187</v>
      </c>
      <c r="CL1034" s="476" t="s">
        <v>1188</v>
      </c>
      <c r="CM1034" s="476" t="str">
        <f>IF(VLOOKUP(BS1034,'Données par municipalité'!$B$6:$E$1113,4,FALSE)="","non","oui")</f>
        <v>non</v>
      </c>
      <c r="CN1034" s="410">
        <v>791.2102458880762</v>
      </c>
      <c r="CO1034" s="410" t="s">
        <v>1124</v>
      </c>
      <c r="CP1034" s="410"/>
      <c r="CQ1034" s="410"/>
      <c r="CR1034" s="410"/>
      <c r="CS1034" s="410">
        <v>605.50329145751994</v>
      </c>
      <c r="CT1034" s="410"/>
      <c r="CU1034" s="410">
        <v>590</v>
      </c>
      <c r="CV1034" s="410" t="str">
        <f>IF(VLOOKUP(BS1034,'Données par municipalité'!$B$6:$F$1113,4,FALSE)="","",VLOOKUP(BS1034,'Données par municipalité'!$B$6:$F$1113,4,FALSE))</f>
        <v/>
      </c>
      <c r="CW1034" s="476" t="s">
        <v>4723</v>
      </c>
      <c r="CX1034" s="483" t="s">
        <v>1124</v>
      </c>
      <c r="CY1034" s="483" t="s">
        <v>1124</v>
      </c>
      <c r="CZ1034" s="483" t="s">
        <v>1124</v>
      </c>
      <c r="DA1034" s="483" t="s">
        <v>1124</v>
      </c>
      <c r="DB1034" s="483">
        <v>0</v>
      </c>
      <c r="DC1034" s="483" t="s">
        <v>1124</v>
      </c>
      <c r="DD1034" s="483">
        <v>0</v>
      </c>
      <c r="DE1034" s="483" t="str">
        <f>IFERROR(SUM(VLOOKUP($BS1034,'État &amp; Plan d''action'!$B$6:$Z$1113,18,FALSE),VLOOKUP($BS1034,'État &amp; Plan d''action'!$B$6:$Z$1113,20,FALSE))/(VLOOKUP($BS1034,'Données par municipalité'!$B$4:$L$1113,11,FALSE)),"")</f>
        <v/>
      </c>
      <c r="DF1034" s="483" t="str">
        <f>IFERROR(SUM(VLOOKUP($BS1034,'État &amp; Plan d''action'!$B$6:$Z$1113,19,FALSE),VLOOKUP($BS1034,'État &amp; Plan d''action'!$B$6:$Z$1113,21,FALSE))/(VLOOKUP($BS1034,'Données par municipalité'!$B$4:$L$1113,11,FALSE)),"")</f>
        <v/>
      </c>
      <c r="DG1034" s="476" t="s">
        <v>4723</v>
      </c>
      <c r="DH1034" s="484" t="s">
        <v>1124</v>
      </c>
      <c r="DI1034" s="484" t="s">
        <v>1124</v>
      </c>
      <c r="DJ1034" s="484">
        <v>0</v>
      </c>
      <c r="DK1034" s="484">
        <v>0</v>
      </c>
      <c r="DL1034" s="484">
        <v>3</v>
      </c>
      <c r="DM1034" s="484" t="s">
        <v>1124</v>
      </c>
      <c r="DN1034" s="484">
        <v>3</v>
      </c>
      <c r="DO1034" s="484">
        <v>0</v>
      </c>
      <c r="DP1034" s="484">
        <v>1</v>
      </c>
      <c r="DQ1034" s="484" t="str">
        <f>IF(VLOOKUP($BS1034,'État &amp; Plan d''action'!$B$6:$AJ$1113,28,FALSE)="","",VLOOKUP($BS1034,'État &amp; Plan d''action'!$B$6:$AJ$1113,28,FALSE))</f>
        <v/>
      </c>
      <c r="DR1034" s="70" t="str">
        <f>IF(VLOOKUP($BS1034,'État &amp; Plan d''action'!$B$6:$AJ$1113,29,FALSE)="","",VLOOKUP($BS1034,'État &amp; Plan d''action'!$B$6:$AJ$1113,29,FALSE))</f>
        <v/>
      </c>
      <c r="DS1034" s="70" t="str">
        <f>IF(VLOOKUP($BS1034,'État &amp; Plan d''action'!$B$6:$AJ$1113,30,FALSE)="","",VLOOKUP($BS1034,'État &amp; Plan d''action'!$B$6:$AJ$1113,30,FALSE))</f>
        <v/>
      </c>
      <c r="DT1034" s="70">
        <v>493</v>
      </c>
      <c r="DU1034" s="485">
        <v>1.3593322521532454</v>
      </c>
      <c r="DV1034" s="485" t="s">
        <v>1124</v>
      </c>
      <c r="DW1034" s="70">
        <v>4</v>
      </c>
      <c r="DX1034" s="70">
        <v>0</v>
      </c>
      <c r="DY1034" s="70">
        <v>7</v>
      </c>
      <c r="DZ1034" s="70" t="str">
        <f>VLOOKUP($BS1034,'État &amp; Plan d''action'!$B$6:$AH$1113,31,FALSE)</f>
        <v/>
      </c>
      <c r="EA1034" s="70" t="str">
        <f>VLOOKUP($BS1034,'État &amp; Plan d''action'!$B$6:$AH$1113,32,FALSE)</f>
        <v/>
      </c>
      <c r="EB1034" s="70" t="str">
        <f>VLOOKUP($BS1034,'État &amp; Plan d''action'!$B$6:$AH$1113,33,FALSE)</f>
        <v/>
      </c>
      <c r="EC1034" s="70">
        <v>0</v>
      </c>
      <c r="ED1034" s="70">
        <v>0</v>
      </c>
      <c r="EE1034" s="70">
        <v>0</v>
      </c>
      <c r="EF1034" s="70">
        <v>0</v>
      </c>
      <c r="EG1034" s="70">
        <v>0</v>
      </c>
      <c r="EH1034" s="72">
        <v>58</v>
      </c>
      <c r="EI1034" s="72">
        <v>452</v>
      </c>
    </row>
    <row r="1035" spans="71:139" x14ac:dyDescent="0.35">
      <c r="BS1035" s="486">
        <v>26048</v>
      </c>
      <c r="BT1035" s="479" t="s">
        <v>174</v>
      </c>
      <c r="BU1035" s="479">
        <v>12</v>
      </c>
      <c r="BV1035" s="476" t="s">
        <v>1187</v>
      </c>
      <c r="BW1035" s="476" t="s">
        <v>1187</v>
      </c>
      <c r="BX1035" s="476" t="s">
        <v>1187</v>
      </c>
      <c r="BY1035" s="476" t="s">
        <v>1187</v>
      </c>
      <c r="BZ1035" s="476" t="s">
        <v>1187</v>
      </c>
      <c r="CA1035" s="476" t="s">
        <v>1187</v>
      </c>
      <c r="CB1035" s="476" t="s">
        <v>1187</v>
      </c>
      <c r="CC1035" s="476" t="s">
        <v>1187</v>
      </c>
      <c r="CD1035" s="476" t="s">
        <v>1187</v>
      </c>
      <c r="CE1035" s="476" t="s">
        <v>1188</v>
      </c>
      <c r="CF1035" s="476" t="s">
        <v>1188</v>
      </c>
      <c r="CG1035" s="476" t="s">
        <v>1187</v>
      </c>
      <c r="CH1035" s="476" t="s">
        <v>1188</v>
      </c>
      <c r="CI1035" s="476" t="s">
        <v>1188</v>
      </c>
      <c r="CJ1035" s="476" t="s">
        <v>1188</v>
      </c>
      <c r="CK1035" s="476" t="s">
        <v>1188</v>
      </c>
      <c r="CL1035" s="476" t="s">
        <v>1188</v>
      </c>
      <c r="CM1035" s="476" t="str">
        <f>IF(VLOOKUP(BS1035,'Données par municipalité'!$B$6:$E$1113,4,FALSE)="","non","oui")</f>
        <v>oui</v>
      </c>
      <c r="CN1035" s="410">
        <v>309.04486032923626</v>
      </c>
      <c r="CO1035" s="410">
        <v>294.65043184726545</v>
      </c>
      <c r="CP1035" s="410"/>
      <c r="CQ1035" s="410">
        <v>260.60059992067829</v>
      </c>
      <c r="CR1035" s="410">
        <v>272.2070653662588</v>
      </c>
      <c r="CS1035" s="410">
        <v>296.10936983744307</v>
      </c>
      <c r="CT1035" s="410">
        <v>277.78613928940524</v>
      </c>
      <c r="CU1035" s="410">
        <v>275</v>
      </c>
      <c r="CV1035" s="410">
        <f>IF(VLOOKUP(BS1035,'Données par municipalité'!$B$6:$F$1113,4,FALSE)="","",VLOOKUP(BS1035,'Données par municipalité'!$B$6:$F$1113,4,FALSE))</f>
        <v>219</v>
      </c>
      <c r="CW1035" s="476" t="s">
        <v>4723</v>
      </c>
      <c r="CX1035" s="483">
        <v>0</v>
      </c>
      <c r="CY1035" s="483" t="s">
        <v>1124</v>
      </c>
      <c r="CZ1035" s="483">
        <v>0</v>
      </c>
      <c r="DA1035" s="483">
        <v>0</v>
      </c>
      <c r="DB1035" s="483">
        <v>0</v>
      </c>
      <c r="DC1035" s="483">
        <v>0</v>
      </c>
      <c r="DD1035" s="483">
        <v>0</v>
      </c>
      <c r="DE1035" s="483">
        <f>IFERROR(SUM(VLOOKUP($BS1035,'État &amp; Plan d''action'!$B$6:$Z$1113,18,FALSE),VLOOKUP($BS1035,'État &amp; Plan d''action'!$B$6:$Z$1113,20,FALSE))/(VLOOKUP($BS1035,'Données par municipalité'!$B$4:$L$1113,11,FALSE)),"")</f>
        <v>0</v>
      </c>
      <c r="DF1035" s="483">
        <f>IFERROR(SUM(VLOOKUP($BS1035,'État &amp; Plan d''action'!$B$6:$Z$1113,19,FALSE),VLOOKUP($BS1035,'État &amp; Plan d''action'!$B$6:$Z$1113,21,FALSE))/(VLOOKUP($BS1035,'Données par municipalité'!$B$4:$L$1113,11,FALSE)),"")</f>
        <v>0</v>
      </c>
      <c r="DG1035" s="476" t="s">
        <v>4723</v>
      </c>
      <c r="DH1035" s="484">
        <v>1</v>
      </c>
      <c r="DI1035" s="484" t="s">
        <v>1124</v>
      </c>
      <c r="DJ1035" s="484">
        <v>0</v>
      </c>
      <c r="DK1035" s="484">
        <v>0</v>
      </c>
      <c r="DL1035" s="484">
        <v>0</v>
      </c>
      <c r="DM1035" s="484">
        <v>0</v>
      </c>
      <c r="DN1035" s="484">
        <v>1</v>
      </c>
      <c r="DO1035" s="484">
        <v>0</v>
      </c>
      <c r="DP1035" s="484">
        <v>0</v>
      </c>
      <c r="DQ1035" s="484">
        <f>IF(VLOOKUP($BS1035,'État &amp; Plan d''action'!$B$6:$AJ$1113,28,FALSE)="","",VLOOKUP($BS1035,'État &amp; Plan d''action'!$B$6:$AJ$1113,28,FALSE))</f>
        <v>0</v>
      </c>
      <c r="DR1035" s="70">
        <f>IF(VLOOKUP($BS1035,'État &amp; Plan d''action'!$B$6:$AJ$1113,29,FALSE)="","",VLOOKUP($BS1035,'État &amp; Plan d''action'!$B$6:$AJ$1113,29,FALSE))</f>
        <v>0</v>
      </c>
      <c r="DS1035" s="70">
        <f>IF(VLOOKUP($BS1035,'État &amp; Plan d''action'!$B$6:$AJ$1113,30,FALSE)="","",VLOOKUP($BS1035,'État &amp; Plan d''action'!$B$6:$AJ$1113,30,FALSE))</f>
        <v>0</v>
      </c>
      <c r="DT1035" s="70">
        <v>209</v>
      </c>
      <c r="DU1035" s="485">
        <v>1.8135376470769675</v>
      </c>
      <c r="DV1035" s="485">
        <v>1.8089269446372551</v>
      </c>
      <c r="DW1035" s="70">
        <v>1</v>
      </c>
      <c r="DX1035" s="70">
        <v>0</v>
      </c>
      <c r="DY1035" s="70">
        <v>0</v>
      </c>
      <c r="DZ1035" s="70">
        <f>VLOOKUP($BS1035,'État &amp; Plan d''action'!$B$6:$AH$1113,31,FALSE)</f>
        <v>0</v>
      </c>
      <c r="EA1035" s="70">
        <f>VLOOKUP($BS1035,'État &amp; Plan d''action'!$B$6:$AH$1113,32,FALSE)</f>
        <v>0</v>
      </c>
      <c r="EB1035" s="70">
        <f>VLOOKUP($BS1035,'État &amp; Plan d''action'!$B$6:$AH$1113,33,FALSE)</f>
        <v>0</v>
      </c>
      <c r="EC1035" s="70">
        <v>0</v>
      </c>
      <c r="ED1035" s="70">
        <v>0</v>
      </c>
      <c r="EE1035" s="70">
        <v>0</v>
      </c>
      <c r="EF1035" s="70">
        <v>0</v>
      </c>
      <c r="EG1035" s="70">
        <v>0</v>
      </c>
      <c r="EH1035" s="72">
        <v>42</v>
      </c>
      <c r="EI1035" s="72">
        <v>2500</v>
      </c>
    </row>
    <row r="1036" spans="71:139" x14ac:dyDescent="0.35">
      <c r="BS1036" s="486">
        <v>89045</v>
      </c>
      <c r="BT1036" s="479" t="s">
        <v>932</v>
      </c>
      <c r="BU1036" s="479">
        <v>8</v>
      </c>
      <c r="BV1036" s="476" t="s">
        <v>1188</v>
      </c>
      <c r="BW1036" s="476" t="s">
        <v>1188</v>
      </c>
      <c r="BX1036" s="476" t="s">
        <v>1188</v>
      </c>
      <c r="BY1036" s="476" t="s">
        <v>1188</v>
      </c>
      <c r="BZ1036" s="476" t="s">
        <v>1188</v>
      </c>
      <c r="CA1036" s="476" t="s">
        <v>1188</v>
      </c>
      <c r="CB1036" s="476" t="s">
        <v>1188</v>
      </c>
      <c r="CC1036" s="476" t="s">
        <v>1188</v>
      </c>
      <c r="CD1036" s="476" t="s">
        <v>1188</v>
      </c>
      <c r="CE1036" s="476" t="s">
        <v>1187</v>
      </c>
      <c r="CF1036" s="476" t="s">
        <v>1187</v>
      </c>
      <c r="CG1036" s="476" t="s">
        <v>1187</v>
      </c>
      <c r="CH1036" s="476" t="s">
        <v>1187</v>
      </c>
      <c r="CI1036" s="476" t="s">
        <v>1187</v>
      </c>
      <c r="CJ1036" s="476" t="s">
        <v>1187</v>
      </c>
      <c r="CK1036" s="476" t="s">
        <v>1187</v>
      </c>
      <c r="CL1036" s="476" t="s">
        <v>1187</v>
      </c>
      <c r="CM1036" s="476" t="str">
        <f>IF(VLOOKUP(BS1036,'Données par municipalité'!$B$6:$E$1113,4,FALSE)="","non","oui")</f>
        <v>non</v>
      </c>
      <c r="CN1036" s="410" t="s">
        <v>1124</v>
      </c>
      <c r="CO1036" s="410" t="s">
        <v>1124</v>
      </c>
      <c r="CP1036" s="410"/>
      <c r="CQ1036" s="410"/>
      <c r="CR1036" s="410"/>
      <c r="CS1036" s="410" t="s">
        <v>1124</v>
      </c>
      <c r="CT1036" s="410"/>
      <c r="CU1036" s="410" t="s">
        <v>1124</v>
      </c>
      <c r="CV1036" s="410" t="str">
        <f>IF(VLOOKUP(BS1036,'Données par municipalité'!$B$6:$F$1113,4,FALSE)="","",VLOOKUP(BS1036,'Données par municipalité'!$B$6:$F$1113,4,FALSE))</f>
        <v/>
      </c>
      <c r="CW1036" s="476" t="s">
        <v>4723</v>
      </c>
      <c r="CX1036" s="483" t="s">
        <v>1124</v>
      </c>
      <c r="CY1036" s="483" t="s">
        <v>1124</v>
      </c>
      <c r="CZ1036" s="483" t="s">
        <v>1124</v>
      </c>
      <c r="DA1036" s="483" t="s">
        <v>1124</v>
      </c>
      <c r="DB1036" s="483" t="s">
        <v>1124</v>
      </c>
      <c r="DC1036" s="483" t="s">
        <v>1124</v>
      </c>
      <c r="DD1036" s="483" t="s">
        <v>1124</v>
      </c>
      <c r="DE1036" s="483" t="str">
        <f>IFERROR(SUM(VLOOKUP($BS1036,'État &amp; Plan d''action'!$B$6:$Z$1113,18,FALSE),VLOOKUP($BS1036,'État &amp; Plan d''action'!$B$6:$Z$1113,20,FALSE))/(VLOOKUP($BS1036,'Données par municipalité'!$B$4:$L$1113,11,FALSE)),"")</f>
        <v/>
      </c>
      <c r="DF1036" s="483" t="str">
        <f>IFERROR(SUM(VLOOKUP($BS1036,'État &amp; Plan d''action'!$B$6:$Z$1113,19,FALSE),VLOOKUP($BS1036,'État &amp; Plan d''action'!$B$6:$Z$1113,21,FALSE))/(VLOOKUP($BS1036,'Données par municipalité'!$B$4:$L$1113,11,FALSE)),"")</f>
        <v/>
      </c>
      <c r="DG1036" s="476" t="s">
        <v>4723</v>
      </c>
      <c r="DH1036" s="484" t="s">
        <v>1124</v>
      </c>
      <c r="DI1036" s="484" t="s">
        <v>1124</v>
      </c>
      <c r="DJ1036" s="484">
        <v>0</v>
      </c>
      <c r="DK1036" s="484">
        <v>11</v>
      </c>
      <c r="DL1036" s="484" t="s">
        <v>1124</v>
      </c>
      <c r="DM1036" s="484" t="s">
        <v>1124</v>
      </c>
      <c r="DN1036" s="484" t="s">
        <v>1124</v>
      </c>
      <c r="DO1036" s="484" t="s">
        <v>1124</v>
      </c>
      <c r="DP1036" s="484" t="s">
        <v>1124</v>
      </c>
      <c r="DQ1036" s="484" t="str">
        <f>IF(VLOOKUP($BS1036,'État &amp; Plan d''action'!$B$6:$AJ$1113,28,FALSE)="","",VLOOKUP($BS1036,'État &amp; Plan d''action'!$B$6:$AJ$1113,28,FALSE))</f>
        <v/>
      </c>
      <c r="DR1036" s="70" t="str">
        <f>IF(VLOOKUP($BS1036,'État &amp; Plan d''action'!$B$6:$AJ$1113,29,FALSE)="","",VLOOKUP($BS1036,'État &amp; Plan d''action'!$B$6:$AJ$1113,29,FALSE))</f>
        <v/>
      </c>
      <c r="DS1036" s="70" t="str">
        <f>IF(VLOOKUP($BS1036,'État &amp; Plan d''action'!$B$6:$AJ$1113,30,FALSE)="","",VLOOKUP($BS1036,'État &amp; Plan d''action'!$B$6:$AJ$1113,30,FALSE))</f>
        <v/>
      </c>
      <c r="DT1036" s="70" t="s">
        <v>1124</v>
      </c>
      <c r="DU1036" s="485" t="s">
        <v>1124</v>
      </c>
      <c r="DV1036" s="485" t="s">
        <v>1124</v>
      </c>
      <c r="DW1036" s="70" t="s">
        <v>1124</v>
      </c>
      <c r="DX1036" s="70" t="s">
        <v>1124</v>
      </c>
      <c r="DY1036" s="70" t="s">
        <v>1124</v>
      </c>
      <c r="DZ1036" s="70" t="str">
        <f>VLOOKUP($BS1036,'État &amp; Plan d''action'!$B$6:$AH$1113,31,FALSE)</f>
        <v/>
      </c>
      <c r="EA1036" s="70" t="str">
        <f>VLOOKUP($BS1036,'État &amp; Plan d''action'!$B$6:$AH$1113,32,FALSE)</f>
        <v/>
      </c>
      <c r="EB1036" s="70" t="str">
        <f>VLOOKUP($BS1036,'État &amp; Plan d''action'!$B$6:$AH$1113,33,FALSE)</f>
        <v/>
      </c>
      <c r="EC1036" s="70" t="s">
        <v>1124</v>
      </c>
      <c r="ED1036" s="70" t="s">
        <v>1124</v>
      </c>
      <c r="EE1036" s="70" t="s">
        <v>1124</v>
      </c>
      <c r="EF1036" s="70" t="s">
        <v>1124</v>
      </c>
      <c r="EG1036" s="70" t="s">
        <v>1124</v>
      </c>
      <c r="EH1036" s="72"/>
      <c r="EI1036" s="72">
        <v>1207</v>
      </c>
    </row>
    <row r="1037" spans="71:139" x14ac:dyDescent="0.35">
      <c r="BS1037" s="486">
        <v>89040</v>
      </c>
      <c r="BT1037" s="479" t="s">
        <v>931</v>
      </c>
      <c r="BU1037" s="479">
        <v>8</v>
      </c>
      <c r="BV1037" s="476" t="s">
        <v>1187</v>
      </c>
      <c r="BW1037" s="476" t="s">
        <v>1187</v>
      </c>
      <c r="BX1037" s="476" t="s">
        <v>1187</v>
      </c>
      <c r="BY1037" s="476" t="s">
        <v>1187</v>
      </c>
      <c r="BZ1037" s="476" t="s">
        <v>1187</v>
      </c>
      <c r="CA1037" s="476" t="s">
        <v>1187</v>
      </c>
      <c r="CB1037" s="476" t="s">
        <v>1187</v>
      </c>
      <c r="CC1037" s="476" t="s">
        <v>1187</v>
      </c>
      <c r="CD1037" s="476" t="s">
        <v>1187</v>
      </c>
      <c r="CE1037" s="476" t="s">
        <v>1187</v>
      </c>
      <c r="CF1037" s="476" t="s">
        <v>1187</v>
      </c>
      <c r="CG1037" s="476" t="s">
        <v>1187</v>
      </c>
      <c r="CH1037" s="476" t="s">
        <v>1187</v>
      </c>
      <c r="CI1037" s="476" t="s">
        <v>1188</v>
      </c>
      <c r="CJ1037" s="476" t="s">
        <v>1188</v>
      </c>
      <c r="CK1037" s="476" t="s">
        <v>1187</v>
      </c>
      <c r="CL1037" s="476" t="s">
        <v>1188</v>
      </c>
      <c r="CM1037" s="476" t="str">
        <f>IF(VLOOKUP(BS1037,'Données par municipalité'!$B$6:$E$1113,4,FALSE)="","non","oui")</f>
        <v>non</v>
      </c>
      <c r="CN1037" s="410" t="s">
        <v>1124</v>
      </c>
      <c r="CO1037" s="410" t="s">
        <v>1124</v>
      </c>
      <c r="CP1037" s="410"/>
      <c r="CQ1037" s="410"/>
      <c r="CR1037" s="410">
        <v>1045.3215607705806</v>
      </c>
      <c r="CS1037" s="410">
        <v>1008.3992295307695</v>
      </c>
      <c r="CT1037" s="410"/>
      <c r="CU1037" s="410">
        <v>1112</v>
      </c>
      <c r="CV1037" s="410" t="str">
        <f>IF(VLOOKUP(BS1037,'Données par municipalité'!$B$6:$F$1113,4,FALSE)="","",VLOOKUP(BS1037,'Données par municipalité'!$B$6:$F$1113,4,FALSE))</f>
        <v/>
      </c>
      <c r="CW1037" s="476" t="s">
        <v>4723</v>
      </c>
      <c r="CX1037" s="483" t="s">
        <v>1124</v>
      </c>
      <c r="CY1037" s="483" t="s">
        <v>1124</v>
      </c>
      <c r="CZ1037" s="483" t="s">
        <v>1124</v>
      </c>
      <c r="DA1037" s="483">
        <v>0</v>
      </c>
      <c r="DB1037" s="483">
        <v>1</v>
      </c>
      <c r="DC1037" s="483" t="s">
        <v>1124</v>
      </c>
      <c r="DD1037" s="483">
        <v>0</v>
      </c>
      <c r="DE1037" s="483" t="str">
        <f>IFERROR(SUM(VLOOKUP($BS1037,'État &amp; Plan d''action'!$B$6:$Z$1113,18,FALSE),VLOOKUP($BS1037,'État &amp; Plan d''action'!$B$6:$Z$1113,20,FALSE))/(VLOOKUP($BS1037,'Données par municipalité'!$B$4:$L$1113,11,FALSE)),"")</f>
        <v/>
      </c>
      <c r="DF1037" s="483" t="str">
        <f>IFERROR(SUM(VLOOKUP($BS1037,'État &amp; Plan d''action'!$B$6:$Z$1113,19,FALSE),VLOOKUP($BS1037,'État &amp; Plan d''action'!$B$6:$Z$1113,21,FALSE))/(VLOOKUP($BS1037,'Données par municipalité'!$B$4:$L$1113,11,FALSE)),"")</f>
        <v/>
      </c>
      <c r="DG1037" s="476" t="s">
        <v>4723</v>
      </c>
      <c r="DH1037" s="484">
        <v>1</v>
      </c>
      <c r="DI1037" s="484">
        <v>12</v>
      </c>
      <c r="DJ1037" s="484">
        <v>5</v>
      </c>
      <c r="DK1037" s="484">
        <v>4</v>
      </c>
      <c r="DL1037" s="484">
        <v>8</v>
      </c>
      <c r="DM1037" s="484" t="s">
        <v>1124</v>
      </c>
      <c r="DN1037" s="484">
        <v>5</v>
      </c>
      <c r="DO1037" s="484">
        <v>1</v>
      </c>
      <c r="DP1037" s="484">
        <v>0</v>
      </c>
      <c r="DQ1037" s="484" t="str">
        <f>IF(VLOOKUP($BS1037,'État &amp; Plan d''action'!$B$6:$AJ$1113,28,FALSE)="","",VLOOKUP($BS1037,'État &amp; Plan d''action'!$B$6:$AJ$1113,28,FALSE))</f>
        <v/>
      </c>
      <c r="DR1037" s="70" t="str">
        <f>IF(VLOOKUP($BS1037,'État &amp; Plan d''action'!$B$6:$AJ$1113,29,FALSE)="","",VLOOKUP($BS1037,'État &amp; Plan d''action'!$B$6:$AJ$1113,29,FALSE))</f>
        <v/>
      </c>
      <c r="DS1037" s="70" t="str">
        <f>IF(VLOOKUP($BS1037,'État &amp; Plan d''action'!$B$6:$AJ$1113,30,FALSE)="","",VLOOKUP($BS1037,'État &amp; Plan d''action'!$B$6:$AJ$1113,30,FALSE))</f>
        <v/>
      </c>
      <c r="DT1037" s="70">
        <v>521</v>
      </c>
      <c r="DU1037" s="485">
        <v>3.0379255540594534</v>
      </c>
      <c r="DV1037" s="485" t="s">
        <v>1124</v>
      </c>
      <c r="DW1037" s="70">
        <v>2</v>
      </c>
      <c r="DX1037" s="70">
        <v>2</v>
      </c>
      <c r="DY1037" s="70">
        <v>0</v>
      </c>
      <c r="DZ1037" s="70" t="str">
        <f>VLOOKUP($BS1037,'État &amp; Plan d''action'!$B$6:$AH$1113,31,FALSE)</f>
        <v/>
      </c>
      <c r="EA1037" s="70" t="str">
        <f>VLOOKUP($BS1037,'État &amp; Plan d''action'!$B$6:$AH$1113,32,FALSE)</f>
        <v/>
      </c>
      <c r="EB1037" s="70" t="str">
        <f>VLOOKUP($BS1037,'État &amp; Plan d''action'!$B$6:$AH$1113,33,FALSE)</f>
        <v/>
      </c>
      <c r="EC1037" s="70">
        <v>0</v>
      </c>
      <c r="ED1037" s="70">
        <v>0</v>
      </c>
      <c r="EE1037" s="70">
        <v>0</v>
      </c>
      <c r="EF1037" s="70">
        <v>0</v>
      </c>
      <c r="EG1037" s="70">
        <v>0</v>
      </c>
      <c r="EH1037" s="72">
        <v>56</v>
      </c>
      <c r="EI1037" s="72">
        <v>2803</v>
      </c>
    </row>
    <row r="1038" spans="71:139" x14ac:dyDescent="0.35">
      <c r="BS1038" s="486">
        <v>66127</v>
      </c>
      <c r="BT1038" s="479" t="s">
        <v>661</v>
      </c>
      <c r="BU1038" s="479">
        <v>6</v>
      </c>
      <c r="BV1038" s="476" t="s">
        <v>1187</v>
      </c>
      <c r="BW1038" s="476" t="s">
        <v>1187</v>
      </c>
      <c r="BX1038" s="476" t="s">
        <v>1187</v>
      </c>
      <c r="BY1038" s="476" t="s">
        <v>1187</v>
      </c>
      <c r="BZ1038" s="476" t="s">
        <v>1187</v>
      </c>
      <c r="CA1038" s="476" t="s">
        <v>1187</v>
      </c>
      <c r="CB1038" s="476" t="s">
        <v>1187</v>
      </c>
      <c r="CC1038" s="476" t="s">
        <v>1187</v>
      </c>
      <c r="CD1038" s="476" t="s">
        <v>1187</v>
      </c>
      <c r="CE1038" s="476" t="s">
        <v>1188</v>
      </c>
      <c r="CF1038" s="476" t="s">
        <v>1188</v>
      </c>
      <c r="CG1038" s="476" t="s">
        <v>1188</v>
      </c>
      <c r="CH1038" s="476" t="s">
        <v>1188</v>
      </c>
      <c r="CI1038" s="476" t="s">
        <v>1188</v>
      </c>
      <c r="CJ1038" s="476" t="s">
        <v>1188</v>
      </c>
      <c r="CK1038" s="476" t="s">
        <v>1188</v>
      </c>
      <c r="CL1038" s="476" t="s">
        <v>1188</v>
      </c>
      <c r="CM1038" s="476" t="str">
        <f>IF(VLOOKUP(BS1038,'Données par municipalité'!$B$6:$E$1113,4,FALSE)="","non","oui")</f>
        <v>oui</v>
      </c>
      <c r="CN1038" s="410">
        <v>487.8120207283132</v>
      </c>
      <c r="CO1038" s="410">
        <v>941</v>
      </c>
      <c r="CP1038" s="410">
        <v>923</v>
      </c>
      <c r="CQ1038" s="410">
        <v>892</v>
      </c>
      <c r="CR1038" s="410">
        <v>548.4040133423706</v>
      </c>
      <c r="CS1038" s="410">
        <v>529</v>
      </c>
      <c r="CT1038" s="410">
        <v>520</v>
      </c>
      <c r="CU1038" s="410">
        <v>1078</v>
      </c>
      <c r="CV1038" s="410">
        <f>IF(VLOOKUP(BS1038,'Données par municipalité'!$B$6:$F$1113,4,FALSE)="","",VLOOKUP(BS1038,'Données par municipalité'!$B$6:$F$1113,4,FALSE))</f>
        <v>1051</v>
      </c>
      <c r="CW1038" s="476" t="s">
        <v>4723</v>
      </c>
      <c r="CX1038" s="483">
        <v>0</v>
      </c>
      <c r="CY1038" s="483">
        <v>0</v>
      </c>
      <c r="CZ1038" s="483">
        <v>0</v>
      </c>
      <c r="DA1038" s="483">
        <v>0</v>
      </c>
      <c r="DB1038" s="483">
        <v>0.3</v>
      </c>
      <c r="DC1038" s="483">
        <v>0.1</v>
      </c>
      <c r="DD1038" s="483">
        <v>0</v>
      </c>
      <c r="DE1038" s="483">
        <f>IFERROR(SUM(VLOOKUP($BS1038,'État &amp; Plan d''action'!$B$6:$Z$1113,18,FALSE),VLOOKUP($BS1038,'État &amp; Plan d''action'!$B$6:$Z$1113,20,FALSE))/(VLOOKUP($BS1038,'Données par municipalité'!$B$4:$L$1113,11,FALSE)),"")</f>
        <v>0</v>
      </c>
      <c r="DF1038" s="483">
        <f>IFERROR(SUM(VLOOKUP($BS1038,'État &amp; Plan d''action'!$B$6:$Z$1113,19,FALSE),VLOOKUP($BS1038,'État &amp; Plan d''action'!$B$6:$Z$1113,21,FALSE))/(VLOOKUP($BS1038,'Données par municipalité'!$B$4:$L$1113,11,FALSE)),"")</f>
        <v>1</v>
      </c>
      <c r="DG1038" s="476" t="s">
        <v>4723</v>
      </c>
      <c r="DH1038" s="484" t="s">
        <v>1124</v>
      </c>
      <c r="DI1038" s="484" t="s">
        <v>1124</v>
      </c>
      <c r="DJ1038" s="484">
        <v>2</v>
      </c>
      <c r="DK1038" s="484">
        <v>0</v>
      </c>
      <c r="DL1038" s="484">
        <v>2</v>
      </c>
      <c r="DM1038" s="484">
        <v>4</v>
      </c>
      <c r="DN1038" s="484">
        <v>2</v>
      </c>
      <c r="DO1038" s="484">
        <v>2</v>
      </c>
      <c r="DP1038" s="484">
        <v>1</v>
      </c>
      <c r="DQ1038" s="484">
        <f>IF(VLOOKUP($BS1038,'État &amp; Plan d''action'!$B$6:$AJ$1113,28,FALSE)="","",VLOOKUP($BS1038,'État &amp; Plan d''action'!$B$6:$AJ$1113,28,FALSE))</f>
        <v>1</v>
      </c>
      <c r="DR1038" s="70">
        <f>IF(VLOOKUP($BS1038,'État &amp; Plan d''action'!$B$6:$AJ$1113,29,FALSE)="","",VLOOKUP($BS1038,'État &amp; Plan d''action'!$B$6:$AJ$1113,29,FALSE))</f>
        <v>0</v>
      </c>
      <c r="DS1038" s="70">
        <f>IF(VLOOKUP($BS1038,'État &amp; Plan d''action'!$B$6:$AJ$1113,30,FALSE)="","",VLOOKUP($BS1038,'État &amp; Plan d''action'!$B$6:$AJ$1113,30,FALSE))</f>
        <v>0</v>
      </c>
      <c r="DT1038" s="70">
        <v>308</v>
      </c>
      <c r="DU1038" s="485">
        <v>6.770813254798747</v>
      </c>
      <c r="DV1038" s="485">
        <v>6.4339334379400528</v>
      </c>
      <c r="DW1038" s="70">
        <v>5</v>
      </c>
      <c r="DX1038" s="70">
        <v>5</v>
      </c>
      <c r="DY1038" s="70">
        <v>5</v>
      </c>
      <c r="DZ1038" s="70">
        <f>VLOOKUP($BS1038,'État &amp; Plan d''action'!$B$6:$AH$1113,31,FALSE)</f>
        <v>1</v>
      </c>
      <c r="EA1038" s="70">
        <f>VLOOKUP($BS1038,'État &amp; Plan d''action'!$B$6:$AH$1113,32,FALSE)</f>
        <v>0</v>
      </c>
      <c r="EB1038" s="70">
        <f>VLOOKUP($BS1038,'État &amp; Plan d''action'!$B$6:$AH$1113,33,FALSE)</f>
        <v>0</v>
      </c>
      <c r="EC1038" s="70">
        <v>0</v>
      </c>
      <c r="ED1038" s="70">
        <v>0</v>
      </c>
      <c r="EE1038" s="70">
        <v>0</v>
      </c>
      <c r="EF1038" s="70">
        <v>0</v>
      </c>
      <c r="EG1038" s="70">
        <v>0</v>
      </c>
      <c r="EH1038" s="72">
        <v>58.284313725490208</v>
      </c>
      <c r="EI1038" s="72">
        <v>952</v>
      </c>
    </row>
    <row r="1039" spans="71:139" x14ac:dyDescent="0.35">
      <c r="BS1039" s="486">
        <v>97007</v>
      </c>
      <c r="BT1039" s="479" t="s">
        <v>1002</v>
      </c>
      <c r="BU1039" s="479">
        <v>9</v>
      </c>
      <c r="BV1039" s="476" t="s">
        <v>1187</v>
      </c>
      <c r="BW1039" s="476" t="s">
        <v>1187</v>
      </c>
      <c r="BX1039" s="476" t="s">
        <v>1187</v>
      </c>
      <c r="BY1039" s="476" t="s">
        <v>1187</v>
      </c>
      <c r="BZ1039" s="476" t="s">
        <v>1187</v>
      </c>
      <c r="CA1039" s="476" t="s">
        <v>1187</v>
      </c>
      <c r="CB1039" s="476" t="s">
        <v>1187</v>
      </c>
      <c r="CC1039" s="476" t="s">
        <v>1187</v>
      </c>
      <c r="CD1039" s="476" t="s">
        <v>1187</v>
      </c>
      <c r="CE1039" s="476" t="s">
        <v>1188</v>
      </c>
      <c r="CF1039" s="476" t="s">
        <v>1188</v>
      </c>
      <c r="CG1039" s="476" t="s">
        <v>1188</v>
      </c>
      <c r="CH1039" s="476" t="s">
        <v>1188</v>
      </c>
      <c r="CI1039" s="476" t="s">
        <v>1188</v>
      </c>
      <c r="CJ1039" s="476" t="s">
        <v>1188</v>
      </c>
      <c r="CK1039" s="476" t="s">
        <v>1188</v>
      </c>
      <c r="CL1039" s="476" t="s">
        <v>1188</v>
      </c>
      <c r="CM1039" s="476" t="str">
        <f>IF(VLOOKUP(BS1039,'Données par municipalité'!$B$6:$E$1113,4,FALSE)="","non","oui")</f>
        <v>oui</v>
      </c>
      <c r="CN1039" s="410">
        <v>798.57893307134918</v>
      </c>
      <c r="CO1039" s="410">
        <v>945.66351409703861</v>
      </c>
      <c r="CP1039" s="410">
        <v>878.42882075509522</v>
      </c>
      <c r="CQ1039" s="410">
        <v>892.02854686449882</v>
      </c>
      <c r="CR1039" s="410">
        <v>873.30443553328757</v>
      </c>
      <c r="CS1039" s="410">
        <v>846.85886212802495</v>
      </c>
      <c r="CT1039" s="410">
        <v>855.3507868124658</v>
      </c>
      <c r="CU1039" s="410">
        <v>716</v>
      </c>
      <c r="CV1039" s="410">
        <f>IF(VLOOKUP(BS1039,'Données par municipalité'!$B$6:$F$1113,4,FALSE)="","",VLOOKUP(BS1039,'Données par municipalité'!$B$6:$F$1113,4,FALSE))</f>
        <v>737</v>
      </c>
      <c r="CW1039" s="476" t="s">
        <v>4723</v>
      </c>
      <c r="CX1039" s="483">
        <v>0.05</v>
      </c>
      <c r="CY1039" s="483">
        <v>0.05</v>
      </c>
      <c r="CZ1039" s="483">
        <v>0.05</v>
      </c>
      <c r="DA1039" s="483">
        <v>0.5</v>
      </c>
      <c r="DB1039" s="483">
        <v>0.3</v>
      </c>
      <c r="DC1039" s="483">
        <v>1</v>
      </c>
      <c r="DD1039" s="483">
        <v>1</v>
      </c>
      <c r="DE1039" s="483">
        <f>IFERROR(SUM(VLOOKUP($BS1039,'État &amp; Plan d''action'!$B$6:$Z$1113,18,FALSE),VLOOKUP($BS1039,'État &amp; Plan d''action'!$B$6:$Z$1113,20,FALSE))/(VLOOKUP($BS1039,'Données par municipalité'!$B$4:$L$1113,11,FALSE)),"")</f>
        <v>0.93846557764413407</v>
      </c>
      <c r="DF1039" s="483">
        <f>IFERROR(SUM(VLOOKUP($BS1039,'État &amp; Plan d''action'!$B$6:$Z$1113,19,FALSE),VLOOKUP($BS1039,'État &amp; Plan d''action'!$B$6:$Z$1113,21,FALSE))/(VLOOKUP($BS1039,'Données par municipalité'!$B$4:$L$1113,11,FALSE)),"")</f>
        <v>0.93846557764413407</v>
      </c>
      <c r="DG1039" s="476" t="s">
        <v>4723</v>
      </c>
      <c r="DH1039" s="484">
        <v>2</v>
      </c>
      <c r="DI1039" s="484">
        <v>1</v>
      </c>
      <c r="DJ1039" s="484">
        <v>5</v>
      </c>
      <c r="DK1039" s="484">
        <v>3</v>
      </c>
      <c r="DL1039" s="484">
        <v>93</v>
      </c>
      <c r="DM1039" s="484">
        <v>22</v>
      </c>
      <c r="DN1039" s="484">
        <v>29</v>
      </c>
      <c r="DO1039" s="484">
        <v>28</v>
      </c>
      <c r="DP1039" s="484">
        <v>58</v>
      </c>
      <c r="DQ1039" s="484">
        <f>IF(VLOOKUP($BS1039,'État &amp; Plan d''action'!$B$6:$AJ$1113,28,FALSE)="","",VLOOKUP($BS1039,'État &amp; Plan d''action'!$B$6:$AJ$1113,28,FALSE))</f>
        <v>27</v>
      </c>
      <c r="DR1039" s="70">
        <f>IF(VLOOKUP($BS1039,'État &amp; Plan d''action'!$B$6:$AJ$1113,29,FALSE)="","",VLOOKUP($BS1039,'État &amp; Plan d''action'!$B$6:$AJ$1113,29,FALSE))</f>
        <v>41</v>
      </c>
      <c r="DS1039" s="70">
        <f>IF(VLOOKUP($BS1039,'État &amp; Plan d''action'!$B$6:$AJ$1113,30,FALSE)="","",VLOOKUP($BS1039,'État &amp; Plan d''action'!$B$6:$AJ$1113,30,FALSE))</f>
        <v>95</v>
      </c>
      <c r="DT1039" s="70">
        <v>389</v>
      </c>
      <c r="DU1039" s="485">
        <v>5.9716102388651189</v>
      </c>
      <c r="DV1039" s="485">
        <v>6.4151547028074338</v>
      </c>
      <c r="DW1039" s="70">
        <v>2</v>
      </c>
      <c r="DX1039" s="70">
        <v>2</v>
      </c>
      <c r="DY1039" s="70">
        <v>10</v>
      </c>
      <c r="DZ1039" s="70">
        <f>VLOOKUP($BS1039,'État &amp; Plan d''action'!$B$6:$AH$1113,31,FALSE)</f>
        <v>2</v>
      </c>
      <c r="EA1039" s="70">
        <f>VLOOKUP($BS1039,'État &amp; Plan d''action'!$B$6:$AH$1113,32,FALSE)</f>
        <v>1</v>
      </c>
      <c r="EB1039" s="70">
        <f>VLOOKUP($BS1039,'État &amp; Plan d''action'!$B$6:$AH$1113,33,FALSE)</f>
        <v>5</v>
      </c>
      <c r="EC1039" s="70">
        <v>0</v>
      </c>
      <c r="ED1039" s="70">
        <v>243.76599999999999</v>
      </c>
      <c r="EE1039" s="70">
        <v>0</v>
      </c>
      <c r="EF1039" s="70">
        <v>0</v>
      </c>
      <c r="EG1039" s="70">
        <v>0</v>
      </c>
      <c r="EH1039" s="72">
        <v>45</v>
      </c>
      <c r="EI1039" s="72">
        <v>25450</v>
      </c>
    </row>
    <row r="1040" spans="71:139" x14ac:dyDescent="0.35">
      <c r="BS1040" s="486">
        <v>22020</v>
      </c>
      <c r="BT1040" s="479" t="s">
        <v>156</v>
      </c>
      <c r="BU1040" s="479">
        <v>3</v>
      </c>
      <c r="BV1040" s="476" t="s">
        <v>1187</v>
      </c>
      <c r="BW1040" s="476" t="s">
        <v>1187</v>
      </c>
      <c r="BX1040" s="476" t="s">
        <v>1187</v>
      </c>
      <c r="BY1040" s="476" t="s">
        <v>1187</v>
      </c>
      <c r="BZ1040" s="476" t="s">
        <v>1187</v>
      </c>
      <c r="CA1040" s="476" t="s">
        <v>1187</v>
      </c>
      <c r="CB1040" s="476" t="s">
        <v>1187</v>
      </c>
      <c r="CC1040" s="476" t="s">
        <v>1187</v>
      </c>
      <c r="CD1040" s="476" t="s">
        <v>1187</v>
      </c>
      <c r="CE1040" s="476" t="s">
        <v>1188</v>
      </c>
      <c r="CF1040" s="476" t="s">
        <v>1188</v>
      </c>
      <c r="CG1040" s="476" t="s">
        <v>1188</v>
      </c>
      <c r="CH1040" s="476" t="s">
        <v>1187</v>
      </c>
      <c r="CI1040" s="476" t="s">
        <v>1187</v>
      </c>
      <c r="CJ1040" s="476" t="s">
        <v>1188</v>
      </c>
      <c r="CK1040" s="476" t="s">
        <v>1188</v>
      </c>
      <c r="CL1040" s="476" t="s">
        <v>1188</v>
      </c>
      <c r="CM1040" s="476" t="str">
        <f>IF(VLOOKUP(BS1040,'Données par municipalité'!$B$6:$E$1113,4,FALSE)="","non","oui")</f>
        <v>oui</v>
      </c>
      <c r="CN1040" s="410">
        <v>244.25705146845013</v>
      </c>
      <c r="CO1040" s="410">
        <v>275.93418822449348</v>
      </c>
      <c r="CP1040" s="410">
        <v>253.56984934374887</v>
      </c>
      <c r="CQ1040" s="410"/>
      <c r="CR1040" s="410"/>
      <c r="CS1040" s="410">
        <v>181.19205894506734</v>
      </c>
      <c r="CT1040" s="410">
        <v>168.00888197783985</v>
      </c>
      <c r="CU1040" s="410">
        <v>229</v>
      </c>
      <c r="CV1040" s="410">
        <f>IF(VLOOKUP(BS1040,'Données par municipalité'!$B$6:$F$1113,4,FALSE)="","",VLOOKUP(BS1040,'Données par municipalité'!$B$6:$F$1113,4,FALSE))</f>
        <v>234</v>
      </c>
      <c r="CW1040" s="476" t="s">
        <v>4723</v>
      </c>
      <c r="CX1040" s="483">
        <v>0</v>
      </c>
      <c r="CY1040" s="483">
        <v>0</v>
      </c>
      <c r="CZ1040" s="483" t="s">
        <v>1124</v>
      </c>
      <c r="DA1040" s="483" t="s">
        <v>1124</v>
      </c>
      <c r="DB1040" s="483">
        <v>0</v>
      </c>
      <c r="DC1040" s="483">
        <v>0</v>
      </c>
      <c r="DD1040" s="483">
        <v>0</v>
      </c>
      <c r="DE1040" s="483">
        <f>IFERROR(SUM(VLOOKUP($BS1040,'État &amp; Plan d''action'!$B$6:$Z$1113,18,FALSE),VLOOKUP($BS1040,'État &amp; Plan d''action'!$B$6:$Z$1113,20,FALSE))/(VLOOKUP($BS1040,'Données par municipalité'!$B$4:$L$1113,11,FALSE)),"")</f>
        <v>0</v>
      </c>
      <c r="DF1040" s="483">
        <f>IFERROR(SUM(VLOOKUP($BS1040,'État &amp; Plan d''action'!$B$6:$Z$1113,19,FALSE),VLOOKUP($BS1040,'État &amp; Plan d''action'!$B$6:$Z$1113,21,FALSE))/(VLOOKUP($BS1040,'Données par municipalité'!$B$4:$L$1113,11,FALSE)),"")</f>
        <v>0</v>
      </c>
      <c r="DG1040" s="476" t="s">
        <v>4723</v>
      </c>
      <c r="DH1040" s="484">
        <v>0</v>
      </c>
      <c r="DI1040" s="484">
        <v>0</v>
      </c>
      <c r="DJ1040" s="484">
        <v>0</v>
      </c>
      <c r="DK1040" s="484">
        <v>0</v>
      </c>
      <c r="DL1040" s="484">
        <v>0</v>
      </c>
      <c r="DM1040" s="484">
        <v>4</v>
      </c>
      <c r="DN1040" s="484">
        <v>0</v>
      </c>
      <c r="DO1040" s="484">
        <v>3</v>
      </c>
      <c r="DP1040" s="484">
        <v>0</v>
      </c>
      <c r="DQ1040" s="484">
        <f>IF(VLOOKUP($BS1040,'État &amp; Plan d''action'!$B$6:$AJ$1113,28,FALSE)="","",VLOOKUP($BS1040,'État &amp; Plan d''action'!$B$6:$AJ$1113,28,FALSE))</f>
        <v>1</v>
      </c>
      <c r="DR1040" s="70">
        <f>IF(VLOOKUP($BS1040,'État &amp; Plan d''action'!$B$6:$AJ$1113,29,FALSE)="","",VLOOKUP($BS1040,'État &amp; Plan d''action'!$B$6:$AJ$1113,29,FALSE))</f>
        <v>0</v>
      </c>
      <c r="DS1040" s="70">
        <f>IF(VLOOKUP($BS1040,'État &amp; Plan d''action'!$B$6:$AJ$1113,30,FALSE)="","",VLOOKUP($BS1040,'État &amp; Plan d''action'!$B$6:$AJ$1113,30,FALSE))</f>
        <v>0</v>
      </c>
      <c r="DT1040" s="70">
        <v>195</v>
      </c>
      <c r="DU1040" s="485">
        <v>0.40569484020055113</v>
      </c>
      <c r="DV1040" s="485">
        <v>0.60370461354486626</v>
      </c>
      <c r="DW1040" s="70">
        <v>0</v>
      </c>
      <c r="DX1040" s="70">
        <v>1</v>
      </c>
      <c r="DY1040" s="70">
        <v>0</v>
      </c>
      <c r="DZ1040" s="70">
        <f>VLOOKUP($BS1040,'État &amp; Plan d''action'!$B$6:$AH$1113,31,FALSE)</f>
        <v>1</v>
      </c>
      <c r="EA1040" s="70">
        <f>VLOOKUP($BS1040,'État &amp; Plan d''action'!$B$6:$AH$1113,32,FALSE)</f>
        <v>0</v>
      </c>
      <c r="EB1040" s="70">
        <f>VLOOKUP($BS1040,'État &amp; Plan d''action'!$B$6:$AH$1113,33,FALSE)</f>
        <v>0</v>
      </c>
      <c r="EC1040" s="70">
        <v>0</v>
      </c>
      <c r="ED1040" s="70">
        <v>0</v>
      </c>
      <c r="EE1040" s="70">
        <v>0</v>
      </c>
      <c r="EF1040" s="70">
        <v>0</v>
      </c>
      <c r="EG1040" s="70">
        <v>0</v>
      </c>
      <c r="EH1040" s="72">
        <v>53.270270270270288</v>
      </c>
      <c r="EI1040" s="72">
        <v>6273</v>
      </c>
    </row>
    <row r="1041" spans="71:139" x14ac:dyDescent="0.35">
      <c r="BS1041" s="486">
        <v>36033</v>
      </c>
      <c r="BT1041" s="479" t="s">
        <v>313</v>
      </c>
      <c r="BU1041" s="479">
        <v>4</v>
      </c>
      <c r="BV1041" s="476" t="s">
        <v>1187</v>
      </c>
      <c r="BW1041" s="476" t="s">
        <v>1187</v>
      </c>
      <c r="BX1041" s="476" t="s">
        <v>1187</v>
      </c>
      <c r="BY1041" s="476" t="s">
        <v>1187</v>
      </c>
      <c r="BZ1041" s="476" t="s">
        <v>1187</v>
      </c>
      <c r="CA1041" s="476" t="s">
        <v>1187</v>
      </c>
      <c r="CB1041" s="476" t="s">
        <v>1187</v>
      </c>
      <c r="CC1041" s="476" t="s">
        <v>1187</v>
      </c>
      <c r="CD1041" s="476" t="s">
        <v>1187</v>
      </c>
      <c r="CE1041" s="476" t="s">
        <v>1188</v>
      </c>
      <c r="CF1041" s="476" t="s">
        <v>1188</v>
      </c>
      <c r="CG1041" s="476" t="s">
        <v>1188</v>
      </c>
      <c r="CH1041" s="476" t="s">
        <v>1188</v>
      </c>
      <c r="CI1041" s="476" t="s">
        <v>1188</v>
      </c>
      <c r="CJ1041" s="476" t="s">
        <v>1188</v>
      </c>
      <c r="CK1041" s="476" t="s">
        <v>1188</v>
      </c>
      <c r="CL1041" s="476" t="s">
        <v>1188</v>
      </c>
      <c r="CM1041" s="476" t="str">
        <f>IF(VLOOKUP(BS1041,'Données par municipalité'!$B$6:$E$1113,4,FALSE)="","non","oui")</f>
        <v>oui</v>
      </c>
      <c r="CN1041" s="410">
        <v>713.80102643389375</v>
      </c>
      <c r="CO1041" s="410">
        <v>716.4058439667117</v>
      </c>
      <c r="CP1041" s="410">
        <v>638.03673076633629</v>
      </c>
      <c r="CQ1041" s="410">
        <v>576.09230589565232</v>
      </c>
      <c r="CR1041" s="410">
        <v>587.48429319048796</v>
      </c>
      <c r="CS1041" s="410">
        <v>551.46304933075282</v>
      </c>
      <c r="CT1041" s="410">
        <v>513.67280260058192</v>
      </c>
      <c r="CU1041" s="410">
        <v>513</v>
      </c>
      <c r="CV1041" s="410">
        <f>IF(VLOOKUP(BS1041,'Données par municipalité'!$B$6:$F$1113,4,FALSE)="","",VLOOKUP(BS1041,'Données par municipalité'!$B$6:$F$1113,4,FALSE))</f>
        <v>519</v>
      </c>
      <c r="CW1041" s="476" t="s">
        <v>4723</v>
      </c>
      <c r="CX1041" s="483">
        <v>1</v>
      </c>
      <c r="CY1041" s="483">
        <v>0.1</v>
      </c>
      <c r="CZ1041" s="483">
        <v>1</v>
      </c>
      <c r="DA1041" s="483">
        <v>1</v>
      </c>
      <c r="DB1041" s="483">
        <v>1</v>
      </c>
      <c r="DC1041" s="483">
        <v>1</v>
      </c>
      <c r="DD1041" s="483">
        <v>0</v>
      </c>
      <c r="DE1041" s="483">
        <f>IFERROR(SUM(VLOOKUP($BS1041,'État &amp; Plan d''action'!$B$6:$Z$1113,18,FALSE),VLOOKUP($BS1041,'État &amp; Plan d''action'!$B$6:$Z$1113,20,FALSE))/(VLOOKUP($BS1041,'Données par municipalité'!$B$4:$L$1113,11,FALSE)),"")</f>
        <v>1</v>
      </c>
      <c r="DF1041" s="483">
        <f>IFERROR(SUM(VLOOKUP($BS1041,'État &amp; Plan d''action'!$B$6:$Z$1113,19,FALSE),VLOOKUP($BS1041,'État &amp; Plan d''action'!$B$6:$Z$1113,21,FALSE))/(VLOOKUP($BS1041,'Données par municipalité'!$B$4:$L$1113,11,FALSE)),"")</f>
        <v>1</v>
      </c>
      <c r="DG1041" s="476" t="s">
        <v>4723</v>
      </c>
      <c r="DH1041" s="484">
        <v>33</v>
      </c>
      <c r="DI1041" s="484">
        <v>44</v>
      </c>
      <c r="DJ1041" s="484">
        <v>138</v>
      </c>
      <c r="DK1041" s="484">
        <v>199</v>
      </c>
      <c r="DL1041" s="484">
        <v>37</v>
      </c>
      <c r="DM1041" s="484">
        <v>40</v>
      </c>
      <c r="DN1041" s="484">
        <v>13</v>
      </c>
      <c r="DO1041" s="484">
        <v>41</v>
      </c>
      <c r="DP1041" s="484">
        <v>0</v>
      </c>
      <c r="DQ1041" s="484">
        <f>IF(VLOOKUP($BS1041,'État &amp; Plan d''action'!$B$6:$AJ$1113,28,FALSE)="","",VLOOKUP($BS1041,'État &amp; Plan d''action'!$B$6:$AJ$1113,28,FALSE))</f>
        <v>62</v>
      </c>
      <c r="DR1041" s="70">
        <f>IF(VLOOKUP($BS1041,'État &amp; Plan d''action'!$B$6:$AJ$1113,29,FALSE)="","",VLOOKUP($BS1041,'État &amp; Plan d''action'!$B$6:$AJ$1113,29,FALSE))</f>
        <v>128</v>
      </c>
      <c r="DS1041" s="70">
        <f>IF(VLOOKUP($BS1041,'État &amp; Plan d''action'!$B$6:$AJ$1113,30,FALSE)="","",VLOOKUP($BS1041,'État &amp; Plan d''action'!$B$6:$AJ$1113,30,FALSE))</f>
        <v>7</v>
      </c>
      <c r="DT1041" s="70">
        <v>331</v>
      </c>
      <c r="DU1041" s="485">
        <v>4.7729692490751185</v>
      </c>
      <c r="DV1041" s="485">
        <v>3.9042041830314549</v>
      </c>
      <c r="DW1041" s="70">
        <v>2</v>
      </c>
      <c r="DX1041" s="70">
        <v>3</v>
      </c>
      <c r="DY1041" s="70">
        <v>5</v>
      </c>
      <c r="DZ1041" s="70">
        <f>VLOOKUP($BS1041,'État &amp; Plan d''action'!$B$6:$AH$1113,31,FALSE)</f>
        <v>1</v>
      </c>
      <c r="EA1041" s="70">
        <f>VLOOKUP($BS1041,'État &amp; Plan d''action'!$B$6:$AH$1113,32,FALSE)</f>
        <v>1</v>
      </c>
      <c r="EB1041" s="70">
        <f>VLOOKUP($BS1041,'État &amp; Plan d''action'!$B$6:$AH$1113,33,FALSE)</f>
        <v>5</v>
      </c>
      <c r="EC1041" s="70">
        <v>0</v>
      </c>
      <c r="ED1041" s="70">
        <v>0</v>
      </c>
      <c r="EE1041" s="70">
        <v>0</v>
      </c>
      <c r="EF1041" s="70">
        <v>0</v>
      </c>
      <c r="EG1041" s="70">
        <v>0</v>
      </c>
      <c r="EH1041" s="72">
        <v>59</v>
      </c>
      <c r="EI1041" s="72">
        <v>49551</v>
      </c>
    </row>
    <row r="1042" spans="71:139" x14ac:dyDescent="0.35">
      <c r="BS1042" s="486">
        <v>84010</v>
      </c>
      <c r="BT1042" s="479" t="s">
        <v>853</v>
      </c>
      <c r="BU1042" s="479">
        <v>7</v>
      </c>
      <c r="BV1042" s="476" t="s">
        <v>1187</v>
      </c>
      <c r="BW1042" s="476" t="s">
        <v>1187</v>
      </c>
      <c r="BX1042" s="476" t="s">
        <v>1187</v>
      </c>
      <c r="BY1042" s="476" t="s">
        <v>1187</v>
      </c>
      <c r="BZ1042" s="476" t="s">
        <v>1187</v>
      </c>
      <c r="CA1042" s="476" t="s">
        <v>1187</v>
      </c>
      <c r="CB1042" s="476" t="s">
        <v>1187</v>
      </c>
      <c r="CC1042" s="476" t="s">
        <v>1187</v>
      </c>
      <c r="CD1042" s="476" t="s">
        <v>1187</v>
      </c>
      <c r="CE1042" s="476" t="s">
        <v>1188</v>
      </c>
      <c r="CF1042" s="476" t="s">
        <v>1188</v>
      </c>
      <c r="CG1042" s="476" t="s">
        <v>1188</v>
      </c>
      <c r="CH1042" s="476" t="s">
        <v>1187</v>
      </c>
      <c r="CI1042" s="476" t="s">
        <v>1187</v>
      </c>
      <c r="CJ1042" s="476" t="s">
        <v>1187</v>
      </c>
      <c r="CK1042" s="476" t="s">
        <v>1187</v>
      </c>
      <c r="CL1042" s="476" t="s">
        <v>1188</v>
      </c>
      <c r="CM1042" s="476" t="str">
        <f>IF(VLOOKUP(BS1042,'Données par municipalité'!$B$6:$E$1113,4,FALSE)="","non","oui")</f>
        <v>non</v>
      </c>
      <c r="CN1042" s="410">
        <v>335</v>
      </c>
      <c r="CO1042" s="410">
        <v>341.66504033307308</v>
      </c>
      <c r="CP1042" s="410">
        <v>595</v>
      </c>
      <c r="CQ1042" s="410"/>
      <c r="CR1042" s="410"/>
      <c r="CS1042" s="410" t="s">
        <v>1124</v>
      </c>
      <c r="CT1042" s="410"/>
      <c r="CU1042" s="410">
        <v>621</v>
      </c>
      <c r="CV1042" s="410" t="str">
        <f>IF(VLOOKUP(BS1042,'Données par municipalité'!$B$6:$F$1113,4,FALSE)="","",VLOOKUP(BS1042,'Données par municipalité'!$B$6:$F$1113,4,FALSE))</f>
        <v/>
      </c>
      <c r="CW1042" s="476" t="s">
        <v>4723</v>
      </c>
      <c r="CX1042" s="483">
        <v>0</v>
      </c>
      <c r="CY1042" s="483">
        <v>0</v>
      </c>
      <c r="CZ1042" s="483" t="s">
        <v>1124</v>
      </c>
      <c r="DA1042" s="483" t="s">
        <v>1124</v>
      </c>
      <c r="DB1042" s="483" t="s">
        <v>1124</v>
      </c>
      <c r="DC1042" s="483" t="s">
        <v>1124</v>
      </c>
      <c r="DD1042" s="483">
        <v>0.50015004501350402</v>
      </c>
      <c r="DE1042" s="483" t="str">
        <f>IFERROR(SUM(VLOOKUP($BS1042,'État &amp; Plan d''action'!$B$6:$Z$1113,18,FALSE),VLOOKUP($BS1042,'État &amp; Plan d''action'!$B$6:$Z$1113,20,FALSE))/(VLOOKUP($BS1042,'Données par municipalité'!$B$4:$L$1113,11,FALSE)),"")</f>
        <v/>
      </c>
      <c r="DF1042" s="483" t="str">
        <f>IFERROR(SUM(VLOOKUP($BS1042,'État &amp; Plan d''action'!$B$6:$Z$1113,19,FALSE),VLOOKUP($BS1042,'État &amp; Plan d''action'!$B$6:$Z$1113,21,FALSE))/(VLOOKUP($BS1042,'Données par municipalité'!$B$4:$L$1113,11,FALSE)),"")</f>
        <v/>
      </c>
      <c r="DG1042" s="476" t="s">
        <v>4723</v>
      </c>
      <c r="DH1042" s="484">
        <v>1</v>
      </c>
      <c r="DI1042" s="484">
        <v>2</v>
      </c>
      <c r="DJ1042" s="484">
        <v>0</v>
      </c>
      <c r="DK1042" s="484">
        <v>0</v>
      </c>
      <c r="DL1042" s="484" t="s">
        <v>1124</v>
      </c>
      <c r="DM1042" s="484" t="s">
        <v>1124</v>
      </c>
      <c r="DN1042" s="484">
        <v>3</v>
      </c>
      <c r="DO1042" s="484">
        <v>3</v>
      </c>
      <c r="DP1042" s="484">
        <v>3</v>
      </c>
      <c r="DQ1042" s="484" t="str">
        <f>IF(VLOOKUP($BS1042,'État &amp; Plan d''action'!$B$6:$AJ$1113,28,FALSE)="","",VLOOKUP($BS1042,'État &amp; Plan d''action'!$B$6:$AJ$1113,28,FALSE))</f>
        <v/>
      </c>
      <c r="DR1042" s="70" t="str">
        <f>IF(VLOOKUP($BS1042,'État &amp; Plan d''action'!$B$6:$AJ$1113,29,FALSE)="","",VLOOKUP($BS1042,'État &amp; Plan d''action'!$B$6:$AJ$1113,29,FALSE))</f>
        <v/>
      </c>
      <c r="DS1042" s="70" t="str">
        <f>IF(VLOOKUP($BS1042,'État &amp; Plan d''action'!$B$6:$AJ$1113,30,FALSE)="","",VLOOKUP($BS1042,'État &amp; Plan d''action'!$B$6:$AJ$1113,30,FALSE))</f>
        <v/>
      </c>
      <c r="DT1042" s="70">
        <v>276</v>
      </c>
      <c r="DU1042" s="485">
        <v>7.7047280916227159</v>
      </c>
      <c r="DV1042" s="485" t="s">
        <v>1124</v>
      </c>
      <c r="DW1042" s="70">
        <v>4</v>
      </c>
      <c r="DX1042" s="70">
        <v>3</v>
      </c>
      <c r="DY1042" s="70">
        <v>3</v>
      </c>
      <c r="DZ1042" s="70" t="str">
        <f>VLOOKUP($BS1042,'État &amp; Plan d''action'!$B$6:$AH$1113,31,FALSE)</f>
        <v/>
      </c>
      <c r="EA1042" s="70" t="str">
        <f>VLOOKUP($BS1042,'État &amp; Plan d''action'!$B$6:$AH$1113,32,FALSE)</f>
        <v/>
      </c>
      <c r="EB1042" s="70" t="str">
        <f>VLOOKUP($BS1042,'État &amp; Plan d''action'!$B$6:$AH$1113,33,FALSE)</f>
        <v/>
      </c>
      <c r="EC1042" s="70">
        <v>0</v>
      </c>
      <c r="ED1042" s="70">
        <v>5</v>
      </c>
      <c r="EE1042" s="70">
        <v>5</v>
      </c>
      <c r="EF1042" s="70">
        <v>0</v>
      </c>
      <c r="EG1042" s="70">
        <v>0</v>
      </c>
      <c r="EH1042" s="72">
        <v>43</v>
      </c>
      <c r="EI1042" s="72">
        <v>1588</v>
      </c>
    </row>
    <row r="1043" spans="71:139" x14ac:dyDescent="0.35">
      <c r="BS1043" s="486">
        <v>84095</v>
      </c>
      <c r="BT1043" s="479" t="s">
        <v>868</v>
      </c>
      <c r="BU1043" s="479">
        <v>7</v>
      </c>
      <c r="BV1043" s="476" t="s">
        <v>1188</v>
      </c>
      <c r="BW1043" s="476" t="s">
        <v>1188</v>
      </c>
      <c r="BX1043" s="476" t="s">
        <v>1188</v>
      </c>
      <c r="BY1043" s="476" t="s">
        <v>1188</v>
      </c>
      <c r="BZ1043" s="476" t="s">
        <v>1188</v>
      </c>
      <c r="CA1043" s="476" t="s">
        <v>1188</v>
      </c>
      <c r="CB1043" s="476" t="s">
        <v>1188</v>
      </c>
      <c r="CC1043" s="476" t="s">
        <v>1188</v>
      </c>
      <c r="CD1043" s="476" t="s">
        <v>1188</v>
      </c>
      <c r="CE1043" s="476" t="s">
        <v>1187</v>
      </c>
      <c r="CF1043" s="476" t="s">
        <v>1187</v>
      </c>
      <c r="CG1043" s="476" t="s">
        <v>1187</v>
      </c>
      <c r="CH1043" s="476" t="s">
        <v>1187</v>
      </c>
      <c r="CI1043" s="476" t="s">
        <v>1187</v>
      </c>
      <c r="CJ1043" s="476" t="s">
        <v>1187</v>
      </c>
      <c r="CK1043" s="476" t="s">
        <v>1187</v>
      </c>
      <c r="CL1043" s="476" t="s">
        <v>1187</v>
      </c>
      <c r="CM1043" s="476" t="str">
        <f>IF(VLOOKUP(BS1043,'Données par municipalité'!$B$6:$E$1113,4,FALSE)="","non","oui")</f>
        <v>non</v>
      </c>
      <c r="CN1043" s="410" t="s">
        <v>1124</v>
      </c>
      <c r="CO1043" s="410" t="s">
        <v>1124</v>
      </c>
      <c r="CP1043" s="410"/>
      <c r="CQ1043" s="410"/>
      <c r="CR1043" s="410"/>
      <c r="CS1043" s="410" t="s">
        <v>1124</v>
      </c>
      <c r="CT1043" s="410"/>
      <c r="CU1043" s="410" t="s">
        <v>1124</v>
      </c>
      <c r="CV1043" s="410" t="str">
        <f>IF(VLOOKUP(BS1043,'Données par municipalité'!$B$6:$F$1113,4,FALSE)="","",VLOOKUP(BS1043,'Données par municipalité'!$B$6:$F$1113,4,FALSE))</f>
        <v/>
      </c>
      <c r="CW1043" s="476" t="s">
        <v>4723</v>
      </c>
      <c r="CX1043" s="483" t="s">
        <v>1124</v>
      </c>
      <c r="CY1043" s="483" t="s">
        <v>1124</v>
      </c>
      <c r="CZ1043" s="483" t="s">
        <v>1124</v>
      </c>
      <c r="DA1043" s="483" t="s">
        <v>1124</v>
      </c>
      <c r="DB1043" s="483" t="s">
        <v>1124</v>
      </c>
      <c r="DC1043" s="483" t="s">
        <v>1124</v>
      </c>
      <c r="DD1043" s="483" t="s">
        <v>1124</v>
      </c>
      <c r="DE1043" s="483" t="str">
        <f>IFERROR(SUM(VLOOKUP($BS1043,'État &amp; Plan d''action'!$B$6:$Z$1113,18,FALSE),VLOOKUP($BS1043,'État &amp; Plan d''action'!$B$6:$Z$1113,20,FALSE))/(VLOOKUP($BS1043,'Données par municipalité'!$B$4:$L$1113,11,FALSE)),"")</f>
        <v/>
      </c>
      <c r="DF1043" s="483" t="str">
        <f>IFERROR(SUM(VLOOKUP($BS1043,'État &amp; Plan d''action'!$B$6:$Z$1113,19,FALSE),VLOOKUP($BS1043,'État &amp; Plan d''action'!$B$6:$Z$1113,21,FALSE))/(VLOOKUP($BS1043,'Données par municipalité'!$B$4:$L$1113,11,FALSE)),"")</f>
        <v/>
      </c>
      <c r="DG1043" s="476" t="s">
        <v>4723</v>
      </c>
      <c r="DH1043" s="484" t="s">
        <v>1124</v>
      </c>
      <c r="DI1043" s="484" t="s">
        <v>1124</v>
      </c>
      <c r="DJ1043" s="484">
        <v>0</v>
      </c>
      <c r="DK1043" s="484">
        <v>0</v>
      </c>
      <c r="DL1043" s="484" t="s">
        <v>1124</v>
      </c>
      <c r="DM1043" s="484" t="s">
        <v>1124</v>
      </c>
      <c r="DN1043" s="484" t="s">
        <v>1124</v>
      </c>
      <c r="DO1043" s="484" t="s">
        <v>1124</v>
      </c>
      <c r="DP1043" s="484" t="s">
        <v>1124</v>
      </c>
      <c r="DQ1043" s="484" t="str">
        <f>IF(VLOOKUP($BS1043,'État &amp; Plan d''action'!$B$6:$AJ$1113,28,FALSE)="","",VLOOKUP($BS1043,'État &amp; Plan d''action'!$B$6:$AJ$1113,28,FALSE))</f>
        <v/>
      </c>
      <c r="DR1043" s="70" t="str">
        <f>IF(VLOOKUP($BS1043,'État &amp; Plan d''action'!$B$6:$AJ$1113,29,FALSE)="","",VLOOKUP($BS1043,'État &amp; Plan d''action'!$B$6:$AJ$1113,29,FALSE))</f>
        <v/>
      </c>
      <c r="DS1043" s="70" t="str">
        <f>IF(VLOOKUP($BS1043,'État &amp; Plan d''action'!$B$6:$AJ$1113,30,FALSE)="","",VLOOKUP($BS1043,'État &amp; Plan d''action'!$B$6:$AJ$1113,30,FALSE))</f>
        <v/>
      </c>
      <c r="DT1043" s="70" t="s">
        <v>1124</v>
      </c>
      <c r="DU1043" s="485" t="s">
        <v>1124</v>
      </c>
      <c r="DV1043" s="485" t="s">
        <v>1124</v>
      </c>
      <c r="DW1043" s="70" t="s">
        <v>1124</v>
      </c>
      <c r="DX1043" s="70" t="s">
        <v>1124</v>
      </c>
      <c r="DY1043" s="70" t="s">
        <v>1124</v>
      </c>
      <c r="DZ1043" s="70" t="str">
        <f>VLOOKUP($BS1043,'État &amp; Plan d''action'!$B$6:$AH$1113,31,FALSE)</f>
        <v/>
      </c>
      <c r="EA1043" s="70" t="str">
        <f>VLOOKUP($BS1043,'État &amp; Plan d''action'!$B$6:$AH$1113,32,FALSE)</f>
        <v/>
      </c>
      <c r="EB1043" s="70" t="str">
        <f>VLOOKUP($BS1043,'État &amp; Plan d''action'!$B$6:$AH$1113,33,FALSE)</f>
        <v/>
      </c>
      <c r="EC1043" s="70" t="s">
        <v>1124</v>
      </c>
      <c r="ED1043" s="70" t="s">
        <v>1124</v>
      </c>
      <c r="EE1043" s="70" t="s">
        <v>1124</v>
      </c>
      <c r="EF1043" s="70" t="s">
        <v>1124</v>
      </c>
      <c r="EG1043" s="70" t="s">
        <v>1124</v>
      </c>
      <c r="EH1043" s="72"/>
      <c r="EI1043" s="72">
        <v>119</v>
      </c>
    </row>
    <row r="1044" spans="71:139" x14ac:dyDescent="0.35">
      <c r="BS1044" s="486">
        <v>47035</v>
      </c>
      <c r="BT1044" s="479" t="s">
        <v>452</v>
      </c>
      <c r="BU1044" s="479">
        <v>5</v>
      </c>
      <c r="BV1044" s="476" t="s">
        <v>1188</v>
      </c>
      <c r="BW1044" s="476" t="s">
        <v>1187</v>
      </c>
      <c r="BX1044" s="476" t="s">
        <v>1187</v>
      </c>
      <c r="BY1044" s="476" t="s">
        <v>1187</v>
      </c>
      <c r="BZ1044" s="476" t="s">
        <v>1187</v>
      </c>
      <c r="CA1044" s="476" t="s">
        <v>1187</v>
      </c>
      <c r="CB1044" s="476" t="s">
        <v>1187</v>
      </c>
      <c r="CC1044" s="476" t="s">
        <v>1187</v>
      </c>
      <c r="CD1044" s="476" t="s">
        <v>1187</v>
      </c>
      <c r="CE1044" s="476" t="s">
        <v>1187</v>
      </c>
      <c r="CF1044" s="476" t="s">
        <v>1188</v>
      </c>
      <c r="CG1044" s="476" t="s">
        <v>1188</v>
      </c>
      <c r="CH1044" s="476" t="s">
        <v>1188</v>
      </c>
      <c r="CI1044" s="476" t="s">
        <v>1188</v>
      </c>
      <c r="CJ1044" s="476" t="s">
        <v>1188</v>
      </c>
      <c r="CK1044" s="476" t="s">
        <v>1188</v>
      </c>
      <c r="CL1044" s="476" t="s">
        <v>1188</v>
      </c>
      <c r="CM1044" s="476" t="str">
        <f>IF(VLOOKUP(BS1044,'Données par municipalité'!$B$6:$E$1113,4,FALSE)="","non","oui")</f>
        <v>oui</v>
      </c>
      <c r="CN1044" s="410" t="s">
        <v>1124</v>
      </c>
      <c r="CO1044" s="410">
        <v>129.96973307585904</v>
      </c>
      <c r="CP1044" s="410">
        <v>230.81822108747005</v>
      </c>
      <c r="CQ1044" s="410">
        <v>206.43750003047668</v>
      </c>
      <c r="CR1044" s="410">
        <v>129.58116104157432</v>
      </c>
      <c r="CS1044" s="410">
        <v>141.14435067084051</v>
      </c>
      <c r="CT1044" s="410">
        <v>131.22952601955521</v>
      </c>
      <c r="CU1044" s="410">
        <v>137</v>
      </c>
      <c r="CV1044" s="410">
        <f>IF(VLOOKUP(BS1044,'Données par municipalité'!$B$6:$F$1113,4,FALSE)="","",VLOOKUP(BS1044,'Données par municipalité'!$B$6:$F$1113,4,FALSE))</f>
        <v>138</v>
      </c>
      <c r="CW1044" s="476" t="s">
        <v>4723</v>
      </c>
      <c r="CX1044" s="483">
        <v>0</v>
      </c>
      <c r="CY1044" s="483">
        <v>0</v>
      </c>
      <c r="CZ1044" s="483">
        <v>0</v>
      </c>
      <c r="DA1044" s="483">
        <v>0</v>
      </c>
      <c r="DB1044" s="483">
        <v>0</v>
      </c>
      <c r="DC1044" s="483">
        <v>0</v>
      </c>
      <c r="DD1044" s="483">
        <v>1</v>
      </c>
      <c r="DE1044" s="483">
        <f>IFERROR(SUM(VLOOKUP($BS1044,'État &amp; Plan d''action'!$B$6:$Z$1113,18,FALSE),VLOOKUP($BS1044,'État &amp; Plan d''action'!$B$6:$Z$1113,20,FALSE))/(VLOOKUP($BS1044,'Données par municipalité'!$B$4:$L$1113,11,FALSE)),"")</f>
        <v>1</v>
      </c>
      <c r="DF1044" s="483">
        <f>IFERROR(SUM(VLOOKUP($BS1044,'État &amp; Plan d''action'!$B$6:$Z$1113,19,FALSE),VLOOKUP($BS1044,'État &amp; Plan d''action'!$B$6:$Z$1113,21,FALSE))/(VLOOKUP($BS1044,'Données par municipalité'!$B$4:$L$1113,11,FALSE)),"")</f>
        <v>1</v>
      </c>
      <c r="DG1044" s="476" t="s">
        <v>4723</v>
      </c>
      <c r="DH1044" s="484">
        <v>0</v>
      </c>
      <c r="DI1044" s="484">
        <v>0</v>
      </c>
      <c r="DJ1044" s="484">
        <v>0</v>
      </c>
      <c r="DK1044" s="484">
        <v>0</v>
      </c>
      <c r="DL1044" s="484">
        <v>0</v>
      </c>
      <c r="DM1044" s="484">
        <v>0</v>
      </c>
      <c r="DN1044" s="484">
        <v>0</v>
      </c>
      <c r="DO1044" s="484">
        <v>0</v>
      </c>
      <c r="DP1044" s="484">
        <v>0</v>
      </c>
      <c r="DQ1044" s="484">
        <f>IF(VLOOKUP($BS1044,'État &amp; Plan d''action'!$B$6:$AJ$1113,28,FALSE)="","",VLOOKUP($BS1044,'État &amp; Plan d''action'!$B$6:$AJ$1113,28,FALSE))</f>
        <v>0</v>
      </c>
      <c r="DR1044" s="70">
        <f>IF(VLOOKUP($BS1044,'État &amp; Plan d''action'!$B$6:$AJ$1113,29,FALSE)="","",VLOOKUP($BS1044,'État &amp; Plan d''action'!$B$6:$AJ$1113,29,FALSE))</f>
        <v>0</v>
      </c>
      <c r="DS1044" s="70">
        <f>IF(VLOOKUP($BS1044,'État &amp; Plan d''action'!$B$6:$AJ$1113,30,FALSE)="","",VLOOKUP($BS1044,'État &amp; Plan d''action'!$B$6:$AJ$1113,30,FALSE))</f>
        <v>0</v>
      </c>
      <c r="DT1044" s="70">
        <v>121</v>
      </c>
      <c r="DU1044" s="485">
        <v>0.57384823036453181</v>
      </c>
      <c r="DV1044" s="485">
        <v>0.55820670750681134</v>
      </c>
      <c r="DW1044" s="70">
        <v>0</v>
      </c>
      <c r="DX1044" s="70">
        <v>0</v>
      </c>
      <c r="DY1044" s="70">
        <v>0</v>
      </c>
      <c r="DZ1044" s="70">
        <f>VLOOKUP($BS1044,'État &amp; Plan d''action'!$B$6:$AH$1113,31,FALSE)</f>
        <v>0</v>
      </c>
      <c r="EA1044" s="70">
        <f>VLOOKUP($BS1044,'État &amp; Plan d''action'!$B$6:$AH$1113,32,FALSE)</f>
        <v>0</v>
      </c>
      <c r="EB1044" s="70">
        <f>VLOOKUP($BS1044,'État &amp; Plan d''action'!$B$6:$AH$1113,33,FALSE)</f>
        <v>0</v>
      </c>
      <c r="EC1044" s="70">
        <v>0</v>
      </c>
      <c r="ED1044" s="70">
        <v>2.77</v>
      </c>
      <c r="EE1044" s="70">
        <v>0</v>
      </c>
      <c r="EF1044" s="70">
        <v>0</v>
      </c>
      <c r="EG1044" s="70">
        <v>0</v>
      </c>
      <c r="EH1044" s="72">
        <v>60.662162162162176</v>
      </c>
      <c r="EI1044" s="72">
        <v>7109</v>
      </c>
    </row>
    <row r="1045" spans="71:139" x14ac:dyDescent="0.35">
      <c r="BS1045" s="486">
        <v>43027</v>
      </c>
      <c r="BT1045" s="479" t="s">
        <v>397</v>
      </c>
      <c r="BU1045" s="479">
        <v>5</v>
      </c>
      <c r="BV1045" s="476" t="s">
        <v>1187</v>
      </c>
      <c r="BW1045" s="476" t="s">
        <v>1187</v>
      </c>
      <c r="BX1045" s="476" t="s">
        <v>1187</v>
      </c>
      <c r="BY1045" s="476" t="s">
        <v>1187</v>
      </c>
      <c r="BZ1045" s="476" t="s">
        <v>1187</v>
      </c>
      <c r="CA1045" s="476" t="s">
        <v>1187</v>
      </c>
      <c r="CB1045" s="476" t="s">
        <v>1187</v>
      </c>
      <c r="CC1045" s="476" t="s">
        <v>1187</v>
      </c>
      <c r="CD1045" s="476" t="s">
        <v>1187</v>
      </c>
      <c r="CE1045" s="476" t="s">
        <v>1188</v>
      </c>
      <c r="CF1045" s="476" t="s">
        <v>1188</v>
      </c>
      <c r="CG1045" s="476" t="s">
        <v>1188</v>
      </c>
      <c r="CH1045" s="476" t="s">
        <v>1188</v>
      </c>
      <c r="CI1045" s="476" t="s">
        <v>1188</v>
      </c>
      <c r="CJ1045" s="476" t="s">
        <v>1188</v>
      </c>
      <c r="CK1045" s="476" t="s">
        <v>1188</v>
      </c>
      <c r="CL1045" s="476" t="s">
        <v>1188</v>
      </c>
      <c r="CM1045" s="476" t="str">
        <f>IF(VLOOKUP(BS1045,'Données par municipalité'!$B$6:$E$1113,4,FALSE)="","non","oui")</f>
        <v>oui</v>
      </c>
      <c r="CN1045" s="410">
        <v>432.93290546367405</v>
      </c>
      <c r="CO1045" s="410">
        <v>417.95385524287548</v>
      </c>
      <c r="CP1045" s="410">
        <v>402.18865876731275</v>
      </c>
      <c r="CQ1045" s="410">
        <v>408.73420064655772</v>
      </c>
      <c r="CR1045" s="410">
        <v>421.3941278754919</v>
      </c>
      <c r="CS1045" s="410">
        <v>394.65024283839313</v>
      </c>
      <c r="CT1045" s="410">
        <v>389.34674491339166</v>
      </c>
      <c r="CU1045" s="410">
        <v>396</v>
      </c>
      <c r="CV1045" s="410">
        <f>IF(VLOOKUP(BS1045,'Données par municipalité'!$B$6:$F$1113,4,FALSE)="","",VLOOKUP(BS1045,'Données par municipalité'!$B$6:$F$1113,4,FALSE))</f>
        <v>394</v>
      </c>
      <c r="CW1045" s="476" t="s">
        <v>4723</v>
      </c>
      <c r="CX1045" s="483">
        <v>1</v>
      </c>
      <c r="CY1045" s="483">
        <v>1</v>
      </c>
      <c r="CZ1045" s="483">
        <v>1</v>
      </c>
      <c r="DA1045" s="483">
        <v>1</v>
      </c>
      <c r="DB1045" s="483">
        <v>1</v>
      </c>
      <c r="DC1045" s="483">
        <v>1</v>
      </c>
      <c r="DD1045" s="483">
        <v>1.1999995440124851</v>
      </c>
      <c r="DE1045" s="483">
        <f>IFERROR(SUM(VLOOKUP($BS1045,'État &amp; Plan d''action'!$B$6:$Z$1113,18,FALSE),VLOOKUP($BS1045,'État &amp; Plan d''action'!$B$6:$Z$1113,20,FALSE))/(VLOOKUP($BS1045,'Données par municipalité'!$B$4:$L$1113,11,FALSE)),"")</f>
        <v>1.1971046770601337</v>
      </c>
      <c r="DF1045" s="483">
        <f>IFERROR(SUM(VLOOKUP($BS1045,'État &amp; Plan d''action'!$B$6:$Z$1113,19,FALSE),VLOOKUP($BS1045,'État &amp; Plan d''action'!$B$6:$Z$1113,21,FALSE))/(VLOOKUP($BS1045,'Données par municipalité'!$B$4:$L$1113,11,FALSE)),"")</f>
        <v>1.1971046770601337</v>
      </c>
      <c r="DG1045" s="476" t="s">
        <v>4723</v>
      </c>
      <c r="DH1045" s="484">
        <v>194</v>
      </c>
      <c r="DI1045" s="484">
        <v>187</v>
      </c>
      <c r="DJ1045" s="484">
        <v>183</v>
      </c>
      <c r="DK1045" s="484">
        <v>226</v>
      </c>
      <c r="DL1045" s="484">
        <v>166</v>
      </c>
      <c r="DM1045" s="484">
        <v>187</v>
      </c>
      <c r="DN1045" s="484">
        <v>121</v>
      </c>
      <c r="DO1045" s="484">
        <v>68</v>
      </c>
      <c r="DP1045" s="484">
        <v>0</v>
      </c>
      <c r="DQ1045" s="484">
        <f>IF(VLOOKUP($BS1045,'État &amp; Plan d''action'!$B$6:$AJ$1113,28,FALSE)="","",VLOOKUP($BS1045,'État &amp; Plan d''action'!$B$6:$AJ$1113,28,FALSE))</f>
        <v>97</v>
      </c>
      <c r="DR1045" s="70">
        <f>IF(VLOOKUP($BS1045,'État &amp; Plan d''action'!$B$6:$AJ$1113,29,FALSE)="","",VLOOKUP($BS1045,'État &amp; Plan d''action'!$B$6:$AJ$1113,29,FALSE))</f>
        <v>51</v>
      </c>
      <c r="DS1045" s="70">
        <f>IF(VLOOKUP($BS1045,'État &amp; Plan d''action'!$B$6:$AJ$1113,30,FALSE)="","",VLOOKUP($BS1045,'État &amp; Plan d''action'!$B$6:$AJ$1113,30,FALSE))</f>
        <v>0</v>
      </c>
      <c r="DT1045" s="70">
        <v>261</v>
      </c>
      <c r="DU1045" s="485">
        <v>0.94686536965223655</v>
      </c>
      <c r="DV1045" s="485">
        <v>2.0233319307862252</v>
      </c>
      <c r="DW1045" s="70">
        <v>5</v>
      </c>
      <c r="DX1045" s="70">
        <v>5</v>
      </c>
      <c r="DY1045" s="70">
        <v>0</v>
      </c>
      <c r="DZ1045" s="70">
        <f>VLOOKUP($BS1045,'État &amp; Plan d''action'!$B$6:$AH$1113,31,FALSE)</f>
        <v>3</v>
      </c>
      <c r="EA1045" s="70">
        <f>VLOOKUP($BS1045,'État &amp; Plan d''action'!$B$6:$AH$1113,32,FALSE)</f>
        <v>3</v>
      </c>
      <c r="EB1045" s="70">
        <f>VLOOKUP($BS1045,'État &amp; Plan d''action'!$B$6:$AH$1113,33,FALSE)</f>
        <v>0</v>
      </c>
      <c r="EC1045" s="70">
        <v>0</v>
      </c>
      <c r="ED1045" s="70">
        <v>877.21699999999998</v>
      </c>
      <c r="EE1045" s="70">
        <v>175.44300000000001</v>
      </c>
      <c r="EF1045" s="70">
        <v>0</v>
      </c>
      <c r="EG1045" s="70">
        <v>0</v>
      </c>
      <c r="EH1045" s="72">
        <v>59.552631578947377</v>
      </c>
      <c r="EI1045" s="72">
        <v>165937</v>
      </c>
    </row>
    <row r="1046" spans="71:139" x14ac:dyDescent="0.35">
      <c r="BS1046" s="486">
        <v>5010</v>
      </c>
      <c r="BT1046" s="479" t="s">
        <v>1044</v>
      </c>
      <c r="BU1046" s="479">
        <v>11</v>
      </c>
      <c r="BV1046" s="476" t="s">
        <v>1188</v>
      </c>
      <c r="BW1046" s="476" t="s">
        <v>1188</v>
      </c>
      <c r="BX1046" s="476" t="s">
        <v>1188</v>
      </c>
      <c r="BY1046" s="476" t="s">
        <v>1188</v>
      </c>
      <c r="BZ1046" s="476" t="s">
        <v>1188</v>
      </c>
      <c r="CA1046" s="476" t="s">
        <v>1188</v>
      </c>
      <c r="CB1046" s="476" t="s">
        <v>1188</v>
      </c>
      <c r="CC1046" s="476" t="s">
        <v>1188</v>
      </c>
      <c r="CD1046" s="476" t="s">
        <v>1188</v>
      </c>
      <c r="CE1046" s="476" t="s">
        <v>1188</v>
      </c>
      <c r="CF1046" s="476" t="s">
        <v>1188</v>
      </c>
      <c r="CG1046" s="476" t="s">
        <v>1187</v>
      </c>
      <c r="CH1046" s="476" t="s">
        <v>1187</v>
      </c>
      <c r="CI1046" s="476" t="s">
        <v>1187</v>
      </c>
      <c r="CJ1046" s="476" t="s">
        <v>1187</v>
      </c>
      <c r="CK1046" s="476" t="s">
        <v>1187</v>
      </c>
      <c r="CL1046" s="476" t="s">
        <v>1187</v>
      </c>
      <c r="CM1046" s="476" t="str">
        <f>IF(VLOOKUP(BS1046,'Données par municipalité'!$B$6:$E$1113,4,FALSE)="","non","oui")</f>
        <v>non</v>
      </c>
      <c r="CN1046" s="410">
        <v>851.95289567289433</v>
      </c>
      <c r="CO1046" s="410">
        <v>549.1028599035734</v>
      </c>
      <c r="CP1046" s="410"/>
      <c r="CQ1046" s="410"/>
      <c r="CR1046" s="410"/>
      <c r="CS1046" s="410" t="s">
        <v>1124</v>
      </c>
      <c r="CT1046" s="410"/>
      <c r="CU1046" s="410" t="s">
        <v>1124</v>
      </c>
      <c r="CV1046" s="410" t="str">
        <f>IF(VLOOKUP(BS1046,'Données par municipalité'!$B$6:$F$1113,4,FALSE)="","",VLOOKUP(BS1046,'Données par municipalité'!$B$6:$F$1113,4,FALSE))</f>
        <v/>
      </c>
      <c r="CW1046" s="476" t="s">
        <v>4723</v>
      </c>
      <c r="CX1046" s="483" t="s">
        <v>1124</v>
      </c>
      <c r="CY1046" s="483" t="s">
        <v>1124</v>
      </c>
      <c r="CZ1046" s="483" t="s">
        <v>1124</v>
      </c>
      <c r="DA1046" s="483" t="s">
        <v>1124</v>
      </c>
      <c r="DB1046" s="483" t="s">
        <v>1124</v>
      </c>
      <c r="DC1046" s="483" t="s">
        <v>1124</v>
      </c>
      <c r="DD1046" s="483" t="s">
        <v>1124</v>
      </c>
      <c r="DE1046" s="483" t="str">
        <f>IFERROR(SUM(VLOOKUP($BS1046,'État &amp; Plan d''action'!$B$6:$Z$1113,18,FALSE),VLOOKUP($BS1046,'État &amp; Plan d''action'!$B$6:$Z$1113,20,FALSE))/(VLOOKUP($BS1046,'Données par municipalité'!$B$4:$L$1113,11,FALSE)),"")</f>
        <v/>
      </c>
      <c r="DF1046" s="483" t="str">
        <f>IFERROR(SUM(VLOOKUP($BS1046,'État &amp; Plan d''action'!$B$6:$Z$1113,19,FALSE),VLOOKUP($BS1046,'État &amp; Plan d''action'!$B$6:$Z$1113,21,FALSE))/(VLOOKUP($BS1046,'Données par municipalité'!$B$4:$L$1113,11,FALSE)),"")</f>
        <v/>
      </c>
      <c r="DG1046" s="476" t="s">
        <v>4723</v>
      </c>
      <c r="DH1046" s="484">
        <v>1</v>
      </c>
      <c r="DI1046" s="484" t="s">
        <v>1124</v>
      </c>
      <c r="DJ1046" s="484">
        <v>0</v>
      </c>
      <c r="DK1046" s="484">
        <v>0</v>
      </c>
      <c r="DL1046" s="484" t="s">
        <v>1124</v>
      </c>
      <c r="DM1046" s="484" t="s">
        <v>1124</v>
      </c>
      <c r="DN1046" s="484" t="s">
        <v>1124</v>
      </c>
      <c r="DO1046" s="484" t="s">
        <v>1124</v>
      </c>
      <c r="DP1046" s="484" t="s">
        <v>1124</v>
      </c>
      <c r="DQ1046" s="484" t="str">
        <f>IF(VLOOKUP($BS1046,'État &amp; Plan d''action'!$B$6:$AJ$1113,28,FALSE)="","",VLOOKUP($BS1046,'État &amp; Plan d''action'!$B$6:$AJ$1113,28,FALSE))</f>
        <v/>
      </c>
      <c r="DR1046" s="70" t="str">
        <f>IF(VLOOKUP($BS1046,'État &amp; Plan d''action'!$B$6:$AJ$1113,29,FALSE)="","",VLOOKUP($BS1046,'État &amp; Plan d''action'!$B$6:$AJ$1113,29,FALSE))</f>
        <v/>
      </c>
      <c r="DS1046" s="70" t="str">
        <f>IF(VLOOKUP($BS1046,'État &amp; Plan d''action'!$B$6:$AJ$1113,30,FALSE)="","",VLOOKUP($BS1046,'État &amp; Plan d''action'!$B$6:$AJ$1113,30,FALSE))</f>
        <v/>
      </c>
      <c r="DT1046" s="70" t="s">
        <v>1124</v>
      </c>
      <c r="DU1046" s="485" t="s">
        <v>1124</v>
      </c>
      <c r="DV1046" s="485" t="s">
        <v>1124</v>
      </c>
      <c r="DW1046" s="70" t="s">
        <v>1124</v>
      </c>
      <c r="DX1046" s="70" t="s">
        <v>1124</v>
      </c>
      <c r="DY1046" s="70" t="s">
        <v>1124</v>
      </c>
      <c r="DZ1046" s="70" t="str">
        <f>VLOOKUP($BS1046,'État &amp; Plan d''action'!$B$6:$AH$1113,31,FALSE)</f>
        <v/>
      </c>
      <c r="EA1046" s="70" t="str">
        <f>VLOOKUP($BS1046,'État &amp; Plan d''action'!$B$6:$AH$1113,32,FALSE)</f>
        <v/>
      </c>
      <c r="EB1046" s="70" t="str">
        <f>VLOOKUP($BS1046,'État &amp; Plan d''action'!$B$6:$AH$1113,33,FALSE)</f>
        <v/>
      </c>
      <c r="EC1046" s="70" t="s">
        <v>1124</v>
      </c>
      <c r="ED1046" s="70" t="s">
        <v>1124</v>
      </c>
      <c r="EE1046" s="70" t="s">
        <v>1124</v>
      </c>
      <c r="EF1046" s="70" t="s">
        <v>1124</v>
      </c>
      <c r="EG1046" s="70" t="s">
        <v>1124</v>
      </c>
      <c r="EH1046" s="72"/>
      <c r="EI1046" s="72">
        <v>278</v>
      </c>
    </row>
    <row r="1047" spans="71:139" x14ac:dyDescent="0.35">
      <c r="BS1047" s="486">
        <v>53052</v>
      </c>
      <c r="BT1047" s="479" t="s">
        <v>538</v>
      </c>
      <c r="BU1047" s="479">
        <v>16</v>
      </c>
      <c r="BV1047" s="476" t="s">
        <v>1187</v>
      </c>
      <c r="BW1047" s="476" t="s">
        <v>1187</v>
      </c>
      <c r="BX1047" s="476" t="s">
        <v>1187</v>
      </c>
      <c r="BY1047" s="476" t="s">
        <v>1187</v>
      </c>
      <c r="BZ1047" s="476" t="s">
        <v>1187</v>
      </c>
      <c r="CA1047" s="476" t="s">
        <v>1187</v>
      </c>
      <c r="CB1047" s="476" t="s">
        <v>1187</v>
      </c>
      <c r="CC1047" s="476" t="s">
        <v>1187</v>
      </c>
      <c r="CD1047" s="476" t="s">
        <v>1187</v>
      </c>
      <c r="CE1047" s="476" t="s">
        <v>1188</v>
      </c>
      <c r="CF1047" s="476" t="s">
        <v>1188</v>
      </c>
      <c r="CG1047" s="476" t="s">
        <v>1188</v>
      </c>
      <c r="CH1047" s="476" t="s">
        <v>1188</v>
      </c>
      <c r="CI1047" s="476" t="s">
        <v>1188</v>
      </c>
      <c r="CJ1047" s="476" t="s">
        <v>1188</v>
      </c>
      <c r="CK1047" s="476" t="s">
        <v>1188</v>
      </c>
      <c r="CL1047" s="476" t="s">
        <v>1188</v>
      </c>
      <c r="CM1047" s="476" t="str">
        <f>IF(VLOOKUP(BS1047,'Données par municipalité'!$B$6:$E$1113,4,FALSE)="","non","oui")</f>
        <v>oui</v>
      </c>
      <c r="CN1047" s="410">
        <v>639.93671482788773</v>
      </c>
      <c r="CO1047" s="410">
        <v>631.68895593884304</v>
      </c>
      <c r="CP1047" s="410">
        <v>595.63144285830958</v>
      </c>
      <c r="CQ1047" s="410">
        <v>556.47466691113016</v>
      </c>
      <c r="CR1047" s="410">
        <v>541.30016322096731</v>
      </c>
      <c r="CS1047" s="410">
        <v>499.70969760364375</v>
      </c>
      <c r="CT1047" s="410">
        <v>514.53115777398625</v>
      </c>
      <c r="CU1047" s="410">
        <v>546</v>
      </c>
      <c r="CV1047" s="410">
        <f>IF(VLOOKUP(BS1047,'Données par municipalité'!$B$6:$F$1113,4,FALSE)="","",VLOOKUP(BS1047,'Données par municipalité'!$B$6:$F$1113,4,FALSE))</f>
        <v>543</v>
      </c>
      <c r="CW1047" s="476" t="s">
        <v>4723</v>
      </c>
      <c r="CX1047" s="483">
        <v>0</v>
      </c>
      <c r="CY1047" s="483">
        <v>0</v>
      </c>
      <c r="CZ1047" s="483">
        <v>0</v>
      </c>
      <c r="DA1047" s="483">
        <v>0</v>
      </c>
      <c r="DB1047" s="483">
        <v>0</v>
      </c>
      <c r="DC1047" s="483">
        <v>0</v>
      </c>
      <c r="DD1047" s="483">
        <v>0.33333528154594566</v>
      </c>
      <c r="DE1047" s="483">
        <f>IFERROR(SUM(VLOOKUP($BS1047,'État &amp; Plan d''action'!$B$6:$Z$1113,18,FALSE),VLOOKUP($BS1047,'État &amp; Plan d''action'!$B$6:$Z$1113,20,FALSE))/(VLOOKUP($BS1047,'Données par municipalité'!$B$4:$L$1113,11,FALSE)),"")</f>
        <v>0.30355915374627662</v>
      </c>
      <c r="DF1047" s="483">
        <f>IFERROR(SUM(VLOOKUP($BS1047,'État &amp; Plan d''action'!$B$6:$Z$1113,19,FALSE),VLOOKUP($BS1047,'État &amp; Plan d''action'!$B$6:$Z$1113,21,FALSE))/(VLOOKUP($BS1047,'Données par municipalité'!$B$4:$L$1113,11,FALSE)),"")</f>
        <v>1</v>
      </c>
      <c r="DG1047" s="476" t="s">
        <v>4723</v>
      </c>
      <c r="DH1047" s="484">
        <v>26</v>
      </c>
      <c r="DI1047" s="484">
        <v>22</v>
      </c>
      <c r="DJ1047" s="484">
        <v>14</v>
      </c>
      <c r="DK1047" s="484">
        <v>12</v>
      </c>
      <c r="DL1047" s="484">
        <v>10</v>
      </c>
      <c r="DM1047" s="484">
        <v>35</v>
      </c>
      <c r="DN1047" s="484">
        <v>37</v>
      </c>
      <c r="DO1047" s="484">
        <v>4</v>
      </c>
      <c r="DP1047" s="484">
        <v>0</v>
      </c>
      <c r="DQ1047" s="484">
        <f>IF(VLOOKUP($BS1047,'État &amp; Plan d''action'!$B$6:$AJ$1113,28,FALSE)="","",VLOOKUP($BS1047,'État &amp; Plan d''action'!$B$6:$AJ$1113,28,FALSE))</f>
        <v>26</v>
      </c>
      <c r="DR1047" s="70">
        <f>IF(VLOOKUP($BS1047,'État &amp; Plan d''action'!$B$6:$AJ$1113,29,FALSE)="","",VLOOKUP($BS1047,'État &amp; Plan d''action'!$B$6:$AJ$1113,29,FALSE))</f>
        <v>0</v>
      </c>
      <c r="DS1047" s="70">
        <f>IF(VLOOKUP($BS1047,'État &amp; Plan d''action'!$B$6:$AJ$1113,30,FALSE)="","",VLOOKUP($BS1047,'État &amp; Plan d''action'!$B$6:$AJ$1113,30,FALSE))</f>
        <v>0</v>
      </c>
      <c r="DT1047" s="70">
        <v>250</v>
      </c>
      <c r="DU1047" s="485">
        <v>1.7822094125714403</v>
      </c>
      <c r="DV1047" s="485">
        <v>7.4886031867371949</v>
      </c>
      <c r="DW1047" s="70">
        <v>1</v>
      </c>
      <c r="DX1047" s="70">
        <v>1</v>
      </c>
      <c r="DY1047" s="70">
        <v>0</v>
      </c>
      <c r="DZ1047" s="70">
        <f>VLOOKUP($BS1047,'État &amp; Plan d''action'!$B$6:$AH$1113,31,FALSE)</f>
        <v>1</v>
      </c>
      <c r="EA1047" s="70">
        <f>VLOOKUP($BS1047,'État &amp; Plan d''action'!$B$6:$AH$1113,32,FALSE)</f>
        <v>0</v>
      </c>
      <c r="EB1047" s="70">
        <f>VLOOKUP($BS1047,'État &amp; Plan d''action'!$B$6:$AH$1113,33,FALSE)</f>
        <v>0</v>
      </c>
      <c r="EC1047" s="70">
        <v>0</v>
      </c>
      <c r="ED1047" s="70">
        <v>0</v>
      </c>
      <c r="EE1047" s="70">
        <v>85.549000000000007</v>
      </c>
      <c r="EF1047" s="70">
        <v>0</v>
      </c>
      <c r="EG1047" s="70">
        <v>0</v>
      </c>
      <c r="EH1047" s="72">
        <v>56.336236783385147</v>
      </c>
      <c r="EI1047" s="72">
        <v>35056</v>
      </c>
    </row>
    <row r="1048" spans="71:139" x14ac:dyDescent="0.35">
      <c r="BS1048" s="486">
        <v>46045</v>
      </c>
      <c r="BT1048" s="479" t="s">
        <v>434</v>
      </c>
      <c r="BU1048" s="479">
        <v>5</v>
      </c>
      <c r="BV1048" s="476" t="s">
        <v>1188</v>
      </c>
      <c r="BW1048" s="476" t="s">
        <v>1188</v>
      </c>
      <c r="BX1048" s="476" t="s">
        <v>1188</v>
      </c>
      <c r="BY1048" s="476" t="s">
        <v>1188</v>
      </c>
      <c r="BZ1048" s="476" t="s">
        <v>1188</v>
      </c>
      <c r="CA1048" s="476" t="s">
        <v>1188</v>
      </c>
      <c r="CB1048" s="476" t="s">
        <v>1188</v>
      </c>
      <c r="CC1048" s="476" t="s">
        <v>1188</v>
      </c>
      <c r="CD1048" s="476" t="s">
        <v>1188</v>
      </c>
      <c r="CE1048" s="476" t="s">
        <v>1187</v>
      </c>
      <c r="CF1048" s="476" t="s">
        <v>1187</v>
      </c>
      <c r="CG1048" s="476" t="s">
        <v>1187</v>
      </c>
      <c r="CH1048" s="476" t="s">
        <v>1187</v>
      </c>
      <c r="CI1048" s="476" t="s">
        <v>1187</v>
      </c>
      <c r="CJ1048" s="476" t="s">
        <v>1187</v>
      </c>
      <c r="CK1048" s="476" t="s">
        <v>1187</v>
      </c>
      <c r="CL1048" s="476" t="s">
        <v>1187</v>
      </c>
      <c r="CM1048" s="476" t="str">
        <f>IF(VLOOKUP(BS1048,'Données par municipalité'!$B$6:$E$1113,4,FALSE)="","non","oui")</f>
        <v>non</v>
      </c>
      <c r="CN1048" s="410" t="s">
        <v>1124</v>
      </c>
      <c r="CO1048" s="410" t="s">
        <v>1124</v>
      </c>
      <c r="CP1048" s="410"/>
      <c r="CQ1048" s="410"/>
      <c r="CR1048" s="410"/>
      <c r="CS1048" s="410" t="s">
        <v>1124</v>
      </c>
      <c r="CT1048" s="410"/>
      <c r="CU1048" s="410" t="s">
        <v>1124</v>
      </c>
      <c r="CV1048" s="410" t="str">
        <f>IF(VLOOKUP(BS1048,'Données par municipalité'!$B$6:$F$1113,4,FALSE)="","",VLOOKUP(BS1048,'Données par municipalité'!$B$6:$F$1113,4,FALSE))</f>
        <v/>
      </c>
      <c r="CW1048" s="476" t="s">
        <v>4723</v>
      </c>
      <c r="CX1048" s="483" t="s">
        <v>1124</v>
      </c>
      <c r="CY1048" s="483" t="s">
        <v>1124</v>
      </c>
      <c r="CZ1048" s="483" t="s">
        <v>1124</v>
      </c>
      <c r="DA1048" s="483" t="s">
        <v>1124</v>
      </c>
      <c r="DB1048" s="483" t="s">
        <v>1124</v>
      </c>
      <c r="DC1048" s="483" t="s">
        <v>1124</v>
      </c>
      <c r="DD1048" s="483" t="s">
        <v>1124</v>
      </c>
      <c r="DE1048" s="483" t="str">
        <f>IFERROR(SUM(VLOOKUP($BS1048,'État &amp; Plan d''action'!$B$6:$Z$1113,18,FALSE),VLOOKUP($BS1048,'État &amp; Plan d''action'!$B$6:$Z$1113,20,FALSE))/(VLOOKUP($BS1048,'Données par municipalité'!$B$4:$L$1113,11,FALSE)),"")</f>
        <v/>
      </c>
      <c r="DF1048" s="483" t="str">
        <f>IFERROR(SUM(VLOOKUP($BS1048,'État &amp; Plan d''action'!$B$6:$Z$1113,19,FALSE),VLOOKUP($BS1048,'État &amp; Plan d''action'!$B$6:$Z$1113,21,FALSE))/(VLOOKUP($BS1048,'Données par municipalité'!$B$4:$L$1113,11,FALSE)),"")</f>
        <v/>
      </c>
      <c r="DG1048" s="476" t="s">
        <v>4723</v>
      </c>
      <c r="DH1048" s="484" t="s">
        <v>1124</v>
      </c>
      <c r="DI1048" s="484" t="s">
        <v>1124</v>
      </c>
      <c r="DJ1048" s="484">
        <v>0</v>
      </c>
      <c r="DK1048" s="484">
        <v>0</v>
      </c>
      <c r="DL1048" s="484" t="s">
        <v>1124</v>
      </c>
      <c r="DM1048" s="484" t="s">
        <v>1124</v>
      </c>
      <c r="DN1048" s="484" t="s">
        <v>1124</v>
      </c>
      <c r="DO1048" s="484" t="s">
        <v>1124</v>
      </c>
      <c r="DP1048" s="484" t="s">
        <v>1124</v>
      </c>
      <c r="DQ1048" s="484" t="str">
        <f>IF(VLOOKUP($BS1048,'État &amp; Plan d''action'!$B$6:$AJ$1113,28,FALSE)="","",VLOOKUP($BS1048,'État &amp; Plan d''action'!$B$6:$AJ$1113,28,FALSE))</f>
        <v/>
      </c>
      <c r="DR1048" s="70" t="str">
        <f>IF(VLOOKUP($BS1048,'État &amp; Plan d''action'!$B$6:$AJ$1113,29,FALSE)="","",VLOOKUP($BS1048,'État &amp; Plan d''action'!$B$6:$AJ$1113,29,FALSE))</f>
        <v/>
      </c>
      <c r="DS1048" s="70" t="str">
        <f>IF(VLOOKUP($BS1048,'État &amp; Plan d''action'!$B$6:$AJ$1113,30,FALSE)="","",VLOOKUP($BS1048,'État &amp; Plan d''action'!$B$6:$AJ$1113,30,FALSE))</f>
        <v/>
      </c>
      <c r="DT1048" s="70" t="s">
        <v>1124</v>
      </c>
      <c r="DU1048" s="485" t="s">
        <v>1124</v>
      </c>
      <c r="DV1048" s="485" t="s">
        <v>1124</v>
      </c>
      <c r="DW1048" s="70" t="s">
        <v>1124</v>
      </c>
      <c r="DX1048" s="70" t="s">
        <v>1124</v>
      </c>
      <c r="DY1048" s="70" t="s">
        <v>1124</v>
      </c>
      <c r="DZ1048" s="70" t="str">
        <f>VLOOKUP($BS1048,'État &amp; Plan d''action'!$B$6:$AH$1113,31,FALSE)</f>
        <v/>
      </c>
      <c r="EA1048" s="70" t="str">
        <f>VLOOKUP($BS1048,'État &amp; Plan d''action'!$B$6:$AH$1113,32,FALSE)</f>
        <v/>
      </c>
      <c r="EB1048" s="70" t="str">
        <f>VLOOKUP($BS1048,'État &amp; Plan d''action'!$B$6:$AH$1113,33,FALSE)</f>
        <v/>
      </c>
      <c r="EC1048" s="70" t="s">
        <v>1124</v>
      </c>
      <c r="ED1048" s="70" t="s">
        <v>1124</v>
      </c>
      <c r="EE1048" s="70" t="s">
        <v>1124</v>
      </c>
      <c r="EF1048" s="70" t="s">
        <v>1124</v>
      </c>
      <c r="EG1048" s="70" t="s">
        <v>1124</v>
      </c>
      <c r="EH1048" s="72"/>
      <c r="EI1048" s="72">
        <v>888</v>
      </c>
    </row>
    <row r="1049" spans="71:139" x14ac:dyDescent="0.35">
      <c r="BS1049" s="486">
        <v>46030</v>
      </c>
      <c r="BT1049" s="479" t="s">
        <v>431</v>
      </c>
      <c r="BU1049" s="479">
        <v>5</v>
      </c>
      <c r="BV1049" s="476" t="s">
        <v>1188</v>
      </c>
      <c r="BW1049" s="476" t="s">
        <v>1188</v>
      </c>
      <c r="BX1049" s="476" t="s">
        <v>1188</v>
      </c>
      <c r="BY1049" s="476" t="s">
        <v>1188</v>
      </c>
      <c r="BZ1049" s="476" t="s">
        <v>1188</v>
      </c>
      <c r="CA1049" s="476" t="s">
        <v>1188</v>
      </c>
      <c r="CB1049" s="476" t="s">
        <v>1188</v>
      </c>
      <c r="CC1049" s="476" t="s">
        <v>1188</v>
      </c>
      <c r="CD1049" s="476" t="s">
        <v>1188</v>
      </c>
      <c r="CE1049" s="476" t="s">
        <v>1187</v>
      </c>
      <c r="CF1049" s="476" t="s">
        <v>1187</v>
      </c>
      <c r="CG1049" s="476" t="s">
        <v>1187</v>
      </c>
      <c r="CH1049" s="476" t="s">
        <v>1187</v>
      </c>
      <c r="CI1049" s="476" t="s">
        <v>1187</v>
      </c>
      <c r="CJ1049" s="476" t="s">
        <v>1187</v>
      </c>
      <c r="CK1049" s="476" t="s">
        <v>1187</v>
      </c>
      <c r="CL1049" s="476" t="s">
        <v>1187</v>
      </c>
      <c r="CM1049" s="476" t="str">
        <f>IF(VLOOKUP(BS1049,'Données par municipalité'!$B$6:$E$1113,4,FALSE)="","non","oui")</f>
        <v>non</v>
      </c>
      <c r="CN1049" s="410" t="s">
        <v>1124</v>
      </c>
      <c r="CO1049" s="410" t="s">
        <v>1124</v>
      </c>
      <c r="CP1049" s="410"/>
      <c r="CQ1049" s="410"/>
      <c r="CR1049" s="410"/>
      <c r="CS1049" s="410" t="s">
        <v>1124</v>
      </c>
      <c r="CT1049" s="410"/>
      <c r="CU1049" s="410" t="s">
        <v>1124</v>
      </c>
      <c r="CV1049" s="410" t="str">
        <f>IF(VLOOKUP(BS1049,'Données par municipalité'!$B$6:$F$1113,4,FALSE)="","",VLOOKUP(BS1049,'Données par municipalité'!$B$6:$F$1113,4,FALSE))</f>
        <v/>
      </c>
      <c r="CW1049" s="476" t="s">
        <v>4723</v>
      </c>
      <c r="CX1049" s="483" t="s">
        <v>1124</v>
      </c>
      <c r="CY1049" s="483" t="s">
        <v>1124</v>
      </c>
      <c r="CZ1049" s="483" t="s">
        <v>1124</v>
      </c>
      <c r="DA1049" s="483" t="s">
        <v>1124</v>
      </c>
      <c r="DB1049" s="483" t="s">
        <v>1124</v>
      </c>
      <c r="DC1049" s="483" t="s">
        <v>1124</v>
      </c>
      <c r="DD1049" s="483" t="s">
        <v>1124</v>
      </c>
      <c r="DE1049" s="483" t="str">
        <f>IFERROR(SUM(VLOOKUP($BS1049,'État &amp; Plan d''action'!$B$6:$Z$1113,18,FALSE),VLOOKUP($BS1049,'État &amp; Plan d''action'!$B$6:$Z$1113,20,FALSE))/(VLOOKUP($BS1049,'Données par municipalité'!$B$4:$L$1113,11,FALSE)),"")</f>
        <v/>
      </c>
      <c r="DF1049" s="483" t="str">
        <f>IFERROR(SUM(VLOOKUP($BS1049,'État &amp; Plan d''action'!$B$6:$Z$1113,19,FALSE),VLOOKUP($BS1049,'État &amp; Plan d''action'!$B$6:$Z$1113,21,FALSE))/(VLOOKUP($BS1049,'Données par municipalité'!$B$4:$L$1113,11,FALSE)),"")</f>
        <v/>
      </c>
      <c r="DG1049" s="476" t="s">
        <v>4723</v>
      </c>
      <c r="DH1049" s="484" t="s">
        <v>1124</v>
      </c>
      <c r="DI1049" s="484" t="s">
        <v>1124</v>
      </c>
      <c r="DJ1049" s="484">
        <v>0</v>
      </c>
      <c r="DK1049" s="484">
        <v>0</v>
      </c>
      <c r="DL1049" s="484" t="s">
        <v>1124</v>
      </c>
      <c r="DM1049" s="484" t="s">
        <v>1124</v>
      </c>
      <c r="DN1049" s="484" t="s">
        <v>1124</v>
      </c>
      <c r="DO1049" s="484" t="s">
        <v>1124</v>
      </c>
      <c r="DP1049" s="484" t="s">
        <v>1124</v>
      </c>
      <c r="DQ1049" s="484" t="str">
        <f>IF(VLOOKUP($BS1049,'État &amp; Plan d''action'!$B$6:$AJ$1113,28,FALSE)="","",VLOOKUP($BS1049,'État &amp; Plan d''action'!$B$6:$AJ$1113,28,FALSE))</f>
        <v/>
      </c>
      <c r="DR1049" s="70" t="str">
        <f>IF(VLOOKUP($BS1049,'État &amp; Plan d''action'!$B$6:$AJ$1113,29,FALSE)="","",VLOOKUP($BS1049,'État &amp; Plan d''action'!$B$6:$AJ$1113,29,FALSE))</f>
        <v/>
      </c>
      <c r="DS1049" s="70" t="str">
        <f>IF(VLOOKUP($BS1049,'État &amp; Plan d''action'!$B$6:$AJ$1113,30,FALSE)="","",VLOOKUP($BS1049,'État &amp; Plan d''action'!$B$6:$AJ$1113,30,FALSE))</f>
        <v/>
      </c>
      <c r="DT1049" s="70" t="s">
        <v>1124</v>
      </c>
      <c r="DU1049" s="485" t="s">
        <v>1124</v>
      </c>
      <c r="DV1049" s="485" t="s">
        <v>1124</v>
      </c>
      <c r="DW1049" s="70" t="s">
        <v>1124</v>
      </c>
      <c r="DX1049" s="70" t="s">
        <v>1124</v>
      </c>
      <c r="DY1049" s="70" t="s">
        <v>1124</v>
      </c>
      <c r="DZ1049" s="70" t="str">
        <f>VLOOKUP($BS1049,'État &amp; Plan d''action'!$B$6:$AH$1113,31,FALSE)</f>
        <v/>
      </c>
      <c r="EA1049" s="70" t="str">
        <f>VLOOKUP($BS1049,'État &amp; Plan d''action'!$B$6:$AH$1113,32,FALSE)</f>
        <v/>
      </c>
      <c r="EB1049" s="70" t="str">
        <f>VLOOKUP($BS1049,'État &amp; Plan d''action'!$B$6:$AH$1113,33,FALSE)</f>
        <v/>
      </c>
      <c r="EC1049" s="70" t="s">
        <v>1124</v>
      </c>
      <c r="ED1049" s="70" t="s">
        <v>1124</v>
      </c>
      <c r="EE1049" s="70" t="s">
        <v>1124</v>
      </c>
      <c r="EF1049" s="70" t="s">
        <v>1124</v>
      </c>
      <c r="EG1049" s="70" t="s">
        <v>1124</v>
      </c>
      <c r="EH1049" s="72"/>
      <c r="EI1049" s="72">
        <v>278</v>
      </c>
    </row>
    <row r="1050" spans="71:139" x14ac:dyDescent="0.35">
      <c r="BS1050" s="486">
        <v>45025</v>
      </c>
      <c r="BT1050" s="479" t="s">
        <v>412</v>
      </c>
      <c r="BU1050" s="479">
        <v>5</v>
      </c>
      <c r="BV1050" s="476" t="s">
        <v>1187</v>
      </c>
      <c r="BW1050" s="476" t="s">
        <v>1187</v>
      </c>
      <c r="BX1050" s="476" t="s">
        <v>1187</v>
      </c>
      <c r="BY1050" s="476" t="s">
        <v>1187</v>
      </c>
      <c r="BZ1050" s="476" t="s">
        <v>1187</v>
      </c>
      <c r="CA1050" s="476" t="s">
        <v>1187</v>
      </c>
      <c r="CB1050" s="476" t="s">
        <v>1187</v>
      </c>
      <c r="CC1050" s="476" t="s">
        <v>1187</v>
      </c>
      <c r="CD1050" s="476" t="s">
        <v>1187</v>
      </c>
      <c r="CE1050" s="476" t="s">
        <v>1188</v>
      </c>
      <c r="CF1050" s="476" t="s">
        <v>1187</v>
      </c>
      <c r="CG1050" s="476" t="s">
        <v>1187</v>
      </c>
      <c r="CH1050" s="476" t="s">
        <v>1188</v>
      </c>
      <c r="CI1050" s="476" t="s">
        <v>1188</v>
      </c>
      <c r="CJ1050" s="476" t="s">
        <v>1188</v>
      </c>
      <c r="CK1050" s="476" t="s">
        <v>1188</v>
      </c>
      <c r="CL1050" s="476" t="s">
        <v>1188</v>
      </c>
      <c r="CM1050" s="476" t="str">
        <f>IF(VLOOKUP(BS1050,'Données par municipalité'!$B$6:$E$1113,4,FALSE)="","non","oui")</f>
        <v>oui</v>
      </c>
      <c r="CN1050" s="410">
        <v>187.19597428012301</v>
      </c>
      <c r="CO1050" s="410" t="s">
        <v>1124</v>
      </c>
      <c r="CP1050" s="410"/>
      <c r="CQ1050" s="410">
        <v>206.08604828666694</v>
      </c>
      <c r="CR1050" s="410">
        <v>230.35087348994941</v>
      </c>
      <c r="CS1050" s="410">
        <v>254.89684283793758</v>
      </c>
      <c r="CT1050" s="410">
        <v>181.4968063310971</v>
      </c>
      <c r="CU1050" s="410">
        <v>279</v>
      </c>
      <c r="CV1050" s="410">
        <f>IF(VLOOKUP(BS1050,'Données par municipalité'!$B$6:$F$1113,4,FALSE)="","",VLOOKUP(BS1050,'Données par municipalité'!$B$6:$F$1113,4,FALSE))</f>
        <v>225</v>
      </c>
      <c r="CW1050" s="476" t="s">
        <v>4723</v>
      </c>
      <c r="CX1050" s="483" t="s">
        <v>1124</v>
      </c>
      <c r="CY1050" s="483" t="s">
        <v>1124</v>
      </c>
      <c r="CZ1050" s="483">
        <v>0</v>
      </c>
      <c r="DA1050" s="483">
        <v>1</v>
      </c>
      <c r="DB1050" s="483">
        <v>1</v>
      </c>
      <c r="DC1050" s="483">
        <v>1</v>
      </c>
      <c r="DD1050" s="483">
        <v>0</v>
      </c>
      <c r="DE1050" s="483">
        <f>IFERROR(SUM(VLOOKUP($BS1050,'État &amp; Plan d''action'!$B$6:$Z$1113,18,FALSE),VLOOKUP($BS1050,'État &amp; Plan d''action'!$B$6:$Z$1113,20,FALSE))/(VLOOKUP($BS1050,'Données par municipalité'!$B$4:$L$1113,11,FALSE)),"")</f>
        <v>0</v>
      </c>
      <c r="DF1050" s="483">
        <f>IFERROR(SUM(VLOOKUP($BS1050,'État &amp; Plan d''action'!$B$6:$Z$1113,19,FALSE),VLOOKUP($BS1050,'État &amp; Plan d''action'!$B$6:$Z$1113,21,FALSE))/(VLOOKUP($BS1050,'Données par municipalité'!$B$4:$L$1113,11,FALSE)),"")</f>
        <v>0</v>
      </c>
      <c r="DG1050" s="476" t="s">
        <v>4723</v>
      </c>
      <c r="DH1050" s="484" t="s">
        <v>1124</v>
      </c>
      <c r="DI1050" s="484" t="s">
        <v>1124</v>
      </c>
      <c r="DJ1050" s="484">
        <v>0</v>
      </c>
      <c r="DK1050" s="484">
        <v>0</v>
      </c>
      <c r="DL1050" s="484">
        <v>0</v>
      </c>
      <c r="DM1050" s="484">
        <v>0</v>
      </c>
      <c r="DN1050" s="484">
        <v>0</v>
      </c>
      <c r="DO1050" s="484">
        <v>0</v>
      </c>
      <c r="DP1050" s="484">
        <v>0</v>
      </c>
      <c r="DQ1050" s="484">
        <f>IF(VLOOKUP($BS1050,'État &amp; Plan d''action'!$B$6:$AJ$1113,28,FALSE)="","",VLOOKUP($BS1050,'État &amp; Plan d''action'!$B$6:$AJ$1113,28,FALSE))</f>
        <v>0</v>
      </c>
      <c r="DR1050" s="70">
        <f>IF(VLOOKUP($BS1050,'État &amp; Plan d''action'!$B$6:$AJ$1113,29,FALSE)="","",VLOOKUP($BS1050,'État &amp; Plan d''action'!$B$6:$AJ$1113,29,FALSE))</f>
        <v>0</v>
      </c>
      <c r="DS1050" s="70">
        <f>IF(VLOOKUP($BS1050,'État &amp; Plan d''action'!$B$6:$AJ$1113,30,FALSE)="","",VLOOKUP($BS1050,'État &amp; Plan d''action'!$B$6:$AJ$1113,30,FALSE))</f>
        <v>0</v>
      </c>
      <c r="DT1050" s="70">
        <v>174</v>
      </c>
      <c r="DU1050" s="485">
        <v>1.1128703365391124</v>
      </c>
      <c r="DV1050" s="485">
        <v>1.1137008367902608</v>
      </c>
      <c r="DW1050" s="70">
        <v>0</v>
      </c>
      <c r="DX1050" s="70">
        <v>0</v>
      </c>
      <c r="DY1050" s="70">
        <v>0</v>
      </c>
      <c r="DZ1050" s="70">
        <f>VLOOKUP($BS1050,'État &amp; Plan d''action'!$B$6:$AH$1113,31,FALSE)</f>
        <v>0</v>
      </c>
      <c r="EA1050" s="70">
        <f>VLOOKUP($BS1050,'État &amp; Plan d''action'!$B$6:$AH$1113,32,FALSE)</f>
        <v>0</v>
      </c>
      <c r="EB1050" s="70">
        <f>VLOOKUP($BS1050,'État &amp; Plan d''action'!$B$6:$AH$1113,33,FALSE)</f>
        <v>0</v>
      </c>
      <c r="EC1050" s="70">
        <v>1.9079999999999999</v>
      </c>
      <c r="ED1050" s="70">
        <v>0</v>
      </c>
      <c r="EE1050" s="70">
        <v>0</v>
      </c>
      <c r="EF1050" s="70">
        <v>0</v>
      </c>
      <c r="EG1050" s="70">
        <v>0</v>
      </c>
      <c r="EH1050" s="72">
        <v>46</v>
      </c>
      <c r="EI1050" s="72">
        <v>948</v>
      </c>
    </row>
    <row r="1051" spans="71:139" x14ac:dyDescent="0.35">
      <c r="BS1051" s="486">
        <v>45008</v>
      </c>
      <c r="BT1051" s="479" t="s">
        <v>410</v>
      </c>
      <c r="BU1051" s="479">
        <v>5</v>
      </c>
      <c r="BV1051" s="476" t="s">
        <v>1187</v>
      </c>
      <c r="BW1051" s="476" t="s">
        <v>1187</v>
      </c>
      <c r="BX1051" s="476" t="s">
        <v>1187</v>
      </c>
      <c r="BY1051" s="476" t="s">
        <v>1187</v>
      </c>
      <c r="BZ1051" s="476" t="s">
        <v>1187</v>
      </c>
      <c r="CA1051" s="476" t="s">
        <v>1187</v>
      </c>
      <c r="CB1051" s="476" t="s">
        <v>1187</v>
      </c>
      <c r="CC1051" s="476" t="s">
        <v>1187</v>
      </c>
      <c r="CD1051" s="476" t="s">
        <v>1187</v>
      </c>
      <c r="CE1051" s="476" t="s">
        <v>1188</v>
      </c>
      <c r="CF1051" s="476" t="s">
        <v>1188</v>
      </c>
      <c r="CG1051" s="476" t="s">
        <v>1188</v>
      </c>
      <c r="CH1051" s="476" t="s">
        <v>1188</v>
      </c>
      <c r="CI1051" s="476" t="s">
        <v>1188</v>
      </c>
      <c r="CJ1051" s="476" t="s">
        <v>1188</v>
      </c>
      <c r="CK1051" s="476" t="s">
        <v>1187</v>
      </c>
      <c r="CL1051" s="476" t="s">
        <v>1188</v>
      </c>
      <c r="CM1051" s="476" t="str">
        <f>IF(VLOOKUP(BS1051,'Données par municipalité'!$B$6:$E$1113,4,FALSE)="","non","oui")</f>
        <v>oui</v>
      </c>
      <c r="CN1051" s="410">
        <v>528.3630482990668</v>
      </c>
      <c r="CO1051" s="410">
        <v>476.94505600827637</v>
      </c>
      <c r="CP1051" s="410">
        <v>488.45386809726858</v>
      </c>
      <c r="CQ1051" s="410">
        <v>508.99942514611149</v>
      </c>
      <c r="CR1051" s="410">
        <v>509.59769605323498</v>
      </c>
      <c r="CS1051" s="410">
        <v>619.21766961842809</v>
      </c>
      <c r="CT1051" s="410"/>
      <c r="CU1051" s="410">
        <v>682</v>
      </c>
      <c r="CV1051" s="410">
        <f>IF(VLOOKUP(BS1051,'Données par municipalité'!$B$6:$F$1113,4,FALSE)="","",VLOOKUP(BS1051,'Données par municipalité'!$B$6:$F$1113,4,FALSE))</f>
        <v>598</v>
      </c>
      <c r="CW1051" s="476" t="s">
        <v>4723</v>
      </c>
      <c r="CX1051" s="483">
        <v>0</v>
      </c>
      <c r="CY1051" s="483">
        <v>0</v>
      </c>
      <c r="CZ1051" s="483">
        <v>0.68</v>
      </c>
      <c r="DA1051" s="483">
        <v>0.68</v>
      </c>
      <c r="DB1051" s="483">
        <v>0</v>
      </c>
      <c r="DC1051" s="483" t="s">
        <v>1124</v>
      </c>
      <c r="DD1051" s="483">
        <v>0</v>
      </c>
      <c r="DE1051" s="483">
        <f>IFERROR(SUM(VLOOKUP($BS1051,'État &amp; Plan d''action'!$B$6:$Z$1113,18,FALSE),VLOOKUP($BS1051,'État &amp; Plan d''action'!$B$6:$Z$1113,20,FALSE))/(VLOOKUP($BS1051,'Données par municipalité'!$B$4:$L$1113,11,FALSE)),"")</f>
        <v>0.33</v>
      </c>
      <c r="DF1051" s="483">
        <f>IFERROR(SUM(VLOOKUP($BS1051,'État &amp; Plan d''action'!$B$6:$Z$1113,19,FALSE),VLOOKUP($BS1051,'État &amp; Plan d''action'!$B$6:$Z$1113,21,FALSE))/(VLOOKUP($BS1051,'Données par municipalité'!$B$4:$L$1113,11,FALSE)),"")</f>
        <v>1</v>
      </c>
      <c r="DG1051" s="476" t="s">
        <v>4723</v>
      </c>
      <c r="DH1051" s="484">
        <v>3</v>
      </c>
      <c r="DI1051" s="484">
        <v>2</v>
      </c>
      <c r="DJ1051" s="484">
        <v>4</v>
      </c>
      <c r="DK1051" s="484">
        <v>8</v>
      </c>
      <c r="DL1051" s="484">
        <v>6</v>
      </c>
      <c r="DM1051" s="484" t="s">
        <v>1124</v>
      </c>
      <c r="DN1051" s="484">
        <v>2</v>
      </c>
      <c r="DO1051" s="484">
        <v>0</v>
      </c>
      <c r="DP1051" s="484">
        <v>1</v>
      </c>
      <c r="DQ1051" s="484">
        <f>IF(VLOOKUP($BS1051,'État &amp; Plan d''action'!$B$6:$AJ$1113,28,FALSE)="","",VLOOKUP($BS1051,'État &amp; Plan d''action'!$B$6:$AJ$1113,28,FALSE))</f>
        <v>4</v>
      </c>
      <c r="DR1051" s="70">
        <f>IF(VLOOKUP($BS1051,'État &amp; Plan d''action'!$B$6:$AJ$1113,29,FALSE)="","",VLOOKUP($BS1051,'État &amp; Plan d''action'!$B$6:$AJ$1113,29,FALSE))</f>
        <v>0</v>
      </c>
      <c r="DS1051" s="70">
        <f>IF(VLOOKUP($BS1051,'État &amp; Plan d''action'!$B$6:$AJ$1113,30,FALSE)="","",VLOOKUP($BS1051,'État &amp; Plan d''action'!$B$6:$AJ$1113,30,FALSE))</f>
        <v>0</v>
      </c>
      <c r="DT1051" s="70">
        <v>309</v>
      </c>
      <c r="DU1051" s="485">
        <v>2.3685785950227642</v>
      </c>
      <c r="DV1051" s="485">
        <v>2.2986320322223674</v>
      </c>
      <c r="DW1051" s="70">
        <v>5</v>
      </c>
      <c r="DX1051" s="70">
        <v>0</v>
      </c>
      <c r="DY1051" s="70">
        <v>14</v>
      </c>
      <c r="DZ1051" s="70">
        <f>VLOOKUP($BS1051,'État &amp; Plan d''action'!$B$6:$AH$1113,31,FALSE)</f>
        <v>2</v>
      </c>
      <c r="EA1051" s="70">
        <f>VLOOKUP($BS1051,'État &amp; Plan d''action'!$B$6:$AH$1113,32,FALSE)</f>
        <v>0</v>
      </c>
      <c r="EB1051" s="70">
        <f>VLOOKUP($BS1051,'État &amp; Plan d''action'!$B$6:$AH$1113,33,FALSE)</f>
        <v>0</v>
      </c>
      <c r="EC1051" s="70">
        <v>0</v>
      </c>
      <c r="ED1051" s="70">
        <v>0</v>
      </c>
      <c r="EE1051" s="70">
        <v>0</v>
      </c>
      <c r="EF1051" s="70">
        <v>0</v>
      </c>
      <c r="EG1051" s="70">
        <v>0</v>
      </c>
      <c r="EH1051" s="72">
        <v>51</v>
      </c>
      <c r="EI1051" s="72">
        <v>2810</v>
      </c>
    </row>
    <row r="1052" spans="71:139" x14ac:dyDescent="0.35">
      <c r="BS1052" s="486">
        <v>44050</v>
      </c>
      <c r="BT1052" s="479" t="s">
        <v>405</v>
      </c>
      <c r="BU1052" s="479">
        <v>5</v>
      </c>
      <c r="BV1052" s="476" t="s">
        <v>1188</v>
      </c>
      <c r="BW1052" s="476" t="s">
        <v>1188</v>
      </c>
      <c r="BX1052" s="476" t="s">
        <v>1188</v>
      </c>
      <c r="BY1052" s="476" t="s">
        <v>1188</v>
      </c>
      <c r="BZ1052" s="476" t="s">
        <v>1188</v>
      </c>
      <c r="CA1052" s="476" t="s">
        <v>1188</v>
      </c>
      <c r="CB1052" s="476" t="s">
        <v>1188</v>
      </c>
      <c r="CC1052" s="476" t="s">
        <v>1188</v>
      </c>
      <c r="CD1052" s="476" t="s">
        <v>1188</v>
      </c>
      <c r="CE1052" s="476" t="s">
        <v>1187</v>
      </c>
      <c r="CF1052" s="476" t="s">
        <v>1187</v>
      </c>
      <c r="CG1052" s="476" t="s">
        <v>1187</v>
      </c>
      <c r="CH1052" s="476" t="s">
        <v>1187</v>
      </c>
      <c r="CI1052" s="476" t="s">
        <v>1187</v>
      </c>
      <c r="CJ1052" s="476" t="s">
        <v>1187</v>
      </c>
      <c r="CK1052" s="476" t="s">
        <v>1187</v>
      </c>
      <c r="CL1052" s="476" t="s">
        <v>1187</v>
      </c>
      <c r="CM1052" s="476" t="str">
        <f>IF(VLOOKUP(BS1052,'Données par municipalité'!$B$6:$E$1113,4,FALSE)="","non","oui")</f>
        <v>non</v>
      </c>
      <c r="CN1052" s="410" t="s">
        <v>1124</v>
      </c>
      <c r="CO1052" s="410" t="s">
        <v>1124</v>
      </c>
      <c r="CP1052" s="410"/>
      <c r="CQ1052" s="410"/>
      <c r="CR1052" s="410"/>
      <c r="CS1052" s="410" t="s">
        <v>1124</v>
      </c>
      <c r="CT1052" s="410"/>
      <c r="CU1052" s="410" t="s">
        <v>1124</v>
      </c>
      <c r="CV1052" s="410" t="str">
        <f>IF(VLOOKUP(BS1052,'Données par municipalité'!$B$6:$F$1113,4,FALSE)="","",VLOOKUP(BS1052,'Données par municipalité'!$B$6:$F$1113,4,FALSE))</f>
        <v/>
      </c>
      <c r="CW1052" s="476" t="s">
        <v>4723</v>
      </c>
      <c r="CX1052" s="483" t="s">
        <v>1124</v>
      </c>
      <c r="CY1052" s="483" t="s">
        <v>1124</v>
      </c>
      <c r="CZ1052" s="483" t="s">
        <v>1124</v>
      </c>
      <c r="DA1052" s="483" t="s">
        <v>1124</v>
      </c>
      <c r="DB1052" s="483" t="s">
        <v>1124</v>
      </c>
      <c r="DC1052" s="483" t="s">
        <v>1124</v>
      </c>
      <c r="DD1052" s="483" t="s">
        <v>1124</v>
      </c>
      <c r="DE1052" s="483" t="str">
        <f>IFERROR(SUM(VLOOKUP($BS1052,'État &amp; Plan d''action'!$B$6:$Z$1113,18,FALSE),VLOOKUP($BS1052,'État &amp; Plan d''action'!$B$6:$Z$1113,20,FALSE))/(VLOOKUP($BS1052,'Données par municipalité'!$B$4:$L$1113,11,FALSE)),"")</f>
        <v/>
      </c>
      <c r="DF1052" s="483" t="str">
        <f>IFERROR(SUM(VLOOKUP($BS1052,'État &amp; Plan d''action'!$B$6:$Z$1113,19,FALSE),VLOOKUP($BS1052,'État &amp; Plan d''action'!$B$6:$Z$1113,21,FALSE))/(VLOOKUP($BS1052,'Données par municipalité'!$B$4:$L$1113,11,FALSE)),"")</f>
        <v/>
      </c>
      <c r="DG1052" s="476" t="s">
        <v>4723</v>
      </c>
      <c r="DH1052" s="484" t="s">
        <v>1124</v>
      </c>
      <c r="DI1052" s="484" t="s">
        <v>1124</v>
      </c>
      <c r="DJ1052" s="484">
        <v>0</v>
      </c>
      <c r="DK1052" s="484">
        <v>0</v>
      </c>
      <c r="DL1052" s="484" t="s">
        <v>1124</v>
      </c>
      <c r="DM1052" s="484" t="s">
        <v>1124</v>
      </c>
      <c r="DN1052" s="484" t="s">
        <v>1124</v>
      </c>
      <c r="DO1052" s="484" t="s">
        <v>1124</v>
      </c>
      <c r="DP1052" s="484" t="s">
        <v>1124</v>
      </c>
      <c r="DQ1052" s="484" t="str">
        <f>IF(VLOOKUP($BS1052,'État &amp; Plan d''action'!$B$6:$AJ$1113,28,FALSE)="","",VLOOKUP($BS1052,'État &amp; Plan d''action'!$B$6:$AJ$1113,28,FALSE))</f>
        <v/>
      </c>
      <c r="DR1052" s="70" t="str">
        <f>IF(VLOOKUP($BS1052,'État &amp; Plan d''action'!$B$6:$AJ$1113,29,FALSE)="","",VLOOKUP($BS1052,'État &amp; Plan d''action'!$B$6:$AJ$1113,29,FALSE))</f>
        <v/>
      </c>
      <c r="DS1052" s="70" t="str">
        <f>IF(VLOOKUP($BS1052,'État &amp; Plan d''action'!$B$6:$AJ$1113,30,FALSE)="","",VLOOKUP($BS1052,'État &amp; Plan d''action'!$B$6:$AJ$1113,30,FALSE))</f>
        <v/>
      </c>
      <c r="DT1052" s="70" t="s">
        <v>1124</v>
      </c>
      <c r="DU1052" s="485" t="s">
        <v>1124</v>
      </c>
      <c r="DV1052" s="485" t="s">
        <v>1124</v>
      </c>
      <c r="DW1052" s="70" t="s">
        <v>1124</v>
      </c>
      <c r="DX1052" s="70" t="s">
        <v>1124</v>
      </c>
      <c r="DY1052" s="70" t="s">
        <v>1124</v>
      </c>
      <c r="DZ1052" s="70" t="str">
        <f>VLOOKUP($BS1052,'État &amp; Plan d''action'!$B$6:$AH$1113,31,FALSE)</f>
        <v/>
      </c>
      <c r="EA1052" s="70" t="str">
        <f>VLOOKUP($BS1052,'État &amp; Plan d''action'!$B$6:$AH$1113,32,FALSE)</f>
        <v/>
      </c>
      <c r="EB1052" s="70" t="str">
        <f>VLOOKUP($BS1052,'État &amp; Plan d''action'!$B$6:$AH$1113,33,FALSE)</f>
        <v/>
      </c>
      <c r="EC1052" s="70" t="s">
        <v>1124</v>
      </c>
      <c r="ED1052" s="70" t="s">
        <v>1124</v>
      </c>
      <c r="EE1052" s="70" t="s">
        <v>1124</v>
      </c>
      <c r="EF1052" s="70" t="s">
        <v>1124</v>
      </c>
      <c r="EG1052" s="70" t="s">
        <v>1124</v>
      </c>
      <c r="EH1052" s="72"/>
      <c r="EI1052" s="72">
        <v>623</v>
      </c>
    </row>
    <row r="1053" spans="71:139" x14ac:dyDescent="0.35">
      <c r="BS1053" s="486">
        <v>42005</v>
      </c>
      <c r="BT1053" s="479" t="s">
        <v>379</v>
      </c>
      <c r="BU1053" s="479">
        <v>5</v>
      </c>
      <c r="BV1053" s="476" t="s">
        <v>1187</v>
      </c>
      <c r="BW1053" s="476" t="s">
        <v>1187</v>
      </c>
      <c r="BX1053" s="476" t="s">
        <v>1187</v>
      </c>
      <c r="BY1053" s="476" t="s">
        <v>1187</v>
      </c>
      <c r="BZ1053" s="476" t="s">
        <v>1187</v>
      </c>
      <c r="CA1053" s="476" t="s">
        <v>1187</v>
      </c>
      <c r="CB1053" s="476" t="s">
        <v>1187</v>
      </c>
      <c r="CC1053" s="476" t="s">
        <v>1187</v>
      </c>
      <c r="CD1053" s="476" t="s">
        <v>1187</v>
      </c>
      <c r="CE1053" s="476" t="s">
        <v>1188</v>
      </c>
      <c r="CF1053" s="476" t="s">
        <v>1188</v>
      </c>
      <c r="CG1053" s="476" t="s">
        <v>1187</v>
      </c>
      <c r="CH1053" s="476" t="s">
        <v>1188</v>
      </c>
      <c r="CI1053" s="476" t="s">
        <v>1188</v>
      </c>
      <c r="CJ1053" s="476" t="s">
        <v>1188</v>
      </c>
      <c r="CK1053" s="476" t="s">
        <v>1188</v>
      </c>
      <c r="CL1053" s="476" t="s">
        <v>1188</v>
      </c>
      <c r="CM1053" s="476" t="str">
        <f>IF(VLOOKUP(BS1053,'Données par municipalité'!$B$6:$E$1113,4,FALSE)="","non","oui")</f>
        <v>non</v>
      </c>
      <c r="CN1053" s="410">
        <v>471.54912193187766</v>
      </c>
      <c r="CO1053" s="410">
        <v>350.2158807258989</v>
      </c>
      <c r="CP1053" s="410"/>
      <c r="CQ1053" s="410">
        <v>208.99658255986833</v>
      </c>
      <c r="CR1053" s="410">
        <v>230.29146072054843</v>
      </c>
      <c r="CS1053" s="410">
        <v>188.01049545053178</v>
      </c>
      <c r="CT1053" s="410">
        <v>194.41549546344064</v>
      </c>
      <c r="CU1053" s="410">
        <v>226</v>
      </c>
      <c r="CV1053" s="410" t="str">
        <f>IF(VLOOKUP(BS1053,'Données par municipalité'!$B$6:$F$1113,4,FALSE)="","",VLOOKUP(BS1053,'Données par municipalité'!$B$6:$F$1113,4,FALSE))</f>
        <v/>
      </c>
      <c r="CW1053" s="476" t="s">
        <v>4723</v>
      </c>
      <c r="CX1053" s="483">
        <v>1</v>
      </c>
      <c r="CY1053" s="483" t="s">
        <v>1124</v>
      </c>
      <c r="CZ1053" s="483">
        <v>0</v>
      </c>
      <c r="DA1053" s="483">
        <v>0</v>
      </c>
      <c r="DB1053" s="483">
        <v>0</v>
      </c>
      <c r="DC1053" s="483">
        <v>0</v>
      </c>
      <c r="DD1053" s="483">
        <v>0.25008931761343334</v>
      </c>
      <c r="DE1053" s="483" t="str">
        <f>IFERROR(SUM(VLOOKUP($BS1053,'État &amp; Plan d''action'!$B$6:$Z$1113,18,FALSE),VLOOKUP($BS1053,'État &amp; Plan d''action'!$B$6:$Z$1113,20,FALSE))/(VLOOKUP($BS1053,'Données par municipalité'!$B$4:$L$1113,11,FALSE)),"")</f>
        <v/>
      </c>
      <c r="DF1053" s="483" t="str">
        <f>IFERROR(SUM(VLOOKUP($BS1053,'État &amp; Plan d''action'!$B$6:$Z$1113,19,FALSE),VLOOKUP($BS1053,'État &amp; Plan d''action'!$B$6:$Z$1113,21,FALSE))/(VLOOKUP($BS1053,'Données par municipalité'!$B$4:$L$1113,11,FALSE)),"")</f>
        <v/>
      </c>
      <c r="DG1053" s="476" t="s">
        <v>4723</v>
      </c>
      <c r="DH1053" s="484">
        <v>12</v>
      </c>
      <c r="DI1053" s="484" t="s">
        <v>1124</v>
      </c>
      <c r="DJ1053" s="484">
        <v>0</v>
      </c>
      <c r="DK1053" s="484">
        <v>0</v>
      </c>
      <c r="DL1053" s="484">
        <v>0</v>
      </c>
      <c r="DM1053" s="484">
        <v>0</v>
      </c>
      <c r="DN1053" s="484">
        <v>0</v>
      </c>
      <c r="DO1053" s="484">
        <v>1</v>
      </c>
      <c r="DP1053" s="484">
        <v>0</v>
      </c>
      <c r="DQ1053" s="484" t="str">
        <f>IF(VLOOKUP($BS1053,'État &amp; Plan d''action'!$B$6:$AJ$1113,28,FALSE)="","",VLOOKUP($BS1053,'État &amp; Plan d''action'!$B$6:$AJ$1113,28,FALSE))</f>
        <v/>
      </c>
      <c r="DR1053" s="70" t="str">
        <f>IF(VLOOKUP($BS1053,'État &amp; Plan d''action'!$B$6:$AJ$1113,29,FALSE)="","",VLOOKUP($BS1053,'État &amp; Plan d''action'!$B$6:$AJ$1113,29,FALSE))</f>
        <v/>
      </c>
      <c r="DS1053" s="70" t="str">
        <f>IF(VLOOKUP($BS1053,'État &amp; Plan d''action'!$B$6:$AJ$1113,30,FALSE)="","",VLOOKUP($BS1053,'État &amp; Plan d''action'!$B$6:$AJ$1113,30,FALSE))</f>
        <v/>
      </c>
      <c r="DT1053" s="70">
        <v>165</v>
      </c>
      <c r="DU1053" s="485">
        <v>1.6920169201692019</v>
      </c>
      <c r="DV1053" s="485" t="s">
        <v>1124</v>
      </c>
      <c r="DW1053" s="70">
        <v>0</v>
      </c>
      <c r="DX1053" s="70">
        <v>1</v>
      </c>
      <c r="DY1053" s="70">
        <v>0</v>
      </c>
      <c r="DZ1053" s="70" t="str">
        <f>VLOOKUP($BS1053,'État &amp; Plan d''action'!$B$6:$AH$1113,31,FALSE)</f>
        <v/>
      </c>
      <c r="EA1053" s="70" t="str">
        <f>VLOOKUP($BS1053,'État &amp; Plan d''action'!$B$6:$AH$1113,32,FALSE)</f>
        <v/>
      </c>
      <c r="EB1053" s="70" t="str">
        <f>VLOOKUP($BS1053,'État &amp; Plan d''action'!$B$6:$AH$1113,33,FALSE)</f>
        <v/>
      </c>
      <c r="EC1053" s="70">
        <v>0</v>
      </c>
      <c r="ED1053" s="70">
        <v>0</v>
      </c>
      <c r="EE1053" s="70">
        <v>0.7</v>
      </c>
      <c r="EF1053" s="70">
        <v>0</v>
      </c>
      <c r="EG1053" s="70">
        <v>0</v>
      </c>
      <c r="EH1053" s="72">
        <v>37</v>
      </c>
      <c r="EI1053" s="72">
        <v>2977</v>
      </c>
    </row>
    <row r="1054" spans="71:139" x14ac:dyDescent="0.35">
      <c r="BS1054" s="486">
        <v>22035</v>
      </c>
      <c r="BT1054" s="479" t="s">
        <v>159</v>
      </c>
      <c r="BU1054" s="479">
        <v>3</v>
      </c>
      <c r="BV1054" s="476" t="s">
        <v>1187</v>
      </c>
      <c r="BW1054" s="476" t="s">
        <v>1187</v>
      </c>
      <c r="BX1054" s="476" t="s">
        <v>1187</v>
      </c>
      <c r="BY1054" s="476" t="s">
        <v>1187</v>
      </c>
      <c r="BZ1054" s="476" t="s">
        <v>1187</v>
      </c>
      <c r="CA1054" s="476" t="s">
        <v>1187</v>
      </c>
      <c r="CB1054" s="476" t="s">
        <v>1187</v>
      </c>
      <c r="CC1054" s="476" t="s">
        <v>1187</v>
      </c>
      <c r="CD1054" s="476" t="s">
        <v>1187</v>
      </c>
      <c r="CE1054" s="476" t="s">
        <v>1188</v>
      </c>
      <c r="CF1054" s="476" t="s">
        <v>1188</v>
      </c>
      <c r="CG1054" s="476" t="s">
        <v>1187</v>
      </c>
      <c r="CH1054" s="476" t="s">
        <v>1187</v>
      </c>
      <c r="CI1054" s="476" t="s">
        <v>1187</v>
      </c>
      <c r="CJ1054" s="476" t="s">
        <v>1188</v>
      </c>
      <c r="CK1054" s="476" t="s">
        <v>1188</v>
      </c>
      <c r="CL1054" s="476" t="s">
        <v>1188</v>
      </c>
      <c r="CM1054" s="476" t="str">
        <f>IF(VLOOKUP(BS1054,'Données par municipalité'!$B$6:$E$1113,4,FALSE)="","non","oui")</f>
        <v>oui</v>
      </c>
      <c r="CN1054" s="410">
        <v>161.15694568409072</v>
      </c>
      <c r="CO1054" s="410">
        <v>256.12356659792897</v>
      </c>
      <c r="CP1054" s="410"/>
      <c r="CQ1054" s="410"/>
      <c r="CR1054" s="410"/>
      <c r="CS1054" s="410">
        <v>276.66667760000172</v>
      </c>
      <c r="CT1054" s="410">
        <v>288.63430168101581</v>
      </c>
      <c r="CU1054" s="410">
        <v>286</v>
      </c>
      <c r="CV1054" s="410">
        <f>IF(VLOOKUP(BS1054,'Données par municipalité'!$B$6:$F$1113,4,FALSE)="","",VLOOKUP(BS1054,'Données par municipalité'!$B$6:$F$1113,4,FALSE))</f>
        <v>246</v>
      </c>
      <c r="CW1054" s="476" t="s">
        <v>4723</v>
      </c>
      <c r="CX1054" s="483">
        <v>0</v>
      </c>
      <c r="CY1054" s="483" t="s">
        <v>1124</v>
      </c>
      <c r="CZ1054" s="483" t="s">
        <v>1124</v>
      </c>
      <c r="DA1054" s="483" t="s">
        <v>1124</v>
      </c>
      <c r="DB1054" s="483">
        <v>0</v>
      </c>
      <c r="DC1054" s="483">
        <v>0</v>
      </c>
      <c r="DD1054" s="483">
        <v>0</v>
      </c>
      <c r="DE1054" s="483">
        <f>IFERROR(SUM(VLOOKUP($BS1054,'État &amp; Plan d''action'!$B$6:$Z$1113,18,FALSE),VLOOKUP($BS1054,'État &amp; Plan d''action'!$B$6:$Z$1113,20,FALSE))/(VLOOKUP($BS1054,'Données par municipalité'!$B$4:$L$1113,11,FALSE)),"")</f>
        <v>0</v>
      </c>
      <c r="DF1054" s="483">
        <f>IFERROR(SUM(VLOOKUP($BS1054,'État &amp; Plan d''action'!$B$6:$Z$1113,19,FALSE),VLOOKUP($BS1054,'État &amp; Plan d''action'!$B$6:$Z$1113,21,FALSE))/(VLOOKUP($BS1054,'Données par municipalité'!$B$4:$L$1113,11,FALSE)),"")</f>
        <v>0</v>
      </c>
      <c r="DG1054" s="476" t="s">
        <v>4723</v>
      </c>
      <c r="DH1054" s="484">
        <v>5</v>
      </c>
      <c r="DI1054" s="484" t="s">
        <v>1124</v>
      </c>
      <c r="DJ1054" s="484">
        <v>0</v>
      </c>
      <c r="DK1054" s="484">
        <v>0</v>
      </c>
      <c r="DL1054" s="484">
        <v>0</v>
      </c>
      <c r="DM1054" s="484">
        <v>2</v>
      </c>
      <c r="DN1054" s="484">
        <v>0</v>
      </c>
      <c r="DO1054" s="484">
        <v>1</v>
      </c>
      <c r="DP1054" s="484">
        <v>0</v>
      </c>
      <c r="DQ1054" s="484">
        <f>IF(VLOOKUP($BS1054,'État &amp; Plan d''action'!$B$6:$AJ$1113,28,FALSE)="","",VLOOKUP($BS1054,'État &amp; Plan d''action'!$B$6:$AJ$1113,28,FALSE))</f>
        <v>0</v>
      </c>
      <c r="DR1054" s="70">
        <f>IF(VLOOKUP($BS1054,'État &amp; Plan d''action'!$B$6:$AJ$1113,29,FALSE)="","",VLOOKUP($BS1054,'État &amp; Plan d''action'!$B$6:$AJ$1113,29,FALSE))</f>
        <v>0</v>
      </c>
      <c r="DS1054" s="70">
        <f>IF(VLOOKUP($BS1054,'État &amp; Plan d''action'!$B$6:$AJ$1113,30,FALSE)="","",VLOOKUP($BS1054,'État &amp; Plan d''action'!$B$6:$AJ$1113,30,FALSE))</f>
        <v>0</v>
      </c>
      <c r="DT1054" s="70">
        <v>204</v>
      </c>
      <c r="DU1054" s="485">
        <v>0.99366374348859299</v>
      </c>
      <c r="DV1054" s="485">
        <v>1.4104438267407624</v>
      </c>
      <c r="DW1054" s="70">
        <v>0</v>
      </c>
      <c r="DX1054" s="70">
        <v>3</v>
      </c>
      <c r="DY1054" s="70">
        <v>0</v>
      </c>
      <c r="DZ1054" s="70">
        <f>VLOOKUP($BS1054,'État &amp; Plan d''action'!$B$6:$AH$1113,31,FALSE)</f>
        <v>0</v>
      </c>
      <c r="EA1054" s="70">
        <f>VLOOKUP($BS1054,'État &amp; Plan d''action'!$B$6:$AH$1113,32,FALSE)</f>
        <v>0</v>
      </c>
      <c r="EB1054" s="70">
        <f>VLOOKUP($BS1054,'État &amp; Plan d''action'!$B$6:$AH$1113,33,FALSE)</f>
        <v>0</v>
      </c>
      <c r="EC1054" s="70">
        <v>0</v>
      </c>
      <c r="ED1054" s="70">
        <v>0</v>
      </c>
      <c r="EE1054" s="70">
        <v>0</v>
      </c>
      <c r="EF1054" s="70">
        <v>0</v>
      </c>
      <c r="EG1054" s="70">
        <v>0</v>
      </c>
      <c r="EH1054" s="72">
        <v>58.928033656811834</v>
      </c>
      <c r="EI1054" s="72">
        <v>8930</v>
      </c>
    </row>
    <row r="1055" spans="71:139" x14ac:dyDescent="0.35">
      <c r="BS1055" s="486">
        <v>30105</v>
      </c>
      <c r="BT1055" s="479" t="s">
        <v>235</v>
      </c>
      <c r="BU1055" s="479">
        <v>5</v>
      </c>
      <c r="BV1055" s="476" t="s">
        <v>1188</v>
      </c>
      <c r="BW1055" s="476" t="s">
        <v>1188</v>
      </c>
      <c r="BX1055" s="476" t="s">
        <v>1188</v>
      </c>
      <c r="BY1055" s="476" t="s">
        <v>1188</v>
      </c>
      <c r="BZ1055" s="476" t="s">
        <v>1188</v>
      </c>
      <c r="CA1055" s="476" t="s">
        <v>1188</v>
      </c>
      <c r="CB1055" s="476" t="s">
        <v>1188</v>
      </c>
      <c r="CC1055" s="476" t="s">
        <v>1188</v>
      </c>
      <c r="CD1055" s="476" t="s">
        <v>1188</v>
      </c>
      <c r="CE1055" s="476" t="s">
        <v>1187</v>
      </c>
      <c r="CF1055" s="476" t="s">
        <v>1187</v>
      </c>
      <c r="CG1055" s="476" t="s">
        <v>1187</v>
      </c>
      <c r="CH1055" s="476" t="s">
        <v>1187</v>
      </c>
      <c r="CI1055" s="476" t="s">
        <v>1187</v>
      </c>
      <c r="CJ1055" s="476" t="s">
        <v>1187</v>
      </c>
      <c r="CK1055" s="476" t="s">
        <v>1187</v>
      </c>
      <c r="CL1055" s="476" t="s">
        <v>1187</v>
      </c>
      <c r="CM1055" s="476" t="str">
        <f>IF(VLOOKUP(BS1055,'Données par municipalité'!$B$6:$E$1113,4,FALSE)="","non","oui")</f>
        <v>non</v>
      </c>
      <c r="CN1055" s="410" t="s">
        <v>1124</v>
      </c>
      <c r="CO1055" s="410" t="s">
        <v>1124</v>
      </c>
      <c r="CP1055" s="410"/>
      <c r="CQ1055" s="410"/>
      <c r="CR1055" s="410"/>
      <c r="CS1055" s="410" t="s">
        <v>1124</v>
      </c>
      <c r="CT1055" s="410"/>
      <c r="CU1055" s="410" t="s">
        <v>1124</v>
      </c>
      <c r="CV1055" s="410" t="str">
        <f>IF(VLOOKUP(BS1055,'Données par municipalité'!$B$6:$F$1113,4,FALSE)="","",VLOOKUP(BS1055,'Données par municipalité'!$B$6:$F$1113,4,FALSE))</f>
        <v/>
      </c>
      <c r="CW1055" s="476" t="s">
        <v>4723</v>
      </c>
      <c r="CX1055" s="483" t="s">
        <v>1124</v>
      </c>
      <c r="CY1055" s="483" t="s">
        <v>1124</v>
      </c>
      <c r="CZ1055" s="483" t="s">
        <v>1124</v>
      </c>
      <c r="DA1055" s="483" t="s">
        <v>1124</v>
      </c>
      <c r="DB1055" s="483" t="s">
        <v>1124</v>
      </c>
      <c r="DC1055" s="483" t="s">
        <v>1124</v>
      </c>
      <c r="DD1055" s="483" t="s">
        <v>1124</v>
      </c>
      <c r="DE1055" s="483" t="str">
        <f>IFERROR(SUM(VLOOKUP($BS1055,'État &amp; Plan d''action'!$B$6:$Z$1113,18,FALSE),VLOOKUP($BS1055,'État &amp; Plan d''action'!$B$6:$Z$1113,20,FALSE))/(VLOOKUP($BS1055,'Données par municipalité'!$B$4:$L$1113,11,FALSE)),"")</f>
        <v/>
      </c>
      <c r="DF1055" s="483" t="str">
        <f>IFERROR(SUM(VLOOKUP($BS1055,'État &amp; Plan d''action'!$B$6:$Z$1113,19,FALSE),VLOOKUP($BS1055,'État &amp; Plan d''action'!$B$6:$Z$1113,21,FALSE))/(VLOOKUP($BS1055,'Données par municipalité'!$B$4:$L$1113,11,FALSE)),"")</f>
        <v/>
      </c>
      <c r="DG1055" s="476" t="s">
        <v>4723</v>
      </c>
      <c r="DH1055" s="484" t="s">
        <v>1124</v>
      </c>
      <c r="DI1055" s="484" t="s">
        <v>1124</v>
      </c>
      <c r="DJ1055" s="484">
        <v>0</v>
      </c>
      <c r="DK1055" s="484">
        <v>0</v>
      </c>
      <c r="DL1055" s="484" t="s">
        <v>1124</v>
      </c>
      <c r="DM1055" s="484" t="s">
        <v>1124</v>
      </c>
      <c r="DN1055" s="484" t="s">
        <v>1124</v>
      </c>
      <c r="DO1055" s="484" t="s">
        <v>1124</v>
      </c>
      <c r="DP1055" s="484" t="s">
        <v>1124</v>
      </c>
      <c r="DQ1055" s="484" t="str">
        <f>IF(VLOOKUP($BS1055,'État &amp; Plan d''action'!$B$6:$AJ$1113,28,FALSE)="","",VLOOKUP($BS1055,'État &amp; Plan d''action'!$B$6:$AJ$1113,28,FALSE))</f>
        <v/>
      </c>
      <c r="DR1055" s="70" t="str">
        <f>IF(VLOOKUP($BS1055,'État &amp; Plan d''action'!$B$6:$AJ$1113,29,FALSE)="","",VLOOKUP($BS1055,'État &amp; Plan d''action'!$B$6:$AJ$1113,29,FALSE))</f>
        <v/>
      </c>
      <c r="DS1055" s="70" t="str">
        <f>IF(VLOOKUP($BS1055,'État &amp; Plan d''action'!$B$6:$AJ$1113,30,FALSE)="","",VLOOKUP($BS1055,'État &amp; Plan d''action'!$B$6:$AJ$1113,30,FALSE))</f>
        <v/>
      </c>
      <c r="DT1055" s="70" t="s">
        <v>1124</v>
      </c>
      <c r="DU1055" s="485" t="s">
        <v>1124</v>
      </c>
      <c r="DV1055" s="485" t="s">
        <v>1124</v>
      </c>
      <c r="DW1055" s="70" t="s">
        <v>1124</v>
      </c>
      <c r="DX1055" s="70" t="s">
        <v>1124</v>
      </c>
      <c r="DY1055" s="70" t="s">
        <v>1124</v>
      </c>
      <c r="DZ1055" s="70" t="str">
        <f>VLOOKUP($BS1055,'État &amp; Plan d''action'!$B$6:$AH$1113,31,FALSE)</f>
        <v/>
      </c>
      <c r="EA1055" s="70" t="str">
        <f>VLOOKUP($BS1055,'État &amp; Plan d''action'!$B$6:$AH$1113,32,FALSE)</f>
        <v/>
      </c>
      <c r="EB1055" s="70" t="str">
        <f>VLOOKUP($BS1055,'État &amp; Plan d''action'!$B$6:$AH$1113,33,FALSE)</f>
        <v/>
      </c>
      <c r="EC1055" s="70" t="s">
        <v>1124</v>
      </c>
      <c r="ED1055" s="70" t="s">
        <v>1124</v>
      </c>
      <c r="EE1055" s="70" t="s">
        <v>1124</v>
      </c>
      <c r="EF1055" s="70" t="s">
        <v>1124</v>
      </c>
      <c r="EG1055" s="70" t="s">
        <v>1124</v>
      </c>
      <c r="EH1055" s="72"/>
      <c r="EI1055" s="72">
        <v>534</v>
      </c>
    </row>
    <row r="1056" spans="71:139" x14ac:dyDescent="0.35">
      <c r="BS1056" s="486">
        <v>30110</v>
      </c>
      <c r="BT1056" s="479" t="s">
        <v>236</v>
      </c>
      <c r="BU1056" s="479">
        <v>5</v>
      </c>
      <c r="BV1056" s="476" t="s">
        <v>1187</v>
      </c>
      <c r="BW1056" s="476" t="s">
        <v>1187</v>
      </c>
      <c r="BX1056" s="476" t="s">
        <v>1187</v>
      </c>
      <c r="BY1056" s="476" t="s">
        <v>1187</v>
      </c>
      <c r="BZ1056" s="476" t="s">
        <v>1187</v>
      </c>
      <c r="CA1056" s="476" t="s">
        <v>1187</v>
      </c>
      <c r="CB1056" s="476" t="s">
        <v>1187</v>
      </c>
      <c r="CC1056" s="476" t="s">
        <v>1187</v>
      </c>
      <c r="CD1056" s="476" t="s">
        <v>1187</v>
      </c>
      <c r="CE1056" s="476" t="s">
        <v>1188</v>
      </c>
      <c r="CF1056" s="476" t="s">
        <v>1188</v>
      </c>
      <c r="CG1056" s="476" t="s">
        <v>1188</v>
      </c>
      <c r="CH1056" s="476" t="s">
        <v>1188</v>
      </c>
      <c r="CI1056" s="476" t="s">
        <v>1188</v>
      </c>
      <c r="CJ1056" s="476" t="s">
        <v>1188</v>
      </c>
      <c r="CK1056" s="476" t="s">
        <v>1188</v>
      </c>
      <c r="CL1056" s="476" t="s">
        <v>1187</v>
      </c>
      <c r="CM1056" s="476" t="str">
        <f>IF(VLOOKUP(BS1056,'Données par municipalité'!$B$6:$E$1113,4,FALSE)="","non","oui")</f>
        <v>non</v>
      </c>
      <c r="CN1056" s="410">
        <v>558.77862595419845</v>
      </c>
      <c r="CO1056" s="410">
        <v>565.10777690035388</v>
      </c>
      <c r="CP1056" s="410">
        <v>412.94154554010248</v>
      </c>
      <c r="CQ1056" s="410">
        <v>408.31538220223774</v>
      </c>
      <c r="CR1056" s="410">
        <v>400.51170740812762</v>
      </c>
      <c r="CS1056" s="410">
        <v>359.47477075231649</v>
      </c>
      <c r="CT1056" s="410">
        <v>454</v>
      </c>
      <c r="CU1056" s="410" t="s">
        <v>1124</v>
      </c>
      <c r="CV1056" s="410" t="str">
        <f>IF(VLOOKUP(BS1056,'Données par municipalité'!$B$6:$F$1113,4,FALSE)="","",VLOOKUP(BS1056,'Données par municipalité'!$B$6:$F$1113,4,FALSE))</f>
        <v/>
      </c>
      <c r="CW1056" s="476" t="s">
        <v>4723</v>
      </c>
      <c r="CX1056" s="483">
        <v>1</v>
      </c>
      <c r="CY1056" s="483">
        <v>1</v>
      </c>
      <c r="CZ1056" s="483">
        <v>1</v>
      </c>
      <c r="DA1056" s="483">
        <v>1</v>
      </c>
      <c r="DB1056" s="483">
        <v>1</v>
      </c>
      <c r="DC1056" s="483">
        <v>1</v>
      </c>
      <c r="DD1056" s="483" t="s">
        <v>1124</v>
      </c>
      <c r="DE1056" s="483" t="str">
        <f>IFERROR(SUM(VLOOKUP($BS1056,'État &amp; Plan d''action'!$B$6:$Z$1113,18,FALSE),VLOOKUP($BS1056,'État &amp; Plan d''action'!$B$6:$Z$1113,20,FALSE))/(VLOOKUP($BS1056,'Données par municipalité'!$B$4:$L$1113,11,FALSE)),"")</f>
        <v/>
      </c>
      <c r="DF1056" s="483" t="str">
        <f>IFERROR(SUM(VLOOKUP($BS1056,'État &amp; Plan d''action'!$B$6:$Z$1113,19,FALSE),VLOOKUP($BS1056,'État &amp; Plan d''action'!$B$6:$Z$1113,21,FALSE))/(VLOOKUP($BS1056,'Données par municipalité'!$B$4:$L$1113,11,FALSE)),"")</f>
        <v/>
      </c>
      <c r="DG1056" s="476" t="s">
        <v>4723</v>
      </c>
      <c r="DH1056" s="484">
        <v>5</v>
      </c>
      <c r="DI1056" s="484">
        <v>4</v>
      </c>
      <c r="DJ1056" s="484">
        <v>4</v>
      </c>
      <c r="DK1056" s="484">
        <v>6</v>
      </c>
      <c r="DL1056" s="484">
        <v>1</v>
      </c>
      <c r="DM1056" s="484">
        <v>1</v>
      </c>
      <c r="DN1056" s="484" t="s">
        <v>1124</v>
      </c>
      <c r="DO1056" s="484" t="s">
        <v>1124</v>
      </c>
      <c r="DP1056" s="484" t="s">
        <v>1124</v>
      </c>
      <c r="DQ1056" s="484" t="str">
        <f>IF(VLOOKUP($BS1056,'État &amp; Plan d''action'!$B$6:$AJ$1113,28,FALSE)="","",VLOOKUP($BS1056,'État &amp; Plan d''action'!$B$6:$AJ$1113,28,FALSE))</f>
        <v/>
      </c>
      <c r="DR1056" s="70" t="str">
        <f>IF(VLOOKUP($BS1056,'État &amp; Plan d''action'!$B$6:$AJ$1113,29,FALSE)="","",VLOOKUP($BS1056,'État &amp; Plan d''action'!$B$6:$AJ$1113,29,FALSE))</f>
        <v/>
      </c>
      <c r="DS1056" s="70" t="str">
        <f>IF(VLOOKUP($BS1056,'État &amp; Plan d''action'!$B$6:$AJ$1113,30,FALSE)="","",VLOOKUP($BS1056,'État &amp; Plan d''action'!$B$6:$AJ$1113,30,FALSE))</f>
        <v/>
      </c>
      <c r="DT1056" s="70" t="s">
        <v>1124</v>
      </c>
      <c r="DU1056" s="485" t="s">
        <v>1124</v>
      </c>
      <c r="DV1056" s="485" t="s">
        <v>1124</v>
      </c>
      <c r="DW1056" s="70" t="s">
        <v>1124</v>
      </c>
      <c r="DX1056" s="70" t="s">
        <v>1124</v>
      </c>
      <c r="DY1056" s="70" t="s">
        <v>1124</v>
      </c>
      <c r="DZ1056" s="70" t="str">
        <f>VLOOKUP($BS1056,'État &amp; Plan d''action'!$B$6:$AH$1113,31,FALSE)</f>
        <v/>
      </c>
      <c r="EA1056" s="70" t="str">
        <f>VLOOKUP($BS1056,'État &amp; Plan d''action'!$B$6:$AH$1113,32,FALSE)</f>
        <v/>
      </c>
      <c r="EB1056" s="70" t="str">
        <f>VLOOKUP($BS1056,'État &amp; Plan d''action'!$B$6:$AH$1113,33,FALSE)</f>
        <v/>
      </c>
      <c r="EC1056" s="70" t="s">
        <v>1124</v>
      </c>
      <c r="ED1056" s="70" t="s">
        <v>1124</v>
      </c>
      <c r="EE1056" s="70" t="s">
        <v>1124</v>
      </c>
      <c r="EF1056" s="70" t="s">
        <v>1124</v>
      </c>
      <c r="EG1056" s="70" t="s">
        <v>1124</v>
      </c>
      <c r="EH1056" s="72"/>
      <c r="EI1056" s="72">
        <v>951</v>
      </c>
    </row>
    <row r="1057" spans="71:139" x14ac:dyDescent="0.35">
      <c r="BS1057" s="486">
        <v>45105</v>
      </c>
      <c r="BT1057" s="479" t="s">
        <v>425</v>
      </c>
      <c r="BU1057" s="479">
        <v>5</v>
      </c>
      <c r="BV1057" s="476" t="s">
        <v>1187</v>
      </c>
      <c r="BW1057" s="476" t="s">
        <v>1187</v>
      </c>
      <c r="BX1057" s="476" t="s">
        <v>1187</v>
      </c>
      <c r="BY1057" s="476" t="s">
        <v>1187</v>
      </c>
      <c r="BZ1057" s="476" t="s">
        <v>1187</v>
      </c>
      <c r="CA1057" s="476" t="s">
        <v>1187</v>
      </c>
      <c r="CB1057" s="476" t="s">
        <v>1187</v>
      </c>
      <c r="CC1057" s="476" t="s">
        <v>1187</v>
      </c>
      <c r="CD1057" s="476" t="s">
        <v>1187</v>
      </c>
      <c r="CE1057" s="476" t="s">
        <v>1188</v>
      </c>
      <c r="CF1057" s="476" t="s">
        <v>1188</v>
      </c>
      <c r="CG1057" s="476" t="s">
        <v>1188</v>
      </c>
      <c r="CH1057" s="476" t="s">
        <v>1188</v>
      </c>
      <c r="CI1057" s="476" t="s">
        <v>1188</v>
      </c>
      <c r="CJ1057" s="476" t="s">
        <v>1188</v>
      </c>
      <c r="CK1057" s="476" t="s">
        <v>1188</v>
      </c>
      <c r="CL1057" s="476" t="s">
        <v>1188</v>
      </c>
      <c r="CM1057" s="476" t="str">
        <f>IF(VLOOKUP(BS1057,'Données par municipalité'!$B$6:$E$1113,4,FALSE)="","non","oui")</f>
        <v>oui</v>
      </c>
      <c r="CN1057" s="410">
        <v>265.12764381350399</v>
      </c>
      <c r="CO1057" s="410">
        <v>229.65436596280557</v>
      </c>
      <c r="CP1057" s="410">
        <v>237.71270727130704</v>
      </c>
      <c r="CQ1057" s="410">
        <v>222.23052172766063</v>
      </c>
      <c r="CR1057" s="410">
        <v>365.59413043277038</v>
      </c>
      <c r="CS1057" s="410">
        <v>288.57129451642908</v>
      </c>
      <c r="CT1057" s="410">
        <v>562.7813826804454</v>
      </c>
      <c r="CU1057" s="410">
        <v>609</v>
      </c>
      <c r="CV1057" s="410">
        <f>IF(VLOOKUP(BS1057,'Données par municipalité'!$B$6:$F$1113,4,FALSE)="","",VLOOKUP(BS1057,'Données par municipalité'!$B$6:$F$1113,4,FALSE))</f>
        <v>377</v>
      </c>
      <c r="CW1057" s="476" t="s">
        <v>4723</v>
      </c>
      <c r="CX1057" s="483">
        <v>0.25</v>
      </c>
      <c r="CY1057" s="483">
        <v>0</v>
      </c>
      <c r="CZ1057" s="483">
        <v>0</v>
      </c>
      <c r="DA1057" s="483">
        <v>1</v>
      </c>
      <c r="DB1057" s="483">
        <v>1</v>
      </c>
      <c r="DC1057" s="483">
        <v>0.5</v>
      </c>
      <c r="DD1057" s="483">
        <v>1</v>
      </c>
      <c r="DE1057" s="483">
        <f>IFERROR(SUM(VLOOKUP($BS1057,'État &amp; Plan d''action'!$B$6:$Z$1113,18,FALSE),VLOOKUP($BS1057,'État &amp; Plan d''action'!$B$6:$Z$1113,20,FALSE))/(VLOOKUP($BS1057,'Données par municipalité'!$B$4:$L$1113,11,FALSE)),"")</f>
        <v>0</v>
      </c>
      <c r="DF1057" s="483">
        <f>IFERROR(SUM(VLOOKUP($BS1057,'État &amp; Plan d''action'!$B$6:$Z$1113,19,FALSE),VLOOKUP($BS1057,'État &amp; Plan d''action'!$B$6:$Z$1113,21,FALSE))/(VLOOKUP($BS1057,'Données par municipalité'!$B$4:$L$1113,11,FALSE)),"")</f>
        <v>1</v>
      </c>
      <c r="DG1057" s="476" t="s">
        <v>4723</v>
      </c>
      <c r="DH1057" s="484">
        <v>1</v>
      </c>
      <c r="DI1057" s="484">
        <v>2</v>
      </c>
      <c r="DJ1057" s="484">
        <v>0</v>
      </c>
      <c r="DK1057" s="484">
        <v>2</v>
      </c>
      <c r="DL1057" s="484">
        <v>0</v>
      </c>
      <c r="DM1057" s="484">
        <v>1</v>
      </c>
      <c r="DN1057" s="484">
        <v>0</v>
      </c>
      <c r="DO1057" s="484">
        <v>0</v>
      </c>
      <c r="DP1057" s="484">
        <v>1</v>
      </c>
      <c r="DQ1057" s="484">
        <f>IF(VLOOKUP($BS1057,'État &amp; Plan d''action'!$B$6:$AJ$1113,28,FALSE)="","",VLOOKUP($BS1057,'État &amp; Plan d''action'!$B$6:$AJ$1113,28,FALSE))</f>
        <v>0</v>
      </c>
      <c r="DR1057" s="70">
        <f>IF(VLOOKUP($BS1057,'État &amp; Plan d''action'!$B$6:$AJ$1113,29,FALSE)="","",VLOOKUP($BS1057,'État &amp; Plan d''action'!$B$6:$AJ$1113,29,FALSE))</f>
        <v>0</v>
      </c>
      <c r="DS1057" s="70">
        <f>IF(VLOOKUP($BS1057,'État &amp; Plan d''action'!$B$6:$AJ$1113,30,FALSE)="","",VLOOKUP($BS1057,'État &amp; Plan d''action'!$B$6:$AJ$1113,30,FALSE))</f>
        <v>1</v>
      </c>
      <c r="DT1057" s="70">
        <v>145</v>
      </c>
      <c r="DU1057" s="485">
        <v>4.5588890861664213</v>
      </c>
      <c r="DV1057" s="485">
        <v>5.6571710750215507</v>
      </c>
      <c r="DW1057" s="70">
        <v>0</v>
      </c>
      <c r="DX1057" s="70">
        <v>0</v>
      </c>
      <c r="DY1057" s="70">
        <v>1</v>
      </c>
      <c r="DZ1057" s="70">
        <f>VLOOKUP($BS1057,'État &amp; Plan d''action'!$B$6:$AH$1113,31,FALSE)</f>
        <v>0</v>
      </c>
      <c r="EA1057" s="70">
        <f>VLOOKUP($BS1057,'État &amp; Plan d''action'!$B$6:$AH$1113,32,FALSE)</f>
        <v>0</v>
      </c>
      <c r="EB1057" s="70">
        <f>VLOOKUP($BS1057,'État &amp; Plan d''action'!$B$6:$AH$1113,33,FALSE)</f>
        <v>1</v>
      </c>
      <c r="EC1057" s="70">
        <v>0</v>
      </c>
      <c r="ED1057" s="70">
        <v>0</v>
      </c>
      <c r="EE1057" s="70">
        <v>4.3140000000000001</v>
      </c>
      <c r="EF1057" s="70">
        <v>0</v>
      </c>
      <c r="EG1057" s="70">
        <v>0</v>
      </c>
      <c r="EH1057" s="72">
        <v>70</v>
      </c>
      <c r="EI1057" s="72">
        <v>1097</v>
      </c>
    </row>
    <row r="1058" spans="71:139" x14ac:dyDescent="0.35">
      <c r="BS1058" s="486">
        <v>46058</v>
      </c>
      <c r="BT1058" s="479" t="s">
        <v>436</v>
      </c>
      <c r="BU1058" s="479">
        <v>5</v>
      </c>
      <c r="BV1058" s="476" t="s">
        <v>1187</v>
      </c>
      <c r="BW1058" s="476" t="s">
        <v>1187</v>
      </c>
      <c r="BX1058" s="476" t="s">
        <v>1187</v>
      </c>
      <c r="BY1058" s="476" t="s">
        <v>1187</v>
      </c>
      <c r="BZ1058" s="476" t="s">
        <v>1187</v>
      </c>
      <c r="CA1058" s="476" t="s">
        <v>1187</v>
      </c>
      <c r="CB1058" s="476" t="s">
        <v>1187</v>
      </c>
      <c r="CC1058" s="476" t="s">
        <v>1187</v>
      </c>
      <c r="CD1058" s="476" t="s">
        <v>1187</v>
      </c>
      <c r="CE1058" s="476" t="s">
        <v>1188</v>
      </c>
      <c r="CF1058" s="476" t="s">
        <v>1188</v>
      </c>
      <c r="CG1058" s="476" t="s">
        <v>1188</v>
      </c>
      <c r="CH1058" s="476" t="s">
        <v>1188</v>
      </c>
      <c r="CI1058" s="476" t="s">
        <v>1188</v>
      </c>
      <c r="CJ1058" s="476" t="s">
        <v>1188</v>
      </c>
      <c r="CK1058" s="476" t="s">
        <v>1188</v>
      </c>
      <c r="CL1058" s="476" t="s">
        <v>1188</v>
      </c>
      <c r="CM1058" s="476" t="str">
        <f>IF(VLOOKUP(BS1058,'Données par municipalité'!$B$6:$E$1113,4,FALSE)="","non","oui")</f>
        <v>non</v>
      </c>
      <c r="CN1058" s="410">
        <v>486.40978442285939</v>
      </c>
      <c r="CO1058" s="410">
        <v>551.2564379692916</v>
      </c>
      <c r="CP1058" s="410">
        <v>452.10085805678216</v>
      </c>
      <c r="CQ1058" s="410">
        <v>485.46441203585982</v>
      </c>
      <c r="CR1058" s="410">
        <v>473.65632128234728</v>
      </c>
      <c r="CS1058" s="410">
        <v>468.59077547697706</v>
      </c>
      <c r="CT1058" s="410">
        <v>501.34267215773951</v>
      </c>
      <c r="CU1058" s="410">
        <v>304</v>
      </c>
      <c r="CV1058" s="410" t="str">
        <f>IF(VLOOKUP(BS1058,'Données par municipalité'!$B$6:$F$1113,4,FALSE)="","",VLOOKUP(BS1058,'Données par municipalité'!$B$6:$F$1113,4,FALSE))</f>
        <v/>
      </c>
      <c r="CW1058" s="476" t="s">
        <v>4723</v>
      </c>
      <c r="CX1058" s="483">
        <v>0</v>
      </c>
      <c r="CY1058" s="483">
        <v>0.01</v>
      </c>
      <c r="CZ1058" s="483">
        <v>0.5</v>
      </c>
      <c r="DA1058" s="483">
        <v>0.25</v>
      </c>
      <c r="DB1058" s="483">
        <v>0.5</v>
      </c>
      <c r="DC1058" s="483">
        <v>1</v>
      </c>
      <c r="DD1058" s="483">
        <v>0.61744877021877576</v>
      </c>
      <c r="DE1058" s="483" t="str">
        <f>IFERROR(SUM(VLOOKUP($BS1058,'État &amp; Plan d''action'!$B$6:$Z$1113,18,FALSE),VLOOKUP($BS1058,'État &amp; Plan d''action'!$B$6:$Z$1113,20,FALSE))/(VLOOKUP($BS1058,'Données par municipalité'!$B$4:$L$1113,11,FALSE)),"")</f>
        <v/>
      </c>
      <c r="DF1058" s="483" t="str">
        <f>IFERROR(SUM(VLOOKUP($BS1058,'État &amp; Plan d''action'!$B$6:$Z$1113,19,FALSE),VLOOKUP($BS1058,'État &amp; Plan d''action'!$B$6:$Z$1113,21,FALSE))/(VLOOKUP($BS1058,'Données par municipalité'!$B$4:$L$1113,11,FALSE)),"")</f>
        <v/>
      </c>
      <c r="DG1058" s="476" t="s">
        <v>4723</v>
      </c>
      <c r="DH1058" s="484">
        <v>5</v>
      </c>
      <c r="DI1058" s="484">
        <v>8</v>
      </c>
      <c r="DJ1058" s="484">
        <v>9</v>
      </c>
      <c r="DK1058" s="484">
        <v>6</v>
      </c>
      <c r="DL1058" s="484">
        <v>3</v>
      </c>
      <c r="DM1058" s="484">
        <v>10</v>
      </c>
      <c r="DN1058" s="484">
        <v>5</v>
      </c>
      <c r="DO1058" s="484">
        <v>1</v>
      </c>
      <c r="DP1058" s="484">
        <v>4</v>
      </c>
      <c r="DQ1058" s="484" t="str">
        <f>IF(VLOOKUP($BS1058,'État &amp; Plan d''action'!$B$6:$AJ$1113,28,FALSE)="","",VLOOKUP($BS1058,'État &amp; Plan d''action'!$B$6:$AJ$1113,28,FALSE))</f>
        <v/>
      </c>
      <c r="DR1058" s="70" t="str">
        <f>IF(VLOOKUP($BS1058,'État &amp; Plan d''action'!$B$6:$AJ$1113,29,FALSE)="","",VLOOKUP($BS1058,'État &amp; Plan d''action'!$B$6:$AJ$1113,29,FALSE))</f>
        <v/>
      </c>
      <c r="DS1058" s="70" t="str">
        <f>IF(VLOOKUP($BS1058,'État &amp; Plan d''action'!$B$6:$AJ$1113,30,FALSE)="","",VLOOKUP($BS1058,'État &amp; Plan d''action'!$B$6:$AJ$1113,30,FALSE))</f>
        <v/>
      </c>
      <c r="DT1058" s="70">
        <v>247</v>
      </c>
      <c r="DU1058" s="485">
        <v>0.91704727638423356</v>
      </c>
      <c r="DV1058" s="485" t="s">
        <v>1124</v>
      </c>
      <c r="DW1058" s="70">
        <v>2</v>
      </c>
      <c r="DX1058" s="70">
        <v>1</v>
      </c>
      <c r="DY1058" s="70">
        <v>2</v>
      </c>
      <c r="DZ1058" s="70" t="str">
        <f>VLOOKUP($BS1058,'État &amp; Plan d''action'!$B$6:$AH$1113,31,FALSE)</f>
        <v/>
      </c>
      <c r="EA1058" s="70" t="str">
        <f>VLOOKUP($BS1058,'État &amp; Plan d''action'!$B$6:$AH$1113,32,FALSE)</f>
        <v/>
      </c>
      <c r="EB1058" s="70" t="str">
        <f>VLOOKUP($BS1058,'État &amp; Plan d''action'!$B$6:$AH$1113,33,FALSE)</f>
        <v/>
      </c>
      <c r="EC1058" s="70">
        <v>0</v>
      </c>
      <c r="ED1058" s="70">
        <v>23.170999999999999</v>
      </c>
      <c r="EE1058" s="70">
        <v>0</v>
      </c>
      <c r="EF1058" s="70">
        <v>0</v>
      </c>
      <c r="EG1058" s="70">
        <v>0</v>
      </c>
      <c r="EH1058" s="72">
        <v>53.5</v>
      </c>
      <c r="EI1058" s="72">
        <v>4091</v>
      </c>
    </row>
    <row r="1059" spans="71:139" x14ac:dyDescent="0.35">
      <c r="BS1059" s="486">
        <v>95005</v>
      </c>
      <c r="BT1059" s="479" t="s">
        <v>986</v>
      </c>
      <c r="BU1059" s="479">
        <v>9</v>
      </c>
      <c r="BV1059" s="476" t="s">
        <v>1187</v>
      </c>
      <c r="BW1059" s="476" t="s">
        <v>1187</v>
      </c>
      <c r="BX1059" s="476" t="s">
        <v>1187</v>
      </c>
      <c r="BY1059" s="476" t="s">
        <v>1187</v>
      </c>
      <c r="BZ1059" s="476" t="s">
        <v>1187</v>
      </c>
      <c r="CA1059" s="476" t="s">
        <v>1187</v>
      </c>
      <c r="CB1059" s="476" t="s">
        <v>1187</v>
      </c>
      <c r="CC1059" s="476" t="s">
        <v>1187</v>
      </c>
      <c r="CD1059" s="476" t="s">
        <v>1187</v>
      </c>
      <c r="CE1059" s="476" t="s">
        <v>1188</v>
      </c>
      <c r="CF1059" s="476" t="s">
        <v>1188</v>
      </c>
      <c r="CG1059" s="476" t="s">
        <v>1187</v>
      </c>
      <c r="CH1059" s="476" t="s">
        <v>1188</v>
      </c>
      <c r="CI1059" s="476" t="s">
        <v>1188</v>
      </c>
      <c r="CJ1059" s="476" t="s">
        <v>1188</v>
      </c>
      <c r="CK1059" s="476" t="s">
        <v>1188</v>
      </c>
      <c r="CL1059" s="476" t="s">
        <v>1188</v>
      </c>
      <c r="CM1059" s="476" t="str">
        <f>IF(VLOOKUP(BS1059,'Données par municipalité'!$B$6:$E$1113,4,FALSE)="","non","oui")</f>
        <v>oui</v>
      </c>
      <c r="CN1059" s="410">
        <v>641.86210544877451</v>
      </c>
      <c r="CO1059" s="410">
        <v>585.3872392864273</v>
      </c>
      <c r="CP1059" s="410"/>
      <c r="CQ1059" s="410">
        <v>483.06605354527272</v>
      </c>
      <c r="CR1059" s="410">
        <v>697.36917549630766</v>
      </c>
      <c r="CS1059" s="410">
        <v>675.72713289819126</v>
      </c>
      <c r="CT1059" s="410">
        <v>647.704926622838</v>
      </c>
      <c r="CU1059" s="410">
        <v>678</v>
      </c>
      <c r="CV1059" s="410">
        <f>IF(VLOOKUP(BS1059,'Données par municipalité'!$B$6:$F$1113,4,FALSE)="","",VLOOKUP(BS1059,'Données par municipalité'!$B$6:$F$1113,4,FALSE))</f>
        <v>597</v>
      </c>
      <c r="CW1059" s="476" t="s">
        <v>4723</v>
      </c>
      <c r="CX1059" s="483">
        <v>0</v>
      </c>
      <c r="CY1059" s="483" t="s">
        <v>1124</v>
      </c>
      <c r="CZ1059" s="483">
        <v>0</v>
      </c>
      <c r="DA1059" s="483">
        <v>0</v>
      </c>
      <c r="DB1059" s="483">
        <v>0</v>
      </c>
      <c r="DC1059" s="483">
        <v>0</v>
      </c>
      <c r="DD1059" s="483">
        <v>0</v>
      </c>
      <c r="DE1059" s="483">
        <f>IFERROR(SUM(VLOOKUP($BS1059,'État &amp; Plan d''action'!$B$6:$Z$1113,18,FALSE),VLOOKUP($BS1059,'État &amp; Plan d''action'!$B$6:$Z$1113,20,FALSE))/(VLOOKUP($BS1059,'Données par municipalité'!$B$4:$L$1113,11,FALSE)),"")</f>
        <v>1.5328795569912324</v>
      </c>
      <c r="DF1059" s="483">
        <f>IFERROR(SUM(VLOOKUP($BS1059,'État &amp; Plan d''action'!$B$6:$Z$1113,19,FALSE),VLOOKUP($BS1059,'État &amp; Plan d''action'!$B$6:$Z$1113,21,FALSE))/(VLOOKUP($BS1059,'Données par municipalité'!$B$4:$L$1113,11,FALSE)),"")</f>
        <v>1.5328795569912324</v>
      </c>
      <c r="DG1059" s="476" t="s">
        <v>4723</v>
      </c>
      <c r="DH1059" s="484" t="s">
        <v>1124</v>
      </c>
      <c r="DI1059" s="484" t="s">
        <v>1124</v>
      </c>
      <c r="DJ1059" s="484">
        <v>3</v>
      </c>
      <c r="DK1059" s="484">
        <v>0</v>
      </c>
      <c r="DL1059" s="484">
        <v>1</v>
      </c>
      <c r="DM1059" s="484">
        <v>1</v>
      </c>
      <c r="DN1059" s="484">
        <v>3</v>
      </c>
      <c r="DO1059" s="484">
        <v>1</v>
      </c>
      <c r="DP1059" s="484">
        <v>1</v>
      </c>
      <c r="DQ1059" s="484">
        <f>IF(VLOOKUP($BS1059,'État &amp; Plan d''action'!$B$6:$AJ$1113,28,FALSE)="","",VLOOKUP($BS1059,'État &amp; Plan d''action'!$B$6:$AJ$1113,28,FALSE))</f>
        <v>1</v>
      </c>
      <c r="DR1059" s="70">
        <f>IF(VLOOKUP($BS1059,'État &amp; Plan d''action'!$B$6:$AJ$1113,29,FALSE)="","",VLOOKUP($BS1059,'État &amp; Plan d''action'!$B$6:$AJ$1113,29,FALSE))</f>
        <v>0</v>
      </c>
      <c r="DS1059" s="70">
        <f>IF(VLOOKUP($BS1059,'État &amp; Plan d''action'!$B$6:$AJ$1113,30,FALSE)="","",VLOOKUP($BS1059,'État &amp; Plan d''action'!$B$6:$AJ$1113,30,FALSE))</f>
        <v>2</v>
      </c>
      <c r="DT1059" s="70">
        <v>298</v>
      </c>
      <c r="DU1059" s="485">
        <v>2.9527054887743214</v>
      </c>
      <c r="DV1059" s="485">
        <v>2.6418026023281453</v>
      </c>
      <c r="DW1059" s="70">
        <v>2</v>
      </c>
      <c r="DX1059" s="70">
        <v>2</v>
      </c>
      <c r="DY1059" s="70">
        <v>0</v>
      </c>
      <c r="DZ1059" s="70">
        <f>VLOOKUP($BS1059,'État &amp; Plan d''action'!$B$6:$AH$1113,31,FALSE)</f>
        <v>1</v>
      </c>
      <c r="EA1059" s="70">
        <f>VLOOKUP($BS1059,'État &amp; Plan d''action'!$B$6:$AH$1113,32,FALSE)</f>
        <v>0</v>
      </c>
      <c r="EB1059" s="70">
        <f>VLOOKUP($BS1059,'État &amp; Plan d''action'!$B$6:$AH$1113,33,FALSE)</f>
        <v>3</v>
      </c>
      <c r="EC1059" s="70">
        <v>0</v>
      </c>
      <c r="ED1059" s="70">
        <v>0</v>
      </c>
      <c r="EE1059" s="70">
        <v>0</v>
      </c>
      <c r="EF1059" s="70">
        <v>0</v>
      </c>
      <c r="EG1059" s="70">
        <v>0</v>
      </c>
      <c r="EH1059" s="72">
        <v>65</v>
      </c>
      <c r="EI1059" s="72">
        <v>786</v>
      </c>
    </row>
    <row r="1060" spans="71:139" x14ac:dyDescent="0.35">
      <c r="BS1060" s="486">
        <v>87042</v>
      </c>
      <c r="BT1060" s="479" t="s">
        <v>897</v>
      </c>
      <c r="BU1060" s="479">
        <v>8</v>
      </c>
      <c r="BV1060" s="476" t="s">
        <v>1187</v>
      </c>
      <c r="BW1060" s="476" t="s">
        <v>1187</v>
      </c>
      <c r="BX1060" s="476" t="s">
        <v>1187</v>
      </c>
      <c r="BY1060" s="476" t="s">
        <v>1187</v>
      </c>
      <c r="BZ1060" s="476" t="s">
        <v>1187</v>
      </c>
      <c r="CA1060" s="476" t="s">
        <v>1187</v>
      </c>
      <c r="CB1060" s="476" t="s">
        <v>1187</v>
      </c>
      <c r="CC1060" s="476" t="s">
        <v>1187</v>
      </c>
      <c r="CD1060" s="476" t="s">
        <v>1187</v>
      </c>
      <c r="CE1060" s="476" t="s">
        <v>1188</v>
      </c>
      <c r="CF1060" s="476" t="s">
        <v>1188</v>
      </c>
      <c r="CG1060" s="476" t="s">
        <v>1188</v>
      </c>
      <c r="CH1060" s="476" t="s">
        <v>1188</v>
      </c>
      <c r="CI1060" s="476" t="s">
        <v>1188</v>
      </c>
      <c r="CJ1060" s="476" t="s">
        <v>1188</v>
      </c>
      <c r="CK1060" s="476" t="s">
        <v>1188</v>
      </c>
      <c r="CL1060" s="476" t="s">
        <v>1187</v>
      </c>
      <c r="CM1060" s="476" t="str">
        <f>IF(VLOOKUP(BS1060,'Données par municipalité'!$B$6:$E$1113,4,FALSE)="","non","oui")</f>
        <v>non</v>
      </c>
      <c r="CN1060" s="410">
        <v>390.01624056547018</v>
      </c>
      <c r="CO1060" s="410">
        <v>413.00556388221889</v>
      </c>
      <c r="CP1060" s="410">
        <v>443.39165383413763</v>
      </c>
      <c r="CQ1060" s="410">
        <v>333.99552931736105</v>
      </c>
      <c r="CR1060" s="410">
        <v>296.2979245383097</v>
      </c>
      <c r="CS1060" s="410">
        <v>290.35594515580357</v>
      </c>
      <c r="CT1060" s="410">
        <v>369.55797875932274</v>
      </c>
      <c r="CU1060" s="410" t="s">
        <v>1124</v>
      </c>
      <c r="CV1060" s="410" t="str">
        <f>IF(VLOOKUP(BS1060,'Données par municipalité'!$B$6:$F$1113,4,FALSE)="","",VLOOKUP(BS1060,'Données par municipalité'!$B$6:$F$1113,4,FALSE))</f>
        <v/>
      </c>
      <c r="CW1060" s="476" t="s">
        <v>4723</v>
      </c>
      <c r="CX1060" s="483">
        <v>0</v>
      </c>
      <c r="CY1060" s="483">
        <v>0</v>
      </c>
      <c r="CZ1060" s="483">
        <v>0</v>
      </c>
      <c r="DA1060" s="483">
        <v>0</v>
      </c>
      <c r="DB1060" s="483">
        <v>0</v>
      </c>
      <c r="DC1060" s="483">
        <v>0</v>
      </c>
      <c r="DD1060" s="483" t="s">
        <v>1124</v>
      </c>
      <c r="DE1060" s="483" t="str">
        <f>IFERROR(SUM(VLOOKUP($BS1060,'État &amp; Plan d''action'!$B$6:$Z$1113,18,FALSE),VLOOKUP($BS1060,'État &amp; Plan d''action'!$B$6:$Z$1113,20,FALSE))/(VLOOKUP($BS1060,'Données par municipalité'!$B$4:$L$1113,11,FALSE)),"")</f>
        <v/>
      </c>
      <c r="DF1060" s="483" t="str">
        <f>IFERROR(SUM(VLOOKUP($BS1060,'État &amp; Plan d''action'!$B$6:$Z$1113,19,FALSE),VLOOKUP($BS1060,'État &amp; Plan d''action'!$B$6:$Z$1113,21,FALSE))/(VLOOKUP($BS1060,'Données par municipalité'!$B$4:$L$1113,11,FALSE)),"")</f>
        <v/>
      </c>
      <c r="DG1060" s="476" t="s">
        <v>4723</v>
      </c>
      <c r="DH1060" s="484" t="s">
        <v>1124</v>
      </c>
      <c r="DI1060" s="484" t="s">
        <v>1124</v>
      </c>
      <c r="DJ1060" s="484">
        <v>0</v>
      </c>
      <c r="DK1060" s="484">
        <v>0</v>
      </c>
      <c r="DL1060" s="484">
        <v>2</v>
      </c>
      <c r="DM1060" s="484">
        <v>3</v>
      </c>
      <c r="DN1060" s="484" t="s">
        <v>1124</v>
      </c>
      <c r="DO1060" s="484" t="s">
        <v>1124</v>
      </c>
      <c r="DP1060" s="484" t="s">
        <v>1124</v>
      </c>
      <c r="DQ1060" s="484" t="str">
        <f>IF(VLOOKUP($BS1060,'État &amp; Plan d''action'!$B$6:$AJ$1113,28,FALSE)="","",VLOOKUP($BS1060,'État &amp; Plan d''action'!$B$6:$AJ$1113,28,FALSE))</f>
        <v/>
      </c>
      <c r="DR1060" s="70" t="str">
        <f>IF(VLOOKUP($BS1060,'État &amp; Plan d''action'!$B$6:$AJ$1113,29,FALSE)="","",VLOOKUP($BS1060,'État &amp; Plan d''action'!$B$6:$AJ$1113,29,FALSE))</f>
        <v/>
      </c>
      <c r="DS1060" s="70" t="str">
        <f>IF(VLOOKUP($BS1060,'État &amp; Plan d''action'!$B$6:$AJ$1113,30,FALSE)="","",VLOOKUP($BS1060,'État &amp; Plan d''action'!$B$6:$AJ$1113,30,FALSE))</f>
        <v/>
      </c>
      <c r="DT1060" s="70" t="s">
        <v>1124</v>
      </c>
      <c r="DU1060" s="485" t="s">
        <v>1124</v>
      </c>
      <c r="DV1060" s="485" t="s">
        <v>1124</v>
      </c>
      <c r="DW1060" s="70" t="s">
        <v>1124</v>
      </c>
      <c r="DX1060" s="70" t="s">
        <v>1124</v>
      </c>
      <c r="DY1060" s="70" t="s">
        <v>1124</v>
      </c>
      <c r="DZ1060" s="70" t="str">
        <f>VLOOKUP($BS1060,'État &amp; Plan d''action'!$B$6:$AH$1113,31,FALSE)</f>
        <v/>
      </c>
      <c r="EA1060" s="70" t="str">
        <f>VLOOKUP($BS1060,'État &amp; Plan d''action'!$B$6:$AH$1113,32,FALSE)</f>
        <v/>
      </c>
      <c r="EB1060" s="70" t="str">
        <f>VLOOKUP($BS1060,'État &amp; Plan d''action'!$B$6:$AH$1113,33,FALSE)</f>
        <v/>
      </c>
      <c r="EC1060" s="70" t="s">
        <v>1124</v>
      </c>
      <c r="ED1060" s="70" t="s">
        <v>1124</v>
      </c>
      <c r="EE1060" s="70" t="s">
        <v>1124</v>
      </c>
      <c r="EF1060" s="70" t="s">
        <v>1124</v>
      </c>
      <c r="EG1060" s="70" t="s">
        <v>1124</v>
      </c>
      <c r="EH1060" s="72"/>
      <c r="EI1060" s="72">
        <v>950</v>
      </c>
    </row>
    <row r="1061" spans="71:139" x14ac:dyDescent="0.35">
      <c r="BS1061" s="486">
        <v>85005</v>
      </c>
      <c r="BT1061" s="479" t="s">
        <v>870</v>
      </c>
      <c r="BU1061" s="479">
        <v>8</v>
      </c>
      <c r="BV1061" s="476" t="s">
        <v>1187</v>
      </c>
      <c r="BW1061" s="476" t="s">
        <v>1187</v>
      </c>
      <c r="BX1061" s="476" t="s">
        <v>1187</v>
      </c>
      <c r="BY1061" s="476" t="s">
        <v>1187</v>
      </c>
      <c r="BZ1061" s="476" t="s">
        <v>1187</v>
      </c>
      <c r="CA1061" s="476" t="s">
        <v>1187</v>
      </c>
      <c r="CB1061" s="476" t="s">
        <v>1187</v>
      </c>
      <c r="CC1061" s="476" t="s">
        <v>1187</v>
      </c>
      <c r="CD1061" s="476" t="s">
        <v>1187</v>
      </c>
      <c r="CE1061" s="476" t="s">
        <v>1188</v>
      </c>
      <c r="CF1061" s="476" t="s">
        <v>1188</v>
      </c>
      <c r="CG1061" s="476" t="s">
        <v>1188</v>
      </c>
      <c r="CH1061" s="476" t="s">
        <v>1187</v>
      </c>
      <c r="CI1061" s="476" t="s">
        <v>1188</v>
      </c>
      <c r="CJ1061" s="476" t="s">
        <v>1188</v>
      </c>
      <c r="CK1061" s="476" t="s">
        <v>1188</v>
      </c>
      <c r="CL1061" s="476" t="s">
        <v>1188</v>
      </c>
      <c r="CM1061" s="476" t="str">
        <f>IF(VLOOKUP(BS1061,'Données par municipalité'!$B$6:$E$1113,4,FALSE)="","non","oui")</f>
        <v>non</v>
      </c>
      <c r="CN1061" s="410">
        <v>172.22222222222223</v>
      </c>
      <c r="CO1061" s="410">
        <v>394.84074756514872</v>
      </c>
      <c r="CP1061" s="410">
        <v>317.73092283248167</v>
      </c>
      <c r="CQ1061" s="410"/>
      <c r="CR1061" s="410">
        <v>268.1310029916549</v>
      </c>
      <c r="CS1061" s="410">
        <v>529.38071689475237</v>
      </c>
      <c r="CT1061" s="410">
        <v>448.65484964957744</v>
      </c>
      <c r="CU1061" s="410">
        <v>585</v>
      </c>
      <c r="CV1061" s="410" t="str">
        <f>IF(VLOOKUP(BS1061,'Données par municipalité'!$B$6:$F$1113,4,FALSE)="","",VLOOKUP(BS1061,'Données par municipalité'!$B$6:$F$1113,4,FALSE))</f>
        <v/>
      </c>
      <c r="CW1061" s="476" t="s">
        <v>4723</v>
      </c>
      <c r="CX1061" s="483">
        <v>0</v>
      </c>
      <c r="CY1061" s="483">
        <v>1</v>
      </c>
      <c r="CZ1061" s="483" t="s">
        <v>1124</v>
      </c>
      <c r="DA1061" s="483">
        <v>1</v>
      </c>
      <c r="DB1061" s="483">
        <v>0.3</v>
      </c>
      <c r="DC1061" s="483">
        <v>1</v>
      </c>
      <c r="DD1061" s="483">
        <v>1</v>
      </c>
      <c r="DE1061" s="483" t="str">
        <f>IFERROR(SUM(VLOOKUP($BS1061,'État &amp; Plan d''action'!$B$6:$Z$1113,18,FALSE),VLOOKUP($BS1061,'État &amp; Plan d''action'!$B$6:$Z$1113,20,FALSE))/(VLOOKUP($BS1061,'Données par municipalité'!$B$4:$L$1113,11,FALSE)),"")</f>
        <v/>
      </c>
      <c r="DF1061" s="483" t="str">
        <f>IFERROR(SUM(VLOOKUP($BS1061,'État &amp; Plan d''action'!$B$6:$Z$1113,19,FALSE),VLOOKUP($BS1061,'État &amp; Plan d''action'!$B$6:$Z$1113,21,FALSE))/(VLOOKUP($BS1061,'Données par municipalité'!$B$4:$L$1113,11,FALSE)),"")</f>
        <v/>
      </c>
      <c r="DG1061" s="476" t="s">
        <v>4723</v>
      </c>
      <c r="DH1061" s="484">
        <v>0</v>
      </c>
      <c r="DI1061" s="484">
        <v>13</v>
      </c>
      <c r="DJ1061" s="484">
        <v>7</v>
      </c>
      <c r="DK1061" s="484">
        <v>4</v>
      </c>
      <c r="DL1061" s="484">
        <v>5</v>
      </c>
      <c r="DM1061" s="484">
        <v>2</v>
      </c>
      <c r="DN1061" s="484">
        <v>1</v>
      </c>
      <c r="DO1061" s="484">
        <v>2</v>
      </c>
      <c r="DP1061" s="484">
        <v>1</v>
      </c>
      <c r="DQ1061" s="484" t="str">
        <f>IF(VLOOKUP($BS1061,'État &amp; Plan d''action'!$B$6:$AJ$1113,28,FALSE)="","",VLOOKUP($BS1061,'État &amp; Plan d''action'!$B$6:$AJ$1113,28,FALSE))</f>
        <v/>
      </c>
      <c r="DR1061" s="70" t="str">
        <f>IF(VLOOKUP($BS1061,'État &amp; Plan d''action'!$B$6:$AJ$1113,29,FALSE)="","",VLOOKUP($BS1061,'État &amp; Plan d''action'!$B$6:$AJ$1113,29,FALSE))</f>
        <v/>
      </c>
      <c r="DS1061" s="70" t="str">
        <f>IF(VLOOKUP($BS1061,'État &amp; Plan d''action'!$B$6:$AJ$1113,30,FALSE)="","",VLOOKUP($BS1061,'État &amp; Plan d''action'!$B$6:$AJ$1113,30,FALSE))</f>
        <v/>
      </c>
      <c r="DT1061" s="70">
        <v>424</v>
      </c>
      <c r="DU1061" s="485">
        <v>3.2642513618950013</v>
      </c>
      <c r="DV1061" s="485" t="s">
        <v>1124</v>
      </c>
      <c r="DW1061" s="70">
        <v>0</v>
      </c>
      <c r="DX1061" s="70">
        <v>8</v>
      </c>
      <c r="DY1061" s="70">
        <v>35</v>
      </c>
      <c r="DZ1061" s="70" t="str">
        <f>VLOOKUP($BS1061,'État &amp; Plan d''action'!$B$6:$AH$1113,31,FALSE)</f>
        <v/>
      </c>
      <c r="EA1061" s="70" t="str">
        <f>VLOOKUP($BS1061,'État &amp; Plan d''action'!$B$6:$AH$1113,32,FALSE)</f>
        <v/>
      </c>
      <c r="EB1061" s="70" t="str">
        <f>VLOOKUP($BS1061,'État &amp; Plan d''action'!$B$6:$AH$1113,33,FALSE)</f>
        <v/>
      </c>
      <c r="EC1061" s="70">
        <v>0</v>
      </c>
      <c r="ED1061" s="70">
        <v>0</v>
      </c>
      <c r="EE1061" s="70">
        <v>20.53</v>
      </c>
      <c r="EF1061" s="70">
        <v>0</v>
      </c>
      <c r="EG1061" s="70">
        <v>0</v>
      </c>
      <c r="EH1061" s="72">
        <v>47</v>
      </c>
      <c r="EI1061" s="72">
        <v>2408</v>
      </c>
    </row>
    <row r="1062" spans="71:139" x14ac:dyDescent="0.35">
      <c r="BS1062" s="486">
        <v>13073</v>
      </c>
      <c r="BT1062" s="479" t="s">
        <v>53</v>
      </c>
      <c r="BU1062" s="479">
        <v>1</v>
      </c>
      <c r="BV1062" s="476" t="s">
        <v>1187</v>
      </c>
      <c r="BW1062" s="476" t="s">
        <v>1187</v>
      </c>
      <c r="BX1062" s="476" t="s">
        <v>1187</v>
      </c>
      <c r="BY1062" s="476" t="s">
        <v>1187</v>
      </c>
      <c r="BZ1062" s="476" t="s">
        <v>1187</v>
      </c>
      <c r="CA1062" s="476" t="s">
        <v>1187</v>
      </c>
      <c r="CB1062" s="476" t="s">
        <v>1187</v>
      </c>
      <c r="CC1062" s="476" t="s">
        <v>1187</v>
      </c>
      <c r="CD1062" s="476" t="s">
        <v>1187</v>
      </c>
      <c r="CE1062" s="476" t="s">
        <v>1188</v>
      </c>
      <c r="CF1062" s="476" t="s">
        <v>1188</v>
      </c>
      <c r="CG1062" s="476" t="s">
        <v>1188</v>
      </c>
      <c r="CH1062" s="476" t="s">
        <v>1188</v>
      </c>
      <c r="CI1062" s="476" t="s">
        <v>1188</v>
      </c>
      <c r="CJ1062" s="476" t="s">
        <v>1187</v>
      </c>
      <c r="CK1062" s="476" t="s">
        <v>1187</v>
      </c>
      <c r="CL1062" s="476" t="s">
        <v>1188</v>
      </c>
      <c r="CM1062" s="476" t="str">
        <f>IF(VLOOKUP(BS1062,'Données par municipalité'!$B$6:$E$1113,4,FALSE)="","non","oui")</f>
        <v>oui</v>
      </c>
      <c r="CN1062" s="410">
        <v>530.33762855782129</v>
      </c>
      <c r="CO1062" s="410">
        <v>499.45871631586249</v>
      </c>
      <c r="CP1062" s="410">
        <v>414.0092015864065</v>
      </c>
      <c r="CQ1062" s="410">
        <v>744.96322519530827</v>
      </c>
      <c r="CR1062" s="410">
        <v>593.19393618460174</v>
      </c>
      <c r="CS1062" s="410" t="s">
        <v>1124</v>
      </c>
      <c r="CT1062" s="410"/>
      <c r="CU1062" s="410">
        <v>637</v>
      </c>
      <c r="CV1062" s="410">
        <f>IF(VLOOKUP(BS1062,'Données par municipalité'!$B$6:$F$1113,4,FALSE)="","",VLOOKUP(BS1062,'Données par municipalité'!$B$6:$F$1113,4,FALSE))</f>
        <v>614</v>
      </c>
      <c r="CW1062" s="476" t="s">
        <v>4723</v>
      </c>
      <c r="CX1062" s="483">
        <v>1</v>
      </c>
      <c r="CY1062" s="483">
        <v>1</v>
      </c>
      <c r="CZ1062" s="483">
        <v>1</v>
      </c>
      <c r="DA1062" s="483">
        <v>1</v>
      </c>
      <c r="DB1062" s="483" t="s">
        <v>1124</v>
      </c>
      <c r="DC1062" s="483" t="s">
        <v>1124</v>
      </c>
      <c r="DD1062" s="483">
        <v>1</v>
      </c>
      <c r="DE1062" s="483">
        <f>IFERROR(SUM(VLOOKUP($BS1062,'État &amp; Plan d''action'!$B$6:$Z$1113,18,FALSE),VLOOKUP($BS1062,'État &amp; Plan d''action'!$B$6:$Z$1113,20,FALSE))/(VLOOKUP($BS1062,'Données par municipalité'!$B$4:$L$1113,11,FALSE)),"")</f>
        <v>1</v>
      </c>
      <c r="DF1062" s="483">
        <f>IFERROR(SUM(VLOOKUP($BS1062,'État &amp; Plan d''action'!$B$6:$Z$1113,19,FALSE),VLOOKUP($BS1062,'État &amp; Plan d''action'!$B$6:$Z$1113,21,FALSE))/(VLOOKUP($BS1062,'Données par municipalité'!$B$4:$L$1113,11,FALSE)),"")</f>
        <v>1</v>
      </c>
      <c r="DG1062" s="476" t="s">
        <v>4723</v>
      </c>
      <c r="DH1062" s="484">
        <v>2</v>
      </c>
      <c r="DI1062" s="484">
        <v>3</v>
      </c>
      <c r="DJ1062" s="484">
        <v>6</v>
      </c>
      <c r="DK1062" s="484">
        <v>3</v>
      </c>
      <c r="DL1062" s="484" t="s">
        <v>1124</v>
      </c>
      <c r="DM1062" s="484" t="s">
        <v>1124</v>
      </c>
      <c r="DN1062" s="484">
        <v>3</v>
      </c>
      <c r="DO1062" s="484">
        <v>1</v>
      </c>
      <c r="DP1062" s="484">
        <v>0</v>
      </c>
      <c r="DQ1062" s="484">
        <f>IF(VLOOKUP($BS1062,'État &amp; Plan d''action'!$B$6:$AJ$1113,28,FALSE)="","",VLOOKUP($BS1062,'État &amp; Plan d''action'!$B$6:$AJ$1113,28,FALSE))</f>
        <v>1</v>
      </c>
      <c r="DR1062" s="70">
        <f>IF(VLOOKUP($BS1062,'État &amp; Plan d''action'!$B$6:$AJ$1113,29,FALSE)="","",VLOOKUP($BS1062,'État &amp; Plan d''action'!$B$6:$AJ$1113,29,FALSE))</f>
        <v>3</v>
      </c>
      <c r="DS1062" s="70">
        <f>IF(VLOOKUP($BS1062,'État &amp; Plan d''action'!$B$6:$AJ$1113,30,FALSE)="","",VLOOKUP($BS1062,'État &amp; Plan d''action'!$B$6:$AJ$1113,30,FALSE))</f>
        <v>1</v>
      </c>
      <c r="DT1062" s="70">
        <v>362</v>
      </c>
      <c r="DU1062" s="485">
        <v>5.2323549020546389</v>
      </c>
      <c r="DV1062" s="485">
        <v>5.0445433355530103</v>
      </c>
      <c r="DW1062" s="70">
        <v>1</v>
      </c>
      <c r="DX1062" s="70">
        <v>1</v>
      </c>
      <c r="DY1062" s="70">
        <v>0</v>
      </c>
      <c r="DZ1062" s="70">
        <f>VLOOKUP($BS1062,'État &amp; Plan d''action'!$B$6:$AH$1113,31,FALSE)</f>
        <v>1</v>
      </c>
      <c r="EA1062" s="70">
        <f>VLOOKUP($BS1062,'État &amp; Plan d''action'!$B$6:$AH$1113,32,FALSE)</f>
        <v>2</v>
      </c>
      <c r="EB1062" s="70">
        <f>VLOOKUP($BS1062,'État &amp; Plan d''action'!$B$6:$AH$1113,33,FALSE)</f>
        <v>35</v>
      </c>
      <c r="EC1062" s="70">
        <v>0</v>
      </c>
      <c r="ED1062" s="70">
        <v>0</v>
      </c>
      <c r="EE1062" s="70">
        <v>46.807000000000002</v>
      </c>
      <c r="EF1062" s="70">
        <v>0</v>
      </c>
      <c r="EG1062" s="70">
        <v>0</v>
      </c>
      <c r="EH1062" s="72">
        <v>51.5</v>
      </c>
      <c r="EI1062" s="72">
        <v>4887</v>
      </c>
    </row>
    <row r="1063" spans="71:139" x14ac:dyDescent="0.35">
      <c r="BS1063" s="486">
        <v>71075</v>
      </c>
      <c r="BT1063" s="479" t="s">
        <v>716</v>
      </c>
      <c r="BU1063" s="479">
        <v>16</v>
      </c>
      <c r="BV1063" s="476" t="s">
        <v>1187</v>
      </c>
      <c r="BW1063" s="476" t="s">
        <v>1187</v>
      </c>
      <c r="BX1063" s="476" t="s">
        <v>1187</v>
      </c>
      <c r="BY1063" s="476" t="s">
        <v>1187</v>
      </c>
      <c r="BZ1063" s="476" t="s">
        <v>1187</v>
      </c>
      <c r="CA1063" s="476" t="s">
        <v>1187</v>
      </c>
      <c r="CB1063" s="476" t="s">
        <v>1187</v>
      </c>
      <c r="CC1063" s="476" t="s">
        <v>1187</v>
      </c>
      <c r="CD1063" s="476" t="s">
        <v>1187</v>
      </c>
      <c r="CE1063" s="476" t="s">
        <v>1188</v>
      </c>
      <c r="CF1063" s="476" t="s">
        <v>1188</v>
      </c>
      <c r="CG1063" s="476" t="s">
        <v>1188</v>
      </c>
      <c r="CH1063" s="476" t="s">
        <v>1188</v>
      </c>
      <c r="CI1063" s="476" t="s">
        <v>1188</v>
      </c>
      <c r="CJ1063" s="476" t="s">
        <v>1188</v>
      </c>
      <c r="CK1063" s="476" t="s">
        <v>1188</v>
      </c>
      <c r="CL1063" s="476" t="s">
        <v>1188</v>
      </c>
      <c r="CM1063" s="476" t="str">
        <f>IF(VLOOKUP(BS1063,'Données par municipalité'!$B$6:$E$1113,4,FALSE)="","non","oui")</f>
        <v>oui</v>
      </c>
      <c r="CN1063" s="410">
        <v>417.71343651015053</v>
      </c>
      <c r="CO1063" s="410">
        <v>369.68886410666687</v>
      </c>
      <c r="CP1063" s="410">
        <v>373.18643445147308</v>
      </c>
      <c r="CQ1063" s="410">
        <v>366.79478718122817</v>
      </c>
      <c r="CR1063" s="410">
        <v>363.89591320662373</v>
      </c>
      <c r="CS1063" s="410">
        <v>320.15573054981138</v>
      </c>
      <c r="CT1063" s="410">
        <v>304.78848719222606</v>
      </c>
      <c r="CU1063" s="410">
        <v>332</v>
      </c>
      <c r="CV1063" s="410">
        <f>IF(VLOOKUP(BS1063,'Données par municipalité'!$B$6:$F$1113,4,FALSE)="","",VLOOKUP(BS1063,'Données par municipalité'!$B$6:$F$1113,4,FALSE))</f>
        <v>309</v>
      </c>
      <c r="CW1063" s="476" t="s">
        <v>4723</v>
      </c>
      <c r="CX1063" s="483">
        <v>1</v>
      </c>
      <c r="CY1063" s="483">
        <v>1</v>
      </c>
      <c r="CZ1063" s="483">
        <v>1</v>
      </c>
      <c r="DA1063" s="483">
        <v>1</v>
      </c>
      <c r="DB1063" s="483">
        <v>1</v>
      </c>
      <c r="DC1063" s="483">
        <v>1</v>
      </c>
      <c r="DD1063" s="483">
        <v>1</v>
      </c>
      <c r="DE1063" s="483">
        <f>IFERROR(SUM(VLOOKUP($BS1063,'État &amp; Plan d''action'!$B$6:$Z$1113,18,FALSE),VLOOKUP($BS1063,'État &amp; Plan d''action'!$B$6:$Z$1113,20,FALSE))/(VLOOKUP($BS1063,'Données par municipalité'!$B$4:$L$1113,11,FALSE)),"")</f>
        <v>1</v>
      </c>
      <c r="DF1063" s="483">
        <f>IFERROR(SUM(VLOOKUP($BS1063,'État &amp; Plan d''action'!$B$6:$Z$1113,19,FALSE),VLOOKUP($BS1063,'État &amp; Plan d''action'!$B$6:$Z$1113,21,FALSE))/(VLOOKUP($BS1063,'Données par municipalité'!$B$4:$L$1113,11,FALSE)),"")</f>
        <v>1</v>
      </c>
      <c r="DG1063" s="476" t="s">
        <v>4723</v>
      </c>
      <c r="DH1063" s="484">
        <v>4</v>
      </c>
      <c r="DI1063" s="484" t="s">
        <v>1124</v>
      </c>
      <c r="DJ1063" s="484">
        <v>3</v>
      </c>
      <c r="DK1063" s="484">
        <v>3</v>
      </c>
      <c r="DL1063" s="484">
        <v>1</v>
      </c>
      <c r="DM1063" s="484">
        <v>1</v>
      </c>
      <c r="DN1063" s="484">
        <v>3</v>
      </c>
      <c r="DO1063" s="484">
        <v>3</v>
      </c>
      <c r="DP1063" s="484">
        <v>1</v>
      </c>
      <c r="DQ1063" s="484">
        <f>IF(VLOOKUP($BS1063,'État &amp; Plan d''action'!$B$6:$AJ$1113,28,FALSE)="","",VLOOKUP($BS1063,'État &amp; Plan d''action'!$B$6:$AJ$1113,28,FALSE))</f>
        <v>2</v>
      </c>
      <c r="DR1063" s="70">
        <f>IF(VLOOKUP($BS1063,'État &amp; Plan d''action'!$B$6:$AJ$1113,29,FALSE)="","",VLOOKUP($BS1063,'État &amp; Plan d''action'!$B$6:$AJ$1113,29,FALSE))</f>
        <v>0</v>
      </c>
      <c r="DS1063" s="70">
        <f>IF(VLOOKUP($BS1063,'État &amp; Plan d''action'!$B$6:$AJ$1113,30,FALSE)="","",VLOOKUP($BS1063,'État &amp; Plan d''action'!$B$6:$AJ$1113,30,FALSE))</f>
        <v>0</v>
      </c>
      <c r="DT1063" s="70">
        <v>278</v>
      </c>
      <c r="DU1063" s="485">
        <v>1.618501767765713</v>
      </c>
      <c r="DV1063" s="485">
        <v>2.0057290017896885</v>
      </c>
      <c r="DW1063" s="70">
        <v>1</v>
      </c>
      <c r="DX1063" s="70">
        <v>1</v>
      </c>
      <c r="DY1063" s="70">
        <v>2</v>
      </c>
      <c r="DZ1063" s="70">
        <f>VLOOKUP($BS1063,'État &amp; Plan d''action'!$B$6:$AH$1113,31,FALSE)</f>
        <v>1</v>
      </c>
      <c r="EA1063" s="70">
        <f>VLOOKUP($BS1063,'État &amp; Plan d''action'!$B$6:$AH$1113,32,FALSE)</f>
        <v>0</v>
      </c>
      <c r="EB1063" s="70">
        <f>VLOOKUP($BS1063,'État &amp; Plan d''action'!$B$6:$AH$1113,33,FALSE)</f>
        <v>0</v>
      </c>
      <c r="EC1063" s="70">
        <v>0</v>
      </c>
      <c r="ED1063" s="70">
        <v>12.611000000000001</v>
      </c>
      <c r="EE1063" s="70">
        <v>0</v>
      </c>
      <c r="EF1063" s="70">
        <v>0</v>
      </c>
      <c r="EG1063" s="70">
        <v>0</v>
      </c>
      <c r="EH1063" s="72">
        <v>74</v>
      </c>
      <c r="EI1063" s="72">
        <v>1983</v>
      </c>
    </row>
    <row r="1064" spans="71:139" x14ac:dyDescent="0.35">
      <c r="BS1064" s="486">
        <v>64008</v>
      </c>
      <c r="BT1064" s="479" t="s">
        <v>644</v>
      </c>
      <c r="BU1064" s="479">
        <v>14</v>
      </c>
      <c r="BV1064" s="476" t="s">
        <v>1187</v>
      </c>
      <c r="BW1064" s="476" t="s">
        <v>1187</v>
      </c>
      <c r="BX1064" s="476" t="s">
        <v>1187</v>
      </c>
      <c r="BY1064" s="476" t="s">
        <v>1187</v>
      </c>
      <c r="BZ1064" s="476" t="s">
        <v>1187</v>
      </c>
      <c r="CA1064" s="476" t="s">
        <v>1187</v>
      </c>
      <c r="CB1064" s="476" t="s">
        <v>1187</v>
      </c>
      <c r="CC1064" s="476" t="s">
        <v>1187</v>
      </c>
      <c r="CD1064" s="476" t="s">
        <v>1187</v>
      </c>
      <c r="CE1064" s="476" t="s">
        <v>1188</v>
      </c>
      <c r="CF1064" s="476" t="s">
        <v>1188</v>
      </c>
      <c r="CG1064" s="476" t="s">
        <v>1188</v>
      </c>
      <c r="CH1064" s="476" t="s">
        <v>1188</v>
      </c>
      <c r="CI1064" s="476" t="s">
        <v>1188</v>
      </c>
      <c r="CJ1064" s="476" t="s">
        <v>1188</v>
      </c>
      <c r="CK1064" s="476" t="s">
        <v>1188</v>
      </c>
      <c r="CL1064" s="476" t="s">
        <v>1188</v>
      </c>
      <c r="CM1064" s="476" t="str">
        <f>IF(VLOOKUP(BS1064,'Données par municipalité'!$B$6:$E$1113,4,FALSE)="","non","oui")</f>
        <v>oui</v>
      </c>
      <c r="CN1064" s="410">
        <v>385.67923556863104</v>
      </c>
      <c r="CO1064" s="410">
        <v>390.60632435223539</v>
      </c>
      <c r="CP1064" s="410">
        <v>380.0257965085836</v>
      </c>
      <c r="CQ1064" s="410">
        <v>387.22055060424935</v>
      </c>
      <c r="CR1064" s="410">
        <v>383.60241901457624</v>
      </c>
      <c r="CS1064" s="410">
        <v>382.01739632899199</v>
      </c>
      <c r="CT1064" s="410">
        <v>365.48706561178176</v>
      </c>
      <c r="CU1064" s="410">
        <v>363</v>
      </c>
      <c r="CV1064" s="410">
        <f>IF(VLOOKUP(BS1064,'Données par municipalité'!$B$6:$F$1113,4,FALSE)="","",VLOOKUP(BS1064,'Données par municipalité'!$B$6:$F$1113,4,FALSE))</f>
        <v>368</v>
      </c>
      <c r="CW1064" s="476" t="s">
        <v>4723</v>
      </c>
      <c r="CX1064" s="483">
        <v>1</v>
      </c>
      <c r="CY1064" s="483">
        <v>1</v>
      </c>
      <c r="CZ1064" s="483">
        <v>1</v>
      </c>
      <c r="DA1064" s="483">
        <v>0</v>
      </c>
      <c r="DB1064" s="483">
        <v>0</v>
      </c>
      <c r="DC1064" s="483">
        <v>0</v>
      </c>
      <c r="DD1064" s="483">
        <v>1</v>
      </c>
      <c r="DE1064" s="483">
        <f>IFERROR(SUM(VLOOKUP($BS1064,'État &amp; Plan d''action'!$B$6:$Z$1113,18,FALSE),VLOOKUP($BS1064,'État &amp; Plan d''action'!$B$6:$Z$1113,20,FALSE))/(VLOOKUP($BS1064,'Données par municipalité'!$B$4:$L$1113,11,FALSE)),"")</f>
        <v>1</v>
      </c>
      <c r="DF1064" s="483">
        <f>IFERROR(SUM(VLOOKUP($BS1064,'État &amp; Plan d''action'!$B$6:$Z$1113,19,FALSE),VLOOKUP($BS1064,'État &amp; Plan d''action'!$B$6:$Z$1113,21,FALSE))/(VLOOKUP($BS1064,'Données par municipalité'!$B$4:$L$1113,11,FALSE)),"")</f>
        <v>1</v>
      </c>
      <c r="DG1064" s="476" t="s">
        <v>4723</v>
      </c>
      <c r="DH1064" s="484">
        <v>38</v>
      </c>
      <c r="DI1064" s="484">
        <v>32</v>
      </c>
      <c r="DJ1064" s="484">
        <v>51</v>
      </c>
      <c r="DK1064" s="484">
        <v>48</v>
      </c>
      <c r="DL1064" s="484">
        <v>59</v>
      </c>
      <c r="DM1064" s="484">
        <v>37</v>
      </c>
      <c r="DN1064" s="484">
        <v>39</v>
      </c>
      <c r="DO1064" s="484">
        <v>0</v>
      </c>
      <c r="DP1064" s="484">
        <v>38</v>
      </c>
      <c r="DQ1064" s="484">
        <f>IF(VLOOKUP($BS1064,'État &amp; Plan d''action'!$B$6:$AJ$1113,28,FALSE)="","",VLOOKUP($BS1064,'État &amp; Plan d''action'!$B$6:$AJ$1113,28,FALSE))</f>
        <v>49</v>
      </c>
      <c r="DR1064" s="70">
        <f>IF(VLOOKUP($BS1064,'État &amp; Plan d''action'!$B$6:$AJ$1113,29,FALSE)="","",VLOOKUP($BS1064,'État &amp; Plan d''action'!$B$6:$AJ$1113,29,FALSE))</f>
        <v>0</v>
      </c>
      <c r="DS1064" s="70">
        <f>IF(VLOOKUP($BS1064,'État &amp; Plan d''action'!$B$6:$AJ$1113,30,FALSE)="","",VLOOKUP($BS1064,'État &amp; Plan d''action'!$B$6:$AJ$1113,30,FALSE))</f>
        <v>40</v>
      </c>
      <c r="DT1064" s="70">
        <v>286</v>
      </c>
      <c r="DU1064" s="485">
        <v>1.6875744314746546</v>
      </c>
      <c r="DV1064" s="485">
        <v>1.4626894182105517</v>
      </c>
      <c r="DW1064" s="70">
        <v>1</v>
      </c>
      <c r="DX1064" s="70">
        <v>0</v>
      </c>
      <c r="DY1064" s="70">
        <v>1</v>
      </c>
      <c r="DZ1064" s="70">
        <f>VLOOKUP($BS1064,'État &amp; Plan d''action'!$B$6:$AH$1113,31,FALSE)</f>
        <v>1</v>
      </c>
      <c r="EA1064" s="70">
        <f>VLOOKUP($BS1064,'État &amp; Plan d''action'!$B$6:$AH$1113,32,FALSE)</f>
        <v>0</v>
      </c>
      <c r="EB1064" s="70">
        <f>VLOOKUP($BS1064,'État &amp; Plan d''action'!$B$6:$AH$1113,33,FALSE)</f>
        <v>1</v>
      </c>
      <c r="EC1064" s="70">
        <v>0</v>
      </c>
      <c r="ED1064" s="70">
        <v>560.14700000000005</v>
      </c>
      <c r="EE1064" s="70">
        <v>0</v>
      </c>
      <c r="EF1064" s="70">
        <v>0</v>
      </c>
      <c r="EG1064" s="70">
        <v>0</v>
      </c>
      <c r="EH1064" s="72">
        <v>55</v>
      </c>
      <c r="EI1064" s="72">
        <v>115962</v>
      </c>
    </row>
    <row r="1065" spans="71:139" x14ac:dyDescent="0.35">
      <c r="BS1065" s="486">
        <v>31084</v>
      </c>
      <c r="BT1065" s="479" t="s">
        <v>248</v>
      </c>
      <c r="BU1065" s="479">
        <v>12</v>
      </c>
      <c r="BV1065" s="476" t="s">
        <v>1187</v>
      </c>
      <c r="BW1065" s="476" t="s">
        <v>1187</v>
      </c>
      <c r="BX1065" s="476" t="s">
        <v>1187</v>
      </c>
      <c r="BY1065" s="476" t="s">
        <v>1187</v>
      </c>
      <c r="BZ1065" s="476" t="s">
        <v>1187</v>
      </c>
      <c r="CA1065" s="476" t="s">
        <v>1187</v>
      </c>
      <c r="CB1065" s="476" t="s">
        <v>1187</v>
      </c>
      <c r="CC1065" s="476" t="s">
        <v>1187</v>
      </c>
      <c r="CD1065" s="476" t="s">
        <v>1187</v>
      </c>
      <c r="CE1065" s="476" t="s">
        <v>1188</v>
      </c>
      <c r="CF1065" s="476" t="s">
        <v>1188</v>
      </c>
      <c r="CG1065" s="476" t="s">
        <v>1188</v>
      </c>
      <c r="CH1065" s="476" t="s">
        <v>1188</v>
      </c>
      <c r="CI1065" s="476" t="s">
        <v>1188</v>
      </c>
      <c r="CJ1065" s="476" t="s">
        <v>1188</v>
      </c>
      <c r="CK1065" s="476" t="s">
        <v>1188</v>
      </c>
      <c r="CL1065" s="476" t="s">
        <v>1188</v>
      </c>
      <c r="CM1065" s="476" t="str">
        <f>IF(VLOOKUP(BS1065,'Données par municipalité'!$B$6:$E$1113,4,FALSE)="","non","oui")</f>
        <v>oui</v>
      </c>
      <c r="CN1065" s="410">
        <v>440.44937508338592</v>
      </c>
      <c r="CO1065" s="410">
        <v>427.21130028541933</v>
      </c>
      <c r="CP1065" s="410">
        <v>445.02838281898528</v>
      </c>
      <c r="CQ1065" s="410">
        <v>440.03884535584422</v>
      </c>
      <c r="CR1065" s="410">
        <v>447.57132335991776</v>
      </c>
      <c r="CS1065" s="410">
        <v>445.62940334473461</v>
      </c>
      <c r="CT1065" s="410">
        <v>395.96012514369482</v>
      </c>
      <c r="CU1065" s="410">
        <v>416</v>
      </c>
      <c r="CV1065" s="410">
        <f>IF(VLOOKUP(BS1065,'Données par municipalité'!$B$6:$F$1113,4,FALSE)="","",VLOOKUP(BS1065,'Données par municipalité'!$B$6:$F$1113,4,FALSE))</f>
        <v>428</v>
      </c>
      <c r="CW1065" s="476" t="s">
        <v>4723</v>
      </c>
      <c r="CX1065" s="483">
        <v>0.1</v>
      </c>
      <c r="CY1065" s="483">
        <v>0.2</v>
      </c>
      <c r="CZ1065" s="483">
        <v>0.2</v>
      </c>
      <c r="DA1065" s="483">
        <v>0.2</v>
      </c>
      <c r="DB1065" s="483">
        <v>0.6</v>
      </c>
      <c r="DC1065" s="483">
        <v>1</v>
      </c>
      <c r="DD1065" s="483">
        <v>0</v>
      </c>
      <c r="DE1065" s="483">
        <f>IFERROR(SUM(VLOOKUP($BS1065,'État &amp; Plan d''action'!$B$6:$Z$1113,18,FALSE),VLOOKUP($BS1065,'État &amp; Plan d''action'!$B$6:$Z$1113,20,FALSE))/(VLOOKUP($BS1065,'Données par municipalité'!$B$4:$L$1113,11,FALSE)),"")</f>
        <v>0.2</v>
      </c>
      <c r="DF1065" s="483">
        <f>IFERROR(SUM(VLOOKUP($BS1065,'État &amp; Plan d''action'!$B$6:$Z$1113,19,FALSE),VLOOKUP($BS1065,'État &amp; Plan d''action'!$B$6:$Z$1113,21,FALSE))/(VLOOKUP($BS1065,'Données par municipalité'!$B$4:$L$1113,11,FALSE)),"")</f>
        <v>0.2</v>
      </c>
      <c r="DG1065" s="476" t="s">
        <v>4723</v>
      </c>
      <c r="DH1065" s="484">
        <v>28</v>
      </c>
      <c r="DI1065" s="484">
        <v>176</v>
      </c>
      <c r="DJ1065" s="484">
        <v>151</v>
      </c>
      <c r="DK1065" s="484">
        <v>125</v>
      </c>
      <c r="DL1065" s="484">
        <v>70</v>
      </c>
      <c r="DM1065" s="484">
        <v>56</v>
      </c>
      <c r="DN1065" s="484">
        <v>29</v>
      </c>
      <c r="DO1065" s="484">
        <v>25</v>
      </c>
      <c r="DP1065" s="484">
        <v>0</v>
      </c>
      <c r="DQ1065" s="484">
        <f>IF(VLOOKUP($BS1065,'État &amp; Plan d''action'!$B$6:$AJ$1113,28,FALSE)="","",VLOOKUP($BS1065,'État &amp; Plan d''action'!$B$6:$AJ$1113,28,FALSE))</f>
        <v>15</v>
      </c>
      <c r="DR1065" s="70">
        <f>IF(VLOOKUP($BS1065,'État &amp; Plan d''action'!$B$6:$AJ$1113,29,FALSE)="","",VLOOKUP($BS1065,'État &amp; Plan d''action'!$B$6:$AJ$1113,29,FALSE))</f>
        <v>47</v>
      </c>
      <c r="DS1065" s="70">
        <f>IF(VLOOKUP($BS1065,'État &amp; Plan d''action'!$B$6:$AJ$1113,30,FALSE)="","",VLOOKUP($BS1065,'État &amp; Plan d''action'!$B$6:$AJ$1113,30,FALSE))</f>
        <v>0</v>
      </c>
      <c r="DT1065" s="70">
        <v>284</v>
      </c>
      <c r="DU1065" s="485">
        <v>2.2807563762187284</v>
      </c>
      <c r="DV1065" s="485">
        <v>0.36855383752428406</v>
      </c>
      <c r="DW1065" s="70">
        <v>2</v>
      </c>
      <c r="DX1065" s="70">
        <v>2</v>
      </c>
      <c r="DY1065" s="70">
        <v>0</v>
      </c>
      <c r="DZ1065" s="70">
        <f>VLOOKUP($BS1065,'État &amp; Plan d''action'!$B$6:$AH$1113,31,FALSE)</f>
        <v>2</v>
      </c>
      <c r="EA1065" s="70">
        <f>VLOOKUP($BS1065,'État &amp; Plan d''action'!$B$6:$AH$1113,32,FALSE)</f>
        <v>2</v>
      </c>
      <c r="EB1065" s="70">
        <f>VLOOKUP($BS1065,'État &amp; Plan d''action'!$B$6:$AH$1113,33,FALSE)</f>
        <v>0</v>
      </c>
      <c r="EC1065" s="70">
        <v>0</v>
      </c>
      <c r="ED1065" s="70">
        <v>0</v>
      </c>
      <c r="EE1065" s="70">
        <v>0</v>
      </c>
      <c r="EF1065" s="70">
        <v>0</v>
      </c>
      <c r="EG1065" s="70">
        <v>0</v>
      </c>
      <c r="EH1065" s="72">
        <v>59</v>
      </c>
      <c r="EI1065" s="72">
        <v>25823</v>
      </c>
    </row>
    <row r="1066" spans="71:139" x14ac:dyDescent="0.35">
      <c r="BS1066" s="486">
        <v>84045</v>
      </c>
      <c r="BT1066" s="479" t="s">
        <v>860</v>
      </c>
      <c r="BU1066" s="479">
        <v>7</v>
      </c>
      <c r="BV1066" s="476" t="s">
        <v>1188</v>
      </c>
      <c r="BW1066" s="476" t="s">
        <v>1188</v>
      </c>
      <c r="BX1066" s="476" t="s">
        <v>1188</v>
      </c>
      <c r="BY1066" s="476" t="s">
        <v>1188</v>
      </c>
      <c r="BZ1066" s="476" t="s">
        <v>1188</v>
      </c>
      <c r="CA1066" s="476" t="s">
        <v>1188</v>
      </c>
      <c r="CB1066" s="476" t="s">
        <v>1188</v>
      </c>
      <c r="CC1066" s="476" t="s">
        <v>1188</v>
      </c>
      <c r="CD1066" s="476" t="s">
        <v>1188</v>
      </c>
      <c r="CE1066" s="476" t="s">
        <v>1187</v>
      </c>
      <c r="CF1066" s="476" t="s">
        <v>1187</v>
      </c>
      <c r="CG1066" s="476" t="s">
        <v>1187</v>
      </c>
      <c r="CH1066" s="476" t="s">
        <v>1187</v>
      </c>
      <c r="CI1066" s="476" t="s">
        <v>1187</v>
      </c>
      <c r="CJ1066" s="476" t="s">
        <v>1187</v>
      </c>
      <c r="CK1066" s="476" t="s">
        <v>1187</v>
      </c>
      <c r="CL1066" s="476" t="s">
        <v>1187</v>
      </c>
      <c r="CM1066" s="476" t="str">
        <f>IF(VLOOKUP(BS1066,'Données par municipalité'!$B$6:$E$1113,4,FALSE)="","non","oui")</f>
        <v>non</v>
      </c>
      <c r="CN1066" s="410" t="s">
        <v>1124</v>
      </c>
      <c r="CO1066" s="410" t="s">
        <v>1124</v>
      </c>
      <c r="CP1066" s="410"/>
      <c r="CQ1066" s="410"/>
      <c r="CR1066" s="410"/>
      <c r="CS1066" s="410" t="s">
        <v>1124</v>
      </c>
      <c r="CT1066" s="410"/>
      <c r="CU1066" s="410" t="s">
        <v>1124</v>
      </c>
      <c r="CV1066" s="410" t="str">
        <f>IF(VLOOKUP(BS1066,'Données par municipalité'!$B$6:$F$1113,4,FALSE)="","",VLOOKUP(BS1066,'Données par municipalité'!$B$6:$F$1113,4,FALSE))</f>
        <v/>
      </c>
      <c r="CW1066" s="476" t="s">
        <v>4723</v>
      </c>
      <c r="CX1066" s="483" t="s">
        <v>1124</v>
      </c>
      <c r="CY1066" s="483" t="s">
        <v>1124</v>
      </c>
      <c r="CZ1066" s="483" t="s">
        <v>1124</v>
      </c>
      <c r="DA1066" s="483" t="s">
        <v>1124</v>
      </c>
      <c r="DB1066" s="483" t="s">
        <v>1124</v>
      </c>
      <c r="DC1066" s="483" t="s">
        <v>1124</v>
      </c>
      <c r="DD1066" s="483" t="s">
        <v>1124</v>
      </c>
      <c r="DE1066" s="483" t="str">
        <f>IFERROR(SUM(VLOOKUP($BS1066,'État &amp; Plan d''action'!$B$6:$Z$1113,18,FALSE),VLOOKUP($BS1066,'État &amp; Plan d''action'!$B$6:$Z$1113,20,FALSE))/(VLOOKUP($BS1066,'Données par municipalité'!$B$4:$L$1113,11,FALSE)),"")</f>
        <v/>
      </c>
      <c r="DF1066" s="483" t="str">
        <f>IFERROR(SUM(VLOOKUP($BS1066,'État &amp; Plan d''action'!$B$6:$Z$1113,19,FALSE),VLOOKUP($BS1066,'État &amp; Plan d''action'!$B$6:$Z$1113,21,FALSE))/(VLOOKUP($BS1066,'Données par municipalité'!$B$4:$L$1113,11,FALSE)),"")</f>
        <v/>
      </c>
      <c r="DG1066" s="476" t="s">
        <v>4723</v>
      </c>
      <c r="DH1066" s="484" t="s">
        <v>1124</v>
      </c>
      <c r="DI1066" s="484" t="s">
        <v>1124</v>
      </c>
      <c r="DJ1066" s="484">
        <v>0</v>
      </c>
      <c r="DK1066" s="484">
        <v>0</v>
      </c>
      <c r="DL1066" s="484" t="s">
        <v>1124</v>
      </c>
      <c r="DM1066" s="484" t="s">
        <v>1124</v>
      </c>
      <c r="DN1066" s="484" t="s">
        <v>1124</v>
      </c>
      <c r="DO1066" s="484" t="s">
        <v>1124</v>
      </c>
      <c r="DP1066" s="484" t="s">
        <v>1124</v>
      </c>
      <c r="DQ1066" s="484" t="str">
        <f>IF(VLOOKUP($BS1066,'État &amp; Plan d''action'!$B$6:$AJ$1113,28,FALSE)="","",VLOOKUP($BS1066,'État &amp; Plan d''action'!$B$6:$AJ$1113,28,FALSE))</f>
        <v/>
      </c>
      <c r="DR1066" s="70" t="str">
        <f>IF(VLOOKUP($BS1066,'État &amp; Plan d''action'!$B$6:$AJ$1113,29,FALSE)="","",VLOOKUP($BS1066,'État &amp; Plan d''action'!$B$6:$AJ$1113,29,FALSE))</f>
        <v/>
      </c>
      <c r="DS1066" s="70" t="str">
        <f>IF(VLOOKUP($BS1066,'État &amp; Plan d''action'!$B$6:$AJ$1113,30,FALSE)="","",VLOOKUP($BS1066,'État &amp; Plan d''action'!$B$6:$AJ$1113,30,FALSE))</f>
        <v/>
      </c>
      <c r="DT1066" s="70" t="s">
        <v>1124</v>
      </c>
      <c r="DU1066" s="485" t="s">
        <v>1124</v>
      </c>
      <c r="DV1066" s="485" t="s">
        <v>1124</v>
      </c>
      <c r="DW1066" s="70" t="s">
        <v>1124</v>
      </c>
      <c r="DX1066" s="70" t="s">
        <v>1124</v>
      </c>
      <c r="DY1066" s="70" t="s">
        <v>1124</v>
      </c>
      <c r="DZ1066" s="70" t="str">
        <f>VLOOKUP($BS1066,'État &amp; Plan d''action'!$B$6:$AH$1113,31,FALSE)</f>
        <v/>
      </c>
      <c r="EA1066" s="70" t="str">
        <f>VLOOKUP($BS1066,'État &amp; Plan d''action'!$B$6:$AH$1113,32,FALSE)</f>
        <v/>
      </c>
      <c r="EB1066" s="70" t="str">
        <f>VLOOKUP($BS1066,'État &amp; Plan d''action'!$B$6:$AH$1113,33,FALSE)</f>
        <v/>
      </c>
      <c r="EC1066" s="70" t="s">
        <v>1124</v>
      </c>
      <c r="ED1066" s="70" t="s">
        <v>1124</v>
      </c>
      <c r="EE1066" s="70" t="s">
        <v>1124</v>
      </c>
      <c r="EF1066" s="70" t="s">
        <v>1124</v>
      </c>
      <c r="EG1066" s="70" t="s">
        <v>1124</v>
      </c>
      <c r="EH1066" s="72"/>
      <c r="EI1066" s="72">
        <v>473</v>
      </c>
    </row>
    <row r="1067" spans="71:139" x14ac:dyDescent="0.35">
      <c r="BS1067" s="486">
        <v>80050</v>
      </c>
      <c r="BT1067" s="479" t="s">
        <v>810</v>
      </c>
      <c r="BU1067" s="479">
        <v>7</v>
      </c>
      <c r="BV1067" s="476" t="s">
        <v>1187</v>
      </c>
      <c r="BW1067" s="476" t="s">
        <v>1187</v>
      </c>
      <c r="BX1067" s="476" t="s">
        <v>1187</v>
      </c>
      <c r="BY1067" s="476" t="s">
        <v>1187</v>
      </c>
      <c r="BZ1067" s="476" t="s">
        <v>1187</v>
      </c>
      <c r="CA1067" s="476" t="s">
        <v>1187</v>
      </c>
      <c r="CB1067" s="476" t="s">
        <v>1187</v>
      </c>
      <c r="CC1067" s="476" t="s">
        <v>1187</v>
      </c>
      <c r="CD1067" s="476" t="s">
        <v>1187</v>
      </c>
      <c r="CE1067" s="476" t="s">
        <v>1187</v>
      </c>
      <c r="CF1067" s="476" t="s">
        <v>1187</v>
      </c>
      <c r="CG1067" s="476" t="s">
        <v>1187</v>
      </c>
      <c r="CH1067" s="476" t="s">
        <v>1187</v>
      </c>
      <c r="CI1067" s="476" t="s">
        <v>1187</v>
      </c>
      <c r="CJ1067" s="476" t="s">
        <v>1187</v>
      </c>
      <c r="CK1067" s="476" t="s">
        <v>1187</v>
      </c>
      <c r="CL1067" s="476" t="s">
        <v>1188</v>
      </c>
      <c r="CM1067" s="476" t="str">
        <f>IF(VLOOKUP(BS1067,'Données par municipalité'!$B$6:$E$1113,4,FALSE)="","non","oui")</f>
        <v>oui</v>
      </c>
      <c r="CN1067" s="410" t="s">
        <v>1124</v>
      </c>
      <c r="CO1067" s="410" t="s">
        <v>1124</v>
      </c>
      <c r="CP1067" s="410"/>
      <c r="CQ1067" s="410"/>
      <c r="CR1067" s="410"/>
      <c r="CS1067" s="410" t="s">
        <v>1124</v>
      </c>
      <c r="CT1067" s="410"/>
      <c r="CU1067" s="410">
        <v>389</v>
      </c>
      <c r="CV1067" s="410">
        <f>IF(VLOOKUP(BS1067,'Données par municipalité'!$B$6:$F$1113,4,FALSE)="","",VLOOKUP(BS1067,'Données par municipalité'!$B$6:$F$1113,4,FALSE))</f>
        <v>365</v>
      </c>
      <c r="CW1067" s="476" t="s">
        <v>4723</v>
      </c>
      <c r="CX1067" s="483" t="s">
        <v>1124</v>
      </c>
      <c r="CY1067" s="483" t="s">
        <v>1124</v>
      </c>
      <c r="CZ1067" s="483" t="s">
        <v>1124</v>
      </c>
      <c r="DA1067" s="483" t="s">
        <v>1124</v>
      </c>
      <c r="DB1067" s="483" t="s">
        <v>1124</v>
      </c>
      <c r="DC1067" s="483" t="s">
        <v>1124</v>
      </c>
      <c r="DD1067" s="483">
        <v>1</v>
      </c>
      <c r="DE1067" s="483">
        <f>IFERROR(SUM(VLOOKUP($BS1067,'État &amp; Plan d''action'!$B$6:$Z$1113,18,FALSE),VLOOKUP($BS1067,'État &amp; Plan d''action'!$B$6:$Z$1113,20,FALSE))/(VLOOKUP($BS1067,'Données par municipalité'!$B$4:$L$1113,11,FALSE)),"")</f>
        <v>0.99468312366484679</v>
      </c>
      <c r="DF1067" s="483">
        <f>IFERROR(SUM(VLOOKUP($BS1067,'État &amp; Plan d''action'!$B$6:$Z$1113,19,FALSE),VLOOKUP($BS1067,'État &amp; Plan d''action'!$B$6:$Z$1113,21,FALSE))/(VLOOKUP($BS1067,'Données par municipalité'!$B$4:$L$1113,11,FALSE)),"")</f>
        <v>0.99468312366484679</v>
      </c>
      <c r="DG1067" s="476" t="s">
        <v>4723</v>
      </c>
      <c r="DH1067" s="484">
        <v>6</v>
      </c>
      <c r="DI1067" s="484" t="s">
        <v>1124</v>
      </c>
      <c r="DJ1067" s="484">
        <v>0</v>
      </c>
      <c r="DK1067" s="484">
        <v>0</v>
      </c>
      <c r="DL1067" s="484" t="s">
        <v>1124</v>
      </c>
      <c r="DM1067" s="484" t="s">
        <v>1124</v>
      </c>
      <c r="DN1067" s="484">
        <v>3</v>
      </c>
      <c r="DO1067" s="484">
        <v>1</v>
      </c>
      <c r="DP1067" s="484">
        <v>0</v>
      </c>
      <c r="DQ1067" s="484">
        <f>IF(VLOOKUP($BS1067,'État &amp; Plan d''action'!$B$6:$AJ$1113,28,FALSE)="","",VLOOKUP($BS1067,'État &amp; Plan d''action'!$B$6:$AJ$1113,28,FALSE))</f>
        <v>3</v>
      </c>
      <c r="DR1067" s="70">
        <f>IF(VLOOKUP($BS1067,'État &amp; Plan d''action'!$B$6:$AJ$1113,29,FALSE)="","",VLOOKUP($BS1067,'État &amp; Plan d''action'!$B$6:$AJ$1113,29,FALSE))</f>
        <v>0</v>
      </c>
      <c r="DS1067" s="70">
        <f>IF(VLOOKUP($BS1067,'État &amp; Plan d''action'!$B$6:$AJ$1113,30,FALSE)="","",VLOOKUP($BS1067,'État &amp; Plan d''action'!$B$6:$AJ$1113,30,FALSE))</f>
        <v>0</v>
      </c>
      <c r="DT1067" s="70">
        <v>264</v>
      </c>
      <c r="DU1067" s="485">
        <v>2.5715750798011596</v>
      </c>
      <c r="DV1067" s="485">
        <v>1.6651624760829233</v>
      </c>
      <c r="DW1067" s="70">
        <v>1</v>
      </c>
      <c r="DX1067" s="70">
        <v>1</v>
      </c>
      <c r="DY1067" s="70">
        <v>0</v>
      </c>
      <c r="DZ1067" s="70">
        <f>VLOOKUP($BS1067,'État &amp; Plan d''action'!$B$6:$AH$1113,31,FALSE)</f>
        <v>1</v>
      </c>
      <c r="EA1067" s="70">
        <f>VLOOKUP($BS1067,'État &amp; Plan d''action'!$B$6:$AH$1113,32,FALSE)</f>
        <v>0</v>
      </c>
      <c r="EB1067" s="70">
        <f>VLOOKUP($BS1067,'État &amp; Plan d''action'!$B$6:$AH$1113,33,FALSE)</f>
        <v>0</v>
      </c>
      <c r="EC1067" s="70">
        <v>0</v>
      </c>
      <c r="ED1067" s="70">
        <v>20.952999999999999</v>
      </c>
      <c r="EE1067" s="70">
        <v>0</v>
      </c>
      <c r="EF1067" s="70">
        <v>0</v>
      </c>
      <c r="EG1067" s="70">
        <v>0</v>
      </c>
      <c r="EH1067" s="72">
        <v>44.982456140350884</v>
      </c>
      <c r="EI1067" s="72">
        <v>2873</v>
      </c>
    </row>
    <row r="1068" spans="71:139" x14ac:dyDescent="0.35">
      <c r="BS1068" s="486">
        <v>39025</v>
      </c>
      <c r="BT1068" s="479" t="s">
        <v>341</v>
      </c>
      <c r="BU1068" s="479">
        <v>17</v>
      </c>
      <c r="BV1068" s="476" t="s">
        <v>1187</v>
      </c>
      <c r="BW1068" s="476" t="s">
        <v>1187</v>
      </c>
      <c r="BX1068" s="476" t="s">
        <v>1187</v>
      </c>
      <c r="BY1068" s="476" t="s">
        <v>1187</v>
      </c>
      <c r="BZ1068" s="476" t="s">
        <v>1187</v>
      </c>
      <c r="CA1068" s="476" t="s">
        <v>1187</v>
      </c>
      <c r="CB1068" s="476" t="s">
        <v>1187</v>
      </c>
      <c r="CC1068" s="476" t="s">
        <v>1187</v>
      </c>
      <c r="CD1068" s="476" t="s">
        <v>1187</v>
      </c>
      <c r="CE1068" s="476" t="s">
        <v>1188</v>
      </c>
      <c r="CF1068" s="476" t="s">
        <v>1188</v>
      </c>
      <c r="CG1068" s="476" t="s">
        <v>1188</v>
      </c>
      <c r="CH1068" s="476" t="s">
        <v>1188</v>
      </c>
      <c r="CI1068" s="476" t="s">
        <v>1188</v>
      </c>
      <c r="CJ1068" s="476" t="s">
        <v>1188</v>
      </c>
      <c r="CK1068" s="476" t="s">
        <v>1188</v>
      </c>
      <c r="CL1068" s="476" t="s">
        <v>1188</v>
      </c>
      <c r="CM1068" s="476" t="str">
        <f>IF(VLOOKUP(BS1068,'Données par municipalité'!$B$6:$E$1113,4,FALSE)="","non","oui")</f>
        <v>non</v>
      </c>
      <c r="CN1068" s="410">
        <v>389.90001808005718</v>
      </c>
      <c r="CO1068" s="410">
        <v>372.98403840085047</v>
      </c>
      <c r="CP1068" s="410">
        <v>324.79156576686296</v>
      </c>
      <c r="CQ1068" s="410">
        <v>271.78683499407043</v>
      </c>
      <c r="CR1068" s="410">
        <v>298.3915422271586</v>
      </c>
      <c r="CS1068" s="410">
        <v>318.60733688084161</v>
      </c>
      <c r="CT1068" s="410">
        <v>237.0163214359072</v>
      </c>
      <c r="CU1068" s="410">
        <v>300</v>
      </c>
      <c r="CV1068" s="410" t="str">
        <f>IF(VLOOKUP(BS1068,'Données par municipalité'!$B$6:$F$1113,4,FALSE)="","",VLOOKUP(BS1068,'Données par municipalité'!$B$6:$F$1113,4,FALSE))</f>
        <v/>
      </c>
      <c r="CW1068" s="476" t="s">
        <v>4723</v>
      </c>
      <c r="CX1068" s="483">
        <v>1</v>
      </c>
      <c r="CY1068" s="483">
        <v>1</v>
      </c>
      <c r="CZ1068" s="483">
        <v>1</v>
      </c>
      <c r="DA1068" s="483">
        <v>1</v>
      </c>
      <c r="DB1068" s="483">
        <v>1</v>
      </c>
      <c r="DC1068" s="483">
        <v>1</v>
      </c>
      <c r="DD1068" s="483">
        <v>1</v>
      </c>
      <c r="DE1068" s="483" t="str">
        <f>IFERROR(SUM(VLOOKUP($BS1068,'État &amp; Plan d''action'!$B$6:$Z$1113,18,FALSE),VLOOKUP($BS1068,'État &amp; Plan d''action'!$B$6:$Z$1113,20,FALSE))/(VLOOKUP($BS1068,'Données par municipalité'!$B$4:$L$1113,11,FALSE)),"")</f>
        <v/>
      </c>
      <c r="DF1068" s="483" t="str">
        <f>IFERROR(SUM(VLOOKUP($BS1068,'État &amp; Plan d''action'!$B$6:$Z$1113,19,FALSE),VLOOKUP($BS1068,'État &amp; Plan d''action'!$B$6:$Z$1113,21,FALSE))/(VLOOKUP($BS1068,'Données par municipalité'!$B$4:$L$1113,11,FALSE)),"")</f>
        <v/>
      </c>
      <c r="DG1068" s="476" t="s">
        <v>4723</v>
      </c>
      <c r="DH1068" s="484">
        <v>1</v>
      </c>
      <c r="DI1068" s="484">
        <v>0</v>
      </c>
      <c r="DJ1068" s="484">
        <v>0</v>
      </c>
      <c r="DK1068" s="484">
        <v>0</v>
      </c>
      <c r="DL1068" s="484">
        <v>1</v>
      </c>
      <c r="DM1068" s="484">
        <v>2</v>
      </c>
      <c r="DN1068" s="484">
        <v>1</v>
      </c>
      <c r="DO1068" s="484">
        <v>0</v>
      </c>
      <c r="DP1068" s="484">
        <v>0</v>
      </c>
      <c r="DQ1068" s="484" t="str">
        <f>IF(VLOOKUP($BS1068,'État &amp; Plan d''action'!$B$6:$AJ$1113,28,FALSE)="","",VLOOKUP($BS1068,'État &amp; Plan d''action'!$B$6:$AJ$1113,28,FALSE))</f>
        <v/>
      </c>
      <c r="DR1068" s="70" t="str">
        <f>IF(VLOOKUP($BS1068,'État &amp; Plan d''action'!$B$6:$AJ$1113,29,FALSE)="","",VLOOKUP($BS1068,'État &amp; Plan d''action'!$B$6:$AJ$1113,29,FALSE))</f>
        <v/>
      </c>
      <c r="DS1068" s="70" t="str">
        <f>IF(VLOOKUP($BS1068,'État &amp; Plan d''action'!$B$6:$AJ$1113,30,FALSE)="","",VLOOKUP($BS1068,'État &amp; Plan d''action'!$B$6:$AJ$1113,30,FALSE))</f>
        <v/>
      </c>
      <c r="DT1068" s="70">
        <v>223</v>
      </c>
      <c r="DU1068" s="485">
        <v>1.2149498810349872</v>
      </c>
      <c r="DV1068" s="485" t="s">
        <v>1124</v>
      </c>
      <c r="DW1068" s="70">
        <v>1</v>
      </c>
      <c r="DX1068" s="70">
        <v>0</v>
      </c>
      <c r="DY1068" s="70">
        <v>0</v>
      </c>
      <c r="DZ1068" s="70" t="str">
        <f>VLOOKUP($BS1068,'État &amp; Plan d''action'!$B$6:$AH$1113,31,FALSE)</f>
        <v/>
      </c>
      <c r="EA1068" s="70" t="str">
        <f>VLOOKUP($BS1068,'État &amp; Plan d''action'!$B$6:$AH$1113,32,FALSE)</f>
        <v/>
      </c>
      <c r="EB1068" s="70" t="str">
        <f>VLOOKUP($BS1068,'État &amp; Plan d''action'!$B$6:$AH$1113,33,FALSE)</f>
        <v/>
      </c>
      <c r="EC1068" s="70">
        <v>7.1769999999999996</v>
      </c>
      <c r="ED1068" s="70">
        <v>7.1769999999999996</v>
      </c>
      <c r="EE1068" s="70">
        <v>0</v>
      </c>
      <c r="EF1068" s="70">
        <v>0</v>
      </c>
      <c r="EG1068" s="70">
        <v>0</v>
      </c>
      <c r="EH1068" s="72">
        <v>55</v>
      </c>
      <c r="EI1068" s="72">
        <v>1441</v>
      </c>
    </row>
    <row r="1069" spans="71:139" x14ac:dyDescent="0.35">
      <c r="BS1069" s="486">
        <v>17035</v>
      </c>
      <c r="BT1069" s="479" t="s">
        <v>96</v>
      </c>
      <c r="BU1069" s="479">
        <v>12</v>
      </c>
      <c r="BV1069" s="476" t="s">
        <v>1187</v>
      </c>
      <c r="BW1069" s="476" t="s">
        <v>1187</v>
      </c>
      <c r="BX1069" s="476" t="s">
        <v>1187</v>
      </c>
      <c r="BY1069" s="476" t="s">
        <v>1187</v>
      </c>
      <c r="BZ1069" s="476" t="s">
        <v>1187</v>
      </c>
      <c r="CA1069" s="476" t="s">
        <v>1187</v>
      </c>
      <c r="CB1069" s="476" t="s">
        <v>1187</v>
      </c>
      <c r="CC1069" s="476" t="s">
        <v>1187</v>
      </c>
      <c r="CD1069" s="476" t="s">
        <v>1187</v>
      </c>
      <c r="CE1069" s="476" t="s">
        <v>1188</v>
      </c>
      <c r="CF1069" s="476" t="s">
        <v>1188</v>
      </c>
      <c r="CG1069" s="476" t="s">
        <v>1188</v>
      </c>
      <c r="CH1069" s="476" t="s">
        <v>1188</v>
      </c>
      <c r="CI1069" s="476" t="s">
        <v>1188</v>
      </c>
      <c r="CJ1069" s="476" t="s">
        <v>1188</v>
      </c>
      <c r="CK1069" s="476" t="s">
        <v>1188</v>
      </c>
      <c r="CL1069" s="476" t="s">
        <v>1188</v>
      </c>
      <c r="CM1069" s="476" t="str">
        <f>IF(VLOOKUP(BS1069,'Données par municipalité'!$B$6:$E$1113,4,FALSE)="","non","oui")</f>
        <v>oui</v>
      </c>
      <c r="CN1069" s="410">
        <v>787.76869568768825</v>
      </c>
      <c r="CO1069" s="410">
        <v>266.39025918295107</v>
      </c>
      <c r="CP1069" s="410">
        <v>252.27424964256915</v>
      </c>
      <c r="CQ1069" s="410">
        <v>163.52497963515157</v>
      </c>
      <c r="CR1069" s="410">
        <v>119.89689295154623</v>
      </c>
      <c r="CS1069" s="410">
        <v>191.59336196806925</v>
      </c>
      <c r="CT1069" s="410">
        <v>333.98367233983674</v>
      </c>
      <c r="CU1069" s="410">
        <v>283</v>
      </c>
      <c r="CV1069" s="410">
        <f>IF(VLOOKUP(BS1069,'Données par municipalité'!$B$6:$F$1113,4,FALSE)="","",VLOOKUP(BS1069,'Données par municipalité'!$B$6:$F$1113,4,FALSE))</f>
        <v>303</v>
      </c>
      <c r="CW1069" s="476" t="s">
        <v>4723</v>
      </c>
      <c r="CX1069" s="483">
        <v>0.5</v>
      </c>
      <c r="CY1069" s="483">
        <v>0.5</v>
      </c>
      <c r="CZ1069" s="483">
        <v>0.5</v>
      </c>
      <c r="DA1069" s="483">
        <v>0.5</v>
      </c>
      <c r="DB1069" s="483">
        <v>0.5</v>
      </c>
      <c r="DC1069" s="483">
        <v>0.5</v>
      </c>
      <c r="DD1069" s="483">
        <v>0</v>
      </c>
      <c r="DE1069" s="483">
        <f>IFERROR(SUM(VLOOKUP($BS1069,'État &amp; Plan d''action'!$B$6:$Z$1113,18,FALSE),VLOOKUP($BS1069,'État &amp; Plan d''action'!$B$6:$Z$1113,20,FALSE))/(VLOOKUP($BS1069,'Données par municipalité'!$B$4:$L$1113,11,FALSE)),"")</f>
        <v>0.12310419539097893</v>
      </c>
      <c r="DF1069" s="483">
        <f>IFERROR(SUM(VLOOKUP($BS1069,'État &amp; Plan d''action'!$B$6:$Z$1113,19,FALSE),VLOOKUP($BS1069,'État &amp; Plan d''action'!$B$6:$Z$1113,21,FALSE))/(VLOOKUP($BS1069,'Données par municipalité'!$B$4:$L$1113,11,FALSE)),"")</f>
        <v>1</v>
      </c>
      <c r="DG1069" s="476" t="s">
        <v>4723</v>
      </c>
      <c r="DH1069" s="484">
        <v>0</v>
      </c>
      <c r="DI1069" s="484">
        <v>0</v>
      </c>
      <c r="DJ1069" s="484">
        <v>0</v>
      </c>
      <c r="DK1069" s="484">
        <v>0</v>
      </c>
      <c r="DL1069" s="484">
        <v>1</v>
      </c>
      <c r="DM1069" s="484">
        <v>0</v>
      </c>
      <c r="DN1069" s="484">
        <v>0</v>
      </c>
      <c r="DO1069" s="484">
        <v>0</v>
      </c>
      <c r="DP1069" s="484">
        <v>0</v>
      </c>
      <c r="DQ1069" s="484">
        <f>IF(VLOOKUP($BS1069,'État &amp; Plan d''action'!$B$6:$AJ$1113,28,FALSE)="","",VLOOKUP($BS1069,'État &amp; Plan d''action'!$B$6:$AJ$1113,28,FALSE))</f>
        <v>0</v>
      </c>
      <c r="DR1069" s="70">
        <f>IF(VLOOKUP($BS1069,'État &amp; Plan d''action'!$B$6:$AJ$1113,29,FALSE)="","",VLOOKUP($BS1069,'État &amp; Plan d''action'!$B$6:$AJ$1113,29,FALSE))</f>
        <v>0</v>
      </c>
      <c r="DS1069" s="70">
        <f>IF(VLOOKUP($BS1069,'État &amp; Plan d''action'!$B$6:$AJ$1113,30,FALSE)="","",VLOOKUP($BS1069,'État &amp; Plan d''action'!$B$6:$AJ$1113,30,FALSE))</f>
        <v>1</v>
      </c>
      <c r="DT1069" s="70">
        <v>220</v>
      </c>
      <c r="DU1069" s="485">
        <v>1.2193850426118735</v>
      </c>
      <c r="DV1069" s="485">
        <v>1.9146522216593316</v>
      </c>
      <c r="DW1069" s="70">
        <v>0</v>
      </c>
      <c r="DX1069" s="70">
        <v>0</v>
      </c>
      <c r="DY1069" s="70">
        <v>0</v>
      </c>
      <c r="DZ1069" s="70">
        <f>VLOOKUP($BS1069,'État &amp; Plan d''action'!$B$6:$AH$1113,31,FALSE)</f>
        <v>0</v>
      </c>
      <c r="EA1069" s="70">
        <f>VLOOKUP($BS1069,'État &amp; Plan d''action'!$B$6:$AH$1113,32,FALSE)</f>
        <v>0</v>
      </c>
      <c r="EB1069" s="70">
        <f>VLOOKUP($BS1069,'État &amp; Plan d''action'!$B$6:$AH$1113,33,FALSE)</f>
        <v>1</v>
      </c>
      <c r="EC1069" s="70">
        <v>0</v>
      </c>
      <c r="ED1069" s="70">
        <v>0</v>
      </c>
      <c r="EE1069" s="70">
        <v>0</v>
      </c>
      <c r="EF1069" s="70">
        <v>0</v>
      </c>
      <c r="EG1069" s="70">
        <v>0</v>
      </c>
      <c r="EH1069" s="72">
        <v>48</v>
      </c>
      <c r="EI1069" s="72">
        <v>584</v>
      </c>
    </row>
    <row r="1070" spans="71:139" x14ac:dyDescent="0.35">
      <c r="BS1070" s="486">
        <v>88075</v>
      </c>
      <c r="BT1070" s="479" t="s">
        <v>924</v>
      </c>
      <c r="BU1070" s="479">
        <v>8</v>
      </c>
      <c r="BV1070" s="476" t="s">
        <v>1188</v>
      </c>
      <c r="BW1070" s="476" t="s">
        <v>1188</v>
      </c>
      <c r="BX1070" s="476" t="s">
        <v>1188</v>
      </c>
      <c r="BY1070" s="476" t="s">
        <v>1188</v>
      </c>
      <c r="BZ1070" s="476" t="s">
        <v>1188</v>
      </c>
      <c r="CA1070" s="476" t="s">
        <v>1188</v>
      </c>
      <c r="CB1070" s="476" t="s">
        <v>1188</v>
      </c>
      <c r="CC1070" s="476" t="s">
        <v>1188</v>
      </c>
      <c r="CD1070" s="476" t="s">
        <v>1188</v>
      </c>
      <c r="CE1070" s="476" t="s">
        <v>1187</v>
      </c>
      <c r="CF1070" s="476" t="s">
        <v>1187</v>
      </c>
      <c r="CG1070" s="476" t="s">
        <v>1187</v>
      </c>
      <c r="CH1070" s="476" t="s">
        <v>1187</v>
      </c>
      <c r="CI1070" s="476" t="s">
        <v>1187</v>
      </c>
      <c r="CJ1070" s="476" t="s">
        <v>1187</v>
      </c>
      <c r="CK1070" s="476" t="s">
        <v>1187</v>
      </c>
      <c r="CL1070" s="476" t="s">
        <v>1187</v>
      </c>
      <c r="CM1070" s="476" t="str">
        <f>IF(VLOOKUP(BS1070,'Données par municipalité'!$B$6:$E$1113,4,FALSE)="","non","oui")</f>
        <v>non</v>
      </c>
      <c r="CN1070" s="410" t="s">
        <v>1124</v>
      </c>
      <c r="CO1070" s="410" t="s">
        <v>1124</v>
      </c>
      <c r="CP1070" s="410"/>
      <c r="CQ1070" s="410"/>
      <c r="CR1070" s="410"/>
      <c r="CS1070" s="410" t="s">
        <v>1124</v>
      </c>
      <c r="CT1070" s="410"/>
      <c r="CU1070" s="410" t="s">
        <v>1124</v>
      </c>
      <c r="CV1070" s="410" t="str">
        <f>IF(VLOOKUP(BS1070,'Données par municipalité'!$B$6:$F$1113,4,FALSE)="","",VLOOKUP(BS1070,'Données par municipalité'!$B$6:$F$1113,4,FALSE))</f>
        <v/>
      </c>
      <c r="CW1070" s="476" t="s">
        <v>4723</v>
      </c>
      <c r="CX1070" s="483" t="s">
        <v>1124</v>
      </c>
      <c r="CY1070" s="483" t="s">
        <v>1124</v>
      </c>
      <c r="CZ1070" s="483" t="s">
        <v>1124</v>
      </c>
      <c r="DA1070" s="483" t="s">
        <v>1124</v>
      </c>
      <c r="DB1070" s="483" t="s">
        <v>1124</v>
      </c>
      <c r="DC1070" s="483" t="s">
        <v>1124</v>
      </c>
      <c r="DD1070" s="483" t="s">
        <v>1124</v>
      </c>
      <c r="DE1070" s="483" t="str">
        <f>IFERROR(SUM(VLOOKUP($BS1070,'État &amp; Plan d''action'!$B$6:$Z$1113,18,FALSE),VLOOKUP($BS1070,'État &amp; Plan d''action'!$B$6:$Z$1113,20,FALSE))/(VLOOKUP($BS1070,'Données par municipalité'!$B$4:$L$1113,11,FALSE)),"")</f>
        <v/>
      </c>
      <c r="DF1070" s="483" t="str">
        <f>IFERROR(SUM(VLOOKUP($BS1070,'État &amp; Plan d''action'!$B$6:$Z$1113,19,FALSE),VLOOKUP($BS1070,'État &amp; Plan d''action'!$B$6:$Z$1113,21,FALSE))/(VLOOKUP($BS1070,'Données par municipalité'!$B$4:$L$1113,11,FALSE)),"")</f>
        <v/>
      </c>
      <c r="DG1070" s="476" t="s">
        <v>4723</v>
      </c>
      <c r="DH1070" s="484" t="s">
        <v>1124</v>
      </c>
      <c r="DI1070" s="484" t="s">
        <v>1124</v>
      </c>
      <c r="DJ1070" s="484">
        <v>0</v>
      </c>
      <c r="DK1070" s="484">
        <v>0</v>
      </c>
      <c r="DL1070" s="484" t="s">
        <v>1124</v>
      </c>
      <c r="DM1070" s="484" t="s">
        <v>1124</v>
      </c>
      <c r="DN1070" s="484" t="s">
        <v>1124</v>
      </c>
      <c r="DO1070" s="484" t="s">
        <v>1124</v>
      </c>
      <c r="DP1070" s="484" t="s">
        <v>1124</v>
      </c>
      <c r="DQ1070" s="484" t="str">
        <f>IF(VLOOKUP($BS1070,'État &amp; Plan d''action'!$B$6:$AJ$1113,28,FALSE)="","",VLOOKUP($BS1070,'État &amp; Plan d''action'!$B$6:$AJ$1113,28,FALSE))</f>
        <v/>
      </c>
      <c r="DR1070" s="70" t="str">
        <f>IF(VLOOKUP($BS1070,'État &amp; Plan d''action'!$B$6:$AJ$1113,29,FALSE)="","",VLOOKUP($BS1070,'État &amp; Plan d''action'!$B$6:$AJ$1113,29,FALSE))</f>
        <v/>
      </c>
      <c r="DS1070" s="70" t="str">
        <f>IF(VLOOKUP($BS1070,'État &amp; Plan d''action'!$B$6:$AJ$1113,30,FALSE)="","",VLOOKUP($BS1070,'État &amp; Plan d''action'!$B$6:$AJ$1113,30,FALSE))</f>
        <v/>
      </c>
      <c r="DT1070" s="70" t="s">
        <v>1124</v>
      </c>
      <c r="DU1070" s="485" t="s">
        <v>1124</v>
      </c>
      <c r="DV1070" s="485" t="s">
        <v>1124</v>
      </c>
      <c r="DW1070" s="70" t="s">
        <v>1124</v>
      </c>
      <c r="DX1070" s="70" t="s">
        <v>1124</v>
      </c>
      <c r="DY1070" s="70" t="s">
        <v>1124</v>
      </c>
      <c r="DZ1070" s="70" t="str">
        <f>VLOOKUP($BS1070,'État &amp; Plan d''action'!$B$6:$AH$1113,31,FALSE)</f>
        <v/>
      </c>
      <c r="EA1070" s="70" t="str">
        <f>VLOOKUP($BS1070,'État &amp; Plan d''action'!$B$6:$AH$1113,32,FALSE)</f>
        <v/>
      </c>
      <c r="EB1070" s="70" t="str">
        <f>VLOOKUP($BS1070,'État &amp; Plan d''action'!$B$6:$AH$1113,33,FALSE)</f>
        <v/>
      </c>
      <c r="EC1070" s="70" t="s">
        <v>1124</v>
      </c>
      <c r="ED1070" s="70" t="s">
        <v>1124</v>
      </c>
      <c r="EE1070" s="70" t="s">
        <v>1124</v>
      </c>
      <c r="EF1070" s="70" t="s">
        <v>1124</v>
      </c>
      <c r="EG1070" s="70" t="s">
        <v>1124</v>
      </c>
      <c r="EH1070" s="72"/>
      <c r="EI1070" s="72">
        <v>1263</v>
      </c>
    </row>
    <row r="1071" spans="71:139" x14ac:dyDescent="0.35">
      <c r="BS1071" s="486">
        <v>71125</v>
      </c>
      <c r="BT1071" s="479" t="s">
        <v>724</v>
      </c>
      <c r="BU1071" s="479">
        <v>16</v>
      </c>
      <c r="BV1071" s="476" t="s">
        <v>1188</v>
      </c>
      <c r="BW1071" s="476" t="s">
        <v>1188</v>
      </c>
      <c r="BX1071" s="476" t="s">
        <v>1188</v>
      </c>
      <c r="BY1071" s="476" t="s">
        <v>1188</v>
      </c>
      <c r="BZ1071" s="476" t="s">
        <v>1188</v>
      </c>
      <c r="CA1071" s="476" t="s">
        <v>1188</v>
      </c>
      <c r="CB1071" s="476" t="s">
        <v>1188</v>
      </c>
      <c r="CC1071" s="476" t="s">
        <v>1188</v>
      </c>
      <c r="CD1071" s="476" t="s">
        <v>1188</v>
      </c>
      <c r="CE1071" s="476" t="s">
        <v>1188</v>
      </c>
      <c r="CF1071" s="476" t="s">
        <v>1188</v>
      </c>
      <c r="CG1071" s="476" t="s">
        <v>1188</v>
      </c>
      <c r="CH1071" s="476" t="s">
        <v>1188</v>
      </c>
      <c r="CI1071" s="476" t="s">
        <v>1188</v>
      </c>
      <c r="CJ1071" s="476" t="s">
        <v>1187</v>
      </c>
      <c r="CK1071" s="476" t="s">
        <v>1187</v>
      </c>
      <c r="CL1071" s="476" t="s">
        <v>1187</v>
      </c>
      <c r="CM1071" s="476" t="str">
        <f>IF(VLOOKUP(BS1071,'Données par municipalité'!$B$6:$E$1113,4,FALSE)="","non","oui")</f>
        <v>non</v>
      </c>
      <c r="CN1071" s="410">
        <v>544.03759126625403</v>
      </c>
      <c r="CO1071" s="410">
        <v>503.28767406502669</v>
      </c>
      <c r="CP1071" s="410">
        <v>484.99794356244951</v>
      </c>
      <c r="CQ1071" s="410">
        <v>489.44437441106425</v>
      </c>
      <c r="CR1071" s="410">
        <v>480.78946824079395</v>
      </c>
      <c r="CS1071" s="410" t="s">
        <v>1124</v>
      </c>
      <c r="CT1071" s="410"/>
      <c r="CU1071" s="410" t="s">
        <v>1124</v>
      </c>
      <c r="CV1071" s="410" t="str">
        <f>IF(VLOOKUP(BS1071,'Données par municipalité'!$B$6:$F$1113,4,FALSE)="","",VLOOKUP(BS1071,'Données par municipalité'!$B$6:$F$1113,4,FALSE))</f>
        <v/>
      </c>
      <c r="CW1071" s="476" t="s">
        <v>4723</v>
      </c>
      <c r="CX1071" s="483" t="s">
        <v>1124</v>
      </c>
      <c r="CY1071" s="483">
        <v>0</v>
      </c>
      <c r="CZ1071" s="483">
        <v>0</v>
      </c>
      <c r="DA1071" s="483">
        <v>0</v>
      </c>
      <c r="DB1071" s="483" t="s">
        <v>1124</v>
      </c>
      <c r="DC1071" s="483" t="s">
        <v>1124</v>
      </c>
      <c r="DD1071" s="483" t="s">
        <v>1124</v>
      </c>
      <c r="DE1071" s="483" t="str">
        <f>IFERROR(SUM(VLOOKUP($BS1071,'État &amp; Plan d''action'!$B$6:$Z$1113,18,FALSE),VLOOKUP($BS1071,'État &amp; Plan d''action'!$B$6:$Z$1113,20,FALSE))/(VLOOKUP($BS1071,'Données par municipalité'!$B$4:$L$1113,11,FALSE)),"")</f>
        <v/>
      </c>
      <c r="DF1071" s="483" t="str">
        <f>IFERROR(SUM(VLOOKUP($BS1071,'État &amp; Plan d''action'!$B$6:$Z$1113,19,FALSE),VLOOKUP($BS1071,'État &amp; Plan d''action'!$B$6:$Z$1113,21,FALSE))/(VLOOKUP($BS1071,'Données par municipalité'!$B$4:$L$1113,11,FALSE)),"")</f>
        <v/>
      </c>
      <c r="DG1071" s="476" t="s">
        <v>4723</v>
      </c>
      <c r="DH1071" s="484" t="s">
        <v>1124</v>
      </c>
      <c r="DI1071" s="484" t="s">
        <v>1124</v>
      </c>
      <c r="DJ1071" s="484">
        <v>0</v>
      </c>
      <c r="DK1071" s="484">
        <v>0</v>
      </c>
      <c r="DL1071" s="484" t="s">
        <v>1124</v>
      </c>
      <c r="DM1071" s="484" t="s">
        <v>1124</v>
      </c>
      <c r="DN1071" s="484" t="s">
        <v>1124</v>
      </c>
      <c r="DO1071" s="484" t="s">
        <v>1124</v>
      </c>
      <c r="DP1071" s="484" t="s">
        <v>1124</v>
      </c>
      <c r="DQ1071" s="484" t="str">
        <f>IF(VLOOKUP($BS1071,'État &amp; Plan d''action'!$B$6:$AJ$1113,28,FALSE)="","",VLOOKUP($BS1071,'État &amp; Plan d''action'!$B$6:$AJ$1113,28,FALSE))</f>
        <v/>
      </c>
      <c r="DR1071" s="70" t="str">
        <f>IF(VLOOKUP($BS1071,'État &amp; Plan d''action'!$B$6:$AJ$1113,29,FALSE)="","",VLOOKUP($BS1071,'État &amp; Plan d''action'!$B$6:$AJ$1113,29,FALSE))</f>
        <v/>
      </c>
      <c r="DS1071" s="70" t="str">
        <f>IF(VLOOKUP($BS1071,'État &amp; Plan d''action'!$B$6:$AJ$1113,30,FALSE)="","",VLOOKUP($BS1071,'État &amp; Plan d''action'!$B$6:$AJ$1113,30,FALSE))</f>
        <v/>
      </c>
      <c r="DT1071" s="70" t="s">
        <v>1124</v>
      </c>
      <c r="DU1071" s="485" t="s">
        <v>1124</v>
      </c>
      <c r="DV1071" s="485" t="s">
        <v>1124</v>
      </c>
      <c r="DW1071" s="70" t="s">
        <v>1124</v>
      </c>
      <c r="DX1071" s="70" t="s">
        <v>1124</v>
      </c>
      <c r="DY1071" s="70" t="s">
        <v>1124</v>
      </c>
      <c r="DZ1071" s="70" t="str">
        <f>VLOOKUP($BS1071,'État &amp; Plan d''action'!$B$6:$AH$1113,31,FALSE)</f>
        <v/>
      </c>
      <c r="EA1071" s="70" t="str">
        <f>VLOOKUP($BS1071,'État &amp; Plan d''action'!$B$6:$AH$1113,32,FALSE)</f>
        <v/>
      </c>
      <c r="EB1071" s="70" t="str">
        <f>VLOOKUP($BS1071,'État &amp; Plan d''action'!$B$6:$AH$1113,33,FALSE)</f>
        <v/>
      </c>
      <c r="EC1071" s="70" t="s">
        <v>1124</v>
      </c>
      <c r="ED1071" s="70" t="s">
        <v>1124</v>
      </c>
      <c r="EE1071" s="70" t="s">
        <v>1124</v>
      </c>
      <c r="EF1071" s="70" t="s">
        <v>1124</v>
      </c>
      <c r="EG1071" s="70" t="s">
        <v>1124</v>
      </c>
      <c r="EH1071" s="72"/>
      <c r="EI1071" s="72">
        <v>967</v>
      </c>
    </row>
    <row r="1072" spans="71:139" x14ac:dyDescent="0.35">
      <c r="BS1072" s="486">
        <v>69030</v>
      </c>
      <c r="BT1072" s="479" t="s">
        <v>688</v>
      </c>
      <c r="BU1072" s="479">
        <v>16</v>
      </c>
      <c r="BV1072" s="476" t="s">
        <v>1188</v>
      </c>
      <c r="BW1072" s="476" t="s">
        <v>1188</v>
      </c>
      <c r="BX1072" s="476" t="s">
        <v>1188</v>
      </c>
      <c r="BY1072" s="476" t="s">
        <v>1188</v>
      </c>
      <c r="BZ1072" s="476" t="s">
        <v>1188</v>
      </c>
      <c r="CA1072" s="476" t="s">
        <v>1188</v>
      </c>
      <c r="CB1072" s="476" t="s">
        <v>1188</v>
      </c>
      <c r="CC1072" s="476" t="s">
        <v>1188</v>
      </c>
      <c r="CD1072" s="476" t="s">
        <v>1188</v>
      </c>
      <c r="CE1072" s="476" t="s">
        <v>1188</v>
      </c>
      <c r="CF1072" s="476" t="s">
        <v>1188</v>
      </c>
      <c r="CG1072" s="476" t="s">
        <v>1187</v>
      </c>
      <c r="CH1072" s="476" t="s">
        <v>1188</v>
      </c>
      <c r="CI1072" s="476" t="s">
        <v>1188</v>
      </c>
      <c r="CJ1072" s="476" t="s">
        <v>1187</v>
      </c>
      <c r="CK1072" s="476" t="s">
        <v>1187</v>
      </c>
      <c r="CL1072" s="476" t="s">
        <v>1187</v>
      </c>
      <c r="CM1072" s="476" t="str">
        <f>IF(VLOOKUP(BS1072,'Données par municipalité'!$B$6:$E$1113,4,FALSE)="","non","oui")</f>
        <v>non</v>
      </c>
      <c r="CN1072" s="410">
        <v>769.76193657715874</v>
      </c>
      <c r="CO1072" s="410">
        <v>574.54941999808261</v>
      </c>
      <c r="CP1072" s="410"/>
      <c r="CQ1072" s="410">
        <v>794.35922766606029</v>
      </c>
      <c r="CR1072" s="410">
        <v>946.12074742890491</v>
      </c>
      <c r="CS1072" s="410" t="s">
        <v>1124</v>
      </c>
      <c r="CT1072" s="410"/>
      <c r="CU1072" s="410" t="s">
        <v>1124</v>
      </c>
      <c r="CV1072" s="410" t="str">
        <f>IF(VLOOKUP(BS1072,'Données par municipalité'!$B$6:$F$1113,4,FALSE)="","",VLOOKUP(BS1072,'Données par municipalité'!$B$6:$F$1113,4,FALSE))</f>
        <v/>
      </c>
      <c r="CW1072" s="476" t="s">
        <v>4723</v>
      </c>
      <c r="CX1072" s="483" t="s">
        <v>1124</v>
      </c>
      <c r="CY1072" s="483" t="s">
        <v>1124</v>
      </c>
      <c r="CZ1072" s="483">
        <v>0</v>
      </c>
      <c r="DA1072" s="483">
        <v>0</v>
      </c>
      <c r="DB1072" s="483" t="s">
        <v>1124</v>
      </c>
      <c r="DC1072" s="483" t="s">
        <v>1124</v>
      </c>
      <c r="DD1072" s="483" t="s">
        <v>1124</v>
      </c>
      <c r="DE1072" s="483" t="str">
        <f>IFERROR(SUM(VLOOKUP($BS1072,'État &amp; Plan d''action'!$B$6:$Z$1113,18,FALSE),VLOOKUP($BS1072,'État &amp; Plan d''action'!$B$6:$Z$1113,20,FALSE))/(VLOOKUP($BS1072,'Données par municipalité'!$B$4:$L$1113,11,FALSE)),"")</f>
        <v/>
      </c>
      <c r="DF1072" s="483" t="str">
        <f>IFERROR(SUM(VLOOKUP($BS1072,'État &amp; Plan d''action'!$B$6:$Z$1113,19,FALSE),VLOOKUP($BS1072,'État &amp; Plan d''action'!$B$6:$Z$1113,21,FALSE))/(VLOOKUP($BS1072,'Données par municipalité'!$B$4:$L$1113,11,FALSE)),"")</f>
        <v/>
      </c>
      <c r="DG1072" s="476" t="s">
        <v>4723</v>
      </c>
      <c r="DH1072" s="484" t="s">
        <v>1124</v>
      </c>
      <c r="DI1072" s="484" t="s">
        <v>1124</v>
      </c>
      <c r="DJ1072" s="484">
        <v>0</v>
      </c>
      <c r="DK1072" s="484">
        <v>0</v>
      </c>
      <c r="DL1072" s="484" t="s">
        <v>1124</v>
      </c>
      <c r="DM1072" s="484" t="s">
        <v>1124</v>
      </c>
      <c r="DN1072" s="484" t="s">
        <v>1124</v>
      </c>
      <c r="DO1072" s="484" t="s">
        <v>1124</v>
      </c>
      <c r="DP1072" s="484" t="s">
        <v>1124</v>
      </c>
      <c r="DQ1072" s="484" t="str">
        <f>IF(VLOOKUP($BS1072,'État &amp; Plan d''action'!$B$6:$AJ$1113,28,FALSE)="","",VLOOKUP($BS1072,'État &amp; Plan d''action'!$B$6:$AJ$1113,28,FALSE))</f>
        <v/>
      </c>
      <c r="DR1072" s="70" t="str">
        <f>IF(VLOOKUP($BS1072,'État &amp; Plan d''action'!$B$6:$AJ$1113,29,FALSE)="","",VLOOKUP($BS1072,'État &amp; Plan d''action'!$B$6:$AJ$1113,29,FALSE))</f>
        <v/>
      </c>
      <c r="DS1072" s="70" t="str">
        <f>IF(VLOOKUP($BS1072,'État &amp; Plan d''action'!$B$6:$AJ$1113,30,FALSE)="","",VLOOKUP($BS1072,'État &amp; Plan d''action'!$B$6:$AJ$1113,30,FALSE))</f>
        <v/>
      </c>
      <c r="DT1072" s="70" t="s">
        <v>1124</v>
      </c>
      <c r="DU1072" s="485" t="s">
        <v>1124</v>
      </c>
      <c r="DV1072" s="485" t="s">
        <v>1124</v>
      </c>
      <c r="DW1072" s="70" t="s">
        <v>1124</v>
      </c>
      <c r="DX1072" s="70" t="s">
        <v>1124</v>
      </c>
      <c r="DY1072" s="70" t="s">
        <v>1124</v>
      </c>
      <c r="DZ1072" s="70" t="str">
        <f>VLOOKUP($BS1072,'État &amp; Plan d''action'!$B$6:$AH$1113,31,FALSE)</f>
        <v/>
      </c>
      <c r="EA1072" s="70" t="str">
        <f>VLOOKUP($BS1072,'État &amp; Plan d''action'!$B$6:$AH$1113,32,FALSE)</f>
        <v/>
      </c>
      <c r="EB1072" s="70" t="str">
        <f>VLOOKUP($BS1072,'État &amp; Plan d''action'!$B$6:$AH$1113,33,FALSE)</f>
        <v/>
      </c>
      <c r="EC1072" s="70" t="s">
        <v>1124</v>
      </c>
      <c r="ED1072" s="70" t="s">
        <v>1124</v>
      </c>
      <c r="EE1072" s="70" t="s">
        <v>1124</v>
      </c>
      <c r="EF1072" s="70" t="s">
        <v>1124</v>
      </c>
      <c r="EG1072" s="70" t="s">
        <v>1124</v>
      </c>
      <c r="EH1072" s="72"/>
      <c r="EI1072" s="72">
        <v>1229</v>
      </c>
    </row>
    <row r="1073" spans="71:139" x14ac:dyDescent="0.35">
      <c r="BS1073" s="486">
        <v>27060</v>
      </c>
      <c r="BT1073" s="479" t="s">
        <v>185</v>
      </c>
      <c r="BU1073" s="479">
        <v>12</v>
      </c>
      <c r="BV1073" s="476" t="s">
        <v>1187</v>
      </c>
      <c r="BW1073" s="476" t="s">
        <v>1187</v>
      </c>
      <c r="BX1073" s="476" t="s">
        <v>1187</v>
      </c>
      <c r="BY1073" s="476" t="s">
        <v>1187</v>
      </c>
      <c r="BZ1073" s="476" t="s">
        <v>1187</v>
      </c>
      <c r="CA1073" s="476" t="s">
        <v>1187</v>
      </c>
      <c r="CB1073" s="476" t="s">
        <v>1187</v>
      </c>
      <c r="CC1073" s="476" t="s">
        <v>1187</v>
      </c>
      <c r="CD1073" s="476" t="s">
        <v>1187</v>
      </c>
      <c r="CE1073" s="476" t="s">
        <v>1188</v>
      </c>
      <c r="CF1073" s="476" t="s">
        <v>1188</v>
      </c>
      <c r="CG1073" s="476" t="s">
        <v>1188</v>
      </c>
      <c r="CH1073" s="476" t="s">
        <v>1188</v>
      </c>
      <c r="CI1073" s="476" t="s">
        <v>1188</v>
      </c>
      <c r="CJ1073" s="476" t="s">
        <v>1188</v>
      </c>
      <c r="CK1073" s="476" t="s">
        <v>1188</v>
      </c>
      <c r="CL1073" s="476" t="s">
        <v>1188</v>
      </c>
      <c r="CM1073" s="476" t="str">
        <f>IF(VLOOKUP(BS1073,'Données par municipalité'!$B$6:$E$1113,4,FALSE)="","non","oui")</f>
        <v>oui</v>
      </c>
      <c r="CN1073" s="410">
        <v>380.46196241005538</v>
      </c>
      <c r="CO1073" s="410">
        <v>376.14035647489152</v>
      </c>
      <c r="CP1073" s="410">
        <v>332.3013420962418</v>
      </c>
      <c r="CQ1073" s="410">
        <v>336.96086693790562</v>
      </c>
      <c r="CR1073" s="410">
        <v>348.14022466340435</v>
      </c>
      <c r="CS1073" s="410">
        <v>283.60600090414385</v>
      </c>
      <c r="CT1073" s="410">
        <v>305.96905909684227</v>
      </c>
      <c r="CU1073" s="410">
        <v>229</v>
      </c>
      <c r="CV1073" s="410">
        <f>IF(VLOOKUP(BS1073,'Données par municipalité'!$B$6:$F$1113,4,FALSE)="","",VLOOKUP(BS1073,'Données par municipalité'!$B$6:$F$1113,4,FALSE))</f>
        <v>316</v>
      </c>
      <c r="CW1073" s="476" t="s">
        <v>4723</v>
      </c>
      <c r="CX1073" s="483">
        <v>1</v>
      </c>
      <c r="CY1073" s="483">
        <v>0.1</v>
      </c>
      <c r="CZ1073" s="483">
        <v>0.1</v>
      </c>
      <c r="DA1073" s="483">
        <v>1</v>
      </c>
      <c r="DB1073" s="483">
        <v>1</v>
      </c>
      <c r="DC1073" s="483">
        <v>1</v>
      </c>
      <c r="DD1073" s="483">
        <v>0</v>
      </c>
      <c r="DE1073" s="483">
        <f>IFERROR(SUM(VLOOKUP($BS1073,'État &amp; Plan d''action'!$B$6:$Z$1113,18,FALSE),VLOOKUP($BS1073,'État &amp; Plan d''action'!$B$6:$Z$1113,20,FALSE))/(VLOOKUP($BS1073,'Données par municipalité'!$B$4:$L$1113,11,FALSE)),"")</f>
        <v>1</v>
      </c>
      <c r="DF1073" s="483">
        <f>IFERROR(SUM(VLOOKUP($BS1073,'État &amp; Plan d''action'!$B$6:$Z$1113,19,FALSE),VLOOKUP($BS1073,'État &amp; Plan d''action'!$B$6:$Z$1113,21,FALSE))/(VLOOKUP($BS1073,'Données par municipalité'!$B$4:$L$1113,11,FALSE)),"")</f>
        <v>1</v>
      </c>
      <c r="DG1073" s="476" t="s">
        <v>4723</v>
      </c>
      <c r="DH1073" s="484">
        <v>7</v>
      </c>
      <c r="DI1073" s="484">
        <v>4</v>
      </c>
      <c r="DJ1073" s="484">
        <v>7</v>
      </c>
      <c r="DK1073" s="484">
        <v>1</v>
      </c>
      <c r="DL1073" s="484">
        <v>2</v>
      </c>
      <c r="DM1073" s="484">
        <v>3</v>
      </c>
      <c r="DN1073" s="484">
        <v>1</v>
      </c>
      <c r="DO1073" s="484">
        <v>0</v>
      </c>
      <c r="DP1073" s="484">
        <v>0</v>
      </c>
      <c r="DQ1073" s="484">
        <f>IF(VLOOKUP($BS1073,'État &amp; Plan d''action'!$B$6:$AJ$1113,28,FALSE)="","",VLOOKUP($BS1073,'État &amp; Plan d''action'!$B$6:$AJ$1113,28,FALSE))</f>
        <v>1</v>
      </c>
      <c r="DR1073" s="70">
        <f>IF(VLOOKUP($BS1073,'État &amp; Plan d''action'!$B$6:$AJ$1113,29,FALSE)="","",VLOOKUP($BS1073,'État &amp; Plan d''action'!$B$6:$AJ$1113,29,FALSE))</f>
        <v>0</v>
      </c>
      <c r="DS1073" s="70">
        <f>IF(VLOOKUP($BS1073,'État &amp; Plan d''action'!$B$6:$AJ$1113,30,FALSE)="","",VLOOKUP($BS1073,'État &amp; Plan d''action'!$B$6:$AJ$1113,30,FALSE))</f>
        <v>1</v>
      </c>
      <c r="DT1073" s="70">
        <v>201</v>
      </c>
      <c r="DU1073" s="485">
        <v>0.72347318707746733</v>
      </c>
      <c r="DV1073" s="485">
        <v>6.0264236181412887</v>
      </c>
      <c r="DW1073" s="70">
        <v>3</v>
      </c>
      <c r="DX1073" s="70">
        <v>3</v>
      </c>
      <c r="DY1073" s="70">
        <v>3</v>
      </c>
      <c r="DZ1073" s="70">
        <f>VLOOKUP($BS1073,'État &amp; Plan d''action'!$B$6:$AH$1113,31,FALSE)</f>
        <v>1</v>
      </c>
      <c r="EA1073" s="70">
        <f>VLOOKUP($BS1073,'État &amp; Plan d''action'!$B$6:$AH$1113,32,FALSE)</f>
        <v>0</v>
      </c>
      <c r="EB1073" s="70">
        <f>VLOOKUP($BS1073,'État &amp; Plan d''action'!$B$6:$AH$1113,33,FALSE)</f>
        <v>1</v>
      </c>
      <c r="EC1073" s="70">
        <v>20.6</v>
      </c>
      <c r="ED1073" s="70">
        <v>0</v>
      </c>
      <c r="EE1073" s="70">
        <v>0</v>
      </c>
      <c r="EF1073" s="70">
        <v>0</v>
      </c>
      <c r="EG1073" s="70">
        <v>0</v>
      </c>
      <c r="EH1073" s="72">
        <v>62</v>
      </c>
      <c r="EI1073" s="72">
        <v>1412</v>
      </c>
    </row>
    <row r="1074" spans="71:139" x14ac:dyDescent="0.35">
      <c r="BS1074" s="486">
        <v>11040</v>
      </c>
      <c r="BT1074" s="479" t="s">
        <v>24</v>
      </c>
      <c r="BU1074" s="479">
        <v>1</v>
      </c>
      <c r="BV1074" s="476" t="s">
        <v>1187</v>
      </c>
      <c r="BW1074" s="476" t="s">
        <v>1187</v>
      </c>
      <c r="BX1074" s="476" t="s">
        <v>1187</v>
      </c>
      <c r="BY1074" s="476" t="s">
        <v>1187</v>
      </c>
      <c r="BZ1074" s="476" t="s">
        <v>1187</v>
      </c>
      <c r="CA1074" s="476" t="s">
        <v>1187</v>
      </c>
      <c r="CB1074" s="476" t="s">
        <v>1187</v>
      </c>
      <c r="CC1074" s="476" t="s">
        <v>1187</v>
      </c>
      <c r="CD1074" s="476" t="s">
        <v>1187</v>
      </c>
      <c r="CE1074" s="476" t="s">
        <v>1188</v>
      </c>
      <c r="CF1074" s="476" t="s">
        <v>1188</v>
      </c>
      <c r="CG1074" s="476" t="s">
        <v>1188</v>
      </c>
      <c r="CH1074" s="476" t="s">
        <v>1188</v>
      </c>
      <c r="CI1074" s="476" t="s">
        <v>1188</v>
      </c>
      <c r="CJ1074" s="476" t="s">
        <v>1188</v>
      </c>
      <c r="CK1074" s="476" t="s">
        <v>1188</v>
      </c>
      <c r="CL1074" s="476" t="s">
        <v>1187</v>
      </c>
      <c r="CM1074" s="476" t="str">
        <f>IF(VLOOKUP(BS1074,'Données par municipalité'!$B$6:$E$1113,4,FALSE)="","non","oui")</f>
        <v>oui</v>
      </c>
      <c r="CN1074" s="410">
        <v>556.62626581489815</v>
      </c>
      <c r="CO1074" s="410">
        <v>439.29711294865189</v>
      </c>
      <c r="CP1074" s="410">
        <v>479.49201953990581</v>
      </c>
      <c r="CQ1074" s="410">
        <v>572.86356860941692</v>
      </c>
      <c r="CR1074" s="410">
        <v>455.1460770191332</v>
      </c>
      <c r="CS1074" s="410">
        <v>490.25074950290946</v>
      </c>
      <c r="CT1074" s="410">
        <v>413.55625650499229</v>
      </c>
      <c r="CU1074" s="410" t="s">
        <v>1124</v>
      </c>
      <c r="CV1074" s="410">
        <f>IF(VLOOKUP(BS1074,'Données par municipalité'!$B$6:$F$1113,4,FALSE)="","",VLOOKUP(BS1074,'Données par municipalité'!$B$6:$F$1113,4,FALSE))</f>
        <v>380</v>
      </c>
      <c r="CW1074" s="476" t="s">
        <v>4723</v>
      </c>
      <c r="CX1074" s="483">
        <v>0</v>
      </c>
      <c r="CY1074" s="483">
        <v>0</v>
      </c>
      <c r="CZ1074" s="483">
        <v>0</v>
      </c>
      <c r="DA1074" s="483">
        <v>1</v>
      </c>
      <c r="DB1074" s="483">
        <v>1</v>
      </c>
      <c r="DC1074" s="483">
        <v>1</v>
      </c>
      <c r="DD1074" s="483" t="s">
        <v>1124</v>
      </c>
      <c r="DE1074" s="483">
        <f>IFERROR(SUM(VLOOKUP($BS1074,'État &amp; Plan d''action'!$B$6:$Z$1113,18,FALSE),VLOOKUP($BS1074,'État &amp; Plan d''action'!$B$6:$Z$1113,20,FALSE))/(VLOOKUP($BS1074,'Données par municipalité'!$B$4:$L$1113,11,FALSE)),"")</f>
        <v>1</v>
      </c>
      <c r="DF1074" s="483">
        <f>IFERROR(SUM(VLOOKUP($BS1074,'État &amp; Plan d''action'!$B$6:$Z$1113,19,FALSE),VLOOKUP($BS1074,'État &amp; Plan d''action'!$B$6:$Z$1113,21,FALSE))/(VLOOKUP($BS1074,'Données par municipalité'!$B$4:$L$1113,11,FALSE)),"")</f>
        <v>1</v>
      </c>
      <c r="DG1074" s="476" t="s">
        <v>4723</v>
      </c>
      <c r="DH1074" s="484">
        <v>3</v>
      </c>
      <c r="DI1074" s="484">
        <v>7</v>
      </c>
      <c r="DJ1074" s="484">
        <v>11</v>
      </c>
      <c r="DK1074" s="484">
        <v>3</v>
      </c>
      <c r="DL1074" s="484">
        <v>1</v>
      </c>
      <c r="DM1074" s="484">
        <v>6</v>
      </c>
      <c r="DN1074" s="484" t="s">
        <v>1124</v>
      </c>
      <c r="DO1074" s="484" t="s">
        <v>1124</v>
      </c>
      <c r="DP1074" s="484" t="s">
        <v>1124</v>
      </c>
      <c r="DQ1074" s="484">
        <f>IF(VLOOKUP($BS1074,'État &amp; Plan d''action'!$B$6:$AJ$1113,28,FALSE)="","",VLOOKUP($BS1074,'État &amp; Plan d''action'!$B$6:$AJ$1113,28,FALSE))</f>
        <v>7</v>
      </c>
      <c r="DR1074" s="70">
        <f>IF(VLOOKUP($BS1074,'État &amp; Plan d''action'!$B$6:$AJ$1113,29,FALSE)="","",VLOOKUP($BS1074,'État &amp; Plan d''action'!$B$6:$AJ$1113,29,FALSE))</f>
        <v>0</v>
      </c>
      <c r="DS1074" s="70">
        <f>IF(VLOOKUP($BS1074,'État &amp; Plan d''action'!$B$6:$AJ$1113,30,FALSE)="","",VLOOKUP($BS1074,'État &amp; Plan d''action'!$B$6:$AJ$1113,30,FALSE))</f>
        <v>0</v>
      </c>
      <c r="DT1074" s="70" t="s">
        <v>1124</v>
      </c>
      <c r="DU1074" s="485" t="s">
        <v>1124</v>
      </c>
      <c r="DV1074" s="485">
        <v>2.3774073131870437</v>
      </c>
      <c r="DW1074" s="70" t="s">
        <v>1124</v>
      </c>
      <c r="DX1074" s="70" t="s">
        <v>1124</v>
      </c>
      <c r="DY1074" s="70" t="s">
        <v>1124</v>
      </c>
      <c r="DZ1074" s="70">
        <f>VLOOKUP($BS1074,'État &amp; Plan d''action'!$B$6:$AH$1113,31,FALSE)</f>
        <v>1</v>
      </c>
      <c r="EA1074" s="70">
        <f>VLOOKUP($BS1074,'État &amp; Plan d''action'!$B$6:$AH$1113,32,FALSE)</f>
        <v>0</v>
      </c>
      <c r="EB1074" s="70">
        <f>VLOOKUP($BS1074,'État &amp; Plan d''action'!$B$6:$AH$1113,33,FALSE)</f>
        <v>0</v>
      </c>
      <c r="EC1074" s="70" t="s">
        <v>1124</v>
      </c>
      <c r="ED1074" s="70" t="s">
        <v>1124</v>
      </c>
      <c r="EE1074" s="70" t="s">
        <v>1124</v>
      </c>
      <c r="EF1074" s="70" t="s">
        <v>1124</v>
      </c>
      <c r="EG1074" s="70" t="s">
        <v>1124</v>
      </c>
      <c r="EH1074" s="72"/>
      <c r="EI1074" s="72">
        <v>3211</v>
      </c>
    </row>
    <row r="1075" spans="71:139" x14ac:dyDescent="0.35">
      <c r="BS1075" s="486">
        <v>35055</v>
      </c>
      <c r="BT1075" s="479" t="s">
        <v>312</v>
      </c>
      <c r="BU1075" s="479">
        <v>4</v>
      </c>
      <c r="BV1075" s="476" t="s">
        <v>1188</v>
      </c>
      <c r="BW1075" s="476" t="s">
        <v>1188</v>
      </c>
      <c r="BX1075" s="476" t="s">
        <v>1188</v>
      </c>
      <c r="BY1075" s="476" t="s">
        <v>1188</v>
      </c>
      <c r="BZ1075" s="476" t="s">
        <v>1188</v>
      </c>
      <c r="CA1075" s="476" t="s">
        <v>1188</v>
      </c>
      <c r="CB1075" s="476" t="s">
        <v>1188</v>
      </c>
      <c r="CC1075" s="476" t="s">
        <v>1188</v>
      </c>
      <c r="CD1075" s="476" t="s">
        <v>1188</v>
      </c>
      <c r="CE1075" s="476" t="s">
        <v>1187</v>
      </c>
      <c r="CF1075" s="476" t="s">
        <v>1187</v>
      </c>
      <c r="CG1075" s="476" t="s">
        <v>1187</v>
      </c>
      <c r="CH1075" s="476" t="s">
        <v>1187</v>
      </c>
      <c r="CI1075" s="476" t="s">
        <v>1187</v>
      </c>
      <c r="CJ1075" s="476" t="s">
        <v>1187</v>
      </c>
      <c r="CK1075" s="476" t="s">
        <v>1187</v>
      </c>
      <c r="CL1075" s="476" t="s">
        <v>1187</v>
      </c>
      <c r="CM1075" s="476" t="str">
        <f>IF(VLOOKUP(BS1075,'Données par municipalité'!$B$6:$E$1113,4,FALSE)="","non","oui")</f>
        <v>non</v>
      </c>
      <c r="CN1075" s="410" t="s">
        <v>1124</v>
      </c>
      <c r="CO1075" s="410" t="s">
        <v>1124</v>
      </c>
      <c r="CP1075" s="410"/>
      <c r="CQ1075" s="410"/>
      <c r="CR1075" s="410"/>
      <c r="CS1075" s="410" t="s">
        <v>1124</v>
      </c>
      <c r="CT1075" s="410"/>
      <c r="CU1075" s="410" t="s">
        <v>1124</v>
      </c>
      <c r="CV1075" s="410" t="str">
        <f>IF(VLOOKUP(BS1075,'Données par municipalité'!$B$6:$F$1113,4,FALSE)="","",VLOOKUP(BS1075,'Données par municipalité'!$B$6:$F$1113,4,FALSE))</f>
        <v/>
      </c>
      <c r="CW1075" s="476" t="s">
        <v>4723</v>
      </c>
      <c r="CX1075" s="483" t="s">
        <v>1124</v>
      </c>
      <c r="CY1075" s="483" t="s">
        <v>1124</v>
      </c>
      <c r="CZ1075" s="483" t="s">
        <v>1124</v>
      </c>
      <c r="DA1075" s="483" t="s">
        <v>1124</v>
      </c>
      <c r="DB1075" s="483" t="s">
        <v>1124</v>
      </c>
      <c r="DC1075" s="483" t="s">
        <v>1124</v>
      </c>
      <c r="DD1075" s="483" t="s">
        <v>1124</v>
      </c>
      <c r="DE1075" s="483" t="str">
        <f>IFERROR(SUM(VLOOKUP($BS1075,'État &amp; Plan d''action'!$B$6:$Z$1113,18,FALSE),VLOOKUP($BS1075,'État &amp; Plan d''action'!$B$6:$Z$1113,20,FALSE))/(VLOOKUP($BS1075,'Données par municipalité'!$B$4:$L$1113,11,FALSE)),"")</f>
        <v/>
      </c>
      <c r="DF1075" s="483" t="str">
        <f>IFERROR(SUM(VLOOKUP($BS1075,'État &amp; Plan d''action'!$B$6:$Z$1113,19,FALSE),VLOOKUP($BS1075,'État &amp; Plan d''action'!$B$6:$Z$1113,21,FALSE))/(VLOOKUP($BS1075,'Données par municipalité'!$B$4:$L$1113,11,FALSE)),"")</f>
        <v/>
      </c>
      <c r="DG1075" s="476" t="s">
        <v>4723</v>
      </c>
      <c r="DH1075" s="484" t="s">
        <v>1124</v>
      </c>
      <c r="DI1075" s="484" t="s">
        <v>1124</v>
      </c>
      <c r="DJ1075" s="484">
        <v>0</v>
      </c>
      <c r="DK1075" s="484">
        <v>0</v>
      </c>
      <c r="DL1075" s="484" t="s">
        <v>1124</v>
      </c>
      <c r="DM1075" s="484" t="s">
        <v>1124</v>
      </c>
      <c r="DN1075" s="484" t="s">
        <v>1124</v>
      </c>
      <c r="DO1075" s="484" t="s">
        <v>1124</v>
      </c>
      <c r="DP1075" s="484" t="s">
        <v>1124</v>
      </c>
      <c r="DQ1075" s="484" t="str">
        <f>IF(VLOOKUP($BS1075,'État &amp; Plan d''action'!$B$6:$AJ$1113,28,FALSE)="","",VLOOKUP($BS1075,'État &amp; Plan d''action'!$B$6:$AJ$1113,28,FALSE))</f>
        <v/>
      </c>
      <c r="DR1075" s="70" t="str">
        <f>IF(VLOOKUP($BS1075,'État &amp; Plan d''action'!$B$6:$AJ$1113,29,FALSE)="","",VLOOKUP($BS1075,'État &amp; Plan d''action'!$B$6:$AJ$1113,29,FALSE))</f>
        <v/>
      </c>
      <c r="DS1075" s="70" t="str">
        <f>IF(VLOOKUP($BS1075,'État &amp; Plan d''action'!$B$6:$AJ$1113,30,FALSE)="","",VLOOKUP($BS1075,'État &amp; Plan d''action'!$B$6:$AJ$1113,30,FALSE))</f>
        <v/>
      </c>
      <c r="DT1075" s="70" t="s">
        <v>1124</v>
      </c>
      <c r="DU1075" s="485" t="s">
        <v>1124</v>
      </c>
      <c r="DV1075" s="485" t="s">
        <v>1124</v>
      </c>
      <c r="DW1075" s="70" t="s">
        <v>1124</v>
      </c>
      <c r="DX1075" s="70" t="s">
        <v>1124</v>
      </c>
      <c r="DY1075" s="70" t="s">
        <v>1124</v>
      </c>
      <c r="DZ1075" s="70" t="str">
        <f>VLOOKUP($BS1075,'État &amp; Plan d''action'!$B$6:$AH$1113,31,FALSE)</f>
        <v/>
      </c>
      <c r="EA1075" s="70" t="str">
        <f>VLOOKUP($BS1075,'État &amp; Plan d''action'!$B$6:$AH$1113,32,FALSE)</f>
        <v/>
      </c>
      <c r="EB1075" s="70" t="str">
        <f>VLOOKUP($BS1075,'État &amp; Plan d''action'!$B$6:$AH$1113,33,FALSE)</f>
        <v/>
      </c>
      <c r="EC1075" s="70" t="s">
        <v>1124</v>
      </c>
      <c r="ED1075" s="70" t="s">
        <v>1124</v>
      </c>
      <c r="EE1075" s="70" t="s">
        <v>1124</v>
      </c>
      <c r="EF1075" s="70" t="s">
        <v>1124</v>
      </c>
      <c r="EG1075" s="70" t="s">
        <v>1124</v>
      </c>
      <c r="EH1075" s="72"/>
      <c r="EI1075" s="72">
        <v>404</v>
      </c>
    </row>
    <row r="1076" spans="71:139" x14ac:dyDescent="0.35">
      <c r="BS1076" s="486">
        <v>37067</v>
      </c>
      <c r="BT1076" s="479" t="s">
        <v>314</v>
      </c>
      <c r="BU1076" s="479">
        <v>4</v>
      </c>
      <c r="BV1076" s="476" t="s">
        <v>1187</v>
      </c>
      <c r="BW1076" s="476" t="s">
        <v>1187</v>
      </c>
      <c r="BX1076" s="476" t="s">
        <v>1187</v>
      </c>
      <c r="BY1076" s="476" t="s">
        <v>1187</v>
      </c>
      <c r="BZ1076" s="476" t="s">
        <v>1187</v>
      </c>
      <c r="CA1076" s="476" t="s">
        <v>1187</v>
      </c>
      <c r="CB1076" s="476" t="s">
        <v>1187</v>
      </c>
      <c r="CC1076" s="476" t="s">
        <v>1187</v>
      </c>
      <c r="CD1076" s="476" t="s">
        <v>1187</v>
      </c>
      <c r="CE1076" s="476" t="s">
        <v>1188</v>
      </c>
      <c r="CF1076" s="476" t="s">
        <v>1188</v>
      </c>
      <c r="CG1076" s="476" t="s">
        <v>1188</v>
      </c>
      <c r="CH1076" s="476" t="s">
        <v>1188</v>
      </c>
      <c r="CI1076" s="476" t="s">
        <v>1188</v>
      </c>
      <c r="CJ1076" s="476" t="s">
        <v>1188</v>
      </c>
      <c r="CK1076" s="476" t="s">
        <v>1188</v>
      </c>
      <c r="CL1076" s="476" t="s">
        <v>1188</v>
      </c>
      <c r="CM1076" s="476" t="str">
        <f>IF(VLOOKUP(BS1076,'Données par municipalité'!$B$6:$E$1113,4,FALSE)="","non","oui")</f>
        <v>oui</v>
      </c>
      <c r="CN1076" s="410">
        <v>461.21781592650757</v>
      </c>
      <c r="CO1076" s="410">
        <v>447.40376597252117</v>
      </c>
      <c r="CP1076" s="410">
        <v>423.86356417663586</v>
      </c>
      <c r="CQ1076" s="410">
        <v>415.3512690741303</v>
      </c>
      <c r="CR1076" s="410">
        <v>412.41106588494421</v>
      </c>
      <c r="CS1076" s="410">
        <v>405.65543683357839</v>
      </c>
      <c r="CT1076" s="410">
        <v>395.72713293503375</v>
      </c>
      <c r="CU1076" s="410">
        <v>407</v>
      </c>
      <c r="CV1076" s="410">
        <f>IF(VLOOKUP(BS1076,'Données par municipalité'!$B$6:$F$1113,4,FALSE)="","",VLOOKUP(BS1076,'Données par municipalité'!$B$6:$F$1113,4,FALSE))</f>
        <v>380</v>
      </c>
      <c r="CW1076" s="476" t="s">
        <v>4723</v>
      </c>
      <c r="CX1076" s="483">
        <v>1</v>
      </c>
      <c r="CY1076" s="483">
        <v>1</v>
      </c>
      <c r="CZ1076" s="483">
        <v>0.95</v>
      </c>
      <c r="DA1076" s="483">
        <v>0.3</v>
      </c>
      <c r="DB1076" s="483">
        <v>1</v>
      </c>
      <c r="DC1076" s="483">
        <v>0.75</v>
      </c>
      <c r="DD1076" s="483">
        <v>0.94029169583911398</v>
      </c>
      <c r="DE1076" s="483">
        <f>IFERROR(SUM(VLOOKUP($BS1076,'État &amp; Plan d''action'!$B$6:$Z$1113,18,FALSE),VLOOKUP($BS1076,'État &amp; Plan d''action'!$B$6:$Z$1113,20,FALSE))/(VLOOKUP($BS1076,'Données par municipalité'!$B$4:$L$1113,11,FALSE)),"")</f>
        <v>0.96219569351152456</v>
      </c>
      <c r="DF1076" s="483">
        <f>IFERROR(SUM(VLOOKUP($BS1076,'État &amp; Plan d''action'!$B$6:$Z$1113,19,FALSE),VLOOKUP($BS1076,'État &amp; Plan d''action'!$B$6:$Z$1113,21,FALSE))/(VLOOKUP($BS1076,'Données par municipalité'!$B$4:$L$1113,11,FALSE)),"")</f>
        <v>1.8901938745633615</v>
      </c>
      <c r="DG1076" s="476" t="s">
        <v>4723</v>
      </c>
      <c r="DH1076" s="484">
        <v>164</v>
      </c>
      <c r="DI1076" s="484">
        <v>178</v>
      </c>
      <c r="DJ1076" s="484">
        <v>149</v>
      </c>
      <c r="DK1076" s="484">
        <v>173</v>
      </c>
      <c r="DL1076" s="484">
        <v>108</v>
      </c>
      <c r="DM1076" s="484">
        <v>113</v>
      </c>
      <c r="DN1076" s="484">
        <v>84</v>
      </c>
      <c r="DO1076" s="484">
        <v>32</v>
      </c>
      <c r="DP1076" s="484">
        <v>4</v>
      </c>
      <c r="DQ1076" s="484">
        <f>IF(VLOOKUP($BS1076,'État &amp; Plan d''action'!$B$6:$AJ$1113,28,FALSE)="","",VLOOKUP($BS1076,'État &amp; Plan d''action'!$B$6:$AJ$1113,28,FALSE))</f>
        <v>67</v>
      </c>
      <c r="DR1076" s="70">
        <f>IF(VLOOKUP($BS1076,'État &amp; Plan d''action'!$B$6:$AJ$1113,29,FALSE)="","",VLOOKUP($BS1076,'État &amp; Plan d''action'!$B$6:$AJ$1113,29,FALSE))</f>
        <v>33</v>
      </c>
      <c r="DS1076" s="70">
        <f>IF(VLOOKUP($BS1076,'État &amp; Plan d''action'!$B$6:$AJ$1113,30,FALSE)="","",VLOOKUP($BS1076,'État &amp; Plan d''action'!$B$6:$AJ$1113,30,FALSE))</f>
        <v>166</v>
      </c>
      <c r="DT1076" s="70">
        <v>241</v>
      </c>
      <c r="DU1076" s="485">
        <v>3.3606366880406244</v>
      </c>
      <c r="DV1076" s="485">
        <v>4.8227322616171024</v>
      </c>
      <c r="DW1076" s="70">
        <v>2</v>
      </c>
      <c r="DX1076" s="70">
        <v>8</v>
      </c>
      <c r="DY1076" s="70">
        <v>8</v>
      </c>
      <c r="DZ1076" s="70">
        <f>VLOOKUP($BS1076,'État &amp; Plan d''action'!$B$6:$AH$1113,31,FALSE)</f>
        <v>3</v>
      </c>
      <c r="EA1076" s="70">
        <f>VLOOKUP($BS1076,'État &amp; Plan d''action'!$B$6:$AH$1113,32,FALSE)</f>
        <v>15</v>
      </c>
      <c r="EB1076" s="70">
        <f>VLOOKUP($BS1076,'État &amp; Plan d''action'!$B$6:$AH$1113,33,FALSE)</f>
        <v>20</v>
      </c>
      <c r="EC1076" s="70">
        <v>0</v>
      </c>
      <c r="ED1076" s="70">
        <v>875.64099999999996</v>
      </c>
      <c r="EE1076" s="70">
        <v>0</v>
      </c>
      <c r="EF1076" s="70">
        <v>0</v>
      </c>
      <c r="EG1076" s="70">
        <v>0</v>
      </c>
      <c r="EH1076" s="72">
        <v>46.333333333333336</v>
      </c>
      <c r="EI1076" s="72">
        <v>136847</v>
      </c>
    </row>
    <row r="1077" spans="71:139" x14ac:dyDescent="0.35">
      <c r="BS1077" s="486">
        <v>42078</v>
      </c>
      <c r="BT1077" s="479" t="s">
        <v>391</v>
      </c>
      <c r="BU1077" s="479">
        <v>5</v>
      </c>
      <c r="BV1077" s="476" t="s">
        <v>1188</v>
      </c>
      <c r="BW1077" s="476" t="s">
        <v>1188</v>
      </c>
      <c r="BX1077" s="476" t="s">
        <v>1188</v>
      </c>
      <c r="BY1077" s="476" t="s">
        <v>1188</v>
      </c>
      <c r="BZ1077" s="476" t="s">
        <v>1188</v>
      </c>
      <c r="CA1077" s="476" t="s">
        <v>1188</v>
      </c>
      <c r="CB1077" s="476" t="s">
        <v>1188</v>
      </c>
      <c r="CC1077" s="476" t="s">
        <v>1188</v>
      </c>
      <c r="CD1077" s="476" t="s">
        <v>1188</v>
      </c>
      <c r="CE1077" s="476" t="s">
        <v>1187</v>
      </c>
      <c r="CF1077" s="476" t="s">
        <v>1187</v>
      </c>
      <c r="CG1077" s="476" t="s">
        <v>1187</v>
      </c>
      <c r="CH1077" s="476" t="s">
        <v>1187</v>
      </c>
      <c r="CI1077" s="476" t="s">
        <v>1187</v>
      </c>
      <c r="CJ1077" s="476" t="s">
        <v>1187</v>
      </c>
      <c r="CK1077" s="476" t="s">
        <v>1187</v>
      </c>
      <c r="CL1077" s="476" t="s">
        <v>1187</v>
      </c>
      <c r="CM1077" s="476" t="str">
        <f>IF(VLOOKUP(BS1077,'Données par municipalité'!$B$6:$E$1113,4,FALSE)="","non","oui")</f>
        <v>non</v>
      </c>
      <c r="CN1077" s="410" t="s">
        <v>1124</v>
      </c>
      <c r="CO1077" s="410" t="s">
        <v>1124</v>
      </c>
      <c r="CP1077" s="410"/>
      <c r="CQ1077" s="410"/>
      <c r="CR1077" s="410"/>
      <c r="CS1077" s="410" t="s">
        <v>1124</v>
      </c>
      <c r="CT1077" s="410"/>
      <c r="CU1077" s="410" t="s">
        <v>1124</v>
      </c>
      <c r="CV1077" s="410" t="str">
        <f>IF(VLOOKUP(BS1077,'Données par municipalité'!$B$6:$F$1113,4,FALSE)="","",VLOOKUP(BS1077,'Données par municipalité'!$B$6:$F$1113,4,FALSE))</f>
        <v/>
      </c>
      <c r="CW1077" s="476" t="s">
        <v>4723</v>
      </c>
      <c r="CX1077" s="483" t="s">
        <v>1124</v>
      </c>
      <c r="CY1077" s="483" t="s">
        <v>1124</v>
      </c>
      <c r="CZ1077" s="483" t="s">
        <v>1124</v>
      </c>
      <c r="DA1077" s="483" t="s">
        <v>1124</v>
      </c>
      <c r="DB1077" s="483" t="s">
        <v>1124</v>
      </c>
      <c r="DC1077" s="483" t="s">
        <v>1124</v>
      </c>
      <c r="DD1077" s="483" t="s">
        <v>1124</v>
      </c>
      <c r="DE1077" s="483" t="str">
        <f>IFERROR(SUM(VLOOKUP($BS1077,'État &amp; Plan d''action'!$B$6:$Z$1113,18,FALSE),VLOOKUP($BS1077,'État &amp; Plan d''action'!$B$6:$Z$1113,20,FALSE))/(VLOOKUP($BS1077,'Données par municipalité'!$B$4:$L$1113,11,FALSE)),"")</f>
        <v/>
      </c>
      <c r="DF1077" s="483" t="str">
        <f>IFERROR(SUM(VLOOKUP($BS1077,'État &amp; Plan d''action'!$B$6:$Z$1113,19,FALSE),VLOOKUP($BS1077,'État &amp; Plan d''action'!$B$6:$Z$1113,21,FALSE))/(VLOOKUP($BS1077,'Données par municipalité'!$B$4:$L$1113,11,FALSE)),"")</f>
        <v/>
      </c>
      <c r="DG1077" s="476" t="s">
        <v>4723</v>
      </c>
      <c r="DH1077" s="484" t="s">
        <v>1124</v>
      </c>
      <c r="DI1077" s="484" t="s">
        <v>1124</v>
      </c>
      <c r="DJ1077" s="484">
        <v>0</v>
      </c>
      <c r="DK1077" s="484">
        <v>0</v>
      </c>
      <c r="DL1077" s="484" t="s">
        <v>1124</v>
      </c>
      <c r="DM1077" s="484" t="s">
        <v>1124</v>
      </c>
      <c r="DN1077" s="484" t="s">
        <v>1124</v>
      </c>
      <c r="DO1077" s="484" t="s">
        <v>1124</v>
      </c>
      <c r="DP1077" s="484" t="s">
        <v>1124</v>
      </c>
      <c r="DQ1077" s="484" t="str">
        <f>IF(VLOOKUP($BS1077,'État &amp; Plan d''action'!$B$6:$AJ$1113,28,FALSE)="","",VLOOKUP($BS1077,'État &amp; Plan d''action'!$B$6:$AJ$1113,28,FALSE))</f>
        <v/>
      </c>
      <c r="DR1077" s="70" t="str">
        <f>IF(VLOOKUP($BS1077,'État &amp; Plan d''action'!$B$6:$AJ$1113,29,FALSE)="","",VLOOKUP($BS1077,'État &amp; Plan d''action'!$B$6:$AJ$1113,29,FALSE))</f>
        <v/>
      </c>
      <c r="DS1077" s="70" t="str">
        <f>IF(VLOOKUP($BS1077,'État &amp; Plan d''action'!$B$6:$AJ$1113,30,FALSE)="","",VLOOKUP($BS1077,'État &amp; Plan d''action'!$B$6:$AJ$1113,30,FALSE))</f>
        <v/>
      </c>
      <c r="DT1077" s="70" t="s">
        <v>1124</v>
      </c>
      <c r="DU1077" s="485" t="s">
        <v>1124</v>
      </c>
      <c r="DV1077" s="485" t="s">
        <v>1124</v>
      </c>
      <c r="DW1077" s="70" t="s">
        <v>1124</v>
      </c>
      <c r="DX1077" s="70" t="s">
        <v>1124</v>
      </c>
      <c r="DY1077" s="70" t="s">
        <v>1124</v>
      </c>
      <c r="DZ1077" s="70" t="str">
        <f>VLOOKUP($BS1077,'État &amp; Plan d''action'!$B$6:$AH$1113,31,FALSE)</f>
        <v/>
      </c>
      <c r="EA1077" s="70" t="str">
        <f>VLOOKUP($BS1077,'État &amp; Plan d''action'!$B$6:$AH$1113,32,FALSE)</f>
        <v/>
      </c>
      <c r="EB1077" s="70" t="str">
        <f>VLOOKUP($BS1077,'État &amp; Plan d''action'!$B$6:$AH$1113,33,FALSE)</f>
        <v/>
      </c>
      <c r="EC1077" s="70" t="s">
        <v>1124</v>
      </c>
      <c r="ED1077" s="70" t="s">
        <v>1124</v>
      </c>
      <c r="EE1077" s="70" t="s">
        <v>1124</v>
      </c>
      <c r="EF1077" s="70" t="s">
        <v>1124</v>
      </c>
      <c r="EG1077" s="70" t="s">
        <v>1124</v>
      </c>
      <c r="EH1077" s="72"/>
      <c r="EI1077" s="72">
        <v>436</v>
      </c>
    </row>
    <row r="1078" spans="71:139" x14ac:dyDescent="0.35">
      <c r="BS1078" s="486">
        <v>48038</v>
      </c>
      <c r="BT1078" s="479" t="s">
        <v>461</v>
      </c>
      <c r="BU1078" s="479">
        <v>16</v>
      </c>
      <c r="BV1078" s="476" t="s">
        <v>1187</v>
      </c>
      <c r="BW1078" s="476" t="s">
        <v>1187</v>
      </c>
      <c r="BX1078" s="476" t="s">
        <v>1187</v>
      </c>
      <c r="BY1078" s="476" t="s">
        <v>1187</v>
      </c>
      <c r="BZ1078" s="476" t="s">
        <v>1187</v>
      </c>
      <c r="CA1078" s="476" t="s">
        <v>1187</v>
      </c>
      <c r="CB1078" s="476" t="s">
        <v>1187</v>
      </c>
      <c r="CC1078" s="476" t="s">
        <v>1187</v>
      </c>
      <c r="CD1078" s="476" t="s">
        <v>1187</v>
      </c>
      <c r="CE1078" s="476" t="s">
        <v>1188</v>
      </c>
      <c r="CF1078" s="476" t="s">
        <v>1188</v>
      </c>
      <c r="CG1078" s="476" t="s">
        <v>1188</v>
      </c>
      <c r="CH1078" s="476" t="s">
        <v>1188</v>
      </c>
      <c r="CI1078" s="476" t="s">
        <v>1188</v>
      </c>
      <c r="CJ1078" s="476" t="s">
        <v>1188</v>
      </c>
      <c r="CK1078" s="476" t="s">
        <v>1188</v>
      </c>
      <c r="CL1078" s="476" t="s">
        <v>1188</v>
      </c>
      <c r="CM1078" s="476" t="str">
        <f>IF(VLOOKUP(BS1078,'Données par municipalité'!$B$6:$E$1113,4,FALSE)="","non","oui")</f>
        <v>oui</v>
      </c>
      <c r="CN1078" s="410">
        <v>574.93252569214019</v>
      </c>
      <c r="CO1078" s="410">
        <v>567.1331252726601</v>
      </c>
      <c r="CP1078" s="410">
        <v>589.09665108984348</v>
      </c>
      <c r="CQ1078" s="410">
        <v>601.32289250620465</v>
      </c>
      <c r="CR1078" s="410">
        <v>637.91989251568975</v>
      </c>
      <c r="CS1078" s="410">
        <v>781.0950587589931</v>
      </c>
      <c r="CT1078" s="410">
        <v>726.22894436945842</v>
      </c>
      <c r="CU1078" s="410">
        <v>701</v>
      </c>
      <c r="CV1078" s="410">
        <f>IF(VLOOKUP(BS1078,'Données par municipalité'!$B$6:$F$1113,4,FALSE)="","",VLOOKUP(BS1078,'Données par municipalité'!$B$6:$F$1113,4,FALSE))</f>
        <v>790</v>
      </c>
      <c r="CW1078" s="476" t="s">
        <v>4723</v>
      </c>
      <c r="CX1078" s="483">
        <v>0</v>
      </c>
      <c r="CY1078" s="483">
        <v>0</v>
      </c>
      <c r="CZ1078" s="483">
        <v>0</v>
      </c>
      <c r="DA1078" s="483">
        <v>0</v>
      </c>
      <c r="DB1078" s="483">
        <v>0</v>
      </c>
      <c r="DC1078" s="483">
        <v>0</v>
      </c>
      <c r="DD1078" s="483">
        <v>1</v>
      </c>
      <c r="DE1078" s="483">
        <f>IFERROR(SUM(VLOOKUP($BS1078,'État &amp; Plan d''action'!$B$6:$Z$1113,18,FALSE),VLOOKUP($BS1078,'État &amp; Plan d''action'!$B$6:$Z$1113,20,FALSE))/(VLOOKUP($BS1078,'Données par municipalité'!$B$4:$L$1113,11,FALSE)),"")</f>
        <v>1</v>
      </c>
      <c r="DF1078" s="483">
        <f>IFERROR(SUM(VLOOKUP($BS1078,'État &amp; Plan d''action'!$B$6:$Z$1113,19,FALSE),VLOOKUP($BS1078,'État &amp; Plan d''action'!$B$6:$Z$1113,21,FALSE))/(VLOOKUP($BS1078,'Données par municipalité'!$B$4:$L$1113,11,FALSE)),"")</f>
        <v>1</v>
      </c>
      <c r="DG1078" s="476" t="s">
        <v>4723</v>
      </c>
      <c r="DH1078" s="484">
        <v>5</v>
      </c>
      <c r="DI1078" s="484">
        <v>8</v>
      </c>
      <c r="DJ1078" s="484">
        <v>7</v>
      </c>
      <c r="DK1078" s="484">
        <v>5</v>
      </c>
      <c r="DL1078" s="484">
        <v>4</v>
      </c>
      <c r="DM1078" s="484">
        <v>1</v>
      </c>
      <c r="DN1078" s="484">
        <v>4</v>
      </c>
      <c r="DO1078" s="484">
        <v>0</v>
      </c>
      <c r="DP1078" s="484">
        <v>0</v>
      </c>
      <c r="DQ1078" s="484">
        <f>IF(VLOOKUP($BS1078,'État &amp; Plan d''action'!$B$6:$AJ$1113,28,FALSE)="","",VLOOKUP($BS1078,'État &amp; Plan d''action'!$B$6:$AJ$1113,28,FALSE))</f>
        <v>0</v>
      </c>
      <c r="DR1078" s="70">
        <f>IF(VLOOKUP($BS1078,'État &amp; Plan d''action'!$B$6:$AJ$1113,29,FALSE)="","",VLOOKUP($BS1078,'État &amp; Plan d''action'!$B$6:$AJ$1113,29,FALSE))</f>
        <v>1</v>
      </c>
      <c r="DS1078" s="70">
        <f>IF(VLOOKUP($BS1078,'État &amp; Plan d''action'!$B$6:$AJ$1113,30,FALSE)="","",VLOOKUP($BS1078,'État &amp; Plan d''action'!$B$6:$AJ$1113,30,FALSE))</f>
        <v>0</v>
      </c>
      <c r="DT1078" s="70">
        <v>204</v>
      </c>
      <c r="DU1078" s="485">
        <v>8.4337403323602924</v>
      </c>
      <c r="DV1078" s="485">
        <v>12.018406998054243</v>
      </c>
      <c r="DW1078" s="70">
        <v>1</v>
      </c>
      <c r="DX1078" s="70">
        <v>0</v>
      </c>
      <c r="DY1078" s="70">
        <v>0</v>
      </c>
      <c r="DZ1078" s="70">
        <f>VLOOKUP($BS1078,'État &amp; Plan d''action'!$B$6:$AH$1113,31,FALSE)</f>
        <v>0</v>
      </c>
      <c r="EA1078" s="70">
        <f>VLOOKUP($BS1078,'État &amp; Plan d''action'!$B$6:$AH$1113,32,FALSE)</f>
        <v>1</v>
      </c>
      <c r="EB1078" s="70">
        <f>VLOOKUP($BS1078,'État &amp; Plan d''action'!$B$6:$AH$1113,33,FALSE)</f>
        <v>0</v>
      </c>
      <c r="EC1078" s="70">
        <v>0</v>
      </c>
      <c r="ED1078" s="70">
        <v>13.083</v>
      </c>
      <c r="EE1078" s="70">
        <v>0</v>
      </c>
      <c r="EF1078" s="70">
        <v>0</v>
      </c>
      <c r="EG1078" s="70">
        <v>0</v>
      </c>
      <c r="EH1078" s="72">
        <v>62</v>
      </c>
      <c r="EI1078" s="72">
        <v>2208</v>
      </c>
    </row>
    <row r="1079" spans="71:139" x14ac:dyDescent="0.35">
      <c r="BS1079" s="486">
        <v>33070</v>
      </c>
      <c r="BT1079" s="479" t="s">
        <v>277</v>
      </c>
      <c r="BU1079" s="479">
        <v>12</v>
      </c>
      <c r="BV1079" s="476" t="s">
        <v>1188</v>
      </c>
      <c r="BW1079" s="476" t="s">
        <v>1188</v>
      </c>
      <c r="BX1079" s="476" t="s">
        <v>1188</v>
      </c>
      <c r="BY1079" s="476" t="s">
        <v>1188</v>
      </c>
      <c r="BZ1079" s="476" t="s">
        <v>1188</v>
      </c>
      <c r="CA1079" s="476" t="s">
        <v>1188</v>
      </c>
      <c r="CB1079" s="476" t="s">
        <v>1188</v>
      </c>
      <c r="CC1079" s="476" t="s">
        <v>1188</v>
      </c>
      <c r="CD1079" s="476" t="s">
        <v>1188</v>
      </c>
      <c r="CE1079" s="476" t="s">
        <v>1187</v>
      </c>
      <c r="CF1079" s="476" t="s">
        <v>1187</v>
      </c>
      <c r="CG1079" s="476" t="s">
        <v>1187</v>
      </c>
      <c r="CH1079" s="476" t="s">
        <v>1187</v>
      </c>
      <c r="CI1079" s="476" t="s">
        <v>1187</v>
      </c>
      <c r="CJ1079" s="476" t="s">
        <v>1187</v>
      </c>
      <c r="CK1079" s="476" t="s">
        <v>1187</v>
      </c>
      <c r="CL1079" s="476" t="s">
        <v>1187</v>
      </c>
      <c r="CM1079" s="476" t="str">
        <f>IF(VLOOKUP(BS1079,'Données par municipalité'!$B$6:$E$1113,4,FALSE)="","non","oui")</f>
        <v>non</v>
      </c>
      <c r="CN1079" s="410" t="s">
        <v>1124</v>
      </c>
      <c r="CO1079" s="410" t="s">
        <v>1124</v>
      </c>
      <c r="CP1079" s="410"/>
      <c r="CQ1079" s="410"/>
      <c r="CR1079" s="410"/>
      <c r="CS1079" s="410" t="s">
        <v>1124</v>
      </c>
      <c r="CT1079" s="410"/>
      <c r="CU1079" s="410" t="s">
        <v>1124</v>
      </c>
      <c r="CV1079" s="410" t="str">
        <f>IF(VLOOKUP(BS1079,'Données par municipalité'!$B$6:$F$1113,4,FALSE)="","",VLOOKUP(BS1079,'Données par municipalité'!$B$6:$F$1113,4,FALSE))</f>
        <v/>
      </c>
      <c r="CW1079" s="476" t="s">
        <v>4723</v>
      </c>
      <c r="CX1079" s="483" t="s">
        <v>1124</v>
      </c>
      <c r="CY1079" s="483" t="s">
        <v>1124</v>
      </c>
      <c r="CZ1079" s="483" t="s">
        <v>1124</v>
      </c>
      <c r="DA1079" s="483" t="s">
        <v>1124</v>
      </c>
      <c r="DB1079" s="483" t="s">
        <v>1124</v>
      </c>
      <c r="DC1079" s="483" t="s">
        <v>1124</v>
      </c>
      <c r="DD1079" s="483" t="s">
        <v>1124</v>
      </c>
      <c r="DE1079" s="483" t="str">
        <f>IFERROR(SUM(VLOOKUP($BS1079,'État &amp; Plan d''action'!$B$6:$Z$1113,18,FALSE),VLOOKUP($BS1079,'État &amp; Plan d''action'!$B$6:$Z$1113,20,FALSE))/(VLOOKUP($BS1079,'Données par municipalité'!$B$4:$L$1113,11,FALSE)),"")</f>
        <v/>
      </c>
      <c r="DF1079" s="483" t="str">
        <f>IFERROR(SUM(VLOOKUP($BS1079,'État &amp; Plan d''action'!$B$6:$Z$1113,19,FALSE),VLOOKUP($BS1079,'État &amp; Plan d''action'!$B$6:$Z$1113,21,FALSE))/(VLOOKUP($BS1079,'Données par municipalité'!$B$4:$L$1113,11,FALSE)),"")</f>
        <v/>
      </c>
      <c r="DG1079" s="476" t="s">
        <v>4723</v>
      </c>
      <c r="DH1079" s="484" t="s">
        <v>1124</v>
      </c>
      <c r="DI1079" s="484" t="s">
        <v>1124</v>
      </c>
      <c r="DJ1079" s="484">
        <v>0</v>
      </c>
      <c r="DK1079" s="484">
        <v>0</v>
      </c>
      <c r="DL1079" s="484" t="s">
        <v>1124</v>
      </c>
      <c r="DM1079" s="484" t="s">
        <v>1124</v>
      </c>
      <c r="DN1079" s="484" t="s">
        <v>1124</v>
      </c>
      <c r="DO1079" s="484" t="s">
        <v>1124</v>
      </c>
      <c r="DP1079" s="484" t="s">
        <v>1124</v>
      </c>
      <c r="DQ1079" s="484" t="str">
        <f>IF(VLOOKUP($BS1079,'État &amp; Plan d''action'!$B$6:$AJ$1113,28,FALSE)="","",VLOOKUP($BS1079,'État &amp; Plan d''action'!$B$6:$AJ$1113,28,FALSE))</f>
        <v/>
      </c>
      <c r="DR1079" s="70" t="str">
        <f>IF(VLOOKUP($BS1079,'État &amp; Plan d''action'!$B$6:$AJ$1113,29,FALSE)="","",VLOOKUP($BS1079,'État &amp; Plan d''action'!$B$6:$AJ$1113,29,FALSE))</f>
        <v/>
      </c>
      <c r="DS1079" s="70" t="str">
        <f>IF(VLOOKUP($BS1079,'État &amp; Plan d''action'!$B$6:$AJ$1113,30,FALSE)="","",VLOOKUP($BS1079,'État &amp; Plan d''action'!$B$6:$AJ$1113,30,FALSE))</f>
        <v/>
      </c>
      <c r="DT1079" s="70" t="s">
        <v>1124</v>
      </c>
      <c r="DU1079" s="485" t="s">
        <v>1124</v>
      </c>
      <c r="DV1079" s="485" t="s">
        <v>1124</v>
      </c>
      <c r="DW1079" s="70" t="s">
        <v>1124</v>
      </c>
      <c r="DX1079" s="70" t="s">
        <v>1124</v>
      </c>
      <c r="DY1079" s="70" t="s">
        <v>1124</v>
      </c>
      <c r="DZ1079" s="70" t="str">
        <f>VLOOKUP($BS1079,'État &amp; Plan d''action'!$B$6:$AH$1113,31,FALSE)</f>
        <v/>
      </c>
      <c r="EA1079" s="70" t="str">
        <f>VLOOKUP($BS1079,'État &amp; Plan d''action'!$B$6:$AH$1113,32,FALSE)</f>
        <v/>
      </c>
      <c r="EB1079" s="70" t="str">
        <f>VLOOKUP($BS1079,'État &amp; Plan d''action'!$B$6:$AH$1113,33,FALSE)</f>
        <v/>
      </c>
      <c r="EC1079" s="70" t="s">
        <v>1124</v>
      </c>
      <c r="ED1079" s="70" t="s">
        <v>1124</v>
      </c>
      <c r="EE1079" s="70" t="s">
        <v>1124</v>
      </c>
      <c r="EF1079" s="70" t="s">
        <v>1124</v>
      </c>
      <c r="EG1079" s="70" t="s">
        <v>1124</v>
      </c>
      <c r="EH1079" s="72"/>
      <c r="EI1079" s="72">
        <v>980</v>
      </c>
    </row>
    <row r="1080" spans="71:139" x14ac:dyDescent="0.35">
      <c r="BS1080" s="486">
        <v>7080</v>
      </c>
      <c r="BT1080" s="479" t="s">
        <v>1080</v>
      </c>
      <c r="BU1080" s="479">
        <v>1</v>
      </c>
      <c r="BV1080" s="476" t="s">
        <v>1187</v>
      </c>
      <c r="BW1080" s="476" t="s">
        <v>1187</v>
      </c>
      <c r="BX1080" s="476" t="s">
        <v>1187</v>
      </c>
      <c r="BY1080" s="476" t="s">
        <v>1187</v>
      </c>
      <c r="BZ1080" s="476" t="s">
        <v>1187</v>
      </c>
      <c r="CA1080" s="476" t="s">
        <v>1187</v>
      </c>
      <c r="CB1080" s="476" t="s">
        <v>1187</v>
      </c>
      <c r="CC1080" s="476" t="s">
        <v>1187</v>
      </c>
      <c r="CD1080" s="476" t="s">
        <v>1187</v>
      </c>
      <c r="CE1080" s="476" t="s">
        <v>1188</v>
      </c>
      <c r="CF1080" s="476" t="s">
        <v>1188</v>
      </c>
      <c r="CG1080" s="476" t="s">
        <v>1187</v>
      </c>
      <c r="CH1080" s="476" t="s">
        <v>1187</v>
      </c>
      <c r="CI1080" s="476" t="s">
        <v>1188</v>
      </c>
      <c r="CJ1080" s="476" t="s">
        <v>1187</v>
      </c>
      <c r="CK1080" s="476" t="s">
        <v>1188</v>
      </c>
      <c r="CL1080" s="476" t="s">
        <v>1188</v>
      </c>
      <c r="CM1080" s="476" t="str">
        <f>IF(VLOOKUP(BS1080,'Données par municipalité'!$B$6:$E$1113,4,FALSE)="","non","oui")</f>
        <v>oui</v>
      </c>
      <c r="CN1080" s="410">
        <v>585.21328136700686</v>
      </c>
      <c r="CO1080" s="410">
        <v>309.86532836493842</v>
      </c>
      <c r="CP1080" s="410"/>
      <c r="CQ1080" s="410"/>
      <c r="CR1080" s="410">
        <v>367.81689764746716</v>
      </c>
      <c r="CS1080" s="410" t="s">
        <v>1124</v>
      </c>
      <c r="CT1080" s="410">
        <v>541.1174291375894</v>
      </c>
      <c r="CU1080" s="410">
        <v>483</v>
      </c>
      <c r="CV1080" s="410">
        <f>IF(VLOOKUP(BS1080,'Données par municipalité'!$B$6:$F$1113,4,FALSE)="","",VLOOKUP(BS1080,'Données par municipalité'!$B$6:$F$1113,4,FALSE))</f>
        <v>518</v>
      </c>
      <c r="CW1080" s="476" t="s">
        <v>4723</v>
      </c>
      <c r="CX1080" s="483">
        <v>1.6E-2</v>
      </c>
      <c r="CY1080" s="483" t="s">
        <v>1124</v>
      </c>
      <c r="CZ1080" s="483" t="s">
        <v>1124</v>
      </c>
      <c r="DA1080" s="483">
        <v>1</v>
      </c>
      <c r="DB1080" s="483" t="s">
        <v>1124</v>
      </c>
      <c r="DC1080" s="483">
        <v>1</v>
      </c>
      <c r="DD1080" s="483" t="s">
        <v>1124</v>
      </c>
      <c r="DE1080" s="483">
        <f>IFERROR(SUM(VLOOKUP($BS1080,'État &amp; Plan d''action'!$B$6:$Z$1113,18,FALSE),VLOOKUP($BS1080,'État &amp; Plan d''action'!$B$6:$Z$1113,20,FALSE))/(VLOOKUP($BS1080,'Données par municipalité'!$B$4:$L$1113,11,FALSE)),"")</f>
        <v>1</v>
      </c>
      <c r="DF1080" s="483">
        <f>IFERROR(SUM(VLOOKUP($BS1080,'État &amp; Plan d''action'!$B$6:$Z$1113,19,FALSE),VLOOKUP($BS1080,'État &amp; Plan d''action'!$B$6:$Z$1113,21,FALSE))/(VLOOKUP($BS1080,'Données par municipalité'!$B$4:$L$1113,11,FALSE)),"")</f>
        <v>1</v>
      </c>
      <c r="DG1080" s="476" t="s">
        <v>4723</v>
      </c>
      <c r="DH1080" s="484">
        <v>0</v>
      </c>
      <c r="DI1080" s="484" t="s">
        <v>1124</v>
      </c>
      <c r="DJ1080" s="484">
        <v>0</v>
      </c>
      <c r="DK1080" s="484">
        <v>2</v>
      </c>
      <c r="DL1080" s="484" t="s">
        <v>1124</v>
      </c>
      <c r="DM1080" s="484">
        <v>3</v>
      </c>
      <c r="DN1080" s="484">
        <v>0</v>
      </c>
      <c r="DO1080" s="484">
        <v>1</v>
      </c>
      <c r="DP1080" s="484">
        <v>3</v>
      </c>
      <c r="DQ1080" s="484">
        <f>IF(VLOOKUP($BS1080,'État &amp; Plan d''action'!$B$6:$AJ$1113,28,FALSE)="","",VLOOKUP($BS1080,'État &amp; Plan d''action'!$B$6:$AJ$1113,28,FALSE))</f>
        <v>2</v>
      </c>
      <c r="DR1080" s="70">
        <f>IF(VLOOKUP($BS1080,'État &amp; Plan d''action'!$B$6:$AJ$1113,29,FALSE)="","",VLOOKUP($BS1080,'État &amp; Plan d''action'!$B$6:$AJ$1113,29,FALSE))</f>
        <v>0</v>
      </c>
      <c r="DS1080" s="70">
        <f>IF(VLOOKUP($BS1080,'État &amp; Plan d''action'!$B$6:$AJ$1113,30,FALSE)="","",VLOOKUP($BS1080,'État &amp; Plan d''action'!$B$6:$AJ$1113,30,FALSE))</f>
        <v>2</v>
      </c>
      <c r="DT1080" s="70">
        <v>258</v>
      </c>
      <c r="DU1080" s="485">
        <v>5.4766023421486887</v>
      </c>
      <c r="DV1080" s="485">
        <v>8.6638487762893845</v>
      </c>
      <c r="DW1080" s="70">
        <v>0</v>
      </c>
      <c r="DX1080" s="70">
        <v>1</v>
      </c>
      <c r="DY1080" s="70">
        <v>5</v>
      </c>
      <c r="DZ1080" s="70">
        <f>VLOOKUP($BS1080,'État &amp; Plan d''action'!$B$6:$AH$1113,31,FALSE)</f>
        <v>4</v>
      </c>
      <c r="EA1080" s="70">
        <f>VLOOKUP($BS1080,'État &amp; Plan d''action'!$B$6:$AH$1113,32,FALSE)</f>
        <v>0</v>
      </c>
      <c r="EB1080" s="70">
        <f>VLOOKUP($BS1080,'État &amp; Plan d''action'!$B$6:$AH$1113,33,FALSE)</f>
        <v>2</v>
      </c>
      <c r="EC1080" s="70">
        <v>7.9980000000000002</v>
      </c>
      <c r="ED1080" s="70">
        <v>0</v>
      </c>
      <c r="EE1080" s="70">
        <v>7.9980000000000002</v>
      </c>
      <c r="EF1080" s="70">
        <v>0</v>
      </c>
      <c r="EG1080" s="70">
        <v>0</v>
      </c>
      <c r="EH1080" s="72">
        <v>45</v>
      </c>
      <c r="EI1080" s="72">
        <v>913</v>
      </c>
    </row>
    <row r="1081" spans="71:139" x14ac:dyDescent="0.35">
      <c r="BS1081" s="486">
        <v>42060</v>
      </c>
      <c r="BT1081" s="479" t="s">
        <v>387</v>
      </c>
      <c r="BU1081" s="479">
        <v>5</v>
      </c>
      <c r="BV1081" s="476" t="s">
        <v>1187</v>
      </c>
      <c r="BW1081" s="476" t="s">
        <v>1187</v>
      </c>
      <c r="BX1081" s="476" t="s">
        <v>1187</v>
      </c>
      <c r="BY1081" s="476" t="s">
        <v>1187</v>
      </c>
      <c r="BZ1081" s="476" t="s">
        <v>1187</v>
      </c>
      <c r="CA1081" s="476" t="s">
        <v>1187</v>
      </c>
      <c r="CB1081" s="476" t="s">
        <v>1187</v>
      </c>
      <c r="CC1081" s="476" t="s">
        <v>1187</v>
      </c>
      <c r="CD1081" s="476" t="s">
        <v>1187</v>
      </c>
      <c r="CE1081" s="476" t="s">
        <v>1188</v>
      </c>
      <c r="CF1081" s="476" t="s">
        <v>1188</v>
      </c>
      <c r="CG1081" s="476" t="s">
        <v>1188</v>
      </c>
      <c r="CH1081" s="476" t="s">
        <v>1188</v>
      </c>
      <c r="CI1081" s="476" t="s">
        <v>1187</v>
      </c>
      <c r="CJ1081" s="476" t="s">
        <v>1188</v>
      </c>
      <c r="CK1081" s="476" t="s">
        <v>1187</v>
      </c>
      <c r="CL1081" s="476" t="s">
        <v>1188</v>
      </c>
      <c r="CM1081" s="476" t="str">
        <f>IF(VLOOKUP(BS1081,'Données par municipalité'!$B$6:$E$1113,4,FALSE)="","non","oui")</f>
        <v>oui</v>
      </c>
      <c r="CN1081" s="410">
        <v>551</v>
      </c>
      <c r="CO1081" s="410">
        <v>555.31185767873183</v>
      </c>
      <c r="CP1081" s="410">
        <v>522</v>
      </c>
      <c r="CQ1081" s="410">
        <v>595</v>
      </c>
      <c r="CR1081" s="410"/>
      <c r="CS1081" s="410">
        <v>531.74744761033469</v>
      </c>
      <c r="CT1081" s="410"/>
      <c r="CU1081" s="410">
        <v>462</v>
      </c>
      <c r="CV1081" s="410">
        <f>IF(VLOOKUP(BS1081,'Données par municipalité'!$B$6:$F$1113,4,FALSE)="","",VLOOKUP(BS1081,'Données par municipalité'!$B$6:$F$1113,4,FALSE))</f>
        <v>240</v>
      </c>
      <c r="CW1081" s="476" t="s">
        <v>4723</v>
      </c>
      <c r="CX1081" s="483">
        <v>0</v>
      </c>
      <c r="CY1081" s="483">
        <v>0.75</v>
      </c>
      <c r="CZ1081" s="483">
        <v>0.25</v>
      </c>
      <c r="DA1081" s="483" t="s">
        <v>1124</v>
      </c>
      <c r="DB1081" s="483">
        <v>0.25</v>
      </c>
      <c r="DC1081" s="483" t="s">
        <v>1124</v>
      </c>
      <c r="DD1081" s="483">
        <v>0</v>
      </c>
      <c r="DE1081" s="483">
        <f>IFERROR(SUM(VLOOKUP($BS1081,'État &amp; Plan d''action'!$B$6:$Z$1113,18,FALSE),VLOOKUP($BS1081,'État &amp; Plan d''action'!$B$6:$Z$1113,20,FALSE))/(VLOOKUP($BS1081,'Données par municipalité'!$B$4:$L$1113,11,FALSE)),"")</f>
        <v>1</v>
      </c>
      <c r="DF1081" s="483">
        <f>IFERROR(SUM(VLOOKUP($BS1081,'État &amp; Plan d''action'!$B$6:$Z$1113,19,FALSE),VLOOKUP($BS1081,'État &amp; Plan d''action'!$B$6:$Z$1113,21,FALSE))/(VLOOKUP($BS1081,'Données par municipalité'!$B$4:$L$1113,11,FALSE)),"")</f>
        <v>1</v>
      </c>
      <c r="DG1081" s="476" t="s">
        <v>4723</v>
      </c>
      <c r="DH1081" s="484">
        <v>4</v>
      </c>
      <c r="DI1081" s="484">
        <v>0</v>
      </c>
      <c r="DJ1081" s="484">
        <v>2</v>
      </c>
      <c r="DK1081" s="484">
        <v>0</v>
      </c>
      <c r="DL1081" s="484">
        <v>3</v>
      </c>
      <c r="DM1081" s="484" t="s">
        <v>1124</v>
      </c>
      <c r="DN1081" s="484">
        <v>0</v>
      </c>
      <c r="DO1081" s="484">
        <v>0</v>
      </c>
      <c r="DP1081" s="484">
        <v>0</v>
      </c>
      <c r="DQ1081" s="484">
        <f>IF(VLOOKUP($BS1081,'État &amp; Plan d''action'!$B$6:$AJ$1113,28,FALSE)="","",VLOOKUP($BS1081,'État &amp; Plan d''action'!$B$6:$AJ$1113,28,FALSE))</f>
        <v>0</v>
      </c>
      <c r="DR1081" s="70">
        <f>IF(VLOOKUP($BS1081,'État &amp; Plan d''action'!$B$6:$AJ$1113,29,FALSE)="","",VLOOKUP($BS1081,'État &amp; Plan d''action'!$B$6:$AJ$1113,29,FALSE))</f>
        <v>0</v>
      </c>
      <c r="DS1081" s="70">
        <f>IF(VLOOKUP($BS1081,'État &amp; Plan d''action'!$B$6:$AJ$1113,30,FALSE)="","",VLOOKUP($BS1081,'État &amp; Plan d''action'!$B$6:$AJ$1113,30,FALSE))</f>
        <v>0</v>
      </c>
      <c r="DT1081" s="70">
        <v>250</v>
      </c>
      <c r="DU1081" s="485">
        <v>6.2</v>
      </c>
      <c r="DV1081" s="485">
        <v>1.1000000000000001</v>
      </c>
      <c r="DW1081" s="70">
        <v>0</v>
      </c>
      <c r="DX1081" s="70">
        <v>0</v>
      </c>
      <c r="DY1081" s="70">
        <v>0</v>
      </c>
      <c r="DZ1081" s="70">
        <f>VLOOKUP($BS1081,'État &amp; Plan d''action'!$B$6:$AH$1113,31,FALSE)</f>
        <v>0</v>
      </c>
      <c r="EA1081" s="70">
        <f>VLOOKUP($BS1081,'État &amp; Plan d''action'!$B$6:$AH$1113,32,FALSE)</f>
        <v>0</v>
      </c>
      <c r="EB1081" s="70">
        <f>VLOOKUP($BS1081,'État &amp; Plan d''action'!$B$6:$AH$1113,33,FALSE)</f>
        <v>0</v>
      </c>
      <c r="EC1081" s="70">
        <v>0</v>
      </c>
      <c r="ED1081" s="70">
        <v>0</v>
      </c>
      <c r="EE1081" s="70">
        <v>0</v>
      </c>
      <c r="EF1081" s="70">
        <v>0</v>
      </c>
      <c r="EG1081" s="70">
        <v>0</v>
      </c>
      <c r="EH1081" s="72">
        <v>59</v>
      </c>
      <c r="EI1081" s="72">
        <v>1045</v>
      </c>
    </row>
    <row r="1082" spans="71:139" x14ac:dyDescent="0.35">
      <c r="BS1082" s="486">
        <v>42055</v>
      </c>
      <c r="BT1082" s="479" t="s">
        <v>386</v>
      </c>
      <c r="BU1082" s="479">
        <v>5</v>
      </c>
      <c r="BV1082" s="476" t="s">
        <v>1187</v>
      </c>
      <c r="BW1082" s="476" t="s">
        <v>1187</v>
      </c>
      <c r="BX1082" s="476" t="s">
        <v>1187</v>
      </c>
      <c r="BY1082" s="476" t="s">
        <v>1187</v>
      </c>
      <c r="BZ1082" s="476" t="s">
        <v>1187</v>
      </c>
      <c r="CA1082" s="476" t="s">
        <v>1187</v>
      </c>
      <c r="CB1082" s="476" t="s">
        <v>1187</v>
      </c>
      <c r="CC1082" s="476" t="s">
        <v>1187</v>
      </c>
      <c r="CD1082" s="476" t="s">
        <v>1187</v>
      </c>
      <c r="CE1082" s="476" t="s">
        <v>1188</v>
      </c>
      <c r="CF1082" s="476" t="s">
        <v>1188</v>
      </c>
      <c r="CG1082" s="476" t="s">
        <v>1188</v>
      </c>
      <c r="CH1082" s="476" t="s">
        <v>1188</v>
      </c>
      <c r="CI1082" s="476" t="s">
        <v>1187</v>
      </c>
      <c r="CJ1082" s="476" t="s">
        <v>1188</v>
      </c>
      <c r="CK1082" s="476" t="s">
        <v>1187</v>
      </c>
      <c r="CL1082" s="476" t="s">
        <v>1188</v>
      </c>
      <c r="CM1082" s="476" t="str">
        <f>IF(VLOOKUP(BS1082,'Données par municipalité'!$B$6:$E$1113,4,FALSE)="","non","oui")</f>
        <v>oui</v>
      </c>
      <c r="CN1082" s="410">
        <v>550.76169170128901</v>
      </c>
      <c r="CO1082" s="410">
        <v>555.31185767873183</v>
      </c>
      <c r="CP1082" s="410">
        <v>521.76804550657062</v>
      </c>
      <c r="CQ1082" s="410">
        <v>594.66747922347588</v>
      </c>
      <c r="CR1082" s="410"/>
      <c r="CS1082" s="410">
        <v>531.74744761033469</v>
      </c>
      <c r="CT1082" s="410"/>
      <c r="CU1082" s="410">
        <v>462</v>
      </c>
      <c r="CV1082" s="410">
        <f>IF(VLOOKUP(BS1082,'Données par municipalité'!$B$6:$F$1113,4,FALSE)="","",VLOOKUP(BS1082,'Données par municipalité'!$B$6:$F$1113,4,FALSE))</f>
        <v>404</v>
      </c>
      <c r="CW1082" s="476" t="s">
        <v>4723</v>
      </c>
      <c r="CX1082" s="483">
        <v>0</v>
      </c>
      <c r="CY1082" s="483">
        <v>0</v>
      </c>
      <c r="CZ1082" s="483">
        <v>0</v>
      </c>
      <c r="DA1082" s="483" t="s">
        <v>1124</v>
      </c>
      <c r="DB1082" s="483">
        <v>1</v>
      </c>
      <c r="DC1082" s="483" t="s">
        <v>1124</v>
      </c>
      <c r="DD1082" s="483">
        <v>1.4835052715111665</v>
      </c>
      <c r="DE1082" s="483">
        <f>IFERROR(SUM(VLOOKUP($BS1082,'État &amp; Plan d''action'!$B$6:$Z$1113,18,FALSE),VLOOKUP($BS1082,'État &amp; Plan d''action'!$B$6:$Z$1113,20,FALSE))/(VLOOKUP($BS1082,'Données par municipalité'!$B$4:$L$1113,11,FALSE)),"")</f>
        <v>0.74175263575558326</v>
      </c>
      <c r="DF1082" s="483">
        <f>IFERROR(SUM(VLOOKUP($BS1082,'État &amp; Plan d''action'!$B$6:$Z$1113,19,FALSE),VLOOKUP($BS1082,'État &amp; Plan d''action'!$B$6:$Z$1113,21,FALSE))/(VLOOKUP($BS1082,'Données par municipalité'!$B$4:$L$1113,11,FALSE)),"")</f>
        <v>0.74175263575558326</v>
      </c>
      <c r="DG1082" s="476" t="s">
        <v>4723</v>
      </c>
      <c r="DH1082" s="484">
        <v>2</v>
      </c>
      <c r="DI1082" s="484">
        <v>7</v>
      </c>
      <c r="DJ1082" s="484">
        <v>3</v>
      </c>
      <c r="DK1082" s="484">
        <v>0</v>
      </c>
      <c r="DL1082" s="484">
        <v>4</v>
      </c>
      <c r="DM1082" s="484" t="s">
        <v>1124</v>
      </c>
      <c r="DN1082" s="484">
        <v>1</v>
      </c>
      <c r="DO1082" s="484">
        <v>2</v>
      </c>
      <c r="DP1082" s="484">
        <v>1</v>
      </c>
      <c r="DQ1082" s="484">
        <f>IF(VLOOKUP($BS1082,'État &amp; Plan d''action'!$B$6:$AJ$1113,28,FALSE)="","",VLOOKUP($BS1082,'État &amp; Plan d''action'!$B$6:$AJ$1113,28,FALSE))</f>
        <v>1</v>
      </c>
      <c r="DR1082" s="70">
        <f>IF(VLOOKUP($BS1082,'État &amp; Plan d''action'!$B$6:$AJ$1113,29,FALSE)="","",VLOOKUP($BS1082,'État &amp; Plan d''action'!$B$6:$AJ$1113,29,FALSE))</f>
        <v>1</v>
      </c>
      <c r="DS1082" s="70">
        <f>IF(VLOOKUP($BS1082,'État &amp; Plan d''action'!$B$6:$AJ$1113,30,FALSE)="","",VLOOKUP($BS1082,'État &amp; Plan d''action'!$B$6:$AJ$1113,30,FALSE))</f>
        <v>1</v>
      </c>
      <c r="DT1082" s="70">
        <v>250</v>
      </c>
      <c r="DU1082" s="485">
        <v>6.1559963904067159</v>
      </c>
      <c r="DV1082" s="485">
        <v>4.3611784649286163</v>
      </c>
      <c r="DW1082" s="70">
        <v>2</v>
      </c>
      <c r="DX1082" s="70">
        <v>5</v>
      </c>
      <c r="DY1082" s="70">
        <v>10</v>
      </c>
      <c r="DZ1082" s="70">
        <f>VLOOKUP($BS1082,'État &amp; Plan d''action'!$B$6:$AH$1113,31,FALSE)</f>
        <v>5</v>
      </c>
      <c r="EA1082" s="70">
        <f>VLOOKUP($BS1082,'État &amp; Plan d''action'!$B$6:$AH$1113,32,FALSE)</f>
        <v>5</v>
      </c>
      <c r="EB1082" s="70">
        <f>VLOOKUP($BS1082,'État &amp; Plan d''action'!$B$6:$AH$1113,33,FALSE)</f>
        <v>10</v>
      </c>
      <c r="EC1082" s="70">
        <v>0</v>
      </c>
      <c r="ED1082" s="70">
        <v>19.629000000000001</v>
      </c>
      <c r="EE1082" s="70">
        <v>19.629000000000001</v>
      </c>
      <c r="EF1082" s="70">
        <v>19.629000000000001</v>
      </c>
      <c r="EG1082" s="70">
        <v>0</v>
      </c>
      <c r="EH1082" s="72">
        <v>59</v>
      </c>
      <c r="EI1082" s="72">
        <v>2166</v>
      </c>
    </row>
    <row r="1083" spans="71:139" x14ac:dyDescent="0.35">
      <c r="BS1083" s="486">
        <v>78010</v>
      </c>
      <c r="BT1083" s="479" t="s">
        <v>767</v>
      </c>
      <c r="BU1083" s="479">
        <v>15</v>
      </c>
      <c r="BV1083" s="476" t="s">
        <v>1187</v>
      </c>
      <c r="BW1083" s="476" t="s">
        <v>1187</v>
      </c>
      <c r="BX1083" s="476" t="s">
        <v>1187</v>
      </c>
      <c r="BY1083" s="476" t="s">
        <v>1187</v>
      </c>
      <c r="BZ1083" s="476" t="s">
        <v>1187</v>
      </c>
      <c r="CA1083" s="476" t="s">
        <v>1187</v>
      </c>
      <c r="CB1083" s="476" t="s">
        <v>1187</v>
      </c>
      <c r="CC1083" s="476" t="s">
        <v>1187</v>
      </c>
      <c r="CD1083" s="476" t="s">
        <v>1187</v>
      </c>
      <c r="CE1083" s="476" t="s">
        <v>1187</v>
      </c>
      <c r="CF1083" s="476" t="s">
        <v>1187</v>
      </c>
      <c r="CG1083" s="476" t="s">
        <v>1187</v>
      </c>
      <c r="CH1083" s="476" t="s">
        <v>1187</v>
      </c>
      <c r="CI1083" s="476" t="s">
        <v>1187</v>
      </c>
      <c r="CJ1083" s="476" t="s">
        <v>1188</v>
      </c>
      <c r="CK1083" s="476" t="s">
        <v>1188</v>
      </c>
      <c r="CL1083" s="476" t="s">
        <v>1188</v>
      </c>
      <c r="CM1083" s="476" t="str">
        <f>IF(VLOOKUP(BS1083,'Données par municipalité'!$B$6:$E$1113,4,FALSE)="","non","oui")</f>
        <v>oui</v>
      </c>
      <c r="CN1083" s="410" t="s">
        <v>1124</v>
      </c>
      <c r="CO1083" s="410" t="s">
        <v>1124</v>
      </c>
      <c r="CP1083" s="410"/>
      <c r="CQ1083" s="410"/>
      <c r="CR1083" s="410"/>
      <c r="CS1083" s="410">
        <v>566.80154152202397</v>
      </c>
      <c r="CT1083" s="410">
        <v>469.94974456806813</v>
      </c>
      <c r="CU1083" s="410">
        <v>540</v>
      </c>
      <c r="CV1083" s="410">
        <f>IF(VLOOKUP(BS1083,'Données par municipalité'!$B$6:$F$1113,4,FALSE)="","",VLOOKUP(BS1083,'Données par municipalité'!$B$6:$F$1113,4,FALSE))</f>
        <v>476</v>
      </c>
      <c r="CW1083" s="476" t="s">
        <v>4723</v>
      </c>
      <c r="CX1083" s="483" t="s">
        <v>1124</v>
      </c>
      <c r="CY1083" s="483" t="s">
        <v>1124</v>
      </c>
      <c r="CZ1083" s="483" t="s">
        <v>1124</v>
      </c>
      <c r="DA1083" s="483" t="s">
        <v>1124</v>
      </c>
      <c r="DB1083" s="483">
        <v>0</v>
      </c>
      <c r="DC1083" s="483">
        <v>1</v>
      </c>
      <c r="DD1083" s="483">
        <v>0</v>
      </c>
      <c r="DE1083" s="483">
        <f>IFERROR(SUM(VLOOKUP($BS1083,'État &amp; Plan d''action'!$B$6:$Z$1113,18,FALSE),VLOOKUP($BS1083,'État &amp; Plan d''action'!$B$6:$Z$1113,20,FALSE))/(VLOOKUP($BS1083,'Données par municipalité'!$B$4:$L$1113,11,FALSE)),"")</f>
        <v>0</v>
      </c>
      <c r="DF1083" s="483">
        <f>IFERROR(SUM(VLOOKUP($BS1083,'État &amp; Plan d''action'!$B$6:$Z$1113,19,FALSE),VLOOKUP($BS1083,'État &amp; Plan d''action'!$B$6:$Z$1113,21,FALSE))/(VLOOKUP($BS1083,'Données par municipalité'!$B$4:$L$1113,11,FALSE)),"")</f>
        <v>1</v>
      </c>
      <c r="DG1083" s="476" t="s">
        <v>4723</v>
      </c>
      <c r="DH1083" s="484">
        <v>10</v>
      </c>
      <c r="DI1083" s="484" t="s">
        <v>1124</v>
      </c>
      <c r="DJ1083" s="484">
        <v>8</v>
      </c>
      <c r="DK1083" s="484">
        <v>9</v>
      </c>
      <c r="DL1083" s="484">
        <v>3</v>
      </c>
      <c r="DM1083" s="484">
        <v>2</v>
      </c>
      <c r="DN1083" s="484">
        <v>4</v>
      </c>
      <c r="DO1083" s="484">
        <v>7</v>
      </c>
      <c r="DP1083" s="484">
        <v>10</v>
      </c>
      <c r="DQ1083" s="484">
        <f>IF(VLOOKUP($BS1083,'État &amp; Plan d''action'!$B$6:$AJ$1113,28,FALSE)="","",VLOOKUP($BS1083,'État &amp; Plan d''action'!$B$6:$AJ$1113,28,FALSE))</f>
        <v>3</v>
      </c>
      <c r="DR1083" s="70">
        <f>IF(VLOOKUP($BS1083,'État &amp; Plan d''action'!$B$6:$AJ$1113,29,FALSE)="","",VLOOKUP($BS1083,'État &amp; Plan d''action'!$B$6:$AJ$1113,29,FALSE))</f>
        <v>10</v>
      </c>
      <c r="DS1083" s="70">
        <f>IF(VLOOKUP($BS1083,'État &amp; Plan d''action'!$B$6:$AJ$1113,30,FALSE)="","",VLOOKUP($BS1083,'État &amp; Plan d''action'!$B$6:$AJ$1113,30,FALSE))</f>
        <v>10</v>
      </c>
      <c r="DT1083" s="70">
        <v>270</v>
      </c>
      <c r="DU1083" s="485">
        <v>0.92456124613222734</v>
      </c>
      <c r="DV1083" s="485">
        <v>4.6072230711019335</v>
      </c>
      <c r="DW1083" s="70">
        <v>1</v>
      </c>
      <c r="DX1083" s="70">
        <v>5</v>
      </c>
      <c r="DY1083" s="70">
        <v>10</v>
      </c>
      <c r="DZ1083" s="70">
        <f>VLOOKUP($BS1083,'État &amp; Plan d''action'!$B$6:$AH$1113,31,FALSE)</f>
        <v>6</v>
      </c>
      <c r="EA1083" s="70">
        <f>VLOOKUP($BS1083,'État &amp; Plan d''action'!$B$6:$AH$1113,32,FALSE)</f>
        <v>6</v>
      </c>
      <c r="EB1083" s="70">
        <f>VLOOKUP($BS1083,'État &amp; Plan d''action'!$B$6:$AH$1113,33,FALSE)</f>
        <v>10</v>
      </c>
      <c r="EC1083" s="70">
        <v>0</v>
      </c>
      <c r="ED1083" s="70">
        <v>0</v>
      </c>
      <c r="EE1083" s="70">
        <v>0</v>
      </c>
      <c r="EF1083" s="70">
        <v>0</v>
      </c>
      <c r="EG1083" s="70">
        <v>0</v>
      </c>
      <c r="EH1083" s="72">
        <v>47</v>
      </c>
      <c r="EI1083" s="72">
        <v>5209</v>
      </c>
    </row>
    <row r="1084" spans="71:139" x14ac:dyDescent="0.35">
      <c r="BS1084" s="486">
        <v>80140</v>
      </c>
      <c r="BT1084" s="479" t="s">
        <v>825</v>
      </c>
      <c r="BU1084" s="479">
        <v>7</v>
      </c>
      <c r="BV1084" s="476" t="s">
        <v>1187</v>
      </c>
      <c r="BW1084" s="476" t="s">
        <v>1187</v>
      </c>
      <c r="BX1084" s="476" t="s">
        <v>1187</v>
      </c>
      <c r="BY1084" s="476" t="s">
        <v>1187</v>
      </c>
      <c r="BZ1084" s="476" t="s">
        <v>1187</v>
      </c>
      <c r="CA1084" s="476" t="s">
        <v>1187</v>
      </c>
      <c r="CB1084" s="476" t="s">
        <v>1187</v>
      </c>
      <c r="CC1084" s="476" t="s">
        <v>1187</v>
      </c>
      <c r="CD1084" s="476" t="s">
        <v>1187</v>
      </c>
      <c r="CE1084" s="476" t="s">
        <v>1187</v>
      </c>
      <c r="CF1084" s="476" t="s">
        <v>1187</v>
      </c>
      <c r="CG1084" s="476" t="s">
        <v>1187</v>
      </c>
      <c r="CH1084" s="476" t="s">
        <v>1187</v>
      </c>
      <c r="CI1084" s="476" t="s">
        <v>1187</v>
      </c>
      <c r="CJ1084" s="476" t="s">
        <v>1188</v>
      </c>
      <c r="CK1084" s="476" t="s">
        <v>1187</v>
      </c>
      <c r="CL1084" s="476" t="s">
        <v>1187</v>
      </c>
      <c r="CM1084" s="476" t="str">
        <f>IF(VLOOKUP(BS1084,'Données par municipalité'!$B$6:$E$1113,4,FALSE)="","non","oui")</f>
        <v>non</v>
      </c>
      <c r="CN1084" s="410" t="s">
        <v>1124</v>
      </c>
      <c r="CO1084" s="410" t="s">
        <v>1124</v>
      </c>
      <c r="CP1084" s="410"/>
      <c r="CQ1084" s="410"/>
      <c r="CR1084" s="410"/>
      <c r="CS1084" s="410">
        <v>429.19613635115621</v>
      </c>
      <c r="CT1084" s="410"/>
      <c r="CU1084" s="410" t="s">
        <v>1124</v>
      </c>
      <c r="CV1084" s="410" t="str">
        <f>IF(VLOOKUP(BS1084,'Données par municipalité'!$B$6:$F$1113,4,FALSE)="","",VLOOKUP(BS1084,'Données par municipalité'!$B$6:$F$1113,4,FALSE))</f>
        <v/>
      </c>
      <c r="CW1084" s="476" t="s">
        <v>4723</v>
      </c>
      <c r="CX1084" s="483" t="s">
        <v>1124</v>
      </c>
      <c r="CY1084" s="483" t="s">
        <v>1124</v>
      </c>
      <c r="CZ1084" s="483" t="s">
        <v>1124</v>
      </c>
      <c r="DA1084" s="483" t="s">
        <v>1124</v>
      </c>
      <c r="DB1084" s="483">
        <v>0</v>
      </c>
      <c r="DC1084" s="483" t="s">
        <v>1124</v>
      </c>
      <c r="DD1084" s="483" t="s">
        <v>1124</v>
      </c>
      <c r="DE1084" s="483" t="str">
        <f>IFERROR(SUM(VLOOKUP($BS1084,'État &amp; Plan d''action'!$B$6:$Z$1113,18,FALSE),VLOOKUP($BS1084,'État &amp; Plan d''action'!$B$6:$Z$1113,20,FALSE))/(VLOOKUP($BS1084,'Données par municipalité'!$B$4:$L$1113,11,FALSE)),"")</f>
        <v/>
      </c>
      <c r="DF1084" s="483" t="str">
        <f>IFERROR(SUM(VLOOKUP($BS1084,'État &amp; Plan d''action'!$B$6:$Z$1113,19,FALSE),VLOOKUP($BS1084,'État &amp; Plan d''action'!$B$6:$Z$1113,21,FALSE))/(VLOOKUP($BS1084,'Données par municipalité'!$B$4:$L$1113,11,FALSE)),"")</f>
        <v/>
      </c>
      <c r="DG1084" s="476" t="s">
        <v>4723</v>
      </c>
      <c r="DH1084" s="484">
        <v>0</v>
      </c>
      <c r="DI1084" s="484">
        <v>1</v>
      </c>
      <c r="DJ1084" s="484">
        <v>2</v>
      </c>
      <c r="DK1084" s="484">
        <v>0</v>
      </c>
      <c r="DL1084" s="484">
        <v>2</v>
      </c>
      <c r="DM1084" s="484" t="s">
        <v>1124</v>
      </c>
      <c r="DN1084" s="484" t="s">
        <v>1124</v>
      </c>
      <c r="DO1084" s="484" t="s">
        <v>1124</v>
      </c>
      <c r="DP1084" s="484" t="s">
        <v>1124</v>
      </c>
      <c r="DQ1084" s="484" t="str">
        <f>IF(VLOOKUP($BS1084,'État &amp; Plan d''action'!$B$6:$AJ$1113,28,FALSE)="","",VLOOKUP($BS1084,'État &amp; Plan d''action'!$B$6:$AJ$1113,28,FALSE))</f>
        <v/>
      </c>
      <c r="DR1084" s="70" t="str">
        <f>IF(VLOOKUP($BS1084,'État &amp; Plan d''action'!$B$6:$AJ$1113,29,FALSE)="","",VLOOKUP($BS1084,'État &amp; Plan d''action'!$B$6:$AJ$1113,29,FALSE))</f>
        <v/>
      </c>
      <c r="DS1084" s="70" t="str">
        <f>IF(VLOOKUP($BS1084,'État &amp; Plan d''action'!$B$6:$AJ$1113,30,FALSE)="","",VLOOKUP($BS1084,'État &amp; Plan d''action'!$B$6:$AJ$1113,30,FALSE))</f>
        <v/>
      </c>
      <c r="DT1084" s="70" t="s">
        <v>1124</v>
      </c>
      <c r="DU1084" s="485" t="s">
        <v>1124</v>
      </c>
      <c r="DV1084" s="485" t="s">
        <v>1124</v>
      </c>
      <c r="DW1084" s="70" t="s">
        <v>1124</v>
      </c>
      <c r="DX1084" s="70" t="s">
        <v>1124</v>
      </c>
      <c r="DY1084" s="70" t="s">
        <v>1124</v>
      </c>
      <c r="DZ1084" s="70" t="str">
        <f>VLOOKUP($BS1084,'État &amp; Plan d''action'!$B$6:$AH$1113,31,FALSE)</f>
        <v/>
      </c>
      <c r="EA1084" s="70" t="str">
        <f>VLOOKUP($BS1084,'État &amp; Plan d''action'!$B$6:$AH$1113,32,FALSE)</f>
        <v/>
      </c>
      <c r="EB1084" s="70" t="str">
        <f>VLOOKUP($BS1084,'État &amp; Plan d''action'!$B$6:$AH$1113,33,FALSE)</f>
        <v/>
      </c>
      <c r="EC1084" s="70" t="s">
        <v>1124</v>
      </c>
      <c r="ED1084" s="70" t="s">
        <v>1124</v>
      </c>
      <c r="EE1084" s="70" t="s">
        <v>1124</v>
      </c>
      <c r="EF1084" s="70" t="s">
        <v>1124</v>
      </c>
      <c r="EG1084" s="70" t="s">
        <v>1124</v>
      </c>
      <c r="EH1084" s="72"/>
      <c r="EI1084" s="72">
        <v>881</v>
      </c>
    </row>
    <row r="1085" spans="71:139" x14ac:dyDescent="0.35">
      <c r="BS1085" s="486">
        <v>78100</v>
      </c>
      <c r="BT1085" s="479" t="s">
        <v>780</v>
      </c>
      <c r="BU1085" s="479">
        <v>15</v>
      </c>
      <c r="BV1085" s="476" t="s">
        <v>1188</v>
      </c>
      <c r="BW1085" s="476" t="s">
        <v>1188</v>
      </c>
      <c r="BX1085" s="476" t="s">
        <v>1188</v>
      </c>
      <c r="BY1085" s="476" t="s">
        <v>1188</v>
      </c>
      <c r="BZ1085" s="476" t="s">
        <v>1188</v>
      </c>
      <c r="CA1085" s="476" t="s">
        <v>1188</v>
      </c>
      <c r="CB1085" s="476" t="s">
        <v>1188</v>
      </c>
      <c r="CC1085" s="476" t="s">
        <v>1188</v>
      </c>
      <c r="CD1085" s="476" t="s">
        <v>1188</v>
      </c>
      <c r="CE1085" s="476" t="s">
        <v>1188</v>
      </c>
      <c r="CF1085" s="476" t="s">
        <v>1188</v>
      </c>
      <c r="CG1085" s="476" t="s">
        <v>1187</v>
      </c>
      <c r="CH1085" s="476" t="s">
        <v>1188</v>
      </c>
      <c r="CI1085" s="476" t="s">
        <v>1188</v>
      </c>
      <c r="CJ1085" s="476" t="s">
        <v>1187</v>
      </c>
      <c r="CK1085" s="476" t="s">
        <v>1187</v>
      </c>
      <c r="CL1085" s="476" t="s">
        <v>1187</v>
      </c>
      <c r="CM1085" s="476" t="str">
        <f>IF(VLOOKUP(BS1085,'Données par municipalité'!$B$6:$E$1113,4,FALSE)="","non","oui")</f>
        <v>non</v>
      </c>
      <c r="CN1085" s="410">
        <v>691.12773582842851</v>
      </c>
      <c r="CO1085" s="410">
        <v>684.99279416568504</v>
      </c>
      <c r="CP1085" s="410"/>
      <c r="CQ1085" s="410">
        <v>1316.6290736723879</v>
      </c>
      <c r="CR1085" s="410">
        <v>1117.5490938622888</v>
      </c>
      <c r="CS1085" s="410" t="s">
        <v>1124</v>
      </c>
      <c r="CT1085" s="410"/>
      <c r="CU1085" s="410" t="s">
        <v>1124</v>
      </c>
      <c r="CV1085" s="410" t="str">
        <f>IF(VLOOKUP(BS1085,'Données par municipalité'!$B$6:$F$1113,4,FALSE)="","",VLOOKUP(BS1085,'Données par municipalité'!$B$6:$F$1113,4,FALSE))</f>
        <v/>
      </c>
      <c r="CW1085" s="476" t="s">
        <v>4723</v>
      </c>
      <c r="CX1085" s="483" t="s">
        <v>1124</v>
      </c>
      <c r="CY1085" s="483" t="s">
        <v>1124</v>
      </c>
      <c r="CZ1085" s="483">
        <v>0</v>
      </c>
      <c r="DA1085" s="483">
        <v>0</v>
      </c>
      <c r="DB1085" s="483" t="s">
        <v>1124</v>
      </c>
      <c r="DC1085" s="483" t="s">
        <v>1124</v>
      </c>
      <c r="DD1085" s="483" t="s">
        <v>1124</v>
      </c>
      <c r="DE1085" s="483" t="str">
        <f>IFERROR(SUM(VLOOKUP($BS1085,'État &amp; Plan d''action'!$B$6:$Z$1113,18,FALSE),VLOOKUP($BS1085,'État &amp; Plan d''action'!$B$6:$Z$1113,20,FALSE))/(VLOOKUP($BS1085,'Données par municipalité'!$B$4:$L$1113,11,FALSE)),"")</f>
        <v/>
      </c>
      <c r="DF1085" s="483" t="str">
        <f>IFERROR(SUM(VLOOKUP($BS1085,'État &amp; Plan d''action'!$B$6:$Z$1113,19,FALSE),VLOOKUP($BS1085,'État &amp; Plan d''action'!$B$6:$Z$1113,21,FALSE))/(VLOOKUP($BS1085,'Données par municipalité'!$B$4:$L$1113,11,FALSE)),"")</f>
        <v/>
      </c>
      <c r="DG1085" s="476" t="s">
        <v>4723</v>
      </c>
      <c r="DH1085" s="484" t="s">
        <v>1124</v>
      </c>
      <c r="DI1085" s="484" t="s">
        <v>1124</v>
      </c>
      <c r="DJ1085" s="484">
        <v>0</v>
      </c>
      <c r="DK1085" s="484">
        <v>0</v>
      </c>
      <c r="DL1085" s="484" t="s">
        <v>1124</v>
      </c>
      <c r="DM1085" s="484" t="s">
        <v>1124</v>
      </c>
      <c r="DN1085" s="484" t="s">
        <v>1124</v>
      </c>
      <c r="DO1085" s="484" t="s">
        <v>1124</v>
      </c>
      <c r="DP1085" s="484" t="s">
        <v>1124</v>
      </c>
      <c r="DQ1085" s="484" t="str">
        <f>IF(VLOOKUP($BS1085,'État &amp; Plan d''action'!$B$6:$AJ$1113,28,FALSE)="","",VLOOKUP($BS1085,'État &amp; Plan d''action'!$B$6:$AJ$1113,28,FALSE))</f>
        <v/>
      </c>
      <c r="DR1085" s="70" t="str">
        <f>IF(VLOOKUP($BS1085,'État &amp; Plan d''action'!$B$6:$AJ$1113,29,FALSE)="","",VLOOKUP($BS1085,'État &amp; Plan d''action'!$B$6:$AJ$1113,29,FALSE))</f>
        <v/>
      </c>
      <c r="DS1085" s="70" t="str">
        <f>IF(VLOOKUP($BS1085,'État &amp; Plan d''action'!$B$6:$AJ$1113,30,FALSE)="","",VLOOKUP($BS1085,'État &amp; Plan d''action'!$B$6:$AJ$1113,30,FALSE))</f>
        <v/>
      </c>
      <c r="DT1085" s="70" t="s">
        <v>1124</v>
      </c>
      <c r="DU1085" s="485" t="s">
        <v>1124</v>
      </c>
      <c r="DV1085" s="485" t="s">
        <v>1124</v>
      </c>
      <c r="DW1085" s="70" t="s">
        <v>1124</v>
      </c>
      <c r="DX1085" s="70" t="s">
        <v>1124</v>
      </c>
      <c r="DY1085" s="70" t="s">
        <v>1124</v>
      </c>
      <c r="DZ1085" s="70" t="str">
        <f>VLOOKUP($BS1085,'État &amp; Plan d''action'!$B$6:$AH$1113,31,FALSE)</f>
        <v/>
      </c>
      <c r="EA1085" s="70" t="str">
        <f>VLOOKUP($BS1085,'État &amp; Plan d''action'!$B$6:$AH$1113,32,FALSE)</f>
        <v/>
      </c>
      <c r="EB1085" s="70" t="str">
        <f>VLOOKUP($BS1085,'État &amp; Plan d''action'!$B$6:$AH$1113,33,FALSE)</f>
        <v/>
      </c>
      <c r="EC1085" s="70" t="s">
        <v>1124</v>
      </c>
      <c r="ED1085" s="70" t="s">
        <v>1124</v>
      </c>
      <c r="EE1085" s="70" t="s">
        <v>1124</v>
      </c>
      <c r="EF1085" s="70" t="s">
        <v>1124</v>
      </c>
      <c r="EG1085" s="70" t="s">
        <v>1124</v>
      </c>
      <c r="EH1085" s="72"/>
      <c r="EI1085" s="72">
        <v>730</v>
      </c>
    </row>
    <row r="1086" spans="71:139" x14ac:dyDescent="0.35">
      <c r="BS1086" s="486">
        <v>82015</v>
      </c>
      <c r="BT1086" s="479" t="s">
        <v>830</v>
      </c>
      <c r="BU1086" s="479">
        <v>7</v>
      </c>
      <c r="BV1086" s="476" t="s">
        <v>1188</v>
      </c>
      <c r="BW1086" s="476" t="s">
        <v>1188</v>
      </c>
      <c r="BX1086" s="476" t="s">
        <v>1188</v>
      </c>
      <c r="BY1086" s="476" t="s">
        <v>1188</v>
      </c>
      <c r="BZ1086" s="476" t="s">
        <v>1188</v>
      </c>
      <c r="CA1086" s="476" t="s">
        <v>1188</v>
      </c>
      <c r="CB1086" s="476" t="s">
        <v>1188</v>
      </c>
      <c r="CC1086" s="476" t="s">
        <v>1188</v>
      </c>
      <c r="CD1086" s="476" t="s">
        <v>1188</v>
      </c>
      <c r="CE1086" s="476" t="s">
        <v>1187</v>
      </c>
      <c r="CF1086" s="476" t="s">
        <v>1187</v>
      </c>
      <c r="CG1086" s="476" t="s">
        <v>1187</v>
      </c>
      <c r="CH1086" s="476" t="s">
        <v>1187</v>
      </c>
      <c r="CI1086" s="476" t="s">
        <v>1187</v>
      </c>
      <c r="CJ1086" s="476" t="s">
        <v>1187</v>
      </c>
      <c r="CK1086" s="476" t="s">
        <v>1187</v>
      </c>
      <c r="CL1086" s="476" t="s">
        <v>1187</v>
      </c>
      <c r="CM1086" s="476" t="str">
        <f>IF(VLOOKUP(BS1086,'Données par municipalité'!$B$6:$E$1113,4,FALSE)="","non","oui")</f>
        <v>non</v>
      </c>
      <c r="CN1086" s="410" t="s">
        <v>1124</v>
      </c>
      <c r="CO1086" s="410" t="s">
        <v>1124</v>
      </c>
      <c r="CP1086" s="410"/>
      <c r="CQ1086" s="410"/>
      <c r="CR1086" s="410"/>
      <c r="CS1086" s="410" t="s">
        <v>1124</v>
      </c>
      <c r="CT1086" s="410"/>
      <c r="CU1086" s="410" t="s">
        <v>1124</v>
      </c>
      <c r="CV1086" s="410" t="str">
        <f>IF(VLOOKUP(BS1086,'Données par municipalité'!$B$6:$F$1113,4,FALSE)="","",VLOOKUP(BS1086,'Données par municipalité'!$B$6:$F$1113,4,FALSE))</f>
        <v/>
      </c>
      <c r="CW1086" s="476" t="s">
        <v>4723</v>
      </c>
      <c r="CX1086" s="483" t="s">
        <v>1124</v>
      </c>
      <c r="CY1086" s="483" t="s">
        <v>1124</v>
      </c>
      <c r="CZ1086" s="483" t="s">
        <v>1124</v>
      </c>
      <c r="DA1086" s="483" t="s">
        <v>1124</v>
      </c>
      <c r="DB1086" s="483" t="s">
        <v>1124</v>
      </c>
      <c r="DC1086" s="483" t="s">
        <v>1124</v>
      </c>
      <c r="DD1086" s="483" t="s">
        <v>1124</v>
      </c>
      <c r="DE1086" s="483" t="str">
        <f>IFERROR(SUM(VLOOKUP($BS1086,'État &amp; Plan d''action'!$B$6:$Z$1113,18,FALSE),VLOOKUP($BS1086,'État &amp; Plan d''action'!$B$6:$Z$1113,20,FALSE))/(VLOOKUP($BS1086,'Données par municipalité'!$B$4:$L$1113,11,FALSE)),"")</f>
        <v/>
      </c>
      <c r="DF1086" s="483" t="str">
        <f>IFERROR(SUM(VLOOKUP($BS1086,'État &amp; Plan d''action'!$B$6:$Z$1113,19,FALSE),VLOOKUP($BS1086,'État &amp; Plan d''action'!$B$6:$Z$1113,21,FALSE))/(VLOOKUP($BS1086,'Données par municipalité'!$B$4:$L$1113,11,FALSE)),"")</f>
        <v/>
      </c>
      <c r="DG1086" s="476" t="s">
        <v>4723</v>
      </c>
      <c r="DH1086" s="484" t="s">
        <v>1124</v>
      </c>
      <c r="DI1086" s="484" t="s">
        <v>1124</v>
      </c>
      <c r="DJ1086" s="484">
        <v>0</v>
      </c>
      <c r="DK1086" s="484">
        <v>0</v>
      </c>
      <c r="DL1086" s="484" t="s">
        <v>1124</v>
      </c>
      <c r="DM1086" s="484" t="s">
        <v>1124</v>
      </c>
      <c r="DN1086" s="484" t="s">
        <v>1124</v>
      </c>
      <c r="DO1086" s="484" t="s">
        <v>1124</v>
      </c>
      <c r="DP1086" s="484" t="s">
        <v>1124</v>
      </c>
      <c r="DQ1086" s="484" t="str">
        <f>IF(VLOOKUP($BS1086,'État &amp; Plan d''action'!$B$6:$AJ$1113,28,FALSE)="","",VLOOKUP($BS1086,'État &amp; Plan d''action'!$B$6:$AJ$1113,28,FALSE))</f>
        <v/>
      </c>
      <c r="DR1086" s="70" t="str">
        <f>IF(VLOOKUP($BS1086,'État &amp; Plan d''action'!$B$6:$AJ$1113,29,FALSE)="","",VLOOKUP($BS1086,'État &amp; Plan d''action'!$B$6:$AJ$1113,29,FALSE))</f>
        <v/>
      </c>
      <c r="DS1086" s="70" t="str">
        <f>IF(VLOOKUP($BS1086,'État &amp; Plan d''action'!$B$6:$AJ$1113,30,FALSE)="","",VLOOKUP($BS1086,'État &amp; Plan d''action'!$B$6:$AJ$1113,30,FALSE))</f>
        <v/>
      </c>
      <c r="DT1086" s="70" t="s">
        <v>1124</v>
      </c>
      <c r="DU1086" s="485" t="s">
        <v>1124</v>
      </c>
      <c r="DV1086" s="485" t="s">
        <v>1124</v>
      </c>
      <c r="DW1086" s="70" t="s">
        <v>1124</v>
      </c>
      <c r="DX1086" s="70" t="s">
        <v>1124</v>
      </c>
      <c r="DY1086" s="70" t="s">
        <v>1124</v>
      </c>
      <c r="DZ1086" s="70" t="str">
        <f>VLOOKUP($BS1086,'État &amp; Plan d''action'!$B$6:$AH$1113,31,FALSE)</f>
        <v/>
      </c>
      <c r="EA1086" s="70" t="str">
        <f>VLOOKUP($BS1086,'État &amp; Plan d''action'!$B$6:$AH$1113,32,FALSE)</f>
        <v/>
      </c>
      <c r="EB1086" s="70" t="str">
        <f>VLOOKUP($BS1086,'État &amp; Plan d''action'!$B$6:$AH$1113,33,FALSE)</f>
        <v/>
      </c>
      <c r="EC1086" s="70" t="s">
        <v>1124</v>
      </c>
      <c r="ED1086" s="70" t="s">
        <v>1124</v>
      </c>
      <c r="EE1086" s="70" t="s">
        <v>1124</v>
      </c>
      <c r="EF1086" s="70" t="s">
        <v>1124</v>
      </c>
      <c r="EG1086" s="70" t="s">
        <v>1124</v>
      </c>
      <c r="EH1086" s="72"/>
      <c r="EI1086" s="72">
        <v>12091</v>
      </c>
    </row>
    <row r="1087" spans="71:139" x14ac:dyDescent="0.35">
      <c r="BS1087" s="486">
        <v>89008</v>
      </c>
      <c r="BT1087" s="479" t="s">
        <v>928</v>
      </c>
      <c r="BU1087" s="479">
        <v>8</v>
      </c>
      <c r="BV1087" s="476" t="s">
        <v>1187</v>
      </c>
      <c r="BW1087" s="476" t="s">
        <v>1187</v>
      </c>
      <c r="BX1087" s="476" t="s">
        <v>1187</v>
      </c>
      <c r="BY1087" s="476" t="s">
        <v>1187</v>
      </c>
      <c r="BZ1087" s="476" t="s">
        <v>1187</v>
      </c>
      <c r="CA1087" s="476" t="s">
        <v>1187</v>
      </c>
      <c r="CB1087" s="476" t="s">
        <v>1187</v>
      </c>
      <c r="CC1087" s="476" t="s">
        <v>1187</v>
      </c>
      <c r="CD1087" s="476" t="s">
        <v>1187</v>
      </c>
      <c r="CE1087" s="476" t="s">
        <v>1188</v>
      </c>
      <c r="CF1087" s="476" t="s">
        <v>1188</v>
      </c>
      <c r="CG1087" s="476" t="s">
        <v>1188</v>
      </c>
      <c r="CH1087" s="476" t="s">
        <v>1188</v>
      </c>
      <c r="CI1087" s="476" t="s">
        <v>1188</v>
      </c>
      <c r="CJ1087" s="476" t="s">
        <v>1188</v>
      </c>
      <c r="CK1087" s="476" t="s">
        <v>1188</v>
      </c>
      <c r="CL1087" s="476" t="s">
        <v>1188</v>
      </c>
      <c r="CM1087" s="476" t="str">
        <f>IF(VLOOKUP(BS1087,'Données par municipalité'!$B$6:$E$1113,4,FALSE)="","non","oui")</f>
        <v>oui</v>
      </c>
      <c r="CN1087" s="410">
        <v>483.89988369145493</v>
      </c>
      <c r="CO1087" s="410">
        <v>460.46307529336559</v>
      </c>
      <c r="CP1087" s="410">
        <v>452.69902763060469</v>
      </c>
      <c r="CQ1087" s="410">
        <v>436.40248094517079</v>
      </c>
      <c r="CR1087" s="410">
        <v>434.52041377615723</v>
      </c>
      <c r="CS1087" s="410">
        <v>439.78920169064259</v>
      </c>
      <c r="CT1087" s="410">
        <v>438.95938772259802</v>
      </c>
      <c r="CU1087" s="410">
        <v>420</v>
      </c>
      <c r="CV1087" s="410">
        <f>IF(VLOOKUP(BS1087,'Données par municipalité'!$B$6:$F$1113,4,FALSE)="","",VLOOKUP(BS1087,'Données par municipalité'!$B$6:$F$1113,4,FALSE))</f>
        <v>386</v>
      </c>
      <c r="CW1087" s="476" t="s">
        <v>4723</v>
      </c>
      <c r="CX1087" s="483">
        <v>0.02</v>
      </c>
      <c r="CY1087" s="483">
        <v>0.08</v>
      </c>
      <c r="CZ1087" s="483">
        <v>0.08</v>
      </c>
      <c r="DA1087" s="483">
        <v>0.1</v>
      </c>
      <c r="DB1087" s="483">
        <v>0</v>
      </c>
      <c r="DC1087" s="483">
        <v>1</v>
      </c>
      <c r="DD1087" s="483">
        <v>0.95932847007095023</v>
      </c>
      <c r="DE1087" s="483">
        <f>IFERROR(SUM(VLOOKUP($BS1087,'État &amp; Plan d''action'!$B$6:$Z$1113,18,FALSE),VLOOKUP($BS1087,'État &amp; Plan d''action'!$B$6:$Z$1113,20,FALSE))/(VLOOKUP($BS1087,'Données par municipalité'!$B$4:$L$1113,11,FALSE)),"")</f>
        <v>0.95932847007095023</v>
      </c>
      <c r="DF1087" s="483">
        <f>IFERROR(SUM(VLOOKUP($BS1087,'État &amp; Plan d''action'!$B$6:$Z$1113,19,FALSE),VLOOKUP($BS1087,'État &amp; Plan d''action'!$B$6:$Z$1113,21,FALSE))/(VLOOKUP($BS1087,'Données par municipalité'!$B$4:$L$1113,11,FALSE)),"")</f>
        <v>0.95932847007095023</v>
      </c>
      <c r="DG1087" s="476" t="s">
        <v>4723</v>
      </c>
      <c r="DH1087" s="484" t="s">
        <v>1124</v>
      </c>
      <c r="DI1087" s="484" t="s">
        <v>1124</v>
      </c>
      <c r="DJ1087" s="484">
        <v>0</v>
      </c>
      <c r="DK1087" s="484">
        <v>0</v>
      </c>
      <c r="DL1087" s="484">
        <v>2</v>
      </c>
      <c r="DM1087" s="484">
        <v>13</v>
      </c>
      <c r="DN1087" s="484">
        <v>9</v>
      </c>
      <c r="DO1087" s="484">
        <v>2</v>
      </c>
      <c r="DP1087" s="484">
        <v>3</v>
      </c>
      <c r="DQ1087" s="484">
        <f>IF(VLOOKUP($BS1087,'État &amp; Plan d''action'!$B$6:$AJ$1113,28,FALSE)="","",VLOOKUP($BS1087,'État &amp; Plan d''action'!$B$6:$AJ$1113,28,FALSE))</f>
        <v>13</v>
      </c>
      <c r="DR1087" s="70">
        <f>IF(VLOOKUP($BS1087,'État &amp; Plan d''action'!$B$6:$AJ$1113,29,FALSE)="","",VLOOKUP($BS1087,'État &amp; Plan d''action'!$B$6:$AJ$1113,29,FALSE))</f>
        <v>4</v>
      </c>
      <c r="DS1087" s="70">
        <f>IF(VLOOKUP($BS1087,'État &amp; Plan d''action'!$B$6:$AJ$1113,30,FALSE)="","",VLOOKUP($BS1087,'État &amp; Plan d''action'!$B$6:$AJ$1113,30,FALSE))</f>
        <v>5</v>
      </c>
      <c r="DT1087" s="70">
        <v>215</v>
      </c>
      <c r="DU1087" s="485">
        <v>4.1115511909047964</v>
      </c>
      <c r="DV1087" s="485">
        <v>2.7054438006819139</v>
      </c>
      <c r="DW1087" s="70">
        <v>1</v>
      </c>
      <c r="DX1087" s="70">
        <v>2</v>
      </c>
      <c r="DY1087" s="70">
        <v>10</v>
      </c>
      <c r="DZ1087" s="70">
        <f>VLOOKUP($BS1087,'État &amp; Plan d''action'!$B$6:$AH$1113,31,FALSE)</f>
        <v>2</v>
      </c>
      <c r="EA1087" s="70">
        <f>VLOOKUP($BS1087,'État &amp; Plan d''action'!$B$6:$AH$1113,32,FALSE)</f>
        <v>2</v>
      </c>
      <c r="EB1087" s="70">
        <f>VLOOKUP($BS1087,'État &amp; Plan d''action'!$B$6:$AH$1113,33,FALSE)</f>
        <v>10</v>
      </c>
      <c r="EC1087" s="70">
        <v>0</v>
      </c>
      <c r="ED1087" s="70">
        <v>192</v>
      </c>
      <c r="EE1087" s="70">
        <v>0</v>
      </c>
      <c r="EF1087" s="70">
        <v>0</v>
      </c>
      <c r="EG1087" s="70">
        <v>0</v>
      </c>
      <c r="EH1087" s="72">
        <v>60</v>
      </c>
      <c r="EI1087" s="72">
        <v>32902</v>
      </c>
    </row>
    <row r="1088" spans="71:139" x14ac:dyDescent="0.35">
      <c r="BS1088" s="486">
        <v>42095</v>
      </c>
      <c r="BT1088" s="479" t="s">
        <v>393</v>
      </c>
      <c r="BU1088" s="479">
        <v>5</v>
      </c>
      <c r="BV1088" s="476" t="s">
        <v>1188</v>
      </c>
      <c r="BW1088" s="476" t="s">
        <v>1188</v>
      </c>
      <c r="BX1088" s="476" t="s">
        <v>1188</v>
      </c>
      <c r="BY1088" s="476" t="s">
        <v>1188</v>
      </c>
      <c r="BZ1088" s="476" t="s">
        <v>1188</v>
      </c>
      <c r="CA1088" s="476" t="s">
        <v>1188</v>
      </c>
      <c r="CB1088" s="476" t="s">
        <v>1188</v>
      </c>
      <c r="CC1088" s="476" t="s">
        <v>1188</v>
      </c>
      <c r="CD1088" s="476" t="s">
        <v>1188</v>
      </c>
      <c r="CE1088" s="476" t="s">
        <v>1187</v>
      </c>
      <c r="CF1088" s="476" t="s">
        <v>1187</v>
      </c>
      <c r="CG1088" s="476" t="s">
        <v>1187</v>
      </c>
      <c r="CH1088" s="476" t="s">
        <v>1187</v>
      </c>
      <c r="CI1088" s="476" t="s">
        <v>1187</v>
      </c>
      <c r="CJ1088" s="476" t="s">
        <v>1187</v>
      </c>
      <c r="CK1088" s="476" t="s">
        <v>1187</v>
      </c>
      <c r="CL1088" s="476" t="s">
        <v>1187</v>
      </c>
      <c r="CM1088" s="476" t="str">
        <f>IF(VLOOKUP(BS1088,'Données par municipalité'!$B$6:$E$1113,4,FALSE)="","non","oui")</f>
        <v>non</v>
      </c>
      <c r="CN1088" s="410" t="s">
        <v>1124</v>
      </c>
      <c r="CO1088" s="410" t="s">
        <v>1124</v>
      </c>
      <c r="CP1088" s="410"/>
      <c r="CQ1088" s="410"/>
      <c r="CR1088" s="410"/>
      <c r="CS1088" s="410" t="s">
        <v>1124</v>
      </c>
      <c r="CT1088" s="410"/>
      <c r="CU1088" s="410" t="s">
        <v>1124</v>
      </c>
      <c r="CV1088" s="410" t="str">
        <f>IF(VLOOKUP(BS1088,'Données par municipalité'!$B$6:$F$1113,4,FALSE)="","",VLOOKUP(BS1088,'Données par municipalité'!$B$6:$F$1113,4,FALSE))</f>
        <v/>
      </c>
      <c r="CW1088" s="476" t="s">
        <v>4723</v>
      </c>
      <c r="CX1088" s="483" t="s">
        <v>1124</v>
      </c>
      <c r="CY1088" s="483" t="s">
        <v>1124</v>
      </c>
      <c r="CZ1088" s="483" t="s">
        <v>1124</v>
      </c>
      <c r="DA1088" s="483" t="s">
        <v>1124</v>
      </c>
      <c r="DB1088" s="483" t="s">
        <v>1124</v>
      </c>
      <c r="DC1088" s="483" t="s">
        <v>1124</v>
      </c>
      <c r="DD1088" s="483" t="s">
        <v>1124</v>
      </c>
      <c r="DE1088" s="483" t="str">
        <f>IFERROR(SUM(VLOOKUP($BS1088,'État &amp; Plan d''action'!$B$6:$Z$1113,18,FALSE),VLOOKUP($BS1088,'État &amp; Plan d''action'!$B$6:$Z$1113,20,FALSE))/(VLOOKUP($BS1088,'Données par municipalité'!$B$4:$L$1113,11,FALSE)),"")</f>
        <v/>
      </c>
      <c r="DF1088" s="483" t="str">
        <f>IFERROR(SUM(VLOOKUP($BS1088,'État &amp; Plan d''action'!$B$6:$Z$1113,19,FALSE),VLOOKUP($BS1088,'État &amp; Plan d''action'!$B$6:$Z$1113,21,FALSE))/(VLOOKUP($BS1088,'Données par municipalité'!$B$4:$L$1113,11,FALSE)),"")</f>
        <v/>
      </c>
      <c r="DG1088" s="476" t="s">
        <v>4723</v>
      </c>
      <c r="DH1088" s="484" t="s">
        <v>1124</v>
      </c>
      <c r="DI1088" s="484" t="s">
        <v>1124</v>
      </c>
      <c r="DJ1088" s="484">
        <v>0</v>
      </c>
      <c r="DK1088" s="484">
        <v>0</v>
      </c>
      <c r="DL1088" s="484" t="s">
        <v>1124</v>
      </c>
      <c r="DM1088" s="484" t="s">
        <v>1124</v>
      </c>
      <c r="DN1088" s="484" t="s">
        <v>1124</v>
      </c>
      <c r="DO1088" s="484" t="s">
        <v>1124</v>
      </c>
      <c r="DP1088" s="484" t="s">
        <v>1124</v>
      </c>
      <c r="DQ1088" s="484" t="str">
        <f>IF(VLOOKUP($BS1088,'État &amp; Plan d''action'!$B$6:$AJ$1113,28,FALSE)="","",VLOOKUP($BS1088,'État &amp; Plan d''action'!$B$6:$AJ$1113,28,FALSE))</f>
        <v/>
      </c>
      <c r="DR1088" s="70" t="str">
        <f>IF(VLOOKUP($BS1088,'État &amp; Plan d''action'!$B$6:$AJ$1113,29,FALSE)="","",VLOOKUP($BS1088,'État &amp; Plan d''action'!$B$6:$AJ$1113,29,FALSE))</f>
        <v/>
      </c>
      <c r="DS1088" s="70" t="str">
        <f>IF(VLOOKUP($BS1088,'État &amp; Plan d''action'!$B$6:$AJ$1113,30,FALSE)="","",VLOOKUP($BS1088,'État &amp; Plan d''action'!$B$6:$AJ$1113,30,FALSE))</f>
        <v/>
      </c>
      <c r="DT1088" s="70" t="s">
        <v>1124</v>
      </c>
      <c r="DU1088" s="485" t="s">
        <v>1124</v>
      </c>
      <c r="DV1088" s="485" t="s">
        <v>1124</v>
      </c>
      <c r="DW1088" s="70" t="s">
        <v>1124</v>
      </c>
      <c r="DX1088" s="70" t="s">
        <v>1124</v>
      </c>
      <c r="DY1088" s="70" t="s">
        <v>1124</v>
      </c>
      <c r="DZ1088" s="70" t="str">
        <f>VLOOKUP($BS1088,'État &amp; Plan d''action'!$B$6:$AH$1113,31,FALSE)</f>
        <v/>
      </c>
      <c r="EA1088" s="70" t="str">
        <f>VLOOKUP($BS1088,'État &amp; Plan d''action'!$B$6:$AH$1113,32,FALSE)</f>
        <v/>
      </c>
      <c r="EB1088" s="70" t="str">
        <f>VLOOKUP($BS1088,'État &amp; Plan d''action'!$B$6:$AH$1113,33,FALSE)</f>
        <v/>
      </c>
      <c r="EC1088" s="70" t="s">
        <v>1124</v>
      </c>
      <c r="ED1088" s="70" t="s">
        <v>1124</v>
      </c>
      <c r="EE1088" s="70" t="s">
        <v>1124</v>
      </c>
      <c r="EF1088" s="70" t="s">
        <v>1124</v>
      </c>
      <c r="EG1088" s="70" t="s">
        <v>1124</v>
      </c>
      <c r="EH1088" s="72"/>
      <c r="EI1088" s="72">
        <v>1654</v>
      </c>
    </row>
    <row r="1089" spans="71:139" x14ac:dyDescent="0.35">
      <c r="BS1089" s="486">
        <v>26015</v>
      </c>
      <c r="BT1089" s="479" t="s">
        <v>169</v>
      </c>
      <c r="BU1089" s="479">
        <v>12</v>
      </c>
      <c r="BV1089" s="476" t="s">
        <v>1187</v>
      </c>
      <c r="BW1089" s="476" t="s">
        <v>1187</v>
      </c>
      <c r="BX1089" s="476" t="s">
        <v>1187</v>
      </c>
      <c r="BY1089" s="476" t="s">
        <v>1187</v>
      </c>
      <c r="BZ1089" s="476" t="s">
        <v>1187</v>
      </c>
      <c r="CA1089" s="476" t="s">
        <v>1187</v>
      </c>
      <c r="CB1089" s="476" t="s">
        <v>1187</v>
      </c>
      <c r="CC1089" s="476" t="s">
        <v>1187</v>
      </c>
      <c r="CD1089" s="476" t="s">
        <v>1187</v>
      </c>
      <c r="CE1089" s="476" t="s">
        <v>1188</v>
      </c>
      <c r="CF1089" s="476" t="s">
        <v>1188</v>
      </c>
      <c r="CG1089" s="476" t="s">
        <v>1188</v>
      </c>
      <c r="CH1089" s="476" t="s">
        <v>1188</v>
      </c>
      <c r="CI1089" s="476" t="s">
        <v>1188</v>
      </c>
      <c r="CJ1089" s="476" t="s">
        <v>1188</v>
      </c>
      <c r="CK1089" s="476" t="s">
        <v>1188</v>
      </c>
      <c r="CL1089" s="476" t="s">
        <v>1188</v>
      </c>
      <c r="CM1089" s="476" t="str">
        <f>IF(VLOOKUP(BS1089,'Données par municipalité'!$B$6:$E$1113,4,FALSE)="","non","oui")</f>
        <v>oui</v>
      </c>
      <c r="CN1089" s="410">
        <v>354.40807498197552</v>
      </c>
      <c r="CO1089" s="410">
        <v>407.72696769245516</v>
      </c>
      <c r="CP1089" s="410">
        <v>417.53034126411922</v>
      </c>
      <c r="CQ1089" s="410">
        <v>457.71554753795704</v>
      </c>
      <c r="CR1089" s="410">
        <v>452.10736601778416</v>
      </c>
      <c r="CS1089" s="410">
        <v>388.38510209951107</v>
      </c>
      <c r="CT1089" s="410">
        <v>360.93006488824801</v>
      </c>
      <c r="CU1089" s="410">
        <v>436</v>
      </c>
      <c r="CV1089" s="410">
        <f>IF(VLOOKUP(BS1089,'Données par municipalité'!$B$6:$F$1113,4,FALSE)="","",VLOOKUP(BS1089,'Données par municipalité'!$B$6:$F$1113,4,FALSE))</f>
        <v>440</v>
      </c>
      <c r="CW1089" s="476" t="s">
        <v>4723</v>
      </c>
      <c r="CX1089" s="483">
        <v>1</v>
      </c>
      <c r="CY1089" s="483">
        <v>1</v>
      </c>
      <c r="CZ1089" s="483">
        <v>1</v>
      </c>
      <c r="DA1089" s="483">
        <v>0</v>
      </c>
      <c r="DB1089" s="483">
        <v>1</v>
      </c>
      <c r="DC1089" s="483">
        <v>1</v>
      </c>
      <c r="DD1089" s="483">
        <v>0</v>
      </c>
      <c r="DE1089" s="483">
        <f>IFERROR(SUM(VLOOKUP($BS1089,'État &amp; Plan d''action'!$B$6:$Z$1113,18,FALSE),VLOOKUP($BS1089,'État &amp; Plan d''action'!$B$6:$Z$1113,20,FALSE))/(VLOOKUP($BS1089,'Données par municipalité'!$B$4:$L$1113,11,FALSE)),"")</f>
        <v>0</v>
      </c>
      <c r="DF1089" s="483">
        <f>IFERROR(SUM(VLOOKUP($BS1089,'État &amp; Plan d''action'!$B$6:$Z$1113,19,FALSE),VLOOKUP($BS1089,'État &amp; Plan d''action'!$B$6:$Z$1113,21,FALSE))/(VLOOKUP($BS1089,'Données par municipalité'!$B$4:$L$1113,11,FALSE)),"")</f>
        <v>1</v>
      </c>
      <c r="DG1089" s="476" t="s">
        <v>4723</v>
      </c>
      <c r="DH1089" s="484">
        <v>2</v>
      </c>
      <c r="DI1089" s="484">
        <v>5</v>
      </c>
      <c r="DJ1089" s="484">
        <v>5</v>
      </c>
      <c r="DK1089" s="484">
        <v>4</v>
      </c>
      <c r="DL1089" s="484">
        <v>3</v>
      </c>
      <c r="DM1089" s="484">
        <v>3</v>
      </c>
      <c r="DN1089" s="484">
        <v>1</v>
      </c>
      <c r="DO1089" s="484">
        <v>1</v>
      </c>
      <c r="DP1089" s="484">
        <v>0</v>
      </c>
      <c r="DQ1089" s="484">
        <f>IF(VLOOKUP($BS1089,'État &amp; Plan d''action'!$B$6:$AJ$1113,28,FALSE)="","",VLOOKUP($BS1089,'État &amp; Plan d''action'!$B$6:$AJ$1113,28,FALSE))</f>
        <v>0</v>
      </c>
      <c r="DR1089" s="70">
        <f>IF(VLOOKUP($BS1089,'État &amp; Plan d''action'!$B$6:$AJ$1113,29,FALSE)="","",VLOOKUP($BS1089,'État &amp; Plan d''action'!$B$6:$AJ$1113,29,FALSE))</f>
        <v>1</v>
      </c>
      <c r="DS1089" s="70">
        <f>IF(VLOOKUP($BS1089,'État &amp; Plan d''action'!$B$6:$AJ$1113,30,FALSE)="","",VLOOKUP($BS1089,'État &amp; Plan d''action'!$B$6:$AJ$1113,30,FALSE))</f>
        <v>0</v>
      </c>
      <c r="DT1089" s="70">
        <v>267</v>
      </c>
      <c r="DU1089" s="485">
        <v>2.3070534996946064</v>
      </c>
      <c r="DV1089" s="485">
        <v>2.1277588299643826</v>
      </c>
      <c r="DW1089" s="70">
        <v>2</v>
      </c>
      <c r="DX1089" s="70">
        <v>2</v>
      </c>
      <c r="DY1089" s="70">
        <v>0</v>
      </c>
      <c r="DZ1089" s="70">
        <f>VLOOKUP($BS1089,'État &amp; Plan d''action'!$B$6:$AH$1113,31,FALSE)</f>
        <v>0</v>
      </c>
      <c r="EA1089" s="70">
        <f>VLOOKUP($BS1089,'État &amp; Plan d''action'!$B$6:$AH$1113,32,FALSE)</f>
        <v>3</v>
      </c>
      <c r="EB1089" s="70">
        <f>VLOOKUP($BS1089,'État &amp; Plan d''action'!$B$6:$AH$1113,33,FALSE)</f>
        <v>0</v>
      </c>
      <c r="EC1089" s="70">
        <v>0</v>
      </c>
      <c r="ED1089" s="70">
        <v>0</v>
      </c>
      <c r="EE1089" s="70">
        <v>0</v>
      </c>
      <c r="EF1089" s="70">
        <v>0</v>
      </c>
      <c r="EG1089" s="70">
        <v>0</v>
      </c>
      <c r="EH1089" s="72">
        <v>56</v>
      </c>
      <c r="EI1089" s="72">
        <v>1869</v>
      </c>
    </row>
    <row r="1090" spans="71:139" x14ac:dyDescent="0.35">
      <c r="BS1090" s="486">
        <v>78005</v>
      </c>
      <c r="BT1090" s="479" t="s">
        <v>766</v>
      </c>
      <c r="BU1090" s="479">
        <v>15</v>
      </c>
      <c r="BV1090" s="476" t="s">
        <v>1187</v>
      </c>
      <c r="BW1090" s="476" t="s">
        <v>1187</v>
      </c>
      <c r="BX1090" s="476" t="s">
        <v>1187</v>
      </c>
      <c r="BY1090" s="476" t="s">
        <v>1187</v>
      </c>
      <c r="BZ1090" s="476" t="s">
        <v>1187</v>
      </c>
      <c r="CA1090" s="476" t="s">
        <v>1187</v>
      </c>
      <c r="CB1090" s="476" t="s">
        <v>1187</v>
      </c>
      <c r="CC1090" s="476" t="s">
        <v>1187</v>
      </c>
      <c r="CD1090" s="476" t="s">
        <v>1187</v>
      </c>
      <c r="CE1090" s="476" t="s">
        <v>1188</v>
      </c>
      <c r="CF1090" s="476" t="s">
        <v>1188</v>
      </c>
      <c r="CG1090" s="476" t="s">
        <v>1187</v>
      </c>
      <c r="CH1090" s="476" t="s">
        <v>1188</v>
      </c>
      <c r="CI1090" s="476" t="s">
        <v>1188</v>
      </c>
      <c r="CJ1090" s="476" t="s">
        <v>1187</v>
      </c>
      <c r="CK1090" s="476" t="s">
        <v>1188</v>
      </c>
      <c r="CL1090" s="476" t="s">
        <v>1188</v>
      </c>
      <c r="CM1090" s="476" t="str">
        <f>IF(VLOOKUP(BS1090,'Données par municipalité'!$B$6:$E$1113,4,FALSE)="","non","oui")</f>
        <v>oui</v>
      </c>
      <c r="CN1090" s="410">
        <v>478.91608396179186</v>
      </c>
      <c r="CO1090" s="410">
        <v>489.02601153937826</v>
      </c>
      <c r="CP1090" s="410"/>
      <c r="CQ1090" s="410">
        <v>533.22290749096157</v>
      </c>
      <c r="CR1090" s="410">
        <v>492.47368415524062</v>
      </c>
      <c r="CS1090" s="410" t="s">
        <v>1124</v>
      </c>
      <c r="CT1090" s="410">
        <v>437</v>
      </c>
      <c r="CU1090" s="410">
        <v>506.70103057886888</v>
      </c>
      <c r="CV1090" s="410">
        <f>IF(VLOOKUP(BS1090,'Données par municipalité'!$B$6:$F$1113,4,FALSE)="","",VLOOKUP(BS1090,'Données par municipalité'!$B$6:$F$1113,4,FALSE))</f>
        <v>544</v>
      </c>
      <c r="CW1090" s="476" t="s">
        <v>4723</v>
      </c>
      <c r="CX1090" s="483">
        <v>0.05</v>
      </c>
      <c r="CY1090" s="483" t="s">
        <v>1124</v>
      </c>
      <c r="CZ1090" s="483">
        <v>0.05</v>
      </c>
      <c r="DA1090" s="483">
        <v>0</v>
      </c>
      <c r="DB1090" s="483" t="s">
        <v>1124</v>
      </c>
      <c r="DC1090" s="483">
        <v>0.05</v>
      </c>
      <c r="DD1090" s="483">
        <v>1.8936046658418967E-2</v>
      </c>
      <c r="DE1090" s="483">
        <f>IFERROR(SUM(VLOOKUP($BS1090,'État &amp; Plan d''action'!$B$6:$Z$1113,18,FALSE),VLOOKUP($BS1090,'État &amp; Plan d''action'!$B$6:$Z$1113,20,FALSE))/(VLOOKUP($BS1090,'Données par municipalité'!$B$4:$L$1113,11,FALSE)),"")</f>
        <v>0.47064904817358655</v>
      </c>
      <c r="DF1090" s="483">
        <f>IFERROR(SUM(VLOOKUP($BS1090,'État &amp; Plan d''action'!$B$6:$Z$1113,19,FALSE),VLOOKUP($BS1090,'État &amp; Plan d''action'!$B$6:$Z$1113,21,FALSE))/(VLOOKUP($BS1090,'Données par municipalité'!$B$4:$L$1113,11,FALSE)),"")</f>
        <v>0.9412980963471731</v>
      </c>
      <c r="DG1090" s="476" t="s">
        <v>4723</v>
      </c>
      <c r="DH1090" s="484">
        <v>5</v>
      </c>
      <c r="DI1090" s="484">
        <v>5</v>
      </c>
      <c r="DJ1090" s="484">
        <v>0</v>
      </c>
      <c r="DK1090" s="484">
        <v>0</v>
      </c>
      <c r="DL1090" s="484" t="s">
        <v>1124</v>
      </c>
      <c r="DM1090" s="484">
        <v>7</v>
      </c>
      <c r="DN1090" s="484">
        <v>5</v>
      </c>
      <c r="DO1090" s="484">
        <v>11</v>
      </c>
      <c r="DP1090" s="484">
        <v>9</v>
      </c>
      <c r="DQ1090" s="484">
        <f>IF(VLOOKUP($BS1090,'État &amp; Plan d''action'!$B$6:$AJ$1113,28,FALSE)="","",VLOOKUP($BS1090,'État &amp; Plan d''action'!$B$6:$AJ$1113,28,FALSE))</f>
        <v>8</v>
      </c>
      <c r="DR1090" s="70">
        <f>IF(VLOOKUP($BS1090,'État &amp; Plan d''action'!$B$6:$AJ$1113,29,FALSE)="","",VLOOKUP($BS1090,'État &amp; Plan d''action'!$B$6:$AJ$1113,29,FALSE))</f>
        <v>6</v>
      </c>
      <c r="DS1090" s="70">
        <f>IF(VLOOKUP($BS1090,'État &amp; Plan d''action'!$B$6:$AJ$1113,30,FALSE)="","",VLOOKUP($BS1090,'État &amp; Plan d''action'!$B$6:$AJ$1113,30,FALSE))</f>
        <v>12</v>
      </c>
      <c r="DT1090" s="70">
        <v>384.04510642936884</v>
      </c>
      <c r="DU1090" s="485">
        <v>1.7004577594028012</v>
      </c>
      <c r="DV1090" s="485">
        <v>1.5</v>
      </c>
      <c r="DW1090" s="70">
        <v>2</v>
      </c>
      <c r="DX1090" s="70">
        <v>6</v>
      </c>
      <c r="DY1090" s="70">
        <v>72</v>
      </c>
      <c r="DZ1090" s="70">
        <f>VLOOKUP($BS1090,'État &amp; Plan d''action'!$B$6:$AH$1113,31,FALSE)</f>
        <v>3</v>
      </c>
      <c r="EA1090" s="70">
        <f>VLOOKUP($BS1090,'État &amp; Plan d''action'!$B$6:$AH$1113,32,FALSE)</f>
        <v>4</v>
      </c>
      <c r="EB1090" s="70">
        <f>VLOOKUP($BS1090,'État &amp; Plan d''action'!$B$6:$AH$1113,33,FALSE)</f>
        <v>45</v>
      </c>
      <c r="EC1090" s="70">
        <v>39.606999999999999</v>
      </c>
      <c r="ED1090" s="70">
        <v>0</v>
      </c>
      <c r="EE1090" s="70">
        <v>0.75</v>
      </c>
      <c r="EF1090" s="70">
        <v>0</v>
      </c>
      <c r="EG1090" s="70">
        <v>0</v>
      </c>
      <c r="EH1090" s="72">
        <v>51.5</v>
      </c>
      <c r="EI1090" s="72">
        <v>2939</v>
      </c>
    </row>
    <row r="1091" spans="71:139" x14ac:dyDescent="0.35">
      <c r="BS1091" s="486">
        <v>30015</v>
      </c>
      <c r="BT1091" s="479" t="s">
        <v>219</v>
      </c>
      <c r="BU1091" s="479">
        <v>5</v>
      </c>
      <c r="BV1091" s="476" t="s">
        <v>1188</v>
      </c>
      <c r="BW1091" s="476" t="s">
        <v>1188</v>
      </c>
      <c r="BX1091" s="476" t="s">
        <v>1188</v>
      </c>
      <c r="BY1091" s="476" t="s">
        <v>1188</v>
      </c>
      <c r="BZ1091" s="476" t="s">
        <v>1188</v>
      </c>
      <c r="CA1091" s="476" t="s">
        <v>1188</v>
      </c>
      <c r="CB1091" s="476" t="s">
        <v>1188</v>
      </c>
      <c r="CC1091" s="476" t="s">
        <v>1188</v>
      </c>
      <c r="CD1091" s="476" t="s">
        <v>1188</v>
      </c>
      <c r="CE1091" s="476" t="s">
        <v>1187</v>
      </c>
      <c r="CF1091" s="476" t="s">
        <v>1187</v>
      </c>
      <c r="CG1091" s="476" t="s">
        <v>1187</v>
      </c>
      <c r="CH1091" s="476" t="s">
        <v>1187</v>
      </c>
      <c r="CI1091" s="476" t="s">
        <v>1187</v>
      </c>
      <c r="CJ1091" s="476" t="s">
        <v>1187</v>
      </c>
      <c r="CK1091" s="476" t="s">
        <v>1187</v>
      </c>
      <c r="CL1091" s="476" t="s">
        <v>1187</v>
      </c>
      <c r="CM1091" s="476" t="str">
        <f>IF(VLOOKUP(BS1091,'Données par municipalité'!$B$6:$E$1113,4,FALSE)="","non","oui")</f>
        <v>non</v>
      </c>
      <c r="CN1091" s="410" t="s">
        <v>1124</v>
      </c>
      <c r="CO1091" s="410" t="s">
        <v>1124</v>
      </c>
      <c r="CP1091" s="410"/>
      <c r="CQ1091" s="410"/>
      <c r="CR1091" s="410"/>
      <c r="CS1091" s="410" t="s">
        <v>1124</v>
      </c>
      <c r="CT1091" s="410"/>
      <c r="CU1091" s="410" t="s">
        <v>1124</v>
      </c>
      <c r="CV1091" s="410" t="str">
        <f>IF(VLOOKUP(BS1091,'Données par municipalité'!$B$6:$F$1113,4,FALSE)="","",VLOOKUP(BS1091,'Données par municipalité'!$B$6:$F$1113,4,FALSE))</f>
        <v/>
      </c>
      <c r="CW1091" s="476" t="s">
        <v>4723</v>
      </c>
      <c r="CX1091" s="483" t="s">
        <v>1124</v>
      </c>
      <c r="CY1091" s="483" t="s">
        <v>1124</v>
      </c>
      <c r="CZ1091" s="483" t="s">
        <v>1124</v>
      </c>
      <c r="DA1091" s="483" t="s">
        <v>1124</v>
      </c>
      <c r="DB1091" s="483" t="s">
        <v>1124</v>
      </c>
      <c r="DC1091" s="483" t="s">
        <v>1124</v>
      </c>
      <c r="DD1091" s="483" t="s">
        <v>1124</v>
      </c>
      <c r="DE1091" s="483" t="str">
        <f>IFERROR(SUM(VLOOKUP($BS1091,'État &amp; Plan d''action'!$B$6:$Z$1113,18,FALSE),VLOOKUP($BS1091,'État &amp; Plan d''action'!$B$6:$Z$1113,20,FALSE))/(VLOOKUP($BS1091,'Données par municipalité'!$B$4:$L$1113,11,FALSE)),"")</f>
        <v/>
      </c>
      <c r="DF1091" s="483" t="str">
        <f>IFERROR(SUM(VLOOKUP($BS1091,'État &amp; Plan d''action'!$B$6:$Z$1113,19,FALSE),VLOOKUP($BS1091,'État &amp; Plan d''action'!$B$6:$Z$1113,21,FALSE))/(VLOOKUP($BS1091,'Données par municipalité'!$B$4:$L$1113,11,FALSE)),"")</f>
        <v/>
      </c>
      <c r="DG1091" s="476" t="s">
        <v>4723</v>
      </c>
      <c r="DH1091" s="484" t="s">
        <v>1124</v>
      </c>
      <c r="DI1091" s="484" t="s">
        <v>1124</v>
      </c>
      <c r="DJ1091" s="484">
        <v>0</v>
      </c>
      <c r="DK1091" s="484">
        <v>0</v>
      </c>
      <c r="DL1091" s="484" t="s">
        <v>1124</v>
      </c>
      <c r="DM1091" s="484" t="s">
        <v>1124</v>
      </c>
      <c r="DN1091" s="484" t="s">
        <v>1124</v>
      </c>
      <c r="DO1091" s="484" t="s">
        <v>1124</v>
      </c>
      <c r="DP1091" s="484" t="s">
        <v>1124</v>
      </c>
      <c r="DQ1091" s="484" t="str">
        <f>IF(VLOOKUP($BS1091,'État &amp; Plan d''action'!$B$6:$AJ$1113,28,FALSE)="","",VLOOKUP($BS1091,'État &amp; Plan d''action'!$B$6:$AJ$1113,28,FALSE))</f>
        <v/>
      </c>
      <c r="DR1091" s="70" t="str">
        <f>IF(VLOOKUP($BS1091,'État &amp; Plan d''action'!$B$6:$AJ$1113,29,FALSE)="","",VLOOKUP($BS1091,'État &amp; Plan d''action'!$B$6:$AJ$1113,29,FALSE))</f>
        <v/>
      </c>
      <c r="DS1091" s="70" t="str">
        <f>IF(VLOOKUP($BS1091,'État &amp; Plan d''action'!$B$6:$AJ$1113,30,FALSE)="","",VLOOKUP($BS1091,'État &amp; Plan d''action'!$B$6:$AJ$1113,30,FALSE))</f>
        <v/>
      </c>
      <c r="DT1091" s="70" t="s">
        <v>1124</v>
      </c>
      <c r="DU1091" s="485" t="s">
        <v>1124</v>
      </c>
      <c r="DV1091" s="485" t="s">
        <v>1124</v>
      </c>
      <c r="DW1091" s="70" t="s">
        <v>1124</v>
      </c>
      <c r="DX1091" s="70" t="s">
        <v>1124</v>
      </c>
      <c r="DY1091" s="70" t="s">
        <v>1124</v>
      </c>
      <c r="DZ1091" s="70" t="str">
        <f>VLOOKUP($BS1091,'État &amp; Plan d''action'!$B$6:$AH$1113,31,FALSE)</f>
        <v/>
      </c>
      <c r="EA1091" s="70" t="str">
        <f>VLOOKUP($BS1091,'État &amp; Plan d''action'!$B$6:$AH$1113,32,FALSE)</f>
        <v/>
      </c>
      <c r="EB1091" s="70" t="str">
        <f>VLOOKUP($BS1091,'État &amp; Plan d''action'!$B$6:$AH$1113,33,FALSE)</f>
        <v/>
      </c>
      <c r="EC1091" s="70" t="s">
        <v>1124</v>
      </c>
      <c r="ED1091" s="70" t="s">
        <v>1124</v>
      </c>
      <c r="EE1091" s="70" t="s">
        <v>1124</v>
      </c>
      <c r="EF1091" s="70" t="s">
        <v>1124</v>
      </c>
      <c r="EG1091" s="70" t="s">
        <v>1124</v>
      </c>
      <c r="EH1091" s="72"/>
      <c r="EI1091" s="72">
        <v>195</v>
      </c>
    </row>
    <row r="1092" spans="71:139" x14ac:dyDescent="0.35">
      <c r="BS1092" s="486">
        <v>87105</v>
      </c>
      <c r="BT1092" s="479" t="s">
        <v>907</v>
      </c>
      <c r="BU1092" s="479">
        <v>8</v>
      </c>
      <c r="BV1092" s="476" t="s">
        <v>1188</v>
      </c>
      <c r="BW1092" s="476" t="s">
        <v>1188</v>
      </c>
      <c r="BX1092" s="476" t="s">
        <v>1188</v>
      </c>
      <c r="BY1092" s="476" t="s">
        <v>1188</v>
      </c>
      <c r="BZ1092" s="476" t="s">
        <v>1188</v>
      </c>
      <c r="CA1092" s="476" t="s">
        <v>1188</v>
      </c>
      <c r="CB1092" s="476" t="s">
        <v>1188</v>
      </c>
      <c r="CC1092" s="476" t="s">
        <v>1188</v>
      </c>
      <c r="CD1092" s="476" t="s">
        <v>1188</v>
      </c>
      <c r="CE1092" s="476" t="s">
        <v>1187</v>
      </c>
      <c r="CF1092" s="476" t="s">
        <v>1187</v>
      </c>
      <c r="CG1092" s="476" t="s">
        <v>1187</v>
      </c>
      <c r="CH1092" s="476" t="s">
        <v>1187</v>
      </c>
      <c r="CI1092" s="476" t="s">
        <v>1187</v>
      </c>
      <c r="CJ1092" s="476" t="s">
        <v>1187</v>
      </c>
      <c r="CK1092" s="476" t="s">
        <v>1187</v>
      </c>
      <c r="CL1092" s="476" t="s">
        <v>1187</v>
      </c>
      <c r="CM1092" s="476" t="str">
        <f>IF(VLOOKUP(BS1092,'Données par municipalité'!$B$6:$E$1113,4,FALSE)="","non","oui")</f>
        <v>non</v>
      </c>
      <c r="CN1092" s="410" t="s">
        <v>1124</v>
      </c>
      <c r="CO1092" s="410" t="s">
        <v>1124</v>
      </c>
      <c r="CP1092" s="410"/>
      <c r="CQ1092" s="410"/>
      <c r="CR1092" s="410"/>
      <c r="CS1092" s="410" t="s">
        <v>1124</v>
      </c>
      <c r="CT1092" s="410"/>
      <c r="CU1092" s="410" t="s">
        <v>1124</v>
      </c>
      <c r="CV1092" s="410" t="str">
        <f>IF(VLOOKUP(BS1092,'Données par municipalité'!$B$6:$F$1113,4,FALSE)="","",VLOOKUP(BS1092,'Données par municipalité'!$B$6:$F$1113,4,FALSE))</f>
        <v/>
      </c>
      <c r="CW1092" s="476" t="s">
        <v>4723</v>
      </c>
      <c r="CX1092" s="483" t="s">
        <v>1124</v>
      </c>
      <c r="CY1092" s="483" t="s">
        <v>1124</v>
      </c>
      <c r="CZ1092" s="483" t="s">
        <v>1124</v>
      </c>
      <c r="DA1092" s="483" t="s">
        <v>1124</v>
      </c>
      <c r="DB1092" s="483" t="s">
        <v>1124</v>
      </c>
      <c r="DC1092" s="483" t="s">
        <v>1124</v>
      </c>
      <c r="DD1092" s="483" t="s">
        <v>1124</v>
      </c>
      <c r="DE1092" s="483" t="str">
        <f>IFERROR(SUM(VLOOKUP($BS1092,'État &amp; Plan d''action'!$B$6:$Z$1113,18,FALSE),VLOOKUP($BS1092,'État &amp; Plan d''action'!$B$6:$Z$1113,20,FALSE))/(VLOOKUP($BS1092,'Données par municipalité'!$B$4:$L$1113,11,FALSE)),"")</f>
        <v/>
      </c>
      <c r="DF1092" s="483" t="str">
        <f>IFERROR(SUM(VLOOKUP($BS1092,'État &amp; Plan d''action'!$B$6:$Z$1113,19,FALSE),VLOOKUP($BS1092,'État &amp; Plan d''action'!$B$6:$Z$1113,21,FALSE))/(VLOOKUP($BS1092,'Données par municipalité'!$B$4:$L$1113,11,FALSE)),"")</f>
        <v/>
      </c>
      <c r="DG1092" s="476" t="s">
        <v>4723</v>
      </c>
      <c r="DH1092" s="484" t="s">
        <v>1124</v>
      </c>
      <c r="DI1092" s="484" t="s">
        <v>1124</v>
      </c>
      <c r="DJ1092" s="484">
        <v>0</v>
      </c>
      <c r="DK1092" s="484">
        <v>0</v>
      </c>
      <c r="DL1092" s="484" t="s">
        <v>1124</v>
      </c>
      <c r="DM1092" s="484" t="s">
        <v>1124</v>
      </c>
      <c r="DN1092" s="484" t="s">
        <v>1124</v>
      </c>
      <c r="DO1092" s="484" t="s">
        <v>1124</v>
      </c>
      <c r="DP1092" s="484" t="s">
        <v>1124</v>
      </c>
      <c r="DQ1092" s="484" t="str">
        <f>IF(VLOOKUP($BS1092,'État &amp; Plan d''action'!$B$6:$AJ$1113,28,FALSE)="","",VLOOKUP($BS1092,'État &amp; Plan d''action'!$B$6:$AJ$1113,28,FALSE))</f>
        <v/>
      </c>
      <c r="DR1092" s="70" t="str">
        <f>IF(VLOOKUP($BS1092,'État &amp; Plan d''action'!$B$6:$AJ$1113,29,FALSE)="","",VLOOKUP($BS1092,'État &amp; Plan d''action'!$B$6:$AJ$1113,29,FALSE))</f>
        <v/>
      </c>
      <c r="DS1092" s="70" t="str">
        <f>IF(VLOOKUP($BS1092,'État &amp; Plan d''action'!$B$6:$AJ$1113,30,FALSE)="","",VLOOKUP($BS1092,'État &amp; Plan d''action'!$B$6:$AJ$1113,30,FALSE))</f>
        <v/>
      </c>
      <c r="DT1092" s="70" t="s">
        <v>1124</v>
      </c>
      <c r="DU1092" s="485" t="s">
        <v>1124</v>
      </c>
      <c r="DV1092" s="485" t="s">
        <v>1124</v>
      </c>
      <c r="DW1092" s="70" t="s">
        <v>1124</v>
      </c>
      <c r="DX1092" s="70" t="s">
        <v>1124</v>
      </c>
      <c r="DY1092" s="70" t="s">
        <v>1124</v>
      </c>
      <c r="DZ1092" s="70" t="str">
        <f>VLOOKUP($BS1092,'État &amp; Plan d''action'!$B$6:$AH$1113,31,FALSE)</f>
        <v/>
      </c>
      <c r="EA1092" s="70" t="str">
        <f>VLOOKUP($BS1092,'État &amp; Plan d''action'!$B$6:$AH$1113,32,FALSE)</f>
        <v/>
      </c>
      <c r="EB1092" s="70" t="str">
        <f>VLOOKUP($BS1092,'État &amp; Plan d''action'!$B$6:$AH$1113,33,FALSE)</f>
        <v/>
      </c>
      <c r="EC1092" s="70" t="s">
        <v>1124</v>
      </c>
      <c r="ED1092" s="70" t="s">
        <v>1124</v>
      </c>
      <c r="EE1092" s="70" t="s">
        <v>1124</v>
      </c>
      <c r="EF1092" s="70" t="s">
        <v>1124</v>
      </c>
      <c r="EG1092" s="70" t="s">
        <v>1124</v>
      </c>
      <c r="EH1092" s="72"/>
      <c r="EI1092" s="72">
        <v>180</v>
      </c>
    </row>
    <row r="1093" spans="71:139" x14ac:dyDescent="0.35">
      <c r="BS1093" s="486">
        <v>59020</v>
      </c>
      <c r="BT1093" s="479" t="s">
        <v>601</v>
      </c>
      <c r="BU1093" s="479">
        <v>16</v>
      </c>
      <c r="BV1093" s="476" t="s">
        <v>1187</v>
      </c>
      <c r="BW1093" s="476" t="s">
        <v>1187</v>
      </c>
      <c r="BX1093" s="476" t="s">
        <v>1187</v>
      </c>
      <c r="BY1093" s="476" t="s">
        <v>1187</v>
      </c>
      <c r="BZ1093" s="476" t="s">
        <v>1187</v>
      </c>
      <c r="CA1093" s="476" t="s">
        <v>1187</v>
      </c>
      <c r="CB1093" s="476" t="s">
        <v>1187</v>
      </c>
      <c r="CC1093" s="476" t="s">
        <v>1187</v>
      </c>
      <c r="CD1093" s="476" t="s">
        <v>1187</v>
      </c>
      <c r="CE1093" s="476" t="s">
        <v>1188</v>
      </c>
      <c r="CF1093" s="476" t="s">
        <v>1188</v>
      </c>
      <c r="CG1093" s="476" t="s">
        <v>1188</v>
      </c>
      <c r="CH1093" s="476" t="s">
        <v>1188</v>
      </c>
      <c r="CI1093" s="476" t="s">
        <v>1188</v>
      </c>
      <c r="CJ1093" s="476" t="s">
        <v>1188</v>
      </c>
      <c r="CK1093" s="476" t="s">
        <v>1188</v>
      </c>
      <c r="CL1093" s="476" t="s">
        <v>1188</v>
      </c>
      <c r="CM1093" s="476" t="str">
        <f>IF(VLOOKUP(BS1093,'Données par municipalité'!$B$6:$E$1113,4,FALSE)="","non","oui")</f>
        <v>non</v>
      </c>
      <c r="CN1093" s="410">
        <v>539.83090432022857</v>
      </c>
      <c r="CO1093" s="410">
        <v>520.4498688073096</v>
      </c>
      <c r="CP1093" s="410">
        <v>528.92587825580131</v>
      </c>
      <c r="CQ1093" s="410">
        <v>511.74692086962955</v>
      </c>
      <c r="CR1093" s="410">
        <v>494.73125479411567</v>
      </c>
      <c r="CS1093" s="410">
        <v>514.62114281252639</v>
      </c>
      <c r="CT1093" s="410">
        <v>518.25914739925156</v>
      </c>
      <c r="CU1093" s="410">
        <v>536</v>
      </c>
      <c r="CV1093" s="410" t="str">
        <f>IF(VLOOKUP(BS1093,'Données par municipalité'!$B$6:$F$1113,4,FALSE)="","",VLOOKUP(BS1093,'Données par municipalité'!$B$6:$F$1113,4,FALSE))</f>
        <v/>
      </c>
      <c r="CW1093" s="476" t="s">
        <v>4723</v>
      </c>
      <c r="CX1093" s="483">
        <v>1</v>
      </c>
      <c r="CY1093" s="483">
        <v>1</v>
      </c>
      <c r="CZ1093" s="483">
        <v>1</v>
      </c>
      <c r="DA1093" s="483">
        <v>1</v>
      </c>
      <c r="DB1093" s="483">
        <v>1</v>
      </c>
      <c r="DC1093" s="483">
        <v>1</v>
      </c>
      <c r="DD1093" s="483">
        <v>0.95451127819548864</v>
      </c>
      <c r="DE1093" s="483" t="str">
        <f>IFERROR(SUM(VLOOKUP($BS1093,'État &amp; Plan d''action'!$B$6:$Z$1113,18,FALSE),VLOOKUP($BS1093,'État &amp; Plan d''action'!$B$6:$Z$1113,20,FALSE))/(VLOOKUP($BS1093,'Données par municipalité'!$B$4:$L$1113,11,FALSE)),"")</f>
        <v/>
      </c>
      <c r="DF1093" s="483" t="str">
        <f>IFERROR(SUM(VLOOKUP($BS1093,'État &amp; Plan d''action'!$B$6:$Z$1113,19,FALSE),VLOOKUP($BS1093,'État &amp; Plan d''action'!$B$6:$Z$1113,21,FALSE))/(VLOOKUP($BS1093,'Données par municipalité'!$B$4:$L$1113,11,FALSE)),"")</f>
        <v/>
      </c>
      <c r="DG1093" s="476" t="s">
        <v>4723</v>
      </c>
      <c r="DH1093" s="484">
        <v>9</v>
      </c>
      <c r="DI1093" s="484">
        <v>6</v>
      </c>
      <c r="DJ1093" s="484">
        <v>16</v>
      </c>
      <c r="DK1093" s="484">
        <v>13</v>
      </c>
      <c r="DL1093" s="484">
        <v>7</v>
      </c>
      <c r="DM1093" s="484">
        <v>6</v>
      </c>
      <c r="DN1093" s="484">
        <v>11</v>
      </c>
      <c r="DO1093" s="484">
        <v>1</v>
      </c>
      <c r="DP1093" s="484">
        <v>1</v>
      </c>
      <c r="DQ1093" s="484" t="str">
        <f>IF(VLOOKUP($BS1093,'État &amp; Plan d''action'!$B$6:$AJ$1113,28,FALSE)="","",VLOOKUP($BS1093,'État &amp; Plan d''action'!$B$6:$AJ$1113,28,FALSE))</f>
        <v/>
      </c>
      <c r="DR1093" s="70" t="str">
        <f>IF(VLOOKUP($BS1093,'État &amp; Plan d''action'!$B$6:$AJ$1113,29,FALSE)="","",VLOOKUP($BS1093,'État &amp; Plan d''action'!$B$6:$AJ$1113,29,FALSE))</f>
        <v/>
      </c>
      <c r="DS1093" s="70" t="str">
        <f>IF(VLOOKUP($BS1093,'État &amp; Plan d''action'!$B$6:$AJ$1113,30,FALSE)="","",VLOOKUP($BS1093,'État &amp; Plan d''action'!$B$6:$AJ$1113,30,FALSE))</f>
        <v/>
      </c>
      <c r="DT1093" s="70">
        <v>258</v>
      </c>
      <c r="DU1093" s="485">
        <v>1.0860423887387343</v>
      </c>
      <c r="DV1093" s="485" t="s">
        <v>1124</v>
      </c>
      <c r="DW1093" s="70">
        <v>2</v>
      </c>
      <c r="DX1093" s="70">
        <v>2</v>
      </c>
      <c r="DY1093" s="70">
        <v>0</v>
      </c>
      <c r="DZ1093" s="70" t="str">
        <f>VLOOKUP($BS1093,'État &amp; Plan d''action'!$B$6:$AH$1113,31,FALSE)</f>
        <v/>
      </c>
      <c r="EA1093" s="70" t="str">
        <f>VLOOKUP($BS1093,'État &amp; Plan d''action'!$B$6:$AH$1113,32,FALSE)</f>
        <v/>
      </c>
      <c r="EB1093" s="70" t="str">
        <f>VLOOKUP($BS1093,'État &amp; Plan d''action'!$B$6:$AH$1113,33,FALSE)</f>
        <v/>
      </c>
      <c r="EC1093" s="70">
        <v>0</v>
      </c>
      <c r="ED1093" s="70">
        <v>50.6</v>
      </c>
      <c r="EE1093" s="70">
        <v>76.349999999999994</v>
      </c>
      <c r="EF1093" s="70">
        <v>0</v>
      </c>
      <c r="EG1093" s="70">
        <v>0</v>
      </c>
      <c r="EH1093" s="72">
        <v>66</v>
      </c>
      <c r="EI1093" s="72">
        <v>21489</v>
      </c>
    </row>
    <row r="1094" spans="71:139" x14ac:dyDescent="0.35">
      <c r="BS1094" s="486">
        <v>71083</v>
      </c>
      <c r="BT1094" s="479" t="s">
        <v>717</v>
      </c>
      <c r="BU1094" s="479">
        <v>16</v>
      </c>
      <c r="BV1094" s="476" t="s">
        <v>1187</v>
      </c>
      <c r="BW1094" s="476" t="s">
        <v>1187</v>
      </c>
      <c r="BX1094" s="476" t="s">
        <v>1187</v>
      </c>
      <c r="BY1094" s="476" t="s">
        <v>1187</v>
      </c>
      <c r="BZ1094" s="476" t="s">
        <v>1187</v>
      </c>
      <c r="CA1094" s="476" t="s">
        <v>1187</v>
      </c>
      <c r="CB1094" s="476" t="s">
        <v>1187</v>
      </c>
      <c r="CC1094" s="476" t="s">
        <v>1187</v>
      </c>
      <c r="CD1094" s="476" t="s">
        <v>1187</v>
      </c>
      <c r="CE1094" s="476" t="s">
        <v>1188</v>
      </c>
      <c r="CF1094" s="476" t="s">
        <v>1188</v>
      </c>
      <c r="CG1094" s="476" t="s">
        <v>1187</v>
      </c>
      <c r="CH1094" s="476" t="s">
        <v>1188</v>
      </c>
      <c r="CI1094" s="476" t="s">
        <v>1187</v>
      </c>
      <c r="CJ1094" s="476" t="s">
        <v>1188</v>
      </c>
      <c r="CK1094" s="476" t="s">
        <v>1188</v>
      </c>
      <c r="CL1094" s="476" t="s">
        <v>1187</v>
      </c>
      <c r="CM1094" s="476" t="str">
        <f>IF(VLOOKUP(BS1094,'Données par municipalité'!$B$6:$E$1113,4,FALSE)="","non","oui")</f>
        <v>non</v>
      </c>
      <c r="CN1094" s="410">
        <v>483.44561778237028</v>
      </c>
      <c r="CO1094" s="410">
        <v>475.31139399646088</v>
      </c>
      <c r="CP1094" s="410"/>
      <c r="CQ1094" s="410">
        <v>347</v>
      </c>
      <c r="CR1094" s="410"/>
      <c r="CS1094" s="410">
        <v>376.97636373521732</v>
      </c>
      <c r="CT1094" s="410">
        <v>356</v>
      </c>
      <c r="CU1094" s="410" t="s">
        <v>1124</v>
      </c>
      <c r="CV1094" s="410" t="str">
        <f>IF(VLOOKUP(BS1094,'Données par municipalité'!$B$6:$F$1113,4,FALSE)="","",VLOOKUP(BS1094,'Données par municipalité'!$B$6:$F$1113,4,FALSE))</f>
        <v/>
      </c>
      <c r="CW1094" s="476" t="s">
        <v>4723</v>
      </c>
      <c r="CX1094" s="483">
        <v>1.1999999999999999E-3</v>
      </c>
      <c r="CY1094" s="483" t="s">
        <v>1124</v>
      </c>
      <c r="CZ1094" s="483">
        <v>1</v>
      </c>
      <c r="DA1094" s="483" t="s">
        <v>1124</v>
      </c>
      <c r="DB1094" s="483">
        <v>1</v>
      </c>
      <c r="DC1094" s="483">
        <v>1</v>
      </c>
      <c r="DD1094" s="483" t="s">
        <v>1124</v>
      </c>
      <c r="DE1094" s="483" t="str">
        <f>IFERROR(SUM(VLOOKUP($BS1094,'État &amp; Plan d''action'!$B$6:$Z$1113,18,FALSE),VLOOKUP($BS1094,'État &amp; Plan d''action'!$B$6:$Z$1113,20,FALSE))/(VLOOKUP($BS1094,'Données par municipalité'!$B$4:$L$1113,11,FALSE)),"")</f>
        <v/>
      </c>
      <c r="DF1094" s="483" t="str">
        <f>IFERROR(SUM(VLOOKUP($BS1094,'État &amp; Plan d''action'!$B$6:$Z$1113,19,FALSE),VLOOKUP($BS1094,'État &amp; Plan d''action'!$B$6:$Z$1113,21,FALSE))/(VLOOKUP($BS1094,'Données par municipalité'!$B$4:$L$1113,11,FALSE)),"")</f>
        <v/>
      </c>
      <c r="DG1094" s="476" t="s">
        <v>4723</v>
      </c>
      <c r="DH1094" s="484">
        <v>22</v>
      </c>
      <c r="DI1094" s="484">
        <v>22</v>
      </c>
      <c r="DJ1094" s="484">
        <v>30</v>
      </c>
      <c r="DK1094" s="484">
        <v>37</v>
      </c>
      <c r="DL1094" s="484">
        <v>32</v>
      </c>
      <c r="DM1094" s="484">
        <v>28</v>
      </c>
      <c r="DN1094" s="484" t="s">
        <v>1124</v>
      </c>
      <c r="DO1094" s="484" t="s">
        <v>1124</v>
      </c>
      <c r="DP1094" s="484" t="s">
        <v>1124</v>
      </c>
      <c r="DQ1094" s="484" t="str">
        <f>IF(VLOOKUP($BS1094,'État &amp; Plan d''action'!$B$6:$AJ$1113,28,FALSE)="","",VLOOKUP($BS1094,'État &amp; Plan d''action'!$B$6:$AJ$1113,28,FALSE))</f>
        <v/>
      </c>
      <c r="DR1094" s="70" t="str">
        <f>IF(VLOOKUP($BS1094,'État &amp; Plan d''action'!$B$6:$AJ$1113,29,FALSE)="","",VLOOKUP($BS1094,'État &amp; Plan d''action'!$B$6:$AJ$1113,29,FALSE))</f>
        <v/>
      </c>
      <c r="DS1094" s="70" t="str">
        <f>IF(VLOOKUP($BS1094,'État &amp; Plan d''action'!$B$6:$AJ$1113,30,FALSE)="","",VLOOKUP($BS1094,'État &amp; Plan d''action'!$B$6:$AJ$1113,30,FALSE))</f>
        <v/>
      </c>
      <c r="DT1094" s="70" t="s">
        <v>1124</v>
      </c>
      <c r="DU1094" s="485" t="s">
        <v>1124</v>
      </c>
      <c r="DV1094" s="485" t="s">
        <v>1124</v>
      </c>
      <c r="DW1094" s="70" t="s">
        <v>1124</v>
      </c>
      <c r="DX1094" s="70" t="s">
        <v>1124</v>
      </c>
      <c r="DY1094" s="70" t="s">
        <v>1124</v>
      </c>
      <c r="DZ1094" s="70" t="str">
        <f>VLOOKUP($BS1094,'État &amp; Plan d''action'!$B$6:$AH$1113,31,FALSE)</f>
        <v/>
      </c>
      <c r="EA1094" s="70" t="str">
        <f>VLOOKUP($BS1094,'État &amp; Plan d''action'!$B$6:$AH$1113,32,FALSE)</f>
        <v/>
      </c>
      <c r="EB1094" s="70" t="str">
        <f>VLOOKUP($BS1094,'État &amp; Plan d''action'!$B$6:$AH$1113,33,FALSE)</f>
        <v/>
      </c>
      <c r="EC1094" s="70" t="s">
        <v>1124</v>
      </c>
      <c r="ED1094" s="70" t="s">
        <v>1124</v>
      </c>
      <c r="EE1094" s="70" t="s">
        <v>1124</v>
      </c>
      <c r="EF1094" s="70" t="s">
        <v>1124</v>
      </c>
      <c r="EG1094" s="70" t="s">
        <v>1124</v>
      </c>
      <c r="EH1094" s="72"/>
      <c r="EI1094" s="72">
        <v>40247</v>
      </c>
    </row>
    <row r="1095" spans="71:139" x14ac:dyDescent="0.35">
      <c r="BS1095" s="486">
        <v>71090</v>
      </c>
      <c r="BT1095" s="479" t="s">
        <v>718</v>
      </c>
      <c r="BU1095" s="479">
        <v>16</v>
      </c>
      <c r="BV1095" s="476" t="s">
        <v>1187</v>
      </c>
      <c r="BW1095" s="476" t="s">
        <v>1187</v>
      </c>
      <c r="BX1095" s="476" t="s">
        <v>1187</v>
      </c>
      <c r="BY1095" s="476" t="s">
        <v>1187</v>
      </c>
      <c r="BZ1095" s="476" t="s">
        <v>1187</v>
      </c>
      <c r="CA1095" s="476" t="s">
        <v>1187</v>
      </c>
      <c r="CB1095" s="476" t="s">
        <v>1187</v>
      </c>
      <c r="CC1095" s="476" t="s">
        <v>1187</v>
      </c>
      <c r="CD1095" s="476" t="s">
        <v>1187</v>
      </c>
      <c r="CE1095" s="476" t="s">
        <v>1188</v>
      </c>
      <c r="CF1095" s="476" t="s">
        <v>1188</v>
      </c>
      <c r="CG1095" s="476" t="s">
        <v>1187</v>
      </c>
      <c r="CH1095" s="476" t="s">
        <v>1188</v>
      </c>
      <c r="CI1095" s="476" t="s">
        <v>1187</v>
      </c>
      <c r="CJ1095" s="476" t="s">
        <v>1187</v>
      </c>
      <c r="CK1095" s="476" t="s">
        <v>1188</v>
      </c>
      <c r="CL1095" s="476" t="s">
        <v>1188</v>
      </c>
      <c r="CM1095" s="476" t="str">
        <f>IF(VLOOKUP(BS1095,'Données par municipalité'!$B$6:$E$1113,4,FALSE)="","non","oui")</f>
        <v>non</v>
      </c>
      <c r="CN1095" s="410">
        <v>234.33684737370226</v>
      </c>
      <c r="CO1095" s="410">
        <v>360.14253023626333</v>
      </c>
      <c r="CP1095" s="410"/>
      <c r="CQ1095" s="410">
        <v>347</v>
      </c>
      <c r="CR1095" s="410"/>
      <c r="CS1095" s="410" t="s">
        <v>1124</v>
      </c>
      <c r="CT1095" s="410">
        <v>342.76632876731253</v>
      </c>
      <c r="CU1095" s="410">
        <v>280</v>
      </c>
      <c r="CV1095" s="410" t="str">
        <f>IF(VLOOKUP(BS1095,'Données par municipalité'!$B$6:$F$1113,4,FALSE)="","",VLOOKUP(BS1095,'Données par municipalité'!$B$6:$F$1113,4,FALSE))</f>
        <v/>
      </c>
      <c r="CW1095" s="476" t="s">
        <v>4723</v>
      </c>
      <c r="CX1095" s="483">
        <v>1</v>
      </c>
      <c r="CY1095" s="483" t="s">
        <v>1124</v>
      </c>
      <c r="CZ1095" s="483">
        <v>1</v>
      </c>
      <c r="DA1095" s="483" t="s">
        <v>1124</v>
      </c>
      <c r="DB1095" s="483" t="s">
        <v>1124</v>
      </c>
      <c r="DC1095" s="483">
        <v>0</v>
      </c>
      <c r="DD1095" s="483">
        <v>0</v>
      </c>
      <c r="DE1095" s="483" t="str">
        <f>IFERROR(SUM(VLOOKUP($BS1095,'État &amp; Plan d''action'!$B$6:$Z$1113,18,FALSE),VLOOKUP($BS1095,'État &amp; Plan d''action'!$B$6:$Z$1113,20,FALSE))/(VLOOKUP($BS1095,'Données par municipalité'!$B$4:$L$1113,11,FALSE)),"")</f>
        <v/>
      </c>
      <c r="DF1095" s="483" t="str">
        <f>IFERROR(SUM(VLOOKUP($BS1095,'État &amp; Plan d''action'!$B$6:$Z$1113,19,FALSE),VLOOKUP($BS1095,'État &amp; Plan d''action'!$B$6:$Z$1113,21,FALSE))/(VLOOKUP($BS1095,'Données par municipalité'!$B$4:$L$1113,11,FALSE)),"")</f>
        <v/>
      </c>
      <c r="DG1095" s="476" t="s">
        <v>4723</v>
      </c>
      <c r="DH1095" s="484">
        <v>0</v>
      </c>
      <c r="DI1095" s="484" t="s">
        <v>1124</v>
      </c>
      <c r="DJ1095" s="484">
        <v>1</v>
      </c>
      <c r="DK1095" s="484">
        <v>0</v>
      </c>
      <c r="DL1095" s="484" t="s">
        <v>1124</v>
      </c>
      <c r="DM1095" s="484">
        <v>0</v>
      </c>
      <c r="DN1095" s="484">
        <v>0</v>
      </c>
      <c r="DO1095" s="484">
        <v>0</v>
      </c>
      <c r="DP1095" s="484">
        <v>0</v>
      </c>
      <c r="DQ1095" s="484" t="str">
        <f>IF(VLOOKUP($BS1095,'État &amp; Plan d''action'!$B$6:$AJ$1113,28,FALSE)="","",VLOOKUP($BS1095,'État &amp; Plan d''action'!$B$6:$AJ$1113,28,FALSE))</f>
        <v/>
      </c>
      <c r="DR1095" s="70" t="str">
        <f>IF(VLOOKUP($BS1095,'État &amp; Plan d''action'!$B$6:$AJ$1113,29,FALSE)="","",VLOOKUP($BS1095,'État &amp; Plan d''action'!$B$6:$AJ$1113,29,FALSE))</f>
        <v/>
      </c>
      <c r="DS1095" s="70" t="str">
        <f>IF(VLOOKUP($BS1095,'État &amp; Plan d''action'!$B$6:$AJ$1113,30,FALSE)="","",VLOOKUP($BS1095,'État &amp; Plan d''action'!$B$6:$AJ$1113,30,FALSE))</f>
        <v/>
      </c>
      <c r="DT1095" s="70">
        <v>227</v>
      </c>
      <c r="DU1095" s="485">
        <v>2.3982764260536742</v>
      </c>
      <c r="DV1095" s="485" t="s">
        <v>1124</v>
      </c>
      <c r="DW1095" s="70">
        <v>0</v>
      </c>
      <c r="DX1095" s="70">
        <v>0</v>
      </c>
      <c r="DY1095" s="70">
        <v>0</v>
      </c>
      <c r="DZ1095" s="70" t="str">
        <f>VLOOKUP($BS1095,'État &amp; Plan d''action'!$B$6:$AH$1113,31,FALSE)</f>
        <v/>
      </c>
      <c r="EA1095" s="70" t="str">
        <f>VLOOKUP($BS1095,'État &amp; Plan d''action'!$B$6:$AH$1113,32,FALSE)</f>
        <v/>
      </c>
      <c r="EB1095" s="70" t="str">
        <f>VLOOKUP($BS1095,'État &amp; Plan d''action'!$B$6:$AH$1113,33,FALSE)</f>
        <v/>
      </c>
      <c r="EC1095" s="70">
        <v>0</v>
      </c>
      <c r="ED1095" s="70">
        <v>0</v>
      </c>
      <c r="EE1095" s="70">
        <v>0</v>
      </c>
      <c r="EF1095" s="70">
        <v>0</v>
      </c>
      <c r="EG1095" s="70">
        <v>0</v>
      </c>
      <c r="EH1095" s="72">
        <v>43</v>
      </c>
      <c r="EI1095" s="72">
        <v>1374</v>
      </c>
    </row>
    <row r="1096" spans="71:139" x14ac:dyDescent="0.35">
      <c r="BS1096" s="486">
        <v>56005</v>
      </c>
      <c r="BT1096" s="479" t="s">
        <v>567</v>
      </c>
      <c r="BU1096" s="479">
        <v>16</v>
      </c>
      <c r="BV1096" s="476" t="s">
        <v>1187</v>
      </c>
      <c r="BW1096" s="476" t="s">
        <v>1187</v>
      </c>
      <c r="BX1096" s="476" t="s">
        <v>1187</v>
      </c>
      <c r="BY1096" s="476" t="s">
        <v>1187</v>
      </c>
      <c r="BZ1096" s="476" t="s">
        <v>1187</v>
      </c>
      <c r="CA1096" s="476" t="s">
        <v>1187</v>
      </c>
      <c r="CB1096" s="476" t="s">
        <v>1187</v>
      </c>
      <c r="CC1096" s="476" t="s">
        <v>1187</v>
      </c>
      <c r="CD1096" s="476" t="s">
        <v>1187</v>
      </c>
      <c r="CE1096" s="476" t="s">
        <v>1188</v>
      </c>
      <c r="CF1096" s="476" t="s">
        <v>1188</v>
      </c>
      <c r="CG1096" s="476" t="s">
        <v>1188</v>
      </c>
      <c r="CH1096" s="476" t="s">
        <v>1188</v>
      </c>
      <c r="CI1096" s="476" t="s">
        <v>1188</v>
      </c>
      <c r="CJ1096" s="476" t="s">
        <v>1188</v>
      </c>
      <c r="CK1096" s="476" t="s">
        <v>1188</v>
      </c>
      <c r="CL1096" s="476" t="s">
        <v>1187</v>
      </c>
      <c r="CM1096" s="476" t="str">
        <f>IF(VLOOKUP(BS1096,'Données par municipalité'!$B$6:$E$1113,4,FALSE)="","non","oui")</f>
        <v>non</v>
      </c>
      <c r="CN1096" s="410">
        <v>333.46987217863483</v>
      </c>
      <c r="CO1096" s="410">
        <v>345.14512001615282</v>
      </c>
      <c r="CP1096" s="410">
        <v>267.29861920722823</v>
      </c>
      <c r="CQ1096" s="410">
        <v>336.43635200935529</v>
      </c>
      <c r="CR1096" s="410">
        <v>357.17452741075448</v>
      </c>
      <c r="CS1096" s="410">
        <v>395.05501472157931</v>
      </c>
      <c r="CT1096" s="410">
        <v>282</v>
      </c>
      <c r="CU1096" s="410" t="s">
        <v>1124</v>
      </c>
      <c r="CV1096" s="410" t="str">
        <f>IF(VLOOKUP(BS1096,'Données par municipalité'!$B$6:$F$1113,4,FALSE)="","",VLOOKUP(BS1096,'Données par municipalité'!$B$6:$F$1113,4,FALSE))</f>
        <v/>
      </c>
      <c r="CW1096" s="476" t="s">
        <v>4723</v>
      </c>
      <c r="CX1096" s="483">
        <v>0</v>
      </c>
      <c r="CY1096" s="483">
        <v>0</v>
      </c>
      <c r="CZ1096" s="483">
        <v>0.1</v>
      </c>
      <c r="DA1096" s="483">
        <v>0.2</v>
      </c>
      <c r="DB1096" s="483">
        <v>0.2</v>
      </c>
      <c r="DC1096" s="483">
        <v>0.2</v>
      </c>
      <c r="DD1096" s="483" t="s">
        <v>1124</v>
      </c>
      <c r="DE1096" s="483" t="str">
        <f>IFERROR(SUM(VLOOKUP($BS1096,'État &amp; Plan d''action'!$B$6:$Z$1113,18,FALSE),VLOOKUP($BS1096,'État &amp; Plan d''action'!$B$6:$Z$1113,20,FALSE))/(VLOOKUP($BS1096,'Données par municipalité'!$B$4:$L$1113,11,FALSE)),"")</f>
        <v/>
      </c>
      <c r="DF1096" s="483" t="str">
        <f>IFERROR(SUM(VLOOKUP($BS1096,'État &amp; Plan d''action'!$B$6:$Z$1113,19,FALSE),VLOOKUP($BS1096,'État &amp; Plan d''action'!$B$6:$Z$1113,21,FALSE))/(VLOOKUP($BS1096,'Données par municipalité'!$B$4:$L$1113,11,FALSE)),"")</f>
        <v/>
      </c>
      <c r="DG1096" s="476" t="s">
        <v>4723</v>
      </c>
      <c r="DH1096" s="484">
        <v>1</v>
      </c>
      <c r="DI1096" s="484">
        <v>3</v>
      </c>
      <c r="DJ1096" s="484">
        <v>2</v>
      </c>
      <c r="DK1096" s="484">
        <v>1</v>
      </c>
      <c r="DL1096" s="484">
        <v>1</v>
      </c>
      <c r="DM1096" s="484">
        <v>0</v>
      </c>
      <c r="DN1096" s="484" t="s">
        <v>1124</v>
      </c>
      <c r="DO1096" s="484" t="s">
        <v>1124</v>
      </c>
      <c r="DP1096" s="484" t="s">
        <v>1124</v>
      </c>
      <c r="DQ1096" s="484" t="str">
        <f>IF(VLOOKUP($BS1096,'État &amp; Plan d''action'!$B$6:$AJ$1113,28,FALSE)="","",VLOOKUP($BS1096,'État &amp; Plan d''action'!$B$6:$AJ$1113,28,FALSE))</f>
        <v/>
      </c>
      <c r="DR1096" s="70" t="str">
        <f>IF(VLOOKUP($BS1096,'État &amp; Plan d''action'!$B$6:$AJ$1113,29,FALSE)="","",VLOOKUP($BS1096,'État &amp; Plan d''action'!$B$6:$AJ$1113,29,FALSE))</f>
        <v/>
      </c>
      <c r="DS1096" s="70" t="str">
        <f>IF(VLOOKUP($BS1096,'État &amp; Plan d''action'!$B$6:$AJ$1113,30,FALSE)="","",VLOOKUP($BS1096,'État &amp; Plan d''action'!$B$6:$AJ$1113,30,FALSE))</f>
        <v/>
      </c>
      <c r="DT1096" s="70" t="s">
        <v>1124</v>
      </c>
      <c r="DU1096" s="485" t="s">
        <v>1124</v>
      </c>
      <c r="DV1096" s="485" t="s">
        <v>1124</v>
      </c>
      <c r="DW1096" s="70" t="s">
        <v>1124</v>
      </c>
      <c r="DX1096" s="70" t="s">
        <v>1124</v>
      </c>
      <c r="DY1096" s="70" t="s">
        <v>1124</v>
      </c>
      <c r="DZ1096" s="70" t="str">
        <f>VLOOKUP($BS1096,'État &amp; Plan d''action'!$B$6:$AH$1113,31,FALSE)</f>
        <v/>
      </c>
      <c r="EA1096" s="70" t="str">
        <f>VLOOKUP($BS1096,'État &amp; Plan d''action'!$B$6:$AH$1113,32,FALSE)</f>
        <v/>
      </c>
      <c r="EB1096" s="70" t="str">
        <f>VLOOKUP($BS1096,'État &amp; Plan d''action'!$B$6:$AH$1113,33,FALSE)</f>
        <v/>
      </c>
      <c r="EC1096" s="70" t="s">
        <v>1124</v>
      </c>
      <c r="ED1096" s="70" t="s">
        <v>1124</v>
      </c>
      <c r="EE1096" s="70" t="s">
        <v>1124</v>
      </c>
      <c r="EF1096" s="70" t="s">
        <v>1124</v>
      </c>
      <c r="EG1096" s="70" t="s">
        <v>1124</v>
      </c>
      <c r="EH1096" s="72"/>
      <c r="EI1096" s="72">
        <v>1704</v>
      </c>
    </row>
    <row r="1097" spans="71:139" x14ac:dyDescent="0.35">
      <c r="BS1097" s="486">
        <v>59025</v>
      </c>
      <c r="BT1097" s="479" t="s">
        <v>602</v>
      </c>
      <c r="BU1097" s="479">
        <v>16</v>
      </c>
      <c r="BV1097" s="476" t="s">
        <v>1187</v>
      </c>
      <c r="BW1097" s="476" t="s">
        <v>1187</v>
      </c>
      <c r="BX1097" s="476" t="s">
        <v>1187</v>
      </c>
      <c r="BY1097" s="476" t="s">
        <v>1187</v>
      </c>
      <c r="BZ1097" s="476" t="s">
        <v>1187</v>
      </c>
      <c r="CA1097" s="476" t="s">
        <v>1187</v>
      </c>
      <c r="CB1097" s="476" t="s">
        <v>1187</v>
      </c>
      <c r="CC1097" s="476" t="s">
        <v>1187</v>
      </c>
      <c r="CD1097" s="476" t="s">
        <v>1187</v>
      </c>
      <c r="CE1097" s="476" t="s">
        <v>1188</v>
      </c>
      <c r="CF1097" s="476" t="s">
        <v>1188</v>
      </c>
      <c r="CG1097" s="476" t="s">
        <v>1188</v>
      </c>
      <c r="CH1097" s="476" t="s">
        <v>1188</v>
      </c>
      <c r="CI1097" s="476" t="s">
        <v>1188</v>
      </c>
      <c r="CJ1097" s="476" t="s">
        <v>1188</v>
      </c>
      <c r="CK1097" s="476" t="s">
        <v>1188</v>
      </c>
      <c r="CL1097" s="476" t="s">
        <v>1188</v>
      </c>
      <c r="CM1097" s="476" t="str">
        <f>IF(VLOOKUP(BS1097,'Données par municipalité'!$B$6:$E$1113,4,FALSE)="","non","oui")</f>
        <v>oui</v>
      </c>
      <c r="CN1097" s="410">
        <v>441.84172255723303</v>
      </c>
      <c r="CO1097" s="410">
        <v>447.92143246838793</v>
      </c>
      <c r="CP1097" s="410">
        <v>396.85453392187651</v>
      </c>
      <c r="CQ1097" s="410">
        <v>390.030182403673</v>
      </c>
      <c r="CR1097" s="410">
        <v>376.2666699239947</v>
      </c>
      <c r="CS1097" s="410">
        <v>316.31939959918714</v>
      </c>
      <c r="CT1097" s="410">
        <v>310.92077548858236</v>
      </c>
      <c r="CU1097" s="410">
        <v>317</v>
      </c>
      <c r="CV1097" s="410">
        <f>IF(VLOOKUP(BS1097,'Données par municipalité'!$B$6:$F$1113,4,FALSE)="","",VLOOKUP(BS1097,'Données par municipalité'!$B$6:$F$1113,4,FALSE))</f>
        <v>347</v>
      </c>
      <c r="CW1097" s="476" t="s">
        <v>4723</v>
      </c>
      <c r="CX1097" s="483">
        <v>0.1</v>
      </c>
      <c r="CY1097" s="483">
        <v>0.2</v>
      </c>
      <c r="CZ1097" s="483">
        <v>1</v>
      </c>
      <c r="DA1097" s="483">
        <v>1</v>
      </c>
      <c r="DB1097" s="483">
        <v>1</v>
      </c>
      <c r="DC1097" s="483">
        <v>0</v>
      </c>
      <c r="DD1097" s="483">
        <v>3.6920804873546244E-2</v>
      </c>
      <c r="DE1097" s="483">
        <f>IFERROR(SUM(VLOOKUP($BS1097,'État &amp; Plan d''action'!$B$6:$Z$1113,18,FALSE),VLOOKUP($BS1097,'État &amp; Plan d''action'!$B$6:$Z$1113,20,FALSE))/(VLOOKUP($BS1097,'Données par municipalité'!$B$4:$L$1113,11,FALSE)),"")</f>
        <v>1</v>
      </c>
      <c r="DF1097" s="483">
        <f>IFERROR(SUM(VLOOKUP($BS1097,'État &amp; Plan d''action'!$B$6:$Z$1113,19,FALSE),VLOOKUP($BS1097,'État &amp; Plan d''action'!$B$6:$Z$1113,21,FALSE))/(VLOOKUP($BS1097,'Données par municipalité'!$B$4:$L$1113,11,FALSE)),"")</f>
        <v>1</v>
      </c>
      <c r="DG1097" s="476" t="s">
        <v>4723</v>
      </c>
      <c r="DH1097" s="484">
        <v>8</v>
      </c>
      <c r="DI1097" s="484">
        <v>5</v>
      </c>
      <c r="DJ1097" s="484">
        <v>6</v>
      </c>
      <c r="DK1097" s="484">
        <v>12</v>
      </c>
      <c r="DL1097" s="484">
        <v>7</v>
      </c>
      <c r="DM1097" s="484">
        <v>3</v>
      </c>
      <c r="DN1097" s="484">
        <v>0</v>
      </c>
      <c r="DO1097" s="484">
        <v>1</v>
      </c>
      <c r="DP1097" s="484">
        <v>1</v>
      </c>
      <c r="DQ1097" s="484">
        <f>IF(VLOOKUP($BS1097,'État &amp; Plan d''action'!$B$6:$AJ$1113,28,FALSE)="","",VLOOKUP($BS1097,'État &amp; Plan d''action'!$B$6:$AJ$1113,28,FALSE))</f>
        <v>2</v>
      </c>
      <c r="DR1097" s="70">
        <f>IF(VLOOKUP($BS1097,'État &amp; Plan d''action'!$B$6:$AJ$1113,29,FALSE)="","",VLOOKUP($BS1097,'État &amp; Plan d''action'!$B$6:$AJ$1113,29,FALSE))</f>
        <v>4</v>
      </c>
      <c r="DS1097" s="70">
        <f>IF(VLOOKUP($BS1097,'État &amp; Plan d''action'!$B$6:$AJ$1113,30,FALSE)="","",VLOOKUP($BS1097,'État &amp; Plan d''action'!$B$6:$AJ$1113,30,FALSE))</f>
        <v>1</v>
      </c>
      <c r="DT1097" s="70">
        <v>167</v>
      </c>
      <c r="DU1097" s="485">
        <v>1.3517776073327195</v>
      </c>
      <c r="DV1097" s="485">
        <v>3.8692444218776583</v>
      </c>
      <c r="DW1097" s="70">
        <v>0</v>
      </c>
      <c r="DX1097" s="70">
        <v>1</v>
      </c>
      <c r="DY1097" s="70">
        <v>2</v>
      </c>
      <c r="DZ1097" s="70">
        <f>VLOOKUP($BS1097,'État &amp; Plan d''action'!$B$6:$AH$1113,31,FALSE)</f>
        <v>2</v>
      </c>
      <c r="EA1097" s="70">
        <f>VLOOKUP($BS1097,'État &amp; Plan d''action'!$B$6:$AH$1113,32,FALSE)</f>
        <v>7</v>
      </c>
      <c r="EB1097" s="70">
        <f>VLOOKUP($BS1097,'État &amp; Plan d''action'!$B$6:$AH$1113,33,FALSE)</f>
        <v>10</v>
      </c>
      <c r="EC1097" s="70">
        <v>0</v>
      </c>
      <c r="ED1097" s="70">
        <v>2</v>
      </c>
      <c r="EE1097" s="70">
        <v>0</v>
      </c>
      <c r="EF1097" s="70">
        <v>0</v>
      </c>
      <c r="EG1097" s="70">
        <v>0</v>
      </c>
      <c r="EH1097" s="72">
        <v>46</v>
      </c>
      <c r="EI1097" s="72">
        <v>5798</v>
      </c>
    </row>
    <row r="1098" spans="71:139" x14ac:dyDescent="0.35">
      <c r="BS1098" s="486">
        <v>39062</v>
      </c>
      <c r="BT1098" s="479" t="s">
        <v>346</v>
      </c>
      <c r="BU1098" s="479">
        <v>17</v>
      </c>
      <c r="BV1098" s="476" t="s">
        <v>1187</v>
      </c>
      <c r="BW1098" s="476" t="s">
        <v>1187</v>
      </c>
      <c r="BX1098" s="476" t="s">
        <v>1187</v>
      </c>
      <c r="BY1098" s="476" t="s">
        <v>1187</v>
      </c>
      <c r="BZ1098" s="476" t="s">
        <v>1187</v>
      </c>
      <c r="CA1098" s="476" t="s">
        <v>1187</v>
      </c>
      <c r="CB1098" s="476" t="s">
        <v>1187</v>
      </c>
      <c r="CC1098" s="476" t="s">
        <v>1187</v>
      </c>
      <c r="CD1098" s="476" t="s">
        <v>1187</v>
      </c>
      <c r="CE1098" s="476" t="s">
        <v>1188</v>
      </c>
      <c r="CF1098" s="476" t="s">
        <v>1188</v>
      </c>
      <c r="CG1098" s="476" t="s">
        <v>1188</v>
      </c>
      <c r="CH1098" s="476" t="s">
        <v>1188</v>
      </c>
      <c r="CI1098" s="476" t="s">
        <v>1188</v>
      </c>
      <c r="CJ1098" s="476" t="s">
        <v>1188</v>
      </c>
      <c r="CK1098" s="476" t="s">
        <v>1188</v>
      </c>
      <c r="CL1098" s="476" t="s">
        <v>1188</v>
      </c>
      <c r="CM1098" s="476" t="str">
        <f>IF(VLOOKUP(BS1098,'Données par municipalité'!$B$6:$E$1113,4,FALSE)="","non","oui")</f>
        <v>oui</v>
      </c>
      <c r="CN1098" s="410">
        <v>573.98229229385322</v>
      </c>
      <c r="CO1098" s="410">
        <v>528.55130008913022</v>
      </c>
      <c r="CP1098" s="410">
        <v>533.1587349624383</v>
      </c>
      <c r="CQ1098" s="410">
        <v>502.52975898737367</v>
      </c>
      <c r="CR1098" s="410">
        <v>496.89066506814981</v>
      </c>
      <c r="CS1098" s="410">
        <v>504.96060110651689</v>
      </c>
      <c r="CT1098" s="410">
        <v>501.6558081414193</v>
      </c>
      <c r="CU1098" s="410">
        <v>519</v>
      </c>
      <c r="CV1098" s="410">
        <f>IF(VLOOKUP(BS1098,'Données par municipalité'!$B$6:$F$1113,4,FALSE)="","",VLOOKUP(BS1098,'Données par municipalité'!$B$6:$F$1113,4,FALSE))</f>
        <v>548</v>
      </c>
      <c r="CW1098" s="476" t="s">
        <v>4723</v>
      </c>
      <c r="CX1098" s="483">
        <v>0.4</v>
      </c>
      <c r="CY1098" s="483">
        <v>0.4</v>
      </c>
      <c r="CZ1098" s="483">
        <v>0.4</v>
      </c>
      <c r="DA1098" s="483">
        <v>0.4</v>
      </c>
      <c r="DB1098" s="483">
        <v>0.6</v>
      </c>
      <c r="DC1098" s="483">
        <v>1</v>
      </c>
      <c r="DD1098" s="483">
        <v>0.77606786732815736</v>
      </c>
      <c r="DE1098" s="483">
        <f>IFERROR(SUM(VLOOKUP($BS1098,'État &amp; Plan d''action'!$B$6:$Z$1113,18,FALSE),VLOOKUP($BS1098,'État &amp; Plan d''action'!$B$6:$Z$1113,20,FALSE))/(VLOOKUP($BS1098,'Données par municipalité'!$B$4:$L$1113,11,FALSE)),"")</f>
        <v>2.9366779813800195</v>
      </c>
      <c r="DF1098" s="483">
        <f>IFERROR(SUM(VLOOKUP($BS1098,'État &amp; Plan d''action'!$B$6:$Z$1113,19,FALSE),VLOOKUP($BS1098,'État &amp; Plan d''action'!$B$6:$Z$1113,21,FALSE))/(VLOOKUP($BS1098,'Données par municipalité'!$B$4:$L$1113,11,FALSE)),"")</f>
        <v>2.9538894914012874</v>
      </c>
      <c r="DG1098" s="476" t="s">
        <v>4723</v>
      </c>
      <c r="DH1098" s="484">
        <v>65</v>
      </c>
      <c r="DI1098" s="484">
        <v>54</v>
      </c>
      <c r="DJ1098" s="484">
        <v>48</v>
      </c>
      <c r="DK1098" s="484">
        <v>70</v>
      </c>
      <c r="DL1098" s="484">
        <v>50</v>
      </c>
      <c r="DM1098" s="484">
        <v>67</v>
      </c>
      <c r="DN1098" s="484">
        <v>60</v>
      </c>
      <c r="DO1098" s="484">
        <v>6</v>
      </c>
      <c r="DP1098" s="484">
        <v>3</v>
      </c>
      <c r="DQ1098" s="484">
        <f>IF(VLOOKUP($BS1098,'État &amp; Plan d''action'!$B$6:$AJ$1113,28,FALSE)="","",VLOOKUP($BS1098,'État &amp; Plan d''action'!$B$6:$AJ$1113,28,FALSE))</f>
        <v>74</v>
      </c>
      <c r="DR1098" s="70">
        <f>IF(VLOOKUP($BS1098,'État &amp; Plan d''action'!$B$6:$AJ$1113,29,FALSE)="","",VLOOKUP($BS1098,'État &amp; Plan d''action'!$B$6:$AJ$1113,29,FALSE))</f>
        <v>7</v>
      </c>
      <c r="DS1098" s="70">
        <f>IF(VLOOKUP($BS1098,'État &amp; Plan d''action'!$B$6:$AJ$1113,30,FALSE)="","",VLOOKUP($BS1098,'État &amp; Plan d''action'!$B$6:$AJ$1113,30,FALSE))</f>
        <v>4</v>
      </c>
      <c r="DT1098" s="70">
        <v>275</v>
      </c>
      <c r="DU1098" s="485">
        <v>4.690441121363583</v>
      </c>
      <c r="DV1098" s="485">
        <v>10.5169356752151</v>
      </c>
      <c r="DW1098" s="70">
        <v>3</v>
      </c>
      <c r="DX1098" s="70">
        <v>3</v>
      </c>
      <c r="DY1098" s="70">
        <v>15</v>
      </c>
      <c r="DZ1098" s="70">
        <f>VLOOKUP($BS1098,'État &amp; Plan d''action'!$B$6:$AH$1113,31,FALSE)</f>
        <v>3</v>
      </c>
      <c r="EA1098" s="70">
        <f>VLOOKUP($BS1098,'État &amp; Plan d''action'!$B$6:$AH$1113,32,FALSE)</f>
        <v>3</v>
      </c>
      <c r="EB1098" s="70">
        <f>VLOOKUP($BS1098,'État &amp; Plan d''action'!$B$6:$AH$1113,33,FALSE)</f>
        <v>15</v>
      </c>
      <c r="EC1098" s="70">
        <v>0</v>
      </c>
      <c r="ED1098" s="70">
        <v>268.58699999999999</v>
      </c>
      <c r="EE1098" s="70">
        <v>0</v>
      </c>
      <c r="EF1098" s="70">
        <v>0</v>
      </c>
      <c r="EG1098" s="70">
        <v>0</v>
      </c>
      <c r="EH1098" s="72">
        <v>62.208864738165666</v>
      </c>
      <c r="EI1098" s="72">
        <v>47301</v>
      </c>
    </row>
    <row r="1099" spans="71:139" x14ac:dyDescent="0.35">
      <c r="BS1099" s="486">
        <v>85025</v>
      </c>
      <c r="BT1099" s="479" t="s">
        <v>874</v>
      </c>
      <c r="BU1099" s="479">
        <v>8</v>
      </c>
      <c r="BV1099" s="476" t="s">
        <v>1187</v>
      </c>
      <c r="BW1099" s="476" t="s">
        <v>1187</v>
      </c>
      <c r="BX1099" s="476" t="s">
        <v>1187</v>
      </c>
      <c r="BY1099" s="476" t="s">
        <v>1187</v>
      </c>
      <c r="BZ1099" s="476" t="s">
        <v>1187</v>
      </c>
      <c r="CA1099" s="476" t="s">
        <v>1187</v>
      </c>
      <c r="CB1099" s="476" t="s">
        <v>1187</v>
      </c>
      <c r="CC1099" s="476" t="s">
        <v>1187</v>
      </c>
      <c r="CD1099" s="476" t="s">
        <v>1187</v>
      </c>
      <c r="CE1099" s="476" t="s">
        <v>1187</v>
      </c>
      <c r="CF1099" s="476" t="s">
        <v>1187</v>
      </c>
      <c r="CG1099" s="476" t="s">
        <v>1187</v>
      </c>
      <c r="CH1099" s="476" t="s">
        <v>1187</v>
      </c>
      <c r="CI1099" s="476" t="s">
        <v>1187</v>
      </c>
      <c r="CJ1099" s="476" t="s">
        <v>1188</v>
      </c>
      <c r="CK1099" s="476" t="s">
        <v>1188</v>
      </c>
      <c r="CL1099" s="476" t="s">
        <v>1188</v>
      </c>
      <c r="CM1099" s="476" t="str">
        <f>IF(VLOOKUP(BS1099,'Données par municipalité'!$B$6:$E$1113,4,FALSE)="","non","oui")</f>
        <v>oui</v>
      </c>
      <c r="CN1099" s="410" t="s">
        <v>1124</v>
      </c>
      <c r="CO1099" s="410" t="s">
        <v>1124</v>
      </c>
      <c r="CP1099" s="410"/>
      <c r="CQ1099" s="410"/>
      <c r="CR1099" s="410"/>
      <c r="CS1099" s="410">
        <v>412.96507099284474</v>
      </c>
      <c r="CT1099" s="410">
        <v>385.6355674566729</v>
      </c>
      <c r="CU1099" s="410">
        <v>400</v>
      </c>
      <c r="CV1099" s="410">
        <f>IF(VLOOKUP(BS1099,'Données par municipalité'!$B$6:$F$1113,4,FALSE)="","",VLOOKUP(BS1099,'Données par municipalité'!$B$6:$F$1113,4,FALSE))</f>
        <v>403</v>
      </c>
      <c r="CW1099" s="476" t="s">
        <v>4723</v>
      </c>
      <c r="CX1099" s="483" t="s">
        <v>1124</v>
      </c>
      <c r="CY1099" s="483" t="s">
        <v>1124</v>
      </c>
      <c r="CZ1099" s="483" t="s">
        <v>1124</v>
      </c>
      <c r="DA1099" s="483" t="s">
        <v>1124</v>
      </c>
      <c r="DB1099" s="483">
        <v>0</v>
      </c>
      <c r="DC1099" s="483">
        <v>0</v>
      </c>
      <c r="DD1099" s="483">
        <v>1</v>
      </c>
      <c r="DE1099" s="483">
        <f>IFERROR(SUM(VLOOKUP($BS1099,'État &amp; Plan d''action'!$B$6:$Z$1113,18,FALSE),VLOOKUP($BS1099,'État &amp; Plan d''action'!$B$6:$Z$1113,20,FALSE))/(VLOOKUP($BS1099,'Données par municipalité'!$B$4:$L$1113,11,FALSE)),"")</f>
        <v>0</v>
      </c>
      <c r="DF1099" s="483">
        <f>IFERROR(SUM(VLOOKUP($BS1099,'État &amp; Plan d''action'!$B$6:$Z$1113,19,FALSE),VLOOKUP($BS1099,'État &amp; Plan d''action'!$B$6:$Z$1113,21,FALSE))/(VLOOKUP($BS1099,'Données par municipalité'!$B$4:$L$1113,11,FALSE)),"")</f>
        <v>1.0051435061738989</v>
      </c>
      <c r="DG1099" s="476" t="s">
        <v>4723</v>
      </c>
      <c r="DH1099" s="484">
        <v>3</v>
      </c>
      <c r="DI1099" s="484" t="s">
        <v>1124</v>
      </c>
      <c r="DJ1099" s="484">
        <v>6</v>
      </c>
      <c r="DK1099" s="484">
        <v>4</v>
      </c>
      <c r="DL1099" s="484">
        <v>2</v>
      </c>
      <c r="DM1099" s="484">
        <v>3</v>
      </c>
      <c r="DN1099" s="484">
        <v>6</v>
      </c>
      <c r="DO1099" s="484">
        <v>0</v>
      </c>
      <c r="DP1099" s="484">
        <v>0</v>
      </c>
      <c r="DQ1099" s="484">
        <f>IF(VLOOKUP($BS1099,'État &amp; Plan d''action'!$B$6:$AJ$1113,28,FALSE)="","",VLOOKUP($BS1099,'État &amp; Plan d''action'!$B$6:$AJ$1113,28,FALSE))</f>
        <v>4</v>
      </c>
      <c r="DR1099" s="70">
        <f>IF(VLOOKUP($BS1099,'État &amp; Plan d''action'!$B$6:$AJ$1113,29,FALSE)="","",VLOOKUP($BS1099,'État &amp; Plan d''action'!$B$6:$AJ$1113,29,FALSE))</f>
        <v>2</v>
      </c>
      <c r="DS1099" s="70">
        <f>IF(VLOOKUP($BS1099,'État &amp; Plan d''action'!$B$6:$AJ$1113,30,FALSE)="","",VLOOKUP($BS1099,'État &amp; Plan d''action'!$B$6:$AJ$1113,30,FALSE))</f>
        <v>0</v>
      </c>
      <c r="DT1099" s="70">
        <v>190</v>
      </c>
      <c r="DU1099" s="485">
        <v>2.253682014254351</v>
      </c>
      <c r="DV1099" s="485">
        <v>1.5113479447329397</v>
      </c>
      <c r="DW1099" s="70">
        <v>1</v>
      </c>
      <c r="DX1099" s="70">
        <v>0</v>
      </c>
      <c r="DY1099" s="70">
        <v>0</v>
      </c>
      <c r="DZ1099" s="70">
        <f>VLOOKUP($BS1099,'État &amp; Plan d''action'!$B$6:$AH$1113,31,FALSE)</f>
        <v>1</v>
      </c>
      <c r="EA1099" s="70">
        <f>VLOOKUP($BS1099,'État &amp; Plan d''action'!$B$6:$AH$1113,32,FALSE)</f>
        <v>1</v>
      </c>
      <c r="EB1099" s="70">
        <f>VLOOKUP($BS1099,'État &amp; Plan d''action'!$B$6:$AH$1113,33,FALSE)</f>
        <v>0</v>
      </c>
      <c r="EC1099" s="70">
        <v>0</v>
      </c>
      <c r="ED1099" s="70">
        <v>24.238</v>
      </c>
      <c r="EE1099" s="70">
        <v>0</v>
      </c>
      <c r="EF1099" s="70">
        <v>0</v>
      </c>
      <c r="EG1099" s="70">
        <v>0</v>
      </c>
      <c r="EH1099" s="72">
        <v>56</v>
      </c>
      <c r="EI1099" s="72">
        <v>2572</v>
      </c>
    </row>
    <row r="1100" spans="71:139" x14ac:dyDescent="0.35">
      <c r="BS1100" s="486">
        <v>32085</v>
      </c>
      <c r="BT1100" s="479" t="s">
        <v>266</v>
      </c>
      <c r="BU1100" s="479">
        <v>17</v>
      </c>
      <c r="BV1100" s="476" t="s">
        <v>1187</v>
      </c>
      <c r="BW1100" s="476" t="s">
        <v>1187</v>
      </c>
      <c r="BX1100" s="476" t="s">
        <v>1187</v>
      </c>
      <c r="BY1100" s="476" t="s">
        <v>1187</v>
      </c>
      <c r="BZ1100" s="476" t="s">
        <v>1187</v>
      </c>
      <c r="CA1100" s="476" t="s">
        <v>1187</v>
      </c>
      <c r="CB1100" s="476" t="s">
        <v>1187</v>
      </c>
      <c r="CC1100" s="476" t="s">
        <v>1187</v>
      </c>
      <c r="CD1100" s="476" t="s">
        <v>1187</v>
      </c>
      <c r="CE1100" s="476" t="s">
        <v>1188</v>
      </c>
      <c r="CF1100" s="476" t="s">
        <v>1188</v>
      </c>
      <c r="CG1100" s="476" t="s">
        <v>1188</v>
      </c>
      <c r="CH1100" s="476" t="s">
        <v>1187</v>
      </c>
      <c r="CI1100" s="476" t="s">
        <v>1187</v>
      </c>
      <c r="CJ1100" s="476" t="s">
        <v>1187</v>
      </c>
      <c r="CK1100" s="476" t="s">
        <v>1187</v>
      </c>
      <c r="CL1100" s="476" t="s">
        <v>1187</v>
      </c>
      <c r="CM1100" s="476" t="str">
        <f>IF(VLOOKUP(BS1100,'Données par municipalité'!$B$6:$E$1113,4,FALSE)="","non","oui")</f>
        <v>non</v>
      </c>
      <c r="CN1100" s="410">
        <v>389.55876248382293</v>
      </c>
      <c r="CO1100" s="410">
        <v>335.17410202291808</v>
      </c>
      <c r="CP1100" s="410">
        <v>263.31308656368407</v>
      </c>
      <c r="CQ1100" s="410"/>
      <c r="CR1100" s="410"/>
      <c r="CS1100" s="410" t="s">
        <v>1124</v>
      </c>
      <c r="CT1100" s="410"/>
      <c r="CU1100" s="410" t="s">
        <v>1124</v>
      </c>
      <c r="CV1100" s="410" t="str">
        <f>IF(VLOOKUP(BS1100,'Données par municipalité'!$B$6:$F$1113,4,FALSE)="","",VLOOKUP(BS1100,'Données par municipalité'!$B$6:$F$1113,4,FALSE))</f>
        <v/>
      </c>
      <c r="CW1100" s="476" t="s">
        <v>4723</v>
      </c>
      <c r="CX1100" s="483">
        <v>0</v>
      </c>
      <c r="CY1100" s="483">
        <v>0</v>
      </c>
      <c r="CZ1100" s="483" t="s">
        <v>1124</v>
      </c>
      <c r="DA1100" s="483" t="s">
        <v>1124</v>
      </c>
      <c r="DB1100" s="483" t="s">
        <v>1124</v>
      </c>
      <c r="DC1100" s="483" t="s">
        <v>1124</v>
      </c>
      <c r="DD1100" s="483" t="s">
        <v>1124</v>
      </c>
      <c r="DE1100" s="483" t="str">
        <f>IFERROR(SUM(VLOOKUP($BS1100,'État &amp; Plan d''action'!$B$6:$Z$1113,18,FALSE),VLOOKUP($BS1100,'État &amp; Plan d''action'!$B$6:$Z$1113,20,FALSE))/(VLOOKUP($BS1100,'Données par municipalité'!$B$4:$L$1113,11,FALSE)),"")</f>
        <v/>
      </c>
      <c r="DF1100" s="483" t="str">
        <f>IFERROR(SUM(VLOOKUP($BS1100,'État &amp; Plan d''action'!$B$6:$Z$1113,19,FALSE),VLOOKUP($BS1100,'État &amp; Plan d''action'!$B$6:$Z$1113,21,FALSE))/(VLOOKUP($BS1100,'Données par municipalité'!$B$4:$L$1113,11,FALSE)),"")</f>
        <v/>
      </c>
      <c r="DG1100" s="476" t="s">
        <v>4723</v>
      </c>
      <c r="DH1100" s="484">
        <v>0</v>
      </c>
      <c r="DI1100" s="484">
        <v>0</v>
      </c>
      <c r="DJ1100" s="484">
        <v>0</v>
      </c>
      <c r="DK1100" s="484">
        <v>0</v>
      </c>
      <c r="DL1100" s="484" t="s">
        <v>1124</v>
      </c>
      <c r="DM1100" s="484" t="s">
        <v>1124</v>
      </c>
      <c r="DN1100" s="484" t="s">
        <v>1124</v>
      </c>
      <c r="DO1100" s="484" t="s">
        <v>1124</v>
      </c>
      <c r="DP1100" s="484" t="s">
        <v>1124</v>
      </c>
      <c r="DQ1100" s="484" t="str">
        <f>IF(VLOOKUP($BS1100,'État &amp; Plan d''action'!$B$6:$AJ$1113,28,FALSE)="","",VLOOKUP($BS1100,'État &amp; Plan d''action'!$B$6:$AJ$1113,28,FALSE))</f>
        <v/>
      </c>
      <c r="DR1100" s="70" t="str">
        <f>IF(VLOOKUP($BS1100,'État &amp; Plan d''action'!$B$6:$AJ$1113,29,FALSE)="","",VLOOKUP($BS1100,'État &amp; Plan d''action'!$B$6:$AJ$1113,29,FALSE))</f>
        <v/>
      </c>
      <c r="DS1100" s="70" t="str">
        <f>IF(VLOOKUP($BS1100,'État &amp; Plan d''action'!$B$6:$AJ$1113,30,FALSE)="","",VLOOKUP($BS1100,'État &amp; Plan d''action'!$B$6:$AJ$1113,30,FALSE))</f>
        <v/>
      </c>
      <c r="DT1100" s="70" t="s">
        <v>1124</v>
      </c>
      <c r="DU1100" s="485" t="s">
        <v>1124</v>
      </c>
      <c r="DV1100" s="485" t="s">
        <v>1124</v>
      </c>
      <c r="DW1100" s="70" t="s">
        <v>1124</v>
      </c>
      <c r="DX1100" s="70" t="s">
        <v>1124</v>
      </c>
      <c r="DY1100" s="70" t="s">
        <v>1124</v>
      </c>
      <c r="DZ1100" s="70" t="str">
        <f>VLOOKUP($BS1100,'État &amp; Plan d''action'!$B$6:$AH$1113,31,FALSE)</f>
        <v/>
      </c>
      <c r="EA1100" s="70" t="str">
        <f>VLOOKUP($BS1100,'État &amp; Plan d''action'!$B$6:$AH$1113,32,FALSE)</f>
        <v/>
      </c>
      <c r="EB1100" s="70" t="str">
        <f>VLOOKUP($BS1100,'État &amp; Plan d''action'!$B$6:$AH$1113,33,FALSE)</f>
        <v/>
      </c>
      <c r="EC1100" s="70" t="s">
        <v>1124</v>
      </c>
      <c r="ED1100" s="70" t="s">
        <v>1124</v>
      </c>
      <c r="EE1100" s="70" t="s">
        <v>1124</v>
      </c>
      <c r="EF1100" s="70" t="s">
        <v>1124</v>
      </c>
      <c r="EG1100" s="70" t="s">
        <v>1124</v>
      </c>
      <c r="EH1100" s="72"/>
      <c r="EI1100" s="72">
        <v>476</v>
      </c>
    </row>
    <row r="1101" spans="71:139" x14ac:dyDescent="0.35">
      <c r="BS1101" s="486">
        <v>84070</v>
      </c>
      <c r="BT1101" s="479" t="s">
        <v>865</v>
      </c>
      <c r="BU1101" s="479">
        <v>7</v>
      </c>
      <c r="BV1101" s="476" t="s">
        <v>1188</v>
      </c>
      <c r="BW1101" s="476" t="s">
        <v>1188</v>
      </c>
      <c r="BX1101" s="476" t="s">
        <v>1188</v>
      </c>
      <c r="BY1101" s="476" t="s">
        <v>1188</v>
      </c>
      <c r="BZ1101" s="476" t="s">
        <v>1188</v>
      </c>
      <c r="CA1101" s="476" t="s">
        <v>1188</v>
      </c>
      <c r="CB1101" s="476" t="s">
        <v>1188</v>
      </c>
      <c r="CC1101" s="476" t="s">
        <v>1188</v>
      </c>
      <c r="CD1101" s="476" t="s">
        <v>1188</v>
      </c>
      <c r="CE1101" s="476" t="s">
        <v>1188</v>
      </c>
      <c r="CF1101" s="476" t="s">
        <v>1188</v>
      </c>
      <c r="CG1101" s="476" t="s">
        <v>1188</v>
      </c>
      <c r="CH1101" s="476" t="s">
        <v>1188</v>
      </c>
      <c r="CI1101" s="476" t="s">
        <v>1188</v>
      </c>
      <c r="CJ1101" s="476" t="s">
        <v>1187</v>
      </c>
      <c r="CK1101" s="476" t="s">
        <v>1187</v>
      </c>
      <c r="CL1101" s="476" t="s">
        <v>1187</v>
      </c>
      <c r="CM1101" s="476" t="str">
        <f>IF(VLOOKUP(BS1101,'Données par municipalité'!$B$6:$E$1113,4,FALSE)="","non","oui")</f>
        <v>non</v>
      </c>
      <c r="CN1101" s="410">
        <v>583.40636194517481</v>
      </c>
      <c r="CO1101" s="410">
        <v>441.57421206601538</v>
      </c>
      <c r="CP1101" s="410">
        <v>405.63719385637194</v>
      </c>
      <c r="CQ1101" s="410">
        <v>443.61433735832344</v>
      </c>
      <c r="CR1101" s="410">
        <v>390.53800566479083</v>
      </c>
      <c r="CS1101" s="410" t="s">
        <v>1124</v>
      </c>
      <c r="CT1101" s="410"/>
      <c r="CU1101" s="410" t="s">
        <v>1124</v>
      </c>
      <c r="CV1101" s="410" t="str">
        <f>IF(VLOOKUP(BS1101,'Données par municipalité'!$B$6:$F$1113,4,FALSE)="","",VLOOKUP(BS1101,'Données par municipalité'!$B$6:$F$1113,4,FALSE))</f>
        <v/>
      </c>
      <c r="CW1101" s="476" t="s">
        <v>4723</v>
      </c>
      <c r="CX1101" s="483" t="s">
        <v>1124</v>
      </c>
      <c r="CY1101" s="483">
        <v>0</v>
      </c>
      <c r="CZ1101" s="483">
        <v>0</v>
      </c>
      <c r="DA1101" s="483">
        <v>0</v>
      </c>
      <c r="DB1101" s="483" t="s">
        <v>1124</v>
      </c>
      <c r="DC1101" s="483" t="s">
        <v>1124</v>
      </c>
      <c r="DD1101" s="483" t="s">
        <v>1124</v>
      </c>
      <c r="DE1101" s="483" t="str">
        <f>IFERROR(SUM(VLOOKUP($BS1101,'État &amp; Plan d''action'!$B$6:$Z$1113,18,FALSE),VLOOKUP($BS1101,'État &amp; Plan d''action'!$B$6:$Z$1113,20,FALSE))/(VLOOKUP($BS1101,'Données par municipalité'!$B$4:$L$1113,11,FALSE)),"")</f>
        <v/>
      </c>
      <c r="DF1101" s="483" t="str">
        <f>IFERROR(SUM(VLOOKUP($BS1101,'État &amp; Plan d''action'!$B$6:$Z$1113,19,FALSE),VLOOKUP($BS1101,'État &amp; Plan d''action'!$B$6:$Z$1113,21,FALSE))/(VLOOKUP($BS1101,'Données par municipalité'!$B$4:$L$1113,11,FALSE)),"")</f>
        <v/>
      </c>
      <c r="DG1101" s="476" t="s">
        <v>4723</v>
      </c>
      <c r="DH1101" s="484" t="s">
        <v>1124</v>
      </c>
      <c r="DI1101" s="484" t="s">
        <v>1124</v>
      </c>
      <c r="DJ1101" s="484">
        <v>0</v>
      </c>
      <c r="DK1101" s="484">
        <v>0</v>
      </c>
      <c r="DL1101" s="484" t="s">
        <v>1124</v>
      </c>
      <c r="DM1101" s="484" t="s">
        <v>1124</v>
      </c>
      <c r="DN1101" s="484" t="s">
        <v>1124</v>
      </c>
      <c r="DO1101" s="484" t="s">
        <v>1124</v>
      </c>
      <c r="DP1101" s="484" t="s">
        <v>1124</v>
      </c>
      <c r="DQ1101" s="484" t="str">
        <f>IF(VLOOKUP($BS1101,'État &amp; Plan d''action'!$B$6:$AJ$1113,28,FALSE)="","",VLOOKUP($BS1101,'État &amp; Plan d''action'!$B$6:$AJ$1113,28,FALSE))</f>
        <v/>
      </c>
      <c r="DR1101" s="70" t="str">
        <f>IF(VLOOKUP($BS1101,'État &amp; Plan d''action'!$B$6:$AJ$1113,29,FALSE)="","",VLOOKUP($BS1101,'État &amp; Plan d''action'!$B$6:$AJ$1113,29,FALSE))</f>
        <v/>
      </c>
      <c r="DS1101" s="70" t="str">
        <f>IF(VLOOKUP($BS1101,'État &amp; Plan d''action'!$B$6:$AJ$1113,30,FALSE)="","",VLOOKUP($BS1101,'État &amp; Plan d''action'!$B$6:$AJ$1113,30,FALSE))</f>
        <v/>
      </c>
      <c r="DT1101" s="70" t="s">
        <v>1124</v>
      </c>
      <c r="DU1101" s="485" t="s">
        <v>1124</v>
      </c>
      <c r="DV1101" s="485" t="s">
        <v>1124</v>
      </c>
      <c r="DW1101" s="70" t="s">
        <v>1124</v>
      </c>
      <c r="DX1101" s="70" t="s">
        <v>1124</v>
      </c>
      <c r="DY1101" s="70" t="s">
        <v>1124</v>
      </c>
      <c r="DZ1101" s="70" t="str">
        <f>VLOOKUP($BS1101,'État &amp; Plan d''action'!$B$6:$AH$1113,31,FALSE)</f>
        <v/>
      </c>
      <c r="EA1101" s="70" t="str">
        <f>VLOOKUP($BS1101,'État &amp; Plan d''action'!$B$6:$AH$1113,32,FALSE)</f>
        <v/>
      </c>
      <c r="EB1101" s="70" t="str">
        <f>VLOOKUP($BS1101,'État &amp; Plan d''action'!$B$6:$AH$1113,33,FALSE)</f>
        <v/>
      </c>
      <c r="EC1101" s="70" t="s">
        <v>1124</v>
      </c>
      <c r="ED1101" s="70" t="s">
        <v>1124</v>
      </c>
      <c r="EE1101" s="70" t="s">
        <v>1124</v>
      </c>
      <c r="EF1101" s="70" t="s">
        <v>1124</v>
      </c>
      <c r="EG1101" s="70" t="s">
        <v>1124</v>
      </c>
      <c r="EH1101" s="72"/>
      <c r="EI1101" s="72">
        <v>392</v>
      </c>
    </row>
    <row r="1102" spans="71:139" x14ac:dyDescent="0.35">
      <c r="BS1102" s="486">
        <v>47030</v>
      </c>
      <c r="BT1102" s="479" t="s">
        <v>451</v>
      </c>
      <c r="BU1102" s="479">
        <v>5</v>
      </c>
      <c r="BV1102" s="476" t="s">
        <v>1188</v>
      </c>
      <c r="BW1102" s="476" t="s">
        <v>1188</v>
      </c>
      <c r="BX1102" s="476" t="s">
        <v>1188</v>
      </c>
      <c r="BY1102" s="476" t="s">
        <v>1188</v>
      </c>
      <c r="BZ1102" s="476" t="s">
        <v>1188</v>
      </c>
      <c r="CA1102" s="476" t="s">
        <v>1188</v>
      </c>
      <c r="CB1102" s="476" t="s">
        <v>1188</v>
      </c>
      <c r="CC1102" s="476" t="s">
        <v>1188</v>
      </c>
      <c r="CD1102" s="476" t="s">
        <v>1188</v>
      </c>
      <c r="CE1102" s="476" t="s">
        <v>1187</v>
      </c>
      <c r="CF1102" s="476" t="s">
        <v>1187</v>
      </c>
      <c r="CG1102" s="476" t="s">
        <v>1187</v>
      </c>
      <c r="CH1102" s="476" t="s">
        <v>1187</v>
      </c>
      <c r="CI1102" s="476" t="s">
        <v>1187</v>
      </c>
      <c r="CJ1102" s="476" t="s">
        <v>1187</v>
      </c>
      <c r="CK1102" s="476" t="s">
        <v>1187</v>
      </c>
      <c r="CL1102" s="476" t="s">
        <v>1187</v>
      </c>
      <c r="CM1102" s="476" t="str">
        <f>IF(VLOOKUP(BS1102,'Données par municipalité'!$B$6:$E$1113,4,FALSE)="","non","oui")</f>
        <v>non</v>
      </c>
      <c r="CN1102" s="410" t="s">
        <v>1124</v>
      </c>
      <c r="CO1102" s="410" t="s">
        <v>1124</v>
      </c>
      <c r="CP1102" s="410"/>
      <c r="CQ1102" s="410"/>
      <c r="CR1102" s="410"/>
      <c r="CS1102" s="410" t="s">
        <v>1124</v>
      </c>
      <c r="CT1102" s="410"/>
      <c r="CU1102" s="410" t="s">
        <v>1124</v>
      </c>
      <c r="CV1102" s="410" t="str">
        <f>IF(VLOOKUP(BS1102,'Données par municipalité'!$B$6:$F$1113,4,FALSE)="","",VLOOKUP(BS1102,'Données par municipalité'!$B$6:$F$1113,4,FALSE))</f>
        <v/>
      </c>
      <c r="CW1102" s="476" t="s">
        <v>4723</v>
      </c>
      <c r="CX1102" s="483" t="s">
        <v>1124</v>
      </c>
      <c r="CY1102" s="483" t="s">
        <v>1124</v>
      </c>
      <c r="CZ1102" s="483" t="s">
        <v>1124</v>
      </c>
      <c r="DA1102" s="483" t="s">
        <v>1124</v>
      </c>
      <c r="DB1102" s="483" t="s">
        <v>1124</v>
      </c>
      <c r="DC1102" s="483" t="s">
        <v>1124</v>
      </c>
      <c r="DD1102" s="483" t="s">
        <v>1124</v>
      </c>
      <c r="DE1102" s="483" t="str">
        <f>IFERROR(SUM(VLOOKUP($BS1102,'État &amp; Plan d''action'!$B$6:$Z$1113,18,FALSE),VLOOKUP($BS1102,'État &amp; Plan d''action'!$B$6:$Z$1113,20,FALSE))/(VLOOKUP($BS1102,'Données par municipalité'!$B$4:$L$1113,11,FALSE)),"")</f>
        <v/>
      </c>
      <c r="DF1102" s="483" t="str">
        <f>IFERROR(SUM(VLOOKUP($BS1102,'État &amp; Plan d''action'!$B$6:$Z$1113,19,FALSE),VLOOKUP($BS1102,'État &amp; Plan d''action'!$B$6:$Z$1113,21,FALSE))/(VLOOKUP($BS1102,'Données par municipalité'!$B$4:$L$1113,11,FALSE)),"")</f>
        <v/>
      </c>
      <c r="DG1102" s="476" t="s">
        <v>4723</v>
      </c>
      <c r="DH1102" s="484" t="s">
        <v>1124</v>
      </c>
      <c r="DI1102" s="484" t="s">
        <v>1124</v>
      </c>
      <c r="DJ1102" s="484">
        <v>0</v>
      </c>
      <c r="DK1102" s="484">
        <v>0</v>
      </c>
      <c r="DL1102" s="484" t="s">
        <v>1124</v>
      </c>
      <c r="DM1102" s="484" t="s">
        <v>1124</v>
      </c>
      <c r="DN1102" s="484" t="s">
        <v>1124</v>
      </c>
      <c r="DO1102" s="484" t="s">
        <v>1124</v>
      </c>
      <c r="DP1102" s="484" t="s">
        <v>1124</v>
      </c>
      <c r="DQ1102" s="484" t="str">
        <f>IF(VLOOKUP($BS1102,'État &amp; Plan d''action'!$B$6:$AJ$1113,28,FALSE)="","",VLOOKUP($BS1102,'État &amp; Plan d''action'!$B$6:$AJ$1113,28,FALSE))</f>
        <v/>
      </c>
      <c r="DR1102" s="70" t="str">
        <f>IF(VLOOKUP($BS1102,'État &amp; Plan d''action'!$B$6:$AJ$1113,29,FALSE)="","",VLOOKUP($BS1102,'État &amp; Plan d''action'!$B$6:$AJ$1113,29,FALSE))</f>
        <v/>
      </c>
      <c r="DS1102" s="70" t="str">
        <f>IF(VLOOKUP($BS1102,'État &amp; Plan d''action'!$B$6:$AJ$1113,30,FALSE)="","",VLOOKUP($BS1102,'État &amp; Plan d''action'!$B$6:$AJ$1113,30,FALSE))</f>
        <v/>
      </c>
      <c r="DT1102" s="70" t="s">
        <v>1124</v>
      </c>
      <c r="DU1102" s="485" t="s">
        <v>1124</v>
      </c>
      <c r="DV1102" s="485" t="s">
        <v>1124</v>
      </c>
      <c r="DW1102" s="70" t="s">
        <v>1124</v>
      </c>
      <c r="DX1102" s="70" t="s">
        <v>1124</v>
      </c>
      <c r="DY1102" s="70" t="s">
        <v>1124</v>
      </c>
      <c r="DZ1102" s="70" t="str">
        <f>VLOOKUP($BS1102,'État &amp; Plan d''action'!$B$6:$AH$1113,31,FALSE)</f>
        <v/>
      </c>
      <c r="EA1102" s="70" t="str">
        <f>VLOOKUP($BS1102,'État &amp; Plan d''action'!$B$6:$AH$1113,32,FALSE)</f>
        <v/>
      </c>
      <c r="EB1102" s="70" t="str">
        <f>VLOOKUP($BS1102,'État &amp; Plan d''action'!$B$6:$AH$1113,33,FALSE)</f>
        <v/>
      </c>
      <c r="EC1102" s="70" t="s">
        <v>1124</v>
      </c>
      <c r="ED1102" s="70" t="s">
        <v>1124</v>
      </c>
      <c r="EE1102" s="70" t="s">
        <v>1124</v>
      </c>
      <c r="EF1102" s="70" t="s">
        <v>1124</v>
      </c>
      <c r="EG1102" s="70" t="s">
        <v>1124</v>
      </c>
      <c r="EH1102" s="72"/>
      <c r="EI1102" s="72">
        <v>371</v>
      </c>
    </row>
    <row r="1103" spans="71:139" x14ac:dyDescent="0.35">
      <c r="BS1103" s="486">
        <v>39077</v>
      </c>
      <c r="BT1103" s="479" t="s">
        <v>347</v>
      </c>
      <c r="BU1103" s="479">
        <v>17</v>
      </c>
      <c r="BV1103" s="476" t="s">
        <v>1187</v>
      </c>
      <c r="BW1103" s="476" t="s">
        <v>1187</v>
      </c>
      <c r="BX1103" s="476" t="s">
        <v>1187</v>
      </c>
      <c r="BY1103" s="476" t="s">
        <v>1187</v>
      </c>
      <c r="BZ1103" s="476" t="s">
        <v>1187</v>
      </c>
      <c r="CA1103" s="476" t="s">
        <v>1187</v>
      </c>
      <c r="CB1103" s="476" t="s">
        <v>1187</v>
      </c>
      <c r="CC1103" s="476" t="s">
        <v>1187</v>
      </c>
      <c r="CD1103" s="476" t="s">
        <v>1187</v>
      </c>
      <c r="CE1103" s="476" t="s">
        <v>1188</v>
      </c>
      <c r="CF1103" s="476" t="s">
        <v>1188</v>
      </c>
      <c r="CG1103" s="476" t="s">
        <v>1188</v>
      </c>
      <c r="CH1103" s="476" t="s">
        <v>1188</v>
      </c>
      <c r="CI1103" s="476" t="s">
        <v>1188</v>
      </c>
      <c r="CJ1103" s="476" t="s">
        <v>1188</v>
      </c>
      <c r="CK1103" s="476" t="s">
        <v>1187</v>
      </c>
      <c r="CL1103" s="476" t="s">
        <v>1188</v>
      </c>
      <c r="CM1103" s="476" t="str">
        <f>IF(VLOOKUP(BS1103,'Données par municipalité'!$B$6:$E$1113,4,FALSE)="","non","oui")</f>
        <v>oui</v>
      </c>
      <c r="CN1103" s="410">
        <v>742.81684830251004</v>
      </c>
      <c r="CO1103" s="410">
        <v>933.51682030548693</v>
      </c>
      <c r="CP1103" s="410">
        <v>835.78131961256645</v>
      </c>
      <c r="CQ1103" s="410">
        <v>835.95886556155267</v>
      </c>
      <c r="CR1103" s="410">
        <v>913.28137590917447</v>
      </c>
      <c r="CS1103" s="410">
        <v>788.59388241758938</v>
      </c>
      <c r="CT1103" s="410"/>
      <c r="CU1103" s="410">
        <v>810</v>
      </c>
      <c r="CV1103" s="410">
        <f>IF(VLOOKUP(BS1103,'Données par municipalité'!$B$6:$F$1113,4,FALSE)="","",VLOOKUP(BS1103,'Données par municipalité'!$B$6:$F$1113,4,FALSE))</f>
        <v>637</v>
      </c>
      <c r="CW1103" s="476" t="s">
        <v>4723</v>
      </c>
      <c r="CX1103" s="483">
        <v>0.5</v>
      </c>
      <c r="CY1103" s="483">
        <v>0.5</v>
      </c>
      <c r="CZ1103" s="483">
        <v>0.5</v>
      </c>
      <c r="DA1103" s="483">
        <v>0.5</v>
      </c>
      <c r="DB1103" s="483">
        <v>1</v>
      </c>
      <c r="DC1103" s="483" t="s">
        <v>1124</v>
      </c>
      <c r="DD1103" s="483">
        <v>0</v>
      </c>
      <c r="DE1103" s="483">
        <f>IFERROR(SUM(VLOOKUP($BS1103,'État &amp; Plan d''action'!$B$6:$Z$1113,18,FALSE),VLOOKUP($BS1103,'État &amp; Plan d''action'!$B$6:$Z$1113,20,FALSE))/(VLOOKUP($BS1103,'Données par municipalité'!$B$4:$L$1113,11,FALSE)),"")</f>
        <v>0</v>
      </c>
      <c r="DF1103" s="483">
        <f>IFERROR(SUM(VLOOKUP($BS1103,'État &amp; Plan d''action'!$B$6:$Z$1113,19,FALSE),VLOOKUP($BS1103,'État &amp; Plan d''action'!$B$6:$Z$1113,21,FALSE))/(VLOOKUP($BS1103,'Données par municipalité'!$B$4:$L$1113,11,FALSE)),"")</f>
        <v>1</v>
      </c>
      <c r="DG1103" s="476" t="s">
        <v>4723</v>
      </c>
      <c r="DH1103" s="484">
        <v>3</v>
      </c>
      <c r="DI1103" s="484">
        <v>6</v>
      </c>
      <c r="DJ1103" s="484">
        <v>7</v>
      </c>
      <c r="DK1103" s="484">
        <v>4</v>
      </c>
      <c r="DL1103" s="484">
        <v>1</v>
      </c>
      <c r="DM1103" s="484" t="s">
        <v>1124</v>
      </c>
      <c r="DN1103" s="484">
        <v>2</v>
      </c>
      <c r="DO1103" s="484">
        <v>0</v>
      </c>
      <c r="DP1103" s="484">
        <v>1</v>
      </c>
      <c r="DQ1103" s="484">
        <f>IF(VLOOKUP($BS1103,'État &amp; Plan d''action'!$B$6:$AJ$1113,28,FALSE)="","",VLOOKUP($BS1103,'État &amp; Plan d''action'!$B$6:$AJ$1113,28,FALSE))</f>
        <v>2</v>
      </c>
      <c r="DR1103" s="70">
        <f>IF(VLOOKUP($BS1103,'État &amp; Plan d''action'!$B$6:$AJ$1113,29,FALSE)="","",VLOOKUP($BS1103,'État &amp; Plan d''action'!$B$6:$AJ$1113,29,FALSE))</f>
        <v>0</v>
      </c>
      <c r="DS1103" s="70">
        <f>IF(VLOOKUP($BS1103,'État &amp; Plan d''action'!$B$6:$AJ$1113,30,FALSE)="","",VLOOKUP($BS1103,'État &amp; Plan d''action'!$B$6:$AJ$1113,30,FALSE))</f>
        <v>2</v>
      </c>
      <c r="DT1103" s="70">
        <v>379</v>
      </c>
      <c r="DU1103" s="485">
        <v>0.86834775866835623</v>
      </c>
      <c r="DV1103" s="485">
        <v>2.1936906376884053</v>
      </c>
      <c r="DW1103" s="70">
        <v>1</v>
      </c>
      <c r="DX1103" s="70">
        <v>0</v>
      </c>
      <c r="DY1103" s="70">
        <v>2</v>
      </c>
      <c r="DZ1103" s="70">
        <f>VLOOKUP($BS1103,'État &amp; Plan d''action'!$B$6:$AH$1113,31,FALSE)</f>
        <v>2</v>
      </c>
      <c r="EA1103" s="70">
        <f>VLOOKUP($BS1103,'État &amp; Plan d''action'!$B$6:$AH$1113,32,FALSE)</f>
        <v>0</v>
      </c>
      <c r="EB1103" s="70">
        <f>VLOOKUP($BS1103,'État &amp; Plan d''action'!$B$6:$AH$1113,33,FALSE)</f>
        <v>7</v>
      </c>
      <c r="EC1103" s="70">
        <v>32.201999999999998</v>
      </c>
      <c r="ED1103" s="70">
        <v>0</v>
      </c>
      <c r="EE1103" s="70">
        <v>0</v>
      </c>
      <c r="EF1103" s="70">
        <v>0</v>
      </c>
      <c r="EG1103" s="70">
        <v>0</v>
      </c>
      <c r="EH1103" s="72">
        <v>57</v>
      </c>
      <c r="EI1103" s="72">
        <v>4652</v>
      </c>
    </row>
    <row r="1104" spans="71:139" x14ac:dyDescent="0.35">
      <c r="BS1104" s="486">
        <v>47025</v>
      </c>
      <c r="BT1104" s="479" t="s">
        <v>450</v>
      </c>
      <c r="BU1104" s="479">
        <v>5</v>
      </c>
      <c r="BV1104" s="476" t="s">
        <v>1187</v>
      </c>
      <c r="BW1104" s="476" t="s">
        <v>1187</v>
      </c>
      <c r="BX1104" s="476" t="s">
        <v>1187</v>
      </c>
      <c r="BY1104" s="476" t="s">
        <v>1187</v>
      </c>
      <c r="BZ1104" s="476" t="s">
        <v>1187</v>
      </c>
      <c r="CA1104" s="476" t="s">
        <v>1187</v>
      </c>
      <c r="CB1104" s="476" t="s">
        <v>1187</v>
      </c>
      <c r="CC1104" s="476" t="s">
        <v>1187</v>
      </c>
      <c r="CD1104" s="476" t="s">
        <v>1187</v>
      </c>
      <c r="CE1104" s="476" t="s">
        <v>1188</v>
      </c>
      <c r="CF1104" s="476" t="s">
        <v>1188</v>
      </c>
      <c r="CG1104" s="476" t="s">
        <v>1187</v>
      </c>
      <c r="CH1104" s="476" t="s">
        <v>1188</v>
      </c>
      <c r="CI1104" s="476" t="s">
        <v>1188</v>
      </c>
      <c r="CJ1104" s="476" t="s">
        <v>1188</v>
      </c>
      <c r="CK1104" s="476" t="s">
        <v>1188</v>
      </c>
      <c r="CL1104" s="476" t="s">
        <v>1188</v>
      </c>
      <c r="CM1104" s="476" t="str">
        <f>IF(VLOOKUP(BS1104,'Données par municipalité'!$B$6:$E$1113,4,FALSE)="","non","oui")</f>
        <v>non</v>
      </c>
      <c r="CN1104" s="410">
        <v>471.78085890475688</v>
      </c>
      <c r="CO1104" s="410">
        <v>443.70549582501775</v>
      </c>
      <c r="CP1104" s="410"/>
      <c r="CQ1104" s="410">
        <v>394.26132967732548</v>
      </c>
      <c r="CR1104" s="410">
        <v>386.03457540055479</v>
      </c>
      <c r="CS1104" s="410">
        <v>375.02268764301317</v>
      </c>
      <c r="CT1104" s="410">
        <v>354.85022395823177</v>
      </c>
      <c r="CU1104" s="410">
        <v>367</v>
      </c>
      <c r="CV1104" s="410" t="str">
        <f>IF(VLOOKUP(BS1104,'Données par municipalité'!$B$6:$F$1113,4,FALSE)="","",VLOOKUP(BS1104,'Données par municipalité'!$B$6:$F$1113,4,FALSE))</f>
        <v/>
      </c>
      <c r="CW1104" s="476" t="s">
        <v>4723</v>
      </c>
      <c r="CX1104" s="483">
        <v>1</v>
      </c>
      <c r="CY1104" s="483" t="s">
        <v>1124</v>
      </c>
      <c r="CZ1104" s="483">
        <v>1</v>
      </c>
      <c r="DA1104" s="483">
        <v>1</v>
      </c>
      <c r="DB1104" s="483">
        <v>1</v>
      </c>
      <c r="DC1104" s="483">
        <v>1</v>
      </c>
      <c r="DD1104" s="483">
        <v>1</v>
      </c>
      <c r="DE1104" s="483" t="str">
        <f>IFERROR(SUM(VLOOKUP($BS1104,'État &amp; Plan d''action'!$B$6:$Z$1113,18,FALSE),VLOOKUP($BS1104,'État &amp; Plan d''action'!$B$6:$Z$1113,20,FALSE))/(VLOOKUP($BS1104,'Données par municipalité'!$B$4:$L$1113,11,FALSE)),"")</f>
        <v/>
      </c>
      <c r="DF1104" s="483" t="str">
        <f>IFERROR(SUM(VLOOKUP($BS1104,'État &amp; Plan d''action'!$B$6:$Z$1113,19,FALSE),VLOOKUP($BS1104,'État &amp; Plan d''action'!$B$6:$Z$1113,21,FALSE))/(VLOOKUP($BS1104,'Données par municipalité'!$B$4:$L$1113,11,FALSE)),"")</f>
        <v/>
      </c>
      <c r="DG1104" s="476" t="s">
        <v>4723</v>
      </c>
      <c r="DH1104" s="484">
        <v>5</v>
      </c>
      <c r="DI1104" s="484" t="s">
        <v>1124</v>
      </c>
      <c r="DJ1104" s="484">
        <v>10</v>
      </c>
      <c r="DK1104" s="484">
        <v>14</v>
      </c>
      <c r="DL1104" s="484">
        <v>11</v>
      </c>
      <c r="DM1104" s="484">
        <v>9</v>
      </c>
      <c r="DN1104" s="484">
        <v>10</v>
      </c>
      <c r="DO1104" s="484">
        <v>4</v>
      </c>
      <c r="DP1104" s="484">
        <v>3</v>
      </c>
      <c r="DQ1104" s="484" t="str">
        <f>IF(VLOOKUP($BS1104,'État &amp; Plan d''action'!$B$6:$AJ$1113,28,FALSE)="","",VLOOKUP($BS1104,'État &amp; Plan d''action'!$B$6:$AJ$1113,28,FALSE))</f>
        <v/>
      </c>
      <c r="DR1104" s="70" t="str">
        <f>IF(VLOOKUP($BS1104,'État &amp; Plan d''action'!$B$6:$AJ$1113,29,FALSE)="","",VLOOKUP($BS1104,'État &amp; Plan d''action'!$B$6:$AJ$1113,29,FALSE))</f>
        <v/>
      </c>
      <c r="DS1104" s="70" t="str">
        <f>IF(VLOOKUP($BS1104,'État &amp; Plan d''action'!$B$6:$AJ$1113,30,FALSE)="","",VLOOKUP($BS1104,'État &amp; Plan d''action'!$B$6:$AJ$1113,30,FALSE))</f>
        <v/>
      </c>
      <c r="DT1104" s="70">
        <v>234</v>
      </c>
      <c r="DU1104" s="485">
        <v>1.864004389471825</v>
      </c>
      <c r="DV1104" s="485" t="s">
        <v>1124</v>
      </c>
      <c r="DW1104" s="70">
        <v>5</v>
      </c>
      <c r="DX1104" s="70">
        <v>2</v>
      </c>
      <c r="DY1104" s="70">
        <v>8</v>
      </c>
      <c r="DZ1104" s="70" t="str">
        <f>VLOOKUP($BS1104,'État &amp; Plan d''action'!$B$6:$AH$1113,31,FALSE)</f>
        <v/>
      </c>
      <c r="EA1104" s="70" t="str">
        <f>VLOOKUP($BS1104,'État &amp; Plan d''action'!$B$6:$AH$1113,32,FALSE)</f>
        <v/>
      </c>
      <c r="EB1104" s="70" t="str">
        <f>VLOOKUP($BS1104,'État &amp; Plan d''action'!$B$6:$AH$1113,33,FALSE)</f>
        <v/>
      </c>
      <c r="EC1104" s="70">
        <v>42.959000000000003</v>
      </c>
      <c r="ED1104" s="70">
        <v>42.959000000000003</v>
      </c>
      <c r="EE1104" s="70">
        <v>0</v>
      </c>
      <c r="EF1104" s="70">
        <v>0</v>
      </c>
      <c r="EG1104" s="70">
        <v>0</v>
      </c>
      <c r="EH1104" s="72">
        <v>60</v>
      </c>
      <c r="EI1104" s="72">
        <v>4570</v>
      </c>
    </row>
    <row r="1105" spans="71:139" x14ac:dyDescent="0.35">
      <c r="BS1105" s="486">
        <v>44080</v>
      </c>
      <c r="BT1105" s="479" t="s">
        <v>409</v>
      </c>
      <c r="BU1105" s="479">
        <v>5</v>
      </c>
      <c r="BV1105" s="476" t="s">
        <v>1187</v>
      </c>
      <c r="BW1105" s="476" t="s">
        <v>1187</v>
      </c>
      <c r="BX1105" s="476" t="s">
        <v>1187</v>
      </c>
      <c r="BY1105" s="476" t="s">
        <v>1187</v>
      </c>
      <c r="BZ1105" s="476" t="s">
        <v>1187</v>
      </c>
      <c r="CA1105" s="476" t="s">
        <v>1187</v>
      </c>
      <c r="CB1105" s="476" t="s">
        <v>1187</v>
      </c>
      <c r="CC1105" s="476" t="s">
        <v>1187</v>
      </c>
      <c r="CD1105" s="476" t="s">
        <v>1187</v>
      </c>
      <c r="CE1105" s="476" t="s">
        <v>1188</v>
      </c>
      <c r="CF1105" s="476" t="s">
        <v>1188</v>
      </c>
      <c r="CG1105" s="476" t="s">
        <v>1188</v>
      </c>
      <c r="CH1105" s="476" t="s">
        <v>1188</v>
      </c>
      <c r="CI1105" s="476" t="s">
        <v>1188</v>
      </c>
      <c r="CJ1105" s="476" t="s">
        <v>1188</v>
      </c>
      <c r="CK1105" s="476" t="s">
        <v>1188</v>
      </c>
      <c r="CL1105" s="476" t="s">
        <v>1188</v>
      </c>
      <c r="CM1105" s="476" t="str">
        <f>IF(VLOOKUP(BS1105,'Données par municipalité'!$B$6:$E$1113,4,FALSE)="","non","oui")</f>
        <v>oui</v>
      </c>
      <c r="CN1105" s="410">
        <v>1413.4875464548281</v>
      </c>
      <c r="CO1105" s="410">
        <v>1447.1097601972676</v>
      </c>
      <c r="CP1105" s="410">
        <v>1185.7686401687431</v>
      </c>
      <c r="CQ1105" s="410">
        <v>674.10378446053483</v>
      </c>
      <c r="CR1105" s="410">
        <v>625.22781944653752</v>
      </c>
      <c r="CS1105" s="410">
        <v>686.19844421246989</v>
      </c>
      <c r="CT1105" s="410">
        <v>607.67802793104784</v>
      </c>
      <c r="CU1105" s="410">
        <v>581</v>
      </c>
      <c r="CV1105" s="410">
        <f>IF(VLOOKUP(BS1105,'Données par municipalité'!$B$6:$F$1113,4,FALSE)="","",VLOOKUP(BS1105,'Données par municipalité'!$B$6:$F$1113,4,FALSE))</f>
        <v>537</v>
      </c>
      <c r="CW1105" s="476" t="s">
        <v>4723</v>
      </c>
      <c r="CX1105" s="483">
        <v>0</v>
      </c>
      <c r="CY1105" s="483">
        <v>0</v>
      </c>
      <c r="CZ1105" s="483">
        <v>0</v>
      </c>
      <c r="DA1105" s="483">
        <v>1</v>
      </c>
      <c r="DB1105" s="483">
        <v>0.1</v>
      </c>
      <c r="DC1105" s="483">
        <v>0.2</v>
      </c>
      <c r="DD1105" s="483">
        <v>0</v>
      </c>
      <c r="DE1105" s="483">
        <f>IFERROR(SUM(VLOOKUP($BS1105,'État &amp; Plan d''action'!$B$6:$Z$1113,18,FALSE),VLOOKUP($BS1105,'État &amp; Plan d''action'!$B$6:$Z$1113,20,FALSE))/(VLOOKUP($BS1105,'Données par municipalité'!$B$4:$L$1113,11,FALSE)),"")</f>
        <v>1.5000343053173242</v>
      </c>
      <c r="DF1105" s="483">
        <f>IFERROR(SUM(VLOOKUP($BS1105,'État &amp; Plan d''action'!$B$6:$Z$1113,19,FALSE),VLOOKUP($BS1105,'État &amp; Plan d''action'!$B$6:$Z$1113,21,FALSE))/(VLOOKUP($BS1105,'Données par municipalité'!$B$4:$L$1113,11,FALSE)),"")</f>
        <v>1</v>
      </c>
      <c r="DG1105" s="476" t="s">
        <v>4723</v>
      </c>
      <c r="DH1105" s="484">
        <v>3</v>
      </c>
      <c r="DI1105" s="484">
        <v>2</v>
      </c>
      <c r="DJ1105" s="484">
        <v>4</v>
      </c>
      <c r="DK1105" s="484">
        <v>3</v>
      </c>
      <c r="DL1105" s="484">
        <v>4</v>
      </c>
      <c r="DM1105" s="484">
        <v>3</v>
      </c>
      <c r="DN1105" s="484">
        <v>0</v>
      </c>
      <c r="DO1105" s="484">
        <v>1</v>
      </c>
      <c r="DP1105" s="484">
        <v>0</v>
      </c>
      <c r="DQ1105" s="484">
        <f>IF(VLOOKUP($BS1105,'État &amp; Plan d''action'!$B$6:$AJ$1113,28,FALSE)="","",VLOOKUP($BS1105,'État &amp; Plan d''action'!$B$6:$AJ$1113,28,FALSE))</f>
        <v>5</v>
      </c>
      <c r="DR1105" s="70">
        <f>IF(VLOOKUP($BS1105,'État &amp; Plan d''action'!$B$6:$AJ$1113,29,FALSE)="","",VLOOKUP($BS1105,'État &amp; Plan d''action'!$B$6:$AJ$1113,29,FALSE))</f>
        <v>0</v>
      </c>
      <c r="DS1105" s="70">
        <f>IF(VLOOKUP($BS1105,'État &amp; Plan d''action'!$B$6:$AJ$1113,30,FALSE)="","",VLOOKUP($BS1105,'État &amp; Plan d''action'!$B$6:$AJ$1113,30,FALSE))</f>
        <v>1</v>
      </c>
      <c r="DT1105" s="70">
        <v>183</v>
      </c>
      <c r="DU1105" s="485">
        <v>3.4652792479021399</v>
      </c>
      <c r="DV1105" s="485">
        <v>3.9142057831663872</v>
      </c>
      <c r="DW1105" s="70">
        <v>0</v>
      </c>
      <c r="DX1105" s="70">
        <v>15</v>
      </c>
      <c r="DY1105" s="70">
        <v>0</v>
      </c>
      <c r="DZ1105" s="70">
        <f>VLOOKUP($BS1105,'État &amp; Plan d''action'!$B$6:$AH$1113,31,FALSE)</f>
        <v>60</v>
      </c>
      <c r="EA1105" s="70">
        <f>VLOOKUP($BS1105,'État &amp; Plan d''action'!$B$6:$AH$1113,32,FALSE)</f>
        <v>0</v>
      </c>
      <c r="EB1105" s="70">
        <f>VLOOKUP($BS1105,'État &amp; Plan d''action'!$B$6:$AH$1113,33,FALSE)</f>
        <v>13</v>
      </c>
      <c r="EC1105" s="70">
        <v>0</v>
      </c>
      <c r="ED1105" s="70">
        <v>0</v>
      </c>
      <c r="EE1105" s="70">
        <v>0</v>
      </c>
      <c r="EF1105" s="70">
        <v>0</v>
      </c>
      <c r="EG1105" s="70">
        <v>0</v>
      </c>
      <c r="EH1105" s="72">
        <v>62</v>
      </c>
      <c r="EI1105" s="72">
        <v>2176</v>
      </c>
    </row>
    <row r="1106" spans="71:139" x14ac:dyDescent="0.35">
      <c r="BS1106" s="486">
        <v>41098</v>
      </c>
      <c r="BT1106" s="479" t="s">
        <v>377</v>
      </c>
      <c r="BU1106" s="479">
        <v>5</v>
      </c>
      <c r="BV1106" s="476" t="s">
        <v>1187</v>
      </c>
      <c r="BW1106" s="476" t="s">
        <v>1187</v>
      </c>
      <c r="BX1106" s="476" t="s">
        <v>1187</v>
      </c>
      <c r="BY1106" s="476" t="s">
        <v>1187</v>
      </c>
      <c r="BZ1106" s="476" t="s">
        <v>1187</v>
      </c>
      <c r="CA1106" s="476" t="s">
        <v>1187</v>
      </c>
      <c r="CB1106" s="476" t="s">
        <v>1187</v>
      </c>
      <c r="CC1106" s="476" t="s">
        <v>1187</v>
      </c>
      <c r="CD1106" s="476" t="s">
        <v>1187</v>
      </c>
      <c r="CE1106" s="476" t="s">
        <v>1188</v>
      </c>
      <c r="CF1106" s="476" t="s">
        <v>1188</v>
      </c>
      <c r="CG1106" s="476" t="s">
        <v>1187</v>
      </c>
      <c r="CH1106" s="476" t="s">
        <v>1187</v>
      </c>
      <c r="CI1106" s="476" t="s">
        <v>1188</v>
      </c>
      <c r="CJ1106" s="476" t="s">
        <v>1187</v>
      </c>
      <c r="CK1106" s="476" t="s">
        <v>1187</v>
      </c>
      <c r="CL1106" s="476" t="s">
        <v>1188</v>
      </c>
      <c r="CM1106" s="476" t="str">
        <f>IF(VLOOKUP(BS1106,'Données par municipalité'!$B$6:$E$1113,4,FALSE)="","non","oui")</f>
        <v>oui</v>
      </c>
      <c r="CN1106" s="410">
        <v>523.19241416648799</v>
      </c>
      <c r="CO1106" s="410">
        <v>754.79074200014327</v>
      </c>
      <c r="CP1106" s="410"/>
      <c r="CQ1106" s="410"/>
      <c r="CR1106" s="410">
        <v>781.30441581908758</v>
      </c>
      <c r="CS1106" s="410" t="s">
        <v>1124</v>
      </c>
      <c r="CT1106" s="410"/>
      <c r="CU1106" s="410">
        <v>730</v>
      </c>
      <c r="CV1106" s="410">
        <f>IF(VLOOKUP(BS1106,'Données par municipalité'!$B$6:$F$1113,4,FALSE)="","",VLOOKUP(BS1106,'Données par municipalité'!$B$6:$F$1113,4,FALSE))</f>
        <v>718</v>
      </c>
      <c r="CW1106" s="476" t="s">
        <v>4723</v>
      </c>
      <c r="CX1106" s="483">
        <v>0.15</v>
      </c>
      <c r="CY1106" s="483" t="s">
        <v>1124</v>
      </c>
      <c r="CZ1106" s="483" t="s">
        <v>1124</v>
      </c>
      <c r="DA1106" s="483">
        <v>0.6</v>
      </c>
      <c r="DB1106" s="483" t="s">
        <v>1124</v>
      </c>
      <c r="DC1106" s="483" t="s">
        <v>1124</v>
      </c>
      <c r="DD1106" s="483">
        <v>0</v>
      </c>
      <c r="DE1106" s="483">
        <f>IFERROR(SUM(VLOOKUP($BS1106,'État &amp; Plan d''action'!$B$6:$Z$1113,18,FALSE),VLOOKUP($BS1106,'État &amp; Plan d''action'!$B$6:$Z$1113,20,FALSE))/(VLOOKUP($BS1106,'Données par municipalité'!$B$4:$L$1113,11,FALSE)),"")</f>
        <v>0.91754034633054538</v>
      </c>
      <c r="DF1106" s="483">
        <f>IFERROR(SUM(VLOOKUP($BS1106,'État &amp; Plan d''action'!$B$6:$Z$1113,19,FALSE),VLOOKUP($BS1106,'État &amp; Plan d''action'!$B$6:$Z$1113,21,FALSE))/(VLOOKUP($BS1106,'Données par municipalité'!$B$4:$L$1113,11,FALSE)),"")</f>
        <v>0.91754034633054538</v>
      </c>
      <c r="DG1106" s="476" t="s">
        <v>4723</v>
      </c>
      <c r="DH1106" s="484">
        <v>4</v>
      </c>
      <c r="DI1106" s="484" t="s">
        <v>1124</v>
      </c>
      <c r="DJ1106" s="484">
        <v>0</v>
      </c>
      <c r="DK1106" s="484">
        <v>3</v>
      </c>
      <c r="DL1106" s="484" t="s">
        <v>1124</v>
      </c>
      <c r="DM1106" s="484" t="s">
        <v>1124</v>
      </c>
      <c r="DN1106" s="484">
        <v>0</v>
      </c>
      <c r="DO1106" s="484">
        <v>0</v>
      </c>
      <c r="DP1106" s="484">
        <v>0</v>
      </c>
      <c r="DQ1106" s="484">
        <f>IF(VLOOKUP($BS1106,'État &amp; Plan d''action'!$B$6:$AJ$1113,28,FALSE)="","",VLOOKUP($BS1106,'État &amp; Plan d''action'!$B$6:$AJ$1113,28,FALSE))</f>
        <v>3</v>
      </c>
      <c r="DR1106" s="70">
        <f>IF(VLOOKUP($BS1106,'État &amp; Plan d''action'!$B$6:$AJ$1113,29,FALSE)="","",VLOOKUP($BS1106,'État &amp; Plan d''action'!$B$6:$AJ$1113,29,FALSE))</f>
        <v>0</v>
      </c>
      <c r="DS1106" s="70">
        <f>IF(VLOOKUP($BS1106,'État &amp; Plan d''action'!$B$6:$AJ$1113,30,FALSE)="","",VLOOKUP($BS1106,'État &amp; Plan d''action'!$B$6:$AJ$1113,30,FALSE))</f>
        <v>7</v>
      </c>
      <c r="DT1106" s="70">
        <v>350</v>
      </c>
      <c r="DU1106" s="485">
        <v>11.030564712961267</v>
      </c>
      <c r="DV1106" s="485">
        <v>10.442634334866925</v>
      </c>
      <c r="DW1106" s="70">
        <v>0</v>
      </c>
      <c r="DX1106" s="70">
        <v>0</v>
      </c>
      <c r="DY1106" s="70">
        <v>0</v>
      </c>
      <c r="DZ1106" s="70">
        <f>VLOOKUP($BS1106,'État &amp; Plan d''action'!$B$6:$AH$1113,31,FALSE)</f>
        <v>1</v>
      </c>
      <c r="EA1106" s="70">
        <f>VLOOKUP($BS1106,'État &amp; Plan d''action'!$B$6:$AH$1113,32,FALSE)</f>
        <v>0</v>
      </c>
      <c r="EB1106" s="70">
        <f>VLOOKUP($BS1106,'État &amp; Plan d''action'!$B$6:$AH$1113,33,FALSE)</f>
        <v>4</v>
      </c>
      <c r="EC1106" s="70">
        <v>11.303000000000001</v>
      </c>
      <c r="ED1106" s="70">
        <v>0</v>
      </c>
      <c r="EE1106" s="70">
        <v>0</v>
      </c>
      <c r="EF1106" s="70">
        <v>0</v>
      </c>
      <c r="EG1106" s="70">
        <v>0</v>
      </c>
      <c r="EH1106" s="72">
        <v>61.481981981981988</v>
      </c>
      <c r="EI1106" s="72">
        <v>2675</v>
      </c>
    </row>
    <row r="1107" spans="71:139" x14ac:dyDescent="0.35">
      <c r="BS1107" s="486">
        <v>76035</v>
      </c>
      <c r="BT1107" s="479" t="s">
        <v>751</v>
      </c>
      <c r="BU1107" s="479">
        <v>15</v>
      </c>
      <c r="BV1107" s="476" t="s">
        <v>1188</v>
      </c>
      <c r="BW1107" s="476" t="s">
        <v>1188</v>
      </c>
      <c r="BX1107" s="476" t="s">
        <v>1188</v>
      </c>
      <c r="BY1107" s="476" t="s">
        <v>1188</v>
      </c>
      <c r="BZ1107" s="476" t="s">
        <v>1188</v>
      </c>
      <c r="CA1107" s="476" t="s">
        <v>1188</v>
      </c>
      <c r="CB1107" s="476" t="s">
        <v>1188</v>
      </c>
      <c r="CC1107" s="476" t="s">
        <v>1188</v>
      </c>
      <c r="CD1107" s="476" t="s">
        <v>1188</v>
      </c>
      <c r="CE1107" s="476" t="s">
        <v>1188</v>
      </c>
      <c r="CF1107" s="476" t="s">
        <v>1188</v>
      </c>
      <c r="CG1107" s="476" t="s">
        <v>1188</v>
      </c>
      <c r="CH1107" s="476" t="s">
        <v>1188</v>
      </c>
      <c r="CI1107" s="476" t="s">
        <v>1188</v>
      </c>
      <c r="CJ1107" s="476" t="s">
        <v>1187</v>
      </c>
      <c r="CK1107" s="476" t="s">
        <v>1187</v>
      </c>
      <c r="CL1107" s="476" t="s">
        <v>1187</v>
      </c>
      <c r="CM1107" s="476" t="str">
        <f>IF(VLOOKUP(BS1107,'Données par municipalité'!$B$6:$E$1113,4,FALSE)="","non","oui")</f>
        <v>non</v>
      </c>
      <c r="CN1107" s="410">
        <v>609.2283653006491</v>
      </c>
      <c r="CO1107" s="410">
        <v>667.68014020201224</v>
      </c>
      <c r="CP1107" s="410">
        <v>597.00443950973249</v>
      </c>
      <c r="CQ1107" s="410">
        <v>586.37890151102408</v>
      </c>
      <c r="CR1107" s="410">
        <v>701</v>
      </c>
      <c r="CS1107" s="410" t="s">
        <v>1124</v>
      </c>
      <c r="CT1107" s="410"/>
      <c r="CU1107" s="410" t="s">
        <v>1124</v>
      </c>
      <c r="CV1107" s="410" t="str">
        <f>IF(VLOOKUP(BS1107,'Données par municipalité'!$B$6:$F$1113,4,FALSE)="","",VLOOKUP(BS1107,'Données par municipalité'!$B$6:$F$1113,4,FALSE))</f>
        <v/>
      </c>
      <c r="CW1107" s="476" t="s">
        <v>4723</v>
      </c>
      <c r="CX1107" s="483" t="s">
        <v>1124</v>
      </c>
      <c r="CY1107" s="483">
        <v>0</v>
      </c>
      <c r="CZ1107" s="483">
        <v>0</v>
      </c>
      <c r="DA1107" s="483">
        <v>0</v>
      </c>
      <c r="DB1107" s="483" t="s">
        <v>1124</v>
      </c>
      <c r="DC1107" s="483" t="s">
        <v>1124</v>
      </c>
      <c r="DD1107" s="483" t="s">
        <v>1124</v>
      </c>
      <c r="DE1107" s="483" t="str">
        <f>IFERROR(SUM(VLOOKUP($BS1107,'État &amp; Plan d''action'!$B$6:$Z$1113,18,FALSE),VLOOKUP($BS1107,'État &amp; Plan d''action'!$B$6:$Z$1113,20,FALSE))/(VLOOKUP($BS1107,'Données par municipalité'!$B$4:$L$1113,11,FALSE)),"")</f>
        <v/>
      </c>
      <c r="DF1107" s="483" t="str">
        <f>IFERROR(SUM(VLOOKUP($BS1107,'État &amp; Plan d''action'!$B$6:$Z$1113,19,FALSE),VLOOKUP($BS1107,'État &amp; Plan d''action'!$B$6:$Z$1113,21,FALSE))/(VLOOKUP($BS1107,'Données par municipalité'!$B$4:$L$1113,11,FALSE)),"")</f>
        <v/>
      </c>
      <c r="DG1107" s="476" t="s">
        <v>4723</v>
      </c>
      <c r="DH1107" s="484" t="s">
        <v>1124</v>
      </c>
      <c r="DI1107" s="484" t="s">
        <v>1124</v>
      </c>
      <c r="DJ1107" s="484">
        <v>0</v>
      </c>
      <c r="DK1107" s="484">
        <v>0</v>
      </c>
      <c r="DL1107" s="484" t="s">
        <v>1124</v>
      </c>
      <c r="DM1107" s="484" t="s">
        <v>1124</v>
      </c>
      <c r="DN1107" s="484" t="s">
        <v>1124</v>
      </c>
      <c r="DO1107" s="484" t="s">
        <v>1124</v>
      </c>
      <c r="DP1107" s="484" t="s">
        <v>1124</v>
      </c>
      <c r="DQ1107" s="484" t="str">
        <f>IF(VLOOKUP($BS1107,'État &amp; Plan d''action'!$B$6:$AJ$1113,28,FALSE)="","",VLOOKUP($BS1107,'État &amp; Plan d''action'!$B$6:$AJ$1113,28,FALSE))</f>
        <v/>
      </c>
      <c r="DR1107" s="70" t="str">
        <f>IF(VLOOKUP($BS1107,'État &amp; Plan d''action'!$B$6:$AJ$1113,29,FALSE)="","",VLOOKUP($BS1107,'État &amp; Plan d''action'!$B$6:$AJ$1113,29,FALSE))</f>
        <v/>
      </c>
      <c r="DS1107" s="70" t="str">
        <f>IF(VLOOKUP($BS1107,'État &amp; Plan d''action'!$B$6:$AJ$1113,30,FALSE)="","",VLOOKUP($BS1107,'État &amp; Plan d''action'!$B$6:$AJ$1113,30,FALSE))</f>
        <v/>
      </c>
      <c r="DT1107" s="70" t="s">
        <v>1124</v>
      </c>
      <c r="DU1107" s="485" t="s">
        <v>1124</v>
      </c>
      <c r="DV1107" s="485" t="s">
        <v>1124</v>
      </c>
      <c r="DW1107" s="70" t="s">
        <v>1124</v>
      </c>
      <c r="DX1107" s="70" t="s">
        <v>1124</v>
      </c>
      <c r="DY1107" s="70" t="s">
        <v>1124</v>
      </c>
      <c r="DZ1107" s="70" t="str">
        <f>VLOOKUP($BS1107,'État &amp; Plan d''action'!$B$6:$AH$1113,31,FALSE)</f>
        <v/>
      </c>
      <c r="EA1107" s="70" t="str">
        <f>VLOOKUP($BS1107,'État &amp; Plan d''action'!$B$6:$AH$1113,32,FALSE)</f>
        <v/>
      </c>
      <c r="EB1107" s="70" t="str">
        <f>VLOOKUP($BS1107,'État &amp; Plan d''action'!$B$6:$AH$1113,33,FALSE)</f>
        <v/>
      </c>
      <c r="EC1107" s="70" t="s">
        <v>1124</v>
      </c>
      <c r="ED1107" s="70" t="s">
        <v>1124</v>
      </c>
      <c r="EE1107" s="70" t="s">
        <v>1124</v>
      </c>
      <c r="EF1107" s="70" t="s">
        <v>1124</v>
      </c>
      <c r="EG1107" s="70" t="s">
        <v>1124</v>
      </c>
      <c r="EH1107" s="72"/>
      <c r="EI1107" s="72">
        <v>585</v>
      </c>
    </row>
    <row r="1108" spans="71:139" x14ac:dyDescent="0.35">
      <c r="BS1108" s="486">
        <v>77060</v>
      </c>
      <c r="BT1108" s="479" t="s">
        <v>764</v>
      </c>
      <c r="BU1108" s="479">
        <v>15</v>
      </c>
      <c r="BV1108" s="476" t="s">
        <v>1188</v>
      </c>
      <c r="BW1108" s="476" t="s">
        <v>1188</v>
      </c>
      <c r="BX1108" s="476" t="s">
        <v>1188</v>
      </c>
      <c r="BY1108" s="476" t="s">
        <v>1188</v>
      </c>
      <c r="BZ1108" s="476" t="s">
        <v>1188</v>
      </c>
      <c r="CA1108" s="476" t="s">
        <v>1188</v>
      </c>
      <c r="CB1108" s="476" t="s">
        <v>1188</v>
      </c>
      <c r="CC1108" s="476" t="s">
        <v>1188</v>
      </c>
      <c r="CD1108" s="476" t="s">
        <v>1188</v>
      </c>
      <c r="CE1108" s="476" t="s">
        <v>1187</v>
      </c>
      <c r="CF1108" s="476" t="s">
        <v>1187</v>
      </c>
      <c r="CG1108" s="476" t="s">
        <v>1187</v>
      </c>
      <c r="CH1108" s="476" t="s">
        <v>1188</v>
      </c>
      <c r="CI1108" s="476" t="s">
        <v>1187</v>
      </c>
      <c r="CJ1108" s="476" t="s">
        <v>1187</v>
      </c>
      <c r="CK1108" s="476" t="s">
        <v>1187</v>
      </c>
      <c r="CL1108" s="476" t="s">
        <v>1187</v>
      </c>
      <c r="CM1108" s="476" t="str">
        <f>IF(VLOOKUP(BS1108,'Données par municipalité'!$B$6:$E$1113,4,FALSE)="","non","oui")</f>
        <v>non</v>
      </c>
      <c r="CN1108" s="410" t="s">
        <v>1124</v>
      </c>
      <c r="CO1108" s="410" t="s">
        <v>1124</v>
      </c>
      <c r="CP1108" s="410"/>
      <c r="CQ1108" s="410">
        <v>404.41260746135345</v>
      </c>
      <c r="CR1108" s="410"/>
      <c r="CS1108" s="410" t="s">
        <v>1124</v>
      </c>
      <c r="CT1108" s="410"/>
      <c r="CU1108" s="410" t="s">
        <v>1124</v>
      </c>
      <c r="CV1108" s="410" t="str">
        <f>IF(VLOOKUP(BS1108,'Données par municipalité'!$B$6:$F$1113,4,FALSE)="","",VLOOKUP(BS1108,'Données par municipalité'!$B$6:$F$1113,4,FALSE))</f>
        <v/>
      </c>
      <c r="CW1108" s="476" t="s">
        <v>4723</v>
      </c>
      <c r="CX1108" s="483" t="s">
        <v>1124</v>
      </c>
      <c r="CY1108" s="483" t="s">
        <v>1124</v>
      </c>
      <c r="CZ1108" s="483">
        <v>0</v>
      </c>
      <c r="DA1108" s="483" t="s">
        <v>1124</v>
      </c>
      <c r="DB1108" s="483" t="s">
        <v>1124</v>
      </c>
      <c r="DC1108" s="483" t="s">
        <v>1124</v>
      </c>
      <c r="DD1108" s="483" t="s">
        <v>1124</v>
      </c>
      <c r="DE1108" s="483" t="str">
        <f>IFERROR(SUM(VLOOKUP($BS1108,'État &amp; Plan d''action'!$B$6:$Z$1113,18,FALSE),VLOOKUP($BS1108,'État &amp; Plan d''action'!$B$6:$Z$1113,20,FALSE))/(VLOOKUP($BS1108,'Données par municipalité'!$B$4:$L$1113,11,FALSE)),"")</f>
        <v/>
      </c>
      <c r="DF1108" s="483" t="str">
        <f>IFERROR(SUM(VLOOKUP($BS1108,'État &amp; Plan d''action'!$B$6:$Z$1113,19,FALSE),VLOOKUP($BS1108,'État &amp; Plan d''action'!$B$6:$Z$1113,21,FALSE))/(VLOOKUP($BS1108,'Données par municipalité'!$B$4:$L$1113,11,FALSE)),"")</f>
        <v/>
      </c>
      <c r="DG1108" s="476" t="s">
        <v>4723</v>
      </c>
      <c r="DH1108" s="484" t="s">
        <v>1124</v>
      </c>
      <c r="DI1108" s="484" t="s">
        <v>1124</v>
      </c>
      <c r="DJ1108" s="484">
        <v>0</v>
      </c>
      <c r="DK1108" s="484">
        <v>0</v>
      </c>
      <c r="DL1108" s="484" t="s">
        <v>1124</v>
      </c>
      <c r="DM1108" s="484" t="s">
        <v>1124</v>
      </c>
      <c r="DN1108" s="484" t="s">
        <v>1124</v>
      </c>
      <c r="DO1108" s="484" t="s">
        <v>1124</v>
      </c>
      <c r="DP1108" s="484" t="s">
        <v>1124</v>
      </c>
      <c r="DQ1108" s="484" t="str">
        <f>IF(VLOOKUP($BS1108,'État &amp; Plan d''action'!$B$6:$AJ$1113,28,FALSE)="","",VLOOKUP($BS1108,'État &amp; Plan d''action'!$B$6:$AJ$1113,28,FALSE))</f>
        <v/>
      </c>
      <c r="DR1108" s="70" t="str">
        <f>IF(VLOOKUP($BS1108,'État &amp; Plan d''action'!$B$6:$AJ$1113,29,FALSE)="","",VLOOKUP($BS1108,'État &amp; Plan d''action'!$B$6:$AJ$1113,29,FALSE))</f>
        <v/>
      </c>
      <c r="DS1108" s="70" t="str">
        <f>IF(VLOOKUP($BS1108,'État &amp; Plan d''action'!$B$6:$AJ$1113,30,FALSE)="","",VLOOKUP($BS1108,'État &amp; Plan d''action'!$B$6:$AJ$1113,30,FALSE))</f>
        <v/>
      </c>
      <c r="DT1108" s="70" t="s">
        <v>1124</v>
      </c>
      <c r="DU1108" s="485" t="s">
        <v>1124</v>
      </c>
      <c r="DV1108" s="485" t="s">
        <v>1124</v>
      </c>
      <c r="DW1108" s="70" t="s">
        <v>1124</v>
      </c>
      <c r="DX1108" s="70" t="s">
        <v>1124</v>
      </c>
      <c r="DY1108" s="70" t="s">
        <v>1124</v>
      </c>
      <c r="DZ1108" s="70" t="str">
        <f>VLOOKUP($BS1108,'État &amp; Plan d''action'!$B$6:$AH$1113,31,FALSE)</f>
        <v/>
      </c>
      <c r="EA1108" s="70" t="str">
        <f>VLOOKUP($BS1108,'État &amp; Plan d''action'!$B$6:$AH$1113,32,FALSE)</f>
        <v/>
      </c>
      <c r="EB1108" s="70" t="str">
        <f>VLOOKUP($BS1108,'État &amp; Plan d''action'!$B$6:$AH$1113,33,FALSE)</f>
        <v/>
      </c>
      <c r="EC1108" s="70" t="s">
        <v>1124</v>
      </c>
      <c r="ED1108" s="70" t="s">
        <v>1124</v>
      </c>
      <c r="EE1108" s="70" t="s">
        <v>1124</v>
      </c>
      <c r="EF1108" s="70" t="s">
        <v>1124</v>
      </c>
      <c r="EG1108" s="70" t="s">
        <v>1124</v>
      </c>
      <c r="EH1108" s="72"/>
      <c r="EI1108" s="72">
        <v>1425</v>
      </c>
    </row>
    <row r="1109" spans="71:139" x14ac:dyDescent="0.35">
      <c r="BS1109" s="486">
        <v>41065</v>
      </c>
      <c r="BT1109" s="479" t="s">
        <v>372</v>
      </c>
      <c r="BU1109" s="479">
        <v>5</v>
      </c>
      <c r="BV1109" s="476" t="s">
        <v>1188</v>
      </c>
      <c r="BW1109" s="476" t="s">
        <v>1188</v>
      </c>
      <c r="BX1109" s="476" t="s">
        <v>1188</v>
      </c>
      <c r="BY1109" s="476" t="s">
        <v>1188</v>
      </c>
      <c r="BZ1109" s="476" t="s">
        <v>1188</v>
      </c>
      <c r="CA1109" s="476" t="s">
        <v>1188</v>
      </c>
      <c r="CB1109" s="476" t="s">
        <v>1188</v>
      </c>
      <c r="CC1109" s="476" t="s">
        <v>1188</v>
      </c>
      <c r="CD1109" s="476" t="s">
        <v>1188</v>
      </c>
      <c r="CE1109" s="476" t="s">
        <v>1187</v>
      </c>
      <c r="CF1109" s="476" t="s">
        <v>1187</v>
      </c>
      <c r="CG1109" s="476" t="s">
        <v>1187</v>
      </c>
      <c r="CH1109" s="476" t="s">
        <v>1187</v>
      </c>
      <c r="CI1109" s="476" t="s">
        <v>1187</v>
      </c>
      <c r="CJ1109" s="476" t="s">
        <v>1187</v>
      </c>
      <c r="CK1109" s="476" t="s">
        <v>1187</v>
      </c>
      <c r="CL1109" s="476" t="s">
        <v>1187</v>
      </c>
      <c r="CM1109" s="476" t="str">
        <f>IF(VLOOKUP(BS1109,'Données par municipalité'!$B$6:$E$1113,4,FALSE)="","non","oui")</f>
        <v>non</v>
      </c>
      <c r="CN1109" s="410" t="s">
        <v>1124</v>
      </c>
      <c r="CO1109" s="410" t="s">
        <v>1124</v>
      </c>
      <c r="CP1109" s="410"/>
      <c r="CQ1109" s="410"/>
      <c r="CR1109" s="410"/>
      <c r="CS1109" s="410" t="s">
        <v>1124</v>
      </c>
      <c r="CT1109" s="410"/>
      <c r="CU1109" s="410" t="s">
        <v>1124</v>
      </c>
      <c r="CV1109" s="410" t="str">
        <f>IF(VLOOKUP(BS1109,'Données par municipalité'!$B$6:$F$1113,4,FALSE)="","",VLOOKUP(BS1109,'Données par municipalité'!$B$6:$F$1113,4,FALSE))</f>
        <v/>
      </c>
      <c r="CW1109" s="476" t="s">
        <v>4723</v>
      </c>
      <c r="CX1109" s="483" t="s">
        <v>1124</v>
      </c>
      <c r="CY1109" s="483" t="s">
        <v>1124</v>
      </c>
      <c r="CZ1109" s="483" t="s">
        <v>1124</v>
      </c>
      <c r="DA1109" s="483" t="s">
        <v>1124</v>
      </c>
      <c r="DB1109" s="483" t="s">
        <v>1124</v>
      </c>
      <c r="DC1109" s="483" t="s">
        <v>1124</v>
      </c>
      <c r="DD1109" s="483" t="s">
        <v>1124</v>
      </c>
      <c r="DE1109" s="483" t="str">
        <f>IFERROR(SUM(VLOOKUP($BS1109,'État &amp; Plan d''action'!$B$6:$Z$1113,18,FALSE),VLOOKUP($BS1109,'État &amp; Plan d''action'!$B$6:$Z$1113,20,FALSE))/(VLOOKUP($BS1109,'Données par municipalité'!$B$4:$L$1113,11,FALSE)),"")</f>
        <v/>
      </c>
      <c r="DF1109" s="483" t="str">
        <f>IFERROR(SUM(VLOOKUP($BS1109,'État &amp; Plan d''action'!$B$6:$Z$1113,19,FALSE),VLOOKUP($BS1109,'État &amp; Plan d''action'!$B$6:$Z$1113,21,FALSE))/(VLOOKUP($BS1109,'Données par municipalité'!$B$4:$L$1113,11,FALSE)),"")</f>
        <v/>
      </c>
      <c r="DG1109" s="476" t="s">
        <v>4723</v>
      </c>
      <c r="DH1109" s="484" t="s">
        <v>1124</v>
      </c>
      <c r="DI1109" s="484" t="s">
        <v>1124</v>
      </c>
      <c r="DJ1109" s="484">
        <v>0</v>
      </c>
      <c r="DK1109" s="484">
        <v>0</v>
      </c>
      <c r="DL1109" s="484" t="s">
        <v>1124</v>
      </c>
      <c r="DM1109" s="484" t="s">
        <v>1124</v>
      </c>
      <c r="DN1109" s="484" t="s">
        <v>1124</v>
      </c>
      <c r="DO1109" s="484" t="s">
        <v>1124</v>
      </c>
      <c r="DP1109" s="484" t="s">
        <v>1124</v>
      </c>
      <c r="DQ1109" s="484" t="str">
        <f>IF(VLOOKUP($BS1109,'État &amp; Plan d''action'!$B$6:$AJ$1113,28,FALSE)="","",VLOOKUP($BS1109,'État &amp; Plan d''action'!$B$6:$AJ$1113,28,FALSE))</f>
        <v/>
      </c>
      <c r="DR1109" s="70" t="str">
        <f>IF(VLOOKUP($BS1109,'État &amp; Plan d''action'!$B$6:$AJ$1113,29,FALSE)="","",VLOOKUP($BS1109,'État &amp; Plan d''action'!$B$6:$AJ$1113,29,FALSE))</f>
        <v/>
      </c>
      <c r="DS1109" s="70" t="str">
        <f>IF(VLOOKUP($BS1109,'État &amp; Plan d''action'!$B$6:$AJ$1113,30,FALSE)="","",VLOOKUP($BS1109,'État &amp; Plan d''action'!$B$6:$AJ$1113,30,FALSE))</f>
        <v/>
      </c>
      <c r="DT1109" s="70" t="s">
        <v>1124</v>
      </c>
      <c r="DU1109" s="485" t="s">
        <v>1124</v>
      </c>
      <c r="DV1109" s="485" t="s">
        <v>1124</v>
      </c>
      <c r="DW1109" s="70" t="s">
        <v>1124</v>
      </c>
      <c r="DX1109" s="70" t="s">
        <v>1124</v>
      </c>
      <c r="DY1109" s="70" t="s">
        <v>1124</v>
      </c>
      <c r="DZ1109" s="70" t="str">
        <f>VLOOKUP($BS1109,'État &amp; Plan d''action'!$B$6:$AH$1113,31,FALSE)</f>
        <v/>
      </c>
      <c r="EA1109" s="70" t="str">
        <f>VLOOKUP($BS1109,'État &amp; Plan d''action'!$B$6:$AH$1113,32,FALSE)</f>
        <v/>
      </c>
      <c r="EB1109" s="70" t="str">
        <f>VLOOKUP($BS1109,'État &amp; Plan d''action'!$B$6:$AH$1113,33,FALSE)</f>
        <v/>
      </c>
      <c r="EC1109" s="70" t="s">
        <v>1124</v>
      </c>
      <c r="ED1109" s="70" t="s">
        <v>1124</v>
      </c>
      <c r="EE1109" s="70" t="s">
        <v>1124</v>
      </c>
      <c r="EF1109" s="70" t="s">
        <v>1124</v>
      </c>
      <c r="EG1109" s="70" t="s">
        <v>1124</v>
      </c>
      <c r="EH1109" s="72"/>
      <c r="EI1109" s="72">
        <v>1055</v>
      </c>
    </row>
    <row r="1110" spans="71:139" x14ac:dyDescent="0.35">
      <c r="BS1110" s="486">
        <v>66032</v>
      </c>
      <c r="BT1110" s="479" t="s">
        <v>649</v>
      </c>
      <c r="BU1110" s="479">
        <v>6</v>
      </c>
      <c r="BV1110" s="476" t="s">
        <v>1187</v>
      </c>
      <c r="BW1110" s="476" t="s">
        <v>1187</v>
      </c>
      <c r="BX1110" s="476" t="s">
        <v>1187</v>
      </c>
      <c r="BY1110" s="476" t="s">
        <v>1187</v>
      </c>
      <c r="BZ1110" s="476" t="s">
        <v>1187</v>
      </c>
      <c r="CA1110" s="476" t="s">
        <v>1187</v>
      </c>
      <c r="CB1110" s="476" t="s">
        <v>1187</v>
      </c>
      <c r="CC1110" s="476" t="s">
        <v>1187</v>
      </c>
      <c r="CD1110" s="476" t="s">
        <v>1187</v>
      </c>
      <c r="CE1110" s="476" t="s">
        <v>1188</v>
      </c>
      <c r="CF1110" s="476" t="s">
        <v>1188</v>
      </c>
      <c r="CG1110" s="476" t="s">
        <v>1188</v>
      </c>
      <c r="CH1110" s="476" t="s">
        <v>1188</v>
      </c>
      <c r="CI1110" s="476" t="s">
        <v>1188</v>
      </c>
      <c r="CJ1110" s="476" t="s">
        <v>1187</v>
      </c>
      <c r="CK1110" s="476" t="s">
        <v>1187</v>
      </c>
      <c r="CL1110" s="476" t="s">
        <v>1187</v>
      </c>
      <c r="CM1110" s="476" t="str">
        <f>IF(VLOOKUP(BS1110,'Données par municipalité'!$B$6:$E$1113,4,FALSE)="","non","oui")</f>
        <v>non</v>
      </c>
      <c r="CN1110" s="410">
        <v>398.05563680684531</v>
      </c>
      <c r="CO1110" s="410">
        <v>373.54355486975066</v>
      </c>
      <c r="CP1110" s="410">
        <v>487.96021018887757</v>
      </c>
      <c r="CQ1110" s="410">
        <v>418.57494060710883</v>
      </c>
      <c r="CR1110" s="410">
        <v>857.52079932315371</v>
      </c>
      <c r="CS1110" s="410" t="s">
        <v>1124</v>
      </c>
      <c r="CT1110" s="410"/>
      <c r="CU1110" s="410" t="s">
        <v>1124</v>
      </c>
      <c r="CV1110" s="410" t="str">
        <f>IF(VLOOKUP(BS1110,'Données par municipalité'!$B$6:$F$1113,4,FALSE)="","",VLOOKUP(BS1110,'Données par municipalité'!$B$6:$F$1113,4,FALSE))</f>
        <v/>
      </c>
      <c r="CW1110" s="476" t="s">
        <v>4723</v>
      </c>
      <c r="CX1110" s="483">
        <v>1</v>
      </c>
      <c r="CY1110" s="483">
        <v>1</v>
      </c>
      <c r="CZ1110" s="483">
        <v>1</v>
      </c>
      <c r="DA1110" s="483">
        <v>0</v>
      </c>
      <c r="DB1110" s="483" t="s">
        <v>1124</v>
      </c>
      <c r="DC1110" s="483" t="s">
        <v>1124</v>
      </c>
      <c r="DD1110" s="483" t="s">
        <v>1124</v>
      </c>
      <c r="DE1110" s="483" t="str">
        <f>IFERROR(SUM(VLOOKUP($BS1110,'État &amp; Plan d''action'!$B$6:$Z$1113,18,FALSE),VLOOKUP($BS1110,'État &amp; Plan d''action'!$B$6:$Z$1113,20,FALSE))/(VLOOKUP($BS1110,'Données par municipalité'!$B$4:$L$1113,11,FALSE)),"")</f>
        <v/>
      </c>
      <c r="DF1110" s="483" t="str">
        <f>IFERROR(SUM(VLOOKUP($BS1110,'État &amp; Plan d''action'!$B$6:$Z$1113,19,FALSE),VLOOKUP($BS1110,'État &amp; Plan d''action'!$B$6:$Z$1113,21,FALSE))/(VLOOKUP($BS1110,'Données par municipalité'!$B$4:$L$1113,11,FALSE)),"")</f>
        <v/>
      </c>
      <c r="DG1110" s="476" t="s">
        <v>4723</v>
      </c>
      <c r="DH1110" s="484">
        <v>19</v>
      </c>
      <c r="DI1110" s="484">
        <v>12</v>
      </c>
      <c r="DJ1110" s="484">
        <v>0</v>
      </c>
      <c r="DK1110" s="484">
        <v>0</v>
      </c>
      <c r="DL1110" s="484" t="s">
        <v>1124</v>
      </c>
      <c r="DM1110" s="484" t="s">
        <v>1124</v>
      </c>
      <c r="DN1110" s="484" t="s">
        <v>1124</v>
      </c>
      <c r="DO1110" s="484" t="s">
        <v>1124</v>
      </c>
      <c r="DP1110" s="484" t="s">
        <v>1124</v>
      </c>
      <c r="DQ1110" s="484" t="str">
        <f>IF(VLOOKUP($BS1110,'État &amp; Plan d''action'!$B$6:$AJ$1113,28,FALSE)="","",VLOOKUP($BS1110,'État &amp; Plan d''action'!$B$6:$AJ$1113,28,FALSE))</f>
        <v/>
      </c>
      <c r="DR1110" s="70" t="str">
        <f>IF(VLOOKUP($BS1110,'État &amp; Plan d''action'!$B$6:$AJ$1113,29,FALSE)="","",VLOOKUP($BS1110,'État &amp; Plan d''action'!$B$6:$AJ$1113,29,FALSE))</f>
        <v/>
      </c>
      <c r="DS1110" s="70" t="str">
        <f>IF(VLOOKUP($BS1110,'État &amp; Plan d''action'!$B$6:$AJ$1113,30,FALSE)="","",VLOOKUP($BS1110,'État &amp; Plan d''action'!$B$6:$AJ$1113,30,FALSE))</f>
        <v/>
      </c>
      <c r="DT1110" s="70" t="s">
        <v>1124</v>
      </c>
      <c r="DU1110" s="485" t="s">
        <v>1124</v>
      </c>
      <c r="DV1110" s="485" t="s">
        <v>1124</v>
      </c>
      <c r="DW1110" s="70" t="s">
        <v>1124</v>
      </c>
      <c r="DX1110" s="70" t="s">
        <v>1124</v>
      </c>
      <c r="DY1110" s="70" t="s">
        <v>1124</v>
      </c>
      <c r="DZ1110" s="70" t="str">
        <f>VLOOKUP($BS1110,'État &amp; Plan d''action'!$B$6:$AH$1113,31,FALSE)</f>
        <v/>
      </c>
      <c r="EA1110" s="70" t="str">
        <f>VLOOKUP($BS1110,'État &amp; Plan d''action'!$B$6:$AH$1113,32,FALSE)</f>
        <v/>
      </c>
      <c r="EB1110" s="70" t="str">
        <f>VLOOKUP($BS1110,'État &amp; Plan d''action'!$B$6:$AH$1113,33,FALSE)</f>
        <v/>
      </c>
      <c r="EC1110" s="70" t="s">
        <v>1124</v>
      </c>
      <c r="ED1110" s="70" t="s">
        <v>1124</v>
      </c>
      <c r="EE1110" s="70" t="s">
        <v>1124</v>
      </c>
      <c r="EF1110" s="70" t="s">
        <v>1124</v>
      </c>
      <c r="EG1110" s="70" t="s">
        <v>1124</v>
      </c>
      <c r="EH1110" s="72"/>
      <c r="EI1110" s="72">
        <v>20938</v>
      </c>
    </row>
    <row r="1111" spans="71:139" x14ac:dyDescent="0.35">
      <c r="BS1111" s="486">
        <v>49040</v>
      </c>
      <c r="BT1111" s="479" t="s">
        <v>469</v>
      </c>
      <c r="BU1111" s="479">
        <v>17</v>
      </c>
      <c r="BV1111" s="476" t="s">
        <v>1187</v>
      </c>
      <c r="BW1111" s="476" t="s">
        <v>1187</v>
      </c>
      <c r="BX1111" s="476" t="s">
        <v>1187</v>
      </c>
      <c r="BY1111" s="476" t="s">
        <v>1187</v>
      </c>
      <c r="BZ1111" s="476" t="s">
        <v>1187</v>
      </c>
      <c r="CA1111" s="476" t="s">
        <v>1187</v>
      </c>
      <c r="CB1111" s="476" t="s">
        <v>1187</v>
      </c>
      <c r="CC1111" s="476" t="s">
        <v>1187</v>
      </c>
      <c r="CD1111" s="476" t="s">
        <v>1187</v>
      </c>
      <c r="CE1111" s="476" t="s">
        <v>1188</v>
      </c>
      <c r="CF1111" s="476" t="s">
        <v>1188</v>
      </c>
      <c r="CG1111" s="476" t="s">
        <v>1188</v>
      </c>
      <c r="CH1111" s="476" t="s">
        <v>1188</v>
      </c>
      <c r="CI1111" s="476" t="s">
        <v>1188</v>
      </c>
      <c r="CJ1111" s="476" t="s">
        <v>1188</v>
      </c>
      <c r="CK1111" s="476" t="s">
        <v>1188</v>
      </c>
      <c r="CL1111" s="476" t="s">
        <v>1188</v>
      </c>
      <c r="CM1111" s="476" t="str">
        <f>IF(VLOOKUP(BS1111,'Données par municipalité'!$B$6:$E$1113,4,FALSE)="","non","oui")</f>
        <v>oui</v>
      </c>
      <c r="CN1111" s="410">
        <v>283.8687734797607</v>
      </c>
      <c r="CO1111" s="410">
        <v>280.46944593205376</v>
      </c>
      <c r="CP1111" s="410">
        <v>275.65029493217105</v>
      </c>
      <c r="CQ1111" s="410">
        <v>263.58752772341813</v>
      </c>
      <c r="CR1111" s="410">
        <v>245.75669923047539</v>
      </c>
      <c r="CS1111" s="410">
        <v>242.31918282001254</v>
      </c>
      <c r="CT1111" s="410">
        <v>194.7509306054254</v>
      </c>
      <c r="CU1111" s="410">
        <v>246</v>
      </c>
      <c r="CV1111" s="410">
        <f>IF(VLOOKUP(BS1111,'Données par municipalité'!$B$6:$F$1113,4,FALSE)="","",VLOOKUP(BS1111,'Données par municipalité'!$B$6:$F$1113,4,FALSE))</f>
        <v>320</v>
      </c>
      <c r="CW1111" s="476" t="s">
        <v>4723</v>
      </c>
      <c r="CX1111" s="483">
        <v>0</v>
      </c>
      <c r="CY1111" s="483">
        <v>0</v>
      </c>
      <c r="CZ1111" s="483">
        <v>0</v>
      </c>
      <c r="DA1111" s="483">
        <v>0</v>
      </c>
      <c r="DB1111" s="483">
        <v>0</v>
      </c>
      <c r="DC1111" s="483">
        <v>0</v>
      </c>
      <c r="DD1111" s="483">
        <v>0</v>
      </c>
      <c r="DE1111" s="483">
        <f>IFERROR(SUM(VLOOKUP($BS1111,'État &amp; Plan d''action'!$B$6:$Z$1113,18,FALSE),VLOOKUP($BS1111,'État &amp; Plan d''action'!$B$6:$Z$1113,20,FALSE))/(VLOOKUP($BS1111,'Données par municipalité'!$B$4:$L$1113,11,FALSE)),"")</f>
        <v>0</v>
      </c>
      <c r="DF1111" s="483">
        <f>IFERROR(SUM(VLOOKUP($BS1111,'État &amp; Plan d''action'!$B$6:$Z$1113,19,FALSE),VLOOKUP($BS1111,'État &amp; Plan d''action'!$B$6:$Z$1113,21,FALSE))/(VLOOKUP($BS1111,'Données par municipalité'!$B$4:$L$1113,11,FALSE)),"")</f>
        <v>0</v>
      </c>
      <c r="DG1111" s="476" t="s">
        <v>4723</v>
      </c>
      <c r="DH1111" s="484">
        <v>1</v>
      </c>
      <c r="DI1111" s="484">
        <v>0</v>
      </c>
      <c r="DJ1111" s="484">
        <v>0</v>
      </c>
      <c r="DK1111" s="484">
        <v>0</v>
      </c>
      <c r="DL1111" s="484">
        <v>0</v>
      </c>
      <c r="DM1111" s="484">
        <v>0</v>
      </c>
      <c r="DN1111" s="484">
        <v>1</v>
      </c>
      <c r="DO1111" s="484">
        <v>0</v>
      </c>
      <c r="DP1111" s="484">
        <v>0</v>
      </c>
      <c r="DQ1111" s="484">
        <f>IF(VLOOKUP($BS1111,'État &amp; Plan d''action'!$B$6:$AJ$1113,28,FALSE)="","",VLOOKUP($BS1111,'État &amp; Plan d''action'!$B$6:$AJ$1113,28,FALSE))</f>
        <v>0</v>
      </c>
      <c r="DR1111" s="70">
        <f>IF(VLOOKUP($BS1111,'État &amp; Plan d''action'!$B$6:$AJ$1113,29,FALSE)="","",VLOOKUP($BS1111,'État &amp; Plan d''action'!$B$6:$AJ$1113,29,FALSE))</f>
        <v>0</v>
      </c>
      <c r="DS1111" s="70">
        <f>IF(VLOOKUP($BS1111,'État &amp; Plan d''action'!$B$6:$AJ$1113,30,FALSE)="","",VLOOKUP($BS1111,'État &amp; Plan d''action'!$B$6:$AJ$1113,30,FALSE))</f>
        <v>2</v>
      </c>
      <c r="DT1111" s="70">
        <v>136</v>
      </c>
      <c r="DU1111" s="485">
        <v>1.3301061444438786</v>
      </c>
      <c r="DV1111" s="485">
        <v>2.2673626272792986</v>
      </c>
      <c r="DW1111" s="70">
        <v>1</v>
      </c>
      <c r="DX1111" s="70">
        <v>0</v>
      </c>
      <c r="DY1111" s="70">
        <v>0</v>
      </c>
      <c r="DZ1111" s="70">
        <f>VLOOKUP($BS1111,'État &amp; Plan d''action'!$B$6:$AH$1113,31,FALSE)</f>
        <v>0</v>
      </c>
      <c r="EA1111" s="70">
        <f>VLOOKUP($BS1111,'État &amp; Plan d''action'!$B$6:$AH$1113,32,FALSE)</f>
        <v>0</v>
      </c>
      <c r="EB1111" s="70">
        <f>VLOOKUP($BS1111,'État &amp; Plan d''action'!$B$6:$AH$1113,33,FALSE)</f>
        <v>120</v>
      </c>
      <c r="EC1111" s="70">
        <v>0</v>
      </c>
      <c r="ED1111" s="70">
        <v>0</v>
      </c>
      <c r="EE1111" s="70">
        <v>0</v>
      </c>
      <c r="EF1111" s="70">
        <v>0</v>
      </c>
      <c r="EG1111" s="70">
        <v>0</v>
      </c>
      <c r="EH1111" s="72">
        <v>71</v>
      </c>
      <c r="EI1111" s="72">
        <v>2599</v>
      </c>
    </row>
    <row r="1112" spans="71:139" x14ac:dyDescent="0.35">
      <c r="BS1112" s="486">
        <v>42088</v>
      </c>
      <c r="BT1112" s="479" t="s">
        <v>392</v>
      </c>
      <c r="BU1112" s="479">
        <v>5</v>
      </c>
      <c r="BV1112" s="476" t="s">
        <v>1187</v>
      </c>
      <c r="BW1112" s="476" t="s">
        <v>1187</v>
      </c>
      <c r="BX1112" s="476" t="s">
        <v>1187</v>
      </c>
      <c r="BY1112" s="476" t="s">
        <v>1187</v>
      </c>
      <c r="BZ1112" s="476" t="s">
        <v>1187</v>
      </c>
      <c r="CA1112" s="476" t="s">
        <v>1187</v>
      </c>
      <c r="CB1112" s="476" t="s">
        <v>1187</v>
      </c>
      <c r="CC1112" s="476" t="s">
        <v>1187</v>
      </c>
      <c r="CD1112" s="476" t="s">
        <v>1187</v>
      </c>
      <c r="CE1112" s="476" t="s">
        <v>1188</v>
      </c>
      <c r="CF1112" s="476" t="s">
        <v>1188</v>
      </c>
      <c r="CG1112" s="476" t="s">
        <v>1188</v>
      </c>
      <c r="CH1112" s="476" t="s">
        <v>1188</v>
      </c>
      <c r="CI1112" s="476" t="s">
        <v>1188</v>
      </c>
      <c r="CJ1112" s="476" t="s">
        <v>1188</v>
      </c>
      <c r="CK1112" s="476" t="s">
        <v>1188</v>
      </c>
      <c r="CL1112" s="476" t="s">
        <v>1188</v>
      </c>
      <c r="CM1112" s="476" t="str">
        <f>IF(VLOOKUP(BS1112,'Données par municipalité'!$B$6:$E$1113,4,FALSE)="","non","oui")</f>
        <v>oui</v>
      </c>
      <c r="CN1112" s="410">
        <v>532.13361325877202</v>
      </c>
      <c r="CO1112" s="410">
        <v>454.28492818713522</v>
      </c>
      <c r="CP1112" s="410">
        <v>432.0324235259863</v>
      </c>
      <c r="CQ1112" s="410">
        <v>416.48822434565295</v>
      </c>
      <c r="CR1112" s="410">
        <v>420.51544826044125</v>
      </c>
      <c r="CS1112" s="410">
        <v>422.89516494576901</v>
      </c>
      <c r="CT1112" s="410">
        <v>389.76816042159845</v>
      </c>
      <c r="CU1112" s="410">
        <v>413</v>
      </c>
      <c r="CV1112" s="410">
        <f>IF(VLOOKUP(BS1112,'Données par municipalité'!$B$6:$F$1113,4,FALSE)="","",VLOOKUP(BS1112,'Données par municipalité'!$B$6:$F$1113,4,FALSE))</f>
        <v>468</v>
      </c>
      <c r="CW1112" s="476" t="s">
        <v>4723</v>
      </c>
      <c r="CX1112" s="483">
        <v>0</v>
      </c>
      <c r="CY1112" s="483">
        <v>1</v>
      </c>
      <c r="CZ1112" s="483">
        <v>1</v>
      </c>
      <c r="DA1112" s="483">
        <v>0</v>
      </c>
      <c r="DB1112" s="483">
        <v>0</v>
      </c>
      <c r="DC1112" s="483">
        <v>0</v>
      </c>
      <c r="DD1112" s="483">
        <v>0</v>
      </c>
      <c r="DE1112" s="483">
        <f>IFERROR(SUM(VLOOKUP($BS1112,'État &amp; Plan d''action'!$B$6:$Z$1113,18,FALSE),VLOOKUP($BS1112,'État &amp; Plan d''action'!$B$6:$Z$1113,20,FALSE))/(VLOOKUP($BS1112,'Données par municipalité'!$B$4:$L$1113,11,FALSE)),"")</f>
        <v>0</v>
      </c>
      <c r="DF1112" s="483">
        <f>IFERROR(SUM(VLOOKUP($BS1112,'État &amp; Plan d''action'!$B$6:$Z$1113,19,FALSE),VLOOKUP($BS1112,'État &amp; Plan d''action'!$B$6:$Z$1113,21,FALSE))/(VLOOKUP($BS1112,'Données par municipalité'!$B$4:$L$1113,11,FALSE)),"")</f>
        <v>1</v>
      </c>
      <c r="DG1112" s="476" t="s">
        <v>4723</v>
      </c>
      <c r="DH1112" s="484">
        <v>10</v>
      </c>
      <c r="DI1112" s="484">
        <v>5</v>
      </c>
      <c r="DJ1112" s="484">
        <v>6</v>
      </c>
      <c r="DK1112" s="484">
        <v>8</v>
      </c>
      <c r="DL1112" s="484">
        <v>6</v>
      </c>
      <c r="DM1112" s="484">
        <v>6</v>
      </c>
      <c r="DN1112" s="484">
        <v>6</v>
      </c>
      <c r="DO1112" s="484">
        <v>0</v>
      </c>
      <c r="DP1112" s="484">
        <v>0</v>
      </c>
      <c r="DQ1112" s="484">
        <f>IF(VLOOKUP($BS1112,'État &amp; Plan d''action'!$B$6:$AJ$1113,28,FALSE)="","",VLOOKUP($BS1112,'État &amp; Plan d''action'!$B$6:$AJ$1113,28,FALSE))</f>
        <v>3</v>
      </c>
      <c r="DR1112" s="70">
        <f>IF(VLOOKUP($BS1112,'État &amp; Plan d''action'!$B$6:$AJ$1113,29,FALSE)="","",VLOOKUP($BS1112,'État &amp; Plan d''action'!$B$6:$AJ$1113,29,FALSE))</f>
        <v>3</v>
      </c>
      <c r="DS1112" s="70">
        <f>IF(VLOOKUP($BS1112,'État &amp; Plan d''action'!$B$6:$AJ$1113,30,FALSE)="","",VLOOKUP($BS1112,'État &amp; Plan d''action'!$B$6:$AJ$1113,30,FALSE))</f>
        <v>3</v>
      </c>
      <c r="DT1112" s="70">
        <v>273</v>
      </c>
      <c r="DU1112" s="485">
        <v>2.8139055562889741</v>
      </c>
      <c r="DV1112" s="485">
        <v>4.2589455488801509</v>
      </c>
      <c r="DW1112" s="70">
        <v>1</v>
      </c>
      <c r="DX1112" s="70">
        <v>0</v>
      </c>
      <c r="DY1112" s="70">
        <v>0</v>
      </c>
      <c r="DZ1112" s="70">
        <f>VLOOKUP($BS1112,'État &amp; Plan d''action'!$B$6:$AH$1113,31,FALSE)</f>
        <v>2</v>
      </c>
      <c r="EA1112" s="70">
        <f>VLOOKUP($BS1112,'État &amp; Plan d''action'!$B$6:$AH$1113,32,FALSE)</f>
        <v>2</v>
      </c>
      <c r="EB1112" s="70">
        <f>VLOOKUP($BS1112,'État &amp; Plan d''action'!$B$6:$AH$1113,33,FALSE)</f>
        <v>2</v>
      </c>
      <c r="EC1112" s="70">
        <v>0</v>
      </c>
      <c r="ED1112" s="70">
        <v>0</v>
      </c>
      <c r="EE1112" s="70">
        <v>0</v>
      </c>
      <c r="EF1112" s="70">
        <v>0</v>
      </c>
      <c r="EG1112" s="70">
        <v>0</v>
      </c>
      <c r="EH1112" s="72">
        <v>59</v>
      </c>
      <c r="EI1112" s="72">
        <v>5411</v>
      </c>
    </row>
    <row r="1113" spans="71:139" x14ac:dyDescent="0.35">
      <c r="BS1113" s="486">
        <v>40017</v>
      </c>
      <c r="BT1113" s="479" t="s">
        <v>360</v>
      </c>
      <c r="BU1113" s="479">
        <v>5</v>
      </c>
      <c r="BV1113" s="476" t="s">
        <v>1187</v>
      </c>
      <c r="BW1113" s="476" t="s">
        <v>1187</v>
      </c>
      <c r="BX1113" s="476" t="s">
        <v>1187</v>
      </c>
      <c r="BY1113" s="476" t="s">
        <v>1187</v>
      </c>
      <c r="BZ1113" s="476" t="s">
        <v>1187</v>
      </c>
      <c r="CA1113" s="476" t="s">
        <v>1187</v>
      </c>
      <c r="CB1113" s="476" t="s">
        <v>1187</v>
      </c>
      <c r="CC1113" s="476" t="s">
        <v>1187</v>
      </c>
      <c r="CD1113" s="476" t="s">
        <v>1187</v>
      </c>
      <c r="CE1113" s="476" t="s">
        <v>1188</v>
      </c>
      <c r="CF1113" s="476" t="s">
        <v>1188</v>
      </c>
      <c r="CG1113" s="476" t="s">
        <v>1187</v>
      </c>
      <c r="CH1113" s="476" t="s">
        <v>1187</v>
      </c>
      <c r="CI1113" s="476" t="s">
        <v>1188</v>
      </c>
      <c r="CJ1113" s="476" t="s">
        <v>1188</v>
      </c>
      <c r="CK1113" s="476" t="s">
        <v>1188</v>
      </c>
      <c r="CL1113" s="476" t="s">
        <v>1188</v>
      </c>
      <c r="CM1113" s="476" t="str">
        <f>IF(VLOOKUP(BS1113,'Données par municipalité'!$B$6:$E$1113,4,FALSE)="","non","oui")</f>
        <v>non</v>
      </c>
      <c r="CN1113" s="410">
        <v>503.30530526225238</v>
      </c>
      <c r="CO1113" s="410">
        <v>432.75273224043713</v>
      </c>
      <c r="CP1113" s="410"/>
      <c r="CQ1113" s="410"/>
      <c r="CR1113" s="410">
        <v>366.81613908318121</v>
      </c>
      <c r="CS1113" s="410">
        <v>507.29915672222734</v>
      </c>
      <c r="CT1113" s="410">
        <v>353.90272017125864</v>
      </c>
      <c r="CU1113" s="410">
        <v>251</v>
      </c>
      <c r="CV1113" s="410" t="str">
        <f>IF(VLOOKUP(BS1113,'Données par municipalité'!$B$6:$F$1113,4,FALSE)="","",VLOOKUP(BS1113,'Données par municipalité'!$B$6:$F$1113,4,FALSE))</f>
        <v/>
      </c>
      <c r="CW1113" s="476" t="s">
        <v>4723</v>
      </c>
      <c r="CX1113" s="483">
        <v>0</v>
      </c>
      <c r="CY1113" s="483" t="s">
        <v>1124</v>
      </c>
      <c r="CZ1113" s="483" t="s">
        <v>1124</v>
      </c>
      <c r="DA1113" s="483">
        <v>0</v>
      </c>
      <c r="DB1113" s="483">
        <v>1</v>
      </c>
      <c r="DC1113" s="483">
        <v>1</v>
      </c>
      <c r="DD1113" s="483">
        <v>1</v>
      </c>
      <c r="DE1113" s="483" t="str">
        <f>IFERROR(SUM(VLOOKUP($BS1113,'État &amp; Plan d''action'!$B$6:$Z$1113,18,FALSE),VLOOKUP($BS1113,'État &amp; Plan d''action'!$B$6:$Z$1113,20,FALSE))/(VLOOKUP($BS1113,'Données par municipalité'!$B$4:$L$1113,11,FALSE)),"")</f>
        <v/>
      </c>
      <c r="DF1113" s="483" t="str">
        <f>IFERROR(SUM(VLOOKUP($BS1113,'État &amp; Plan d''action'!$B$6:$Z$1113,19,FALSE),VLOOKUP($BS1113,'État &amp; Plan d''action'!$B$6:$Z$1113,21,FALSE))/(VLOOKUP($BS1113,'Données par municipalité'!$B$4:$L$1113,11,FALSE)),"")</f>
        <v/>
      </c>
      <c r="DG1113" s="476" t="s">
        <v>4723</v>
      </c>
      <c r="DH1113" s="484">
        <v>0</v>
      </c>
      <c r="DI1113" s="484" t="s">
        <v>1124</v>
      </c>
      <c r="DJ1113" s="484">
        <v>0</v>
      </c>
      <c r="DK1113" s="484">
        <v>0</v>
      </c>
      <c r="DL1113" s="484">
        <v>3</v>
      </c>
      <c r="DM1113" s="484">
        <v>1</v>
      </c>
      <c r="DN1113" s="484">
        <v>0</v>
      </c>
      <c r="DO1113" s="484">
        <v>0</v>
      </c>
      <c r="DP1113" s="484">
        <v>0</v>
      </c>
      <c r="DQ1113" s="484" t="str">
        <f>IF(VLOOKUP($BS1113,'État &amp; Plan d''action'!$B$6:$AJ$1113,28,FALSE)="","",VLOOKUP($BS1113,'État &amp; Plan d''action'!$B$6:$AJ$1113,28,FALSE))</f>
        <v/>
      </c>
      <c r="DR1113" s="70" t="str">
        <f>IF(VLOOKUP($BS1113,'État &amp; Plan d''action'!$B$6:$AJ$1113,29,FALSE)="","",VLOOKUP($BS1113,'État &amp; Plan d''action'!$B$6:$AJ$1113,29,FALSE))</f>
        <v/>
      </c>
      <c r="DS1113" s="70" t="str">
        <f>IF(VLOOKUP($BS1113,'État &amp; Plan d''action'!$B$6:$AJ$1113,30,FALSE)="","",VLOOKUP($BS1113,'État &amp; Plan d''action'!$B$6:$AJ$1113,30,FALSE))</f>
        <v/>
      </c>
      <c r="DT1113" s="70">
        <v>172</v>
      </c>
      <c r="DU1113" s="485">
        <v>1.1463046828484265</v>
      </c>
      <c r="DV1113" s="485" t="s">
        <v>1124</v>
      </c>
      <c r="DW1113" s="70">
        <v>0</v>
      </c>
      <c r="DX1113" s="70">
        <v>0</v>
      </c>
      <c r="DY1113" s="70">
        <v>0</v>
      </c>
      <c r="DZ1113" s="70" t="str">
        <f>VLOOKUP($BS1113,'État &amp; Plan d''action'!$B$6:$AH$1113,31,FALSE)</f>
        <v/>
      </c>
      <c r="EA1113" s="70" t="str">
        <f>VLOOKUP($BS1113,'État &amp; Plan d''action'!$B$6:$AH$1113,32,FALSE)</f>
        <v/>
      </c>
      <c r="EB1113" s="70" t="str">
        <f>VLOOKUP($BS1113,'État &amp; Plan d''action'!$B$6:$AH$1113,33,FALSE)</f>
        <v/>
      </c>
      <c r="EC1113" s="70">
        <v>0</v>
      </c>
      <c r="ED1113" s="70">
        <v>0</v>
      </c>
      <c r="EE1113" s="70">
        <v>9.0649999999999995</v>
      </c>
      <c r="EF1113" s="70">
        <v>0</v>
      </c>
      <c r="EG1113" s="70">
        <v>0</v>
      </c>
      <c r="EH1113" s="72">
        <v>45</v>
      </c>
      <c r="EI1113" s="72">
        <v>1425</v>
      </c>
    </row>
    <row r="1114" spans="71:139" x14ac:dyDescent="0.35">
      <c r="BS1114" s="486">
        <v>51020</v>
      </c>
      <c r="BT1114" s="479" t="s">
        <v>500</v>
      </c>
      <c r="BU1114" s="479">
        <v>4</v>
      </c>
      <c r="BV1114" s="476" t="s">
        <v>1187</v>
      </c>
      <c r="BW1114" s="476" t="s">
        <v>1187</v>
      </c>
      <c r="BX1114" s="476" t="s">
        <v>1187</v>
      </c>
      <c r="BY1114" s="476" t="s">
        <v>1187</v>
      </c>
      <c r="BZ1114" s="476" t="s">
        <v>1187</v>
      </c>
      <c r="CA1114" s="476" t="s">
        <v>1187</v>
      </c>
      <c r="CB1114" s="476" t="s">
        <v>1187</v>
      </c>
      <c r="CC1114" s="476" t="s">
        <v>1187</v>
      </c>
      <c r="CD1114" s="476" t="s">
        <v>1187</v>
      </c>
      <c r="CE1114" s="476" t="s">
        <v>1188</v>
      </c>
      <c r="CF1114" s="476" t="s">
        <v>1188</v>
      </c>
      <c r="CG1114" s="476" t="s">
        <v>1188</v>
      </c>
      <c r="CH1114" s="476" t="s">
        <v>1188</v>
      </c>
      <c r="CI1114" s="476" t="s">
        <v>1188</v>
      </c>
      <c r="CJ1114" s="476" t="s">
        <v>1188</v>
      </c>
      <c r="CK1114" s="476" t="s">
        <v>1188</v>
      </c>
      <c r="CL1114" s="476" t="s">
        <v>1188</v>
      </c>
      <c r="CM1114" s="476" t="str">
        <f>IF(VLOOKUP(BS1114,'Données par municipalité'!$B$6:$E$1113,4,FALSE)="","non","oui")</f>
        <v>oui</v>
      </c>
      <c r="CN1114" s="410">
        <v>899.04322303233232</v>
      </c>
      <c r="CO1114" s="410">
        <v>908.2292856294406</v>
      </c>
      <c r="CP1114" s="410">
        <v>835.1741103129948</v>
      </c>
      <c r="CQ1114" s="410">
        <v>835.50252004698223</v>
      </c>
      <c r="CR1114" s="410">
        <v>563.08194725676719</v>
      </c>
      <c r="CS1114" s="410">
        <v>865.21021027408108</v>
      </c>
      <c r="CT1114" s="410">
        <v>824.05559208286161</v>
      </c>
      <c r="CU1114" s="410">
        <v>892</v>
      </c>
      <c r="CV1114" s="410">
        <f>IF(VLOOKUP(BS1114,'Données par municipalité'!$B$6:$F$1113,4,FALSE)="","",VLOOKUP(BS1114,'Données par municipalité'!$B$6:$F$1113,4,FALSE))</f>
        <v>693</v>
      </c>
      <c r="CW1114" s="476" t="s">
        <v>4723</v>
      </c>
      <c r="CX1114" s="483">
        <v>0</v>
      </c>
      <c r="CY1114" s="483">
        <v>0</v>
      </c>
      <c r="CZ1114" s="483">
        <v>1</v>
      </c>
      <c r="DA1114" s="483">
        <v>0</v>
      </c>
      <c r="DB1114" s="483">
        <v>0</v>
      </c>
      <c r="DC1114" s="483">
        <v>0</v>
      </c>
      <c r="DD1114" s="483">
        <v>1.2415265810841011E-2</v>
      </c>
      <c r="DE1114" s="483">
        <f>IFERROR(SUM(VLOOKUP($BS1114,'État &amp; Plan d''action'!$B$6:$Z$1113,18,FALSE),VLOOKUP($BS1114,'État &amp; Plan d''action'!$B$6:$Z$1113,20,FALSE))/(VLOOKUP($BS1114,'Données par municipalité'!$B$4:$L$1113,11,FALSE)),"")</f>
        <v>1.0000000000000002</v>
      </c>
      <c r="DF1114" s="483">
        <f>IFERROR(SUM(VLOOKUP($BS1114,'État &amp; Plan d''action'!$B$6:$Z$1113,19,FALSE),VLOOKUP($BS1114,'État &amp; Plan d''action'!$B$6:$Z$1113,21,FALSE))/(VLOOKUP($BS1114,'Données par municipalité'!$B$4:$L$1113,11,FALSE)),"")</f>
        <v>1.0000000000000002</v>
      </c>
      <c r="DG1114" s="476" t="s">
        <v>4723</v>
      </c>
      <c r="DH1114" s="484">
        <v>10</v>
      </c>
      <c r="DI1114" s="484">
        <v>6</v>
      </c>
      <c r="DJ1114" s="484">
        <v>4</v>
      </c>
      <c r="DK1114" s="484">
        <v>8</v>
      </c>
      <c r="DL1114" s="484">
        <v>6</v>
      </c>
      <c r="DM1114" s="484">
        <v>11</v>
      </c>
      <c r="DN1114" s="484">
        <v>5</v>
      </c>
      <c r="DO1114" s="484">
        <v>2</v>
      </c>
      <c r="DP1114" s="484">
        <v>1</v>
      </c>
      <c r="DQ1114" s="484">
        <f>IF(VLOOKUP($BS1114,'État &amp; Plan d''action'!$B$6:$AJ$1113,28,FALSE)="","",VLOOKUP($BS1114,'État &amp; Plan d''action'!$B$6:$AJ$1113,28,FALSE))</f>
        <v>0</v>
      </c>
      <c r="DR1114" s="70">
        <f>IF(VLOOKUP($BS1114,'État &amp; Plan d''action'!$B$6:$AJ$1113,29,FALSE)="","",VLOOKUP($BS1114,'État &amp; Plan d''action'!$B$6:$AJ$1113,29,FALSE))</f>
        <v>0</v>
      </c>
      <c r="DS1114" s="70">
        <f>IF(VLOOKUP($BS1114,'État &amp; Plan d''action'!$B$6:$AJ$1113,30,FALSE)="","",VLOOKUP($BS1114,'État &amp; Plan d''action'!$B$6:$AJ$1113,30,FALSE))</f>
        <v>2</v>
      </c>
      <c r="DT1114" s="70">
        <v>228</v>
      </c>
      <c r="DU1114" s="485">
        <v>1.6395650601606129</v>
      </c>
      <c r="DV1114" s="485">
        <v>1.9785837770114549</v>
      </c>
      <c r="DW1114" s="70">
        <v>3</v>
      </c>
      <c r="DX1114" s="70">
        <v>3</v>
      </c>
      <c r="DY1114" s="70">
        <v>5</v>
      </c>
      <c r="DZ1114" s="70">
        <f>VLOOKUP($BS1114,'État &amp; Plan d''action'!$B$6:$AH$1113,31,FALSE)</f>
        <v>0</v>
      </c>
      <c r="EA1114" s="70">
        <f>VLOOKUP($BS1114,'État &amp; Plan d''action'!$B$6:$AH$1113,32,FALSE)</f>
        <v>0</v>
      </c>
      <c r="EB1114" s="70">
        <f>VLOOKUP($BS1114,'État &amp; Plan d''action'!$B$6:$AH$1113,33,FALSE)</f>
        <v>3</v>
      </c>
      <c r="EC1114" s="70">
        <v>0</v>
      </c>
      <c r="ED1114" s="70">
        <v>0</v>
      </c>
      <c r="EE1114" s="70">
        <v>1</v>
      </c>
      <c r="EF1114" s="70">
        <v>0</v>
      </c>
      <c r="EG1114" s="70">
        <v>0</v>
      </c>
      <c r="EH1114" s="72">
        <v>69.5</v>
      </c>
      <c r="EI1114" s="72">
        <v>2904</v>
      </c>
    </row>
    <row r="1115" spans="71:139" x14ac:dyDescent="0.35">
      <c r="BS1115" s="486">
        <v>53072</v>
      </c>
      <c r="BT1115" s="479" t="s">
        <v>540</v>
      </c>
      <c r="BU1115" s="479">
        <v>16</v>
      </c>
      <c r="BV1115" s="476" t="s">
        <v>1187</v>
      </c>
      <c r="BW1115" s="476" t="s">
        <v>1187</v>
      </c>
      <c r="BX1115" s="476" t="s">
        <v>1187</v>
      </c>
      <c r="BY1115" s="476" t="s">
        <v>1187</v>
      </c>
      <c r="BZ1115" s="476" t="s">
        <v>1187</v>
      </c>
      <c r="CA1115" s="476" t="s">
        <v>1187</v>
      </c>
      <c r="CB1115" s="476" t="s">
        <v>1187</v>
      </c>
      <c r="CC1115" s="476" t="s">
        <v>1187</v>
      </c>
      <c r="CD1115" s="476" t="s">
        <v>1187</v>
      </c>
      <c r="CE1115" s="476" t="s">
        <v>1188</v>
      </c>
      <c r="CF1115" s="476" t="s">
        <v>1188</v>
      </c>
      <c r="CG1115" s="476" t="s">
        <v>1188</v>
      </c>
      <c r="CH1115" s="476" t="s">
        <v>1188</v>
      </c>
      <c r="CI1115" s="476" t="s">
        <v>1188</v>
      </c>
      <c r="CJ1115" s="476" t="s">
        <v>1188</v>
      </c>
      <c r="CK1115" s="476" t="s">
        <v>1187</v>
      </c>
      <c r="CL1115" s="476" t="s">
        <v>1188</v>
      </c>
      <c r="CM1115" s="476" t="str">
        <f>IF(VLOOKUP(BS1115,'Données par municipalité'!$B$6:$E$1113,4,FALSE)="","non","oui")</f>
        <v>non</v>
      </c>
      <c r="CN1115" s="410">
        <v>328.07816820398085</v>
      </c>
      <c r="CO1115" s="410">
        <v>414.68093237223263</v>
      </c>
      <c r="CP1115" s="410">
        <v>359.80127287238855</v>
      </c>
      <c r="CQ1115" s="410">
        <v>343.3373912766362</v>
      </c>
      <c r="CR1115" s="410">
        <v>359.81865984557845</v>
      </c>
      <c r="CS1115" s="410">
        <v>449.53296872330458</v>
      </c>
      <c r="CT1115" s="410"/>
      <c r="CU1115" s="410">
        <v>344</v>
      </c>
      <c r="CV1115" s="410" t="str">
        <f>IF(VLOOKUP(BS1115,'Données par municipalité'!$B$6:$F$1113,4,FALSE)="","",VLOOKUP(BS1115,'Données par municipalité'!$B$6:$F$1113,4,FALSE))</f>
        <v/>
      </c>
      <c r="CW1115" s="476" t="s">
        <v>4723</v>
      </c>
      <c r="CX1115" s="483">
        <v>0</v>
      </c>
      <c r="CY1115" s="483">
        <v>0</v>
      </c>
      <c r="CZ1115" s="483">
        <v>1</v>
      </c>
      <c r="DA1115" s="483">
        <v>0</v>
      </c>
      <c r="DB1115" s="483">
        <v>0</v>
      </c>
      <c r="DC1115" s="483" t="s">
        <v>1124</v>
      </c>
      <c r="DD1115" s="483">
        <v>0</v>
      </c>
      <c r="DE1115" s="483" t="str">
        <f>IFERROR(SUM(VLOOKUP($BS1115,'État &amp; Plan d''action'!$B$6:$Z$1113,18,FALSE),VLOOKUP($BS1115,'État &amp; Plan d''action'!$B$6:$Z$1113,20,FALSE))/(VLOOKUP($BS1115,'Données par municipalité'!$B$4:$L$1113,11,FALSE)),"")</f>
        <v/>
      </c>
      <c r="DF1115" s="483" t="str">
        <f>IFERROR(SUM(VLOOKUP($BS1115,'État &amp; Plan d''action'!$B$6:$Z$1113,19,FALSE),VLOOKUP($BS1115,'État &amp; Plan d''action'!$B$6:$Z$1113,21,FALSE))/(VLOOKUP($BS1115,'Données par municipalité'!$B$4:$L$1113,11,FALSE)),"")</f>
        <v/>
      </c>
      <c r="DG1115" s="476" t="s">
        <v>4723</v>
      </c>
      <c r="DH1115" s="484">
        <v>2</v>
      </c>
      <c r="DI1115" s="484">
        <v>6</v>
      </c>
      <c r="DJ1115" s="484">
        <v>8</v>
      </c>
      <c r="DK1115" s="484">
        <v>4</v>
      </c>
      <c r="DL1115" s="484">
        <v>0</v>
      </c>
      <c r="DM1115" s="484" t="s">
        <v>1124</v>
      </c>
      <c r="DN1115" s="484">
        <v>2</v>
      </c>
      <c r="DO1115" s="484">
        <v>0</v>
      </c>
      <c r="DP1115" s="484">
        <v>0</v>
      </c>
      <c r="DQ1115" s="484" t="str">
        <f>IF(VLOOKUP($BS1115,'État &amp; Plan d''action'!$B$6:$AJ$1113,28,FALSE)="","",VLOOKUP($BS1115,'État &amp; Plan d''action'!$B$6:$AJ$1113,28,FALSE))</f>
        <v/>
      </c>
      <c r="DR1115" s="70" t="str">
        <f>IF(VLOOKUP($BS1115,'État &amp; Plan d''action'!$B$6:$AJ$1113,29,FALSE)="","",VLOOKUP($BS1115,'État &amp; Plan d''action'!$B$6:$AJ$1113,29,FALSE))</f>
        <v/>
      </c>
      <c r="DS1115" s="70" t="str">
        <f>IF(VLOOKUP($BS1115,'État &amp; Plan d''action'!$B$6:$AJ$1113,30,FALSE)="","",VLOOKUP($BS1115,'État &amp; Plan d''action'!$B$6:$AJ$1113,30,FALSE))</f>
        <v/>
      </c>
      <c r="DT1115" s="70">
        <v>180</v>
      </c>
      <c r="DU1115" s="485">
        <v>0.29283702265300782</v>
      </c>
      <c r="DV1115" s="485" t="s">
        <v>1124</v>
      </c>
      <c r="DW1115" s="70">
        <v>1</v>
      </c>
      <c r="DX1115" s="70">
        <v>0</v>
      </c>
      <c r="DY1115" s="70">
        <v>0</v>
      </c>
      <c r="DZ1115" s="70" t="str">
        <f>VLOOKUP($BS1115,'État &amp; Plan d''action'!$B$6:$AH$1113,31,FALSE)</f>
        <v/>
      </c>
      <c r="EA1115" s="70" t="str">
        <f>VLOOKUP($BS1115,'État &amp; Plan d''action'!$B$6:$AH$1113,32,FALSE)</f>
        <v/>
      </c>
      <c r="EB1115" s="70" t="str">
        <f>VLOOKUP($BS1115,'État &amp; Plan d''action'!$B$6:$AH$1113,33,FALSE)</f>
        <v/>
      </c>
      <c r="EC1115" s="70">
        <v>0</v>
      </c>
      <c r="ED1115" s="70">
        <v>0</v>
      </c>
      <c r="EE1115" s="70">
        <v>0</v>
      </c>
      <c r="EF1115" s="70">
        <v>0</v>
      </c>
      <c r="EG1115" s="70">
        <v>0</v>
      </c>
      <c r="EH1115" s="72">
        <v>74</v>
      </c>
      <c r="EI1115" s="72">
        <v>1705</v>
      </c>
    </row>
  </sheetData>
  <sheetProtection sheet="1" objects="1" scenarios="1" sort="0" autoFilter="0"/>
  <autoFilter ref="EI7:EI1115"/>
  <mergeCells count="95">
    <mergeCell ref="G184:H184"/>
    <mergeCell ref="G183:H183"/>
    <mergeCell ref="G200:H200"/>
    <mergeCell ref="K203:L203"/>
    <mergeCell ref="K202:L202"/>
    <mergeCell ref="K201:L201"/>
    <mergeCell ref="K200:L200"/>
    <mergeCell ref="K199:L199"/>
    <mergeCell ref="A192:T192"/>
    <mergeCell ref="G199:H199"/>
    <mergeCell ref="G203:H203"/>
    <mergeCell ref="G202:H202"/>
    <mergeCell ref="G201:H201"/>
    <mergeCell ref="K188:L188"/>
    <mergeCell ref="K187:L187"/>
    <mergeCell ref="K186:L186"/>
    <mergeCell ref="G170:H170"/>
    <mergeCell ref="K170:L170"/>
    <mergeCell ref="C188:E188"/>
    <mergeCell ref="G188:H188"/>
    <mergeCell ref="G173:H173"/>
    <mergeCell ref="G172:H172"/>
    <mergeCell ref="G174:H174"/>
    <mergeCell ref="G175:H175"/>
    <mergeCell ref="G176:H176"/>
    <mergeCell ref="G177:H177"/>
    <mergeCell ref="G179:H179"/>
    <mergeCell ref="G178:H178"/>
    <mergeCell ref="G180:H180"/>
    <mergeCell ref="G185:H185"/>
    <mergeCell ref="G186:H186"/>
    <mergeCell ref="G187:H187"/>
    <mergeCell ref="G171:H171"/>
    <mergeCell ref="K182:L182"/>
    <mergeCell ref="K177:L177"/>
    <mergeCell ref="G181:H181"/>
    <mergeCell ref="G182:H182"/>
    <mergeCell ref="K171:L171"/>
    <mergeCell ref="K176:L176"/>
    <mergeCell ref="K175:L175"/>
    <mergeCell ref="K174:L174"/>
    <mergeCell ref="K173:L173"/>
    <mergeCell ref="K172:L172"/>
    <mergeCell ref="K179:L179"/>
    <mergeCell ref="K178:L178"/>
    <mergeCell ref="K185:L185"/>
    <mergeCell ref="K184:L184"/>
    <mergeCell ref="K183:L183"/>
    <mergeCell ref="K181:L181"/>
    <mergeCell ref="K180:L180"/>
    <mergeCell ref="DU5:DV5"/>
    <mergeCell ref="A11:T11"/>
    <mergeCell ref="A31:T31"/>
    <mergeCell ref="A51:T51"/>
    <mergeCell ref="A71:T71"/>
    <mergeCell ref="DG5:DM5"/>
    <mergeCell ref="Y55:AG55"/>
    <mergeCell ref="BV5:CD5"/>
    <mergeCell ref="CE5:CM5"/>
    <mergeCell ref="CN5:CV5"/>
    <mergeCell ref="CW5:DF5"/>
    <mergeCell ref="E34:F34"/>
    <mergeCell ref="E37:F37"/>
    <mergeCell ref="X20:AF20"/>
    <mergeCell ref="F168:F169"/>
    <mergeCell ref="C168:E170"/>
    <mergeCell ref="B29:D29"/>
    <mergeCell ref="B49:D49"/>
    <mergeCell ref="B69:D69"/>
    <mergeCell ref="B89:D89"/>
    <mergeCell ref="B109:D109"/>
    <mergeCell ref="B162:D162"/>
    <mergeCell ref="A91:T91"/>
    <mergeCell ref="A111:T111"/>
    <mergeCell ref="A164:T164"/>
    <mergeCell ref="M168:M169"/>
    <mergeCell ref="K168:L169"/>
    <mergeCell ref="J168:J169"/>
    <mergeCell ref="I168:I169"/>
    <mergeCell ref="G168:H169"/>
    <mergeCell ref="B190:D190"/>
    <mergeCell ref="B206:D206"/>
    <mergeCell ref="M196:M197"/>
    <mergeCell ref="K198:L198"/>
    <mergeCell ref="K196:L197"/>
    <mergeCell ref="J196:J197"/>
    <mergeCell ref="I196:I197"/>
    <mergeCell ref="G198:H198"/>
    <mergeCell ref="G196:H197"/>
    <mergeCell ref="F196:F197"/>
    <mergeCell ref="C196:E198"/>
    <mergeCell ref="K205:L205"/>
    <mergeCell ref="K204:L204"/>
    <mergeCell ref="G205:H205"/>
    <mergeCell ref="G204:H204"/>
  </mergeCells>
  <conditionalFormatting sqref="AB169">
    <cfRule type="cellIs" dxfId="24" priority="44" stopIfTrue="1" operator="equal">
      <formula>$W$183</formula>
    </cfRule>
  </conditionalFormatting>
  <conditionalFormatting sqref="W170:X170">
    <cfRule type="cellIs" dxfId="23" priority="43" stopIfTrue="1" operator="equal">
      <formula>$W$183</formula>
    </cfRule>
  </conditionalFormatting>
  <conditionalFormatting sqref="AC169">
    <cfRule type="cellIs" dxfId="22" priority="38" stopIfTrue="1" operator="equal">
      <formula>$W$183</formula>
    </cfRule>
  </conditionalFormatting>
  <conditionalFormatting sqref="AC170:AE170">
    <cfRule type="cellIs" dxfId="21" priority="37" stopIfTrue="1" operator="equal">
      <formula>$W$183</formula>
    </cfRule>
  </conditionalFormatting>
  <conditionalFormatting sqref="Z170">
    <cfRule type="cellIs" dxfId="20" priority="36" stopIfTrue="1" operator="equal">
      <formula>$W$183</formula>
    </cfRule>
  </conditionalFormatting>
  <conditionalFormatting sqref="AD169">
    <cfRule type="cellIs" dxfId="19" priority="35" stopIfTrue="1" operator="equal">
      <formula>$W$183</formula>
    </cfRule>
  </conditionalFormatting>
  <conditionalFormatting sqref="AE169">
    <cfRule type="cellIs" dxfId="18" priority="34" stopIfTrue="1" operator="equal">
      <formula>$W$183</formula>
    </cfRule>
  </conditionalFormatting>
  <conditionalFormatting sqref="Y213:AA213 W213">
    <cfRule type="dataBar" priority="72">
      <dataBar>
        <cfvo type="min"/>
        <cfvo type="max"/>
        <color rgb="FF63C384"/>
      </dataBar>
      <extLst>
        <ext xmlns:x14="http://schemas.microsoft.com/office/spreadsheetml/2009/9/main" uri="{B025F937-C7B1-47D3-B67F-A62EFF666E3E}">
          <x14:id>{8E376AC7-0D5D-41A9-BA12-A85DF7A05D37}</x14:id>
        </ext>
      </extLst>
    </cfRule>
  </conditionalFormatting>
  <conditionalFormatting sqref="Y213:AA213 W213">
    <cfRule type="dataBar" priority="75">
      <dataBar>
        <cfvo type="min"/>
        <cfvo type="max"/>
        <color theme="0"/>
      </dataBar>
      <extLst>
        <ext xmlns:x14="http://schemas.microsoft.com/office/spreadsheetml/2009/9/main" uri="{B025F937-C7B1-47D3-B67F-A62EFF666E3E}">
          <x14:id>{B8E66A65-6726-4917-A53E-70CEDC5BDB31}</x14:id>
        </ext>
      </extLst>
    </cfRule>
  </conditionalFormatting>
  <conditionalFormatting sqref="Y213:AA213 W213">
    <cfRule type="dataBar" priority="78">
      <dataBar>
        <cfvo type="min"/>
        <cfvo type="max"/>
        <color theme="0" tint="-0.14999847407452621"/>
      </dataBar>
      <extLst>
        <ext xmlns:x14="http://schemas.microsoft.com/office/spreadsheetml/2009/9/main" uri="{B025F937-C7B1-47D3-B67F-A62EFF666E3E}">
          <x14:id>{E3BC51BD-B3EA-4E1D-848B-24460020669D}</x14:id>
        </ext>
      </extLst>
    </cfRule>
    <cfRule type="dataBar" priority="79">
      <dataBar>
        <cfvo type="min"/>
        <cfvo type="max"/>
        <color theme="0" tint="-0.249977111117893"/>
      </dataBar>
      <extLst>
        <ext xmlns:x14="http://schemas.microsoft.com/office/spreadsheetml/2009/9/main" uri="{B025F937-C7B1-47D3-B67F-A62EFF666E3E}">
          <x14:id>{E17DED3A-51F1-4935-887D-29C73CFF03BE}</x14:id>
        </ext>
      </extLst>
    </cfRule>
  </conditionalFormatting>
  <conditionalFormatting sqref="X169">
    <cfRule type="cellIs" dxfId="17" priority="33" stopIfTrue="1" operator="equal">
      <formula>$W$183</formula>
    </cfRule>
  </conditionalFormatting>
  <conditionalFormatting sqref="AF169">
    <cfRule type="cellIs" dxfId="16" priority="26" stopIfTrue="1" operator="equal">
      <formula>$W$183</formula>
    </cfRule>
  </conditionalFormatting>
  <conditionalFormatting sqref="AH169">
    <cfRule type="cellIs" dxfId="15" priority="19" stopIfTrue="1" operator="equal">
      <formula>$W$183</formula>
    </cfRule>
  </conditionalFormatting>
  <conditionalFormatting sqref="AH170">
    <cfRule type="cellIs" dxfId="14" priority="18" stopIfTrue="1" operator="equal">
      <formula>$W$183</formula>
    </cfRule>
  </conditionalFormatting>
  <conditionalFormatting sqref="AI169">
    <cfRule type="cellIs" dxfId="13" priority="17" stopIfTrue="1" operator="equal">
      <formula>$W$183</formula>
    </cfRule>
  </conditionalFormatting>
  <conditionalFormatting sqref="AJ169">
    <cfRule type="cellIs" dxfId="12" priority="16" stopIfTrue="1" operator="equal">
      <formula>$W$183</formula>
    </cfRule>
  </conditionalFormatting>
  <conditionalFormatting sqref="AK169">
    <cfRule type="cellIs" dxfId="11" priority="13" stopIfTrue="1" operator="equal">
      <formula>$W$183</formula>
    </cfRule>
  </conditionalFormatting>
  <conditionalFormatting sqref="AL169">
    <cfRule type="cellIs" dxfId="10" priority="11" stopIfTrue="1" operator="equal">
      <formula>$W$183</formula>
    </cfRule>
  </conditionalFormatting>
  <conditionalFormatting sqref="AM169">
    <cfRule type="cellIs" dxfId="9" priority="10" stopIfTrue="1" operator="equal">
      <formula>$W$183</formula>
    </cfRule>
  </conditionalFormatting>
  <conditionalFormatting sqref="N169 N197">
    <cfRule type="cellIs" dxfId="8" priority="86" stopIfTrue="1" operator="equal">
      <formula>$S$170</formula>
    </cfRule>
  </conditionalFormatting>
  <conditionalFormatting sqref="Z198">
    <cfRule type="cellIs" dxfId="7" priority="8" stopIfTrue="1" operator="equal">
      <formula>$W$183</formula>
    </cfRule>
  </conditionalFormatting>
  <conditionalFormatting sqref="AF170">
    <cfRule type="cellIs" dxfId="6" priority="7" stopIfTrue="1" operator="equal">
      <formula>$W$183</formula>
    </cfRule>
  </conditionalFormatting>
  <conditionalFormatting sqref="AN169">
    <cfRule type="cellIs" dxfId="5" priority="6" stopIfTrue="1" operator="equal">
      <formula>$W$183</formula>
    </cfRule>
  </conditionalFormatting>
  <conditionalFormatting sqref="AO169">
    <cfRule type="cellIs" dxfId="4" priority="5" stopIfTrue="1" operator="equal">
      <formula>$W$183</formula>
    </cfRule>
  </conditionalFormatting>
  <conditionalFormatting sqref="AL197">
    <cfRule type="cellIs" dxfId="3" priority="4" stopIfTrue="1" operator="equal">
      <formula>$W$183</formula>
    </cfRule>
  </conditionalFormatting>
  <conditionalFormatting sqref="AN197">
    <cfRule type="cellIs" dxfId="2" priority="3" stopIfTrue="1" operator="equal">
      <formula>$W$183</formula>
    </cfRule>
  </conditionalFormatting>
  <conditionalFormatting sqref="AO197">
    <cfRule type="cellIs" dxfId="1" priority="2" stopIfTrue="1" operator="equal">
      <formula>$W$183</formula>
    </cfRule>
  </conditionalFormatting>
  <conditionalFormatting sqref="H53:I53">
    <cfRule type="expression" dxfId="0" priority="1">
      <formula>IF($W$20="tout le québec",TRUE,FALSE)</formula>
    </cfRule>
  </conditionalFormatting>
  <dataValidations disablePrompts="1" xWindow="1035" yWindow="414" count="2">
    <dataValidation type="list" allowBlank="1" showInputMessage="1" showErrorMessage="1" sqref="N197">
      <formula1>$S$170:$S$178</formula1>
    </dataValidation>
    <dataValidation type="list" allowBlank="1" showInputMessage="1" showErrorMessage="1" promptTitle="Liste déroulante de choix" prompt="Veuillez sélectionner un choix parmi la liste." sqref="N169">
      <formula1>$S$170:$S$178</formula1>
    </dataValidation>
  </dataValidations>
  <hyperlinks>
    <hyperlink ref="I6" location="Consommation" display="→ Consommation résidentielle"/>
    <hyperlink ref="I7" location="IFI" display="→ Indice de fuites dans les infrastructures"/>
    <hyperlink ref="I8" location="RDF" display="→ Recherche et de réparation de fuites"/>
    <hyperlink ref="I9" location="Compteur" display="→ Installation des compteurs d'eau"/>
    <hyperlink ref="M5" location="RA" display="→ Indicateurs par région administrative"/>
    <hyperlink ref="M6" location="CP" display="→ Indicateurs par classe de population"/>
    <hyperlink ref="I5" location="Quantite" display="→ Quantité d'eau distribuée"/>
    <hyperlink ref="I10" location="RVD" display="→ Résultat de validité des données"/>
    <hyperlink ref="B29" location="haut" display="Haut de la page ↑"/>
    <hyperlink ref="B49" location="haut" display="Haut de la page ↑"/>
    <hyperlink ref="B69" location="haut" display="Haut de la page ↑"/>
    <hyperlink ref="B89" location="haut" display="Haut de la page ↑"/>
    <hyperlink ref="B109" location="haut" display="Haut de la page ↑"/>
    <hyperlink ref="B162" location="haut" display="Haut de la page ↑"/>
    <hyperlink ref="B190" location="haut" display="Haut de la page ↑"/>
    <hyperlink ref="B206" location="haut" display="Haut de la page ↑"/>
  </hyperlinks>
  <pageMargins left="0.7" right="0.7" top="0.75" bottom="0.75" header="0.3" footer="0.3"/>
  <pageSetup orientation="portrait" r:id="rId1"/>
  <drawing r:id="rId2"/>
  <legacyDrawing r:id="rId3"/>
  <controls>
    <mc:AlternateContent xmlns:mc="http://schemas.openxmlformats.org/markup-compatibility/2006">
      <mc:Choice Requires="x14">
        <control shapeId="19457" r:id="rId4" name="ComboBox1">
          <controlPr defaultSize="0" autoLine="0" linkedCell="NM" listFillRange="Liste_municipalites" r:id="rId5">
            <anchor moveWithCells="1">
              <from>
                <xdr:col>2</xdr:col>
                <xdr:colOff>0</xdr:colOff>
                <xdr:row>4</xdr:row>
                <xdr:rowOff>0</xdr:rowOff>
              </from>
              <to>
                <xdr:col>4</xdr:col>
                <xdr:colOff>2628900</xdr:colOff>
                <xdr:row>5</xdr:row>
                <xdr:rowOff>38100</xdr:rowOff>
              </to>
            </anchor>
          </controlPr>
        </control>
      </mc:Choice>
      <mc:Fallback>
        <control shapeId="19457" r:id="rId4" name="ComboBox1"/>
      </mc:Fallback>
    </mc:AlternateContent>
  </controls>
  <extLst>
    <ext xmlns:x14="http://schemas.microsoft.com/office/spreadsheetml/2009/9/main" uri="{78C0D931-6437-407d-A8EE-F0AAD7539E65}">
      <x14:conditionalFormattings>
        <x14:conditionalFormatting xmlns:xm="http://schemas.microsoft.com/office/excel/2006/main">
          <x14:cfRule type="dataBar" id="{8E376AC7-0D5D-41A9-BA12-A85DF7A05D37}">
            <x14:dataBar minLength="0" maxLength="100" gradient="0">
              <x14:cfvo type="autoMin"/>
              <x14:cfvo type="autoMax"/>
              <x14:negativeFillColor rgb="FFFF0000"/>
              <x14:axisColor rgb="FF000000"/>
            </x14:dataBar>
          </x14:cfRule>
          <xm:sqref>Y213:AA213 W213</xm:sqref>
        </x14:conditionalFormatting>
        <x14:conditionalFormatting xmlns:xm="http://schemas.microsoft.com/office/excel/2006/main">
          <x14:cfRule type="dataBar" id="{B8E66A65-6726-4917-A53E-70CEDC5BDB31}">
            <x14:dataBar minLength="0" maxLength="100" gradient="0">
              <x14:cfvo type="autoMin"/>
              <x14:cfvo type="autoMax"/>
              <x14:negativeFillColor rgb="FFFF0000"/>
              <x14:axisColor rgb="FF000000"/>
            </x14:dataBar>
          </x14:cfRule>
          <xm:sqref>Y213:AA213 W213</xm:sqref>
        </x14:conditionalFormatting>
        <x14:conditionalFormatting xmlns:xm="http://schemas.microsoft.com/office/excel/2006/main">
          <x14:cfRule type="dataBar" id="{E3BC51BD-B3EA-4E1D-848B-24460020669D}">
            <x14:dataBar minLength="0" maxLength="100" gradient="0">
              <x14:cfvo type="autoMin"/>
              <x14:cfvo type="autoMax"/>
              <x14:negativeFillColor rgb="FFFF0000"/>
              <x14:axisColor rgb="FF000000"/>
            </x14:dataBar>
          </x14:cfRule>
          <x14:cfRule type="dataBar" id="{E17DED3A-51F1-4935-887D-29C73CFF03BE}">
            <x14:dataBar minLength="0" maxLength="100" gradient="0">
              <x14:cfvo type="autoMin"/>
              <x14:cfvo type="autoMax"/>
              <x14:negativeFillColor rgb="FFFF0000"/>
              <x14:axisColor rgb="FF000000"/>
            </x14:dataBar>
          </x14:cfRule>
          <xm:sqref>Y213:AA213 W213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4" tint="-0.499984740745262"/>
    <pageSetUpPr fitToPage="1"/>
  </sheetPr>
  <dimension ref="B1:S1113"/>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baseColWidth="10" defaultColWidth="11.453125" defaultRowHeight="15" customHeight="1" x14ac:dyDescent="0.35"/>
  <cols>
    <col min="1" max="1" width="2.1796875" customWidth="1"/>
    <col min="2" max="2" width="16.81640625" bestFit="1" customWidth="1"/>
    <col min="3" max="3" width="51.453125" bestFit="1" customWidth="1"/>
    <col min="4" max="4" width="8.7265625" customWidth="1"/>
    <col min="5" max="19" width="17.81640625" customWidth="1"/>
    <col min="20" max="39" width="17.7265625" customWidth="1"/>
  </cols>
  <sheetData>
    <row r="1" spans="2:19" ht="7.5" customHeight="1" x14ac:dyDescent="0.35"/>
    <row r="2" spans="2:19" ht="7.5" customHeight="1" x14ac:dyDescent="0.35"/>
    <row r="3" spans="2:19" ht="15" customHeight="1" x14ac:dyDescent="0.35">
      <c r="B3" s="561" t="s">
        <v>4639</v>
      </c>
      <c r="C3" s="562"/>
      <c r="D3" s="562"/>
      <c r="E3" s="562"/>
      <c r="F3" s="562"/>
      <c r="G3" s="563"/>
      <c r="H3" s="113"/>
      <c r="I3" s="104"/>
      <c r="J3" s="104"/>
      <c r="K3" s="104"/>
      <c r="L3" s="104"/>
      <c r="M3" s="104"/>
      <c r="N3" s="104"/>
      <c r="O3" s="104"/>
      <c r="P3" s="104"/>
      <c r="Q3" s="104"/>
      <c r="R3" s="104"/>
      <c r="S3" s="342"/>
    </row>
    <row r="4" spans="2:19" s="127" customFormat="1" ht="60" customHeight="1" x14ac:dyDescent="0.35">
      <c r="B4" s="170" t="s">
        <v>1</v>
      </c>
      <c r="C4" s="171" t="s">
        <v>0</v>
      </c>
      <c r="D4" s="172" t="s">
        <v>7</v>
      </c>
      <c r="E4" s="173" t="s">
        <v>4645</v>
      </c>
      <c r="F4" s="173" t="s">
        <v>4646</v>
      </c>
      <c r="G4" s="174" t="s">
        <v>4653</v>
      </c>
      <c r="H4" s="175" t="s">
        <v>1217</v>
      </c>
      <c r="I4" s="171" t="s">
        <v>4640</v>
      </c>
      <c r="J4" s="176" t="s">
        <v>4641</v>
      </c>
      <c r="K4" s="173" t="s">
        <v>4642</v>
      </c>
      <c r="L4" s="173" t="s">
        <v>4643</v>
      </c>
      <c r="M4" s="177" t="s">
        <v>4</v>
      </c>
      <c r="N4" s="173" t="s">
        <v>4637</v>
      </c>
      <c r="O4" s="335" t="s">
        <v>4644</v>
      </c>
      <c r="P4" s="336" t="s">
        <v>4651</v>
      </c>
      <c r="Q4" s="336" t="s">
        <v>4652</v>
      </c>
      <c r="R4" s="213" t="s">
        <v>4647</v>
      </c>
      <c r="S4" s="178" t="s">
        <v>4648</v>
      </c>
    </row>
    <row r="5" spans="2:19" s="77" customFormat="1" ht="35.15" customHeight="1" x14ac:dyDescent="0.35">
      <c r="B5" s="179"/>
      <c r="C5" s="100"/>
      <c r="D5" s="108"/>
      <c r="E5" s="120" t="str">
        <f>"MOY. PONDÉRÉE :
"&amp;TEXT(SUM(N6:N1113)*1000000/365/SUM(K6:K1113),"# ###")</f>
        <v>MOY. PONDÉRÉE :
525</v>
      </c>
      <c r="F5" s="114" t="str">
        <f>"MOY. PONDÉRÉE :
"&amp;TEXT(SUM(O6:O1113)*1000000/365/SUM(K6:K1113),"# ###")</f>
        <v>MOY. PONDÉRÉE :
262</v>
      </c>
      <c r="G5" s="112"/>
      <c r="H5" s="111" t="str">
        <f>"TOTAL :
"&amp;SUM(H6:H1113)</f>
        <v>TOTAL :
743</v>
      </c>
      <c r="I5" s="109" t="str">
        <f>"TOTAL :
"&amp;TEXT(SUM(I6:I1113),"# ###")</f>
        <v>TOTAL :
3 171 752</v>
      </c>
      <c r="J5" s="110" t="str">
        <f>"MOY. PONDÉRÉE :
"&amp;TEXT(SUM(K6:K1113)/SUM(I6:I1113),"#,##")</f>
        <v>MOY. PONDÉRÉE :
2,18</v>
      </c>
      <c r="K5" s="109" t="str">
        <f t="shared" ref="K5:Q5" si="0">"TOTAL :
"&amp;TEXT(SUM(K6:K1113),"# ###")</f>
        <v>TOTAL :
6 921 666</v>
      </c>
      <c r="L5" s="109" t="str">
        <f t="shared" si="0"/>
        <v>TOTAL :
38 964</v>
      </c>
      <c r="M5" s="109" t="str">
        <f t="shared" si="0"/>
        <v>TOTAL :
2 008 598</v>
      </c>
      <c r="N5" s="109" t="str">
        <f t="shared" si="0"/>
        <v>TOTAL :
1 325 121</v>
      </c>
      <c r="O5" s="337" t="str">
        <f t="shared" si="0"/>
        <v>TOTAL :
662 014</v>
      </c>
      <c r="P5" s="338" t="str">
        <f t="shared" si="0"/>
        <v>TOTAL :
327 543</v>
      </c>
      <c r="Q5" s="338" t="str">
        <f t="shared" si="0"/>
        <v>TOTAL :
49 678</v>
      </c>
      <c r="R5" s="338" t="str">
        <f>"MOY. PONDÉRÉE :
"&amp;TEXT(SUM(P6:P1113)/SUM(Q6:Q1113),"# ###,0")</f>
        <v>MOY. PONDÉRÉE :
6,6</v>
      </c>
      <c r="S5" s="180" t="str">
        <f>"MOYENNE :
"&amp;TEXT(SUMPRODUCT(S6:S1113,H6:H1113)/SUM(H6:H1113),"# ###")</f>
        <v>MOYENNE :
58</v>
      </c>
    </row>
    <row r="6" spans="2:19" ht="15" customHeight="1" x14ac:dyDescent="0.35">
      <c r="B6" s="181">
        <v>46005</v>
      </c>
      <c r="C6" s="182" t="s">
        <v>427</v>
      </c>
      <c r="D6" s="183">
        <v>5</v>
      </c>
      <c r="E6" s="41" t="s">
        <v>1124</v>
      </c>
      <c r="F6" s="41" t="s">
        <v>1124</v>
      </c>
      <c r="G6" s="184" t="s">
        <v>1124</v>
      </c>
      <c r="H6" s="105"/>
      <c r="I6" s="41"/>
      <c r="J6" s="42"/>
      <c r="K6" s="43"/>
      <c r="L6" s="44"/>
      <c r="M6" s="41" t="s">
        <v>1124</v>
      </c>
      <c r="N6" s="44"/>
      <c r="O6" s="332"/>
      <c r="P6" s="332" t="s">
        <v>1124</v>
      </c>
      <c r="Q6" s="332" t="s">
        <v>1124</v>
      </c>
      <c r="R6" s="475" t="str">
        <f>IF(H6="","",P6/Q6)</f>
        <v/>
      </c>
      <c r="S6" s="339" t="s">
        <v>1124</v>
      </c>
    </row>
    <row r="7" spans="2:19" ht="15" customHeight="1" x14ac:dyDescent="0.35">
      <c r="B7" s="181">
        <v>48028</v>
      </c>
      <c r="C7" s="182" t="s">
        <v>460</v>
      </c>
      <c r="D7" s="183">
        <v>16</v>
      </c>
      <c r="E7" s="185">
        <v>458</v>
      </c>
      <c r="F7" s="185">
        <v>233</v>
      </c>
      <c r="G7" s="184" t="s">
        <v>1326</v>
      </c>
      <c r="H7" s="186">
        <v>1</v>
      </c>
      <c r="I7" s="185">
        <v>2445</v>
      </c>
      <c r="J7" s="187">
        <v>2.2319303338171261</v>
      </c>
      <c r="K7" s="188">
        <v>5457.0696661828733</v>
      </c>
      <c r="L7" s="189">
        <v>44.44</v>
      </c>
      <c r="M7" s="185">
        <v>1817</v>
      </c>
      <c r="N7" s="189">
        <v>912.36599999999999</v>
      </c>
      <c r="O7" s="333">
        <v>464.55</v>
      </c>
      <c r="P7" s="333">
        <v>173.42644826530602</v>
      </c>
      <c r="Q7" s="333">
        <v>96.411300749999995</v>
      </c>
      <c r="R7" s="475">
        <f t="shared" ref="R7:R70" si="1">IF(H7="","",P7/Q7)</f>
        <v>1.7988186749498454</v>
      </c>
      <c r="S7" s="340">
        <v>57.842105263157912</v>
      </c>
    </row>
    <row r="8" spans="2:19" ht="15" customHeight="1" x14ac:dyDescent="0.35">
      <c r="B8" s="181">
        <v>31056</v>
      </c>
      <c r="C8" s="182" t="s">
        <v>246</v>
      </c>
      <c r="D8" s="183">
        <v>12</v>
      </c>
      <c r="E8" s="185">
        <v>260</v>
      </c>
      <c r="F8" s="185">
        <v>166</v>
      </c>
      <c r="G8" s="184" t="s">
        <v>1308</v>
      </c>
      <c r="H8" s="186">
        <v>1</v>
      </c>
      <c r="I8" s="185">
        <v>432</v>
      </c>
      <c r="J8" s="187">
        <v>2.0682318415260457</v>
      </c>
      <c r="K8" s="188">
        <v>893.47615553925175</v>
      </c>
      <c r="L8" s="189">
        <v>13.356</v>
      </c>
      <c r="M8" s="185">
        <v>500</v>
      </c>
      <c r="N8" s="189">
        <v>84.733999999999995</v>
      </c>
      <c r="O8" s="333">
        <v>54.14</v>
      </c>
      <c r="P8" s="333">
        <v>2.8077526020408032</v>
      </c>
      <c r="Q8" s="333">
        <v>9.8339619840000019</v>
      </c>
      <c r="R8" s="475">
        <f t="shared" si="1"/>
        <v>0.28551590972276047</v>
      </c>
      <c r="S8" s="340">
        <v>70.882352941176478</v>
      </c>
    </row>
    <row r="9" spans="2:19" ht="15" customHeight="1" x14ac:dyDescent="0.35">
      <c r="B9" s="181">
        <v>98030</v>
      </c>
      <c r="C9" s="182" t="s">
        <v>1013</v>
      </c>
      <c r="D9" s="183">
        <v>9</v>
      </c>
      <c r="E9" s="185">
        <v>209</v>
      </c>
      <c r="F9" s="185">
        <v>159</v>
      </c>
      <c r="G9" s="184" t="s">
        <v>1308</v>
      </c>
      <c r="H9" s="186">
        <v>1</v>
      </c>
      <c r="I9" s="185">
        <v>144</v>
      </c>
      <c r="J9" s="187">
        <v>1.7083333333333333</v>
      </c>
      <c r="K9" s="188">
        <v>246</v>
      </c>
      <c r="L9" s="189">
        <v>10.734999999999999</v>
      </c>
      <c r="M9" s="185">
        <v>195</v>
      </c>
      <c r="N9" s="189">
        <v>18.797000000000001</v>
      </c>
      <c r="O9" s="333">
        <v>14.250171210191082</v>
      </c>
      <c r="P9" s="333">
        <v>2.9784000000000006</v>
      </c>
      <c r="Q9" s="333">
        <v>7.6410085499999996</v>
      </c>
      <c r="R9" s="475">
        <f t="shared" si="1"/>
        <v>0.38979147589096741</v>
      </c>
      <c r="S9" s="340">
        <v>59</v>
      </c>
    </row>
    <row r="10" spans="2:19" ht="15" customHeight="1" x14ac:dyDescent="0.35">
      <c r="B10" s="181">
        <v>92030</v>
      </c>
      <c r="C10" s="182" t="s">
        <v>950</v>
      </c>
      <c r="D10" s="183">
        <v>2</v>
      </c>
      <c r="E10" s="185">
        <v>480</v>
      </c>
      <c r="F10" s="185">
        <v>307</v>
      </c>
      <c r="G10" s="184" t="s">
        <v>1308</v>
      </c>
      <c r="H10" s="186">
        <v>2</v>
      </c>
      <c r="I10" s="185">
        <v>509</v>
      </c>
      <c r="J10" s="187">
        <v>2.4714912280701755</v>
      </c>
      <c r="K10" s="188">
        <v>1257.9890350877192</v>
      </c>
      <c r="L10" s="189">
        <v>19.817</v>
      </c>
      <c r="M10" s="185">
        <v>541</v>
      </c>
      <c r="N10" s="189">
        <v>220.36</v>
      </c>
      <c r="O10" s="333">
        <v>141.09800000000001</v>
      </c>
      <c r="P10" s="333">
        <v>67.085600000000014</v>
      </c>
      <c r="Q10" s="333">
        <v>15.727809120000003</v>
      </c>
      <c r="R10" s="475">
        <f t="shared" si="1"/>
        <v>4.2654129057741264</v>
      </c>
      <c r="S10" s="340">
        <v>59.891891891891895</v>
      </c>
    </row>
    <row r="11" spans="2:19" ht="15" customHeight="1" x14ac:dyDescent="0.35">
      <c r="B11" s="181">
        <v>7025</v>
      </c>
      <c r="C11" s="182" t="s">
        <v>1071</v>
      </c>
      <c r="D11" s="183">
        <v>1</v>
      </c>
      <c r="E11" s="185" t="s">
        <v>1124</v>
      </c>
      <c r="F11" s="185" t="s">
        <v>1124</v>
      </c>
      <c r="G11" s="184" t="s">
        <v>1124</v>
      </c>
      <c r="H11" s="186"/>
      <c r="I11" s="185"/>
      <c r="J11" s="187"/>
      <c r="K11" s="188"/>
      <c r="L11" s="189"/>
      <c r="M11" s="185" t="s">
        <v>1124</v>
      </c>
      <c r="N11" s="189"/>
      <c r="O11" s="333"/>
      <c r="P11" s="333" t="s">
        <v>1124</v>
      </c>
      <c r="Q11" s="333" t="s">
        <v>1124</v>
      </c>
      <c r="R11" s="475" t="str">
        <f t="shared" si="1"/>
        <v/>
      </c>
      <c r="S11" s="340" t="s">
        <v>1124</v>
      </c>
    </row>
    <row r="12" spans="2:19" ht="15" customHeight="1" x14ac:dyDescent="0.35">
      <c r="B12" s="181">
        <v>84050</v>
      </c>
      <c r="C12" s="182" t="s">
        <v>861</v>
      </c>
      <c r="D12" s="183">
        <v>7</v>
      </c>
      <c r="E12" s="185" t="s">
        <v>1124</v>
      </c>
      <c r="F12" s="185" t="s">
        <v>1124</v>
      </c>
      <c r="G12" s="184" t="s">
        <v>1124</v>
      </c>
      <c r="H12" s="186"/>
      <c r="I12" s="185"/>
      <c r="J12" s="187"/>
      <c r="K12" s="188"/>
      <c r="L12" s="189"/>
      <c r="M12" s="185" t="s">
        <v>1124</v>
      </c>
      <c r="N12" s="189"/>
      <c r="O12" s="333"/>
      <c r="P12" s="333" t="s">
        <v>1124</v>
      </c>
      <c r="Q12" s="333" t="s">
        <v>1124</v>
      </c>
      <c r="R12" s="475" t="str">
        <f t="shared" si="1"/>
        <v/>
      </c>
      <c r="S12" s="340" t="s">
        <v>1124</v>
      </c>
    </row>
    <row r="13" spans="2:19" ht="15" customHeight="1" x14ac:dyDescent="0.35">
      <c r="B13" s="181">
        <v>93042</v>
      </c>
      <c r="C13" s="182" t="s">
        <v>964</v>
      </c>
      <c r="D13" s="183">
        <v>2</v>
      </c>
      <c r="E13" s="185">
        <v>399</v>
      </c>
      <c r="F13" s="185">
        <v>246</v>
      </c>
      <c r="G13" s="184" t="s">
        <v>1308</v>
      </c>
      <c r="H13" s="186">
        <v>1</v>
      </c>
      <c r="I13" s="185">
        <v>14515</v>
      </c>
      <c r="J13" s="187">
        <v>2.1273604410751208</v>
      </c>
      <c r="K13" s="188">
        <v>30878.636802205379</v>
      </c>
      <c r="L13" s="189">
        <v>253.858</v>
      </c>
      <c r="M13" s="185">
        <v>9853</v>
      </c>
      <c r="N13" s="189">
        <v>4492.1769999999997</v>
      </c>
      <c r="O13" s="333">
        <v>2768.93</v>
      </c>
      <c r="P13" s="333">
        <v>1184.2977940816322</v>
      </c>
      <c r="Q13" s="333">
        <v>338.66389599600006</v>
      </c>
      <c r="R13" s="475">
        <f t="shared" si="1"/>
        <v>3.4969709144774614</v>
      </c>
      <c r="S13" s="340">
        <v>65.026315789473699</v>
      </c>
    </row>
    <row r="14" spans="2:19" ht="15" customHeight="1" x14ac:dyDescent="0.35">
      <c r="B14" s="181">
        <v>78070</v>
      </c>
      <c r="C14" s="182" t="s">
        <v>777</v>
      </c>
      <c r="D14" s="183">
        <v>15</v>
      </c>
      <c r="E14" s="185">
        <v>264</v>
      </c>
      <c r="F14" s="185">
        <v>208</v>
      </c>
      <c r="G14" s="184" t="s">
        <v>1308</v>
      </c>
      <c r="H14" s="186">
        <v>1</v>
      </c>
      <c r="I14" s="185">
        <v>210</v>
      </c>
      <c r="J14" s="187">
        <v>2.0428000000000002</v>
      </c>
      <c r="K14" s="188">
        <v>428.98800000000006</v>
      </c>
      <c r="L14" s="189">
        <v>6.5075399999999997</v>
      </c>
      <c r="M14" s="185">
        <v>167</v>
      </c>
      <c r="N14" s="189">
        <v>41.276000000000003</v>
      </c>
      <c r="O14" s="333">
        <v>32.503026315789477</v>
      </c>
      <c r="P14" s="333">
        <v>5.2978600000000053</v>
      </c>
      <c r="Q14" s="333">
        <v>5.559429063814</v>
      </c>
      <c r="R14" s="475">
        <f t="shared" si="1"/>
        <v>0.95295037299485796</v>
      </c>
      <c r="S14" s="340">
        <v>57.651162790697676</v>
      </c>
    </row>
    <row r="15" spans="2:19" ht="15" customHeight="1" x14ac:dyDescent="0.35">
      <c r="B15" s="181">
        <v>88055</v>
      </c>
      <c r="C15" s="182" t="s">
        <v>920</v>
      </c>
      <c r="D15" s="183">
        <v>8</v>
      </c>
      <c r="E15" s="185">
        <v>480</v>
      </c>
      <c r="F15" s="185">
        <v>272</v>
      </c>
      <c r="G15" s="184" t="s">
        <v>1308</v>
      </c>
      <c r="H15" s="186">
        <v>1</v>
      </c>
      <c r="I15" s="185">
        <v>5717</v>
      </c>
      <c r="J15" s="187">
        <v>2.2424926228085402</v>
      </c>
      <c r="K15" s="188">
        <v>12820.330324596425</v>
      </c>
      <c r="L15" s="189">
        <v>103.11999999999999</v>
      </c>
      <c r="M15" s="185">
        <v>4554</v>
      </c>
      <c r="N15" s="189">
        <v>2246.933</v>
      </c>
      <c r="O15" s="333">
        <v>1274.798</v>
      </c>
      <c r="P15" s="333">
        <v>185.0583689898989</v>
      </c>
      <c r="Q15" s="333">
        <v>97.461876600000011</v>
      </c>
      <c r="R15" s="475">
        <f t="shared" si="1"/>
        <v>1.8987769930740168</v>
      </c>
      <c r="S15" s="340">
        <v>63.306313856352702</v>
      </c>
    </row>
    <row r="16" spans="2:19" ht="15" customHeight="1" x14ac:dyDescent="0.35">
      <c r="B16" s="181">
        <v>7047</v>
      </c>
      <c r="C16" s="182" t="s">
        <v>1075</v>
      </c>
      <c r="D16" s="183">
        <v>1</v>
      </c>
      <c r="E16" s="185">
        <v>623</v>
      </c>
      <c r="F16" s="185">
        <v>348</v>
      </c>
      <c r="G16" s="184" t="s">
        <v>1308</v>
      </c>
      <c r="H16" s="186">
        <v>1</v>
      </c>
      <c r="I16" s="185">
        <v>2317</v>
      </c>
      <c r="J16" s="187">
        <v>2.1836589698046183</v>
      </c>
      <c r="K16" s="188">
        <v>5059.5378330373005</v>
      </c>
      <c r="L16" s="189">
        <v>43.91</v>
      </c>
      <c r="M16" s="185">
        <v>1764</v>
      </c>
      <c r="N16" s="189">
        <v>1150.2280000000001</v>
      </c>
      <c r="O16" s="333">
        <v>642.14306604913406</v>
      </c>
      <c r="P16" s="333">
        <v>441.23374326530626</v>
      </c>
      <c r="Q16" s="333">
        <v>47.13932295</v>
      </c>
      <c r="R16" s="475">
        <f t="shared" si="1"/>
        <v>9.3602053583441691</v>
      </c>
      <c r="S16" s="340">
        <v>53.918367346938759</v>
      </c>
    </row>
    <row r="17" spans="2:19" ht="15" customHeight="1" x14ac:dyDescent="0.35">
      <c r="B17" s="181">
        <v>55008</v>
      </c>
      <c r="C17" s="182" t="s">
        <v>559</v>
      </c>
      <c r="D17" s="183">
        <v>16</v>
      </c>
      <c r="E17" s="185">
        <v>1037</v>
      </c>
      <c r="F17" s="185">
        <v>295</v>
      </c>
      <c r="G17" s="184" t="s">
        <v>1326</v>
      </c>
      <c r="H17" s="186">
        <v>1</v>
      </c>
      <c r="I17" s="185">
        <v>848</v>
      </c>
      <c r="J17" s="187">
        <v>2.6691943127962086</v>
      </c>
      <c r="K17" s="188">
        <v>2263.476777251185</v>
      </c>
      <c r="L17" s="189">
        <v>21.75</v>
      </c>
      <c r="M17" s="185">
        <v>747</v>
      </c>
      <c r="N17" s="189">
        <v>856.78200000000004</v>
      </c>
      <c r="O17" s="333">
        <v>244.119</v>
      </c>
      <c r="P17" s="333">
        <v>90.295165789473657</v>
      </c>
      <c r="Q17" s="333">
        <v>24.517597500000001</v>
      </c>
      <c r="R17" s="475">
        <f t="shared" si="1"/>
        <v>3.682871692035635</v>
      </c>
      <c r="S17" s="340">
        <v>74.833333333333329</v>
      </c>
    </row>
    <row r="18" spans="2:19" ht="15" customHeight="1" x14ac:dyDescent="0.35">
      <c r="B18" s="181">
        <v>19037</v>
      </c>
      <c r="C18" s="182" t="s">
        <v>124</v>
      </c>
      <c r="D18" s="183">
        <v>12</v>
      </c>
      <c r="E18" s="185">
        <v>309</v>
      </c>
      <c r="F18" s="185">
        <v>220</v>
      </c>
      <c r="G18" s="184" t="s">
        <v>1308</v>
      </c>
      <c r="H18" s="186">
        <v>1</v>
      </c>
      <c r="I18" s="185">
        <v>434</v>
      </c>
      <c r="J18" s="187">
        <v>2</v>
      </c>
      <c r="K18" s="188">
        <v>868</v>
      </c>
      <c r="L18" s="189">
        <v>9.1509999999999998</v>
      </c>
      <c r="M18" s="185">
        <v>448</v>
      </c>
      <c r="N18" s="189">
        <v>97.912000000000006</v>
      </c>
      <c r="O18" s="333">
        <v>69.853107221006567</v>
      </c>
      <c r="P18" s="333">
        <v>22.888000000000002</v>
      </c>
      <c r="Q18" s="333">
        <v>9.7827225540000011</v>
      </c>
      <c r="R18" s="475">
        <f t="shared" si="1"/>
        <v>2.339634991553702</v>
      </c>
      <c r="S18" s="340">
        <v>59</v>
      </c>
    </row>
    <row r="19" spans="2:19" ht="15" customHeight="1" x14ac:dyDescent="0.35">
      <c r="B19" s="181">
        <v>78060</v>
      </c>
      <c r="C19" s="182" t="s">
        <v>775</v>
      </c>
      <c r="D19" s="183">
        <v>15</v>
      </c>
      <c r="E19" s="185" t="s">
        <v>1124</v>
      </c>
      <c r="F19" s="185" t="s">
        <v>1124</v>
      </c>
      <c r="G19" s="184" t="s">
        <v>1124</v>
      </c>
      <c r="H19" s="186"/>
      <c r="I19" s="185"/>
      <c r="J19" s="187"/>
      <c r="K19" s="188"/>
      <c r="L19" s="189"/>
      <c r="M19" s="185" t="s">
        <v>1124</v>
      </c>
      <c r="N19" s="189"/>
      <c r="O19" s="333"/>
      <c r="P19" s="333" t="s">
        <v>1124</v>
      </c>
      <c r="Q19" s="333" t="s">
        <v>1124</v>
      </c>
      <c r="R19" s="475" t="str">
        <f t="shared" si="1"/>
        <v/>
      </c>
      <c r="S19" s="340" t="s">
        <v>1124</v>
      </c>
    </row>
    <row r="20" spans="2:19" ht="15" customHeight="1" x14ac:dyDescent="0.35">
      <c r="B20" s="181">
        <v>40043</v>
      </c>
      <c r="C20" s="182" t="s">
        <v>363</v>
      </c>
      <c r="D20" s="183">
        <v>5</v>
      </c>
      <c r="E20" s="185">
        <v>557</v>
      </c>
      <c r="F20" s="185">
        <v>330</v>
      </c>
      <c r="G20" s="184" t="s">
        <v>1308</v>
      </c>
      <c r="H20" s="186">
        <v>1</v>
      </c>
      <c r="I20" s="185">
        <v>3377</v>
      </c>
      <c r="J20" s="187">
        <v>1.8815516730826176</v>
      </c>
      <c r="K20" s="188">
        <v>6354</v>
      </c>
      <c r="L20" s="189">
        <v>65.356999999999999</v>
      </c>
      <c r="M20" s="185">
        <v>2265</v>
      </c>
      <c r="N20" s="189">
        <v>1291.2149999999999</v>
      </c>
      <c r="O20" s="333">
        <v>764.41685626911317</v>
      </c>
      <c r="P20" s="333">
        <v>419.78757499999995</v>
      </c>
      <c r="Q20" s="333">
        <v>79.240651805699997</v>
      </c>
      <c r="R20" s="475">
        <f t="shared" si="1"/>
        <v>5.2976290001920896</v>
      </c>
      <c r="S20" s="340">
        <v>58.72972972972974</v>
      </c>
    </row>
    <row r="21" spans="2:19" ht="15" customHeight="1" x14ac:dyDescent="0.35">
      <c r="B21" s="181">
        <v>41055</v>
      </c>
      <c r="C21" s="182" t="s">
        <v>370</v>
      </c>
      <c r="D21" s="183">
        <v>5</v>
      </c>
      <c r="E21" s="185">
        <v>380</v>
      </c>
      <c r="F21" s="185">
        <v>198</v>
      </c>
      <c r="G21" s="184" t="s">
        <v>1308</v>
      </c>
      <c r="H21" s="186">
        <v>1</v>
      </c>
      <c r="I21" s="185">
        <v>290</v>
      </c>
      <c r="J21" s="187">
        <v>2.5970873786407767</v>
      </c>
      <c r="K21" s="188">
        <v>753.15533980582518</v>
      </c>
      <c r="L21" s="189">
        <v>8.5410000000000004</v>
      </c>
      <c r="M21" s="185">
        <v>299</v>
      </c>
      <c r="N21" s="189">
        <v>104.367</v>
      </c>
      <c r="O21" s="333">
        <v>54.52</v>
      </c>
      <c r="P21" s="333">
        <v>31.331769768707474</v>
      </c>
      <c r="Q21" s="333">
        <v>10.728318783000001</v>
      </c>
      <c r="R21" s="475">
        <f t="shared" si="1"/>
        <v>2.9204734126986907</v>
      </c>
      <c r="S21" s="340">
        <v>56</v>
      </c>
    </row>
    <row r="22" spans="2:19" ht="15" customHeight="1" x14ac:dyDescent="0.35">
      <c r="B22" s="181">
        <v>50013</v>
      </c>
      <c r="C22" s="182" t="s">
        <v>483</v>
      </c>
      <c r="D22" s="183">
        <v>17</v>
      </c>
      <c r="E22" s="185" t="s">
        <v>1124</v>
      </c>
      <c r="F22" s="185" t="s">
        <v>1124</v>
      </c>
      <c r="G22" s="184" t="s">
        <v>1124</v>
      </c>
      <c r="H22" s="186"/>
      <c r="I22" s="185"/>
      <c r="J22" s="187"/>
      <c r="K22" s="188"/>
      <c r="L22" s="189"/>
      <c r="M22" s="185" t="s">
        <v>1124</v>
      </c>
      <c r="N22" s="189"/>
      <c r="O22" s="333"/>
      <c r="P22" s="333" t="s">
        <v>1124</v>
      </c>
      <c r="Q22" s="333" t="s">
        <v>1124</v>
      </c>
      <c r="R22" s="475" t="str">
        <f t="shared" si="1"/>
        <v/>
      </c>
      <c r="S22" s="340" t="s">
        <v>1124</v>
      </c>
    </row>
    <row r="23" spans="2:19" ht="15" customHeight="1" x14ac:dyDescent="0.35">
      <c r="B23" s="181">
        <v>13045</v>
      </c>
      <c r="C23" s="182" t="s">
        <v>48</v>
      </c>
      <c r="D23" s="183">
        <v>1</v>
      </c>
      <c r="E23" s="185">
        <v>297</v>
      </c>
      <c r="F23" s="185">
        <v>233</v>
      </c>
      <c r="G23" s="184" t="s">
        <v>1308</v>
      </c>
      <c r="H23" s="186">
        <v>1</v>
      </c>
      <c r="I23" s="185">
        <v>119</v>
      </c>
      <c r="J23" s="187">
        <v>2.0176211453744495</v>
      </c>
      <c r="K23" s="188">
        <v>240.0969162995595</v>
      </c>
      <c r="L23" s="189">
        <v>2.72</v>
      </c>
      <c r="M23" s="185">
        <v>108</v>
      </c>
      <c r="N23" s="189">
        <v>26.04</v>
      </c>
      <c r="O23" s="333">
        <v>20.454054687500001</v>
      </c>
      <c r="P23" s="333">
        <v>3.6483999999999961</v>
      </c>
      <c r="Q23" s="333">
        <v>2.8628249400000003</v>
      </c>
      <c r="R23" s="475">
        <f t="shared" si="1"/>
        <v>1.2744055527195441</v>
      </c>
      <c r="S23" s="340">
        <v>58.72972972972974</v>
      </c>
    </row>
    <row r="24" spans="2:19" ht="15" customHeight="1" x14ac:dyDescent="0.35">
      <c r="B24" s="181">
        <v>30055</v>
      </c>
      <c r="C24" s="182" t="s">
        <v>227</v>
      </c>
      <c r="D24" s="183">
        <v>5</v>
      </c>
      <c r="E24" s="185">
        <v>204</v>
      </c>
      <c r="F24" s="185">
        <v>109</v>
      </c>
      <c r="G24" s="184" t="s">
        <v>1308</v>
      </c>
      <c r="H24" s="186">
        <v>1</v>
      </c>
      <c r="I24" s="185">
        <v>117</v>
      </c>
      <c r="J24" s="187">
        <v>2.6620689655172414</v>
      </c>
      <c r="K24" s="188">
        <v>311.46206896551723</v>
      </c>
      <c r="L24" s="189">
        <v>5.33</v>
      </c>
      <c r="M24" s="185">
        <v>134</v>
      </c>
      <c r="N24" s="189">
        <v>23.225000000000001</v>
      </c>
      <c r="O24" s="333">
        <v>12.356</v>
      </c>
      <c r="P24" s="333">
        <v>7.524</v>
      </c>
      <c r="Q24" s="333">
        <v>3.1505814499999998</v>
      </c>
      <c r="R24" s="475">
        <f t="shared" si="1"/>
        <v>2.3881306099862933</v>
      </c>
      <c r="S24" s="340">
        <v>56</v>
      </c>
    </row>
    <row r="25" spans="2:19" ht="15" customHeight="1" x14ac:dyDescent="0.35">
      <c r="B25" s="181">
        <v>83090</v>
      </c>
      <c r="C25" s="182" t="s">
        <v>850</v>
      </c>
      <c r="D25" s="183">
        <v>7</v>
      </c>
      <c r="E25" s="185" t="s">
        <v>1124</v>
      </c>
      <c r="F25" s="185" t="s">
        <v>1124</v>
      </c>
      <c r="G25" s="184" t="s">
        <v>1124</v>
      </c>
      <c r="H25" s="186"/>
      <c r="I25" s="185"/>
      <c r="J25" s="187"/>
      <c r="K25" s="188"/>
      <c r="L25" s="189"/>
      <c r="M25" s="185" t="s">
        <v>1124</v>
      </c>
      <c r="N25" s="189"/>
      <c r="O25" s="333"/>
      <c r="P25" s="333" t="s">
        <v>1124</v>
      </c>
      <c r="Q25" s="333" t="s">
        <v>1124</v>
      </c>
      <c r="R25" s="475" t="str">
        <f t="shared" si="1"/>
        <v/>
      </c>
      <c r="S25" s="340" t="s">
        <v>1124</v>
      </c>
    </row>
    <row r="26" spans="2:19" ht="15" customHeight="1" x14ac:dyDescent="0.35">
      <c r="B26" s="181">
        <v>45085</v>
      </c>
      <c r="C26" s="182" t="s">
        <v>421</v>
      </c>
      <c r="D26" s="183">
        <v>5</v>
      </c>
      <c r="E26" s="185" t="s">
        <v>1124</v>
      </c>
      <c r="F26" s="185" t="s">
        <v>1124</v>
      </c>
      <c r="G26" s="184" t="s">
        <v>1124</v>
      </c>
      <c r="H26" s="186"/>
      <c r="I26" s="185"/>
      <c r="J26" s="187"/>
      <c r="K26" s="188"/>
      <c r="L26" s="189"/>
      <c r="M26" s="185" t="s">
        <v>1124</v>
      </c>
      <c r="N26" s="189"/>
      <c r="O26" s="333"/>
      <c r="P26" s="333" t="s">
        <v>1124</v>
      </c>
      <c r="Q26" s="333" t="s">
        <v>1124</v>
      </c>
      <c r="R26" s="475" t="str">
        <f t="shared" si="1"/>
        <v/>
      </c>
      <c r="S26" s="340" t="s">
        <v>1124</v>
      </c>
    </row>
    <row r="27" spans="2:19" ht="15" customHeight="1" x14ac:dyDescent="0.35">
      <c r="B27" s="181">
        <v>87050</v>
      </c>
      <c r="C27" s="182" t="s">
        <v>898</v>
      </c>
      <c r="D27" s="183">
        <v>8</v>
      </c>
      <c r="E27" s="185" t="s">
        <v>1124</v>
      </c>
      <c r="F27" s="185" t="s">
        <v>1124</v>
      </c>
      <c r="G27" s="184" t="s">
        <v>1124</v>
      </c>
      <c r="H27" s="186"/>
      <c r="I27" s="185"/>
      <c r="J27" s="187"/>
      <c r="K27" s="188"/>
      <c r="L27" s="189"/>
      <c r="M27" s="185" t="s">
        <v>1124</v>
      </c>
      <c r="N27" s="189"/>
      <c r="O27" s="333"/>
      <c r="P27" s="333" t="s">
        <v>1124</v>
      </c>
      <c r="Q27" s="333" t="s">
        <v>1124</v>
      </c>
      <c r="R27" s="475" t="str">
        <f t="shared" si="1"/>
        <v/>
      </c>
      <c r="S27" s="340" t="s">
        <v>1124</v>
      </c>
    </row>
    <row r="28" spans="2:19" ht="15" customHeight="1" x14ac:dyDescent="0.35">
      <c r="B28" s="181">
        <v>87100</v>
      </c>
      <c r="C28" s="182" t="s">
        <v>906</v>
      </c>
      <c r="D28" s="183">
        <v>8</v>
      </c>
      <c r="E28" s="185" t="s">
        <v>1124</v>
      </c>
      <c r="F28" s="185" t="s">
        <v>1124</v>
      </c>
      <c r="G28" s="184" t="s">
        <v>1124</v>
      </c>
      <c r="H28" s="186"/>
      <c r="I28" s="185"/>
      <c r="J28" s="187"/>
      <c r="K28" s="188"/>
      <c r="L28" s="189"/>
      <c r="M28" s="185" t="s">
        <v>1124</v>
      </c>
      <c r="N28" s="189"/>
      <c r="O28" s="333"/>
      <c r="P28" s="333" t="s">
        <v>1124</v>
      </c>
      <c r="Q28" s="333" t="s">
        <v>1124</v>
      </c>
      <c r="R28" s="475" t="str">
        <f t="shared" si="1"/>
        <v/>
      </c>
      <c r="S28" s="340" t="s">
        <v>1124</v>
      </c>
    </row>
    <row r="29" spans="2:19" ht="15" customHeight="1" x14ac:dyDescent="0.35">
      <c r="B29" s="181">
        <v>45035</v>
      </c>
      <c r="C29" s="182" t="s">
        <v>414</v>
      </c>
      <c r="D29" s="183">
        <v>5</v>
      </c>
      <c r="E29" s="185" t="s">
        <v>1124</v>
      </c>
      <c r="F29" s="185" t="s">
        <v>1124</v>
      </c>
      <c r="G29" s="184" t="s">
        <v>1124</v>
      </c>
      <c r="H29" s="186"/>
      <c r="I29" s="185"/>
      <c r="J29" s="187"/>
      <c r="K29" s="188"/>
      <c r="L29" s="189"/>
      <c r="M29" s="185" t="s">
        <v>1124</v>
      </c>
      <c r="N29" s="189"/>
      <c r="O29" s="333"/>
      <c r="P29" s="333" t="s">
        <v>1124</v>
      </c>
      <c r="Q29" s="333" t="s">
        <v>1124</v>
      </c>
      <c r="R29" s="475" t="str">
        <f t="shared" si="1"/>
        <v/>
      </c>
      <c r="S29" s="340" t="s">
        <v>1124</v>
      </c>
    </row>
    <row r="30" spans="2:19" ht="15" customHeight="1" x14ac:dyDescent="0.35">
      <c r="B30" s="181">
        <v>96020</v>
      </c>
      <c r="C30" s="182" t="s">
        <v>997</v>
      </c>
      <c r="D30" s="183">
        <v>9</v>
      </c>
      <c r="E30" s="185">
        <v>498</v>
      </c>
      <c r="F30" s="185">
        <v>297</v>
      </c>
      <c r="G30" s="184" t="s">
        <v>1308</v>
      </c>
      <c r="H30" s="186">
        <v>1</v>
      </c>
      <c r="I30" s="185">
        <v>10303</v>
      </c>
      <c r="J30" s="187">
        <v>2.2877434628214783</v>
      </c>
      <c r="K30" s="188">
        <v>23570.620897449691</v>
      </c>
      <c r="L30" s="189">
        <v>148.94999999999999</v>
      </c>
      <c r="M30" s="185">
        <v>7708</v>
      </c>
      <c r="N30" s="189">
        <v>4283.3710000000001</v>
      </c>
      <c r="O30" s="333">
        <v>2552.7320357078229</v>
      </c>
      <c r="P30" s="333">
        <v>1234.1213559999999</v>
      </c>
      <c r="Q30" s="333">
        <v>142.5800084</v>
      </c>
      <c r="R30" s="475">
        <f t="shared" si="1"/>
        <v>8.6556409264456171</v>
      </c>
      <c r="S30" s="340">
        <v>59</v>
      </c>
    </row>
    <row r="31" spans="2:19" ht="15" customHeight="1" x14ac:dyDescent="0.35">
      <c r="B31" s="181">
        <v>8080</v>
      </c>
      <c r="C31" s="182" t="s">
        <v>1096</v>
      </c>
      <c r="D31" s="183">
        <v>1</v>
      </c>
      <c r="E31" s="185">
        <v>184</v>
      </c>
      <c r="F31" s="185">
        <v>142</v>
      </c>
      <c r="G31" s="184" t="s">
        <v>1308</v>
      </c>
      <c r="H31" s="186">
        <v>1</v>
      </c>
      <c r="I31" s="185">
        <v>213</v>
      </c>
      <c r="J31" s="187">
        <v>1.7008310249307479</v>
      </c>
      <c r="K31" s="188">
        <v>362.2770083102493</v>
      </c>
      <c r="L31" s="189">
        <v>7.0449999999999999</v>
      </c>
      <c r="M31" s="185">
        <v>186</v>
      </c>
      <c r="N31" s="189">
        <v>24.375</v>
      </c>
      <c r="O31" s="333">
        <v>18.813106666666666</v>
      </c>
      <c r="P31" s="333">
        <v>4.1363749999999992</v>
      </c>
      <c r="Q31" s="333">
        <v>6.133095</v>
      </c>
      <c r="R31" s="475">
        <f t="shared" si="1"/>
        <v>0.67443517506250905</v>
      </c>
      <c r="S31" s="340">
        <v>59.081081081081081</v>
      </c>
    </row>
    <row r="32" spans="2:19" ht="15" customHeight="1" x14ac:dyDescent="0.35">
      <c r="B32" s="181">
        <v>50100</v>
      </c>
      <c r="C32" s="182" t="s">
        <v>495</v>
      </c>
      <c r="D32" s="183">
        <v>17</v>
      </c>
      <c r="E32" s="185">
        <v>581</v>
      </c>
      <c r="F32" s="185">
        <v>161</v>
      </c>
      <c r="G32" s="184" t="s">
        <v>1308</v>
      </c>
      <c r="H32" s="186">
        <v>2</v>
      </c>
      <c r="I32" s="185">
        <v>490</v>
      </c>
      <c r="J32" s="187">
        <v>1.9393939393939392</v>
      </c>
      <c r="K32" s="188">
        <v>950.30303030303025</v>
      </c>
      <c r="L32" s="189">
        <v>37.802</v>
      </c>
      <c r="M32" s="185">
        <v>551</v>
      </c>
      <c r="N32" s="189">
        <v>201.40699999999998</v>
      </c>
      <c r="O32" s="333">
        <v>55.938000000000002</v>
      </c>
      <c r="P32" s="333">
        <v>37.890323757086719</v>
      </c>
      <c r="Q32" s="333">
        <v>26.462941869000005</v>
      </c>
      <c r="R32" s="475">
        <f t="shared" si="1"/>
        <v>1.431825831937201</v>
      </c>
      <c r="S32" s="340">
        <v>74.45098039215685</v>
      </c>
    </row>
    <row r="33" spans="2:19" ht="15" customHeight="1" x14ac:dyDescent="0.35">
      <c r="B33" s="181">
        <v>66112</v>
      </c>
      <c r="C33" s="182" t="s">
        <v>659</v>
      </c>
      <c r="D33" s="183">
        <v>6</v>
      </c>
      <c r="E33" s="185">
        <v>941</v>
      </c>
      <c r="F33" s="185">
        <v>299</v>
      </c>
      <c r="G33" s="184" t="s">
        <v>1308</v>
      </c>
      <c r="H33" s="186">
        <v>1</v>
      </c>
      <c r="I33" s="185">
        <v>1443</v>
      </c>
      <c r="J33" s="187">
        <v>2.7245467224546722</v>
      </c>
      <c r="K33" s="188">
        <v>3931.5209205020919</v>
      </c>
      <c r="L33" s="189">
        <v>47.135999999999996</v>
      </c>
      <c r="M33" s="185">
        <v>1421</v>
      </c>
      <c r="N33" s="189">
        <v>1349.847</v>
      </c>
      <c r="O33" s="333">
        <v>428.80700000000002</v>
      </c>
      <c r="P33" s="333">
        <v>170.80263999999974</v>
      </c>
      <c r="Q33" s="333">
        <v>40.120763499999995</v>
      </c>
      <c r="R33" s="475">
        <f t="shared" si="1"/>
        <v>4.2572131011415015</v>
      </c>
      <c r="S33" s="340">
        <v>56.754901960784316</v>
      </c>
    </row>
    <row r="34" spans="2:19" ht="15" customHeight="1" x14ac:dyDescent="0.35">
      <c r="B34" s="181">
        <v>98035</v>
      </c>
      <c r="C34" s="182" t="s">
        <v>1014</v>
      </c>
      <c r="D34" s="183">
        <v>9</v>
      </c>
      <c r="E34" s="185">
        <v>721</v>
      </c>
      <c r="F34" s="185">
        <v>163</v>
      </c>
      <c r="G34" s="184" t="s">
        <v>1308</v>
      </c>
      <c r="H34" s="186">
        <v>1</v>
      </c>
      <c r="I34" s="185">
        <v>55</v>
      </c>
      <c r="J34" s="187">
        <v>1.5636363636363637</v>
      </c>
      <c r="K34" s="188">
        <v>86</v>
      </c>
      <c r="L34" s="189">
        <v>2.75</v>
      </c>
      <c r="M34" s="185">
        <v>66</v>
      </c>
      <c r="N34" s="189">
        <v>22.625</v>
      </c>
      <c r="O34" s="333">
        <v>5.1194062499999999</v>
      </c>
      <c r="P34" s="333">
        <v>2.6691500000000001</v>
      </c>
      <c r="Q34" s="333">
        <v>2.1331695000000002</v>
      </c>
      <c r="R34" s="475">
        <f t="shared" si="1"/>
        <v>1.2512601553697444</v>
      </c>
      <c r="S34" s="340">
        <v>59.432432432432449</v>
      </c>
    </row>
    <row r="35" spans="2:19" ht="15" customHeight="1" x14ac:dyDescent="0.35">
      <c r="B35" s="181">
        <v>15065</v>
      </c>
      <c r="C35" s="182" t="s">
        <v>83</v>
      </c>
      <c r="D35" s="183">
        <v>3</v>
      </c>
      <c r="E35" s="185">
        <v>589</v>
      </c>
      <c r="F35" s="185">
        <v>260</v>
      </c>
      <c r="G35" s="184" t="s">
        <v>1308</v>
      </c>
      <c r="H35" s="186">
        <v>1</v>
      </c>
      <c r="I35" s="185">
        <v>144</v>
      </c>
      <c r="J35" s="187">
        <v>1.3057324840764331</v>
      </c>
      <c r="K35" s="188">
        <v>188.02547770700636</v>
      </c>
      <c r="L35" s="189">
        <v>6.5960000000000001</v>
      </c>
      <c r="M35" s="185">
        <v>144</v>
      </c>
      <c r="N35" s="189">
        <v>40.426000000000002</v>
      </c>
      <c r="O35" s="333">
        <v>17.856000000000002</v>
      </c>
      <c r="P35" s="333">
        <v>11.830197857142855</v>
      </c>
      <c r="Q35" s="333">
        <v>4.6241236799999994</v>
      </c>
      <c r="R35" s="475">
        <f t="shared" si="1"/>
        <v>2.5583653630005969</v>
      </c>
      <c r="S35" s="340">
        <v>53.676470588235283</v>
      </c>
    </row>
    <row r="36" spans="2:19" ht="15" customHeight="1" x14ac:dyDescent="0.35">
      <c r="B36" s="181">
        <v>16013</v>
      </c>
      <c r="C36" s="182" t="s">
        <v>85</v>
      </c>
      <c r="D36" s="183">
        <v>3</v>
      </c>
      <c r="E36" s="185">
        <v>567</v>
      </c>
      <c r="F36" s="185">
        <v>271</v>
      </c>
      <c r="G36" s="184" t="s">
        <v>1308</v>
      </c>
      <c r="H36" s="186">
        <v>2</v>
      </c>
      <c r="I36" s="185">
        <v>2887</v>
      </c>
      <c r="J36" s="187">
        <v>1.9172652301143924</v>
      </c>
      <c r="K36" s="188">
        <v>5535.144719340251</v>
      </c>
      <c r="L36" s="189">
        <v>57.701000000000001</v>
      </c>
      <c r="M36" s="185">
        <v>2275</v>
      </c>
      <c r="N36" s="189">
        <v>1146.336</v>
      </c>
      <c r="O36" s="333">
        <v>548.167507</v>
      </c>
      <c r="P36" s="333">
        <v>273.04404482142854</v>
      </c>
      <c r="Q36" s="333">
        <v>69.100815595</v>
      </c>
      <c r="R36" s="475">
        <f t="shared" si="1"/>
        <v>3.9513867162109948</v>
      </c>
      <c r="S36" s="340">
        <v>55.219298245614034</v>
      </c>
    </row>
    <row r="37" spans="2:19" ht="15" customHeight="1" x14ac:dyDescent="0.35">
      <c r="B37" s="181">
        <v>96005</v>
      </c>
      <c r="C37" s="182" t="s">
        <v>994</v>
      </c>
      <c r="D37" s="183">
        <v>9</v>
      </c>
      <c r="E37" s="185">
        <v>1157</v>
      </c>
      <c r="F37" s="185">
        <v>308</v>
      </c>
      <c r="G37" s="184" t="s">
        <v>1308</v>
      </c>
      <c r="H37" s="186">
        <v>1</v>
      </c>
      <c r="I37" s="185">
        <v>234</v>
      </c>
      <c r="J37" s="187">
        <v>1.1956521739130435</v>
      </c>
      <c r="K37" s="188">
        <v>279.78260869565219</v>
      </c>
      <c r="L37" s="189">
        <v>19.8</v>
      </c>
      <c r="M37" s="185">
        <v>275</v>
      </c>
      <c r="N37" s="189">
        <v>118.10916666666665</v>
      </c>
      <c r="O37" s="333">
        <v>31.470461718446629</v>
      </c>
      <c r="P37" s="333">
        <v>36.683375999999946</v>
      </c>
      <c r="Q37" s="333">
        <v>14.592116000000004</v>
      </c>
      <c r="R37" s="475">
        <f t="shared" si="1"/>
        <v>2.5139175154583429</v>
      </c>
      <c r="S37" s="340">
        <v>58</v>
      </c>
    </row>
    <row r="38" spans="2:19" ht="15" customHeight="1" x14ac:dyDescent="0.35">
      <c r="B38" s="181">
        <v>78050</v>
      </c>
      <c r="C38" s="182" t="s">
        <v>773</v>
      </c>
      <c r="D38" s="183">
        <v>15</v>
      </c>
      <c r="E38" s="185" t="s">
        <v>1124</v>
      </c>
      <c r="F38" s="185" t="s">
        <v>1124</v>
      </c>
      <c r="G38" s="184" t="s">
        <v>1124</v>
      </c>
      <c r="H38" s="186"/>
      <c r="I38" s="185"/>
      <c r="J38" s="187"/>
      <c r="K38" s="188"/>
      <c r="L38" s="189"/>
      <c r="M38" s="185" t="s">
        <v>1124</v>
      </c>
      <c r="N38" s="189"/>
      <c r="O38" s="333"/>
      <c r="P38" s="333" t="s">
        <v>1124</v>
      </c>
      <c r="Q38" s="333" t="s">
        <v>1124</v>
      </c>
      <c r="R38" s="475" t="str">
        <f t="shared" si="1"/>
        <v/>
      </c>
      <c r="S38" s="340" t="s">
        <v>1124</v>
      </c>
    </row>
    <row r="39" spans="2:19" ht="15" customHeight="1" x14ac:dyDescent="0.35">
      <c r="B39" s="181">
        <v>44045</v>
      </c>
      <c r="C39" s="182" t="s">
        <v>404</v>
      </c>
      <c r="D39" s="183">
        <v>5</v>
      </c>
      <c r="E39" s="185" t="s">
        <v>1124</v>
      </c>
      <c r="F39" s="185" t="s">
        <v>1124</v>
      </c>
      <c r="G39" s="184" t="s">
        <v>1124</v>
      </c>
      <c r="H39" s="186"/>
      <c r="I39" s="185"/>
      <c r="J39" s="187"/>
      <c r="K39" s="188"/>
      <c r="L39" s="189"/>
      <c r="M39" s="185" t="s">
        <v>1124</v>
      </c>
      <c r="N39" s="189"/>
      <c r="O39" s="333"/>
      <c r="P39" s="333" t="s">
        <v>1124</v>
      </c>
      <c r="Q39" s="333" t="s">
        <v>1124</v>
      </c>
      <c r="R39" s="475" t="str">
        <f t="shared" si="1"/>
        <v/>
      </c>
      <c r="S39" s="340" t="s">
        <v>1124</v>
      </c>
    </row>
    <row r="40" spans="2:19" ht="15" customHeight="1" x14ac:dyDescent="0.35">
      <c r="B40" s="181">
        <v>88022</v>
      </c>
      <c r="C40" s="182" t="s">
        <v>914</v>
      </c>
      <c r="D40" s="183">
        <v>8</v>
      </c>
      <c r="E40" s="185" t="s">
        <v>1124</v>
      </c>
      <c r="F40" s="185" t="s">
        <v>1124</v>
      </c>
      <c r="G40" s="184" t="s">
        <v>1124</v>
      </c>
      <c r="H40" s="186"/>
      <c r="I40" s="185"/>
      <c r="J40" s="187"/>
      <c r="K40" s="188"/>
      <c r="L40" s="189"/>
      <c r="M40" s="185" t="s">
        <v>1124</v>
      </c>
      <c r="N40" s="189"/>
      <c r="O40" s="333"/>
      <c r="P40" s="333" t="s">
        <v>1124</v>
      </c>
      <c r="Q40" s="333" t="s">
        <v>1124</v>
      </c>
      <c r="R40" s="475" t="str">
        <f t="shared" si="1"/>
        <v/>
      </c>
      <c r="S40" s="340" t="s">
        <v>1124</v>
      </c>
    </row>
    <row r="41" spans="2:19" ht="15" customHeight="1" x14ac:dyDescent="0.35">
      <c r="B41" s="181">
        <v>37210</v>
      </c>
      <c r="C41" s="182" t="s">
        <v>316</v>
      </c>
      <c r="D41" s="183">
        <v>4</v>
      </c>
      <c r="E41" s="185" t="s">
        <v>1124</v>
      </c>
      <c r="F41" s="185" t="s">
        <v>1124</v>
      </c>
      <c r="G41" s="184" t="s">
        <v>1124</v>
      </c>
      <c r="H41" s="186"/>
      <c r="I41" s="185"/>
      <c r="J41" s="187"/>
      <c r="K41" s="188"/>
      <c r="L41" s="189"/>
      <c r="M41" s="185" t="s">
        <v>1124</v>
      </c>
      <c r="N41" s="189"/>
      <c r="O41" s="333"/>
      <c r="P41" s="333" t="s">
        <v>1124</v>
      </c>
      <c r="Q41" s="333" t="s">
        <v>1124</v>
      </c>
      <c r="R41" s="475" t="str">
        <f t="shared" si="1"/>
        <v/>
      </c>
      <c r="S41" s="340" t="s">
        <v>1124</v>
      </c>
    </row>
    <row r="42" spans="2:19" ht="15" customHeight="1" x14ac:dyDescent="0.35">
      <c r="B42" s="181">
        <v>66107</v>
      </c>
      <c r="C42" s="182" t="s">
        <v>658</v>
      </c>
      <c r="D42" s="183">
        <v>6</v>
      </c>
      <c r="E42" s="185" t="s">
        <v>1124</v>
      </c>
      <c r="F42" s="185" t="s">
        <v>1124</v>
      </c>
      <c r="G42" s="184" t="s">
        <v>1124</v>
      </c>
      <c r="H42" s="186"/>
      <c r="I42" s="185"/>
      <c r="J42" s="187"/>
      <c r="K42" s="188"/>
      <c r="L42" s="189"/>
      <c r="M42" s="185" t="s">
        <v>1124</v>
      </c>
      <c r="N42" s="189"/>
      <c r="O42" s="333"/>
      <c r="P42" s="333" t="s">
        <v>1124</v>
      </c>
      <c r="Q42" s="333" t="s">
        <v>1124</v>
      </c>
      <c r="R42" s="475" t="str">
        <f t="shared" si="1"/>
        <v/>
      </c>
      <c r="S42" s="340" t="s">
        <v>1124</v>
      </c>
    </row>
    <row r="43" spans="2:19" ht="15" customHeight="1" x14ac:dyDescent="0.35">
      <c r="B43" s="181">
        <v>85020</v>
      </c>
      <c r="C43" s="182" t="s">
        <v>873</v>
      </c>
      <c r="D43" s="183">
        <v>8</v>
      </c>
      <c r="E43" s="185">
        <v>905</v>
      </c>
      <c r="F43" s="185">
        <v>265</v>
      </c>
      <c r="G43" s="184" t="s">
        <v>1308</v>
      </c>
      <c r="H43" s="186">
        <v>1</v>
      </c>
      <c r="I43" s="185">
        <v>320</v>
      </c>
      <c r="J43" s="187">
        <v>1.98</v>
      </c>
      <c r="K43" s="188">
        <v>633.6</v>
      </c>
      <c r="L43" s="189">
        <v>7.2229999999999999</v>
      </c>
      <c r="M43" s="185">
        <v>282</v>
      </c>
      <c r="N43" s="189">
        <v>209.39500000000001</v>
      </c>
      <c r="O43" s="333">
        <v>61.4</v>
      </c>
      <c r="P43" s="333">
        <v>51.948045612244911</v>
      </c>
      <c r="Q43" s="333">
        <v>5.6980918179</v>
      </c>
      <c r="R43" s="475">
        <f t="shared" si="1"/>
        <v>9.1167442140990413</v>
      </c>
      <c r="S43" s="340">
        <v>61.263157894736857</v>
      </c>
    </row>
    <row r="44" spans="2:19" ht="15" customHeight="1" x14ac:dyDescent="0.35">
      <c r="B44" s="181">
        <v>27028</v>
      </c>
      <c r="C44" s="182" t="s">
        <v>180</v>
      </c>
      <c r="D44" s="183">
        <v>12</v>
      </c>
      <c r="E44" s="185">
        <v>419</v>
      </c>
      <c r="F44" s="185">
        <v>275</v>
      </c>
      <c r="G44" s="184" t="s">
        <v>1308</v>
      </c>
      <c r="H44" s="186">
        <v>1</v>
      </c>
      <c r="I44" s="185">
        <v>2008</v>
      </c>
      <c r="J44" s="187">
        <v>2.25</v>
      </c>
      <c r="K44" s="188">
        <v>4518</v>
      </c>
      <c r="L44" s="189">
        <v>41.06</v>
      </c>
      <c r="M44" s="185">
        <v>1968</v>
      </c>
      <c r="N44" s="189">
        <v>690.63599999999997</v>
      </c>
      <c r="O44" s="333">
        <v>454.15312499999999</v>
      </c>
      <c r="P44" s="333">
        <v>42.744222490305972</v>
      </c>
      <c r="Q44" s="333">
        <v>46.656241799999997</v>
      </c>
      <c r="R44" s="475">
        <f t="shared" si="1"/>
        <v>0.91615228405100502</v>
      </c>
      <c r="S44" s="340">
        <v>64.45614035087722</v>
      </c>
    </row>
    <row r="45" spans="2:19" ht="15" customHeight="1" x14ac:dyDescent="0.35">
      <c r="B45" s="181">
        <v>70022</v>
      </c>
      <c r="C45" s="182" t="s">
        <v>699</v>
      </c>
      <c r="D45" s="183">
        <v>16</v>
      </c>
      <c r="E45" s="185">
        <v>501</v>
      </c>
      <c r="F45" s="185">
        <v>250</v>
      </c>
      <c r="G45" s="184" t="s">
        <v>1326</v>
      </c>
      <c r="H45" s="186">
        <v>2</v>
      </c>
      <c r="I45" s="185">
        <v>6896</v>
      </c>
      <c r="J45" s="187">
        <v>2.2634996582365003</v>
      </c>
      <c r="K45" s="188">
        <v>15609.093643198907</v>
      </c>
      <c r="L45" s="189">
        <v>95.061000000000007</v>
      </c>
      <c r="M45" s="185">
        <v>7037</v>
      </c>
      <c r="N45" s="189">
        <v>2851.971</v>
      </c>
      <c r="O45" s="333">
        <v>1424.2638324926988</v>
      </c>
      <c r="P45" s="333">
        <v>1240.2048953092783</v>
      </c>
      <c r="Q45" s="333">
        <v>131.46305073509998</v>
      </c>
      <c r="R45" s="475">
        <f t="shared" si="1"/>
        <v>9.4338666901037449</v>
      </c>
      <c r="S45" s="340">
        <v>60.5</v>
      </c>
    </row>
    <row r="46" spans="2:19" ht="15" customHeight="1" x14ac:dyDescent="0.35">
      <c r="B46" s="181">
        <v>31008</v>
      </c>
      <c r="C46" s="182" t="s">
        <v>237</v>
      </c>
      <c r="D46" s="183">
        <v>12</v>
      </c>
      <c r="E46" s="185">
        <v>444</v>
      </c>
      <c r="F46" s="185">
        <v>380</v>
      </c>
      <c r="G46" s="184" t="s">
        <v>1326</v>
      </c>
      <c r="H46" s="186">
        <v>1</v>
      </c>
      <c r="I46" s="185">
        <v>169</v>
      </c>
      <c r="J46" s="187">
        <v>1.8660194174757279</v>
      </c>
      <c r="K46" s="188">
        <v>315.35728155339802</v>
      </c>
      <c r="L46" s="189">
        <v>6.2149999999999999</v>
      </c>
      <c r="M46" s="185">
        <v>209</v>
      </c>
      <c r="N46" s="189">
        <v>51.142000000000003</v>
      </c>
      <c r="O46" s="333">
        <v>43.722000000000001</v>
      </c>
      <c r="P46" s="333">
        <v>3.806870000000008</v>
      </c>
      <c r="Q46" s="333">
        <v>5.4796318500000005</v>
      </c>
      <c r="R46" s="475">
        <f t="shared" si="1"/>
        <v>0.69473097905290981</v>
      </c>
      <c r="S46" s="340">
        <v>58.72972972972974</v>
      </c>
    </row>
    <row r="47" spans="2:19" ht="15" customHeight="1" x14ac:dyDescent="0.35">
      <c r="B47" s="181">
        <v>19105</v>
      </c>
      <c r="C47" s="182" t="s">
        <v>135</v>
      </c>
      <c r="D47" s="183">
        <v>12</v>
      </c>
      <c r="E47" s="185">
        <v>202</v>
      </c>
      <c r="F47" s="185">
        <v>151</v>
      </c>
      <c r="G47" s="184" t="s">
        <v>1326</v>
      </c>
      <c r="H47" s="186">
        <v>1</v>
      </c>
      <c r="I47" s="185">
        <v>705</v>
      </c>
      <c r="J47" s="187">
        <v>2.4812656119900085</v>
      </c>
      <c r="K47" s="188">
        <v>1749.2922564529561</v>
      </c>
      <c r="L47" s="189">
        <v>14.207000000000001</v>
      </c>
      <c r="M47" s="185">
        <v>662</v>
      </c>
      <c r="N47" s="189">
        <v>128.85499999999999</v>
      </c>
      <c r="O47" s="333">
        <v>96.223736187845304</v>
      </c>
      <c r="P47" s="333">
        <v>28.105174999999999</v>
      </c>
      <c r="Q47" s="333">
        <v>14.57616258</v>
      </c>
      <c r="R47" s="475">
        <f t="shared" si="1"/>
        <v>1.9281600932856773</v>
      </c>
      <c r="S47" s="340">
        <v>42.744186046511629</v>
      </c>
    </row>
    <row r="48" spans="2:19" ht="15" customHeight="1" x14ac:dyDescent="0.35">
      <c r="B48" s="181">
        <v>21025</v>
      </c>
      <c r="C48" s="182" t="s">
        <v>148</v>
      </c>
      <c r="D48" s="183">
        <v>3</v>
      </c>
      <c r="E48" s="185">
        <v>479</v>
      </c>
      <c r="F48" s="185">
        <v>190</v>
      </c>
      <c r="G48" s="184" t="s">
        <v>1308</v>
      </c>
      <c r="H48" s="186">
        <v>1</v>
      </c>
      <c r="I48" s="185">
        <v>2482</v>
      </c>
      <c r="J48" s="187">
        <v>1.52</v>
      </c>
      <c r="K48" s="188">
        <v>3772.64</v>
      </c>
      <c r="L48" s="189">
        <v>45.335000000000001</v>
      </c>
      <c r="M48" s="185">
        <v>2468</v>
      </c>
      <c r="N48" s="189">
        <v>658.904</v>
      </c>
      <c r="O48" s="333">
        <v>262</v>
      </c>
      <c r="P48" s="333">
        <v>94.170782499999959</v>
      </c>
      <c r="Q48" s="333">
        <v>59.609468015000019</v>
      </c>
      <c r="R48" s="475">
        <f t="shared" si="1"/>
        <v>1.579795720980147</v>
      </c>
      <c r="S48" s="340">
        <v>56.225490196078425</v>
      </c>
    </row>
    <row r="49" spans="2:19" ht="15" customHeight="1" x14ac:dyDescent="0.35">
      <c r="B49" s="181">
        <v>38010</v>
      </c>
      <c r="C49" s="182" t="s">
        <v>326</v>
      </c>
      <c r="D49" s="183">
        <v>17</v>
      </c>
      <c r="E49" s="185">
        <v>457</v>
      </c>
      <c r="F49" s="185">
        <v>214</v>
      </c>
      <c r="G49" s="184" t="s">
        <v>1308</v>
      </c>
      <c r="H49" s="186">
        <v>1</v>
      </c>
      <c r="I49" s="185">
        <v>6369</v>
      </c>
      <c r="J49" s="187">
        <v>2.0779999999999998</v>
      </c>
      <c r="K49" s="188">
        <v>13234.781999999999</v>
      </c>
      <c r="L49" s="189">
        <v>333.04300000000001</v>
      </c>
      <c r="M49" s="185">
        <v>5376</v>
      </c>
      <c r="N49" s="189">
        <v>2209.4101000000001</v>
      </c>
      <c r="O49" s="333">
        <v>1031.8800000000001</v>
      </c>
      <c r="P49" s="333">
        <v>489.54222473979598</v>
      </c>
      <c r="Q49" s="333">
        <v>233.66444805</v>
      </c>
      <c r="R49" s="475">
        <f t="shared" si="1"/>
        <v>2.0950650765453318</v>
      </c>
      <c r="S49" s="340">
        <v>51.4653105313647</v>
      </c>
    </row>
    <row r="50" spans="2:19" ht="15" customHeight="1" x14ac:dyDescent="0.35">
      <c r="B50" s="181">
        <v>46040</v>
      </c>
      <c r="C50" s="182" t="s">
        <v>433</v>
      </c>
      <c r="D50" s="183">
        <v>5</v>
      </c>
      <c r="E50" s="185" t="s">
        <v>1124</v>
      </c>
      <c r="F50" s="185" t="s">
        <v>1124</v>
      </c>
      <c r="G50" s="184" t="s">
        <v>1124</v>
      </c>
      <c r="H50" s="186"/>
      <c r="I50" s="185"/>
      <c r="J50" s="187"/>
      <c r="K50" s="188"/>
      <c r="L50" s="189"/>
      <c r="M50" s="185" t="s">
        <v>1124</v>
      </c>
      <c r="N50" s="189"/>
      <c r="O50" s="333"/>
      <c r="P50" s="333" t="s">
        <v>1124</v>
      </c>
      <c r="Q50" s="333" t="s">
        <v>1124</v>
      </c>
      <c r="R50" s="475" t="str">
        <f t="shared" si="1"/>
        <v/>
      </c>
      <c r="S50" s="340" t="s">
        <v>1124</v>
      </c>
    </row>
    <row r="51" spans="2:19" ht="15" customHeight="1" x14ac:dyDescent="0.35">
      <c r="B51" s="181">
        <v>46035</v>
      </c>
      <c r="C51" s="182" t="s">
        <v>432</v>
      </c>
      <c r="D51" s="183">
        <v>5</v>
      </c>
      <c r="E51" s="185">
        <v>597</v>
      </c>
      <c r="F51" s="185">
        <v>213</v>
      </c>
      <c r="G51" s="184" t="s">
        <v>1308</v>
      </c>
      <c r="H51" s="186">
        <v>1</v>
      </c>
      <c r="I51" s="185">
        <v>1474</v>
      </c>
      <c r="J51" s="187">
        <v>2.4425087108013939</v>
      </c>
      <c r="K51" s="188">
        <v>3600.2578397212546</v>
      </c>
      <c r="L51" s="189">
        <v>23.411000000000001</v>
      </c>
      <c r="M51" s="185">
        <v>1105</v>
      </c>
      <c r="N51" s="189">
        <v>784.64</v>
      </c>
      <c r="O51" s="333">
        <v>280.18400000000003</v>
      </c>
      <c r="P51" s="333">
        <v>199.67225933673473</v>
      </c>
      <c r="Q51" s="333">
        <v>26.318933528000006</v>
      </c>
      <c r="R51" s="475">
        <f t="shared" si="1"/>
        <v>7.5866394481489445</v>
      </c>
      <c r="S51" s="340">
        <v>54.531365187412732</v>
      </c>
    </row>
    <row r="52" spans="2:19" ht="15" customHeight="1" x14ac:dyDescent="0.35">
      <c r="B52" s="181">
        <v>94250</v>
      </c>
      <c r="C52" s="182" t="s">
        <v>982</v>
      </c>
      <c r="D52" s="183">
        <v>2</v>
      </c>
      <c r="E52" s="185">
        <v>318</v>
      </c>
      <c r="F52" s="185">
        <v>242</v>
      </c>
      <c r="G52" s="184" t="s">
        <v>1308</v>
      </c>
      <c r="H52" s="186">
        <v>1</v>
      </c>
      <c r="I52" s="185">
        <v>294</v>
      </c>
      <c r="J52" s="187">
        <v>1.9758454106280192</v>
      </c>
      <c r="K52" s="188">
        <v>580.89855072463763</v>
      </c>
      <c r="L52" s="189">
        <v>17.748999999999999</v>
      </c>
      <c r="M52" s="185">
        <v>314</v>
      </c>
      <c r="N52" s="189">
        <v>67.477999999999994</v>
      </c>
      <c r="O52" s="333">
        <v>51.271000000000001</v>
      </c>
      <c r="P52" s="333">
        <v>5.8693049999999971</v>
      </c>
      <c r="Q52" s="333">
        <v>7.7918813</v>
      </c>
      <c r="R52" s="475">
        <f t="shared" si="1"/>
        <v>0.75325903642808278</v>
      </c>
      <c r="S52" s="340">
        <v>59.081081081081081</v>
      </c>
    </row>
    <row r="53" spans="2:19" ht="15" customHeight="1" x14ac:dyDescent="0.35">
      <c r="B53" s="181">
        <v>89050</v>
      </c>
      <c r="C53" s="182" t="s">
        <v>933</v>
      </c>
      <c r="D53" s="183">
        <v>8</v>
      </c>
      <c r="E53" s="185" t="s">
        <v>1124</v>
      </c>
      <c r="F53" s="185" t="s">
        <v>1124</v>
      </c>
      <c r="G53" s="184" t="s">
        <v>1124</v>
      </c>
      <c r="H53" s="186"/>
      <c r="I53" s="185"/>
      <c r="J53" s="187"/>
      <c r="K53" s="188"/>
      <c r="L53" s="189"/>
      <c r="M53" s="185" t="s">
        <v>1124</v>
      </c>
      <c r="N53" s="189"/>
      <c r="O53" s="333"/>
      <c r="P53" s="333" t="s">
        <v>1124</v>
      </c>
      <c r="Q53" s="333" t="s">
        <v>1124</v>
      </c>
      <c r="R53" s="475" t="str">
        <f t="shared" si="1"/>
        <v/>
      </c>
      <c r="S53" s="340" t="s">
        <v>1124</v>
      </c>
    </row>
    <row r="54" spans="2:19" ht="15" customHeight="1" x14ac:dyDescent="0.35">
      <c r="B54" s="181">
        <v>85065</v>
      </c>
      <c r="C54" s="182" t="s">
        <v>881</v>
      </c>
      <c r="D54" s="183">
        <v>8</v>
      </c>
      <c r="E54" s="185" t="s">
        <v>1124</v>
      </c>
      <c r="F54" s="185" t="s">
        <v>1124</v>
      </c>
      <c r="G54" s="184" t="s">
        <v>1124</v>
      </c>
      <c r="H54" s="186"/>
      <c r="I54" s="185"/>
      <c r="J54" s="187"/>
      <c r="K54" s="188"/>
      <c r="L54" s="189"/>
      <c r="M54" s="185" t="s">
        <v>1124</v>
      </c>
      <c r="N54" s="189"/>
      <c r="O54" s="333"/>
      <c r="P54" s="333" t="s">
        <v>1124</v>
      </c>
      <c r="Q54" s="333" t="s">
        <v>1124</v>
      </c>
      <c r="R54" s="475" t="str">
        <f t="shared" si="1"/>
        <v/>
      </c>
      <c r="S54" s="340" t="s">
        <v>1124</v>
      </c>
    </row>
    <row r="55" spans="2:19" ht="15" customHeight="1" x14ac:dyDescent="0.35">
      <c r="B55" s="181">
        <v>57040</v>
      </c>
      <c r="C55" s="182" t="s">
        <v>588</v>
      </c>
      <c r="D55" s="183">
        <v>16</v>
      </c>
      <c r="E55" s="185">
        <v>330</v>
      </c>
      <c r="F55" s="185">
        <v>222</v>
      </c>
      <c r="G55" s="184" t="s">
        <v>1308</v>
      </c>
      <c r="H55" s="186">
        <v>1</v>
      </c>
      <c r="I55" s="185">
        <v>9716</v>
      </c>
      <c r="J55" s="187">
        <v>2.4769524213203349</v>
      </c>
      <c r="K55" s="188">
        <v>24066.069725548372</v>
      </c>
      <c r="L55" s="189">
        <v>144.858</v>
      </c>
      <c r="M55" s="185">
        <v>10000</v>
      </c>
      <c r="N55" s="189">
        <v>2896.31</v>
      </c>
      <c r="O55" s="333">
        <v>1949.2909999999999</v>
      </c>
      <c r="P55" s="333">
        <v>448.40795464912259</v>
      </c>
      <c r="Q55" s="333">
        <v>220.07398476</v>
      </c>
      <c r="R55" s="475">
        <f t="shared" si="1"/>
        <v>2.037532764893272</v>
      </c>
      <c r="S55" s="340">
        <v>58.868421052631575</v>
      </c>
    </row>
    <row r="56" spans="2:19" ht="15" customHeight="1" x14ac:dyDescent="0.35">
      <c r="B56" s="181">
        <v>88070</v>
      </c>
      <c r="C56" s="182" t="s">
        <v>923</v>
      </c>
      <c r="D56" s="183">
        <v>8</v>
      </c>
      <c r="E56" s="185" t="s">
        <v>1124</v>
      </c>
      <c r="F56" s="185" t="s">
        <v>1124</v>
      </c>
      <c r="G56" s="184" t="s">
        <v>1124</v>
      </c>
      <c r="H56" s="186"/>
      <c r="I56" s="185"/>
      <c r="J56" s="187"/>
      <c r="K56" s="188"/>
      <c r="L56" s="189"/>
      <c r="M56" s="185" t="s">
        <v>1124</v>
      </c>
      <c r="N56" s="189"/>
      <c r="O56" s="333"/>
      <c r="P56" s="333" t="s">
        <v>1124</v>
      </c>
      <c r="Q56" s="333" t="s">
        <v>1124</v>
      </c>
      <c r="R56" s="475" t="str">
        <f t="shared" si="1"/>
        <v/>
      </c>
      <c r="S56" s="340" t="s">
        <v>1124</v>
      </c>
    </row>
    <row r="57" spans="2:19" ht="15" customHeight="1" x14ac:dyDescent="0.35">
      <c r="B57" s="181">
        <v>18065</v>
      </c>
      <c r="C57" s="182" t="s">
        <v>116</v>
      </c>
      <c r="D57" s="183">
        <v>12</v>
      </c>
      <c r="E57" s="185">
        <v>247</v>
      </c>
      <c r="F57" s="185">
        <v>225</v>
      </c>
      <c r="G57" s="184" t="s">
        <v>1326</v>
      </c>
      <c r="H57" s="186">
        <v>1</v>
      </c>
      <c r="I57" s="185">
        <v>618</v>
      </c>
      <c r="J57" s="187">
        <v>2.0817369093231162</v>
      </c>
      <c r="K57" s="188">
        <v>1286.5134099616857</v>
      </c>
      <c r="L57" s="189">
        <v>12.993</v>
      </c>
      <c r="M57" s="185">
        <v>623</v>
      </c>
      <c r="N57" s="189">
        <v>116.09399999999999</v>
      </c>
      <c r="O57" s="333">
        <v>105.697</v>
      </c>
      <c r="P57" s="333">
        <v>4.6485899999999942</v>
      </c>
      <c r="Q57" s="333">
        <v>15.080923635000001</v>
      </c>
      <c r="R57" s="475">
        <f t="shared" si="1"/>
        <v>0.30824305675890346</v>
      </c>
      <c r="S57" s="340">
        <v>57.04651162790698</v>
      </c>
    </row>
    <row r="58" spans="2:19" ht="15" customHeight="1" x14ac:dyDescent="0.35">
      <c r="B58" s="181">
        <v>52035</v>
      </c>
      <c r="C58" s="182" t="s">
        <v>518</v>
      </c>
      <c r="D58" s="183">
        <v>14</v>
      </c>
      <c r="E58" s="185">
        <v>1187</v>
      </c>
      <c r="F58" s="185">
        <v>168</v>
      </c>
      <c r="G58" s="184" t="s">
        <v>1308</v>
      </c>
      <c r="H58" s="186">
        <v>1</v>
      </c>
      <c r="I58" s="185">
        <v>2314</v>
      </c>
      <c r="J58" s="187">
        <v>1.9013590530469093</v>
      </c>
      <c r="K58" s="188">
        <v>4399.744848750548</v>
      </c>
      <c r="L58" s="189">
        <v>31.074999999999999</v>
      </c>
      <c r="M58" s="185">
        <v>1371</v>
      </c>
      <c r="N58" s="189">
        <v>1906.3410000000001</v>
      </c>
      <c r="O58" s="333">
        <v>269.56156657107744</v>
      </c>
      <c r="P58" s="333">
        <v>299.91432928571453</v>
      </c>
      <c r="Q58" s="333">
        <v>35.270601979315494</v>
      </c>
      <c r="R58" s="475">
        <f t="shared" si="1"/>
        <v>8.5032381772672831</v>
      </c>
      <c r="S58" s="340">
        <v>55.689082016813927</v>
      </c>
    </row>
    <row r="59" spans="2:19" ht="15" customHeight="1" x14ac:dyDescent="0.35">
      <c r="B59" s="181">
        <v>48005</v>
      </c>
      <c r="C59" s="182" t="s">
        <v>456</v>
      </c>
      <c r="D59" s="183">
        <v>16</v>
      </c>
      <c r="E59" s="185" t="s">
        <v>1124</v>
      </c>
      <c r="F59" s="185" t="s">
        <v>1124</v>
      </c>
      <c r="G59" s="184" t="s">
        <v>1124</v>
      </c>
      <c r="H59" s="186"/>
      <c r="I59" s="185"/>
      <c r="J59" s="187"/>
      <c r="K59" s="188"/>
      <c r="L59" s="189"/>
      <c r="M59" s="185" t="s">
        <v>1124</v>
      </c>
      <c r="N59" s="189"/>
      <c r="O59" s="333"/>
      <c r="P59" s="333" t="s">
        <v>1124</v>
      </c>
      <c r="Q59" s="333" t="s">
        <v>1124</v>
      </c>
      <c r="R59" s="475" t="str">
        <f t="shared" si="1"/>
        <v/>
      </c>
      <c r="S59" s="340" t="s">
        <v>1124</v>
      </c>
    </row>
    <row r="60" spans="2:19" ht="15" customHeight="1" x14ac:dyDescent="0.35">
      <c r="B60" s="181">
        <v>13055</v>
      </c>
      <c r="C60" s="182" t="s">
        <v>50</v>
      </c>
      <c r="D60" s="183">
        <v>1</v>
      </c>
      <c r="E60" s="185">
        <v>393</v>
      </c>
      <c r="F60" s="185">
        <v>179</v>
      </c>
      <c r="G60" s="184" t="s">
        <v>1308</v>
      </c>
      <c r="H60" s="186">
        <v>1</v>
      </c>
      <c r="I60" s="185">
        <v>147</v>
      </c>
      <c r="J60" s="187">
        <v>1.7800000000000002</v>
      </c>
      <c r="K60" s="188">
        <v>261.66000000000003</v>
      </c>
      <c r="L60" s="189">
        <v>5.5049999999999999</v>
      </c>
      <c r="M60" s="185">
        <v>139</v>
      </c>
      <c r="N60" s="189">
        <v>37.488</v>
      </c>
      <c r="O60" s="333">
        <v>17.094386503067483</v>
      </c>
      <c r="P60" s="333">
        <v>17.970680000000002</v>
      </c>
      <c r="Q60" s="333">
        <v>3.4309756435500005</v>
      </c>
      <c r="R60" s="475">
        <f t="shared" si="1"/>
        <v>5.237775451359922</v>
      </c>
      <c r="S60" s="340">
        <v>59.081081081081088</v>
      </c>
    </row>
    <row r="61" spans="2:19" ht="15" customHeight="1" x14ac:dyDescent="0.35">
      <c r="B61" s="181">
        <v>73015</v>
      </c>
      <c r="C61" s="182" t="s">
        <v>736</v>
      </c>
      <c r="D61" s="183">
        <v>15</v>
      </c>
      <c r="E61" s="185">
        <v>360</v>
      </c>
      <c r="F61" s="185">
        <v>185</v>
      </c>
      <c r="G61" s="184" t="s">
        <v>1308</v>
      </c>
      <c r="H61" s="186">
        <v>1</v>
      </c>
      <c r="I61" s="185">
        <v>21970</v>
      </c>
      <c r="J61" s="187">
        <v>2.7123805188893946</v>
      </c>
      <c r="K61" s="188">
        <v>59591</v>
      </c>
      <c r="L61" s="189">
        <v>276.27</v>
      </c>
      <c r="M61" s="185">
        <v>22045</v>
      </c>
      <c r="N61" s="189">
        <v>7825.6360000000004</v>
      </c>
      <c r="O61" s="333">
        <v>4024.7672478586483</v>
      </c>
      <c r="P61" s="333">
        <v>2339.9999166494854</v>
      </c>
      <c r="Q61" s="333">
        <v>431.08128629999999</v>
      </c>
      <c r="R61" s="475">
        <f t="shared" si="1"/>
        <v>5.4282103886574706</v>
      </c>
      <c r="S61" s="340">
        <v>59.666666666666664</v>
      </c>
    </row>
    <row r="62" spans="2:19" ht="15" customHeight="1" x14ac:dyDescent="0.35">
      <c r="B62" s="181">
        <v>98005</v>
      </c>
      <c r="C62" s="182" t="s">
        <v>1006</v>
      </c>
      <c r="D62" s="183">
        <v>9</v>
      </c>
      <c r="E62" s="185" t="s">
        <v>1124</v>
      </c>
      <c r="F62" s="185" t="s">
        <v>1124</v>
      </c>
      <c r="G62" s="184" t="s">
        <v>1124</v>
      </c>
      <c r="H62" s="186"/>
      <c r="I62" s="185"/>
      <c r="J62" s="187"/>
      <c r="K62" s="188"/>
      <c r="L62" s="189"/>
      <c r="M62" s="185" t="s">
        <v>1124</v>
      </c>
      <c r="N62" s="189"/>
      <c r="O62" s="333"/>
      <c r="P62" s="333" t="s">
        <v>1124</v>
      </c>
      <c r="Q62" s="333" t="s">
        <v>1124</v>
      </c>
      <c r="R62" s="475" t="str">
        <f t="shared" si="1"/>
        <v/>
      </c>
      <c r="S62" s="340" t="s">
        <v>1124</v>
      </c>
    </row>
    <row r="63" spans="2:19" ht="15" customHeight="1" x14ac:dyDescent="0.35">
      <c r="B63" s="181">
        <v>83045</v>
      </c>
      <c r="C63" s="182" t="s">
        <v>841</v>
      </c>
      <c r="D63" s="183">
        <v>7</v>
      </c>
      <c r="E63" s="185" t="s">
        <v>1124</v>
      </c>
      <c r="F63" s="185" t="s">
        <v>1124</v>
      </c>
      <c r="G63" s="184" t="s">
        <v>1124</v>
      </c>
      <c r="H63" s="186"/>
      <c r="I63" s="185"/>
      <c r="J63" s="187"/>
      <c r="K63" s="188"/>
      <c r="L63" s="189"/>
      <c r="M63" s="185" t="s">
        <v>1124</v>
      </c>
      <c r="N63" s="189"/>
      <c r="O63" s="333"/>
      <c r="P63" s="333" t="s">
        <v>1124</v>
      </c>
      <c r="Q63" s="333" t="s">
        <v>1124</v>
      </c>
      <c r="R63" s="475" t="str">
        <f t="shared" si="1"/>
        <v/>
      </c>
      <c r="S63" s="340" t="s">
        <v>1124</v>
      </c>
    </row>
    <row r="64" spans="2:19" ht="15" customHeight="1" x14ac:dyDescent="0.35">
      <c r="B64" s="181">
        <v>80115</v>
      </c>
      <c r="C64" s="182" t="s">
        <v>821</v>
      </c>
      <c r="D64" s="183">
        <v>7</v>
      </c>
      <c r="E64" s="185" t="s">
        <v>1124</v>
      </c>
      <c r="F64" s="185" t="s">
        <v>1124</v>
      </c>
      <c r="G64" s="184" t="s">
        <v>1124</v>
      </c>
      <c r="H64" s="186"/>
      <c r="I64" s="185"/>
      <c r="J64" s="187"/>
      <c r="K64" s="188"/>
      <c r="L64" s="189"/>
      <c r="M64" s="185" t="s">
        <v>1124</v>
      </c>
      <c r="N64" s="189"/>
      <c r="O64" s="333"/>
      <c r="P64" s="333" t="s">
        <v>1124</v>
      </c>
      <c r="Q64" s="333" t="s">
        <v>1124</v>
      </c>
      <c r="R64" s="475" t="str">
        <f t="shared" si="1"/>
        <v/>
      </c>
      <c r="S64" s="340" t="s">
        <v>1124</v>
      </c>
    </row>
    <row r="65" spans="2:19" ht="15" customHeight="1" x14ac:dyDescent="0.35">
      <c r="B65" s="181">
        <v>73005</v>
      </c>
      <c r="C65" s="182" t="s">
        <v>734</v>
      </c>
      <c r="D65" s="183">
        <v>15</v>
      </c>
      <c r="E65" s="185">
        <v>469</v>
      </c>
      <c r="F65" s="185">
        <v>176</v>
      </c>
      <c r="G65" s="184" t="s">
        <v>1308</v>
      </c>
      <c r="H65" s="186">
        <v>1</v>
      </c>
      <c r="I65" s="185">
        <v>11282</v>
      </c>
      <c r="J65" s="187">
        <v>2.5033815517565281</v>
      </c>
      <c r="K65" s="188">
        <v>28243.15066691715</v>
      </c>
      <c r="L65" s="189">
        <v>128.02699999999999</v>
      </c>
      <c r="M65" s="185">
        <v>8489</v>
      </c>
      <c r="N65" s="189">
        <v>4831.46</v>
      </c>
      <c r="O65" s="333">
        <v>1812.93388</v>
      </c>
      <c r="P65" s="333">
        <v>1190.2303812727566</v>
      </c>
      <c r="Q65" s="333">
        <v>216.28097484000006</v>
      </c>
      <c r="R65" s="475">
        <f t="shared" si="1"/>
        <v>5.5031672672701015</v>
      </c>
      <c r="S65" s="340">
        <v>74</v>
      </c>
    </row>
    <row r="66" spans="2:19" ht="15" customHeight="1" x14ac:dyDescent="0.35">
      <c r="B66" s="181">
        <v>21045</v>
      </c>
      <c r="C66" s="182" t="s">
        <v>152</v>
      </c>
      <c r="D66" s="183">
        <v>3</v>
      </c>
      <c r="E66" s="185">
        <v>249</v>
      </c>
      <c r="F66" s="185">
        <v>199</v>
      </c>
      <c r="G66" s="184" t="s">
        <v>1308</v>
      </c>
      <c r="H66" s="186">
        <v>1</v>
      </c>
      <c r="I66" s="185">
        <v>3211</v>
      </c>
      <c r="J66" s="187">
        <v>2.6765299260255548</v>
      </c>
      <c r="K66" s="188">
        <v>8594.3375924680568</v>
      </c>
      <c r="L66" s="189">
        <v>46.9</v>
      </c>
      <c r="M66" s="185">
        <v>2906</v>
      </c>
      <c r="N66" s="189">
        <v>781.44800000000009</v>
      </c>
      <c r="O66" s="333">
        <v>625.55993243656383</v>
      </c>
      <c r="P66" s="333">
        <v>132.47728000000006</v>
      </c>
      <c r="Q66" s="333">
        <v>78.947310000000002</v>
      </c>
      <c r="R66" s="475">
        <f t="shared" si="1"/>
        <v>1.6780467884212908</v>
      </c>
      <c r="S66" s="340">
        <v>45.608108108108112</v>
      </c>
    </row>
    <row r="67" spans="2:19" ht="15" customHeight="1" x14ac:dyDescent="0.35">
      <c r="B67" s="181">
        <v>73030</v>
      </c>
      <c r="C67" s="182" t="s">
        <v>739</v>
      </c>
      <c r="D67" s="183">
        <v>15</v>
      </c>
      <c r="E67" s="185">
        <v>292</v>
      </c>
      <c r="F67" s="185">
        <v>163</v>
      </c>
      <c r="G67" s="184" t="s">
        <v>1308</v>
      </c>
      <c r="H67" s="186">
        <v>2</v>
      </c>
      <c r="I67" s="185">
        <v>4533</v>
      </c>
      <c r="J67" s="187">
        <v>2.338702036949313</v>
      </c>
      <c r="K67" s="188">
        <v>10601.336333491236</v>
      </c>
      <c r="L67" s="189">
        <v>46.919000000000004</v>
      </c>
      <c r="M67" s="185">
        <v>3076</v>
      </c>
      <c r="N67" s="189">
        <v>1128.019</v>
      </c>
      <c r="O67" s="333">
        <v>631.17424747303505</v>
      </c>
      <c r="P67" s="333">
        <v>322.365127408163</v>
      </c>
      <c r="Q67" s="333">
        <v>73.292921873199987</v>
      </c>
      <c r="R67" s="475">
        <f t="shared" si="1"/>
        <v>4.3983118583520113</v>
      </c>
      <c r="S67" s="340">
        <v>61.179824561403507</v>
      </c>
    </row>
    <row r="68" spans="2:19" ht="15" customHeight="1" x14ac:dyDescent="0.35">
      <c r="B68" s="181">
        <v>83085</v>
      </c>
      <c r="C68" s="182" t="s">
        <v>848</v>
      </c>
      <c r="D68" s="183">
        <v>7</v>
      </c>
      <c r="E68" s="185" t="s">
        <v>1124</v>
      </c>
      <c r="F68" s="185" t="s">
        <v>1124</v>
      </c>
      <c r="G68" s="184" t="s">
        <v>1124</v>
      </c>
      <c r="H68" s="186"/>
      <c r="I68" s="185"/>
      <c r="J68" s="187"/>
      <c r="K68" s="188"/>
      <c r="L68" s="189"/>
      <c r="M68" s="185" t="s">
        <v>1124</v>
      </c>
      <c r="N68" s="189"/>
      <c r="O68" s="333"/>
      <c r="P68" s="333" t="s">
        <v>1124</v>
      </c>
      <c r="Q68" s="333" t="s">
        <v>1124</v>
      </c>
      <c r="R68" s="475" t="str">
        <f t="shared" si="1"/>
        <v/>
      </c>
      <c r="S68" s="340" t="s">
        <v>1124</v>
      </c>
    </row>
    <row r="69" spans="2:19" ht="15" customHeight="1" x14ac:dyDescent="0.35">
      <c r="B69" s="181">
        <v>45095</v>
      </c>
      <c r="C69" s="182" t="s">
        <v>423</v>
      </c>
      <c r="D69" s="183">
        <v>5</v>
      </c>
      <c r="E69" s="185" t="s">
        <v>1124</v>
      </c>
      <c r="F69" s="185" t="s">
        <v>1124</v>
      </c>
      <c r="G69" s="184" t="s">
        <v>1124</v>
      </c>
      <c r="H69" s="186"/>
      <c r="I69" s="185"/>
      <c r="J69" s="187"/>
      <c r="K69" s="188"/>
      <c r="L69" s="189"/>
      <c r="M69" s="185" t="s">
        <v>1124</v>
      </c>
      <c r="N69" s="189"/>
      <c r="O69" s="333"/>
      <c r="P69" s="333" t="s">
        <v>1124</v>
      </c>
      <c r="Q69" s="333" t="s">
        <v>1124</v>
      </c>
      <c r="R69" s="475" t="str">
        <f t="shared" si="1"/>
        <v/>
      </c>
      <c r="S69" s="340" t="s">
        <v>1124</v>
      </c>
    </row>
    <row r="70" spans="2:19" ht="15" customHeight="1" x14ac:dyDescent="0.35">
      <c r="B70" s="181">
        <v>46065</v>
      </c>
      <c r="C70" s="182" t="s">
        <v>437</v>
      </c>
      <c r="D70" s="183">
        <v>5</v>
      </c>
      <c r="E70" s="185" t="s">
        <v>1124</v>
      </c>
      <c r="F70" s="185" t="s">
        <v>1124</v>
      </c>
      <c r="G70" s="184" t="s">
        <v>1124</v>
      </c>
      <c r="H70" s="186"/>
      <c r="I70" s="185"/>
      <c r="J70" s="187"/>
      <c r="K70" s="188"/>
      <c r="L70" s="189"/>
      <c r="M70" s="185" t="s">
        <v>1124</v>
      </c>
      <c r="N70" s="189"/>
      <c r="O70" s="333"/>
      <c r="P70" s="333" t="s">
        <v>1124</v>
      </c>
      <c r="Q70" s="333" t="s">
        <v>1124</v>
      </c>
      <c r="R70" s="475" t="str">
        <f t="shared" si="1"/>
        <v/>
      </c>
      <c r="S70" s="340" t="s">
        <v>1124</v>
      </c>
    </row>
    <row r="71" spans="2:19" ht="15" customHeight="1" x14ac:dyDescent="0.35">
      <c r="B71" s="181">
        <v>5045</v>
      </c>
      <c r="C71" s="182" t="s">
        <v>1050</v>
      </c>
      <c r="D71" s="183">
        <v>11</v>
      </c>
      <c r="E71" s="185">
        <v>477</v>
      </c>
      <c r="F71" s="185">
        <v>381</v>
      </c>
      <c r="G71" s="184" t="s">
        <v>1308</v>
      </c>
      <c r="H71" s="186">
        <v>1</v>
      </c>
      <c r="I71" s="185">
        <v>836</v>
      </c>
      <c r="J71" s="187">
        <v>2.1073359073359073</v>
      </c>
      <c r="K71" s="188">
        <v>1761.7328185328186</v>
      </c>
      <c r="L71" s="189">
        <v>23.715</v>
      </c>
      <c r="M71" s="185">
        <v>894</v>
      </c>
      <c r="N71" s="189">
        <v>306.517</v>
      </c>
      <c r="O71" s="333">
        <v>245.0709145945946</v>
      </c>
      <c r="P71" s="333">
        <v>30.758245000000009</v>
      </c>
      <c r="Q71" s="333">
        <v>28.686599759999996</v>
      </c>
      <c r="R71" s="475">
        <f t="shared" ref="R71:R134" si="2">IF(H71="","",P71/Q71)</f>
        <v>1.0722164793782452</v>
      </c>
      <c r="S71" s="340">
        <v>59.081081081081081</v>
      </c>
    </row>
    <row r="72" spans="2:19" ht="15" customHeight="1" x14ac:dyDescent="0.35">
      <c r="B72" s="181">
        <v>98010</v>
      </c>
      <c r="C72" s="182" t="s">
        <v>1007</v>
      </c>
      <c r="D72" s="183">
        <v>9</v>
      </c>
      <c r="E72" s="185" t="s">
        <v>1124</v>
      </c>
      <c r="F72" s="185" t="s">
        <v>1124</v>
      </c>
      <c r="G72" s="184" t="s">
        <v>1124</v>
      </c>
      <c r="H72" s="186"/>
      <c r="I72" s="185"/>
      <c r="J72" s="187"/>
      <c r="K72" s="188"/>
      <c r="L72" s="189"/>
      <c r="M72" s="185" t="s">
        <v>1124</v>
      </c>
      <c r="N72" s="189"/>
      <c r="O72" s="333"/>
      <c r="P72" s="333" t="s">
        <v>1124</v>
      </c>
      <c r="Q72" s="333" t="s">
        <v>1124</v>
      </c>
      <c r="R72" s="475" t="str">
        <f t="shared" si="2"/>
        <v/>
      </c>
      <c r="S72" s="340" t="s">
        <v>1124</v>
      </c>
    </row>
    <row r="73" spans="2:19" ht="15" customHeight="1" x14ac:dyDescent="0.35">
      <c r="B73" s="181">
        <v>42040</v>
      </c>
      <c r="C73" s="182" t="s">
        <v>383</v>
      </c>
      <c r="D73" s="183">
        <v>5</v>
      </c>
      <c r="E73" s="185">
        <v>230</v>
      </c>
      <c r="F73" s="185">
        <v>181</v>
      </c>
      <c r="G73" s="184" t="s">
        <v>1308</v>
      </c>
      <c r="H73" s="186">
        <v>1</v>
      </c>
      <c r="I73" s="185">
        <v>141</v>
      </c>
      <c r="J73" s="187">
        <v>2.1419141914191417</v>
      </c>
      <c r="K73" s="188">
        <v>302.00990099009897</v>
      </c>
      <c r="L73" s="189">
        <v>9.7539999999999996</v>
      </c>
      <c r="M73" s="185">
        <v>118</v>
      </c>
      <c r="N73" s="189">
        <v>25.390999999999998</v>
      </c>
      <c r="O73" s="333">
        <v>19.988838726708071</v>
      </c>
      <c r="P73" s="333">
        <v>2.1859999999999999</v>
      </c>
      <c r="Q73" s="333">
        <v>5.5528098239999988</v>
      </c>
      <c r="R73" s="475">
        <f t="shared" si="2"/>
        <v>0.39367456644234616</v>
      </c>
      <c r="S73" s="340">
        <v>64</v>
      </c>
    </row>
    <row r="74" spans="2:19" ht="15" customHeight="1" x14ac:dyDescent="0.35">
      <c r="B74" s="181">
        <v>58033</v>
      </c>
      <c r="C74" s="182" t="s">
        <v>596</v>
      </c>
      <c r="D74" s="183">
        <v>16</v>
      </c>
      <c r="E74" s="185" t="s">
        <v>1124</v>
      </c>
      <c r="F74" s="185" t="s">
        <v>1124</v>
      </c>
      <c r="G74" s="184" t="s">
        <v>1124</v>
      </c>
      <c r="H74" s="186"/>
      <c r="I74" s="185"/>
      <c r="J74" s="187"/>
      <c r="K74" s="188"/>
      <c r="L74" s="189"/>
      <c r="M74" s="185" t="s">
        <v>1124</v>
      </c>
      <c r="N74" s="189"/>
      <c r="O74" s="333"/>
      <c r="P74" s="333" t="s">
        <v>1124</v>
      </c>
      <c r="Q74" s="333" t="s">
        <v>1124</v>
      </c>
      <c r="R74" s="475" t="str">
        <f t="shared" si="2"/>
        <v/>
      </c>
      <c r="S74" s="340" t="s">
        <v>1124</v>
      </c>
    </row>
    <row r="75" spans="2:19" ht="15" customHeight="1" x14ac:dyDescent="0.35">
      <c r="B75" s="181">
        <v>83050</v>
      </c>
      <c r="C75" s="182" t="s">
        <v>842</v>
      </c>
      <c r="D75" s="183">
        <v>7</v>
      </c>
      <c r="E75" s="185" t="s">
        <v>1124</v>
      </c>
      <c r="F75" s="185" t="s">
        <v>1124</v>
      </c>
      <c r="G75" s="184" t="s">
        <v>1124</v>
      </c>
      <c r="H75" s="186"/>
      <c r="I75" s="185"/>
      <c r="J75" s="187"/>
      <c r="K75" s="188"/>
      <c r="L75" s="189"/>
      <c r="M75" s="185" t="s">
        <v>1124</v>
      </c>
      <c r="N75" s="189"/>
      <c r="O75" s="333"/>
      <c r="P75" s="333" t="s">
        <v>1124</v>
      </c>
      <c r="Q75" s="333" t="s">
        <v>1124</v>
      </c>
      <c r="R75" s="475" t="str">
        <f t="shared" si="2"/>
        <v/>
      </c>
      <c r="S75" s="340" t="s">
        <v>1124</v>
      </c>
    </row>
    <row r="76" spans="2:19" ht="15" customHeight="1" x14ac:dyDescent="0.35">
      <c r="B76" s="181">
        <v>80145</v>
      </c>
      <c r="C76" s="182" t="s">
        <v>826</v>
      </c>
      <c r="D76" s="183">
        <v>7</v>
      </c>
      <c r="E76" s="185" t="s">
        <v>1124</v>
      </c>
      <c r="F76" s="185" t="s">
        <v>1124</v>
      </c>
      <c r="G76" s="184" t="s">
        <v>1124</v>
      </c>
      <c r="H76" s="186"/>
      <c r="I76" s="185"/>
      <c r="J76" s="187"/>
      <c r="K76" s="188"/>
      <c r="L76" s="189"/>
      <c r="M76" s="185" t="s">
        <v>1124</v>
      </c>
      <c r="N76" s="189"/>
      <c r="O76" s="333"/>
      <c r="P76" s="333" t="s">
        <v>1124</v>
      </c>
      <c r="Q76" s="333" t="s">
        <v>1124</v>
      </c>
      <c r="R76" s="475" t="str">
        <f t="shared" si="2"/>
        <v/>
      </c>
      <c r="S76" s="340" t="s">
        <v>1124</v>
      </c>
    </row>
    <row r="77" spans="2:19" ht="15" customHeight="1" x14ac:dyDescent="0.35">
      <c r="B77" s="181">
        <v>78075</v>
      </c>
      <c r="C77" s="182" t="s">
        <v>778</v>
      </c>
      <c r="D77" s="183">
        <v>15</v>
      </c>
      <c r="E77" s="185">
        <v>289</v>
      </c>
      <c r="F77" s="185">
        <v>206</v>
      </c>
      <c r="G77" s="184" t="s">
        <v>1308</v>
      </c>
      <c r="H77" s="186">
        <v>1</v>
      </c>
      <c r="I77" s="185">
        <v>402</v>
      </c>
      <c r="J77" s="187">
        <v>2.14</v>
      </c>
      <c r="K77" s="188">
        <v>860.28000000000009</v>
      </c>
      <c r="L77" s="189">
        <v>12.085000000000001</v>
      </c>
      <c r="M77" s="185">
        <v>344</v>
      </c>
      <c r="N77" s="189">
        <v>90.727999999999994</v>
      </c>
      <c r="O77" s="333">
        <v>64.678409638554214</v>
      </c>
      <c r="P77" s="333">
        <v>15.370246666666663</v>
      </c>
      <c r="Q77" s="333">
        <v>15.885201500000001</v>
      </c>
      <c r="R77" s="475">
        <f t="shared" si="2"/>
        <v>0.96758273205830359</v>
      </c>
      <c r="S77" s="340">
        <v>58.554054054054063</v>
      </c>
    </row>
    <row r="78" spans="2:19" ht="15" customHeight="1" x14ac:dyDescent="0.35">
      <c r="B78" s="181">
        <v>46090</v>
      </c>
      <c r="C78" s="182" t="s">
        <v>443</v>
      </c>
      <c r="D78" s="183">
        <v>5</v>
      </c>
      <c r="E78" s="185" t="s">
        <v>1124</v>
      </c>
      <c r="F78" s="185" t="s">
        <v>1124</v>
      </c>
      <c r="G78" s="184" t="s">
        <v>1124</v>
      </c>
      <c r="H78" s="186"/>
      <c r="I78" s="185"/>
      <c r="J78" s="187"/>
      <c r="K78" s="188"/>
      <c r="L78" s="189"/>
      <c r="M78" s="185" t="s">
        <v>1124</v>
      </c>
      <c r="N78" s="189"/>
      <c r="O78" s="333"/>
      <c r="P78" s="333" t="s">
        <v>1124</v>
      </c>
      <c r="Q78" s="333" t="s">
        <v>1124</v>
      </c>
      <c r="R78" s="475" t="str">
        <f t="shared" si="2"/>
        <v/>
      </c>
      <c r="S78" s="340" t="s">
        <v>1124</v>
      </c>
    </row>
    <row r="79" spans="2:19" ht="15" customHeight="1" x14ac:dyDescent="0.35">
      <c r="B79" s="181">
        <v>84005</v>
      </c>
      <c r="C79" s="182" t="s">
        <v>852</v>
      </c>
      <c r="D79" s="183">
        <v>7</v>
      </c>
      <c r="E79" s="185" t="s">
        <v>1124</v>
      </c>
      <c r="F79" s="185" t="s">
        <v>1124</v>
      </c>
      <c r="G79" s="184" t="s">
        <v>1124</v>
      </c>
      <c r="H79" s="186"/>
      <c r="I79" s="185"/>
      <c r="J79" s="187"/>
      <c r="K79" s="188"/>
      <c r="L79" s="189"/>
      <c r="M79" s="185" t="s">
        <v>1124</v>
      </c>
      <c r="N79" s="189"/>
      <c r="O79" s="333"/>
      <c r="P79" s="333" t="s">
        <v>1124</v>
      </c>
      <c r="Q79" s="333" t="s">
        <v>1124</v>
      </c>
      <c r="R79" s="475" t="str">
        <f t="shared" si="2"/>
        <v/>
      </c>
      <c r="S79" s="340" t="s">
        <v>1124</v>
      </c>
    </row>
    <row r="80" spans="2:19" ht="15" customHeight="1" x14ac:dyDescent="0.35">
      <c r="B80" s="181">
        <v>46070</v>
      </c>
      <c r="C80" s="182" t="s">
        <v>438</v>
      </c>
      <c r="D80" s="183">
        <v>5</v>
      </c>
      <c r="E80" s="185" t="s">
        <v>1124</v>
      </c>
      <c r="F80" s="185" t="s">
        <v>1124</v>
      </c>
      <c r="G80" s="184" t="s">
        <v>1124</v>
      </c>
      <c r="H80" s="186"/>
      <c r="I80" s="185"/>
      <c r="J80" s="187"/>
      <c r="K80" s="188"/>
      <c r="L80" s="189"/>
      <c r="M80" s="185" t="s">
        <v>1124</v>
      </c>
      <c r="N80" s="189"/>
      <c r="O80" s="333"/>
      <c r="P80" s="333" t="s">
        <v>1124</v>
      </c>
      <c r="Q80" s="333" t="s">
        <v>1124</v>
      </c>
      <c r="R80" s="475" t="str">
        <f t="shared" si="2"/>
        <v/>
      </c>
      <c r="S80" s="340" t="s">
        <v>1124</v>
      </c>
    </row>
    <row r="81" spans="2:19" ht="15" customHeight="1" x14ac:dyDescent="0.35">
      <c r="B81" s="181">
        <v>46078</v>
      </c>
      <c r="C81" s="182" t="s">
        <v>440</v>
      </c>
      <c r="D81" s="183">
        <v>5</v>
      </c>
      <c r="E81" s="185">
        <v>731</v>
      </c>
      <c r="F81" s="185">
        <v>355</v>
      </c>
      <c r="G81" s="184" t="s">
        <v>1308</v>
      </c>
      <c r="H81" s="186">
        <v>1</v>
      </c>
      <c r="I81" s="185">
        <v>3832</v>
      </c>
      <c r="J81" s="187">
        <v>1.9981681253816406</v>
      </c>
      <c r="K81" s="188">
        <v>7656.980256462447</v>
      </c>
      <c r="L81" s="189">
        <v>117.26300000000001</v>
      </c>
      <c r="M81" s="185">
        <v>2720</v>
      </c>
      <c r="N81" s="189">
        <v>2042.386</v>
      </c>
      <c r="O81" s="333">
        <v>991.89499999999998</v>
      </c>
      <c r="P81" s="333">
        <v>99.115475051020297</v>
      </c>
      <c r="Q81" s="333">
        <v>88.015153482000017</v>
      </c>
      <c r="R81" s="475">
        <f t="shared" si="2"/>
        <v>1.1261183004275555</v>
      </c>
      <c r="S81" s="340">
        <v>64.114035087719316</v>
      </c>
    </row>
    <row r="82" spans="2:19" ht="15" customHeight="1" x14ac:dyDescent="0.35">
      <c r="B82" s="181">
        <v>58007</v>
      </c>
      <c r="C82" s="182" t="s">
        <v>594</v>
      </c>
      <c r="D82" s="183">
        <v>16</v>
      </c>
      <c r="E82" s="185">
        <v>330</v>
      </c>
      <c r="F82" s="185">
        <v>181</v>
      </c>
      <c r="G82" s="184" t="s">
        <v>1326</v>
      </c>
      <c r="H82" s="186">
        <v>1</v>
      </c>
      <c r="I82" s="185">
        <v>35494</v>
      </c>
      <c r="J82" s="187">
        <v>2.5051736357193479</v>
      </c>
      <c r="K82" s="188">
        <v>88918.633026222538</v>
      </c>
      <c r="L82" s="189">
        <v>355</v>
      </c>
      <c r="M82" s="185">
        <v>23428</v>
      </c>
      <c r="N82" s="189">
        <v>10698.615384615385</v>
      </c>
      <c r="O82" s="333">
        <v>5884.4129999999996</v>
      </c>
      <c r="P82" s="333">
        <v>2316.2511406882581</v>
      </c>
      <c r="Q82" s="333">
        <v>398.69299999999998</v>
      </c>
      <c r="R82" s="475">
        <f t="shared" si="2"/>
        <v>5.8096107548621578</v>
      </c>
      <c r="S82" s="340">
        <v>71.799856527977056</v>
      </c>
    </row>
    <row r="83" spans="2:19" ht="15" customHeight="1" x14ac:dyDescent="0.35">
      <c r="B83" s="181">
        <v>76043</v>
      </c>
      <c r="C83" s="182" t="s">
        <v>752</v>
      </c>
      <c r="D83" s="183">
        <v>15</v>
      </c>
      <c r="E83" s="185">
        <v>509</v>
      </c>
      <c r="F83" s="185">
        <v>184</v>
      </c>
      <c r="G83" s="184" t="s">
        <v>1308</v>
      </c>
      <c r="H83" s="186">
        <v>2</v>
      </c>
      <c r="I83" s="185">
        <v>1725</v>
      </c>
      <c r="J83" s="187">
        <v>2.1878639690055963</v>
      </c>
      <c r="K83" s="188">
        <v>3774.0653465346536</v>
      </c>
      <c r="L83" s="189">
        <v>36.809000000000005</v>
      </c>
      <c r="M83" s="185">
        <v>1802</v>
      </c>
      <c r="N83" s="189">
        <v>701.64400000000001</v>
      </c>
      <c r="O83" s="333">
        <v>253.07910585343373</v>
      </c>
      <c r="P83" s="333">
        <v>260.98284306122451</v>
      </c>
      <c r="Q83" s="333">
        <v>45.874767784500008</v>
      </c>
      <c r="R83" s="475">
        <f t="shared" si="2"/>
        <v>5.6890281011821147</v>
      </c>
      <c r="S83" s="340">
        <v>52.220588235294116</v>
      </c>
    </row>
    <row r="84" spans="2:19" ht="15" customHeight="1" x14ac:dyDescent="0.35">
      <c r="B84" s="181">
        <v>84025</v>
      </c>
      <c r="C84" s="182" t="s">
        <v>856</v>
      </c>
      <c r="D84" s="183">
        <v>7</v>
      </c>
      <c r="E84" s="185" t="s">
        <v>1124</v>
      </c>
      <c r="F84" s="185" t="s">
        <v>1124</v>
      </c>
      <c r="G84" s="184" t="s">
        <v>1124</v>
      </c>
      <c r="H84" s="186"/>
      <c r="I84" s="185"/>
      <c r="J84" s="187"/>
      <c r="K84" s="188"/>
      <c r="L84" s="189"/>
      <c r="M84" s="185" t="s">
        <v>1124</v>
      </c>
      <c r="N84" s="189"/>
      <c r="O84" s="333"/>
      <c r="P84" s="333" t="s">
        <v>1124</v>
      </c>
      <c r="Q84" s="333" t="s">
        <v>1124</v>
      </c>
      <c r="R84" s="475" t="str">
        <f t="shared" si="2"/>
        <v/>
      </c>
      <c r="S84" s="340" t="s">
        <v>1124</v>
      </c>
    </row>
    <row r="85" spans="2:19" ht="15" customHeight="1" x14ac:dyDescent="0.35">
      <c r="B85" s="181">
        <v>41070</v>
      </c>
      <c r="C85" s="182" t="s">
        <v>373</v>
      </c>
      <c r="D85" s="183">
        <v>5</v>
      </c>
      <c r="E85" s="185" t="s">
        <v>1124</v>
      </c>
      <c r="F85" s="185" t="s">
        <v>1124</v>
      </c>
      <c r="G85" s="184" t="s">
        <v>1124</v>
      </c>
      <c r="H85" s="186"/>
      <c r="I85" s="185"/>
      <c r="J85" s="187"/>
      <c r="K85" s="188"/>
      <c r="L85" s="189"/>
      <c r="M85" s="185" t="s">
        <v>1124</v>
      </c>
      <c r="N85" s="189"/>
      <c r="O85" s="333"/>
      <c r="P85" s="333" t="s">
        <v>1124</v>
      </c>
      <c r="Q85" s="333" t="s">
        <v>1124</v>
      </c>
      <c r="R85" s="475" t="str">
        <f t="shared" si="2"/>
        <v/>
      </c>
      <c r="S85" s="340" t="s">
        <v>1124</v>
      </c>
    </row>
    <row r="86" spans="2:19" ht="15" customHeight="1" x14ac:dyDescent="0.35">
      <c r="B86" s="181">
        <v>12057</v>
      </c>
      <c r="C86" s="182" t="s">
        <v>37</v>
      </c>
      <c r="D86" s="183">
        <v>1</v>
      </c>
      <c r="E86" s="185">
        <v>310</v>
      </c>
      <c r="F86" s="185">
        <v>225</v>
      </c>
      <c r="G86" s="184" t="s">
        <v>1308</v>
      </c>
      <c r="H86" s="186">
        <v>1</v>
      </c>
      <c r="I86" s="185">
        <v>592</v>
      </c>
      <c r="J86" s="187">
        <v>1.9518716577540107</v>
      </c>
      <c r="K86" s="188">
        <v>1155.5080213903743</v>
      </c>
      <c r="L86" s="189">
        <v>18.786999999999999</v>
      </c>
      <c r="M86" s="185">
        <v>672</v>
      </c>
      <c r="N86" s="189">
        <v>130.94</v>
      </c>
      <c r="O86" s="333">
        <v>94.706999999999994</v>
      </c>
      <c r="P86" s="333">
        <v>10.324071785714278</v>
      </c>
      <c r="Q86" s="333">
        <v>20.170094910000003</v>
      </c>
      <c r="R86" s="475">
        <f t="shared" si="2"/>
        <v>0.51185043163063015</v>
      </c>
      <c r="S86" s="340">
        <v>68.843137254901976</v>
      </c>
    </row>
    <row r="87" spans="2:19" ht="15" customHeight="1" x14ac:dyDescent="0.35">
      <c r="B87" s="181">
        <v>59030</v>
      </c>
      <c r="C87" s="182" t="s">
        <v>603</v>
      </c>
      <c r="D87" s="183">
        <v>16</v>
      </c>
      <c r="E87" s="185">
        <v>266</v>
      </c>
      <c r="F87" s="185">
        <v>116</v>
      </c>
      <c r="G87" s="184" t="s">
        <v>1308</v>
      </c>
      <c r="H87" s="186">
        <v>1</v>
      </c>
      <c r="I87" s="185">
        <v>200</v>
      </c>
      <c r="J87" s="187">
        <v>2.4905660377358489</v>
      </c>
      <c r="K87" s="188">
        <v>498.11320754716979</v>
      </c>
      <c r="L87" s="189">
        <v>20.150000000000002</v>
      </c>
      <c r="M87" s="185">
        <v>221</v>
      </c>
      <c r="N87" s="189">
        <v>48.362000000000002</v>
      </c>
      <c r="O87" s="333">
        <v>21.021000000000001</v>
      </c>
      <c r="P87" s="333">
        <v>25.132695408163265</v>
      </c>
      <c r="Q87" s="333">
        <v>11.835406050000001</v>
      </c>
      <c r="R87" s="475">
        <f t="shared" si="2"/>
        <v>2.1235177992193401</v>
      </c>
      <c r="S87" s="340">
        <v>63.745098039215684</v>
      </c>
    </row>
    <row r="88" spans="2:19" ht="15" customHeight="1" x14ac:dyDescent="0.35">
      <c r="B88" s="181">
        <v>84030</v>
      </c>
      <c r="C88" s="182" t="s">
        <v>857</v>
      </c>
      <c r="D88" s="183">
        <v>7</v>
      </c>
      <c r="E88" s="185" t="s">
        <v>1124</v>
      </c>
      <c r="F88" s="185" t="s">
        <v>1124</v>
      </c>
      <c r="G88" s="184" t="s">
        <v>1124</v>
      </c>
      <c r="H88" s="186"/>
      <c r="I88" s="185"/>
      <c r="J88" s="187"/>
      <c r="K88" s="188"/>
      <c r="L88" s="189"/>
      <c r="M88" s="185" t="s">
        <v>1124</v>
      </c>
      <c r="N88" s="189"/>
      <c r="O88" s="333"/>
      <c r="P88" s="333" t="s">
        <v>1124</v>
      </c>
      <c r="Q88" s="333" t="s">
        <v>1124</v>
      </c>
      <c r="R88" s="475" t="str">
        <f t="shared" si="2"/>
        <v/>
      </c>
      <c r="S88" s="340" t="s">
        <v>1124</v>
      </c>
    </row>
    <row r="89" spans="2:19" ht="15" customHeight="1" x14ac:dyDescent="0.35">
      <c r="B89" s="181">
        <v>67020</v>
      </c>
      <c r="C89" s="182" t="s">
        <v>665</v>
      </c>
      <c r="D89" s="183">
        <v>16</v>
      </c>
      <c r="E89" s="185" t="s">
        <v>1124</v>
      </c>
      <c r="F89" s="185" t="s">
        <v>1124</v>
      </c>
      <c r="G89" s="184" t="s">
        <v>1124</v>
      </c>
      <c r="H89" s="186"/>
      <c r="I89" s="185"/>
      <c r="J89" s="187"/>
      <c r="K89" s="188"/>
      <c r="L89" s="189"/>
      <c r="M89" s="185" t="s">
        <v>1124</v>
      </c>
      <c r="N89" s="189"/>
      <c r="O89" s="333"/>
      <c r="P89" s="333" t="s">
        <v>1124</v>
      </c>
      <c r="Q89" s="333" t="s">
        <v>1124</v>
      </c>
      <c r="R89" s="475" t="str">
        <f t="shared" si="2"/>
        <v/>
      </c>
      <c r="S89" s="340" t="s">
        <v>1124</v>
      </c>
    </row>
    <row r="90" spans="2:19" ht="15" customHeight="1" x14ac:dyDescent="0.35">
      <c r="B90" s="181">
        <v>82020</v>
      </c>
      <c r="C90" s="182" t="s">
        <v>831</v>
      </c>
      <c r="D90" s="183">
        <v>7</v>
      </c>
      <c r="E90" s="185" t="s">
        <v>1124</v>
      </c>
      <c r="F90" s="185" t="s">
        <v>1124</v>
      </c>
      <c r="G90" s="184" t="s">
        <v>1124</v>
      </c>
      <c r="H90" s="186"/>
      <c r="I90" s="185"/>
      <c r="J90" s="187"/>
      <c r="K90" s="188"/>
      <c r="L90" s="189"/>
      <c r="M90" s="185" t="s">
        <v>1124</v>
      </c>
      <c r="N90" s="189"/>
      <c r="O90" s="333"/>
      <c r="P90" s="333" t="s">
        <v>1124</v>
      </c>
      <c r="Q90" s="333" t="s">
        <v>1124</v>
      </c>
      <c r="R90" s="475" t="str">
        <f t="shared" si="2"/>
        <v/>
      </c>
      <c r="S90" s="340" t="s">
        <v>1124</v>
      </c>
    </row>
    <row r="91" spans="2:19" ht="15" customHeight="1" x14ac:dyDescent="0.35">
      <c r="B91" s="181">
        <v>4047</v>
      </c>
      <c r="C91" s="182" t="s">
        <v>1043</v>
      </c>
      <c r="D91" s="183">
        <v>11</v>
      </c>
      <c r="E91" s="185">
        <v>1043</v>
      </c>
      <c r="F91" s="185">
        <v>536</v>
      </c>
      <c r="G91" s="184" t="s">
        <v>1326</v>
      </c>
      <c r="H91" s="186">
        <v>1</v>
      </c>
      <c r="I91" s="185">
        <v>945</v>
      </c>
      <c r="J91" s="187">
        <v>1.8736434108527131</v>
      </c>
      <c r="K91" s="188">
        <v>1770.5930232558139</v>
      </c>
      <c r="L91" s="189">
        <v>29.158999999999999</v>
      </c>
      <c r="M91" s="185">
        <v>1029</v>
      </c>
      <c r="N91" s="189">
        <v>674.06999999999994</v>
      </c>
      <c r="O91" s="333">
        <v>346.65100671140942</v>
      </c>
      <c r="P91" s="333">
        <v>280.6275706632652</v>
      </c>
      <c r="Q91" s="333">
        <v>31.011463245000002</v>
      </c>
      <c r="R91" s="475">
        <f t="shared" si="2"/>
        <v>9.0491560635569481</v>
      </c>
      <c r="S91" s="340">
        <v>55.333333333333329</v>
      </c>
    </row>
    <row r="92" spans="2:19" ht="15" customHeight="1" x14ac:dyDescent="0.35">
      <c r="B92" s="181">
        <v>5060</v>
      </c>
      <c r="C92" s="182" t="s">
        <v>1053</v>
      </c>
      <c r="D92" s="183">
        <v>11</v>
      </c>
      <c r="E92" s="185">
        <v>438</v>
      </c>
      <c r="F92" s="185">
        <v>354</v>
      </c>
      <c r="G92" s="184" t="s">
        <v>1308</v>
      </c>
      <c r="H92" s="186">
        <v>1</v>
      </c>
      <c r="I92" s="185">
        <v>973</v>
      </c>
      <c r="J92" s="187">
        <v>2.1366982124079916</v>
      </c>
      <c r="K92" s="188">
        <v>2079.0073606729757</v>
      </c>
      <c r="L92" s="189">
        <v>22.579000000000001</v>
      </c>
      <c r="M92" s="185">
        <v>772</v>
      </c>
      <c r="N92" s="189">
        <v>332.63099999999997</v>
      </c>
      <c r="O92" s="333">
        <v>268.34370800781249</v>
      </c>
      <c r="P92" s="333">
        <v>45.232534999999963</v>
      </c>
      <c r="Q92" s="333">
        <v>20.615727789999998</v>
      </c>
      <c r="R92" s="475">
        <f t="shared" si="2"/>
        <v>2.1940789799301075</v>
      </c>
      <c r="S92" s="340">
        <v>59.081081081081081</v>
      </c>
    </row>
    <row r="93" spans="2:19" ht="15" customHeight="1" x14ac:dyDescent="0.35">
      <c r="B93" s="181">
        <v>18045</v>
      </c>
      <c r="C93" s="182" t="s">
        <v>112</v>
      </c>
      <c r="D93" s="183">
        <v>12</v>
      </c>
      <c r="E93" s="185">
        <v>464</v>
      </c>
      <c r="F93" s="185">
        <v>99</v>
      </c>
      <c r="G93" s="184" t="s">
        <v>1326</v>
      </c>
      <c r="H93" s="186">
        <v>1</v>
      </c>
      <c r="I93" s="185">
        <v>700</v>
      </c>
      <c r="J93" s="187">
        <v>2.2552271088680604</v>
      </c>
      <c r="K93" s="188">
        <v>1578.6589762076424</v>
      </c>
      <c r="L93" s="189">
        <v>19.969000000000001</v>
      </c>
      <c r="M93" s="185">
        <v>609</v>
      </c>
      <c r="N93" s="189">
        <v>267.28014708994698</v>
      </c>
      <c r="O93" s="333">
        <v>57.034742404227217</v>
      </c>
      <c r="P93" s="333">
        <v>176.88742811436694</v>
      </c>
      <c r="Q93" s="333">
        <v>16.480010610000001</v>
      </c>
      <c r="R93" s="475">
        <f t="shared" si="2"/>
        <v>10.733453533520931</v>
      </c>
      <c r="S93" s="340">
        <v>37.13725490196078</v>
      </c>
    </row>
    <row r="94" spans="2:19" ht="15" customHeight="1" x14ac:dyDescent="0.35">
      <c r="B94" s="181">
        <v>34030</v>
      </c>
      <c r="C94" s="182" t="s">
        <v>288</v>
      </c>
      <c r="D94" s="183">
        <v>3</v>
      </c>
      <c r="E94" s="185">
        <v>237</v>
      </c>
      <c r="F94" s="185">
        <v>185</v>
      </c>
      <c r="G94" s="184" t="s">
        <v>1308</v>
      </c>
      <c r="H94" s="186">
        <v>1</v>
      </c>
      <c r="I94" s="185">
        <v>1314</v>
      </c>
      <c r="J94" s="187">
        <v>2.3503698722259583</v>
      </c>
      <c r="K94" s="188">
        <v>3088.3860121049092</v>
      </c>
      <c r="L94" s="189">
        <v>30.93</v>
      </c>
      <c r="M94" s="185">
        <v>1483</v>
      </c>
      <c r="N94" s="189">
        <v>267.47000000000003</v>
      </c>
      <c r="O94" s="333">
        <v>209.05550935251799</v>
      </c>
      <c r="P94" s="333">
        <v>42.310950000000027</v>
      </c>
      <c r="Q94" s="333">
        <v>31.418115220000008</v>
      </c>
      <c r="R94" s="475">
        <f t="shared" si="2"/>
        <v>1.3467055456294814</v>
      </c>
      <c r="S94" s="340">
        <v>58.378378378378386</v>
      </c>
    </row>
    <row r="95" spans="2:19" ht="15" customHeight="1" x14ac:dyDescent="0.35">
      <c r="B95" s="181">
        <v>57010</v>
      </c>
      <c r="C95" s="182" t="s">
        <v>582</v>
      </c>
      <c r="D95" s="183">
        <v>16</v>
      </c>
      <c r="E95" s="185">
        <v>292</v>
      </c>
      <c r="F95" s="185">
        <v>260</v>
      </c>
      <c r="G95" s="184" t="s">
        <v>1326</v>
      </c>
      <c r="H95" s="186">
        <v>3</v>
      </c>
      <c r="I95" s="185">
        <v>3627</v>
      </c>
      <c r="J95" s="187">
        <v>2.7180809904565386</v>
      </c>
      <c r="K95" s="188">
        <v>9858.4797523858651</v>
      </c>
      <c r="L95" s="189">
        <v>63.567999999999998</v>
      </c>
      <c r="M95" s="185">
        <v>3167</v>
      </c>
      <c r="N95" s="189">
        <v>1050.9270000000001</v>
      </c>
      <c r="O95" s="333">
        <v>936.09831183339566</v>
      </c>
      <c r="P95" s="333">
        <v>93.789094999999989</v>
      </c>
      <c r="Q95" s="333">
        <v>82.74583263545</v>
      </c>
      <c r="R95" s="475">
        <f t="shared" si="2"/>
        <v>1.1334600427939718</v>
      </c>
      <c r="S95" s="340">
        <v>48.243243243243249</v>
      </c>
    </row>
    <row r="96" spans="2:19" ht="15" customHeight="1" x14ac:dyDescent="0.35">
      <c r="B96" s="181">
        <v>6013</v>
      </c>
      <c r="C96" s="182" t="s">
        <v>1058</v>
      </c>
      <c r="D96" s="183">
        <v>11</v>
      </c>
      <c r="E96" s="185">
        <v>746</v>
      </c>
      <c r="F96" s="185">
        <v>393</v>
      </c>
      <c r="G96" s="184" t="s">
        <v>1326</v>
      </c>
      <c r="H96" s="186">
        <v>1</v>
      </c>
      <c r="I96" s="185">
        <v>1825</v>
      </c>
      <c r="J96" s="187">
        <v>2.0291603821015585</v>
      </c>
      <c r="K96" s="188">
        <v>3703.2176973353444</v>
      </c>
      <c r="L96" s="189">
        <v>54.325000000000003</v>
      </c>
      <c r="M96" s="185">
        <v>1987</v>
      </c>
      <c r="N96" s="189">
        <v>1008.079</v>
      </c>
      <c r="O96" s="333">
        <v>531.22471061902365</v>
      </c>
      <c r="P96" s="333">
        <v>414.57781499999999</v>
      </c>
      <c r="Q96" s="333">
        <v>64.662962000000007</v>
      </c>
      <c r="R96" s="475">
        <f t="shared" si="2"/>
        <v>6.4113644376513399</v>
      </c>
      <c r="S96" s="340">
        <v>59.081081081081081</v>
      </c>
    </row>
    <row r="97" spans="2:19" ht="15" customHeight="1" x14ac:dyDescent="0.35">
      <c r="B97" s="181">
        <v>5077</v>
      </c>
      <c r="C97" s="182" t="s">
        <v>1056</v>
      </c>
      <c r="D97" s="183">
        <v>11</v>
      </c>
      <c r="E97" s="185" t="s">
        <v>1124</v>
      </c>
      <c r="F97" s="185" t="s">
        <v>1124</v>
      </c>
      <c r="G97" s="184" t="s">
        <v>1124</v>
      </c>
      <c r="H97" s="186"/>
      <c r="I97" s="185"/>
      <c r="J97" s="187"/>
      <c r="K97" s="188"/>
      <c r="L97" s="189"/>
      <c r="M97" s="185" t="s">
        <v>1124</v>
      </c>
      <c r="N97" s="189"/>
      <c r="O97" s="333"/>
      <c r="P97" s="333" t="s">
        <v>1124</v>
      </c>
      <c r="Q97" s="333" t="s">
        <v>1124</v>
      </c>
      <c r="R97" s="475" t="str">
        <f t="shared" si="2"/>
        <v/>
      </c>
      <c r="S97" s="340" t="s">
        <v>1124</v>
      </c>
    </row>
    <row r="98" spans="2:19" ht="15" customHeight="1" x14ac:dyDescent="0.35">
      <c r="B98" s="181">
        <v>7018</v>
      </c>
      <c r="C98" s="182" t="s">
        <v>1070</v>
      </c>
      <c r="D98" s="183">
        <v>1</v>
      </c>
      <c r="E98" s="185">
        <v>447</v>
      </c>
      <c r="F98" s="185">
        <v>355</v>
      </c>
      <c r="G98" s="184" t="s">
        <v>1308</v>
      </c>
      <c r="H98" s="186">
        <v>1</v>
      </c>
      <c r="I98" s="185">
        <v>884</v>
      </c>
      <c r="J98" s="187">
        <v>2.0841539838854075</v>
      </c>
      <c r="K98" s="188">
        <v>1842.3921217547002</v>
      </c>
      <c r="L98" s="189">
        <v>20.48</v>
      </c>
      <c r="M98" s="185">
        <v>751</v>
      </c>
      <c r="N98" s="189">
        <v>300.327</v>
      </c>
      <c r="O98" s="333">
        <v>238.40244301075268</v>
      </c>
      <c r="P98" s="333">
        <v>45.014095000000012</v>
      </c>
      <c r="Q98" s="333">
        <v>22.903496324999999</v>
      </c>
      <c r="R98" s="475">
        <f t="shared" si="2"/>
        <v>1.9653809340395549</v>
      </c>
      <c r="S98" s="340">
        <v>59.081081081081081</v>
      </c>
    </row>
    <row r="99" spans="2:19" ht="15" customHeight="1" x14ac:dyDescent="0.35">
      <c r="B99" s="181">
        <v>83040</v>
      </c>
      <c r="C99" s="182" t="s">
        <v>840</v>
      </c>
      <c r="D99" s="183">
        <v>7</v>
      </c>
      <c r="E99" s="185" t="s">
        <v>1124</v>
      </c>
      <c r="F99" s="185" t="s">
        <v>1124</v>
      </c>
      <c r="G99" s="184" t="s">
        <v>1124</v>
      </c>
      <c r="H99" s="186"/>
      <c r="I99" s="185"/>
      <c r="J99" s="187"/>
      <c r="K99" s="188"/>
      <c r="L99" s="189"/>
      <c r="M99" s="185" t="s">
        <v>1124</v>
      </c>
      <c r="N99" s="189"/>
      <c r="O99" s="333"/>
      <c r="P99" s="333" t="s">
        <v>1124</v>
      </c>
      <c r="Q99" s="333" t="s">
        <v>1124</v>
      </c>
      <c r="R99" s="475" t="str">
        <f t="shared" si="2"/>
        <v/>
      </c>
      <c r="S99" s="340" t="s">
        <v>1124</v>
      </c>
    </row>
    <row r="100" spans="2:19" ht="15" customHeight="1" x14ac:dyDescent="0.35">
      <c r="B100" s="181">
        <v>57005</v>
      </c>
      <c r="C100" s="182" t="s">
        <v>581</v>
      </c>
      <c r="D100" s="190">
        <v>16</v>
      </c>
      <c r="E100" s="185">
        <v>370</v>
      </c>
      <c r="F100" s="185">
        <v>257</v>
      </c>
      <c r="G100" s="191" t="s">
        <v>1326</v>
      </c>
      <c r="H100" s="186">
        <v>1</v>
      </c>
      <c r="I100" s="185">
        <v>11913</v>
      </c>
      <c r="J100" s="187">
        <v>2.5520635183194109</v>
      </c>
      <c r="K100" s="188">
        <v>30402.732693739141</v>
      </c>
      <c r="L100" s="189">
        <v>152.06</v>
      </c>
      <c r="M100" s="185">
        <v>11888</v>
      </c>
      <c r="N100" s="189">
        <v>4101</v>
      </c>
      <c r="O100" s="333">
        <v>2851.5357327578981</v>
      </c>
      <c r="P100" s="333">
        <v>258.1461479591843</v>
      </c>
      <c r="Q100" s="333">
        <v>229.72823475999996</v>
      </c>
      <c r="R100" s="475">
        <f t="shared" si="2"/>
        <v>1.1237023095087677</v>
      </c>
      <c r="S100" s="340">
        <v>50</v>
      </c>
    </row>
    <row r="101" spans="2:19" ht="15" customHeight="1" x14ac:dyDescent="0.35">
      <c r="B101" s="181">
        <v>91020</v>
      </c>
      <c r="C101" s="182" t="s">
        <v>940</v>
      </c>
      <c r="D101" s="183">
        <v>2</v>
      </c>
      <c r="E101" s="185">
        <v>518</v>
      </c>
      <c r="F101" s="185">
        <v>263</v>
      </c>
      <c r="G101" s="184" t="s">
        <v>1326</v>
      </c>
      <c r="H101" s="186">
        <v>1</v>
      </c>
      <c r="I101" s="185">
        <v>878</v>
      </c>
      <c r="J101" s="187">
        <v>2.0045558086560367</v>
      </c>
      <c r="K101" s="188">
        <v>1760.0000000000002</v>
      </c>
      <c r="L101" s="189">
        <v>13.25</v>
      </c>
      <c r="M101" s="185">
        <v>700</v>
      </c>
      <c r="N101" s="189">
        <v>333.02870000000001</v>
      </c>
      <c r="O101" s="333">
        <v>168.863</v>
      </c>
      <c r="P101" s="333">
        <v>85.796308428571407</v>
      </c>
      <c r="Q101" s="333">
        <v>24.425799999999999</v>
      </c>
      <c r="R101" s="475">
        <f t="shared" si="2"/>
        <v>3.512528082133294</v>
      </c>
      <c r="S101" s="340">
        <v>30.526315789473685</v>
      </c>
    </row>
    <row r="102" spans="2:19" ht="15" customHeight="1" x14ac:dyDescent="0.35">
      <c r="B102" s="181">
        <v>37220</v>
      </c>
      <c r="C102" s="182" t="s">
        <v>318</v>
      </c>
      <c r="D102" s="183">
        <v>4</v>
      </c>
      <c r="E102" s="185" t="s">
        <v>1124</v>
      </c>
      <c r="F102" s="185" t="s">
        <v>1124</v>
      </c>
      <c r="G102" s="184" t="s">
        <v>1124</v>
      </c>
      <c r="H102" s="186"/>
      <c r="I102" s="185"/>
      <c r="J102" s="187"/>
      <c r="K102" s="188"/>
      <c r="L102" s="189"/>
      <c r="M102" s="185" t="s">
        <v>1124</v>
      </c>
      <c r="N102" s="189"/>
      <c r="O102" s="333"/>
      <c r="P102" s="333" t="s">
        <v>1124</v>
      </c>
      <c r="Q102" s="333" t="s">
        <v>1124</v>
      </c>
      <c r="R102" s="475" t="str">
        <f t="shared" si="2"/>
        <v/>
      </c>
      <c r="S102" s="340" t="s">
        <v>1124</v>
      </c>
    </row>
    <row r="103" spans="2:19" ht="15" customHeight="1" x14ac:dyDescent="0.35">
      <c r="B103" s="181">
        <v>88005</v>
      </c>
      <c r="C103" s="182" t="s">
        <v>911</v>
      </c>
      <c r="D103" s="183">
        <v>8</v>
      </c>
      <c r="E103" s="185" t="s">
        <v>1124</v>
      </c>
      <c r="F103" s="185" t="s">
        <v>1124</v>
      </c>
      <c r="G103" s="184" t="s">
        <v>1124</v>
      </c>
      <c r="H103" s="186"/>
      <c r="I103" s="185"/>
      <c r="J103" s="187"/>
      <c r="K103" s="188"/>
      <c r="L103" s="189"/>
      <c r="M103" s="185" t="s">
        <v>1124</v>
      </c>
      <c r="N103" s="189"/>
      <c r="O103" s="333"/>
      <c r="P103" s="333" t="s">
        <v>1124</v>
      </c>
      <c r="Q103" s="333" t="s">
        <v>1124</v>
      </c>
      <c r="R103" s="475" t="str">
        <f t="shared" si="2"/>
        <v/>
      </c>
      <c r="S103" s="340" t="s">
        <v>1124</v>
      </c>
    </row>
    <row r="104" spans="2:19" ht="15" customHeight="1" x14ac:dyDescent="0.35">
      <c r="B104" s="181">
        <v>2028</v>
      </c>
      <c r="C104" s="182" t="s">
        <v>1029</v>
      </c>
      <c r="D104" s="183">
        <v>11</v>
      </c>
      <c r="E104" s="185">
        <v>947</v>
      </c>
      <c r="F104" s="185">
        <v>496</v>
      </c>
      <c r="G104" s="184" t="s">
        <v>1308</v>
      </c>
      <c r="H104" s="186">
        <v>2</v>
      </c>
      <c r="I104" s="185">
        <v>3835</v>
      </c>
      <c r="J104" s="187">
        <v>2.1396280400572247</v>
      </c>
      <c r="K104" s="188">
        <v>8205.4735336194572</v>
      </c>
      <c r="L104" s="189">
        <v>81.042999999999992</v>
      </c>
      <c r="M104" s="185">
        <v>4221</v>
      </c>
      <c r="N104" s="189">
        <v>2835.4300000000003</v>
      </c>
      <c r="O104" s="333">
        <v>1484.4343550568592</v>
      </c>
      <c r="P104" s="333">
        <v>1110.0842936082472</v>
      </c>
      <c r="Q104" s="333">
        <v>124.410233283</v>
      </c>
      <c r="R104" s="475">
        <f t="shared" si="2"/>
        <v>8.9227731860537745</v>
      </c>
      <c r="S104" s="340">
        <v>56.098039215686271</v>
      </c>
    </row>
    <row r="105" spans="2:19" ht="15" customHeight="1" x14ac:dyDescent="0.35">
      <c r="B105" s="181">
        <v>99020</v>
      </c>
      <c r="C105" s="182" t="s">
        <v>1021</v>
      </c>
      <c r="D105" s="183">
        <v>10</v>
      </c>
      <c r="E105" s="185">
        <v>2301</v>
      </c>
      <c r="F105" s="185">
        <v>534</v>
      </c>
      <c r="G105" s="184" t="s">
        <v>1308</v>
      </c>
      <c r="H105" s="186">
        <v>1</v>
      </c>
      <c r="I105" s="185">
        <v>709</v>
      </c>
      <c r="J105" s="187">
        <v>2.4118476727785598</v>
      </c>
      <c r="K105" s="188">
        <v>1709.9999999999989</v>
      </c>
      <c r="L105" s="189">
        <v>18.399999999999999</v>
      </c>
      <c r="M105" s="185">
        <v>711</v>
      </c>
      <c r="N105" s="189">
        <v>1436.2449999999999</v>
      </c>
      <c r="O105" s="333">
        <v>333.16046461436429</v>
      </c>
      <c r="P105" s="333">
        <v>106.73100000000008</v>
      </c>
      <c r="Q105" s="333">
        <v>24.214851899999999</v>
      </c>
      <c r="R105" s="475">
        <f t="shared" si="2"/>
        <v>4.407666850111938</v>
      </c>
      <c r="S105" s="340">
        <v>59</v>
      </c>
    </row>
    <row r="106" spans="2:19" ht="15" customHeight="1" x14ac:dyDescent="0.35">
      <c r="B106" s="181">
        <v>51080</v>
      </c>
      <c r="C106" s="182" t="s">
        <v>512</v>
      </c>
      <c r="D106" s="183">
        <v>4</v>
      </c>
      <c r="E106" s="185">
        <v>393</v>
      </c>
      <c r="F106" s="185">
        <v>322</v>
      </c>
      <c r="G106" s="184" t="s">
        <v>1308</v>
      </c>
      <c r="H106" s="186">
        <v>1</v>
      </c>
      <c r="I106" s="185">
        <v>356</v>
      </c>
      <c r="J106" s="187">
        <v>2.0250521920668056</v>
      </c>
      <c r="K106" s="188">
        <v>720.91858037578277</v>
      </c>
      <c r="L106" s="189">
        <v>13.69</v>
      </c>
      <c r="M106" s="185">
        <v>333</v>
      </c>
      <c r="N106" s="189">
        <v>103.46028600000001</v>
      </c>
      <c r="O106" s="333">
        <v>84.754131070496086</v>
      </c>
      <c r="P106" s="333">
        <v>8.6613848171428742</v>
      </c>
      <c r="Q106" s="333">
        <v>8.8233161850000013</v>
      </c>
      <c r="R106" s="475">
        <f t="shared" si="2"/>
        <v>0.98164733480452426</v>
      </c>
      <c r="S106" s="340">
        <v>58.219040623303215</v>
      </c>
    </row>
    <row r="107" spans="2:19" ht="15" customHeight="1" x14ac:dyDescent="0.35">
      <c r="B107" s="181">
        <v>60005</v>
      </c>
      <c r="C107" s="182" t="s">
        <v>605</v>
      </c>
      <c r="D107" s="183">
        <v>14</v>
      </c>
      <c r="E107" s="185">
        <v>522</v>
      </c>
      <c r="F107" s="185">
        <v>203</v>
      </c>
      <c r="G107" s="184" t="s">
        <v>1308</v>
      </c>
      <c r="H107" s="186">
        <v>1</v>
      </c>
      <c r="I107" s="185">
        <v>3165</v>
      </c>
      <c r="J107" s="187">
        <v>1.9964028776978417</v>
      </c>
      <c r="K107" s="188">
        <v>6318.6151079136689</v>
      </c>
      <c r="L107" s="189">
        <v>25.564</v>
      </c>
      <c r="M107" s="185">
        <v>1390</v>
      </c>
      <c r="N107" s="189">
        <v>1202.8599999999999</v>
      </c>
      <c r="O107" s="333">
        <v>467.32299999999998</v>
      </c>
      <c r="P107" s="333">
        <v>638.98998610824742</v>
      </c>
      <c r="Q107" s="333">
        <v>31.794965981600001</v>
      </c>
      <c r="R107" s="475">
        <f t="shared" si="2"/>
        <v>20.097206157667728</v>
      </c>
      <c r="S107" s="340">
        <v>58.156862745098039</v>
      </c>
    </row>
    <row r="108" spans="2:19" ht="15" customHeight="1" x14ac:dyDescent="0.35">
      <c r="B108" s="181">
        <v>41020</v>
      </c>
      <c r="C108" s="182" t="s">
        <v>366</v>
      </c>
      <c r="D108" s="183">
        <v>5</v>
      </c>
      <c r="E108" s="185" t="s">
        <v>1124</v>
      </c>
      <c r="F108" s="185" t="s">
        <v>1124</v>
      </c>
      <c r="G108" s="184" t="s">
        <v>1124</v>
      </c>
      <c r="H108" s="186"/>
      <c r="I108" s="185"/>
      <c r="J108" s="187"/>
      <c r="K108" s="188"/>
      <c r="L108" s="189"/>
      <c r="M108" s="185" t="s">
        <v>1124</v>
      </c>
      <c r="N108" s="189"/>
      <c r="O108" s="333"/>
      <c r="P108" s="333" t="s">
        <v>1124</v>
      </c>
      <c r="Q108" s="333" t="s">
        <v>1124</v>
      </c>
      <c r="R108" s="475" t="str">
        <f t="shared" si="2"/>
        <v/>
      </c>
      <c r="S108" s="340" t="s">
        <v>1124</v>
      </c>
    </row>
    <row r="109" spans="2:19" ht="15" customHeight="1" x14ac:dyDescent="0.35">
      <c r="B109" s="181">
        <v>67050</v>
      </c>
      <c r="C109" s="182" t="s">
        <v>671</v>
      </c>
      <c r="D109" s="183">
        <v>16</v>
      </c>
      <c r="E109" s="185">
        <v>492</v>
      </c>
      <c r="F109" s="185">
        <v>308</v>
      </c>
      <c r="G109" s="184" t="s">
        <v>1326</v>
      </c>
      <c r="H109" s="186">
        <v>1</v>
      </c>
      <c r="I109" s="185">
        <v>19953</v>
      </c>
      <c r="J109" s="187">
        <v>2.5059080075054516</v>
      </c>
      <c r="K109" s="188">
        <v>50000.382473756275</v>
      </c>
      <c r="L109" s="189">
        <v>271</v>
      </c>
      <c r="M109" s="185">
        <v>15856</v>
      </c>
      <c r="N109" s="189">
        <v>8980.0849999999991</v>
      </c>
      <c r="O109" s="333">
        <v>5629.6990838661332</v>
      </c>
      <c r="P109" s="333">
        <v>2414.0004770618552</v>
      </c>
      <c r="Q109" s="333">
        <v>251.43302400000002</v>
      </c>
      <c r="R109" s="475">
        <f t="shared" si="2"/>
        <v>9.6009682366221512</v>
      </c>
      <c r="S109" s="340">
        <v>56.990196078431367</v>
      </c>
    </row>
    <row r="110" spans="2:19" ht="15" customHeight="1" x14ac:dyDescent="0.35">
      <c r="B110" s="181">
        <v>21035</v>
      </c>
      <c r="C110" s="182" t="s">
        <v>150</v>
      </c>
      <c r="D110" s="183">
        <v>3</v>
      </c>
      <c r="E110" s="185">
        <v>294</v>
      </c>
      <c r="F110" s="185">
        <v>190</v>
      </c>
      <c r="G110" s="184" t="s">
        <v>1308</v>
      </c>
      <c r="H110" s="186">
        <v>1</v>
      </c>
      <c r="I110" s="185">
        <v>2073</v>
      </c>
      <c r="J110" s="187">
        <v>2.33</v>
      </c>
      <c r="K110" s="188">
        <v>4830.09</v>
      </c>
      <c r="L110" s="189">
        <v>41.25</v>
      </c>
      <c r="M110" s="185">
        <v>2002</v>
      </c>
      <c r="N110" s="189">
        <v>518.36400000000003</v>
      </c>
      <c r="O110" s="333">
        <v>334.83867526485488</v>
      </c>
      <c r="P110" s="333">
        <v>159.92054000000002</v>
      </c>
      <c r="Q110" s="333">
        <v>59.389971341250003</v>
      </c>
      <c r="R110" s="475">
        <f t="shared" si="2"/>
        <v>2.6927196021211972</v>
      </c>
      <c r="S110" s="340">
        <v>59.608108108108112</v>
      </c>
    </row>
    <row r="111" spans="2:19" ht="15" customHeight="1" x14ac:dyDescent="0.35">
      <c r="B111" s="181">
        <v>87095</v>
      </c>
      <c r="C111" s="182" t="s">
        <v>905</v>
      </c>
      <c r="D111" s="183">
        <v>8</v>
      </c>
      <c r="E111" s="185" t="s">
        <v>1124</v>
      </c>
      <c r="F111" s="185" t="s">
        <v>1124</v>
      </c>
      <c r="G111" s="184" t="s">
        <v>1124</v>
      </c>
      <c r="H111" s="186"/>
      <c r="I111" s="185"/>
      <c r="J111" s="187"/>
      <c r="K111" s="188"/>
      <c r="L111" s="189"/>
      <c r="M111" s="185" t="s">
        <v>1124</v>
      </c>
      <c r="N111" s="189"/>
      <c r="O111" s="333"/>
      <c r="P111" s="333" t="s">
        <v>1124</v>
      </c>
      <c r="Q111" s="333" t="s">
        <v>1124</v>
      </c>
      <c r="R111" s="475" t="str">
        <f t="shared" si="2"/>
        <v/>
      </c>
      <c r="S111" s="340" t="s">
        <v>1124</v>
      </c>
    </row>
    <row r="112" spans="2:19" ht="15" customHeight="1" x14ac:dyDescent="0.35">
      <c r="B112" s="181">
        <v>82025</v>
      </c>
      <c r="C112" s="182" t="s">
        <v>832</v>
      </c>
      <c r="D112" s="183">
        <v>7</v>
      </c>
      <c r="E112" s="185">
        <v>1412</v>
      </c>
      <c r="F112" s="185">
        <v>176</v>
      </c>
      <c r="G112" s="184" t="s">
        <v>1326</v>
      </c>
      <c r="H112" s="186">
        <v>1</v>
      </c>
      <c r="I112" s="185">
        <v>104</v>
      </c>
      <c r="J112" s="187">
        <v>2.3625336927223719</v>
      </c>
      <c r="K112" s="188">
        <v>245.70350404312669</v>
      </c>
      <c r="L112" s="189">
        <v>10.818</v>
      </c>
      <c r="M112" s="185">
        <v>163</v>
      </c>
      <c r="N112" s="189">
        <v>126.65</v>
      </c>
      <c r="O112" s="333">
        <v>15.773999999999999</v>
      </c>
      <c r="P112" s="333">
        <v>11.042366020408178</v>
      </c>
      <c r="Q112" s="333">
        <v>5.2381929640000005</v>
      </c>
      <c r="R112" s="475">
        <f t="shared" si="2"/>
        <v>2.1080487290746888</v>
      </c>
      <c r="S112" s="340">
        <v>48.605263157894747</v>
      </c>
    </row>
    <row r="113" spans="2:19" ht="15" customHeight="1" x14ac:dyDescent="0.35">
      <c r="B113" s="181">
        <v>80103</v>
      </c>
      <c r="C113" s="182" t="s">
        <v>819</v>
      </c>
      <c r="D113" s="183">
        <v>7</v>
      </c>
      <c r="E113" s="185">
        <v>412</v>
      </c>
      <c r="F113" s="185">
        <v>193</v>
      </c>
      <c r="G113" s="184" t="s">
        <v>1308</v>
      </c>
      <c r="H113" s="186">
        <v>1</v>
      </c>
      <c r="I113" s="185">
        <v>322</v>
      </c>
      <c r="J113" s="187">
        <v>1.8899999999999997</v>
      </c>
      <c r="K113" s="188">
        <v>608.57999999999993</v>
      </c>
      <c r="L113" s="189">
        <v>10.965</v>
      </c>
      <c r="M113" s="185">
        <v>340</v>
      </c>
      <c r="N113" s="189">
        <v>91.456999999999994</v>
      </c>
      <c r="O113" s="333">
        <v>42.917000000000002</v>
      </c>
      <c r="P113" s="333">
        <v>35.972144999999998</v>
      </c>
      <c r="Q113" s="333">
        <v>7.2702588874999998</v>
      </c>
      <c r="R113" s="475">
        <f t="shared" si="2"/>
        <v>4.9478492522251321</v>
      </c>
      <c r="S113" s="340">
        <v>52.432432432432435</v>
      </c>
    </row>
    <row r="114" spans="2:19" ht="15" customHeight="1" x14ac:dyDescent="0.35">
      <c r="B114" s="181">
        <v>62047</v>
      </c>
      <c r="C114" s="182" t="s">
        <v>625</v>
      </c>
      <c r="D114" s="183">
        <v>14</v>
      </c>
      <c r="E114" s="185">
        <v>355</v>
      </c>
      <c r="F114" s="185">
        <v>226</v>
      </c>
      <c r="G114" s="184" t="s">
        <v>1308</v>
      </c>
      <c r="H114" s="186">
        <v>1</v>
      </c>
      <c r="I114" s="185">
        <v>242</v>
      </c>
      <c r="J114" s="187">
        <v>2.2099999999999995</v>
      </c>
      <c r="K114" s="188">
        <v>534.81999999999994</v>
      </c>
      <c r="L114" s="189">
        <v>5.5550000000000006</v>
      </c>
      <c r="M114" s="185">
        <v>190</v>
      </c>
      <c r="N114" s="189">
        <v>69.328999999999994</v>
      </c>
      <c r="O114" s="333">
        <v>44.035326164874554</v>
      </c>
      <c r="P114" s="333">
        <v>17.521064999999989</v>
      </c>
      <c r="Q114" s="333">
        <v>5.7367707000000001</v>
      </c>
      <c r="R114" s="475">
        <f t="shared" si="2"/>
        <v>3.0541686109225159</v>
      </c>
      <c r="S114" s="340">
        <v>59.081081081081081</v>
      </c>
    </row>
    <row r="115" spans="2:19" ht="15" customHeight="1" x14ac:dyDescent="0.35">
      <c r="B115" s="181">
        <v>39030</v>
      </c>
      <c r="C115" s="182" t="s">
        <v>342</v>
      </c>
      <c r="D115" s="183">
        <v>17</v>
      </c>
      <c r="E115" s="185">
        <v>223</v>
      </c>
      <c r="F115" s="185">
        <v>98</v>
      </c>
      <c r="G115" s="184" t="s">
        <v>1326</v>
      </c>
      <c r="H115" s="186">
        <v>1</v>
      </c>
      <c r="I115" s="185">
        <v>153</v>
      </c>
      <c r="J115" s="187">
        <v>2.84</v>
      </c>
      <c r="K115" s="188">
        <v>434.52</v>
      </c>
      <c r="L115" s="189">
        <v>4.5170000000000003</v>
      </c>
      <c r="M115" s="185">
        <v>173</v>
      </c>
      <c r="N115" s="189">
        <v>35.431199999999997</v>
      </c>
      <c r="O115" s="333">
        <v>15.605</v>
      </c>
      <c r="P115" s="333">
        <v>9.8705290765306106</v>
      </c>
      <c r="Q115" s="333">
        <v>5.5093282500000003</v>
      </c>
      <c r="R115" s="475">
        <f t="shared" si="2"/>
        <v>1.7916030101366007</v>
      </c>
      <c r="S115" s="340">
        <v>53.421052631578959</v>
      </c>
    </row>
    <row r="116" spans="2:19" ht="15" customHeight="1" x14ac:dyDescent="0.35">
      <c r="B116" s="181">
        <v>99025</v>
      </c>
      <c r="C116" s="182" t="s">
        <v>1022</v>
      </c>
      <c r="D116" s="183">
        <v>10</v>
      </c>
      <c r="E116" s="185">
        <v>1116</v>
      </c>
      <c r="F116" s="185">
        <v>617</v>
      </c>
      <c r="G116" s="184" t="s">
        <v>1308</v>
      </c>
      <c r="H116" s="186">
        <v>1</v>
      </c>
      <c r="I116" s="185">
        <v>3263</v>
      </c>
      <c r="J116" s="187">
        <v>2.5254981425194196</v>
      </c>
      <c r="K116" s="188">
        <v>8240.7004390408656</v>
      </c>
      <c r="L116" s="189">
        <v>51.475999999999999</v>
      </c>
      <c r="M116" s="185">
        <v>2465</v>
      </c>
      <c r="N116" s="189">
        <v>3357.2646768765717</v>
      </c>
      <c r="O116" s="333">
        <v>1855.6277813218389</v>
      </c>
      <c r="P116" s="333">
        <v>907.75686972519645</v>
      </c>
      <c r="Q116" s="333">
        <v>57.730885649999998</v>
      </c>
      <c r="R116" s="475">
        <f t="shared" si="2"/>
        <v>15.723938053342449</v>
      </c>
      <c r="S116" s="340">
        <v>59.921568627450974</v>
      </c>
    </row>
    <row r="117" spans="2:19" ht="15" customHeight="1" x14ac:dyDescent="0.35">
      <c r="B117" s="181">
        <v>84090</v>
      </c>
      <c r="C117" s="182" t="s">
        <v>867</v>
      </c>
      <c r="D117" s="183">
        <v>7</v>
      </c>
      <c r="E117" s="185" t="s">
        <v>1124</v>
      </c>
      <c r="F117" s="185" t="s">
        <v>1124</v>
      </c>
      <c r="G117" s="184" t="s">
        <v>1124</v>
      </c>
      <c r="H117" s="186"/>
      <c r="I117" s="185"/>
      <c r="J117" s="187"/>
      <c r="K117" s="188"/>
      <c r="L117" s="189"/>
      <c r="M117" s="185" t="s">
        <v>1124</v>
      </c>
      <c r="N117" s="189"/>
      <c r="O117" s="333"/>
      <c r="P117" s="333" t="s">
        <v>1124</v>
      </c>
      <c r="Q117" s="333" t="s">
        <v>1124</v>
      </c>
      <c r="R117" s="475" t="str">
        <f t="shared" si="2"/>
        <v/>
      </c>
      <c r="S117" s="340" t="s">
        <v>1124</v>
      </c>
    </row>
    <row r="118" spans="2:19" ht="15" customHeight="1" x14ac:dyDescent="0.35">
      <c r="B118" s="181">
        <v>96035</v>
      </c>
      <c r="C118" s="182" t="s">
        <v>1000</v>
      </c>
      <c r="D118" s="183">
        <v>9</v>
      </c>
      <c r="E118" s="185">
        <v>601</v>
      </c>
      <c r="F118" s="185">
        <v>289</v>
      </c>
      <c r="G118" s="184" t="s">
        <v>1308</v>
      </c>
      <c r="H118" s="186">
        <v>1</v>
      </c>
      <c r="I118" s="185">
        <v>738</v>
      </c>
      <c r="J118" s="187">
        <v>2.5799319727891157</v>
      </c>
      <c r="K118" s="188">
        <v>1903.9897959183675</v>
      </c>
      <c r="L118" s="189">
        <v>12.032</v>
      </c>
      <c r="M118" s="185">
        <v>491</v>
      </c>
      <c r="N118" s="189">
        <v>417.63600000000002</v>
      </c>
      <c r="O118" s="333">
        <v>200.77874869767444</v>
      </c>
      <c r="P118" s="333">
        <v>12.567096000000005</v>
      </c>
      <c r="Q118" s="333">
        <v>13.361299499999998</v>
      </c>
      <c r="R118" s="475">
        <f t="shared" si="2"/>
        <v>0.94055941190450876</v>
      </c>
      <c r="S118" s="340">
        <v>44</v>
      </c>
    </row>
    <row r="119" spans="2:19" ht="15" customHeight="1" x14ac:dyDescent="0.35">
      <c r="B119" s="181">
        <v>79065</v>
      </c>
      <c r="C119" s="182" t="s">
        <v>796</v>
      </c>
      <c r="D119" s="183">
        <v>15</v>
      </c>
      <c r="E119" s="185" t="s">
        <v>1124</v>
      </c>
      <c r="F119" s="185" t="s">
        <v>1124</v>
      </c>
      <c r="G119" s="184" t="s">
        <v>1124</v>
      </c>
      <c r="H119" s="186"/>
      <c r="I119" s="185"/>
      <c r="J119" s="187"/>
      <c r="K119" s="188"/>
      <c r="L119" s="189"/>
      <c r="M119" s="185" t="s">
        <v>1124</v>
      </c>
      <c r="N119" s="189"/>
      <c r="O119" s="333"/>
      <c r="P119" s="333" t="s">
        <v>1124</v>
      </c>
      <c r="Q119" s="333" t="s">
        <v>1124</v>
      </c>
      <c r="R119" s="475" t="str">
        <f t="shared" si="2"/>
        <v/>
      </c>
      <c r="S119" s="340" t="s">
        <v>1124</v>
      </c>
    </row>
    <row r="120" spans="2:19" ht="15" customHeight="1" x14ac:dyDescent="0.35">
      <c r="B120" s="181">
        <v>84015</v>
      </c>
      <c r="C120" s="182" t="s">
        <v>854</v>
      </c>
      <c r="D120" s="183">
        <v>7</v>
      </c>
      <c r="E120" s="185" t="s">
        <v>1124</v>
      </c>
      <c r="F120" s="185" t="s">
        <v>1124</v>
      </c>
      <c r="G120" s="184" t="s">
        <v>1124</v>
      </c>
      <c r="H120" s="186"/>
      <c r="I120" s="185"/>
      <c r="J120" s="187"/>
      <c r="K120" s="188"/>
      <c r="L120" s="189"/>
      <c r="M120" s="185" t="s">
        <v>1124</v>
      </c>
      <c r="N120" s="189"/>
      <c r="O120" s="333"/>
      <c r="P120" s="333" t="s">
        <v>1124</v>
      </c>
      <c r="Q120" s="333" t="s">
        <v>1124</v>
      </c>
      <c r="R120" s="475" t="str">
        <f t="shared" si="2"/>
        <v/>
      </c>
      <c r="S120" s="340" t="s">
        <v>1124</v>
      </c>
    </row>
    <row r="121" spans="2:19" ht="15" customHeight="1" x14ac:dyDescent="0.35">
      <c r="B121" s="181">
        <v>15035</v>
      </c>
      <c r="C121" s="182" t="s">
        <v>81</v>
      </c>
      <c r="D121" s="183">
        <v>3</v>
      </c>
      <c r="E121" s="185">
        <v>400</v>
      </c>
      <c r="F121" s="185">
        <v>322</v>
      </c>
      <c r="G121" s="184" t="s">
        <v>1308</v>
      </c>
      <c r="H121" s="186">
        <v>1</v>
      </c>
      <c r="I121" s="185">
        <v>1491</v>
      </c>
      <c r="J121" s="187">
        <v>2.2038352272727271</v>
      </c>
      <c r="K121" s="188">
        <v>3285.918323863636</v>
      </c>
      <c r="L121" s="189">
        <v>34.56</v>
      </c>
      <c r="M121" s="185">
        <v>1609</v>
      </c>
      <c r="N121" s="189">
        <v>479.45599999999996</v>
      </c>
      <c r="O121" s="333">
        <v>386.21811311373523</v>
      </c>
      <c r="P121" s="333">
        <v>55.480159999999977</v>
      </c>
      <c r="Q121" s="333">
        <v>46.313817050000004</v>
      </c>
      <c r="R121" s="475">
        <f t="shared" si="2"/>
        <v>1.1979181059532205</v>
      </c>
      <c r="S121" s="340">
        <v>59.081081081081081</v>
      </c>
    </row>
    <row r="122" spans="2:19" ht="15" customHeight="1" x14ac:dyDescent="0.35">
      <c r="B122" s="181">
        <v>87110</v>
      </c>
      <c r="C122" s="182" t="s">
        <v>908</v>
      </c>
      <c r="D122" s="183">
        <v>8</v>
      </c>
      <c r="E122" s="185" t="s">
        <v>1124</v>
      </c>
      <c r="F122" s="185" t="s">
        <v>1124</v>
      </c>
      <c r="G122" s="184" t="s">
        <v>1124</v>
      </c>
      <c r="H122" s="186"/>
      <c r="I122" s="185"/>
      <c r="J122" s="187"/>
      <c r="K122" s="188"/>
      <c r="L122" s="189"/>
      <c r="M122" s="185" t="s">
        <v>1124</v>
      </c>
      <c r="N122" s="189"/>
      <c r="O122" s="333"/>
      <c r="P122" s="333" t="s">
        <v>1124</v>
      </c>
      <c r="Q122" s="333" t="s">
        <v>1124</v>
      </c>
      <c r="R122" s="475" t="str">
        <f t="shared" si="2"/>
        <v/>
      </c>
      <c r="S122" s="340" t="s">
        <v>1124</v>
      </c>
    </row>
    <row r="123" spans="2:19" ht="15" customHeight="1" x14ac:dyDescent="0.35">
      <c r="B123" s="181">
        <v>87075</v>
      </c>
      <c r="C123" s="182" t="s">
        <v>901</v>
      </c>
      <c r="D123" s="183">
        <v>8</v>
      </c>
      <c r="E123" s="185" t="s">
        <v>1124</v>
      </c>
      <c r="F123" s="185" t="s">
        <v>1124</v>
      </c>
      <c r="G123" s="184" t="s">
        <v>1124</v>
      </c>
      <c r="H123" s="186"/>
      <c r="I123" s="185"/>
      <c r="J123" s="187"/>
      <c r="K123" s="188"/>
      <c r="L123" s="189"/>
      <c r="M123" s="185" t="s">
        <v>1124</v>
      </c>
      <c r="N123" s="189"/>
      <c r="O123" s="333"/>
      <c r="P123" s="333" t="s">
        <v>1124</v>
      </c>
      <c r="Q123" s="333" t="s">
        <v>1124</v>
      </c>
      <c r="R123" s="475" t="str">
        <f t="shared" si="2"/>
        <v/>
      </c>
      <c r="S123" s="340" t="s">
        <v>1124</v>
      </c>
    </row>
    <row r="124" spans="2:19" ht="15" customHeight="1" x14ac:dyDescent="0.35">
      <c r="B124" s="181">
        <v>42110</v>
      </c>
      <c r="C124" s="182" t="s">
        <v>396</v>
      </c>
      <c r="D124" s="183">
        <v>5</v>
      </c>
      <c r="E124" s="185" t="s">
        <v>1124</v>
      </c>
      <c r="F124" s="185" t="s">
        <v>1124</v>
      </c>
      <c r="G124" s="184" t="s">
        <v>1124</v>
      </c>
      <c r="H124" s="186"/>
      <c r="I124" s="185"/>
      <c r="J124" s="187"/>
      <c r="K124" s="188"/>
      <c r="L124" s="189"/>
      <c r="M124" s="185" t="s">
        <v>1124</v>
      </c>
      <c r="N124" s="189"/>
      <c r="O124" s="333"/>
      <c r="P124" s="333" t="s">
        <v>1124</v>
      </c>
      <c r="Q124" s="333" t="s">
        <v>1124</v>
      </c>
      <c r="R124" s="475" t="str">
        <f t="shared" si="2"/>
        <v/>
      </c>
      <c r="S124" s="340" t="s">
        <v>1124</v>
      </c>
    </row>
    <row r="125" spans="2:19" ht="15" customHeight="1" x14ac:dyDescent="0.35">
      <c r="B125" s="181">
        <v>3010</v>
      </c>
      <c r="C125" s="182" t="s">
        <v>1032</v>
      </c>
      <c r="D125" s="183">
        <v>11</v>
      </c>
      <c r="E125" s="185" t="s">
        <v>1124</v>
      </c>
      <c r="F125" s="185" t="s">
        <v>1124</v>
      </c>
      <c r="G125" s="184" t="s">
        <v>1124</v>
      </c>
      <c r="H125" s="186"/>
      <c r="I125" s="185"/>
      <c r="J125" s="187"/>
      <c r="K125" s="188"/>
      <c r="L125" s="189"/>
      <c r="M125" s="185" t="s">
        <v>1124</v>
      </c>
      <c r="N125" s="189"/>
      <c r="O125" s="333"/>
      <c r="P125" s="333" t="s">
        <v>1124</v>
      </c>
      <c r="Q125" s="333" t="s">
        <v>1124</v>
      </c>
      <c r="R125" s="475" t="str">
        <f t="shared" si="2"/>
        <v/>
      </c>
      <c r="S125" s="340" t="s">
        <v>1124</v>
      </c>
    </row>
    <row r="126" spans="2:19" ht="15" customHeight="1" x14ac:dyDescent="0.35">
      <c r="B126" s="181">
        <v>44037</v>
      </c>
      <c r="C126" s="182" t="s">
        <v>403</v>
      </c>
      <c r="D126" s="183">
        <v>5</v>
      </c>
      <c r="E126" s="185" t="s">
        <v>1124</v>
      </c>
      <c r="F126" s="185" t="s">
        <v>1124</v>
      </c>
      <c r="G126" s="184" t="s">
        <v>1124</v>
      </c>
      <c r="H126" s="186"/>
      <c r="I126" s="185"/>
      <c r="J126" s="187"/>
      <c r="K126" s="188"/>
      <c r="L126" s="189"/>
      <c r="M126" s="185" t="s">
        <v>1124</v>
      </c>
      <c r="N126" s="189"/>
      <c r="O126" s="333"/>
      <c r="P126" s="333" t="s">
        <v>1124</v>
      </c>
      <c r="Q126" s="333" t="s">
        <v>1124</v>
      </c>
      <c r="R126" s="475" t="str">
        <f t="shared" si="2"/>
        <v/>
      </c>
      <c r="S126" s="340" t="s">
        <v>1124</v>
      </c>
    </row>
    <row r="127" spans="2:19" ht="15" customHeight="1" x14ac:dyDescent="0.35">
      <c r="B127" s="181">
        <v>95050</v>
      </c>
      <c r="C127" s="182" t="s">
        <v>993</v>
      </c>
      <c r="D127" s="183">
        <v>9</v>
      </c>
      <c r="E127" s="185" t="s">
        <v>1124</v>
      </c>
      <c r="F127" s="185" t="s">
        <v>1124</v>
      </c>
      <c r="G127" s="184" t="s">
        <v>1124</v>
      </c>
      <c r="H127" s="186"/>
      <c r="I127" s="185"/>
      <c r="J127" s="187"/>
      <c r="K127" s="188"/>
      <c r="L127" s="189"/>
      <c r="M127" s="185" t="s">
        <v>1124</v>
      </c>
      <c r="N127" s="189"/>
      <c r="O127" s="333"/>
      <c r="P127" s="333" t="s">
        <v>1124</v>
      </c>
      <c r="Q127" s="333" t="s">
        <v>1124</v>
      </c>
      <c r="R127" s="475" t="str">
        <f t="shared" si="2"/>
        <v/>
      </c>
      <c r="S127" s="340" t="s">
        <v>1124</v>
      </c>
    </row>
    <row r="128" spans="2:19" ht="15" customHeight="1" x14ac:dyDescent="0.35">
      <c r="B128" s="181">
        <v>44071</v>
      </c>
      <c r="C128" s="182" t="s">
        <v>408</v>
      </c>
      <c r="D128" s="183">
        <v>5</v>
      </c>
      <c r="E128" s="185">
        <v>265</v>
      </c>
      <c r="F128" s="185">
        <v>198</v>
      </c>
      <c r="G128" s="184" t="s">
        <v>1308</v>
      </c>
      <c r="H128" s="186">
        <v>1</v>
      </c>
      <c r="I128" s="185">
        <v>583</v>
      </c>
      <c r="J128" s="187">
        <v>2.3626040878122634</v>
      </c>
      <c r="K128" s="188">
        <v>1377.3981831945496</v>
      </c>
      <c r="L128" s="189">
        <v>11.561999999999999</v>
      </c>
      <c r="M128" s="185">
        <v>533</v>
      </c>
      <c r="N128" s="189">
        <v>133.22</v>
      </c>
      <c r="O128" s="333">
        <v>99.41248116438355</v>
      </c>
      <c r="P128" s="333">
        <v>8.76</v>
      </c>
      <c r="Q128" s="333">
        <v>14.78805384</v>
      </c>
      <c r="R128" s="475">
        <f t="shared" si="2"/>
        <v>0.59237003697573765</v>
      </c>
      <c r="S128" s="340">
        <v>60</v>
      </c>
    </row>
    <row r="129" spans="2:19" ht="15" customHeight="1" x14ac:dyDescent="0.35">
      <c r="B129" s="181">
        <v>59035</v>
      </c>
      <c r="C129" s="182" t="s">
        <v>604</v>
      </c>
      <c r="D129" s="183">
        <v>16</v>
      </c>
      <c r="E129" s="185">
        <v>437</v>
      </c>
      <c r="F129" s="185">
        <v>221</v>
      </c>
      <c r="G129" s="184" t="s">
        <v>1308</v>
      </c>
      <c r="H129" s="186">
        <v>1</v>
      </c>
      <c r="I129" s="185">
        <v>4151</v>
      </c>
      <c r="J129" s="187">
        <v>2.335766423357664</v>
      </c>
      <c r="K129" s="188">
        <v>9695.7664233576634</v>
      </c>
      <c r="L129" s="189">
        <v>77.844999999999999</v>
      </c>
      <c r="M129" s="185">
        <v>3528</v>
      </c>
      <c r="N129" s="189">
        <v>1547.127</v>
      </c>
      <c r="O129" s="333">
        <v>780.38800000000003</v>
      </c>
      <c r="P129" s="333">
        <v>224.50640180412356</v>
      </c>
      <c r="Q129" s="333">
        <v>99.201119850000012</v>
      </c>
      <c r="R129" s="475">
        <f t="shared" si="2"/>
        <v>2.2631438248237026</v>
      </c>
      <c r="S129" s="340">
        <v>64.114035087719316</v>
      </c>
    </row>
    <row r="130" spans="2:19" ht="15" customHeight="1" x14ac:dyDescent="0.35">
      <c r="B130" s="181">
        <v>41038</v>
      </c>
      <c r="C130" s="182" t="s">
        <v>369</v>
      </c>
      <c r="D130" s="183">
        <v>5</v>
      </c>
      <c r="E130" s="185">
        <v>515</v>
      </c>
      <c r="F130" s="185">
        <v>196</v>
      </c>
      <c r="G130" s="184" t="s">
        <v>1308</v>
      </c>
      <c r="H130" s="186">
        <v>3</v>
      </c>
      <c r="I130" s="185">
        <v>1096</v>
      </c>
      <c r="J130" s="187">
        <v>2.3453050627434013</v>
      </c>
      <c r="K130" s="188">
        <v>2570.4543487667679</v>
      </c>
      <c r="L130" s="189">
        <v>28.357999999999997</v>
      </c>
      <c r="M130" s="185">
        <v>927</v>
      </c>
      <c r="N130" s="189">
        <v>482.86259999999999</v>
      </c>
      <c r="O130" s="333">
        <v>183.81221255002859</v>
      </c>
      <c r="P130" s="333">
        <v>264.57869853571435</v>
      </c>
      <c r="Q130" s="333">
        <v>27.421207819182975</v>
      </c>
      <c r="R130" s="475">
        <f t="shared" si="2"/>
        <v>9.6486887186137658</v>
      </c>
      <c r="S130" s="340">
        <v>59.016121384542451</v>
      </c>
    </row>
    <row r="131" spans="2:19" ht="15" customHeight="1" x14ac:dyDescent="0.35">
      <c r="B131" s="181">
        <v>71040</v>
      </c>
      <c r="C131" s="182" t="s">
        <v>709</v>
      </c>
      <c r="D131" s="183">
        <v>16</v>
      </c>
      <c r="E131" s="185">
        <v>352</v>
      </c>
      <c r="F131" s="185">
        <v>266</v>
      </c>
      <c r="G131" s="184" t="s">
        <v>1308</v>
      </c>
      <c r="H131" s="186">
        <v>2</v>
      </c>
      <c r="I131" s="185">
        <v>2690</v>
      </c>
      <c r="J131" s="187">
        <v>2.6305779078273592</v>
      </c>
      <c r="K131" s="188">
        <v>7076.2545720555963</v>
      </c>
      <c r="L131" s="189">
        <v>50.005000000000003</v>
      </c>
      <c r="M131" s="185">
        <v>2261</v>
      </c>
      <c r="N131" s="189">
        <v>910.03399999999999</v>
      </c>
      <c r="O131" s="333">
        <v>687.10976627112552</v>
      </c>
      <c r="P131" s="333">
        <v>89.72921454081623</v>
      </c>
      <c r="Q131" s="333">
        <v>52.154198474999994</v>
      </c>
      <c r="R131" s="475">
        <f t="shared" si="2"/>
        <v>1.7204600428060981</v>
      </c>
      <c r="S131" s="340">
        <v>60.624271330153675</v>
      </c>
    </row>
    <row r="132" spans="2:19" ht="15" customHeight="1" x14ac:dyDescent="0.35">
      <c r="B132" s="181">
        <v>98015</v>
      </c>
      <c r="C132" s="182" t="s">
        <v>1010</v>
      </c>
      <c r="D132" s="183">
        <v>9</v>
      </c>
      <c r="E132" s="185" t="s">
        <v>1124</v>
      </c>
      <c r="F132" s="185" t="s">
        <v>1124</v>
      </c>
      <c r="G132" s="184" t="s">
        <v>1124</v>
      </c>
      <c r="H132" s="186"/>
      <c r="I132" s="185"/>
      <c r="J132" s="187"/>
      <c r="K132" s="188"/>
      <c r="L132" s="189"/>
      <c r="M132" s="185" t="s">
        <v>1124</v>
      </c>
      <c r="N132" s="189"/>
      <c r="O132" s="333"/>
      <c r="P132" s="333" t="s">
        <v>1124</v>
      </c>
      <c r="Q132" s="333" t="s">
        <v>1124</v>
      </c>
      <c r="R132" s="475" t="str">
        <f t="shared" si="2"/>
        <v/>
      </c>
      <c r="S132" s="340" t="s">
        <v>1124</v>
      </c>
    </row>
    <row r="133" spans="2:19" ht="15" customHeight="1" x14ac:dyDescent="0.35">
      <c r="B133" s="181">
        <v>66058</v>
      </c>
      <c r="C133" s="182" t="s">
        <v>651</v>
      </c>
      <c r="D133" s="183">
        <v>6</v>
      </c>
      <c r="E133" s="185">
        <v>483</v>
      </c>
      <c r="F133" s="185">
        <v>343</v>
      </c>
      <c r="G133" s="184" t="s">
        <v>1308</v>
      </c>
      <c r="H133" s="186">
        <v>1</v>
      </c>
      <c r="I133" s="185">
        <v>15621</v>
      </c>
      <c r="J133" s="187">
        <v>2.225273670059535</v>
      </c>
      <c r="K133" s="188">
        <v>34761</v>
      </c>
      <c r="L133" s="189">
        <v>72.805000000000007</v>
      </c>
      <c r="M133" s="185">
        <v>8977</v>
      </c>
      <c r="N133" s="189">
        <v>6134.1220000000003</v>
      </c>
      <c r="O133" s="333">
        <v>4351.9033950000003</v>
      </c>
      <c r="P133" s="333">
        <v>708.36279202190713</v>
      </c>
      <c r="Q133" s="333">
        <v>182.48336007146528</v>
      </c>
      <c r="R133" s="475">
        <f t="shared" si="2"/>
        <v>3.8817938892866377</v>
      </c>
      <c r="S133" s="340">
        <v>50.114035087719309</v>
      </c>
    </row>
    <row r="134" spans="2:19" ht="15" customHeight="1" x14ac:dyDescent="0.35">
      <c r="B134" s="181">
        <v>30090</v>
      </c>
      <c r="C134" s="182" t="s">
        <v>232</v>
      </c>
      <c r="D134" s="183">
        <v>5</v>
      </c>
      <c r="E134" s="185">
        <v>311</v>
      </c>
      <c r="F134" s="185">
        <v>172</v>
      </c>
      <c r="G134" s="184" t="s">
        <v>1308</v>
      </c>
      <c r="H134" s="186">
        <v>1</v>
      </c>
      <c r="I134" s="185">
        <v>251</v>
      </c>
      <c r="J134" s="187">
        <v>1.9582309582309583</v>
      </c>
      <c r="K134" s="188">
        <v>491.51597051597054</v>
      </c>
      <c r="L134" s="189">
        <v>7.867</v>
      </c>
      <c r="M134" s="185">
        <v>246</v>
      </c>
      <c r="N134" s="189">
        <v>55.715000000000003</v>
      </c>
      <c r="O134" s="333">
        <v>30.858000000000001</v>
      </c>
      <c r="P134" s="333">
        <v>11.325050605670103</v>
      </c>
      <c r="Q134" s="333">
        <v>7.0785308115000012</v>
      </c>
      <c r="R134" s="475">
        <f t="shared" si="2"/>
        <v>1.5999154213288262</v>
      </c>
      <c r="S134" s="340">
        <v>51.656862745098039</v>
      </c>
    </row>
    <row r="135" spans="2:19" ht="15" customHeight="1" x14ac:dyDescent="0.35">
      <c r="B135" s="181">
        <v>46080</v>
      </c>
      <c r="C135" s="182" t="s">
        <v>441</v>
      </c>
      <c r="D135" s="183">
        <v>5</v>
      </c>
      <c r="E135" s="185">
        <v>479</v>
      </c>
      <c r="F135" s="185">
        <v>243</v>
      </c>
      <c r="G135" s="184" t="s">
        <v>1308</v>
      </c>
      <c r="H135" s="186">
        <v>1</v>
      </c>
      <c r="I135" s="185">
        <v>6642</v>
      </c>
      <c r="J135" s="187">
        <v>2.1897787948131198</v>
      </c>
      <c r="K135" s="188">
        <v>14544.510755148742</v>
      </c>
      <c r="L135" s="189">
        <v>123.23099999999999</v>
      </c>
      <c r="M135" s="185">
        <v>4339</v>
      </c>
      <c r="N135" s="189">
        <v>2545.4009999999998</v>
      </c>
      <c r="O135" s="333">
        <v>1287.9110000000001</v>
      </c>
      <c r="P135" s="333">
        <v>725.18213948979576</v>
      </c>
      <c r="Q135" s="333">
        <v>129.53547971624999</v>
      </c>
      <c r="R135" s="475">
        <f t="shared" ref="R135:R198" si="3">IF(H135="","",P135/Q135)</f>
        <v>5.5983282810108967</v>
      </c>
      <c r="S135" s="340">
        <v>58.868421052631589</v>
      </c>
    </row>
    <row r="136" spans="2:19" ht="15" customHeight="1" x14ac:dyDescent="0.35">
      <c r="B136" s="181">
        <v>61013</v>
      </c>
      <c r="C136" s="182" t="s">
        <v>610</v>
      </c>
      <c r="D136" s="183">
        <v>14</v>
      </c>
      <c r="E136" s="185">
        <v>314</v>
      </c>
      <c r="F136" s="185">
        <v>206</v>
      </c>
      <c r="G136" s="184" t="s">
        <v>1308</v>
      </c>
      <c r="H136" s="186">
        <v>1</v>
      </c>
      <c r="I136" s="185">
        <v>1294</v>
      </c>
      <c r="J136" s="187">
        <v>2.5479129999999999</v>
      </c>
      <c r="K136" s="188">
        <v>3296.9994219999999</v>
      </c>
      <c r="L136" s="189">
        <v>19.980999999999998</v>
      </c>
      <c r="M136" s="185">
        <v>1033</v>
      </c>
      <c r="N136" s="189">
        <v>377.83699999999999</v>
      </c>
      <c r="O136" s="333">
        <v>247.97000000000003</v>
      </c>
      <c r="P136" s="333">
        <v>9.0085000632365109</v>
      </c>
      <c r="Q136" s="333">
        <v>21.694048799640001</v>
      </c>
      <c r="R136" s="475">
        <f t="shared" si="3"/>
        <v>0.41525213418834023</v>
      </c>
      <c r="S136" s="340">
        <v>62.403508771929843</v>
      </c>
    </row>
    <row r="137" spans="2:19" ht="15" customHeight="1" x14ac:dyDescent="0.35">
      <c r="B137" s="181">
        <v>40047</v>
      </c>
      <c r="C137" s="182" t="s">
        <v>364</v>
      </c>
      <c r="D137" s="183">
        <v>5</v>
      </c>
      <c r="E137" s="185" t="s">
        <v>1124</v>
      </c>
      <c r="F137" s="185" t="s">
        <v>1124</v>
      </c>
      <c r="G137" s="184" t="s">
        <v>1124</v>
      </c>
      <c r="H137" s="186"/>
      <c r="I137" s="185"/>
      <c r="J137" s="187"/>
      <c r="K137" s="188"/>
      <c r="L137" s="189"/>
      <c r="M137" s="185" t="s">
        <v>1124</v>
      </c>
      <c r="N137" s="189"/>
      <c r="O137" s="333"/>
      <c r="P137" s="333" t="s">
        <v>1124</v>
      </c>
      <c r="Q137" s="333" t="s">
        <v>1124</v>
      </c>
      <c r="R137" s="475" t="str">
        <f t="shared" si="3"/>
        <v/>
      </c>
      <c r="S137" s="340" t="s">
        <v>1124</v>
      </c>
    </row>
    <row r="138" spans="2:19" ht="15" customHeight="1" x14ac:dyDescent="0.35">
      <c r="B138" s="181">
        <v>39152</v>
      </c>
      <c r="C138" s="182" t="s">
        <v>356</v>
      </c>
      <c r="D138" s="190">
        <v>17</v>
      </c>
      <c r="E138" s="185">
        <v>303</v>
      </c>
      <c r="F138" s="185">
        <v>226</v>
      </c>
      <c r="G138" s="191" t="s">
        <v>1308</v>
      </c>
      <c r="H138" s="186">
        <v>1</v>
      </c>
      <c r="I138" s="185">
        <v>966</v>
      </c>
      <c r="J138" s="187">
        <v>2.1476323119777154</v>
      </c>
      <c r="K138" s="188">
        <v>2074.6128133704733</v>
      </c>
      <c r="L138" s="189">
        <v>22.161000000000001</v>
      </c>
      <c r="M138" s="185">
        <v>1071</v>
      </c>
      <c r="N138" s="189">
        <v>229.172</v>
      </c>
      <c r="O138" s="333">
        <v>171.09</v>
      </c>
      <c r="P138" s="333">
        <v>15.172913775510215</v>
      </c>
      <c r="Q138" s="333">
        <v>28.931724795600001</v>
      </c>
      <c r="R138" s="475">
        <f t="shared" si="3"/>
        <v>0.52443861825402627</v>
      </c>
      <c r="S138" s="340">
        <v>64.114035087719316</v>
      </c>
    </row>
    <row r="139" spans="2:19" ht="15" customHeight="1" x14ac:dyDescent="0.35">
      <c r="B139" s="181">
        <v>13005</v>
      </c>
      <c r="C139" s="182" t="s">
        <v>41</v>
      </c>
      <c r="D139" s="183">
        <v>1</v>
      </c>
      <c r="E139" s="185">
        <v>613</v>
      </c>
      <c r="F139" s="185">
        <v>315</v>
      </c>
      <c r="G139" s="184" t="s">
        <v>1308</v>
      </c>
      <c r="H139" s="186">
        <v>1</v>
      </c>
      <c r="I139" s="185">
        <v>1170</v>
      </c>
      <c r="J139" s="187">
        <v>2.0265363128491618</v>
      </c>
      <c r="K139" s="188">
        <v>2371.0474860335194</v>
      </c>
      <c r="L139" s="189">
        <v>29.504000000000001</v>
      </c>
      <c r="M139" s="185">
        <v>843</v>
      </c>
      <c r="N139" s="189">
        <v>530.65700000000004</v>
      </c>
      <c r="O139" s="333">
        <v>272.72868210862623</v>
      </c>
      <c r="P139" s="333">
        <v>230.85414500000002</v>
      </c>
      <c r="Q139" s="333">
        <v>28.947577680000006</v>
      </c>
      <c r="R139" s="475">
        <f t="shared" si="3"/>
        <v>7.9749037225832557</v>
      </c>
      <c r="S139" s="340">
        <v>58.378378378378386</v>
      </c>
    </row>
    <row r="140" spans="2:19" ht="15" customHeight="1" x14ac:dyDescent="0.35">
      <c r="B140" s="181">
        <v>83070</v>
      </c>
      <c r="C140" s="182" t="s">
        <v>846</v>
      </c>
      <c r="D140" s="183">
        <v>7</v>
      </c>
      <c r="E140" s="185" t="s">
        <v>1124</v>
      </c>
      <c r="F140" s="185" t="s">
        <v>1124</v>
      </c>
      <c r="G140" s="184" t="s">
        <v>1124</v>
      </c>
      <c r="H140" s="186"/>
      <c r="I140" s="185"/>
      <c r="J140" s="187"/>
      <c r="K140" s="188"/>
      <c r="L140" s="189"/>
      <c r="M140" s="185" t="s">
        <v>1124</v>
      </c>
      <c r="N140" s="189"/>
      <c r="O140" s="333"/>
      <c r="P140" s="333" t="s">
        <v>1124</v>
      </c>
      <c r="Q140" s="333" t="s">
        <v>1124</v>
      </c>
      <c r="R140" s="475" t="str">
        <f t="shared" si="3"/>
        <v/>
      </c>
      <c r="S140" s="340" t="s">
        <v>1124</v>
      </c>
    </row>
    <row r="141" spans="2:19" ht="15" customHeight="1" x14ac:dyDescent="0.35">
      <c r="B141" s="181">
        <v>67025</v>
      </c>
      <c r="C141" s="182" t="s">
        <v>666</v>
      </c>
      <c r="D141" s="183">
        <v>16</v>
      </c>
      <c r="E141" s="185" t="s">
        <v>1124</v>
      </c>
      <c r="F141" s="185" t="s">
        <v>1124</v>
      </c>
      <c r="G141" s="184" t="s">
        <v>1124</v>
      </c>
      <c r="H141" s="186"/>
      <c r="I141" s="185"/>
      <c r="J141" s="187"/>
      <c r="K141" s="188"/>
      <c r="L141" s="189"/>
      <c r="M141" s="185" t="s">
        <v>1124</v>
      </c>
      <c r="N141" s="189"/>
      <c r="O141" s="333"/>
      <c r="P141" s="333" t="s">
        <v>1124</v>
      </c>
      <c r="Q141" s="333" t="s">
        <v>1124</v>
      </c>
      <c r="R141" s="475" t="str">
        <f t="shared" si="3"/>
        <v/>
      </c>
      <c r="S141" s="340" t="s">
        <v>1124</v>
      </c>
    </row>
    <row r="142" spans="2:19" ht="15" customHeight="1" x14ac:dyDescent="0.35">
      <c r="B142" s="192">
        <v>83005</v>
      </c>
      <c r="C142" s="182" t="s">
        <v>835</v>
      </c>
      <c r="D142" s="183">
        <v>7</v>
      </c>
      <c r="E142" s="185" t="s">
        <v>1124</v>
      </c>
      <c r="F142" s="185" t="s">
        <v>1124</v>
      </c>
      <c r="G142" s="184" t="s">
        <v>1124</v>
      </c>
      <c r="H142" s="186"/>
      <c r="I142" s="185"/>
      <c r="J142" s="187"/>
      <c r="K142" s="188"/>
      <c r="L142" s="189"/>
      <c r="M142" s="185" t="s">
        <v>1124</v>
      </c>
      <c r="N142" s="189"/>
      <c r="O142" s="333"/>
      <c r="P142" s="333" t="s">
        <v>1124</v>
      </c>
      <c r="Q142" s="333" t="s">
        <v>1124</v>
      </c>
      <c r="R142" s="475" t="str">
        <f t="shared" si="3"/>
        <v/>
      </c>
      <c r="S142" s="340" t="s">
        <v>1124</v>
      </c>
    </row>
    <row r="143" spans="2:19" ht="15" customHeight="1" x14ac:dyDescent="0.35">
      <c r="B143" s="181">
        <v>93005</v>
      </c>
      <c r="C143" s="182" t="s">
        <v>958</v>
      </c>
      <c r="D143" s="183">
        <v>2</v>
      </c>
      <c r="E143" s="185">
        <v>449</v>
      </c>
      <c r="F143" s="185">
        <v>348</v>
      </c>
      <c r="G143" s="184" t="s">
        <v>1308</v>
      </c>
      <c r="H143" s="186">
        <v>1</v>
      </c>
      <c r="I143" s="185">
        <v>497</v>
      </c>
      <c r="J143" s="187">
        <v>2.0934393638170974</v>
      </c>
      <c r="K143" s="188">
        <v>1040.4393638170975</v>
      </c>
      <c r="L143" s="189">
        <v>12.516</v>
      </c>
      <c r="M143" s="185">
        <v>543</v>
      </c>
      <c r="N143" s="189">
        <v>170.602</v>
      </c>
      <c r="O143" s="333">
        <v>132.255</v>
      </c>
      <c r="P143" s="333">
        <v>28.336970000000029</v>
      </c>
      <c r="Q143" s="333">
        <v>10.224079057500001</v>
      </c>
      <c r="R143" s="475">
        <f t="shared" si="3"/>
        <v>2.7715914402298258</v>
      </c>
      <c r="S143" s="340">
        <v>58.027027027027032</v>
      </c>
    </row>
    <row r="144" spans="2:19" ht="15" customHeight="1" x14ac:dyDescent="0.35">
      <c r="B144" s="181">
        <v>38070</v>
      </c>
      <c r="C144" s="182" t="s">
        <v>336</v>
      </c>
      <c r="D144" s="183">
        <v>17</v>
      </c>
      <c r="E144" s="185">
        <v>435</v>
      </c>
      <c r="F144" s="185">
        <v>266</v>
      </c>
      <c r="G144" s="184" t="s">
        <v>1308</v>
      </c>
      <c r="H144" s="186">
        <v>1</v>
      </c>
      <c r="I144" s="185">
        <v>452</v>
      </c>
      <c r="J144" s="187">
        <v>1.8333333333333333</v>
      </c>
      <c r="K144" s="188">
        <v>828.66666666666663</v>
      </c>
      <c r="L144" s="189">
        <v>17.28</v>
      </c>
      <c r="M144" s="185">
        <v>515</v>
      </c>
      <c r="N144" s="189">
        <v>131.54499999999999</v>
      </c>
      <c r="O144" s="333">
        <v>80.325500000000005</v>
      </c>
      <c r="P144" s="333">
        <v>10.512288249999996</v>
      </c>
      <c r="Q144" s="333">
        <v>12.95155478875</v>
      </c>
      <c r="R144" s="475">
        <f t="shared" si="3"/>
        <v>0.81166226151714205</v>
      </c>
      <c r="S144" s="340">
        <v>57.644444444444431</v>
      </c>
    </row>
    <row r="145" spans="2:19" ht="15" customHeight="1" x14ac:dyDescent="0.35">
      <c r="B145" s="181">
        <v>34058</v>
      </c>
      <c r="C145" s="182" t="s">
        <v>291</v>
      </c>
      <c r="D145" s="183">
        <v>3</v>
      </c>
      <c r="E145" s="185">
        <v>506</v>
      </c>
      <c r="F145" s="185">
        <v>265</v>
      </c>
      <c r="G145" s="184" t="s">
        <v>1308</v>
      </c>
      <c r="H145" s="186">
        <v>1</v>
      </c>
      <c r="I145" s="185">
        <v>1082</v>
      </c>
      <c r="J145" s="187">
        <v>2.0019999999999998</v>
      </c>
      <c r="K145" s="188">
        <v>2166.1639999999998</v>
      </c>
      <c r="L145" s="189">
        <v>61.19</v>
      </c>
      <c r="M145" s="185">
        <v>1076</v>
      </c>
      <c r="N145" s="189">
        <v>399.84500000000003</v>
      </c>
      <c r="O145" s="333">
        <v>209.52073902236953</v>
      </c>
      <c r="P145" s="333">
        <v>110.97921188775513</v>
      </c>
      <c r="Q145" s="333">
        <v>45.85045539</v>
      </c>
      <c r="R145" s="475">
        <f t="shared" si="3"/>
        <v>2.4204604064185529</v>
      </c>
      <c r="S145" s="340">
        <v>66.05263157894737</v>
      </c>
    </row>
    <row r="146" spans="2:19" ht="15" customHeight="1" x14ac:dyDescent="0.35">
      <c r="B146" s="181">
        <v>72010</v>
      </c>
      <c r="C146" s="182" t="s">
        <v>728</v>
      </c>
      <c r="D146" s="183">
        <v>15</v>
      </c>
      <c r="E146" s="185">
        <v>424</v>
      </c>
      <c r="F146" s="185">
        <v>385</v>
      </c>
      <c r="G146" s="184" t="s">
        <v>1326</v>
      </c>
      <c r="H146" s="186">
        <v>1</v>
      </c>
      <c r="I146" s="185">
        <v>7952</v>
      </c>
      <c r="J146" s="187">
        <v>2.4204298150163219</v>
      </c>
      <c r="K146" s="188">
        <v>19247.25788900979</v>
      </c>
      <c r="L146" s="189">
        <v>76.040999999999997</v>
      </c>
      <c r="M146" s="185">
        <v>6042</v>
      </c>
      <c r="N146" s="189">
        <v>2977.5981000000002</v>
      </c>
      <c r="O146" s="333">
        <v>2703.68</v>
      </c>
      <c r="P146" s="333">
        <v>113.45312849999999</v>
      </c>
      <c r="Q146" s="333">
        <v>133.90886956259999</v>
      </c>
      <c r="R146" s="475">
        <f t="shared" si="3"/>
        <v>0.84724132815535935</v>
      </c>
      <c r="S146" s="340">
        <v>56.744186046511629</v>
      </c>
    </row>
    <row r="147" spans="2:19" ht="15" customHeight="1" x14ac:dyDescent="0.35">
      <c r="B147" s="181">
        <v>31020</v>
      </c>
      <c r="C147" s="182" t="s">
        <v>239</v>
      </c>
      <c r="D147" s="183">
        <v>12</v>
      </c>
      <c r="E147" s="185" t="s">
        <v>1124</v>
      </c>
      <c r="F147" s="185" t="s">
        <v>1124</v>
      </c>
      <c r="G147" s="184" t="s">
        <v>1124</v>
      </c>
      <c r="H147" s="186"/>
      <c r="I147" s="185"/>
      <c r="J147" s="187"/>
      <c r="K147" s="188"/>
      <c r="L147" s="189"/>
      <c r="M147" s="185" t="s">
        <v>1124</v>
      </c>
      <c r="N147" s="189"/>
      <c r="O147" s="333"/>
      <c r="P147" s="333" t="s">
        <v>1124</v>
      </c>
      <c r="Q147" s="333" t="s">
        <v>1124</v>
      </c>
      <c r="R147" s="475" t="str">
        <f t="shared" si="3"/>
        <v/>
      </c>
      <c r="S147" s="340" t="s">
        <v>1124</v>
      </c>
    </row>
    <row r="148" spans="2:19" ht="15" customHeight="1" x14ac:dyDescent="0.35">
      <c r="B148" s="181">
        <v>31015</v>
      </c>
      <c r="C148" s="182" t="s">
        <v>238</v>
      </c>
      <c r="D148" s="183">
        <v>12</v>
      </c>
      <c r="E148" s="185">
        <v>444</v>
      </c>
      <c r="F148" s="185">
        <v>134</v>
      </c>
      <c r="G148" s="184" t="s">
        <v>1308</v>
      </c>
      <c r="H148" s="186">
        <v>1</v>
      </c>
      <c r="I148" s="185">
        <v>1129</v>
      </c>
      <c r="J148" s="187">
        <v>1.9107744107744105</v>
      </c>
      <c r="K148" s="188">
        <v>2157.2643097643095</v>
      </c>
      <c r="L148" s="189">
        <v>23.392999999999997</v>
      </c>
      <c r="M148" s="185">
        <v>1282</v>
      </c>
      <c r="N148" s="189">
        <v>349.49900000000002</v>
      </c>
      <c r="O148" s="333">
        <v>105.380197462331</v>
      </c>
      <c r="P148" s="333">
        <v>117.70111199999998</v>
      </c>
      <c r="Q148" s="333">
        <v>30.577438012828662</v>
      </c>
      <c r="R148" s="475">
        <f t="shared" si="3"/>
        <v>3.8492797189424071</v>
      </c>
      <c r="S148" s="340">
        <v>57.851351351351362</v>
      </c>
    </row>
    <row r="149" spans="2:19" ht="15" customHeight="1" x14ac:dyDescent="0.35">
      <c r="B149" s="181">
        <v>44023</v>
      </c>
      <c r="C149" s="182" t="s">
        <v>402</v>
      </c>
      <c r="D149" s="183">
        <v>5</v>
      </c>
      <c r="E149" s="185">
        <v>306</v>
      </c>
      <c r="F149" s="185">
        <v>243</v>
      </c>
      <c r="G149" s="184" t="s">
        <v>1308</v>
      </c>
      <c r="H149" s="186">
        <v>1</v>
      </c>
      <c r="I149" s="185">
        <v>89</v>
      </c>
      <c r="J149" s="187">
        <v>2.5123674911660778</v>
      </c>
      <c r="K149" s="188">
        <v>223.60070671378094</v>
      </c>
      <c r="L149" s="189">
        <v>4.0880000000000001</v>
      </c>
      <c r="M149" s="185">
        <v>106</v>
      </c>
      <c r="N149" s="189">
        <v>24.975300000000001</v>
      </c>
      <c r="O149" s="333">
        <v>19.862705882352941</v>
      </c>
      <c r="P149" s="333">
        <v>1.8366704999999999</v>
      </c>
      <c r="Q149" s="333">
        <v>3.6440636400000002</v>
      </c>
      <c r="R149" s="475">
        <f t="shared" si="3"/>
        <v>0.50401713072167964</v>
      </c>
      <c r="S149" s="340">
        <v>61.1891891891892</v>
      </c>
    </row>
    <row r="150" spans="2:19" ht="15" customHeight="1" x14ac:dyDescent="0.35">
      <c r="B150" s="181">
        <v>92022</v>
      </c>
      <c r="C150" s="182" t="s">
        <v>949</v>
      </c>
      <c r="D150" s="183">
        <v>2</v>
      </c>
      <c r="E150" s="185">
        <v>464</v>
      </c>
      <c r="F150" s="185">
        <v>216</v>
      </c>
      <c r="G150" s="184" t="s">
        <v>1308</v>
      </c>
      <c r="H150" s="186">
        <v>2</v>
      </c>
      <c r="I150" s="185">
        <v>5848</v>
      </c>
      <c r="J150" s="187">
        <v>2.2759891078007368</v>
      </c>
      <c r="K150" s="188">
        <v>13309.984302418708</v>
      </c>
      <c r="L150" s="189">
        <v>93.794999999999987</v>
      </c>
      <c r="M150" s="185">
        <v>4557</v>
      </c>
      <c r="N150" s="189">
        <v>2253.5259999999998</v>
      </c>
      <c r="O150" s="333">
        <v>1048.4090000000001</v>
      </c>
      <c r="P150" s="333">
        <v>766.57708556701027</v>
      </c>
      <c r="Q150" s="333">
        <v>155.950518894</v>
      </c>
      <c r="R150" s="475">
        <f t="shared" si="3"/>
        <v>4.915514812028646</v>
      </c>
      <c r="S150" s="340">
        <v>60.176470588235297</v>
      </c>
    </row>
    <row r="151" spans="2:19" ht="15" customHeight="1" x14ac:dyDescent="0.35">
      <c r="B151" s="181">
        <v>66142</v>
      </c>
      <c r="C151" s="182" t="s">
        <v>1113</v>
      </c>
      <c r="D151" s="183">
        <v>6</v>
      </c>
      <c r="E151" s="185">
        <v>438</v>
      </c>
      <c r="F151" s="185">
        <v>298</v>
      </c>
      <c r="G151" s="184" t="s">
        <v>1308</v>
      </c>
      <c r="H151" s="186">
        <v>2</v>
      </c>
      <c r="I151" s="185">
        <v>18376</v>
      </c>
      <c r="J151" s="187">
        <v>2.7119068338506751</v>
      </c>
      <c r="K151" s="188">
        <v>49833.999978840002</v>
      </c>
      <c r="L151" s="189">
        <v>207.22</v>
      </c>
      <c r="M151" s="185">
        <v>11819</v>
      </c>
      <c r="N151" s="189">
        <v>7961.3119999999999</v>
      </c>
      <c r="O151" s="333">
        <v>5411.9249999999993</v>
      </c>
      <c r="P151" s="333">
        <v>1549.7043199999996</v>
      </c>
      <c r="Q151" s="333">
        <v>259.99364639999999</v>
      </c>
      <c r="R151" s="475">
        <f t="shared" si="3"/>
        <v>5.960546888195033</v>
      </c>
      <c r="S151" s="340">
        <v>51.405405405405396</v>
      </c>
    </row>
    <row r="152" spans="2:19" ht="15" customHeight="1" x14ac:dyDescent="0.35">
      <c r="B152" s="181">
        <v>34025</v>
      </c>
      <c r="C152" s="182" t="s">
        <v>287</v>
      </c>
      <c r="D152" s="183">
        <v>3</v>
      </c>
      <c r="E152" s="185">
        <v>386</v>
      </c>
      <c r="F152" s="185">
        <v>244</v>
      </c>
      <c r="G152" s="184" t="s">
        <v>1308</v>
      </c>
      <c r="H152" s="186">
        <v>1</v>
      </c>
      <c r="I152" s="185">
        <v>3532</v>
      </c>
      <c r="J152" s="187">
        <v>2.2007233273056057</v>
      </c>
      <c r="K152" s="188">
        <v>7772.9547920433997</v>
      </c>
      <c r="L152" s="189">
        <v>56.835999999999999</v>
      </c>
      <c r="M152" s="185">
        <v>2788</v>
      </c>
      <c r="N152" s="189">
        <v>1096.5146516</v>
      </c>
      <c r="O152" s="333">
        <v>692.33702275632845</v>
      </c>
      <c r="P152" s="333">
        <v>148.95443712227208</v>
      </c>
      <c r="Q152" s="333">
        <v>56.286363840000007</v>
      </c>
      <c r="R152" s="475">
        <f t="shared" si="3"/>
        <v>2.6463680891821499</v>
      </c>
      <c r="S152" s="340">
        <v>62.613190711941428</v>
      </c>
    </row>
    <row r="153" spans="2:19" ht="15" customHeight="1" x14ac:dyDescent="0.35">
      <c r="B153" s="181">
        <v>66087</v>
      </c>
      <c r="C153" s="182" t="s">
        <v>654</v>
      </c>
      <c r="D153" s="183">
        <v>6</v>
      </c>
      <c r="E153" s="185">
        <v>1138</v>
      </c>
      <c r="F153" s="185">
        <v>308</v>
      </c>
      <c r="G153" s="184" t="s">
        <v>1308</v>
      </c>
      <c r="H153" s="186">
        <v>1</v>
      </c>
      <c r="I153" s="185">
        <v>9148</v>
      </c>
      <c r="J153" s="187">
        <v>2.1686278863232684</v>
      </c>
      <c r="K153" s="188">
        <v>19838.60790408526</v>
      </c>
      <c r="L153" s="189">
        <v>137.79</v>
      </c>
      <c r="M153" s="185">
        <v>7464</v>
      </c>
      <c r="N153" s="189">
        <v>8238.7080000000005</v>
      </c>
      <c r="O153" s="333">
        <v>2230.2563005772649</v>
      </c>
      <c r="P153" s="333">
        <v>3225.7779255102041</v>
      </c>
      <c r="Q153" s="333">
        <v>170.86874887439998</v>
      </c>
      <c r="R153" s="475">
        <f t="shared" si="3"/>
        <v>18.878688740685799</v>
      </c>
      <c r="S153" s="340">
        <v>50.684210526315802</v>
      </c>
    </row>
    <row r="154" spans="2:19" ht="15" customHeight="1" x14ac:dyDescent="0.35">
      <c r="B154" s="181">
        <v>33040</v>
      </c>
      <c r="C154" s="182" t="s">
        <v>272</v>
      </c>
      <c r="D154" s="183">
        <v>12</v>
      </c>
      <c r="E154" s="185" t="s">
        <v>1124</v>
      </c>
      <c r="F154" s="185" t="s">
        <v>1124</v>
      </c>
      <c r="G154" s="184" t="s">
        <v>1124</v>
      </c>
      <c r="H154" s="186"/>
      <c r="I154" s="185"/>
      <c r="J154" s="187"/>
      <c r="K154" s="188"/>
      <c r="L154" s="189"/>
      <c r="M154" s="185" t="s">
        <v>1124</v>
      </c>
      <c r="N154" s="189"/>
      <c r="O154" s="333"/>
      <c r="P154" s="333" t="s">
        <v>1124</v>
      </c>
      <c r="Q154" s="333" t="s">
        <v>1124</v>
      </c>
      <c r="R154" s="475" t="str">
        <f t="shared" si="3"/>
        <v/>
      </c>
      <c r="S154" s="340" t="s">
        <v>1124</v>
      </c>
    </row>
    <row r="155" spans="2:19" ht="15" customHeight="1" x14ac:dyDescent="0.35">
      <c r="B155" s="181">
        <v>49058</v>
      </c>
      <c r="C155" s="182" t="s">
        <v>471</v>
      </c>
      <c r="D155" s="183">
        <v>17</v>
      </c>
      <c r="E155" s="185">
        <v>509</v>
      </c>
      <c r="F155" s="185">
        <v>247</v>
      </c>
      <c r="G155" s="184" t="s">
        <v>1326</v>
      </c>
      <c r="H155" s="186">
        <v>1</v>
      </c>
      <c r="I155" s="185">
        <v>34455</v>
      </c>
      <c r="J155" s="187">
        <v>2.1342373998023501</v>
      </c>
      <c r="K155" s="188">
        <v>73535.149610189968</v>
      </c>
      <c r="L155" s="189">
        <v>488.161</v>
      </c>
      <c r="M155" s="185">
        <v>22301</v>
      </c>
      <c r="N155" s="189">
        <v>13674.305</v>
      </c>
      <c r="O155" s="333">
        <v>6625.4470000000001</v>
      </c>
      <c r="P155" s="333">
        <v>2715.5459307741098</v>
      </c>
      <c r="Q155" s="333">
        <v>515.94803851349991</v>
      </c>
      <c r="R155" s="475">
        <f t="shared" si="3"/>
        <v>5.2632159211184923</v>
      </c>
      <c r="S155" s="340">
        <v>64.327374651562792</v>
      </c>
    </row>
    <row r="156" spans="2:19" ht="15" customHeight="1" x14ac:dyDescent="0.35">
      <c r="B156" s="181">
        <v>41117</v>
      </c>
      <c r="C156" s="182" t="s">
        <v>378</v>
      </c>
      <c r="D156" s="183">
        <v>5</v>
      </c>
      <c r="E156" s="185">
        <v>335</v>
      </c>
      <c r="F156" s="185">
        <v>239</v>
      </c>
      <c r="G156" s="184" t="s">
        <v>1308</v>
      </c>
      <c r="H156" s="186">
        <v>1</v>
      </c>
      <c r="I156" s="185">
        <v>127</v>
      </c>
      <c r="J156" s="187">
        <v>2.1349397590361447</v>
      </c>
      <c r="K156" s="188">
        <v>271.13734939759036</v>
      </c>
      <c r="L156" s="189">
        <v>3.8570000000000002</v>
      </c>
      <c r="M156" s="185">
        <v>127</v>
      </c>
      <c r="N156" s="189">
        <v>33.107999999999997</v>
      </c>
      <c r="O156" s="333">
        <v>23.695314319526673</v>
      </c>
      <c r="P156" s="333">
        <v>7.7830000000000013</v>
      </c>
      <c r="Q156" s="333">
        <v>2.9688432780000005</v>
      </c>
      <c r="R156" s="475">
        <f t="shared" si="3"/>
        <v>2.6215597359666352</v>
      </c>
      <c r="S156" s="340">
        <v>57</v>
      </c>
    </row>
    <row r="157" spans="2:19" ht="15" customHeight="1" x14ac:dyDescent="0.35">
      <c r="B157" s="181">
        <v>80135</v>
      </c>
      <c r="C157" s="182" t="s">
        <v>824</v>
      </c>
      <c r="D157" s="183">
        <v>7</v>
      </c>
      <c r="E157" s="185">
        <v>582</v>
      </c>
      <c r="F157" s="185">
        <v>438</v>
      </c>
      <c r="G157" s="184" t="s">
        <v>1326</v>
      </c>
      <c r="H157" s="186">
        <v>1</v>
      </c>
      <c r="I157" s="185">
        <v>31</v>
      </c>
      <c r="J157" s="187">
        <v>1.7591836734693878</v>
      </c>
      <c r="K157" s="188">
        <v>54.534693877551021</v>
      </c>
      <c r="L157" s="189">
        <v>1.6579999999999999</v>
      </c>
      <c r="M157" s="185">
        <v>48</v>
      </c>
      <c r="N157" s="189">
        <v>11.58</v>
      </c>
      <c r="O157" s="333">
        <v>8.7260000000000009</v>
      </c>
      <c r="P157" s="333">
        <v>1.5542999999999996</v>
      </c>
      <c r="Q157" s="333">
        <v>1.000139712</v>
      </c>
      <c r="R157" s="475">
        <f t="shared" si="3"/>
        <v>1.5540828759732317</v>
      </c>
      <c r="S157" s="340">
        <v>53.13513513513513</v>
      </c>
    </row>
    <row r="158" spans="2:19" ht="15" customHeight="1" x14ac:dyDescent="0.35">
      <c r="B158" s="181">
        <v>85030</v>
      </c>
      <c r="C158" s="182" t="s">
        <v>875</v>
      </c>
      <c r="D158" s="183">
        <v>8</v>
      </c>
      <c r="E158" s="185" t="s">
        <v>1124</v>
      </c>
      <c r="F158" s="185" t="s">
        <v>1124</v>
      </c>
      <c r="G158" s="184" t="s">
        <v>1124</v>
      </c>
      <c r="H158" s="186"/>
      <c r="I158" s="185"/>
      <c r="J158" s="187"/>
      <c r="K158" s="188"/>
      <c r="L158" s="189"/>
      <c r="M158" s="185" t="s">
        <v>1124</v>
      </c>
      <c r="N158" s="189"/>
      <c r="O158" s="333"/>
      <c r="P158" s="333" t="s">
        <v>1124</v>
      </c>
      <c r="Q158" s="333" t="s">
        <v>1124</v>
      </c>
      <c r="R158" s="475" t="str">
        <f t="shared" si="3"/>
        <v/>
      </c>
      <c r="S158" s="340" t="s">
        <v>1124</v>
      </c>
    </row>
    <row r="159" spans="2:19" ht="15" customHeight="1" x14ac:dyDescent="0.35">
      <c r="B159" s="181">
        <v>69075</v>
      </c>
      <c r="C159" s="182" t="s">
        <v>696</v>
      </c>
      <c r="D159" s="183">
        <v>16</v>
      </c>
      <c r="E159" s="185" t="s">
        <v>1124</v>
      </c>
      <c r="F159" s="185" t="s">
        <v>1124</v>
      </c>
      <c r="G159" s="184" t="s">
        <v>1124</v>
      </c>
      <c r="H159" s="186"/>
      <c r="I159" s="185"/>
      <c r="J159" s="187"/>
      <c r="K159" s="188"/>
      <c r="L159" s="189"/>
      <c r="M159" s="185" t="s">
        <v>1124</v>
      </c>
      <c r="N159" s="189"/>
      <c r="O159" s="333"/>
      <c r="P159" s="333" t="s">
        <v>1124</v>
      </c>
      <c r="Q159" s="333" t="s">
        <v>1124</v>
      </c>
      <c r="R159" s="475" t="str">
        <f t="shared" si="3"/>
        <v/>
      </c>
      <c r="S159" s="340" t="s">
        <v>1124</v>
      </c>
    </row>
    <row r="160" spans="2:19" ht="15" customHeight="1" x14ac:dyDescent="0.35">
      <c r="B160" s="181">
        <v>46050</v>
      </c>
      <c r="C160" s="182" t="s">
        <v>435</v>
      </c>
      <c r="D160" s="183">
        <v>5</v>
      </c>
      <c r="E160" s="185" t="s">
        <v>1124</v>
      </c>
      <c r="F160" s="185" t="s">
        <v>1124</v>
      </c>
      <c r="G160" s="184" t="s">
        <v>1124</v>
      </c>
      <c r="H160" s="186"/>
      <c r="I160" s="185"/>
      <c r="J160" s="187"/>
      <c r="K160" s="188"/>
      <c r="L160" s="189"/>
      <c r="M160" s="185" t="s">
        <v>1124</v>
      </c>
      <c r="N160" s="189"/>
      <c r="O160" s="333"/>
      <c r="P160" s="333" t="s">
        <v>1124</v>
      </c>
      <c r="Q160" s="333" t="s">
        <v>1124</v>
      </c>
      <c r="R160" s="475" t="str">
        <f t="shared" si="3"/>
        <v/>
      </c>
      <c r="S160" s="340" t="s">
        <v>1124</v>
      </c>
    </row>
    <row r="161" spans="2:19" ht="15" customHeight="1" x14ac:dyDescent="0.35">
      <c r="B161" s="181">
        <v>87005</v>
      </c>
      <c r="C161" s="182" t="s">
        <v>890</v>
      </c>
      <c r="D161" s="183">
        <v>8</v>
      </c>
      <c r="E161" s="185" t="s">
        <v>1124</v>
      </c>
      <c r="F161" s="185" t="s">
        <v>1124</v>
      </c>
      <c r="G161" s="184" t="s">
        <v>1124</v>
      </c>
      <c r="H161" s="186"/>
      <c r="I161" s="185"/>
      <c r="J161" s="187"/>
      <c r="K161" s="188"/>
      <c r="L161" s="189"/>
      <c r="M161" s="185" t="s">
        <v>1124</v>
      </c>
      <c r="N161" s="189"/>
      <c r="O161" s="333"/>
      <c r="P161" s="333" t="s">
        <v>1124</v>
      </c>
      <c r="Q161" s="333" t="s">
        <v>1124</v>
      </c>
      <c r="R161" s="475" t="str">
        <f t="shared" si="3"/>
        <v/>
      </c>
      <c r="S161" s="340" t="s">
        <v>1124</v>
      </c>
    </row>
    <row r="162" spans="2:19" ht="15" customHeight="1" x14ac:dyDescent="0.35">
      <c r="B162" s="181">
        <v>87085</v>
      </c>
      <c r="C162" s="182" t="s">
        <v>903</v>
      </c>
      <c r="D162" s="183">
        <v>8</v>
      </c>
      <c r="E162" s="185">
        <v>364</v>
      </c>
      <c r="F162" s="185">
        <v>121</v>
      </c>
      <c r="G162" s="184" t="s">
        <v>1308</v>
      </c>
      <c r="H162" s="186">
        <v>1</v>
      </c>
      <c r="I162" s="185">
        <v>262</v>
      </c>
      <c r="J162" s="187">
        <v>2.3115577889447234</v>
      </c>
      <c r="K162" s="188">
        <v>605.62814070351749</v>
      </c>
      <c r="L162" s="189">
        <v>7.7338899999999997</v>
      </c>
      <c r="M162" s="185">
        <v>286</v>
      </c>
      <c r="N162" s="189">
        <v>80.510999999999996</v>
      </c>
      <c r="O162" s="333">
        <v>26.758569444444447</v>
      </c>
      <c r="P162" s="333">
        <v>46.889334999999988</v>
      </c>
      <c r="Q162" s="333">
        <v>8.7789548368999988</v>
      </c>
      <c r="R162" s="475">
        <f t="shared" si="3"/>
        <v>5.3411067571407429</v>
      </c>
      <c r="S162" s="340">
        <v>58.202702702702709</v>
      </c>
    </row>
    <row r="163" spans="2:19" ht="15" customHeight="1" x14ac:dyDescent="0.35">
      <c r="B163" s="181">
        <v>49015</v>
      </c>
      <c r="C163" s="182" t="s">
        <v>465</v>
      </c>
      <c r="D163" s="183">
        <v>17</v>
      </c>
      <c r="E163" s="185">
        <v>220</v>
      </c>
      <c r="F163" s="185">
        <v>163</v>
      </c>
      <c r="G163" s="184" t="s">
        <v>1308</v>
      </c>
      <c r="H163" s="186">
        <v>1</v>
      </c>
      <c r="I163" s="185">
        <v>240</v>
      </c>
      <c r="J163" s="187">
        <v>2.38</v>
      </c>
      <c r="K163" s="188">
        <v>571.19999999999993</v>
      </c>
      <c r="L163" s="189">
        <v>6.202</v>
      </c>
      <c r="M163" s="185">
        <v>245</v>
      </c>
      <c r="N163" s="189">
        <v>45.963000000000001</v>
      </c>
      <c r="O163" s="333">
        <v>33.96</v>
      </c>
      <c r="P163" s="333">
        <v>8.7665550000000056</v>
      </c>
      <c r="Q163" s="333">
        <v>8.3344258409999998</v>
      </c>
      <c r="R163" s="475">
        <f t="shared" si="3"/>
        <v>1.0518487016675113</v>
      </c>
      <c r="S163" s="340">
        <v>44.729729729729726</v>
      </c>
    </row>
    <row r="164" spans="2:19" ht="15" customHeight="1" x14ac:dyDescent="0.35">
      <c r="B164" s="181">
        <v>41060</v>
      </c>
      <c r="C164" s="182" t="s">
        <v>371</v>
      </c>
      <c r="D164" s="183">
        <v>5</v>
      </c>
      <c r="E164" s="185" t="s">
        <v>1124</v>
      </c>
      <c r="F164" s="185" t="s">
        <v>1124</v>
      </c>
      <c r="G164" s="184" t="s">
        <v>1124</v>
      </c>
      <c r="H164" s="186"/>
      <c r="I164" s="185"/>
      <c r="J164" s="187"/>
      <c r="K164" s="188"/>
      <c r="L164" s="189"/>
      <c r="M164" s="185" t="s">
        <v>1124</v>
      </c>
      <c r="N164" s="189"/>
      <c r="O164" s="333"/>
      <c r="P164" s="333" t="s">
        <v>1124</v>
      </c>
      <c r="Q164" s="333" t="s">
        <v>1124</v>
      </c>
      <c r="R164" s="475" t="str">
        <f t="shared" si="3"/>
        <v/>
      </c>
      <c r="S164" s="340" t="s">
        <v>1124</v>
      </c>
    </row>
    <row r="165" spans="2:19" ht="15" customHeight="1" x14ac:dyDescent="0.35">
      <c r="B165" s="181">
        <v>31122</v>
      </c>
      <c r="C165" s="182" t="s">
        <v>252</v>
      </c>
      <c r="D165" s="183">
        <v>12</v>
      </c>
      <c r="E165" s="185" t="s">
        <v>1124</v>
      </c>
      <c r="F165" s="185" t="s">
        <v>1124</v>
      </c>
      <c r="G165" s="184" t="s">
        <v>1124</v>
      </c>
      <c r="H165" s="186"/>
      <c r="I165" s="185"/>
      <c r="J165" s="187"/>
      <c r="K165" s="188"/>
      <c r="L165" s="189"/>
      <c r="M165" s="185" t="s">
        <v>1124</v>
      </c>
      <c r="N165" s="189"/>
      <c r="O165" s="333"/>
      <c r="P165" s="333" t="s">
        <v>1124</v>
      </c>
      <c r="Q165" s="333" t="s">
        <v>1124</v>
      </c>
      <c r="R165" s="475" t="str">
        <f t="shared" si="3"/>
        <v/>
      </c>
      <c r="S165" s="340" t="s">
        <v>1124</v>
      </c>
    </row>
    <row r="166" spans="2:19" ht="15" customHeight="1" x14ac:dyDescent="0.35">
      <c r="B166" s="181">
        <v>46085</v>
      </c>
      <c r="C166" s="182" t="s">
        <v>442</v>
      </c>
      <c r="D166" s="183">
        <v>5</v>
      </c>
      <c r="E166" s="185" t="s">
        <v>1124</v>
      </c>
      <c r="F166" s="185" t="s">
        <v>1124</v>
      </c>
      <c r="G166" s="184" t="s">
        <v>1124</v>
      </c>
      <c r="H166" s="186"/>
      <c r="I166" s="185"/>
      <c r="J166" s="187"/>
      <c r="K166" s="188"/>
      <c r="L166" s="189"/>
      <c r="M166" s="185" t="s">
        <v>1124</v>
      </c>
      <c r="N166" s="189"/>
      <c r="O166" s="333"/>
      <c r="P166" s="333" t="s">
        <v>1124</v>
      </c>
      <c r="Q166" s="333" t="s">
        <v>1124</v>
      </c>
      <c r="R166" s="475" t="str">
        <f t="shared" si="3"/>
        <v/>
      </c>
      <c r="S166" s="340" t="s">
        <v>1124</v>
      </c>
    </row>
    <row r="167" spans="2:19" ht="15" customHeight="1" x14ac:dyDescent="0.35">
      <c r="B167" s="181">
        <v>44010</v>
      </c>
      <c r="C167" s="182" t="s">
        <v>400</v>
      </c>
      <c r="D167" s="183">
        <v>5</v>
      </c>
      <c r="E167" s="185">
        <v>209</v>
      </c>
      <c r="F167" s="185">
        <v>179</v>
      </c>
      <c r="G167" s="184" t="s">
        <v>1308</v>
      </c>
      <c r="H167" s="186">
        <v>1</v>
      </c>
      <c r="I167" s="185">
        <v>42</v>
      </c>
      <c r="J167" s="187">
        <v>1.9784172661870503</v>
      </c>
      <c r="K167" s="188">
        <v>83.093525179856115</v>
      </c>
      <c r="L167" s="189">
        <v>1.4059999999999999</v>
      </c>
      <c r="M167" s="185">
        <v>42</v>
      </c>
      <c r="N167" s="189">
        <v>6.3390000000000004</v>
      </c>
      <c r="O167" s="333">
        <v>5.44</v>
      </c>
      <c r="P167" s="333">
        <v>0.54391500000000059</v>
      </c>
      <c r="Q167" s="333">
        <v>0.84644595</v>
      </c>
      <c r="R167" s="475">
        <f t="shared" si="3"/>
        <v>0.6425868066354391</v>
      </c>
      <c r="S167" s="340">
        <v>44.729729729729726</v>
      </c>
    </row>
    <row r="168" spans="2:19" ht="15" customHeight="1" x14ac:dyDescent="0.35">
      <c r="B168" s="181">
        <v>45093</v>
      </c>
      <c r="C168" s="182" t="s">
        <v>422</v>
      </c>
      <c r="D168" s="183">
        <v>5</v>
      </c>
      <c r="E168" s="185">
        <v>660</v>
      </c>
      <c r="F168" s="185">
        <v>164</v>
      </c>
      <c r="G168" s="184" t="s">
        <v>1308</v>
      </c>
      <c r="H168" s="186">
        <v>1</v>
      </c>
      <c r="I168" s="185">
        <v>321</v>
      </c>
      <c r="J168" s="187">
        <v>2.1965065502183405</v>
      </c>
      <c r="K168" s="188">
        <v>705.07860262008728</v>
      </c>
      <c r="L168" s="189">
        <v>13.685</v>
      </c>
      <c r="M168" s="185">
        <v>366</v>
      </c>
      <c r="N168" s="189">
        <v>169.98099999999999</v>
      </c>
      <c r="O168" s="333">
        <v>42.159754098360651</v>
      </c>
      <c r="P168" s="333">
        <v>89.387047499999994</v>
      </c>
      <c r="Q168" s="333">
        <v>8.9662103999999996</v>
      </c>
      <c r="R168" s="475">
        <f t="shared" si="3"/>
        <v>9.9693229929112519</v>
      </c>
      <c r="S168" s="340">
        <v>58.554054054054063</v>
      </c>
    </row>
    <row r="169" spans="2:19" ht="15" customHeight="1" x14ac:dyDescent="0.35">
      <c r="B169" s="181">
        <v>83075</v>
      </c>
      <c r="C169" s="182" t="s">
        <v>847</v>
      </c>
      <c r="D169" s="183">
        <v>7</v>
      </c>
      <c r="E169" s="185" t="s">
        <v>1124</v>
      </c>
      <c r="F169" s="185" t="s">
        <v>1124</v>
      </c>
      <c r="G169" s="184" t="s">
        <v>1124</v>
      </c>
      <c r="H169" s="186"/>
      <c r="I169" s="185"/>
      <c r="J169" s="187"/>
      <c r="K169" s="188"/>
      <c r="L169" s="189"/>
      <c r="M169" s="185" t="s">
        <v>1124</v>
      </c>
      <c r="N169" s="189"/>
      <c r="O169" s="333"/>
      <c r="P169" s="333" t="s">
        <v>1124</v>
      </c>
      <c r="Q169" s="333" t="s">
        <v>1124</v>
      </c>
      <c r="R169" s="475" t="str">
        <f t="shared" si="3"/>
        <v/>
      </c>
      <c r="S169" s="340" t="s">
        <v>1124</v>
      </c>
    </row>
    <row r="170" spans="2:19" ht="15" customHeight="1" x14ac:dyDescent="0.35">
      <c r="B170" s="181">
        <v>69050</v>
      </c>
      <c r="C170" s="182" t="s">
        <v>691</v>
      </c>
      <c r="D170" s="183">
        <v>16</v>
      </c>
      <c r="E170" s="185" t="s">
        <v>1124</v>
      </c>
      <c r="F170" s="185" t="s">
        <v>1124</v>
      </c>
      <c r="G170" s="184" t="s">
        <v>1124</v>
      </c>
      <c r="H170" s="186"/>
      <c r="I170" s="185"/>
      <c r="J170" s="187"/>
      <c r="K170" s="188"/>
      <c r="L170" s="189"/>
      <c r="M170" s="185" t="s">
        <v>1124</v>
      </c>
      <c r="N170" s="189"/>
      <c r="O170" s="333"/>
      <c r="P170" s="333" t="s">
        <v>1124</v>
      </c>
      <c r="Q170" s="333" t="s">
        <v>1124</v>
      </c>
      <c r="R170" s="475" t="str">
        <f t="shared" si="3"/>
        <v/>
      </c>
      <c r="S170" s="340" t="s">
        <v>1124</v>
      </c>
    </row>
    <row r="171" spans="2:19" ht="15" customHeight="1" x14ac:dyDescent="0.35">
      <c r="B171" s="181">
        <v>62053</v>
      </c>
      <c r="C171" s="182" t="s">
        <v>626</v>
      </c>
      <c r="D171" s="183">
        <v>14</v>
      </c>
      <c r="E171" s="185" t="s">
        <v>1124</v>
      </c>
      <c r="F171" s="185" t="s">
        <v>1124</v>
      </c>
      <c r="G171" s="184" t="s">
        <v>1124</v>
      </c>
      <c r="H171" s="186"/>
      <c r="I171" s="185"/>
      <c r="J171" s="187"/>
      <c r="K171" s="188"/>
      <c r="L171" s="189"/>
      <c r="M171" s="185" t="s">
        <v>1124</v>
      </c>
      <c r="N171" s="189"/>
      <c r="O171" s="333"/>
      <c r="P171" s="333" t="s">
        <v>1124</v>
      </c>
      <c r="Q171" s="333" t="s">
        <v>1124</v>
      </c>
      <c r="R171" s="475" t="str">
        <f t="shared" si="3"/>
        <v/>
      </c>
      <c r="S171" s="340" t="s">
        <v>1124</v>
      </c>
    </row>
    <row r="172" spans="2:19" ht="15" customHeight="1" x14ac:dyDescent="0.35">
      <c r="B172" s="181">
        <v>6025</v>
      </c>
      <c r="C172" s="182" t="s">
        <v>1060</v>
      </c>
      <c r="D172" s="183">
        <v>11</v>
      </c>
      <c r="E172" s="185" t="s">
        <v>1124</v>
      </c>
      <c r="F172" s="185" t="s">
        <v>1124</v>
      </c>
      <c r="G172" s="184" t="s">
        <v>1124</v>
      </c>
      <c r="H172" s="186"/>
      <c r="I172" s="185"/>
      <c r="J172" s="187"/>
      <c r="K172" s="188"/>
      <c r="L172" s="189"/>
      <c r="M172" s="185" t="s">
        <v>1124</v>
      </c>
      <c r="N172" s="189"/>
      <c r="O172" s="333"/>
      <c r="P172" s="333" t="s">
        <v>1124</v>
      </c>
      <c r="Q172" s="333" t="s">
        <v>1124</v>
      </c>
      <c r="R172" s="475" t="str">
        <f t="shared" si="3"/>
        <v/>
      </c>
      <c r="S172" s="340" t="s">
        <v>1124</v>
      </c>
    </row>
    <row r="173" spans="2:19" ht="15" customHeight="1" x14ac:dyDescent="0.35">
      <c r="B173" s="181">
        <v>10005</v>
      </c>
      <c r="C173" s="182" t="s">
        <v>8</v>
      </c>
      <c r="D173" s="183">
        <v>1</v>
      </c>
      <c r="E173" s="185" t="s">
        <v>1124</v>
      </c>
      <c r="F173" s="185" t="s">
        <v>1124</v>
      </c>
      <c r="G173" s="184" t="s">
        <v>1124</v>
      </c>
      <c r="H173" s="186"/>
      <c r="I173" s="185"/>
      <c r="J173" s="187"/>
      <c r="K173" s="188"/>
      <c r="L173" s="189"/>
      <c r="M173" s="185" t="s">
        <v>1124</v>
      </c>
      <c r="N173" s="189"/>
      <c r="O173" s="333"/>
      <c r="P173" s="333" t="s">
        <v>1124</v>
      </c>
      <c r="Q173" s="333" t="s">
        <v>1124</v>
      </c>
      <c r="R173" s="475" t="str">
        <f t="shared" si="3"/>
        <v/>
      </c>
      <c r="S173" s="340" t="s">
        <v>1124</v>
      </c>
    </row>
    <row r="174" spans="2:19" ht="15" customHeight="1" x14ac:dyDescent="0.35">
      <c r="B174" s="181">
        <v>77011</v>
      </c>
      <c r="C174" s="182" t="s">
        <v>756</v>
      </c>
      <c r="D174" s="183">
        <v>15</v>
      </c>
      <c r="E174" s="185">
        <v>2299</v>
      </c>
      <c r="F174" s="185">
        <v>219</v>
      </c>
      <c r="G174" s="184" t="s">
        <v>1308</v>
      </c>
      <c r="H174" s="186">
        <v>1</v>
      </c>
      <c r="I174" s="185">
        <v>30</v>
      </c>
      <c r="J174" s="187">
        <v>2.39</v>
      </c>
      <c r="K174" s="188">
        <v>71.7</v>
      </c>
      <c r="L174" s="189">
        <v>2.1850000000000001</v>
      </c>
      <c r="M174" s="185">
        <v>32</v>
      </c>
      <c r="N174" s="189">
        <v>60.164999999999999</v>
      </c>
      <c r="O174" s="333">
        <v>5.7270000000000003</v>
      </c>
      <c r="P174" s="333">
        <v>1.0514857804391224</v>
      </c>
      <c r="Q174" s="333">
        <v>1.6542091999999999</v>
      </c>
      <c r="R174" s="475">
        <f t="shared" si="3"/>
        <v>0.63564256590951285</v>
      </c>
      <c r="S174" s="340">
        <v>63.885964912280713</v>
      </c>
    </row>
    <row r="175" spans="2:19" ht="15" customHeight="1" x14ac:dyDescent="0.35">
      <c r="B175" s="181">
        <v>46112</v>
      </c>
      <c r="C175" s="182" t="s">
        <v>447</v>
      </c>
      <c r="D175" s="183">
        <v>5</v>
      </c>
      <c r="E175" s="185">
        <v>349</v>
      </c>
      <c r="F175" s="185">
        <v>218</v>
      </c>
      <c r="G175" s="184" t="s">
        <v>1308</v>
      </c>
      <c r="H175" s="186">
        <v>1</v>
      </c>
      <c r="I175" s="185">
        <v>4142</v>
      </c>
      <c r="J175" s="187">
        <v>2.260019314340898</v>
      </c>
      <c r="K175" s="188">
        <v>9361</v>
      </c>
      <c r="L175" s="189">
        <v>50</v>
      </c>
      <c r="M175" s="185">
        <v>3192</v>
      </c>
      <c r="N175" s="189">
        <v>1193.8989999999999</v>
      </c>
      <c r="O175" s="333">
        <v>743.33299999999997</v>
      </c>
      <c r="P175" s="333">
        <v>29.961864489795772</v>
      </c>
      <c r="Q175" s="333">
        <v>69.184990800000008</v>
      </c>
      <c r="R175" s="475">
        <f t="shared" si="3"/>
        <v>0.43306885125430655</v>
      </c>
      <c r="S175" s="340">
        <v>61.719298245614048</v>
      </c>
    </row>
    <row r="176" spans="2:19" ht="15" customHeight="1" x14ac:dyDescent="0.35">
      <c r="B176" s="181">
        <v>80005</v>
      </c>
      <c r="C176" s="182" t="s">
        <v>803</v>
      </c>
      <c r="D176" s="183">
        <v>7</v>
      </c>
      <c r="E176" s="185">
        <v>209</v>
      </c>
      <c r="F176" s="185">
        <v>139</v>
      </c>
      <c r="G176" s="184" t="s">
        <v>1326</v>
      </c>
      <c r="H176" s="186">
        <v>1</v>
      </c>
      <c r="I176" s="185">
        <v>383</v>
      </c>
      <c r="J176" s="187">
        <v>1.8072289156626504</v>
      </c>
      <c r="K176" s="188">
        <v>692.16867469879514</v>
      </c>
      <c r="L176" s="189">
        <v>10.159000000000001</v>
      </c>
      <c r="M176" s="185">
        <v>329</v>
      </c>
      <c r="N176" s="189">
        <v>52.884999999999998</v>
      </c>
      <c r="O176" s="333">
        <v>35.049999999999997</v>
      </c>
      <c r="P176" s="333">
        <v>14.204724999999998</v>
      </c>
      <c r="Q176" s="333">
        <v>9.0388986899999999</v>
      </c>
      <c r="R176" s="475">
        <f t="shared" si="3"/>
        <v>1.5715105885316654</v>
      </c>
      <c r="S176" s="340">
        <v>44.202702702702709</v>
      </c>
    </row>
    <row r="177" spans="2:19" ht="15" customHeight="1" x14ac:dyDescent="0.35">
      <c r="B177" s="181">
        <v>94220</v>
      </c>
      <c r="C177" s="182" t="s">
        <v>976</v>
      </c>
      <c r="D177" s="183">
        <v>2</v>
      </c>
      <c r="E177" s="185">
        <v>226</v>
      </c>
      <c r="F177" s="185">
        <v>184</v>
      </c>
      <c r="G177" s="184" t="s">
        <v>1308</v>
      </c>
      <c r="H177" s="186">
        <v>1</v>
      </c>
      <c r="I177" s="185">
        <v>41</v>
      </c>
      <c r="J177" s="187">
        <v>2.0333333333333332</v>
      </c>
      <c r="K177" s="188">
        <v>83.36666666666666</v>
      </c>
      <c r="L177" s="189">
        <v>4.7590000000000003</v>
      </c>
      <c r="M177" s="185">
        <v>38</v>
      </c>
      <c r="N177" s="189">
        <v>6.8739999999999997</v>
      </c>
      <c r="O177" s="333">
        <v>5.5869999999999997</v>
      </c>
      <c r="P177" s="333">
        <v>1.0508900000000003</v>
      </c>
      <c r="Q177" s="333">
        <v>1.8520479600000002</v>
      </c>
      <c r="R177" s="475">
        <f t="shared" si="3"/>
        <v>0.56742051107574998</v>
      </c>
      <c r="S177" s="340">
        <v>45</v>
      </c>
    </row>
    <row r="178" spans="2:19" ht="15" customHeight="1" x14ac:dyDescent="0.35">
      <c r="B178" s="181">
        <v>79097</v>
      </c>
      <c r="C178" s="182" t="s">
        <v>799</v>
      </c>
      <c r="D178" s="183">
        <v>15</v>
      </c>
      <c r="E178" s="185">
        <v>299</v>
      </c>
      <c r="F178" s="185">
        <v>198</v>
      </c>
      <c r="G178" s="184" t="s">
        <v>1308</v>
      </c>
      <c r="H178" s="186">
        <v>1</v>
      </c>
      <c r="I178" s="185">
        <v>1210</v>
      </c>
      <c r="J178" s="187">
        <v>1.9775524981897179</v>
      </c>
      <c r="K178" s="188">
        <v>2392.8385228095585</v>
      </c>
      <c r="L178" s="189">
        <v>22.841000000000001</v>
      </c>
      <c r="M178" s="185">
        <v>798</v>
      </c>
      <c r="N178" s="189">
        <v>261.298</v>
      </c>
      <c r="O178" s="333">
        <v>172.65653156664069</v>
      </c>
      <c r="P178" s="333">
        <v>51.326538350000007</v>
      </c>
      <c r="Q178" s="333">
        <v>21.306308520000002</v>
      </c>
      <c r="R178" s="475">
        <f t="shared" si="3"/>
        <v>2.408983156412118</v>
      </c>
      <c r="S178" s="340">
        <v>54.307017543859658</v>
      </c>
    </row>
    <row r="179" spans="2:19" ht="15" customHeight="1" x14ac:dyDescent="0.35">
      <c r="B179" s="181">
        <v>97035</v>
      </c>
      <c r="C179" s="182" t="s">
        <v>1004</v>
      </c>
      <c r="D179" s="183">
        <v>9</v>
      </c>
      <c r="E179" s="185">
        <v>501</v>
      </c>
      <c r="F179" s="185">
        <v>211</v>
      </c>
      <c r="G179" s="184" t="s">
        <v>1308</v>
      </c>
      <c r="H179" s="186">
        <v>1</v>
      </c>
      <c r="I179" s="185">
        <v>1510</v>
      </c>
      <c r="J179" s="187">
        <v>1.7590975254730714</v>
      </c>
      <c r="K179" s="188">
        <v>2656.237263464338</v>
      </c>
      <c r="L179" s="189">
        <v>23.384999999999998</v>
      </c>
      <c r="M179" s="185">
        <v>1487</v>
      </c>
      <c r="N179" s="189">
        <v>485.72800000000001</v>
      </c>
      <c r="O179" s="333">
        <v>204.49930000000001</v>
      </c>
      <c r="P179" s="333">
        <v>141.92776800000001</v>
      </c>
      <c r="Q179" s="333">
        <v>43.764058085000002</v>
      </c>
      <c r="R179" s="475">
        <f t="shared" si="3"/>
        <v>3.2430211961683995</v>
      </c>
      <c r="S179" s="340">
        <v>59</v>
      </c>
    </row>
    <row r="180" spans="2:19" ht="15" customHeight="1" x14ac:dyDescent="0.35">
      <c r="B180" s="181">
        <v>95045</v>
      </c>
      <c r="C180" s="182" t="s">
        <v>992</v>
      </c>
      <c r="D180" s="183">
        <v>9</v>
      </c>
      <c r="E180" s="185" t="s">
        <v>1124</v>
      </c>
      <c r="F180" s="185" t="s">
        <v>1124</v>
      </c>
      <c r="G180" s="184" t="s">
        <v>1124</v>
      </c>
      <c r="H180" s="186"/>
      <c r="I180" s="185"/>
      <c r="J180" s="187"/>
      <c r="K180" s="188"/>
      <c r="L180" s="189"/>
      <c r="M180" s="185" t="s">
        <v>1124</v>
      </c>
      <c r="N180" s="189"/>
      <c r="O180" s="333"/>
      <c r="P180" s="333" t="s">
        <v>1124</v>
      </c>
      <c r="Q180" s="333" t="s">
        <v>1124</v>
      </c>
      <c r="R180" s="475" t="str">
        <f t="shared" si="3"/>
        <v/>
      </c>
      <c r="S180" s="340" t="s">
        <v>1124</v>
      </c>
    </row>
    <row r="181" spans="2:19" ht="15" customHeight="1" x14ac:dyDescent="0.35">
      <c r="B181" s="181">
        <v>84060</v>
      </c>
      <c r="C181" s="182" t="s">
        <v>863</v>
      </c>
      <c r="D181" s="183">
        <v>7</v>
      </c>
      <c r="E181" s="185" t="s">
        <v>1124</v>
      </c>
      <c r="F181" s="185" t="s">
        <v>1124</v>
      </c>
      <c r="G181" s="184" t="s">
        <v>1124</v>
      </c>
      <c r="H181" s="186"/>
      <c r="I181" s="185"/>
      <c r="J181" s="187"/>
      <c r="K181" s="188"/>
      <c r="L181" s="189"/>
      <c r="M181" s="185" t="s">
        <v>1124</v>
      </c>
      <c r="N181" s="189"/>
      <c r="O181" s="333"/>
      <c r="P181" s="333" t="s">
        <v>1124</v>
      </c>
      <c r="Q181" s="333" t="s">
        <v>1124</v>
      </c>
      <c r="R181" s="475" t="str">
        <f t="shared" si="3"/>
        <v/>
      </c>
      <c r="S181" s="340" t="s">
        <v>1124</v>
      </c>
    </row>
    <row r="182" spans="2:19" ht="15" customHeight="1" x14ac:dyDescent="0.35">
      <c r="B182" s="181">
        <v>38047</v>
      </c>
      <c r="C182" s="182" t="s">
        <v>332</v>
      </c>
      <c r="D182" s="183">
        <v>17</v>
      </c>
      <c r="E182" s="185">
        <v>296</v>
      </c>
      <c r="F182" s="185">
        <v>203</v>
      </c>
      <c r="G182" s="184" t="s">
        <v>1308</v>
      </c>
      <c r="H182" s="186">
        <v>1</v>
      </c>
      <c r="I182" s="185">
        <v>229</v>
      </c>
      <c r="J182" s="187">
        <v>2.1167192429022084</v>
      </c>
      <c r="K182" s="188">
        <v>484.72870662460571</v>
      </c>
      <c r="L182" s="189">
        <v>4.5659999999999998</v>
      </c>
      <c r="M182" s="185">
        <v>230</v>
      </c>
      <c r="N182" s="189">
        <v>52.35125</v>
      </c>
      <c r="O182" s="333">
        <v>35.954789062500005</v>
      </c>
      <c r="P182" s="333">
        <v>11.371981249999999</v>
      </c>
      <c r="Q182" s="333">
        <v>4.7740751918999988</v>
      </c>
      <c r="R182" s="475">
        <f t="shared" si="3"/>
        <v>2.3820280981946889</v>
      </c>
      <c r="S182" s="340">
        <v>59.081081081081081</v>
      </c>
    </row>
    <row r="183" spans="2:19" ht="15" customHeight="1" x14ac:dyDescent="0.35">
      <c r="B183" s="192">
        <v>22010</v>
      </c>
      <c r="C183" s="182" t="s">
        <v>154</v>
      </c>
      <c r="D183" s="183">
        <v>3</v>
      </c>
      <c r="E183" s="185">
        <v>286</v>
      </c>
      <c r="F183" s="185">
        <v>180</v>
      </c>
      <c r="G183" s="184" t="s">
        <v>1308</v>
      </c>
      <c r="H183" s="186">
        <v>1</v>
      </c>
      <c r="I183" s="185">
        <v>1062</v>
      </c>
      <c r="J183" s="187">
        <v>2.2271293375394321</v>
      </c>
      <c r="K183" s="188">
        <v>2365.2113564668771</v>
      </c>
      <c r="L183" s="189">
        <v>29.429000000000002</v>
      </c>
      <c r="M183" s="185">
        <v>1049</v>
      </c>
      <c r="N183" s="189">
        <v>246.49</v>
      </c>
      <c r="O183" s="333">
        <v>155.17054469156528</v>
      </c>
      <c r="P183" s="333">
        <v>31.790210546741847</v>
      </c>
      <c r="Q183" s="333">
        <v>43.300268280000004</v>
      </c>
      <c r="R183" s="475">
        <f t="shared" si="3"/>
        <v>0.73418045221270489</v>
      </c>
      <c r="S183" s="340">
        <v>54.950980392156858</v>
      </c>
    </row>
    <row r="184" spans="2:19" ht="15" customHeight="1" x14ac:dyDescent="0.35">
      <c r="B184" s="181">
        <v>26005</v>
      </c>
      <c r="C184" s="182" t="s">
        <v>167</v>
      </c>
      <c r="D184" s="183">
        <v>12</v>
      </c>
      <c r="E184" s="185">
        <v>304</v>
      </c>
      <c r="F184" s="185">
        <v>256</v>
      </c>
      <c r="G184" s="184" t="s">
        <v>1326</v>
      </c>
      <c r="H184" s="186">
        <v>1</v>
      </c>
      <c r="I184" s="185">
        <v>310</v>
      </c>
      <c r="J184" s="187">
        <v>2.25</v>
      </c>
      <c r="K184" s="188">
        <v>697.5</v>
      </c>
      <c r="L184" s="189">
        <v>8.67</v>
      </c>
      <c r="M184" s="185">
        <v>323</v>
      </c>
      <c r="N184" s="189">
        <v>77.352000000000018</v>
      </c>
      <c r="O184" s="333">
        <v>65.087299999999999</v>
      </c>
      <c r="P184" s="333">
        <v>8.7337200000000248</v>
      </c>
      <c r="Q184" s="333">
        <v>6.675253681250001</v>
      </c>
      <c r="R184" s="475">
        <f t="shared" si="3"/>
        <v>1.3083727476203657</v>
      </c>
      <c r="S184" s="340">
        <v>59.081081081081081</v>
      </c>
    </row>
    <row r="185" spans="2:19" ht="15" customHeight="1" x14ac:dyDescent="0.35">
      <c r="B185" s="181">
        <v>69010</v>
      </c>
      <c r="C185" s="182" t="s">
        <v>685</v>
      </c>
      <c r="D185" s="183">
        <v>16</v>
      </c>
      <c r="E185" s="185" t="s">
        <v>1124</v>
      </c>
      <c r="F185" s="185" t="s">
        <v>1124</v>
      </c>
      <c r="G185" s="184" t="s">
        <v>1124</v>
      </c>
      <c r="H185" s="186"/>
      <c r="I185" s="185"/>
      <c r="J185" s="187"/>
      <c r="K185" s="188"/>
      <c r="L185" s="189"/>
      <c r="M185" s="185" t="s">
        <v>1124</v>
      </c>
      <c r="N185" s="189"/>
      <c r="O185" s="333"/>
      <c r="P185" s="333" t="s">
        <v>1124</v>
      </c>
      <c r="Q185" s="333" t="s">
        <v>1124</v>
      </c>
      <c r="R185" s="475" t="str">
        <f t="shared" si="3"/>
        <v/>
      </c>
      <c r="S185" s="340" t="s">
        <v>1124</v>
      </c>
    </row>
    <row r="186" spans="2:19" ht="15" customHeight="1" x14ac:dyDescent="0.35">
      <c r="B186" s="181">
        <v>96015</v>
      </c>
      <c r="C186" s="182" t="s">
        <v>996</v>
      </c>
      <c r="D186" s="183">
        <v>9</v>
      </c>
      <c r="E186" s="185" t="s">
        <v>1124</v>
      </c>
      <c r="F186" s="185" t="s">
        <v>1124</v>
      </c>
      <c r="G186" s="184" t="s">
        <v>1124</v>
      </c>
      <c r="H186" s="186"/>
      <c r="I186" s="185"/>
      <c r="J186" s="187"/>
      <c r="K186" s="188"/>
      <c r="L186" s="189"/>
      <c r="M186" s="185" t="s">
        <v>1124</v>
      </c>
      <c r="N186" s="189"/>
      <c r="O186" s="333"/>
      <c r="P186" s="333" t="s">
        <v>1124</v>
      </c>
      <c r="Q186" s="333" t="s">
        <v>1124</v>
      </c>
      <c r="R186" s="475" t="str">
        <f t="shared" si="3"/>
        <v/>
      </c>
      <c r="S186" s="340" t="s">
        <v>1124</v>
      </c>
    </row>
    <row r="187" spans="2:19" ht="15" customHeight="1" x14ac:dyDescent="0.35">
      <c r="B187" s="181">
        <v>46010</v>
      </c>
      <c r="C187" s="182" t="s">
        <v>428</v>
      </c>
      <c r="D187" s="183">
        <v>5</v>
      </c>
      <c r="E187" s="185" t="s">
        <v>1124</v>
      </c>
      <c r="F187" s="185" t="s">
        <v>1124</v>
      </c>
      <c r="G187" s="184" t="s">
        <v>1124</v>
      </c>
      <c r="H187" s="186"/>
      <c r="I187" s="185"/>
      <c r="J187" s="187"/>
      <c r="K187" s="188"/>
      <c r="L187" s="189"/>
      <c r="M187" s="185" t="s">
        <v>1124</v>
      </c>
      <c r="N187" s="189"/>
      <c r="O187" s="333"/>
      <c r="P187" s="333" t="s">
        <v>1124</v>
      </c>
      <c r="Q187" s="333" t="s">
        <v>1124</v>
      </c>
      <c r="R187" s="475" t="str">
        <f t="shared" si="3"/>
        <v/>
      </c>
      <c r="S187" s="340" t="s">
        <v>1124</v>
      </c>
    </row>
    <row r="188" spans="2:19" ht="15" customHeight="1" x14ac:dyDescent="0.35">
      <c r="B188" s="181">
        <v>30025</v>
      </c>
      <c r="C188" s="182" t="s">
        <v>221</v>
      </c>
      <c r="D188" s="183">
        <v>5</v>
      </c>
      <c r="E188" s="185">
        <v>222</v>
      </c>
      <c r="F188" s="185">
        <v>194</v>
      </c>
      <c r="G188" s="184" t="s">
        <v>1308</v>
      </c>
      <c r="H188" s="186">
        <v>1</v>
      </c>
      <c r="I188" s="185">
        <v>184</v>
      </c>
      <c r="J188" s="187">
        <v>2.2707253886010363</v>
      </c>
      <c r="K188" s="188">
        <v>417.81347150259069</v>
      </c>
      <c r="L188" s="189">
        <v>5.8179999999999996</v>
      </c>
      <c r="M188" s="185">
        <v>164</v>
      </c>
      <c r="N188" s="189">
        <v>33.866999999999997</v>
      </c>
      <c r="O188" s="333">
        <v>29.548458315789475</v>
      </c>
      <c r="P188" s="333">
        <v>2.8469999999999995</v>
      </c>
      <c r="Q188" s="333">
        <v>4.6876208320000003</v>
      </c>
      <c r="R188" s="475">
        <f t="shared" si="3"/>
        <v>0.60734434418521654</v>
      </c>
      <c r="S188" s="340">
        <v>59</v>
      </c>
    </row>
    <row r="189" spans="2:19" ht="15" customHeight="1" x14ac:dyDescent="0.35">
      <c r="B189" s="181">
        <v>85055</v>
      </c>
      <c r="C189" s="182" t="s">
        <v>879</v>
      </c>
      <c r="D189" s="183">
        <v>8</v>
      </c>
      <c r="E189" s="185" t="s">
        <v>1124</v>
      </c>
      <c r="F189" s="185" t="s">
        <v>1124</v>
      </c>
      <c r="G189" s="184" t="s">
        <v>1124</v>
      </c>
      <c r="H189" s="186"/>
      <c r="I189" s="185"/>
      <c r="J189" s="187"/>
      <c r="K189" s="188"/>
      <c r="L189" s="189"/>
      <c r="M189" s="185" t="s">
        <v>1124</v>
      </c>
      <c r="N189" s="189"/>
      <c r="O189" s="333"/>
      <c r="P189" s="333" t="s">
        <v>1124</v>
      </c>
      <c r="Q189" s="333" t="s">
        <v>1124</v>
      </c>
      <c r="R189" s="475" t="str">
        <f t="shared" si="3"/>
        <v/>
      </c>
      <c r="S189" s="340" t="s">
        <v>1124</v>
      </c>
    </row>
    <row r="190" spans="2:19" ht="15" customHeight="1" x14ac:dyDescent="0.35">
      <c r="B190" s="181">
        <v>87020</v>
      </c>
      <c r="C190" s="182" t="s">
        <v>893</v>
      </c>
      <c r="D190" s="183">
        <v>8</v>
      </c>
      <c r="E190" s="185" t="s">
        <v>1124</v>
      </c>
      <c r="F190" s="185" t="s">
        <v>1124</v>
      </c>
      <c r="G190" s="184" t="s">
        <v>1124</v>
      </c>
      <c r="H190" s="186"/>
      <c r="I190" s="185"/>
      <c r="J190" s="187"/>
      <c r="K190" s="188"/>
      <c r="L190" s="189"/>
      <c r="M190" s="185" t="s">
        <v>1124</v>
      </c>
      <c r="N190" s="189"/>
      <c r="O190" s="333"/>
      <c r="P190" s="333" t="s">
        <v>1124</v>
      </c>
      <c r="Q190" s="333" t="s">
        <v>1124</v>
      </c>
      <c r="R190" s="475" t="str">
        <f t="shared" si="3"/>
        <v/>
      </c>
      <c r="S190" s="340" t="s">
        <v>1124</v>
      </c>
    </row>
    <row r="191" spans="2:19" ht="15" customHeight="1" x14ac:dyDescent="0.35">
      <c r="B191" s="181">
        <v>3005</v>
      </c>
      <c r="C191" s="182" t="s">
        <v>1031</v>
      </c>
      <c r="D191" s="183">
        <v>11</v>
      </c>
      <c r="E191" s="185">
        <v>875</v>
      </c>
      <c r="F191" s="185">
        <v>411</v>
      </c>
      <c r="G191" s="184" t="s">
        <v>1308</v>
      </c>
      <c r="H191" s="186">
        <v>2</v>
      </c>
      <c r="I191" s="185">
        <v>3849</v>
      </c>
      <c r="J191" s="187">
        <v>2.2079104477611939</v>
      </c>
      <c r="K191" s="188">
        <v>8498.2473134328357</v>
      </c>
      <c r="L191" s="189">
        <v>109.715</v>
      </c>
      <c r="M191" s="185">
        <v>2908</v>
      </c>
      <c r="N191" s="189">
        <v>2713.8879999999999</v>
      </c>
      <c r="O191" s="333">
        <v>1274.2492735378278</v>
      </c>
      <c r="P191" s="333">
        <v>568.35922897959222</v>
      </c>
      <c r="Q191" s="333">
        <v>141.0402924</v>
      </c>
      <c r="R191" s="475">
        <f t="shared" si="3"/>
        <v>4.0297649650901617</v>
      </c>
      <c r="S191" s="340">
        <v>61.719298245614048</v>
      </c>
    </row>
    <row r="192" spans="2:19" ht="15" customHeight="1" x14ac:dyDescent="0.35">
      <c r="B192" s="181">
        <v>81017</v>
      </c>
      <c r="C192" s="182" t="s">
        <v>827</v>
      </c>
      <c r="D192" s="183">
        <v>7</v>
      </c>
      <c r="E192" s="185">
        <v>373</v>
      </c>
      <c r="F192" s="185">
        <v>250</v>
      </c>
      <c r="G192" s="184" t="s">
        <v>1308</v>
      </c>
      <c r="H192" s="186">
        <v>1</v>
      </c>
      <c r="I192" s="185">
        <v>129190</v>
      </c>
      <c r="J192" s="187">
        <v>2.2187399889047765</v>
      </c>
      <c r="K192" s="188">
        <v>286639.01916660811</v>
      </c>
      <c r="L192" s="189">
        <v>1349.6000000000001</v>
      </c>
      <c r="M192" s="185">
        <v>125035</v>
      </c>
      <c r="N192" s="189">
        <v>39041.764999999999</v>
      </c>
      <c r="O192" s="333">
        <v>26155.80875</v>
      </c>
      <c r="P192" s="333">
        <v>7640.8126172969496</v>
      </c>
      <c r="Q192" s="333">
        <v>2275.3455769524999</v>
      </c>
      <c r="R192" s="475">
        <f t="shared" si="3"/>
        <v>3.3580888523890624</v>
      </c>
      <c r="S192" s="340">
        <v>50.912280701754398</v>
      </c>
    </row>
    <row r="193" spans="2:19" ht="15" customHeight="1" x14ac:dyDescent="0.35">
      <c r="B193" s="181">
        <v>92055</v>
      </c>
      <c r="C193" s="182" t="s">
        <v>954</v>
      </c>
      <c r="D193" s="183">
        <v>2</v>
      </c>
      <c r="E193" s="185">
        <v>318</v>
      </c>
      <c r="F193" s="185">
        <v>231</v>
      </c>
      <c r="G193" s="184" t="s">
        <v>1308</v>
      </c>
      <c r="H193" s="186">
        <v>1</v>
      </c>
      <c r="I193" s="185">
        <v>410</v>
      </c>
      <c r="J193" s="187">
        <v>1.911111111111111</v>
      </c>
      <c r="K193" s="188">
        <v>783.55555555555554</v>
      </c>
      <c r="L193" s="189">
        <v>11.298</v>
      </c>
      <c r="M193" s="185">
        <v>344</v>
      </c>
      <c r="N193" s="189">
        <v>90.873999999999995</v>
      </c>
      <c r="O193" s="333">
        <v>66.100999999999999</v>
      </c>
      <c r="P193" s="333">
        <v>15.662664642857138</v>
      </c>
      <c r="Q193" s="333">
        <v>12.418608159999998</v>
      </c>
      <c r="R193" s="475">
        <f t="shared" si="3"/>
        <v>1.2612254482194034</v>
      </c>
      <c r="S193" s="340">
        <v>52.666666666666664</v>
      </c>
    </row>
    <row r="194" spans="2:19" ht="15" customHeight="1" x14ac:dyDescent="0.35">
      <c r="B194" s="181">
        <v>96010</v>
      </c>
      <c r="C194" s="182" t="s">
        <v>995</v>
      </c>
      <c r="D194" s="183">
        <v>9</v>
      </c>
      <c r="E194" s="185" t="s">
        <v>1124</v>
      </c>
      <c r="F194" s="185" t="s">
        <v>1124</v>
      </c>
      <c r="G194" s="184" t="s">
        <v>1124</v>
      </c>
      <c r="H194" s="186"/>
      <c r="I194" s="185"/>
      <c r="J194" s="187"/>
      <c r="K194" s="188"/>
      <c r="L194" s="189"/>
      <c r="M194" s="185" t="s">
        <v>1124</v>
      </c>
      <c r="N194" s="189"/>
      <c r="O194" s="333"/>
      <c r="P194" s="333" t="s">
        <v>1124</v>
      </c>
      <c r="Q194" s="333" t="s">
        <v>1124</v>
      </c>
      <c r="R194" s="475" t="str">
        <f t="shared" si="3"/>
        <v/>
      </c>
      <c r="S194" s="340" t="s">
        <v>1124</v>
      </c>
    </row>
    <row r="195" spans="2:19" ht="15" customHeight="1" x14ac:dyDescent="0.35">
      <c r="B195" s="181">
        <v>69060</v>
      </c>
      <c r="C195" s="182" t="s">
        <v>693</v>
      </c>
      <c r="D195" s="183">
        <v>16</v>
      </c>
      <c r="E195" s="185" t="s">
        <v>1124</v>
      </c>
      <c r="F195" s="185" t="s">
        <v>1124</v>
      </c>
      <c r="G195" s="184" t="s">
        <v>1124</v>
      </c>
      <c r="H195" s="186"/>
      <c r="I195" s="185"/>
      <c r="J195" s="187"/>
      <c r="K195" s="188"/>
      <c r="L195" s="189"/>
      <c r="M195" s="185" t="s">
        <v>1124</v>
      </c>
      <c r="N195" s="189"/>
      <c r="O195" s="333"/>
      <c r="P195" s="333" t="s">
        <v>1124</v>
      </c>
      <c r="Q195" s="333" t="s">
        <v>1124</v>
      </c>
      <c r="R195" s="475" t="str">
        <f t="shared" si="3"/>
        <v/>
      </c>
      <c r="S195" s="340" t="s">
        <v>1124</v>
      </c>
    </row>
    <row r="196" spans="2:19" ht="15" customHeight="1" x14ac:dyDescent="0.35">
      <c r="B196" s="181">
        <v>76025</v>
      </c>
      <c r="C196" s="182" t="s">
        <v>749</v>
      </c>
      <c r="D196" s="183">
        <v>15</v>
      </c>
      <c r="E196" s="185" t="s">
        <v>1124</v>
      </c>
      <c r="F196" s="185" t="s">
        <v>1124</v>
      </c>
      <c r="G196" s="184" t="s">
        <v>1124</v>
      </c>
      <c r="H196" s="186"/>
      <c r="I196" s="185"/>
      <c r="J196" s="187"/>
      <c r="K196" s="188"/>
      <c r="L196" s="189"/>
      <c r="M196" s="185" t="s">
        <v>1124</v>
      </c>
      <c r="N196" s="189"/>
      <c r="O196" s="333"/>
      <c r="P196" s="333" t="s">
        <v>1124</v>
      </c>
      <c r="Q196" s="333" t="s">
        <v>1124</v>
      </c>
      <c r="R196" s="475" t="str">
        <f t="shared" si="3"/>
        <v/>
      </c>
      <c r="S196" s="340" t="s">
        <v>1124</v>
      </c>
    </row>
    <row r="197" spans="2:19" ht="15" customHeight="1" x14ac:dyDescent="0.35">
      <c r="B197" s="181">
        <v>99060</v>
      </c>
      <c r="C197" s="182" t="s">
        <v>1023</v>
      </c>
      <c r="D197" s="183">
        <v>10</v>
      </c>
      <c r="E197" s="185" t="s">
        <v>1124</v>
      </c>
      <c r="F197" s="185" t="s">
        <v>1124</v>
      </c>
      <c r="G197" s="184" t="s">
        <v>1124</v>
      </c>
      <c r="H197" s="186"/>
      <c r="I197" s="185"/>
      <c r="J197" s="187"/>
      <c r="K197" s="188"/>
      <c r="L197" s="189"/>
      <c r="M197" s="185" t="s">
        <v>1124</v>
      </c>
      <c r="N197" s="189"/>
      <c r="O197" s="333"/>
      <c r="P197" s="333" t="s">
        <v>1124</v>
      </c>
      <c r="Q197" s="333" t="s">
        <v>1124</v>
      </c>
      <c r="R197" s="475" t="str">
        <f t="shared" si="3"/>
        <v/>
      </c>
      <c r="S197" s="340" t="s">
        <v>1124</v>
      </c>
    </row>
    <row r="198" spans="2:19" ht="15" customHeight="1" x14ac:dyDescent="0.35">
      <c r="B198" s="181">
        <v>83032</v>
      </c>
      <c r="C198" s="182" t="s">
        <v>839</v>
      </c>
      <c r="D198" s="183">
        <v>7</v>
      </c>
      <c r="E198" s="185" t="s">
        <v>1124</v>
      </c>
      <c r="F198" s="185" t="s">
        <v>1124</v>
      </c>
      <c r="G198" s="184" t="s">
        <v>1124</v>
      </c>
      <c r="H198" s="186"/>
      <c r="I198" s="185"/>
      <c r="J198" s="187"/>
      <c r="K198" s="188"/>
      <c r="L198" s="189"/>
      <c r="M198" s="185" t="s">
        <v>1124</v>
      </c>
      <c r="N198" s="189"/>
      <c r="O198" s="333"/>
      <c r="P198" s="333" t="s">
        <v>1124</v>
      </c>
      <c r="Q198" s="333" t="s">
        <v>1124</v>
      </c>
      <c r="R198" s="475" t="str">
        <f t="shared" si="3"/>
        <v/>
      </c>
      <c r="S198" s="340" t="s">
        <v>1124</v>
      </c>
    </row>
    <row r="199" spans="2:19" ht="15" customHeight="1" x14ac:dyDescent="0.35">
      <c r="B199" s="181">
        <v>47017</v>
      </c>
      <c r="C199" s="182" t="s">
        <v>449</v>
      </c>
      <c r="D199" s="183">
        <v>5</v>
      </c>
      <c r="E199" s="185">
        <v>465</v>
      </c>
      <c r="F199" s="185">
        <v>268</v>
      </c>
      <c r="G199" s="184" t="s">
        <v>1326</v>
      </c>
      <c r="H199" s="186">
        <v>1</v>
      </c>
      <c r="I199" s="185">
        <v>26298</v>
      </c>
      <c r="J199" s="187">
        <v>2.1889274914752623</v>
      </c>
      <c r="K199" s="188">
        <v>57564.41517081645</v>
      </c>
      <c r="L199" s="189">
        <v>275.17</v>
      </c>
      <c r="M199" s="185">
        <v>13653</v>
      </c>
      <c r="N199" s="189">
        <v>9762.4639999999999</v>
      </c>
      <c r="O199" s="333">
        <v>5630.91</v>
      </c>
      <c r="P199" s="333">
        <v>29.235316202530271</v>
      </c>
      <c r="Q199" s="333">
        <v>373.3311834000001</v>
      </c>
      <c r="R199" s="475">
        <f t="shared" ref="R199:R262" si="4">IF(H199="","",P199/Q199)</f>
        <v>7.8309333649224072E-2</v>
      </c>
      <c r="S199" s="340">
        <v>59.780701754385966</v>
      </c>
    </row>
    <row r="200" spans="2:19" ht="15" customHeight="1" x14ac:dyDescent="0.35">
      <c r="B200" s="181">
        <v>2015</v>
      </c>
      <c r="C200" s="182" t="s">
        <v>1028</v>
      </c>
      <c r="D200" s="183">
        <v>11</v>
      </c>
      <c r="E200" s="185">
        <v>1031</v>
      </c>
      <c r="F200" s="185">
        <v>519</v>
      </c>
      <c r="G200" s="184" t="s">
        <v>1308</v>
      </c>
      <c r="H200" s="186">
        <v>1</v>
      </c>
      <c r="I200" s="185">
        <v>1391</v>
      </c>
      <c r="J200" s="187">
        <v>2.4759166067577283</v>
      </c>
      <c r="K200" s="188">
        <v>3444</v>
      </c>
      <c r="L200" s="189">
        <v>28.983000000000001</v>
      </c>
      <c r="M200" s="185">
        <v>1134</v>
      </c>
      <c r="N200" s="189">
        <v>1295.654</v>
      </c>
      <c r="O200" s="333">
        <v>652.65347826086963</v>
      </c>
      <c r="P200" s="333">
        <v>457.51015852040803</v>
      </c>
      <c r="Q200" s="333">
        <v>31.131077759999997</v>
      </c>
      <c r="R200" s="475">
        <f t="shared" si="4"/>
        <v>14.696251830646807</v>
      </c>
      <c r="S200" s="340">
        <v>57.12215771486143</v>
      </c>
    </row>
    <row r="201" spans="2:19" ht="15" customHeight="1" x14ac:dyDescent="0.35">
      <c r="B201" s="181">
        <v>35040</v>
      </c>
      <c r="C201" s="182" t="s">
        <v>309</v>
      </c>
      <c r="D201" s="183">
        <v>4</v>
      </c>
      <c r="E201" s="185" t="s">
        <v>1124</v>
      </c>
      <c r="F201" s="185" t="s">
        <v>1124</v>
      </c>
      <c r="G201" s="184" t="s">
        <v>1124</v>
      </c>
      <c r="H201" s="186"/>
      <c r="I201" s="185"/>
      <c r="J201" s="187"/>
      <c r="K201" s="188"/>
      <c r="L201" s="189"/>
      <c r="M201" s="185" t="s">
        <v>1124</v>
      </c>
      <c r="N201" s="189"/>
      <c r="O201" s="333"/>
      <c r="P201" s="333" t="s">
        <v>1124</v>
      </c>
      <c r="Q201" s="333" t="s">
        <v>1124</v>
      </c>
      <c r="R201" s="475" t="str">
        <f t="shared" si="4"/>
        <v/>
      </c>
      <c r="S201" s="340" t="s">
        <v>1124</v>
      </c>
    </row>
    <row r="202" spans="2:19" ht="15" customHeight="1" x14ac:dyDescent="0.35">
      <c r="B202" s="181">
        <v>3020</v>
      </c>
      <c r="C202" s="182" t="s">
        <v>1034</v>
      </c>
      <c r="D202" s="183">
        <v>11</v>
      </c>
      <c r="E202" s="185">
        <v>584</v>
      </c>
      <c r="F202" s="185">
        <v>393</v>
      </c>
      <c r="G202" s="184" t="s">
        <v>1308</v>
      </c>
      <c r="H202" s="186">
        <v>1</v>
      </c>
      <c r="I202" s="185">
        <v>513</v>
      </c>
      <c r="J202" s="187">
        <v>2</v>
      </c>
      <c r="K202" s="188">
        <v>1026</v>
      </c>
      <c r="L202" s="189">
        <v>18.698</v>
      </c>
      <c r="M202" s="185">
        <v>485</v>
      </c>
      <c r="N202" s="189">
        <v>218.59200000000001</v>
      </c>
      <c r="O202" s="333">
        <v>147.3160223463687</v>
      </c>
      <c r="P202" s="333">
        <v>61.105119999999999</v>
      </c>
      <c r="Q202" s="333">
        <v>10.805273850000001</v>
      </c>
      <c r="R202" s="475">
        <f t="shared" si="4"/>
        <v>5.6551199764363211</v>
      </c>
      <c r="S202" s="340">
        <v>45.081081081081081</v>
      </c>
    </row>
    <row r="203" spans="2:19" ht="15" customHeight="1" x14ac:dyDescent="0.35">
      <c r="B203" s="181">
        <v>9060</v>
      </c>
      <c r="C203" s="182" t="s">
        <v>1107</v>
      </c>
      <c r="D203" s="183">
        <v>1</v>
      </c>
      <c r="E203" s="185">
        <v>286</v>
      </c>
      <c r="F203" s="185">
        <v>118</v>
      </c>
      <c r="G203" s="184" t="s">
        <v>1326</v>
      </c>
      <c r="H203" s="186">
        <v>1</v>
      </c>
      <c r="I203" s="185"/>
      <c r="J203" s="187"/>
      <c r="K203" s="188"/>
      <c r="L203" s="189"/>
      <c r="M203" s="185" t="s">
        <v>1124</v>
      </c>
      <c r="N203" s="189"/>
      <c r="O203" s="333"/>
      <c r="P203" s="333"/>
      <c r="Q203" s="333"/>
      <c r="R203" s="475">
        <v>0.1</v>
      </c>
      <c r="S203" s="340">
        <v>66</v>
      </c>
    </row>
    <row r="204" spans="2:19" ht="15" customHeight="1" x14ac:dyDescent="0.35">
      <c r="B204" s="181">
        <v>83095</v>
      </c>
      <c r="C204" s="182" t="s">
        <v>851</v>
      </c>
      <c r="D204" s="183">
        <v>7</v>
      </c>
      <c r="E204" s="185" t="s">
        <v>1124</v>
      </c>
      <c r="F204" s="185" t="s">
        <v>1124</v>
      </c>
      <c r="G204" s="184" t="s">
        <v>1124</v>
      </c>
      <c r="H204" s="186"/>
      <c r="I204" s="185"/>
      <c r="J204" s="187"/>
      <c r="K204" s="188"/>
      <c r="L204" s="189"/>
      <c r="M204" s="185" t="s">
        <v>1124</v>
      </c>
      <c r="N204" s="189"/>
      <c r="O204" s="333"/>
      <c r="P204" s="333" t="s">
        <v>1124</v>
      </c>
      <c r="Q204" s="333" t="s">
        <v>1124</v>
      </c>
      <c r="R204" s="475" t="str">
        <f t="shared" si="4"/>
        <v/>
      </c>
      <c r="S204" s="340" t="s">
        <v>1124</v>
      </c>
    </row>
    <row r="205" spans="2:19" ht="15" customHeight="1" x14ac:dyDescent="0.35">
      <c r="B205" s="181">
        <v>50065</v>
      </c>
      <c r="C205" s="182" t="s">
        <v>490</v>
      </c>
      <c r="D205" s="183">
        <v>17</v>
      </c>
      <c r="E205" s="185">
        <v>311</v>
      </c>
      <c r="F205" s="185">
        <v>169</v>
      </c>
      <c r="G205" s="184" t="s">
        <v>1308</v>
      </c>
      <c r="H205" s="186">
        <v>1</v>
      </c>
      <c r="I205" s="185">
        <v>252</v>
      </c>
      <c r="J205" s="187">
        <v>1.9319999999999999</v>
      </c>
      <c r="K205" s="188">
        <v>486.86399999999998</v>
      </c>
      <c r="L205" s="189">
        <v>11.973000000000001</v>
      </c>
      <c r="M205" s="185">
        <v>241</v>
      </c>
      <c r="N205" s="189">
        <v>55.347999999999999</v>
      </c>
      <c r="O205" s="333">
        <v>29.983000000000001</v>
      </c>
      <c r="P205" s="333">
        <v>5.955779999999999</v>
      </c>
      <c r="Q205" s="333">
        <v>7.5815562549999997</v>
      </c>
      <c r="R205" s="475">
        <f t="shared" si="4"/>
        <v>0.78556167093955032</v>
      </c>
      <c r="S205" s="340">
        <v>64</v>
      </c>
    </row>
    <row r="206" spans="2:19" ht="15" customHeight="1" x14ac:dyDescent="0.35">
      <c r="B206" s="181">
        <v>76055</v>
      </c>
      <c r="C206" s="182" t="s">
        <v>754</v>
      </c>
      <c r="D206" s="183">
        <v>15</v>
      </c>
      <c r="E206" s="185">
        <v>515</v>
      </c>
      <c r="F206" s="185">
        <v>263</v>
      </c>
      <c r="G206" s="184" t="s">
        <v>1308</v>
      </c>
      <c r="H206" s="186">
        <v>1</v>
      </c>
      <c r="I206" s="185">
        <v>928</v>
      </c>
      <c r="J206" s="187">
        <v>1.9944567627494456</v>
      </c>
      <c r="K206" s="188">
        <v>1850.8558758314855</v>
      </c>
      <c r="L206" s="189">
        <v>18.109000000000002</v>
      </c>
      <c r="M206" s="185">
        <v>680</v>
      </c>
      <c r="N206" s="189">
        <v>348.18400000000003</v>
      </c>
      <c r="O206" s="333">
        <v>177.57406548856548</v>
      </c>
      <c r="P206" s="333">
        <v>157.04393621212122</v>
      </c>
      <c r="Q206" s="333">
        <v>20.682865378999999</v>
      </c>
      <c r="R206" s="475">
        <f t="shared" si="4"/>
        <v>7.5929487203244648</v>
      </c>
      <c r="S206" s="340">
        <v>54.31372549019607</v>
      </c>
    </row>
    <row r="207" spans="2:19" ht="15" customHeight="1" x14ac:dyDescent="0.35">
      <c r="B207" s="181">
        <v>76052</v>
      </c>
      <c r="C207" s="182" t="s">
        <v>753</v>
      </c>
      <c r="D207" s="183">
        <v>15</v>
      </c>
      <c r="E207" s="185">
        <v>538</v>
      </c>
      <c r="F207" s="185">
        <v>280</v>
      </c>
      <c r="G207" s="184" t="s">
        <v>1308</v>
      </c>
      <c r="H207" s="186">
        <v>1</v>
      </c>
      <c r="I207" s="185">
        <v>254</v>
      </c>
      <c r="J207" s="187">
        <v>2.33</v>
      </c>
      <c r="K207" s="188">
        <v>591.82000000000005</v>
      </c>
      <c r="L207" s="189">
        <v>9.141</v>
      </c>
      <c r="M207" s="185">
        <v>265</v>
      </c>
      <c r="N207" s="189">
        <v>116.232</v>
      </c>
      <c r="O207" s="333">
        <v>60.379188679245289</v>
      </c>
      <c r="P207" s="333">
        <v>27.651520000000001</v>
      </c>
      <c r="Q207" s="333">
        <v>6.1745298000000002</v>
      </c>
      <c r="R207" s="475">
        <f t="shared" si="4"/>
        <v>4.4783199523954034</v>
      </c>
      <c r="S207" s="340">
        <v>43.5</v>
      </c>
    </row>
    <row r="208" spans="2:19" ht="15" customHeight="1" x14ac:dyDescent="0.35">
      <c r="B208" s="181">
        <v>98014</v>
      </c>
      <c r="C208" s="182" t="s">
        <v>1009</v>
      </c>
      <c r="D208" s="183">
        <v>9</v>
      </c>
      <c r="E208" s="185" t="s">
        <v>1124</v>
      </c>
      <c r="F208" s="185" t="s">
        <v>1124</v>
      </c>
      <c r="G208" s="184" t="s">
        <v>1124</v>
      </c>
      <c r="H208" s="186"/>
      <c r="I208" s="185"/>
      <c r="J208" s="187"/>
      <c r="K208" s="188"/>
      <c r="L208" s="189"/>
      <c r="M208" s="185" t="s">
        <v>1124</v>
      </c>
      <c r="N208" s="189"/>
      <c r="O208" s="333"/>
      <c r="P208" s="333" t="s">
        <v>1124</v>
      </c>
      <c r="Q208" s="333" t="s">
        <v>1124</v>
      </c>
      <c r="R208" s="475" t="str">
        <f t="shared" si="4"/>
        <v/>
      </c>
      <c r="S208" s="340" t="s">
        <v>1124</v>
      </c>
    </row>
    <row r="209" spans="2:19" ht="15" customHeight="1" x14ac:dyDescent="0.35">
      <c r="B209" s="181">
        <v>1042</v>
      </c>
      <c r="C209" s="182" t="s">
        <v>1025</v>
      </c>
      <c r="D209" s="183">
        <v>11</v>
      </c>
      <c r="E209" s="185" t="s">
        <v>1124</v>
      </c>
      <c r="F209" s="185" t="s">
        <v>1124</v>
      </c>
      <c r="G209" s="184" t="s">
        <v>1124</v>
      </c>
      <c r="H209" s="186"/>
      <c r="I209" s="185"/>
      <c r="J209" s="187"/>
      <c r="K209" s="188"/>
      <c r="L209" s="189"/>
      <c r="M209" s="185" t="s">
        <v>1124</v>
      </c>
      <c r="N209" s="189"/>
      <c r="O209" s="333"/>
      <c r="P209" s="333" t="s">
        <v>1124</v>
      </c>
      <c r="Q209" s="333" t="s">
        <v>1124</v>
      </c>
      <c r="R209" s="475" t="str">
        <f t="shared" si="4"/>
        <v/>
      </c>
      <c r="S209" s="340" t="s">
        <v>1124</v>
      </c>
    </row>
    <row r="210" spans="2:19" ht="15" customHeight="1" x14ac:dyDescent="0.35">
      <c r="B210" s="181">
        <v>8015</v>
      </c>
      <c r="C210" s="182" t="s">
        <v>1088</v>
      </c>
      <c r="D210" s="183">
        <v>1</v>
      </c>
      <c r="E210" s="185">
        <v>427</v>
      </c>
      <c r="F210" s="185">
        <v>292</v>
      </c>
      <c r="G210" s="184" t="s">
        <v>1308</v>
      </c>
      <c r="H210" s="186">
        <v>1</v>
      </c>
      <c r="I210" s="185">
        <v>158</v>
      </c>
      <c r="J210" s="187">
        <v>1.7244444444444444</v>
      </c>
      <c r="K210" s="188">
        <v>272.46222222222224</v>
      </c>
      <c r="L210" s="189">
        <v>6.3040000000000003</v>
      </c>
      <c r="M210" s="185">
        <v>178</v>
      </c>
      <c r="N210" s="189">
        <v>42.469000000000001</v>
      </c>
      <c r="O210" s="333">
        <v>29.06</v>
      </c>
      <c r="P210" s="333">
        <v>10.942965000000001</v>
      </c>
      <c r="Q210" s="333">
        <v>6.0594468330000009</v>
      </c>
      <c r="R210" s="475">
        <f t="shared" si="4"/>
        <v>1.8059346507348091</v>
      </c>
      <c r="S210" s="340">
        <v>58.72972972972974</v>
      </c>
    </row>
    <row r="211" spans="2:19" ht="15" customHeight="1" x14ac:dyDescent="0.35">
      <c r="B211" s="181">
        <v>85095</v>
      </c>
      <c r="C211" s="182" t="s">
        <v>886</v>
      </c>
      <c r="D211" s="183">
        <v>8</v>
      </c>
      <c r="E211" s="185" t="s">
        <v>1124</v>
      </c>
      <c r="F211" s="185" t="s">
        <v>1124</v>
      </c>
      <c r="G211" s="184" t="s">
        <v>1124</v>
      </c>
      <c r="H211" s="186"/>
      <c r="I211" s="185"/>
      <c r="J211" s="187"/>
      <c r="K211" s="188"/>
      <c r="L211" s="189"/>
      <c r="M211" s="185" t="s">
        <v>1124</v>
      </c>
      <c r="N211" s="189"/>
      <c r="O211" s="333"/>
      <c r="P211" s="333" t="s">
        <v>1124</v>
      </c>
      <c r="Q211" s="333" t="s">
        <v>1124</v>
      </c>
      <c r="R211" s="475" t="str">
        <f t="shared" si="4"/>
        <v/>
      </c>
      <c r="S211" s="340" t="s">
        <v>1124</v>
      </c>
    </row>
    <row r="212" spans="2:19" ht="15" customHeight="1" x14ac:dyDescent="0.35">
      <c r="B212" s="181">
        <v>39010</v>
      </c>
      <c r="C212" s="182" t="s">
        <v>338</v>
      </c>
      <c r="D212" s="183">
        <v>17</v>
      </c>
      <c r="E212" s="185">
        <v>233</v>
      </c>
      <c r="F212" s="185">
        <v>159</v>
      </c>
      <c r="G212" s="184" t="s">
        <v>1308</v>
      </c>
      <c r="H212" s="186">
        <v>1</v>
      </c>
      <c r="I212" s="185">
        <v>256</v>
      </c>
      <c r="J212" s="187">
        <v>2.185542168674699</v>
      </c>
      <c r="K212" s="188">
        <v>559.49879518072294</v>
      </c>
      <c r="L212" s="189">
        <v>7.9029999999999996</v>
      </c>
      <c r="M212" s="185">
        <v>262</v>
      </c>
      <c r="N212" s="189">
        <v>47.563000000000002</v>
      </c>
      <c r="O212" s="333">
        <v>32.55820938628159</v>
      </c>
      <c r="P212" s="333">
        <v>11.620555000000001</v>
      </c>
      <c r="Q212" s="333">
        <v>7.5805448400000008</v>
      </c>
      <c r="R212" s="475">
        <f t="shared" si="4"/>
        <v>1.5329445633884016</v>
      </c>
      <c r="S212" s="340">
        <v>59.081081081081081</v>
      </c>
    </row>
    <row r="213" spans="2:19" ht="15" customHeight="1" x14ac:dyDescent="0.35">
      <c r="B213" s="181">
        <v>41075</v>
      </c>
      <c r="C213" s="182" t="s">
        <v>374</v>
      </c>
      <c r="D213" s="183">
        <v>5</v>
      </c>
      <c r="E213" s="185" t="s">
        <v>1124</v>
      </c>
      <c r="F213" s="185" t="s">
        <v>1124</v>
      </c>
      <c r="G213" s="184" t="s">
        <v>1124</v>
      </c>
      <c r="H213" s="186"/>
      <c r="I213" s="185"/>
      <c r="J213" s="187"/>
      <c r="K213" s="188"/>
      <c r="L213" s="189"/>
      <c r="M213" s="185" t="s">
        <v>1124</v>
      </c>
      <c r="N213" s="189"/>
      <c r="O213" s="333"/>
      <c r="P213" s="333" t="s">
        <v>1124</v>
      </c>
      <c r="Q213" s="333" t="s">
        <v>1124</v>
      </c>
      <c r="R213" s="475" t="str">
        <f t="shared" si="4"/>
        <v/>
      </c>
      <c r="S213" s="340" t="s">
        <v>1124</v>
      </c>
    </row>
    <row r="214" spans="2:19" ht="15" customHeight="1" x14ac:dyDescent="0.35">
      <c r="B214" s="181">
        <v>66062</v>
      </c>
      <c r="C214" s="182" t="s">
        <v>652</v>
      </c>
      <c r="D214" s="183">
        <v>6</v>
      </c>
      <c r="E214" s="185">
        <v>574</v>
      </c>
      <c r="F214" s="185">
        <v>418</v>
      </c>
      <c r="G214" s="184" t="s">
        <v>1308</v>
      </c>
      <c r="H214" s="186">
        <v>1</v>
      </c>
      <c r="I214" s="185">
        <v>2687</v>
      </c>
      <c r="J214" s="187">
        <v>2.6903954802259888</v>
      </c>
      <c r="K214" s="188">
        <v>7229.0926553672316</v>
      </c>
      <c r="L214" s="189">
        <v>29.171500000000002</v>
      </c>
      <c r="M214" s="185">
        <v>1904</v>
      </c>
      <c r="N214" s="189">
        <v>1513.8610000000001</v>
      </c>
      <c r="O214" s="333">
        <v>1103.085</v>
      </c>
      <c r="P214" s="333">
        <v>282.25149494897983</v>
      </c>
      <c r="Q214" s="333">
        <v>46.108143382500003</v>
      </c>
      <c r="R214" s="475">
        <f t="shared" si="4"/>
        <v>6.1215107406841769</v>
      </c>
      <c r="S214" s="340">
        <v>63.254901960784323</v>
      </c>
    </row>
    <row r="215" spans="2:19" ht="15" customHeight="1" x14ac:dyDescent="0.35">
      <c r="B215" s="181">
        <v>40005</v>
      </c>
      <c r="C215" s="182" t="s">
        <v>358</v>
      </c>
      <c r="D215" s="183">
        <v>5</v>
      </c>
      <c r="E215" s="185" t="s">
        <v>1124</v>
      </c>
      <c r="F215" s="185" t="s">
        <v>1124</v>
      </c>
      <c r="G215" s="184" t="s">
        <v>1124</v>
      </c>
      <c r="H215" s="186"/>
      <c r="I215" s="185"/>
      <c r="J215" s="187"/>
      <c r="K215" s="188"/>
      <c r="L215" s="189"/>
      <c r="M215" s="185" t="s">
        <v>1124</v>
      </c>
      <c r="N215" s="189"/>
      <c r="O215" s="333"/>
      <c r="P215" s="333" t="s">
        <v>1124</v>
      </c>
      <c r="Q215" s="333" t="s">
        <v>1124</v>
      </c>
      <c r="R215" s="475" t="str">
        <f t="shared" si="4"/>
        <v/>
      </c>
      <c r="S215" s="340" t="s">
        <v>1124</v>
      </c>
    </row>
    <row r="216" spans="2:19" ht="15" customHeight="1" x14ac:dyDescent="0.35">
      <c r="B216" s="181">
        <v>76065</v>
      </c>
      <c r="C216" s="182" t="s">
        <v>755</v>
      </c>
      <c r="D216" s="183">
        <v>15</v>
      </c>
      <c r="E216" s="185" t="s">
        <v>1124</v>
      </c>
      <c r="F216" s="185" t="s">
        <v>1124</v>
      </c>
      <c r="G216" s="184" t="s">
        <v>1124</v>
      </c>
      <c r="H216" s="186"/>
      <c r="I216" s="185"/>
      <c r="J216" s="187"/>
      <c r="K216" s="188"/>
      <c r="L216" s="189"/>
      <c r="M216" s="185" t="s">
        <v>1124</v>
      </c>
      <c r="N216" s="189"/>
      <c r="O216" s="333"/>
      <c r="P216" s="333" t="s">
        <v>1124</v>
      </c>
      <c r="Q216" s="333" t="s">
        <v>1124</v>
      </c>
      <c r="R216" s="475" t="str">
        <f t="shared" si="4"/>
        <v/>
      </c>
      <c r="S216" s="340" t="s">
        <v>1124</v>
      </c>
    </row>
    <row r="217" spans="2:19" ht="15" customHeight="1" x14ac:dyDescent="0.35">
      <c r="B217" s="181">
        <v>45055</v>
      </c>
      <c r="C217" s="182" t="s">
        <v>417</v>
      </c>
      <c r="D217" s="183">
        <v>5</v>
      </c>
      <c r="E217" s="185">
        <v>229</v>
      </c>
      <c r="F217" s="185">
        <v>176</v>
      </c>
      <c r="G217" s="184" t="s">
        <v>1308</v>
      </c>
      <c r="H217" s="186">
        <v>1</v>
      </c>
      <c r="I217" s="185">
        <v>163</v>
      </c>
      <c r="J217" s="187">
        <v>2.5095613048368954</v>
      </c>
      <c r="K217" s="188">
        <v>409.05849268841393</v>
      </c>
      <c r="L217" s="189">
        <v>3.4460000000000002</v>
      </c>
      <c r="M217" s="185">
        <v>185</v>
      </c>
      <c r="N217" s="189">
        <v>34.148000000000003</v>
      </c>
      <c r="O217" s="333">
        <v>26.248045612244898</v>
      </c>
      <c r="P217" s="333">
        <v>5.8890000000000002</v>
      </c>
      <c r="Q217" s="333">
        <v>3.7416588000000002</v>
      </c>
      <c r="R217" s="475">
        <f t="shared" si="4"/>
        <v>1.5739008591590447</v>
      </c>
      <c r="S217" s="340">
        <v>59</v>
      </c>
    </row>
    <row r="218" spans="2:19" ht="15" customHeight="1" x14ac:dyDescent="0.35">
      <c r="B218" s="181">
        <v>45043</v>
      </c>
      <c r="C218" s="182" t="s">
        <v>415</v>
      </c>
      <c r="D218" s="183">
        <v>5</v>
      </c>
      <c r="E218" s="185">
        <v>232</v>
      </c>
      <c r="F218" s="185">
        <v>121</v>
      </c>
      <c r="G218" s="184" t="s">
        <v>1326</v>
      </c>
      <c r="H218" s="186">
        <v>2</v>
      </c>
      <c r="I218" s="185">
        <v>151</v>
      </c>
      <c r="J218" s="187">
        <v>2.0420420420420422</v>
      </c>
      <c r="K218" s="188">
        <v>308.3483483483484</v>
      </c>
      <c r="L218" s="189">
        <v>5.0090000000000003</v>
      </c>
      <c r="M218" s="185">
        <v>261</v>
      </c>
      <c r="N218" s="189">
        <v>26.128880000000002</v>
      </c>
      <c r="O218" s="333">
        <v>13.62516305775862</v>
      </c>
      <c r="P218" s="333">
        <v>7.7807970000000015</v>
      </c>
      <c r="Q218" s="333">
        <v>7.1536090849999994</v>
      </c>
      <c r="R218" s="475">
        <f t="shared" si="4"/>
        <v>1.0876743343880948</v>
      </c>
      <c r="S218" s="340">
        <v>51.040540540540547</v>
      </c>
    </row>
    <row r="219" spans="2:19" ht="15" customHeight="1" x14ac:dyDescent="0.35">
      <c r="B219" s="181">
        <v>69005</v>
      </c>
      <c r="C219" s="182" t="s">
        <v>684</v>
      </c>
      <c r="D219" s="183">
        <v>16</v>
      </c>
      <c r="E219" s="185" t="s">
        <v>1124</v>
      </c>
      <c r="F219" s="185" t="s">
        <v>1124</v>
      </c>
      <c r="G219" s="184" t="s">
        <v>1124</v>
      </c>
      <c r="H219" s="186"/>
      <c r="I219" s="185"/>
      <c r="J219" s="187"/>
      <c r="K219" s="188"/>
      <c r="L219" s="189"/>
      <c r="M219" s="185" t="s">
        <v>1124</v>
      </c>
      <c r="N219" s="189"/>
      <c r="O219" s="333"/>
      <c r="P219" s="333" t="s">
        <v>1124</v>
      </c>
      <c r="Q219" s="333" t="s">
        <v>1124</v>
      </c>
      <c r="R219" s="475" t="str">
        <f t="shared" si="4"/>
        <v/>
      </c>
      <c r="S219" s="340" t="s">
        <v>1124</v>
      </c>
    </row>
    <row r="220" spans="2:19" ht="15" customHeight="1" x14ac:dyDescent="0.35">
      <c r="B220" s="181">
        <v>98040</v>
      </c>
      <c r="C220" s="182" t="s">
        <v>1015</v>
      </c>
      <c r="D220" s="183">
        <v>9</v>
      </c>
      <c r="E220" s="185" t="s">
        <v>1124</v>
      </c>
      <c r="F220" s="185" t="s">
        <v>1124</v>
      </c>
      <c r="G220" s="184" t="s">
        <v>1124</v>
      </c>
      <c r="H220" s="186"/>
      <c r="I220" s="185"/>
      <c r="J220" s="187"/>
      <c r="K220" s="188"/>
      <c r="L220" s="189"/>
      <c r="M220" s="185" t="s">
        <v>1124</v>
      </c>
      <c r="N220" s="189"/>
      <c r="O220" s="333"/>
      <c r="P220" s="333" t="s">
        <v>1124</v>
      </c>
      <c r="Q220" s="333" t="s">
        <v>1124</v>
      </c>
      <c r="R220" s="475" t="str">
        <f t="shared" si="4"/>
        <v/>
      </c>
      <c r="S220" s="340" t="s">
        <v>1124</v>
      </c>
    </row>
    <row r="221" spans="2:19" ht="15" customHeight="1" x14ac:dyDescent="0.35">
      <c r="B221" s="181">
        <v>93020</v>
      </c>
      <c r="C221" s="182" t="s">
        <v>960</v>
      </c>
      <c r="D221" s="183">
        <v>2</v>
      </c>
      <c r="E221" s="185">
        <v>506</v>
      </c>
      <c r="F221" s="185">
        <v>262</v>
      </c>
      <c r="G221" s="184" t="s">
        <v>1308</v>
      </c>
      <c r="H221" s="186">
        <v>1</v>
      </c>
      <c r="I221" s="185">
        <v>1094</v>
      </c>
      <c r="J221" s="187">
        <v>2.2680776014109347</v>
      </c>
      <c r="K221" s="188">
        <v>2481.2768959435625</v>
      </c>
      <c r="L221" s="189">
        <v>65.19</v>
      </c>
      <c r="M221" s="185">
        <v>1263</v>
      </c>
      <c r="N221" s="189">
        <v>458.65800000000002</v>
      </c>
      <c r="O221" s="333">
        <v>237.54499999999999</v>
      </c>
      <c r="P221" s="333">
        <v>181.22913000000005</v>
      </c>
      <c r="Q221" s="333">
        <v>38.007269872500004</v>
      </c>
      <c r="R221" s="475">
        <f t="shared" si="4"/>
        <v>4.7682754012049573</v>
      </c>
      <c r="S221" s="340">
        <v>58.72972972972974</v>
      </c>
    </row>
    <row r="222" spans="2:19" ht="15" customHeight="1" x14ac:dyDescent="0.35">
      <c r="B222" s="181">
        <v>93025</v>
      </c>
      <c r="C222" s="182" t="s">
        <v>961</v>
      </c>
      <c r="D222" s="183">
        <v>2</v>
      </c>
      <c r="E222" s="185">
        <v>495</v>
      </c>
      <c r="F222" s="185">
        <v>310</v>
      </c>
      <c r="G222" s="184" t="s">
        <v>1308</v>
      </c>
      <c r="H222" s="186">
        <v>1</v>
      </c>
      <c r="I222" s="185">
        <v>582</v>
      </c>
      <c r="J222" s="187">
        <v>2.4018181818181819</v>
      </c>
      <c r="K222" s="188">
        <v>1397.8581818181819</v>
      </c>
      <c r="L222" s="189">
        <v>19.8</v>
      </c>
      <c r="M222" s="185">
        <v>477</v>
      </c>
      <c r="N222" s="189">
        <v>252.77699999999999</v>
      </c>
      <c r="O222" s="333">
        <v>158.267</v>
      </c>
      <c r="P222" s="333">
        <v>86.095344999999995</v>
      </c>
      <c r="Q222" s="333">
        <v>12.410401500000001</v>
      </c>
      <c r="R222" s="475">
        <f t="shared" si="4"/>
        <v>6.9373537189751673</v>
      </c>
      <c r="S222" s="340">
        <v>64.175675675675677</v>
      </c>
    </row>
    <row r="223" spans="2:19" ht="15" customHeight="1" x14ac:dyDescent="0.35">
      <c r="B223" s="181">
        <v>68015</v>
      </c>
      <c r="C223" s="182" t="s">
        <v>675</v>
      </c>
      <c r="D223" s="183">
        <v>16</v>
      </c>
      <c r="E223" s="185" t="s">
        <v>1124</v>
      </c>
      <c r="F223" s="185" t="s">
        <v>1124</v>
      </c>
      <c r="G223" s="184" t="s">
        <v>1124</v>
      </c>
      <c r="H223" s="186"/>
      <c r="I223" s="185"/>
      <c r="J223" s="187"/>
      <c r="K223" s="188"/>
      <c r="L223" s="189"/>
      <c r="M223" s="185" t="s">
        <v>1124</v>
      </c>
      <c r="N223" s="189"/>
      <c r="O223" s="333"/>
      <c r="P223" s="333" t="s">
        <v>1124</v>
      </c>
      <c r="Q223" s="333" t="s">
        <v>1124</v>
      </c>
      <c r="R223" s="475" t="str">
        <f t="shared" si="4"/>
        <v/>
      </c>
      <c r="S223" s="340" t="s">
        <v>1124</v>
      </c>
    </row>
    <row r="224" spans="2:19" ht="15" customHeight="1" x14ac:dyDescent="0.35">
      <c r="B224" s="181">
        <v>68010</v>
      </c>
      <c r="C224" s="182" t="s">
        <v>674</v>
      </c>
      <c r="D224" s="183">
        <v>16</v>
      </c>
      <c r="E224" s="185">
        <v>305</v>
      </c>
      <c r="F224" s="185">
        <v>233</v>
      </c>
      <c r="G224" s="184" t="s">
        <v>1308</v>
      </c>
      <c r="H224" s="186">
        <v>1</v>
      </c>
      <c r="I224" s="185">
        <v>471</v>
      </c>
      <c r="J224" s="187">
        <v>1.9694656488549618</v>
      </c>
      <c r="K224" s="188">
        <v>927.61832061068696</v>
      </c>
      <c r="L224" s="189">
        <v>6.3250000000000002</v>
      </c>
      <c r="M224" s="185">
        <v>373</v>
      </c>
      <c r="N224" s="189">
        <v>103.343</v>
      </c>
      <c r="O224" s="333">
        <v>78.839651574803142</v>
      </c>
      <c r="P224" s="333">
        <v>13.672427500000001</v>
      </c>
      <c r="Q224" s="333">
        <v>6.392108694400001</v>
      </c>
      <c r="R224" s="475">
        <f t="shared" si="4"/>
        <v>2.1389541626502915</v>
      </c>
      <c r="S224" s="340">
        <v>57.851351351351369</v>
      </c>
    </row>
    <row r="225" spans="2:19" ht="15" customHeight="1" x14ac:dyDescent="0.35">
      <c r="B225" s="181">
        <v>56042</v>
      </c>
      <c r="C225" s="182" t="s">
        <v>573</v>
      </c>
      <c r="D225" s="183">
        <v>16</v>
      </c>
      <c r="E225" s="185" t="s">
        <v>1124</v>
      </c>
      <c r="F225" s="185" t="s">
        <v>1124</v>
      </c>
      <c r="G225" s="184" t="s">
        <v>1124</v>
      </c>
      <c r="H225" s="186"/>
      <c r="I225" s="185"/>
      <c r="J225" s="187"/>
      <c r="K225" s="188"/>
      <c r="L225" s="189"/>
      <c r="M225" s="185" t="s">
        <v>1124</v>
      </c>
      <c r="N225" s="189"/>
      <c r="O225" s="333"/>
      <c r="P225" s="333" t="s">
        <v>1124</v>
      </c>
      <c r="Q225" s="333" t="s">
        <v>1124</v>
      </c>
      <c r="R225" s="475" t="str">
        <f t="shared" si="4"/>
        <v/>
      </c>
      <c r="S225" s="340" t="s">
        <v>1124</v>
      </c>
    </row>
    <row r="226" spans="2:19" ht="15" customHeight="1" x14ac:dyDescent="0.35">
      <c r="B226" s="181">
        <v>35035</v>
      </c>
      <c r="C226" s="182" t="s">
        <v>308</v>
      </c>
      <c r="D226" s="183">
        <v>4</v>
      </c>
      <c r="E226" s="185" t="s">
        <v>1124</v>
      </c>
      <c r="F226" s="185" t="s">
        <v>1124</v>
      </c>
      <c r="G226" s="184" t="s">
        <v>1124</v>
      </c>
      <c r="H226" s="186"/>
      <c r="I226" s="185"/>
      <c r="J226" s="187"/>
      <c r="K226" s="188"/>
      <c r="L226" s="189"/>
      <c r="M226" s="185" t="s">
        <v>1124</v>
      </c>
      <c r="N226" s="189"/>
      <c r="O226" s="333"/>
      <c r="P226" s="333" t="s">
        <v>1124</v>
      </c>
      <c r="Q226" s="333" t="s">
        <v>1124</v>
      </c>
      <c r="R226" s="475" t="str">
        <f t="shared" si="4"/>
        <v/>
      </c>
      <c r="S226" s="340" t="s">
        <v>1124</v>
      </c>
    </row>
    <row r="227" spans="2:19" ht="15" customHeight="1" x14ac:dyDescent="0.35">
      <c r="B227" s="181">
        <v>69045</v>
      </c>
      <c r="C227" s="182" t="s">
        <v>690</v>
      </c>
      <c r="D227" s="183">
        <v>16</v>
      </c>
      <c r="E227" s="185" t="s">
        <v>1124</v>
      </c>
      <c r="F227" s="185" t="s">
        <v>1124</v>
      </c>
      <c r="G227" s="184" t="s">
        <v>1124</v>
      </c>
      <c r="H227" s="186"/>
      <c r="I227" s="185"/>
      <c r="J227" s="187"/>
      <c r="K227" s="188"/>
      <c r="L227" s="189"/>
      <c r="M227" s="185" t="s">
        <v>1124</v>
      </c>
      <c r="N227" s="189"/>
      <c r="O227" s="333"/>
      <c r="P227" s="333" t="s">
        <v>1124</v>
      </c>
      <c r="Q227" s="333" t="s">
        <v>1124</v>
      </c>
      <c r="R227" s="475" t="str">
        <f t="shared" si="4"/>
        <v/>
      </c>
      <c r="S227" s="340" t="s">
        <v>1124</v>
      </c>
    </row>
    <row r="228" spans="2:19" ht="15" customHeight="1" x14ac:dyDescent="0.35">
      <c r="B228" s="181">
        <v>19070</v>
      </c>
      <c r="C228" s="182" t="s">
        <v>130</v>
      </c>
      <c r="D228" s="183">
        <v>12</v>
      </c>
      <c r="E228" s="185">
        <v>188</v>
      </c>
      <c r="F228" s="185">
        <v>156</v>
      </c>
      <c r="G228" s="184" t="s">
        <v>1326</v>
      </c>
      <c r="H228" s="186">
        <v>1</v>
      </c>
      <c r="I228" s="185">
        <v>182</v>
      </c>
      <c r="J228" s="187">
        <v>2.6516516516516515</v>
      </c>
      <c r="K228" s="188">
        <v>482.60060060060056</v>
      </c>
      <c r="L228" s="189">
        <v>5.0039999999999996</v>
      </c>
      <c r="M228" s="185">
        <v>144</v>
      </c>
      <c r="N228" s="189">
        <v>33.032550000000001</v>
      </c>
      <c r="O228" s="333">
        <v>27.442799999999998</v>
      </c>
      <c r="P228" s="333">
        <v>3.1340000000000003</v>
      </c>
      <c r="Q228" s="333">
        <v>4.9037297400000002</v>
      </c>
      <c r="R228" s="475">
        <f t="shared" si="4"/>
        <v>0.6391053679887343</v>
      </c>
      <c r="S228" s="340">
        <v>61.540540540540547</v>
      </c>
    </row>
    <row r="229" spans="2:19" ht="15" customHeight="1" x14ac:dyDescent="0.35">
      <c r="B229" s="181">
        <v>5025</v>
      </c>
      <c r="C229" s="182" t="s">
        <v>1047</v>
      </c>
      <c r="D229" s="183">
        <v>11</v>
      </c>
      <c r="E229" s="185" t="s">
        <v>1124</v>
      </c>
      <c r="F229" s="185" t="s">
        <v>1124</v>
      </c>
      <c r="G229" s="184" t="s">
        <v>1124</v>
      </c>
      <c r="H229" s="186"/>
      <c r="I229" s="185"/>
      <c r="J229" s="187"/>
      <c r="K229" s="188"/>
      <c r="L229" s="189"/>
      <c r="M229" s="185" t="s">
        <v>1124</v>
      </c>
      <c r="N229" s="189"/>
      <c r="O229" s="333"/>
      <c r="P229" s="333" t="s">
        <v>1124</v>
      </c>
      <c r="Q229" s="333" t="s">
        <v>1124</v>
      </c>
      <c r="R229" s="475" t="str">
        <f t="shared" si="4"/>
        <v/>
      </c>
      <c r="S229" s="340" t="s">
        <v>1124</v>
      </c>
    </row>
    <row r="230" spans="2:19" ht="15" customHeight="1" x14ac:dyDescent="0.35">
      <c r="B230" s="181">
        <v>5020</v>
      </c>
      <c r="C230" s="182" t="s">
        <v>1046</v>
      </c>
      <c r="D230" s="183">
        <v>11</v>
      </c>
      <c r="E230" s="185" t="s">
        <v>1124</v>
      </c>
      <c r="F230" s="185" t="s">
        <v>1124</v>
      </c>
      <c r="G230" s="184" t="s">
        <v>1124</v>
      </c>
      <c r="H230" s="186"/>
      <c r="I230" s="185"/>
      <c r="J230" s="187"/>
      <c r="K230" s="188"/>
      <c r="L230" s="189"/>
      <c r="M230" s="185" t="s">
        <v>1124</v>
      </c>
      <c r="N230" s="189"/>
      <c r="O230" s="333"/>
      <c r="P230" s="333" t="s">
        <v>1124</v>
      </c>
      <c r="Q230" s="333" t="s">
        <v>1124</v>
      </c>
      <c r="R230" s="475" t="str">
        <f t="shared" si="4"/>
        <v/>
      </c>
      <c r="S230" s="340" t="s">
        <v>1124</v>
      </c>
    </row>
    <row r="231" spans="2:19" ht="15" customHeight="1" x14ac:dyDescent="0.35">
      <c r="B231" s="181">
        <v>69025</v>
      </c>
      <c r="C231" s="182" t="s">
        <v>687</v>
      </c>
      <c r="D231" s="183">
        <v>16</v>
      </c>
      <c r="E231" s="185" t="s">
        <v>1124</v>
      </c>
      <c r="F231" s="185" t="s">
        <v>1124</v>
      </c>
      <c r="G231" s="184" t="s">
        <v>1124</v>
      </c>
      <c r="H231" s="186"/>
      <c r="I231" s="185"/>
      <c r="J231" s="187"/>
      <c r="K231" s="188"/>
      <c r="L231" s="189"/>
      <c r="M231" s="185" t="s">
        <v>1124</v>
      </c>
      <c r="N231" s="189"/>
      <c r="O231" s="333"/>
      <c r="P231" s="333" t="s">
        <v>1124</v>
      </c>
      <c r="Q231" s="333" t="s">
        <v>1124</v>
      </c>
      <c r="R231" s="475" t="str">
        <f t="shared" si="4"/>
        <v/>
      </c>
      <c r="S231" s="340" t="s">
        <v>1124</v>
      </c>
    </row>
    <row r="232" spans="2:19" ht="15" customHeight="1" x14ac:dyDescent="0.35">
      <c r="B232" s="181">
        <v>78065</v>
      </c>
      <c r="C232" s="182" t="s">
        <v>776</v>
      </c>
      <c r="D232" s="183">
        <v>15</v>
      </c>
      <c r="E232" s="185">
        <v>515</v>
      </c>
      <c r="F232" s="185">
        <v>142</v>
      </c>
      <c r="G232" s="184" t="s">
        <v>1308</v>
      </c>
      <c r="H232" s="186">
        <v>1</v>
      </c>
      <c r="I232" s="185">
        <v>252</v>
      </c>
      <c r="J232" s="187">
        <v>1.8193018480492813</v>
      </c>
      <c r="K232" s="188">
        <v>458.4640657084189</v>
      </c>
      <c r="L232" s="189">
        <v>8.2850000000000001</v>
      </c>
      <c r="M232" s="185">
        <v>226</v>
      </c>
      <c r="N232" s="189">
        <v>86.123999999999995</v>
      </c>
      <c r="O232" s="333">
        <v>23.713000000000001</v>
      </c>
      <c r="P232" s="333">
        <v>43.034773112244899</v>
      </c>
      <c r="Q232" s="333">
        <v>8.0794662599999985</v>
      </c>
      <c r="R232" s="475">
        <f t="shared" si="4"/>
        <v>5.3264376293397513</v>
      </c>
      <c r="S232" s="340">
        <v>57.117647058823522</v>
      </c>
    </row>
    <row r="233" spans="2:19" ht="15" customHeight="1" x14ac:dyDescent="0.35">
      <c r="B233" s="181">
        <v>71100</v>
      </c>
      <c r="C233" s="182" t="s">
        <v>720</v>
      </c>
      <c r="D233" s="183">
        <v>16</v>
      </c>
      <c r="E233" s="185">
        <v>494</v>
      </c>
      <c r="F233" s="185">
        <v>253</v>
      </c>
      <c r="G233" s="184" t="s">
        <v>1308</v>
      </c>
      <c r="H233" s="186">
        <v>3</v>
      </c>
      <c r="I233" s="185">
        <v>2331</v>
      </c>
      <c r="J233" s="187">
        <v>2.2138390996248436</v>
      </c>
      <c r="K233" s="188">
        <v>5160.4589412255109</v>
      </c>
      <c r="L233" s="189">
        <v>73.975999999999999</v>
      </c>
      <c r="M233" s="185">
        <v>2347</v>
      </c>
      <c r="N233" s="189">
        <v>930.81600000000003</v>
      </c>
      <c r="O233" s="333">
        <v>476.79499999999996</v>
      </c>
      <c r="P233" s="333">
        <v>372.36276000000009</v>
      </c>
      <c r="Q233" s="333">
        <v>85.458310596999979</v>
      </c>
      <c r="R233" s="475">
        <f t="shared" si="4"/>
        <v>4.3572445722215329</v>
      </c>
      <c r="S233" s="340">
        <v>58.495495495495504</v>
      </c>
    </row>
    <row r="234" spans="2:19" ht="15" customHeight="1" x14ac:dyDescent="0.35">
      <c r="B234" s="181">
        <v>69055</v>
      </c>
      <c r="C234" s="182" t="s">
        <v>692</v>
      </c>
      <c r="D234" s="183">
        <v>16</v>
      </c>
      <c r="E234" s="185" t="s">
        <v>1124</v>
      </c>
      <c r="F234" s="185" t="s">
        <v>1124</v>
      </c>
      <c r="G234" s="184" t="s">
        <v>1124</v>
      </c>
      <c r="H234" s="186"/>
      <c r="I234" s="185"/>
      <c r="J234" s="187"/>
      <c r="K234" s="188"/>
      <c r="L234" s="189"/>
      <c r="M234" s="185" t="s">
        <v>1124</v>
      </c>
      <c r="N234" s="189"/>
      <c r="O234" s="333"/>
      <c r="P234" s="333" t="s">
        <v>1124</v>
      </c>
      <c r="Q234" s="333" t="s">
        <v>1124</v>
      </c>
      <c r="R234" s="475" t="str">
        <f t="shared" si="4"/>
        <v/>
      </c>
      <c r="S234" s="340" t="s">
        <v>1124</v>
      </c>
    </row>
    <row r="235" spans="2:19" ht="15" customHeight="1" x14ac:dyDescent="0.35">
      <c r="B235" s="181">
        <v>32058</v>
      </c>
      <c r="C235" s="182" t="s">
        <v>262</v>
      </c>
      <c r="D235" s="183">
        <v>17</v>
      </c>
      <c r="E235" s="185" t="s">
        <v>1124</v>
      </c>
      <c r="F235" s="185" t="s">
        <v>1124</v>
      </c>
      <c r="G235" s="184" t="s">
        <v>1124</v>
      </c>
      <c r="H235" s="186"/>
      <c r="I235" s="185"/>
      <c r="J235" s="187"/>
      <c r="K235" s="188"/>
      <c r="L235" s="189"/>
      <c r="M235" s="185" t="s">
        <v>1124</v>
      </c>
      <c r="N235" s="189"/>
      <c r="O235" s="333"/>
      <c r="P235" s="333" t="s">
        <v>1124</v>
      </c>
      <c r="Q235" s="333" t="s">
        <v>1124</v>
      </c>
      <c r="R235" s="475" t="str">
        <f t="shared" si="4"/>
        <v/>
      </c>
      <c r="S235" s="340" t="s">
        <v>1124</v>
      </c>
    </row>
    <row r="236" spans="2:19" ht="15" customHeight="1" x14ac:dyDescent="0.35">
      <c r="B236" s="181">
        <v>31040</v>
      </c>
      <c r="C236" s="182" t="s">
        <v>243</v>
      </c>
      <c r="D236" s="183">
        <v>12</v>
      </c>
      <c r="E236" s="185" t="s">
        <v>1124</v>
      </c>
      <c r="F236" s="185" t="s">
        <v>1124</v>
      </c>
      <c r="G236" s="184" t="s">
        <v>1124</v>
      </c>
      <c r="H236" s="186"/>
      <c r="I236" s="185"/>
      <c r="J236" s="187"/>
      <c r="K236" s="188"/>
      <c r="L236" s="189"/>
      <c r="M236" s="185" t="s">
        <v>1124</v>
      </c>
      <c r="N236" s="189"/>
      <c r="O236" s="333"/>
      <c r="P236" s="333" t="s">
        <v>1124</v>
      </c>
      <c r="Q236" s="333" t="s">
        <v>1124</v>
      </c>
      <c r="R236" s="475" t="str">
        <f t="shared" si="4"/>
        <v/>
      </c>
      <c r="S236" s="340" t="s">
        <v>1124</v>
      </c>
    </row>
    <row r="237" spans="2:19" ht="15" customHeight="1" x14ac:dyDescent="0.35">
      <c r="B237" s="181">
        <v>78042</v>
      </c>
      <c r="C237" s="182" t="s">
        <v>771</v>
      </c>
      <c r="D237" s="183">
        <v>15</v>
      </c>
      <c r="E237" s="185" t="s">
        <v>1124</v>
      </c>
      <c r="F237" s="185" t="s">
        <v>1124</v>
      </c>
      <c r="G237" s="184" t="s">
        <v>1124</v>
      </c>
      <c r="H237" s="186"/>
      <c r="I237" s="185"/>
      <c r="J237" s="187"/>
      <c r="K237" s="188"/>
      <c r="L237" s="189"/>
      <c r="M237" s="185" t="s">
        <v>1124</v>
      </c>
      <c r="N237" s="189"/>
      <c r="O237" s="333"/>
      <c r="P237" s="333" t="s">
        <v>1124</v>
      </c>
      <c r="Q237" s="333" t="s">
        <v>1124</v>
      </c>
      <c r="R237" s="475" t="str">
        <f t="shared" si="4"/>
        <v/>
      </c>
      <c r="S237" s="340" t="s">
        <v>1124</v>
      </c>
    </row>
    <row r="238" spans="2:19" ht="15" customHeight="1" x14ac:dyDescent="0.35">
      <c r="B238" s="181">
        <v>61025</v>
      </c>
      <c r="C238" s="182" t="s">
        <v>612</v>
      </c>
      <c r="D238" s="183">
        <v>14</v>
      </c>
      <c r="E238" s="185">
        <v>567</v>
      </c>
      <c r="F238" s="185">
        <v>324</v>
      </c>
      <c r="G238" s="184" t="s">
        <v>1308</v>
      </c>
      <c r="H238" s="186">
        <v>1</v>
      </c>
      <c r="I238" s="185">
        <v>11050</v>
      </c>
      <c r="J238" s="187">
        <v>1.9405626979690702</v>
      </c>
      <c r="K238" s="188">
        <v>21443.217812558225</v>
      </c>
      <c r="L238" s="189">
        <v>136.36600000000001</v>
      </c>
      <c r="M238" s="185">
        <v>6452</v>
      </c>
      <c r="N238" s="189">
        <v>4435.5060000000003</v>
      </c>
      <c r="O238" s="333">
        <v>2539.5290014684288</v>
      </c>
      <c r="P238" s="333">
        <v>445.9405105612251</v>
      </c>
      <c r="Q238" s="333">
        <v>162.29746111599997</v>
      </c>
      <c r="R238" s="475">
        <f t="shared" si="4"/>
        <v>2.7476739777370578</v>
      </c>
      <c r="S238" s="340">
        <v>62.072459048435995</v>
      </c>
    </row>
    <row r="239" spans="2:19" ht="15" customHeight="1" x14ac:dyDescent="0.35">
      <c r="B239" s="181">
        <v>14050</v>
      </c>
      <c r="C239" s="182" t="s">
        <v>68</v>
      </c>
      <c r="D239" s="183">
        <v>1</v>
      </c>
      <c r="E239" s="185">
        <v>525</v>
      </c>
      <c r="F239" s="185">
        <v>173</v>
      </c>
      <c r="G239" s="184" t="s">
        <v>1326</v>
      </c>
      <c r="H239" s="186">
        <v>1</v>
      </c>
      <c r="I239" s="185">
        <v>136</v>
      </c>
      <c r="J239" s="187">
        <v>1.85</v>
      </c>
      <c r="K239" s="188">
        <v>251.60000000000002</v>
      </c>
      <c r="L239" s="189">
        <v>4.944</v>
      </c>
      <c r="M239" s="185">
        <v>218</v>
      </c>
      <c r="N239" s="189">
        <v>48.191199999999995</v>
      </c>
      <c r="O239" s="333">
        <v>15.861999999999998</v>
      </c>
      <c r="P239" s="333">
        <v>14.808908428571424</v>
      </c>
      <c r="Q239" s="333">
        <v>6.7205084800000012</v>
      </c>
      <c r="R239" s="475">
        <f t="shared" si="4"/>
        <v>2.2035398768772065</v>
      </c>
      <c r="S239" s="340">
        <v>37.603453351991035</v>
      </c>
    </row>
    <row r="240" spans="2:19" ht="15" customHeight="1" x14ac:dyDescent="0.35">
      <c r="B240" s="181">
        <v>83015</v>
      </c>
      <c r="C240" s="182" t="s">
        <v>837</v>
      </c>
      <c r="D240" s="183">
        <v>7</v>
      </c>
      <c r="E240" s="185" t="s">
        <v>1124</v>
      </c>
      <c r="F240" s="185" t="s">
        <v>1124</v>
      </c>
      <c r="G240" s="184" t="s">
        <v>1124</v>
      </c>
      <c r="H240" s="186"/>
      <c r="I240" s="185"/>
      <c r="J240" s="187"/>
      <c r="K240" s="188"/>
      <c r="L240" s="189"/>
      <c r="M240" s="185" t="s">
        <v>1124</v>
      </c>
      <c r="N240" s="189"/>
      <c r="O240" s="333"/>
      <c r="P240" s="333" t="s">
        <v>1124</v>
      </c>
      <c r="Q240" s="333" t="s">
        <v>1124</v>
      </c>
      <c r="R240" s="475" t="str">
        <f t="shared" si="4"/>
        <v/>
      </c>
      <c r="S240" s="340" t="s">
        <v>1124</v>
      </c>
    </row>
    <row r="241" spans="2:19" ht="15" customHeight="1" x14ac:dyDescent="0.35">
      <c r="B241" s="181">
        <v>79025</v>
      </c>
      <c r="C241" s="182" t="s">
        <v>790</v>
      </c>
      <c r="D241" s="183">
        <v>15</v>
      </c>
      <c r="E241" s="185">
        <v>463</v>
      </c>
      <c r="F241" s="185">
        <v>284</v>
      </c>
      <c r="G241" s="184" t="s">
        <v>1308</v>
      </c>
      <c r="H241" s="186">
        <v>1</v>
      </c>
      <c r="I241" s="185">
        <v>75</v>
      </c>
      <c r="J241" s="187">
        <v>1.752232142857143</v>
      </c>
      <c r="K241" s="188">
        <v>131.41741071428572</v>
      </c>
      <c r="L241" s="189">
        <v>4.2939999999999996</v>
      </c>
      <c r="M241" s="185">
        <v>89</v>
      </c>
      <c r="N241" s="189">
        <v>22.22</v>
      </c>
      <c r="O241" s="333">
        <v>13.638202247191014</v>
      </c>
      <c r="P241" s="333">
        <v>5.3376999999999981</v>
      </c>
      <c r="Q241" s="333">
        <v>1.7426337349999999</v>
      </c>
      <c r="R241" s="475">
        <f t="shared" si="4"/>
        <v>3.0630073851978992</v>
      </c>
      <c r="S241" s="340">
        <v>47.732558139534881</v>
      </c>
    </row>
    <row r="242" spans="2:19" ht="15" customHeight="1" x14ac:dyDescent="0.35">
      <c r="B242" s="181">
        <v>42070</v>
      </c>
      <c r="C242" s="182" t="s">
        <v>389</v>
      </c>
      <c r="D242" s="183">
        <v>5</v>
      </c>
      <c r="E242" s="185" t="s">
        <v>1124</v>
      </c>
      <c r="F242" s="185" t="s">
        <v>1124</v>
      </c>
      <c r="G242" s="184" t="s">
        <v>1124</v>
      </c>
      <c r="H242" s="186"/>
      <c r="I242" s="185"/>
      <c r="J242" s="187"/>
      <c r="K242" s="188"/>
      <c r="L242" s="189"/>
      <c r="M242" s="185" t="s">
        <v>1124</v>
      </c>
      <c r="N242" s="189"/>
      <c r="O242" s="333"/>
      <c r="P242" s="333" t="s">
        <v>1124</v>
      </c>
      <c r="Q242" s="333" t="s">
        <v>1124</v>
      </c>
      <c r="R242" s="475" t="str">
        <f t="shared" si="4"/>
        <v/>
      </c>
      <c r="S242" s="340" t="s">
        <v>1124</v>
      </c>
    </row>
    <row r="243" spans="2:19" ht="15" customHeight="1" x14ac:dyDescent="0.35">
      <c r="B243" s="181">
        <v>39097</v>
      </c>
      <c r="C243" s="182" t="s">
        <v>350</v>
      </c>
      <c r="D243" s="183">
        <v>17</v>
      </c>
      <c r="E243" s="185">
        <v>344</v>
      </c>
      <c r="F243" s="185">
        <v>172</v>
      </c>
      <c r="G243" s="184" t="s">
        <v>1326</v>
      </c>
      <c r="H243" s="186">
        <v>1</v>
      </c>
      <c r="I243" s="185">
        <v>606</v>
      </c>
      <c r="J243" s="187">
        <v>2.2629107981220655</v>
      </c>
      <c r="K243" s="188">
        <v>1371.3239436619717</v>
      </c>
      <c r="L243" s="189">
        <v>13.099</v>
      </c>
      <c r="M243" s="185">
        <v>524</v>
      </c>
      <c r="N243" s="189">
        <v>172.38</v>
      </c>
      <c r="O243" s="333">
        <v>86.156000000000006</v>
      </c>
      <c r="P243" s="333">
        <v>56.322266804123714</v>
      </c>
      <c r="Q243" s="333">
        <v>11.045012055000001</v>
      </c>
      <c r="R243" s="475">
        <f t="shared" si="4"/>
        <v>5.099339550166178</v>
      </c>
      <c r="S243" s="340">
        <v>59.666666666666664</v>
      </c>
    </row>
    <row r="244" spans="2:19" ht="15" customHeight="1" x14ac:dyDescent="0.35">
      <c r="B244" s="181">
        <v>31105</v>
      </c>
      <c r="C244" s="182" t="s">
        <v>251</v>
      </c>
      <c r="D244" s="183">
        <v>12</v>
      </c>
      <c r="E244" s="185" t="s">
        <v>1124</v>
      </c>
      <c r="F244" s="185" t="s">
        <v>1124</v>
      </c>
      <c r="G244" s="184" t="s">
        <v>1124</v>
      </c>
      <c r="H244" s="186"/>
      <c r="I244" s="185"/>
      <c r="J244" s="187"/>
      <c r="K244" s="188"/>
      <c r="L244" s="189"/>
      <c r="M244" s="185" t="s">
        <v>1124</v>
      </c>
      <c r="N244" s="189"/>
      <c r="O244" s="333"/>
      <c r="P244" s="333" t="s">
        <v>1124</v>
      </c>
      <c r="Q244" s="333" t="s">
        <v>1124</v>
      </c>
      <c r="R244" s="475" t="str">
        <f t="shared" si="4"/>
        <v/>
      </c>
      <c r="S244" s="340" t="s">
        <v>1124</v>
      </c>
    </row>
    <row r="245" spans="2:19" ht="15" customHeight="1" x14ac:dyDescent="0.35">
      <c r="B245" s="181">
        <v>85010</v>
      </c>
      <c r="C245" s="182" t="s">
        <v>871</v>
      </c>
      <c r="D245" s="183">
        <v>8</v>
      </c>
      <c r="E245" s="185">
        <v>163</v>
      </c>
      <c r="F245" s="185">
        <v>130</v>
      </c>
      <c r="G245" s="184" t="s">
        <v>1326</v>
      </c>
      <c r="H245" s="186">
        <v>1</v>
      </c>
      <c r="I245" s="185">
        <v>70</v>
      </c>
      <c r="J245" s="187">
        <v>2</v>
      </c>
      <c r="K245" s="188">
        <v>140</v>
      </c>
      <c r="L245" s="189">
        <v>1.8069999999999999</v>
      </c>
      <c r="M245" s="185">
        <v>58</v>
      </c>
      <c r="N245" s="189">
        <v>8.3469999999999995</v>
      </c>
      <c r="O245" s="333">
        <v>6.6349999999999998</v>
      </c>
      <c r="P245" s="333">
        <v>1.094795</v>
      </c>
      <c r="Q245" s="333">
        <v>1.625637</v>
      </c>
      <c r="R245" s="475">
        <f t="shared" si="4"/>
        <v>0.67345600524594362</v>
      </c>
      <c r="S245" s="340">
        <v>37.378378378378386</v>
      </c>
    </row>
    <row r="246" spans="2:19" ht="15" customHeight="1" x14ac:dyDescent="0.35">
      <c r="B246" s="181">
        <v>66102</v>
      </c>
      <c r="C246" s="182" t="s">
        <v>657</v>
      </c>
      <c r="D246" s="183">
        <v>6</v>
      </c>
      <c r="E246" s="185">
        <v>602</v>
      </c>
      <c r="F246" s="185">
        <v>270</v>
      </c>
      <c r="G246" s="184" t="s">
        <v>1308</v>
      </c>
      <c r="H246" s="186">
        <v>1</v>
      </c>
      <c r="I246" s="185">
        <v>6796</v>
      </c>
      <c r="J246" s="187">
        <v>2.9866999999999999</v>
      </c>
      <c r="K246" s="188">
        <v>20297.6132</v>
      </c>
      <c r="L246" s="189">
        <v>116.19799999999999</v>
      </c>
      <c r="M246" s="185">
        <v>6822</v>
      </c>
      <c r="N246" s="189">
        <v>4461.6549999999997</v>
      </c>
      <c r="O246" s="333">
        <v>1997</v>
      </c>
      <c r="P246" s="333">
        <v>278.09860443877562</v>
      </c>
      <c r="Q246" s="333">
        <v>178.28910712799998</v>
      </c>
      <c r="R246" s="475">
        <f t="shared" si="4"/>
        <v>1.5598182576522688</v>
      </c>
      <c r="S246" s="340">
        <v>53.76315789473685</v>
      </c>
    </row>
    <row r="247" spans="2:19" ht="15" customHeight="1" x14ac:dyDescent="0.35">
      <c r="B247" s="181">
        <v>90017</v>
      </c>
      <c r="C247" s="182" t="s">
        <v>935</v>
      </c>
      <c r="D247" s="183">
        <v>4</v>
      </c>
      <c r="E247" s="185" t="s">
        <v>1124</v>
      </c>
      <c r="F247" s="185" t="s">
        <v>1124</v>
      </c>
      <c r="G247" s="184" t="s">
        <v>1124</v>
      </c>
      <c r="H247" s="186"/>
      <c r="I247" s="185"/>
      <c r="J247" s="187"/>
      <c r="K247" s="188"/>
      <c r="L247" s="189"/>
      <c r="M247" s="185" t="s">
        <v>1124</v>
      </c>
      <c r="N247" s="189"/>
      <c r="O247" s="333"/>
      <c r="P247" s="333" t="s">
        <v>1124</v>
      </c>
      <c r="Q247" s="333" t="s">
        <v>1124</v>
      </c>
      <c r="R247" s="475" t="str">
        <f t="shared" si="4"/>
        <v/>
      </c>
      <c r="S247" s="340" t="s">
        <v>1124</v>
      </c>
    </row>
    <row r="248" spans="2:19" ht="15" customHeight="1" x14ac:dyDescent="0.35">
      <c r="B248" s="181">
        <v>78115</v>
      </c>
      <c r="C248" s="182" t="s">
        <v>782</v>
      </c>
      <c r="D248" s="183">
        <v>15</v>
      </c>
      <c r="E248" s="185">
        <v>230</v>
      </c>
      <c r="F248" s="185">
        <v>180</v>
      </c>
      <c r="G248" s="184" t="s">
        <v>1308</v>
      </c>
      <c r="H248" s="186">
        <v>1</v>
      </c>
      <c r="I248" s="185">
        <v>298</v>
      </c>
      <c r="J248" s="187">
        <v>3</v>
      </c>
      <c r="K248" s="188">
        <v>894</v>
      </c>
      <c r="L248" s="189">
        <v>10.49</v>
      </c>
      <c r="M248" s="185">
        <v>349</v>
      </c>
      <c r="N248" s="189">
        <v>75.135999999999996</v>
      </c>
      <c r="O248" s="333">
        <v>58.840392156862748</v>
      </c>
      <c r="P248" s="333">
        <v>10.919722193877545</v>
      </c>
      <c r="Q248" s="333">
        <v>10.757475639999999</v>
      </c>
      <c r="R248" s="475">
        <f t="shared" si="4"/>
        <v>1.0150822143881282</v>
      </c>
      <c r="S248" s="340">
        <v>60.12280701754387</v>
      </c>
    </row>
    <row r="249" spans="2:19" ht="15" customHeight="1" x14ac:dyDescent="0.35">
      <c r="B249" s="181">
        <v>88030</v>
      </c>
      <c r="C249" s="182" t="s">
        <v>915</v>
      </c>
      <c r="D249" s="183">
        <v>8</v>
      </c>
      <c r="E249" s="185" t="s">
        <v>1124</v>
      </c>
      <c r="F249" s="185" t="s">
        <v>1124</v>
      </c>
      <c r="G249" s="184" t="s">
        <v>1124</v>
      </c>
      <c r="H249" s="186"/>
      <c r="I249" s="185"/>
      <c r="J249" s="187"/>
      <c r="K249" s="188"/>
      <c r="L249" s="189"/>
      <c r="M249" s="185" t="s">
        <v>1124</v>
      </c>
      <c r="N249" s="189"/>
      <c r="O249" s="333"/>
      <c r="P249" s="333" t="s">
        <v>1124</v>
      </c>
      <c r="Q249" s="333" t="s">
        <v>1124</v>
      </c>
      <c r="R249" s="475" t="str">
        <f t="shared" si="4"/>
        <v/>
      </c>
      <c r="S249" s="340" t="s">
        <v>1124</v>
      </c>
    </row>
    <row r="250" spans="2:19" ht="15" customHeight="1" x14ac:dyDescent="0.35">
      <c r="B250" s="181">
        <v>91050</v>
      </c>
      <c r="C250" s="182" t="s">
        <v>945</v>
      </c>
      <c r="D250" s="183">
        <v>2</v>
      </c>
      <c r="E250" s="185">
        <v>465</v>
      </c>
      <c r="F250" s="185">
        <v>250</v>
      </c>
      <c r="G250" s="184" t="s">
        <v>1326</v>
      </c>
      <c r="H250" s="186">
        <v>1</v>
      </c>
      <c r="I250" s="185">
        <v>618</v>
      </c>
      <c r="J250" s="187">
        <v>2.1501547987616099</v>
      </c>
      <c r="K250" s="188">
        <v>1328.7956656346748</v>
      </c>
      <c r="L250" s="189">
        <v>20.86</v>
      </c>
      <c r="M250" s="185">
        <v>686</v>
      </c>
      <c r="N250" s="189">
        <v>225.47399999999999</v>
      </c>
      <c r="O250" s="333">
        <v>121.176</v>
      </c>
      <c r="P250" s="333">
        <v>70.708513520408147</v>
      </c>
      <c r="Q250" s="333">
        <v>18.064386550000002</v>
      </c>
      <c r="R250" s="475">
        <f t="shared" si="4"/>
        <v>3.9142493615654024</v>
      </c>
      <c r="S250" s="340">
        <v>56</v>
      </c>
    </row>
    <row r="251" spans="2:19" ht="15" customHeight="1" x14ac:dyDescent="0.35">
      <c r="B251" s="181">
        <v>19090</v>
      </c>
      <c r="C251" s="182" t="s">
        <v>133</v>
      </c>
      <c r="D251" s="183">
        <v>12</v>
      </c>
      <c r="E251" s="185">
        <v>300</v>
      </c>
      <c r="F251" s="185">
        <v>225</v>
      </c>
      <c r="G251" s="184" t="s">
        <v>1308</v>
      </c>
      <c r="H251" s="186">
        <v>1</v>
      </c>
      <c r="I251" s="185">
        <v>178</v>
      </c>
      <c r="J251" s="187">
        <v>2.2492917847025495</v>
      </c>
      <c r="K251" s="188">
        <v>400.37393767705385</v>
      </c>
      <c r="L251" s="189">
        <v>4.5259999999999998</v>
      </c>
      <c r="M251" s="185">
        <v>198</v>
      </c>
      <c r="N251" s="189">
        <v>43.893000000000001</v>
      </c>
      <c r="O251" s="333">
        <v>32.81942424242424</v>
      </c>
      <c r="P251" s="333">
        <v>6.7276799999999994</v>
      </c>
      <c r="Q251" s="333">
        <v>5.6546610299999998</v>
      </c>
      <c r="R251" s="475">
        <f t="shared" si="4"/>
        <v>1.1897583187227758</v>
      </c>
      <c r="S251" s="340">
        <v>44.027027027027032</v>
      </c>
    </row>
    <row r="252" spans="2:19" ht="15" customHeight="1" x14ac:dyDescent="0.35">
      <c r="B252" s="181">
        <v>29030</v>
      </c>
      <c r="C252" s="182" t="s">
        <v>205</v>
      </c>
      <c r="D252" s="183">
        <v>12</v>
      </c>
      <c r="E252" s="185">
        <v>269</v>
      </c>
      <c r="F252" s="185">
        <v>175</v>
      </c>
      <c r="G252" s="184" t="s">
        <v>1308</v>
      </c>
      <c r="H252" s="186">
        <v>1</v>
      </c>
      <c r="I252" s="185">
        <v>719</v>
      </c>
      <c r="J252" s="187">
        <v>2.2994858611825193</v>
      </c>
      <c r="K252" s="188">
        <v>1653.3303341902313</v>
      </c>
      <c r="L252" s="189">
        <v>27.102</v>
      </c>
      <c r="M252" s="185">
        <v>680</v>
      </c>
      <c r="N252" s="189">
        <v>162.173</v>
      </c>
      <c r="O252" s="333">
        <v>105.824</v>
      </c>
      <c r="P252" s="333">
        <v>20.039409693877513</v>
      </c>
      <c r="Q252" s="333">
        <v>18.201307977999999</v>
      </c>
      <c r="R252" s="475">
        <f t="shared" si="4"/>
        <v>1.1009873421239416</v>
      </c>
      <c r="S252" s="340">
        <v>70.558823529411782</v>
      </c>
    </row>
    <row r="253" spans="2:19" ht="15" customHeight="1" x14ac:dyDescent="0.35">
      <c r="B253" s="181">
        <v>79047</v>
      </c>
      <c r="C253" s="182" t="s">
        <v>793</v>
      </c>
      <c r="D253" s="183">
        <v>15</v>
      </c>
      <c r="E253" s="185">
        <v>202</v>
      </c>
      <c r="F253" s="185">
        <v>138</v>
      </c>
      <c r="G253" s="184" t="s">
        <v>1326</v>
      </c>
      <c r="H253" s="186">
        <v>1</v>
      </c>
      <c r="I253" s="185">
        <v>23</v>
      </c>
      <c r="J253" s="187">
        <v>2.3524416135881103</v>
      </c>
      <c r="K253" s="188">
        <v>54.106157112526539</v>
      </c>
      <c r="L253" s="189">
        <v>2.0939999999999999</v>
      </c>
      <c r="M253" s="185">
        <v>31</v>
      </c>
      <c r="N253" s="189">
        <v>3.992</v>
      </c>
      <c r="O253" s="333">
        <v>2.7293333333333334</v>
      </c>
      <c r="P253" s="333">
        <v>0.72811999999999977</v>
      </c>
      <c r="Q253" s="333">
        <v>1.1239915120000001</v>
      </c>
      <c r="R253" s="475">
        <f t="shared" si="4"/>
        <v>0.64779848622202019</v>
      </c>
      <c r="S253" s="340">
        <v>44.027027027027032</v>
      </c>
    </row>
    <row r="254" spans="2:19" ht="15" customHeight="1" x14ac:dyDescent="0.35">
      <c r="B254" s="181">
        <v>15013</v>
      </c>
      <c r="C254" s="182" t="s">
        <v>78</v>
      </c>
      <c r="D254" s="183">
        <v>3</v>
      </c>
      <c r="E254" s="185">
        <v>577</v>
      </c>
      <c r="F254" s="185">
        <v>302</v>
      </c>
      <c r="G254" s="184" t="s">
        <v>1326</v>
      </c>
      <c r="H254" s="186">
        <v>6</v>
      </c>
      <c r="I254" s="185">
        <v>3344</v>
      </c>
      <c r="J254" s="187">
        <v>1.8961431226765799</v>
      </c>
      <c r="K254" s="188">
        <v>6340.7026022304835</v>
      </c>
      <c r="L254" s="189">
        <v>97.215999999999994</v>
      </c>
      <c r="M254" s="185">
        <v>3551</v>
      </c>
      <c r="N254" s="189">
        <v>1335.0909999999999</v>
      </c>
      <c r="O254" s="333">
        <v>697.99400000000014</v>
      </c>
      <c r="P254" s="333">
        <v>432.2118691</v>
      </c>
      <c r="Q254" s="333">
        <v>142.24280594443999</v>
      </c>
      <c r="R254" s="475">
        <f t="shared" si="4"/>
        <v>3.0385499374135088</v>
      </c>
      <c r="S254" s="340">
        <v>60.084684684684696</v>
      </c>
    </row>
    <row r="255" spans="2:19" ht="15" customHeight="1" x14ac:dyDescent="0.35">
      <c r="B255" s="181">
        <v>4030</v>
      </c>
      <c r="C255" s="182" t="s">
        <v>1041</v>
      </c>
      <c r="D255" s="183">
        <v>11</v>
      </c>
      <c r="E255" s="185" t="s">
        <v>1124</v>
      </c>
      <c r="F255" s="185" t="s">
        <v>1124</v>
      </c>
      <c r="G255" s="184" t="s">
        <v>1124</v>
      </c>
      <c r="H255" s="186"/>
      <c r="I255" s="185"/>
      <c r="J255" s="187"/>
      <c r="K255" s="188"/>
      <c r="L255" s="189"/>
      <c r="M255" s="185" t="s">
        <v>1124</v>
      </c>
      <c r="N255" s="189"/>
      <c r="O255" s="333"/>
      <c r="P255" s="333" t="s">
        <v>1124</v>
      </c>
      <c r="Q255" s="333" t="s">
        <v>1124</v>
      </c>
      <c r="R255" s="475" t="str">
        <f t="shared" si="4"/>
        <v/>
      </c>
      <c r="S255" s="340" t="s">
        <v>1124</v>
      </c>
    </row>
    <row r="256" spans="2:19" ht="15" customHeight="1" x14ac:dyDescent="0.35">
      <c r="B256" s="181">
        <v>78130</v>
      </c>
      <c r="C256" s="182" t="s">
        <v>785</v>
      </c>
      <c r="D256" s="183">
        <v>15</v>
      </c>
      <c r="E256" s="185">
        <v>374</v>
      </c>
      <c r="F256" s="185">
        <v>294</v>
      </c>
      <c r="G256" s="184" t="s">
        <v>1308</v>
      </c>
      <c r="H256" s="186">
        <v>1</v>
      </c>
      <c r="I256" s="185">
        <v>86</v>
      </c>
      <c r="J256" s="187">
        <v>3</v>
      </c>
      <c r="K256" s="188">
        <v>258</v>
      </c>
      <c r="L256" s="189">
        <v>3.14</v>
      </c>
      <c r="M256" s="185">
        <v>101</v>
      </c>
      <c r="N256" s="189">
        <v>35.250999999999998</v>
      </c>
      <c r="O256" s="333">
        <v>27.661040000000003</v>
      </c>
      <c r="P256" s="333">
        <v>2.5582349999999949</v>
      </c>
      <c r="Q256" s="333">
        <v>5.1668509400000007</v>
      </c>
      <c r="R256" s="475">
        <f t="shared" si="4"/>
        <v>0.49512459904639605</v>
      </c>
      <c r="S256" s="340">
        <v>59.081081081081095</v>
      </c>
    </row>
    <row r="257" spans="2:19" ht="15" customHeight="1" x14ac:dyDescent="0.35">
      <c r="B257" s="181">
        <v>88015</v>
      </c>
      <c r="C257" s="182" t="s">
        <v>913</v>
      </c>
      <c r="D257" s="183">
        <v>8</v>
      </c>
      <c r="E257" s="185" t="s">
        <v>1124</v>
      </c>
      <c r="F257" s="185" t="s">
        <v>1124</v>
      </c>
      <c r="G257" s="184" t="s">
        <v>1124</v>
      </c>
      <c r="H257" s="186"/>
      <c r="I257" s="185"/>
      <c r="J257" s="187"/>
      <c r="K257" s="188"/>
      <c r="L257" s="189"/>
      <c r="M257" s="185" t="s">
        <v>1124</v>
      </c>
      <c r="N257" s="189"/>
      <c r="O257" s="333"/>
      <c r="P257" s="333" t="s">
        <v>1124</v>
      </c>
      <c r="Q257" s="333" t="s">
        <v>1124</v>
      </c>
      <c r="R257" s="475" t="str">
        <f t="shared" si="4"/>
        <v/>
      </c>
      <c r="S257" s="340" t="s">
        <v>1124</v>
      </c>
    </row>
    <row r="258" spans="2:19" ht="15" customHeight="1" x14ac:dyDescent="0.35">
      <c r="B258" s="181">
        <v>88045</v>
      </c>
      <c r="C258" s="182" t="s">
        <v>918</v>
      </c>
      <c r="D258" s="183">
        <v>8</v>
      </c>
      <c r="E258" s="185" t="s">
        <v>1124</v>
      </c>
      <c r="F258" s="185" t="s">
        <v>1124</v>
      </c>
      <c r="G258" s="184" t="s">
        <v>1124</v>
      </c>
      <c r="H258" s="186"/>
      <c r="I258" s="185"/>
      <c r="J258" s="187"/>
      <c r="K258" s="188"/>
      <c r="L258" s="189"/>
      <c r="M258" s="185" t="s">
        <v>1124</v>
      </c>
      <c r="N258" s="189"/>
      <c r="O258" s="333"/>
      <c r="P258" s="333" t="s">
        <v>1124</v>
      </c>
      <c r="Q258" s="333" t="s">
        <v>1124</v>
      </c>
      <c r="R258" s="475" t="str">
        <f t="shared" si="4"/>
        <v/>
      </c>
      <c r="S258" s="340" t="s">
        <v>1124</v>
      </c>
    </row>
    <row r="259" spans="2:19" ht="15" customHeight="1" x14ac:dyDescent="0.35">
      <c r="B259" s="181">
        <v>41027</v>
      </c>
      <c r="C259" s="182" t="s">
        <v>367</v>
      </c>
      <c r="D259" s="183">
        <v>5</v>
      </c>
      <c r="E259" s="185">
        <v>259</v>
      </c>
      <c r="F259" s="185">
        <v>182</v>
      </c>
      <c r="G259" s="184" t="s">
        <v>1308</v>
      </c>
      <c r="H259" s="186">
        <v>1</v>
      </c>
      <c r="I259" s="185">
        <v>210</v>
      </c>
      <c r="J259" s="187">
        <v>2.75</v>
      </c>
      <c r="K259" s="188">
        <v>577.5</v>
      </c>
      <c r="L259" s="189">
        <v>7.3419999999999996</v>
      </c>
      <c r="M259" s="185">
        <v>177</v>
      </c>
      <c r="N259" s="189">
        <v>54.643000000000001</v>
      </c>
      <c r="O259" s="333">
        <v>38.272723404255316</v>
      </c>
      <c r="P259" s="333">
        <v>10.994</v>
      </c>
      <c r="Q259" s="333">
        <v>4.6036909799999997</v>
      </c>
      <c r="R259" s="475">
        <f t="shared" si="4"/>
        <v>2.3880838326815761</v>
      </c>
      <c r="S259" s="340">
        <v>58</v>
      </c>
    </row>
    <row r="260" spans="2:19" ht="15" customHeight="1" x14ac:dyDescent="0.35">
      <c r="B260" s="181">
        <v>82035</v>
      </c>
      <c r="C260" s="182" t="s">
        <v>834</v>
      </c>
      <c r="D260" s="183">
        <v>7</v>
      </c>
      <c r="E260" s="185" t="s">
        <v>1124</v>
      </c>
      <c r="F260" s="185" t="s">
        <v>1124</v>
      </c>
      <c r="G260" s="184" t="s">
        <v>1124</v>
      </c>
      <c r="H260" s="186"/>
      <c r="I260" s="185"/>
      <c r="J260" s="187"/>
      <c r="K260" s="188"/>
      <c r="L260" s="189"/>
      <c r="M260" s="185" t="s">
        <v>1124</v>
      </c>
      <c r="N260" s="189"/>
      <c r="O260" s="333"/>
      <c r="P260" s="333" t="s">
        <v>1124</v>
      </c>
      <c r="Q260" s="333" t="s">
        <v>1124</v>
      </c>
      <c r="R260" s="475" t="str">
        <f t="shared" si="4"/>
        <v/>
      </c>
      <c r="S260" s="340" t="s">
        <v>1124</v>
      </c>
    </row>
    <row r="261" spans="2:19" ht="15" customHeight="1" x14ac:dyDescent="0.35">
      <c r="B261" s="181">
        <v>14085</v>
      </c>
      <c r="C261" s="182" t="s">
        <v>75</v>
      </c>
      <c r="D261" s="183">
        <v>1</v>
      </c>
      <c r="E261" s="185">
        <v>531</v>
      </c>
      <c r="F261" s="185">
        <v>237</v>
      </c>
      <c r="G261" s="184" t="s">
        <v>1308</v>
      </c>
      <c r="H261" s="186">
        <v>1</v>
      </c>
      <c r="I261" s="185">
        <v>2210</v>
      </c>
      <c r="J261" s="187">
        <v>1.8542986425339367</v>
      </c>
      <c r="K261" s="188">
        <v>4098</v>
      </c>
      <c r="L261" s="189">
        <v>42.561999999999998</v>
      </c>
      <c r="M261" s="185">
        <v>1444</v>
      </c>
      <c r="N261" s="189">
        <v>794.86699999999996</v>
      </c>
      <c r="O261" s="333">
        <v>355.15176293103445</v>
      </c>
      <c r="P261" s="333">
        <v>244.34147515306117</v>
      </c>
      <c r="Q261" s="333">
        <v>51.892566110000004</v>
      </c>
      <c r="R261" s="475">
        <f t="shared" si="4"/>
        <v>4.7086026664226788</v>
      </c>
      <c r="S261" s="340">
        <v>59.921568627450981</v>
      </c>
    </row>
    <row r="262" spans="2:19" ht="15" customHeight="1" x14ac:dyDescent="0.35">
      <c r="B262" s="181">
        <v>67015</v>
      </c>
      <c r="C262" s="182" t="s">
        <v>664</v>
      </c>
      <c r="D262" s="183">
        <v>16</v>
      </c>
      <c r="E262" s="185">
        <v>368</v>
      </c>
      <c r="F262" s="185">
        <v>289</v>
      </c>
      <c r="G262" s="184" t="s">
        <v>1326</v>
      </c>
      <c r="H262" s="186">
        <v>1</v>
      </c>
      <c r="I262" s="185">
        <v>10961</v>
      </c>
      <c r="J262" s="187">
        <v>2.5431068732618196</v>
      </c>
      <c r="K262" s="188">
        <v>27874.994437822807</v>
      </c>
      <c r="L262" s="189">
        <v>123.373</v>
      </c>
      <c r="M262" s="185">
        <v>10032</v>
      </c>
      <c r="N262" s="189">
        <v>3747.2840000000001</v>
      </c>
      <c r="O262" s="333">
        <v>2937.6493251767265</v>
      </c>
      <c r="P262" s="333">
        <v>260.82436365384638</v>
      </c>
      <c r="Q262" s="333">
        <v>189.93724408799997</v>
      </c>
      <c r="R262" s="475">
        <f t="shared" si="4"/>
        <v>1.3732133732181753</v>
      </c>
      <c r="S262" s="340">
        <v>60.686274509803923</v>
      </c>
    </row>
    <row r="263" spans="2:19" ht="15" customHeight="1" x14ac:dyDescent="0.35">
      <c r="B263" s="181">
        <v>54035</v>
      </c>
      <c r="C263" s="182" t="s">
        <v>546</v>
      </c>
      <c r="D263" s="183">
        <v>16</v>
      </c>
      <c r="E263" s="185">
        <v>523</v>
      </c>
      <c r="F263" s="185">
        <v>186</v>
      </c>
      <c r="G263" s="184" t="s">
        <v>1308</v>
      </c>
      <c r="H263" s="186">
        <v>1</v>
      </c>
      <c r="I263" s="185">
        <v>914</v>
      </c>
      <c r="J263" s="187">
        <v>2.5004906771344459</v>
      </c>
      <c r="K263" s="188">
        <v>2285.4484789008834</v>
      </c>
      <c r="L263" s="189">
        <v>54.588000000000001</v>
      </c>
      <c r="M263" s="185">
        <v>1002</v>
      </c>
      <c r="N263" s="189">
        <v>436.35700000000003</v>
      </c>
      <c r="O263" s="333">
        <v>155.14794000000001</v>
      </c>
      <c r="P263" s="333">
        <v>89.352645000000052</v>
      </c>
      <c r="Q263" s="333">
        <v>35.936179098000004</v>
      </c>
      <c r="R263" s="475">
        <f t="shared" ref="R263:R326" si="5">IF(H263="","",P263/Q263)</f>
        <v>2.4864258594752187</v>
      </c>
      <c r="S263" s="340">
        <v>60.069767441860463</v>
      </c>
    </row>
    <row r="264" spans="2:19" ht="15" customHeight="1" x14ac:dyDescent="0.35">
      <c r="B264" s="181">
        <v>9005</v>
      </c>
      <c r="C264" s="182" t="s">
        <v>1097</v>
      </c>
      <c r="D264" s="183">
        <v>1</v>
      </c>
      <c r="E264" s="185" t="s">
        <v>1124</v>
      </c>
      <c r="F264" s="185" t="s">
        <v>1124</v>
      </c>
      <c r="G264" s="184" t="s">
        <v>1124</v>
      </c>
      <c r="H264" s="186"/>
      <c r="I264" s="185"/>
      <c r="J264" s="187"/>
      <c r="K264" s="188"/>
      <c r="L264" s="189"/>
      <c r="M264" s="185" t="s">
        <v>1124</v>
      </c>
      <c r="N264" s="189"/>
      <c r="O264" s="333"/>
      <c r="P264" s="333" t="s">
        <v>1124</v>
      </c>
      <c r="Q264" s="333" t="s">
        <v>1124</v>
      </c>
      <c r="R264" s="475" t="str">
        <f t="shared" si="5"/>
        <v/>
      </c>
      <c r="S264" s="340" t="s">
        <v>1124</v>
      </c>
    </row>
    <row r="265" spans="2:19" ht="15" customHeight="1" x14ac:dyDescent="0.35">
      <c r="B265" s="181">
        <v>87080</v>
      </c>
      <c r="C265" s="182" t="s">
        <v>902</v>
      </c>
      <c r="D265" s="183">
        <v>8</v>
      </c>
      <c r="E265" s="185">
        <v>186</v>
      </c>
      <c r="F265" s="185">
        <v>140</v>
      </c>
      <c r="G265" s="184" t="s">
        <v>1308</v>
      </c>
      <c r="H265" s="186">
        <v>1</v>
      </c>
      <c r="I265" s="185">
        <v>115</v>
      </c>
      <c r="J265" s="187">
        <v>2.2242424242424241</v>
      </c>
      <c r="K265" s="188">
        <v>255.78787878787878</v>
      </c>
      <c r="L265" s="189">
        <v>3.57</v>
      </c>
      <c r="M265" s="185">
        <v>116</v>
      </c>
      <c r="N265" s="189">
        <v>17.358000000000001</v>
      </c>
      <c r="O265" s="333">
        <v>13.063405172413793</v>
      </c>
      <c r="P265" s="333">
        <v>3.9206300000000014</v>
      </c>
      <c r="Q265" s="333">
        <v>3.8463481000000002</v>
      </c>
      <c r="R265" s="475">
        <f t="shared" si="5"/>
        <v>1.0193123186120365</v>
      </c>
      <c r="S265" s="340">
        <v>37.72972972972974</v>
      </c>
    </row>
    <row r="266" spans="2:19" ht="15" customHeight="1" x14ac:dyDescent="0.35">
      <c r="B266" s="181">
        <v>87090</v>
      </c>
      <c r="C266" s="182" t="s">
        <v>904</v>
      </c>
      <c r="D266" s="183">
        <v>8</v>
      </c>
      <c r="E266" s="185">
        <v>387</v>
      </c>
      <c r="F266" s="185">
        <v>215</v>
      </c>
      <c r="G266" s="184" t="s">
        <v>1308</v>
      </c>
      <c r="H266" s="186">
        <v>1</v>
      </c>
      <c r="I266" s="185">
        <v>3516</v>
      </c>
      <c r="J266" s="187">
        <v>2.1252168883747831</v>
      </c>
      <c r="K266" s="188">
        <v>7472.2625795257372</v>
      </c>
      <c r="L266" s="189">
        <v>50.707999999999998</v>
      </c>
      <c r="M266" s="185">
        <v>2421</v>
      </c>
      <c r="N266" s="189">
        <v>1055.8040000000001</v>
      </c>
      <c r="O266" s="333">
        <v>587.15</v>
      </c>
      <c r="P266" s="333">
        <v>305.21233780612243</v>
      </c>
      <c r="Q266" s="333">
        <v>93.259139579999996</v>
      </c>
      <c r="R266" s="475">
        <f t="shared" si="5"/>
        <v>3.2727337951075963</v>
      </c>
      <c r="S266" s="340">
        <v>53.549019607843135</v>
      </c>
    </row>
    <row r="267" spans="2:19" ht="15" customHeight="1" x14ac:dyDescent="0.35">
      <c r="B267" s="181">
        <v>10010</v>
      </c>
      <c r="C267" s="182" t="s">
        <v>9</v>
      </c>
      <c r="D267" s="183">
        <v>1</v>
      </c>
      <c r="E267" s="185" t="s">
        <v>1124</v>
      </c>
      <c r="F267" s="185" t="s">
        <v>1124</v>
      </c>
      <c r="G267" s="184" t="s">
        <v>1124</v>
      </c>
      <c r="H267" s="186"/>
      <c r="I267" s="185"/>
      <c r="J267" s="187"/>
      <c r="K267" s="188"/>
      <c r="L267" s="189"/>
      <c r="M267" s="185" t="s">
        <v>1124</v>
      </c>
      <c r="N267" s="189"/>
      <c r="O267" s="333"/>
      <c r="P267" s="333" t="s">
        <v>1124</v>
      </c>
      <c r="Q267" s="333" t="s">
        <v>1124</v>
      </c>
      <c r="R267" s="475" t="str">
        <f t="shared" si="5"/>
        <v/>
      </c>
      <c r="S267" s="340" t="s">
        <v>1124</v>
      </c>
    </row>
    <row r="268" spans="2:19" ht="15" customHeight="1" x14ac:dyDescent="0.35">
      <c r="B268" s="181">
        <v>90012</v>
      </c>
      <c r="C268" s="182" t="s">
        <v>934</v>
      </c>
      <c r="D268" s="183">
        <v>4</v>
      </c>
      <c r="E268" s="185">
        <v>991</v>
      </c>
      <c r="F268" s="185">
        <v>609</v>
      </c>
      <c r="G268" s="184" t="s">
        <v>1308</v>
      </c>
      <c r="H268" s="186">
        <v>3</v>
      </c>
      <c r="I268" s="185">
        <v>5090</v>
      </c>
      <c r="J268" s="187">
        <v>1.5863407620416967</v>
      </c>
      <c r="K268" s="188">
        <v>8074.4744787922364</v>
      </c>
      <c r="L268" s="189">
        <v>89.541138200000006</v>
      </c>
      <c r="M268" s="185">
        <v>3910</v>
      </c>
      <c r="N268" s="189">
        <v>2920.5228900000002</v>
      </c>
      <c r="O268" s="333">
        <v>1794.7880818142671</v>
      </c>
      <c r="P268" s="333">
        <v>429.02080296052685</v>
      </c>
      <c r="Q268" s="333">
        <v>131.48825726484398</v>
      </c>
      <c r="R268" s="475">
        <f t="shared" si="5"/>
        <v>3.2628069751992537</v>
      </c>
      <c r="S268" s="340">
        <v>61.56067832538421</v>
      </c>
    </row>
    <row r="269" spans="2:19" ht="15" customHeight="1" x14ac:dyDescent="0.35">
      <c r="B269" s="181">
        <v>52050</v>
      </c>
      <c r="C269" s="182" t="s">
        <v>521</v>
      </c>
      <c r="D269" s="183">
        <v>14</v>
      </c>
      <c r="E269" s="185">
        <v>310</v>
      </c>
      <c r="F269" s="185">
        <v>188</v>
      </c>
      <c r="G269" s="184" t="s">
        <v>1308</v>
      </c>
      <c r="H269" s="186">
        <v>1</v>
      </c>
      <c r="I269" s="185">
        <v>296</v>
      </c>
      <c r="J269" s="187">
        <v>2.1114864864864864</v>
      </c>
      <c r="K269" s="188">
        <v>625</v>
      </c>
      <c r="L269" s="189">
        <v>14.452999999999999</v>
      </c>
      <c r="M269" s="185">
        <v>329</v>
      </c>
      <c r="N269" s="189">
        <v>70.805999999999997</v>
      </c>
      <c r="O269" s="333">
        <v>42.999000000000002</v>
      </c>
      <c r="P269" s="333">
        <v>6.4183009693877509</v>
      </c>
      <c r="Q269" s="333">
        <v>11.950775395999999</v>
      </c>
      <c r="R269" s="475">
        <f t="shared" si="5"/>
        <v>0.53706146728654924</v>
      </c>
      <c r="S269" s="340">
        <v>67.313725490196092</v>
      </c>
    </row>
    <row r="270" spans="2:19" ht="15" customHeight="1" x14ac:dyDescent="0.35">
      <c r="B270" s="181">
        <v>50085</v>
      </c>
      <c r="C270" s="182" t="s">
        <v>492</v>
      </c>
      <c r="D270" s="183">
        <v>17</v>
      </c>
      <c r="E270" s="185">
        <v>959</v>
      </c>
      <c r="F270" s="185">
        <v>202</v>
      </c>
      <c r="G270" s="184" t="s">
        <v>1308</v>
      </c>
      <c r="H270" s="186">
        <v>1</v>
      </c>
      <c r="I270" s="185">
        <v>95</v>
      </c>
      <c r="J270" s="187">
        <v>2.1342281879194629</v>
      </c>
      <c r="K270" s="188">
        <v>202.75167785234896</v>
      </c>
      <c r="L270" s="189">
        <v>19.367999999999999</v>
      </c>
      <c r="M270" s="185">
        <v>123</v>
      </c>
      <c r="N270" s="189">
        <v>71.004999999999967</v>
      </c>
      <c r="O270" s="333">
        <v>14.95</v>
      </c>
      <c r="P270" s="333">
        <v>1.8520299999999861</v>
      </c>
      <c r="Q270" s="333">
        <v>10.7342783205</v>
      </c>
      <c r="R270" s="475">
        <f t="shared" si="5"/>
        <v>0.17253418857819583</v>
      </c>
      <c r="S270" s="340">
        <v>65.845543450193176</v>
      </c>
    </row>
    <row r="271" spans="2:19" ht="15" customHeight="1" x14ac:dyDescent="0.35">
      <c r="B271" s="181">
        <v>78120</v>
      </c>
      <c r="C271" s="182" t="s">
        <v>783</v>
      </c>
      <c r="D271" s="183">
        <v>15</v>
      </c>
      <c r="E271" s="185">
        <v>593</v>
      </c>
      <c r="F271" s="185">
        <v>473</v>
      </c>
      <c r="G271" s="184" t="s">
        <v>1308</v>
      </c>
      <c r="H271" s="186">
        <v>1</v>
      </c>
      <c r="I271" s="185">
        <v>814</v>
      </c>
      <c r="J271" s="187">
        <v>1.6502363268062121</v>
      </c>
      <c r="K271" s="188">
        <v>1343.2923700202566</v>
      </c>
      <c r="L271" s="189">
        <v>22.206</v>
      </c>
      <c r="M271" s="185">
        <v>911</v>
      </c>
      <c r="N271" s="189">
        <v>290.82499999999999</v>
      </c>
      <c r="O271" s="333">
        <v>231.88948401323043</v>
      </c>
      <c r="P271" s="333">
        <v>27.679625000000033</v>
      </c>
      <c r="Q271" s="333">
        <v>27.554335285750003</v>
      </c>
      <c r="R271" s="475">
        <f t="shared" si="5"/>
        <v>1.0045470055056935</v>
      </c>
      <c r="S271" s="340">
        <v>58.860465116279073</v>
      </c>
    </row>
    <row r="272" spans="2:19" ht="15" customHeight="1" x14ac:dyDescent="0.35">
      <c r="B272" s="181">
        <v>93055</v>
      </c>
      <c r="C272" s="182" t="s">
        <v>966</v>
      </c>
      <c r="D272" s="183">
        <v>2</v>
      </c>
      <c r="E272" s="185">
        <v>461</v>
      </c>
      <c r="F272" s="185">
        <v>266</v>
      </c>
      <c r="G272" s="184" t="s">
        <v>1308</v>
      </c>
      <c r="H272" s="186">
        <v>1</v>
      </c>
      <c r="I272" s="185">
        <v>462</v>
      </c>
      <c r="J272" s="187">
        <v>2.3298611111111112</v>
      </c>
      <c r="K272" s="188">
        <v>1076.3958333333333</v>
      </c>
      <c r="L272" s="189">
        <v>25.984999999999999</v>
      </c>
      <c r="M272" s="185">
        <v>534</v>
      </c>
      <c r="N272" s="189">
        <v>181.13200000000001</v>
      </c>
      <c r="O272" s="333">
        <v>104.42</v>
      </c>
      <c r="P272" s="333">
        <v>62.897178877551028</v>
      </c>
      <c r="Q272" s="333">
        <v>18.082532160000003</v>
      </c>
      <c r="R272" s="475">
        <f t="shared" si="5"/>
        <v>3.4783391131848549</v>
      </c>
      <c r="S272" s="340">
        <v>39.578947368421048</v>
      </c>
    </row>
    <row r="273" spans="2:19" ht="15" customHeight="1" x14ac:dyDescent="0.35">
      <c r="B273" s="181">
        <v>7057</v>
      </c>
      <c r="C273" s="182" t="s">
        <v>1076</v>
      </c>
      <c r="D273" s="183">
        <v>1</v>
      </c>
      <c r="E273" s="185">
        <v>814</v>
      </c>
      <c r="F273" s="185">
        <v>218</v>
      </c>
      <c r="G273" s="184" t="s">
        <v>1326</v>
      </c>
      <c r="H273" s="186">
        <v>1</v>
      </c>
      <c r="I273" s="185">
        <v>379</v>
      </c>
      <c r="J273" s="187">
        <v>2.6679316888045541</v>
      </c>
      <c r="K273" s="188">
        <v>1011.146110056926</v>
      </c>
      <c r="L273" s="189">
        <v>10.907999999999999</v>
      </c>
      <c r="M273" s="185">
        <v>354</v>
      </c>
      <c r="N273" s="189">
        <v>300.423</v>
      </c>
      <c r="O273" s="333">
        <v>80.411634567901231</v>
      </c>
      <c r="P273" s="333">
        <v>209.98865499999999</v>
      </c>
      <c r="Q273" s="333">
        <v>10.51516455</v>
      </c>
      <c r="R273" s="475">
        <f t="shared" si="5"/>
        <v>19.970077881472619</v>
      </c>
      <c r="S273" s="340">
        <v>38.081081081081081</v>
      </c>
    </row>
    <row r="274" spans="2:19" ht="15" customHeight="1" x14ac:dyDescent="0.35">
      <c r="B274" s="181">
        <v>35010</v>
      </c>
      <c r="C274" s="182" t="s">
        <v>304</v>
      </c>
      <c r="D274" s="183">
        <v>4</v>
      </c>
      <c r="E274" s="185" t="s">
        <v>1124</v>
      </c>
      <c r="F274" s="185" t="s">
        <v>1124</v>
      </c>
      <c r="G274" s="184" t="s">
        <v>1124</v>
      </c>
      <c r="H274" s="186"/>
      <c r="I274" s="185"/>
      <c r="J274" s="187"/>
      <c r="K274" s="188"/>
      <c r="L274" s="189"/>
      <c r="M274" s="185" t="s">
        <v>1124</v>
      </c>
      <c r="N274" s="189"/>
      <c r="O274" s="333"/>
      <c r="P274" s="333" t="s">
        <v>1124</v>
      </c>
      <c r="Q274" s="333" t="s">
        <v>1124</v>
      </c>
      <c r="R274" s="475" t="str">
        <f t="shared" si="5"/>
        <v/>
      </c>
      <c r="S274" s="340" t="s">
        <v>1124</v>
      </c>
    </row>
    <row r="275" spans="2:19" ht="15" customHeight="1" x14ac:dyDescent="0.35">
      <c r="B275" s="181">
        <v>22040</v>
      </c>
      <c r="C275" s="182" t="s">
        <v>160</v>
      </c>
      <c r="D275" s="183">
        <v>3</v>
      </c>
      <c r="E275" s="185">
        <v>276</v>
      </c>
      <c r="F275" s="185">
        <v>180</v>
      </c>
      <c r="G275" s="184" t="s">
        <v>1326</v>
      </c>
      <c r="H275" s="186">
        <v>1</v>
      </c>
      <c r="I275" s="185">
        <v>1523</v>
      </c>
      <c r="J275" s="187">
        <v>2.5552334943639292</v>
      </c>
      <c r="K275" s="188">
        <v>3891.6206119162644</v>
      </c>
      <c r="L275" s="189">
        <v>31.86</v>
      </c>
      <c r="M275" s="185">
        <v>1482</v>
      </c>
      <c r="N275" s="189">
        <v>392.37200000000001</v>
      </c>
      <c r="O275" s="333">
        <v>256.06299999999999</v>
      </c>
      <c r="P275" s="333">
        <v>63.681812683673492</v>
      </c>
      <c r="Q275" s="333">
        <v>48.9811896</v>
      </c>
      <c r="R275" s="475">
        <f t="shared" si="5"/>
        <v>1.3001279308184359</v>
      </c>
      <c r="S275" s="340">
        <v>46.350877192982459</v>
      </c>
    </row>
    <row r="276" spans="2:19" ht="15" customHeight="1" x14ac:dyDescent="0.35">
      <c r="B276" s="181">
        <v>91005</v>
      </c>
      <c r="C276" s="182" t="s">
        <v>937</v>
      </c>
      <c r="D276" s="183">
        <v>2</v>
      </c>
      <c r="E276" s="185">
        <v>422</v>
      </c>
      <c r="F276" s="185">
        <v>218</v>
      </c>
      <c r="G276" s="184" t="s">
        <v>1308</v>
      </c>
      <c r="H276" s="186">
        <v>1</v>
      </c>
      <c r="I276" s="185">
        <v>450</v>
      </c>
      <c r="J276" s="187">
        <v>1.89</v>
      </c>
      <c r="K276" s="188">
        <v>850.5</v>
      </c>
      <c r="L276" s="189">
        <v>12.77</v>
      </c>
      <c r="M276" s="185">
        <v>482</v>
      </c>
      <c r="N276" s="189">
        <v>131.00800000000001</v>
      </c>
      <c r="O276" s="333">
        <v>67.548000000000002</v>
      </c>
      <c r="P276" s="333">
        <v>55.791000000000004</v>
      </c>
      <c r="Q276" s="333">
        <v>13.370166809999999</v>
      </c>
      <c r="R276" s="475">
        <f t="shared" si="5"/>
        <v>4.1727976017675434</v>
      </c>
      <c r="S276" s="340">
        <v>59</v>
      </c>
    </row>
    <row r="277" spans="2:19" ht="15" customHeight="1" x14ac:dyDescent="0.35">
      <c r="B277" s="181">
        <v>46075</v>
      </c>
      <c r="C277" s="182" t="s">
        <v>439</v>
      </c>
      <c r="D277" s="183">
        <v>5</v>
      </c>
      <c r="E277" s="185" t="s">
        <v>1124</v>
      </c>
      <c r="F277" s="185" t="s">
        <v>1124</v>
      </c>
      <c r="G277" s="184" t="s">
        <v>1124</v>
      </c>
      <c r="H277" s="186"/>
      <c r="I277" s="185"/>
      <c r="J277" s="187"/>
      <c r="K277" s="188"/>
      <c r="L277" s="189"/>
      <c r="M277" s="185" t="s">
        <v>1124</v>
      </c>
      <c r="N277" s="189"/>
      <c r="O277" s="333"/>
      <c r="P277" s="333" t="s">
        <v>1124</v>
      </c>
      <c r="Q277" s="333" t="s">
        <v>1124</v>
      </c>
      <c r="R277" s="475" t="str">
        <f t="shared" si="5"/>
        <v/>
      </c>
      <c r="S277" s="340" t="s">
        <v>1124</v>
      </c>
    </row>
    <row r="278" spans="2:19" ht="15" customHeight="1" x14ac:dyDescent="0.35">
      <c r="B278" s="181">
        <v>22030</v>
      </c>
      <c r="C278" s="182" t="s">
        <v>158</v>
      </c>
      <c r="D278" s="183">
        <v>3</v>
      </c>
      <c r="E278" s="185">
        <v>274</v>
      </c>
      <c r="F278" s="185">
        <v>161</v>
      </c>
      <c r="G278" s="184" t="s">
        <v>1308</v>
      </c>
      <c r="H278" s="186">
        <v>1</v>
      </c>
      <c r="I278" s="185">
        <v>296</v>
      </c>
      <c r="J278" s="187">
        <v>2.4962962962962965</v>
      </c>
      <c r="K278" s="188">
        <v>738.90370370370374</v>
      </c>
      <c r="L278" s="189">
        <v>6.2809999999999997</v>
      </c>
      <c r="M278" s="185">
        <v>250</v>
      </c>
      <c r="N278" s="189">
        <v>73.811000000000007</v>
      </c>
      <c r="O278" s="333">
        <v>43.49</v>
      </c>
      <c r="P278" s="333">
        <v>7.3138350000000134</v>
      </c>
      <c r="Q278" s="333">
        <v>5.5523338640000004</v>
      </c>
      <c r="R278" s="475">
        <f t="shared" si="5"/>
        <v>1.3172541816012115</v>
      </c>
      <c r="S278" s="340">
        <v>58.72972972972974</v>
      </c>
    </row>
    <row r="279" spans="2:19" ht="15" customHeight="1" x14ac:dyDescent="0.35">
      <c r="B279" s="181">
        <v>13060</v>
      </c>
      <c r="C279" s="182" t="s">
        <v>51</v>
      </c>
      <c r="D279" s="183">
        <v>1</v>
      </c>
      <c r="E279" s="185">
        <v>343</v>
      </c>
      <c r="F279" s="185">
        <v>295</v>
      </c>
      <c r="G279" s="184" t="s">
        <v>1308</v>
      </c>
      <c r="H279" s="186">
        <v>1</v>
      </c>
      <c r="I279" s="185">
        <v>184</v>
      </c>
      <c r="J279" s="187">
        <v>1.91</v>
      </c>
      <c r="K279" s="188">
        <v>351.44</v>
      </c>
      <c r="L279" s="189">
        <v>4.72</v>
      </c>
      <c r="M279" s="185">
        <v>184</v>
      </c>
      <c r="N279" s="189">
        <v>43.960999999999999</v>
      </c>
      <c r="O279" s="333">
        <v>37.817189743589751</v>
      </c>
      <c r="P279" s="333">
        <v>3.2235849999999968</v>
      </c>
      <c r="Q279" s="333">
        <v>5.5880040000000006</v>
      </c>
      <c r="R279" s="475">
        <f t="shared" si="5"/>
        <v>0.57687592922266995</v>
      </c>
      <c r="S279" s="340">
        <v>45.081081081081081</v>
      </c>
    </row>
    <row r="280" spans="2:19" ht="15" customHeight="1" x14ac:dyDescent="0.35">
      <c r="B280" s="181">
        <v>79078</v>
      </c>
      <c r="C280" s="182" t="s">
        <v>797</v>
      </c>
      <c r="D280" s="183">
        <v>15</v>
      </c>
      <c r="E280" s="185">
        <v>358</v>
      </c>
      <c r="F280" s="185">
        <v>240</v>
      </c>
      <c r="G280" s="184" t="s">
        <v>1308</v>
      </c>
      <c r="H280" s="186">
        <v>2</v>
      </c>
      <c r="I280" s="185">
        <v>682</v>
      </c>
      <c r="J280" s="187">
        <v>2.1016566265060241</v>
      </c>
      <c r="K280" s="188">
        <v>1433.3298192771085</v>
      </c>
      <c r="L280" s="189">
        <v>14.588000000000001</v>
      </c>
      <c r="M280" s="185">
        <v>571</v>
      </c>
      <c r="N280" s="189">
        <v>187.16900000000001</v>
      </c>
      <c r="O280" s="333">
        <v>125.80347992822354</v>
      </c>
      <c r="P280" s="333">
        <v>50.372465000000005</v>
      </c>
      <c r="Q280" s="333">
        <v>12.796886641</v>
      </c>
      <c r="R280" s="475">
        <f t="shared" si="5"/>
        <v>3.9363062605096029</v>
      </c>
      <c r="S280" s="340">
        <v>63.77325581395349</v>
      </c>
    </row>
    <row r="281" spans="2:19" ht="15" customHeight="1" x14ac:dyDescent="0.35">
      <c r="B281" s="181">
        <v>80130</v>
      </c>
      <c r="C281" s="182" t="s">
        <v>823</v>
      </c>
      <c r="D281" s="183">
        <v>7</v>
      </c>
      <c r="E281" s="185" t="s">
        <v>1124</v>
      </c>
      <c r="F281" s="185" t="s">
        <v>1124</v>
      </c>
      <c r="G281" s="184" t="s">
        <v>1124</v>
      </c>
      <c r="H281" s="186"/>
      <c r="I281" s="185"/>
      <c r="J281" s="187"/>
      <c r="K281" s="188"/>
      <c r="L281" s="189"/>
      <c r="M281" s="185" t="s">
        <v>1124</v>
      </c>
      <c r="N281" s="189"/>
      <c r="O281" s="333"/>
      <c r="P281" s="333" t="s">
        <v>1124</v>
      </c>
      <c r="Q281" s="333" t="s">
        <v>1124</v>
      </c>
      <c r="R281" s="475" t="str">
        <f t="shared" si="5"/>
        <v/>
      </c>
      <c r="S281" s="340" t="s">
        <v>1124</v>
      </c>
    </row>
    <row r="282" spans="2:19" ht="15" customHeight="1" x14ac:dyDescent="0.35">
      <c r="B282" s="181">
        <v>77055</v>
      </c>
      <c r="C282" s="182" t="s">
        <v>763</v>
      </c>
      <c r="D282" s="183">
        <v>15</v>
      </c>
      <c r="E282" s="185" t="s">
        <v>1124</v>
      </c>
      <c r="F282" s="185" t="s">
        <v>1124</v>
      </c>
      <c r="G282" s="184" t="s">
        <v>1124</v>
      </c>
      <c r="H282" s="186"/>
      <c r="I282" s="185"/>
      <c r="J282" s="187"/>
      <c r="K282" s="188"/>
      <c r="L282" s="189"/>
      <c r="M282" s="185" t="s">
        <v>1124</v>
      </c>
      <c r="N282" s="189"/>
      <c r="O282" s="333"/>
      <c r="P282" s="333" t="s">
        <v>1124</v>
      </c>
      <c r="Q282" s="333" t="s">
        <v>1124</v>
      </c>
      <c r="R282" s="475" t="str">
        <f t="shared" si="5"/>
        <v/>
      </c>
      <c r="S282" s="340" t="s">
        <v>1124</v>
      </c>
    </row>
    <row r="283" spans="2:19" ht="15" customHeight="1" x14ac:dyDescent="0.35">
      <c r="B283" s="181">
        <v>30080</v>
      </c>
      <c r="C283" s="182" t="s">
        <v>230</v>
      </c>
      <c r="D283" s="183">
        <v>5</v>
      </c>
      <c r="E283" s="185">
        <v>301</v>
      </c>
      <c r="F283" s="185">
        <v>143</v>
      </c>
      <c r="G283" s="184" t="s">
        <v>1308</v>
      </c>
      <c r="H283" s="186">
        <v>1</v>
      </c>
      <c r="I283" s="185">
        <v>294</v>
      </c>
      <c r="J283" s="187">
        <v>2.1482254697286014</v>
      </c>
      <c r="K283" s="188">
        <v>631.57828810020885</v>
      </c>
      <c r="L283" s="189">
        <v>8.15</v>
      </c>
      <c r="M283" s="185">
        <v>269</v>
      </c>
      <c r="N283" s="189">
        <v>69.45</v>
      </c>
      <c r="O283" s="333">
        <v>32.991336283185838</v>
      </c>
      <c r="P283" s="333">
        <v>15.903</v>
      </c>
      <c r="Q283" s="333">
        <v>9.9964717187499996</v>
      </c>
      <c r="R283" s="475">
        <f t="shared" si="5"/>
        <v>1.5908613006098293</v>
      </c>
      <c r="S283" s="340">
        <v>55</v>
      </c>
    </row>
    <row r="284" spans="2:19" ht="15" customHeight="1" x14ac:dyDescent="0.35">
      <c r="B284" s="181">
        <v>79015</v>
      </c>
      <c r="C284" s="182" t="s">
        <v>788</v>
      </c>
      <c r="D284" s="183">
        <v>15</v>
      </c>
      <c r="E284" s="185" t="s">
        <v>1124</v>
      </c>
      <c r="F284" s="185" t="s">
        <v>1124</v>
      </c>
      <c r="G284" s="184" t="s">
        <v>1124</v>
      </c>
      <c r="H284" s="186"/>
      <c r="I284" s="185"/>
      <c r="J284" s="187"/>
      <c r="K284" s="188"/>
      <c r="L284" s="189"/>
      <c r="M284" s="185" t="s">
        <v>1124</v>
      </c>
      <c r="N284" s="189"/>
      <c r="O284" s="333"/>
      <c r="P284" s="333" t="s">
        <v>1124</v>
      </c>
      <c r="Q284" s="333" t="s">
        <v>1124</v>
      </c>
      <c r="R284" s="475" t="str">
        <f t="shared" si="5"/>
        <v/>
      </c>
      <c r="S284" s="340" t="s">
        <v>1124</v>
      </c>
    </row>
    <row r="285" spans="2:19" ht="15" customHeight="1" x14ac:dyDescent="0.35">
      <c r="B285" s="181">
        <v>90027</v>
      </c>
      <c r="C285" s="182" t="s">
        <v>936</v>
      </c>
      <c r="D285" s="183">
        <v>4</v>
      </c>
      <c r="E285" s="185" t="s">
        <v>1124</v>
      </c>
      <c r="F285" s="185" t="s">
        <v>1124</v>
      </c>
      <c r="G285" s="184" t="s">
        <v>1124</v>
      </c>
      <c r="H285" s="186"/>
      <c r="I285" s="185"/>
      <c r="J285" s="187"/>
      <c r="K285" s="188"/>
      <c r="L285" s="189"/>
      <c r="M285" s="185" t="s">
        <v>1124</v>
      </c>
      <c r="N285" s="189"/>
      <c r="O285" s="333"/>
      <c r="P285" s="333" t="s">
        <v>1124</v>
      </c>
      <c r="Q285" s="333" t="s">
        <v>1124</v>
      </c>
      <c r="R285" s="475" t="str">
        <f t="shared" si="5"/>
        <v/>
      </c>
      <c r="S285" s="340" t="s">
        <v>1124</v>
      </c>
    </row>
    <row r="286" spans="2:19" ht="15" customHeight="1" x14ac:dyDescent="0.35">
      <c r="B286" s="181">
        <v>28053</v>
      </c>
      <c r="C286" s="182" t="s">
        <v>196</v>
      </c>
      <c r="D286" s="183">
        <v>12</v>
      </c>
      <c r="E286" s="185">
        <v>343</v>
      </c>
      <c r="F286" s="185">
        <v>311</v>
      </c>
      <c r="G286" s="184" t="s">
        <v>1308</v>
      </c>
      <c r="H286" s="186">
        <v>2</v>
      </c>
      <c r="I286" s="185">
        <v>1532</v>
      </c>
      <c r="J286" s="187">
        <v>1.8218471636193154</v>
      </c>
      <c r="K286" s="188">
        <v>2791.0698546647914</v>
      </c>
      <c r="L286" s="189">
        <v>25.616</v>
      </c>
      <c r="M286" s="185">
        <v>1298</v>
      </c>
      <c r="N286" s="189">
        <v>349.22800000000001</v>
      </c>
      <c r="O286" s="333">
        <v>317.04457692307693</v>
      </c>
      <c r="P286" s="333">
        <v>19.469975999999964</v>
      </c>
      <c r="Q286" s="333">
        <v>30.576853452599998</v>
      </c>
      <c r="R286" s="475">
        <f t="shared" si="5"/>
        <v>0.63675538198141179</v>
      </c>
      <c r="S286" s="340">
        <v>60.443016365999263</v>
      </c>
    </row>
    <row r="287" spans="2:19" ht="15" customHeight="1" x14ac:dyDescent="0.35">
      <c r="B287" s="181">
        <v>18010</v>
      </c>
      <c r="C287" s="182" t="s">
        <v>105</v>
      </c>
      <c r="D287" s="183">
        <v>12</v>
      </c>
      <c r="E287" s="185">
        <v>412</v>
      </c>
      <c r="F287" s="185">
        <v>298</v>
      </c>
      <c r="G287" s="184" t="s">
        <v>1308</v>
      </c>
      <c r="H287" s="186">
        <v>1</v>
      </c>
      <c r="I287" s="185">
        <v>82</v>
      </c>
      <c r="J287" s="187">
        <v>1.7184466019417475</v>
      </c>
      <c r="K287" s="188">
        <v>140.91262135922329</v>
      </c>
      <c r="L287" s="189">
        <v>3.4550000000000001</v>
      </c>
      <c r="M287" s="185">
        <v>68</v>
      </c>
      <c r="N287" s="189">
        <v>21.170999999999999</v>
      </c>
      <c r="O287" s="333">
        <v>15.308299999999999</v>
      </c>
      <c r="P287" s="333">
        <v>5.3584350000000009</v>
      </c>
      <c r="Q287" s="333">
        <v>2.20683015</v>
      </c>
      <c r="R287" s="475">
        <f t="shared" si="5"/>
        <v>2.4281139171494468</v>
      </c>
      <c r="S287" s="340">
        <v>56.744186046511629</v>
      </c>
    </row>
    <row r="288" spans="2:19" ht="15" customHeight="1" x14ac:dyDescent="0.35">
      <c r="B288" s="181">
        <v>76020</v>
      </c>
      <c r="C288" s="182" t="s">
        <v>748</v>
      </c>
      <c r="D288" s="183">
        <v>15</v>
      </c>
      <c r="E288" s="185">
        <v>574</v>
      </c>
      <c r="F288" s="185">
        <v>238</v>
      </c>
      <c r="G288" s="184" t="s">
        <v>1308</v>
      </c>
      <c r="H288" s="186">
        <v>1</v>
      </c>
      <c r="I288" s="185">
        <v>6702</v>
      </c>
      <c r="J288" s="187">
        <v>2</v>
      </c>
      <c r="K288" s="188">
        <v>13404</v>
      </c>
      <c r="L288" s="189">
        <v>99.742999999999995</v>
      </c>
      <c r="M288" s="185">
        <v>4425</v>
      </c>
      <c r="N288" s="189">
        <v>2806.3469999999998</v>
      </c>
      <c r="O288" s="333">
        <v>1164.4466158645278</v>
      </c>
      <c r="P288" s="333">
        <v>1182.8844463659789</v>
      </c>
      <c r="Q288" s="333">
        <v>111.27991341149999</v>
      </c>
      <c r="R288" s="475">
        <f t="shared" si="5"/>
        <v>10.629810988365993</v>
      </c>
      <c r="S288" s="340">
        <v>60.10980508945088</v>
      </c>
    </row>
    <row r="289" spans="2:19" ht="15" customHeight="1" x14ac:dyDescent="0.35">
      <c r="B289" s="181">
        <v>30030</v>
      </c>
      <c r="C289" s="182" t="s">
        <v>222</v>
      </c>
      <c r="D289" s="183">
        <v>5</v>
      </c>
      <c r="E289" s="185">
        <v>453</v>
      </c>
      <c r="F289" s="185">
        <v>166</v>
      </c>
      <c r="G289" s="184" t="s">
        <v>1308</v>
      </c>
      <c r="H289" s="186">
        <v>1</v>
      </c>
      <c r="I289" s="185">
        <v>3071</v>
      </c>
      <c r="J289" s="187">
        <v>1.89</v>
      </c>
      <c r="K289" s="188">
        <v>5804.19</v>
      </c>
      <c r="L289" s="189">
        <v>58.867999999999995</v>
      </c>
      <c r="M289" s="185">
        <v>2776</v>
      </c>
      <c r="N289" s="189">
        <v>959.25699999999995</v>
      </c>
      <c r="O289" s="333">
        <v>351.59737656903764</v>
      </c>
      <c r="P289" s="333">
        <v>114.29281711652925</v>
      </c>
      <c r="Q289" s="333">
        <v>101.5465332</v>
      </c>
      <c r="R289" s="475">
        <f t="shared" si="5"/>
        <v>1.1255216058575326</v>
      </c>
      <c r="S289" s="340">
        <v>64.963517733351352</v>
      </c>
    </row>
    <row r="290" spans="2:19" ht="15" customHeight="1" x14ac:dyDescent="0.35">
      <c r="B290" s="181">
        <v>56023</v>
      </c>
      <c r="C290" s="182" t="s">
        <v>570</v>
      </c>
      <c r="D290" s="183">
        <v>16</v>
      </c>
      <c r="E290" s="185" t="s">
        <v>1124</v>
      </c>
      <c r="F290" s="185" t="s">
        <v>1124</v>
      </c>
      <c r="G290" s="184" t="s">
        <v>1124</v>
      </c>
      <c r="H290" s="186"/>
      <c r="I290" s="185"/>
      <c r="J290" s="187"/>
      <c r="K290" s="188"/>
      <c r="L290" s="189"/>
      <c r="M290" s="185" t="s">
        <v>1124</v>
      </c>
      <c r="N290" s="189"/>
      <c r="O290" s="333"/>
      <c r="P290" s="333" t="s">
        <v>1124</v>
      </c>
      <c r="Q290" s="333" t="s">
        <v>1124</v>
      </c>
      <c r="R290" s="475" t="str">
        <f t="shared" si="5"/>
        <v/>
      </c>
      <c r="S290" s="340" t="s">
        <v>1124</v>
      </c>
    </row>
    <row r="291" spans="2:19" ht="15" customHeight="1" x14ac:dyDescent="0.35">
      <c r="B291" s="181">
        <v>29095</v>
      </c>
      <c r="C291" s="182" t="s">
        <v>212</v>
      </c>
      <c r="D291" s="183">
        <v>12</v>
      </c>
      <c r="E291" s="185" t="s">
        <v>1124</v>
      </c>
      <c r="F291" s="185" t="s">
        <v>1124</v>
      </c>
      <c r="G291" s="184" t="s">
        <v>1124</v>
      </c>
      <c r="H291" s="186"/>
      <c r="I291" s="185"/>
      <c r="J291" s="187"/>
      <c r="K291" s="188"/>
      <c r="L291" s="189"/>
      <c r="M291" s="185" t="s">
        <v>1124</v>
      </c>
      <c r="N291" s="189"/>
      <c r="O291" s="333"/>
      <c r="P291" s="333" t="s">
        <v>1124</v>
      </c>
      <c r="Q291" s="333" t="s">
        <v>1124</v>
      </c>
      <c r="R291" s="475" t="str">
        <f t="shared" si="5"/>
        <v/>
      </c>
      <c r="S291" s="340" t="s">
        <v>1124</v>
      </c>
    </row>
    <row r="292" spans="2:19" ht="15" customHeight="1" x14ac:dyDescent="0.35">
      <c r="B292" s="181">
        <v>79060</v>
      </c>
      <c r="C292" s="182" t="s">
        <v>795</v>
      </c>
      <c r="D292" s="183">
        <v>15</v>
      </c>
      <c r="E292" s="185" t="s">
        <v>1124</v>
      </c>
      <c r="F292" s="185" t="s">
        <v>1124</v>
      </c>
      <c r="G292" s="184" t="s">
        <v>1124</v>
      </c>
      <c r="H292" s="186"/>
      <c r="I292" s="185"/>
      <c r="J292" s="187"/>
      <c r="K292" s="188"/>
      <c r="L292" s="189"/>
      <c r="M292" s="185" t="s">
        <v>1124</v>
      </c>
      <c r="N292" s="189"/>
      <c r="O292" s="333"/>
      <c r="P292" s="333" t="s">
        <v>1124</v>
      </c>
      <c r="Q292" s="333" t="s">
        <v>1124</v>
      </c>
      <c r="R292" s="475" t="str">
        <f t="shared" si="5"/>
        <v/>
      </c>
      <c r="S292" s="340" t="s">
        <v>1124</v>
      </c>
    </row>
    <row r="293" spans="2:19" ht="15" customHeight="1" x14ac:dyDescent="0.35">
      <c r="B293" s="181">
        <v>83020</v>
      </c>
      <c r="C293" s="182" t="s">
        <v>838</v>
      </c>
      <c r="D293" s="183">
        <v>7</v>
      </c>
      <c r="E293" s="185" t="s">
        <v>1124</v>
      </c>
      <c r="F293" s="185" t="s">
        <v>1124</v>
      </c>
      <c r="G293" s="184" t="s">
        <v>1124</v>
      </c>
      <c r="H293" s="186"/>
      <c r="I293" s="185"/>
      <c r="J293" s="187"/>
      <c r="K293" s="188"/>
      <c r="L293" s="189"/>
      <c r="M293" s="185" t="s">
        <v>1124</v>
      </c>
      <c r="N293" s="189"/>
      <c r="O293" s="333"/>
      <c r="P293" s="333" t="s">
        <v>1124</v>
      </c>
      <c r="Q293" s="333" t="s">
        <v>1124</v>
      </c>
      <c r="R293" s="475" t="str">
        <f t="shared" si="5"/>
        <v/>
      </c>
      <c r="S293" s="340" t="s">
        <v>1124</v>
      </c>
    </row>
    <row r="294" spans="2:19" ht="15" customHeight="1" x14ac:dyDescent="0.35">
      <c r="B294" s="192">
        <v>22015</v>
      </c>
      <c r="C294" s="182" t="s">
        <v>155</v>
      </c>
      <c r="D294" s="183">
        <v>3</v>
      </c>
      <c r="E294" s="185" t="s">
        <v>1124</v>
      </c>
      <c r="F294" s="185" t="s">
        <v>1124</v>
      </c>
      <c r="G294" s="184" t="s">
        <v>1124</v>
      </c>
      <c r="H294" s="186"/>
      <c r="I294" s="185"/>
      <c r="J294" s="187"/>
      <c r="K294" s="188"/>
      <c r="L294" s="189"/>
      <c r="M294" s="185" t="s">
        <v>1124</v>
      </c>
      <c r="N294" s="189"/>
      <c r="O294" s="333"/>
      <c r="P294" s="333" t="s">
        <v>1124</v>
      </c>
      <c r="Q294" s="333" t="s">
        <v>1124</v>
      </c>
      <c r="R294" s="475" t="str">
        <f t="shared" si="5"/>
        <v/>
      </c>
      <c r="S294" s="340" t="s">
        <v>1124</v>
      </c>
    </row>
    <row r="295" spans="2:19" ht="15" customHeight="1" x14ac:dyDescent="0.35">
      <c r="B295" s="181">
        <v>79105</v>
      </c>
      <c r="C295" s="182" t="s">
        <v>800</v>
      </c>
      <c r="D295" s="183">
        <v>15</v>
      </c>
      <c r="E295" s="185" t="s">
        <v>1124</v>
      </c>
      <c r="F295" s="185" t="s">
        <v>1124</v>
      </c>
      <c r="G295" s="184" t="s">
        <v>1124</v>
      </c>
      <c r="H295" s="186"/>
      <c r="I295" s="185"/>
      <c r="J295" s="187"/>
      <c r="K295" s="188"/>
      <c r="L295" s="189"/>
      <c r="M295" s="185" t="s">
        <v>1124</v>
      </c>
      <c r="N295" s="189"/>
      <c r="O295" s="333"/>
      <c r="P295" s="333" t="s">
        <v>1124</v>
      </c>
      <c r="Q295" s="333" t="s">
        <v>1124</v>
      </c>
      <c r="R295" s="475" t="str">
        <f t="shared" si="5"/>
        <v/>
      </c>
      <c r="S295" s="340" t="s">
        <v>1124</v>
      </c>
    </row>
    <row r="296" spans="2:19" ht="15" customHeight="1" x14ac:dyDescent="0.35">
      <c r="B296" s="181">
        <v>34120</v>
      </c>
      <c r="C296" s="182" t="s">
        <v>300</v>
      </c>
      <c r="D296" s="183">
        <v>3</v>
      </c>
      <c r="E296" s="185" t="s">
        <v>1124</v>
      </c>
      <c r="F296" s="185" t="s">
        <v>1124</v>
      </c>
      <c r="G296" s="184" t="s">
        <v>1124</v>
      </c>
      <c r="H296" s="186"/>
      <c r="I296" s="185"/>
      <c r="J296" s="187"/>
      <c r="K296" s="188"/>
      <c r="L296" s="189"/>
      <c r="M296" s="185" t="s">
        <v>1124</v>
      </c>
      <c r="N296" s="189"/>
      <c r="O296" s="333"/>
      <c r="P296" s="333" t="s">
        <v>1124</v>
      </c>
      <c r="Q296" s="333" t="s">
        <v>1124</v>
      </c>
      <c r="R296" s="475" t="str">
        <f t="shared" si="5"/>
        <v/>
      </c>
      <c r="S296" s="340" t="s">
        <v>1124</v>
      </c>
    </row>
    <row r="297" spans="2:19" ht="15" customHeight="1" x14ac:dyDescent="0.35">
      <c r="B297" s="181">
        <v>80095</v>
      </c>
      <c r="C297" s="182" t="s">
        <v>818</v>
      </c>
      <c r="D297" s="183">
        <v>7</v>
      </c>
      <c r="E297" s="185" t="s">
        <v>1124</v>
      </c>
      <c r="F297" s="185" t="s">
        <v>1124</v>
      </c>
      <c r="G297" s="184" t="s">
        <v>1124</v>
      </c>
      <c r="H297" s="186"/>
      <c r="I297" s="185"/>
      <c r="J297" s="187"/>
      <c r="K297" s="188"/>
      <c r="L297" s="189"/>
      <c r="M297" s="185" t="s">
        <v>1124</v>
      </c>
      <c r="N297" s="189"/>
      <c r="O297" s="333"/>
      <c r="P297" s="333" t="s">
        <v>1124</v>
      </c>
      <c r="Q297" s="333" t="s">
        <v>1124</v>
      </c>
      <c r="R297" s="475" t="str">
        <f t="shared" si="5"/>
        <v/>
      </c>
      <c r="S297" s="340" t="s">
        <v>1124</v>
      </c>
    </row>
    <row r="298" spans="2:19" ht="15" customHeight="1" x14ac:dyDescent="0.35">
      <c r="B298" s="181">
        <v>78095</v>
      </c>
      <c r="C298" s="182" t="s">
        <v>779</v>
      </c>
      <c r="D298" s="183">
        <v>15</v>
      </c>
      <c r="E298" s="185" t="s">
        <v>1124</v>
      </c>
      <c r="F298" s="185" t="s">
        <v>1124</v>
      </c>
      <c r="G298" s="184" t="s">
        <v>1124</v>
      </c>
      <c r="H298" s="186"/>
      <c r="I298" s="185"/>
      <c r="J298" s="187"/>
      <c r="K298" s="188"/>
      <c r="L298" s="189"/>
      <c r="M298" s="185" t="s">
        <v>1124</v>
      </c>
      <c r="N298" s="189"/>
      <c r="O298" s="333"/>
      <c r="P298" s="333" t="s">
        <v>1124</v>
      </c>
      <c r="Q298" s="333" t="s">
        <v>1124</v>
      </c>
      <c r="R298" s="475" t="str">
        <f t="shared" si="5"/>
        <v/>
      </c>
      <c r="S298" s="340" t="s">
        <v>1124</v>
      </c>
    </row>
    <row r="299" spans="2:19" ht="15" customHeight="1" x14ac:dyDescent="0.35">
      <c r="B299" s="181">
        <v>78127</v>
      </c>
      <c r="C299" s="182" t="s">
        <v>784</v>
      </c>
      <c r="D299" s="183">
        <v>15</v>
      </c>
      <c r="E299" s="185" t="s">
        <v>1124</v>
      </c>
      <c r="F299" s="185" t="s">
        <v>1124</v>
      </c>
      <c r="G299" s="184" t="s">
        <v>1124</v>
      </c>
      <c r="H299" s="186"/>
      <c r="I299" s="185"/>
      <c r="J299" s="187"/>
      <c r="K299" s="188"/>
      <c r="L299" s="189"/>
      <c r="M299" s="185" t="s">
        <v>1124</v>
      </c>
      <c r="N299" s="189"/>
      <c r="O299" s="333"/>
      <c r="P299" s="333" t="s">
        <v>1124</v>
      </c>
      <c r="Q299" s="333" t="s">
        <v>1124</v>
      </c>
      <c r="R299" s="475" t="str">
        <f t="shared" si="5"/>
        <v/>
      </c>
      <c r="S299" s="340" t="s">
        <v>1124</v>
      </c>
    </row>
    <row r="300" spans="2:19" ht="15" customHeight="1" x14ac:dyDescent="0.35">
      <c r="B300" s="181">
        <v>85070</v>
      </c>
      <c r="C300" s="182" t="s">
        <v>882</v>
      </c>
      <c r="D300" s="183">
        <v>8</v>
      </c>
      <c r="E300" s="185" t="s">
        <v>1124</v>
      </c>
      <c r="F300" s="185" t="s">
        <v>1124</v>
      </c>
      <c r="G300" s="184" t="s">
        <v>1124</v>
      </c>
      <c r="H300" s="186"/>
      <c r="I300" s="185"/>
      <c r="J300" s="187"/>
      <c r="K300" s="188"/>
      <c r="L300" s="189"/>
      <c r="M300" s="185" t="s">
        <v>1124</v>
      </c>
      <c r="N300" s="189"/>
      <c r="O300" s="333"/>
      <c r="P300" s="333" t="s">
        <v>1124</v>
      </c>
      <c r="Q300" s="333" t="s">
        <v>1124</v>
      </c>
      <c r="R300" s="475" t="str">
        <f t="shared" si="5"/>
        <v/>
      </c>
      <c r="S300" s="340" t="s">
        <v>1124</v>
      </c>
    </row>
    <row r="301" spans="2:19" ht="15" customHeight="1" x14ac:dyDescent="0.35">
      <c r="B301" s="181">
        <v>93060</v>
      </c>
      <c r="C301" s="182" t="s">
        <v>967</v>
      </c>
      <c r="D301" s="183">
        <v>2</v>
      </c>
      <c r="E301" s="185">
        <v>300</v>
      </c>
      <c r="F301" s="185">
        <v>191</v>
      </c>
      <c r="G301" s="184" t="s">
        <v>1308</v>
      </c>
      <c r="H301" s="186">
        <v>1</v>
      </c>
      <c r="I301" s="185">
        <v>196</v>
      </c>
      <c r="J301" s="187">
        <v>1.77</v>
      </c>
      <c r="K301" s="188">
        <v>346.92</v>
      </c>
      <c r="L301" s="189">
        <v>11.201499999999999</v>
      </c>
      <c r="M301" s="185">
        <v>196</v>
      </c>
      <c r="N301" s="189">
        <v>38</v>
      </c>
      <c r="O301" s="333">
        <v>24.183499999999999</v>
      </c>
      <c r="P301" s="333">
        <v>12.135644185546829</v>
      </c>
      <c r="Q301" s="333">
        <v>6.6195542250000017</v>
      </c>
      <c r="R301" s="475">
        <f t="shared" si="5"/>
        <v>1.8333023301953275</v>
      </c>
      <c r="S301" s="340">
        <v>35.744186046511629</v>
      </c>
    </row>
    <row r="302" spans="2:19" ht="15" customHeight="1" x14ac:dyDescent="0.35">
      <c r="B302" s="181">
        <v>30095</v>
      </c>
      <c r="C302" s="182" t="s">
        <v>233</v>
      </c>
      <c r="D302" s="183">
        <v>5</v>
      </c>
      <c r="E302" s="185">
        <v>413</v>
      </c>
      <c r="F302" s="185">
        <v>158</v>
      </c>
      <c r="G302" s="184" t="s">
        <v>1326</v>
      </c>
      <c r="H302" s="186">
        <v>1</v>
      </c>
      <c r="I302" s="185">
        <v>582</v>
      </c>
      <c r="J302" s="187">
        <v>2.2583333333333333</v>
      </c>
      <c r="K302" s="188">
        <v>1314.35</v>
      </c>
      <c r="L302" s="189">
        <v>16.972999999999999</v>
      </c>
      <c r="M302" s="185">
        <v>458</v>
      </c>
      <c r="N302" s="189">
        <v>198.15700000000001</v>
      </c>
      <c r="O302" s="333">
        <v>75.760000000000005</v>
      </c>
      <c r="P302" s="333">
        <v>99.11590896907218</v>
      </c>
      <c r="Q302" s="333">
        <v>13.405329606334099</v>
      </c>
      <c r="R302" s="475">
        <f t="shared" si="5"/>
        <v>7.3937688874311087</v>
      </c>
      <c r="S302" s="340">
        <v>65.026315789473699</v>
      </c>
    </row>
    <row r="303" spans="2:19" ht="15" customHeight="1" x14ac:dyDescent="0.35">
      <c r="B303" s="181">
        <v>23057</v>
      </c>
      <c r="C303" s="182" t="s">
        <v>164</v>
      </c>
      <c r="D303" s="183">
        <v>3</v>
      </c>
      <c r="E303" s="185" t="s">
        <v>1124</v>
      </c>
      <c r="F303" s="185" t="s">
        <v>1124</v>
      </c>
      <c r="G303" s="184" t="s">
        <v>1124</v>
      </c>
      <c r="H303" s="186"/>
      <c r="I303" s="185"/>
      <c r="J303" s="187"/>
      <c r="K303" s="188"/>
      <c r="L303" s="189"/>
      <c r="M303" s="185" t="s">
        <v>1124</v>
      </c>
      <c r="N303" s="189"/>
      <c r="O303" s="333"/>
      <c r="P303" s="333" t="s">
        <v>1124</v>
      </c>
      <c r="Q303" s="333" t="s">
        <v>1124</v>
      </c>
      <c r="R303" s="475" t="str">
        <f t="shared" si="5"/>
        <v/>
      </c>
      <c r="S303" s="340" t="s">
        <v>1124</v>
      </c>
    </row>
    <row r="304" spans="2:19" ht="15" customHeight="1" x14ac:dyDescent="0.35">
      <c r="B304" s="181">
        <v>88035</v>
      </c>
      <c r="C304" s="182" t="s">
        <v>916</v>
      </c>
      <c r="D304" s="183">
        <v>8</v>
      </c>
      <c r="E304" s="185">
        <v>156</v>
      </c>
      <c r="F304" s="185">
        <v>118</v>
      </c>
      <c r="G304" s="184" t="s">
        <v>1308</v>
      </c>
      <c r="H304" s="186">
        <v>1</v>
      </c>
      <c r="I304" s="185">
        <v>270</v>
      </c>
      <c r="J304" s="187">
        <v>2.5157068062827226</v>
      </c>
      <c r="K304" s="188">
        <v>679.24083769633512</v>
      </c>
      <c r="L304" s="189">
        <v>7.343</v>
      </c>
      <c r="M304" s="185">
        <v>256</v>
      </c>
      <c r="N304" s="189">
        <v>38.569000000000003</v>
      </c>
      <c r="O304" s="333">
        <v>29.178439999999998</v>
      </c>
      <c r="P304" s="333">
        <v>2.4510000000000005</v>
      </c>
      <c r="Q304" s="333">
        <v>4.847830720000001</v>
      </c>
      <c r="R304" s="475">
        <f t="shared" si="5"/>
        <v>0.50558696075922382</v>
      </c>
      <c r="S304" s="340">
        <v>71</v>
      </c>
    </row>
    <row r="305" spans="2:19" ht="15" customHeight="1" x14ac:dyDescent="0.35">
      <c r="B305" s="181">
        <v>21040</v>
      </c>
      <c r="C305" s="182" t="s">
        <v>151</v>
      </c>
      <c r="D305" s="183">
        <v>3</v>
      </c>
      <c r="E305" s="185">
        <v>312</v>
      </c>
      <c r="F305" s="185">
        <v>247</v>
      </c>
      <c r="G305" s="184" t="s">
        <v>1308</v>
      </c>
      <c r="H305" s="186">
        <v>1</v>
      </c>
      <c r="I305" s="185">
        <v>1391</v>
      </c>
      <c r="J305" s="187">
        <v>2.66</v>
      </c>
      <c r="K305" s="188">
        <v>3700.0600000000004</v>
      </c>
      <c r="L305" s="189">
        <v>23.677000000000003</v>
      </c>
      <c r="M305" s="185">
        <v>1166</v>
      </c>
      <c r="N305" s="189">
        <v>421.62599999999998</v>
      </c>
      <c r="O305" s="333">
        <v>333.35377831827662</v>
      </c>
      <c r="P305" s="333">
        <v>70.44460999999994</v>
      </c>
      <c r="Q305" s="333">
        <v>33.592103400000006</v>
      </c>
      <c r="R305" s="475">
        <f t="shared" si="5"/>
        <v>2.0970586200327048</v>
      </c>
      <c r="S305" s="340">
        <v>45.608108108108112</v>
      </c>
    </row>
    <row r="306" spans="2:19" ht="15" customHeight="1" x14ac:dyDescent="0.35">
      <c r="B306" s="181">
        <v>82005</v>
      </c>
      <c r="C306" s="182" t="s">
        <v>828</v>
      </c>
      <c r="D306" s="183">
        <v>7</v>
      </c>
      <c r="E306" s="185" t="s">
        <v>1124</v>
      </c>
      <c r="F306" s="185" t="s">
        <v>1124</v>
      </c>
      <c r="G306" s="184" t="s">
        <v>1124</v>
      </c>
      <c r="H306" s="186"/>
      <c r="I306" s="185"/>
      <c r="J306" s="187"/>
      <c r="K306" s="188"/>
      <c r="L306" s="189"/>
      <c r="M306" s="185" t="s">
        <v>1124</v>
      </c>
      <c r="N306" s="189"/>
      <c r="O306" s="333"/>
      <c r="P306" s="333" t="s">
        <v>1124</v>
      </c>
      <c r="Q306" s="333" t="s">
        <v>1124</v>
      </c>
      <c r="R306" s="475" t="str">
        <f t="shared" si="5"/>
        <v/>
      </c>
      <c r="S306" s="340" t="s">
        <v>1124</v>
      </c>
    </row>
    <row r="307" spans="2:19" ht="15" customHeight="1" x14ac:dyDescent="0.35">
      <c r="B307" s="181">
        <v>52017</v>
      </c>
      <c r="C307" s="182" t="s">
        <v>516</v>
      </c>
      <c r="D307" s="183">
        <v>14</v>
      </c>
      <c r="E307" s="185">
        <v>269</v>
      </c>
      <c r="F307" s="185">
        <v>165</v>
      </c>
      <c r="G307" s="184" t="s">
        <v>1326</v>
      </c>
      <c r="H307" s="186">
        <v>1</v>
      </c>
      <c r="I307" s="185">
        <v>1647</v>
      </c>
      <c r="J307" s="187">
        <v>2.4293243890752274</v>
      </c>
      <c r="K307" s="188">
        <v>4001.0972688068996</v>
      </c>
      <c r="L307" s="189">
        <v>26.597000000000001</v>
      </c>
      <c r="M307" s="185">
        <v>1452</v>
      </c>
      <c r="N307" s="189">
        <v>392.17500000000001</v>
      </c>
      <c r="O307" s="333">
        <v>240.4</v>
      </c>
      <c r="P307" s="333">
        <v>109.36067553123829</v>
      </c>
      <c r="Q307" s="333">
        <v>28.298263923000004</v>
      </c>
      <c r="R307" s="475">
        <f t="shared" si="5"/>
        <v>3.8645718984320134</v>
      </c>
      <c r="S307" s="340">
        <v>67.466666666666654</v>
      </c>
    </row>
    <row r="308" spans="2:19" ht="15" customHeight="1" x14ac:dyDescent="0.35">
      <c r="B308" s="181">
        <v>94210</v>
      </c>
      <c r="C308" s="182" t="s">
        <v>974</v>
      </c>
      <c r="D308" s="183">
        <v>2</v>
      </c>
      <c r="E308" s="185" t="s">
        <v>1124</v>
      </c>
      <c r="F308" s="185" t="s">
        <v>1124</v>
      </c>
      <c r="G308" s="184" t="s">
        <v>1124</v>
      </c>
      <c r="H308" s="186"/>
      <c r="I308" s="185"/>
      <c r="J308" s="187"/>
      <c r="K308" s="188"/>
      <c r="L308" s="189"/>
      <c r="M308" s="185" t="s">
        <v>1124</v>
      </c>
      <c r="N308" s="189"/>
      <c r="O308" s="333"/>
      <c r="P308" s="333" t="s">
        <v>1124</v>
      </c>
      <c r="Q308" s="333" t="s">
        <v>1124</v>
      </c>
      <c r="R308" s="475" t="str">
        <f t="shared" si="5"/>
        <v/>
      </c>
      <c r="S308" s="340" t="s">
        <v>1124</v>
      </c>
    </row>
    <row r="309" spans="2:19" ht="15" customHeight="1" x14ac:dyDescent="0.35">
      <c r="B309" s="181">
        <v>78015</v>
      </c>
      <c r="C309" s="182" t="s">
        <v>768</v>
      </c>
      <c r="D309" s="183">
        <v>15</v>
      </c>
      <c r="E309" s="185" t="s">
        <v>1124</v>
      </c>
      <c r="F309" s="185" t="s">
        <v>1124</v>
      </c>
      <c r="G309" s="184" t="s">
        <v>1124</v>
      </c>
      <c r="H309" s="186"/>
      <c r="I309" s="185"/>
      <c r="J309" s="187"/>
      <c r="K309" s="188"/>
      <c r="L309" s="189"/>
      <c r="M309" s="185" t="s">
        <v>1124</v>
      </c>
      <c r="N309" s="189"/>
      <c r="O309" s="333"/>
      <c r="P309" s="333" t="s">
        <v>1124</v>
      </c>
      <c r="Q309" s="333" t="s">
        <v>1124</v>
      </c>
      <c r="R309" s="475" t="str">
        <f t="shared" si="5"/>
        <v/>
      </c>
      <c r="S309" s="340" t="s">
        <v>1124</v>
      </c>
    </row>
    <row r="310" spans="2:19" ht="15" customHeight="1" x14ac:dyDescent="0.35">
      <c r="B310" s="181">
        <v>94265</v>
      </c>
      <c r="C310" s="182" t="s">
        <v>985</v>
      </c>
      <c r="D310" s="183">
        <v>2</v>
      </c>
      <c r="E310" s="185">
        <v>423</v>
      </c>
      <c r="F310" s="185">
        <v>234</v>
      </c>
      <c r="G310" s="184" t="s">
        <v>1308</v>
      </c>
      <c r="H310" s="186">
        <v>1</v>
      </c>
      <c r="I310" s="185">
        <v>392</v>
      </c>
      <c r="J310" s="187">
        <v>2.2037302725968435</v>
      </c>
      <c r="K310" s="188">
        <v>863.86226685796271</v>
      </c>
      <c r="L310" s="189">
        <v>15.054</v>
      </c>
      <c r="M310" s="185">
        <v>469</v>
      </c>
      <c r="N310" s="189">
        <v>133.297</v>
      </c>
      <c r="O310" s="333">
        <v>73.778000000000006</v>
      </c>
      <c r="P310" s="333">
        <v>47.914545000000004</v>
      </c>
      <c r="Q310" s="333">
        <v>8.9167689600000006</v>
      </c>
      <c r="R310" s="475">
        <f t="shared" si="5"/>
        <v>5.3735321858109462</v>
      </c>
      <c r="S310" s="340">
        <v>63.648648648648653</v>
      </c>
    </row>
    <row r="311" spans="2:19" ht="15" customHeight="1" x14ac:dyDescent="0.35">
      <c r="B311" s="192">
        <v>79050</v>
      </c>
      <c r="C311" s="182" t="s">
        <v>794</v>
      </c>
      <c r="D311" s="183">
        <v>15</v>
      </c>
      <c r="E311" s="185">
        <v>316</v>
      </c>
      <c r="F311" s="185">
        <v>205</v>
      </c>
      <c r="G311" s="184" t="s">
        <v>1308</v>
      </c>
      <c r="H311" s="186">
        <v>1</v>
      </c>
      <c r="I311" s="185">
        <v>177</v>
      </c>
      <c r="J311" s="187">
        <v>1.7284210526315789</v>
      </c>
      <c r="K311" s="188">
        <v>305.93052631578945</v>
      </c>
      <c r="L311" s="189">
        <v>7.2439999999999998</v>
      </c>
      <c r="M311" s="185">
        <v>178</v>
      </c>
      <c r="N311" s="189">
        <v>35.274000000000001</v>
      </c>
      <c r="O311" s="333">
        <v>22.92511224489796</v>
      </c>
      <c r="P311" s="333">
        <v>9.3588900000000024</v>
      </c>
      <c r="Q311" s="333">
        <v>7.1386257912000017</v>
      </c>
      <c r="R311" s="475">
        <f t="shared" si="5"/>
        <v>1.3110212348624559</v>
      </c>
      <c r="S311" s="340">
        <v>61.189189189189193</v>
      </c>
    </row>
    <row r="312" spans="2:19" ht="15" customHeight="1" x14ac:dyDescent="0.35">
      <c r="B312" s="181">
        <v>93065</v>
      </c>
      <c r="C312" s="182" t="s">
        <v>968</v>
      </c>
      <c r="D312" s="183">
        <v>2</v>
      </c>
      <c r="E312" s="185">
        <v>312</v>
      </c>
      <c r="F312" s="185">
        <v>209</v>
      </c>
      <c r="G312" s="184" t="s">
        <v>1308</v>
      </c>
      <c r="H312" s="186">
        <v>1</v>
      </c>
      <c r="I312" s="185">
        <v>1062</v>
      </c>
      <c r="J312" s="187">
        <v>2.1941112322791714</v>
      </c>
      <c r="K312" s="188">
        <v>2330.1461286804802</v>
      </c>
      <c r="L312" s="189">
        <v>22.195</v>
      </c>
      <c r="M312" s="185">
        <v>1062</v>
      </c>
      <c r="N312" s="189">
        <v>265.22300000000001</v>
      </c>
      <c r="O312" s="333">
        <v>177.35400000000001</v>
      </c>
      <c r="P312" s="333">
        <v>12.310567908163282</v>
      </c>
      <c r="Q312" s="333">
        <v>24.005301750000005</v>
      </c>
      <c r="R312" s="475">
        <f t="shared" si="5"/>
        <v>0.51282704280787805</v>
      </c>
      <c r="S312" s="340">
        <v>66.280701754385987</v>
      </c>
    </row>
    <row r="313" spans="2:19" ht="15" customHeight="1" x14ac:dyDescent="0.35">
      <c r="B313" s="181">
        <v>6060</v>
      </c>
      <c r="C313" s="182" t="s">
        <v>1067</v>
      </c>
      <c r="D313" s="183">
        <v>11</v>
      </c>
      <c r="E313" s="185" t="s">
        <v>1124</v>
      </c>
      <c r="F313" s="185" t="s">
        <v>1124</v>
      </c>
      <c r="G313" s="184" t="s">
        <v>1124</v>
      </c>
      <c r="H313" s="186"/>
      <c r="I313" s="185"/>
      <c r="J313" s="187"/>
      <c r="K313" s="188"/>
      <c r="L313" s="189"/>
      <c r="M313" s="185" t="s">
        <v>1124</v>
      </c>
      <c r="N313" s="189"/>
      <c r="O313" s="333"/>
      <c r="P313" s="333" t="s">
        <v>1124</v>
      </c>
      <c r="Q313" s="333" t="s">
        <v>1124</v>
      </c>
      <c r="R313" s="475" t="str">
        <f t="shared" si="5"/>
        <v/>
      </c>
      <c r="S313" s="340" t="s">
        <v>1124</v>
      </c>
    </row>
    <row r="314" spans="2:19" ht="15" customHeight="1" x14ac:dyDescent="0.35">
      <c r="B314" s="181">
        <v>60028</v>
      </c>
      <c r="C314" s="182" t="s">
        <v>608</v>
      </c>
      <c r="D314" s="183">
        <v>14</v>
      </c>
      <c r="E314" s="185">
        <v>325</v>
      </c>
      <c r="F314" s="185">
        <v>186</v>
      </c>
      <c r="G314" s="184" t="s">
        <v>1308</v>
      </c>
      <c r="H314" s="186">
        <v>1</v>
      </c>
      <c r="I314" s="185">
        <v>9122</v>
      </c>
      <c r="J314" s="187">
        <v>2.5883206788744975</v>
      </c>
      <c r="K314" s="188">
        <v>23610.661232693164</v>
      </c>
      <c r="L314" s="189">
        <v>169.2</v>
      </c>
      <c r="M314" s="185">
        <v>7459</v>
      </c>
      <c r="N314" s="189">
        <v>2801.9069999999997</v>
      </c>
      <c r="O314" s="333">
        <v>1605.2270000000001</v>
      </c>
      <c r="P314" s="333">
        <v>207.91956693877583</v>
      </c>
      <c r="Q314" s="333">
        <v>186.42272343750003</v>
      </c>
      <c r="R314" s="475">
        <f t="shared" si="5"/>
        <v>1.1153123562669269</v>
      </c>
      <c r="S314" s="340">
        <v>67.877192982456165</v>
      </c>
    </row>
    <row r="315" spans="2:19" ht="15" customHeight="1" x14ac:dyDescent="0.35">
      <c r="B315" s="181">
        <v>85060</v>
      </c>
      <c r="C315" s="182" t="s">
        <v>880</v>
      </c>
      <c r="D315" s="183">
        <v>8</v>
      </c>
      <c r="E315" s="185">
        <v>239</v>
      </c>
      <c r="F315" s="185">
        <v>217</v>
      </c>
      <c r="G315" s="184" t="s">
        <v>1308</v>
      </c>
      <c r="H315" s="186">
        <v>1</v>
      </c>
      <c r="I315" s="185">
        <v>138</v>
      </c>
      <c r="J315" s="187">
        <v>2.1</v>
      </c>
      <c r="K315" s="188">
        <v>289.8</v>
      </c>
      <c r="L315" s="189">
        <v>2.16</v>
      </c>
      <c r="M315" s="185">
        <v>90</v>
      </c>
      <c r="N315" s="189">
        <v>25.297999999999998</v>
      </c>
      <c r="O315" s="333">
        <v>23</v>
      </c>
      <c r="P315" s="333">
        <v>1.1035299999999977</v>
      </c>
      <c r="Q315" s="333">
        <v>1.7900556299999999</v>
      </c>
      <c r="R315" s="475">
        <f t="shared" si="5"/>
        <v>0.61647804766827152</v>
      </c>
      <c r="S315" s="340">
        <v>62.243243243243242</v>
      </c>
    </row>
    <row r="316" spans="2:19" ht="15" customHeight="1" x14ac:dyDescent="0.35">
      <c r="B316" s="181">
        <v>88080</v>
      </c>
      <c r="C316" s="182" t="s">
        <v>925</v>
      </c>
      <c r="D316" s="183">
        <v>8</v>
      </c>
      <c r="E316" s="185" t="s">
        <v>1124</v>
      </c>
      <c r="F316" s="185" t="s">
        <v>1124</v>
      </c>
      <c r="G316" s="184" t="s">
        <v>1124</v>
      </c>
      <c r="H316" s="186"/>
      <c r="I316" s="185"/>
      <c r="J316" s="187"/>
      <c r="K316" s="188"/>
      <c r="L316" s="189"/>
      <c r="M316" s="185" t="s">
        <v>1124</v>
      </c>
      <c r="N316" s="189"/>
      <c r="O316" s="333"/>
      <c r="P316" s="333" t="s">
        <v>1124</v>
      </c>
      <c r="Q316" s="333" t="s">
        <v>1124</v>
      </c>
      <c r="R316" s="475" t="str">
        <f t="shared" si="5"/>
        <v/>
      </c>
      <c r="S316" s="340" t="s">
        <v>1124</v>
      </c>
    </row>
    <row r="317" spans="2:19" ht="15" customHeight="1" x14ac:dyDescent="0.35">
      <c r="B317" s="181">
        <v>33060</v>
      </c>
      <c r="C317" s="182" t="s">
        <v>275</v>
      </c>
      <c r="D317" s="183">
        <v>12</v>
      </c>
      <c r="E317" s="185">
        <v>225</v>
      </c>
      <c r="F317" s="185">
        <v>141</v>
      </c>
      <c r="G317" s="184" t="s">
        <v>1326</v>
      </c>
      <c r="H317" s="186">
        <v>1</v>
      </c>
      <c r="I317" s="185">
        <v>1182</v>
      </c>
      <c r="J317" s="187">
        <v>2.32114183764496</v>
      </c>
      <c r="K317" s="188">
        <v>2743.5896520963429</v>
      </c>
      <c r="L317" s="189">
        <v>28.292000000000002</v>
      </c>
      <c r="M317" s="185">
        <v>1286</v>
      </c>
      <c r="N317" s="189">
        <v>225.52699999999999</v>
      </c>
      <c r="O317" s="333">
        <v>141.209</v>
      </c>
      <c r="P317" s="333">
        <v>34.454215357142857</v>
      </c>
      <c r="Q317" s="333">
        <v>32.816556948000006</v>
      </c>
      <c r="R317" s="475">
        <f t="shared" si="5"/>
        <v>1.0499034195372119</v>
      </c>
      <c r="S317" s="340">
        <v>70.627450980392169</v>
      </c>
    </row>
    <row r="318" spans="2:19" ht="15" customHeight="1" x14ac:dyDescent="0.35">
      <c r="B318" s="181">
        <v>32072</v>
      </c>
      <c r="C318" s="182" t="s">
        <v>264</v>
      </c>
      <c r="D318" s="183">
        <v>17</v>
      </c>
      <c r="E318" s="185">
        <v>367</v>
      </c>
      <c r="F318" s="185">
        <v>228</v>
      </c>
      <c r="G318" s="184" t="s">
        <v>1326</v>
      </c>
      <c r="H318" s="186">
        <v>1</v>
      </c>
      <c r="I318" s="185">
        <v>335</v>
      </c>
      <c r="J318" s="187">
        <v>2.2006633499170811</v>
      </c>
      <c r="K318" s="188">
        <v>737.22222222222217</v>
      </c>
      <c r="L318" s="189">
        <v>10.638</v>
      </c>
      <c r="M318" s="185">
        <v>367</v>
      </c>
      <c r="N318" s="189">
        <v>98.81</v>
      </c>
      <c r="O318" s="333">
        <v>61.278456284153009</v>
      </c>
      <c r="P318" s="333">
        <v>30.205584693877565</v>
      </c>
      <c r="Q318" s="333">
        <v>12.21789413956475</v>
      </c>
      <c r="R318" s="475">
        <f t="shared" si="5"/>
        <v>2.4722414803107475</v>
      </c>
      <c r="S318" s="340">
        <v>61.877551020408156</v>
      </c>
    </row>
    <row r="319" spans="2:19" ht="15" customHeight="1" x14ac:dyDescent="0.35">
      <c r="B319" s="181">
        <v>65005</v>
      </c>
      <c r="C319" s="182" t="s">
        <v>646</v>
      </c>
      <c r="D319" s="183">
        <v>13</v>
      </c>
      <c r="E319" s="185">
        <v>464</v>
      </c>
      <c r="F319" s="185">
        <v>245</v>
      </c>
      <c r="G319" s="184" t="s">
        <v>1308</v>
      </c>
      <c r="H319" s="186">
        <v>1</v>
      </c>
      <c r="I319" s="185">
        <v>171752</v>
      </c>
      <c r="J319" s="187">
        <v>2.5099999999999998</v>
      </c>
      <c r="K319" s="188">
        <v>431097.51999999996</v>
      </c>
      <c r="L319" s="189">
        <v>1688</v>
      </c>
      <c r="M319" s="185">
        <v>112673</v>
      </c>
      <c r="N319" s="189">
        <v>73002.263999999996</v>
      </c>
      <c r="O319" s="333">
        <v>38550.938000000002</v>
      </c>
      <c r="P319" s="333">
        <v>21474.645127551019</v>
      </c>
      <c r="Q319" s="333">
        <v>2152.7166205551935</v>
      </c>
      <c r="R319" s="475">
        <f t="shared" si="5"/>
        <v>9.9756024190553383</v>
      </c>
      <c r="S319" s="340">
        <v>69.359649122807014</v>
      </c>
    </row>
    <row r="320" spans="2:19" ht="15" customHeight="1" x14ac:dyDescent="0.35">
      <c r="B320" s="181">
        <v>52007</v>
      </c>
      <c r="C320" s="182" t="s">
        <v>515</v>
      </c>
      <c r="D320" s="183">
        <v>14</v>
      </c>
      <c r="E320" s="185">
        <v>281</v>
      </c>
      <c r="F320" s="185">
        <v>196</v>
      </c>
      <c r="G320" s="184" t="s">
        <v>1326</v>
      </c>
      <c r="H320" s="186">
        <v>1</v>
      </c>
      <c r="I320" s="185">
        <v>4959</v>
      </c>
      <c r="J320" s="187">
        <v>2.5805443177638838</v>
      </c>
      <c r="K320" s="188">
        <v>12796.919271791099</v>
      </c>
      <c r="L320" s="189">
        <v>74.599999999999994</v>
      </c>
      <c r="M320" s="185">
        <v>5188</v>
      </c>
      <c r="N320" s="189">
        <v>1311.654</v>
      </c>
      <c r="O320" s="333">
        <v>913.17669999999998</v>
      </c>
      <c r="P320" s="333">
        <v>336.63319000000001</v>
      </c>
      <c r="Q320" s="333">
        <v>112.62180120000002</v>
      </c>
      <c r="R320" s="475">
        <f t="shared" si="5"/>
        <v>2.9890588359725148</v>
      </c>
      <c r="S320" s="340">
        <v>58.729729729729726</v>
      </c>
    </row>
    <row r="321" spans="2:19" ht="15" customHeight="1" x14ac:dyDescent="0.35">
      <c r="B321" s="181">
        <v>49025</v>
      </c>
      <c r="C321" s="182" t="s">
        <v>467</v>
      </c>
      <c r="D321" s="183">
        <v>17</v>
      </c>
      <c r="E321" s="185" t="s">
        <v>1124</v>
      </c>
      <c r="F321" s="185" t="s">
        <v>1124</v>
      </c>
      <c r="G321" s="184" t="s">
        <v>1124</v>
      </c>
      <c r="H321" s="186"/>
      <c r="I321" s="185"/>
      <c r="J321" s="187"/>
      <c r="K321" s="188"/>
      <c r="L321" s="189"/>
      <c r="M321" s="185" t="s">
        <v>1124</v>
      </c>
      <c r="N321" s="189"/>
      <c r="O321" s="333"/>
      <c r="P321" s="333" t="s">
        <v>1124</v>
      </c>
      <c r="Q321" s="333" t="s">
        <v>1124</v>
      </c>
      <c r="R321" s="475" t="str">
        <f t="shared" si="5"/>
        <v/>
      </c>
      <c r="S321" s="340" t="s">
        <v>1124</v>
      </c>
    </row>
    <row r="322" spans="2:19" ht="15" customHeight="1" x14ac:dyDescent="0.35">
      <c r="B322" s="181">
        <v>85052</v>
      </c>
      <c r="C322" s="182" t="s">
        <v>878</v>
      </c>
      <c r="D322" s="183">
        <v>8</v>
      </c>
      <c r="E322" s="185">
        <v>1264</v>
      </c>
      <c r="F322" s="185">
        <v>212</v>
      </c>
      <c r="G322" s="184" t="s">
        <v>1308</v>
      </c>
      <c r="H322" s="186">
        <v>1</v>
      </c>
      <c r="I322" s="185">
        <v>228</v>
      </c>
      <c r="J322" s="187">
        <v>2.5</v>
      </c>
      <c r="K322" s="188">
        <v>570</v>
      </c>
      <c r="L322" s="189">
        <v>5.0330000000000004</v>
      </c>
      <c r="M322" s="185">
        <v>204</v>
      </c>
      <c r="N322" s="189">
        <v>262.97899999999998</v>
      </c>
      <c r="O322" s="333">
        <v>44.161999999999999</v>
      </c>
      <c r="P322" s="333">
        <v>63.664542499999946</v>
      </c>
      <c r="Q322" s="333">
        <v>2.2118316282000001</v>
      </c>
      <c r="R322" s="475">
        <f t="shared" si="5"/>
        <v>28.783629679719553</v>
      </c>
      <c r="S322" s="340">
        <v>63</v>
      </c>
    </row>
    <row r="323" spans="2:19" ht="15" customHeight="1" x14ac:dyDescent="0.35">
      <c r="B323" s="181">
        <v>42045</v>
      </c>
      <c r="C323" s="182" t="s">
        <v>384</v>
      </c>
      <c r="D323" s="183">
        <v>5</v>
      </c>
      <c r="E323" s="185" t="s">
        <v>1124</v>
      </c>
      <c r="F323" s="185" t="s">
        <v>1124</v>
      </c>
      <c r="G323" s="184" t="s">
        <v>1124</v>
      </c>
      <c r="H323" s="186"/>
      <c r="I323" s="185"/>
      <c r="J323" s="187"/>
      <c r="K323" s="188"/>
      <c r="L323" s="189"/>
      <c r="M323" s="185" t="s">
        <v>1124</v>
      </c>
      <c r="N323" s="189"/>
      <c r="O323" s="333"/>
      <c r="P323" s="333" t="s">
        <v>1124</v>
      </c>
      <c r="Q323" s="333" t="s">
        <v>1124</v>
      </c>
      <c r="R323" s="475" t="str">
        <f t="shared" si="5"/>
        <v/>
      </c>
      <c r="S323" s="340" t="s">
        <v>1124</v>
      </c>
    </row>
    <row r="324" spans="2:19" ht="15" customHeight="1" x14ac:dyDescent="0.35">
      <c r="B324" s="181">
        <v>99005</v>
      </c>
      <c r="C324" s="182" t="s">
        <v>1019</v>
      </c>
      <c r="D324" s="183">
        <v>10</v>
      </c>
      <c r="E324" s="185" t="s">
        <v>1124</v>
      </c>
      <c r="F324" s="185" t="s">
        <v>1124</v>
      </c>
      <c r="G324" s="184" t="s">
        <v>1124</v>
      </c>
      <c r="H324" s="186"/>
      <c r="I324" s="185"/>
      <c r="J324" s="187"/>
      <c r="K324" s="188"/>
      <c r="L324" s="189"/>
      <c r="M324" s="185" t="s">
        <v>1124</v>
      </c>
      <c r="N324" s="189"/>
      <c r="O324" s="333"/>
      <c r="P324" s="333" t="s">
        <v>1124</v>
      </c>
      <c r="Q324" s="333" t="s">
        <v>1124</v>
      </c>
      <c r="R324" s="475" t="str">
        <f t="shared" si="5"/>
        <v/>
      </c>
      <c r="S324" s="340" t="s">
        <v>1124</v>
      </c>
    </row>
    <row r="325" spans="2:19" ht="15" customHeight="1" x14ac:dyDescent="0.35">
      <c r="B325" s="181">
        <v>33123</v>
      </c>
      <c r="C325" s="182" t="s">
        <v>284</v>
      </c>
      <c r="D325" s="183">
        <v>12</v>
      </c>
      <c r="E325" s="185" t="s">
        <v>1124</v>
      </c>
      <c r="F325" s="185" t="s">
        <v>1124</v>
      </c>
      <c r="G325" s="184" t="s">
        <v>1124</v>
      </c>
      <c r="H325" s="186"/>
      <c r="I325" s="185"/>
      <c r="J325" s="187"/>
      <c r="K325" s="188"/>
      <c r="L325" s="189"/>
      <c r="M325" s="185" t="s">
        <v>1124</v>
      </c>
      <c r="N325" s="189"/>
      <c r="O325" s="333"/>
      <c r="P325" s="333" t="s">
        <v>1124</v>
      </c>
      <c r="Q325" s="333" t="s">
        <v>1124</v>
      </c>
      <c r="R325" s="475" t="str">
        <f t="shared" si="5"/>
        <v/>
      </c>
      <c r="S325" s="340" t="s">
        <v>1124</v>
      </c>
    </row>
    <row r="326" spans="2:19" ht="15" customHeight="1" x14ac:dyDescent="0.35">
      <c r="B326" s="181">
        <v>49020</v>
      </c>
      <c r="C326" s="182" t="s">
        <v>466</v>
      </c>
      <c r="D326" s="183">
        <v>17</v>
      </c>
      <c r="E326" s="185" t="s">
        <v>1124</v>
      </c>
      <c r="F326" s="185" t="s">
        <v>1124</v>
      </c>
      <c r="G326" s="184" t="s">
        <v>1124</v>
      </c>
      <c r="H326" s="186"/>
      <c r="I326" s="185"/>
      <c r="J326" s="187"/>
      <c r="K326" s="188"/>
      <c r="L326" s="189"/>
      <c r="M326" s="185" t="s">
        <v>1124</v>
      </c>
      <c r="N326" s="189"/>
      <c r="O326" s="333"/>
      <c r="P326" s="333" t="s">
        <v>1124</v>
      </c>
      <c r="Q326" s="333" t="s">
        <v>1124</v>
      </c>
      <c r="R326" s="475" t="str">
        <f t="shared" si="5"/>
        <v/>
      </c>
      <c r="S326" s="340" t="s">
        <v>1124</v>
      </c>
    </row>
    <row r="327" spans="2:19" ht="15" customHeight="1" x14ac:dyDescent="0.35">
      <c r="B327" s="181">
        <v>13050</v>
      </c>
      <c r="C327" s="182" t="s">
        <v>49</v>
      </c>
      <c r="D327" s="183">
        <v>1</v>
      </c>
      <c r="E327" s="185">
        <v>369</v>
      </c>
      <c r="F327" s="185">
        <v>189</v>
      </c>
      <c r="G327" s="184" t="s">
        <v>1308</v>
      </c>
      <c r="H327" s="186">
        <v>1</v>
      </c>
      <c r="I327" s="185">
        <v>77</v>
      </c>
      <c r="J327" s="187">
        <v>1.7532467532467533</v>
      </c>
      <c r="K327" s="188">
        <v>135</v>
      </c>
      <c r="L327" s="189">
        <v>2.7730000000000001</v>
      </c>
      <c r="M327" s="185">
        <v>77</v>
      </c>
      <c r="N327" s="189">
        <v>18.158000000000001</v>
      </c>
      <c r="O327" s="333">
        <v>9.2934470588235296</v>
      </c>
      <c r="P327" s="333">
        <v>7.3616300000000026</v>
      </c>
      <c r="Q327" s="333">
        <v>2.6250873000000001</v>
      </c>
      <c r="R327" s="475">
        <f t="shared" ref="R327:R390" si="6">IF(H327="","",P327/Q327)</f>
        <v>2.8043372119471996</v>
      </c>
      <c r="S327" s="340">
        <v>56.139534883720934</v>
      </c>
    </row>
    <row r="328" spans="2:19" ht="15" customHeight="1" x14ac:dyDescent="0.35">
      <c r="B328" s="181">
        <v>38020</v>
      </c>
      <c r="C328" s="182" t="s">
        <v>328</v>
      </c>
      <c r="D328" s="183">
        <v>17</v>
      </c>
      <c r="E328" s="185" t="s">
        <v>1124</v>
      </c>
      <c r="F328" s="185" t="s">
        <v>1124</v>
      </c>
      <c r="G328" s="184" t="s">
        <v>1124</v>
      </c>
      <c r="H328" s="186"/>
      <c r="I328" s="185"/>
      <c r="J328" s="187"/>
      <c r="K328" s="188"/>
      <c r="L328" s="189"/>
      <c r="M328" s="185" t="s">
        <v>1124</v>
      </c>
      <c r="N328" s="189"/>
      <c r="O328" s="333"/>
      <c r="P328" s="333" t="s">
        <v>1124</v>
      </c>
      <c r="Q328" s="333" t="s">
        <v>1124</v>
      </c>
      <c r="R328" s="475" t="str">
        <f t="shared" si="6"/>
        <v/>
      </c>
      <c r="S328" s="340" t="s">
        <v>1124</v>
      </c>
    </row>
    <row r="329" spans="2:19" ht="15" customHeight="1" x14ac:dyDescent="0.35">
      <c r="B329" s="181">
        <v>60037</v>
      </c>
      <c r="C329" s="182" t="s">
        <v>1125</v>
      </c>
      <c r="D329" s="183">
        <v>14</v>
      </c>
      <c r="E329" s="185">
        <v>270</v>
      </c>
      <c r="F329" s="185">
        <v>177</v>
      </c>
      <c r="G329" s="184" t="s">
        <v>1308</v>
      </c>
      <c r="H329" s="186">
        <v>1</v>
      </c>
      <c r="I329" s="185">
        <v>2542</v>
      </c>
      <c r="J329" s="187">
        <v>2.4459534368070952</v>
      </c>
      <c r="K329" s="188">
        <v>6217.613636363636</v>
      </c>
      <c r="L329" s="189">
        <v>30.315999999999999</v>
      </c>
      <c r="M329" s="185">
        <v>1901</v>
      </c>
      <c r="N329" s="189">
        <v>613.43399999999997</v>
      </c>
      <c r="O329" s="333">
        <v>400.62799999999999</v>
      </c>
      <c r="P329" s="333">
        <v>117.47478948979585</v>
      </c>
      <c r="Q329" s="333">
        <v>32.462959840000003</v>
      </c>
      <c r="R329" s="475">
        <f t="shared" si="6"/>
        <v>3.6187331675482812</v>
      </c>
      <c r="S329" s="340">
        <v>63.543859649122822</v>
      </c>
    </row>
    <row r="330" spans="2:19" ht="15" customHeight="1" x14ac:dyDescent="0.35">
      <c r="B330" s="181">
        <v>67055</v>
      </c>
      <c r="C330" s="182" t="s">
        <v>672</v>
      </c>
      <c r="D330" s="183">
        <v>16</v>
      </c>
      <c r="E330" s="185" t="s">
        <v>1124</v>
      </c>
      <c r="F330" s="185" t="s">
        <v>1124</v>
      </c>
      <c r="G330" s="184" t="s">
        <v>1124</v>
      </c>
      <c r="H330" s="186"/>
      <c r="I330" s="185"/>
      <c r="J330" s="187"/>
      <c r="K330" s="188"/>
      <c r="L330" s="189"/>
      <c r="M330" s="185" t="s">
        <v>1124</v>
      </c>
      <c r="N330" s="189"/>
      <c r="O330" s="333"/>
      <c r="P330" s="333" t="s">
        <v>1124</v>
      </c>
      <c r="Q330" s="333" t="s">
        <v>1124</v>
      </c>
      <c r="R330" s="475" t="str">
        <f t="shared" si="6"/>
        <v/>
      </c>
      <c r="S330" s="340" t="s">
        <v>1124</v>
      </c>
    </row>
    <row r="331" spans="2:19" ht="15" customHeight="1" x14ac:dyDescent="0.35">
      <c r="B331" s="181">
        <v>95018</v>
      </c>
      <c r="C331" s="182" t="s">
        <v>988</v>
      </c>
      <c r="D331" s="183">
        <v>9</v>
      </c>
      <c r="E331" s="185">
        <v>691</v>
      </c>
      <c r="F331" s="185">
        <v>303</v>
      </c>
      <c r="G331" s="184" t="s">
        <v>1308</v>
      </c>
      <c r="H331" s="186">
        <v>1</v>
      </c>
      <c r="I331" s="185">
        <v>224</v>
      </c>
      <c r="J331" s="187">
        <v>1.9594202898550726</v>
      </c>
      <c r="K331" s="188">
        <v>438.91014492753624</v>
      </c>
      <c r="L331" s="189">
        <v>12.346</v>
      </c>
      <c r="M331" s="185">
        <v>425</v>
      </c>
      <c r="N331" s="189">
        <v>110.63</v>
      </c>
      <c r="O331" s="333">
        <v>48.526832941176465</v>
      </c>
      <c r="P331" s="333">
        <v>16.960999999999999</v>
      </c>
      <c r="Q331" s="333">
        <v>12.686861187000002</v>
      </c>
      <c r="R331" s="475">
        <f t="shared" si="6"/>
        <v>1.3368948985884412</v>
      </c>
      <c r="S331" s="340">
        <v>59</v>
      </c>
    </row>
    <row r="332" spans="2:19" ht="15" customHeight="1" x14ac:dyDescent="0.35">
      <c r="B332" s="181">
        <v>71050</v>
      </c>
      <c r="C332" s="182" t="s">
        <v>711</v>
      </c>
      <c r="D332" s="183">
        <v>16</v>
      </c>
      <c r="E332" s="185" t="s">
        <v>1124</v>
      </c>
      <c r="F332" s="185" t="s">
        <v>1124</v>
      </c>
      <c r="G332" s="184" t="s">
        <v>1124</v>
      </c>
      <c r="H332" s="186"/>
      <c r="I332" s="185"/>
      <c r="J332" s="187"/>
      <c r="K332" s="188"/>
      <c r="L332" s="189"/>
      <c r="M332" s="185" t="s">
        <v>1124</v>
      </c>
      <c r="N332" s="189"/>
      <c r="O332" s="333"/>
      <c r="P332" s="333" t="s">
        <v>1124</v>
      </c>
      <c r="Q332" s="333" t="s">
        <v>1124</v>
      </c>
      <c r="R332" s="475" t="str">
        <f t="shared" si="6"/>
        <v/>
      </c>
      <c r="S332" s="340" t="s">
        <v>1124</v>
      </c>
    </row>
    <row r="333" spans="2:19" ht="15" customHeight="1" x14ac:dyDescent="0.35">
      <c r="B333" s="181">
        <v>71033</v>
      </c>
      <c r="C333" s="182" t="s">
        <v>708</v>
      </c>
      <c r="D333" s="183">
        <v>16</v>
      </c>
      <c r="E333" s="185">
        <v>367</v>
      </c>
      <c r="F333" s="185">
        <v>306</v>
      </c>
      <c r="G333" s="184" t="s">
        <v>1308</v>
      </c>
      <c r="H333" s="186">
        <v>1</v>
      </c>
      <c r="I333" s="185">
        <v>2415</v>
      </c>
      <c r="J333" s="187">
        <v>2.30828025477707</v>
      </c>
      <c r="K333" s="188">
        <v>5574.496815286624</v>
      </c>
      <c r="L333" s="189">
        <v>30.629000000000001</v>
      </c>
      <c r="M333" s="185">
        <v>2025</v>
      </c>
      <c r="N333" s="189">
        <v>746.28</v>
      </c>
      <c r="O333" s="333">
        <v>621.7111499414292</v>
      </c>
      <c r="P333" s="333">
        <v>75.788799999999981</v>
      </c>
      <c r="Q333" s="333">
        <v>42.831449505000002</v>
      </c>
      <c r="R333" s="475">
        <f t="shared" si="6"/>
        <v>1.7694661487268286</v>
      </c>
      <c r="S333" s="340">
        <v>59.959459459459467</v>
      </c>
    </row>
    <row r="334" spans="2:19" ht="15" customHeight="1" x14ac:dyDescent="0.35">
      <c r="B334" s="181">
        <v>16048</v>
      </c>
      <c r="C334" s="182" t="s">
        <v>87</v>
      </c>
      <c r="D334" s="183">
        <v>3</v>
      </c>
      <c r="E334" s="185">
        <v>712</v>
      </c>
      <c r="F334" s="185">
        <v>410</v>
      </c>
      <c r="G334" s="184" t="s">
        <v>1308</v>
      </c>
      <c r="H334" s="186">
        <v>2</v>
      </c>
      <c r="I334" s="185">
        <v>410</v>
      </c>
      <c r="J334" s="187">
        <v>1.6320868516284679</v>
      </c>
      <c r="K334" s="188">
        <v>669.15560916767186</v>
      </c>
      <c r="L334" s="189">
        <v>14.763999999999999</v>
      </c>
      <c r="M334" s="185">
        <v>426</v>
      </c>
      <c r="N334" s="189">
        <v>173.97000000000003</v>
      </c>
      <c r="O334" s="333">
        <v>100.25530000000001</v>
      </c>
      <c r="P334" s="333">
        <v>62.550450000000019</v>
      </c>
      <c r="Q334" s="333">
        <v>18.482069759399998</v>
      </c>
      <c r="R334" s="475">
        <f t="shared" si="6"/>
        <v>3.384385559316851</v>
      </c>
      <c r="S334" s="340">
        <v>44.378378378378386</v>
      </c>
    </row>
    <row r="335" spans="2:19" ht="15" customHeight="1" x14ac:dyDescent="0.35">
      <c r="B335" s="181">
        <v>95025</v>
      </c>
      <c r="C335" s="182" t="s">
        <v>989</v>
      </c>
      <c r="D335" s="183">
        <v>9</v>
      </c>
      <c r="E335" s="185" t="s">
        <v>1124</v>
      </c>
      <c r="F335" s="185" t="s">
        <v>1124</v>
      </c>
      <c r="G335" s="184" t="s">
        <v>1124</v>
      </c>
      <c r="H335" s="186"/>
      <c r="I335" s="185"/>
      <c r="J335" s="187"/>
      <c r="K335" s="188"/>
      <c r="L335" s="189"/>
      <c r="M335" s="185" t="s">
        <v>1124</v>
      </c>
      <c r="N335" s="189"/>
      <c r="O335" s="333"/>
      <c r="P335" s="333" t="s">
        <v>1124</v>
      </c>
      <c r="Q335" s="333" t="s">
        <v>1124</v>
      </c>
      <c r="R335" s="475" t="str">
        <f t="shared" si="6"/>
        <v/>
      </c>
      <c r="S335" s="340" t="s">
        <v>1124</v>
      </c>
    </row>
    <row r="336" spans="2:19" ht="15" customHeight="1" x14ac:dyDescent="0.35">
      <c r="B336" s="181">
        <v>9015</v>
      </c>
      <c r="C336" s="182" t="s">
        <v>1099</v>
      </c>
      <c r="D336" s="183">
        <v>1</v>
      </c>
      <c r="E336" s="185" t="s">
        <v>1124</v>
      </c>
      <c r="F336" s="185" t="s">
        <v>1124</v>
      </c>
      <c r="G336" s="184" t="s">
        <v>1124</v>
      </c>
      <c r="H336" s="186"/>
      <c r="I336" s="185"/>
      <c r="J336" s="187"/>
      <c r="K336" s="188"/>
      <c r="L336" s="189"/>
      <c r="M336" s="185" t="s">
        <v>1124</v>
      </c>
      <c r="N336" s="189"/>
      <c r="O336" s="333"/>
      <c r="P336" s="333" t="s">
        <v>1124</v>
      </c>
      <c r="Q336" s="333" t="s">
        <v>1124</v>
      </c>
      <c r="R336" s="475" t="str">
        <f t="shared" si="6"/>
        <v/>
      </c>
      <c r="S336" s="340" t="s">
        <v>1124</v>
      </c>
    </row>
    <row r="337" spans="2:19" ht="15" customHeight="1" x14ac:dyDescent="0.35">
      <c r="B337" s="181">
        <v>1023</v>
      </c>
      <c r="C337" s="182" t="s">
        <v>1024</v>
      </c>
      <c r="D337" s="183">
        <v>11</v>
      </c>
      <c r="E337" s="185" t="s">
        <v>1124</v>
      </c>
      <c r="F337" s="185" t="s">
        <v>1124</v>
      </c>
      <c r="G337" s="184" t="s">
        <v>1124</v>
      </c>
      <c r="H337" s="186"/>
      <c r="I337" s="185"/>
      <c r="J337" s="187"/>
      <c r="K337" s="188"/>
      <c r="L337" s="189"/>
      <c r="M337" s="185" t="s">
        <v>1124</v>
      </c>
      <c r="N337" s="189"/>
      <c r="O337" s="333"/>
      <c r="P337" s="333" t="s">
        <v>1124</v>
      </c>
      <c r="Q337" s="333" t="s">
        <v>1124</v>
      </c>
      <c r="R337" s="475" t="str">
        <f t="shared" si="6"/>
        <v/>
      </c>
      <c r="S337" s="340" t="s">
        <v>1124</v>
      </c>
    </row>
    <row r="338" spans="2:19" ht="15" customHeight="1" x14ac:dyDescent="0.35">
      <c r="B338" s="181">
        <v>8005</v>
      </c>
      <c r="C338" s="182" t="s">
        <v>1086</v>
      </c>
      <c r="D338" s="183">
        <v>1</v>
      </c>
      <c r="E338" s="185">
        <v>1106</v>
      </c>
      <c r="F338" s="185">
        <v>250</v>
      </c>
      <c r="G338" s="184" t="s">
        <v>1308</v>
      </c>
      <c r="H338" s="186">
        <v>1</v>
      </c>
      <c r="I338" s="185">
        <v>397</v>
      </c>
      <c r="J338" s="187">
        <v>1.7261484098939932</v>
      </c>
      <c r="K338" s="188">
        <v>685.28091872791526</v>
      </c>
      <c r="L338" s="189">
        <v>11.877000000000001</v>
      </c>
      <c r="M338" s="185">
        <v>348</v>
      </c>
      <c r="N338" s="189">
        <v>276.56200000000001</v>
      </c>
      <c r="O338" s="333">
        <v>62.506</v>
      </c>
      <c r="P338" s="333">
        <v>159.05725146763996</v>
      </c>
      <c r="Q338" s="333">
        <v>12.318099570000001</v>
      </c>
      <c r="R338" s="475">
        <f t="shared" si="6"/>
        <v>12.912483014426547</v>
      </c>
      <c r="S338" s="340">
        <v>59.921568627450981</v>
      </c>
    </row>
    <row r="339" spans="2:19" ht="15" customHeight="1" x14ac:dyDescent="0.35">
      <c r="B339" s="181">
        <v>25213</v>
      </c>
      <c r="C339" s="182" t="s">
        <v>166</v>
      </c>
      <c r="D339" s="183">
        <v>12</v>
      </c>
      <c r="E339" s="185">
        <v>343</v>
      </c>
      <c r="F339" s="185">
        <v>227</v>
      </c>
      <c r="G339" s="184" t="s">
        <v>1308</v>
      </c>
      <c r="H339" s="186">
        <v>3</v>
      </c>
      <c r="I339" s="185">
        <v>64887</v>
      </c>
      <c r="J339" s="187">
        <v>2.285051602559113</v>
      </c>
      <c r="K339" s="188">
        <v>148270.14333525317</v>
      </c>
      <c r="L339" s="189">
        <v>846.4</v>
      </c>
      <c r="M339" s="185">
        <v>44451</v>
      </c>
      <c r="N339" s="189">
        <v>18550.154999999999</v>
      </c>
      <c r="O339" s="333">
        <v>12311.529999999999</v>
      </c>
      <c r="P339" s="333">
        <v>2961.0995504268958</v>
      </c>
      <c r="Q339" s="333">
        <v>1124.78901225665</v>
      </c>
      <c r="R339" s="475">
        <f t="shared" si="6"/>
        <v>2.6325822160069641</v>
      </c>
      <c r="S339" s="340">
        <v>58.744522609257842</v>
      </c>
    </row>
    <row r="340" spans="2:19" ht="15" customHeight="1" x14ac:dyDescent="0.35">
      <c r="B340" s="181">
        <v>71095</v>
      </c>
      <c r="C340" s="182" t="s">
        <v>719</v>
      </c>
      <c r="D340" s="183">
        <v>16</v>
      </c>
      <c r="E340" s="185" t="s">
        <v>1124</v>
      </c>
      <c r="F340" s="185" t="s">
        <v>1124</v>
      </c>
      <c r="G340" s="184" t="s">
        <v>1124</v>
      </c>
      <c r="H340" s="186"/>
      <c r="I340" s="185"/>
      <c r="J340" s="187"/>
      <c r="K340" s="188"/>
      <c r="L340" s="189"/>
      <c r="M340" s="185" t="s">
        <v>1124</v>
      </c>
      <c r="N340" s="189"/>
      <c r="O340" s="333"/>
      <c r="P340" s="333" t="s">
        <v>1124</v>
      </c>
      <c r="Q340" s="333" t="s">
        <v>1124</v>
      </c>
      <c r="R340" s="475" t="str">
        <f t="shared" si="6"/>
        <v/>
      </c>
      <c r="S340" s="340" t="s">
        <v>1124</v>
      </c>
    </row>
    <row r="341" spans="2:19" ht="15" customHeight="1" x14ac:dyDescent="0.35">
      <c r="B341" s="181">
        <v>98020</v>
      </c>
      <c r="C341" s="182" t="s">
        <v>1011</v>
      </c>
      <c r="D341" s="183">
        <v>9</v>
      </c>
      <c r="E341" s="185" t="s">
        <v>1124</v>
      </c>
      <c r="F341" s="185" t="s">
        <v>1124</v>
      </c>
      <c r="G341" s="184" t="s">
        <v>1124</v>
      </c>
      <c r="H341" s="186"/>
      <c r="I341" s="185"/>
      <c r="J341" s="187"/>
      <c r="K341" s="188"/>
      <c r="L341" s="189"/>
      <c r="M341" s="185" t="s">
        <v>1124</v>
      </c>
      <c r="N341" s="189"/>
      <c r="O341" s="333"/>
      <c r="P341" s="333" t="s">
        <v>1124</v>
      </c>
      <c r="Q341" s="333" t="s">
        <v>1124</v>
      </c>
      <c r="R341" s="475" t="str">
        <f t="shared" si="6"/>
        <v/>
      </c>
      <c r="S341" s="340" t="s">
        <v>1124</v>
      </c>
    </row>
    <row r="342" spans="2:19" ht="15" customHeight="1" x14ac:dyDescent="0.35">
      <c r="B342" s="181">
        <v>66092</v>
      </c>
      <c r="C342" s="182" t="s">
        <v>655</v>
      </c>
      <c r="D342" s="183">
        <v>6</v>
      </c>
      <c r="E342" s="185" t="s">
        <v>1124</v>
      </c>
      <c r="F342" s="185" t="s">
        <v>1124</v>
      </c>
      <c r="G342" s="184" t="s">
        <v>1124</v>
      </c>
      <c r="H342" s="186"/>
      <c r="I342" s="185"/>
      <c r="J342" s="187"/>
      <c r="K342" s="188"/>
      <c r="L342" s="189"/>
      <c r="M342" s="185" t="s">
        <v>1124</v>
      </c>
      <c r="N342" s="189"/>
      <c r="O342" s="333"/>
      <c r="P342" s="333" t="s">
        <v>1124</v>
      </c>
      <c r="Q342" s="333" t="s">
        <v>1124</v>
      </c>
      <c r="R342" s="475" t="str">
        <f t="shared" si="6"/>
        <v/>
      </c>
      <c r="S342" s="340" t="s">
        <v>1124</v>
      </c>
    </row>
    <row r="343" spans="2:19" ht="15" customHeight="1" x14ac:dyDescent="0.35">
      <c r="B343" s="181">
        <v>84035</v>
      </c>
      <c r="C343" s="182" t="s">
        <v>858</v>
      </c>
      <c r="D343" s="183">
        <v>7</v>
      </c>
      <c r="E343" s="185" t="s">
        <v>1124</v>
      </c>
      <c r="F343" s="185" t="s">
        <v>1124</v>
      </c>
      <c r="G343" s="184" t="s">
        <v>1124</v>
      </c>
      <c r="H343" s="186"/>
      <c r="I343" s="185"/>
      <c r="J343" s="187"/>
      <c r="K343" s="188"/>
      <c r="L343" s="189"/>
      <c r="M343" s="185" t="s">
        <v>1124</v>
      </c>
      <c r="N343" s="189"/>
      <c r="O343" s="333"/>
      <c r="P343" s="333" t="s">
        <v>1124</v>
      </c>
      <c r="Q343" s="333" t="s">
        <v>1124</v>
      </c>
      <c r="R343" s="475" t="str">
        <f t="shared" si="6"/>
        <v/>
      </c>
      <c r="S343" s="340" t="s">
        <v>1124</v>
      </c>
    </row>
    <row r="344" spans="2:19" ht="15" customHeight="1" x14ac:dyDescent="0.35">
      <c r="B344" s="181">
        <v>71060</v>
      </c>
      <c r="C344" s="182" t="s">
        <v>713</v>
      </c>
      <c r="D344" s="183">
        <v>16</v>
      </c>
      <c r="E344" s="185" t="s">
        <v>1124</v>
      </c>
      <c r="F344" s="185" t="s">
        <v>1124</v>
      </c>
      <c r="G344" s="184" t="s">
        <v>1124</v>
      </c>
      <c r="H344" s="186"/>
      <c r="I344" s="185"/>
      <c r="J344" s="187"/>
      <c r="K344" s="188"/>
      <c r="L344" s="189"/>
      <c r="M344" s="185" t="s">
        <v>1124</v>
      </c>
      <c r="N344" s="189"/>
      <c r="O344" s="333"/>
      <c r="P344" s="333" t="s">
        <v>1124</v>
      </c>
      <c r="Q344" s="333" t="s">
        <v>1124</v>
      </c>
      <c r="R344" s="475" t="str">
        <f t="shared" si="6"/>
        <v/>
      </c>
      <c r="S344" s="340" t="s">
        <v>1124</v>
      </c>
    </row>
    <row r="345" spans="2:19" ht="15" customHeight="1" x14ac:dyDescent="0.35">
      <c r="B345" s="181">
        <v>41085</v>
      </c>
      <c r="C345" s="182" t="s">
        <v>376</v>
      </c>
      <c r="D345" s="183">
        <v>5</v>
      </c>
      <c r="E345" s="185" t="s">
        <v>1124</v>
      </c>
      <c r="F345" s="185" t="s">
        <v>1124</v>
      </c>
      <c r="G345" s="184" t="s">
        <v>1124</v>
      </c>
      <c r="H345" s="186"/>
      <c r="I345" s="185"/>
      <c r="J345" s="187"/>
      <c r="K345" s="188"/>
      <c r="L345" s="189"/>
      <c r="M345" s="185" t="s">
        <v>1124</v>
      </c>
      <c r="N345" s="189"/>
      <c r="O345" s="333"/>
      <c r="P345" s="333" t="s">
        <v>1124</v>
      </c>
      <c r="Q345" s="333" t="s">
        <v>1124</v>
      </c>
      <c r="R345" s="475" t="str">
        <f t="shared" si="6"/>
        <v/>
      </c>
      <c r="S345" s="340" t="s">
        <v>1124</v>
      </c>
    </row>
    <row r="346" spans="2:19" ht="15" customHeight="1" x14ac:dyDescent="0.35">
      <c r="B346" s="181">
        <v>84082</v>
      </c>
      <c r="C346" s="182" t="s">
        <v>866</v>
      </c>
      <c r="D346" s="183">
        <v>7</v>
      </c>
      <c r="E346" s="185" t="s">
        <v>1124</v>
      </c>
      <c r="F346" s="185" t="s">
        <v>1124</v>
      </c>
      <c r="G346" s="184" t="s">
        <v>1124</v>
      </c>
      <c r="H346" s="186"/>
      <c r="I346" s="185"/>
      <c r="J346" s="187"/>
      <c r="K346" s="188"/>
      <c r="L346" s="189"/>
      <c r="M346" s="185" t="s">
        <v>1124</v>
      </c>
      <c r="N346" s="189"/>
      <c r="O346" s="333"/>
      <c r="P346" s="333" t="s">
        <v>1124</v>
      </c>
      <c r="Q346" s="333" t="s">
        <v>1124</v>
      </c>
      <c r="R346" s="475" t="str">
        <f t="shared" si="6"/>
        <v/>
      </c>
      <c r="S346" s="340" t="s">
        <v>1124</v>
      </c>
    </row>
    <row r="347" spans="2:19" ht="15" customHeight="1" x14ac:dyDescent="0.35">
      <c r="B347" s="181">
        <v>16023</v>
      </c>
      <c r="C347" s="182" t="s">
        <v>86</v>
      </c>
      <c r="D347" s="183">
        <v>3</v>
      </c>
      <c r="E347" s="185">
        <v>305</v>
      </c>
      <c r="F347" s="185">
        <v>213</v>
      </c>
      <c r="G347" s="184" t="s">
        <v>1308</v>
      </c>
      <c r="H347" s="186">
        <v>1</v>
      </c>
      <c r="I347" s="185">
        <v>534</v>
      </c>
      <c r="J347" s="187">
        <v>1.503382949932341</v>
      </c>
      <c r="K347" s="188">
        <v>802.80649526387015</v>
      </c>
      <c r="L347" s="189">
        <v>18.489999999999998</v>
      </c>
      <c r="M347" s="185">
        <v>510</v>
      </c>
      <c r="N347" s="189">
        <v>89.35</v>
      </c>
      <c r="O347" s="333">
        <v>62.484000000000002</v>
      </c>
      <c r="P347" s="333">
        <v>20.148</v>
      </c>
      <c r="Q347" s="333">
        <v>17.7484608</v>
      </c>
      <c r="R347" s="475">
        <f t="shared" si="6"/>
        <v>1.1351970307194188</v>
      </c>
      <c r="S347" s="340">
        <v>55.078431372549019</v>
      </c>
    </row>
    <row r="348" spans="2:19" ht="15" customHeight="1" x14ac:dyDescent="0.35">
      <c r="B348" s="181">
        <v>17078</v>
      </c>
      <c r="C348" s="182" t="s">
        <v>103</v>
      </c>
      <c r="D348" s="183">
        <v>12</v>
      </c>
      <c r="E348" s="185">
        <v>403</v>
      </c>
      <c r="F348" s="185">
        <v>224</v>
      </c>
      <c r="G348" s="184" t="s">
        <v>1326</v>
      </c>
      <c r="H348" s="186">
        <v>1</v>
      </c>
      <c r="I348" s="185">
        <v>1292</v>
      </c>
      <c r="J348" s="187">
        <v>2.094719651605879</v>
      </c>
      <c r="K348" s="188">
        <v>2706.3777898747958</v>
      </c>
      <c r="L348" s="189">
        <v>32.590000000000003</v>
      </c>
      <c r="M348" s="185">
        <v>1128</v>
      </c>
      <c r="N348" s="189">
        <v>397.89499999999998</v>
      </c>
      <c r="O348" s="333">
        <v>220.93299999999999</v>
      </c>
      <c r="P348" s="333">
        <v>65.007999999999996</v>
      </c>
      <c r="Q348" s="333">
        <v>33.288766500000008</v>
      </c>
      <c r="R348" s="475">
        <f t="shared" si="6"/>
        <v>1.9528509715131674</v>
      </c>
      <c r="S348" s="340">
        <v>60</v>
      </c>
    </row>
    <row r="349" spans="2:19" ht="15" customHeight="1" x14ac:dyDescent="0.35">
      <c r="B349" s="181">
        <v>12043</v>
      </c>
      <c r="C349" s="182" t="s">
        <v>35</v>
      </c>
      <c r="D349" s="183">
        <v>1</v>
      </c>
      <c r="E349" s="185">
        <v>239</v>
      </c>
      <c r="F349" s="185">
        <v>194</v>
      </c>
      <c r="G349" s="184" t="s">
        <v>1308</v>
      </c>
      <c r="H349" s="186">
        <v>1</v>
      </c>
      <c r="I349" s="185">
        <v>474</v>
      </c>
      <c r="J349" s="187">
        <v>2.0299999999999998</v>
      </c>
      <c r="K349" s="188">
        <v>962.21999999999991</v>
      </c>
      <c r="L349" s="189">
        <v>12.795</v>
      </c>
      <c r="M349" s="185">
        <v>514</v>
      </c>
      <c r="N349" s="189">
        <v>83.828999999999994</v>
      </c>
      <c r="O349" s="333">
        <v>68.184209708737853</v>
      </c>
      <c r="P349" s="333">
        <v>8.489565000000006</v>
      </c>
      <c r="Q349" s="333">
        <v>15.081827375000001</v>
      </c>
      <c r="R349" s="475">
        <f t="shared" si="6"/>
        <v>0.56290028979329865</v>
      </c>
      <c r="S349" s="340">
        <v>58.353372126815486</v>
      </c>
    </row>
    <row r="350" spans="2:19" ht="15" customHeight="1" x14ac:dyDescent="0.35">
      <c r="B350" s="181">
        <v>84040</v>
      </c>
      <c r="C350" s="182" t="s">
        <v>859</v>
      </c>
      <c r="D350" s="183">
        <v>7</v>
      </c>
      <c r="E350" s="185" t="s">
        <v>1124</v>
      </c>
      <c r="F350" s="185" t="s">
        <v>1124</v>
      </c>
      <c r="G350" s="184" t="s">
        <v>1124</v>
      </c>
      <c r="H350" s="186"/>
      <c r="I350" s="185"/>
      <c r="J350" s="187"/>
      <c r="K350" s="188"/>
      <c r="L350" s="189"/>
      <c r="M350" s="185" t="s">
        <v>1124</v>
      </c>
      <c r="N350" s="189"/>
      <c r="O350" s="333"/>
      <c r="P350" s="333" t="s">
        <v>1124</v>
      </c>
      <c r="Q350" s="333" t="s">
        <v>1124</v>
      </c>
      <c r="R350" s="475" t="str">
        <f t="shared" si="6"/>
        <v/>
      </c>
      <c r="S350" s="340" t="s">
        <v>1124</v>
      </c>
    </row>
    <row r="351" spans="2:19" ht="15" customHeight="1" x14ac:dyDescent="0.35">
      <c r="B351" s="181">
        <v>80055</v>
      </c>
      <c r="C351" s="182" t="s">
        <v>811</v>
      </c>
      <c r="D351" s="183">
        <v>7</v>
      </c>
      <c r="E351" s="185" t="s">
        <v>1124</v>
      </c>
      <c r="F351" s="185" t="s">
        <v>1124</v>
      </c>
      <c r="G351" s="184" t="s">
        <v>1124</v>
      </c>
      <c r="H351" s="186"/>
      <c r="I351" s="185"/>
      <c r="J351" s="187"/>
      <c r="K351" s="188"/>
      <c r="L351" s="189"/>
      <c r="M351" s="185" t="s">
        <v>1124</v>
      </c>
      <c r="N351" s="189"/>
      <c r="O351" s="333"/>
      <c r="P351" s="333" t="s">
        <v>1124</v>
      </c>
      <c r="Q351" s="333" t="s">
        <v>1124</v>
      </c>
      <c r="R351" s="475" t="str">
        <f t="shared" si="6"/>
        <v/>
      </c>
      <c r="S351" s="340" t="s">
        <v>1124</v>
      </c>
    </row>
    <row r="352" spans="2:19" ht="15" customHeight="1" x14ac:dyDescent="0.35">
      <c r="B352" s="181">
        <v>80060</v>
      </c>
      <c r="C352" s="182" t="s">
        <v>812</v>
      </c>
      <c r="D352" s="183">
        <v>7</v>
      </c>
      <c r="E352" s="185" t="s">
        <v>1124</v>
      </c>
      <c r="F352" s="185" t="s">
        <v>1124</v>
      </c>
      <c r="G352" s="184" t="s">
        <v>1124</v>
      </c>
      <c r="H352" s="186"/>
      <c r="I352" s="185"/>
      <c r="J352" s="187"/>
      <c r="K352" s="188"/>
      <c r="L352" s="189"/>
      <c r="M352" s="185" t="s">
        <v>1124</v>
      </c>
      <c r="N352" s="189"/>
      <c r="O352" s="333"/>
      <c r="P352" s="333" t="s">
        <v>1124</v>
      </c>
      <c r="Q352" s="333" t="s">
        <v>1124</v>
      </c>
      <c r="R352" s="475" t="str">
        <f t="shared" si="6"/>
        <v/>
      </c>
      <c r="S352" s="340" t="s">
        <v>1124</v>
      </c>
    </row>
    <row r="353" spans="2:19" ht="15" customHeight="1" x14ac:dyDescent="0.35">
      <c r="B353" s="181">
        <v>98045</v>
      </c>
      <c r="C353" s="182" t="s">
        <v>1016</v>
      </c>
      <c r="D353" s="183">
        <v>9</v>
      </c>
      <c r="E353" s="185">
        <v>652</v>
      </c>
      <c r="F353" s="185">
        <v>361</v>
      </c>
      <c r="G353" s="184" t="s">
        <v>1308</v>
      </c>
      <c r="H353" s="186">
        <v>1</v>
      </c>
      <c r="I353" s="185">
        <v>244</v>
      </c>
      <c r="J353" s="187">
        <v>1.6366906474820144</v>
      </c>
      <c r="K353" s="188">
        <v>399.35251798561154</v>
      </c>
      <c r="L353" s="189">
        <v>9.8539999999999992</v>
      </c>
      <c r="M353" s="185">
        <v>265</v>
      </c>
      <c r="N353" s="189">
        <v>95.100999999999999</v>
      </c>
      <c r="O353" s="333">
        <v>52.575828793774321</v>
      </c>
      <c r="P353" s="333">
        <v>38.297485000000002</v>
      </c>
      <c r="Q353" s="333">
        <v>9.5209735349999978</v>
      </c>
      <c r="R353" s="475">
        <f t="shared" si="6"/>
        <v>4.0224337205869576</v>
      </c>
      <c r="S353" s="340">
        <v>58.905405405405418</v>
      </c>
    </row>
    <row r="354" spans="2:19" ht="15" customHeight="1" x14ac:dyDescent="0.35">
      <c r="B354" s="181">
        <v>95032</v>
      </c>
      <c r="C354" s="182" t="s">
        <v>990</v>
      </c>
      <c r="D354" s="183">
        <v>9</v>
      </c>
      <c r="E354" s="185">
        <v>529</v>
      </c>
      <c r="F354" s="185">
        <v>282</v>
      </c>
      <c r="G354" s="184" t="s">
        <v>1308</v>
      </c>
      <c r="H354" s="186">
        <v>1</v>
      </c>
      <c r="I354" s="185">
        <v>565</v>
      </c>
      <c r="J354" s="187">
        <v>2.0720338983050848</v>
      </c>
      <c r="K354" s="188">
        <v>1170.699152542373</v>
      </c>
      <c r="L354" s="189">
        <v>29.084</v>
      </c>
      <c r="M354" s="185">
        <v>565</v>
      </c>
      <c r="N354" s="189">
        <v>226.19800000000001</v>
      </c>
      <c r="O354" s="333">
        <v>120.45272991379311</v>
      </c>
      <c r="P354" s="333">
        <v>99.154439999999994</v>
      </c>
      <c r="Q354" s="333">
        <v>14.899331754999999</v>
      </c>
      <c r="R354" s="475">
        <f t="shared" si="6"/>
        <v>6.6549588686569923</v>
      </c>
      <c r="S354" s="340">
        <v>43.675675675675677</v>
      </c>
    </row>
    <row r="355" spans="2:19" ht="15" customHeight="1" x14ac:dyDescent="0.35">
      <c r="B355" s="181">
        <v>58227</v>
      </c>
      <c r="C355" s="182" t="s">
        <v>598</v>
      </c>
      <c r="D355" s="183">
        <v>16</v>
      </c>
      <c r="E355" s="185">
        <v>571</v>
      </c>
      <c r="F355" s="185">
        <v>279</v>
      </c>
      <c r="G355" s="184" t="s">
        <v>1326</v>
      </c>
      <c r="H355" s="186">
        <v>1</v>
      </c>
      <c r="I355" s="185">
        <v>112603</v>
      </c>
      <c r="J355" s="187">
        <v>2.1882720709039725</v>
      </c>
      <c r="K355" s="188">
        <v>246406</v>
      </c>
      <c r="L355" s="189">
        <v>995</v>
      </c>
      <c r="M355" s="185">
        <v>59079</v>
      </c>
      <c r="N355" s="189">
        <v>51321.787999999993</v>
      </c>
      <c r="O355" s="333">
        <v>25133.412</v>
      </c>
      <c r="P355" s="333">
        <v>11966.629000000015</v>
      </c>
      <c r="Q355" s="333">
        <v>1458.9588375000003</v>
      </c>
      <c r="R355" s="475">
        <f t="shared" si="6"/>
        <v>8.202170405647248</v>
      </c>
      <c r="S355" s="340">
        <v>45.38643254820132</v>
      </c>
    </row>
    <row r="356" spans="2:19" ht="15" customHeight="1" x14ac:dyDescent="0.35">
      <c r="B356" s="181">
        <v>73025</v>
      </c>
      <c r="C356" s="182" t="s">
        <v>738</v>
      </c>
      <c r="D356" s="183">
        <v>15</v>
      </c>
      <c r="E356" s="185">
        <v>322</v>
      </c>
      <c r="F356" s="185">
        <v>302</v>
      </c>
      <c r="G356" s="184" t="s">
        <v>1326</v>
      </c>
      <c r="H356" s="186">
        <v>1</v>
      </c>
      <c r="I356" s="185">
        <v>3423</v>
      </c>
      <c r="J356" s="187">
        <v>2.7642418930762491</v>
      </c>
      <c r="K356" s="188">
        <v>9462</v>
      </c>
      <c r="L356" s="189">
        <v>52.534999999999997</v>
      </c>
      <c r="M356" s="185">
        <v>3423</v>
      </c>
      <c r="N356" s="189">
        <v>1113.3879999999999</v>
      </c>
      <c r="O356" s="333">
        <v>1041.9380000000001</v>
      </c>
      <c r="P356" s="333">
        <v>30.880294183673328</v>
      </c>
      <c r="Q356" s="333">
        <v>84.508004700000001</v>
      </c>
      <c r="R356" s="475">
        <f t="shared" si="6"/>
        <v>0.3654126528403685</v>
      </c>
      <c r="S356" s="340">
        <v>55.633333333333319</v>
      </c>
    </row>
    <row r="357" spans="2:19" ht="15" customHeight="1" x14ac:dyDescent="0.35">
      <c r="B357" s="181">
        <v>85037</v>
      </c>
      <c r="C357" s="182" t="s">
        <v>876</v>
      </c>
      <c r="D357" s="183">
        <v>8</v>
      </c>
      <c r="E357" s="185">
        <v>321</v>
      </c>
      <c r="F357" s="185">
        <v>242</v>
      </c>
      <c r="G357" s="184" t="s">
        <v>1308</v>
      </c>
      <c r="H357" s="186">
        <v>1</v>
      </c>
      <c r="I357" s="185">
        <v>525</v>
      </c>
      <c r="J357" s="187">
        <v>1.82</v>
      </c>
      <c r="K357" s="188">
        <v>955.5</v>
      </c>
      <c r="L357" s="189">
        <v>14.01244</v>
      </c>
      <c r="M357" s="185">
        <v>476</v>
      </c>
      <c r="N357" s="189">
        <v>111.85899999999999</v>
      </c>
      <c r="O357" s="333">
        <v>84.418999999999997</v>
      </c>
      <c r="P357" s="333">
        <v>14.568115000000002</v>
      </c>
      <c r="Q357" s="333">
        <v>9.400562073451999</v>
      </c>
      <c r="R357" s="475">
        <f t="shared" si="6"/>
        <v>1.5497068032922861</v>
      </c>
      <c r="S357" s="340">
        <v>57.86486486486487</v>
      </c>
    </row>
    <row r="358" spans="2:19" ht="15" customHeight="1" x14ac:dyDescent="0.35">
      <c r="B358" s="181">
        <v>33115</v>
      </c>
      <c r="C358" s="182" t="s">
        <v>283</v>
      </c>
      <c r="D358" s="183">
        <v>12</v>
      </c>
      <c r="E358" s="185" t="s">
        <v>1124</v>
      </c>
      <c r="F358" s="185" t="s">
        <v>1124</v>
      </c>
      <c r="G358" s="184" t="s">
        <v>1124</v>
      </c>
      <c r="H358" s="186"/>
      <c r="I358" s="185"/>
      <c r="J358" s="187"/>
      <c r="K358" s="188"/>
      <c r="L358" s="189"/>
      <c r="M358" s="185" t="s">
        <v>1124</v>
      </c>
      <c r="N358" s="189"/>
      <c r="O358" s="333"/>
      <c r="P358" s="333" t="s">
        <v>1124</v>
      </c>
      <c r="Q358" s="333" t="s">
        <v>1124</v>
      </c>
      <c r="R358" s="475" t="str">
        <f t="shared" si="6"/>
        <v/>
      </c>
      <c r="S358" s="340" t="s">
        <v>1124</v>
      </c>
    </row>
    <row r="359" spans="2:19" ht="15" customHeight="1" x14ac:dyDescent="0.35">
      <c r="B359" s="181">
        <v>51015</v>
      </c>
      <c r="C359" s="182" t="s">
        <v>499</v>
      </c>
      <c r="D359" s="183">
        <v>4</v>
      </c>
      <c r="E359" s="185">
        <v>529</v>
      </c>
      <c r="F359" s="185">
        <v>190</v>
      </c>
      <c r="G359" s="184" t="s">
        <v>1326</v>
      </c>
      <c r="H359" s="186">
        <v>1</v>
      </c>
      <c r="I359" s="185">
        <v>3841</v>
      </c>
      <c r="J359" s="187">
        <v>1.9289340101522845</v>
      </c>
      <c r="K359" s="188">
        <v>7409.0355329949243</v>
      </c>
      <c r="L359" s="189">
        <v>100.35</v>
      </c>
      <c r="M359" s="185">
        <v>3592</v>
      </c>
      <c r="N359" s="189">
        <v>1431.0060000000001</v>
      </c>
      <c r="O359" s="333">
        <v>515.07809999999995</v>
      </c>
      <c r="P359" s="333">
        <v>110.32275163265324</v>
      </c>
      <c r="Q359" s="333">
        <v>96.725116800000023</v>
      </c>
      <c r="R359" s="475">
        <f t="shared" si="6"/>
        <v>1.1405801851939785</v>
      </c>
      <c r="S359" s="340">
        <v>63.771929824561425</v>
      </c>
    </row>
    <row r="360" spans="2:19" ht="15" customHeight="1" x14ac:dyDescent="0.35">
      <c r="B360" s="181">
        <v>83010</v>
      </c>
      <c r="C360" s="182" t="s">
        <v>836</v>
      </c>
      <c r="D360" s="183">
        <v>7</v>
      </c>
      <c r="E360" s="185" t="s">
        <v>1124</v>
      </c>
      <c r="F360" s="185" t="s">
        <v>1124</v>
      </c>
      <c r="G360" s="184" t="s">
        <v>1124</v>
      </c>
      <c r="H360" s="186"/>
      <c r="I360" s="185"/>
      <c r="J360" s="187"/>
      <c r="K360" s="188"/>
      <c r="L360" s="189"/>
      <c r="M360" s="185" t="s">
        <v>1124</v>
      </c>
      <c r="N360" s="189"/>
      <c r="O360" s="333"/>
      <c r="P360" s="333" t="s">
        <v>1124</v>
      </c>
      <c r="Q360" s="333" t="s">
        <v>1124</v>
      </c>
      <c r="R360" s="475" t="str">
        <f t="shared" si="6"/>
        <v/>
      </c>
      <c r="S360" s="340" t="s">
        <v>1124</v>
      </c>
    </row>
    <row r="361" spans="2:19" ht="15" customHeight="1" x14ac:dyDescent="0.35">
      <c r="B361" s="181">
        <v>32065</v>
      </c>
      <c r="C361" s="182" t="s">
        <v>263</v>
      </c>
      <c r="D361" s="183">
        <v>17</v>
      </c>
      <c r="E361" s="185">
        <v>233</v>
      </c>
      <c r="F361" s="185">
        <v>179</v>
      </c>
      <c r="G361" s="184" t="s">
        <v>1308</v>
      </c>
      <c r="H361" s="186">
        <v>1</v>
      </c>
      <c r="I361" s="185">
        <v>543</v>
      </c>
      <c r="J361" s="187">
        <v>2.1316489361702127</v>
      </c>
      <c r="K361" s="188">
        <v>1157.4853723404256</v>
      </c>
      <c r="L361" s="189">
        <v>12.723000000000001</v>
      </c>
      <c r="M361" s="185">
        <v>509</v>
      </c>
      <c r="N361" s="189">
        <v>98.594999999999999</v>
      </c>
      <c r="O361" s="333">
        <v>75.435000000000002</v>
      </c>
      <c r="P361" s="333">
        <v>16.655489706321543</v>
      </c>
      <c r="Q361" s="333">
        <v>11.6225761925</v>
      </c>
      <c r="R361" s="475">
        <f t="shared" si="6"/>
        <v>1.4330290832654864</v>
      </c>
      <c r="S361" s="340">
        <v>62.470588235294123</v>
      </c>
    </row>
    <row r="362" spans="2:19" ht="15" customHeight="1" x14ac:dyDescent="0.35">
      <c r="B362" s="181">
        <v>87058</v>
      </c>
      <c r="C362" s="182" t="s">
        <v>899</v>
      </c>
      <c r="D362" s="183">
        <v>8</v>
      </c>
      <c r="E362" s="185">
        <v>416</v>
      </c>
      <c r="F362" s="185">
        <v>285</v>
      </c>
      <c r="G362" s="184" t="s">
        <v>1326</v>
      </c>
      <c r="H362" s="186">
        <v>1</v>
      </c>
      <c r="I362" s="185">
        <v>592</v>
      </c>
      <c r="J362" s="187">
        <v>2.4533333333333331</v>
      </c>
      <c r="K362" s="188">
        <v>1452.3733333333332</v>
      </c>
      <c r="L362" s="189">
        <v>18.13</v>
      </c>
      <c r="M362" s="185">
        <v>689</v>
      </c>
      <c r="N362" s="189">
        <v>220.655</v>
      </c>
      <c r="O362" s="333">
        <v>151.13999999999999</v>
      </c>
      <c r="P362" s="333">
        <v>62.887175000000006</v>
      </c>
      <c r="Q362" s="333">
        <v>19.9250142</v>
      </c>
      <c r="R362" s="475">
        <f t="shared" si="6"/>
        <v>3.1561922299658893</v>
      </c>
      <c r="S362" s="340">
        <v>59</v>
      </c>
    </row>
    <row r="363" spans="2:19" ht="15" customHeight="1" x14ac:dyDescent="0.35">
      <c r="B363" s="181">
        <v>39165</v>
      </c>
      <c r="C363" s="182" t="s">
        <v>1114</v>
      </c>
      <c r="D363" s="183">
        <v>17</v>
      </c>
      <c r="E363" s="185" t="s">
        <v>1124</v>
      </c>
      <c r="F363" s="185" t="s">
        <v>1124</v>
      </c>
      <c r="G363" s="184" t="s">
        <v>1124</v>
      </c>
      <c r="H363" s="186"/>
      <c r="I363" s="185"/>
      <c r="J363" s="187"/>
      <c r="K363" s="188"/>
      <c r="L363" s="189"/>
      <c r="M363" s="185" t="s">
        <v>1124</v>
      </c>
      <c r="N363" s="189"/>
      <c r="O363" s="333"/>
      <c r="P363" s="333" t="s">
        <v>1124</v>
      </c>
      <c r="Q363" s="333" t="s">
        <v>1124</v>
      </c>
      <c r="R363" s="475" t="str">
        <f t="shared" si="6"/>
        <v/>
      </c>
      <c r="S363" s="340" t="s">
        <v>1124</v>
      </c>
    </row>
    <row r="364" spans="2:19" ht="15" customHeight="1" x14ac:dyDescent="0.35">
      <c r="B364" s="181">
        <v>45072</v>
      </c>
      <c r="C364" s="182" t="s">
        <v>419</v>
      </c>
      <c r="D364" s="183">
        <v>5</v>
      </c>
      <c r="E364" s="185">
        <v>418</v>
      </c>
      <c r="F364" s="185">
        <v>287</v>
      </c>
      <c r="G364" s="184" t="s">
        <v>1308</v>
      </c>
      <c r="H364" s="186">
        <v>1</v>
      </c>
      <c r="I364" s="185">
        <v>11862</v>
      </c>
      <c r="J364" s="187">
        <v>1.99</v>
      </c>
      <c r="K364" s="188">
        <v>23605.38</v>
      </c>
      <c r="L364" s="189">
        <v>165.56</v>
      </c>
      <c r="M364" s="185">
        <v>8139</v>
      </c>
      <c r="N364" s="189">
        <v>3603.6210000000001</v>
      </c>
      <c r="O364" s="333">
        <v>2476.9177151787185</v>
      </c>
      <c r="P364" s="333">
        <v>604.73783999999682</v>
      </c>
      <c r="Q364" s="333">
        <v>213.42134730000001</v>
      </c>
      <c r="R364" s="475">
        <f t="shared" si="6"/>
        <v>2.833539604404872</v>
      </c>
      <c r="S364" s="340">
        <v>62</v>
      </c>
    </row>
    <row r="365" spans="2:19" ht="15" customHeight="1" x14ac:dyDescent="0.35">
      <c r="B365" s="181">
        <v>89015</v>
      </c>
      <c r="C365" s="182" t="s">
        <v>930</v>
      </c>
      <c r="D365" s="183">
        <v>8</v>
      </c>
      <c r="E365" s="185" t="s">
        <v>1124</v>
      </c>
      <c r="F365" s="185" t="s">
        <v>1124</v>
      </c>
      <c r="G365" s="184" t="s">
        <v>1124</v>
      </c>
      <c r="H365" s="186"/>
      <c r="I365" s="185"/>
      <c r="J365" s="187"/>
      <c r="K365" s="188"/>
      <c r="L365" s="189"/>
      <c r="M365" s="185" t="s">
        <v>1124</v>
      </c>
      <c r="N365" s="189"/>
      <c r="O365" s="333"/>
      <c r="P365" s="333" t="s">
        <v>1124</v>
      </c>
      <c r="Q365" s="333" t="s">
        <v>1124</v>
      </c>
      <c r="R365" s="475" t="str">
        <f t="shared" si="6"/>
        <v/>
      </c>
      <c r="S365" s="340" t="s">
        <v>1124</v>
      </c>
    </row>
    <row r="366" spans="2:19" ht="15" customHeight="1" x14ac:dyDescent="0.35">
      <c r="B366" s="181">
        <v>52095</v>
      </c>
      <c r="C366" s="182" t="s">
        <v>529</v>
      </c>
      <c r="D366" s="183">
        <v>14</v>
      </c>
      <c r="E366" s="185">
        <v>285</v>
      </c>
      <c r="F366" s="185">
        <v>200</v>
      </c>
      <c r="G366" s="184" t="s">
        <v>1308</v>
      </c>
      <c r="H366" s="186">
        <v>1</v>
      </c>
      <c r="I366" s="185">
        <v>427</v>
      </c>
      <c r="J366" s="187">
        <v>1.9699999999999998</v>
      </c>
      <c r="K366" s="188">
        <v>841.18999999999994</v>
      </c>
      <c r="L366" s="189">
        <v>17.773</v>
      </c>
      <c r="M366" s="185">
        <v>442</v>
      </c>
      <c r="N366" s="189">
        <v>87.597999999999999</v>
      </c>
      <c r="O366" s="333">
        <v>61.361150000000002</v>
      </c>
      <c r="P366" s="333">
        <v>22.911030000000004</v>
      </c>
      <c r="Q366" s="333">
        <v>11.968061504000001</v>
      </c>
      <c r="R366" s="475">
        <f t="shared" si="6"/>
        <v>1.9143476153045011</v>
      </c>
      <c r="S366" s="340">
        <v>44.729729729729726</v>
      </c>
    </row>
    <row r="367" spans="2:19" ht="15" customHeight="1" x14ac:dyDescent="0.35">
      <c r="B367" s="181">
        <v>83065</v>
      </c>
      <c r="C367" s="182" t="s">
        <v>845</v>
      </c>
      <c r="D367" s="183">
        <v>7</v>
      </c>
      <c r="E367" s="185">
        <v>550</v>
      </c>
      <c r="F367" s="185">
        <v>169</v>
      </c>
      <c r="G367" s="184" t="s">
        <v>1308</v>
      </c>
      <c r="H367" s="186">
        <v>1</v>
      </c>
      <c r="I367" s="185">
        <v>2131</v>
      </c>
      <c r="J367" s="187">
        <v>1.825261158594492</v>
      </c>
      <c r="K367" s="188">
        <v>3889.6315289648624</v>
      </c>
      <c r="L367" s="189">
        <v>37.436</v>
      </c>
      <c r="M367" s="185">
        <v>2318</v>
      </c>
      <c r="N367" s="189">
        <v>780.67499999999995</v>
      </c>
      <c r="O367" s="333">
        <v>240.24</v>
      </c>
      <c r="P367" s="333">
        <v>37.57996499999993</v>
      </c>
      <c r="Q367" s="333">
        <v>63.522369120000008</v>
      </c>
      <c r="R367" s="475">
        <f t="shared" si="6"/>
        <v>0.59160206901300672</v>
      </c>
      <c r="S367" s="340">
        <v>57.057697945429702</v>
      </c>
    </row>
    <row r="368" spans="2:19" ht="15" customHeight="1" x14ac:dyDescent="0.35">
      <c r="B368" s="181">
        <v>38028</v>
      </c>
      <c r="C368" s="182" t="s">
        <v>329</v>
      </c>
      <c r="D368" s="183">
        <v>17</v>
      </c>
      <c r="E368" s="185" t="s">
        <v>1124</v>
      </c>
      <c r="F368" s="185" t="s">
        <v>1124</v>
      </c>
      <c r="G368" s="184" t="s">
        <v>1124</v>
      </c>
      <c r="H368" s="186"/>
      <c r="I368" s="185"/>
      <c r="J368" s="187"/>
      <c r="K368" s="188"/>
      <c r="L368" s="189"/>
      <c r="M368" s="185" t="s">
        <v>1124</v>
      </c>
      <c r="N368" s="189"/>
      <c r="O368" s="333"/>
      <c r="P368" s="333" t="s">
        <v>1124</v>
      </c>
      <c r="Q368" s="333" t="s">
        <v>1124</v>
      </c>
      <c r="R368" s="475" t="str">
        <f t="shared" si="6"/>
        <v/>
      </c>
      <c r="S368" s="340" t="s">
        <v>1124</v>
      </c>
    </row>
    <row r="369" spans="2:19" ht="15" customHeight="1" x14ac:dyDescent="0.35">
      <c r="B369" s="181">
        <v>84065</v>
      </c>
      <c r="C369" s="182" t="s">
        <v>864</v>
      </c>
      <c r="D369" s="183">
        <v>7</v>
      </c>
      <c r="E369" s="185" t="s">
        <v>1124</v>
      </c>
      <c r="F369" s="185" t="s">
        <v>1124</v>
      </c>
      <c r="G369" s="184" t="s">
        <v>1124</v>
      </c>
      <c r="H369" s="186"/>
      <c r="I369" s="185"/>
      <c r="J369" s="187"/>
      <c r="K369" s="188"/>
      <c r="L369" s="189"/>
      <c r="M369" s="185" t="s">
        <v>1124</v>
      </c>
      <c r="N369" s="189"/>
      <c r="O369" s="333"/>
      <c r="P369" s="333" t="s">
        <v>1124</v>
      </c>
      <c r="Q369" s="333" t="s">
        <v>1124</v>
      </c>
      <c r="R369" s="475" t="str">
        <f t="shared" si="6"/>
        <v/>
      </c>
      <c r="S369" s="340" t="s">
        <v>1124</v>
      </c>
    </row>
    <row r="370" spans="2:19" ht="15" customHeight="1" x14ac:dyDescent="0.35">
      <c r="B370" s="181">
        <v>6005</v>
      </c>
      <c r="C370" s="182" t="s">
        <v>1057</v>
      </c>
      <c r="D370" s="183">
        <v>11</v>
      </c>
      <c r="E370" s="185">
        <v>459</v>
      </c>
      <c r="F370" s="185">
        <v>227</v>
      </c>
      <c r="G370" s="184" t="s">
        <v>1308</v>
      </c>
      <c r="H370" s="186">
        <v>1</v>
      </c>
      <c r="I370" s="185">
        <v>1163</v>
      </c>
      <c r="J370" s="187">
        <v>2.3658969804618115</v>
      </c>
      <c r="K370" s="188">
        <v>2751.5381882770866</v>
      </c>
      <c r="L370" s="189">
        <v>25.215</v>
      </c>
      <c r="M370" s="185">
        <v>823</v>
      </c>
      <c r="N370" s="189">
        <v>461.05500000000001</v>
      </c>
      <c r="O370" s="333">
        <v>228.13896880131364</v>
      </c>
      <c r="P370" s="333">
        <v>119.87306545918369</v>
      </c>
      <c r="Q370" s="333">
        <v>26.519775800000001</v>
      </c>
      <c r="R370" s="475">
        <f t="shared" si="6"/>
        <v>4.5201387207498067</v>
      </c>
      <c r="S370" s="340">
        <v>56.098039215686271</v>
      </c>
    </row>
    <row r="371" spans="2:19" ht="15" customHeight="1" x14ac:dyDescent="0.35">
      <c r="B371" s="181">
        <v>42065</v>
      </c>
      <c r="C371" s="182" t="s">
        <v>388</v>
      </c>
      <c r="D371" s="183">
        <v>5</v>
      </c>
      <c r="E371" s="185" t="s">
        <v>1124</v>
      </c>
      <c r="F371" s="185" t="s">
        <v>1124</v>
      </c>
      <c r="G371" s="184" t="s">
        <v>1124</v>
      </c>
      <c r="H371" s="186"/>
      <c r="I371" s="185"/>
      <c r="J371" s="187"/>
      <c r="K371" s="188"/>
      <c r="L371" s="189"/>
      <c r="M371" s="185" t="s">
        <v>1124</v>
      </c>
      <c r="N371" s="189"/>
      <c r="O371" s="333"/>
      <c r="P371" s="333" t="s">
        <v>1124</v>
      </c>
      <c r="Q371" s="333" t="s">
        <v>1124</v>
      </c>
      <c r="R371" s="475" t="str">
        <f t="shared" si="6"/>
        <v/>
      </c>
      <c r="S371" s="340" t="s">
        <v>1124</v>
      </c>
    </row>
    <row r="372" spans="2:19" ht="15" customHeight="1" x14ac:dyDescent="0.35">
      <c r="B372" s="181">
        <v>55048</v>
      </c>
      <c r="C372" s="182" t="s">
        <v>564</v>
      </c>
      <c r="D372" s="183">
        <v>16</v>
      </c>
      <c r="E372" s="185">
        <v>389</v>
      </c>
      <c r="F372" s="185">
        <v>277</v>
      </c>
      <c r="G372" s="184" t="s">
        <v>1326</v>
      </c>
      <c r="H372" s="186">
        <v>1</v>
      </c>
      <c r="I372" s="185">
        <v>4141</v>
      </c>
      <c r="J372" s="187">
        <v>2.4208451937814757</v>
      </c>
      <c r="K372" s="188">
        <v>10024.71994744909</v>
      </c>
      <c r="L372" s="189">
        <v>56.7</v>
      </c>
      <c r="M372" s="185">
        <v>2970</v>
      </c>
      <c r="N372" s="189">
        <v>1423.6089999999999</v>
      </c>
      <c r="O372" s="333">
        <v>1014.3344738708915</v>
      </c>
      <c r="P372" s="333">
        <v>71.767313979591677</v>
      </c>
      <c r="Q372" s="333">
        <v>56.622887999999989</v>
      </c>
      <c r="R372" s="475">
        <f t="shared" si="6"/>
        <v>1.2674612071993165</v>
      </c>
      <c r="S372" s="340">
        <v>56.607843137254903</v>
      </c>
    </row>
    <row r="373" spans="2:19" ht="15" customHeight="1" x14ac:dyDescent="0.35">
      <c r="B373" s="181">
        <v>4025</v>
      </c>
      <c r="C373" s="182" t="s">
        <v>1040</v>
      </c>
      <c r="D373" s="183">
        <v>11</v>
      </c>
      <c r="E373" s="185">
        <v>762</v>
      </c>
      <c r="F373" s="185">
        <v>334</v>
      </c>
      <c r="G373" s="184" t="s">
        <v>1308</v>
      </c>
      <c r="H373" s="186">
        <v>1</v>
      </c>
      <c r="I373" s="185">
        <v>148</v>
      </c>
      <c r="J373" s="187">
        <v>1.53</v>
      </c>
      <c r="K373" s="188">
        <v>226.44</v>
      </c>
      <c r="L373" s="189">
        <v>5.86</v>
      </c>
      <c r="M373" s="185">
        <v>162</v>
      </c>
      <c r="N373" s="189">
        <v>63.009</v>
      </c>
      <c r="O373" s="333">
        <v>27.640370370370366</v>
      </c>
      <c r="P373" s="333">
        <v>31.808865000000001</v>
      </c>
      <c r="Q373" s="333">
        <v>5.5322684999999998</v>
      </c>
      <c r="R373" s="475">
        <f t="shared" si="6"/>
        <v>5.7496965304558163</v>
      </c>
      <c r="S373" s="340">
        <v>59.081081081081081</v>
      </c>
    </row>
    <row r="374" spans="2:19" ht="15" customHeight="1" x14ac:dyDescent="0.35">
      <c r="B374" s="181">
        <v>30035</v>
      </c>
      <c r="C374" s="182" t="s">
        <v>223</v>
      </c>
      <c r="D374" s="183">
        <v>5</v>
      </c>
      <c r="E374" s="185" t="s">
        <v>1124</v>
      </c>
      <c r="F374" s="185" t="s">
        <v>1124</v>
      </c>
      <c r="G374" s="184" t="s">
        <v>1124</v>
      </c>
      <c r="H374" s="186"/>
      <c r="I374" s="185"/>
      <c r="J374" s="187"/>
      <c r="K374" s="188"/>
      <c r="L374" s="189"/>
      <c r="M374" s="185" t="s">
        <v>1124</v>
      </c>
      <c r="N374" s="189"/>
      <c r="O374" s="333"/>
      <c r="P374" s="333" t="s">
        <v>1124</v>
      </c>
      <c r="Q374" s="333" t="s">
        <v>1124</v>
      </c>
      <c r="R374" s="475" t="str">
        <f t="shared" si="6"/>
        <v/>
      </c>
      <c r="S374" s="340" t="s">
        <v>1124</v>
      </c>
    </row>
    <row r="375" spans="2:19" ht="15" customHeight="1" x14ac:dyDescent="0.35">
      <c r="B375" s="181">
        <v>44060</v>
      </c>
      <c r="C375" s="182" t="s">
        <v>407</v>
      </c>
      <c r="D375" s="183">
        <v>5</v>
      </c>
      <c r="E375" s="185">
        <v>227</v>
      </c>
      <c r="F375" s="185">
        <v>183</v>
      </c>
      <c r="G375" s="184" t="s">
        <v>1308</v>
      </c>
      <c r="H375" s="186">
        <v>1</v>
      </c>
      <c r="I375" s="185">
        <v>113</v>
      </c>
      <c r="J375" s="187">
        <v>2.21</v>
      </c>
      <c r="K375" s="188">
        <v>249.73</v>
      </c>
      <c r="L375" s="189">
        <v>2.556</v>
      </c>
      <c r="M375" s="185">
        <v>98</v>
      </c>
      <c r="N375" s="189">
        <v>20.673999999999999</v>
      </c>
      <c r="O375" s="333">
        <v>16.696661290322581</v>
      </c>
      <c r="P375" s="333">
        <v>2.0935750000000013</v>
      </c>
      <c r="Q375" s="333">
        <v>2.358851628</v>
      </c>
      <c r="R375" s="475">
        <f t="shared" si="6"/>
        <v>0.88753992627127676</v>
      </c>
      <c r="S375" s="340">
        <v>59.432432432432449</v>
      </c>
    </row>
    <row r="376" spans="2:19" ht="15" customHeight="1" x14ac:dyDescent="0.35">
      <c r="B376" s="181">
        <v>64015</v>
      </c>
      <c r="C376" s="182" t="s">
        <v>645</v>
      </c>
      <c r="D376" s="183">
        <v>14</v>
      </c>
      <c r="E376" s="185">
        <v>296</v>
      </c>
      <c r="F376" s="185">
        <v>208</v>
      </c>
      <c r="G376" s="184" t="s">
        <v>1326</v>
      </c>
      <c r="H376" s="186">
        <v>1</v>
      </c>
      <c r="I376" s="185">
        <v>18940</v>
      </c>
      <c r="J376" s="187">
        <v>2.5566525871172123</v>
      </c>
      <c r="K376" s="188">
        <v>48423</v>
      </c>
      <c r="L376" s="189">
        <v>227.166</v>
      </c>
      <c r="M376" s="185">
        <v>15881</v>
      </c>
      <c r="N376" s="189">
        <v>5231.7579999999998</v>
      </c>
      <c r="O376" s="333">
        <v>3684.5349999999999</v>
      </c>
      <c r="P376" s="333">
        <v>1317.3966299999995</v>
      </c>
      <c r="Q376" s="333">
        <v>349.39610801499998</v>
      </c>
      <c r="R376" s="475">
        <f t="shared" si="6"/>
        <v>3.7704960066224955</v>
      </c>
      <c r="S376" s="340">
        <v>64</v>
      </c>
    </row>
    <row r="377" spans="2:19" ht="15" customHeight="1" x14ac:dyDescent="0.35">
      <c r="B377" s="192">
        <v>51008</v>
      </c>
      <c r="C377" s="182" t="s">
        <v>498</v>
      </c>
      <c r="D377" s="183">
        <v>4</v>
      </c>
      <c r="E377" s="185">
        <v>378</v>
      </c>
      <c r="F377" s="185">
        <v>311</v>
      </c>
      <c r="G377" s="184" t="s">
        <v>1308</v>
      </c>
      <c r="H377" s="186">
        <v>1</v>
      </c>
      <c r="I377" s="185">
        <v>1196</v>
      </c>
      <c r="J377" s="187">
        <v>1.9623745819398013</v>
      </c>
      <c r="K377" s="188">
        <v>2347.0000000000023</v>
      </c>
      <c r="L377" s="189">
        <v>53.15</v>
      </c>
      <c r="M377" s="185">
        <v>1009</v>
      </c>
      <c r="N377" s="189">
        <v>323.75099999999998</v>
      </c>
      <c r="O377" s="333">
        <v>266.50046511627903</v>
      </c>
      <c r="P377" s="333">
        <v>42.410381840202888</v>
      </c>
      <c r="Q377" s="333">
        <v>29.337083415000002</v>
      </c>
      <c r="R377" s="475">
        <f t="shared" si="6"/>
        <v>1.445623657957714</v>
      </c>
      <c r="S377" s="340">
        <v>57</v>
      </c>
    </row>
    <row r="378" spans="2:19" ht="15" customHeight="1" x14ac:dyDescent="0.35">
      <c r="B378" s="181">
        <v>53010</v>
      </c>
      <c r="C378" s="182" t="s">
        <v>531</v>
      </c>
      <c r="D378" s="183">
        <v>16</v>
      </c>
      <c r="E378" s="185" t="s">
        <v>1124</v>
      </c>
      <c r="F378" s="185" t="s">
        <v>1124</v>
      </c>
      <c r="G378" s="184" t="s">
        <v>1124</v>
      </c>
      <c r="H378" s="186"/>
      <c r="I378" s="185"/>
      <c r="J378" s="187"/>
      <c r="K378" s="188"/>
      <c r="L378" s="189"/>
      <c r="M378" s="185" t="s">
        <v>1124</v>
      </c>
      <c r="N378" s="189"/>
      <c r="O378" s="333"/>
      <c r="P378" s="333" t="s">
        <v>1124</v>
      </c>
      <c r="Q378" s="333" t="s">
        <v>1124</v>
      </c>
      <c r="R378" s="475" t="str">
        <f t="shared" si="6"/>
        <v/>
      </c>
      <c r="S378" s="340" t="s">
        <v>1124</v>
      </c>
    </row>
    <row r="379" spans="2:19" ht="15" customHeight="1" x14ac:dyDescent="0.35">
      <c r="B379" s="181">
        <v>99015</v>
      </c>
      <c r="C379" s="182" t="s">
        <v>1020</v>
      </c>
      <c r="D379" s="183">
        <v>10</v>
      </c>
      <c r="E379" s="185" t="s">
        <v>1124</v>
      </c>
      <c r="F379" s="185" t="s">
        <v>1124</v>
      </c>
      <c r="G379" s="184" t="s">
        <v>1124</v>
      </c>
      <c r="H379" s="186"/>
      <c r="I379" s="185"/>
      <c r="J379" s="187"/>
      <c r="K379" s="188"/>
      <c r="L379" s="189"/>
      <c r="M379" s="185" t="s">
        <v>1124</v>
      </c>
      <c r="N379" s="189"/>
      <c r="O379" s="333"/>
      <c r="P379" s="333" t="s">
        <v>1124</v>
      </c>
      <c r="Q379" s="333" t="s">
        <v>1124</v>
      </c>
      <c r="R379" s="475" t="str">
        <f t="shared" si="6"/>
        <v/>
      </c>
      <c r="S379" s="340" t="s">
        <v>1124</v>
      </c>
    </row>
    <row r="380" spans="2:19" ht="15" customHeight="1" x14ac:dyDescent="0.35">
      <c r="B380" s="181">
        <v>8053</v>
      </c>
      <c r="C380" s="182" t="s">
        <v>1093</v>
      </c>
      <c r="D380" s="183">
        <v>1</v>
      </c>
      <c r="E380" s="185">
        <v>648</v>
      </c>
      <c r="F380" s="185">
        <v>346</v>
      </c>
      <c r="G380" s="184" t="s">
        <v>1308</v>
      </c>
      <c r="H380" s="186">
        <v>1</v>
      </c>
      <c r="I380" s="185">
        <v>4959</v>
      </c>
      <c r="J380" s="187">
        <v>1.9780280906688916</v>
      </c>
      <c r="K380" s="188">
        <v>9809.041301627034</v>
      </c>
      <c r="L380" s="189">
        <v>138.13</v>
      </c>
      <c r="M380" s="185">
        <v>5221</v>
      </c>
      <c r="N380" s="189">
        <v>2321.48</v>
      </c>
      <c r="O380" s="333">
        <v>1239.6576321303842</v>
      </c>
      <c r="P380" s="333">
        <v>189.91657184210527</v>
      </c>
      <c r="Q380" s="333">
        <v>154.21287960000004</v>
      </c>
      <c r="R380" s="475">
        <f t="shared" si="6"/>
        <v>1.2315221162766306</v>
      </c>
      <c r="S380" s="340">
        <v>53.736842105263165</v>
      </c>
    </row>
    <row r="381" spans="2:19" ht="15" customHeight="1" x14ac:dyDescent="0.35">
      <c r="B381" s="181">
        <v>6045</v>
      </c>
      <c r="C381" s="182" t="s">
        <v>1064</v>
      </c>
      <c r="D381" s="183">
        <v>11</v>
      </c>
      <c r="E381" s="185" t="s">
        <v>1124</v>
      </c>
      <c r="F381" s="185" t="s">
        <v>1124</v>
      </c>
      <c r="G381" s="184" t="s">
        <v>1124</v>
      </c>
      <c r="H381" s="186"/>
      <c r="I381" s="185"/>
      <c r="J381" s="187"/>
      <c r="K381" s="188"/>
      <c r="L381" s="189"/>
      <c r="M381" s="185" t="s">
        <v>1124</v>
      </c>
      <c r="N381" s="189"/>
      <c r="O381" s="333"/>
      <c r="P381" s="333" t="s">
        <v>1124</v>
      </c>
      <c r="Q381" s="333" t="s">
        <v>1124</v>
      </c>
      <c r="R381" s="475" t="str">
        <f t="shared" si="6"/>
        <v/>
      </c>
      <c r="S381" s="340" t="s">
        <v>1124</v>
      </c>
    </row>
    <row r="382" spans="2:19" ht="15" customHeight="1" x14ac:dyDescent="0.35">
      <c r="B382" s="181">
        <v>80065</v>
      </c>
      <c r="C382" s="182" t="s">
        <v>813</v>
      </c>
      <c r="D382" s="183">
        <v>7</v>
      </c>
      <c r="E382" s="185" t="s">
        <v>1124</v>
      </c>
      <c r="F382" s="185" t="s">
        <v>1124</v>
      </c>
      <c r="G382" s="184" t="s">
        <v>1124</v>
      </c>
      <c r="H382" s="186"/>
      <c r="I382" s="185"/>
      <c r="J382" s="187"/>
      <c r="K382" s="188"/>
      <c r="L382" s="189"/>
      <c r="M382" s="185" t="s">
        <v>1124</v>
      </c>
      <c r="N382" s="189"/>
      <c r="O382" s="333"/>
      <c r="P382" s="333" t="s">
        <v>1124</v>
      </c>
      <c r="Q382" s="333" t="s">
        <v>1124</v>
      </c>
      <c r="R382" s="475" t="str">
        <f t="shared" si="6"/>
        <v/>
      </c>
      <c r="S382" s="340" t="s">
        <v>1124</v>
      </c>
    </row>
    <row r="383" spans="2:19" ht="15" customHeight="1" x14ac:dyDescent="0.35">
      <c r="B383" s="181">
        <v>57025</v>
      </c>
      <c r="C383" s="182" t="s">
        <v>584</v>
      </c>
      <c r="D383" s="183">
        <v>16</v>
      </c>
      <c r="E383" s="185" t="s">
        <v>1124</v>
      </c>
      <c r="F383" s="185" t="s">
        <v>1124</v>
      </c>
      <c r="G383" s="184" t="s">
        <v>1124</v>
      </c>
      <c r="H383" s="186"/>
      <c r="I383" s="185"/>
      <c r="J383" s="187"/>
      <c r="K383" s="188"/>
      <c r="L383" s="189"/>
      <c r="M383" s="185" t="s">
        <v>1124</v>
      </c>
      <c r="N383" s="189"/>
      <c r="O383" s="333"/>
      <c r="P383" s="333" t="s">
        <v>1124</v>
      </c>
      <c r="Q383" s="333" t="s">
        <v>1124</v>
      </c>
      <c r="R383" s="475" t="str">
        <f t="shared" si="6"/>
        <v/>
      </c>
      <c r="S383" s="340" t="s">
        <v>1124</v>
      </c>
    </row>
    <row r="384" spans="2:19" ht="15" customHeight="1" x14ac:dyDescent="0.35">
      <c r="B384" s="181">
        <v>42075</v>
      </c>
      <c r="C384" s="182" t="s">
        <v>390</v>
      </c>
      <c r="D384" s="183">
        <v>5</v>
      </c>
      <c r="E384" s="185">
        <v>346</v>
      </c>
      <c r="F384" s="185">
        <v>198</v>
      </c>
      <c r="G384" s="184" t="s">
        <v>1308</v>
      </c>
      <c r="H384" s="186">
        <v>1</v>
      </c>
      <c r="I384" s="185">
        <v>36</v>
      </c>
      <c r="J384" s="187">
        <v>2.3159041394335511</v>
      </c>
      <c r="K384" s="188">
        <v>83.372549019607845</v>
      </c>
      <c r="L384" s="189">
        <v>3.113</v>
      </c>
      <c r="M384" s="185">
        <v>39</v>
      </c>
      <c r="N384" s="189">
        <v>10.53495</v>
      </c>
      <c r="O384" s="333">
        <v>6.0157894736842108</v>
      </c>
      <c r="P384" s="333">
        <v>1.1392560051020415</v>
      </c>
      <c r="Q384" s="333">
        <v>2.2734539111625001</v>
      </c>
      <c r="R384" s="475">
        <f t="shared" si="6"/>
        <v>0.50111242612325413</v>
      </c>
      <c r="S384" s="340">
        <v>64.254901960784309</v>
      </c>
    </row>
    <row r="385" spans="2:19" ht="15" customHeight="1" x14ac:dyDescent="0.35">
      <c r="B385" s="181">
        <v>67045</v>
      </c>
      <c r="C385" s="182" t="s">
        <v>670</v>
      </c>
      <c r="D385" s="183">
        <v>16</v>
      </c>
      <c r="E385" s="185">
        <v>401</v>
      </c>
      <c r="F385" s="185">
        <v>268</v>
      </c>
      <c r="G385" s="184" t="s">
        <v>1308</v>
      </c>
      <c r="H385" s="186">
        <v>1</v>
      </c>
      <c r="I385" s="185">
        <v>4974</v>
      </c>
      <c r="J385" s="187">
        <v>2.7174975562072334</v>
      </c>
      <c r="K385" s="188">
        <v>13516.832844574779</v>
      </c>
      <c r="L385" s="189">
        <v>75.084999999999994</v>
      </c>
      <c r="M385" s="185">
        <v>5269</v>
      </c>
      <c r="N385" s="189">
        <v>1980.4840000000002</v>
      </c>
      <c r="O385" s="333">
        <v>1322.2329999999999</v>
      </c>
      <c r="P385" s="333">
        <v>533.72293158163291</v>
      </c>
      <c r="Q385" s="333">
        <v>99.030501621999974</v>
      </c>
      <c r="R385" s="475">
        <f t="shared" si="6"/>
        <v>5.3894802393191599</v>
      </c>
      <c r="S385" s="340">
        <v>63.429824561403521</v>
      </c>
    </row>
    <row r="386" spans="2:19" ht="15" customHeight="1" x14ac:dyDescent="0.35">
      <c r="B386" s="192">
        <v>83060</v>
      </c>
      <c r="C386" s="182" t="s">
        <v>844</v>
      </c>
      <c r="D386" s="183">
        <v>7</v>
      </c>
      <c r="E386" s="185" t="s">
        <v>1124</v>
      </c>
      <c r="F386" s="185" t="s">
        <v>1124</v>
      </c>
      <c r="G386" s="184" t="s">
        <v>1124</v>
      </c>
      <c r="H386" s="186"/>
      <c r="I386" s="185"/>
      <c r="J386" s="187"/>
      <c r="K386" s="188"/>
      <c r="L386" s="189"/>
      <c r="M386" s="185" t="s">
        <v>1124</v>
      </c>
      <c r="N386" s="189"/>
      <c r="O386" s="333"/>
      <c r="P386" s="333" t="s">
        <v>1124</v>
      </c>
      <c r="Q386" s="333" t="s">
        <v>1124</v>
      </c>
      <c r="R386" s="475" t="str">
        <f t="shared" si="6"/>
        <v/>
      </c>
      <c r="S386" s="340" t="s">
        <v>1124</v>
      </c>
    </row>
    <row r="387" spans="2:19" ht="15" customHeight="1" x14ac:dyDescent="0.35">
      <c r="B387" s="192">
        <v>93012</v>
      </c>
      <c r="C387" s="182" t="s">
        <v>959</v>
      </c>
      <c r="D387" s="183">
        <v>2</v>
      </c>
      <c r="E387" s="185">
        <v>471</v>
      </c>
      <c r="F387" s="185">
        <v>279</v>
      </c>
      <c r="G387" s="184" t="s">
        <v>1326</v>
      </c>
      <c r="H387" s="186">
        <v>2</v>
      </c>
      <c r="I387" s="185">
        <v>1300</v>
      </c>
      <c r="J387" s="187">
        <v>2.1198057204533187</v>
      </c>
      <c r="K387" s="188">
        <v>2755.7474365893145</v>
      </c>
      <c r="L387" s="189">
        <v>47.03</v>
      </c>
      <c r="M387" s="185">
        <v>1698</v>
      </c>
      <c r="N387" s="189">
        <v>473.29037700000009</v>
      </c>
      <c r="O387" s="333">
        <v>280.44099999999997</v>
      </c>
      <c r="P387" s="333">
        <v>100.53899999999996</v>
      </c>
      <c r="Q387" s="333">
        <v>40.143482925000008</v>
      </c>
      <c r="R387" s="475">
        <f t="shared" si="6"/>
        <v>2.504491206899929</v>
      </c>
      <c r="S387" s="340">
        <v>51.11486486486487</v>
      </c>
    </row>
    <row r="388" spans="2:19" ht="15" customHeight="1" x14ac:dyDescent="0.35">
      <c r="B388" s="181">
        <v>9048</v>
      </c>
      <c r="C388" s="182" t="s">
        <v>1105</v>
      </c>
      <c r="D388" s="183">
        <v>1</v>
      </c>
      <c r="E388" s="185">
        <v>1079</v>
      </c>
      <c r="F388" s="185">
        <v>228</v>
      </c>
      <c r="G388" s="184" t="s">
        <v>1308</v>
      </c>
      <c r="H388" s="186">
        <v>1</v>
      </c>
      <c r="I388" s="185">
        <v>184</v>
      </c>
      <c r="J388" s="187">
        <v>1.95</v>
      </c>
      <c r="K388" s="188">
        <v>358.8</v>
      </c>
      <c r="L388" s="189">
        <v>12.590999999999999</v>
      </c>
      <c r="M388" s="185">
        <v>368</v>
      </c>
      <c r="N388" s="189">
        <v>141.24700000000001</v>
      </c>
      <c r="O388" s="333">
        <v>29.863199999999999</v>
      </c>
      <c r="P388" s="333">
        <v>88.932594846938784</v>
      </c>
      <c r="Q388" s="333">
        <v>13.47073672</v>
      </c>
      <c r="R388" s="475">
        <f t="shared" si="6"/>
        <v>6.6019102514935639</v>
      </c>
      <c r="S388" s="340">
        <v>61.035087719298261</v>
      </c>
    </row>
    <row r="389" spans="2:19" ht="15" customHeight="1" x14ac:dyDescent="0.35">
      <c r="B389" s="181">
        <v>30040</v>
      </c>
      <c r="C389" s="182" t="s">
        <v>224</v>
      </c>
      <c r="D389" s="183">
        <v>5</v>
      </c>
      <c r="E389" s="185" t="s">
        <v>1124</v>
      </c>
      <c r="F389" s="185" t="s">
        <v>1124</v>
      </c>
      <c r="G389" s="184" t="s">
        <v>1124</v>
      </c>
      <c r="H389" s="186"/>
      <c r="I389" s="185"/>
      <c r="J389" s="187"/>
      <c r="K389" s="188"/>
      <c r="L389" s="189"/>
      <c r="M389" s="185" t="s">
        <v>1124</v>
      </c>
      <c r="N389" s="189"/>
      <c r="O389" s="333"/>
      <c r="P389" s="333" t="s">
        <v>1124</v>
      </c>
      <c r="Q389" s="333" t="s">
        <v>1124</v>
      </c>
      <c r="R389" s="475" t="str">
        <f t="shared" si="6"/>
        <v/>
      </c>
      <c r="S389" s="340" t="s">
        <v>1124</v>
      </c>
    </row>
    <row r="390" spans="2:19" ht="15" customHeight="1" x14ac:dyDescent="0.35">
      <c r="B390" s="181">
        <v>76030</v>
      </c>
      <c r="C390" s="182" t="s">
        <v>750</v>
      </c>
      <c r="D390" s="183">
        <v>15</v>
      </c>
      <c r="E390" s="185" t="s">
        <v>1124</v>
      </c>
      <c r="F390" s="185" t="s">
        <v>1124</v>
      </c>
      <c r="G390" s="184" t="s">
        <v>1124</v>
      </c>
      <c r="H390" s="186"/>
      <c r="I390" s="185"/>
      <c r="J390" s="187"/>
      <c r="K390" s="188"/>
      <c r="L390" s="189"/>
      <c r="M390" s="185" t="s">
        <v>1124</v>
      </c>
      <c r="N390" s="189"/>
      <c r="O390" s="333"/>
      <c r="P390" s="333" t="s">
        <v>1124</v>
      </c>
      <c r="Q390" s="333" t="s">
        <v>1124</v>
      </c>
      <c r="R390" s="475" t="str">
        <f t="shared" si="6"/>
        <v/>
      </c>
      <c r="S390" s="340" t="s">
        <v>1124</v>
      </c>
    </row>
    <row r="391" spans="2:19" ht="15" customHeight="1" x14ac:dyDescent="0.35">
      <c r="B391" s="181">
        <v>74005</v>
      </c>
      <c r="C391" s="182" t="s">
        <v>741</v>
      </c>
      <c r="D391" s="183">
        <v>15</v>
      </c>
      <c r="E391" s="185">
        <v>270</v>
      </c>
      <c r="F391" s="185">
        <v>176</v>
      </c>
      <c r="G391" s="184" t="s">
        <v>1326</v>
      </c>
      <c r="H391" s="186">
        <v>9</v>
      </c>
      <c r="I391" s="185">
        <v>21165</v>
      </c>
      <c r="J391" s="187">
        <v>2.5721097657893512</v>
      </c>
      <c r="K391" s="188">
        <v>54438.703192931614</v>
      </c>
      <c r="L391" s="189">
        <v>267.46600000000001</v>
      </c>
      <c r="M391" s="185">
        <v>20801</v>
      </c>
      <c r="N391" s="189">
        <v>5366.8869999999988</v>
      </c>
      <c r="O391" s="333">
        <v>3500.2298413599538</v>
      </c>
      <c r="P391" s="333">
        <v>830.01</v>
      </c>
      <c r="Q391" s="333">
        <v>405.54188903899995</v>
      </c>
      <c r="R391" s="475">
        <f t="shared" ref="R391:R454" si="7">IF(H391="","",P391/Q391)</f>
        <v>2.0466689691830577</v>
      </c>
      <c r="S391" s="340">
        <v>61.192835613291358</v>
      </c>
    </row>
    <row r="392" spans="2:19" ht="15" customHeight="1" x14ac:dyDescent="0.35">
      <c r="B392" s="181">
        <v>85075</v>
      </c>
      <c r="C392" s="182" t="s">
        <v>883</v>
      </c>
      <c r="D392" s="183">
        <v>8</v>
      </c>
      <c r="E392" s="185" t="s">
        <v>1124</v>
      </c>
      <c r="F392" s="185" t="s">
        <v>1124</v>
      </c>
      <c r="G392" s="184" t="s">
        <v>1124</v>
      </c>
      <c r="H392" s="186"/>
      <c r="I392" s="185"/>
      <c r="J392" s="187"/>
      <c r="K392" s="188"/>
      <c r="L392" s="189"/>
      <c r="M392" s="185" t="s">
        <v>1124</v>
      </c>
      <c r="N392" s="189"/>
      <c r="O392" s="333"/>
      <c r="P392" s="333" t="s">
        <v>1124</v>
      </c>
      <c r="Q392" s="333" t="s">
        <v>1124</v>
      </c>
      <c r="R392" s="475" t="str">
        <f t="shared" si="7"/>
        <v/>
      </c>
      <c r="S392" s="340" t="s">
        <v>1124</v>
      </c>
    </row>
    <row r="393" spans="2:19" ht="15" customHeight="1" x14ac:dyDescent="0.35">
      <c r="B393" s="181">
        <v>78055</v>
      </c>
      <c r="C393" s="182" t="s">
        <v>774</v>
      </c>
      <c r="D393" s="183">
        <v>15</v>
      </c>
      <c r="E393" s="185" t="s">
        <v>1124</v>
      </c>
      <c r="F393" s="185" t="s">
        <v>1124</v>
      </c>
      <c r="G393" s="184" t="s">
        <v>1124</v>
      </c>
      <c r="H393" s="186"/>
      <c r="I393" s="185"/>
      <c r="J393" s="187"/>
      <c r="K393" s="188"/>
      <c r="L393" s="189"/>
      <c r="M393" s="185" t="s">
        <v>1124</v>
      </c>
      <c r="N393" s="189"/>
      <c r="O393" s="333"/>
      <c r="P393" s="333" t="s">
        <v>1124</v>
      </c>
      <c r="Q393" s="333" t="s">
        <v>1124</v>
      </c>
      <c r="R393" s="475" t="str">
        <f t="shared" si="7"/>
        <v/>
      </c>
      <c r="S393" s="340" t="s">
        <v>1124</v>
      </c>
    </row>
    <row r="394" spans="2:19" ht="15" customHeight="1" x14ac:dyDescent="0.35">
      <c r="B394" s="181">
        <v>14005</v>
      </c>
      <c r="C394" s="182" t="s">
        <v>60</v>
      </c>
      <c r="D394" s="183">
        <v>1</v>
      </c>
      <c r="E394" s="185">
        <v>357</v>
      </c>
      <c r="F394" s="185">
        <v>282</v>
      </c>
      <c r="G394" s="184" t="s">
        <v>1308</v>
      </c>
      <c r="H394" s="186">
        <v>1</v>
      </c>
      <c r="I394" s="185">
        <v>259</v>
      </c>
      <c r="J394" s="187">
        <v>2.2128060263653482</v>
      </c>
      <c r="K394" s="188">
        <v>573.11676082862516</v>
      </c>
      <c r="L394" s="189">
        <v>8.5749999999999993</v>
      </c>
      <c r="M394" s="185">
        <v>283</v>
      </c>
      <c r="N394" s="189">
        <v>74.650000000000006</v>
      </c>
      <c r="O394" s="333">
        <v>58.912890459363958</v>
      </c>
      <c r="P394" s="333">
        <v>9.1582500000000024</v>
      </c>
      <c r="Q394" s="333">
        <v>8.3258252000000006</v>
      </c>
      <c r="R394" s="475">
        <f t="shared" si="7"/>
        <v>1.0999810565323906</v>
      </c>
      <c r="S394" s="340">
        <v>59.081081081081081</v>
      </c>
    </row>
    <row r="395" spans="2:19" ht="15" customHeight="1" x14ac:dyDescent="0.35">
      <c r="B395" s="181">
        <v>83088</v>
      </c>
      <c r="C395" s="182" t="s">
        <v>849</v>
      </c>
      <c r="D395" s="183">
        <v>7</v>
      </c>
      <c r="E395" s="185" t="s">
        <v>1124</v>
      </c>
      <c r="F395" s="185" t="s">
        <v>1124</v>
      </c>
      <c r="G395" s="184" t="s">
        <v>1124</v>
      </c>
      <c r="H395" s="186"/>
      <c r="I395" s="185"/>
      <c r="J395" s="187"/>
      <c r="K395" s="188"/>
      <c r="L395" s="189"/>
      <c r="M395" s="185" t="s">
        <v>1124</v>
      </c>
      <c r="N395" s="189"/>
      <c r="O395" s="333"/>
      <c r="P395" s="333" t="s">
        <v>1124</v>
      </c>
      <c r="Q395" s="333" t="s">
        <v>1124</v>
      </c>
      <c r="R395" s="475" t="str">
        <f t="shared" si="7"/>
        <v/>
      </c>
      <c r="S395" s="340" t="s">
        <v>1124</v>
      </c>
    </row>
    <row r="396" spans="2:19" ht="15" customHeight="1" x14ac:dyDescent="0.35">
      <c r="B396" s="181">
        <v>80010</v>
      </c>
      <c r="C396" s="182" t="s">
        <v>804</v>
      </c>
      <c r="D396" s="183">
        <v>7</v>
      </c>
      <c r="E396" s="185" t="s">
        <v>1124</v>
      </c>
      <c r="F396" s="185" t="s">
        <v>1124</v>
      </c>
      <c r="G396" s="184" t="s">
        <v>1124</v>
      </c>
      <c r="H396" s="186"/>
      <c r="I396" s="185"/>
      <c r="J396" s="187"/>
      <c r="K396" s="188"/>
      <c r="L396" s="189"/>
      <c r="M396" s="185" t="s">
        <v>1124</v>
      </c>
      <c r="N396" s="189"/>
      <c r="O396" s="333"/>
      <c r="P396" s="333" t="s">
        <v>1124</v>
      </c>
      <c r="Q396" s="333" t="s">
        <v>1124</v>
      </c>
      <c r="R396" s="475" t="str">
        <f t="shared" si="7"/>
        <v/>
      </c>
      <c r="S396" s="340" t="s">
        <v>1124</v>
      </c>
    </row>
    <row r="397" spans="2:19" ht="15" customHeight="1" x14ac:dyDescent="0.35">
      <c r="B397" s="181">
        <v>9077</v>
      </c>
      <c r="C397" s="182" t="s">
        <v>1110</v>
      </c>
      <c r="D397" s="183">
        <v>1</v>
      </c>
      <c r="E397" s="185">
        <v>507</v>
      </c>
      <c r="F397" s="185">
        <v>233</v>
      </c>
      <c r="G397" s="184" t="s">
        <v>1308</v>
      </c>
      <c r="H397" s="186">
        <v>1</v>
      </c>
      <c r="I397" s="185">
        <v>3082</v>
      </c>
      <c r="J397" s="187">
        <v>2.0138933764135705</v>
      </c>
      <c r="K397" s="188">
        <v>6206.8193861066238</v>
      </c>
      <c r="L397" s="189">
        <v>56.518000000000001</v>
      </c>
      <c r="M397" s="185">
        <v>2194</v>
      </c>
      <c r="N397" s="189">
        <v>1148.97</v>
      </c>
      <c r="O397" s="333">
        <v>528.56579166666666</v>
      </c>
      <c r="P397" s="333">
        <v>563.72445000000005</v>
      </c>
      <c r="Q397" s="333">
        <v>52.51157004800001</v>
      </c>
      <c r="R397" s="475">
        <f t="shared" si="7"/>
        <v>10.735242718599126</v>
      </c>
      <c r="S397" s="340">
        <v>57.862236738610363</v>
      </c>
    </row>
    <row r="398" spans="2:19" ht="15" customHeight="1" x14ac:dyDescent="0.35">
      <c r="B398" s="181">
        <v>79088</v>
      </c>
      <c r="C398" s="182" t="s">
        <v>798</v>
      </c>
      <c r="D398" s="183">
        <v>15</v>
      </c>
      <c r="E398" s="185" t="s">
        <v>1124</v>
      </c>
      <c r="F398" s="185" t="s">
        <v>1124</v>
      </c>
      <c r="G398" s="184" t="s">
        <v>1124</v>
      </c>
      <c r="H398" s="186"/>
      <c r="I398" s="185"/>
      <c r="J398" s="187"/>
      <c r="K398" s="188"/>
      <c r="L398" s="189"/>
      <c r="M398" s="185" t="s">
        <v>1124</v>
      </c>
      <c r="N398" s="189"/>
      <c r="O398" s="333"/>
      <c r="P398" s="333" t="s">
        <v>1124</v>
      </c>
      <c r="Q398" s="333" t="s">
        <v>1124</v>
      </c>
      <c r="R398" s="475" t="str">
        <f t="shared" si="7"/>
        <v/>
      </c>
      <c r="S398" s="340" t="s">
        <v>1124</v>
      </c>
    </row>
    <row r="399" spans="2:19" ht="15" customHeight="1" x14ac:dyDescent="0.35">
      <c r="B399" s="181">
        <v>18050</v>
      </c>
      <c r="C399" s="182" t="s">
        <v>113</v>
      </c>
      <c r="D399" s="183">
        <v>12</v>
      </c>
      <c r="E399" s="185">
        <v>413</v>
      </c>
      <c r="F399" s="185">
        <v>280</v>
      </c>
      <c r="G399" s="184" t="s">
        <v>1326</v>
      </c>
      <c r="H399" s="186">
        <v>1</v>
      </c>
      <c r="I399" s="185">
        <v>5113</v>
      </c>
      <c r="J399" s="187">
        <v>2.0499999999999998</v>
      </c>
      <c r="K399" s="188">
        <v>10481.65</v>
      </c>
      <c r="L399" s="189">
        <v>78.281999999999996</v>
      </c>
      <c r="M399" s="185">
        <v>3492</v>
      </c>
      <c r="N399" s="189">
        <v>1581.925</v>
      </c>
      <c r="O399" s="333">
        <v>1073</v>
      </c>
      <c r="P399" s="333">
        <v>139.36540443877536</v>
      </c>
      <c r="Q399" s="333">
        <v>89.841142150200014</v>
      </c>
      <c r="R399" s="475">
        <f t="shared" si="7"/>
        <v>1.5512425722034866</v>
      </c>
      <c r="S399" s="340">
        <v>55.035296625336279</v>
      </c>
    </row>
    <row r="400" spans="2:19" ht="15" customHeight="1" x14ac:dyDescent="0.35">
      <c r="B400" s="181">
        <v>80090</v>
      </c>
      <c r="C400" s="182" t="s">
        <v>817</v>
      </c>
      <c r="D400" s="183">
        <v>7</v>
      </c>
      <c r="E400" s="185">
        <v>228</v>
      </c>
      <c r="F400" s="185">
        <v>186</v>
      </c>
      <c r="G400" s="184" t="s">
        <v>1308</v>
      </c>
      <c r="H400" s="186">
        <v>1</v>
      </c>
      <c r="I400" s="185">
        <v>138</v>
      </c>
      <c r="J400" s="187">
        <v>1.9046728971962616</v>
      </c>
      <c r="K400" s="188">
        <v>262.8448598130841</v>
      </c>
      <c r="L400" s="189">
        <v>4.2849999999999993</v>
      </c>
      <c r="M400" s="185">
        <v>120</v>
      </c>
      <c r="N400" s="189">
        <v>21.913</v>
      </c>
      <c r="O400" s="333">
        <v>17.887783783783785</v>
      </c>
      <c r="P400" s="333">
        <v>2.4003049999999977</v>
      </c>
      <c r="Q400" s="333">
        <v>3.3090494850000001</v>
      </c>
      <c r="R400" s="475">
        <f t="shared" si="7"/>
        <v>0.72537597605615667</v>
      </c>
      <c r="S400" s="340">
        <v>58.378378378378386</v>
      </c>
    </row>
    <row r="401" spans="2:19" ht="15" customHeight="1" x14ac:dyDescent="0.35">
      <c r="B401" s="181">
        <v>66023</v>
      </c>
      <c r="C401" s="182" t="s">
        <v>648</v>
      </c>
      <c r="D401" s="183">
        <v>6</v>
      </c>
      <c r="E401" s="185">
        <v>752</v>
      </c>
      <c r="F401" s="185">
        <v>300</v>
      </c>
      <c r="G401" s="184" t="s">
        <v>1308</v>
      </c>
      <c r="H401" s="186">
        <v>3</v>
      </c>
      <c r="I401" s="185">
        <v>913108</v>
      </c>
      <c r="J401" s="187">
        <v>2.0458729964034923</v>
      </c>
      <c r="K401" s="188">
        <v>1868103</v>
      </c>
      <c r="L401" s="189">
        <v>4733.7</v>
      </c>
      <c r="M401" s="185">
        <v>290092</v>
      </c>
      <c r="N401" s="189">
        <v>512797.739</v>
      </c>
      <c r="O401" s="333">
        <v>204557.27849999996</v>
      </c>
      <c r="P401" s="333">
        <v>154943.34853346448</v>
      </c>
      <c r="Q401" s="333">
        <v>6785.3361099250005</v>
      </c>
      <c r="R401" s="475">
        <f t="shared" si="7"/>
        <v>22.835029248857225</v>
      </c>
      <c r="S401" s="340">
        <v>52.4470325258334</v>
      </c>
    </row>
    <row r="402" spans="2:19" ht="15" customHeight="1" x14ac:dyDescent="0.35">
      <c r="B402" s="181">
        <v>66007</v>
      </c>
      <c r="C402" s="182" t="s">
        <v>647</v>
      </c>
      <c r="D402" s="183">
        <v>6</v>
      </c>
      <c r="E402" s="185" t="s">
        <v>1124</v>
      </c>
      <c r="F402" s="185" t="s">
        <v>1124</v>
      </c>
      <c r="G402" s="184" t="s">
        <v>1124</v>
      </c>
      <c r="H402" s="186"/>
      <c r="I402" s="185"/>
      <c r="J402" s="187"/>
      <c r="K402" s="188"/>
      <c r="L402" s="189"/>
      <c r="M402" s="185" t="s">
        <v>1124</v>
      </c>
      <c r="N402" s="189"/>
      <c r="O402" s="333"/>
      <c r="P402" s="333" t="s">
        <v>1124</v>
      </c>
      <c r="Q402" s="333" t="s">
        <v>1124</v>
      </c>
      <c r="R402" s="475" t="str">
        <f t="shared" si="7"/>
        <v/>
      </c>
      <c r="S402" s="340" t="s">
        <v>1124</v>
      </c>
    </row>
    <row r="403" spans="2:19" ht="15" customHeight="1" x14ac:dyDescent="0.35">
      <c r="B403" s="181">
        <v>66047</v>
      </c>
      <c r="C403" s="182" t="s">
        <v>650</v>
      </c>
      <c r="D403" s="183">
        <v>6</v>
      </c>
      <c r="E403" s="185">
        <v>416</v>
      </c>
      <c r="F403" s="185">
        <v>200</v>
      </c>
      <c r="G403" s="184" t="s">
        <v>1308</v>
      </c>
      <c r="H403" s="186">
        <v>1</v>
      </c>
      <c r="I403" s="185">
        <v>1999</v>
      </c>
      <c r="J403" s="187">
        <v>2.5902048975512244</v>
      </c>
      <c r="K403" s="188">
        <v>5177.8195902048974</v>
      </c>
      <c r="L403" s="189">
        <v>23.437999999999999</v>
      </c>
      <c r="M403" s="185">
        <v>1608</v>
      </c>
      <c r="N403" s="189">
        <v>786.61</v>
      </c>
      <c r="O403" s="333">
        <v>377.47500000000002</v>
      </c>
      <c r="P403" s="333">
        <v>291.71592627551018</v>
      </c>
      <c r="Q403" s="333">
        <v>36.088687632000003</v>
      </c>
      <c r="R403" s="475">
        <f t="shared" si="7"/>
        <v>8.0833065821114634</v>
      </c>
      <c r="S403" s="340">
        <v>60.035087719298254</v>
      </c>
    </row>
    <row r="404" spans="2:19" ht="15" customHeight="1" x14ac:dyDescent="0.35">
      <c r="B404" s="181">
        <v>66072</v>
      </c>
      <c r="C404" s="182" t="s">
        <v>653</v>
      </c>
      <c r="D404" s="183">
        <v>6</v>
      </c>
      <c r="E404" s="185">
        <v>792</v>
      </c>
      <c r="F404" s="185">
        <v>225</v>
      </c>
      <c r="G404" s="184" t="s">
        <v>1308</v>
      </c>
      <c r="H404" s="186">
        <v>1</v>
      </c>
      <c r="I404" s="185">
        <v>8140</v>
      </c>
      <c r="J404" s="187">
        <v>2.5977886977886979</v>
      </c>
      <c r="K404" s="188">
        <v>21146</v>
      </c>
      <c r="L404" s="189">
        <v>95.396010000000004</v>
      </c>
      <c r="M404" s="185">
        <v>5424</v>
      </c>
      <c r="N404" s="189">
        <v>6111.7579999999998</v>
      </c>
      <c r="O404" s="333">
        <v>1737.7750000000001</v>
      </c>
      <c r="P404" s="333">
        <v>1638.8478559257806</v>
      </c>
      <c r="Q404" s="333">
        <v>131.68641596354999</v>
      </c>
      <c r="R404" s="475">
        <f t="shared" si="7"/>
        <v>12.445079045809887</v>
      </c>
      <c r="S404" s="340">
        <v>58.432432432432428</v>
      </c>
    </row>
    <row r="405" spans="2:19" ht="15" customHeight="1" x14ac:dyDescent="0.35">
      <c r="B405" s="181">
        <v>56097</v>
      </c>
      <c r="C405" s="182" t="s">
        <v>579</v>
      </c>
      <c r="D405" s="183">
        <v>16</v>
      </c>
      <c r="E405" s="185" t="s">
        <v>1124</v>
      </c>
      <c r="F405" s="185" t="s">
        <v>1124</v>
      </c>
      <c r="G405" s="184" t="s">
        <v>1124</v>
      </c>
      <c r="H405" s="186"/>
      <c r="I405" s="185"/>
      <c r="J405" s="187"/>
      <c r="K405" s="188"/>
      <c r="L405" s="189"/>
      <c r="M405" s="185" t="s">
        <v>1124</v>
      </c>
      <c r="N405" s="189"/>
      <c r="O405" s="333"/>
      <c r="P405" s="333" t="s">
        <v>1124</v>
      </c>
      <c r="Q405" s="333" t="s">
        <v>1124</v>
      </c>
      <c r="R405" s="475" t="str">
        <f t="shared" si="7"/>
        <v/>
      </c>
      <c r="S405" s="340" t="s">
        <v>1124</v>
      </c>
    </row>
    <row r="406" spans="2:19" ht="15" customHeight="1" x14ac:dyDescent="0.35">
      <c r="B406" s="181">
        <v>57035</v>
      </c>
      <c r="C406" s="182" t="s">
        <v>587</v>
      </c>
      <c r="D406" s="183">
        <v>16</v>
      </c>
      <c r="E406" s="185">
        <v>393</v>
      </c>
      <c r="F406" s="185">
        <v>235</v>
      </c>
      <c r="G406" s="184" t="s">
        <v>1308</v>
      </c>
      <c r="H406" s="186">
        <v>1</v>
      </c>
      <c r="I406" s="185">
        <v>8498</v>
      </c>
      <c r="J406" s="187">
        <v>2.3114873918869532</v>
      </c>
      <c r="K406" s="188">
        <v>19643.019856255327</v>
      </c>
      <c r="L406" s="189">
        <v>157.46600000000001</v>
      </c>
      <c r="M406" s="185">
        <v>8219</v>
      </c>
      <c r="N406" s="189">
        <v>2815.0010000000002</v>
      </c>
      <c r="O406" s="333">
        <v>1686.268</v>
      </c>
      <c r="P406" s="333">
        <v>694.08270302631593</v>
      </c>
      <c r="Q406" s="333">
        <v>221.73134171999999</v>
      </c>
      <c r="R406" s="475">
        <f t="shared" si="7"/>
        <v>3.1302868491311266</v>
      </c>
      <c r="S406" s="340">
        <v>60.807017543859665</v>
      </c>
    </row>
    <row r="407" spans="2:19" ht="15" customHeight="1" x14ac:dyDescent="0.35">
      <c r="B407" s="181">
        <v>79110</v>
      </c>
      <c r="C407" s="182" t="s">
        <v>801</v>
      </c>
      <c r="D407" s="183">
        <v>15</v>
      </c>
      <c r="E407" s="185">
        <v>309</v>
      </c>
      <c r="F407" s="185">
        <v>267</v>
      </c>
      <c r="G407" s="184" t="s">
        <v>1308</v>
      </c>
      <c r="H407" s="186">
        <v>1</v>
      </c>
      <c r="I407" s="185">
        <v>149</v>
      </c>
      <c r="J407" s="187">
        <v>2.52</v>
      </c>
      <c r="K407" s="188">
        <v>375.48</v>
      </c>
      <c r="L407" s="189">
        <v>3.4249999999999998</v>
      </c>
      <c r="M407" s="185">
        <v>135</v>
      </c>
      <c r="N407" s="189">
        <v>42.408999999999999</v>
      </c>
      <c r="O407" s="333">
        <v>36.556614379084962</v>
      </c>
      <c r="P407" s="333">
        <v>4.234865000000001</v>
      </c>
      <c r="Q407" s="333">
        <v>3.0638209500000002</v>
      </c>
      <c r="R407" s="475">
        <f t="shared" si="7"/>
        <v>1.3822168687762255</v>
      </c>
      <c r="S407" s="340">
        <v>59.959459459459467</v>
      </c>
    </row>
    <row r="408" spans="2:19" ht="15" customHeight="1" x14ac:dyDescent="0.35">
      <c r="B408" s="181">
        <v>4015</v>
      </c>
      <c r="C408" s="182" t="s">
        <v>1038</v>
      </c>
      <c r="D408" s="183">
        <v>11</v>
      </c>
      <c r="E408" s="185">
        <v>1029</v>
      </c>
      <c r="F408" s="185">
        <v>512</v>
      </c>
      <c r="G408" s="184" t="s">
        <v>1308</v>
      </c>
      <c r="H408" s="186">
        <v>1</v>
      </c>
      <c r="I408" s="185">
        <v>128</v>
      </c>
      <c r="J408" s="187">
        <v>1.2213740458015268</v>
      </c>
      <c r="K408" s="188">
        <v>156.33587786259542</v>
      </c>
      <c r="L408" s="189">
        <v>7.4969999999999999</v>
      </c>
      <c r="M408" s="185">
        <v>166</v>
      </c>
      <c r="N408" s="189">
        <v>58.720999999999997</v>
      </c>
      <c r="O408" s="333">
        <v>29.226093959731543</v>
      </c>
      <c r="P408" s="333">
        <v>7.111184999999999</v>
      </c>
      <c r="Q408" s="333">
        <v>7.1111117699999991</v>
      </c>
      <c r="R408" s="475">
        <f t="shared" si="7"/>
        <v>1.0000102979677958</v>
      </c>
      <c r="S408" s="340">
        <v>58.72972972972974</v>
      </c>
    </row>
    <row r="409" spans="2:19" ht="15" customHeight="1" x14ac:dyDescent="0.35">
      <c r="B409" s="192">
        <v>78102</v>
      </c>
      <c r="C409" s="182" t="s">
        <v>781</v>
      </c>
      <c r="D409" s="183">
        <v>15</v>
      </c>
      <c r="E409" s="185">
        <v>1175</v>
      </c>
      <c r="F409" s="185">
        <v>420</v>
      </c>
      <c r="G409" s="184" t="s">
        <v>1308</v>
      </c>
      <c r="H409" s="186">
        <v>2</v>
      </c>
      <c r="I409" s="185">
        <v>5383</v>
      </c>
      <c r="J409" s="187">
        <v>1.1203133743704532</v>
      </c>
      <c r="K409" s="188">
        <v>6030.6468942361498</v>
      </c>
      <c r="L409" s="189">
        <v>138.12259999999998</v>
      </c>
      <c r="M409" s="185">
        <v>4773</v>
      </c>
      <c r="N409" s="189">
        <v>2587.2889999999998</v>
      </c>
      <c r="O409" s="333">
        <v>925.12238000000002</v>
      </c>
      <c r="P409" s="333">
        <v>680.70389577602032</v>
      </c>
      <c r="Q409" s="333">
        <v>180.64179489478499</v>
      </c>
      <c r="R409" s="475">
        <f t="shared" si="7"/>
        <v>3.7682525030959586</v>
      </c>
      <c r="S409" s="340">
        <v>62.403508771929843</v>
      </c>
    </row>
    <row r="410" spans="2:19" ht="15" customHeight="1" x14ac:dyDescent="0.35">
      <c r="B410" s="181">
        <v>77050</v>
      </c>
      <c r="C410" s="182" t="s">
        <v>762</v>
      </c>
      <c r="D410" s="183">
        <v>15</v>
      </c>
      <c r="E410" s="185">
        <v>369</v>
      </c>
      <c r="F410" s="185">
        <v>215</v>
      </c>
      <c r="G410" s="184" t="s">
        <v>1308</v>
      </c>
      <c r="H410" s="186">
        <v>6</v>
      </c>
      <c r="I410" s="185">
        <v>922</v>
      </c>
      <c r="J410" s="187">
        <v>2.1</v>
      </c>
      <c r="K410" s="188">
        <v>1936.2</v>
      </c>
      <c r="L410" s="189">
        <v>33.491999999999997</v>
      </c>
      <c r="M410" s="185">
        <v>955</v>
      </c>
      <c r="N410" s="189">
        <v>260.596</v>
      </c>
      <c r="O410" s="333">
        <v>152.24944311377246</v>
      </c>
      <c r="P410" s="333">
        <v>69.676226666666651</v>
      </c>
      <c r="Q410" s="333">
        <v>44.698522981999993</v>
      </c>
      <c r="R410" s="475">
        <f t="shared" si="7"/>
        <v>1.5588037818324585</v>
      </c>
      <c r="S410" s="340">
        <v>60.048838311996214</v>
      </c>
    </row>
    <row r="411" spans="2:19" ht="15" customHeight="1" x14ac:dyDescent="0.35">
      <c r="B411" s="181">
        <v>80085</v>
      </c>
      <c r="C411" s="182" t="s">
        <v>816</v>
      </c>
      <c r="D411" s="183">
        <v>7</v>
      </c>
      <c r="E411" s="185" t="s">
        <v>1124</v>
      </c>
      <c r="F411" s="185" t="s">
        <v>1124</v>
      </c>
      <c r="G411" s="184" t="s">
        <v>1124</v>
      </c>
      <c r="H411" s="186"/>
      <c r="I411" s="185"/>
      <c r="J411" s="187"/>
      <c r="K411" s="188"/>
      <c r="L411" s="189"/>
      <c r="M411" s="185" t="s">
        <v>1124</v>
      </c>
      <c r="N411" s="189"/>
      <c r="O411" s="333"/>
      <c r="P411" s="333" t="s">
        <v>1124</v>
      </c>
      <c r="Q411" s="333" t="s">
        <v>1124</v>
      </c>
      <c r="R411" s="475" t="str">
        <f t="shared" si="7"/>
        <v/>
      </c>
      <c r="S411" s="340" t="s">
        <v>1124</v>
      </c>
    </row>
    <row r="412" spans="2:19" ht="15" customHeight="1" x14ac:dyDescent="0.35">
      <c r="B412" s="181">
        <v>3025</v>
      </c>
      <c r="C412" s="182" t="s">
        <v>1035</v>
      </c>
      <c r="D412" s="183">
        <v>11</v>
      </c>
      <c r="E412" s="185">
        <v>1219</v>
      </c>
      <c r="F412" s="185">
        <v>285</v>
      </c>
      <c r="G412" s="184" t="s">
        <v>1326</v>
      </c>
      <c r="H412" s="186">
        <v>1</v>
      </c>
      <c r="I412" s="185">
        <v>439</v>
      </c>
      <c r="J412" s="187">
        <v>1.45</v>
      </c>
      <c r="K412" s="188">
        <v>636.54999999999995</v>
      </c>
      <c r="L412" s="189">
        <v>14.04</v>
      </c>
      <c r="M412" s="185">
        <v>362</v>
      </c>
      <c r="N412" s="189">
        <v>283.28399999999999</v>
      </c>
      <c r="O412" s="333">
        <v>66.289000000000001</v>
      </c>
      <c r="P412" s="333">
        <v>176.65997362244897</v>
      </c>
      <c r="Q412" s="333">
        <v>13.858757999999998</v>
      </c>
      <c r="R412" s="475">
        <f t="shared" si="7"/>
        <v>12.747172121949816</v>
      </c>
      <c r="S412" s="340">
        <v>54.035087719298261</v>
      </c>
    </row>
    <row r="413" spans="2:19" ht="15" customHeight="1" x14ac:dyDescent="0.35">
      <c r="B413" s="181">
        <v>80110</v>
      </c>
      <c r="C413" s="182" t="s">
        <v>820</v>
      </c>
      <c r="D413" s="183">
        <v>7</v>
      </c>
      <c r="E413" s="185" t="s">
        <v>1124</v>
      </c>
      <c r="F413" s="185" t="s">
        <v>1124</v>
      </c>
      <c r="G413" s="184" t="s">
        <v>1124</v>
      </c>
      <c r="H413" s="186"/>
      <c r="I413" s="185"/>
      <c r="J413" s="187"/>
      <c r="K413" s="188"/>
      <c r="L413" s="189"/>
      <c r="M413" s="185" t="s">
        <v>1124</v>
      </c>
      <c r="N413" s="189"/>
      <c r="O413" s="333"/>
      <c r="P413" s="333" t="s">
        <v>1124</v>
      </c>
      <c r="Q413" s="333" t="s">
        <v>1124</v>
      </c>
      <c r="R413" s="475" t="str">
        <f t="shared" si="7"/>
        <v/>
      </c>
      <c r="S413" s="340" t="s">
        <v>1124</v>
      </c>
    </row>
    <row r="414" spans="2:19" ht="15" customHeight="1" x14ac:dyDescent="0.35">
      <c r="B414" s="181">
        <v>30045</v>
      </c>
      <c r="C414" s="182" t="s">
        <v>225</v>
      </c>
      <c r="D414" s="183">
        <v>5</v>
      </c>
      <c r="E414" s="185">
        <v>207</v>
      </c>
      <c r="F414" s="185">
        <v>160</v>
      </c>
      <c r="G414" s="184" t="s">
        <v>1308</v>
      </c>
      <c r="H414" s="186">
        <v>2</v>
      </c>
      <c r="I414" s="185">
        <v>398</v>
      </c>
      <c r="J414" s="187">
        <v>2.380634390651085</v>
      </c>
      <c r="K414" s="188">
        <v>947.4924874791318</v>
      </c>
      <c r="L414" s="189">
        <v>8.09</v>
      </c>
      <c r="M414" s="185">
        <v>330</v>
      </c>
      <c r="N414" s="189">
        <v>71.678429999999992</v>
      </c>
      <c r="O414" s="333">
        <v>55.198622270950025</v>
      </c>
      <c r="P414" s="333">
        <v>8.4919440000000002</v>
      </c>
      <c r="Q414" s="333">
        <v>8.3263556471999998</v>
      </c>
      <c r="R414" s="475">
        <f t="shared" si="7"/>
        <v>1.0198872543782926</v>
      </c>
      <c r="S414" s="340">
        <v>63</v>
      </c>
    </row>
    <row r="415" spans="2:19" ht="15" customHeight="1" x14ac:dyDescent="0.35">
      <c r="B415" s="181">
        <v>68030</v>
      </c>
      <c r="C415" s="182" t="s">
        <v>678</v>
      </c>
      <c r="D415" s="183">
        <v>16</v>
      </c>
      <c r="E415" s="185">
        <v>303</v>
      </c>
      <c r="F415" s="185">
        <v>194</v>
      </c>
      <c r="G415" s="184" t="s">
        <v>1308</v>
      </c>
      <c r="H415" s="186">
        <v>1</v>
      </c>
      <c r="I415" s="185">
        <v>1783</v>
      </c>
      <c r="J415" s="187">
        <v>2.3662366800000001</v>
      </c>
      <c r="K415" s="188">
        <v>4219.0000004399999</v>
      </c>
      <c r="L415" s="189">
        <v>30.712</v>
      </c>
      <c r="M415" s="185">
        <v>1532</v>
      </c>
      <c r="N415" s="189">
        <v>467.14299999999997</v>
      </c>
      <c r="O415" s="333">
        <v>298.06402450719236</v>
      </c>
      <c r="P415" s="333">
        <v>128.46003086734686</v>
      </c>
      <c r="Q415" s="333">
        <v>30.970984088000009</v>
      </c>
      <c r="R415" s="475">
        <f t="shared" si="7"/>
        <v>4.1477542496662183</v>
      </c>
      <c r="S415" s="340">
        <v>49.098039215686271</v>
      </c>
    </row>
    <row r="416" spans="2:19" ht="15" customHeight="1" x14ac:dyDescent="0.35">
      <c r="B416" s="181">
        <v>98025</v>
      </c>
      <c r="C416" s="182" t="s">
        <v>1012</v>
      </c>
      <c r="D416" s="183">
        <v>9</v>
      </c>
      <c r="E416" s="185" t="s">
        <v>1124</v>
      </c>
      <c r="F416" s="185" t="s">
        <v>1124</v>
      </c>
      <c r="G416" s="184" t="s">
        <v>1124</v>
      </c>
      <c r="H416" s="186"/>
      <c r="I416" s="185"/>
      <c r="J416" s="187"/>
      <c r="K416" s="188"/>
      <c r="L416" s="189"/>
      <c r="M416" s="185" t="s">
        <v>1124</v>
      </c>
      <c r="N416" s="189"/>
      <c r="O416" s="333"/>
      <c r="P416" s="333" t="s">
        <v>1124</v>
      </c>
      <c r="Q416" s="333" t="s">
        <v>1124</v>
      </c>
      <c r="R416" s="475" t="str">
        <f t="shared" si="7"/>
        <v/>
      </c>
      <c r="S416" s="340" t="s">
        <v>1124</v>
      </c>
    </row>
    <row r="417" spans="2:19" ht="15" customHeight="1" x14ac:dyDescent="0.35">
      <c r="B417" s="181">
        <v>85100</v>
      </c>
      <c r="C417" s="182" t="s">
        <v>887</v>
      </c>
      <c r="D417" s="183">
        <v>8</v>
      </c>
      <c r="E417" s="185">
        <v>237</v>
      </c>
      <c r="F417" s="185">
        <v>187</v>
      </c>
      <c r="G417" s="184" t="s">
        <v>1326</v>
      </c>
      <c r="H417" s="186">
        <v>1</v>
      </c>
      <c r="I417" s="185">
        <v>72</v>
      </c>
      <c r="J417" s="187">
        <v>1.8999999999999997</v>
      </c>
      <c r="K417" s="188">
        <v>136.79999999999998</v>
      </c>
      <c r="L417" s="189">
        <v>1.9129999999999998</v>
      </c>
      <c r="M417" s="185">
        <v>75</v>
      </c>
      <c r="N417" s="189">
        <v>11.829000000000001</v>
      </c>
      <c r="O417" s="333">
        <v>9.3123567567567598</v>
      </c>
      <c r="P417" s="333">
        <v>1.9515650000000009</v>
      </c>
      <c r="Q417" s="333">
        <v>1.656731277</v>
      </c>
      <c r="R417" s="475">
        <f t="shared" si="7"/>
        <v>1.1779611015335476</v>
      </c>
      <c r="S417" s="340">
        <v>43.689189189189193</v>
      </c>
    </row>
    <row r="418" spans="2:19" ht="15" customHeight="1" x14ac:dyDescent="0.35">
      <c r="B418" s="181">
        <v>34007</v>
      </c>
      <c r="C418" s="182" t="s">
        <v>285</v>
      </c>
      <c r="D418" s="183">
        <v>3</v>
      </c>
      <c r="E418" s="185">
        <v>310</v>
      </c>
      <c r="F418" s="185">
        <v>206</v>
      </c>
      <c r="G418" s="184" t="s">
        <v>1308</v>
      </c>
      <c r="H418" s="186">
        <v>1</v>
      </c>
      <c r="I418" s="185">
        <v>1316</v>
      </c>
      <c r="J418" s="187">
        <v>2.443355119825708</v>
      </c>
      <c r="K418" s="188">
        <v>3215.4553376906315</v>
      </c>
      <c r="L418" s="189">
        <v>30.943999999999999</v>
      </c>
      <c r="M418" s="185">
        <v>1153</v>
      </c>
      <c r="N418" s="189">
        <v>363.26</v>
      </c>
      <c r="O418" s="333">
        <v>241.20400000000001</v>
      </c>
      <c r="P418" s="333">
        <v>53.891033333333333</v>
      </c>
      <c r="Q418" s="333">
        <v>29.485152381000002</v>
      </c>
      <c r="R418" s="475">
        <f t="shared" si="7"/>
        <v>1.8277346047585727</v>
      </c>
      <c r="S418" s="340">
        <v>58.729729729729748</v>
      </c>
    </row>
    <row r="419" spans="2:19" ht="15" customHeight="1" x14ac:dyDescent="0.35">
      <c r="B419" s="181">
        <v>5040</v>
      </c>
      <c r="C419" s="182" t="s">
        <v>1049</v>
      </c>
      <c r="D419" s="183">
        <v>11</v>
      </c>
      <c r="E419" s="185">
        <v>701</v>
      </c>
      <c r="F419" s="185">
        <v>317</v>
      </c>
      <c r="G419" s="184" t="s">
        <v>1308</v>
      </c>
      <c r="H419" s="186">
        <v>1</v>
      </c>
      <c r="I419" s="185">
        <v>530</v>
      </c>
      <c r="J419" s="187">
        <v>2.16</v>
      </c>
      <c r="K419" s="188">
        <v>1144.8000000000002</v>
      </c>
      <c r="L419" s="189">
        <v>14.59</v>
      </c>
      <c r="M419" s="185">
        <v>583</v>
      </c>
      <c r="N419" s="189">
        <v>292.72300000000001</v>
      </c>
      <c r="O419" s="333">
        <v>132.34363636363636</v>
      </c>
      <c r="P419" s="333">
        <v>115.761155</v>
      </c>
      <c r="Q419" s="333">
        <v>17.561007750000002</v>
      </c>
      <c r="R419" s="475">
        <f t="shared" si="7"/>
        <v>6.5919425950939514</v>
      </c>
      <c r="S419" s="340">
        <v>38.081081081081081</v>
      </c>
    </row>
    <row r="420" spans="2:19" ht="15" customHeight="1" x14ac:dyDescent="0.35">
      <c r="B420" s="181">
        <v>5070</v>
      </c>
      <c r="C420" s="182" t="s">
        <v>1055</v>
      </c>
      <c r="D420" s="183">
        <v>11</v>
      </c>
      <c r="E420" s="185">
        <v>429</v>
      </c>
      <c r="F420" s="185">
        <v>314</v>
      </c>
      <c r="G420" s="184" t="s">
        <v>1308</v>
      </c>
      <c r="H420" s="186">
        <v>1</v>
      </c>
      <c r="I420" s="185">
        <v>1728</v>
      </c>
      <c r="J420" s="187">
        <v>2.2710733778047301</v>
      </c>
      <c r="K420" s="188">
        <v>3924.4147968465736</v>
      </c>
      <c r="L420" s="189">
        <v>32.384999999999998</v>
      </c>
      <c r="M420" s="185">
        <v>1514</v>
      </c>
      <c r="N420" s="189">
        <v>614.58500000000004</v>
      </c>
      <c r="O420" s="333">
        <v>449.29073847747281</v>
      </c>
      <c r="P420" s="333">
        <v>103.29422500000001</v>
      </c>
      <c r="Q420" s="333">
        <v>60.346034000000003</v>
      </c>
      <c r="R420" s="475">
        <f t="shared" si="7"/>
        <v>1.7116986511491377</v>
      </c>
      <c r="S420" s="340">
        <v>59.081081081081081</v>
      </c>
    </row>
    <row r="421" spans="2:19" ht="15" customHeight="1" x14ac:dyDescent="0.35">
      <c r="B421" s="181">
        <v>41037</v>
      </c>
      <c r="C421" s="182" t="s">
        <v>368</v>
      </c>
      <c r="D421" s="183">
        <v>5</v>
      </c>
      <c r="E421" s="185" t="s">
        <v>1124</v>
      </c>
      <c r="F421" s="185" t="s">
        <v>1124</v>
      </c>
      <c r="G421" s="184" t="s">
        <v>1124</v>
      </c>
      <c r="H421" s="186"/>
      <c r="I421" s="185"/>
      <c r="J421" s="187"/>
      <c r="K421" s="188"/>
      <c r="L421" s="189"/>
      <c r="M421" s="185" t="s">
        <v>1124</v>
      </c>
      <c r="N421" s="189"/>
      <c r="O421" s="333"/>
      <c r="P421" s="333" t="s">
        <v>1124</v>
      </c>
      <c r="Q421" s="333" t="s">
        <v>1124</v>
      </c>
      <c r="R421" s="475" t="str">
        <f t="shared" si="7"/>
        <v/>
      </c>
      <c r="S421" s="340" t="s">
        <v>1124</v>
      </c>
    </row>
    <row r="422" spans="2:19" ht="15" customHeight="1" x14ac:dyDescent="0.35">
      <c r="B422" s="181">
        <v>50072</v>
      </c>
      <c r="C422" s="182" t="s">
        <v>491</v>
      </c>
      <c r="D422" s="183">
        <v>17</v>
      </c>
      <c r="E422" s="185">
        <v>410</v>
      </c>
      <c r="F422" s="185">
        <v>207</v>
      </c>
      <c r="G422" s="184" t="s">
        <v>1308</v>
      </c>
      <c r="H422" s="186">
        <v>1</v>
      </c>
      <c r="I422" s="185">
        <v>4180</v>
      </c>
      <c r="J422" s="187">
        <v>2.1885182311869666</v>
      </c>
      <c r="K422" s="188">
        <v>9148.0062063615205</v>
      </c>
      <c r="L422" s="189">
        <v>110.851</v>
      </c>
      <c r="M422" s="185">
        <v>4773</v>
      </c>
      <c r="N422" s="189">
        <v>1368.1990000000001</v>
      </c>
      <c r="O422" s="333">
        <v>689.77569999999992</v>
      </c>
      <c r="P422" s="333">
        <v>542.94149489795916</v>
      </c>
      <c r="Q422" s="333">
        <v>170.17492783500001</v>
      </c>
      <c r="R422" s="475">
        <f t="shared" si="7"/>
        <v>3.1904905252810805</v>
      </c>
      <c r="S422" s="340">
        <v>66.54901960784315</v>
      </c>
    </row>
    <row r="423" spans="2:19" ht="15" customHeight="1" x14ac:dyDescent="0.35">
      <c r="B423" s="181">
        <v>79030</v>
      </c>
      <c r="C423" s="182" t="s">
        <v>791</v>
      </c>
      <c r="D423" s="183">
        <v>15</v>
      </c>
      <c r="E423" s="185">
        <v>1138</v>
      </c>
      <c r="F423" s="185">
        <v>484</v>
      </c>
      <c r="G423" s="184" t="s">
        <v>1308</v>
      </c>
      <c r="H423" s="186">
        <v>1</v>
      </c>
      <c r="I423" s="185">
        <v>355</v>
      </c>
      <c r="J423" s="187">
        <v>1.7963917525773196</v>
      </c>
      <c r="K423" s="188">
        <v>637.71907216494844</v>
      </c>
      <c r="L423" s="189">
        <v>17.286999999999999</v>
      </c>
      <c r="M423" s="185">
        <v>360</v>
      </c>
      <c r="N423" s="189">
        <v>264.834</v>
      </c>
      <c r="O423" s="333">
        <v>112.59092465753425</v>
      </c>
      <c r="P423" s="333">
        <v>121.94649</v>
      </c>
      <c r="Q423" s="333">
        <v>16.400772468</v>
      </c>
      <c r="R423" s="475">
        <f t="shared" si="7"/>
        <v>7.435411364795967</v>
      </c>
      <c r="S423" s="340">
        <v>58.202702702702709</v>
      </c>
    </row>
    <row r="424" spans="2:19" ht="15" customHeight="1" x14ac:dyDescent="0.35">
      <c r="B424" s="181">
        <v>92040</v>
      </c>
      <c r="C424" s="182" t="s">
        <v>951</v>
      </c>
      <c r="D424" s="183">
        <v>2</v>
      </c>
      <c r="E424" s="185" t="s">
        <v>1124</v>
      </c>
      <c r="F424" s="185" t="s">
        <v>1124</v>
      </c>
      <c r="G424" s="184" t="s">
        <v>1124</v>
      </c>
      <c r="H424" s="186"/>
      <c r="I424" s="185"/>
      <c r="J424" s="187"/>
      <c r="K424" s="188"/>
      <c r="L424" s="189"/>
      <c r="M424" s="185" t="s">
        <v>1124</v>
      </c>
      <c r="N424" s="189"/>
      <c r="O424" s="333"/>
      <c r="P424" s="333" t="s">
        <v>1124</v>
      </c>
      <c r="Q424" s="333" t="s">
        <v>1124</v>
      </c>
      <c r="R424" s="475" t="str">
        <f t="shared" si="7"/>
        <v/>
      </c>
      <c r="S424" s="340" t="s">
        <v>1124</v>
      </c>
    </row>
    <row r="425" spans="2:19" ht="15" customHeight="1" x14ac:dyDescent="0.35">
      <c r="B425" s="181">
        <v>87115</v>
      </c>
      <c r="C425" s="182" t="s">
        <v>909</v>
      </c>
      <c r="D425" s="183">
        <v>8</v>
      </c>
      <c r="E425" s="185" t="s">
        <v>1124</v>
      </c>
      <c r="F425" s="185" t="s">
        <v>1124</v>
      </c>
      <c r="G425" s="184" t="s">
        <v>1124</v>
      </c>
      <c r="H425" s="186"/>
      <c r="I425" s="185"/>
      <c r="J425" s="187"/>
      <c r="K425" s="188"/>
      <c r="L425" s="189"/>
      <c r="M425" s="185" t="s">
        <v>1124</v>
      </c>
      <c r="N425" s="189"/>
      <c r="O425" s="333"/>
      <c r="P425" s="333" t="s">
        <v>1124</v>
      </c>
      <c r="Q425" s="333" t="s">
        <v>1124</v>
      </c>
      <c r="R425" s="475" t="str">
        <f t="shared" si="7"/>
        <v/>
      </c>
      <c r="S425" s="340" t="s">
        <v>1124</v>
      </c>
    </row>
    <row r="426" spans="2:19" ht="15" customHeight="1" x14ac:dyDescent="0.35">
      <c r="B426" s="181">
        <v>45050</v>
      </c>
      <c r="C426" s="182" t="s">
        <v>416</v>
      </c>
      <c r="D426" s="183">
        <v>5</v>
      </c>
      <c r="E426" s="185" t="s">
        <v>1124</v>
      </c>
      <c r="F426" s="185" t="s">
        <v>1124</v>
      </c>
      <c r="G426" s="184" t="s">
        <v>1124</v>
      </c>
      <c r="H426" s="186"/>
      <c r="I426" s="185"/>
      <c r="J426" s="187"/>
      <c r="K426" s="188"/>
      <c r="L426" s="189"/>
      <c r="M426" s="185" t="s">
        <v>1124</v>
      </c>
      <c r="N426" s="189"/>
      <c r="O426" s="333"/>
      <c r="P426" s="333" t="s">
        <v>1124</v>
      </c>
      <c r="Q426" s="333" t="s">
        <v>1124</v>
      </c>
      <c r="R426" s="475" t="str">
        <f t="shared" si="7"/>
        <v/>
      </c>
      <c r="S426" s="340" t="s">
        <v>1124</v>
      </c>
    </row>
    <row r="427" spans="2:19" ht="15" customHeight="1" x14ac:dyDescent="0.35">
      <c r="B427" s="181">
        <v>19010</v>
      </c>
      <c r="C427" s="182" t="s">
        <v>119</v>
      </c>
      <c r="D427" s="183">
        <v>12</v>
      </c>
      <c r="E427" s="185">
        <v>388</v>
      </c>
      <c r="F427" s="185">
        <v>305</v>
      </c>
      <c r="G427" s="184" t="s">
        <v>1308</v>
      </c>
      <c r="H427" s="186">
        <v>1</v>
      </c>
      <c r="I427" s="185">
        <v>268</v>
      </c>
      <c r="J427" s="187">
        <v>1.8987951807228916</v>
      </c>
      <c r="K427" s="188">
        <v>508.87710843373492</v>
      </c>
      <c r="L427" s="189">
        <v>7.1609999999999996</v>
      </c>
      <c r="M427" s="185">
        <v>268</v>
      </c>
      <c r="N427" s="189">
        <v>72.102999999999994</v>
      </c>
      <c r="O427" s="333">
        <v>56.591999999999999</v>
      </c>
      <c r="P427" s="333">
        <v>8.7274549999999955</v>
      </c>
      <c r="Q427" s="333">
        <v>7.8386991199999994</v>
      </c>
      <c r="R427" s="475">
        <f t="shared" si="7"/>
        <v>1.1133805324575332</v>
      </c>
      <c r="S427" s="340">
        <v>59.081081081081081</v>
      </c>
    </row>
    <row r="428" spans="2:19" ht="15" customHeight="1" x14ac:dyDescent="0.35">
      <c r="B428" s="181">
        <v>80015</v>
      </c>
      <c r="C428" s="182" t="s">
        <v>805</v>
      </c>
      <c r="D428" s="183">
        <v>7</v>
      </c>
      <c r="E428" s="185">
        <v>374</v>
      </c>
      <c r="F428" s="185">
        <v>284</v>
      </c>
      <c r="G428" s="184" t="s">
        <v>1308</v>
      </c>
      <c r="H428" s="186">
        <v>1</v>
      </c>
      <c r="I428" s="185">
        <v>31</v>
      </c>
      <c r="J428" s="187">
        <v>1.99</v>
      </c>
      <c r="K428" s="188">
        <v>61.69</v>
      </c>
      <c r="L428" s="189">
        <v>2.331</v>
      </c>
      <c r="M428" s="185">
        <v>37</v>
      </c>
      <c r="N428" s="189">
        <v>8.4311878597592873</v>
      </c>
      <c r="O428" s="333">
        <v>6.3920000000000003</v>
      </c>
      <c r="P428" s="333">
        <v>0.29474504186289741</v>
      </c>
      <c r="Q428" s="333">
        <v>1.0874225999999998</v>
      </c>
      <c r="R428" s="475">
        <f t="shared" si="7"/>
        <v>0.27104921477896216</v>
      </c>
      <c r="S428" s="340">
        <v>54.035104515717265</v>
      </c>
    </row>
    <row r="429" spans="2:19" ht="15" customHeight="1" x14ac:dyDescent="0.35">
      <c r="B429" s="181">
        <v>39015</v>
      </c>
      <c r="C429" s="182" t="s">
        <v>339</v>
      </c>
      <c r="D429" s="183">
        <v>17</v>
      </c>
      <c r="E429" s="185">
        <v>229</v>
      </c>
      <c r="F429" s="185">
        <v>176</v>
      </c>
      <c r="G429" s="184" t="s">
        <v>1308</v>
      </c>
      <c r="H429" s="186">
        <v>1</v>
      </c>
      <c r="I429" s="185">
        <v>69</v>
      </c>
      <c r="J429" s="187">
        <v>1.9900990099009901</v>
      </c>
      <c r="K429" s="188">
        <v>137.31683168316832</v>
      </c>
      <c r="L429" s="189">
        <v>2.105</v>
      </c>
      <c r="M429" s="185">
        <v>68</v>
      </c>
      <c r="N429" s="189">
        <v>11.472</v>
      </c>
      <c r="O429" s="333">
        <v>8.8437999999999999</v>
      </c>
      <c r="P429" s="333">
        <v>1.5589200000000001</v>
      </c>
      <c r="Q429" s="333">
        <v>1.6572087700000002</v>
      </c>
      <c r="R429" s="475">
        <f t="shared" si="7"/>
        <v>0.9406901702553746</v>
      </c>
      <c r="S429" s="340">
        <v>44.729729729729726</v>
      </c>
    </row>
    <row r="430" spans="2:19" ht="15" customHeight="1" x14ac:dyDescent="0.35">
      <c r="B430" s="181">
        <v>62055</v>
      </c>
      <c r="C430" s="182" t="s">
        <v>627</v>
      </c>
      <c r="D430" s="183">
        <v>14</v>
      </c>
      <c r="E430" s="185" t="s">
        <v>1124</v>
      </c>
      <c r="F430" s="185" t="s">
        <v>1124</v>
      </c>
      <c r="G430" s="184" t="s">
        <v>1124</v>
      </c>
      <c r="H430" s="186"/>
      <c r="I430" s="185"/>
      <c r="J430" s="187"/>
      <c r="K430" s="188"/>
      <c r="L430" s="189"/>
      <c r="M430" s="185" t="s">
        <v>1124</v>
      </c>
      <c r="N430" s="189"/>
      <c r="O430" s="333"/>
      <c r="P430" s="333" t="s">
        <v>1124</v>
      </c>
      <c r="Q430" s="333" t="s">
        <v>1124</v>
      </c>
      <c r="R430" s="475" t="str">
        <f t="shared" si="7"/>
        <v/>
      </c>
      <c r="S430" s="340" t="s">
        <v>1124</v>
      </c>
    </row>
    <row r="431" spans="2:19" ht="15" customHeight="1" x14ac:dyDescent="0.35">
      <c r="B431" s="181">
        <v>80020</v>
      </c>
      <c r="C431" s="182" t="s">
        <v>806</v>
      </c>
      <c r="D431" s="183">
        <v>7</v>
      </c>
      <c r="E431" s="185" t="s">
        <v>1124</v>
      </c>
      <c r="F431" s="185" t="s">
        <v>1124</v>
      </c>
      <c r="G431" s="184" t="s">
        <v>1124</v>
      </c>
      <c r="H431" s="186"/>
      <c r="I431" s="185"/>
      <c r="J431" s="187"/>
      <c r="K431" s="188"/>
      <c r="L431" s="189"/>
      <c r="M431" s="185" t="s">
        <v>1124</v>
      </c>
      <c r="N431" s="189"/>
      <c r="O431" s="333"/>
      <c r="P431" s="333" t="s">
        <v>1124</v>
      </c>
      <c r="Q431" s="333" t="s">
        <v>1124</v>
      </c>
      <c r="R431" s="475" t="str">
        <f t="shared" si="7"/>
        <v/>
      </c>
      <c r="S431" s="340" t="s">
        <v>1124</v>
      </c>
    </row>
    <row r="432" spans="2:19" ht="15" customHeight="1" x14ac:dyDescent="0.35">
      <c r="B432" s="181">
        <v>82010</v>
      </c>
      <c r="C432" s="182" t="s">
        <v>829</v>
      </c>
      <c r="D432" s="183">
        <v>7</v>
      </c>
      <c r="E432" s="185" t="s">
        <v>1124</v>
      </c>
      <c r="F432" s="185" t="s">
        <v>1124</v>
      </c>
      <c r="G432" s="184" t="s">
        <v>1124</v>
      </c>
      <c r="H432" s="186"/>
      <c r="I432" s="185"/>
      <c r="J432" s="187"/>
      <c r="K432" s="188"/>
      <c r="L432" s="189"/>
      <c r="M432" s="185" t="s">
        <v>1124</v>
      </c>
      <c r="N432" s="189"/>
      <c r="O432" s="333"/>
      <c r="P432" s="333" t="s">
        <v>1124</v>
      </c>
      <c r="Q432" s="333" t="s">
        <v>1124</v>
      </c>
      <c r="R432" s="475" t="str">
        <f t="shared" si="7"/>
        <v/>
      </c>
      <c r="S432" s="340" t="s">
        <v>1124</v>
      </c>
    </row>
    <row r="433" spans="2:19" ht="15" customHeight="1" x14ac:dyDescent="0.35">
      <c r="B433" s="181">
        <v>71065</v>
      </c>
      <c r="C433" s="182" t="s">
        <v>714</v>
      </c>
      <c r="D433" s="183">
        <v>16</v>
      </c>
      <c r="E433" s="185">
        <v>342</v>
      </c>
      <c r="F433" s="185">
        <v>215</v>
      </c>
      <c r="G433" s="184" t="s">
        <v>1308</v>
      </c>
      <c r="H433" s="186">
        <v>1</v>
      </c>
      <c r="I433" s="185">
        <v>3909</v>
      </c>
      <c r="J433" s="187">
        <v>2.8318471337579618</v>
      </c>
      <c r="K433" s="188">
        <v>11069.690445859873</v>
      </c>
      <c r="L433" s="189">
        <v>82.497</v>
      </c>
      <c r="M433" s="185">
        <v>4956</v>
      </c>
      <c r="N433" s="189">
        <v>1383.63</v>
      </c>
      <c r="O433" s="333">
        <v>869.89</v>
      </c>
      <c r="P433" s="333">
        <v>215.05280234693905</v>
      </c>
      <c r="Q433" s="333">
        <v>101.90264034</v>
      </c>
      <c r="R433" s="475">
        <f t="shared" si="7"/>
        <v>2.1103751740819616</v>
      </c>
      <c r="S433" s="340">
        <v>70.271929824561411</v>
      </c>
    </row>
    <row r="434" spans="2:19" ht="15" customHeight="1" x14ac:dyDescent="0.35">
      <c r="B434" s="181">
        <v>92060</v>
      </c>
      <c r="C434" s="182" t="s">
        <v>955</v>
      </c>
      <c r="D434" s="183">
        <v>2</v>
      </c>
      <c r="E434" s="185" t="s">
        <v>1124</v>
      </c>
      <c r="F434" s="185" t="s">
        <v>1124</v>
      </c>
      <c r="G434" s="184" t="s">
        <v>1124</v>
      </c>
      <c r="H434" s="186"/>
      <c r="I434" s="185"/>
      <c r="J434" s="187"/>
      <c r="K434" s="188"/>
      <c r="L434" s="189"/>
      <c r="M434" s="185" t="s">
        <v>1124</v>
      </c>
      <c r="N434" s="189"/>
      <c r="O434" s="333"/>
      <c r="P434" s="333" t="s">
        <v>1124</v>
      </c>
      <c r="Q434" s="333" t="s">
        <v>1124</v>
      </c>
      <c r="R434" s="475" t="str">
        <f t="shared" si="7"/>
        <v/>
      </c>
      <c r="S434" s="340" t="s">
        <v>1124</v>
      </c>
    </row>
    <row r="435" spans="2:19" ht="15" customHeight="1" x14ac:dyDescent="0.35">
      <c r="B435" s="181">
        <v>61045</v>
      </c>
      <c r="C435" s="182" t="s">
        <v>617</v>
      </c>
      <c r="D435" s="183">
        <v>14</v>
      </c>
      <c r="E435" s="185">
        <v>259</v>
      </c>
      <c r="F435" s="185">
        <v>176</v>
      </c>
      <c r="G435" s="184" t="s">
        <v>1326</v>
      </c>
      <c r="H435" s="186">
        <v>1</v>
      </c>
      <c r="I435" s="185">
        <v>402</v>
      </c>
      <c r="J435" s="187">
        <v>2.4704370179948585</v>
      </c>
      <c r="K435" s="188">
        <v>993.11568123393306</v>
      </c>
      <c r="L435" s="189">
        <v>7.7149999999999999</v>
      </c>
      <c r="M435" s="185">
        <v>425</v>
      </c>
      <c r="N435" s="189">
        <v>93.783000000000001</v>
      </c>
      <c r="O435" s="333">
        <v>63.784585152838432</v>
      </c>
      <c r="P435" s="333">
        <v>19.706255000000002</v>
      </c>
      <c r="Q435" s="333">
        <v>5.7088383449999993</v>
      </c>
      <c r="R435" s="475">
        <f t="shared" si="7"/>
        <v>3.4518852714159318</v>
      </c>
      <c r="S435" s="340">
        <v>58.905405405405418</v>
      </c>
    </row>
    <row r="436" spans="2:19" ht="15" customHeight="1" x14ac:dyDescent="0.35">
      <c r="B436" s="181">
        <v>32080</v>
      </c>
      <c r="C436" s="182" t="s">
        <v>265</v>
      </c>
      <c r="D436" s="183">
        <v>17</v>
      </c>
      <c r="E436" s="185" t="s">
        <v>1124</v>
      </c>
      <c r="F436" s="185" t="s">
        <v>1124</v>
      </c>
      <c r="G436" s="184" t="s">
        <v>1124</v>
      </c>
      <c r="H436" s="186"/>
      <c r="I436" s="185"/>
      <c r="J436" s="187"/>
      <c r="K436" s="188"/>
      <c r="L436" s="189"/>
      <c r="M436" s="185" t="s">
        <v>1124</v>
      </c>
      <c r="N436" s="189"/>
      <c r="O436" s="333"/>
      <c r="P436" s="333" t="s">
        <v>1124</v>
      </c>
      <c r="Q436" s="333" t="s">
        <v>1124</v>
      </c>
      <c r="R436" s="475" t="str">
        <f t="shared" si="7"/>
        <v/>
      </c>
      <c r="S436" s="340" t="s">
        <v>1124</v>
      </c>
    </row>
    <row r="437" spans="2:19" ht="15" customHeight="1" x14ac:dyDescent="0.35">
      <c r="B437" s="181">
        <v>35005</v>
      </c>
      <c r="C437" s="182" t="s">
        <v>303</v>
      </c>
      <c r="D437" s="183">
        <v>4</v>
      </c>
      <c r="E437" s="185" t="s">
        <v>1124</v>
      </c>
      <c r="F437" s="185" t="s">
        <v>1124</v>
      </c>
      <c r="G437" s="184" t="s">
        <v>1124</v>
      </c>
      <c r="H437" s="186"/>
      <c r="I437" s="185"/>
      <c r="J437" s="187"/>
      <c r="K437" s="188"/>
      <c r="L437" s="189"/>
      <c r="M437" s="185" t="s">
        <v>1124</v>
      </c>
      <c r="N437" s="189"/>
      <c r="O437" s="333"/>
      <c r="P437" s="333" t="s">
        <v>1124</v>
      </c>
      <c r="Q437" s="333" t="s">
        <v>1124</v>
      </c>
      <c r="R437" s="475" t="str">
        <f t="shared" si="7"/>
        <v/>
      </c>
      <c r="S437" s="340" t="s">
        <v>1124</v>
      </c>
    </row>
    <row r="438" spans="2:19" ht="15" customHeight="1" x14ac:dyDescent="0.35">
      <c r="B438" s="181">
        <v>79010</v>
      </c>
      <c r="C438" s="182" t="s">
        <v>787</v>
      </c>
      <c r="D438" s="183">
        <v>15</v>
      </c>
      <c r="E438" s="185">
        <v>276</v>
      </c>
      <c r="F438" s="185">
        <v>225</v>
      </c>
      <c r="G438" s="184" t="s">
        <v>1308</v>
      </c>
      <c r="H438" s="186">
        <v>1</v>
      </c>
      <c r="I438" s="185">
        <v>97</v>
      </c>
      <c r="J438" s="187">
        <v>1.75</v>
      </c>
      <c r="K438" s="188">
        <v>169.75</v>
      </c>
      <c r="L438" s="189">
        <v>5.343</v>
      </c>
      <c r="M438" s="185">
        <v>104</v>
      </c>
      <c r="N438" s="189">
        <v>17.11</v>
      </c>
      <c r="O438" s="333">
        <v>13.961882882882882</v>
      </c>
      <c r="P438" s="333">
        <v>0.87634999999999752</v>
      </c>
      <c r="Q438" s="333">
        <v>3.1483834200000005</v>
      </c>
      <c r="R438" s="475">
        <f t="shared" si="7"/>
        <v>0.27834919801476954</v>
      </c>
      <c r="S438" s="340">
        <v>58.72972972972974</v>
      </c>
    </row>
    <row r="439" spans="2:19" ht="15" customHeight="1" x14ac:dyDescent="0.35">
      <c r="B439" s="181">
        <v>23015</v>
      </c>
      <c r="C439" s="182" t="s">
        <v>162</v>
      </c>
      <c r="D439" s="183">
        <v>3</v>
      </c>
      <c r="E439" s="185" t="s">
        <v>1124</v>
      </c>
      <c r="F439" s="185" t="s">
        <v>1124</v>
      </c>
      <c r="G439" s="184" t="s">
        <v>1124</v>
      </c>
      <c r="H439" s="186"/>
      <c r="I439" s="185"/>
      <c r="J439" s="187"/>
      <c r="K439" s="188"/>
      <c r="L439" s="189"/>
      <c r="M439" s="185" t="s">
        <v>1124</v>
      </c>
      <c r="N439" s="189"/>
      <c r="O439" s="333"/>
      <c r="P439" s="333" t="s">
        <v>1124</v>
      </c>
      <c r="Q439" s="333" t="s">
        <v>1124</v>
      </c>
      <c r="R439" s="475" t="str">
        <f t="shared" si="7"/>
        <v/>
      </c>
      <c r="S439" s="340" t="s">
        <v>1124</v>
      </c>
    </row>
    <row r="440" spans="2:19" ht="15" customHeight="1" x14ac:dyDescent="0.35">
      <c r="B440" s="181">
        <v>30010</v>
      </c>
      <c r="C440" s="182" t="s">
        <v>218</v>
      </c>
      <c r="D440" s="183">
        <v>5</v>
      </c>
      <c r="E440" s="185">
        <v>200</v>
      </c>
      <c r="F440" s="185">
        <v>168</v>
      </c>
      <c r="G440" s="184" t="s">
        <v>1308</v>
      </c>
      <c r="H440" s="186">
        <v>1</v>
      </c>
      <c r="I440" s="185">
        <v>99</v>
      </c>
      <c r="J440" s="187">
        <v>2.2744630071599046</v>
      </c>
      <c r="K440" s="188">
        <v>225.17183770883057</v>
      </c>
      <c r="L440" s="189">
        <v>3.3</v>
      </c>
      <c r="M440" s="185">
        <v>100</v>
      </c>
      <c r="N440" s="189">
        <v>16.469000000000001</v>
      </c>
      <c r="O440" s="333">
        <v>13.835705512075473</v>
      </c>
      <c r="P440" s="333">
        <v>1.4079772800000256</v>
      </c>
      <c r="Q440" s="333">
        <v>2.9911750000000001</v>
      </c>
      <c r="R440" s="475">
        <f t="shared" si="7"/>
        <v>0.47071043319097866</v>
      </c>
      <c r="S440" s="340">
        <v>62</v>
      </c>
    </row>
    <row r="441" spans="2:19" ht="15" customHeight="1" x14ac:dyDescent="0.35">
      <c r="B441" s="181">
        <v>15025</v>
      </c>
      <c r="C441" s="182" t="s">
        <v>79</v>
      </c>
      <c r="D441" s="183">
        <v>3</v>
      </c>
      <c r="E441" s="185">
        <v>196</v>
      </c>
      <c r="F441" s="185">
        <v>171</v>
      </c>
      <c r="G441" s="184" t="s">
        <v>1308</v>
      </c>
      <c r="H441" s="186">
        <v>1</v>
      </c>
      <c r="I441" s="185">
        <v>378</v>
      </c>
      <c r="J441" s="187">
        <v>2.2627118644067798</v>
      </c>
      <c r="K441" s="188">
        <v>855.30508474576277</v>
      </c>
      <c r="L441" s="189">
        <v>4.7560000000000002</v>
      </c>
      <c r="M441" s="185">
        <v>240</v>
      </c>
      <c r="N441" s="189">
        <v>61.292999999999999</v>
      </c>
      <c r="O441" s="333">
        <v>53.306813471502593</v>
      </c>
      <c r="P441" s="333">
        <v>5.9386049999999972</v>
      </c>
      <c r="Q441" s="333">
        <v>6.4219209599999996</v>
      </c>
      <c r="R441" s="475">
        <f t="shared" si="7"/>
        <v>0.92473965920626933</v>
      </c>
      <c r="S441" s="340">
        <v>54.891891891891888</v>
      </c>
    </row>
    <row r="442" spans="2:19" ht="15" customHeight="1" x14ac:dyDescent="0.35">
      <c r="B442" s="181">
        <v>11045</v>
      </c>
      <c r="C442" s="182" t="s">
        <v>25</v>
      </c>
      <c r="D442" s="183">
        <v>1</v>
      </c>
      <c r="E442" s="185">
        <v>421</v>
      </c>
      <c r="F442" s="185">
        <v>221</v>
      </c>
      <c r="G442" s="184" t="s">
        <v>1308</v>
      </c>
      <c r="H442" s="186">
        <v>1</v>
      </c>
      <c r="I442" s="185">
        <v>312</v>
      </c>
      <c r="J442" s="187">
        <v>1.8651488616462346</v>
      </c>
      <c r="K442" s="188">
        <v>581.92644483362517</v>
      </c>
      <c r="L442" s="189">
        <v>12.218999999999999</v>
      </c>
      <c r="M442" s="185">
        <v>346</v>
      </c>
      <c r="N442" s="189">
        <v>89.438000000000002</v>
      </c>
      <c r="O442" s="333">
        <v>47.018000000000001</v>
      </c>
      <c r="P442" s="333">
        <v>26.432258877551025</v>
      </c>
      <c r="Q442" s="333">
        <v>10.580301500999997</v>
      </c>
      <c r="R442" s="475">
        <f t="shared" si="7"/>
        <v>2.4982519519933133</v>
      </c>
      <c r="S442" s="340">
        <v>64.456140350877206</v>
      </c>
    </row>
    <row r="443" spans="2:19" ht="15" customHeight="1" x14ac:dyDescent="0.35">
      <c r="B443" s="181">
        <v>29120</v>
      </c>
      <c r="C443" s="182" t="s">
        <v>215</v>
      </c>
      <c r="D443" s="183">
        <v>12</v>
      </c>
      <c r="E443" s="185">
        <v>229</v>
      </c>
      <c r="F443" s="185">
        <v>162</v>
      </c>
      <c r="G443" s="184" t="s">
        <v>1326</v>
      </c>
      <c r="H443" s="186">
        <v>1</v>
      </c>
      <c r="I443" s="185">
        <v>669</v>
      </c>
      <c r="J443" s="187">
        <v>2.1766233766233767</v>
      </c>
      <c r="K443" s="188">
        <v>1456.1610389610389</v>
      </c>
      <c r="L443" s="189">
        <v>13.621</v>
      </c>
      <c r="M443" s="185">
        <v>622</v>
      </c>
      <c r="N443" s="189">
        <v>121.752</v>
      </c>
      <c r="O443" s="333">
        <v>86.260999999999996</v>
      </c>
      <c r="P443" s="333">
        <v>25.356375386597932</v>
      </c>
      <c r="Q443" s="333">
        <v>14.507701719999998</v>
      </c>
      <c r="R443" s="475">
        <f t="shared" si="7"/>
        <v>1.7477872013071645</v>
      </c>
      <c r="S443" s="340">
        <v>67.058823529411768</v>
      </c>
    </row>
    <row r="444" spans="2:19" ht="15" customHeight="1" x14ac:dyDescent="0.35">
      <c r="B444" s="181">
        <v>61030</v>
      </c>
      <c r="C444" s="182" t="s">
        <v>614</v>
      </c>
      <c r="D444" s="183">
        <v>14</v>
      </c>
      <c r="E444" s="185">
        <v>373</v>
      </c>
      <c r="F444" s="185">
        <v>278</v>
      </c>
      <c r="G444" s="184" t="s">
        <v>1308</v>
      </c>
      <c r="H444" s="186">
        <v>1</v>
      </c>
      <c r="I444" s="185">
        <v>4067</v>
      </c>
      <c r="J444" s="187">
        <v>2.1433740388964271</v>
      </c>
      <c r="K444" s="188">
        <v>8717.1022161917681</v>
      </c>
      <c r="L444" s="189">
        <v>58.472999999999999</v>
      </c>
      <c r="M444" s="185">
        <v>3178</v>
      </c>
      <c r="N444" s="189">
        <v>1187.4929999999999</v>
      </c>
      <c r="O444" s="333">
        <v>885.77807713092614</v>
      </c>
      <c r="P444" s="333">
        <v>200.0087055612243</v>
      </c>
      <c r="Q444" s="333">
        <v>65.774433354999999</v>
      </c>
      <c r="R444" s="475">
        <f t="shared" si="7"/>
        <v>3.0408274972393992</v>
      </c>
      <c r="S444" s="340">
        <v>51.71052631578948</v>
      </c>
    </row>
    <row r="445" spans="2:19" ht="15" customHeight="1" x14ac:dyDescent="0.35">
      <c r="B445" s="181">
        <v>12045</v>
      </c>
      <c r="C445" s="182" t="s">
        <v>36</v>
      </c>
      <c r="D445" s="183">
        <v>1</v>
      </c>
      <c r="E445" s="185" t="s">
        <v>1124</v>
      </c>
      <c r="F445" s="185" t="s">
        <v>1124</v>
      </c>
      <c r="G445" s="184" t="s">
        <v>1124</v>
      </c>
      <c r="H445" s="186"/>
      <c r="I445" s="185"/>
      <c r="J445" s="187"/>
      <c r="K445" s="188"/>
      <c r="L445" s="189"/>
      <c r="M445" s="185" t="s">
        <v>1124</v>
      </c>
      <c r="N445" s="189"/>
      <c r="O445" s="333"/>
      <c r="P445" s="333" t="s">
        <v>1124</v>
      </c>
      <c r="Q445" s="333" t="s">
        <v>1124</v>
      </c>
      <c r="R445" s="475" t="str">
        <f t="shared" si="7"/>
        <v/>
      </c>
      <c r="S445" s="340" t="s">
        <v>1124</v>
      </c>
    </row>
    <row r="446" spans="2:19" ht="15" customHeight="1" x14ac:dyDescent="0.35">
      <c r="B446" s="181">
        <v>46100</v>
      </c>
      <c r="C446" s="182" t="s">
        <v>445</v>
      </c>
      <c r="D446" s="183">
        <v>5</v>
      </c>
      <c r="E446" s="185" t="s">
        <v>1124</v>
      </c>
      <c r="F446" s="185" t="s">
        <v>1124</v>
      </c>
      <c r="G446" s="184" t="s">
        <v>1124</v>
      </c>
      <c r="H446" s="186"/>
      <c r="I446" s="185"/>
      <c r="J446" s="187"/>
      <c r="K446" s="188"/>
      <c r="L446" s="189"/>
      <c r="M446" s="185" t="s">
        <v>1124</v>
      </c>
      <c r="N446" s="189"/>
      <c r="O446" s="333"/>
      <c r="P446" s="333" t="s">
        <v>1124</v>
      </c>
      <c r="Q446" s="333" t="s">
        <v>1124</v>
      </c>
      <c r="R446" s="475" t="str">
        <f t="shared" si="7"/>
        <v/>
      </c>
      <c r="S446" s="340" t="s">
        <v>1124</v>
      </c>
    </row>
    <row r="447" spans="2:19" ht="15" customHeight="1" x14ac:dyDescent="0.35">
      <c r="B447" s="181">
        <v>49080</v>
      </c>
      <c r="C447" s="182" t="s">
        <v>474</v>
      </c>
      <c r="D447" s="183">
        <v>17</v>
      </c>
      <c r="E447" s="185" t="s">
        <v>1124</v>
      </c>
      <c r="F447" s="185" t="s">
        <v>1124</v>
      </c>
      <c r="G447" s="184" t="s">
        <v>1124</v>
      </c>
      <c r="H447" s="186"/>
      <c r="I447" s="185"/>
      <c r="J447" s="187"/>
      <c r="K447" s="188"/>
      <c r="L447" s="189"/>
      <c r="M447" s="185" t="s">
        <v>1124</v>
      </c>
      <c r="N447" s="189"/>
      <c r="O447" s="333"/>
      <c r="P447" s="333" t="s">
        <v>1124</v>
      </c>
      <c r="Q447" s="333" t="s">
        <v>1124</v>
      </c>
      <c r="R447" s="475" t="str">
        <f t="shared" si="7"/>
        <v/>
      </c>
      <c r="S447" s="340" t="s">
        <v>1124</v>
      </c>
    </row>
    <row r="448" spans="2:19" ht="15" customHeight="1" x14ac:dyDescent="0.35">
      <c r="B448" s="181">
        <v>49075</v>
      </c>
      <c r="C448" s="182" t="s">
        <v>473</v>
      </c>
      <c r="D448" s="183">
        <v>17</v>
      </c>
      <c r="E448" s="185">
        <v>1527</v>
      </c>
      <c r="F448" s="185">
        <v>206</v>
      </c>
      <c r="G448" s="184" t="s">
        <v>1326</v>
      </c>
      <c r="H448" s="186">
        <v>1</v>
      </c>
      <c r="I448" s="185">
        <v>754</v>
      </c>
      <c r="J448" s="187">
        <v>2.4004914004914006</v>
      </c>
      <c r="K448" s="188">
        <v>1809.9705159705161</v>
      </c>
      <c r="L448" s="189">
        <v>14.492000000000001</v>
      </c>
      <c r="M448" s="185">
        <v>617</v>
      </c>
      <c r="N448" s="189">
        <v>1008.9922899999999</v>
      </c>
      <c r="O448" s="333">
        <v>135.89724000000001</v>
      </c>
      <c r="P448" s="333">
        <v>66.476219119387679</v>
      </c>
      <c r="Q448" s="333">
        <v>13.502818935200001</v>
      </c>
      <c r="R448" s="475">
        <f t="shared" si="7"/>
        <v>4.9231363790336609</v>
      </c>
      <c r="S448" s="340">
        <v>46.156271209097405</v>
      </c>
    </row>
    <row r="449" spans="2:19" ht="15" customHeight="1" x14ac:dyDescent="0.35">
      <c r="B449" s="181">
        <v>79005</v>
      </c>
      <c r="C449" s="182" t="s">
        <v>786</v>
      </c>
      <c r="D449" s="183">
        <v>15</v>
      </c>
      <c r="E449" s="185" t="s">
        <v>1124</v>
      </c>
      <c r="F449" s="185" t="s">
        <v>1124</v>
      </c>
      <c r="G449" s="184" t="s">
        <v>1124</v>
      </c>
      <c r="H449" s="186"/>
      <c r="I449" s="185"/>
      <c r="J449" s="187"/>
      <c r="K449" s="188"/>
      <c r="L449" s="189"/>
      <c r="M449" s="185" t="s">
        <v>1124</v>
      </c>
      <c r="N449" s="189"/>
      <c r="O449" s="333"/>
      <c r="P449" s="333" t="s">
        <v>1124</v>
      </c>
      <c r="Q449" s="333" t="s">
        <v>1124</v>
      </c>
      <c r="R449" s="475" t="str">
        <f t="shared" si="7"/>
        <v/>
      </c>
      <c r="S449" s="340" t="s">
        <v>1124</v>
      </c>
    </row>
    <row r="450" spans="2:19" ht="15" customHeight="1" x14ac:dyDescent="0.35">
      <c r="B450" s="181">
        <v>37235</v>
      </c>
      <c r="C450" s="182" t="s">
        <v>321</v>
      </c>
      <c r="D450" s="183">
        <v>4</v>
      </c>
      <c r="E450" s="185">
        <v>345</v>
      </c>
      <c r="F450" s="185">
        <v>207</v>
      </c>
      <c r="G450" s="184" t="s">
        <v>1308</v>
      </c>
      <c r="H450" s="186">
        <v>1</v>
      </c>
      <c r="I450" s="185">
        <v>2407</v>
      </c>
      <c r="J450" s="187">
        <v>2.3576264436479488</v>
      </c>
      <c r="K450" s="188">
        <v>5674.8068498606126</v>
      </c>
      <c r="L450" s="189">
        <v>96.783000000000001</v>
      </c>
      <c r="M450" s="185">
        <v>2734</v>
      </c>
      <c r="N450" s="189">
        <v>715.56200000000001</v>
      </c>
      <c r="O450" s="333">
        <v>428.2727227339102</v>
      </c>
      <c r="P450" s="333">
        <v>251.30999999999997</v>
      </c>
      <c r="Q450" s="333">
        <v>104.19664000900001</v>
      </c>
      <c r="R450" s="475">
        <f t="shared" si="7"/>
        <v>2.4118819952187809</v>
      </c>
      <c r="S450" s="340">
        <v>55</v>
      </c>
    </row>
    <row r="451" spans="2:19" ht="15" customHeight="1" x14ac:dyDescent="0.35">
      <c r="B451" s="181">
        <v>85090</v>
      </c>
      <c r="C451" s="182" t="s">
        <v>885</v>
      </c>
      <c r="D451" s="183">
        <v>8</v>
      </c>
      <c r="E451" s="185">
        <v>440</v>
      </c>
      <c r="F451" s="185">
        <v>289</v>
      </c>
      <c r="G451" s="184" t="s">
        <v>1326</v>
      </c>
      <c r="H451" s="186">
        <v>1</v>
      </c>
      <c r="I451" s="185">
        <v>475</v>
      </c>
      <c r="J451" s="187">
        <v>1.87</v>
      </c>
      <c r="K451" s="188">
        <v>888.25</v>
      </c>
      <c r="L451" s="189">
        <v>14.34</v>
      </c>
      <c r="M451" s="185">
        <v>519</v>
      </c>
      <c r="N451" s="189">
        <v>142.733</v>
      </c>
      <c r="O451" s="333">
        <v>93.593999999999994</v>
      </c>
      <c r="P451" s="333">
        <v>23.793450867346955</v>
      </c>
      <c r="Q451" s="333">
        <v>10.145800710375001</v>
      </c>
      <c r="R451" s="475">
        <f t="shared" si="7"/>
        <v>2.3451525953014229</v>
      </c>
      <c r="S451" s="340">
        <v>61.377192982456151</v>
      </c>
    </row>
    <row r="452" spans="2:19" ht="15" customHeight="1" x14ac:dyDescent="0.35">
      <c r="B452" s="181">
        <v>12080</v>
      </c>
      <c r="C452" s="182" t="s">
        <v>40</v>
      </c>
      <c r="D452" s="183">
        <v>1</v>
      </c>
      <c r="E452" s="185">
        <v>203</v>
      </c>
      <c r="F452" s="185">
        <v>146</v>
      </c>
      <c r="G452" s="184" t="s">
        <v>1326</v>
      </c>
      <c r="H452" s="186">
        <v>1</v>
      </c>
      <c r="I452" s="185">
        <v>88</v>
      </c>
      <c r="J452" s="187">
        <v>2.0596745027124772</v>
      </c>
      <c r="K452" s="188">
        <v>181.25135623869801</v>
      </c>
      <c r="L452" s="189">
        <v>3.7149999999999999</v>
      </c>
      <c r="M452" s="185">
        <v>137</v>
      </c>
      <c r="N452" s="189">
        <v>13.461</v>
      </c>
      <c r="O452" s="333">
        <v>9.6690000000000005</v>
      </c>
      <c r="P452" s="333">
        <v>0.99310658163265386</v>
      </c>
      <c r="Q452" s="333">
        <v>4.8455064000000014</v>
      </c>
      <c r="R452" s="475">
        <f t="shared" si="7"/>
        <v>0.20495413681274954</v>
      </c>
      <c r="S452" s="340">
        <v>65.019607843137265</v>
      </c>
    </row>
    <row r="453" spans="2:19" ht="15" customHeight="1" x14ac:dyDescent="0.35">
      <c r="B453" s="181">
        <v>18040</v>
      </c>
      <c r="C453" s="182" t="s">
        <v>111</v>
      </c>
      <c r="D453" s="183">
        <v>12</v>
      </c>
      <c r="E453" s="185">
        <v>180</v>
      </c>
      <c r="F453" s="185">
        <v>156</v>
      </c>
      <c r="G453" s="184" t="s">
        <v>1308</v>
      </c>
      <c r="H453" s="186">
        <v>1</v>
      </c>
      <c r="I453" s="185">
        <v>162</v>
      </c>
      <c r="J453" s="187">
        <v>1.966824644549763</v>
      </c>
      <c r="K453" s="188">
        <v>318.62559241706163</v>
      </c>
      <c r="L453" s="189">
        <v>3.4750000000000001</v>
      </c>
      <c r="M453" s="185">
        <v>161</v>
      </c>
      <c r="N453" s="189">
        <v>20.971</v>
      </c>
      <c r="O453" s="333">
        <v>18.132000000000001</v>
      </c>
      <c r="P453" s="333">
        <v>2.0764350000000005</v>
      </c>
      <c r="Q453" s="333">
        <v>3.3456977662500003</v>
      </c>
      <c r="R453" s="475">
        <f t="shared" si="7"/>
        <v>0.62062838459176084</v>
      </c>
      <c r="S453" s="340">
        <v>59.432432432432435</v>
      </c>
    </row>
    <row r="454" spans="2:19" ht="15" customHeight="1" x14ac:dyDescent="0.35">
      <c r="B454" s="181">
        <v>33085</v>
      </c>
      <c r="C454" s="182" t="s">
        <v>279</v>
      </c>
      <c r="D454" s="183">
        <v>12</v>
      </c>
      <c r="E454" s="185" t="s">
        <v>1124</v>
      </c>
      <c r="F454" s="185" t="s">
        <v>1124</v>
      </c>
      <c r="G454" s="184" t="s">
        <v>1124</v>
      </c>
      <c r="H454" s="186"/>
      <c r="I454" s="185"/>
      <c r="J454" s="187"/>
      <c r="K454" s="188"/>
      <c r="L454" s="189"/>
      <c r="M454" s="185" t="s">
        <v>1124</v>
      </c>
      <c r="N454" s="189"/>
      <c r="O454" s="333"/>
      <c r="P454" s="333" t="s">
        <v>1124</v>
      </c>
      <c r="Q454" s="333" t="s">
        <v>1124</v>
      </c>
      <c r="R454" s="475" t="str">
        <f t="shared" si="7"/>
        <v/>
      </c>
      <c r="S454" s="340" t="s">
        <v>1124</v>
      </c>
    </row>
    <row r="455" spans="2:19" ht="15" customHeight="1" x14ac:dyDescent="0.35">
      <c r="B455" s="181">
        <v>6020</v>
      </c>
      <c r="C455" s="182" t="s">
        <v>1059</v>
      </c>
      <c r="D455" s="183">
        <v>11</v>
      </c>
      <c r="E455" s="185" t="s">
        <v>1124</v>
      </c>
      <c r="F455" s="185" t="s">
        <v>1124</v>
      </c>
      <c r="G455" s="184" t="s">
        <v>1124</v>
      </c>
      <c r="H455" s="186"/>
      <c r="I455" s="185"/>
      <c r="J455" s="187"/>
      <c r="K455" s="188"/>
      <c r="L455" s="189"/>
      <c r="M455" s="185" t="s">
        <v>1124</v>
      </c>
      <c r="N455" s="189"/>
      <c r="O455" s="333"/>
      <c r="P455" s="333" t="s">
        <v>1124</v>
      </c>
      <c r="Q455" s="333" t="s">
        <v>1124</v>
      </c>
      <c r="R455" s="475" t="str">
        <f t="shared" ref="R455:R518" si="8">IF(H455="","",P455/Q455)</f>
        <v/>
      </c>
      <c r="S455" s="340" t="s">
        <v>1124</v>
      </c>
    </row>
    <row r="456" spans="2:19" ht="15" customHeight="1" x14ac:dyDescent="0.35">
      <c r="B456" s="181">
        <v>56015</v>
      </c>
      <c r="C456" s="182" t="s">
        <v>569</v>
      </c>
      <c r="D456" s="183">
        <v>16</v>
      </c>
      <c r="E456" s="185" t="s">
        <v>1124</v>
      </c>
      <c r="F456" s="185" t="s">
        <v>1124</v>
      </c>
      <c r="G456" s="184" t="s">
        <v>1124</v>
      </c>
      <c r="H456" s="186"/>
      <c r="I456" s="185"/>
      <c r="J456" s="187"/>
      <c r="K456" s="188"/>
      <c r="L456" s="189"/>
      <c r="M456" s="185" t="s">
        <v>1124</v>
      </c>
      <c r="N456" s="189"/>
      <c r="O456" s="333"/>
      <c r="P456" s="333" t="s">
        <v>1124</v>
      </c>
      <c r="Q456" s="333" t="s">
        <v>1124</v>
      </c>
      <c r="R456" s="475" t="str">
        <f t="shared" si="8"/>
        <v/>
      </c>
      <c r="S456" s="340" t="s">
        <v>1124</v>
      </c>
    </row>
    <row r="457" spans="2:19" ht="15" customHeight="1" x14ac:dyDescent="0.35">
      <c r="B457" s="181">
        <v>45020</v>
      </c>
      <c r="C457" s="182" t="s">
        <v>411</v>
      </c>
      <c r="D457" s="183">
        <v>5</v>
      </c>
      <c r="E457" s="185" t="s">
        <v>1124</v>
      </c>
      <c r="F457" s="185" t="s">
        <v>1124</v>
      </c>
      <c r="G457" s="184" t="s">
        <v>1124</v>
      </c>
      <c r="H457" s="186"/>
      <c r="I457" s="185"/>
      <c r="J457" s="187"/>
      <c r="K457" s="188"/>
      <c r="L457" s="189"/>
      <c r="M457" s="185" t="s">
        <v>1124</v>
      </c>
      <c r="N457" s="189"/>
      <c r="O457" s="333"/>
      <c r="P457" s="333" t="s">
        <v>1124</v>
      </c>
      <c r="Q457" s="333" t="s">
        <v>1124</v>
      </c>
      <c r="R457" s="475" t="str">
        <f t="shared" si="8"/>
        <v/>
      </c>
      <c r="S457" s="340" t="s">
        <v>1124</v>
      </c>
    </row>
    <row r="458" spans="2:19" ht="15" customHeight="1" x14ac:dyDescent="0.35">
      <c r="B458" s="181">
        <v>72032</v>
      </c>
      <c r="C458" s="182" t="s">
        <v>732</v>
      </c>
      <c r="D458" s="183">
        <v>15</v>
      </c>
      <c r="E458" s="185">
        <v>509</v>
      </c>
      <c r="F458" s="185">
        <v>255</v>
      </c>
      <c r="G458" s="184" t="s">
        <v>1308</v>
      </c>
      <c r="H458" s="186">
        <v>2</v>
      </c>
      <c r="I458" s="185">
        <v>1294</v>
      </c>
      <c r="J458" s="187">
        <v>2.7470167064439135</v>
      </c>
      <c r="K458" s="188">
        <v>3554.6396181384243</v>
      </c>
      <c r="L458" s="189">
        <v>36.540999999999997</v>
      </c>
      <c r="M458" s="185">
        <v>1374</v>
      </c>
      <c r="N458" s="189">
        <v>659.97499999999991</v>
      </c>
      <c r="O458" s="333">
        <v>330.65615242024296</v>
      </c>
      <c r="P458" s="333">
        <v>80.819623469387679</v>
      </c>
      <c r="Q458" s="333">
        <v>40.117974023999999</v>
      </c>
      <c r="R458" s="475">
        <f t="shared" si="8"/>
        <v>2.0145489755050567</v>
      </c>
      <c r="S458" s="340">
        <v>62.236434108527135</v>
      </c>
    </row>
    <row r="459" spans="2:19" ht="15" customHeight="1" x14ac:dyDescent="0.35">
      <c r="B459" s="181">
        <v>45115</v>
      </c>
      <c r="C459" s="182" t="s">
        <v>426</v>
      </c>
      <c r="D459" s="183">
        <v>5</v>
      </c>
      <c r="E459" s="185">
        <v>448</v>
      </c>
      <c r="F459" s="185">
        <v>393</v>
      </c>
      <c r="G459" s="184" t="s">
        <v>1326</v>
      </c>
      <c r="H459" s="186">
        <v>1</v>
      </c>
      <c r="I459" s="185">
        <v>919</v>
      </c>
      <c r="J459" s="187">
        <v>2.3088161209068017</v>
      </c>
      <c r="K459" s="188">
        <v>2121.8020151133505</v>
      </c>
      <c r="L459" s="189">
        <v>36.923999999999999</v>
      </c>
      <c r="M459" s="185">
        <v>1294</v>
      </c>
      <c r="N459" s="189">
        <v>346.62400000000002</v>
      </c>
      <c r="O459" s="333">
        <v>304.39575026910654</v>
      </c>
      <c r="P459" s="333">
        <v>33.716639999999977</v>
      </c>
      <c r="Q459" s="333">
        <v>50.445022416701747</v>
      </c>
      <c r="R459" s="475">
        <f t="shared" si="8"/>
        <v>0.66838388377515712</v>
      </c>
      <c r="S459" s="340">
        <v>45.081081081081081</v>
      </c>
    </row>
    <row r="460" spans="2:19" ht="15" customHeight="1" x14ac:dyDescent="0.35">
      <c r="B460" s="181">
        <v>69037</v>
      </c>
      <c r="C460" s="182" t="s">
        <v>689</v>
      </c>
      <c r="D460" s="183">
        <v>16</v>
      </c>
      <c r="E460" s="185" t="s">
        <v>1124</v>
      </c>
      <c r="F460" s="185" t="s">
        <v>1124</v>
      </c>
      <c r="G460" s="184" t="s">
        <v>1124</v>
      </c>
      <c r="H460" s="186"/>
      <c r="I460" s="185"/>
      <c r="J460" s="187"/>
      <c r="K460" s="188"/>
      <c r="L460" s="189"/>
      <c r="M460" s="185" t="s">
        <v>1124</v>
      </c>
      <c r="N460" s="189"/>
      <c r="O460" s="333"/>
      <c r="P460" s="333" t="s">
        <v>1124</v>
      </c>
      <c r="Q460" s="333" t="s">
        <v>1124</v>
      </c>
      <c r="R460" s="475" t="str">
        <f t="shared" si="8"/>
        <v/>
      </c>
      <c r="S460" s="340" t="s">
        <v>1124</v>
      </c>
    </row>
    <row r="461" spans="2:19" ht="15" customHeight="1" x14ac:dyDescent="0.35">
      <c r="B461" s="181">
        <v>84055</v>
      </c>
      <c r="C461" s="182" t="s">
        <v>862</v>
      </c>
      <c r="D461" s="183">
        <v>7</v>
      </c>
      <c r="E461" s="185" t="s">
        <v>1124</v>
      </c>
      <c r="F461" s="185" t="s">
        <v>1124</v>
      </c>
      <c r="G461" s="184" t="s">
        <v>1124</v>
      </c>
      <c r="H461" s="186"/>
      <c r="I461" s="185"/>
      <c r="J461" s="187"/>
      <c r="K461" s="188"/>
      <c r="L461" s="189"/>
      <c r="M461" s="185" t="s">
        <v>1124</v>
      </c>
      <c r="N461" s="189"/>
      <c r="O461" s="333"/>
      <c r="P461" s="333" t="s">
        <v>1124</v>
      </c>
      <c r="Q461" s="333" t="s">
        <v>1124</v>
      </c>
      <c r="R461" s="475" t="str">
        <f t="shared" si="8"/>
        <v/>
      </c>
      <c r="S461" s="340" t="s">
        <v>1124</v>
      </c>
    </row>
    <row r="462" spans="2:19" ht="15" customHeight="1" x14ac:dyDescent="0.35">
      <c r="B462" s="181">
        <v>57030</v>
      </c>
      <c r="C462" s="182" t="s">
        <v>585</v>
      </c>
      <c r="D462" s="183">
        <v>16</v>
      </c>
      <c r="E462" s="185" t="s">
        <v>1124</v>
      </c>
      <c r="F462" s="185" t="s">
        <v>1124</v>
      </c>
      <c r="G462" s="184" t="s">
        <v>1124</v>
      </c>
      <c r="H462" s="186"/>
      <c r="I462" s="185"/>
      <c r="J462" s="187"/>
      <c r="K462" s="188"/>
      <c r="L462" s="189"/>
      <c r="M462" s="185" t="s">
        <v>1124</v>
      </c>
      <c r="N462" s="189"/>
      <c r="O462" s="333"/>
      <c r="P462" s="333" t="s">
        <v>1124</v>
      </c>
      <c r="Q462" s="333" t="s">
        <v>1124</v>
      </c>
      <c r="R462" s="475" t="str">
        <f t="shared" si="8"/>
        <v/>
      </c>
      <c r="S462" s="340" t="s">
        <v>1124</v>
      </c>
    </row>
    <row r="463" spans="2:19" ht="15" customHeight="1" x14ac:dyDescent="0.35">
      <c r="B463" s="181">
        <v>13015</v>
      </c>
      <c r="C463" s="182" t="s">
        <v>43</v>
      </c>
      <c r="D463" s="183">
        <v>1</v>
      </c>
      <c r="E463" s="185" t="s">
        <v>1124</v>
      </c>
      <c r="F463" s="185" t="s">
        <v>1124</v>
      </c>
      <c r="G463" s="184" t="s">
        <v>1124</v>
      </c>
      <c r="H463" s="186"/>
      <c r="I463" s="185"/>
      <c r="J463" s="187"/>
      <c r="K463" s="188"/>
      <c r="L463" s="189"/>
      <c r="M463" s="185" t="s">
        <v>1124</v>
      </c>
      <c r="N463" s="189"/>
      <c r="O463" s="333"/>
      <c r="P463" s="333" t="s">
        <v>1124</v>
      </c>
      <c r="Q463" s="333" t="s">
        <v>1124</v>
      </c>
      <c r="R463" s="475" t="str">
        <f t="shared" si="8"/>
        <v/>
      </c>
      <c r="S463" s="340" t="s">
        <v>1124</v>
      </c>
    </row>
    <row r="464" spans="2:19" ht="15" customHeight="1" x14ac:dyDescent="0.35">
      <c r="B464" s="181">
        <v>9040</v>
      </c>
      <c r="C464" s="182" t="s">
        <v>1104</v>
      </c>
      <c r="D464" s="183">
        <v>1</v>
      </c>
      <c r="E464" s="185" t="s">
        <v>1124</v>
      </c>
      <c r="F464" s="185" t="s">
        <v>1124</v>
      </c>
      <c r="G464" s="184" t="s">
        <v>1124</v>
      </c>
      <c r="H464" s="186"/>
      <c r="I464" s="185"/>
      <c r="J464" s="187"/>
      <c r="K464" s="188"/>
      <c r="L464" s="189"/>
      <c r="M464" s="185" t="s">
        <v>1124</v>
      </c>
      <c r="N464" s="189"/>
      <c r="O464" s="333"/>
      <c r="P464" s="333" t="s">
        <v>1124</v>
      </c>
      <c r="Q464" s="333" t="s">
        <v>1124</v>
      </c>
      <c r="R464" s="475" t="str">
        <f t="shared" si="8"/>
        <v/>
      </c>
      <c r="S464" s="340" t="s">
        <v>1124</v>
      </c>
    </row>
    <row r="465" spans="2:19" ht="15" customHeight="1" x14ac:dyDescent="0.35">
      <c r="B465" s="181">
        <v>87025</v>
      </c>
      <c r="C465" s="182" t="s">
        <v>894</v>
      </c>
      <c r="D465" s="183">
        <v>8</v>
      </c>
      <c r="E465" s="185" t="s">
        <v>1124</v>
      </c>
      <c r="F465" s="185" t="s">
        <v>1124</v>
      </c>
      <c r="G465" s="184" t="s">
        <v>1124</v>
      </c>
      <c r="H465" s="186"/>
      <c r="I465" s="185"/>
      <c r="J465" s="187"/>
      <c r="K465" s="188"/>
      <c r="L465" s="189"/>
      <c r="M465" s="185" t="s">
        <v>1124</v>
      </c>
      <c r="N465" s="189"/>
      <c r="O465" s="333"/>
      <c r="P465" s="333" t="s">
        <v>1124</v>
      </c>
      <c r="Q465" s="333" t="s">
        <v>1124</v>
      </c>
      <c r="R465" s="475" t="str">
        <f t="shared" si="8"/>
        <v/>
      </c>
      <c r="S465" s="340" t="s">
        <v>1124</v>
      </c>
    </row>
    <row r="466" spans="2:19" ht="15" customHeight="1" x14ac:dyDescent="0.35">
      <c r="B466" s="181">
        <v>80037</v>
      </c>
      <c r="C466" s="182" t="s">
        <v>808</v>
      </c>
      <c r="D466" s="183">
        <v>7</v>
      </c>
      <c r="E466" s="185">
        <v>365</v>
      </c>
      <c r="F466" s="185">
        <v>141</v>
      </c>
      <c r="G466" s="184" t="s">
        <v>1308</v>
      </c>
      <c r="H466" s="186">
        <v>1</v>
      </c>
      <c r="I466" s="185">
        <v>990</v>
      </c>
      <c r="J466" s="187">
        <v>1.8860986547085201</v>
      </c>
      <c r="K466" s="188">
        <v>1867.2376681614348</v>
      </c>
      <c r="L466" s="189">
        <v>29.05</v>
      </c>
      <c r="M466" s="185">
        <v>902</v>
      </c>
      <c r="N466" s="189">
        <v>249.08100000000002</v>
      </c>
      <c r="O466" s="333">
        <v>96.200870349864005</v>
      </c>
      <c r="P466" s="333">
        <v>100.44929051748252</v>
      </c>
      <c r="Q466" s="333">
        <v>31.65645</v>
      </c>
      <c r="R466" s="475">
        <f t="shared" si="8"/>
        <v>3.1731066028402592</v>
      </c>
      <c r="S466" s="340">
        <v>44</v>
      </c>
    </row>
    <row r="467" spans="2:19" ht="15" customHeight="1" x14ac:dyDescent="0.35">
      <c r="B467" s="181">
        <v>38055</v>
      </c>
      <c r="C467" s="182" t="s">
        <v>333</v>
      </c>
      <c r="D467" s="183">
        <v>17</v>
      </c>
      <c r="E467" s="185">
        <v>431</v>
      </c>
      <c r="F467" s="185">
        <v>290</v>
      </c>
      <c r="G467" s="184" t="s">
        <v>1308</v>
      </c>
      <c r="H467" s="186">
        <v>1</v>
      </c>
      <c r="I467" s="185">
        <v>271</v>
      </c>
      <c r="J467" s="187">
        <v>2.2661290322580645</v>
      </c>
      <c r="K467" s="188">
        <v>614.12096774193549</v>
      </c>
      <c r="L467" s="189">
        <v>19.277000000000001</v>
      </c>
      <c r="M467" s="185">
        <v>324</v>
      </c>
      <c r="N467" s="189">
        <v>96.599000000000004</v>
      </c>
      <c r="O467" s="333">
        <v>65.042448795180732</v>
      </c>
      <c r="P467" s="333">
        <v>15.467014999999998</v>
      </c>
      <c r="Q467" s="333">
        <v>9.9274528168199971</v>
      </c>
      <c r="R467" s="475">
        <f t="shared" si="8"/>
        <v>1.5580043829364134</v>
      </c>
      <c r="S467" s="340">
        <v>59.081081081081081</v>
      </c>
    </row>
    <row r="468" spans="2:19" ht="15" customHeight="1" x14ac:dyDescent="0.35">
      <c r="B468" s="181">
        <v>5032</v>
      </c>
      <c r="C468" s="182" t="s">
        <v>1048</v>
      </c>
      <c r="D468" s="183">
        <v>11</v>
      </c>
      <c r="E468" s="185">
        <v>884</v>
      </c>
      <c r="F468" s="185">
        <v>335</v>
      </c>
      <c r="G468" s="184" t="s">
        <v>1308</v>
      </c>
      <c r="H468" s="186">
        <v>1</v>
      </c>
      <c r="I468" s="185">
        <v>1520</v>
      </c>
      <c r="J468" s="187">
        <v>2.0368421049999998</v>
      </c>
      <c r="K468" s="188">
        <v>3095.9999995999997</v>
      </c>
      <c r="L468" s="189">
        <v>39.590000000000003</v>
      </c>
      <c r="M468" s="185">
        <v>1503</v>
      </c>
      <c r="N468" s="189">
        <v>998.774</v>
      </c>
      <c r="O468" s="333">
        <v>378.93599999999998</v>
      </c>
      <c r="P468" s="333">
        <v>479.77541999999994</v>
      </c>
      <c r="Q468" s="333">
        <v>59.554104011999996</v>
      </c>
      <c r="R468" s="475">
        <f t="shared" si="8"/>
        <v>8.0561269111416145</v>
      </c>
      <c r="S468" s="340">
        <v>61.196078431372548</v>
      </c>
    </row>
    <row r="469" spans="2:19" ht="15" customHeight="1" x14ac:dyDescent="0.35">
      <c r="B469" s="181">
        <v>2005</v>
      </c>
      <c r="C469" s="182" t="s">
        <v>1026</v>
      </c>
      <c r="D469" s="183">
        <v>11</v>
      </c>
      <c r="E469" s="185">
        <v>1294</v>
      </c>
      <c r="F469" s="185">
        <v>463</v>
      </c>
      <c r="G469" s="184" t="s">
        <v>1308</v>
      </c>
      <c r="H469" s="186">
        <v>1</v>
      </c>
      <c r="I469" s="185">
        <v>413</v>
      </c>
      <c r="J469" s="187">
        <v>1.6969866071428572</v>
      </c>
      <c r="K469" s="188">
        <v>700.85546875</v>
      </c>
      <c r="L469" s="189">
        <v>19.183</v>
      </c>
      <c r="M469" s="185">
        <v>443</v>
      </c>
      <c r="N469" s="189">
        <v>331.02199999999999</v>
      </c>
      <c r="O469" s="333">
        <v>118.42751693002258</v>
      </c>
      <c r="P469" s="333">
        <v>192.18648311224487</v>
      </c>
      <c r="Q469" s="333">
        <v>18.82920536</v>
      </c>
      <c r="R469" s="475">
        <f t="shared" si="8"/>
        <v>10.206829201646398</v>
      </c>
      <c r="S469" s="340">
        <v>56.098039215686271</v>
      </c>
    </row>
    <row r="470" spans="2:19" ht="15" customHeight="1" x14ac:dyDescent="0.35">
      <c r="B470" s="181">
        <v>92010</v>
      </c>
      <c r="C470" s="182" t="s">
        <v>947</v>
      </c>
      <c r="D470" s="183">
        <v>2</v>
      </c>
      <c r="E470" s="185" t="s">
        <v>1124</v>
      </c>
      <c r="F470" s="185" t="s">
        <v>1124</v>
      </c>
      <c r="G470" s="184" t="s">
        <v>1124</v>
      </c>
      <c r="H470" s="186"/>
      <c r="I470" s="185"/>
      <c r="J470" s="187"/>
      <c r="K470" s="188"/>
      <c r="L470" s="189"/>
      <c r="M470" s="185" t="s">
        <v>1124</v>
      </c>
      <c r="N470" s="189"/>
      <c r="O470" s="333"/>
      <c r="P470" s="333" t="s">
        <v>1124</v>
      </c>
      <c r="Q470" s="333" t="s">
        <v>1124</v>
      </c>
      <c r="R470" s="475" t="str">
        <f t="shared" si="8"/>
        <v/>
      </c>
      <c r="S470" s="340" t="s">
        <v>1124</v>
      </c>
    </row>
    <row r="471" spans="2:19" ht="15" customHeight="1" x14ac:dyDescent="0.35">
      <c r="B471" s="181">
        <v>16005</v>
      </c>
      <c r="C471" s="182" t="s">
        <v>84</v>
      </c>
      <c r="D471" s="183">
        <v>3</v>
      </c>
      <c r="E471" s="185">
        <v>429</v>
      </c>
      <c r="F471" s="185">
        <v>361</v>
      </c>
      <c r="G471" s="184" t="s">
        <v>1308</v>
      </c>
      <c r="H471" s="186">
        <v>1</v>
      </c>
      <c r="I471" s="185">
        <v>513</v>
      </c>
      <c r="J471" s="187">
        <v>1.3031674208144797</v>
      </c>
      <c r="K471" s="188">
        <v>668.52488687782807</v>
      </c>
      <c r="L471" s="189">
        <v>19.2</v>
      </c>
      <c r="M471" s="185">
        <v>535</v>
      </c>
      <c r="N471" s="189">
        <v>104.79600000000001</v>
      </c>
      <c r="O471" s="333">
        <v>88.200388367729829</v>
      </c>
      <c r="P471" s="333">
        <v>11.585060000000009</v>
      </c>
      <c r="Q471" s="333">
        <v>14.024486249999999</v>
      </c>
      <c r="R471" s="475">
        <f t="shared" si="8"/>
        <v>0.82605949291012426</v>
      </c>
      <c r="S471" s="340">
        <v>58.378378378378386</v>
      </c>
    </row>
    <row r="472" spans="2:19" ht="15" customHeight="1" x14ac:dyDescent="0.35">
      <c r="B472" s="181">
        <v>3015</v>
      </c>
      <c r="C472" s="182" t="s">
        <v>1033</v>
      </c>
      <c r="D472" s="183">
        <v>11</v>
      </c>
      <c r="E472" s="185">
        <v>554</v>
      </c>
      <c r="F472" s="185">
        <v>418</v>
      </c>
      <c r="G472" s="184" t="s">
        <v>1308</v>
      </c>
      <c r="H472" s="186">
        <v>1</v>
      </c>
      <c r="I472" s="185">
        <v>92</v>
      </c>
      <c r="J472" s="187">
        <v>1.4700000000000002</v>
      </c>
      <c r="K472" s="188">
        <v>135.24</v>
      </c>
      <c r="L472" s="189">
        <v>5.65</v>
      </c>
      <c r="M472" s="185">
        <v>92</v>
      </c>
      <c r="N472" s="189">
        <v>27.327000000000002</v>
      </c>
      <c r="O472" s="333">
        <v>20.652577319587628</v>
      </c>
      <c r="P472" s="333">
        <v>5.1420950000000039</v>
      </c>
      <c r="Q472" s="333">
        <v>3.9808724999999998</v>
      </c>
      <c r="R472" s="475">
        <f t="shared" si="8"/>
        <v>1.2917005003300166</v>
      </c>
      <c r="S472" s="340">
        <v>37.027027027027032</v>
      </c>
    </row>
    <row r="473" spans="2:19" ht="15" customHeight="1" x14ac:dyDescent="0.35">
      <c r="B473" s="181">
        <v>94205</v>
      </c>
      <c r="C473" s="182" t="s">
        <v>973</v>
      </c>
      <c r="D473" s="183">
        <v>2</v>
      </c>
      <c r="E473" s="185">
        <v>539</v>
      </c>
      <c r="F473" s="185">
        <v>314</v>
      </c>
      <c r="G473" s="184" t="s">
        <v>1308</v>
      </c>
      <c r="H473" s="186">
        <v>1</v>
      </c>
      <c r="I473" s="185">
        <v>246</v>
      </c>
      <c r="J473" s="187">
        <v>1.7016129032258065</v>
      </c>
      <c r="K473" s="188">
        <v>418.59677419354841</v>
      </c>
      <c r="L473" s="189">
        <v>5.5990000000000002</v>
      </c>
      <c r="M473" s="185">
        <v>245</v>
      </c>
      <c r="N473" s="189">
        <v>82.283000000000001</v>
      </c>
      <c r="O473" s="333">
        <v>48.02</v>
      </c>
      <c r="P473" s="333">
        <v>30.295755000000007</v>
      </c>
      <c r="Q473" s="333">
        <v>7.0929902500000006</v>
      </c>
      <c r="R473" s="475">
        <f t="shared" si="8"/>
        <v>4.2712246784774592</v>
      </c>
      <c r="S473" s="340">
        <v>58.554054054054063</v>
      </c>
    </row>
    <row r="474" spans="2:19" ht="15" customHeight="1" x14ac:dyDescent="0.35">
      <c r="B474" s="181">
        <v>77030</v>
      </c>
      <c r="C474" s="182" t="s">
        <v>759</v>
      </c>
      <c r="D474" s="183">
        <v>15</v>
      </c>
      <c r="E474" s="185">
        <v>748</v>
      </c>
      <c r="F474" s="185">
        <v>447</v>
      </c>
      <c r="G474" s="184" t="s">
        <v>1308</v>
      </c>
      <c r="H474" s="186">
        <v>1</v>
      </c>
      <c r="I474" s="185">
        <v>2082</v>
      </c>
      <c r="J474" s="187">
        <v>1.4391143911439115</v>
      </c>
      <c r="K474" s="188">
        <v>2996.2361623616239</v>
      </c>
      <c r="L474" s="189">
        <v>42.207999999999998</v>
      </c>
      <c r="M474" s="185">
        <v>2205</v>
      </c>
      <c r="N474" s="189">
        <v>818.49599999999998</v>
      </c>
      <c r="O474" s="333">
        <v>488.53351682242987</v>
      </c>
      <c r="P474" s="333">
        <v>228.05565352040824</v>
      </c>
      <c r="Q474" s="333">
        <v>81.222449994899989</v>
      </c>
      <c r="R474" s="475">
        <f t="shared" si="8"/>
        <v>2.8077908698238971</v>
      </c>
      <c r="S474" s="340">
        <v>55.843137254901954</v>
      </c>
    </row>
    <row r="475" spans="2:19" ht="15" customHeight="1" x14ac:dyDescent="0.35">
      <c r="B475" s="181">
        <v>50113</v>
      </c>
      <c r="C475" s="182" t="s">
        <v>496</v>
      </c>
      <c r="D475" s="183">
        <v>17</v>
      </c>
      <c r="E475" s="185" t="s">
        <v>1124</v>
      </c>
      <c r="F475" s="185" t="s">
        <v>1124</v>
      </c>
      <c r="G475" s="184" t="s">
        <v>1124</v>
      </c>
      <c r="H475" s="186"/>
      <c r="I475" s="185"/>
      <c r="J475" s="187"/>
      <c r="K475" s="188"/>
      <c r="L475" s="189"/>
      <c r="M475" s="185" t="s">
        <v>1124</v>
      </c>
      <c r="N475" s="189"/>
      <c r="O475" s="333"/>
      <c r="P475" s="333" t="s">
        <v>1124</v>
      </c>
      <c r="Q475" s="333" t="s">
        <v>1124</v>
      </c>
      <c r="R475" s="475" t="str">
        <f t="shared" si="8"/>
        <v/>
      </c>
      <c r="S475" s="340" t="s">
        <v>1124</v>
      </c>
    </row>
    <row r="476" spans="2:19" ht="15" customHeight="1" x14ac:dyDescent="0.35">
      <c r="B476" s="181">
        <v>46025</v>
      </c>
      <c r="C476" s="182" t="s">
        <v>430</v>
      </c>
      <c r="D476" s="183">
        <v>5</v>
      </c>
      <c r="E476" s="185" t="s">
        <v>1124</v>
      </c>
      <c r="F476" s="185" t="s">
        <v>1124</v>
      </c>
      <c r="G476" s="184" t="s">
        <v>1124</v>
      </c>
      <c r="H476" s="186"/>
      <c r="I476" s="185"/>
      <c r="J476" s="187"/>
      <c r="K476" s="188"/>
      <c r="L476" s="189"/>
      <c r="M476" s="185" t="s">
        <v>1124</v>
      </c>
      <c r="N476" s="189"/>
      <c r="O476" s="333"/>
      <c r="P476" s="333" t="s">
        <v>1124</v>
      </c>
      <c r="Q476" s="333" t="s">
        <v>1124</v>
      </c>
      <c r="R476" s="475" t="str">
        <f t="shared" si="8"/>
        <v/>
      </c>
      <c r="S476" s="340" t="s">
        <v>1124</v>
      </c>
    </row>
    <row r="477" spans="2:19" ht="15" customHeight="1" x14ac:dyDescent="0.35">
      <c r="B477" s="181">
        <v>71070</v>
      </c>
      <c r="C477" s="182" t="s">
        <v>715</v>
      </c>
      <c r="D477" s="183">
        <v>16</v>
      </c>
      <c r="E477" s="185">
        <v>348</v>
      </c>
      <c r="F477" s="185">
        <v>301</v>
      </c>
      <c r="G477" s="184" t="s">
        <v>1308</v>
      </c>
      <c r="H477" s="186">
        <v>1</v>
      </c>
      <c r="I477" s="185">
        <v>5707</v>
      </c>
      <c r="J477" s="187">
        <v>2.6999820884828947</v>
      </c>
      <c r="K477" s="188">
        <v>15408.797778971881</v>
      </c>
      <c r="L477" s="189">
        <v>74.671000000000006</v>
      </c>
      <c r="M477" s="185">
        <v>5287</v>
      </c>
      <c r="N477" s="189">
        <v>1956.9929999999999</v>
      </c>
      <c r="O477" s="333">
        <v>1692.6337372535691</v>
      </c>
      <c r="P477" s="333">
        <v>182.5081049999998</v>
      </c>
      <c r="Q477" s="333">
        <v>98.442882720000014</v>
      </c>
      <c r="R477" s="475">
        <f t="shared" si="8"/>
        <v>1.8539492135668716</v>
      </c>
      <c r="S477" s="340">
        <v>64.351351351351354</v>
      </c>
    </row>
    <row r="478" spans="2:19" ht="15" customHeight="1" x14ac:dyDescent="0.35">
      <c r="B478" s="181">
        <v>30020</v>
      </c>
      <c r="C478" s="182" t="s">
        <v>220</v>
      </c>
      <c r="D478" s="183">
        <v>5</v>
      </c>
      <c r="E478" s="185">
        <v>245</v>
      </c>
      <c r="F478" s="185">
        <v>172</v>
      </c>
      <c r="G478" s="184" t="s">
        <v>1308</v>
      </c>
      <c r="H478" s="186">
        <v>1</v>
      </c>
      <c r="I478" s="185">
        <v>64</v>
      </c>
      <c r="J478" s="187">
        <v>1.7793427230046948</v>
      </c>
      <c r="K478" s="188">
        <v>113.87793427230046</v>
      </c>
      <c r="L478" s="189">
        <v>2.0350000000000001</v>
      </c>
      <c r="M478" s="185">
        <v>71</v>
      </c>
      <c r="N478" s="189">
        <v>10.164999999999999</v>
      </c>
      <c r="O478" s="333">
        <v>7.1602596056338026</v>
      </c>
      <c r="P478" s="333">
        <v>2.1199370000000002</v>
      </c>
      <c r="Q478" s="333">
        <v>1.4535548300000001</v>
      </c>
      <c r="R478" s="475">
        <f t="shared" si="8"/>
        <v>1.4584499712336274</v>
      </c>
      <c r="S478" s="340">
        <v>44.729729729729726</v>
      </c>
    </row>
    <row r="479" spans="2:19" ht="15" customHeight="1" x14ac:dyDescent="0.35">
      <c r="B479" s="181">
        <v>80045</v>
      </c>
      <c r="C479" s="182" t="s">
        <v>809</v>
      </c>
      <c r="D479" s="183">
        <v>7</v>
      </c>
      <c r="E479" s="185" t="s">
        <v>1124</v>
      </c>
      <c r="F479" s="185" t="s">
        <v>1124</v>
      </c>
      <c r="G479" s="184" t="s">
        <v>1124</v>
      </c>
      <c r="H479" s="186"/>
      <c r="I479" s="185"/>
      <c r="J479" s="187"/>
      <c r="K479" s="188"/>
      <c r="L479" s="189"/>
      <c r="M479" s="185" t="s">
        <v>1124</v>
      </c>
      <c r="N479" s="189"/>
      <c r="O479" s="333"/>
      <c r="P479" s="333" t="s">
        <v>1124</v>
      </c>
      <c r="Q479" s="333" t="s">
        <v>1124</v>
      </c>
      <c r="R479" s="475" t="str">
        <f t="shared" si="8"/>
        <v/>
      </c>
      <c r="S479" s="340" t="s">
        <v>1124</v>
      </c>
    </row>
    <row r="480" spans="2:19" ht="15" customHeight="1" x14ac:dyDescent="0.35">
      <c r="B480" s="181">
        <v>32045</v>
      </c>
      <c r="C480" s="182" t="s">
        <v>260</v>
      </c>
      <c r="D480" s="183">
        <v>17</v>
      </c>
      <c r="E480" s="185" t="s">
        <v>1124</v>
      </c>
      <c r="F480" s="185" t="s">
        <v>1124</v>
      </c>
      <c r="G480" s="184" t="s">
        <v>1124</v>
      </c>
      <c r="H480" s="186"/>
      <c r="I480" s="185"/>
      <c r="J480" s="187"/>
      <c r="K480" s="188"/>
      <c r="L480" s="189"/>
      <c r="M480" s="185" t="s">
        <v>1124</v>
      </c>
      <c r="N480" s="189"/>
      <c r="O480" s="333"/>
      <c r="P480" s="333" t="s">
        <v>1124</v>
      </c>
      <c r="Q480" s="333" t="s">
        <v>1124</v>
      </c>
      <c r="R480" s="475" t="str">
        <f t="shared" si="8"/>
        <v/>
      </c>
      <c r="S480" s="340" t="s">
        <v>1124</v>
      </c>
    </row>
    <row r="481" spans="2:19" ht="15" customHeight="1" x14ac:dyDescent="0.35">
      <c r="B481" s="181">
        <v>32040</v>
      </c>
      <c r="C481" s="182" t="s">
        <v>259</v>
      </c>
      <c r="D481" s="183">
        <v>17</v>
      </c>
      <c r="E481" s="185">
        <v>477</v>
      </c>
      <c r="F481" s="185">
        <v>151</v>
      </c>
      <c r="G481" s="184" t="s">
        <v>1326</v>
      </c>
      <c r="H481" s="186">
        <v>1</v>
      </c>
      <c r="I481" s="185">
        <v>3567</v>
      </c>
      <c r="J481" s="187">
        <v>1.94</v>
      </c>
      <c r="K481" s="188">
        <v>6919.98</v>
      </c>
      <c r="L481" s="189">
        <v>52.006</v>
      </c>
      <c r="M481" s="185">
        <v>2616</v>
      </c>
      <c r="N481" s="189">
        <v>1204.3240000000001</v>
      </c>
      <c r="O481" s="333">
        <v>380.16379999999998</v>
      </c>
      <c r="P481" s="333">
        <v>304.47430045918367</v>
      </c>
      <c r="Q481" s="333">
        <v>71.940579280199998</v>
      </c>
      <c r="R481" s="475">
        <f t="shared" si="8"/>
        <v>4.232302596192512</v>
      </c>
      <c r="S481" s="340">
        <v>63.429824561403521</v>
      </c>
    </row>
    <row r="482" spans="2:19" ht="15" customHeight="1" x14ac:dyDescent="0.35">
      <c r="B482" s="181">
        <v>13095</v>
      </c>
      <c r="C482" s="182" t="s">
        <v>58</v>
      </c>
      <c r="D482" s="183">
        <v>1</v>
      </c>
      <c r="E482" s="185">
        <v>755</v>
      </c>
      <c r="F482" s="185">
        <v>258</v>
      </c>
      <c r="G482" s="184" t="s">
        <v>1308</v>
      </c>
      <c r="H482" s="186">
        <v>1</v>
      </c>
      <c r="I482" s="185">
        <v>1084</v>
      </c>
      <c r="J482" s="187">
        <v>1.9339908952959026</v>
      </c>
      <c r="K482" s="188">
        <v>2096.4461305007585</v>
      </c>
      <c r="L482" s="189">
        <v>42.058000000000007</v>
      </c>
      <c r="M482" s="185">
        <v>1089</v>
      </c>
      <c r="N482" s="189">
        <v>577.63800000000003</v>
      </c>
      <c r="O482" s="333">
        <v>197.15100000000001</v>
      </c>
      <c r="P482" s="333">
        <v>339.74956729591838</v>
      </c>
      <c r="Q482" s="333">
        <v>39.402576359999998</v>
      </c>
      <c r="R482" s="475">
        <f t="shared" si="8"/>
        <v>8.6225216389865125</v>
      </c>
      <c r="S482" s="340">
        <v>56.098039215686271</v>
      </c>
    </row>
    <row r="483" spans="2:19" ht="15" customHeight="1" x14ac:dyDescent="0.35">
      <c r="B483" s="181">
        <v>6030</v>
      </c>
      <c r="C483" s="182" t="s">
        <v>1061</v>
      </c>
      <c r="D483" s="183">
        <v>11</v>
      </c>
      <c r="E483" s="185" t="s">
        <v>1124</v>
      </c>
      <c r="F483" s="185" t="s">
        <v>1124</v>
      </c>
      <c r="G483" s="184" t="s">
        <v>1124</v>
      </c>
      <c r="H483" s="186"/>
      <c r="I483" s="185"/>
      <c r="J483" s="187"/>
      <c r="K483" s="188"/>
      <c r="L483" s="189"/>
      <c r="M483" s="185" t="s">
        <v>1124</v>
      </c>
      <c r="N483" s="189"/>
      <c r="O483" s="333"/>
      <c r="P483" s="333" t="s">
        <v>1124</v>
      </c>
      <c r="Q483" s="333" t="s">
        <v>1124</v>
      </c>
      <c r="R483" s="475" t="str">
        <f t="shared" si="8"/>
        <v/>
      </c>
      <c r="S483" s="340" t="s">
        <v>1124</v>
      </c>
    </row>
    <row r="484" spans="2:19" ht="15" customHeight="1" x14ac:dyDescent="0.35">
      <c r="B484" s="192">
        <v>96030</v>
      </c>
      <c r="C484" s="182" t="s">
        <v>999</v>
      </c>
      <c r="D484" s="183">
        <v>9</v>
      </c>
      <c r="E484" s="185">
        <v>231</v>
      </c>
      <c r="F484" s="185">
        <v>177</v>
      </c>
      <c r="G484" s="184" t="s">
        <v>1308</v>
      </c>
      <c r="H484" s="186">
        <v>2</v>
      </c>
      <c r="I484" s="185">
        <v>589</v>
      </c>
      <c r="J484" s="187">
        <v>2.3421985815602837</v>
      </c>
      <c r="K484" s="188">
        <v>1379.5549645390072</v>
      </c>
      <c r="L484" s="189">
        <v>17.814</v>
      </c>
      <c r="M484" s="185">
        <v>624</v>
      </c>
      <c r="N484" s="189">
        <v>116.39400000000001</v>
      </c>
      <c r="O484" s="333">
        <v>89.292629055173677</v>
      </c>
      <c r="P484" s="333">
        <v>20.058648000000012</v>
      </c>
      <c r="Q484" s="333">
        <v>15.198959160000001</v>
      </c>
      <c r="R484" s="475">
        <f t="shared" si="8"/>
        <v>1.3197382655510741</v>
      </c>
      <c r="S484" s="340">
        <v>57.207207207207205</v>
      </c>
    </row>
    <row r="485" spans="2:19" ht="15" customHeight="1" x14ac:dyDescent="0.35">
      <c r="B485" s="181">
        <v>72020</v>
      </c>
      <c r="C485" s="182" t="s">
        <v>730</v>
      </c>
      <c r="D485" s="183">
        <v>15</v>
      </c>
      <c r="E485" s="185">
        <v>317</v>
      </c>
      <c r="F485" s="185">
        <v>208</v>
      </c>
      <c r="G485" s="184" t="s">
        <v>1326</v>
      </c>
      <c r="H485" s="186">
        <v>1</v>
      </c>
      <c r="I485" s="185"/>
      <c r="J485" s="187"/>
      <c r="K485" s="188"/>
      <c r="L485" s="189"/>
      <c r="M485" s="185" t="s">
        <v>1124</v>
      </c>
      <c r="N485" s="189"/>
      <c r="O485" s="333"/>
      <c r="P485" s="333"/>
      <c r="Q485" s="333"/>
      <c r="R485" s="475">
        <v>2.1</v>
      </c>
      <c r="S485" s="340">
        <v>52</v>
      </c>
    </row>
    <row r="486" spans="2:19" ht="15" customHeight="1" x14ac:dyDescent="0.35">
      <c r="B486" s="181">
        <v>66097</v>
      </c>
      <c r="C486" s="182" t="s">
        <v>656</v>
      </c>
      <c r="D486" s="183">
        <v>6</v>
      </c>
      <c r="E486" s="185">
        <v>596</v>
      </c>
      <c r="F486" s="185">
        <v>233</v>
      </c>
      <c r="G486" s="184" t="s">
        <v>1308</v>
      </c>
      <c r="H486" s="186">
        <v>1</v>
      </c>
      <c r="I486" s="185">
        <v>13476</v>
      </c>
      <c r="J486" s="187">
        <v>2.3779311368358562</v>
      </c>
      <c r="K486" s="188">
        <v>32045</v>
      </c>
      <c r="L486" s="189">
        <v>196.202</v>
      </c>
      <c r="M486" s="185">
        <v>9939</v>
      </c>
      <c r="N486" s="189">
        <v>6975.3229999999985</v>
      </c>
      <c r="O486" s="333">
        <v>2723.99125</v>
      </c>
      <c r="P486" s="333">
        <v>1498.5864347959168</v>
      </c>
      <c r="Q486" s="333">
        <v>259.75413748800003</v>
      </c>
      <c r="R486" s="475">
        <f t="shared" si="8"/>
        <v>5.7692495268343809</v>
      </c>
      <c r="S486" s="340">
        <v>57.519607843137251</v>
      </c>
    </row>
    <row r="487" spans="2:19" ht="15" customHeight="1" x14ac:dyDescent="0.35">
      <c r="B487" s="181">
        <v>71055</v>
      </c>
      <c r="C487" s="182" t="s">
        <v>712</v>
      </c>
      <c r="D487" s="183">
        <v>16</v>
      </c>
      <c r="E487" s="185">
        <v>292</v>
      </c>
      <c r="F487" s="185">
        <v>162</v>
      </c>
      <c r="G487" s="184" t="s">
        <v>1326</v>
      </c>
      <c r="H487" s="186">
        <v>1</v>
      </c>
      <c r="I487" s="185">
        <v>759</v>
      </c>
      <c r="J487" s="187">
        <v>2.3626220362622035</v>
      </c>
      <c r="K487" s="188">
        <v>1793.2301255230125</v>
      </c>
      <c r="L487" s="189">
        <v>11.714</v>
      </c>
      <c r="M487" s="185">
        <v>661</v>
      </c>
      <c r="N487" s="189">
        <v>191.3887</v>
      </c>
      <c r="O487" s="333">
        <v>105.806</v>
      </c>
      <c r="P487" s="333">
        <v>82.712000000000003</v>
      </c>
      <c r="Q487" s="333">
        <v>16.838950149999999</v>
      </c>
      <c r="R487" s="475">
        <f t="shared" si="8"/>
        <v>4.9119451784825205</v>
      </c>
      <c r="S487" s="340">
        <v>57.637705682102606</v>
      </c>
    </row>
    <row r="488" spans="2:19" ht="15" customHeight="1" x14ac:dyDescent="0.35">
      <c r="B488" s="181">
        <v>71140</v>
      </c>
      <c r="C488" s="182" t="s">
        <v>726</v>
      </c>
      <c r="D488" s="183">
        <v>16</v>
      </c>
      <c r="E488" s="185" t="s">
        <v>1124</v>
      </c>
      <c r="F488" s="185" t="s">
        <v>1124</v>
      </c>
      <c r="G488" s="184" t="s">
        <v>1124</v>
      </c>
      <c r="H488" s="186"/>
      <c r="I488" s="185"/>
      <c r="J488" s="187"/>
      <c r="K488" s="188"/>
      <c r="L488" s="189"/>
      <c r="M488" s="185" t="s">
        <v>1124</v>
      </c>
      <c r="N488" s="189"/>
      <c r="O488" s="333"/>
      <c r="P488" s="333" t="s">
        <v>1124</v>
      </c>
      <c r="Q488" s="333" t="s">
        <v>1124</v>
      </c>
      <c r="R488" s="475" t="str">
        <f t="shared" si="8"/>
        <v/>
      </c>
      <c r="S488" s="340" t="s">
        <v>1124</v>
      </c>
    </row>
    <row r="489" spans="2:19" ht="15" customHeight="1" x14ac:dyDescent="0.35">
      <c r="B489" s="181">
        <v>96025</v>
      </c>
      <c r="C489" s="182" t="s">
        <v>998</v>
      </c>
      <c r="D489" s="183">
        <v>9</v>
      </c>
      <c r="E489" s="185" t="s">
        <v>1124</v>
      </c>
      <c r="F489" s="185" t="s">
        <v>1124</v>
      </c>
      <c r="G489" s="184" t="s">
        <v>1124</v>
      </c>
      <c r="H489" s="186"/>
      <c r="I489" s="185"/>
      <c r="J489" s="187"/>
      <c r="K489" s="188"/>
      <c r="L489" s="189"/>
      <c r="M489" s="185" t="s">
        <v>1124</v>
      </c>
      <c r="N489" s="189"/>
      <c r="O489" s="333"/>
      <c r="P489" s="333" t="s">
        <v>1124</v>
      </c>
      <c r="Q489" s="333" t="s">
        <v>1124</v>
      </c>
      <c r="R489" s="475" t="str">
        <f t="shared" si="8"/>
        <v/>
      </c>
      <c r="S489" s="340" t="s">
        <v>1124</v>
      </c>
    </row>
    <row r="490" spans="2:19" ht="15" customHeight="1" x14ac:dyDescent="0.35">
      <c r="B490" s="181">
        <v>82030</v>
      </c>
      <c r="C490" s="182" t="s">
        <v>833</v>
      </c>
      <c r="D490" s="183">
        <v>7</v>
      </c>
      <c r="E490" s="185">
        <v>576</v>
      </c>
      <c r="F490" s="185">
        <v>345</v>
      </c>
      <c r="G490" s="184" t="s">
        <v>1308</v>
      </c>
      <c r="H490" s="186">
        <v>1</v>
      </c>
      <c r="I490" s="185">
        <v>351</v>
      </c>
      <c r="J490" s="187">
        <v>2.308261886204209</v>
      </c>
      <c r="K490" s="188">
        <v>810.19992205767733</v>
      </c>
      <c r="L490" s="189">
        <v>8.9109999999999996</v>
      </c>
      <c r="M490" s="185">
        <v>381</v>
      </c>
      <c r="N490" s="189">
        <v>170.28695652173914</v>
      </c>
      <c r="O490" s="333">
        <v>102.08</v>
      </c>
      <c r="P490" s="333">
        <v>50.000021739130425</v>
      </c>
      <c r="Q490" s="333">
        <v>11.339486408249998</v>
      </c>
      <c r="R490" s="475">
        <f t="shared" si="8"/>
        <v>4.4093726945828084</v>
      </c>
      <c r="S490" s="340">
        <v>42.903642773207991</v>
      </c>
    </row>
    <row r="491" spans="2:19" ht="15" customHeight="1" x14ac:dyDescent="0.35">
      <c r="B491" s="181">
        <v>34017</v>
      </c>
      <c r="C491" s="182" t="s">
        <v>286</v>
      </c>
      <c r="D491" s="183">
        <v>3</v>
      </c>
      <c r="E491" s="185">
        <v>338</v>
      </c>
      <c r="F491" s="185">
        <v>231</v>
      </c>
      <c r="G491" s="184" t="s">
        <v>1308</v>
      </c>
      <c r="H491" s="186">
        <v>1</v>
      </c>
      <c r="I491" s="185">
        <v>3522</v>
      </c>
      <c r="J491" s="187">
        <v>2.5492847854356313</v>
      </c>
      <c r="K491" s="188">
        <v>8978.5810143042927</v>
      </c>
      <c r="L491" s="189">
        <v>62.9</v>
      </c>
      <c r="M491" s="185">
        <v>3778</v>
      </c>
      <c r="N491" s="189">
        <v>1108.106</v>
      </c>
      <c r="O491" s="333">
        <v>756.73693907392362</v>
      </c>
      <c r="P491" s="333">
        <v>155.78813819587631</v>
      </c>
      <c r="Q491" s="333">
        <v>76.527922100000012</v>
      </c>
      <c r="R491" s="475">
        <f t="shared" si="8"/>
        <v>2.035703229891777</v>
      </c>
      <c r="S491" s="340">
        <v>60.176470588235297</v>
      </c>
    </row>
    <row r="492" spans="2:19" ht="15" customHeight="1" x14ac:dyDescent="0.35">
      <c r="B492" s="181">
        <v>84020</v>
      </c>
      <c r="C492" s="182" t="s">
        <v>855</v>
      </c>
      <c r="D492" s="183">
        <v>7</v>
      </c>
      <c r="E492" s="185" t="s">
        <v>1124</v>
      </c>
      <c r="F492" s="185" t="s">
        <v>1124</v>
      </c>
      <c r="G492" s="184" t="s">
        <v>1124</v>
      </c>
      <c r="H492" s="186"/>
      <c r="I492" s="185"/>
      <c r="J492" s="187"/>
      <c r="K492" s="188"/>
      <c r="L492" s="189"/>
      <c r="M492" s="185" t="s">
        <v>1124</v>
      </c>
      <c r="N492" s="189"/>
      <c r="O492" s="333"/>
      <c r="P492" s="333" t="s">
        <v>1124</v>
      </c>
      <c r="Q492" s="333" t="s">
        <v>1124</v>
      </c>
      <c r="R492" s="475" t="str">
        <f t="shared" si="8"/>
        <v/>
      </c>
      <c r="S492" s="340" t="s">
        <v>1124</v>
      </c>
    </row>
    <row r="493" spans="2:19" ht="15" customHeight="1" x14ac:dyDescent="0.35">
      <c r="B493" s="181">
        <v>97022</v>
      </c>
      <c r="C493" s="182" t="s">
        <v>1003</v>
      </c>
      <c r="D493" s="183">
        <v>9</v>
      </c>
      <c r="E493" s="185">
        <v>414</v>
      </c>
      <c r="F493" s="185">
        <v>248</v>
      </c>
      <c r="G493" s="184" t="s">
        <v>1326</v>
      </c>
      <c r="H493" s="186">
        <v>1</v>
      </c>
      <c r="I493" s="185">
        <v>2697</v>
      </c>
      <c r="J493" s="187">
        <v>2.4194013703570141</v>
      </c>
      <c r="K493" s="188">
        <v>6525.1254958528671</v>
      </c>
      <c r="L493" s="189">
        <v>54.808</v>
      </c>
      <c r="M493" s="185">
        <v>2849</v>
      </c>
      <c r="N493" s="189">
        <v>986.745</v>
      </c>
      <c r="O493" s="333">
        <v>591.25612818696879</v>
      </c>
      <c r="P493" s="333">
        <v>352.846</v>
      </c>
      <c r="Q493" s="333">
        <v>71.146422689999994</v>
      </c>
      <c r="R493" s="475">
        <f t="shared" si="8"/>
        <v>4.9594341733445209</v>
      </c>
      <c r="S493" s="340">
        <v>59</v>
      </c>
    </row>
    <row r="494" spans="2:19" ht="15" customHeight="1" x14ac:dyDescent="0.35">
      <c r="B494" s="181">
        <v>2047</v>
      </c>
      <c r="C494" s="182" t="s">
        <v>1030</v>
      </c>
      <c r="D494" s="183">
        <v>11</v>
      </c>
      <c r="E494" s="185">
        <v>506</v>
      </c>
      <c r="F494" s="185">
        <v>288</v>
      </c>
      <c r="G494" s="184" t="s">
        <v>1326</v>
      </c>
      <c r="H494" s="186">
        <v>2</v>
      </c>
      <c r="I494" s="185">
        <v>490</v>
      </c>
      <c r="J494" s="187">
        <v>1.8731218697829717</v>
      </c>
      <c r="K494" s="188">
        <v>917.82971619365617</v>
      </c>
      <c r="L494" s="189">
        <v>14.011999999999999</v>
      </c>
      <c r="M494" s="185">
        <v>512</v>
      </c>
      <c r="N494" s="189">
        <v>169.636</v>
      </c>
      <c r="O494" s="333">
        <v>96.350942460317441</v>
      </c>
      <c r="P494" s="333">
        <v>29.544815510204074</v>
      </c>
      <c r="Q494" s="333">
        <v>16.981989489</v>
      </c>
      <c r="R494" s="475">
        <f t="shared" si="8"/>
        <v>1.7397735129527423</v>
      </c>
      <c r="S494" s="340">
        <v>61.114214106695314</v>
      </c>
    </row>
    <row r="495" spans="2:19" ht="15" customHeight="1" x14ac:dyDescent="0.35">
      <c r="B495" s="181">
        <v>34048</v>
      </c>
      <c r="C495" s="182" t="s">
        <v>290</v>
      </c>
      <c r="D495" s="183">
        <v>3</v>
      </c>
      <c r="E495" s="185">
        <v>434</v>
      </c>
      <c r="F495" s="185">
        <v>341</v>
      </c>
      <c r="G495" s="184" t="s">
        <v>1326</v>
      </c>
      <c r="H495" s="186">
        <v>2</v>
      </c>
      <c r="I495" s="185">
        <v>1371</v>
      </c>
      <c r="J495" s="187">
        <v>2.081812460667086</v>
      </c>
      <c r="K495" s="188">
        <v>2854.164883574575</v>
      </c>
      <c r="L495" s="189">
        <v>40.073000000000008</v>
      </c>
      <c r="M495" s="185">
        <v>1503</v>
      </c>
      <c r="N495" s="189">
        <v>451.99</v>
      </c>
      <c r="O495" s="333">
        <v>355.53399999999999</v>
      </c>
      <c r="P495" s="333">
        <v>35.671713520408176</v>
      </c>
      <c r="Q495" s="333">
        <v>38.245835880000001</v>
      </c>
      <c r="R495" s="475">
        <f t="shared" si="8"/>
        <v>0.9326953562299336</v>
      </c>
      <c r="S495" s="340">
        <v>56.098039215686271</v>
      </c>
    </row>
    <row r="496" spans="2:19" ht="15" customHeight="1" x14ac:dyDescent="0.35">
      <c r="B496" s="181">
        <v>95040</v>
      </c>
      <c r="C496" s="182" t="s">
        <v>991</v>
      </c>
      <c r="D496" s="183">
        <v>9</v>
      </c>
      <c r="E496" s="185">
        <v>408</v>
      </c>
      <c r="F496" s="185">
        <v>333</v>
      </c>
      <c r="G496" s="184" t="s">
        <v>1326</v>
      </c>
      <c r="H496" s="186">
        <v>1</v>
      </c>
      <c r="I496" s="185">
        <v>369</v>
      </c>
      <c r="J496" s="187">
        <v>1.672972972972973</v>
      </c>
      <c r="K496" s="188">
        <v>617.32702702702704</v>
      </c>
      <c r="L496" s="189">
        <v>8.2159999999999993</v>
      </c>
      <c r="M496" s="185">
        <v>379</v>
      </c>
      <c r="N496" s="189">
        <v>91.873999999999995</v>
      </c>
      <c r="O496" s="333">
        <v>75.089675445910288</v>
      </c>
      <c r="P496" s="333">
        <v>13.371264</v>
      </c>
      <c r="Q496" s="333">
        <v>7.7496100659999998</v>
      </c>
      <c r="R496" s="475">
        <f t="shared" si="8"/>
        <v>1.725411199547185</v>
      </c>
      <c r="S496" s="340">
        <v>59</v>
      </c>
    </row>
    <row r="497" spans="2:19" ht="15" customHeight="1" x14ac:dyDescent="0.35">
      <c r="B497" s="181">
        <v>45030</v>
      </c>
      <c r="C497" s="182" t="s">
        <v>413</v>
      </c>
      <c r="D497" s="183">
        <v>5</v>
      </c>
      <c r="E497" s="185">
        <v>494</v>
      </c>
      <c r="F497" s="185">
        <v>174</v>
      </c>
      <c r="G497" s="184" t="s">
        <v>1326</v>
      </c>
      <c r="H497" s="186">
        <v>2</v>
      </c>
      <c r="I497" s="185">
        <v>441</v>
      </c>
      <c r="J497" s="187">
        <v>1.7817836812144212</v>
      </c>
      <c r="K497" s="188">
        <v>785.76660341555976</v>
      </c>
      <c r="L497" s="189">
        <v>16.181000000000001</v>
      </c>
      <c r="M497" s="185">
        <v>316</v>
      </c>
      <c r="N497" s="189">
        <v>141.7731</v>
      </c>
      <c r="O497" s="333">
        <v>49.806804264766626</v>
      </c>
      <c r="P497" s="333">
        <v>13.354182613402081</v>
      </c>
      <c r="Q497" s="333">
        <v>12.40124073</v>
      </c>
      <c r="R497" s="475">
        <f t="shared" si="8"/>
        <v>1.0768424631171627</v>
      </c>
      <c r="S497" s="340">
        <v>53.36936936936938</v>
      </c>
    </row>
    <row r="498" spans="2:19" ht="15" customHeight="1" x14ac:dyDescent="0.35">
      <c r="B498" s="181">
        <v>87035</v>
      </c>
      <c r="C498" s="182" t="s">
        <v>896</v>
      </c>
      <c r="D498" s="183">
        <v>8</v>
      </c>
      <c r="E498" s="185" t="s">
        <v>1124</v>
      </c>
      <c r="F498" s="185" t="s">
        <v>1124</v>
      </c>
      <c r="G498" s="184" t="s">
        <v>1124</v>
      </c>
      <c r="H498" s="186"/>
      <c r="I498" s="185"/>
      <c r="J498" s="187"/>
      <c r="K498" s="188"/>
      <c r="L498" s="189"/>
      <c r="M498" s="185" t="s">
        <v>1124</v>
      </c>
      <c r="N498" s="189"/>
      <c r="O498" s="333"/>
      <c r="P498" s="333" t="s">
        <v>1124</v>
      </c>
      <c r="Q498" s="333" t="s">
        <v>1124</v>
      </c>
      <c r="R498" s="475" t="str">
        <f t="shared" si="8"/>
        <v/>
      </c>
      <c r="S498" s="340" t="s">
        <v>1124</v>
      </c>
    </row>
    <row r="499" spans="2:19" ht="15" customHeight="1" x14ac:dyDescent="0.35">
      <c r="B499" s="181">
        <v>88090</v>
      </c>
      <c r="C499" s="182" t="s">
        <v>927</v>
      </c>
      <c r="D499" s="183">
        <v>8</v>
      </c>
      <c r="E499" s="185" t="s">
        <v>1124</v>
      </c>
      <c r="F499" s="185" t="s">
        <v>1124</v>
      </c>
      <c r="G499" s="184" t="s">
        <v>1124</v>
      </c>
      <c r="H499" s="186"/>
      <c r="I499" s="185"/>
      <c r="J499" s="187"/>
      <c r="K499" s="188"/>
      <c r="L499" s="189"/>
      <c r="M499" s="185" t="s">
        <v>1124</v>
      </c>
      <c r="N499" s="189"/>
      <c r="O499" s="333"/>
      <c r="P499" s="333" t="s">
        <v>1124</v>
      </c>
      <c r="Q499" s="333" t="s">
        <v>1124</v>
      </c>
      <c r="R499" s="475" t="str">
        <f t="shared" si="8"/>
        <v/>
      </c>
      <c r="S499" s="340" t="s">
        <v>1124</v>
      </c>
    </row>
    <row r="500" spans="2:19" ht="15" customHeight="1" x14ac:dyDescent="0.35">
      <c r="B500" s="181">
        <v>75040</v>
      </c>
      <c r="C500" s="182" t="s">
        <v>745</v>
      </c>
      <c r="D500" s="183">
        <v>15</v>
      </c>
      <c r="E500" s="185">
        <v>444</v>
      </c>
      <c r="F500" s="185">
        <v>270</v>
      </c>
      <c r="G500" s="184" t="s">
        <v>1326</v>
      </c>
      <c r="H500" s="186">
        <v>3</v>
      </c>
      <c r="I500" s="185">
        <v>2986</v>
      </c>
      <c r="J500" s="187">
        <v>2.4552004433770551</v>
      </c>
      <c r="K500" s="188">
        <v>7331.2285239238863</v>
      </c>
      <c r="L500" s="189">
        <v>64.585000000000008</v>
      </c>
      <c r="M500" s="185">
        <v>3072</v>
      </c>
      <c r="N500" s="189">
        <v>1189.2950000000001</v>
      </c>
      <c r="O500" s="333">
        <v>722.35879352114387</v>
      </c>
      <c r="P500" s="333">
        <v>422.81957499999993</v>
      </c>
      <c r="Q500" s="333">
        <v>79.347985391999998</v>
      </c>
      <c r="R500" s="475">
        <f t="shared" si="8"/>
        <v>5.3286743565215877</v>
      </c>
      <c r="S500" s="340">
        <v>51.624031007751945</v>
      </c>
    </row>
    <row r="501" spans="2:19" ht="15" customHeight="1" x14ac:dyDescent="0.35">
      <c r="B501" s="181">
        <v>9065</v>
      </c>
      <c r="C501" s="182" t="s">
        <v>1108</v>
      </c>
      <c r="D501" s="183">
        <v>1</v>
      </c>
      <c r="E501" s="185">
        <v>286</v>
      </c>
      <c r="F501" s="185">
        <v>118</v>
      </c>
      <c r="G501" s="184" t="s">
        <v>1326</v>
      </c>
      <c r="H501" s="186">
        <v>1</v>
      </c>
      <c r="I501" s="185">
        <v>719</v>
      </c>
      <c r="J501" s="187">
        <v>2.2865090403337969</v>
      </c>
      <c r="K501" s="188">
        <v>1644</v>
      </c>
      <c r="L501" s="189">
        <v>17.696999999999999</v>
      </c>
      <c r="M501" s="185">
        <v>730</v>
      </c>
      <c r="N501" s="189">
        <v>171.364</v>
      </c>
      <c r="O501" s="333">
        <v>70.846999999999994</v>
      </c>
      <c r="P501" s="333">
        <v>2.0453294897959182</v>
      </c>
      <c r="Q501" s="333">
        <v>20.436966704</v>
      </c>
      <c r="R501" s="475">
        <f t="shared" si="8"/>
        <v>0.1000798953885656</v>
      </c>
      <c r="S501" s="340">
        <v>65.596491228070192</v>
      </c>
    </row>
    <row r="502" spans="2:19" ht="15" customHeight="1" x14ac:dyDescent="0.35">
      <c r="B502" s="181">
        <v>32033</v>
      </c>
      <c r="C502" s="182" t="s">
        <v>258</v>
      </c>
      <c r="D502" s="183">
        <v>17</v>
      </c>
      <c r="E502" s="185">
        <v>561</v>
      </c>
      <c r="F502" s="185">
        <v>308</v>
      </c>
      <c r="G502" s="184" t="s">
        <v>1308</v>
      </c>
      <c r="H502" s="186">
        <v>1</v>
      </c>
      <c r="I502" s="185">
        <v>2199</v>
      </c>
      <c r="J502" s="187">
        <v>2.2747615553925167</v>
      </c>
      <c r="K502" s="188">
        <v>5002.2006603081445</v>
      </c>
      <c r="L502" s="189">
        <v>42.677</v>
      </c>
      <c r="M502" s="185">
        <v>1696</v>
      </c>
      <c r="N502" s="189">
        <v>1024.7639999999999</v>
      </c>
      <c r="O502" s="333">
        <v>563.12941315345699</v>
      </c>
      <c r="P502" s="333">
        <v>119.83487610824741</v>
      </c>
      <c r="Q502" s="333">
        <v>61.343535492000008</v>
      </c>
      <c r="R502" s="475">
        <f t="shared" si="8"/>
        <v>1.9535045567087577</v>
      </c>
      <c r="S502" s="340">
        <v>63.771929824561418</v>
      </c>
    </row>
    <row r="503" spans="2:19" ht="15" customHeight="1" x14ac:dyDescent="0.35">
      <c r="B503" s="181">
        <v>23027</v>
      </c>
      <c r="C503" s="182" t="s">
        <v>163</v>
      </c>
      <c r="D503" s="183">
        <v>3</v>
      </c>
      <c r="E503" s="185">
        <v>399</v>
      </c>
      <c r="F503" s="185">
        <v>225</v>
      </c>
      <c r="G503" s="184" t="s">
        <v>1308</v>
      </c>
      <c r="H503" s="186">
        <v>1</v>
      </c>
      <c r="I503" s="185">
        <v>290949.96578895097</v>
      </c>
      <c r="J503" s="187">
        <v>2.007695716395864</v>
      </c>
      <c r="K503" s="188">
        <v>584139</v>
      </c>
      <c r="L503" s="189">
        <v>2911.0080000000003</v>
      </c>
      <c r="M503" s="185">
        <v>175000</v>
      </c>
      <c r="N503" s="189">
        <v>85054.943999999989</v>
      </c>
      <c r="O503" s="333">
        <v>47908.452154500003</v>
      </c>
      <c r="P503" s="333">
        <v>14009.034189734675</v>
      </c>
      <c r="Q503" s="333">
        <v>4392.497728407001</v>
      </c>
      <c r="R503" s="475">
        <f t="shared" si="8"/>
        <v>3.1893093761064373</v>
      </c>
      <c r="S503" s="340">
        <v>55.973684210526315</v>
      </c>
    </row>
    <row r="504" spans="2:19" ht="15" customHeight="1" x14ac:dyDescent="0.35">
      <c r="B504" s="181">
        <v>42032</v>
      </c>
      <c r="C504" s="182" t="s">
        <v>382</v>
      </c>
      <c r="D504" s="183">
        <v>5</v>
      </c>
      <c r="E504" s="185">
        <v>306</v>
      </c>
      <c r="F504" s="185">
        <v>207</v>
      </c>
      <c r="G504" s="184" t="s">
        <v>1308</v>
      </c>
      <c r="H504" s="186">
        <v>1</v>
      </c>
      <c r="I504" s="185">
        <v>238</v>
      </c>
      <c r="J504" s="187">
        <v>2.2845257903494178</v>
      </c>
      <c r="K504" s="188">
        <v>543.71713810316146</v>
      </c>
      <c r="L504" s="189">
        <v>13.234999999999999</v>
      </c>
      <c r="M504" s="185">
        <v>253</v>
      </c>
      <c r="N504" s="189">
        <v>60.752000000000002</v>
      </c>
      <c r="O504" s="333">
        <v>41.006553359683792</v>
      </c>
      <c r="P504" s="333">
        <v>16.25</v>
      </c>
      <c r="Q504" s="333">
        <v>9.6936736500000009</v>
      </c>
      <c r="R504" s="475">
        <f t="shared" si="8"/>
        <v>1.6763510498416665</v>
      </c>
      <c r="S504" s="340">
        <v>64</v>
      </c>
    </row>
    <row r="505" spans="2:19" ht="15" customHeight="1" x14ac:dyDescent="0.35">
      <c r="B505" s="181">
        <v>96040</v>
      </c>
      <c r="C505" s="182" t="s">
        <v>1001</v>
      </c>
      <c r="D505" s="183">
        <v>9</v>
      </c>
      <c r="E505" s="185">
        <v>350</v>
      </c>
      <c r="F505" s="185">
        <v>266</v>
      </c>
      <c r="G505" s="184" t="s">
        <v>1308</v>
      </c>
      <c r="H505" s="186">
        <v>1</v>
      </c>
      <c r="I505" s="185">
        <v>643</v>
      </c>
      <c r="J505" s="187">
        <v>2.3292894280762564</v>
      </c>
      <c r="K505" s="188">
        <v>1497.7331022530329</v>
      </c>
      <c r="L505" s="189">
        <v>36.68</v>
      </c>
      <c r="M505" s="185">
        <v>628</v>
      </c>
      <c r="N505" s="189">
        <v>191.09800000000001</v>
      </c>
      <c r="O505" s="333">
        <v>145.29253429924813</v>
      </c>
      <c r="P505" s="333">
        <v>34.814</v>
      </c>
      <c r="Q505" s="333">
        <v>24.163350400000002</v>
      </c>
      <c r="R505" s="475">
        <f t="shared" si="8"/>
        <v>1.4407770207230863</v>
      </c>
      <c r="S505" s="340">
        <v>64</v>
      </c>
    </row>
    <row r="506" spans="2:19" ht="15" customHeight="1" x14ac:dyDescent="0.35">
      <c r="B506" s="181">
        <v>87010</v>
      </c>
      <c r="C506" s="182" t="s">
        <v>891</v>
      </c>
      <c r="D506" s="183">
        <v>8</v>
      </c>
      <c r="E506" s="185" t="s">
        <v>1124</v>
      </c>
      <c r="F506" s="185" t="s">
        <v>1124</v>
      </c>
      <c r="G506" s="184" t="s">
        <v>1124</v>
      </c>
      <c r="H506" s="186"/>
      <c r="I506" s="185"/>
      <c r="J506" s="187"/>
      <c r="K506" s="188"/>
      <c r="L506" s="189"/>
      <c r="M506" s="185" t="s">
        <v>1124</v>
      </c>
      <c r="N506" s="189"/>
      <c r="O506" s="333"/>
      <c r="P506" s="333" t="s">
        <v>1124</v>
      </c>
      <c r="Q506" s="333" t="s">
        <v>1124</v>
      </c>
      <c r="R506" s="475" t="str">
        <f t="shared" si="8"/>
        <v/>
      </c>
      <c r="S506" s="340" t="s">
        <v>1124</v>
      </c>
    </row>
    <row r="507" spans="2:19" ht="15" customHeight="1" x14ac:dyDescent="0.35">
      <c r="B507" s="181">
        <v>84100</v>
      </c>
      <c r="C507" s="182" t="s">
        <v>869</v>
      </c>
      <c r="D507" s="183">
        <v>7</v>
      </c>
      <c r="E507" s="185" t="s">
        <v>1124</v>
      </c>
      <c r="F507" s="185" t="s">
        <v>1124</v>
      </c>
      <c r="G507" s="184" t="s">
        <v>1124</v>
      </c>
      <c r="H507" s="186"/>
      <c r="I507" s="185"/>
      <c r="J507" s="187"/>
      <c r="K507" s="188"/>
      <c r="L507" s="189"/>
      <c r="M507" s="185" t="s">
        <v>1124</v>
      </c>
      <c r="N507" s="189"/>
      <c r="O507" s="333"/>
      <c r="P507" s="333" t="s">
        <v>1124</v>
      </c>
      <c r="Q507" s="333" t="s">
        <v>1124</v>
      </c>
      <c r="R507" s="475" t="str">
        <f t="shared" si="8"/>
        <v/>
      </c>
      <c r="S507" s="340" t="s">
        <v>1124</v>
      </c>
    </row>
    <row r="508" spans="2:19" ht="15" customHeight="1" x14ac:dyDescent="0.35">
      <c r="B508" s="181">
        <v>62037</v>
      </c>
      <c r="C508" s="182" t="s">
        <v>624</v>
      </c>
      <c r="D508" s="183">
        <v>14</v>
      </c>
      <c r="E508" s="185">
        <v>429</v>
      </c>
      <c r="F508" s="185">
        <v>256</v>
      </c>
      <c r="G508" s="184" t="s">
        <v>1326</v>
      </c>
      <c r="H508" s="186">
        <v>2</v>
      </c>
      <c r="I508" s="185">
        <v>3425</v>
      </c>
      <c r="J508" s="187">
        <v>2.0119866032081792</v>
      </c>
      <c r="K508" s="188">
        <v>6891.054115988014</v>
      </c>
      <c r="L508" s="189">
        <v>94.83</v>
      </c>
      <c r="M508" s="185">
        <v>3170</v>
      </c>
      <c r="N508" s="189">
        <v>1079.585</v>
      </c>
      <c r="O508" s="333">
        <v>643.774</v>
      </c>
      <c r="P508" s="333">
        <v>161.52825749999982</v>
      </c>
      <c r="Q508" s="333">
        <v>70.687297220000005</v>
      </c>
      <c r="R508" s="475">
        <f t="shared" si="8"/>
        <v>2.2851101096322242</v>
      </c>
      <c r="S508" s="340">
        <v>58.509545923632615</v>
      </c>
    </row>
    <row r="509" spans="2:19" ht="15" customHeight="1" x14ac:dyDescent="0.35">
      <c r="B509" s="181">
        <v>85105</v>
      </c>
      <c r="C509" s="182" t="s">
        <v>888</v>
      </c>
      <c r="D509" s="183">
        <v>8</v>
      </c>
      <c r="E509" s="185" t="s">
        <v>1124</v>
      </c>
      <c r="F509" s="185" t="s">
        <v>1124</v>
      </c>
      <c r="G509" s="184" t="s">
        <v>1124</v>
      </c>
      <c r="H509" s="186"/>
      <c r="I509" s="185"/>
      <c r="J509" s="187"/>
      <c r="K509" s="188"/>
      <c r="L509" s="189"/>
      <c r="M509" s="185" t="s">
        <v>1124</v>
      </c>
      <c r="N509" s="189"/>
      <c r="O509" s="333"/>
      <c r="P509" s="333" t="s">
        <v>1124</v>
      </c>
      <c r="Q509" s="333" t="s">
        <v>1124</v>
      </c>
      <c r="R509" s="475" t="str">
        <f t="shared" si="8"/>
        <v/>
      </c>
      <c r="S509" s="340" t="s">
        <v>1124</v>
      </c>
    </row>
    <row r="510" spans="2:19" ht="15" customHeight="1" x14ac:dyDescent="0.35">
      <c r="B510" s="181">
        <v>60013</v>
      </c>
      <c r="C510" s="182" t="s">
        <v>606</v>
      </c>
      <c r="D510" s="183">
        <v>14</v>
      </c>
      <c r="E510" s="185">
        <v>294</v>
      </c>
      <c r="F510" s="185">
        <v>211</v>
      </c>
      <c r="G510" s="184" t="s">
        <v>1308</v>
      </c>
      <c r="H510" s="186">
        <v>1</v>
      </c>
      <c r="I510" s="185">
        <v>34546</v>
      </c>
      <c r="J510" s="187">
        <v>2.4701557343831415</v>
      </c>
      <c r="K510" s="188">
        <v>85334</v>
      </c>
      <c r="L510" s="189">
        <v>397.666</v>
      </c>
      <c r="M510" s="185">
        <v>25598</v>
      </c>
      <c r="N510" s="189">
        <v>9147.0259999999998</v>
      </c>
      <c r="O510" s="333">
        <v>6560.5680000000002</v>
      </c>
      <c r="P510" s="333">
        <v>321.2846081701037</v>
      </c>
      <c r="Q510" s="333">
        <v>585.92737811999996</v>
      </c>
      <c r="R510" s="475">
        <f t="shared" si="8"/>
        <v>0.5483352035895197</v>
      </c>
      <c r="S510" s="340">
        <v>67.496771066785143</v>
      </c>
    </row>
    <row r="511" spans="2:19" ht="15" customHeight="1" x14ac:dyDescent="0.35">
      <c r="B511" s="181">
        <v>55057</v>
      </c>
      <c r="C511" s="182" t="s">
        <v>565</v>
      </c>
      <c r="D511" s="183">
        <v>16</v>
      </c>
      <c r="E511" s="185" t="s">
        <v>1124</v>
      </c>
      <c r="F511" s="185" t="s">
        <v>1124</v>
      </c>
      <c r="G511" s="184" t="s">
        <v>1124</v>
      </c>
      <c r="H511" s="186"/>
      <c r="I511" s="185"/>
      <c r="J511" s="187"/>
      <c r="K511" s="188"/>
      <c r="L511" s="189"/>
      <c r="M511" s="185" t="s">
        <v>1124</v>
      </c>
      <c r="N511" s="189"/>
      <c r="O511" s="333"/>
      <c r="P511" s="333" t="s">
        <v>1124</v>
      </c>
      <c r="Q511" s="333" t="s">
        <v>1124</v>
      </c>
      <c r="R511" s="475" t="str">
        <f t="shared" si="8"/>
        <v/>
      </c>
      <c r="S511" s="340" t="s">
        <v>1124</v>
      </c>
    </row>
    <row r="512" spans="2:19" ht="15" customHeight="1" x14ac:dyDescent="0.35">
      <c r="B512" s="181">
        <v>42098</v>
      </c>
      <c r="C512" s="182" t="s">
        <v>394</v>
      </c>
      <c r="D512" s="183">
        <v>5</v>
      </c>
      <c r="E512" s="185">
        <v>563</v>
      </c>
      <c r="F512" s="185">
        <v>409</v>
      </c>
      <c r="G512" s="184" t="s">
        <v>1308</v>
      </c>
      <c r="H512" s="186">
        <v>1</v>
      </c>
      <c r="I512" s="185">
        <v>1660</v>
      </c>
      <c r="J512" s="187">
        <v>1.9347568208778174</v>
      </c>
      <c r="K512" s="188">
        <v>3211.696322657177</v>
      </c>
      <c r="L512" s="189">
        <v>34.898000000000003</v>
      </c>
      <c r="M512" s="185">
        <v>1223</v>
      </c>
      <c r="N512" s="189">
        <v>659.43000000000006</v>
      </c>
      <c r="O512" s="333">
        <v>478.92906054279752</v>
      </c>
      <c r="P512" s="333">
        <v>96.750550000000032</v>
      </c>
      <c r="Q512" s="333">
        <v>38.414887221596359</v>
      </c>
      <c r="R512" s="475">
        <f t="shared" si="8"/>
        <v>2.5185691537214279</v>
      </c>
      <c r="S512" s="340">
        <v>46.487268701471493</v>
      </c>
    </row>
    <row r="513" spans="2:19" ht="15" customHeight="1" x14ac:dyDescent="0.35">
      <c r="B513" s="181">
        <v>71133</v>
      </c>
      <c r="C513" s="182" t="s">
        <v>725</v>
      </c>
      <c r="D513" s="183">
        <v>16</v>
      </c>
      <c r="E513" s="185" t="s">
        <v>1124</v>
      </c>
      <c r="F513" s="185" t="s">
        <v>1124</v>
      </c>
      <c r="G513" s="184" t="s">
        <v>1124</v>
      </c>
      <c r="H513" s="186"/>
      <c r="I513" s="185"/>
      <c r="J513" s="187"/>
      <c r="K513" s="188"/>
      <c r="L513" s="189"/>
      <c r="M513" s="185" t="s">
        <v>1124</v>
      </c>
      <c r="N513" s="189"/>
      <c r="O513" s="333"/>
      <c r="P513" s="333" t="s">
        <v>1124</v>
      </c>
      <c r="Q513" s="333" t="s">
        <v>1124</v>
      </c>
      <c r="R513" s="475" t="str">
        <f t="shared" si="8"/>
        <v/>
      </c>
      <c r="S513" s="340" t="s">
        <v>1124</v>
      </c>
    </row>
    <row r="514" spans="2:19" ht="15" customHeight="1" x14ac:dyDescent="0.35">
      <c r="B514" s="181">
        <v>10043</v>
      </c>
      <c r="C514" s="182" t="s">
        <v>13</v>
      </c>
      <c r="D514" s="183">
        <v>1</v>
      </c>
      <c r="E514" s="185">
        <v>429</v>
      </c>
      <c r="F514" s="185">
        <v>209</v>
      </c>
      <c r="G514" s="184" t="s">
        <v>1308</v>
      </c>
      <c r="H514" s="186">
        <v>3</v>
      </c>
      <c r="I514" s="185">
        <v>23503</v>
      </c>
      <c r="J514" s="187">
        <v>2.0599930505325559</v>
      </c>
      <c r="K514" s="188">
        <v>48416.016666666663</v>
      </c>
      <c r="L514" s="189">
        <v>332.25899999999996</v>
      </c>
      <c r="M514" s="185">
        <v>15771</v>
      </c>
      <c r="N514" s="189">
        <v>7582.6069999999991</v>
      </c>
      <c r="O514" s="333">
        <v>3699.7810000000004</v>
      </c>
      <c r="P514" s="333">
        <v>2737.0649667525772</v>
      </c>
      <c r="Q514" s="333">
        <v>450.65539406250014</v>
      </c>
      <c r="R514" s="475">
        <f t="shared" si="8"/>
        <v>6.0735209271077348</v>
      </c>
      <c r="S514" s="340">
        <v>54.744310328186167</v>
      </c>
    </row>
    <row r="515" spans="2:19" ht="15" customHeight="1" x14ac:dyDescent="0.35">
      <c r="B515" s="181">
        <v>80078</v>
      </c>
      <c r="C515" s="182" t="s">
        <v>815</v>
      </c>
      <c r="D515" s="183">
        <v>7</v>
      </c>
      <c r="E515" s="185" t="s">
        <v>1124</v>
      </c>
      <c r="F515" s="185" t="s">
        <v>1124</v>
      </c>
      <c r="G515" s="184" t="s">
        <v>1124</v>
      </c>
      <c r="H515" s="186"/>
      <c r="I515" s="185"/>
      <c r="J515" s="187"/>
      <c r="K515" s="188"/>
      <c r="L515" s="189"/>
      <c r="M515" s="185" t="s">
        <v>1124</v>
      </c>
      <c r="N515" s="189"/>
      <c r="O515" s="333"/>
      <c r="P515" s="333" t="s">
        <v>1124</v>
      </c>
      <c r="Q515" s="333" t="s">
        <v>1124</v>
      </c>
      <c r="R515" s="475" t="str">
        <f t="shared" si="8"/>
        <v/>
      </c>
      <c r="S515" s="340" t="s">
        <v>1124</v>
      </c>
    </row>
    <row r="516" spans="2:19" ht="15" customHeight="1" x14ac:dyDescent="0.35">
      <c r="B516" s="181">
        <v>6035</v>
      </c>
      <c r="C516" s="182" t="s">
        <v>1062</v>
      </c>
      <c r="D516" s="183">
        <v>11</v>
      </c>
      <c r="E516" s="185" t="s">
        <v>1124</v>
      </c>
      <c r="F516" s="185" t="s">
        <v>1124</v>
      </c>
      <c r="G516" s="184" t="s">
        <v>1124</v>
      </c>
      <c r="H516" s="186"/>
      <c r="I516" s="185"/>
      <c r="J516" s="187"/>
      <c r="K516" s="188"/>
      <c r="L516" s="189"/>
      <c r="M516" s="185" t="s">
        <v>1124</v>
      </c>
      <c r="N516" s="189"/>
      <c r="O516" s="333"/>
      <c r="P516" s="333" t="s">
        <v>1124</v>
      </c>
      <c r="Q516" s="333" t="s">
        <v>1124</v>
      </c>
      <c r="R516" s="475" t="str">
        <f t="shared" si="8"/>
        <v/>
      </c>
      <c r="S516" s="340" t="s">
        <v>1124</v>
      </c>
    </row>
    <row r="517" spans="2:19" ht="15" customHeight="1" x14ac:dyDescent="0.35">
      <c r="B517" s="181">
        <v>4020</v>
      </c>
      <c r="C517" s="182" t="s">
        <v>1039</v>
      </c>
      <c r="D517" s="183">
        <v>11</v>
      </c>
      <c r="E517" s="185" t="s">
        <v>1124</v>
      </c>
      <c r="F517" s="185" t="s">
        <v>1124</v>
      </c>
      <c r="G517" s="184" t="s">
        <v>1124</v>
      </c>
      <c r="H517" s="186"/>
      <c r="I517" s="185"/>
      <c r="J517" s="187"/>
      <c r="K517" s="188"/>
      <c r="L517" s="189"/>
      <c r="M517" s="185" t="s">
        <v>1124</v>
      </c>
      <c r="N517" s="189"/>
      <c r="O517" s="333"/>
      <c r="P517" s="333" t="s">
        <v>1124</v>
      </c>
      <c r="Q517" s="333" t="s">
        <v>1124</v>
      </c>
      <c r="R517" s="475" t="str">
        <f t="shared" si="8"/>
        <v/>
      </c>
      <c r="S517" s="340" t="s">
        <v>1124</v>
      </c>
    </row>
    <row r="518" spans="2:19" ht="15" customHeight="1" x14ac:dyDescent="0.35">
      <c r="B518" s="181">
        <v>34135</v>
      </c>
      <c r="C518" s="182" t="s">
        <v>302</v>
      </c>
      <c r="D518" s="183">
        <v>3</v>
      </c>
      <c r="E518" s="185">
        <v>589</v>
      </c>
      <c r="F518" s="185">
        <v>290</v>
      </c>
      <c r="G518" s="184" t="s">
        <v>1308</v>
      </c>
      <c r="H518" s="186">
        <v>1</v>
      </c>
      <c r="I518" s="185">
        <v>197</v>
      </c>
      <c r="J518" s="187">
        <v>1.7666666666666666</v>
      </c>
      <c r="K518" s="188">
        <v>348.0333333333333</v>
      </c>
      <c r="L518" s="189">
        <v>6.41</v>
      </c>
      <c r="M518" s="185">
        <v>198</v>
      </c>
      <c r="N518" s="189">
        <v>74.765000000000001</v>
      </c>
      <c r="O518" s="333">
        <v>36.785961538461542</v>
      </c>
      <c r="P518" s="333">
        <v>34.803525</v>
      </c>
      <c r="Q518" s="333">
        <v>5.33920905</v>
      </c>
      <c r="R518" s="475">
        <f t="shared" si="8"/>
        <v>6.5184795489511691</v>
      </c>
      <c r="S518" s="340">
        <v>58.72972972972974</v>
      </c>
    </row>
    <row r="519" spans="2:19" ht="15" customHeight="1" x14ac:dyDescent="0.35">
      <c r="B519" s="181">
        <v>98055</v>
      </c>
      <c r="C519" s="182" t="s">
        <v>1018</v>
      </c>
      <c r="D519" s="183">
        <v>9</v>
      </c>
      <c r="E519" s="185">
        <v>390</v>
      </c>
      <c r="F519" s="185">
        <v>240</v>
      </c>
      <c r="G519" s="184" t="s">
        <v>1308</v>
      </c>
      <c r="H519" s="186">
        <v>2</v>
      </c>
      <c r="I519" s="185">
        <v>249</v>
      </c>
      <c r="J519" s="187">
        <v>1.3235294117647058</v>
      </c>
      <c r="K519" s="188">
        <v>329.55882352941177</v>
      </c>
      <c r="L519" s="189">
        <v>12.3</v>
      </c>
      <c r="M519" s="185">
        <v>270</v>
      </c>
      <c r="N519" s="189">
        <v>46.97</v>
      </c>
      <c r="O519" s="333">
        <v>28.813697331109257</v>
      </c>
      <c r="P519" s="333">
        <v>11.032512499999998</v>
      </c>
      <c r="Q519" s="333">
        <v>7.1803099299999991</v>
      </c>
      <c r="R519" s="475">
        <f t="shared" ref="R519:R582" si="9">IF(H519="","",P519/Q519)</f>
        <v>1.5364953055724155</v>
      </c>
      <c r="S519" s="340">
        <v>57.939189189189193</v>
      </c>
    </row>
    <row r="520" spans="2:19" ht="15" customHeight="1" x14ac:dyDescent="0.35">
      <c r="B520" s="181">
        <v>71005</v>
      </c>
      <c r="C520" s="182" t="s">
        <v>704</v>
      </c>
      <c r="D520" s="183">
        <v>16</v>
      </c>
      <c r="E520" s="185" t="s">
        <v>1124</v>
      </c>
      <c r="F520" s="185" t="s">
        <v>1124</v>
      </c>
      <c r="G520" s="184" t="s">
        <v>1124</v>
      </c>
      <c r="H520" s="186"/>
      <c r="I520" s="185"/>
      <c r="J520" s="187"/>
      <c r="K520" s="188"/>
      <c r="L520" s="189"/>
      <c r="M520" s="185" t="s">
        <v>1124</v>
      </c>
      <c r="N520" s="189"/>
      <c r="O520" s="333"/>
      <c r="P520" s="333" t="s">
        <v>1124</v>
      </c>
      <c r="Q520" s="333" t="s">
        <v>1124</v>
      </c>
      <c r="R520" s="475" t="str">
        <f t="shared" si="9"/>
        <v/>
      </c>
      <c r="S520" s="340" t="s">
        <v>1124</v>
      </c>
    </row>
    <row r="521" spans="2:19" ht="15" customHeight="1" x14ac:dyDescent="0.35">
      <c r="B521" s="181">
        <v>13025</v>
      </c>
      <c r="C521" s="182" t="s">
        <v>45</v>
      </c>
      <c r="D521" s="183">
        <v>1</v>
      </c>
      <c r="E521" s="185">
        <v>523</v>
      </c>
      <c r="F521" s="185">
        <v>329</v>
      </c>
      <c r="G521" s="184" t="s">
        <v>1308</v>
      </c>
      <c r="H521" s="186">
        <v>1</v>
      </c>
      <c r="I521" s="185">
        <v>480</v>
      </c>
      <c r="J521" s="187">
        <v>1.8914027149321266</v>
      </c>
      <c r="K521" s="188">
        <v>907.87330316742077</v>
      </c>
      <c r="L521" s="189">
        <v>11.972</v>
      </c>
      <c r="M521" s="185">
        <v>368</v>
      </c>
      <c r="N521" s="189">
        <v>173.22200000000001</v>
      </c>
      <c r="O521" s="333">
        <v>109.11099029126213</v>
      </c>
      <c r="P521" s="333">
        <v>19.345945000000025</v>
      </c>
      <c r="Q521" s="333">
        <v>12.072671379999997</v>
      </c>
      <c r="R521" s="475">
        <f t="shared" si="9"/>
        <v>1.602457682402354</v>
      </c>
      <c r="S521" s="340">
        <v>44.378378378378386</v>
      </c>
    </row>
    <row r="522" spans="2:19" ht="15" customHeight="1" x14ac:dyDescent="0.35">
      <c r="B522" s="181">
        <v>12072</v>
      </c>
      <c r="C522" s="182" t="s">
        <v>39</v>
      </c>
      <c r="D522" s="183">
        <v>1</v>
      </c>
      <c r="E522" s="185">
        <v>503</v>
      </c>
      <c r="F522" s="185">
        <v>260</v>
      </c>
      <c r="G522" s="184" t="s">
        <v>1308</v>
      </c>
      <c r="H522" s="186">
        <v>1</v>
      </c>
      <c r="I522" s="185">
        <v>9155</v>
      </c>
      <c r="J522" s="187">
        <v>2.2999999999999998</v>
      </c>
      <c r="K522" s="188">
        <v>21056.5</v>
      </c>
      <c r="L522" s="189">
        <v>133.51</v>
      </c>
      <c r="M522" s="185">
        <v>6533</v>
      </c>
      <c r="N522" s="189">
        <v>3863.9459999999999</v>
      </c>
      <c r="O522" s="333">
        <v>2001.2829999999999</v>
      </c>
      <c r="P522" s="333">
        <v>208.6946640306121</v>
      </c>
      <c r="Q522" s="333">
        <v>189.33224519999999</v>
      </c>
      <c r="R522" s="475">
        <f t="shared" si="9"/>
        <v>1.1022668843870664</v>
      </c>
      <c r="S522" s="340">
        <v>49.543859649122808</v>
      </c>
    </row>
    <row r="523" spans="2:19" ht="15" customHeight="1" x14ac:dyDescent="0.35">
      <c r="B523" s="181">
        <v>94215</v>
      </c>
      <c r="C523" s="182" t="s">
        <v>975</v>
      </c>
      <c r="D523" s="183">
        <v>2</v>
      </c>
      <c r="E523" s="185" t="s">
        <v>1124</v>
      </c>
      <c r="F523" s="185" t="s">
        <v>1124</v>
      </c>
      <c r="G523" s="184" t="s">
        <v>1124</v>
      </c>
      <c r="H523" s="186"/>
      <c r="I523" s="185"/>
      <c r="J523" s="187"/>
      <c r="K523" s="188"/>
      <c r="L523" s="189"/>
      <c r="M523" s="185" t="s">
        <v>1124</v>
      </c>
      <c r="N523" s="189"/>
      <c r="O523" s="333"/>
      <c r="P523" s="333" t="s">
        <v>1124</v>
      </c>
      <c r="Q523" s="333" t="s">
        <v>1124</v>
      </c>
      <c r="R523" s="475" t="str">
        <f t="shared" si="9"/>
        <v/>
      </c>
      <c r="S523" s="340" t="s">
        <v>1124</v>
      </c>
    </row>
    <row r="524" spans="2:19" ht="15" customHeight="1" x14ac:dyDescent="0.35">
      <c r="B524" s="181">
        <v>89010</v>
      </c>
      <c r="C524" s="182" t="s">
        <v>929</v>
      </c>
      <c r="D524" s="183">
        <v>8</v>
      </c>
      <c r="E524" s="185">
        <v>436</v>
      </c>
      <c r="F524" s="185">
        <v>265</v>
      </c>
      <c r="G524" s="184" t="s">
        <v>1308</v>
      </c>
      <c r="H524" s="186">
        <v>1</v>
      </c>
      <c r="I524" s="185">
        <v>43</v>
      </c>
      <c r="J524" s="187">
        <v>2.3983606557377048</v>
      </c>
      <c r="K524" s="188">
        <v>103.1295081967213</v>
      </c>
      <c r="L524" s="189">
        <v>3.452</v>
      </c>
      <c r="M524" s="185">
        <v>47</v>
      </c>
      <c r="N524" s="189">
        <v>16.411000000000001</v>
      </c>
      <c r="O524" s="333">
        <v>9.9921249999999997</v>
      </c>
      <c r="P524" s="333">
        <v>5.0108350000000019</v>
      </c>
      <c r="Q524" s="333">
        <v>1.9295589949999998</v>
      </c>
      <c r="R524" s="475">
        <f t="shared" si="9"/>
        <v>2.5968809520643874</v>
      </c>
      <c r="S524" s="340">
        <v>58.027027027027032</v>
      </c>
    </row>
    <row r="525" spans="2:19" ht="15" customHeight="1" x14ac:dyDescent="0.35">
      <c r="B525" s="181">
        <v>14065</v>
      </c>
      <c r="C525" s="182" t="s">
        <v>71</v>
      </c>
      <c r="D525" s="183">
        <v>1</v>
      </c>
      <c r="E525" s="185">
        <v>474</v>
      </c>
      <c r="F525" s="185">
        <v>199</v>
      </c>
      <c r="G525" s="184" t="s">
        <v>1308</v>
      </c>
      <c r="H525" s="186">
        <v>1</v>
      </c>
      <c r="I525" s="185">
        <v>273</v>
      </c>
      <c r="J525" s="187">
        <v>2.0505263157894738</v>
      </c>
      <c r="K525" s="188">
        <v>559.79368421052629</v>
      </c>
      <c r="L525" s="189">
        <v>16.986000000000001</v>
      </c>
      <c r="M525" s="185">
        <v>302</v>
      </c>
      <c r="N525" s="189">
        <v>96.88</v>
      </c>
      <c r="O525" s="333">
        <v>40.640999999999998</v>
      </c>
      <c r="P525" s="333">
        <v>2.2599303030303086</v>
      </c>
      <c r="Q525" s="333">
        <v>12.422369119999999</v>
      </c>
      <c r="R525" s="475">
        <f t="shared" si="9"/>
        <v>0.1819242594709107</v>
      </c>
      <c r="S525" s="340">
        <v>60.807017543859665</v>
      </c>
    </row>
    <row r="526" spans="2:19" ht="15" customHeight="1" x14ac:dyDescent="0.35">
      <c r="B526" s="181">
        <v>79037</v>
      </c>
      <c r="C526" s="182" t="s">
        <v>792</v>
      </c>
      <c r="D526" s="183">
        <v>15</v>
      </c>
      <c r="E526" s="185">
        <v>537</v>
      </c>
      <c r="F526" s="185">
        <v>291</v>
      </c>
      <c r="G526" s="184" t="s">
        <v>1326</v>
      </c>
      <c r="H526" s="186">
        <v>2</v>
      </c>
      <c r="I526" s="185">
        <v>1502</v>
      </c>
      <c r="J526" s="187">
        <v>1.7995119967466453</v>
      </c>
      <c r="K526" s="188">
        <v>2702.8670191134611</v>
      </c>
      <c r="L526" s="189">
        <v>32.769000000000005</v>
      </c>
      <c r="M526" s="185">
        <v>1400</v>
      </c>
      <c r="N526" s="189">
        <v>529.90499999999997</v>
      </c>
      <c r="O526" s="333">
        <v>286.83039550911514</v>
      </c>
      <c r="P526" s="333">
        <v>210.45549599999998</v>
      </c>
      <c r="Q526" s="333">
        <v>40.408055808840004</v>
      </c>
      <c r="R526" s="475">
        <f t="shared" si="9"/>
        <v>5.2082559229181964</v>
      </c>
      <c r="S526" s="340">
        <v>59.081081081081081</v>
      </c>
    </row>
    <row r="527" spans="2:19" ht="15" customHeight="1" x14ac:dyDescent="0.35">
      <c r="B527" s="181">
        <v>98050</v>
      </c>
      <c r="C527" s="182" t="s">
        <v>1017</v>
      </c>
      <c r="D527" s="183">
        <v>9</v>
      </c>
      <c r="E527" s="185">
        <v>167</v>
      </c>
      <c r="F527" s="185">
        <v>134</v>
      </c>
      <c r="G527" s="184" t="s">
        <v>1308</v>
      </c>
      <c r="H527" s="186">
        <v>1</v>
      </c>
      <c r="I527" s="185">
        <v>105</v>
      </c>
      <c r="J527" s="187">
        <v>2.39</v>
      </c>
      <c r="K527" s="188">
        <v>250.95000000000002</v>
      </c>
      <c r="L527" s="189">
        <v>3.0219999999999998</v>
      </c>
      <c r="M527" s="185">
        <v>109</v>
      </c>
      <c r="N527" s="189">
        <v>15.301</v>
      </c>
      <c r="O527" s="333">
        <v>12.303302752293577</v>
      </c>
      <c r="P527" s="333">
        <v>2.2995000000000005</v>
      </c>
      <c r="Q527" s="333">
        <v>2.0339383734999998</v>
      </c>
      <c r="R527" s="475">
        <f t="shared" si="9"/>
        <v>1.130565227521138</v>
      </c>
      <c r="S527" s="340">
        <v>44.905405405405403</v>
      </c>
    </row>
    <row r="528" spans="2:19" ht="15" customHeight="1" x14ac:dyDescent="0.35">
      <c r="B528" s="181">
        <v>91025</v>
      </c>
      <c r="C528" s="182" t="s">
        <v>941</v>
      </c>
      <c r="D528" s="183">
        <v>2</v>
      </c>
      <c r="E528" s="185">
        <v>442</v>
      </c>
      <c r="F528" s="185">
        <v>271</v>
      </c>
      <c r="G528" s="184" t="s">
        <v>1308</v>
      </c>
      <c r="H528" s="186">
        <v>1</v>
      </c>
      <c r="I528" s="185">
        <v>4498</v>
      </c>
      <c r="J528" s="187">
        <v>2.168774531181858</v>
      </c>
      <c r="K528" s="188">
        <v>9755.1478412559973</v>
      </c>
      <c r="L528" s="189">
        <v>88.019089999999991</v>
      </c>
      <c r="M528" s="185">
        <v>3549</v>
      </c>
      <c r="N528" s="189">
        <v>1575.1858430000002</v>
      </c>
      <c r="O528" s="333">
        <v>965.67200000000003</v>
      </c>
      <c r="P528" s="333">
        <v>315.62583290602078</v>
      </c>
      <c r="Q528" s="333">
        <v>93.389894215907987</v>
      </c>
      <c r="R528" s="475">
        <f t="shared" si="9"/>
        <v>3.3796572483134608</v>
      </c>
      <c r="S528" s="340">
        <v>65</v>
      </c>
    </row>
    <row r="529" spans="2:19" ht="15" customHeight="1" x14ac:dyDescent="0.35">
      <c r="B529" s="181">
        <v>88010</v>
      </c>
      <c r="C529" s="182" t="s">
        <v>912</v>
      </c>
      <c r="D529" s="183">
        <v>8</v>
      </c>
      <c r="E529" s="185" t="s">
        <v>1124</v>
      </c>
      <c r="F529" s="185" t="s">
        <v>1124</v>
      </c>
      <c r="G529" s="184" t="s">
        <v>1124</v>
      </c>
      <c r="H529" s="186"/>
      <c r="I529" s="185"/>
      <c r="J529" s="187"/>
      <c r="K529" s="188"/>
      <c r="L529" s="189"/>
      <c r="M529" s="185" t="s">
        <v>1124</v>
      </c>
      <c r="N529" s="189"/>
      <c r="O529" s="333"/>
      <c r="P529" s="333" t="s">
        <v>1124</v>
      </c>
      <c r="Q529" s="333" t="s">
        <v>1124</v>
      </c>
      <c r="R529" s="475" t="str">
        <f t="shared" si="9"/>
        <v/>
      </c>
      <c r="S529" s="340" t="s">
        <v>1124</v>
      </c>
    </row>
    <row r="530" spans="2:19" ht="15" customHeight="1" x14ac:dyDescent="0.35">
      <c r="B530" s="181">
        <v>87015</v>
      </c>
      <c r="C530" s="182" t="s">
        <v>892</v>
      </c>
      <c r="D530" s="183">
        <v>8</v>
      </c>
      <c r="E530" s="185" t="s">
        <v>1124</v>
      </c>
      <c r="F530" s="185" t="s">
        <v>1124</v>
      </c>
      <c r="G530" s="184" t="s">
        <v>1124</v>
      </c>
      <c r="H530" s="186"/>
      <c r="I530" s="185"/>
      <c r="J530" s="187"/>
      <c r="K530" s="188"/>
      <c r="L530" s="189"/>
      <c r="M530" s="185" t="s">
        <v>1124</v>
      </c>
      <c r="N530" s="189"/>
      <c r="O530" s="333"/>
      <c r="P530" s="333" t="s">
        <v>1124</v>
      </c>
      <c r="Q530" s="333" t="s">
        <v>1124</v>
      </c>
      <c r="R530" s="475" t="str">
        <f t="shared" si="9"/>
        <v/>
      </c>
      <c r="S530" s="340" t="s">
        <v>1124</v>
      </c>
    </row>
    <row r="531" spans="2:19" ht="15" customHeight="1" x14ac:dyDescent="0.35">
      <c r="B531" s="181">
        <v>73020</v>
      </c>
      <c r="C531" s="182" t="s">
        <v>737</v>
      </c>
      <c r="D531" s="183">
        <v>15</v>
      </c>
      <c r="E531" s="185">
        <v>452</v>
      </c>
      <c r="F531" s="185">
        <v>229</v>
      </c>
      <c r="G531" s="184" t="s">
        <v>1308</v>
      </c>
      <c r="H531" s="186">
        <v>2</v>
      </c>
      <c r="I531" s="185">
        <v>4911</v>
      </c>
      <c r="J531" s="187">
        <v>2.9554367745876609</v>
      </c>
      <c r="K531" s="188">
        <v>14514.150000000001</v>
      </c>
      <c r="L531" s="189">
        <v>104.10499999999999</v>
      </c>
      <c r="M531" s="185">
        <v>5258</v>
      </c>
      <c r="N531" s="189">
        <v>2393.1320000000001</v>
      </c>
      <c r="O531" s="333">
        <v>1214.3000000000002</v>
      </c>
      <c r="P531" s="333">
        <v>642.61747109340104</v>
      </c>
      <c r="Q531" s="333">
        <v>119.66958152800001</v>
      </c>
      <c r="R531" s="475">
        <f t="shared" si="9"/>
        <v>5.3699316308133236</v>
      </c>
      <c r="S531" s="340">
        <v>61.340935672514618</v>
      </c>
    </row>
    <row r="532" spans="2:19" ht="15" customHeight="1" x14ac:dyDescent="0.35">
      <c r="B532" s="181">
        <v>55037</v>
      </c>
      <c r="C532" s="182" t="s">
        <v>563</v>
      </c>
      <c r="D532" s="183">
        <v>16</v>
      </c>
      <c r="E532" s="185" t="s">
        <v>1124</v>
      </c>
      <c r="F532" s="185" t="s">
        <v>1124</v>
      </c>
      <c r="G532" s="184" t="s">
        <v>1124</v>
      </c>
      <c r="H532" s="186"/>
      <c r="I532" s="185"/>
      <c r="J532" s="187"/>
      <c r="K532" s="188"/>
      <c r="L532" s="189"/>
      <c r="M532" s="185" t="s">
        <v>1124</v>
      </c>
      <c r="N532" s="189"/>
      <c r="O532" s="333"/>
      <c r="P532" s="333" t="s">
        <v>1124</v>
      </c>
      <c r="Q532" s="333" t="s">
        <v>1124</v>
      </c>
      <c r="R532" s="475" t="str">
        <f t="shared" si="9"/>
        <v/>
      </c>
      <c r="S532" s="340" t="s">
        <v>1124</v>
      </c>
    </row>
    <row r="533" spans="2:19" ht="15" customHeight="1" x14ac:dyDescent="0.35">
      <c r="B533" s="181">
        <v>86042</v>
      </c>
      <c r="C533" s="182" t="s">
        <v>889</v>
      </c>
      <c r="D533" s="183">
        <v>8</v>
      </c>
      <c r="E533" s="185">
        <v>339</v>
      </c>
      <c r="F533" s="185">
        <v>97</v>
      </c>
      <c r="G533" s="184" t="s">
        <v>1326</v>
      </c>
      <c r="H533" s="186">
        <v>4</v>
      </c>
      <c r="I533" s="185">
        <v>15935</v>
      </c>
      <c r="J533" s="187">
        <v>2.3557609036711638</v>
      </c>
      <c r="K533" s="188">
        <v>37539.049999999996</v>
      </c>
      <c r="L533" s="189">
        <v>199.595</v>
      </c>
      <c r="M533" s="185">
        <v>9455</v>
      </c>
      <c r="N533" s="189">
        <v>4650.41</v>
      </c>
      <c r="O533" s="333">
        <v>1331.8527168407854</v>
      </c>
      <c r="P533" s="333">
        <v>1921.34758867347</v>
      </c>
      <c r="Q533" s="333">
        <v>234.03392231855</v>
      </c>
      <c r="R533" s="475">
        <f t="shared" si="9"/>
        <v>8.2096969945163387</v>
      </c>
      <c r="S533" s="340">
        <v>60.099329205366359</v>
      </c>
    </row>
    <row r="534" spans="2:19" ht="15" customHeight="1" x14ac:dyDescent="0.35">
      <c r="B534" s="181">
        <v>48015</v>
      </c>
      <c r="C534" s="182" t="s">
        <v>458</v>
      </c>
      <c r="D534" s="183">
        <v>16</v>
      </c>
      <c r="E534" s="185" t="s">
        <v>1124</v>
      </c>
      <c r="F534" s="185" t="s">
        <v>1124</v>
      </c>
      <c r="G534" s="184" t="s">
        <v>1124</v>
      </c>
      <c r="H534" s="186"/>
      <c r="I534" s="185"/>
      <c r="J534" s="187"/>
      <c r="K534" s="188"/>
      <c r="L534" s="189"/>
      <c r="M534" s="185" t="s">
        <v>1124</v>
      </c>
      <c r="N534" s="189"/>
      <c r="O534" s="333"/>
      <c r="P534" s="333" t="s">
        <v>1124</v>
      </c>
      <c r="Q534" s="333" t="s">
        <v>1124</v>
      </c>
      <c r="R534" s="475" t="str">
        <f t="shared" si="9"/>
        <v/>
      </c>
      <c r="S534" s="340" t="s">
        <v>1124</v>
      </c>
    </row>
    <row r="535" spans="2:19" ht="15" customHeight="1" x14ac:dyDescent="0.35">
      <c r="B535" s="181">
        <v>48010</v>
      </c>
      <c r="C535" s="182" t="s">
        <v>457</v>
      </c>
      <c r="D535" s="183">
        <v>16</v>
      </c>
      <c r="E535" s="185" t="s">
        <v>1124</v>
      </c>
      <c r="F535" s="185" t="s">
        <v>1124</v>
      </c>
      <c r="G535" s="184" t="s">
        <v>1124</v>
      </c>
      <c r="H535" s="186"/>
      <c r="I535" s="185"/>
      <c r="J535" s="187"/>
      <c r="K535" s="188"/>
      <c r="L535" s="189"/>
      <c r="M535" s="185" t="s">
        <v>1124</v>
      </c>
      <c r="N535" s="189"/>
      <c r="O535" s="333"/>
      <c r="P535" s="333" t="s">
        <v>1124</v>
      </c>
      <c r="Q535" s="333" t="s">
        <v>1124</v>
      </c>
      <c r="R535" s="475" t="str">
        <f t="shared" si="9"/>
        <v/>
      </c>
      <c r="S535" s="340" t="s">
        <v>1124</v>
      </c>
    </row>
    <row r="536" spans="2:19" ht="15" customHeight="1" x14ac:dyDescent="0.35">
      <c r="B536" s="181">
        <v>47047</v>
      </c>
      <c r="C536" s="182" t="s">
        <v>454</v>
      </c>
      <c r="D536" s="183">
        <v>5</v>
      </c>
      <c r="E536" s="185">
        <v>216</v>
      </c>
      <c r="F536" s="185">
        <v>178</v>
      </c>
      <c r="G536" s="184" t="s">
        <v>1326</v>
      </c>
      <c r="H536" s="186">
        <v>1</v>
      </c>
      <c r="I536" s="185">
        <v>1123</v>
      </c>
      <c r="J536" s="187">
        <v>2.23</v>
      </c>
      <c r="K536" s="188">
        <v>2504.29</v>
      </c>
      <c r="L536" s="189">
        <v>25.856999999999999</v>
      </c>
      <c r="M536" s="185">
        <v>1228</v>
      </c>
      <c r="N536" s="189">
        <v>197.3</v>
      </c>
      <c r="O536" s="333">
        <v>162.81880000000001</v>
      </c>
      <c r="P536" s="333">
        <v>15.122999999999999</v>
      </c>
      <c r="Q536" s="333">
        <v>31.337289160099999</v>
      </c>
      <c r="R536" s="475">
        <f t="shared" si="9"/>
        <v>0.48258800953514708</v>
      </c>
      <c r="S536" s="340">
        <v>61.857574908321162</v>
      </c>
    </row>
    <row r="537" spans="2:19" ht="15" customHeight="1" x14ac:dyDescent="0.35">
      <c r="B537" s="181">
        <v>95010</v>
      </c>
      <c r="C537" s="182" t="s">
        <v>987</v>
      </c>
      <c r="D537" s="183">
        <v>9</v>
      </c>
      <c r="E537" s="185" t="s">
        <v>1124</v>
      </c>
      <c r="F537" s="185" t="s">
        <v>1124</v>
      </c>
      <c r="G537" s="184" t="s">
        <v>1124</v>
      </c>
      <c r="H537" s="186"/>
      <c r="I537" s="185"/>
      <c r="J537" s="187"/>
      <c r="K537" s="188"/>
      <c r="L537" s="189"/>
      <c r="M537" s="185" t="s">
        <v>1124</v>
      </c>
      <c r="N537" s="189"/>
      <c r="O537" s="333"/>
      <c r="P537" s="333" t="s">
        <v>1124</v>
      </c>
      <c r="Q537" s="333" t="s">
        <v>1124</v>
      </c>
      <c r="R537" s="475" t="str">
        <f t="shared" si="9"/>
        <v/>
      </c>
      <c r="S537" s="340" t="s">
        <v>1124</v>
      </c>
    </row>
    <row r="538" spans="2:19" ht="15" customHeight="1" x14ac:dyDescent="0.35">
      <c r="B538" s="181">
        <v>31130</v>
      </c>
      <c r="C538" s="182" t="s">
        <v>253</v>
      </c>
      <c r="D538" s="183">
        <v>12</v>
      </c>
      <c r="E538" s="185" t="s">
        <v>1124</v>
      </c>
      <c r="F538" s="185" t="s">
        <v>1124</v>
      </c>
      <c r="G538" s="184" t="s">
        <v>1124</v>
      </c>
      <c r="H538" s="186"/>
      <c r="I538" s="185"/>
      <c r="J538" s="187"/>
      <c r="K538" s="188"/>
      <c r="L538" s="189"/>
      <c r="M538" s="185" t="s">
        <v>1124</v>
      </c>
      <c r="N538" s="189"/>
      <c r="O538" s="333"/>
      <c r="P538" s="333" t="s">
        <v>1124</v>
      </c>
      <c r="Q538" s="333" t="s">
        <v>1124</v>
      </c>
      <c r="R538" s="475" t="str">
        <f t="shared" si="9"/>
        <v/>
      </c>
      <c r="S538" s="340" t="s">
        <v>1124</v>
      </c>
    </row>
    <row r="539" spans="2:19" ht="15" customHeight="1" x14ac:dyDescent="0.35">
      <c r="B539" s="181">
        <v>94068</v>
      </c>
      <c r="C539" s="182" t="s">
        <v>972</v>
      </c>
      <c r="D539" s="183">
        <v>2</v>
      </c>
      <c r="E539" s="185">
        <v>555</v>
      </c>
      <c r="F539" s="185">
        <v>250</v>
      </c>
      <c r="G539" s="184" t="s">
        <v>1308</v>
      </c>
      <c r="H539" s="186">
        <v>8</v>
      </c>
      <c r="I539" s="185">
        <v>65628</v>
      </c>
      <c r="J539" s="187">
        <v>2.0963419517217714</v>
      </c>
      <c r="K539" s="188">
        <v>137578.72960759641</v>
      </c>
      <c r="L539" s="189">
        <v>1192.9180000000001</v>
      </c>
      <c r="M539" s="185">
        <v>46928</v>
      </c>
      <c r="N539" s="189">
        <v>27845.359999999997</v>
      </c>
      <c r="O539" s="333">
        <v>12554.059076693169</v>
      </c>
      <c r="P539" s="333">
        <v>7701.0192310714301</v>
      </c>
      <c r="Q539" s="333">
        <v>1727.0421373051418</v>
      </c>
      <c r="R539" s="475">
        <f t="shared" si="9"/>
        <v>4.4590801027518756</v>
      </c>
      <c r="S539" s="340">
        <v>53.998836336336339</v>
      </c>
    </row>
    <row r="540" spans="2:19" ht="15" customHeight="1" x14ac:dyDescent="0.35">
      <c r="B540" s="181">
        <v>17015</v>
      </c>
      <c r="C540" s="182" t="s">
        <v>92</v>
      </c>
      <c r="D540" s="183">
        <v>12</v>
      </c>
      <c r="E540" s="185" t="s">
        <v>1124</v>
      </c>
      <c r="F540" s="185" t="s">
        <v>1124</v>
      </c>
      <c r="G540" s="184" t="s">
        <v>1124</v>
      </c>
      <c r="H540" s="186"/>
      <c r="I540" s="185"/>
      <c r="J540" s="187"/>
      <c r="K540" s="188"/>
      <c r="L540" s="189"/>
      <c r="M540" s="185" t="s">
        <v>1124</v>
      </c>
      <c r="N540" s="189"/>
      <c r="O540" s="333"/>
      <c r="P540" s="333" t="s">
        <v>1124</v>
      </c>
      <c r="Q540" s="333" t="s">
        <v>1124</v>
      </c>
      <c r="R540" s="475" t="str">
        <f t="shared" si="9"/>
        <v/>
      </c>
      <c r="S540" s="340" t="s">
        <v>1124</v>
      </c>
    </row>
    <row r="541" spans="2:19" ht="15" customHeight="1" x14ac:dyDescent="0.35">
      <c r="B541" s="181">
        <v>8030</v>
      </c>
      <c r="C541" s="182" t="s">
        <v>1090</v>
      </c>
      <c r="D541" s="183">
        <v>1</v>
      </c>
      <c r="E541" s="185">
        <v>305</v>
      </c>
      <c r="F541" s="185">
        <v>235</v>
      </c>
      <c r="G541" s="184" t="s">
        <v>1308</v>
      </c>
      <c r="H541" s="186">
        <v>1</v>
      </c>
      <c r="I541" s="185">
        <v>74</v>
      </c>
      <c r="J541" s="187">
        <v>2.2136752136752138</v>
      </c>
      <c r="K541" s="188">
        <v>163.81196581196582</v>
      </c>
      <c r="L541" s="189">
        <v>2.2170000000000001</v>
      </c>
      <c r="M541" s="185">
        <v>84</v>
      </c>
      <c r="N541" s="189">
        <v>18.224</v>
      </c>
      <c r="O541" s="333">
        <v>14.03</v>
      </c>
      <c r="P541" s="333">
        <v>2.583639999999999</v>
      </c>
      <c r="Q541" s="333">
        <v>2.4375860700000005</v>
      </c>
      <c r="R541" s="475">
        <f t="shared" si="9"/>
        <v>1.0599174452945568</v>
      </c>
      <c r="S541" s="340">
        <v>44.729729729729726</v>
      </c>
    </row>
    <row r="542" spans="2:19" ht="15" customHeight="1" x14ac:dyDescent="0.35">
      <c r="B542" s="181">
        <v>35015</v>
      </c>
      <c r="C542" s="182" t="s">
        <v>305</v>
      </c>
      <c r="D542" s="183">
        <v>4</v>
      </c>
      <c r="E542" s="185">
        <v>259</v>
      </c>
      <c r="F542" s="185">
        <v>196</v>
      </c>
      <c r="G542" s="184" t="s">
        <v>1308</v>
      </c>
      <c r="H542" s="186">
        <v>1</v>
      </c>
      <c r="I542" s="185">
        <v>393</v>
      </c>
      <c r="J542" s="187">
        <v>1.9527720739219712</v>
      </c>
      <c r="K542" s="188">
        <v>767.43942505133464</v>
      </c>
      <c r="L542" s="189">
        <v>13.458</v>
      </c>
      <c r="M542" s="185">
        <v>338</v>
      </c>
      <c r="N542" s="189">
        <v>72.441000000000003</v>
      </c>
      <c r="O542" s="333">
        <v>54.831914357682621</v>
      </c>
      <c r="P542" s="333">
        <v>14.248968010204084</v>
      </c>
      <c r="Q542" s="333">
        <v>8.5146903693000002</v>
      </c>
      <c r="R542" s="475">
        <f t="shared" si="9"/>
        <v>1.6734569775524912</v>
      </c>
      <c r="S542" s="340">
        <v>52</v>
      </c>
    </row>
    <row r="543" spans="2:19" ht="15" customHeight="1" x14ac:dyDescent="0.35">
      <c r="B543" s="193">
        <v>77065</v>
      </c>
      <c r="C543" s="194" t="s">
        <v>765</v>
      </c>
      <c r="D543" s="195">
        <v>15</v>
      </c>
      <c r="E543" s="185">
        <v>619</v>
      </c>
      <c r="F543" s="185">
        <v>401</v>
      </c>
      <c r="G543" s="196" t="s">
        <v>1326</v>
      </c>
      <c r="H543" s="186">
        <v>2</v>
      </c>
      <c r="I543" s="185">
        <v>648</v>
      </c>
      <c r="J543" s="187">
        <v>1.3699421965317919</v>
      </c>
      <c r="K543" s="188">
        <v>887.72254335260118</v>
      </c>
      <c r="L543" s="189">
        <v>18.957000000000001</v>
      </c>
      <c r="M543" s="185">
        <v>543</v>
      </c>
      <c r="N543" s="189">
        <v>200.70599999999999</v>
      </c>
      <c r="O543" s="333">
        <v>129.99352472869595</v>
      </c>
      <c r="P543" s="333">
        <v>29.040409999999998</v>
      </c>
      <c r="Q543" s="333">
        <v>21.245377281500005</v>
      </c>
      <c r="R543" s="475">
        <f t="shared" si="9"/>
        <v>1.3669048854824402</v>
      </c>
      <c r="S543" s="340">
        <v>45.081081081081081</v>
      </c>
    </row>
    <row r="544" spans="2:19" ht="15" customHeight="1" x14ac:dyDescent="0.35">
      <c r="B544" s="181">
        <v>40010</v>
      </c>
      <c r="C544" s="182" t="s">
        <v>359</v>
      </c>
      <c r="D544" s="183">
        <v>5</v>
      </c>
      <c r="E544" s="185" t="s">
        <v>1124</v>
      </c>
      <c r="F544" s="185" t="s">
        <v>1124</v>
      </c>
      <c r="G544" s="184" t="s">
        <v>1124</v>
      </c>
      <c r="H544" s="186"/>
      <c r="I544" s="185"/>
      <c r="J544" s="187"/>
      <c r="K544" s="188"/>
      <c r="L544" s="189"/>
      <c r="M544" s="185" t="s">
        <v>1124</v>
      </c>
      <c r="N544" s="189"/>
      <c r="O544" s="333"/>
      <c r="P544" s="333" t="s">
        <v>1124</v>
      </c>
      <c r="Q544" s="333" t="s">
        <v>1124</v>
      </c>
      <c r="R544" s="475" t="str">
        <f t="shared" si="9"/>
        <v/>
      </c>
      <c r="S544" s="340" t="s">
        <v>1124</v>
      </c>
    </row>
    <row r="545" spans="2:19" ht="15" customHeight="1" x14ac:dyDescent="0.35">
      <c r="B545" s="181">
        <v>31095</v>
      </c>
      <c r="C545" s="182" t="s">
        <v>249</v>
      </c>
      <c r="D545" s="183">
        <v>12</v>
      </c>
      <c r="E545" s="185">
        <v>195</v>
      </c>
      <c r="F545" s="185">
        <v>136</v>
      </c>
      <c r="G545" s="184" t="s">
        <v>1326</v>
      </c>
      <c r="H545" s="186">
        <v>1</v>
      </c>
      <c r="I545" s="185">
        <v>34</v>
      </c>
      <c r="J545" s="187">
        <v>2.1082474226804124</v>
      </c>
      <c r="K545" s="188">
        <v>71.680412371134025</v>
      </c>
      <c r="L545" s="189">
        <v>1.3340000000000001</v>
      </c>
      <c r="M545" s="185">
        <v>29</v>
      </c>
      <c r="N545" s="189">
        <v>5.1100000000000003</v>
      </c>
      <c r="O545" s="333">
        <v>3.57</v>
      </c>
      <c r="P545" s="333">
        <v>0.73</v>
      </c>
      <c r="Q545" s="333">
        <v>0.79139017125</v>
      </c>
      <c r="R545" s="475">
        <f t="shared" si="9"/>
        <v>0.92242742773386444</v>
      </c>
      <c r="S545" s="340">
        <v>58.72972972972974</v>
      </c>
    </row>
    <row r="546" spans="2:19" ht="15" customHeight="1" x14ac:dyDescent="0.35">
      <c r="B546" s="181">
        <v>33045</v>
      </c>
      <c r="C546" s="182" t="s">
        <v>273</v>
      </c>
      <c r="D546" s="183">
        <v>12</v>
      </c>
      <c r="E546" s="185">
        <v>252</v>
      </c>
      <c r="F546" s="185">
        <v>157</v>
      </c>
      <c r="G546" s="184" t="s">
        <v>1326</v>
      </c>
      <c r="H546" s="186">
        <v>1</v>
      </c>
      <c r="I546" s="185">
        <v>1507</v>
      </c>
      <c r="J546" s="187">
        <v>2.3329815303430079</v>
      </c>
      <c r="K546" s="188">
        <v>3515.8031662269132</v>
      </c>
      <c r="L546" s="189">
        <v>24.423999999999999</v>
      </c>
      <c r="M546" s="185">
        <v>1389</v>
      </c>
      <c r="N546" s="189">
        <v>323.92899999999997</v>
      </c>
      <c r="O546" s="333">
        <v>201.38</v>
      </c>
      <c r="P546" s="333">
        <v>37.409777857142863</v>
      </c>
      <c r="Q546" s="333">
        <v>20.290405188000001</v>
      </c>
      <c r="R546" s="475">
        <f t="shared" si="9"/>
        <v>1.8437176345432211</v>
      </c>
      <c r="S546" s="340">
        <v>72.666666666666671</v>
      </c>
    </row>
    <row r="547" spans="2:19" ht="15" customHeight="1" x14ac:dyDescent="0.35">
      <c r="B547" s="181">
        <v>53015</v>
      </c>
      <c r="C547" s="182" t="s">
        <v>532</v>
      </c>
      <c r="D547" s="183">
        <v>16</v>
      </c>
      <c r="E547" s="185">
        <v>749</v>
      </c>
      <c r="F547" s="185">
        <v>152</v>
      </c>
      <c r="G547" s="184" t="s">
        <v>1308</v>
      </c>
      <c r="H547" s="186">
        <v>1</v>
      </c>
      <c r="I547" s="185">
        <v>211</v>
      </c>
      <c r="J547" s="187">
        <v>2.2180094786729856</v>
      </c>
      <c r="K547" s="188">
        <v>467.99999999999994</v>
      </c>
      <c r="L547" s="189">
        <v>35.820999999999998</v>
      </c>
      <c r="M547" s="185">
        <v>298</v>
      </c>
      <c r="N547" s="189">
        <v>127.93</v>
      </c>
      <c r="O547" s="333">
        <v>25.96</v>
      </c>
      <c r="P547" s="333">
        <v>10.987034107142859</v>
      </c>
      <c r="Q547" s="333">
        <v>17.4776235</v>
      </c>
      <c r="R547" s="475">
        <f t="shared" si="9"/>
        <v>0.62863432818213871</v>
      </c>
      <c r="S547" s="340">
        <v>51.733333333333334</v>
      </c>
    </row>
    <row r="548" spans="2:19" ht="15" customHeight="1" x14ac:dyDescent="0.35">
      <c r="B548" s="181">
        <v>15030</v>
      </c>
      <c r="C548" s="182" t="s">
        <v>80</v>
      </c>
      <c r="D548" s="183">
        <v>3</v>
      </c>
      <c r="E548" s="185" t="s">
        <v>1124</v>
      </c>
      <c r="F548" s="185" t="s">
        <v>1124</v>
      </c>
      <c r="G548" s="184" t="s">
        <v>1124</v>
      </c>
      <c r="H548" s="186"/>
      <c r="I548" s="185"/>
      <c r="J548" s="187"/>
      <c r="K548" s="188"/>
      <c r="L548" s="189"/>
      <c r="M548" s="185" t="s">
        <v>1124</v>
      </c>
      <c r="N548" s="189"/>
      <c r="O548" s="333"/>
      <c r="P548" s="333" t="s">
        <v>1124</v>
      </c>
      <c r="Q548" s="333" t="s">
        <v>1124</v>
      </c>
      <c r="R548" s="475" t="str">
        <f t="shared" si="9"/>
        <v/>
      </c>
      <c r="S548" s="340" t="s">
        <v>1124</v>
      </c>
    </row>
    <row r="549" spans="2:19" ht="15" customHeight="1" x14ac:dyDescent="0.35">
      <c r="B549" s="181">
        <v>79022</v>
      </c>
      <c r="C549" s="182" t="s">
        <v>789</v>
      </c>
      <c r="D549" s="183">
        <v>15</v>
      </c>
      <c r="E549" s="185">
        <v>204</v>
      </c>
      <c r="F549" s="185">
        <v>175</v>
      </c>
      <c r="G549" s="184" t="s">
        <v>1308</v>
      </c>
      <c r="H549" s="186">
        <v>1</v>
      </c>
      <c r="I549" s="185">
        <v>51</v>
      </c>
      <c r="J549" s="187">
        <v>1.9659685863874348</v>
      </c>
      <c r="K549" s="188">
        <v>100.26439790575917</v>
      </c>
      <c r="L549" s="189">
        <v>1.6910000000000001</v>
      </c>
      <c r="M549" s="185">
        <v>43</v>
      </c>
      <c r="N549" s="189">
        <v>7.4770000000000003</v>
      </c>
      <c r="O549" s="333">
        <v>6.396169811320755</v>
      </c>
      <c r="P549" s="333">
        <v>0.71784499999999984</v>
      </c>
      <c r="Q549" s="333">
        <v>0.8966300920000001</v>
      </c>
      <c r="R549" s="475">
        <f t="shared" si="9"/>
        <v>0.80060328825100346</v>
      </c>
      <c r="S549" s="340">
        <v>59.608108108108112</v>
      </c>
    </row>
    <row r="550" spans="2:19" ht="15" customHeight="1" x14ac:dyDescent="0.35">
      <c r="B550" s="181">
        <v>34097</v>
      </c>
      <c r="C550" s="182" t="s">
        <v>297</v>
      </c>
      <c r="D550" s="183">
        <v>3</v>
      </c>
      <c r="E550" s="185">
        <v>339</v>
      </c>
      <c r="F550" s="185">
        <v>245</v>
      </c>
      <c r="G550" s="184" t="s">
        <v>1308</v>
      </c>
      <c r="H550" s="186">
        <v>2</v>
      </c>
      <c r="I550" s="185">
        <v>469</v>
      </c>
      <c r="J550" s="187">
        <v>2.2623853211009175</v>
      </c>
      <c r="K550" s="188">
        <v>1061.0587155963303</v>
      </c>
      <c r="L550" s="189">
        <v>12.74</v>
      </c>
      <c r="M550" s="185">
        <v>482</v>
      </c>
      <c r="N550" s="189">
        <v>131.19999999999999</v>
      </c>
      <c r="O550" s="333">
        <v>94.702226737474035</v>
      </c>
      <c r="P550" s="333">
        <v>30.811</v>
      </c>
      <c r="Q550" s="333">
        <v>9.8779511999999983</v>
      </c>
      <c r="R550" s="475">
        <f t="shared" si="9"/>
        <v>3.119169084374501</v>
      </c>
      <c r="S550" s="340">
        <v>58.202702702702709</v>
      </c>
    </row>
    <row r="551" spans="2:19" ht="15" customHeight="1" x14ac:dyDescent="0.35">
      <c r="B551" s="181">
        <v>39085</v>
      </c>
      <c r="C551" s="182" t="s">
        <v>348</v>
      </c>
      <c r="D551" s="183">
        <v>17</v>
      </c>
      <c r="E551" s="185" t="s">
        <v>1124</v>
      </c>
      <c r="F551" s="185" t="s">
        <v>1124</v>
      </c>
      <c r="G551" s="184" t="s">
        <v>1124</v>
      </c>
      <c r="H551" s="186"/>
      <c r="I551" s="185"/>
      <c r="J551" s="187"/>
      <c r="K551" s="188"/>
      <c r="L551" s="189"/>
      <c r="M551" s="185" t="s">
        <v>1124</v>
      </c>
      <c r="N551" s="189"/>
      <c r="O551" s="333"/>
      <c r="P551" s="333" t="s">
        <v>1124</v>
      </c>
      <c r="Q551" s="333" t="s">
        <v>1124</v>
      </c>
      <c r="R551" s="475" t="str">
        <f t="shared" si="9"/>
        <v/>
      </c>
      <c r="S551" s="340" t="s">
        <v>1124</v>
      </c>
    </row>
    <row r="552" spans="2:19" ht="15" customHeight="1" x14ac:dyDescent="0.35">
      <c r="B552" s="181">
        <v>56055</v>
      </c>
      <c r="C552" s="182" t="s">
        <v>575</v>
      </c>
      <c r="D552" s="183">
        <v>16</v>
      </c>
      <c r="E552" s="185">
        <v>218</v>
      </c>
      <c r="F552" s="185">
        <v>157</v>
      </c>
      <c r="G552" s="184" t="s">
        <v>1326</v>
      </c>
      <c r="H552" s="186">
        <v>1</v>
      </c>
      <c r="I552" s="185">
        <v>655</v>
      </c>
      <c r="J552" s="187">
        <v>2.5199600798403194</v>
      </c>
      <c r="K552" s="188">
        <v>1650.5738522954093</v>
      </c>
      <c r="L552" s="189">
        <v>12.552</v>
      </c>
      <c r="M552" s="185">
        <v>649</v>
      </c>
      <c r="N552" s="189">
        <v>131.31</v>
      </c>
      <c r="O552" s="333">
        <v>94.344999999999999</v>
      </c>
      <c r="P552" s="333">
        <v>26.005070206185575</v>
      </c>
      <c r="Q552" s="333">
        <v>13.192067030999997</v>
      </c>
      <c r="R552" s="475">
        <f t="shared" si="9"/>
        <v>1.9712657724582767</v>
      </c>
      <c r="S552" s="340">
        <v>68.702572269483539</v>
      </c>
    </row>
    <row r="553" spans="2:19" ht="15" customHeight="1" x14ac:dyDescent="0.35">
      <c r="B553" s="181">
        <v>14035</v>
      </c>
      <c r="C553" s="182" t="s">
        <v>65</v>
      </c>
      <c r="D553" s="183">
        <v>1</v>
      </c>
      <c r="E553" s="185">
        <v>624</v>
      </c>
      <c r="F553" s="185">
        <v>214</v>
      </c>
      <c r="G553" s="184" t="s">
        <v>1326</v>
      </c>
      <c r="H553" s="186">
        <v>1</v>
      </c>
      <c r="I553" s="185">
        <v>603</v>
      </c>
      <c r="J553" s="187">
        <v>2.5298944900351699</v>
      </c>
      <c r="K553" s="188">
        <v>1525.5263774912075</v>
      </c>
      <c r="L553" s="189">
        <v>15.234</v>
      </c>
      <c r="M553" s="185">
        <v>625</v>
      </c>
      <c r="N553" s="189">
        <v>347.18200000000002</v>
      </c>
      <c r="O553" s="333">
        <v>119.33369999999999</v>
      </c>
      <c r="P553" s="333">
        <v>51.968674591836802</v>
      </c>
      <c r="Q553" s="333">
        <v>19.018643280000003</v>
      </c>
      <c r="R553" s="475">
        <f t="shared" si="9"/>
        <v>2.7325121895780566</v>
      </c>
      <c r="S553" s="340">
        <v>61.263157894736857</v>
      </c>
    </row>
    <row r="554" spans="2:19" ht="15" customHeight="1" x14ac:dyDescent="0.35">
      <c r="B554" s="181">
        <v>7065</v>
      </c>
      <c r="C554" s="182" t="s">
        <v>1077</v>
      </c>
      <c r="D554" s="183">
        <v>1</v>
      </c>
      <c r="E554" s="185">
        <v>212</v>
      </c>
      <c r="F554" s="185">
        <v>135</v>
      </c>
      <c r="G554" s="184" t="s">
        <v>1308</v>
      </c>
      <c r="H554" s="186">
        <v>1</v>
      </c>
      <c r="I554" s="185">
        <v>71</v>
      </c>
      <c r="J554" s="187">
        <v>2.1515151515151514</v>
      </c>
      <c r="K554" s="188">
        <v>152.75757575757575</v>
      </c>
      <c r="L554" s="189">
        <v>3.0529999999999999</v>
      </c>
      <c r="M554" s="185">
        <v>75</v>
      </c>
      <c r="N554" s="189">
        <v>11.819000000000001</v>
      </c>
      <c r="O554" s="333">
        <v>7.5007123287671229</v>
      </c>
      <c r="P554" s="333">
        <v>3.9297150000000012</v>
      </c>
      <c r="Q554" s="333">
        <v>3.2038703550000003</v>
      </c>
      <c r="R554" s="475">
        <f t="shared" si="9"/>
        <v>1.2265524395727307</v>
      </c>
      <c r="S554" s="340">
        <v>45.081081081081081</v>
      </c>
    </row>
    <row r="555" spans="2:19" ht="15" customHeight="1" x14ac:dyDescent="0.35">
      <c r="B555" s="181">
        <v>63023</v>
      </c>
      <c r="C555" s="182" t="s">
        <v>636</v>
      </c>
      <c r="D555" s="183">
        <v>14</v>
      </c>
      <c r="E555" s="185">
        <v>284</v>
      </c>
      <c r="F555" s="185">
        <v>172</v>
      </c>
      <c r="G555" s="184" t="s">
        <v>1326</v>
      </c>
      <c r="H555" s="186">
        <v>1</v>
      </c>
      <c r="I555" s="185">
        <v>207</v>
      </c>
      <c r="J555" s="187">
        <v>2.78</v>
      </c>
      <c r="K555" s="188">
        <v>575.45999999999992</v>
      </c>
      <c r="L555" s="189">
        <v>3.806</v>
      </c>
      <c r="M555" s="185">
        <v>191</v>
      </c>
      <c r="N555" s="189">
        <v>59.598999999999997</v>
      </c>
      <c r="O555" s="333">
        <v>36.131944954128436</v>
      </c>
      <c r="P555" s="333">
        <v>20.653014999999996</v>
      </c>
      <c r="Q555" s="333">
        <v>4.4978692309999992</v>
      </c>
      <c r="R555" s="475">
        <f t="shared" si="9"/>
        <v>4.591733093896166</v>
      </c>
      <c r="S555" s="340">
        <v>59.081081081081081</v>
      </c>
    </row>
    <row r="556" spans="2:19" ht="15" customHeight="1" x14ac:dyDescent="0.35">
      <c r="B556" s="181">
        <v>6050</v>
      </c>
      <c r="C556" s="182" t="s">
        <v>1065</v>
      </c>
      <c r="D556" s="183">
        <v>11</v>
      </c>
      <c r="E556" s="185">
        <v>195</v>
      </c>
      <c r="F556" s="185">
        <v>175</v>
      </c>
      <c r="G556" s="184" t="s">
        <v>1308</v>
      </c>
      <c r="H556" s="186">
        <v>1</v>
      </c>
      <c r="I556" s="185">
        <v>272</v>
      </c>
      <c r="J556" s="187">
        <v>1.7440273037542662</v>
      </c>
      <c r="K556" s="188">
        <v>474.37542662116039</v>
      </c>
      <c r="L556" s="189">
        <v>3.4649999999999999</v>
      </c>
      <c r="M556" s="185">
        <v>155</v>
      </c>
      <c r="N556" s="189">
        <v>33.834000000000003</v>
      </c>
      <c r="O556" s="333">
        <v>30.239887323943663</v>
      </c>
      <c r="P556" s="333">
        <v>1.7524900000000023</v>
      </c>
      <c r="Q556" s="333">
        <v>3.6046524</v>
      </c>
      <c r="R556" s="475">
        <f t="shared" si="9"/>
        <v>0.48617447829366356</v>
      </c>
      <c r="S556" s="340">
        <v>58.72972972972974</v>
      </c>
    </row>
    <row r="557" spans="2:19" ht="15" customHeight="1" x14ac:dyDescent="0.35">
      <c r="B557" s="181">
        <v>51065</v>
      </c>
      <c r="C557" s="182" t="s">
        <v>509</v>
      </c>
      <c r="D557" s="183">
        <v>4</v>
      </c>
      <c r="E557" s="185" t="s">
        <v>1124</v>
      </c>
      <c r="F557" s="185" t="s">
        <v>1124</v>
      </c>
      <c r="G557" s="184" t="s">
        <v>1124</v>
      </c>
      <c r="H557" s="186"/>
      <c r="I557" s="185"/>
      <c r="J557" s="187"/>
      <c r="K557" s="188"/>
      <c r="L557" s="189"/>
      <c r="M557" s="185" t="s">
        <v>1124</v>
      </c>
      <c r="N557" s="189"/>
      <c r="O557" s="333"/>
      <c r="P557" s="333" t="s">
        <v>1124</v>
      </c>
      <c r="Q557" s="333" t="s">
        <v>1124</v>
      </c>
      <c r="R557" s="475" t="str">
        <f t="shared" si="9"/>
        <v/>
      </c>
      <c r="S557" s="340" t="s">
        <v>1124</v>
      </c>
    </row>
    <row r="558" spans="2:19" ht="15" customHeight="1" x14ac:dyDescent="0.35">
      <c r="B558" s="181">
        <v>27015</v>
      </c>
      <c r="C558" s="182" t="s">
        <v>179</v>
      </c>
      <c r="D558" s="183">
        <v>12</v>
      </c>
      <c r="E558" s="185" t="s">
        <v>1124</v>
      </c>
      <c r="F558" s="185" t="s">
        <v>1124</v>
      </c>
      <c r="G558" s="184" t="s">
        <v>1124</v>
      </c>
      <c r="H558" s="186"/>
      <c r="I558" s="185"/>
      <c r="J558" s="187"/>
      <c r="K558" s="188"/>
      <c r="L558" s="189"/>
      <c r="M558" s="185" t="s">
        <v>1124</v>
      </c>
      <c r="N558" s="189"/>
      <c r="O558" s="333"/>
      <c r="P558" s="333" t="s">
        <v>1124</v>
      </c>
      <c r="Q558" s="333" t="s">
        <v>1124</v>
      </c>
      <c r="R558" s="475" t="str">
        <f t="shared" si="9"/>
        <v/>
      </c>
      <c r="S558" s="340" t="s">
        <v>1124</v>
      </c>
    </row>
    <row r="559" spans="2:19" ht="15" customHeight="1" x14ac:dyDescent="0.35">
      <c r="B559" s="181">
        <v>5065</v>
      </c>
      <c r="C559" s="182" t="s">
        <v>1054</v>
      </c>
      <c r="D559" s="183">
        <v>11</v>
      </c>
      <c r="E559" s="185">
        <v>273</v>
      </c>
      <c r="F559" s="185">
        <v>242</v>
      </c>
      <c r="G559" s="184" t="s">
        <v>1308</v>
      </c>
      <c r="H559" s="186">
        <v>1</v>
      </c>
      <c r="I559" s="185">
        <v>230</v>
      </c>
      <c r="J559" s="187">
        <v>2.2168284789644015</v>
      </c>
      <c r="K559" s="188">
        <v>509.87055016181233</v>
      </c>
      <c r="L559" s="189">
        <v>7.5709999999999997</v>
      </c>
      <c r="M559" s="185">
        <v>231</v>
      </c>
      <c r="N559" s="189">
        <v>50.732999999999997</v>
      </c>
      <c r="O559" s="333">
        <v>45.040409836065571</v>
      </c>
      <c r="P559" s="333">
        <v>2.1900049999999984</v>
      </c>
      <c r="Q559" s="333">
        <v>7.3230185899499993</v>
      </c>
      <c r="R559" s="475">
        <f t="shared" si="9"/>
        <v>0.29905768681313039</v>
      </c>
      <c r="S559" s="340">
        <v>45.081081081081081</v>
      </c>
    </row>
    <row r="560" spans="2:19" ht="15" customHeight="1" x14ac:dyDescent="0.35">
      <c r="B560" s="181">
        <v>47010</v>
      </c>
      <c r="C560" s="182" t="s">
        <v>448</v>
      </c>
      <c r="D560" s="183">
        <v>5</v>
      </c>
      <c r="E560" s="185" t="s">
        <v>1124</v>
      </c>
      <c r="F560" s="185" t="s">
        <v>1124</v>
      </c>
      <c r="G560" s="184" t="s">
        <v>1124</v>
      </c>
      <c r="H560" s="186"/>
      <c r="I560" s="185"/>
      <c r="J560" s="187"/>
      <c r="K560" s="188"/>
      <c r="L560" s="189"/>
      <c r="M560" s="185" t="s">
        <v>1124</v>
      </c>
      <c r="N560" s="189"/>
      <c r="O560" s="333"/>
      <c r="P560" s="333" t="s">
        <v>1124</v>
      </c>
      <c r="Q560" s="333" t="s">
        <v>1124</v>
      </c>
      <c r="R560" s="475" t="str">
        <f t="shared" si="9"/>
        <v/>
      </c>
      <c r="S560" s="340" t="s">
        <v>1124</v>
      </c>
    </row>
    <row r="561" spans="2:19" ht="15" customHeight="1" x14ac:dyDescent="0.35">
      <c r="B561" s="181">
        <v>62025</v>
      </c>
      <c r="C561" s="182" t="s">
        <v>622</v>
      </c>
      <c r="D561" s="183">
        <v>14</v>
      </c>
      <c r="E561" s="185">
        <v>348</v>
      </c>
      <c r="F561" s="185">
        <v>232</v>
      </c>
      <c r="G561" s="184" t="s">
        <v>1326</v>
      </c>
      <c r="H561" s="186">
        <v>3</v>
      </c>
      <c r="I561" s="185">
        <v>481</v>
      </c>
      <c r="J561" s="187">
        <v>1.4947029018885305</v>
      </c>
      <c r="K561" s="188">
        <v>718.95209580838321</v>
      </c>
      <c r="L561" s="189">
        <v>16.45</v>
      </c>
      <c r="M561" s="185">
        <v>557</v>
      </c>
      <c r="N561" s="189">
        <v>91.285000000000011</v>
      </c>
      <c r="O561" s="333">
        <v>60.971999999999994</v>
      </c>
      <c r="P561" s="333">
        <v>17.366562499999997</v>
      </c>
      <c r="Q561" s="333">
        <v>15.067172625000001</v>
      </c>
      <c r="R561" s="475">
        <f t="shared" si="9"/>
        <v>1.1526092474167824</v>
      </c>
      <c r="S561" s="340">
        <v>50.961693541229806</v>
      </c>
    </row>
    <row r="562" spans="2:19" ht="15" customHeight="1" x14ac:dyDescent="0.35">
      <c r="B562" s="181">
        <v>59015</v>
      </c>
      <c r="C562" s="182" t="s">
        <v>600</v>
      </c>
      <c r="D562" s="183">
        <v>16</v>
      </c>
      <c r="E562" s="185" t="s">
        <v>1124</v>
      </c>
      <c r="F562" s="185" t="s">
        <v>1124</v>
      </c>
      <c r="G562" s="184" t="s">
        <v>1124</v>
      </c>
      <c r="H562" s="186"/>
      <c r="I562" s="185"/>
      <c r="J562" s="187"/>
      <c r="K562" s="188"/>
      <c r="L562" s="189"/>
      <c r="M562" s="185" t="s">
        <v>1124</v>
      </c>
      <c r="N562" s="189"/>
      <c r="O562" s="333"/>
      <c r="P562" s="333" t="s">
        <v>1124</v>
      </c>
      <c r="Q562" s="333" t="s">
        <v>1124</v>
      </c>
      <c r="R562" s="475" t="str">
        <f t="shared" si="9"/>
        <v/>
      </c>
      <c r="S562" s="340" t="s">
        <v>1124</v>
      </c>
    </row>
    <row r="563" spans="2:19" ht="15" customHeight="1" x14ac:dyDescent="0.35">
      <c r="B563" s="181">
        <v>94255</v>
      </c>
      <c r="C563" s="182" t="s">
        <v>983</v>
      </c>
      <c r="D563" s="183">
        <v>2</v>
      </c>
      <c r="E563" s="185" t="s">
        <v>1124</v>
      </c>
      <c r="F563" s="185" t="s">
        <v>1124</v>
      </c>
      <c r="G563" s="184" t="s">
        <v>1124</v>
      </c>
      <c r="H563" s="186"/>
      <c r="I563" s="185"/>
      <c r="J563" s="187"/>
      <c r="K563" s="188"/>
      <c r="L563" s="189"/>
      <c r="M563" s="185" t="s">
        <v>1124</v>
      </c>
      <c r="N563" s="189"/>
      <c r="O563" s="333"/>
      <c r="P563" s="333" t="s">
        <v>1124</v>
      </c>
      <c r="Q563" s="333" t="s">
        <v>1124</v>
      </c>
      <c r="R563" s="475" t="str">
        <f t="shared" si="9"/>
        <v/>
      </c>
      <c r="S563" s="340" t="s">
        <v>1124</v>
      </c>
    </row>
    <row r="564" spans="2:19" ht="15" customHeight="1" x14ac:dyDescent="0.35">
      <c r="B564" s="181">
        <v>61040</v>
      </c>
      <c r="C564" s="182" t="s">
        <v>616</v>
      </c>
      <c r="D564" s="183">
        <v>14</v>
      </c>
      <c r="E564" s="185">
        <v>294</v>
      </c>
      <c r="F564" s="185">
        <v>249</v>
      </c>
      <c r="G564" s="184" t="s">
        <v>1326</v>
      </c>
      <c r="H564" s="186">
        <v>2</v>
      </c>
      <c r="I564" s="185">
        <v>1183</v>
      </c>
      <c r="J564" s="187">
        <v>2.4042296072507554</v>
      </c>
      <c r="K564" s="188">
        <v>2844.2036253776437</v>
      </c>
      <c r="L564" s="189">
        <v>28.218</v>
      </c>
      <c r="M564" s="185">
        <v>1222</v>
      </c>
      <c r="N564" s="189">
        <v>304.97500000000002</v>
      </c>
      <c r="O564" s="333">
        <v>258.92438405507744</v>
      </c>
      <c r="P564" s="333">
        <v>16.819692193877533</v>
      </c>
      <c r="Q564" s="333">
        <v>22.579120095</v>
      </c>
      <c r="R564" s="475">
        <f t="shared" si="9"/>
        <v>0.74492239392455972</v>
      </c>
      <c r="S564" s="340">
        <v>58.511111111111106</v>
      </c>
    </row>
    <row r="565" spans="2:19" ht="15" customHeight="1" x14ac:dyDescent="0.35">
      <c r="B565" s="181">
        <v>10030</v>
      </c>
      <c r="C565" s="182" t="s">
        <v>12</v>
      </c>
      <c r="D565" s="183">
        <v>1</v>
      </c>
      <c r="E565" s="185">
        <v>266</v>
      </c>
      <c r="F565" s="185">
        <v>231</v>
      </c>
      <c r="G565" s="184" t="s">
        <v>1326</v>
      </c>
      <c r="H565" s="186">
        <v>1</v>
      </c>
      <c r="I565" s="185">
        <v>792</v>
      </c>
      <c r="J565" s="187">
        <v>2.3877708978328172</v>
      </c>
      <c r="K565" s="188">
        <v>1891.1145510835911</v>
      </c>
      <c r="L565" s="189">
        <v>20.157</v>
      </c>
      <c r="M565" s="185">
        <v>618</v>
      </c>
      <c r="N565" s="189">
        <v>183.929</v>
      </c>
      <c r="O565" s="333">
        <v>159.55783783783787</v>
      </c>
      <c r="P565" s="333">
        <v>17.180064999999985</v>
      </c>
      <c r="Q565" s="333">
        <v>12.13530465</v>
      </c>
      <c r="R565" s="475">
        <f t="shared" si="9"/>
        <v>1.4157094111353838</v>
      </c>
      <c r="S565" s="340">
        <v>45.081081081081081</v>
      </c>
    </row>
    <row r="566" spans="2:19" ht="15" customHeight="1" x14ac:dyDescent="0.35">
      <c r="B566" s="181">
        <v>14040</v>
      </c>
      <c r="C566" s="182" t="s">
        <v>66</v>
      </c>
      <c r="D566" s="183">
        <v>1</v>
      </c>
      <c r="E566" s="185">
        <v>309</v>
      </c>
      <c r="F566" s="185">
        <v>139</v>
      </c>
      <c r="G566" s="184" t="s">
        <v>1326</v>
      </c>
      <c r="H566" s="186">
        <v>1</v>
      </c>
      <c r="I566" s="185">
        <v>146</v>
      </c>
      <c r="J566" s="187">
        <v>2.4981684981684982</v>
      </c>
      <c r="K566" s="188">
        <v>364.73260073260076</v>
      </c>
      <c r="L566" s="189">
        <v>3.28</v>
      </c>
      <c r="M566" s="185">
        <v>147</v>
      </c>
      <c r="N566" s="189">
        <v>41.195</v>
      </c>
      <c r="O566" s="333">
        <v>18.439</v>
      </c>
      <c r="P566" s="333">
        <v>5.968965663265303</v>
      </c>
      <c r="Q566" s="333">
        <v>3.2946349050000001</v>
      </c>
      <c r="R566" s="475">
        <f t="shared" si="9"/>
        <v>1.8117229481805974</v>
      </c>
      <c r="S566" s="340">
        <v>59.921568627450981</v>
      </c>
    </row>
    <row r="567" spans="2:19" ht="15" customHeight="1" x14ac:dyDescent="0.35">
      <c r="B567" s="181">
        <v>80027</v>
      </c>
      <c r="C567" s="182" t="s">
        <v>807</v>
      </c>
      <c r="D567" s="183">
        <v>7</v>
      </c>
      <c r="E567" s="185" t="s">
        <v>1124</v>
      </c>
      <c r="F567" s="185" t="s">
        <v>1124</v>
      </c>
      <c r="G567" s="184" t="s">
        <v>1124</v>
      </c>
      <c r="H567" s="186"/>
      <c r="I567" s="185"/>
      <c r="J567" s="187"/>
      <c r="K567" s="188"/>
      <c r="L567" s="189"/>
      <c r="M567" s="185" t="s">
        <v>1124</v>
      </c>
      <c r="N567" s="189"/>
      <c r="O567" s="333"/>
      <c r="P567" s="333" t="s">
        <v>1124</v>
      </c>
      <c r="Q567" s="333" t="s">
        <v>1124</v>
      </c>
      <c r="R567" s="475" t="str">
        <f t="shared" si="9"/>
        <v/>
      </c>
      <c r="S567" s="340" t="s">
        <v>1124</v>
      </c>
    </row>
    <row r="568" spans="2:19" ht="15" customHeight="1" x14ac:dyDescent="0.35">
      <c r="B568" s="181">
        <v>76008</v>
      </c>
      <c r="C568" s="182" t="s">
        <v>747</v>
      </c>
      <c r="D568" s="183">
        <v>15</v>
      </c>
      <c r="E568" s="185" t="s">
        <v>1124</v>
      </c>
      <c r="F568" s="185" t="s">
        <v>1124</v>
      </c>
      <c r="G568" s="184" t="s">
        <v>1124</v>
      </c>
      <c r="H568" s="186"/>
      <c r="I568" s="185"/>
      <c r="J568" s="187"/>
      <c r="K568" s="188"/>
      <c r="L568" s="189"/>
      <c r="M568" s="185" t="s">
        <v>1124</v>
      </c>
      <c r="N568" s="189"/>
      <c r="O568" s="333"/>
      <c r="P568" s="333" t="s">
        <v>1124</v>
      </c>
      <c r="Q568" s="333" t="s">
        <v>1124</v>
      </c>
      <c r="R568" s="475" t="str">
        <f t="shared" si="9"/>
        <v/>
      </c>
      <c r="S568" s="340" t="s">
        <v>1124</v>
      </c>
    </row>
    <row r="569" spans="2:19" ht="15" customHeight="1" x14ac:dyDescent="0.35">
      <c r="B569" s="181">
        <v>6040</v>
      </c>
      <c r="C569" s="182" t="s">
        <v>1063</v>
      </c>
      <c r="D569" s="183">
        <v>11</v>
      </c>
      <c r="E569" s="185" t="s">
        <v>1124</v>
      </c>
      <c r="F569" s="185" t="s">
        <v>1124</v>
      </c>
      <c r="G569" s="184" t="s">
        <v>1124</v>
      </c>
      <c r="H569" s="186"/>
      <c r="I569" s="185"/>
      <c r="J569" s="187"/>
      <c r="K569" s="188"/>
      <c r="L569" s="189"/>
      <c r="M569" s="185" t="s">
        <v>1124</v>
      </c>
      <c r="N569" s="189"/>
      <c r="O569" s="333"/>
      <c r="P569" s="333" t="s">
        <v>1124</v>
      </c>
      <c r="Q569" s="333" t="s">
        <v>1124</v>
      </c>
      <c r="R569" s="475" t="str">
        <f t="shared" si="9"/>
        <v/>
      </c>
      <c r="S569" s="340" t="s">
        <v>1124</v>
      </c>
    </row>
    <row r="570" spans="2:19" ht="15" customHeight="1" x14ac:dyDescent="0.35">
      <c r="B570" s="181">
        <v>91010</v>
      </c>
      <c r="C570" s="182" t="s">
        <v>938</v>
      </c>
      <c r="D570" s="183">
        <v>2</v>
      </c>
      <c r="E570" s="185">
        <v>399</v>
      </c>
      <c r="F570" s="185">
        <v>283</v>
      </c>
      <c r="G570" s="184" t="s">
        <v>1308</v>
      </c>
      <c r="H570" s="186">
        <v>1</v>
      </c>
      <c r="I570" s="185">
        <v>120</v>
      </c>
      <c r="J570" s="187">
        <v>1.9789029535864979</v>
      </c>
      <c r="K570" s="188">
        <v>237.46835443037975</v>
      </c>
      <c r="L570" s="189">
        <v>2.7959999999999998</v>
      </c>
      <c r="M570" s="185">
        <v>118</v>
      </c>
      <c r="N570" s="189">
        <v>34.5959</v>
      </c>
      <c r="O570" s="333">
        <v>24.565999999999999</v>
      </c>
      <c r="P570" s="333">
        <v>8.2829615000000008</v>
      </c>
      <c r="Q570" s="333">
        <v>2.8522640300000002</v>
      </c>
      <c r="R570" s="475">
        <f t="shared" si="9"/>
        <v>2.9039953569796273</v>
      </c>
      <c r="S570" s="340">
        <v>58.72972972972974</v>
      </c>
    </row>
    <row r="571" spans="2:19" ht="15" customHeight="1" x14ac:dyDescent="0.35">
      <c r="B571" s="181">
        <v>69070</v>
      </c>
      <c r="C571" s="182" t="s">
        <v>695</v>
      </c>
      <c r="D571" s="183">
        <v>16</v>
      </c>
      <c r="E571" s="185" t="s">
        <v>1124</v>
      </c>
      <c r="F571" s="185" t="s">
        <v>1124</v>
      </c>
      <c r="G571" s="184" t="s">
        <v>1124</v>
      </c>
      <c r="H571" s="186"/>
      <c r="I571" s="185"/>
      <c r="J571" s="187"/>
      <c r="K571" s="188"/>
      <c r="L571" s="189"/>
      <c r="M571" s="185" t="s">
        <v>1124</v>
      </c>
      <c r="N571" s="189"/>
      <c r="O571" s="333"/>
      <c r="P571" s="333" t="s">
        <v>1124</v>
      </c>
      <c r="Q571" s="333" t="s">
        <v>1124</v>
      </c>
      <c r="R571" s="475" t="str">
        <f t="shared" si="9"/>
        <v/>
      </c>
      <c r="S571" s="340" t="s">
        <v>1124</v>
      </c>
    </row>
    <row r="572" spans="2:19" ht="15" customHeight="1" x14ac:dyDescent="0.35">
      <c r="B572" s="181">
        <v>19062</v>
      </c>
      <c r="C572" s="182" t="s">
        <v>128</v>
      </c>
      <c r="D572" s="183">
        <v>12</v>
      </c>
      <c r="E572" s="185">
        <v>1133</v>
      </c>
      <c r="F572" s="185">
        <v>177</v>
      </c>
      <c r="G572" s="184" t="s">
        <v>1308</v>
      </c>
      <c r="H572" s="186">
        <v>1</v>
      </c>
      <c r="I572" s="185">
        <v>1376</v>
      </c>
      <c r="J572" s="187">
        <v>2.3759530791788857</v>
      </c>
      <c r="K572" s="188">
        <v>3269.3114369501468</v>
      </c>
      <c r="L572" s="189">
        <v>27.858000000000001</v>
      </c>
      <c r="M572" s="185">
        <v>1177</v>
      </c>
      <c r="N572" s="189">
        <v>1351.865</v>
      </c>
      <c r="O572" s="333">
        <v>210.80799999999999</v>
      </c>
      <c r="P572" s="333">
        <v>88.08933938775516</v>
      </c>
      <c r="Q572" s="333">
        <v>31.071503190000001</v>
      </c>
      <c r="R572" s="475">
        <f t="shared" si="9"/>
        <v>2.8350523902591775</v>
      </c>
      <c r="S572" s="340">
        <v>69.093489697810966</v>
      </c>
    </row>
    <row r="573" spans="2:19" ht="15" customHeight="1" x14ac:dyDescent="0.35">
      <c r="B573" s="181">
        <v>18070</v>
      </c>
      <c r="C573" s="182" t="s">
        <v>117</v>
      </c>
      <c r="D573" s="183">
        <v>12</v>
      </c>
      <c r="E573" s="185" t="s">
        <v>1124</v>
      </c>
      <c r="F573" s="185" t="s">
        <v>1124</v>
      </c>
      <c r="G573" s="184" t="s">
        <v>1124</v>
      </c>
      <c r="H573" s="186"/>
      <c r="I573" s="185"/>
      <c r="J573" s="187"/>
      <c r="K573" s="188"/>
      <c r="L573" s="189"/>
      <c r="M573" s="185" t="s">
        <v>1124</v>
      </c>
      <c r="N573" s="189"/>
      <c r="O573" s="333"/>
      <c r="P573" s="333" t="s">
        <v>1124</v>
      </c>
      <c r="Q573" s="333" t="s">
        <v>1124</v>
      </c>
      <c r="R573" s="475" t="str">
        <f t="shared" si="9"/>
        <v/>
      </c>
      <c r="S573" s="340" t="s">
        <v>1124</v>
      </c>
    </row>
    <row r="574" spans="2:19" ht="15" customHeight="1" x14ac:dyDescent="0.35">
      <c r="B574" s="181">
        <v>33095</v>
      </c>
      <c r="C574" s="182" t="s">
        <v>281</v>
      </c>
      <c r="D574" s="183">
        <v>12</v>
      </c>
      <c r="E574" s="185" t="s">
        <v>1124</v>
      </c>
      <c r="F574" s="185" t="s">
        <v>1124</v>
      </c>
      <c r="G574" s="184" t="s">
        <v>1124</v>
      </c>
      <c r="H574" s="186"/>
      <c r="I574" s="185"/>
      <c r="J574" s="187"/>
      <c r="K574" s="188"/>
      <c r="L574" s="189"/>
      <c r="M574" s="185" t="s">
        <v>1124</v>
      </c>
      <c r="N574" s="189"/>
      <c r="O574" s="333"/>
      <c r="P574" s="333" t="s">
        <v>1124</v>
      </c>
      <c r="Q574" s="333" t="s">
        <v>1124</v>
      </c>
      <c r="R574" s="475" t="str">
        <f t="shared" si="9"/>
        <v/>
      </c>
      <c r="S574" s="340" t="s">
        <v>1124</v>
      </c>
    </row>
    <row r="575" spans="2:19" ht="15" customHeight="1" x14ac:dyDescent="0.35">
      <c r="B575" s="181">
        <v>57075</v>
      </c>
      <c r="C575" s="182" t="s">
        <v>593</v>
      </c>
      <c r="D575" s="183">
        <v>16</v>
      </c>
      <c r="E575" s="185">
        <v>581</v>
      </c>
      <c r="F575" s="185">
        <v>224</v>
      </c>
      <c r="G575" s="184" t="s">
        <v>1326</v>
      </c>
      <c r="H575" s="186">
        <v>1</v>
      </c>
      <c r="I575" s="185"/>
      <c r="J575" s="187"/>
      <c r="K575" s="188"/>
      <c r="L575" s="189"/>
      <c r="M575" s="185" t="s">
        <v>1124</v>
      </c>
      <c r="N575" s="189"/>
      <c r="O575" s="333"/>
      <c r="P575" s="333"/>
      <c r="Q575" s="333"/>
      <c r="R575" s="475">
        <v>1.1000000000000001</v>
      </c>
      <c r="S575" s="340">
        <v>66</v>
      </c>
    </row>
    <row r="576" spans="2:19" ht="15" customHeight="1" x14ac:dyDescent="0.35">
      <c r="B576" s="181">
        <v>12015</v>
      </c>
      <c r="C576" s="182" t="s">
        <v>30</v>
      </c>
      <c r="D576" s="183">
        <v>1</v>
      </c>
      <c r="E576" s="185">
        <v>273</v>
      </c>
      <c r="F576" s="185">
        <v>204</v>
      </c>
      <c r="G576" s="184" t="s">
        <v>1308</v>
      </c>
      <c r="H576" s="186">
        <v>1</v>
      </c>
      <c r="I576" s="185">
        <v>1190</v>
      </c>
      <c r="J576" s="187">
        <v>2.6058168316831685</v>
      </c>
      <c r="K576" s="188">
        <v>3100.9220297029706</v>
      </c>
      <c r="L576" s="189">
        <v>20.904</v>
      </c>
      <c r="M576" s="185">
        <v>1095</v>
      </c>
      <c r="N576" s="189">
        <v>308.76299999999998</v>
      </c>
      <c r="O576" s="333">
        <v>231.09423715415016</v>
      </c>
      <c r="P576" s="333">
        <v>58.472554999999993</v>
      </c>
      <c r="Q576" s="333">
        <v>27.402618090000001</v>
      </c>
      <c r="R576" s="475">
        <f t="shared" si="9"/>
        <v>2.1338309649083604</v>
      </c>
      <c r="S576" s="340">
        <v>59.081081081081081</v>
      </c>
    </row>
    <row r="577" spans="2:19" ht="15" customHeight="1" x14ac:dyDescent="0.35">
      <c r="B577" s="181">
        <v>33090</v>
      </c>
      <c r="C577" s="182" t="s">
        <v>280</v>
      </c>
      <c r="D577" s="183">
        <v>12</v>
      </c>
      <c r="E577" s="185">
        <v>217</v>
      </c>
      <c r="F577" s="185">
        <v>163</v>
      </c>
      <c r="G577" s="184" t="s">
        <v>1326</v>
      </c>
      <c r="H577" s="186">
        <v>1</v>
      </c>
      <c r="I577" s="185">
        <v>1979</v>
      </c>
      <c r="J577" s="187">
        <v>2.4579040852575487</v>
      </c>
      <c r="K577" s="188">
        <v>4864.1921847246886</v>
      </c>
      <c r="L577" s="189">
        <v>31.8</v>
      </c>
      <c r="M577" s="185">
        <v>2467</v>
      </c>
      <c r="N577" s="189">
        <v>384.96699999999998</v>
      </c>
      <c r="O577" s="333">
        <v>288.90800000000002</v>
      </c>
      <c r="P577" s="333">
        <v>33.09949427835042</v>
      </c>
      <c r="Q577" s="333">
        <v>31.930747499999999</v>
      </c>
      <c r="R577" s="475">
        <f t="shared" si="9"/>
        <v>1.0366025498886433</v>
      </c>
      <c r="S577" s="340">
        <v>52.686274509803923</v>
      </c>
    </row>
    <row r="578" spans="2:19" ht="15" customHeight="1" x14ac:dyDescent="0.35">
      <c r="B578" s="181">
        <v>46017</v>
      </c>
      <c r="C578" s="182" t="s">
        <v>429</v>
      </c>
      <c r="D578" s="183">
        <v>5</v>
      </c>
      <c r="E578" s="185" t="s">
        <v>1124</v>
      </c>
      <c r="F578" s="185" t="s">
        <v>1124</v>
      </c>
      <c r="G578" s="184" t="s">
        <v>1124</v>
      </c>
      <c r="H578" s="186"/>
      <c r="I578" s="185"/>
      <c r="J578" s="187"/>
      <c r="K578" s="188"/>
      <c r="L578" s="189"/>
      <c r="M578" s="185" t="s">
        <v>1124</v>
      </c>
      <c r="N578" s="189"/>
      <c r="O578" s="333"/>
      <c r="P578" s="333" t="s">
        <v>1124</v>
      </c>
      <c r="Q578" s="333" t="s">
        <v>1124</v>
      </c>
      <c r="R578" s="475" t="str">
        <f t="shared" si="9"/>
        <v/>
      </c>
      <c r="S578" s="340" t="s">
        <v>1124</v>
      </c>
    </row>
    <row r="579" spans="2:19" ht="15" customHeight="1" x14ac:dyDescent="0.35">
      <c r="B579" s="181">
        <v>12065</v>
      </c>
      <c r="C579" s="182" t="s">
        <v>38</v>
      </c>
      <c r="D579" s="183">
        <v>1</v>
      </c>
      <c r="E579" s="185">
        <v>208</v>
      </c>
      <c r="F579" s="185">
        <v>121</v>
      </c>
      <c r="G579" s="184" t="s">
        <v>1308</v>
      </c>
      <c r="H579" s="186">
        <v>1</v>
      </c>
      <c r="I579" s="185">
        <v>315</v>
      </c>
      <c r="J579" s="187">
        <v>2.5487804878048781</v>
      </c>
      <c r="K579" s="188">
        <v>802.86585365853659</v>
      </c>
      <c r="L579" s="189">
        <v>7.73</v>
      </c>
      <c r="M579" s="185">
        <v>292</v>
      </c>
      <c r="N579" s="189">
        <v>60.835999999999999</v>
      </c>
      <c r="O579" s="333">
        <v>35.548999999999999</v>
      </c>
      <c r="P579" s="333">
        <v>13.773059868421051</v>
      </c>
      <c r="Q579" s="333">
        <v>6.7200398200000011</v>
      </c>
      <c r="R579" s="475">
        <f t="shared" si="9"/>
        <v>2.0495503356140898</v>
      </c>
      <c r="S579" s="340">
        <v>68.47777777777776</v>
      </c>
    </row>
    <row r="580" spans="2:19" ht="15" customHeight="1" x14ac:dyDescent="0.35">
      <c r="B580" s="181">
        <v>13100</v>
      </c>
      <c r="C580" s="182" t="s">
        <v>59</v>
      </c>
      <c r="D580" s="183">
        <v>1</v>
      </c>
      <c r="E580" s="185" t="s">
        <v>1124</v>
      </c>
      <c r="F580" s="185" t="s">
        <v>1124</v>
      </c>
      <c r="G580" s="184" t="s">
        <v>1124</v>
      </c>
      <c r="H580" s="186"/>
      <c r="I580" s="185"/>
      <c r="J580" s="187"/>
      <c r="K580" s="188"/>
      <c r="L580" s="189"/>
      <c r="M580" s="185" t="s">
        <v>1124</v>
      </c>
      <c r="N580" s="189"/>
      <c r="O580" s="333"/>
      <c r="P580" s="333" t="s">
        <v>1124</v>
      </c>
      <c r="Q580" s="333" t="s">
        <v>1124</v>
      </c>
      <c r="R580" s="475" t="str">
        <f t="shared" si="9"/>
        <v/>
      </c>
      <c r="S580" s="340" t="s">
        <v>1124</v>
      </c>
    </row>
    <row r="581" spans="2:19" ht="15" customHeight="1" x14ac:dyDescent="0.35">
      <c r="B581" s="181">
        <v>17055</v>
      </c>
      <c r="C581" s="182" t="s">
        <v>99</v>
      </c>
      <c r="D581" s="183">
        <v>12</v>
      </c>
      <c r="E581" s="185" t="s">
        <v>1124</v>
      </c>
      <c r="F581" s="185" t="s">
        <v>1124</v>
      </c>
      <c r="G581" s="184" t="s">
        <v>1124</v>
      </c>
      <c r="H581" s="186"/>
      <c r="I581" s="185"/>
      <c r="J581" s="187"/>
      <c r="K581" s="188"/>
      <c r="L581" s="189"/>
      <c r="M581" s="185" t="s">
        <v>1124</v>
      </c>
      <c r="N581" s="189"/>
      <c r="O581" s="333"/>
      <c r="P581" s="333" t="s">
        <v>1124</v>
      </c>
      <c r="Q581" s="333" t="s">
        <v>1124</v>
      </c>
      <c r="R581" s="475" t="str">
        <f t="shared" si="9"/>
        <v/>
      </c>
      <c r="S581" s="340" t="s">
        <v>1124</v>
      </c>
    </row>
    <row r="582" spans="2:19" ht="15" customHeight="1" x14ac:dyDescent="0.35">
      <c r="B582" s="181">
        <v>92005</v>
      </c>
      <c r="C582" s="182" t="s">
        <v>946</v>
      </c>
      <c r="D582" s="183">
        <v>2</v>
      </c>
      <c r="E582" s="185">
        <v>843</v>
      </c>
      <c r="F582" s="185">
        <v>583</v>
      </c>
      <c r="G582" s="184" t="s">
        <v>1308</v>
      </c>
      <c r="H582" s="186">
        <v>1</v>
      </c>
      <c r="I582" s="185">
        <v>134</v>
      </c>
      <c r="J582" s="187">
        <v>2.2000000000000002</v>
      </c>
      <c r="K582" s="188">
        <v>294.8</v>
      </c>
      <c r="L582" s="189">
        <v>18.766999999999999</v>
      </c>
      <c r="M582" s="185">
        <v>133</v>
      </c>
      <c r="N582" s="189">
        <v>90.744</v>
      </c>
      <c r="O582" s="333">
        <v>62.749000000000002</v>
      </c>
      <c r="P582" s="333">
        <v>23.355840000000004</v>
      </c>
      <c r="Q582" s="333">
        <v>8.1733305359999999</v>
      </c>
      <c r="R582" s="475">
        <f t="shared" si="9"/>
        <v>2.8575670465213161</v>
      </c>
      <c r="S582" s="340">
        <v>45.081081081081081</v>
      </c>
    </row>
    <row r="583" spans="2:19" ht="15" customHeight="1" x14ac:dyDescent="0.35">
      <c r="B583" s="181">
        <v>98012</v>
      </c>
      <c r="C583" s="182" t="s">
        <v>1008</v>
      </c>
      <c r="D583" s="183">
        <v>9</v>
      </c>
      <c r="E583" s="185">
        <v>810</v>
      </c>
      <c r="F583" s="185">
        <v>250</v>
      </c>
      <c r="G583" s="184" t="s">
        <v>1326</v>
      </c>
      <c r="H583" s="186">
        <v>1</v>
      </c>
      <c r="I583" s="185">
        <v>63</v>
      </c>
      <c r="J583" s="187">
        <v>2.85</v>
      </c>
      <c r="K583" s="188">
        <v>179.55</v>
      </c>
      <c r="L583" s="189">
        <v>6.4</v>
      </c>
      <c r="M583" s="185">
        <v>264</v>
      </c>
      <c r="N583" s="189">
        <v>53.052999999999997</v>
      </c>
      <c r="O583" s="333">
        <v>16.414999999999999</v>
      </c>
      <c r="P583" s="333">
        <v>9.2680000000000007</v>
      </c>
      <c r="Q583" s="333">
        <v>6.5279520000000009</v>
      </c>
      <c r="R583" s="475">
        <f t="shared" ref="R583:R646" si="10">IF(H583="","",P583/Q583)</f>
        <v>1.419740831427682</v>
      </c>
      <c r="S583" s="340">
        <v>45</v>
      </c>
    </row>
    <row r="584" spans="2:19" ht="15" customHeight="1" x14ac:dyDescent="0.35">
      <c r="B584" s="181">
        <v>23072</v>
      </c>
      <c r="C584" s="182" t="s">
        <v>165</v>
      </c>
      <c r="D584" s="183">
        <v>3</v>
      </c>
      <c r="E584" s="185" t="s">
        <v>1124</v>
      </c>
      <c r="F584" s="185" t="s">
        <v>1124</v>
      </c>
      <c r="G584" s="184" t="s">
        <v>1124</v>
      </c>
      <c r="H584" s="186"/>
      <c r="I584" s="185"/>
      <c r="J584" s="187"/>
      <c r="K584" s="188"/>
      <c r="L584" s="189"/>
      <c r="M584" s="185" t="s">
        <v>1124</v>
      </c>
      <c r="N584" s="189"/>
      <c r="O584" s="333"/>
      <c r="P584" s="333" t="s">
        <v>1124</v>
      </c>
      <c r="Q584" s="333" t="s">
        <v>1124</v>
      </c>
      <c r="R584" s="475" t="str">
        <f t="shared" si="10"/>
        <v/>
      </c>
      <c r="S584" s="340" t="s">
        <v>1124</v>
      </c>
    </row>
    <row r="585" spans="2:19" ht="15" customHeight="1" x14ac:dyDescent="0.35">
      <c r="B585" s="181">
        <v>30005</v>
      </c>
      <c r="C585" s="182" t="s">
        <v>217</v>
      </c>
      <c r="D585" s="183">
        <v>5</v>
      </c>
      <c r="E585" s="185" t="s">
        <v>1124</v>
      </c>
      <c r="F585" s="185" t="s">
        <v>1124</v>
      </c>
      <c r="G585" s="184" t="s">
        <v>1124</v>
      </c>
      <c r="H585" s="186"/>
      <c r="I585" s="185"/>
      <c r="J585" s="187"/>
      <c r="K585" s="188"/>
      <c r="L585" s="189"/>
      <c r="M585" s="185" t="s">
        <v>1124</v>
      </c>
      <c r="N585" s="189"/>
      <c r="O585" s="333"/>
      <c r="P585" s="333" t="s">
        <v>1124</v>
      </c>
      <c r="Q585" s="333" t="s">
        <v>1124</v>
      </c>
      <c r="R585" s="475" t="str">
        <f t="shared" si="10"/>
        <v/>
      </c>
      <c r="S585" s="340" t="s">
        <v>1124</v>
      </c>
    </row>
    <row r="586" spans="2:19" ht="15" customHeight="1" x14ac:dyDescent="0.35">
      <c r="B586" s="181">
        <v>51025</v>
      </c>
      <c r="C586" s="182" t="s">
        <v>501</v>
      </c>
      <c r="D586" s="183">
        <v>4</v>
      </c>
      <c r="E586" s="185" t="s">
        <v>1124</v>
      </c>
      <c r="F586" s="185" t="s">
        <v>1124</v>
      </c>
      <c r="G586" s="184" t="s">
        <v>1124</v>
      </c>
      <c r="H586" s="186"/>
      <c r="I586" s="185"/>
      <c r="J586" s="187"/>
      <c r="K586" s="188"/>
      <c r="L586" s="189"/>
      <c r="M586" s="185" t="s">
        <v>1124</v>
      </c>
      <c r="N586" s="189"/>
      <c r="O586" s="333"/>
      <c r="P586" s="333" t="s">
        <v>1124</v>
      </c>
      <c r="Q586" s="333" t="s">
        <v>1124</v>
      </c>
      <c r="R586" s="475" t="str">
        <f t="shared" si="10"/>
        <v/>
      </c>
      <c r="S586" s="340" t="s">
        <v>1124</v>
      </c>
    </row>
    <row r="587" spans="2:19" ht="15" customHeight="1" x14ac:dyDescent="0.35">
      <c r="B587" s="181">
        <v>54105</v>
      </c>
      <c r="C587" s="182" t="s">
        <v>554</v>
      </c>
      <c r="D587" s="183">
        <v>16</v>
      </c>
      <c r="E587" s="185" t="s">
        <v>1124</v>
      </c>
      <c r="F587" s="185" t="s">
        <v>1124</v>
      </c>
      <c r="G587" s="184" t="s">
        <v>1124</v>
      </c>
      <c r="H587" s="186"/>
      <c r="I587" s="185"/>
      <c r="J587" s="187"/>
      <c r="K587" s="188"/>
      <c r="L587" s="189"/>
      <c r="M587" s="185" t="s">
        <v>1124</v>
      </c>
      <c r="N587" s="189"/>
      <c r="O587" s="333"/>
      <c r="P587" s="333" t="s">
        <v>1124</v>
      </c>
      <c r="Q587" s="333" t="s">
        <v>1124</v>
      </c>
      <c r="R587" s="475" t="str">
        <f t="shared" si="10"/>
        <v/>
      </c>
      <c r="S587" s="340" t="s">
        <v>1124</v>
      </c>
    </row>
    <row r="588" spans="2:19" ht="15" customHeight="1" x14ac:dyDescent="0.35">
      <c r="B588" s="181">
        <v>52055</v>
      </c>
      <c r="C588" s="182" t="s">
        <v>522</v>
      </c>
      <c r="D588" s="183">
        <v>14</v>
      </c>
      <c r="E588" s="185">
        <v>360</v>
      </c>
      <c r="F588" s="185">
        <v>170</v>
      </c>
      <c r="G588" s="184" t="s">
        <v>1326</v>
      </c>
      <c r="H588" s="186">
        <v>1</v>
      </c>
      <c r="I588" s="185">
        <v>809</v>
      </c>
      <c r="J588" s="187">
        <v>2.0111223458038423</v>
      </c>
      <c r="K588" s="188">
        <v>1626.9979777553085</v>
      </c>
      <c r="L588" s="189">
        <v>47.728000000000002</v>
      </c>
      <c r="M588" s="185">
        <v>881</v>
      </c>
      <c r="N588" s="189">
        <v>213.99699999999999</v>
      </c>
      <c r="O588" s="333">
        <v>101.21600000000001</v>
      </c>
      <c r="P588" s="333">
        <v>76.445447193877527</v>
      </c>
      <c r="Q588" s="333">
        <v>20.13312827575</v>
      </c>
      <c r="R588" s="475">
        <f t="shared" si="10"/>
        <v>3.7969979700548935</v>
      </c>
      <c r="S588" s="340">
        <v>64.221688124043041</v>
      </c>
    </row>
    <row r="589" spans="2:19" ht="15" customHeight="1" x14ac:dyDescent="0.35">
      <c r="B589" s="181">
        <v>34038</v>
      </c>
      <c r="C589" s="182" t="s">
        <v>289</v>
      </c>
      <c r="D589" s="183">
        <v>3</v>
      </c>
      <c r="E589" s="185" t="s">
        <v>1124</v>
      </c>
      <c r="F589" s="185" t="s">
        <v>1124</v>
      </c>
      <c r="G589" s="184" t="s">
        <v>1124</v>
      </c>
      <c r="H589" s="186"/>
      <c r="I589" s="185"/>
      <c r="J589" s="187"/>
      <c r="K589" s="188"/>
      <c r="L589" s="189"/>
      <c r="M589" s="185" t="s">
        <v>1124</v>
      </c>
      <c r="N589" s="189"/>
      <c r="O589" s="333"/>
      <c r="P589" s="333" t="s">
        <v>1124</v>
      </c>
      <c r="Q589" s="333" t="s">
        <v>1124</v>
      </c>
      <c r="R589" s="475" t="str">
        <f t="shared" si="10"/>
        <v/>
      </c>
      <c r="S589" s="340" t="s">
        <v>1124</v>
      </c>
    </row>
    <row r="590" spans="2:19" ht="15" customHeight="1" x14ac:dyDescent="0.35">
      <c r="B590" s="181">
        <v>57020</v>
      </c>
      <c r="C590" s="182" t="s">
        <v>583</v>
      </c>
      <c r="D590" s="183">
        <v>16</v>
      </c>
      <c r="E590" s="185">
        <v>268</v>
      </c>
      <c r="F590" s="185">
        <v>197</v>
      </c>
      <c r="G590" s="184" t="s">
        <v>1308</v>
      </c>
      <c r="H590" s="186">
        <v>1</v>
      </c>
      <c r="I590" s="185">
        <v>6734</v>
      </c>
      <c r="J590" s="187">
        <v>2.7784045124899275</v>
      </c>
      <c r="K590" s="188">
        <v>18709.775987107172</v>
      </c>
      <c r="L590" s="189">
        <v>97.58</v>
      </c>
      <c r="M590" s="185">
        <v>6187</v>
      </c>
      <c r="N590" s="189">
        <v>1830.925</v>
      </c>
      <c r="O590" s="333">
        <v>1344.614368792242</v>
      </c>
      <c r="P590" s="333">
        <v>382.15462535714278</v>
      </c>
      <c r="Q590" s="333">
        <v>177.93830300000002</v>
      </c>
      <c r="R590" s="475">
        <f t="shared" si="10"/>
        <v>2.1476805101212117</v>
      </c>
      <c r="S590" s="340">
        <v>60.578947368421069</v>
      </c>
    </row>
    <row r="591" spans="2:19" ht="15" customHeight="1" x14ac:dyDescent="0.35">
      <c r="B591" s="181">
        <v>28025</v>
      </c>
      <c r="C591" s="182" t="s">
        <v>191</v>
      </c>
      <c r="D591" s="183">
        <v>12</v>
      </c>
      <c r="E591" s="185" t="s">
        <v>1124</v>
      </c>
      <c r="F591" s="185" t="s">
        <v>1124</v>
      </c>
      <c r="G591" s="184" t="s">
        <v>1124</v>
      </c>
      <c r="H591" s="186"/>
      <c r="I591" s="185"/>
      <c r="J591" s="187"/>
      <c r="K591" s="188"/>
      <c r="L591" s="189"/>
      <c r="M591" s="185" t="s">
        <v>1124</v>
      </c>
      <c r="N591" s="189"/>
      <c r="O591" s="333"/>
      <c r="P591" s="333" t="s">
        <v>1124</v>
      </c>
      <c r="Q591" s="333" t="s">
        <v>1124</v>
      </c>
      <c r="R591" s="475" t="str">
        <f t="shared" si="10"/>
        <v/>
      </c>
      <c r="S591" s="340" t="s">
        <v>1124</v>
      </c>
    </row>
    <row r="592" spans="2:19" ht="15" customHeight="1" x14ac:dyDescent="0.35">
      <c r="B592" s="181">
        <v>45080</v>
      </c>
      <c r="C592" s="182" t="s">
        <v>420</v>
      </c>
      <c r="D592" s="183">
        <v>5</v>
      </c>
      <c r="E592" s="185" t="s">
        <v>1124</v>
      </c>
      <c r="F592" s="185" t="s">
        <v>1124</v>
      </c>
      <c r="G592" s="184" t="s">
        <v>1124</v>
      </c>
      <c r="H592" s="186"/>
      <c r="I592" s="185"/>
      <c r="J592" s="187"/>
      <c r="K592" s="188"/>
      <c r="L592" s="189"/>
      <c r="M592" s="185" t="s">
        <v>1124</v>
      </c>
      <c r="N592" s="189"/>
      <c r="O592" s="333"/>
      <c r="P592" s="333" t="s">
        <v>1124</v>
      </c>
      <c r="Q592" s="333" t="s">
        <v>1124</v>
      </c>
      <c r="R592" s="475" t="str">
        <f t="shared" si="10"/>
        <v/>
      </c>
      <c r="S592" s="340" t="s">
        <v>1124</v>
      </c>
    </row>
    <row r="593" spans="2:19" ht="15" customHeight="1" x14ac:dyDescent="0.35">
      <c r="B593" s="181">
        <v>29100</v>
      </c>
      <c r="C593" s="182" t="s">
        <v>213</v>
      </c>
      <c r="D593" s="183">
        <v>12</v>
      </c>
      <c r="E593" s="185">
        <v>332</v>
      </c>
      <c r="F593" s="185">
        <v>124</v>
      </c>
      <c r="G593" s="184" t="s">
        <v>1308</v>
      </c>
      <c r="H593" s="186">
        <v>1</v>
      </c>
      <c r="I593" s="185">
        <v>343</v>
      </c>
      <c r="J593" s="187">
        <v>2.2782485875706215</v>
      </c>
      <c r="K593" s="188">
        <v>781.43926553672316</v>
      </c>
      <c r="L593" s="189">
        <v>8.4559999999999995</v>
      </c>
      <c r="M593" s="185">
        <v>322</v>
      </c>
      <c r="N593" s="189">
        <v>94.616</v>
      </c>
      <c r="O593" s="333">
        <v>35.326999999999998</v>
      </c>
      <c r="P593" s="333">
        <v>45.508224484536086</v>
      </c>
      <c r="Q593" s="333">
        <v>10.147169214000002</v>
      </c>
      <c r="R593" s="475">
        <f t="shared" si="10"/>
        <v>4.4848197092986881</v>
      </c>
      <c r="S593" s="340">
        <v>71.901960784313729</v>
      </c>
    </row>
    <row r="594" spans="2:19" ht="15" customHeight="1" x14ac:dyDescent="0.35">
      <c r="B594" s="181">
        <v>26055</v>
      </c>
      <c r="C594" s="182" t="s">
        <v>175</v>
      </c>
      <c r="D594" s="183">
        <v>12</v>
      </c>
      <c r="E594" s="185">
        <v>226</v>
      </c>
      <c r="F594" s="185">
        <v>139</v>
      </c>
      <c r="G594" s="184" t="s">
        <v>1326</v>
      </c>
      <c r="H594" s="186">
        <v>1</v>
      </c>
      <c r="I594" s="185">
        <v>632</v>
      </c>
      <c r="J594" s="187">
        <v>2.6544276457883371</v>
      </c>
      <c r="K594" s="188">
        <v>1677.598272138229</v>
      </c>
      <c r="L594" s="189">
        <v>12.805</v>
      </c>
      <c r="M594" s="185">
        <v>627</v>
      </c>
      <c r="N594" s="189">
        <v>138.29900000000001</v>
      </c>
      <c r="O594" s="333">
        <v>85.286109999999994</v>
      </c>
      <c r="P594" s="333">
        <v>42.39038015306123</v>
      </c>
      <c r="Q594" s="333">
        <v>13.040678983125</v>
      </c>
      <c r="R594" s="475">
        <f t="shared" si="10"/>
        <v>3.2506267662838382</v>
      </c>
      <c r="S594" s="340">
        <v>53.17647058823529</v>
      </c>
    </row>
    <row r="595" spans="2:19" ht="15" customHeight="1" x14ac:dyDescent="0.35">
      <c r="B595" s="181">
        <v>68005</v>
      </c>
      <c r="C595" s="182" t="s">
        <v>673</v>
      </c>
      <c r="D595" s="183">
        <v>16</v>
      </c>
      <c r="E595" s="185" t="s">
        <v>1124</v>
      </c>
      <c r="F595" s="185" t="s">
        <v>1124</v>
      </c>
      <c r="G595" s="184" t="s">
        <v>1124</v>
      </c>
      <c r="H595" s="186"/>
      <c r="I595" s="185"/>
      <c r="J595" s="187"/>
      <c r="K595" s="188"/>
      <c r="L595" s="189"/>
      <c r="M595" s="185" t="s">
        <v>1124</v>
      </c>
      <c r="N595" s="189"/>
      <c r="O595" s="333"/>
      <c r="P595" s="333" t="s">
        <v>1124</v>
      </c>
      <c r="Q595" s="333" t="s">
        <v>1124</v>
      </c>
      <c r="R595" s="475" t="str">
        <f t="shared" si="10"/>
        <v/>
      </c>
      <c r="S595" s="340" t="s">
        <v>1124</v>
      </c>
    </row>
    <row r="596" spans="2:19" ht="15" customHeight="1" x14ac:dyDescent="0.35">
      <c r="B596" s="181">
        <v>54115</v>
      </c>
      <c r="C596" s="182" t="s">
        <v>556</v>
      </c>
      <c r="D596" s="183">
        <v>16</v>
      </c>
      <c r="E596" s="185">
        <v>821</v>
      </c>
      <c r="F596" s="185">
        <v>199</v>
      </c>
      <c r="G596" s="184" t="s">
        <v>1308</v>
      </c>
      <c r="H596" s="186">
        <v>1</v>
      </c>
      <c r="I596" s="185">
        <v>264</v>
      </c>
      <c r="J596" s="187">
        <v>2.37</v>
      </c>
      <c r="K596" s="188">
        <v>625.68000000000006</v>
      </c>
      <c r="L596" s="189">
        <v>36.22</v>
      </c>
      <c r="M596" s="185">
        <v>288</v>
      </c>
      <c r="N596" s="189">
        <v>187.39500000000001</v>
      </c>
      <c r="O596" s="333">
        <v>45.436</v>
      </c>
      <c r="P596" s="333">
        <v>60.152566938775507</v>
      </c>
      <c r="Q596" s="333">
        <v>18.3564486</v>
      </c>
      <c r="R596" s="475">
        <f t="shared" si="10"/>
        <v>3.2769174609720264</v>
      </c>
      <c r="S596" s="340">
        <v>70.245098039215677</v>
      </c>
    </row>
    <row r="597" spans="2:19" ht="15" customHeight="1" x14ac:dyDescent="0.35">
      <c r="B597" s="181">
        <v>56065</v>
      </c>
      <c r="C597" s="182" t="s">
        <v>577</v>
      </c>
      <c r="D597" s="183">
        <v>16</v>
      </c>
      <c r="E597" s="185" t="s">
        <v>1124</v>
      </c>
      <c r="F597" s="185" t="s">
        <v>1124</v>
      </c>
      <c r="G597" s="184" t="s">
        <v>1124</v>
      </c>
      <c r="H597" s="186"/>
      <c r="I597" s="185"/>
      <c r="J597" s="187"/>
      <c r="K597" s="188"/>
      <c r="L597" s="189"/>
      <c r="M597" s="185" t="s">
        <v>1124</v>
      </c>
      <c r="N597" s="189"/>
      <c r="O597" s="333"/>
      <c r="P597" s="333" t="s">
        <v>1124</v>
      </c>
      <c r="Q597" s="333" t="s">
        <v>1124</v>
      </c>
      <c r="R597" s="475" t="str">
        <f t="shared" si="10"/>
        <v/>
      </c>
      <c r="S597" s="340" t="s">
        <v>1124</v>
      </c>
    </row>
    <row r="598" spans="2:19" ht="15" customHeight="1" x14ac:dyDescent="0.35">
      <c r="B598" s="181">
        <v>49125</v>
      </c>
      <c r="C598" s="182" t="s">
        <v>480</v>
      </c>
      <c r="D598" s="183">
        <v>17</v>
      </c>
      <c r="E598" s="185" t="s">
        <v>1124</v>
      </c>
      <c r="F598" s="185" t="s">
        <v>1124</v>
      </c>
      <c r="G598" s="184" t="s">
        <v>1124</v>
      </c>
      <c r="H598" s="186"/>
      <c r="I598" s="185"/>
      <c r="J598" s="187"/>
      <c r="K598" s="188"/>
      <c r="L598" s="189"/>
      <c r="M598" s="185" t="s">
        <v>1124</v>
      </c>
      <c r="N598" s="189"/>
      <c r="O598" s="333"/>
      <c r="P598" s="333" t="s">
        <v>1124</v>
      </c>
      <c r="Q598" s="333" t="s">
        <v>1124</v>
      </c>
      <c r="R598" s="475" t="str">
        <f t="shared" si="10"/>
        <v/>
      </c>
      <c r="S598" s="340" t="s">
        <v>1124</v>
      </c>
    </row>
    <row r="599" spans="2:19" ht="15" customHeight="1" x14ac:dyDescent="0.35">
      <c r="B599" s="181">
        <v>51085</v>
      </c>
      <c r="C599" s="182" t="s">
        <v>513</v>
      </c>
      <c r="D599" s="183">
        <v>4</v>
      </c>
      <c r="E599" s="185" t="s">
        <v>1124</v>
      </c>
      <c r="F599" s="185" t="s">
        <v>1124</v>
      </c>
      <c r="G599" s="184" t="s">
        <v>1124</v>
      </c>
      <c r="H599" s="186"/>
      <c r="I599" s="185"/>
      <c r="J599" s="187"/>
      <c r="K599" s="188"/>
      <c r="L599" s="189"/>
      <c r="M599" s="185" t="s">
        <v>1124</v>
      </c>
      <c r="N599" s="189"/>
      <c r="O599" s="333"/>
      <c r="P599" s="333" t="s">
        <v>1124</v>
      </c>
      <c r="Q599" s="333" t="s">
        <v>1124</v>
      </c>
      <c r="R599" s="475" t="str">
        <f t="shared" si="10"/>
        <v/>
      </c>
      <c r="S599" s="340" t="s">
        <v>1124</v>
      </c>
    </row>
    <row r="600" spans="2:19" ht="15" customHeight="1" x14ac:dyDescent="0.35">
      <c r="B600" s="181">
        <v>93030</v>
      </c>
      <c r="C600" s="182" t="s">
        <v>962</v>
      </c>
      <c r="D600" s="183">
        <v>2</v>
      </c>
      <c r="E600" s="185">
        <v>492</v>
      </c>
      <c r="F600" s="185">
        <v>237</v>
      </c>
      <c r="G600" s="184" t="s">
        <v>1308</v>
      </c>
      <c r="H600" s="186">
        <v>2</v>
      </c>
      <c r="I600" s="185">
        <v>1197</v>
      </c>
      <c r="J600" s="187">
        <v>2.4651553316540724</v>
      </c>
      <c r="K600" s="188">
        <v>2950.7909319899245</v>
      </c>
      <c r="L600" s="189">
        <v>71.766999999999996</v>
      </c>
      <c r="M600" s="185">
        <v>1132</v>
      </c>
      <c r="N600" s="189">
        <v>530.29999999999995</v>
      </c>
      <c r="O600" s="333">
        <v>255.286</v>
      </c>
      <c r="P600" s="333">
        <v>169.12385229381439</v>
      </c>
      <c r="Q600" s="333">
        <v>46.357053854999997</v>
      </c>
      <c r="R600" s="475">
        <f t="shared" si="10"/>
        <v>3.6482873312617334</v>
      </c>
      <c r="S600" s="340">
        <v>65</v>
      </c>
    </row>
    <row r="601" spans="2:19" ht="15" customHeight="1" x14ac:dyDescent="0.35">
      <c r="B601" s="181">
        <v>85045</v>
      </c>
      <c r="C601" s="182" t="s">
        <v>877</v>
      </c>
      <c r="D601" s="183">
        <v>8</v>
      </c>
      <c r="E601" s="185">
        <v>317</v>
      </c>
      <c r="F601" s="185">
        <v>197</v>
      </c>
      <c r="G601" s="184" t="s">
        <v>1308</v>
      </c>
      <c r="H601" s="186">
        <v>1</v>
      </c>
      <c r="I601" s="185">
        <v>256</v>
      </c>
      <c r="J601" s="187">
        <v>2.27</v>
      </c>
      <c r="K601" s="188">
        <v>581.12</v>
      </c>
      <c r="L601" s="189">
        <v>7.7329999999999997</v>
      </c>
      <c r="M601" s="185">
        <v>239</v>
      </c>
      <c r="N601" s="189">
        <v>67.147000000000006</v>
      </c>
      <c r="O601" s="333">
        <v>41.838999999999999</v>
      </c>
      <c r="P601" s="333">
        <v>14.387644030612247</v>
      </c>
      <c r="Q601" s="333">
        <v>5.1351181320000014</v>
      </c>
      <c r="R601" s="475">
        <f t="shared" si="10"/>
        <v>2.8018136410444399</v>
      </c>
      <c r="S601" s="340">
        <v>64.000000000000014</v>
      </c>
    </row>
    <row r="602" spans="2:19" ht="15" customHeight="1" x14ac:dyDescent="0.35">
      <c r="B602" s="181">
        <v>14010</v>
      </c>
      <c r="C602" s="182" t="s">
        <v>61</v>
      </c>
      <c r="D602" s="183">
        <v>1</v>
      </c>
      <c r="E602" s="185" t="s">
        <v>1124</v>
      </c>
      <c r="F602" s="185" t="s">
        <v>1124</v>
      </c>
      <c r="G602" s="184" t="s">
        <v>1124</v>
      </c>
      <c r="H602" s="186"/>
      <c r="I602" s="185"/>
      <c r="J602" s="187"/>
      <c r="K602" s="188"/>
      <c r="L602" s="189"/>
      <c r="M602" s="185" t="s">
        <v>1124</v>
      </c>
      <c r="N602" s="189"/>
      <c r="O602" s="333"/>
      <c r="P602" s="333" t="s">
        <v>1124</v>
      </c>
      <c r="Q602" s="333" t="s">
        <v>1124</v>
      </c>
      <c r="R602" s="475" t="str">
        <f t="shared" si="10"/>
        <v/>
      </c>
      <c r="S602" s="340" t="s">
        <v>1124</v>
      </c>
    </row>
    <row r="603" spans="2:19" ht="15" customHeight="1" x14ac:dyDescent="0.35">
      <c r="B603" s="181">
        <v>58037</v>
      </c>
      <c r="C603" s="182" t="s">
        <v>597</v>
      </c>
      <c r="D603" s="183">
        <v>16</v>
      </c>
      <c r="E603" s="185" t="s">
        <v>1124</v>
      </c>
      <c r="F603" s="185" t="s">
        <v>1124</v>
      </c>
      <c r="G603" s="184" t="s">
        <v>1124</v>
      </c>
      <c r="H603" s="186"/>
      <c r="I603" s="185"/>
      <c r="J603" s="187"/>
      <c r="K603" s="188"/>
      <c r="L603" s="189"/>
      <c r="M603" s="185" t="s">
        <v>1124</v>
      </c>
      <c r="N603" s="189"/>
      <c r="O603" s="333"/>
      <c r="P603" s="333" t="s">
        <v>1124</v>
      </c>
      <c r="Q603" s="333" t="s">
        <v>1124</v>
      </c>
      <c r="R603" s="475" t="str">
        <f t="shared" si="10"/>
        <v/>
      </c>
      <c r="S603" s="340" t="s">
        <v>1124</v>
      </c>
    </row>
    <row r="604" spans="2:19" ht="15" customHeight="1" x14ac:dyDescent="0.35">
      <c r="B604" s="181">
        <v>63055</v>
      </c>
      <c r="C604" s="182" t="s">
        <v>641</v>
      </c>
      <c r="D604" s="183">
        <v>14</v>
      </c>
      <c r="E604" s="185">
        <v>410</v>
      </c>
      <c r="F604" s="185">
        <v>274</v>
      </c>
      <c r="G604" s="184" t="s">
        <v>1308</v>
      </c>
      <c r="H604" s="186">
        <v>1</v>
      </c>
      <c r="I604" s="185">
        <v>573</v>
      </c>
      <c r="J604" s="187">
        <v>1.9392248062015505</v>
      </c>
      <c r="K604" s="188">
        <v>1111.1758139534884</v>
      </c>
      <c r="L604" s="189">
        <v>10.989000000000001</v>
      </c>
      <c r="M604" s="185">
        <v>469</v>
      </c>
      <c r="N604" s="189">
        <v>166.08600000000001</v>
      </c>
      <c r="O604" s="333">
        <v>111.00793</v>
      </c>
      <c r="P604" s="333">
        <v>40.381710000000012</v>
      </c>
      <c r="Q604" s="333">
        <v>12.397120053375</v>
      </c>
      <c r="R604" s="475">
        <f t="shared" si="10"/>
        <v>3.2573460469963322</v>
      </c>
      <c r="S604" s="340">
        <v>59.081081081081081</v>
      </c>
    </row>
    <row r="605" spans="2:19" ht="15" customHeight="1" x14ac:dyDescent="0.35">
      <c r="B605" s="181">
        <v>40025</v>
      </c>
      <c r="C605" s="182" t="s">
        <v>361</v>
      </c>
      <c r="D605" s="183">
        <v>5</v>
      </c>
      <c r="E605" s="185" t="s">
        <v>1124</v>
      </c>
      <c r="F605" s="185" t="s">
        <v>1124</v>
      </c>
      <c r="G605" s="184" t="s">
        <v>1124</v>
      </c>
      <c r="H605" s="186"/>
      <c r="I605" s="185"/>
      <c r="J605" s="187"/>
      <c r="K605" s="188"/>
      <c r="L605" s="189"/>
      <c r="M605" s="185" t="s">
        <v>1124</v>
      </c>
      <c r="N605" s="189"/>
      <c r="O605" s="333"/>
      <c r="P605" s="333" t="s">
        <v>1124</v>
      </c>
      <c r="Q605" s="333" t="s">
        <v>1124</v>
      </c>
      <c r="R605" s="475" t="str">
        <f t="shared" si="10"/>
        <v/>
      </c>
      <c r="S605" s="340" t="s">
        <v>1124</v>
      </c>
    </row>
    <row r="606" spans="2:19" ht="15" customHeight="1" x14ac:dyDescent="0.35">
      <c r="B606" s="181">
        <v>28070</v>
      </c>
      <c r="C606" s="182" t="s">
        <v>199</v>
      </c>
      <c r="D606" s="183">
        <v>12</v>
      </c>
      <c r="E606" s="185" t="s">
        <v>1124</v>
      </c>
      <c r="F606" s="185" t="s">
        <v>1124</v>
      </c>
      <c r="G606" s="184" t="s">
        <v>1124</v>
      </c>
      <c r="H606" s="186"/>
      <c r="I606" s="185"/>
      <c r="J606" s="187"/>
      <c r="K606" s="188"/>
      <c r="L606" s="189"/>
      <c r="M606" s="185" t="s">
        <v>1124</v>
      </c>
      <c r="N606" s="189"/>
      <c r="O606" s="333"/>
      <c r="P606" s="333" t="s">
        <v>1124</v>
      </c>
      <c r="Q606" s="333" t="s">
        <v>1124</v>
      </c>
      <c r="R606" s="475" t="str">
        <f t="shared" si="10"/>
        <v/>
      </c>
      <c r="S606" s="340" t="s">
        <v>1124</v>
      </c>
    </row>
    <row r="607" spans="2:19" ht="15" customHeight="1" x14ac:dyDescent="0.35">
      <c r="B607" s="181">
        <v>34078</v>
      </c>
      <c r="C607" s="182" t="s">
        <v>294</v>
      </c>
      <c r="D607" s="183">
        <v>3</v>
      </c>
      <c r="E607" s="185">
        <v>462</v>
      </c>
      <c r="F607" s="185">
        <v>353</v>
      </c>
      <c r="G607" s="184" t="s">
        <v>1308</v>
      </c>
      <c r="H607" s="186">
        <v>2</v>
      </c>
      <c r="I607" s="185">
        <v>769</v>
      </c>
      <c r="J607" s="187">
        <v>1.8461538461538463</v>
      </c>
      <c r="K607" s="188">
        <v>1419.6923076923078</v>
      </c>
      <c r="L607" s="189">
        <v>36.367000000000004</v>
      </c>
      <c r="M607" s="185">
        <v>705</v>
      </c>
      <c r="N607" s="189">
        <v>239.428</v>
      </c>
      <c r="O607" s="333">
        <v>182.96756500000001</v>
      </c>
      <c r="P607" s="333">
        <v>14.050742024999971</v>
      </c>
      <c r="Q607" s="333">
        <v>28.894935828750004</v>
      </c>
      <c r="R607" s="475">
        <f t="shared" si="10"/>
        <v>0.48627005466541667</v>
      </c>
      <c r="S607" s="340">
        <v>64</v>
      </c>
    </row>
    <row r="608" spans="2:19" ht="15" customHeight="1" x14ac:dyDescent="0.35">
      <c r="B608" s="181">
        <v>50035</v>
      </c>
      <c r="C608" s="182" t="s">
        <v>486</v>
      </c>
      <c r="D608" s="183">
        <v>17</v>
      </c>
      <c r="E608" s="185" t="s">
        <v>1124</v>
      </c>
      <c r="F608" s="185" t="s">
        <v>1124</v>
      </c>
      <c r="G608" s="184" t="s">
        <v>1124</v>
      </c>
      <c r="H608" s="186"/>
      <c r="I608" s="185"/>
      <c r="J608" s="187"/>
      <c r="K608" s="188"/>
      <c r="L608" s="189"/>
      <c r="M608" s="185" t="s">
        <v>1124</v>
      </c>
      <c r="N608" s="189"/>
      <c r="O608" s="333"/>
      <c r="P608" s="333" t="s">
        <v>1124</v>
      </c>
      <c r="Q608" s="333" t="s">
        <v>1124</v>
      </c>
      <c r="R608" s="475" t="str">
        <f t="shared" si="10"/>
        <v/>
      </c>
      <c r="S608" s="340" t="s">
        <v>1124</v>
      </c>
    </row>
    <row r="609" spans="2:19" ht="15" customHeight="1" x14ac:dyDescent="0.35">
      <c r="B609" s="181">
        <v>50030</v>
      </c>
      <c r="C609" s="182" t="s">
        <v>485</v>
      </c>
      <c r="D609" s="183">
        <v>17</v>
      </c>
      <c r="E609" s="185">
        <v>259</v>
      </c>
      <c r="F609" s="185">
        <v>195</v>
      </c>
      <c r="G609" s="184" t="s">
        <v>1308</v>
      </c>
      <c r="H609" s="186">
        <v>1</v>
      </c>
      <c r="I609" s="185">
        <v>402</v>
      </c>
      <c r="J609" s="187">
        <v>2.4390243902439024</v>
      </c>
      <c r="K609" s="188">
        <v>980.48780487804879</v>
      </c>
      <c r="L609" s="189">
        <v>10.632</v>
      </c>
      <c r="M609" s="185">
        <v>327</v>
      </c>
      <c r="N609" s="189">
        <v>92.702832000000001</v>
      </c>
      <c r="O609" s="333">
        <v>69.697999999999993</v>
      </c>
      <c r="P609" s="333">
        <v>16.586289520000001</v>
      </c>
      <c r="Q609" s="333">
        <v>9.491410451250001</v>
      </c>
      <c r="R609" s="475">
        <f t="shared" si="10"/>
        <v>1.7475052422599233</v>
      </c>
      <c r="S609" s="340">
        <v>61.064112028419039</v>
      </c>
    </row>
    <row r="610" spans="2:19" ht="15" customHeight="1" x14ac:dyDescent="0.35">
      <c r="B610" s="181">
        <v>55023</v>
      </c>
      <c r="C610" s="182" t="s">
        <v>561</v>
      </c>
      <c r="D610" s="183">
        <v>16</v>
      </c>
      <c r="E610" s="185">
        <v>453</v>
      </c>
      <c r="F610" s="185">
        <v>197</v>
      </c>
      <c r="G610" s="184" t="s">
        <v>1308</v>
      </c>
      <c r="H610" s="186">
        <v>1</v>
      </c>
      <c r="I610" s="185">
        <v>2536</v>
      </c>
      <c r="J610" s="187">
        <v>2</v>
      </c>
      <c r="K610" s="188">
        <v>5072</v>
      </c>
      <c r="L610" s="189">
        <v>55.9</v>
      </c>
      <c r="M610" s="185">
        <v>1761</v>
      </c>
      <c r="N610" s="189">
        <v>838.22700000000009</v>
      </c>
      <c r="O610" s="333">
        <v>364.048</v>
      </c>
      <c r="P610" s="333">
        <v>114.31311693877568</v>
      </c>
      <c r="Q610" s="333">
        <v>40.401119999999999</v>
      </c>
      <c r="R610" s="475">
        <f t="shared" si="10"/>
        <v>2.8294541571811793</v>
      </c>
      <c r="S610" s="340">
        <v>71.806574420115751</v>
      </c>
    </row>
    <row r="611" spans="2:19" ht="15" customHeight="1" x14ac:dyDescent="0.35">
      <c r="B611" s="181">
        <v>61035</v>
      </c>
      <c r="C611" s="182" t="s">
        <v>615</v>
      </c>
      <c r="D611" s="183">
        <v>14</v>
      </c>
      <c r="E611" s="185">
        <v>325</v>
      </c>
      <c r="F611" s="185">
        <v>171</v>
      </c>
      <c r="G611" s="184" t="s">
        <v>1326</v>
      </c>
      <c r="H611" s="186">
        <v>1</v>
      </c>
      <c r="I611" s="185">
        <v>7177</v>
      </c>
      <c r="J611" s="187">
        <v>2.0631792493841474</v>
      </c>
      <c r="K611" s="188">
        <v>14807.437472830026</v>
      </c>
      <c r="L611" s="189">
        <v>74.94</v>
      </c>
      <c r="M611" s="185">
        <v>7303</v>
      </c>
      <c r="N611" s="189">
        <v>1756.883</v>
      </c>
      <c r="O611" s="333">
        <v>922.21346000000005</v>
      </c>
      <c r="P611" s="333">
        <v>94.60369291237123</v>
      </c>
      <c r="Q611" s="333">
        <v>147.87674093999996</v>
      </c>
      <c r="R611" s="475">
        <f t="shared" si="10"/>
        <v>0.63974694269706733</v>
      </c>
      <c r="S611" s="340">
        <v>57.90392957119191</v>
      </c>
    </row>
    <row r="612" spans="2:19" ht="15" customHeight="1" x14ac:dyDescent="0.35">
      <c r="B612" s="181">
        <v>19097</v>
      </c>
      <c r="C612" s="182" t="s">
        <v>134</v>
      </c>
      <c r="D612" s="183">
        <v>12</v>
      </c>
      <c r="E612" s="185">
        <v>381</v>
      </c>
      <c r="F612" s="185">
        <v>165</v>
      </c>
      <c r="G612" s="184" t="s">
        <v>1326</v>
      </c>
      <c r="H612" s="186">
        <v>1</v>
      </c>
      <c r="I612" s="185">
        <v>734</v>
      </c>
      <c r="J612" s="187">
        <v>2.330834114339269</v>
      </c>
      <c r="K612" s="188">
        <v>1710.8322399250235</v>
      </c>
      <c r="L612" s="189">
        <v>16.547000000000001</v>
      </c>
      <c r="M612" s="185">
        <v>656</v>
      </c>
      <c r="N612" s="189">
        <v>237.73099999999999</v>
      </c>
      <c r="O612" s="333">
        <v>102.867</v>
      </c>
      <c r="P612" s="333">
        <v>112.3762368556701</v>
      </c>
      <c r="Q612" s="333">
        <v>19.151355819999999</v>
      </c>
      <c r="R612" s="475">
        <f t="shared" si="10"/>
        <v>5.8677953619510426</v>
      </c>
      <c r="S612" s="340">
        <v>67.82352941176471</v>
      </c>
    </row>
    <row r="613" spans="2:19" ht="15" customHeight="1" x14ac:dyDescent="0.35">
      <c r="B613" s="181">
        <v>94260</v>
      </c>
      <c r="C613" s="182" t="s">
        <v>984</v>
      </c>
      <c r="D613" s="183">
        <v>2</v>
      </c>
      <c r="E613" s="185">
        <v>655</v>
      </c>
      <c r="F613" s="185">
        <v>448</v>
      </c>
      <c r="G613" s="184" t="s">
        <v>1308</v>
      </c>
      <c r="H613" s="186">
        <v>1</v>
      </c>
      <c r="I613" s="185">
        <v>275</v>
      </c>
      <c r="J613" s="187">
        <v>2.177650429799427</v>
      </c>
      <c r="K613" s="188">
        <v>598.85386819484245</v>
      </c>
      <c r="L613" s="189">
        <v>27.963000000000001</v>
      </c>
      <c r="M613" s="185">
        <v>331</v>
      </c>
      <c r="N613" s="189">
        <v>143.077</v>
      </c>
      <c r="O613" s="333">
        <v>97.956000000000003</v>
      </c>
      <c r="P613" s="333">
        <v>29.794845000000009</v>
      </c>
      <c r="Q613" s="333">
        <v>14.981028610000001</v>
      </c>
      <c r="R613" s="475">
        <f t="shared" si="10"/>
        <v>1.988838401931335</v>
      </c>
      <c r="S613" s="340">
        <v>58.72972972972974</v>
      </c>
    </row>
    <row r="614" spans="2:19" ht="15" customHeight="1" x14ac:dyDescent="0.35">
      <c r="B614" s="181">
        <v>9010</v>
      </c>
      <c r="C614" s="182" t="s">
        <v>1098</v>
      </c>
      <c r="D614" s="183">
        <v>1</v>
      </c>
      <c r="E614" s="185" t="s">
        <v>1124</v>
      </c>
      <c r="F614" s="185" t="s">
        <v>1124</v>
      </c>
      <c r="G614" s="184" t="s">
        <v>1124</v>
      </c>
      <c r="H614" s="186"/>
      <c r="I614" s="185"/>
      <c r="J614" s="187"/>
      <c r="K614" s="188"/>
      <c r="L614" s="189"/>
      <c r="M614" s="185" t="s">
        <v>1124</v>
      </c>
      <c r="N614" s="189"/>
      <c r="O614" s="333"/>
      <c r="P614" s="333" t="s">
        <v>1124</v>
      </c>
      <c r="Q614" s="333" t="s">
        <v>1124</v>
      </c>
      <c r="R614" s="475" t="str">
        <f t="shared" si="10"/>
        <v/>
      </c>
      <c r="S614" s="340" t="s">
        <v>1124</v>
      </c>
    </row>
    <row r="615" spans="2:19" ht="15" customHeight="1" x14ac:dyDescent="0.35">
      <c r="B615" s="181">
        <v>57057</v>
      </c>
      <c r="C615" s="182" t="s">
        <v>591</v>
      </c>
      <c r="D615" s="183">
        <v>16</v>
      </c>
      <c r="E615" s="185">
        <v>581</v>
      </c>
      <c r="F615" s="185">
        <v>224</v>
      </c>
      <c r="G615" s="184" t="s">
        <v>1308</v>
      </c>
      <c r="H615" s="186">
        <v>1</v>
      </c>
      <c r="I615" s="185"/>
      <c r="J615" s="187"/>
      <c r="K615" s="188"/>
      <c r="L615" s="189"/>
      <c r="M615" s="185" t="s">
        <v>1124</v>
      </c>
      <c r="N615" s="189"/>
      <c r="O615" s="333"/>
      <c r="P615" s="333"/>
      <c r="Q615" s="333"/>
      <c r="R615" s="475">
        <v>1.1000000000000001</v>
      </c>
      <c r="S615" s="340">
        <v>66</v>
      </c>
    </row>
    <row r="616" spans="2:19" ht="15" customHeight="1" x14ac:dyDescent="0.35">
      <c r="B616" s="181">
        <v>39060</v>
      </c>
      <c r="C616" s="182" t="s">
        <v>345</v>
      </c>
      <c r="D616" s="183">
        <v>17</v>
      </c>
      <c r="E616" s="185">
        <v>580</v>
      </c>
      <c r="F616" s="185">
        <v>172</v>
      </c>
      <c r="G616" s="184" t="s">
        <v>1308</v>
      </c>
      <c r="H616" s="186">
        <v>1</v>
      </c>
      <c r="I616" s="185"/>
      <c r="J616" s="187"/>
      <c r="K616" s="188"/>
      <c r="L616" s="189"/>
      <c r="M616" s="185" t="s">
        <v>1124</v>
      </c>
      <c r="N616" s="189"/>
      <c r="O616" s="333"/>
      <c r="P616" s="333"/>
      <c r="Q616" s="333"/>
      <c r="R616" s="475">
        <v>12.7</v>
      </c>
      <c r="S616" s="340">
        <v>63</v>
      </c>
    </row>
    <row r="617" spans="2:19" ht="15" customHeight="1" x14ac:dyDescent="0.35">
      <c r="B617" s="181">
        <v>69017</v>
      </c>
      <c r="C617" s="182" t="s">
        <v>686</v>
      </c>
      <c r="D617" s="183">
        <v>16</v>
      </c>
      <c r="E617" s="185">
        <v>353</v>
      </c>
      <c r="F617" s="185">
        <v>255</v>
      </c>
      <c r="G617" s="184" t="s">
        <v>1308</v>
      </c>
      <c r="H617" s="186">
        <v>1</v>
      </c>
      <c r="I617" s="185">
        <v>553</v>
      </c>
      <c r="J617" s="187">
        <v>2.395039858281665</v>
      </c>
      <c r="K617" s="188">
        <v>1324.4570416297609</v>
      </c>
      <c r="L617" s="189">
        <v>10.859</v>
      </c>
      <c r="M617" s="185">
        <v>618</v>
      </c>
      <c r="N617" s="189">
        <v>170.45500000000001</v>
      </c>
      <c r="O617" s="333">
        <v>123.48543689320388</v>
      </c>
      <c r="P617" s="333">
        <v>29.434175000000025</v>
      </c>
      <c r="Q617" s="333">
        <v>12.782758440000002</v>
      </c>
      <c r="R617" s="475">
        <f t="shared" si="10"/>
        <v>2.3026465796219817</v>
      </c>
      <c r="S617" s="340">
        <v>58.72972972972974</v>
      </c>
    </row>
    <row r="618" spans="2:19" ht="15" customHeight="1" x14ac:dyDescent="0.35">
      <c r="B618" s="181">
        <v>42100</v>
      </c>
      <c r="C618" s="182" t="s">
        <v>395</v>
      </c>
      <c r="D618" s="183">
        <v>5</v>
      </c>
      <c r="E618" s="185" t="s">
        <v>1124</v>
      </c>
      <c r="F618" s="185" t="s">
        <v>1124</v>
      </c>
      <c r="G618" s="184" t="s">
        <v>1124</v>
      </c>
      <c r="H618" s="186"/>
      <c r="I618" s="185"/>
      <c r="J618" s="187"/>
      <c r="K618" s="188"/>
      <c r="L618" s="189"/>
      <c r="M618" s="185" t="s">
        <v>1124</v>
      </c>
      <c r="N618" s="189"/>
      <c r="O618" s="333"/>
      <c r="P618" s="333" t="s">
        <v>1124</v>
      </c>
      <c r="Q618" s="333" t="s">
        <v>1124</v>
      </c>
      <c r="R618" s="475" t="str">
        <f t="shared" si="10"/>
        <v/>
      </c>
      <c r="S618" s="340" t="s">
        <v>1124</v>
      </c>
    </row>
    <row r="619" spans="2:19" ht="15" customHeight="1" x14ac:dyDescent="0.35">
      <c r="B619" s="181">
        <v>11005</v>
      </c>
      <c r="C619" s="182" t="s">
        <v>17</v>
      </c>
      <c r="D619" s="183">
        <v>1</v>
      </c>
      <c r="E619" s="185">
        <v>324</v>
      </c>
      <c r="F619" s="185">
        <v>236</v>
      </c>
      <c r="G619" s="184" t="s">
        <v>1308</v>
      </c>
      <c r="H619" s="186">
        <v>1</v>
      </c>
      <c r="I619" s="185">
        <v>100</v>
      </c>
      <c r="J619" s="187">
        <v>1.9914893617021279</v>
      </c>
      <c r="K619" s="188">
        <v>199.14893617021278</v>
      </c>
      <c r="L619" s="189">
        <v>2.3530000000000002</v>
      </c>
      <c r="M619" s="185">
        <v>115</v>
      </c>
      <c r="N619" s="189">
        <v>23.548999999999999</v>
      </c>
      <c r="O619" s="333">
        <v>17.131304347826088</v>
      </c>
      <c r="P619" s="333">
        <v>3.4947650000000006</v>
      </c>
      <c r="Q619" s="333">
        <v>2.1694361920000005</v>
      </c>
      <c r="R619" s="475">
        <f t="shared" si="10"/>
        <v>1.610909328832659</v>
      </c>
      <c r="S619" s="340">
        <v>44.729729729729726</v>
      </c>
    </row>
    <row r="620" spans="2:19" ht="15" customHeight="1" x14ac:dyDescent="0.35">
      <c r="B620" s="181">
        <v>7090</v>
      </c>
      <c r="C620" s="182" t="s">
        <v>1082</v>
      </c>
      <c r="D620" s="183">
        <v>1</v>
      </c>
      <c r="E620" s="185">
        <v>479</v>
      </c>
      <c r="F620" s="185">
        <v>139</v>
      </c>
      <c r="G620" s="184" t="s">
        <v>1308</v>
      </c>
      <c r="H620" s="186">
        <v>1</v>
      </c>
      <c r="I620" s="185">
        <v>73</v>
      </c>
      <c r="J620" s="187">
        <v>2.3841059602649008</v>
      </c>
      <c r="K620" s="188">
        <v>174.03973509933778</v>
      </c>
      <c r="L620" s="189">
        <v>3.1160000000000001</v>
      </c>
      <c r="M620" s="185">
        <v>80</v>
      </c>
      <c r="N620" s="189">
        <v>30.417000000000002</v>
      </c>
      <c r="O620" s="333">
        <v>8.8154096385542164</v>
      </c>
      <c r="P620" s="333">
        <v>19.937745</v>
      </c>
      <c r="Q620" s="333">
        <v>2.6588702400000002</v>
      </c>
      <c r="R620" s="475">
        <f t="shared" si="10"/>
        <v>7.4985776665806743</v>
      </c>
      <c r="S620" s="340">
        <v>59.081081081081081</v>
      </c>
    </row>
    <row r="621" spans="2:19" ht="15" customHeight="1" x14ac:dyDescent="0.35">
      <c r="B621" s="181">
        <v>52075</v>
      </c>
      <c r="C621" s="182" t="s">
        <v>525</v>
      </c>
      <c r="D621" s="183">
        <v>14</v>
      </c>
      <c r="E621" s="185" t="s">
        <v>1124</v>
      </c>
      <c r="F621" s="185" t="s">
        <v>1124</v>
      </c>
      <c r="G621" s="184" t="s">
        <v>1124</v>
      </c>
      <c r="H621" s="186"/>
      <c r="I621" s="185"/>
      <c r="J621" s="187"/>
      <c r="K621" s="188"/>
      <c r="L621" s="189"/>
      <c r="M621" s="185" t="s">
        <v>1124</v>
      </c>
      <c r="N621" s="189"/>
      <c r="O621" s="333"/>
      <c r="P621" s="333" t="s">
        <v>1124</v>
      </c>
      <c r="Q621" s="333" t="s">
        <v>1124</v>
      </c>
      <c r="R621" s="475" t="str">
        <f t="shared" si="10"/>
        <v/>
      </c>
      <c r="S621" s="340" t="s">
        <v>1124</v>
      </c>
    </row>
    <row r="622" spans="2:19" ht="15" customHeight="1" x14ac:dyDescent="0.35">
      <c r="B622" s="181">
        <v>71045</v>
      </c>
      <c r="C622" s="182" t="s">
        <v>710</v>
      </c>
      <c r="D622" s="183">
        <v>16</v>
      </c>
      <c r="E622" s="185" t="s">
        <v>1124</v>
      </c>
      <c r="F622" s="185" t="s">
        <v>1124</v>
      </c>
      <c r="G622" s="184" t="s">
        <v>1124</v>
      </c>
      <c r="H622" s="186"/>
      <c r="I622" s="185"/>
      <c r="J622" s="187"/>
      <c r="K622" s="188"/>
      <c r="L622" s="189"/>
      <c r="M622" s="185" t="s">
        <v>1124</v>
      </c>
      <c r="N622" s="189"/>
      <c r="O622" s="333"/>
      <c r="P622" s="333" t="s">
        <v>1124</v>
      </c>
      <c r="Q622" s="333" t="s">
        <v>1124</v>
      </c>
      <c r="R622" s="475" t="str">
        <f t="shared" si="10"/>
        <v/>
      </c>
      <c r="S622" s="340" t="s">
        <v>1124</v>
      </c>
    </row>
    <row r="623" spans="2:19" ht="15" customHeight="1" x14ac:dyDescent="0.35">
      <c r="B623" s="181">
        <v>75005</v>
      </c>
      <c r="C623" s="182" t="s">
        <v>742</v>
      </c>
      <c r="D623" s="183">
        <v>15</v>
      </c>
      <c r="E623" s="185" t="s">
        <v>1124</v>
      </c>
      <c r="F623" s="185" t="s">
        <v>1124</v>
      </c>
      <c r="G623" s="184" t="s">
        <v>1124</v>
      </c>
      <c r="H623" s="186"/>
      <c r="I623" s="185"/>
      <c r="J623" s="187"/>
      <c r="K623" s="188"/>
      <c r="L623" s="189"/>
      <c r="M623" s="185" t="s">
        <v>1124</v>
      </c>
      <c r="N623" s="189"/>
      <c r="O623" s="333"/>
      <c r="P623" s="333" t="s">
        <v>1124</v>
      </c>
      <c r="Q623" s="333" t="s">
        <v>1124</v>
      </c>
      <c r="R623" s="475" t="str">
        <f t="shared" si="10"/>
        <v/>
      </c>
      <c r="S623" s="340" t="s">
        <v>1124</v>
      </c>
    </row>
    <row r="624" spans="2:19" ht="15" customHeight="1" x14ac:dyDescent="0.35">
      <c r="B624" s="181">
        <v>62065</v>
      </c>
      <c r="C624" s="182" t="s">
        <v>629</v>
      </c>
      <c r="D624" s="183">
        <v>14</v>
      </c>
      <c r="E624" s="185">
        <v>716</v>
      </c>
      <c r="F624" s="185">
        <v>437</v>
      </c>
      <c r="G624" s="184" t="s">
        <v>1308</v>
      </c>
      <c r="H624" s="186">
        <v>1</v>
      </c>
      <c r="I624" s="185">
        <v>600</v>
      </c>
      <c r="J624" s="187">
        <v>1.0940128649183571</v>
      </c>
      <c r="K624" s="188">
        <v>656.40771895101432</v>
      </c>
      <c r="L624" s="189">
        <v>25.91</v>
      </c>
      <c r="M624" s="185">
        <v>584</v>
      </c>
      <c r="N624" s="189">
        <v>171.56</v>
      </c>
      <c r="O624" s="333">
        <v>104.79564541213063</v>
      </c>
      <c r="P624" s="333">
        <v>56.680600000000013</v>
      </c>
      <c r="Q624" s="333">
        <v>17.058146520000005</v>
      </c>
      <c r="R624" s="475">
        <f t="shared" si="10"/>
        <v>3.3227877327436626</v>
      </c>
      <c r="S624" s="340">
        <v>58.905405405405418</v>
      </c>
    </row>
    <row r="625" spans="2:19" ht="15" customHeight="1" x14ac:dyDescent="0.35">
      <c r="B625" s="181">
        <v>29057</v>
      </c>
      <c r="C625" s="182" t="s">
        <v>209</v>
      </c>
      <c r="D625" s="183">
        <v>12</v>
      </c>
      <c r="E625" s="185">
        <v>321</v>
      </c>
      <c r="F625" s="185">
        <v>172</v>
      </c>
      <c r="G625" s="184" t="s">
        <v>1308</v>
      </c>
      <c r="H625" s="186">
        <v>1</v>
      </c>
      <c r="I625" s="185">
        <v>890</v>
      </c>
      <c r="J625" s="187">
        <v>2.3846715328467152</v>
      </c>
      <c r="K625" s="188">
        <v>2122.3576642335765</v>
      </c>
      <c r="L625" s="189">
        <v>29.15</v>
      </c>
      <c r="M625" s="185">
        <v>940</v>
      </c>
      <c r="N625" s="189">
        <v>248.595</v>
      </c>
      <c r="O625" s="333">
        <v>133.22200000000001</v>
      </c>
      <c r="P625" s="333">
        <v>98.969518324742268</v>
      </c>
      <c r="Q625" s="333">
        <v>24.094671999999996</v>
      </c>
      <c r="R625" s="475">
        <f t="shared" si="10"/>
        <v>4.1075271049442916</v>
      </c>
      <c r="S625" s="340">
        <v>63.117647058823536</v>
      </c>
    </row>
    <row r="626" spans="2:19" ht="15" customHeight="1" x14ac:dyDescent="0.35">
      <c r="B626" s="181">
        <v>67035</v>
      </c>
      <c r="C626" s="182" t="s">
        <v>668</v>
      </c>
      <c r="D626" s="183">
        <v>16</v>
      </c>
      <c r="E626" s="185" t="s">
        <v>1124</v>
      </c>
      <c r="F626" s="185" t="s">
        <v>1124</v>
      </c>
      <c r="G626" s="184" t="s">
        <v>1124</v>
      </c>
      <c r="H626" s="186"/>
      <c r="I626" s="185"/>
      <c r="J626" s="187"/>
      <c r="K626" s="188"/>
      <c r="L626" s="189"/>
      <c r="M626" s="185" t="s">
        <v>1124</v>
      </c>
      <c r="N626" s="189"/>
      <c r="O626" s="333"/>
      <c r="P626" s="333" t="s">
        <v>1124</v>
      </c>
      <c r="Q626" s="333" t="s">
        <v>1124</v>
      </c>
      <c r="R626" s="475" t="str">
        <f t="shared" si="10"/>
        <v/>
      </c>
      <c r="S626" s="340" t="s">
        <v>1124</v>
      </c>
    </row>
    <row r="627" spans="2:19" ht="15" customHeight="1" x14ac:dyDescent="0.35">
      <c r="B627" s="181">
        <v>52062</v>
      </c>
      <c r="C627" s="182" t="s">
        <v>523</v>
      </c>
      <c r="D627" s="183">
        <v>14</v>
      </c>
      <c r="E627" s="185" t="s">
        <v>1124</v>
      </c>
      <c r="F627" s="185" t="s">
        <v>1124</v>
      </c>
      <c r="G627" s="184" t="s">
        <v>1124</v>
      </c>
      <c r="H627" s="186"/>
      <c r="I627" s="185"/>
      <c r="J627" s="187"/>
      <c r="K627" s="188"/>
      <c r="L627" s="189"/>
      <c r="M627" s="185" t="s">
        <v>1124</v>
      </c>
      <c r="N627" s="189"/>
      <c r="O627" s="333"/>
      <c r="P627" s="333" t="s">
        <v>1124</v>
      </c>
      <c r="Q627" s="333" t="s">
        <v>1124</v>
      </c>
      <c r="R627" s="475" t="str">
        <f t="shared" si="10"/>
        <v/>
      </c>
      <c r="S627" s="340" t="s">
        <v>1124</v>
      </c>
    </row>
    <row r="628" spans="2:19" ht="15" customHeight="1" x14ac:dyDescent="0.35">
      <c r="B628" s="181">
        <v>12005</v>
      </c>
      <c r="C628" s="182" t="s">
        <v>28</v>
      </c>
      <c r="D628" s="183">
        <v>1</v>
      </c>
      <c r="E628" s="185">
        <v>345</v>
      </c>
      <c r="F628" s="185">
        <v>248</v>
      </c>
      <c r="G628" s="184" t="s">
        <v>1308</v>
      </c>
      <c r="H628" s="186">
        <v>1</v>
      </c>
      <c r="I628" s="185">
        <v>396</v>
      </c>
      <c r="J628" s="187">
        <v>1.99624765478424</v>
      </c>
      <c r="K628" s="188">
        <v>790.51407129455902</v>
      </c>
      <c r="L628" s="189">
        <v>10.739000000000001</v>
      </c>
      <c r="M628" s="185">
        <v>339</v>
      </c>
      <c r="N628" s="189">
        <v>99.425799999999995</v>
      </c>
      <c r="O628" s="333">
        <v>71.444999999999993</v>
      </c>
      <c r="P628" s="333">
        <v>7.0083588247422597</v>
      </c>
      <c r="Q628" s="333">
        <v>4.9517814059999994</v>
      </c>
      <c r="R628" s="475">
        <f t="shared" si="10"/>
        <v>1.4153207199837894</v>
      </c>
      <c r="S628" s="340">
        <v>59.666666666666664</v>
      </c>
    </row>
    <row r="629" spans="2:19" ht="15" customHeight="1" x14ac:dyDescent="0.35">
      <c r="B629" s="181">
        <v>28040</v>
      </c>
      <c r="C629" s="182" t="s">
        <v>194</v>
      </c>
      <c r="D629" s="183">
        <v>12</v>
      </c>
      <c r="E629" s="185" t="s">
        <v>1124</v>
      </c>
      <c r="F629" s="185" t="s">
        <v>1124</v>
      </c>
      <c r="G629" s="184" t="s">
        <v>1124</v>
      </c>
      <c r="H629" s="186"/>
      <c r="I629" s="185"/>
      <c r="J629" s="187"/>
      <c r="K629" s="188"/>
      <c r="L629" s="189"/>
      <c r="M629" s="185" t="s">
        <v>1124</v>
      </c>
      <c r="N629" s="189"/>
      <c r="O629" s="333"/>
      <c r="P629" s="333" t="s">
        <v>1124</v>
      </c>
      <c r="Q629" s="333" t="s">
        <v>1124</v>
      </c>
      <c r="R629" s="475" t="str">
        <f t="shared" si="10"/>
        <v/>
      </c>
      <c r="S629" s="340" t="s">
        <v>1124</v>
      </c>
    </row>
    <row r="630" spans="2:19" ht="15" customHeight="1" x14ac:dyDescent="0.35">
      <c r="B630" s="181">
        <v>68035</v>
      </c>
      <c r="C630" s="182" t="s">
        <v>679</v>
      </c>
      <c r="D630" s="183">
        <v>16</v>
      </c>
      <c r="E630" s="185">
        <v>304</v>
      </c>
      <c r="F630" s="185">
        <v>251</v>
      </c>
      <c r="G630" s="184" t="s">
        <v>1326</v>
      </c>
      <c r="H630" s="186">
        <v>2</v>
      </c>
      <c r="I630" s="185">
        <v>186</v>
      </c>
      <c r="J630" s="187">
        <v>2.5499999999999998</v>
      </c>
      <c r="K630" s="188">
        <v>474.29999999999995</v>
      </c>
      <c r="L630" s="189">
        <v>4.3760000000000003</v>
      </c>
      <c r="M630" s="185">
        <v>209</v>
      </c>
      <c r="N630" s="189">
        <v>52.574999999999996</v>
      </c>
      <c r="O630" s="333">
        <v>43.419147058823533</v>
      </c>
      <c r="P630" s="333">
        <v>4.1653749999999947</v>
      </c>
      <c r="Q630" s="333">
        <v>5.3154407281500005</v>
      </c>
      <c r="R630" s="475">
        <f t="shared" si="10"/>
        <v>0.78363680699901672</v>
      </c>
      <c r="S630" s="340">
        <v>53.784982328976625</v>
      </c>
    </row>
    <row r="631" spans="2:19" ht="15" customHeight="1" x14ac:dyDescent="0.35">
      <c r="B631" s="181">
        <v>17045</v>
      </c>
      <c r="C631" s="182" t="s">
        <v>98</v>
      </c>
      <c r="D631" s="183">
        <v>12</v>
      </c>
      <c r="E631" s="185" t="s">
        <v>1124</v>
      </c>
      <c r="F631" s="185" t="s">
        <v>1124</v>
      </c>
      <c r="G631" s="184" t="s">
        <v>1124</v>
      </c>
      <c r="H631" s="186"/>
      <c r="I631" s="185"/>
      <c r="J631" s="187"/>
      <c r="K631" s="188"/>
      <c r="L631" s="189"/>
      <c r="M631" s="185" t="s">
        <v>1124</v>
      </c>
      <c r="N631" s="189"/>
      <c r="O631" s="333"/>
      <c r="P631" s="333" t="s">
        <v>1124</v>
      </c>
      <c r="Q631" s="333" t="s">
        <v>1124</v>
      </c>
      <c r="R631" s="475" t="str">
        <f t="shared" si="10"/>
        <v/>
      </c>
      <c r="S631" s="340" t="s">
        <v>1124</v>
      </c>
    </row>
    <row r="632" spans="2:19" ht="15" customHeight="1" x14ac:dyDescent="0.35">
      <c r="B632" s="181">
        <v>49070</v>
      </c>
      <c r="C632" s="182" t="s">
        <v>472</v>
      </c>
      <c r="D632" s="183">
        <v>17</v>
      </c>
      <c r="E632" s="185">
        <v>236</v>
      </c>
      <c r="F632" s="185">
        <v>146</v>
      </c>
      <c r="G632" s="184" t="s">
        <v>1326</v>
      </c>
      <c r="H632" s="186">
        <v>1</v>
      </c>
      <c r="I632" s="185">
        <v>924</v>
      </c>
      <c r="J632" s="187">
        <v>2.57449088960343</v>
      </c>
      <c r="K632" s="188">
        <v>2378.8295819935693</v>
      </c>
      <c r="L632" s="189">
        <v>24.986000000000001</v>
      </c>
      <c r="M632" s="185">
        <v>845</v>
      </c>
      <c r="N632" s="189">
        <v>204.97300000000001</v>
      </c>
      <c r="O632" s="333">
        <v>127.19200000000001</v>
      </c>
      <c r="P632" s="333">
        <v>56.726952295918352</v>
      </c>
      <c r="Q632" s="333">
        <v>17.814595876350001</v>
      </c>
      <c r="R632" s="475">
        <f t="shared" si="10"/>
        <v>3.1842963314832731</v>
      </c>
      <c r="S632" s="340">
        <v>71.774509803921561</v>
      </c>
    </row>
    <row r="633" spans="2:19" ht="15" customHeight="1" x14ac:dyDescent="0.35">
      <c r="B633" s="181">
        <v>7105</v>
      </c>
      <c r="C633" s="182" t="s">
        <v>1085</v>
      </c>
      <c r="D633" s="183">
        <v>1</v>
      </c>
      <c r="E633" s="185">
        <v>298</v>
      </c>
      <c r="F633" s="185">
        <v>208</v>
      </c>
      <c r="G633" s="184" t="s">
        <v>1308</v>
      </c>
      <c r="H633" s="186">
        <v>1</v>
      </c>
      <c r="I633" s="185">
        <v>90</v>
      </c>
      <c r="J633" s="187">
        <v>2.4</v>
      </c>
      <c r="K633" s="188">
        <v>216</v>
      </c>
      <c r="L633" s="189">
        <v>2.1</v>
      </c>
      <c r="M633" s="185">
        <v>96</v>
      </c>
      <c r="N633" s="189">
        <v>23.526</v>
      </c>
      <c r="O633" s="333">
        <v>16.437669902912624</v>
      </c>
      <c r="P633" s="333">
        <v>4.3611099999999992</v>
      </c>
      <c r="Q633" s="333">
        <v>2.1247380000000007</v>
      </c>
      <c r="R633" s="475">
        <f t="shared" si="10"/>
        <v>2.0525401249471691</v>
      </c>
      <c r="S633" s="340">
        <v>59.081081081081081</v>
      </c>
    </row>
    <row r="634" spans="2:19" ht="15" customHeight="1" x14ac:dyDescent="0.35">
      <c r="B634" s="181">
        <v>54017</v>
      </c>
      <c r="C634" s="182" t="s">
        <v>543</v>
      </c>
      <c r="D634" s="183">
        <v>16</v>
      </c>
      <c r="E634" s="185">
        <v>2313</v>
      </c>
      <c r="F634" s="185">
        <v>219</v>
      </c>
      <c r="G634" s="184" t="s">
        <v>1308</v>
      </c>
      <c r="H634" s="186">
        <v>1</v>
      </c>
      <c r="I634" s="185">
        <v>1083</v>
      </c>
      <c r="J634" s="187">
        <v>1.839779005524862</v>
      </c>
      <c r="K634" s="188">
        <v>1992.4806629834254</v>
      </c>
      <c r="L634" s="189">
        <v>64</v>
      </c>
      <c r="M634" s="185">
        <v>986</v>
      </c>
      <c r="N634" s="189">
        <v>1682.1513694334099</v>
      </c>
      <c r="O634" s="333">
        <v>159.09</v>
      </c>
      <c r="P634" s="333">
        <v>26.918937063976674</v>
      </c>
      <c r="Q634" s="333">
        <v>42.167537500000009</v>
      </c>
      <c r="R634" s="475">
        <f t="shared" si="10"/>
        <v>0.63838058041631363</v>
      </c>
      <c r="S634" s="340">
        <v>69.662771031356755</v>
      </c>
    </row>
    <row r="635" spans="2:19" ht="15" customHeight="1" x14ac:dyDescent="0.35">
      <c r="B635" s="181">
        <v>17040</v>
      </c>
      <c r="C635" s="182" t="s">
        <v>97</v>
      </c>
      <c r="D635" s="183">
        <v>12</v>
      </c>
      <c r="E635" s="185" t="s">
        <v>1124</v>
      </c>
      <c r="F635" s="185" t="s">
        <v>1124</v>
      </c>
      <c r="G635" s="184" t="s">
        <v>1124</v>
      </c>
      <c r="H635" s="186"/>
      <c r="I635" s="185"/>
      <c r="J635" s="187"/>
      <c r="K635" s="188"/>
      <c r="L635" s="189"/>
      <c r="M635" s="185" t="s">
        <v>1124</v>
      </c>
      <c r="N635" s="189"/>
      <c r="O635" s="333"/>
      <c r="P635" s="333" t="s">
        <v>1124</v>
      </c>
      <c r="Q635" s="333" t="s">
        <v>1124</v>
      </c>
      <c r="R635" s="475" t="str">
        <f t="shared" si="10"/>
        <v/>
      </c>
      <c r="S635" s="340" t="s">
        <v>1124</v>
      </c>
    </row>
    <row r="636" spans="2:19" ht="15" customHeight="1" x14ac:dyDescent="0.35">
      <c r="B636" s="181">
        <v>62075</v>
      </c>
      <c r="C636" s="182" t="s">
        <v>631</v>
      </c>
      <c r="D636" s="183">
        <v>14</v>
      </c>
      <c r="E636" s="185" t="s">
        <v>1124</v>
      </c>
      <c r="F636" s="185" t="s">
        <v>1124</v>
      </c>
      <c r="G636" s="184" t="s">
        <v>1124</v>
      </c>
      <c r="H636" s="186"/>
      <c r="I636" s="185"/>
      <c r="J636" s="187"/>
      <c r="K636" s="188"/>
      <c r="L636" s="189"/>
      <c r="M636" s="185" t="s">
        <v>1124</v>
      </c>
      <c r="N636" s="189"/>
      <c r="O636" s="333"/>
      <c r="P636" s="333" t="s">
        <v>1124</v>
      </c>
      <c r="Q636" s="333" t="s">
        <v>1124</v>
      </c>
      <c r="R636" s="475" t="str">
        <f t="shared" si="10"/>
        <v/>
      </c>
      <c r="S636" s="340" t="s">
        <v>1124</v>
      </c>
    </row>
    <row r="637" spans="2:19" ht="15" customHeight="1" x14ac:dyDescent="0.35">
      <c r="B637" s="181">
        <v>19030</v>
      </c>
      <c r="C637" s="182" t="s">
        <v>123</v>
      </c>
      <c r="D637" s="183">
        <v>12</v>
      </c>
      <c r="E637" s="185">
        <v>794</v>
      </c>
      <c r="F637" s="185">
        <v>201</v>
      </c>
      <c r="G637" s="184" t="s">
        <v>1308</v>
      </c>
      <c r="H637" s="186">
        <v>1</v>
      </c>
      <c r="I637" s="185">
        <v>559</v>
      </c>
      <c r="J637" s="187">
        <v>2.1981566820276499</v>
      </c>
      <c r="K637" s="188">
        <v>1228.7695852534564</v>
      </c>
      <c r="L637" s="189">
        <v>18.105</v>
      </c>
      <c r="M637" s="185">
        <v>557</v>
      </c>
      <c r="N637" s="189">
        <v>355.93700000000001</v>
      </c>
      <c r="O637" s="333">
        <v>90.054109999999994</v>
      </c>
      <c r="P637" s="333">
        <v>194.93804729835574</v>
      </c>
      <c r="Q637" s="333">
        <v>10.745244124999999</v>
      </c>
      <c r="R637" s="475">
        <f t="shared" si="10"/>
        <v>18.141797899669008</v>
      </c>
      <c r="S637" s="340">
        <v>63.490196078431381</v>
      </c>
    </row>
    <row r="638" spans="2:19" ht="15" customHeight="1" x14ac:dyDescent="0.35">
      <c r="B638" s="181">
        <v>53005</v>
      </c>
      <c r="C638" s="182" t="s">
        <v>530</v>
      </c>
      <c r="D638" s="183">
        <v>16</v>
      </c>
      <c r="E638" s="185">
        <v>570</v>
      </c>
      <c r="F638" s="185">
        <v>175</v>
      </c>
      <c r="G638" s="184" t="s">
        <v>1308</v>
      </c>
      <c r="H638" s="186">
        <v>1</v>
      </c>
      <c r="I638" s="185">
        <v>399</v>
      </c>
      <c r="J638" s="187">
        <v>2.2375979112271542</v>
      </c>
      <c r="K638" s="188">
        <v>892.8015665796346</v>
      </c>
      <c r="L638" s="189">
        <v>57.371000000000002</v>
      </c>
      <c r="M638" s="185">
        <v>419</v>
      </c>
      <c r="N638" s="189">
        <v>185.67</v>
      </c>
      <c r="O638" s="333">
        <v>56.947000000000003</v>
      </c>
      <c r="P638" s="333">
        <v>15.214680917085415</v>
      </c>
      <c r="Q638" s="333">
        <v>26.445453624000002</v>
      </c>
      <c r="R638" s="475">
        <f t="shared" si="10"/>
        <v>0.57532312107052153</v>
      </c>
      <c r="S638" s="340">
        <v>61</v>
      </c>
    </row>
    <row r="639" spans="2:19" ht="15" customHeight="1" x14ac:dyDescent="0.35">
      <c r="B639" s="181">
        <v>94245</v>
      </c>
      <c r="C639" s="182" t="s">
        <v>981</v>
      </c>
      <c r="D639" s="183">
        <v>2</v>
      </c>
      <c r="E639" s="185">
        <v>754</v>
      </c>
      <c r="F639" s="185">
        <v>304</v>
      </c>
      <c r="G639" s="184" t="s">
        <v>1308</v>
      </c>
      <c r="H639" s="186">
        <v>2</v>
      </c>
      <c r="I639" s="185">
        <v>892</v>
      </c>
      <c r="J639" s="187">
        <v>2.1150705270972532</v>
      </c>
      <c r="K639" s="188">
        <v>1886.6429101707499</v>
      </c>
      <c r="L639" s="189">
        <v>46.21</v>
      </c>
      <c r="M639" s="185">
        <v>1408</v>
      </c>
      <c r="N639" s="189">
        <v>519.26700000000005</v>
      </c>
      <c r="O639" s="333">
        <v>209.02907208237988</v>
      </c>
      <c r="P639" s="333">
        <v>280.05797000000001</v>
      </c>
      <c r="Q639" s="333">
        <v>60.393986641499993</v>
      </c>
      <c r="R639" s="475">
        <f t="shared" si="10"/>
        <v>4.6371830305296813</v>
      </c>
      <c r="S639" s="340">
        <v>58.027027027027032</v>
      </c>
    </row>
    <row r="640" spans="2:19" ht="15" customHeight="1" x14ac:dyDescent="0.35">
      <c r="B640" s="192">
        <v>14055</v>
      </c>
      <c r="C640" s="182" t="s">
        <v>69</v>
      </c>
      <c r="D640" s="183">
        <v>1</v>
      </c>
      <c r="E640" s="185" t="s">
        <v>1124</v>
      </c>
      <c r="F640" s="185" t="s">
        <v>1124</v>
      </c>
      <c r="G640" s="184" t="s">
        <v>1124</v>
      </c>
      <c r="H640" s="186"/>
      <c r="I640" s="185"/>
      <c r="J640" s="187"/>
      <c r="K640" s="188"/>
      <c r="L640" s="189"/>
      <c r="M640" s="185" t="s">
        <v>1124</v>
      </c>
      <c r="N640" s="189"/>
      <c r="O640" s="333"/>
      <c r="P640" s="333" t="s">
        <v>1124</v>
      </c>
      <c r="Q640" s="333" t="s">
        <v>1124</v>
      </c>
      <c r="R640" s="475" t="str">
        <f t="shared" si="10"/>
        <v/>
      </c>
      <c r="S640" s="340" t="s">
        <v>1124</v>
      </c>
    </row>
    <row r="641" spans="2:19" ht="15" customHeight="1" x14ac:dyDescent="0.35">
      <c r="B641" s="181">
        <v>42025</v>
      </c>
      <c r="C641" s="182" t="s">
        <v>381</v>
      </c>
      <c r="D641" s="183">
        <v>5</v>
      </c>
      <c r="E641" s="185">
        <v>395</v>
      </c>
      <c r="F641" s="185">
        <v>297</v>
      </c>
      <c r="G641" s="184" t="s">
        <v>1308</v>
      </c>
      <c r="H641" s="186">
        <v>1</v>
      </c>
      <c r="I641" s="185">
        <v>97</v>
      </c>
      <c r="J641" s="187">
        <v>2.5488454706927177</v>
      </c>
      <c r="K641" s="188">
        <v>247.23801065719363</v>
      </c>
      <c r="L641" s="189">
        <v>2.5990000000000002</v>
      </c>
      <c r="M641" s="185">
        <v>98</v>
      </c>
      <c r="N641" s="189">
        <v>35.652500000000003</v>
      </c>
      <c r="O641" s="333">
        <v>26.771082211734697</v>
      </c>
      <c r="P641" s="333">
        <v>5.2960000000000003</v>
      </c>
      <c r="Q641" s="333">
        <v>5.674890060000001</v>
      </c>
      <c r="R641" s="475">
        <f t="shared" si="10"/>
        <v>0.93323393828003065</v>
      </c>
      <c r="S641" s="340">
        <v>59.081081081081095</v>
      </c>
    </row>
    <row r="642" spans="2:19" ht="15" customHeight="1" x14ac:dyDescent="0.35">
      <c r="B642" s="181">
        <v>57068</v>
      </c>
      <c r="C642" s="182" t="s">
        <v>592</v>
      </c>
      <c r="D642" s="183">
        <v>16</v>
      </c>
      <c r="E642" s="185">
        <v>581</v>
      </c>
      <c r="F642" s="185">
        <v>224</v>
      </c>
      <c r="G642" s="184" t="s">
        <v>1326</v>
      </c>
      <c r="H642" s="186">
        <v>1</v>
      </c>
      <c r="I642" s="185">
        <v>4617</v>
      </c>
      <c r="J642" s="187">
        <v>2.38</v>
      </c>
      <c r="K642" s="188">
        <v>10988.46</v>
      </c>
      <c r="L642" s="189">
        <v>253</v>
      </c>
      <c r="M642" s="185">
        <v>4617</v>
      </c>
      <c r="N642" s="189">
        <v>2331.0149999999999</v>
      </c>
      <c r="O642" s="333">
        <v>896.45100000000002</v>
      </c>
      <c r="P642" s="333">
        <v>210.52936476804112</v>
      </c>
      <c r="Q642" s="333">
        <v>189.5664438</v>
      </c>
      <c r="R642" s="475">
        <f t="shared" si="10"/>
        <v>1.1105835006862175</v>
      </c>
      <c r="S642" s="340">
        <v>65.73333333333332</v>
      </c>
    </row>
    <row r="643" spans="2:19" ht="15" customHeight="1" x14ac:dyDescent="0.35">
      <c r="B643" s="181">
        <v>52090</v>
      </c>
      <c r="C643" s="182" t="s">
        <v>528</v>
      </c>
      <c r="D643" s="183">
        <v>14</v>
      </c>
      <c r="E643" s="185">
        <v>274</v>
      </c>
      <c r="F643" s="185">
        <v>167</v>
      </c>
      <c r="G643" s="184" t="s">
        <v>1308</v>
      </c>
      <c r="H643" s="186">
        <v>1</v>
      </c>
      <c r="I643" s="185">
        <v>44</v>
      </c>
      <c r="J643" s="187">
        <v>1.596244131455399</v>
      </c>
      <c r="K643" s="188">
        <v>70.234741784037553</v>
      </c>
      <c r="L643" s="189">
        <v>1.845</v>
      </c>
      <c r="M643" s="185">
        <v>55</v>
      </c>
      <c r="N643" s="189">
        <v>7.0288979999999999</v>
      </c>
      <c r="O643" s="333">
        <v>4.2766279999999997</v>
      </c>
      <c r="P643" s="333">
        <v>1.5331812649999998</v>
      </c>
      <c r="Q643" s="333">
        <v>1.1969499750000001</v>
      </c>
      <c r="R643" s="475">
        <f t="shared" si="10"/>
        <v>1.2809067187624108</v>
      </c>
      <c r="S643" s="340">
        <v>37.72972972972974</v>
      </c>
    </row>
    <row r="644" spans="2:19" ht="15" customHeight="1" x14ac:dyDescent="0.35">
      <c r="B644" s="181">
        <v>54060</v>
      </c>
      <c r="C644" s="182" t="s">
        <v>548</v>
      </c>
      <c r="D644" s="183">
        <v>16</v>
      </c>
      <c r="E644" s="185">
        <v>339</v>
      </c>
      <c r="F644" s="185">
        <v>244</v>
      </c>
      <c r="G644" s="184" t="s">
        <v>1308</v>
      </c>
      <c r="H644" s="186">
        <v>1</v>
      </c>
      <c r="I644" s="185">
        <v>691</v>
      </c>
      <c r="J644" s="187">
        <v>2.526829268292683</v>
      </c>
      <c r="K644" s="188">
        <v>1746.0390243902439</v>
      </c>
      <c r="L644" s="189">
        <v>14.403</v>
      </c>
      <c r="M644" s="185">
        <v>748</v>
      </c>
      <c r="N644" s="189">
        <v>215.81200000000001</v>
      </c>
      <c r="O644" s="333">
        <v>155.36000000000001</v>
      </c>
      <c r="P644" s="333">
        <v>24.543619489795887</v>
      </c>
      <c r="Q644" s="333">
        <v>14.690863465</v>
      </c>
      <c r="R644" s="475">
        <f t="shared" si="10"/>
        <v>1.6706723568883082</v>
      </c>
      <c r="S644" s="340">
        <v>74.196078431372541</v>
      </c>
    </row>
    <row r="645" spans="2:19" ht="15" customHeight="1" x14ac:dyDescent="0.35">
      <c r="B645" s="181">
        <v>88065</v>
      </c>
      <c r="C645" s="182" t="s">
        <v>922</v>
      </c>
      <c r="D645" s="183">
        <v>8</v>
      </c>
      <c r="E645" s="185" t="s">
        <v>1124</v>
      </c>
      <c r="F645" s="185" t="s">
        <v>1124</v>
      </c>
      <c r="G645" s="184" t="s">
        <v>1124</v>
      </c>
      <c r="H645" s="186"/>
      <c r="I645" s="185"/>
      <c r="J645" s="187"/>
      <c r="K645" s="188"/>
      <c r="L645" s="189"/>
      <c r="M645" s="185" t="s">
        <v>1124</v>
      </c>
      <c r="N645" s="189"/>
      <c r="O645" s="333"/>
      <c r="P645" s="333" t="s">
        <v>1124</v>
      </c>
      <c r="Q645" s="333" t="s">
        <v>1124</v>
      </c>
      <c r="R645" s="475" t="str">
        <f t="shared" si="10"/>
        <v/>
      </c>
      <c r="S645" s="340" t="s">
        <v>1124</v>
      </c>
    </row>
    <row r="646" spans="2:19" ht="15" customHeight="1" x14ac:dyDescent="0.35">
      <c r="B646" s="181">
        <v>9030</v>
      </c>
      <c r="C646" s="182" t="s">
        <v>1102</v>
      </c>
      <c r="D646" s="183">
        <v>1</v>
      </c>
      <c r="E646" s="185" t="s">
        <v>1124</v>
      </c>
      <c r="F646" s="185" t="s">
        <v>1124</v>
      </c>
      <c r="G646" s="184" t="s">
        <v>1124</v>
      </c>
      <c r="H646" s="186"/>
      <c r="I646" s="185"/>
      <c r="J646" s="187"/>
      <c r="K646" s="188"/>
      <c r="L646" s="189"/>
      <c r="M646" s="185" t="s">
        <v>1124</v>
      </c>
      <c r="N646" s="189"/>
      <c r="O646" s="333"/>
      <c r="P646" s="333" t="s">
        <v>1124</v>
      </c>
      <c r="Q646" s="333" t="s">
        <v>1124</v>
      </c>
      <c r="R646" s="475" t="str">
        <f t="shared" si="10"/>
        <v/>
      </c>
      <c r="S646" s="340" t="s">
        <v>1124</v>
      </c>
    </row>
    <row r="647" spans="2:19" ht="15" customHeight="1" x14ac:dyDescent="0.35">
      <c r="B647" s="181">
        <v>62060</v>
      </c>
      <c r="C647" s="182" t="s">
        <v>628</v>
      </c>
      <c r="D647" s="183">
        <v>14</v>
      </c>
      <c r="E647" s="185" t="s">
        <v>1124</v>
      </c>
      <c r="F647" s="185" t="s">
        <v>1124</v>
      </c>
      <c r="G647" s="184" t="s">
        <v>1124</v>
      </c>
      <c r="H647" s="186"/>
      <c r="I647" s="185"/>
      <c r="J647" s="187"/>
      <c r="K647" s="188"/>
      <c r="L647" s="189"/>
      <c r="M647" s="185" t="s">
        <v>1124</v>
      </c>
      <c r="N647" s="189"/>
      <c r="O647" s="333"/>
      <c r="P647" s="333" t="s">
        <v>1124</v>
      </c>
      <c r="Q647" s="333" t="s">
        <v>1124</v>
      </c>
      <c r="R647" s="475" t="str">
        <f t="shared" ref="R647:R710" si="11">IF(H647="","",P647/Q647)</f>
        <v/>
      </c>
      <c r="S647" s="340" t="s">
        <v>1124</v>
      </c>
    </row>
    <row r="648" spans="2:19" ht="15" customHeight="1" x14ac:dyDescent="0.35">
      <c r="B648" s="181">
        <v>77022</v>
      </c>
      <c r="C648" s="182" t="s">
        <v>758</v>
      </c>
      <c r="D648" s="183">
        <v>15</v>
      </c>
      <c r="E648" s="185">
        <v>551</v>
      </c>
      <c r="F648" s="185">
        <v>185</v>
      </c>
      <c r="G648" s="184" t="s">
        <v>1308</v>
      </c>
      <c r="H648" s="186">
        <v>1</v>
      </c>
      <c r="I648" s="185">
        <v>6501</v>
      </c>
      <c r="J648" s="187">
        <v>1.7431311560393987</v>
      </c>
      <c r="K648" s="188">
        <v>11332.095645412131</v>
      </c>
      <c r="L648" s="189">
        <v>163.39999999999998</v>
      </c>
      <c r="M648" s="185">
        <v>7258</v>
      </c>
      <c r="N648" s="189">
        <v>2278.837</v>
      </c>
      <c r="O648" s="333">
        <v>764.11919909433959</v>
      </c>
      <c r="P648" s="333">
        <v>1216.4430568877551</v>
      </c>
      <c r="Q648" s="333">
        <v>231.30999</v>
      </c>
      <c r="R648" s="475">
        <f t="shared" si="11"/>
        <v>5.2589300483206758</v>
      </c>
      <c r="S648" s="340">
        <v>60.12280701754387</v>
      </c>
    </row>
    <row r="649" spans="2:19" ht="15" customHeight="1" x14ac:dyDescent="0.35">
      <c r="B649" s="181">
        <v>33017</v>
      </c>
      <c r="C649" s="182" t="s">
        <v>268</v>
      </c>
      <c r="D649" s="183">
        <v>12</v>
      </c>
      <c r="E649" s="185">
        <v>235</v>
      </c>
      <c r="F649" s="185">
        <v>112</v>
      </c>
      <c r="G649" s="184" t="s">
        <v>1308</v>
      </c>
      <c r="H649" s="186">
        <v>1</v>
      </c>
      <c r="I649" s="185">
        <v>372</v>
      </c>
      <c r="J649" s="187">
        <v>2.191011235955056</v>
      </c>
      <c r="K649" s="188">
        <v>815.05617977528084</v>
      </c>
      <c r="L649" s="189">
        <v>7.1349999999999998</v>
      </c>
      <c r="M649" s="185">
        <v>302</v>
      </c>
      <c r="N649" s="189">
        <v>69.992999999999995</v>
      </c>
      <c r="O649" s="333">
        <v>33.256</v>
      </c>
      <c r="P649" s="333">
        <v>14.62445229591836</v>
      </c>
      <c r="Q649" s="333">
        <v>5.4708337075000015</v>
      </c>
      <c r="R649" s="475">
        <f t="shared" si="11"/>
        <v>2.673167030441741</v>
      </c>
      <c r="S649" s="340">
        <v>48.843137254901954</v>
      </c>
    </row>
    <row r="650" spans="2:19" ht="15" customHeight="1" x14ac:dyDescent="0.35">
      <c r="B650" s="181">
        <v>78032</v>
      </c>
      <c r="C650" s="182" t="s">
        <v>770</v>
      </c>
      <c r="D650" s="183">
        <v>15</v>
      </c>
      <c r="E650" s="185">
        <v>922</v>
      </c>
      <c r="F650" s="185">
        <v>250</v>
      </c>
      <c r="G650" s="184" t="s">
        <v>1308</v>
      </c>
      <c r="H650" s="186">
        <v>1</v>
      </c>
      <c r="I650" s="185">
        <v>3773</v>
      </c>
      <c r="J650" s="187">
        <v>1.8414043583535109</v>
      </c>
      <c r="K650" s="188">
        <v>6947.6186440677966</v>
      </c>
      <c r="L650" s="189">
        <v>112.05800000000001</v>
      </c>
      <c r="M650" s="185">
        <v>5389</v>
      </c>
      <c r="N650" s="189">
        <v>2338.4180000000001</v>
      </c>
      <c r="O650" s="333">
        <v>633.97020127118651</v>
      </c>
      <c r="P650" s="333">
        <v>1396.561645</v>
      </c>
      <c r="Q650" s="333">
        <v>126.06998894999998</v>
      </c>
      <c r="R650" s="475">
        <f t="shared" si="11"/>
        <v>11.077669290142348</v>
      </c>
      <c r="S650" s="340">
        <v>58.72972972972974</v>
      </c>
    </row>
    <row r="651" spans="2:19" ht="15" customHeight="1" x14ac:dyDescent="0.35">
      <c r="B651" s="192">
        <v>9035</v>
      </c>
      <c r="C651" s="182" t="s">
        <v>1103</v>
      </c>
      <c r="D651" s="183">
        <v>1</v>
      </c>
      <c r="E651" s="185">
        <v>686</v>
      </c>
      <c r="F651" s="185">
        <v>328</v>
      </c>
      <c r="G651" s="184" t="s">
        <v>1326</v>
      </c>
      <c r="H651" s="186">
        <v>1</v>
      </c>
      <c r="I651" s="185">
        <v>283</v>
      </c>
      <c r="J651" s="187">
        <v>2.072210065645514</v>
      </c>
      <c r="K651" s="188">
        <v>586.43544857768052</v>
      </c>
      <c r="L651" s="189">
        <v>4.25</v>
      </c>
      <c r="M651" s="185">
        <v>290</v>
      </c>
      <c r="N651" s="189">
        <v>146.767</v>
      </c>
      <c r="O651" s="333">
        <v>70.278658620689654</v>
      </c>
      <c r="P651" s="333">
        <v>71.864495000000005</v>
      </c>
      <c r="Q651" s="333">
        <v>4.8344113125000003</v>
      </c>
      <c r="R651" s="475">
        <f t="shared" si="11"/>
        <v>14.865200818595016</v>
      </c>
      <c r="S651" s="340">
        <v>59.081081081081081</v>
      </c>
    </row>
    <row r="652" spans="2:19" ht="15" customHeight="1" x14ac:dyDescent="0.35">
      <c r="B652" s="181">
        <v>55030</v>
      </c>
      <c r="C652" s="182" t="s">
        <v>562</v>
      </c>
      <c r="D652" s="183">
        <v>16</v>
      </c>
      <c r="E652" s="185">
        <v>245</v>
      </c>
      <c r="F652" s="185">
        <v>164</v>
      </c>
      <c r="G652" s="184" t="s">
        <v>1326</v>
      </c>
      <c r="H652" s="186">
        <v>1</v>
      </c>
      <c r="I652" s="185">
        <v>449</v>
      </c>
      <c r="J652" s="187">
        <v>2.8296874999999999</v>
      </c>
      <c r="K652" s="188">
        <v>1270.5296874999999</v>
      </c>
      <c r="L652" s="189">
        <v>10.064</v>
      </c>
      <c r="M652" s="185">
        <v>399</v>
      </c>
      <c r="N652" s="189">
        <v>113.491</v>
      </c>
      <c r="O652" s="333">
        <v>76.236999999999995</v>
      </c>
      <c r="P652" s="333">
        <v>20.383609217525766</v>
      </c>
      <c r="Q652" s="333">
        <v>7.509107697000001</v>
      </c>
      <c r="R652" s="475">
        <f t="shared" si="11"/>
        <v>2.7145181611484035</v>
      </c>
      <c r="S652" s="340">
        <v>69.098039215686271</v>
      </c>
    </row>
    <row r="653" spans="2:19" ht="15" customHeight="1" x14ac:dyDescent="0.35">
      <c r="B653" s="181">
        <v>51055</v>
      </c>
      <c r="C653" s="182" t="s">
        <v>507</v>
      </c>
      <c r="D653" s="183">
        <v>4</v>
      </c>
      <c r="E653" s="185">
        <v>532</v>
      </c>
      <c r="F653" s="185">
        <v>281</v>
      </c>
      <c r="G653" s="184" t="s">
        <v>1326</v>
      </c>
      <c r="H653" s="186">
        <v>1</v>
      </c>
      <c r="I653" s="185">
        <v>254</v>
      </c>
      <c r="J653" s="187">
        <v>2.1374570446735395</v>
      </c>
      <c r="K653" s="188">
        <v>542.91408934707897</v>
      </c>
      <c r="L653" s="189">
        <v>11.798999999999999</v>
      </c>
      <c r="M653" s="185">
        <v>255</v>
      </c>
      <c r="N653" s="189">
        <v>105.401</v>
      </c>
      <c r="O653" s="333">
        <v>55.666602230483271</v>
      </c>
      <c r="P653" s="333">
        <v>30.83250739795918</v>
      </c>
      <c r="Q653" s="333">
        <v>10.883949467799555</v>
      </c>
      <c r="R653" s="475">
        <f t="shared" si="11"/>
        <v>2.832841836428766</v>
      </c>
      <c r="S653" s="340">
        <v>62.470588235294123</v>
      </c>
    </row>
    <row r="654" spans="2:19" ht="15" customHeight="1" x14ac:dyDescent="0.35">
      <c r="B654" s="181">
        <v>21030</v>
      </c>
      <c r="C654" s="182" t="s">
        <v>149</v>
      </c>
      <c r="D654" s="183">
        <v>3</v>
      </c>
      <c r="E654" s="185">
        <v>352</v>
      </c>
      <c r="F654" s="185">
        <v>207</v>
      </c>
      <c r="G654" s="184" t="s">
        <v>1326</v>
      </c>
      <c r="H654" s="186">
        <v>1</v>
      </c>
      <c r="I654" s="185">
        <v>1546</v>
      </c>
      <c r="J654" s="187">
        <v>2.0160502442428472</v>
      </c>
      <c r="K654" s="188">
        <v>3116.8136775994417</v>
      </c>
      <c r="L654" s="189">
        <v>27.995999999999999</v>
      </c>
      <c r="M654" s="185">
        <v>1465</v>
      </c>
      <c r="N654" s="189">
        <v>400.772334</v>
      </c>
      <c r="O654" s="333">
        <v>235.42179706744872</v>
      </c>
      <c r="P654" s="333">
        <v>135.12650400000001</v>
      </c>
      <c r="Q654" s="333">
        <v>40.577549830999992</v>
      </c>
      <c r="R654" s="475">
        <f t="shared" si="11"/>
        <v>3.3300804154707131</v>
      </c>
      <c r="S654" s="340">
        <v>44.378378378378386</v>
      </c>
    </row>
    <row r="655" spans="2:19" ht="15" customHeight="1" x14ac:dyDescent="0.35">
      <c r="B655" s="181">
        <v>66117</v>
      </c>
      <c r="C655" s="182" t="s">
        <v>660</v>
      </c>
      <c r="D655" s="183">
        <v>6</v>
      </c>
      <c r="E655" s="185">
        <v>1027</v>
      </c>
      <c r="F655" s="185">
        <v>207</v>
      </c>
      <c r="G655" s="184" t="s">
        <v>1326</v>
      </c>
      <c r="H655" s="186">
        <v>1</v>
      </c>
      <c r="I655" s="185">
        <v>2153</v>
      </c>
      <c r="J655" s="187">
        <v>2.4068741291221549</v>
      </c>
      <c r="K655" s="188">
        <v>5182</v>
      </c>
      <c r="L655" s="189">
        <v>30.731000000000002</v>
      </c>
      <c r="M655" s="185">
        <v>1587</v>
      </c>
      <c r="N655" s="189">
        <v>1943.125</v>
      </c>
      <c r="O655" s="333">
        <v>390.93900000000002</v>
      </c>
      <c r="P655" s="333">
        <v>318.2708627319588</v>
      </c>
      <c r="Q655" s="333">
        <v>41.370720600000006</v>
      </c>
      <c r="R655" s="475">
        <f t="shared" si="11"/>
        <v>7.6931428342574906</v>
      </c>
      <c r="S655" s="340">
        <v>65.284313725490193</v>
      </c>
    </row>
    <row r="656" spans="2:19" ht="15" customHeight="1" x14ac:dyDescent="0.35">
      <c r="B656" s="181">
        <v>37205</v>
      </c>
      <c r="C656" s="182" t="s">
        <v>315</v>
      </c>
      <c r="D656" s="183">
        <v>4</v>
      </c>
      <c r="E656" s="185" t="s">
        <v>1124</v>
      </c>
      <c r="F656" s="185" t="s">
        <v>1124</v>
      </c>
      <c r="G656" s="184" t="s">
        <v>1124</v>
      </c>
      <c r="H656" s="186"/>
      <c r="I656" s="185"/>
      <c r="J656" s="187"/>
      <c r="K656" s="188"/>
      <c r="L656" s="189"/>
      <c r="M656" s="185" t="s">
        <v>1124</v>
      </c>
      <c r="N656" s="189"/>
      <c r="O656" s="333"/>
      <c r="P656" s="333" t="s">
        <v>1124</v>
      </c>
      <c r="Q656" s="333" t="s">
        <v>1124</v>
      </c>
      <c r="R656" s="475" t="str">
        <f t="shared" si="11"/>
        <v/>
      </c>
      <c r="S656" s="340" t="s">
        <v>1124</v>
      </c>
    </row>
    <row r="657" spans="2:19" ht="15" customHeight="1" x14ac:dyDescent="0.35">
      <c r="B657" s="181">
        <v>14090</v>
      </c>
      <c r="C657" s="182" t="s">
        <v>76</v>
      </c>
      <c r="D657" s="183">
        <v>1</v>
      </c>
      <c r="E657" s="185">
        <v>463</v>
      </c>
      <c r="F657" s="185">
        <v>190</v>
      </c>
      <c r="G657" s="184" t="s">
        <v>1308</v>
      </c>
      <c r="H657" s="186">
        <v>3</v>
      </c>
      <c r="I657" s="185">
        <v>145</v>
      </c>
      <c r="J657" s="187">
        <v>2.4205882352941179</v>
      </c>
      <c r="K657" s="188">
        <v>350.98529411764707</v>
      </c>
      <c r="L657" s="189">
        <v>7.5559999999999992</v>
      </c>
      <c r="M657" s="185">
        <v>177</v>
      </c>
      <c r="N657" s="189">
        <v>59.326000000000001</v>
      </c>
      <c r="O657" s="333">
        <v>24.319000000000003</v>
      </c>
      <c r="P657" s="333">
        <v>6.3690415306122414</v>
      </c>
      <c r="Q657" s="333">
        <v>6.725071709999999</v>
      </c>
      <c r="R657" s="475">
        <f t="shared" si="11"/>
        <v>0.94705927390211309</v>
      </c>
      <c r="S657" s="340">
        <v>68.044444444444423</v>
      </c>
    </row>
    <row r="658" spans="2:19" ht="15" customHeight="1" x14ac:dyDescent="0.35">
      <c r="B658" s="181">
        <v>42050</v>
      </c>
      <c r="C658" s="182" t="s">
        <v>385</v>
      </c>
      <c r="D658" s="183">
        <v>5</v>
      </c>
      <c r="E658" s="185" t="s">
        <v>1124</v>
      </c>
      <c r="F658" s="185" t="s">
        <v>1124</v>
      </c>
      <c r="G658" s="184" t="s">
        <v>1124</v>
      </c>
      <c r="H658" s="186"/>
      <c r="I658" s="185"/>
      <c r="J658" s="187"/>
      <c r="K658" s="188"/>
      <c r="L658" s="189"/>
      <c r="M658" s="185" t="s">
        <v>1124</v>
      </c>
      <c r="N658" s="189"/>
      <c r="O658" s="333"/>
      <c r="P658" s="333" t="s">
        <v>1124</v>
      </c>
      <c r="Q658" s="333" t="s">
        <v>1124</v>
      </c>
      <c r="R658" s="475" t="str">
        <f t="shared" si="11"/>
        <v/>
      </c>
      <c r="S658" s="340" t="s">
        <v>1124</v>
      </c>
    </row>
    <row r="659" spans="2:19" ht="15" customHeight="1" x14ac:dyDescent="0.35">
      <c r="B659" s="181">
        <v>56060</v>
      </c>
      <c r="C659" s="182" t="s">
        <v>576</v>
      </c>
      <c r="D659" s="183">
        <v>16</v>
      </c>
      <c r="E659" s="185" t="s">
        <v>1124</v>
      </c>
      <c r="F659" s="185" t="s">
        <v>1124</v>
      </c>
      <c r="G659" s="184" t="s">
        <v>1124</v>
      </c>
      <c r="H659" s="186"/>
      <c r="I659" s="185"/>
      <c r="J659" s="187"/>
      <c r="K659" s="188"/>
      <c r="L659" s="189"/>
      <c r="M659" s="185" t="s">
        <v>1124</v>
      </c>
      <c r="N659" s="189"/>
      <c r="O659" s="333"/>
      <c r="P659" s="333" t="s">
        <v>1124</v>
      </c>
      <c r="Q659" s="333" t="s">
        <v>1124</v>
      </c>
      <c r="R659" s="475" t="str">
        <f t="shared" si="11"/>
        <v/>
      </c>
      <c r="S659" s="340" t="s">
        <v>1124</v>
      </c>
    </row>
    <row r="660" spans="2:19" ht="15" customHeight="1" x14ac:dyDescent="0.35">
      <c r="B660" s="181">
        <v>77035</v>
      </c>
      <c r="C660" s="182" t="s">
        <v>760</v>
      </c>
      <c r="D660" s="183">
        <v>15</v>
      </c>
      <c r="E660" s="185" t="s">
        <v>1124</v>
      </c>
      <c r="F660" s="185" t="s">
        <v>1124</v>
      </c>
      <c r="G660" s="184" t="s">
        <v>1124</v>
      </c>
      <c r="H660" s="186"/>
      <c r="I660" s="185"/>
      <c r="J660" s="187"/>
      <c r="K660" s="188"/>
      <c r="L660" s="189"/>
      <c r="M660" s="185" t="s">
        <v>1124</v>
      </c>
      <c r="N660" s="189"/>
      <c r="O660" s="333"/>
      <c r="P660" s="333" t="s">
        <v>1124</v>
      </c>
      <c r="Q660" s="333" t="s">
        <v>1124</v>
      </c>
      <c r="R660" s="475" t="str">
        <f t="shared" si="11"/>
        <v/>
      </c>
      <c r="S660" s="340" t="s">
        <v>1124</v>
      </c>
    </row>
    <row r="661" spans="2:19" ht="15" customHeight="1" x14ac:dyDescent="0.35">
      <c r="B661" s="181">
        <v>4037</v>
      </c>
      <c r="C661" s="182" t="s">
        <v>1042</v>
      </c>
      <c r="D661" s="183">
        <v>11</v>
      </c>
      <c r="E661" s="185">
        <v>1185</v>
      </c>
      <c r="F661" s="185">
        <v>962</v>
      </c>
      <c r="G661" s="184" t="s">
        <v>1308</v>
      </c>
      <c r="H661" s="186">
        <v>1</v>
      </c>
      <c r="I661" s="185">
        <v>2775</v>
      </c>
      <c r="J661" s="187">
        <v>2.0480432707604201</v>
      </c>
      <c r="K661" s="188">
        <v>5683.3200763601662</v>
      </c>
      <c r="L661" s="189">
        <v>69.897999999999996</v>
      </c>
      <c r="M661" s="185">
        <v>2086</v>
      </c>
      <c r="N661" s="189">
        <v>2457.2530000000002</v>
      </c>
      <c r="O661" s="333">
        <v>1995.7855500000001</v>
      </c>
      <c r="P661" s="333">
        <v>168.6738675</v>
      </c>
      <c r="Q661" s="333">
        <v>69.810936599999991</v>
      </c>
      <c r="R661" s="475">
        <f t="shared" si="11"/>
        <v>2.4161524786074855</v>
      </c>
      <c r="S661" s="340">
        <v>58.378378378378386</v>
      </c>
    </row>
    <row r="662" spans="2:19" ht="15" customHeight="1" x14ac:dyDescent="0.35">
      <c r="B662" s="181">
        <v>53065</v>
      </c>
      <c r="C662" s="182" t="s">
        <v>539</v>
      </c>
      <c r="D662" s="183">
        <v>16</v>
      </c>
      <c r="E662" s="185">
        <v>327</v>
      </c>
      <c r="F662" s="185">
        <v>236</v>
      </c>
      <c r="G662" s="184" t="s">
        <v>1308</v>
      </c>
      <c r="H662" s="186">
        <v>1</v>
      </c>
      <c r="I662" s="185">
        <v>1346</v>
      </c>
      <c r="J662" s="187">
        <v>2.0593912397921308</v>
      </c>
      <c r="K662" s="188">
        <v>2771.9406087602079</v>
      </c>
      <c r="L662" s="189">
        <v>24.76</v>
      </c>
      <c r="M662" s="185">
        <v>1346</v>
      </c>
      <c r="N662" s="189">
        <v>331.209</v>
      </c>
      <c r="O662" s="333">
        <v>239.047</v>
      </c>
      <c r="P662" s="333">
        <v>72.440964132653107</v>
      </c>
      <c r="Q662" s="333">
        <v>41.658562884999995</v>
      </c>
      <c r="R662" s="475">
        <f t="shared" si="11"/>
        <v>1.7389213433173167</v>
      </c>
      <c r="S662" s="340">
        <v>50.892156862745104</v>
      </c>
    </row>
    <row r="663" spans="2:19" ht="15" customHeight="1" x14ac:dyDescent="0.35">
      <c r="B663" s="181">
        <v>73035</v>
      </c>
      <c r="C663" s="182" t="s">
        <v>740</v>
      </c>
      <c r="D663" s="183">
        <v>15</v>
      </c>
      <c r="E663" s="185">
        <v>266</v>
      </c>
      <c r="F663" s="185">
        <v>192</v>
      </c>
      <c r="G663" s="184" t="s">
        <v>1326</v>
      </c>
      <c r="H663" s="186">
        <v>1</v>
      </c>
      <c r="I663" s="185">
        <v>5600</v>
      </c>
      <c r="J663" s="187">
        <v>2.4</v>
      </c>
      <c r="K663" s="188">
        <v>13440</v>
      </c>
      <c r="L663" s="189">
        <v>61.8</v>
      </c>
      <c r="M663" s="185">
        <v>3675</v>
      </c>
      <c r="N663" s="189">
        <v>1306.701</v>
      </c>
      <c r="O663" s="333">
        <v>943.16751197020744</v>
      </c>
      <c r="P663" s="333">
        <v>181.21996357142862</v>
      </c>
      <c r="Q663" s="333">
        <v>76.580221124999994</v>
      </c>
      <c r="R663" s="475">
        <f t="shared" si="11"/>
        <v>2.3664068986641835</v>
      </c>
      <c r="S663" s="340">
        <v>58.298245614035096</v>
      </c>
    </row>
    <row r="664" spans="2:19" ht="15" customHeight="1" x14ac:dyDescent="0.35">
      <c r="B664" s="181">
        <v>79115</v>
      </c>
      <c r="C664" s="182" t="s">
        <v>802</v>
      </c>
      <c r="D664" s="183">
        <v>15</v>
      </c>
      <c r="E664" s="185">
        <v>543</v>
      </c>
      <c r="F664" s="185">
        <v>339</v>
      </c>
      <c r="G664" s="184" t="s">
        <v>1326</v>
      </c>
      <c r="H664" s="186">
        <v>1</v>
      </c>
      <c r="I664" s="185">
        <v>174</v>
      </c>
      <c r="J664" s="187">
        <v>1.52</v>
      </c>
      <c r="K664" s="188">
        <v>264.48</v>
      </c>
      <c r="L664" s="189">
        <v>6.23</v>
      </c>
      <c r="M664" s="185">
        <v>216</v>
      </c>
      <c r="N664" s="189">
        <v>52.423000000000002</v>
      </c>
      <c r="O664" s="333">
        <v>32.68568780487805</v>
      </c>
      <c r="P664" s="333">
        <v>13.127655000000003</v>
      </c>
      <c r="Q664" s="333">
        <v>5.5890740340000011</v>
      </c>
      <c r="R664" s="475">
        <f t="shared" si="11"/>
        <v>2.3488067826871801</v>
      </c>
      <c r="S664" s="340">
        <v>44.729729729729726</v>
      </c>
    </row>
    <row r="665" spans="2:19" ht="15" customHeight="1" x14ac:dyDescent="0.35">
      <c r="B665" s="181">
        <v>18025</v>
      </c>
      <c r="C665" s="182" t="s">
        <v>108</v>
      </c>
      <c r="D665" s="183">
        <v>12</v>
      </c>
      <c r="E665" s="185" t="s">
        <v>1124</v>
      </c>
      <c r="F665" s="185" t="s">
        <v>1124</v>
      </c>
      <c r="G665" s="184" t="s">
        <v>1124</v>
      </c>
      <c r="H665" s="186"/>
      <c r="I665" s="185"/>
      <c r="J665" s="187"/>
      <c r="K665" s="188"/>
      <c r="L665" s="189"/>
      <c r="M665" s="185" t="s">
        <v>1124</v>
      </c>
      <c r="N665" s="189"/>
      <c r="O665" s="333"/>
      <c r="P665" s="333" t="s">
        <v>1124</v>
      </c>
      <c r="Q665" s="333" t="s">
        <v>1124</v>
      </c>
      <c r="R665" s="475" t="str">
        <f t="shared" si="11"/>
        <v/>
      </c>
      <c r="S665" s="340" t="s">
        <v>1124</v>
      </c>
    </row>
    <row r="666" spans="2:19" ht="15" customHeight="1" x14ac:dyDescent="0.35">
      <c r="B666" s="181">
        <v>28015</v>
      </c>
      <c r="C666" s="182" t="s">
        <v>189</v>
      </c>
      <c r="D666" s="183">
        <v>12</v>
      </c>
      <c r="E666" s="185">
        <v>506</v>
      </c>
      <c r="F666" s="185">
        <v>213</v>
      </c>
      <c r="G666" s="184" t="s">
        <v>1308</v>
      </c>
      <c r="H666" s="186">
        <v>1</v>
      </c>
      <c r="I666" s="185">
        <v>276</v>
      </c>
      <c r="J666" s="187">
        <v>1.5655430711610487</v>
      </c>
      <c r="K666" s="188">
        <v>432.08988764044943</v>
      </c>
      <c r="L666" s="189">
        <v>10.494999999999999</v>
      </c>
      <c r="M666" s="185">
        <v>371</v>
      </c>
      <c r="N666" s="189">
        <v>79.853999999999999</v>
      </c>
      <c r="O666" s="333">
        <v>33.646000000000001</v>
      </c>
      <c r="P666" s="333">
        <v>26.964850969387744</v>
      </c>
      <c r="Q666" s="333">
        <v>13.090549800000002</v>
      </c>
      <c r="R666" s="475">
        <f t="shared" si="11"/>
        <v>2.0598715394969691</v>
      </c>
      <c r="S666" s="340">
        <v>57.647058823529413</v>
      </c>
    </row>
    <row r="667" spans="2:19" ht="15" customHeight="1" x14ac:dyDescent="0.35">
      <c r="B667" s="181">
        <v>69065</v>
      </c>
      <c r="C667" s="182" t="s">
        <v>694</v>
      </c>
      <c r="D667" s="183">
        <v>16</v>
      </c>
      <c r="E667" s="185" t="s">
        <v>1124</v>
      </c>
      <c r="F667" s="185" t="s">
        <v>1124</v>
      </c>
      <c r="G667" s="184" t="s">
        <v>1124</v>
      </c>
      <c r="H667" s="186"/>
      <c r="I667" s="185"/>
      <c r="J667" s="187"/>
      <c r="K667" s="188"/>
      <c r="L667" s="189"/>
      <c r="M667" s="185" t="s">
        <v>1124</v>
      </c>
      <c r="N667" s="189"/>
      <c r="O667" s="333"/>
      <c r="P667" s="333" t="s">
        <v>1124</v>
      </c>
      <c r="Q667" s="333" t="s">
        <v>1124</v>
      </c>
      <c r="R667" s="475" t="str">
        <f t="shared" si="11"/>
        <v/>
      </c>
      <c r="S667" s="340" t="s">
        <v>1124</v>
      </c>
    </row>
    <row r="668" spans="2:19" ht="15" customHeight="1" x14ac:dyDescent="0.35">
      <c r="B668" s="181">
        <v>62020</v>
      </c>
      <c r="C668" s="182" t="s">
        <v>621</v>
      </c>
      <c r="D668" s="183">
        <v>14</v>
      </c>
      <c r="E668" s="185">
        <v>451</v>
      </c>
      <c r="F668" s="185">
        <v>158</v>
      </c>
      <c r="G668" s="184" t="s">
        <v>1326</v>
      </c>
      <c r="H668" s="186">
        <v>1</v>
      </c>
      <c r="I668" s="185">
        <v>147</v>
      </c>
      <c r="J668" s="187">
        <v>1.7658662092624358</v>
      </c>
      <c r="K668" s="188">
        <v>259.58233276157807</v>
      </c>
      <c r="L668" s="189">
        <v>4.6139999999999999</v>
      </c>
      <c r="M668" s="185">
        <v>124</v>
      </c>
      <c r="N668" s="189">
        <v>42.75</v>
      </c>
      <c r="O668" s="333">
        <v>14.997520958083834</v>
      </c>
      <c r="P668" s="333">
        <v>25.070999999999998</v>
      </c>
      <c r="Q668" s="333">
        <v>2.8712967360000001</v>
      </c>
      <c r="R668" s="475">
        <f t="shared" si="11"/>
        <v>8.7315949221348603</v>
      </c>
      <c r="S668" s="340">
        <v>63</v>
      </c>
    </row>
    <row r="669" spans="2:19" ht="15" customHeight="1" x14ac:dyDescent="0.35">
      <c r="B669" s="181">
        <v>56105</v>
      </c>
      <c r="C669" s="182" t="s">
        <v>580</v>
      </c>
      <c r="D669" s="183">
        <v>16</v>
      </c>
      <c r="E669" s="185" t="s">
        <v>1124</v>
      </c>
      <c r="F669" s="185" t="s">
        <v>1124</v>
      </c>
      <c r="G669" s="184" t="s">
        <v>1124</v>
      </c>
      <c r="H669" s="186"/>
      <c r="I669" s="185"/>
      <c r="J669" s="187"/>
      <c r="K669" s="188"/>
      <c r="L669" s="189"/>
      <c r="M669" s="185" t="s">
        <v>1124</v>
      </c>
      <c r="N669" s="189"/>
      <c r="O669" s="333"/>
      <c r="P669" s="333" t="s">
        <v>1124</v>
      </c>
      <c r="Q669" s="333" t="s">
        <v>1124</v>
      </c>
      <c r="R669" s="475" t="str">
        <f t="shared" si="11"/>
        <v/>
      </c>
      <c r="S669" s="340" t="s">
        <v>1124</v>
      </c>
    </row>
    <row r="670" spans="2:19" ht="15" customHeight="1" x14ac:dyDescent="0.35">
      <c r="B670" s="181">
        <v>22045</v>
      </c>
      <c r="C670" s="182" t="s">
        <v>161</v>
      </c>
      <c r="D670" s="183">
        <v>3</v>
      </c>
      <c r="E670" s="185">
        <v>320</v>
      </c>
      <c r="F670" s="185">
        <v>226</v>
      </c>
      <c r="G670" s="184" t="s">
        <v>1326</v>
      </c>
      <c r="H670" s="186">
        <v>1</v>
      </c>
      <c r="I670" s="185">
        <v>1615</v>
      </c>
      <c r="J670" s="187">
        <v>2.588870703764321</v>
      </c>
      <c r="K670" s="188">
        <v>4181.0261865793782</v>
      </c>
      <c r="L670" s="189">
        <v>38.241</v>
      </c>
      <c r="M670" s="185">
        <v>1663</v>
      </c>
      <c r="N670" s="189">
        <v>489.01</v>
      </c>
      <c r="O670" s="333">
        <v>345.65567087845966</v>
      </c>
      <c r="P670" s="333">
        <v>125.68127857142858</v>
      </c>
      <c r="Q670" s="333">
        <v>49.740746205000001</v>
      </c>
      <c r="R670" s="475">
        <f t="shared" si="11"/>
        <v>2.5267268418822986</v>
      </c>
      <c r="S670" s="340">
        <v>57.897959183673457</v>
      </c>
    </row>
    <row r="671" spans="2:19" ht="15" customHeight="1" x14ac:dyDescent="0.35">
      <c r="B671" s="181">
        <v>49085</v>
      </c>
      <c r="C671" s="182" t="s">
        <v>475</v>
      </c>
      <c r="D671" s="183">
        <v>17</v>
      </c>
      <c r="E671" s="185">
        <v>282</v>
      </c>
      <c r="F671" s="185">
        <v>169</v>
      </c>
      <c r="G671" s="184" t="s">
        <v>1326</v>
      </c>
      <c r="H671" s="186">
        <v>1</v>
      </c>
      <c r="I671" s="185">
        <v>83</v>
      </c>
      <c r="J671" s="187">
        <v>2.0243243243243243</v>
      </c>
      <c r="K671" s="188">
        <v>168.01891891891893</v>
      </c>
      <c r="L671" s="189">
        <v>3.653</v>
      </c>
      <c r="M671" s="185">
        <v>97</v>
      </c>
      <c r="N671" s="189">
        <v>17.289000000000001</v>
      </c>
      <c r="O671" s="333">
        <v>10.35478</v>
      </c>
      <c r="P671" s="333">
        <v>1.0846596494897967</v>
      </c>
      <c r="Q671" s="333">
        <v>2.5809926573999999</v>
      </c>
      <c r="R671" s="475">
        <f t="shared" si="11"/>
        <v>0.42024902565296102</v>
      </c>
      <c r="S671" s="340">
        <v>70.117647058823522</v>
      </c>
    </row>
    <row r="672" spans="2:19" ht="15" customHeight="1" x14ac:dyDescent="0.35">
      <c r="B672" s="181">
        <v>67030</v>
      </c>
      <c r="C672" s="182" t="s">
        <v>667</v>
      </c>
      <c r="D672" s="183">
        <v>16</v>
      </c>
      <c r="E672" s="185" t="s">
        <v>1124</v>
      </c>
      <c r="F672" s="185" t="s">
        <v>1124</v>
      </c>
      <c r="G672" s="184" t="s">
        <v>1124</v>
      </c>
      <c r="H672" s="186"/>
      <c r="I672" s="185"/>
      <c r="J672" s="187"/>
      <c r="K672" s="188"/>
      <c r="L672" s="189"/>
      <c r="M672" s="185" t="s">
        <v>1124</v>
      </c>
      <c r="N672" s="189"/>
      <c r="O672" s="333"/>
      <c r="P672" s="333" t="s">
        <v>1124</v>
      </c>
      <c r="Q672" s="333" t="s">
        <v>1124</v>
      </c>
      <c r="R672" s="475" t="str">
        <f t="shared" si="11"/>
        <v/>
      </c>
      <c r="S672" s="340" t="s">
        <v>1124</v>
      </c>
    </row>
    <row r="673" spans="2:19" ht="15" customHeight="1" x14ac:dyDescent="0.35">
      <c r="B673" s="181">
        <v>45060</v>
      </c>
      <c r="C673" s="182" t="s">
        <v>418</v>
      </c>
      <c r="D673" s="183">
        <v>5</v>
      </c>
      <c r="E673" s="185" t="s">
        <v>1124</v>
      </c>
      <c r="F673" s="185" t="s">
        <v>1124</v>
      </c>
      <c r="G673" s="184" t="s">
        <v>1124</v>
      </c>
      <c r="H673" s="186"/>
      <c r="I673" s="185"/>
      <c r="J673" s="187"/>
      <c r="K673" s="188"/>
      <c r="L673" s="189"/>
      <c r="M673" s="185" t="s">
        <v>1124</v>
      </c>
      <c r="N673" s="189"/>
      <c r="O673" s="333"/>
      <c r="P673" s="333" t="s">
        <v>1124</v>
      </c>
      <c r="Q673" s="333" t="s">
        <v>1124</v>
      </c>
      <c r="R673" s="475" t="str">
        <f t="shared" si="11"/>
        <v/>
      </c>
      <c r="S673" s="340" t="s">
        <v>1124</v>
      </c>
    </row>
    <row r="674" spans="2:19" ht="15" customHeight="1" x14ac:dyDescent="0.35">
      <c r="B674" s="181">
        <v>22005</v>
      </c>
      <c r="C674" s="182" t="s">
        <v>153</v>
      </c>
      <c r="D674" s="183">
        <v>3</v>
      </c>
      <c r="E674" s="185">
        <v>263</v>
      </c>
      <c r="F674" s="185">
        <v>184</v>
      </c>
      <c r="G674" s="184" t="s">
        <v>1326</v>
      </c>
      <c r="H674" s="186">
        <v>2</v>
      </c>
      <c r="I674" s="185">
        <v>1929</v>
      </c>
      <c r="J674" s="187">
        <v>2.6102027468933944</v>
      </c>
      <c r="K674" s="188">
        <v>5035.0810987573577</v>
      </c>
      <c r="L674" s="189">
        <v>35.546999999999997</v>
      </c>
      <c r="M674" s="185">
        <v>1704</v>
      </c>
      <c r="N674" s="189">
        <v>484.11599999999999</v>
      </c>
      <c r="O674" s="333">
        <v>338</v>
      </c>
      <c r="P674" s="333">
        <v>41.802166989795978</v>
      </c>
      <c r="Q674" s="333">
        <v>42.136796469999993</v>
      </c>
      <c r="R674" s="475">
        <f t="shared" si="11"/>
        <v>0.99205849736483265</v>
      </c>
      <c r="S674" s="340">
        <v>64.53652386544907</v>
      </c>
    </row>
    <row r="675" spans="2:19" ht="15" customHeight="1" x14ac:dyDescent="0.35">
      <c r="B675" s="181">
        <v>38060</v>
      </c>
      <c r="C675" s="182" t="s">
        <v>334</v>
      </c>
      <c r="D675" s="183">
        <v>17</v>
      </c>
      <c r="E675" s="185">
        <v>604</v>
      </c>
      <c r="F675" s="185">
        <v>436</v>
      </c>
      <c r="G675" s="184" t="s">
        <v>1308</v>
      </c>
      <c r="H675" s="186">
        <v>1</v>
      </c>
      <c r="I675" s="185">
        <v>176</v>
      </c>
      <c r="J675" s="187">
        <v>2.294478527607362</v>
      </c>
      <c r="K675" s="188">
        <v>403.82822085889575</v>
      </c>
      <c r="L675" s="189">
        <v>18.617000000000001</v>
      </c>
      <c r="M675" s="185">
        <v>197</v>
      </c>
      <c r="N675" s="189">
        <v>88.981999999999999</v>
      </c>
      <c r="O675" s="333">
        <v>64.286000000000001</v>
      </c>
      <c r="P675" s="333">
        <v>15.912725000000009</v>
      </c>
      <c r="Q675" s="333">
        <v>11.47320852</v>
      </c>
      <c r="R675" s="475">
        <f t="shared" si="11"/>
        <v>1.3869463779256763</v>
      </c>
      <c r="S675" s="340">
        <v>58.72972972972974</v>
      </c>
    </row>
    <row r="676" spans="2:19" ht="15" customHeight="1" x14ac:dyDescent="0.35">
      <c r="B676" s="181">
        <v>47055</v>
      </c>
      <c r="C676" s="182" t="s">
        <v>455</v>
      </c>
      <c r="D676" s="183">
        <v>5</v>
      </c>
      <c r="E676" s="185" t="s">
        <v>1124</v>
      </c>
      <c r="F676" s="185" t="s">
        <v>1124</v>
      </c>
      <c r="G676" s="184" t="s">
        <v>1124</v>
      </c>
      <c r="H676" s="186"/>
      <c r="I676" s="185"/>
      <c r="J676" s="187"/>
      <c r="K676" s="188"/>
      <c r="L676" s="189"/>
      <c r="M676" s="185" t="s">
        <v>1124</v>
      </c>
      <c r="N676" s="189"/>
      <c r="O676" s="333"/>
      <c r="P676" s="333" t="s">
        <v>1124</v>
      </c>
      <c r="Q676" s="333" t="s">
        <v>1124</v>
      </c>
      <c r="R676" s="475" t="str">
        <f t="shared" si="11"/>
        <v/>
      </c>
      <c r="S676" s="340" t="s">
        <v>1124</v>
      </c>
    </row>
    <row r="677" spans="2:19" ht="15" customHeight="1" x14ac:dyDescent="0.35">
      <c r="B677" s="181">
        <v>30050</v>
      </c>
      <c r="C677" s="182" t="s">
        <v>226</v>
      </c>
      <c r="D677" s="183">
        <v>5</v>
      </c>
      <c r="E677" s="185">
        <v>488</v>
      </c>
      <c r="F677" s="185">
        <v>156</v>
      </c>
      <c r="G677" s="184" t="s">
        <v>1308</v>
      </c>
      <c r="H677" s="186">
        <v>1</v>
      </c>
      <c r="I677" s="185">
        <v>85</v>
      </c>
      <c r="J677" s="187">
        <v>2.2970027247956404</v>
      </c>
      <c r="K677" s="188">
        <v>195.24523160762942</v>
      </c>
      <c r="L677" s="189">
        <v>3.7749999999999999</v>
      </c>
      <c r="M677" s="185">
        <v>97</v>
      </c>
      <c r="N677" s="189">
        <v>34.808999999999997</v>
      </c>
      <c r="O677" s="333">
        <v>11.13</v>
      </c>
      <c r="P677" s="333">
        <v>7.4109600000000002</v>
      </c>
      <c r="Q677" s="333">
        <v>2.4719989999999998</v>
      </c>
      <c r="R677" s="475">
        <f t="shared" si="11"/>
        <v>2.9979623778164961</v>
      </c>
      <c r="S677" s="340">
        <v>45</v>
      </c>
    </row>
    <row r="678" spans="2:19" ht="15" customHeight="1" x14ac:dyDescent="0.35">
      <c r="B678" s="181">
        <v>48020</v>
      </c>
      <c r="C678" s="182" t="s">
        <v>459</v>
      </c>
      <c r="D678" s="183">
        <v>16</v>
      </c>
      <c r="E678" s="185" t="s">
        <v>1124</v>
      </c>
      <c r="F678" s="185" t="s">
        <v>1124</v>
      </c>
      <c r="G678" s="184" t="s">
        <v>1124</v>
      </c>
      <c r="H678" s="186"/>
      <c r="I678" s="185"/>
      <c r="J678" s="187"/>
      <c r="K678" s="188"/>
      <c r="L678" s="189"/>
      <c r="M678" s="185" t="s">
        <v>1124</v>
      </c>
      <c r="N678" s="189"/>
      <c r="O678" s="333"/>
      <c r="P678" s="333" t="s">
        <v>1124</v>
      </c>
      <c r="Q678" s="333" t="s">
        <v>1124</v>
      </c>
      <c r="R678" s="475" t="str">
        <f t="shared" si="11"/>
        <v/>
      </c>
      <c r="S678" s="340" t="s">
        <v>1124</v>
      </c>
    </row>
    <row r="679" spans="2:19" ht="15" customHeight="1" x14ac:dyDescent="0.35">
      <c r="B679" s="181">
        <v>34105</v>
      </c>
      <c r="C679" s="182" t="s">
        <v>298</v>
      </c>
      <c r="D679" s="183">
        <v>3</v>
      </c>
      <c r="E679" s="185" t="s">
        <v>1124</v>
      </c>
      <c r="F679" s="185" t="s">
        <v>1124</v>
      </c>
      <c r="G679" s="184" t="s">
        <v>1124</v>
      </c>
      <c r="H679" s="186"/>
      <c r="I679" s="185"/>
      <c r="J679" s="187"/>
      <c r="K679" s="188"/>
      <c r="L679" s="189"/>
      <c r="M679" s="185" t="s">
        <v>1124</v>
      </c>
      <c r="N679" s="189"/>
      <c r="O679" s="333"/>
      <c r="P679" s="333" t="s">
        <v>1124</v>
      </c>
      <c r="Q679" s="333" t="s">
        <v>1124</v>
      </c>
      <c r="R679" s="475" t="str">
        <f t="shared" si="11"/>
        <v/>
      </c>
      <c r="S679" s="340" t="s">
        <v>1124</v>
      </c>
    </row>
    <row r="680" spans="2:19" ht="15" customHeight="1" x14ac:dyDescent="0.35">
      <c r="B680" s="181">
        <v>19055</v>
      </c>
      <c r="C680" s="182" t="s">
        <v>127</v>
      </c>
      <c r="D680" s="183">
        <v>12</v>
      </c>
      <c r="E680" s="185">
        <v>760</v>
      </c>
      <c r="F680" s="185">
        <v>169</v>
      </c>
      <c r="G680" s="184" t="s">
        <v>1326</v>
      </c>
      <c r="H680" s="186">
        <v>1</v>
      </c>
      <c r="I680" s="185">
        <v>1240</v>
      </c>
      <c r="J680" s="187">
        <v>2.1562889165628891</v>
      </c>
      <c r="K680" s="188">
        <v>2673.7982565379825</v>
      </c>
      <c r="L680" s="189">
        <v>24.843</v>
      </c>
      <c r="M680" s="185">
        <v>1170</v>
      </c>
      <c r="N680" s="189">
        <v>742.14200000000005</v>
      </c>
      <c r="O680" s="333">
        <v>165.39410000000001</v>
      </c>
      <c r="P680" s="333">
        <v>119.43</v>
      </c>
      <c r="Q680" s="333">
        <v>30.493898135999999</v>
      </c>
      <c r="R680" s="475">
        <f t="shared" si="11"/>
        <v>3.9165212485249712</v>
      </c>
      <c r="S680" s="340">
        <v>70</v>
      </c>
    </row>
    <row r="681" spans="2:19" ht="15" customHeight="1" x14ac:dyDescent="0.35">
      <c r="B681" s="181">
        <v>68020</v>
      </c>
      <c r="C681" s="182" t="s">
        <v>676</v>
      </c>
      <c r="D681" s="183">
        <v>16</v>
      </c>
      <c r="E681" s="185" t="s">
        <v>1124</v>
      </c>
      <c r="F681" s="185" t="s">
        <v>1124</v>
      </c>
      <c r="G681" s="184" t="s">
        <v>1124</v>
      </c>
      <c r="H681" s="186"/>
      <c r="I681" s="185"/>
      <c r="J681" s="187"/>
      <c r="K681" s="188"/>
      <c r="L681" s="189"/>
      <c r="M681" s="185" t="s">
        <v>1124</v>
      </c>
      <c r="N681" s="189"/>
      <c r="O681" s="333"/>
      <c r="P681" s="333" t="s">
        <v>1124</v>
      </c>
      <c r="Q681" s="333" t="s">
        <v>1124</v>
      </c>
      <c r="R681" s="475" t="str">
        <f t="shared" si="11"/>
        <v/>
      </c>
      <c r="S681" s="340" t="s">
        <v>1124</v>
      </c>
    </row>
    <row r="682" spans="2:19" ht="15" customHeight="1" x14ac:dyDescent="0.35">
      <c r="B682" s="181">
        <v>31060</v>
      </c>
      <c r="C682" s="182" t="s">
        <v>247</v>
      </c>
      <c r="D682" s="183">
        <v>12</v>
      </c>
      <c r="E682" s="185" t="s">
        <v>1124</v>
      </c>
      <c r="F682" s="185" t="s">
        <v>1124</v>
      </c>
      <c r="G682" s="184" t="s">
        <v>1124</v>
      </c>
      <c r="H682" s="186"/>
      <c r="I682" s="185"/>
      <c r="J682" s="187"/>
      <c r="K682" s="188"/>
      <c r="L682" s="189"/>
      <c r="M682" s="185" t="s">
        <v>1124</v>
      </c>
      <c r="N682" s="189"/>
      <c r="O682" s="333"/>
      <c r="P682" s="333" t="s">
        <v>1124</v>
      </c>
      <c r="Q682" s="333" t="s">
        <v>1124</v>
      </c>
      <c r="R682" s="475" t="str">
        <f t="shared" si="11"/>
        <v/>
      </c>
      <c r="S682" s="340" t="s">
        <v>1124</v>
      </c>
    </row>
    <row r="683" spans="2:19" ht="15" customHeight="1" x14ac:dyDescent="0.35">
      <c r="B683" s="181">
        <v>39117</v>
      </c>
      <c r="C683" s="182" t="s">
        <v>352</v>
      </c>
      <c r="D683" s="183">
        <v>17</v>
      </c>
      <c r="E683" s="185">
        <v>365</v>
      </c>
      <c r="F683" s="185">
        <v>235</v>
      </c>
      <c r="G683" s="184" t="s">
        <v>1308</v>
      </c>
      <c r="H683" s="186">
        <v>1</v>
      </c>
      <c r="I683" s="185">
        <v>171</v>
      </c>
      <c r="J683" s="187">
        <v>2.1934604904632153</v>
      </c>
      <c r="K683" s="188">
        <v>375.08174386920984</v>
      </c>
      <c r="L683" s="189">
        <v>4.6319999999999997</v>
      </c>
      <c r="M683" s="185">
        <v>159</v>
      </c>
      <c r="N683" s="189">
        <v>49.927999999999997</v>
      </c>
      <c r="O683" s="333">
        <v>32.146171122994659</v>
      </c>
      <c r="P683" s="333">
        <v>9.7111799999999988</v>
      </c>
      <c r="Q683" s="333">
        <v>4.9000127822100001</v>
      </c>
      <c r="R683" s="475">
        <f t="shared" si="11"/>
        <v>1.9818682994577965</v>
      </c>
      <c r="S683" s="340">
        <v>58.554054054054063</v>
      </c>
    </row>
    <row r="684" spans="2:19" ht="15" customHeight="1" x14ac:dyDescent="0.35">
      <c r="B684" s="181">
        <v>33102</v>
      </c>
      <c r="C684" s="182" t="s">
        <v>282</v>
      </c>
      <c r="D684" s="183">
        <v>12</v>
      </c>
      <c r="E684" s="185">
        <v>331</v>
      </c>
      <c r="F684" s="185">
        <v>149</v>
      </c>
      <c r="G684" s="184" t="s">
        <v>1308</v>
      </c>
      <c r="H684" s="186">
        <v>1</v>
      </c>
      <c r="I684" s="185">
        <v>862</v>
      </c>
      <c r="J684" s="187">
        <v>2.1208791208791209</v>
      </c>
      <c r="K684" s="188">
        <v>1828.1978021978023</v>
      </c>
      <c r="L684" s="189">
        <v>30.163</v>
      </c>
      <c r="M684" s="185">
        <v>794</v>
      </c>
      <c r="N684" s="189">
        <v>220.89699999999999</v>
      </c>
      <c r="O684" s="333">
        <v>99.13</v>
      </c>
      <c r="P684" s="333">
        <v>53.007136443298947</v>
      </c>
      <c r="Q684" s="333">
        <v>24.229077263999997</v>
      </c>
      <c r="R684" s="475">
        <f t="shared" si="11"/>
        <v>2.1877488715617708</v>
      </c>
      <c r="S684" s="340">
        <v>59.666666666666664</v>
      </c>
    </row>
    <row r="685" spans="2:19" ht="15" customHeight="1" x14ac:dyDescent="0.35">
      <c r="B685" s="181">
        <v>49100</v>
      </c>
      <c r="C685" s="182" t="s">
        <v>477</v>
      </c>
      <c r="D685" s="183">
        <v>17</v>
      </c>
      <c r="E685" s="185" t="s">
        <v>1124</v>
      </c>
      <c r="F685" s="185" t="s">
        <v>1124</v>
      </c>
      <c r="G685" s="184" t="s">
        <v>1124</v>
      </c>
      <c r="H685" s="186"/>
      <c r="I685" s="185"/>
      <c r="J685" s="187"/>
      <c r="K685" s="188"/>
      <c r="L685" s="189"/>
      <c r="M685" s="185" t="s">
        <v>1124</v>
      </c>
      <c r="N685" s="189"/>
      <c r="O685" s="333"/>
      <c r="P685" s="333" t="s">
        <v>1124</v>
      </c>
      <c r="Q685" s="333" t="s">
        <v>1124</v>
      </c>
      <c r="R685" s="475" t="str">
        <f t="shared" si="11"/>
        <v/>
      </c>
      <c r="S685" s="340" t="s">
        <v>1124</v>
      </c>
    </row>
    <row r="686" spans="2:19" ht="15" customHeight="1" x14ac:dyDescent="0.35">
      <c r="B686" s="192">
        <v>92050</v>
      </c>
      <c r="C686" s="182" t="s">
        <v>953</v>
      </c>
      <c r="D686" s="183">
        <v>2</v>
      </c>
      <c r="E686" s="185">
        <v>303</v>
      </c>
      <c r="F686" s="185">
        <v>207</v>
      </c>
      <c r="G686" s="184" t="s">
        <v>1308</v>
      </c>
      <c r="H686" s="186">
        <v>1</v>
      </c>
      <c r="I686" s="185">
        <v>130</v>
      </c>
      <c r="J686" s="187">
        <v>2.1860465116279069</v>
      </c>
      <c r="K686" s="188">
        <v>284.18604651162786</v>
      </c>
      <c r="L686" s="189">
        <v>5.5819999999999999</v>
      </c>
      <c r="M686" s="185">
        <v>145</v>
      </c>
      <c r="N686" s="189">
        <v>31.44</v>
      </c>
      <c r="O686" s="333">
        <v>21.465</v>
      </c>
      <c r="P686" s="333">
        <v>5.5404</v>
      </c>
      <c r="Q686" s="333">
        <v>5.6515380899999998</v>
      </c>
      <c r="R686" s="475">
        <f t="shared" si="11"/>
        <v>0.9803348949913917</v>
      </c>
      <c r="S686" s="340">
        <v>31</v>
      </c>
    </row>
    <row r="687" spans="2:19" ht="15" customHeight="1" x14ac:dyDescent="0.35">
      <c r="B687" s="181">
        <v>68045</v>
      </c>
      <c r="C687" s="182" t="s">
        <v>681</v>
      </c>
      <c r="D687" s="183">
        <v>16</v>
      </c>
      <c r="E687" s="185" t="s">
        <v>1124</v>
      </c>
      <c r="F687" s="185" t="s">
        <v>1124</v>
      </c>
      <c r="G687" s="184" t="s">
        <v>1124</v>
      </c>
      <c r="H687" s="186"/>
      <c r="I687" s="185"/>
      <c r="J687" s="187"/>
      <c r="K687" s="188"/>
      <c r="L687" s="189"/>
      <c r="M687" s="185" t="s">
        <v>1124</v>
      </c>
      <c r="N687" s="189"/>
      <c r="O687" s="333"/>
      <c r="P687" s="333" t="s">
        <v>1124</v>
      </c>
      <c r="Q687" s="333" t="s">
        <v>1124</v>
      </c>
      <c r="R687" s="475" t="str">
        <f t="shared" si="11"/>
        <v/>
      </c>
      <c r="S687" s="340" t="s">
        <v>1124</v>
      </c>
    </row>
    <row r="688" spans="2:19" ht="15" customHeight="1" x14ac:dyDescent="0.35">
      <c r="B688" s="181">
        <v>85015</v>
      </c>
      <c r="C688" s="182" t="s">
        <v>872</v>
      </c>
      <c r="D688" s="183">
        <v>8</v>
      </c>
      <c r="E688" s="185">
        <v>284</v>
      </c>
      <c r="F688" s="185">
        <v>203</v>
      </c>
      <c r="G688" s="184" t="s">
        <v>1308</v>
      </c>
      <c r="H688" s="186">
        <v>1</v>
      </c>
      <c r="I688" s="185">
        <v>212</v>
      </c>
      <c r="J688" s="187">
        <v>2.1182432432432434</v>
      </c>
      <c r="K688" s="188">
        <v>449.06756756756761</v>
      </c>
      <c r="L688" s="189">
        <v>8.0235000000000003</v>
      </c>
      <c r="M688" s="185">
        <v>204</v>
      </c>
      <c r="N688" s="189">
        <v>46.560079443892761</v>
      </c>
      <c r="O688" s="333">
        <v>33.207000000000001</v>
      </c>
      <c r="P688" s="333">
        <v>9.2239296808057993</v>
      </c>
      <c r="Q688" s="333">
        <v>4.7175523212000012</v>
      </c>
      <c r="R688" s="475">
        <f t="shared" si="11"/>
        <v>1.9552363286687435</v>
      </c>
      <c r="S688" s="340">
        <v>55.054101680394105</v>
      </c>
    </row>
    <row r="689" spans="2:19" ht="15" customHeight="1" x14ac:dyDescent="0.35">
      <c r="B689" s="181">
        <v>33080</v>
      </c>
      <c r="C689" s="182" t="s">
        <v>278</v>
      </c>
      <c r="D689" s="183">
        <v>12</v>
      </c>
      <c r="E689" s="185">
        <v>314</v>
      </c>
      <c r="F689" s="185">
        <v>219</v>
      </c>
      <c r="G689" s="184" t="s">
        <v>1308</v>
      </c>
      <c r="H689" s="186">
        <v>1</v>
      </c>
      <c r="I689" s="185">
        <v>303</v>
      </c>
      <c r="J689" s="187">
        <v>2.48</v>
      </c>
      <c r="K689" s="188">
        <v>751.43999999999994</v>
      </c>
      <c r="L689" s="189">
        <v>6.15</v>
      </c>
      <c r="M689" s="185">
        <v>273</v>
      </c>
      <c r="N689" s="189">
        <v>86.197000000000003</v>
      </c>
      <c r="O689" s="333">
        <v>60.014000000000003</v>
      </c>
      <c r="P689" s="333">
        <v>19.938045000000013</v>
      </c>
      <c r="Q689" s="333">
        <v>7.0235490000000009</v>
      </c>
      <c r="R689" s="475">
        <f t="shared" si="11"/>
        <v>2.8387422085330378</v>
      </c>
      <c r="S689" s="340">
        <v>59.081081081081081</v>
      </c>
    </row>
    <row r="690" spans="2:19" ht="15" customHeight="1" x14ac:dyDescent="0.35">
      <c r="B690" s="181">
        <v>51050</v>
      </c>
      <c r="C690" s="182" t="s">
        <v>506</v>
      </c>
      <c r="D690" s="183">
        <v>4</v>
      </c>
      <c r="E690" s="185">
        <v>422</v>
      </c>
      <c r="F690" s="185">
        <v>155</v>
      </c>
      <c r="G690" s="184" t="s">
        <v>1308</v>
      </c>
      <c r="H690" s="186">
        <v>1</v>
      </c>
      <c r="I690" s="185">
        <v>163</v>
      </c>
      <c r="J690" s="187">
        <v>1.9650537634408602</v>
      </c>
      <c r="K690" s="188">
        <v>320.30376344086022</v>
      </c>
      <c r="L690" s="189">
        <v>5.0049999999999999</v>
      </c>
      <c r="M690" s="185">
        <v>177</v>
      </c>
      <c r="N690" s="189">
        <v>49.29</v>
      </c>
      <c r="O690" s="333">
        <v>18.102157303370788</v>
      </c>
      <c r="P690" s="333">
        <v>16.91738416320166</v>
      </c>
      <c r="Q690" s="333">
        <v>6.6716090961755894</v>
      </c>
      <c r="R690" s="475">
        <f t="shared" si="11"/>
        <v>2.5357277261492022</v>
      </c>
      <c r="S690" s="340">
        <v>60.176470588235297</v>
      </c>
    </row>
    <row r="691" spans="2:19" ht="15" customHeight="1" x14ac:dyDescent="0.35">
      <c r="B691" s="181">
        <v>44055</v>
      </c>
      <c r="C691" s="182" t="s">
        <v>406</v>
      </c>
      <c r="D691" s="183">
        <v>5</v>
      </c>
      <c r="E691" s="185" t="s">
        <v>1124</v>
      </c>
      <c r="F691" s="185" t="s">
        <v>1124</v>
      </c>
      <c r="G691" s="184" t="s">
        <v>1124</v>
      </c>
      <c r="H691" s="186"/>
      <c r="I691" s="185"/>
      <c r="J691" s="187"/>
      <c r="K691" s="188"/>
      <c r="L691" s="189"/>
      <c r="M691" s="185" t="s">
        <v>1124</v>
      </c>
      <c r="N691" s="189"/>
      <c r="O691" s="333"/>
      <c r="P691" s="333" t="s">
        <v>1124</v>
      </c>
      <c r="Q691" s="333" t="s">
        <v>1124</v>
      </c>
      <c r="R691" s="475" t="str">
        <f t="shared" si="11"/>
        <v/>
      </c>
      <c r="S691" s="340" t="s">
        <v>1124</v>
      </c>
    </row>
    <row r="692" spans="2:19" ht="15" customHeight="1" x14ac:dyDescent="0.35">
      <c r="B692" s="181">
        <v>52030</v>
      </c>
      <c r="C692" s="182" t="s">
        <v>517</v>
      </c>
      <c r="D692" s="183">
        <v>14</v>
      </c>
      <c r="E692" s="185">
        <v>738</v>
      </c>
      <c r="F692" s="185">
        <v>475</v>
      </c>
      <c r="G692" s="184" t="s">
        <v>1326</v>
      </c>
      <c r="H692" s="186">
        <v>2</v>
      </c>
      <c r="I692" s="185">
        <v>645</v>
      </c>
      <c r="J692" s="187">
        <v>2.3738019169329072</v>
      </c>
      <c r="K692" s="188">
        <v>1531.1022364217251</v>
      </c>
      <c r="L692" s="189">
        <v>45.080999999999996</v>
      </c>
      <c r="M692" s="185">
        <v>597</v>
      </c>
      <c r="N692" s="189">
        <v>412.37700000000001</v>
      </c>
      <c r="O692" s="333">
        <v>265.32513</v>
      </c>
      <c r="P692" s="333">
        <v>62.572292857142806</v>
      </c>
      <c r="Q692" s="333">
        <v>16.846446666000002</v>
      </c>
      <c r="R692" s="475">
        <f t="shared" si="11"/>
        <v>3.7142724574332973</v>
      </c>
      <c r="S692" s="340">
        <v>53.049019607843135</v>
      </c>
    </row>
    <row r="693" spans="2:19" ht="15" customHeight="1" x14ac:dyDescent="0.35">
      <c r="B693" s="181">
        <v>39090</v>
      </c>
      <c r="C693" s="182" t="s">
        <v>349</v>
      </c>
      <c r="D693" s="183">
        <v>17</v>
      </c>
      <c r="E693" s="185" t="s">
        <v>1124</v>
      </c>
      <c r="F693" s="185" t="s">
        <v>1124</v>
      </c>
      <c r="G693" s="184" t="s">
        <v>1124</v>
      </c>
      <c r="H693" s="186"/>
      <c r="I693" s="185"/>
      <c r="J693" s="187"/>
      <c r="K693" s="188"/>
      <c r="L693" s="189"/>
      <c r="M693" s="185" t="s">
        <v>1124</v>
      </c>
      <c r="N693" s="189"/>
      <c r="O693" s="333"/>
      <c r="P693" s="333" t="s">
        <v>1124</v>
      </c>
      <c r="Q693" s="333" t="s">
        <v>1124</v>
      </c>
      <c r="R693" s="475" t="str">
        <f t="shared" si="11"/>
        <v/>
      </c>
      <c r="S693" s="340" t="s">
        <v>1124</v>
      </c>
    </row>
    <row r="694" spans="2:19" ht="15" customHeight="1" x14ac:dyDescent="0.35">
      <c r="B694" s="181">
        <v>62070</v>
      </c>
      <c r="C694" s="182" t="s">
        <v>630</v>
      </c>
      <c r="D694" s="183">
        <v>14</v>
      </c>
      <c r="E694" s="185">
        <v>614</v>
      </c>
      <c r="F694" s="185">
        <v>379</v>
      </c>
      <c r="G694" s="184" t="s">
        <v>1308</v>
      </c>
      <c r="H694" s="186">
        <v>1</v>
      </c>
      <c r="I694" s="185">
        <v>269</v>
      </c>
      <c r="J694" s="187">
        <v>1.4672727272727273</v>
      </c>
      <c r="K694" s="188">
        <v>394.69636363636363</v>
      </c>
      <c r="L694" s="189">
        <v>5.8519999999999994</v>
      </c>
      <c r="M694" s="185">
        <v>217</v>
      </c>
      <c r="N694" s="189">
        <v>88.393000000000001</v>
      </c>
      <c r="O694" s="333">
        <v>54.667915916955025</v>
      </c>
      <c r="P694" s="333">
        <v>27.702932806122448</v>
      </c>
      <c r="Q694" s="333">
        <v>5.3531951200000005</v>
      </c>
      <c r="R694" s="475">
        <f t="shared" si="11"/>
        <v>5.1750276582712056</v>
      </c>
      <c r="S694" s="340">
        <v>55.843137254901954</v>
      </c>
    </row>
    <row r="695" spans="2:19" ht="15" customHeight="1" x14ac:dyDescent="0.35">
      <c r="B695" s="181">
        <v>50005</v>
      </c>
      <c r="C695" s="182" t="s">
        <v>482</v>
      </c>
      <c r="D695" s="183">
        <v>17</v>
      </c>
      <c r="E695" s="185">
        <v>360</v>
      </c>
      <c r="F695" s="185">
        <v>187</v>
      </c>
      <c r="G695" s="184" t="s">
        <v>1308</v>
      </c>
      <c r="H695" s="186">
        <v>1</v>
      </c>
      <c r="I695" s="185">
        <v>221</v>
      </c>
      <c r="J695" s="187">
        <v>2.4746192893401018</v>
      </c>
      <c r="K695" s="188">
        <v>546.89086294416245</v>
      </c>
      <c r="L695" s="189">
        <v>7.4829999999999997</v>
      </c>
      <c r="M695" s="185">
        <v>240</v>
      </c>
      <c r="N695" s="189">
        <v>71.930000000000007</v>
      </c>
      <c r="O695" s="333">
        <v>37.369799999999998</v>
      </c>
      <c r="P695" s="333">
        <v>28.271525000000004</v>
      </c>
      <c r="Q695" s="333">
        <v>10.313115149999998</v>
      </c>
      <c r="R695" s="475">
        <f t="shared" si="11"/>
        <v>2.7413176900288958</v>
      </c>
      <c r="S695" s="340">
        <v>64</v>
      </c>
    </row>
    <row r="696" spans="2:19" ht="15" customHeight="1" x14ac:dyDescent="0.35">
      <c r="B696" s="181">
        <v>18035</v>
      </c>
      <c r="C696" s="182" t="s">
        <v>110</v>
      </c>
      <c r="D696" s="183">
        <v>12</v>
      </c>
      <c r="E696" s="185" t="s">
        <v>1124</v>
      </c>
      <c r="F696" s="185" t="s">
        <v>1124</v>
      </c>
      <c r="G696" s="184" t="s">
        <v>1124</v>
      </c>
      <c r="H696" s="186"/>
      <c r="I696" s="185"/>
      <c r="J696" s="187"/>
      <c r="K696" s="188"/>
      <c r="L696" s="189"/>
      <c r="M696" s="185" t="s">
        <v>1124</v>
      </c>
      <c r="N696" s="189"/>
      <c r="O696" s="333"/>
      <c r="P696" s="333" t="s">
        <v>1124</v>
      </c>
      <c r="Q696" s="333" t="s">
        <v>1124</v>
      </c>
      <c r="R696" s="475" t="str">
        <f t="shared" si="11"/>
        <v/>
      </c>
      <c r="S696" s="340" t="s">
        <v>1124</v>
      </c>
    </row>
    <row r="697" spans="2:19" ht="15" customHeight="1" x14ac:dyDescent="0.35">
      <c r="B697" s="197">
        <v>20010</v>
      </c>
      <c r="C697" s="198" t="s">
        <v>139</v>
      </c>
      <c r="D697" s="199">
        <v>3</v>
      </c>
      <c r="E697" s="185" t="s">
        <v>1124</v>
      </c>
      <c r="F697" s="185" t="s">
        <v>1124</v>
      </c>
      <c r="G697" s="200" t="s">
        <v>1124</v>
      </c>
      <c r="H697" s="186"/>
      <c r="I697" s="185"/>
      <c r="J697" s="187"/>
      <c r="K697" s="188"/>
      <c r="L697" s="189"/>
      <c r="M697" s="185" t="s">
        <v>1124</v>
      </c>
      <c r="N697" s="189"/>
      <c r="O697" s="333"/>
      <c r="P697" s="333" t="s">
        <v>1124</v>
      </c>
      <c r="Q697" s="333" t="s">
        <v>1124</v>
      </c>
      <c r="R697" s="475" t="str">
        <f t="shared" si="11"/>
        <v/>
      </c>
      <c r="S697" s="340" t="s">
        <v>1124</v>
      </c>
    </row>
    <row r="698" spans="2:19" ht="15" customHeight="1" x14ac:dyDescent="0.35">
      <c r="B698" s="181">
        <v>8023</v>
      </c>
      <c r="C698" s="182" t="s">
        <v>1089</v>
      </c>
      <c r="D698" s="183">
        <v>1</v>
      </c>
      <c r="E698" s="185">
        <v>696</v>
      </c>
      <c r="F698" s="185">
        <v>175</v>
      </c>
      <c r="G698" s="184" t="s">
        <v>1308</v>
      </c>
      <c r="H698" s="186">
        <v>1</v>
      </c>
      <c r="I698" s="185">
        <v>272</v>
      </c>
      <c r="J698" s="187">
        <v>1.967741935483871</v>
      </c>
      <c r="K698" s="188">
        <v>535.22580645161293</v>
      </c>
      <c r="L698" s="189">
        <v>8.1760000000000002</v>
      </c>
      <c r="M698" s="185">
        <v>203</v>
      </c>
      <c r="N698" s="189">
        <v>136.03899999999999</v>
      </c>
      <c r="O698" s="333">
        <v>34.271000000000001</v>
      </c>
      <c r="P698" s="333">
        <v>98.341414999999998</v>
      </c>
      <c r="Q698" s="333">
        <v>4.1427562049999995</v>
      </c>
      <c r="R698" s="475">
        <f t="shared" si="11"/>
        <v>23.738161294963291</v>
      </c>
      <c r="S698" s="340">
        <v>58.72972972972974</v>
      </c>
    </row>
    <row r="699" spans="2:19" ht="15" customHeight="1" x14ac:dyDescent="0.35">
      <c r="B699" s="181">
        <v>17025</v>
      </c>
      <c r="C699" s="182" t="s">
        <v>94</v>
      </c>
      <c r="D699" s="183">
        <v>12</v>
      </c>
      <c r="E699" s="185" t="s">
        <v>1124</v>
      </c>
      <c r="F699" s="185" t="s">
        <v>1124</v>
      </c>
      <c r="G699" s="184" t="s">
        <v>1124</v>
      </c>
      <c r="H699" s="186"/>
      <c r="I699" s="185"/>
      <c r="J699" s="187"/>
      <c r="K699" s="188"/>
      <c r="L699" s="189"/>
      <c r="M699" s="185" t="s">
        <v>1124</v>
      </c>
      <c r="N699" s="189"/>
      <c r="O699" s="333"/>
      <c r="P699" s="333" t="s">
        <v>1124</v>
      </c>
      <c r="Q699" s="333" t="s">
        <v>1124</v>
      </c>
      <c r="R699" s="475" t="str">
        <f t="shared" si="11"/>
        <v/>
      </c>
      <c r="S699" s="340" t="s">
        <v>1124</v>
      </c>
    </row>
    <row r="700" spans="2:19" ht="15" customHeight="1" x14ac:dyDescent="0.35">
      <c r="B700" s="181">
        <v>9085</v>
      </c>
      <c r="C700" s="182" t="s">
        <v>1111</v>
      </c>
      <c r="D700" s="183">
        <v>1</v>
      </c>
      <c r="E700" s="185">
        <v>380</v>
      </c>
      <c r="F700" s="185">
        <v>176</v>
      </c>
      <c r="G700" s="184" t="s">
        <v>1308</v>
      </c>
      <c r="H700" s="186">
        <v>2</v>
      </c>
      <c r="I700" s="185">
        <v>448</v>
      </c>
      <c r="J700" s="187">
        <v>1.931034482758621</v>
      </c>
      <c r="K700" s="188">
        <v>865.10344827586221</v>
      </c>
      <c r="L700" s="189">
        <v>18.599</v>
      </c>
      <c r="M700" s="185">
        <v>491</v>
      </c>
      <c r="N700" s="189">
        <v>119.99299999999999</v>
      </c>
      <c r="O700" s="333">
        <v>55.562000000000005</v>
      </c>
      <c r="P700" s="333">
        <v>6.0511946912476215</v>
      </c>
      <c r="Q700" s="333">
        <v>20.282430083999998</v>
      </c>
      <c r="R700" s="475">
        <f t="shared" si="11"/>
        <v>0.29834663135465056</v>
      </c>
      <c r="S700" s="340">
        <v>58.505263157894738</v>
      </c>
    </row>
    <row r="701" spans="2:19" ht="15" customHeight="1" x14ac:dyDescent="0.35">
      <c r="B701" s="181">
        <v>7010</v>
      </c>
      <c r="C701" s="182" t="s">
        <v>1069</v>
      </c>
      <c r="D701" s="183">
        <v>1</v>
      </c>
      <c r="E701" s="185" t="s">
        <v>1124</v>
      </c>
      <c r="F701" s="185" t="s">
        <v>1124</v>
      </c>
      <c r="G701" s="184" t="s">
        <v>1124</v>
      </c>
      <c r="H701" s="186"/>
      <c r="I701" s="185"/>
      <c r="J701" s="187"/>
      <c r="K701" s="188"/>
      <c r="L701" s="189"/>
      <c r="M701" s="185" t="s">
        <v>1124</v>
      </c>
      <c r="N701" s="189"/>
      <c r="O701" s="333"/>
      <c r="P701" s="333" t="s">
        <v>1124</v>
      </c>
      <c r="Q701" s="333" t="s">
        <v>1124</v>
      </c>
      <c r="R701" s="475" t="str">
        <f t="shared" si="11"/>
        <v/>
      </c>
      <c r="S701" s="340" t="s">
        <v>1124</v>
      </c>
    </row>
    <row r="702" spans="2:19" ht="15" customHeight="1" x14ac:dyDescent="0.35">
      <c r="B702" s="181">
        <v>11030</v>
      </c>
      <c r="C702" s="182" t="s">
        <v>22</v>
      </c>
      <c r="D702" s="183">
        <v>1</v>
      </c>
      <c r="E702" s="185">
        <v>256</v>
      </c>
      <c r="F702" s="185">
        <v>201</v>
      </c>
      <c r="G702" s="184" t="s">
        <v>1326</v>
      </c>
      <c r="H702" s="186">
        <v>1</v>
      </c>
      <c r="I702" s="185">
        <v>92</v>
      </c>
      <c r="J702" s="187">
        <v>1.58</v>
      </c>
      <c r="K702" s="188">
        <v>145.36000000000001</v>
      </c>
      <c r="L702" s="189">
        <v>2.661</v>
      </c>
      <c r="M702" s="185">
        <v>93</v>
      </c>
      <c r="N702" s="189">
        <v>13.587</v>
      </c>
      <c r="O702" s="333">
        <v>10.638365591397848</v>
      </c>
      <c r="P702" s="333">
        <v>2.6291950000000002</v>
      </c>
      <c r="Q702" s="333">
        <v>2.1250008</v>
      </c>
      <c r="R702" s="475">
        <f t="shared" si="11"/>
        <v>1.2372677694991927</v>
      </c>
      <c r="S702" s="340">
        <v>37.027027027027032</v>
      </c>
    </row>
    <row r="703" spans="2:19" ht="15" customHeight="1" x14ac:dyDescent="0.35">
      <c r="B703" s="181">
        <v>38035</v>
      </c>
      <c r="C703" s="182" t="s">
        <v>330</v>
      </c>
      <c r="D703" s="183">
        <v>17</v>
      </c>
      <c r="E703" s="185" t="s">
        <v>1124</v>
      </c>
      <c r="F703" s="185" t="s">
        <v>1124</v>
      </c>
      <c r="G703" s="184" t="s">
        <v>1124</v>
      </c>
      <c r="H703" s="186"/>
      <c r="I703" s="185"/>
      <c r="J703" s="187"/>
      <c r="K703" s="188"/>
      <c r="L703" s="189"/>
      <c r="M703" s="185" t="s">
        <v>1124</v>
      </c>
      <c r="N703" s="189"/>
      <c r="O703" s="333"/>
      <c r="P703" s="333" t="s">
        <v>1124</v>
      </c>
      <c r="Q703" s="333" t="s">
        <v>1124</v>
      </c>
      <c r="R703" s="475" t="str">
        <f t="shared" si="11"/>
        <v/>
      </c>
      <c r="S703" s="340" t="s">
        <v>1124</v>
      </c>
    </row>
    <row r="704" spans="2:19" ht="15" customHeight="1" x14ac:dyDescent="0.35">
      <c r="B704" s="181">
        <v>37215</v>
      </c>
      <c r="C704" s="182" t="s">
        <v>317</v>
      </c>
      <c r="D704" s="183">
        <v>4</v>
      </c>
      <c r="E704" s="185">
        <v>408</v>
      </c>
      <c r="F704" s="185">
        <v>192</v>
      </c>
      <c r="G704" s="184" t="s">
        <v>1308</v>
      </c>
      <c r="H704" s="186">
        <v>1</v>
      </c>
      <c r="I704" s="185">
        <v>434</v>
      </c>
      <c r="J704" s="187">
        <v>1.8545119705340702</v>
      </c>
      <c r="K704" s="188">
        <v>804.85819521178644</v>
      </c>
      <c r="L704" s="189">
        <v>30.082000000000001</v>
      </c>
      <c r="M704" s="185">
        <v>427</v>
      </c>
      <c r="N704" s="189">
        <v>119.83929166666667</v>
      </c>
      <c r="O704" s="333">
        <v>56.54</v>
      </c>
      <c r="P704" s="333">
        <v>13.597</v>
      </c>
      <c r="Q704" s="333">
        <v>13.989401136</v>
      </c>
      <c r="R704" s="475">
        <f t="shared" si="11"/>
        <v>0.97195011193222536</v>
      </c>
      <c r="S704" s="340">
        <v>70</v>
      </c>
    </row>
    <row r="705" spans="2:19" ht="15" customHeight="1" x14ac:dyDescent="0.35">
      <c r="B705" s="181">
        <v>52040</v>
      </c>
      <c r="C705" s="182" t="s">
        <v>519</v>
      </c>
      <c r="D705" s="183">
        <v>14</v>
      </c>
      <c r="E705" s="185">
        <v>415</v>
      </c>
      <c r="F705" s="185">
        <v>183</v>
      </c>
      <c r="G705" s="184" t="s">
        <v>1308</v>
      </c>
      <c r="H705" s="186">
        <v>3</v>
      </c>
      <c r="I705" s="185">
        <v>972</v>
      </c>
      <c r="J705" s="187">
        <v>2.413757700205339</v>
      </c>
      <c r="K705" s="188">
        <v>2346.1724845995896</v>
      </c>
      <c r="L705" s="189">
        <v>44.87</v>
      </c>
      <c r="M705" s="185">
        <v>1017</v>
      </c>
      <c r="N705" s="189">
        <v>354.96300000000008</v>
      </c>
      <c r="O705" s="333">
        <v>157.13500000000002</v>
      </c>
      <c r="P705" s="333">
        <v>138.4562129548404</v>
      </c>
      <c r="Q705" s="333">
        <v>39.597275025000002</v>
      </c>
      <c r="R705" s="475">
        <f t="shared" si="11"/>
        <v>3.4966096244609042</v>
      </c>
      <c r="S705" s="340">
        <v>70.322440087145949</v>
      </c>
    </row>
    <row r="706" spans="2:19" ht="15" customHeight="1" x14ac:dyDescent="0.35">
      <c r="B706" s="181">
        <v>87030</v>
      </c>
      <c r="C706" s="182" t="s">
        <v>895</v>
      </c>
      <c r="D706" s="183">
        <v>8</v>
      </c>
      <c r="E706" s="185" t="s">
        <v>1124</v>
      </c>
      <c r="F706" s="185" t="s">
        <v>1124</v>
      </c>
      <c r="G706" s="184" t="s">
        <v>1124</v>
      </c>
      <c r="H706" s="186"/>
      <c r="I706" s="185"/>
      <c r="J706" s="187"/>
      <c r="K706" s="188"/>
      <c r="L706" s="189"/>
      <c r="M706" s="185" t="s">
        <v>1124</v>
      </c>
      <c r="N706" s="189"/>
      <c r="O706" s="333"/>
      <c r="P706" s="333" t="s">
        <v>1124</v>
      </c>
      <c r="Q706" s="333" t="s">
        <v>1124</v>
      </c>
      <c r="R706" s="475" t="str">
        <f t="shared" si="11"/>
        <v/>
      </c>
      <c r="S706" s="340" t="s">
        <v>1124</v>
      </c>
    </row>
    <row r="707" spans="2:19" ht="15" customHeight="1" x14ac:dyDescent="0.35">
      <c r="B707" s="181">
        <v>88085</v>
      </c>
      <c r="C707" s="182" t="s">
        <v>926</v>
      </c>
      <c r="D707" s="183">
        <v>8</v>
      </c>
      <c r="E707" s="185" t="s">
        <v>1124</v>
      </c>
      <c r="F707" s="185" t="s">
        <v>1124</v>
      </c>
      <c r="G707" s="184" t="s">
        <v>1124</v>
      </c>
      <c r="H707" s="186"/>
      <c r="I707" s="185"/>
      <c r="J707" s="187"/>
      <c r="K707" s="188"/>
      <c r="L707" s="189"/>
      <c r="M707" s="185" t="s">
        <v>1124</v>
      </c>
      <c r="N707" s="189"/>
      <c r="O707" s="333"/>
      <c r="P707" s="333" t="s">
        <v>1124</v>
      </c>
      <c r="Q707" s="333" t="s">
        <v>1124</v>
      </c>
      <c r="R707" s="475" t="str">
        <f t="shared" si="11"/>
        <v/>
      </c>
      <c r="S707" s="340" t="s">
        <v>1124</v>
      </c>
    </row>
    <row r="708" spans="2:19" ht="15" customHeight="1" x14ac:dyDescent="0.35">
      <c r="B708" s="181">
        <v>91030</v>
      </c>
      <c r="C708" s="182" t="s">
        <v>942</v>
      </c>
      <c r="D708" s="183">
        <v>2</v>
      </c>
      <c r="E708" s="185">
        <v>356</v>
      </c>
      <c r="F708" s="185">
        <v>284</v>
      </c>
      <c r="G708" s="184" t="s">
        <v>1308</v>
      </c>
      <c r="H708" s="186">
        <v>1</v>
      </c>
      <c r="I708" s="185">
        <v>221</v>
      </c>
      <c r="J708" s="187">
        <v>2.0231481481481484</v>
      </c>
      <c r="K708" s="188">
        <v>447.11574074074076</v>
      </c>
      <c r="L708" s="189">
        <v>5.492</v>
      </c>
      <c r="M708" s="185">
        <v>214</v>
      </c>
      <c r="N708" s="189">
        <v>58.023000000000003</v>
      </c>
      <c r="O708" s="333">
        <v>46.331000000000003</v>
      </c>
      <c r="P708" s="333">
        <v>8.3059999999999992</v>
      </c>
      <c r="Q708" s="333">
        <v>6.6134846400000002</v>
      </c>
      <c r="R708" s="475">
        <f t="shared" si="11"/>
        <v>1.2559188464373601</v>
      </c>
      <c r="S708" s="340">
        <v>59</v>
      </c>
    </row>
    <row r="709" spans="2:19" ht="15" customHeight="1" x14ac:dyDescent="0.35">
      <c r="B709" s="181">
        <v>54095</v>
      </c>
      <c r="C709" s="182" t="s">
        <v>552</v>
      </c>
      <c r="D709" s="183">
        <v>16</v>
      </c>
      <c r="E709" s="185">
        <v>308</v>
      </c>
      <c r="F709" s="185">
        <v>195</v>
      </c>
      <c r="G709" s="184" t="s">
        <v>1308</v>
      </c>
      <c r="H709" s="186">
        <v>1</v>
      </c>
      <c r="I709" s="185">
        <v>419</v>
      </c>
      <c r="J709" s="187">
        <v>2.3716690042075736</v>
      </c>
      <c r="K709" s="188">
        <v>993.72931276297334</v>
      </c>
      <c r="L709" s="189">
        <v>8.0570000000000004</v>
      </c>
      <c r="M709" s="185">
        <v>476</v>
      </c>
      <c r="N709" s="189">
        <v>111.645</v>
      </c>
      <c r="O709" s="333">
        <v>70.620865546218482</v>
      </c>
      <c r="P709" s="333">
        <v>29.742325000000005</v>
      </c>
      <c r="Q709" s="333">
        <v>10.848733378</v>
      </c>
      <c r="R709" s="475">
        <f t="shared" si="11"/>
        <v>2.7415481571622049</v>
      </c>
      <c r="S709" s="340">
        <v>56.445945945945951</v>
      </c>
    </row>
    <row r="710" spans="2:19" ht="15" customHeight="1" x14ac:dyDescent="0.35">
      <c r="B710" s="181">
        <v>39035</v>
      </c>
      <c r="C710" s="182" t="s">
        <v>343</v>
      </c>
      <c r="D710" s="183">
        <v>17</v>
      </c>
      <c r="E710" s="185" t="s">
        <v>1124</v>
      </c>
      <c r="F710" s="185" t="s">
        <v>1124</v>
      </c>
      <c r="G710" s="184" t="s">
        <v>1124</v>
      </c>
      <c r="H710" s="186"/>
      <c r="I710" s="185"/>
      <c r="J710" s="187"/>
      <c r="K710" s="188"/>
      <c r="L710" s="189"/>
      <c r="M710" s="185" t="s">
        <v>1124</v>
      </c>
      <c r="N710" s="189"/>
      <c r="O710" s="333"/>
      <c r="P710" s="333" t="s">
        <v>1124</v>
      </c>
      <c r="Q710" s="333" t="s">
        <v>1124</v>
      </c>
      <c r="R710" s="475" t="str">
        <f t="shared" si="11"/>
        <v/>
      </c>
      <c r="S710" s="340" t="s">
        <v>1124</v>
      </c>
    </row>
    <row r="711" spans="2:19" ht="15" customHeight="1" x14ac:dyDescent="0.35">
      <c r="B711" s="181">
        <v>14025</v>
      </c>
      <c r="C711" s="182" t="s">
        <v>63</v>
      </c>
      <c r="D711" s="183">
        <v>1</v>
      </c>
      <c r="E711" s="185">
        <v>236</v>
      </c>
      <c r="F711" s="185">
        <v>194</v>
      </c>
      <c r="G711" s="184" t="s">
        <v>1308</v>
      </c>
      <c r="H711" s="186">
        <v>1</v>
      </c>
      <c r="I711" s="185">
        <v>239</v>
      </c>
      <c r="J711" s="187">
        <v>2.2043795620437958</v>
      </c>
      <c r="K711" s="188">
        <v>526.84671532846721</v>
      </c>
      <c r="L711" s="189">
        <v>6.8319999999999999</v>
      </c>
      <c r="M711" s="185">
        <v>240</v>
      </c>
      <c r="N711" s="189">
        <v>45.469000000000001</v>
      </c>
      <c r="O711" s="333">
        <v>37.286845238095232</v>
      </c>
      <c r="P711" s="333">
        <v>5.1333823979591848</v>
      </c>
      <c r="Q711" s="333">
        <v>4.3137501523199999</v>
      </c>
      <c r="R711" s="475">
        <f t="shared" ref="R711:R774" si="12">IF(H711="","",P711/Q711)</f>
        <v>1.19000457066304</v>
      </c>
      <c r="S711" s="340">
        <v>59.921568627450981</v>
      </c>
    </row>
    <row r="712" spans="2:19" ht="15" customHeight="1" x14ac:dyDescent="0.35">
      <c r="B712" s="181">
        <v>87070</v>
      </c>
      <c r="C712" s="182" t="s">
        <v>900</v>
      </c>
      <c r="D712" s="183">
        <v>8</v>
      </c>
      <c r="E712" s="185" t="s">
        <v>1124</v>
      </c>
      <c r="F712" s="185" t="s">
        <v>1124</v>
      </c>
      <c r="G712" s="184" t="s">
        <v>1124</v>
      </c>
      <c r="H712" s="186"/>
      <c r="I712" s="185"/>
      <c r="J712" s="187"/>
      <c r="K712" s="188"/>
      <c r="L712" s="189"/>
      <c r="M712" s="185" t="s">
        <v>1124</v>
      </c>
      <c r="N712" s="189"/>
      <c r="O712" s="333"/>
      <c r="P712" s="333" t="s">
        <v>1124</v>
      </c>
      <c r="Q712" s="333" t="s">
        <v>1124</v>
      </c>
      <c r="R712" s="475" t="str">
        <f t="shared" si="12"/>
        <v/>
      </c>
      <c r="S712" s="340" t="s">
        <v>1124</v>
      </c>
    </row>
    <row r="713" spans="2:19" ht="15" customHeight="1" x14ac:dyDescent="0.35">
      <c r="B713" s="181">
        <v>26040</v>
      </c>
      <c r="C713" s="182" t="s">
        <v>173</v>
      </c>
      <c r="D713" s="183">
        <v>12</v>
      </c>
      <c r="E713" s="185">
        <v>268</v>
      </c>
      <c r="F713" s="185">
        <v>197</v>
      </c>
      <c r="G713" s="184" t="s">
        <v>1326</v>
      </c>
      <c r="H713" s="186">
        <v>1</v>
      </c>
      <c r="I713" s="185">
        <v>340</v>
      </c>
      <c r="J713" s="187">
        <v>2.5836575875486383</v>
      </c>
      <c r="K713" s="188">
        <v>878.44357976653703</v>
      </c>
      <c r="L713" s="189">
        <v>6.984</v>
      </c>
      <c r="M713" s="185">
        <v>334</v>
      </c>
      <c r="N713" s="189">
        <v>86.004999999999995</v>
      </c>
      <c r="O713" s="333">
        <v>63.063600000000001</v>
      </c>
      <c r="P713" s="333">
        <v>13.560479999999995</v>
      </c>
      <c r="Q713" s="333">
        <v>6.7913739599999996</v>
      </c>
      <c r="R713" s="475">
        <f t="shared" si="12"/>
        <v>1.9967211465410153</v>
      </c>
      <c r="S713" s="340">
        <v>55.843137254901954</v>
      </c>
    </row>
    <row r="714" spans="2:19" ht="15" customHeight="1" x14ac:dyDescent="0.35">
      <c r="B714" s="181">
        <v>7040</v>
      </c>
      <c r="C714" s="182" t="s">
        <v>1074</v>
      </c>
      <c r="D714" s="183">
        <v>1</v>
      </c>
      <c r="E714" s="185">
        <v>306</v>
      </c>
      <c r="F714" s="185">
        <v>194</v>
      </c>
      <c r="G714" s="184" t="s">
        <v>1326</v>
      </c>
      <c r="H714" s="186">
        <v>2</v>
      </c>
      <c r="I714" s="185">
        <v>177</v>
      </c>
      <c r="J714" s="187">
        <v>1.84</v>
      </c>
      <c r="K714" s="188">
        <v>325.68</v>
      </c>
      <c r="L714" s="189">
        <v>5.0250000000000004</v>
      </c>
      <c r="M714" s="185">
        <v>185</v>
      </c>
      <c r="N714" s="189">
        <v>36.331000000000003</v>
      </c>
      <c r="O714" s="333">
        <v>23.0733885077187</v>
      </c>
      <c r="P714" s="333">
        <v>11.861035000000001</v>
      </c>
      <c r="Q714" s="333">
        <v>5.5075215000000011</v>
      </c>
      <c r="R714" s="475">
        <f t="shared" si="12"/>
        <v>2.1536066631787092</v>
      </c>
      <c r="S714" s="340">
        <v>58.378378378378386</v>
      </c>
    </row>
    <row r="715" spans="2:19" ht="15" customHeight="1" x14ac:dyDescent="0.35">
      <c r="B715" s="181">
        <v>9020</v>
      </c>
      <c r="C715" s="182" t="s">
        <v>1100</v>
      </c>
      <c r="D715" s="183">
        <v>1</v>
      </c>
      <c r="E715" s="185" t="s">
        <v>1124</v>
      </c>
      <c r="F715" s="185" t="s">
        <v>1124</v>
      </c>
      <c r="G715" s="184" t="s">
        <v>1124</v>
      </c>
      <c r="H715" s="186"/>
      <c r="I715" s="185"/>
      <c r="J715" s="187"/>
      <c r="K715" s="188"/>
      <c r="L715" s="189"/>
      <c r="M715" s="185" t="s">
        <v>1124</v>
      </c>
      <c r="N715" s="189"/>
      <c r="O715" s="333"/>
      <c r="P715" s="333" t="s">
        <v>1124</v>
      </c>
      <c r="Q715" s="333" t="s">
        <v>1124</v>
      </c>
      <c r="R715" s="475" t="str">
        <f t="shared" si="12"/>
        <v/>
      </c>
      <c r="S715" s="340" t="s">
        <v>1124</v>
      </c>
    </row>
    <row r="716" spans="2:19" ht="15" customHeight="1" x14ac:dyDescent="0.35">
      <c r="B716" s="181">
        <v>92015</v>
      </c>
      <c r="C716" s="182" t="s">
        <v>948</v>
      </c>
      <c r="D716" s="183">
        <v>2</v>
      </c>
      <c r="E716" s="185" t="s">
        <v>1124</v>
      </c>
      <c r="F716" s="185" t="s">
        <v>1124</v>
      </c>
      <c r="G716" s="184" t="s">
        <v>1124</v>
      </c>
      <c r="H716" s="186"/>
      <c r="I716" s="185"/>
      <c r="J716" s="187"/>
      <c r="K716" s="188"/>
      <c r="L716" s="189"/>
      <c r="M716" s="185" t="s">
        <v>1124</v>
      </c>
      <c r="N716" s="189"/>
      <c r="O716" s="333"/>
      <c r="P716" s="333" t="s">
        <v>1124</v>
      </c>
      <c r="Q716" s="333" t="s">
        <v>1124</v>
      </c>
      <c r="R716" s="475" t="str">
        <f t="shared" si="12"/>
        <v/>
      </c>
      <c r="S716" s="340" t="s">
        <v>1124</v>
      </c>
    </row>
    <row r="717" spans="2:19" ht="15" customHeight="1" x14ac:dyDescent="0.35">
      <c r="B717" s="181">
        <v>59010</v>
      </c>
      <c r="C717" s="182" t="s">
        <v>599</v>
      </c>
      <c r="D717" s="183">
        <v>16</v>
      </c>
      <c r="E717" s="185">
        <v>382</v>
      </c>
      <c r="F717" s="185">
        <v>250</v>
      </c>
      <c r="G717" s="184" t="s">
        <v>1308</v>
      </c>
      <c r="H717" s="186">
        <v>1</v>
      </c>
      <c r="I717" s="185">
        <v>11633</v>
      </c>
      <c r="J717" s="187">
        <v>2.570188257543196</v>
      </c>
      <c r="K717" s="188">
        <v>29899</v>
      </c>
      <c r="L717" s="189">
        <v>164.38</v>
      </c>
      <c r="M717" s="185">
        <v>12065</v>
      </c>
      <c r="N717" s="189">
        <v>4173.6589999999997</v>
      </c>
      <c r="O717" s="333">
        <v>2728.28</v>
      </c>
      <c r="P717" s="333">
        <v>579.4950874999995</v>
      </c>
      <c r="Q717" s="333">
        <v>284.80124917500001</v>
      </c>
      <c r="R717" s="475">
        <f t="shared" si="12"/>
        <v>2.0347350623589464</v>
      </c>
      <c r="S717" s="340">
        <v>70.5</v>
      </c>
    </row>
    <row r="718" spans="2:19" ht="15" customHeight="1" x14ac:dyDescent="0.35">
      <c r="B718" s="181">
        <v>63060</v>
      </c>
      <c r="C718" s="182" t="s">
        <v>642</v>
      </c>
      <c r="D718" s="183">
        <v>14</v>
      </c>
      <c r="E718" s="185" t="s">
        <v>1124</v>
      </c>
      <c r="F718" s="185" t="s">
        <v>1124</v>
      </c>
      <c r="G718" s="184" t="s">
        <v>1124</v>
      </c>
      <c r="H718" s="186"/>
      <c r="I718" s="185"/>
      <c r="J718" s="187"/>
      <c r="K718" s="188"/>
      <c r="L718" s="189"/>
      <c r="M718" s="185" t="s">
        <v>1124</v>
      </c>
      <c r="N718" s="189"/>
      <c r="O718" s="333"/>
      <c r="P718" s="333" t="s">
        <v>1124</v>
      </c>
      <c r="Q718" s="333" t="s">
        <v>1124</v>
      </c>
      <c r="R718" s="475" t="str">
        <f t="shared" si="12"/>
        <v/>
      </c>
      <c r="S718" s="340" t="s">
        <v>1124</v>
      </c>
    </row>
    <row r="719" spans="2:19" ht="15" customHeight="1" x14ac:dyDescent="0.35">
      <c r="B719" s="181">
        <v>28045</v>
      </c>
      <c r="C719" s="182" t="s">
        <v>195</v>
      </c>
      <c r="D719" s="183">
        <v>12</v>
      </c>
      <c r="E719" s="185">
        <v>330</v>
      </c>
      <c r="F719" s="185">
        <v>218</v>
      </c>
      <c r="G719" s="184" t="s">
        <v>1308</v>
      </c>
      <c r="H719" s="186">
        <v>1</v>
      </c>
      <c r="I719" s="185">
        <v>606</v>
      </c>
      <c r="J719" s="187">
        <v>2.4</v>
      </c>
      <c r="K719" s="188">
        <v>1454.3999999999999</v>
      </c>
      <c r="L719" s="189">
        <v>14.141999999999999</v>
      </c>
      <c r="M719" s="185">
        <v>541</v>
      </c>
      <c r="N719" s="189">
        <v>175.21</v>
      </c>
      <c r="O719" s="333">
        <v>115.839</v>
      </c>
      <c r="P719" s="333">
        <v>46.993850000000016</v>
      </c>
      <c r="Q719" s="333">
        <v>15.984713639999999</v>
      </c>
      <c r="R719" s="475">
        <f t="shared" si="12"/>
        <v>2.939924421442436</v>
      </c>
      <c r="S719" s="340">
        <v>55.229729729729726</v>
      </c>
    </row>
    <row r="720" spans="2:19" ht="15" customHeight="1" x14ac:dyDescent="0.35">
      <c r="B720" s="181">
        <v>71115</v>
      </c>
      <c r="C720" s="182" t="s">
        <v>723</v>
      </c>
      <c r="D720" s="183">
        <v>16</v>
      </c>
      <c r="E720" s="185" t="s">
        <v>1124</v>
      </c>
      <c r="F720" s="185" t="s">
        <v>1124</v>
      </c>
      <c r="G720" s="184" t="s">
        <v>1124</v>
      </c>
      <c r="H720" s="186"/>
      <c r="I720" s="185"/>
      <c r="J720" s="187"/>
      <c r="K720" s="188"/>
      <c r="L720" s="189"/>
      <c r="M720" s="185" t="s">
        <v>1124</v>
      </c>
      <c r="N720" s="189"/>
      <c r="O720" s="333"/>
      <c r="P720" s="333" t="s">
        <v>1124</v>
      </c>
      <c r="Q720" s="333" t="s">
        <v>1124</v>
      </c>
      <c r="R720" s="475" t="str">
        <f t="shared" si="12"/>
        <v/>
      </c>
      <c r="S720" s="340" t="s">
        <v>1124</v>
      </c>
    </row>
    <row r="721" spans="2:19" ht="15" customHeight="1" x14ac:dyDescent="0.35">
      <c r="B721" s="181">
        <v>51075</v>
      </c>
      <c r="C721" s="182" t="s">
        <v>511</v>
      </c>
      <c r="D721" s="183">
        <v>4</v>
      </c>
      <c r="E721" s="185" t="s">
        <v>1124</v>
      </c>
      <c r="F721" s="185" t="s">
        <v>1124</v>
      </c>
      <c r="G721" s="184" t="s">
        <v>1124</v>
      </c>
      <c r="H721" s="186"/>
      <c r="I721" s="185"/>
      <c r="J721" s="187"/>
      <c r="K721" s="188"/>
      <c r="L721" s="189"/>
      <c r="M721" s="185" t="s">
        <v>1124</v>
      </c>
      <c r="N721" s="189"/>
      <c r="O721" s="333"/>
      <c r="P721" s="333" t="s">
        <v>1124</v>
      </c>
      <c r="Q721" s="333" t="s">
        <v>1124</v>
      </c>
      <c r="R721" s="475" t="str">
        <f t="shared" si="12"/>
        <v/>
      </c>
      <c r="S721" s="340" t="s">
        <v>1124</v>
      </c>
    </row>
    <row r="722" spans="2:19" ht="15" customHeight="1" x14ac:dyDescent="0.35">
      <c r="B722" s="181">
        <v>11035</v>
      </c>
      <c r="C722" s="182" t="s">
        <v>23</v>
      </c>
      <c r="D722" s="183">
        <v>1</v>
      </c>
      <c r="E722" s="185" t="s">
        <v>1124</v>
      </c>
      <c r="F722" s="185" t="s">
        <v>1124</v>
      </c>
      <c r="G722" s="184" t="s">
        <v>1124</v>
      </c>
      <c r="H722" s="186"/>
      <c r="I722" s="185"/>
      <c r="J722" s="187"/>
      <c r="K722" s="188"/>
      <c r="L722" s="189"/>
      <c r="M722" s="185" t="s">
        <v>1124</v>
      </c>
      <c r="N722" s="189"/>
      <c r="O722" s="333"/>
      <c r="P722" s="333" t="s">
        <v>1124</v>
      </c>
      <c r="Q722" s="333" t="s">
        <v>1124</v>
      </c>
      <c r="R722" s="475" t="str">
        <f t="shared" si="12"/>
        <v/>
      </c>
      <c r="S722" s="340" t="s">
        <v>1124</v>
      </c>
    </row>
    <row r="723" spans="2:19" ht="15" customHeight="1" x14ac:dyDescent="0.35">
      <c r="B723" s="181">
        <v>17060</v>
      </c>
      <c r="C723" s="182" t="s">
        <v>100</v>
      </c>
      <c r="D723" s="183">
        <v>12</v>
      </c>
      <c r="E723" s="185">
        <v>422</v>
      </c>
      <c r="F723" s="185">
        <v>244</v>
      </c>
      <c r="G723" s="184" t="s">
        <v>1308</v>
      </c>
      <c r="H723" s="186">
        <v>1</v>
      </c>
      <c r="I723" s="185">
        <v>140</v>
      </c>
      <c r="J723" s="187">
        <v>2.0925373134328358</v>
      </c>
      <c r="K723" s="188">
        <v>292.95522388059703</v>
      </c>
      <c r="L723" s="189">
        <v>4.4340000000000002</v>
      </c>
      <c r="M723" s="185">
        <v>145</v>
      </c>
      <c r="N723" s="189">
        <v>45.177</v>
      </c>
      <c r="O723" s="333">
        <v>26.107586206896553</v>
      </c>
      <c r="P723" s="333">
        <v>17.459345000000003</v>
      </c>
      <c r="Q723" s="333">
        <v>2.6188038866850003</v>
      </c>
      <c r="R723" s="475">
        <f t="shared" si="12"/>
        <v>6.6669157964710468</v>
      </c>
      <c r="S723" s="340">
        <v>59.081081081081081</v>
      </c>
    </row>
    <row r="724" spans="2:19" ht="15" customHeight="1" x14ac:dyDescent="0.35">
      <c r="B724" s="181">
        <v>50095</v>
      </c>
      <c r="C724" s="182" t="s">
        <v>494</v>
      </c>
      <c r="D724" s="183">
        <v>17</v>
      </c>
      <c r="E724" s="185" t="s">
        <v>1124</v>
      </c>
      <c r="F724" s="185" t="s">
        <v>1124</v>
      </c>
      <c r="G724" s="184" t="s">
        <v>1124</v>
      </c>
      <c r="H724" s="186"/>
      <c r="I724" s="185"/>
      <c r="J724" s="187"/>
      <c r="K724" s="188"/>
      <c r="L724" s="189"/>
      <c r="M724" s="185" t="s">
        <v>1124</v>
      </c>
      <c r="N724" s="189"/>
      <c r="O724" s="333"/>
      <c r="P724" s="333" t="s">
        <v>1124</v>
      </c>
      <c r="Q724" s="333" t="s">
        <v>1124</v>
      </c>
      <c r="R724" s="475" t="str">
        <f t="shared" si="12"/>
        <v/>
      </c>
      <c r="S724" s="340" t="s">
        <v>1124</v>
      </c>
    </row>
    <row r="725" spans="2:19" ht="15" customHeight="1" x14ac:dyDescent="0.35">
      <c r="B725" s="181">
        <v>9092</v>
      </c>
      <c r="C725" s="182" t="s">
        <v>1112</v>
      </c>
      <c r="D725" s="183">
        <v>1</v>
      </c>
      <c r="E725" s="185">
        <v>306</v>
      </c>
      <c r="F725" s="185">
        <v>200</v>
      </c>
      <c r="G725" s="184" t="s">
        <v>1308</v>
      </c>
      <c r="H725" s="186">
        <v>2</v>
      </c>
      <c r="I725" s="185">
        <v>1483</v>
      </c>
      <c r="J725" s="187">
        <v>2.2550120288692863</v>
      </c>
      <c r="K725" s="188">
        <v>3344.1828388131516</v>
      </c>
      <c r="L725" s="189">
        <v>50.38</v>
      </c>
      <c r="M725" s="185">
        <v>1274</v>
      </c>
      <c r="N725" s="189">
        <v>373.90899999999999</v>
      </c>
      <c r="O725" s="333">
        <v>243.899</v>
      </c>
      <c r="P725" s="333">
        <v>64.453597295918343</v>
      </c>
      <c r="Q725" s="333">
        <v>57.116496115000004</v>
      </c>
      <c r="R725" s="475">
        <f t="shared" si="12"/>
        <v>1.1284585308970216</v>
      </c>
      <c r="S725" s="340">
        <v>56.098039215686271</v>
      </c>
    </row>
    <row r="726" spans="2:19" ht="15" customHeight="1" x14ac:dyDescent="0.35">
      <c r="B726" s="181">
        <v>18020</v>
      </c>
      <c r="C726" s="182" t="s">
        <v>107</v>
      </c>
      <c r="D726" s="183">
        <v>12</v>
      </c>
      <c r="E726" s="185" t="s">
        <v>1124</v>
      </c>
      <c r="F726" s="185" t="s">
        <v>1124</v>
      </c>
      <c r="G726" s="184" t="s">
        <v>1124</v>
      </c>
      <c r="H726" s="186"/>
      <c r="I726" s="185"/>
      <c r="J726" s="187"/>
      <c r="K726" s="188"/>
      <c r="L726" s="189"/>
      <c r="M726" s="185" t="s">
        <v>1124</v>
      </c>
      <c r="N726" s="189"/>
      <c r="O726" s="333"/>
      <c r="P726" s="333" t="s">
        <v>1124</v>
      </c>
      <c r="Q726" s="333" t="s">
        <v>1124</v>
      </c>
      <c r="R726" s="475" t="str">
        <f t="shared" si="12"/>
        <v/>
      </c>
      <c r="S726" s="340" t="s">
        <v>1124</v>
      </c>
    </row>
    <row r="727" spans="2:19" ht="15" customHeight="1" x14ac:dyDescent="0.35">
      <c r="B727" s="181">
        <v>78020</v>
      </c>
      <c r="C727" s="182" t="s">
        <v>769</v>
      </c>
      <c r="D727" s="183">
        <v>15</v>
      </c>
      <c r="E727" s="185">
        <v>431</v>
      </c>
      <c r="F727" s="185">
        <v>304</v>
      </c>
      <c r="G727" s="184" t="s">
        <v>1326</v>
      </c>
      <c r="H727" s="186">
        <v>2</v>
      </c>
      <c r="I727" s="185">
        <v>350</v>
      </c>
      <c r="J727" s="187">
        <v>1.834874504623514</v>
      </c>
      <c r="K727" s="188">
        <v>642.20607661822987</v>
      </c>
      <c r="L727" s="189">
        <v>12.859</v>
      </c>
      <c r="M727" s="185">
        <v>352</v>
      </c>
      <c r="N727" s="189">
        <v>101.098</v>
      </c>
      <c r="O727" s="333">
        <v>71.345595505617979</v>
      </c>
      <c r="P727" s="333">
        <v>27.770951999999994</v>
      </c>
      <c r="Q727" s="333">
        <v>9.8327014199999994</v>
      </c>
      <c r="R727" s="475">
        <f t="shared" si="12"/>
        <v>2.8243461093523163</v>
      </c>
      <c r="S727" s="340">
        <v>54.878378378378379</v>
      </c>
    </row>
    <row r="728" spans="2:19" ht="15" customHeight="1" x14ac:dyDescent="0.35">
      <c r="B728" s="181">
        <v>5050</v>
      </c>
      <c r="C728" s="182" t="s">
        <v>1051</v>
      </c>
      <c r="D728" s="183">
        <v>11</v>
      </c>
      <c r="E728" s="185">
        <v>234</v>
      </c>
      <c r="F728" s="185">
        <v>198</v>
      </c>
      <c r="G728" s="184" t="s">
        <v>1308</v>
      </c>
      <c r="H728" s="186">
        <v>1</v>
      </c>
      <c r="I728" s="185">
        <v>115</v>
      </c>
      <c r="J728" s="187">
        <v>2.5883575883575882</v>
      </c>
      <c r="K728" s="188">
        <v>297.66112266112265</v>
      </c>
      <c r="L728" s="189">
        <v>2.9329999999999998</v>
      </c>
      <c r="M728" s="185">
        <v>128</v>
      </c>
      <c r="N728" s="189">
        <v>25.420999999999999</v>
      </c>
      <c r="O728" s="333">
        <v>21.510390624999999</v>
      </c>
      <c r="P728" s="333">
        <v>1.0976849999999987</v>
      </c>
      <c r="Q728" s="333">
        <v>4.0995486000000003</v>
      </c>
      <c r="R728" s="475">
        <f t="shared" si="12"/>
        <v>0.26775752823127857</v>
      </c>
      <c r="S728" s="340">
        <v>58.72972972972974</v>
      </c>
    </row>
    <row r="729" spans="2:19" ht="15" customHeight="1" x14ac:dyDescent="0.35">
      <c r="B729" s="181">
        <v>26022</v>
      </c>
      <c r="C729" s="182" t="s">
        <v>170</v>
      </c>
      <c r="D729" s="183">
        <v>12</v>
      </c>
      <c r="E729" s="185">
        <v>275</v>
      </c>
      <c r="F729" s="185">
        <v>213</v>
      </c>
      <c r="G729" s="184" t="s">
        <v>1308</v>
      </c>
      <c r="H729" s="186">
        <v>1</v>
      </c>
      <c r="I729" s="185">
        <v>720</v>
      </c>
      <c r="J729" s="187">
        <v>2.2949999999999999</v>
      </c>
      <c r="K729" s="188">
        <v>1652.3999999999999</v>
      </c>
      <c r="L729" s="189">
        <v>15.224</v>
      </c>
      <c r="M729" s="185">
        <v>849</v>
      </c>
      <c r="N729" s="189">
        <v>165.75200000000001</v>
      </c>
      <c r="O729" s="333">
        <v>128.45599999999999</v>
      </c>
      <c r="P729" s="333">
        <v>20.359000000000002</v>
      </c>
      <c r="Q729" s="333">
        <v>20.994646462019997</v>
      </c>
      <c r="R729" s="475">
        <f t="shared" si="12"/>
        <v>0.96972340243166755</v>
      </c>
      <c r="S729" s="340">
        <v>59</v>
      </c>
    </row>
    <row r="730" spans="2:19" ht="15" customHeight="1" x14ac:dyDescent="0.35">
      <c r="B730" s="181">
        <v>13085</v>
      </c>
      <c r="C730" s="182" t="s">
        <v>56</v>
      </c>
      <c r="D730" s="183">
        <v>1</v>
      </c>
      <c r="E730" s="185" t="s">
        <v>1124</v>
      </c>
      <c r="F730" s="185" t="s">
        <v>1124</v>
      </c>
      <c r="G730" s="184" t="s">
        <v>1124</v>
      </c>
      <c r="H730" s="186"/>
      <c r="I730" s="185"/>
      <c r="J730" s="187"/>
      <c r="K730" s="188"/>
      <c r="L730" s="189"/>
      <c r="M730" s="185" t="s">
        <v>1124</v>
      </c>
      <c r="N730" s="189"/>
      <c r="O730" s="333"/>
      <c r="P730" s="333" t="s">
        <v>1124</v>
      </c>
      <c r="Q730" s="333" t="s">
        <v>1124</v>
      </c>
      <c r="R730" s="475" t="str">
        <f t="shared" si="12"/>
        <v/>
      </c>
      <c r="S730" s="340" t="s">
        <v>1124</v>
      </c>
    </row>
    <row r="731" spans="2:19" ht="15" customHeight="1" x14ac:dyDescent="0.35">
      <c r="B731" s="181">
        <v>54025</v>
      </c>
      <c r="C731" s="182" t="s">
        <v>544</v>
      </c>
      <c r="D731" s="183">
        <v>16</v>
      </c>
      <c r="E731" s="185" t="s">
        <v>1124</v>
      </c>
      <c r="F731" s="185" t="s">
        <v>1124</v>
      </c>
      <c r="G731" s="184" t="s">
        <v>1124</v>
      </c>
      <c r="H731" s="186"/>
      <c r="I731" s="185"/>
      <c r="J731" s="187"/>
      <c r="K731" s="188"/>
      <c r="L731" s="189"/>
      <c r="M731" s="185" t="s">
        <v>1124</v>
      </c>
      <c r="N731" s="189"/>
      <c r="O731" s="333"/>
      <c r="P731" s="333" t="s">
        <v>1124</v>
      </c>
      <c r="Q731" s="333" t="s">
        <v>1124</v>
      </c>
      <c r="R731" s="475" t="str">
        <f t="shared" si="12"/>
        <v/>
      </c>
      <c r="S731" s="340" t="s">
        <v>1124</v>
      </c>
    </row>
    <row r="732" spans="2:19" ht="15" customHeight="1" x14ac:dyDescent="0.35">
      <c r="B732" s="181">
        <v>4005</v>
      </c>
      <c r="C732" s="182" t="s">
        <v>1036</v>
      </c>
      <c r="D732" s="183">
        <v>11</v>
      </c>
      <c r="E732" s="185">
        <v>457</v>
      </c>
      <c r="F732" s="185">
        <v>227</v>
      </c>
      <c r="G732" s="184" t="s">
        <v>1308</v>
      </c>
      <c r="H732" s="186">
        <v>2</v>
      </c>
      <c r="I732" s="185">
        <v>274</v>
      </c>
      <c r="J732" s="187">
        <v>1.3169642857142856</v>
      </c>
      <c r="K732" s="188">
        <v>360.84821428571428</v>
      </c>
      <c r="L732" s="189">
        <v>13.661</v>
      </c>
      <c r="M732" s="185">
        <v>276</v>
      </c>
      <c r="N732" s="189">
        <v>60.204999999999998</v>
      </c>
      <c r="O732" s="333">
        <v>29.915999999999997</v>
      </c>
      <c r="P732" s="333">
        <v>25.604585255102041</v>
      </c>
      <c r="Q732" s="333">
        <v>13.925232383999997</v>
      </c>
      <c r="R732" s="475">
        <f t="shared" si="12"/>
        <v>1.8387187049403604</v>
      </c>
      <c r="S732" s="340">
        <v>58.948916408668737</v>
      </c>
    </row>
    <row r="733" spans="2:19" ht="15" customHeight="1" x14ac:dyDescent="0.35">
      <c r="B733" s="181">
        <v>62030</v>
      </c>
      <c r="C733" s="182" t="s">
        <v>623</v>
      </c>
      <c r="D733" s="183">
        <v>14</v>
      </c>
      <c r="E733" s="185" t="s">
        <v>1124</v>
      </c>
      <c r="F733" s="185" t="s">
        <v>1124</v>
      </c>
      <c r="G733" s="184" t="s">
        <v>1124</v>
      </c>
      <c r="H733" s="186"/>
      <c r="I733" s="185"/>
      <c r="J733" s="187"/>
      <c r="K733" s="188"/>
      <c r="L733" s="189"/>
      <c r="M733" s="185" t="s">
        <v>1124</v>
      </c>
      <c r="N733" s="189"/>
      <c r="O733" s="333"/>
      <c r="P733" s="333" t="s">
        <v>1124</v>
      </c>
      <c r="Q733" s="333" t="s">
        <v>1124</v>
      </c>
      <c r="R733" s="475" t="str">
        <f t="shared" si="12"/>
        <v/>
      </c>
      <c r="S733" s="340" t="s">
        <v>1124</v>
      </c>
    </row>
    <row r="734" spans="2:19" ht="15" customHeight="1" x14ac:dyDescent="0.35">
      <c r="B734" s="181">
        <v>26035</v>
      </c>
      <c r="C734" s="182" t="s">
        <v>172</v>
      </c>
      <c r="D734" s="183">
        <v>12</v>
      </c>
      <c r="E734" s="185">
        <v>186</v>
      </c>
      <c r="F734" s="185">
        <v>136</v>
      </c>
      <c r="G734" s="184" t="s">
        <v>1326</v>
      </c>
      <c r="H734" s="186">
        <v>1</v>
      </c>
      <c r="I734" s="185">
        <v>249</v>
      </c>
      <c r="J734" s="187">
        <v>2.3326488706365502</v>
      </c>
      <c r="K734" s="188">
        <v>580.82956878850098</v>
      </c>
      <c r="L734" s="189">
        <v>6.0350000000000001</v>
      </c>
      <c r="M734" s="185">
        <v>286</v>
      </c>
      <c r="N734" s="189">
        <v>39.369999999999997</v>
      </c>
      <c r="O734" s="333">
        <v>28.843</v>
      </c>
      <c r="P734" s="333">
        <v>5.6504499999999984</v>
      </c>
      <c r="Q734" s="333">
        <v>6.2688969000000005</v>
      </c>
      <c r="R734" s="475">
        <f t="shared" si="12"/>
        <v>0.90134677442214717</v>
      </c>
      <c r="S734" s="340">
        <v>58.72972972972974</v>
      </c>
    </row>
    <row r="735" spans="2:19" ht="15" customHeight="1" x14ac:dyDescent="0.35">
      <c r="B735" s="181">
        <v>77012</v>
      </c>
      <c r="C735" s="182" t="s">
        <v>757</v>
      </c>
      <c r="D735" s="183">
        <v>15</v>
      </c>
      <c r="E735" s="185">
        <v>539</v>
      </c>
      <c r="F735" s="185">
        <v>452</v>
      </c>
      <c r="G735" s="184" t="s">
        <v>1308</v>
      </c>
      <c r="H735" s="186">
        <v>1</v>
      </c>
      <c r="I735" s="185">
        <v>756</v>
      </c>
      <c r="J735" s="187">
        <v>1.4221799143265113</v>
      </c>
      <c r="K735" s="188">
        <v>1075.1680152308425</v>
      </c>
      <c r="L735" s="189">
        <v>24.602</v>
      </c>
      <c r="M735" s="185">
        <v>592</v>
      </c>
      <c r="N735" s="189">
        <v>211.54999999999998</v>
      </c>
      <c r="O735" s="333">
        <v>177.4864140526976</v>
      </c>
      <c r="P735" s="333">
        <v>21.264749999999992</v>
      </c>
      <c r="Q735" s="333">
        <v>19.3508935236</v>
      </c>
      <c r="R735" s="475">
        <f t="shared" si="12"/>
        <v>1.0989027444167314</v>
      </c>
      <c r="S735" s="340">
        <v>59.081081081081095</v>
      </c>
    </row>
    <row r="736" spans="2:19" ht="15" customHeight="1" x14ac:dyDescent="0.35">
      <c r="B736" s="181">
        <v>7005</v>
      </c>
      <c r="C736" s="182" t="s">
        <v>1068</v>
      </c>
      <c r="D736" s="183">
        <v>1</v>
      </c>
      <c r="E736" s="185" t="s">
        <v>1124</v>
      </c>
      <c r="F736" s="185" t="s">
        <v>1124</v>
      </c>
      <c r="G736" s="184" t="s">
        <v>1124</v>
      </c>
      <c r="H736" s="186"/>
      <c r="I736" s="185"/>
      <c r="J736" s="187"/>
      <c r="K736" s="188"/>
      <c r="L736" s="189"/>
      <c r="M736" s="185" t="s">
        <v>1124</v>
      </c>
      <c r="N736" s="189"/>
      <c r="O736" s="333"/>
      <c r="P736" s="333" t="s">
        <v>1124</v>
      </c>
      <c r="Q736" s="333" t="s">
        <v>1124</v>
      </c>
      <c r="R736" s="475" t="str">
        <f t="shared" si="12"/>
        <v/>
      </c>
      <c r="S736" s="340" t="s">
        <v>1124</v>
      </c>
    </row>
    <row r="737" spans="2:19" ht="15" customHeight="1" x14ac:dyDescent="0.35">
      <c r="B737" s="181">
        <v>26030</v>
      </c>
      <c r="C737" s="182" t="s">
        <v>171</v>
      </c>
      <c r="D737" s="183">
        <v>12</v>
      </c>
      <c r="E737" s="185">
        <v>429</v>
      </c>
      <c r="F737" s="185">
        <v>225</v>
      </c>
      <c r="G737" s="184" t="s">
        <v>1308</v>
      </c>
      <c r="H737" s="186">
        <v>1</v>
      </c>
      <c r="I737" s="185">
        <v>4472</v>
      </c>
      <c r="J737" s="187">
        <v>2.4500000000000002</v>
      </c>
      <c r="K737" s="188">
        <v>10956.400000000001</v>
      </c>
      <c r="L737" s="189">
        <v>80.625</v>
      </c>
      <c r="M737" s="185">
        <v>5060</v>
      </c>
      <c r="N737" s="189">
        <v>1714.17</v>
      </c>
      <c r="O737" s="333">
        <v>901.24</v>
      </c>
      <c r="P737" s="333">
        <v>436.5982876020409</v>
      </c>
      <c r="Q737" s="333">
        <v>110.236433125</v>
      </c>
      <c r="R737" s="475">
        <f t="shared" si="12"/>
        <v>3.9605625402172668</v>
      </c>
      <c r="S737" s="340">
        <v>59.666666666666664</v>
      </c>
    </row>
    <row r="738" spans="2:19" ht="15" customHeight="1" x14ac:dyDescent="0.35">
      <c r="B738" s="181">
        <v>38015</v>
      </c>
      <c r="C738" s="182" t="s">
        <v>327</v>
      </c>
      <c r="D738" s="183">
        <v>17</v>
      </c>
      <c r="E738" s="185">
        <v>334</v>
      </c>
      <c r="F738" s="185">
        <v>275</v>
      </c>
      <c r="G738" s="184" t="s">
        <v>1326</v>
      </c>
      <c r="H738" s="186">
        <v>2</v>
      </c>
      <c r="I738" s="185">
        <v>204</v>
      </c>
      <c r="J738" s="187">
        <v>2.0580357142857144</v>
      </c>
      <c r="K738" s="188">
        <v>419.83928571428572</v>
      </c>
      <c r="L738" s="189">
        <v>7.8049999999999997</v>
      </c>
      <c r="M738" s="185">
        <v>215</v>
      </c>
      <c r="N738" s="189">
        <v>51.216700000000003</v>
      </c>
      <c r="O738" s="333">
        <v>42.072900000000004</v>
      </c>
      <c r="P738" s="333">
        <v>6.4555145000000014</v>
      </c>
      <c r="Q738" s="333">
        <v>4.9074040490000002</v>
      </c>
      <c r="R738" s="475">
        <f t="shared" si="12"/>
        <v>1.3154642323196244</v>
      </c>
      <c r="S738" s="340">
        <v>50.86486486486487</v>
      </c>
    </row>
    <row r="739" spans="2:19" ht="15" customHeight="1" x14ac:dyDescent="0.35">
      <c r="B739" s="181">
        <v>54030</v>
      </c>
      <c r="C739" s="182" t="s">
        <v>545</v>
      </c>
      <c r="D739" s="183">
        <v>16</v>
      </c>
      <c r="E739" s="185">
        <v>244</v>
      </c>
      <c r="F739" s="185">
        <v>198</v>
      </c>
      <c r="G739" s="184" t="s">
        <v>1308</v>
      </c>
      <c r="H739" s="186">
        <v>3</v>
      </c>
      <c r="I739" s="185">
        <v>1083</v>
      </c>
      <c r="J739" s="187">
        <v>3.0960743801652888</v>
      </c>
      <c r="K739" s="188">
        <v>3353.0485537190079</v>
      </c>
      <c r="L739" s="189">
        <v>44.766999999999996</v>
      </c>
      <c r="M739" s="185">
        <v>1083</v>
      </c>
      <c r="N739" s="189">
        <v>298.571461</v>
      </c>
      <c r="O739" s="333">
        <v>242.36342865249998</v>
      </c>
      <c r="P739" s="333">
        <v>52.475889085000013</v>
      </c>
      <c r="Q739" s="333">
        <v>35.458947000000002</v>
      </c>
      <c r="R739" s="475">
        <f t="shared" si="12"/>
        <v>1.4799054547502499</v>
      </c>
      <c r="S739" s="340">
        <v>49.648648648648653</v>
      </c>
    </row>
    <row r="740" spans="2:19" ht="15" customHeight="1" x14ac:dyDescent="0.35">
      <c r="B740" s="181">
        <v>63005</v>
      </c>
      <c r="C740" s="182" t="s">
        <v>634</v>
      </c>
      <c r="D740" s="183">
        <v>14</v>
      </c>
      <c r="E740" s="185" t="s">
        <v>1124</v>
      </c>
      <c r="F740" s="185" t="s">
        <v>1124</v>
      </c>
      <c r="G740" s="184" t="s">
        <v>1124</v>
      </c>
      <c r="H740" s="186"/>
      <c r="I740" s="185"/>
      <c r="J740" s="187"/>
      <c r="K740" s="188"/>
      <c r="L740" s="189"/>
      <c r="M740" s="185" t="s">
        <v>1124</v>
      </c>
      <c r="N740" s="189"/>
      <c r="O740" s="333"/>
      <c r="P740" s="333" t="s">
        <v>1124</v>
      </c>
      <c r="Q740" s="333" t="s">
        <v>1124</v>
      </c>
      <c r="R740" s="475" t="str">
        <f t="shared" si="12"/>
        <v/>
      </c>
      <c r="S740" s="340" t="s">
        <v>1124</v>
      </c>
    </row>
    <row r="741" spans="2:19" ht="15" customHeight="1" x14ac:dyDescent="0.35">
      <c r="B741" s="181">
        <v>71110</v>
      </c>
      <c r="C741" s="182" t="s">
        <v>722</v>
      </c>
      <c r="D741" s="183">
        <v>16</v>
      </c>
      <c r="E741" s="185" t="s">
        <v>1124</v>
      </c>
      <c r="F741" s="185" t="s">
        <v>1124</v>
      </c>
      <c r="G741" s="184" t="s">
        <v>1124</v>
      </c>
      <c r="H741" s="186"/>
      <c r="I741" s="185"/>
      <c r="J741" s="187"/>
      <c r="K741" s="188"/>
      <c r="L741" s="189"/>
      <c r="M741" s="185" t="s">
        <v>1124</v>
      </c>
      <c r="N741" s="189"/>
      <c r="O741" s="333"/>
      <c r="P741" s="333" t="s">
        <v>1124</v>
      </c>
      <c r="Q741" s="333" t="s">
        <v>1124</v>
      </c>
      <c r="R741" s="475" t="str">
        <f t="shared" si="12"/>
        <v/>
      </c>
      <c r="S741" s="340" t="s">
        <v>1124</v>
      </c>
    </row>
    <row r="742" spans="2:19" ht="15" customHeight="1" x14ac:dyDescent="0.35">
      <c r="B742" s="181">
        <v>72015</v>
      </c>
      <c r="C742" s="182" t="s">
        <v>729</v>
      </c>
      <c r="D742" s="183">
        <v>15</v>
      </c>
      <c r="E742" s="185">
        <v>246</v>
      </c>
      <c r="F742" s="185">
        <v>169</v>
      </c>
      <c r="G742" s="184" t="s">
        <v>1308</v>
      </c>
      <c r="H742" s="186">
        <v>1</v>
      </c>
      <c r="I742" s="185">
        <v>7468</v>
      </c>
      <c r="J742" s="187">
        <v>2.7252871933059142</v>
      </c>
      <c r="K742" s="188">
        <v>20352.444759608567</v>
      </c>
      <c r="L742" s="189">
        <v>97.84</v>
      </c>
      <c r="M742" s="185">
        <v>7562</v>
      </c>
      <c r="N742" s="189">
        <v>1829.5892143051165</v>
      </c>
      <c r="O742" s="333">
        <v>1257.19527625619</v>
      </c>
      <c r="P742" s="333">
        <v>472.16750400000035</v>
      </c>
      <c r="Q742" s="333">
        <v>137.12715660000003</v>
      </c>
      <c r="R742" s="475">
        <f t="shared" si="12"/>
        <v>3.4432822477119767</v>
      </c>
      <c r="S742" s="340">
        <v>63</v>
      </c>
    </row>
    <row r="743" spans="2:19" ht="15" customHeight="1" x14ac:dyDescent="0.35">
      <c r="B743" s="181">
        <v>70012</v>
      </c>
      <c r="C743" s="182" t="s">
        <v>698</v>
      </c>
      <c r="D743" s="183">
        <v>16</v>
      </c>
      <c r="E743" s="185" t="s">
        <v>1124</v>
      </c>
      <c r="F743" s="185" t="s">
        <v>1124</v>
      </c>
      <c r="G743" s="184" t="s">
        <v>1124</v>
      </c>
      <c r="H743" s="186"/>
      <c r="I743" s="185"/>
      <c r="J743" s="187"/>
      <c r="K743" s="188"/>
      <c r="L743" s="189"/>
      <c r="M743" s="185" t="s">
        <v>1124</v>
      </c>
      <c r="N743" s="189"/>
      <c r="O743" s="333"/>
      <c r="P743" s="333" t="s">
        <v>1124</v>
      </c>
      <c r="Q743" s="333" t="s">
        <v>1124</v>
      </c>
      <c r="R743" s="475" t="str">
        <f t="shared" si="12"/>
        <v/>
      </c>
      <c r="S743" s="340" t="s">
        <v>1124</v>
      </c>
    </row>
    <row r="744" spans="2:19" ht="15" customHeight="1" x14ac:dyDescent="0.35">
      <c r="B744" s="181">
        <v>61050</v>
      </c>
      <c r="C744" s="182" t="s">
        <v>618</v>
      </c>
      <c r="D744" s="183">
        <v>14</v>
      </c>
      <c r="E744" s="185" t="s">
        <v>1124</v>
      </c>
      <c r="F744" s="185" t="s">
        <v>1124</v>
      </c>
      <c r="G744" s="184" t="s">
        <v>1124</v>
      </c>
      <c r="H744" s="186"/>
      <c r="I744" s="185"/>
      <c r="J744" s="187"/>
      <c r="K744" s="188"/>
      <c r="L744" s="189"/>
      <c r="M744" s="185" t="s">
        <v>1124</v>
      </c>
      <c r="N744" s="189"/>
      <c r="O744" s="333"/>
      <c r="P744" s="333" t="s">
        <v>1124</v>
      </c>
      <c r="Q744" s="333" t="s">
        <v>1124</v>
      </c>
      <c r="R744" s="475" t="str">
        <f t="shared" si="12"/>
        <v/>
      </c>
      <c r="S744" s="340" t="s">
        <v>1124</v>
      </c>
    </row>
    <row r="745" spans="2:19" ht="15" customHeight="1" x14ac:dyDescent="0.35">
      <c r="B745" s="181">
        <v>80125</v>
      </c>
      <c r="C745" s="182" t="s">
        <v>822</v>
      </c>
      <c r="D745" s="183">
        <v>7</v>
      </c>
      <c r="E745" s="185" t="s">
        <v>1124</v>
      </c>
      <c r="F745" s="185" t="s">
        <v>1124</v>
      </c>
      <c r="G745" s="184" t="s">
        <v>1124</v>
      </c>
      <c r="H745" s="186"/>
      <c r="I745" s="185"/>
      <c r="J745" s="187"/>
      <c r="K745" s="188"/>
      <c r="L745" s="189"/>
      <c r="M745" s="185" t="s">
        <v>1124</v>
      </c>
      <c r="N745" s="189"/>
      <c r="O745" s="333"/>
      <c r="P745" s="333" t="s">
        <v>1124</v>
      </c>
      <c r="Q745" s="333" t="s">
        <v>1124</v>
      </c>
      <c r="R745" s="475" t="str">
        <f t="shared" si="12"/>
        <v/>
      </c>
      <c r="S745" s="340" t="s">
        <v>1124</v>
      </c>
    </row>
    <row r="746" spans="2:19" ht="15" customHeight="1" x14ac:dyDescent="0.35">
      <c r="B746" s="181">
        <v>93075</v>
      </c>
      <c r="C746" s="182" t="s">
        <v>970</v>
      </c>
      <c r="D746" s="183">
        <v>2</v>
      </c>
      <c r="E746" s="185">
        <v>324</v>
      </c>
      <c r="F746" s="185">
        <v>261</v>
      </c>
      <c r="G746" s="184" t="s">
        <v>1326</v>
      </c>
      <c r="H746" s="186">
        <v>1</v>
      </c>
      <c r="I746" s="185">
        <v>425</v>
      </c>
      <c r="J746" s="187">
        <v>2.2553191489361701</v>
      </c>
      <c r="K746" s="188">
        <v>958.51063829787233</v>
      </c>
      <c r="L746" s="189">
        <v>28.216999999999999</v>
      </c>
      <c r="M746" s="185">
        <v>405</v>
      </c>
      <c r="N746" s="189">
        <v>113.18</v>
      </c>
      <c r="O746" s="333">
        <v>91.340999999999994</v>
      </c>
      <c r="P746" s="333">
        <v>16.702300000000008</v>
      </c>
      <c r="Q746" s="333">
        <v>12.995216909999998</v>
      </c>
      <c r="R746" s="475">
        <f t="shared" si="12"/>
        <v>1.2852651953156209</v>
      </c>
      <c r="S746" s="340">
        <v>58.72972972972974</v>
      </c>
    </row>
    <row r="747" spans="2:19" ht="15" customHeight="1" x14ac:dyDescent="0.35">
      <c r="B747" s="181">
        <v>50057</v>
      </c>
      <c r="C747" s="182" t="s">
        <v>489</v>
      </c>
      <c r="D747" s="183">
        <v>17</v>
      </c>
      <c r="E747" s="185" t="s">
        <v>1124</v>
      </c>
      <c r="F747" s="185" t="s">
        <v>1124</v>
      </c>
      <c r="G747" s="184" t="s">
        <v>1124</v>
      </c>
      <c r="H747" s="186"/>
      <c r="I747" s="185"/>
      <c r="J747" s="187"/>
      <c r="K747" s="188"/>
      <c r="L747" s="189"/>
      <c r="M747" s="185" t="s">
        <v>1124</v>
      </c>
      <c r="N747" s="189"/>
      <c r="O747" s="333"/>
      <c r="P747" s="333" t="s">
        <v>1124</v>
      </c>
      <c r="Q747" s="333" t="s">
        <v>1124</v>
      </c>
      <c r="R747" s="475" t="str">
        <f t="shared" si="12"/>
        <v/>
      </c>
      <c r="S747" s="340" t="s">
        <v>1124</v>
      </c>
    </row>
    <row r="748" spans="2:19" ht="15" customHeight="1" x14ac:dyDescent="0.35">
      <c r="B748" s="181">
        <v>8040</v>
      </c>
      <c r="C748" s="182" t="s">
        <v>1092</v>
      </c>
      <c r="D748" s="183">
        <v>1</v>
      </c>
      <c r="E748" s="185" t="s">
        <v>1124</v>
      </c>
      <c r="F748" s="185" t="s">
        <v>1124</v>
      </c>
      <c r="G748" s="184" t="s">
        <v>1124</v>
      </c>
      <c r="H748" s="186"/>
      <c r="I748" s="185"/>
      <c r="J748" s="187"/>
      <c r="K748" s="188"/>
      <c r="L748" s="189"/>
      <c r="M748" s="185" t="s">
        <v>1124</v>
      </c>
      <c r="N748" s="189"/>
      <c r="O748" s="333"/>
      <c r="P748" s="333" t="s">
        <v>1124</v>
      </c>
      <c r="Q748" s="333" t="s">
        <v>1124</v>
      </c>
      <c r="R748" s="475" t="str">
        <f t="shared" si="12"/>
        <v/>
      </c>
      <c r="S748" s="340" t="s">
        <v>1124</v>
      </c>
    </row>
    <row r="749" spans="2:19" ht="15" customHeight="1" x14ac:dyDescent="0.35">
      <c r="B749" s="181">
        <v>17030</v>
      </c>
      <c r="C749" s="182" t="s">
        <v>95</v>
      </c>
      <c r="D749" s="183">
        <v>12</v>
      </c>
      <c r="E749" s="185">
        <v>344</v>
      </c>
      <c r="F749" s="185">
        <v>310</v>
      </c>
      <c r="G749" s="184" t="s">
        <v>1308</v>
      </c>
      <c r="H749" s="186">
        <v>1</v>
      </c>
      <c r="I749" s="185">
        <v>620</v>
      </c>
      <c r="J749" s="187">
        <v>2.0249687890137329</v>
      </c>
      <c r="K749" s="188">
        <v>1255.4806491885145</v>
      </c>
      <c r="L749" s="189">
        <v>15.547000000000001</v>
      </c>
      <c r="M749" s="185">
        <v>597</v>
      </c>
      <c r="N749" s="189">
        <v>157.71</v>
      </c>
      <c r="O749" s="333">
        <v>142.1359568</v>
      </c>
      <c r="P749" s="333">
        <v>6.7893500000000069</v>
      </c>
      <c r="Q749" s="333">
        <v>10.306935408000001</v>
      </c>
      <c r="R749" s="475">
        <f t="shared" si="12"/>
        <v>0.65871665351955855</v>
      </c>
      <c r="S749" s="340">
        <v>51.729729729729726</v>
      </c>
    </row>
    <row r="750" spans="2:19" ht="15" customHeight="1" x14ac:dyDescent="0.35">
      <c r="B750" s="181">
        <v>50050</v>
      </c>
      <c r="C750" s="182" t="s">
        <v>488</v>
      </c>
      <c r="D750" s="183">
        <v>17</v>
      </c>
      <c r="E750" s="185">
        <v>353</v>
      </c>
      <c r="F750" s="185">
        <v>159</v>
      </c>
      <c r="G750" s="184" t="s">
        <v>1308</v>
      </c>
      <c r="H750" s="186">
        <v>1</v>
      </c>
      <c r="I750" s="185">
        <v>234</v>
      </c>
      <c r="J750" s="187">
        <v>2.2999999999999998</v>
      </c>
      <c r="K750" s="188">
        <v>538.19999999999993</v>
      </c>
      <c r="L750" s="189">
        <v>7.4720000000000004</v>
      </c>
      <c r="M750" s="185">
        <v>234</v>
      </c>
      <c r="N750" s="189">
        <v>69.313999999999993</v>
      </c>
      <c r="O750" s="333">
        <v>31.26886</v>
      </c>
      <c r="P750" s="333">
        <v>14.818438909183673</v>
      </c>
      <c r="Q750" s="333">
        <v>4.3757461440000016</v>
      </c>
      <c r="R750" s="475">
        <f t="shared" si="12"/>
        <v>3.3864941935680233</v>
      </c>
      <c r="S750" s="340">
        <v>64.057161199258545</v>
      </c>
    </row>
    <row r="751" spans="2:19" ht="15" customHeight="1" x14ac:dyDescent="0.35">
      <c r="B751" s="181">
        <v>20030</v>
      </c>
      <c r="C751" s="182" t="s">
        <v>143</v>
      </c>
      <c r="D751" s="183">
        <v>3</v>
      </c>
      <c r="E751" s="185" t="s">
        <v>1124</v>
      </c>
      <c r="F751" s="185" t="s">
        <v>1124</v>
      </c>
      <c r="G751" s="184" t="s">
        <v>1124</v>
      </c>
      <c r="H751" s="186"/>
      <c r="I751" s="185"/>
      <c r="J751" s="187"/>
      <c r="K751" s="188"/>
      <c r="L751" s="189"/>
      <c r="M751" s="185" t="s">
        <v>1124</v>
      </c>
      <c r="N751" s="189"/>
      <c r="O751" s="333"/>
      <c r="P751" s="333" t="s">
        <v>1124</v>
      </c>
      <c r="Q751" s="333" t="s">
        <v>1124</v>
      </c>
      <c r="R751" s="475" t="str">
        <f t="shared" si="12"/>
        <v/>
      </c>
      <c r="S751" s="340" t="s">
        <v>1124</v>
      </c>
    </row>
    <row r="752" spans="2:19" ht="15" customHeight="1" x14ac:dyDescent="0.35">
      <c r="B752" s="181">
        <v>29112</v>
      </c>
      <c r="C752" s="182" t="s">
        <v>214</v>
      </c>
      <c r="D752" s="183">
        <v>12</v>
      </c>
      <c r="E752" s="185">
        <v>259</v>
      </c>
      <c r="F752" s="185">
        <v>171</v>
      </c>
      <c r="G752" s="184" t="s">
        <v>1308</v>
      </c>
      <c r="H752" s="186">
        <v>1</v>
      </c>
      <c r="I752" s="185">
        <v>739</v>
      </c>
      <c r="J752" s="187">
        <v>2.44</v>
      </c>
      <c r="K752" s="188">
        <v>1803.1599999999999</v>
      </c>
      <c r="L752" s="189">
        <v>19.363</v>
      </c>
      <c r="M752" s="185">
        <v>606</v>
      </c>
      <c r="N752" s="189">
        <v>170.24600000000001</v>
      </c>
      <c r="O752" s="333">
        <v>112.259</v>
      </c>
      <c r="P752" s="333">
        <v>16.982561377551043</v>
      </c>
      <c r="Q752" s="333">
        <v>10.626380415000002</v>
      </c>
      <c r="R752" s="475">
        <f t="shared" si="12"/>
        <v>1.5981510838421307</v>
      </c>
      <c r="S752" s="340">
        <v>55</v>
      </c>
    </row>
    <row r="753" spans="2:19" ht="15" customHeight="1" x14ac:dyDescent="0.35">
      <c r="B753" s="181">
        <v>12030</v>
      </c>
      <c r="C753" s="182" t="s">
        <v>33</v>
      </c>
      <c r="D753" s="183">
        <v>1</v>
      </c>
      <c r="E753" s="185">
        <v>198</v>
      </c>
      <c r="F753" s="185">
        <v>163</v>
      </c>
      <c r="G753" s="184" t="s">
        <v>1308</v>
      </c>
      <c r="H753" s="186">
        <v>1</v>
      </c>
      <c r="I753" s="185">
        <v>264</v>
      </c>
      <c r="J753" s="187">
        <v>2.026829268292683</v>
      </c>
      <c r="K753" s="188">
        <v>535.08292682926833</v>
      </c>
      <c r="L753" s="189">
        <v>5.0570000000000004</v>
      </c>
      <c r="M753" s="185">
        <v>250</v>
      </c>
      <c r="N753" s="189">
        <v>38.729999999999997</v>
      </c>
      <c r="O753" s="333">
        <v>31.878</v>
      </c>
      <c r="P753" s="333">
        <v>2.4925331958762871</v>
      </c>
      <c r="Q753" s="333">
        <v>6.0210031350000008</v>
      </c>
      <c r="R753" s="475">
        <f t="shared" si="12"/>
        <v>0.41397307724143656</v>
      </c>
      <c r="S753" s="340">
        <v>71.392156862745111</v>
      </c>
    </row>
    <row r="754" spans="2:19" ht="15" customHeight="1" x14ac:dyDescent="0.35">
      <c r="B754" s="181">
        <v>31050</v>
      </c>
      <c r="C754" s="182" t="s">
        <v>245</v>
      </c>
      <c r="D754" s="183">
        <v>12</v>
      </c>
      <c r="E754" s="185" t="s">
        <v>1124</v>
      </c>
      <c r="F754" s="185" t="s">
        <v>1124</v>
      </c>
      <c r="G754" s="184" t="s">
        <v>1124</v>
      </c>
      <c r="H754" s="186"/>
      <c r="I754" s="185"/>
      <c r="J754" s="187"/>
      <c r="K754" s="188"/>
      <c r="L754" s="189"/>
      <c r="M754" s="185" t="s">
        <v>1124</v>
      </c>
      <c r="N754" s="189"/>
      <c r="O754" s="333"/>
      <c r="P754" s="333" t="s">
        <v>1124</v>
      </c>
      <c r="Q754" s="333" t="s">
        <v>1124</v>
      </c>
      <c r="R754" s="475" t="str">
        <f t="shared" si="12"/>
        <v/>
      </c>
      <c r="S754" s="340" t="s">
        <v>1124</v>
      </c>
    </row>
    <row r="755" spans="2:19" ht="15" customHeight="1" x14ac:dyDescent="0.35">
      <c r="B755" s="181">
        <v>11015</v>
      </c>
      <c r="C755" s="182" t="s">
        <v>19</v>
      </c>
      <c r="D755" s="183">
        <v>1</v>
      </c>
      <c r="E755" s="185" t="s">
        <v>1124</v>
      </c>
      <c r="F755" s="185" t="s">
        <v>1124</v>
      </c>
      <c r="G755" s="184" t="s">
        <v>1124</v>
      </c>
      <c r="H755" s="186"/>
      <c r="I755" s="185"/>
      <c r="J755" s="187"/>
      <c r="K755" s="188"/>
      <c r="L755" s="189"/>
      <c r="M755" s="185" t="s">
        <v>1124</v>
      </c>
      <c r="N755" s="189"/>
      <c r="O755" s="333"/>
      <c r="P755" s="333" t="s">
        <v>1124</v>
      </c>
      <c r="Q755" s="333" t="s">
        <v>1124</v>
      </c>
      <c r="R755" s="475" t="str">
        <f t="shared" si="12"/>
        <v/>
      </c>
      <c r="S755" s="340" t="s">
        <v>1124</v>
      </c>
    </row>
    <row r="756" spans="2:19" ht="15" customHeight="1" x14ac:dyDescent="0.35">
      <c r="B756" s="181">
        <v>28030</v>
      </c>
      <c r="C756" s="182" t="s">
        <v>192</v>
      </c>
      <c r="D756" s="183">
        <v>12</v>
      </c>
      <c r="E756" s="185" t="s">
        <v>1124</v>
      </c>
      <c r="F756" s="185" t="s">
        <v>1124</v>
      </c>
      <c r="G756" s="184" t="s">
        <v>1124</v>
      </c>
      <c r="H756" s="186"/>
      <c r="I756" s="185"/>
      <c r="J756" s="187"/>
      <c r="K756" s="188"/>
      <c r="L756" s="189"/>
      <c r="M756" s="185" t="s">
        <v>1124</v>
      </c>
      <c r="N756" s="189"/>
      <c r="O756" s="333"/>
      <c r="P756" s="333" t="s">
        <v>1124</v>
      </c>
      <c r="Q756" s="333" t="s">
        <v>1124</v>
      </c>
      <c r="R756" s="475" t="str">
        <f t="shared" si="12"/>
        <v/>
      </c>
      <c r="S756" s="340" t="s">
        <v>1124</v>
      </c>
    </row>
    <row r="757" spans="2:19" ht="15" customHeight="1" x14ac:dyDescent="0.35">
      <c r="B757" s="181">
        <v>94230</v>
      </c>
      <c r="C757" s="182" t="s">
        <v>978</v>
      </c>
      <c r="D757" s="183">
        <v>2</v>
      </c>
      <c r="E757" s="185">
        <v>505</v>
      </c>
      <c r="F757" s="185">
        <v>372</v>
      </c>
      <c r="G757" s="184" t="s">
        <v>1326</v>
      </c>
      <c r="H757" s="186">
        <v>1</v>
      </c>
      <c r="I757" s="185">
        <v>132</v>
      </c>
      <c r="J757" s="187">
        <v>1.8487394957983194</v>
      </c>
      <c r="K757" s="188">
        <v>244.03361344537817</v>
      </c>
      <c r="L757" s="189">
        <v>6.1470000000000002</v>
      </c>
      <c r="M757" s="185">
        <v>129</v>
      </c>
      <c r="N757" s="189">
        <v>44.947000000000003</v>
      </c>
      <c r="O757" s="333">
        <v>33.134</v>
      </c>
      <c r="P757" s="333">
        <v>5.6167950000000006</v>
      </c>
      <c r="Q757" s="333">
        <v>4.6709020800000003</v>
      </c>
      <c r="R757" s="475">
        <f t="shared" si="12"/>
        <v>1.2025075464652002</v>
      </c>
      <c r="S757" s="340">
        <v>62.037688833515027</v>
      </c>
    </row>
    <row r="758" spans="2:19" ht="15" customHeight="1" x14ac:dyDescent="0.35">
      <c r="B758" s="181">
        <v>28065</v>
      </c>
      <c r="C758" s="182" t="s">
        <v>198</v>
      </c>
      <c r="D758" s="183">
        <v>12</v>
      </c>
      <c r="E758" s="185">
        <v>315</v>
      </c>
      <c r="F758" s="185">
        <v>233</v>
      </c>
      <c r="G758" s="184" t="s">
        <v>1308</v>
      </c>
      <c r="H758" s="186">
        <v>1</v>
      </c>
      <c r="I758" s="185">
        <v>124</v>
      </c>
      <c r="J758" s="187">
        <v>1.45</v>
      </c>
      <c r="K758" s="188">
        <v>179.79999999999998</v>
      </c>
      <c r="L758" s="189">
        <v>3.5430000000000001</v>
      </c>
      <c r="M758" s="185">
        <v>140</v>
      </c>
      <c r="N758" s="189">
        <v>20.68</v>
      </c>
      <c r="O758" s="333">
        <v>15.315</v>
      </c>
      <c r="P758" s="333">
        <v>2.522799999999997</v>
      </c>
      <c r="Q758" s="333">
        <v>3.2465519220000001</v>
      </c>
      <c r="R758" s="475">
        <f t="shared" si="12"/>
        <v>0.77707058461145939</v>
      </c>
      <c r="S758" s="340">
        <v>38.081081081081081</v>
      </c>
    </row>
    <row r="759" spans="2:19" ht="15" customHeight="1" x14ac:dyDescent="0.35">
      <c r="B759" s="181">
        <v>46105</v>
      </c>
      <c r="C759" s="182" t="s">
        <v>446</v>
      </c>
      <c r="D759" s="183">
        <v>5</v>
      </c>
      <c r="E759" s="185" t="s">
        <v>1124</v>
      </c>
      <c r="F759" s="185" t="s">
        <v>1124</v>
      </c>
      <c r="G759" s="184" t="s">
        <v>1124</v>
      </c>
      <c r="H759" s="186"/>
      <c r="I759" s="185"/>
      <c r="J759" s="187"/>
      <c r="K759" s="188"/>
      <c r="L759" s="189"/>
      <c r="M759" s="185" t="s">
        <v>1124</v>
      </c>
      <c r="N759" s="189"/>
      <c r="O759" s="333"/>
      <c r="P759" s="333" t="s">
        <v>1124</v>
      </c>
      <c r="Q759" s="333" t="s">
        <v>1124</v>
      </c>
      <c r="R759" s="475" t="str">
        <f t="shared" si="12"/>
        <v/>
      </c>
      <c r="S759" s="340" t="s">
        <v>1124</v>
      </c>
    </row>
    <row r="760" spans="2:19" ht="15" customHeight="1" x14ac:dyDescent="0.35">
      <c r="B760" s="181">
        <v>39105</v>
      </c>
      <c r="C760" s="182" t="s">
        <v>351</v>
      </c>
      <c r="D760" s="183">
        <v>17</v>
      </c>
      <c r="E760" s="185" t="s">
        <v>1124</v>
      </c>
      <c r="F760" s="185" t="s">
        <v>1124</v>
      </c>
      <c r="G760" s="184" t="s">
        <v>1124</v>
      </c>
      <c r="H760" s="186"/>
      <c r="I760" s="185"/>
      <c r="J760" s="187"/>
      <c r="K760" s="188"/>
      <c r="L760" s="189"/>
      <c r="M760" s="185" t="s">
        <v>1124</v>
      </c>
      <c r="N760" s="189"/>
      <c r="O760" s="333"/>
      <c r="P760" s="333" t="s">
        <v>1124</v>
      </c>
      <c r="Q760" s="333" t="s">
        <v>1124</v>
      </c>
      <c r="R760" s="475" t="str">
        <f t="shared" si="12"/>
        <v/>
      </c>
      <c r="S760" s="340" t="s">
        <v>1124</v>
      </c>
    </row>
    <row r="761" spans="2:19" ht="15" customHeight="1" x14ac:dyDescent="0.35">
      <c r="B761" s="181">
        <v>75028</v>
      </c>
      <c r="C761" s="182" t="s">
        <v>744</v>
      </c>
      <c r="D761" s="183">
        <v>15</v>
      </c>
      <c r="E761" s="185">
        <v>335</v>
      </c>
      <c r="F761" s="185">
        <v>209</v>
      </c>
      <c r="G761" s="184" t="s">
        <v>1326</v>
      </c>
      <c r="H761" s="186">
        <v>2</v>
      </c>
      <c r="I761" s="185">
        <v>945</v>
      </c>
      <c r="J761" s="187">
        <v>2.5032132715588102</v>
      </c>
      <c r="K761" s="188">
        <v>2365.5365416230757</v>
      </c>
      <c r="L761" s="189">
        <v>14.4</v>
      </c>
      <c r="M761" s="185">
        <v>696</v>
      </c>
      <c r="N761" s="189">
        <v>289.24199999999996</v>
      </c>
      <c r="O761" s="333">
        <v>180.20043923240937</v>
      </c>
      <c r="P761" s="333">
        <v>79.076145357142849</v>
      </c>
      <c r="Q761" s="333">
        <v>14.651756151375</v>
      </c>
      <c r="R761" s="475">
        <f t="shared" si="12"/>
        <v>5.3970421388511793</v>
      </c>
      <c r="S761" s="340">
        <v>57.413884472708006</v>
      </c>
    </row>
    <row r="762" spans="2:19" ht="15" customHeight="1" x14ac:dyDescent="0.35">
      <c r="B762" s="181">
        <v>38040</v>
      </c>
      <c r="C762" s="182" t="s">
        <v>331</v>
      </c>
      <c r="D762" s="183">
        <v>17</v>
      </c>
      <c r="E762" s="185" t="s">
        <v>1124</v>
      </c>
      <c r="F762" s="185" t="s">
        <v>1124</v>
      </c>
      <c r="G762" s="184" t="s">
        <v>1124</v>
      </c>
      <c r="H762" s="186"/>
      <c r="I762" s="185"/>
      <c r="J762" s="187"/>
      <c r="K762" s="188"/>
      <c r="L762" s="189"/>
      <c r="M762" s="185" t="s">
        <v>1124</v>
      </c>
      <c r="N762" s="189"/>
      <c r="O762" s="333"/>
      <c r="P762" s="333" t="s">
        <v>1124</v>
      </c>
      <c r="Q762" s="333" t="s">
        <v>1124</v>
      </c>
      <c r="R762" s="475" t="str">
        <f t="shared" si="12"/>
        <v/>
      </c>
      <c r="S762" s="340" t="s">
        <v>1124</v>
      </c>
    </row>
    <row r="763" spans="2:19" ht="15" customHeight="1" x14ac:dyDescent="0.35">
      <c r="B763" s="181">
        <v>32023</v>
      </c>
      <c r="C763" s="182" t="s">
        <v>257</v>
      </c>
      <c r="D763" s="183">
        <v>17</v>
      </c>
      <c r="E763" s="185" t="s">
        <v>1124</v>
      </c>
      <c r="F763" s="185" t="s">
        <v>1124</v>
      </c>
      <c r="G763" s="184" t="s">
        <v>1124</v>
      </c>
      <c r="H763" s="186"/>
      <c r="I763" s="185"/>
      <c r="J763" s="187"/>
      <c r="K763" s="188"/>
      <c r="L763" s="189"/>
      <c r="M763" s="185" t="s">
        <v>1124</v>
      </c>
      <c r="N763" s="189"/>
      <c r="O763" s="333"/>
      <c r="P763" s="333" t="s">
        <v>1124</v>
      </c>
      <c r="Q763" s="333" t="s">
        <v>1124</v>
      </c>
      <c r="R763" s="475" t="str">
        <f t="shared" si="12"/>
        <v/>
      </c>
      <c r="S763" s="340" t="s">
        <v>1124</v>
      </c>
    </row>
    <row r="764" spans="2:19" ht="15" customHeight="1" x14ac:dyDescent="0.35">
      <c r="B764" s="181">
        <v>63030</v>
      </c>
      <c r="C764" s="182" t="s">
        <v>637</v>
      </c>
      <c r="D764" s="183">
        <v>14</v>
      </c>
      <c r="E764" s="185">
        <v>360</v>
      </c>
      <c r="F764" s="185">
        <v>132</v>
      </c>
      <c r="G764" s="184" t="s">
        <v>1326</v>
      </c>
      <c r="H764" s="186">
        <v>1</v>
      </c>
      <c r="I764" s="185">
        <v>618</v>
      </c>
      <c r="J764" s="187">
        <v>2.3543123543123543</v>
      </c>
      <c r="K764" s="188">
        <v>1454.9650349650349</v>
      </c>
      <c r="L764" s="189">
        <v>14.59</v>
      </c>
      <c r="M764" s="185">
        <v>490</v>
      </c>
      <c r="N764" s="189">
        <v>191.267</v>
      </c>
      <c r="O764" s="333">
        <v>70.174999999999997</v>
      </c>
      <c r="P764" s="333">
        <v>51.572929591836697</v>
      </c>
      <c r="Q764" s="333">
        <v>13.984430785000002</v>
      </c>
      <c r="R764" s="475">
        <f t="shared" si="12"/>
        <v>3.6878819298927001</v>
      </c>
      <c r="S764" s="340">
        <v>67.322222222222194</v>
      </c>
    </row>
    <row r="765" spans="2:19" ht="15" customHeight="1" x14ac:dyDescent="0.35">
      <c r="B765" s="181">
        <v>35050</v>
      </c>
      <c r="C765" s="182" t="s">
        <v>311</v>
      </c>
      <c r="D765" s="183">
        <v>4</v>
      </c>
      <c r="E765" s="185">
        <v>308</v>
      </c>
      <c r="F765" s="185">
        <v>207</v>
      </c>
      <c r="G765" s="184" t="s">
        <v>1308</v>
      </c>
      <c r="H765" s="186">
        <v>1</v>
      </c>
      <c r="I765" s="185">
        <v>968</v>
      </c>
      <c r="J765" s="187">
        <v>1.9836467702371219</v>
      </c>
      <c r="K765" s="188">
        <v>1920.170073589534</v>
      </c>
      <c r="L765" s="189">
        <v>29.41</v>
      </c>
      <c r="M765" s="185">
        <v>913</v>
      </c>
      <c r="N765" s="189">
        <v>215.58790999999999</v>
      </c>
      <c r="O765" s="333">
        <v>145.19349712092131</v>
      </c>
      <c r="P765" s="333">
        <v>51.656000000000013</v>
      </c>
      <c r="Q765" s="333">
        <v>22.542305143800004</v>
      </c>
      <c r="R765" s="475">
        <f t="shared" si="12"/>
        <v>2.2915136526846007</v>
      </c>
      <c r="S765" s="340">
        <v>59</v>
      </c>
    </row>
    <row r="766" spans="2:19" ht="15" customHeight="1" x14ac:dyDescent="0.35">
      <c r="B766" s="181">
        <v>73010</v>
      </c>
      <c r="C766" s="182" t="s">
        <v>735</v>
      </c>
      <c r="D766" s="183">
        <v>15</v>
      </c>
      <c r="E766" s="185">
        <v>733</v>
      </c>
      <c r="F766" s="185">
        <v>577</v>
      </c>
      <c r="G766" s="184" t="s">
        <v>1308</v>
      </c>
      <c r="H766" s="186">
        <v>1</v>
      </c>
      <c r="I766" s="185">
        <v>13859</v>
      </c>
      <c r="J766" s="187">
        <v>1.9413107511045657</v>
      </c>
      <c r="K766" s="188">
        <v>26904.625699558175</v>
      </c>
      <c r="L766" s="189">
        <v>120.488</v>
      </c>
      <c r="M766" s="185">
        <v>5934</v>
      </c>
      <c r="N766" s="189">
        <v>7201.5800000000017</v>
      </c>
      <c r="O766" s="333">
        <v>5666.1969926131751</v>
      </c>
      <c r="P766" s="333">
        <v>525.70751585999994</v>
      </c>
      <c r="Q766" s="333">
        <v>149.30502784200002</v>
      </c>
      <c r="R766" s="475">
        <f t="shared" si="12"/>
        <v>3.5210302255616113</v>
      </c>
      <c r="S766" s="340">
        <v>67</v>
      </c>
    </row>
    <row r="767" spans="2:19" ht="15" customHeight="1" x14ac:dyDescent="0.35">
      <c r="B767" s="181">
        <v>2010</v>
      </c>
      <c r="C767" s="182" t="s">
        <v>1027</v>
      </c>
      <c r="D767" s="183">
        <v>11</v>
      </c>
      <c r="E767" s="185">
        <v>1243</v>
      </c>
      <c r="F767" s="185">
        <v>255</v>
      </c>
      <c r="G767" s="184" t="s">
        <v>1308</v>
      </c>
      <c r="H767" s="186">
        <v>1</v>
      </c>
      <c r="I767" s="185">
        <v>273</v>
      </c>
      <c r="J767" s="187">
        <v>2.1440677966101696</v>
      </c>
      <c r="K767" s="188">
        <v>585.33050847457628</v>
      </c>
      <c r="L767" s="189">
        <v>7.3250000000000002</v>
      </c>
      <c r="M767" s="185">
        <v>234</v>
      </c>
      <c r="N767" s="189">
        <v>265.47000000000003</v>
      </c>
      <c r="O767" s="333">
        <v>54.457772727272733</v>
      </c>
      <c r="P767" s="333">
        <v>99.146966938775535</v>
      </c>
      <c r="Q767" s="333">
        <v>4.8232012500000003</v>
      </c>
      <c r="R767" s="475">
        <f t="shared" si="12"/>
        <v>20.556257514399906</v>
      </c>
      <c r="S767" s="340">
        <v>35.098039215686278</v>
      </c>
    </row>
    <row r="768" spans="2:19" ht="15" customHeight="1" x14ac:dyDescent="0.35">
      <c r="B768" s="181">
        <v>83055</v>
      </c>
      <c r="C768" s="182" t="s">
        <v>843</v>
      </c>
      <c r="D768" s="183">
        <v>7</v>
      </c>
      <c r="E768" s="185" t="s">
        <v>1124</v>
      </c>
      <c r="F768" s="185" t="s">
        <v>1124</v>
      </c>
      <c r="G768" s="184" t="s">
        <v>1124</v>
      </c>
      <c r="H768" s="186"/>
      <c r="I768" s="185"/>
      <c r="J768" s="187"/>
      <c r="K768" s="188"/>
      <c r="L768" s="189"/>
      <c r="M768" s="185" t="s">
        <v>1124</v>
      </c>
      <c r="N768" s="189"/>
      <c r="O768" s="333"/>
      <c r="P768" s="333" t="s">
        <v>1124</v>
      </c>
      <c r="Q768" s="333" t="s">
        <v>1124</v>
      </c>
      <c r="R768" s="475" t="str">
        <f t="shared" si="12"/>
        <v/>
      </c>
      <c r="S768" s="340" t="s">
        <v>1124</v>
      </c>
    </row>
    <row r="769" spans="2:19" ht="15" customHeight="1" x14ac:dyDescent="0.35">
      <c r="B769" s="181">
        <v>70030</v>
      </c>
      <c r="C769" s="182" t="s">
        <v>700</v>
      </c>
      <c r="D769" s="183">
        <v>16</v>
      </c>
      <c r="E769" s="185" t="s">
        <v>1124</v>
      </c>
      <c r="F769" s="185" t="s">
        <v>1124</v>
      </c>
      <c r="G769" s="184" t="s">
        <v>1124</v>
      </c>
      <c r="H769" s="186"/>
      <c r="I769" s="185"/>
      <c r="J769" s="187"/>
      <c r="K769" s="188"/>
      <c r="L769" s="189"/>
      <c r="M769" s="185" t="s">
        <v>1124</v>
      </c>
      <c r="N769" s="189"/>
      <c r="O769" s="333"/>
      <c r="P769" s="333" t="s">
        <v>1124</v>
      </c>
      <c r="Q769" s="333" t="s">
        <v>1124</v>
      </c>
      <c r="R769" s="475" t="str">
        <f t="shared" si="12"/>
        <v/>
      </c>
      <c r="S769" s="340" t="s">
        <v>1124</v>
      </c>
    </row>
    <row r="770" spans="2:19" ht="15" customHeight="1" x14ac:dyDescent="0.35">
      <c r="B770" s="181">
        <v>45100</v>
      </c>
      <c r="C770" s="182" t="s">
        <v>424</v>
      </c>
      <c r="D770" s="183">
        <v>5</v>
      </c>
      <c r="E770" s="185" t="s">
        <v>1124</v>
      </c>
      <c r="F770" s="185" t="s">
        <v>1124</v>
      </c>
      <c r="G770" s="184" t="s">
        <v>1124</v>
      </c>
      <c r="H770" s="186"/>
      <c r="I770" s="185"/>
      <c r="J770" s="187"/>
      <c r="K770" s="188"/>
      <c r="L770" s="189"/>
      <c r="M770" s="185" t="s">
        <v>1124</v>
      </c>
      <c r="N770" s="189"/>
      <c r="O770" s="333"/>
      <c r="P770" s="333" t="s">
        <v>1124</v>
      </c>
      <c r="Q770" s="333" t="s">
        <v>1124</v>
      </c>
      <c r="R770" s="475" t="str">
        <f t="shared" si="12"/>
        <v/>
      </c>
      <c r="S770" s="340" t="s">
        <v>1124</v>
      </c>
    </row>
    <row r="771" spans="2:19" ht="15" customHeight="1" x14ac:dyDescent="0.35">
      <c r="B771" s="181">
        <v>51090</v>
      </c>
      <c r="C771" s="182" t="s">
        <v>514</v>
      </c>
      <c r="D771" s="183">
        <v>4</v>
      </c>
      <c r="E771" s="185">
        <v>254</v>
      </c>
      <c r="F771" s="185">
        <v>225</v>
      </c>
      <c r="G771" s="184" t="s">
        <v>1326</v>
      </c>
      <c r="H771" s="186">
        <v>1</v>
      </c>
      <c r="I771" s="185">
        <v>1187</v>
      </c>
      <c r="J771" s="187">
        <v>2.4786096256684491</v>
      </c>
      <c r="K771" s="188">
        <v>2942.1096256684491</v>
      </c>
      <c r="L771" s="189">
        <v>30.6</v>
      </c>
      <c r="M771" s="185">
        <v>1142</v>
      </c>
      <c r="N771" s="189">
        <v>273.19791500000002</v>
      </c>
      <c r="O771" s="333">
        <v>241.12864448051948</v>
      </c>
      <c r="P771" s="333">
        <v>18.829946275000005</v>
      </c>
      <c r="Q771" s="333">
        <v>25.202998880000003</v>
      </c>
      <c r="R771" s="475">
        <f t="shared" si="12"/>
        <v>0.74713117929559669</v>
      </c>
      <c r="S771" s="340">
        <v>44.905405405405403</v>
      </c>
    </row>
    <row r="772" spans="2:19" ht="15" customHeight="1" x14ac:dyDescent="0.35">
      <c r="B772" s="181">
        <v>49105</v>
      </c>
      <c r="C772" s="182" t="s">
        <v>478</v>
      </c>
      <c r="D772" s="183">
        <v>17</v>
      </c>
      <c r="E772" s="185" t="s">
        <v>1124</v>
      </c>
      <c r="F772" s="185" t="s">
        <v>1124</v>
      </c>
      <c r="G772" s="184" t="s">
        <v>1124</v>
      </c>
      <c r="H772" s="186"/>
      <c r="I772" s="185"/>
      <c r="J772" s="187"/>
      <c r="K772" s="188"/>
      <c r="L772" s="189"/>
      <c r="M772" s="185" t="s">
        <v>1124</v>
      </c>
      <c r="N772" s="189"/>
      <c r="O772" s="333"/>
      <c r="P772" s="333" t="s">
        <v>1124</v>
      </c>
      <c r="Q772" s="333" t="s">
        <v>1124</v>
      </c>
      <c r="R772" s="475" t="str">
        <f t="shared" si="12"/>
        <v/>
      </c>
      <c r="S772" s="340" t="s">
        <v>1124</v>
      </c>
    </row>
    <row r="773" spans="2:19" ht="15" customHeight="1" x14ac:dyDescent="0.35">
      <c r="B773" s="181">
        <v>92065</v>
      </c>
      <c r="C773" s="182" t="s">
        <v>956</v>
      </c>
      <c r="D773" s="183">
        <v>2</v>
      </c>
      <c r="E773" s="185">
        <v>334</v>
      </c>
      <c r="F773" s="185">
        <v>246</v>
      </c>
      <c r="G773" s="184" t="s">
        <v>1308</v>
      </c>
      <c r="H773" s="186">
        <v>1</v>
      </c>
      <c r="I773" s="185">
        <v>186</v>
      </c>
      <c r="J773" s="187">
        <v>2.2999999999999998</v>
      </c>
      <c r="K773" s="188">
        <v>427.79999999999995</v>
      </c>
      <c r="L773" s="189">
        <v>10.727</v>
      </c>
      <c r="M773" s="185">
        <v>187</v>
      </c>
      <c r="N773" s="189">
        <v>52.226999999999997</v>
      </c>
      <c r="O773" s="333">
        <v>38.338000000000001</v>
      </c>
      <c r="P773" s="333">
        <v>12.074595</v>
      </c>
      <c r="Q773" s="333">
        <v>7.6973894692800009</v>
      </c>
      <c r="R773" s="475">
        <f t="shared" si="12"/>
        <v>1.5686610438758837</v>
      </c>
      <c r="S773" s="340">
        <v>45.432432432432435</v>
      </c>
    </row>
    <row r="774" spans="2:19" ht="15" customHeight="1" x14ac:dyDescent="0.35">
      <c r="B774" s="181">
        <v>85085</v>
      </c>
      <c r="C774" s="182" t="s">
        <v>884</v>
      </c>
      <c r="D774" s="183">
        <v>8</v>
      </c>
      <c r="E774" s="185">
        <v>384</v>
      </c>
      <c r="F774" s="185">
        <v>304</v>
      </c>
      <c r="G774" s="184" t="s">
        <v>1308</v>
      </c>
      <c r="H774" s="186">
        <v>1</v>
      </c>
      <c r="I774" s="185">
        <v>69</v>
      </c>
      <c r="J774" s="187">
        <v>2.5</v>
      </c>
      <c r="K774" s="188">
        <v>172.5</v>
      </c>
      <c r="L774" s="189">
        <v>4.87</v>
      </c>
      <c r="M774" s="185">
        <v>76</v>
      </c>
      <c r="N774" s="189">
        <v>24.175999999999998</v>
      </c>
      <c r="O774" s="333">
        <v>19.123000000000001</v>
      </c>
      <c r="P774" s="333">
        <v>1.9183599999999996</v>
      </c>
      <c r="Q774" s="333">
        <v>2.2318027200000001</v>
      </c>
      <c r="R774" s="475">
        <f t="shared" si="12"/>
        <v>0.85955626042072375</v>
      </c>
      <c r="S774" s="340">
        <v>58.378378378378386</v>
      </c>
    </row>
    <row r="775" spans="2:19" ht="15" customHeight="1" x14ac:dyDescent="0.35">
      <c r="B775" s="181">
        <v>10075</v>
      </c>
      <c r="C775" s="182" t="s">
        <v>16</v>
      </c>
      <c r="D775" s="183">
        <v>1</v>
      </c>
      <c r="E775" s="185" t="s">
        <v>1124</v>
      </c>
      <c r="F775" s="185" t="s">
        <v>1124</v>
      </c>
      <c r="G775" s="184" t="s">
        <v>1124</v>
      </c>
      <c r="H775" s="186"/>
      <c r="I775" s="185"/>
      <c r="J775" s="187"/>
      <c r="K775" s="188"/>
      <c r="L775" s="189"/>
      <c r="M775" s="185" t="s">
        <v>1124</v>
      </c>
      <c r="N775" s="189"/>
      <c r="O775" s="333"/>
      <c r="P775" s="333" t="s">
        <v>1124</v>
      </c>
      <c r="Q775" s="333" t="s">
        <v>1124</v>
      </c>
      <c r="R775" s="475" t="str">
        <f t="shared" ref="R775:R838" si="13">IF(H775="","",P775/Q775)</f>
        <v/>
      </c>
      <c r="S775" s="340" t="s">
        <v>1124</v>
      </c>
    </row>
    <row r="776" spans="2:19" ht="15" customHeight="1" x14ac:dyDescent="0.35">
      <c r="B776" s="181">
        <v>51040</v>
      </c>
      <c r="C776" s="182" t="s">
        <v>504</v>
      </c>
      <c r="D776" s="183">
        <v>4</v>
      </c>
      <c r="E776" s="185">
        <v>569</v>
      </c>
      <c r="F776" s="185">
        <v>431</v>
      </c>
      <c r="G776" s="184" t="s">
        <v>1308</v>
      </c>
      <c r="H776" s="186">
        <v>2</v>
      </c>
      <c r="I776" s="185">
        <v>542</v>
      </c>
      <c r="J776" s="187">
        <v>2.0887850467289719</v>
      </c>
      <c r="K776" s="188">
        <v>1132.1214953271028</v>
      </c>
      <c r="L776" s="189">
        <v>21.975999999999999</v>
      </c>
      <c r="M776" s="185">
        <v>558</v>
      </c>
      <c r="N776" s="189">
        <v>235.053815198</v>
      </c>
      <c r="O776" s="333">
        <v>178.22507964761147</v>
      </c>
      <c r="P776" s="333">
        <v>30.632700999999997</v>
      </c>
      <c r="Q776" s="333">
        <v>18.612004372000001</v>
      </c>
      <c r="R776" s="475">
        <f t="shared" si="13"/>
        <v>1.6458571783963256</v>
      </c>
      <c r="S776" s="340">
        <v>60.5</v>
      </c>
    </row>
    <row r="777" spans="2:19" ht="15" customHeight="1" x14ac:dyDescent="0.35">
      <c r="B777" s="181">
        <v>13030</v>
      </c>
      <c r="C777" s="182" t="s">
        <v>46</v>
      </c>
      <c r="D777" s="183">
        <v>1</v>
      </c>
      <c r="E777" s="185" t="s">
        <v>1124</v>
      </c>
      <c r="F777" s="185" t="s">
        <v>1124</v>
      </c>
      <c r="G777" s="184" t="s">
        <v>1124</v>
      </c>
      <c r="H777" s="186"/>
      <c r="I777" s="185"/>
      <c r="J777" s="187"/>
      <c r="K777" s="188"/>
      <c r="L777" s="189"/>
      <c r="M777" s="185" t="s">
        <v>1124</v>
      </c>
      <c r="N777" s="189"/>
      <c r="O777" s="333"/>
      <c r="P777" s="333" t="s">
        <v>1124</v>
      </c>
      <c r="Q777" s="333" t="s">
        <v>1124</v>
      </c>
      <c r="R777" s="475" t="str">
        <f t="shared" si="13"/>
        <v/>
      </c>
      <c r="S777" s="340" t="s">
        <v>1124</v>
      </c>
    </row>
    <row r="778" spans="2:19" ht="15" customHeight="1" x14ac:dyDescent="0.35">
      <c r="B778" s="181">
        <v>72005</v>
      </c>
      <c r="C778" s="182" t="s">
        <v>727</v>
      </c>
      <c r="D778" s="183">
        <v>15</v>
      </c>
      <c r="E778" s="185">
        <v>486</v>
      </c>
      <c r="F778" s="185">
        <v>288</v>
      </c>
      <c r="G778" s="184" t="s">
        <v>1308</v>
      </c>
      <c r="H778" s="186">
        <v>1</v>
      </c>
      <c r="I778" s="185">
        <v>18334</v>
      </c>
      <c r="J778" s="187">
        <v>2.3199999999999998</v>
      </c>
      <c r="K778" s="188">
        <v>42534.879999999997</v>
      </c>
      <c r="L778" s="189">
        <v>204.14099999999999</v>
      </c>
      <c r="M778" s="185">
        <v>18334</v>
      </c>
      <c r="N778" s="189">
        <v>7550.7694090000005</v>
      </c>
      <c r="O778" s="333">
        <v>4472.2432500000004</v>
      </c>
      <c r="P778" s="333">
        <v>1400.8029397043658</v>
      </c>
      <c r="Q778" s="333">
        <v>382.90152428000005</v>
      </c>
      <c r="R778" s="475">
        <f t="shared" si="13"/>
        <v>3.6583895620118154</v>
      </c>
      <c r="S778" s="340">
        <v>59.666666666666664</v>
      </c>
    </row>
    <row r="779" spans="2:19" ht="15" customHeight="1" x14ac:dyDescent="0.35">
      <c r="B779" s="181">
        <v>29025</v>
      </c>
      <c r="C779" s="182" t="s">
        <v>204</v>
      </c>
      <c r="D779" s="183">
        <v>12</v>
      </c>
      <c r="E779" s="185" t="s">
        <v>1124</v>
      </c>
      <c r="F779" s="185" t="s">
        <v>1124</v>
      </c>
      <c r="G779" s="184" t="s">
        <v>1124</v>
      </c>
      <c r="H779" s="186"/>
      <c r="I779" s="185"/>
      <c r="J779" s="187"/>
      <c r="K779" s="188"/>
      <c r="L779" s="189"/>
      <c r="M779" s="185" t="s">
        <v>1124</v>
      </c>
      <c r="N779" s="189"/>
      <c r="O779" s="333"/>
      <c r="P779" s="333" t="s">
        <v>1124</v>
      </c>
      <c r="Q779" s="333" t="s">
        <v>1124</v>
      </c>
      <c r="R779" s="475" t="str">
        <f t="shared" si="13"/>
        <v/>
      </c>
      <c r="S779" s="340" t="s">
        <v>1124</v>
      </c>
    </row>
    <row r="780" spans="2:19" ht="15" customHeight="1" x14ac:dyDescent="0.35">
      <c r="B780" s="181">
        <v>53025</v>
      </c>
      <c r="C780" s="182" t="s">
        <v>534</v>
      </c>
      <c r="D780" s="183">
        <v>16</v>
      </c>
      <c r="E780" s="185" t="s">
        <v>1124</v>
      </c>
      <c r="F780" s="185" t="s">
        <v>1124</v>
      </c>
      <c r="G780" s="184" t="s">
        <v>1124</v>
      </c>
      <c r="H780" s="186"/>
      <c r="I780" s="185"/>
      <c r="J780" s="187"/>
      <c r="K780" s="188"/>
      <c r="L780" s="189"/>
      <c r="M780" s="185" t="s">
        <v>1124</v>
      </c>
      <c r="N780" s="189"/>
      <c r="O780" s="333"/>
      <c r="P780" s="333" t="s">
        <v>1124</v>
      </c>
      <c r="Q780" s="333" t="s">
        <v>1124</v>
      </c>
      <c r="R780" s="475" t="str">
        <f t="shared" si="13"/>
        <v/>
      </c>
      <c r="S780" s="340" t="s">
        <v>1124</v>
      </c>
    </row>
    <row r="781" spans="2:19" ht="15" customHeight="1" x14ac:dyDescent="0.35">
      <c r="B781" s="181">
        <v>10070</v>
      </c>
      <c r="C781" s="182" t="s">
        <v>15</v>
      </c>
      <c r="D781" s="183">
        <v>1</v>
      </c>
      <c r="E781" s="185">
        <v>662</v>
      </c>
      <c r="F781" s="185">
        <v>423</v>
      </c>
      <c r="G781" s="184" t="s">
        <v>1326</v>
      </c>
      <c r="H781" s="186">
        <v>1</v>
      </c>
      <c r="I781" s="185">
        <v>563</v>
      </c>
      <c r="J781" s="187">
        <v>2.17</v>
      </c>
      <c r="K781" s="188">
        <v>1221.71</v>
      </c>
      <c r="L781" s="189">
        <v>11.926</v>
      </c>
      <c r="M781" s="185">
        <v>560</v>
      </c>
      <c r="N781" s="189">
        <v>295.34800000000001</v>
      </c>
      <c r="O781" s="333">
        <v>188.4485082236842</v>
      </c>
      <c r="P781" s="333">
        <v>87.406780000000026</v>
      </c>
      <c r="Q781" s="333">
        <v>15.834213920000002</v>
      </c>
      <c r="R781" s="475">
        <f t="shared" si="13"/>
        <v>5.5201212034654645</v>
      </c>
      <c r="S781" s="340">
        <v>59.081081081081081</v>
      </c>
    </row>
    <row r="782" spans="2:19" ht="15" customHeight="1" x14ac:dyDescent="0.35">
      <c r="B782" s="181">
        <v>18015</v>
      </c>
      <c r="C782" s="182" t="s">
        <v>106</v>
      </c>
      <c r="D782" s="183">
        <v>12</v>
      </c>
      <c r="E782" s="185">
        <v>248</v>
      </c>
      <c r="F782" s="185">
        <v>170</v>
      </c>
      <c r="G782" s="184" t="s">
        <v>1308</v>
      </c>
      <c r="H782" s="186">
        <v>1</v>
      </c>
      <c r="I782" s="185">
        <v>272</v>
      </c>
      <c r="J782" s="187">
        <v>1.9247524752475247</v>
      </c>
      <c r="K782" s="188">
        <v>523.53267326732669</v>
      </c>
      <c r="L782" s="189">
        <v>4.3380000000000001</v>
      </c>
      <c r="M782" s="185">
        <v>252</v>
      </c>
      <c r="N782" s="189">
        <v>47.423999999999999</v>
      </c>
      <c r="O782" s="333">
        <v>32.46</v>
      </c>
      <c r="P782" s="333">
        <v>12.817639999999999</v>
      </c>
      <c r="Q782" s="333">
        <v>6.2024501800800014</v>
      </c>
      <c r="R782" s="475">
        <f t="shared" si="13"/>
        <v>2.0665446118641251</v>
      </c>
      <c r="S782" s="340">
        <v>59.081081081081081</v>
      </c>
    </row>
    <row r="783" spans="2:19" ht="15" customHeight="1" x14ac:dyDescent="0.35">
      <c r="B783" s="181">
        <v>78047</v>
      </c>
      <c r="C783" s="182" t="s">
        <v>772</v>
      </c>
      <c r="D783" s="183">
        <v>15</v>
      </c>
      <c r="E783" s="185">
        <v>607</v>
      </c>
      <c r="F783" s="185">
        <v>255</v>
      </c>
      <c r="G783" s="184" t="s">
        <v>1308</v>
      </c>
      <c r="H783" s="186">
        <v>1</v>
      </c>
      <c r="I783" s="185">
        <v>1237</v>
      </c>
      <c r="J783" s="187">
        <v>1.7422831945124937</v>
      </c>
      <c r="K783" s="188">
        <v>2155.2043116119548</v>
      </c>
      <c r="L783" s="189">
        <v>33.843000000000004</v>
      </c>
      <c r="M783" s="185">
        <v>1278</v>
      </c>
      <c r="N783" s="189">
        <v>477.79899999999998</v>
      </c>
      <c r="O783" s="333">
        <v>200.49619118804091</v>
      </c>
      <c r="P783" s="333">
        <v>219.42923999999994</v>
      </c>
      <c r="Q783" s="333">
        <v>58.57405974000001</v>
      </c>
      <c r="R783" s="475">
        <f t="shared" si="13"/>
        <v>3.7461845904826796</v>
      </c>
      <c r="S783" s="340">
        <v>49.201754385964925</v>
      </c>
    </row>
    <row r="784" spans="2:19" ht="15" customHeight="1" x14ac:dyDescent="0.35">
      <c r="B784" s="181">
        <v>91042</v>
      </c>
      <c r="C784" s="182" t="s">
        <v>944</v>
      </c>
      <c r="D784" s="183">
        <v>2</v>
      </c>
      <c r="E784" s="185">
        <v>445</v>
      </c>
      <c r="F784" s="185">
        <v>273</v>
      </c>
      <c r="G784" s="184" t="s">
        <v>1308</v>
      </c>
      <c r="H784" s="186">
        <v>1</v>
      </c>
      <c r="I784" s="185">
        <v>4247</v>
      </c>
      <c r="J784" s="187">
        <v>2.2499449460471261</v>
      </c>
      <c r="K784" s="188">
        <v>9555.516185862145</v>
      </c>
      <c r="L784" s="189">
        <v>157.33500000000001</v>
      </c>
      <c r="M784" s="185">
        <v>3483</v>
      </c>
      <c r="N784" s="189">
        <v>1550.96</v>
      </c>
      <c r="O784" s="333">
        <v>951.25699999999995</v>
      </c>
      <c r="P784" s="333">
        <v>407.61512755102041</v>
      </c>
      <c r="Q784" s="333">
        <v>132.63883920000001</v>
      </c>
      <c r="R784" s="475">
        <f t="shared" si="13"/>
        <v>3.0731204374941514</v>
      </c>
      <c r="S784" s="340">
        <v>55.843137254901954</v>
      </c>
    </row>
    <row r="785" spans="2:19" ht="15" customHeight="1" x14ac:dyDescent="0.35">
      <c r="B785" s="181">
        <v>88060</v>
      </c>
      <c r="C785" s="182" t="s">
        <v>921</v>
      </c>
      <c r="D785" s="183">
        <v>8</v>
      </c>
      <c r="E785" s="185">
        <v>298</v>
      </c>
      <c r="F785" s="185">
        <v>265</v>
      </c>
      <c r="G785" s="184" t="s">
        <v>1308</v>
      </c>
      <c r="H785" s="186">
        <v>1</v>
      </c>
      <c r="I785" s="185">
        <v>232</v>
      </c>
      <c r="J785" s="187">
        <v>2.64</v>
      </c>
      <c r="K785" s="188">
        <v>612.48</v>
      </c>
      <c r="L785" s="189">
        <v>5.9690000000000003</v>
      </c>
      <c r="M785" s="185">
        <v>248</v>
      </c>
      <c r="N785" s="189">
        <v>66.584000000000003</v>
      </c>
      <c r="O785" s="333">
        <v>59.347999999999999</v>
      </c>
      <c r="P785" s="333">
        <v>3.9342400000000035</v>
      </c>
      <c r="Q785" s="333">
        <v>7.1987316405999993</v>
      </c>
      <c r="R785" s="475">
        <f t="shared" si="13"/>
        <v>0.54651849748243886</v>
      </c>
      <c r="S785" s="340">
        <v>56.972972972972983</v>
      </c>
    </row>
    <row r="786" spans="2:19" ht="15" customHeight="1" x14ac:dyDescent="0.35">
      <c r="B786" s="181">
        <v>49005</v>
      </c>
      <c r="C786" s="182" t="s">
        <v>464</v>
      </c>
      <c r="D786" s="183">
        <v>17</v>
      </c>
      <c r="E786" s="185" t="s">
        <v>1124</v>
      </c>
      <c r="F786" s="185" t="s">
        <v>1124</v>
      </c>
      <c r="G786" s="184" t="s">
        <v>1124</v>
      </c>
      <c r="H786" s="186"/>
      <c r="I786" s="185"/>
      <c r="J786" s="187"/>
      <c r="K786" s="188"/>
      <c r="L786" s="189"/>
      <c r="M786" s="185" t="s">
        <v>1124</v>
      </c>
      <c r="N786" s="189"/>
      <c r="O786" s="333"/>
      <c r="P786" s="333" t="s">
        <v>1124</v>
      </c>
      <c r="Q786" s="333" t="s">
        <v>1124</v>
      </c>
      <c r="R786" s="475" t="str">
        <f t="shared" si="13"/>
        <v/>
      </c>
      <c r="S786" s="340" t="s">
        <v>1124</v>
      </c>
    </row>
    <row r="787" spans="2:19" ht="15" customHeight="1" x14ac:dyDescent="0.35">
      <c r="B787" s="181">
        <v>62007</v>
      </c>
      <c r="C787" s="182" t="s">
        <v>619</v>
      </c>
      <c r="D787" s="183">
        <v>14</v>
      </c>
      <c r="E787" s="185">
        <v>410</v>
      </c>
      <c r="F787" s="185">
        <v>154</v>
      </c>
      <c r="G787" s="184" t="s">
        <v>1308</v>
      </c>
      <c r="H787" s="186">
        <v>2</v>
      </c>
      <c r="I787" s="185">
        <v>2138</v>
      </c>
      <c r="J787" s="187">
        <v>2.2718144044321331</v>
      </c>
      <c r="K787" s="188">
        <v>4857.1391966759002</v>
      </c>
      <c r="L787" s="189">
        <v>57.75</v>
      </c>
      <c r="M787" s="185">
        <v>2310</v>
      </c>
      <c r="N787" s="189">
        <v>727.23099999999999</v>
      </c>
      <c r="O787" s="333">
        <v>272.98286581469654</v>
      </c>
      <c r="P787" s="333">
        <v>158.68603928571423</v>
      </c>
      <c r="Q787" s="333">
        <v>60.977534260500008</v>
      </c>
      <c r="R787" s="475">
        <f t="shared" si="13"/>
        <v>2.6023689086508011</v>
      </c>
      <c r="S787" s="340">
        <v>49.590325033618434</v>
      </c>
    </row>
    <row r="788" spans="2:19" ht="15" customHeight="1" x14ac:dyDescent="0.35">
      <c r="B788" s="181">
        <v>94225</v>
      </c>
      <c r="C788" s="182" t="s">
        <v>977</v>
      </c>
      <c r="D788" s="183">
        <v>2</v>
      </c>
      <c r="E788" s="185">
        <v>453</v>
      </c>
      <c r="F788" s="185">
        <v>364</v>
      </c>
      <c r="G788" s="184" t="s">
        <v>1308</v>
      </c>
      <c r="H788" s="186">
        <v>1</v>
      </c>
      <c r="I788" s="185">
        <v>143</v>
      </c>
      <c r="J788" s="187">
        <v>1.9565217391304348</v>
      </c>
      <c r="K788" s="188">
        <v>279.78260869565219</v>
      </c>
      <c r="L788" s="189">
        <v>6.0019999999999998</v>
      </c>
      <c r="M788" s="185">
        <v>148</v>
      </c>
      <c r="N788" s="189">
        <v>46.267000000000003</v>
      </c>
      <c r="O788" s="333">
        <v>37.177300000000002</v>
      </c>
      <c r="P788" s="333">
        <v>4.235999999999998</v>
      </c>
      <c r="Q788" s="333">
        <v>4.6549074880000001</v>
      </c>
      <c r="R788" s="475">
        <f t="shared" si="13"/>
        <v>0.91000734406002393</v>
      </c>
      <c r="S788" s="340">
        <v>58.202702702702709</v>
      </c>
    </row>
    <row r="789" spans="2:19" ht="15" customHeight="1" x14ac:dyDescent="0.35">
      <c r="B789" s="181">
        <v>32013</v>
      </c>
      <c r="C789" s="182" t="s">
        <v>256</v>
      </c>
      <c r="D789" s="183">
        <v>17</v>
      </c>
      <c r="E789" s="185">
        <v>281</v>
      </c>
      <c r="F789" s="185">
        <v>179</v>
      </c>
      <c r="G789" s="184" t="s">
        <v>1308</v>
      </c>
      <c r="H789" s="186">
        <v>1</v>
      </c>
      <c r="I789" s="185">
        <v>603</v>
      </c>
      <c r="J789" s="187">
        <v>1.924074074074074</v>
      </c>
      <c r="K789" s="188">
        <v>1160.2166666666667</v>
      </c>
      <c r="L789" s="189">
        <v>10.840999999999999</v>
      </c>
      <c r="M789" s="185">
        <v>517</v>
      </c>
      <c r="N789" s="189">
        <v>119.14700000000001</v>
      </c>
      <c r="O789" s="333">
        <v>75.959999999999994</v>
      </c>
      <c r="P789" s="333">
        <v>34.87452653061225</v>
      </c>
      <c r="Q789" s="333">
        <v>15.523510372314004</v>
      </c>
      <c r="R789" s="475">
        <f t="shared" si="13"/>
        <v>2.2465618725523933</v>
      </c>
      <c r="S789" s="340">
        <v>65.155555555555537</v>
      </c>
    </row>
    <row r="790" spans="2:19" ht="15" customHeight="1" x14ac:dyDescent="0.35">
      <c r="B790" s="181">
        <v>21010</v>
      </c>
      <c r="C790" s="182" t="s">
        <v>145</v>
      </c>
      <c r="D790" s="183">
        <v>3</v>
      </c>
      <c r="E790" s="185" t="s">
        <v>1124</v>
      </c>
      <c r="F790" s="185" t="s">
        <v>1124</v>
      </c>
      <c r="G790" s="184" t="s">
        <v>1124</v>
      </c>
      <c r="H790" s="186"/>
      <c r="I790" s="185"/>
      <c r="J790" s="187"/>
      <c r="K790" s="188"/>
      <c r="L790" s="189"/>
      <c r="M790" s="185" t="s">
        <v>1124</v>
      </c>
      <c r="N790" s="189"/>
      <c r="O790" s="333"/>
      <c r="P790" s="333" t="s">
        <v>1124</v>
      </c>
      <c r="Q790" s="333" t="s">
        <v>1124</v>
      </c>
      <c r="R790" s="475" t="str">
        <f t="shared" si="13"/>
        <v/>
      </c>
      <c r="S790" s="340" t="s">
        <v>1124</v>
      </c>
    </row>
    <row r="791" spans="2:19" ht="15" customHeight="1" x14ac:dyDescent="0.35">
      <c r="B791" s="181">
        <v>33052</v>
      </c>
      <c r="C791" s="182" t="s">
        <v>274</v>
      </c>
      <c r="D791" s="183">
        <v>12</v>
      </c>
      <c r="E791" s="185">
        <v>228</v>
      </c>
      <c r="F791" s="185">
        <v>169</v>
      </c>
      <c r="G791" s="184" t="s">
        <v>1326</v>
      </c>
      <c r="H791" s="186">
        <v>1</v>
      </c>
      <c r="I791" s="185">
        <v>449</v>
      </c>
      <c r="J791" s="187">
        <v>2.358490566037736</v>
      </c>
      <c r="K791" s="188">
        <v>1058.9622641509434</v>
      </c>
      <c r="L791" s="189">
        <v>6.38</v>
      </c>
      <c r="M791" s="185">
        <v>423</v>
      </c>
      <c r="N791" s="189">
        <v>87.994000000000028</v>
      </c>
      <c r="O791" s="333">
        <v>65.251892783505156</v>
      </c>
      <c r="P791" s="333">
        <v>7.8325797959184014</v>
      </c>
      <c r="Q791" s="333">
        <v>9.3371764162500011</v>
      </c>
      <c r="R791" s="475">
        <f t="shared" si="13"/>
        <v>0.83885957025369384</v>
      </c>
      <c r="S791" s="340">
        <v>53.918367346938766</v>
      </c>
    </row>
    <row r="792" spans="2:19" ht="15" customHeight="1" x14ac:dyDescent="0.35">
      <c r="B792" s="181">
        <v>31030</v>
      </c>
      <c r="C792" s="182" t="s">
        <v>241</v>
      </c>
      <c r="D792" s="183">
        <v>12</v>
      </c>
      <c r="E792" s="185" t="s">
        <v>1124</v>
      </c>
      <c r="F792" s="185" t="s">
        <v>1124</v>
      </c>
      <c r="G792" s="184" t="s">
        <v>1124</v>
      </c>
      <c r="H792" s="186"/>
      <c r="I792" s="185"/>
      <c r="J792" s="187"/>
      <c r="K792" s="188"/>
      <c r="L792" s="189"/>
      <c r="M792" s="185" t="s">
        <v>1124</v>
      </c>
      <c r="N792" s="189"/>
      <c r="O792" s="333"/>
      <c r="P792" s="333" t="s">
        <v>1124</v>
      </c>
      <c r="Q792" s="333" t="s">
        <v>1124</v>
      </c>
      <c r="R792" s="475" t="str">
        <f t="shared" si="13"/>
        <v/>
      </c>
      <c r="S792" s="340" t="s">
        <v>1124</v>
      </c>
    </row>
    <row r="793" spans="2:19" ht="15" customHeight="1" x14ac:dyDescent="0.35">
      <c r="B793" s="181">
        <v>6055</v>
      </c>
      <c r="C793" s="182" t="s">
        <v>1066</v>
      </c>
      <c r="D793" s="183">
        <v>11</v>
      </c>
      <c r="E793" s="185">
        <v>362</v>
      </c>
      <c r="F793" s="185">
        <v>275</v>
      </c>
      <c r="G793" s="184" t="s">
        <v>1308</v>
      </c>
      <c r="H793" s="186">
        <v>1</v>
      </c>
      <c r="I793" s="185">
        <v>230</v>
      </c>
      <c r="J793" s="187">
        <v>1.9145299145299146</v>
      </c>
      <c r="K793" s="188">
        <v>440.34188034188037</v>
      </c>
      <c r="L793" s="189">
        <v>5.2210000000000001</v>
      </c>
      <c r="M793" s="185">
        <v>246</v>
      </c>
      <c r="N793" s="189">
        <v>58.104999999999997</v>
      </c>
      <c r="O793" s="333">
        <v>44.209552845528449</v>
      </c>
      <c r="P793" s="333">
        <v>9.9484250000000021</v>
      </c>
      <c r="Q793" s="333">
        <v>6.9491503200000002</v>
      </c>
      <c r="R793" s="475">
        <f t="shared" si="13"/>
        <v>1.431603079784868</v>
      </c>
      <c r="S793" s="340">
        <v>58.72972972972974</v>
      </c>
    </row>
    <row r="794" spans="2:19" ht="15" customHeight="1" x14ac:dyDescent="0.35">
      <c r="B794" s="181">
        <v>18060</v>
      </c>
      <c r="C794" s="182" t="s">
        <v>115</v>
      </c>
      <c r="D794" s="183">
        <v>12</v>
      </c>
      <c r="E794" s="185" t="s">
        <v>1124</v>
      </c>
      <c r="F794" s="185" t="s">
        <v>1124</v>
      </c>
      <c r="G794" s="184" t="s">
        <v>1124</v>
      </c>
      <c r="H794" s="186"/>
      <c r="I794" s="185"/>
      <c r="J794" s="187"/>
      <c r="K794" s="188"/>
      <c r="L794" s="189"/>
      <c r="M794" s="185" t="s">
        <v>1124</v>
      </c>
      <c r="N794" s="189"/>
      <c r="O794" s="333"/>
      <c r="P794" s="333" t="s">
        <v>1124</v>
      </c>
      <c r="Q794" s="333" t="s">
        <v>1124</v>
      </c>
      <c r="R794" s="475" t="str">
        <f t="shared" si="13"/>
        <v/>
      </c>
      <c r="S794" s="340" t="s">
        <v>1124</v>
      </c>
    </row>
    <row r="795" spans="2:19" ht="15" customHeight="1" x14ac:dyDescent="0.35">
      <c r="B795" s="181">
        <v>20005</v>
      </c>
      <c r="C795" s="182" t="s">
        <v>138</v>
      </c>
      <c r="D795" s="183">
        <v>3</v>
      </c>
      <c r="E795" s="185" t="s">
        <v>1124</v>
      </c>
      <c r="F795" s="185" t="s">
        <v>1124</v>
      </c>
      <c r="G795" s="184" t="s">
        <v>1124</v>
      </c>
      <c r="H795" s="186"/>
      <c r="I795" s="185"/>
      <c r="J795" s="187"/>
      <c r="K795" s="188"/>
      <c r="L795" s="189"/>
      <c r="M795" s="185" t="s">
        <v>1124</v>
      </c>
      <c r="N795" s="189"/>
      <c r="O795" s="333"/>
      <c r="P795" s="333" t="s">
        <v>1124</v>
      </c>
      <c r="Q795" s="333" t="s">
        <v>1124</v>
      </c>
      <c r="R795" s="475" t="str">
        <f t="shared" si="13"/>
        <v/>
      </c>
      <c r="S795" s="340" t="s">
        <v>1124</v>
      </c>
    </row>
    <row r="796" spans="2:19" ht="15" customHeight="1" x14ac:dyDescent="0.35">
      <c r="B796" s="181">
        <v>91015</v>
      </c>
      <c r="C796" s="182" t="s">
        <v>939</v>
      </c>
      <c r="D796" s="183">
        <v>2</v>
      </c>
      <c r="E796" s="185">
        <v>714</v>
      </c>
      <c r="F796" s="185">
        <v>222</v>
      </c>
      <c r="G796" s="184" t="s">
        <v>1308</v>
      </c>
      <c r="H796" s="186">
        <v>1</v>
      </c>
      <c r="I796" s="185">
        <v>262</v>
      </c>
      <c r="J796" s="187">
        <v>1.9545454545454546</v>
      </c>
      <c r="K796" s="188">
        <v>512.09090909090912</v>
      </c>
      <c r="L796" s="189">
        <v>16.667999999999999</v>
      </c>
      <c r="M796" s="185">
        <v>276</v>
      </c>
      <c r="N796" s="189">
        <v>133.46299999999999</v>
      </c>
      <c r="O796" s="333">
        <v>41.518999999999998</v>
      </c>
      <c r="P796" s="333">
        <v>72.633279489795896</v>
      </c>
      <c r="Q796" s="333">
        <v>7.5350016000000011</v>
      </c>
      <c r="R796" s="475">
        <f t="shared" si="13"/>
        <v>9.6394511037391002</v>
      </c>
      <c r="S796" s="340">
        <v>56.040816326530596</v>
      </c>
    </row>
    <row r="797" spans="2:19" ht="15" customHeight="1" x14ac:dyDescent="0.35">
      <c r="B797" s="181">
        <v>50128</v>
      </c>
      <c r="C797" s="182" t="s">
        <v>497</v>
      </c>
      <c r="D797" s="183">
        <v>17</v>
      </c>
      <c r="E797" s="185">
        <v>243</v>
      </c>
      <c r="F797" s="185">
        <v>164</v>
      </c>
      <c r="G797" s="184" t="s">
        <v>1326</v>
      </c>
      <c r="H797" s="186">
        <v>1</v>
      </c>
      <c r="I797" s="185">
        <v>1119</v>
      </c>
      <c r="J797" s="187">
        <v>2.058212058212058</v>
      </c>
      <c r="K797" s="188">
        <v>2303.1392931392929</v>
      </c>
      <c r="L797" s="189">
        <v>47.01</v>
      </c>
      <c r="M797" s="185">
        <v>996</v>
      </c>
      <c r="N797" s="189">
        <v>204.601</v>
      </c>
      <c r="O797" s="333">
        <v>137.95533</v>
      </c>
      <c r="P797" s="333">
        <v>23.061433214285721</v>
      </c>
      <c r="Q797" s="333">
        <v>36.319264848000003</v>
      </c>
      <c r="R797" s="475">
        <f t="shared" si="13"/>
        <v>0.63496420730981973</v>
      </c>
      <c r="S797" s="340">
        <v>72.411764705882348</v>
      </c>
    </row>
    <row r="798" spans="2:19" ht="15" customHeight="1" x14ac:dyDescent="0.35">
      <c r="B798" s="181">
        <v>42020</v>
      </c>
      <c r="C798" s="182" t="s">
        <v>380</v>
      </c>
      <c r="D798" s="183">
        <v>5</v>
      </c>
      <c r="E798" s="185" t="s">
        <v>1124</v>
      </c>
      <c r="F798" s="185" t="s">
        <v>1124</v>
      </c>
      <c r="G798" s="184" t="s">
        <v>1124</v>
      </c>
      <c r="H798" s="186"/>
      <c r="I798" s="185"/>
      <c r="J798" s="187"/>
      <c r="K798" s="188"/>
      <c r="L798" s="189"/>
      <c r="M798" s="185" t="s">
        <v>1124</v>
      </c>
      <c r="N798" s="189"/>
      <c r="O798" s="333"/>
      <c r="P798" s="333" t="s">
        <v>1124</v>
      </c>
      <c r="Q798" s="333" t="s">
        <v>1124</v>
      </c>
      <c r="R798" s="475" t="str">
        <f t="shared" si="13"/>
        <v/>
      </c>
      <c r="S798" s="340" t="s">
        <v>1124</v>
      </c>
    </row>
    <row r="799" spans="2:19" ht="15" customHeight="1" x14ac:dyDescent="0.35">
      <c r="B799" s="181">
        <v>12025</v>
      </c>
      <c r="C799" s="182" t="s">
        <v>32</v>
      </c>
      <c r="D799" s="183">
        <v>1</v>
      </c>
      <c r="E799" s="185" t="s">
        <v>1124</v>
      </c>
      <c r="F799" s="185" t="s">
        <v>1124</v>
      </c>
      <c r="G799" s="184" t="s">
        <v>1124</v>
      </c>
      <c r="H799" s="186"/>
      <c r="I799" s="185"/>
      <c r="J799" s="187"/>
      <c r="K799" s="188"/>
      <c r="L799" s="189"/>
      <c r="M799" s="185" t="s">
        <v>1124</v>
      </c>
      <c r="N799" s="189"/>
      <c r="O799" s="333"/>
      <c r="P799" s="333" t="s">
        <v>1124</v>
      </c>
      <c r="Q799" s="333" t="s">
        <v>1124</v>
      </c>
      <c r="R799" s="475" t="str">
        <f t="shared" si="13"/>
        <v/>
      </c>
      <c r="S799" s="340" t="s">
        <v>1124</v>
      </c>
    </row>
    <row r="800" spans="2:19" ht="15" customHeight="1" x14ac:dyDescent="0.35">
      <c r="B800" s="181">
        <v>27065</v>
      </c>
      <c r="C800" s="182" t="s">
        <v>186</v>
      </c>
      <c r="D800" s="183">
        <v>12</v>
      </c>
      <c r="E800" s="185">
        <v>377</v>
      </c>
      <c r="F800" s="185">
        <v>239</v>
      </c>
      <c r="G800" s="184" t="s">
        <v>1326</v>
      </c>
      <c r="H800" s="186">
        <v>1</v>
      </c>
      <c r="I800" s="185">
        <v>386</v>
      </c>
      <c r="J800" s="187">
        <v>2.4326710816777042</v>
      </c>
      <c r="K800" s="188">
        <v>939.01103752759377</v>
      </c>
      <c r="L800" s="189">
        <v>14</v>
      </c>
      <c r="M800" s="185">
        <v>417</v>
      </c>
      <c r="N800" s="189">
        <v>129.12299999999999</v>
      </c>
      <c r="O800" s="333">
        <v>81.888099999999994</v>
      </c>
      <c r="P800" s="333">
        <v>27.90235199999999</v>
      </c>
      <c r="Q800" s="333">
        <v>8.1517083374999988</v>
      </c>
      <c r="R800" s="475">
        <f t="shared" si="13"/>
        <v>3.4228839949586818</v>
      </c>
      <c r="S800" s="340">
        <v>59.081081081081081</v>
      </c>
    </row>
    <row r="801" spans="2:19" ht="15" customHeight="1" x14ac:dyDescent="0.35">
      <c r="B801" s="181">
        <v>94235</v>
      </c>
      <c r="C801" s="182" t="s">
        <v>979</v>
      </c>
      <c r="D801" s="183">
        <v>2</v>
      </c>
      <c r="E801" s="185">
        <v>302</v>
      </c>
      <c r="F801" s="185">
        <v>167</v>
      </c>
      <c r="G801" s="184" t="s">
        <v>1308</v>
      </c>
      <c r="H801" s="186">
        <v>1</v>
      </c>
      <c r="I801" s="185">
        <v>581</v>
      </c>
      <c r="J801" s="187">
        <v>3.43</v>
      </c>
      <c r="K801" s="188">
        <v>1992.8300000000002</v>
      </c>
      <c r="L801" s="189">
        <v>25.709</v>
      </c>
      <c r="M801" s="185">
        <v>569</v>
      </c>
      <c r="N801" s="189">
        <v>219.31700000000001</v>
      </c>
      <c r="O801" s="333">
        <v>121.667</v>
      </c>
      <c r="P801" s="333">
        <v>88.287245000000013</v>
      </c>
      <c r="Q801" s="333">
        <v>17.689820995000002</v>
      </c>
      <c r="R801" s="475">
        <f t="shared" si="13"/>
        <v>4.9908501066774082</v>
      </c>
      <c r="S801" s="340">
        <v>58.72972972972974</v>
      </c>
    </row>
    <row r="802" spans="2:19" ht="15" customHeight="1" x14ac:dyDescent="0.35">
      <c r="B802" s="181">
        <v>52080</v>
      </c>
      <c r="C802" s="182" t="s">
        <v>526</v>
      </c>
      <c r="D802" s="183">
        <v>14</v>
      </c>
      <c r="E802" s="185">
        <v>593</v>
      </c>
      <c r="F802" s="185">
        <v>499</v>
      </c>
      <c r="G802" s="184" t="s">
        <v>1308</v>
      </c>
      <c r="H802" s="186">
        <v>1</v>
      </c>
      <c r="I802" s="185">
        <v>1452</v>
      </c>
      <c r="J802" s="187">
        <v>1.7640449438202248</v>
      </c>
      <c r="K802" s="188">
        <v>2561.3932584269664</v>
      </c>
      <c r="L802" s="189">
        <v>30.303999999999998</v>
      </c>
      <c r="M802" s="185">
        <v>1474</v>
      </c>
      <c r="N802" s="189">
        <v>554.26700000000005</v>
      </c>
      <c r="O802" s="333">
        <v>466.63477798861481</v>
      </c>
      <c r="P802" s="333">
        <v>37.860995000000074</v>
      </c>
      <c r="Q802" s="333">
        <v>27.681789799999997</v>
      </c>
      <c r="R802" s="475">
        <f t="shared" si="13"/>
        <v>1.3677220755429649</v>
      </c>
      <c r="S802" s="340">
        <v>56.587976820004769</v>
      </c>
    </row>
    <row r="803" spans="2:19" ht="15" customHeight="1" x14ac:dyDescent="0.35">
      <c r="B803" s="181">
        <v>52085</v>
      </c>
      <c r="C803" s="182" t="s">
        <v>527</v>
      </c>
      <c r="D803" s="183">
        <v>14</v>
      </c>
      <c r="E803" s="185">
        <v>424</v>
      </c>
      <c r="F803" s="185">
        <v>152</v>
      </c>
      <c r="G803" s="184" t="s">
        <v>1308</v>
      </c>
      <c r="H803" s="186">
        <v>1</v>
      </c>
      <c r="I803" s="185">
        <v>429</v>
      </c>
      <c r="J803" s="187">
        <v>1.8413461538461537</v>
      </c>
      <c r="K803" s="188">
        <v>789.9375</v>
      </c>
      <c r="L803" s="189">
        <v>20.338000000000001</v>
      </c>
      <c r="M803" s="185">
        <v>457</v>
      </c>
      <c r="N803" s="189">
        <v>122.17400000000001</v>
      </c>
      <c r="O803" s="333">
        <v>43.740280434782612</v>
      </c>
      <c r="P803" s="333">
        <v>73.440389999999994</v>
      </c>
      <c r="Q803" s="333">
        <v>13.291199910449999</v>
      </c>
      <c r="R803" s="475">
        <f t="shared" si="13"/>
        <v>5.5254898349891368</v>
      </c>
      <c r="S803" s="340">
        <v>50.351351351351347</v>
      </c>
    </row>
    <row r="804" spans="2:19" ht="15" customHeight="1" x14ac:dyDescent="0.35">
      <c r="B804" s="181">
        <v>9025</v>
      </c>
      <c r="C804" s="182" t="s">
        <v>1101</v>
      </c>
      <c r="D804" s="183">
        <v>1</v>
      </c>
      <c r="E804" s="185">
        <v>249</v>
      </c>
      <c r="F804" s="185">
        <v>122</v>
      </c>
      <c r="G804" s="184" t="s">
        <v>1308</v>
      </c>
      <c r="H804" s="186">
        <v>1</v>
      </c>
      <c r="I804" s="185">
        <v>339</v>
      </c>
      <c r="J804" s="187">
        <v>2.1229050279329611</v>
      </c>
      <c r="K804" s="188">
        <v>719.6648044692738</v>
      </c>
      <c r="L804" s="189">
        <v>8.9339999999999993</v>
      </c>
      <c r="M804" s="185">
        <v>324</v>
      </c>
      <c r="N804" s="189">
        <v>65.313000000000002</v>
      </c>
      <c r="O804" s="333">
        <v>32.03734239130435</v>
      </c>
      <c r="P804" s="333">
        <v>29.555305000000004</v>
      </c>
      <c r="Q804" s="333">
        <v>7.4712410639999991</v>
      </c>
      <c r="R804" s="475">
        <f t="shared" si="13"/>
        <v>3.955876238877039</v>
      </c>
      <c r="S804" s="340">
        <v>37.72972972972974</v>
      </c>
    </row>
    <row r="805" spans="2:19" ht="15" customHeight="1" x14ac:dyDescent="0.35">
      <c r="B805" s="181">
        <v>22025</v>
      </c>
      <c r="C805" s="182" t="s">
        <v>157</v>
      </c>
      <c r="D805" s="183">
        <v>3</v>
      </c>
      <c r="E805" s="185" t="s">
        <v>1124</v>
      </c>
      <c r="F805" s="185" t="s">
        <v>1124</v>
      </c>
      <c r="G805" s="184" t="s">
        <v>1124</v>
      </c>
      <c r="H805" s="186"/>
      <c r="I805" s="185"/>
      <c r="J805" s="187"/>
      <c r="K805" s="188"/>
      <c r="L805" s="189"/>
      <c r="M805" s="185" t="s">
        <v>1124</v>
      </c>
      <c r="N805" s="189"/>
      <c r="O805" s="333"/>
      <c r="P805" s="333" t="s">
        <v>1124</v>
      </c>
      <c r="Q805" s="333" t="s">
        <v>1124</v>
      </c>
      <c r="R805" s="475" t="str">
        <f t="shared" si="13"/>
        <v/>
      </c>
      <c r="S805" s="340" t="s">
        <v>1124</v>
      </c>
    </row>
    <row r="806" spans="2:19" ht="15" customHeight="1" x14ac:dyDescent="0.35">
      <c r="B806" s="181">
        <v>14075</v>
      </c>
      <c r="C806" s="182" t="s">
        <v>73</v>
      </c>
      <c r="D806" s="183">
        <v>1</v>
      </c>
      <c r="E806" s="185" t="s">
        <v>1124</v>
      </c>
      <c r="F806" s="185" t="s">
        <v>1124</v>
      </c>
      <c r="G806" s="184" t="s">
        <v>1124</v>
      </c>
      <c r="H806" s="186"/>
      <c r="I806" s="185"/>
      <c r="J806" s="187"/>
      <c r="K806" s="188"/>
      <c r="L806" s="189"/>
      <c r="M806" s="185" t="s">
        <v>1124</v>
      </c>
      <c r="N806" s="189"/>
      <c r="O806" s="333"/>
      <c r="P806" s="333" t="s">
        <v>1124</v>
      </c>
      <c r="Q806" s="333" t="s">
        <v>1124</v>
      </c>
      <c r="R806" s="475" t="str">
        <f t="shared" si="13"/>
        <v/>
      </c>
      <c r="S806" s="340" t="s">
        <v>1124</v>
      </c>
    </row>
    <row r="807" spans="2:19" ht="15" customHeight="1" x14ac:dyDescent="0.35">
      <c r="B807" s="181">
        <v>93035</v>
      </c>
      <c r="C807" s="182" t="s">
        <v>963</v>
      </c>
      <c r="D807" s="183">
        <v>2</v>
      </c>
      <c r="E807" s="185">
        <v>780</v>
      </c>
      <c r="F807" s="185">
        <v>532</v>
      </c>
      <c r="G807" s="184" t="s">
        <v>1308</v>
      </c>
      <c r="H807" s="186">
        <v>1</v>
      </c>
      <c r="I807" s="185">
        <v>1372</v>
      </c>
      <c r="J807" s="187">
        <v>2.2650000000000001</v>
      </c>
      <c r="K807" s="188">
        <v>3107.5800000000004</v>
      </c>
      <c r="L807" s="189">
        <v>63.53</v>
      </c>
      <c r="M807" s="185">
        <v>1644</v>
      </c>
      <c r="N807" s="189">
        <v>884.74599999999998</v>
      </c>
      <c r="O807" s="333">
        <v>603.93799999999999</v>
      </c>
      <c r="P807" s="333">
        <v>242.38919999999996</v>
      </c>
      <c r="Q807" s="333">
        <v>61.264198799999988</v>
      </c>
      <c r="R807" s="475">
        <f t="shared" si="13"/>
        <v>3.9564575191996147</v>
      </c>
      <c r="S807" s="340">
        <v>43.5</v>
      </c>
    </row>
    <row r="808" spans="2:19" ht="15" customHeight="1" x14ac:dyDescent="0.35">
      <c r="B808" s="181">
        <v>29013</v>
      </c>
      <c r="C808" s="182" t="s">
        <v>202</v>
      </c>
      <c r="D808" s="183">
        <v>12</v>
      </c>
      <c r="E808" s="185">
        <v>285</v>
      </c>
      <c r="F808" s="185">
        <v>174</v>
      </c>
      <c r="G808" s="184" t="s">
        <v>1326</v>
      </c>
      <c r="H808" s="186">
        <v>1</v>
      </c>
      <c r="I808" s="185">
        <v>771</v>
      </c>
      <c r="J808" s="187">
        <v>2.3361976369495165</v>
      </c>
      <c r="K808" s="188">
        <v>1801.2083780880773</v>
      </c>
      <c r="L808" s="189">
        <v>26.76</v>
      </c>
      <c r="M808" s="185">
        <v>776</v>
      </c>
      <c r="N808" s="189">
        <v>187.636</v>
      </c>
      <c r="O808" s="333">
        <v>114.417</v>
      </c>
      <c r="P808" s="333">
        <v>8.0143585567010298</v>
      </c>
      <c r="Q808" s="333">
        <v>22.379288800000001</v>
      </c>
      <c r="R808" s="475">
        <f t="shared" si="13"/>
        <v>0.35811497980673224</v>
      </c>
      <c r="S808" s="340">
        <v>65.155555555555551</v>
      </c>
    </row>
    <row r="809" spans="2:19" ht="15" customHeight="1" x14ac:dyDescent="0.35">
      <c r="B809" s="181">
        <v>29073</v>
      </c>
      <c r="C809" s="182" t="s">
        <v>211</v>
      </c>
      <c r="D809" s="183">
        <v>12</v>
      </c>
      <c r="E809" s="185">
        <v>338</v>
      </c>
      <c r="F809" s="185">
        <v>218</v>
      </c>
      <c r="G809" s="184" t="s">
        <v>1308</v>
      </c>
      <c r="H809" s="186">
        <v>1</v>
      </c>
      <c r="I809" s="185">
        <v>12514</v>
      </c>
      <c r="J809" s="187">
        <v>2.2029588534442905</v>
      </c>
      <c r="K809" s="188">
        <v>27567.827092001851</v>
      </c>
      <c r="L809" s="189">
        <v>224.75577000000001</v>
      </c>
      <c r="M809" s="185">
        <v>9628</v>
      </c>
      <c r="N809" s="189">
        <v>3403.7640000000001</v>
      </c>
      <c r="O809" s="333">
        <v>2195.1131955102687</v>
      </c>
      <c r="P809" s="333">
        <v>476.84843763449447</v>
      </c>
      <c r="Q809" s="333">
        <v>264.72873889840002</v>
      </c>
      <c r="R809" s="475">
        <f t="shared" si="13"/>
        <v>1.8012718967301229</v>
      </c>
      <c r="S809" s="340">
        <v>63.087719298245624</v>
      </c>
    </row>
    <row r="810" spans="2:19" ht="15" customHeight="1" x14ac:dyDescent="0.35">
      <c r="B810" s="181">
        <v>56010</v>
      </c>
      <c r="C810" s="182" t="s">
        <v>568</v>
      </c>
      <c r="D810" s="183">
        <v>16</v>
      </c>
      <c r="E810" s="185" t="s">
        <v>1124</v>
      </c>
      <c r="F810" s="185" t="s">
        <v>1124</v>
      </c>
      <c r="G810" s="184" t="s">
        <v>1124</v>
      </c>
      <c r="H810" s="186"/>
      <c r="I810" s="185"/>
      <c r="J810" s="187"/>
      <c r="K810" s="188"/>
      <c r="L810" s="189"/>
      <c r="M810" s="185" t="s">
        <v>1124</v>
      </c>
      <c r="N810" s="189"/>
      <c r="O810" s="333"/>
      <c r="P810" s="333" t="s">
        <v>1124</v>
      </c>
      <c r="Q810" s="333" t="s">
        <v>1124</v>
      </c>
      <c r="R810" s="475" t="str">
        <f t="shared" si="13"/>
        <v/>
      </c>
      <c r="S810" s="340" t="s">
        <v>1124</v>
      </c>
    </row>
    <row r="811" spans="2:19" ht="15" customHeight="1" x14ac:dyDescent="0.35">
      <c r="B811" s="181">
        <v>40032</v>
      </c>
      <c r="C811" s="182" t="s">
        <v>362</v>
      </c>
      <c r="D811" s="183">
        <v>5</v>
      </c>
      <c r="E811" s="185" t="s">
        <v>1124</v>
      </c>
      <c r="F811" s="185" t="s">
        <v>1124</v>
      </c>
      <c r="G811" s="184" t="s">
        <v>1124</v>
      </c>
      <c r="H811" s="186"/>
      <c r="I811" s="185"/>
      <c r="J811" s="187"/>
      <c r="K811" s="188"/>
      <c r="L811" s="189"/>
      <c r="M811" s="185" t="s">
        <v>1124</v>
      </c>
      <c r="N811" s="189"/>
      <c r="O811" s="333"/>
      <c r="P811" s="333" t="s">
        <v>1124</v>
      </c>
      <c r="Q811" s="333" t="s">
        <v>1124</v>
      </c>
      <c r="R811" s="475" t="str">
        <f t="shared" si="13"/>
        <v/>
      </c>
      <c r="S811" s="340" t="s">
        <v>1124</v>
      </c>
    </row>
    <row r="812" spans="2:19" ht="15" customHeight="1" x14ac:dyDescent="0.35">
      <c r="B812" s="181">
        <v>53085</v>
      </c>
      <c r="C812" s="182" t="s">
        <v>541</v>
      </c>
      <c r="D812" s="183">
        <v>16</v>
      </c>
      <c r="E812" s="185" t="s">
        <v>1124</v>
      </c>
      <c r="F812" s="185" t="s">
        <v>1124</v>
      </c>
      <c r="G812" s="184" t="s">
        <v>1124</v>
      </c>
      <c r="H812" s="186"/>
      <c r="I812" s="185"/>
      <c r="J812" s="187"/>
      <c r="K812" s="188"/>
      <c r="L812" s="189"/>
      <c r="M812" s="185" t="s">
        <v>1124</v>
      </c>
      <c r="N812" s="189"/>
      <c r="O812" s="333"/>
      <c r="P812" s="333" t="s">
        <v>1124</v>
      </c>
      <c r="Q812" s="333" t="s">
        <v>1124</v>
      </c>
      <c r="R812" s="475" t="str">
        <f t="shared" si="13"/>
        <v/>
      </c>
      <c r="S812" s="340" t="s">
        <v>1124</v>
      </c>
    </row>
    <row r="813" spans="2:19" ht="15" customHeight="1" x14ac:dyDescent="0.35">
      <c r="B813" s="181">
        <v>14045</v>
      </c>
      <c r="C813" s="182" t="s">
        <v>67</v>
      </c>
      <c r="D813" s="183">
        <v>1</v>
      </c>
      <c r="E813" s="185" t="s">
        <v>1124</v>
      </c>
      <c r="F813" s="185" t="s">
        <v>1124</v>
      </c>
      <c r="G813" s="184" t="s">
        <v>1124</v>
      </c>
      <c r="H813" s="186"/>
      <c r="I813" s="185"/>
      <c r="J813" s="187"/>
      <c r="K813" s="188"/>
      <c r="L813" s="189"/>
      <c r="M813" s="185" t="s">
        <v>1124</v>
      </c>
      <c r="N813" s="189"/>
      <c r="O813" s="333"/>
      <c r="P813" s="333" t="s">
        <v>1124</v>
      </c>
      <c r="Q813" s="333" t="s">
        <v>1124</v>
      </c>
      <c r="R813" s="475" t="str">
        <f t="shared" si="13"/>
        <v/>
      </c>
      <c r="S813" s="340" t="s">
        <v>1124</v>
      </c>
    </row>
    <row r="814" spans="2:19" ht="15" customHeight="1" x14ac:dyDescent="0.35">
      <c r="B814" s="181">
        <v>49048</v>
      </c>
      <c r="C814" s="182" t="s">
        <v>470</v>
      </c>
      <c r="D814" s="183">
        <v>17</v>
      </c>
      <c r="E814" s="185">
        <v>366</v>
      </c>
      <c r="F814" s="185">
        <v>197</v>
      </c>
      <c r="G814" s="184" t="s">
        <v>1326</v>
      </c>
      <c r="H814" s="186">
        <v>1</v>
      </c>
      <c r="I814" s="185">
        <v>1704</v>
      </c>
      <c r="J814" s="187">
        <v>2.1</v>
      </c>
      <c r="K814" s="188">
        <v>3578.4</v>
      </c>
      <c r="L814" s="189">
        <v>44.452999999999996</v>
      </c>
      <c r="M814" s="185">
        <v>1591</v>
      </c>
      <c r="N814" s="189">
        <v>477.92599999999999</v>
      </c>
      <c r="O814" s="333">
        <v>257.38499999999999</v>
      </c>
      <c r="P814" s="333">
        <v>49.324895867346896</v>
      </c>
      <c r="Q814" s="333">
        <v>41.887921950000013</v>
      </c>
      <c r="R814" s="475">
        <f t="shared" si="13"/>
        <v>1.1775445897321932</v>
      </c>
      <c r="S814" s="340">
        <v>74.45098039215685</v>
      </c>
    </row>
    <row r="815" spans="2:19" ht="15" customHeight="1" x14ac:dyDescent="0.35">
      <c r="B815" s="181">
        <v>19075</v>
      </c>
      <c r="C815" s="182" t="s">
        <v>131</v>
      </c>
      <c r="D815" s="183">
        <v>12</v>
      </c>
      <c r="E815" s="185">
        <v>258</v>
      </c>
      <c r="F815" s="185">
        <v>196</v>
      </c>
      <c r="G815" s="184" t="s">
        <v>1308</v>
      </c>
      <c r="H815" s="186">
        <v>1</v>
      </c>
      <c r="I815" s="185">
        <v>623</v>
      </c>
      <c r="J815" s="187">
        <v>2.5460829493087558</v>
      </c>
      <c r="K815" s="188">
        <v>1586.2096774193549</v>
      </c>
      <c r="L815" s="189">
        <v>13.585000000000001</v>
      </c>
      <c r="M815" s="185">
        <v>628</v>
      </c>
      <c r="N815" s="189">
        <v>149.34299999999999</v>
      </c>
      <c r="O815" s="333">
        <v>113.631</v>
      </c>
      <c r="P815" s="333">
        <v>5.4198988144329903</v>
      </c>
      <c r="Q815" s="333">
        <v>11.810252439999999</v>
      </c>
      <c r="R815" s="475">
        <f t="shared" si="13"/>
        <v>0.45891473039783648</v>
      </c>
      <c r="S815" s="340">
        <v>67.466666666666654</v>
      </c>
    </row>
    <row r="816" spans="2:19" ht="15" customHeight="1" x14ac:dyDescent="0.35">
      <c r="B816" s="181">
        <v>34060</v>
      </c>
      <c r="C816" s="182" t="s">
        <v>292</v>
      </c>
      <c r="D816" s="183">
        <v>3</v>
      </c>
      <c r="E816" s="185" t="s">
        <v>1124</v>
      </c>
      <c r="F816" s="185" t="s">
        <v>1124</v>
      </c>
      <c r="G816" s="184" t="s">
        <v>1124</v>
      </c>
      <c r="H816" s="186"/>
      <c r="I816" s="185"/>
      <c r="J816" s="187"/>
      <c r="K816" s="188"/>
      <c r="L816" s="189"/>
      <c r="M816" s="185" t="s">
        <v>1124</v>
      </c>
      <c r="N816" s="189"/>
      <c r="O816" s="333"/>
      <c r="P816" s="333" t="s">
        <v>1124</v>
      </c>
      <c r="Q816" s="333" t="s">
        <v>1124</v>
      </c>
      <c r="R816" s="475" t="str">
        <f t="shared" si="13"/>
        <v/>
      </c>
      <c r="S816" s="340" t="s">
        <v>1124</v>
      </c>
    </row>
    <row r="817" spans="2:19" ht="15" customHeight="1" x14ac:dyDescent="0.35">
      <c r="B817" s="181">
        <v>33035</v>
      </c>
      <c r="C817" s="182" t="s">
        <v>271</v>
      </c>
      <c r="D817" s="183">
        <v>12</v>
      </c>
      <c r="E817" s="185">
        <v>270</v>
      </c>
      <c r="F817" s="185">
        <v>218</v>
      </c>
      <c r="G817" s="184" t="s">
        <v>1326</v>
      </c>
      <c r="H817" s="186">
        <v>1</v>
      </c>
      <c r="I817" s="185">
        <v>689</v>
      </c>
      <c r="J817" s="187">
        <v>2.3433098591549295</v>
      </c>
      <c r="K817" s="188">
        <v>1614.5404929577464</v>
      </c>
      <c r="L817" s="189">
        <v>12.382</v>
      </c>
      <c r="M817" s="185">
        <v>685</v>
      </c>
      <c r="N817" s="189">
        <v>159.15199999999999</v>
      </c>
      <c r="O817" s="333">
        <v>128.35900000000001</v>
      </c>
      <c r="P817" s="333">
        <v>1.8920000000000108</v>
      </c>
      <c r="Q817" s="333">
        <v>22.4520867725</v>
      </c>
      <c r="R817" s="475">
        <f t="shared" si="13"/>
        <v>8.4268336354257734E-2</v>
      </c>
      <c r="S817" s="340">
        <v>58.027027027027032</v>
      </c>
    </row>
    <row r="818" spans="2:19" ht="15" customHeight="1" x14ac:dyDescent="0.35">
      <c r="B818" s="181">
        <v>5015</v>
      </c>
      <c r="C818" s="182" t="s">
        <v>1045</v>
      </c>
      <c r="D818" s="183">
        <v>11</v>
      </c>
      <c r="E818" s="185" t="s">
        <v>1124</v>
      </c>
      <c r="F818" s="185" t="s">
        <v>1124</v>
      </c>
      <c r="G818" s="184" t="s">
        <v>1124</v>
      </c>
      <c r="H818" s="186"/>
      <c r="I818" s="185"/>
      <c r="J818" s="187"/>
      <c r="K818" s="188"/>
      <c r="L818" s="189"/>
      <c r="M818" s="185" t="s">
        <v>1124</v>
      </c>
      <c r="N818" s="189"/>
      <c r="O818" s="333"/>
      <c r="P818" s="333" t="s">
        <v>1124</v>
      </c>
      <c r="Q818" s="333" t="s">
        <v>1124</v>
      </c>
      <c r="R818" s="475" t="str">
        <f t="shared" si="13"/>
        <v/>
      </c>
      <c r="S818" s="340" t="s">
        <v>1124</v>
      </c>
    </row>
    <row r="819" spans="2:19" ht="15" customHeight="1" x14ac:dyDescent="0.35">
      <c r="B819" s="181">
        <v>49113</v>
      </c>
      <c r="C819" s="182" t="s">
        <v>479</v>
      </c>
      <c r="D819" s="183">
        <v>17</v>
      </c>
      <c r="E819" s="185">
        <v>370</v>
      </c>
      <c r="F819" s="185">
        <v>268</v>
      </c>
      <c r="G819" s="184" t="s">
        <v>1326</v>
      </c>
      <c r="H819" s="186">
        <v>2</v>
      </c>
      <c r="I819" s="185">
        <v>544</v>
      </c>
      <c r="J819" s="187">
        <v>2.174927113702624</v>
      </c>
      <c r="K819" s="188">
        <v>1183.1603498542274</v>
      </c>
      <c r="L819" s="189">
        <v>23.574999999999999</v>
      </c>
      <c r="M819" s="185">
        <v>453</v>
      </c>
      <c r="N819" s="189">
        <v>159.875</v>
      </c>
      <c r="O819" s="333">
        <v>115.74000000000001</v>
      </c>
      <c r="P819" s="333">
        <v>24.083327077922075</v>
      </c>
      <c r="Q819" s="333">
        <v>12.559122940000002</v>
      </c>
      <c r="R819" s="475">
        <f t="shared" si="13"/>
        <v>1.9175962519817544</v>
      </c>
      <c r="S819" s="340">
        <v>64.944444444444429</v>
      </c>
    </row>
    <row r="820" spans="2:19" ht="15" customHeight="1" x14ac:dyDescent="0.35">
      <c r="B820" s="181">
        <v>11020</v>
      </c>
      <c r="C820" s="182" t="s">
        <v>20</v>
      </c>
      <c r="D820" s="183">
        <v>1</v>
      </c>
      <c r="E820" s="185" t="s">
        <v>1124</v>
      </c>
      <c r="F820" s="185" t="s">
        <v>1124</v>
      </c>
      <c r="G820" s="184" t="s">
        <v>1124</v>
      </c>
      <c r="H820" s="186"/>
      <c r="I820" s="185"/>
      <c r="J820" s="187"/>
      <c r="K820" s="188"/>
      <c r="L820" s="189"/>
      <c r="M820" s="185" t="s">
        <v>1124</v>
      </c>
      <c r="N820" s="189"/>
      <c r="O820" s="333"/>
      <c r="P820" s="333" t="s">
        <v>1124</v>
      </c>
      <c r="Q820" s="333" t="s">
        <v>1124</v>
      </c>
      <c r="R820" s="475" t="str">
        <f t="shared" si="13"/>
        <v/>
      </c>
      <c r="S820" s="340" t="s">
        <v>1124</v>
      </c>
    </row>
    <row r="821" spans="2:19" ht="15" customHeight="1" x14ac:dyDescent="0.35">
      <c r="B821" s="181">
        <v>19068</v>
      </c>
      <c r="C821" s="182" t="s">
        <v>129</v>
      </c>
      <c r="D821" s="183">
        <v>12</v>
      </c>
      <c r="E821" s="185">
        <v>363</v>
      </c>
      <c r="F821" s="185">
        <v>164</v>
      </c>
      <c r="G821" s="184" t="s">
        <v>1326</v>
      </c>
      <c r="H821" s="186">
        <v>1</v>
      </c>
      <c r="I821" s="185">
        <v>1895</v>
      </c>
      <c r="J821" s="187">
        <v>2.3889591234723979</v>
      </c>
      <c r="K821" s="188">
        <v>4527.0775389801938</v>
      </c>
      <c r="L821" s="189">
        <v>34.363</v>
      </c>
      <c r="M821" s="185">
        <v>1789</v>
      </c>
      <c r="N821" s="189">
        <v>600.44399999999996</v>
      </c>
      <c r="O821" s="333">
        <v>271.41300000000001</v>
      </c>
      <c r="P821" s="333">
        <v>13.722999999999956</v>
      </c>
      <c r="Q821" s="333">
        <v>33.844026399999997</v>
      </c>
      <c r="R821" s="475">
        <f t="shared" si="13"/>
        <v>0.40547775958477439</v>
      </c>
      <c r="S821" s="340">
        <v>66.549019607843135</v>
      </c>
    </row>
    <row r="822" spans="2:19" ht="15" customHeight="1" x14ac:dyDescent="0.35">
      <c r="B822" s="181">
        <v>93070</v>
      </c>
      <c r="C822" s="182" t="s">
        <v>969</v>
      </c>
      <c r="D822" s="183">
        <v>2</v>
      </c>
      <c r="E822" s="185">
        <v>604</v>
      </c>
      <c r="F822" s="185">
        <v>214</v>
      </c>
      <c r="G822" s="184" t="s">
        <v>1308</v>
      </c>
      <c r="H822" s="186">
        <v>1</v>
      </c>
      <c r="I822" s="185">
        <v>333</v>
      </c>
      <c r="J822" s="187">
        <v>2.78</v>
      </c>
      <c r="K822" s="188">
        <v>925.7399999999999</v>
      </c>
      <c r="L822" s="189">
        <v>38.542999999999999</v>
      </c>
      <c r="M822" s="185">
        <v>662</v>
      </c>
      <c r="N822" s="189">
        <v>204.01</v>
      </c>
      <c r="O822" s="333">
        <v>72.319000000000003</v>
      </c>
      <c r="P822" s="333">
        <v>33.991345765306122</v>
      </c>
      <c r="Q822" s="333">
        <v>31.583994288000003</v>
      </c>
      <c r="R822" s="475">
        <f t="shared" si="13"/>
        <v>1.0762206152697023</v>
      </c>
      <c r="S822" s="340">
        <v>63</v>
      </c>
    </row>
    <row r="823" spans="2:19" ht="15" customHeight="1" x14ac:dyDescent="0.35">
      <c r="B823" s="181">
        <v>44015</v>
      </c>
      <c r="C823" s="182" t="s">
        <v>401</v>
      </c>
      <c r="D823" s="183">
        <v>5</v>
      </c>
      <c r="E823" s="185">
        <v>356</v>
      </c>
      <c r="F823" s="185">
        <v>254</v>
      </c>
      <c r="G823" s="184" t="s">
        <v>1308</v>
      </c>
      <c r="H823" s="186">
        <v>1</v>
      </c>
      <c r="I823" s="185">
        <v>28</v>
      </c>
      <c r="J823" s="187">
        <v>2.2195121951219514</v>
      </c>
      <c r="K823" s="188">
        <v>62.146341463414643</v>
      </c>
      <c r="L823" s="189">
        <v>1.6080000000000001</v>
      </c>
      <c r="M823" s="185">
        <v>32</v>
      </c>
      <c r="N823" s="189">
        <v>8.0719999999999992</v>
      </c>
      <c r="O823" s="333">
        <v>5.7572941176470582</v>
      </c>
      <c r="P823" s="333">
        <v>0.95991999999999933</v>
      </c>
      <c r="Q823" s="333">
        <v>1.1269995881601635</v>
      </c>
      <c r="R823" s="475">
        <f t="shared" si="13"/>
        <v>0.85174831480380297</v>
      </c>
      <c r="S823" s="340">
        <v>59.256756756756758</v>
      </c>
    </row>
    <row r="824" spans="2:19" ht="15" customHeight="1" x14ac:dyDescent="0.35">
      <c r="B824" s="181">
        <v>29020</v>
      </c>
      <c r="C824" s="182" t="s">
        <v>203</v>
      </c>
      <c r="D824" s="183">
        <v>12</v>
      </c>
      <c r="E824" s="185" t="s">
        <v>1124</v>
      </c>
      <c r="F824" s="185" t="s">
        <v>1124</v>
      </c>
      <c r="G824" s="184" t="s">
        <v>1124</v>
      </c>
      <c r="H824" s="186"/>
      <c r="I824" s="185"/>
      <c r="J824" s="187"/>
      <c r="K824" s="188"/>
      <c r="L824" s="189"/>
      <c r="M824" s="185" t="s">
        <v>1124</v>
      </c>
      <c r="N824" s="189"/>
      <c r="O824" s="333"/>
      <c r="P824" s="333" t="s">
        <v>1124</v>
      </c>
      <c r="Q824" s="333" t="s">
        <v>1124</v>
      </c>
      <c r="R824" s="475" t="str">
        <f t="shared" si="13"/>
        <v/>
      </c>
      <c r="S824" s="340" t="s">
        <v>1124</v>
      </c>
    </row>
    <row r="825" spans="2:19" ht="15" customHeight="1" x14ac:dyDescent="0.35">
      <c r="B825" s="181">
        <v>16050</v>
      </c>
      <c r="C825" s="182" t="s">
        <v>88</v>
      </c>
      <c r="D825" s="183">
        <v>3</v>
      </c>
      <c r="E825" s="185">
        <v>324</v>
      </c>
      <c r="F825" s="185">
        <v>245</v>
      </c>
      <c r="G825" s="184" t="s">
        <v>1308</v>
      </c>
      <c r="H825" s="186">
        <v>1</v>
      </c>
      <c r="I825" s="185">
        <v>284</v>
      </c>
      <c r="J825" s="187">
        <v>2.0885122410546137</v>
      </c>
      <c r="K825" s="188">
        <v>593.13747645951025</v>
      </c>
      <c r="L825" s="189">
        <v>6.56</v>
      </c>
      <c r="M825" s="185">
        <v>243</v>
      </c>
      <c r="N825" s="189">
        <v>70.16</v>
      </c>
      <c r="O825" s="333">
        <v>53.022886850152908</v>
      </c>
      <c r="P825" s="333">
        <v>8.0565999999999924</v>
      </c>
      <c r="Q825" s="333">
        <v>8.1737370000000009</v>
      </c>
      <c r="R825" s="475">
        <f t="shared" si="13"/>
        <v>0.9856691009265397</v>
      </c>
      <c r="S825" s="340">
        <v>58.202702702702709</v>
      </c>
    </row>
    <row r="826" spans="2:19" ht="15" customHeight="1" x14ac:dyDescent="0.35">
      <c r="B826" s="181">
        <v>75045</v>
      </c>
      <c r="C826" s="182" t="s">
        <v>746</v>
      </c>
      <c r="D826" s="183">
        <v>15</v>
      </c>
      <c r="E826" s="185">
        <v>395</v>
      </c>
      <c r="F826" s="185">
        <v>310</v>
      </c>
      <c r="G826" s="184" t="s">
        <v>1326</v>
      </c>
      <c r="H826" s="186">
        <v>1</v>
      </c>
      <c r="I826" s="185">
        <v>79</v>
      </c>
      <c r="J826" s="187">
        <v>2.1175049417966174</v>
      </c>
      <c r="K826" s="188">
        <v>167.28289040193278</v>
      </c>
      <c r="L826" s="189">
        <v>3.8149999999999999</v>
      </c>
      <c r="M826" s="185">
        <v>83</v>
      </c>
      <c r="N826" s="189">
        <v>24.097000000000001</v>
      </c>
      <c r="O826" s="333">
        <v>18.929945652173913</v>
      </c>
      <c r="P826" s="333">
        <v>1.6905450000000013</v>
      </c>
      <c r="Q826" s="333">
        <v>2.9001622500000002</v>
      </c>
      <c r="R826" s="475">
        <f t="shared" si="13"/>
        <v>0.58291393869429242</v>
      </c>
      <c r="S826" s="340">
        <v>59.081081081081095</v>
      </c>
    </row>
    <row r="827" spans="2:19" ht="15" customHeight="1" x14ac:dyDescent="0.35">
      <c r="B827" s="181">
        <v>94240</v>
      </c>
      <c r="C827" s="182" t="s">
        <v>980</v>
      </c>
      <c r="D827" s="183">
        <v>2</v>
      </c>
      <c r="E827" s="185">
        <v>377</v>
      </c>
      <c r="F827" s="185">
        <v>207</v>
      </c>
      <c r="G827" s="184" t="s">
        <v>1308</v>
      </c>
      <c r="H827" s="186">
        <v>1</v>
      </c>
      <c r="I827" s="185">
        <v>2428</v>
      </c>
      <c r="J827" s="187">
        <v>2.4674092409240922</v>
      </c>
      <c r="K827" s="188">
        <v>5990.8696369636955</v>
      </c>
      <c r="L827" s="189">
        <v>104.33544999999999</v>
      </c>
      <c r="M827" s="185">
        <v>2596</v>
      </c>
      <c r="N827" s="189">
        <v>823.41499999999996</v>
      </c>
      <c r="O827" s="333">
        <v>452.30799999999999</v>
      </c>
      <c r="P827" s="333">
        <v>255.22568931122453</v>
      </c>
      <c r="Q827" s="333">
        <v>88.664991506384993</v>
      </c>
      <c r="R827" s="475">
        <f t="shared" si="13"/>
        <v>2.8785396014259481</v>
      </c>
      <c r="S827" s="340">
        <v>59.780701754385973</v>
      </c>
    </row>
    <row r="828" spans="2:19" ht="15" customHeight="1" x14ac:dyDescent="0.35">
      <c r="B828" s="181">
        <v>29038</v>
      </c>
      <c r="C828" s="182" t="s">
        <v>206</v>
      </c>
      <c r="D828" s="183">
        <v>12</v>
      </c>
      <c r="E828" s="185">
        <v>328</v>
      </c>
      <c r="F828" s="185">
        <v>219</v>
      </c>
      <c r="G828" s="184" t="s">
        <v>1308</v>
      </c>
      <c r="H828" s="186">
        <v>1</v>
      </c>
      <c r="I828" s="185">
        <v>425</v>
      </c>
      <c r="J828" s="187">
        <v>2.72</v>
      </c>
      <c r="K828" s="188">
        <v>1156</v>
      </c>
      <c r="L828" s="189">
        <v>11.734999999999999</v>
      </c>
      <c r="M828" s="185">
        <v>419</v>
      </c>
      <c r="N828" s="189">
        <v>138.44300000000001</v>
      </c>
      <c r="O828" s="333">
        <v>92.25</v>
      </c>
      <c r="P828" s="333">
        <v>7.9453782216495021</v>
      </c>
      <c r="Q828" s="333">
        <v>13.632586407</v>
      </c>
      <c r="R828" s="475">
        <f t="shared" si="13"/>
        <v>0.58282250956940529</v>
      </c>
      <c r="S828" s="340">
        <v>67.177777777777749</v>
      </c>
    </row>
    <row r="829" spans="2:19" ht="15" customHeight="1" x14ac:dyDescent="0.35">
      <c r="B829" s="181">
        <v>13090</v>
      </c>
      <c r="C829" s="182" t="s">
        <v>57</v>
      </c>
      <c r="D829" s="183">
        <v>1</v>
      </c>
      <c r="E829" s="185" t="s">
        <v>1124</v>
      </c>
      <c r="F829" s="185" t="s">
        <v>1124</v>
      </c>
      <c r="G829" s="184" t="s">
        <v>1124</v>
      </c>
      <c r="H829" s="186"/>
      <c r="I829" s="185"/>
      <c r="J829" s="187"/>
      <c r="K829" s="188"/>
      <c r="L829" s="189"/>
      <c r="M829" s="185" t="s">
        <v>1124</v>
      </c>
      <c r="N829" s="189"/>
      <c r="O829" s="333"/>
      <c r="P829" s="333" t="s">
        <v>1124</v>
      </c>
      <c r="Q829" s="333" t="s">
        <v>1124</v>
      </c>
      <c r="R829" s="475" t="str">
        <f t="shared" si="13"/>
        <v/>
      </c>
      <c r="S829" s="340" t="s">
        <v>1124</v>
      </c>
    </row>
    <row r="830" spans="2:19" ht="15" customHeight="1" x14ac:dyDescent="0.35">
      <c r="B830" s="181">
        <v>12010</v>
      </c>
      <c r="C830" s="182" t="s">
        <v>29</v>
      </c>
      <c r="D830" s="183">
        <v>1</v>
      </c>
      <c r="E830" s="185">
        <v>253</v>
      </c>
      <c r="F830" s="185">
        <v>185</v>
      </c>
      <c r="G830" s="184" t="s">
        <v>1308</v>
      </c>
      <c r="H830" s="186">
        <v>1</v>
      </c>
      <c r="I830" s="185">
        <v>389</v>
      </c>
      <c r="J830" s="187">
        <v>2.2898799313893652</v>
      </c>
      <c r="K830" s="188">
        <v>890.76329331046304</v>
      </c>
      <c r="L830" s="189">
        <v>10.244999999999999</v>
      </c>
      <c r="M830" s="185">
        <v>389</v>
      </c>
      <c r="N830" s="189">
        <v>82.1</v>
      </c>
      <c r="O830" s="333">
        <v>60.124130841121499</v>
      </c>
      <c r="P830" s="333">
        <v>14.511499999999989</v>
      </c>
      <c r="Q830" s="333">
        <v>9.8807934550000009</v>
      </c>
      <c r="R830" s="475">
        <f t="shared" si="13"/>
        <v>1.4686573569308548</v>
      </c>
      <c r="S830" s="340">
        <v>59.081081081081081</v>
      </c>
    </row>
    <row r="831" spans="2:19" ht="15" customHeight="1" x14ac:dyDescent="0.35">
      <c r="B831" s="181">
        <v>54100</v>
      </c>
      <c r="C831" s="182" t="s">
        <v>553</v>
      </c>
      <c r="D831" s="183">
        <v>16</v>
      </c>
      <c r="E831" s="185" t="s">
        <v>1124</v>
      </c>
      <c r="F831" s="185" t="s">
        <v>1124</v>
      </c>
      <c r="G831" s="184" t="s">
        <v>1124</v>
      </c>
      <c r="H831" s="186"/>
      <c r="I831" s="185"/>
      <c r="J831" s="187"/>
      <c r="K831" s="188"/>
      <c r="L831" s="189"/>
      <c r="M831" s="185" t="s">
        <v>1124</v>
      </c>
      <c r="N831" s="189"/>
      <c r="O831" s="333"/>
      <c r="P831" s="333" t="s">
        <v>1124</v>
      </c>
      <c r="Q831" s="333" t="s">
        <v>1124</v>
      </c>
      <c r="R831" s="475" t="str">
        <f t="shared" si="13"/>
        <v/>
      </c>
      <c r="S831" s="340" t="s">
        <v>1124</v>
      </c>
    </row>
    <row r="832" spans="2:19" ht="15" customHeight="1" x14ac:dyDescent="0.35">
      <c r="B832" s="181">
        <v>54048</v>
      </c>
      <c r="C832" s="182" t="s">
        <v>547</v>
      </c>
      <c r="D832" s="183">
        <v>16</v>
      </c>
      <c r="E832" s="185" t="s">
        <v>1124</v>
      </c>
      <c r="F832" s="185" t="s">
        <v>1124</v>
      </c>
      <c r="G832" s="184" t="s">
        <v>1124</v>
      </c>
      <c r="H832" s="186"/>
      <c r="I832" s="185"/>
      <c r="J832" s="187"/>
      <c r="K832" s="188"/>
      <c r="L832" s="189"/>
      <c r="M832" s="185" t="s">
        <v>1124</v>
      </c>
      <c r="N832" s="189"/>
      <c r="O832" s="333"/>
      <c r="P832" s="333" t="s">
        <v>1124</v>
      </c>
      <c r="Q832" s="333" t="s">
        <v>1124</v>
      </c>
      <c r="R832" s="475" t="str">
        <f t="shared" si="13"/>
        <v/>
      </c>
      <c r="S832" s="340" t="s">
        <v>1124</v>
      </c>
    </row>
    <row r="833" spans="2:19" ht="15" customHeight="1" x14ac:dyDescent="0.35">
      <c r="B833" s="181">
        <v>52045</v>
      </c>
      <c r="C833" s="182" t="s">
        <v>520</v>
      </c>
      <c r="D833" s="183">
        <v>14</v>
      </c>
      <c r="E833" s="185">
        <v>377</v>
      </c>
      <c r="F833" s="185">
        <v>196</v>
      </c>
      <c r="G833" s="184" t="s">
        <v>1308</v>
      </c>
      <c r="H833" s="186">
        <v>1</v>
      </c>
      <c r="I833" s="185">
        <v>1000</v>
      </c>
      <c r="J833" s="187">
        <v>2.06</v>
      </c>
      <c r="K833" s="188">
        <v>2060</v>
      </c>
      <c r="L833" s="189">
        <v>31.360000000000003</v>
      </c>
      <c r="M833" s="185">
        <v>1006</v>
      </c>
      <c r="N833" s="189">
        <v>283.745</v>
      </c>
      <c r="O833" s="333">
        <v>147.523</v>
      </c>
      <c r="P833" s="333">
        <v>111.64642653061226</v>
      </c>
      <c r="Q833" s="333">
        <v>27.331213140000003</v>
      </c>
      <c r="R833" s="475">
        <f t="shared" si="13"/>
        <v>4.0849422218735896</v>
      </c>
      <c r="S833" s="340">
        <v>69.701754385964932</v>
      </c>
    </row>
    <row r="834" spans="2:19" ht="15" customHeight="1" x14ac:dyDescent="0.35">
      <c r="B834" s="181">
        <v>46095</v>
      </c>
      <c r="C834" s="182" t="s">
        <v>444</v>
      </c>
      <c r="D834" s="183">
        <v>5</v>
      </c>
      <c r="E834" s="185" t="s">
        <v>1124</v>
      </c>
      <c r="F834" s="185" t="s">
        <v>1124</v>
      </c>
      <c r="G834" s="184" t="s">
        <v>1124</v>
      </c>
      <c r="H834" s="186"/>
      <c r="I834" s="185"/>
      <c r="J834" s="187"/>
      <c r="K834" s="188"/>
      <c r="L834" s="189"/>
      <c r="M834" s="185" t="s">
        <v>1124</v>
      </c>
      <c r="N834" s="189"/>
      <c r="O834" s="333"/>
      <c r="P834" s="333" t="s">
        <v>1124</v>
      </c>
      <c r="Q834" s="333" t="s">
        <v>1124</v>
      </c>
      <c r="R834" s="475" t="str">
        <f t="shared" si="13"/>
        <v/>
      </c>
      <c r="S834" s="340" t="s">
        <v>1124</v>
      </c>
    </row>
    <row r="835" spans="2:19" ht="15" customHeight="1" x14ac:dyDescent="0.35">
      <c r="B835" s="181">
        <v>15005</v>
      </c>
      <c r="C835" s="182" t="s">
        <v>77</v>
      </c>
      <c r="D835" s="183">
        <v>3</v>
      </c>
      <c r="E835" s="185">
        <v>685</v>
      </c>
      <c r="F835" s="185">
        <v>359</v>
      </c>
      <c r="G835" s="184" t="s">
        <v>1308</v>
      </c>
      <c r="H835" s="186">
        <v>1</v>
      </c>
      <c r="I835" s="185">
        <v>164</v>
      </c>
      <c r="J835" s="187">
        <v>1.5750577367205543</v>
      </c>
      <c r="K835" s="188">
        <v>258.30946882217091</v>
      </c>
      <c r="L835" s="189">
        <v>5.96</v>
      </c>
      <c r="M835" s="185">
        <v>170</v>
      </c>
      <c r="N835" s="189">
        <v>64.623999999999995</v>
      </c>
      <c r="O835" s="333">
        <v>33.89</v>
      </c>
      <c r="P835" s="333">
        <v>17.746275357142846</v>
      </c>
      <c r="Q835" s="333">
        <v>6.0672997349999997</v>
      </c>
      <c r="R835" s="475">
        <f t="shared" si="13"/>
        <v>2.9249050042428548</v>
      </c>
      <c r="S835" s="340">
        <v>59.552631578947377</v>
      </c>
    </row>
    <row r="836" spans="2:19" ht="15" customHeight="1" x14ac:dyDescent="0.35">
      <c r="B836" s="181">
        <v>26063</v>
      </c>
      <c r="C836" s="182" t="s">
        <v>176</v>
      </c>
      <c r="D836" s="183">
        <v>12</v>
      </c>
      <c r="E836" s="185" t="s">
        <v>1124</v>
      </c>
      <c r="F836" s="185" t="s">
        <v>1124</v>
      </c>
      <c r="G836" s="184" t="s">
        <v>1124</v>
      </c>
      <c r="H836" s="186"/>
      <c r="I836" s="185"/>
      <c r="J836" s="187"/>
      <c r="K836" s="188"/>
      <c r="L836" s="189"/>
      <c r="M836" s="185" t="s">
        <v>1124</v>
      </c>
      <c r="N836" s="189"/>
      <c r="O836" s="333"/>
      <c r="P836" s="333" t="s">
        <v>1124</v>
      </c>
      <c r="Q836" s="333" t="s">
        <v>1124</v>
      </c>
      <c r="R836" s="475" t="str">
        <f t="shared" si="13"/>
        <v/>
      </c>
      <c r="S836" s="340" t="s">
        <v>1124</v>
      </c>
    </row>
    <row r="837" spans="2:19" ht="15" customHeight="1" x14ac:dyDescent="0.35">
      <c r="B837" s="181">
        <v>67040</v>
      </c>
      <c r="C837" s="182" t="s">
        <v>669</v>
      </c>
      <c r="D837" s="183">
        <v>16</v>
      </c>
      <c r="E837" s="185">
        <v>334</v>
      </c>
      <c r="F837" s="185">
        <v>187</v>
      </c>
      <c r="G837" s="184" t="s">
        <v>1326</v>
      </c>
      <c r="H837" s="186">
        <v>1</v>
      </c>
      <c r="I837" s="185">
        <v>747</v>
      </c>
      <c r="J837" s="187">
        <v>2.5688847235238987</v>
      </c>
      <c r="K837" s="188">
        <v>1918.9568884723524</v>
      </c>
      <c r="L837" s="189">
        <v>13.334</v>
      </c>
      <c r="M837" s="185">
        <v>694</v>
      </c>
      <c r="N837" s="189">
        <v>233.774</v>
      </c>
      <c r="O837" s="333">
        <v>131.03700000000001</v>
      </c>
      <c r="P837" s="333">
        <v>62.201021185567001</v>
      </c>
      <c r="Q837" s="333">
        <v>14.143195199999999</v>
      </c>
      <c r="R837" s="475">
        <f t="shared" si="13"/>
        <v>4.397946878762375</v>
      </c>
      <c r="S837" s="340">
        <v>71.8</v>
      </c>
    </row>
    <row r="838" spans="2:19" ht="15" customHeight="1" x14ac:dyDescent="0.35">
      <c r="B838" s="181">
        <v>41012</v>
      </c>
      <c r="C838" s="182" t="s">
        <v>365</v>
      </c>
      <c r="D838" s="183">
        <v>5</v>
      </c>
      <c r="E838" s="185">
        <v>484</v>
      </c>
      <c r="F838" s="185">
        <v>155</v>
      </c>
      <c r="G838" s="184" t="s">
        <v>1308</v>
      </c>
      <c r="H838" s="186">
        <v>1</v>
      </c>
      <c r="I838" s="185">
        <v>167</v>
      </c>
      <c r="J838" s="187">
        <v>1.8021108179419525</v>
      </c>
      <c r="K838" s="188">
        <v>300.95250659630608</v>
      </c>
      <c r="L838" s="189">
        <v>6.0060000000000002</v>
      </c>
      <c r="M838" s="185">
        <v>166</v>
      </c>
      <c r="N838" s="189">
        <v>53.143999999999991</v>
      </c>
      <c r="O838" s="333">
        <v>17.007000000000001</v>
      </c>
      <c r="P838" s="333">
        <v>29.661546071428557</v>
      </c>
      <c r="Q838" s="333">
        <v>5.0214337428000002</v>
      </c>
      <c r="R838" s="475">
        <f t="shared" si="13"/>
        <v>5.9069874443646428</v>
      </c>
      <c r="S838" s="340">
        <v>72.096491228070192</v>
      </c>
    </row>
    <row r="839" spans="2:19" ht="15" customHeight="1" x14ac:dyDescent="0.35">
      <c r="B839" s="181">
        <v>63013</v>
      </c>
      <c r="C839" s="182" t="s">
        <v>635</v>
      </c>
      <c r="D839" s="183">
        <v>14</v>
      </c>
      <c r="E839" s="185">
        <v>328</v>
      </c>
      <c r="F839" s="185">
        <v>253</v>
      </c>
      <c r="G839" s="184" t="s">
        <v>1326</v>
      </c>
      <c r="H839" s="186">
        <v>1</v>
      </c>
      <c r="I839" s="185">
        <v>1627</v>
      </c>
      <c r="J839" s="187">
        <v>2.3019406392694064</v>
      </c>
      <c r="K839" s="188">
        <v>3745.2574200913241</v>
      </c>
      <c r="L839" s="189">
        <v>26.111999999999998</v>
      </c>
      <c r="M839" s="185">
        <v>1155</v>
      </c>
      <c r="N839" s="189">
        <v>448.21100000000001</v>
      </c>
      <c r="O839" s="333">
        <v>345.28262402402402</v>
      </c>
      <c r="P839" s="333">
        <v>88.140835000000024</v>
      </c>
      <c r="Q839" s="333">
        <v>25.34244567</v>
      </c>
      <c r="R839" s="475">
        <f t="shared" ref="R839:R902" si="14">IF(H839="","",P839/Q839)</f>
        <v>3.4779924616486322</v>
      </c>
      <c r="S839" s="340">
        <v>58.72972972972974</v>
      </c>
    </row>
    <row r="840" spans="2:19" ht="15" customHeight="1" x14ac:dyDescent="0.35">
      <c r="B840" s="181">
        <v>31140</v>
      </c>
      <c r="C840" s="182" t="s">
        <v>255</v>
      </c>
      <c r="D840" s="183">
        <v>12</v>
      </c>
      <c r="E840" s="185">
        <v>253</v>
      </c>
      <c r="F840" s="185">
        <v>204</v>
      </c>
      <c r="G840" s="184" t="s">
        <v>1308</v>
      </c>
      <c r="H840" s="186">
        <v>1</v>
      </c>
      <c r="I840" s="185">
        <v>204</v>
      </c>
      <c r="J840" s="187">
        <v>2.0299999999999998</v>
      </c>
      <c r="K840" s="188">
        <v>414.11999999999995</v>
      </c>
      <c r="L840" s="189">
        <v>6.6109999999999998</v>
      </c>
      <c r="M840" s="185">
        <v>194</v>
      </c>
      <c r="N840" s="189">
        <v>38.192999999999998</v>
      </c>
      <c r="O840" s="333">
        <v>30.908756756756759</v>
      </c>
      <c r="P840" s="333">
        <v>3.9841049999999951</v>
      </c>
      <c r="Q840" s="333">
        <v>4.0414335919999997</v>
      </c>
      <c r="R840" s="475">
        <f t="shared" si="14"/>
        <v>0.98581478807087508</v>
      </c>
      <c r="S840" s="340">
        <v>58.72972972972974</v>
      </c>
    </row>
    <row r="841" spans="2:19" ht="15" customHeight="1" x14ac:dyDescent="0.35">
      <c r="B841" s="181">
        <v>31025</v>
      </c>
      <c r="C841" s="182" t="s">
        <v>240</v>
      </c>
      <c r="D841" s="183">
        <v>12</v>
      </c>
      <c r="E841" s="185" t="s">
        <v>1124</v>
      </c>
      <c r="F841" s="185" t="s">
        <v>1124</v>
      </c>
      <c r="G841" s="184" t="s">
        <v>1124</v>
      </c>
      <c r="H841" s="186"/>
      <c r="I841" s="185"/>
      <c r="J841" s="187"/>
      <c r="K841" s="188"/>
      <c r="L841" s="189"/>
      <c r="M841" s="185" t="s">
        <v>1124</v>
      </c>
      <c r="N841" s="189"/>
      <c r="O841" s="333"/>
      <c r="P841" s="333" t="s">
        <v>1124</v>
      </c>
      <c r="Q841" s="333" t="s">
        <v>1124</v>
      </c>
      <c r="R841" s="475" t="str">
        <f t="shared" si="14"/>
        <v/>
      </c>
      <c r="S841" s="340" t="s">
        <v>1124</v>
      </c>
    </row>
    <row r="842" spans="2:19" ht="15" customHeight="1" x14ac:dyDescent="0.35">
      <c r="B842" s="181">
        <v>68040</v>
      </c>
      <c r="C842" s="182" t="s">
        <v>680</v>
      </c>
      <c r="D842" s="183">
        <v>16</v>
      </c>
      <c r="E842" s="185" t="s">
        <v>1124</v>
      </c>
      <c r="F842" s="185" t="s">
        <v>1124</v>
      </c>
      <c r="G842" s="184" t="s">
        <v>1124</v>
      </c>
      <c r="H842" s="186"/>
      <c r="I842" s="185"/>
      <c r="J842" s="187"/>
      <c r="K842" s="188"/>
      <c r="L842" s="189"/>
      <c r="M842" s="185" t="s">
        <v>1124</v>
      </c>
      <c r="N842" s="189"/>
      <c r="O842" s="333"/>
      <c r="P842" s="333" t="s">
        <v>1124</v>
      </c>
      <c r="Q842" s="333" t="s">
        <v>1124</v>
      </c>
      <c r="R842" s="475" t="str">
        <f t="shared" si="14"/>
        <v/>
      </c>
      <c r="S842" s="340" t="s">
        <v>1124</v>
      </c>
    </row>
    <row r="843" spans="2:19" ht="15" customHeight="1" x14ac:dyDescent="0.35">
      <c r="B843" s="181">
        <v>33065</v>
      </c>
      <c r="C843" s="182" t="s">
        <v>276</v>
      </c>
      <c r="D843" s="183">
        <v>12</v>
      </c>
      <c r="E843" s="185" t="s">
        <v>1124</v>
      </c>
      <c r="F843" s="185" t="s">
        <v>1124</v>
      </c>
      <c r="G843" s="184" t="s">
        <v>1124</v>
      </c>
      <c r="H843" s="186"/>
      <c r="I843" s="185"/>
      <c r="J843" s="187"/>
      <c r="K843" s="188"/>
      <c r="L843" s="189"/>
      <c r="M843" s="185" t="s">
        <v>1124</v>
      </c>
      <c r="N843" s="189"/>
      <c r="O843" s="333"/>
      <c r="P843" s="333" t="s">
        <v>1124</v>
      </c>
      <c r="Q843" s="333" t="s">
        <v>1124</v>
      </c>
      <c r="R843" s="475" t="str">
        <f t="shared" si="14"/>
        <v/>
      </c>
      <c r="S843" s="340" t="s">
        <v>1124</v>
      </c>
    </row>
    <row r="844" spans="2:19" ht="15" customHeight="1" x14ac:dyDescent="0.35">
      <c r="B844" s="181">
        <v>57033</v>
      </c>
      <c r="C844" s="182" t="s">
        <v>586</v>
      </c>
      <c r="D844" s="183">
        <v>16</v>
      </c>
      <c r="E844" s="185">
        <v>726</v>
      </c>
      <c r="F844" s="185">
        <v>282</v>
      </c>
      <c r="G844" s="184" t="s">
        <v>1326</v>
      </c>
      <c r="H844" s="186">
        <v>1</v>
      </c>
      <c r="I844" s="185">
        <v>1210</v>
      </c>
      <c r="J844" s="187">
        <v>2.5772357723577235</v>
      </c>
      <c r="K844" s="188">
        <v>3118.4552845528456</v>
      </c>
      <c r="L844" s="189">
        <v>43.86</v>
      </c>
      <c r="M844" s="185">
        <v>1012</v>
      </c>
      <c r="N844" s="189">
        <v>826.7</v>
      </c>
      <c r="O844" s="333">
        <v>321.43700000000001</v>
      </c>
      <c r="P844" s="333">
        <v>71.372051020408236</v>
      </c>
      <c r="Q844" s="333">
        <v>35.787987200000003</v>
      </c>
      <c r="R844" s="475">
        <f t="shared" si="14"/>
        <v>1.9943019041989662</v>
      </c>
      <c r="S844" s="340">
        <v>76.107843137254903</v>
      </c>
    </row>
    <row r="845" spans="2:19" ht="15" customHeight="1" x14ac:dyDescent="0.35">
      <c r="B845" s="181">
        <v>31100</v>
      </c>
      <c r="C845" s="182" t="s">
        <v>250</v>
      </c>
      <c r="D845" s="183">
        <v>12</v>
      </c>
      <c r="E845" s="185" t="s">
        <v>1124</v>
      </c>
      <c r="F845" s="185" t="s">
        <v>1124</v>
      </c>
      <c r="G845" s="184" t="s">
        <v>1124</v>
      </c>
      <c r="H845" s="186"/>
      <c r="I845" s="185"/>
      <c r="J845" s="187"/>
      <c r="K845" s="188"/>
      <c r="L845" s="189"/>
      <c r="M845" s="185" t="s">
        <v>1124</v>
      </c>
      <c r="N845" s="189"/>
      <c r="O845" s="333"/>
      <c r="P845" s="333" t="s">
        <v>1124</v>
      </c>
      <c r="Q845" s="333" t="s">
        <v>1124</v>
      </c>
      <c r="R845" s="475" t="str">
        <f t="shared" si="14"/>
        <v/>
      </c>
      <c r="S845" s="340" t="s">
        <v>1124</v>
      </c>
    </row>
    <row r="846" spans="2:19" ht="15" customHeight="1" x14ac:dyDescent="0.35">
      <c r="B846" s="181">
        <v>8010</v>
      </c>
      <c r="C846" s="182" t="s">
        <v>1087</v>
      </c>
      <c r="D846" s="183">
        <v>1</v>
      </c>
      <c r="E846" s="185" t="s">
        <v>1124</v>
      </c>
      <c r="F846" s="185" t="s">
        <v>1124</v>
      </c>
      <c r="G846" s="184" t="s">
        <v>1124</v>
      </c>
      <c r="H846" s="186"/>
      <c r="I846" s="185"/>
      <c r="J846" s="187"/>
      <c r="K846" s="188"/>
      <c r="L846" s="189"/>
      <c r="M846" s="185" t="s">
        <v>1124</v>
      </c>
      <c r="N846" s="189"/>
      <c r="O846" s="333"/>
      <c r="P846" s="333" t="s">
        <v>1124</v>
      </c>
      <c r="Q846" s="333" t="s">
        <v>1124</v>
      </c>
      <c r="R846" s="475" t="str">
        <f t="shared" si="14"/>
        <v/>
      </c>
      <c r="S846" s="340" t="s">
        <v>1124</v>
      </c>
    </row>
    <row r="847" spans="2:19" ht="15" customHeight="1" x14ac:dyDescent="0.35">
      <c r="B847" s="181">
        <v>11010</v>
      </c>
      <c r="C847" s="182" t="s">
        <v>18</v>
      </c>
      <c r="D847" s="183">
        <v>1</v>
      </c>
      <c r="E847" s="185">
        <v>249</v>
      </c>
      <c r="F847" s="185">
        <v>196</v>
      </c>
      <c r="G847" s="184" t="s">
        <v>1308</v>
      </c>
      <c r="H847" s="186">
        <v>1</v>
      </c>
      <c r="I847" s="185">
        <v>573</v>
      </c>
      <c r="J847" s="187">
        <v>2.0931435963777489</v>
      </c>
      <c r="K847" s="188">
        <v>1199.3712807244501</v>
      </c>
      <c r="L847" s="189">
        <v>10.688000000000001</v>
      </c>
      <c r="M847" s="185">
        <v>588</v>
      </c>
      <c r="N847" s="189">
        <v>109.121</v>
      </c>
      <c r="O847" s="333">
        <v>85.729335974643419</v>
      </c>
      <c r="P847" s="333">
        <v>13.077184999999997</v>
      </c>
      <c r="Q847" s="333">
        <v>10.903434687000001</v>
      </c>
      <c r="R847" s="475">
        <f t="shared" si="14"/>
        <v>1.1993638129085806</v>
      </c>
      <c r="S847" s="340">
        <v>59.081081081081081</v>
      </c>
    </row>
    <row r="848" spans="2:19" ht="15" customHeight="1" x14ac:dyDescent="0.35">
      <c r="B848" s="181">
        <v>13010</v>
      </c>
      <c r="C848" s="182" t="s">
        <v>42</v>
      </c>
      <c r="D848" s="183">
        <v>1</v>
      </c>
      <c r="E848" s="185" t="s">
        <v>1124</v>
      </c>
      <c r="F848" s="185" t="s">
        <v>1124</v>
      </c>
      <c r="G848" s="184" t="s">
        <v>1124</v>
      </c>
      <c r="H848" s="186"/>
      <c r="I848" s="185"/>
      <c r="J848" s="187"/>
      <c r="K848" s="188"/>
      <c r="L848" s="189"/>
      <c r="M848" s="185" t="s">
        <v>1124</v>
      </c>
      <c r="N848" s="189"/>
      <c r="O848" s="333"/>
      <c r="P848" s="333" t="s">
        <v>1124</v>
      </c>
      <c r="Q848" s="333" t="s">
        <v>1124</v>
      </c>
      <c r="R848" s="475" t="str">
        <f t="shared" si="14"/>
        <v/>
      </c>
      <c r="S848" s="340" t="s">
        <v>1124</v>
      </c>
    </row>
    <row r="849" spans="2:19" ht="15" customHeight="1" x14ac:dyDescent="0.35">
      <c r="B849" s="181">
        <v>20015</v>
      </c>
      <c r="C849" s="182" t="s">
        <v>140</v>
      </c>
      <c r="D849" s="183">
        <v>3</v>
      </c>
      <c r="E849" s="185" t="s">
        <v>1124</v>
      </c>
      <c r="F849" s="185" t="s">
        <v>1124</v>
      </c>
      <c r="G849" s="184" t="s">
        <v>1124</v>
      </c>
      <c r="H849" s="186"/>
      <c r="I849" s="185"/>
      <c r="J849" s="187"/>
      <c r="K849" s="188"/>
      <c r="L849" s="189"/>
      <c r="M849" s="185" t="s">
        <v>1124</v>
      </c>
      <c r="N849" s="189"/>
      <c r="O849" s="333"/>
      <c r="P849" s="333" t="s">
        <v>1124</v>
      </c>
      <c r="Q849" s="333" t="s">
        <v>1124</v>
      </c>
      <c r="R849" s="475" t="str">
        <f t="shared" si="14"/>
        <v/>
      </c>
      <c r="S849" s="340" t="s">
        <v>1124</v>
      </c>
    </row>
    <row r="850" spans="2:19" ht="15" customHeight="1" x14ac:dyDescent="0.35">
      <c r="B850" s="181">
        <v>62015</v>
      </c>
      <c r="C850" s="182" t="s">
        <v>620</v>
      </c>
      <c r="D850" s="183">
        <v>14</v>
      </c>
      <c r="E850" s="185">
        <v>355</v>
      </c>
      <c r="F850" s="185">
        <v>244</v>
      </c>
      <c r="G850" s="184" t="s">
        <v>1308</v>
      </c>
      <c r="H850" s="186">
        <v>1</v>
      </c>
      <c r="I850" s="185">
        <v>755</v>
      </c>
      <c r="J850" s="187">
        <v>1.746019417475728</v>
      </c>
      <c r="K850" s="188">
        <v>1318.2446601941747</v>
      </c>
      <c r="L850" s="189">
        <v>9.7409999999999997</v>
      </c>
      <c r="M850" s="185">
        <v>558</v>
      </c>
      <c r="N850" s="189">
        <v>170.74460000000002</v>
      </c>
      <c r="O850" s="333">
        <v>117.63934495192308</v>
      </c>
      <c r="P850" s="333">
        <v>38.546431000000013</v>
      </c>
      <c r="Q850" s="333">
        <v>12.044637281250001</v>
      </c>
      <c r="R850" s="475">
        <f t="shared" si="14"/>
        <v>3.2002981991002422</v>
      </c>
      <c r="S850" s="340">
        <v>59.081081081081081</v>
      </c>
    </row>
    <row r="851" spans="2:19" ht="15" customHeight="1" x14ac:dyDescent="0.35">
      <c r="B851" s="181">
        <v>17070</v>
      </c>
      <c r="C851" s="182" t="s">
        <v>102</v>
      </c>
      <c r="D851" s="183">
        <v>12</v>
      </c>
      <c r="E851" s="185" t="s">
        <v>1124</v>
      </c>
      <c r="F851" s="185" t="s">
        <v>1124</v>
      </c>
      <c r="G851" s="184" t="s">
        <v>1124</v>
      </c>
      <c r="H851" s="186"/>
      <c r="I851" s="185"/>
      <c r="J851" s="187"/>
      <c r="K851" s="188"/>
      <c r="L851" s="189"/>
      <c r="M851" s="185" t="s">
        <v>1124</v>
      </c>
      <c r="N851" s="189"/>
      <c r="O851" s="333"/>
      <c r="P851" s="333" t="s">
        <v>1124</v>
      </c>
      <c r="Q851" s="333" t="s">
        <v>1124</v>
      </c>
      <c r="R851" s="475" t="str">
        <f t="shared" si="14"/>
        <v/>
      </c>
      <c r="S851" s="340" t="s">
        <v>1124</v>
      </c>
    </row>
    <row r="852" spans="2:19" ht="15" customHeight="1" x14ac:dyDescent="0.35">
      <c r="B852" s="181">
        <v>56083</v>
      </c>
      <c r="C852" s="182" t="s">
        <v>578</v>
      </c>
      <c r="D852" s="183">
        <v>16</v>
      </c>
      <c r="E852" s="185">
        <v>430</v>
      </c>
      <c r="F852" s="185">
        <v>275</v>
      </c>
      <c r="G852" s="184" t="s">
        <v>1308</v>
      </c>
      <c r="H852" s="186">
        <v>2</v>
      </c>
      <c r="I852" s="185">
        <v>42245</v>
      </c>
      <c r="J852" s="187">
        <v>2.2877374051557564</v>
      </c>
      <c r="K852" s="188">
        <v>96645.466680804937</v>
      </c>
      <c r="L852" s="189">
        <v>497.54</v>
      </c>
      <c r="M852" s="185">
        <v>31640</v>
      </c>
      <c r="N852" s="189">
        <v>15154.210999999999</v>
      </c>
      <c r="O852" s="333">
        <v>9710.3828940000003</v>
      </c>
      <c r="P852" s="333">
        <v>2062.8269999999998</v>
      </c>
      <c r="Q852" s="333">
        <v>676.88432034999994</v>
      </c>
      <c r="R852" s="475">
        <f t="shared" si="14"/>
        <v>3.0475325516971106</v>
      </c>
      <c r="S852" s="340">
        <v>59</v>
      </c>
    </row>
    <row r="853" spans="2:19" ht="15" customHeight="1" x14ac:dyDescent="0.35">
      <c r="B853" s="181">
        <v>75017</v>
      </c>
      <c r="C853" s="182" t="s">
        <v>743</v>
      </c>
      <c r="D853" s="183">
        <v>15</v>
      </c>
      <c r="E853" s="185" t="s">
        <v>1124</v>
      </c>
      <c r="F853" s="185" t="s">
        <v>1124</v>
      </c>
      <c r="G853" s="184" t="s">
        <v>1124</v>
      </c>
      <c r="H853" s="186"/>
      <c r="I853" s="185"/>
      <c r="J853" s="187"/>
      <c r="K853" s="188"/>
      <c r="L853" s="189"/>
      <c r="M853" s="185" t="s">
        <v>1124</v>
      </c>
      <c r="N853" s="189"/>
      <c r="O853" s="333"/>
      <c r="P853" s="333" t="s">
        <v>1124</v>
      </c>
      <c r="Q853" s="333" t="s">
        <v>1124</v>
      </c>
      <c r="R853" s="475" t="str">
        <f t="shared" si="14"/>
        <v/>
      </c>
      <c r="S853" s="340" t="s">
        <v>1124</v>
      </c>
    </row>
    <row r="854" spans="2:19" ht="15" customHeight="1" x14ac:dyDescent="0.35">
      <c r="B854" s="181">
        <v>21020</v>
      </c>
      <c r="C854" s="182" t="s">
        <v>147</v>
      </c>
      <c r="D854" s="183">
        <v>3</v>
      </c>
      <c r="E854" s="185">
        <v>392</v>
      </c>
      <c r="F854" s="185">
        <v>275</v>
      </c>
      <c r="G854" s="184" t="s">
        <v>1308</v>
      </c>
      <c r="H854" s="186">
        <v>2</v>
      </c>
      <c r="I854" s="185">
        <v>585</v>
      </c>
      <c r="J854" s="187">
        <v>2.1197080291970805</v>
      </c>
      <c r="K854" s="188">
        <v>1240.0291970802921</v>
      </c>
      <c r="L854" s="189">
        <v>21.205000000000002</v>
      </c>
      <c r="M854" s="185">
        <v>585</v>
      </c>
      <c r="N854" s="189">
        <v>177.44800000000004</v>
      </c>
      <c r="O854" s="333">
        <v>124.464</v>
      </c>
      <c r="P854" s="333">
        <v>18.906280000000041</v>
      </c>
      <c r="Q854" s="333">
        <v>15.970535032500003</v>
      </c>
      <c r="R854" s="475">
        <f t="shared" si="14"/>
        <v>1.1838225808669405</v>
      </c>
      <c r="S854" s="340">
        <v>52.079519073310422</v>
      </c>
    </row>
    <row r="855" spans="2:19" ht="15" customHeight="1" x14ac:dyDescent="0.35">
      <c r="B855" s="181">
        <v>47040</v>
      </c>
      <c r="C855" s="182" t="s">
        <v>453</v>
      </c>
      <c r="D855" s="183">
        <v>5</v>
      </c>
      <c r="E855" s="185" t="s">
        <v>1124</v>
      </c>
      <c r="F855" s="185" t="s">
        <v>1124</v>
      </c>
      <c r="G855" s="184" t="s">
        <v>1124</v>
      </c>
      <c r="H855" s="186"/>
      <c r="I855" s="185"/>
      <c r="J855" s="187"/>
      <c r="K855" s="188"/>
      <c r="L855" s="189"/>
      <c r="M855" s="185" t="s">
        <v>1124</v>
      </c>
      <c r="N855" s="189"/>
      <c r="O855" s="333"/>
      <c r="P855" s="333" t="s">
        <v>1124</v>
      </c>
      <c r="Q855" s="333" t="s">
        <v>1124</v>
      </c>
      <c r="R855" s="475" t="str">
        <f t="shared" si="14"/>
        <v/>
      </c>
      <c r="S855" s="340" t="s">
        <v>1124</v>
      </c>
    </row>
    <row r="856" spans="2:19" ht="15" customHeight="1" x14ac:dyDescent="0.35">
      <c r="B856" s="181">
        <v>27043</v>
      </c>
      <c r="C856" s="182" t="s">
        <v>182</v>
      </c>
      <c r="D856" s="183">
        <v>12</v>
      </c>
      <c r="E856" s="185">
        <v>267</v>
      </c>
      <c r="F856" s="185">
        <v>190</v>
      </c>
      <c r="G856" s="184" t="s">
        <v>1308</v>
      </c>
      <c r="H856" s="186">
        <v>1</v>
      </c>
      <c r="I856" s="185">
        <v>1744</v>
      </c>
      <c r="J856" s="187">
        <v>2.82</v>
      </c>
      <c r="K856" s="188">
        <v>4918.08</v>
      </c>
      <c r="L856" s="189">
        <v>34.979999999999997</v>
      </c>
      <c r="M856" s="185">
        <v>1953</v>
      </c>
      <c r="N856" s="189">
        <v>478.67399999999998</v>
      </c>
      <c r="O856" s="333">
        <v>340.4087354904982</v>
      </c>
      <c r="P856" s="333">
        <v>92.556407999999934</v>
      </c>
      <c r="Q856" s="333">
        <v>46.661848199999994</v>
      </c>
      <c r="R856" s="475">
        <f t="shared" si="14"/>
        <v>1.983556407866415</v>
      </c>
      <c r="S856" s="340">
        <v>58.295918367346928</v>
      </c>
    </row>
    <row r="857" spans="2:19" ht="15" customHeight="1" x14ac:dyDescent="0.35">
      <c r="B857" s="181">
        <v>31045</v>
      </c>
      <c r="C857" s="182" t="s">
        <v>244</v>
      </c>
      <c r="D857" s="183">
        <v>12</v>
      </c>
      <c r="E857" s="185">
        <v>470</v>
      </c>
      <c r="F857" s="185">
        <v>180</v>
      </c>
      <c r="G857" s="184" t="s">
        <v>1308</v>
      </c>
      <c r="H857" s="186">
        <v>2</v>
      </c>
      <c r="I857" s="185">
        <v>565</v>
      </c>
      <c r="J857" s="187">
        <v>1.9887260428410374</v>
      </c>
      <c r="K857" s="188">
        <v>1123.6302142051861</v>
      </c>
      <c r="L857" s="189">
        <v>15.879000000000001</v>
      </c>
      <c r="M857" s="185">
        <v>619</v>
      </c>
      <c r="N857" s="189">
        <v>192.78100000000001</v>
      </c>
      <c r="O857" s="333">
        <v>73.631278319304158</v>
      </c>
      <c r="P857" s="333">
        <v>75.204600000000013</v>
      </c>
      <c r="Q857" s="333">
        <v>10.625759258000002</v>
      </c>
      <c r="R857" s="475">
        <f t="shared" si="14"/>
        <v>7.0775742395424031</v>
      </c>
      <c r="S857" s="340">
        <v>59.178215472235401</v>
      </c>
    </row>
    <row r="858" spans="2:19" ht="15" customHeight="1" x14ac:dyDescent="0.35">
      <c r="B858" s="181">
        <v>14030</v>
      </c>
      <c r="C858" s="182" t="s">
        <v>64</v>
      </c>
      <c r="D858" s="183">
        <v>1</v>
      </c>
      <c r="E858" s="185" t="s">
        <v>1124</v>
      </c>
      <c r="F858" s="185" t="s">
        <v>1124</v>
      </c>
      <c r="G858" s="184" t="s">
        <v>1124</v>
      </c>
      <c r="H858" s="186"/>
      <c r="I858" s="185"/>
      <c r="J858" s="187"/>
      <c r="K858" s="188"/>
      <c r="L858" s="189"/>
      <c r="M858" s="185" t="s">
        <v>1124</v>
      </c>
      <c r="N858" s="189"/>
      <c r="O858" s="333"/>
      <c r="P858" s="333" t="s">
        <v>1124</v>
      </c>
      <c r="Q858" s="333" t="s">
        <v>1124</v>
      </c>
      <c r="R858" s="475" t="str">
        <f t="shared" si="14"/>
        <v/>
      </c>
      <c r="S858" s="340" t="s">
        <v>1124</v>
      </c>
    </row>
    <row r="859" spans="2:19" ht="15" customHeight="1" x14ac:dyDescent="0.35">
      <c r="B859" s="181">
        <v>9070</v>
      </c>
      <c r="C859" s="182" t="s">
        <v>1109</v>
      </c>
      <c r="D859" s="183">
        <v>1</v>
      </c>
      <c r="E859" s="185" t="s">
        <v>1124</v>
      </c>
      <c r="F859" s="185" t="s">
        <v>1124</v>
      </c>
      <c r="G859" s="184" t="s">
        <v>1124</v>
      </c>
      <c r="H859" s="186"/>
      <c r="I859" s="185"/>
      <c r="J859" s="187"/>
      <c r="K859" s="188"/>
      <c r="L859" s="189"/>
      <c r="M859" s="185" t="s">
        <v>1124</v>
      </c>
      <c r="N859" s="189"/>
      <c r="O859" s="333"/>
      <c r="P859" s="333" t="s">
        <v>1124</v>
      </c>
      <c r="Q859" s="333" t="s">
        <v>1124</v>
      </c>
      <c r="R859" s="475" t="str">
        <f t="shared" si="14"/>
        <v/>
      </c>
      <c r="S859" s="340" t="s">
        <v>1124</v>
      </c>
    </row>
    <row r="860" spans="2:19" ht="15" customHeight="1" x14ac:dyDescent="0.35">
      <c r="B860" s="181">
        <v>27050</v>
      </c>
      <c r="C860" s="182" t="s">
        <v>183</v>
      </c>
      <c r="D860" s="183">
        <v>12</v>
      </c>
      <c r="E860" s="185" t="s">
        <v>1124</v>
      </c>
      <c r="F860" s="185" t="s">
        <v>1124</v>
      </c>
      <c r="G860" s="184" t="s">
        <v>1124</v>
      </c>
      <c r="H860" s="186"/>
      <c r="I860" s="185"/>
      <c r="J860" s="187"/>
      <c r="K860" s="188"/>
      <c r="L860" s="189"/>
      <c r="M860" s="185" t="s">
        <v>1124</v>
      </c>
      <c r="N860" s="189"/>
      <c r="O860" s="333"/>
      <c r="P860" s="333" t="s">
        <v>1124</v>
      </c>
      <c r="Q860" s="333" t="s">
        <v>1124</v>
      </c>
      <c r="R860" s="475" t="str">
        <f t="shared" si="14"/>
        <v/>
      </c>
      <c r="S860" s="340" t="s">
        <v>1124</v>
      </c>
    </row>
    <row r="861" spans="2:19" ht="15" customHeight="1" x14ac:dyDescent="0.35">
      <c r="B861" s="181">
        <v>53050</v>
      </c>
      <c r="C861" s="182" t="s">
        <v>537</v>
      </c>
      <c r="D861" s="183">
        <v>16</v>
      </c>
      <c r="E861" s="185" t="s">
        <v>1124</v>
      </c>
      <c r="F861" s="185" t="s">
        <v>1124</v>
      </c>
      <c r="G861" s="184" t="s">
        <v>1124</v>
      </c>
      <c r="H861" s="186"/>
      <c r="I861" s="185"/>
      <c r="J861" s="187"/>
      <c r="K861" s="188"/>
      <c r="L861" s="189"/>
      <c r="M861" s="185" t="s">
        <v>1124</v>
      </c>
      <c r="N861" s="189"/>
      <c r="O861" s="333"/>
      <c r="P861" s="333" t="s">
        <v>1124</v>
      </c>
      <c r="Q861" s="333" t="s">
        <v>1124</v>
      </c>
      <c r="R861" s="475" t="str">
        <f t="shared" si="14"/>
        <v/>
      </c>
      <c r="S861" s="340" t="s">
        <v>1124</v>
      </c>
    </row>
    <row r="862" spans="2:19" ht="15" customHeight="1" x14ac:dyDescent="0.35">
      <c r="B862" s="181">
        <v>72025</v>
      </c>
      <c r="C862" s="182" t="s">
        <v>731</v>
      </c>
      <c r="D862" s="183">
        <v>15</v>
      </c>
      <c r="E862" s="185">
        <v>317</v>
      </c>
      <c r="F862" s="185">
        <v>208</v>
      </c>
      <c r="G862" s="184" t="s">
        <v>1326</v>
      </c>
      <c r="H862" s="186">
        <v>1</v>
      </c>
      <c r="I862" s="185">
        <v>5036</v>
      </c>
      <c r="J862" s="187">
        <v>2.4757744241461479</v>
      </c>
      <c r="K862" s="188">
        <v>12468</v>
      </c>
      <c r="L862" s="189">
        <v>88.222999999999999</v>
      </c>
      <c r="M862" s="185">
        <v>5829</v>
      </c>
      <c r="N862" s="189">
        <v>1440.4690000000001</v>
      </c>
      <c r="O862" s="333">
        <v>945.2378116485686</v>
      </c>
      <c r="P862" s="333">
        <v>239.49472989132656</v>
      </c>
      <c r="Q862" s="333">
        <v>113.6073669</v>
      </c>
      <c r="R862" s="475">
        <f t="shared" si="14"/>
        <v>2.1080915474621968</v>
      </c>
      <c r="S862" s="340">
        <v>52.026315789473685</v>
      </c>
    </row>
    <row r="863" spans="2:19" ht="15" customHeight="1" x14ac:dyDescent="0.35">
      <c r="B863" s="181">
        <v>54110</v>
      </c>
      <c r="C863" s="182" t="s">
        <v>555</v>
      </c>
      <c r="D863" s="183">
        <v>16</v>
      </c>
      <c r="E863" s="185" t="s">
        <v>1124</v>
      </c>
      <c r="F863" s="185" t="s">
        <v>1124</v>
      </c>
      <c r="G863" s="184" t="s">
        <v>1124</v>
      </c>
      <c r="H863" s="186"/>
      <c r="I863" s="185"/>
      <c r="J863" s="187"/>
      <c r="K863" s="188"/>
      <c r="L863" s="189"/>
      <c r="M863" s="185" t="s">
        <v>1124</v>
      </c>
      <c r="N863" s="189"/>
      <c r="O863" s="333"/>
      <c r="P863" s="333" t="s">
        <v>1124</v>
      </c>
      <c r="Q863" s="333" t="s">
        <v>1124</v>
      </c>
      <c r="R863" s="475" t="str">
        <f t="shared" si="14"/>
        <v/>
      </c>
      <c r="S863" s="340" t="s">
        <v>1124</v>
      </c>
    </row>
    <row r="864" spans="2:19" ht="15" customHeight="1" x14ac:dyDescent="0.35">
      <c r="B864" s="181">
        <v>27055</v>
      </c>
      <c r="C864" s="182" t="s">
        <v>184</v>
      </c>
      <c r="D864" s="183">
        <v>12</v>
      </c>
      <c r="E864" s="185">
        <v>337</v>
      </c>
      <c r="F864" s="185">
        <v>241</v>
      </c>
      <c r="G864" s="184" t="s">
        <v>1326</v>
      </c>
      <c r="H864" s="186">
        <v>1</v>
      </c>
      <c r="I864" s="185">
        <v>66</v>
      </c>
      <c r="J864" s="187">
        <v>2.299145299145299</v>
      </c>
      <c r="K864" s="188">
        <v>151.74358974358972</v>
      </c>
      <c r="L864" s="189">
        <v>2.9649999999999999</v>
      </c>
      <c r="M864" s="185">
        <v>77</v>
      </c>
      <c r="N864" s="189">
        <v>18.64</v>
      </c>
      <c r="O864" s="333">
        <v>13.325230769230769</v>
      </c>
      <c r="P864" s="333">
        <v>2.6120000000000001</v>
      </c>
      <c r="Q864" s="333">
        <v>1.6770654817500001</v>
      </c>
      <c r="R864" s="475">
        <f t="shared" si="14"/>
        <v>1.5574824170099819</v>
      </c>
      <c r="S864" s="340">
        <v>61.540540540540547</v>
      </c>
    </row>
    <row r="865" spans="2:19" ht="15" customHeight="1" x14ac:dyDescent="0.35">
      <c r="B865" s="181">
        <v>31035</v>
      </c>
      <c r="C865" s="182" t="s">
        <v>242</v>
      </c>
      <c r="D865" s="183">
        <v>12</v>
      </c>
      <c r="E865" s="185" t="s">
        <v>1124</v>
      </c>
      <c r="F865" s="185" t="s">
        <v>1124</v>
      </c>
      <c r="G865" s="184" t="s">
        <v>1124</v>
      </c>
      <c r="H865" s="186"/>
      <c r="I865" s="185"/>
      <c r="J865" s="187"/>
      <c r="K865" s="188"/>
      <c r="L865" s="189"/>
      <c r="M865" s="185" t="s">
        <v>1124</v>
      </c>
      <c r="N865" s="189"/>
      <c r="O865" s="333"/>
      <c r="P865" s="333" t="s">
        <v>1124</v>
      </c>
      <c r="Q865" s="333" t="s">
        <v>1124</v>
      </c>
      <c r="R865" s="475" t="str">
        <f t="shared" si="14"/>
        <v/>
      </c>
      <c r="S865" s="340" t="s">
        <v>1124</v>
      </c>
    </row>
    <row r="866" spans="2:19" ht="15" customHeight="1" x14ac:dyDescent="0.35">
      <c r="B866" s="181">
        <v>18005</v>
      </c>
      <c r="C866" s="182" t="s">
        <v>104</v>
      </c>
      <c r="D866" s="183">
        <v>12</v>
      </c>
      <c r="E866" s="185">
        <v>344</v>
      </c>
      <c r="F866" s="185">
        <v>249</v>
      </c>
      <c r="G866" s="184" t="s">
        <v>1308</v>
      </c>
      <c r="H866" s="186">
        <v>1</v>
      </c>
      <c r="I866" s="185">
        <v>160</v>
      </c>
      <c r="J866" s="187">
        <v>1.8781869688385266</v>
      </c>
      <c r="K866" s="188">
        <v>300.50991501416428</v>
      </c>
      <c r="L866" s="189">
        <v>3.7890000000000001</v>
      </c>
      <c r="M866" s="185">
        <v>169</v>
      </c>
      <c r="N866" s="189">
        <v>37.771999999999998</v>
      </c>
      <c r="O866" s="333">
        <v>27.315999999999999</v>
      </c>
      <c r="P866" s="333">
        <v>8.3524199999999986</v>
      </c>
      <c r="Q866" s="333">
        <v>3.50676816</v>
      </c>
      <c r="R866" s="475">
        <f t="shared" si="14"/>
        <v>2.3817998849402118</v>
      </c>
      <c r="S866" s="340">
        <v>59.081081081081081</v>
      </c>
    </row>
    <row r="867" spans="2:19" ht="15" customHeight="1" x14ac:dyDescent="0.35">
      <c r="B867" s="181">
        <v>13040</v>
      </c>
      <c r="C867" s="182" t="s">
        <v>47</v>
      </c>
      <c r="D867" s="183">
        <v>1</v>
      </c>
      <c r="E867" s="185">
        <v>226</v>
      </c>
      <c r="F867" s="185">
        <v>180</v>
      </c>
      <c r="G867" s="184" t="s">
        <v>1326</v>
      </c>
      <c r="H867" s="186">
        <v>1</v>
      </c>
      <c r="I867" s="185">
        <v>80</v>
      </c>
      <c r="J867" s="187">
        <v>1.8810289389067525</v>
      </c>
      <c r="K867" s="188">
        <v>150.48231511254019</v>
      </c>
      <c r="L867" s="189">
        <v>4.2560000000000002</v>
      </c>
      <c r="M867" s="185">
        <v>78</v>
      </c>
      <c r="N867" s="189">
        <v>12.413</v>
      </c>
      <c r="O867" s="333">
        <v>9.8657142857142848</v>
      </c>
      <c r="P867" s="333">
        <v>1.991935</v>
      </c>
      <c r="Q867" s="333">
        <v>2.8464866640000004</v>
      </c>
      <c r="R867" s="475">
        <f t="shared" si="14"/>
        <v>0.69978722373525926</v>
      </c>
      <c r="S867" s="340">
        <v>59.081081081081081</v>
      </c>
    </row>
    <row r="868" spans="2:19" ht="15" customHeight="1" x14ac:dyDescent="0.35">
      <c r="B868" s="181">
        <v>51045</v>
      </c>
      <c r="C868" s="182" t="s">
        <v>505</v>
      </c>
      <c r="D868" s="183">
        <v>4</v>
      </c>
      <c r="E868" s="185" t="s">
        <v>1124</v>
      </c>
      <c r="F868" s="185" t="s">
        <v>1124</v>
      </c>
      <c r="G868" s="184" t="s">
        <v>1124</v>
      </c>
      <c r="H868" s="186"/>
      <c r="I868" s="185"/>
      <c r="J868" s="187"/>
      <c r="K868" s="188"/>
      <c r="L868" s="189"/>
      <c r="M868" s="185" t="s">
        <v>1124</v>
      </c>
      <c r="N868" s="189"/>
      <c r="O868" s="333"/>
      <c r="P868" s="333" t="s">
        <v>1124</v>
      </c>
      <c r="Q868" s="333" t="s">
        <v>1124</v>
      </c>
      <c r="R868" s="475" t="str">
        <f t="shared" si="14"/>
        <v/>
      </c>
      <c r="S868" s="340" t="s">
        <v>1124</v>
      </c>
    </row>
    <row r="869" spans="2:19" ht="15" customHeight="1" x14ac:dyDescent="0.35">
      <c r="B869" s="181">
        <v>87120</v>
      </c>
      <c r="C869" s="182" t="s">
        <v>910</v>
      </c>
      <c r="D869" s="183">
        <v>8</v>
      </c>
      <c r="E869" s="185" t="s">
        <v>1124</v>
      </c>
      <c r="F869" s="185" t="s">
        <v>1124</v>
      </c>
      <c r="G869" s="184" t="s">
        <v>1124</v>
      </c>
      <c r="H869" s="186"/>
      <c r="I869" s="185"/>
      <c r="J869" s="187"/>
      <c r="K869" s="188"/>
      <c r="L869" s="189"/>
      <c r="M869" s="185" t="s">
        <v>1124</v>
      </c>
      <c r="N869" s="189"/>
      <c r="O869" s="333"/>
      <c r="P869" s="333" t="s">
        <v>1124</v>
      </c>
      <c r="Q869" s="333" t="s">
        <v>1124</v>
      </c>
      <c r="R869" s="475" t="str">
        <f t="shared" si="14"/>
        <v/>
      </c>
      <c r="S869" s="340" t="s">
        <v>1124</v>
      </c>
    </row>
    <row r="870" spans="2:19" ht="15" customHeight="1" x14ac:dyDescent="0.35">
      <c r="B870" s="181">
        <v>58012</v>
      </c>
      <c r="C870" s="182" t="s">
        <v>595</v>
      </c>
      <c r="D870" s="183">
        <v>16</v>
      </c>
      <c r="E870" s="185" t="s">
        <v>1124</v>
      </c>
      <c r="F870" s="185" t="s">
        <v>1124</v>
      </c>
      <c r="G870" s="184" t="s">
        <v>1124</v>
      </c>
      <c r="H870" s="186"/>
      <c r="I870" s="185"/>
      <c r="J870" s="187"/>
      <c r="K870" s="188"/>
      <c r="L870" s="189"/>
      <c r="M870" s="185" t="s">
        <v>1124</v>
      </c>
      <c r="N870" s="189"/>
      <c r="O870" s="333"/>
      <c r="P870" s="333" t="s">
        <v>1124</v>
      </c>
      <c r="Q870" s="333" t="s">
        <v>1124</v>
      </c>
      <c r="R870" s="475" t="str">
        <f t="shared" si="14"/>
        <v/>
      </c>
      <c r="S870" s="340" t="s">
        <v>1124</v>
      </c>
    </row>
    <row r="871" spans="2:19" ht="15" customHeight="1" x14ac:dyDescent="0.35">
      <c r="B871" s="181">
        <v>26070</v>
      </c>
      <c r="C871" s="182" t="s">
        <v>177</v>
      </c>
      <c r="D871" s="183">
        <v>12</v>
      </c>
      <c r="E871" s="185">
        <v>240</v>
      </c>
      <c r="F871" s="185">
        <v>180</v>
      </c>
      <c r="G871" s="184" t="s">
        <v>1326</v>
      </c>
      <c r="H871" s="186">
        <v>1</v>
      </c>
      <c r="I871" s="185">
        <v>1090</v>
      </c>
      <c r="J871" s="187">
        <v>2.5988394584139267</v>
      </c>
      <c r="K871" s="188">
        <v>2832.7350096711803</v>
      </c>
      <c r="L871" s="189">
        <v>21.431999999999999</v>
      </c>
      <c r="M871" s="185">
        <v>943</v>
      </c>
      <c r="N871" s="189">
        <v>248.15100000000001</v>
      </c>
      <c r="O871" s="333">
        <v>185.715</v>
      </c>
      <c r="P871" s="333">
        <v>33.949650714285731</v>
      </c>
      <c r="Q871" s="333">
        <v>22.754512249250002</v>
      </c>
      <c r="R871" s="475">
        <f t="shared" si="14"/>
        <v>1.491996415585868</v>
      </c>
      <c r="S871" s="340">
        <v>48.460784313725483</v>
      </c>
    </row>
    <row r="872" spans="2:19" ht="15" customHeight="1" x14ac:dyDescent="0.35">
      <c r="B872" s="181">
        <v>20020</v>
      </c>
      <c r="C872" s="182" t="s">
        <v>141</v>
      </c>
      <c r="D872" s="183">
        <v>3</v>
      </c>
      <c r="E872" s="185" t="s">
        <v>1124</v>
      </c>
      <c r="F872" s="185" t="s">
        <v>1124</v>
      </c>
      <c r="G872" s="184" t="s">
        <v>1124</v>
      </c>
      <c r="H872" s="186"/>
      <c r="I872" s="185"/>
      <c r="J872" s="187"/>
      <c r="K872" s="188"/>
      <c r="L872" s="189"/>
      <c r="M872" s="185" t="s">
        <v>1124</v>
      </c>
      <c r="N872" s="189"/>
      <c r="O872" s="333"/>
      <c r="P872" s="333" t="s">
        <v>1124</v>
      </c>
      <c r="Q872" s="333" t="s">
        <v>1124</v>
      </c>
      <c r="R872" s="475" t="str">
        <f t="shared" si="14"/>
        <v/>
      </c>
      <c r="S872" s="340" t="s">
        <v>1124</v>
      </c>
    </row>
    <row r="873" spans="2:19" ht="15" customHeight="1" x14ac:dyDescent="0.35">
      <c r="B873" s="192">
        <v>71105</v>
      </c>
      <c r="C873" s="182" t="s">
        <v>721</v>
      </c>
      <c r="D873" s="183">
        <v>16</v>
      </c>
      <c r="E873" s="185">
        <v>313</v>
      </c>
      <c r="F873" s="185">
        <v>260</v>
      </c>
      <c r="G873" s="184" t="s">
        <v>1326</v>
      </c>
      <c r="H873" s="186">
        <v>1</v>
      </c>
      <c r="I873" s="185">
        <v>7066</v>
      </c>
      <c r="J873" s="187">
        <v>2.9466704288939054</v>
      </c>
      <c r="K873" s="188">
        <v>20821.173250564334</v>
      </c>
      <c r="L873" s="189">
        <v>185.77</v>
      </c>
      <c r="M873" s="185">
        <v>7066</v>
      </c>
      <c r="N873" s="189">
        <v>2378.1529999999998</v>
      </c>
      <c r="O873" s="333">
        <v>1975.473952654625</v>
      </c>
      <c r="P873" s="333">
        <v>299.34970499999969</v>
      </c>
      <c r="Q873" s="333">
        <v>197.06788365</v>
      </c>
      <c r="R873" s="475">
        <f t="shared" si="14"/>
        <v>1.5190182157314689</v>
      </c>
      <c r="S873" s="340">
        <v>58.905405405405418</v>
      </c>
    </row>
    <row r="874" spans="2:19" ht="15" customHeight="1" x14ac:dyDescent="0.35">
      <c r="B874" s="181">
        <v>19050</v>
      </c>
      <c r="C874" s="182" t="s">
        <v>126</v>
      </c>
      <c r="D874" s="183">
        <v>12</v>
      </c>
      <c r="E874" s="185">
        <v>286</v>
      </c>
      <c r="F874" s="185">
        <v>163</v>
      </c>
      <c r="G874" s="184" t="s">
        <v>1326</v>
      </c>
      <c r="H874" s="186">
        <v>1</v>
      </c>
      <c r="I874" s="185">
        <v>319</v>
      </c>
      <c r="J874" s="187">
        <v>2.3963302752293578</v>
      </c>
      <c r="K874" s="188">
        <v>764.42935779816514</v>
      </c>
      <c r="L874" s="189">
        <v>8.9109999999999996</v>
      </c>
      <c r="M874" s="185">
        <v>295</v>
      </c>
      <c r="N874" s="189">
        <v>79.826999999999998</v>
      </c>
      <c r="O874" s="333">
        <v>45.393999999999998</v>
      </c>
      <c r="P874" s="333">
        <v>7.0733656632652986</v>
      </c>
      <c r="Q874" s="333">
        <v>7.20736884</v>
      </c>
      <c r="R874" s="475">
        <f t="shared" si="14"/>
        <v>0.98140747619422497</v>
      </c>
      <c r="S874" s="340">
        <v>66.421568627450981</v>
      </c>
    </row>
    <row r="875" spans="2:19" ht="15" customHeight="1" x14ac:dyDescent="0.35">
      <c r="B875" s="181">
        <v>8065</v>
      </c>
      <c r="C875" s="182" t="s">
        <v>1094</v>
      </c>
      <c r="D875" s="183">
        <v>1</v>
      </c>
      <c r="E875" s="185" t="s">
        <v>1124</v>
      </c>
      <c r="F875" s="185" t="s">
        <v>1124</v>
      </c>
      <c r="G875" s="184" t="s">
        <v>1124</v>
      </c>
      <c r="H875" s="186"/>
      <c r="I875" s="185"/>
      <c r="J875" s="187"/>
      <c r="K875" s="188"/>
      <c r="L875" s="189"/>
      <c r="M875" s="185" t="s">
        <v>1124</v>
      </c>
      <c r="N875" s="189"/>
      <c r="O875" s="333"/>
      <c r="P875" s="333" t="s">
        <v>1124</v>
      </c>
      <c r="Q875" s="333" t="s">
        <v>1124</v>
      </c>
      <c r="R875" s="475" t="str">
        <f t="shared" si="14"/>
        <v/>
      </c>
      <c r="S875" s="340" t="s">
        <v>1124</v>
      </c>
    </row>
    <row r="876" spans="2:19" ht="15" customHeight="1" x14ac:dyDescent="0.35">
      <c r="B876" s="181">
        <v>50042</v>
      </c>
      <c r="C876" s="182" t="s">
        <v>487</v>
      </c>
      <c r="D876" s="183">
        <v>17</v>
      </c>
      <c r="E876" s="185">
        <v>234</v>
      </c>
      <c r="F876" s="185">
        <v>190</v>
      </c>
      <c r="G876" s="184" t="s">
        <v>1308</v>
      </c>
      <c r="H876" s="186">
        <v>2</v>
      </c>
      <c r="I876" s="185">
        <v>792</v>
      </c>
      <c r="J876" s="187">
        <v>2.355325164938737</v>
      </c>
      <c r="K876" s="188">
        <v>1865.4175306314798</v>
      </c>
      <c r="L876" s="189">
        <v>15.399999999999999</v>
      </c>
      <c r="M876" s="185">
        <v>743</v>
      </c>
      <c r="N876" s="189">
        <v>159.25399999999999</v>
      </c>
      <c r="O876" s="333">
        <v>129.50200000000001</v>
      </c>
      <c r="P876" s="333">
        <v>19.551189999999995</v>
      </c>
      <c r="Q876" s="333">
        <v>19.186328112500004</v>
      </c>
      <c r="R876" s="475">
        <f t="shared" si="14"/>
        <v>1.0190167647170738</v>
      </c>
      <c r="S876" s="340">
        <v>58.905405405405418</v>
      </c>
    </row>
    <row r="877" spans="2:19" ht="15" customHeight="1" x14ac:dyDescent="0.35">
      <c r="B877" s="181">
        <v>34115</v>
      </c>
      <c r="C877" s="182" t="s">
        <v>299</v>
      </c>
      <c r="D877" s="183">
        <v>3</v>
      </c>
      <c r="E877" s="185">
        <v>137</v>
      </c>
      <c r="F877" s="185">
        <v>111</v>
      </c>
      <c r="G877" s="184" t="s">
        <v>1308</v>
      </c>
      <c r="H877" s="186">
        <v>1</v>
      </c>
      <c r="I877" s="185">
        <v>238</v>
      </c>
      <c r="J877" s="187">
        <v>2.1969111969111967</v>
      </c>
      <c r="K877" s="188">
        <v>522.86486486486478</v>
      </c>
      <c r="L877" s="189">
        <v>4.6369999999999996</v>
      </c>
      <c r="M877" s="185">
        <v>238</v>
      </c>
      <c r="N877" s="189">
        <v>26.14889367816092</v>
      </c>
      <c r="O877" s="333">
        <v>21.147028571428571</v>
      </c>
      <c r="P877" s="333">
        <v>3.9876602729885082</v>
      </c>
      <c r="Q877" s="333">
        <v>7.7022547469999987</v>
      </c>
      <c r="R877" s="475">
        <f t="shared" si="14"/>
        <v>0.51772635468097028</v>
      </c>
      <c r="S877" s="340">
        <v>58.72972972972974</v>
      </c>
    </row>
    <row r="878" spans="2:19" ht="15" customHeight="1" x14ac:dyDescent="0.35">
      <c r="B878" s="181">
        <v>19020</v>
      </c>
      <c r="C878" s="182" t="s">
        <v>121</v>
      </c>
      <c r="D878" s="183">
        <v>12</v>
      </c>
      <c r="E878" s="185">
        <v>245</v>
      </c>
      <c r="F878" s="185">
        <v>200</v>
      </c>
      <c r="G878" s="184" t="s">
        <v>1308</v>
      </c>
      <c r="H878" s="186">
        <v>1</v>
      </c>
      <c r="I878" s="185">
        <v>330</v>
      </c>
      <c r="J878" s="187">
        <v>1.7365930599369086</v>
      </c>
      <c r="K878" s="188">
        <v>573.07570977917987</v>
      </c>
      <c r="L878" s="189">
        <v>8.7249999999999996</v>
      </c>
      <c r="M878" s="185">
        <v>382</v>
      </c>
      <c r="N878" s="189">
        <v>51.237000000000002</v>
      </c>
      <c r="O878" s="333">
        <v>41.800899999999999</v>
      </c>
      <c r="P878" s="333">
        <v>6.8373202040816334</v>
      </c>
      <c r="Q878" s="333">
        <v>7.3055114999999988</v>
      </c>
      <c r="R878" s="475">
        <f t="shared" si="14"/>
        <v>0.93591259203159627</v>
      </c>
      <c r="S878" s="340">
        <v>64.866666666666646</v>
      </c>
    </row>
    <row r="879" spans="2:19" ht="15" customHeight="1" x14ac:dyDescent="0.35">
      <c r="B879" s="181">
        <v>7030</v>
      </c>
      <c r="C879" s="182" t="s">
        <v>1072</v>
      </c>
      <c r="D879" s="183">
        <v>1</v>
      </c>
      <c r="E879" s="185" t="s">
        <v>1124</v>
      </c>
      <c r="F879" s="185" t="s">
        <v>1124</v>
      </c>
      <c r="G879" s="184" t="s">
        <v>1124</v>
      </c>
      <c r="H879" s="186"/>
      <c r="I879" s="185"/>
      <c r="J879" s="187"/>
      <c r="K879" s="188"/>
      <c r="L879" s="189"/>
      <c r="M879" s="185" t="s">
        <v>1124</v>
      </c>
      <c r="N879" s="189"/>
      <c r="O879" s="333"/>
      <c r="P879" s="333" t="s">
        <v>1124</v>
      </c>
      <c r="Q879" s="333" t="s">
        <v>1124</v>
      </c>
      <c r="R879" s="475" t="str">
        <f t="shared" si="14"/>
        <v/>
      </c>
      <c r="S879" s="340" t="s">
        <v>1124</v>
      </c>
    </row>
    <row r="880" spans="2:19" ht="15" customHeight="1" x14ac:dyDescent="0.35">
      <c r="B880" s="181">
        <v>51035</v>
      </c>
      <c r="C880" s="182" t="s">
        <v>503</v>
      </c>
      <c r="D880" s="183">
        <v>4</v>
      </c>
      <c r="E880" s="185">
        <v>642</v>
      </c>
      <c r="F880" s="185">
        <v>174</v>
      </c>
      <c r="G880" s="184" t="s">
        <v>1326</v>
      </c>
      <c r="H880" s="186">
        <v>2</v>
      </c>
      <c r="I880" s="185">
        <v>368</v>
      </c>
      <c r="J880" s="187">
        <v>2.91</v>
      </c>
      <c r="K880" s="188">
        <v>1070.8800000000001</v>
      </c>
      <c r="L880" s="189">
        <v>33.933</v>
      </c>
      <c r="M880" s="185">
        <v>413</v>
      </c>
      <c r="N880" s="189">
        <v>250.93100000000001</v>
      </c>
      <c r="O880" s="333">
        <v>67.915999999999997</v>
      </c>
      <c r="P880" s="333">
        <v>35.609203214285706</v>
      </c>
      <c r="Q880" s="333">
        <v>14.2225434559519</v>
      </c>
      <c r="R880" s="475">
        <f t="shared" si="14"/>
        <v>2.5037155502157273</v>
      </c>
      <c r="S880" s="340">
        <v>60.033333333333331</v>
      </c>
    </row>
    <row r="881" spans="2:19" ht="15" customHeight="1" x14ac:dyDescent="0.35">
      <c r="B881" s="181">
        <v>54072</v>
      </c>
      <c r="C881" s="182" t="s">
        <v>550</v>
      </c>
      <c r="D881" s="183">
        <v>16</v>
      </c>
      <c r="E881" s="185" t="s">
        <v>1124</v>
      </c>
      <c r="F881" s="185" t="s">
        <v>1124</v>
      </c>
      <c r="G881" s="184" t="s">
        <v>1124</v>
      </c>
      <c r="H881" s="186"/>
      <c r="I881" s="185"/>
      <c r="J881" s="187"/>
      <c r="K881" s="188"/>
      <c r="L881" s="189"/>
      <c r="M881" s="185" t="s">
        <v>1124</v>
      </c>
      <c r="N881" s="189"/>
      <c r="O881" s="333"/>
      <c r="P881" s="333" t="s">
        <v>1124</v>
      </c>
      <c r="Q881" s="333" t="s">
        <v>1124</v>
      </c>
      <c r="R881" s="475" t="str">
        <f t="shared" si="14"/>
        <v/>
      </c>
      <c r="S881" s="340" t="s">
        <v>1124</v>
      </c>
    </row>
    <row r="882" spans="2:19" ht="15" customHeight="1" x14ac:dyDescent="0.35">
      <c r="B882" s="181">
        <v>63065</v>
      </c>
      <c r="C882" s="182" t="s">
        <v>643</v>
      </c>
      <c r="D882" s="183">
        <v>14</v>
      </c>
      <c r="E882" s="185">
        <v>271</v>
      </c>
      <c r="F882" s="185">
        <v>233</v>
      </c>
      <c r="G882" s="184" t="s">
        <v>1326</v>
      </c>
      <c r="H882" s="186">
        <v>1</v>
      </c>
      <c r="I882" s="185">
        <v>347</v>
      </c>
      <c r="J882" s="187">
        <v>2.425814234016888</v>
      </c>
      <c r="K882" s="188">
        <v>841.75753920386012</v>
      </c>
      <c r="L882" s="189">
        <v>12.796000000000001</v>
      </c>
      <c r="M882" s="185">
        <v>343</v>
      </c>
      <c r="N882" s="189">
        <v>83.161000000000001</v>
      </c>
      <c r="O882" s="333">
        <v>71.679460000000006</v>
      </c>
      <c r="P882" s="333">
        <v>7.1355849999999945</v>
      </c>
      <c r="Q882" s="333">
        <v>8.6576634900000009</v>
      </c>
      <c r="R882" s="475">
        <f t="shared" si="14"/>
        <v>0.82419292552106271</v>
      </c>
      <c r="S882" s="340">
        <v>45.432432432432435</v>
      </c>
    </row>
    <row r="883" spans="2:19" ht="15" customHeight="1" x14ac:dyDescent="0.35">
      <c r="B883" s="181">
        <v>63048</v>
      </c>
      <c r="C883" s="182" t="s">
        <v>640</v>
      </c>
      <c r="D883" s="183">
        <v>14</v>
      </c>
      <c r="E883" s="185">
        <v>357</v>
      </c>
      <c r="F883" s="185">
        <v>109</v>
      </c>
      <c r="G883" s="184" t="s">
        <v>1326</v>
      </c>
      <c r="H883" s="186">
        <v>1</v>
      </c>
      <c r="I883" s="185">
        <v>3406</v>
      </c>
      <c r="J883" s="187">
        <v>2.6552095808383229</v>
      </c>
      <c r="K883" s="188">
        <v>9043.6438323353286</v>
      </c>
      <c r="L883" s="189">
        <v>48.633000000000003</v>
      </c>
      <c r="M883" s="185">
        <v>2281</v>
      </c>
      <c r="N883" s="189">
        <v>1178.03</v>
      </c>
      <c r="O883" s="333">
        <v>360.37132092498592</v>
      </c>
      <c r="P883" s="333">
        <v>643.99668059438773</v>
      </c>
      <c r="Q883" s="333">
        <v>32.071495569750013</v>
      </c>
      <c r="R883" s="475">
        <f t="shared" si="14"/>
        <v>20.080032725440109</v>
      </c>
      <c r="S883" s="340">
        <v>52.666666666666664</v>
      </c>
    </row>
    <row r="884" spans="2:19" ht="15" customHeight="1" x14ac:dyDescent="0.35">
      <c r="B884" s="181">
        <v>54120</v>
      </c>
      <c r="C884" s="182" t="s">
        <v>557</v>
      </c>
      <c r="D884" s="183">
        <v>16</v>
      </c>
      <c r="E884" s="185">
        <v>865</v>
      </c>
      <c r="F884" s="185">
        <v>241</v>
      </c>
      <c r="G884" s="184" t="s">
        <v>1308</v>
      </c>
      <c r="H884" s="186">
        <v>1</v>
      </c>
      <c r="I884" s="185">
        <v>279</v>
      </c>
      <c r="J884" s="187">
        <v>2.1945288753799392</v>
      </c>
      <c r="K884" s="188">
        <v>612.273556231003</v>
      </c>
      <c r="L884" s="189">
        <v>36.584000000000003</v>
      </c>
      <c r="M884" s="185">
        <v>402</v>
      </c>
      <c r="N884" s="189">
        <v>193.40199999999999</v>
      </c>
      <c r="O884" s="333">
        <v>53.875</v>
      </c>
      <c r="P884" s="333">
        <v>25.41791316326529</v>
      </c>
      <c r="Q884" s="333">
        <v>20.786112126000003</v>
      </c>
      <c r="R884" s="475">
        <f t="shared" si="14"/>
        <v>1.2228315237206706</v>
      </c>
      <c r="S884" s="340">
        <v>54.188888888888883</v>
      </c>
    </row>
    <row r="885" spans="2:19" ht="15" customHeight="1" x14ac:dyDescent="0.35">
      <c r="B885" s="181">
        <v>39170</v>
      </c>
      <c r="C885" s="182" t="s">
        <v>357</v>
      </c>
      <c r="D885" s="183">
        <v>17</v>
      </c>
      <c r="E885" s="185" t="s">
        <v>1124</v>
      </c>
      <c r="F885" s="185" t="s">
        <v>1124</v>
      </c>
      <c r="G885" s="184" t="s">
        <v>1124</v>
      </c>
      <c r="H885" s="186"/>
      <c r="I885" s="185"/>
      <c r="J885" s="187"/>
      <c r="K885" s="188"/>
      <c r="L885" s="189"/>
      <c r="M885" s="185" t="s">
        <v>1124</v>
      </c>
      <c r="N885" s="189"/>
      <c r="O885" s="333"/>
      <c r="P885" s="333" t="s">
        <v>1124</v>
      </c>
      <c r="Q885" s="333" t="s">
        <v>1124</v>
      </c>
      <c r="R885" s="475" t="str">
        <f t="shared" si="14"/>
        <v/>
      </c>
      <c r="S885" s="340" t="s">
        <v>1124</v>
      </c>
    </row>
    <row r="886" spans="2:19" ht="15" customHeight="1" x14ac:dyDescent="0.35">
      <c r="B886" s="181">
        <v>28035</v>
      </c>
      <c r="C886" s="182" t="s">
        <v>193</v>
      </c>
      <c r="D886" s="183">
        <v>12</v>
      </c>
      <c r="E886" s="185" t="s">
        <v>1124</v>
      </c>
      <c r="F886" s="185" t="s">
        <v>1124</v>
      </c>
      <c r="G886" s="184" t="s">
        <v>1124</v>
      </c>
      <c r="H886" s="186"/>
      <c r="I886" s="185"/>
      <c r="J886" s="187"/>
      <c r="K886" s="188"/>
      <c r="L886" s="189"/>
      <c r="M886" s="185" t="s">
        <v>1124</v>
      </c>
      <c r="N886" s="189"/>
      <c r="O886" s="333"/>
      <c r="P886" s="333" t="s">
        <v>1124</v>
      </c>
      <c r="Q886" s="333" t="s">
        <v>1124</v>
      </c>
      <c r="R886" s="475" t="str">
        <f t="shared" si="14"/>
        <v/>
      </c>
      <c r="S886" s="340" t="s">
        <v>1124</v>
      </c>
    </row>
    <row r="887" spans="2:19" ht="15" customHeight="1" x14ac:dyDescent="0.35">
      <c r="B887" s="181">
        <v>70035</v>
      </c>
      <c r="C887" s="182" t="s">
        <v>701</v>
      </c>
      <c r="D887" s="183">
        <v>16</v>
      </c>
      <c r="E887" s="185" t="s">
        <v>1124</v>
      </c>
      <c r="F887" s="185" t="s">
        <v>1124</v>
      </c>
      <c r="G887" s="184" t="s">
        <v>1124</v>
      </c>
      <c r="H887" s="186"/>
      <c r="I887" s="185"/>
      <c r="J887" s="187"/>
      <c r="K887" s="188"/>
      <c r="L887" s="189"/>
      <c r="M887" s="185" t="s">
        <v>1124</v>
      </c>
      <c r="N887" s="189"/>
      <c r="O887" s="333"/>
      <c r="P887" s="333" t="s">
        <v>1124</v>
      </c>
      <c r="Q887" s="333" t="s">
        <v>1124</v>
      </c>
      <c r="R887" s="475" t="str">
        <f t="shared" si="14"/>
        <v/>
      </c>
      <c r="S887" s="340" t="s">
        <v>1124</v>
      </c>
    </row>
    <row r="888" spans="2:19" ht="15" customHeight="1" x14ac:dyDescent="0.35">
      <c r="B888" s="181">
        <v>21015</v>
      </c>
      <c r="C888" s="182" t="s">
        <v>146</v>
      </c>
      <c r="D888" s="183">
        <v>3</v>
      </c>
      <c r="E888" s="185" t="s">
        <v>1124</v>
      </c>
      <c r="F888" s="185" t="s">
        <v>1124</v>
      </c>
      <c r="G888" s="184" t="s">
        <v>1124</v>
      </c>
      <c r="H888" s="186"/>
      <c r="I888" s="185"/>
      <c r="J888" s="187"/>
      <c r="K888" s="188"/>
      <c r="L888" s="189"/>
      <c r="M888" s="185" t="s">
        <v>1124</v>
      </c>
      <c r="N888" s="189"/>
      <c r="O888" s="333"/>
      <c r="P888" s="333" t="s">
        <v>1124</v>
      </c>
      <c r="Q888" s="333" t="s">
        <v>1124</v>
      </c>
      <c r="R888" s="475" t="str">
        <f t="shared" si="14"/>
        <v/>
      </c>
      <c r="S888" s="340" t="s">
        <v>1124</v>
      </c>
    </row>
    <row r="889" spans="2:19" ht="15" customHeight="1" x14ac:dyDescent="0.35">
      <c r="B889" s="181">
        <v>13080</v>
      </c>
      <c r="C889" s="182" t="s">
        <v>55</v>
      </c>
      <c r="D889" s="183">
        <v>1</v>
      </c>
      <c r="E889" s="185" t="s">
        <v>1124</v>
      </c>
      <c r="F889" s="185" t="s">
        <v>1124</v>
      </c>
      <c r="G889" s="184" t="s">
        <v>1124</v>
      </c>
      <c r="H889" s="186"/>
      <c r="I889" s="185"/>
      <c r="J889" s="187"/>
      <c r="K889" s="188"/>
      <c r="L889" s="189"/>
      <c r="M889" s="185" t="s">
        <v>1124</v>
      </c>
      <c r="N889" s="189"/>
      <c r="O889" s="333"/>
      <c r="P889" s="333" t="s">
        <v>1124</v>
      </c>
      <c r="Q889" s="333" t="s">
        <v>1124</v>
      </c>
      <c r="R889" s="475" t="str">
        <f t="shared" si="14"/>
        <v/>
      </c>
      <c r="S889" s="340" t="s">
        <v>1124</v>
      </c>
    </row>
    <row r="890" spans="2:19" ht="15" customHeight="1" x14ac:dyDescent="0.35">
      <c r="B890" s="181">
        <v>28060</v>
      </c>
      <c r="C890" s="182" t="s">
        <v>197</v>
      </c>
      <c r="D890" s="183">
        <v>12</v>
      </c>
      <c r="E890" s="185">
        <v>260</v>
      </c>
      <c r="F890" s="185">
        <v>230</v>
      </c>
      <c r="G890" s="184" t="s">
        <v>1326</v>
      </c>
      <c r="H890" s="186">
        <v>1</v>
      </c>
      <c r="I890" s="185">
        <v>129</v>
      </c>
      <c r="J890" s="187">
        <v>2</v>
      </c>
      <c r="K890" s="188">
        <v>258</v>
      </c>
      <c r="L890" s="189">
        <v>2.0350000000000001</v>
      </c>
      <c r="M890" s="185">
        <v>134</v>
      </c>
      <c r="N890" s="189">
        <v>24.452000000000002</v>
      </c>
      <c r="O890" s="333">
        <v>21.618099999999998</v>
      </c>
      <c r="P890" s="333">
        <v>1.6292200000000023</v>
      </c>
      <c r="Q890" s="333">
        <v>2.5130469000000004</v>
      </c>
      <c r="R890" s="475">
        <f t="shared" si="14"/>
        <v>0.64830465360594824</v>
      </c>
      <c r="S890" s="340">
        <v>57.04651162790698</v>
      </c>
    </row>
    <row r="891" spans="2:19" ht="15" customHeight="1" x14ac:dyDescent="0.35">
      <c r="B891" s="181">
        <v>37225</v>
      </c>
      <c r="C891" s="182" t="s">
        <v>319</v>
      </c>
      <c r="D891" s="183">
        <v>4</v>
      </c>
      <c r="E891" s="185">
        <v>411</v>
      </c>
      <c r="F891" s="185">
        <v>189</v>
      </c>
      <c r="G891" s="184" t="s">
        <v>1308</v>
      </c>
      <c r="H891" s="186">
        <v>2</v>
      </c>
      <c r="I891" s="185">
        <v>191</v>
      </c>
      <c r="J891" s="187">
        <v>2.1333333333333333</v>
      </c>
      <c r="K891" s="188">
        <v>407.46666666666664</v>
      </c>
      <c r="L891" s="189">
        <v>15.260999999999999</v>
      </c>
      <c r="M891" s="185">
        <v>212</v>
      </c>
      <c r="N891" s="189">
        <v>61.082999999999998</v>
      </c>
      <c r="O891" s="333">
        <v>28.169999999999998</v>
      </c>
      <c r="P891" s="333">
        <v>5.6700000000000008</v>
      </c>
      <c r="Q891" s="333">
        <v>7.4897356870000005</v>
      </c>
      <c r="R891" s="475">
        <f t="shared" si="14"/>
        <v>0.75703606067721041</v>
      </c>
      <c r="S891" s="340">
        <v>59.5</v>
      </c>
    </row>
    <row r="892" spans="2:19" ht="15" customHeight="1" x14ac:dyDescent="0.35">
      <c r="B892" s="181">
        <v>49030</v>
      </c>
      <c r="C892" s="182" t="s">
        <v>468</v>
      </c>
      <c r="D892" s="183">
        <v>17</v>
      </c>
      <c r="E892" s="185" t="s">
        <v>1124</v>
      </c>
      <c r="F892" s="185" t="s">
        <v>1124</v>
      </c>
      <c r="G892" s="184" t="s">
        <v>1124</v>
      </c>
      <c r="H892" s="186"/>
      <c r="I892" s="185"/>
      <c r="J892" s="187"/>
      <c r="K892" s="188"/>
      <c r="L892" s="189"/>
      <c r="M892" s="185" t="s">
        <v>1124</v>
      </c>
      <c r="N892" s="189"/>
      <c r="O892" s="333"/>
      <c r="P892" s="333" t="s">
        <v>1124</v>
      </c>
      <c r="Q892" s="333" t="s">
        <v>1124</v>
      </c>
      <c r="R892" s="475" t="str">
        <f t="shared" si="14"/>
        <v/>
      </c>
      <c r="S892" s="340" t="s">
        <v>1124</v>
      </c>
    </row>
    <row r="893" spans="2:19" ht="15" customHeight="1" x14ac:dyDescent="0.35">
      <c r="B893" s="181">
        <v>30072</v>
      </c>
      <c r="C893" s="182" t="s">
        <v>229</v>
      </c>
      <c r="D893" s="183">
        <v>5</v>
      </c>
      <c r="E893" s="185">
        <v>238</v>
      </c>
      <c r="F893" s="185">
        <v>155</v>
      </c>
      <c r="G893" s="184" t="s">
        <v>1308</v>
      </c>
      <c r="H893" s="186">
        <v>1</v>
      </c>
      <c r="I893" s="185">
        <v>93</v>
      </c>
      <c r="J893" s="187">
        <v>2.257861635220126</v>
      </c>
      <c r="K893" s="188">
        <v>209.98113207547172</v>
      </c>
      <c r="L893" s="189">
        <v>13.522</v>
      </c>
      <c r="M893" s="185">
        <v>93</v>
      </c>
      <c r="N893" s="189">
        <v>18.242000000000001</v>
      </c>
      <c r="O893" s="333">
        <v>11.917</v>
      </c>
      <c r="P893" s="333">
        <v>3.3050000000000002</v>
      </c>
      <c r="Q893" s="333">
        <v>6.0300892260000003</v>
      </c>
      <c r="R893" s="475">
        <f t="shared" si="14"/>
        <v>0.5480847589700325</v>
      </c>
      <c r="S893" s="340">
        <v>47</v>
      </c>
    </row>
    <row r="894" spans="2:19" ht="15" customHeight="1" x14ac:dyDescent="0.35">
      <c r="B894" s="181">
        <v>93080</v>
      </c>
      <c r="C894" s="182" t="s">
        <v>971</v>
      </c>
      <c r="D894" s="183">
        <v>2</v>
      </c>
      <c r="E894" s="185" t="s">
        <v>1124</v>
      </c>
      <c r="F894" s="185" t="s">
        <v>1124</v>
      </c>
      <c r="G894" s="184" t="s">
        <v>1124</v>
      </c>
      <c r="H894" s="186"/>
      <c r="I894" s="185"/>
      <c r="J894" s="187"/>
      <c r="K894" s="188"/>
      <c r="L894" s="189"/>
      <c r="M894" s="185" t="s">
        <v>1124</v>
      </c>
      <c r="N894" s="189"/>
      <c r="O894" s="333"/>
      <c r="P894" s="333" t="s">
        <v>1124</v>
      </c>
      <c r="Q894" s="333" t="s">
        <v>1124</v>
      </c>
      <c r="R894" s="475" t="str">
        <f t="shared" si="14"/>
        <v/>
      </c>
      <c r="S894" s="340" t="s">
        <v>1124</v>
      </c>
    </row>
    <row r="895" spans="2:19" ht="15" customHeight="1" x14ac:dyDescent="0.35">
      <c r="B895" s="181">
        <v>28075</v>
      </c>
      <c r="C895" s="182" t="s">
        <v>200</v>
      </c>
      <c r="D895" s="183">
        <v>12</v>
      </c>
      <c r="E895" s="185">
        <v>246</v>
      </c>
      <c r="F895" s="185">
        <v>197</v>
      </c>
      <c r="G895" s="184" t="s">
        <v>1326</v>
      </c>
      <c r="H895" s="186">
        <v>1</v>
      </c>
      <c r="I895" s="185">
        <v>376</v>
      </c>
      <c r="J895" s="187">
        <v>1.52</v>
      </c>
      <c r="K895" s="188">
        <v>571.52</v>
      </c>
      <c r="L895" s="189">
        <v>3.7429999999999999</v>
      </c>
      <c r="M895" s="185">
        <v>392</v>
      </c>
      <c r="N895" s="189">
        <v>51.293999999999997</v>
      </c>
      <c r="O895" s="333">
        <v>41.026204081632649</v>
      </c>
      <c r="P895" s="333">
        <v>7.7525999999999975</v>
      </c>
      <c r="Q895" s="333">
        <v>6.4888874370000007</v>
      </c>
      <c r="R895" s="475">
        <f t="shared" si="14"/>
        <v>1.1947502673253718</v>
      </c>
      <c r="S895" s="340">
        <v>62.243243243243256</v>
      </c>
    </row>
    <row r="896" spans="2:19" ht="15" customHeight="1" x14ac:dyDescent="0.35">
      <c r="B896" s="181">
        <v>49095</v>
      </c>
      <c r="C896" s="182" t="s">
        <v>476</v>
      </c>
      <c r="D896" s="183">
        <v>17</v>
      </c>
      <c r="E896" s="185">
        <v>149</v>
      </c>
      <c r="F896" s="185">
        <v>135</v>
      </c>
      <c r="G896" s="184" t="s">
        <v>1326</v>
      </c>
      <c r="H896" s="186">
        <v>1</v>
      </c>
      <c r="I896" s="185">
        <v>509</v>
      </c>
      <c r="J896" s="187">
        <v>2.731225296442688</v>
      </c>
      <c r="K896" s="188">
        <v>1390.1936758893282</v>
      </c>
      <c r="L896" s="189">
        <v>10.746</v>
      </c>
      <c r="M896" s="185">
        <v>334</v>
      </c>
      <c r="N896" s="189">
        <v>75.507999999999996</v>
      </c>
      <c r="O896" s="333">
        <v>68.688000000000002</v>
      </c>
      <c r="P896" s="333">
        <v>0.63</v>
      </c>
      <c r="Q896" s="333">
        <v>10.395605880000002</v>
      </c>
      <c r="R896" s="475">
        <f t="shared" si="14"/>
        <v>6.0602528344408525E-2</v>
      </c>
      <c r="S896" s="340">
        <v>53.450980392156865</v>
      </c>
    </row>
    <row r="897" spans="2:19" ht="15" customHeight="1" x14ac:dyDescent="0.35">
      <c r="B897" s="181">
        <v>19025</v>
      </c>
      <c r="C897" s="182" t="s">
        <v>122</v>
      </c>
      <c r="D897" s="183">
        <v>12</v>
      </c>
      <c r="E897" s="185">
        <v>312</v>
      </c>
      <c r="F897" s="185">
        <v>231</v>
      </c>
      <c r="G897" s="184" t="s">
        <v>1308</v>
      </c>
      <c r="H897" s="186">
        <v>2</v>
      </c>
      <c r="I897" s="185">
        <v>509</v>
      </c>
      <c r="J897" s="187">
        <v>2.2899999999999996</v>
      </c>
      <c r="K897" s="188">
        <v>1165.6099999999999</v>
      </c>
      <c r="L897" s="189">
        <v>18.38</v>
      </c>
      <c r="M897" s="185">
        <v>627</v>
      </c>
      <c r="N897" s="189">
        <v>132.67400000000001</v>
      </c>
      <c r="O897" s="333">
        <v>98.388999999999996</v>
      </c>
      <c r="P897" s="333">
        <v>26.736889999999995</v>
      </c>
      <c r="Q897" s="333">
        <v>16.823870175000003</v>
      </c>
      <c r="R897" s="475">
        <f t="shared" si="14"/>
        <v>1.5892235093284646</v>
      </c>
      <c r="S897" s="340">
        <v>59.344594594594604</v>
      </c>
    </row>
    <row r="898" spans="2:19" ht="15" customHeight="1" x14ac:dyDescent="0.35">
      <c r="B898" s="181">
        <v>44003</v>
      </c>
      <c r="C898" s="182" t="s">
        <v>398</v>
      </c>
      <c r="D898" s="183">
        <v>5</v>
      </c>
      <c r="E898" s="185" t="s">
        <v>1124</v>
      </c>
      <c r="F898" s="185" t="s">
        <v>1124</v>
      </c>
      <c r="G898" s="184" t="s">
        <v>1124</v>
      </c>
      <c r="H898" s="186"/>
      <c r="I898" s="185"/>
      <c r="J898" s="187"/>
      <c r="K898" s="188"/>
      <c r="L898" s="189"/>
      <c r="M898" s="185" t="s">
        <v>1124</v>
      </c>
      <c r="N898" s="189"/>
      <c r="O898" s="333"/>
      <c r="P898" s="333" t="s">
        <v>1124</v>
      </c>
      <c r="Q898" s="333" t="s">
        <v>1124</v>
      </c>
      <c r="R898" s="475" t="str">
        <f t="shared" si="14"/>
        <v/>
      </c>
      <c r="S898" s="340" t="s">
        <v>1124</v>
      </c>
    </row>
    <row r="899" spans="2:19" ht="15" customHeight="1" x14ac:dyDescent="0.35">
      <c r="B899" s="181">
        <v>88040</v>
      </c>
      <c r="C899" s="182" t="s">
        <v>917</v>
      </c>
      <c r="D899" s="183">
        <v>8</v>
      </c>
      <c r="E899" s="185" t="s">
        <v>1124</v>
      </c>
      <c r="F899" s="185" t="s">
        <v>1124</v>
      </c>
      <c r="G899" s="184" t="s">
        <v>1124</v>
      </c>
      <c r="H899" s="186"/>
      <c r="I899" s="185"/>
      <c r="J899" s="187"/>
      <c r="K899" s="188"/>
      <c r="L899" s="189"/>
      <c r="M899" s="185" t="s">
        <v>1124</v>
      </c>
      <c r="N899" s="189"/>
      <c r="O899" s="333"/>
      <c r="P899" s="333" t="s">
        <v>1124</v>
      </c>
      <c r="Q899" s="333" t="s">
        <v>1124</v>
      </c>
      <c r="R899" s="475" t="str">
        <f t="shared" si="14"/>
        <v/>
      </c>
      <c r="S899" s="340" t="s">
        <v>1124</v>
      </c>
    </row>
    <row r="900" spans="2:19" ht="15" customHeight="1" x14ac:dyDescent="0.35">
      <c r="B900" s="192">
        <v>34065</v>
      </c>
      <c r="C900" s="182" t="s">
        <v>293</v>
      </c>
      <c r="D900" s="183">
        <v>3</v>
      </c>
      <c r="E900" s="185">
        <v>375</v>
      </c>
      <c r="F900" s="185">
        <v>217</v>
      </c>
      <c r="G900" s="184" t="s">
        <v>1308</v>
      </c>
      <c r="H900" s="186">
        <v>1</v>
      </c>
      <c r="I900" s="185">
        <v>1411</v>
      </c>
      <c r="J900" s="187">
        <v>2.1607272727272728</v>
      </c>
      <c r="K900" s="188">
        <v>3048.7861818181818</v>
      </c>
      <c r="L900" s="189">
        <v>31.157</v>
      </c>
      <c r="M900" s="185">
        <v>1252</v>
      </c>
      <c r="N900" s="189">
        <v>417.79599999999999</v>
      </c>
      <c r="O900" s="333">
        <v>241.5911806914547</v>
      </c>
      <c r="P900" s="333">
        <v>83.781999999999996</v>
      </c>
      <c r="Q900" s="333">
        <v>16.839450054</v>
      </c>
      <c r="R900" s="475">
        <f t="shared" si="14"/>
        <v>4.9753406275936332</v>
      </c>
      <c r="S900" s="340">
        <v>60</v>
      </c>
    </row>
    <row r="901" spans="2:19" ht="15" customHeight="1" x14ac:dyDescent="0.35">
      <c r="B901" s="181">
        <v>13020</v>
      </c>
      <c r="C901" s="182" t="s">
        <v>44</v>
      </c>
      <c r="D901" s="183">
        <v>1</v>
      </c>
      <c r="E901" s="185">
        <v>242</v>
      </c>
      <c r="F901" s="185">
        <v>177</v>
      </c>
      <c r="G901" s="184" t="s">
        <v>1308</v>
      </c>
      <c r="H901" s="186">
        <v>1</v>
      </c>
      <c r="I901" s="185">
        <v>133</v>
      </c>
      <c r="J901" s="187">
        <v>1.9849246231155777</v>
      </c>
      <c r="K901" s="188">
        <v>263.99497487437185</v>
      </c>
      <c r="L901" s="189">
        <v>4.1559999999999997</v>
      </c>
      <c r="M901" s="185">
        <v>144</v>
      </c>
      <c r="N901" s="189">
        <v>23.303000000000001</v>
      </c>
      <c r="O901" s="333">
        <v>17.065562500000002</v>
      </c>
      <c r="P901" s="333">
        <v>4.4764550000000014</v>
      </c>
      <c r="Q901" s="333">
        <v>5.197053959999999</v>
      </c>
      <c r="R901" s="475">
        <f t="shared" si="14"/>
        <v>0.86134472230879089</v>
      </c>
      <c r="S901" s="340">
        <v>59.081081081081081</v>
      </c>
    </row>
    <row r="902" spans="2:19" ht="15" customHeight="1" x14ac:dyDescent="0.35">
      <c r="B902" s="181">
        <v>17020</v>
      </c>
      <c r="C902" s="182" t="s">
        <v>93</v>
      </c>
      <c r="D902" s="183">
        <v>12</v>
      </c>
      <c r="E902" s="185" t="s">
        <v>1124</v>
      </c>
      <c r="F902" s="185" t="s">
        <v>1124</v>
      </c>
      <c r="G902" s="184" t="s">
        <v>1124</v>
      </c>
      <c r="H902" s="186"/>
      <c r="I902" s="185"/>
      <c r="J902" s="187"/>
      <c r="K902" s="188"/>
      <c r="L902" s="189"/>
      <c r="M902" s="185" t="s">
        <v>1124</v>
      </c>
      <c r="N902" s="189"/>
      <c r="O902" s="333"/>
      <c r="P902" s="333" t="s">
        <v>1124</v>
      </c>
      <c r="Q902" s="333" t="s">
        <v>1124</v>
      </c>
      <c r="R902" s="475" t="str">
        <f t="shared" si="14"/>
        <v/>
      </c>
      <c r="S902" s="340" t="s">
        <v>1124</v>
      </c>
    </row>
    <row r="903" spans="2:19" ht="15" customHeight="1" x14ac:dyDescent="0.35">
      <c r="B903" s="181">
        <v>54125</v>
      </c>
      <c r="C903" s="182" t="s">
        <v>558</v>
      </c>
      <c r="D903" s="183">
        <v>16</v>
      </c>
      <c r="E903" s="185" t="s">
        <v>1124</v>
      </c>
      <c r="F903" s="185" t="s">
        <v>1124</v>
      </c>
      <c r="G903" s="184" t="s">
        <v>1124</v>
      </c>
      <c r="H903" s="186"/>
      <c r="I903" s="185"/>
      <c r="J903" s="187"/>
      <c r="K903" s="188"/>
      <c r="L903" s="189"/>
      <c r="M903" s="185" t="s">
        <v>1124</v>
      </c>
      <c r="N903" s="189"/>
      <c r="O903" s="333"/>
      <c r="P903" s="333" t="s">
        <v>1124</v>
      </c>
      <c r="Q903" s="333" t="s">
        <v>1124</v>
      </c>
      <c r="R903" s="475" t="str">
        <f t="shared" ref="R903:R966" si="15">IF(H903="","",P903/Q903)</f>
        <v/>
      </c>
      <c r="S903" s="340" t="s">
        <v>1124</v>
      </c>
    </row>
    <row r="904" spans="2:19" ht="15" customHeight="1" x14ac:dyDescent="0.35">
      <c r="B904" s="181">
        <v>10025</v>
      </c>
      <c r="C904" s="182" t="s">
        <v>11</v>
      </c>
      <c r="D904" s="183">
        <v>1</v>
      </c>
      <c r="E904" s="185" t="s">
        <v>1124</v>
      </c>
      <c r="F904" s="185" t="s">
        <v>1124</v>
      </c>
      <c r="G904" s="184" t="s">
        <v>1124</v>
      </c>
      <c r="H904" s="186"/>
      <c r="I904" s="185"/>
      <c r="J904" s="187"/>
      <c r="K904" s="188"/>
      <c r="L904" s="189"/>
      <c r="M904" s="185" t="s">
        <v>1124</v>
      </c>
      <c r="N904" s="189"/>
      <c r="O904" s="333"/>
      <c r="P904" s="333" t="s">
        <v>1124</v>
      </c>
      <c r="Q904" s="333" t="s">
        <v>1124</v>
      </c>
      <c r="R904" s="475" t="str">
        <f t="shared" si="15"/>
        <v/>
      </c>
      <c r="S904" s="340" t="s">
        <v>1124</v>
      </c>
    </row>
    <row r="905" spans="2:19" ht="15" customHeight="1" x14ac:dyDescent="0.35">
      <c r="B905" s="181">
        <v>57050</v>
      </c>
      <c r="C905" s="182" t="s">
        <v>590</v>
      </c>
      <c r="D905" s="183">
        <v>16</v>
      </c>
      <c r="E905" s="185">
        <v>581</v>
      </c>
      <c r="F905" s="185">
        <v>224</v>
      </c>
      <c r="G905" s="184" t="s">
        <v>1326</v>
      </c>
      <c r="H905" s="186">
        <v>1</v>
      </c>
      <c r="I905" s="185"/>
      <c r="J905" s="187"/>
      <c r="K905" s="188"/>
      <c r="L905" s="189"/>
      <c r="M905" s="185" t="s">
        <v>1124</v>
      </c>
      <c r="N905" s="189"/>
      <c r="O905" s="333"/>
      <c r="P905" s="333"/>
      <c r="Q905" s="333"/>
      <c r="R905" s="475">
        <v>1.1000000000000001</v>
      </c>
      <c r="S905" s="340">
        <v>66</v>
      </c>
    </row>
    <row r="906" spans="2:19" ht="15" customHeight="1" x14ac:dyDescent="0.35">
      <c r="B906" s="181">
        <v>29045</v>
      </c>
      <c r="C906" s="182" t="s">
        <v>207</v>
      </c>
      <c r="D906" s="183">
        <v>12</v>
      </c>
      <c r="E906" s="185">
        <v>227</v>
      </c>
      <c r="F906" s="185">
        <v>184</v>
      </c>
      <c r="G906" s="184" t="s">
        <v>1326</v>
      </c>
      <c r="H906" s="186">
        <v>1</v>
      </c>
      <c r="I906" s="185">
        <v>866</v>
      </c>
      <c r="J906" s="187">
        <v>2.1946133796698524</v>
      </c>
      <c r="K906" s="188">
        <v>1900.5351867940922</v>
      </c>
      <c r="L906" s="189">
        <v>22.231000000000002</v>
      </c>
      <c r="M906" s="185">
        <v>966</v>
      </c>
      <c r="N906" s="189">
        <v>157.20599999999999</v>
      </c>
      <c r="O906" s="333">
        <v>127.383</v>
      </c>
      <c r="P906" s="333">
        <v>10.910067499999982</v>
      </c>
      <c r="Q906" s="333">
        <v>17.47531962</v>
      </c>
      <c r="R906" s="475">
        <f t="shared" si="15"/>
        <v>0.6243129016944402</v>
      </c>
      <c r="S906" s="340">
        <v>64.577777777777769</v>
      </c>
    </row>
    <row r="907" spans="2:19" ht="15" customHeight="1" x14ac:dyDescent="0.35">
      <c r="B907" s="181">
        <v>55065</v>
      </c>
      <c r="C907" s="182" t="s">
        <v>566</v>
      </c>
      <c r="D907" s="183">
        <v>16</v>
      </c>
      <c r="E907" s="185" t="s">
        <v>1124</v>
      </c>
      <c r="F907" s="185" t="s">
        <v>1124</v>
      </c>
      <c r="G907" s="184" t="s">
        <v>1124</v>
      </c>
      <c r="H907" s="186"/>
      <c r="I907" s="185"/>
      <c r="J907" s="187"/>
      <c r="K907" s="188"/>
      <c r="L907" s="189"/>
      <c r="M907" s="185" t="s">
        <v>1124</v>
      </c>
      <c r="N907" s="189"/>
      <c r="O907" s="333"/>
      <c r="P907" s="333" t="s">
        <v>1124</v>
      </c>
      <c r="Q907" s="333" t="s">
        <v>1124</v>
      </c>
      <c r="R907" s="475" t="str">
        <f t="shared" si="15"/>
        <v/>
      </c>
      <c r="S907" s="340" t="s">
        <v>1124</v>
      </c>
    </row>
    <row r="908" spans="2:19" ht="15" customHeight="1" x14ac:dyDescent="0.35">
      <c r="B908" s="181">
        <v>67005</v>
      </c>
      <c r="C908" s="182" t="s">
        <v>662</v>
      </c>
      <c r="D908" s="183">
        <v>16</v>
      </c>
      <c r="E908" s="185" t="s">
        <v>1124</v>
      </c>
      <c r="F908" s="185" t="s">
        <v>1124</v>
      </c>
      <c r="G908" s="184" t="s">
        <v>1124</v>
      </c>
      <c r="H908" s="186"/>
      <c r="I908" s="185"/>
      <c r="J908" s="187"/>
      <c r="K908" s="188"/>
      <c r="L908" s="189"/>
      <c r="M908" s="185" t="s">
        <v>1124</v>
      </c>
      <c r="N908" s="189"/>
      <c r="O908" s="333"/>
      <c r="P908" s="333" t="s">
        <v>1124</v>
      </c>
      <c r="Q908" s="333" t="s">
        <v>1124</v>
      </c>
      <c r="R908" s="475" t="str">
        <f t="shared" si="15"/>
        <v/>
      </c>
      <c r="S908" s="340" t="s">
        <v>1124</v>
      </c>
    </row>
    <row r="909" spans="2:19" ht="15" customHeight="1" x14ac:dyDescent="0.35">
      <c r="B909" s="181">
        <v>57045</v>
      </c>
      <c r="C909" s="182" t="s">
        <v>589</v>
      </c>
      <c r="D909" s="183">
        <v>16</v>
      </c>
      <c r="E909" s="185">
        <v>581</v>
      </c>
      <c r="F909" s="185">
        <v>224</v>
      </c>
      <c r="G909" s="184" t="s">
        <v>1326</v>
      </c>
      <c r="H909" s="186">
        <v>1</v>
      </c>
      <c r="I909" s="185"/>
      <c r="J909" s="187"/>
      <c r="K909" s="188"/>
      <c r="L909" s="189"/>
      <c r="M909" s="185" t="s">
        <v>1124</v>
      </c>
      <c r="N909" s="189"/>
      <c r="O909" s="333"/>
      <c r="P909" s="333"/>
      <c r="Q909" s="333"/>
      <c r="R909" s="475">
        <v>1.1000000000000001</v>
      </c>
      <c r="S909" s="340">
        <v>66</v>
      </c>
    </row>
    <row r="910" spans="2:19" ht="15" customHeight="1" x14ac:dyDescent="0.35">
      <c r="B910" s="181">
        <v>11050</v>
      </c>
      <c r="C910" s="182" t="s">
        <v>26</v>
      </c>
      <c r="D910" s="183">
        <v>1</v>
      </c>
      <c r="E910" s="185">
        <v>245</v>
      </c>
      <c r="F910" s="185">
        <v>198</v>
      </c>
      <c r="G910" s="184" t="s">
        <v>1326</v>
      </c>
      <c r="H910" s="186">
        <v>1</v>
      </c>
      <c r="I910" s="185">
        <v>156</v>
      </c>
      <c r="J910" s="187">
        <v>1.8054794520547948</v>
      </c>
      <c r="K910" s="188">
        <v>281.65479452054797</v>
      </c>
      <c r="L910" s="189">
        <v>3.9899999999999998</v>
      </c>
      <c r="M910" s="185">
        <v>167</v>
      </c>
      <c r="N910" s="189">
        <v>25.22</v>
      </c>
      <c r="O910" s="333">
        <v>20.4033488372093</v>
      </c>
      <c r="P910" s="333">
        <v>2.3457000000000012</v>
      </c>
      <c r="Q910" s="333">
        <v>2.6835427799999998</v>
      </c>
      <c r="R910" s="475">
        <f t="shared" si="15"/>
        <v>0.87410568502284181</v>
      </c>
      <c r="S910" s="340">
        <v>59.432432432432435</v>
      </c>
    </row>
    <row r="911" spans="2:19" ht="15" customHeight="1" x14ac:dyDescent="0.35">
      <c r="B911" s="181">
        <v>88050</v>
      </c>
      <c r="C911" s="182" t="s">
        <v>919</v>
      </c>
      <c r="D911" s="183">
        <v>8</v>
      </c>
      <c r="E911" s="185" t="s">
        <v>1124</v>
      </c>
      <c r="F911" s="185" t="s">
        <v>1124</v>
      </c>
      <c r="G911" s="184" t="s">
        <v>1124</v>
      </c>
      <c r="H911" s="186"/>
      <c r="I911" s="185"/>
      <c r="J911" s="187"/>
      <c r="K911" s="188"/>
      <c r="L911" s="189"/>
      <c r="M911" s="185" t="s">
        <v>1124</v>
      </c>
      <c r="N911" s="189"/>
      <c r="O911" s="333"/>
      <c r="P911" s="333" t="s">
        <v>1124</v>
      </c>
      <c r="Q911" s="333" t="s">
        <v>1124</v>
      </c>
      <c r="R911" s="475" t="str">
        <f t="shared" si="15"/>
        <v/>
      </c>
      <c r="S911" s="340" t="s">
        <v>1124</v>
      </c>
    </row>
    <row r="912" spans="2:19" ht="15" customHeight="1" x14ac:dyDescent="0.35">
      <c r="B912" s="181">
        <v>51070</v>
      </c>
      <c r="C912" s="182" t="s">
        <v>510</v>
      </c>
      <c r="D912" s="183">
        <v>4</v>
      </c>
      <c r="E912" s="185" t="s">
        <v>1124</v>
      </c>
      <c r="F912" s="185" t="s">
        <v>1124</v>
      </c>
      <c r="G912" s="184" t="s">
        <v>1124</v>
      </c>
      <c r="H912" s="186"/>
      <c r="I912" s="185"/>
      <c r="J912" s="187"/>
      <c r="K912" s="188"/>
      <c r="L912" s="189"/>
      <c r="M912" s="185" t="s">
        <v>1124</v>
      </c>
      <c r="N912" s="189"/>
      <c r="O912" s="333"/>
      <c r="P912" s="333" t="s">
        <v>1124</v>
      </c>
      <c r="Q912" s="333" t="s">
        <v>1124</v>
      </c>
      <c r="R912" s="475" t="str">
        <f t="shared" si="15"/>
        <v/>
      </c>
      <c r="S912" s="340" t="s">
        <v>1124</v>
      </c>
    </row>
    <row r="913" spans="2:19" ht="15" customHeight="1" x14ac:dyDescent="0.35">
      <c r="B913" s="181">
        <v>37230</v>
      </c>
      <c r="C913" s="182" t="s">
        <v>320</v>
      </c>
      <c r="D913" s="183">
        <v>4</v>
      </c>
      <c r="E913" s="185">
        <v>281</v>
      </c>
      <c r="F913" s="185">
        <v>156</v>
      </c>
      <c r="G913" s="184" t="s">
        <v>1326</v>
      </c>
      <c r="H913" s="186">
        <v>1</v>
      </c>
      <c r="I913" s="185">
        <v>1451</v>
      </c>
      <c r="J913" s="187">
        <v>2.5326533425223983</v>
      </c>
      <c r="K913" s="188">
        <v>3674.88</v>
      </c>
      <c r="L913" s="189">
        <v>64.234999999999999</v>
      </c>
      <c r="M913" s="185">
        <v>1401</v>
      </c>
      <c r="N913" s="189">
        <v>376.77300000000002</v>
      </c>
      <c r="O913" s="333">
        <v>209.72126677316297</v>
      </c>
      <c r="P913" s="333">
        <v>51.936100135782731</v>
      </c>
      <c r="Q913" s="333">
        <v>49.865774399999999</v>
      </c>
      <c r="R913" s="475">
        <f t="shared" si="15"/>
        <v>1.0415179702048853</v>
      </c>
      <c r="S913" s="340">
        <v>62.915535203933466</v>
      </c>
    </row>
    <row r="914" spans="2:19" ht="15" customHeight="1" x14ac:dyDescent="0.35">
      <c r="B914" s="181">
        <v>4010</v>
      </c>
      <c r="C914" s="182" t="s">
        <v>1037</v>
      </c>
      <c r="D914" s="183">
        <v>11</v>
      </c>
      <c r="E914" s="185">
        <v>466</v>
      </c>
      <c r="F914" s="185">
        <v>234</v>
      </c>
      <c r="G914" s="184" t="s">
        <v>1308</v>
      </c>
      <c r="H914" s="186">
        <v>2</v>
      </c>
      <c r="I914" s="185">
        <v>455</v>
      </c>
      <c r="J914" s="187">
        <v>1.9397590361445782</v>
      </c>
      <c r="K914" s="188">
        <v>882.59036144578306</v>
      </c>
      <c r="L914" s="189">
        <v>17.254999999999999</v>
      </c>
      <c r="M914" s="185">
        <v>501</v>
      </c>
      <c r="N914" s="189">
        <v>150.19800000000001</v>
      </c>
      <c r="O914" s="333">
        <v>75.527000000000001</v>
      </c>
      <c r="P914" s="333">
        <v>43.035874897959204</v>
      </c>
      <c r="Q914" s="333">
        <v>15.71052637</v>
      </c>
      <c r="R914" s="475">
        <f t="shared" si="15"/>
        <v>2.7393019103509006</v>
      </c>
      <c r="S914" s="340">
        <v>61.035087719298261</v>
      </c>
    </row>
    <row r="915" spans="2:19" ht="15" customHeight="1" x14ac:dyDescent="0.35">
      <c r="B915" s="181">
        <v>11025</v>
      </c>
      <c r="C915" s="182" t="s">
        <v>21</v>
      </c>
      <c r="D915" s="183">
        <v>1</v>
      </c>
      <c r="E915" s="185" t="s">
        <v>1124</v>
      </c>
      <c r="F915" s="185" t="s">
        <v>1124</v>
      </c>
      <c r="G915" s="184" t="s">
        <v>1124</v>
      </c>
      <c r="H915" s="186"/>
      <c r="I915" s="185"/>
      <c r="J915" s="187"/>
      <c r="K915" s="188"/>
      <c r="L915" s="189"/>
      <c r="M915" s="185" t="s">
        <v>1124</v>
      </c>
      <c r="N915" s="189"/>
      <c r="O915" s="333"/>
      <c r="P915" s="333" t="s">
        <v>1124</v>
      </c>
      <c r="Q915" s="333" t="s">
        <v>1124</v>
      </c>
      <c r="R915" s="475" t="str">
        <f t="shared" si="15"/>
        <v/>
      </c>
      <c r="S915" s="340" t="s">
        <v>1124</v>
      </c>
    </row>
    <row r="916" spans="2:19" ht="15" customHeight="1" x14ac:dyDescent="0.35">
      <c r="B916" s="181">
        <v>68050</v>
      </c>
      <c r="C916" s="182" t="s">
        <v>682</v>
      </c>
      <c r="D916" s="183">
        <v>16</v>
      </c>
      <c r="E916" s="185" t="s">
        <v>1124</v>
      </c>
      <c r="F916" s="185" t="s">
        <v>1124</v>
      </c>
      <c r="G916" s="184" t="s">
        <v>1124</v>
      </c>
      <c r="H916" s="186"/>
      <c r="I916" s="185"/>
      <c r="J916" s="187"/>
      <c r="K916" s="188"/>
      <c r="L916" s="189"/>
      <c r="M916" s="185" t="s">
        <v>1124</v>
      </c>
      <c r="N916" s="189"/>
      <c r="O916" s="333"/>
      <c r="P916" s="333" t="s">
        <v>1124</v>
      </c>
      <c r="Q916" s="333" t="s">
        <v>1124</v>
      </c>
      <c r="R916" s="475" t="str">
        <f t="shared" si="15"/>
        <v/>
      </c>
      <c r="S916" s="340" t="s">
        <v>1124</v>
      </c>
    </row>
    <row r="917" spans="2:19" ht="15" customHeight="1" x14ac:dyDescent="0.35">
      <c r="B917" s="181">
        <v>19110</v>
      </c>
      <c r="C917" s="182" t="s">
        <v>136</v>
      </c>
      <c r="D917" s="183">
        <v>12</v>
      </c>
      <c r="E917" s="185">
        <v>290</v>
      </c>
      <c r="F917" s="185">
        <v>222</v>
      </c>
      <c r="G917" s="184" t="s">
        <v>1326</v>
      </c>
      <c r="H917" s="186">
        <v>1</v>
      </c>
      <c r="I917" s="185">
        <v>507</v>
      </c>
      <c r="J917" s="187">
        <v>2.2645962732919256</v>
      </c>
      <c r="K917" s="188">
        <v>1148.1503105590064</v>
      </c>
      <c r="L917" s="189">
        <v>11.32</v>
      </c>
      <c r="M917" s="185">
        <v>525</v>
      </c>
      <c r="N917" s="189">
        <v>121.41850117589998</v>
      </c>
      <c r="O917" s="333">
        <v>92.83</v>
      </c>
      <c r="P917" s="333">
        <v>18.340223658261468</v>
      </c>
      <c r="Q917" s="333">
        <v>14.210978601749998</v>
      </c>
      <c r="R917" s="475">
        <f t="shared" si="15"/>
        <v>1.2905672559385164</v>
      </c>
      <c r="S917" s="340">
        <v>59.405471962479268</v>
      </c>
    </row>
    <row r="918" spans="2:19" ht="15" customHeight="1" x14ac:dyDescent="0.35">
      <c r="B918" s="181">
        <v>62085</v>
      </c>
      <c r="C918" s="182" t="s">
        <v>633</v>
      </c>
      <c r="D918" s="183">
        <v>14</v>
      </c>
      <c r="E918" s="185">
        <v>1195</v>
      </c>
      <c r="F918" s="185">
        <v>340</v>
      </c>
      <c r="G918" s="184" t="s">
        <v>1326</v>
      </c>
      <c r="H918" s="186">
        <v>1</v>
      </c>
      <c r="I918" s="185">
        <v>644</v>
      </c>
      <c r="J918" s="187">
        <v>1.2758433079434168</v>
      </c>
      <c r="K918" s="188">
        <v>821.64309031556047</v>
      </c>
      <c r="L918" s="189">
        <v>18.254999999999999</v>
      </c>
      <c r="M918" s="185">
        <v>933</v>
      </c>
      <c r="N918" s="189">
        <v>358.36099999999999</v>
      </c>
      <c r="O918" s="333">
        <v>101.90951337579617</v>
      </c>
      <c r="P918" s="333">
        <v>228.76358499999998</v>
      </c>
      <c r="Q918" s="333">
        <v>18.446244074999999</v>
      </c>
      <c r="R918" s="475">
        <f t="shared" si="15"/>
        <v>12.401634938249616</v>
      </c>
      <c r="S918" s="340">
        <v>59.081081081081081</v>
      </c>
    </row>
    <row r="919" spans="2:19" ht="15" customHeight="1" x14ac:dyDescent="0.35">
      <c r="B919" s="181">
        <v>13065</v>
      </c>
      <c r="C919" s="182" t="s">
        <v>52</v>
      </c>
      <c r="D919" s="183">
        <v>1</v>
      </c>
      <c r="E919" s="185">
        <v>369</v>
      </c>
      <c r="F919" s="185">
        <v>251</v>
      </c>
      <c r="G919" s="184" t="s">
        <v>1308</v>
      </c>
      <c r="H919" s="186">
        <v>1</v>
      </c>
      <c r="I919" s="185">
        <v>499</v>
      </c>
      <c r="J919" s="187">
        <v>1.8865619546247818</v>
      </c>
      <c r="K919" s="188">
        <v>941.39441535776609</v>
      </c>
      <c r="L919" s="189">
        <v>13.885</v>
      </c>
      <c r="M919" s="185">
        <v>369</v>
      </c>
      <c r="N919" s="189">
        <v>126.66200000000001</v>
      </c>
      <c r="O919" s="333">
        <v>86.272154954954942</v>
      </c>
      <c r="P919" s="333">
        <v>28.808070000000011</v>
      </c>
      <c r="Q919" s="333">
        <v>17.192369430000003</v>
      </c>
      <c r="R919" s="475">
        <f t="shared" si="15"/>
        <v>1.6756311640052983</v>
      </c>
      <c r="S919" s="340">
        <v>44.554054054054049</v>
      </c>
    </row>
    <row r="920" spans="2:19" ht="15" customHeight="1" x14ac:dyDescent="0.35">
      <c r="B920" s="181">
        <v>12020</v>
      </c>
      <c r="C920" s="182" t="s">
        <v>31</v>
      </c>
      <c r="D920" s="183">
        <v>1</v>
      </c>
      <c r="E920" s="185">
        <v>193</v>
      </c>
      <c r="F920" s="185">
        <v>161</v>
      </c>
      <c r="G920" s="184" t="s">
        <v>1326</v>
      </c>
      <c r="H920" s="186">
        <v>2</v>
      </c>
      <c r="I920" s="185">
        <v>237</v>
      </c>
      <c r="J920" s="187">
        <v>2.4787234042553195</v>
      </c>
      <c r="K920" s="188">
        <v>587.45744680851067</v>
      </c>
      <c r="L920" s="189">
        <v>6.9529999999999994</v>
      </c>
      <c r="M920" s="185">
        <v>222</v>
      </c>
      <c r="N920" s="189">
        <v>41.486000000000004</v>
      </c>
      <c r="O920" s="333">
        <v>34.575538461538464</v>
      </c>
      <c r="P920" s="333">
        <v>3.7079522500515361</v>
      </c>
      <c r="Q920" s="333">
        <v>5.1359702974999992</v>
      </c>
      <c r="R920" s="475">
        <f t="shared" si="15"/>
        <v>0.72195749493653227</v>
      </c>
      <c r="S920" s="340">
        <v>53.737254901960782</v>
      </c>
    </row>
    <row r="921" spans="2:19" ht="15" customHeight="1" x14ac:dyDescent="0.35">
      <c r="B921" s="181">
        <v>7095</v>
      </c>
      <c r="C921" s="182" t="s">
        <v>1083</v>
      </c>
      <c r="D921" s="183">
        <v>1</v>
      </c>
      <c r="E921" s="185">
        <v>169</v>
      </c>
      <c r="F921" s="185">
        <v>134</v>
      </c>
      <c r="G921" s="184" t="s">
        <v>1308</v>
      </c>
      <c r="H921" s="186">
        <v>1</v>
      </c>
      <c r="I921" s="185">
        <v>177</v>
      </c>
      <c r="J921" s="187">
        <v>1.8523489932885906</v>
      </c>
      <c r="K921" s="188">
        <v>327.86577181208054</v>
      </c>
      <c r="L921" s="189">
        <v>3.7989999999999999</v>
      </c>
      <c r="M921" s="185">
        <v>166</v>
      </c>
      <c r="N921" s="189">
        <v>20.282</v>
      </c>
      <c r="O921" s="333">
        <v>15.978859374999999</v>
      </c>
      <c r="P921" s="333">
        <v>2.6447700000000021</v>
      </c>
      <c r="Q921" s="333">
        <v>4.0502589999999996</v>
      </c>
      <c r="R921" s="475">
        <f t="shared" si="15"/>
        <v>0.65298787065222308</v>
      </c>
      <c r="S921" s="340">
        <v>38.081081081081081</v>
      </c>
    </row>
    <row r="922" spans="2:19" ht="15" customHeight="1" x14ac:dyDescent="0.35">
      <c r="B922" s="181">
        <v>37240</v>
      </c>
      <c r="C922" s="182" t="s">
        <v>322</v>
      </c>
      <c r="D922" s="183">
        <v>4</v>
      </c>
      <c r="E922" s="185">
        <v>262</v>
      </c>
      <c r="F922" s="185">
        <v>169</v>
      </c>
      <c r="G922" s="184" t="s">
        <v>1308</v>
      </c>
      <c r="H922" s="186">
        <v>1</v>
      </c>
      <c r="I922" s="185">
        <v>550</v>
      </c>
      <c r="J922" s="187">
        <v>2.0859728506787332</v>
      </c>
      <c r="K922" s="188">
        <v>1147.2850678733032</v>
      </c>
      <c r="L922" s="189">
        <v>27.638000000000002</v>
      </c>
      <c r="M922" s="185">
        <v>557</v>
      </c>
      <c r="N922" s="189">
        <v>109.762</v>
      </c>
      <c r="O922" s="333">
        <v>70.863</v>
      </c>
      <c r="P922" s="333">
        <v>16.675999999999998</v>
      </c>
      <c r="Q922" s="333">
        <v>21.527809792000003</v>
      </c>
      <c r="R922" s="475">
        <f t="shared" si="15"/>
        <v>0.77462594481845537</v>
      </c>
      <c r="S922" s="340">
        <v>69</v>
      </c>
    </row>
    <row r="923" spans="2:19" ht="15" customHeight="1" x14ac:dyDescent="0.35">
      <c r="B923" s="181">
        <v>33030</v>
      </c>
      <c r="C923" s="182" t="s">
        <v>270</v>
      </c>
      <c r="D923" s="183">
        <v>12</v>
      </c>
      <c r="E923" s="185">
        <v>265</v>
      </c>
      <c r="F923" s="185">
        <v>165</v>
      </c>
      <c r="G923" s="184" t="s">
        <v>1308</v>
      </c>
      <c r="H923" s="186">
        <v>1</v>
      </c>
      <c r="I923" s="185">
        <v>285</v>
      </c>
      <c r="J923" s="187">
        <v>2.3603411513859274</v>
      </c>
      <c r="K923" s="188">
        <v>672.69722814498925</v>
      </c>
      <c r="L923" s="189">
        <v>9.6950000000000003</v>
      </c>
      <c r="M923" s="185">
        <v>293</v>
      </c>
      <c r="N923" s="189">
        <v>65.027000000000001</v>
      </c>
      <c r="O923" s="333">
        <v>40.390670103092781</v>
      </c>
      <c r="P923" s="333">
        <v>18.179210040816319</v>
      </c>
      <c r="Q923" s="333">
        <v>8.3297734049999992</v>
      </c>
      <c r="R923" s="475">
        <f t="shared" si="15"/>
        <v>2.1824375234390088</v>
      </c>
      <c r="S923" s="340">
        <v>58</v>
      </c>
    </row>
    <row r="924" spans="2:19" ht="15" customHeight="1" x14ac:dyDescent="0.35">
      <c r="B924" s="181">
        <v>10015</v>
      </c>
      <c r="C924" s="182" t="s">
        <v>10</v>
      </c>
      <c r="D924" s="183">
        <v>1</v>
      </c>
      <c r="E924" s="185">
        <v>200</v>
      </c>
      <c r="F924" s="185">
        <v>163</v>
      </c>
      <c r="G924" s="184" t="s">
        <v>1308</v>
      </c>
      <c r="H924" s="186">
        <v>1</v>
      </c>
      <c r="I924" s="185">
        <v>191</v>
      </c>
      <c r="J924" s="187">
        <v>2.2706422018348622</v>
      </c>
      <c r="K924" s="188">
        <v>433.6926605504587</v>
      </c>
      <c r="L924" s="189">
        <v>4.38</v>
      </c>
      <c r="M924" s="185">
        <v>158</v>
      </c>
      <c r="N924" s="189">
        <v>31.731000000000002</v>
      </c>
      <c r="O924" s="333">
        <v>25.73725</v>
      </c>
      <c r="P924" s="333">
        <v>4.5780788775510182</v>
      </c>
      <c r="Q924" s="333">
        <v>2.161165</v>
      </c>
      <c r="R924" s="475">
        <f t="shared" si="15"/>
        <v>2.1183384320729877</v>
      </c>
      <c r="S924" s="340">
        <v>56.098039215686271</v>
      </c>
    </row>
    <row r="925" spans="2:19" ht="15" customHeight="1" x14ac:dyDescent="0.35">
      <c r="B925" s="181">
        <v>93045</v>
      </c>
      <c r="C925" s="182" t="s">
        <v>965</v>
      </c>
      <c r="D925" s="183">
        <v>2</v>
      </c>
      <c r="E925" s="185">
        <v>296</v>
      </c>
      <c r="F925" s="185">
        <v>127</v>
      </c>
      <c r="G925" s="184" t="s">
        <v>1326</v>
      </c>
      <c r="H925" s="186">
        <v>1</v>
      </c>
      <c r="I925" s="185">
        <v>657</v>
      </c>
      <c r="J925" s="187">
        <v>2.66</v>
      </c>
      <c r="K925" s="188">
        <v>1747.6200000000001</v>
      </c>
      <c r="L925" s="189">
        <v>19.152000000000001</v>
      </c>
      <c r="M925" s="185">
        <v>657</v>
      </c>
      <c r="N925" s="189">
        <v>188.60400000000001</v>
      </c>
      <c r="O925" s="333">
        <v>81.047300000000007</v>
      </c>
      <c r="P925" s="333">
        <v>98.206607999999989</v>
      </c>
      <c r="Q925" s="333">
        <v>19.825254225000002</v>
      </c>
      <c r="R925" s="475">
        <f t="shared" si="15"/>
        <v>4.9536115343307774</v>
      </c>
      <c r="S925" s="340">
        <v>58.72972972972974</v>
      </c>
    </row>
    <row r="926" spans="2:19" ht="15" customHeight="1" x14ac:dyDescent="0.35">
      <c r="B926" s="181">
        <v>48050</v>
      </c>
      <c r="C926" s="182" t="s">
        <v>463</v>
      </c>
      <c r="D926" s="183">
        <v>16</v>
      </c>
      <c r="E926" s="185" t="s">
        <v>1124</v>
      </c>
      <c r="F926" s="185" t="s">
        <v>1124</v>
      </c>
      <c r="G926" s="184" t="s">
        <v>1124</v>
      </c>
      <c r="H926" s="186"/>
      <c r="I926" s="185"/>
      <c r="J926" s="187"/>
      <c r="K926" s="188"/>
      <c r="L926" s="189"/>
      <c r="M926" s="185" t="s">
        <v>1124</v>
      </c>
      <c r="N926" s="189"/>
      <c r="O926" s="333"/>
      <c r="P926" s="333" t="s">
        <v>1124</v>
      </c>
      <c r="Q926" s="333" t="s">
        <v>1124</v>
      </c>
      <c r="R926" s="475" t="str">
        <f t="shared" si="15"/>
        <v/>
      </c>
      <c r="S926" s="340" t="s">
        <v>1124</v>
      </c>
    </row>
    <row r="927" spans="2:19" ht="15" customHeight="1" x14ac:dyDescent="0.35">
      <c r="B927" s="181">
        <v>19015</v>
      </c>
      <c r="C927" s="182" t="s">
        <v>120</v>
      </c>
      <c r="D927" s="183">
        <v>12</v>
      </c>
      <c r="E927" s="185" t="s">
        <v>1124</v>
      </c>
      <c r="F927" s="185" t="s">
        <v>1124</v>
      </c>
      <c r="G927" s="184" t="s">
        <v>1124</v>
      </c>
      <c r="H927" s="186"/>
      <c r="I927" s="185"/>
      <c r="J927" s="187"/>
      <c r="K927" s="188"/>
      <c r="L927" s="189"/>
      <c r="M927" s="185" t="s">
        <v>1124</v>
      </c>
      <c r="N927" s="189"/>
      <c r="O927" s="333"/>
      <c r="P927" s="333" t="s">
        <v>1124</v>
      </c>
      <c r="Q927" s="333" t="s">
        <v>1124</v>
      </c>
      <c r="R927" s="475" t="str">
        <f t="shared" si="15"/>
        <v/>
      </c>
      <c r="S927" s="340" t="s">
        <v>1124</v>
      </c>
    </row>
    <row r="928" spans="2:19" ht="15" customHeight="1" x14ac:dyDescent="0.35">
      <c r="B928" s="181">
        <v>19045</v>
      </c>
      <c r="C928" s="182" t="s">
        <v>125</v>
      </c>
      <c r="D928" s="183">
        <v>12</v>
      </c>
      <c r="E928" s="185">
        <v>280</v>
      </c>
      <c r="F928" s="185">
        <v>213</v>
      </c>
      <c r="G928" s="184" t="s">
        <v>1308</v>
      </c>
      <c r="H928" s="186">
        <v>1</v>
      </c>
      <c r="I928" s="185">
        <v>182</v>
      </c>
      <c r="J928" s="187">
        <v>1.9151670951156814</v>
      </c>
      <c r="K928" s="188">
        <v>348.560411311054</v>
      </c>
      <c r="L928" s="189">
        <v>4.2930000000000001</v>
      </c>
      <c r="M928" s="185">
        <v>177</v>
      </c>
      <c r="N928" s="189">
        <v>35.613800000000005</v>
      </c>
      <c r="O928" s="333">
        <v>27.049920110552765</v>
      </c>
      <c r="P928" s="333">
        <v>5.5030319999999939</v>
      </c>
      <c r="Q928" s="333">
        <v>3.8980204199999999</v>
      </c>
      <c r="R928" s="475">
        <f t="shared" si="15"/>
        <v>1.4117504289523435</v>
      </c>
      <c r="S928" s="340">
        <v>58.554054054054063</v>
      </c>
    </row>
    <row r="929" spans="2:19" ht="15" customHeight="1" x14ac:dyDescent="0.35">
      <c r="B929" s="181">
        <v>7100</v>
      </c>
      <c r="C929" s="182" t="s">
        <v>1084</v>
      </c>
      <c r="D929" s="183">
        <v>1</v>
      </c>
      <c r="E929" s="185">
        <v>244</v>
      </c>
      <c r="F929" s="185">
        <v>162</v>
      </c>
      <c r="G929" s="184" t="s">
        <v>1308</v>
      </c>
      <c r="H929" s="186">
        <v>1</v>
      </c>
      <c r="I929" s="185">
        <v>149</v>
      </c>
      <c r="J929" s="187">
        <v>2.0497512437810945</v>
      </c>
      <c r="K929" s="188">
        <v>305.41293532338307</v>
      </c>
      <c r="L929" s="189">
        <v>5.62</v>
      </c>
      <c r="M929" s="185">
        <v>176</v>
      </c>
      <c r="N929" s="189">
        <v>27.15065171264019</v>
      </c>
      <c r="O929" s="333">
        <v>18.096141975308644</v>
      </c>
      <c r="P929" s="333">
        <v>7.0683919369505857</v>
      </c>
      <c r="Q929" s="333">
        <v>5.0099608000000009</v>
      </c>
      <c r="R929" s="475">
        <f t="shared" si="15"/>
        <v>1.4108677131666547</v>
      </c>
      <c r="S929" s="340">
        <v>58.551317376963226</v>
      </c>
    </row>
    <row r="930" spans="2:19" ht="15" customHeight="1" x14ac:dyDescent="0.35">
      <c r="B930" s="181">
        <v>52070</v>
      </c>
      <c r="C930" s="182" t="s">
        <v>524</v>
      </c>
      <c r="D930" s="183">
        <v>14</v>
      </c>
      <c r="E930" s="185" t="s">
        <v>1124</v>
      </c>
      <c r="F930" s="185" t="s">
        <v>1124</v>
      </c>
      <c r="G930" s="184" t="s">
        <v>1124</v>
      </c>
      <c r="H930" s="186"/>
      <c r="I930" s="185"/>
      <c r="J930" s="187"/>
      <c r="K930" s="188"/>
      <c r="L930" s="189"/>
      <c r="M930" s="185" t="s">
        <v>1124</v>
      </c>
      <c r="N930" s="189"/>
      <c r="O930" s="333"/>
      <c r="P930" s="333" t="s">
        <v>1124</v>
      </c>
      <c r="Q930" s="333" t="s">
        <v>1124</v>
      </c>
      <c r="R930" s="475" t="str">
        <f t="shared" si="15"/>
        <v/>
      </c>
      <c r="S930" s="340" t="s">
        <v>1124</v>
      </c>
    </row>
    <row r="931" spans="2:19" ht="15" customHeight="1" x14ac:dyDescent="0.35">
      <c r="B931" s="181">
        <v>39043</v>
      </c>
      <c r="C931" s="182" t="s">
        <v>344</v>
      </c>
      <c r="D931" s="183">
        <v>17</v>
      </c>
      <c r="E931" s="185">
        <v>387</v>
      </c>
      <c r="F931" s="185">
        <v>334</v>
      </c>
      <c r="G931" s="184" t="s">
        <v>1326</v>
      </c>
      <c r="H931" s="186">
        <v>1</v>
      </c>
      <c r="I931" s="185">
        <v>162</v>
      </c>
      <c r="J931" s="187">
        <v>2.4194831013916502</v>
      </c>
      <c r="K931" s="188">
        <v>391.95626242544733</v>
      </c>
      <c r="L931" s="189">
        <v>4.9960000000000004</v>
      </c>
      <c r="M931" s="185">
        <v>158</v>
      </c>
      <c r="N931" s="189">
        <v>55.308999999999997</v>
      </c>
      <c r="O931" s="333">
        <v>47.738</v>
      </c>
      <c r="P931" s="333">
        <v>2.026364999999998</v>
      </c>
      <c r="Q931" s="333">
        <v>3.4988199929999997</v>
      </c>
      <c r="R931" s="475">
        <f t="shared" si="15"/>
        <v>0.57915668827035827</v>
      </c>
      <c r="S931" s="340">
        <v>59.081081081081081</v>
      </c>
    </row>
    <row r="932" spans="2:19" ht="15" customHeight="1" x14ac:dyDescent="0.35">
      <c r="B932" s="181">
        <v>9055</v>
      </c>
      <c r="C932" s="182" t="s">
        <v>1106</v>
      </c>
      <c r="D932" s="183">
        <v>1</v>
      </c>
      <c r="E932" s="185">
        <v>122</v>
      </c>
      <c r="F932" s="185">
        <v>110</v>
      </c>
      <c r="G932" s="184" t="s">
        <v>1308</v>
      </c>
      <c r="H932" s="186">
        <v>1</v>
      </c>
      <c r="I932" s="185">
        <v>226</v>
      </c>
      <c r="J932" s="187">
        <v>2.1914893617021276</v>
      </c>
      <c r="K932" s="188">
        <v>495.27659574468083</v>
      </c>
      <c r="L932" s="189">
        <v>4.0209999999999999</v>
      </c>
      <c r="M932" s="185">
        <v>235</v>
      </c>
      <c r="N932" s="189">
        <v>22.113</v>
      </c>
      <c r="O932" s="333">
        <v>19.851455319148936</v>
      </c>
      <c r="P932" s="333">
        <v>1.1393050000000009</v>
      </c>
      <c r="Q932" s="333">
        <v>5.7192524519999992</v>
      </c>
      <c r="R932" s="475">
        <f t="shared" si="15"/>
        <v>0.19920522997749304</v>
      </c>
      <c r="S932" s="340">
        <v>38.081081081081081</v>
      </c>
    </row>
    <row r="933" spans="2:19" ht="15" customHeight="1" x14ac:dyDescent="0.35">
      <c r="B933" s="181">
        <v>27035</v>
      </c>
      <c r="C933" s="182" t="s">
        <v>181</v>
      </c>
      <c r="D933" s="183">
        <v>12</v>
      </c>
      <c r="E933" s="185">
        <v>237</v>
      </c>
      <c r="F933" s="185">
        <v>198</v>
      </c>
      <c r="G933" s="184" t="s">
        <v>1308</v>
      </c>
      <c r="H933" s="186">
        <v>1</v>
      </c>
      <c r="I933" s="185">
        <v>331</v>
      </c>
      <c r="J933" s="187">
        <v>2.3653198653198655</v>
      </c>
      <c r="K933" s="188">
        <v>782.92087542087552</v>
      </c>
      <c r="L933" s="189">
        <v>9.2850000000000001</v>
      </c>
      <c r="M933" s="185">
        <v>328</v>
      </c>
      <c r="N933" s="189">
        <v>67.637</v>
      </c>
      <c r="O933" s="333">
        <v>56.56</v>
      </c>
      <c r="P933" s="333">
        <v>8.9159279999999992</v>
      </c>
      <c r="Q933" s="333">
        <v>8.5620860500000013</v>
      </c>
      <c r="R933" s="475">
        <f t="shared" si="15"/>
        <v>1.0413266052143915</v>
      </c>
      <c r="S933" s="340">
        <v>58.72972972972974</v>
      </c>
    </row>
    <row r="934" spans="2:19" ht="15" customHeight="1" x14ac:dyDescent="0.35">
      <c r="B934" s="181">
        <v>17005</v>
      </c>
      <c r="C934" s="182" t="s">
        <v>90</v>
      </c>
      <c r="D934" s="183">
        <v>12</v>
      </c>
      <c r="E934" s="185" t="s">
        <v>1124</v>
      </c>
      <c r="F934" s="185" t="s">
        <v>1124</v>
      </c>
      <c r="G934" s="184" t="s">
        <v>1124</v>
      </c>
      <c r="H934" s="186"/>
      <c r="I934" s="185"/>
      <c r="J934" s="187"/>
      <c r="K934" s="188"/>
      <c r="L934" s="189"/>
      <c r="M934" s="185" t="s">
        <v>1124</v>
      </c>
      <c r="N934" s="189"/>
      <c r="O934" s="333"/>
      <c r="P934" s="333" t="s">
        <v>1124</v>
      </c>
      <c r="Q934" s="333" t="s">
        <v>1124</v>
      </c>
      <c r="R934" s="475" t="str">
        <f t="shared" si="15"/>
        <v/>
      </c>
      <c r="S934" s="340" t="s">
        <v>1124</v>
      </c>
    </row>
    <row r="935" spans="2:19" ht="15" customHeight="1" x14ac:dyDescent="0.35">
      <c r="B935" s="181">
        <v>14080</v>
      </c>
      <c r="C935" s="182" t="s">
        <v>74</v>
      </c>
      <c r="D935" s="183">
        <v>1</v>
      </c>
      <c r="E935" s="185" t="s">
        <v>1124</v>
      </c>
      <c r="F935" s="185" t="s">
        <v>1124</v>
      </c>
      <c r="G935" s="184" t="s">
        <v>1124</v>
      </c>
      <c r="H935" s="186"/>
      <c r="I935" s="185"/>
      <c r="J935" s="187"/>
      <c r="K935" s="188"/>
      <c r="L935" s="189"/>
      <c r="M935" s="185" t="s">
        <v>1124</v>
      </c>
      <c r="N935" s="189"/>
      <c r="O935" s="333"/>
      <c r="P935" s="333" t="s">
        <v>1124</v>
      </c>
      <c r="Q935" s="333" t="s">
        <v>1124</v>
      </c>
      <c r="R935" s="475" t="str">
        <f t="shared" si="15"/>
        <v/>
      </c>
      <c r="S935" s="340" t="s">
        <v>1124</v>
      </c>
    </row>
    <row r="936" spans="2:19" ht="15" customHeight="1" x14ac:dyDescent="0.35">
      <c r="B936" s="181">
        <v>53032</v>
      </c>
      <c r="C936" s="182" t="s">
        <v>535</v>
      </c>
      <c r="D936" s="183">
        <v>16</v>
      </c>
      <c r="E936" s="185">
        <v>434</v>
      </c>
      <c r="F936" s="185">
        <v>206</v>
      </c>
      <c r="G936" s="184" t="s">
        <v>1308</v>
      </c>
      <c r="H936" s="186">
        <v>1</v>
      </c>
      <c r="I936" s="185">
        <v>867</v>
      </c>
      <c r="J936" s="187">
        <v>2.0772014475271412</v>
      </c>
      <c r="K936" s="188">
        <v>1800.9336550060314</v>
      </c>
      <c r="L936" s="189">
        <v>42.08</v>
      </c>
      <c r="M936" s="185">
        <v>841</v>
      </c>
      <c r="N936" s="189">
        <v>285.2</v>
      </c>
      <c r="O936" s="333">
        <v>135.14671000000001</v>
      </c>
      <c r="P936" s="333">
        <v>57.956650112755057</v>
      </c>
      <c r="Q936" s="333">
        <v>30.970187220000003</v>
      </c>
      <c r="R936" s="475">
        <f t="shared" si="15"/>
        <v>1.8713690589292811</v>
      </c>
      <c r="S936" s="340">
        <v>37.529411764705884</v>
      </c>
    </row>
    <row r="937" spans="2:19" ht="15" customHeight="1" x14ac:dyDescent="0.35">
      <c r="B937" s="181">
        <v>14070</v>
      </c>
      <c r="C937" s="182" t="s">
        <v>72</v>
      </c>
      <c r="D937" s="183">
        <v>1</v>
      </c>
      <c r="E937" s="185">
        <v>242</v>
      </c>
      <c r="F937" s="185">
        <v>149</v>
      </c>
      <c r="G937" s="184" t="s">
        <v>1308</v>
      </c>
      <c r="H937" s="186">
        <v>1</v>
      </c>
      <c r="I937" s="185">
        <v>591</v>
      </c>
      <c r="J937" s="187">
        <v>2.050198150594452</v>
      </c>
      <c r="K937" s="188">
        <v>1211.667107001321</v>
      </c>
      <c r="L937" s="189">
        <v>17.155000000000001</v>
      </c>
      <c r="M937" s="185">
        <v>505</v>
      </c>
      <c r="N937" s="189">
        <v>106.871</v>
      </c>
      <c r="O937" s="333">
        <v>65.835115942028992</v>
      </c>
      <c r="P937" s="333">
        <v>36.090934999999988</v>
      </c>
      <c r="Q937" s="333">
        <v>15.720780095999997</v>
      </c>
      <c r="R937" s="475">
        <f t="shared" si="15"/>
        <v>2.2957470799545745</v>
      </c>
      <c r="S937" s="340">
        <v>59.081081081081081</v>
      </c>
    </row>
    <row r="938" spans="2:19" ht="15" customHeight="1" x14ac:dyDescent="0.35">
      <c r="B938" s="181">
        <v>17010</v>
      </c>
      <c r="C938" s="182" t="s">
        <v>91</v>
      </c>
      <c r="D938" s="183">
        <v>12</v>
      </c>
      <c r="E938" s="185">
        <v>440</v>
      </c>
      <c r="F938" s="185">
        <v>211</v>
      </c>
      <c r="G938" s="184" t="s">
        <v>1308</v>
      </c>
      <c r="H938" s="186">
        <v>1</v>
      </c>
      <c r="I938" s="185">
        <v>648</v>
      </c>
      <c r="J938" s="187">
        <v>2.0791304347826087</v>
      </c>
      <c r="K938" s="188">
        <v>1347.2765217391304</v>
      </c>
      <c r="L938" s="189">
        <v>19.47</v>
      </c>
      <c r="M938" s="185">
        <v>648</v>
      </c>
      <c r="N938" s="189">
        <v>216.13499999999999</v>
      </c>
      <c r="O938" s="333">
        <v>103.7608</v>
      </c>
      <c r="P938" s="333">
        <v>58.504511973684224</v>
      </c>
      <c r="Q938" s="333">
        <v>26.445892499999999</v>
      </c>
      <c r="R938" s="475">
        <f t="shared" si="15"/>
        <v>2.2122343563819684</v>
      </c>
      <c r="S938" s="340">
        <v>53.441176470588232</v>
      </c>
    </row>
    <row r="939" spans="2:19" ht="15" customHeight="1" x14ac:dyDescent="0.35">
      <c r="B939" s="181">
        <v>14018</v>
      </c>
      <c r="C939" s="182" t="s">
        <v>62</v>
      </c>
      <c r="D939" s="183">
        <v>1</v>
      </c>
      <c r="E939" s="185">
        <v>461</v>
      </c>
      <c r="F939" s="185">
        <v>255</v>
      </c>
      <c r="G939" s="184" t="s">
        <v>1326</v>
      </c>
      <c r="H939" s="186">
        <v>1</v>
      </c>
      <c r="I939" s="185">
        <v>1310</v>
      </c>
      <c r="J939" s="187">
        <v>2.1246958637469588</v>
      </c>
      <c r="K939" s="188">
        <v>2783.3515815085161</v>
      </c>
      <c r="L939" s="189">
        <v>28.8</v>
      </c>
      <c r="M939" s="185">
        <v>1034</v>
      </c>
      <c r="N939" s="189">
        <v>468.47400000000005</v>
      </c>
      <c r="O939" s="333">
        <v>259.40725251076043</v>
      </c>
      <c r="P939" s="333">
        <v>93.589519081632702</v>
      </c>
      <c r="Q939" s="333">
        <v>33.607499099999998</v>
      </c>
      <c r="R939" s="475">
        <f t="shared" si="15"/>
        <v>2.7847808253495634</v>
      </c>
      <c r="S939" s="340">
        <v>59.398155145080622</v>
      </c>
    </row>
    <row r="940" spans="2:19" ht="15" customHeight="1" x14ac:dyDescent="0.35">
      <c r="B940" s="181">
        <v>33025</v>
      </c>
      <c r="C940" s="182" t="s">
        <v>269</v>
      </c>
      <c r="D940" s="183">
        <v>12</v>
      </c>
      <c r="E940" s="185">
        <v>332</v>
      </c>
      <c r="F940" s="185">
        <v>232</v>
      </c>
      <c r="G940" s="184" t="s">
        <v>1308</v>
      </c>
      <c r="H940" s="186">
        <v>1</v>
      </c>
      <c r="I940" s="185">
        <v>268</v>
      </c>
      <c r="J940" s="187">
        <v>2.2927350427350426</v>
      </c>
      <c r="K940" s="188">
        <v>614.45299145299145</v>
      </c>
      <c r="L940" s="189">
        <v>6.0380000000000003</v>
      </c>
      <c r="M940" s="185">
        <v>259</v>
      </c>
      <c r="N940" s="189">
        <v>74.466999999999999</v>
      </c>
      <c r="O940" s="333">
        <v>51.930716723549487</v>
      </c>
      <c r="P940" s="333">
        <v>15.426429132653073</v>
      </c>
      <c r="Q940" s="333">
        <v>5.985527836000001</v>
      </c>
      <c r="R940" s="475">
        <f t="shared" si="15"/>
        <v>2.5772880112378229</v>
      </c>
      <c r="S940" s="340">
        <v>58.264705882352935</v>
      </c>
    </row>
    <row r="941" spans="2:19" ht="15" customHeight="1" x14ac:dyDescent="0.35">
      <c r="B941" s="181">
        <v>68025</v>
      </c>
      <c r="C941" s="182" t="s">
        <v>677</v>
      </c>
      <c r="D941" s="183">
        <v>16</v>
      </c>
      <c r="E941" s="185" t="s">
        <v>1124</v>
      </c>
      <c r="F941" s="185" t="s">
        <v>1124</v>
      </c>
      <c r="G941" s="184" t="s">
        <v>1124</v>
      </c>
      <c r="H941" s="186"/>
      <c r="I941" s="185"/>
      <c r="J941" s="187"/>
      <c r="K941" s="188"/>
      <c r="L941" s="189"/>
      <c r="M941" s="185" t="s">
        <v>1124</v>
      </c>
      <c r="N941" s="189"/>
      <c r="O941" s="333"/>
      <c r="P941" s="333" t="s">
        <v>1124</v>
      </c>
      <c r="Q941" s="333" t="s">
        <v>1124</v>
      </c>
      <c r="R941" s="475" t="str">
        <f t="shared" si="15"/>
        <v/>
      </c>
      <c r="S941" s="340" t="s">
        <v>1124</v>
      </c>
    </row>
    <row r="942" spans="2:19" ht="15" customHeight="1" x14ac:dyDescent="0.35">
      <c r="B942" s="181">
        <v>61005</v>
      </c>
      <c r="C942" s="182" t="s">
        <v>609</v>
      </c>
      <c r="D942" s="183">
        <v>14</v>
      </c>
      <c r="E942" s="185">
        <v>299</v>
      </c>
      <c r="F942" s="185">
        <v>248</v>
      </c>
      <c r="G942" s="184" t="s">
        <v>1308</v>
      </c>
      <c r="H942" s="186">
        <v>3</v>
      </c>
      <c r="I942" s="185">
        <v>2042</v>
      </c>
      <c r="J942" s="187">
        <v>2.4812178726769476</v>
      </c>
      <c r="K942" s="188">
        <v>5066.6468960063266</v>
      </c>
      <c r="L942" s="189">
        <v>30.147000000000002</v>
      </c>
      <c r="M942" s="185">
        <v>1721</v>
      </c>
      <c r="N942" s="189">
        <v>552.89499999999998</v>
      </c>
      <c r="O942" s="333">
        <v>459.1449034771199</v>
      </c>
      <c r="P942" s="333">
        <v>36.791810000000041</v>
      </c>
      <c r="Q942" s="333">
        <v>45.591002616818848</v>
      </c>
      <c r="R942" s="475">
        <f t="shared" si="15"/>
        <v>0.80699716804269794</v>
      </c>
      <c r="S942" s="340">
        <v>56.208808808808811</v>
      </c>
    </row>
    <row r="943" spans="2:19" ht="15" customHeight="1" x14ac:dyDescent="0.35">
      <c r="B943" s="181">
        <v>55015</v>
      </c>
      <c r="C943" s="182" t="s">
        <v>560</v>
      </c>
      <c r="D943" s="183">
        <v>16</v>
      </c>
      <c r="E943" s="185">
        <v>238</v>
      </c>
      <c r="F943" s="185">
        <v>179</v>
      </c>
      <c r="G943" s="184" t="s">
        <v>1308</v>
      </c>
      <c r="H943" s="186">
        <v>1</v>
      </c>
      <c r="I943" s="185">
        <v>234</v>
      </c>
      <c r="J943" s="187">
        <v>2.7834681042228206</v>
      </c>
      <c r="K943" s="188">
        <v>651.33153638814008</v>
      </c>
      <c r="L943" s="189">
        <v>4.4720000000000004</v>
      </c>
      <c r="M943" s="185">
        <v>264</v>
      </c>
      <c r="N943" s="189">
        <v>56.524999999999999</v>
      </c>
      <c r="O943" s="333">
        <v>42.491869999999999</v>
      </c>
      <c r="P943" s="333">
        <v>0.22549756500000415</v>
      </c>
      <c r="Q943" s="333">
        <v>5.4443119680000009</v>
      </c>
      <c r="R943" s="475">
        <f t="shared" si="15"/>
        <v>4.1418927924301512E-2</v>
      </c>
      <c r="S943" s="340">
        <v>64.509803921568633</v>
      </c>
    </row>
    <row r="944" spans="2:19" ht="15" customHeight="1" x14ac:dyDescent="0.35">
      <c r="B944" s="181">
        <v>12035</v>
      </c>
      <c r="C944" s="182" t="s">
        <v>34</v>
      </c>
      <c r="D944" s="183">
        <v>1</v>
      </c>
      <c r="E944" s="185" t="s">
        <v>1124</v>
      </c>
      <c r="F944" s="185" t="s">
        <v>1124</v>
      </c>
      <c r="G944" s="184" t="s">
        <v>1124</v>
      </c>
      <c r="H944" s="186"/>
      <c r="I944" s="185"/>
      <c r="J944" s="187"/>
      <c r="K944" s="188"/>
      <c r="L944" s="189"/>
      <c r="M944" s="185" t="s">
        <v>1124</v>
      </c>
      <c r="N944" s="189"/>
      <c r="O944" s="333"/>
      <c r="P944" s="333" t="s">
        <v>1124</v>
      </c>
      <c r="Q944" s="333" t="s">
        <v>1124</v>
      </c>
      <c r="R944" s="475" t="str">
        <f t="shared" si="15"/>
        <v/>
      </c>
      <c r="S944" s="340" t="s">
        <v>1124</v>
      </c>
    </row>
    <row r="945" spans="2:19" ht="15" customHeight="1" x14ac:dyDescent="0.35">
      <c r="B945" s="181">
        <v>56035</v>
      </c>
      <c r="C945" s="182" t="s">
        <v>572</v>
      </c>
      <c r="D945" s="183">
        <v>16</v>
      </c>
      <c r="E945" s="185" t="s">
        <v>1124</v>
      </c>
      <c r="F945" s="185" t="s">
        <v>1124</v>
      </c>
      <c r="G945" s="184" t="s">
        <v>1124</v>
      </c>
      <c r="H945" s="186"/>
      <c r="I945" s="185"/>
      <c r="J945" s="187"/>
      <c r="K945" s="188"/>
      <c r="L945" s="189"/>
      <c r="M945" s="185" t="s">
        <v>1124</v>
      </c>
      <c r="N945" s="189"/>
      <c r="O945" s="333"/>
      <c r="P945" s="333" t="s">
        <v>1124</v>
      </c>
      <c r="Q945" s="333" t="s">
        <v>1124</v>
      </c>
      <c r="R945" s="475" t="str">
        <f t="shared" si="15"/>
        <v/>
      </c>
      <c r="S945" s="340" t="s">
        <v>1124</v>
      </c>
    </row>
    <row r="946" spans="2:19" ht="15" customHeight="1" x14ac:dyDescent="0.35">
      <c r="B946" s="181">
        <v>18030</v>
      </c>
      <c r="C946" s="182" t="s">
        <v>109</v>
      </c>
      <c r="D946" s="183">
        <v>12</v>
      </c>
      <c r="E946" s="185" t="s">
        <v>1124</v>
      </c>
      <c r="F946" s="185" t="s">
        <v>1124</v>
      </c>
      <c r="G946" s="184" t="s">
        <v>1124</v>
      </c>
      <c r="H946" s="186"/>
      <c r="I946" s="185"/>
      <c r="J946" s="187"/>
      <c r="K946" s="188"/>
      <c r="L946" s="189"/>
      <c r="M946" s="185" t="s">
        <v>1124</v>
      </c>
      <c r="N946" s="189"/>
      <c r="O946" s="333"/>
      <c r="P946" s="333" t="s">
        <v>1124</v>
      </c>
      <c r="Q946" s="333" t="s">
        <v>1124</v>
      </c>
      <c r="R946" s="475" t="str">
        <f t="shared" si="15"/>
        <v/>
      </c>
      <c r="S946" s="340" t="s">
        <v>1124</v>
      </c>
    </row>
    <row r="947" spans="2:19" ht="15" customHeight="1" x14ac:dyDescent="0.35">
      <c r="B947" s="181">
        <v>51060</v>
      </c>
      <c r="C947" s="182" t="s">
        <v>508</v>
      </c>
      <c r="D947" s="183">
        <v>4</v>
      </c>
      <c r="E947" s="185" t="s">
        <v>1124</v>
      </c>
      <c r="F947" s="185" t="s">
        <v>1124</v>
      </c>
      <c r="G947" s="184" t="s">
        <v>1124</v>
      </c>
      <c r="H947" s="186"/>
      <c r="I947" s="185"/>
      <c r="J947" s="187"/>
      <c r="K947" s="188"/>
      <c r="L947" s="189"/>
      <c r="M947" s="185" t="s">
        <v>1124</v>
      </c>
      <c r="N947" s="189"/>
      <c r="O947" s="333"/>
      <c r="P947" s="333" t="s">
        <v>1124</v>
      </c>
      <c r="Q947" s="333" t="s">
        <v>1124</v>
      </c>
      <c r="R947" s="475" t="str">
        <f t="shared" si="15"/>
        <v/>
      </c>
      <c r="S947" s="340" t="s">
        <v>1124</v>
      </c>
    </row>
    <row r="948" spans="2:19" ht="15" customHeight="1" x14ac:dyDescent="0.35">
      <c r="B948" s="181">
        <v>19005</v>
      </c>
      <c r="C948" s="182" t="s">
        <v>118</v>
      </c>
      <c r="D948" s="183">
        <v>12</v>
      </c>
      <c r="E948" s="185">
        <v>355</v>
      </c>
      <c r="F948" s="185">
        <v>194</v>
      </c>
      <c r="G948" s="184" t="s">
        <v>1308</v>
      </c>
      <c r="H948" s="186">
        <v>2</v>
      </c>
      <c r="I948" s="185">
        <v>225</v>
      </c>
      <c r="J948" s="187">
        <v>1.8948888888888888</v>
      </c>
      <c r="K948" s="188">
        <v>426.34999999999997</v>
      </c>
      <c r="L948" s="189">
        <v>12.016999999999999</v>
      </c>
      <c r="M948" s="185">
        <v>481</v>
      </c>
      <c r="N948" s="189">
        <v>55.183</v>
      </c>
      <c r="O948" s="333">
        <v>30.121000000000002</v>
      </c>
      <c r="P948" s="333">
        <v>13.264254999999999</v>
      </c>
      <c r="Q948" s="333">
        <v>15.597814443000001</v>
      </c>
      <c r="R948" s="475">
        <f t="shared" si="15"/>
        <v>0.85039189615137023</v>
      </c>
      <c r="S948" s="340">
        <v>54.125825825825828</v>
      </c>
    </row>
    <row r="949" spans="2:19" ht="15" customHeight="1" x14ac:dyDescent="0.35">
      <c r="B949" s="181">
        <v>29065</v>
      </c>
      <c r="C949" s="182" t="s">
        <v>210</v>
      </c>
      <c r="D949" s="183">
        <v>12</v>
      </c>
      <c r="E949" s="185" t="s">
        <v>1124</v>
      </c>
      <c r="F949" s="185" t="s">
        <v>1124</v>
      </c>
      <c r="G949" s="184" t="s">
        <v>1124</v>
      </c>
      <c r="H949" s="186"/>
      <c r="I949" s="185"/>
      <c r="J949" s="187"/>
      <c r="K949" s="188"/>
      <c r="L949" s="189"/>
      <c r="M949" s="185" t="s">
        <v>1124</v>
      </c>
      <c r="N949" s="189"/>
      <c r="O949" s="333"/>
      <c r="P949" s="333" t="s">
        <v>1124</v>
      </c>
      <c r="Q949" s="333" t="s">
        <v>1124</v>
      </c>
      <c r="R949" s="475" t="str">
        <f t="shared" si="15"/>
        <v/>
      </c>
      <c r="S949" s="340" t="s">
        <v>1124</v>
      </c>
    </row>
    <row r="950" spans="2:19" ht="15" customHeight="1" x14ac:dyDescent="0.35">
      <c r="B950" s="181">
        <v>67010</v>
      </c>
      <c r="C950" s="182" t="s">
        <v>663</v>
      </c>
      <c r="D950" s="183">
        <v>16</v>
      </c>
      <c r="E950" s="185">
        <v>236</v>
      </c>
      <c r="F950" s="185">
        <v>214</v>
      </c>
      <c r="G950" s="184" t="s">
        <v>1326</v>
      </c>
      <c r="H950" s="186">
        <v>1</v>
      </c>
      <c r="I950" s="185">
        <v>2395</v>
      </c>
      <c r="J950" s="187">
        <v>2.9579037800687287</v>
      </c>
      <c r="K950" s="188">
        <v>7084.1795532646056</v>
      </c>
      <c r="L950" s="189">
        <v>27.87</v>
      </c>
      <c r="M950" s="185">
        <v>2395</v>
      </c>
      <c r="N950" s="189">
        <v>610.73800000000006</v>
      </c>
      <c r="O950" s="333">
        <v>554.5068817204301</v>
      </c>
      <c r="P950" s="333">
        <v>33.990263214285747</v>
      </c>
      <c r="Q950" s="333">
        <v>46.241565299999998</v>
      </c>
      <c r="R950" s="475">
        <f t="shared" si="15"/>
        <v>0.73505866407783016</v>
      </c>
      <c r="S950" s="340">
        <v>45.539215686274517</v>
      </c>
    </row>
    <row r="951" spans="2:19" ht="15" customHeight="1" x14ac:dyDescent="0.35">
      <c r="B951" s="181">
        <v>14060</v>
      </c>
      <c r="C951" s="182" t="s">
        <v>70</v>
      </c>
      <c r="D951" s="183">
        <v>1</v>
      </c>
      <c r="E951" s="185">
        <v>211</v>
      </c>
      <c r="F951" s="185">
        <v>172</v>
      </c>
      <c r="G951" s="184" t="s">
        <v>1308</v>
      </c>
      <c r="H951" s="186">
        <v>1</v>
      </c>
      <c r="I951" s="185">
        <v>368</v>
      </c>
      <c r="J951" s="187">
        <v>2.152061855670103</v>
      </c>
      <c r="K951" s="188">
        <v>791.95876288659792</v>
      </c>
      <c r="L951" s="189">
        <v>5.9160000000000004</v>
      </c>
      <c r="M951" s="185">
        <v>348</v>
      </c>
      <c r="N951" s="189">
        <v>61.109000000000002</v>
      </c>
      <c r="O951" s="333">
        <v>49.628783505154637</v>
      </c>
      <c r="P951" s="333">
        <v>7.8663649999999992</v>
      </c>
      <c r="Q951" s="333">
        <v>8.7841951200000015</v>
      </c>
      <c r="R951" s="475">
        <f t="shared" si="15"/>
        <v>0.8955134639586646</v>
      </c>
      <c r="S951" s="340">
        <v>48.243243243243242</v>
      </c>
    </row>
    <row r="952" spans="2:19" ht="15" customHeight="1" x14ac:dyDescent="0.35">
      <c r="B952" s="181">
        <v>54008</v>
      </c>
      <c r="C952" s="182" t="s">
        <v>542</v>
      </c>
      <c r="D952" s="183">
        <v>16</v>
      </c>
      <c r="E952" s="185">
        <v>301</v>
      </c>
      <c r="F952" s="185">
        <v>224</v>
      </c>
      <c r="G952" s="184" t="s">
        <v>1308</v>
      </c>
      <c r="H952" s="186">
        <v>2</v>
      </c>
      <c r="I952" s="185">
        <v>1855</v>
      </c>
      <c r="J952" s="187">
        <v>2.410375369042598</v>
      </c>
      <c r="K952" s="188">
        <v>4471.2463095740195</v>
      </c>
      <c r="L952" s="189">
        <v>49.5</v>
      </c>
      <c r="M952" s="185">
        <v>1549</v>
      </c>
      <c r="N952" s="189">
        <v>490.51460047721241</v>
      </c>
      <c r="O952" s="333">
        <v>364.82900000000001</v>
      </c>
      <c r="P952" s="333">
        <v>66.337999999999994</v>
      </c>
      <c r="Q952" s="333">
        <v>37.323814125000006</v>
      </c>
      <c r="R952" s="475">
        <f t="shared" si="15"/>
        <v>1.7773639043916973</v>
      </c>
      <c r="S952" s="340">
        <v>62.5</v>
      </c>
    </row>
    <row r="953" spans="2:19" ht="15" customHeight="1" x14ac:dyDescent="0.35">
      <c r="B953" s="181">
        <v>49130</v>
      </c>
      <c r="C953" s="182" t="s">
        <v>481</v>
      </c>
      <c r="D953" s="183">
        <v>17</v>
      </c>
      <c r="E953" s="185">
        <v>335</v>
      </c>
      <c r="F953" s="185">
        <v>231</v>
      </c>
      <c r="G953" s="184" t="s">
        <v>1308</v>
      </c>
      <c r="H953" s="186">
        <v>2</v>
      </c>
      <c r="I953" s="185">
        <v>110</v>
      </c>
      <c r="J953" s="187">
        <v>2.3250000000000002</v>
      </c>
      <c r="K953" s="188">
        <v>255.75000000000003</v>
      </c>
      <c r="L953" s="189">
        <v>16.999000000000002</v>
      </c>
      <c r="M953" s="185">
        <v>127</v>
      </c>
      <c r="N953" s="189">
        <v>31.277000000000001</v>
      </c>
      <c r="O953" s="333">
        <v>21.524999999999999</v>
      </c>
      <c r="P953" s="333">
        <v>5.2725306122448981</v>
      </c>
      <c r="Q953" s="333">
        <v>8.1753356999999998</v>
      </c>
      <c r="R953" s="475">
        <f t="shared" si="15"/>
        <v>0.64493138945290018</v>
      </c>
      <c r="S953" s="340">
        <v>64.341176470588238</v>
      </c>
    </row>
    <row r="954" spans="2:19" ht="15" customHeight="1" x14ac:dyDescent="0.35">
      <c r="B954" s="181">
        <v>61020</v>
      </c>
      <c r="C954" s="182" t="s">
        <v>611</v>
      </c>
      <c r="D954" s="183">
        <v>14</v>
      </c>
      <c r="E954" s="185" t="s">
        <v>1124</v>
      </c>
      <c r="F954" s="185" t="s">
        <v>1124</v>
      </c>
      <c r="G954" s="184" t="s">
        <v>1124</v>
      </c>
      <c r="H954" s="186"/>
      <c r="I954" s="185"/>
      <c r="J954" s="187"/>
      <c r="K954" s="188"/>
      <c r="L954" s="189"/>
      <c r="M954" s="185" t="s">
        <v>1124</v>
      </c>
      <c r="N954" s="189"/>
      <c r="O954" s="333"/>
      <c r="P954" s="333" t="s">
        <v>1124</v>
      </c>
      <c r="Q954" s="333" t="s">
        <v>1124</v>
      </c>
      <c r="R954" s="475" t="str">
        <f t="shared" si="15"/>
        <v/>
      </c>
      <c r="S954" s="340" t="s">
        <v>1124</v>
      </c>
    </row>
    <row r="955" spans="2:19" ht="15" customHeight="1" x14ac:dyDescent="0.35">
      <c r="B955" s="192">
        <v>32050</v>
      </c>
      <c r="C955" s="182" t="s">
        <v>261</v>
      </c>
      <c r="D955" s="183">
        <v>17</v>
      </c>
      <c r="E955" s="185">
        <v>166</v>
      </c>
      <c r="F955" s="185">
        <v>121</v>
      </c>
      <c r="G955" s="184" t="s">
        <v>1308</v>
      </c>
      <c r="H955" s="186">
        <v>1</v>
      </c>
      <c r="I955" s="185">
        <v>67</v>
      </c>
      <c r="J955" s="187">
        <v>2.0236220472440944</v>
      </c>
      <c r="K955" s="188">
        <v>135.58267716535434</v>
      </c>
      <c r="L955" s="189">
        <v>1.631</v>
      </c>
      <c r="M955" s="185">
        <v>60</v>
      </c>
      <c r="N955" s="189">
        <v>8.2050000000000001</v>
      </c>
      <c r="O955" s="333">
        <v>6.0110400000000004</v>
      </c>
      <c r="P955" s="333">
        <v>0.70181799355670016</v>
      </c>
      <c r="Q955" s="333">
        <v>1.087463115</v>
      </c>
      <c r="R955" s="475">
        <f t="shared" si="15"/>
        <v>0.64537176836264476</v>
      </c>
      <c r="S955" s="340">
        <v>58.921568627450981</v>
      </c>
    </row>
    <row r="956" spans="2:19" ht="15" customHeight="1" x14ac:dyDescent="0.35">
      <c r="B956" s="181">
        <v>31135</v>
      </c>
      <c r="C956" s="182" t="s">
        <v>254</v>
      </c>
      <c r="D956" s="183">
        <v>12</v>
      </c>
      <c r="E956" s="185">
        <v>420</v>
      </c>
      <c r="F956" s="185">
        <v>191</v>
      </c>
      <c r="G956" s="184" t="s">
        <v>1308</v>
      </c>
      <c r="H956" s="186">
        <v>1</v>
      </c>
      <c r="I956" s="185">
        <v>150</v>
      </c>
      <c r="J956" s="187">
        <v>1.8609958506224067</v>
      </c>
      <c r="K956" s="188">
        <v>279.14937759336101</v>
      </c>
      <c r="L956" s="189">
        <v>3.5819999999999999</v>
      </c>
      <c r="M956" s="185">
        <v>144</v>
      </c>
      <c r="N956" s="189">
        <v>42.753</v>
      </c>
      <c r="O956" s="333">
        <v>19.452999999999999</v>
      </c>
      <c r="P956" s="333">
        <v>21.491705</v>
      </c>
      <c r="Q956" s="333">
        <v>4.1140814399999996</v>
      </c>
      <c r="R956" s="475">
        <f t="shared" si="15"/>
        <v>5.2239376671162834</v>
      </c>
      <c r="S956" s="340">
        <v>51.729729729729726</v>
      </c>
    </row>
    <row r="957" spans="2:19" ht="15" customHeight="1" x14ac:dyDescent="0.35">
      <c r="B957" s="181">
        <v>13075</v>
      </c>
      <c r="C957" s="182" t="s">
        <v>54</v>
      </c>
      <c r="D957" s="183">
        <v>1</v>
      </c>
      <c r="E957" s="185" t="s">
        <v>1124</v>
      </c>
      <c r="F957" s="185" t="s">
        <v>1124</v>
      </c>
      <c r="G957" s="184" t="s">
        <v>1124</v>
      </c>
      <c r="H957" s="186"/>
      <c r="I957" s="185"/>
      <c r="J957" s="187"/>
      <c r="K957" s="188"/>
      <c r="L957" s="189"/>
      <c r="M957" s="185" t="s">
        <v>1124</v>
      </c>
      <c r="N957" s="189"/>
      <c r="O957" s="333"/>
      <c r="P957" s="333" t="s">
        <v>1124</v>
      </c>
      <c r="Q957" s="333" t="s">
        <v>1124</v>
      </c>
      <c r="R957" s="475" t="str">
        <f t="shared" si="15"/>
        <v/>
      </c>
      <c r="S957" s="340" t="s">
        <v>1124</v>
      </c>
    </row>
    <row r="958" spans="2:19" ht="15" customHeight="1" x14ac:dyDescent="0.35">
      <c r="B958" s="181">
        <v>18055</v>
      </c>
      <c r="C958" s="182" t="s">
        <v>114</v>
      </c>
      <c r="D958" s="183">
        <v>12</v>
      </c>
      <c r="E958" s="185" t="s">
        <v>1124</v>
      </c>
      <c r="F958" s="185" t="s">
        <v>1124</v>
      </c>
      <c r="G958" s="184" t="s">
        <v>1124</v>
      </c>
      <c r="H958" s="186"/>
      <c r="I958" s="185"/>
      <c r="J958" s="187"/>
      <c r="K958" s="188"/>
      <c r="L958" s="189"/>
      <c r="M958" s="185" t="s">
        <v>1124</v>
      </c>
      <c r="N958" s="189"/>
      <c r="O958" s="333"/>
      <c r="P958" s="333" t="s">
        <v>1124</v>
      </c>
      <c r="Q958" s="333" t="s">
        <v>1124</v>
      </c>
      <c r="R958" s="475" t="str">
        <f t="shared" si="15"/>
        <v/>
      </c>
      <c r="S958" s="340" t="s">
        <v>1124</v>
      </c>
    </row>
    <row r="959" spans="2:19" ht="15" customHeight="1" x14ac:dyDescent="0.35">
      <c r="B959" s="181">
        <v>20025</v>
      </c>
      <c r="C959" s="182" t="s">
        <v>142</v>
      </c>
      <c r="D959" s="183">
        <v>3</v>
      </c>
      <c r="E959" s="185" t="s">
        <v>1124</v>
      </c>
      <c r="F959" s="185" t="s">
        <v>1124</v>
      </c>
      <c r="G959" s="184" t="s">
        <v>1124</v>
      </c>
      <c r="H959" s="186"/>
      <c r="I959" s="185"/>
      <c r="J959" s="187"/>
      <c r="K959" s="188"/>
      <c r="L959" s="189"/>
      <c r="M959" s="185" t="s">
        <v>1124</v>
      </c>
      <c r="N959" s="189"/>
      <c r="O959" s="333"/>
      <c r="P959" s="333" t="s">
        <v>1124</v>
      </c>
      <c r="Q959" s="333" t="s">
        <v>1124</v>
      </c>
      <c r="R959" s="475" t="str">
        <f t="shared" si="15"/>
        <v/>
      </c>
      <c r="S959" s="340" t="s">
        <v>1124</v>
      </c>
    </row>
    <row r="960" spans="2:19" ht="15" customHeight="1" x14ac:dyDescent="0.35">
      <c r="B960" s="181">
        <v>38065</v>
      </c>
      <c r="C960" s="182" t="s">
        <v>335</v>
      </c>
      <c r="D960" s="183">
        <v>17</v>
      </c>
      <c r="E960" s="185">
        <v>597</v>
      </c>
      <c r="F960" s="185">
        <v>475</v>
      </c>
      <c r="G960" s="184" t="s">
        <v>1308</v>
      </c>
      <c r="H960" s="186">
        <v>1</v>
      </c>
      <c r="I960" s="185">
        <v>623</v>
      </c>
      <c r="J960" s="187">
        <v>2.095412844036697</v>
      </c>
      <c r="K960" s="188">
        <v>1305.4422018348623</v>
      </c>
      <c r="L960" s="189">
        <v>32.061999999999998</v>
      </c>
      <c r="M960" s="185">
        <v>658</v>
      </c>
      <c r="N960" s="189">
        <v>284.33299999999997</v>
      </c>
      <c r="O960" s="333">
        <v>226.20623000000001</v>
      </c>
      <c r="P960" s="333">
        <v>29.039235045918367</v>
      </c>
      <c r="Q960" s="333">
        <v>16.319239118399999</v>
      </c>
      <c r="R960" s="475">
        <f t="shared" si="15"/>
        <v>1.7794478550888153</v>
      </c>
      <c r="S960" s="340">
        <v>55.078431372549012</v>
      </c>
    </row>
    <row r="961" spans="2:19" ht="15" customHeight="1" x14ac:dyDescent="0.35">
      <c r="B961" s="181">
        <v>72043</v>
      </c>
      <c r="C961" s="182" t="s">
        <v>733</v>
      </c>
      <c r="D961" s="183">
        <v>15</v>
      </c>
      <c r="E961" s="185">
        <v>473</v>
      </c>
      <c r="F961" s="185">
        <v>143</v>
      </c>
      <c r="G961" s="184" t="s">
        <v>1308</v>
      </c>
      <c r="H961" s="186">
        <v>1</v>
      </c>
      <c r="I961" s="185">
        <v>206</v>
      </c>
      <c r="J961" s="187">
        <v>2.1977186311787071</v>
      </c>
      <c r="K961" s="188">
        <v>452.73003802281369</v>
      </c>
      <c r="L961" s="189">
        <v>3.9670000000000001</v>
      </c>
      <c r="M961" s="185">
        <v>159</v>
      </c>
      <c r="N961" s="189">
        <v>78.21208791208791</v>
      </c>
      <c r="O961" s="333">
        <v>23.70086165997887</v>
      </c>
      <c r="P961" s="333">
        <v>44.120449387755059</v>
      </c>
      <c r="Q961" s="333">
        <v>4.32822484125</v>
      </c>
      <c r="R961" s="475">
        <f t="shared" si="15"/>
        <v>10.193659295900392</v>
      </c>
      <c r="S961" s="340">
        <v>44.18662481892806</v>
      </c>
    </row>
    <row r="962" spans="2:19" ht="15" customHeight="1" x14ac:dyDescent="0.35">
      <c r="B962" s="181">
        <v>71020</v>
      </c>
      <c r="C962" s="182" t="s">
        <v>706</v>
      </c>
      <c r="D962" s="183">
        <v>16</v>
      </c>
      <c r="E962" s="185">
        <v>234</v>
      </c>
      <c r="F962" s="185">
        <v>198</v>
      </c>
      <c r="G962" s="184" t="s">
        <v>1326</v>
      </c>
      <c r="H962" s="186">
        <v>1</v>
      </c>
      <c r="I962" s="185">
        <v>1090</v>
      </c>
      <c r="J962" s="187">
        <v>2.5</v>
      </c>
      <c r="K962" s="188">
        <v>2725</v>
      </c>
      <c r="L962" s="189">
        <v>31.951000000000001</v>
      </c>
      <c r="M962" s="185">
        <v>970</v>
      </c>
      <c r="N962" s="189">
        <v>232.911</v>
      </c>
      <c r="O962" s="333">
        <v>196.52819358816276</v>
      </c>
      <c r="P962" s="333">
        <v>18.992878815789474</v>
      </c>
      <c r="Q962" s="333">
        <v>21.304357230000001</v>
      </c>
      <c r="R962" s="475">
        <f t="shared" si="15"/>
        <v>0.89150208151055654</v>
      </c>
      <c r="S962" s="340">
        <v>70.37254901960786</v>
      </c>
    </row>
    <row r="963" spans="2:19" ht="15" customHeight="1" x14ac:dyDescent="0.35">
      <c r="B963" s="181">
        <v>91035</v>
      </c>
      <c r="C963" s="182" t="s">
        <v>943</v>
      </c>
      <c r="D963" s="183">
        <v>2</v>
      </c>
      <c r="E963" s="185" t="s">
        <v>1124</v>
      </c>
      <c r="F963" s="185" t="s">
        <v>1124</v>
      </c>
      <c r="G963" s="184" t="s">
        <v>1124</v>
      </c>
      <c r="H963" s="186"/>
      <c r="I963" s="185"/>
      <c r="J963" s="187"/>
      <c r="K963" s="188"/>
      <c r="L963" s="189"/>
      <c r="M963" s="185" t="s">
        <v>1124</v>
      </c>
      <c r="N963" s="189"/>
      <c r="O963" s="333"/>
      <c r="P963" s="333" t="s">
        <v>1124</v>
      </c>
      <c r="Q963" s="333" t="s">
        <v>1124</v>
      </c>
      <c r="R963" s="475" t="str">
        <f t="shared" si="15"/>
        <v/>
      </c>
      <c r="S963" s="340" t="s">
        <v>1124</v>
      </c>
    </row>
    <row r="964" spans="2:19" ht="15" customHeight="1" x14ac:dyDescent="0.35">
      <c r="B964" s="181">
        <v>28020</v>
      </c>
      <c r="C964" s="182" t="s">
        <v>190</v>
      </c>
      <c r="D964" s="183">
        <v>12</v>
      </c>
      <c r="E964" s="185">
        <v>271</v>
      </c>
      <c r="F964" s="185">
        <v>219</v>
      </c>
      <c r="G964" s="184" t="s">
        <v>1308</v>
      </c>
      <c r="H964" s="186">
        <v>1</v>
      </c>
      <c r="I964" s="185">
        <v>1253</v>
      </c>
      <c r="J964" s="187">
        <v>2.1093843395098624</v>
      </c>
      <c r="K964" s="188">
        <v>2643.0585774058577</v>
      </c>
      <c r="L964" s="189">
        <v>25.84</v>
      </c>
      <c r="M964" s="185">
        <v>1105</v>
      </c>
      <c r="N964" s="189">
        <v>261.29300000000001</v>
      </c>
      <c r="O964" s="333">
        <v>211.43759254425612</v>
      </c>
      <c r="P964" s="333">
        <v>36.797255999999834</v>
      </c>
      <c r="Q964" s="333">
        <v>28.081596199999996</v>
      </c>
      <c r="R964" s="475">
        <f t="shared" si="15"/>
        <v>1.3103691021666297</v>
      </c>
      <c r="S964" s="340">
        <v>61.716216216216203</v>
      </c>
    </row>
    <row r="965" spans="2:19" ht="15" customHeight="1" x14ac:dyDescent="0.35">
      <c r="B965" s="181">
        <v>37250</v>
      </c>
      <c r="C965" s="182" t="s">
        <v>324</v>
      </c>
      <c r="D965" s="183">
        <v>4</v>
      </c>
      <c r="E965" s="185">
        <v>366</v>
      </c>
      <c r="F965" s="185">
        <v>277</v>
      </c>
      <c r="G965" s="184" t="s">
        <v>1308</v>
      </c>
      <c r="H965" s="186">
        <v>1</v>
      </c>
      <c r="I965" s="185">
        <v>232</v>
      </c>
      <c r="J965" s="187">
        <v>1.9368421052631579</v>
      </c>
      <c r="K965" s="188">
        <v>449.34736842105264</v>
      </c>
      <c r="L965" s="189">
        <v>18.507999999999999</v>
      </c>
      <c r="M965" s="185">
        <v>233</v>
      </c>
      <c r="N965" s="189">
        <v>60.07</v>
      </c>
      <c r="O965" s="333">
        <v>45.505355642023346</v>
      </c>
      <c r="P965" s="333">
        <v>8.7599999999999856</v>
      </c>
      <c r="Q965" s="333">
        <v>10.646386065</v>
      </c>
      <c r="R965" s="475">
        <f t="shared" si="15"/>
        <v>0.82281442233233404</v>
      </c>
      <c r="S965" s="340">
        <v>60</v>
      </c>
    </row>
    <row r="966" spans="2:19" ht="15" customHeight="1" x14ac:dyDescent="0.35">
      <c r="B966" s="181">
        <v>19082</v>
      </c>
      <c r="C966" s="182" t="s">
        <v>132</v>
      </c>
      <c r="D966" s="183">
        <v>12</v>
      </c>
      <c r="E966" s="185">
        <v>369</v>
      </c>
      <c r="F966" s="185">
        <v>266</v>
      </c>
      <c r="G966" s="184" t="s">
        <v>1326</v>
      </c>
      <c r="H966" s="186">
        <v>1</v>
      </c>
      <c r="I966" s="185">
        <v>574</v>
      </c>
      <c r="J966" s="187">
        <v>2.2027522935779817</v>
      </c>
      <c r="K966" s="188">
        <v>1264.3798165137616</v>
      </c>
      <c r="L966" s="189">
        <v>14.672000000000001</v>
      </c>
      <c r="M966" s="185">
        <v>731</v>
      </c>
      <c r="N966" s="189">
        <v>170.07300000000001</v>
      </c>
      <c r="O966" s="333">
        <v>122.9</v>
      </c>
      <c r="P966" s="333">
        <v>9.5081040000000083</v>
      </c>
      <c r="Q966" s="333">
        <v>13.714876168</v>
      </c>
      <c r="R966" s="475">
        <f t="shared" si="15"/>
        <v>0.69326940203693777</v>
      </c>
      <c r="S966" s="340">
        <v>57.04651162790698</v>
      </c>
    </row>
    <row r="967" spans="2:19" ht="15" customHeight="1" x14ac:dyDescent="0.35">
      <c r="B967" s="181">
        <v>34128</v>
      </c>
      <c r="C967" s="182" t="s">
        <v>301</v>
      </c>
      <c r="D967" s="183">
        <v>3</v>
      </c>
      <c r="E967" s="185">
        <v>429</v>
      </c>
      <c r="F967" s="185">
        <v>233</v>
      </c>
      <c r="G967" s="184" t="s">
        <v>1308</v>
      </c>
      <c r="H967" s="186">
        <v>1</v>
      </c>
      <c r="I967" s="185">
        <v>2560</v>
      </c>
      <c r="J967" s="187">
        <v>2.2799999999999998</v>
      </c>
      <c r="K967" s="188">
        <v>5836.7999999999993</v>
      </c>
      <c r="L967" s="189">
        <v>59.116</v>
      </c>
      <c r="M967" s="185">
        <v>1995</v>
      </c>
      <c r="N967" s="189">
        <v>913.202</v>
      </c>
      <c r="O967" s="333">
        <v>496.53089999999997</v>
      </c>
      <c r="P967" s="333">
        <v>123.59283734536079</v>
      </c>
      <c r="Q967" s="333">
        <v>50.943386894999996</v>
      </c>
      <c r="R967" s="475">
        <f t="shared" ref="R967:R1030" si="16">IF(H967="","",P967/Q967)</f>
        <v>2.4260820663553333</v>
      </c>
      <c r="S967" s="340">
        <v>57.385964912280713</v>
      </c>
    </row>
    <row r="968" spans="2:19" ht="15" customHeight="1" x14ac:dyDescent="0.35">
      <c r="B968" s="181">
        <v>68055</v>
      </c>
      <c r="C968" s="182" t="s">
        <v>683</v>
      </c>
      <c r="D968" s="183">
        <v>16</v>
      </c>
      <c r="E968" s="185">
        <v>366</v>
      </c>
      <c r="F968" s="185">
        <v>260</v>
      </c>
      <c r="G968" s="184" t="s">
        <v>1308</v>
      </c>
      <c r="H968" s="186">
        <v>1</v>
      </c>
      <c r="I968" s="185">
        <v>3210</v>
      </c>
      <c r="J968" s="187">
        <v>2.3424398160670816</v>
      </c>
      <c r="K968" s="188">
        <v>7519.2318095753317</v>
      </c>
      <c r="L968" s="189">
        <v>39.514000000000003</v>
      </c>
      <c r="M968" s="185">
        <v>3476</v>
      </c>
      <c r="N968" s="189">
        <v>1003.593</v>
      </c>
      <c r="O968" s="333">
        <v>714.49885740402192</v>
      </c>
      <c r="P968" s="333">
        <v>58.561356785714274</v>
      </c>
      <c r="Q968" s="333">
        <v>61.5542865066</v>
      </c>
      <c r="R968" s="475">
        <f t="shared" si="16"/>
        <v>0.95137739561704093</v>
      </c>
      <c r="S968" s="340">
        <v>48.588235294117638</v>
      </c>
    </row>
    <row r="969" spans="2:19" ht="15" customHeight="1" x14ac:dyDescent="0.35">
      <c r="B969" s="181">
        <v>39020</v>
      </c>
      <c r="C969" s="182" t="s">
        <v>340</v>
      </c>
      <c r="D969" s="183">
        <v>17</v>
      </c>
      <c r="E969" s="185">
        <v>286</v>
      </c>
      <c r="F969" s="185">
        <v>219</v>
      </c>
      <c r="G969" s="184" t="s">
        <v>1326</v>
      </c>
      <c r="H969" s="186">
        <v>1</v>
      </c>
      <c r="I969" s="185">
        <v>116</v>
      </c>
      <c r="J969" s="187">
        <v>1.8529411764705883</v>
      </c>
      <c r="K969" s="188">
        <v>214.94117647058823</v>
      </c>
      <c r="L969" s="189">
        <v>5.9249999999999998</v>
      </c>
      <c r="M969" s="185">
        <v>131</v>
      </c>
      <c r="N969" s="189">
        <v>22.460999999999999</v>
      </c>
      <c r="O969" s="333">
        <v>17.197743589743588</v>
      </c>
      <c r="P969" s="333">
        <v>4.7780849999999973</v>
      </c>
      <c r="Q969" s="333">
        <v>4.0234626162499998</v>
      </c>
      <c r="R969" s="475">
        <f t="shared" si="16"/>
        <v>1.1875554604887395</v>
      </c>
      <c r="S969" s="340">
        <v>45.081081081081081</v>
      </c>
    </row>
    <row r="970" spans="2:19" ht="15" customHeight="1" x14ac:dyDescent="0.35">
      <c r="B970" s="181">
        <v>29050</v>
      </c>
      <c r="C970" s="182" t="s">
        <v>208</v>
      </c>
      <c r="D970" s="183">
        <v>12</v>
      </c>
      <c r="E970" s="185" t="s">
        <v>1124</v>
      </c>
      <c r="F970" s="185" t="s">
        <v>1124</v>
      </c>
      <c r="G970" s="184" t="s">
        <v>1124</v>
      </c>
      <c r="H970" s="186"/>
      <c r="I970" s="185"/>
      <c r="J970" s="187"/>
      <c r="K970" s="188"/>
      <c r="L970" s="189"/>
      <c r="M970" s="185" t="s">
        <v>1124</v>
      </c>
      <c r="N970" s="189"/>
      <c r="O970" s="333"/>
      <c r="P970" s="333" t="s">
        <v>1124</v>
      </c>
      <c r="Q970" s="333" t="s">
        <v>1124</v>
      </c>
      <c r="R970" s="475" t="str">
        <f t="shared" si="16"/>
        <v/>
      </c>
      <c r="S970" s="340" t="s">
        <v>1124</v>
      </c>
    </row>
    <row r="971" spans="2:19" ht="15" customHeight="1" x14ac:dyDescent="0.35">
      <c r="B971" s="181">
        <v>8035</v>
      </c>
      <c r="C971" s="182" t="s">
        <v>1091</v>
      </c>
      <c r="D971" s="183">
        <v>1</v>
      </c>
      <c r="E971" s="185">
        <v>284</v>
      </c>
      <c r="F971" s="185">
        <v>207</v>
      </c>
      <c r="G971" s="184" t="s">
        <v>1308</v>
      </c>
      <c r="H971" s="186">
        <v>1</v>
      </c>
      <c r="I971" s="185">
        <v>118</v>
      </c>
      <c r="J971" s="187">
        <v>2.2000000000000002</v>
      </c>
      <c r="K971" s="188">
        <v>259.60000000000002</v>
      </c>
      <c r="L971" s="189">
        <v>2.968</v>
      </c>
      <c r="M971" s="185">
        <v>98</v>
      </c>
      <c r="N971" s="189">
        <v>26.867999999999999</v>
      </c>
      <c r="O971" s="333">
        <v>19.637483870967738</v>
      </c>
      <c r="P971" s="333">
        <v>5.8289799999999987</v>
      </c>
      <c r="Q971" s="333">
        <v>2.9205285200000004</v>
      </c>
      <c r="R971" s="475">
        <f t="shared" si="16"/>
        <v>1.9958647758728265</v>
      </c>
      <c r="S971" s="340">
        <v>59.081081081081081</v>
      </c>
    </row>
    <row r="972" spans="2:19" ht="15" customHeight="1" x14ac:dyDescent="0.35">
      <c r="B972" s="181">
        <v>53020</v>
      </c>
      <c r="C972" s="182" t="s">
        <v>533</v>
      </c>
      <c r="D972" s="183">
        <v>16</v>
      </c>
      <c r="E972" s="185">
        <v>374</v>
      </c>
      <c r="F972" s="185">
        <v>213</v>
      </c>
      <c r="G972" s="184" t="s">
        <v>1326</v>
      </c>
      <c r="H972" s="186">
        <v>1</v>
      </c>
      <c r="I972" s="185">
        <v>829</v>
      </c>
      <c r="J972" s="187">
        <v>2.3151750972762648</v>
      </c>
      <c r="K972" s="188">
        <v>1919.2801556420236</v>
      </c>
      <c r="L972" s="189">
        <v>45.973999999999997</v>
      </c>
      <c r="M972" s="185">
        <v>829</v>
      </c>
      <c r="N972" s="189">
        <v>262.29399999999998</v>
      </c>
      <c r="O972" s="333">
        <v>149.2456</v>
      </c>
      <c r="P972" s="333">
        <v>40.267386326530598</v>
      </c>
      <c r="Q972" s="333">
        <v>30.988171500000004</v>
      </c>
      <c r="R972" s="475">
        <f t="shared" si="16"/>
        <v>1.299443767649556</v>
      </c>
      <c r="S972" s="340">
        <v>57.222222222222214</v>
      </c>
    </row>
    <row r="973" spans="2:19" ht="15" customHeight="1" x14ac:dyDescent="0.35">
      <c r="B973" s="181">
        <v>30070</v>
      </c>
      <c r="C973" s="182" t="s">
        <v>228</v>
      </c>
      <c r="D973" s="183">
        <v>5</v>
      </c>
      <c r="E973" s="185" t="s">
        <v>1124</v>
      </c>
      <c r="F973" s="185" t="s">
        <v>1124</v>
      </c>
      <c r="G973" s="184" t="s">
        <v>1124</v>
      </c>
      <c r="H973" s="186"/>
      <c r="I973" s="185"/>
      <c r="J973" s="187"/>
      <c r="K973" s="188"/>
      <c r="L973" s="189"/>
      <c r="M973" s="185" t="s">
        <v>1124</v>
      </c>
      <c r="N973" s="189"/>
      <c r="O973" s="333"/>
      <c r="P973" s="333" t="s">
        <v>1124</v>
      </c>
      <c r="Q973" s="333" t="s">
        <v>1124</v>
      </c>
      <c r="R973" s="475" t="str">
        <f t="shared" si="16"/>
        <v/>
      </c>
      <c r="S973" s="340" t="s">
        <v>1124</v>
      </c>
    </row>
    <row r="974" spans="2:19" ht="15" customHeight="1" x14ac:dyDescent="0.35">
      <c r="B974" s="181">
        <v>63035</v>
      </c>
      <c r="C974" s="182" t="s">
        <v>638</v>
      </c>
      <c r="D974" s="183">
        <v>14</v>
      </c>
      <c r="E974" s="185">
        <v>305</v>
      </c>
      <c r="F974" s="185">
        <v>220</v>
      </c>
      <c r="G974" s="184" t="s">
        <v>1326</v>
      </c>
      <c r="H974" s="186">
        <v>1</v>
      </c>
      <c r="I974" s="185">
        <v>1274</v>
      </c>
      <c r="J974" s="187">
        <v>2.5229966808914179</v>
      </c>
      <c r="K974" s="188">
        <v>3214.2977714556664</v>
      </c>
      <c r="L974" s="189">
        <v>28.584</v>
      </c>
      <c r="M974" s="185">
        <v>1369</v>
      </c>
      <c r="N974" s="189">
        <v>357.39800000000002</v>
      </c>
      <c r="O974" s="333">
        <v>258.46600000000001</v>
      </c>
      <c r="P974" s="333">
        <v>41.611160653061305</v>
      </c>
      <c r="Q974" s="333">
        <v>21.96949711325</v>
      </c>
      <c r="R974" s="475">
        <f t="shared" si="16"/>
        <v>1.8940424734604071</v>
      </c>
      <c r="S974" s="340">
        <v>63.543859649122822</v>
      </c>
    </row>
    <row r="975" spans="2:19" ht="15" customHeight="1" x14ac:dyDescent="0.35">
      <c r="B975" s="181">
        <v>35045</v>
      </c>
      <c r="C975" s="182" t="s">
        <v>310</v>
      </c>
      <c r="D975" s="183">
        <v>4</v>
      </c>
      <c r="E975" s="185" t="s">
        <v>1124</v>
      </c>
      <c r="F975" s="185" t="s">
        <v>1124</v>
      </c>
      <c r="G975" s="184" t="s">
        <v>1124</v>
      </c>
      <c r="H975" s="186"/>
      <c r="I975" s="185"/>
      <c r="J975" s="187"/>
      <c r="K975" s="188"/>
      <c r="L975" s="189"/>
      <c r="M975" s="185" t="s">
        <v>1124</v>
      </c>
      <c r="N975" s="189"/>
      <c r="O975" s="333"/>
      <c r="P975" s="333" t="s">
        <v>1124</v>
      </c>
      <c r="Q975" s="333" t="s">
        <v>1124</v>
      </c>
      <c r="R975" s="475" t="str">
        <f t="shared" si="16"/>
        <v/>
      </c>
      <c r="S975" s="340" t="s">
        <v>1124</v>
      </c>
    </row>
    <row r="976" spans="2:19" ht="15" customHeight="1" x14ac:dyDescent="0.35">
      <c r="B976" s="181">
        <v>53040</v>
      </c>
      <c r="C976" s="182" t="s">
        <v>536</v>
      </c>
      <c r="D976" s="183">
        <v>16</v>
      </c>
      <c r="E976" s="185" t="s">
        <v>1124</v>
      </c>
      <c r="F976" s="185" t="s">
        <v>1124</v>
      </c>
      <c r="G976" s="184" t="s">
        <v>1124</v>
      </c>
      <c r="H976" s="186"/>
      <c r="I976" s="185"/>
      <c r="J976" s="187"/>
      <c r="K976" s="188"/>
      <c r="L976" s="189"/>
      <c r="M976" s="185" t="s">
        <v>1124</v>
      </c>
      <c r="N976" s="189"/>
      <c r="O976" s="333"/>
      <c r="P976" s="333" t="s">
        <v>1124</v>
      </c>
      <c r="Q976" s="333" t="s">
        <v>1124</v>
      </c>
      <c r="R976" s="475" t="str">
        <f t="shared" si="16"/>
        <v/>
      </c>
      <c r="S976" s="340" t="s">
        <v>1124</v>
      </c>
    </row>
    <row r="977" spans="2:19" ht="15" customHeight="1" x14ac:dyDescent="0.35">
      <c r="B977" s="181">
        <v>17065</v>
      </c>
      <c r="C977" s="182" t="s">
        <v>101</v>
      </c>
      <c r="D977" s="183">
        <v>12</v>
      </c>
      <c r="E977" s="185">
        <v>214</v>
      </c>
      <c r="F977" s="185">
        <v>179</v>
      </c>
      <c r="G977" s="184" t="s">
        <v>1308</v>
      </c>
      <c r="H977" s="186">
        <v>1</v>
      </c>
      <c r="I977" s="185">
        <v>197</v>
      </c>
      <c r="J977" s="187">
        <v>2.0219298245614037</v>
      </c>
      <c r="K977" s="188">
        <v>398.32017543859655</v>
      </c>
      <c r="L977" s="189">
        <v>4.95</v>
      </c>
      <c r="M977" s="185">
        <v>189</v>
      </c>
      <c r="N977" s="189">
        <v>31.065000000000001</v>
      </c>
      <c r="O977" s="333">
        <v>26.037634146341464</v>
      </c>
      <c r="P977" s="333">
        <v>3.5040250000000008</v>
      </c>
      <c r="Q977" s="333">
        <v>5.9061015000000001</v>
      </c>
      <c r="R977" s="475">
        <f t="shared" si="16"/>
        <v>0.59328899105442068</v>
      </c>
      <c r="S977" s="340">
        <v>58.378378378378386</v>
      </c>
    </row>
    <row r="978" spans="2:19" ht="15" customHeight="1" x14ac:dyDescent="0.35">
      <c r="B978" s="181">
        <v>63040</v>
      </c>
      <c r="C978" s="182" t="s">
        <v>639</v>
      </c>
      <c r="D978" s="183">
        <v>14</v>
      </c>
      <c r="E978" s="185" t="s">
        <v>1124</v>
      </c>
      <c r="F978" s="185" t="s">
        <v>1124</v>
      </c>
      <c r="G978" s="184" t="s">
        <v>1124</v>
      </c>
      <c r="H978" s="186"/>
      <c r="I978" s="185"/>
      <c r="J978" s="187"/>
      <c r="K978" s="188"/>
      <c r="L978" s="189"/>
      <c r="M978" s="185" t="s">
        <v>1124</v>
      </c>
      <c r="N978" s="189"/>
      <c r="O978" s="333"/>
      <c r="P978" s="333" t="s">
        <v>1124</v>
      </c>
      <c r="Q978" s="333" t="s">
        <v>1124</v>
      </c>
      <c r="R978" s="475" t="str">
        <f t="shared" si="16"/>
        <v/>
      </c>
      <c r="S978" s="340" t="s">
        <v>1124</v>
      </c>
    </row>
    <row r="979" spans="2:19" ht="15" customHeight="1" x14ac:dyDescent="0.35">
      <c r="B979" s="181">
        <v>30100</v>
      </c>
      <c r="C979" s="182" t="s">
        <v>234</v>
      </c>
      <c r="D979" s="183">
        <v>5</v>
      </c>
      <c r="E979" s="185">
        <v>363</v>
      </c>
      <c r="F979" s="185">
        <v>164</v>
      </c>
      <c r="G979" s="184" t="s">
        <v>1308</v>
      </c>
      <c r="H979" s="186">
        <v>1</v>
      </c>
      <c r="I979" s="185">
        <v>185</v>
      </c>
      <c r="J979" s="187">
        <v>2.1160714285714284</v>
      </c>
      <c r="K979" s="188">
        <v>391.47321428571428</v>
      </c>
      <c r="L979" s="189">
        <v>5.3310000000000004</v>
      </c>
      <c r="M979" s="185">
        <v>175</v>
      </c>
      <c r="N979" s="189">
        <v>51.862000000000002</v>
      </c>
      <c r="O979" s="333">
        <v>23.446999999999999</v>
      </c>
      <c r="P979" s="333">
        <v>16.022935188172045</v>
      </c>
      <c r="Q979" s="333">
        <v>4.4928197922641218</v>
      </c>
      <c r="R979" s="475">
        <f t="shared" si="16"/>
        <v>3.566342726623676</v>
      </c>
      <c r="S979" s="340">
        <v>47.852941176470587</v>
      </c>
    </row>
    <row r="980" spans="2:19" ht="15" customHeight="1" x14ac:dyDescent="0.35">
      <c r="B980" s="181">
        <v>39145</v>
      </c>
      <c r="C980" s="182" t="s">
        <v>355</v>
      </c>
      <c r="D980" s="183">
        <v>17</v>
      </c>
      <c r="E980" s="185">
        <v>434</v>
      </c>
      <c r="F980" s="185">
        <v>344</v>
      </c>
      <c r="G980" s="184" t="s">
        <v>1326</v>
      </c>
      <c r="H980" s="186">
        <v>1</v>
      </c>
      <c r="I980" s="185">
        <v>108</v>
      </c>
      <c r="J980" s="187">
        <v>2.352785145888594</v>
      </c>
      <c r="K980" s="188">
        <v>254.10079575596816</v>
      </c>
      <c r="L980" s="189">
        <v>3.5539999999999998</v>
      </c>
      <c r="M980" s="185">
        <v>112</v>
      </c>
      <c r="N980" s="189">
        <v>40.280999999999999</v>
      </c>
      <c r="O980" s="333">
        <v>31.910270000000001</v>
      </c>
      <c r="P980" s="333">
        <v>5.4027849999999988</v>
      </c>
      <c r="Q980" s="333">
        <v>3.1320854400000004</v>
      </c>
      <c r="R980" s="475">
        <f t="shared" si="16"/>
        <v>1.7249800822802579</v>
      </c>
      <c r="S980" s="340">
        <v>44.729729729729726</v>
      </c>
    </row>
    <row r="981" spans="2:19" ht="15" customHeight="1" x14ac:dyDescent="0.35">
      <c r="B981" s="181">
        <v>39130</v>
      </c>
      <c r="C981" s="182" t="s">
        <v>353</v>
      </c>
      <c r="D981" s="183">
        <v>17</v>
      </c>
      <c r="E981" s="185" t="s">
        <v>1124</v>
      </c>
      <c r="F981" s="185" t="s">
        <v>1124</v>
      </c>
      <c r="G981" s="184" t="s">
        <v>1124</v>
      </c>
      <c r="H981" s="186"/>
      <c r="I981" s="185"/>
      <c r="J981" s="187"/>
      <c r="K981" s="188"/>
      <c r="L981" s="189"/>
      <c r="M981" s="185" t="s">
        <v>1124</v>
      </c>
      <c r="N981" s="189"/>
      <c r="O981" s="333"/>
      <c r="P981" s="333" t="s">
        <v>1124</v>
      </c>
      <c r="Q981" s="333" t="s">
        <v>1124</v>
      </c>
      <c r="R981" s="475" t="str">
        <f t="shared" si="16"/>
        <v/>
      </c>
      <c r="S981" s="340" t="s">
        <v>1124</v>
      </c>
    </row>
    <row r="982" spans="2:19" ht="15" customHeight="1" x14ac:dyDescent="0.35">
      <c r="B982" s="181">
        <v>26010</v>
      </c>
      <c r="C982" s="182" t="s">
        <v>168</v>
      </c>
      <c r="D982" s="183">
        <v>12</v>
      </c>
      <c r="E982" s="185" t="s">
        <v>1124</v>
      </c>
      <c r="F982" s="185" t="s">
        <v>1124</v>
      </c>
      <c r="G982" s="184" t="s">
        <v>1124</v>
      </c>
      <c r="H982" s="186"/>
      <c r="I982" s="185"/>
      <c r="J982" s="187"/>
      <c r="K982" s="188"/>
      <c r="L982" s="189"/>
      <c r="M982" s="185" t="s">
        <v>1124</v>
      </c>
      <c r="N982" s="189"/>
      <c r="O982" s="333"/>
      <c r="P982" s="333" t="s">
        <v>1124</v>
      </c>
      <c r="Q982" s="333" t="s">
        <v>1124</v>
      </c>
      <c r="R982" s="475" t="str">
        <f t="shared" si="16"/>
        <v/>
      </c>
      <c r="S982" s="340" t="s">
        <v>1124</v>
      </c>
    </row>
    <row r="983" spans="2:19" ht="15" customHeight="1" x14ac:dyDescent="0.35">
      <c r="B983" s="181">
        <v>77043</v>
      </c>
      <c r="C983" s="182" t="s">
        <v>761</v>
      </c>
      <c r="D983" s="183">
        <v>15</v>
      </c>
      <c r="E983" s="185">
        <v>532</v>
      </c>
      <c r="F983" s="185">
        <v>262</v>
      </c>
      <c r="G983" s="184" t="s">
        <v>1308</v>
      </c>
      <c r="H983" s="186">
        <v>2</v>
      </c>
      <c r="I983" s="185">
        <v>4366</v>
      </c>
      <c r="J983" s="187">
        <v>1.5692148760330578</v>
      </c>
      <c r="K983" s="188">
        <v>6851.1921487603304</v>
      </c>
      <c r="L983" s="189">
        <v>63.138000000000005</v>
      </c>
      <c r="M983" s="185">
        <v>4772</v>
      </c>
      <c r="N983" s="189">
        <v>1330.6859999999999</v>
      </c>
      <c r="O983" s="333">
        <v>655.00821126115818</v>
      </c>
      <c r="P983" s="333">
        <v>251.26688280612228</v>
      </c>
      <c r="Q983" s="333">
        <v>94.683534851999994</v>
      </c>
      <c r="R983" s="475">
        <f t="shared" si="16"/>
        <v>2.6537547758317008</v>
      </c>
      <c r="S983" s="340">
        <v>44.729729729729726</v>
      </c>
    </row>
    <row r="984" spans="2:19" ht="15" customHeight="1" x14ac:dyDescent="0.35">
      <c r="B984" s="181">
        <v>30085</v>
      </c>
      <c r="C984" s="182" t="s">
        <v>231</v>
      </c>
      <c r="D984" s="183">
        <v>5</v>
      </c>
      <c r="E984" s="185">
        <v>326</v>
      </c>
      <c r="F984" s="185">
        <v>177</v>
      </c>
      <c r="G984" s="184" t="s">
        <v>1326</v>
      </c>
      <c r="H984" s="186">
        <v>1</v>
      </c>
      <c r="I984" s="185">
        <v>202</v>
      </c>
      <c r="J984" s="187">
        <v>2.3018999999999998</v>
      </c>
      <c r="K984" s="188">
        <v>464.98379999999997</v>
      </c>
      <c r="L984" s="189">
        <v>5.73</v>
      </c>
      <c r="M984" s="185">
        <v>239</v>
      </c>
      <c r="N984" s="189">
        <v>55.387</v>
      </c>
      <c r="O984" s="333">
        <v>30.117000000000001</v>
      </c>
      <c r="P984" s="333">
        <v>2.7490080401002555</v>
      </c>
      <c r="Q984" s="333">
        <v>6.8434338603220599</v>
      </c>
      <c r="R984" s="475">
        <f t="shared" si="16"/>
        <v>0.40170009621030867</v>
      </c>
      <c r="S984" s="340">
        <v>69.929824561403521</v>
      </c>
    </row>
    <row r="985" spans="2:19" ht="15" customHeight="1" x14ac:dyDescent="0.35">
      <c r="B985" s="181">
        <v>56050</v>
      </c>
      <c r="C985" s="182" t="s">
        <v>574</v>
      </c>
      <c r="D985" s="183">
        <v>16</v>
      </c>
      <c r="E985" s="185" t="s">
        <v>1124</v>
      </c>
      <c r="F985" s="185" t="s">
        <v>1124</v>
      </c>
      <c r="G985" s="184" t="s">
        <v>1124</v>
      </c>
      <c r="H985" s="186"/>
      <c r="I985" s="185"/>
      <c r="J985" s="187"/>
      <c r="K985" s="188"/>
      <c r="L985" s="189"/>
      <c r="M985" s="185" t="s">
        <v>1124</v>
      </c>
      <c r="N985" s="189"/>
      <c r="O985" s="333"/>
      <c r="P985" s="333" t="s">
        <v>1124</v>
      </c>
      <c r="Q985" s="333" t="s">
        <v>1124</v>
      </c>
      <c r="R985" s="475" t="str">
        <f t="shared" si="16"/>
        <v/>
      </c>
      <c r="S985" s="340" t="s">
        <v>1124</v>
      </c>
    </row>
    <row r="986" spans="2:19" ht="15" customHeight="1" x14ac:dyDescent="0.35">
      <c r="B986" s="181">
        <v>51030</v>
      </c>
      <c r="C986" s="182" t="s">
        <v>502</v>
      </c>
      <c r="D986" s="183">
        <v>4</v>
      </c>
      <c r="E986" s="185">
        <v>622</v>
      </c>
      <c r="F986" s="185">
        <v>283</v>
      </c>
      <c r="G986" s="184" t="s">
        <v>1308</v>
      </c>
      <c r="H986" s="186">
        <v>1</v>
      </c>
      <c r="I986" s="185">
        <v>141</v>
      </c>
      <c r="J986" s="187">
        <v>2.1610738255033559</v>
      </c>
      <c r="K986" s="188">
        <v>304.71140939597319</v>
      </c>
      <c r="L986" s="189">
        <v>24.15</v>
      </c>
      <c r="M986" s="185">
        <v>182</v>
      </c>
      <c r="N986" s="189">
        <v>69.155000000000001</v>
      </c>
      <c r="O986" s="333">
        <v>31.478869005494509</v>
      </c>
      <c r="P986" s="333">
        <v>27.485376000000002</v>
      </c>
      <c r="Q986" s="333">
        <v>13.729803499999997</v>
      </c>
      <c r="R986" s="475">
        <f t="shared" si="16"/>
        <v>2.001876865899793</v>
      </c>
      <c r="S986" s="340">
        <v>54</v>
      </c>
    </row>
    <row r="987" spans="2:19" ht="15" customHeight="1" x14ac:dyDescent="0.35">
      <c r="B987" s="181">
        <v>35020</v>
      </c>
      <c r="C987" s="182" t="s">
        <v>306</v>
      </c>
      <c r="D987" s="183">
        <v>4</v>
      </c>
      <c r="E987" s="185">
        <v>390</v>
      </c>
      <c r="F987" s="185">
        <v>172</v>
      </c>
      <c r="G987" s="184" t="s">
        <v>1308</v>
      </c>
      <c r="H987" s="186">
        <v>1</v>
      </c>
      <c r="I987" s="185">
        <v>346</v>
      </c>
      <c r="J987" s="187">
        <v>1.7875000000000001</v>
      </c>
      <c r="K987" s="188">
        <v>618.47500000000002</v>
      </c>
      <c r="L987" s="189">
        <v>15.53</v>
      </c>
      <c r="M987" s="185">
        <v>373</v>
      </c>
      <c r="N987" s="189">
        <v>88.064999999999998</v>
      </c>
      <c r="O987" s="333">
        <v>38.802999999999997</v>
      </c>
      <c r="P987" s="333">
        <v>41.833999999999996</v>
      </c>
      <c r="Q987" s="333">
        <v>9.2358103500000013</v>
      </c>
      <c r="R987" s="475">
        <f t="shared" si="16"/>
        <v>4.529542986988683</v>
      </c>
      <c r="S987" s="340">
        <v>60</v>
      </c>
    </row>
    <row r="988" spans="2:19" ht="15" customHeight="1" x14ac:dyDescent="0.35">
      <c r="B988" s="181">
        <v>27070</v>
      </c>
      <c r="C988" s="182" t="s">
        <v>187</v>
      </c>
      <c r="D988" s="183">
        <v>12</v>
      </c>
      <c r="E988" s="185" t="s">
        <v>1124</v>
      </c>
      <c r="F988" s="185" t="s">
        <v>1124</v>
      </c>
      <c r="G988" s="184" t="s">
        <v>1124</v>
      </c>
      <c r="H988" s="186"/>
      <c r="I988" s="185"/>
      <c r="J988" s="187"/>
      <c r="K988" s="188"/>
      <c r="L988" s="189"/>
      <c r="M988" s="185" t="s">
        <v>1124</v>
      </c>
      <c r="N988" s="189"/>
      <c r="O988" s="333"/>
      <c r="P988" s="333" t="s">
        <v>1124</v>
      </c>
      <c r="Q988" s="333" t="s">
        <v>1124</v>
      </c>
      <c r="R988" s="475" t="str">
        <f t="shared" si="16"/>
        <v/>
      </c>
      <c r="S988" s="340" t="s">
        <v>1124</v>
      </c>
    </row>
    <row r="989" spans="2:19" ht="15" customHeight="1" x14ac:dyDescent="0.35">
      <c r="B989" s="181">
        <v>15058</v>
      </c>
      <c r="C989" s="182" t="s">
        <v>82</v>
      </c>
      <c r="D989" s="183">
        <v>3</v>
      </c>
      <c r="E989" s="185">
        <v>492</v>
      </c>
      <c r="F989" s="185">
        <v>237</v>
      </c>
      <c r="G989" s="184" t="s">
        <v>1308</v>
      </c>
      <c r="H989" s="186">
        <v>2</v>
      </c>
      <c r="I989" s="185">
        <v>464</v>
      </c>
      <c r="J989" s="187">
        <v>2.0372340425531914</v>
      </c>
      <c r="K989" s="188">
        <v>945.27659574468089</v>
      </c>
      <c r="L989" s="189">
        <v>14.291</v>
      </c>
      <c r="M989" s="185">
        <v>440</v>
      </c>
      <c r="N989" s="189">
        <v>169.839</v>
      </c>
      <c r="O989" s="333">
        <v>81.902000000000001</v>
      </c>
      <c r="P989" s="333">
        <v>33.702917714285718</v>
      </c>
      <c r="Q989" s="333">
        <v>12.820315275600002</v>
      </c>
      <c r="R989" s="475">
        <f t="shared" si="16"/>
        <v>2.6288680886366418</v>
      </c>
      <c r="S989" s="340">
        <v>58.083591331269346</v>
      </c>
    </row>
    <row r="990" spans="2:19" ht="15" customHeight="1" x14ac:dyDescent="0.35">
      <c r="B990" s="181">
        <v>5055</v>
      </c>
      <c r="C990" s="182" t="s">
        <v>1052</v>
      </c>
      <c r="D990" s="183">
        <v>11</v>
      </c>
      <c r="E990" s="185">
        <v>294</v>
      </c>
      <c r="F990" s="185">
        <v>188</v>
      </c>
      <c r="G990" s="184" t="s">
        <v>1308</v>
      </c>
      <c r="H990" s="186">
        <v>1</v>
      </c>
      <c r="I990" s="185">
        <v>434</v>
      </c>
      <c r="J990" s="187">
        <v>1.8558139534883722</v>
      </c>
      <c r="K990" s="188">
        <v>805.42325581395357</v>
      </c>
      <c r="L990" s="189">
        <v>12.895</v>
      </c>
      <c r="M990" s="185">
        <v>405</v>
      </c>
      <c r="N990" s="189">
        <v>86.415999999999997</v>
      </c>
      <c r="O990" s="333">
        <v>55.390424242424245</v>
      </c>
      <c r="P990" s="333">
        <v>26.155760000000001</v>
      </c>
      <c r="Q990" s="333">
        <v>11.363761080000002</v>
      </c>
      <c r="R990" s="475">
        <f t="shared" si="16"/>
        <v>2.3016816189521645</v>
      </c>
      <c r="S990" s="340">
        <v>59.081081081081081</v>
      </c>
    </row>
    <row r="991" spans="2:19" ht="15" customHeight="1" x14ac:dyDescent="0.35">
      <c r="B991" s="181">
        <v>11055</v>
      </c>
      <c r="C991" s="182" t="s">
        <v>27</v>
      </c>
      <c r="D991" s="183">
        <v>1</v>
      </c>
      <c r="E991" s="185">
        <v>229</v>
      </c>
      <c r="F991" s="185">
        <v>182</v>
      </c>
      <c r="G991" s="184" t="s">
        <v>1326</v>
      </c>
      <c r="H991" s="186">
        <v>1</v>
      </c>
      <c r="I991" s="185">
        <v>116</v>
      </c>
      <c r="J991" s="187">
        <v>2.7229601518026567</v>
      </c>
      <c r="K991" s="188">
        <v>315.86337760910817</v>
      </c>
      <c r="L991" s="189">
        <v>3.6419999999999999</v>
      </c>
      <c r="M991" s="185">
        <v>126</v>
      </c>
      <c r="N991" s="189">
        <v>26.347999999999999</v>
      </c>
      <c r="O991" s="333">
        <v>20.989555555555555</v>
      </c>
      <c r="P991" s="333">
        <v>3.153779999999998</v>
      </c>
      <c r="Q991" s="333">
        <v>3.2858935200000001</v>
      </c>
      <c r="R991" s="475">
        <f t="shared" si="16"/>
        <v>0.95979373062581708</v>
      </c>
      <c r="S991" s="340">
        <v>59.081081081081081</v>
      </c>
    </row>
    <row r="992" spans="2:19" ht="15" customHeight="1" x14ac:dyDescent="0.35">
      <c r="B992" s="181">
        <v>54090</v>
      </c>
      <c r="C992" s="182" t="s">
        <v>551</v>
      </c>
      <c r="D992" s="183">
        <v>16</v>
      </c>
      <c r="E992" s="185">
        <v>330</v>
      </c>
      <c r="F992" s="185">
        <v>175</v>
      </c>
      <c r="G992" s="184" t="s">
        <v>1308</v>
      </c>
      <c r="H992" s="186">
        <v>1</v>
      </c>
      <c r="I992" s="185">
        <v>250</v>
      </c>
      <c r="J992" s="187">
        <v>2.72</v>
      </c>
      <c r="K992" s="188">
        <v>680</v>
      </c>
      <c r="L992" s="189">
        <v>9.3569999999999993</v>
      </c>
      <c r="M992" s="185">
        <v>221</v>
      </c>
      <c r="N992" s="189">
        <v>82.013000000000005</v>
      </c>
      <c r="O992" s="333">
        <v>43.369500000000002</v>
      </c>
      <c r="P992" s="333">
        <v>8.2861177602040854</v>
      </c>
      <c r="Q992" s="333">
        <v>6.6970191641499994</v>
      </c>
      <c r="R992" s="475">
        <f t="shared" si="16"/>
        <v>1.2372844629982147</v>
      </c>
      <c r="S992" s="340">
        <v>68</v>
      </c>
    </row>
    <row r="993" spans="2:19" ht="15" customHeight="1" x14ac:dyDescent="0.35">
      <c r="B993" s="181">
        <v>29125</v>
      </c>
      <c r="C993" s="182" t="s">
        <v>216</v>
      </c>
      <c r="D993" s="183">
        <v>12</v>
      </c>
      <c r="E993" s="185" t="s">
        <v>1124</v>
      </c>
      <c r="F993" s="185" t="s">
        <v>1124</v>
      </c>
      <c r="G993" s="184" t="s">
        <v>1124</v>
      </c>
      <c r="H993" s="186"/>
      <c r="I993" s="185"/>
      <c r="J993" s="187"/>
      <c r="K993" s="188"/>
      <c r="L993" s="189"/>
      <c r="M993" s="185" t="s">
        <v>1124</v>
      </c>
      <c r="N993" s="189"/>
      <c r="O993" s="333"/>
      <c r="P993" s="333" t="s">
        <v>1124</v>
      </c>
      <c r="Q993" s="333" t="s">
        <v>1124</v>
      </c>
      <c r="R993" s="475" t="str">
        <f t="shared" si="16"/>
        <v/>
      </c>
      <c r="S993" s="340" t="s">
        <v>1124</v>
      </c>
    </row>
    <row r="994" spans="2:19" ht="15" customHeight="1" x14ac:dyDescent="0.35">
      <c r="B994" s="181">
        <v>80070</v>
      </c>
      <c r="C994" s="182" t="s">
        <v>814</v>
      </c>
      <c r="D994" s="183">
        <v>7</v>
      </c>
      <c r="E994" s="185" t="s">
        <v>1124</v>
      </c>
      <c r="F994" s="185" t="s">
        <v>1124</v>
      </c>
      <c r="G994" s="184" t="s">
        <v>1124</v>
      </c>
      <c r="H994" s="186"/>
      <c r="I994" s="185"/>
      <c r="J994" s="187"/>
      <c r="K994" s="188"/>
      <c r="L994" s="189"/>
      <c r="M994" s="185" t="s">
        <v>1124</v>
      </c>
      <c r="N994" s="189"/>
      <c r="O994" s="333"/>
      <c r="P994" s="333" t="s">
        <v>1124</v>
      </c>
      <c r="Q994" s="333" t="s">
        <v>1124</v>
      </c>
      <c r="R994" s="475" t="str">
        <f t="shared" si="16"/>
        <v/>
      </c>
      <c r="S994" s="340" t="s">
        <v>1124</v>
      </c>
    </row>
    <row r="995" spans="2:19" ht="15" customHeight="1" x14ac:dyDescent="0.35">
      <c r="B995" s="181">
        <v>39005</v>
      </c>
      <c r="C995" s="182" t="s">
        <v>337</v>
      </c>
      <c r="D995" s="183">
        <v>17</v>
      </c>
      <c r="E995" s="185" t="s">
        <v>1124</v>
      </c>
      <c r="F995" s="185" t="s">
        <v>1124</v>
      </c>
      <c r="G995" s="184" t="s">
        <v>1124</v>
      </c>
      <c r="H995" s="186"/>
      <c r="I995" s="185"/>
      <c r="J995" s="187"/>
      <c r="K995" s="188"/>
      <c r="L995" s="189"/>
      <c r="M995" s="185" t="s">
        <v>1124</v>
      </c>
      <c r="N995" s="189"/>
      <c r="O995" s="333"/>
      <c r="P995" s="333" t="s">
        <v>1124</v>
      </c>
      <c r="Q995" s="333" t="s">
        <v>1124</v>
      </c>
      <c r="R995" s="475" t="str">
        <f t="shared" si="16"/>
        <v/>
      </c>
      <c r="S995" s="340" t="s">
        <v>1124</v>
      </c>
    </row>
    <row r="996" spans="2:19" ht="15" customHeight="1" x14ac:dyDescent="0.35">
      <c r="B996" s="181">
        <v>92070</v>
      </c>
      <c r="C996" s="182" t="s">
        <v>957</v>
      </c>
      <c r="D996" s="183">
        <v>2</v>
      </c>
      <c r="E996" s="185">
        <v>398</v>
      </c>
      <c r="F996" s="185">
        <v>160</v>
      </c>
      <c r="G996" s="184" t="s">
        <v>1308</v>
      </c>
      <c r="H996" s="186">
        <v>1</v>
      </c>
      <c r="I996" s="185">
        <v>47</v>
      </c>
      <c r="J996" s="187">
        <v>2.2999999999999998</v>
      </c>
      <c r="K996" s="188">
        <v>108.1</v>
      </c>
      <c r="L996" s="189">
        <v>2.8580000000000001</v>
      </c>
      <c r="M996" s="185">
        <v>43</v>
      </c>
      <c r="N996" s="189">
        <v>15.686999999999999</v>
      </c>
      <c r="O996" s="333">
        <v>6.3220000000000001</v>
      </c>
      <c r="P996" s="333">
        <v>7.2299999999999995</v>
      </c>
      <c r="Q996" s="333">
        <v>1.6314518149999999</v>
      </c>
      <c r="R996" s="475">
        <f t="shared" si="16"/>
        <v>4.4316356349145378</v>
      </c>
      <c r="S996" s="340">
        <v>51</v>
      </c>
    </row>
    <row r="997" spans="2:19" ht="15" customHeight="1" x14ac:dyDescent="0.35">
      <c r="B997" s="181">
        <v>37245</v>
      </c>
      <c r="C997" s="182" t="s">
        <v>323</v>
      </c>
      <c r="D997" s="183">
        <v>4</v>
      </c>
      <c r="E997" s="185">
        <v>328</v>
      </c>
      <c r="F997" s="185">
        <v>140</v>
      </c>
      <c r="G997" s="184" t="s">
        <v>1308</v>
      </c>
      <c r="H997" s="186">
        <v>1</v>
      </c>
      <c r="I997" s="185">
        <v>418</v>
      </c>
      <c r="J997" s="187">
        <v>1.9617486338797814</v>
      </c>
      <c r="K997" s="188">
        <v>820.01092896174862</v>
      </c>
      <c r="L997" s="189">
        <v>18.579999999999998</v>
      </c>
      <c r="M997" s="185">
        <v>385</v>
      </c>
      <c r="N997" s="189">
        <v>98.318724137931</v>
      </c>
      <c r="O997" s="333">
        <v>41.819000000000003</v>
      </c>
      <c r="P997" s="333">
        <v>25.494114608958363</v>
      </c>
      <c r="Q997" s="333">
        <v>11.628405424999999</v>
      </c>
      <c r="R997" s="475">
        <f t="shared" si="16"/>
        <v>2.1923998757515255</v>
      </c>
      <c r="S997" s="340">
        <v>70</v>
      </c>
    </row>
    <row r="998" spans="2:19" ht="15" customHeight="1" x14ac:dyDescent="0.35">
      <c r="B998" s="181">
        <v>70040</v>
      </c>
      <c r="C998" s="182" t="s">
        <v>702</v>
      </c>
      <c r="D998" s="183">
        <v>16</v>
      </c>
      <c r="E998" s="185" t="s">
        <v>1124</v>
      </c>
      <c r="F998" s="185" t="s">
        <v>1124</v>
      </c>
      <c r="G998" s="184" t="s">
        <v>1124</v>
      </c>
      <c r="H998" s="186"/>
      <c r="I998" s="185"/>
      <c r="J998" s="187"/>
      <c r="K998" s="188"/>
      <c r="L998" s="189"/>
      <c r="M998" s="185" t="s">
        <v>1124</v>
      </c>
      <c r="N998" s="189"/>
      <c r="O998" s="333"/>
      <c r="P998" s="333" t="s">
        <v>1124</v>
      </c>
      <c r="Q998" s="333" t="s">
        <v>1124</v>
      </c>
      <c r="R998" s="475" t="str">
        <f t="shared" si="16"/>
        <v/>
      </c>
      <c r="S998" s="340" t="s">
        <v>1124</v>
      </c>
    </row>
    <row r="999" spans="2:19" ht="15" customHeight="1" x14ac:dyDescent="0.35">
      <c r="B999" s="181">
        <v>60020</v>
      </c>
      <c r="C999" s="182" t="s">
        <v>607</v>
      </c>
      <c r="D999" s="183">
        <v>14</v>
      </c>
      <c r="E999" s="185">
        <v>397</v>
      </c>
      <c r="F999" s="185">
        <v>211</v>
      </c>
      <c r="G999" s="184" t="s">
        <v>1326</v>
      </c>
      <c r="H999" s="186">
        <v>1</v>
      </c>
      <c r="I999" s="185">
        <v>1531</v>
      </c>
      <c r="J999" s="187">
        <v>2.2821881254169445</v>
      </c>
      <c r="K999" s="188">
        <v>3494.030020013342</v>
      </c>
      <c r="L999" s="189">
        <v>27.4</v>
      </c>
      <c r="M999" s="185">
        <v>1225</v>
      </c>
      <c r="N999" s="189">
        <v>506.92696899999999</v>
      </c>
      <c r="O999" s="333">
        <v>268.77100000000002</v>
      </c>
      <c r="P999" s="333">
        <v>175.29954278132655</v>
      </c>
      <c r="Q999" s="333">
        <v>33.050436100000006</v>
      </c>
      <c r="R999" s="475">
        <f t="shared" si="16"/>
        <v>5.3040008988361436</v>
      </c>
      <c r="S999" s="340">
        <v>60.669753636227398</v>
      </c>
    </row>
    <row r="1000" spans="2:19" ht="15" customHeight="1" x14ac:dyDescent="0.35">
      <c r="B1000" s="181">
        <v>38005</v>
      </c>
      <c r="C1000" s="182" t="s">
        <v>325</v>
      </c>
      <c r="D1000" s="183">
        <v>17</v>
      </c>
      <c r="E1000" s="185">
        <v>242</v>
      </c>
      <c r="F1000" s="185">
        <v>167</v>
      </c>
      <c r="G1000" s="184" t="s">
        <v>1326</v>
      </c>
      <c r="H1000" s="186">
        <v>1</v>
      </c>
      <c r="I1000" s="185">
        <v>108</v>
      </c>
      <c r="J1000" s="187">
        <v>2.0558510638297873</v>
      </c>
      <c r="K1000" s="188">
        <v>222.03191489361703</v>
      </c>
      <c r="L1000" s="189">
        <v>1.962</v>
      </c>
      <c r="M1000" s="185">
        <v>110</v>
      </c>
      <c r="N1000" s="189">
        <v>19.645</v>
      </c>
      <c r="O1000" s="333">
        <v>13.51</v>
      </c>
      <c r="P1000" s="333">
        <v>3.7321617346938765</v>
      </c>
      <c r="Q1000" s="333">
        <v>2.14337928</v>
      </c>
      <c r="R1000" s="475">
        <f t="shared" si="16"/>
        <v>1.7412511959590635</v>
      </c>
      <c r="S1000" s="340">
        <v>54.316326530612223</v>
      </c>
    </row>
    <row r="1001" spans="2:19" ht="15" customHeight="1" x14ac:dyDescent="0.35">
      <c r="B1001" s="181">
        <v>33007</v>
      </c>
      <c r="C1001" s="182" t="s">
        <v>267</v>
      </c>
      <c r="D1001" s="183">
        <v>12</v>
      </c>
      <c r="E1001" s="185" t="s">
        <v>1124</v>
      </c>
      <c r="F1001" s="185" t="s">
        <v>1124</v>
      </c>
      <c r="G1001" s="184" t="s">
        <v>1124</v>
      </c>
      <c r="H1001" s="186"/>
      <c r="I1001" s="185"/>
      <c r="J1001" s="187"/>
      <c r="K1001" s="188"/>
      <c r="L1001" s="189"/>
      <c r="M1001" s="185" t="s">
        <v>1124</v>
      </c>
      <c r="N1001" s="189"/>
      <c r="O1001" s="333"/>
      <c r="P1001" s="333" t="s">
        <v>1124</v>
      </c>
      <c r="Q1001" s="333" t="s">
        <v>1124</v>
      </c>
      <c r="R1001" s="475" t="str">
        <f t="shared" si="16"/>
        <v/>
      </c>
      <c r="S1001" s="340" t="s">
        <v>1124</v>
      </c>
    </row>
    <row r="1002" spans="2:19" ht="15" customHeight="1" x14ac:dyDescent="0.35">
      <c r="B1002" s="181">
        <v>71015</v>
      </c>
      <c r="C1002" s="182" t="s">
        <v>705</v>
      </c>
      <c r="D1002" s="183">
        <v>16</v>
      </c>
      <c r="E1002" s="185" t="s">
        <v>1124</v>
      </c>
      <c r="F1002" s="185" t="s">
        <v>1124</v>
      </c>
      <c r="G1002" s="184" t="s">
        <v>1124</v>
      </c>
      <c r="H1002" s="186"/>
      <c r="I1002" s="185"/>
      <c r="J1002" s="187"/>
      <c r="K1002" s="188"/>
      <c r="L1002" s="189"/>
      <c r="M1002" s="185" t="s">
        <v>1124</v>
      </c>
      <c r="N1002" s="189"/>
      <c r="O1002" s="333"/>
      <c r="P1002" s="333" t="s">
        <v>1124</v>
      </c>
      <c r="Q1002" s="333" t="s">
        <v>1124</v>
      </c>
      <c r="R1002" s="475" t="str">
        <f t="shared" si="16"/>
        <v/>
      </c>
      <c r="S1002" s="340" t="s">
        <v>1124</v>
      </c>
    </row>
    <row r="1003" spans="2:19" ht="15" customHeight="1" x14ac:dyDescent="0.35">
      <c r="B1003" s="181">
        <v>7070</v>
      </c>
      <c r="C1003" s="182" t="s">
        <v>1078</v>
      </c>
      <c r="D1003" s="183">
        <v>1</v>
      </c>
      <c r="E1003" s="185">
        <v>145</v>
      </c>
      <c r="F1003" s="185">
        <v>101</v>
      </c>
      <c r="G1003" s="184" t="s">
        <v>1308</v>
      </c>
      <c r="H1003" s="186">
        <v>1</v>
      </c>
      <c r="I1003" s="185">
        <v>97</v>
      </c>
      <c r="J1003" s="187">
        <v>2.1243781094527363</v>
      </c>
      <c r="K1003" s="188">
        <v>206.06467661691542</v>
      </c>
      <c r="L1003" s="189">
        <v>3.5739999999999998</v>
      </c>
      <c r="M1003" s="185">
        <v>91</v>
      </c>
      <c r="N1003" s="189">
        <v>10.906000000000001</v>
      </c>
      <c r="O1003" s="333">
        <v>7.6199905660377363</v>
      </c>
      <c r="P1003" s="333">
        <v>2.4154100000000014</v>
      </c>
      <c r="Q1003" s="333">
        <v>2.04249255</v>
      </c>
      <c r="R1003" s="475">
        <f t="shared" si="16"/>
        <v>1.1825795888459918</v>
      </c>
      <c r="S1003" s="340">
        <v>59.081081081081081</v>
      </c>
    </row>
    <row r="1004" spans="2:19" ht="15" customHeight="1" x14ac:dyDescent="0.35">
      <c r="B1004" s="181">
        <v>48045</v>
      </c>
      <c r="C1004" s="182" t="s">
        <v>462</v>
      </c>
      <c r="D1004" s="183">
        <v>16</v>
      </c>
      <c r="E1004" s="185" t="s">
        <v>1124</v>
      </c>
      <c r="F1004" s="185" t="s">
        <v>1124</v>
      </c>
      <c r="G1004" s="184" t="s">
        <v>1124</v>
      </c>
      <c r="H1004" s="186"/>
      <c r="I1004" s="185"/>
      <c r="J1004" s="187"/>
      <c r="K1004" s="188"/>
      <c r="L1004" s="189"/>
      <c r="M1004" s="185" t="s">
        <v>1124</v>
      </c>
      <c r="N1004" s="189"/>
      <c r="O1004" s="333"/>
      <c r="P1004" s="333" t="s">
        <v>1124</v>
      </c>
      <c r="Q1004" s="333" t="s">
        <v>1124</v>
      </c>
      <c r="R1004" s="475" t="str">
        <f t="shared" si="16"/>
        <v/>
      </c>
      <c r="S1004" s="340" t="s">
        <v>1124</v>
      </c>
    </row>
    <row r="1005" spans="2:19" ht="15" customHeight="1" x14ac:dyDescent="0.35">
      <c r="B1005" s="181">
        <v>29005</v>
      </c>
      <c r="C1005" s="182" t="s">
        <v>201</v>
      </c>
      <c r="D1005" s="183">
        <v>12</v>
      </c>
      <c r="E1005" s="185" t="s">
        <v>1124</v>
      </c>
      <c r="F1005" s="185" t="s">
        <v>1124</v>
      </c>
      <c r="G1005" s="184" t="s">
        <v>1124</v>
      </c>
      <c r="H1005" s="186"/>
      <c r="I1005" s="185"/>
      <c r="J1005" s="187"/>
      <c r="K1005" s="188"/>
      <c r="L1005" s="189"/>
      <c r="M1005" s="185" t="s">
        <v>1124</v>
      </c>
      <c r="N1005" s="189"/>
      <c r="O1005" s="333"/>
      <c r="P1005" s="333" t="s">
        <v>1124</v>
      </c>
      <c r="Q1005" s="333" t="s">
        <v>1124</v>
      </c>
      <c r="R1005" s="475" t="str">
        <f t="shared" si="16"/>
        <v/>
      </c>
      <c r="S1005" s="340" t="s">
        <v>1124</v>
      </c>
    </row>
    <row r="1006" spans="2:19" ht="15" customHeight="1" x14ac:dyDescent="0.35">
      <c r="B1006" s="181">
        <v>61027</v>
      </c>
      <c r="C1006" s="182" t="s">
        <v>613</v>
      </c>
      <c r="D1006" s="183">
        <v>14</v>
      </c>
      <c r="E1006" s="185">
        <v>260</v>
      </c>
      <c r="F1006" s="185">
        <v>188</v>
      </c>
      <c r="G1006" s="184" t="s">
        <v>1308</v>
      </c>
      <c r="H1006" s="186">
        <v>1</v>
      </c>
      <c r="I1006" s="185">
        <v>1194</v>
      </c>
      <c r="J1006" s="187">
        <v>2.4132867132867131</v>
      </c>
      <c r="K1006" s="188">
        <v>2881.4643356643355</v>
      </c>
      <c r="L1006" s="189">
        <v>29.056000000000001</v>
      </c>
      <c r="M1006" s="185">
        <v>993</v>
      </c>
      <c r="N1006" s="189">
        <v>273.73500000000001</v>
      </c>
      <c r="O1006" s="333">
        <v>197.34399999999999</v>
      </c>
      <c r="P1006" s="333">
        <v>9.1448497368420849</v>
      </c>
      <c r="Q1006" s="333">
        <v>30.838539750000002</v>
      </c>
      <c r="R1006" s="475">
        <f t="shared" si="16"/>
        <v>0.2965396484715877</v>
      </c>
      <c r="S1006" s="340">
        <v>77</v>
      </c>
    </row>
    <row r="1007" spans="2:19" ht="15" customHeight="1" x14ac:dyDescent="0.35">
      <c r="B1007" s="181">
        <v>92045</v>
      </c>
      <c r="C1007" s="182" t="s">
        <v>952</v>
      </c>
      <c r="D1007" s="183">
        <v>2</v>
      </c>
      <c r="E1007" s="185">
        <v>343</v>
      </c>
      <c r="F1007" s="185">
        <v>239</v>
      </c>
      <c r="G1007" s="184" t="s">
        <v>1308</v>
      </c>
      <c r="H1007" s="186">
        <v>1</v>
      </c>
      <c r="I1007" s="185">
        <v>317</v>
      </c>
      <c r="J1007" s="187">
        <v>2.13</v>
      </c>
      <c r="K1007" s="188">
        <v>675.20999999999992</v>
      </c>
      <c r="L1007" s="189">
        <v>5.1589999999999998</v>
      </c>
      <c r="M1007" s="185">
        <v>269</v>
      </c>
      <c r="N1007" s="189">
        <v>84.591999999999999</v>
      </c>
      <c r="O1007" s="333">
        <v>58.88</v>
      </c>
      <c r="P1007" s="333">
        <v>23.511839999999999</v>
      </c>
      <c r="Q1007" s="333">
        <v>7.7126877974999983</v>
      </c>
      <c r="R1007" s="475">
        <f t="shared" si="16"/>
        <v>3.0484625616015677</v>
      </c>
      <c r="S1007" s="340">
        <v>59.081081081081081</v>
      </c>
    </row>
    <row r="1008" spans="2:19" ht="15" customHeight="1" x14ac:dyDescent="0.35">
      <c r="B1008" s="181">
        <v>34085</v>
      </c>
      <c r="C1008" s="182" t="s">
        <v>295</v>
      </c>
      <c r="D1008" s="183">
        <v>3</v>
      </c>
      <c r="E1008" s="185">
        <v>462</v>
      </c>
      <c r="F1008" s="185">
        <v>353</v>
      </c>
      <c r="G1008" s="184" t="s">
        <v>1308</v>
      </c>
      <c r="H1008" s="186">
        <v>2</v>
      </c>
      <c r="I1008" s="185"/>
      <c r="J1008" s="187"/>
      <c r="K1008" s="188"/>
      <c r="L1008" s="189"/>
      <c r="M1008" s="185" t="s">
        <v>1124</v>
      </c>
      <c r="N1008" s="189"/>
      <c r="O1008" s="333"/>
      <c r="P1008" s="333"/>
      <c r="Q1008" s="333"/>
      <c r="R1008" s="475">
        <v>0.5</v>
      </c>
      <c r="S1008" s="340">
        <v>64</v>
      </c>
    </row>
    <row r="1009" spans="2:19" ht="15" customHeight="1" x14ac:dyDescent="0.35">
      <c r="B1009" s="181">
        <v>35027</v>
      </c>
      <c r="C1009" s="182" t="s">
        <v>307</v>
      </c>
      <c r="D1009" s="183">
        <v>4</v>
      </c>
      <c r="E1009" s="185">
        <v>522</v>
      </c>
      <c r="F1009" s="185">
        <v>231</v>
      </c>
      <c r="G1009" s="184" t="s">
        <v>1308</v>
      </c>
      <c r="H1009" s="186">
        <v>1</v>
      </c>
      <c r="I1009" s="185">
        <v>1792</v>
      </c>
      <c r="J1009" s="187">
        <v>1.9272070211667527</v>
      </c>
      <c r="K1009" s="188">
        <v>3453.5549819308208</v>
      </c>
      <c r="L1009" s="189">
        <v>47.418999999999997</v>
      </c>
      <c r="M1009" s="185">
        <v>1884</v>
      </c>
      <c r="N1009" s="189">
        <v>658.34500000000003</v>
      </c>
      <c r="O1009" s="333">
        <v>291.57378558763878</v>
      </c>
      <c r="P1009" s="333">
        <v>311.50034400000004</v>
      </c>
      <c r="Q1009" s="333">
        <v>53.067186480000011</v>
      </c>
      <c r="R1009" s="475">
        <f t="shared" si="16"/>
        <v>5.8699238580775042</v>
      </c>
      <c r="S1009" s="340">
        <v>37</v>
      </c>
    </row>
    <row r="1010" spans="2:19" ht="15" customHeight="1" x14ac:dyDescent="0.35">
      <c r="B1010" s="181">
        <v>21005</v>
      </c>
      <c r="C1010" s="182" t="s">
        <v>144</v>
      </c>
      <c r="D1010" s="183">
        <v>3</v>
      </c>
      <c r="E1010" s="185">
        <v>291</v>
      </c>
      <c r="F1010" s="185">
        <v>254</v>
      </c>
      <c r="G1010" s="184" t="s">
        <v>1308</v>
      </c>
      <c r="H1010" s="186">
        <v>1</v>
      </c>
      <c r="I1010" s="185">
        <v>329</v>
      </c>
      <c r="J1010" s="187">
        <v>1.9075520833333333</v>
      </c>
      <c r="K1010" s="188">
        <v>627.58463541666663</v>
      </c>
      <c r="L1010" s="189">
        <v>6.3760000000000003</v>
      </c>
      <c r="M1010" s="185">
        <v>265</v>
      </c>
      <c r="N1010" s="189">
        <v>66.656999999999996</v>
      </c>
      <c r="O1010" s="333">
        <v>58.275451612903225</v>
      </c>
      <c r="P1010" s="333">
        <v>5.2561449999999912</v>
      </c>
      <c r="Q1010" s="333">
        <v>7.0291269300000003</v>
      </c>
      <c r="R1010" s="475">
        <f t="shared" si="16"/>
        <v>0.74776640859435883</v>
      </c>
      <c r="S1010" s="340">
        <v>59.081081081081081</v>
      </c>
    </row>
    <row r="1011" spans="2:19" ht="15" customHeight="1" x14ac:dyDescent="0.35">
      <c r="B1011" s="181">
        <v>34090</v>
      </c>
      <c r="C1011" s="182" t="s">
        <v>296</v>
      </c>
      <c r="D1011" s="183">
        <v>3</v>
      </c>
      <c r="E1011" s="185" t="s">
        <v>1124</v>
      </c>
      <c r="F1011" s="185" t="s">
        <v>1124</v>
      </c>
      <c r="G1011" s="184" t="s">
        <v>1124</v>
      </c>
      <c r="H1011" s="186"/>
      <c r="I1011" s="185"/>
      <c r="J1011" s="187"/>
      <c r="K1011" s="188"/>
      <c r="L1011" s="189"/>
      <c r="M1011" s="185" t="s">
        <v>1124</v>
      </c>
      <c r="N1011" s="189"/>
      <c r="O1011" s="333"/>
      <c r="P1011" s="333" t="s">
        <v>1124</v>
      </c>
      <c r="Q1011" s="333" t="s">
        <v>1124</v>
      </c>
      <c r="R1011" s="475" t="str">
        <f t="shared" si="16"/>
        <v/>
      </c>
      <c r="S1011" s="340" t="s">
        <v>1124</v>
      </c>
    </row>
    <row r="1012" spans="2:19" ht="15" customHeight="1" x14ac:dyDescent="0.35">
      <c r="B1012" s="181">
        <v>8073</v>
      </c>
      <c r="C1012" s="182" t="s">
        <v>1095</v>
      </c>
      <c r="D1012" s="183">
        <v>1</v>
      </c>
      <c r="E1012" s="185">
        <v>299</v>
      </c>
      <c r="F1012" s="185">
        <v>227</v>
      </c>
      <c r="G1012" s="184" t="s">
        <v>1308</v>
      </c>
      <c r="H1012" s="186">
        <v>1</v>
      </c>
      <c r="I1012" s="185">
        <v>372</v>
      </c>
      <c r="J1012" s="187">
        <v>1.9356435643564356</v>
      </c>
      <c r="K1012" s="188">
        <v>720.05940594059405</v>
      </c>
      <c r="L1012" s="189">
        <v>9.5909999999999993</v>
      </c>
      <c r="M1012" s="185">
        <v>343</v>
      </c>
      <c r="N1012" s="189">
        <v>78.686999999999998</v>
      </c>
      <c r="O1012" s="333">
        <v>59.676937500000001</v>
      </c>
      <c r="P1012" s="333">
        <v>15.904695000000002</v>
      </c>
      <c r="Q1012" s="333">
        <v>11.265549434999999</v>
      </c>
      <c r="R1012" s="475">
        <f t="shared" si="16"/>
        <v>1.4117993171808405</v>
      </c>
      <c r="S1012" s="340">
        <v>59.081081081081081</v>
      </c>
    </row>
    <row r="1013" spans="2:19" ht="15" customHeight="1" x14ac:dyDescent="0.35">
      <c r="B1013" s="181">
        <v>16055</v>
      </c>
      <c r="C1013" s="182" t="s">
        <v>89</v>
      </c>
      <c r="D1013" s="183">
        <v>3</v>
      </c>
      <c r="E1013" s="185">
        <v>424</v>
      </c>
      <c r="F1013" s="185">
        <v>277</v>
      </c>
      <c r="G1013" s="184" t="s">
        <v>1308</v>
      </c>
      <c r="H1013" s="186">
        <v>1</v>
      </c>
      <c r="I1013" s="185">
        <v>431</v>
      </c>
      <c r="J1013" s="187">
        <v>2.1671779141104293</v>
      </c>
      <c r="K1013" s="188">
        <v>934.05368098159499</v>
      </c>
      <c r="L1013" s="189">
        <v>10.475</v>
      </c>
      <c r="M1013" s="185">
        <v>471</v>
      </c>
      <c r="N1013" s="189">
        <v>144.626</v>
      </c>
      <c r="O1013" s="333">
        <v>94.371002197802213</v>
      </c>
      <c r="P1013" s="333">
        <v>42.830610000000007</v>
      </c>
      <c r="Q1013" s="333">
        <v>16.249252500000001</v>
      </c>
      <c r="R1013" s="475">
        <f t="shared" si="16"/>
        <v>2.6358510953042305</v>
      </c>
      <c r="S1013" s="340">
        <v>59.432432432432435</v>
      </c>
    </row>
    <row r="1014" spans="2:19" ht="15" customHeight="1" x14ac:dyDescent="0.35">
      <c r="B1014" s="181">
        <v>70005</v>
      </c>
      <c r="C1014" s="182" t="s">
        <v>697</v>
      </c>
      <c r="D1014" s="183">
        <v>16</v>
      </c>
      <c r="E1014" s="185" t="s">
        <v>1124</v>
      </c>
      <c r="F1014" s="185" t="s">
        <v>1124</v>
      </c>
      <c r="G1014" s="184" t="s">
        <v>1124</v>
      </c>
      <c r="H1014" s="186"/>
      <c r="I1014" s="185"/>
      <c r="J1014" s="187"/>
      <c r="K1014" s="188"/>
      <c r="L1014" s="189"/>
      <c r="M1014" s="185" t="s">
        <v>1124</v>
      </c>
      <c r="N1014" s="189"/>
      <c r="O1014" s="333"/>
      <c r="P1014" s="333" t="s">
        <v>1124</v>
      </c>
      <c r="Q1014" s="333" t="s">
        <v>1124</v>
      </c>
      <c r="R1014" s="475" t="str">
        <f t="shared" si="16"/>
        <v/>
      </c>
      <c r="S1014" s="340" t="s">
        <v>1124</v>
      </c>
    </row>
    <row r="1015" spans="2:19" ht="15" customHeight="1" x14ac:dyDescent="0.35">
      <c r="B1015" s="181">
        <v>56030</v>
      </c>
      <c r="C1015" s="182" t="s">
        <v>571</v>
      </c>
      <c r="D1015" s="183">
        <v>16</v>
      </c>
      <c r="E1015" s="185" t="s">
        <v>1124</v>
      </c>
      <c r="F1015" s="185" t="s">
        <v>1124</v>
      </c>
      <c r="G1015" s="184" t="s">
        <v>1124</v>
      </c>
      <c r="H1015" s="186"/>
      <c r="I1015" s="185"/>
      <c r="J1015" s="187"/>
      <c r="K1015" s="188"/>
      <c r="L1015" s="189"/>
      <c r="M1015" s="185" t="s">
        <v>1124</v>
      </c>
      <c r="N1015" s="189"/>
      <c r="O1015" s="333"/>
      <c r="P1015" s="333" t="s">
        <v>1124</v>
      </c>
      <c r="Q1015" s="333" t="s">
        <v>1124</v>
      </c>
      <c r="R1015" s="475" t="str">
        <f t="shared" si="16"/>
        <v/>
      </c>
      <c r="S1015" s="340" t="s">
        <v>1124</v>
      </c>
    </row>
    <row r="1016" spans="2:19" ht="15" customHeight="1" x14ac:dyDescent="0.35">
      <c r="B1016" s="181">
        <v>39135</v>
      </c>
      <c r="C1016" s="182" t="s">
        <v>354</v>
      </c>
      <c r="D1016" s="183">
        <v>17</v>
      </c>
      <c r="E1016" s="185" t="s">
        <v>1124</v>
      </c>
      <c r="F1016" s="185" t="s">
        <v>1124</v>
      </c>
      <c r="G1016" s="184" t="s">
        <v>1124</v>
      </c>
      <c r="H1016" s="186"/>
      <c r="I1016" s="185"/>
      <c r="J1016" s="187"/>
      <c r="K1016" s="188"/>
      <c r="L1016" s="189"/>
      <c r="M1016" s="185" t="s">
        <v>1124</v>
      </c>
      <c r="N1016" s="189"/>
      <c r="O1016" s="333"/>
      <c r="P1016" s="333" t="s">
        <v>1124</v>
      </c>
      <c r="Q1016" s="333" t="s">
        <v>1124</v>
      </c>
      <c r="R1016" s="475" t="str">
        <f t="shared" si="16"/>
        <v/>
      </c>
      <c r="S1016" s="340" t="s">
        <v>1124</v>
      </c>
    </row>
    <row r="1017" spans="2:19" ht="15" customHeight="1" x14ac:dyDescent="0.35">
      <c r="B1017" s="181">
        <v>10060</v>
      </c>
      <c r="C1017" s="182" t="s">
        <v>14</v>
      </c>
      <c r="D1017" s="183">
        <v>1</v>
      </c>
      <c r="E1017" s="185" t="s">
        <v>1124</v>
      </c>
      <c r="F1017" s="185" t="s">
        <v>1124</v>
      </c>
      <c r="G1017" s="184" t="s">
        <v>1124</v>
      </c>
      <c r="H1017" s="186"/>
      <c r="I1017" s="185"/>
      <c r="J1017" s="187"/>
      <c r="K1017" s="188"/>
      <c r="L1017" s="189"/>
      <c r="M1017" s="185" t="s">
        <v>1124</v>
      </c>
      <c r="N1017" s="189"/>
      <c r="O1017" s="333"/>
      <c r="P1017" s="333" t="s">
        <v>1124</v>
      </c>
      <c r="Q1017" s="333" t="s">
        <v>1124</v>
      </c>
      <c r="R1017" s="475" t="str">
        <f t="shared" si="16"/>
        <v/>
      </c>
      <c r="S1017" s="340" t="s">
        <v>1124</v>
      </c>
    </row>
    <row r="1018" spans="2:19" ht="15" customHeight="1" x14ac:dyDescent="0.35">
      <c r="B1018" s="181">
        <v>54065</v>
      </c>
      <c r="C1018" s="182" t="s">
        <v>549</v>
      </c>
      <c r="D1018" s="183">
        <v>16</v>
      </c>
      <c r="E1018" s="185" t="s">
        <v>1124</v>
      </c>
      <c r="F1018" s="185" t="s">
        <v>1124</v>
      </c>
      <c r="G1018" s="184" t="s">
        <v>1124</v>
      </c>
      <c r="H1018" s="186"/>
      <c r="I1018" s="185"/>
      <c r="J1018" s="187"/>
      <c r="K1018" s="188"/>
      <c r="L1018" s="189"/>
      <c r="M1018" s="185" t="s">
        <v>1124</v>
      </c>
      <c r="N1018" s="189"/>
      <c r="O1018" s="333"/>
      <c r="P1018" s="333" t="s">
        <v>1124</v>
      </c>
      <c r="Q1018" s="333" t="s">
        <v>1124</v>
      </c>
      <c r="R1018" s="475" t="str">
        <f t="shared" si="16"/>
        <v/>
      </c>
      <c r="S1018" s="340" t="s">
        <v>1124</v>
      </c>
    </row>
    <row r="1019" spans="2:19" ht="15" customHeight="1" x14ac:dyDescent="0.35">
      <c r="B1019" s="181">
        <v>19117</v>
      </c>
      <c r="C1019" s="182" t="s">
        <v>137</v>
      </c>
      <c r="D1019" s="183">
        <v>12</v>
      </c>
      <c r="E1019" s="185" t="s">
        <v>1124</v>
      </c>
      <c r="F1019" s="185" t="s">
        <v>1124</v>
      </c>
      <c r="G1019" s="184" t="s">
        <v>1124</v>
      </c>
      <c r="H1019" s="186"/>
      <c r="I1019" s="185"/>
      <c r="J1019" s="187"/>
      <c r="K1019" s="188"/>
      <c r="L1019" s="189"/>
      <c r="M1019" s="185" t="s">
        <v>1124</v>
      </c>
      <c r="N1019" s="189"/>
      <c r="O1019" s="333"/>
      <c r="P1019" s="333" t="s">
        <v>1124</v>
      </c>
      <c r="Q1019" s="333" t="s">
        <v>1124</v>
      </c>
      <c r="R1019" s="475" t="str">
        <f t="shared" si="16"/>
        <v/>
      </c>
      <c r="S1019" s="340" t="s">
        <v>1124</v>
      </c>
    </row>
    <row r="1020" spans="2:19" ht="15" customHeight="1" x14ac:dyDescent="0.35">
      <c r="B1020" s="181">
        <v>44005</v>
      </c>
      <c r="C1020" s="182" t="s">
        <v>399</v>
      </c>
      <c r="D1020" s="183">
        <v>5</v>
      </c>
      <c r="E1020" s="185" t="s">
        <v>1124</v>
      </c>
      <c r="F1020" s="185" t="s">
        <v>1124</v>
      </c>
      <c r="G1020" s="184" t="s">
        <v>1124</v>
      </c>
      <c r="H1020" s="186"/>
      <c r="I1020" s="185"/>
      <c r="J1020" s="187"/>
      <c r="K1020" s="188"/>
      <c r="L1020" s="189"/>
      <c r="M1020" s="185" t="s">
        <v>1124</v>
      </c>
      <c r="N1020" s="189"/>
      <c r="O1020" s="333"/>
      <c r="P1020" s="333" t="s">
        <v>1124</v>
      </c>
      <c r="Q1020" s="333" t="s">
        <v>1124</v>
      </c>
      <c r="R1020" s="475" t="str">
        <f t="shared" si="16"/>
        <v/>
      </c>
      <c r="S1020" s="340" t="s">
        <v>1124</v>
      </c>
    </row>
    <row r="1021" spans="2:19" ht="15" customHeight="1" x14ac:dyDescent="0.35">
      <c r="B1021" s="181">
        <v>7075</v>
      </c>
      <c r="C1021" s="182" t="s">
        <v>1079</v>
      </c>
      <c r="D1021" s="183">
        <v>1</v>
      </c>
      <c r="E1021" s="185">
        <v>405</v>
      </c>
      <c r="F1021" s="185">
        <v>282</v>
      </c>
      <c r="G1021" s="184" t="s">
        <v>1308</v>
      </c>
      <c r="H1021" s="186">
        <v>1</v>
      </c>
      <c r="I1021" s="185">
        <v>152</v>
      </c>
      <c r="J1021" s="187">
        <v>1.8963963963963961</v>
      </c>
      <c r="K1021" s="188">
        <v>288.25225225225222</v>
      </c>
      <c r="L1021" s="189">
        <v>4.57</v>
      </c>
      <c r="M1021" s="185">
        <v>126</v>
      </c>
      <c r="N1021" s="189">
        <v>42.567999999999998</v>
      </c>
      <c r="O1021" s="333">
        <v>29.680150943396228</v>
      </c>
      <c r="P1021" s="333">
        <v>10.882479999999997</v>
      </c>
      <c r="Q1021" s="333">
        <v>4.3176561749999989</v>
      </c>
      <c r="R1021" s="475">
        <f t="shared" si="16"/>
        <v>2.5204600734564049</v>
      </c>
      <c r="S1021" s="340">
        <v>59.081081081081081</v>
      </c>
    </row>
    <row r="1022" spans="2:19" ht="15" customHeight="1" x14ac:dyDescent="0.35">
      <c r="B1022" s="181">
        <v>27008</v>
      </c>
      <c r="C1022" s="182" t="s">
        <v>178</v>
      </c>
      <c r="D1022" s="183">
        <v>12</v>
      </c>
      <c r="E1022" s="185" t="s">
        <v>1124</v>
      </c>
      <c r="F1022" s="185" t="s">
        <v>1124</v>
      </c>
      <c r="G1022" s="184" t="s">
        <v>1124</v>
      </c>
      <c r="H1022" s="186"/>
      <c r="I1022" s="185"/>
      <c r="J1022" s="187"/>
      <c r="K1022" s="188"/>
      <c r="L1022" s="189"/>
      <c r="M1022" s="185" t="s">
        <v>1124</v>
      </c>
      <c r="N1022" s="189"/>
      <c r="O1022" s="333"/>
      <c r="P1022" s="333" t="s">
        <v>1124</v>
      </c>
      <c r="Q1022" s="333" t="s">
        <v>1124</v>
      </c>
      <c r="R1022" s="475" t="str">
        <f t="shared" si="16"/>
        <v/>
      </c>
      <c r="S1022" s="340" t="s">
        <v>1124</v>
      </c>
    </row>
    <row r="1023" spans="2:19" ht="15" customHeight="1" x14ac:dyDescent="0.35">
      <c r="B1023" s="181">
        <v>50023</v>
      </c>
      <c r="C1023" s="182" t="s">
        <v>484</v>
      </c>
      <c r="D1023" s="183">
        <v>17</v>
      </c>
      <c r="E1023" s="185">
        <v>245</v>
      </c>
      <c r="F1023" s="185">
        <v>183</v>
      </c>
      <c r="G1023" s="184" t="s">
        <v>1326</v>
      </c>
      <c r="H1023" s="186">
        <v>1</v>
      </c>
      <c r="I1023" s="185">
        <v>355</v>
      </c>
      <c r="J1023" s="187">
        <v>2.322265625</v>
      </c>
      <c r="K1023" s="188">
        <v>824.404296875</v>
      </c>
      <c r="L1023" s="189">
        <v>9.7170000000000005</v>
      </c>
      <c r="M1023" s="185">
        <v>289</v>
      </c>
      <c r="N1023" s="189">
        <v>73.721000000000004</v>
      </c>
      <c r="O1023" s="333">
        <v>54.925600000000003</v>
      </c>
      <c r="P1023" s="333">
        <v>9.1489954081632572</v>
      </c>
      <c r="Q1023" s="333">
        <v>7.4971508079999998</v>
      </c>
      <c r="R1023" s="475">
        <f t="shared" si="16"/>
        <v>1.2203296482179098</v>
      </c>
      <c r="S1023" s="340">
        <v>41.843137254901954</v>
      </c>
    </row>
    <row r="1024" spans="2:19" ht="15" customHeight="1" x14ac:dyDescent="0.35">
      <c r="B1024" s="181">
        <v>28005</v>
      </c>
      <c r="C1024" s="182" t="s">
        <v>188</v>
      </c>
      <c r="D1024" s="183">
        <v>12</v>
      </c>
      <c r="E1024" s="185">
        <v>349</v>
      </c>
      <c r="F1024" s="185">
        <v>221</v>
      </c>
      <c r="G1024" s="184" t="s">
        <v>1326</v>
      </c>
      <c r="H1024" s="186">
        <v>1</v>
      </c>
      <c r="I1024" s="185">
        <v>357</v>
      </c>
      <c r="J1024" s="187">
        <v>1.6649848637739657</v>
      </c>
      <c r="K1024" s="188">
        <v>594.39959636730578</v>
      </c>
      <c r="L1024" s="189">
        <v>8.4480000000000004</v>
      </c>
      <c r="M1024" s="185">
        <v>312</v>
      </c>
      <c r="N1024" s="189">
        <v>75.641000000000005</v>
      </c>
      <c r="O1024" s="333">
        <v>47.87745283018868</v>
      </c>
      <c r="P1024" s="333">
        <v>19.675692500000004</v>
      </c>
      <c r="Q1024" s="333">
        <v>10.580302596000001</v>
      </c>
      <c r="R1024" s="475">
        <f t="shared" si="16"/>
        <v>1.8596530979594681</v>
      </c>
      <c r="S1024" s="340">
        <v>48.243243243243242</v>
      </c>
    </row>
    <row r="1025" spans="2:19" ht="15" customHeight="1" x14ac:dyDescent="0.35">
      <c r="B1025" s="181">
        <v>62080</v>
      </c>
      <c r="C1025" s="182" t="s">
        <v>632</v>
      </c>
      <c r="D1025" s="183">
        <v>14</v>
      </c>
      <c r="E1025" s="185">
        <v>266</v>
      </c>
      <c r="F1025" s="185">
        <v>209</v>
      </c>
      <c r="G1025" s="184" t="s">
        <v>1308</v>
      </c>
      <c r="H1025" s="186">
        <v>1</v>
      </c>
      <c r="I1025" s="185">
        <v>188</v>
      </c>
      <c r="J1025" s="187">
        <v>1.9</v>
      </c>
      <c r="K1025" s="188">
        <v>357.2</v>
      </c>
      <c r="L1025" s="189">
        <v>3.7949999999999999</v>
      </c>
      <c r="M1025" s="185">
        <v>172</v>
      </c>
      <c r="N1025" s="189">
        <v>34.710999999999999</v>
      </c>
      <c r="O1025" s="333">
        <v>27.296844221105527</v>
      </c>
      <c r="P1025" s="333">
        <v>5.2963349999999991</v>
      </c>
      <c r="Q1025" s="333">
        <v>4.8151639500000005</v>
      </c>
      <c r="R1025" s="475">
        <f t="shared" si="16"/>
        <v>1.0999282797006318</v>
      </c>
      <c r="S1025" s="340">
        <v>59.081081081081081</v>
      </c>
    </row>
    <row r="1026" spans="2:19" ht="15" customHeight="1" x14ac:dyDescent="0.35">
      <c r="B1026" s="181">
        <v>7035</v>
      </c>
      <c r="C1026" s="182" t="s">
        <v>1073</v>
      </c>
      <c r="D1026" s="183">
        <v>1</v>
      </c>
      <c r="E1026" s="185" t="s">
        <v>1124</v>
      </c>
      <c r="F1026" s="185" t="s">
        <v>1124</v>
      </c>
      <c r="G1026" s="184" t="s">
        <v>1124</v>
      </c>
      <c r="H1026" s="186"/>
      <c r="I1026" s="185"/>
      <c r="J1026" s="187"/>
      <c r="K1026" s="188"/>
      <c r="L1026" s="189"/>
      <c r="M1026" s="185" t="s">
        <v>1124</v>
      </c>
      <c r="N1026" s="189"/>
      <c r="O1026" s="333"/>
      <c r="P1026" s="333" t="s">
        <v>1124</v>
      </c>
      <c r="Q1026" s="333" t="s">
        <v>1124</v>
      </c>
      <c r="R1026" s="475" t="str">
        <f t="shared" si="16"/>
        <v/>
      </c>
      <c r="S1026" s="340" t="s">
        <v>1124</v>
      </c>
    </row>
    <row r="1027" spans="2:19" ht="15" customHeight="1" x14ac:dyDescent="0.35">
      <c r="B1027" s="192">
        <v>50090</v>
      </c>
      <c r="C1027" s="182" t="s">
        <v>493</v>
      </c>
      <c r="D1027" s="183">
        <v>17</v>
      </c>
      <c r="E1027" s="185">
        <v>658</v>
      </c>
      <c r="F1027" s="185">
        <v>124</v>
      </c>
      <c r="G1027" s="184" t="s">
        <v>1308</v>
      </c>
      <c r="H1027" s="186">
        <v>1</v>
      </c>
      <c r="I1027" s="185">
        <v>262</v>
      </c>
      <c r="J1027" s="187">
        <v>2.2970297029702968</v>
      </c>
      <c r="K1027" s="188">
        <v>601.82178217821775</v>
      </c>
      <c r="L1027" s="189">
        <v>27.375</v>
      </c>
      <c r="M1027" s="185">
        <v>248</v>
      </c>
      <c r="N1027" s="189">
        <v>144.643</v>
      </c>
      <c r="O1027" s="333">
        <v>27.242000000000001</v>
      </c>
      <c r="P1027" s="333">
        <v>2.6746974999999984</v>
      </c>
      <c r="Q1027" s="333">
        <v>11.243149750000001</v>
      </c>
      <c r="R1027" s="475">
        <f t="shared" si="16"/>
        <v>0.23789574625206769</v>
      </c>
      <c r="S1027" s="340">
        <v>74.068627450980387</v>
      </c>
    </row>
    <row r="1028" spans="2:19" ht="15" customHeight="1" x14ac:dyDescent="0.35">
      <c r="B1028" s="181">
        <v>71025</v>
      </c>
      <c r="C1028" s="182" t="s">
        <v>707</v>
      </c>
      <c r="D1028" s="183">
        <v>16</v>
      </c>
      <c r="E1028" s="185">
        <v>316</v>
      </c>
      <c r="F1028" s="185">
        <v>210</v>
      </c>
      <c r="G1028" s="184" t="s">
        <v>1326</v>
      </c>
      <c r="H1028" s="186">
        <v>1</v>
      </c>
      <c r="I1028" s="185">
        <v>3364</v>
      </c>
      <c r="J1028" s="187">
        <v>2.4943592710442575</v>
      </c>
      <c r="K1028" s="188">
        <v>8391.0245877928828</v>
      </c>
      <c r="L1028" s="189">
        <v>53.103999999999999</v>
      </c>
      <c r="M1028" s="185">
        <v>3283</v>
      </c>
      <c r="N1028" s="189">
        <v>966.87800000000004</v>
      </c>
      <c r="O1028" s="333">
        <v>641.76400000000001</v>
      </c>
      <c r="P1028" s="333">
        <v>269.70969214646465</v>
      </c>
      <c r="Q1028" s="333">
        <v>76.582830958949998</v>
      </c>
      <c r="R1028" s="475">
        <f t="shared" si="16"/>
        <v>3.5218036310388512</v>
      </c>
      <c r="S1028" s="340">
        <v>52.530697524911602</v>
      </c>
    </row>
    <row r="1029" spans="2:19" ht="15" customHeight="1" x14ac:dyDescent="0.35">
      <c r="B1029" s="181">
        <v>70052</v>
      </c>
      <c r="C1029" s="182" t="s">
        <v>703</v>
      </c>
      <c r="D1029" s="183">
        <v>16</v>
      </c>
      <c r="E1029" s="185" t="s">
        <v>1124</v>
      </c>
      <c r="F1029" s="185" t="s">
        <v>1124</v>
      </c>
      <c r="G1029" s="184" t="s">
        <v>1124</v>
      </c>
      <c r="H1029" s="186"/>
      <c r="I1029" s="185"/>
      <c r="J1029" s="187"/>
      <c r="K1029" s="188"/>
      <c r="L1029" s="189"/>
      <c r="M1029" s="185" t="s">
        <v>1124</v>
      </c>
      <c r="N1029" s="189"/>
      <c r="O1029" s="333"/>
      <c r="P1029" s="333" t="s">
        <v>1124</v>
      </c>
      <c r="Q1029" s="333" t="s">
        <v>1124</v>
      </c>
      <c r="R1029" s="475" t="str">
        <f t="shared" si="16"/>
        <v/>
      </c>
      <c r="S1029" s="340" t="s">
        <v>1124</v>
      </c>
    </row>
    <row r="1030" spans="2:19" ht="15" customHeight="1" x14ac:dyDescent="0.35">
      <c r="B1030" s="181">
        <v>7085</v>
      </c>
      <c r="C1030" s="182" t="s">
        <v>1081</v>
      </c>
      <c r="D1030" s="183">
        <v>1</v>
      </c>
      <c r="E1030" s="185">
        <v>441</v>
      </c>
      <c r="F1030" s="185">
        <v>338</v>
      </c>
      <c r="G1030" s="184" t="s">
        <v>1308</v>
      </c>
      <c r="H1030" s="186">
        <v>1</v>
      </c>
      <c r="I1030" s="185">
        <v>743</v>
      </c>
      <c r="J1030" s="187">
        <v>2.2135802469135801</v>
      </c>
      <c r="K1030" s="188">
        <v>1644.6901234567899</v>
      </c>
      <c r="L1030" s="189">
        <v>17.260000000000002</v>
      </c>
      <c r="M1030" s="185">
        <v>766</v>
      </c>
      <c r="N1030" s="189">
        <v>264.553</v>
      </c>
      <c r="O1030" s="333">
        <v>202.93443119266053</v>
      </c>
      <c r="P1030" s="333">
        <v>39.266353673469375</v>
      </c>
      <c r="Q1030" s="333">
        <v>21.487894559999997</v>
      </c>
      <c r="R1030" s="475">
        <f t="shared" si="16"/>
        <v>1.8273709210470632</v>
      </c>
      <c r="S1030" s="340">
        <v>60.350877192982466</v>
      </c>
    </row>
    <row r="1031" spans="2:19" ht="15" customHeight="1" x14ac:dyDescent="0.35">
      <c r="B1031" s="181">
        <v>97040</v>
      </c>
      <c r="C1031" s="182" t="s">
        <v>1005</v>
      </c>
      <c r="D1031" s="183">
        <v>9</v>
      </c>
      <c r="E1031" s="185" t="s">
        <v>1124</v>
      </c>
      <c r="F1031" s="185" t="s">
        <v>1124</v>
      </c>
      <c r="G1031" s="184" t="s">
        <v>1124</v>
      </c>
      <c r="H1031" s="186"/>
      <c r="I1031" s="185"/>
      <c r="J1031" s="187"/>
      <c r="K1031" s="188"/>
      <c r="L1031" s="189"/>
      <c r="M1031" s="185" t="s">
        <v>1124</v>
      </c>
      <c r="N1031" s="189"/>
      <c r="O1031" s="333"/>
      <c r="P1031" s="333" t="s">
        <v>1124</v>
      </c>
      <c r="Q1031" s="333" t="s">
        <v>1124</v>
      </c>
      <c r="R1031" s="475" t="str">
        <f t="shared" ref="R1031:R1094" si="17">IF(H1031="","",P1031/Q1031)</f>
        <v/>
      </c>
      <c r="S1031" s="340" t="s">
        <v>1124</v>
      </c>
    </row>
    <row r="1032" spans="2:19" ht="15" customHeight="1" x14ac:dyDescent="0.35">
      <c r="B1032" s="181">
        <v>41080</v>
      </c>
      <c r="C1032" s="182" t="s">
        <v>375</v>
      </c>
      <c r="D1032" s="183">
        <v>5</v>
      </c>
      <c r="E1032" s="185" t="s">
        <v>1124</v>
      </c>
      <c r="F1032" s="185" t="s">
        <v>1124</v>
      </c>
      <c r="G1032" s="184" t="s">
        <v>1124</v>
      </c>
      <c r="H1032" s="186"/>
      <c r="I1032" s="185"/>
      <c r="J1032" s="187"/>
      <c r="K1032" s="188"/>
      <c r="L1032" s="189"/>
      <c r="M1032" s="185" t="s">
        <v>1124</v>
      </c>
      <c r="N1032" s="189"/>
      <c r="O1032" s="333"/>
      <c r="P1032" s="333" t="s">
        <v>1124</v>
      </c>
      <c r="Q1032" s="333" t="s">
        <v>1124</v>
      </c>
      <c r="R1032" s="475" t="str">
        <f t="shared" si="17"/>
        <v/>
      </c>
      <c r="S1032" s="340" t="s">
        <v>1124</v>
      </c>
    </row>
    <row r="1033" spans="2:19" ht="15" customHeight="1" x14ac:dyDescent="0.35">
      <c r="B1033" s="181">
        <v>26048</v>
      </c>
      <c r="C1033" s="182" t="s">
        <v>174</v>
      </c>
      <c r="D1033" s="183">
        <v>12</v>
      </c>
      <c r="E1033" s="185">
        <v>219</v>
      </c>
      <c r="F1033" s="185">
        <v>169</v>
      </c>
      <c r="G1033" s="184" t="s">
        <v>1326</v>
      </c>
      <c r="H1033" s="186">
        <v>1</v>
      </c>
      <c r="I1033" s="185">
        <v>665</v>
      </c>
      <c r="J1033" s="187">
        <v>2.431906614785992</v>
      </c>
      <c r="K1033" s="188">
        <v>1617.2178988326848</v>
      </c>
      <c r="L1033" s="189">
        <v>13.224</v>
      </c>
      <c r="M1033" s="185">
        <v>532</v>
      </c>
      <c r="N1033" s="189">
        <v>129.07499999999999</v>
      </c>
      <c r="O1033" s="333">
        <v>99.996441176470597</v>
      </c>
      <c r="P1033" s="333">
        <v>24.887159999999994</v>
      </c>
      <c r="Q1033" s="333">
        <v>13.7579685425</v>
      </c>
      <c r="R1033" s="475">
        <f t="shared" si="17"/>
        <v>1.8089269446372551</v>
      </c>
      <c r="S1033" s="340">
        <v>45.081081081081081</v>
      </c>
    </row>
    <row r="1034" spans="2:19" ht="15" customHeight="1" x14ac:dyDescent="0.35">
      <c r="B1034" s="181">
        <v>89045</v>
      </c>
      <c r="C1034" s="182" t="s">
        <v>932</v>
      </c>
      <c r="D1034" s="183">
        <v>8</v>
      </c>
      <c r="E1034" s="185" t="s">
        <v>1124</v>
      </c>
      <c r="F1034" s="185" t="s">
        <v>1124</v>
      </c>
      <c r="G1034" s="184" t="s">
        <v>1124</v>
      </c>
      <c r="H1034" s="186"/>
      <c r="I1034" s="185"/>
      <c r="J1034" s="187"/>
      <c r="K1034" s="188"/>
      <c r="L1034" s="189"/>
      <c r="M1034" s="185" t="s">
        <v>1124</v>
      </c>
      <c r="N1034" s="189"/>
      <c r="O1034" s="333"/>
      <c r="P1034" s="333" t="s">
        <v>1124</v>
      </c>
      <c r="Q1034" s="333" t="s">
        <v>1124</v>
      </c>
      <c r="R1034" s="475" t="str">
        <f t="shared" si="17"/>
        <v/>
      </c>
      <c r="S1034" s="340" t="s">
        <v>1124</v>
      </c>
    </row>
    <row r="1035" spans="2:19" ht="15" customHeight="1" x14ac:dyDescent="0.35">
      <c r="B1035" s="181">
        <v>89040</v>
      </c>
      <c r="C1035" s="182" t="s">
        <v>931</v>
      </c>
      <c r="D1035" s="183">
        <v>8</v>
      </c>
      <c r="E1035" s="185" t="s">
        <v>1124</v>
      </c>
      <c r="F1035" s="185" t="s">
        <v>1124</v>
      </c>
      <c r="G1035" s="184" t="s">
        <v>1124</v>
      </c>
      <c r="H1035" s="186"/>
      <c r="I1035" s="185"/>
      <c r="J1035" s="187"/>
      <c r="K1035" s="188"/>
      <c r="L1035" s="189"/>
      <c r="M1035" s="185" t="s">
        <v>1124</v>
      </c>
      <c r="N1035" s="189"/>
      <c r="O1035" s="333"/>
      <c r="P1035" s="333" t="s">
        <v>1124</v>
      </c>
      <c r="Q1035" s="333" t="s">
        <v>1124</v>
      </c>
      <c r="R1035" s="475" t="str">
        <f t="shared" si="17"/>
        <v/>
      </c>
      <c r="S1035" s="340" t="s">
        <v>1124</v>
      </c>
    </row>
    <row r="1036" spans="2:19" ht="15" customHeight="1" x14ac:dyDescent="0.35">
      <c r="B1036" s="181">
        <v>66127</v>
      </c>
      <c r="C1036" s="182" t="s">
        <v>661</v>
      </c>
      <c r="D1036" s="183">
        <v>6</v>
      </c>
      <c r="E1036" s="185">
        <v>1051</v>
      </c>
      <c r="F1036" s="185">
        <v>300</v>
      </c>
      <c r="G1036" s="184" t="s">
        <v>1308</v>
      </c>
      <c r="H1036" s="186">
        <v>1</v>
      </c>
      <c r="I1036" s="185">
        <v>339</v>
      </c>
      <c r="J1036" s="187">
        <v>2.5386666666666668</v>
      </c>
      <c r="K1036" s="188">
        <v>860.60800000000006</v>
      </c>
      <c r="L1036" s="189">
        <v>8.57</v>
      </c>
      <c r="M1036" s="185">
        <v>369</v>
      </c>
      <c r="N1036" s="189">
        <v>330.11799999999999</v>
      </c>
      <c r="O1036" s="333">
        <v>94.279499999999985</v>
      </c>
      <c r="P1036" s="333">
        <v>63.246513622448958</v>
      </c>
      <c r="Q1036" s="333">
        <v>9.8301473324999993</v>
      </c>
      <c r="R1036" s="475">
        <f t="shared" si="17"/>
        <v>6.4339334379400528</v>
      </c>
      <c r="S1036" s="340">
        <v>58.780701754385973</v>
      </c>
    </row>
    <row r="1037" spans="2:19" ht="15" customHeight="1" x14ac:dyDescent="0.35">
      <c r="B1037" s="181">
        <v>97007</v>
      </c>
      <c r="C1037" s="182" t="s">
        <v>1002</v>
      </c>
      <c r="D1037" s="183">
        <v>9</v>
      </c>
      <c r="E1037" s="185">
        <v>737</v>
      </c>
      <c r="F1037" s="185">
        <v>348</v>
      </c>
      <c r="G1037" s="184" t="s">
        <v>1308</v>
      </c>
      <c r="H1037" s="186">
        <v>4</v>
      </c>
      <c r="I1037" s="185">
        <v>12579</v>
      </c>
      <c r="J1037" s="187">
        <v>2.3235643202775496</v>
      </c>
      <c r="K1037" s="188">
        <v>29228.115584771298</v>
      </c>
      <c r="L1037" s="189">
        <v>243.76599999999999</v>
      </c>
      <c r="M1037" s="185">
        <v>14883</v>
      </c>
      <c r="N1037" s="189">
        <v>7862.8609999999999</v>
      </c>
      <c r="O1037" s="333">
        <v>3715.2924298575872</v>
      </c>
      <c r="P1037" s="333">
        <v>2210.619284850517</v>
      </c>
      <c r="Q1037" s="333">
        <v>344.59329310999999</v>
      </c>
      <c r="R1037" s="475">
        <f t="shared" si="17"/>
        <v>6.4151547028074338</v>
      </c>
      <c r="S1037" s="340">
        <v>59.821753216427751</v>
      </c>
    </row>
    <row r="1038" spans="2:19" ht="15" customHeight="1" x14ac:dyDescent="0.35">
      <c r="B1038" s="181">
        <v>22020</v>
      </c>
      <c r="C1038" s="182" t="s">
        <v>156</v>
      </c>
      <c r="D1038" s="183">
        <v>3</v>
      </c>
      <c r="E1038" s="185">
        <v>234</v>
      </c>
      <c r="F1038" s="185">
        <v>198</v>
      </c>
      <c r="G1038" s="184" t="s">
        <v>1308</v>
      </c>
      <c r="H1038" s="186">
        <v>1</v>
      </c>
      <c r="I1038" s="185">
        <v>1363</v>
      </c>
      <c r="J1038" s="187">
        <v>2.7381056307289393</v>
      </c>
      <c r="K1038" s="188">
        <v>3732.0379746835442</v>
      </c>
      <c r="L1038" s="189">
        <v>41.198</v>
      </c>
      <c r="M1038" s="185">
        <v>1475</v>
      </c>
      <c r="N1038" s="189">
        <v>319.221</v>
      </c>
      <c r="O1038" s="333">
        <v>270.28437617328518</v>
      </c>
      <c r="P1038" s="333">
        <v>39.78468500000001</v>
      </c>
      <c r="Q1038" s="333">
        <v>65.900912644000002</v>
      </c>
      <c r="R1038" s="475">
        <f t="shared" si="17"/>
        <v>0.60370461354486626</v>
      </c>
      <c r="S1038" s="340">
        <v>50.472972972972983</v>
      </c>
    </row>
    <row r="1039" spans="2:19" ht="15" customHeight="1" x14ac:dyDescent="0.35">
      <c r="B1039" s="181">
        <v>36033</v>
      </c>
      <c r="C1039" s="182" t="s">
        <v>313</v>
      </c>
      <c r="D1039" s="183">
        <v>4</v>
      </c>
      <c r="E1039" s="185">
        <v>519</v>
      </c>
      <c r="F1039" s="185">
        <v>379</v>
      </c>
      <c r="G1039" s="184" t="s">
        <v>1308</v>
      </c>
      <c r="H1039" s="186">
        <v>2</v>
      </c>
      <c r="I1039" s="185">
        <v>25580</v>
      </c>
      <c r="J1039" s="187">
        <v>1.8574427409378866</v>
      </c>
      <c r="K1039" s="188">
        <v>47513.385313191138</v>
      </c>
      <c r="L1039" s="189">
        <v>514.31500000000005</v>
      </c>
      <c r="M1039" s="185">
        <v>17376</v>
      </c>
      <c r="N1039" s="189">
        <v>8994.96711469</v>
      </c>
      <c r="O1039" s="333">
        <v>6578.2436370122741</v>
      </c>
      <c r="P1039" s="333">
        <v>2165.0199409562342</v>
      </c>
      <c r="Q1039" s="333">
        <v>554.53553130389423</v>
      </c>
      <c r="R1039" s="475">
        <f t="shared" si="17"/>
        <v>3.9042041830314549</v>
      </c>
      <c r="S1039" s="340">
        <v>59.994186046511622</v>
      </c>
    </row>
    <row r="1040" spans="2:19" ht="15" customHeight="1" x14ac:dyDescent="0.35">
      <c r="B1040" s="181">
        <v>84010</v>
      </c>
      <c r="C1040" s="182" t="s">
        <v>853</v>
      </c>
      <c r="D1040" s="183">
        <v>7</v>
      </c>
      <c r="E1040" s="185" t="s">
        <v>1124</v>
      </c>
      <c r="F1040" s="185" t="s">
        <v>1124</v>
      </c>
      <c r="G1040" s="184" t="s">
        <v>1124</v>
      </c>
      <c r="H1040" s="186"/>
      <c r="I1040" s="185"/>
      <c r="J1040" s="187"/>
      <c r="K1040" s="188"/>
      <c r="L1040" s="189"/>
      <c r="M1040" s="185" t="s">
        <v>1124</v>
      </c>
      <c r="N1040" s="189"/>
      <c r="O1040" s="333"/>
      <c r="P1040" s="333" t="s">
        <v>1124</v>
      </c>
      <c r="Q1040" s="333" t="s">
        <v>1124</v>
      </c>
      <c r="R1040" s="475" t="str">
        <f t="shared" si="17"/>
        <v/>
      </c>
      <c r="S1040" s="340" t="s">
        <v>1124</v>
      </c>
    </row>
    <row r="1041" spans="2:19" ht="15" customHeight="1" x14ac:dyDescent="0.35">
      <c r="B1041" s="181">
        <v>84095</v>
      </c>
      <c r="C1041" s="182" t="s">
        <v>868</v>
      </c>
      <c r="D1041" s="183">
        <v>7</v>
      </c>
      <c r="E1041" s="185" t="s">
        <v>1124</v>
      </c>
      <c r="F1041" s="185" t="s">
        <v>1124</v>
      </c>
      <c r="G1041" s="184" t="s">
        <v>1124</v>
      </c>
      <c r="H1041" s="186"/>
      <c r="I1041" s="185"/>
      <c r="J1041" s="187"/>
      <c r="K1041" s="188"/>
      <c r="L1041" s="189"/>
      <c r="M1041" s="185" t="s">
        <v>1124</v>
      </c>
      <c r="N1041" s="189"/>
      <c r="O1041" s="333"/>
      <c r="P1041" s="333" t="s">
        <v>1124</v>
      </c>
      <c r="Q1041" s="333" t="s">
        <v>1124</v>
      </c>
      <c r="R1041" s="475" t="str">
        <f t="shared" si="17"/>
        <v/>
      </c>
      <c r="S1041" s="340" t="s">
        <v>1124</v>
      </c>
    </row>
    <row r="1042" spans="2:19" ht="15" customHeight="1" x14ac:dyDescent="0.35">
      <c r="B1042" s="181">
        <v>47035</v>
      </c>
      <c r="C1042" s="182" t="s">
        <v>452</v>
      </c>
      <c r="D1042" s="183">
        <v>5</v>
      </c>
      <c r="E1042" s="185">
        <v>138</v>
      </c>
      <c r="F1042" s="185">
        <v>123</v>
      </c>
      <c r="G1042" s="184" t="s">
        <v>1308</v>
      </c>
      <c r="H1042" s="186">
        <v>1</v>
      </c>
      <c r="I1042" s="185">
        <v>63</v>
      </c>
      <c r="J1042" s="187">
        <v>2.5983187134502925</v>
      </c>
      <c r="K1042" s="188">
        <v>163.69407894736844</v>
      </c>
      <c r="L1042" s="189">
        <v>2.77</v>
      </c>
      <c r="M1042" s="185">
        <v>76</v>
      </c>
      <c r="N1042" s="189">
        <v>8.24</v>
      </c>
      <c r="O1042" s="333">
        <v>7.3550000000000004</v>
      </c>
      <c r="P1042" s="333">
        <v>0.76140000000000019</v>
      </c>
      <c r="Q1042" s="333">
        <v>1.3640108400000002</v>
      </c>
      <c r="R1042" s="475">
        <f t="shared" si="17"/>
        <v>0.55820670750681134</v>
      </c>
      <c r="S1042" s="340">
        <v>61.716216216216225</v>
      </c>
    </row>
    <row r="1043" spans="2:19" ht="15" customHeight="1" x14ac:dyDescent="0.35">
      <c r="B1043" s="181">
        <v>43027</v>
      </c>
      <c r="C1043" s="182" t="s">
        <v>397</v>
      </c>
      <c r="D1043" s="183">
        <v>5</v>
      </c>
      <c r="E1043" s="185">
        <v>394</v>
      </c>
      <c r="F1043" s="185">
        <v>225</v>
      </c>
      <c r="G1043" s="184" t="s">
        <v>1308</v>
      </c>
      <c r="H1043" s="186">
        <v>1</v>
      </c>
      <c r="I1043" s="185">
        <v>77588</v>
      </c>
      <c r="J1043" s="187">
        <v>2.0304313245640868</v>
      </c>
      <c r="K1043" s="188">
        <v>157537.10561027838</v>
      </c>
      <c r="L1043" s="189">
        <v>898</v>
      </c>
      <c r="M1043" s="185">
        <v>40806</v>
      </c>
      <c r="N1043" s="189">
        <v>22673.378000000001</v>
      </c>
      <c r="O1043" s="333">
        <v>12955.674999999999</v>
      </c>
      <c r="P1043" s="333">
        <v>2764.5329437244891</v>
      </c>
      <c r="Q1043" s="333">
        <v>1366.32694896</v>
      </c>
      <c r="R1043" s="475">
        <f t="shared" si="17"/>
        <v>2.0233319307862252</v>
      </c>
      <c r="S1043" s="340">
        <v>69</v>
      </c>
    </row>
    <row r="1044" spans="2:19" ht="15" customHeight="1" x14ac:dyDescent="0.35">
      <c r="B1044" s="181">
        <v>5010</v>
      </c>
      <c r="C1044" s="182" t="s">
        <v>1044</v>
      </c>
      <c r="D1044" s="183">
        <v>11</v>
      </c>
      <c r="E1044" s="185" t="s">
        <v>1124</v>
      </c>
      <c r="F1044" s="185" t="s">
        <v>1124</v>
      </c>
      <c r="G1044" s="184" t="s">
        <v>1124</v>
      </c>
      <c r="H1044" s="186"/>
      <c r="I1044" s="185"/>
      <c r="J1044" s="187"/>
      <c r="K1044" s="188"/>
      <c r="L1044" s="189"/>
      <c r="M1044" s="185" t="s">
        <v>1124</v>
      </c>
      <c r="N1044" s="189"/>
      <c r="O1044" s="333"/>
      <c r="P1044" s="333" t="s">
        <v>1124</v>
      </c>
      <c r="Q1044" s="333" t="s">
        <v>1124</v>
      </c>
      <c r="R1044" s="475" t="str">
        <f t="shared" si="17"/>
        <v/>
      </c>
      <c r="S1044" s="340" t="s">
        <v>1124</v>
      </c>
    </row>
    <row r="1045" spans="2:19" ht="15" customHeight="1" x14ac:dyDescent="0.35">
      <c r="B1045" s="181">
        <v>53052</v>
      </c>
      <c r="C1045" s="182" t="s">
        <v>538</v>
      </c>
      <c r="D1045" s="183">
        <v>16</v>
      </c>
      <c r="E1045" s="185">
        <v>543</v>
      </c>
      <c r="F1045" s="185">
        <v>250</v>
      </c>
      <c r="G1045" s="184" t="s">
        <v>1308</v>
      </c>
      <c r="H1045" s="186">
        <v>2</v>
      </c>
      <c r="I1045" s="185">
        <v>17963</v>
      </c>
      <c r="J1045" s="187">
        <v>2.0085945109723253</v>
      </c>
      <c r="K1045" s="188">
        <v>36080.383200595883</v>
      </c>
      <c r="L1045" s="189">
        <v>261.86</v>
      </c>
      <c r="M1045" s="185">
        <v>13615</v>
      </c>
      <c r="N1045" s="189">
        <v>7147.476999999999</v>
      </c>
      <c r="O1045" s="333">
        <v>3294.6390000000001</v>
      </c>
      <c r="P1045" s="333">
        <v>2632.0657641836729</v>
      </c>
      <c r="Q1045" s="333">
        <v>351.47619636799999</v>
      </c>
      <c r="R1045" s="475">
        <f t="shared" si="17"/>
        <v>7.4886031867371949</v>
      </c>
      <c r="S1045" s="340">
        <v>51.061030867742971</v>
      </c>
    </row>
    <row r="1046" spans="2:19" ht="15" customHeight="1" x14ac:dyDescent="0.35">
      <c r="B1046" s="181">
        <v>46045</v>
      </c>
      <c r="C1046" s="198" t="s">
        <v>434</v>
      </c>
      <c r="D1046" s="183">
        <v>5</v>
      </c>
      <c r="E1046" s="185" t="s">
        <v>1124</v>
      </c>
      <c r="F1046" s="185" t="s">
        <v>1124</v>
      </c>
      <c r="G1046" s="184" t="s">
        <v>1124</v>
      </c>
      <c r="H1046" s="186"/>
      <c r="I1046" s="185"/>
      <c r="J1046" s="187"/>
      <c r="K1046" s="188"/>
      <c r="L1046" s="189"/>
      <c r="M1046" s="185" t="s">
        <v>1124</v>
      </c>
      <c r="N1046" s="189"/>
      <c r="O1046" s="333"/>
      <c r="P1046" s="333" t="s">
        <v>1124</v>
      </c>
      <c r="Q1046" s="333" t="s">
        <v>1124</v>
      </c>
      <c r="R1046" s="475" t="str">
        <f t="shared" si="17"/>
        <v/>
      </c>
      <c r="S1046" s="340" t="s">
        <v>1124</v>
      </c>
    </row>
    <row r="1047" spans="2:19" ht="15" customHeight="1" x14ac:dyDescent="0.35">
      <c r="B1047" s="181">
        <v>46030</v>
      </c>
      <c r="C1047" s="182" t="s">
        <v>431</v>
      </c>
      <c r="D1047" s="183">
        <v>5</v>
      </c>
      <c r="E1047" s="185" t="s">
        <v>1124</v>
      </c>
      <c r="F1047" s="185" t="s">
        <v>1124</v>
      </c>
      <c r="G1047" s="184" t="s">
        <v>1124</v>
      </c>
      <c r="H1047" s="186"/>
      <c r="I1047" s="185"/>
      <c r="J1047" s="187"/>
      <c r="K1047" s="188"/>
      <c r="L1047" s="189"/>
      <c r="M1047" s="185" t="s">
        <v>1124</v>
      </c>
      <c r="N1047" s="189"/>
      <c r="O1047" s="333"/>
      <c r="P1047" s="333" t="s">
        <v>1124</v>
      </c>
      <c r="Q1047" s="333" t="s">
        <v>1124</v>
      </c>
      <c r="R1047" s="475" t="str">
        <f t="shared" si="17"/>
        <v/>
      </c>
      <c r="S1047" s="340" t="s">
        <v>1124</v>
      </c>
    </row>
    <row r="1048" spans="2:19" ht="15" customHeight="1" x14ac:dyDescent="0.35">
      <c r="B1048" s="181">
        <v>45025</v>
      </c>
      <c r="C1048" s="182" t="s">
        <v>412</v>
      </c>
      <c r="D1048" s="183">
        <v>5</v>
      </c>
      <c r="E1048" s="185">
        <v>225</v>
      </c>
      <c r="F1048" s="185">
        <v>165</v>
      </c>
      <c r="G1048" s="184" t="s">
        <v>1308</v>
      </c>
      <c r="H1048" s="186">
        <v>1</v>
      </c>
      <c r="I1048" s="185">
        <v>44</v>
      </c>
      <c r="J1048" s="187">
        <v>2.02</v>
      </c>
      <c r="K1048" s="188">
        <v>88.88</v>
      </c>
      <c r="L1048" s="189">
        <v>1.9079999999999999</v>
      </c>
      <c r="M1048" s="185">
        <v>55</v>
      </c>
      <c r="N1048" s="189">
        <v>7.2919999999999998</v>
      </c>
      <c r="O1048" s="333">
        <v>5.3577021276595742</v>
      </c>
      <c r="P1048" s="333">
        <v>1.46</v>
      </c>
      <c r="Q1048" s="333">
        <v>1.3109445119999998</v>
      </c>
      <c r="R1048" s="475">
        <f t="shared" si="17"/>
        <v>1.1137008367902608</v>
      </c>
      <c r="S1048" s="340">
        <v>46</v>
      </c>
    </row>
    <row r="1049" spans="2:19" ht="15" customHeight="1" x14ac:dyDescent="0.35">
      <c r="B1049" s="181">
        <v>45008</v>
      </c>
      <c r="C1049" s="182" t="s">
        <v>410</v>
      </c>
      <c r="D1049" s="183">
        <v>5</v>
      </c>
      <c r="E1049" s="185">
        <v>598</v>
      </c>
      <c r="F1049" s="185">
        <v>300</v>
      </c>
      <c r="G1049" s="184" t="s">
        <v>1308</v>
      </c>
      <c r="H1049" s="186">
        <v>1</v>
      </c>
      <c r="I1049" s="185">
        <v>1330</v>
      </c>
      <c r="J1049" s="187">
        <v>2.02</v>
      </c>
      <c r="K1049" s="188">
        <v>2686.6</v>
      </c>
      <c r="L1049" s="189">
        <v>36.767000000000003</v>
      </c>
      <c r="M1049" s="185">
        <v>1104</v>
      </c>
      <c r="N1049" s="189">
        <v>586.18700000000001</v>
      </c>
      <c r="O1049" s="333">
        <v>294.1007104700895</v>
      </c>
      <c r="P1049" s="333">
        <v>83.260999999999996</v>
      </c>
      <c r="Q1049" s="333">
        <v>36.221978477999997</v>
      </c>
      <c r="R1049" s="475">
        <f t="shared" si="17"/>
        <v>2.2986320322223674</v>
      </c>
      <c r="S1049" s="340">
        <v>50</v>
      </c>
    </row>
    <row r="1050" spans="2:19" ht="15" customHeight="1" x14ac:dyDescent="0.35">
      <c r="B1050" s="181">
        <v>44050</v>
      </c>
      <c r="C1050" s="182" t="s">
        <v>405</v>
      </c>
      <c r="D1050" s="183">
        <v>5</v>
      </c>
      <c r="E1050" s="185" t="s">
        <v>1124</v>
      </c>
      <c r="F1050" s="185" t="s">
        <v>1124</v>
      </c>
      <c r="G1050" s="184" t="s">
        <v>1124</v>
      </c>
      <c r="H1050" s="186"/>
      <c r="I1050" s="185"/>
      <c r="J1050" s="187"/>
      <c r="K1050" s="188"/>
      <c r="L1050" s="189"/>
      <c r="M1050" s="185" t="s">
        <v>1124</v>
      </c>
      <c r="N1050" s="189"/>
      <c r="O1050" s="333"/>
      <c r="P1050" s="333" t="s">
        <v>1124</v>
      </c>
      <c r="Q1050" s="333" t="s">
        <v>1124</v>
      </c>
      <c r="R1050" s="475" t="str">
        <f t="shared" si="17"/>
        <v/>
      </c>
      <c r="S1050" s="340" t="s">
        <v>1124</v>
      </c>
    </row>
    <row r="1051" spans="2:19" ht="15" customHeight="1" x14ac:dyDescent="0.35">
      <c r="B1051" s="181">
        <v>42005</v>
      </c>
      <c r="C1051" s="182" t="s">
        <v>379</v>
      </c>
      <c r="D1051" s="183">
        <v>5</v>
      </c>
      <c r="E1051" s="185" t="s">
        <v>1124</v>
      </c>
      <c r="F1051" s="185" t="s">
        <v>1124</v>
      </c>
      <c r="G1051" s="184" t="s">
        <v>1124</v>
      </c>
      <c r="H1051" s="186"/>
      <c r="I1051" s="185"/>
      <c r="J1051" s="187"/>
      <c r="K1051" s="188"/>
      <c r="L1051" s="189"/>
      <c r="M1051" s="185" t="s">
        <v>1124</v>
      </c>
      <c r="N1051" s="189"/>
      <c r="O1051" s="333"/>
      <c r="P1051" s="333" t="s">
        <v>1124</v>
      </c>
      <c r="Q1051" s="333" t="s">
        <v>1124</v>
      </c>
      <c r="R1051" s="475" t="str">
        <f t="shared" si="17"/>
        <v/>
      </c>
      <c r="S1051" s="340" t="s">
        <v>1124</v>
      </c>
    </row>
    <row r="1052" spans="2:19" ht="15" customHeight="1" x14ac:dyDescent="0.35">
      <c r="B1052" s="181">
        <v>22035</v>
      </c>
      <c r="C1052" s="182" t="s">
        <v>159</v>
      </c>
      <c r="D1052" s="183">
        <v>3</v>
      </c>
      <c r="E1052" s="185">
        <v>246</v>
      </c>
      <c r="F1052" s="185">
        <v>165</v>
      </c>
      <c r="G1052" s="184" t="s">
        <v>1308</v>
      </c>
      <c r="H1052" s="186">
        <v>4</v>
      </c>
      <c r="I1052" s="185">
        <v>1063</v>
      </c>
      <c r="J1052" s="187">
        <v>2.1769868356899074</v>
      </c>
      <c r="K1052" s="188">
        <v>2314.1370063383715</v>
      </c>
      <c r="L1052" s="189">
        <v>15.022</v>
      </c>
      <c r="M1052" s="185">
        <v>1072</v>
      </c>
      <c r="N1052" s="189">
        <v>208.024</v>
      </c>
      <c r="O1052" s="333">
        <v>139.32900000000001</v>
      </c>
      <c r="P1052" s="333">
        <v>49.889616173469392</v>
      </c>
      <c r="Q1052" s="333">
        <v>35.371572570000005</v>
      </c>
      <c r="R1052" s="475">
        <f t="shared" si="17"/>
        <v>1.4104438267407624</v>
      </c>
      <c r="S1052" s="340">
        <v>59.015871494649673</v>
      </c>
    </row>
    <row r="1053" spans="2:19" ht="15" customHeight="1" x14ac:dyDescent="0.35">
      <c r="B1053" s="181">
        <v>30105</v>
      </c>
      <c r="C1053" s="182" t="s">
        <v>235</v>
      </c>
      <c r="D1053" s="183">
        <v>5</v>
      </c>
      <c r="E1053" s="185" t="s">
        <v>1124</v>
      </c>
      <c r="F1053" s="185" t="s">
        <v>1124</v>
      </c>
      <c r="G1053" s="184" t="s">
        <v>1124</v>
      </c>
      <c r="H1053" s="186"/>
      <c r="I1053" s="185"/>
      <c r="J1053" s="187"/>
      <c r="K1053" s="188"/>
      <c r="L1053" s="189"/>
      <c r="M1053" s="185" t="s">
        <v>1124</v>
      </c>
      <c r="N1053" s="189"/>
      <c r="O1053" s="333"/>
      <c r="P1053" s="333" t="s">
        <v>1124</v>
      </c>
      <c r="Q1053" s="333" t="s">
        <v>1124</v>
      </c>
      <c r="R1053" s="475" t="str">
        <f t="shared" si="17"/>
        <v/>
      </c>
      <c r="S1053" s="340" t="s">
        <v>1124</v>
      </c>
    </row>
    <row r="1054" spans="2:19" ht="15" customHeight="1" x14ac:dyDescent="0.35">
      <c r="B1054" s="181">
        <v>30110</v>
      </c>
      <c r="C1054" s="182" t="s">
        <v>236</v>
      </c>
      <c r="D1054" s="183">
        <v>5</v>
      </c>
      <c r="E1054" s="185" t="s">
        <v>1124</v>
      </c>
      <c r="F1054" s="185" t="s">
        <v>1124</v>
      </c>
      <c r="G1054" s="184" t="s">
        <v>1124</v>
      </c>
      <c r="H1054" s="186"/>
      <c r="I1054" s="185"/>
      <c r="J1054" s="187"/>
      <c r="K1054" s="188"/>
      <c r="L1054" s="189"/>
      <c r="M1054" s="185" t="s">
        <v>1124</v>
      </c>
      <c r="N1054" s="189"/>
      <c r="O1054" s="333"/>
      <c r="P1054" s="333" t="s">
        <v>1124</v>
      </c>
      <c r="Q1054" s="333" t="s">
        <v>1124</v>
      </c>
      <c r="R1054" s="475" t="str">
        <f t="shared" si="17"/>
        <v/>
      </c>
      <c r="S1054" s="340" t="s">
        <v>1124</v>
      </c>
    </row>
    <row r="1055" spans="2:19" ht="15" customHeight="1" x14ac:dyDescent="0.35">
      <c r="B1055" s="181">
        <v>45105</v>
      </c>
      <c r="C1055" s="182" t="s">
        <v>425</v>
      </c>
      <c r="D1055" s="183">
        <v>5</v>
      </c>
      <c r="E1055" s="185">
        <v>377</v>
      </c>
      <c r="F1055" s="185">
        <v>146</v>
      </c>
      <c r="G1055" s="184" t="s">
        <v>1308</v>
      </c>
      <c r="H1055" s="186">
        <v>1</v>
      </c>
      <c r="I1055" s="185">
        <v>77</v>
      </c>
      <c r="J1055" s="187">
        <v>2.3143459915611815</v>
      </c>
      <c r="K1055" s="188">
        <v>178.20464135021098</v>
      </c>
      <c r="L1055" s="189">
        <v>4.3140000000000001</v>
      </c>
      <c r="M1055" s="185">
        <v>74</v>
      </c>
      <c r="N1055" s="189">
        <v>24.539000000000001</v>
      </c>
      <c r="O1055" s="333">
        <v>9.4939999999999998</v>
      </c>
      <c r="P1055" s="333">
        <v>14.275015051546392</v>
      </c>
      <c r="Q1055" s="333">
        <v>2.5233486600000004</v>
      </c>
      <c r="R1055" s="475">
        <f t="shared" si="17"/>
        <v>5.6571710750215507</v>
      </c>
      <c r="S1055" s="340">
        <v>69</v>
      </c>
    </row>
    <row r="1056" spans="2:19" ht="15" customHeight="1" x14ac:dyDescent="0.35">
      <c r="B1056" s="181">
        <v>46058</v>
      </c>
      <c r="C1056" s="182" t="s">
        <v>436</v>
      </c>
      <c r="D1056" s="183">
        <v>5</v>
      </c>
      <c r="E1056" s="185" t="s">
        <v>1124</v>
      </c>
      <c r="F1056" s="185" t="s">
        <v>1124</v>
      </c>
      <c r="G1056" s="184" t="s">
        <v>1124</v>
      </c>
      <c r="H1056" s="186"/>
      <c r="I1056" s="185"/>
      <c r="J1056" s="187"/>
      <c r="K1056" s="188"/>
      <c r="L1056" s="189"/>
      <c r="M1056" s="185" t="s">
        <v>1124</v>
      </c>
      <c r="N1056" s="189"/>
      <c r="O1056" s="333"/>
      <c r="P1056" s="333" t="s">
        <v>1124</v>
      </c>
      <c r="Q1056" s="333" t="s">
        <v>1124</v>
      </c>
      <c r="R1056" s="475" t="str">
        <f t="shared" si="17"/>
        <v/>
      </c>
      <c r="S1056" s="340" t="s">
        <v>1124</v>
      </c>
    </row>
    <row r="1057" spans="2:19" ht="15" customHeight="1" x14ac:dyDescent="0.35">
      <c r="B1057" s="181">
        <v>95005</v>
      </c>
      <c r="C1057" s="182" t="s">
        <v>986</v>
      </c>
      <c r="D1057" s="183">
        <v>9</v>
      </c>
      <c r="E1057" s="185">
        <v>597</v>
      </c>
      <c r="F1057" s="185">
        <v>229</v>
      </c>
      <c r="G1057" s="184" t="s">
        <v>1308</v>
      </c>
      <c r="H1057" s="186">
        <v>1</v>
      </c>
      <c r="I1057" s="185">
        <v>422</v>
      </c>
      <c r="J1057" s="187">
        <v>1.7945205479452055</v>
      </c>
      <c r="K1057" s="188">
        <v>757.28767123287673</v>
      </c>
      <c r="L1057" s="189">
        <v>17.335999999999999</v>
      </c>
      <c r="M1057" s="185">
        <v>494</v>
      </c>
      <c r="N1057" s="189">
        <v>164.923</v>
      </c>
      <c r="O1057" s="333">
        <v>63.336104444444445</v>
      </c>
      <c r="P1057" s="333">
        <v>46.301000000000002</v>
      </c>
      <c r="Q1057" s="333">
        <v>17.526290556000003</v>
      </c>
      <c r="R1057" s="475">
        <f t="shared" si="17"/>
        <v>2.6418026023281453</v>
      </c>
      <c r="S1057" s="340">
        <v>61</v>
      </c>
    </row>
    <row r="1058" spans="2:19" ht="15" customHeight="1" x14ac:dyDescent="0.35">
      <c r="B1058" s="181">
        <v>87042</v>
      </c>
      <c r="C1058" s="182" t="s">
        <v>897</v>
      </c>
      <c r="D1058" s="183">
        <v>8</v>
      </c>
      <c r="E1058" s="185" t="s">
        <v>1124</v>
      </c>
      <c r="F1058" s="185" t="s">
        <v>1124</v>
      </c>
      <c r="G1058" s="184" t="s">
        <v>1124</v>
      </c>
      <c r="H1058" s="186"/>
      <c r="I1058" s="185"/>
      <c r="J1058" s="187"/>
      <c r="K1058" s="188"/>
      <c r="L1058" s="189"/>
      <c r="M1058" s="185" t="s">
        <v>1124</v>
      </c>
      <c r="N1058" s="189"/>
      <c r="O1058" s="333"/>
      <c r="P1058" s="333" t="s">
        <v>1124</v>
      </c>
      <c r="Q1058" s="333" t="s">
        <v>1124</v>
      </c>
      <c r="R1058" s="475" t="str">
        <f t="shared" si="17"/>
        <v/>
      </c>
      <c r="S1058" s="340" t="s">
        <v>1124</v>
      </c>
    </row>
    <row r="1059" spans="2:19" ht="15" customHeight="1" x14ac:dyDescent="0.35">
      <c r="B1059" s="181">
        <v>85005</v>
      </c>
      <c r="C1059" s="182" t="s">
        <v>870</v>
      </c>
      <c r="D1059" s="183">
        <v>8</v>
      </c>
      <c r="E1059" s="185" t="s">
        <v>1124</v>
      </c>
      <c r="F1059" s="185" t="s">
        <v>1124</v>
      </c>
      <c r="G1059" s="184" t="s">
        <v>1124</v>
      </c>
      <c r="H1059" s="186"/>
      <c r="I1059" s="185"/>
      <c r="J1059" s="187"/>
      <c r="K1059" s="188"/>
      <c r="L1059" s="189"/>
      <c r="M1059" s="185" t="s">
        <v>1124</v>
      </c>
      <c r="N1059" s="189"/>
      <c r="O1059" s="333"/>
      <c r="P1059" s="333" t="s">
        <v>1124</v>
      </c>
      <c r="Q1059" s="333" t="s">
        <v>1124</v>
      </c>
      <c r="R1059" s="475" t="str">
        <f t="shared" si="17"/>
        <v/>
      </c>
      <c r="S1059" s="340" t="s">
        <v>1124</v>
      </c>
    </row>
    <row r="1060" spans="2:19" ht="15" customHeight="1" x14ac:dyDescent="0.35">
      <c r="B1060" s="181">
        <v>13073</v>
      </c>
      <c r="C1060" s="182" t="s">
        <v>53</v>
      </c>
      <c r="D1060" s="183">
        <v>1</v>
      </c>
      <c r="E1060" s="185">
        <v>614</v>
      </c>
      <c r="F1060" s="185">
        <v>348</v>
      </c>
      <c r="G1060" s="184" t="s">
        <v>1326</v>
      </c>
      <c r="H1060" s="186">
        <v>2</v>
      </c>
      <c r="I1060" s="185">
        <v>2030</v>
      </c>
      <c r="J1060" s="187">
        <v>2.0481978206202851</v>
      </c>
      <c r="K1060" s="188">
        <v>4157.8415758591791</v>
      </c>
      <c r="L1060" s="189">
        <v>55.874400000000001</v>
      </c>
      <c r="M1060" s="185">
        <v>1733</v>
      </c>
      <c r="N1060" s="189">
        <v>931.745</v>
      </c>
      <c r="O1060" s="333">
        <v>528.06359112318842</v>
      </c>
      <c r="P1060" s="333">
        <v>333.95300000000003</v>
      </c>
      <c r="Q1060" s="333">
        <v>66.200838764999986</v>
      </c>
      <c r="R1060" s="475">
        <f t="shared" si="17"/>
        <v>5.0445433355530103</v>
      </c>
      <c r="S1060" s="340">
        <v>52.081081081081081</v>
      </c>
    </row>
    <row r="1061" spans="2:19" ht="15" customHeight="1" x14ac:dyDescent="0.35">
      <c r="B1061" s="181">
        <v>71075</v>
      </c>
      <c r="C1061" s="182" t="s">
        <v>716</v>
      </c>
      <c r="D1061" s="183">
        <v>16</v>
      </c>
      <c r="E1061" s="185">
        <v>309</v>
      </c>
      <c r="F1061" s="185">
        <v>189</v>
      </c>
      <c r="G1061" s="184" t="s">
        <v>1308</v>
      </c>
      <c r="H1061" s="186">
        <v>1</v>
      </c>
      <c r="I1061" s="185">
        <v>834</v>
      </c>
      <c r="J1061" s="187">
        <v>2.3862815884476536</v>
      </c>
      <c r="K1061" s="188">
        <v>1990.158844765343</v>
      </c>
      <c r="L1061" s="189">
        <v>12.611000000000001</v>
      </c>
      <c r="M1061" s="185">
        <v>845</v>
      </c>
      <c r="N1061" s="189">
        <v>224.31200000000001</v>
      </c>
      <c r="O1061" s="333">
        <v>137.63964454976303</v>
      </c>
      <c r="P1061" s="333">
        <v>38.339358316326525</v>
      </c>
      <c r="Q1061" s="333">
        <v>19.114924440000003</v>
      </c>
      <c r="R1061" s="475">
        <f t="shared" si="17"/>
        <v>2.0057290017896885</v>
      </c>
      <c r="S1061" s="340">
        <v>63.235294117647058</v>
      </c>
    </row>
    <row r="1062" spans="2:19" ht="15" customHeight="1" x14ac:dyDescent="0.35">
      <c r="B1062" s="181">
        <v>64008</v>
      </c>
      <c r="C1062" s="182" t="s">
        <v>644</v>
      </c>
      <c r="D1062" s="183">
        <v>14</v>
      </c>
      <c r="E1062" s="185">
        <v>368</v>
      </c>
      <c r="F1062" s="185">
        <v>282</v>
      </c>
      <c r="G1062" s="184" t="s">
        <v>1308</v>
      </c>
      <c r="H1062" s="186">
        <v>1</v>
      </c>
      <c r="I1062" s="185">
        <v>43823</v>
      </c>
      <c r="J1062" s="187">
        <v>2.71</v>
      </c>
      <c r="K1062" s="188">
        <v>118760.33</v>
      </c>
      <c r="L1062" s="189">
        <v>562.22699999999998</v>
      </c>
      <c r="M1062" s="185">
        <v>38570</v>
      </c>
      <c r="N1062" s="189">
        <v>15935.247000000001</v>
      </c>
      <c r="O1062" s="333">
        <v>12221.910074144616</v>
      </c>
      <c r="P1062" s="333">
        <v>1110.9257102040842</v>
      </c>
      <c r="Q1062" s="333">
        <v>759.50895410399994</v>
      </c>
      <c r="R1062" s="475">
        <f t="shared" si="17"/>
        <v>1.4626894182105517</v>
      </c>
      <c r="S1062" s="340">
        <v>56.508771929824569</v>
      </c>
    </row>
    <row r="1063" spans="2:19" ht="15" customHeight="1" x14ac:dyDescent="0.35">
      <c r="B1063" s="181">
        <v>31084</v>
      </c>
      <c r="C1063" s="182" t="s">
        <v>248</v>
      </c>
      <c r="D1063" s="183">
        <v>12</v>
      </c>
      <c r="E1063" s="185">
        <v>428</v>
      </c>
      <c r="F1063" s="185">
        <v>363</v>
      </c>
      <c r="G1063" s="184" t="s">
        <v>1308</v>
      </c>
      <c r="H1063" s="186">
        <v>2</v>
      </c>
      <c r="I1063" s="185">
        <v>12535</v>
      </c>
      <c r="J1063" s="187">
        <v>1.9512619011636694</v>
      </c>
      <c r="K1063" s="188">
        <v>24459.067931086596</v>
      </c>
      <c r="L1063" s="189">
        <v>250.953</v>
      </c>
      <c r="M1063" s="185">
        <v>13560</v>
      </c>
      <c r="N1063" s="189">
        <v>3820.8509999999997</v>
      </c>
      <c r="O1063" s="333">
        <v>3239.0360000000001</v>
      </c>
      <c r="P1063" s="333">
        <v>152.51160000000027</v>
      </c>
      <c r="Q1063" s="333">
        <v>413.81091301199996</v>
      </c>
      <c r="R1063" s="475">
        <f t="shared" si="17"/>
        <v>0.36855383752428406</v>
      </c>
      <c r="S1063" s="340">
        <v>58.729729729729726</v>
      </c>
    </row>
    <row r="1064" spans="2:19" ht="15" customHeight="1" x14ac:dyDescent="0.35">
      <c r="B1064" s="181">
        <v>84045</v>
      </c>
      <c r="C1064" s="182" t="s">
        <v>860</v>
      </c>
      <c r="D1064" s="183">
        <v>7</v>
      </c>
      <c r="E1064" s="185" t="s">
        <v>1124</v>
      </c>
      <c r="F1064" s="185" t="s">
        <v>1124</v>
      </c>
      <c r="G1064" s="184" t="s">
        <v>1124</v>
      </c>
      <c r="H1064" s="186"/>
      <c r="I1064" s="185"/>
      <c r="J1064" s="187"/>
      <c r="K1064" s="188"/>
      <c r="L1064" s="189"/>
      <c r="M1064" s="185" t="s">
        <v>1124</v>
      </c>
      <c r="N1064" s="189"/>
      <c r="O1064" s="333"/>
      <c r="P1064" s="333" t="s">
        <v>1124</v>
      </c>
      <c r="Q1064" s="333" t="s">
        <v>1124</v>
      </c>
      <c r="R1064" s="475" t="str">
        <f t="shared" si="17"/>
        <v/>
      </c>
      <c r="S1064" s="340" t="s">
        <v>1124</v>
      </c>
    </row>
    <row r="1065" spans="2:19" ht="15" customHeight="1" x14ac:dyDescent="0.35">
      <c r="B1065" s="181">
        <v>80050</v>
      </c>
      <c r="C1065" s="182" t="s">
        <v>810</v>
      </c>
      <c r="D1065" s="183">
        <v>7</v>
      </c>
      <c r="E1065" s="185">
        <v>365</v>
      </c>
      <c r="F1065" s="185">
        <v>259</v>
      </c>
      <c r="G1065" s="184" t="s">
        <v>1326</v>
      </c>
      <c r="H1065" s="186">
        <v>1</v>
      </c>
      <c r="I1065" s="185">
        <v>1457</v>
      </c>
      <c r="J1065" s="187">
        <v>2.0698847262247839</v>
      </c>
      <c r="K1065" s="188">
        <v>3015.8220461095102</v>
      </c>
      <c r="L1065" s="189">
        <v>21.065000000000001</v>
      </c>
      <c r="M1065" s="185">
        <v>1231</v>
      </c>
      <c r="N1065" s="189">
        <v>402.26400000000001</v>
      </c>
      <c r="O1065" s="333">
        <v>285.29000000000002</v>
      </c>
      <c r="P1065" s="333">
        <v>48.997660000000025</v>
      </c>
      <c r="Q1065" s="333">
        <v>29.425152622500001</v>
      </c>
      <c r="R1065" s="475">
        <f t="shared" si="17"/>
        <v>1.6651624760829233</v>
      </c>
      <c r="S1065" s="340">
        <v>55.482456140350891</v>
      </c>
    </row>
    <row r="1066" spans="2:19" ht="15" customHeight="1" x14ac:dyDescent="0.35">
      <c r="B1066" s="181">
        <v>39025</v>
      </c>
      <c r="C1066" s="182" t="s">
        <v>341</v>
      </c>
      <c r="D1066" s="183">
        <v>17</v>
      </c>
      <c r="E1066" s="185" t="s">
        <v>1124</v>
      </c>
      <c r="F1066" s="185" t="s">
        <v>1124</v>
      </c>
      <c r="G1066" s="184" t="s">
        <v>1124</v>
      </c>
      <c r="H1066" s="186"/>
      <c r="I1066" s="185"/>
      <c r="J1066" s="187"/>
      <c r="K1066" s="188"/>
      <c r="L1066" s="189"/>
      <c r="M1066" s="185" t="s">
        <v>1124</v>
      </c>
      <c r="N1066" s="189"/>
      <c r="O1066" s="333"/>
      <c r="P1066" s="333" t="s">
        <v>1124</v>
      </c>
      <c r="Q1066" s="333" t="s">
        <v>1124</v>
      </c>
      <c r="R1066" s="475" t="str">
        <f t="shared" si="17"/>
        <v/>
      </c>
      <c r="S1066" s="340" t="s">
        <v>1124</v>
      </c>
    </row>
    <row r="1067" spans="2:19" ht="15" customHeight="1" x14ac:dyDescent="0.35">
      <c r="B1067" s="181">
        <v>17035</v>
      </c>
      <c r="C1067" s="182" t="s">
        <v>96</v>
      </c>
      <c r="D1067" s="183">
        <v>12</v>
      </c>
      <c r="E1067" s="185">
        <v>303</v>
      </c>
      <c r="F1067" s="185">
        <v>220</v>
      </c>
      <c r="G1067" s="184" t="s">
        <v>1308</v>
      </c>
      <c r="H1067" s="186">
        <v>1</v>
      </c>
      <c r="I1067" s="185">
        <v>198</v>
      </c>
      <c r="J1067" s="187">
        <v>1.9084967320261437</v>
      </c>
      <c r="K1067" s="188">
        <v>377.88235294117646</v>
      </c>
      <c r="L1067" s="189">
        <v>10.154</v>
      </c>
      <c r="M1067" s="185">
        <v>186</v>
      </c>
      <c r="N1067" s="189">
        <v>41.738</v>
      </c>
      <c r="O1067" s="333">
        <v>30.305700000000002</v>
      </c>
      <c r="P1067" s="333">
        <v>7.4390000000000001</v>
      </c>
      <c r="Q1067" s="333">
        <v>3.8853008999999998</v>
      </c>
      <c r="R1067" s="475">
        <f t="shared" si="17"/>
        <v>1.9146522216593316</v>
      </c>
      <c r="S1067" s="340">
        <v>38</v>
      </c>
    </row>
    <row r="1068" spans="2:19" ht="15" customHeight="1" x14ac:dyDescent="0.35">
      <c r="B1068" s="181">
        <v>88075</v>
      </c>
      <c r="C1068" s="182" t="s">
        <v>924</v>
      </c>
      <c r="D1068" s="183">
        <v>8</v>
      </c>
      <c r="E1068" s="185" t="s">
        <v>1124</v>
      </c>
      <c r="F1068" s="185" t="s">
        <v>1124</v>
      </c>
      <c r="G1068" s="184" t="s">
        <v>1124</v>
      </c>
      <c r="H1068" s="186"/>
      <c r="I1068" s="185"/>
      <c r="J1068" s="187"/>
      <c r="K1068" s="188"/>
      <c r="L1068" s="189"/>
      <c r="M1068" s="185" t="s">
        <v>1124</v>
      </c>
      <c r="N1068" s="189"/>
      <c r="O1068" s="333"/>
      <c r="P1068" s="333" t="s">
        <v>1124</v>
      </c>
      <c r="Q1068" s="333" t="s">
        <v>1124</v>
      </c>
      <c r="R1068" s="475" t="str">
        <f t="shared" si="17"/>
        <v/>
      </c>
      <c r="S1068" s="340" t="s">
        <v>1124</v>
      </c>
    </row>
    <row r="1069" spans="2:19" ht="15" customHeight="1" x14ac:dyDescent="0.35">
      <c r="B1069" s="181">
        <v>71125</v>
      </c>
      <c r="C1069" s="182" t="s">
        <v>724</v>
      </c>
      <c r="D1069" s="183">
        <v>16</v>
      </c>
      <c r="E1069" s="185" t="s">
        <v>1124</v>
      </c>
      <c r="F1069" s="185" t="s">
        <v>1124</v>
      </c>
      <c r="G1069" s="184" t="s">
        <v>1124</v>
      </c>
      <c r="H1069" s="186"/>
      <c r="I1069" s="185"/>
      <c r="J1069" s="187"/>
      <c r="K1069" s="188"/>
      <c r="L1069" s="189"/>
      <c r="M1069" s="185" t="s">
        <v>1124</v>
      </c>
      <c r="N1069" s="189"/>
      <c r="O1069" s="333"/>
      <c r="P1069" s="333" t="s">
        <v>1124</v>
      </c>
      <c r="Q1069" s="333" t="s">
        <v>1124</v>
      </c>
      <c r="R1069" s="475" t="str">
        <f t="shared" si="17"/>
        <v/>
      </c>
      <c r="S1069" s="340" t="s">
        <v>1124</v>
      </c>
    </row>
    <row r="1070" spans="2:19" ht="15" customHeight="1" x14ac:dyDescent="0.35">
      <c r="B1070" s="181">
        <v>69030</v>
      </c>
      <c r="C1070" s="182" t="s">
        <v>688</v>
      </c>
      <c r="D1070" s="183">
        <v>16</v>
      </c>
      <c r="E1070" s="185" t="s">
        <v>1124</v>
      </c>
      <c r="F1070" s="185" t="s">
        <v>1124</v>
      </c>
      <c r="G1070" s="184" t="s">
        <v>1124</v>
      </c>
      <c r="H1070" s="186"/>
      <c r="I1070" s="185"/>
      <c r="J1070" s="187"/>
      <c r="K1070" s="188"/>
      <c r="L1070" s="189"/>
      <c r="M1070" s="185" t="s">
        <v>1124</v>
      </c>
      <c r="N1070" s="189"/>
      <c r="O1070" s="333"/>
      <c r="P1070" s="333" t="s">
        <v>1124</v>
      </c>
      <c r="Q1070" s="333" t="s">
        <v>1124</v>
      </c>
      <c r="R1070" s="475" t="str">
        <f t="shared" si="17"/>
        <v/>
      </c>
      <c r="S1070" s="340" t="s">
        <v>1124</v>
      </c>
    </row>
    <row r="1071" spans="2:19" ht="15" customHeight="1" x14ac:dyDescent="0.35">
      <c r="B1071" s="181">
        <v>27060</v>
      </c>
      <c r="C1071" s="182" t="s">
        <v>185</v>
      </c>
      <c r="D1071" s="183">
        <v>12</v>
      </c>
      <c r="E1071" s="185">
        <v>316</v>
      </c>
      <c r="F1071" s="185">
        <v>166</v>
      </c>
      <c r="G1071" s="184" t="s">
        <v>1326</v>
      </c>
      <c r="H1071" s="186">
        <v>1</v>
      </c>
      <c r="I1071" s="185">
        <v>615</v>
      </c>
      <c r="J1071" s="187">
        <v>2.1689708141321042</v>
      </c>
      <c r="K1071" s="188">
        <v>1333.9170506912442</v>
      </c>
      <c r="L1071" s="189">
        <v>20.608000000000001</v>
      </c>
      <c r="M1071" s="185">
        <v>615</v>
      </c>
      <c r="N1071" s="189">
        <v>153.947</v>
      </c>
      <c r="O1071" s="333">
        <v>80.853300000000004</v>
      </c>
      <c r="P1071" s="333">
        <v>67.234795000000005</v>
      </c>
      <c r="Q1071" s="333">
        <v>11.15666592</v>
      </c>
      <c r="R1071" s="475">
        <f t="shared" si="17"/>
        <v>6.0264236181412887</v>
      </c>
      <c r="S1071" s="340">
        <v>59.081081081081081</v>
      </c>
    </row>
    <row r="1072" spans="2:19" ht="15" customHeight="1" x14ac:dyDescent="0.35">
      <c r="B1072" s="181">
        <v>11040</v>
      </c>
      <c r="C1072" s="182" t="s">
        <v>24</v>
      </c>
      <c r="D1072" s="183">
        <v>1</v>
      </c>
      <c r="E1072" s="185">
        <v>380</v>
      </c>
      <c r="F1072" s="185">
        <v>289</v>
      </c>
      <c r="G1072" s="184" t="s">
        <v>1308</v>
      </c>
      <c r="H1072" s="186">
        <v>1</v>
      </c>
      <c r="I1072" s="185">
        <v>1633</v>
      </c>
      <c r="J1072" s="187">
        <v>2.0099999999999998</v>
      </c>
      <c r="K1072" s="188">
        <v>3282.3299999999995</v>
      </c>
      <c r="L1072" s="189">
        <v>36.6</v>
      </c>
      <c r="M1072" s="185">
        <v>1277</v>
      </c>
      <c r="N1072" s="189">
        <v>455.24199999999996</v>
      </c>
      <c r="O1072" s="333">
        <v>345.93126450511949</v>
      </c>
      <c r="P1072" s="333">
        <v>76.002369999999985</v>
      </c>
      <c r="Q1072" s="333">
        <v>31.968594349999993</v>
      </c>
      <c r="R1072" s="475">
        <f t="shared" si="17"/>
        <v>2.3774073131870437</v>
      </c>
      <c r="S1072" s="340">
        <v>58.378378378378386</v>
      </c>
    </row>
    <row r="1073" spans="2:19" ht="15" customHeight="1" x14ac:dyDescent="0.35">
      <c r="B1073" s="181">
        <v>35055</v>
      </c>
      <c r="C1073" s="182" t="s">
        <v>312</v>
      </c>
      <c r="D1073" s="183">
        <v>4</v>
      </c>
      <c r="E1073" s="185" t="s">
        <v>1124</v>
      </c>
      <c r="F1073" s="185" t="s">
        <v>1124</v>
      </c>
      <c r="G1073" s="184" t="s">
        <v>1124</v>
      </c>
      <c r="H1073" s="186"/>
      <c r="I1073" s="185"/>
      <c r="J1073" s="187"/>
      <c r="K1073" s="188"/>
      <c r="L1073" s="189"/>
      <c r="M1073" s="185" t="s">
        <v>1124</v>
      </c>
      <c r="N1073" s="189"/>
      <c r="O1073" s="333"/>
      <c r="P1073" s="333" t="s">
        <v>1124</v>
      </c>
      <c r="Q1073" s="333" t="s">
        <v>1124</v>
      </c>
      <c r="R1073" s="475" t="str">
        <f t="shared" si="17"/>
        <v/>
      </c>
      <c r="S1073" s="340" t="s">
        <v>1124</v>
      </c>
    </row>
    <row r="1074" spans="2:19" ht="15" customHeight="1" x14ac:dyDescent="0.35">
      <c r="B1074" s="181">
        <v>37067</v>
      </c>
      <c r="C1074" s="182" t="s">
        <v>314</v>
      </c>
      <c r="D1074" s="183">
        <v>4</v>
      </c>
      <c r="E1074" s="185">
        <v>380</v>
      </c>
      <c r="F1074" s="185">
        <v>255</v>
      </c>
      <c r="G1074" s="184" t="s">
        <v>1308</v>
      </c>
      <c r="H1074" s="186">
        <v>3</v>
      </c>
      <c r="I1074" s="185">
        <v>71493</v>
      </c>
      <c r="J1074" s="187">
        <v>1.9556254702686848</v>
      </c>
      <c r="K1074" s="188">
        <v>139813.53174591908</v>
      </c>
      <c r="L1074" s="189">
        <v>932.40699999999993</v>
      </c>
      <c r="M1074" s="185">
        <v>42353</v>
      </c>
      <c r="N1074" s="189">
        <v>19369.175999999999</v>
      </c>
      <c r="O1074" s="333">
        <v>12993.021756485836</v>
      </c>
      <c r="P1074" s="333">
        <v>5257.5154799999955</v>
      </c>
      <c r="Q1074" s="333">
        <v>1090.1528832199999</v>
      </c>
      <c r="R1074" s="475">
        <f t="shared" si="17"/>
        <v>4.8227322616171024</v>
      </c>
      <c r="S1074" s="340">
        <v>56.333333333333336</v>
      </c>
    </row>
    <row r="1075" spans="2:19" ht="15" customHeight="1" x14ac:dyDescent="0.35">
      <c r="B1075" s="181">
        <v>42078</v>
      </c>
      <c r="C1075" s="182" t="s">
        <v>391</v>
      </c>
      <c r="D1075" s="183">
        <v>5</v>
      </c>
      <c r="E1075" s="185" t="s">
        <v>1124</v>
      </c>
      <c r="F1075" s="185" t="s">
        <v>1124</v>
      </c>
      <c r="G1075" s="184" t="s">
        <v>1124</v>
      </c>
      <c r="H1075" s="186"/>
      <c r="I1075" s="185"/>
      <c r="J1075" s="187"/>
      <c r="K1075" s="188"/>
      <c r="L1075" s="189"/>
      <c r="M1075" s="185" t="s">
        <v>1124</v>
      </c>
      <c r="N1075" s="189"/>
      <c r="O1075" s="333"/>
      <c r="P1075" s="333" t="s">
        <v>1124</v>
      </c>
      <c r="Q1075" s="333" t="s">
        <v>1124</v>
      </c>
      <c r="R1075" s="475" t="str">
        <f t="shared" si="17"/>
        <v/>
      </c>
      <c r="S1075" s="340" t="s">
        <v>1124</v>
      </c>
    </row>
    <row r="1076" spans="2:19" ht="15" customHeight="1" x14ac:dyDescent="0.35">
      <c r="B1076" s="181">
        <v>48038</v>
      </c>
      <c r="C1076" s="182" t="s">
        <v>461</v>
      </c>
      <c r="D1076" s="183">
        <v>16</v>
      </c>
      <c r="E1076" s="185">
        <v>790</v>
      </c>
      <c r="F1076" s="185">
        <v>232</v>
      </c>
      <c r="G1076" s="184" t="s">
        <v>1308</v>
      </c>
      <c r="H1076" s="186">
        <v>1</v>
      </c>
      <c r="I1076" s="185">
        <v>526</v>
      </c>
      <c r="J1076" s="187">
        <v>2.7058823529411766</v>
      </c>
      <c r="K1076" s="188">
        <v>1423.294117647059</v>
      </c>
      <c r="L1076" s="189">
        <v>13.083</v>
      </c>
      <c r="M1076" s="185">
        <v>516</v>
      </c>
      <c r="N1076" s="189">
        <v>410.31900000000002</v>
      </c>
      <c r="O1076" s="333">
        <v>120.45307067137809</v>
      </c>
      <c r="P1076" s="333">
        <v>132.11534489795918</v>
      </c>
      <c r="Q1076" s="333">
        <v>10.992750114</v>
      </c>
      <c r="R1076" s="475">
        <f t="shared" si="17"/>
        <v>12.018406998054243</v>
      </c>
      <c r="S1076" s="340">
        <v>61.323529411764696</v>
      </c>
    </row>
    <row r="1077" spans="2:19" ht="15" customHeight="1" x14ac:dyDescent="0.35">
      <c r="B1077" s="181">
        <v>33070</v>
      </c>
      <c r="C1077" s="182" t="s">
        <v>277</v>
      </c>
      <c r="D1077" s="183">
        <v>12</v>
      </c>
      <c r="E1077" s="185" t="s">
        <v>1124</v>
      </c>
      <c r="F1077" s="185" t="s">
        <v>1124</v>
      </c>
      <c r="G1077" s="184" t="s">
        <v>1124</v>
      </c>
      <c r="H1077" s="186"/>
      <c r="I1077" s="185"/>
      <c r="J1077" s="187"/>
      <c r="K1077" s="188"/>
      <c r="L1077" s="189"/>
      <c r="M1077" s="185" t="s">
        <v>1124</v>
      </c>
      <c r="N1077" s="189"/>
      <c r="O1077" s="333"/>
      <c r="P1077" s="333" t="s">
        <v>1124</v>
      </c>
      <c r="Q1077" s="333" t="s">
        <v>1124</v>
      </c>
      <c r="R1077" s="475" t="str">
        <f t="shared" si="17"/>
        <v/>
      </c>
      <c r="S1077" s="340" t="s">
        <v>1124</v>
      </c>
    </row>
    <row r="1078" spans="2:19" ht="15" customHeight="1" x14ac:dyDescent="0.35">
      <c r="B1078" s="181">
        <v>7080</v>
      </c>
      <c r="C1078" s="182" t="s">
        <v>1080</v>
      </c>
      <c r="D1078" s="183">
        <v>1</v>
      </c>
      <c r="E1078" s="185">
        <v>518</v>
      </c>
      <c r="F1078" s="185">
        <v>174</v>
      </c>
      <c r="G1078" s="184" t="s">
        <v>1308</v>
      </c>
      <c r="H1078" s="186">
        <v>1</v>
      </c>
      <c r="I1078" s="185">
        <v>267</v>
      </c>
      <c r="J1078" s="187">
        <v>2.04</v>
      </c>
      <c r="K1078" s="188">
        <v>544.68000000000006</v>
      </c>
      <c r="L1078" s="189">
        <v>8.32</v>
      </c>
      <c r="M1078" s="185">
        <v>278</v>
      </c>
      <c r="N1078" s="189">
        <v>103.032</v>
      </c>
      <c r="O1078" s="333">
        <v>34.559212230215827</v>
      </c>
      <c r="P1078" s="333">
        <v>65.503519999999995</v>
      </c>
      <c r="Q1078" s="333">
        <v>7.5605567100000002</v>
      </c>
      <c r="R1078" s="475">
        <f t="shared" si="17"/>
        <v>8.6638487762893845</v>
      </c>
      <c r="S1078" s="340">
        <v>45.081081081081081</v>
      </c>
    </row>
    <row r="1079" spans="2:19" ht="15" customHeight="1" x14ac:dyDescent="0.35">
      <c r="B1079" s="181">
        <v>42060</v>
      </c>
      <c r="C1079" s="182" t="s">
        <v>387</v>
      </c>
      <c r="D1079" s="183">
        <v>5</v>
      </c>
      <c r="E1079" s="185">
        <v>240</v>
      </c>
      <c r="F1079" s="185">
        <v>166</v>
      </c>
      <c r="G1079" s="184" t="s">
        <v>1308</v>
      </c>
      <c r="H1079" s="186">
        <v>2</v>
      </c>
      <c r="I1079" s="185">
        <v>139</v>
      </c>
      <c r="J1079" s="187">
        <v>1.9117387466902027</v>
      </c>
      <c r="K1079" s="188">
        <v>265.73168578993818</v>
      </c>
      <c r="L1079" s="189">
        <v>3.9889999999999999</v>
      </c>
      <c r="M1079" s="185">
        <v>132</v>
      </c>
      <c r="N1079" s="189">
        <v>23.274000000000001</v>
      </c>
      <c r="O1079" s="333">
        <v>16.147720496894408</v>
      </c>
      <c r="P1079" s="333">
        <v>5.087807999999999</v>
      </c>
      <c r="Q1079" s="333">
        <v>4.5109247349599988</v>
      </c>
      <c r="R1079" s="475">
        <f t="shared" si="17"/>
        <v>1.127885810323793</v>
      </c>
      <c r="S1079" s="340">
        <v>61.851351351351354</v>
      </c>
    </row>
    <row r="1080" spans="2:19" ht="15" customHeight="1" x14ac:dyDescent="0.35">
      <c r="B1080" s="181">
        <v>42055</v>
      </c>
      <c r="C1080" s="182" t="s">
        <v>386</v>
      </c>
      <c r="D1080" s="183">
        <v>5</v>
      </c>
      <c r="E1080" s="185">
        <v>404</v>
      </c>
      <c r="F1080" s="185">
        <v>215</v>
      </c>
      <c r="G1080" s="184" t="s">
        <v>1308</v>
      </c>
      <c r="H1080" s="186">
        <v>1</v>
      </c>
      <c r="I1080" s="185">
        <v>1224</v>
      </c>
      <c r="J1080" s="187">
        <v>2.3793627450980392</v>
      </c>
      <c r="K1080" s="188">
        <v>2912.34</v>
      </c>
      <c r="L1080" s="189">
        <v>26.463000000000001</v>
      </c>
      <c r="M1080" s="185">
        <v>918</v>
      </c>
      <c r="N1080" s="189">
        <v>429.81799999999998</v>
      </c>
      <c r="O1080" s="333">
        <v>228.30487938113967</v>
      </c>
      <c r="P1080" s="333">
        <v>106.79286799999996</v>
      </c>
      <c r="Q1080" s="333">
        <v>24.487158427200008</v>
      </c>
      <c r="R1080" s="475">
        <f t="shared" si="17"/>
        <v>4.3611784649286163</v>
      </c>
      <c r="S1080" s="340">
        <v>59</v>
      </c>
    </row>
    <row r="1081" spans="2:19" ht="15" customHeight="1" x14ac:dyDescent="0.35">
      <c r="B1081" s="181">
        <v>78010</v>
      </c>
      <c r="C1081" s="182" t="s">
        <v>767</v>
      </c>
      <c r="D1081" s="183">
        <v>15</v>
      </c>
      <c r="E1081" s="185">
        <v>476</v>
      </c>
      <c r="F1081" s="185">
        <v>221</v>
      </c>
      <c r="G1081" s="184" t="s">
        <v>1326</v>
      </c>
      <c r="H1081" s="186">
        <v>2</v>
      </c>
      <c r="I1081" s="185">
        <v>2900</v>
      </c>
      <c r="J1081" s="187">
        <v>1.749748068525361</v>
      </c>
      <c r="K1081" s="188">
        <v>5074.2693987235471</v>
      </c>
      <c r="L1081" s="189">
        <v>63.122</v>
      </c>
      <c r="M1081" s="185">
        <v>2538</v>
      </c>
      <c r="N1081" s="189">
        <v>881.44900000000007</v>
      </c>
      <c r="O1081" s="333">
        <v>408.88775517540842</v>
      </c>
      <c r="P1081" s="333">
        <v>375.80003387755107</v>
      </c>
      <c r="Q1081" s="333">
        <v>81.567579445999996</v>
      </c>
      <c r="R1081" s="475">
        <f t="shared" si="17"/>
        <v>4.6072230711019335</v>
      </c>
      <c r="S1081" s="340">
        <v>56.438775510204074</v>
      </c>
    </row>
    <row r="1082" spans="2:19" ht="15" customHeight="1" x14ac:dyDescent="0.35">
      <c r="B1082" s="181">
        <v>80140</v>
      </c>
      <c r="C1082" s="182" t="s">
        <v>825</v>
      </c>
      <c r="D1082" s="183">
        <v>7</v>
      </c>
      <c r="E1082" s="185" t="s">
        <v>1124</v>
      </c>
      <c r="F1082" s="185" t="s">
        <v>1124</v>
      </c>
      <c r="G1082" s="184" t="s">
        <v>1124</v>
      </c>
      <c r="H1082" s="186"/>
      <c r="I1082" s="185"/>
      <c r="J1082" s="187"/>
      <c r="K1082" s="188"/>
      <c r="L1082" s="189"/>
      <c r="M1082" s="185" t="s">
        <v>1124</v>
      </c>
      <c r="N1082" s="189"/>
      <c r="O1082" s="333"/>
      <c r="P1082" s="333" t="s">
        <v>1124</v>
      </c>
      <c r="Q1082" s="333" t="s">
        <v>1124</v>
      </c>
      <c r="R1082" s="475" t="str">
        <f t="shared" si="17"/>
        <v/>
      </c>
      <c r="S1082" s="340" t="s">
        <v>1124</v>
      </c>
    </row>
    <row r="1083" spans="2:19" ht="15" customHeight="1" x14ac:dyDescent="0.35">
      <c r="B1083" s="181">
        <v>78100</v>
      </c>
      <c r="C1083" s="182" t="s">
        <v>780</v>
      </c>
      <c r="D1083" s="183">
        <v>15</v>
      </c>
      <c r="E1083" s="185" t="s">
        <v>1124</v>
      </c>
      <c r="F1083" s="185" t="s">
        <v>1124</v>
      </c>
      <c r="G1083" s="184" t="s">
        <v>1124</v>
      </c>
      <c r="H1083" s="186"/>
      <c r="I1083" s="185"/>
      <c r="J1083" s="187"/>
      <c r="K1083" s="188"/>
      <c r="L1083" s="189"/>
      <c r="M1083" s="185" t="s">
        <v>1124</v>
      </c>
      <c r="N1083" s="189"/>
      <c r="O1083" s="333"/>
      <c r="P1083" s="333" t="s">
        <v>1124</v>
      </c>
      <c r="Q1083" s="333" t="s">
        <v>1124</v>
      </c>
      <c r="R1083" s="475" t="str">
        <f t="shared" si="17"/>
        <v/>
      </c>
      <c r="S1083" s="340" t="s">
        <v>1124</v>
      </c>
    </row>
    <row r="1084" spans="2:19" ht="15" customHeight="1" x14ac:dyDescent="0.35">
      <c r="B1084" s="181">
        <v>82015</v>
      </c>
      <c r="C1084" s="182" t="s">
        <v>830</v>
      </c>
      <c r="D1084" s="183">
        <v>7</v>
      </c>
      <c r="E1084" s="185" t="s">
        <v>1124</v>
      </c>
      <c r="F1084" s="185" t="s">
        <v>1124</v>
      </c>
      <c r="G1084" s="184" t="s">
        <v>1124</v>
      </c>
      <c r="H1084" s="186"/>
      <c r="I1084" s="185"/>
      <c r="J1084" s="187"/>
      <c r="K1084" s="188"/>
      <c r="L1084" s="189"/>
      <c r="M1084" s="185" t="s">
        <v>1124</v>
      </c>
      <c r="N1084" s="189"/>
      <c r="O1084" s="333"/>
      <c r="P1084" s="333" t="s">
        <v>1124</v>
      </c>
      <c r="Q1084" s="333" t="s">
        <v>1124</v>
      </c>
      <c r="R1084" s="475" t="str">
        <f t="shared" si="17"/>
        <v/>
      </c>
      <c r="S1084" s="340" t="s">
        <v>1124</v>
      </c>
    </row>
    <row r="1085" spans="2:19" ht="15" customHeight="1" x14ac:dyDescent="0.35">
      <c r="B1085" s="181">
        <v>89008</v>
      </c>
      <c r="C1085" s="182" t="s">
        <v>928</v>
      </c>
      <c r="D1085" s="183">
        <v>8</v>
      </c>
      <c r="E1085" s="185">
        <v>386</v>
      </c>
      <c r="F1085" s="185">
        <v>229</v>
      </c>
      <c r="G1085" s="184" t="s">
        <v>1308</v>
      </c>
      <c r="H1085" s="186">
        <v>3</v>
      </c>
      <c r="I1085" s="185">
        <v>12497</v>
      </c>
      <c r="J1085" s="187">
        <v>2.2309465690263086</v>
      </c>
      <c r="K1085" s="188">
        <v>27880.139273121778</v>
      </c>
      <c r="L1085" s="189">
        <v>200.14000000000001</v>
      </c>
      <c r="M1085" s="185">
        <v>8470</v>
      </c>
      <c r="N1085" s="189">
        <v>3930.3599999999997</v>
      </c>
      <c r="O1085" s="333">
        <v>2326.94</v>
      </c>
      <c r="P1085" s="333">
        <v>709.88828823298411</v>
      </c>
      <c r="Q1085" s="333">
        <v>262.39254648499997</v>
      </c>
      <c r="R1085" s="475">
        <f t="shared" si="17"/>
        <v>2.7054438006819139</v>
      </c>
      <c r="S1085" s="340">
        <v>60.054054054054056</v>
      </c>
    </row>
    <row r="1086" spans="2:19" ht="15" customHeight="1" x14ac:dyDescent="0.35">
      <c r="B1086" s="181">
        <v>42095</v>
      </c>
      <c r="C1086" s="182" t="s">
        <v>393</v>
      </c>
      <c r="D1086" s="183">
        <v>5</v>
      </c>
      <c r="E1086" s="185" t="s">
        <v>1124</v>
      </c>
      <c r="F1086" s="185" t="s">
        <v>1124</v>
      </c>
      <c r="G1086" s="184" t="s">
        <v>1124</v>
      </c>
      <c r="H1086" s="186"/>
      <c r="I1086" s="185"/>
      <c r="J1086" s="187"/>
      <c r="K1086" s="188"/>
      <c r="L1086" s="189"/>
      <c r="M1086" s="185" t="s">
        <v>1124</v>
      </c>
      <c r="N1086" s="189"/>
      <c r="O1086" s="333"/>
      <c r="P1086" s="333" t="s">
        <v>1124</v>
      </c>
      <c r="Q1086" s="333" t="s">
        <v>1124</v>
      </c>
      <c r="R1086" s="475" t="str">
        <f t="shared" si="17"/>
        <v/>
      </c>
      <c r="S1086" s="340" t="s">
        <v>1124</v>
      </c>
    </row>
    <row r="1087" spans="2:19" ht="15" customHeight="1" x14ac:dyDescent="0.35">
      <c r="B1087" s="181">
        <v>26015</v>
      </c>
      <c r="C1087" s="182" t="s">
        <v>169</v>
      </c>
      <c r="D1087" s="183">
        <v>12</v>
      </c>
      <c r="E1087" s="185">
        <v>440</v>
      </c>
      <c r="F1087" s="185">
        <v>300</v>
      </c>
      <c r="G1087" s="184" t="s">
        <v>1308</v>
      </c>
      <c r="H1087" s="186">
        <v>1</v>
      </c>
      <c r="I1087" s="185">
        <v>944</v>
      </c>
      <c r="J1087" s="187">
        <v>1.68</v>
      </c>
      <c r="K1087" s="188">
        <v>1585.9199999999998</v>
      </c>
      <c r="L1087" s="189">
        <v>17.425000000000001</v>
      </c>
      <c r="M1087" s="185">
        <v>981</v>
      </c>
      <c r="N1087" s="189">
        <v>254.46899999999999</v>
      </c>
      <c r="O1087" s="333">
        <v>173.51400000000001</v>
      </c>
      <c r="P1087" s="333">
        <v>60.327995025773191</v>
      </c>
      <c r="Q1087" s="333">
        <v>28.352834999999999</v>
      </c>
      <c r="R1087" s="475">
        <f t="shared" si="17"/>
        <v>2.1277588299643826</v>
      </c>
      <c r="S1087" s="340">
        <v>41.843137254901954</v>
      </c>
    </row>
    <row r="1088" spans="2:19" ht="15" customHeight="1" x14ac:dyDescent="0.35">
      <c r="B1088" s="181">
        <v>78005</v>
      </c>
      <c r="C1088" s="182" t="s">
        <v>766</v>
      </c>
      <c r="D1088" s="183">
        <v>15</v>
      </c>
      <c r="E1088" s="185">
        <v>544</v>
      </c>
      <c r="F1088" s="185">
        <v>425</v>
      </c>
      <c r="G1088" s="184" t="s">
        <v>1308</v>
      </c>
      <c r="H1088" s="186">
        <v>2</v>
      </c>
      <c r="I1088" s="185">
        <v>1327</v>
      </c>
      <c r="J1088" s="187">
        <v>1.6755986316989737</v>
      </c>
      <c r="K1088" s="188">
        <v>2223.5193842645381</v>
      </c>
      <c r="L1088" s="189">
        <v>42.076999999999998</v>
      </c>
      <c r="M1088" s="185">
        <v>1348</v>
      </c>
      <c r="N1088" s="189">
        <v>441.30500000000001</v>
      </c>
      <c r="O1088" s="333">
        <v>345.28894654788422</v>
      </c>
      <c r="P1088" s="333">
        <v>84.192424999999986</v>
      </c>
      <c r="Q1088" s="333">
        <v>57.142498788000005</v>
      </c>
      <c r="R1088" s="475">
        <f t="shared" si="17"/>
        <v>1.4733766773545525</v>
      </c>
      <c r="S1088" s="340">
        <v>59.54054054054054</v>
      </c>
    </row>
    <row r="1089" spans="2:19" ht="15" customHeight="1" x14ac:dyDescent="0.35">
      <c r="B1089" s="181">
        <v>30015</v>
      </c>
      <c r="C1089" s="182" t="s">
        <v>219</v>
      </c>
      <c r="D1089" s="183">
        <v>5</v>
      </c>
      <c r="E1089" s="185" t="s">
        <v>1124</v>
      </c>
      <c r="F1089" s="185" t="s">
        <v>1124</v>
      </c>
      <c r="G1089" s="184" t="s">
        <v>1124</v>
      </c>
      <c r="H1089" s="186"/>
      <c r="I1089" s="185"/>
      <c r="J1089" s="187"/>
      <c r="K1089" s="188"/>
      <c r="L1089" s="189"/>
      <c r="M1089" s="185" t="s">
        <v>1124</v>
      </c>
      <c r="N1089" s="189"/>
      <c r="O1089" s="333"/>
      <c r="P1089" s="333" t="s">
        <v>1124</v>
      </c>
      <c r="Q1089" s="333" t="s">
        <v>1124</v>
      </c>
      <c r="R1089" s="475" t="str">
        <f t="shared" si="17"/>
        <v/>
      </c>
      <c r="S1089" s="340" t="s">
        <v>1124</v>
      </c>
    </row>
    <row r="1090" spans="2:19" ht="15" customHeight="1" x14ac:dyDescent="0.35">
      <c r="B1090" s="181">
        <v>87105</v>
      </c>
      <c r="C1090" s="182" t="s">
        <v>907</v>
      </c>
      <c r="D1090" s="183">
        <v>8</v>
      </c>
      <c r="E1090" s="185" t="s">
        <v>1124</v>
      </c>
      <c r="F1090" s="185" t="s">
        <v>1124</v>
      </c>
      <c r="G1090" s="184" t="s">
        <v>1124</v>
      </c>
      <c r="H1090" s="186"/>
      <c r="I1090" s="185"/>
      <c r="J1090" s="187"/>
      <c r="K1090" s="188"/>
      <c r="L1090" s="189"/>
      <c r="M1090" s="185" t="s">
        <v>1124</v>
      </c>
      <c r="N1090" s="189"/>
      <c r="O1090" s="333"/>
      <c r="P1090" s="333" t="s">
        <v>1124</v>
      </c>
      <c r="Q1090" s="333" t="s">
        <v>1124</v>
      </c>
      <c r="R1090" s="475" t="str">
        <f t="shared" si="17"/>
        <v/>
      </c>
      <c r="S1090" s="340" t="s">
        <v>1124</v>
      </c>
    </row>
    <row r="1091" spans="2:19" ht="15" customHeight="1" x14ac:dyDescent="0.35">
      <c r="B1091" s="181">
        <v>59020</v>
      </c>
      <c r="C1091" s="182" t="s">
        <v>601</v>
      </c>
      <c r="D1091" s="183">
        <v>16</v>
      </c>
      <c r="E1091" s="185" t="s">
        <v>1124</v>
      </c>
      <c r="F1091" s="185" t="s">
        <v>1124</v>
      </c>
      <c r="G1091" s="184" t="s">
        <v>1124</v>
      </c>
      <c r="H1091" s="186"/>
      <c r="I1091" s="185"/>
      <c r="J1091" s="187"/>
      <c r="K1091" s="188"/>
      <c r="L1091" s="189"/>
      <c r="M1091" s="185" t="s">
        <v>1124</v>
      </c>
      <c r="N1091" s="189"/>
      <c r="O1091" s="333"/>
      <c r="P1091" s="333" t="s">
        <v>1124</v>
      </c>
      <c r="Q1091" s="333" t="s">
        <v>1124</v>
      </c>
      <c r="R1091" s="475" t="str">
        <f t="shared" si="17"/>
        <v/>
      </c>
      <c r="S1091" s="340" t="s">
        <v>1124</v>
      </c>
    </row>
    <row r="1092" spans="2:19" ht="15" customHeight="1" x14ac:dyDescent="0.35">
      <c r="B1092" s="181">
        <v>71083</v>
      </c>
      <c r="C1092" s="182" t="s">
        <v>717</v>
      </c>
      <c r="D1092" s="183">
        <v>16</v>
      </c>
      <c r="E1092" s="185" t="s">
        <v>1124</v>
      </c>
      <c r="F1092" s="185" t="s">
        <v>1124</v>
      </c>
      <c r="G1092" s="184" t="s">
        <v>1124</v>
      </c>
      <c r="H1092" s="186"/>
      <c r="I1092" s="185"/>
      <c r="J1092" s="187"/>
      <c r="K1092" s="188"/>
      <c r="L1092" s="189"/>
      <c r="M1092" s="185" t="s">
        <v>1124</v>
      </c>
      <c r="N1092" s="189"/>
      <c r="O1092" s="333"/>
      <c r="P1092" s="333" t="s">
        <v>1124</v>
      </c>
      <c r="Q1092" s="333" t="s">
        <v>1124</v>
      </c>
      <c r="R1092" s="475" t="str">
        <f t="shared" si="17"/>
        <v/>
      </c>
      <c r="S1092" s="340" t="s">
        <v>1124</v>
      </c>
    </row>
    <row r="1093" spans="2:19" ht="15" customHeight="1" x14ac:dyDescent="0.35">
      <c r="B1093" s="181">
        <v>71090</v>
      </c>
      <c r="C1093" s="182" t="s">
        <v>718</v>
      </c>
      <c r="D1093" s="183">
        <v>16</v>
      </c>
      <c r="E1093" s="185" t="s">
        <v>1124</v>
      </c>
      <c r="F1093" s="185" t="s">
        <v>1124</v>
      </c>
      <c r="G1093" s="184" t="s">
        <v>1124</v>
      </c>
      <c r="H1093" s="186"/>
      <c r="I1093" s="185"/>
      <c r="J1093" s="187"/>
      <c r="K1093" s="188"/>
      <c r="L1093" s="189"/>
      <c r="M1093" s="185" t="s">
        <v>1124</v>
      </c>
      <c r="N1093" s="189"/>
      <c r="O1093" s="333"/>
      <c r="P1093" s="333" t="s">
        <v>1124</v>
      </c>
      <c r="Q1093" s="333" t="s">
        <v>1124</v>
      </c>
      <c r="R1093" s="475" t="str">
        <f t="shared" si="17"/>
        <v/>
      </c>
      <c r="S1093" s="340" t="s">
        <v>1124</v>
      </c>
    </row>
    <row r="1094" spans="2:19" ht="15" customHeight="1" x14ac:dyDescent="0.35">
      <c r="B1094" s="181">
        <v>56005</v>
      </c>
      <c r="C1094" s="182" t="s">
        <v>567</v>
      </c>
      <c r="D1094" s="183">
        <v>16</v>
      </c>
      <c r="E1094" s="185" t="s">
        <v>1124</v>
      </c>
      <c r="F1094" s="185" t="s">
        <v>1124</v>
      </c>
      <c r="G1094" s="184" t="s">
        <v>1124</v>
      </c>
      <c r="H1094" s="186"/>
      <c r="I1094" s="185"/>
      <c r="J1094" s="187"/>
      <c r="K1094" s="188"/>
      <c r="L1094" s="189"/>
      <c r="M1094" s="185" t="s">
        <v>1124</v>
      </c>
      <c r="N1094" s="189"/>
      <c r="O1094" s="333"/>
      <c r="P1094" s="333" t="s">
        <v>1124</v>
      </c>
      <c r="Q1094" s="333" t="s">
        <v>1124</v>
      </c>
      <c r="R1094" s="475" t="str">
        <f t="shared" si="17"/>
        <v/>
      </c>
      <c r="S1094" s="340" t="s">
        <v>1124</v>
      </c>
    </row>
    <row r="1095" spans="2:19" ht="15" customHeight="1" x14ac:dyDescent="0.35">
      <c r="B1095" s="181">
        <v>59025</v>
      </c>
      <c r="C1095" s="182" t="s">
        <v>602</v>
      </c>
      <c r="D1095" s="183">
        <v>16</v>
      </c>
      <c r="E1095" s="185">
        <v>347</v>
      </c>
      <c r="F1095" s="185">
        <v>178</v>
      </c>
      <c r="G1095" s="184" t="s">
        <v>1326</v>
      </c>
      <c r="H1095" s="186">
        <v>1</v>
      </c>
      <c r="I1095" s="185">
        <v>2446</v>
      </c>
      <c r="J1095" s="187">
        <v>2.3704006541291904</v>
      </c>
      <c r="K1095" s="188">
        <v>5798</v>
      </c>
      <c r="L1095" s="189">
        <v>55.42</v>
      </c>
      <c r="M1095" s="185">
        <v>2086</v>
      </c>
      <c r="N1095" s="189">
        <v>733.75099999999998</v>
      </c>
      <c r="O1095" s="333">
        <v>375.767</v>
      </c>
      <c r="P1095" s="333">
        <v>185.41800000000001</v>
      </c>
      <c r="Q1095" s="333">
        <v>47.920983991500016</v>
      </c>
      <c r="R1095" s="475">
        <f t="shared" ref="R1095:R1113" si="18">IF(H1095="","",P1095/Q1095)</f>
        <v>3.8692444218776583</v>
      </c>
      <c r="S1095" s="340">
        <v>48</v>
      </c>
    </row>
    <row r="1096" spans="2:19" ht="15" customHeight="1" x14ac:dyDescent="0.35">
      <c r="B1096" s="181">
        <v>39062</v>
      </c>
      <c r="C1096" s="182" t="s">
        <v>346</v>
      </c>
      <c r="D1096" s="183">
        <v>17</v>
      </c>
      <c r="E1096" s="185">
        <v>548</v>
      </c>
      <c r="F1096" s="185">
        <v>202</v>
      </c>
      <c r="G1096" s="184" t="s">
        <v>1308</v>
      </c>
      <c r="H1096" s="186">
        <v>2</v>
      </c>
      <c r="I1096" s="185">
        <v>21493</v>
      </c>
      <c r="J1096" s="187">
        <v>2.1621612679831537</v>
      </c>
      <c r="K1096" s="188">
        <v>46471.33213276192</v>
      </c>
      <c r="L1096" s="189">
        <v>354.995</v>
      </c>
      <c r="M1096" s="185">
        <v>14202</v>
      </c>
      <c r="N1096" s="189">
        <v>9288.0400000000009</v>
      </c>
      <c r="O1096" s="333">
        <v>3429.6610696418225</v>
      </c>
      <c r="P1096" s="333">
        <v>3210.3636320000005</v>
      </c>
      <c r="Q1096" s="333">
        <v>305.25656247625</v>
      </c>
      <c r="R1096" s="475">
        <f t="shared" si="18"/>
        <v>10.5169356752151</v>
      </c>
      <c r="S1096" s="340">
        <v>58.319813068219048</v>
      </c>
    </row>
    <row r="1097" spans="2:19" ht="15" customHeight="1" x14ac:dyDescent="0.35">
      <c r="B1097" s="181">
        <v>85025</v>
      </c>
      <c r="C1097" s="182" t="s">
        <v>874</v>
      </c>
      <c r="D1097" s="183">
        <v>8</v>
      </c>
      <c r="E1097" s="185">
        <v>403</v>
      </c>
      <c r="F1097" s="185">
        <v>315</v>
      </c>
      <c r="G1097" s="184" t="s">
        <v>1308</v>
      </c>
      <c r="H1097" s="186">
        <v>1</v>
      </c>
      <c r="I1097" s="185">
        <v>1194</v>
      </c>
      <c r="J1097" s="187">
        <v>2.0876623376623376</v>
      </c>
      <c r="K1097" s="188">
        <v>2492.6688311688308</v>
      </c>
      <c r="L1097" s="189">
        <v>24.238330000000001</v>
      </c>
      <c r="M1097" s="185">
        <v>1407</v>
      </c>
      <c r="N1097" s="189">
        <v>366.923</v>
      </c>
      <c r="O1097" s="333">
        <v>286.71499999999997</v>
      </c>
      <c r="P1097" s="333">
        <v>57.748476428571458</v>
      </c>
      <c r="Q1097" s="333">
        <v>38.209914950310008</v>
      </c>
      <c r="R1097" s="475">
        <f t="shared" si="18"/>
        <v>1.5113479447329397</v>
      </c>
      <c r="S1097" s="340">
        <v>64.000000000000014</v>
      </c>
    </row>
    <row r="1098" spans="2:19" ht="15" customHeight="1" x14ac:dyDescent="0.35">
      <c r="B1098" s="181">
        <v>32085</v>
      </c>
      <c r="C1098" s="182" t="s">
        <v>266</v>
      </c>
      <c r="D1098" s="183">
        <v>17</v>
      </c>
      <c r="E1098" s="185" t="s">
        <v>1124</v>
      </c>
      <c r="F1098" s="185" t="s">
        <v>1124</v>
      </c>
      <c r="G1098" s="184" t="s">
        <v>1124</v>
      </c>
      <c r="H1098" s="186"/>
      <c r="I1098" s="185"/>
      <c r="J1098" s="187"/>
      <c r="K1098" s="188"/>
      <c r="L1098" s="189"/>
      <c r="M1098" s="185" t="s">
        <v>1124</v>
      </c>
      <c r="N1098" s="189"/>
      <c r="O1098" s="333"/>
      <c r="P1098" s="333" t="s">
        <v>1124</v>
      </c>
      <c r="Q1098" s="333" t="s">
        <v>1124</v>
      </c>
      <c r="R1098" s="475" t="str">
        <f t="shared" si="18"/>
        <v/>
      </c>
      <c r="S1098" s="340" t="s">
        <v>1124</v>
      </c>
    </row>
    <row r="1099" spans="2:19" ht="15" customHeight="1" x14ac:dyDescent="0.35">
      <c r="B1099" s="181">
        <v>84070</v>
      </c>
      <c r="C1099" s="182" t="s">
        <v>865</v>
      </c>
      <c r="D1099" s="183">
        <v>7</v>
      </c>
      <c r="E1099" s="185" t="s">
        <v>1124</v>
      </c>
      <c r="F1099" s="185" t="s">
        <v>1124</v>
      </c>
      <c r="G1099" s="184" t="s">
        <v>1124</v>
      </c>
      <c r="H1099" s="186"/>
      <c r="I1099" s="185"/>
      <c r="J1099" s="187"/>
      <c r="K1099" s="188"/>
      <c r="L1099" s="189"/>
      <c r="M1099" s="185" t="s">
        <v>1124</v>
      </c>
      <c r="N1099" s="189"/>
      <c r="O1099" s="333"/>
      <c r="P1099" s="333" t="s">
        <v>1124</v>
      </c>
      <c r="Q1099" s="333" t="s">
        <v>1124</v>
      </c>
      <c r="R1099" s="475" t="str">
        <f t="shared" si="18"/>
        <v/>
      </c>
      <c r="S1099" s="340" t="s">
        <v>1124</v>
      </c>
    </row>
    <row r="1100" spans="2:19" ht="15" customHeight="1" x14ac:dyDescent="0.35">
      <c r="B1100" s="181">
        <v>47030</v>
      </c>
      <c r="C1100" s="182" t="s">
        <v>451</v>
      </c>
      <c r="D1100" s="183">
        <v>5</v>
      </c>
      <c r="E1100" s="185" t="s">
        <v>1124</v>
      </c>
      <c r="F1100" s="185" t="s">
        <v>1124</v>
      </c>
      <c r="G1100" s="184" t="s">
        <v>1124</v>
      </c>
      <c r="H1100" s="186"/>
      <c r="I1100" s="185"/>
      <c r="J1100" s="187"/>
      <c r="K1100" s="188"/>
      <c r="L1100" s="189"/>
      <c r="M1100" s="185" t="s">
        <v>1124</v>
      </c>
      <c r="N1100" s="189"/>
      <c r="O1100" s="333"/>
      <c r="P1100" s="333" t="s">
        <v>1124</v>
      </c>
      <c r="Q1100" s="333" t="s">
        <v>1124</v>
      </c>
      <c r="R1100" s="475" t="str">
        <f t="shared" si="18"/>
        <v/>
      </c>
      <c r="S1100" s="340" t="s">
        <v>1124</v>
      </c>
    </row>
    <row r="1101" spans="2:19" ht="15" customHeight="1" x14ac:dyDescent="0.35">
      <c r="B1101" s="181">
        <v>39077</v>
      </c>
      <c r="C1101" s="182" t="s">
        <v>347</v>
      </c>
      <c r="D1101" s="183">
        <v>17</v>
      </c>
      <c r="E1101" s="185">
        <v>637</v>
      </c>
      <c r="F1101" s="185">
        <v>187</v>
      </c>
      <c r="G1101" s="184" t="s">
        <v>1326</v>
      </c>
      <c r="H1101" s="186">
        <v>1</v>
      </c>
      <c r="I1101" s="185">
        <v>1649</v>
      </c>
      <c r="J1101" s="187">
        <v>2.82</v>
      </c>
      <c r="K1101" s="188">
        <v>4650.1799999999994</v>
      </c>
      <c r="L1101" s="189">
        <v>32.726999999999997</v>
      </c>
      <c r="M1101" s="185">
        <v>1830</v>
      </c>
      <c r="N1101" s="189">
        <v>1081.81</v>
      </c>
      <c r="O1101" s="333">
        <v>316.93700000000001</v>
      </c>
      <c r="P1101" s="333">
        <v>108.31842306122451</v>
      </c>
      <c r="Q1101" s="333">
        <v>49.377255480000002</v>
      </c>
      <c r="R1101" s="475">
        <f t="shared" si="18"/>
        <v>2.1936906376884053</v>
      </c>
      <c r="S1101" s="340">
        <v>66.052631578947398</v>
      </c>
    </row>
    <row r="1102" spans="2:19" ht="15" customHeight="1" x14ac:dyDescent="0.35">
      <c r="B1102" s="181">
        <v>47025</v>
      </c>
      <c r="C1102" s="182" t="s">
        <v>450</v>
      </c>
      <c r="D1102" s="183">
        <v>5</v>
      </c>
      <c r="E1102" s="185" t="s">
        <v>1124</v>
      </c>
      <c r="F1102" s="185" t="s">
        <v>1124</v>
      </c>
      <c r="G1102" s="184" t="s">
        <v>1124</v>
      </c>
      <c r="H1102" s="186"/>
      <c r="I1102" s="185"/>
      <c r="J1102" s="187"/>
      <c r="K1102" s="188"/>
      <c r="L1102" s="189"/>
      <c r="M1102" s="185" t="s">
        <v>1124</v>
      </c>
      <c r="N1102" s="189"/>
      <c r="O1102" s="333"/>
      <c r="P1102" s="333" t="s">
        <v>1124</v>
      </c>
      <c r="Q1102" s="333" t="s">
        <v>1124</v>
      </c>
      <c r="R1102" s="475" t="str">
        <f t="shared" si="18"/>
        <v/>
      </c>
      <c r="S1102" s="340" t="s">
        <v>1124</v>
      </c>
    </row>
    <row r="1103" spans="2:19" ht="15" customHeight="1" x14ac:dyDescent="0.35">
      <c r="B1103" s="181">
        <v>44080</v>
      </c>
      <c r="C1103" s="182" t="s">
        <v>409</v>
      </c>
      <c r="D1103" s="190">
        <v>5</v>
      </c>
      <c r="E1103" s="185">
        <v>537</v>
      </c>
      <c r="F1103" s="185">
        <v>184</v>
      </c>
      <c r="G1103" s="191" t="s">
        <v>1308</v>
      </c>
      <c r="H1103" s="186">
        <v>1</v>
      </c>
      <c r="I1103" s="185">
        <v>578</v>
      </c>
      <c r="J1103" s="187">
        <v>2.4643261608154021</v>
      </c>
      <c r="K1103" s="188">
        <v>1424.3805209513025</v>
      </c>
      <c r="L1103" s="189">
        <v>14.574999999999999</v>
      </c>
      <c r="M1103" s="185">
        <v>504</v>
      </c>
      <c r="N1103" s="189">
        <v>279.02199999999999</v>
      </c>
      <c r="O1103" s="333">
        <v>95.630110000000002</v>
      </c>
      <c r="P1103" s="333">
        <v>53.648768900510184</v>
      </c>
      <c r="Q1103" s="333">
        <v>13.706169749999997</v>
      </c>
      <c r="R1103" s="475">
        <f t="shared" si="18"/>
        <v>3.9142057831663872</v>
      </c>
      <c r="S1103" s="340">
        <v>61.450980392156865</v>
      </c>
    </row>
    <row r="1104" spans="2:19" ht="15" customHeight="1" x14ac:dyDescent="0.35">
      <c r="B1104" s="181">
        <v>41098</v>
      </c>
      <c r="C1104" s="182" t="s">
        <v>377</v>
      </c>
      <c r="D1104" s="183">
        <v>5</v>
      </c>
      <c r="E1104" s="185">
        <v>718</v>
      </c>
      <c r="F1104" s="185">
        <v>357</v>
      </c>
      <c r="G1104" s="184" t="s">
        <v>1308</v>
      </c>
      <c r="H1104" s="186">
        <v>3</v>
      </c>
      <c r="I1104" s="185">
        <v>706</v>
      </c>
      <c r="J1104" s="187">
        <v>2.0914777169663799</v>
      </c>
      <c r="K1104" s="188">
        <v>1476.5832681782642</v>
      </c>
      <c r="L1104" s="189">
        <v>16.978000000000002</v>
      </c>
      <c r="M1104" s="185">
        <v>535</v>
      </c>
      <c r="N1104" s="189">
        <v>386.774</v>
      </c>
      <c r="O1104" s="333">
        <v>192.30222693864837</v>
      </c>
      <c r="P1104" s="333">
        <v>172.08038999999999</v>
      </c>
      <c r="Q1104" s="333">
        <v>16.47863790705</v>
      </c>
      <c r="R1104" s="475">
        <f t="shared" si="18"/>
        <v>10.442634334866925</v>
      </c>
      <c r="S1104" s="340">
        <v>62.594594594594604</v>
      </c>
    </row>
    <row r="1105" spans="2:19" ht="15" customHeight="1" x14ac:dyDescent="0.35">
      <c r="B1105" s="181">
        <v>76035</v>
      </c>
      <c r="C1105" s="201" t="s">
        <v>751</v>
      </c>
      <c r="D1105" s="183">
        <v>15</v>
      </c>
      <c r="E1105" s="185" t="s">
        <v>1124</v>
      </c>
      <c r="F1105" s="185" t="s">
        <v>1124</v>
      </c>
      <c r="G1105" s="184" t="s">
        <v>1124</v>
      </c>
      <c r="H1105" s="186"/>
      <c r="I1105" s="185"/>
      <c r="J1105" s="187"/>
      <c r="K1105" s="188"/>
      <c r="L1105" s="189"/>
      <c r="M1105" s="185" t="s">
        <v>1124</v>
      </c>
      <c r="N1105" s="189"/>
      <c r="O1105" s="333"/>
      <c r="P1105" s="333" t="s">
        <v>1124</v>
      </c>
      <c r="Q1105" s="333" t="s">
        <v>1124</v>
      </c>
      <c r="R1105" s="475" t="str">
        <f t="shared" si="18"/>
        <v/>
      </c>
      <c r="S1105" s="340" t="s">
        <v>1124</v>
      </c>
    </row>
    <row r="1106" spans="2:19" ht="15" customHeight="1" x14ac:dyDescent="0.35">
      <c r="B1106" s="181">
        <v>77060</v>
      </c>
      <c r="C1106" s="182" t="s">
        <v>764</v>
      </c>
      <c r="D1106" s="183">
        <v>15</v>
      </c>
      <c r="E1106" s="185" t="s">
        <v>1124</v>
      </c>
      <c r="F1106" s="185" t="s">
        <v>1124</v>
      </c>
      <c r="G1106" s="184" t="s">
        <v>1124</v>
      </c>
      <c r="H1106" s="186"/>
      <c r="I1106" s="185"/>
      <c r="J1106" s="187"/>
      <c r="K1106" s="188"/>
      <c r="L1106" s="189"/>
      <c r="M1106" s="185" t="s">
        <v>1124</v>
      </c>
      <c r="N1106" s="189"/>
      <c r="O1106" s="333"/>
      <c r="P1106" s="333" t="s">
        <v>1124</v>
      </c>
      <c r="Q1106" s="333" t="s">
        <v>1124</v>
      </c>
      <c r="R1106" s="475" t="str">
        <f t="shared" si="18"/>
        <v/>
      </c>
      <c r="S1106" s="340" t="s">
        <v>1124</v>
      </c>
    </row>
    <row r="1107" spans="2:19" ht="15" customHeight="1" x14ac:dyDescent="0.35">
      <c r="B1107" s="181">
        <v>41065</v>
      </c>
      <c r="C1107" s="182" t="s">
        <v>372</v>
      </c>
      <c r="D1107" s="183">
        <v>5</v>
      </c>
      <c r="E1107" s="185" t="s">
        <v>1124</v>
      </c>
      <c r="F1107" s="185" t="s">
        <v>1124</v>
      </c>
      <c r="G1107" s="184" t="s">
        <v>1124</v>
      </c>
      <c r="H1107" s="186"/>
      <c r="I1107" s="185"/>
      <c r="J1107" s="187"/>
      <c r="K1107" s="188"/>
      <c r="L1107" s="189"/>
      <c r="M1107" s="185" t="s">
        <v>1124</v>
      </c>
      <c r="N1107" s="189"/>
      <c r="O1107" s="333"/>
      <c r="P1107" s="333" t="s">
        <v>1124</v>
      </c>
      <c r="Q1107" s="333" t="s">
        <v>1124</v>
      </c>
      <c r="R1107" s="475" t="str">
        <f t="shared" si="18"/>
        <v/>
      </c>
      <c r="S1107" s="340" t="s">
        <v>1124</v>
      </c>
    </row>
    <row r="1108" spans="2:19" ht="15" customHeight="1" x14ac:dyDescent="0.35">
      <c r="B1108" s="181">
        <v>66032</v>
      </c>
      <c r="C1108" s="182" t="s">
        <v>649</v>
      </c>
      <c r="D1108" s="183">
        <v>6</v>
      </c>
      <c r="E1108" s="185" t="s">
        <v>1124</v>
      </c>
      <c r="F1108" s="185" t="s">
        <v>1124</v>
      </c>
      <c r="G1108" s="184" t="s">
        <v>1124</v>
      </c>
      <c r="H1108" s="186"/>
      <c r="I1108" s="185"/>
      <c r="J1108" s="187"/>
      <c r="K1108" s="188"/>
      <c r="L1108" s="189"/>
      <c r="M1108" s="185" t="s">
        <v>1124</v>
      </c>
      <c r="N1108" s="189"/>
      <c r="O1108" s="333"/>
      <c r="P1108" s="333" t="s">
        <v>1124</v>
      </c>
      <c r="Q1108" s="333" t="s">
        <v>1124</v>
      </c>
      <c r="R1108" s="475" t="str">
        <f t="shared" si="18"/>
        <v/>
      </c>
      <c r="S1108" s="340" t="s">
        <v>1124</v>
      </c>
    </row>
    <row r="1109" spans="2:19" ht="15" customHeight="1" x14ac:dyDescent="0.35">
      <c r="B1109" s="181">
        <v>49040</v>
      </c>
      <c r="C1109" s="182" t="s">
        <v>469</v>
      </c>
      <c r="D1109" s="183">
        <v>17</v>
      </c>
      <c r="E1109" s="185">
        <v>320</v>
      </c>
      <c r="F1109" s="185">
        <v>157</v>
      </c>
      <c r="G1109" s="184" t="s">
        <v>1326</v>
      </c>
      <c r="H1109" s="186">
        <v>1</v>
      </c>
      <c r="I1109" s="185">
        <v>294</v>
      </c>
      <c r="J1109" s="187">
        <v>2.5208535402521823</v>
      </c>
      <c r="K1109" s="188">
        <v>741.1309408341416</v>
      </c>
      <c r="L1109" s="189">
        <v>8.625</v>
      </c>
      <c r="M1109" s="185">
        <v>324</v>
      </c>
      <c r="N1109" s="189">
        <v>86.658000000000001</v>
      </c>
      <c r="O1109" s="333">
        <v>42.481000000000002</v>
      </c>
      <c r="P1109" s="333">
        <v>12.124901292517009</v>
      </c>
      <c r="Q1109" s="333">
        <v>5.34757923</v>
      </c>
      <c r="R1109" s="475">
        <f t="shared" si="18"/>
        <v>2.2673626272792986</v>
      </c>
      <c r="S1109" s="340">
        <v>72.666666666666671</v>
      </c>
    </row>
    <row r="1110" spans="2:19" ht="15" customHeight="1" x14ac:dyDescent="0.35">
      <c r="B1110" s="181">
        <v>42088</v>
      </c>
      <c r="C1110" s="182" t="s">
        <v>392</v>
      </c>
      <c r="D1110" s="183">
        <v>5</v>
      </c>
      <c r="E1110" s="185">
        <v>468</v>
      </c>
      <c r="F1110" s="185">
        <v>237</v>
      </c>
      <c r="G1110" s="184" t="s">
        <v>1326</v>
      </c>
      <c r="H1110" s="186">
        <v>1</v>
      </c>
      <c r="I1110" s="185">
        <v>2333</v>
      </c>
      <c r="J1110" s="187">
        <v>2.1557768924302789</v>
      </c>
      <c r="K1110" s="188">
        <v>5029.4274900398404</v>
      </c>
      <c r="L1110" s="189">
        <v>40.948999999999998</v>
      </c>
      <c r="M1110" s="185">
        <v>1728</v>
      </c>
      <c r="N1110" s="189">
        <v>858.82764999999995</v>
      </c>
      <c r="O1110" s="333">
        <v>434.36919094247253</v>
      </c>
      <c r="P1110" s="333">
        <v>268.63845730401016</v>
      </c>
      <c r="Q1110" s="333">
        <v>63.076283606078526</v>
      </c>
      <c r="R1110" s="475">
        <f t="shared" si="18"/>
        <v>4.2589455488801509</v>
      </c>
      <c r="S1110" s="340">
        <v>58.322466249278158</v>
      </c>
    </row>
    <row r="1111" spans="2:19" ht="15" customHeight="1" x14ac:dyDescent="0.35">
      <c r="B1111" s="181">
        <v>40017</v>
      </c>
      <c r="C1111" s="182" t="s">
        <v>360</v>
      </c>
      <c r="D1111" s="183">
        <v>5</v>
      </c>
      <c r="E1111" s="185" t="s">
        <v>1124</v>
      </c>
      <c r="F1111" s="185" t="s">
        <v>1124</v>
      </c>
      <c r="G1111" s="184" t="s">
        <v>1124</v>
      </c>
      <c r="H1111" s="186"/>
      <c r="I1111" s="185"/>
      <c r="J1111" s="187"/>
      <c r="K1111" s="188"/>
      <c r="L1111" s="189"/>
      <c r="M1111" s="185" t="s">
        <v>1124</v>
      </c>
      <c r="N1111" s="189"/>
      <c r="O1111" s="333"/>
      <c r="P1111" s="333" t="s">
        <v>1124</v>
      </c>
      <c r="Q1111" s="333" t="s">
        <v>1124</v>
      </c>
      <c r="R1111" s="475" t="str">
        <f t="shared" si="18"/>
        <v/>
      </c>
      <c r="S1111" s="340" t="s">
        <v>1124</v>
      </c>
    </row>
    <row r="1112" spans="2:19" ht="15" customHeight="1" x14ac:dyDescent="0.35">
      <c r="B1112" s="181">
        <v>51020</v>
      </c>
      <c r="C1112" s="182" t="s">
        <v>500</v>
      </c>
      <c r="D1112" s="183">
        <v>4</v>
      </c>
      <c r="E1112" s="185">
        <v>693</v>
      </c>
      <c r="F1112" s="185">
        <v>154</v>
      </c>
      <c r="G1112" s="184" t="s">
        <v>1308</v>
      </c>
      <c r="H1112" s="186">
        <v>2</v>
      </c>
      <c r="I1112" s="185">
        <v>1443</v>
      </c>
      <c r="J1112" s="187">
        <v>2.4079601990049753</v>
      </c>
      <c r="K1112" s="188">
        <v>3474.6865671641795</v>
      </c>
      <c r="L1112" s="189">
        <v>80.545999999999992</v>
      </c>
      <c r="M1112" s="185">
        <v>1204</v>
      </c>
      <c r="N1112" s="189">
        <v>878.91599999999994</v>
      </c>
      <c r="O1112" s="333">
        <v>194.87717036172697</v>
      </c>
      <c r="P1112" s="333">
        <v>72.006189375115014</v>
      </c>
      <c r="Q1112" s="333">
        <v>29.995056037799998</v>
      </c>
      <c r="R1112" s="475">
        <f t="shared" si="18"/>
        <v>2.4006019286769216</v>
      </c>
      <c r="S1112" s="340">
        <v>71</v>
      </c>
    </row>
    <row r="1113" spans="2:19" ht="15" customHeight="1" x14ac:dyDescent="0.35">
      <c r="B1113" s="202">
        <v>53072</v>
      </c>
      <c r="C1113" s="203" t="s">
        <v>540</v>
      </c>
      <c r="D1113" s="204">
        <v>16</v>
      </c>
      <c r="E1113" s="205" t="s">
        <v>1124</v>
      </c>
      <c r="F1113" s="205" t="s">
        <v>1124</v>
      </c>
      <c r="G1113" s="206" t="s">
        <v>1124</v>
      </c>
      <c r="H1113" s="207"/>
      <c r="I1113" s="208"/>
      <c r="J1113" s="208"/>
      <c r="K1113" s="208"/>
      <c r="L1113" s="208"/>
      <c r="M1113" s="205" t="s">
        <v>1124</v>
      </c>
      <c r="N1113" s="208"/>
      <c r="O1113" s="334"/>
      <c r="P1113" s="334" t="s">
        <v>1124</v>
      </c>
      <c r="Q1113" s="334" t="s">
        <v>1124</v>
      </c>
      <c r="R1113" s="334" t="str">
        <f t="shared" si="18"/>
        <v/>
      </c>
      <c r="S1113" s="341" t="s">
        <v>1124</v>
      </c>
    </row>
  </sheetData>
  <sheetProtection sheet="1" objects="1" scenarios="1" sort="0" autoFilter="0"/>
  <autoFilter ref="A5:S1113"/>
  <sortState ref="B3:PJ1110">
    <sortCondition ref="B3"/>
  </sortState>
  <mergeCells count="1">
    <mergeCell ref="B3:G3"/>
  </mergeCells>
  <pageMargins left="0.7" right="0.7" top="0.75" bottom="0.75" header="0.3" footer="0.3"/>
  <pageSetup scale="71" fitToHeight="0" orientation="landscape" r:id="rId1"/>
  <rowBreaks count="30" manualBreakCount="30">
    <brk id="14" min="1" max="19" man="1"/>
    <brk id="49" min="1" max="19" man="1"/>
    <brk id="71" min="1" max="19" man="1"/>
    <brk id="106" min="1" max="19" man="1"/>
    <brk id="128" min="1" max="19" man="1"/>
    <brk id="163" min="1" max="19" man="1"/>
    <brk id="182" min="1" max="19" man="1"/>
    <brk id="220" min="1" max="19" man="1"/>
    <brk id="239" min="1" max="19" man="1"/>
    <brk id="277" min="1" max="19" man="1"/>
    <brk id="299" min="1" max="19" man="1"/>
    <brk id="334" min="1" max="19" man="1"/>
    <brk id="353" min="1" max="19" man="1"/>
    <brk id="391" min="1" max="19" man="1"/>
    <brk id="410" min="1" max="19" man="1"/>
    <brk id="448" min="1" max="19" man="1"/>
    <brk id="470" min="1" max="19" man="1"/>
    <brk id="505" min="1" max="19" man="1"/>
    <brk id="524" min="1" max="19" man="1"/>
    <brk id="562" min="1" max="19" man="1"/>
    <brk id="581" min="1" max="19" man="1"/>
    <brk id="619" min="1" max="19" man="1"/>
    <brk id="638" min="1" max="19" man="1"/>
    <brk id="676" min="1" max="19" man="1"/>
    <brk id="695" min="1" max="19" man="1"/>
    <brk id="731" min="1" max="19" man="1"/>
    <brk id="750" min="1" max="19" man="1"/>
    <brk id="788" min="1" max="19" man="1"/>
    <brk id="807" min="1" max="19" man="1"/>
    <brk id="845"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4" tint="-0.499984740745262"/>
  </sheetPr>
  <dimension ref="B1:Z748"/>
  <sheetViews>
    <sheetView showGridLines="0" zoomScaleNormal="100" workbookViewId="0">
      <pane xSplit="6" ySplit="5" topLeftCell="G6" activePane="bottomRight" state="frozen"/>
      <selection pane="topRight" activeCell="G1" sqref="G1"/>
      <selection pane="bottomLeft" activeCell="A6" sqref="A6"/>
      <selection pane="bottomRight"/>
    </sheetView>
  </sheetViews>
  <sheetFormatPr baseColWidth="10" defaultRowHeight="15" customHeight="1" x14ac:dyDescent="0.35"/>
  <cols>
    <col min="1" max="1" width="2.1796875" customWidth="1"/>
    <col min="2" max="2" width="16.81640625" bestFit="1" customWidth="1"/>
    <col min="3" max="3" width="51.453125" customWidth="1"/>
    <col min="4" max="4" width="8.7265625" customWidth="1"/>
    <col min="5" max="10" width="17.81640625" customWidth="1"/>
    <col min="11" max="11" width="17.81640625" style="101" customWidth="1"/>
    <col min="12" max="17" width="17.81640625" customWidth="1"/>
    <col min="18" max="20" width="19.7265625" customWidth="1"/>
    <col min="21" max="26" width="17.81640625" customWidth="1"/>
  </cols>
  <sheetData>
    <row r="1" spans="2:26" ht="7.5" customHeight="1" x14ac:dyDescent="0.35">
      <c r="K1" s="102"/>
    </row>
    <row r="2" spans="2:26" ht="7.5" customHeight="1" x14ac:dyDescent="0.35">
      <c r="K2" s="102"/>
    </row>
    <row r="3" spans="2:26" ht="15" customHeight="1" x14ac:dyDescent="0.35">
      <c r="B3" s="564" t="s">
        <v>4638</v>
      </c>
      <c r="C3" s="562"/>
      <c r="D3" s="562"/>
      <c r="E3" s="562"/>
      <c r="F3" s="562"/>
      <c r="G3" s="326"/>
      <c r="H3" s="326"/>
      <c r="I3" s="326"/>
      <c r="J3" s="331"/>
      <c r="K3" s="209"/>
      <c r="L3" s="104"/>
      <c r="M3" s="104"/>
      <c r="N3" s="104"/>
      <c r="O3" s="104"/>
      <c r="P3" s="104"/>
      <c r="Q3" s="104"/>
      <c r="R3" s="104"/>
      <c r="S3" s="104"/>
      <c r="T3" s="104"/>
      <c r="U3" s="104"/>
      <c r="V3" s="104"/>
      <c r="W3" s="104"/>
      <c r="X3" s="104"/>
      <c r="Y3" s="104"/>
      <c r="Z3" s="169"/>
    </row>
    <row r="4" spans="2:26" s="127" customFormat="1" ht="60" customHeight="1" x14ac:dyDescent="0.35">
      <c r="B4" s="210" t="s">
        <v>1</v>
      </c>
      <c r="C4" s="211" t="s">
        <v>0</v>
      </c>
      <c r="D4" s="211" t="s">
        <v>7</v>
      </c>
      <c r="E4" s="211" t="s">
        <v>2</v>
      </c>
      <c r="F4" s="212" t="s">
        <v>3</v>
      </c>
      <c r="G4" s="128" t="s">
        <v>4647</v>
      </c>
      <c r="H4" s="123" t="s">
        <v>4654</v>
      </c>
      <c r="I4" s="129" t="s">
        <v>4648</v>
      </c>
      <c r="J4" s="213" t="s">
        <v>4655</v>
      </c>
      <c r="K4" s="214" t="s">
        <v>4640</v>
      </c>
      <c r="L4" s="215" t="s">
        <v>4641</v>
      </c>
      <c r="M4" s="216" t="s">
        <v>4642</v>
      </c>
      <c r="N4" s="216" t="s">
        <v>4643</v>
      </c>
      <c r="O4" s="177" t="s">
        <v>4</v>
      </c>
      <c r="P4" s="177" t="s">
        <v>4649</v>
      </c>
      <c r="Q4" s="177" t="s">
        <v>4657</v>
      </c>
      <c r="R4" s="217" t="s">
        <v>1280</v>
      </c>
      <c r="S4" s="217" t="s">
        <v>1281</v>
      </c>
      <c r="T4" s="217" t="s">
        <v>1282</v>
      </c>
      <c r="U4" s="218" t="s">
        <v>4650</v>
      </c>
      <c r="V4" s="216" t="s">
        <v>4637</v>
      </c>
      <c r="W4" s="217" t="s">
        <v>4651</v>
      </c>
      <c r="X4" s="217" t="s">
        <v>4652</v>
      </c>
      <c r="Y4" s="217" t="s">
        <v>1289</v>
      </c>
      <c r="Z4" s="219" t="s">
        <v>1290</v>
      </c>
    </row>
    <row r="5" spans="2:26" ht="35.15" customHeight="1" x14ac:dyDescent="0.35">
      <c r="B5" s="220"/>
      <c r="C5" s="103"/>
      <c r="D5" s="103"/>
      <c r="E5" s="107"/>
      <c r="F5" s="126"/>
      <c r="G5" s="124" t="str">
        <f>"MOY. PONDÉRÉE :
"&amp;TEXT(SUM(W6:W748)/SUM(X6:X748),"#,#")</f>
        <v>MOY. PONDÉRÉE :
6,6</v>
      </c>
      <c r="H5" s="114"/>
      <c r="I5" s="114" t="str">
        <f>"MOYENNE :
"&amp;TEXT(AVERAGE(I6:I748),"#")</f>
        <v>MOYENNE :
58</v>
      </c>
      <c r="J5" s="119"/>
      <c r="K5" s="117" t="str">
        <f>"TOTAL :
"&amp;TEXT(SUM(K6:K748),"# ###")</f>
        <v>TOTAL :
3 171 752</v>
      </c>
      <c r="L5" s="110" t="str">
        <f>"MOY. PONDÉRÉE :
"&amp;TEXT(SUM(M6:M748)/SUM(K6:K748),"#,##")</f>
        <v>MOY. PONDÉRÉE :
2,18</v>
      </c>
      <c r="M5" s="109" t="str">
        <f>"TOTAL :
"&amp;TEXT(SUM(M6:M748),"# ###")</f>
        <v>TOTAL :
6 921 666</v>
      </c>
      <c r="N5" s="109" t="str">
        <f>"TOTAL :
"&amp;TEXT(SUM(N6:N748),"# ###")</f>
        <v>TOTAL :
38 964</v>
      </c>
      <c r="O5" s="109" t="str">
        <f>"TOTAL :
"&amp;TEXT(SUM(O6:O748),"# ###")</f>
        <v>TOTAL :
2 008 598</v>
      </c>
      <c r="P5" s="110" t="str">
        <f>"MOYENNE :
"&amp;TEXT(AVERAGE(P6:P748),"#,#")</f>
        <v>MOYENNE :
10,2</v>
      </c>
      <c r="Q5" s="110" t="str">
        <f>"MOY. PONDÉRÉE :
"&amp;TEXT(SUMPRODUCT(Q6:Q748,O6:O748)/SUM(O6:O748),"##")</f>
        <v>MOY. PONDÉRÉE :
50</v>
      </c>
      <c r="R5" s="115" t="str">
        <f>"TOTAL OUI : "&amp;COUNTIF(R6:R748,"Oui")&amp;
"
TOTAL NON : "&amp;COUNTIF(R6:R748,"Non")</f>
        <v>TOTAL OUI : 100
TOTAL NON : 628</v>
      </c>
      <c r="S5" s="115" t="str">
        <f t="shared" ref="S5:T5" si="0">"TOTAL OUI : "&amp;COUNTIF(S6:S748,"Oui")&amp;
"
TOTAL NON : "&amp;COUNTIF(S6:S748,"Non")</f>
        <v>TOTAL OUI : 114
TOTAL NON : 614</v>
      </c>
      <c r="T5" s="115" t="str">
        <f t="shared" si="0"/>
        <v>TOTAL OUI : 112
TOTAL NON : 616</v>
      </c>
      <c r="U5" s="109" t="str">
        <f>"TOTAL :
"&amp;TEXT(SUM(U6:U748),"# ###")</f>
        <v>TOTAL :
662 014</v>
      </c>
      <c r="V5" s="109" t="str">
        <f>"TOTAL :
"&amp;TEXT(SUM(V6:V748),"# ###")</f>
        <v>TOTAL :
1 325 121</v>
      </c>
      <c r="W5" s="109" t="str">
        <f>"TOTAL :
"&amp;TEXT(SUM(W6:W748),"# ###")</f>
        <v>TOTAL :
327 547</v>
      </c>
      <c r="X5" s="109" t="str">
        <f>"TOTAL :
"&amp;TEXT(SUM(X6:X748),"# ###")</f>
        <v>TOTAL :
49 687</v>
      </c>
      <c r="Y5" s="116"/>
      <c r="Z5" s="221"/>
    </row>
    <row r="6" spans="2:26" ht="15" customHeight="1" x14ac:dyDescent="0.35">
      <c r="B6" s="181">
        <v>48028</v>
      </c>
      <c r="C6" s="182" t="s">
        <v>460</v>
      </c>
      <c r="D6" s="222">
        <v>16</v>
      </c>
      <c r="E6" s="223" t="s">
        <v>1360</v>
      </c>
      <c r="F6" s="183" t="s">
        <v>1361</v>
      </c>
      <c r="G6" s="125">
        <v>1.7988186749498454</v>
      </c>
      <c r="H6" s="121" t="s">
        <v>1325</v>
      </c>
      <c r="I6" s="122">
        <v>57.842105263157912</v>
      </c>
      <c r="J6" s="106" t="s">
        <v>4656</v>
      </c>
      <c r="K6" s="118">
        <v>2445</v>
      </c>
      <c r="L6" s="46">
        <v>2.2319303338171261</v>
      </c>
      <c r="M6" s="41">
        <v>5457.0696661828733</v>
      </c>
      <c r="N6" s="44">
        <v>44.44</v>
      </c>
      <c r="O6" s="41">
        <v>1817</v>
      </c>
      <c r="P6" s="41">
        <v>15</v>
      </c>
      <c r="Q6" s="41">
        <v>90</v>
      </c>
      <c r="R6" s="45" t="s">
        <v>1324</v>
      </c>
      <c r="S6" s="45" t="s">
        <v>1307</v>
      </c>
      <c r="T6" s="45" t="s">
        <v>1307</v>
      </c>
      <c r="U6" s="44">
        <v>464.55</v>
      </c>
      <c r="V6" s="44">
        <v>912.36599999999999</v>
      </c>
      <c r="W6" s="44">
        <v>173.42644826530602</v>
      </c>
      <c r="X6" s="44">
        <v>96.411300749999995</v>
      </c>
      <c r="Y6" s="130" t="s">
        <v>3799</v>
      </c>
      <c r="Z6" s="224"/>
    </row>
    <row r="7" spans="2:26" ht="15" customHeight="1" x14ac:dyDescent="0.35">
      <c r="B7" s="181">
        <v>31056</v>
      </c>
      <c r="C7" s="182" t="s">
        <v>246</v>
      </c>
      <c r="D7" s="222">
        <v>12</v>
      </c>
      <c r="E7" s="223" t="s">
        <v>1454</v>
      </c>
      <c r="F7" s="183" t="s">
        <v>1455</v>
      </c>
      <c r="G7" s="125">
        <v>0.28551590972276047</v>
      </c>
      <c r="H7" s="121" t="s">
        <v>1336</v>
      </c>
      <c r="I7" s="122">
        <v>70.882352941176478</v>
      </c>
      <c r="J7" s="106" t="s">
        <v>4656</v>
      </c>
      <c r="K7" s="118">
        <v>432</v>
      </c>
      <c r="L7" s="46">
        <v>2.0682318415260457</v>
      </c>
      <c r="M7" s="41">
        <v>893.47615553925175</v>
      </c>
      <c r="N7" s="44">
        <v>13.356</v>
      </c>
      <c r="O7" s="41">
        <v>500</v>
      </c>
      <c r="P7" s="41">
        <v>10</v>
      </c>
      <c r="Q7" s="41">
        <v>35.200000000000003</v>
      </c>
      <c r="R7" s="45" t="s">
        <v>1307</v>
      </c>
      <c r="S7" s="45" t="s">
        <v>1307</v>
      </c>
      <c r="T7" s="45" t="s">
        <v>1307</v>
      </c>
      <c r="U7" s="44">
        <v>54.14</v>
      </c>
      <c r="V7" s="44">
        <v>84.733999999999995</v>
      </c>
      <c r="W7" s="44">
        <v>2.8077526020408032</v>
      </c>
      <c r="X7" s="44">
        <v>9.8339619840000019</v>
      </c>
      <c r="Y7" s="130" t="s">
        <v>3800</v>
      </c>
      <c r="Z7" s="224"/>
    </row>
    <row r="8" spans="2:26" ht="15" customHeight="1" x14ac:dyDescent="0.35">
      <c r="B8" s="181">
        <v>98030</v>
      </c>
      <c r="C8" s="182" t="s">
        <v>1013</v>
      </c>
      <c r="D8" s="222">
        <v>9</v>
      </c>
      <c r="E8" s="223" t="s">
        <v>1415</v>
      </c>
      <c r="F8" s="183" t="s">
        <v>1416</v>
      </c>
      <c r="G8" s="125">
        <v>0.38979147589096741</v>
      </c>
      <c r="H8" s="121" t="s">
        <v>1336</v>
      </c>
      <c r="I8" s="122">
        <v>59</v>
      </c>
      <c r="J8" s="106" t="s">
        <v>4656</v>
      </c>
      <c r="K8" s="118">
        <v>144</v>
      </c>
      <c r="L8" s="46">
        <v>1.7083333333333333</v>
      </c>
      <c r="M8" s="41">
        <v>246</v>
      </c>
      <c r="N8" s="44">
        <v>10.734999999999999</v>
      </c>
      <c r="O8" s="41">
        <v>195</v>
      </c>
      <c r="P8" s="41">
        <v>16</v>
      </c>
      <c r="Q8" s="41">
        <v>49</v>
      </c>
      <c r="R8" s="45" t="s">
        <v>1307</v>
      </c>
      <c r="S8" s="45" t="s">
        <v>1307</v>
      </c>
      <c r="T8" s="45" t="s">
        <v>1307</v>
      </c>
      <c r="U8" s="44">
        <v>14.250171210191082</v>
      </c>
      <c r="V8" s="44">
        <v>18.797000000000001</v>
      </c>
      <c r="W8" s="44">
        <v>2.9784000000000006</v>
      </c>
      <c r="X8" s="44">
        <v>7.6410085499999996</v>
      </c>
      <c r="Y8" s="130" t="s">
        <v>3801</v>
      </c>
      <c r="Z8" s="224"/>
    </row>
    <row r="9" spans="2:26" ht="15" customHeight="1" x14ac:dyDescent="0.35">
      <c r="B9" s="181">
        <v>92030</v>
      </c>
      <c r="C9" s="182" t="s">
        <v>950</v>
      </c>
      <c r="D9" s="222">
        <v>2</v>
      </c>
      <c r="E9" s="223" t="s">
        <v>1364</v>
      </c>
      <c r="F9" s="183" t="s">
        <v>1365</v>
      </c>
      <c r="G9" s="125">
        <v>4.2654129057741264</v>
      </c>
      <c r="H9" s="121" t="s">
        <v>1336</v>
      </c>
      <c r="I9" s="122">
        <v>59.78378378378379</v>
      </c>
      <c r="J9" s="106" t="s">
        <v>4656</v>
      </c>
      <c r="K9" s="118">
        <v>509</v>
      </c>
      <c r="L9" s="46">
        <v>2.4714912280701755</v>
      </c>
      <c r="M9" s="41">
        <v>1257.9890350877192</v>
      </c>
      <c r="N9" s="44">
        <v>19.817</v>
      </c>
      <c r="O9" s="41">
        <v>541</v>
      </c>
      <c r="P9" s="41">
        <v>8</v>
      </c>
      <c r="Q9" s="41">
        <v>48</v>
      </c>
      <c r="R9" s="45" t="s">
        <v>1307</v>
      </c>
      <c r="S9" s="45" t="s">
        <v>1307</v>
      </c>
      <c r="T9" s="45" t="s">
        <v>1307</v>
      </c>
      <c r="U9" s="44">
        <v>141.09800000000001</v>
      </c>
      <c r="V9" s="44">
        <v>220.36</v>
      </c>
      <c r="W9" s="44">
        <v>67.085600000000014</v>
      </c>
      <c r="X9" s="44">
        <v>15.727809120000003</v>
      </c>
      <c r="Y9" s="130" t="s">
        <v>3802</v>
      </c>
      <c r="Z9" s="224" t="s">
        <v>3803</v>
      </c>
    </row>
    <row r="10" spans="2:26" ht="15" customHeight="1" x14ac:dyDescent="0.35">
      <c r="B10" s="181">
        <v>92030</v>
      </c>
      <c r="C10" s="182" t="s">
        <v>950</v>
      </c>
      <c r="D10" s="222">
        <v>2</v>
      </c>
      <c r="E10" s="223" t="s">
        <v>1366</v>
      </c>
      <c r="F10" s="183" t="s">
        <v>1367</v>
      </c>
      <c r="G10" s="125">
        <v>6.1860453873995063</v>
      </c>
      <c r="H10" s="121" t="s">
        <v>1336</v>
      </c>
      <c r="I10" s="122">
        <v>60</v>
      </c>
      <c r="J10" s="106" t="s">
        <v>4656</v>
      </c>
      <c r="K10" s="118"/>
      <c r="L10" s="46"/>
      <c r="M10" s="41"/>
      <c r="N10" s="44"/>
      <c r="O10" s="41"/>
      <c r="P10" s="41"/>
      <c r="Q10" s="41"/>
      <c r="R10" s="45"/>
      <c r="S10" s="45"/>
      <c r="T10" s="45"/>
      <c r="U10" s="44"/>
      <c r="V10" s="44"/>
      <c r="W10" s="44" t="s">
        <v>1124</v>
      </c>
      <c r="X10" s="44"/>
      <c r="Y10" s="130" t="s">
        <v>3804</v>
      </c>
      <c r="Z10" s="224"/>
    </row>
    <row r="11" spans="2:26" ht="15" customHeight="1" x14ac:dyDescent="0.35">
      <c r="B11" s="181">
        <v>93042</v>
      </c>
      <c r="C11" s="182" t="s">
        <v>964</v>
      </c>
      <c r="D11" s="222">
        <v>2</v>
      </c>
      <c r="E11" s="223" t="s">
        <v>1370</v>
      </c>
      <c r="F11" s="183" t="s">
        <v>1372</v>
      </c>
      <c r="G11" s="125">
        <v>3.4969709144774614</v>
      </c>
      <c r="H11" s="121" t="s">
        <v>1373</v>
      </c>
      <c r="I11" s="122">
        <v>65.026315789473699</v>
      </c>
      <c r="J11" s="106" t="s">
        <v>4656</v>
      </c>
      <c r="K11" s="118">
        <v>14515</v>
      </c>
      <c r="L11" s="46">
        <v>2.1273604410751208</v>
      </c>
      <c r="M11" s="41">
        <v>30878.636802205379</v>
      </c>
      <c r="N11" s="44">
        <v>253.858</v>
      </c>
      <c r="O11" s="41">
        <v>9853</v>
      </c>
      <c r="P11" s="41">
        <v>16</v>
      </c>
      <c r="Q11" s="41">
        <v>56.6</v>
      </c>
      <c r="R11" s="45" t="s">
        <v>1307</v>
      </c>
      <c r="S11" s="45" t="s">
        <v>1307</v>
      </c>
      <c r="T11" s="45" t="s">
        <v>1307</v>
      </c>
      <c r="U11" s="44">
        <v>2768.93</v>
      </c>
      <c r="V11" s="44">
        <v>4492.1769999999997</v>
      </c>
      <c r="W11" s="44">
        <v>1184.2977940816322</v>
      </c>
      <c r="X11" s="44">
        <v>338.66389599600006</v>
      </c>
      <c r="Y11" s="130" t="s">
        <v>3805</v>
      </c>
      <c r="Z11" s="224" t="s">
        <v>3762</v>
      </c>
    </row>
    <row r="12" spans="2:26" ht="15" customHeight="1" x14ac:dyDescent="0.35">
      <c r="B12" s="181">
        <v>78070</v>
      </c>
      <c r="C12" s="182" t="s">
        <v>777</v>
      </c>
      <c r="D12" s="222">
        <v>15</v>
      </c>
      <c r="E12" s="223" t="s">
        <v>1418</v>
      </c>
      <c r="F12" s="183" t="s">
        <v>1419</v>
      </c>
      <c r="G12" s="125">
        <v>0.95295037299485796</v>
      </c>
      <c r="H12" s="121" t="s">
        <v>1336</v>
      </c>
      <c r="I12" s="122">
        <v>57.651162790697676</v>
      </c>
      <c r="J12" s="106" t="s">
        <v>4656</v>
      </c>
      <c r="K12" s="118">
        <v>210</v>
      </c>
      <c r="L12" s="46">
        <v>2.0428000000000002</v>
      </c>
      <c r="M12" s="41">
        <v>428.98800000000006</v>
      </c>
      <c r="N12" s="44">
        <v>6.5075399999999997</v>
      </c>
      <c r="O12" s="41">
        <v>167</v>
      </c>
      <c r="P12" s="41">
        <v>12</v>
      </c>
      <c r="Q12" s="41">
        <v>50.63</v>
      </c>
      <c r="R12" s="45" t="s">
        <v>1307</v>
      </c>
      <c r="S12" s="45" t="s">
        <v>1307</v>
      </c>
      <c r="T12" s="45" t="s">
        <v>1307</v>
      </c>
      <c r="U12" s="44">
        <v>32.503026315789477</v>
      </c>
      <c r="V12" s="44">
        <v>41.276000000000003</v>
      </c>
      <c r="W12" s="44">
        <v>5.2978600000000053</v>
      </c>
      <c r="X12" s="44">
        <v>5.559429063814</v>
      </c>
      <c r="Y12" s="130" t="s">
        <v>3806</v>
      </c>
      <c r="Z12" s="224"/>
    </row>
    <row r="13" spans="2:26" ht="15" customHeight="1" x14ac:dyDescent="0.35">
      <c r="B13" s="181">
        <v>88055</v>
      </c>
      <c r="C13" s="182" t="s">
        <v>920</v>
      </c>
      <c r="D13" s="222">
        <v>8</v>
      </c>
      <c r="E13" s="223" t="s">
        <v>1305</v>
      </c>
      <c r="F13" s="183" t="s">
        <v>1306</v>
      </c>
      <c r="G13" s="125">
        <v>1.8987769930740168</v>
      </c>
      <c r="H13" s="121" t="s">
        <v>1336</v>
      </c>
      <c r="I13" s="122">
        <v>63.306313856352702</v>
      </c>
      <c r="J13" s="106" t="s">
        <v>4656</v>
      </c>
      <c r="K13" s="118">
        <v>5717</v>
      </c>
      <c r="L13" s="46">
        <v>2.2424926228085402</v>
      </c>
      <c r="M13" s="41">
        <v>12820.330324596425</v>
      </c>
      <c r="N13" s="44">
        <v>103.11999999999999</v>
      </c>
      <c r="O13" s="41">
        <v>4554</v>
      </c>
      <c r="P13" s="41">
        <v>5</v>
      </c>
      <c r="Q13" s="41">
        <v>44</v>
      </c>
      <c r="R13" s="45" t="s">
        <v>1307</v>
      </c>
      <c r="S13" s="45" t="s">
        <v>1307</v>
      </c>
      <c r="T13" s="45" t="s">
        <v>1307</v>
      </c>
      <c r="U13" s="44">
        <v>1274.798</v>
      </c>
      <c r="V13" s="44">
        <v>2246.933</v>
      </c>
      <c r="W13" s="44">
        <v>185.0583689898989</v>
      </c>
      <c r="X13" s="44">
        <v>97.461876600000011</v>
      </c>
      <c r="Y13" s="130" t="s">
        <v>3807</v>
      </c>
      <c r="Z13" s="224" t="s">
        <v>3761</v>
      </c>
    </row>
    <row r="14" spans="2:26" ht="15" customHeight="1" x14ac:dyDescent="0.35">
      <c r="B14" s="181">
        <v>7047</v>
      </c>
      <c r="C14" s="182" t="s">
        <v>1075</v>
      </c>
      <c r="D14" s="222">
        <v>1</v>
      </c>
      <c r="E14" s="223" t="s">
        <v>1456</v>
      </c>
      <c r="F14" s="183" t="s">
        <v>1457</v>
      </c>
      <c r="G14" s="125">
        <v>9.3602053583441691</v>
      </c>
      <c r="H14" s="121" t="s">
        <v>1336</v>
      </c>
      <c r="I14" s="122">
        <v>53.918367346938759</v>
      </c>
      <c r="J14" s="106" t="s">
        <v>4656</v>
      </c>
      <c r="K14" s="118">
        <v>2317</v>
      </c>
      <c r="L14" s="46">
        <v>2.1836589698046183</v>
      </c>
      <c r="M14" s="41">
        <v>5059.5378330373005</v>
      </c>
      <c r="N14" s="44">
        <v>43.91</v>
      </c>
      <c r="O14" s="41">
        <v>1764</v>
      </c>
      <c r="P14" s="41">
        <v>7.5</v>
      </c>
      <c r="Q14" s="41">
        <v>51</v>
      </c>
      <c r="R14" s="45" t="s">
        <v>1307</v>
      </c>
      <c r="S14" s="45" t="s">
        <v>1307</v>
      </c>
      <c r="T14" s="45" t="s">
        <v>1307</v>
      </c>
      <c r="U14" s="44">
        <v>642.14306604913406</v>
      </c>
      <c r="V14" s="44">
        <v>1150.2280000000001</v>
      </c>
      <c r="W14" s="44">
        <v>441.23374326530626</v>
      </c>
      <c r="X14" s="44">
        <v>47.13932295</v>
      </c>
      <c r="Y14" s="130" t="s">
        <v>3808</v>
      </c>
      <c r="Z14" s="224" t="s">
        <v>3766</v>
      </c>
    </row>
    <row r="15" spans="2:26" ht="15" customHeight="1" x14ac:dyDescent="0.35">
      <c r="B15" s="181">
        <v>55008</v>
      </c>
      <c r="C15" s="182" t="s">
        <v>559</v>
      </c>
      <c r="D15" s="222">
        <v>16</v>
      </c>
      <c r="E15" s="223" t="s">
        <v>1322</v>
      </c>
      <c r="F15" s="183" t="s">
        <v>1323</v>
      </c>
      <c r="G15" s="125">
        <v>3.682871692035635</v>
      </c>
      <c r="H15" s="121" t="s">
        <v>1325</v>
      </c>
      <c r="I15" s="122">
        <v>74.833333333333329</v>
      </c>
      <c r="J15" s="106" t="s">
        <v>4656</v>
      </c>
      <c r="K15" s="118">
        <v>848</v>
      </c>
      <c r="L15" s="46">
        <v>2.6691943127962086</v>
      </c>
      <c r="M15" s="41">
        <v>2263.476777251185</v>
      </c>
      <c r="N15" s="44">
        <v>21.75</v>
      </c>
      <c r="O15" s="41">
        <v>747</v>
      </c>
      <c r="P15" s="41">
        <v>8</v>
      </c>
      <c r="Q15" s="41">
        <v>59</v>
      </c>
      <c r="R15" s="45" t="s">
        <v>1307</v>
      </c>
      <c r="S15" s="45" t="s">
        <v>1324</v>
      </c>
      <c r="T15" s="45" t="s">
        <v>1324</v>
      </c>
      <c r="U15" s="44">
        <v>244.119</v>
      </c>
      <c r="V15" s="44">
        <v>856.78200000000004</v>
      </c>
      <c r="W15" s="44">
        <v>90.295165789473657</v>
      </c>
      <c r="X15" s="44">
        <v>24.517597500000001</v>
      </c>
      <c r="Y15" s="130"/>
      <c r="Z15" s="224"/>
    </row>
    <row r="16" spans="2:26" ht="15" customHeight="1" x14ac:dyDescent="0.35">
      <c r="B16" s="181">
        <v>19037</v>
      </c>
      <c r="C16" s="182" t="s">
        <v>124</v>
      </c>
      <c r="D16" s="222">
        <v>12</v>
      </c>
      <c r="E16" s="223" t="s">
        <v>1422</v>
      </c>
      <c r="F16" s="183" t="s">
        <v>1423</v>
      </c>
      <c r="G16" s="125">
        <v>2.339634991553702</v>
      </c>
      <c r="H16" s="121" t="s">
        <v>1336</v>
      </c>
      <c r="I16" s="122">
        <v>59</v>
      </c>
      <c r="J16" s="106" t="s">
        <v>4656</v>
      </c>
      <c r="K16" s="118">
        <v>434</v>
      </c>
      <c r="L16" s="46">
        <v>2</v>
      </c>
      <c r="M16" s="41">
        <v>868</v>
      </c>
      <c r="N16" s="44">
        <v>9.1509999999999998</v>
      </c>
      <c r="O16" s="41">
        <v>448</v>
      </c>
      <c r="P16" s="41">
        <v>10</v>
      </c>
      <c r="Q16" s="41">
        <v>42.2</v>
      </c>
      <c r="R16" s="45" t="s">
        <v>1307</v>
      </c>
      <c r="S16" s="45" t="s">
        <v>1307</v>
      </c>
      <c r="T16" s="45" t="s">
        <v>1307</v>
      </c>
      <c r="U16" s="44">
        <v>69.853107221006567</v>
      </c>
      <c r="V16" s="44">
        <v>97.912000000000006</v>
      </c>
      <c r="W16" s="44">
        <v>22.888000000000002</v>
      </c>
      <c r="X16" s="44">
        <v>9.7827225540000011</v>
      </c>
      <c r="Y16" s="130" t="s">
        <v>3809</v>
      </c>
      <c r="Z16" s="224"/>
    </row>
    <row r="17" spans="2:26" ht="15" customHeight="1" x14ac:dyDescent="0.35">
      <c r="B17" s="181">
        <v>40043</v>
      </c>
      <c r="C17" s="182" t="s">
        <v>363</v>
      </c>
      <c r="D17" s="222">
        <v>5</v>
      </c>
      <c r="E17" s="223" t="s">
        <v>1379</v>
      </c>
      <c r="F17" s="183" t="s">
        <v>1380</v>
      </c>
      <c r="G17" s="125">
        <v>5.2976290001920896</v>
      </c>
      <c r="H17" s="121" t="s">
        <v>1336</v>
      </c>
      <c r="I17" s="122">
        <v>58.72972972972974</v>
      </c>
      <c r="J17" s="106" t="s">
        <v>4656</v>
      </c>
      <c r="K17" s="118">
        <v>3377</v>
      </c>
      <c r="L17" s="46">
        <v>1.8815516730826176</v>
      </c>
      <c r="M17" s="41">
        <v>6354</v>
      </c>
      <c r="N17" s="44">
        <v>65.356999999999999</v>
      </c>
      <c r="O17" s="41">
        <v>2265</v>
      </c>
      <c r="P17" s="41">
        <v>6.5</v>
      </c>
      <c r="Q17" s="41">
        <v>64.680000000000007</v>
      </c>
      <c r="R17" s="45" t="s">
        <v>1307</v>
      </c>
      <c r="S17" s="45" t="s">
        <v>1307</v>
      </c>
      <c r="T17" s="45" t="s">
        <v>1307</v>
      </c>
      <c r="U17" s="44">
        <v>764.41685626911317</v>
      </c>
      <c r="V17" s="44">
        <v>1291.2149999999999</v>
      </c>
      <c r="W17" s="44">
        <v>419.78757499999995</v>
      </c>
      <c r="X17" s="44">
        <v>79.240651805699997</v>
      </c>
      <c r="Y17" s="130" t="s">
        <v>3810</v>
      </c>
      <c r="Z17" s="224"/>
    </row>
    <row r="18" spans="2:26" ht="15" customHeight="1" x14ac:dyDescent="0.35">
      <c r="B18" s="181">
        <v>41055</v>
      </c>
      <c r="C18" s="182" t="s">
        <v>370</v>
      </c>
      <c r="D18" s="222">
        <v>5</v>
      </c>
      <c r="E18" s="223" t="s">
        <v>1426</v>
      </c>
      <c r="F18" s="183" t="s">
        <v>1427</v>
      </c>
      <c r="G18" s="125">
        <v>2.9204734126986907</v>
      </c>
      <c r="H18" s="121" t="s">
        <v>1336</v>
      </c>
      <c r="I18" s="122">
        <v>56</v>
      </c>
      <c r="J18" s="106" t="s">
        <v>4656</v>
      </c>
      <c r="K18" s="118">
        <v>290</v>
      </c>
      <c r="L18" s="46">
        <v>2.5970873786407767</v>
      </c>
      <c r="M18" s="41">
        <v>753.15533980582518</v>
      </c>
      <c r="N18" s="44">
        <v>8.5410000000000004</v>
      </c>
      <c r="O18" s="41">
        <v>299</v>
      </c>
      <c r="P18" s="41">
        <v>12</v>
      </c>
      <c r="Q18" s="41">
        <v>60.9</v>
      </c>
      <c r="R18" s="45" t="s">
        <v>1307</v>
      </c>
      <c r="S18" s="45" t="s">
        <v>1307</v>
      </c>
      <c r="T18" s="45" t="s">
        <v>1307</v>
      </c>
      <c r="U18" s="44">
        <v>54.52</v>
      </c>
      <c r="V18" s="44">
        <v>104.367</v>
      </c>
      <c r="W18" s="44">
        <v>31.331769768707474</v>
      </c>
      <c r="X18" s="44">
        <v>10.728318783000001</v>
      </c>
      <c r="Y18" s="130" t="s">
        <v>3811</v>
      </c>
      <c r="Z18" s="224"/>
    </row>
    <row r="19" spans="2:26" ht="15" customHeight="1" x14ac:dyDescent="0.35">
      <c r="B19" s="181">
        <v>13045</v>
      </c>
      <c r="C19" s="182" t="s">
        <v>48</v>
      </c>
      <c r="D19" s="222">
        <v>1</v>
      </c>
      <c r="E19" s="223" t="s">
        <v>1412</v>
      </c>
      <c r="F19" s="183" t="s">
        <v>1430</v>
      </c>
      <c r="G19" s="125">
        <v>1.2744055527195441</v>
      </c>
      <c r="H19" s="121" t="s">
        <v>1336</v>
      </c>
      <c r="I19" s="122">
        <v>58.72972972972974</v>
      </c>
      <c r="J19" s="106" t="s">
        <v>4656</v>
      </c>
      <c r="K19" s="118">
        <v>119</v>
      </c>
      <c r="L19" s="46">
        <v>2.0176211453744495</v>
      </c>
      <c r="M19" s="41">
        <v>240.0969162995595</v>
      </c>
      <c r="N19" s="44">
        <v>2.72</v>
      </c>
      <c r="O19" s="41">
        <v>108</v>
      </c>
      <c r="P19" s="41">
        <v>15</v>
      </c>
      <c r="Q19" s="41">
        <v>44.6</v>
      </c>
      <c r="R19" s="45" t="s">
        <v>1307</v>
      </c>
      <c r="S19" s="45" t="s">
        <v>1307</v>
      </c>
      <c r="T19" s="45" t="s">
        <v>1307</v>
      </c>
      <c r="U19" s="44">
        <v>20.454054687500001</v>
      </c>
      <c r="V19" s="44">
        <v>26.04</v>
      </c>
      <c r="W19" s="44">
        <v>3.6483999999999961</v>
      </c>
      <c r="X19" s="44">
        <v>2.8628249400000003</v>
      </c>
      <c r="Y19" s="130" t="s">
        <v>3812</v>
      </c>
      <c r="Z19" s="224" t="s">
        <v>3813</v>
      </c>
    </row>
    <row r="20" spans="2:26" ht="15" customHeight="1" x14ac:dyDescent="0.35">
      <c r="B20" s="181">
        <v>30055</v>
      </c>
      <c r="C20" s="182" t="s">
        <v>227</v>
      </c>
      <c r="D20" s="222">
        <v>5</v>
      </c>
      <c r="E20" s="223" t="s">
        <v>1353</v>
      </c>
      <c r="F20" s="183" t="s">
        <v>1385</v>
      </c>
      <c r="G20" s="125">
        <v>2.3881306099862933</v>
      </c>
      <c r="H20" s="121" t="s">
        <v>1336</v>
      </c>
      <c r="I20" s="122">
        <v>56</v>
      </c>
      <c r="J20" s="106" t="s">
        <v>4656</v>
      </c>
      <c r="K20" s="118">
        <v>117</v>
      </c>
      <c r="L20" s="46">
        <v>2.6620689655172414</v>
      </c>
      <c r="M20" s="41">
        <v>311.46206896551723</v>
      </c>
      <c r="N20" s="44">
        <v>5.33</v>
      </c>
      <c r="O20" s="41">
        <v>134</v>
      </c>
      <c r="P20" s="41">
        <v>9</v>
      </c>
      <c r="Q20" s="41">
        <v>37</v>
      </c>
      <c r="R20" s="45" t="s">
        <v>1307</v>
      </c>
      <c r="S20" s="45" t="s">
        <v>1307</v>
      </c>
      <c r="T20" s="45" t="s">
        <v>1307</v>
      </c>
      <c r="U20" s="44">
        <v>12.356</v>
      </c>
      <c r="V20" s="44">
        <v>23.225000000000001</v>
      </c>
      <c r="W20" s="44">
        <v>7.524</v>
      </c>
      <c r="X20" s="44">
        <v>3.1505814499999998</v>
      </c>
      <c r="Y20" s="130" t="s">
        <v>3814</v>
      </c>
      <c r="Z20" s="224" t="s">
        <v>3815</v>
      </c>
    </row>
    <row r="21" spans="2:26" ht="15" customHeight="1" x14ac:dyDescent="0.35">
      <c r="B21" s="181">
        <v>96020</v>
      </c>
      <c r="C21" s="182" t="s">
        <v>997</v>
      </c>
      <c r="D21" s="222">
        <v>9</v>
      </c>
      <c r="E21" s="223" t="s">
        <v>1460</v>
      </c>
      <c r="F21" s="183" t="s">
        <v>1461</v>
      </c>
      <c r="G21" s="125">
        <v>8.6556409264456171</v>
      </c>
      <c r="H21" s="121" t="s">
        <v>1373</v>
      </c>
      <c r="I21" s="122">
        <v>59</v>
      </c>
      <c r="J21" s="106" t="s">
        <v>4656</v>
      </c>
      <c r="K21" s="118">
        <v>10303</v>
      </c>
      <c r="L21" s="46">
        <v>2.2877434628214783</v>
      </c>
      <c r="M21" s="41">
        <v>23570.620897449691</v>
      </c>
      <c r="N21" s="44">
        <v>148.94999999999999</v>
      </c>
      <c r="O21" s="41">
        <v>7708</v>
      </c>
      <c r="P21" s="41">
        <v>8</v>
      </c>
      <c r="Q21" s="41">
        <v>37.6</v>
      </c>
      <c r="R21" s="45" t="s">
        <v>1307</v>
      </c>
      <c r="S21" s="45" t="s">
        <v>1307</v>
      </c>
      <c r="T21" s="45" t="s">
        <v>1307</v>
      </c>
      <c r="U21" s="44">
        <v>2552.7320357078229</v>
      </c>
      <c r="V21" s="44">
        <v>4283.3710000000001</v>
      </c>
      <c r="W21" s="44">
        <v>1234.1213559999999</v>
      </c>
      <c r="X21" s="44">
        <v>142.5800084</v>
      </c>
      <c r="Y21" s="130" t="s">
        <v>3816</v>
      </c>
      <c r="Z21" s="224"/>
    </row>
    <row r="22" spans="2:26" ht="15" customHeight="1" x14ac:dyDescent="0.35">
      <c r="B22" s="181">
        <v>8080</v>
      </c>
      <c r="C22" s="182" t="s">
        <v>1096</v>
      </c>
      <c r="D22" s="222">
        <v>1</v>
      </c>
      <c r="E22" s="223" t="s">
        <v>1334</v>
      </c>
      <c r="F22" s="183" t="s">
        <v>1335</v>
      </c>
      <c r="G22" s="125">
        <v>0.67443517506250905</v>
      </c>
      <c r="H22" s="121" t="s">
        <v>1336</v>
      </c>
      <c r="I22" s="122">
        <v>59.081081081081081</v>
      </c>
      <c r="J22" s="106" t="s">
        <v>4656</v>
      </c>
      <c r="K22" s="118">
        <v>213</v>
      </c>
      <c r="L22" s="46">
        <v>1.7008310249307479</v>
      </c>
      <c r="M22" s="41">
        <v>362.2770083102493</v>
      </c>
      <c r="N22" s="44">
        <v>7.0449999999999999</v>
      </c>
      <c r="O22" s="41">
        <v>186</v>
      </c>
      <c r="P22" s="41">
        <v>13</v>
      </c>
      <c r="Q22" s="41">
        <v>50</v>
      </c>
      <c r="R22" s="45" t="s">
        <v>1307</v>
      </c>
      <c r="S22" s="45" t="s">
        <v>1307</v>
      </c>
      <c r="T22" s="45" t="s">
        <v>1307</v>
      </c>
      <c r="U22" s="44">
        <v>18.813106666666666</v>
      </c>
      <c r="V22" s="44">
        <v>24.375</v>
      </c>
      <c r="W22" s="44">
        <v>4.1363749999999992</v>
      </c>
      <c r="X22" s="44">
        <v>6.133095</v>
      </c>
      <c r="Y22" s="130" t="s">
        <v>3817</v>
      </c>
      <c r="Z22" s="224" t="s">
        <v>3761</v>
      </c>
    </row>
    <row r="23" spans="2:26" ht="15" customHeight="1" x14ac:dyDescent="0.35">
      <c r="B23" s="181">
        <v>50100</v>
      </c>
      <c r="C23" s="182" t="s">
        <v>495</v>
      </c>
      <c r="D23" s="222">
        <v>17</v>
      </c>
      <c r="E23" s="223" t="s">
        <v>1389</v>
      </c>
      <c r="F23" s="183" t="s">
        <v>1390</v>
      </c>
      <c r="G23" s="125">
        <v>0.73196602809177369</v>
      </c>
      <c r="H23" s="121" t="s">
        <v>1336</v>
      </c>
      <c r="I23" s="122">
        <v>74.45098039215685</v>
      </c>
      <c r="J23" s="106" t="s">
        <v>4656</v>
      </c>
      <c r="K23" s="118">
        <v>309</v>
      </c>
      <c r="L23" s="46">
        <v>1.9393939393939394</v>
      </c>
      <c r="M23" s="41">
        <v>599.27272727272725</v>
      </c>
      <c r="N23" s="44">
        <v>15.154</v>
      </c>
      <c r="O23" s="41">
        <v>351</v>
      </c>
      <c r="P23" s="41">
        <v>15</v>
      </c>
      <c r="Q23" s="41">
        <v>54.6</v>
      </c>
      <c r="R23" s="45" t="s">
        <v>1307</v>
      </c>
      <c r="S23" s="45" t="s">
        <v>1307</v>
      </c>
      <c r="T23" s="45" t="s">
        <v>1307</v>
      </c>
      <c r="U23" s="44">
        <v>35.841000000000001</v>
      </c>
      <c r="V23" s="44">
        <v>81.652000000000001</v>
      </c>
      <c r="W23" s="44">
        <v>9.9952091252229049</v>
      </c>
      <c r="X23" s="44">
        <v>13.655291013000003</v>
      </c>
      <c r="Y23" s="130" t="s">
        <v>3818</v>
      </c>
      <c r="Z23" s="224"/>
    </row>
    <row r="24" spans="2:26" ht="15" customHeight="1" x14ac:dyDescent="0.35">
      <c r="B24" s="181">
        <v>50100</v>
      </c>
      <c r="C24" s="182" t="s">
        <v>495</v>
      </c>
      <c r="D24" s="222">
        <v>17</v>
      </c>
      <c r="E24" s="223" t="s">
        <v>1391</v>
      </c>
      <c r="F24" s="183" t="s">
        <v>1392</v>
      </c>
      <c r="G24" s="125">
        <v>2.1780039872648298</v>
      </c>
      <c r="H24" s="121" t="s">
        <v>1336</v>
      </c>
      <c r="I24" s="122">
        <v>74.450980392156865</v>
      </c>
      <c r="J24" s="106" t="s">
        <v>4656</v>
      </c>
      <c r="K24" s="118">
        <v>181</v>
      </c>
      <c r="L24" s="46">
        <v>1.9393939393939394</v>
      </c>
      <c r="M24" s="41">
        <v>351.03030303030306</v>
      </c>
      <c r="N24" s="44">
        <v>22.648</v>
      </c>
      <c r="O24" s="41">
        <v>200</v>
      </c>
      <c r="P24" s="41">
        <v>15</v>
      </c>
      <c r="Q24" s="41">
        <v>54.6</v>
      </c>
      <c r="R24" s="45" t="s">
        <v>1307</v>
      </c>
      <c r="S24" s="45" t="s">
        <v>1307</v>
      </c>
      <c r="T24" s="45" t="s">
        <v>1307</v>
      </c>
      <c r="U24" s="44">
        <v>20.097000000000001</v>
      </c>
      <c r="V24" s="44">
        <v>119.755</v>
      </c>
      <c r="W24" s="44">
        <v>27.895114631863812</v>
      </c>
      <c r="X24" s="44">
        <v>12.807650856</v>
      </c>
      <c r="Y24" s="130" t="s">
        <v>3818</v>
      </c>
      <c r="Z24" s="224"/>
    </row>
    <row r="25" spans="2:26" ht="15" customHeight="1" x14ac:dyDescent="0.35">
      <c r="B25" s="181">
        <v>66112</v>
      </c>
      <c r="C25" s="182" t="s">
        <v>659</v>
      </c>
      <c r="D25" s="222">
        <v>6</v>
      </c>
      <c r="E25" s="223" t="s">
        <v>1433</v>
      </c>
      <c r="F25" s="183" t="s">
        <v>1434</v>
      </c>
      <c r="G25" s="125">
        <v>4.2572131011415015</v>
      </c>
      <c r="H25" s="121" t="s">
        <v>1336</v>
      </c>
      <c r="I25" s="122">
        <v>56.754901960784316</v>
      </c>
      <c r="J25" s="106" t="s">
        <v>4656</v>
      </c>
      <c r="K25" s="118">
        <v>1443</v>
      </c>
      <c r="L25" s="46">
        <v>2.7245467224546722</v>
      </c>
      <c r="M25" s="41">
        <v>3931.5209205020919</v>
      </c>
      <c r="N25" s="44">
        <v>47.135999999999996</v>
      </c>
      <c r="O25" s="41">
        <v>1421</v>
      </c>
      <c r="P25" s="41">
        <v>6</v>
      </c>
      <c r="Q25" s="41">
        <v>50</v>
      </c>
      <c r="R25" s="45" t="s">
        <v>1307</v>
      </c>
      <c r="S25" s="45" t="s">
        <v>1307</v>
      </c>
      <c r="T25" s="45" t="s">
        <v>1307</v>
      </c>
      <c r="U25" s="44">
        <v>428.80700000000002</v>
      </c>
      <c r="V25" s="44">
        <v>1349.847</v>
      </c>
      <c r="W25" s="44">
        <v>170.80263999999974</v>
      </c>
      <c r="X25" s="44">
        <v>40.120763499999995</v>
      </c>
      <c r="Y25" s="130" t="s">
        <v>3819</v>
      </c>
      <c r="Z25" s="224"/>
    </row>
    <row r="26" spans="2:26" ht="15" customHeight="1" x14ac:dyDescent="0.35">
      <c r="B26" s="181">
        <v>98035</v>
      </c>
      <c r="C26" s="182" t="s">
        <v>1014</v>
      </c>
      <c r="D26" s="222">
        <v>9</v>
      </c>
      <c r="E26" s="223" t="s">
        <v>1464</v>
      </c>
      <c r="F26" s="183" t="s">
        <v>1465</v>
      </c>
      <c r="G26" s="125">
        <v>1.2512601553697444</v>
      </c>
      <c r="H26" s="121" t="s">
        <v>1336</v>
      </c>
      <c r="I26" s="122">
        <v>59.432432432432449</v>
      </c>
      <c r="J26" s="106" t="s">
        <v>4656</v>
      </c>
      <c r="K26" s="118">
        <v>55</v>
      </c>
      <c r="L26" s="46">
        <v>1.5636363636363637</v>
      </c>
      <c r="M26" s="41">
        <v>86</v>
      </c>
      <c r="N26" s="44">
        <v>2.75</v>
      </c>
      <c r="O26" s="41">
        <v>66</v>
      </c>
      <c r="P26" s="41">
        <v>15</v>
      </c>
      <c r="Q26" s="41">
        <v>46</v>
      </c>
      <c r="R26" s="45" t="s">
        <v>1307</v>
      </c>
      <c r="S26" s="45" t="s">
        <v>1307</v>
      </c>
      <c r="T26" s="45" t="s">
        <v>1307</v>
      </c>
      <c r="U26" s="44">
        <v>5.1194062499999999</v>
      </c>
      <c r="V26" s="44">
        <v>22.625</v>
      </c>
      <c r="W26" s="44">
        <v>2.6691500000000001</v>
      </c>
      <c r="X26" s="44">
        <v>2.1331695000000002</v>
      </c>
      <c r="Y26" s="130" t="s">
        <v>3820</v>
      </c>
      <c r="Z26" s="224"/>
    </row>
    <row r="27" spans="2:26" ht="15" customHeight="1" x14ac:dyDescent="0.35">
      <c r="B27" s="181">
        <v>15065</v>
      </c>
      <c r="C27" s="182" t="s">
        <v>83</v>
      </c>
      <c r="D27" s="222">
        <v>3</v>
      </c>
      <c r="E27" s="223" t="s">
        <v>1394</v>
      </c>
      <c r="F27" s="183" t="s">
        <v>1395</v>
      </c>
      <c r="G27" s="125">
        <v>2.5583653630005969</v>
      </c>
      <c r="H27" s="121" t="s">
        <v>1336</v>
      </c>
      <c r="I27" s="122">
        <v>53.676470588235283</v>
      </c>
      <c r="J27" s="106" t="s">
        <v>4656</v>
      </c>
      <c r="K27" s="118">
        <v>144</v>
      </c>
      <c r="L27" s="46">
        <v>1.3057324840764331</v>
      </c>
      <c r="M27" s="41">
        <v>188.02547770700636</v>
      </c>
      <c r="N27" s="44">
        <v>6.5960000000000001</v>
      </c>
      <c r="O27" s="41">
        <v>144</v>
      </c>
      <c r="P27" s="41">
        <v>15</v>
      </c>
      <c r="Q27" s="41">
        <v>44</v>
      </c>
      <c r="R27" s="45" t="s">
        <v>1307</v>
      </c>
      <c r="S27" s="45" t="s">
        <v>1307</v>
      </c>
      <c r="T27" s="45" t="s">
        <v>1307</v>
      </c>
      <c r="U27" s="44">
        <v>17.856000000000002</v>
      </c>
      <c r="V27" s="44">
        <v>40.426000000000002</v>
      </c>
      <c r="W27" s="44">
        <v>11.830197857142855</v>
      </c>
      <c r="X27" s="44">
        <v>4.6241236799999994</v>
      </c>
      <c r="Y27" s="130" t="s">
        <v>3821</v>
      </c>
      <c r="Z27" s="224"/>
    </row>
    <row r="28" spans="2:26" ht="15" customHeight="1" x14ac:dyDescent="0.35">
      <c r="B28" s="181">
        <v>16013</v>
      </c>
      <c r="C28" s="182" t="s">
        <v>85</v>
      </c>
      <c r="D28" s="222">
        <v>3</v>
      </c>
      <c r="E28" s="223" t="s">
        <v>1398</v>
      </c>
      <c r="F28" s="183" t="s">
        <v>1399</v>
      </c>
      <c r="G28" s="125">
        <v>4.0025653752292092</v>
      </c>
      <c r="H28" s="121" t="s">
        <v>1336</v>
      </c>
      <c r="I28" s="122">
        <v>56.815789473684212</v>
      </c>
      <c r="J28" s="106" t="s">
        <v>4656</v>
      </c>
      <c r="K28" s="118">
        <v>2828</v>
      </c>
      <c r="L28" s="46">
        <v>1.9172652301143922</v>
      </c>
      <c r="M28" s="41">
        <v>5422.0260707635016</v>
      </c>
      <c r="N28" s="44">
        <v>56.023000000000003</v>
      </c>
      <c r="O28" s="41">
        <v>2216</v>
      </c>
      <c r="P28" s="41">
        <v>15.24</v>
      </c>
      <c r="Q28" s="41">
        <v>51.3</v>
      </c>
      <c r="R28" s="45" t="s">
        <v>1307</v>
      </c>
      <c r="S28" s="45" t="s">
        <v>1307</v>
      </c>
      <c r="T28" s="45" t="s">
        <v>1307</v>
      </c>
      <c r="U28" s="44">
        <v>536.96500000000003</v>
      </c>
      <c r="V28" s="44">
        <v>1120.383</v>
      </c>
      <c r="W28" s="44">
        <v>271.71760068877546</v>
      </c>
      <c r="X28" s="44">
        <v>67.885861994999999</v>
      </c>
      <c r="Y28" s="130" t="s">
        <v>3822</v>
      </c>
      <c r="Z28" s="224"/>
    </row>
    <row r="29" spans="2:26" ht="15" customHeight="1" x14ac:dyDescent="0.35">
      <c r="B29" s="181">
        <v>16013</v>
      </c>
      <c r="C29" s="182" t="s">
        <v>85</v>
      </c>
      <c r="D29" s="222">
        <v>3</v>
      </c>
      <c r="E29" s="223" t="s">
        <v>1400</v>
      </c>
      <c r="F29" s="183" t="s">
        <v>1401</v>
      </c>
      <c r="G29" s="125">
        <v>1.0917652597210774</v>
      </c>
      <c r="H29" s="121" t="s">
        <v>1336</v>
      </c>
      <c r="I29" s="122">
        <v>53.622807017543856</v>
      </c>
      <c r="J29" s="106" t="s">
        <v>4656</v>
      </c>
      <c r="K29" s="118">
        <v>59</v>
      </c>
      <c r="L29" s="46">
        <v>1.9172652301143922</v>
      </c>
      <c r="M29" s="41">
        <v>113.11864857674914</v>
      </c>
      <c r="N29" s="44">
        <v>1.6779999999999999</v>
      </c>
      <c r="O29" s="41">
        <v>59</v>
      </c>
      <c r="P29" s="41">
        <v>12</v>
      </c>
      <c r="Q29" s="41">
        <v>35</v>
      </c>
      <c r="R29" s="45" t="s">
        <v>1307</v>
      </c>
      <c r="S29" s="45" t="s">
        <v>1307</v>
      </c>
      <c r="T29" s="45" t="s">
        <v>1307</v>
      </c>
      <c r="U29" s="44">
        <v>11.202506999999999</v>
      </c>
      <c r="V29" s="44">
        <v>25.952999999999999</v>
      </c>
      <c r="W29" s="44">
        <v>1.3264441326530578</v>
      </c>
      <c r="X29" s="44">
        <v>1.2149535999999999</v>
      </c>
      <c r="Y29" s="130" t="s">
        <v>3823</v>
      </c>
      <c r="Z29" s="224"/>
    </row>
    <row r="30" spans="2:26" ht="15" customHeight="1" x14ac:dyDescent="0.35">
      <c r="B30" s="181">
        <v>96005</v>
      </c>
      <c r="C30" s="182" t="s">
        <v>994</v>
      </c>
      <c r="D30" s="222">
        <v>9</v>
      </c>
      <c r="E30" s="223" t="s">
        <v>1511</v>
      </c>
      <c r="F30" s="183" t="s">
        <v>1512</v>
      </c>
      <c r="G30" s="125">
        <v>2.5139175154583429</v>
      </c>
      <c r="H30" s="121" t="s">
        <v>1336</v>
      </c>
      <c r="I30" s="122">
        <v>58</v>
      </c>
      <c r="J30" s="106" t="s">
        <v>4656</v>
      </c>
      <c r="K30" s="118">
        <v>234</v>
      </c>
      <c r="L30" s="46">
        <v>1.1956521739130435</v>
      </c>
      <c r="M30" s="41">
        <v>279.78260869565219</v>
      </c>
      <c r="N30" s="44">
        <v>19.8</v>
      </c>
      <c r="O30" s="41">
        <v>275</v>
      </c>
      <c r="P30" s="41">
        <v>20</v>
      </c>
      <c r="Q30" s="41">
        <v>56</v>
      </c>
      <c r="R30" s="45" t="s">
        <v>1307</v>
      </c>
      <c r="S30" s="45" t="s">
        <v>1307</v>
      </c>
      <c r="T30" s="45" t="s">
        <v>1307</v>
      </c>
      <c r="U30" s="44">
        <v>31.470461718446629</v>
      </c>
      <c r="V30" s="44">
        <v>118.10916666666665</v>
      </c>
      <c r="W30" s="44">
        <v>36.683375999999946</v>
      </c>
      <c r="X30" s="44">
        <v>14.592116000000004</v>
      </c>
      <c r="Y30" s="130" t="s">
        <v>3824</v>
      </c>
      <c r="Z30" s="224"/>
    </row>
    <row r="31" spans="2:26" ht="15" customHeight="1" x14ac:dyDescent="0.35">
      <c r="B31" s="181">
        <v>85020</v>
      </c>
      <c r="C31" s="182" t="s">
        <v>873</v>
      </c>
      <c r="D31" s="222">
        <v>8</v>
      </c>
      <c r="E31" s="223" t="s">
        <v>1436</v>
      </c>
      <c r="F31" s="183" t="s">
        <v>1436</v>
      </c>
      <c r="G31" s="125">
        <v>9.1167442140990413</v>
      </c>
      <c r="H31" s="121" t="s">
        <v>1336</v>
      </c>
      <c r="I31" s="122">
        <v>61.263157894736857</v>
      </c>
      <c r="J31" s="106" t="s">
        <v>4656</v>
      </c>
      <c r="K31" s="118">
        <v>320</v>
      </c>
      <c r="L31" s="46">
        <v>1.98</v>
      </c>
      <c r="M31" s="41">
        <v>633.6</v>
      </c>
      <c r="N31" s="44">
        <v>7.2229999999999999</v>
      </c>
      <c r="O31" s="41">
        <v>282</v>
      </c>
      <c r="P31" s="41">
        <v>8</v>
      </c>
      <c r="Q31" s="41">
        <v>37.89</v>
      </c>
      <c r="R31" s="45" t="s">
        <v>1307</v>
      </c>
      <c r="S31" s="45" t="s">
        <v>1307</v>
      </c>
      <c r="T31" s="45" t="s">
        <v>1307</v>
      </c>
      <c r="U31" s="44">
        <v>61.4</v>
      </c>
      <c r="V31" s="44">
        <v>209.39500000000001</v>
      </c>
      <c r="W31" s="44">
        <v>51.948045612244911</v>
      </c>
      <c r="X31" s="44">
        <v>5.6980918179</v>
      </c>
      <c r="Y31" s="130" t="s">
        <v>3825</v>
      </c>
      <c r="Z31" s="224"/>
    </row>
    <row r="32" spans="2:26" ht="15" customHeight="1" x14ac:dyDescent="0.35">
      <c r="B32" s="181">
        <v>27028</v>
      </c>
      <c r="C32" s="182" t="s">
        <v>180</v>
      </c>
      <c r="D32" s="222">
        <v>12</v>
      </c>
      <c r="E32" s="223" t="s">
        <v>1514</v>
      </c>
      <c r="F32" s="183" t="s">
        <v>1515</v>
      </c>
      <c r="G32" s="125">
        <v>0.91615228405100502</v>
      </c>
      <c r="H32" s="121" t="s">
        <v>1336</v>
      </c>
      <c r="I32" s="122">
        <v>64.45614035087722</v>
      </c>
      <c r="J32" s="106" t="s">
        <v>4656</v>
      </c>
      <c r="K32" s="118">
        <v>2008</v>
      </c>
      <c r="L32" s="46">
        <v>2.25</v>
      </c>
      <c r="M32" s="41">
        <v>4518</v>
      </c>
      <c r="N32" s="44">
        <v>41.06</v>
      </c>
      <c r="O32" s="41">
        <v>1968</v>
      </c>
      <c r="P32" s="41">
        <v>6</v>
      </c>
      <c r="Q32" s="41">
        <v>49</v>
      </c>
      <c r="R32" s="45" t="s">
        <v>1307</v>
      </c>
      <c r="S32" s="45" t="s">
        <v>1307</v>
      </c>
      <c r="T32" s="45" t="s">
        <v>1307</v>
      </c>
      <c r="U32" s="44">
        <v>454.15312499999999</v>
      </c>
      <c r="V32" s="44">
        <v>690.63599999999997</v>
      </c>
      <c r="W32" s="44">
        <v>42.744222490305972</v>
      </c>
      <c r="X32" s="44">
        <v>46.656241799999997</v>
      </c>
      <c r="Y32" s="130" t="s">
        <v>3826</v>
      </c>
      <c r="Z32" s="224"/>
    </row>
    <row r="33" spans="2:26" ht="15" customHeight="1" x14ac:dyDescent="0.35">
      <c r="B33" s="181">
        <v>70022</v>
      </c>
      <c r="C33" s="182" t="s">
        <v>699</v>
      </c>
      <c r="D33" s="222">
        <v>16</v>
      </c>
      <c r="E33" s="223" t="s">
        <v>1439</v>
      </c>
      <c r="F33" s="183" t="s">
        <v>1440</v>
      </c>
      <c r="G33" s="125">
        <v>8.7871947179451784</v>
      </c>
      <c r="H33" s="121" t="s">
        <v>1441</v>
      </c>
      <c r="I33" s="122">
        <v>61</v>
      </c>
      <c r="J33" s="106" t="s">
        <v>4656</v>
      </c>
      <c r="K33" s="118">
        <v>5358</v>
      </c>
      <c r="L33" s="46">
        <v>2.2634996582365003</v>
      </c>
      <c r="M33" s="41">
        <v>12127.83116883117</v>
      </c>
      <c r="N33" s="44">
        <v>60.408000000000001</v>
      </c>
      <c r="O33" s="41">
        <v>5461</v>
      </c>
      <c r="P33" s="41">
        <v>8</v>
      </c>
      <c r="Q33" s="41">
        <v>42.2</v>
      </c>
      <c r="R33" s="45" t="s">
        <v>1307</v>
      </c>
      <c r="S33" s="45" t="s">
        <v>1324</v>
      </c>
      <c r="T33" s="45" t="s">
        <v>1324</v>
      </c>
      <c r="U33" s="44">
        <v>1094.6339060982193</v>
      </c>
      <c r="V33" s="44">
        <v>2110.3150000000001</v>
      </c>
      <c r="W33" s="44">
        <v>886.31286136597942</v>
      </c>
      <c r="X33" s="44">
        <v>100.864142632</v>
      </c>
      <c r="Y33" s="130" t="s">
        <v>3827</v>
      </c>
      <c r="Z33" s="224"/>
    </row>
    <row r="34" spans="2:26" ht="15" customHeight="1" x14ac:dyDescent="0.35">
      <c r="B34" s="181">
        <v>70022</v>
      </c>
      <c r="C34" s="182" t="s">
        <v>699</v>
      </c>
      <c r="D34" s="222">
        <v>16</v>
      </c>
      <c r="E34" s="223" t="s">
        <v>1442</v>
      </c>
      <c r="F34" s="183" t="s">
        <v>1410</v>
      </c>
      <c r="G34" s="125">
        <v>11.565511839536715</v>
      </c>
      <c r="H34" s="121" t="s">
        <v>1325</v>
      </c>
      <c r="I34" s="122">
        <v>60</v>
      </c>
      <c r="J34" s="106" t="s">
        <v>4656</v>
      </c>
      <c r="K34" s="118">
        <v>1538</v>
      </c>
      <c r="L34" s="46">
        <v>2.2634996582365003</v>
      </c>
      <c r="M34" s="41">
        <v>3481.2624743677375</v>
      </c>
      <c r="N34" s="44">
        <v>34.652999999999999</v>
      </c>
      <c r="O34" s="41">
        <v>1576</v>
      </c>
      <c r="P34" s="41">
        <v>8</v>
      </c>
      <c r="Q34" s="41">
        <v>38.11</v>
      </c>
      <c r="R34" s="45" t="s">
        <v>1307</v>
      </c>
      <c r="S34" s="45" t="s">
        <v>1324</v>
      </c>
      <c r="T34" s="45" t="s">
        <v>1324</v>
      </c>
      <c r="U34" s="44">
        <v>329.62992639447958</v>
      </c>
      <c r="V34" s="44">
        <v>741.65599999999995</v>
      </c>
      <c r="W34" s="44">
        <v>353.89203394329894</v>
      </c>
      <c r="X34" s="44">
        <v>30.598908103099998</v>
      </c>
      <c r="Y34" s="130" t="s">
        <v>3828</v>
      </c>
      <c r="Z34" s="224"/>
    </row>
    <row r="35" spans="2:26" ht="15" customHeight="1" x14ac:dyDescent="0.35">
      <c r="B35" s="181">
        <v>31008</v>
      </c>
      <c r="C35" s="182" t="s">
        <v>237</v>
      </c>
      <c r="D35" s="222">
        <v>12</v>
      </c>
      <c r="E35" s="223" t="s">
        <v>237</v>
      </c>
      <c r="F35" s="183" t="s">
        <v>1404</v>
      </c>
      <c r="G35" s="125">
        <v>0.69473097905290981</v>
      </c>
      <c r="H35" s="121" t="s">
        <v>1325</v>
      </c>
      <c r="I35" s="122">
        <v>58.72972972972974</v>
      </c>
      <c r="J35" s="106" t="s">
        <v>4656</v>
      </c>
      <c r="K35" s="118">
        <v>169</v>
      </c>
      <c r="L35" s="46">
        <v>1.8660194174757281</v>
      </c>
      <c r="M35" s="41">
        <v>315.35728155339802</v>
      </c>
      <c r="N35" s="44">
        <v>6.2149999999999999</v>
      </c>
      <c r="O35" s="41">
        <v>209</v>
      </c>
      <c r="P35" s="41">
        <v>15</v>
      </c>
      <c r="Q35" s="41">
        <v>42</v>
      </c>
      <c r="R35" s="45" t="s">
        <v>1324</v>
      </c>
      <c r="S35" s="45" t="s">
        <v>1324</v>
      </c>
      <c r="T35" s="45" t="s">
        <v>1324</v>
      </c>
      <c r="U35" s="44">
        <v>43.722000000000001</v>
      </c>
      <c r="V35" s="44">
        <v>51.142000000000003</v>
      </c>
      <c r="W35" s="44">
        <v>3.806870000000008</v>
      </c>
      <c r="X35" s="44">
        <v>5.4796318500000005</v>
      </c>
      <c r="Y35" s="130" t="s">
        <v>3829</v>
      </c>
      <c r="Z35" s="224" t="s">
        <v>3830</v>
      </c>
    </row>
    <row r="36" spans="2:26" ht="15" customHeight="1" x14ac:dyDescent="0.35">
      <c r="B36" s="181">
        <v>19105</v>
      </c>
      <c r="C36" s="182" t="s">
        <v>135</v>
      </c>
      <c r="D36" s="222">
        <v>12</v>
      </c>
      <c r="E36" s="223" t="s">
        <v>1467</v>
      </c>
      <c r="F36" s="183" t="s">
        <v>1468</v>
      </c>
      <c r="G36" s="125">
        <v>1.9281600932856773</v>
      </c>
      <c r="H36" s="121" t="s">
        <v>1325</v>
      </c>
      <c r="I36" s="122">
        <v>42.744186046511629</v>
      </c>
      <c r="J36" s="106" t="s">
        <v>4656</v>
      </c>
      <c r="K36" s="118">
        <v>705</v>
      </c>
      <c r="L36" s="46">
        <v>2.4812656119900085</v>
      </c>
      <c r="M36" s="41">
        <v>1749.2922564529561</v>
      </c>
      <c r="N36" s="44">
        <v>14.207000000000001</v>
      </c>
      <c r="O36" s="41">
        <v>662</v>
      </c>
      <c r="P36" s="41">
        <v>10</v>
      </c>
      <c r="Q36" s="41">
        <v>42</v>
      </c>
      <c r="R36" s="45" t="s">
        <v>1324</v>
      </c>
      <c r="S36" s="45" t="s">
        <v>1324</v>
      </c>
      <c r="T36" s="45" t="s">
        <v>1324</v>
      </c>
      <c r="U36" s="44">
        <v>96.223736187845304</v>
      </c>
      <c r="V36" s="44">
        <v>128.85499999999999</v>
      </c>
      <c r="W36" s="44">
        <v>28.105174999999999</v>
      </c>
      <c r="X36" s="44">
        <v>14.57616258</v>
      </c>
      <c r="Y36" s="130" t="s">
        <v>3831</v>
      </c>
      <c r="Z36" s="224"/>
    </row>
    <row r="37" spans="2:26" ht="15" customHeight="1" x14ac:dyDescent="0.35">
      <c r="B37" s="181">
        <v>21025</v>
      </c>
      <c r="C37" s="182" t="s">
        <v>148</v>
      </c>
      <c r="D37" s="222">
        <v>3</v>
      </c>
      <c r="E37" s="223" t="s">
        <v>1446</v>
      </c>
      <c r="F37" s="183" t="s">
        <v>1447</v>
      </c>
      <c r="G37" s="125">
        <v>1.579795720980147</v>
      </c>
      <c r="H37" s="121" t="s">
        <v>1336</v>
      </c>
      <c r="I37" s="122">
        <v>56.225490196078425</v>
      </c>
      <c r="J37" s="106" t="s">
        <v>4656</v>
      </c>
      <c r="K37" s="118">
        <v>2482</v>
      </c>
      <c r="L37" s="46">
        <v>1.52</v>
      </c>
      <c r="M37" s="41">
        <v>3772.64</v>
      </c>
      <c r="N37" s="44">
        <v>45.335000000000001</v>
      </c>
      <c r="O37" s="41">
        <v>2468</v>
      </c>
      <c r="P37" s="41">
        <v>5</v>
      </c>
      <c r="Q37" s="41">
        <v>52.7</v>
      </c>
      <c r="R37" s="45" t="s">
        <v>1307</v>
      </c>
      <c r="S37" s="45" t="s">
        <v>1307</v>
      </c>
      <c r="T37" s="45" t="s">
        <v>1307</v>
      </c>
      <c r="U37" s="44">
        <v>262</v>
      </c>
      <c r="V37" s="44">
        <v>658.904</v>
      </c>
      <c r="W37" s="44">
        <v>94.170782499999959</v>
      </c>
      <c r="X37" s="44">
        <v>59.609468015000019</v>
      </c>
      <c r="Y37" s="130" t="s">
        <v>3832</v>
      </c>
      <c r="Z37" s="224"/>
    </row>
    <row r="38" spans="2:26" ht="15" customHeight="1" x14ac:dyDescent="0.35">
      <c r="B38" s="181">
        <v>38010</v>
      </c>
      <c r="C38" s="182" t="s">
        <v>326</v>
      </c>
      <c r="D38" s="222">
        <v>17</v>
      </c>
      <c r="E38" s="223" t="s">
        <v>1346</v>
      </c>
      <c r="F38" s="183" t="s">
        <v>1451</v>
      </c>
      <c r="G38" s="125">
        <v>2.0950650765453318</v>
      </c>
      <c r="H38" s="121" t="s">
        <v>1373</v>
      </c>
      <c r="I38" s="122">
        <v>51.4653105313647</v>
      </c>
      <c r="J38" s="106" t="s">
        <v>4656</v>
      </c>
      <c r="K38" s="118">
        <v>6369</v>
      </c>
      <c r="L38" s="46">
        <v>2.0779999999999998</v>
      </c>
      <c r="M38" s="41">
        <v>13234.781999999999</v>
      </c>
      <c r="N38" s="44">
        <v>333.04300000000001</v>
      </c>
      <c r="O38" s="41">
        <v>5376</v>
      </c>
      <c r="P38" s="41">
        <v>10</v>
      </c>
      <c r="Q38" s="41">
        <v>55</v>
      </c>
      <c r="R38" s="45" t="s">
        <v>1307</v>
      </c>
      <c r="S38" s="45" t="s">
        <v>1307</v>
      </c>
      <c r="T38" s="45" t="s">
        <v>1307</v>
      </c>
      <c r="U38" s="44">
        <v>1031.8800000000001</v>
      </c>
      <c r="V38" s="44">
        <v>2209.4101000000001</v>
      </c>
      <c r="W38" s="44">
        <v>489.54222473979598</v>
      </c>
      <c r="X38" s="44">
        <v>233.66444805</v>
      </c>
      <c r="Y38" s="130" t="s">
        <v>3833</v>
      </c>
      <c r="Z38" s="224"/>
    </row>
    <row r="39" spans="2:26" ht="15" customHeight="1" x14ac:dyDescent="0.35">
      <c r="B39" s="181">
        <v>46035</v>
      </c>
      <c r="C39" s="182" t="s">
        <v>432</v>
      </c>
      <c r="D39" s="222">
        <v>5</v>
      </c>
      <c r="E39" s="223" t="s">
        <v>1470</v>
      </c>
      <c r="F39" s="183" t="s">
        <v>1471</v>
      </c>
      <c r="G39" s="125">
        <v>7.5866394481489445</v>
      </c>
      <c r="H39" s="121" t="s">
        <v>1336</v>
      </c>
      <c r="I39" s="122">
        <v>54.531365187412732</v>
      </c>
      <c r="J39" s="106" t="s">
        <v>4656</v>
      </c>
      <c r="K39" s="118">
        <v>1474</v>
      </c>
      <c r="L39" s="46">
        <v>2.4425087108013939</v>
      </c>
      <c r="M39" s="41">
        <v>3600.2578397212546</v>
      </c>
      <c r="N39" s="44">
        <v>23.411000000000001</v>
      </c>
      <c r="O39" s="41">
        <v>1105</v>
      </c>
      <c r="P39" s="41">
        <v>9</v>
      </c>
      <c r="Q39" s="41">
        <v>46.4</v>
      </c>
      <c r="R39" s="45" t="s">
        <v>1307</v>
      </c>
      <c r="S39" s="45" t="s">
        <v>1307</v>
      </c>
      <c r="T39" s="45" t="s">
        <v>1307</v>
      </c>
      <c r="U39" s="44">
        <v>280.18400000000003</v>
      </c>
      <c r="V39" s="44">
        <v>784.64</v>
      </c>
      <c r="W39" s="44">
        <v>199.67225933673473</v>
      </c>
      <c r="X39" s="44">
        <v>26.318933528000006</v>
      </c>
      <c r="Y39" s="130" t="s">
        <v>3834</v>
      </c>
      <c r="Z39" s="224"/>
    </row>
    <row r="40" spans="2:26" ht="15" customHeight="1" x14ac:dyDescent="0.35">
      <c r="B40" s="181">
        <v>94250</v>
      </c>
      <c r="C40" s="182" t="s">
        <v>982</v>
      </c>
      <c r="D40" s="222">
        <v>2</v>
      </c>
      <c r="E40" s="223" t="s">
        <v>1407</v>
      </c>
      <c r="F40" s="183" t="s">
        <v>1408</v>
      </c>
      <c r="G40" s="125">
        <v>0.75325903642808278</v>
      </c>
      <c r="H40" s="121" t="s">
        <v>1336</v>
      </c>
      <c r="I40" s="122">
        <v>59.081081081081081</v>
      </c>
      <c r="J40" s="106" t="s">
        <v>4656</v>
      </c>
      <c r="K40" s="118">
        <v>294</v>
      </c>
      <c r="L40" s="46">
        <v>1.9758454106280192</v>
      </c>
      <c r="M40" s="41">
        <v>580.89855072463763</v>
      </c>
      <c r="N40" s="44">
        <v>17.748999999999999</v>
      </c>
      <c r="O40" s="41">
        <v>314</v>
      </c>
      <c r="P40" s="41">
        <v>5</v>
      </c>
      <c r="Q40" s="41">
        <v>35</v>
      </c>
      <c r="R40" s="45" t="s">
        <v>1187</v>
      </c>
      <c r="S40" s="45" t="s">
        <v>1187</v>
      </c>
      <c r="T40" s="45" t="s">
        <v>1187</v>
      </c>
      <c r="U40" s="44">
        <v>51.271000000000001</v>
      </c>
      <c r="V40" s="44">
        <v>67.477999999999994</v>
      </c>
      <c r="W40" s="44">
        <v>5.8693049999999971</v>
      </c>
      <c r="X40" s="44">
        <v>7.7918813</v>
      </c>
      <c r="Y40" s="130" t="s">
        <v>3835</v>
      </c>
      <c r="Z40" s="224" t="s">
        <v>3762</v>
      </c>
    </row>
    <row r="41" spans="2:26" ht="15" customHeight="1" x14ac:dyDescent="0.35">
      <c r="B41" s="181">
        <v>57040</v>
      </c>
      <c r="C41" s="182" t="s">
        <v>588</v>
      </c>
      <c r="D41" s="222">
        <v>16</v>
      </c>
      <c r="E41" s="223" t="s">
        <v>1474</v>
      </c>
      <c r="F41" s="183" t="s">
        <v>1475</v>
      </c>
      <c r="G41" s="125">
        <v>2.037532764893272</v>
      </c>
      <c r="H41" s="121" t="s">
        <v>1373</v>
      </c>
      <c r="I41" s="122">
        <v>58.868421052631575</v>
      </c>
      <c r="J41" s="106" t="s">
        <v>4656</v>
      </c>
      <c r="K41" s="118">
        <v>9716</v>
      </c>
      <c r="L41" s="46">
        <v>2.4769524213203349</v>
      </c>
      <c r="M41" s="41">
        <v>24066.069725548372</v>
      </c>
      <c r="N41" s="44">
        <v>144.858</v>
      </c>
      <c r="O41" s="41">
        <v>10000</v>
      </c>
      <c r="P41" s="41">
        <v>10</v>
      </c>
      <c r="Q41" s="41">
        <v>46</v>
      </c>
      <c r="R41" s="45" t="s">
        <v>1307</v>
      </c>
      <c r="S41" s="45" t="s">
        <v>1307</v>
      </c>
      <c r="T41" s="45" t="s">
        <v>1307</v>
      </c>
      <c r="U41" s="44">
        <v>1949.2909999999999</v>
      </c>
      <c r="V41" s="44">
        <v>2896.31</v>
      </c>
      <c r="W41" s="44">
        <v>448.40795464912259</v>
      </c>
      <c r="X41" s="44">
        <v>220.07398476</v>
      </c>
      <c r="Y41" s="130" t="s">
        <v>3836</v>
      </c>
      <c r="Z41" s="224"/>
    </row>
    <row r="42" spans="2:26" ht="15" customHeight="1" x14ac:dyDescent="0.35">
      <c r="B42" s="181">
        <v>18065</v>
      </c>
      <c r="C42" s="182" t="s">
        <v>116</v>
      </c>
      <c r="D42" s="222">
        <v>12</v>
      </c>
      <c r="E42" s="223" t="s">
        <v>1476</v>
      </c>
      <c r="F42" s="183" t="s">
        <v>1477</v>
      </c>
      <c r="G42" s="125">
        <v>0.30824305675890346</v>
      </c>
      <c r="H42" s="121" t="s">
        <v>1325</v>
      </c>
      <c r="I42" s="122">
        <v>57.04651162790698</v>
      </c>
      <c r="J42" s="106" t="s">
        <v>4656</v>
      </c>
      <c r="K42" s="118">
        <v>618</v>
      </c>
      <c r="L42" s="46">
        <v>2.0817369093231162</v>
      </c>
      <c r="M42" s="41">
        <v>1286.5134099616857</v>
      </c>
      <c r="N42" s="44">
        <v>12.993</v>
      </c>
      <c r="O42" s="41">
        <v>623</v>
      </c>
      <c r="P42" s="41">
        <v>5</v>
      </c>
      <c r="Q42" s="41">
        <v>51</v>
      </c>
      <c r="R42" s="45" t="s">
        <v>1324</v>
      </c>
      <c r="S42" s="45" t="s">
        <v>1324</v>
      </c>
      <c r="T42" s="45" t="s">
        <v>1324</v>
      </c>
      <c r="U42" s="44">
        <v>105.697</v>
      </c>
      <c r="V42" s="44">
        <v>116.09399999999999</v>
      </c>
      <c r="W42" s="44">
        <v>4.6485899999999942</v>
      </c>
      <c r="X42" s="44">
        <v>15.080923635000001</v>
      </c>
      <c r="Y42" s="130" t="s">
        <v>3837</v>
      </c>
      <c r="Z42" s="224"/>
    </row>
    <row r="43" spans="2:26" ht="15" customHeight="1" x14ac:dyDescent="0.35">
      <c r="B43" s="181">
        <v>52035</v>
      </c>
      <c r="C43" s="182" t="s">
        <v>518</v>
      </c>
      <c r="D43" s="222">
        <v>14</v>
      </c>
      <c r="E43" s="223" t="s">
        <v>1479</v>
      </c>
      <c r="F43" s="183" t="s">
        <v>1480</v>
      </c>
      <c r="G43" s="125">
        <v>8.5032381772672831</v>
      </c>
      <c r="H43" s="121" t="s">
        <v>1336</v>
      </c>
      <c r="I43" s="122">
        <v>55.689082016813927</v>
      </c>
      <c r="J43" s="106" t="s">
        <v>4656</v>
      </c>
      <c r="K43" s="118">
        <v>2314</v>
      </c>
      <c r="L43" s="46">
        <v>1.9013590530469093</v>
      </c>
      <c r="M43" s="41">
        <v>4399.744848750548</v>
      </c>
      <c r="N43" s="44">
        <v>31.074999999999999</v>
      </c>
      <c r="O43" s="41">
        <v>1371</v>
      </c>
      <c r="P43" s="41">
        <v>7</v>
      </c>
      <c r="Q43" s="41">
        <v>50.964115999999997</v>
      </c>
      <c r="R43" s="45" t="s">
        <v>1307</v>
      </c>
      <c r="S43" s="45" t="s">
        <v>1307</v>
      </c>
      <c r="T43" s="45" t="s">
        <v>1307</v>
      </c>
      <c r="U43" s="44">
        <v>269.56156657107744</v>
      </c>
      <c r="V43" s="44">
        <v>1906.3410000000001</v>
      </c>
      <c r="W43" s="44">
        <v>299.91432928571453</v>
      </c>
      <c r="X43" s="44">
        <v>35.270601979315494</v>
      </c>
      <c r="Y43" s="130" t="s">
        <v>3838</v>
      </c>
      <c r="Z43" s="224"/>
    </row>
    <row r="44" spans="2:26" ht="15" customHeight="1" x14ac:dyDescent="0.35">
      <c r="B44" s="181">
        <v>13055</v>
      </c>
      <c r="C44" s="182" t="s">
        <v>50</v>
      </c>
      <c r="D44" s="222">
        <v>1</v>
      </c>
      <c r="E44" s="223" t="s">
        <v>1484</v>
      </c>
      <c r="F44" s="183" t="s">
        <v>1485</v>
      </c>
      <c r="G44" s="125">
        <v>5.237775451359922</v>
      </c>
      <c r="H44" s="121" t="s">
        <v>1336</v>
      </c>
      <c r="I44" s="122">
        <v>59.081081081081088</v>
      </c>
      <c r="J44" s="106" t="s">
        <v>4656</v>
      </c>
      <c r="K44" s="118">
        <v>147</v>
      </c>
      <c r="L44" s="46">
        <v>1.78</v>
      </c>
      <c r="M44" s="41">
        <v>261.66000000000003</v>
      </c>
      <c r="N44" s="44">
        <v>5.5049999999999999</v>
      </c>
      <c r="O44" s="41">
        <v>139</v>
      </c>
      <c r="P44" s="41">
        <v>11.236000000000001</v>
      </c>
      <c r="Q44" s="41">
        <v>37.700000000000003</v>
      </c>
      <c r="R44" s="45" t="s">
        <v>1307</v>
      </c>
      <c r="S44" s="45" t="s">
        <v>1307</v>
      </c>
      <c r="T44" s="45" t="s">
        <v>1307</v>
      </c>
      <c r="U44" s="44">
        <v>17.094386503067483</v>
      </c>
      <c r="V44" s="44">
        <v>37.488</v>
      </c>
      <c r="W44" s="44">
        <v>17.970680000000002</v>
      </c>
      <c r="X44" s="44">
        <v>3.4309756435500005</v>
      </c>
      <c r="Y44" s="130" t="s">
        <v>3839</v>
      </c>
      <c r="Z44" s="224"/>
    </row>
    <row r="45" spans="2:26" ht="15" customHeight="1" x14ac:dyDescent="0.35">
      <c r="B45" s="181">
        <v>73015</v>
      </c>
      <c r="C45" s="182" t="s">
        <v>736</v>
      </c>
      <c r="D45" s="222">
        <v>15</v>
      </c>
      <c r="E45" s="223" t="s">
        <v>3708</v>
      </c>
      <c r="F45" s="183" t="s">
        <v>3709</v>
      </c>
      <c r="G45" s="125">
        <v>5.4282103886574706</v>
      </c>
      <c r="H45" s="121" t="s">
        <v>2090</v>
      </c>
      <c r="I45" s="122">
        <v>59.666666666666664</v>
      </c>
      <c r="J45" s="106" t="s">
        <v>4656</v>
      </c>
      <c r="K45" s="118">
        <v>21970</v>
      </c>
      <c r="L45" s="46">
        <v>2.7123805188893946</v>
      </c>
      <c r="M45" s="41">
        <v>59591</v>
      </c>
      <c r="N45" s="44">
        <v>276.27</v>
      </c>
      <c r="O45" s="41">
        <v>22045</v>
      </c>
      <c r="P45" s="41">
        <v>10</v>
      </c>
      <c r="Q45" s="41">
        <v>42</v>
      </c>
      <c r="R45" s="45" t="s">
        <v>1307</v>
      </c>
      <c r="S45" s="45" t="s">
        <v>1307</v>
      </c>
      <c r="T45" s="45" t="s">
        <v>1307</v>
      </c>
      <c r="U45" s="44">
        <v>4024.7672478586483</v>
      </c>
      <c r="V45" s="44">
        <v>7825.6360000000004</v>
      </c>
      <c r="W45" s="44">
        <v>2339.9999166494854</v>
      </c>
      <c r="X45" s="44">
        <v>431.08128629999999</v>
      </c>
      <c r="Y45" s="130" t="s">
        <v>3840</v>
      </c>
      <c r="Z45" s="224"/>
    </row>
    <row r="46" spans="2:26" ht="15" customHeight="1" x14ac:dyDescent="0.35">
      <c r="B46" s="181">
        <v>73005</v>
      </c>
      <c r="C46" s="182" t="s">
        <v>734</v>
      </c>
      <c r="D46" s="222">
        <v>15</v>
      </c>
      <c r="E46" s="223" t="s">
        <v>1505</v>
      </c>
      <c r="F46" s="183" t="s">
        <v>1493</v>
      </c>
      <c r="G46" s="125">
        <v>5.5031672672701015</v>
      </c>
      <c r="H46" s="121" t="s">
        <v>1373</v>
      </c>
      <c r="I46" s="122">
        <v>74</v>
      </c>
      <c r="J46" s="106" t="s">
        <v>4656</v>
      </c>
      <c r="K46" s="118">
        <v>11282</v>
      </c>
      <c r="L46" s="46">
        <v>2.5033815517565281</v>
      </c>
      <c r="M46" s="41">
        <v>28243.15066691715</v>
      </c>
      <c r="N46" s="44">
        <v>128.02699999999999</v>
      </c>
      <c r="O46" s="41">
        <v>8489</v>
      </c>
      <c r="P46" s="41">
        <v>7</v>
      </c>
      <c r="Q46" s="41">
        <v>56</v>
      </c>
      <c r="R46" s="45" t="s">
        <v>1307</v>
      </c>
      <c r="S46" s="45" t="s">
        <v>1307</v>
      </c>
      <c r="T46" s="45" t="s">
        <v>1307</v>
      </c>
      <c r="U46" s="44">
        <v>1812.93388</v>
      </c>
      <c r="V46" s="44">
        <v>4831.46</v>
      </c>
      <c r="W46" s="44">
        <v>1190.2303812727566</v>
      </c>
      <c r="X46" s="44">
        <v>216.28097484000006</v>
      </c>
      <c r="Y46" s="130" t="s">
        <v>3841</v>
      </c>
      <c r="Z46" s="224"/>
    </row>
    <row r="47" spans="2:26" ht="15" customHeight="1" x14ac:dyDescent="0.35">
      <c r="B47" s="181">
        <v>21045</v>
      </c>
      <c r="C47" s="182" t="s">
        <v>152</v>
      </c>
      <c r="D47" s="222">
        <v>3</v>
      </c>
      <c r="E47" s="223" t="s">
        <v>1489</v>
      </c>
      <c r="F47" s="183" t="s">
        <v>1518</v>
      </c>
      <c r="G47" s="125">
        <v>1.6780467884212908</v>
      </c>
      <c r="H47" s="121" t="s">
        <v>1336</v>
      </c>
      <c r="I47" s="122">
        <v>45.608108108108112</v>
      </c>
      <c r="J47" s="106" t="s">
        <v>4656</v>
      </c>
      <c r="K47" s="118">
        <v>3211</v>
      </c>
      <c r="L47" s="46">
        <v>2.6765299260255548</v>
      </c>
      <c r="M47" s="41">
        <v>8594.3375924680568</v>
      </c>
      <c r="N47" s="44">
        <v>46.9</v>
      </c>
      <c r="O47" s="41">
        <v>2906</v>
      </c>
      <c r="P47" s="41">
        <v>6</v>
      </c>
      <c r="Q47" s="41">
        <v>60</v>
      </c>
      <c r="R47" s="45" t="s">
        <v>1307</v>
      </c>
      <c r="S47" s="45" t="s">
        <v>1307</v>
      </c>
      <c r="T47" s="45" t="s">
        <v>1307</v>
      </c>
      <c r="U47" s="44">
        <v>625.55993243656383</v>
      </c>
      <c r="V47" s="44">
        <v>781.44800000000009</v>
      </c>
      <c r="W47" s="44">
        <v>132.47728000000006</v>
      </c>
      <c r="X47" s="44">
        <v>78.947310000000002</v>
      </c>
      <c r="Y47" s="130" t="s">
        <v>3842</v>
      </c>
      <c r="Z47" s="224"/>
    </row>
    <row r="48" spans="2:26" ht="15" customHeight="1" x14ac:dyDescent="0.35">
      <c r="B48" s="181">
        <v>73030</v>
      </c>
      <c r="C48" s="182" t="s">
        <v>739</v>
      </c>
      <c r="D48" s="222">
        <v>15</v>
      </c>
      <c r="E48" s="223" t="s">
        <v>1492</v>
      </c>
      <c r="F48" s="183" t="s">
        <v>1493</v>
      </c>
      <c r="G48" s="125">
        <v>15.219441153821283</v>
      </c>
      <c r="H48" s="121" t="s">
        <v>1336</v>
      </c>
      <c r="I48" s="122">
        <v>57.184210526315788</v>
      </c>
      <c r="J48" s="106" t="s">
        <v>4656</v>
      </c>
      <c r="K48" s="118">
        <v>0</v>
      </c>
      <c r="L48" s="46">
        <v>2.338702036949313</v>
      </c>
      <c r="M48" s="41">
        <v>0</v>
      </c>
      <c r="N48" s="44">
        <v>2.3159999999999998</v>
      </c>
      <c r="O48" s="41">
        <v>52</v>
      </c>
      <c r="P48" s="41">
        <v>15</v>
      </c>
      <c r="Q48" s="41">
        <v>44.8</v>
      </c>
      <c r="R48" s="45" t="s">
        <v>1307</v>
      </c>
      <c r="S48" s="45" t="s">
        <v>1307</v>
      </c>
      <c r="T48" s="45" t="s">
        <v>1307</v>
      </c>
      <c r="U48" s="44">
        <v>0</v>
      </c>
      <c r="V48" s="44">
        <v>76.22</v>
      </c>
      <c r="W48" s="44">
        <v>25.580674999999992</v>
      </c>
      <c r="X48" s="44">
        <v>1.6807893759999999</v>
      </c>
      <c r="Y48" s="130" t="s">
        <v>3843</v>
      </c>
      <c r="Z48" s="224"/>
    </row>
    <row r="49" spans="2:26" ht="15" customHeight="1" x14ac:dyDescent="0.35">
      <c r="B49" s="181">
        <v>73030</v>
      </c>
      <c r="C49" s="182" t="s">
        <v>739</v>
      </c>
      <c r="D49" s="222">
        <v>15</v>
      </c>
      <c r="E49" s="223" t="s">
        <v>1494</v>
      </c>
      <c r="F49" s="183" t="s">
        <v>1495</v>
      </c>
      <c r="G49" s="125">
        <v>4.1443320015608691</v>
      </c>
      <c r="H49" s="121" t="s">
        <v>1336</v>
      </c>
      <c r="I49" s="122">
        <v>65.175438596491233</v>
      </c>
      <c r="J49" s="106" t="s">
        <v>4656</v>
      </c>
      <c r="K49" s="118">
        <v>4533</v>
      </c>
      <c r="L49" s="46">
        <v>2.338702036949313</v>
      </c>
      <c r="M49" s="41">
        <v>10601.336333491236</v>
      </c>
      <c r="N49" s="44">
        <v>44.603000000000002</v>
      </c>
      <c r="O49" s="41">
        <v>3024</v>
      </c>
      <c r="P49" s="41">
        <v>10</v>
      </c>
      <c r="Q49" s="41">
        <v>49.32</v>
      </c>
      <c r="R49" s="45" t="s">
        <v>1307</v>
      </c>
      <c r="S49" s="45" t="s">
        <v>1307</v>
      </c>
      <c r="T49" s="45" t="s">
        <v>1307</v>
      </c>
      <c r="U49" s="44">
        <v>631.17424747303505</v>
      </c>
      <c r="V49" s="44">
        <v>1051.799</v>
      </c>
      <c r="W49" s="44">
        <v>296.78445240816302</v>
      </c>
      <c r="X49" s="44">
        <v>71.612132497199994</v>
      </c>
      <c r="Y49" s="130" t="s">
        <v>3844</v>
      </c>
      <c r="Z49" s="224"/>
    </row>
    <row r="50" spans="2:26" ht="15" customHeight="1" x14ac:dyDescent="0.35">
      <c r="B50" s="181">
        <v>5045</v>
      </c>
      <c r="C50" s="182" t="s">
        <v>1050</v>
      </c>
      <c r="D50" s="222">
        <v>11</v>
      </c>
      <c r="E50" s="223" t="s">
        <v>1497</v>
      </c>
      <c r="F50" s="183" t="s">
        <v>1498</v>
      </c>
      <c r="G50" s="125">
        <v>1.0722164793782452</v>
      </c>
      <c r="H50" s="121" t="s">
        <v>1336</v>
      </c>
      <c r="I50" s="122">
        <v>59.081081081081081</v>
      </c>
      <c r="J50" s="106" t="s">
        <v>4656</v>
      </c>
      <c r="K50" s="118">
        <v>836</v>
      </c>
      <c r="L50" s="46">
        <v>2.1073359073359073</v>
      </c>
      <c r="M50" s="41">
        <v>1761.7328185328186</v>
      </c>
      <c r="N50" s="44">
        <v>23.715</v>
      </c>
      <c r="O50" s="41">
        <v>894</v>
      </c>
      <c r="P50" s="41">
        <v>15</v>
      </c>
      <c r="Q50" s="41">
        <v>53.199999999999996</v>
      </c>
      <c r="R50" s="45" t="s">
        <v>1307</v>
      </c>
      <c r="S50" s="45" t="s">
        <v>1307</v>
      </c>
      <c r="T50" s="45" t="s">
        <v>1307</v>
      </c>
      <c r="U50" s="44">
        <v>245.0709145945946</v>
      </c>
      <c r="V50" s="44">
        <v>306.517</v>
      </c>
      <c r="W50" s="44">
        <v>30.758245000000009</v>
      </c>
      <c r="X50" s="44">
        <v>28.686599759999996</v>
      </c>
      <c r="Y50" s="130" t="s">
        <v>3845</v>
      </c>
      <c r="Z50" s="224"/>
    </row>
    <row r="51" spans="2:26" ht="15" customHeight="1" x14ac:dyDescent="0.35">
      <c r="B51" s="181">
        <v>42040</v>
      </c>
      <c r="C51" s="182" t="s">
        <v>383</v>
      </c>
      <c r="D51" s="222">
        <v>5</v>
      </c>
      <c r="E51" s="223" t="s">
        <v>3701</v>
      </c>
      <c r="F51" s="183" t="s">
        <v>3702</v>
      </c>
      <c r="G51" s="125">
        <v>0.39367456644234616</v>
      </c>
      <c r="H51" s="121" t="s">
        <v>1336</v>
      </c>
      <c r="I51" s="122">
        <v>64</v>
      </c>
      <c r="J51" s="106" t="s">
        <v>4656</v>
      </c>
      <c r="K51" s="118">
        <v>141</v>
      </c>
      <c r="L51" s="46">
        <v>2.1419141914191417</v>
      </c>
      <c r="M51" s="41">
        <v>302.00990099009897</v>
      </c>
      <c r="N51" s="44">
        <v>9.7539999999999996</v>
      </c>
      <c r="O51" s="41">
        <v>118</v>
      </c>
      <c r="P51" s="41">
        <v>10</v>
      </c>
      <c r="Q51" s="41">
        <v>50.8</v>
      </c>
      <c r="R51" s="45" t="s">
        <v>1307</v>
      </c>
      <c r="S51" s="45" t="s">
        <v>1307</v>
      </c>
      <c r="T51" s="45" t="s">
        <v>1307</v>
      </c>
      <c r="U51" s="44">
        <v>19.988838726708071</v>
      </c>
      <c r="V51" s="44">
        <v>25.390999999999998</v>
      </c>
      <c r="W51" s="44">
        <v>2.1859999999999999</v>
      </c>
      <c r="X51" s="44">
        <v>5.5528098239999988</v>
      </c>
      <c r="Y51" s="130" t="s">
        <v>3846</v>
      </c>
      <c r="Z51" s="224"/>
    </row>
    <row r="52" spans="2:26" ht="15" customHeight="1" x14ac:dyDescent="0.35">
      <c r="B52" s="181">
        <v>78075</v>
      </c>
      <c r="C52" s="182" t="s">
        <v>778</v>
      </c>
      <c r="D52" s="222">
        <v>15</v>
      </c>
      <c r="E52" s="223" t="s">
        <v>1519</v>
      </c>
      <c r="F52" s="183" t="s">
        <v>1520</v>
      </c>
      <c r="G52" s="125">
        <v>0.96758273205830359</v>
      </c>
      <c r="H52" s="121" t="s">
        <v>1336</v>
      </c>
      <c r="I52" s="122">
        <v>58.554054054054063</v>
      </c>
      <c r="J52" s="106" t="s">
        <v>4656</v>
      </c>
      <c r="K52" s="118">
        <v>402</v>
      </c>
      <c r="L52" s="46">
        <v>2.14</v>
      </c>
      <c r="M52" s="41">
        <v>860.28000000000009</v>
      </c>
      <c r="N52" s="44">
        <v>12.085000000000001</v>
      </c>
      <c r="O52" s="41">
        <v>344</v>
      </c>
      <c r="P52" s="41">
        <v>15</v>
      </c>
      <c r="Q52" s="41">
        <v>70</v>
      </c>
      <c r="R52" s="45" t="s">
        <v>1307</v>
      </c>
      <c r="S52" s="45" t="s">
        <v>1307</v>
      </c>
      <c r="T52" s="45" t="s">
        <v>1307</v>
      </c>
      <c r="U52" s="44">
        <v>64.678409638554214</v>
      </c>
      <c r="V52" s="44">
        <v>90.727999999999994</v>
      </c>
      <c r="W52" s="44">
        <v>15.370246666666663</v>
      </c>
      <c r="X52" s="44">
        <v>15.885201500000001</v>
      </c>
      <c r="Y52" s="130" t="s">
        <v>3847</v>
      </c>
      <c r="Z52" s="224"/>
    </row>
    <row r="53" spans="2:26" ht="15" customHeight="1" x14ac:dyDescent="0.35">
      <c r="B53" s="181">
        <v>46078</v>
      </c>
      <c r="C53" s="182" t="s">
        <v>440</v>
      </c>
      <c r="D53" s="222">
        <v>5</v>
      </c>
      <c r="E53" s="223" t="s">
        <v>1524</v>
      </c>
      <c r="F53" s="183" t="s">
        <v>1525</v>
      </c>
      <c r="G53" s="125">
        <v>1.1261183004275555</v>
      </c>
      <c r="H53" s="121" t="s">
        <v>1336</v>
      </c>
      <c r="I53" s="122">
        <v>64.114035087719316</v>
      </c>
      <c r="J53" s="106" t="s">
        <v>4656</v>
      </c>
      <c r="K53" s="118">
        <v>3832</v>
      </c>
      <c r="L53" s="46">
        <v>1.9981681253816406</v>
      </c>
      <c r="M53" s="41">
        <v>7656.980256462447</v>
      </c>
      <c r="N53" s="44">
        <v>117.26300000000001</v>
      </c>
      <c r="O53" s="41">
        <v>2720</v>
      </c>
      <c r="P53" s="41">
        <v>7.6</v>
      </c>
      <c r="Q53" s="41">
        <v>50.2</v>
      </c>
      <c r="R53" s="45" t="s">
        <v>1307</v>
      </c>
      <c r="S53" s="45" t="s">
        <v>1307</v>
      </c>
      <c r="T53" s="45" t="s">
        <v>1307</v>
      </c>
      <c r="U53" s="44">
        <v>991.89499999999998</v>
      </c>
      <c r="V53" s="44">
        <v>2042.386</v>
      </c>
      <c r="W53" s="44">
        <v>99.115475051020297</v>
      </c>
      <c r="X53" s="44">
        <v>88.015153482000017</v>
      </c>
      <c r="Y53" s="130" t="s">
        <v>3848</v>
      </c>
      <c r="Z53" s="224"/>
    </row>
    <row r="54" spans="2:26" ht="15" customHeight="1" x14ac:dyDescent="0.35">
      <c r="B54" s="181">
        <v>58007</v>
      </c>
      <c r="C54" s="182" t="s">
        <v>594</v>
      </c>
      <c r="D54" s="222">
        <v>16</v>
      </c>
      <c r="E54" s="223">
        <v>169044840701</v>
      </c>
      <c r="F54" s="183" t="s">
        <v>1528</v>
      </c>
      <c r="G54" s="125">
        <v>5.8096107548621578</v>
      </c>
      <c r="H54" s="121" t="s">
        <v>1529</v>
      </c>
      <c r="I54" s="122">
        <v>71.799856527977056</v>
      </c>
      <c r="J54" s="106" t="s">
        <v>4656</v>
      </c>
      <c r="K54" s="118">
        <v>35494</v>
      </c>
      <c r="L54" s="46">
        <v>2.5051736357193479</v>
      </c>
      <c r="M54" s="41">
        <v>88918.633026222538</v>
      </c>
      <c r="N54" s="44">
        <v>355</v>
      </c>
      <c r="O54" s="41">
        <v>23428</v>
      </c>
      <c r="P54" s="41">
        <v>10</v>
      </c>
      <c r="Q54" s="41">
        <v>35.200000000000003</v>
      </c>
      <c r="R54" s="45" t="s">
        <v>1307</v>
      </c>
      <c r="S54" s="45" t="s">
        <v>1324</v>
      </c>
      <c r="T54" s="45" t="s">
        <v>1324</v>
      </c>
      <c r="U54" s="44">
        <v>5884.4129999999996</v>
      </c>
      <c r="V54" s="44">
        <v>10698.615384615385</v>
      </c>
      <c r="W54" s="44">
        <v>2316.2511406882581</v>
      </c>
      <c r="X54" s="44">
        <v>398.69299999999998</v>
      </c>
      <c r="Y54" s="130" t="s">
        <v>3849</v>
      </c>
      <c r="Z54" s="224"/>
    </row>
    <row r="55" spans="2:26" ht="15" customHeight="1" x14ac:dyDescent="0.35">
      <c r="B55" s="181">
        <v>76043</v>
      </c>
      <c r="C55" s="182" t="s">
        <v>752</v>
      </c>
      <c r="D55" s="222">
        <v>15</v>
      </c>
      <c r="E55" s="223" t="s">
        <v>1531</v>
      </c>
      <c r="F55" s="183" t="s">
        <v>1532</v>
      </c>
      <c r="G55" s="125">
        <v>3.2841321914885127</v>
      </c>
      <c r="H55" s="121" t="s">
        <v>1336</v>
      </c>
      <c r="I55" s="122">
        <v>49.999999999999993</v>
      </c>
      <c r="J55" s="106" t="s">
        <v>4656</v>
      </c>
      <c r="K55" s="118">
        <v>240</v>
      </c>
      <c r="L55" s="46">
        <v>2.19</v>
      </c>
      <c r="M55" s="41">
        <v>525.6</v>
      </c>
      <c r="N55" s="44">
        <v>7.7640000000000002</v>
      </c>
      <c r="O55" s="41">
        <v>283</v>
      </c>
      <c r="P55" s="41">
        <v>5</v>
      </c>
      <c r="Q55" s="41">
        <v>49.9</v>
      </c>
      <c r="R55" s="45" t="s">
        <v>1307</v>
      </c>
      <c r="S55" s="45" t="s">
        <v>1307</v>
      </c>
      <c r="T55" s="45" t="s">
        <v>1307</v>
      </c>
      <c r="U55" s="44">
        <v>36.069540636042397</v>
      </c>
      <c r="V55" s="44">
        <v>67.563000000000002</v>
      </c>
      <c r="W55" s="44">
        <v>24.017555000000005</v>
      </c>
      <c r="X55" s="44">
        <v>7.3132120144999995</v>
      </c>
      <c r="Y55" s="130" t="s">
        <v>3850</v>
      </c>
      <c r="Z55" s="224" t="s">
        <v>1533</v>
      </c>
    </row>
    <row r="56" spans="2:26" ht="15" customHeight="1" x14ac:dyDescent="0.35">
      <c r="B56" s="181">
        <v>76043</v>
      </c>
      <c r="C56" s="182" t="s">
        <v>752</v>
      </c>
      <c r="D56" s="222">
        <v>15</v>
      </c>
      <c r="E56" s="223" t="s">
        <v>1534</v>
      </c>
      <c r="F56" s="183" t="s">
        <v>1535</v>
      </c>
      <c r="G56" s="125">
        <v>6.1451174188770148</v>
      </c>
      <c r="H56" s="121" t="s">
        <v>1336</v>
      </c>
      <c r="I56" s="122">
        <v>54.441176470588232</v>
      </c>
      <c r="J56" s="106" t="s">
        <v>4656</v>
      </c>
      <c r="K56" s="118">
        <v>1485</v>
      </c>
      <c r="L56" s="46">
        <v>2.1875187518751877</v>
      </c>
      <c r="M56" s="41">
        <v>3248.4653465346537</v>
      </c>
      <c r="N56" s="44">
        <v>29.045000000000002</v>
      </c>
      <c r="O56" s="41">
        <v>1519</v>
      </c>
      <c r="P56" s="41">
        <v>5</v>
      </c>
      <c r="Q56" s="41">
        <v>54.8</v>
      </c>
      <c r="R56" s="45" t="s">
        <v>1307</v>
      </c>
      <c r="S56" s="45" t="s">
        <v>1307</v>
      </c>
      <c r="T56" s="45" t="s">
        <v>1307</v>
      </c>
      <c r="U56" s="44">
        <v>217.00956521739133</v>
      </c>
      <c r="V56" s="44">
        <v>634.08100000000002</v>
      </c>
      <c r="W56" s="44">
        <v>236.9652880612245</v>
      </c>
      <c r="X56" s="44">
        <v>38.561555770000005</v>
      </c>
      <c r="Y56" s="130" t="s">
        <v>3851</v>
      </c>
      <c r="Z56" s="224" t="s">
        <v>3786</v>
      </c>
    </row>
    <row r="57" spans="2:26" ht="15" customHeight="1" x14ac:dyDescent="0.35">
      <c r="B57" s="181">
        <v>12057</v>
      </c>
      <c r="C57" s="182" t="s">
        <v>37</v>
      </c>
      <c r="D57" s="222">
        <v>1</v>
      </c>
      <c r="E57" s="223" t="s">
        <v>1539</v>
      </c>
      <c r="F57" s="183" t="s">
        <v>1540</v>
      </c>
      <c r="G57" s="125">
        <v>0.51185043163063015</v>
      </c>
      <c r="H57" s="121" t="s">
        <v>1336</v>
      </c>
      <c r="I57" s="122">
        <v>68.843137254901976</v>
      </c>
      <c r="J57" s="106" t="s">
        <v>4656</v>
      </c>
      <c r="K57" s="118">
        <v>592</v>
      </c>
      <c r="L57" s="46">
        <v>1.9518716577540107</v>
      </c>
      <c r="M57" s="41">
        <v>1155.5080213903743</v>
      </c>
      <c r="N57" s="44">
        <v>18.786999999999999</v>
      </c>
      <c r="O57" s="41">
        <v>672</v>
      </c>
      <c r="P57" s="41">
        <v>15</v>
      </c>
      <c r="Q57" s="41">
        <v>49</v>
      </c>
      <c r="R57" s="45" t="s">
        <v>1307</v>
      </c>
      <c r="S57" s="45" t="s">
        <v>1307</v>
      </c>
      <c r="T57" s="45" t="s">
        <v>1307</v>
      </c>
      <c r="U57" s="44">
        <v>94.706999999999994</v>
      </c>
      <c r="V57" s="44">
        <v>130.94</v>
      </c>
      <c r="W57" s="44">
        <v>10.324071785714278</v>
      </c>
      <c r="X57" s="44">
        <v>20.170094910000003</v>
      </c>
      <c r="Y57" s="130" t="s">
        <v>3852</v>
      </c>
      <c r="Z57" s="224"/>
    </row>
    <row r="58" spans="2:26" ht="15" customHeight="1" x14ac:dyDescent="0.35">
      <c r="B58" s="181">
        <v>59030</v>
      </c>
      <c r="C58" s="182" t="s">
        <v>603</v>
      </c>
      <c r="D58" s="222">
        <v>16</v>
      </c>
      <c r="E58" s="223" t="s">
        <v>1542</v>
      </c>
      <c r="F58" s="183" t="s">
        <v>4777</v>
      </c>
      <c r="G58" s="125">
        <v>2.1235177992193401</v>
      </c>
      <c r="H58" s="121" t="s">
        <v>1336</v>
      </c>
      <c r="I58" s="122">
        <v>63.745098039215684</v>
      </c>
      <c r="J58" s="106" t="s">
        <v>4656</v>
      </c>
      <c r="K58" s="118">
        <v>200</v>
      </c>
      <c r="L58" s="46">
        <v>2.4905660377358489</v>
      </c>
      <c r="M58" s="41">
        <v>498.11320754716979</v>
      </c>
      <c r="N58" s="44">
        <v>20.150000000000002</v>
      </c>
      <c r="O58" s="41">
        <v>221</v>
      </c>
      <c r="P58" s="41">
        <v>10</v>
      </c>
      <c r="Q58" s="41">
        <v>54.52</v>
      </c>
      <c r="R58" s="45" t="s">
        <v>1307</v>
      </c>
      <c r="S58" s="45" t="s">
        <v>1307</v>
      </c>
      <c r="T58" s="45" t="s">
        <v>1307</v>
      </c>
      <c r="U58" s="44">
        <v>21.021000000000001</v>
      </c>
      <c r="V58" s="44">
        <v>48.362000000000002</v>
      </c>
      <c r="W58" s="44">
        <v>25.132695408163265</v>
      </c>
      <c r="X58" s="44">
        <v>11.835406050000001</v>
      </c>
      <c r="Y58" s="130" t="s">
        <v>3853</v>
      </c>
      <c r="Z58" s="224" t="s">
        <v>3854</v>
      </c>
    </row>
    <row r="59" spans="2:26" ht="15" customHeight="1" x14ac:dyDescent="0.35">
      <c r="B59" s="181">
        <v>4047</v>
      </c>
      <c r="C59" s="182" t="s">
        <v>1043</v>
      </c>
      <c r="D59" s="222">
        <v>11</v>
      </c>
      <c r="E59" s="223" t="s">
        <v>1544</v>
      </c>
      <c r="F59" s="183" t="s">
        <v>1545</v>
      </c>
      <c r="G59" s="125">
        <v>9.0491560635569481</v>
      </c>
      <c r="H59" s="121" t="s">
        <v>1325</v>
      </c>
      <c r="I59" s="122">
        <v>55.333333333333329</v>
      </c>
      <c r="J59" s="106" t="s">
        <v>4656</v>
      </c>
      <c r="K59" s="118">
        <v>945</v>
      </c>
      <c r="L59" s="46">
        <v>1.8736434108527131</v>
      </c>
      <c r="M59" s="41">
        <v>1770.5930232558139</v>
      </c>
      <c r="N59" s="44">
        <v>29.158999999999999</v>
      </c>
      <c r="O59" s="41">
        <v>1029</v>
      </c>
      <c r="P59" s="41">
        <v>15</v>
      </c>
      <c r="Q59" s="41">
        <v>49</v>
      </c>
      <c r="R59" s="45" t="s">
        <v>1307</v>
      </c>
      <c r="S59" s="45" t="s">
        <v>1307</v>
      </c>
      <c r="T59" s="45" t="s">
        <v>1324</v>
      </c>
      <c r="U59" s="44">
        <v>346.65100671140942</v>
      </c>
      <c r="V59" s="44">
        <v>674.06999999999994</v>
      </c>
      <c r="W59" s="44">
        <v>280.6275706632652</v>
      </c>
      <c r="X59" s="44">
        <v>31.011463245000002</v>
      </c>
      <c r="Y59" s="130" t="s">
        <v>3855</v>
      </c>
      <c r="Z59" s="224" t="s">
        <v>3766</v>
      </c>
    </row>
    <row r="60" spans="2:26" ht="15" customHeight="1" x14ac:dyDescent="0.35">
      <c r="B60" s="181">
        <v>5060</v>
      </c>
      <c r="C60" s="182" t="s">
        <v>1053</v>
      </c>
      <c r="D60" s="222">
        <v>11</v>
      </c>
      <c r="E60" s="223" t="s">
        <v>1550</v>
      </c>
      <c r="F60" s="183" t="s">
        <v>1551</v>
      </c>
      <c r="G60" s="125">
        <v>2.1940789799301075</v>
      </c>
      <c r="H60" s="121" t="s">
        <v>1336</v>
      </c>
      <c r="I60" s="122">
        <v>59.081081081081081</v>
      </c>
      <c r="J60" s="106" t="s">
        <v>4656</v>
      </c>
      <c r="K60" s="118">
        <v>973</v>
      </c>
      <c r="L60" s="46">
        <v>2.1366982124079916</v>
      </c>
      <c r="M60" s="41">
        <v>2079.0073606729757</v>
      </c>
      <c r="N60" s="44">
        <v>22.579000000000001</v>
      </c>
      <c r="O60" s="41">
        <v>772</v>
      </c>
      <c r="P60" s="41">
        <v>15</v>
      </c>
      <c r="Q60" s="41">
        <v>43</v>
      </c>
      <c r="R60" s="45" t="s">
        <v>1307</v>
      </c>
      <c r="S60" s="45" t="s">
        <v>1307</v>
      </c>
      <c r="T60" s="45" t="s">
        <v>1307</v>
      </c>
      <c r="U60" s="44">
        <v>268.34370800781249</v>
      </c>
      <c r="V60" s="44">
        <v>332.63099999999997</v>
      </c>
      <c r="W60" s="44">
        <v>45.232534999999963</v>
      </c>
      <c r="X60" s="44">
        <v>20.615727789999998</v>
      </c>
      <c r="Y60" s="130" t="s">
        <v>3856</v>
      </c>
      <c r="Z60" s="224" t="s">
        <v>3766</v>
      </c>
    </row>
    <row r="61" spans="2:26" ht="15" customHeight="1" x14ac:dyDescent="0.35">
      <c r="B61" s="181">
        <v>18045</v>
      </c>
      <c r="C61" s="182" t="s">
        <v>112</v>
      </c>
      <c r="D61" s="222">
        <v>12</v>
      </c>
      <c r="E61" s="223" t="s">
        <v>3763</v>
      </c>
      <c r="F61" s="183" t="s">
        <v>3764</v>
      </c>
      <c r="G61" s="125">
        <v>10.733453533520931</v>
      </c>
      <c r="H61" s="121" t="s">
        <v>1325</v>
      </c>
      <c r="I61" s="122">
        <v>37.13725490196078</v>
      </c>
      <c r="J61" s="106" t="s">
        <v>4656</v>
      </c>
      <c r="K61" s="118">
        <v>700</v>
      </c>
      <c r="L61" s="46">
        <v>2.2552271088680604</v>
      </c>
      <c r="M61" s="41">
        <v>1578.6589762076424</v>
      </c>
      <c r="N61" s="44">
        <v>19.969000000000001</v>
      </c>
      <c r="O61" s="41">
        <v>609</v>
      </c>
      <c r="P61" s="41">
        <v>15</v>
      </c>
      <c r="Q61" s="41">
        <v>42</v>
      </c>
      <c r="R61" s="45" t="s">
        <v>1307</v>
      </c>
      <c r="S61" s="45" t="s">
        <v>1324</v>
      </c>
      <c r="T61" s="45" t="s">
        <v>1307</v>
      </c>
      <c r="U61" s="44">
        <v>57.034742404227217</v>
      </c>
      <c r="V61" s="44">
        <v>267.28014708994698</v>
      </c>
      <c r="W61" s="44">
        <v>176.88742811436694</v>
      </c>
      <c r="X61" s="44">
        <v>16.480010610000001</v>
      </c>
      <c r="Y61" s="130" t="s">
        <v>4584</v>
      </c>
      <c r="Z61" s="224"/>
    </row>
    <row r="62" spans="2:26" ht="15" customHeight="1" x14ac:dyDescent="0.35">
      <c r="B62" s="181">
        <v>34030</v>
      </c>
      <c r="C62" s="182" t="s">
        <v>288</v>
      </c>
      <c r="D62" s="222">
        <v>3</v>
      </c>
      <c r="E62" s="223" t="s">
        <v>1554</v>
      </c>
      <c r="F62" s="183" t="s">
        <v>1555</v>
      </c>
      <c r="G62" s="125">
        <v>1.3467055456294814</v>
      </c>
      <c r="H62" s="121" t="s">
        <v>1336</v>
      </c>
      <c r="I62" s="122">
        <v>58.378378378378386</v>
      </c>
      <c r="J62" s="106" t="s">
        <v>4656</v>
      </c>
      <c r="K62" s="118">
        <v>1314</v>
      </c>
      <c r="L62" s="46">
        <v>2.3503698722259583</v>
      </c>
      <c r="M62" s="41">
        <v>3088.3860121049092</v>
      </c>
      <c r="N62" s="44">
        <v>30.93</v>
      </c>
      <c r="O62" s="41">
        <v>1483</v>
      </c>
      <c r="P62" s="41">
        <v>8</v>
      </c>
      <c r="Q62" s="41">
        <v>42.2</v>
      </c>
      <c r="R62" s="45" t="s">
        <v>1307</v>
      </c>
      <c r="S62" s="45" t="s">
        <v>1307</v>
      </c>
      <c r="T62" s="45" t="s">
        <v>1307</v>
      </c>
      <c r="U62" s="44">
        <v>209.05550935251799</v>
      </c>
      <c r="V62" s="44">
        <v>267.47000000000003</v>
      </c>
      <c r="W62" s="44">
        <v>42.310950000000027</v>
      </c>
      <c r="X62" s="44">
        <v>31.418115220000008</v>
      </c>
      <c r="Y62" s="130" t="s">
        <v>3857</v>
      </c>
      <c r="Z62" s="224"/>
    </row>
    <row r="63" spans="2:26" ht="15" customHeight="1" x14ac:dyDescent="0.35">
      <c r="B63" s="181">
        <v>57010</v>
      </c>
      <c r="C63" s="182" t="s">
        <v>582</v>
      </c>
      <c r="D63" s="222">
        <v>16</v>
      </c>
      <c r="E63" s="223" t="s">
        <v>1557</v>
      </c>
      <c r="F63" s="183" t="s">
        <v>1558</v>
      </c>
      <c r="G63" s="125">
        <v>0.83385174928448491</v>
      </c>
      <c r="H63" s="121" t="s">
        <v>1325</v>
      </c>
      <c r="I63" s="122">
        <v>36</v>
      </c>
      <c r="J63" s="106" t="s">
        <v>4656</v>
      </c>
      <c r="K63" s="118">
        <v>169</v>
      </c>
      <c r="L63" s="46">
        <v>2.7180809904565386</v>
      </c>
      <c r="M63" s="41">
        <v>459.355687387155</v>
      </c>
      <c r="N63" s="44">
        <v>3.1280000000000001</v>
      </c>
      <c r="O63" s="41">
        <v>130</v>
      </c>
      <c r="P63" s="41">
        <v>9</v>
      </c>
      <c r="Q63" s="41">
        <v>63.27</v>
      </c>
      <c r="R63" s="45" t="s">
        <v>1307</v>
      </c>
      <c r="S63" s="45" t="s">
        <v>1324</v>
      </c>
      <c r="T63" s="45" t="s">
        <v>1324</v>
      </c>
      <c r="U63" s="44">
        <v>60.278959302325582</v>
      </c>
      <c r="V63" s="44">
        <v>65.989000000000004</v>
      </c>
      <c r="W63" s="44">
        <v>3.6501650000000057</v>
      </c>
      <c r="X63" s="44">
        <v>4.3774747767000006</v>
      </c>
      <c r="Y63" s="130" t="s">
        <v>3858</v>
      </c>
      <c r="Z63" s="224"/>
    </row>
    <row r="64" spans="2:26" ht="15" customHeight="1" x14ac:dyDescent="0.35">
      <c r="B64" s="181">
        <v>57010</v>
      </c>
      <c r="C64" s="182" t="s">
        <v>582</v>
      </c>
      <c r="D64" s="222">
        <v>16</v>
      </c>
      <c r="E64" s="223" t="s">
        <v>1559</v>
      </c>
      <c r="F64" s="183" t="s">
        <v>1560</v>
      </c>
      <c r="G64" s="125">
        <v>0.93954951133259257</v>
      </c>
      <c r="H64" s="121" t="s">
        <v>1325</v>
      </c>
      <c r="I64" s="122">
        <v>49.999999999999993</v>
      </c>
      <c r="J64" s="106" t="s">
        <v>4656</v>
      </c>
      <c r="K64" s="118">
        <v>176</v>
      </c>
      <c r="L64" s="46">
        <v>2.7180809904565386</v>
      </c>
      <c r="M64" s="41">
        <v>478.3822543203508</v>
      </c>
      <c r="N64" s="44">
        <v>3.64</v>
      </c>
      <c r="O64" s="41">
        <v>157</v>
      </c>
      <c r="P64" s="41">
        <v>9</v>
      </c>
      <c r="Q64" s="41">
        <v>35.15</v>
      </c>
      <c r="R64" s="45" t="s">
        <v>1307</v>
      </c>
      <c r="S64" s="45" t="s">
        <v>1324</v>
      </c>
      <c r="T64" s="45" t="s">
        <v>1324</v>
      </c>
      <c r="U64" s="44">
        <v>63.881999999999998</v>
      </c>
      <c r="V64" s="44">
        <v>67.626000000000005</v>
      </c>
      <c r="W64" s="44">
        <v>2.7296100000000116</v>
      </c>
      <c r="X64" s="44">
        <v>2.9052327387499997</v>
      </c>
      <c r="Y64" s="130" t="s">
        <v>3765</v>
      </c>
      <c r="Z64" s="224"/>
    </row>
    <row r="65" spans="2:26" ht="15" customHeight="1" x14ac:dyDescent="0.35">
      <c r="B65" s="181">
        <v>57010</v>
      </c>
      <c r="C65" s="182" t="s">
        <v>582</v>
      </c>
      <c r="D65" s="222">
        <v>16</v>
      </c>
      <c r="E65" s="223" t="s">
        <v>1561</v>
      </c>
      <c r="F65" s="183" t="s">
        <v>1562</v>
      </c>
      <c r="G65" s="125">
        <v>1.1583050643742008</v>
      </c>
      <c r="H65" s="121" t="s">
        <v>1325</v>
      </c>
      <c r="I65" s="122">
        <v>58.72972972972974</v>
      </c>
      <c r="J65" s="106" t="s">
        <v>4656</v>
      </c>
      <c r="K65" s="118">
        <v>3282</v>
      </c>
      <c r="L65" s="46">
        <v>2.7180809904565386</v>
      </c>
      <c r="M65" s="41">
        <v>8920.7418106783589</v>
      </c>
      <c r="N65" s="44">
        <v>56.8</v>
      </c>
      <c r="O65" s="41">
        <v>2880</v>
      </c>
      <c r="P65" s="41">
        <v>9</v>
      </c>
      <c r="Q65" s="41">
        <v>52.02</v>
      </c>
      <c r="R65" s="45" t="s">
        <v>1324</v>
      </c>
      <c r="S65" s="45" t="s">
        <v>1324</v>
      </c>
      <c r="T65" s="45" t="s">
        <v>1307</v>
      </c>
      <c r="U65" s="44">
        <v>811.93735253107002</v>
      </c>
      <c r="V65" s="44">
        <v>917.31200000000001</v>
      </c>
      <c r="W65" s="44">
        <v>87.409319999999965</v>
      </c>
      <c r="X65" s="44">
        <v>75.463125120000001</v>
      </c>
      <c r="Y65" s="130" t="s">
        <v>3859</v>
      </c>
      <c r="Z65" s="224"/>
    </row>
    <row r="66" spans="2:26" ht="15" customHeight="1" x14ac:dyDescent="0.35">
      <c r="B66" s="181">
        <v>6013</v>
      </c>
      <c r="C66" s="182" t="s">
        <v>1058</v>
      </c>
      <c r="D66" s="222">
        <v>11</v>
      </c>
      <c r="E66" s="223" t="s">
        <v>1565</v>
      </c>
      <c r="F66" s="183" t="s">
        <v>1566</v>
      </c>
      <c r="G66" s="125">
        <v>6.4113644376513399</v>
      </c>
      <c r="H66" s="121" t="s">
        <v>1325</v>
      </c>
      <c r="I66" s="122">
        <v>59.081081081081081</v>
      </c>
      <c r="J66" s="106" t="s">
        <v>4656</v>
      </c>
      <c r="K66" s="118">
        <v>1825</v>
      </c>
      <c r="L66" s="46">
        <v>2.0291603821015585</v>
      </c>
      <c r="M66" s="41">
        <v>3703.2176973353444</v>
      </c>
      <c r="N66" s="44">
        <v>54.325000000000003</v>
      </c>
      <c r="O66" s="41">
        <v>1987</v>
      </c>
      <c r="P66" s="41">
        <v>12</v>
      </c>
      <c r="Q66" s="41">
        <v>56</v>
      </c>
      <c r="R66" s="45" t="s">
        <v>1324</v>
      </c>
      <c r="S66" s="45" t="s">
        <v>1307</v>
      </c>
      <c r="T66" s="45" t="s">
        <v>1307</v>
      </c>
      <c r="U66" s="44">
        <v>531.22471061902365</v>
      </c>
      <c r="V66" s="44">
        <v>1008.079</v>
      </c>
      <c r="W66" s="44">
        <v>414.57781499999999</v>
      </c>
      <c r="X66" s="44">
        <v>64.662962000000007</v>
      </c>
      <c r="Y66" s="130" t="s">
        <v>3860</v>
      </c>
      <c r="Z66" s="224" t="s">
        <v>3766</v>
      </c>
    </row>
    <row r="67" spans="2:26" ht="15" customHeight="1" x14ac:dyDescent="0.35">
      <c r="B67" s="181">
        <v>7018</v>
      </c>
      <c r="C67" s="182" t="s">
        <v>1070</v>
      </c>
      <c r="D67" s="222">
        <v>1</v>
      </c>
      <c r="E67" s="223" t="s">
        <v>1569</v>
      </c>
      <c r="F67" s="183" t="s">
        <v>1570</v>
      </c>
      <c r="G67" s="125">
        <v>1.9653809340395549</v>
      </c>
      <c r="H67" s="121" t="s">
        <v>1336</v>
      </c>
      <c r="I67" s="122">
        <v>59.081081081081081</v>
      </c>
      <c r="J67" s="106" t="s">
        <v>4656</v>
      </c>
      <c r="K67" s="118">
        <v>884</v>
      </c>
      <c r="L67" s="46">
        <v>2.0841539838854075</v>
      </c>
      <c r="M67" s="41">
        <v>1842.3921217547002</v>
      </c>
      <c r="N67" s="44">
        <v>20.48</v>
      </c>
      <c r="O67" s="41">
        <v>751</v>
      </c>
      <c r="P67" s="41">
        <v>7</v>
      </c>
      <c r="Q67" s="41">
        <v>57</v>
      </c>
      <c r="R67" s="45" t="s">
        <v>1307</v>
      </c>
      <c r="S67" s="45" t="s">
        <v>1307</v>
      </c>
      <c r="T67" s="45" t="s">
        <v>1307</v>
      </c>
      <c r="U67" s="44">
        <v>238.40244301075268</v>
      </c>
      <c r="V67" s="44">
        <v>300.327</v>
      </c>
      <c r="W67" s="44">
        <v>45.014095000000012</v>
      </c>
      <c r="X67" s="44">
        <v>22.903496324999999</v>
      </c>
      <c r="Y67" s="130" t="s">
        <v>3861</v>
      </c>
      <c r="Z67" s="224" t="s">
        <v>3766</v>
      </c>
    </row>
    <row r="68" spans="2:26" ht="15" customHeight="1" x14ac:dyDescent="0.35">
      <c r="B68" s="181">
        <v>57005</v>
      </c>
      <c r="C68" s="182" t="s">
        <v>581</v>
      </c>
      <c r="D68" s="222">
        <v>16</v>
      </c>
      <c r="E68" s="223" t="s">
        <v>3711</v>
      </c>
      <c r="F68" s="183" t="s">
        <v>3712</v>
      </c>
      <c r="G68" s="125">
        <v>1.1237023095087677</v>
      </c>
      <c r="H68" s="121" t="s">
        <v>1441</v>
      </c>
      <c r="I68" s="122">
        <v>50</v>
      </c>
      <c r="J68" s="106" t="s">
        <v>4656</v>
      </c>
      <c r="K68" s="118">
        <v>11913</v>
      </c>
      <c r="L68" s="46">
        <v>2.5520635183194109</v>
      </c>
      <c r="M68" s="41">
        <v>30402.732693739141</v>
      </c>
      <c r="N68" s="44">
        <v>152.06</v>
      </c>
      <c r="O68" s="41">
        <v>11888</v>
      </c>
      <c r="P68" s="41">
        <v>12</v>
      </c>
      <c r="Q68" s="41">
        <v>39.799999999999997</v>
      </c>
      <c r="R68" s="45" t="s">
        <v>1307</v>
      </c>
      <c r="S68" s="45" t="s">
        <v>1324</v>
      </c>
      <c r="T68" s="45" t="s">
        <v>1307</v>
      </c>
      <c r="U68" s="44">
        <v>2851.5357327578981</v>
      </c>
      <c r="V68" s="44">
        <v>4101</v>
      </c>
      <c r="W68" s="44">
        <v>258.1461479591843</v>
      </c>
      <c r="X68" s="44">
        <v>229.72823475999996</v>
      </c>
      <c r="Y68" s="130" t="s">
        <v>3862</v>
      </c>
      <c r="Z68" s="224" t="s">
        <v>3863</v>
      </c>
    </row>
    <row r="69" spans="2:26" ht="15" customHeight="1" x14ac:dyDescent="0.35">
      <c r="B69" s="181">
        <v>91020</v>
      </c>
      <c r="C69" s="182" t="s">
        <v>940</v>
      </c>
      <c r="D69" s="222">
        <v>2</v>
      </c>
      <c r="E69" s="223" t="s">
        <v>1574</v>
      </c>
      <c r="F69" s="183" t="s">
        <v>1575</v>
      </c>
      <c r="G69" s="125">
        <v>3.512528082133294</v>
      </c>
      <c r="H69" s="121" t="s">
        <v>1325</v>
      </c>
      <c r="I69" s="122">
        <v>30.526315789473685</v>
      </c>
      <c r="J69" s="106" t="s">
        <v>4656</v>
      </c>
      <c r="K69" s="118">
        <v>878</v>
      </c>
      <c r="L69" s="46">
        <v>2.0045558086560367</v>
      </c>
      <c r="M69" s="41">
        <v>1760.0000000000002</v>
      </c>
      <c r="N69" s="44">
        <v>13.25</v>
      </c>
      <c r="O69" s="41">
        <v>700</v>
      </c>
      <c r="P69" s="41">
        <v>9</v>
      </c>
      <c r="Q69" s="41">
        <v>70</v>
      </c>
      <c r="R69" s="45" t="s">
        <v>1324</v>
      </c>
      <c r="S69" s="45" t="s">
        <v>1324</v>
      </c>
      <c r="T69" s="45" t="s">
        <v>1307</v>
      </c>
      <c r="U69" s="44">
        <v>168.863</v>
      </c>
      <c r="V69" s="44">
        <v>333.02870000000001</v>
      </c>
      <c r="W69" s="44">
        <v>85.796308428571407</v>
      </c>
      <c r="X69" s="44">
        <v>24.425799999999999</v>
      </c>
      <c r="Y69" s="130" t="s">
        <v>3864</v>
      </c>
      <c r="Z69" s="224"/>
    </row>
    <row r="70" spans="2:26" ht="15" customHeight="1" x14ac:dyDescent="0.35">
      <c r="B70" s="181">
        <v>2028</v>
      </c>
      <c r="C70" s="182" t="s">
        <v>1029</v>
      </c>
      <c r="D70" s="222">
        <v>11</v>
      </c>
      <c r="E70" s="223" t="s">
        <v>1577</v>
      </c>
      <c r="F70" s="183" t="s">
        <v>1578</v>
      </c>
      <c r="G70" s="125">
        <v>9.410485929592042</v>
      </c>
      <c r="H70" s="121" t="s">
        <v>1336</v>
      </c>
      <c r="I70" s="122">
        <v>56.098039215686271</v>
      </c>
      <c r="J70" s="106" t="s">
        <v>4656</v>
      </c>
      <c r="K70" s="118">
        <v>2344</v>
      </c>
      <c r="L70" s="46">
        <v>2.1396280400572247</v>
      </c>
      <c r="M70" s="41">
        <v>5015.2881258941352</v>
      </c>
      <c r="N70" s="44">
        <v>44.211999999999996</v>
      </c>
      <c r="O70" s="41">
        <v>2873</v>
      </c>
      <c r="P70" s="41">
        <v>14.14</v>
      </c>
      <c r="Q70" s="41">
        <v>53.199999999999996</v>
      </c>
      <c r="R70" s="45" t="s">
        <v>1307</v>
      </c>
      <c r="S70" s="45" t="s">
        <v>1307</v>
      </c>
      <c r="T70" s="45" t="s">
        <v>1307</v>
      </c>
      <c r="U70" s="44">
        <v>954.08077124183012</v>
      </c>
      <c r="V70" s="44">
        <v>1864.873</v>
      </c>
      <c r="W70" s="44">
        <v>750.99925505154624</v>
      </c>
      <c r="X70" s="44">
        <v>79.804513886999999</v>
      </c>
      <c r="Y70" s="130" t="s">
        <v>3865</v>
      </c>
      <c r="Z70" s="224"/>
    </row>
    <row r="71" spans="2:26" ht="15" customHeight="1" x14ac:dyDescent="0.35">
      <c r="B71" s="181">
        <v>2028</v>
      </c>
      <c r="C71" s="182" t="s">
        <v>1029</v>
      </c>
      <c r="D71" s="222">
        <v>11</v>
      </c>
      <c r="E71" s="223" t="s">
        <v>1579</v>
      </c>
      <c r="F71" s="183" t="s">
        <v>1580</v>
      </c>
      <c r="G71" s="125">
        <v>8.0502017099829999</v>
      </c>
      <c r="H71" s="121" t="s">
        <v>1336</v>
      </c>
      <c r="I71" s="122">
        <v>56.098039215686271</v>
      </c>
      <c r="J71" s="106" t="s">
        <v>4656</v>
      </c>
      <c r="K71" s="118">
        <v>1491</v>
      </c>
      <c r="L71" s="46">
        <v>2.1396280400572247</v>
      </c>
      <c r="M71" s="41">
        <v>3190.185407725322</v>
      </c>
      <c r="N71" s="44">
        <v>36.830999999999996</v>
      </c>
      <c r="O71" s="41">
        <v>1348</v>
      </c>
      <c r="P71" s="41">
        <v>10</v>
      </c>
      <c r="Q71" s="41">
        <v>58.8</v>
      </c>
      <c r="R71" s="45" t="s">
        <v>1307</v>
      </c>
      <c r="S71" s="45" t="s">
        <v>1307</v>
      </c>
      <c r="T71" s="45" t="s">
        <v>1307</v>
      </c>
      <c r="U71" s="44">
        <v>530.35358381502897</v>
      </c>
      <c r="V71" s="44">
        <v>970.55700000000002</v>
      </c>
      <c r="W71" s="44">
        <v>359.08503855670102</v>
      </c>
      <c r="X71" s="44">
        <v>44.605719395999998</v>
      </c>
      <c r="Y71" s="130" t="s">
        <v>3866</v>
      </c>
      <c r="Z71" s="224"/>
    </row>
    <row r="72" spans="2:26" ht="15" customHeight="1" x14ac:dyDescent="0.35">
      <c r="B72" s="181">
        <v>99020</v>
      </c>
      <c r="C72" s="182" t="s">
        <v>1021</v>
      </c>
      <c r="D72" s="222">
        <v>10</v>
      </c>
      <c r="E72" s="223" t="s">
        <v>1583</v>
      </c>
      <c r="F72" s="183" t="s">
        <v>1584</v>
      </c>
      <c r="G72" s="125">
        <v>4.407666850111938</v>
      </c>
      <c r="H72" s="121" t="s">
        <v>1336</v>
      </c>
      <c r="I72" s="122">
        <v>59</v>
      </c>
      <c r="J72" s="106" t="s">
        <v>4656</v>
      </c>
      <c r="K72" s="118">
        <v>709</v>
      </c>
      <c r="L72" s="46">
        <v>2.4118476727785598</v>
      </c>
      <c r="M72" s="41">
        <v>1709.9999999999989</v>
      </c>
      <c r="N72" s="44">
        <v>18.399999999999999</v>
      </c>
      <c r="O72" s="41">
        <v>711</v>
      </c>
      <c r="P72" s="41">
        <v>19</v>
      </c>
      <c r="Q72" s="41">
        <v>53.6</v>
      </c>
      <c r="R72" s="45" t="s">
        <v>1307</v>
      </c>
      <c r="S72" s="45" t="s">
        <v>1307</v>
      </c>
      <c r="T72" s="45" t="s">
        <v>1307</v>
      </c>
      <c r="U72" s="44">
        <v>333.16046461436429</v>
      </c>
      <c r="V72" s="44">
        <v>1436.2449999999999</v>
      </c>
      <c r="W72" s="44">
        <v>106.73100000000008</v>
      </c>
      <c r="X72" s="44">
        <v>24.214851899999999</v>
      </c>
      <c r="Y72" s="130" t="s">
        <v>3867</v>
      </c>
      <c r="Z72" s="224"/>
    </row>
    <row r="73" spans="2:26" ht="15" customHeight="1" x14ac:dyDescent="0.35">
      <c r="B73" s="181">
        <v>51080</v>
      </c>
      <c r="C73" s="182" t="s">
        <v>512</v>
      </c>
      <c r="D73" s="222">
        <v>4</v>
      </c>
      <c r="E73" s="223" t="s">
        <v>1587</v>
      </c>
      <c r="F73" s="183" t="s">
        <v>1588</v>
      </c>
      <c r="G73" s="125">
        <v>0.98164733480452426</v>
      </c>
      <c r="H73" s="121" t="s">
        <v>1336</v>
      </c>
      <c r="I73" s="122">
        <v>58.219040623303215</v>
      </c>
      <c r="J73" s="106" t="s">
        <v>4656</v>
      </c>
      <c r="K73" s="118">
        <v>356</v>
      </c>
      <c r="L73" s="46">
        <v>2.0250521920668056</v>
      </c>
      <c r="M73" s="41">
        <v>720.91858037578277</v>
      </c>
      <c r="N73" s="44">
        <v>13.69</v>
      </c>
      <c r="O73" s="41">
        <v>333</v>
      </c>
      <c r="P73" s="41">
        <v>30</v>
      </c>
      <c r="Q73" s="41">
        <v>31.7</v>
      </c>
      <c r="R73" s="45" t="s">
        <v>1307</v>
      </c>
      <c r="S73" s="45" t="s">
        <v>1307</v>
      </c>
      <c r="T73" s="45" t="s">
        <v>1307</v>
      </c>
      <c r="U73" s="44">
        <v>84.754131070496086</v>
      </c>
      <c r="V73" s="44">
        <v>103.46028600000001</v>
      </c>
      <c r="W73" s="44">
        <v>8.6613848171428742</v>
      </c>
      <c r="X73" s="44">
        <v>8.8233161850000013</v>
      </c>
      <c r="Y73" s="130" t="s">
        <v>3868</v>
      </c>
      <c r="Z73" s="224" t="s">
        <v>3761</v>
      </c>
    </row>
    <row r="74" spans="2:26" ht="15" customHeight="1" x14ac:dyDescent="0.35">
      <c r="B74" s="181">
        <v>60005</v>
      </c>
      <c r="C74" s="182" t="s">
        <v>605</v>
      </c>
      <c r="D74" s="222">
        <v>14</v>
      </c>
      <c r="E74" s="223" t="s">
        <v>1592</v>
      </c>
      <c r="F74" s="183">
        <v>13425442</v>
      </c>
      <c r="G74" s="125">
        <v>20.097206157667728</v>
      </c>
      <c r="H74" s="121" t="s">
        <v>1336</v>
      </c>
      <c r="I74" s="122">
        <v>58.156862745098039</v>
      </c>
      <c r="J74" s="106" t="s">
        <v>4656</v>
      </c>
      <c r="K74" s="118">
        <v>3165</v>
      </c>
      <c r="L74" s="46">
        <v>1.9964028776978417</v>
      </c>
      <c r="M74" s="41">
        <v>6318.6151079136689</v>
      </c>
      <c r="N74" s="44">
        <v>25.564</v>
      </c>
      <c r="O74" s="41">
        <v>1390</v>
      </c>
      <c r="P74" s="41">
        <v>6</v>
      </c>
      <c r="Q74" s="41">
        <v>48.92</v>
      </c>
      <c r="R74" s="45" t="s">
        <v>1307</v>
      </c>
      <c r="S74" s="45" t="s">
        <v>1307</v>
      </c>
      <c r="T74" s="45" t="s">
        <v>1307</v>
      </c>
      <c r="U74" s="44">
        <v>467.32299999999998</v>
      </c>
      <c r="V74" s="44">
        <v>1202.8599999999999</v>
      </c>
      <c r="W74" s="44">
        <v>638.98998610824742</v>
      </c>
      <c r="X74" s="44">
        <v>31.794965981600001</v>
      </c>
      <c r="Y74" s="130" t="s">
        <v>3869</v>
      </c>
      <c r="Z74" s="224"/>
    </row>
    <row r="75" spans="2:26" ht="15" customHeight="1" x14ac:dyDescent="0.35">
      <c r="B75" s="181">
        <v>67050</v>
      </c>
      <c r="C75" s="182" t="s">
        <v>671</v>
      </c>
      <c r="D75" s="222">
        <v>16</v>
      </c>
      <c r="E75" s="223" t="s">
        <v>1595</v>
      </c>
      <c r="F75" s="183" t="s">
        <v>1596</v>
      </c>
      <c r="G75" s="125">
        <v>9.6009682366221512</v>
      </c>
      <c r="H75" s="121" t="s">
        <v>1529</v>
      </c>
      <c r="I75" s="122">
        <v>56.990196078431367</v>
      </c>
      <c r="J75" s="106" t="s">
        <v>4656</v>
      </c>
      <c r="K75" s="118">
        <v>19953</v>
      </c>
      <c r="L75" s="46">
        <v>2.5059080075054516</v>
      </c>
      <c r="M75" s="41">
        <v>50000.382473756275</v>
      </c>
      <c r="N75" s="44">
        <v>271</v>
      </c>
      <c r="O75" s="41">
        <v>15856</v>
      </c>
      <c r="P75" s="41">
        <v>10</v>
      </c>
      <c r="Q75" s="41">
        <v>32</v>
      </c>
      <c r="R75" s="45" t="s">
        <v>1324</v>
      </c>
      <c r="S75" s="45" t="s">
        <v>1324</v>
      </c>
      <c r="T75" s="45" t="s">
        <v>1324</v>
      </c>
      <c r="U75" s="44">
        <v>5629.6990838661332</v>
      </c>
      <c r="V75" s="44">
        <v>8980.0849999999991</v>
      </c>
      <c r="W75" s="44">
        <v>2414.0004770618552</v>
      </c>
      <c r="X75" s="44">
        <v>251.43302400000002</v>
      </c>
      <c r="Y75" s="130" t="s">
        <v>3870</v>
      </c>
      <c r="Z75" s="224"/>
    </row>
    <row r="76" spans="2:26" ht="15" customHeight="1" x14ac:dyDescent="0.35">
      <c r="B76" s="181">
        <v>21035</v>
      </c>
      <c r="C76" s="182" t="s">
        <v>150</v>
      </c>
      <c r="D76" s="222">
        <v>3</v>
      </c>
      <c r="E76" s="223" t="s">
        <v>1598</v>
      </c>
      <c r="F76" s="183" t="s">
        <v>1599</v>
      </c>
      <c r="G76" s="125">
        <v>2.6927196021211972</v>
      </c>
      <c r="H76" s="121" t="s">
        <v>1336</v>
      </c>
      <c r="I76" s="122">
        <v>59.608108108108112</v>
      </c>
      <c r="J76" s="106" t="s">
        <v>4656</v>
      </c>
      <c r="K76" s="118">
        <v>2073</v>
      </c>
      <c r="L76" s="46">
        <v>2.33</v>
      </c>
      <c r="M76" s="41">
        <v>4830.09</v>
      </c>
      <c r="N76" s="44">
        <v>41.25</v>
      </c>
      <c r="O76" s="41">
        <v>2002</v>
      </c>
      <c r="P76" s="41">
        <v>16.5</v>
      </c>
      <c r="Q76" s="41">
        <v>51.33</v>
      </c>
      <c r="R76" s="45" t="s">
        <v>1307</v>
      </c>
      <c r="S76" s="45" t="s">
        <v>1307</v>
      </c>
      <c r="T76" s="45" t="s">
        <v>1307</v>
      </c>
      <c r="U76" s="44">
        <v>334.83867526485488</v>
      </c>
      <c r="V76" s="44">
        <v>518.36400000000003</v>
      </c>
      <c r="W76" s="44">
        <v>159.92054000000002</v>
      </c>
      <c r="X76" s="44">
        <v>59.389971341250003</v>
      </c>
      <c r="Y76" s="130" t="s">
        <v>3871</v>
      </c>
      <c r="Z76" s="224" t="s">
        <v>3872</v>
      </c>
    </row>
    <row r="77" spans="2:26" ht="15" customHeight="1" x14ac:dyDescent="0.35">
      <c r="B77" s="181">
        <v>82025</v>
      </c>
      <c r="C77" s="182" t="s">
        <v>832</v>
      </c>
      <c r="D77" s="222">
        <v>7</v>
      </c>
      <c r="E77" s="223" t="s">
        <v>1602</v>
      </c>
      <c r="F77" s="183" t="s">
        <v>1603</v>
      </c>
      <c r="G77" s="125">
        <v>2.1080487290746888</v>
      </c>
      <c r="H77" s="121" t="s">
        <v>1325</v>
      </c>
      <c r="I77" s="122">
        <v>48.605263157894747</v>
      </c>
      <c r="J77" s="106" t="s">
        <v>4656</v>
      </c>
      <c r="K77" s="118">
        <v>104</v>
      </c>
      <c r="L77" s="46">
        <v>2.3625336927223719</v>
      </c>
      <c r="M77" s="41">
        <v>245.70350404312669</v>
      </c>
      <c r="N77" s="44">
        <v>10.818</v>
      </c>
      <c r="O77" s="41">
        <v>163</v>
      </c>
      <c r="P77" s="41">
        <v>9.6</v>
      </c>
      <c r="Q77" s="41">
        <v>39.4</v>
      </c>
      <c r="R77" s="45" t="s">
        <v>1307</v>
      </c>
      <c r="S77" s="45" t="s">
        <v>1307</v>
      </c>
      <c r="T77" s="45" t="s">
        <v>1324</v>
      </c>
      <c r="U77" s="44">
        <v>15.773999999999999</v>
      </c>
      <c r="V77" s="44">
        <v>126.65</v>
      </c>
      <c r="W77" s="44">
        <v>11.042366020408178</v>
      </c>
      <c r="X77" s="44">
        <v>5.2381929640000005</v>
      </c>
      <c r="Y77" s="130" t="s">
        <v>3873</v>
      </c>
      <c r="Z77" s="224"/>
    </row>
    <row r="78" spans="2:26" ht="15" customHeight="1" x14ac:dyDescent="0.35">
      <c r="B78" s="181">
        <v>80103</v>
      </c>
      <c r="C78" s="182" t="s">
        <v>819</v>
      </c>
      <c r="D78" s="222">
        <v>7</v>
      </c>
      <c r="E78" s="223" t="s">
        <v>1606</v>
      </c>
      <c r="F78" s="183" t="s">
        <v>1607</v>
      </c>
      <c r="G78" s="125">
        <v>4.9478492522251321</v>
      </c>
      <c r="H78" s="121" t="s">
        <v>1336</v>
      </c>
      <c r="I78" s="122">
        <v>52.432432432432435</v>
      </c>
      <c r="J78" s="106" t="s">
        <v>4656</v>
      </c>
      <c r="K78" s="118">
        <v>322</v>
      </c>
      <c r="L78" s="46">
        <v>1.89</v>
      </c>
      <c r="M78" s="41">
        <v>608.57999999999993</v>
      </c>
      <c r="N78" s="44">
        <v>10.965</v>
      </c>
      <c r="O78" s="41">
        <v>340</v>
      </c>
      <c r="P78" s="41">
        <v>3</v>
      </c>
      <c r="Q78" s="41">
        <v>40.25</v>
      </c>
      <c r="R78" s="45" t="s">
        <v>1307</v>
      </c>
      <c r="S78" s="45" t="s">
        <v>1307</v>
      </c>
      <c r="T78" s="45" t="s">
        <v>1307</v>
      </c>
      <c r="U78" s="44">
        <v>42.917000000000002</v>
      </c>
      <c r="V78" s="44">
        <v>91.456999999999994</v>
      </c>
      <c r="W78" s="44">
        <v>35.972144999999998</v>
      </c>
      <c r="X78" s="44">
        <v>7.2702588874999998</v>
      </c>
      <c r="Y78" s="130" t="s">
        <v>3874</v>
      </c>
      <c r="Z78" s="224"/>
    </row>
    <row r="79" spans="2:26" ht="15" customHeight="1" x14ac:dyDescent="0.35">
      <c r="B79" s="181">
        <v>62047</v>
      </c>
      <c r="C79" s="182" t="s">
        <v>625</v>
      </c>
      <c r="D79" s="222">
        <v>14</v>
      </c>
      <c r="E79" s="223" t="s">
        <v>1612</v>
      </c>
      <c r="F79" s="183" t="s">
        <v>1613</v>
      </c>
      <c r="G79" s="125">
        <v>3.0541686109225159</v>
      </c>
      <c r="H79" s="121" t="s">
        <v>1336</v>
      </c>
      <c r="I79" s="122">
        <v>59.081081081081081</v>
      </c>
      <c r="J79" s="106" t="s">
        <v>4656</v>
      </c>
      <c r="K79" s="118">
        <v>242</v>
      </c>
      <c r="L79" s="46">
        <v>2.21</v>
      </c>
      <c r="M79" s="41">
        <v>534.81999999999994</v>
      </c>
      <c r="N79" s="44">
        <v>5.5550000000000006</v>
      </c>
      <c r="O79" s="41">
        <v>190</v>
      </c>
      <c r="P79" s="41">
        <v>5</v>
      </c>
      <c r="Q79" s="41">
        <v>57</v>
      </c>
      <c r="R79" s="45" t="s">
        <v>1307</v>
      </c>
      <c r="S79" s="45" t="s">
        <v>1307</v>
      </c>
      <c r="T79" s="45" t="s">
        <v>1307</v>
      </c>
      <c r="U79" s="44">
        <v>44.035326164874554</v>
      </c>
      <c r="V79" s="44">
        <v>69.328999999999994</v>
      </c>
      <c r="W79" s="44">
        <v>17.521064999999989</v>
      </c>
      <c r="X79" s="44">
        <v>5.7367707000000001</v>
      </c>
      <c r="Y79" s="130" t="s">
        <v>3875</v>
      </c>
      <c r="Z79" s="224" t="s">
        <v>3761</v>
      </c>
    </row>
    <row r="80" spans="2:26" ht="15" customHeight="1" x14ac:dyDescent="0.35">
      <c r="B80" s="181">
        <v>39030</v>
      </c>
      <c r="C80" s="182" t="s">
        <v>342</v>
      </c>
      <c r="D80" s="222">
        <v>17</v>
      </c>
      <c r="E80" s="223" t="s">
        <v>1617</v>
      </c>
      <c r="F80" s="183" t="s">
        <v>1618</v>
      </c>
      <c r="G80" s="125">
        <v>1.7916030101366007</v>
      </c>
      <c r="H80" s="121" t="s">
        <v>1325</v>
      </c>
      <c r="I80" s="122">
        <v>53.421052631578959</v>
      </c>
      <c r="J80" s="106" t="s">
        <v>4656</v>
      </c>
      <c r="K80" s="118">
        <v>153</v>
      </c>
      <c r="L80" s="46">
        <v>2.84</v>
      </c>
      <c r="M80" s="41">
        <v>434.52</v>
      </c>
      <c r="N80" s="44">
        <v>4.5170000000000003</v>
      </c>
      <c r="O80" s="41">
        <v>173</v>
      </c>
      <c r="P80" s="41">
        <v>19</v>
      </c>
      <c r="Q80" s="41">
        <v>50</v>
      </c>
      <c r="R80" s="45" t="s">
        <v>1307</v>
      </c>
      <c r="S80" s="45" t="s">
        <v>1324</v>
      </c>
      <c r="T80" s="45" t="s">
        <v>1307</v>
      </c>
      <c r="U80" s="44">
        <v>15.605</v>
      </c>
      <c r="V80" s="44">
        <v>35.431199999999997</v>
      </c>
      <c r="W80" s="44">
        <v>9.8705290765306106</v>
      </c>
      <c r="X80" s="44">
        <v>5.5093282500000003</v>
      </c>
      <c r="Y80" s="130" t="s">
        <v>3876</v>
      </c>
      <c r="Z80" s="224"/>
    </row>
    <row r="81" spans="2:26" ht="15" customHeight="1" x14ac:dyDescent="0.35">
      <c r="B81" s="181">
        <v>99025</v>
      </c>
      <c r="C81" s="182" t="s">
        <v>1022</v>
      </c>
      <c r="D81" s="222">
        <v>10</v>
      </c>
      <c r="E81" s="223" t="s">
        <v>1620</v>
      </c>
      <c r="F81" s="183" t="s">
        <v>1621</v>
      </c>
      <c r="G81" s="125">
        <v>15.723938053342449</v>
      </c>
      <c r="H81" s="121" t="s">
        <v>1336</v>
      </c>
      <c r="I81" s="122">
        <v>59.921568627450974</v>
      </c>
      <c r="J81" s="106" t="s">
        <v>4656</v>
      </c>
      <c r="K81" s="118">
        <v>3263</v>
      </c>
      <c r="L81" s="46">
        <v>2.5254981425194192</v>
      </c>
      <c r="M81" s="41">
        <v>8240.7004390408656</v>
      </c>
      <c r="N81" s="44">
        <v>51.475999999999999</v>
      </c>
      <c r="O81" s="41">
        <v>2465</v>
      </c>
      <c r="P81" s="41">
        <v>10</v>
      </c>
      <c r="Q81" s="41">
        <v>45</v>
      </c>
      <c r="R81" s="45" t="s">
        <v>1307</v>
      </c>
      <c r="S81" s="45" t="s">
        <v>1307</v>
      </c>
      <c r="T81" s="45" t="s">
        <v>1307</v>
      </c>
      <c r="U81" s="44">
        <v>1855.6277813218389</v>
      </c>
      <c r="V81" s="44">
        <v>3357.2646768765717</v>
      </c>
      <c r="W81" s="44">
        <v>907.75686972519645</v>
      </c>
      <c r="X81" s="44">
        <v>57.730885649999998</v>
      </c>
      <c r="Y81" s="130" t="s">
        <v>3877</v>
      </c>
      <c r="Z81" s="224"/>
    </row>
    <row r="82" spans="2:26" ht="15" customHeight="1" x14ac:dyDescent="0.35">
      <c r="B82" s="181">
        <v>96035</v>
      </c>
      <c r="C82" s="182" t="s">
        <v>1000</v>
      </c>
      <c r="D82" s="222">
        <v>9</v>
      </c>
      <c r="E82" s="223" t="s">
        <v>3680</v>
      </c>
      <c r="F82" s="183" t="s">
        <v>3681</v>
      </c>
      <c r="G82" s="125">
        <v>0.94055941190450876</v>
      </c>
      <c r="H82" s="121" t="s">
        <v>1336</v>
      </c>
      <c r="I82" s="122">
        <v>44</v>
      </c>
      <c r="J82" s="106" t="s">
        <v>4656</v>
      </c>
      <c r="K82" s="118">
        <v>738</v>
      </c>
      <c r="L82" s="46">
        <v>2.5799319727891157</v>
      </c>
      <c r="M82" s="41">
        <v>1903.9897959183675</v>
      </c>
      <c r="N82" s="44">
        <v>12.032</v>
      </c>
      <c r="O82" s="41">
        <v>491</v>
      </c>
      <c r="P82" s="41">
        <v>10</v>
      </c>
      <c r="Q82" s="41">
        <v>50</v>
      </c>
      <c r="R82" s="45" t="s">
        <v>1307</v>
      </c>
      <c r="S82" s="45" t="s">
        <v>1307</v>
      </c>
      <c r="T82" s="45" t="s">
        <v>1307</v>
      </c>
      <c r="U82" s="44">
        <v>200.77874869767444</v>
      </c>
      <c r="V82" s="44">
        <v>417.63600000000002</v>
      </c>
      <c r="W82" s="44">
        <v>12.567096000000005</v>
      </c>
      <c r="X82" s="44">
        <v>13.361299499999998</v>
      </c>
      <c r="Y82" s="130" t="s">
        <v>3878</v>
      </c>
      <c r="Z82" s="224"/>
    </row>
    <row r="83" spans="2:26" ht="15" customHeight="1" x14ac:dyDescent="0.35">
      <c r="B83" s="181">
        <v>15035</v>
      </c>
      <c r="C83" s="182" t="s">
        <v>81</v>
      </c>
      <c r="D83" s="222">
        <v>3</v>
      </c>
      <c r="E83" s="223" t="s">
        <v>1625</v>
      </c>
      <c r="F83" s="183" t="s">
        <v>1626</v>
      </c>
      <c r="G83" s="125">
        <v>1.1979181059532205</v>
      </c>
      <c r="H83" s="121" t="s">
        <v>1336</v>
      </c>
      <c r="I83" s="122">
        <v>59.081081081081081</v>
      </c>
      <c r="J83" s="106" t="s">
        <v>4656</v>
      </c>
      <c r="K83" s="118">
        <v>1491</v>
      </c>
      <c r="L83" s="46">
        <v>2.2038352272727271</v>
      </c>
      <c r="M83" s="41">
        <v>3285.918323863636</v>
      </c>
      <c r="N83" s="44">
        <v>34.56</v>
      </c>
      <c r="O83" s="41">
        <v>1609</v>
      </c>
      <c r="P83" s="41">
        <v>6</v>
      </c>
      <c r="Q83" s="41">
        <v>59</v>
      </c>
      <c r="R83" s="45" t="s">
        <v>1307</v>
      </c>
      <c r="S83" s="45" t="s">
        <v>1307</v>
      </c>
      <c r="T83" s="45" t="s">
        <v>1307</v>
      </c>
      <c r="U83" s="44">
        <v>386.21811311373523</v>
      </c>
      <c r="V83" s="44">
        <v>479.45599999999996</v>
      </c>
      <c r="W83" s="44">
        <v>55.480159999999977</v>
      </c>
      <c r="X83" s="44">
        <v>46.313817050000004</v>
      </c>
      <c r="Y83" s="130" t="s">
        <v>3879</v>
      </c>
      <c r="Z83" s="224" t="s">
        <v>3766</v>
      </c>
    </row>
    <row r="84" spans="2:26" ht="15" customHeight="1" x14ac:dyDescent="0.35">
      <c r="B84" s="181">
        <v>44071</v>
      </c>
      <c r="C84" s="182" t="s">
        <v>408</v>
      </c>
      <c r="D84" s="222">
        <v>5</v>
      </c>
      <c r="E84" s="223" t="s">
        <v>1630</v>
      </c>
      <c r="F84" s="183" t="s">
        <v>1632</v>
      </c>
      <c r="G84" s="125">
        <v>0.59237003697573765</v>
      </c>
      <c r="H84" s="121" t="s">
        <v>1336</v>
      </c>
      <c r="I84" s="122">
        <v>60</v>
      </c>
      <c r="J84" s="106" t="s">
        <v>4656</v>
      </c>
      <c r="K84" s="118">
        <v>583</v>
      </c>
      <c r="L84" s="46">
        <v>2.3626040878122634</v>
      </c>
      <c r="M84" s="41">
        <v>1377.3981831945496</v>
      </c>
      <c r="N84" s="44">
        <v>11.561999999999999</v>
      </c>
      <c r="O84" s="41">
        <v>533</v>
      </c>
      <c r="P84" s="41">
        <v>12</v>
      </c>
      <c r="Q84" s="41">
        <v>51</v>
      </c>
      <c r="R84" s="45" t="s">
        <v>1307</v>
      </c>
      <c r="S84" s="45" t="s">
        <v>1307</v>
      </c>
      <c r="T84" s="45" t="s">
        <v>1307</v>
      </c>
      <c r="U84" s="44">
        <v>99.41248116438355</v>
      </c>
      <c r="V84" s="44">
        <v>133.22</v>
      </c>
      <c r="W84" s="44">
        <v>8.76</v>
      </c>
      <c r="X84" s="44">
        <v>14.78805384</v>
      </c>
      <c r="Y84" s="130" t="s">
        <v>3880</v>
      </c>
      <c r="Z84" s="224"/>
    </row>
    <row r="85" spans="2:26" ht="15" customHeight="1" x14ac:dyDescent="0.35">
      <c r="B85" s="181">
        <v>59035</v>
      </c>
      <c r="C85" s="182" t="s">
        <v>604</v>
      </c>
      <c r="D85" s="222">
        <v>16</v>
      </c>
      <c r="E85" s="223" t="s">
        <v>1634</v>
      </c>
      <c r="F85" s="183" t="s">
        <v>1635</v>
      </c>
      <c r="G85" s="125">
        <v>2.2631438248237026</v>
      </c>
      <c r="H85" s="121" t="s">
        <v>1336</v>
      </c>
      <c r="I85" s="122">
        <v>64.114035087719316</v>
      </c>
      <c r="J85" s="106" t="s">
        <v>4656</v>
      </c>
      <c r="K85" s="118">
        <v>4151</v>
      </c>
      <c r="L85" s="46">
        <v>2.335766423357664</v>
      </c>
      <c r="M85" s="41">
        <v>9695.7664233576634</v>
      </c>
      <c r="N85" s="44">
        <v>77.844999999999999</v>
      </c>
      <c r="O85" s="41">
        <v>3528</v>
      </c>
      <c r="P85" s="41">
        <v>15</v>
      </c>
      <c r="Q85" s="41">
        <v>49</v>
      </c>
      <c r="R85" s="45" t="s">
        <v>1307</v>
      </c>
      <c r="S85" s="45" t="s">
        <v>1307</v>
      </c>
      <c r="T85" s="45" t="s">
        <v>1307</v>
      </c>
      <c r="U85" s="44">
        <v>780.38800000000003</v>
      </c>
      <c r="V85" s="44">
        <v>1547.127</v>
      </c>
      <c r="W85" s="44">
        <v>224.50640180412356</v>
      </c>
      <c r="X85" s="44">
        <v>99.201119850000012</v>
      </c>
      <c r="Y85" s="130" t="s">
        <v>3881</v>
      </c>
      <c r="Z85" s="224"/>
    </row>
    <row r="86" spans="2:26" ht="15" customHeight="1" x14ac:dyDescent="0.35">
      <c r="B86" s="181">
        <v>41038</v>
      </c>
      <c r="C86" s="182" t="s">
        <v>369</v>
      </c>
      <c r="D86" s="222">
        <v>5</v>
      </c>
      <c r="E86" s="223" t="s">
        <v>1637</v>
      </c>
      <c r="F86" s="183" t="s">
        <v>1638</v>
      </c>
      <c r="G86" s="125">
        <v>11.975709064121991</v>
      </c>
      <c r="H86" s="121" t="s">
        <v>1336</v>
      </c>
      <c r="I86" s="122">
        <v>59.210526315789487</v>
      </c>
      <c r="J86" s="106" t="s">
        <v>4656</v>
      </c>
      <c r="K86" s="118">
        <v>736</v>
      </c>
      <c r="L86" s="46">
        <v>2.3453050627434013</v>
      </c>
      <c r="M86" s="41">
        <v>1726.1445261791434</v>
      </c>
      <c r="N86" s="44">
        <v>17.521999999999998</v>
      </c>
      <c r="O86" s="41">
        <v>585</v>
      </c>
      <c r="P86" s="41">
        <v>7</v>
      </c>
      <c r="Q86" s="41">
        <v>60.529369204267098</v>
      </c>
      <c r="R86" s="45" t="s">
        <v>1307</v>
      </c>
      <c r="S86" s="45" t="s">
        <v>1307</v>
      </c>
      <c r="T86" s="45" t="s">
        <v>1307</v>
      </c>
      <c r="U86" s="44">
        <v>113.84855345911949</v>
      </c>
      <c r="V86" s="44">
        <v>376.94400000000002</v>
      </c>
      <c r="W86" s="44">
        <v>234.35903803571432</v>
      </c>
      <c r="X86" s="44">
        <v>19.569533359642996</v>
      </c>
      <c r="Y86" s="130" t="s">
        <v>3882</v>
      </c>
      <c r="Z86" s="224"/>
    </row>
    <row r="87" spans="2:26" ht="15" customHeight="1" x14ac:dyDescent="0.35">
      <c r="B87" s="181">
        <v>41038</v>
      </c>
      <c r="C87" s="182" t="s">
        <v>369</v>
      </c>
      <c r="D87" s="222">
        <v>5</v>
      </c>
      <c r="E87" s="223" t="s">
        <v>1639</v>
      </c>
      <c r="F87" s="183" t="s">
        <v>1640</v>
      </c>
      <c r="G87" s="125">
        <v>4.1982711744603467</v>
      </c>
      <c r="H87" s="121" t="s">
        <v>1336</v>
      </c>
      <c r="I87" s="122">
        <v>62.594594594594597</v>
      </c>
      <c r="J87" s="106" t="s">
        <v>4656</v>
      </c>
      <c r="K87" s="118">
        <v>331</v>
      </c>
      <c r="L87" s="46">
        <v>2.3453050627434013</v>
      </c>
      <c r="M87" s="41">
        <v>776.29597576806589</v>
      </c>
      <c r="N87" s="44">
        <v>9.9619999999999997</v>
      </c>
      <c r="O87" s="41">
        <v>312</v>
      </c>
      <c r="P87" s="41">
        <v>7</v>
      </c>
      <c r="Q87" s="41">
        <v>39.840609000000001</v>
      </c>
      <c r="R87" s="45" t="s">
        <v>1307</v>
      </c>
      <c r="S87" s="45" t="s">
        <v>1307</v>
      </c>
      <c r="T87" s="45" t="s">
        <v>1307</v>
      </c>
      <c r="U87" s="44">
        <v>65.921659090909088</v>
      </c>
      <c r="V87" s="44">
        <v>101.14</v>
      </c>
      <c r="W87" s="44">
        <v>29.518900000000002</v>
      </c>
      <c r="X87" s="44">
        <v>7.0312037439540607</v>
      </c>
      <c r="Y87" s="130" t="s">
        <v>3883</v>
      </c>
      <c r="Z87" s="224"/>
    </row>
    <row r="88" spans="2:26" ht="15" customHeight="1" x14ac:dyDescent="0.35">
      <c r="B88" s="181">
        <v>41038</v>
      </c>
      <c r="C88" s="182" t="s">
        <v>369</v>
      </c>
      <c r="D88" s="222">
        <v>5</v>
      </c>
      <c r="E88" s="223" t="s">
        <v>1641</v>
      </c>
      <c r="F88" s="183" t="s">
        <v>1642</v>
      </c>
      <c r="G88" s="125">
        <v>0.85409568761947618</v>
      </c>
      <c r="H88" s="121" t="s">
        <v>1336</v>
      </c>
      <c r="I88" s="122">
        <v>55.243243243243242</v>
      </c>
      <c r="J88" s="106" t="s">
        <v>4656</v>
      </c>
      <c r="K88" s="118">
        <v>29</v>
      </c>
      <c r="L88" s="46">
        <v>2.3453050627434013</v>
      </c>
      <c r="M88" s="41">
        <v>68.013846819558637</v>
      </c>
      <c r="N88" s="44">
        <v>0.874</v>
      </c>
      <c r="O88" s="41">
        <v>30</v>
      </c>
      <c r="P88" s="41">
        <v>7</v>
      </c>
      <c r="Q88" s="41">
        <v>49.972543999999999</v>
      </c>
      <c r="R88" s="45" t="s">
        <v>1307</v>
      </c>
      <c r="S88" s="45" t="s">
        <v>1307</v>
      </c>
      <c r="T88" s="45" t="s">
        <v>1307</v>
      </c>
      <c r="U88" s="44">
        <v>4.0419999999999998</v>
      </c>
      <c r="V88" s="44">
        <v>4.7786</v>
      </c>
      <c r="W88" s="44">
        <v>0.70076050000000001</v>
      </c>
      <c r="X88" s="44">
        <v>0.82047071558592</v>
      </c>
      <c r="Y88" s="130" t="s">
        <v>3884</v>
      </c>
      <c r="Z88" s="224"/>
    </row>
    <row r="89" spans="2:26" ht="15" customHeight="1" x14ac:dyDescent="0.35">
      <c r="B89" s="181">
        <v>71040</v>
      </c>
      <c r="C89" s="182" t="s">
        <v>709</v>
      </c>
      <c r="D89" s="222">
        <v>16</v>
      </c>
      <c r="E89" s="223" t="s">
        <v>1398</v>
      </c>
      <c r="F89" s="183" t="s">
        <v>4778</v>
      </c>
      <c r="G89" s="125">
        <v>1.7379512847413217</v>
      </c>
      <c r="H89" s="121" t="s">
        <v>1336</v>
      </c>
      <c r="I89" s="122">
        <v>55.843137254901954</v>
      </c>
      <c r="J89" s="106" t="s">
        <v>4656</v>
      </c>
      <c r="K89" s="118">
        <v>2690</v>
      </c>
      <c r="L89" s="46">
        <v>2.6305779078273592</v>
      </c>
      <c r="M89" s="41">
        <v>7076.2545720555963</v>
      </c>
      <c r="N89" s="44">
        <v>47.5</v>
      </c>
      <c r="O89" s="41">
        <v>2245</v>
      </c>
      <c r="P89" s="41">
        <v>8</v>
      </c>
      <c r="Q89" s="41">
        <v>45</v>
      </c>
      <c r="R89" s="45" t="s">
        <v>1307</v>
      </c>
      <c r="S89" s="45" t="s">
        <v>1307</v>
      </c>
      <c r="T89" s="45" t="s">
        <v>1307</v>
      </c>
      <c r="U89" s="44">
        <v>687.10976627112552</v>
      </c>
      <c r="V89" s="44">
        <v>887.50599999999997</v>
      </c>
      <c r="W89" s="44">
        <v>88.492134540816238</v>
      </c>
      <c r="X89" s="44">
        <v>50.917499999999997</v>
      </c>
      <c r="Y89" s="130" t="s">
        <v>3885</v>
      </c>
      <c r="Z89" s="224"/>
    </row>
    <row r="90" spans="2:26" ht="15" customHeight="1" x14ac:dyDescent="0.35">
      <c r="B90" s="181">
        <v>71040</v>
      </c>
      <c r="C90" s="182" t="s">
        <v>709</v>
      </c>
      <c r="D90" s="222">
        <v>16</v>
      </c>
      <c r="E90" s="223" t="s">
        <v>1645</v>
      </c>
      <c r="F90" s="183" t="s">
        <v>4779</v>
      </c>
      <c r="G90" s="125">
        <v>1.0003085028466605</v>
      </c>
      <c r="H90" s="121" t="s">
        <v>1336</v>
      </c>
      <c r="I90" s="122">
        <v>65.405405405405403</v>
      </c>
      <c r="J90" s="106" t="s">
        <v>4656</v>
      </c>
      <c r="K90" s="118">
        <v>0</v>
      </c>
      <c r="L90" s="46">
        <v>2.6305779078273592</v>
      </c>
      <c r="M90" s="41">
        <v>0</v>
      </c>
      <c r="N90" s="44">
        <v>2.5049999999999999</v>
      </c>
      <c r="O90" s="41">
        <v>16</v>
      </c>
      <c r="P90" s="41">
        <v>50</v>
      </c>
      <c r="Q90" s="41">
        <v>43.5</v>
      </c>
      <c r="R90" s="45" t="s">
        <v>1307</v>
      </c>
      <c r="S90" s="45" t="s">
        <v>1307</v>
      </c>
      <c r="T90" s="45" t="s">
        <v>1307</v>
      </c>
      <c r="U90" s="44">
        <v>0</v>
      </c>
      <c r="V90" s="44">
        <v>22.527999999999999</v>
      </c>
      <c r="W90" s="44">
        <v>1.2370799999999982</v>
      </c>
      <c r="X90" s="44">
        <v>1.2366984750000001</v>
      </c>
      <c r="Y90" s="130"/>
      <c r="Z90" s="224"/>
    </row>
    <row r="91" spans="2:26" ht="15" customHeight="1" x14ac:dyDescent="0.35">
      <c r="B91" s="181">
        <v>66058</v>
      </c>
      <c r="C91" s="182" t="s">
        <v>651</v>
      </c>
      <c r="D91" s="222">
        <v>6</v>
      </c>
      <c r="E91" s="223" t="s">
        <v>1647</v>
      </c>
      <c r="F91" s="183" t="s">
        <v>1648</v>
      </c>
      <c r="G91" s="125">
        <v>3.8817938892866377</v>
      </c>
      <c r="H91" s="121" t="s">
        <v>1373</v>
      </c>
      <c r="I91" s="122">
        <v>50.114035087719309</v>
      </c>
      <c r="J91" s="106" t="s">
        <v>4656</v>
      </c>
      <c r="K91" s="118">
        <v>15621</v>
      </c>
      <c r="L91" s="46">
        <v>2.225273670059535</v>
      </c>
      <c r="M91" s="41">
        <v>34761</v>
      </c>
      <c r="N91" s="44">
        <v>72.805000000000007</v>
      </c>
      <c r="O91" s="41">
        <v>8977</v>
      </c>
      <c r="P91" s="41">
        <v>6</v>
      </c>
      <c r="Q91" s="41">
        <v>50.815398383790793</v>
      </c>
      <c r="R91" s="45" t="s">
        <v>1307</v>
      </c>
      <c r="S91" s="45" t="s">
        <v>1307</v>
      </c>
      <c r="T91" s="45" t="s">
        <v>1307</v>
      </c>
      <c r="U91" s="44">
        <v>4351.9033950000003</v>
      </c>
      <c r="V91" s="44">
        <v>6134.1220000000003</v>
      </c>
      <c r="W91" s="44">
        <v>708.36279202190713</v>
      </c>
      <c r="X91" s="44">
        <v>182.48336007146528</v>
      </c>
      <c r="Y91" s="130" t="s">
        <v>3886</v>
      </c>
      <c r="Z91" s="224"/>
    </row>
    <row r="92" spans="2:26" ht="15" customHeight="1" x14ac:dyDescent="0.35">
      <c r="B92" s="181">
        <v>30090</v>
      </c>
      <c r="C92" s="182" t="s">
        <v>232</v>
      </c>
      <c r="D92" s="222">
        <v>5</v>
      </c>
      <c r="E92" s="223" t="s">
        <v>1652</v>
      </c>
      <c r="F92" s="183" t="s">
        <v>1653</v>
      </c>
      <c r="G92" s="125">
        <v>1.5999154213288265</v>
      </c>
      <c r="H92" s="121" t="s">
        <v>1336</v>
      </c>
      <c r="I92" s="122">
        <v>51.656862745098039</v>
      </c>
      <c r="J92" s="106" t="s">
        <v>4656</v>
      </c>
      <c r="K92" s="118">
        <v>251</v>
      </c>
      <c r="L92" s="46">
        <v>1.9582309582309583</v>
      </c>
      <c r="M92" s="41">
        <v>491.51597051597054</v>
      </c>
      <c r="N92" s="44">
        <v>7.867</v>
      </c>
      <c r="O92" s="41">
        <v>246</v>
      </c>
      <c r="P92" s="41">
        <v>5.5</v>
      </c>
      <c r="Q92" s="41">
        <v>52.1</v>
      </c>
      <c r="R92" s="45" t="s">
        <v>1307</v>
      </c>
      <c r="S92" s="45" t="s">
        <v>1307</v>
      </c>
      <c r="T92" s="45" t="s">
        <v>1307</v>
      </c>
      <c r="U92" s="44">
        <v>30.858000000000001</v>
      </c>
      <c r="V92" s="44">
        <v>55.715000000000003</v>
      </c>
      <c r="W92" s="44">
        <v>11.325050605670103</v>
      </c>
      <c r="X92" s="44">
        <v>7.0785308115000012</v>
      </c>
      <c r="Y92" s="130" t="s">
        <v>3887</v>
      </c>
      <c r="Z92" s="224"/>
    </row>
    <row r="93" spans="2:26" ht="15" customHeight="1" x14ac:dyDescent="0.35">
      <c r="B93" s="181">
        <v>46080</v>
      </c>
      <c r="C93" s="182" t="s">
        <v>441</v>
      </c>
      <c r="D93" s="222">
        <v>5</v>
      </c>
      <c r="E93" s="223" t="s">
        <v>1656</v>
      </c>
      <c r="F93" s="183" t="s">
        <v>1657</v>
      </c>
      <c r="G93" s="125">
        <v>5.5983282810108967</v>
      </c>
      <c r="H93" s="121" t="s">
        <v>1336</v>
      </c>
      <c r="I93" s="122">
        <v>58.868421052631589</v>
      </c>
      <c r="J93" s="106" t="s">
        <v>4656</v>
      </c>
      <c r="K93" s="118">
        <v>6642</v>
      </c>
      <c r="L93" s="46">
        <v>2.1897787948131198</v>
      </c>
      <c r="M93" s="41">
        <v>14544.510755148742</v>
      </c>
      <c r="N93" s="44">
        <v>123.23099999999999</v>
      </c>
      <c r="O93" s="41">
        <v>4339</v>
      </c>
      <c r="P93" s="41">
        <v>6.5</v>
      </c>
      <c r="Q93" s="41">
        <v>55.5</v>
      </c>
      <c r="R93" s="45" t="s">
        <v>1307</v>
      </c>
      <c r="S93" s="45" t="s">
        <v>1307</v>
      </c>
      <c r="T93" s="45" t="s">
        <v>1307</v>
      </c>
      <c r="U93" s="44">
        <v>1287.9110000000001</v>
      </c>
      <c r="V93" s="44">
        <v>2545.4009999999998</v>
      </c>
      <c r="W93" s="44">
        <v>725.18213948979576</v>
      </c>
      <c r="X93" s="44">
        <v>129.53547971624999</v>
      </c>
      <c r="Y93" s="130" t="s">
        <v>3888</v>
      </c>
      <c r="Z93" s="224"/>
    </row>
    <row r="94" spans="2:26" ht="18" customHeight="1" x14ac:dyDescent="0.35">
      <c r="B94" s="181">
        <v>61013</v>
      </c>
      <c r="C94" s="182" t="s">
        <v>610</v>
      </c>
      <c r="D94" s="222">
        <v>14</v>
      </c>
      <c r="E94" s="223" t="s">
        <v>1659</v>
      </c>
      <c r="F94" s="183" t="s">
        <v>1660</v>
      </c>
      <c r="G94" s="125">
        <v>0.41525213418834023</v>
      </c>
      <c r="H94" s="121" t="s">
        <v>1336</v>
      </c>
      <c r="I94" s="122">
        <v>62.403508771929843</v>
      </c>
      <c r="J94" s="106" t="s">
        <v>4656</v>
      </c>
      <c r="K94" s="118">
        <v>1294</v>
      </c>
      <c r="L94" s="46">
        <v>2.5479129999999999</v>
      </c>
      <c r="M94" s="41">
        <v>3296.9994219999999</v>
      </c>
      <c r="N94" s="44">
        <v>19.980999999999998</v>
      </c>
      <c r="O94" s="41">
        <v>1033</v>
      </c>
      <c r="P94" s="41">
        <v>5</v>
      </c>
      <c r="Q94" s="41">
        <v>45.192</v>
      </c>
      <c r="R94" s="45" t="s">
        <v>1307</v>
      </c>
      <c r="S94" s="45" t="s">
        <v>1307</v>
      </c>
      <c r="T94" s="45" t="s">
        <v>1307</v>
      </c>
      <c r="U94" s="44">
        <v>247.97000000000003</v>
      </c>
      <c r="V94" s="44">
        <v>377.83699999999999</v>
      </c>
      <c r="W94" s="44">
        <v>9.0085000632365109</v>
      </c>
      <c r="X94" s="44">
        <v>21.694048799640001</v>
      </c>
      <c r="Y94" s="130" t="s">
        <v>3889</v>
      </c>
      <c r="Z94" s="224"/>
    </row>
    <row r="95" spans="2:26" ht="15" customHeight="1" x14ac:dyDescent="0.35">
      <c r="B95" s="181">
        <v>39152</v>
      </c>
      <c r="C95" s="182" t="s">
        <v>356</v>
      </c>
      <c r="D95" s="222">
        <v>17</v>
      </c>
      <c r="E95" s="223" t="s">
        <v>1662</v>
      </c>
      <c r="F95" s="183" t="s">
        <v>1662</v>
      </c>
      <c r="G95" s="125">
        <v>0.52443861825402627</v>
      </c>
      <c r="H95" s="121" t="s">
        <v>1336</v>
      </c>
      <c r="I95" s="122">
        <v>64.114035087719316</v>
      </c>
      <c r="J95" s="106" t="s">
        <v>4656</v>
      </c>
      <c r="K95" s="118">
        <v>966</v>
      </c>
      <c r="L95" s="46">
        <v>2.1476323119777159</v>
      </c>
      <c r="M95" s="41">
        <v>2074.6128133704733</v>
      </c>
      <c r="N95" s="44">
        <v>22.161000000000001</v>
      </c>
      <c r="O95" s="41">
        <v>1071</v>
      </c>
      <c r="P95" s="41">
        <v>10</v>
      </c>
      <c r="Q95" s="41">
        <v>52.03</v>
      </c>
      <c r="R95" s="45" t="s">
        <v>1307</v>
      </c>
      <c r="S95" s="45" t="s">
        <v>1307</v>
      </c>
      <c r="T95" s="45" t="s">
        <v>1307</v>
      </c>
      <c r="U95" s="44">
        <v>171.09</v>
      </c>
      <c r="V95" s="44">
        <v>229.172</v>
      </c>
      <c r="W95" s="44">
        <v>15.172913775510215</v>
      </c>
      <c r="X95" s="44">
        <v>28.931724795600001</v>
      </c>
      <c r="Y95" s="130" t="s">
        <v>3890</v>
      </c>
      <c r="Z95" s="224"/>
    </row>
    <row r="96" spans="2:26" ht="15" customHeight="1" x14ac:dyDescent="0.35">
      <c r="B96" s="181">
        <v>13005</v>
      </c>
      <c r="C96" s="182" t="s">
        <v>41</v>
      </c>
      <c r="D96" s="222">
        <v>1</v>
      </c>
      <c r="E96" s="223" t="s">
        <v>1665</v>
      </c>
      <c r="F96" s="183" t="s">
        <v>1666</v>
      </c>
      <c r="G96" s="125">
        <v>7.9749037225832557</v>
      </c>
      <c r="H96" s="121" t="s">
        <v>1336</v>
      </c>
      <c r="I96" s="122">
        <v>58.378378378378386</v>
      </c>
      <c r="J96" s="106" t="s">
        <v>4656</v>
      </c>
      <c r="K96" s="118">
        <v>1170</v>
      </c>
      <c r="L96" s="46">
        <v>2.0265363128491618</v>
      </c>
      <c r="M96" s="41">
        <v>2371.0474860335194</v>
      </c>
      <c r="N96" s="44">
        <v>29.504000000000001</v>
      </c>
      <c r="O96" s="41">
        <v>843</v>
      </c>
      <c r="P96" s="41">
        <v>10</v>
      </c>
      <c r="Q96" s="41">
        <v>56</v>
      </c>
      <c r="R96" s="45" t="s">
        <v>1307</v>
      </c>
      <c r="S96" s="45" t="s">
        <v>1307</v>
      </c>
      <c r="T96" s="45" t="s">
        <v>1307</v>
      </c>
      <c r="U96" s="44">
        <v>272.72868210862623</v>
      </c>
      <c r="V96" s="44">
        <v>530.65700000000004</v>
      </c>
      <c r="W96" s="44">
        <v>230.85414500000002</v>
      </c>
      <c r="X96" s="44">
        <v>28.947577680000006</v>
      </c>
      <c r="Y96" s="130" t="s">
        <v>3891</v>
      </c>
      <c r="Z96" s="224" t="s">
        <v>3762</v>
      </c>
    </row>
    <row r="97" spans="2:26" ht="15" customHeight="1" x14ac:dyDescent="0.35">
      <c r="B97" s="181">
        <v>93005</v>
      </c>
      <c r="C97" s="182" t="s">
        <v>958</v>
      </c>
      <c r="D97" s="222">
        <v>2</v>
      </c>
      <c r="E97" s="223" t="s">
        <v>1573</v>
      </c>
      <c r="F97" s="183" t="s">
        <v>1669</v>
      </c>
      <c r="G97" s="125">
        <v>2.7715914402298258</v>
      </c>
      <c r="H97" s="121" t="s">
        <v>1336</v>
      </c>
      <c r="I97" s="122">
        <v>58.027027027027032</v>
      </c>
      <c r="J97" s="106" t="s">
        <v>4656</v>
      </c>
      <c r="K97" s="118">
        <v>497</v>
      </c>
      <c r="L97" s="46">
        <v>2.0934393638170974</v>
      </c>
      <c r="M97" s="41">
        <v>1040.4393638170975</v>
      </c>
      <c r="N97" s="44">
        <v>12.516</v>
      </c>
      <c r="O97" s="41">
        <v>543</v>
      </c>
      <c r="P97" s="41">
        <v>5</v>
      </c>
      <c r="Q97" s="41">
        <v>38.5</v>
      </c>
      <c r="R97" s="45" t="s">
        <v>1307</v>
      </c>
      <c r="S97" s="45" t="s">
        <v>1307</v>
      </c>
      <c r="T97" s="45" t="s">
        <v>1307</v>
      </c>
      <c r="U97" s="44">
        <v>132.255</v>
      </c>
      <c r="V97" s="44">
        <v>170.602</v>
      </c>
      <c r="W97" s="44">
        <v>28.336970000000029</v>
      </c>
      <c r="X97" s="44">
        <v>10.224079057500001</v>
      </c>
      <c r="Y97" s="130" t="s">
        <v>3892</v>
      </c>
      <c r="Z97" s="224"/>
    </row>
    <row r="98" spans="2:26" ht="15" customHeight="1" x14ac:dyDescent="0.35">
      <c r="B98" s="181">
        <v>38070</v>
      </c>
      <c r="C98" s="182" t="s">
        <v>336</v>
      </c>
      <c r="D98" s="222">
        <v>17</v>
      </c>
      <c r="E98" s="223" t="s">
        <v>1673</v>
      </c>
      <c r="F98" s="183" t="s">
        <v>1674</v>
      </c>
      <c r="G98" s="125">
        <v>0.81166226151714205</v>
      </c>
      <c r="H98" s="121" t="s">
        <v>1336</v>
      </c>
      <c r="I98" s="122">
        <v>57.644444444444431</v>
      </c>
      <c r="J98" s="106" t="s">
        <v>4656</v>
      </c>
      <c r="K98" s="118">
        <v>452</v>
      </c>
      <c r="L98" s="46">
        <v>1.8333333333333333</v>
      </c>
      <c r="M98" s="41">
        <v>828.66666666666663</v>
      </c>
      <c r="N98" s="44">
        <v>17.28</v>
      </c>
      <c r="O98" s="41">
        <v>515</v>
      </c>
      <c r="P98" s="41">
        <v>9.15</v>
      </c>
      <c r="Q98" s="41">
        <v>42.2</v>
      </c>
      <c r="R98" s="45" t="s">
        <v>1307</v>
      </c>
      <c r="S98" s="45" t="s">
        <v>1307</v>
      </c>
      <c r="T98" s="45" t="s">
        <v>1307</v>
      </c>
      <c r="U98" s="44">
        <v>80.325500000000005</v>
      </c>
      <c r="V98" s="44">
        <v>131.54499999999999</v>
      </c>
      <c r="W98" s="44">
        <v>10.512288249999996</v>
      </c>
      <c r="X98" s="44">
        <v>12.95155478875</v>
      </c>
      <c r="Y98" s="130" t="s">
        <v>3893</v>
      </c>
      <c r="Z98" s="224"/>
    </row>
    <row r="99" spans="2:26" ht="15" customHeight="1" x14ac:dyDescent="0.35">
      <c r="B99" s="181">
        <v>34058</v>
      </c>
      <c r="C99" s="182" t="s">
        <v>291</v>
      </c>
      <c r="D99" s="222">
        <v>3</v>
      </c>
      <c r="E99" s="223" t="s">
        <v>1677</v>
      </c>
      <c r="F99" s="183" t="s">
        <v>1678</v>
      </c>
      <c r="G99" s="125">
        <v>2.4204604064185529</v>
      </c>
      <c r="H99" s="121" t="s">
        <v>1336</v>
      </c>
      <c r="I99" s="122">
        <v>66.05263157894737</v>
      </c>
      <c r="J99" s="106" t="s">
        <v>4656</v>
      </c>
      <c r="K99" s="118">
        <v>1082</v>
      </c>
      <c r="L99" s="46">
        <v>2.0019999999999998</v>
      </c>
      <c r="M99" s="41">
        <v>2166.1639999999998</v>
      </c>
      <c r="N99" s="44">
        <v>61.19</v>
      </c>
      <c r="O99" s="41">
        <v>1076</v>
      </c>
      <c r="P99" s="41">
        <v>10</v>
      </c>
      <c r="Q99" s="41">
        <v>56.3</v>
      </c>
      <c r="R99" s="45" t="s">
        <v>1307</v>
      </c>
      <c r="S99" s="45" t="s">
        <v>1307</v>
      </c>
      <c r="T99" s="45" t="s">
        <v>1307</v>
      </c>
      <c r="U99" s="44">
        <v>209.52073902236953</v>
      </c>
      <c r="V99" s="44">
        <v>399.84500000000003</v>
      </c>
      <c r="W99" s="44">
        <v>110.97921188775513</v>
      </c>
      <c r="X99" s="44">
        <v>45.85045539</v>
      </c>
      <c r="Y99" s="130" t="s">
        <v>3894</v>
      </c>
      <c r="Z99" s="224" t="s">
        <v>1679</v>
      </c>
    </row>
    <row r="100" spans="2:26" ht="15" customHeight="1" x14ac:dyDescent="0.35">
      <c r="B100" s="181">
        <v>72010</v>
      </c>
      <c r="C100" s="182" t="s">
        <v>728</v>
      </c>
      <c r="D100" s="222">
        <v>15</v>
      </c>
      <c r="E100" s="223" t="s">
        <v>1683</v>
      </c>
      <c r="F100" s="183" t="s">
        <v>1684</v>
      </c>
      <c r="G100" s="125">
        <v>0.84724132815535935</v>
      </c>
      <c r="H100" s="121" t="s">
        <v>1441</v>
      </c>
      <c r="I100" s="122">
        <v>56.744186046511629</v>
      </c>
      <c r="J100" s="106" t="s">
        <v>4656</v>
      </c>
      <c r="K100" s="118">
        <v>7952</v>
      </c>
      <c r="L100" s="46">
        <v>2.4204298150163219</v>
      </c>
      <c r="M100" s="41">
        <v>19247.25788900979</v>
      </c>
      <c r="N100" s="44">
        <v>76.040999999999997</v>
      </c>
      <c r="O100" s="41">
        <v>6042</v>
      </c>
      <c r="P100" s="41">
        <v>5</v>
      </c>
      <c r="Q100" s="41">
        <v>52.73</v>
      </c>
      <c r="R100" s="45" t="s">
        <v>1324</v>
      </c>
      <c r="S100" s="45" t="s">
        <v>1324</v>
      </c>
      <c r="T100" s="45" t="s">
        <v>1324</v>
      </c>
      <c r="U100" s="44">
        <v>2703.68</v>
      </c>
      <c r="V100" s="44">
        <v>2977.5981000000002</v>
      </c>
      <c r="W100" s="44">
        <v>113.45312849999999</v>
      </c>
      <c r="X100" s="44">
        <v>133.90886956259999</v>
      </c>
      <c r="Y100" s="130" t="s">
        <v>3895</v>
      </c>
      <c r="Z100" s="224" t="s">
        <v>3762</v>
      </c>
    </row>
    <row r="101" spans="2:26" ht="15" customHeight="1" x14ac:dyDescent="0.35">
      <c r="B101" s="181">
        <v>31015</v>
      </c>
      <c r="C101" s="182" t="s">
        <v>238</v>
      </c>
      <c r="D101" s="222">
        <v>12</v>
      </c>
      <c r="E101" s="223" t="s">
        <v>1688</v>
      </c>
      <c r="F101" s="183" t="s">
        <v>1689</v>
      </c>
      <c r="G101" s="125">
        <v>3.8492797189424071</v>
      </c>
      <c r="H101" s="121" t="s">
        <v>1336</v>
      </c>
      <c r="I101" s="122">
        <v>57.851351351351362</v>
      </c>
      <c r="J101" s="106" t="s">
        <v>4656</v>
      </c>
      <c r="K101" s="118">
        <v>1129</v>
      </c>
      <c r="L101" s="46">
        <v>1.9107744107744107</v>
      </c>
      <c r="M101" s="41">
        <v>2157.2643097643095</v>
      </c>
      <c r="N101" s="44">
        <v>23.392999999999997</v>
      </c>
      <c r="O101" s="41">
        <v>1282</v>
      </c>
      <c r="P101" s="41">
        <v>8</v>
      </c>
      <c r="Q101" s="41">
        <v>49.1897608529477</v>
      </c>
      <c r="R101" s="45" t="s">
        <v>1307</v>
      </c>
      <c r="S101" s="45" t="s">
        <v>1307</v>
      </c>
      <c r="T101" s="45" t="s">
        <v>1307</v>
      </c>
      <c r="U101" s="44">
        <v>105.380197462331</v>
      </c>
      <c r="V101" s="44">
        <v>349.49900000000002</v>
      </c>
      <c r="W101" s="44">
        <v>117.70111199999998</v>
      </c>
      <c r="X101" s="44">
        <v>30.577438012828662</v>
      </c>
      <c r="Y101" s="130" t="s">
        <v>3896</v>
      </c>
      <c r="Z101" s="224"/>
    </row>
    <row r="102" spans="2:26" ht="15" customHeight="1" x14ac:dyDescent="0.35">
      <c r="B102" s="181">
        <v>44023</v>
      </c>
      <c r="C102" s="182" t="s">
        <v>402</v>
      </c>
      <c r="D102" s="222">
        <v>5</v>
      </c>
      <c r="E102" s="223" t="s">
        <v>1692</v>
      </c>
      <c r="F102" s="183" t="s">
        <v>1693</v>
      </c>
      <c r="G102" s="125">
        <v>0.50401713072167964</v>
      </c>
      <c r="H102" s="121" t="s">
        <v>1336</v>
      </c>
      <c r="I102" s="122">
        <v>61.1891891891892</v>
      </c>
      <c r="J102" s="106" t="s">
        <v>4656</v>
      </c>
      <c r="K102" s="118">
        <v>89</v>
      </c>
      <c r="L102" s="46">
        <v>2.5123674911660778</v>
      </c>
      <c r="M102" s="41">
        <v>223.60070671378094</v>
      </c>
      <c r="N102" s="44">
        <v>4.0880000000000001</v>
      </c>
      <c r="O102" s="41">
        <v>106</v>
      </c>
      <c r="P102" s="41">
        <v>10</v>
      </c>
      <c r="Q102" s="41">
        <v>54</v>
      </c>
      <c r="R102" s="45" t="s">
        <v>1307</v>
      </c>
      <c r="S102" s="45" t="s">
        <v>1307</v>
      </c>
      <c r="T102" s="45" t="s">
        <v>1307</v>
      </c>
      <c r="U102" s="44">
        <v>19.862705882352941</v>
      </c>
      <c r="V102" s="44">
        <v>24.975300000000001</v>
      </c>
      <c r="W102" s="44">
        <v>1.8366704999999999</v>
      </c>
      <c r="X102" s="44">
        <v>3.6440636400000002</v>
      </c>
      <c r="Y102" s="130" t="s">
        <v>3897</v>
      </c>
      <c r="Z102" s="224" t="s">
        <v>3761</v>
      </c>
    </row>
    <row r="103" spans="2:26" ht="15" customHeight="1" x14ac:dyDescent="0.35">
      <c r="B103" s="181">
        <v>92022</v>
      </c>
      <c r="C103" s="182" t="s">
        <v>949</v>
      </c>
      <c r="D103" s="222">
        <v>2</v>
      </c>
      <c r="E103" s="223" t="s">
        <v>1696</v>
      </c>
      <c r="F103" s="183" t="s">
        <v>1697</v>
      </c>
      <c r="G103" s="125">
        <v>6.1860453873995063</v>
      </c>
      <c r="H103" s="121" t="s">
        <v>1336</v>
      </c>
      <c r="I103" s="122">
        <v>60.176470588235297</v>
      </c>
      <c r="J103" s="106" t="s">
        <v>4656</v>
      </c>
      <c r="K103" s="118">
        <v>3637</v>
      </c>
      <c r="L103" s="46">
        <v>2.2759891078007368</v>
      </c>
      <c r="M103" s="41">
        <v>8277.7723850712791</v>
      </c>
      <c r="N103" s="44">
        <v>57.625999999999998</v>
      </c>
      <c r="O103" s="41">
        <v>2838</v>
      </c>
      <c r="P103" s="41">
        <v>6</v>
      </c>
      <c r="Q103" s="41">
        <v>70.7</v>
      </c>
      <c r="R103" s="45" t="s">
        <v>1307</v>
      </c>
      <c r="S103" s="45" t="s">
        <v>1307</v>
      </c>
      <c r="T103" s="45" t="s">
        <v>1307</v>
      </c>
      <c r="U103" s="44">
        <v>642.83600000000001</v>
      </c>
      <c r="V103" s="44">
        <v>1492.568</v>
      </c>
      <c r="W103" s="44">
        <v>595.97244582474218</v>
      </c>
      <c r="X103" s="44">
        <v>96.341427924000001</v>
      </c>
      <c r="Y103" s="130" t="s">
        <v>3898</v>
      </c>
      <c r="Z103" s="224" t="s">
        <v>3762</v>
      </c>
    </row>
    <row r="104" spans="2:26" ht="15" customHeight="1" x14ac:dyDescent="0.35">
      <c r="B104" s="181">
        <v>92022</v>
      </c>
      <c r="C104" s="182" t="s">
        <v>949</v>
      </c>
      <c r="D104" s="222">
        <v>2</v>
      </c>
      <c r="E104" s="223" t="s">
        <v>1698</v>
      </c>
      <c r="F104" s="183" t="s">
        <v>1699</v>
      </c>
      <c r="G104" s="125">
        <v>2.86205739705257</v>
      </c>
      <c r="H104" s="121" t="s">
        <v>1336</v>
      </c>
      <c r="I104" s="122">
        <v>60.176470588235297</v>
      </c>
      <c r="J104" s="106" t="s">
        <v>4656</v>
      </c>
      <c r="K104" s="118">
        <v>2211</v>
      </c>
      <c r="L104" s="46">
        <v>2.2759891078007368</v>
      </c>
      <c r="M104" s="41">
        <v>5032.2119173474293</v>
      </c>
      <c r="N104" s="44">
        <v>36.168999999999997</v>
      </c>
      <c r="O104" s="41">
        <v>1719</v>
      </c>
      <c r="P104" s="41">
        <v>6</v>
      </c>
      <c r="Q104" s="41">
        <v>71.5</v>
      </c>
      <c r="R104" s="45" t="s">
        <v>1307</v>
      </c>
      <c r="S104" s="45" t="s">
        <v>1307</v>
      </c>
      <c r="T104" s="45" t="s">
        <v>1307</v>
      </c>
      <c r="U104" s="44">
        <v>405.57299999999998</v>
      </c>
      <c r="V104" s="44">
        <v>760.95799999999997</v>
      </c>
      <c r="W104" s="44">
        <v>170.60463974226806</v>
      </c>
      <c r="X104" s="44">
        <v>59.609090970000004</v>
      </c>
      <c r="Y104" s="130" t="s">
        <v>3899</v>
      </c>
      <c r="Z104" s="224" t="s">
        <v>3900</v>
      </c>
    </row>
    <row r="105" spans="2:26" ht="15" customHeight="1" x14ac:dyDescent="0.35">
      <c r="B105" s="181">
        <v>66142</v>
      </c>
      <c r="C105" s="182" t="s">
        <v>1113</v>
      </c>
      <c r="D105" s="222">
        <v>6</v>
      </c>
      <c r="E105" s="223" t="s">
        <v>1702</v>
      </c>
      <c r="F105" s="183" t="s">
        <v>1703</v>
      </c>
      <c r="G105" s="125">
        <v>5.8017055838530922</v>
      </c>
      <c r="H105" s="121" t="s">
        <v>1373</v>
      </c>
      <c r="I105" s="122">
        <v>51.405405405405396</v>
      </c>
      <c r="J105" s="106" t="s">
        <v>4656</v>
      </c>
      <c r="K105" s="118">
        <v>16873</v>
      </c>
      <c r="L105" s="46">
        <v>2.7513779399999998</v>
      </c>
      <c r="M105" s="41">
        <v>46423.99998162</v>
      </c>
      <c r="N105" s="44">
        <v>190.47</v>
      </c>
      <c r="O105" s="41">
        <v>10712</v>
      </c>
      <c r="P105" s="41">
        <v>5.6</v>
      </c>
      <c r="Q105" s="41">
        <v>48</v>
      </c>
      <c r="R105" s="45" t="s">
        <v>1307</v>
      </c>
      <c r="S105" s="45" t="s">
        <v>1307</v>
      </c>
      <c r="T105" s="45" t="s">
        <v>1307</v>
      </c>
      <c r="U105" s="44">
        <v>5038.53</v>
      </c>
      <c r="V105" s="44">
        <v>7333.0209999999997</v>
      </c>
      <c r="W105" s="44">
        <v>1371.9896849999996</v>
      </c>
      <c r="X105" s="44">
        <v>236.4804048</v>
      </c>
      <c r="Y105" s="130"/>
      <c r="Z105" s="224"/>
    </row>
    <row r="106" spans="2:26" ht="15" customHeight="1" x14ac:dyDescent="0.35">
      <c r="B106" s="181">
        <v>66142</v>
      </c>
      <c r="C106" s="182" t="s">
        <v>1113</v>
      </c>
      <c r="D106" s="222">
        <v>6</v>
      </c>
      <c r="E106" s="223" t="s">
        <v>1704</v>
      </c>
      <c r="F106" s="183" t="s">
        <v>1705</v>
      </c>
      <c r="G106" s="125">
        <v>7.5580661324043081</v>
      </c>
      <c r="H106" s="121" t="s">
        <v>1336</v>
      </c>
      <c r="I106" s="122">
        <v>51.405405405405396</v>
      </c>
      <c r="J106" s="106" t="s">
        <v>4656</v>
      </c>
      <c r="K106" s="118">
        <v>1503</v>
      </c>
      <c r="L106" s="46">
        <v>2.2687957399999998</v>
      </c>
      <c r="M106" s="41">
        <v>3409.9999972199998</v>
      </c>
      <c r="N106" s="44">
        <v>16.75</v>
      </c>
      <c r="O106" s="41">
        <v>1107</v>
      </c>
      <c r="P106" s="41">
        <v>5.6</v>
      </c>
      <c r="Q106" s="41">
        <v>48</v>
      </c>
      <c r="R106" s="45" t="s">
        <v>1307</v>
      </c>
      <c r="S106" s="45" t="s">
        <v>1307</v>
      </c>
      <c r="T106" s="45" t="s">
        <v>1307</v>
      </c>
      <c r="U106" s="44">
        <v>373.39499999999998</v>
      </c>
      <c r="V106" s="44">
        <v>628.29100000000005</v>
      </c>
      <c r="W106" s="44">
        <v>177.71463500000007</v>
      </c>
      <c r="X106" s="44">
        <v>23.513241599999997</v>
      </c>
      <c r="Y106" s="130"/>
      <c r="Z106" s="224"/>
    </row>
    <row r="107" spans="2:26" ht="15" customHeight="1" x14ac:dyDescent="0.35">
      <c r="B107" s="181">
        <v>34025</v>
      </c>
      <c r="C107" s="182" t="s">
        <v>287</v>
      </c>
      <c r="D107" s="222">
        <v>3</v>
      </c>
      <c r="E107" s="223" t="s">
        <v>1708</v>
      </c>
      <c r="F107" s="183" t="s">
        <v>1709</v>
      </c>
      <c r="G107" s="125">
        <v>2.6463680891821499</v>
      </c>
      <c r="H107" s="121" t="s">
        <v>1336</v>
      </c>
      <c r="I107" s="122">
        <v>62.613190711941428</v>
      </c>
      <c r="J107" s="106" t="s">
        <v>4656</v>
      </c>
      <c r="K107" s="118">
        <v>3532</v>
      </c>
      <c r="L107" s="46">
        <v>2.2007233273056057</v>
      </c>
      <c r="M107" s="41">
        <v>7772.9547920433997</v>
      </c>
      <c r="N107" s="44">
        <v>56.835999999999999</v>
      </c>
      <c r="O107" s="41">
        <v>2788</v>
      </c>
      <c r="P107" s="41">
        <v>6</v>
      </c>
      <c r="Q107" s="41">
        <v>42</v>
      </c>
      <c r="R107" s="45" t="s">
        <v>1307</v>
      </c>
      <c r="S107" s="45" t="s">
        <v>1307</v>
      </c>
      <c r="T107" s="45" t="s">
        <v>1307</v>
      </c>
      <c r="U107" s="44">
        <v>692.33702275632845</v>
      </c>
      <c r="V107" s="44">
        <v>1096.5146516</v>
      </c>
      <c r="W107" s="44">
        <v>148.95443712227208</v>
      </c>
      <c r="X107" s="44">
        <v>56.286363840000007</v>
      </c>
      <c r="Y107" s="130" t="s">
        <v>3901</v>
      </c>
      <c r="Z107" s="224" t="s">
        <v>3902</v>
      </c>
    </row>
    <row r="108" spans="2:26" ht="15" customHeight="1" x14ac:dyDescent="0.35">
      <c r="B108" s="181">
        <v>66087</v>
      </c>
      <c r="C108" s="182" t="s">
        <v>654</v>
      </c>
      <c r="D108" s="222">
        <v>6</v>
      </c>
      <c r="E108" s="223" t="s">
        <v>1712</v>
      </c>
      <c r="F108" s="183" t="s">
        <v>4780</v>
      </c>
      <c r="G108" s="125">
        <v>18.878688740685799</v>
      </c>
      <c r="H108" s="121" t="s">
        <v>1373</v>
      </c>
      <c r="I108" s="122">
        <v>50.684210526315802</v>
      </c>
      <c r="J108" s="106" t="s">
        <v>4656</v>
      </c>
      <c r="K108" s="118">
        <v>9148</v>
      </c>
      <c r="L108" s="46">
        <v>2.1686278863232684</v>
      </c>
      <c r="M108" s="41">
        <v>19838.60790408526</v>
      </c>
      <c r="N108" s="44">
        <v>137.79</v>
      </c>
      <c r="O108" s="41">
        <v>7464</v>
      </c>
      <c r="P108" s="41">
        <v>7.77</v>
      </c>
      <c r="Q108" s="41">
        <v>47.28</v>
      </c>
      <c r="R108" s="45" t="s">
        <v>1307</v>
      </c>
      <c r="S108" s="45" t="s">
        <v>1307</v>
      </c>
      <c r="T108" s="45" t="s">
        <v>1307</v>
      </c>
      <c r="U108" s="44">
        <v>2230.2563005772649</v>
      </c>
      <c r="V108" s="44">
        <v>8238.7080000000005</v>
      </c>
      <c r="W108" s="44">
        <v>3225.7779255102041</v>
      </c>
      <c r="X108" s="44">
        <v>170.86874887439998</v>
      </c>
      <c r="Y108" s="130" t="s">
        <v>3903</v>
      </c>
      <c r="Z108" s="224"/>
    </row>
    <row r="109" spans="2:26" ht="15" customHeight="1" x14ac:dyDescent="0.35">
      <c r="B109" s="181">
        <v>49058</v>
      </c>
      <c r="C109" s="182" t="s">
        <v>471</v>
      </c>
      <c r="D109" s="222">
        <v>17</v>
      </c>
      <c r="E109" s="223" t="s">
        <v>1717</v>
      </c>
      <c r="F109" s="183" t="s">
        <v>1718</v>
      </c>
      <c r="G109" s="125">
        <v>5.2632159211184923</v>
      </c>
      <c r="H109" s="121" t="s">
        <v>1529</v>
      </c>
      <c r="I109" s="122">
        <v>64.327374651562792</v>
      </c>
      <c r="J109" s="106" t="s">
        <v>4656</v>
      </c>
      <c r="K109" s="118">
        <v>34455</v>
      </c>
      <c r="L109" s="46">
        <v>2.1342373998023501</v>
      </c>
      <c r="M109" s="41">
        <v>73535.149610189968</v>
      </c>
      <c r="N109" s="44">
        <v>488.161</v>
      </c>
      <c r="O109" s="41">
        <v>22301</v>
      </c>
      <c r="P109" s="41">
        <v>7</v>
      </c>
      <c r="Q109" s="41">
        <v>46.3</v>
      </c>
      <c r="R109" s="45" t="s">
        <v>1324</v>
      </c>
      <c r="S109" s="45" t="s">
        <v>1324</v>
      </c>
      <c r="T109" s="45" t="s">
        <v>1324</v>
      </c>
      <c r="U109" s="44">
        <v>6625.4470000000001</v>
      </c>
      <c r="V109" s="44">
        <v>13674.305</v>
      </c>
      <c r="W109" s="44">
        <v>2715.5459307741098</v>
      </c>
      <c r="X109" s="44">
        <v>515.94803851349991</v>
      </c>
      <c r="Y109" s="130" t="s">
        <v>3904</v>
      </c>
      <c r="Z109" s="224"/>
    </row>
    <row r="110" spans="2:26" ht="15" customHeight="1" x14ac:dyDescent="0.35">
      <c r="B110" s="181">
        <v>41117</v>
      </c>
      <c r="C110" s="182" t="s">
        <v>378</v>
      </c>
      <c r="D110" s="222">
        <v>5</v>
      </c>
      <c r="E110" s="223" t="s">
        <v>1722</v>
      </c>
      <c r="F110" s="183" t="s">
        <v>1723</v>
      </c>
      <c r="G110" s="125">
        <v>2.6215597359666352</v>
      </c>
      <c r="H110" s="121" t="s">
        <v>1336</v>
      </c>
      <c r="I110" s="122">
        <v>57</v>
      </c>
      <c r="J110" s="106" t="s">
        <v>4656</v>
      </c>
      <c r="K110" s="118">
        <v>127</v>
      </c>
      <c r="L110" s="46">
        <v>2.1349397590361447</v>
      </c>
      <c r="M110" s="41">
        <v>271.13734939759036</v>
      </c>
      <c r="N110" s="44">
        <v>3.8570000000000002</v>
      </c>
      <c r="O110" s="41">
        <v>127</v>
      </c>
      <c r="P110" s="41">
        <v>15</v>
      </c>
      <c r="Q110" s="41">
        <v>37.200000000000003</v>
      </c>
      <c r="R110" s="45" t="s">
        <v>1307</v>
      </c>
      <c r="S110" s="45" t="s">
        <v>1307</v>
      </c>
      <c r="T110" s="45" t="s">
        <v>1307</v>
      </c>
      <c r="U110" s="44">
        <v>23.695314319526673</v>
      </c>
      <c r="V110" s="44">
        <v>33.107999999999997</v>
      </c>
      <c r="W110" s="44">
        <v>7.7830000000000013</v>
      </c>
      <c r="X110" s="44">
        <v>2.9688432780000005</v>
      </c>
      <c r="Y110" s="130" t="s">
        <v>3905</v>
      </c>
      <c r="Z110" s="224"/>
    </row>
    <row r="111" spans="2:26" ht="15" customHeight="1" x14ac:dyDescent="0.35">
      <c r="B111" s="181">
        <v>80135</v>
      </c>
      <c r="C111" s="182" t="s">
        <v>824</v>
      </c>
      <c r="D111" s="222">
        <v>7</v>
      </c>
      <c r="E111" s="223" t="s">
        <v>1726</v>
      </c>
      <c r="F111" s="183" t="s">
        <v>1727</v>
      </c>
      <c r="G111" s="125">
        <v>1.5540828759732317</v>
      </c>
      <c r="H111" s="121" t="s">
        <v>1325</v>
      </c>
      <c r="I111" s="122">
        <v>53.13513513513513</v>
      </c>
      <c r="J111" s="106" t="s">
        <v>4656</v>
      </c>
      <c r="K111" s="118">
        <v>31</v>
      </c>
      <c r="L111" s="46">
        <v>1.7591836734693878</v>
      </c>
      <c r="M111" s="41">
        <v>54.534693877551021</v>
      </c>
      <c r="N111" s="44">
        <v>1.6579999999999999</v>
      </c>
      <c r="O111" s="41">
        <v>48</v>
      </c>
      <c r="P111" s="41">
        <v>8</v>
      </c>
      <c r="Q111" s="41">
        <v>35.200000000000003</v>
      </c>
      <c r="R111" s="45" t="s">
        <v>1307</v>
      </c>
      <c r="S111" s="45" t="s">
        <v>1324</v>
      </c>
      <c r="T111" s="45" t="s">
        <v>1307</v>
      </c>
      <c r="U111" s="44">
        <v>8.7260000000000009</v>
      </c>
      <c r="V111" s="44">
        <v>11.58</v>
      </c>
      <c r="W111" s="44">
        <v>1.5542999999999996</v>
      </c>
      <c r="X111" s="44">
        <v>1.000139712</v>
      </c>
      <c r="Y111" s="130" t="s">
        <v>3906</v>
      </c>
      <c r="Z111" s="224"/>
    </row>
    <row r="112" spans="2:26" ht="15" customHeight="1" x14ac:dyDescent="0.35">
      <c r="B112" s="181">
        <v>87085</v>
      </c>
      <c r="C112" s="182" t="s">
        <v>903</v>
      </c>
      <c r="D112" s="222">
        <v>8</v>
      </c>
      <c r="E112" s="223" t="s">
        <v>1730</v>
      </c>
      <c r="F112" s="183" t="s">
        <v>1731</v>
      </c>
      <c r="G112" s="125">
        <v>5.3411067571407429</v>
      </c>
      <c r="H112" s="121" t="s">
        <v>1336</v>
      </c>
      <c r="I112" s="122">
        <v>58.202702702702709</v>
      </c>
      <c r="J112" s="106" t="s">
        <v>4656</v>
      </c>
      <c r="K112" s="118">
        <v>262</v>
      </c>
      <c r="L112" s="46">
        <v>2.3115577889447234</v>
      </c>
      <c r="M112" s="41">
        <v>605.62814070351749</v>
      </c>
      <c r="N112" s="44">
        <v>7.7338899999999997</v>
      </c>
      <c r="O112" s="41">
        <v>286</v>
      </c>
      <c r="P112" s="41">
        <v>12</v>
      </c>
      <c r="Q112" s="41">
        <v>53</v>
      </c>
      <c r="R112" s="45" t="s">
        <v>1307</v>
      </c>
      <c r="S112" s="45" t="s">
        <v>1307</v>
      </c>
      <c r="T112" s="45" t="s">
        <v>1307</v>
      </c>
      <c r="U112" s="44">
        <v>26.758569444444447</v>
      </c>
      <c r="V112" s="44">
        <v>80.510999999999996</v>
      </c>
      <c r="W112" s="44">
        <v>46.889334999999988</v>
      </c>
      <c r="X112" s="44">
        <v>8.7789548368999988</v>
      </c>
      <c r="Y112" s="130" t="s">
        <v>3907</v>
      </c>
      <c r="Z112" s="224" t="s">
        <v>3761</v>
      </c>
    </row>
    <row r="113" spans="2:26" ht="15" customHeight="1" x14ac:dyDescent="0.35">
      <c r="B113" s="181">
        <v>49015</v>
      </c>
      <c r="C113" s="182" t="s">
        <v>465</v>
      </c>
      <c r="D113" s="222">
        <v>17</v>
      </c>
      <c r="E113" s="223" t="s">
        <v>1735</v>
      </c>
      <c r="F113" s="183" t="s">
        <v>1736</v>
      </c>
      <c r="G113" s="125">
        <v>1.0518487016675113</v>
      </c>
      <c r="H113" s="121" t="s">
        <v>1336</v>
      </c>
      <c r="I113" s="122">
        <v>44.729729729729726</v>
      </c>
      <c r="J113" s="106" t="s">
        <v>4656</v>
      </c>
      <c r="K113" s="118">
        <v>240</v>
      </c>
      <c r="L113" s="46">
        <v>2.38</v>
      </c>
      <c r="M113" s="41">
        <v>571.19999999999993</v>
      </c>
      <c r="N113" s="44">
        <v>6.202</v>
      </c>
      <c r="O113" s="41">
        <v>245</v>
      </c>
      <c r="P113" s="41">
        <v>10</v>
      </c>
      <c r="Q113" s="41">
        <v>61.9</v>
      </c>
      <c r="R113" s="45" t="s">
        <v>1307</v>
      </c>
      <c r="S113" s="45" t="s">
        <v>1307</v>
      </c>
      <c r="T113" s="45" t="s">
        <v>1307</v>
      </c>
      <c r="U113" s="44">
        <v>33.96</v>
      </c>
      <c r="V113" s="44">
        <v>45.963000000000001</v>
      </c>
      <c r="W113" s="44">
        <v>8.7665550000000056</v>
      </c>
      <c r="X113" s="44">
        <v>8.3344258409999998</v>
      </c>
      <c r="Y113" s="130" t="s">
        <v>3908</v>
      </c>
      <c r="Z113" s="224"/>
    </row>
    <row r="114" spans="2:26" ht="15" customHeight="1" x14ac:dyDescent="0.35">
      <c r="B114" s="181">
        <v>44010</v>
      </c>
      <c r="C114" s="182" t="s">
        <v>400</v>
      </c>
      <c r="D114" s="222">
        <v>5</v>
      </c>
      <c r="E114" s="223" t="s">
        <v>1739</v>
      </c>
      <c r="F114" s="183" t="s">
        <v>1740</v>
      </c>
      <c r="G114" s="125">
        <v>0.6425868066354391</v>
      </c>
      <c r="H114" s="121" t="s">
        <v>1336</v>
      </c>
      <c r="I114" s="122">
        <v>44.729729729729726</v>
      </c>
      <c r="J114" s="106" t="s">
        <v>4656</v>
      </c>
      <c r="K114" s="118">
        <v>42</v>
      </c>
      <c r="L114" s="46">
        <v>1.9784172661870503</v>
      </c>
      <c r="M114" s="41">
        <v>83.093525179856115</v>
      </c>
      <c r="N114" s="44">
        <v>1.4059999999999999</v>
      </c>
      <c r="O114" s="41">
        <v>42</v>
      </c>
      <c r="P114" s="41">
        <v>7</v>
      </c>
      <c r="Q114" s="41">
        <v>35</v>
      </c>
      <c r="R114" s="45" t="s">
        <v>1307</v>
      </c>
      <c r="S114" s="45" t="s">
        <v>1307</v>
      </c>
      <c r="T114" s="45" t="s">
        <v>1307</v>
      </c>
      <c r="U114" s="44">
        <v>5.44</v>
      </c>
      <c r="V114" s="44">
        <v>6.3390000000000004</v>
      </c>
      <c r="W114" s="44">
        <v>0.54391500000000059</v>
      </c>
      <c r="X114" s="44">
        <v>0.84644595</v>
      </c>
      <c r="Y114" s="130" t="s">
        <v>3909</v>
      </c>
      <c r="Z114" s="224" t="s">
        <v>3910</v>
      </c>
    </row>
    <row r="115" spans="2:26" ht="15" customHeight="1" x14ac:dyDescent="0.35">
      <c r="B115" s="181">
        <v>45093</v>
      </c>
      <c r="C115" s="182" t="s">
        <v>422</v>
      </c>
      <c r="D115" s="222">
        <v>5</v>
      </c>
      <c r="E115" s="223" t="s">
        <v>1743</v>
      </c>
      <c r="F115" s="183" t="s">
        <v>1744</v>
      </c>
      <c r="G115" s="125">
        <v>9.9693229929112519</v>
      </c>
      <c r="H115" s="121" t="s">
        <v>1336</v>
      </c>
      <c r="I115" s="122">
        <v>58.554054054054063</v>
      </c>
      <c r="J115" s="106" t="s">
        <v>4656</v>
      </c>
      <c r="K115" s="118">
        <v>321</v>
      </c>
      <c r="L115" s="46">
        <v>2.1965065502183405</v>
      </c>
      <c r="M115" s="41">
        <v>705.07860262008728</v>
      </c>
      <c r="N115" s="44">
        <v>13.685</v>
      </c>
      <c r="O115" s="41">
        <v>366</v>
      </c>
      <c r="P115" s="41">
        <v>5</v>
      </c>
      <c r="Q115" s="41">
        <v>42</v>
      </c>
      <c r="R115" s="45" t="s">
        <v>1307</v>
      </c>
      <c r="S115" s="45" t="s">
        <v>1307</v>
      </c>
      <c r="T115" s="45" t="s">
        <v>1307</v>
      </c>
      <c r="U115" s="44">
        <v>42.159754098360651</v>
      </c>
      <c r="V115" s="44">
        <v>169.98099999999999</v>
      </c>
      <c r="W115" s="44">
        <v>89.387047499999994</v>
      </c>
      <c r="X115" s="44">
        <v>8.9662103999999996</v>
      </c>
      <c r="Y115" s="130" t="s">
        <v>3911</v>
      </c>
      <c r="Z115" s="224" t="s">
        <v>3762</v>
      </c>
    </row>
    <row r="116" spans="2:26" ht="15" customHeight="1" x14ac:dyDescent="0.35">
      <c r="B116" s="181">
        <v>77011</v>
      </c>
      <c r="C116" s="182" t="s">
        <v>756</v>
      </c>
      <c r="D116" s="222">
        <v>15</v>
      </c>
      <c r="E116" s="223" t="s">
        <v>1748</v>
      </c>
      <c r="F116" s="183" t="s">
        <v>1749</v>
      </c>
      <c r="G116" s="125">
        <v>0.63564256590951285</v>
      </c>
      <c r="H116" s="121" t="s">
        <v>1336</v>
      </c>
      <c r="I116" s="122">
        <v>63.885964912280713</v>
      </c>
      <c r="J116" s="106" t="s">
        <v>4656</v>
      </c>
      <c r="K116" s="118">
        <v>30</v>
      </c>
      <c r="L116" s="46">
        <v>2.39</v>
      </c>
      <c r="M116" s="41">
        <v>71.7</v>
      </c>
      <c r="N116" s="44">
        <v>2.1850000000000001</v>
      </c>
      <c r="O116" s="41">
        <v>32</v>
      </c>
      <c r="P116" s="41">
        <v>20</v>
      </c>
      <c r="Q116" s="41">
        <v>56</v>
      </c>
      <c r="R116" s="45" t="s">
        <v>1307</v>
      </c>
      <c r="S116" s="45" t="s">
        <v>1307</v>
      </c>
      <c r="T116" s="45" t="s">
        <v>1307</v>
      </c>
      <c r="U116" s="44">
        <v>5.7270000000000003</v>
      </c>
      <c r="V116" s="44">
        <v>60.164999999999999</v>
      </c>
      <c r="W116" s="44">
        <v>1.0514857804391224</v>
      </c>
      <c r="X116" s="44">
        <v>1.6542091999999999</v>
      </c>
      <c r="Y116" s="130" t="s">
        <v>3912</v>
      </c>
      <c r="Z116" s="224"/>
    </row>
    <row r="117" spans="2:26" ht="15" customHeight="1" x14ac:dyDescent="0.35">
      <c r="B117" s="181">
        <v>46112</v>
      </c>
      <c r="C117" s="182" t="s">
        <v>447</v>
      </c>
      <c r="D117" s="222">
        <v>5</v>
      </c>
      <c r="E117" s="223" t="s">
        <v>1752</v>
      </c>
      <c r="F117" s="183" t="s">
        <v>1753</v>
      </c>
      <c r="G117" s="125">
        <v>0.43306885125430655</v>
      </c>
      <c r="H117" s="121" t="s">
        <v>1336</v>
      </c>
      <c r="I117" s="122">
        <v>61.719298245614048</v>
      </c>
      <c r="J117" s="106" t="s">
        <v>4656</v>
      </c>
      <c r="K117" s="118">
        <v>4142</v>
      </c>
      <c r="L117" s="46">
        <v>2.260019314340898</v>
      </c>
      <c r="M117" s="41">
        <v>9361</v>
      </c>
      <c r="N117" s="44">
        <v>50</v>
      </c>
      <c r="O117" s="41">
        <v>3192</v>
      </c>
      <c r="P117" s="41">
        <v>5</v>
      </c>
      <c r="Q117" s="41">
        <v>49.2</v>
      </c>
      <c r="R117" s="45" t="s">
        <v>1307</v>
      </c>
      <c r="S117" s="45" t="s">
        <v>1307</v>
      </c>
      <c r="T117" s="45" t="s">
        <v>1307</v>
      </c>
      <c r="U117" s="44">
        <v>743.33299999999997</v>
      </c>
      <c r="V117" s="44">
        <v>1193.8989999999999</v>
      </c>
      <c r="W117" s="44">
        <v>29.961864489795772</v>
      </c>
      <c r="X117" s="44">
        <v>69.184990800000008</v>
      </c>
      <c r="Y117" s="130" t="s">
        <v>3913</v>
      </c>
      <c r="Z117" s="224" t="s">
        <v>3914</v>
      </c>
    </row>
    <row r="118" spans="2:26" ht="15" customHeight="1" x14ac:dyDescent="0.35">
      <c r="B118" s="181">
        <v>80005</v>
      </c>
      <c r="C118" s="182" t="s">
        <v>803</v>
      </c>
      <c r="D118" s="222">
        <v>7</v>
      </c>
      <c r="E118" s="223" t="s">
        <v>4775</v>
      </c>
      <c r="F118" s="183" t="s">
        <v>4774</v>
      </c>
      <c r="G118" s="125">
        <v>1.5715105885316654</v>
      </c>
      <c r="H118" s="121" t="s">
        <v>1325</v>
      </c>
      <c r="I118" s="122">
        <v>44.202702702702709</v>
      </c>
      <c r="J118" s="106" t="s">
        <v>4656</v>
      </c>
      <c r="K118" s="118">
        <v>383</v>
      </c>
      <c r="L118" s="46">
        <v>1.8072289156626506</v>
      </c>
      <c r="M118" s="41">
        <v>692.16867469879514</v>
      </c>
      <c r="N118" s="44">
        <v>10.159000000000001</v>
      </c>
      <c r="O118" s="41">
        <v>329</v>
      </c>
      <c r="P118" s="41">
        <v>25</v>
      </c>
      <c r="Q118" s="41">
        <v>38</v>
      </c>
      <c r="R118" s="45" t="s">
        <v>1307</v>
      </c>
      <c r="S118" s="45" t="s">
        <v>1324</v>
      </c>
      <c r="T118" s="45" t="s">
        <v>1324</v>
      </c>
      <c r="U118" s="44">
        <v>35.049999999999997</v>
      </c>
      <c r="V118" s="44">
        <v>52.884999999999998</v>
      </c>
      <c r="W118" s="44">
        <v>14.204724999999998</v>
      </c>
      <c r="X118" s="44">
        <v>9.0388986899999999</v>
      </c>
      <c r="Y118" s="130" t="s">
        <v>3915</v>
      </c>
      <c r="Z118" s="224"/>
    </row>
    <row r="119" spans="2:26" ht="15" customHeight="1" x14ac:dyDescent="0.35">
      <c r="B119" s="181">
        <v>94220</v>
      </c>
      <c r="C119" s="182" t="s">
        <v>976</v>
      </c>
      <c r="D119" s="222">
        <v>2</v>
      </c>
      <c r="E119" s="223" t="s">
        <v>1758</v>
      </c>
      <c r="F119" s="183" t="s">
        <v>1759</v>
      </c>
      <c r="G119" s="125">
        <v>0.56742051107574998</v>
      </c>
      <c r="H119" s="121" t="s">
        <v>1336</v>
      </c>
      <c r="I119" s="122">
        <v>45</v>
      </c>
      <c r="J119" s="106" t="s">
        <v>4656</v>
      </c>
      <c r="K119" s="118">
        <v>41</v>
      </c>
      <c r="L119" s="46">
        <v>2.0333333333333332</v>
      </c>
      <c r="M119" s="41">
        <v>83.36666666666666</v>
      </c>
      <c r="N119" s="44">
        <v>4.7590000000000003</v>
      </c>
      <c r="O119" s="41">
        <v>38</v>
      </c>
      <c r="P119" s="41">
        <v>5</v>
      </c>
      <c r="Q119" s="41">
        <v>42</v>
      </c>
      <c r="R119" s="45" t="s">
        <v>1307</v>
      </c>
      <c r="S119" s="45" t="s">
        <v>1307</v>
      </c>
      <c r="T119" s="45" t="s">
        <v>1307</v>
      </c>
      <c r="U119" s="44">
        <v>5.5869999999999997</v>
      </c>
      <c r="V119" s="44">
        <v>6.8739999999999997</v>
      </c>
      <c r="W119" s="44">
        <v>1.0508900000000003</v>
      </c>
      <c r="X119" s="44">
        <v>1.8520479600000002</v>
      </c>
      <c r="Y119" s="130" t="s">
        <v>3916</v>
      </c>
      <c r="Z119" s="224"/>
    </row>
    <row r="120" spans="2:26" ht="15" customHeight="1" x14ac:dyDescent="0.35">
      <c r="B120" s="181">
        <v>79097</v>
      </c>
      <c r="C120" s="182" t="s">
        <v>799</v>
      </c>
      <c r="D120" s="222">
        <v>15</v>
      </c>
      <c r="E120" s="223" t="s">
        <v>1761</v>
      </c>
      <c r="F120" s="183" t="s">
        <v>1762</v>
      </c>
      <c r="G120" s="125">
        <v>2.408983156412118</v>
      </c>
      <c r="H120" s="121" t="s">
        <v>1336</v>
      </c>
      <c r="I120" s="122">
        <v>54.307017543859658</v>
      </c>
      <c r="J120" s="106" t="s">
        <v>4656</v>
      </c>
      <c r="K120" s="118">
        <v>1210</v>
      </c>
      <c r="L120" s="46">
        <v>1.9775524981897177</v>
      </c>
      <c r="M120" s="41">
        <v>2392.8385228095585</v>
      </c>
      <c r="N120" s="44">
        <v>22.841000000000001</v>
      </c>
      <c r="O120" s="41">
        <v>798</v>
      </c>
      <c r="P120" s="41">
        <v>11</v>
      </c>
      <c r="Q120" s="41">
        <v>46</v>
      </c>
      <c r="R120" s="45" t="s">
        <v>1307</v>
      </c>
      <c r="S120" s="45" t="s">
        <v>1307</v>
      </c>
      <c r="T120" s="45" t="s">
        <v>1307</v>
      </c>
      <c r="U120" s="44">
        <v>172.65653156664069</v>
      </c>
      <c r="V120" s="44">
        <v>261.298</v>
      </c>
      <c r="W120" s="44">
        <v>51.326538350000007</v>
      </c>
      <c r="X120" s="44">
        <v>21.306308520000002</v>
      </c>
      <c r="Y120" s="130" t="s">
        <v>3917</v>
      </c>
      <c r="Z120" s="224" t="s">
        <v>3918</v>
      </c>
    </row>
    <row r="121" spans="2:26" ht="15" customHeight="1" x14ac:dyDescent="0.35">
      <c r="B121" s="181">
        <v>97035</v>
      </c>
      <c r="C121" s="182" t="s">
        <v>1004</v>
      </c>
      <c r="D121" s="222">
        <v>9</v>
      </c>
      <c r="E121" s="223" t="s">
        <v>1764</v>
      </c>
      <c r="F121" s="183" t="s">
        <v>4795</v>
      </c>
      <c r="G121" s="125">
        <v>3.2430211961683995</v>
      </c>
      <c r="H121" s="121" t="s">
        <v>1336</v>
      </c>
      <c r="I121" s="122">
        <v>59</v>
      </c>
      <c r="J121" s="106" t="s">
        <v>4656</v>
      </c>
      <c r="K121" s="118">
        <v>1510</v>
      </c>
      <c r="L121" s="46">
        <v>1.7590975254730714</v>
      </c>
      <c r="M121" s="41">
        <v>2656.237263464338</v>
      </c>
      <c r="N121" s="44">
        <v>23.384999999999998</v>
      </c>
      <c r="O121" s="41">
        <v>1487</v>
      </c>
      <c r="P121" s="41">
        <v>12</v>
      </c>
      <c r="Q121" s="41">
        <v>58.3</v>
      </c>
      <c r="R121" s="45" t="s">
        <v>1307</v>
      </c>
      <c r="S121" s="45" t="s">
        <v>1307</v>
      </c>
      <c r="T121" s="45" t="s">
        <v>1307</v>
      </c>
      <c r="U121" s="44">
        <v>204.49930000000001</v>
      </c>
      <c r="V121" s="44">
        <v>485.72800000000001</v>
      </c>
      <c r="W121" s="44">
        <v>141.92776800000001</v>
      </c>
      <c r="X121" s="44">
        <v>43.764058085000002</v>
      </c>
      <c r="Y121" s="130" t="s">
        <v>3919</v>
      </c>
      <c r="Z121" s="224"/>
    </row>
    <row r="122" spans="2:26" ht="15" customHeight="1" x14ac:dyDescent="0.35">
      <c r="B122" s="181">
        <v>38047</v>
      </c>
      <c r="C122" s="182" t="s">
        <v>332</v>
      </c>
      <c r="D122" s="222">
        <v>17</v>
      </c>
      <c r="E122" s="223" t="s">
        <v>1767</v>
      </c>
      <c r="F122" s="183" t="s">
        <v>1768</v>
      </c>
      <c r="G122" s="125">
        <v>2.3820280981946889</v>
      </c>
      <c r="H122" s="121" t="s">
        <v>1336</v>
      </c>
      <c r="I122" s="122">
        <v>59.081081081081081</v>
      </c>
      <c r="J122" s="106" t="s">
        <v>4656</v>
      </c>
      <c r="K122" s="118">
        <v>229</v>
      </c>
      <c r="L122" s="46">
        <v>2.1167192429022084</v>
      </c>
      <c r="M122" s="41">
        <v>484.72870662460571</v>
      </c>
      <c r="N122" s="44">
        <v>4.5659999999999998</v>
      </c>
      <c r="O122" s="41">
        <v>230</v>
      </c>
      <c r="P122" s="41">
        <v>8.23</v>
      </c>
      <c r="Q122" s="41">
        <v>41.72</v>
      </c>
      <c r="R122" s="45" t="s">
        <v>1307</v>
      </c>
      <c r="S122" s="45" t="s">
        <v>1307</v>
      </c>
      <c r="T122" s="45" t="s">
        <v>1307</v>
      </c>
      <c r="U122" s="44">
        <v>35.954789062500005</v>
      </c>
      <c r="V122" s="44">
        <v>52.35125</v>
      </c>
      <c r="W122" s="44">
        <v>11.371981249999999</v>
      </c>
      <c r="X122" s="44">
        <v>4.7740751918999988</v>
      </c>
      <c r="Y122" s="130" t="s">
        <v>3920</v>
      </c>
      <c r="Z122" s="224" t="s">
        <v>3921</v>
      </c>
    </row>
    <row r="123" spans="2:26" ht="15" customHeight="1" x14ac:dyDescent="0.35">
      <c r="B123" s="181">
        <v>22010</v>
      </c>
      <c r="C123" s="182" t="s">
        <v>154</v>
      </c>
      <c r="D123" s="222">
        <v>3</v>
      </c>
      <c r="E123" s="223" t="s">
        <v>1770</v>
      </c>
      <c r="F123" s="183" t="s">
        <v>1771</v>
      </c>
      <c r="G123" s="125">
        <v>0.73418045221270489</v>
      </c>
      <c r="H123" s="121" t="s">
        <v>1336</v>
      </c>
      <c r="I123" s="122">
        <v>54.950980392156858</v>
      </c>
      <c r="J123" s="106" t="s">
        <v>4656</v>
      </c>
      <c r="K123" s="118">
        <v>1062</v>
      </c>
      <c r="L123" s="46">
        <v>2.2271293375394321</v>
      </c>
      <c r="M123" s="41">
        <v>2365.2113564668771</v>
      </c>
      <c r="N123" s="44">
        <v>29.429000000000002</v>
      </c>
      <c r="O123" s="41">
        <v>1049</v>
      </c>
      <c r="P123" s="41">
        <v>13.36</v>
      </c>
      <c r="Q123" s="41">
        <v>69</v>
      </c>
      <c r="R123" s="45" t="s">
        <v>1307</v>
      </c>
      <c r="S123" s="45" t="s">
        <v>1307</v>
      </c>
      <c r="T123" s="45" t="s">
        <v>1307</v>
      </c>
      <c r="U123" s="44">
        <v>155.17054469156528</v>
      </c>
      <c r="V123" s="44">
        <v>246.49</v>
      </c>
      <c r="W123" s="44">
        <v>31.790210546741847</v>
      </c>
      <c r="X123" s="44">
        <v>43.300268280000004</v>
      </c>
      <c r="Y123" s="130" t="s">
        <v>3922</v>
      </c>
      <c r="Z123" s="224"/>
    </row>
    <row r="124" spans="2:26" ht="15" customHeight="1" x14ac:dyDescent="0.35">
      <c r="B124" s="181">
        <v>26005</v>
      </c>
      <c r="C124" s="182" t="s">
        <v>167</v>
      </c>
      <c r="D124" s="222">
        <v>12</v>
      </c>
      <c r="E124" s="223" t="s">
        <v>1774</v>
      </c>
      <c r="F124" s="183" t="s">
        <v>1775</v>
      </c>
      <c r="G124" s="125">
        <v>1.3083727476203657</v>
      </c>
      <c r="H124" s="121" t="s">
        <v>1325</v>
      </c>
      <c r="I124" s="122">
        <v>59.081081081081081</v>
      </c>
      <c r="J124" s="106" t="s">
        <v>4656</v>
      </c>
      <c r="K124" s="118">
        <v>310</v>
      </c>
      <c r="L124" s="46">
        <v>2.25</v>
      </c>
      <c r="M124" s="41">
        <v>697.5</v>
      </c>
      <c r="N124" s="44">
        <v>8.67</v>
      </c>
      <c r="O124" s="41">
        <v>323</v>
      </c>
      <c r="P124" s="41">
        <v>7.5</v>
      </c>
      <c r="Q124" s="41">
        <v>38.5</v>
      </c>
      <c r="R124" s="45" t="s">
        <v>1324</v>
      </c>
      <c r="S124" s="45" t="s">
        <v>1307</v>
      </c>
      <c r="T124" s="45" t="s">
        <v>1324</v>
      </c>
      <c r="U124" s="44">
        <v>65.087299999999999</v>
      </c>
      <c r="V124" s="44">
        <v>77.352000000000018</v>
      </c>
      <c r="W124" s="44">
        <v>8.7337200000000248</v>
      </c>
      <c r="X124" s="44">
        <v>6.675253681250001</v>
      </c>
      <c r="Y124" s="130" t="s">
        <v>3923</v>
      </c>
      <c r="Z124" s="224"/>
    </row>
    <row r="125" spans="2:26" ht="15" customHeight="1" x14ac:dyDescent="0.35">
      <c r="B125" s="181">
        <v>30025</v>
      </c>
      <c r="C125" s="182" t="s">
        <v>221</v>
      </c>
      <c r="D125" s="222">
        <v>5</v>
      </c>
      <c r="E125" s="223" t="s">
        <v>1612</v>
      </c>
      <c r="F125" s="183" t="s">
        <v>3714</v>
      </c>
      <c r="G125" s="125">
        <v>0.60734434418521654</v>
      </c>
      <c r="H125" s="121" t="s">
        <v>1336</v>
      </c>
      <c r="I125" s="122">
        <v>59</v>
      </c>
      <c r="J125" s="106" t="s">
        <v>4656</v>
      </c>
      <c r="K125" s="118">
        <v>184</v>
      </c>
      <c r="L125" s="46">
        <v>2.2707253886010363</v>
      </c>
      <c r="M125" s="41">
        <v>417.81347150259069</v>
      </c>
      <c r="N125" s="44">
        <v>5.8179999999999996</v>
      </c>
      <c r="O125" s="41">
        <v>164</v>
      </c>
      <c r="P125" s="41">
        <v>11</v>
      </c>
      <c r="Q125" s="41">
        <v>45.7</v>
      </c>
      <c r="R125" s="45" t="s">
        <v>1307</v>
      </c>
      <c r="S125" s="45" t="s">
        <v>1307</v>
      </c>
      <c r="T125" s="45" t="s">
        <v>1307</v>
      </c>
      <c r="U125" s="44">
        <v>29.548458315789475</v>
      </c>
      <c r="V125" s="44">
        <v>33.866999999999997</v>
      </c>
      <c r="W125" s="44">
        <v>2.8469999999999995</v>
      </c>
      <c r="X125" s="44">
        <v>4.6876208320000003</v>
      </c>
      <c r="Y125" s="130" t="s">
        <v>3924</v>
      </c>
      <c r="Z125" s="224"/>
    </row>
    <row r="126" spans="2:26" ht="15" customHeight="1" x14ac:dyDescent="0.35">
      <c r="B126" s="181">
        <v>3005</v>
      </c>
      <c r="C126" s="182" t="s">
        <v>1031</v>
      </c>
      <c r="D126" s="222">
        <v>11</v>
      </c>
      <c r="E126" s="223" t="s">
        <v>1778</v>
      </c>
      <c r="F126" s="183" t="s">
        <v>1779</v>
      </c>
      <c r="G126" s="125">
        <v>4.235299215465929</v>
      </c>
      <c r="H126" s="121" t="s">
        <v>1336</v>
      </c>
      <c r="I126" s="122">
        <v>61.719298245614048</v>
      </c>
      <c r="J126" s="106" t="s">
        <v>4656</v>
      </c>
      <c r="K126" s="118">
        <v>2206</v>
      </c>
      <c r="L126" s="46">
        <v>2.2079104477611939</v>
      </c>
      <c r="M126" s="41">
        <v>4870.6504477611934</v>
      </c>
      <c r="N126" s="44">
        <v>59.221000000000004</v>
      </c>
      <c r="O126" s="41">
        <v>1395</v>
      </c>
      <c r="P126" s="41">
        <v>20</v>
      </c>
      <c r="Q126" s="41">
        <v>63</v>
      </c>
      <c r="R126" s="45" t="s">
        <v>1307</v>
      </c>
      <c r="S126" s="45" t="s">
        <v>1307</v>
      </c>
      <c r="T126" s="45" t="s">
        <v>1307</v>
      </c>
      <c r="U126" s="44">
        <v>915.99631059631054</v>
      </c>
      <c r="V126" s="44">
        <v>1546.0730000000001</v>
      </c>
      <c r="W126" s="44">
        <v>280.4343937755105</v>
      </c>
      <c r="X126" s="44">
        <v>66.213596609999996</v>
      </c>
      <c r="Y126" s="130" t="s">
        <v>3925</v>
      </c>
      <c r="Z126" s="224" t="s">
        <v>3766</v>
      </c>
    </row>
    <row r="127" spans="2:26" ht="15" customHeight="1" x14ac:dyDescent="0.35">
      <c r="B127" s="181">
        <v>3005</v>
      </c>
      <c r="C127" s="182" t="s">
        <v>1031</v>
      </c>
      <c r="D127" s="222">
        <v>11</v>
      </c>
      <c r="E127" s="223" t="s">
        <v>1780</v>
      </c>
      <c r="F127" s="183" t="s">
        <v>1781</v>
      </c>
      <c r="G127" s="125">
        <v>3.8478892080459954</v>
      </c>
      <c r="H127" s="121" t="s">
        <v>1336</v>
      </c>
      <c r="I127" s="122">
        <v>61.719298245614048</v>
      </c>
      <c r="J127" s="106" t="s">
        <v>4656</v>
      </c>
      <c r="K127" s="118">
        <v>1643</v>
      </c>
      <c r="L127" s="46">
        <v>2.2079104477611939</v>
      </c>
      <c r="M127" s="41">
        <v>3627.5968656716418</v>
      </c>
      <c r="N127" s="44">
        <v>50.494</v>
      </c>
      <c r="O127" s="41">
        <v>1513</v>
      </c>
      <c r="P127" s="41">
        <v>30</v>
      </c>
      <c r="Q127" s="41">
        <v>63</v>
      </c>
      <c r="R127" s="45" t="s">
        <v>1307</v>
      </c>
      <c r="S127" s="45" t="s">
        <v>1307</v>
      </c>
      <c r="T127" s="45" t="s">
        <v>1307</v>
      </c>
      <c r="U127" s="44">
        <v>358.25296294151713</v>
      </c>
      <c r="V127" s="44">
        <v>1167.8150000000001</v>
      </c>
      <c r="W127" s="44">
        <v>287.92483520408172</v>
      </c>
      <c r="X127" s="44">
        <v>74.826695790000002</v>
      </c>
      <c r="Y127" s="130" t="s">
        <v>3926</v>
      </c>
      <c r="Z127" s="224" t="s">
        <v>3766</v>
      </c>
    </row>
    <row r="128" spans="2:26" ht="15" customHeight="1" x14ac:dyDescent="0.35">
      <c r="B128" s="181">
        <v>81017</v>
      </c>
      <c r="C128" s="182" t="s">
        <v>827</v>
      </c>
      <c r="D128" s="222">
        <v>7</v>
      </c>
      <c r="E128" s="223" t="s">
        <v>1785</v>
      </c>
      <c r="F128" s="183" t="s">
        <v>4789</v>
      </c>
      <c r="G128" s="125">
        <v>3.3580888523890624</v>
      </c>
      <c r="H128" s="121" t="s">
        <v>1786</v>
      </c>
      <c r="I128" s="122">
        <v>50.912280701754398</v>
      </c>
      <c r="J128" s="106" t="s">
        <v>4656</v>
      </c>
      <c r="K128" s="118">
        <v>129190</v>
      </c>
      <c r="L128" s="46">
        <v>2.2187399889047765</v>
      </c>
      <c r="M128" s="41">
        <v>286639.01916660811</v>
      </c>
      <c r="N128" s="44">
        <v>1349.6000000000001</v>
      </c>
      <c r="O128" s="41">
        <v>125035</v>
      </c>
      <c r="P128" s="41">
        <v>6</v>
      </c>
      <c r="Q128" s="41">
        <v>43.57</v>
      </c>
      <c r="R128" s="45" t="s">
        <v>1307</v>
      </c>
      <c r="S128" s="45" t="s">
        <v>1307</v>
      </c>
      <c r="T128" s="45" t="s">
        <v>1307</v>
      </c>
      <c r="U128" s="44">
        <v>26155.80875</v>
      </c>
      <c r="V128" s="44">
        <v>39041.764999999999</v>
      </c>
      <c r="W128" s="44">
        <v>7640.8126172969496</v>
      </c>
      <c r="X128" s="44">
        <v>2275.3455769524999</v>
      </c>
      <c r="Y128" s="130" t="s">
        <v>3927</v>
      </c>
      <c r="Z128" s="224"/>
    </row>
    <row r="129" spans="2:26" ht="15" customHeight="1" x14ac:dyDescent="0.35">
      <c r="B129" s="181">
        <v>92055</v>
      </c>
      <c r="C129" s="182" t="s">
        <v>954</v>
      </c>
      <c r="D129" s="222">
        <v>2</v>
      </c>
      <c r="E129" s="223" t="s">
        <v>1789</v>
      </c>
      <c r="F129" s="183" t="s">
        <v>1790</v>
      </c>
      <c r="G129" s="125">
        <v>1.2612254482194034</v>
      </c>
      <c r="H129" s="121" t="s">
        <v>1336</v>
      </c>
      <c r="I129" s="122">
        <v>52.666666666666664</v>
      </c>
      <c r="J129" s="106" t="s">
        <v>4656</v>
      </c>
      <c r="K129" s="118">
        <v>410</v>
      </c>
      <c r="L129" s="46">
        <v>1.9111111111111112</v>
      </c>
      <c r="M129" s="41">
        <v>783.55555555555554</v>
      </c>
      <c r="N129" s="44">
        <v>11.298</v>
      </c>
      <c r="O129" s="41">
        <v>344</v>
      </c>
      <c r="P129" s="41">
        <v>15</v>
      </c>
      <c r="Q129" s="41">
        <v>56</v>
      </c>
      <c r="R129" s="45" t="s">
        <v>1307</v>
      </c>
      <c r="S129" s="45" t="s">
        <v>1307</v>
      </c>
      <c r="T129" s="45" t="s">
        <v>1307</v>
      </c>
      <c r="U129" s="44">
        <v>66.100999999999999</v>
      </c>
      <c r="V129" s="44">
        <v>90.873999999999995</v>
      </c>
      <c r="W129" s="44">
        <v>15.662664642857138</v>
      </c>
      <c r="X129" s="44">
        <v>12.418608159999998</v>
      </c>
      <c r="Y129" s="130" t="s">
        <v>3928</v>
      </c>
      <c r="Z129" s="224" t="s">
        <v>3762</v>
      </c>
    </row>
    <row r="130" spans="2:26" ht="15" customHeight="1" x14ac:dyDescent="0.35">
      <c r="B130" s="181">
        <v>47017</v>
      </c>
      <c r="C130" s="182" t="s">
        <v>449</v>
      </c>
      <c r="D130" s="222">
        <v>5</v>
      </c>
      <c r="E130" s="223" t="s">
        <v>1793</v>
      </c>
      <c r="F130" s="183" t="s">
        <v>1794</v>
      </c>
      <c r="G130" s="125">
        <v>7.8309333649224072E-2</v>
      </c>
      <c r="H130" s="121" t="s">
        <v>1441</v>
      </c>
      <c r="I130" s="122">
        <v>59.780701754385966</v>
      </c>
      <c r="J130" s="106" t="s">
        <v>4656</v>
      </c>
      <c r="K130" s="118">
        <v>26298</v>
      </c>
      <c r="L130" s="46">
        <v>2.1889274914752623</v>
      </c>
      <c r="M130" s="41">
        <v>57564.41517081645</v>
      </c>
      <c r="N130" s="44">
        <v>275.17</v>
      </c>
      <c r="O130" s="41">
        <v>13653</v>
      </c>
      <c r="P130" s="41">
        <v>7</v>
      </c>
      <c r="Q130" s="41">
        <v>56</v>
      </c>
      <c r="R130" s="45" t="s">
        <v>1307</v>
      </c>
      <c r="S130" s="45" t="s">
        <v>1307</v>
      </c>
      <c r="T130" s="45" t="s">
        <v>1324</v>
      </c>
      <c r="U130" s="44">
        <v>5630.91</v>
      </c>
      <c r="V130" s="44">
        <v>9762.4639999999999</v>
      </c>
      <c r="W130" s="44">
        <v>29.235316202530271</v>
      </c>
      <c r="X130" s="44">
        <v>373.3311834000001</v>
      </c>
      <c r="Y130" s="130" t="s">
        <v>3929</v>
      </c>
      <c r="Z130" s="224" t="s">
        <v>3930</v>
      </c>
    </row>
    <row r="131" spans="2:26" ht="15" customHeight="1" x14ac:dyDescent="0.35">
      <c r="B131" s="181">
        <v>2015</v>
      </c>
      <c r="C131" s="182" t="s">
        <v>1028</v>
      </c>
      <c r="D131" s="222">
        <v>11</v>
      </c>
      <c r="E131" s="223" t="s">
        <v>1797</v>
      </c>
      <c r="F131" s="183" t="s">
        <v>1798</v>
      </c>
      <c r="G131" s="125">
        <v>14.696251830646807</v>
      </c>
      <c r="H131" s="121" t="s">
        <v>1336</v>
      </c>
      <c r="I131" s="122">
        <v>57.12215771486143</v>
      </c>
      <c r="J131" s="106" t="s">
        <v>4656</v>
      </c>
      <c r="K131" s="118">
        <v>1391</v>
      </c>
      <c r="L131" s="46">
        <v>2.4759166067577283</v>
      </c>
      <c r="M131" s="41">
        <v>3444</v>
      </c>
      <c r="N131" s="44">
        <v>28.983000000000001</v>
      </c>
      <c r="O131" s="41">
        <v>1134</v>
      </c>
      <c r="P131" s="41">
        <v>15</v>
      </c>
      <c r="Q131" s="41">
        <v>46</v>
      </c>
      <c r="R131" s="45" t="s">
        <v>1307</v>
      </c>
      <c r="S131" s="45" t="s">
        <v>1307</v>
      </c>
      <c r="T131" s="45" t="s">
        <v>1307</v>
      </c>
      <c r="U131" s="44">
        <v>652.65347826086963</v>
      </c>
      <c r="V131" s="44">
        <v>1295.654</v>
      </c>
      <c r="W131" s="44">
        <v>457.51015852040803</v>
      </c>
      <c r="X131" s="44">
        <v>31.131077759999997</v>
      </c>
      <c r="Y131" s="130" t="s">
        <v>3931</v>
      </c>
      <c r="Z131" s="224"/>
    </row>
    <row r="132" spans="2:26" ht="15" customHeight="1" x14ac:dyDescent="0.35">
      <c r="B132" s="181">
        <v>3020</v>
      </c>
      <c r="C132" s="182" t="s">
        <v>1034</v>
      </c>
      <c r="D132" s="222">
        <v>11</v>
      </c>
      <c r="E132" s="223" t="s">
        <v>1803</v>
      </c>
      <c r="F132" s="183" t="s">
        <v>1804</v>
      </c>
      <c r="G132" s="125">
        <v>5.6551199764363211</v>
      </c>
      <c r="H132" s="121" t="s">
        <v>1336</v>
      </c>
      <c r="I132" s="122">
        <v>45.081081081081081</v>
      </c>
      <c r="J132" s="106" t="s">
        <v>4656</v>
      </c>
      <c r="K132" s="118">
        <v>513</v>
      </c>
      <c r="L132" s="46">
        <v>2</v>
      </c>
      <c r="M132" s="41">
        <v>1026</v>
      </c>
      <c r="N132" s="44">
        <v>18.698</v>
      </c>
      <c r="O132" s="41">
        <v>485</v>
      </c>
      <c r="P132" s="41">
        <v>10</v>
      </c>
      <c r="Q132" s="41">
        <v>35</v>
      </c>
      <c r="R132" s="45" t="s">
        <v>1307</v>
      </c>
      <c r="S132" s="45" t="s">
        <v>1307</v>
      </c>
      <c r="T132" s="45" t="s">
        <v>1307</v>
      </c>
      <c r="U132" s="44">
        <v>147.3160223463687</v>
      </c>
      <c r="V132" s="44">
        <v>218.59200000000001</v>
      </c>
      <c r="W132" s="44">
        <v>61.105119999999999</v>
      </c>
      <c r="X132" s="44">
        <v>10.805273850000001</v>
      </c>
      <c r="Y132" s="130" t="s">
        <v>3932</v>
      </c>
      <c r="Z132" s="224" t="s">
        <v>3766</v>
      </c>
    </row>
    <row r="133" spans="2:26" ht="15" customHeight="1" x14ac:dyDescent="0.35">
      <c r="B133" s="181">
        <v>9060</v>
      </c>
      <c r="C133" s="182" t="s">
        <v>1107</v>
      </c>
      <c r="D133" s="222">
        <v>1</v>
      </c>
      <c r="E133" s="223" t="s">
        <v>1807</v>
      </c>
      <c r="F133" s="183" t="s">
        <v>1808</v>
      </c>
      <c r="G133" s="125">
        <v>0.1</v>
      </c>
      <c r="H133" s="121" t="s">
        <v>1325</v>
      </c>
      <c r="I133" s="122">
        <v>66</v>
      </c>
      <c r="J133" s="106" t="s">
        <v>4656</v>
      </c>
      <c r="K133" s="118"/>
      <c r="L133" s="46"/>
      <c r="M133" s="41"/>
      <c r="N133" s="44"/>
      <c r="O133" s="41"/>
      <c r="P133" s="41"/>
      <c r="Q133" s="41"/>
      <c r="R133" s="45"/>
      <c r="S133" s="45"/>
      <c r="T133" s="45"/>
      <c r="U133" s="44"/>
      <c r="V133" s="44"/>
      <c r="W133" s="44" t="s">
        <v>1124</v>
      </c>
      <c r="X133" s="44"/>
      <c r="Y133" s="130" t="s">
        <v>3933</v>
      </c>
      <c r="Z133" s="224"/>
    </row>
    <row r="134" spans="2:26" ht="15" customHeight="1" x14ac:dyDescent="0.35">
      <c r="B134" s="181">
        <v>50065</v>
      </c>
      <c r="C134" s="182" t="s">
        <v>490</v>
      </c>
      <c r="D134" s="222">
        <v>17</v>
      </c>
      <c r="E134" s="223" t="s">
        <v>1811</v>
      </c>
      <c r="F134" s="183" t="s">
        <v>1812</v>
      </c>
      <c r="G134" s="125">
        <v>0.78556167093955032</v>
      </c>
      <c r="H134" s="121" t="s">
        <v>1336</v>
      </c>
      <c r="I134" s="122">
        <v>64</v>
      </c>
      <c r="J134" s="106" t="s">
        <v>4656</v>
      </c>
      <c r="K134" s="118">
        <v>252</v>
      </c>
      <c r="L134" s="46">
        <v>1.9319999999999999</v>
      </c>
      <c r="M134" s="41">
        <v>486.86399999999998</v>
      </c>
      <c r="N134" s="44">
        <v>11.973000000000001</v>
      </c>
      <c r="O134" s="41">
        <v>241</v>
      </c>
      <c r="P134" s="41">
        <v>8</v>
      </c>
      <c r="Q134" s="41">
        <v>45.5</v>
      </c>
      <c r="R134" s="45" t="s">
        <v>1307</v>
      </c>
      <c r="S134" s="45" t="s">
        <v>1307</v>
      </c>
      <c r="T134" s="45" t="s">
        <v>1307</v>
      </c>
      <c r="U134" s="44">
        <v>29.983000000000001</v>
      </c>
      <c r="V134" s="44">
        <v>55.347999999999999</v>
      </c>
      <c r="W134" s="44">
        <v>5.955779999999999</v>
      </c>
      <c r="X134" s="44">
        <v>7.5815562549999997</v>
      </c>
      <c r="Y134" s="130" t="s">
        <v>3934</v>
      </c>
      <c r="Z134" s="224" t="s">
        <v>3935</v>
      </c>
    </row>
    <row r="135" spans="2:26" ht="15" customHeight="1" x14ac:dyDescent="0.35">
      <c r="B135" s="181">
        <v>76055</v>
      </c>
      <c r="C135" s="182" t="s">
        <v>754</v>
      </c>
      <c r="D135" s="222">
        <v>15</v>
      </c>
      <c r="E135" s="223" t="s">
        <v>1815</v>
      </c>
      <c r="F135" s="183" t="s">
        <v>1816</v>
      </c>
      <c r="G135" s="125">
        <v>7.5929487203244648</v>
      </c>
      <c r="H135" s="121" t="s">
        <v>1336</v>
      </c>
      <c r="I135" s="122">
        <v>54.31372549019607</v>
      </c>
      <c r="J135" s="106" t="s">
        <v>4656</v>
      </c>
      <c r="K135" s="118">
        <v>928</v>
      </c>
      <c r="L135" s="46">
        <v>1.9944567627494456</v>
      </c>
      <c r="M135" s="41">
        <v>1850.8558758314855</v>
      </c>
      <c r="N135" s="44">
        <v>18.109000000000002</v>
      </c>
      <c r="O135" s="41">
        <v>680</v>
      </c>
      <c r="P135" s="41">
        <v>6</v>
      </c>
      <c r="Q135" s="41">
        <v>58.3</v>
      </c>
      <c r="R135" s="45" t="s">
        <v>1307</v>
      </c>
      <c r="S135" s="45" t="s">
        <v>1307</v>
      </c>
      <c r="T135" s="45" t="s">
        <v>1307</v>
      </c>
      <c r="U135" s="44">
        <v>177.57406548856548</v>
      </c>
      <c r="V135" s="44">
        <v>348.18400000000003</v>
      </c>
      <c r="W135" s="44">
        <v>157.04393621212122</v>
      </c>
      <c r="X135" s="44">
        <v>20.682865378999999</v>
      </c>
      <c r="Y135" s="130" t="s">
        <v>3936</v>
      </c>
      <c r="Z135" s="224"/>
    </row>
    <row r="136" spans="2:26" ht="15" customHeight="1" x14ac:dyDescent="0.35">
      <c r="B136" s="181">
        <v>76052</v>
      </c>
      <c r="C136" s="182" t="s">
        <v>753</v>
      </c>
      <c r="D136" s="222">
        <v>15</v>
      </c>
      <c r="E136" s="223" t="s">
        <v>1821</v>
      </c>
      <c r="F136" s="183" t="s">
        <v>1822</v>
      </c>
      <c r="G136" s="125">
        <v>4.4783199523954034</v>
      </c>
      <c r="H136" s="121" t="s">
        <v>1336</v>
      </c>
      <c r="I136" s="122">
        <v>43.5</v>
      </c>
      <c r="J136" s="106" t="s">
        <v>4656</v>
      </c>
      <c r="K136" s="118">
        <v>254</v>
      </c>
      <c r="L136" s="46">
        <v>2.33</v>
      </c>
      <c r="M136" s="41">
        <v>591.82000000000005</v>
      </c>
      <c r="N136" s="44">
        <v>9.141</v>
      </c>
      <c r="O136" s="41">
        <v>265</v>
      </c>
      <c r="P136" s="41">
        <v>7</v>
      </c>
      <c r="Q136" s="41">
        <v>40</v>
      </c>
      <c r="R136" s="45" t="s">
        <v>1307</v>
      </c>
      <c r="S136" s="45" t="s">
        <v>1307</v>
      </c>
      <c r="T136" s="45" t="s">
        <v>1307</v>
      </c>
      <c r="U136" s="44">
        <v>60.379188679245289</v>
      </c>
      <c r="V136" s="44">
        <v>116.232</v>
      </c>
      <c r="W136" s="44">
        <v>27.651520000000001</v>
      </c>
      <c r="X136" s="44">
        <v>6.1745298000000002</v>
      </c>
      <c r="Y136" s="130" t="s">
        <v>3937</v>
      </c>
      <c r="Z136" s="224" t="s">
        <v>3938</v>
      </c>
    </row>
    <row r="137" spans="2:26" ht="15" customHeight="1" x14ac:dyDescent="0.35">
      <c r="B137" s="181">
        <v>8015</v>
      </c>
      <c r="C137" s="182" t="s">
        <v>1088</v>
      </c>
      <c r="D137" s="222">
        <v>1</v>
      </c>
      <c r="E137" s="223" t="s">
        <v>1412</v>
      </c>
      <c r="F137" s="183" t="s">
        <v>1826</v>
      </c>
      <c r="G137" s="125">
        <v>1.8059346507348091</v>
      </c>
      <c r="H137" s="121" t="s">
        <v>1336</v>
      </c>
      <c r="I137" s="122">
        <v>58.72972972972974</v>
      </c>
      <c r="J137" s="106" t="s">
        <v>4656</v>
      </c>
      <c r="K137" s="118">
        <v>158</v>
      </c>
      <c r="L137" s="46">
        <v>1.7244444444444444</v>
      </c>
      <c r="M137" s="41">
        <v>272.46222222222224</v>
      </c>
      <c r="N137" s="44">
        <v>6.3040000000000003</v>
      </c>
      <c r="O137" s="41">
        <v>178</v>
      </c>
      <c r="P137" s="41">
        <v>9</v>
      </c>
      <c r="Q137" s="41">
        <v>56.1</v>
      </c>
      <c r="R137" s="45" t="s">
        <v>1307</v>
      </c>
      <c r="S137" s="45" t="s">
        <v>1307</v>
      </c>
      <c r="T137" s="45" t="s">
        <v>1307</v>
      </c>
      <c r="U137" s="44">
        <v>29.06</v>
      </c>
      <c r="V137" s="44">
        <v>42.469000000000001</v>
      </c>
      <c r="W137" s="44">
        <v>10.942965000000001</v>
      </c>
      <c r="X137" s="44">
        <v>6.0594468330000009</v>
      </c>
      <c r="Y137" s="130" t="s">
        <v>3939</v>
      </c>
      <c r="Z137" s="224" t="s">
        <v>3766</v>
      </c>
    </row>
    <row r="138" spans="2:26" ht="15" customHeight="1" x14ac:dyDescent="0.35">
      <c r="B138" s="181">
        <v>39010</v>
      </c>
      <c r="C138" s="182" t="s">
        <v>338</v>
      </c>
      <c r="D138" s="222">
        <v>17</v>
      </c>
      <c r="E138" s="223" t="s">
        <v>1829</v>
      </c>
      <c r="F138" s="183" t="s">
        <v>1830</v>
      </c>
      <c r="G138" s="125">
        <v>1.5329445633884016</v>
      </c>
      <c r="H138" s="121" t="s">
        <v>1336</v>
      </c>
      <c r="I138" s="122">
        <v>59.081081081081081</v>
      </c>
      <c r="J138" s="106" t="s">
        <v>4656</v>
      </c>
      <c r="K138" s="118">
        <v>256</v>
      </c>
      <c r="L138" s="46">
        <v>2.185542168674699</v>
      </c>
      <c r="M138" s="41">
        <v>559.49879518072294</v>
      </c>
      <c r="N138" s="44">
        <v>7.9029999999999996</v>
      </c>
      <c r="O138" s="41">
        <v>262</v>
      </c>
      <c r="P138" s="41">
        <v>5</v>
      </c>
      <c r="Q138" s="41">
        <v>54</v>
      </c>
      <c r="R138" s="45" t="s">
        <v>1307</v>
      </c>
      <c r="S138" s="45" t="s">
        <v>1307</v>
      </c>
      <c r="T138" s="45" t="s">
        <v>1307</v>
      </c>
      <c r="U138" s="44">
        <v>32.55820938628159</v>
      </c>
      <c r="V138" s="44">
        <v>47.563000000000002</v>
      </c>
      <c r="W138" s="44">
        <v>11.620555000000001</v>
      </c>
      <c r="X138" s="44">
        <v>7.5805448400000008</v>
      </c>
      <c r="Y138" s="130" t="s">
        <v>3940</v>
      </c>
      <c r="Z138" s="224"/>
    </row>
    <row r="139" spans="2:26" ht="15" customHeight="1" x14ac:dyDescent="0.35">
      <c r="B139" s="181">
        <v>66062</v>
      </c>
      <c r="C139" s="182" t="s">
        <v>652</v>
      </c>
      <c r="D139" s="222">
        <v>6</v>
      </c>
      <c r="E139" s="223" t="s">
        <v>1832</v>
      </c>
      <c r="F139" s="183" t="s">
        <v>4790</v>
      </c>
      <c r="G139" s="125">
        <v>6.1215107406841769</v>
      </c>
      <c r="H139" s="121" t="s">
        <v>1336</v>
      </c>
      <c r="I139" s="122">
        <v>63.254901960784323</v>
      </c>
      <c r="J139" s="106" t="s">
        <v>4656</v>
      </c>
      <c r="K139" s="118">
        <v>2687</v>
      </c>
      <c r="L139" s="46">
        <v>2.6903954802259888</v>
      </c>
      <c r="M139" s="41">
        <v>7229.0926553672316</v>
      </c>
      <c r="N139" s="44">
        <v>29.171500000000002</v>
      </c>
      <c r="O139" s="41">
        <v>1904</v>
      </c>
      <c r="P139" s="41">
        <v>8.5</v>
      </c>
      <c r="Q139" s="41">
        <v>51.5</v>
      </c>
      <c r="R139" s="45" t="s">
        <v>1307</v>
      </c>
      <c r="S139" s="45" t="s">
        <v>1307</v>
      </c>
      <c r="T139" s="45" t="s">
        <v>1307</v>
      </c>
      <c r="U139" s="44">
        <v>1103.085</v>
      </c>
      <c r="V139" s="44">
        <v>1513.8610000000001</v>
      </c>
      <c r="W139" s="44">
        <v>282.25149494897983</v>
      </c>
      <c r="X139" s="44">
        <v>46.108143382500003</v>
      </c>
      <c r="Y139" s="130" t="s">
        <v>3941</v>
      </c>
      <c r="Z139" s="224"/>
    </row>
    <row r="140" spans="2:26" ht="15" customHeight="1" x14ac:dyDescent="0.35">
      <c r="B140" s="181">
        <v>45055</v>
      </c>
      <c r="C140" s="182" t="s">
        <v>417</v>
      </c>
      <c r="D140" s="222">
        <v>5</v>
      </c>
      <c r="E140" s="223" t="s">
        <v>1836</v>
      </c>
      <c r="F140" s="183" t="s">
        <v>1837</v>
      </c>
      <c r="G140" s="125">
        <v>1.5739008591590447</v>
      </c>
      <c r="H140" s="121" t="s">
        <v>1336</v>
      </c>
      <c r="I140" s="122">
        <v>59</v>
      </c>
      <c r="J140" s="106" t="s">
        <v>4656</v>
      </c>
      <c r="K140" s="118">
        <v>163</v>
      </c>
      <c r="L140" s="46">
        <v>2.5095613048368954</v>
      </c>
      <c r="M140" s="41">
        <v>409.05849268841393</v>
      </c>
      <c r="N140" s="44">
        <v>3.4460000000000002</v>
      </c>
      <c r="O140" s="41">
        <v>185</v>
      </c>
      <c r="P140" s="41">
        <v>10</v>
      </c>
      <c r="Q140" s="41">
        <v>40</v>
      </c>
      <c r="R140" s="45" t="s">
        <v>1307</v>
      </c>
      <c r="S140" s="45" t="s">
        <v>1307</v>
      </c>
      <c r="T140" s="45" t="s">
        <v>1307</v>
      </c>
      <c r="U140" s="44">
        <v>26.248045612244898</v>
      </c>
      <c r="V140" s="44">
        <v>34.148000000000003</v>
      </c>
      <c r="W140" s="44">
        <v>5.8890000000000002</v>
      </c>
      <c r="X140" s="44">
        <v>3.7416588000000002</v>
      </c>
      <c r="Y140" s="130" t="s">
        <v>3942</v>
      </c>
      <c r="Z140" s="224"/>
    </row>
    <row r="141" spans="2:26" ht="15" customHeight="1" x14ac:dyDescent="0.35">
      <c r="B141" s="181">
        <v>45043</v>
      </c>
      <c r="C141" s="182" t="s">
        <v>415</v>
      </c>
      <c r="D141" s="222">
        <v>5</v>
      </c>
      <c r="E141" s="223" t="s">
        <v>3767</v>
      </c>
      <c r="F141" s="183" t="s">
        <v>3768</v>
      </c>
      <c r="G141" s="125">
        <v>1.260532373779139</v>
      </c>
      <c r="H141" s="121" t="s">
        <v>1325</v>
      </c>
      <c r="I141" s="122">
        <v>59.081081081081095</v>
      </c>
      <c r="J141" s="106" t="s">
        <v>4656</v>
      </c>
      <c r="K141" s="118">
        <v>49</v>
      </c>
      <c r="L141" s="46">
        <v>2.0420420420420422</v>
      </c>
      <c r="M141" s="41">
        <v>100.06006006006007</v>
      </c>
      <c r="N141" s="44">
        <v>2.4020000000000001</v>
      </c>
      <c r="O141" s="41">
        <v>50</v>
      </c>
      <c r="P141" s="41">
        <v>5</v>
      </c>
      <c r="Q141" s="41">
        <v>56</v>
      </c>
      <c r="R141" s="45" t="s">
        <v>1307</v>
      </c>
      <c r="S141" s="45" t="s">
        <v>1307</v>
      </c>
      <c r="T141" s="45" t="s">
        <v>1324</v>
      </c>
      <c r="U141" s="44">
        <v>5.070528575</v>
      </c>
      <c r="V141" s="44">
        <v>8.2238799999999994</v>
      </c>
      <c r="W141" s="44">
        <v>2.3056320000000006</v>
      </c>
      <c r="X141" s="44">
        <v>1.8290938400000001</v>
      </c>
      <c r="Y141" s="130" t="s">
        <v>4588</v>
      </c>
      <c r="Z141" s="224"/>
    </row>
    <row r="142" spans="2:26" ht="15" customHeight="1" x14ac:dyDescent="0.35">
      <c r="B142" s="181">
        <v>45043</v>
      </c>
      <c r="C142" s="182" t="s">
        <v>415</v>
      </c>
      <c r="D142" s="222">
        <v>5</v>
      </c>
      <c r="E142" s="223" t="s">
        <v>3769</v>
      </c>
      <c r="F142" s="183" t="s">
        <v>4589</v>
      </c>
      <c r="G142" s="125">
        <v>1.0282936094776833</v>
      </c>
      <c r="H142" s="121" t="s">
        <v>1336</v>
      </c>
      <c r="I142" s="122">
        <v>43</v>
      </c>
      <c r="J142" s="106" t="s">
        <v>4656</v>
      </c>
      <c r="K142" s="118">
        <v>102</v>
      </c>
      <c r="L142" s="46">
        <v>2.0420420420420422</v>
      </c>
      <c r="M142" s="41">
        <v>208.2882882882883</v>
      </c>
      <c r="N142" s="44">
        <v>2.6070000000000002</v>
      </c>
      <c r="O142" s="41">
        <v>211</v>
      </c>
      <c r="P142" s="41">
        <v>3</v>
      </c>
      <c r="Q142" s="41">
        <v>63</v>
      </c>
      <c r="R142" s="45" t="s">
        <v>1307</v>
      </c>
      <c r="S142" s="45" t="s">
        <v>1307</v>
      </c>
      <c r="T142" s="45" t="s">
        <v>1307</v>
      </c>
      <c r="U142" s="44">
        <v>8.5546344827586207</v>
      </c>
      <c r="V142" s="44">
        <v>17.905000000000001</v>
      </c>
      <c r="W142" s="44">
        <v>5.4751650000000014</v>
      </c>
      <c r="X142" s="44">
        <v>5.3245152449999997</v>
      </c>
      <c r="Y142" s="130" t="s">
        <v>4590</v>
      </c>
      <c r="Z142" s="224"/>
    </row>
    <row r="143" spans="2:26" ht="15" customHeight="1" x14ac:dyDescent="0.35">
      <c r="B143" s="181">
        <v>93020</v>
      </c>
      <c r="C143" s="182" t="s">
        <v>960</v>
      </c>
      <c r="D143" s="222">
        <v>2</v>
      </c>
      <c r="E143" s="223" t="s">
        <v>1839</v>
      </c>
      <c r="F143" s="183" t="s">
        <v>1840</v>
      </c>
      <c r="G143" s="125">
        <v>4.7682754012049573</v>
      </c>
      <c r="H143" s="121" t="s">
        <v>1336</v>
      </c>
      <c r="I143" s="122">
        <v>58.72972972972974</v>
      </c>
      <c r="J143" s="106" t="s">
        <v>4656</v>
      </c>
      <c r="K143" s="118">
        <v>1094</v>
      </c>
      <c r="L143" s="46">
        <v>2.2680776014109347</v>
      </c>
      <c r="M143" s="41">
        <v>2481.2768959435625</v>
      </c>
      <c r="N143" s="44">
        <v>65.19</v>
      </c>
      <c r="O143" s="41">
        <v>1263</v>
      </c>
      <c r="P143" s="41">
        <v>3</v>
      </c>
      <c r="Q143" s="41">
        <v>45.7</v>
      </c>
      <c r="R143" s="45" t="s">
        <v>1307</v>
      </c>
      <c r="S143" s="45" t="s">
        <v>1307</v>
      </c>
      <c r="T143" s="45" t="s">
        <v>1307</v>
      </c>
      <c r="U143" s="44">
        <v>237.54499999999999</v>
      </c>
      <c r="V143" s="44">
        <v>458.65800000000002</v>
      </c>
      <c r="W143" s="44">
        <v>181.22913000000005</v>
      </c>
      <c r="X143" s="44">
        <v>38.007269872500004</v>
      </c>
      <c r="Y143" s="130" t="s">
        <v>3943</v>
      </c>
      <c r="Z143" s="224" t="s">
        <v>3944</v>
      </c>
    </row>
    <row r="144" spans="2:26" ht="15" customHeight="1" x14ac:dyDescent="0.35">
      <c r="B144" s="181">
        <v>93025</v>
      </c>
      <c r="C144" s="182" t="s">
        <v>961</v>
      </c>
      <c r="D144" s="222">
        <v>2</v>
      </c>
      <c r="E144" s="223" t="s">
        <v>1843</v>
      </c>
      <c r="F144" s="183" t="s">
        <v>1844</v>
      </c>
      <c r="G144" s="125">
        <v>6.9373537189751673</v>
      </c>
      <c r="H144" s="121" t="s">
        <v>1336</v>
      </c>
      <c r="I144" s="122">
        <v>64.175675675675677</v>
      </c>
      <c r="J144" s="106" t="s">
        <v>4656</v>
      </c>
      <c r="K144" s="118">
        <v>582</v>
      </c>
      <c r="L144" s="46">
        <v>2.4018181818181819</v>
      </c>
      <c r="M144" s="41">
        <v>1397.8581818181819</v>
      </c>
      <c r="N144" s="44">
        <v>19.8</v>
      </c>
      <c r="O144" s="41">
        <v>477</v>
      </c>
      <c r="P144" s="41">
        <v>6</v>
      </c>
      <c r="Q144" s="41">
        <v>42</v>
      </c>
      <c r="R144" s="45" t="s">
        <v>1307</v>
      </c>
      <c r="S144" s="45" t="s">
        <v>1307</v>
      </c>
      <c r="T144" s="45" t="s">
        <v>1307</v>
      </c>
      <c r="U144" s="44">
        <v>158.267</v>
      </c>
      <c r="V144" s="44">
        <v>252.77699999999999</v>
      </c>
      <c r="W144" s="44">
        <v>86.095344999999995</v>
      </c>
      <c r="X144" s="44">
        <v>12.410401500000001</v>
      </c>
      <c r="Y144" s="130" t="s">
        <v>3945</v>
      </c>
      <c r="Z144" s="224" t="s">
        <v>3762</v>
      </c>
    </row>
    <row r="145" spans="2:26" ht="15" customHeight="1" x14ac:dyDescent="0.35">
      <c r="B145" s="181">
        <v>68010</v>
      </c>
      <c r="C145" s="182" t="s">
        <v>674</v>
      </c>
      <c r="D145" s="222">
        <v>16</v>
      </c>
      <c r="E145" s="223" t="s">
        <v>1847</v>
      </c>
      <c r="F145" s="183" t="s">
        <v>1848</v>
      </c>
      <c r="G145" s="125">
        <v>2.1389541626502915</v>
      </c>
      <c r="H145" s="121" t="s">
        <v>1336</v>
      </c>
      <c r="I145" s="122">
        <v>57.851351351351369</v>
      </c>
      <c r="J145" s="106" t="s">
        <v>4656</v>
      </c>
      <c r="K145" s="118">
        <v>471</v>
      </c>
      <c r="L145" s="46">
        <v>1.9694656488549618</v>
      </c>
      <c r="M145" s="41">
        <v>927.61832061068696</v>
      </c>
      <c r="N145" s="44">
        <v>6.3250000000000002</v>
      </c>
      <c r="O145" s="41">
        <v>373</v>
      </c>
      <c r="P145" s="41">
        <v>9.1440000000000001</v>
      </c>
      <c r="Q145" s="41">
        <v>35.200000000000003</v>
      </c>
      <c r="R145" s="45" t="s">
        <v>1307</v>
      </c>
      <c r="S145" s="45" t="s">
        <v>1307</v>
      </c>
      <c r="T145" s="45" t="s">
        <v>1307</v>
      </c>
      <c r="U145" s="44">
        <v>78.839651574803142</v>
      </c>
      <c r="V145" s="44">
        <v>103.343</v>
      </c>
      <c r="W145" s="44">
        <v>13.672427500000001</v>
      </c>
      <c r="X145" s="44">
        <v>6.392108694400001</v>
      </c>
      <c r="Y145" s="130" t="s">
        <v>3946</v>
      </c>
      <c r="Z145" s="224"/>
    </row>
    <row r="146" spans="2:26" ht="15" customHeight="1" x14ac:dyDescent="0.35">
      <c r="B146" s="181">
        <v>19070</v>
      </c>
      <c r="C146" s="182" t="s">
        <v>130</v>
      </c>
      <c r="D146" s="222">
        <v>12</v>
      </c>
      <c r="E146" s="223" t="s">
        <v>1232</v>
      </c>
      <c r="F146" s="183" t="s">
        <v>1850</v>
      </c>
      <c r="G146" s="125">
        <v>0.6391053679887343</v>
      </c>
      <c r="H146" s="121" t="s">
        <v>1325</v>
      </c>
      <c r="I146" s="122">
        <v>61.540540540540547</v>
      </c>
      <c r="J146" s="106" t="s">
        <v>4656</v>
      </c>
      <c r="K146" s="118">
        <v>182</v>
      </c>
      <c r="L146" s="46">
        <v>2.6516516516516515</v>
      </c>
      <c r="M146" s="41">
        <v>482.60060060060056</v>
      </c>
      <c r="N146" s="44">
        <v>5.0039999999999996</v>
      </c>
      <c r="O146" s="41">
        <v>144</v>
      </c>
      <c r="P146" s="41">
        <v>25</v>
      </c>
      <c r="Q146" s="41">
        <v>45.5</v>
      </c>
      <c r="R146" s="45" t="s">
        <v>1307</v>
      </c>
      <c r="S146" s="45" t="s">
        <v>1324</v>
      </c>
      <c r="T146" s="45" t="s">
        <v>1307</v>
      </c>
      <c r="U146" s="44">
        <v>27.442799999999998</v>
      </c>
      <c r="V146" s="44">
        <v>33.032550000000001</v>
      </c>
      <c r="W146" s="44">
        <v>3.1340000000000003</v>
      </c>
      <c r="X146" s="44">
        <v>4.9037297400000002</v>
      </c>
      <c r="Y146" s="130" t="s">
        <v>3947</v>
      </c>
      <c r="Z146" s="224"/>
    </row>
    <row r="147" spans="2:26" ht="15" customHeight="1" x14ac:dyDescent="0.35">
      <c r="B147" s="181">
        <v>78065</v>
      </c>
      <c r="C147" s="182" t="s">
        <v>776</v>
      </c>
      <c r="D147" s="222">
        <v>15</v>
      </c>
      <c r="E147" s="223" t="s">
        <v>1851</v>
      </c>
      <c r="F147" s="183" t="s">
        <v>1852</v>
      </c>
      <c r="G147" s="125">
        <v>5.3264376293397513</v>
      </c>
      <c r="H147" s="121" t="s">
        <v>1336</v>
      </c>
      <c r="I147" s="122">
        <v>57.117647058823522</v>
      </c>
      <c r="J147" s="106" t="s">
        <v>4656</v>
      </c>
      <c r="K147" s="118">
        <v>252</v>
      </c>
      <c r="L147" s="46">
        <v>1.8193018480492813</v>
      </c>
      <c r="M147" s="41">
        <v>458.4640657084189</v>
      </c>
      <c r="N147" s="44">
        <v>8.2850000000000001</v>
      </c>
      <c r="O147" s="41">
        <v>226</v>
      </c>
      <c r="P147" s="41">
        <v>5</v>
      </c>
      <c r="Q147" s="41">
        <v>61.8</v>
      </c>
      <c r="R147" s="45" t="s">
        <v>1307</v>
      </c>
      <c r="S147" s="45" t="s">
        <v>1307</v>
      </c>
      <c r="T147" s="45" t="s">
        <v>1307</v>
      </c>
      <c r="U147" s="44">
        <v>23.713000000000001</v>
      </c>
      <c r="V147" s="44">
        <v>86.123999999999995</v>
      </c>
      <c r="W147" s="44">
        <v>43.034773112244899</v>
      </c>
      <c r="X147" s="44">
        <v>8.0794662599999985</v>
      </c>
      <c r="Y147" s="130" t="s">
        <v>3948</v>
      </c>
      <c r="Z147" s="224"/>
    </row>
    <row r="148" spans="2:26" ht="15" customHeight="1" x14ac:dyDescent="0.35">
      <c r="B148" s="181">
        <v>71100</v>
      </c>
      <c r="C148" s="182" t="s">
        <v>720</v>
      </c>
      <c r="D148" s="222">
        <v>16</v>
      </c>
      <c r="E148" s="223" t="s">
        <v>3716</v>
      </c>
      <c r="F148" s="183" t="s">
        <v>3717</v>
      </c>
      <c r="G148" s="125">
        <v>4.1951604288189692</v>
      </c>
      <c r="H148" s="121" t="s">
        <v>1336</v>
      </c>
      <c r="I148" s="122">
        <v>58.378378378378386</v>
      </c>
      <c r="J148" s="106" t="s">
        <v>4656</v>
      </c>
      <c r="K148" s="118">
        <v>587</v>
      </c>
      <c r="L148" s="46">
        <v>2.2138390996248436</v>
      </c>
      <c r="M148" s="41">
        <v>1299.5235514797832</v>
      </c>
      <c r="N148" s="44">
        <v>16.969000000000001</v>
      </c>
      <c r="O148" s="41">
        <v>590</v>
      </c>
      <c r="P148" s="41">
        <v>20</v>
      </c>
      <c r="Q148" s="41">
        <v>52.3</v>
      </c>
      <c r="R148" s="45" t="s">
        <v>1307</v>
      </c>
      <c r="S148" s="45" t="s">
        <v>1307</v>
      </c>
      <c r="T148" s="45" t="s">
        <v>1307</v>
      </c>
      <c r="U148" s="44">
        <v>154.46</v>
      </c>
      <c r="V148" s="44">
        <v>244.005</v>
      </c>
      <c r="W148" s="44">
        <v>85.884924999999996</v>
      </c>
      <c r="X148" s="44">
        <v>20.472381558999999</v>
      </c>
      <c r="Y148" s="130"/>
      <c r="Z148" s="224"/>
    </row>
    <row r="149" spans="2:26" ht="15" customHeight="1" x14ac:dyDescent="0.35">
      <c r="B149" s="181">
        <v>71100</v>
      </c>
      <c r="C149" s="182" t="s">
        <v>720</v>
      </c>
      <c r="D149" s="222">
        <v>16</v>
      </c>
      <c r="E149" s="223" t="s">
        <v>3718</v>
      </c>
      <c r="F149" s="183" t="s">
        <v>3719</v>
      </c>
      <c r="G149" s="125">
        <v>2.1757849878540814</v>
      </c>
      <c r="H149" s="121" t="s">
        <v>1336</v>
      </c>
      <c r="I149" s="122">
        <v>58.72972972972974</v>
      </c>
      <c r="J149" s="106" t="s">
        <v>4656</v>
      </c>
      <c r="K149" s="118">
        <v>176</v>
      </c>
      <c r="L149" s="46">
        <v>2.2138390996248436</v>
      </c>
      <c r="M149" s="41">
        <v>389.6356815339725</v>
      </c>
      <c r="N149" s="44">
        <v>10.967000000000001</v>
      </c>
      <c r="O149" s="41">
        <v>184</v>
      </c>
      <c r="P149" s="41">
        <v>27</v>
      </c>
      <c r="Q149" s="41">
        <v>59.2</v>
      </c>
      <c r="R149" s="45" t="s">
        <v>1307</v>
      </c>
      <c r="S149" s="45" t="s">
        <v>1307</v>
      </c>
      <c r="T149" s="45" t="s">
        <v>1307</v>
      </c>
      <c r="U149" s="44">
        <v>32.56</v>
      </c>
      <c r="V149" s="44">
        <v>124.15900000000001</v>
      </c>
      <c r="W149" s="44">
        <v>22.040615000000013</v>
      </c>
      <c r="X149" s="44">
        <v>10.129960048000001</v>
      </c>
      <c r="Y149" s="130"/>
      <c r="Z149" s="224"/>
    </row>
    <row r="150" spans="2:26" ht="15" customHeight="1" x14ac:dyDescent="0.35">
      <c r="B150" s="181">
        <v>71100</v>
      </c>
      <c r="C150" s="182" t="s">
        <v>720</v>
      </c>
      <c r="D150" s="222">
        <v>16</v>
      </c>
      <c r="E150" s="223" t="s">
        <v>3720</v>
      </c>
      <c r="F150" s="183" t="s">
        <v>3721</v>
      </c>
      <c r="G150" s="125">
        <v>4.8205733098654386</v>
      </c>
      <c r="H150" s="121" t="s">
        <v>1336</v>
      </c>
      <c r="I150" s="122">
        <v>58.378378378378386</v>
      </c>
      <c r="J150" s="106" t="s">
        <v>4656</v>
      </c>
      <c r="K150" s="118">
        <v>1568</v>
      </c>
      <c r="L150" s="46">
        <v>2.2138390996248436</v>
      </c>
      <c r="M150" s="41">
        <v>3471.2997082117549</v>
      </c>
      <c r="N150" s="44">
        <v>46.04</v>
      </c>
      <c r="O150" s="41">
        <v>1573</v>
      </c>
      <c r="P150" s="41">
        <v>20</v>
      </c>
      <c r="Q150" s="41">
        <v>52.3</v>
      </c>
      <c r="R150" s="45" t="s">
        <v>1307</v>
      </c>
      <c r="S150" s="45" t="s">
        <v>1307</v>
      </c>
      <c r="T150" s="45" t="s">
        <v>1307</v>
      </c>
      <c r="U150" s="44">
        <v>289.77499999999998</v>
      </c>
      <c r="V150" s="44">
        <v>562.65200000000004</v>
      </c>
      <c r="W150" s="44">
        <v>264.43722000000008</v>
      </c>
      <c r="X150" s="44">
        <v>54.855968989999987</v>
      </c>
      <c r="Y150" s="130"/>
      <c r="Z150" s="224"/>
    </row>
    <row r="151" spans="2:26" ht="15" customHeight="1" x14ac:dyDescent="0.35">
      <c r="B151" s="181">
        <v>61025</v>
      </c>
      <c r="C151" s="182" t="s">
        <v>612</v>
      </c>
      <c r="D151" s="222">
        <v>14</v>
      </c>
      <c r="E151" s="223" t="s">
        <v>1857</v>
      </c>
      <c r="F151" s="183" t="s">
        <v>1858</v>
      </c>
      <c r="G151" s="125">
        <v>2.7476739777370578</v>
      </c>
      <c r="H151" s="121" t="s">
        <v>1373</v>
      </c>
      <c r="I151" s="122">
        <v>62.072459048435995</v>
      </c>
      <c r="J151" s="106" t="s">
        <v>4656</v>
      </c>
      <c r="K151" s="118">
        <v>11050</v>
      </c>
      <c r="L151" s="46">
        <v>1.9405626979690702</v>
      </c>
      <c r="M151" s="41">
        <v>21443.217812558225</v>
      </c>
      <c r="N151" s="44">
        <v>136.36600000000001</v>
      </c>
      <c r="O151" s="41">
        <v>6452</v>
      </c>
      <c r="P151" s="41">
        <v>6</v>
      </c>
      <c r="Q151" s="41">
        <v>51.8</v>
      </c>
      <c r="R151" s="45" t="s">
        <v>1307</v>
      </c>
      <c r="S151" s="45" t="s">
        <v>1307</v>
      </c>
      <c r="T151" s="45" t="s">
        <v>1307</v>
      </c>
      <c r="U151" s="44">
        <v>2539.5290014684288</v>
      </c>
      <c r="V151" s="44">
        <v>4435.5060000000003</v>
      </c>
      <c r="W151" s="44">
        <v>445.9405105612251</v>
      </c>
      <c r="X151" s="44">
        <v>162.29746111599997</v>
      </c>
      <c r="Y151" s="130" t="s">
        <v>3949</v>
      </c>
      <c r="Z151" s="224" t="s">
        <v>3762</v>
      </c>
    </row>
    <row r="152" spans="2:26" ht="15" customHeight="1" x14ac:dyDescent="0.35">
      <c r="B152" s="181">
        <v>14050</v>
      </c>
      <c r="C152" s="182" t="s">
        <v>68</v>
      </c>
      <c r="D152" s="222">
        <v>1</v>
      </c>
      <c r="E152" s="223" t="s">
        <v>1862</v>
      </c>
      <c r="F152" s="183" t="s">
        <v>1863</v>
      </c>
      <c r="G152" s="125">
        <v>2.2035398768772065</v>
      </c>
      <c r="H152" s="121" t="s">
        <v>1325</v>
      </c>
      <c r="I152" s="122">
        <v>37.603453351991035</v>
      </c>
      <c r="J152" s="106" t="s">
        <v>4656</v>
      </c>
      <c r="K152" s="118">
        <v>136</v>
      </c>
      <c r="L152" s="46">
        <v>1.85</v>
      </c>
      <c r="M152" s="41">
        <v>251.60000000000002</v>
      </c>
      <c r="N152" s="44">
        <v>4.944</v>
      </c>
      <c r="O152" s="41">
        <v>218</v>
      </c>
      <c r="P152" s="41">
        <v>12</v>
      </c>
      <c r="Q152" s="41">
        <v>56</v>
      </c>
      <c r="R152" s="45" t="s">
        <v>1324</v>
      </c>
      <c r="S152" s="45" t="s">
        <v>1324</v>
      </c>
      <c r="T152" s="45" t="s">
        <v>1307</v>
      </c>
      <c r="U152" s="44">
        <v>15.861999999999998</v>
      </c>
      <c r="V152" s="44">
        <v>48.191199999999995</v>
      </c>
      <c r="W152" s="44">
        <v>14.808908428571424</v>
      </c>
      <c r="X152" s="44">
        <v>6.7205084800000012</v>
      </c>
      <c r="Y152" s="130" t="s">
        <v>3950</v>
      </c>
      <c r="Z152" s="224"/>
    </row>
    <row r="153" spans="2:26" ht="15" customHeight="1" x14ac:dyDescent="0.35">
      <c r="B153" s="181">
        <v>79025</v>
      </c>
      <c r="C153" s="182" t="s">
        <v>790</v>
      </c>
      <c r="D153" s="222">
        <v>15</v>
      </c>
      <c r="E153" s="223" t="s">
        <v>1867</v>
      </c>
      <c r="F153" s="183" t="s">
        <v>1868</v>
      </c>
      <c r="G153" s="125">
        <v>3.0630073851978992</v>
      </c>
      <c r="H153" s="121" t="s">
        <v>1336</v>
      </c>
      <c r="I153" s="122">
        <v>47.732558139534881</v>
      </c>
      <c r="J153" s="106" t="s">
        <v>4656</v>
      </c>
      <c r="K153" s="118">
        <v>75</v>
      </c>
      <c r="L153" s="46">
        <v>1.7522321428571428</v>
      </c>
      <c r="M153" s="41">
        <v>131.41741071428572</v>
      </c>
      <c r="N153" s="44">
        <v>4.2939999999999996</v>
      </c>
      <c r="O153" s="41">
        <v>89</v>
      </c>
      <c r="P153" s="41">
        <v>6</v>
      </c>
      <c r="Q153" s="41">
        <v>29.5</v>
      </c>
      <c r="R153" s="45" t="s">
        <v>1307</v>
      </c>
      <c r="S153" s="45" t="s">
        <v>1307</v>
      </c>
      <c r="T153" s="45" t="s">
        <v>1307</v>
      </c>
      <c r="U153" s="44">
        <v>13.638202247191014</v>
      </c>
      <c r="V153" s="44">
        <v>22.22</v>
      </c>
      <c r="W153" s="44">
        <v>5.3376999999999981</v>
      </c>
      <c r="X153" s="44">
        <v>1.7426337349999999</v>
      </c>
      <c r="Y153" s="130" t="s">
        <v>3951</v>
      </c>
      <c r="Z153" s="224"/>
    </row>
    <row r="154" spans="2:26" ht="15" customHeight="1" x14ac:dyDescent="0.35">
      <c r="B154" s="181">
        <v>39097</v>
      </c>
      <c r="C154" s="182" t="s">
        <v>350</v>
      </c>
      <c r="D154" s="222">
        <v>17</v>
      </c>
      <c r="E154" s="223" t="s">
        <v>1872</v>
      </c>
      <c r="F154" s="183" t="s">
        <v>1873</v>
      </c>
      <c r="G154" s="125">
        <v>5.099339550166178</v>
      </c>
      <c r="H154" s="121" t="s">
        <v>1325</v>
      </c>
      <c r="I154" s="122">
        <v>59.666666666666664</v>
      </c>
      <c r="J154" s="106" t="s">
        <v>4656</v>
      </c>
      <c r="K154" s="118">
        <v>606</v>
      </c>
      <c r="L154" s="46">
        <v>2.2629107981220655</v>
      </c>
      <c r="M154" s="41">
        <v>1371.3239436619717</v>
      </c>
      <c r="N154" s="44">
        <v>13.099</v>
      </c>
      <c r="O154" s="41">
        <v>524</v>
      </c>
      <c r="P154" s="41">
        <v>10</v>
      </c>
      <c r="Q154" s="41">
        <v>38.5</v>
      </c>
      <c r="R154" s="45" t="s">
        <v>1324</v>
      </c>
      <c r="S154" s="45" t="s">
        <v>1307</v>
      </c>
      <c r="T154" s="45" t="s">
        <v>1324</v>
      </c>
      <c r="U154" s="44">
        <v>86.156000000000006</v>
      </c>
      <c r="V154" s="44">
        <v>172.38</v>
      </c>
      <c r="W154" s="44">
        <v>56.322266804123714</v>
      </c>
      <c r="X154" s="44">
        <v>11.045012055000001</v>
      </c>
      <c r="Y154" s="130" t="s">
        <v>3952</v>
      </c>
      <c r="Z154" s="224"/>
    </row>
    <row r="155" spans="2:26" ht="15" customHeight="1" x14ac:dyDescent="0.35">
      <c r="B155" s="181">
        <v>85010</v>
      </c>
      <c r="C155" s="182" t="s">
        <v>871</v>
      </c>
      <c r="D155" s="222">
        <v>8</v>
      </c>
      <c r="E155" s="223" t="s">
        <v>1876</v>
      </c>
      <c r="F155" s="183" t="s">
        <v>1877</v>
      </c>
      <c r="G155" s="125">
        <v>0.67345600524594362</v>
      </c>
      <c r="H155" s="121" t="s">
        <v>1325</v>
      </c>
      <c r="I155" s="122">
        <v>37.378378378378386</v>
      </c>
      <c r="J155" s="106" t="s">
        <v>4656</v>
      </c>
      <c r="K155" s="118">
        <v>70</v>
      </c>
      <c r="L155" s="46">
        <v>2</v>
      </c>
      <c r="M155" s="41">
        <v>140</v>
      </c>
      <c r="N155" s="44">
        <v>1.8069999999999999</v>
      </c>
      <c r="O155" s="41">
        <v>58</v>
      </c>
      <c r="P155" s="41">
        <v>7</v>
      </c>
      <c r="Q155" s="41">
        <v>50</v>
      </c>
      <c r="R155" s="45" t="s">
        <v>1324</v>
      </c>
      <c r="S155" s="45" t="s">
        <v>1307</v>
      </c>
      <c r="T155" s="45" t="s">
        <v>1307</v>
      </c>
      <c r="U155" s="44">
        <v>6.6349999999999998</v>
      </c>
      <c r="V155" s="44">
        <v>8.3469999999999995</v>
      </c>
      <c r="W155" s="44">
        <v>1.094795</v>
      </c>
      <c r="X155" s="44">
        <v>1.625637</v>
      </c>
      <c r="Y155" s="130" t="s">
        <v>3953</v>
      </c>
      <c r="Z155" s="224"/>
    </row>
    <row r="156" spans="2:26" ht="15" customHeight="1" x14ac:dyDescent="0.35">
      <c r="B156" s="181">
        <v>66102</v>
      </c>
      <c r="C156" s="182" t="s">
        <v>657</v>
      </c>
      <c r="D156" s="222">
        <v>6</v>
      </c>
      <c r="E156" s="223" t="s">
        <v>1879</v>
      </c>
      <c r="F156" s="183" t="s">
        <v>1880</v>
      </c>
      <c r="G156" s="125">
        <v>1.5598182576522688</v>
      </c>
      <c r="H156" s="121" t="s">
        <v>1373</v>
      </c>
      <c r="I156" s="122">
        <v>53.76315789473685</v>
      </c>
      <c r="J156" s="106" t="s">
        <v>4656</v>
      </c>
      <c r="K156" s="118">
        <v>6796</v>
      </c>
      <c r="L156" s="46">
        <v>2.9866999999999999</v>
      </c>
      <c r="M156" s="41">
        <v>20297.6132</v>
      </c>
      <c r="N156" s="44">
        <v>116.19799999999999</v>
      </c>
      <c r="O156" s="41">
        <v>6822</v>
      </c>
      <c r="P156" s="41">
        <v>8</v>
      </c>
      <c r="Q156" s="41">
        <v>54.8</v>
      </c>
      <c r="R156" s="45" t="s">
        <v>1307</v>
      </c>
      <c r="S156" s="45" t="s">
        <v>1307</v>
      </c>
      <c r="T156" s="45" t="s">
        <v>1307</v>
      </c>
      <c r="U156" s="44">
        <v>1997</v>
      </c>
      <c r="V156" s="44">
        <v>4461.6549999999997</v>
      </c>
      <c r="W156" s="44">
        <v>278.09860443877562</v>
      </c>
      <c r="X156" s="44">
        <v>178.28910712799998</v>
      </c>
      <c r="Y156" s="130" t="s">
        <v>3954</v>
      </c>
      <c r="Z156" s="224"/>
    </row>
    <row r="157" spans="2:26" ht="15" customHeight="1" x14ac:dyDescent="0.35">
      <c r="B157" s="181">
        <v>78115</v>
      </c>
      <c r="C157" s="182" t="s">
        <v>782</v>
      </c>
      <c r="D157" s="222">
        <v>15</v>
      </c>
      <c r="E157" s="223" t="s">
        <v>1881</v>
      </c>
      <c r="F157" s="183" t="s">
        <v>1882</v>
      </c>
      <c r="G157" s="125">
        <v>1.0150822143881282</v>
      </c>
      <c r="H157" s="121" t="s">
        <v>1336</v>
      </c>
      <c r="I157" s="122">
        <v>60.12280701754387</v>
      </c>
      <c r="J157" s="106" t="s">
        <v>4656</v>
      </c>
      <c r="K157" s="118">
        <v>298</v>
      </c>
      <c r="L157" s="46">
        <v>3</v>
      </c>
      <c r="M157" s="41">
        <v>894</v>
      </c>
      <c r="N157" s="44">
        <v>10.49</v>
      </c>
      <c r="O157" s="41">
        <v>349</v>
      </c>
      <c r="P157" s="41">
        <v>8</v>
      </c>
      <c r="Q157" s="41">
        <v>54.8</v>
      </c>
      <c r="R157" s="45" t="s">
        <v>1307</v>
      </c>
      <c r="S157" s="45" t="s">
        <v>1307</v>
      </c>
      <c r="T157" s="45" t="s">
        <v>1307</v>
      </c>
      <c r="U157" s="44">
        <v>58.840392156862748</v>
      </c>
      <c r="V157" s="44">
        <v>75.135999999999996</v>
      </c>
      <c r="W157" s="44">
        <v>10.919722193877545</v>
      </c>
      <c r="X157" s="44">
        <v>10.757475639999999</v>
      </c>
      <c r="Y157" s="130" t="s">
        <v>3955</v>
      </c>
      <c r="Z157" s="224" t="s">
        <v>3956</v>
      </c>
    </row>
    <row r="158" spans="2:26" ht="15" customHeight="1" x14ac:dyDescent="0.35">
      <c r="B158" s="181">
        <v>91050</v>
      </c>
      <c r="C158" s="182" t="s">
        <v>945</v>
      </c>
      <c r="D158" s="222">
        <v>2</v>
      </c>
      <c r="E158" s="223" t="s">
        <v>1885</v>
      </c>
      <c r="F158" s="183" t="s">
        <v>1886</v>
      </c>
      <c r="G158" s="125">
        <v>3.9142493615654024</v>
      </c>
      <c r="H158" s="121" t="s">
        <v>1325</v>
      </c>
      <c r="I158" s="122">
        <v>56</v>
      </c>
      <c r="J158" s="106" t="s">
        <v>4656</v>
      </c>
      <c r="K158" s="118">
        <v>618</v>
      </c>
      <c r="L158" s="46">
        <v>2.1501547987616099</v>
      </c>
      <c r="M158" s="41">
        <v>1328.7956656346748</v>
      </c>
      <c r="N158" s="44">
        <v>20.86</v>
      </c>
      <c r="O158" s="41">
        <v>686</v>
      </c>
      <c r="P158" s="41">
        <v>5</v>
      </c>
      <c r="Q158" s="41">
        <v>49</v>
      </c>
      <c r="R158" s="45" t="s">
        <v>1324</v>
      </c>
      <c r="S158" s="45" t="s">
        <v>1324</v>
      </c>
      <c r="T158" s="45" t="s">
        <v>1324</v>
      </c>
      <c r="U158" s="44">
        <v>121.176</v>
      </c>
      <c r="V158" s="44">
        <v>225.47399999999999</v>
      </c>
      <c r="W158" s="44">
        <v>70.708513520408147</v>
      </c>
      <c r="X158" s="44">
        <v>18.064386550000002</v>
      </c>
      <c r="Y158" s="130" t="s">
        <v>3957</v>
      </c>
      <c r="Z158" s="224" t="s">
        <v>3761</v>
      </c>
    </row>
    <row r="159" spans="2:26" ht="15" customHeight="1" x14ac:dyDescent="0.35">
      <c r="B159" s="181">
        <v>19090</v>
      </c>
      <c r="C159" s="182" t="s">
        <v>133</v>
      </c>
      <c r="D159" s="222">
        <v>12</v>
      </c>
      <c r="E159" s="223" t="s">
        <v>1889</v>
      </c>
      <c r="F159" s="183" t="s">
        <v>1890</v>
      </c>
      <c r="G159" s="125">
        <v>1.1897583187227758</v>
      </c>
      <c r="H159" s="121" t="s">
        <v>1336</v>
      </c>
      <c r="I159" s="122">
        <v>44.027027027027032</v>
      </c>
      <c r="J159" s="106" t="s">
        <v>4656</v>
      </c>
      <c r="K159" s="118">
        <v>178</v>
      </c>
      <c r="L159" s="46">
        <v>2.2492917847025495</v>
      </c>
      <c r="M159" s="41">
        <v>400.37393767705385</v>
      </c>
      <c r="N159" s="44">
        <v>4.5259999999999998</v>
      </c>
      <c r="O159" s="41">
        <v>198</v>
      </c>
      <c r="P159" s="41">
        <v>9.5</v>
      </c>
      <c r="Q159" s="41">
        <v>54</v>
      </c>
      <c r="R159" s="45" t="s">
        <v>1307</v>
      </c>
      <c r="S159" s="45" t="s">
        <v>1307</v>
      </c>
      <c r="T159" s="45" t="s">
        <v>1307</v>
      </c>
      <c r="U159" s="44">
        <v>32.81942424242424</v>
      </c>
      <c r="V159" s="44">
        <v>43.893000000000001</v>
      </c>
      <c r="W159" s="44">
        <v>6.7276799999999994</v>
      </c>
      <c r="X159" s="44">
        <v>5.6546610299999998</v>
      </c>
      <c r="Y159" s="130" t="s">
        <v>3958</v>
      </c>
      <c r="Z159" s="224"/>
    </row>
    <row r="160" spans="2:26" ht="15" customHeight="1" x14ac:dyDescent="0.35">
      <c r="B160" s="181">
        <v>29030</v>
      </c>
      <c r="C160" s="182" t="s">
        <v>205</v>
      </c>
      <c r="D160" s="222">
        <v>12</v>
      </c>
      <c r="E160" s="223" t="s">
        <v>1892</v>
      </c>
      <c r="F160" s="183" t="s">
        <v>1893</v>
      </c>
      <c r="G160" s="125">
        <v>1.1009873421239416</v>
      </c>
      <c r="H160" s="121" t="s">
        <v>1336</v>
      </c>
      <c r="I160" s="122">
        <v>70.558823529411782</v>
      </c>
      <c r="J160" s="106" t="s">
        <v>4656</v>
      </c>
      <c r="K160" s="118">
        <v>719</v>
      </c>
      <c r="L160" s="46">
        <v>2.2994858611825193</v>
      </c>
      <c r="M160" s="41">
        <v>1653.3303341902313</v>
      </c>
      <c r="N160" s="44">
        <v>27.102</v>
      </c>
      <c r="O160" s="41">
        <v>680</v>
      </c>
      <c r="P160" s="41">
        <v>8</v>
      </c>
      <c r="Q160" s="41">
        <v>42.7</v>
      </c>
      <c r="R160" s="45" t="s">
        <v>1307</v>
      </c>
      <c r="S160" s="45" t="s">
        <v>1307</v>
      </c>
      <c r="T160" s="45" t="s">
        <v>1307</v>
      </c>
      <c r="U160" s="44">
        <v>105.824</v>
      </c>
      <c r="V160" s="44">
        <v>162.173</v>
      </c>
      <c r="W160" s="44">
        <v>20.039409693877513</v>
      </c>
      <c r="X160" s="44">
        <v>18.201307977999999</v>
      </c>
      <c r="Y160" s="130" t="s">
        <v>3959</v>
      </c>
      <c r="Z160" s="224"/>
    </row>
    <row r="161" spans="2:26" ht="15" customHeight="1" x14ac:dyDescent="0.35">
      <c r="B161" s="181">
        <v>79047</v>
      </c>
      <c r="C161" s="182" t="s">
        <v>793</v>
      </c>
      <c r="D161" s="222">
        <v>15</v>
      </c>
      <c r="E161" s="223" t="s">
        <v>1897</v>
      </c>
      <c r="F161" s="183" t="s">
        <v>1898</v>
      </c>
      <c r="G161" s="125">
        <v>0.64779848622202019</v>
      </c>
      <c r="H161" s="121" t="s">
        <v>1325</v>
      </c>
      <c r="I161" s="122">
        <v>44.027027027027032</v>
      </c>
      <c r="J161" s="106" t="s">
        <v>4656</v>
      </c>
      <c r="K161" s="118">
        <v>23</v>
      </c>
      <c r="L161" s="46">
        <v>2.3524416135881103</v>
      </c>
      <c r="M161" s="41">
        <v>54.106157112526539</v>
      </c>
      <c r="N161" s="44">
        <v>2.0939999999999999</v>
      </c>
      <c r="O161" s="41">
        <v>31</v>
      </c>
      <c r="P161" s="41">
        <v>5</v>
      </c>
      <c r="Q161" s="41">
        <v>46.4</v>
      </c>
      <c r="R161" s="45" t="s">
        <v>1324</v>
      </c>
      <c r="S161" s="45" t="s">
        <v>1307</v>
      </c>
      <c r="T161" s="45" t="s">
        <v>1307</v>
      </c>
      <c r="U161" s="44">
        <v>2.7293333333333334</v>
      </c>
      <c r="V161" s="44">
        <v>3.992</v>
      </c>
      <c r="W161" s="44">
        <v>0.72811999999999977</v>
      </c>
      <c r="X161" s="44">
        <v>1.1239915120000001</v>
      </c>
      <c r="Y161" s="130" t="s">
        <v>3960</v>
      </c>
      <c r="Z161" s="224"/>
    </row>
    <row r="162" spans="2:26" ht="15" customHeight="1" x14ac:dyDescent="0.35">
      <c r="B162" s="181">
        <v>15013</v>
      </c>
      <c r="C162" s="182" t="s">
        <v>78</v>
      </c>
      <c r="D162" s="222">
        <v>3</v>
      </c>
      <c r="E162" s="223" t="s">
        <v>1899</v>
      </c>
      <c r="F162" s="183" t="s">
        <v>1900</v>
      </c>
      <c r="G162" s="125">
        <v>3.7841675183884429</v>
      </c>
      <c r="H162" s="121" t="s">
        <v>1336</v>
      </c>
      <c r="I162" s="122">
        <v>59.621621621621628</v>
      </c>
      <c r="J162" s="106" t="s">
        <v>4656</v>
      </c>
      <c r="K162" s="118">
        <v>735</v>
      </c>
      <c r="L162" s="46">
        <v>1.8961431226765799</v>
      </c>
      <c r="M162" s="41">
        <v>1393.6651951672861</v>
      </c>
      <c r="N162" s="44">
        <v>36.442999999999998</v>
      </c>
      <c r="O162" s="41">
        <v>840</v>
      </c>
      <c r="P162" s="41">
        <v>10</v>
      </c>
      <c r="Q162" s="41">
        <v>68.042000000000002</v>
      </c>
      <c r="R162" s="45" t="s">
        <v>1307</v>
      </c>
      <c r="S162" s="45" t="s">
        <v>1307</v>
      </c>
      <c r="T162" s="45" t="s">
        <v>1307</v>
      </c>
      <c r="U162" s="44">
        <v>165.15299999999999</v>
      </c>
      <c r="V162" s="44">
        <v>337.90600000000001</v>
      </c>
      <c r="W162" s="44">
        <v>144.54041000000001</v>
      </c>
      <c r="X162" s="44">
        <v>38.196091821419998</v>
      </c>
      <c r="Y162" s="130" t="s">
        <v>3961</v>
      </c>
      <c r="Z162" s="224"/>
    </row>
    <row r="163" spans="2:26" ht="15" customHeight="1" x14ac:dyDescent="0.35">
      <c r="B163" s="181">
        <v>15013</v>
      </c>
      <c r="C163" s="182" t="s">
        <v>78</v>
      </c>
      <c r="D163" s="222">
        <v>3</v>
      </c>
      <c r="E163" s="223" t="s">
        <v>1901</v>
      </c>
      <c r="F163" s="183" t="s">
        <v>1902</v>
      </c>
      <c r="G163" s="125">
        <v>2.0368782811372901</v>
      </c>
      <c r="H163" s="121" t="s">
        <v>1325</v>
      </c>
      <c r="I163" s="122">
        <v>63.121621621621628</v>
      </c>
      <c r="J163" s="106" t="s">
        <v>4656</v>
      </c>
      <c r="K163" s="118">
        <v>1518</v>
      </c>
      <c r="L163" s="46">
        <v>1.8961431226765799</v>
      </c>
      <c r="M163" s="41">
        <v>2878.3452602230482</v>
      </c>
      <c r="N163" s="44">
        <v>27.108000000000001</v>
      </c>
      <c r="O163" s="41">
        <v>1596</v>
      </c>
      <c r="P163" s="41">
        <v>10</v>
      </c>
      <c r="Q163" s="41">
        <v>67.841999999999999</v>
      </c>
      <c r="R163" s="45" t="s">
        <v>1307</v>
      </c>
      <c r="S163" s="45" t="s">
        <v>1324</v>
      </c>
      <c r="T163" s="45" t="s">
        <v>1307</v>
      </c>
      <c r="U163" s="44">
        <v>316.43700000000001</v>
      </c>
      <c r="V163" s="44">
        <v>448.56</v>
      </c>
      <c r="W163" s="44">
        <v>109.13459999999999</v>
      </c>
      <c r="X163" s="44">
        <v>53.579342963520006</v>
      </c>
      <c r="Y163" s="130" t="s">
        <v>3962</v>
      </c>
      <c r="Z163" s="224"/>
    </row>
    <row r="164" spans="2:26" ht="15" customHeight="1" x14ac:dyDescent="0.35">
      <c r="B164" s="181">
        <v>15013</v>
      </c>
      <c r="C164" s="182" t="s">
        <v>78</v>
      </c>
      <c r="D164" s="222">
        <v>3</v>
      </c>
      <c r="E164" s="223" t="s">
        <v>1903</v>
      </c>
      <c r="F164" s="183" t="s">
        <v>1904</v>
      </c>
      <c r="G164" s="125">
        <v>4.4585430908773311</v>
      </c>
      <c r="H164" s="121" t="s">
        <v>1325</v>
      </c>
      <c r="I164" s="122">
        <v>60.966666666666661</v>
      </c>
      <c r="J164" s="106" t="s">
        <v>4656</v>
      </c>
      <c r="K164" s="118">
        <v>509</v>
      </c>
      <c r="L164" s="46">
        <v>1.8961431226765799</v>
      </c>
      <c r="M164" s="41">
        <v>965.13684944237923</v>
      </c>
      <c r="N164" s="44">
        <v>14.247999999999999</v>
      </c>
      <c r="O164" s="41">
        <v>595</v>
      </c>
      <c r="P164" s="41">
        <v>20</v>
      </c>
      <c r="Q164" s="41">
        <v>72.981999999999999</v>
      </c>
      <c r="R164" s="45" t="s">
        <v>1307</v>
      </c>
      <c r="S164" s="45" t="s">
        <v>1324</v>
      </c>
      <c r="T164" s="45" t="s">
        <v>1307</v>
      </c>
      <c r="U164" s="44">
        <v>100.374</v>
      </c>
      <c r="V164" s="44">
        <v>345.79399999999998</v>
      </c>
      <c r="W164" s="44">
        <v>122.32736999999999</v>
      </c>
      <c r="X164" s="44">
        <v>27.436623916519999</v>
      </c>
      <c r="Y164" s="130" t="s">
        <v>3963</v>
      </c>
      <c r="Z164" s="224"/>
    </row>
    <row r="165" spans="2:26" ht="15" customHeight="1" x14ac:dyDescent="0.35">
      <c r="B165" s="181">
        <v>15013</v>
      </c>
      <c r="C165" s="182" t="s">
        <v>78</v>
      </c>
      <c r="D165" s="222">
        <v>3</v>
      </c>
      <c r="E165" s="223" t="s">
        <v>1905</v>
      </c>
      <c r="F165" s="183" t="s">
        <v>1906</v>
      </c>
      <c r="G165" s="125">
        <v>2.6592088576042441</v>
      </c>
      <c r="H165" s="121" t="s">
        <v>1336</v>
      </c>
      <c r="I165" s="122">
        <v>59.432432432432435</v>
      </c>
      <c r="J165" s="106" t="s">
        <v>4656</v>
      </c>
      <c r="K165" s="118">
        <v>375</v>
      </c>
      <c r="L165" s="46">
        <v>1.8961431226765799</v>
      </c>
      <c r="M165" s="41">
        <v>711.05367100371745</v>
      </c>
      <c r="N165" s="44">
        <v>13.55</v>
      </c>
      <c r="O165" s="41">
        <v>386</v>
      </c>
      <c r="P165" s="41">
        <v>15</v>
      </c>
      <c r="Q165" s="41">
        <v>71.171999999999997</v>
      </c>
      <c r="R165" s="45" t="s">
        <v>1307</v>
      </c>
      <c r="S165" s="45" t="s">
        <v>1307</v>
      </c>
      <c r="T165" s="45" t="s">
        <v>1307</v>
      </c>
      <c r="U165" s="44">
        <v>66.236000000000004</v>
      </c>
      <c r="V165" s="44">
        <v>118.261</v>
      </c>
      <c r="W165" s="44">
        <v>48.180084999999991</v>
      </c>
      <c r="X165" s="44">
        <v>18.118202661000002</v>
      </c>
      <c r="Y165" s="130" t="s">
        <v>3964</v>
      </c>
      <c r="Z165" s="224"/>
    </row>
    <row r="166" spans="2:26" ht="15" customHeight="1" x14ac:dyDescent="0.35">
      <c r="B166" s="181">
        <v>15013</v>
      </c>
      <c r="C166" s="182" t="s">
        <v>78</v>
      </c>
      <c r="D166" s="222">
        <v>3</v>
      </c>
      <c r="E166" s="223" t="s">
        <v>1907</v>
      </c>
      <c r="F166" s="183" t="s">
        <v>1908</v>
      </c>
      <c r="G166" s="125">
        <v>2.0344491681660415</v>
      </c>
      <c r="H166" s="121" t="s">
        <v>1336</v>
      </c>
      <c r="I166" s="122">
        <v>57.933333333333323</v>
      </c>
      <c r="J166" s="106" t="s">
        <v>4656</v>
      </c>
      <c r="K166" s="118">
        <v>145</v>
      </c>
      <c r="L166" s="46">
        <v>1.8961431226765799</v>
      </c>
      <c r="M166" s="41">
        <v>274.94075278810408</v>
      </c>
      <c r="N166" s="44">
        <v>3.2429999999999999</v>
      </c>
      <c r="O166" s="41">
        <v>67</v>
      </c>
      <c r="P166" s="41">
        <v>10</v>
      </c>
      <c r="Q166" s="41">
        <v>64.912000000000006</v>
      </c>
      <c r="R166" s="45" t="s">
        <v>1307</v>
      </c>
      <c r="S166" s="45" t="s">
        <v>1307</v>
      </c>
      <c r="T166" s="45" t="s">
        <v>1307</v>
      </c>
      <c r="U166" s="44">
        <v>32.32</v>
      </c>
      <c r="V166" s="44">
        <v>63.546999999999997</v>
      </c>
      <c r="W166" s="44">
        <v>6.2047491000000026</v>
      </c>
      <c r="X166" s="44">
        <v>3.0498422851199996</v>
      </c>
      <c r="Y166" s="130" t="s">
        <v>3965</v>
      </c>
      <c r="Z166" s="224"/>
    </row>
    <row r="167" spans="2:26" ht="15" customHeight="1" x14ac:dyDescent="0.35">
      <c r="B167" s="181">
        <v>15013</v>
      </c>
      <c r="C167" s="182" t="s">
        <v>78</v>
      </c>
      <c r="D167" s="222">
        <v>3</v>
      </c>
      <c r="E167" s="223" t="s">
        <v>1909</v>
      </c>
      <c r="F167" s="183" t="s">
        <v>1910</v>
      </c>
      <c r="G167" s="125">
        <v>0.97957413971940743</v>
      </c>
      <c r="H167" s="121" t="s">
        <v>1336</v>
      </c>
      <c r="I167" s="122">
        <v>59.432432432432435</v>
      </c>
      <c r="J167" s="106" t="s">
        <v>4656</v>
      </c>
      <c r="K167" s="118">
        <v>62</v>
      </c>
      <c r="L167" s="46">
        <v>1.8961431226765799</v>
      </c>
      <c r="M167" s="41">
        <v>117.56087360594796</v>
      </c>
      <c r="N167" s="44">
        <v>2.6240000000000001</v>
      </c>
      <c r="O167" s="41">
        <v>67</v>
      </c>
      <c r="P167" s="41">
        <v>10</v>
      </c>
      <c r="Q167" s="41">
        <v>43.402000000000001</v>
      </c>
      <c r="R167" s="45" t="s">
        <v>1307</v>
      </c>
      <c r="S167" s="45" t="s">
        <v>1307</v>
      </c>
      <c r="T167" s="45" t="s">
        <v>1307</v>
      </c>
      <c r="U167" s="44">
        <v>17.474</v>
      </c>
      <c r="V167" s="44">
        <v>21.023</v>
      </c>
      <c r="W167" s="44">
        <v>1.8246549999999988</v>
      </c>
      <c r="X167" s="44">
        <v>1.86270229686</v>
      </c>
      <c r="Y167" s="130" t="s">
        <v>3966</v>
      </c>
      <c r="Z167" s="224"/>
    </row>
    <row r="168" spans="2:26" ht="15" customHeight="1" x14ac:dyDescent="0.35">
      <c r="B168" s="181">
        <v>78130</v>
      </c>
      <c r="C168" s="182" t="s">
        <v>785</v>
      </c>
      <c r="D168" s="222">
        <v>15</v>
      </c>
      <c r="E168" s="223" t="s">
        <v>1914</v>
      </c>
      <c r="F168" s="183" t="s">
        <v>1915</v>
      </c>
      <c r="G168" s="125">
        <v>0.49512459904639605</v>
      </c>
      <c r="H168" s="121" t="s">
        <v>1336</v>
      </c>
      <c r="I168" s="122">
        <v>59.081081081081095</v>
      </c>
      <c r="J168" s="106" t="s">
        <v>4656</v>
      </c>
      <c r="K168" s="118">
        <v>86</v>
      </c>
      <c r="L168" s="46">
        <v>3</v>
      </c>
      <c r="M168" s="41">
        <v>258</v>
      </c>
      <c r="N168" s="44">
        <v>3.14</v>
      </c>
      <c r="O168" s="41">
        <v>101</v>
      </c>
      <c r="P168" s="41">
        <v>15</v>
      </c>
      <c r="Q168" s="41">
        <v>80.8</v>
      </c>
      <c r="R168" s="45" t="s">
        <v>1307</v>
      </c>
      <c r="S168" s="45" t="s">
        <v>1307</v>
      </c>
      <c r="T168" s="45" t="s">
        <v>1307</v>
      </c>
      <c r="U168" s="44">
        <v>27.661040000000003</v>
      </c>
      <c r="V168" s="44">
        <v>35.250999999999998</v>
      </c>
      <c r="W168" s="44">
        <v>2.5582349999999949</v>
      </c>
      <c r="X168" s="44">
        <v>5.1668509400000007</v>
      </c>
      <c r="Y168" s="130" t="s">
        <v>3967</v>
      </c>
      <c r="Z168" s="224" t="s">
        <v>3762</v>
      </c>
    </row>
    <row r="169" spans="2:26" ht="15" customHeight="1" x14ac:dyDescent="0.35">
      <c r="B169" s="181">
        <v>41027</v>
      </c>
      <c r="C169" s="182" t="s">
        <v>367</v>
      </c>
      <c r="D169" s="222">
        <v>5</v>
      </c>
      <c r="E169" s="223" t="s">
        <v>1917</v>
      </c>
      <c r="F169" s="183" t="s">
        <v>1918</v>
      </c>
      <c r="G169" s="125">
        <v>2.3880838326815761</v>
      </c>
      <c r="H169" s="121" t="s">
        <v>1336</v>
      </c>
      <c r="I169" s="122">
        <v>58</v>
      </c>
      <c r="J169" s="106" t="s">
        <v>4656</v>
      </c>
      <c r="K169" s="118">
        <v>210</v>
      </c>
      <c r="L169" s="46">
        <v>2.75</v>
      </c>
      <c r="M169" s="41">
        <v>577.5</v>
      </c>
      <c r="N169" s="44">
        <v>7.3419999999999996</v>
      </c>
      <c r="O169" s="41">
        <v>177</v>
      </c>
      <c r="P169" s="41">
        <v>6</v>
      </c>
      <c r="Q169" s="41">
        <v>42</v>
      </c>
      <c r="R169" s="45" t="s">
        <v>1307</v>
      </c>
      <c r="S169" s="45" t="s">
        <v>1307</v>
      </c>
      <c r="T169" s="45" t="s">
        <v>1307</v>
      </c>
      <c r="U169" s="44">
        <v>38.272723404255316</v>
      </c>
      <c r="V169" s="44">
        <v>54.643000000000001</v>
      </c>
      <c r="W169" s="44">
        <v>10.994</v>
      </c>
      <c r="X169" s="44">
        <v>4.6036909799999997</v>
      </c>
      <c r="Y169" s="130" t="s">
        <v>3968</v>
      </c>
      <c r="Z169" s="224"/>
    </row>
    <row r="170" spans="2:26" ht="15" customHeight="1" x14ac:dyDescent="0.35">
      <c r="B170" s="181">
        <v>14085</v>
      </c>
      <c r="C170" s="182" t="s">
        <v>75</v>
      </c>
      <c r="D170" s="222">
        <v>1</v>
      </c>
      <c r="E170" s="223" t="s">
        <v>1920</v>
      </c>
      <c r="F170" s="183" t="s">
        <v>1921</v>
      </c>
      <c r="G170" s="125">
        <v>4.7086026664226788</v>
      </c>
      <c r="H170" s="121" t="s">
        <v>1336</v>
      </c>
      <c r="I170" s="122">
        <v>59.921568627450981</v>
      </c>
      <c r="J170" s="106" t="s">
        <v>4656</v>
      </c>
      <c r="K170" s="118">
        <v>2210</v>
      </c>
      <c r="L170" s="46">
        <v>1.8542986425339367</v>
      </c>
      <c r="M170" s="41">
        <v>4098</v>
      </c>
      <c r="N170" s="44">
        <v>42.561999999999998</v>
      </c>
      <c r="O170" s="41">
        <v>1444</v>
      </c>
      <c r="P170" s="41">
        <v>6</v>
      </c>
      <c r="Q170" s="41">
        <v>66.5</v>
      </c>
      <c r="R170" s="45" t="s">
        <v>1307</v>
      </c>
      <c r="S170" s="45" t="s">
        <v>1307</v>
      </c>
      <c r="T170" s="45" t="s">
        <v>1307</v>
      </c>
      <c r="U170" s="44">
        <v>355.15176293103445</v>
      </c>
      <c r="V170" s="44">
        <v>794.86699999999996</v>
      </c>
      <c r="W170" s="44">
        <v>244.34147515306117</v>
      </c>
      <c r="X170" s="44">
        <v>51.892566110000004</v>
      </c>
      <c r="Y170" s="130" t="s">
        <v>3969</v>
      </c>
      <c r="Z170" s="224" t="s">
        <v>3813</v>
      </c>
    </row>
    <row r="171" spans="2:26" ht="15" customHeight="1" x14ac:dyDescent="0.35">
      <c r="B171" s="181">
        <v>67015</v>
      </c>
      <c r="C171" s="182" t="s">
        <v>664</v>
      </c>
      <c r="D171" s="222">
        <v>16</v>
      </c>
      <c r="E171" s="223" t="s">
        <v>1925</v>
      </c>
      <c r="F171" s="183" t="s">
        <v>1926</v>
      </c>
      <c r="G171" s="125">
        <v>1.3732133732181753</v>
      </c>
      <c r="H171" s="121" t="s">
        <v>1441</v>
      </c>
      <c r="I171" s="122">
        <v>60.686274509803923</v>
      </c>
      <c r="J171" s="106" t="s">
        <v>4656</v>
      </c>
      <c r="K171" s="118">
        <v>10961</v>
      </c>
      <c r="L171" s="46">
        <v>2.5431068732618196</v>
      </c>
      <c r="M171" s="41">
        <v>27874.994437822807</v>
      </c>
      <c r="N171" s="44">
        <v>123.373</v>
      </c>
      <c r="O171" s="41">
        <v>10032</v>
      </c>
      <c r="P171" s="41">
        <v>10</v>
      </c>
      <c r="Q171" s="41">
        <v>40.799999999999997</v>
      </c>
      <c r="R171" s="45" t="s">
        <v>1324</v>
      </c>
      <c r="S171" s="45" t="s">
        <v>1307</v>
      </c>
      <c r="T171" s="45" t="s">
        <v>1307</v>
      </c>
      <c r="U171" s="44">
        <v>2937.6493251767265</v>
      </c>
      <c r="V171" s="44">
        <v>3747.2840000000001</v>
      </c>
      <c r="W171" s="44">
        <v>260.82436365384638</v>
      </c>
      <c r="X171" s="44">
        <v>189.93724408799997</v>
      </c>
      <c r="Y171" s="130" t="s">
        <v>3970</v>
      </c>
      <c r="Z171" s="224"/>
    </row>
    <row r="172" spans="2:26" ht="15" customHeight="1" x14ac:dyDescent="0.35">
      <c r="B172" s="181">
        <v>54035</v>
      </c>
      <c r="C172" s="182" t="s">
        <v>546</v>
      </c>
      <c r="D172" s="222">
        <v>16</v>
      </c>
      <c r="E172" s="223" t="s">
        <v>1929</v>
      </c>
      <c r="F172" s="183" t="s">
        <v>1930</v>
      </c>
      <c r="G172" s="125">
        <v>2.4864258594752187</v>
      </c>
      <c r="H172" s="121" t="s">
        <v>1336</v>
      </c>
      <c r="I172" s="122">
        <v>60.069767441860463</v>
      </c>
      <c r="J172" s="106" t="s">
        <v>4656</v>
      </c>
      <c r="K172" s="118">
        <v>914</v>
      </c>
      <c r="L172" s="46">
        <v>2.5004906771344455</v>
      </c>
      <c r="M172" s="41">
        <v>2285.4484789008834</v>
      </c>
      <c r="N172" s="44">
        <v>54.588000000000001</v>
      </c>
      <c r="O172" s="41">
        <v>1002</v>
      </c>
      <c r="P172" s="41">
        <v>11</v>
      </c>
      <c r="Q172" s="41">
        <v>47.8</v>
      </c>
      <c r="R172" s="45" t="s">
        <v>1307</v>
      </c>
      <c r="S172" s="45" t="s">
        <v>1307</v>
      </c>
      <c r="T172" s="45" t="s">
        <v>1307</v>
      </c>
      <c r="U172" s="44">
        <v>155.14794000000001</v>
      </c>
      <c r="V172" s="44">
        <v>436.35700000000003</v>
      </c>
      <c r="W172" s="44">
        <v>89.352645000000052</v>
      </c>
      <c r="X172" s="44">
        <v>35.936179098000004</v>
      </c>
      <c r="Y172" s="130" t="s">
        <v>3971</v>
      </c>
      <c r="Z172" s="224"/>
    </row>
    <row r="173" spans="2:26" ht="15" customHeight="1" x14ac:dyDescent="0.35">
      <c r="B173" s="181">
        <v>87080</v>
      </c>
      <c r="C173" s="182" t="s">
        <v>902</v>
      </c>
      <c r="D173" s="222">
        <v>8</v>
      </c>
      <c r="E173" s="223" t="s">
        <v>1932</v>
      </c>
      <c r="F173" s="183" t="s">
        <v>1933</v>
      </c>
      <c r="G173" s="125">
        <v>1.0193123186120365</v>
      </c>
      <c r="H173" s="121" t="s">
        <v>1336</v>
      </c>
      <c r="I173" s="122">
        <v>37.72972972972974</v>
      </c>
      <c r="J173" s="106" t="s">
        <v>4656</v>
      </c>
      <c r="K173" s="118">
        <v>115</v>
      </c>
      <c r="L173" s="46">
        <v>2.2242424242424241</v>
      </c>
      <c r="M173" s="41">
        <v>255.78787878787878</v>
      </c>
      <c r="N173" s="44">
        <v>3.57</v>
      </c>
      <c r="O173" s="41">
        <v>116</v>
      </c>
      <c r="P173" s="41">
        <v>20</v>
      </c>
      <c r="Q173" s="41">
        <v>49</v>
      </c>
      <c r="R173" s="45" t="s">
        <v>1307</v>
      </c>
      <c r="S173" s="45" t="s">
        <v>1307</v>
      </c>
      <c r="T173" s="45" t="s">
        <v>1307</v>
      </c>
      <c r="U173" s="44">
        <v>13.063405172413793</v>
      </c>
      <c r="V173" s="44">
        <v>17.358000000000001</v>
      </c>
      <c r="W173" s="44">
        <v>3.9206300000000014</v>
      </c>
      <c r="X173" s="44">
        <v>3.8463481000000002</v>
      </c>
      <c r="Y173" s="130" t="s">
        <v>3972</v>
      </c>
      <c r="Z173" s="224" t="s">
        <v>3760</v>
      </c>
    </row>
    <row r="174" spans="2:26" ht="15" customHeight="1" x14ac:dyDescent="0.35">
      <c r="B174" s="181">
        <v>87090</v>
      </c>
      <c r="C174" s="182" t="s">
        <v>904</v>
      </c>
      <c r="D174" s="222">
        <v>8</v>
      </c>
      <c r="E174" s="223" t="s">
        <v>1936</v>
      </c>
      <c r="F174" s="183" t="s">
        <v>1937</v>
      </c>
      <c r="G174" s="125">
        <v>3.2727337951075963</v>
      </c>
      <c r="H174" s="121" t="s">
        <v>1336</v>
      </c>
      <c r="I174" s="122">
        <v>53.549019607843135</v>
      </c>
      <c r="J174" s="106" t="s">
        <v>4656</v>
      </c>
      <c r="K174" s="118">
        <v>3516</v>
      </c>
      <c r="L174" s="46">
        <v>2.1252168883747831</v>
      </c>
      <c r="M174" s="41">
        <v>7472.2625795257372</v>
      </c>
      <c r="N174" s="44">
        <v>50.707999999999998</v>
      </c>
      <c r="O174" s="41">
        <v>2421</v>
      </c>
      <c r="P174" s="41">
        <v>15</v>
      </c>
      <c r="Q174" s="41">
        <v>68</v>
      </c>
      <c r="R174" s="45" t="s">
        <v>1307</v>
      </c>
      <c r="S174" s="45" t="s">
        <v>1307</v>
      </c>
      <c r="T174" s="45" t="s">
        <v>1307</v>
      </c>
      <c r="U174" s="44">
        <v>587.15</v>
      </c>
      <c r="V174" s="44">
        <v>1055.8040000000001</v>
      </c>
      <c r="W174" s="44">
        <v>305.21233780612243</v>
      </c>
      <c r="X174" s="44">
        <v>93.259139579999996</v>
      </c>
      <c r="Y174" s="130" t="s">
        <v>3973</v>
      </c>
      <c r="Z174" s="224"/>
    </row>
    <row r="175" spans="2:26" ht="15" customHeight="1" x14ac:dyDescent="0.35">
      <c r="B175" s="181">
        <v>90012</v>
      </c>
      <c r="C175" s="182" t="s">
        <v>934</v>
      </c>
      <c r="D175" s="222">
        <v>4</v>
      </c>
      <c r="E175" s="223" t="s">
        <v>1942</v>
      </c>
      <c r="F175" s="183" t="s">
        <v>1943</v>
      </c>
      <c r="G175" s="125">
        <v>1.1812366925231788</v>
      </c>
      <c r="H175" s="121" t="s">
        <v>1336</v>
      </c>
      <c r="I175" s="122">
        <v>62.770270270270274</v>
      </c>
      <c r="J175" s="106" t="s">
        <v>4656</v>
      </c>
      <c r="K175" s="118">
        <v>95</v>
      </c>
      <c r="L175" s="46">
        <v>1.5863407620416967</v>
      </c>
      <c r="M175" s="41">
        <v>150.70237239396118</v>
      </c>
      <c r="N175" s="44">
        <v>3.3621682000000002</v>
      </c>
      <c r="O175" s="41">
        <v>95</v>
      </c>
      <c r="P175" s="41">
        <v>8.4</v>
      </c>
      <c r="Q175" s="41">
        <v>48.5</v>
      </c>
      <c r="R175" s="45" t="s">
        <v>1307</v>
      </c>
      <c r="S175" s="45" t="s">
        <v>1307</v>
      </c>
      <c r="T175" s="45" t="s">
        <v>1307</v>
      </c>
      <c r="U175" s="44">
        <v>22.93103412149533</v>
      </c>
      <c r="V175" s="44">
        <v>29.652999999999999</v>
      </c>
      <c r="W175" s="44">
        <v>3.271899200000004</v>
      </c>
      <c r="X175" s="44">
        <v>2.769892961089</v>
      </c>
      <c r="Y175" s="130" t="s">
        <v>3974</v>
      </c>
      <c r="Z175" s="224"/>
    </row>
    <row r="176" spans="2:26" ht="15" customHeight="1" x14ac:dyDescent="0.35">
      <c r="B176" s="181">
        <v>90012</v>
      </c>
      <c r="C176" s="182" t="s">
        <v>934</v>
      </c>
      <c r="D176" s="222">
        <v>4</v>
      </c>
      <c r="E176" s="223" t="s">
        <v>1388</v>
      </c>
      <c r="F176" s="183" t="s">
        <v>1944</v>
      </c>
      <c r="G176" s="125">
        <v>0.57667582649618365</v>
      </c>
      <c r="H176" s="121" t="s">
        <v>1336</v>
      </c>
      <c r="I176" s="122">
        <v>57.245098039215684</v>
      </c>
      <c r="J176" s="106" t="s">
        <v>4656</v>
      </c>
      <c r="K176" s="118">
        <v>192</v>
      </c>
      <c r="L176" s="46">
        <v>1.5863407620416967</v>
      </c>
      <c r="M176" s="41">
        <v>304.57742631200574</v>
      </c>
      <c r="N176" s="44">
        <v>5.5</v>
      </c>
      <c r="O176" s="41">
        <v>192</v>
      </c>
      <c r="P176" s="41">
        <v>7</v>
      </c>
      <c r="Q176" s="41">
        <v>37.299999999999997</v>
      </c>
      <c r="R176" s="45" t="s">
        <v>1307</v>
      </c>
      <c r="S176" s="45" t="s">
        <v>1307</v>
      </c>
      <c r="T176" s="45" t="s">
        <v>1307</v>
      </c>
      <c r="U176" s="44">
        <v>37.936670532915393</v>
      </c>
      <c r="V176" s="44">
        <v>63.515000000000001</v>
      </c>
      <c r="W176" s="44">
        <v>2.2470000000000021</v>
      </c>
      <c r="X176" s="44">
        <v>3.8964699</v>
      </c>
      <c r="Y176" s="130" t="s">
        <v>3975</v>
      </c>
      <c r="Z176" s="224"/>
    </row>
    <row r="177" spans="2:26" ht="15" customHeight="1" x14ac:dyDescent="0.35">
      <c r="B177" s="181">
        <v>90012</v>
      </c>
      <c r="C177" s="182" t="s">
        <v>934</v>
      </c>
      <c r="D177" s="222">
        <v>4</v>
      </c>
      <c r="E177" s="223" t="s">
        <v>1941</v>
      </c>
      <c r="F177" s="183" t="s">
        <v>1945</v>
      </c>
      <c r="G177" s="125">
        <v>3.3928495139694559</v>
      </c>
      <c r="H177" s="121" t="s">
        <v>1336</v>
      </c>
      <c r="I177" s="122">
        <v>64.666666666666671</v>
      </c>
      <c r="J177" s="106" t="s">
        <v>4656</v>
      </c>
      <c r="K177" s="118">
        <v>4803</v>
      </c>
      <c r="L177" s="46">
        <v>1.5863407620416967</v>
      </c>
      <c r="M177" s="41">
        <v>7619.1946800862697</v>
      </c>
      <c r="N177" s="44">
        <v>80.678970000000007</v>
      </c>
      <c r="O177" s="41">
        <v>3623</v>
      </c>
      <c r="P177" s="41">
        <v>8.6577999999999999</v>
      </c>
      <c r="Q177" s="41">
        <v>66.599999999999994</v>
      </c>
      <c r="R177" s="45" t="s">
        <v>1307</v>
      </c>
      <c r="S177" s="45" t="s">
        <v>1307</v>
      </c>
      <c r="T177" s="45" t="s">
        <v>1307</v>
      </c>
      <c r="U177" s="44">
        <v>1733.9203771598563</v>
      </c>
      <c r="V177" s="44">
        <v>2827.3548900000001</v>
      </c>
      <c r="W177" s="44">
        <v>423.50190376052683</v>
      </c>
      <c r="X177" s="44">
        <v>124.82189440375498</v>
      </c>
      <c r="Y177" s="130" t="s">
        <v>3976</v>
      </c>
      <c r="Z177" s="224"/>
    </row>
    <row r="178" spans="2:26" ht="15" customHeight="1" x14ac:dyDescent="0.35">
      <c r="B178" s="181">
        <v>52050</v>
      </c>
      <c r="C178" s="182" t="s">
        <v>521</v>
      </c>
      <c r="D178" s="222">
        <v>14</v>
      </c>
      <c r="E178" s="223" t="s">
        <v>1948</v>
      </c>
      <c r="F178" s="183" t="s">
        <v>1949</v>
      </c>
      <c r="G178" s="125">
        <v>0.53706146728654924</v>
      </c>
      <c r="H178" s="121" t="s">
        <v>1336</v>
      </c>
      <c r="I178" s="122">
        <v>67.313725490196092</v>
      </c>
      <c r="J178" s="106" t="s">
        <v>4656</v>
      </c>
      <c r="K178" s="118">
        <v>296</v>
      </c>
      <c r="L178" s="46">
        <v>2.1114864864864864</v>
      </c>
      <c r="M178" s="41">
        <v>625</v>
      </c>
      <c r="N178" s="44">
        <v>14.452999999999999</v>
      </c>
      <c r="O178" s="41">
        <v>329</v>
      </c>
      <c r="P178" s="41">
        <v>20</v>
      </c>
      <c r="Q178" s="41">
        <v>47.599999999999994</v>
      </c>
      <c r="R178" s="45" t="s">
        <v>1307</v>
      </c>
      <c r="S178" s="45" t="s">
        <v>1307</v>
      </c>
      <c r="T178" s="45" t="s">
        <v>1307</v>
      </c>
      <c r="U178" s="44">
        <v>42.999000000000002</v>
      </c>
      <c r="V178" s="44">
        <v>70.805999999999997</v>
      </c>
      <c r="W178" s="44">
        <v>6.4183009693877509</v>
      </c>
      <c r="X178" s="44">
        <v>11.950775395999999</v>
      </c>
      <c r="Y178" s="130" t="s">
        <v>3977</v>
      </c>
      <c r="Z178" s="224" t="s">
        <v>3978</v>
      </c>
    </row>
    <row r="179" spans="2:26" ht="15" customHeight="1" x14ac:dyDescent="0.35">
      <c r="B179" s="181">
        <v>50085</v>
      </c>
      <c r="C179" s="182" t="s">
        <v>492</v>
      </c>
      <c r="D179" s="222">
        <v>17</v>
      </c>
      <c r="E179" s="223" t="s">
        <v>1950</v>
      </c>
      <c r="F179" s="183" t="s">
        <v>1951</v>
      </c>
      <c r="G179" s="125">
        <v>0.17253418857819583</v>
      </c>
      <c r="H179" s="121" t="s">
        <v>1336</v>
      </c>
      <c r="I179" s="122">
        <v>65.845543450193176</v>
      </c>
      <c r="J179" s="106" t="s">
        <v>4656</v>
      </c>
      <c r="K179" s="118">
        <v>95</v>
      </c>
      <c r="L179" s="46">
        <v>2.1342281879194629</v>
      </c>
      <c r="M179" s="41">
        <v>202.75167785234896</v>
      </c>
      <c r="N179" s="44">
        <v>19.367999999999999</v>
      </c>
      <c r="O179" s="41">
        <v>123</v>
      </c>
      <c r="P179" s="41">
        <v>29.15</v>
      </c>
      <c r="Q179" s="41">
        <v>54.8</v>
      </c>
      <c r="R179" s="45" t="s">
        <v>1307</v>
      </c>
      <c r="S179" s="45" t="s">
        <v>1307</v>
      </c>
      <c r="T179" s="45" t="s">
        <v>1307</v>
      </c>
      <c r="U179" s="44">
        <v>14.95</v>
      </c>
      <c r="V179" s="44">
        <v>71.004999999999967</v>
      </c>
      <c r="W179" s="44">
        <v>1.8520299999999861</v>
      </c>
      <c r="X179" s="44">
        <v>10.7342783205</v>
      </c>
      <c r="Y179" s="130" t="s">
        <v>3979</v>
      </c>
      <c r="Z179" s="224"/>
    </row>
    <row r="180" spans="2:26" ht="15" customHeight="1" x14ac:dyDescent="0.35">
      <c r="B180" s="181">
        <v>78120</v>
      </c>
      <c r="C180" s="182" t="s">
        <v>783</v>
      </c>
      <c r="D180" s="222">
        <v>15</v>
      </c>
      <c r="E180" s="223" t="s">
        <v>1953</v>
      </c>
      <c r="F180" s="183" t="s">
        <v>1954</v>
      </c>
      <c r="G180" s="125">
        <v>1.0045470055056935</v>
      </c>
      <c r="H180" s="121" t="s">
        <v>1336</v>
      </c>
      <c r="I180" s="122">
        <v>58.860465116279073</v>
      </c>
      <c r="J180" s="106" t="s">
        <v>4656</v>
      </c>
      <c r="K180" s="118">
        <v>814</v>
      </c>
      <c r="L180" s="46">
        <v>1.6502363268062121</v>
      </c>
      <c r="M180" s="41">
        <v>1343.2923700202566</v>
      </c>
      <c r="N180" s="44">
        <v>22.206</v>
      </c>
      <c r="O180" s="41">
        <v>911</v>
      </c>
      <c r="P180" s="41">
        <v>15</v>
      </c>
      <c r="Q180" s="41">
        <v>51.35</v>
      </c>
      <c r="R180" s="45" t="s">
        <v>1307</v>
      </c>
      <c r="S180" s="45" t="s">
        <v>1307</v>
      </c>
      <c r="T180" s="45" t="s">
        <v>1307</v>
      </c>
      <c r="U180" s="44">
        <v>231.88948401323043</v>
      </c>
      <c r="V180" s="44">
        <v>290.82499999999999</v>
      </c>
      <c r="W180" s="44">
        <v>27.679625000000033</v>
      </c>
      <c r="X180" s="44">
        <v>27.554335285750003</v>
      </c>
      <c r="Y180" s="130" t="s">
        <v>3980</v>
      </c>
      <c r="Z180" s="224" t="s">
        <v>3981</v>
      </c>
    </row>
    <row r="181" spans="2:26" ht="15" customHeight="1" x14ac:dyDescent="0.35">
      <c r="B181" s="181">
        <v>93055</v>
      </c>
      <c r="C181" s="182" t="s">
        <v>966</v>
      </c>
      <c r="D181" s="222">
        <v>2</v>
      </c>
      <c r="E181" s="223" t="s">
        <v>1371</v>
      </c>
      <c r="F181" s="183" t="s">
        <v>1958</v>
      </c>
      <c r="G181" s="125">
        <v>3.4783391131848549</v>
      </c>
      <c r="H181" s="121" t="s">
        <v>1336</v>
      </c>
      <c r="I181" s="122">
        <v>39.578947368421048</v>
      </c>
      <c r="J181" s="106" t="s">
        <v>4656</v>
      </c>
      <c r="K181" s="118">
        <v>462</v>
      </c>
      <c r="L181" s="46">
        <v>2.3298611111111112</v>
      </c>
      <c r="M181" s="41">
        <v>1076.3958333333333</v>
      </c>
      <c r="N181" s="44">
        <v>25.984999999999999</v>
      </c>
      <c r="O181" s="41">
        <v>534</v>
      </c>
      <c r="P181" s="41">
        <v>21.32</v>
      </c>
      <c r="Q181" s="41">
        <v>42</v>
      </c>
      <c r="R181" s="45" t="s">
        <v>1307</v>
      </c>
      <c r="S181" s="45" t="s">
        <v>1307</v>
      </c>
      <c r="T181" s="45" t="s">
        <v>1307</v>
      </c>
      <c r="U181" s="44">
        <v>104.42</v>
      </c>
      <c r="V181" s="44">
        <v>181.13200000000001</v>
      </c>
      <c r="W181" s="44">
        <v>62.897178877551028</v>
      </c>
      <c r="X181" s="44">
        <v>18.082532160000003</v>
      </c>
      <c r="Y181" s="130" t="s">
        <v>3982</v>
      </c>
      <c r="Z181" s="224" t="s">
        <v>3761</v>
      </c>
    </row>
    <row r="182" spans="2:26" ht="15" customHeight="1" x14ac:dyDescent="0.35">
      <c r="B182" s="181">
        <v>7057</v>
      </c>
      <c r="C182" s="182" t="s">
        <v>1076</v>
      </c>
      <c r="D182" s="222">
        <v>1</v>
      </c>
      <c r="E182" s="223" t="s">
        <v>1962</v>
      </c>
      <c r="F182" s="183" t="s">
        <v>1963</v>
      </c>
      <c r="G182" s="125">
        <v>19.970077881472619</v>
      </c>
      <c r="H182" s="121" t="s">
        <v>1325</v>
      </c>
      <c r="I182" s="122">
        <v>38.081081081081081</v>
      </c>
      <c r="J182" s="106" t="s">
        <v>4656</v>
      </c>
      <c r="K182" s="118">
        <v>379</v>
      </c>
      <c r="L182" s="46">
        <v>2.6679316888045541</v>
      </c>
      <c r="M182" s="41">
        <v>1011.146110056926</v>
      </c>
      <c r="N182" s="44">
        <v>10.907999999999999</v>
      </c>
      <c r="O182" s="41">
        <v>354</v>
      </c>
      <c r="P182" s="41">
        <v>5</v>
      </c>
      <c r="Q182" s="41">
        <v>55</v>
      </c>
      <c r="R182" s="45" t="s">
        <v>1324</v>
      </c>
      <c r="S182" s="45" t="s">
        <v>1324</v>
      </c>
      <c r="T182" s="45" t="s">
        <v>1307</v>
      </c>
      <c r="U182" s="44">
        <v>80.411634567901231</v>
      </c>
      <c r="V182" s="44">
        <v>300.423</v>
      </c>
      <c r="W182" s="44">
        <v>209.98865499999999</v>
      </c>
      <c r="X182" s="44">
        <v>10.51516455</v>
      </c>
      <c r="Y182" s="130" t="s">
        <v>3983</v>
      </c>
      <c r="Z182" s="224"/>
    </row>
    <row r="183" spans="2:26" ht="15" customHeight="1" x14ac:dyDescent="0.35">
      <c r="B183" s="181">
        <v>22040</v>
      </c>
      <c r="C183" s="182" t="s">
        <v>160</v>
      </c>
      <c r="D183" s="222">
        <v>3</v>
      </c>
      <c r="E183" s="223" t="s">
        <v>1966</v>
      </c>
      <c r="F183" s="183" t="s">
        <v>1967</v>
      </c>
      <c r="G183" s="125">
        <v>1.3001279308184359</v>
      </c>
      <c r="H183" s="121" t="s">
        <v>1325</v>
      </c>
      <c r="I183" s="122">
        <v>46.350877192982459</v>
      </c>
      <c r="J183" s="106" t="s">
        <v>4656</v>
      </c>
      <c r="K183" s="118">
        <v>1523</v>
      </c>
      <c r="L183" s="46">
        <v>2.5552334943639292</v>
      </c>
      <c r="M183" s="41">
        <v>3891.6206119162644</v>
      </c>
      <c r="N183" s="44">
        <v>31.86</v>
      </c>
      <c r="O183" s="41">
        <v>1482</v>
      </c>
      <c r="P183" s="41">
        <v>17.2</v>
      </c>
      <c r="Q183" s="41">
        <v>56</v>
      </c>
      <c r="R183" s="45" t="s">
        <v>1307</v>
      </c>
      <c r="S183" s="45" t="s">
        <v>1324</v>
      </c>
      <c r="T183" s="45" t="s">
        <v>1307</v>
      </c>
      <c r="U183" s="44">
        <v>256.06299999999999</v>
      </c>
      <c r="V183" s="44">
        <v>392.37200000000001</v>
      </c>
      <c r="W183" s="44">
        <v>63.681812683673492</v>
      </c>
      <c r="X183" s="44">
        <v>48.9811896</v>
      </c>
      <c r="Y183" s="130" t="s">
        <v>3984</v>
      </c>
      <c r="Z183" s="224"/>
    </row>
    <row r="184" spans="2:26" ht="15" customHeight="1" x14ac:dyDescent="0.35">
      <c r="B184" s="181">
        <v>91005</v>
      </c>
      <c r="C184" s="182" t="s">
        <v>937</v>
      </c>
      <c r="D184" s="222">
        <v>2</v>
      </c>
      <c r="E184" s="223" t="s">
        <v>1612</v>
      </c>
      <c r="F184" s="183" t="s">
        <v>1969</v>
      </c>
      <c r="G184" s="125">
        <v>4.1727976017675434</v>
      </c>
      <c r="H184" s="121" t="s">
        <v>1336</v>
      </c>
      <c r="I184" s="122">
        <v>59</v>
      </c>
      <c r="J184" s="106" t="s">
        <v>4656</v>
      </c>
      <c r="K184" s="118">
        <v>450</v>
      </c>
      <c r="L184" s="46">
        <v>1.89</v>
      </c>
      <c r="M184" s="41">
        <v>850.5</v>
      </c>
      <c r="N184" s="44">
        <v>12.77</v>
      </c>
      <c r="O184" s="41">
        <v>482</v>
      </c>
      <c r="P184" s="41">
        <v>4.5999999999999996</v>
      </c>
      <c r="Q184" s="41">
        <v>54.6</v>
      </c>
      <c r="R184" s="45" t="s">
        <v>1307</v>
      </c>
      <c r="S184" s="45" t="s">
        <v>1307</v>
      </c>
      <c r="T184" s="45" t="s">
        <v>1307</v>
      </c>
      <c r="U184" s="44">
        <v>67.548000000000002</v>
      </c>
      <c r="V184" s="44">
        <v>131.00800000000001</v>
      </c>
      <c r="W184" s="44">
        <v>55.791000000000004</v>
      </c>
      <c r="X184" s="44">
        <v>13.370166809999999</v>
      </c>
      <c r="Y184" s="130" t="s">
        <v>3985</v>
      </c>
      <c r="Z184" s="224"/>
    </row>
    <row r="185" spans="2:26" ht="15" customHeight="1" x14ac:dyDescent="0.35">
      <c r="B185" s="181">
        <v>22030</v>
      </c>
      <c r="C185" s="182" t="s">
        <v>158</v>
      </c>
      <c r="D185" s="222">
        <v>3</v>
      </c>
      <c r="E185" s="223" t="s">
        <v>1972</v>
      </c>
      <c r="F185" s="183" t="s">
        <v>1973</v>
      </c>
      <c r="G185" s="125">
        <v>1.3172541816012115</v>
      </c>
      <c r="H185" s="121" t="s">
        <v>1336</v>
      </c>
      <c r="I185" s="122">
        <v>58.72972972972974</v>
      </c>
      <c r="J185" s="106" t="s">
        <v>4656</v>
      </c>
      <c r="K185" s="118">
        <v>296</v>
      </c>
      <c r="L185" s="46">
        <v>2.4962962962962965</v>
      </c>
      <c r="M185" s="41">
        <v>738.90370370370374</v>
      </c>
      <c r="N185" s="44">
        <v>6.2809999999999997</v>
      </c>
      <c r="O185" s="41">
        <v>250</v>
      </c>
      <c r="P185" s="41">
        <v>12</v>
      </c>
      <c r="Q185" s="41">
        <v>39.200000000000003</v>
      </c>
      <c r="R185" s="45" t="s">
        <v>1307</v>
      </c>
      <c r="S185" s="45" t="s">
        <v>1307</v>
      </c>
      <c r="T185" s="45" t="s">
        <v>1307</v>
      </c>
      <c r="U185" s="44">
        <v>43.49</v>
      </c>
      <c r="V185" s="44">
        <v>73.811000000000007</v>
      </c>
      <c r="W185" s="44">
        <v>7.3138350000000134</v>
      </c>
      <c r="X185" s="44">
        <v>5.5523338640000004</v>
      </c>
      <c r="Y185" s="130" t="s">
        <v>3986</v>
      </c>
      <c r="Z185" s="224"/>
    </row>
    <row r="186" spans="2:26" ht="15" customHeight="1" x14ac:dyDescent="0.35">
      <c r="B186" s="181">
        <v>13060</v>
      </c>
      <c r="C186" s="182" t="s">
        <v>51</v>
      </c>
      <c r="D186" s="222">
        <v>1</v>
      </c>
      <c r="E186" s="223" t="s">
        <v>1976</v>
      </c>
      <c r="F186" s="183" t="s">
        <v>1977</v>
      </c>
      <c r="G186" s="125">
        <v>0.57687592922266995</v>
      </c>
      <c r="H186" s="121" t="s">
        <v>1336</v>
      </c>
      <c r="I186" s="122">
        <v>45.081081081081081</v>
      </c>
      <c r="J186" s="106" t="s">
        <v>4656</v>
      </c>
      <c r="K186" s="118">
        <v>184</v>
      </c>
      <c r="L186" s="46">
        <v>1.91</v>
      </c>
      <c r="M186" s="41">
        <v>351.44</v>
      </c>
      <c r="N186" s="44">
        <v>4.72</v>
      </c>
      <c r="O186" s="41">
        <v>184</v>
      </c>
      <c r="P186" s="41">
        <v>5</v>
      </c>
      <c r="Q186" s="41">
        <v>60</v>
      </c>
      <c r="R186" s="45" t="s">
        <v>1307</v>
      </c>
      <c r="S186" s="45" t="s">
        <v>1307</v>
      </c>
      <c r="T186" s="45" t="s">
        <v>1307</v>
      </c>
      <c r="U186" s="44">
        <v>37.817189743589751</v>
      </c>
      <c r="V186" s="44">
        <v>43.960999999999999</v>
      </c>
      <c r="W186" s="44">
        <v>3.2235849999999968</v>
      </c>
      <c r="X186" s="44">
        <v>5.5880040000000006</v>
      </c>
      <c r="Y186" s="130" t="s">
        <v>3987</v>
      </c>
      <c r="Z186" s="224" t="s">
        <v>3988</v>
      </c>
    </row>
    <row r="187" spans="2:26" ht="15" customHeight="1" x14ac:dyDescent="0.35">
      <c r="B187" s="181">
        <v>79078</v>
      </c>
      <c r="C187" s="182" t="s">
        <v>797</v>
      </c>
      <c r="D187" s="222">
        <v>15</v>
      </c>
      <c r="E187" s="223" t="s">
        <v>1979</v>
      </c>
      <c r="F187" s="183" t="s">
        <v>1980</v>
      </c>
      <c r="G187" s="125">
        <v>3.8482722055706278</v>
      </c>
      <c r="H187" s="121" t="s">
        <v>1336</v>
      </c>
      <c r="I187" s="122">
        <v>63.848837209302324</v>
      </c>
      <c r="J187" s="106" t="s">
        <v>4656</v>
      </c>
      <c r="K187" s="118">
        <v>444</v>
      </c>
      <c r="L187" s="46">
        <v>2.1016566265060241</v>
      </c>
      <c r="M187" s="41">
        <v>933.13554216867476</v>
      </c>
      <c r="N187" s="44">
        <v>9.1910000000000007</v>
      </c>
      <c r="O187" s="41">
        <v>345</v>
      </c>
      <c r="P187" s="41">
        <v>5.4</v>
      </c>
      <c r="Q187" s="41">
        <v>47.1</v>
      </c>
      <c r="R187" s="45" t="s">
        <v>1307</v>
      </c>
      <c r="S187" s="45" t="s">
        <v>1307</v>
      </c>
      <c r="T187" s="45" t="s">
        <v>1307</v>
      </c>
      <c r="U187" s="44">
        <v>79.746178723404256</v>
      </c>
      <c r="V187" s="44">
        <v>119.18300000000001</v>
      </c>
      <c r="W187" s="44">
        <v>32.285755000000002</v>
      </c>
      <c r="X187" s="44">
        <v>8.3896754895000001</v>
      </c>
      <c r="Y187" s="130" t="s">
        <v>3989</v>
      </c>
      <c r="Z187" s="224" t="s">
        <v>3990</v>
      </c>
    </row>
    <row r="188" spans="2:26" ht="15" customHeight="1" x14ac:dyDescent="0.35">
      <c r="B188" s="181">
        <v>79078</v>
      </c>
      <c r="C188" s="182" t="s">
        <v>797</v>
      </c>
      <c r="D188" s="222">
        <v>15</v>
      </c>
      <c r="E188" s="223" t="s">
        <v>1981</v>
      </c>
      <c r="F188" s="183" t="s">
        <v>1982</v>
      </c>
      <c r="G188" s="125">
        <v>4.1038900516132895</v>
      </c>
      <c r="H188" s="121" t="s">
        <v>1336</v>
      </c>
      <c r="I188" s="122">
        <v>63.697674418604656</v>
      </c>
      <c r="J188" s="106" t="s">
        <v>4656</v>
      </c>
      <c r="K188" s="118">
        <v>238</v>
      </c>
      <c r="L188" s="46">
        <v>2.1016566265060241</v>
      </c>
      <c r="M188" s="41">
        <v>500.19427710843377</v>
      </c>
      <c r="N188" s="44">
        <v>5.3970000000000002</v>
      </c>
      <c r="O188" s="41">
        <v>226</v>
      </c>
      <c r="P188" s="41">
        <v>4.0999999999999996</v>
      </c>
      <c r="Q188" s="41">
        <v>40.1</v>
      </c>
      <c r="R188" s="45" t="s">
        <v>1307</v>
      </c>
      <c r="S188" s="45" t="s">
        <v>1307</v>
      </c>
      <c r="T188" s="45" t="s">
        <v>1307</v>
      </c>
      <c r="U188" s="44">
        <v>46.057301204819275</v>
      </c>
      <c r="V188" s="44">
        <v>67.986000000000004</v>
      </c>
      <c r="W188" s="44">
        <v>18.08671</v>
      </c>
      <c r="X188" s="44">
        <v>4.4072111515000003</v>
      </c>
      <c r="Y188" s="130" t="s">
        <v>3991</v>
      </c>
      <c r="Z188" s="224" t="s">
        <v>3990</v>
      </c>
    </row>
    <row r="189" spans="2:26" ht="15" customHeight="1" x14ac:dyDescent="0.35">
      <c r="B189" s="181">
        <v>30080</v>
      </c>
      <c r="C189" s="182" t="s">
        <v>230</v>
      </c>
      <c r="D189" s="222">
        <v>5</v>
      </c>
      <c r="E189" s="223" t="s">
        <v>1986</v>
      </c>
      <c r="F189" s="183" t="s">
        <v>1987</v>
      </c>
      <c r="G189" s="125">
        <v>1.5908613006098293</v>
      </c>
      <c r="H189" s="121" t="s">
        <v>1336</v>
      </c>
      <c r="I189" s="122">
        <v>55</v>
      </c>
      <c r="J189" s="106" t="s">
        <v>4656</v>
      </c>
      <c r="K189" s="118">
        <v>294</v>
      </c>
      <c r="L189" s="46">
        <v>2.1482254697286014</v>
      </c>
      <c r="M189" s="41">
        <v>631.57828810020885</v>
      </c>
      <c r="N189" s="44">
        <v>8.15</v>
      </c>
      <c r="O189" s="41">
        <v>269</v>
      </c>
      <c r="P189" s="41">
        <v>13.5</v>
      </c>
      <c r="Q189" s="41">
        <v>60.5</v>
      </c>
      <c r="R189" s="45" t="s">
        <v>1307</v>
      </c>
      <c r="S189" s="45" t="s">
        <v>1307</v>
      </c>
      <c r="T189" s="45" t="s">
        <v>1307</v>
      </c>
      <c r="U189" s="44">
        <v>32.991336283185838</v>
      </c>
      <c r="V189" s="44">
        <v>69.45</v>
      </c>
      <c r="W189" s="44">
        <v>15.903</v>
      </c>
      <c r="X189" s="44">
        <v>9.9964717187499996</v>
      </c>
      <c r="Y189" s="130" t="s">
        <v>3992</v>
      </c>
      <c r="Z189" s="224"/>
    </row>
    <row r="190" spans="2:26" ht="15" customHeight="1" x14ac:dyDescent="0.35">
      <c r="B190" s="181">
        <v>28053</v>
      </c>
      <c r="C190" s="182" t="s">
        <v>196</v>
      </c>
      <c r="D190" s="222">
        <v>12</v>
      </c>
      <c r="E190" s="223" t="s">
        <v>1989</v>
      </c>
      <c r="F190" s="183" t="s">
        <v>1990</v>
      </c>
      <c r="G190" s="125">
        <v>0.48805044268174053</v>
      </c>
      <c r="H190" s="121" t="s">
        <v>1336</v>
      </c>
      <c r="I190" s="122">
        <v>61.01351351351353</v>
      </c>
      <c r="J190" s="106" t="s">
        <v>4656</v>
      </c>
      <c r="K190" s="118">
        <v>1422</v>
      </c>
      <c r="L190" s="46">
        <v>1.8218471636193154</v>
      </c>
      <c r="M190" s="41">
        <v>2590.6666666666665</v>
      </c>
      <c r="N190" s="44">
        <v>21.536999999999999</v>
      </c>
      <c r="O190" s="41">
        <v>1186</v>
      </c>
      <c r="P190" s="41">
        <v>7</v>
      </c>
      <c r="Q190" s="41">
        <v>49.92</v>
      </c>
      <c r="R190" s="45" t="s">
        <v>1307</v>
      </c>
      <c r="S190" s="45" t="s">
        <v>1307</v>
      </c>
      <c r="T190" s="45" t="s">
        <v>1307</v>
      </c>
      <c r="U190" s="44">
        <v>298.69520192307692</v>
      </c>
      <c r="V190" s="44">
        <v>324.43400000000003</v>
      </c>
      <c r="W190" s="44">
        <v>13.730423999999962</v>
      </c>
      <c r="X190" s="44">
        <v>28.133206732799998</v>
      </c>
      <c r="Y190" s="130" t="s">
        <v>3993</v>
      </c>
      <c r="Z190" s="224" t="s">
        <v>3994</v>
      </c>
    </row>
    <row r="191" spans="2:26" ht="15" customHeight="1" x14ac:dyDescent="0.35">
      <c r="B191" s="181">
        <v>28053</v>
      </c>
      <c r="C191" s="182" t="s">
        <v>196</v>
      </c>
      <c r="D191" s="222">
        <v>12</v>
      </c>
      <c r="E191" s="223" t="s">
        <v>1991</v>
      </c>
      <c r="F191" s="183" t="s">
        <v>1992</v>
      </c>
      <c r="G191" s="125">
        <v>2.3487650459022791</v>
      </c>
      <c r="H191" s="121" t="s">
        <v>1336</v>
      </c>
      <c r="I191" s="122">
        <v>59.872519218484996</v>
      </c>
      <c r="J191" s="106" t="s">
        <v>4656</v>
      </c>
      <c r="K191" s="118">
        <v>110</v>
      </c>
      <c r="L191" s="46">
        <v>1.8218471636193154</v>
      </c>
      <c r="M191" s="41">
        <v>200.40318799812471</v>
      </c>
      <c r="N191" s="44">
        <v>4.0789999999999997</v>
      </c>
      <c r="O191" s="41">
        <v>112</v>
      </c>
      <c r="P191" s="41">
        <v>7</v>
      </c>
      <c r="Q191" s="41">
        <v>36.659999999999997</v>
      </c>
      <c r="R191" s="45" t="s">
        <v>1307</v>
      </c>
      <c r="S191" s="45" t="s">
        <v>1307</v>
      </c>
      <c r="T191" s="45" t="s">
        <v>1307</v>
      </c>
      <c r="U191" s="44">
        <v>18.349375000000002</v>
      </c>
      <c r="V191" s="44">
        <v>24.793999999999997</v>
      </c>
      <c r="W191" s="44">
        <v>5.7395520000000007</v>
      </c>
      <c r="X191" s="44">
        <v>2.4436467197999998</v>
      </c>
      <c r="Y191" s="130" t="s">
        <v>3995</v>
      </c>
      <c r="Z191" s="224"/>
    </row>
    <row r="192" spans="2:26" ht="15" customHeight="1" x14ac:dyDescent="0.35">
      <c r="B192" s="181">
        <v>18010</v>
      </c>
      <c r="C192" s="182" t="s">
        <v>105</v>
      </c>
      <c r="D192" s="222">
        <v>12</v>
      </c>
      <c r="E192" s="223" t="s">
        <v>1994</v>
      </c>
      <c r="F192" s="183" t="s">
        <v>1995</v>
      </c>
      <c r="G192" s="125">
        <v>2.4281139171494468</v>
      </c>
      <c r="H192" s="121" t="s">
        <v>1336</v>
      </c>
      <c r="I192" s="122">
        <v>56.744186046511629</v>
      </c>
      <c r="J192" s="106" t="s">
        <v>4656</v>
      </c>
      <c r="K192" s="118">
        <v>82</v>
      </c>
      <c r="L192" s="46">
        <v>1.7184466019417475</v>
      </c>
      <c r="M192" s="41">
        <v>140.91262135922329</v>
      </c>
      <c r="N192" s="44">
        <v>3.4550000000000001</v>
      </c>
      <c r="O192" s="41">
        <v>68</v>
      </c>
      <c r="P192" s="41">
        <v>4</v>
      </c>
      <c r="Q192" s="41">
        <v>49</v>
      </c>
      <c r="R192" s="45" t="s">
        <v>1307</v>
      </c>
      <c r="S192" s="45" t="s">
        <v>1307</v>
      </c>
      <c r="T192" s="45" t="s">
        <v>1307</v>
      </c>
      <c r="U192" s="44">
        <v>15.308299999999999</v>
      </c>
      <c r="V192" s="44">
        <v>21.170999999999999</v>
      </c>
      <c r="W192" s="44">
        <v>5.3584350000000009</v>
      </c>
      <c r="X192" s="44">
        <v>2.20683015</v>
      </c>
      <c r="Y192" s="130" t="s">
        <v>3996</v>
      </c>
      <c r="Z192" s="224" t="s">
        <v>3997</v>
      </c>
    </row>
    <row r="193" spans="2:26" ht="15" customHeight="1" x14ac:dyDescent="0.35">
      <c r="B193" s="181">
        <v>76020</v>
      </c>
      <c r="C193" s="182" t="s">
        <v>748</v>
      </c>
      <c r="D193" s="222">
        <v>15</v>
      </c>
      <c r="E193" s="223" t="s">
        <v>1997</v>
      </c>
      <c r="F193" s="183" t="s">
        <v>1998</v>
      </c>
      <c r="G193" s="125">
        <v>10.629810988365993</v>
      </c>
      <c r="H193" s="121" t="s">
        <v>1336</v>
      </c>
      <c r="I193" s="122">
        <v>60.10980508945088</v>
      </c>
      <c r="J193" s="106" t="s">
        <v>4656</v>
      </c>
      <c r="K193" s="118">
        <v>6702</v>
      </c>
      <c r="L193" s="46">
        <v>2</v>
      </c>
      <c r="M193" s="41">
        <v>13404</v>
      </c>
      <c r="N193" s="44">
        <v>99.742999999999995</v>
      </c>
      <c r="O193" s="41">
        <v>4425</v>
      </c>
      <c r="P193" s="41">
        <v>7</v>
      </c>
      <c r="Q193" s="41">
        <v>49.9</v>
      </c>
      <c r="R193" s="45" t="s">
        <v>1307</v>
      </c>
      <c r="S193" s="45" t="s">
        <v>1307</v>
      </c>
      <c r="T193" s="45" t="s">
        <v>1307</v>
      </c>
      <c r="U193" s="44">
        <v>1164.4466158645278</v>
      </c>
      <c r="V193" s="44">
        <v>2806.3469999999998</v>
      </c>
      <c r="W193" s="44">
        <v>1182.8844463659789</v>
      </c>
      <c r="X193" s="44">
        <v>111.27991341149999</v>
      </c>
      <c r="Y193" s="130" t="s">
        <v>3998</v>
      </c>
      <c r="Z193" s="224" t="s">
        <v>3999</v>
      </c>
    </row>
    <row r="194" spans="2:26" ht="15" customHeight="1" x14ac:dyDescent="0.35">
      <c r="B194" s="181">
        <v>30030</v>
      </c>
      <c r="C194" s="182" t="s">
        <v>222</v>
      </c>
      <c r="D194" s="222">
        <v>5</v>
      </c>
      <c r="E194" s="223" t="s">
        <v>2002</v>
      </c>
      <c r="F194" s="183" t="s">
        <v>2003</v>
      </c>
      <c r="G194" s="125">
        <v>1.1255216058575326</v>
      </c>
      <c r="H194" s="121" t="s">
        <v>1336</v>
      </c>
      <c r="I194" s="122">
        <v>64.963517733351352</v>
      </c>
      <c r="J194" s="106" t="s">
        <v>4656</v>
      </c>
      <c r="K194" s="118">
        <v>3071</v>
      </c>
      <c r="L194" s="46">
        <v>1.89</v>
      </c>
      <c r="M194" s="41">
        <v>5804.19</v>
      </c>
      <c r="N194" s="44">
        <v>58.867999999999995</v>
      </c>
      <c r="O194" s="41">
        <v>2776</v>
      </c>
      <c r="P194" s="41">
        <v>10</v>
      </c>
      <c r="Q194" s="41">
        <v>70</v>
      </c>
      <c r="R194" s="45" t="s">
        <v>1307</v>
      </c>
      <c r="S194" s="45" t="s">
        <v>1307</v>
      </c>
      <c r="T194" s="45" t="s">
        <v>1307</v>
      </c>
      <c r="U194" s="44">
        <v>351.59737656903764</v>
      </c>
      <c r="V194" s="44">
        <v>959.25699999999995</v>
      </c>
      <c r="W194" s="44">
        <v>114.29281711652925</v>
      </c>
      <c r="X194" s="44">
        <v>101.5465332</v>
      </c>
      <c r="Y194" s="130" t="s">
        <v>4000</v>
      </c>
      <c r="Z194" s="224"/>
    </row>
    <row r="195" spans="2:26" ht="15" customHeight="1" x14ac:dyDescent="0.35">
      <c r="B195" s="181">
        <v>93060</v>
      </c>
      <c r="C195" s="182" t="s">
        <v>967</v>
      </c>
      <c r="D195" s="222">
        <v>2</v>
      </c>
      <c r="E195" s="223" t="s">
        <v>2005</v>
      </c>
      <c r="F195" s="183" t="s">
        <v>2006</v>
      </c>
      <c r="G195" s="125">
        <v>1.8333023301953275</v>
      </c>
      <c r="H195" s="121" t="s">
        <v>1336</v>
      </c>
      <c r="I195" s="122">
        <v>35.744186046511629</v>
      </c>
      <c r="J195" s="106" t="s">
        <v>4656</v>
      </c>
      <c r="K195" s="118">
        <v>196</v>
      </c>
      <c r="L195" s="46">
        <v>1.77</v>
      </c>
      <c r="M195" s="41">
        <v>346.92</v>
      </c>
      <c r="N195" s="44">
        <v>11.201499999999999</v>
      </c>
      <c r="O195" s="41">
        <v>196</v>
      </c>
      <c r="P195" s="41">
        <v>9.1</v>
      </c>
      <c r="Q195" s="41">
        <v>45</v>
      </c>
      <c r="R195" s="45" t="s">
        <v>1187</v>
      </c>
      <c r="S195" s="45" t="s">
        <v>1187</v>
      </c>
      <c r="T195" s="45" t="s">
        <v>1187</v>
      </c>
      <c r="U195" s="44">
        <v>24.183499999999999</v>
      </c>
      <c r="V195" s="44">
        <v>38</v>
      </c>
      <c r="W195" s="44">
        <v>12.135644185546829</v>
      </c>
      <c r="X195" s="44">
        <v>6.6195542250000017</v>
      </c>
      <c r="Y195" s="130" t="s">
        <v>4001</v>
      </c>
      <c r="Z195" s="224" t="s">
        <v>4002</v>
      </c>
    </row>
    <row r="196" spans="2:26" ht="15" customHeight="1" x14ac:dyDescent="0.35">
      <c r="B196" s="181">
        <v>30095</v>
      </c>
      <c r="C196" s="182" t="s">
        <v>233</v>
      </c>
      <c r="D196" s="222">
        <v>5</v>
      </c>
      <c r="E196" s="223" t="s">
        <v>2010</v>
      </c>
      <c r="F196" s="183" t="s">
        <v>2011</v>
      </c>
      <c r="G196" s="125">
        <v>7.3937688874311087</v>
      </c>
      <c r="H196" s="121" t="s">
        <v>1325</v>
      </c>
      <c r="I196" s="122">
        <v>65.026315789473699</v>
      </c>
      <c r="J196" s="106" t="s">
        <v>4656</v>
      </c>
      <c r="K196" s="118">
        <v>582</v>
      </c>
      <c r="L196" s="46">
        <v>2.2583333333333333</v>
      </c>
      <c r="M196" s="41">
        <v>1314.35</v>
      </c>
      <c r="N196" s="44">
        <v>16.972999999999999</v>
      </c>
      <c r="O196" s="41">
        <v>458</v>
      </c>
      <c r="P196" s="41">
        <v>6</v>
      </c>
      <c r="Q196" s="41">
        <v>49.589840899999999</v>
      </c>
      <c r="R196" s="45" t="s">
        <v>1307</v>
      </c>
      <c r="S196" s="45" t="s">
        <v>1307</v>
      </c>
      <c r="T196" s="45" t="s">
        <v>1324</v>
      </c>
      <c r="U196" s="44">
        <v>75.760000000000005</v>
      </c>
      <c r="V196" s="44">
        <v>198.15700000000001</v>
      </c>
      <c r="W196" s="44">
        <v>99.11590896907218</v>
      </c>
      <c r="X196" s="44">
        <v>13.405329606334099</v>
      </c>
      <c r="Y196" s="130" t="s">
        <v>4003</v>
      </c>
      <c r="Z196" s="224" t="s">
        <v>3770</v>
      </c>
    </row>
    <row r="197" spans="2:26" ht="15" customHeight="1" x14ac:dyDescent="0.35">
      <c r="B197" s="181">
        <v>88035</v>
      </c>
      <c r="C197" s="182" t="s">
        <v>916</v>
      </c>
      <c r="D197" s="222">
        <v>8</v>
      </c>
      <c r="E197" s="223" t="s">
        <v>2014</v>
      </c>
      <c r="F197" s="183" t="s">
        <v>2015</v>
      </c>
      <c r="G197" s="125">
        <v>0.50558696075922382</v>
      </c>
      <c r="H197" s="121" t="s">
        <v>1336</v>
      </c>
      <c r="I197" s="122">
        <v>71</v>
      </c>
      <c r="J197" s="106" t="s">
        <v>4656</v>
      </c>
      <c r="K197" s="118">
        <v>270</v>
      </c>
      <c r="L197" s="46">
        <v>2.5157068062827226</v>
      </c>
      <c r="M197" s="41">
        <v>679.24083769633512</v>
      </c>
      <c r="N197" s="44">
        <v>7.343</v>
      </c>
      <c r="O197" s="41">
        <v>256</v>
      </c>
      <c r="P197" s="41">
        <v>12.2</v>
      </c>
      <c r="Q197" s="41">
        <v>32</v>
      </c>
      <c r="R197" s="45" t="s">
        <v>1307</v>
      </c>
      <c r="S197" s="45" t="s">
        <v>1307</v>
      </c>
      <c r="T197" s="45" t="s">
        <v>1307</v>
      </c>
      <c r="U197" s="44">
        <v>29.178439999999998</v>
      </c>
      <c r="V197" s="44">
        <v>38.569000000000003</v>
      </c>
      <c r="W197" s="44">
        <v>2.4510000000000005</v>
      </c>
      <c r="X197" s="44">
        <v>4.847830720000001</v>
      </c>
      <c r="Y197" s="130" t="s">
        <v>4004</v>
      </c>
      <c r="Z197" s="224"/>
    </row>
    <row r="198" spans="2:26" ht="15" customHeight="1" x14ac:dyDescent="0.35">
      <c r="B198" s="181">
        <v>21040</v>
      </c>
      <c r="C198" s="182" t="s">
        <v>151</v>
      </c>
      <c r="D198" s="222">
        <v>3</v>
      </c>
      <c r="E198" s="223" t="s">
        <v>2017</v>
      </c>
      <c r="F198" s="183" t="s">
        <v>2018</v>
      </c>
      <c r="G198" s="125">
        <v>2.0970586200327048</v>
      </c>
      <c r="H198" s="121" t="s">
        <v>1336</v>
      </c>
      <c r="I198" s="122">
        <v>45.608108108108112</v>
      </c>
      <c r="J198" s="106" t="s">
        <v>4656</v>
      </c>
      <c r="K198" s="118">
        <v>1391</v>
      </c>
      <c r="L198" s="46">
        <v>2.66</v>
      </c>
      <c r="M198" s="41">
        <v>3700.0600000000004</v>
      </c>
      <c r="N198" s="44">
        <v>23.677000000000003</v>
      </c>
      <c r="O198" s="41">
        <v>1166</v>
      </c>
      <c r="P198" s="41">
        <v>6</v>
      </c>
      <c r="Q198" s="41">
        <v>60</v>
      </c>
      <c r="R198" s="45" t="s">
        <v>1307</v>
      </c>
      <c r="S198" s="45" t="s">
        <v>1307</v>
      </c>
      <c r="T198" s="45" t="s">
        <v>1307</v>
      </c>
      <c r="U198" s="44">
        <v>333.35377831827662</v>
      </c>
      <c r="V198" s="44">
        <v>421.62599999999998</v>
      </c>
      <c r="W198" s="44">
        <v>70.44460999999994</v>
      </c>
      <c r="X198" s="44">
        <v>33.592103400000006</v>
      </c>
      <c r="Y198" s="130" t="s">
        <v>4005</v>
      </c>
      <c r="Z198" s="224" t="s">
        <v>1357</v>
      </c>
    </row>
    <row r="199" spans="2:26" ht="15" customHeight="1" x14ac:dyDescent="0.35">
      <c r="B199" s="181">
        <v>52017</v>
      </c>
      <c r="C199" s="182" t="s">
        <v>516</v>
      </c>
      <c r="D199" s="222">
        <v>14</v>
      </c>
      <c r="E199" s="223" t="s">
        <v>2020</v>
      </c>
      <c r="F199" s="183" t="s">
        <v>2021</v>
      </c>
      <c r="G199" s="125">
        <v>3.8645718984320134</v>
      </c>
      <c r="H199" s="121" t="s">
        <v>1325</v>
      </c>
      <c r="I199" s="122">
        <v>67.466666666666654</v>
      </c>
      <c r="J199" s="106" t="s">
        <v>4656</v>
      </c>
      <c r="K199" s="118">
        <v>1647</v>
      </c>
      <c r="L199" s="46">
        <v>2.4293243890752274</v>
      </c>
      <c r="M199" s="41">
        <v>4001.0972688068996</v>
      </c>
      <c r="N199" s="44">
        <v>26.597000000000001</v>
      </c>
      <c r="O199" s="41">
        <v>1452</v>
      </c>
      <c r="P199" s="41">
        <v>10</v>
      </c>
      <c r="Q199" s="41">
        <v>38.700000000000003</v>
      </c>
      <c r="R199" s="45" t="s">
        <v>1307</v>
      </c>
      <c r="S199" s="45" t="s">
        <v>1307</v>
      </c>
      <c r="T199" s="45" t="s">
        <v>1324</v>
      </c>
      <c r="U199" s="44">
        <v>240.4</v>
      </c>
      <c r="V199" s="44">
        <v>392.17500000000001</v>
      </c>
      <c r="W199" s="44">
        <v>109.36067553123829</v>
      </c>
      <c r="X199" s="44">
        <v>28.298263923000004</v>
      </c>
      <c r="Y199" s="130" t="s">
        <v>4006</v>
      </c>
      <c r="Z199" s="224"/>
    </row>
    <row r="200" spans="2:26" ht="15" customHeight="1" x14ac:dyDescent="0.35">
      <c r="B200" s="181">
        <v>94265</v>
      </c>
      <c r="C200" s="182" t="s">
        <v>985</v>
      </c>
      <c r="D200" s="222">
        <v>2</v>
      </c>
      <c r="E200" s="223" t="s">
        <v>1957</v>
      </c>
      <c r="F200" s="183" t="s">
        <v>2024</v>
      </c>
      <c r="G200" s="125">
        <v>5.3735321858109462</v>
      </c>
      <c r="H200" s="121" t="s">
        <v>1336</v>
      </c>
      <c r="I200" s="122">
        <v>63.648648648648653</v>
      </c>
      <c r="J200" s="106" t="s">
        <v>4656</v>
      </c>
      <c r="K200" s="118">
        <v>392</v>
      </c>
      <c r="L200" s="46">
        <v>2.2037302725968435</v>
      </c>
      <c r="M200" s="41">
        <v>863.86226685796271</v>
      </c>
      <c r="N200" s="44">
        <v>15.054</v>
      </c>
      <c r="O200" s="41">
        <v>469</v>
      </c>
      <c r="P200" s="41">
        <v>10</v>
      </c>
      <c r="Q200" s="41">
        <v>32</v>
      </c>
      <c r="R200" s="45" t="s">
        <v>1307</v>
      </c>
      <c r="S200" s="45" t="s">
        <v>1307</v>
      </c>
      <c r="T200" s="45" t="s">
        <v>1307</v>
      </c>
      <c r="U200" s="44">
        <v>73.778000000000006</v>
      </c>
      <c r="V200" s="44">
        <v>133.297</v>
      </c>
      <c r="W200" s="44">
        <v>47.914545000000004</v>
      </c>
      <c r="X200" s="44">
        <v>8.9167689600000006</v>
      </c>
      <c r="Y200" s="130" t="s">
        <v>4007</v>
      </c>
      <c r="Z200" s="224" t="s">
        <v>3761</v>
      </c>
    </row>
    <row r="201" spans="2:26" ht="15" customHeight="1" x14ac:dyDescent="0.35">
      <c r="B201" s="181">
        <v>79050</v>
      </c>
      <c r="C201" s="182" t="s">
        <v>794</v>
      </c>
      <c r="D201" s="222">
        <v>15</v>
      </c>
      <c r="E201" s="223" t="s">
        <v>2028</v>
      </c>
      <c r="F201" s="183" t="s">
        <v>2029</v>
      </c>
      <c r="G201" s="125">
        <v>1.3110212348624559</v>
      </c>
      <c r="H201" s="121" t="s">
        <v>1336</v>
      </c>
      <c r="I201" s="122">
        <v>61.189189189189193</v>
      </c>
      <c r="J201" s="106" t="s">
        <v>4656</v>
      </c>
      <c r="K201" s="118">
        <v>177</v>
      </c>
      <c r="L201" s="46">
        <v>1.7284210526315789</v>
      </c>
      <c r="M201" s="41">
        <v>305.93052631578945</v>
      </c>
      <c r="N201" s="44">
        <v>7.2439999999999998</v>
      </c>
      <c r="O201" s="41">
        <v>178</v>
      </c>
      <c r="P201" s="41">
        <v>10</v>
      </c>
      <c r="Q201" s="41">
        <v>61.64</v>
      </c>
      <c r="R201" s="45" t="s">
        <v>2030</v>
      </c>
      <c r="S201" s="45" t="s">
        <v>2030</v>
      </c>
      <c r="T201" s="45" t="s">
        <v>2030</v>
      </c>
      <c r="U201" s="44">
        <v>22.92511224489796</v>
      </c>
      <c r="V201" s="44">
        <v>35.274000000000001</v>
      </c>
      <c r="W201" s="44">
        <v>9.3588900000000024</v>
      </c>
      <c r="X201" s="44">
        <v>7.1386257912000017</v>
      </c>
      <c r="Y201" s="130" t="s">
        <v>4008</v>
      </c>
      <c r="Z201" s="224" t="s">
        <v>4009</v>
      </c>
    </row>
    <row r="202" spans="2:26" ht="15" customHeight="1" x14ac:dyDescent="0.35">
      <c r="B202" s="181">
        <v>93065</v>
      </c>
      <c r="C202" s="182" t="s">
        <v>968</v>
      </c>
      <c r="D202" s="222">
        <v>2</v>
      </c>
      <c r="E202" s="223" t="s">
        <v>2033</v>
      </c>
      <c r="F202" s="183" t="s">
        <v>2034</v>
      </c>
      <c r="G202" s="125">
        <v>0.51282704280787805</v>
      </c>
      <c r="H202" s="121" t="s">
        <v>1336</v>
      </c>
      <c r="I202" s="122">
        <v>66.280701754385987</v>
      </c>
      <c r="J202" s="106" t="s">
        <v>4656</v>
      </c>
      <c r="K202" s="118">
        <v>1062</v>
      </c>
      <c r="L202" s="46">
        <v>2.1941112322791714</v>
      </c>
      <c r="M202" s="41">
        <v>2330.1461286804802</v>
      </c>
      <c r="N202" s="44">
        <v>22.195</v>
      </c>
      <c r="O202" s="41">
        <v>1062</v>
      </c>
      <c r="P202" s="41">
        <v>8</v>
      </c>
      <c r="Q202" s="41">
        <v>45</v>
      </c>
      <c r="R202" s="45" t="s">
        <v>1307</v>
      </c>
      <c r="S202" s="45" t="s">
        <v>1307</v>
      </c>
      <c r="T202" s="45" t="s">
        <v>1307</v>
      </c>
      <c r="U202" s="44">
        <v>177.35400000000001</v>
      </c>
      <c r="V202" s="44">
        <v>265.22300000000001</v>
      </c>
      <c r="W202" s="44">
        <v>12.310567908163282</v>
      </c>
      <c r="X202" s="44">
        <v>24.005301750000005</v>
      </c>
      <c r="Y202" s="130" t="s">
        <v>4010</v>
      </c>
      <c r="Z202" s="224"/>
    </row>
    <row r="203" spans="2:26" ht="15" customHeight="1" x14ac:dyDescent="0.35">
      <c r="B203" s="181">
        <v>60028</v>
      </c>
      <c r="C203" s="182" t="s">
        <v>608</v>
      </c>
      <c r="D203" s="222">
        <v>14</v>
      </c>
      <c r="E203" s="223" t="s">
        <v>2036</v>
      </c>
      <c r="F203" s="195" t="s">
        <v>4781</v>
      </c>
      <c r="G203" s="125">
        <v>1.1153123562669269</v>
      </c>
      <c r="H203" s="121" t="s">
        <v>1373</v>
      </c>
      <c r="I203" s="122">
        <v>67.877192982456165</v>
      </c>
      <c r="J203" s="106" t="s">
        <v>4656</v>
      </c>
      <c r="K203" s="118">
        <v>9122</v>
      </c>
      <c r="L203" s="46">
        <v>2.5883206788744975</v>
      </c>
      <c r="M203" s="41">
        <v>23610.661232693164</v>
      </c>
      <c r="N203" s="44">
        <v>169.2</v>
      </c>
      <c r="O203" s="41">
        <v>7459</v>
      </c>
      <c r="P203" s="41">
        <v>7</v>
      </c>
      <c r="Q203" s="41">
        <v>49.5</v>
      </c>
      <c r="R203" s="45" t="s">
        <v>1307</v>
      </c>
      <c r="S203" s="45" t="s">
        <v>1307</v>
      </c>
      <c r="T203" s="45" t="s">
        <v>1307</v>
      </c>
      <c r="U203" s="44">
        <v>1605.2270000000001</v>
      </c>
      <c r="V203" s="44">
        <v>2801.9069999999997</v>
      </c>
      <c r="W203" s="44">
        <v>207.91956693877583</v>
      </c>
      <c r="X203" s="44">
        <v>186.42272343750003</v>
      </c>
      <c r="Y203" s="130" t="s">
        <v>4011</v>
      </c>
      <c r="Z203" s="224"/>
    </row>
    <row r="204" spans="2:26" ht="15" customHeight="1" x14ac:dyDescent="0.35">
      <c r="B204" s="181">
        <v>85060</v>
      </c>
      <c r="C204" s="182" t="s">
        <v>880</v>
      </c>
      <c r="D204" s="222">
        <v>8</v>
      </c>
      <c r="E204" s="223" t="s">
        <v>2038</v>
      </c>
      <c r="F204" s="183" t="s">
        <v>2039</v>
      </c>
      <c r="G204" s="125">
        <v>0.61647804766827152</v>
      </c>
      <c r="H204" s="121" t="s">
        <v>1336</v>
      </c>
      <c r="I204" s="122">
        <v>62.243243243243242</v>
      </c>
      <c r="J204" s="106" t="s">
        <v>4656</v>
      </c>
      <c r="K204" s="118">
        <v>138</v>
      </c>
      <c r="L204" s="46">
        <v>2.1</v>
      </c>
      <c r="M204" s="41">
        <v>289.8</v>
      </c>
      <c r="N204" s="44">
        <v>2.16</v>
      </c>
      <c r="O204" s="41">
        <v>90</v>
      </c>
      <c r="P204" s="41">
        <v>9</v>
      </c>
      <c r="Q204" s="41">
        <v>37.4</v>
      </c>
      <c r="R204" s="45" t="s">
        <v>1307</v>
      </c>
      <c r="S204" s="45" t="s">
        <v>1307</v>
      </c>
      <c r="T204" s="45" t="s">
        <v>1307</v>
      </c>
      <c r="U204" s="44">
        <v>23</v>
      </c>
      <c r="V204" s="44">
        <v>25.297999999999998</v>
      </c>
      <c r="W204" s="44">
        <v>1.1035299999999977</v>
      </c>
      <c r="X204" s="44">
        <v>1.7900556299999999</v>
      </c>
      <c r="Y204" s="130" t="s">
        <v>4012</v>
      </c>
      <c r="Z204" s="224"/>
    </row>
    <row r="205" spans="2:26" ht="15" customHeight="1" x14ac:dyDescent="0.35">
      <c r="B205" s="181">
        <v>33060</v>
      </c>
      <c r="C205" s="182" t="s">
        <v>275</v>
      </c>
      <c r="D205" s="222">
        <v>12</v>
      </c>
      <c r="E205" s="223" t="s">
        <v>2041</v>
      </c>
      <c r="F205" s="183" t="s">
        <v>2042</v>
      </c>
      <c r="G205" s="125">
        <v>1.0499034195372119</v>
      </c>
      <c r="H205" s="121" t="s">
        <v>1325</v>
      </c>
      <c r="I205" s="122">
        <v>70.627450980392169</v>
      </c>
      <c r="J205" s="106" t="s">
        <v>4656</v>
      </c>
      <c r="K205" s="118">
        <v>1182</v>
      </c>
      <c r="L205" s="46">
        <v>2.32114183764496</v>
      </c>
      <c r="M205" s="41">
        <v>2743.5896520963429</v>
      </c>
      <c r="N205" s="44">
        <v>28.292000000000002</v>
      </c>
      <c r="O205" s="41">
        <v>1286</v>
      </c>
      <c r="P205" s="41">
        <v>9</v>
      </c>
      <c r="Q205" s="41">
        <v>49.2</v>
      </c>
      <c r="R205" s="45" t="s">
        <v>1307</v>
      </c>
      <c r="S205" s="45" t="s">
        <v>1324</v>
      </c>
      <c r="T205" s="45" t="s">
        <v>1307</v>
      </c>
      <c r="U205" s="44">
        <v>141.209</v>
      </c>
      <c r="V205" s="44">
        <v>225.52699999999999</v>
      </c>
      <c r="W205" s="44">
        <v>34.454215357142857</v>
      </c>
      <c r="X205" s="44">
        <v>32.816556948000006</v>
      </c>
      <c r="Y205" s="130" t="s">
        <v>4013</v>
      </c>
      <c r="Z205" s="224"/>
    </row>
    <row r="206" spans="2:26" ht="15" customHeight="1" x14ac:dyDescent="0.35">
      <c r="B206" s="181">
        <v>32072</v>
      </c>
      <c r="C206" s="182" t="s">
        <v>264</v>
      </c>
      <c r="D206" s="222">
        <v>17</v>
      </c>
      <c r="E206" s="223" t="s">
        <v>2043</v>
      </c>
      <c r="F206" s="183" t="s">
        <v>2044</v>
      </c>
      <c r="G206" s="125">
        <v>2.4722414803107475</v>
      </c>
      <c r="H206" s="121" t="s">
        <v>1325</v>
      </c>
      <c r="I206" s="122">
        <v>61.877551020408156</v>
      </c>
      <c r="J206" s="106" t="s">
        <v>4656</v>
      </c>
      <c r="K206" s="118">
        <v>335</v>
      </c>
      <c r="L206" s="46">
        <v>2.2006633499170811</v>
      </c>
      <c r="M206" s="41">
        <v>737.22222222222217</v>
      </c>
      <c r="N206" s="44">
        <v>10.638</v>
      </c>
      <c r="O206" s="41">
        <v>367</v>
      </c>
      <c r="P206" s="41">
        <v>7.5</v>
      </c>
      <c r="Q206" s="41">
        <v>60.433099999999996</v>
      </c>
      <c r="R206" s="45" t="s">
        <v>1324</v>
      </c>
      <c r="S206" s="45" t="s">
        <v>1307</v>
      </c>
      <c r="T206" s="45" t="s">
        <v>1307</v>
      </c>
      <c r="U206" s="44">
        <v>61.278456284153009</v>
      </c>
      <c r="V206" s="44">
        <v>98.81</v>
      </c>
      <c r="W206" s="44">
        <v>30.205584693877565</v>
      </c>
      <c r="X206" s="44">
        <v>12.21789413956475</v>
      </c>
      <c r="Y206" s="130" t="s">
        <v>4014</v>
      </c>
      <c r="Z206" s="224" t="s">
        <v>3762</v>
      </c>
    </row>
    <row r="207" spans="2:26" ht="15" customHeight="1" x14ac:dyDescent="0.35">
      <c r="B207" s="181">
        <v>65005</v>
      </c>
      <c r="C207" s="182" t="s">
        <v>646</v>
      </c>
      <c r="D207" s="222">
        <v>13</v>
      </c>
      <c r="E207" s="223" t="s">
        <v>2047</v>
      </c>
      <c r="F207" s="183" t="s">
        <v>2048</v>
      </c>
      <c r="G207" s="125">
        <v>9.9756024190553383</v>
      </c>
      <c r="H207" s="121" t="s">
        <v>1786</v>
      </c>
      <c r="I207" s="122">
        <v>69.359649122807014</v>
      </c>
      <c r="J207" s="106" t="s">
        <v>4656</v>
      </c>
      <c r="K207" s="118">
        <v>171752</v>
      </c>
      <c r="L207" s="46">
        <v>2.5099999999999998</v>
      </c>
      <c r="M207" s="41">
        <v>431097.51999999996</v>
      </c>
      <c r="N207" s="44">
        <v>1688</v>
      </c>
      <c r="O207" s="41">
        <v>112673</v>
      </c>
      <c r="P207" s="41">
        <v>8</v>
      </c>
      <c r="Q207" s="41">
        <v>41.227299292909365</v>
      </c>
      <c r="R207" s="45" t="s">
        <v>1307</v>
      </c>
      <c r="S207" s="45" t="s">
        <v>1307</v>
      </c>
      <c r="T207" s="45" t="s">
        <v>1307</v>
      </c>
      <c r="U207" s="44">
        <v>38550.938000000002</v>
      </c>
      <c r="V207" s="44">
        <v>73002.263999999996</v>
      </c>
      <c r="W207" s="44">
        <v>21474.645127551019</v>
      </c>
      <c r="X207" s="44">
        <v>2152.7166205551935</v>
      </c>
      <c r="Y207" s="130" t="s">
        <v>4015</v>
      </c>
      <c r="Z207" s="224"/>
    </row>
    <row r="208" spans="2:26" ht="15" customHeight="1" x14ac:dyDescent="0.35">
      <c r="B208" s="181">
        <v>52007</v>
      </c>
      <c r="C208" s="182" t="s">
        <v>515</v>
      </c>
      <c r="D208" s="222">
        <v>14</v>
      </c>
      <c r="E208" s="223" t="s">
        <v>2051</v>
      </c>
      <c r="F208" s="183" t="s">
        <v>2052</v>
      </c>
      <c r="G208" s="125">
        <v>2.9890588359725148</v>
      </c>
      <c r="H208" s="121" t="s">
        <v>1441</v>
      </c>
      <c r="I208" s="122">
        <v>58.729729729729726</v>
      </c>
      <c r="J208" s="106" t="s">
        <v>4656</v>
      </c>
      <c r="K208" s="118">
        <v>4959</v>
      </c>
      <c r="L208" s="46">
        <v>2.5805443177638838</v>
      </c>
      <c r="M208" s="41">
        <v>12796.919271791099</v>
      </c>
      <c r="N208" s="44">
        <v>74.599999999999994</v>
      </c>
      <c r="O208" s="41">
        <v>5188</v>
      </c>
      <c r="P208" s="41">
        <v>6</v>
      </c>
      <c r="Q208" s="41">
        <v>49.2</v>
      </c>
      <c r="R208" s="45" t="s">
        <v>1324</v>
      </c>
      <c r="S208" s="45" t="s">
        <v>1324</v>
      </c>
      <c r="T208" s="45" t="s">
        <v>1324</v>
      </c>
      <c r="U208" s="44">
        <v>913.17669999999998</v>
      </c>
      <c r="V208" s="44">
        <v>1311.654</v>
      </c>
      <c r="W208" s="44">
        <v>336.63319000000001</v>
      </c>
      <c r="X208" s="44">
        <v>112.62180120000002</v>
      </c>
      <c r="Y208" s="130" t="s">
        <v>4016</v>
      </c>
      <c r="Z208" s="224" t="s">
        <v>1533</v>
      </c>
    </row>
    <row r="209" spans="2:26" ht="15" customHeight="1" x14ac:dyDescent="0.35">
      <c r="B209" s="181">
        <v>85052</v>
      </c>
      <c r="C209" s="182" t="s">
        <v>878</v>
      </c>
      <c r="D209" s="222">
        <v>8</v>
      </c>
      <c r="E209" s="223" t="s">
        <v>2055</v>
      </c>
      <c r="F209" s="183" t="s">
        <v>2056</v>
      </c>
      <c r="G209" s="125">
        <v>28.783629679719553</v>
      </c>
      <c r="H209" s="121" t="s">
        <v>1336</v>
      </c>
      <c r="I209" s="122">
        <v>63</v>
      </c>
      <c r="J209" s="106" t="s">
        <v>4656</v>
      </c>
      <c r="K209" s="118">
        <v>228</v>
      </c>
      <c r="L209" s="46">
        <v>2.5</v>
      </c>
      <c r="M209" s="41">
        <v>570</v>
      </c>
      <c r="N209" s="44">
        <v>5.0330000000000004</v>
      </c>
      <c r="O209" s="41">
        <v>204</v>
      </c>
      <c r="P209" s="41">
        <v>9</v>
      </c>
      <c r="Q209" s="41">
        <v>20.22</v>
      </c>
      <c r="R209" s="45" t="s">
        <v>1307</v>
      </c>
      <c r="S209" s="45" t="s">
        <v>1307</v>
      </c>
      <c r="T209" s="45" t="s">
        <v>1307</v>
      </c>
      <c r="U209" s="44">
        <v>44.161999999999999</v>
      </c>
      <c r="V209" s="44">
        <v>262.97899999999998</v>
      </c>
      <c r="W209" s="44">
        <v>63.664542499999946</v>
      </c>
      <c r="X209" s="44">
        <v>2.2118316282000001</v>
      </c>
      <c r="Y209" s="130" t="s">
        <v>4017</v>
      </c>
      <c r="Z209" s="224" t="s">
        <v>4018</v>
      </c>
    </row>
    <row r="210" spans="2:26" ht="15" customHeight="1" x14ac:dyDescent="0.35">
      <c r="B210" s="181">
        <v>13050</v>
      </c>
      <c r="C210" s="182" t="s">
        <v>49</v>
      </c>
      <c r="D210" s="222">
        <v>1</v>
      </c>
      <c r="E210" s="223" t="s">
        <v>2059</v>
      </c>
      <c r="F210" s="183" t="s">
        <v>2060</v>
      </c>
      <c r="G210" s="125">
        <v>2.8043372119471996</v>
      </c>
      <c r="H210" s="121" t="s">
        <v>1336</v>
      </c>
      <c r="I210" s="122">
        <v>56.139534883720934</v>
      </c>
      <c r="J210" s="106" t="s">
        <v>4656</v>
      </c>
      <c r="K210" s="118">
        <v>77</v>
      </c>
      <c r="L210" s="46">
        <v>1.7532467532467533</v>
      </c>
      <c r="M210" s="41">
        <v>135</v>
      </c>
      <c r="N210" s="44">
        <v>2.7730000000000001</v>
      </c>
      <c r="O210" s="41">
        <v>77</v>
      </c>
      <c r="P210" s="41">
        <v>10</v>
      </c>
      <c r="Q210" s="41">
        <v>55</v>
      </c>
      <c r="R210" s="45" t="s">
        <v>1307</v>
      </c>
      <c r="S210" s="45" t="s">
        <v>1307</v>
      </c>
      <c r="T210" s="45" t="s">
        <v>1307</v>
      </c>
      <c r="U210" s="44">
        <v>9.2934470588235296</v>
      </c>
      <c r="V210" s="44">
        <v>18.158000000000001</v>
      </c>
      <c r="W210" s="44">
        <v>7.3616300000000026</v>
      </c>
      <c r="X210" s="44">
        <v>2.6250873000000001</v>
      </c>
      <c r="Y210" s="130" t="s">
        <v>4019</v>
      </c>
      <c r="Z210" s="224" t="s">
        <v>4020</v>
      </c>
    </row>
    <row r="211" spans="2:26" ht="15" customHeight="1" x14ac:dyDescent="0.35">
      <c r="B211" s="181">
        <v>60037</v>
      </c>
      <c r="C211" s="182" t="s">
        <v>1125</v>
      </c>
      <c r="D211" s="222">
        <v>14</v>
      </c>
      <c r="E211" s="223" t="s">
        <v>2063</v>
      </c>
      <c r="F211" s="183" t="s">
        <v>2064</v>
      </c>
      <c r="G211" s="125">
        <v>3.6187331675482812</v>
      </c>
      <c r="H211" s="121" t="s">
        <v>1336</v>
      </c>
      <c r="I211" s="122">
        <v>63.543859649122822</v>
      </c>
      <c r="J211" s="106" t="s">
        <v>4656</v>
      </c>
      <c r="K211" s="118">
        <v>2542</v>
      </c>
      <c r="L211" s="46">
        <v>2.4459534368070952</v>
      </c>
      <c r="M211" s="41">
        <v>6217.613636363636</v>
      </c>
      <c r="N211" s="44">
        <v>30.315999999999999</v>
      </c>
      <c r="O211" s="41">
        <v>1901</v>
      </c>
      <c r="P211" s="41">
        <v>15</v>
      </c>
      <c r="Q211" s="41">
        <v>32</v>
      </c>
      <c r="R211" s="45" t="s">
        <v>1307</v>
      </c>
      <c r="S211" s="45" t="s">
        <v>1307</v>
      </c>
      <c r="T211" s="45" t="s">
        <v>1307</v>
      </c>
      <c r="U211" s="44">
        <v>400.62799999999999</v>
      </c>
      <c r="V211" s="44">
        <v>613.43399999999997</v>
      </c>
      <c r="W211" s="44">
        <v>117.47478948979585</v>
      </c>
      <c r="X211" s="44">
        <v>32.462959840000003</v>
      </c>
      <c r="Y211" s="130" t="s">
        <v>4021</v>
      </c>
      <c r="Z211" s="224"/>
    </row>
    <row r="212" spans="2:26" ht="15" customHeight="1" x14ac:dyDescent="0.35">
      <c r="B212" s="181">
        <v>95018</v>
      </c>
      <c r="C212" s="182" t="s">
        <v>988</v>
      </c>
      <c r="D212" s="222">
        <v>9</v>
      </c>
      <c r="E212" s="223" t="s">
        <v>2067</v>
      </c>
      <c r="F212" s="183" t="s">
        <v>2068</v>
      </c>
      <c r="G212" s="125">
        <v>1.3368948985884412</v>
      </c>
      <c r="H212" s="121" t="s">
        <v>1336</v>
      </c>
      <c r="I212" s="122">
        <v>59</v>
      </c>
      <c r="J212" s="106" t="s">
        <v>4656</v>
      </c>
      <c r="K212" s="118">
        <v>224</v>
      </c>
      <c r="L212" s="46">
        <v>1.9594202898550726</v>
      </c>
      <c r="M212" s="41">
        <v>438.91014492753624</v>
      </c>
      <c r="N212" s="44">
        <v>12.346</v>
      </c>
      <c r="O212" s="41">
        <v>425</v>
      </c>
      <c r="P212" s="41">
        <v>7</v>
      </c>
      <c r="Q212" s="41">
        <v>54.6</v>
      </c>
      <c r="R212" s="45" t="s">
        <v>1307</v>
      </c>
      <c r="S212" s="45" t="s">
        <v>1307</v>
      </c>
      <c r="T212" s="45" t="s">
        <v>1307</v>
      </c>
      <c r="U212" s="44">
        <v>48.526832941176465</v>
      </c>
      <c r="V212" s="44">
        <v>110.63</v>
      </c>
      <c r="W212" s="44">
        <v>16.960999999999999</v>
      </c>
      <c r="X212" s="44">
        <v>12.686861187000002</v>
      </c>
      <c r="Y212" s="130" t="s">
        <v>4022</v>
      </c>
      <c r="Z212" s="224"/>
    </row>
    <row r="213" spans="2:26" ht="15" customHeight="1" x14ac:dyDescent="0.35">
      <c r="B213" s="181">
        <v>71033</v>
      </c>
      <c r="C213" s="182" t="s">
        <v>708</v>
      </c>
      <c r="D213" s="222">
        <v>16</v>
      </c>
      <c r="E213" s="223" t="s">
        <v>2071</v>
      </c>
      <c r="F213" s="183" t="s">
        <v>2072</v>
      </c>
      <c r="G213" s="125">
        <v>1.7694661487268286</v>
      </c>
      <c r="H213" s="121" t="s">
        <v>1336</v>
      </c>
      <c r="I213" s="122">
        <v>59.959459459459467</v>
      </c>
      <c r="J213" s="106" t="s">
        <v>4656</v>
      </c>
      <c r="K213" s="118">
        <v>2415</v>
      </c>
      <c r="L213" s="46">
        <v>2.30828025477707</v>
      </c>
      <c r="M213" s="41">
        <v>5574.496815286624</v>
      </c>
      <c r="N213" s="44">
        <v>30.629000000000001</v>
      </c>
      <c r="O213" s="41">
        <v>2025</v>
      </c>
      <c r="P213" s="41">
        <v>7.5</v>
      </c>
      <c r="Q213" s="41">
        <v>46</v>
      </c>
      <c r="R213" s="45" t="s">
        <v>1307</v>
      </c>
      <c r="S213" s="45" t="s">
        <v>1307</v>
      </c>
      <c r="T213" s="45" t="s">
        <v>1307</v>
      </c>
      <c r="U213" s="44">
        <v>621.7111499414292</v>
      </c>
      <c r="V213" s="44">
        <v>746.28</v>
      </c>
      <c r="W213" s="44">
        <v>75.788799999999981</v>
      </c>
      <c r="X213" s="44">
        <v>42.831449505000002</v>
      </c>
      <c r="Y213" s="130" t="s">
        <v>4023</v>
      </c>
      <c r="Z213" s="224"/>
    </row>
    <row r="214" spans="2:26" ht="15" customHeight="1" x14ac:dyDescent="0.35">
      <c r="B214" s="181">
        <v>16048</v>
      </c>
      <c r="C214" s="182" t="s">
        <v>87</v>
      </c>
      <c r="D214" s="222">
        <v>3</v>
      </c>
      <c r="E214" s="223" t="s">
        <v>2075</v>
      </c>
      <c r="F214" s="183" t="s">
        <v>2076</v>
      </c>
      <c r="G214" s="125">
        <v>3.7535451446275911</v>
      </c>
      <c r="H214" s="121" t="s">
        <v>1336</v>
      </c>
      <c r="I214" s="122">
        <v>44.378378378378386</v>
      </c>
      <c r="J214" s="106" t="s">
        <v>4656</v>
      </c>
      <c r="K214" s="118">
        <v>315</v>
      </c>
      <c r="L214" s="46">
        <v>1.6320868516284681</v>
      </c>
      <c r="M214" s="41">
        <v>514.10735826296741</v>
      </c>
      <c r="N214" s="44">
        <v>12.164</v>
      </c>
      <c r="O214" s="41">
        <v>331</v>
      </c>
      <c r="P214" s="41">
        <v>20</v>
      </c>
      <c r="Q214" s="41">
        <v>63.28</v>
      </c>
      <c r="R214" s="45" t="s">
        <v>1307</v>
      </c>
      <c r="S214" s="45" t="s">
        <v>1307</v>
      </c>
      <c r="T214" s="45" t="s">
        <v>1307</v>
      </c>
      <c r="U214" s="44">
        <v>86.926299999999998</v>
      </c>
      <c r="V214" s="44">
        <v>154.08000000000001</v>
      </c>
      <c r="W214" s="44">
        <v>56.287800000000018</v>
      </c>
      <c r="X214" s="44">
        <v>14.9959032944</v>
      </c>
      <c r="Y214" s="130" t="s">
        <v>4024</v>
      </c>
      <c r="Z214" s="224" t="s">
        <v>4025</v>
      </c>
    </row>
    <row r="215" spans="2:26" ht="15" customHeight="1" x14ac:dyDescent="0.35">
      <c r="B215" s="181">
        <v>16048</v>
      </c>
      <c r="C215" s="182" t="s">
        <v>87</v>
      </c>
      <c r="D215" s="222">
        <v>3</v>
      </c>
      <c r="E215" s="223" t="s">
        <v>2077</v>
      </c>
      <c r="F215" s="183" t="s">
        <v>2078</v>
      </c>
      <c r="G215" s="125">
        <v>1.7964288460906872</v>
      </c>
      <c r="H215" s="121" t="s">
        <v>1336</v>
      </c>
      <c r="I215" s="122">
        <v>44.378378378378386</v>
      </c>
      <c r="J215" s="106" t="s">
        <v>4656</v>
      </c>
      <c r="K215" s="118">
        <v>95</v>
      </c>
      <c r="L215" s="46">
        <v>1.6320868516284681</v>
      </c>
      <c r="M215" s="41">
        <v>155.04825090470447</v>
      </c>
      <c r="N215" s="44">
        <v>2.6</v>
      </c>
      <c r="O215" s="41">
        <v>95</v>
      </c>
      <c r="P215" s="41">
        <v>30</v>
      </c>
      <c r="Q215" s="41">
        <v>49.22</v>
      </c>
      <c r="R215" s="45" t="s">
        <v>1307</v>
      </c>
      <c r="S215" s="45" t="s">
        <v>1307</v>
      </c>
      <c r="T215" s="45" t="s">
        <v>1307</v>
      </c>
      <c r="U215" s="44">
        <v>13.329000000000001</v>
      </c>
      <c r="V215" s="44">
        <v>19.89</v>
      </c>
      <c r="W215" s="44">
        <v>6.2626499999999998</v>
      </c>
      <c r="X215" s="44">
        <v>3.4861664649999997</v>
      </c>
      <c r="Y215" s="130" t="s">
        <v>4026</v>
      </c>
      <c r="Z215" s="224"/>
    </row>
    <row r="216" spans="2:26" ht="15" customHeight="1" x14ac:dyDescent="0.35">
      <c r="B216" s="181">
        <v>8005</v>
      </c>
      <c r="C216" s="182" t="s">
        <v>1086</v>
      </c>
      <c r="D216" s="222">
        <v>1</v>
      </c>
      <c r="E216" s="223" t="s">
        <v>2081</v>
      </c>
      <c r="F216" s="183" t="s">
        <v>2082</v>
      </c>
      <c r="G216" s="125">
        <v>12.912483014426547</v>
      </c>
      <c r="H216" s="121" t="s">
        <v>1336</v>
      </c>
      <c r="I216" s="122">
        <v>59.921568627450981</v>
      </c>
      <c r="J216" s="106" t="s">
        <v>4656</v>
      </c>
      <c r="K216" s="118">
        <v>397</v>
      </c>
      <c r="L216" s="46">
        <v>1.726148409893993</v>
      </c>
      <c r="M216" s="41">
        <v>685.28091872791526</v>
      </c>
      <c r="N216" s="44">
        <v>11.877000000000001</v>
      </c>
      <c r="O216" s="41">
        <v>348</v>
      </c>
      <c r="P216" s="41">
        <v>5</v>
      </c>
      <c r="Q216" s="41">
        <v>63</v>
      </c>
      <c r="R216" s="45" t="s">
        <v>1307</v>
      </c>
      <c r="S216" s="45" t="s">
        <v>1307</v>
      </c>
      <c r="T216" s="45" t="s">
        <v>1307</v>
      </c>
      <c r="U216" s="44">
        <v>62.506</v>
      </c>
      <c r="V216" s="44">
        <v>276.56200000000001</v>
      </c>
      <c r="W216" s="44">
        <v>159.05725146763996</v>
      </c>
      <c r="X216" s="44">
        <v>12.318099570000001</v>
      </c>
      <c r="Y216" s="130" t="s">
        <v>4027</v>
      </c>
      <c r="Z216" s="224"/>
    </row>
    <row r="217" spans="2:26" ht="15" customHeight="1" x14ac:dyDescent="0.35">
      <c r="B217" s="181">
        <v>25213</v>
      </c>
      <c r="C217" s="182" t="s">
        <v>166</v>
      </c>
      <c r="D217" s="222">
        <v>12</v>
      </c>
      <c r="E217" s="223" t="s">
        <v>2086</v>
      </c>
      <c r="F217" s="183" t="s">
        <v>2087</v>
      </c>
      <c r="G217" s="125">
        <v>0.56635102272127658</v>
      </c>
      <c r="H217" s="121" t="s">
        <v>1373</v>
      </c>
      <c r="I217" s="122">
        <v>57.290521154484587</v>
      </c>
      <c r="J217" s="106" t="s">
        <v>4656</v>
      </c>
      <c r="K217" s="118">
        <v>12940</v>
      </c>
      <c r="L217" s="46">
        <v>2.2850516025591134</v>
      </c>
      <c r="M217" s="41">
        <v>29568.567737114929</v>
      </c>
      <c r="N217" s="44">
        <v>166.2</v>
      </c>
      <c r="O217" s="41">
        <v>8935</v>
      </c>
      <c r="P217" s="41">
        <v>6.5</v>
      </c>
      <c r="Q217" s="41">
        <v>61.21</v>
      </c>
      <c r="R217" s="45" t="s">
        <v>1307</v>
      </c>
      <c r="S217" s="45" t="s">
        <v>1307</v>
      </c>
      <c r="T217" s="45" t="s">
        <v>1307</v>
      </c>
      <c r="U217" s="44">
        <v>2455.21</v>
      </c>
      <c r="V217" s="44">
        <v>3168.4040000000005</v>
      </c>
      <c r="W217" s="44">
        <v>146.67023154749205</v>
      </c>
      <c r="X217" s="44">
        <v>258.97407378687507</v>
      </c>
      <c r="Y217" s="130" t="s">
        <v>4028</v>
      </c>
      <c r="Z217" s="224"/>
    </row>
    <row r="218" spans="2:26" ht="15" customHeight="1" x14ac:dyDescent="0.35">
      <c r="B218" s="181">
        <v>25213</v>
      </c>
      <c r="C218" s="182" t="s">
        <v>166</v>
      </c>
      <c r="D218" s="222">
        <v>12</v>
      </c>
      <c r="E218" s="223" t="s">
        <v>2088</v>
      </c>
      <c r="F218" s="183" t="s">
        <v>2089</v>
      </c>
      <c r="G218" s="125">
        <v>1.0217303021270181</v>
      </c>
      <c r="H218" s="121" t="s">
        <v>2090</v>
      </c>
      <c r="I218" s="122">
        <v>59.831368263222124</v>
      </c>
      <c r="J218" s="106" t="s">
        <v>4656</v>
      </c>
      <c r="K218" s="118">
        <v>24191</v>
      </c>
      <c r="L218" s="46">
        <v>2.2850516025591134</v>
      </c>
      <c r="M218" s="41">
        <v>55277.683317507515</v>
      </c>
      <c r="N218" s="44">
        <v>342.3</v>
      </c>
      <c r="O218" s="41">
        <v>18791</v>
      </c>
      <c r="P218" s="41">
        <v>7.66</v>
      </c>
      <c r="Q218" s="41">
        <v>48.89</v>
      </c>
      <c r="R218" s="45" t="s">
        <v>1307</v>
      </c>
      <c r="S218" s="45" t="s">
        <v>1307</v>
      </c>
      <c r="T218" s="45" t="s">
        <v>1307</v>
      </c>
      <c r="U218" s="44">
        <v>4589.95</v>
      </c>
      <c r="V218" s="44">
        <v>5966.4269999999997</v>
      </c>
      <c r="W218" s="44">
        <v>452.03554812966922</v>
      </c>
      <c r="X218" s="44">
        <v>442.42159324102505</v>
      </c>
      <c r="Y218" s="130" t="s">
        <v>4029</v>
      </c>
      <c r="Z218" s="224"/>
    </row>
    <row r="219" spans="2:26" ht="15" customHeight="1" x14ac:dyDescent="0.35">
      <c r="B219" s="181">
        <v>25213</v>
      </c>
      <c r="C219" s="182" t="s">
        <v>166</v>
      </c>
      <c r="D219" s="222">
        <v>12</v>
      </c>
      <c r="E219" s="223" t="s">
        <v>1714</v>
      </c>
      <c r="F219" s="183" t="s">
        <v>2091</v>
      </c>
      <c r="G219" s="125">
        <v>5.5796667504856163</v>
      </c>
      <c r="H219" s="121" t="s">
        <v>2090</v>
      </c>
      <c r="I219" s="122">
        <v>59.11167841006683</v>
      </c>
      <c r="J219" s="106" t="s">
        <v>4656</v>
      </c>
      <c r="K219" s="118">
        <v>27756</v>
      </c>
      <c r="L219" s="46">
        <v>2.2850516025591134</v>
      </c>
      <c r="M219" s="41">
        <v>63423.892280630753</v>
      </c>
      <c r="N219" s="44">
        <v>337.9</v>
      </c>
      <c r="O219" s="41">
        <v>16725</v>
      </c>
      <c r="P219" s="41">
        <v>5.66</v>
      </c>
      <c r="Q219" s="41">
        <v>53.14</v>
      </c>
      <c r="R219" s="45" t="s">
        <v>1307</v>
      </c>
      <c r="S219" s="45" t="s">
        <v>1307</v>
      </c>
      <c r="T219" s="45" t="s">
        <v>1307</v>
      </c>
      <c r="U219" s="44">
        <v>5266.37</v>
      </c>
      <c r="V219" s="44">
        <v>9415.3240000000005</v>
      </c>
      <c r="W219" s="44">
        <v>2362.3937707497344</v>
      </c>
      <c r="X219" s="44">
        <v>423.39334522875004</v>
      </c>
      <c r="Y219" s="130" t="s">
        <v>4030</v>
      </c>
      <c r="Z219" s="224"/>
    </row>
    <row r="220" spans="2:26" ht="15" customHeight="1" x14ac:dyDescent="0.35">
      <c r="B220" s="181">
        <v>16023</v>
      </c>
      <c r="C220" s="182" t="s">
        <v>86</v>
      </c>
      <c r="D220" s="222">
        <v>3</v>
      </c>
      <c r="E220" s="223" t="s">
        <v>2095</v>
      </c>
      <c r="F220" s="183" t="s">
        <v>2096</v>
      </c>
      <c r="G220" s="125">
        <v>1.1351970307194188</v>
      </c>
      <c r="H220" s="121" t="s">
        <v>1336</v>
      </c>
      <c r="I220" s="122">
        <v>55.078431372549019</v>
      </c>
      <c r="J220" s="106" t="s">
        <v>4656</v>
      </c>
      <c r="K220" s="118">
        <v>534</v>
      </c>
      <c r="L220" s="46">
        <v>1.503382949932341</v>
      </c>
      <c r="M220" s="41">
        <v>802.80649526387015</v>
      </c>
      <c r="N220" s="44">
        <v>18.489999999999998</v>
      </c>
      <c r="O220" s="41">
        <v>510</v>
      </c>
      <c r="P220" s="41">
        <v>10</v>
      </c>
      <c r="Q220" s="41">
        <v>56</v>
      </c>
      <c r="R220" s="45" t="s">
        <v>1307</v>
      </c>
      <c r="S220" s="45" t="s">
        <v>1307</v>
      </c>
      <c r="T220" s="45" t="s">
        <v>1307</v>
      </c>
      <c r="U220" s="44">
        <v>62.484000000000002</v>
      </c>
      <c r="V220" s="44">
        <v>89.35</v>
      </c>
      <c r="W220" s="44">
        <v>20.148</v>
      </c>
      <c r="X220" s="44">
        <v>17.7484608</v>
      </c>
      <c r="Y220" s="130" t="s">
        <v>4031</v>
      </c>
      <c r="Z220" s="224"/>
    </row>
    <row r="221" spans="2:26" ht="15" customHeight="1" x14ac:dyDescent="0.35">
      <c r="B221" s="181">
        <v>17078</v>
      </c>
      <c r="C221" s="182" t="s">
        <v>103</v>
      </c>
      <c r="D221" s="222">
        <v>12</v>
      </c>
      <c r="E221" s="223" t="s">
        <v>103</v>
      </c>
      <c r="F221" s="183" t="s">
        <v>2098</v>
      </c>
      <c r="G221" s="125">
        <v>1.9528509715131674</v>
      </c>
      <c r="H221" s="121" t="s">
        <v>1325</v>
      </c>
      <c r="I221" s="122">
        <v>60</v>
      </c>
      <c r="J221" s="106" t="s">
        <v>4656</v>
      </c>
      <c r="K221" s="118">
        <v>1292</v>
      </c>
      <c r="L221" s="46">
        <v>2.094719651605879</v>
      </c>
      <c r="M221" s="41">
        <v>2706.3777898747958</v>
      </c>
      <c r="N221" s="44">
        <v>32.590000000000003</v>
      </c>
      <c r="O221" s="41">
        <v>1128</v>
      </c>
      <c r="P221" s="41">
        <v>6</v>
      </c>
      <c r="Q221" s="41">
        <v>55</v>
      </c>
      <c r="R221" s="45" t="s">
        <v>1324</v>
      </c>
      <c r="S221" s="45" t="s">
        <v>1324</v>
      </c>
      <c r="T221" s="45" t="s">
        <v>1307</v>
      </c>
      <c r="U221" s="44">
        <v>220.93299999999999</v>
      </c>
      <c r="V221" s="44">
        <v>397.89499999999998</v>
      </c>
      <c r="W221" s="44">
        <v>65.007999999999996</v>
      </c>
      <c r="X221" s="44">
        <v>33.288766500000008</v>
      </c>
      <c r="Y221" s="130" t="s">
        <v>4032</v>
      </c>
      <c r="Z221" s="224" t="s">
        <v>4033</v>
      </c>
    </row>
    <row r="222" spans="2:26" ht="15" customHeight="1" x14ac:dyDescent="0.35">
      <c r="B222" s="181">
        <v>12043</v>
      </c>
      <c r="C222" s="182" t="s">
        <v>35</v>
      </c>
      <c r="D222" s="222">
        <v>1</v>
      </c>
      <c r="E222" s="223" t="s">
        <v>2102</v>
      </c>
      <c r="F222" s="183" t="s">
        <v>2103</v>
      </c>
      <c r="G222" s="125">
        <v>0.56290028979329865</v>
      </c>
      <c r="H222" s="121" t="s">
        <v>1336</v>
      </c>
      <c r="I222" s="122">
        <v>58.353372126815486</v>
      </c>
      <c r="J222" s="106" t="s">
        <v>4656</v>
      </c>
      <c r="K222" s="118">
        <v>474</v>
      </c>
      <c r="L222" s="46">
        <v>2.0299999999999998</v>
      </c>
      <c r="M222" s="41">
        <v>962.21999999999991</v>
      </c>
      <c r="N222" s="44">
        <v>12.795</v>
      </c>
      <c r="O222" s="41">
        <v>514</v>
      </c>
      <c r="P222" s="41">
        <v>6</v>
      </c>
      <c r="Q222" s="41">
        <v>57.5</v>
      </c>
      <c r="R222" s="45" t="s">
        <v>1307</v>
      </c>
      <c r="S222" s="45" t="s">
        <v>1307</v>
      </c>
      <c r="T222" s="45" t="s">
        <v>1307</v>
      </c>
      <c r="U222" s="44">
        <v>68.184209708737853</v>
      </c>
      <c r="V222" s="44">
        <v>83.828999999999994</v>
      </c>
      <c r="W222" s="44">
        <v>8.489565000000006</v>
      </c>
      <c r="X222" s="44">
        <v>15.081827375000001</v>
      </c>
      <c r="Y222" s="130" t="s">
        <v>4034</v>
      </c>
      <c r="Z222" s="224"/>
    </row>
    <row r="223" spans="2:26" ht="15" customHeight="1" x14ac:dyDescent="0.35">
      <c r="B223" s="181">
        <v>98045</v>
      </c>
      <c r="C223" s="182" t="s">
        <v>1016</v>
      </c>
      <c r="D223" s="222">
        <v>9</v>
      </c>
      <c r="E223" s="223" t="s">
        <v>2106</v>
      </c>
      <c r="F223" s="183" t="s">
        <v>2107</v>
      </c>
      <c r="G223" s="125">
        <v>4.0224337205869576</v>
      </c>
      <c r="H223" s="121" t="s">
        <v>1336</v>
      </c>
      <c r="I223" s="122">
        <v>58.905405405405418</v>
      </c>
      <c r="J223" s="106" t="s">
        <v>4656</v>
      </c>
      <c r="K223" s="118">
        <v>244</v>
      </c>
      <c r="L223" s="46">
        <v>1.6366906474820144</v>
      </c>
      <c r="M223" s="41">
        <v>399.35251798561154</v>
      </c>
      <c r="N223" s="44">
        <v>9.8539999999999992</v>
      </c>
      <c r="O223" s="41">
        <v>265</v>
      </c>
      <c r="P223" s="41">
        <v>25</v>
      </c>
      <c r="Q223" s="41">
        <v>47</v>
      </c>
      <c r="R223" s="45" t="s">
        <v>1307</v>
      </c>
      <c r="S223" s="45" t="s">
        <v>1307</v>
      </c>
      <c r="T223" s="45" t="s">
        <v>1307</v>
      </c>
      <c r="U223" s="44">
        <v>52.575828793774321</v>
      </c>
      <c r="V223" s="44">
        <v>95.100999999999999</v>
      </c>
      <c r="W223" s="44">
        <v>38.297485000000002</v>
      </c>
      <c r="X223" s="44">
        <v>9.5209735349999978</v>
      </c>
      <c r="Y223" s="130" t="s">
        <v>4035</v>
      </c>
      <c r="Z223" s="224"/>
    </row>
    <row r="224" spans="2:26" ht="15" customHeight="1" x14ac:dyDescent="0.35">
      <c r="B224" s="181">
        <v>95032</v>
      </c>
      <c r="C224" s="182" t="s">
        <v>990</v>
      </c>
      <c r="D224" s="222">
        <v>9</v>
      </c>
      <c r="E224" s="223" t="s">
        <v>2110</v>
      </c>
      <c r="F224" s="183" t="s">
        <v>2111</v>
      </c>
      <c r="G224" s="125">
        <v>6.6549588686569923</v>
      </c>
      <c r="H224" s="121" t="s">
        <v>1336</v>
      </c>
      <c r="I224" s="122">
        <v>43.675675675675677</v>
      </c>
      <c r="J224" s="106" t="s">
        <v>4656</v>
      </c>
      <c r="K224" s="118">
        <v>565</v>
      </c>
      <c r="L224" s="46">
        <v>2.0720338983050848</v>
      </c>
      <c r="M224" s="41">
        <v>1170.699152542373</v>
      </c>
      <c r="N224" s="44">
        <v>29.084</v>
      </c>
      <c r="O224" s="41">
        <v>565</v>
      </c>
      <c r="P224" s="41">
        <v>6</v>
      </c>
      <c r="Q224" s="41">
        <v>38.5</v>
      </c>
      <c r="R224" s="45" t="s">
        <v>1307</v>
      </c>
      <c r="S224" s="45" t="s">
        <v>1307</v>
      </c>
      <c r="T224" s="45" t="s">
        <v>1307</v>
      </c>
      <c r="U224" s="44">
        <v>120.45272991379311</v>
      </c>
      <c r="V224" s="44">
        <v>226.19800000000001</v>
      </c>
      <c r="W224" s="44">
        <v>99.154439999999994</v>
      </c>
      <c r="X224" s="44">
        <v>14.899331754999999</v>
      </c>
      <c r="Y224" s="130" t="s">
        <v>4036</v>
      </c>
      <c r="Z224" s="224" t="s">
        <v>4037</v>
      </c>
    </row>
    <row r="225" spans="2:26" ht="15" customHeight="1" x14ac:dyDescent="0.35">
      <c r="B225" s="181">
        <v>58227</v>
      </c>
      <c r="C225" s="182" t="s">
        <v>598</v>
      </c>
      <c r="D225" s="222">
        <v>16</v>
      </c>
      <c r="E225" s="223" t="s">
        <v>3724</v>
      </c>
      <c r="F225" s="183" t="s">
        <v>4782</v>
      </c>
      <c r="G225" s="125">
        <v>8.202170405647248</v>
      </c>
      <c r="H225" s="121" t="s">
        <v>3699</v>
      </c>
      <c r="I225" s="122">
        <v>45.38643254820132</v>
      </c>
      <c r="J225" s="106" t="s">
        <v>4656</v>
      </c>
      <c r="K225" s="118">
        <v>112603</v>
      </c>
      <c r="L225" s="46">
        <v>2.1882720709039725</v>
      </c>
      <c r="M225" s="41">
        <v>246406</v>
      </c>
      <c r="N225" s="44">
        <v>995</v>
      </c>
      <c r="O225" s="41">
        <v>59079</v>
      </c>
      <c r="P225" s="41">
        <v>10</v>
      </c>
      <c r="Q225" s="41">
        <v>50</v>
      </c>
      <c r="R225" s="45" t="s">
        <v>1307</v>
      </c>
      <c r="S225" s="45" t="s">
        <v>1307</v>
      </c>
      <c r="T225" s="45" t="s">
        <v>1324</v>
      </c>
      <c r="U225" s="44">
        <v>25133.412</v>
      </c>
      <c r="V225" s="44">
        <v>51321.787999999993</v>
      </c>
      <c r="W225" s="44">
        <v>11966.629000000015</v>
      </c>
      <c r="X225" s="44">
        <v>1458.9588375000003</v>
      </c>
      <c r="Y225" s="130" t="s">
        <v>4038</v>
      </c>
      <c r="Z225" s="224"/>
    </row>
    <row r="226" spans="2:26" ht="15" customHeight="1" x14ac:dyDescent="0.35">
      <c r="B226" s="181">
        <v>73025</v>
      </c>
      <c r="C226" s="182" t="s">
        <v>738</v>
      </c>
      <c r="D226" s="222">
        <v>15</v>
      </c>
      <c r="E226" s="223" t="s">
        <v>2115</v>
      </c>
      <c r="F226" s="183" t="s">
        <v>2116</v>
      </c>
      <c r="G226" s="125">
        <v>0.3654126528403685</v>
      </c>
      <c r="H226" s="121" t="s">
        <v>1325</v>
      </c>
      <c r="I226" s="122">
        <v>55.633333333333319</v>
      </c>
      <c r="J226" s="106" t="s">
        <v>4656</v>
      </c>
      <c r="K226" s="118">
        <v>3423</v>
      </c>
      <c r="L226" s="46">
        <v>2.7642418930762491</v>
      </c>
      <c r="M226" s="41">
        <v>9462</v>
      </c>
      <c r="N226" s="44">
        <v>52.534999999999997</v>
      </c>
      <c r="O226" s="41">
        <v>3423</v>
      </c>
      <c r="P226" s="41">
        <v>10</v>
      </c>
      <c r="Q226" s="41">
        <v>51</v>
      </c>
      <c r="R226" s="45" t="s">
        <v>1307</v>
      </c>
      <c r="S226" s="45" t="s">
        <v>1324</v>
      </c>
      <c r="T226" s="45" t="s">
        <v>1307</v>
      </c>
      <c r="U226" s="44">
        <v>1041.9380000000001</v>
      </c>
      <c r="V226" s="44">
        <v>1113.3879999999999</v>
      </c>
      <c r="W226" s="44">
        <v>30.880294183673328</v>
      </c>
      <c r="X226" s="44">
        <v>84.508004700000001</v>
      </c>
      <c r="Y226" s="130" t="s">
        <v>4039</v>
      </c>
      <c r="Z226" s="224"/>
    </row>
    <row r="227" spans="2:26" ht="15" customHeight="1" x14ac:dyDescent="0.35">
      <c r="B227" s="181">
        <v>85037</v>
      </c>
      <c r="C227" s="182" t="s">
        <v>876</v>
      </c>
      <c r="D227" s="222">
        <v>8</v>
      </c>
      <c r="E227" s="223" t="s">
        <v>2118</v>
      </c>
      <c r="F227" s="183" t="s">
        <v>4783</v>
      </c>
      <c r="G227" s="125">
        <v>1.5497068032922861</v>
      </c>
      <c r="H227" s="121" t="s">
        <v>1336</v>
      </c>
      <c r="I227" s="122">
        <v>57.86486486486487</v>
      </c>
      <c r="J227" s="106" t="s">
        <v>4656</v>
      </c>
      <c r="K227" s="118">
        <v>525</v>
      </c>
      <c r="L227" s="46">
        <v>1.82</v>
      </c>
      <c r="M227" s="41">
        <v>955.5</v>
      </c>
      <c r="N227" s="44">
        <v>14.01244</v>
      </c>
      <c r="O227" s="41">
        <v>476</v>
      </c>
      <c r="P227" s="41">
        <v>5</v>
      </c>
      <c r="Q227" s="41">
        <v>37.19</v>
      </c>
      <c r="R227" s="45" t="s">
        <v>1307</v>
      </c>
      <c r="S227" s="45" t="s">
        <v>1307</v>
      </c>
      <c r="T227" s="45" t="s">
        <v>1307</v>
      </c>
      <c r="U227" s="44">
        <v>84.418999999999997</v>
      </c>
      <c r="V227" s="44">
        <v>111.85899999999999</v>
      </c>
      <c r="W227" s="44">
        <v>14.568115000000002</v>
      </c>
      <c r="X227" s="44">
        <v>9.400562073451999</v>
      </c>
      <c r="Y227" s="130" t="s">
        <v>4040</v>
      </c>
      <c r="Z227" s="224"/>
    </row>
    <row r="228" spans="2:26" ht="15" customHeight="1" x14ac:dyDescent="0.35">
      <c r="B228" s="181">
        <v>51015</v>
      </c>
      <c r="C228" s="182" t="s">
        <v>499</v>
      </c>
      <c r="D228" s="222">
        <v>4</v>
      </c>
      <c r="E228" s="223" t="s">
        <v>2120</v>
      </c>
      <c r="F228" s="183" t="s">
        <v>2121</v>
      </c>
      <c r="G228" s="125">
        <v>1.1405801851939785</v>
      </c>
      <c r="H228" s="121" t="s">
        <v>1325</v>
      </c>
      <c r="I228" s="122">
        <v>63.771929824561425</v>
      </c>
      <c r="J228" s="106" t="s">
        <v>4656</v>
      </c>
      <c r="K228" s="118">
        <v>3841</v>
      </c>
      <c r="L228" s="46">
        <v>1.9289340101522843</v>
      </c>
      <c r="M228" s="41">
        <v>7409.0355329949243</v>
      </c>
      <c r="N228" s="44">
        <v>100.35</v>
      </c>
      <c r="O228" s="41">
        <v>3592</v>
      </c>
      <c r="P228" s="41">
        <v>7</v>
      </c>
      <c r="Q228" s="41">
        <v>49.92</v>
      </c>
      <c r="R228" s="45" t="s">
        <v>1307</v>
      </c>
      <c r="S228" s="45" t="s">
        <v>1307</v>
      </c>
      <c r="T228" s="45" t="s">
        <v>1324</v>
      </c>
      <c r="U228" s="44">
        <v>515.07809999999995</v>
      </c>
      <c r="V228" s="44">
        <v>1431.0060000000001</v>
      </c>
      <c r="W228" s="44">
        <v>110.32275163265324</v>
      </c>
      <c r="X228" s="44">
        <v>96.725116800000023</v>
      </c>
      <c r="Y228" s="130" t="s">
        <v>4041</v>
      </c>
      <c r="Z228" s="224"/>
    </row>
    <row r="229" spans="2:26" ht="15" customHeight="1" x14ac:dyDescent="0.35">
      <c r="B229" s="181">
        <v>32065</v>
      </c>
      <c r="C229" s="182" t="s">
        <v>263</v>
      </c>
      <c r="D229" s="222">
        <v>17</v>
      </c>
      <c r="E229" s="223" t="s">
        <v>2126</v>
      </c>
      <c r="F229" s="183" t="s">
        <v>2127</v>
      </c>
      <c r="G229" s="125">
        <v>1.4330290832654864</v>
      </c>
      <c r="H229" s="121" t="s">
        <v>1336</v>
      </c>
      <c r="I229" s="122">
        <v>62.470588235294123</v>
      </c>
      <c r="J229" s="106" t="s">
        <v>4656</v>
      </c>
      <c r="K229" s="118">
        <v>543</v>
      </c>
      <c r="L229" s="46">
        <v>2.1316489361702127</v>
      </c>
      <c r="M229" s="41">
        <v>1157.4853723404256</v>
      </c>
      <c r="N229" s="44">
        <v>12.723000000000001</v>
      </c>
      <c r="O229" s="41">
        <v>509</v>
      </c>
      <c r="P229" s="41">
        <v>5</v>
      </c>
      <c r="Q229" s="41">
        <v>45.5</v>
      </c>
      <c r="R229" s="45" t="s">
        <v>1307</v>
      </c>
      <c r="S229" s="45" t="s">
        <v>1307</v>
      </c>
      <c r="T229" s="45" t="s">
        <v>1307</v>
      </c>
      <c r="U229" s="44">
        <v>75.435000000000002</v>
      </c>
      <c r="V229" s="44">
        <v>98.594999999999999</v>
      </c>
      <c r="W229" s="44">
        <v>16.655489706321543</v>
      </c>
      <c r="X229" s="44">
        <v>11.6225761925</v>
      </c>
      <c r="Y229" s="130" t="s">
        <v>4042</v>
      </c>
      <c r="Z229" s="224"/>
    </row>
    <row r="230" spans="2:26" ht="15" customHeight="1" x14ac:dyDescent="0.35">
      <c r="B230" s="181">
        <v>87058</v>
      </c>
      <c r="C230" s="182" t="s">
        <v>899</v>
      </c>
      <c r="D230" s="222">
        <v>8</v>
      </c>
      <c r="E230" s="223" t="s">
        <v>2130</v>
      </c>
      <c r="F230" s="183" t="s">
        <v>2131</v>
      </c>
      <c r="G230" s="125">
        <v>3.1561922299658893</v>
      </c>
      <c r="H230" s="121" t="s">
        <v>1325</v>
      </c>
      <c r="I230" s="122">
        <v>59</v>
      </c>
      <c r="J230" s="106" t="s">
        <v>4656</v>
      </c>
      <c r="K230" s="118">
        <v>592</v>
      </c>
      <c r="L230" s="46">
        <v>2.4533333333333331</v>
      </c>
      <c r="M230" s="41">
        <v>1452.3733333333332</v>
      </c>
      <c r="N230" s="44">
        <v>18.13</v>
      </c>
      <c r="O230" s="41">
        <v>689</v>
      </c>
      <c r="P230" s="41">
        <v>10</v>
      </c>
      <c r="Q230" s="41">
        <v>52</v>
      </c>
      <c r="R230" s="45" t="s">
        <v>1307</v>
      </c>
      <c r="S230" s="45" t="s">
        <v>1307</v>
      </c>
      <c r="T230" s="45" t="s">
        <v>1324</v>
      </c>
      <c r="U230" s="44">
        <v>151.13999999999999</v>
      </c>
      <c r="V230" s="44">
        <v>220.655</v>
      </c>
      <c r="W230" s="44">
        <v>62.887175000000006</v>
      </c>
      <c r="X230" s="44">
        <v>19.9250142</v>
      </c>
      <c r="Y230" s="130" t="s">
        <v>4043</v>
      </c>
      <c r="Z230" s="224"/>
    </row>
    <row r="231" spans="2:26" ht="15" customHeight="1" x14ac:dyDescent="0.35">
      <c r="B231" s="181">
        <v>45072</v>
      </c>
      <c r="C231" s="182" t="s">
        <v>419</v>
      </c>
      <c r="D231" s="222">
        <v>5</v>
      </c>
      <c r="E231" s="223" t="s">
        <v>2133</v>
      </c>
      <c r="F231" s="183" t="s">
        <v>2134</v>
      </c>
      <c r="G231" s="125">
        <v>2.833539604404872</v>
      </c>
      <c r="H231" s="121" t="s">
        <v>1373</v>
      </c>
      <c r="I231" s="122">
        <v>62</v>
      </c>
      <c r="J231" s="106" t="s">
        <v>4656</v>
      </c>
      <c r="K231" s="118">
        <v>11862</v>
      </c>
      <c r="L231" s="46">
        <v>1.99</v>
      </c>
      <c r="M231" s="41">
        <v>23605.38</v>
      </c>
      <c r="N231" s="44">
        <v>165.56</v>
      </c>
      <c r="O231" s="41">
        <v>8139</v>
      </c>
      <c r="P231" s="41">
        <v>12</v>
      </c>
      <c r="Q231" s="41">
        <v>49</v>
      </c>
      <c r="R231" s="45" t="s">
        <v>1307</v>
      </c>
      <c r="S231" s="45" t="s">
        <v>1307</v>
      </c>
      <c r="T231" s="45" t="s">
        <v>1307</v>
      </c>
      <c r="U231" s="44">
        <v>2476.9177151787185</v>
      </c>
      <c r="V231" s="44">
        <v>3603.6210000000001</v>
      </c>
      <c r="W231" s="44">
        <v>604.73783999999682</v>
      </c>
      <c r="X231" s="44">
        <v>213.42134730000001</v>
      </c>
      <c r="Y231" s="130" t="s">
        <v>4044</v>
      </c>
      <c r="Z231" s="224" t="s">
        <v>3762</v>
      </c>
    </row>
    <row r="232" spans="2:26" ht="15" customHeight="1" x14ac:dyDescent="0.35">
      <c r="B232" s="181">
        <v>52095</v>
      </c>
      <c r="C232" s="182" t="s">
        <v>529</v>
      </c>
      <c r="D232" s="222">
        <v>14</v>
      </c>
      <c r="E232" s="223" t="s">
        <v>2020</v>
      </c>
      <c r="F232" s="183" t="s">
        <v>2137</v>
      </c>
      <c r="G232" s="125">
        <v>1.9143476153045011</v>
      </c>
      <c r="H232" s="121" t="s">
        <v>1336</v>
      </c>
      <c r="I232" s="122">
        <v>44.729729729729726</v>
      </c>
      <c r="J232" s="106" t="s">
        <v>4656</v>
      </c>
      <c r="K232" s="118">
        <v>427</v>
      </c>
      <c r="L232" s="46">
        <v>1.97</v>
      </c>
      <c r="M232" s="41">
        <v>841.18999999999994</v>
      </c>
      <c r="N232" s="44">
        <v>17.773</v>
      </c>
      <c r="O232" s="41">
        <v>442</v>
      </c>
      <c r="P232" s="41">
        <v>3</v>
      </c>
      <c r="Q232" s="41">
        <v>46.4</v>
      </c>
      <c r="R232" s="45" t="s">
        <v>1307</v>
      </c>
      <c r="S232" s="45" t="s">
        <v>1307</v>
      </c>
      <c r="T232" s="45" t="s">
        <v>1307</v>
      </c>
      <c r="U232" s="44">
        <v>61.361150000000002</v>
      </c>
      <c r="V232" s="44">
        <v>87.597999999999999</v>
      </c>
      <c r="W232" s="44">
        <v>22.911030000000004</v>
      </c>
      <c r="X232" s="44">
        <v>11.968061504000001</v>
      </c>
      <c r="Y232" s="130" t="s">
        <v>4045</v>
      </c>
      <c r="Z232" s="224"/>
    </row>
    <row r="233" spans="2:26" ht="15" customHeight="1" x14ac:dyDescent="0.35">
      <c r="B233" s="181">
        <v>83065</v>
      </c>
      <c r="C233" s="182" t="s">
        <v>845</v>
      </c>
      <c r="D233" s="222">
        <v>7</v>
      </c>
      <c r="E233" s="223" t="s">
        <v>2139</v>
      </c>
      <c r="F233" s="183" t="s">
        <v>2140</v>
      </c>
      <c r="G233" s="125">
        <v>0.59160206901300672</v>
      </c>
      <c r="H233" s="121" t="s">
        <v>1336</v>
      </c>
      <c r="I233" s="122">
        <v>57.057697945429702</v>
      </c>
      <c r="J233" s="106" t="s">
        <v>4656</v>
      </c>
      <c r="K233" s="118">
        <v>2131</v>
      </c>
      <c r="L233" s="46">
        <v>1.825261158594492</v>
      </c>
      <c r="M233" s="41">
        <v>3889.6315289648624</v>
      </c>
      <c r="N233" s="44">
        <v>37.436</v>
      </c>
      <c r="O233" s="41">
        <v>2318</v>
      </c>
      <c r="P233" s="41">
        <v>10</v>
      </c>
      <c r="Q233" s="41">
        <v>56</v>
      </c>
      <c r="R233" s="45" t="s">
        <v>1307</v>
      </c>
      <c r="S233" s="45" t="s">
        <v>1307</v>
      </c>
      <c r="T233" s="45" t="s">
        <v>1307</v>
      </c>
      <c r="U233" s="44">
        <v>240.24</v>
      </c>
      <c r="V233" s="44">
        <v>780.67499999999995</v>
      </c>
      <c r="W233" s="44">
        <v>37.57996499999993</v>
      </c>
      <c r="X233" s="44">
        <v>63.522369120000008</v>
      </c>
      <c r="Y233" s="130" t="s">
        <v>4046</v>
      </c>
      <c r="Z233" s="224"/>
    </row>
    <row r="234" spans="2:26" ht="15" customHeight="1" x14ac:dyDescent="0.35">
      <c r="B234" s="181">
        <v>6005</v>
      </c>
      <c r="C234" s="182" t="s">
        <v>1057</v>
      </c>
      <c r="D234" s="222">
        <v>11</v>
      </c>
      <c r="E234" s="223" t="s">
        <v>2142</v>
      </c>
      <c r="F234" s="183" t="s">
        <v>2143</v>
      </c>
      <c r="G234" s="125">
        <v>4.5201387207498067</v>
      </c>
      <c r="H234" s="121" t="s">
        <v>1336</v>
      </c>
      <c r="I234" s="122">
        <v>56.098039215686271</v>
      </c>
      <c r="J234" s="106" t="s">
        <v>4656</v>
      </c>
      <c r="K234" s="118">
        <v>1163</v>
      </c>
      <c r="L234" s="46">
        <v>2.3658969804618115</v>
      </c>
      <c r="M234" s="41">
        <v>2751.5381882770866</v>
      </c>
      <c r="N234" s="44">
        <v>25.215</v>
      </c>
      <c r="O234" s="41">
        <v>823</v>
      </c>
      <c r="P234" s="41">
        <v>9</v>
      </c>
      <c r="Q234" s="41">
        <v>56</v>
      </c>
      <c r="R234" s="45" t="s">
        <v>1307</v>
      </c>
      <c r="S234" s="45" t="s">
        <v>1307</v>
      </c>
      <c r="T234" s="45" t="s">
        <v>1307</v>
      </c>
      <c r="U234" s="44">
        <v>228.13896880131364</v>
      </c>
      <c r="V234" s="44">
        <v>461.05500000000001</v>
      </c>
      <c r="W234" s="44">
        <v>119.87306545918369</v>
      </c>
      <c r="X234" s="44">
        <v>26.519775800000001</v>
      </c>
      <c r="Y234" s="130" t="s">
        <v>4047</v>
      </c>
      <c r="Z234" s="224" t="s">
        <v>3762</v>
      </c>
    </row>
    <row r="235" spans="2:26" ht="15" customHeight="1" x14ac:dyDescent="0.35">
      <c r="B235" s="181">
        <v>55048</v>
      </c>
      <c r="C235" s="182" t="s">
        <v>564</v>
      </c>
      <c r="D235" s="222">
        <v>16</v>
      </c>
      <c r="E235" s="223" t="s">
        <v>2147</v>
      </c>
      <c r="F235" s="183" t="s">
        <v>2148</v>
      </c>
      <c r="G235" s="125">
        <v>1.2674612071993165</v>
      </c>
      <c r="H235" s="121" t="s">
        <v>1325</v>
      </c>
      <c r="I235" s="122">
        <v>56.607843137254903</v>
      </c>
      <c r="J235" s="106" t="s">
        <v>4656</v>
      </c>
      <c r="K235" s="118">
        <v>4141</v>
      </c>
      <c r="L235" s="46">
        <v>2.4208451937814757</v>
      </c>
      <c r="M235" s="41">
        <v>10024.71994744909</v>
      </c>
      <c r="N235" s="44">
        <v>56.7</v>
      </c>
      <c r="O235" s="41">
        <v>2970</v>
      </c>
      <c r="P235" s="41">
        <v>4</v>
      </c>
      <c r="Q235" s="41">
        <v>42</v>
      </c>
      <c r="R235" s="45" t="s">
        <v>1324</v>
      </c>
      <c r="S235" s="45" t="s">
        <v>1324</v>
      </c>
      <c r="T235" s="45" t="s">
        <v>1307</v>
      </c>
      <c r="U235" s="44">
        <v>1014.3344738708915</v>
      </c>
      <c r="V235" s="44">
        <v>1423.6089999999999</v>
      </c>
      <c r="W235" s="44">
        <v>71.767313979591677</v>
      </c>
      <c r="X235" s="44">
        <v>56.622887999999989</v>
      </c>
      <c r="Y235" s="130" t="s">
        <v>4048</v>
      </c>
      <c r="Z235" s="224"/>
    </row>
    <row r="236" spans="2:26" ht="15" customHeight="1" x14ac:dyDescent="0.35">
      <c r="B236" s="181">
        <v>4025</v>
      </c>
      <c r="C236" s="182" t="s">
        <v>1040</v>
      </c>
      <c r="D236" s="222">
        <v>11</v>
      </c>
      <c r="E236" s="223" t="s">
        <v>2149</v>
      </c>
      <c r="F236" s="183" t="s">
        <v>2150</v>
      </c>
      <c r="G236" s="125">
        <v>5.7496965304558163</v>
      </c>
      <c r="H236" s="121" t="s">
        <v>1336</v>
      </c>
      <c r="I236" s="122">
        <v>59.081081081081081</v>
      </c>
      <c r="J236" s="106" t="s">
        <v>4656</v>
      </c>
      <c r="K236" s="118">
        <v>148</v>
      </c>
      <c r="L236" s="46">
        <v>1.53</v>
      </c>
      <c r="M236" s="41">
        <v>226.44</v>
      </c>
      <c r="N236" s="44">
        <v>5.86</v>
      </c>
      <c r="O236" s="41">
        <v>162</v>
      </c>
      <c r="P236" s="41">
        <v>10</v>
      </c>
      <c r="Q236" s="41">
        <v>55</v>
      </c>
      <c r="R236" s="45" t="s">
        <v>1307</v>
      </c>
      <c r="S236" s="45" t="s">
        <v>1307</v>
      </c>
      <c r="T236" s="45" t="s">
        <v>1307</v>
      </c>
      <c r="U236" s="44">
        <v>27.640370370370366</v>
      </c>
      <c r="V236" s="44">
        <v>63.009</v>
      </c>
      <c r="W236" s="44">
        <v>31.808865000000001</v>
      </c>
      <c r="X236" s="44">
        <v>5.5322684999999998</v>
      </c>
      <c r="Y236" s="130" t="s">
        <v>4049</v>
      </c>
      <c r="Z236" s="224" t="s">
        <v>3766</v>
      </c>
    </row>
    <row r="237" spans="2:26" ht="15" customHeight="1" x14ac:dyDescent="0.35">
      <c r="B237" s="181">
        <v>44060</v>
      </c>
      <c r="C237" s="182" t="s">
        <v>407</v>
      </c>
      <c r="D237" s="222">
        <v>5</v>
      </c>
      <c r="E237" s="223" t="s">
        <v>2153</v>
      </c>
      <c r="F237" s="183" t="s">
        <v>2154</v>
      </c>
      <c r="G237" s="125">
        <v>0.88753992627127676</v>
      </c>
      <c r="H237" s="121" t="s">
        <v>1336</v>
      </c>
      <c r="I237" s="122">
        <v>59.432432432432449</v>
      </c>
      <c r="J237" s="106" t="s">
        <v>4656</v>
      </c>
      <c r="K237" s="118">
        <v>113</v>
      </c>
      <c r="L237" s="46">
        <v>2.21</v>
      </c>
      <c r="M237" s="41">
        <v>249.73</v>
      </c>
      <c r="N237" s="44">
        <v>2.556</v>
      </c>
      <c r="O237" s="41">
        <v>98</v>
      </c>
      <c r="P237" s="41">
        <v>10</v>
      </c>
      <c r="Q237" s="41">
        <v>43.4</v>
      </c>
      <c r="R237" s="45" t="s">
        <v>1307</v>
      </c>
      <c r="S237" s="45" t="s">
        <v>1307</v>
      </c>
      <c r="T237" s="45" t="s">
        <v>1307</v>
      </c>
      <c r="U237" s="44">
        <v>16.696661290322581</v>
      </c>
      <c r="V237" s="44">
        <v>20.673999999999999</v>
      </c>
      <c r="W237" s="44">
        <v>2.0935750000000013</v>
      </c>
      <c r="X237" s="44">
        <v>2.358851628</v>
      </c>
      <c r="Y237" s="130" t="s">
        <v>4050</v>
      </c>
      <c r="Z237" s="224"/>
    </row>
    <row r="238" spans="2:26" ht="15" customHeight="1" x14ac:dyDescent="0.35">
      <c r="B238" s="181">
        <v>64015</v>
      </c>
      <c r="C238" s="182" t="s">
        <v>645</v>
      </c>
      <c r="D238" s="222">
        <v>14</v>
      </c>
      <c r="E238" s="223" t="s">
        <v>2156</v>
      </c>
      <c r="F238" s="183" t="s">
        <v>2157</v>
      </c>
      <c r="G238" s="125">
        <v>3.7704960066224955</v>
      </c>
      <c r="H238" s="121" t="s">
        <v>1529</v>
      </c>
      <c r="I238" s="122">
        <v>64</v>
      </c>
      <c r="J238" s="106" t="s">
        <v>4656</v>
      </c>
      <c r="K238" s="118">
        <v>18940</v>
      </c>
      <c r="L238" s="46">
        <v>2.5566525871172123</v>
      </c>
      <c r="M238" s="41">
        <v>48423</v>
      </c>
      <c r="N238" s="44">
        <v>227.166</v>
      </c>
      <c r="O238" s="41">
        <v>15881</v>
      </c>
      <c r="P238" s="41">
        <v>9</v>
      </c>
      <c r="Q238" s="41">
        <v>47</v>
      </c>
      <c r="R238" s="45" t="s">
        <v>1307</v>
      </c>
      <c r="S238" s="45" t="s">
        <v>1307</v>
      </c>
      <c r="T238" s="45" t="s">
        <v>1324</v>
      </c>
      <c r="U238" s="44">
        <v>3684.5349999999999</v>
      </c>
      <c r="V238" s="44">
        <v>5231.7579999999998</v>
      </c>
      <c r="W238" s="44">
        <v>1317.3966299999995</v>
      </c>
      <c r="X238" s="44">
        <v>349.39610801499998</v>
      </c>
      <c r="Y238" s="130" t="s">
        <v>4051</v>
      </c>
      <c r="Z238" s="224"/>
    </row>
    <row r="239" spans="2:26" ht="15" customHeight="1" x14ac:dyDescent="0.35">
      <c r="B239" s="181">
        <v>51008</v>
      </c>
      <c r="C239" s="182" t="s">
        <v>498</v>
      </c>
      <c r="D239" s="222">
        <v>4</v>
      </c>
      <c r="E239" s="223" t="s">
        <v>2160</v>
      </c>
      <c r="F239" s="183" t="s">
        <v>2161</v>
      </c>
      <c r="G239" s="125">
        <v>1.445623657957714</v>
      </c>
      <c r="H239" s="121" t="s">
        <v>1336</v>
      </c>
      <c r="I239" s="122">
        <v>57</v>
      </c>
      <c r="J239" s="106" t="s">
        <v>4656</v>
      </c>
      <c r="K239" s="118">
        <v>1196</v>
      </c>
      <c r="L239" s="46">
        <v>1.9623745819398013</v>
      </c>
      <c r="M239" s="41">
        <v>2347.0000000000023</v>
      </c>
      <c r="N239" s="44">
        <v>53.15</v>
      </c>
      <c r="O239" s="41">
        <v>1009</v>
      </c>
      <c r="P239" s="41">
        <v>7.6</v>
      </c>
      <c r="Q239" s="41">
        <v>41.1</v>
      </c>
      <c r="R239" s="45" t="s">
        <v>1307</v>
      </c>
      <c r="S239" s="45" t="s">
        <v>1307</v>
      </c>
      <c r="T239" s="45" t="s">
        <v>1307</v>
      </c>
      <c r="U239" s="44">
        <v>266.50046511627903</v>
      </c>
      <c r="V239" s="44">
        <v>323.75099999999998</v>
      </c>
      <c r="W239" s="44">
        <v>42.410381840202888</v>
      </c>
      <c r="X239" s="44">
        <v>29.337083415000002</v>
      </c>
      <c r="Y239" s="130" t="s">
        <v>4052</v>
      </c>
      <c r="Z239" s="224"/>
    </row>
    <row r="240" spans="2:26" ht="15" customHeight="1" x14ac:dyDescent="0.35">
      <c r="B240" s="181">
        <v>8053</v>
      </c>
      <c r="C240" s="182" t="s">
        <v>1093</v>
      </c>
      <c r="D240" s="222">
        <v>1</v>
      </c>
      <c r="E240" s="223" t="s">
        <v>2164</v>
      </c>
      <c r="F240" s="183" t="s">
        <v>2165</v>
      </c>
      <c r="G240" s="125">
        <v>1.2315221162766306</v>
      </c>
      <c r="H240" s="121" t="s">
        <v>1373</v>
      </c>
      <c r="I240" s="122">
        <v>53.736842105263165</v>
      </c>
      <c r="J240" s="106" t="s">
        <v>4656</v>
      </c>
      <c r="K240" s="118">
        <v>4959</v>
      </c>
      <c r="L240" s="46">
        <v>1.9780280906688916</v>
      </c>
      <c r="M240" s="41">
        <v>9809.041301627034</v>
      </c>
      <c r="N240" s="44">
        <v>138.13</v>
      </c>
      <c r="O240" s="41">
        <v>5221</v>
      </c>
      <c r="P240" s="41">
        <v>11.2</v>
      </c>
      <c r="Q240" s="41">
        <v>52</v>
      </c>
      <c r="R240" s="45" t="s">
        <v>1307</v>
      </c>
      <c r="S240" s="45" t="s">
        <v>1307</v>
      </c>
      <c r="T240" s="45" t="s">
        <v>1307</v>
      </c>
      <c r="U240" s="44">
        <v>1239.6576321303842</v>
      </c>
      <c r="V240" s="44">
        <v>2321.48</v>
      </c>
      <c r="W240" s="44">
        <v>189.91657184210527</v>
      </c>
      <c r="X240" s="44">
        <v>154.21287960000004</v>
      </c>
      <c r="Y240" s="130" t="s">
        <v>4053</v>
      </c>
      <c r="Z240" s="224"/>
    </row>
    <row r="241" spans="2:26" ht="15" customHeight="1" x14ac:dyDescent="0.35">
      <c r="B241" s="181">
        <v>42075</v>
      </c>
      <c r="C241" s="182" t="s">
        <v>390</v>
      </c>
      <c r="D241" s="222">
        <v>5</v>
      </c>
      <c r="E241" s="223" t="s">
        <v>2168</v>
      </c>
      <c r="F241" s="183" t="s">
        <v>2169</v>
      </c>
      <c r="G241" s="125">
        <v>0.50111242612325413</v>
      </c>
      <c r="H241" s="121" t="s">
        <v>1336</v>
      </c>
      <c r="I241" s="122">
        <v>64.254901960784309</v>
      </c>
      <c r="J241" s="106" t="s">
        <v>4656</v>
      </c>
      <c r="K241" s="118">
        <v>36</v>
      </c>
      <c r="L241" s="46">
        <v>2.3159041394335511</v>
      </c>
      <c r="M241" s="41">
        <v>83.372549019607845</v>
      </c>
      <c r="N241" s="44">
        <v>3.113</v>
      </c>
      <c r="O241" s="41">
        <v>39</v>
      </c>
      <c r="P241" s="41">
        <v>5</v>
      </c>
      <c r="Q241" s="41">
        <v>67.622500000000002</v>
      </c>
      <c r="R241" s="45" t="s">
        <v>1307</v>
      </c>
      <c r="S241" s="45" t="s">
        <v>1307</v>
      </c>
      <c r="T241" s="45" t="s">
        <v>1307</v>
      </c>
      <c r="U241" s="44">
        <v>6.0157894736842108</v>
      </c>
      <c r="V241" s="44">
        <v>10.53495</v>
      </c>
      <c r="W241" s="44">
        <v>1.1392560051020415</v>
      </c>
      <c r="X241" s="44">
        <v>2.2734539111625001</v>
      </c>
      <c r="Y241" s="130" t="s">
        <v>4054</v>
      </c>
      <c r="Z241" s="224"/>
    </row>
    <row r="242" spans="2:26" ht="15" customHeight="1" x14ac:dyDescent="0.35">
      <c r="B242" s="181">
        <v>67045</v>
      </c>
      <c r="C242" s="182" t="s">
        <v>670</v>
      </c>
      <c r="D242" s="222">
        <v>16</v>
      </c>
      <c r="E242" s="223" t="s">
        <v>2172</v>
      </c>
      <c r="F242" s="183" t="s">
        <v>2173</v>
      </c>
      <c r="G242" s="125">
        <v>5.3894802393191599</v>
      </c>
      <c r="H242" s="121" t="s">
        <v>1373</v>
      </c>
      <c r="I242" s="122">
        <v>63.429824561403521</v>
      </c>
      <c r="J242" s="106" t="s">
        <v>4656</v>
      </c>
      <c r="K242" s="118">
        <v>4974</v>
      </c>
      <c r="L242" s="46">
        <v>2.7174975562072334</v>
      </c>
      <c r="M242" s="41">
        <v>13516.832844574779</v>
      </c>
      <c r="N242" s="44">
        <v>75.084999999999994</v>
      </c>
      <c r="O242" s="41">
        <v>5269</v>
      </c>
      <c r="P242" s="41">
        <v>12</v>
      </c>
      <c r="Q242" s="41">
        <v>37.96</v>
      </c>
      <c r="R242" s="45" t="s">
        <v>1307</v>
      </c>
      <c r="S242" s="45" t="s">
        <v>1307</v>
      </c>
      <c r="T242" s="45" t="s">
        <v>1307</v>
      </c>
      <c r="U242" s="44">
        <v>1322.2329999999999</v>
      </c>
      <c r="V242" s="44">
        <v>1980.4840000000002</v>
      </c>
      <c r="W242" s="44">
        <v>533.72293158163291</v>
      </c>
      <c r="X242" s="44">
        <v>99.030501621999974</v>
      </c>
      <c r="Y242" s="130" t="s">
        <v>4055</v>
      </c>
      <c r="Z242" s="224"/>
    </row>
    <row r="243" spans="2:26" ht="15" customHeight="1" x14ac:dyDescent="0.35">
      <c r="B243" s="181">
        <v>93012</v>
      </c>
      <c r="C243" s="182" t="s">
        <v>959</v>
      </c>
      <c r="D243" s="222">
        <v>2</v>
      </c>
      <c r="E243" s="223" t="s">
        <v>2175</v>
      </c>
      <c r="F243" s="183" t="s">
        <v>2176</v>
      </c>
      <c r="G243" s="125">
        <v>2.504491206899929</v>
      </c>
      <c r="H243" s="121" t="s">
        <v>1325</v>
      </c>
      <c r="I243" s="122">
        <v>58.72972972972974</v>
      </c>
      <c r="J243" s="106" t="s">
        <v>4656</v>
      </c>
      <c r="K243" s="118">
        <v>1300</v>
      </c>
      <c r="L243" s="46">
        <v>2.1198057204533187</v>
      </c>
      <c r="M243" s="41">
        <v>2755.7474365893145</v>
      </c>
      <c r="N243" s="44">
        <v>47.03</v>
      </c>
      <c r="O243" s="41">
        <v>1698</v>
      </c>
      <c r="P243" s="41">
        <v>5</v>
      </c>
      <c r="Q243" s="41">
        <v>45.5</v>
      </c>
      <c r="R243" s="45" t="s">
        <v>1324</v>
      </c>
      <c r="S243" s="45" t="s">
        <v>1307</v>
      </c>
      <c r="T243" s="45" t="s">
        <v>1307</v>
      </c>
      <c r="U243" s="44">
        <v>280.44099999999997</v>
      </c>
      <c r="V243" s="44">
        <v>473.29037700000009</v>
      </c>
      <c r="W243" s="44">
        <v>100.53899999999996</v>
      </c>
      <c r="X243" s="44">
        <v>40.143482925000008</v>
      </c>
      <c r="Y243" s="130" t="s">
        <v>4056</v>
      </c>
      <c r="Z243" s="224"/>
    </row>
    <row r="244" spans="2:26" ht="15" customHeight="1" x14ac:dyDescent="0.35">
      <c r="B244" s="181">
        <v>93012</v>
      </c>
      <c r="C244" s="182" t="s">
        <v>959</v>
      </c>
      <c r="D244" s="222">
        <v>2</v>
      </c>
      <c r="E244" s="223" t="s">
        <v>2177</v>
      </c>
      <c r="F244" s="183" t="s">
        <v>2178</v>
      </c>
      <c r="G244" s="125">
        <v>3.9564575191996147</v>
      </c>
      <c r="H244" s="121" t="s">
        <v>1336</v>
      </c>
      <c r="I244" s="122">
        <v>43.5</v>
      </c>
      <c r="J244" s="106" t="s">
        <v>4656</v>
      </c>
      <c r="K244" s="118"/>
      <c r="L244" s="46"/>
      <c r="M244" s="41"/>
      <c r="N244" s="44"/>
      <c r="O244" s="41"/>
      <c r="P244" s="41"/>
      <c r="Q244" s="41"/>
      <c r="R244" s="45"/>
      <c r="S244" s="45"/>
      <c r="T244" s="45"/>
      <c r="U244" s="44"/>
      <c r="V244" s="44"/>
      <c r="W244" s="44" t="s">
        <v>1124</v>
      </c>
      <c r="X244" s="44"/>
      <c r="Y244" s="130" t="s">
        <v>4582</v>
      </c>
      <c r="Z244" s="224"/>
    </row>
    <row r="245" spans="2:26" ht="15" customHeight="1" x14ac:dyDescent="0.35">
      <c r="B245" s="181">
        <v>9048</v>
      </c>
      <c r="C245" s="182" t="s">
        <v>1105</v>
      </c>
      <c r="D245" s="222">
        <v>1</v>
      </c>
      <c r="E245" s="223" t="s">
        <v>2181</v>
      </c>
      <c r="F245" s="183" t="s">
        <v>2182</v>
      </c>
      <c r="G245" s="125">
        <v>6.6019102514935639</v>
      </c>
      <c r="H245" s="121" t="s">
        <v>1336</v>
      </c>
      <c r="I245" s="122">
        <v>61.035087719298261</v>
      </c>
      <c r="J245" s="106" t="s">
        <v>4656</v>
      </c>
      <c r="K245" s="118">
        <v>184</v>
      </c>
      <c r="L245" s="46">
        <v>1.95</v>
      </c>
      <c r="M245" s="41">
        <v>358.8</v>
      </c>
      <c r="N245" s="44">
        <v>12.590999999999999</v>
      </c>
      <c r="O245" s="41">
        <v>368</v>
      </c>
      <c r="P245" s="41">
        <v>15</v>
      </c>
      <c r="Q245" s="41">
        <v>56</v>
      </c>
      <c r="R245" s="45" t="s">
        <v>1307</v>
      </c>
      <c r="S245" s="45" t="s">
        <v>1307</v>
      </c>
      <c r="T245" s="45" t="s">
        <v>1307</v>
      </c>
      <c r="U245" s="44">
        <v>29.863199999999999</v>
      </c>
      <c r="V245" s="44">
        <v>141.24700000000001</v>
      </c>
      <c r="W245" s="44">
        <v>88.932594846938784</v>
      </c>
      <c r="X245" s="44">
        <v>13.47073672</v>
      </c>
      <c r="Y245" s="130" t="s">
        <v>4057</v>
      </c>
      <c r="Z245" s="224" t="s">
        <v>4058</v>
      </c>
    </row>
    <row r="246" spans="2:26" ht="15" customHeight="1" x14ac:dyDescent="0.35">
      <c r="B246" s="181">
        <v>74005</v>
      </c>
      <c r="C246" s="182" t="s">
        <v>741</v>
      </c>
      <c r="D246" s="222">
        <v>15</v>
      </c>
      <c r="E246" s="223" t="s">
        <v>2186</v>
      </c>
      <c r="F246" s="183" t="s">
        <v>2187</v>
      </c>
      <c r="G246" s="125">
        <v>8.5048971693965978</v>
      </c>
      <c r="H246" s="121" t="s">
        <v>1325</v>
      </c>
      <c r="I246" s="122">
        <v>59.029411764705877</v>
      </c>
      <c r="J246" s="106" t="s">
        <v>4656</v>
      </c>
      <c r="K246" s="118">
        <v>549</v>
      </c>
      <c r="L246" s="46">
        <v>2.5721097657893508</v>
      </c>
      <c r="M246" s="41">
        <v>1412.0882614183536</v>
      </c>
      <c r="N246" s="44">
        <v>17.146000000000001</v>
      </c>
      <c r="O246" s="41">
        <v>629</v>
      </c>
      <c r="P246" s="41">
        <v>12</v>
      </c>
      <c r="Q246" s="41">
        <v>29.4</v>
      </c>
      <c r="R246" s="45" t="s">
        <v>1324</v>
      </c>
      <c r="S246" s="45" t="s">
        <v>1307</v>
      </c>
      <c r="T246" s="45" t="s">
        <v>1324</v>
      </c>
      <c r="U246" s="44">
        <v>67.937167214437977</v>
      </c>
      <c r="V246" s="44">
        <v>196.53299999999999</v>
      </c>
      <c r="W246" s="44">
        <v>91.314239999999984</v>
      </c>
      <c r="X246" s="44">
        <v>10.736665968000001</v>
      </c>
      <c r="Y246" s="130" t="s">
        <v>4059</v>
      </c>
      <c r="Z246" s="224" t="s">
        <v>4060</v>
      </c>
    </row>
    <row r="247" spans="2:26" ht="15" customHeight="1" x14ac:dyDescent="0.35">
      <c r="B247" s="181">
        <v>74005</v>
      </c>
      <c r="C247" s="182" t="s">
        <v>741</v>
      </c>
      <c r="D247" s="222">
        <v>15</v>
      </c>
      <c r="E247" s="223" t="s">
        <v>2188</v>
      </c>
      <c r="F247" s="183" t="s">
        <v>2189</v>
      </c>
      <c r="G247" s="125">
        <v>0.67215457706146153</v>
      </c>
      <c r="H247" s="121" t="s">
        <v>1441</v>
      </c>
      <c r="I247" s="122">
        <v>59.235520519622206</v>
      </c>
      <c r="J247" s="106" t="s">
        <v>4656</v>
      </c>
      <c r="K247" s="118">
        <v>6321</v>
      </c>
      <c r="L247" s="46">
        <v>2.5721097657893508</v>
      </c>
      <c r="M247" s="41">
        <v>16258.305829554487</v>
      </c>
      <c r="N247" s="44">
        <v>73.891000000000005</v>
      </c>
      <c r="O247" s="41">
        <v>6533</v>
      </c>
      <c r="P247" s="41">
        <v>12</v>
      </c>
      <c r="Q247" s="41">
        <v>40.599999999999994</v>
      </c>
      <c r="R247" s="45" t="s">
        <v>1324</v>
      </c>
      <c r="S247" s="45" t="s">
        <v>1307</v>
      </c>
      <c r="T247" s="45" t="s">
        <v>1324</v>
      </c>
      <c r="U247" s="44">
        <v>954.83953408934701</v>
      </c>
      <c r="V247" s="44">
        <v>1664.92</v>
      </c>
      <c r="W247" s="44">
        <v>84.828335999999837</v>
      </c>
      <c r="X247" s="44">
        <v>126.20361282199998</v>
      </c>
      <c r="Y247" s="130" t="s">
        <v>4061</v>
      </c>
      <c r="Z247" s="224"/>
    </row>
    <row r="248" spans="2:26" ht="15" customHeight="1" x14ac:dyDescent="0.35">
      <c r="B248" s="181">
        <v>74005</v>
      </c>
      <c r="C248" s="182" t="s">
        <v>741</v>
      </c>
      <c r="D248" s="222">
        <v>15</v>
      </c>
      <c r="E248" s="223" t="s">
        <v>2190</v>
      </c>
      <c r="F248" s="183" t="s">
        <v>2191</v>
      </c>
      <c r="G248" s="125">
        <v>0.81171340355760135</v>
      </c>
      <c r="H248" s="121" t="s">
        <v>1336</v>
      </c>
      <c r="I248" s="122">
        <v>59.029411764705877</v>
      </c>
      <c r="J248" s="106" t="s">
        <v>4656</v>
      </c>
      <c r="K248" s="118">
        <v>395</v>
      </c>
      <c r="L248" s="46">
        <v>2.5721097657893508</v>
      </c>
      <c r="M248" s="41">
        <v>1015.9833574867936</v>
      </c>
      <c r="N248" s="44">
        <v>4.601</v>
      </c>
      <c r="O248" s="41">
        <v>407</v>
      </c>
      <c r="P248" s="41">
        <v>12</v>
      </c>
      <c r="Q248" s="41">
        <v>35</v>
      </c>
      <c r="R248" s="45" t="s">
        <v>1307</v>
      </c>
      <c r="S248" s="45" t="s">
        <v>1307</v>
      </c>
      <c r="T248" s="45" t="s">
        <v>1307</v>
      </c>
      <c r="U248" s="44">
        <v>72.533843451524135</v>
      </c>
      <c r="V248" s="44">
        <v>80.37</v>
      </c>
      <c r="W248" s="44">
        <v>5.5012800000000013</v>
      </c>
      <c r="X248" s="44">
        <v>6.7773674499999998</v>
      </c>
      <c r="Y248" s="130" t="s">
        <v>4062</v>
      </c>
      <c r="Z248" s="224"/>
    </row>
    <row r="249" spans="2:26" ht="15" customHeight="1" x14ac:dyDescent="0.35">
      <c r="B249" s="181">
        <v>74005</v>
      </c>
      <c r="C249" s="182" t="s">
        <v>741</v>
      </c>
      <c r="D249" s="222">
        <v>15</v>
      </c>
      <c r="E249" s="223" t="s">
        <v>2192</v>
      </c>
      <c r="F249" s="183" t="s">
        <v>2193</v>
      </c>
      <c r="G249" s="125">
        <v>2.4352018701940934</v>
      </c>
      <c r="H249" s="121" t="s">
        <v>1325</v>
      </c>
      <c r="I249" s="122">
        <v>63</v>
      </c>
      <c r="J249" s="106" t="s">
        <v>4656</v>
      </c>
      <c r="K249" s="118">
        <v>4202</v>
      </c>
      <c r="L249" s="46">
        <v>2.5721097657893508</v>
      </c>
      <c r="M249" s="41">
        <v>10808.005235846853</v>
      </c>
      <c r="N249" s="44">
        <v>39.564999999999998</v>
      </c>
      <c r="O249" s="41">
        <v>3088</v>
      </c>
      <c r="P249" s="41">
        <v>12</v>
      </c>
      <c r="Q249" s="41">
        <v>42</v>
      </c>
      <c r="R249" s="45" t="s">
        <v>1324</v>
      </c>
      <c r="S249" s="45" t="s">
        <v>1307</v>
      </c>
      <c r="T249" s="45" t="s">
        <v>1324</v>
      </c>
      <c r="U249" s="44">
        <v>609.60082417667684</v>
      </c>
      <c r="V249" s="44">
        <v>846.37599999999998</v>
      </c>
      <c r="W249" s="44">
        <v>153.39460799999995</v>
      </c>
      <c r="X249" s="44">
        <v>62.990510100000009</v>
      </c>
      <c r="Y249" s="130" t="s">
        <v>4063</v>
      </c>
      <c r="Z249" s="224"/>
    </row>
    <row r="250" spans="2:26" ht="15" customHeight="1" x14ac:dyDescent="0.35">
      <c r="B250" s="181">
        <v>74005</v>
      </c>
      <c r="C250" s="182" t="s">
        <v>741</v>
      </c>
      <c r="D250" s="222">
        <v>15</v>
      </c>
      <c r="E250" s="223" t="s">
        <v>2194</v>
      </c>
      <c r="F250" s="183" t="s">
        <v>2195</v>
      </c>
      <c r="G250" s="125">
        <v>1.7434240253612898</v>
      </c>
      <c r="H250" s="121" t="s">
        <v>1441</v>
      </c>
      <c r="I250" s="122">
        <v>62.852941176470587</v>
      </c>
      <c r="J250" s="106" t="s">
        <v>4656</v>
      </c>
      <c r="K250" s="118">
        <v>4712</v>
      </c>
      <c r="L250" s="46">
        <v>2.5721097657893508</v>
      </c>
      <c r="M250" s="41">
        <v>12119.78121639942</v>
      </c>
      <c r="N250" s="44">
        <v>63.109000000000002</v>
      </c>
      <c r="O250" s="41">
        <v>6273</v>
      </c>
      <c r="P250" s="41">
        <v>12</v>
      </c>
      <c r="Q250" s="41">
        <v>39.199999999999996</v>
      </c>
      <c r="R250" s="45" t="s">
        <v>1324</v>
      </c>
      <c r="S250" s="45" t="s">
        <v>1307</v>
      </c>
      <c r="T250" s="45" t="s">
        <v>1324</v>
      </c>
      <c r="U250" s="44">
        <v>860.90965252686453</v>
      </c>
      <c r="V250" s="44">
        <v>1159.913</v>
      </c>
      <c r="W250" s="44">
        <v>200.46384000000015</v>
      </c>
      <c r="X250" s="44">
        <v>114.98283669599999</v>
      </c>
      <c r="Y250" s="130" t="s">
        <v>4064</v>
      </c>
      <c r="Z250" s="224"/>
    </row>
    <row r="251" spans="2:26" ht="15" customHeight="1" x14ac:dyDescent="0.35">
      <c r="B251" s="181">
        <v>74005</v>
      </c>
      <c r="C251" s="182" t="s">
        <v>741</v>
      </c>
      <c r="D251" s="222">
        <v>15</v>
      </c>
      <c r="E251" s="223" t="s">
        <v>2196</v>
      </c>
      <c r="F251" s="183" t="s">
        <v>2197</v>
      </c>
      <c r="G251" s="125">
        <v>6.1162233958094463</v>
      </c>
      <c r="H251" s="121" t="s">
        <v>1336</v>
      </c>
      <c r="I251" s="122">
        <v>59.029411764705877</v>
      </c>
      <c r="J251" s="106" t="s">
        <v>4656</v>
      </c>
      <c r="K251" s="118">
        <v>150</v>
      </c>
      <c r="L251" s="46">
        <v>2.5721097657893508</v>
      </c>
      <c r="M251" s="41">
        <v>385.81646486840265</v>
      </c>
      <c r="N251" s="44">
        <v>4.601</v>
      </c>
      <c r="O251" s="41">
        <v>151</v>
      </c>
      <c r="P251" s="41">
        <v>12</v>
      </c>
      <c r="Q251" s="41">
        <v>31.499999999999996</v>
      </c>
      <c r="R251" s="45" t="s">
        <v>1307</v>
      </c>
      <c r="S251" s="45" t="s">
        <v>1307</v>
      </c>
      <c r="T251" s="45" t="s">
        <v>1307</v>
      </c>
      <c r="U251" s="44">
        <v>20.630538206436441</v>
      </c>
      <c r="V251" s="44">
        <v>40.274000000000001</v>
      </c>
      <c r="W251" s="44">
        <v>17.504232000000002</v>
      </c>
      <c r="X251" s="44">
        <v>2.8619347049999995</v>
      </c>
      <c r="Y251" s="130" t="s">
        <v>4065</v>
      </c>
      <c r="Z251" s="224"/>
    </row>
    <row r="252" spans="2:26" ht="15" customHeight="1" x14ac:dyDescent="0.35">
      <c r="B252" s="181">
        <v>74005</v>
      </c>
      <c r="C252" s="182" t="s">
        <v>741</v>
      </c>
      <c r="D252" s="222">
        <v>15</v>
      </c>
      <c r="E252" s="223" t="s">
        <v>2198</v>
      </c>
      <c r="F252" s="183" t="s">
        <v>2199</v>
      </c>
      <c r="G252" s="125">
        <v>9.9592806731948755</v>
      </c>
      <c r="H252" s="121" t="s">
        <v>1325</v>
      </c>
      <c r="I252" s="122">
        <v>62.852941176470587</v>
      </c>
      <c r="J252" s="106" t="s">
        <v>4656</v>
      </c>
      <c r="K252" s="118">
        <v>900</v>
      </c>
      <c r="L252" s="46">
        <v>2.5721097657893508</v>
      </c>
      <c r="M252" s="41">
        <v>2314.8987892104155</v>
      </c>
      <c r="N252" s="44">
        <v>19.459</v>
      </c>
      <c r="O252" s="41">
        <v>566</v>
      </c>
      <c r="P252" s="41">
        <v>12</v>
      </c>
      <c r="Q252" s="41">
        <v>35</v>
      </c>
      <c r="R252" s="45" t="s">
        <v>1324</v>
      </c>
      <c r="S252" s="45" t="s">
        <v>1307</v>
      </c>
      <c r="T252" s="45" t="s">
        <v>1324</v>
      </c>
      <c r="U252" s="44">
        <v>243.76173840989119</v>
      </c>
      <c r="V252" s="44">
        <v>379.66</v>
      </c>
      <c r="W252" s="44">
        <v>123.77704800000001</v>
      </c>
      <c r="X252" s="44">
        <v>12.428312050000002</v>
      </c>
      <c r="Y252" s="130" t="s">
        <v>4066</v>
      </c>
      <c r="Z252" s="224"/>
    </row>
    <row r="253" spans="2:26" ht="15" customHeight="1" x14ac:dyDescent="0.35">
      <c r="B253" s="181">
        <v>74005</v>
      </c>
      <c r="C253" s="182" t="s">
        <v>741</v>
      </c>
      <c r="D253" s="222">
        <v>15</v>
      </c>
      <c r="E253" s="223" t="s">
        <v>2200</v>
      </c>
      <c r="F253" s="183" t="s">
        <v>2201</v>
      </c>
      <c r="G253" s="125">
        <v>4.2338275033029396</v>
      </c>
      <c r="H253" s="121" t="s">
        <v>1325</v>
      </c>
      <c r="I253" s="122">
        <v>62.852941176470587</v>
      </c>
      <c r="J253" s="106" t="s">
        <v>4656</v>
      </c>
      <c r="K253" s="118">
        <v>829</v>
      </c>
      <c r="L253" s="46">
        <v>2.5721097657893508</v>
      </c>
      <c r="M253" s="41">
        <v>2132.2789958393719</v>
      </c>
      <c r="N253" s="44">
        <v>9.016</v>
      </c>
      <c r="O253" s="41">
        <v>547</v>
      </c>
      <c r="P253" s="41">
        <v>12</v>
      </c>
      <c r="Q253" s="41">
        <v>36.4</v>
      </c>
      <c r="R253" s="45" t="s">
        <v>1324</v>
      </c>
      <c r="S253" s="45" t="s">
        <v>1307</v>
      </c>
      <c r="T253" s="45" t="s">
        <v>1324</v>
      </c>
      <c r="U253" s="44">
        <v>174.97330896433408</v>
      </c>
      <c r="V253" s="44">
        <v>240.905</v>
      </c>
      <c r="W253" s="44">
        <v>42.974808000000003</v>
      </c>
      <c r="X253" s="44">
        <v>10.150344568000001</v>
      </c>
      <c r="Y253" s="130" t="s">
        <v>4067</v>
      </c>
      <c r="Z253" s="224"/>
    </row>
    <row r="254" spans="2:26" ht="15" customHeight="1" x14ac:dyDescent="0.35">
      <c r="B254" s="181">
        <v>74005</v>
      </c>
      <c r="C254" s="182" t="s">
        <v>741</v>
      </c>
      <c r="D254" s="222">
        <v>15</v>
      </c>
      <c r="E254" s="223" t="s">
        <v>2202</v>
      </c>
      <c r="F254" s="183" t="s">
        <v>2203</v>
      </c>
      <c r="G254" s="125">
        <v>1.8875369441062124</v>
      </c>
      <c r="H254" s="121" t="s">
        <v>1325</v>
      </c>
      <c r="I254" s="122">
        <v>62.852941176470587</v>
      </c>
      <c r="J254" s="106" t="s">
        <v>4656</v>
      </c>
      <c r="K254" s="118">
        <v>3107</v>
      </c>
      <c r="L254" s="46">
        <v>2.5721097657893508</v>
      </c>
      <c r="M254" s="41">
        <v>7991.5450423075126</v>
      </c>
      <c r="N254" s="44">
        <v>36.078000000000003</v>
      </c>
      <c r="O254" s="41">
        <v>2607</v>
      </c>
      <c r="P254" s="41">
        <v>12</v>
      </c>
      <c r="Q254" s="41">
        <v>45.5</v>
      </c>
      <c r="R254" s="45" t="s">
        <v>1324</v>
      </c>
      <c r="S254" s="45" t="s">
        <v>1307</v>
      </c>
      <c r="T254" s="45" t="s">
        <v>1324</v>
      </c>
      <c r="U254" s="44">
        <v>495.04323432044106</v>
      </c>
      <c r="V254" s="44">
        <v>757.93600000000004</v>
      </c>
      <c r="W254" s="44">
        <v>110.251608</v>
      </c>
      <c r="X254" s="44">
        <v>58.410304680000003</v>
      </c>
      <c r="Y254" s="130" t="s">
        <v>4068</v>
      </c>
      <c r="Z254" s="224"/>
    </row>
    <row r="255" spans="2:26" ht="15" customHeight="1" x14ac:dyDescent="0.35">
      <c r="B255" s="181">
        <v>14005</v>
      </c>
      <c r="C255" s="182" t="s">
        <v>60</v>
      </c>
      <c r="D255" s="222">
        <v>1</v>
      </c>
      <c r="E255" s="223" t="s">
        <v>2206</v>
      </c>
      <c r="F255" s="183" t="s">
        <v>2207</v>
      </c>
      <c r="G255" s="125">
        <v>1.0999810565323906</v>
      </c>
      <c r="H255" s="121" t="s">
        <v>1336</v>
      </c>
      <c r="I255" s="122">
        <v>59.081081081081081</v>
      </c>
      <c r="J255" s="106" t="s">
        <v>4656</v>
      </c>
      <c r="K255" s="118">
        <v>259</v>
      </c>
      <c r="L255" s="46">
        <v>2.2128060263653482</v>
      </c>
      <c r="M255" s="41">
        <v>573.11676082862516</v>
      </c>
      <c r="N255" s="44">
        <v>8.5749999999999993</v>
      </c>
      <c r="O255" s="41">
        <v>283</v>
      </c>
      <c r="P255" s="41">
        <v>6</v>
      </c>
      <c r="Q255" s="41">
        <v>53.9</v>
      </c>
      <c r="R255" s="45" t="s">
        <v>1307</v>
      </c>
      <c r="S255" s="45" t="s">
        <v>1307</v>
      </c>
      <c r="T255" s="45" t="s">
        <v>1307</v>
      </c>
      <c r="U255" s="44">
        <v>58.912890459363958</v>
      </c>
      <c r="V255" s="44">
        <v>74.650000000000006</v>
      </c>
      <c r="W255" s="44">
        <v>9.1582500000000024</v>
      </c>
      <c r="X255" s="44">
        <v>8.3258252000000006</v>
      </c>
      <c r="Y255" s="130" t="s">
        <v>4069</v>
      </c>
      <c r="Z255" s="224" t="s">
        <v>3988</v>
      </c>
    </row>
    <row r="256" spans="2:26" ht="15" customHeight="1" x14ac:dyDescent="0.35">
      <c r="B256" s="181">
        <v>9077</v>
      </c>
      <c r="C256" s="182" t="s">
        <v>1110</v>
      </c>
      <c r="D256" s="222">
        <v>1</v>
      </c>
      <c r="E256" s="223" t="s">
        <v>2211</v>
      </c>
      <c r="F256" s="183" t="s">
        <v>2212</v>
      </c>
      <c r="G256" s="125">
        <v>10.735242718599126</v>
      </c>
      <c r="H256" s="121" t="s">
        <v>1336</v>
      </c>
      <c r="I256" s="122">
        <v>57.862236738610363</v>
      </c>
      <c r="J256" s="106" t="s">
        <v>4656</v>
      </c>
      <c r="K256" s="118">
        <v>3082</v>
      </c>
      <c r="L256" s="46">
        <v>2.0138933764135705</v>
      </c>
      <c r="M256" s="41">
        <v>6206.8193861066238</v>
      </c>
      <c r="N256" s="44">
        <v>56.518000000000001</v>
      </c>
      <c r="O256" s="41">
        <v>2194</v>
      </c>
      <c r="P256" s="41">
        <v>8</v>
      </c>
      <c r="Q256" s="41">
        <v>44.8</v>
      </c>
      <c r="R256" s="45" t="s">
        <v>1307</v>
      </c>
      <c r="S256" s="45" t="s">
        <v>1307</v>
      </c>
      <c r="T256" s="45" t="s">
        <v>1307</v>
      </c>
      <c r="U256" s="44">
        <v>528.56579166666666</v>
      </c>
      <c r="V256" s="44">
        <v>1148.97</v>
      </c>
      <c r="W256" s="44">
        <v>563.72445000000005</v>
      </c>
      <c r="X256" s="44">
        <v>52.51157004800001</v>
      </c>
      <c r="Y256" s="130" t="s">
        <v>4070</v>
      </c>
      <c r="Z256" s="224" t="s">
        <v>4071</v>
      </c>
    </row>
    <row r="257" spans="2:26" ht="15" customHeight="1" x14ac:dyDescent="0.35">
      <c r="B257" s="181">
        <v>18050</v>
      </c>
      <c r="C257" s="182" t="s">
        <v>113</v>
      </c>
      <c r="D257" s="222">
        <v>12</v>
      </c>
      <c r="E257" s="223" t="s">
        <v>2216</v>
      </c>
      <c r="F257" s="183" t="s">
        <v>2217</v>
      </c>
      <c r="G257" s="125">
        <v>1.5512425722034866</v>
      </c>
      <c r="H257" s="121" t="s">
        <v>1325</v>
      </c>
      <c r="I257" s="122">
        <v>55.035296625336279</v>
      </c>
      <c r="J257" s="106" t="s">
        <v>4656</v>
      </c>
      <c r="K257" s="118">
        <v>5113</v>
      </c>
      <c r="L257" s="46">
        <v>2.0499999999999998</v>
      </c>
      <c r="M257" s="41">
        <v>10481.65</v>
      </c>
      <c r="N257" s="44">
        <v>78.281999999999996</v>
      </c>
      <c r="O257" s="41">
        <v>3492</v>
      </c>
      <c r="P257" s="41">
        <v>9.6</v>
      </c>
      <c r="Q257" s="41">
        <v>48.83</v>
      </c>
      <c r="R257" s="45" t="s">
        <v>1307</v>
      </c>
      <c r="S257" s="45" t="s">
        <v>1324</v>
      </c>
      <c r="T257" s="45" t="s">
        <v>1307</v>
      </c>
      <c r="U257" s="44">
        <v>1073</v>
      </c>
      <c r="V257" s="44">
        <v>1581.925</v>
      </c>
      <c r="W257" s="44">
        <v>139.36540443877536</v>
      </c>
      <c r="X257" s="44">
        <v>89.841142150200014</v>
      </c>
      <c r="Y257" s="130"/>
      <c r="Z257" s="224"/>
    </row>
    <row r="258" spans="2:26" ht="15" customHeight="1" x14ac:dyDescent="0.35">
      <c r="B258" s="181">
        <v>80090</v>
      </c>
      <c r="C258" s="182" t="s">
        <v>817</v>
      </c>
      <c r="D258" s="222">
        <v>7</v>
      </c>
      <c r="E258" s="223" t="s">
        <v>2221</v>
      </c>
      <c r="F258" s="183" t="s">
        <v>2222</v>
      </c>
      <c r="G258" s="125">
        <v>0.72537597605615667</v>
      </c>
      <c r="H258" s="121" t="s">
        <v>1336</v>
      </c>
      <c r="I258" s="122">
        <v>58.378378378378386</v>
      </c>
      <c r="J258" s="106" t="s">
        <v>4656</v>
      </c>
      <c r="K258" s="118">
        <v>138</v>
      </c>
      <c r="L258" s="46">
        <v>1.9046728971962616</v>
      </c>
      <c r="M258" s="41">
        <v>262.8448598130841</v>
      </c>
      <c r="N258" s="44">
        <v>4.2849999999999993</v>
      </c>
      <c r="O258" s="41">
        <v>120</v>
      </c>
      <c r="P258" s="41">
        <v>9</v>
      </c>
      <c r="Q258" s="41">
        <v>45.3</v>
      </c>
      <c r="R258" s="45" t="s">
        <v>1307</v>
      </c>
      <c r="S258" s="45" t="s">
        <v>1307</v>
      </c>
      <c r="T258" s="45" t="s">
        <v>1307</v>
      </c>
      <c r="U258" s="44">
        <v>17.887783783783785</v>
      </c>
      <c r="V258" s="44">
        <v>21.913</v>
      </c>
      <c r="W258" s="44">
        <v>2.4003049999999977</v>
      </c>
      <c r="X258" s="44">
        <v>3.3090494850000001</v>
      </c>
      <c r="Y258" s="130" t="s">
        <v>4072</v>
      </c>
      <c r="Z258" s="224"/>
    </row>
    <row r="259" spans="2:26" ht="15" customHeight="1" x14ac:dyDescent="0.35">
      <c r="B259" s="181">
        <v>66023</v>
      </c>
      <c r="C259" s="182" t="s">
        <v>648</v>
      </c>
      <c r="D259" s="222">
        <v>6</v>
      </c>
      <c r="E259" s="223" t="s">
        <v>2223</v>
      </c>
      <c r="F259" s="183" t="s">
        <v>2224</v>
      </c>
      <c r="G259" s="125">
        <v>21.053782025391726</v>
      </c>
      <c r="H259" s="121" t="s">
        <v>1373</v>
      </c>
      <c r="I259" s="122">
        <v>55.403508771929836</v>
      </c>
      <c r="J259" s="106" t="s">
        <v>4656</v>
      </c>
      <c r="K259" s="118">
        <v>20404</v>
      </c>
      <c r="L259" s="46">
        <v>2.0299941188002402</v>
      </c>
      <c r="M259" s="41">
        <v>41420.000000000102</v>
      </c>
      <c r="N259" s="44">
        <v>148</v>
      </c>
      <c r="O259" s="41">
        <v>7814</v>
      </c>
      <c r="P259" s="41">
        <v>6.5</v>
      </c>
      <c r="Q259" s="41">
        <v>50.53</v>
      </c>
      <c r="R259" s="45" t="s">
        <v>1307</v>
      </c>
      <c r="S259" s="45" t="s">
        <v>1307</v>
      </c>
      <c r="T259" s="45" t="s">
        <v>1307</v>
      </c>
      <c r="U259" s="44">
        <v>4535.4900000000107</v>
      </c>
      <c r="V259" s="44">
        <v>13641.227000000001</v>
      </c>
      <c r="W259" s="44">
        <v>3954.8703629305073</v>
      </c>
      <c r="X259" s="44">
        <v>187.84607716375001</v>
      </c>
      <c r="Y259" s="130" t="s">
        <v>4073</v>
      </c>
      <c r="Z259" s="224"/>
    </row>
    <row r="260" spans="2:26" ht="15" customHeight="1" x14ac:dyDescent="0.35">
      <c r="B260" s="181">
        <v>66023</v>
      </c>
      <c r="C260" s="182" t="s">
        <v>648</v>
      </c>
      <c r="D260" s="222">
        <v>6</v>
      </c>
      <c r="E260" s="223" t="s">
        <v>2225</v>
      </c>
      <c r="F260" s="183" t="s">
        <v>2226</v>
      </c>
      <c r="G260" s="125">
        <v>6.4224675230539656</v>
      </c>
      <c r="H260" s="121" t="s">
        <v>2227</v>
      </c>
      <c r="I260" s="122">
        <v>55.631578947368432</v>
      </c>
      <c r="J260" s="106" t="s">
        <v>4656</v>
      </c>
      <c r="K260" s="118">
        <v>61886</v>
      </c>
      <c r="L260" s="46">
        <v>2.2380021329541413</v>
      </c>
      <c r="M260" s="41">
        <v>138501</v>
      </c>
      <c r="N260" s="44">
        <v>553.70000000000005</v>
      </c>
      <c r="O260" s="41">
        <v>32957</v>
      </c>
      <c r="P260" s="41">
        <v>6.5</v>
      </c>
      <c r="Q260" s="41">
        <v>47.25</v>
      </c>
      <c r="R260" s="45" t="s">
        <v>1307</v>
      </c>
      <c r="S260" s="45" t="s">
        <v>1307</v>
      </c>
      <c r="T260" s="45" t="s">
        <v>1307</v>
      </c>
      <c r="U260" s="44">
        <v>15165.859499999999</v>
      </c>
      <c r="V260" s="44">
        <v>24266.964</v>
      </c>
      <c r="W260" s="44">
        <v>4617.4761313949939</v>
      </c>
      <c r="X260" s="44">
        <v>718.95671170312505</v>
      </c>
      <c r="Y260" s="130" t="s">
        <v>4074</v>
      </c>
      <c r="Z260" s="224"/>
    </row>
    <row r="261" spans="2:26" ht="15" customHeight="1" x14ac:dyDescent="0.35">
      <c r="B261" s="181">
        <v>66023</v>
      </c>
      <c r="C261" s="182" t="s">
        <v>648</v>
      </c>
      <c r="D261" s="222">
        <v>6</v>
      </c>
      <c r="E261" s="223" t="s">
        <v>2228</v>
      </c>
      <c r="F261" s="183" t="s">
        <v>2229</v>
      </c>
      <c r="G261" s="125">
        <v>24.8992383040184</v>
      </c>
      <c r="H261" s="121" t="s">
        <v>1786</v>
      </c>
      <c r="I261" s="122">
        <v>46.306009858201911</v>
      </c>
      <c r="J261" s="106" t="s">
        <v>4656</v>
      </c>
      <c r="K261" s="118">
        <v>830818</v>
      </c>
      <c r="L261" s="46">
        <v>2.0319516428387443</v>
      </c>
      <c r="M261" s="41">
        <v>1688181.9999999998</v>
      </c>
      <c r="N261" s="44">
        <v>4032</v>
      </c>
      <c r="O261" s="41">
        <v>249321</v>
      </c>
      <c r="P261" s="41">
        <v>6.5</v>
      </c>
      <c r="Q261" s="41">
        <v>51.53</v>
      </c>
      <c r="R261" s="45" t="s">
        <v>1307</v>
      </c>
      <c r="S261" s="45" t="s">
        <v>1307</v>
      </c>
      <c r="T261" s="45" t="s">
        <v>1307</v>
      </c>
      <c r="U261" s="44">
        <v>184855.92899999995</v>
      </c>
      <c r="V261" s="44">
        <v>474889.54800000001</v>
      </c>
      <c r="W261" s="44">
        <v>146371.00203913898</v>
      </c>
      <c r="X261" s="44">
        <v>5878.5333210581257</v>
      </c>
      <c r="Y261" s="130" t="s">
        <v>4075</v>
      </c>
      <c r="Z261" s="224"/>
    </row>
    <row r="262" spans="2:26" ht="15" customHeight="1" x14ac:dyDescent="0.35">
      <c r="B262" s="181">
        <v>66047</v>
      </c>
      <c r="C262" s="182" t="s">
        <v>650</v>
      </c>
      <c r="D262" s="222">
        <v>6</v>
      </c>
      <c r="E262" s="223" t="s">
        <v>2236</v>
      </c>
      <c r="F262" s="183" t="s">
        <v>2237</v>
      </c>
      <c r="G262" s="125">
        <v>8.0833065821114634</v>
      </c>
      <c r="H262" s="121" t="s">
        <v>1336</v>
      </c>
      <c r="I262" s="122">
        <v>60.035087719298254</v>
      </c>
      <c r="J262" s="106" t="s">
        <v>4656</v>
      </c>
      <c r="K262" s="118">
        <v>1999</v>
      </c>
      <c r="L262" s="46">
        <v>2.5902048975512244</v>
      </c>
      <c r="M262" s="41">
        <v>5177.8195902048974</v>
      </c>
      <c r="N262" s="44">
        <v>23.437999999999999</v>
      </c>
      <c r="O262" s="41">
        <v>1608</v>
      </c>
      <c r="P262" s="41">
        <v>6.5</v>
      </c>
      <c r="Q262" s="41">
        <v>50.2</v>
      </c>
      <c r="R262" s="45" t="s">
        <v>1307</v>
      </c>
      <c r="S262" s="45" t="s">
        <v>1307</v>
      </c>
      <c r="T262" s="45" t="s">
        <v>1307</v>
      </c>
      <c r="U262" s="44">
        <v>377.47500000000002</v>
      </c>
      <c r="V262" s="44">
        <v>786.61</v>
      </c>
      <c r="W262" s="44">
        <v>291.71592627551018</v>
      </c>
      <c r="X262" s="44">
        <v>36.088687632000003</v>
      </c>
      <c r="Y262" s="130" t="s">
        <v>4076</v>
      </c>
      <c r="Z262" s="224"/>
    </row>
    <row r="263" spans="2:26" ht="15" customHeight="1" x14ac:dyDescent="0.35">
      <c r="B263" s="181">
        <v>66072</v>
      </c>
      <c r="C263" s="182" t="s">
        <v>653</v>
      </c>
      <c r="D263" s="222">
        <v>6</v>
      </c>
      <c r="E263" s="223" t="s">
        <v>2240</v>
      </c>
      <c r="F263" s="183" t="s">
        <v>4784</v>
      </c>
      <c r="G263" s="125">
        <v>12.445079045809887</v>
      </c>
      <c r="H263" s="121" t="s">
        <v>1373</v>
      </c>
      <c r="I263" s="122">
        <v>58.432432432432428</v>
      </c>
      <c r="J263" s="106" t="s">
        <v>4656</v>
      </c>
      <c r="K263" s="118">
        <v>8140</v>
      </c>
      <c r="L263" s="46">
        <v>2.5977886977886979</v>
      </c>
      <c r="M263" s="41">
        <v>21146</v>
      </c>
      <c r="N263" s="44">
        <v>95.396010000000004</v>
      </c>
      <c r="O263" s="41">
        <v>5424</v>
      </c>
      <c r="P263" s="41">
        <v>7</v>
      </c>
      <c r="Q263" s="41">
        <v>51.5</v>
      </c>
      <c r="R263" s="45" t="s">
        <v>1307</v>
      </c>
      <c r="S263" s="45" t="s">
        <v>1307</v>
      </c>
      <c r="T263" s="45" t="s">
        <v>1307</v>
      </c>
      <c r="U263" s="44">
        <v>1737.7750000000001</v>
      </c>
      <c r="V263" s="44">
        <v>6111.7579999999998</v>
      </c>
      <c r="W263" s="44">
        <v>1638.8478559257806</v>
      </c>
      <c r="X263" s="44">
        <v>131.68641596354999</v>
      </c>
      <c r="Y263" s="130" t="s">
        <v>4077</v>
      </c>
      <c r="Z263" s="224"/>
    </row>
    <row r="264" spans="2:26" ht="15" customHeight="1" x14ac:dyDescent="0.35">
      <c r="B264" s="181">
        <v>57035</v>
      </c>
      <c r="C264" s="182" t="s">
        <v>587</v>
      </c>
      <c r="D264" s="222">
        <v>16</v>
      </c>
      <c r="E264" s="223" t="s">
        <v>2243</v>
      </c>
      <c r="F264" s="183" t="s">
        <v>2244</v>
      </c>
      <c r="G264" s="125">
        <v>3.1302868491311266</v>
      </c>
      <c r="H264" s="121" t="s">
        <v>1373</v>
      </c>
      <c r="I264" s="122">
        <v>60.807017543859665</v>
      </c>
      <c r="J264" s="106" t="s">
        <v>4656</v>
      </c>
      <c r="K264" s="118">
        <v>8498</v>
      </c>
      <c r="L264" s="46">
        <v>2.3114873918869532</v>
      </c>
      <c r="M264" s="41">
        <v>19643.019856255327</v>
      </c>
      <c r="N264" s="44">
        <v>157.46600000000001</v>
      </c>
      <c r="O264" s="41">
        <v>8219</v>
      </c>
      <c r="P264" s="41">
        <v>7</v>
      </c>
      <c r="Q264" s="41">
        <v>56</v>
      </c>
      <c r="R264" s="45" t="s">
        <v>1307</v>
      </c>
      <c r="S264" s="45" t="s">
        <v>1307</v>
      </c>
      <c r="T264" s="45" t="s">
        <v>1307</v>
      </c>
      <c r="U264" s="44">
        <v>1686.268</v>
      </c>
      <c r="V264" s="44">
        <v>2815.0010000000002</v>
      </c>
      <c r="W264" s="44">
        <v>694.08270302631593</v>
      </c>
      <c r="X264" s="44">
        <v>221.73134171999999</v>
      </c>
      <c r="Y264" s="130" t="s">
        <v>4078</v>
      </c>
      <c r="Z264" s="224"/>
    </row>
    <row r="265" spans="2:26" ht="15" customHeight="1" x14ac:dyDescent="0.35">
      <c r="B265" s="181">
        <v>79110</v>
      </c>
      <c r="C265" s="182" t="s">
        <v>801</v>
      </c>
      <c r="D265" s="222">
        <v>15</v>
      </c>
      <c r="E265" s="223" t="s">
        <v>2247</v>
      </c>
      <c r="F265" s="183" t="s">
        <v>4796</v>
      </c>
      <c r="G265" s="125">
        <v>1.3822168687762255</v>
      </c>
      <c r="H265" s="121" t="s">
        <v>1336</v>
      </c>
      <c r="I265" s="122">
        <v>59.959459459459467</v>
      </c>
      <c r="J265" s="106" t="s">
        <v>4656</v>
      </c>
      <c r="K265" s="118">
        <v>149</v>
      </c>
      <c r="L265" s="46">
        <v>2.52</v>
      </c>
      <c r="M265" s="41">
        <v>375.48</v>
      </c>
      <c r="N265" s="44">
        <v>3.4249999999999998</v>
      </c>
      <c r="O265" s="41">
        <v>135</v>
      </c>
      <c r="P265" s="41">
        <v>14</v>
      </c>
      <c r="Q265" s="41">
        <v>38.700000000000003</v>
      </c>
      <c r="R265" s="45" t="s">
        <v>1307</v>
      </c>
      <c r="S265" s="45" t="s">
        <v>1307</v>
      </c>
      <c r="T265" s="45" t="s">
        <v>1307</v>
      </c>
      <c r="U265" s="44">
        <v>36.556614379084962</v>
      </c>
      <c r="V265" s="44">
        <v>42.408999999999999</v>
      </c>
      <c r="W265" s="44">
        <v>4.234865000000001</v>
      </c>
      <c r="X265" s="44">
        <v>3.0638209500000002</v>
      </c>
      <c r="Y265" s="130" t="s">
        <v>4079</v>
      </c>
      <c r="Z265" s="224" t="s">
        <v>3761</v>
      </c>
    </row>
    <row r="266" spans="2:26" ht="15" customHeight="1" x14ac:dyDescent="0.35">
      <c r="B266" s="181">
        <v>4015</v>
      </c>
      <c r="C266" s="182" t="s">
        <v>1038</v>
      </c>
      <c r="D266" s="222">
        <v>11</v>
      </c>
      <c r="E266" s="223" t="s">
        <v>2248</v>
      </c>
      <c r="F266" s="183" t="s">
        <v>2249</v>
      </c>
      <c r="G266" s="125">
        <v>1.0000102979677958</v>
      </c>
      <c r="H266" s="121" t="s">
        <v>1336</v>
      </c>
      <c r="I266" s="122">
        <v>58.72972972972974</v>
      </c>
      <c r="J266" s="106" t="s">
        <v>4656</v>
      </c>
      <c r="K266" s="118">
        <v>128</v>
      </c>
      <c r="L266" s="46">
        <v>1.2213740458015268</v>
      </c>
      <c r="M266" s="41">
        <v>156.33587786259542</v>
      </c>
      <c r="N266" s="44">
        <v>7.4969999999999999</v>
      </c>
      <c r="O266" s="41">
        <v>166</v>
      </c>
      <c r="P266" s="41">
        <v>10</v>
      </c>
      <c r="Q266" s="41">
        <v>62.999999999999993</v>
      </c>
      <c r="R266" s="45" t="s">
        <v>1307</v>
      </c>
      <c r="S266" s="45" t="s">
        <v>1307</v>
      </c>
      <c r="T266" s="45" t="s">
        <v>1307</v>
      </c>
      <c r="U266" s="44">
        <v>29.226093959731543</v>
      </c>
      <c r="V266" s="44">
        <v>58.720999999999997</v>
      </c>
      <c r="W266" s="44">
        <v>7.111184999999999</v>
      </c>
      <c r="X266" s="44">
        <v>7.1111117699999991</v>
      </c>
      <c r="Y266" s="130" t="s">
        <v>4080</v>
      </c>
      <c r="Z266" s="224" t="s">
        <v>4081</v>
      </c>
    </row>
    <row r="267" spans="2:26" ht="15" customHeight="1" x14ac:dyDescent="0.35">
      <c r="B267" s="181">
        <v>78102</v>
      </c>
      <c r="C267" s="182" t="s">
        <v>781</v>
      </c>
      <c r="D267" s="222">
        <v>15</v>
      </c>
      <c r="E267" s="223" t="s">
        <v>2252</v>
      </c>
      <c r="F267" s="183" t="s">
        <v>2253</v>
      </c>
      <c r="G267" s="125">
        <v>2.5976195478801793</v>
      </c>
      <c r="H267" s="121" t="s">
        <v>1336</v>
      </c>
      <c r="I267" s="122">
        <v>62.403508771929843</v>
      </c>
      <c r="J267" s="106" t="s">
        <v>4656</v>
      </c>
      <c r="K267" s="118">
        <v>3546</v>
      </c>
      <c r="L267" s="46">
        <v>1.1203133743704532</v>
      </c>
      <c r="M267" s="41">
        <v>3972.6312255176272</v>
      </c>
      <c r="N267" s="44">
        <v>73.150599999999997</v>
      </c>
      <c r="O267" s="41">
        <v>2823</v>
      </c>
      <c r="P267" s="41">
        <v>9</v>
      </c>
      <c r="Q267" s="41">
        <v>59.604999999999997</v>
      </c>
      <c r="R267" s="45" t="s">
        <v>1307</v>
      </c>
      <c r="S267" s="45" t="s">
        <v>1307</v>
      </c>
      <c r="T267" s="45" t="s">
        <v>1307</v>
      </c>
      <c r="U267" s="44">
        <v>609.41556000000003</v>
      </c>
      <c r="V267" s="44">
        <v>1180.0419999999999</v>
      </c>
      <c r="W267" s="44">
        <v>237.93738154132646</v>
      </c>
      <c r="X267" s="44">
        <v>91.598241064784986</v>
      </c>
      <c r="Y267" s="130" t="s">
        <v>4082</v>
      </c>
      <c r="Z267" s="224"/>
    </row>
    <row r="268" spans="2:26" ht="15" customHeight="1" x14ac:dyDescent="0.35">
      <c r="B268" s="181">
        <v>78102</v>
      </c>
      <c r="C268" s="182" t="s">
        <v>781</v>
      </c>
      <c r="D268" s="222">
        <v>15</v>
      </c>
      <c r="E268" s="223" t="s">
        <v>2254</v>
      </c>
      <c r="F268" s="183" t="s">
        <v>2255</v>
      </c>
      <c r="G268" s="125">
        <v>4.9724712816383541</v>
      </c>
      <c r="H268" s="121" t="s">
        <v>1336</v>
      </c>
      <c r="I268" s="122">
        <v>62.403508771929843</v>
      </c>
      <c r="J268" s="106" t="s">
        <v>4656</v>
      </c>
      <c r="K268" s="118">
        <v>1837</v>
      </c>
      <c r="L268" s="46">
        <v>1.1203133743704532</v>
      </c>
      <c r="M268" s="41">
        <v>2058.0156687185226</v>
      </c>
      <c r="N268" s="44">
        <v>64.971999999999994</v>
      </c>
      <c r="O268" s="41">
        <v>1950</v>
      </c>
      <c r="P268" s="41">
        <v>9</v>
      </c>
      <c r="Q268" s="41">
        <v>77</v>
      </c>
      <c r="R268" s="45" t="s">
        <v>1307</v>
      </c>
      <c r="S268" s="45" t="s">
        <v>1307</v>
      </c>
      <c r="T268" s="45" t="s">
        <v>1307</v>
      </c>
      <c r="U268" s="44">
        <v>315.70682000000005</v>
      </c>
      <c r="V268" s="44">
        <v>1407.2470000000001</v>
      </c>
      <c r="W268" s="44">
        <v>442.76651423469383</v>
      </c>
      <c r="X268" s="44">
        <v>89.043553829999993</v>
      </c>
      <c r="Y268" s="130" t="s">
        <v>4083</v>
      </c>
      <c r="Z268" s="224"/>
    </row>
    <row r="269" spans="2:26" ht="15" customHeight="1" x14ac:dyDescent="0.35">
      <c r="B269" s="181">
        <v>77050</v>
      </c>
      <c r="C269" s="182" t="s">
        <v>762</v>
      </c>
      <c r="D269" s="222">
        <v>15</v>
      </c>
      <c r="E269" s="223" t="s">
        <v>4608</v>
      </c>
      <c r="F269" s="183" t="s">
        <v>3771</v>
      </c>
      <c r="G269" s="125">
        <v>1.8061155964946629</v>
      </c>
      <c r="H269" s="121" t="s">
        <v>1336</v>
      </c>
      <c r="I269" s="122">
        <v>63.657894736842117</v>
      </c>
      <c r="J269" s="106" t="s">
        <v>4656</v>
      </c>
      <c r="K269" s="118">
        <v>616</v>
      </c>
      <c r="L269" s="46">
        <v>2.1</v>
      </c>
      <c r="M269" s="41">
        <v>1293.6000000000001</v>
      </c>
      <c r="N269" s="44">
        <v>21.684999999999999</v>
      </c>
      <c r="O269" s="41">
        <v>640</v>
      </c>
      <c r="P269" s="41">
        <v>25</v>
      </c>
      <c r="Q269" s="41">
        <v>70.3</v>
      </c>
      <c r="R269" s="45" t="s">
        <v>1307</v>
      </c>
      <c r="S269" s="45" t="s">
        <v>1307</v>
      </c>
      <c r="T269" s="45" t="s">
        <v>1307</v>
      </c>
      <c r="U269" s="44">
        <v>102.27444311377245</v>
      </c>
      <c r="V269" s="44">
        <v>200.39699999999999</v>
      </c>
      <c r="W269" s="44">
        <v>60.355211666666662</v>
      </c>
      <c r="X269" s="44">
        <v>33.417136634999991</v>
      </c>
      <c r="Y269" s="130" t="s">
        <v>4609</v>
      </c>
      <c r="Z269" s="224"/>
    </row>
    <row r="270" spans="2:26" ht="15" customHeight="1" x14ac:dyDescent="0.35">
      <c r="B270" s="181">
        <v>77050</v>
      </c>
      <c r="C270" s="182" t="s">
        <v>762</v>
      </c>
      <c r="D270" s="222">
        <v>15</v>
      </c>
      <c r="E270" s="223" t="s">
        <v>3772</v>
      </c>
      <c r="F270" s="183" t="s">
        <v>3773</v>
      </c>
      <c r="G270" s="125">
        <v>5.2181787826860768E-2</v>
      </c>
      <c r="H270" s="121" t="s">
        <v>1336</v>
      </c>
      <c r="I270" s="122">
        <v>58.905405405405418</v>
      </c>
      <c r="J270" s="106" t="s">
        <v>4656</v>
      </c>
      <c r="K270" s="118">
        <v>27</v>
      </c>
      <c r="L270" s="46">
        <v>2.1</v>
      </c>
      <c r="M270" s="41">
        <v>56.7</v>
      </c>
      <c r="N270" s="44">
        <v>1.4770000000000001</v>
      </c>
      <c r="O270" s="41">
        <v>26</v>
      </c>
      <c r="P270" s="41">
        <v>27.5</v>
      </c>
      <c r="Q270" s="41">
        <v>56.3</v>
      </c>
      <c r="R270" s="45" t="s">
        <v>1307</v>
      </c>
      <c r="S270" s="45" t="s">
        <v>1307</v>
      </c>
      <c r="T270" s="45" t="s">
        <v>1307</v>
      </c>
      <c r="U270" s="44">
        <v>2.5579999999999998</v>
      </c>
      <c r="V270" s="44">
        <v>2.6680000000000001</v>
      </c>
      <c r="W270" s="44">
        <v>6.9980000000000334E-2</v>
      </c>
      <c r="X270" s="44">
        <v>1.3410809194999997</v>
      </c>
      <c r="Y270" s="130" t="s">
        <v>4610</v>
      </c>
      <c r="Z270" s="224"/>
    </row>
    <row r="271" spans="2:26" ht="15" customHeight="1" x14ac:dyDescent="0.35">
      <c r="B271" s="181">
        <v>77050</v>
      </c>
      <c r="C271" s="182" t="s">
        <v>762</v>
      </c>
      <c r="D271" s="222">
        <v>15</v>
      </c>
      <c r="E271" s="223" t="s">
        <v>1631</v>
      </c>
      <c r="F271" s="183" t="s">
        <v>3774</v>
      </c>
      <c r="G271" s="125">
        <v>0.30335875989662836</v>
      </c>
      <c r="H271" s="121" t="s">
        <v>1336</v>
      </c>
      <c r="I271" s="122">
        <v>58.905405405405418</v>
      </c>
      <c r="J271" s="106" t="s">
        <v>4656</v>
      </c>
      <c r="K271" s="118">
        <v>60</v>
      </c>
      <c r="L271" s="46">
        <v>2.1</v>
      </c>
      <c r="M271" s="41">
        <v>126</v>
      </c>
      <c r="N271" s="44">
        <v>1.7</v>
      </c>
      <c r="O271" s="41">
        <v>54</v>
      </c>
      <c r="P271" s="41">
        <v>27.5</v>
      </c>
      <c r="Q271" s="41">
        <v>45.7</v>
      </c>
      <c r="R271" s="45" t="s">
        <v>1307</v>
      </c>
      <c r="S271" s="45" t="s">
        <v>1307</v>
      </c>
      <c r="T271" s="45" t="s">
        <v>1307</v>
      </c>
      <c r="U271" s="44">
        <v>8.0869999999999997</v>
      </c>
      <c r="V271" s="44">
        <v>8.7799999999999994</v>
      </c>
      <c r="W271" s="44">
        <v>0.56129999999999958</v>
      </c>
      <c r="X271" s="44">
        <v>1.8502844624999999</v>
      </c>
      <c r="Y271" s="130" t="s">
        <v>4611</v>
      </c>
      <c r="Z271" s="224"/>
    </row>
    <row r="272" spans="2:26" ht="15" customHeight="1" x14ac:dyDescent="0.35">
      <c r="B272" s="181">
        <v>77050</v>
      </c>
      <c r="C272" s="182" t="s">
        <v>762</v>
      </c>
      <c r="D272" s="222">
        <v>15</v>
      </c>
      <c r="E272" s="223" t="s">
        <v>1713</v>
      </c>
      <c r="F272" s="183" t="s">
        <v>3778</v>
      </c>
      <c r="G272" s="125">
        <v>0.51906349868978696</v>
      </c>
      <c r="H272" s="121" t="s">
        <v>1336</v>
      </c>
      <c r="I272" s="122">
        <v>59.608108108108112</v>
      </c>
      <c r="J272" s="106" t="s">
        <v>4656</v>
      </c>
      <c r="K272" s="118">
        <v>41</v>
      </c>
      <c r="L272" s="46">
        <v>2.1</v>
      </c>
      <c r="M272" s="41">
        <v>86.100000000000009</v>
      </c>
      <c r="N272" s="44">
        <v>1.53</v>
      </c>
      <c r="O272" s="41">
        <v>39</v>
      </c>
      <c r="P272" s="41">
        <v>27.5</v>
      </c>
      <c r="Q272" s="41">
        <v>46.4</v>
      </c>
      <c r="R272" s="45" t="s">
        <v>1307</v>
      </c>
      <c r="S272" s="45" t="s">
        <v>1307</v>
      </c>
      <c r="T272" s="45" t="s">
        <v>1307</v>
      </c>
      <c r="U272" s="44">
        <v>4.8899999999999997</v>
      </c>
      <c r="V272" s="44">
        <v>5.7279999999999998</v>
      </c>
      <c r="W272" s="44">
        <v>0.75207999999999986</v>
      </c>
      <c r="X272" s="44">
        <v>1.44891714</v>
      </c>
      <c r="Y272" s="130" t="s">
        <v>3775</v>
      </c>
      <c r="Z272" s="224"/>
    </row>
    <row r="273" spans="2:26" ht="15" customHeight="1" x14ac:dyDescent="0.35">
      <c r="B273" s="181">
        <v>77050</v>
      </c>
      <c r="C273" s="182" t="s">
        <v>762</v>
      </c>
      <c r="D273" s="222">
        <v>15</v>
      </c>
      <c r="E273" s="223" t="s">
        <v>3776</v>
      </c>
      <c r="F273" s="183" t="s">
        <v>3777</v>
      </c>
      <c r="G273" s="125">
        <v>0.15946825297082917</v>
      </c>
      <c r="H273" s="121" t="s">
        <v>1336</v>
      </c>
      <c r="I273" s="122">
        <v>59.608108108108112</v>
      </c>
      <c r="J273" s="106" t="s">
        <v>4656</v>
      </c>
      <c r="K273" s="118">
        <v>26</v>
      </c>
      <c r="L273" s="46">
        <v>2.1</v>
      </c>
      <c r="M273" s="41">
        <v>54.6</v>
      </c>
      <c r="N273" s="44">
        <v>1.8</v>
      </c>
      <c r="O273" s="41">
        <v>27</v>
      </c>
      <c r="P273" s="41">
        <v>27.5</v>
      </c>
      <c r="Q273" s="41">
        <v>87.2</v>
      </c>
      <c r="R273" s="45" t="s">
        <v>1307</v>
      </c>
      <c r="S273" s="45" t="s">
        <v>1307</v>
      </c>
      <c r="T273" s="45" t="s">
        <v>1307</v>
      </c>
      <c r="U273" s="44">
        <v>3.2240000000000002</v>
      </c>
      <c r="V273" s="44">
        <v>3.6469999999999998</v>
      </c>
      <c r="W273" s="44">
        <v>0.36829499999999971</v>
      </c>
      <c r="X273" s="44">
        <v>2.3095192500000001</v>
      </c>
      <c r="Y273" s="130" t="s">
        <v>4612</v>
      </c>
      <c r="Z273" s="224"/>
    </row>
    <row r="274" spans="2:26" ht="15" customHeight="1" x14ac:dyDescent="0.35">
      <c r="B274" s="181">
        <v>77050</v>
      </c>
      <c r="C274" s="182" t="s">
        <v>762</v>
      </c>
      <c r="D274" s="222">
        <v>15</v>
      </c>
      <c r="E274" s="223" t="s">
        <v>3779</v>
      </c>
      <c r="F274" s="183" t="s">
        <v>3780</v>
      </c>
      <c r="G274" s="125">
        <v>1.7474805972130871</v>
      </c>
      <c r="H274" s="121" t="s">
        <v>1336</v>
      </c>
      <c r="I274" s="122">
        <v>59.608108108108112</v>
      </c>
      <c r="J274" s="106" t="s">
        <v>4656</v>
      </c>
      <c r="K274" s="118">
        <v>152</v>
      </c>
      <c r="L274" s="46">
        <v>2.1</v>
      </c>
      <c r="M274" s="41">
        <v>319.2</v>
      </c>
      <c r="N274" s="44">
        <v>5.3</v>
      </c>
      <c r="O274" s="41">
        <v>169</v>
      </c>
      <c r="P274" s="41">
        <v>18</v>
      </c>
      <c r="Q274" s="41">
        <v>38.700000000000003</v>
      </c>
      <c r="R274" s="45" t="s">
        <v>1307</v>
      </c>
      <c r="S274" s="45" t="s">
        <v>1307</v>
      </c>
      <c r="T274" s="45" t="s">
        <v>1307</v>
      </c>
      <c r="U274" s="44">
        <v>31.216000000000001</v>
      </c>
      <c r="V274" s="44">
        <v>39.375999999999998</v>
      </c>
      <c r="W274" s="44">
        <v>7.5693599999999961</v>
      </c>
      <c r="X274" s="44">
        <v>4.3315845749999999</v>
      </c>
      <c r="Y274" s="130" t="s">
        <v>4613</v>
      </c>
      <c r="Z274" s="224"/>
    </row>
    <row r="275" spans="2:26" ht="15" customHeight="1" x14ac:dyDescent="0.35">
      <c r="B275" s="181">
        <v>3025</v>
      </c>
      <c r="C275" s="182" t="s">
        <v>1035</v>
      </c>
      <c r="D275" s="222">
        <v>11</v>
      </c>
      <c r="E275" s="223" t="s">
        <v>2258</v>
      </c>
      <c r="F275" s="183" t="s">
        <v>2259</v>
      </c>
      <c r="G275" s="125">
        <v>12.747172121949816</v>
      </c>
      <c r="H275" s="121" t="s">
        <v>1325</v>
      </c>
      <c r="I275" s="122">
        <v>54.035087719298261</v>
      </c>
      <c r="J275" s="106" t="s">
        <v>4656</v>
      </c>
      <c r="K275" s="118">
        <v>439</v>
      </c>
      <c r="L275" s="46">
        <v>1.45</v>
      </c>
      <c r="M275" s="41">
        <v>636.54999999999995</v>
      </c>
      <c r="N275" s="44">
        <v>14.04</v>
      </c>
      <c r="O275" s="41">
        <v>362</v>
      </c>
      <c r="P275" s="41">
        <v>10</v>
      </c>
      <c r="Q275" s="41">
        <v>60</v>
      </c>
      <c r="R275" s="45" t="s">
        <v>1324</v>
      </c>
      <c r="S275" s="45" t="s">
        <v>1307</v>
      </c>
      <c r="T275" s="45" t="s">
        <v>1324</v>
      </c>
      <c r="U275" s="44">
        <v>66.289000000000001</v>
      </c>
      <c r="V275" s="44">
        <v>283.28399999999999</v>
      </c>
      <c r="W275" s="44">
        <v>176.65997362244897</v>
      </c>
      <c r="X275" s="44">
        <v>13.858757999999998</v>
      </c>
      <c r="Y275" s="130" t="s">
        <v>4084</v>
      </c>
      <c r="Z275" s="224"/>
    </row>
    <row r="276" spans="2:26" ht="15" customHeight="1" x14ac:dyDescent="0.35">
      <c r="B276" s="181">
        <v>30045</v>
      </c>
      <c r="C276" s="182" t="s">
        <v>225</v>
      </c>
      <c r="D276" s="222">
        <v>5</v>
      </c>
      <c r="E276" s="223" t="s">
        <v>2263</v>
      </c>
      <c r="F276" s="183" t="s">
        <v>2264</v>
      </c>
      <c r="G276" s="125">
        <v>1.0742402500558239</v>
      </c>
      <c r="H276" s="121" t="s">
        <v>1336</v>
      </c>
      <c r="I276" s="122">
        <v>66</v>
      </c>
      <c r="J276" s="106" t="s">
        <v>4656</v>
      </c>
      <c r="K276" s="118">
        <v>235</v>
      </c>
      <c r="L276" s="46">
        <v>2.380634390651085</v>
      </c>
      <c r="M276" s="41">
        <v>559.44908180300501</v>
      </c>
      <c r="N276" s="44">
        <v>4.375</v>
      </c>
      <c r="O276" s="41">
        <v>194</v>
      </c>
      <c r="P276" s="41">
        <v>10.4</v>
      </c>
      <c r="Q276" s="41">
        <v>62.8</v>
      </c>
      <c r="R276" s="45" t="s">
        <v>1307</v>
      </c>
      <c r="S276" s="45" t="s">
        <v>1307</v>
      </c>
      <c r="T276" s="45" t="s">
        <v>1307</v>
      </c>
      <c r="U276" s="44">
        <v>29.648392598566311</v>
      </c>
      <c r="V276" s="44">
        <v>42.844999999999999</v>
      </c>
      <c r="W276" s="44">
        <v>7.002743999999999</v>
      </c>
      <c r="X276" s="44">
        <v>6.5187875799999997</v>
      </c>
      <c r="Y276" s="130" t="s">
        <v>4085</v>
      </c>
      <c r="Z276" s="224"/>
    </row>
    <row r="277" spans="2:26" ht="15" customHeight="1" x14ac:dyDescent="0.35">
      <c r="B277" s="181">
        <v>30045</v>
      </c>
      <c r="C277" s="182" t="s">
        <v>225</v>
      </c>
      <c r="D277" s="222">
        <v>5</v>
      </c>
      <c r="E277" s="223" t="s">
        <v>2265</v>
      </c>
      <c r="F277" s="183" t="s">
        <v>2266</v>
      </c>
      <c r="G277" s="125">
        <v>0.82386938949792132</v>
      </c>
      <c r="H277" s="121" t="s">
        <v>1336</v>
      </c>
      <c r="I277" s="122">
        <v>60</v>
      </c>
      <c r="J277" s="106" t="s">
        <v>4656</v>
      </c>
      <c r="K277" s="118">
        <v>163</v>
      </c>
      <c r="L277" s="46">
        <v>2.380634390651085</v>
      </c>
      <c r="M277" s="41">
        <v>388.04340567612684</v>
      </c>
      <c r="N277" s="44">
        <v>3.7149999999999999</v>
      </c>
      <c r="O277" s="41">
        <v>136</v>
      </c>
      <c r="P277" s="41">
        <v>6.65</v>
      </c>
      <c r="Q277" s="41">
        <v>24.975999999999999</v>
      </c>
      <c r="R277" s="45" t="s">
        <v>1307</v>
      </c>
      <c r="S277" s="45" t="s">
        <v>1307</v>
      </c>
      <c r="T277" s="45" t="s">
        <v>1307</v>
      </c>
      <c r="U277" s="44">
        <v>25.550229672383718</v>
      </c>
      <c r="V277" s="44">
        <v>28.83343</v>
      </c>
      <c r="W277" s="44">
        <v>1.4892000000000016</v>
      </c>
      <c r="X277" s="44">
        <v>1.8075680672000001</v>
      </c>
      <c r="Y277" s="130" t="s">
        <v>4086</v>
      </c>
      <c r="Z277" s="224"/>
    </row>
    <row r="278" spans="2:26" ht="15" customHeight="1" x14ac:dyDescent="0.35">
      <c r="B278" s="181">
        <v>68030</v>
      </c>
      <c r="C278" s="182" t="s">
        <v>678</v>
      </c>
      <c r="D278" s="222">
        <v>16</v>
      </c>
      <c r="E278" s="223" t="s">
        <v>2269</v>
      </c>
      <c r="F278" s="183" t="s">
        <v>4785</v>
      </c>
      <c r="G278" s="125">
        <v>4.1477542496662183</v>
      </c>
      <c r="H278" s="121" t="s">
        <v>1336</v>
      </c>
      <c r="I278" s="122">
        <v>49.098039215686271</v>
      </c>
      <c r="J278" s="106" t="s">
        <v>4656</v>
      </c>
      <c r="K278" s="118">
        <v>1783</v>
      </c>
      <c r="L278" s="46">
        <v>2.3662366800000001</v>
      </c>
      <c r="M278" s="41">
        <v>4219.0000004399999</v>
      </c>
      <c r="N278" s="44">
        <v>30.712</v>
      </c>
      <c r="O278" s="41">
        <v>1532</v>
      </c>
      <c r="P278" s="41">
        <v>8</v>
      </c>
      <c r="Q278" s="41">
        <v>40.700000000000003</v>
      </c>
      <c r="R278" s="45" t="s">
        <v>1307</v>
      </c>
      <c r="S278" s="45" t="s">
        <v>1307</v>
      </c>
      <c r="T278" s="45" t="s">
        <v>1307</v>
      </c>
      <c r="U278" s="44">
        <v>298.06402450719236</v>
      </c>
      <c r="V278" s="44">
        <v>467.14299999999997</v>
      </c>
      <c r="W278" s="44">
        <v>128.46003086734686</v>
      </c>
      <c r="X278" s="44">
        <v>30.970984088000009</v>
      </c>
      <c r="Y278" s="130" t="s">
        <v>4087</v>
      </c>
      <c r="Z278" s="224"/>
    </row>
    <row r="279" spans="2:26" ht="15" customHeight="1" x14ac:dyDescent="0.35">
      <c r="B279" s="181">
        <v>85100</v>
      </c>
      <c r="C279" s="182" t="s">
        <v>887</v>
      </c>
      <c r="D279" s="222">
        <v>8</v>
      </c>
      <c r="E279" s="223" t="s">
        <v>2275</v>
      </c>
      <c r="F279" s="183" t="s">
        <v>4797</v>
      </c>
      <c r="G279" s="125">
        <v>1.1779611015335476</v>
      </c>
      <c r="H279" s="121" t="s">
        <v>1325</v>
      </c>
      <c r="I279" s="122">
        <v>43.689189189189193</v>
      </c>
      <c r="J279" s="106" t="s">
        <v>4656</v>
      </c>
      <c r="K279" s="118">
        <v>72</v>
      </c>
      <c r="L279" s="46">
        <v>1.9</v>
      </c>
      <c r="M279" s="41">
        <v>136.79999999999998</v>
      </c>
      <c r="N279" s="44">
        <v>1.9129999999999998</v>
      </c>
      <c r="O279" s="41">
        <v>75</v>
      </c>
      <c r="P279" s="41">
        <v>7</v>
      </c>
      <c r="Q279" s="41">
        <v>42.2</v>
      </c>
      <c r="R279" s="45" t="s">
        <v>1324</v>
      </c>
      <c r="S279" s="45" t="s">
        <v>1324</v>
      </c>
      <c r="T279" s="45" t="s">
        <v>1307</v>
      </c>
      <c r="U279" s="44">
        <v>9.3123567567567598</v>
      </c>
      <c r="V279" s="44">
        <v>11.829000000000001</v>
      </c>
      <c r="W279" s="44">
        <v>1.9515650000000009</v>
      </c>
      <c r="X279" s="44">
        <v>1.656731277</v>
      </c>
      <c r="Y279" s="130" t="s">
        <v>4088</v>
      </c>
      <c r="Z279" s="224"/>
    </row>
    <row r="280" spans="2:26" ht="15" customHeight="1" x14ac:dyDescent="0.35">
      <c r="B280" s="181">
        <v>34007</v>
      </c>
      <c r="C280" s="182" t="s">
        <v>285</v>
      </c>
      <c r="D280" s="222">
        <v>3</v>
      </c>
      <c r="E280" s="223" t="s">
        <v>2277</v>
      </c>
      <c r="F280" s="183" t="s">
        <v>2278</v>
      </c>
      <c r="G280" s="125">
        <v>1.8277346047585727</v>
      </c>
      <c r="H280" s="121" t="s">
        <v>1336</v>
      </c>
      <c r="I280" s="122">
        <v>58.729729729729748</v>
      </c>
      <c r="J280" s="106" t="s">
        <v>4656</v>
      </c>
      <c r="K280" s="118">
        <v>1316</v>
      </c>
      <c r="L280" s="46">
        <v>2.443355119825708</v>
      </c>
      <c r="M280" s="41">
        <v>3215.4553376906315</v>
      </c>
      <c r="N280" s="44">
        <v>30.943999999999999</v>
      </c>
      <c r="O280" s="41">
        <v>1153</v>
      </c>
      <c r="P280" s="41">
        <v>10</v>
      </c>
      <c r="Q280" s="41">
        <v>45.7</v>
      </c>
      <c r="R280" s="45" t="s">
        <v>1307</v>
      </c>
      <c r="S280" s="45" t="s">
        <v>1307</v>
      </c>
      <c r="T280" s="45" t="s">
        <v>1307</v>
      </c>
      <c r="U280" s="44">
        <v>241.20400000000001</v>
      </c>
      <c r="V280" s="44">
        <v>363.26</v>
      </c>
      <c r="W280" s="44">
        <v>53.891033333333333</v>
      </c>
      <c r="X280" s="44">
        <v>29.485152381000002</v>
      </c>
      <c r="Y280" s="130" t="s">
        <v>4089</v>
      </c>
      <c r="Z280" s="224"/>
    </row>
    <row r="281" spans="2:26" ht="15" customHeight="1" x14ac:dyDescent="0.35">
      <c r="B281" s="181">
        <v>5040</v>
      </c>
      <c r="C281" s="182" t="s">
        <v>1049</v>
      </c>
      <c r="D281" s="222">
        <v>11</v>
      </c>
      <c r="E281" s="223" t="s">
        <v>2280</v>
      </c>
      <c r="F281" s="183" t="s">
        <v>2281</v>
      </c>
      <c r="G281" s="125">
        <v>6.5919425950939514</v>
      </c>
      <c r="H281" s="121" t="s">
        <v>1336</v>
      </c>
      <c r="I281" s="122">
        <v>38.081081081081081</v>
      </c>
      <c r="J281" s="106" t="s">
        <v>4656</v>
      </c>
      <c r="K281" s="118">
        <v>530</v>
      </c>
      <c r="L281" s="46">
        <v>2.16</v>
      </c>
      <c r="M281" s="41">
        <v>1144.8000000000002</v>
      </c>
      <c r="N281" s="44">
        <v>14.59</v>
      </c>
      <c r="O281" s="41">
        <v>583</v>
      </c>
      <c r="P281" s="41">
        <v>10</v>
      </c>
      <c r="Q281" s="41">
        <v>55</v>
      </c>
      <c r="R281" s="45" t="s">
        <v>1307</v>
      </c>
      <c r="S281" s="45" t="s">
        <v>1307</v>
      </c>
      <c r="T281" s="45" t="s">
        <v>1307</v>
      </c>
      <c r="U281" s="44">
        <v>132.34363636363636</v>
      </c>
      <c r="V281" s="44">
        <v>292.72300000000001</v>
      </c>
      <c r="W281" s="44">
        <v>115.761155</v>
      </c>
      <c r="X281" s="44">
        <v>17.561007750000002</v>
      </c>
      <c r="Y281" s="130" t="s">
        <v>4090</v>
      </c>
      <c r="Z281" s="224" t="s">
        <v>4091</v>
      </c>
    </row>
    <row r="282" spans="2:26" ht="15" customHeight="1" x14ac:dyDescent="0.35">
      <c r="B282" s="181">
        <v>5070</v>
      </c>
      <c r="C282" s="182" t="s">
        <v>1055</v>
      </c>
      <c r="D282" s="222">
        <v>11</v>
      </c>
      <c r="E282" s="223" t="s">
        <v>2284</v>
      </c>
      <c r="F282" s="183" t="s">
        <v>2285</v>
      </c>
      <c r="G282" s="125">
        <v>1.7116986511491377</v>
      </c>
      <c r="H282" s="121" t="s">
        <v>1336</v>
      </c>
      <c r="I282" s="122">
        <v>59.081081081081081</v>
      </c>
      <c r="J282" s="106" t="s">
        <v>4656</v>
      </c>
      <c r="K282" s="118">
        <v>1728</v>
      </c>
      <c r="L282" s="46">
        <v>2.2710733778047301</v>
      </c>
      <c r="M282" s="41">
        <v>3924.4147968465736</v>
      </c>
      <c r="N282" s="44">
        <v>32.384999999999998</v>
      </c>
      <c r="O282" s="41">
        <v>1514</v>
      </c>
      <c r="P282" s="41">
        <v>15</v>
      </c>
      <c r="Q282" s="41">
        <v>70</v>
      </c>
      <c r="R282" s="45" t="s">
        <v>1307</v>
      </c>
      <c r="S282" s="45" t="s">
        <v>1307</v>
      </c>
      <c r="T282" s="45" t="s">
        <v>1307</v>
      </c>
      <c r="U282" s="44">
        <v>449.29073847747281</v>
      </c>
      <c r="V282" s="44">
        <v>614.58500000000004</v>
      </c>
      <c r="W282" s="44">
        <v>103.29422500000001</v>
      </c>
      <c r="X282" s="44">
        <v>60.346034000000003</v>
      </c>
      <c r="Y282" s="130" t="s">
        <v>4092</v>
      </c>
      <c r="Z282" s="224" t="s">
        <v>3766</v>
      </c>
    </row>
    <row r="283" spans="2:26" ht="15" customHeight="1" x14ac:dyDescent="0.35">
      <c r="B283" s="181">
        <v>50072</v>
      </c>
      <c r="C283" s="182" t="s">
        <v>491</v>
      </c>
      <c r="D283" s="222">
        <v>17</v>
      </c>
      <c r="E283" s="223" t="s">
        <v>2288</v>
      </c>
      <c r="F283" s="183" t="s">
        <v>2289</v>
      </c>
      <c r="G283" s="125">
        <v>3.1904905252810805</v>
      </c>
      <c r="H283" s="121" t="s">
        <v>1336</v>
      </c>
      <c r="I283" s="122">
        <v>66.54901960784315</v>
      </c>
      <c r="J283" s="106" t="s">
        <v>4656</v>
      </c>
      <c r="K283" s="118">
        <v>4180</v>
      </c>
      <c r="L283" s="46">
        <v>2.1885182311869666</v>
      </c>
      <c r="M283" s="41">
        <v>9148.0062063615205</v>
      </c>
      <c r="N283" s="44">
        <v>110.851</v>
      </c>
      <c r="O283" s="41">
        <v>4773</v>
      </c>
      <c r="P283" s="41">
        <v>25</v>
      </c>
      <c r="Q283" s="41">
        <v>53</v>
      </c>
      <c r="R283" s="45" t="s">
        <v>1307</v>
      </c>
      <c r="S283" s="45" t="s">
        <v>1307</v>
      </c>
      <c r="T283" s="45" t="s">
        <v>1307</v>
      </c>
      <c r="U283" s="44">
        <v>689.77569999999992</v>
      </c>
      <c r="V283" s="44">
        <v>1368.1990000000001</v>
      </c>
      <c r="W283" s="44">
        <v>542.94149489795916</v>
      </c>
      <c r="X283" s="44">
        <v>170.17492783500001</v>
      </c>
      <c r="Y283" s="130" t="s">
        <v>4093</v>
      </c>
      <c r="Z283" s="224"/>
    </row>
    <row r="284" spans="2:26" ht="15" customHeight="1" x14ac:dyDescent="0.35">
      <c r="B284" s="181">
        <v>79030</v>
      </c>
      <c r="C284" s="182" t="s">
        <v>791</v>
      </c>
      <c r="D284" s="222">
        <v>15</v>
      </c>
      <c r="E284" s="223" t="s">
        <v>2293</v>
      </c>
      <c r="F284" s="183" t="s">
        <v>2294</v>
      </c>
      <c r="G284" s="125">
        <v>7.435411364795967</v>
      </c>
      <c r="H284" s="121" t="s">
        <v>1336</v>
      </c>
      <c r="I284" s="122">
        <v>58.202702702702709</v>
      </c>
      <c r="J284" s="106" t="s">
        <v>4656</v>
      </c>
      <c r="K284" s="118">
        <v>355</v>
      </c>
      <c r="L284" s="46">
        <v>1.7963917525773196</v>
      </c>
      <c r="M284" s="41">
        <v>637.71907216494844</v>
      </c>
      <c r="N284" s="44">
        <v>17.286999999999999</v>
      </c>
      <c r="O284" s="41">
        <v>360</v>
      </c>
      <c r="P284" s="41">
        <v>10</v>
      </c>
      <c r="Q284" s="41">
        <v>65.2</v>
      </c>
      <c r="R284" s="45" t="s">
        <v>1307</v>
      </c>
      <c r="S284" s="45" t="s">
        <v>1307</v>
      </c>
      <c r="T284" s="45" t="s">
        <v>1307</v>
      </c>
      <c r="U284" s="44">
        <v>112.59092465753425</v>
      </c>
      <c r="V284" s="44">
        <v>264.834</v>
      </c>
      <c r="W284" s="44">
        <v>121.94649</v>
      </c>
      <c r="X284" s="44">
        <v>16.400772468</v>
      </c>
      <c r="Y284" s="130" t="s">
        <v>4094</v>
      </c>
      <c r="Z284" s="224"/>
    </row>
    <row r="285" spans="2:26" ht="15" customHeight="1" x14ac:dyDescent="0.35">
      <c r="B285" s="181">
        <v>19010</v>
      </c>
      <c r="C285" s="182" t="s">
        <v>119</v>
      </c>
      <c r="D285" s="222">
        <v>12</v>
      </c>
      <c r="E285" s="223" t="s">
        <v>2297</v>
      </c>
      <c r="F285" s="183" t="s">
        <v>2298</v>
      </c>
      <c r="G285" s="125">
        <v>1.1133805324575332</v>
      </c>
      <c r="H285" s="121" t="s">
        <v>1336</v>
      </c>
      <c r="I285" s="122">
        <v>59.081081081081081</v>
      </c>
      <c r="J285" s="106" t="s">
        <v>4656</v>
      </c>
      <c r="K285" s="118">
        <v>268</v>
      </c>
      <c r="L285" s="46">
        <v>1.8987951807228916</v>
      </c>
      <c r="M285" s="41">
        <v>508.87710843373492</v>
      </c>
      <c r="N285" s="44">
        <v>7.1609999999999996</v>
      </c>
      <c r="O285" s="41">
        <v>268</v>
      </c>
      <c r="P285" s="41">
        <v>6</v>
      </c>
      <c r="Q285" s="41">
        <v>56</v>
      </c>
      <c r="R285" s="45" t="s">
        <v>1307</v>
      </c>
      <c r="S285" s="45" t="s">
        <v>1307</v>
      </c>
      <c r="T285" s="45" t="s">
        <v>1307</v>
      </c>
      <c r="U285" s="44">
        <v>56.591999999999999</v>
      </c>
      <c r="V285" s="44">
        <v>72.102999999999994</v>
      </c>
      <c r="W285" s="44">
        <v>8.7274549999999955</v>
      </c>
      <c r="X285" s="44">
        <v>7.8386991199999994</v>
      </c>
      <c r="Y285" s="130" t="s">
        <v>4095</v>
      </c>
      <c r="Z285" s="224" t="s">
        <v>3762</v>
      </c>
    </row>
    <row r="286" spans="2:26" ht="15" customHeight="1" x14ac:dyDescent="0.35">
      <c r="B286" s="181">
        <v>80015</v>
      </c>
      <c r="C286" s="182" t="s">
        <v>805</v>
      </c>
      <c r="D286" s="222">
        <v>7</v>
      </c>
      <c r="E286" s="223" t="s">
        <v>2301</v>
      </c>
      <c r="F286" s="183" t="s">
        <v>2302</v>
      </c>
      <c r="G286" s="125">
        <v>0.27104921477896216</v>
      </c>
      <c r="H286" s="121" t="s">
        <v>1336</v>
      </c>
      <c r="I286" s="122">
        <v>54.035104515717265</v>
      </c>
      <c r="J286" s="106" t="s">
        <v>4656</v>
      </c>
      <c r="K286" s="118">
        <v>31</v>
      </c>
      <c r="L286" s="46">
        <v>1.99</v>
      </c>
      <c r="M286" s="41">
        <v>61.69</v>
      </c>
      <c r="N286" s="44">
        <v>2.331</v>
      </c>
      <c r="O286" s="41">
        <v>37</v>
      </c>
      <c r="P286" s="41">
        <v>30</v>
      </c>
      <c r="Q286" s="41">
        <v>30</v>
      </c>
      <c r="R286" s="45" t="s">
        <v>1307</v>
      </c>
      <c r="S286" s="45" t="s">
        <v>1307</v>
      </c>
      <c r="T286" s="45" t="s">
        <v>1307</v>
      </c>
      <c r="U286" s="44">
        <v>6.3920000000000003</v>
      </c>
      <c r="V286" s="44">
        <v>8.4311878597592873</v>
      </c>
      <c r="W286" s="44">
        <v>0.29474504186289741</v>
      </c>
      <c r="X286" s="44">
        <v>1.0874225999999998</v>
      </c>
      <c r="Y286" s="130" t="s">
        <v>4096</v>
      </c>
      <c r="Z286" s="224"/>
    </row>
    <row r="287" spans="2:26" ht="15" customHeight="1" x14ac:dyDescent="0.35">
      <c r="B287" s="181">
        <v>39015</v>
      </c>
      <c r="C287" s="182" t="s">
        <v>339</v>
      </c>
      <c r="D287" s="222">
        <v>17</v>
      </c>
      <c r="E287" s="223" t="s">
        <v>2303</v>
      </c>
      <c r="F287" s="183" t="s">
        <v>4773</v>
      </c>
      <c r="G287" s="125">
        <v>0.9406901702553746</v>
      </c>
      <c r="H287" s="121" t="s">
        <v>1336</v>
      </c>
      <c r="I287" s="122">
        <v>44.729729729729726</v>
      </c>
      <c r="J287" s="106" t="s">
        <v>4656</v>
      </c>
      <c r="K287" s="118">
        <v>69</v>
      </c>
      <c r="L287" s="46">
        <v>1.9900990099009901</v>
      </c>
      <c r="M287" s="41">
        <v>137.31683168316832</v>
      </c>
      <c r="N287" s="44">
        <v>2.105</v>
      </c>
      <c r="O287" s="41">
        <v>68</v>
      </c>
      <c r="P287" s="41">
        <v>9</v>
      </c>
      <c r="Q287" s="41">
        <v>42.2</v>
      </c>
      <c r="R287" s="45" t="s">
        <v>1307</v>
      </c>
      <c r="S287" s="45" t="s">
        <v>1307</v>
      </c>
      <c r="T287" s="45" t="s">
        <v>1307</v>
      </c>
      <c r="U287" s="44">
        <v>8.8437999999999999</v>
      </c>
      <c r="V287" s="44">
        <v>11.472</v>
      </c>
      <c r="W287" s="44">
        <v>1.5589200000000001</v>
      </c>
      <c r="X287" s="44">
        <v>1.6572087700000002</v>
      </c>
      <c r="Y287" s="130" t="s">
        <v>4097</v>
      </c>
      <c r="Z287" s="224"/>
    </row>
    <row r="288" spans="2:26" ht="15" customHeight="1" x14ac:dyDescent="0.35">
      <c r="B288" s="181">
        <v>71065</v>
      </c>
      <c r="C288" s="182" t="s">
        <v>714</v>
      </c>
      <c r="D288" s="222">
        <v>16</v>
      </c>
      <c r="E288" s="223" t="s">
        <v>2304</v>
      </c>
      <c r="F288" s="183" t="s">
        <v>2305</v>
      </c>
      <c r="G288" s="125">
        <v>2.1103751740819616</v>
      </c>
      <c r="H288" s="121" t="s">
        <v>1336</v>
      </c>
      <c r="I288" s="122">
        <v>70.271929824561411</v>
      </c>
      <c r="J288" s="106" t="s">
        <v>4656</v>
      </c>
      <c r="K288" s="118">
        <v>3909</v>
      </c>
      <c r="L288" s="46">
        <v>2.8318471337579618</v>
      </c>
      <c r="M288" s="41">
        <v>11069.690445859873</v>
      </c>
      <c r="N288" s="44">
        <v>82.497</v>
      </c>
      <c r="O288" s="41">
        <v>4956</v>
      </c>
      <c r="P288" s="41">
        <v>5</v>
      </c>
      <c r="Q288" s="41">
        <v>46</v>
      </c>
      <c r="R288" s="45" t="s">
        <v>1307</v>
      </c>
      <c r="S288" s="45" t="s">
        <v>1307</v>
      </c>
      <c r="T288" s="45" t="s">
        <v>1307</v>
      </c>
      <c r="U288" s="44">
        <v>869.89</v>
      </c>
      <c r="V288" s="44">
        <v>1383.63</v>
      </c>
      <c r="W288" s="44">
        <v>215.05280234693905</v>
      </c>
      <c r="X288" s="44">
        <v>101.90264034</v>
      </c>
      <c r="Y288" s="130" t="s">
        <v>4098</v>
      </c>
      <c r="Z288" s="224"/>
    </row>
    <row r="289" spans="2:26" ht="15" customHeight="1" x14ac:dyDescent="0.35">
      <c r="B289" s="181">
        <v>61045</v>
      </c>
      <c r="C289" s="182" t="s">
        <v>617</v>
      </c>
      <c r="D289" s="222">
        <v>14</v>
      </c>
      <c r="E289" s="223" t="s">
        <v>1296</v>
      </c>
      <c r="F289" s="183" t="s">
        <v>2307</v>
      </c>
      <c r="G289" s="125">
        <v>3.4518852714159318</v>
      </c>
      <c r="H289" s="121" t="s">
        <v>1325</v>
      </c>
      <c r="I289" s="122">
        <v>58.905405405405418</v>
      </c>
      <c r="J289" s="106" t="s">
        <v>4656</v>
      </c>
      <c r="K289" s="118">
        <v>402</v>
      </c>
      <c r="L289" s="46">
        <v>2.4704370179948585</v>
      </c>
      <c r="M289" s="41">
        <v>993.11568123393306</v>
      </c>
      <c r="N289" s="44">
        <v>7.7149999999999999</v>
      </c>
      <c r="O289" s="41">
        <v>425</v>
      </c>
      <c r="P289" s="41">
        <v>5</v>
      </c>
      <c r="Q289" s="41">
        <v>29.4</v>
      </c>
      <c r="R289" s="45" t="s">
        <v>1324</v>
      </c>
      <c r="S289" s="45" t="s">
        <v>1324</v>
      </c>
      <c r="T289" s="45" t="s">
        <v>1324</v>
      </c>
      <c r="U289" s="44">
        <v>63.784585152838432</v>
      </c>
      <c r="V289" s="44">
        <v>93.783000000000001</v>
      </c>
      <c r="W289" s="44">
        <v>19.706255000000002</v>
      </c>
      <c r="X289" s="44">
        <v>5.7088383449999993</v>
      </c>
      <c r="Y289" s="130" t="s">
        <v>4099</v>
      </c>
      <c r="Z289" s="224"/>
    </row>
    <row r="290" spans="2:26" ht="15" customHeight="1" x14ac:dyDescent="0.35">
      <c r="B290" s="181">
        <v>79010</v>
      </c>
      <c r="C290" s="182" t="s">
        <v>787</v>
      </c>
      <c r="D290" s="222">
        <v>15</v>
      </c>
      <c r="E290" s="223" t="s">
        <v>2311</v>
      </c>
      <c r="F290" s="183" t="s">
        <v>2312</v>
      </c>
      <c r="G290" s="125">
        <v>0.27834919801476954</v>
      </c>
      <c r="H290" s="121" t="s">
        <v>1336</v>
      </c>
      <c r="I290" s="122">
        <v>58.72972972972974</v>
      </c>
      <c r="J290" s="106" t="s">
        <v>4656</v>
      </c>
      <c r="K290" s="118">
        <v>97</v>
      </c>
      <c r="L290" s="46">
        <v>1.75</v>
      </c>
      <c r="M290" s="41">
        <v>169.75</v>
      </c>
      <c r="N290" s="44">
        <v>5.343</v>
      </c>
      <c r="O290" s="41">
        <v>104</v>
      </c>
      <c r="P290" s="41">
        <v>10</v>
      </c>
      <c r="Q290" s="41">
        <v>42</v>
      </c>
      <c r="R290" s="45" t="s">
        <v>1307</v>
      </c>
      <c r="S290" s="45" t="s">
        <v>1307</v>
      </c>
      <c r="T290" s="45" t="s">
        <v>1307</v>
      </c>
      <c r="U290" s="44">
        <v>13.961882882882882</v>
      </c>
      <c r="V290" s="44">
        <v>17.11</v>
      </c>
      <c r="W290" s="44">
        <v>0.87634999999999752</v>
      </c>
      <c r="X290" s="44">
        <v>3.1483834200000005</v>
      </c>
      <c r="Y290" s="130" t="s">
        <v>4100</v>
      </c>
      <c r="Z290" s="224" t="s">
        <v>3761</v>
      </c>
    </row>
    <row r="291" spans="2:26" ht="15" customHeight="1" x14ac:dyDescent="0.35">
      <c r="B291" s="181">
        <v>30010</v>
      </c>
      <c r="C291" s="182" t="s">
        <v>218</v>
      </c>
      <c r="D291" s="222">
        <v>5</v>
      </c>
      <c r="E291" s="223" t="s">
        <v>2315</v>
      </c>
      <c r="F291" s="183" t="s">
        <v>2316</v>
      </c>
      <c r="G291" s="125">
        <v>0.47071043319097866</v>
      </c>
      <c r="H291" s="121" t="s">
        <v>1336</v>
      </c>
      <c r="I291" s="122">
        <v>62</v>
      </c>
      <c r="J291" s="106" t="s">
        <v>4656</v>
      </c>
      <c r="K291" s="118">
        <v>99</v>
      </c>
      <c r="L291" s="46">
        <v>2.2744630071599046</v>
      </c>
      <c r="M291" s="41">
        <v>225.17183770883057</v>
      </c>
      <c r="N291" s="44">
        <v>3.3</v>
      </c>
      <c r="O291" s="41">
        <v>100</v>
      </c>
      <c r="P291" s="41">
        <v>9.8000000000000007</v>
      </c>
      <c r="Q291" s="41">
        <v>50</v>
      </c>
      <c r="R291" s="45" t="s">
        <v>1307</v>
      </c>
      <c r="S291" s="45" t="s">
        <v>1307</v>
      </c>
      <c r="T291" s="45" t="s">
        <v>1307</v>
      </c>
      <c r="U291" s="44">
        <v>13.835705512075473</v>
      </c>
      <c r="V291" s="44">
        <v>16.469000000000001</v>
      </c>
      <c r="W291" s="44">
        <v>1.4079772800000256</v>
      </c>
      <c r="X291" s="44">
        <v>2.9911750000000001</v>
      </c>
      <c r="Y291" s="130" t="s">
        <v>4101</v>
      </c>
      <c r="Z291" s="224"/>
    </row>
    <row r="292" spans="2:26" ht="15" customHeight="1" x14ac:dyDescent="0.35">
      <c r="B292" s="181">
        <v>15025</v>
      </c>
      <c r="C292" s="182" t="s">
        <v>79</v>
      </c>
      <c r="D292" s="222">
        <v>3</v>
      </c>
      <c r="E292" s="223" t="s">
        <v>2318</v>
      </c>
      <c r="F292" s="183" t="s">
        <v>2319</v>
      </c>
      <c r="G292" s="125">
        <v>0.92473965920626933</v>
      </c>
      <c r="H292" s="121" t="s">
        <v>1336</v>
      </c>
      <c r="I292" s="122">
        <v>54.891891891891888</v>
      </c>
      <c r="J292" s="106" t="s">
        <v>4656</v>
      </c>
      <c r="K292" s="118">
        <v>378</v>
      </c>
      <c r="L292" s="46">
        <v>2.2627118644067798</v>
      </c>
      <c r="M292" s="41">
        <v>855.30508474576277</v>
      </c>
      <c r="N292" s="44">
        <v>4.7560000000000002</v>
      </c>
      <c r="O292" s="41">
        <v>240</v>
      </c>
      <c r="P292" s="41">
        <v>6.0960000000000001</v>
      </c>
      <c r="Q292" s="41">
        <v>56</v>
      </c>
      <c r="R292" s="45" t="s">
        <v>1307</v>
      </c>
      <c r="S292" s="45" t="s">
        <v>1307</v>
      </c>
      <c r="T292" s="45" t="s">
        <v>1307</v>
      </c>
      <c r="U292" s="44">
        <v>53.306813471502593</v>
      </c>
      <c r="V292" s="44">
        <v>61.292999999999999</v>
      </c>
      <c r="W292" s="44">
        <v>5.9386049999999972</v>
      </c>
      <c r="X292" s="44">
        <v>6.4219209599999996</v>
      </c>
      <c r="Y292" s="130" t="s">
        <v>4102</v>
      </c>
      <c r="Z292" s="224"/>
    </row>
    <row r="293" spans="2:26" ht="15" customHeight="1" x14ac:dyDescent="0.35">
      <c r="B293" s="181">
        <v>11045</v>
      </c>
      <c r="C293" s="182" t="s">
        <v>25</v>
      </c>
      <c r="D293" s="222">
        <v>1</v>
      </c>
      <c r="E293" s="223" t="s">
        <v>2321</v>
      </c>
      <c r="F293" s="183" t="s">
        <v>2322</v>
      </c>
      <c r="G293" s="125">
        <v>2.4982519519933133</v>
      </c>
      <c r="H293" s="121" t="s">
        <v>1336</v>
      </c>
      <c r="I293" s="122">
        <v>64.456140350877206</v>
      </c>
      <c r="J293" s="106" t="s">
        <v>4656</v>
      </c>
      <c r="K293" s="118">
        <v>312</v>
      </c>
      <c r="L293" s="46">
        <v>1.8651488616462346</v>
      </c>
      <c r="M293" s="41">
        <v>581.92644483362517</v>
      </c>
      <c r="N293" s="44">
        <v>12.218999999999999</v>
      </c>
      <c r="O293" s="41">
        <v>346</v>
      </c>
      <c r="P293" s="41">
        <v>10</v>
      </c>
      <c r="Q293" s="41">
        <v>49.699999999999996</v>
      </c>
      <c r="R293" s="45" t="s">
        <v>1307</v>
      </c>
      <c r="S293" s="45" t="s">
        <v>1307</v>
      </c>
      <c r="T293" s="45" t="s">
        <v>1307</v>
      </c>
      <c r="U293" s="44">
        <v>47.018000000000001</v>
      </c>
      <c r="V293" s="44">
        <v>89.438000000000002</v>
      </c>
      <c r="W293" s="44">
        <v>26.432258877551025</v>
      </c>
      <c r="X293" s="44">
        <v>10.580301500999997</v>
      </c>
      <c r="Y293" s="130" t="s">
        <v>4103</v>
      </c>
      <c r="Z293" s="224"/>
    </row>
    <row r="294" spans="2:26" ht="15" customHeight="1" x14ac:dyDescent="0.35">
      <c r="B294" s="181">
        <v>29120</v>
      </c>
      <c r="C294" s="182" t="s">
        <v>215</v>
      </c>
      <c r="D294" s="222">
        <v>12</v>
      </c>
      <c r="E294" s="223" t="s">
        <v>2325</v>
      </c>
      <c r="F294" s="183" t="s">
        <v>2326</v>
      </c>
      <c r="G294" s="125">
        <v>1.7477872013071645</v>
      </c>
      <c r="H294" s="121" t="s">
        <v>1325</v>
      </c>
      <c r="I294" s="122">
        <v>67.058823529411768</v>
      </c>
      <c r="J294" s="106" t="s">
        <v>4656</v>
      </c>
      <c r="K294" s="118">
        <v>669</v>
      </c>
      <c r="L294" s="46">
        <v>2.1766233766233767</v>
      </c>
      <c r="M294" s="41">
        <v>1456.1610389610389</v>
      </c>
      <c r="N294" s="44">
        <v>13.621</v>
      </c>
      <c r="O294" s="41">
        <v>622</v>
      </c>
      <c r="P294" s="41">
        <v>7.8</v>
      </c>
      <c r="Q294" s="41">
        <v>46</v>
      </c>
      <c r="R294" s="45" t="s">
        <v>1324</v>
      </c>
      <c r="S294" s="45" t="s">
        <v>1324</v>
      </c>
      <c r="T294" s="45" t="s">
        <v>1324</v>
      </c>
      <c r="U294" s="44">
        <v>86.260999999999996</v>
      </c>
      <c r="V294" s="44">
        <v>121.752</v>
      </c>
      <c r="W294" s="44">
        <v>25.356375386597932</v>
      </c>
      <c r="X294" s="44">
        <v>14.507701719999998</v>
      </c>
      <c r="Y294" s="130" t="s">
        <v>4104</v>
      </c>
      <c r="Z294" s="224"/>
    </row>
    <row r="295" spans="2:26" ht="15" customHeight="1" x14ac:dyDescent="0.35">
      <c r="B295" s="181">
        <v>61030</v>
      </c>
      <c r="C295" s="182" t="s">
        <v>614</v>
      </c>
      <c r="D295" s="222">
        <v>14</v>
      </c>
      <c r="E295" s="223" t="s">
        <v>2329</v>
      </c>
      <c r="F295" s="183" t="s">
        <v>2330</v>
      </c>
      <c r="G295" s="125">
        <v>3.0408274972393992</v>
      </c>
      <c r="H295" s="121" t="s">
        <v>1336</v>
      </c>
      <c r="I295" s="122">
        <v>51.71052631578948</v>
      </c>
      <c r="J295" s="106" t="s">
        <v>4656</v>
      </c>
      <c r="K295" s="118">
        <v>4067</v>
      </c>
      <c r="L295" s="46">
        <v>2.1433740388964271</v>
      </c>
      <c r="M295" s="41">
        <v>8717.1022161917681</v>
      </c>
      <c r="N295" s="44">
        <v>58.472999999999999</v>
      </c>
      <c r="O295" s="41">
        <v>3178</v>
      </c>
      <c r="P295" s="41">
        <v>7.5</v>
      </c>
      <c r="Q295" s="41">
        <v>43</v>
      </c>
      <c r="R295" s="45" t="s">
        <v>1307</v>
      </c>
      <c r="S295" s="45" t="s">
        <v>1307</v>
      </c>
      <c r="T295" s="45" t="s">
        <v>1307</v>
      </c>
      <c r="U295" s="44">
        <v>885.77807713092614</v>
      </c>
      <c r="V295" s="44">
        <v>1187.4929999999999</v>
      </c>
      <c r="W295" s="44">
        <v>200.0087055612243</v>
      </c>
      <c r="X295" s="44">
        <v>65.774433354999999</v>
      </c>
      <c r="Y295" s="130" t="s">
        <v>4105</v>
      </c>
      <c r="Z295" s="224" t="s">
        <v>4106</v>
      </c>
    </row>
    <row r="296" spans="2:26" ht="15" customHeight="1" x14ac:dyDescent="0.35">
      <c r="B296" s="181">
        <v>49075</v>
      </c>
      <c r="C296" s="182" t="s">
        <v>473</v>
      </c>
      <c r="D296" s="222">
        <v>17</v>
      </c>
      <c r="E296" s="223" t="s">
        <v>2332</v>
      </c>
      <c r="F296" s="183" t="s">
        <v>2333</v>
      </c>
      <c r="G296" s="125">
        <v>4.9231363790336609</v>
      </c>
      <c r="H296" s="121" t="s">
        <v>1325</v>
      </c>
      <c r="I296" s="122">
        <v>46.156271209097405</v>
      </c>
      <c r="J296" s="106" t="s">
        <v>4656</v>
      </c>
      <c r="K296" s="118">
        <v>754</v>
      </c>
      <c r="L296" s="46">
        <v>2.4004914004914006</v>
      </c>
      <c r="M296" s="41">
        <v>1809.9705159705161</v>
      </c>
      <c r="N296" s="44">
        <v>14.492000000000001</v>
      </c>
      <c r="O296" s="41">
        <v>617</v>
      </c>
      <c r="P296" s="41">
        <v>6.0960000000000001</v>
      </c>
      <c r="Q296" s="41">
        <v>43.6</v>
      </c>
      <c r="R296" s="45" t="s">
        <v>1324</v>
      </c>
      <c r="S296" s="45" t="s">
        <v>1307</v>
      </c>
      <c r="T296" s="45" t="s">
        <v>1324</v>
      </c>
      <c r="U296" s="44">
        <v>135.89724000000001</v>
      </c>
      <c r="V296" s="44">
        <v>1008.9922899999999</v>
      </c>
      <c r="W296" s="44">
        <v>66.476219119387679</v>
      </c>
      <c r="X296" s="44">
        <v>13.502818935200001</v>
      </c>
      <c r="Y296" s="130" t="s">
        <v>4107</v>
      </c>
      <c r="Z296" s="224"/>
    </row>
    <row r="297" spans="2:26" ht="15" customHeight="1" x14ac:dyDescent="0.35">
      <c r="B297" s="181">
        <v>37235</v>
      </c>
      <c r="C297" s="182" t="s">
        <v>321</v>
      </c>
      <c r="D297" s="222">
        <v>4</v>
      </c>
      <c r="E297" s="223" t="s">
        <v>2336</v>
      </c>
      <c r="F297" s="183" t="s">
        <v>2337</v>
      </c>
      <c r="G297" s="125">
        <v>2.4118819952187809</v>
      </c>
      <c r="H297" s="121" t="s">
        <v>1336</v>
      </c>
      <c r="I297" s="122">
        <v>55</v>
      </c>
      <c r="J297" s="106" t="s">
        <v>4656</v>
      </c>
      <c r="K297" s="118">
        <v>2407</v>
      </c>
      <c r="L297" s="46">
        <v>2.3576264436479488</v>
      </c>
      <c r="M297" s="41">
        <v>5674.8068498606126</v>
      </c>
      <c r="N297" s="44">
        <v>96.783000000000001</v>
      </c>
      <c r="O297" s="41">
        <v>2734</v>
      </c>
      <c r="P297" s="41">
        <v>20</v>
      </c>
      <c r="Q297" s="41">
        <v>53.9</v>
      </c>
      <c r="R297" s="45" t="s">
        <v>1307</v>
      </c>
      <c r="S297" s="45" t="s">
        <v>1307</v>
      </c>
      <c r="T297" s="45" t="s">
        <v>1307</v>
      </c>
      <c r="U297" s="44">
        <v>428.2727227339102</v>
      </c>
      <c r="V297" s="44">
        <v>715.56200000000001</v>
      </c>
      <c r="W297" s="44">
        <v>251.30999999999997</v>
      </c>
      <c r="X297" s="44">
        <v>104.19664000900001</v>
      </c>
      <c r="Y297" s="130" t="s">
        <v>4108</v>
      </c>
      <c r="Z297" s="224"/>
    </row>
    <row r="298" spans="2:26" ht="15" customHeight="1" x14ac:dyDescent="0.35">
      <c r="B298" s="181">
        <v>85090</v>
      </c>
      <c r="C298" s="182" t="s">
        <v>885</v>
      </c>
      <c r="D298" s="222">
        <v>8</v>
      </c>
      <c r="E298" s="223" t="s">
        <v>2339</v>
      </c>
      <c r="F298" s="183" t="s">
        <v>2340</v>
      </c>
      <c r="G298" s="125">
        <v>2.3451525953014229</v>
      </c>
      <c r="H298" s="121" t="s">
        <v>1325</v>
      </c>
      <c r="I298" s="122">
        <v>61.377192982456151</v>
      </c>
      <c r="J298" s="106" t="s">
        <v>4656</v>
      </c>
      <c r="K298" s="118">
        <v>475</v>
      </c>
      <c r="L298" s="46">
        <v>1.87</v>
      </c>
      <c r="M298" s="41">
        <v>888.25</v>
      </c>
      <c r="N298" s="44">
        <v>14.34</v>
      </c>
      <c r="O298" s="41">
        <v>519</v>
      </c>
      <c r="P298" s="41">
        <v>7.5</v>
      </c>
      <c r="Q298" s="41">
        <v>36.07</v>
      </c>
      <c r="R298" s="45" t="s">
        <v>1307</v>
      </c>
      <c r="S298" s="45" t="s">
        <v>1324</v>
      </c>
      <c r="T298" s="45" t="s">
        <v>1307</v>
      </c>
      <c r="U298" s="44">
        <v>93.593999999999994</v>
      </c>
      <c r="V298" s="44">
        <v>142.733</v>
      </c>
      <c r="W298" s="44">
        <v>23.793450867346955</v>
      </c>
      <c r="X298" s="44">
        <v>10.145800710375001</v>
      </c>
      <c r="Y298" s="130" t="s">
        <v>4109</v>
      </c>
      <c r="Z298" s="224"/>
    </row>
    <row r="299" spans="2:26" ht="15" customHeight="1" x14ac:dyDescent="0.35">
      <c r="B299" s="181">
        <v>12080</v>
      </c>
      <c r="C299" s="182" t="s">
        <v>40</v>
      </c>
      <c r="D299" s="222">
        <v>1</v>
      </c>
      <c r="E299" s="223" t="s">
        <v>2342</v>
      </c>
      <c r="F299" s="183" t="s">
        <v>2343</v>
      </c>
      <c r="G299" s="125">
        <v>0.20495413681274954</v>
      </c>
      <c r="H299" s="121" t="s">
        <v>1325</v>
      </c>
      <c r="I299" s="122">
        <v>65.019607843137265</v>
      </c>
      <c r="J299" s="106" t="s">
        <v>4656</v>
      </c>
      <c r="K299" s="118">
        <v>88</v>
      </c>
      <c r="L299" s="46">
        <v>2.0596745027124772</v>
      </c>
      <c r="M299" s="41">
        <v>181.25135623869801</v>
      </c>
      <c r="N299" s="44">
        <v>3.7149999999999999</v>
      </c>
      <c r="O299" s="41">
        <v>137</v>
      </c>
      <c r="P299" s="41">
        <v>10</v>
      </c>
      <c r="Q299" s="41">
        <v>63</v>
      </c>
      <c r="R299" s="45" t="s">
        <v>1307</v>
      </c>
      <c r="S299" s="45" t="s">
        <v>1307</v>
      </c>
      <c r="T299" s="45" t="s">
        <v>1324</v>
      </c>
      <c r="U299" s="44">
        <v>9.6690000000000005</v>
      </c>
      <c r="V299" s="44">
        <v>13.461</v>
      </c>
      <c r="W299" s="44">
        <v>0.99310658163265386</v>
      </c>
      <c r="X299" s="44">
        <v>4.8455064000000014</v>
      </c>
      <c r="Y299" s="130" t="s">
        <v>4110</v>
      </c>
      <c r="Z299" s="224"/>
    </row>
    <row r="300" spans="2:26" ht="15" customHeight="1" x14ac:dyDescent="0.35">
      <c r="B300" s="181">
        <v>18040</v>
      </c>
      <c r="C300" s="182" t="s">
        <v>111</v>
      </c>
      <c r="D300" s="222">
        <v>12</v>
      </c>
      <c r="E300" s="223" t="s">
        <v>2346</v>
      </c>
      <c r="F300" s="183" t="s">
        <v>4786</v>
      </c>
      <c r="G300" s="125">
        <v>0.62062838459176084</v>
      </c>
      <c r="H300" s="121" t="s">
        <v>1336</v>
      </c>
      <c r="I300" s="122">
        <v>59.432432432432435</v>
      </c>
      <c r="J300" s="106" t="s">
        <v>4656</v>
      </c>
      <c r="K300" s="118">
        <v>162</v>
      </c>
      <c r="L300" s="46">
        <v>1.966824644549763</v>
      </c>
      <c r="M300" s="41">
        <v>318.62559241706163</v>
      </c>
      <c r="N300" s="44">
        <v>3.4750000000000001</v>
      </c>
      <c r="O300" s="41">
        <v>161</v>
      </c>
      <c r="P300" s="41">
        <v>4.0999999999999996</v>
      </c>
      <c r="Q300" s="41">
        <v>44.1</v>
      </c>
      <c r="R300" s="45" t="s">
        <v>1307</v>
      </c>
      <c r="S300" s="45" t="s">
        <v>1307</v>
      </c>
      <c r="T300" s="45" t="s">
        <v>1307</v>
      </c>
      <c r="U300" s="44">
        <v>18.132000000000001</v>
      </c>
      <c r="V300" s="44">
        <v>20.971</v>
      </c>
      <c r="W300" s="44">
        <v>2.0764350000000005</v>
      </c>
      <c r="X300" s="44">
        <v>3.3456977662500003</v>
      </c>
      <c r="Y300" s="130" t="s">
        <v>4111</v>
      </c>
      <c r="Z300" s="224"/>
    </row>
    <row r="301" spans="2:26" ht="15" customHeight="1" x14ac:dyDescent="0.35">
      <c r="B301" s="181">
        <v>72032</v>
      </c>
      <c r="C301" s="182" t="s">
        <v>732</v>
      </c>
      <c r="D301" s="222">
        <v>15</v>
      </c>
      <c r="E301" s="223" t="s">
        <v>2349</v>
      </c>
      <c r="F301" s="183" t="s">
        <v>2350</v>
      </c>
      <c r="G301" s="125">
        <v>2.4248752065218242</v>
      </c>
      <c r="H301" s="121" t="s">
        <v>1336</v>
      </c>
      <c r="I301" s="122">
        <v>56.139534883720934</v>
      </c>
      <c r="J301" s="106" t="s">
        <v>4656</v>
      </c>
      <c r="K301" s="118">
        <v>815</v>
      </c>
      <c r="L301" s="46">
        <v>2.7470167064439139</v>
      </c>
      <c r="M301" s="41">
        <v>2238.8186157517898</v>
      </c>
      <c r="N301" s="44">
        <v>18.934000000000001</v>
      </c>
      <c r="O301" s="41">
        <v>876</v>
      </c>
      <c r="P301" s="41">
        <v>12</v>
      </c>
      <c r="Q301" s="41">
        <v>53.9</v>
      </c>
      <c r="R301" s="45" t="s">
        <v>1307</v>
      </c>
      <c r="S301" s="45" t="s">
        <v>1307</v>
      </c>
      <c r="T301" s="45" t="s">
        <v>1307</v>
      </c>
      <c r="U301" s="44">
        <v>198.59856740000001</v>
      </c>
      <c r="V301" s="44">
        <v>281.66699999999997</v>
      </c>
      <c r="W301" s="44">
        <v>62.227994999999979</v>
      </c>
      <c r="X301" s="44">
        <v>25.662349482</v>
      </c>
      <c r="Y301" s="130" t="s">
        <v>4112</v>
      </c>
      <c r="Z301" s="224" t="s">
        <v>3761</v>
      </c>
    </row>
    <row r="302" spans="2:26" ht="15" customHeight="1" x14ac:dyDescent="0.35">
      <c r="B302" s="181">
        <v>72032</v>
      </c>
      <c r="C302" s="182" t="s">
        <v>732</v>
      </c>
      <c r="D302" s="222">
        <v>15</v>
      </c>
      <c r="E302" s="223" t="s">
        <v>2351</v>
      </c>
      <c r="F302" s="183" t="s">
        <v>2352</v>
      </c>
      <c r="G302" s="125">
        <v>1.2861172767299522</v>
      </c>
      <c r="H302" s="121" t="s">
        <v>1336</v>
      </c>
      <c r="I302" s="122">
        <v>68.333333333333329</v>
      </c>
      <c r="J302" s="106" t="s">
        <v>4656</v>
      </c>
      <c r="K302" s="118">
        <v>479</v>
      </c>
      <c r="L302" s="46">
        <v>2.7470167064439139</v>
      </c>
      <c r="M302" s="41">
        <v>1315.8210023866347</v>
      </c>
      <c r="N302" s="44">
        <v>17.606999999999999</v>
      </c>
      <c r="O302" s="41">
        <v>498</v>
      </c>
      <c r="P302" s="41">
        <v>12</v>
      </c>
      <c r="Q302" s="41">
        <v>45.8</v>
      </c>
      <c r="R302" s="45" t="s">
        <v>1307</v>
      </c>
      <c r="S302" s="45" t="s">
        <v>1307</v>
      </c>
      <c r="T302" s="45" t="s">
        <v>1307</v>
      </c>
      <c r="U302" s="44">
        <v>132.05758502024293</v>
      </c>
      <c r="V302" s="44">
        <v>378.30799999999999</v>
      </c>
      <c r="W302" s="44">
        <v>18.5916284693877</v>
      </c>
      <c r="X302" s="44">
        <v>14.455624541999999</v>
      </c>
      <c r="Y302" s="130" t="s">
        <v>4113</v>
      </c>
      <c r="Z302" s="224" t="s">
        <v>3761</v>
      </c>
    </row>
    <row r="303" spans="2:26" ht="15" customHeight="1" x14ac:dyDescent="0.35">
      <c r="B303" s="181">
        <v>45115</v>
      </c>
      <c r="C303" s="182" t="s">
        <v>426</v>
      </c>
      <c r="D303" s="222">
        <v>5</v>
      </c>
      <c r="E303" s="223" t="s">
        <v>2355</v>
      </c>
      <c r="F303" s="183" t="s">
        <v>2356</v>
      </c>
      <c r="G303" s="125">
        <v>0.66838388377515712</v>
      </c>
      <c r="H303" s="121" t="s">
        <v>1325</v>
      </c>
      <c r="I303" s="122">
        <v>45.081081081081081</v>
      </c>
      <c r="J303" s="106" t="s">
        <v>4656</v>
      </c>
      <c r="K303" s="118">
        <v>919</v>
      </c>
      <c r="L303" s="46">
        <v>2.3088161209068012</v>
      </c>
      <c r="M303" s="41">
        <v>2121.8020151133505</v>
      </c>
      <c r="N303" s="44">
        <v>36.923999999999999</v>
      </c>
      <c r="O303" s="41">
        <v>1294</v>
      </c>
      <c r="P303" s="41">
        <v>10</v>
      </c>
      <c r="Q303" s="41">
        <v>68.305913645252502</v>
      </c>
      <c r="R303" s="45" t="s">
        <v>1307</v>
      </c>
      <c r="S303" s="45" t="s">
        <v>1307</v>
      </c>
      <c r="T303" s="45" t="s">
        <v>1324</v>
      </c>
      <c r="U303" s="44">
        <v>304.39575026910654</v>
      </c>
      <c r="V303" s="44">
        <v>346.62400000000002</v>
      </c>
      <c r="W303" s="44">
        <v>33.716639999999977</v>
      </c>
      <c r="X303" s="44">
        <v>50.445022416701747</v>
      </c>
      <c r="Y303" s="130" t="s">
        <v>4114</v>
      </c>
      <c r="Z303" s="224"/>
    </row>
    <row r="304" spans="2:26" ht="15" customHeight="1" x14ac:dyDescent="0.35">
      <c r="B304" s="181">
        <v>80037</v>
      </c>
      <c r="C304" s="182" t="s">
        <v>808</v>
      </c>
      <c r="D304" s="222">
        <v>7</v>
      </c>
      <c r="E304" s="223" t="s">
        <v>4592</v>
      </c>
      <c r="F304" s="183" t="s">
        <v>3781</v>
      </c>
      <c r="G304" s="125">
        <v>3.1731066028402592</v>
      </c>
      <c r="H304" s="121" t="s">
        <v>1336</v>
      </c>
      <c r="I304" s="122">
        <v>44</v>
      </c>
      <c r="J304" s="106" t="s">
        <v>4656</v>
      </c>
      <c r="K304" s="118">
        <v>990</v>
      </c>
      <c r="L304" s="46">
        <v>1.8860986547085201</v>
      </c>
      <c r="M304" s="41">
        <v>1867.2376681614348</v>
      </c>
      <c r="N304" s="44">
        <v>29.05</v>
      </c>
      <c r="O304" s="41">
        <v>902</v>
      </c>
      <c r="P304" s="41">
        <v>10</v>
      </c>
      <c r="Q304" s="41">
        <v>59</v>
      </c>
      <c r="R304" s="45" t="s">
        <v>1307</v>
      </c>
      <c r="S304" s="45" t="s">
        <v>1307</v>
      </c>
      <c r="T304" s="45" t="s">
        <v>1307</v>
      </c>
      <c r="U304" s="44">
        <v>96.200870349864005</v>
      </c>
      <c r="V304" s="44">
        <v>249.08100000000002</v>
      </c>
      <c r="W304" s="44">
        <v>100.44929051748252</v>
      </c>
      <c r="X304" s="44">
        <v>31.65645</v>
      </c>
      <c r="Y304" s="130" t="s">
        <v>4593</v>
      </c>
      <c r="Z304" s="224"/>
    </row>
    <row r="305" spans="2:26" ht="15" customHeight="1" x14ac:dyDescent="0.35">
      <c r="B305" s="181">
        <v>38055</v>
      </c>
      <c r="C305" s="182" t="s">
        <v>333</v>
      </c>
      <c r="D305" s="222">
        <v>17</v>
      </c>
      <c r="E305" s="223" t="s">
        <v>2359</v>
      </c>
      <c r="F305" s="183" t="s">
        <v>2360</v>
      </c>
      <c r="G305" s="125">
        <v>1.5580043829364134</v>
      </c>
      <c r="H305" s="121" t="s">
        <v>1336</v>
      </c>
      <c r="I305" s="122">
        <v>59.081081081081081</v>
      </c>
      <c r="J305" s="106" t="s">
        <v>4656</v>
      </c>
      <c r="K305" s="118">
        <v>271</v>
      </c>
      <c r="L305" s="46">
        <v>2.2661290322580645</v>
      </c>
      <c r="M305" s="41">
        <v>614.12096774193549</v>
      </c>
      <c r="N305" s="44">
        <v>19.277000000000001</v>
      </c>
      <c r="O305" s="41">
        <v>324</v>
      </c>
      <c r="P305" s="41">
        <v>6</v>
      </c>
      <c r="Q305" s="41">
        <v>41.537999999999997</v>
      </c>
      <c r="R305" s="45" t="s">
        <v>1307</v>
      </c>
      <c r="S305" s="45" t="s">
        <v>1307</v>
      </c>
      <c r="T305" s="45" t="s">
        <v>1307</v>
      </c>
      <c r="U305" s="44">
        <v>65.042448795180732</v>
      </c>
      <c r="V305" s="44">
        <v>96.599000000000004</v>
      </c>
      <c r="W305" s="44">
        <v>15.467014999999998</v>
      </c>
      <c r="X305" s="44">
        <v>9.9274528168199971</v>
      </c>
      <c r="Y305" s="130" t="s">
        <v>4115</v>
      </c>
      <c r="Z305" s="224" t="s">
        <v>3762</v>
      </c>
    </row>
    <row r="306" spans="2:26" ht="15" customHeight="1" x14ac:dyDescent="0.35">
      <c r="B306" s="181">
        <v>5032</v>
      </c>
      <c r="C306" s="182" t="s">
        <v>1048</v>
      </c>
      <c r="D306" s="222">
        <v>11</v>
      </c>
      <c r="E306" s="223" t="s">
        <v>2362</v>
      </c>
      <c r="F306" s="183" t="s">
        <v>2363</v>
      </c>
      <c r="G306" s="125">
        <v>8.0561269111416145</v>
      </c>
      <c r="H306" s="121" t="s">
        <v>1336</v>
      </c>
      <c r="I306" s="122">
        <v>61.196078431372548</v>
      </c>
      <c r="J306" s="106" t="s">
        <v>4656</v>
      </c>
      <c r="K306" s="118">
        <v>1520</v>
      </c>
      <c r="L306" s="46">
        <v>2.0368421049999998</v>
      </c>
      <c r="M306" s="41">
        <v>3095.9999995999997</v>
      </c>
      <c r="N306" s="44">
        <v>39.590000000000003</v>
      </c>
      <c r="O306" s="41">
        <v>1503</v>
      </c>
      <c r="P306" s="41">
        <v>28</v>
      </c>
      <c r="Q306" s="41">
        <v>54.99</v>
      </c>
      <c r="R306" s="45" t="s">
        <v>1307</v>
      </c>
      <c r="S306" s="45" t="s">
        <v>1307</v>
      </c>
      <c r="T306" s="45" t="s">
        <v>1307</v>
      </c>
      <c r="U306" s="44">
        <v>378.93599999999998</v>
      </c>
      <c r="V306" s="44">
        <v>998.774</v>
      </c>
      <c r="W306" s="44">
        <v>479.77541999999994</v>
      </c>
      <c r="X306" s="44">
        <v>59.554104011999996</v>
      </c>
      <c r="Y306" s="130" t="s">
        <v>4116</v>
      </c>
      <c r="Z306" s="224"/>
    </row>
    <row r="307" spans="2:26" ht="15" customHeight="1" x14ac:dyDescent="0.35">
      <c r="B307" s="181">
        <v>2005</v>
      </c>
      <c r="C307" s="182" t="s">
        <v>1026</v>
      </c>
      <c r="D307" s="222">
        <v>11</v>
      </c>
      <c r="E307" s="223" t="s">
        <v>2368</v>
      </c>
      <c r="F307" s="183" t="s">
        <v>2369</v>
      </c>
      <c r="G307" s="125">
        <v>10.206829201646398</v>
      </c>
      <c r="H307" s="121" t="s">
        <v>1336</v>
      </c>
      <c r="I307" s="122">
        <v>56.098039215686271</v>
      </c>
      <c r="J307" s="106" t="s">
        <v>4656</v>
      </c>
      <c r="K307" s="118">
        <v>413</v>
      </c>
      <c r="L307" s="46">
        <v>1.6969866071428572</v>
      </c>
      <c r="M307" s="41">
        <v>700.85546875</v>
      </c>
      <c r="N307" s="44">
        <v>19.183</v>
      </c>
      <c r="O307" s="41">
        <v>443</v>
      </c>
      <c r="P307" s="41">
        <v>20</v>
      </c>
      <c r="Q307" s="41">
        <v>56</v>
      </c>
      <c r="R307" s="45" t="s">
        <v>1307</v>
      </c>
      <c r="S307" s="45" t="s">
        <v>1307</v>
      </c>
      <c r="T307" s="45" t="s">
        <v>1307</v>
      </c>
      <c r="U307" s="44">
        <v>118.42751693002258</v>
      </c>
      <c r="V307" s="44">
        <v>331.02199999999999</v>
      </c>
      <c r="W307" s="44">
        <v>192.18648311224487</v>
      </c>
      <c r="X307" s="44">
        <v>18.82920536</v>
      </c>
      <c r="Y307" s="130" t="s">
        <v>4117</v>
      </c>
      <c r="Z307" s="224"/>
    </row>
    <row r="308" spans="2:26" ht="15" customHeight="1" x14ac:dyDescent="0.35">
      <c r="B308" s="181">
        <v>16005</v>
      </c>
      <c r="C308" s="182" t="s">
        <v>84</v>
      </c>
      <c r="D308" s="222">
        <v>3</v>
      </c>
      <c r="E308" s="223" t="s">
        <v>2372</v>
      </c>
      <c r="F308" s="183" t="s">
        <v>4798</v>
      </c>
      <c r="G308" s="125">
        <v>0.82605949291012426</v>
      </c>
      <c r="H308" s="121" t="s">
        <v>1336</v>
      </c>
      <c r="I308" s="122">
        <v>58.378378378378386</v>
      </c>
      <c r="J308" s="106" t="s">
        <v>4656</v>
      </c>
      <c r="K308" s="118">
        <v>513</v>
      </c>
      <c r="L308" s="46">
        <v>1.3031674208144797</v>
      </c>
      <c r="M308" s="41">
        <v>668.52488687782807</v>
      </c>
      <c r="N308" s="44">
        <v>19.2</v>
      </c>
      <c r="O308" s="41">
        <v>535</v>
      </c>
      <c r="P308" s="41">
        <v>6</v>
      </c>
      <c r="Q308" s="41">
        <v>45</v>
      </c>
      <c r="R308" s="45" t="s">
        <v>1307</v>
      </c>
      <c r="S308" s="45" t="s">
        <v>1307</v>
      </c>
      <c r="T308" s="45" t="s">
        <v>1307</v>
      </c>
      <c r="U308" s="44">
        <v>88.200388367729829</v>
      </c>
      <c r="V308" s="44">
        <v>104.79600000000001</v>
      </c>
      <c r="W308" s="44">
        <v>11.585060000000009</v>
      </c>
      <c r="X308" s="44">
        <v>14.024486249999999</v>
      </c>
      <c r="Y308" s="130" t="s">
        <v>4118</v>
      </c>
      <c r="Z308" s="224"/>
    </row>
    <row r="309" spans="2:26" ht="15" customHeight="1" x14ac:dyDescent="0.35">
      <c r="B309" s="181">
        <v>3015</v>
      </c>
      <c r="C309" s="182" t="s">
        <v>1033</v>
      </c>
      <c r="D309" s="222">
        <v>11</v>
      </c>
      <c r="E309" s="223" t="s">
        <v>2375</v>
      </c>
      <c r="F309" s="183" t="s">
        <v>2376</v>
      </c>
      <c r="G309" s="125">
        <v>1.2917005003300166</v>
      </c>
      <c r="H309" s="121" t="s">
        <v>1336</v>
      </c>
      <c r="I309" s="122">
        <v>37.027027027027032</v>
      </c>
      <c r="J309" s="106" t="s">
        <v>4656</v>
      </c>
      <c r="K309" s="118">
        <v>92</v>
      </c>
      <c r="L309" s="46">
        <v>1.47</v>
      </c>
      <c r="M309" s="41">
        <v>135.24</v>
      </c>
      <c r="N309" s="44">
        <v>5.65</v>
      </c>
      <c r="O309" s="41">
        <v>92</v>
      </c>
      <c r="P309" s="41">
        <v>10</v>
      </c>
      <c r="Q309" s="41">
        <v>55</v>
      </c>
      <c r="R309" s="45" t="s">
        <v>1307</v>
      </c>
      <c r="S309" s="45" t="s">
        <v>1307</v>
      </c>
      <c r="T309" s="45" t="s">
        <v>1307</v>
      </c>
      <c r="U309" s="44">
        <v>20.652577319587628</v>
      </c>
      <c r="V309" s="44">
        <v>27.327000000000002</v>
      </c>
      <c r="W309" s="44">
        <v>5.1420950000000039</v>
      </c>
      <c r="X309" s="44">
        <v>3.9808724999999998</v>
      </c>
      <c r="Y309" s="130" t="s">
        <v>4119</v>
      </c>
      <c r="Z309" s="224" t="s">
        <v>3760</v>
      </c>
    </row>
    <row r="310" spans="2:26" ht="15" customHeight="1" x14ac:dyDescent="0.35">
      <c r="B310" s="181">
        <v>94205</v>
      </c>
      <c r="C310" s="182" t="s">
        <v>973</v>
      </c>
      <c r="D310" s="222">
        <v>2</v>
      </c>
      <c r="E310" s="223" t="s">
        <v>2378</v>
      </c>
      <c r="F310" s="183" t="s">
        <v>2379</v>
      </c>
      <c r="G310" s="125">
        <v>4.2712246784774592</v>
      </c>
      <c r="H310" s="121" t="s">
        <v>1336</v>
      </c>
      <c r="I310" s="122">
        <v>58.554054054054063</v>
      </c>
      <c r="J310" s="106" t="s">
        <v>4656</v>
      </c>
      <c r="K310" s="118">
        <v>246</v>
      </c>
      <c r="L310" s="46">
        <v>1.7016129032258065</v>
      </c>
      <c r="M310" s="41">
        <v>418.59677419354841</v>
      </c>
      <c r="N310" s="44">
        <v>5.5990000000000002</v>
      </c>
      <c r="O310" s="41">
        <v>245</v>
      </c>
      <c r="P310" s="41">
        <v>15</v>
      </c>
      <c r="Q310" s="41">
        <v>50</v>
      </c>
      <c r="R310" s="45" t="s">
        <v>1307</v>
      </c>
      <c r="S310" s="45" t="s">
        <v>1307</v>
      </c>
      <c r="T310" s="45" t="s">
        <v>1307</v>
      </c>
      <c r="U310" s="44">
        <v>48.02</v>
      </c>
      <c r="V310" s="44">
        <v>82.283000000000001</v>
      </c>
      <c r="W310" s="44">
        <v>30.295755000000007</v>
      </c>
      <c r="X310" s="44">
        <v>7.0929902500000006</v>
      </c>
      <c r="Y310" s="130" t="s">
        <v>4120</v>
      </c>
      <c r="Z310" s="224" t="s">
        <v>3762</v>
      </c>
    </row>
    <row r="311" spans="2:26" ht="15" customHeight="1" x14ac:dyDescent="0.35">
      <c r="B311" s="181">
        <v>77030</v>
      </c>
      <c r="C311" s="182" t="s">
        <v>759</v>
      </c>
      <c r="D311" s="222">
        <v>15</v>
      </c>
      <c r="E311" s="223" t="s">
        <v>2382</v>
      </c>
      <c r="F311" s="183" t="s">
        <v>2383</v>
      </c>
      <c r="G311" s="125">
        <v>2.8077908698238971</v>
      </c>
      <c r="H311" s="121" t="s">
        <v>1336</v>
      </c>
      <c r="I311" s="122">
        <v>55.843137254901954</v>
      </c>
      <c r="J311" s="106" t="s">
        <v>4656</v>
      </c>
      <c r="K311" s="118">
        <v>2082</v>
      </c>
      <c r="L311" s="46">
        <v>1.4391143911439115</v>
      </c>
      <c r="M311" s="41">
        <v>2996.2361623616239</v>
      </c>
      <c r="N311" s="44">
        <v>42.207999999999998</v>
      </c>
      <c r="O311" s="41">
        <v>2205</v>
      </c>
      <c r="P311" s="41">
        <v>18</v>
      </c>
      <c r="Q311" s="41">
        <v>63.29</v>
      </c>
      <c r="R311" s="45" t="s">
        <v>1307</v>
      </c>
      <c r="S311" s="45" t="s">
        <v>1307</v>
      </c>
      <c r="T311" s="45" t="s">
        <v>1307</v>
      </c>
      <c r="U311" s="44">
        <v>488.53351682242987</v>
      </c>
      <c r="V311" s="44">
        <v>818.49599999999998</v>
      </c>
      <c r="W311" s="44">
        <v>228.05565352040824</v>
      </c>
      <c r="X311" s="44">
        <v>81.222449994899989</v>
      </c>
      <c r="Y311" s="130" t="s">
        <v>4121</v>
      </c>
      <c r="Z311" s="224" t="s">
        <v>4122</v>
      </c>
    </row>
    <row r="312" spans="2:26" ht="15" customHeight="1" x14ac:dyDescent="0.35">
      <c r="B312" s="181">
        <v>71070</v>
      </c>
      <c r="C312" s="182" t="s">
        <v>715</v>
      </c>
      <c r="D312" s="222">
        <v>16</v>
      </c>
      <c r="E312" s="223" t="s">
        <v>715</v>
      </c>
      <c r="F312" s="183" t="s">
        <v>2387</v>
      </c>
      <c r="G312" s="125">
        <v>1.8539492135668716</v>
      </c>
      <c r="H312" s="121" t="s">
        <v>1373</v>
      </c>
      <c r="I312" s="122">
        <v>64.351351351351354</v>
      </c>
      <c r="J312" s="106" t="s">
        <v>4656</v>
      </c>
      <c r="K312" s="118">
        <v>5707</v>
      </c>
      <c r="L312" s="46">
        <v>2.6999820884828947</v>
      </c>
      <c r="M312" s="41">
        <v>15408.797778971881</v>
      </c>
      <c r="N312" s="44">
        <v>74.671000000000006</v>
      </c>
      <c r="O312" s="41">
        <v>5287</v>
      </c>
      <c r="P312" s="41">
        <v>7.6</v>
      </c>
      <c r="Q312" s="41">
        <v>41</v>
      </c>
      <c r="R312" s="45" t="s">
        <v>1307</v>
      </c>
      <c r="S312" s="45" t="s">
        <v>1307</v>
      </c>
      <c r="T312" s="45" t="s">
        <v>1307</v>
      </c>
      <c r="U312" s="44">
        <v>1692.6337372535691</v>
      </c>
      <c r="V312" s="44">
        <v>1956.9929999999999</v>
      </c>
      <c r="W312" s="44">
        <v>182.5081049999998</v>
      </c>
      <c r="X312" s="44">
        <v>98.442882720000014</v>
      </c>
      <c r="Y312" s="130" t="s">
        <v>4123</v>
      </c>
      <c r="Z312" s="224" t="s">
        <v>3760</v>
      </c>
    </row>
    <row r="313" spans="2:26" ht="15" customHeight="1" x14ac:dyDescent="0.35">
      <c r="B313" s="181">
        <v>30020</v>
      </c>
      <c r="C313" s="182" t="s">
        <v>220</v>
      </c>
      <c r="D313" s="222">
        <v>5</v>
      </c>
      <c r="E313" s="223" t="s">
        <v>2391</v>
      </c>
      <c r="F313" s="183" t="s">
        <v>2392</v>
      </c>
      <c r="G313" s="125">
        <v>1.4584499712336274</v>
      </c>
      <c r="H313" s="121" t="s">
        <v>1336</v>
      </c>
      <c r="I313" s="122">
        <v>44.729729729729726</v>
      </c>
      <c r="J313" s="106" t="s">
        <v>4656</v>
      </c>
      <c r="K313" s="118">
        <v>64</v>
      </c>
      <c r="L313" s="46">
        <v>1.7793427230046948</v>
      </c>
      <c r="M313" s="41">
        <v>113.87793427230046</v>
      </c>
      <c r="N313" s="44">
        <v>2.0350000000000001</v>
      </c>
      <c r="O313" s="41">
        <v>71</v>
      </c>
      <c r="P313" s="41">
        <v>9</v>
      </c>
      <c r="Q313" s="41">
        <v>36.4</v>
      </c>
      <c r="R313" s="45" t="s">
        <v>1307</v>
      </c>
      <c r="S313" s="45" t="s">
        <v>1307</v>
      </c>
      <c r="T313" s="45" t="s">
        <v>1307</v>
      </c>
      <c r="U313" s="44">
        <v>7.1602596056338026</v>
      </c>
      <c r="V313" s="44">
        <v>10.164999999999999</v>
      </c>
      <c r="W313" s="44">
        <v>2.1199370000000002</v>
      </c>
      <c r="X313" s="44">
        <v>1.4535548300000001</v>
      </c>
      <c r="Y313" s="130" t="s">
        <v>4124</v>
      </c>
      <c r="Z313" s="224"/>
    </row>
    <row r="314" spans="2:26" ht="15" customHeight="1" x14ac:dyDescent="0.35">
      <c r="B314" s="181">
        <v>32040</v>
      </c>
      <c r="C314" s="182" t="s">
        <v>259</v>
      </c>
      <c r="D314" s="222">
        <v>17</v>
      </c>
      <c r="E314" s="223" t="s">
        <v>2394</v>
      </c>
      <c r="F314" s="183" t="s">
        <v>2395</v>
      </c>
      <c r="G314" s="125">
        <v>4.232302596192512</v>
      </c>
      <c r="H314" s="121" t="s">
        <v>1325</v>
      </c>
      <c r="I314" s="122">
        <v>63.429824561403521</v>
      </c>
      <c r="J314" s="106" t="s">
        <v>4656</v>
      </c>
      <c r="K314" s="118">
        <v>3567</v>
      </c>
      <c r="L314" s="46">
        <v>1.94</v>
      </c>
      <c r="M314" s="41">
        <v>6919.98</v>
      </c>
      <c r="N314" s="44">
        <v>52.006</v>
      </c>
      <c r="O314" s="41">
        <v>2616</v>
      </c>
      <c r="P314" s="41">
        <v>13</v>
      </c>
      <c r="Q314" s="41">
        <v>50.81</v>
      </c>
      <c r="R314" s="45" t="s">
        <v>1307</v>
      </c>
      <c r="S314" s="45" t="s">
        <v>1307</v>
      </c>
      <c r="T314" s="45" t="s">
        <v>1324</v>
      </c>
      <c r="U314" s="44">
        <v>380.16379999999998</v>
      </c>
      <c r="V314" s="44">
        <v>1204.3240000000001</v>
      </c>
      <c r="W314" s="44">
        <v>304.47430045918367</v>
      </c>
      <c r="X314" s="44">
        <v>71.940579280199998</v>
      </c>
      <c r="Y314" s="130" t="s">
        <v>4125</v>
      </c>
      <c r="Z314" s="224" t="s">
        <v>1533</v>
      </c>
    </row>
    <row r="315" spans="2:26" ht="15" customHeight="1" x14ac:dyDescent="0.35">
      <c r="B315" s="181">
        <v>13095</v>
      </c>
      <c r="C315" s="182" t="s">
        <v>58</v>
      </c>
      <c r="D315" s="222">
        <v>1</v>
      </c>
      <c r="E315" s="223" t="s">
        <v>2400</v>
      </c>
      <c r="F315" s="183" t="s">
        <v>2401</v>
      </c>
      <c r="G315" s="125">
        <v>8.6225216389865125</v>
      </c>
      <c r="H315" s="121" t="s">
        <v>1336</v>
      </c>
      <c r="I315" s="122">
        <v>56.098039215686271</v>
      </c>
      <c r="J315" s="106" t="s">
        <v>4656</v>
      </c>
      <c r="K315" s="118">
        <v>1084</v>
      </c>
      <c r="L315" s="46">
        <v>1.9339908952959028</v>
      </c>
      <c r="M315" s="41">
        <v>2096.4461305007585</v>
      </c>
      <c r="N315" s="44">
        <v>42.058000000000007</v>
      </c>
      <c r="O315" s="41">
        <v>1089</v>
      </c>
      <c r="P315" s="41">
        <v>11</v>
      </c>
      <c r="Q315" s="41">
        <v>56</v>
      </c>
      <c r="R315" s="45" t="s">
        <v>1307</v>
      </c>
      <c r="S315" s="45" t="s">
        <v>1307</v>
      </c>
      <c r="T315" s="45" t="s">
        <v>1307</v>
      </c>
      <c r="U315" s="44">
        <v>197.15100000000001</v>
      </c>
      <c r="V315" s="44">
        <v>577.63800000000003</v>
      </c>
      <c r="W315" s="44">
        <v>339.74956729591838</v>
      </c>
      <c r="X315" s="44">
        <v>39.402576359999998</v>
      </c>
      <c r="Y315" s="130" t="s">
        <v>4126</v>
      </c>
      <c r="Z315" s="224" t="s">
        <v>4127</v>
      </c>
    </row>
    <row r="316" spans="2:26" ht="15" customHeight="1" x14ac:dyDescent="0.35">
      <c r="B316" s="181">
        <v>96030</v>
      </c>
      <c r="C316" s="182" t="s">
        <v>999</v>
      </c>
      <c r="D316" s="222">
        <v>9</v>
      </c>
      <c r="E316" s="223" t="s">
        <v>2405</v>
      </c>
      <c r="F316" s="183" t="s">
        <v>2406</v>
      </c>
      <c r="G316" s="125">
        <v>1.0555544152961562</v>
      </c>
      <c r="H316" s="121" t="s">
        <v>1336</v>
      </c>
      <c r="I316" s="122">
        <v>59.081081081081081</v>
      </c>
      <c r="J316" s="106" t="s">
        <v>4656</v>
      </c>
      <c r="K316" s="118">
        <v>199</v>
      </c>
      <c r="L316" s="46">
        <v>2.3421985815602837</v>
      </c>
      <c r="M316" s="41">
        <v>466.09751773049646</v>
      </c>
      <c r="N316" s="44">
        <v>6.3460000000000001</v>
      </c>
      <c r="O316" s="41">
        <v>211</v>
      </c>
      <c r="P316" s="41">
        <v>11</v>
      </c>
      <c r="Q316" s="41">
        <v>42</v>
      </c>
      <c r="R316" s="45" t="s">
        <v>1307</v>
      </c>
      <c r="S316" s="45" t="s">
        <v>1307</v>
      </c>
      <c r="T316" s="45" t="s">
        <v>1307</v>
      </c>
      <c r="U316" s="44">
        <v>23.235820023696682</v>
      </c>
      <c r="V316" s="44">
        <v>30.614999999999998</v>
      </c>
      <c r="W316" s="44">
        <v>5.5187999999999997</v>
      </c>
      <c r="X316" s="44">
        <v>5.2283424900000002</v>
      </c>
      <c r="Y316" s="130" t="s">
        <v>4128</v>
      </c>
      <c r="Z316" s="224"/>
    </row>
    <row r="317" spans="2:26" ht="15" customHeight="1" x14ac:dyDescent="0.35">
      <c r="B317" s="181">
        <v>96030</v>
      </c>
      <c r="C317" s="182" t="s">
        <v>999</v>
      </c>
      <c r="D317" s="222">
        <v>9</v>
      </c>
      <c r="E317" s="223" t="s">
        <v>2407</v>
      </c>
      <c r="F317" s="183" t="s">
        <v>2408</v>
      </c>
      <c r="G317" s="125">
        <v>1.4582696819293133</v>
      </c>
      <c r="H317" s="121" t="s">
        <v>1336</v>
      </c>
      <c r="I317" s="122">
        <v>55.333333333333329</v>
      </c>
      <c r="J317" s="106" t="s">
        <v>4656</v>
      </c>
      <c r="K317" s="118">
        <v>390</v>
      </c>
      <c r="L317" s="46">
        <v>2.3421985815602837</v>
      </c>
      <c r="M317" s="41">
        <v>913.45744680851067</v>
      </c>
      <c r="N317" s="44">
        <v>11.468</v>
      </c>
      <c r="O317" s="41">
        <v>413</v>
      </c>
      <c r="P317" s="41">
        <v>11</v>
      </c>
      <c r="Q317" s="41">
        <v>42</v>
      </c>
      <c r="R317" s="45" t="s">
        <v>1307</v>
      </c>
      <c r="S317" s="45" t="s">
        <v>1307</v>
      </c>
      <c r="T317" s="45" t="s">
        <v>1307</v>
      </c>
      <c r="U317" s="44">
        <v>66.056809031477002</v>
      </c>
      <c r="V317" s="44">
        <v>85.779000000000011</v>
      </c>
      <c r="W317" s="44">
        <v>14.539848000000012</v>
      </c>
      <c r="X317" s="44">
        <v>9.9706166700000018</v>
      </c>
      <c r="Y317" s="130" t="s">
        <v>4129</v>
      </c>
      <c r="Z317" s="224"/>
    </row>
    <row r="318" spans="2:26" ht="15" customHeight="1" x14ac:dyDescent="0.35">
      <c r="B318" s="181">
        <v>72020</v>
      </c>
      <c r="C318" s="182" t="s">
        <v>730</v>
      </c>
      <c r="D318" s="222">
        <v>15</v>
      </c>
      <c r="E318" s="223" t="s">
        <v>2410</v>
      </c>
      <c r="F318" s="183" t="s">
        <v>2411</v>
      </c>
      <c r="G318" s="125">
        <v>2.1</v>
      </c>
      <c r="H318" s="121" t="s">
        <v>1441</v>
      </c>
      <c r="I318" s="122">
        <v>52</v>
      </c>
      <c r="J318" s="106" t="s">
        <v>4656</v>
      </c>
      <c r="K318" s="118"/>
      <c r="L318" s="46"/>
      <c r="M318" s="41"/>
      <c r="N318" s="44"/>
      <c r="O318" s="41"/>
      <c r="P318" s="41"/>
      <c r="Q318" s="41"/>
      <c r="R318" s="45"/>
      <c r="S318" s="45"/>
      <c r="T318" s="45"/>
      <c r="U318" s="44"/>
      <c r="V318" s="44"/>
      <c r="W318" s="44" t="s">
        <v>1124</v>
      </c>
      <c r="X318" s="44"/>
      <c r="Y318" s="130" t="s">
        <v>4130</v>
      </c>
      <c r="Z318" s="224"/>
    </row>
    <row r="319" spans="2:26" ht="15" customHeight="1" x14ac:dyDescent="0.35">
      <c r="B319" s="181">
        <v>66097</v>
      </c>
      <c r="C319" s="182" t="s">
        <v>656</v>
      </c>
      <c r="D319" s="222">
        <v>6</v>
      </c>
      <c r="E319" s="223" t="s">
        <v>2233</v>
      </c>
      <c r="F319" s="183" t="s">
        <v>2234</v>
      </c>
      <c r="G319" s="125">
        <v>5.7692495268343809</v>
      </c>
      <c r="H319" s="121" t="s">
        <v>1373</v>
      </c>
      <c r="I319" s="122">
        <v>57.519607843137251</v>
      </c>
      <c r="J319" s="106" t="s">
        <v>4656</v>
      </c>
      <c r="K319" s="118">
        <v>13476</v>
      </c>
      <c r="L319" s="46">
        <v>2.3779311368358562</v>
      </c>
      <c r="M319" s="41">
        <v>32045</v>
      </c>
      <c r="N319" s="44">
        <v>196.202</v>
      </c>
      <c r="O319" s="41">
        <v>9939</v>
      </c>
      <c r="P319" s="41">
        <v>12</v>
      </c>
      <c r="Q319" s="41">
        <v>49.2</v>
      </c>
      <c r="R319" s="45" t="s">
        <v>1307</v>
      </c>
      <c r="S319" s="45" t="s">
        <v>1307</v>
      </c>
      <c r="T319" s="45" t="s">
        <v>1307</v>
      </c>
      <c r="U319" s="44">
        <v>2723.99125</v>
      </c>
      <c r="V319" s="44">
        <v>6975.3229999999985</v>
      </c>
      <c r="W319" s="44">
        <v>1498.5864347959168</v>
      </c>
      <c r="X319" s="44">
        <v>259.75413748800003</v>
      </c>
      <c r="Y319" s="130"/>
      <c r="Z319" s="224"/>
    </row>
    <row r="320" spans="2:26" ht="15" customHeight="1" x14ac:dyDescent="0.35">
      <c r="B320" s="181">
        <v>71055</v>
      </c>
      <c r="C320" s="182" t="s">
        <v>712</v>
      </c>
      <c r="D320" s="222">
        <v>16</v>
      </c>
      <c r="E320" s="223" t="s">
        <v>2417</v>
      </c>
      <c r="F320" s="183" t="s">
        <v>2418</v>
      </c>
      <c r="G320" s="125">
        <v>4.9119451784825205</v>
      </c>
      <c r="H320" s="121" t="s">
        <v>1325</v>
      </c>
      <c r="I320" s="122">
        <v>57.637705682102606</v>
      </c>
      <c r="J320" s="106" t="s">
        <v>4656</v>
      </c>
      <c r="K320" s="118">
        <v>759</v>
      </c>
      <c r="L320" s="46">
        <v>2.3626220362622035</v>
      </c>
      <c r="M320" s="41">
        <v>1793.2301255230125</v>
      </c>
      <c r="N320" s="44">
        <v>11.714</v>
      </c>
      <c r="O320" s="41">
        <v>661</v>
      </c>
      <c r="P320" s="41">
        <v>6</v>
      </c>
      <c r="Q320" s="41">
        <v>55</v>
      </c>
      <c r="R320" s="45" t="s">
        <v>1324</v>
      </c>
      <c r="S320" s="45" t="s">
        <v>1324</v>
      </c>
      <c r="T320" s="45" t="s">
        <v>1324</v>
      </c>
      <c r="U320" s="44">
        <v>105.806</v>
      </c>
      <c r="V320" s="44">
        <v>191.3887</v>
      </c>
      <c r="W320" s="44">
        <v>82.712000000000003</v>
      </c>
      <c r="X320" s="44">
        <v>16.838950149999999</v>
      </c>
      <c r="Y320" s="130" t="s">
        <v>4131</v>
      </c>
      <c r="Z320" s="224"/>
    </row>
    <row r="321" spans="2:26" ht="15" customHeight="1" x14ac:dyDescent="0.35">
      <c r="B321" s="181">
        <v>82030</v>
      </c>
      <c r="C321" s="182" t="s">
        <v>833</v>
      </c>
      <c r="D321" s="222">
        <v>7</v>
      </c>
      <c r="E321" s="223" t="s">
        <v>2421</v>
      </c>
      <c r="F321" s="183" t="s">
        <v>2422</v>
      </c>
      <c r="G321" s="125">
        <v>4.4093726945828084</v>
      </c>
      <c r="H321" s="121" t="s">
        <v>1336</v>
      </c>
      <c r="I321" s="122">
        <v>42.903642773207991</v>
      </c>
      <c r="J321" s="106" t="s">
        <v>4656</v>
      </c>
      <c r="K321" s="118">
        <v>351</v>
      </c>
      <c r="L321" s="46">
        <v>2.308261886204209</v>
      </c>
      <c r="M321" s="41">
        <v>810.19992205767733</v>
      </c>
      <c r="N321" s="44">
        <v>8.9109999999999996</v>
      </c>
      <c r="O321" s="41">
        <v>381</v>
      </c>
      <c r="P321" s="41">
        <v>9.3000000000000007</v>
      </c>
      <c r="Q321" s="41">
        <v>56.1</v>
      </c>
      <c r="R321" s="45" t="s">
        <v>1307</v>
      </c>
      <c r="S321" s="45" t="s">
        <v>1307</v>
      </c>
      <c r="T321" s="45" t="s">
        <v>1307</v>
      </c>
      <c r="U321" s="44">
        <v>102.08</v>
      </c>
      <c r="V321" s="44">
        <v>170.28695652173914</v>
      </c>
      <c r="W321" s="44">
        <v>50.000021739130425</v>
      </c>
      <c r="X321" s="44">
        <v>11.339486408249998</v>
      </c>
      <c r="Y321" s="130" t="s">
        <v>4132</v>
      </c>
      <c r="Z321" s="224"/>
    </row>
    <row r="322" spans="2:26" ht="15" customHeight="1" x14ac:dyDescent="0.35">
      <c r="B322" s="181">
        <v>34017</v>
      </c>
      <c r="C322" s="182" t="s">
        <v>286</v>
      </c>
      <c r="D322" s="222">
        <v>3</v>
      </c>
      <c r="E322" s="223" t="s">
        <v>2425</v>
      </c>
      <c r="F322" s="183" t="s">
        <v>2426</v>
      </c>
      <c r="G322" s="125">
        <v>2.035703229891777</v>
      </c>
      <c r="H322" s="121" t="s">
        <v>1336</v>
      </c>
      <c r="I322" s="122">
        <v>60.176470588235297</v>
      </c>
      <c r="J322" s="106" t="s">
        <v>4656</v>
      </c>
      <c r="K322" s="118">
        <v>3522</v>
      </c>
      <c r="L322" s="46">
        <v>2.5492847854356309</v>
      </c>
      <c r="M322" s="41">
        <v>8978.5810143042927</v>
      </c>
      <c r="N322" s="44">
        <v>62.9</v>
      </c>
      <c r="O322" s="41">
        <v>3778</v>
      </c>
      <c r="P322" s="41">
        <v>8</v>
      </c>
      <c r="Q322" s="41">
        <v>42.7</v>
      </c>
      <c r="R322" s="45" t="s">
        <v>1307</v>
      </c>
      <c r="S322" s="45" t="s">
        <v>1307</v>
      </c>
      <c r="T322" s="45" t="s">
        <v>1307</v>
      </c>
      <c r="U322" s="44">
        <v>756.73693907392362</v>
      </c>
      <c r="V322" s="44">
        <v>1108.106</v>
      </c>
      <c r="W322" s="44">
        <v>155.78813819587631</v>
      </c>
      <c r="X322" s="44">
        <v>76.527922100000012</v>
      </c>
      <c r="Y322" s="130" t="s">
        <v>4133</v>
      </c>
      <c r="Z322" s="224"/>
    </row>
    <row r="323" spans="2:26" ht="15" customHeight="1" x14ac:dyDescent="0.35">
      <c r="B323" s="181">
        <v>97022</v>
      </c>
      <c r="C323" s="182" t="s">
        <v>1003</v>
      </c>
      <c r="D323" s="222">
        <v>9</v>
      </c>
      <c r="E323" s="223" t="s">
        <v>3727</v>
      </c>
      <c r="F323" s="183" t="s">
        <v>3728</v>
      </c>
      <c r="G323" s="125">
        <v>4.9594341733445209</v>
      </c>
      <c r="H323" s="121" t="s">
        <v>1325</v>
      </c>
      <c r="I323" s="122">
        <v>59</v>
      </c>
      <c r="J323" s="106" t="s">
        <v>4656</v>
      </c>
      <c r="K323" s="118">
        <v>2697</v>
      </c>
      <c r="L323" s="46">
        <v>2.4194013703570141</v>
      </c>
      <c r="M323" s="41">
        <v>6525.1254958528671</v>
      </c>
      <c r="N323" s="44">
        <v>54.808</v>
      </c>
      <c r="O323" s="41">
        <v>2849</v>
      </c>
      <c r="P323" s="41">
        <v>10</v>
      </c>
      <c r="Q323" s="41">
        <v>49</v>
      </c>
      <c r="R323" s="45" t="s">
        <v>1324</v>
      </c>
      <c r="S323" s="45" t="s">
        <v>1307</v>
      </c>
      <c r="T323" s="45" t="s">
        <v>1324</v>
      </c>
      <c r="U323" s="44">
        <v>591.25612818696879</v>
      </c>
      <c r="V323" s="44">
        <v>986.745</v>
      </c>
      <c r="W323" s="44">
        <v>352.846</v>
      </c>
      <c r="X323" s="44">
        <v>71.146422689999994</v>
      </c>
      <c r="Y323" s="130" t="s">
        <v>4134</v>
      </c>
      <c r="Z323" s="224"/>
    </row>
    <row r="324" spans="2:26" ht="15" customHeight="1" x14ac:dyDescent="0.35">
      <c r="B324" s="181">
        <v>2047</v>
      </c>
      <c r="C324" s="182" t="s">
        <v>1030</v>
      </c>
      <c r="D324" s="222">
        <v>11</v>
      </c>
      <c r="E324" s="223" t="s">
        <v>2428</v>
      </c>
      <c r="F324" s="183" t="s">
        <v>2429</v>
      </c>
      <c r="G324" s="125">
        <v>5.737714810860119</v>
      </c>
      <c r="H324" s="121" t="s">
        <v>1325</v>
      </c>
      <c r="I324" s="122">
        <v>61.877551020408156</v>
      </c>
      <c r="J324" s="106" t="s">
        <v>4656</v>
      </c>
      <c r="K324" s="118">
        <v>63</v>
      </c>
      <c r="L324" s="46">
        <v>1.8731218697829717</v>
      </c>
      <c r="M324" s="41">
        <v>118.00667779632721</v>
      </c>
      <c r="N324" s="44">
        <v>1.9530000000000001</v>
      </c>
      <c r="O324" s="41">
        <v>72</v>
      </c>
      <c r="P324" s="41">
        <v>12</v>
      </c>
      <c r="Q324" s="41">
        <v>42.7</v>
      </c>
      <c r="R324" s="45" t="s">
        <v>1307</v>
      </c>
      <c r="S324" s="45" t="s">
        <v>1307</v>
      </c>
      <c r="T324" s="45" t="s">
        <v>1324</v>
      </c>
      <c r="U324" s="44">
        <v>14.681625</v>
      </c>
      <c r="V324" s="44">
        <v>38.472000000000001</v>
      </c>
      <c r="W324" s="44">
        <v>10.226124081632655</v>
      </c>
      <c r="X324" s="44">
        <v>1.7822642670000002</v>
      </c>
      <c r="Y324" s="130" t="s">
        <v>4135</v>
      </c>
      <c r="Z324" s="224" t="s">
        <v>3813</v>
      </c>
    </row>
    <row r="325" spans="2:26" ht="15" customHeight="1" x14ac:dyDescent="0.35">
      <c r="B325" s="181">
        <v>2047</v>
      </c>
      <c r="C325" s="182" t="s">
        <v>1030</v>
      </c>
      <c r="D325" s="222">
        <v>11</v>
      </c>
      <c r="E325" s="223" t="s">
        <v>2430</v>
      </c>
      <c r="F325" s="183" t="s">
        <v>2431</v>
      </c>
      <c r="G325" s="125">
        <v>1.2709895176663886</v>
      </c>
      <c r="H325" s="121" t="s">
        <v>1336</v>
      </c>
      <c r="I325" s="122">
        <v>60.350877192982466</v>
      </c>
      <c r="J325" s="106" t="s">
        <v>4656</v>
      </c>
      <c r="K325" s="118">
        <v>427</v>
      </c>
      <c r="L325" s="46">
        <v>1.8731218697829717</v>
      </c>
      <c r="M325" s="41">
        <v>799.8230383973289</v>
      </c>
      <c r="N325" s="44">
        <v>12.058999999999999</v>
      </c>
      <c r="O325" s="41">
        <v>440</v>
      </c>
      <c r="P325" s="41">
        <v>12</v>
      </c>
      <c r="Q325" s="41">
        <v>59.4</v>
      </c>
      <c r="R325" s="45" t="s">
        <v>1307</v>
      </c>
      <c r="S325" s="45" t="s">
        <v>1307</v>
      </c>
      <c r="T325" s="45" t="s">
        <v>1307</v>
      </c>
      <c r="U325" s="44">
        <v>81.669317460317444</v>
      </c>
      <c r="V325" s="44">
        <v>131.16399999999999</v>
      </c>
      <c r="W325" s="44">
        <v>19.31869142857142</v>
      </c>
      <c r="X325" s="44">
        <v>15.199725222</v>
      </c>
      <c r="Y325" s="130" t="s">
        <v>4136</v>
      </c>
      <c r="Z325" s="224" t="s">
        <v>3813</v>
      </c>
    </row>
    <row r="326" spans="2:26" ht="15" customHeight="1" x14ac:dyDescent="0.35">
      <c r="B326" s="181">
        <v>34048</v>
      </c>
      <c r="C326" s="182" t="s">
        <v>290</v>
      </c>
      <c r="D326" s="222">
        <v>3</v>
      </c>
      <c r="E326" s="223" t="s">
        <v>2434</v>
      </c>
      <c r="F326" s="183" t="s">
        <v>2435</v>
      </c>
      <c r="G326" s="125">
        <v>1.1951093900656031</v>
      </c>
      <c r="H326" s="121" t="s">
        <v>1336</v>
      </c>
      <c r="I326" s="122">
        <v>56.098039215686271</v>
      </c>
      <c r="J326" s="106" t="s">
        <v>4656</v>
      </c>
      <c r="K326" s="118">
        <v>637</v>
      </c>
      <c r="L326" s="46">
        <v>2.081812460667086</v>
      </c>
      <c r="M326" s="41">
        <v>1326.1145374449338</v>
      </c>
      <c r="N326" s="44">
        <v>20.498000000000001</v>
      </c>
      <c r="O326" s="41">
        <v>672</v>
      </c>
      <c r="P326" s="41">
        <v>6.9</v>
      </c>
      <c r="Q326" s="41">
        <v>48</v>
      </c>
      <c r="R326" s="45" t="s">
        <v>1307</v>
      </c>
      <c r="S326" s="45" t="s">
        <v>1307</v>
      </c>
      <c r="T326" s="45" t="s">
        <v>1307</v>
      </c>
      <c r="U326" s="44">
        <v>191.143</v>
      </c>
      <c r="V326" s="44">
        <v>250.68100000000001</v>
      </c>
      <c r="W326" s="44">
        <v>21.409093622449003</v>
      </c>
      <c r="X326" s="44">
        <v>17.913919679999999</v>
      </c>
      <c r="Y326" s="130" t="s">
        <v>4137</v>
      </c>
      <c r="Z326" s="224" t="s">
        <v>3760</v>
      </c>
    </row>
    <row r="327" spans="2:26" ht="15" customHeight="1" x14ac:dyDescent="0.35">
      <c r="B327" s="181">
        <v>34048</v>
      </c>
      <c r="C327" s="182" t="s">
        <v>290</v>
      </c>
      <c r="D327" s="222">
        <v>3</v>
      </c>
      <c r="E327" s="223" t="s">
        <v>2436</v>
      </c>
      <c r="F327" s="183" t="s">
        <v>2437</v>
      </c>
      <c r="G327" s="125">
        <v>0.7014892131986642</v>
      </c>
      <c r="H327" s="121" t="s">
        <v>1325</v>
      </c>
      <c r="I327" s="122">
        <v>56.098039215686271</v>
      </c>
      <c r="J327" s="106" t="s">
        <v>4656</v>
      </c>
      <c r="K327" s="118">
        <v>734</v>
      </c>
      <c r="L327" s="46">
        <v>2.081812460667086</v>
      </c>
      <c r="M327" s="41">
        <v>1528.0503461296412</v>
      </c>
      <c r="N327" s="44">
        <v>19.575000000000003</v>
      </c>
      <c r="O327" s="41">
        <v>831</v>
      </c>
      <c r="P327" s="41">
        <v>6.9</v>
      </c>
      <c r="Q327" s="41">
        <v>48</v>
      </c>
      <c r="R327" s="45" t="s">
        <v>1307</v>
      </c>
      <c r="S327" s="45" t="s">
        <v>1307</v>
      </c>
      <c r="T327" s="45" t="s">
        <v>1324</v>
      </c>
      <c r="U327" s="44">
        <v>164.39099999999999</v>
      </c>
      <c r="V327" s="44">
        <v>201.309</v>
      </c>
      <c r="W327" s="44">
        <v>14.262619897959176</v>
      </c>
      <c r="X327" s="44">
        <v>20.331916200000002</v>
      </c>
      <c r="Y327" s="130" t="s">
        <v>4138</v>
      </c>
      <c r="Z327" s="224" t="s">
        <v>3760</v>
      </c>
    </row>
    <row r="328" spans="2:26" ht="15" customHeight="1" x14ac:dyDescent="0.35">
      <c r="B328" s="181">
        <v>95040</v>
      </c>
      <c r="C328" s="182" t="s">
        <v>991</v>
      </c>
      <c r="D328" s="222">
        <v>9</v>
      </c>
      <c r="E328" s="223" t="s">
        <v>2441</v>
      </c>
      <c r="F328" s="183" t="s">
        <v>2442</v>
      </c>
      <c r="G328" s="125">
        <v>1.725411199547185</v>
      </c>
      <c r="H328" s="121" t="s">
        <v>1325</v>
      </c>
      <c r="I328" s="122">
        <v>59</v>
      </c>
      <c r="J328" s="106" t="s">
        <v>4656</v>
      </c>
      <c r="K328" s="118">
        <v>369</v>
      </c>
      <c r="L328" s="46">
        <v>1.672972972972973</v>
      </c>
      <c r="M328" s="41">
        <v>617.32702702702704</v>
      </c>
      <c r="N328" s="44">
        <v>8.2159999999999993</v>
      </c>
      <c r="O328" s="41">
        <v>379</v>
      </c>
      <c r="P328" s="41">
        <v>6</v>
      </c>
      <c r="Q328" s="41">
        <v>41.8</v>
      </c>
      <c r="R328" s="45" t="s">
        <v>1324</v>
      </c>
      <c r="S328" s="45" t="s">
        <v>1307</v>
      </c>
      <c r="T328" s="45" t="s">
        <v>1324</v>
      </c>
      <c r="U328" s="44">
        <v>75.089675445910288</v>
      </c>
      <c r="V328" s="44">
        <v>91.873999999999995</v>
      </c>
      <c r="W328" s="44">
        <v>13.371264</v>
      </c>
      <c r="X328" s="44">
        <v>7.7496100659999998</v>
      </c>
      <c r="Y328" s="130" t="s">
        <v>4139</v>
      </c>
      <c r="Z328" s="224"/>
    </row>
    <row r="329" spans="2:26" ht="15" customHeight="1" x14ac:dyDescent="0.35">
      <c r="B329" s="181">
        <v>45030</v>
      </c>
      <c r="C329" s="182" t="s">
        <v>413</v>
      </c>
      <c r="D329" s="222">
        <v>5</v>
      </c>
      <c r="E329" s="223" t="s">
        <v>2445</v>
      </c>
      <c r="F329" s="183" t="s">
        <v>2446</v>
      </c>
      <c r="G329" s="125">
        <v>1.0396718745806932</v>
      </c>
      <c r="H329" s="121" t="s">
        <v>1336</v>
      </c>
      <c r="I329" s="122">
        <v>47.833333333333336</v>
      </c>
      <c r="J329" s="106" t="s">
        <v>4656</v>
      </c>
      <c r="K329" s="118">
        <v>228</v>
      </c>
      <c r="L329" s="46">
        <v>1.7817836812144212</v>
      </c>
      <c r="M329" s="41">
        <v>406.24667931688805</v>
      </c>
      <c r="N329" s="44">
        <v>10.189</v>
      </c>
      <c r="O329" s="41">
        <v>228</v>
      </c>
      <c r="P329" s="41">
        <v>10</v>
      </c>
      <c r="Q329" s="41">
        <v>57</v>
      </c>
      <c r="R329" s="45" t="s">
        <v>1307</v>
      </c>
      <c r="S329" s="45" t="s">
        <v>1307</v>
      </c>
      <c r="T329" s="45" t="s">
        <v>1307</v>
      </c>
      <c r="U329" s="44">
        <v>28.464401486988848</v>
      </c>
      <c r="V329" s="44">
        <v>115.52760000000001</v>
      </c>
      <c r="W329" s="44">
        <v>9.1453651134020806</v>
      </c>
      <c r="X329" s="44">
        <v>8.7963956099999994</v>
      </c>
      <c r="Y329" s="130" t="s">
        <v>4140</v>
      </c>
      <c r="Z329" s="224"/>
    </row>
    <row r="330" spans="2:26" ht="15" customHeight="1" x14ac:dyDescent="0.35">
      <c r="B330" s="181">
        <v>45030</v>
      </c>
      <c r="C330" s="182" t="s">
        <v>413</v>
      </c>
      <c r="D330" s="222">
        <v>5</v>
      </c>
      <c r="E330" s="223" t="s">
        <v>2447</v>
      </c>
      <c r="F330" s="183" t="s">
        <v>2448</v>
      </c>
      <c r="G330" s="125">
        <v>1.1675446128459464</v>
      </c>
      <c r="H330" s="121" t="s">
        <v>1325</v>
      </c>
      <c r="I330" s="122">
        <v>58.905405405405418</v>
      </c>
      <c r="J330" s="106" t="s">
        <v>4656</v>
      </c>
      <c r="K330" s="118">
        <v>213</v>
      </c>
      <c r="L330" s="46">
        <v>1.7817836812144212</v>
      </c>
      <c r="M330" s="41">
        <v>379.51992409867171</v>
      </c>
      <c r="N330" s="44">
        <v>5.992</v>
      </c>
      <c r="O330" s="41">
        <v>88</v>
      </c>
      <c r="P330" s="41">
        <v>12.5</v>
      </c>
      <c r="Q330" s="41">
        <v>48</v>
      </c>
      <c r="R330" s="45" t="s">
        <v>1307</v>
      </c>
      <c r="S330" s="45" t="s">
        <v>1307</v>
      </c>
      <c r="T330" s="45" t="s">
        <v>1324</v>
      </c>
      <c r="U330" s="44">
        <v>21.342402777777778</v>
      </c>
      <c r="V330" s="44">
        <v>26.2455</v>
      </c>
      <c r="W330" s="44">
        <v>4.2088174999999994</v>
      </c>
      <c r="X330" s="44">
        <v>3.6048451200000002</v>
      </c>
      <c r="Y330" s="130" t="s">
        <v>4141</v>
      </c>
      <c r="Z330" s="224"/>
    </row>
    <row r="331" spans="2:26" ht="15" customHeight="1" x14ac:dyDescent="0.35">
      <c r="B331" s="181">
        <v>75040</v>
      </c>
      <c r="C331" s="182" t="s">
        <v>745</v>
      </c>
      <c r="D331" s="222">
        <v>15</v>
      </c>
      <c r="E331" s="223" t="s">
        <v>2450</v>
      </c>
      <c r="F331" s="183" t="s">
        <v>2451</v>
      </c>
      <c r="G331" s="125">
        <v>5.7592591776896152</v>
      </c>
      <c r="H331" s="121" t="s">
        <v>1325</v>
      </c>
      <c r="I331" s="122">
        <v>56.29069767441861</v>
      </c>
      <c r="J331" s="106" t="s">
        <v>4656</v>
      </c>
      <c r="K331" s="118">
        <v>1219</v>
      </c>
      <c r="L331" s="46">
        <v>2.4552004433770551</v>
      </c>
      <c r="M331" s="41">
        <v>2992.88934047663</v>
      </c>
      <c r="N331" s="44">
        <v>21.928999999999998</v>
      </c>
      <c r="O331" s="41">
        <v>1234</v>
      </c>
      <c r="P331" s="41">
        <v>10</v>
      </c>
      <c r="Q331" s="41">
        <v>49</v>
      </c>
      <c r="R331" s="45" t="s">
        <v>1324</v>
      </c>
      <c r="S331" s="45" t="s">
        <v>1324</v>
      </c>
      <c r="T331" s="45" t="s">
        <v>1324</v>
      </c>
      <c r="U331" s="44">
        <v>279.68018593371062</v>
      </c>
      <c r="V331" s="44">
        <v>465.41199999999998</v>
      </c>
      <c r="W331" s="44">
        <v>174.12081999999995</v>
      </c>
      <c r="X331" s="44">
        <v>30.23319747</v>
      </c>
      <c r="Y331" s="130" t="s">
        <v>4142</v>
      </c>
      <c r="Z331" s="224" t="s">
        <v>4143</v>
      </c>
    </row>
    <row r="332" spans="2:26" ht="15" customHeight="1" x14ac:dyDescent="0.35">
      <c r="B332" s="181">
        <v>75040</v>
      </c>
      <c r="C332" s="182" t="s">
        <v>745</v>
      </c>
      <c r="D332" s="222">
        <v>15</v>
      </c>
      <c r="E332" s="223" t="s">
        <v>2452</v>
      </c>
      <c r="F332" s="183" t="s">
        <v>2453</v>
      </c>
      <c r="G332" s="125">
        <v>1.6540804752524332</v>
      </c>
      <c r="H332" s="121" t="s">
        <v>1325</v>
      </c>
      <c r="I332" s="122">
        <v>42.290697674418603</v>
      </c>
      <c r="J332" s="106" t="s">
        <v>4656</v>
      </c>
      <c r="K332" s="118">
        <v>167</v>
      </c>
      <c r="L332" s="46">
        <v>2.4552004433770551</v>
      </c>
      <c r="M332" s="41">
        <v>410.01847404396818</v>
      </c>
      <c r="N332" s="44">
        <v>5.5620000000000003</v>
      </c>
      <c r="O332" s="41">
        <v>169</v>
      </c>
      <c r="P332" s="41">
        <v>10</v>
      </c>
      <c r="Q332" s="41">
        <v>43.6</v>
      </c>
      <c r="R332" s="45" t="s">
        <v>1324</v>
      </c>
      <c r="S332" s="45" t="s">
        <v>1324</v>
      </c>
      <c r="T332" s="45" t="s">
        <v>1324</v>
      </c>
      <c r="U332" s="44">
        <v>63.453000000000003</v>
      </c>
      <c r="V332" s="44">
        <v>71.908000000000001</v>
      </c>
      <c r="W332" s="44">
        <v>7.3063799999999945</v>
      </c>
      <c r="X332" s="44">
        <v>4.417185324000001</v>
      </c>
      <c r="Y332" s="130" t="s">
        <v>4144</v>
      </c>
      <c r="Z332" s="224" t="s">
        <v>4145</v>
      </c>
    </row>
    <row r="333" spans="2:26" ht="15" customHeight="1" x14ac:dyDescent="0.35">
      <c r="B333" s="181">
        <v>75040</v>
      </c>
      <c r="C333" s="182" t="s">
        <v>745</v>
      </c>
      <c r="D333" s="222">
        <v>15</v>
      </c>
      <c r="E333" s="223" t="s">
        <v>2454</v>
      </c>
      <c r="F333" s="183" t="s">
        <v>2455</v>
      </c>
      <c r="G333" s="125">
        <v>5.4005664950540577</v>
      </c>
      <c r="H333" s="121" t="s">
        <v>1325</v>
      </c>
      <c r="I333" s="122">
        <v>56.29069767441861</v>
      </c>
      <c r="J333" s="106" t="s">
        <v>4656</v>
      </c>
      <c r="K333" s="118">
        <v>1600</v>
      </c>
      <c r="L333" s="46">
        <v>2.4552004433770551</v>
      </c>
      <c r="M333" s="41">
        <v>3928.3207094032882</v>
      </c>
      <c r="N333" s="44">
        <v>37.094000000000001</v>
      </c>
      <c r="O333" s="41">
        <v>1669</v>
      </c>
      <c r="P333" s="41">
        <v>10</v>
      </c>
      <c r="Q333" s="41">
        <v>50.6</v>
      </c>
      <c r="R333" s="45" t="s">
        <v>1324</v>
      </c>
      <c r="S333" s="45" t="s">
        <v>1324</v>
      </c>
      <c r="T333" s="45" t="s">
        <v>1324</v>
      </c>
      <c r="U333" s="44">
        <v>379.22560758743327</v>
      </c>
      <c r="V333" s="44">
        <v>651.97500000000002</v>
      </c>
      <c r="W333" s="44">
        <v>241.39237499999999</v>
      </c>
      <c r="X333" s="44">
        <v>44.697602597999996</v>
      </c>
      <c r="Y333" s="130" t="s">
        <v>4146</v>
      </c>
      <c r="Z333" s="224" t="s">
        <v>4143</v>
      </c>
    </row>
    <row r="334" spans="2:26" ht="15" customHeight="1" x14ac:dyDescent="0.35">
      <c r="B334" s="181">
        <v>9065</v>
      </c>
      <c r="C334" s="182" t="s">
        <v>1108</v>
      </c>
      <c r="D334" s="222">
        <v>1</v>
      </c>
      <c r="E334" s="223" t="s">
        <v>2459</v>
      </c>
      <c r="F334" s="183" t="s">
        <v>2460</v>
      </c>
      <c r="G334" s="125">
        <v>0.1000798953885656</v>
      </c>
      <c r="H334" s="121" t="s">
        <v>1325</v>
      </c>
      <c r="I334" s="122">
        <v>65.596491228070192</v>
      </c>
      <c r="J334" s="106" t="s">
        <v>4656</v>
      </c>
      <c r="K334" s="118">
        <v>719</v>
      </c>
      <c r="L334" s="46">
        <v>2.2865090403337969</v>
      </c>
      <c r="M334" s="41">
        <v>1644</v>
      </c>
      <c r="N334" s="44">
        <v>17.696999999999999</v>
      </c>
      <c r="O334" s="41">
        <v>730</v>
      </c>
      <c r="P334" s="41">
        <v>15</v>
      </c>
      <c r="Q334" s="41">
        <v>47.599999999999994</v>
      </c>
      <c r="R334" s="45" t="s">
        <v>1307</v>
      </c>
      <c r="S334" s="45" t="s">
        <v>1307</v>
      </c>
      <c r="T334" s="45" t="s">
        <v>1324</v>
      </c>
      <c r="U334" s="44">
        <v>70.846999999999994</v>
      </c>
      <c r="V334" s="44">
        <v>171.364</v>
      </c>
      <c r="W334" s="44">
        <v>2.0453294897959182</v>
      </c>
      <c r="X334" s="44">
        <v>20.436966704</v>
      </c>
      <c r="Y334" s="130" t="s">
        <v>3933</v>
      </c>
      <c r="Z334" s="224"/>
    </row>
    <row r="335" spans="2:26" ht="15" customHeight="1" x14ac:dyDescent="0.35">
      <c r="B335" s="181">
        <v>32033</v>
      </c>
      <c r="C335" s="182" t="s">
        <v>258</v>
      </c>
      <c r="D335" s="222">
        <v>17</v>
      </c>
      <c r="E335" s="223" t="s">
        <v>2462</v>
      </c>
      <c r="F335" s="183" t="s">
        <v>2463</v>
      </c>
      <c r="G335" s="125">
        <v>1.9535045567087577</v>
      </c>
      <c r="H335" s="121" t="s">
        <v>1336</v>
      </c>
      <c r="I335" s="122">
        <v>63.771929824561418</v>
      </c>
      <c r="J335" s="106" t="s">
        <v>4656</v>
      </c>
      <c r="K335" s="118">
        <v>2199</v>
      </c>
      <c r="L335" s="46">
        <v>2.2747615553925167</v>
      </c>
      <c r="M335" s="41">
        <v>5002.2006603081445</v>
      </c>
      <c r="N335" s="44">
        <v>42.677</v>
      </c>
      <c r="O335" s="41">
        <v>1696</v>
      </c>
      <c r="P335" s="41">
        <v>13</v>
      </c>
      <c r="Q335" s="41">
        <v>62.8</v>
      </c>
      <c r="R335" s="45" t="s">
        <v>1307</v>
      </c>
      <c r="S335" s="45" t="s">
        <v>1307</v>
      </c>
      <c r="T335" s="45" t="s">
        <v>1307</v>
      </c>
      <c r="U335" s="44">
        <v>563.12941315345699</v>
      </c>
      <c r="V335" s="44">
        <v>1024.7639999999999</v>
      </c>
      <c r="W335" s="44">
        <v>119.83487610824741</v>
      </c>
      <c r="X335" s="44">
        <v>61.343535492000008</v>
      </c>
      <c r="Y335" s="130" t="s">
        <v>4147</v>
      </c>
      <c r="Z335" s="224" t="s">
        <v>3762</v>
      </c>
    </row>
    <row r="336" spans="2:26" ht="15" customHeight="1" x14ac:dyDescent="0.35">
      <c r="B336" s="181">
        <v>23027</v>
      </c>
      <c r="C336" s="182" t="s">
        <v>163</v>
      </c>
      <c r="D336" s="222">
        <v>3</v>
      </c>
      <c r="E336" s="223" t="s">
        <v>2467</v>
      </c>
      <c r="F336" s="183" t="s">
        <v>2468</v>
      </c>
      <c r="G336" s="125">
        <v>3.1893093761064373</v>
      </c>
      <c r="H336" s="121" t="s">
        <v>1786</v>
      </c>
      <c r="I336" s="122">
        <v>55.973684210526315</v>
      </c>
      <c r="J336" s="106" t="s">
        <v>4656</v>
      </c>
      <c r="K336" s="118">
        <v>290949.96578895097</v>
      </c>
      <c r="L336" s="46">
        <v>2.007695716395864</v>
      </c>
      <c r="M336" s="41">
        <v>584139</v>
      </c>
      <c r="N336" s="44">
        <v>2911.0080000000003</v>
      </c>
      <c r="O336" s="41">
        <v>175000</v>
      </c>
      <c r="P336" s="41">
        <v>6.31</v>
      </c>
      <c r="Q336" s="41">
        <v>54.7</v>
      </c>
      <c r="R336" s="45" t="s">
        <v>1307</v>
      </c>
      <c r="S336" s="45" t="s">
        <v>1307</v>
      </c>
      <c r="T336" s="45" t="s">
        <v>1307</v>
      </c>
      <c r="U336" s="44">
        <v>47908.452154500003</v>
      </c>
      <c r="V336" s="44">
        <v>85054.943999999989</v>
      </c>
      <c r="W336" s="44">
        <v>14009.034189734675</v>
      </c>
      <c r="X336" s="44">
        <v>4392.497728407001</v>
      </c>
      <c r="Y336" s="130" t="s">
        <v>4148</v>
      </c>
      <c r="Z336" s="224"/>
    </row>
    <row r="337" spans="2:26" ht="15" customHeight="1" x14ac:dyDescent="0.35">
      <c r="B337" s="181">
        <v>42032</v>
      </c>
      <c r="C337" s="182" t="s">
        <v>382</v>
      </c>
      <c r="D337" s="222">
        <v>5</v>
      </c>
      <c r="E337" s="223" t="s">
        <v>2472</v>
      </c>
      <c r="F337" s="183" t="s">
        <v>2473</v>
      </c>
      <c r="G337" s="125">
        <v>1.6763510498416665</v>
      </c>
      <c r="H337" s="121" t="s">
        <v>1336</v>
      </c>
      <c r="I337" s="122">
        <v>64</v>
      </c>
      <c r="J337" s="106" t="s">
        <v>4656</v>
      </c>
      <c r="K337" s="118">
        <v>238</v>
      </c>
      <c r="L337" s="46">
        <v>2.2845257903494178</v>
      </c>
      <c r="M337" s="41">
        <v>543.71713810316146</v>
      </c>
      <c r="N337" s="44">
        <v>13.234999999999999</v>
      </c>
      <c r="O337" s="41">
        <v>253</v>
      </c>
      <c r="P337" s="41">
        <v>4</v>
      </c>
      <c r="Q337" s="41">
        <v>57</v>
      </c>
      <c r="R337" s="45" t="s">
        <v>1307</v>
      </c>
      <c r="S337" s="45" t="s">
        <v>1307</v>
      </c>
      <c r="T337" s="45" t="s">
        <v>1307</v>
      </c>
      <c r="U337" s="44">
        <v>41.006553359683792</v>
      </c>
      <c r="V337" s="44">
        <v>60.752000000000002</v>
      </c>
      <c r="W337" s="44">
        <v>16.25</v>
      </c>
      <c r="X337" s="44">
        <v>9.6936736500000009</v>
      </c>
      <c r="Y337" s="130" t="s">
        <v>4149</v>
      </c>
      <c r="Z337" s="224"/>
    </row>
    <row r="338" spans="2:26" ht="15" customHeight="1" x14ac:dyDescent="0.35">
      <c r="B338" s="181">
        <v>96040</v>
      </c>
      <c r="C338" s="182" t="s">
        <v>1001</v>
      </c>
      <c r="D338" s="222">
        <v>9</v>
      </c>
      <c r="E338" s="223" t="s">
        <v>2475</v>
      </c>
      <c r="F338" s="183" t="s">
        <v>2476</v>
      </c>
      <c r="G338" s="125">
        <v>1.4407770207230863</v>
      </c>
      <c r="H338" s="121" t="s">
        <v>1336</v>
      </c>
      <c r="I338" s="122">
        <v>64</v>
      </c>
      <c r="J338" s="106" t="s">
        <v>4656</v>
      </c>
      <c r="K338" s="118">
        <v>643</v>
      </c>
      <c r="L338" s="46">
        <v>2.3292894280762564</v>
      </c>
      <c r="M338" s="41">
        <v>1497.7331022530329</v>
      </c>
      <c r="N338" s="44">
        <v>36.68</v>
      </c>
      <c r="O338" s="41">
        <v>628</v>
      </c>
      <c r="P338" s="41">
        <v>12</v>
      </c>
      <c r="Q338" s="41">
        <v>49</v>
      </c>
      <c r="R338" s="45" t="s">
        <v>1307</v>
      </c>
      <c r="S338" s="45" t="s">
        <v>1307</v>
      </c>
      <c r="T338" s="45" t="s">
        <v>1307</v>
      </c>
      <c r="U338" s="44">
        <v>145.29253429924813</v>
      </c>
      <c r="V338" s="44">
        <v>191.09800000000001</v>
      </c>
      <c r="W338" s="44">
        <v>34.814</v>
      </c>
      <c r="X338" s="44">
        <v>24.163350400000002</v>
      </c>
      <c r="Y338" s="130" t="s">
        <v>4150</v>
      </c>
      <c r="Z338" s="224" t="s">
        <v>3761</v>
      </c>
    </row>
    <row r="339" spans="2:26" ht="15" customHeight="1" x14ac:dyDescent="0.35">
      <c r="B339" s="181">
        <v>62037</v>
      </c>
      <c r="C339" s="182" t="s">
        <v>624</v>
      </c>
      <c r="D339" s="222">
        <v>14</v>
      </c>
      <c r="E339" s="223" t="s">
        <v>2479</v>
      </c>
      <c r="F339" s="183" t="s">
        <v>2480</v>
      </c>
      <c r="G339" s="125">
        <v>1.1022078007534108</v>
      </c>
      <c r="H339" s="121" t="s">
        <v>1325</v>
      </c>
      <c r="I339" s="122">
        <v>56.098039215686271</v>
      </c>
      <c r="J339" s="106" t="s">
        <v>4656</v>
      </c>
      <c r="K339" s="118">
        <v>120</v>
      </c>
      <c r="L339" s="46">
        <v>2.0119866032081792</v>
      </c>
      <c r="M339" s="41">
        <v>241.43839238498151</v>
      </c>
      <c r="N339" s="44">
        <v>3.05</v>
      </c>
      <c r="O339" s="41">
        <v>120</v>
      </c>
      <c r="P339" s="41">
        <v>15</v>
      </c>
      <c r="Q339" s="41">
        <v>47.8</v>
      </c>
      <c r="R339" s="45" t="s">
        <v>1307</v>
      </c>
      <c r="S339" s="45" t="s">
        <v>1324</v>
      </c>
      <c r="T339" s="45" t="s">
        <v>1324</v>
      </c>
      <c r="U339" s="44">
        <v>15.065</v>
      </c>
      <c r="V339" s="44">
        <v>18.88</v>
      </c>
      <c r="W339" s="44">
        <v>3.7671999999999985</v>
      </c>
      <c r="X339" s="44">
        <v>3.4178673000000002</v>
      </c>
      <c r="Y339" s="130" t="s">
        <v>4151</v>
      </c>
      <c r="Z339" s="224"/>
    </row>
    <row r="340" spans="2:26" ht="15" customHeight="1" x14ac:dyDescent="0.35">
      <c r="B340" s="181">
        <v>62037</v>
      </c>
      <c r="C340" s="182" t="s">
        <v>624</v>
      </c>
      <c r="D340" s="222">
        <v>14</v>
      </c>
      <c r="E340" s="223" t="s">
        <v>2481</v>
      </c>
      <c r="F340" s="183" t="s">
        <v>2482</v>
      </c>
      <c r="G340" s="125">
        <v>2.3452117505324002</v>
      </c>
      <c r="H340" s="121" t="s">
        <v>1325</v>
      </c>
      <c r="I340" s="122">
        <v>60.921052631578959</v>
      </c>
      <c r="J340" s="106" t="s">
        <v>4656</v>
      </c>
      <c r="K340" s="118">
        <v>3305</v>
      </c>
      <c r="L340" s="46">
        <v>2.0119866032081792</v>
      </c>
      <c r="M340" s="41">
        <v>6649.6157236030322</v>
      </c>
      <c r="N340" s="44">
        <v>91.78</v>
      </c>
      <c r="O340" s="41">
        <v>3050</v>
      </c>
      <c r="P340" s="41">
        <v>15</v>
      </c>
      <c r="Q340" s="41">
        <v>35.200000000000003</v>
      </c>
      <c r="R340" s="45" t="s">
        <v>1307</v>
      </c>
      <c r="S340" s="45" t="s">
        <v>1324</v>
      </c>
      <c r="T340" s="45" t="s">
        <v>1307</v>
      </c>
      <c r="U340" s="44">
        <v>628.70899999999995</v>
      </c>
      <c r="V340" s="44">
        <v>1060.7049999999999</v>
      </c>
      <c r="W340" s="44">
        <v>157.76105749999982</v>
      </c>
      <c r="X340" s="44">
        <v>67.269429920000007</v>
      </c>
      <c r="Y340" s="130" t="s">
        <v>4152</v>
      </c>
      <c r="Z340" s="224" t="s">
        <v>4153</v>
      </c>
    </row>
    <row r="341" spans="2:26" ht="15" customHeight="1" x14ac:dyDescent="0.35">
      <c r="B341" s="181">
        <v>60013</v>
      </c>
      <c r="C341" s="182" t="s">
        <v>606</v>
      </c>
      <c r="D341" s="222">
        <v>14</v>
      </c>
      <c r="E341" s="223" t="s">
        <v>2485</v>
      </c>
      <c r="F341" s="183" t="s">
        <v>2486</v>
      </c>
      <c r="G341" s="125">
        <v>0.5483352035895197</v>
      </c>
      <c r="H341" s="121" t="s">
        <v>2227</v>
      </c>
      <c r="I341" s="122">
        <v>67.496771066785143</v>
      </c>
      <c r="J341" s="106" t="s">
        <v>4656</v>
      </c>
      <c r="K341" s="118">
        <v>34546</v>
      </c>
      <c r="L341" s="46">
        <v>2.4701557343831415</v>
      </c>
      <c r="M341" s="41">
        <v>85334</v>
      </c>
      <c r="N341" s="44">
        <v>397.666</v>
      </c>
      <c r="O341" s="41">
        <v>25598</v>
      </c>
      <c r="P341" s="41">
        <v>6</v>
      </c>
      <c r="Q341" s="41">
        <v>51</v>
      </c>
      <c r="R341" s="45" t="s">
        <v>1307</v>
      </c>
      <c r="S341" s="45" t="s">
        <v>1307</v>
      </c>
      <c r="T341" s="45" t="s">
        <v>1307</v>
      </c>
      <c r="U341" s="44">
        <v>6560.5680000000002</v>
      </c>
      <c r="V341" s="44">
        <v>9147.0259999999998</v>
      </c>
      <c r="W341" s="44">
        <v>321.2846081701037</v>
      </c>
      <c r="X341" s="44">
        <v>585.92737811999996</v>
      </c>
      <c r="Y341" s="130" t="s">
        <v>4154</v>
      </c>
      <c r="Z341" s="224"/>
    </row>
    <row r="342" spans="2:26" ht="15" customHeight="1" x14ac:dyDescent="0.35">
      <c r="B342" s="181">
        <v>42098</v>
      </c>
      <c r="C342" s="182" t="s">
        <v>394</v>
      </c>
      <c r="D342" s="222">
        <v>5</v>
      </c>
      <c r="E342" s="223" t="s">
        <v>2488</v>
      </c>
      <c r="F342" s="183" t="s">
        <v>2489</v>
      </c>
      <c r="G342" s="125">
        <v>2.5185691537214279</v>
      </c>
      <c r="H342" s="121" t="s">
        <v>1336</v>
      </c>
      <c r="I342" s="122">
        <v>46.487268701471493</v>
      </c>
      <c r="J342" s="106" t="s">
        <v>4656</v>
      </c>
      <c r="K342" s="118">
        <v>1660</v>
      </c>
      <c r="L342" s="46">
        <v>1.9347568208778174</v>
      </c>
      <c r="M342" s="41">
        <v>3211.696322657177</v>
      </c>
      <c r="N342" s="44">
        <v>34.898000000000003</v>
      </c>
      <c r="O342" s="41">
        <v>1223</v>
      </c>
      <c r="P342" s="41">
        <v>6</v>
      </c>
      <c r="Q342" s="41">
        <v>58.796336989843624</v>
      </c>
      <c r="R342" s="45" t="s">
        <v>1307</v>
      </c>
      <c r="S342" s="45" t="s">
        <v>1307</v>
      </c>
      <c r="T342" s="45" t="s">
        <v>1307</v>
      </c>
      <c r="U342" s="44">
        <v>478.92906054279752</v>
      </c>
      <c r="V342" s="44">
        <v>659.43000000000006</v>
      </c>
      <c r="W342" s="44">
        <v>96.750550000000032</v>
      </c>
      <c r="X342" s="44">
        <v>38.414887221596359</v>
      </c>
      <c r="Y342" s="130" t="s">
        <v>4155</v>
      </c>
      <c r="Z342" s="224" t="s">
        <v>3762</v>
      </c>
    </row>
    <row r="343" spans="2:26" ht="15" customHeight="1" x14ac:dyDescent="0.35">
      <c r="B343" s="181">
        <v>10043</v>
      </c>
      <c r="C343" s="182" t="s">
        <v>13</v>
      </c>
      <c r="D343" s="222">
        <v>1</v>
      </c>
      <c r="E343" s="223" t="s">
        <v>2493</v>
      </c>
      <c r="F343" s="183" t="s">
        <v>2494</v>
      </c>
      <c r="G343" s="125">
        <v>6.2195583436648425</v>
      </c>
      <c r="H343" s="121" t="s">
        <v>2090</v>
      </c>
      <c r="I343" s="122">
        <v>65.232930984558493</v>
      </c>
      <c r="J343" s="106" t="s">
        <v>4656</v>
      </c>
      <c r="K343" s="118">
        <v>22985</v>
      </c>
      <c r="L343" s="46">
        <v>2.06</v>
      </c>
      <c r="M343" s="41">
        <v>47349.1</v>
      </c>
      <c r="N343" s="44">
        <v>321.666</v>
      </c>
      <c r="O343" s="41">
        <v>15343</v>
      </c>
      <c r="P343" s="41">
        <v>13</v>
      </c>
      <c r="Q343" s="41">
        <v>51.9</v>
      </c>
      <c r="R343" s="45" t="s">
        <v>1307</v>
      </c>
      <c r="S343" s="45" t="s">
        <v>1307</v>
      </c>
      <c r="T343" s="45" t="s">
        <v>1307</v>
      </c>
      <c r="U343" s="44">
        <v>3629.3310000000001</v>
      </c>
      <c r="V343" s="44">
        <v>7487.0339999999997</v>
      </c>
      <c r="W343" s="44">
        <v>2715.8573691237111</v>
      </c>
      <c r="X343" s="44">
        <v>436.66402324050011</v>
      </c>
      <c r="Y343" s="130" t="s">
        <v>4156</v>
      </c>
      <c r="Z343" s="224"/>
    </row>
    <row r="344" spans="2:26" ht="15" customHeight="1" x14ac:dyDescent="0.35">
      <c r="B344" s="181">
        <v>10043</v>
      </c>
      <c r="C344" s="182" t="s">
        <v>13</v>
      </c>
      <c r="D344" s="222">
        <v>1</v>
      </c>
      <c r="E344" s="223" t="s">
        <v>2495</v>
      </c>
      <c r="F344" s="183" t="s">
        <v>2496</v>
      </c>
      <c r="G344" s="125">
        <v>1.5249675836785737</v>
      </c>
      <c r="H344" s="121" t="s">
        <v>1336</v>
      </c>
      <c r="I344" s="122">
        <v>50</v>
      </c>
      <c r="J344" s="106" t="s">
        <v>4656</v>
      </c>
      <c r="K344" s="118">
        <v>356</v>
      </c>
      <c r="L344" s="46">
        <v>2.0596846846846848</v>
      </c>
      <c r="M344" s="41">
        <v>733.24774774774778</v>
      </c>
      <c r="N344" s="44">
        <v>6.28</v>
      </c>
      <c r="O344" s="41">
        <v>268</v>
      </c>
      <c r="P344" s="41">
        <v>13</v>
      </c>
      <c r="Q344" s="41">
        <v>65</v>
      </c>
      <c r="R344" s="45" t="s">
        <v>1307</v>
      </c>
      <c r="S344" s="45" t="s">
        <v>1307</v>
      </c>
      <c r="T344" s="45" t="s">
        <v>1307</v>
      </c>
      <c r="U344" s="44">
        <v>48.42</v>
      </c>
      <c r="V344" s="44">
        <v>66.680999999999997</v>
      </c>
      <c r="W344" s="44">
        <v>14.997997474226802</v>
      </c>
      <c r="X344" s="44">
        <v>9.8349615000000004</v>
      </c>
      <c r="Y344" s="130" t="s">
        <v>4157</v>
      </c>
      <c r="Z344" s="224"/>
    </row>
    <row r="345" spans="2:26" ht="15" customHeight="1" x14ac:dyDescent="0.35">
      <c r="B345" s="181">
        <v>10043</v>
      </c>
      <c r="C345" s="182" t="s">
        <v>13</v>
      </c>
      <c r="D345" s="222">
        <v>1</v>
      </c>
      <c r="E345" s="223" t="s">
        <v>2497</v>
      </c>
      <c r="F345" s="183" t="s">
        <v>2498</v>
      </c>
      <c r="G345" s="125">
        <v>1.493981865975416</v>
      </c>
      <c r="H345" s="121" t="s">
        <v>1336</v>
      </c>
      <c r="I345" s="122">
        <v>49</v>
      </c>
      <c r="J345" s="106" t="s">
        <v>4656</v>
      </c>
      <c r="K345" s="118">
        <v>162</v>
      </c>
      <c r="L345" s="46">
        <v>2.0596846846846848</v>
      </c>
      <c r="M345" s="41">
        <v>333.66891891891896</v>
      </c>
      <c r="N345" s="44">
        <v>4.3129999999999997</v>
      </c>
      <c r="O345" s="41">
        <v>160</v>
      </c>
      <c r="P345" s="41">
        <v>13</v>
      </c>
      <c r="Q345" s="41">
        <v>44.2</v>
      </c>
      <c r="R345" s="45" t="s">
        <v>1307</v>
      </c>
      <c r="S345" s="45" t="s">
        <v>1307</v>
      </c>
      <c r="T345" s="45" t="s">
        <v>1307</v>
      </c>
      <c r="U345" s="44">
        <v>22.03</v>
      </c>
      <c r="V345" s="44">
        <v>28.891999999999999</v>
      </c>
      <c r="W345" s="44">
        <v>6.2096001546391753</v>
      </c>
      <c r="X345" s="44">
        <v>4.1564093220000009</v>
      </c>
      <c r="Y345" s="130" t="s">
        <v>4158</v>
      </c>
      <c r="Z345" s="224"/>
    </row>
    <row r="346" spans="2:26" ht="15" customHeight="1" x14ac:dyDescent="0.35">
      <c r="B346" s="181">
        <v>34135</v>
      </c>
      <c r="C346" s="182" t="s">
        <v>302</v>
      </c>
      <c r="D346" s="222">
        <v>3</v>
      </c>
      <c r="E346" s="223" t="s">
        <v>2500</v>
      </c>
      <c r="F346" s="183" t="s">
        <v>2501</v>
      </c>
      <c r="G346" s="125">
        <v>6.5184795489511691</v>
      </c>
      <c r="H346" s="121" t="s">
        <v>1336</v>
      </c>
      <c r="I346" s="122">
        <v>58.72972972972974</v>
      </c>
      <c r="J346" s="106" t="s">
        <v>4656</v>
      </c>
      <c r="K346" s="118">
        <v>197</v>
      </c>
      <c r="L346" s="46">
        <v>1.7666666666666666</v>
      </c>
      <c r="M346" s="41">
        <v>348.0333333333333</v>
      </c>
      <c r="N346" s="44">
        <v>6.41</v>
      </c>
      <c r="O346" s="41">
        <v>198</v>
      </c>
      <c r="P346" s="41">
        <v>5</v>
      </c>
      <c r="Q346" s="41">
        <v>49</v>
      </c>
      <c r="R346" s="45" t="s">
        <v>1307</v>
      </c>
      <c r="S346" s="45" t="s">
        <v>1307</v>
      </c>
      <c r="T346" s="45" t="s">
        <v>1307</v>
      </c>
      <c r="U346" s="44">
        <v>36.785961538461542</v>
      </c>
      <c r="V346" s="44">
        <v>74.765000000000001</v>
      </c>
      <c r="W346" s="44">
        <v>34.803525</v>
      </c>
      <c r="X346" s="44">
        <v>5.33920905</v>
      </c>
      <c r="Y346" s="130" t="s">
        <v>4159</v>
      </c>
      <c r="Z346" s="224"/>
    </row>
    <row r="347" spans="2:26" ht="15" customHeight="1" x14ac:dyDescent="0.35">
      <c r="B347" s="181">
        <v>98055</v>
      </c>
      <c r="C347" s="182" t="s">
        <v>1018</v>
      </c>
      <c r="D347" s="222">
        <v>9</v>
      </c>
      <c r="E347" s="223" t="s">
        <v>2503</v>
      </c>
      <c r="F347" s="183" t="s">
        <v>2504</v>
      </c>
      <c r="G347" s="125">
        <v>1.4804617916690601</v>
      </c>
      <c r="H347" s="121" t="s">
        <v>1336</v>
      </c>
      <c r="I347" s="122">
        <v>57.675675675675677</v>
      </c>
      <c r="J347" s="106" t="s">
        <v>4656</v>
      </c>
      <c r="K347" s="118">
        <v>197</v>
      </c>
      <c r="L347" s="46">
        <v>1.3235294117647058</v>
      </c>
      <c r="M347" s="41">
        <v>260.73529411764707</v>
      </c>
      <c r="N347" s="44">
        <v>10.175000000000001</v>
      </c>
      <c r="O347" s="41">
        <v>220</v>
      </c>
      <c r="P347" s="41">
        <v>3</v>
      </c>
      <c r="Q347" s="41">
        <v>42.88</v>
      </c>
      <c r="R347" s="45" t="s">
        <v>1307</v>
      </c>
      <c r="S347" s="45" t="s">
        <v>1307</v>
      </c>
      <c r="T347" s="45" t="s">
        <v>1307</v>
      </c>
      <c r="U347" s="44">
        <v>24.454206422018348</v>
      </c>
      <c r="V347" s="44">
        <v>39.924999999999997</v>
      </c>
      <c r="W347" s="44">
        <v>8.704187499999998</v>
      </c>
      <c r="X347" s="44">
        <v>5.8793732799999994</v>
      </c>
      <c r="Y347" s="130" t="s">
        <v>4160</v>
      </c>
      <c r="Z347" s="224"/>
    </row>
    <row r="348" spans="2:26" ht="15" customHeight="1" x14ac:dyDescent="0.35">
      <c r="B348" s="181">
        <v>98055</v>
      </c>
      <c r="C348" s="182" t="s">
        <v>1018</v>
      </c>
      <c r="D348" s="222">
        <v>9</v>
      </c>
      <c r="E348" s="223" t="s">
        <v>2505</v>
      </c>
      <c r="F348" s="183" t="s">
        <v>2506</v>
      </c>
      <c r="G348" s="125">
        <v>1.7897297304984068</v>
      </c>
      <c r="H348" s="121" t="s">
        <v>1336</v>
      </c>
      <c r="I348" s="122">
        <v>58.202702702702709</v>
      </c>
      <c r="J348" s="106" t="s">
        <v>4656</v>
      </c>
      <c r="K348" s="118">
        <v>52</v>
      </c>
      <c r="L348" s="46">
        <v>1.3235294117647058</v>
      </c>
      <c r="M348" s="41">
        <v>68.82352941176471</v>
      </c>
      <c r="N348" s="44">
        <v>2.125</v>
      </c>
      <c r="O348" s="41">
        <v>50</v>
      </c>
      <c r="P348" s="41">
        <v>5</v>
      </c>
      <c r="Q348" s="41">
        <v>42.18</v>
      </c>
      <c r="R348" s="45" t="s">
        <v>1307</v>
      </c>
      <c r="S348" s="45" t="s">
        <v>1307</v>
      </c>
      <c r="T348" s="45" t="s">
        <v>1307</v>
      </c>
      <c r="U348" s="44">
        <v>4.3594909090909093</v>
      </c>
      <c r="V348" s="44">
        <v>7.0449999999999999</v>
      </c>
      <c r="W348" s="44">
        <v>2.328325</v>
      </c>
      <c r="X348" s="44">
        <v>1.3009366499999999</v>
      </c>
      <c r="Y348" s="130" t="s">
        <v>4161</v>
      </c>
      <c r="Z348" s="224"/>
    </row>
    <row r="349" spans="2:26" ht="15" customHeight="1" x14ac:dyDescent="0.35">
      <c r="B349" s="181">
        <v>13025</v>
      </c>
      <c r="C349" s="182" t="s">
        <v>45</v>
      </c>
      <c r="D349" s="222">
        <v>1</v>
      </c>
      <c r="E349" s="223" t="s">
        <v>2509</v>
      </c>
      <c r="F349" s="183" t="s">
        <v>2510</v>
      </c>
      <c r="G349" s="125">
        <v>1.602457682402354</v>
      </c>
      <c r="H349" s="121" t="s">
        <v>1336</v>
      </c>
      <c r="I349" s="122">
        <v>44.378378378378386</v>
      </c>
      <c r="J349" s="106" t="s">
        <v>4656</v>
      </c>
      <c r="K349" s="118">
        <v>480</v>
      </c>
      <c r="L349" s="46">
        <v>1.8914027149321266</v>
      </c>
      <c r="M349" s="41">
        <v>907.87330316742077</v>
      </c>
      <c r="N349" s="44">
        <v>11.972</v>
      </c>
      <c r="O349" s="41">
        <v>368</v>
      </c>
      <c r="P349" s="41">
        <v>5</v>
      </c>
      <c r="Q349" s="41">
        <v>59.499999999999993</v>
      </c>
      <c r="R349" s="45" t="s">
        <v>1307</v>
      </c>
      <c r="S349" s="45" t="s">
        <v>1307</v>
      </c>
      <c r="T349" s="45" t="s">
        <v>1307</v>
      </c>
      <c r="U349" s="44">
        <v>109.11099029126213</v>
      </c>
      <c r="V349" s="44">
        <v>173.22200000000001</v>
      </c>
      <c r="W349" s="44">
        <v>19.345945000000025</v>
      </c>
      <c r="X349" s="44">
        <v>12.072671379999997</v>
      </c>
      <c r="Y349" s="130" t="s">
        <v>4162</v>
      </c>
      <c r="Z349" s="224" t="s">
        <v>3988</v>
      </c>
    </row>
    <row r="350" spans="2:26" ht="15" customHeight="1" x14ac:dyDescent="0.35">
      <c r="B350" s="181">
        <v>12072</v>
      </c>
      <c r="C350" s="182" t="s">
        <v>39</v>
      </c>
      <c r="D350" s="222">
        <v>1</v>
      </c>
      <c r="E350" s="223" t="s">
        <v>2512</v>
      </c>
      <c r="F350" s="183" t="s">
        <v>2513</v>
      </c>
      <c r="G350" s="125">
        <v>1.1022668843870664</v>
      </c>
      <c r="H350" s="121" t="s">
        <v>1373</v>
      </c>
      <c r="I350" s="122">
        <v>49.543859649122808</v>
      </c>
      <c r="J350" s="106" t="s">
        <v>4656</v>
      </c>
      <c r="K350" s="118">
        <v>9155</v>
      </c>
      <c r="L350" s="46">
        <v>2.2999999999999998</v>
      </c>
      <c r="M350" s="41">
        <v>21056.5</v>
      </c>
      <c r="N350" s="44">
        <v>133.51</v>
      </c>
      <c r="O350" s="41">
        <v>6533</v>
      </c>
      <c r="P350" s="41">
        <v>10</v>
      </c>
      <c r="Q350" s="41">
        <v>56</v>
      </c>
      <c r="R350" s="45" t="s">
        <v>1307</v>
      </c>
      <c r="S350" s="45" t="s">
        <v>1307</v>
      </c>
      <c r="T350" s="45" t="s">
        <v>1307</v>
      </c>
      <c r="U350" s="44">
        <v>2001.2829999999999</v>
      </c>
      <c r="V350" s="44">
        <v>3863.9459999999999</v>
      </c>
      <c r="W350" s="44">
        <v>208.6946640306121</v>
      </c>
      <c r="X350" s="44">
        <v>189.33224519999999</v>
      </c>
      <c r="Y350" s="130" t="s">
        <v>4163</v>
      </c>
      <c r="Z350" s="224"/>
    </row>
    <row r="351" spans="2:26" ht="15" customHeight="1" x14ac:dyDescent="0.35">
      <c r="B351" s="181">
        <v>89010</v>
      </c>
      <c r="C351" s="182" t="s">
        <v>929</v>
      </c>
      <c r="D351" s="222">
        <v>8</v>
      </c>
      <c r="E351" s="223" t="s">
        <v>2515</v>
      </c>
      <c r="F351" s="183" t="s">
        <v>2516</v>
      </c>
      <c r="G351" s="125">
        <v>2.5968809520643874</v>
      </c>
      <c r="H351" s="121" t="s">
        <v>1336</v>
      </c>
      <c r="I351" s="122">
        <v>58.027027027027032</v>
      </c>
      <c r="J351" s="106" t="s">
        <v>4656</v>
      </c>
      <c r="K351" s="118">
        <v>43</v>
      </c>
      <c r="L351" s="46">
        <v>2.3983606557377048</v>
      </c>
      <c r="M351" s="41">
        <v>103.1295081967213</v>
      </c>
      <c r="N351" s="44">
        <v>3.452</v>
      </c>
      <c r="O351" s="41">
        <v>47</v>
      </c>
      <c r="P351" s="41">
        <v>14</v>
      </c>
      <c r="Q351" s="41">
        <v>45.5</v>
      </c>
      <c r="R351" s="45" t="s">
        <v>1307</v>
      </c>
      <c r="S351" s="45" t="s">
        <v>1307</v>
      </c>
      <c r="T351" s="45" t="s">
        <v>1307</v>
      </c>
      <c r="U351" s="44">
        <v>9.9921249999999997</v>
      </c>
      <c r="V351" s="44">
        <v>16.411000000000001</v>
      </c>
      <c r="W351" s="44">
        <v>5.0108350000000019</v>
      </c>
      <c r="X351" s="44">
        <v>1.9295589949999998</v>
      </c>
      <c r="Y351" s="130" t="s">
        <v>4164</v>
      </c>
      <c r="Z351" s="224"/>
    </row>
    <row r="352" spans="2:26" ht="15" customHeight="1" x14ac:dyDescent="0.35">
      <c r="B352" s="181">
        <v>14065</v>
      </c>
      <c r="C352" s="182" t="s">
        <v>71</v>
      </c>
      <c r="D352" s="222">
        <v>1</v>
      </c>
      <c r="E352" s="223" t="s">
        <v>2519</v>
      </c>
      <c r="F352" s="183" t="s">
        <v>2210</v>
      </c>
      <c r="G352" s="125">
        <v>0.1819242594709107</v>
      </c>
      <c r="H352" s="121" t="s">
        <v>1336</v>
      </c>
      <c r="I352" s="122">
        <v>60.807017543859665</v>
      </c>
      <c r="J352" s="106" t="s">
        <v>4656</v>
      </c>
      <c r="K352" s="118">
        <v>273</v>
      </c>
      <c r="L352" s="46">
        <v>2.0505263157894738</v>
      </c>
      <c r="M352" s="41">
        <v>559.79368421052629</v>
      </c>
      <c r="N352" s="44">
        <v>16.986000000000001</v>
      </c>
      <c r="O352" s="41">
        <v>302</v>
      </c>
      <c r="P352" s="41">
        <v>8</v>
      </c>
      <c r="Q352" s="41">
        <v>56</v>
      </c>
      <c r="R352" s="45" t="s">
        <v>1307</v>
      </c>
      <c r="S352" s="45" t="s">
        <v>1307</v>
      </c>
      <c r="T352" s="45" t="s">
        <v>1307</v>
      </c>
      <c r="U352" s="44">
        <v>40.640999999999998</v>
      </c>
      <c r="V352" s="44">
        <v>96.88</v>
      </c>
      <c r="W352" s="44">
        <v>2.2599303030303086</v>
      </c>
      <c r="X352" s="44">
        <v>12.422369119999999</v>
      </c>
      <c r="Y352" s="130" t="s">
        <v>4165</v>
      </c>
      <c r="Z352" s="224"/>
    </row>
    <row r="353" spans="2:26" ht="15" customHeight="1" x14ac:dyDescent="0.35">
      <c r="B353" s="181">
        <v>79037</v>
      </c>
      <c r="C353" s="182" t="s">
        <v>792</v>
      </c>
      <c r="D353" s="222">
        <v>15</v>
      </c>
      <c r="E353" s="223" t="s">
        <v>3684</v>
      </c>
      <c r="F353" s="183" t="s">
        <v>3685</v>
      </c>
      <c r="G353" s="125">
        <v>4.9606867782510973</v>
      </c>
      <c r="H353" s="121" t="s">
        <v>1325</v>
      </c>
      <c r="I353" s="122">
        <v>59.081081081081081</v>
      </c>
      <c r="J353" s="106" t="s">
        <v>4656</v>
      </c>
      <c r="K353" s="118">
        <v>1179</v>
      </c>
      <c r="L353" s="46">
        <v>1.7995119967466451</v>
      </c>
      <c r="M353" s="41">
        <v>2121.6246441642948</v>
      </c>
      <c r="N353" s="44">
        <v>21.539000000000001</v>
      </c>
      <c r="O353" s="41">
        <v>1095</v>
      </c>
      <c r="P353" s="41">
        <v>4</v>
      </c>
      <c r="Q353" s="41">
        <v>56.948</v>
      </c>
      <c r="R353" s="45" t="s">
        <v>1307</v>
      </c>
      <c r="S353" s="45" t="s">
        <v>1307</v>
      </c>
      <c r="T353" s="45" t="s">
        <v>1324</v>
      </c>
      <c r="U353" s="44">
        <v>208.18923076923076</v>
      </c>
      <c r="V353" s="44">
        <v>374.47199999999998</v>
      </c>
      <c r="W353" s="44">
        <v>141.594888</v>
      </c>
      <c r="X353" s="44">
        <v>28.543404236040001</v>
      </c>
      <c r="Y353" s="130" t="s">
        <v>4166</v>
      </c>
      <c r="Z353" s="224"/>
    </row>
    <row r="354" spans="2:26" ht="15" customHeight="1" x14ac:dyDescent="0.35">
      <c r="B354" s="181">
        <v>79037</v>
      </c>
      <c r="C354" s="182" t="s">
        <v>792</v>
      </c>
      <c r="D354" s="222">
        <v>15</v>
      </c>
      <c r="E354" s="223" t="s">
        <v>3686</v>
      </c>
      <c r="F354" s="183" t="s">
        <v>3687</v>
      </c>
      <c r="G354" s="125">
        <v>5.803845783205686</v>
      </c>
      <c r="H354" s="121" t="s">
        <v>1336</v>
      </c>
      <c r="I354" s="122">
        <v>59.081081081081081</v>
      </c>
      <c r="J354" s="106" t="s">
        <v>4656</v>
      </c>
      <c r="K354" s="118">
        <v>323</v>
      </c>
      <c r="L354" s="46">
        <v>1.7995119967466451</v>
      </c>
      <c r="M354" s="41">
        <v>581.24237494916633</v>
      </c>
      <c r="N354" s="44">
        <v>11.23</v>
      </c>
      <c r="O354" s="41">
        <v>305</v>
      </c>
      <c r="P354" s="41">
        <v>4</v>
      </c>
      <c r="Q354" s="41">
        <v>68.197999999999993</v>
      </c>
      <c r="R354" s="45" t="s">
        <v>1307</v>
      </c>
      <c r="S354" s="45" t="s">
        <v>1307</v>
      </c>
      <c r="T354" s="45" t="s">
        <v>1307</v>
      </c>
      <c r="U354" s="44">
        <v>78.641164739884388</v>
      </c>
      <c r="V354" s="44">
        <v>155.43299999999999</v>
      </c>
      <c r="W354" s="44">
        <v>68.860607999999985</v>
      </c>
      <c r="X354" s="44">
        <v>11.8646515728</v>
      </c>
      <c r="Y354" s="130" t="s">
        <v>4167</v>
      </c>
      <c r="Z354" s="224"/>
    </row>
    <row r="355" spans="2:26" ht="15" customHeight="1" x14ac:dyDescent="0.35">
      <c r="B355" s="181">
        <v>98050</v>
      </c>
      <c r="C355" s="182" t="s">
        <v>1017</v>
      </c>
      <c r="D355" s="222">
        <v>9</v>
      </c>
      <c r="E355" s="223" t="s">
        <v>2522</v>
      </c>
      <c r="F355" s="183" t="s">
        <v>2523</v>
      </c>
      <c r="G355" s="125">
        <v>1.130565227521138</v>
      </c>
      <c r="H355" s="121" t="s">
        <v>1336</v>
      </c>
      <c r="I355" s="122">
        <v>44.905405405405403</v>
      </c>
      <c r="J355" s="106" t="s">
        <v>4656</v>
      </c>
      <c r="K355" s="118">
        <v>105</v>
      </c>
      <c r="L355" s="46">
        <v>2.39</v>
      </c>
      <c r="M355" s="41">
        <v>250.95000000000002</v>
      </c>
      <c r="N355" s="44">
        <v>3.0219999999999998</v>
      </c>
      <c r="O355" s="41">
        <v>109</v>
      </c>
      <c r="P355" s="41">
        <v>5</v>
      </c>
      <c r="Q355" s="41">
        <v>35.9</v>
      </c>
      <c r="R355" s="45" t="s">
        <v>1307</v>
      </c>
      <c r="S355" s="45" t="s">
        <v>1307</v>
      </c>
      <c r="T355" s="45" t="s">
        <v>1307</v>
      </c>
      <c r="U355" s="44">
        <v>12.303302752293577</v>
      </c>
      <c r="V355" s="44">
        <v>15.301</v>
      </c>
      <c r="W355" s="44">
        <v>2.2995000000000005</v>
      </c>
      <c r="X355" s="44">
        <v>2.0339383734999998</v>
      </c>
      <c r="Y355" s="130" t="s">
        <v>4168</v>
      </c>
      <c r="Z355" s="224"/>
    </row>
    <row r="356" spans="2:26" ht="15" customHeight="1" x14ac:dyDescent="0.35">
      <c r="B356" s="181">
        <v>91025</v>
      </c>
      <c r="C356" s="182" t="s">
        <v>941</v>
      </c>
      <c r="D356" s="222">
        <v>2</v>
      </c>
      <c r="E356" s="223" t="s">
        <v>2525</v>
      </c>
      <c r="F356" s="183" t="s">
        <v>2526</v>
      </c>
      <c r="G356" s="125">
        <v>3.3796572483134608</v>
      </c>
      <c r="H356" s="121" t="s">
        <v>1336</v>
      </c>
      <c r="I356" s="122">
        <v>65</v>
      </c>
      <c r="J356" s="106" t="s">
        <v>4656</v>
      </c>
      <c r="K356" s="118">
        <v>4498</v>
      </c>
      <c r="L356" s="46">
        <v>2.168774531181858</v>
      </c>
      <c r="M356" s="41">
        <v>9755.1478412559973</v>
      </c>
      <c r="N356" s="44">
        <v>88.019089999999991</v>
      </c>
      <c r="O356" s="41">
        <v>3549</v>
      </c>
      <c r="P356" s="41">
        <v>14</v>
      </c>
      <c r="Q356" s="41">
        <v>45.16</v>
      </c>
      <c r="R356" s="45" t="s">
        <v>1307</v>
      </c>
      <c r="S356" s="45" t="s">
        <v>1307</v>
      </c>
      <c r="T356" s="45" t="s">
        <v>1307</v>
      </c>
      <c r="U356" s="44">
        <v>965.67200000000003</v>
      </c>
      <c r="V356" s="44">
        <v>1575.1858430000002</v>
      </c>
      <c r="W356" s="44">
        <v>315.62583290602078</v>
      </c>
      <c r="X356" s="44">
        <v>93.389894215907987</v>
      </c>
      <c r="Y356" s="130" t="s">
        <v>4169</v>
      </c>
      <c r="Z356" s="224"/>
    </row>
    <row r="357" spans="2:26" ht="15" customHeight="1" x14ac:dyDescent="0.35">
      <c r="B357" s="181">
        <v>73020</v>
      </c>
      <c r="C357" s="182" t="s">
        <v>737</v>
      </c>
      <c r="D357" s="222">
        <v>15</v>
      </c>
      <c r="E357" s="223" t="s">
        <v>2529</v>
      </c>
      <c r="F357" s="183" t="s">
        <v>2530</v>
      </c>
      <c r="G357" s="125">
        <v>5.125098939689817</v>
      </c>
      <c r="H357" s="121" t="s">
        <v>1373</v>
      </c>
      <c r="I357" s="122">
        <v>53.192982456140356</v>
      </c>
      <c r="J357" s="106" t="s">
        <v>4656</v>
      </c>
      <c r="K357" s="118">
        <v>4822</v>
      </c>
      <c r="L357" s="46">
        <v>2.95</v>
      </c>
      <c r="M357" s="41">
        <v>14224.900000000001</v>
      </c>
      <c r="N357" s="44">
        <v>101.22199999999999</v>
      </c>
      <c r="O357" s="41">
        <v>5139</v>
      </c>
      <c r="P357" s="41">
        <v>8</v>
      </c>
      <c r="Q357" s="41">
        <v>46</v>
      </c>
      <c r="R357" s="45" t="s">
        <v>1307</v>
      </c>
      <c r="S357" s="45" t="s">
        <v>1307</v>
      </c>
      <c r="T357" s="45" t="s">
        <v>1307</v>
      </c>
      <c r="U357" s="44">
        <v>1177.2351800000001</v>
      </c>
      <c r="V357" s="44">
        <v>2309.143</v>
      </c>
      <c r="W357" s="44">
        <v>598.99656814340108</v>
      </c>
      <c r="X357" s="44">
        <v>116.87512284</v>
      </c>
      <c r="Y357" s="130" t="s">
        <v>4170</v>
      </c>
      <c r="Z357" s="224"/>
    </row>
    <row r="358" spans="2:26" ht="15" customHeight="1" x14ac:dyDescent="0.35">
      <c r="B358" s="181">
        <v>73020</v>
      </c>
      <c r="C358" s="182" t="s">
        <v>737</v>
      </c>
      <c r="D358" s="222">
        <v>15</v>
      </c>
      <c r="E358" s="223" t="s">
        <v>2531</v>
      </c>
      <c r="F358" s="183" t="s">
        <v>2532</v>
      </c>
      <c r="G358" s="125">
        <v>15.609786302197787</v>
      </c>
      <c r="H358" s="121" t="s">
        <v>1336</v>
      </c>
      <c r="I358" s="122">
        <v>69.48888888888888</v>
      </c>
      <c r="J358" s="106" t="s">
        <v>4656</v>
      </c>
      <c r="K358" s="118">
        <v>89</v>
      </c>
      <c r="L358" s="46">
        <v>3.25</v>
      </c>
      <c r="M358" s="41">
        <v>289.25</v>
      </c>
      <c r="N358" s="44">
        <v>2.883</v>
      </c>
      <c r="O358" s="41">
        <v>119</v>
      </c>
      <c r="P358" s="41">
        <v>8</v>
      </c>
      <c r="Q358" s="41">
        <v>44.8</v>
      </c>
      <c r="R358" s="45" t="s">
        <v>1307</v>
      </c>
      <c r="S358" s="45" t="s">
        <v>1307</v>
      </c>
      <c r="T358" s="45" t="s">
        <v>1307</v>
      </c>
      <c r="U358" s="44">
        <v>37.064819999999997</v>
      </c>
      <c r="V358" s="44">
        <v>83.989000000000004</v>
      </c>
      <c r="W358" s="44">
        <v>43.620902950000001</v>
      </c>
      <c r="X358" s="44">
        <v>2.7944586880000002</v>
      </c>
      <c r="Y358" s="130" t="s">
        <v>4171</v>
      </c>
      <c r="Z358" s="224"/>
    </row>
    <row r="359" spans="2:26" ht="15" customHeight="1" x14ac:dyDescent="0.35">
      <c r="B359" s="181">
        <v>86042</v>
      </c>
      <c r="C359" s="182" t="s">
        <v>889</v>
      </c>
      <c r="D359" s="222">
        <v>8</v>
      </c>
      <c r="E359" s="223" t="s">
        <v>3732</v>
      </c>
      <c r="F359" s="183" t="s">
        <v>3735</v>
      </c>
      <c r="G359" s="125">
        <v>3.287171704239948</v>
      </c>
      <c r="H359" s="121" t="s">
        <v>1336</v>
      </c>
      <c r="I359" s="122">
        <v>58.901960784313722</v>
      </c>
      <c r="J359" s="106" t="s">
        <v>4656</v>
      </c>
      <c r="K359" s="118">
        <v>353</v>
      </c>
      <c r="L359" s="46">
        <v>3.2</v>
      </c>
      <c r="M359" s="41">
        <v>1129.6000000000001</v>
      </c>
      <c r="N359" s="44">
        <v>7.2960000000000003</v>
      </c>
      <c r="O359" s="41">
        <v>284</v>
      </c>
      <c r="P359" s="41">
        <v>10.9</v>
      </c>
      <c r="Q359" s="41">
        <v>48.94</v>
      </c>
      <c r="R359" s="45" t="s">
        <v>1307</v>
      </c>
      <c r="S359" s="45" t="s">
        <v>1307</v>
      </c>
      <c r="T359" s="45" t="s">
        <v>1307</v>
      </c>
      <c r="U359" s="44">
        <v>44.929002695417786</v>
      </c>
      <c r="V359" s="44">
        <v>81.87</v>
      </c>
      <c r="W359" s="44">
        <v>25.596702551020414</v>
      </c>
      <c r="X359" s="44">
        <v>7.7868468257999996</v>
      </c>
      <c r="Y359" s="130" t="s">
        <v>4172</v>
      </c>
      <c r="Z359" s="224"/>
    </row>
    <row r="360" spans="2:26" ht="15" customHeight="1" x14ac:dyDescent="0.35">
      <c r="B360" s="181">
        <v>86042</v>
      </c>
      <c r="C360" s="182" t="s">
        <v>889</v>
      </c>
      <c r="D360" s="222">
        <v>8</v>
      </c>
      <c r="E360" s="223" t="s">
        <v>3734</v>
      </c>
      <c r="F360" s="183" t="s">
        <v>3738</v>
      </c>
      <c r="G360" s="125">
        <v>1.4481154083056118</v>
      </c>
      <c r="H360" s="121" t="s">
        <v>1325</v>
      </c>
      <c r="I360" s="122">
        <v>58.901960784313722</v>
      </c>
      <c r="J360" s="106" t="s">
        <v>4656</v>
      </c>
      <c r="K360" s="118">
        <v>1218</v>
      </c>
      <c r="L360" s="46">
        <v>3.2</v>
      </c>
      <c r="M360" s="41">
        <v>3897.6000000000004</v>
      </c>
      <c r="N360" s="44">
        <v>25.934999999999999</v>
      </c>
      <c r="O360" s="41">
        <v>1058</v>
      </c>
      <c r="P360" s="41">
        <v>9.6999999999999993</v>
      </c>
      <c r="Q360" s="41">
        <v>47.61</v>
      </c>
      <c r="R360" s="45" t="s">
        <v>1324</v>
      </c>
      <c r="S360" s="45" t="s">
        <v>1307</v>
      </c>
      <c r="T360" s="45" t="s">
        <v>1324</v>
      </c>
      <c r="U360" s="44">
        <v>96.999050683829438</v>
      </c>
      <c r="V360" s="44">
        <v>164.33</v>
      </c>
      <c r="W360" s="44">
        <v>39.503644285714309</v>
      </c>
      <c r="X360" s="44">
        <v>27.279348081750001</v>
      </c>
      <c r="Y360" s="130" t="s">
        <v>4173</v>
      </c>
      <c r="Z360" s="224"/>
    </row>
    <row r="361" spans="2:26" ht="15" customHeight="1" x14ac:dyDescent="0.35">
      <c r="B361" s="181">
        <v>86042</v>
      </c>
      <c r="C361" s="182" t="s">
        <v>889</v>
      </c>
      <c r="D361" s="222">
        <v>8</v>
      </c>
      <c r="E361" s="223" t="s">
        <v>3731</v>
      </c>
      <c r="F361" s="183" t="s">
        <v>3736</v>
      </c>
      <c r="G361" s="125">
        <v>9.4969752337351707</v>
      </c>
      <c r="H361" s="121" t="s">
        <v>1441</v>
      </c>
      <c r="I361" s="122">
        <v>62.470588235294123</v>
      </c>
      <c r="J361" s="106" t="s">
        <v>4656</v>
      </c>
      <c r="K361" s="118">
        <v>14161</v>
      </c>
      <c r="L361" s="46">
        <v>2.25</v>
      </c>
      <c r="M361" s="41">
        <v>31862.25</v>
      </c>
      <c r="N361" s="44">
        <v>162.405</v>
      </c>
      <c r="O361" s="41">
        <v>7936</v>
      </c>
      <c r="P361" s="41">
        <v>8</v>
      </c>
      <c r="Q361" s="41">
        <v>49.3</v>
      </c>
      <c r="R361" s="45" t="s">
        <v>1307</v>
      </c>
      <c r="S361" s="45" t="s">
        <v>1307</v>
      </c>
      <c r="T361" s="45" t="s">
        <v>1324</v>
      </c>
      <c r="U361" s="44">
        <v>1162.0999999999999</v>
      </c>
      <c r="V361" s="44">
        <v>4370.51</v>
      </c>
      <c r="W361" s="44">
        <v>1855.7801301020413</v>
      </c>
      <c r="X361" s="44">
        <v>195.407493905</v>
      </c>
      <c r="Y361" s="130" t="s">
        <v>4174</v>
      </c>
      <c r="Z361" s="224"/>
    </row>
    <row r="362" spans="2:26" ht="15" customHeight="1" x14ac:dyDescent="0.35">
      <c r="B362" s="181">
        <v>86042</v>
      </c>
      <c r="C362" s="182" t="s">
        <v>889</v>
      </c>
      <c r="D362" s="222">
        <v>8</v>
      </c>
      <c r="E362" s="223" t="s">
        <v>3737</v>
      </c>
      <c r="F362" s="183" t="s">
        <v>3733</v>
      </c>
      <c r="G362" s="125">
        <v>0.13120255564885408</v>
      </c>
      <c r="H362" s="121" t="s">
        <v>1336</v>
      </c>
      <c r="I362" s="122">
        <v>60.122807017543863</v>
      </c>
      <c r="J362" s="106" t="s">
        <v>4656</v>
      </c>
      <c r="K362" s="118">
        <v>203</v>
      </c>
      <c r="L362" s="46">
        <v>3.2</v>
      </c>
      <c r="M362" s="41">
        <v>649.6</v>
      </c>
      <c r="N362" s="44">
        <v>3.9590000000000001</v>
      </c>
      <c r="O362" s="41">
        <v>177</v>
      </c>
      <c r="P362" s="41">
        <v>9.6</v>
      </c>
      <c r="Q362" s="41">
        <v>38.200000000000003</v>
      </c>
      <c r="R362" s="45" t="s">
        <v>1307</v>
      </c>
      <c r="S362" s="45" t="s">
        <v>1307</v>
      </c>
      <c r="T362" s="45" t="s">
        <v>1307</v>
      </c>
      <c r="U362" s="44">
        <v>27.824663461538464</v>
      </c>
      <c r="V362" s="44">
        <v>33.700000000000003</v>
      </c>
      <c r="W362" s="44">
        <v>0.46711173469387979</v>
      </c>
      <c r="X362" s="44">
        <v>3.5602335059999994</v>
      </c>
      <c r="Y362" s="130" t="s">
        <v>4175</v>
      </c>
      <c r="Z362" s="224"/>
    </row>
    <row r="363" spans="2:26" ht="15" customHeight="1" x14ac:dyDescent="0.35">
      <c r="B363" s="181">
        <v>47047</v>
      </c>
      <c r="C363" s="182" t="s">
        <v>454</v>
      </c>
      <c r="D363" s="222">
        <v>5</v>
      </c>
      <c r="E363" s="223" t="s">
        <v>2535</v>
      </c>
      <c r="F363" s="183" t="s">
        <v>2536</v>
      </c>
      <c r="G363" s="125">
        <v>0.48258800953514708</v>
      </c>
      <c r="H363" s="121" t="s">
        <v>1325</v>
      </c>
      <c r="I363" s="122">
        <v>61.857574908321162</v>
      </c>
      <c r="J363" s="106" t="s">
        <v>4656</v>
      </c>
      <c r="K363" s="118">
        <v>1123</v>
      </c>
      <c r="L363" s="46">
        <v>2.23</v>
      </c>
      <c r="M363" s="41">
        <v>2504.29</v>
      </c>
      <c r="N363" s="44">
        <v>25.856999999999999</v>
      </c>
      <c r="O363" s="41">
        <v>1228</v>
      </c>
      <c r="P363" s="41">
        <v>15</v>
      </c>
      <c r="Q363" s="41">
        <v>44.99</v>
      </c>
      <c r="R363" s="45" t="s">
        <v>1307</v>
      </c>
      <c r="S363" s="45" t="s">
        <v>1324</v>
      </c>
      <c r="T363" s="45" t="s">
        <v>1324</v>
      </c>
      <c r="U363" s="44">
        <v>162.81880000000001</v>
      </c>
      <c r="V363" s="44">
        <v>197.3</v>
      </c>
      <c r="W363" s="44">
        <v>15.122999999999999</v>
      </c>
      <c r="X363" s="44">
        <v>31.337289160099999</v>
      </c>
      <c r="Y363" s="130" t="s">
        <v>4176</v>
      </c>
      <c r="Z363" s="224"/>
    </row>
    <row r="364" spans="2:26" ht="15" customHeight="1" x14ac:dyDescent="0.35">
      <c r="B364" s="181">
        <v>94068</v>
      </c>
      <c r="C364" s="182" t="s">
        <v>972</v>
      </c>
      <c r="D364" s="222">
        <v>2</v>
      </c>
      <c r="E364" s="223" t="s">
        <v>2538</v>
      </c>
      <c r="F364" s="183" t="s">
        <v>2539</v>
      </c>
      <c r="G364" s="125">
        <v>3.6170447088275095</v>
      </c>
      <c r="H364" s="121" t="s">
        <v>1373</v>
      </c>
      <c r="I364" s="122">
        <v>55</v>
      </c>
      <c r="J364" s="106" t="s">
        <v>4656</v>
      </c>
      <c r="K364" s="118">
        <v>9967</v>
      </c>
      <c r="L364" s="46">
        <v>2.096341951721771</v>
      </c>
      <c r="M364" s="41">
        <v>20894.240232810891</v>
      </c>
      <c r="N364" s="44">
        <v>157.05600000000001</v>
      </c>
      <c r="O364" s="41">
        <v>7507</v>
      </c>
      <c r="P364" s="41">
        <v>15</v>
      </c>
      <c r="Q364" s="41">
        <v>55.848494836246168</v>
      </c>
      <c r="R364" s="45" t="s">
        <v>1307</v>
      </c>
      <c r="S364" s="45" t="s">
        <v>1307</v>
      </c>
      <c r="T364" s="45" t="s">
        <v>1307</v>
      </c>
      <c r="U364" s="44">
        <v>1906.5994212439937</v>
      </c>
      <c r="V364" s="44">
        <v>4296.5970000000007</v>
      </c>
      <c r="W364" s="44">
        <v>858.81500000000005</v>
      </c>
      <c r="X364" s="44">
        <v>237.43555005113305</v>
      </c>
      <c r="Y364" s="130" t="s">
        <v>3783</v>
      </c>
      <c r="Z364" s="224"/>
    </row>
    <row r="365" spans="2:26" ht="15" customHeight="1" x14ac:dyDescent="0.35">
      <c r="B365" s="181">
        <v>94068</v>
      </c>
      <c r="C365" s="182" t="s">
        <v>972</v>
      </c>
      <c r="D365" s="222">
        <v>2</v>
      </c>
      <c r="E365" s="223" t="s">
        <v>2540</v>
      </c>
      <c r="F365" s="183" t="s">
        <v>4794</v>
      </c>
      <c r="G365" s="125">
        <v>3.8825785306269802</v>
      </c>
      <c r="H365" s="121" t="s">
        <v>1336</v>
      </c>
      <c r="I365" s="122">
        <v>56</v>
      </c>
      <c r="J365" s="106" t="s">
        <v>4656</v>
      </c>
      <c r="K365" s="118">
        <v>6546</v>
      </c>
      <c r="L365" s="46">
        <v>2.096341951721771</v>
      </c>
      <c r="M365" s="41">
        <v>13722.654415970712</v>
      </c>
      <c r="N365" s="44">
        <v>121.447</v>
      </c>
      <c r="O365" s="41">
        <v>4571</v>
      </c>
      <c r="P365" s="41">
        <v>15</v>
      </c>
      <c r="Q365" s="41">
        <v>59.033153823655361</v>
      </c>
      <c r="R365" s="45" t="s">
        <v>1307</v>
      </c>
      <c r="S365" s="45" t="s">
        <v>1307</v>
      </c>
      <c r="T365" s="45" t="s">
        <v>1307</v>
      </c>
      <c r="U365" s="44">
        <v>1252.1922154573274</v>
      </c>
      <c r="V365" s="44">
        <v>2283.2550000000001</v>
      </c>
      <c r="W365" s="44">
        <v>632.20343999999989</v>
      </c>
      <c r="X365" s="44">
        <v>162.83081849162448</v>
      </c>
      <c r="Y365" s="130" t="s">
        <v>3783</v>
      </c>
      <c r="Z365" s="224"/>
    </row>
    <row r="366" spans="2:26" ht="15" customHeight="1" x14ac:dyDescent="0.35">
      <c r="B366" s="181">
        <v>94068</v>
      </c>
      <c r="C366" s="182" t="s">
        <v>972</v>
      </c>
      <c r="D366" s="222">
        <v>2</v>
      </c>
      <c r="E366" s="223" t="s">
        <v>2541</v>
      </c>
      <c r="F366" s="183" t="s">
        <v>2542</v>
      </c>
      <c r="G366" s="125">
        <v>3.7985586688031212</v>
      </c>
      <c r="H366" s="121" t="s">
        <v>1373</v>
      </c>
      <c r="I366" s="122">
        <v>43</v>
      </c>
      <c r="J366" s="106" t="s">
        <v>4656</v>
      </c>
      <c r="K366" s="118">
        <v>22766</v>
      </c>
      <c r="L366" s="46">
        <v>2.096341951721771</v>
      </c>
      <c r="M366" s="41">
        <v>47725.320872897835</v>
      </c>
      <c r="N366" s="44">
        <v>384.50400000000002</v>
      </c>
      <c r="O366" s="41">
        <v>14733</v>
      </c>
      <c r="P366" s="41">
        <v>15</v>
      </c>
      <c r="Q366" s="41">
        <v>70.203167143159973</v>
      </c>
      <c r="R366" s="45" t="s">
        <v>1307</v>
      </c>
      <c r="S366" s="45" t="s">
        <v>1307</v>
      </c>
      <c r="T366" s="45" t="s">
        <v>1307</v>
      </c>
      <c r="U366" s="44">
        <v>4354.935529651927</v>
      </c>
      <c r="V366" s="44">
        <v>9222.7179999999989</v>
      </c>
      <c r="W366" s="44">
        <v>2358.65210107143</v>
      </c>
      <c r="X366" s="44">
        <v>620.93343994989868</v>
      </c>
      <c r="Y366" s="130" t="s">
        <v>3784</v>
      </c>
      <c r="Z366" s="224"/>
    </row>
    <row r="367" spans="2:26" ht="15" customHeight="1" x14ac:dyDescent="0.35">
      <c r="B367" s="181">
        <v>94068</v>
      </c>
      <c r="C367" s="182" t="s">
        <v>972</v>
      </c>
      <c r="D367" s="222">
        <v>2</v>
      </c>
      <c r="E367" s="223" t="s">
        <v>2543</v>
      </c>
      <c r="F367" s="183" t="s">
        <v>2544</v>
      </c>
      <c r="G367" s="125">
        <v>5.8963345538798331</v>
      </c>
      <c r="H367" s="121" t="s">
        <v>1373</v>
      </c>
      <c r="I367" s="122">
        <v>57</v>
      </c>
      <c r="J367" s="106" t="s">
        <v>4656</v>
      </c>
      <c r="K367" s="118">
        <v>15127</v>
      </c>
      <c r="L367" s="46">
        <v>2.096341951721771</v>
      </c>
      <c r="M367" s="41">
        <v>31711.364703695228</v>
      </c>
      <c r="N367" s="44">
        <v>226.02699999999999</v>
      </c>
      <c r="O367" s="41">
        <v>10291</v>
      </c>
      <c r="P367" s="41">
        <v>15</v>
      </c>
      <c r="Q367" s="41">
        <v>52.244608564711037</v>
      </c>
      <c r="R367" s="45" t="s">
        <v>1307</v>
      </c>
      <c r="S367" s="45" t="s">
        <v>1307</v>
      </c>
      <c r="T367" s="45" t="s">
        <v>1307</v>
      </c>
      <c r="U367" s="44">
        <v>2893.6620292121893</v>
      </c>
      <c r="V367" s="44">
        <v>5498.4059999999999</v>
      </c>
      <c r="W367" s="44">
        <v>1817.0583049999998</v>
      </c>
      <c r="X367" s="44">
        <v>308.16743663304544</v>
      </c>
      <c r="Y367" s="130" t="s">
        <v>3785</v>
      </c>
      <c r="Z367" s="224"/>
    </row>
    <row r="368" spans="2:26" ht="15" customHeight="1" x14ac:dyDescent="0.35">
      <c r="B368" s="181">
        <v>94068</v>
      </c>
      <c r="C368" s="182" t="s">
        <v>972</v>
      </c>
      <c r="D368" s="222">
        <v>2</v>
      </c>
      <c r="E368" s="223" t="s">
        <v>2545</v>
      </c>
      <c r="F368" s="183" t="s">
        <v>4793</v>
      </c>
      <c r="G368" s="125">
        <v>6.5899623090312209</v>
      </c>
      <c r="H368" s="121" t="s">
        <v>1373</v>
      </c>
      <c r="I368" s="122">
        <v>50</v>
      </c>
      <c r="J368" s="106" t="s">
        <v>4656</v>
      </c>
      <c r="K368" s="118">
        <v>8097</v>
      </c>
      <c r="L368" s="46">
        <v>2.096341951721771</v>
      </c>
      <c r="M368" s="41">
        <v>16974.08078309118</v>
      </c>
      <c r="N368" s="44">
        <v>198.054</v>
      </c>
      <c r="O368" s="41">
        <v>6326</v>
      </c>
      <c r="P368" s="41">
        <v>15</v>
      </c>
      <c r="Q368" s="41">
        <v>64.596122197719239</v>
      </c>
      <c r="R368" s="45" t="s">
        <v>1307</v>
      </c>
      <c r="S368" s="45" t="s">
        <v>1307</v>
      </c>
      <c r="T368" s="45" t="s">
        <v>1307</v>
      </c>
      <c r="U368" s="44">
        <v>1548.8848714570702</v>
      </c>
      <c r="V368" s="44">
        <v>5193.2939999999999</v>
      </c>
      <c r="W368" s="44">
        <v>1708.8219999999999</v>
      </c>
      <c r="X368" s="44">
        <v>259.30679416149968</v>
      </c>
      <c r="Y368" s="130" t="s">
        <v>3785</v>
      </c>
      <c r="Z368" s="224"/>
    </row>
    <row r="369" spans="2:26" ht="15" customHeight="1" x14ac:dyDescent="0.35">
      <c r="B369" s="181">
        <v>94068</v>
      </c>
      <c r="C369" s="182" t="s">
        <v>972</v>
      </c>
      <c r="D369" s="222">
        <v>2</v>
      </c>
      <c r="E369" s="223" t="s">
        <v>2546</v>
      </c>
      <c r="F369" s="183" t="s">
        <v>2547</v>
      </c>
      <c r="G369" s="125">
        <v>0.55151703456558965</v>
      </c>
      <c r="H369" s="121" t="s">
        <v>1336</v>
      </c>
      <c r="I369" s="122">
        <v>56.635135135135144</v>
      </c>
      <c r="J369" s="106" t="s">
        <v>4656</v>
      </c>
      <c r="K369" s="118">
        <v>47</v>
      </c>
      <c r="L369" s="46">
        <v>2.096341951721771</v>
      </c>
      <c r="M369" s="41">
        <v>98.52807173092323</v>
      </c>
      <c r="N369" s="44">
        <v>8.9039999999999999</v>
      </c>
      <c r="O369" s="41">
        <v>224</v>
      </c>
      <c r="P369" s="41">
        <v>15</v>
      </c>
      <c r="Q369" s="41">
        <v>56.206303833385128</v>
      </c>
      <c r="R369" s="45" t="s">
        <v>1307</v>
      </c>
      <c r="S369" s="45" t="s">
        <v>1307</v>
      </c>
      <c r="T369" s="45" t="s">
        <v>1307</v>
      </c>
      <c r="U369" s="44">
        <v>8.9906865454467439</v>
      </c>
      <c r="V369" s="44">
        <v>22.974</v>
      </c>
      <c r="W369" s="44">
        <v>4.791389999999998</v>
      </c>
      <c r="X369" s="44">
        <v>8.6876555023799131</v>
      </c>
      <c r="Y369" s="130" t="s">
        <v>4177</v>
      </c>
      <c r="Z369" s="224"/>
    </row>
    <row r="370" spans="2:26" ht="15" customHeight="1" x14ac:dyDescent="0.35">
      <c r="B370" s="181">
        <v>94068</v>
      </c>
      <c r="C370" s="182" t="s">
        <v>972</v>
      </c>
      <c r="D370" s="222">
        <v>2</v>
      </c>
      <c r="E370" s="223" t="s">
        <v>2548</v>
      </c>
      <c r="F370" s="183" t="s">
        <v>2549</v>
      </c>
      <c r="G370" s="125">
        <v>2.0916610934447672</v>
      </c>
      <c r="H370" s="121" t="s">
        <v>1336</v>
      </c>
      <c r="I370" s="122">
        <v>57.355555555555554</v>
      </c>
      <c r="J370" s="106" t="s">
        <v>4656</v>
      </c>
      <c r="K370" s="118">
        <v>2072</v>
      </c>
      <c r="L370" s="46">
        <v>2.096341951721771</v>
      </c>
      <c r="M370" s="41">
        <v>4343.6205239675091</v>
      </c>
      <c r="N370" s="44">
        <v>63.24</v>
      </c>
      <c r="O370" s="41">
        <v>2334</v>
      </c>
      <c r="P370" s="41">
        <v>15</v>
      </c>
      <c r="Q370" s="41">
        <v>66.25</v>
      </c>
      <c r="R370" s="45" t="s">
        <v>1307</v>
      </c>
      <c r="S370" s="45" t="s">
        <v>1307</v>
      </c>
      <c r="T370" s="45" t="s">
        <v>1307</v>
      </c>
      <c r="U370" s="44">
        <v>396.35537281203523</v>
      </c>
      <c r="V370" s="44">
        <v>941.11099999999999</v>
      </c>
      <c r="W370" s="44">
        <v>196.28538749999996</v>
      </c>
      <c r="X370" s="44">
        <v>93.841869562499994</v>
      </c>
      <c r="Y370" s="130" t="s">
        <v>3785</v>
      </c>
      <c r="Z370" s="224"/>
    </row>
    <row r="371" spans="2:26" ht="15" customHeight="1" x14ac:dyDescent="0.35">
      <c r="B371" s="181">
        <v>94068</v>
      </c>
      <c r="C371" s="182" t="s">
        <v>972</v>
      </c>
      <c r="D371" s="222">
        <v>2</v>
      </c>
      <c r="E371" s="223" t="s">
        <v>2550</v>
      </c>
      <c r="F371" s="183" t="s">
        <v>2551</v>
      </c>
      <c r="G371" s="125">
        <v>3.4708861779435649</v>
      </c>
      <c r="H371" s="121" t="s">
        <v>1336</v>
      </c>
      <c r="I371" s="122">
        <v>57</v>
      </c>
      <c r="J371" s="106" t="s">
        <v>4656</v>
      </c>
      <c r="K371" s="118">
        <v>1006</v>
      </c>
      <c r="L371" s="46">
        <v>2.096341951721771</v>
      </c>
      <c r="M371" s="41">
        <v>2108.9200034321016</v>
      </c>
      <c r="N371" s="44">
        <v>33.686</v>
      </c>
      <c r="O371" s="41">
        <v>942</v>
      </c>
      <c r="P371" s="41">
        <v>15</v>
      </c>
      <c r="Q371" s="41">
        <v>57.312623003456409</v>
      </c>
      <c r="R371" s="45" t="s">
        <v>1307</v>
      </c>
      <c r="S371" s="45" t="s">
        <v>1307</v>
      </c>
      <c r="T371" s="45" t="s">
        <v>1307</v>
      </c>
      <c r="U371" s="44">
        <v>192.43895031317928</v>
      </c>
      <c r="V371" s="44">
        <v>387.005</v>
      </c>
      <c r="W371" s="44">
        <v>124.39160749999999</v>
      </c>
      <c r="X371" s="44">
        <v>35.838572953060563</v>
      </c>
      <c r="Y371" s="130" t="s">
        <v>4178</v>
      </c>
      <c r="Z371" s="224"/>
    </row>
    <row r="372" spans="2:26" ht="15" customHeight="1" x14ac:dyDescent="0.35">
      <c r="B372" s="181">
        <v>8030</v>
      </c>
      <c r="C372" s="182" t="s">
        <v>1090</v>
      </c>
      <c r="D372" s="222">
        <v>1</v>
      </c>
      <c r="E372" s="223" t="s">
        <v>1412</v>
      </c>
      <c r="F372" s="183" t="s">
        <v>2553</v>
      </c>
      <c r="G372" s="125">
        <v>1.0599174452945568</v>
      </c>
      <c r="H372" s="121" t="s">
        <v>1336</v>
      </c>
      <c r="I372" s="122">
        <v>44.729729729729726</v>
      </c>
      <c r="J372" s="106" t="s">
        <v>4656</v>
      </c>
      <c r="K372" s="118">
        <v>74</v>
      </c>
      <c r="L372" s="46">
        <v>2.2136752136752138</v>
      </c>
      <c r="M372" s="41">
        <v>163.81196581196582</v>
      </c>
      <c r="N372" s="44">
        <v>2.2170000000000001</v>
      </c>
      <c r="O372" s="41">
        <v>84</v>
      </c>
      <c r="P372" s="41">
        <v>9</v>
      </c>
      <c r="Q372" s="41">
        <v>53</v>
      </c>
      <c r="R372" s="45" t="s">
        <v>1307</v>
      </c>
      <c r="S372" s="45" t="s">
        <v>1307</v>
      </c>
      <c r="T372" s="45" t="s">
        <v>1307</v>
      </c>
      <c r="U372" s="44">
        <v>14.03</v>
      </c>
      <c r="V372" s="44">
        <v>18.224</v>
      </c>
      <c r="W372" s="44">
        <v>2.583639999999999</v>
      </c>
      <c r="X372" s="44">
        <v>2.4375860700000005</v>
      </c>
      <c r="Y372" s="130" t="s">
        <v>4179</v>
      </c>
      <c r="Z372" s="224"/>
    </row>
    <row r="373" spans="2:26" ht="15" customHeight="1" x14ac:dyDescent="0.35">
      <c r="B373" s="181">
        <v>35015</v>
      </c>
      <c r="C373" s="182" t="s">
        <v>305</v>
      </c>
      <c r="D373" s="222">
        <v>4</v>
      </c>
      <c r="E373" s="223" t="s">
        <v>2556</v>
      </c>
      <c r="F373" s="183" t="s">
        <v>2557</v>
      </c>
      <c r="G373" s="125">
        <v>1.6734569775524912</v>
      </c>
      <c r="H373" s="121" t="s">
        <v>1336</v>
      </c>
      <c r="I373" s="122">
        <v>52</v>
      </c>
      <c r="J373" s="106" t="s">
        <v>4656</v>
      </c>
      <c r="K373" s="118">
        <v>393</v>
      </c>
      <c r="L373" s="46">
        <v>1.9527720739219712</v>
      </c>
      <c r="M373" s="41">
        <v>767.43942505133464</v>
      </c>
      <c r="N373" s="44">
        <v>13.458</v>
      </c>
      <c r="O373" s="41">
        <v>338</v>
      </c>
      <c r="P373" s="41">
        <v>10.667999999999999</v>
      </c>
      <c r="Q373" s="41">
        <v>38.700000000000003</v>
      </c>
      <c r="R373" s="45" t="s">
        <v>1307</v>
      </c>
      <c r="S373" s="45" t="s">
        <v>1307</v>
      </c>
      <c r="T373" s="45" t="s">
        <v>1307</v>
      </c>
      <c r="U373" s="44">
        <v>54.831914357682621</v>
      </c>
      <c r="V373" s="44">
        <v>72.441000000000003</v>
      </c>
      <c r="W373" s="44">
        <v>14.248968010204084</v>
      </c>
      <c r="X373" s="44">
        <v>8.5146903693000002</v>
      </c>
      <c r="Y373" s="130" t="s">
        <v>4180</v>
      </c>
      <c r="Z373" s="224"/>
    </row>
    <row r="374" spans="2:26" ht="15" customHeight="1" x14ac:dyDescent="0.35">
      <c r="B374" s="181">
        <v>77065</v>
      </c>
      <c r="C374" s="182" t="s">
        <v>765</v>
      </c>
      <c r="D374" s="222">
        <v>15</v>
      </c>
      <c r="E374" s="223" t="s">
        <v>2560</v>
      </c>
      <c r="F374" s="183" t="s">
        <v>2561</v>
      </c>
      <c r="G374" s="125">
        <v>1.4019758756475504</v>
      </c>
      <c r="H374" s="121" t="s">
        <v>1325</v>
      </c>
      <c r="I374" s="122">
        <v>45.432432432432435</v>
      </c>
      <c r="J374" s="106" t="s">
        <v>4656</v>
      </c>
      <c r="K374" s="118">
        <v>580</v>
      </c>
      <c r="L374" s="46">
        <v>1.3699421965317919</v>
      </c>
      <c r="M374" s="41">
        <v>794.56647398843938</v>
      </c>
      <c r="N374" s="44">
        <v>15.763</v>
      </c>
      <c r="O374" s="41">
        <v>482</v>
      </c>
      <c r="P374" s="41">
        <v>15</v>
      </c>
      <c r="Q374" s="41">
        <v>62.5</v>
      </c>
      <c r="R374" s="45" t="s">
        <v>1324</v>
      </c>
      <c r="S374" s="45" t="s">
        <v>1307</v>
      </c>
      <c r="T374" s="45" t="s">
        <v>1307</v>
      </c>
      <c r="U374" s="44">
        <v>121.0137987012987</v>
      </c>
      <c r="V374" s="44">
        <v>189.07499999999999</v>
      </c>
      <c r="W374" s="44">
        <v>27.187874999999998</v>
      </c>
      <c r="X374" s="44">
        <v>19.392541250000004</v>
      </c>
      <c r="Y374" s="130" t="s">
        <v>4181</v>
      </c>
      <c r="Z374" s="224"/>
    </row>
    <row r="375" spans="2:26" ht="15" customHeight="1" x14ac:dyDescent="0.35">
      <c r="B375" s="181">
        <v>77065</v>
      </c>
      <c r="C375" s="182" t="s">
        <v>765</v>
      </c>
      <c r="D375" s="222">
        <v>15</v>
      </c>
      <c r="E375" s="223" t="s">
        <v>2562</v>
      </c>
      <c r="F375" s="183" t="s">
        <v>2563</v>
      </c>
      <c r="G375" s="125">
        <v>0.99983752933617365</v>
      </c>
      <c r="H375" s="121" t="s">
        <v>1325</v>
      </c>
      <c r="I375" s="122">
        <v>44.729729729729726</v>
      </c>
      <c r="J375" s="106" t="s">
        <v>4656</v>
      </c>
      <c r="K375" s="118">
        <v>68</v>
      </c>
      <c r="L375" s="46">
        <v>1.3699421965317919</v>
      </c>
      <c r="M375" s="41">
        <v>93.156069364161851</v>
      </c>
      <c r="N375" s="44">
        <v>3.194</v>
      </c>
      <c r="O375" s="41">
        <v>61</v>
      </c>
      <c r="P375" s="41">
        <v>15</v>
      </c>
      <c r="Q375" s="41">
        <v>39.299999999999997</v>
      </c>
      <c r="R375" s="45" t="s">
        <v>1324</v>
      </c>
      <c r="S375" s="45" t="s">
        <v>1324</v>
      </c>
      <c r="T375" s="45" t="s">
        <v>1324</v>
      </c>
      <c r="U375" s="44">
        <v>8.9797260273972608</v>
      </c>
      <c r="V375" s="44">
        <v>11.631</v>
      </c>
      <c r="W375" s="44">
        <v>1.8525350000000009</v>
      </c>
      <c r="X375" s="44">
        <v>1.8528360315000001</v>
      </c>
      <c r="Y375" s="130" t="s">
        <v>4182</v>
      </c>
      <c r="Z375" s="224"/>
    </row>
    <row r="376" spans="2:26" ht="15" customHeight="1" x14ac:dyDescent="0.35">
      <c r="B376" s="181">
        <v>31095</v>
      </c>
      <c r="C376" s="182" t="s">
        <v>249</v>
      </c>
      <c r="D376" s="222">
        <v>12</v>
      </c>
      <c r="E376" s="223" t="s">
        <v>2567</v>
      </c>
      <c r="F376" s="183" t="s">
        <v>2568</v>
      </c>
      <c r="G376" s="125">
        <v>0.92242742773386444</v>
      </c>
      <c r="H376" s="121" t="s">
        <v>1325</v>
      </c>
      <c r="I376" s="122">
        <v>58.72972972972974</v>
      </c>
      <c r="J376" s="106" t="s">
        <v>4656</v>
      </c>
      <c r="K376" s="118">
        <v>34</v>
      </c>
      <c r="L376" s="46">
        <v>2.1082474226804124</v>
      </c>
      <c r="M376" s="41">
        <v>71.680412371134025</v>
      </c>
      <c r="N376" s="44">
        <v>1.3340000000000001</v>
      </c>
      <c r="O376" s="41">
        <v>29</v>
      </c>
      <c r="P376" s="41">
        <v>6.085</v>
      </c>
      <c r="Q376" s="41">
        <v>42</v>
      </c>
      <c r="R376" s="45" t="s">
        <v>1307</v>
      </c>
      <c r="S376" s="45" t="s">
        <v>1324</v>
      </c>
      <c r="T376" s="45" t="s">
        <v>1307</v>
      </c>
      <c r="U376" s="44">
        <v>3.57</v>
      </c>
      <c r="V376" s="44">
        <v>5.1100000000000003</v>
      </c>
      <c r="W376" s="44">
        <v>0.73</v>
      </c>
      <c r="X376" s="44">
        <v>0.79139017125</v>
      </c>
      <c r="Y376" s="130" t="s">
        <v>4183</v>
      </c>
      <c r="Z376" s="224"/>
    </row>
    <row r="377" spans="2:26" ht="15" customHeight="1" x14ac:dyDescent="0.35">
      <c r="B377" s="181">
        <v>33045</v>
      </c>
      <c r="C377" s="182" t="s">
        <v>273</v>
      </c>
      <c r="D377" s="222">
        <v>12</v>
      </c>
      <c r="E377" s="223" t="s">
        <v>2570</v>
      </c>
      <c r="F377" s="183" t="s">
        <v>2571</v>
      </c>
      <c r="G377" s="125">
        <v>1.8437176345432211</v>
      </c>
      <c r="H377" s="121" t="s">
        <v>1325</v>
      </c>
      <c r="I377" s="122">
        <v>72.666666666666671</v>
      </c>
      <c r="J377" s="106" t="s">
        <v>4656</v>
      </c>
      <c r="K377" s="118">
        <v>1507</v>
      </c>
      <c r="L377" s="46">
        <v>2.3329815303430079</v>
      </c>
      <c r="M377" s="41">
        <v>3515.8031662269132</v>
      </c>
      <c r="N377" s="44">
        <v>24.423999999999999</v>
      </c>
      <c r="O377" s="41">
        <v>1389</v>
      </c>
      <c r="P377" s="41">
        <v>6</v>
      </c>
      <c r="Q377" s="41">
        <v>31.6</v>
      </c>
      <c r="R377" s="45" t="s">
        <v>1324</v>
      </c>
      <c r="S377" s="45" t="s">
        <v>1307</v>
      </c>
      <c r="T377" s="45" t="s">
        <v>1324</v>
      </c>
      <c r="U377" s="44">
        <v>201.38</v>
      </c>
      <c r="V377" s="44">
        <v>323.92899999999997</v>
      </c>
      <c r="W377" s="44">
        <v>37.409777857142863</v>
      </c>
      <c r="X377" s="44">
        <v>20.290405188000001</v>
      </c>
      <c r="Y377" s="130" t="s">
        <v>4184</v>
      </c>
      <c r="Z377" s="224"/>
    </row>
    <row r="378" spans="2:26" ht="15" customHeight="1" x14ac:dyDescent="0.35">
      <c r="B378" s="181">
        <v>53015</v>
      </c>
      <c r="C378" s="182" t="s">
        <v>532</v>
      </c>
      <c r="D378" s="222">
        <v>16</v>
      </c>
      <c r="E378" s="223" t="s">
        <v>2573</v>
      </c>
      <c r="F378" s="183" t="s">
        <v>2574</v>
      </c>
      <c r="G378" s="125">
        <v>0.62863432818213871</v>
      </c>
      <c r="H378" s="121" t="s">
        <v>1336</v>
      </c>
      <c r="I378" s="122">
        <v>51.733333333333334</v>
      </c>
      <c r="J378" s="106" t="s">
        <v>4656</v>
      </c>
      <c r="K378" s="118">
        <v>211</v>
      </c>
      <c r="L378" s="46">
        <v>2.2180094786729856</v>
      </c>
      <c r="M378" s="41">
        <v>467.99999999999994</v>
      </c>
      <c r="N378" s="44">
        <v>35.820999999999998</v>
      </c>
      <c r="O378" s="41">
        <v>298</v>
      </c>
      <c r="P378" s="41">
        <v>10</v>
      </c>
      <c r="Q378" s="41">
        <v>50</v>
      </c>
      <c r="R378" s="45" t="s">
        <v>1307</v>
      </c>
      <c r="S378" s="45" t="s">
        <v>1307</v>
      </c>
      <c r="T378" s="45" t="s">
        <v>1307</v>
      </c>
      <c r="U378" s="44">
        <v>25.96</v>
      </c>
      <c r="V378" s="44">
        <v>127.93</v>
      </c>
      <c r="W378" s="44">
        <v>10.987034107142859</v>
      </c>
      <c r="X378" s="44">
        <v>17.4776235</v>
      </c>
      <c r="Y378" s="130" t="s">
        <v>4185</v>
      </c>
      <c r="Z378" s="224"/>
    </row>
    <row r="379" spans="2:26" ht="15" customHeight="1" x14ac:dyDescent="0.35">
      <c r="B379" s="181">
        <v>79022</v>
      </c>
      <c r="C379" s="182" t="s">
        <v>789</v>
      </c>
      <c r="D379" s="222">
        <v>15</v>
      </c>
      <c r="E379" s="223" t="s">
        <v>2576</v>
      </c>
      <c r="F379" s="183" t="s">
        <v>4803</v>
      </c>
      <c r="G379" s="125">
        <v>0.80060328825100346</v>
      </c>
      <c r="H379" s="121" t="s">
        <v>1336</v>
      </c>
      <c r="I379" s="122">
        <v>59.608108108108112</v>
      </c>
      <c r="J379" s="106" t="s">
        <v>4656</v>
      </c>
      <c r="K379" s="118">
        <v>51</v>
      </c>
      <c r="L379" s="46">
        <v>1.9659685863874345</v>
      </c>
      <c r="M379" s="41">
        <v>100.26439790575917</v>
      </c>
      <c r="N379" s="44">
        <v>1.6910000000000001</v>
      </c>
      <c r="O379" s="41">
        <v>43</v>
      </c>
      <c r="P379" s="41">
        <v>12</v>
      </c>
      <c r="Q379" s="41">
        <v>31.6</v>
      </c>
      <c r="R379" s="45" t="s">
        <v>1307</v>
      </c>
      <c r="S379" s="45" t="s">
        <v>1307</v>
      </c>
      <c r="T379" s="45" t="s">
        <v>1307</v>
      </c>
      <c r="U379" s="44">
        <v>6.396169811320755</v>
      </c>
      <c r="V379" s="44">
        <v>7.4770000000000003</v>
      </c>
      <c r="W379" s="44">
        <v>0.71784499999999984</v>
      </c>
      <c r="X379" s="44">
        <v>0.8966300920000001</v>
      </c>
      <c r="Y379" s="130" t="s">
        <v>4186</v>
      </c>
      <c r="Z379" s="224"/>
    </row>
    <row r="380" spans="2:26" ht="15" customHeight="1" x14ac:dyDescent="0.35">
      <c r="B380" s="181">
        <v>34097</v>
      </c>
      <c r="C380" s="182" t="s">
        <v>297</v>
      </c>
      <c r="D380" s="222">
        <v>3</v>
      </c>
      <c r="E380" s="223" t="s">
        <v>2578</v>
      </c>
      <c r="F380" s="183" t="s">
        <v>2579</v>
      </c>
      <c r="G380" s="125">
        <v>3.6781948469825387</v>
      </c>
      <c r="H380" s="121" t="s">
        <v>1336</v>
      </c>
      <c r="I380" s="122">
        <v>58.378378378378386</v>
      </c>
      <c r="J380" s="106" t="s">
        <v>4656</v>
      </c>
      <c r="K380" s="118">
        <v>411</v>
      </c>
      <c r="L380" s="46">
        <v>2.2623853211009175</v>
      </c>
      <c r="M380" s="41">
        <v>929.84036697247711</v>
      </c>
      <c r="N380" s="44">
        <v>7.24</v>
      </c>
      <c r="O380" s="41">
        <v>415</v>
      </c>
      <c r="P380" s="41">
        <v>6</v>
      </c>
      <c r="Q380" s="41">
        <v>39</v>
      </c>
      <c r="R380" s="45" t="s">
        <v>1307</v>
      </c>
      <c r="S380" s="45" t="s">
        <v>1307</v>
      </c>
      <c r="T380" s="45" t="s">
        <v>1307</v>
      </c>
      <c r="U380" s="44">
        <v>77.464816901408454</v>
      </c>
      <c r="V380" s="44">
        <v>109.399</v>
      </c>
      <c r="W380" s="44">
        <v>27.466015000000002</v>
      </c>
      <c r="X380" s="44">
        <v>7.4672539499999981</v>
      </c>
      <c r="Y380" s="130" t="s">
        <v>4187</v>
      </c>
      <c r="Z380" s="224"/>
    </row>
    <row r="381" spans="2:26" ht="15" customHeight="1" x14ac:dyDescent="0.35">
      <c r="B381" s="181">
        <v>34097</v>
      </c>
      <c r="C381" s="182" t="s">
        <v>297</v>
      </c>
      <c r="D381" s="222">
        <v>3</v>
      </c>
      <c r="E381" s="223" t="s">
        <v>2580</v>
      </c>
      <c r="F381" s="183" t="s">
        <v>2581</v>
      </c>
      <c r="G381" s="125">
        <v>1.3875591387512454</v>
      </c>
      <c r="H381" s="121" t="s">
        <v>1336</v>
      </c>
      <c r="I381" s="122">
        <v>58.027027027027032</v>
      </c>
      <c r="J381" s="106" t="s">
        <v>4656</v>
      </c>
      <c r="K381" s="118">
        <v>58</v>
      </c>
      <c r="L381" s="46">
        <v>2.2623853211009175</v>
      </c>
      <c r="M381" s="41">
        <v>131.21834862385322</v>
      </c>
      <c r="N381" s="44">
        <v>5.5</v>
      </c>
      <c r="O381" s="41">
        <v>67</v>
      </c>
      <c r="P381" s="41">
        <v>10</v>
      </c>
      <c r="Q381" s="41">
        <v>39</v>
      </c>
      <c r="R381" s="45" t="s">
        <v>1307</v>
      </c>
      <c r="S381" s="45" t="s">
        <v>1307</v>
      </c>
      <c r="T381" s="45" t="s">
        <v>1307</v>
      </c>
      <c r="U381" s="44">
        <v>17.237409836065574</v>
      </c>
      <c r="V381" s="44">
        <v>21.800999999999998</v>
      </c>
      <c r="W381" s="44">
        <v>3.3449849999999959</v>
      </c>
      <c r="X381" s="44">
        <v>2.4106972500000001</v>
      </c>
      <c r="Y381" s="130" t="s">
        <v>4188</v>
      </c>
      <c r="Z381" s="224"/>
    </row>
    <row r="382" spans="2:26" ht="15" customHeight="1" x14ac:dyDescent="0.35">
      <c r="B382" s="181">
        <v>56055</v>
      </c>
      <c r="C382" s="182" t="s">
        <v>575</v>
      </c>
      <c r="D382" s="222">
        <v>16</v>
      </c>
      <c r="E382" s="223" t="s">
        <v>1232</v>
      </c>
      <c r="F382" s="183" t="s">
        <v>2584</v>
      </c>
      <c r="G382" s="125">
        <v>1.9712657724582767</v>
      </c>
      <c r="H382" s="121" t="s">
        <v>1325</v>
      </c>
      <c r="I382" s="122">
        <v>68.702572269483539</v>
      </c>
      <c r="J382" s="106" t="s">
        <v>4656</v>
      </c>
      <c r="K382" s="118">
        <v>655</v>
      </c>
      <c r="L382" s="46">
        <v>2.5199600798403194</v>
      </c>
      <c r="M382" s="41">
        <v>1650.5738522954093</v>
      </c>
      <c r="N382" s="44">
        <v>12.552</v>
      </c>
      <c r="O382" s="41">
        <v>649</v>
      </c>
      <c r="P382" s="41">
        <v>6</v>
      </c>
      <c r="Q382" s="41">
        <v>42.9</v>
      </c>
      <c r="R382" s="45" t="s">
        <v>1307</v>
      </c>
      <c r="S382" s="45" t="s">
        <v>1324</v>
      </c>
      <c r="T382" s="45" t="s">
        <v>1307</v>
      </c>
      <c r="U382" s="44">
        <v>94.344999999999999</v>
      </c>
      <c r="V382" s="44">
        <v>131.31</v>
      </c>
      <c r="W382" s="44">
        <v>26.005070206185575</v>
      </c>
      <c r="X382" s="44">
        <v>13.192067030999997</v>
      </c>
      <c r="Y382" s="130" t="s">
        <v>4189</v>
      </c>
      <c r="Z382" s="224" t="s">
        <v>4190</v>
      </c>
    </row>
    <row r="383" spans="2:26" ht="15" customHeight="1" x14ac:dyDescent="0.35">
      <c r="B383" s="181">
        <v>14035</v>
      </c>
      <c r="C383" s="182" t="s">
        <v>65</v>
      </c>
      <c r="D383" s="222">
        <v>1</v>
      </c>
      <c r="E383" s="223" t="s">
        <v>2586</v>
      </c>
      <c r="F383" s="183" t="s">
        <v>2587</v>
      </c>
      <c r="G383" s="125">
        <v>2.7325121895780566</v>
      </c>
      <c r="H383" s="121" t="s">
        <v>1325</v>
      </c>
      <c r="I383" s="122">
        <v>61.263157894736857</v>
      </c>
      <c r="J383" s="106" t="s">
        <v>4656</v>
      </c>
      <c r="K383" s="118">
        <v>603</v>
      </c>
      <c r="L383" s="46">
        <v>2.5298944900351699</v>
      </c>
      <c r="M383" s="41">
        <v>1525.5263774912075</v>
      </c>
      <c r="N383" s="44">
        <v>15.234</v>
      </c>
      <c r="O383" s="41">
        <v>625</v>
      </c>
      <c r="P383" s="41">
        <v>10</v>
      </c>
      <c r="Q383" s="41">
        <v>56</v>
      </c>
      <c r="R383" s="45" t="s">
        <v>1324</v>
      </c>
      <c r="S383" s="45" t="s">
        <v>1324</v>
      </c>
      <c r="T383" s="45" t="s">
        <v>1307</v>
      </c>
      <c r="U383" s="44">
        <v>119.33369999999999</v>
      </c>
      <c r="V383" s="44">
        <v>347.18200000000002</v>
      </c>
      <c r="W383" s="44">
        <v>51.968674591836802</v>
      </c>
      <c r="X383" s="44">
        <v>19.018643280000003</v>
      </c>
      <c r="Y383" s="130" t="s">
        <v>4191</v>
      </c>
      <c r="Z383" s="224"/>
    </row>
    <row r="384" spans="2:26" ht="15" customHeight="1" x14ac:dyDescent="0.35">
      <c r="B384" s="181">
        <v>7065</v>
      </c>
      <c r="C384" s="182" t="s">
        <v>1077</v>
      </c>
      <c r="D384" s="222">
        <v>1</v>
      </c>
      <c r="E384" s="223" t="s">
        <v>2591</v>
      </c>
      <c r="F384" s="183" t="s">
        <v>2592</v>
      </c>
      <c r="G384" s="125">
        <v>1.2265524395727307</v>
      </c>
      <c r="H384" s="121" t="s">
        <v>1336</v>
      </c>
      <c r="I384" s="122">
        <v>45.081081081081081</v>
      </c>
      <c r="J384" s="106" t="s">
        <v>4656</v>
      </c>
      <c r="K384" s="118">
        <v>71</v>
      </c>
      <c r="L384" s="46">
        <v>2.1515151515151514</v>
      </c>
      <c r="M384" s="41">
        <v>152.75757575757575</v>
      </c>
      <c r="N384" s="44">
        <v>3.0529999999999999</v>
      </c>
      <c r="O384" s="41">
        <v>75</v>
      </c>
      <c r="P384" s="41">
        <v>13</v>
      </c>
      <c r="Q384" s="41">
        <v>63</v>
      </c>
      <c r="R384" s="45" t="s">
        <v>1307</v>
      </c>
      <c r="S384" s="45" t="s">
        <v>1307</v>
      </c>
      <c r="T384" s="45" t="s">
        <v>1307</v>
      </c>
      <c r="U384" s="44">
        <v>7.5007123287671229</v>
      </c>
      <c r="V384" s="44">
        <v>11.819000000000001</v>
      </c>
      <c r="W384" s="44">
        <v>3.9297150000000012</v>
      </c>
      <c r="X384" s="44">
        <v>3.2038703550000003</v>
      </c>
      <c r="Y384" s="130" t="s">
        <v>4192</v>
      </c>
      <c r="Z384" s="224"/>
    </row>
    <row r="385" spans="2:26" ht="15" customHeight="1" x14ac:dyDescent="0.35">
      <c r="B385" s="181">
        <v>63023</v>
      </c>
      <c r="C385" s="182" t="s">
        <v>636</v>
      </c>
      <c r="D385" s="222">
        <v>14</v>
      </c>
      <c r="E385" s="223" t="s">
        <v>2595</v>
      </c>
      <c r="F385" s="183" t="s">
        <v>2596</v>
      </c>
      <c r="G385" s="125">
        <v>4.591733093896166</v>
      </c>
      <c r="H385" s="121" t="s">
        <v>1325</v>
      </c>
      <c r="I385" s="122">
        <v>59.081081081081081</v>
      </c>
      <c r="J385" s="106" t="s">
        <v>4656</v>
      </c>
      <c r="K385" s="118">
        <v>207</v>
      </c>
      <c r="L385" s="46">
        <v>2.78</v>
      </c>
      <c r="M385" s="41">
        <v>575.45999999999992</v>
      </c>
      <c r="N385" s="44">
        <v>3.806</v>
      </c>
      <c r="O385" s="41">
        <v>191</v>
      </c>
      <c r="P385" s="41">
        <v>6</v>
      </c>
      <c r="Q385" s="41">
        <v>49.3</v>
      </c>
      <c r="R385" s="45" t="s">
        <v>1324</v>
      </c>
      <c r="S385" s="45" t="s">
        <v>1324</v>
      </c>
      <c r="T385" s="45" t="s">
        <v>1324</v>
      </c>
      <c r="U385" s="44">
        <v>36.131944954128436</v>
      </c>
      <c r="V385" s="44">
        <v>59.598999999999997</v>
      </c>
      <c r="W385" s="44">
        <v>20.653014999999996</v>
      </c>
      <c r="X385" s="44">
        <v>4.4978692309999992</v>
      </c>
      <c r="Y385" s="130" t="s">
        <v>4193</v>
      </c>
      <c r="Z385" s="224"/>
    </row>
    <row r="386" spans="2:26" ht="15" customHeight="1" x14ac:dyDescent="0.35">
      <c r="B386" s="181">
        <v>6050</v>
      </c>
      <c r="C386" s="182" t="s">
        <v>1065</v>
      </c>
      <c r="D386" s="222">
        <v>11</v>
      </c>
      <c r="E386" s="223" t="s">
        <v>2601</v>
      </c>
      <c r="F386" s="183" t="s">
        <v>2602</v>
      </c>
      <c r="G386" s="125">
        <v>0.48617447829366356</v>
      </c>
      <c r="H386" s="121" t="s">
        <v>1336</v>
      </c>
      <c r="I386" s="122">
        <v>58.72972972972974</v>
      </c>
      <c r="J386" s="106" t="s">
        <v>4656</v>
      </c>
      <c r="K386" s="118">
        <v>272</v>
      </c>
      <c r="L386" s="46">
        <v>1.7440273037542662</v>
      </c>
      <c r="M386" s="41">
        <v>474.37542662116039</v>
      </c>
      <c r="N386" s="44">
        <v>3.4649999999999999</v>
      </c>
      <c r="O386" s="41">
        <v>155</v>
      </c>
      <c r="P386" s="41">
        <v>5</v>
      </c>
      <c r="Q386" s="41">
        <v>48</v>
      </c>
      <c r="R386" s="45" t="s">
        <v>1307</v>
      </c>
      <c r="S386" s="45" t="s">
        <v>1307</v>
      </c>
      <c r="T386" s="45" t="s">
        <v>1307</v>
      </c>
      <c r="U386" s="44">
        <v>30.239887323943663</v>
      </c>
      <c r="V386" s="44">
        <v>33.834000000000003</v>
      </c>
      <c r="W386" s="44">
        <v>1.7524900000000023</v>
      </c>
      <c r="X386" s="44">
        <v>3.6046524</v>
      </c>
      <c r="Y386" s="130" t="s">
        <v>4194</v>
      </c>
      <c r="Z386" s="224"/>
    </row>
    <row r="387" spans="2:26" ht="15" customHeight="1" x14ac:dyDescent="0.35">
      <c r="B387" s="181">
        <v>5065</v>
      </c>
      <c r="C387" s="182" t="s">
        <v>1054</v>
      </c>
      <c r="D387" s="222">
        <v>11</v>
      </c>
      <c r="E387" s="223" t="s">
        <v>2604</v>
      </c>
      <c r="F387" s="183" t="s">
        <v>2605</v>
      </c>
      <c r="G387" s="125">
        <v>0.29905768681313039</v>
      </c>
      <c r="H387" s="121" t="s">
        <v>1336</v>
      </c>
      <c r="I387" s="122">
        <v>45.081081081081081</v>
      </c>
      <c r="J387" s="106" t="s">
        <v>4656</v>
      </c>
      <c r="K387" s="118">
        <v>230</v>
      </c>
      <c r="L387" s="46">
        <v>2.2168284789644015</v>
      </c>
      <c r="M387" s="41">
        <v>509.87055016181233</v>
      </c>
      <c r="N387" s="44">
        <v>7.5709999999999997</v>
      </c>
      <c r="O387" s="41">
        <v>231</v>
      </c>
      <c r="P387" s="41">
        <v>15</v>
      </c>
      <c r="Q387" s="41">
        <v>49.209999999999994</v>
      </c>
      <c r="R387" s="45" t="s">
        <v>1307</v>
      </c>
      <c r="S387" s="45" t="s">
        <v>1307</v>
      </c>
      <c r="T387" s="45" t="s">
        <v>1307</v>
      </c>
      <c r="U387" s="44">
        <v>45.040409836065571</v>
      </c>
      <c r="V387" s="44">
        <v>50.732999999999997</v>
      </c>
      <c r="W387" s="44">
        <v>2.1900049999999984</v>
      </c>
      <c r="X387" s="44">
        <v>7.3230185899499993</v>
      </c>
      <c r="Y387" s="130" t="s">
        <v>4195</v>
      </c>
      <c r="Z387" s="224" t="s">
        <v>3760</v>
      </c>
    </row>
    <row r="388" spans="2:26" ht="15" customHeight="1" x14ac:dyDescent="0.35">
      <c r="B388" s="181">
        <v>62025</v>
      </c>
      <c r="C388" s="182" t="s">
        <v>622</v>
      </c>
      <c r="D388" s="222">
        <v>14</v>
      </c>
      <c r="E388" s="223" t="s">
        <v>1612</v>
      </c>
      <c r="F388" s="183" t="s">
        <v>4787</v>
      </c>
      <c r="G388" s="125">
        <v>0.79354857699901393</v>
      </c>
      <c r="H388" s="121" t="s">
        <v>1325</v>
      </c>
      <c r="I388" s="122">
        <v>58.027027027027032</v>
      </c>
      <c r="J388" s="106" t="s">
        <v>4656</v>
      </c>
      <c r="K388" s="118">
        <v>197</v>
      </c>
      <c r="L388" s="46">
        <v>1.4947029018885307</v>
      </c>
      <c r="M388" s="41">
        <v>294.45647167204055</v>
      </c>
      <c r="N388" s="44">
        <v>6.35</v>
      </c>
      <c r="O388" s="41">
        <v>241</v>
      </c>
      <c r="P388" s="41">
        <v>12</v>
      </c>
      <c r="Q388" s="41">
        <v>40.700000000000003</v>
      </c>
      <c r="R388" s="45" t="s">
        <v>1324</v>
      </c>
      <c r="S388" s="45" t="s">
        <v>1307</v>
      </c>
      <c r="T388" s="45" t="s">
        <v>1324</v>
      </c>
      <c r="U388" s="44">
        <v>29.866</v>
      </c>
      <c r="V388" s="44">
        <v>39.628</v>
      </c>
      <c r="W388" s="44">
        <v>4.472579999999998</v>
      </c>
      <c r="X388" s="44">
        <v>5.6361767</v>
      </c>
      <c r="Y388" s="130" t="s">
        <v>4196</v>
      </c>
      <c r="Z388" s="224"/>
    </row>
    <row r="389" spans="2:26" ht="15" customHeight="1" x14ac:dyDescent="0.35">
      <c r="B389" s="181">
        <v>62025</v>
      </c>
      <c r="C389" s="182" t="s">
        <v>622</v>
      </c>
      <c r="D389" s="222">
        <v>14</v>
      </c>
      <c r="E389" s="223" t="s">
        <v>2608</v>
      </c>
      <c r="F389" s="183" t="s">
        <v>2609</v>
      </c>
      <c r="G389" s="125">
        <v>1.4169042598151593</v>
      </c>
      <c r="H389" s="121" t="s">
        <v>1336</v>
      </c>
      <c r="I389" s="122">
        <v>57.83102656963537</v>
      </c>
      <c r="J389" s="106" t="s">
        <v>4656</v>
      </c>
      <c r="K389" s="118">
        <v>255</v>
      </c>
      <c r="L389" s="46">
        <v>1.4947029018885307</v>
      </c>
      <c r="M389" s="41">
        <v>381.14923998157531</v>
      </c>
      <c r="N389" s="44">
        <v>8.5</v>
      </c>
      <c r="O389" s="41">
        <v>285</v>
      </c>
      <c r="P389" s="41">
        <v>12</v>
      </c>
      <c r="Q389" s="41">
        <v>47.81</v>
      </c>
      <c r="R389" s="45" t="s">
        <v>1307</v>
      </c>
      <c r="S389" s="45" t="s">
        <v>1307</v>
      </c>
      <c r="T389" s="45" t="s">
        <v>1307</v>
      </c>
      <c r="U389" s="44">
        <v>29.007999999999999</v>
      </c>
      <c r="V389" s="44">
        <v>48.147000000000006</v>
      </c>
      <c r="W389" s="44">
        <v>11.534632500000001</v>
      </c>
      <c r="X389" s="44">
        <v>8.1407282250000002</v>
      </c>
      <c r="Y389" s="130" t="s">
        <v>4197</v>
      </c>
      <c r="Z389" s="224"/>
    </row>
    <row r="390" spans="2:26" ht="15" customHeight="1" x14ac:dyDescent="0.35">
      <c r="B390" s="181">
        <v>62025</v>
      </c>
      <c r="C390" s="182" t="s">
        <v>622</v>
      </c>
      <c r="D390" s="222">
        <v>14</v>
      </c>
      <c r="E390" s="223" t="s">
        <v>2610</v>
      </c>
      <c r="F390" s="183" t="s">
        <v>4788</v>
      </c>
      <c r="G390" s="125">
        <v>1.0535410597351234</v>
      </c>
      <c r="H390" s="121" t="s">
        <v>1325</v>
      </c>
      <c r="I390" s="122">
        <v>37.027027027027032</v>
      </c>
      <c r="J390" s="106" t="s">
        <v>4656</v>
      </c>
      <c r="K390" s="118">
        <v>29</v>
      </c>
      <c r="L390" s="46">
        <v>1.4947029018885307</v>
      </c>
      <c r="M390" s="41">
        <v>43.346384154767392</v>
      </c>
      <c r="N390" s="44">
        <v>1.6</v>
      </c>
      <c r="O390" s="41">
        <v>31</v>
      </c>
      <c r="P390" s="41">
        <v>12</v>
      </c>
      <c r="Q390" s="41">
        <v>56.2</v>
      </c>
      <c r="R390" s="45" t="s">
        <v>1324</v>
      </c>
      <c r="S390" s="45" t="s">
        <v>1324</v>
      </c>
      <c r="T390" s="45" t="s">
        <v>1324</v>
      </c>
      <c r="U390" s="44">
        <v>2.0979999999999999</v>
      </c>
      <c r="V390" s="44">
        <v>3.5100000000000002</v>
      </c>
      <c r="W390" s="44">
        <v>1.3593500000000005</v>
      </c>
      <c r="X390" s="44">
        <v>1.2902677000000002</v>
      </c>
      <c r="Y390" s="130" t="s">
        <v>4198</v>
      </c>
      <c r="Z390" s="224"/>
    </row>
    <row r="391" spans="2:26" ht="15" customHeight="1" x14ac:dyDescent="0.35">
      <c r="B391" s="181">
        <v>61040</v>
      </c>
      <c r="C391" s="182" t="s">
        <v>616</v>
      </c>
      <c r="D391" s="222">
        <v>14</v>
      </c>
      <c r="E391" s="223" t="s">
        <v>2612</v>
      </c>
      <c r="F391" s="183" t="s">
        <v>2613</v>
      </c>
      <c r="G391" s="125">
        <v>0.80757116803768336</v>
      </c>
      <c r="H391" s="121" t="s">
        <v>1325</v>
      </c>
      <c r="I391" s="122">
        <v>57.355555555555554</v>
      </c>
      <c r="J391" s="106" t="s">
        <v>4656</v>
      </c>
      <c r="K391" s="118">
        <v>617</v>
      </c>
      <c r="L391" s="46">
        <v>2.4042296072507554</v>
      </c>
      <c r="M391" s="41">
        <v>1483.4096676737161</v>
      </c>
      <c r="N391" s="44">
        <v>13.731999999999999</v>
      </c>
      <c r="O391" s="41">
        <v>712</v>
      </c>
      <c r="P391" s="41">
        <v>5</v>
      </c>
      <c r="Q391" s="41">
        <v>31.499999999999996</v>
      </c>
      <c r="R391" s="45" t="s">
        <v>1324</v>
      </c>
      <c r="S391" s="45" t="s">
        <v>1324</v>
      </c>
      <c r="T391" s="45" t="s">
        <v>1307</v>
      </c>
      <c r="U391" s="44">
        <v>110.546656</v>
      </c>
      <c r="V391" s="44">
        <v>127.75</v>
      </c>
      <c r="W391" s="44">
        <v>8.410175000000006</v>
      </c>
      <c r="X391" s="44">
        <v>10.41415956</v>
      </c>
      <c r="Y391" s="130" t="s">
        <v>4199</v>
      </c>
      <c r="Z391" s="224"/>
    </row>
    <row r="392" spans="2:26" ht="15" customHeight="1" x14ac:dyDescent="0.35">
      <c r="B392" s="181">
        <v>61040</v>
      </c>
      <c r="C392" s="182" t="s">
        <v>616</v>
      </c>
      <c r="D392" s="222">
        <v>14</v>
      </c>
      <c r="E392" s="223" t="s">
        <v>2614</v>
      </c>
      <c r="F392" s="183" t="s">
        <v>2615</v>
      </c>
      <c r="G392" s="125">
        <v>0.69129013363277025</v>
      </c>
      <c r="H392" s="121" t="s">
        <v>1325</v>
      </c>
      <c r="I392" s="122">
        <v>59.666666666666664</v>
      </c>
      <c r="J392" s="106" t="s">
        <v>4656</v>
      </c>
      <c r="K392" s="118">
        <v>566</v>
      </c>
      <c r="L392" s="46">
        <v>2.4042296072507554</v>
      </c>
      <c r="M392" s="41">
        <v>1360.7939577039276</v>
      </c>
      <c r="N392" s="44">
        <v>14.486000000000001</v>
      </c>
      <c r="O392" s="41">
        <v>510</v>
      </c>
      <c r="P392" s="41">
        <v>5</v>
      </c>
      <c r="Q392" s="41">
        <v>45.5</v>
      </c>
      <c r="R392" s="45" t="s">
        <v>1307</v>
      </c>
      <c r="S392" s="45" t="s">
        <v>1324</v>
      </c>
      <c r="T392" s="45" t="s">
        <v>1307</v>
      </c>
      <c r="U392" s="44">
        <v>148.37772805507745</v>
      </c>
      <c r="V392" s="44">
        <v>177.22499999999999</v>
      </c>
      <c r="W392" s="44">
        <v>8.4095171938775266</v>
      </c>
      <c r="X392" s="44">
        <v>12.164960535000001</v>
      </c>
      <c r="Y392" s="130" t="s">
        <v>4200</v>
      </c>
      <c r="Z392" s="224"/>
    </row>
    <row r="393" spans="2:26" ht="15" customHeight="1" x14ac:dyDescent="0.35">
      <c r="B393" s="181">
        <v>10030</v>
      </c>
      <c r="C393" s="182" t="s">
        <v>12</v>
      </c>
      <c r="D393" s="222">
        <v>1</v>
      </c>
      <c r="E393" s="223" t="s">
        <v>2618</v>
      </c>
      <c r="F393" s="183" t="s">
        <v>2619</v>
      </c>
      <c r="G393" s="125">
        <v>1.4157094111353838</v>
      </c>
      <c r="H393" s="121" t="s">
        <v>1325</v>
      </c>
      <c r="I393" s="122">
        <v>45.081081081081081</v>
      </c>
      <c r="J393" s="106" t="s">
        <v>4656</v>
      </c>
      <c r="K393" s="118">
        <v>792</v>
      </c>
      <c r="L393" s="46">
        <v>2.3877708978328172</v>
      </c>
      <c r="M393" s="41">
        <v>1891.1145510835911</v>
      </c>
      <c r="N393" s="44">
        <v>20.157</v>
      </c>
      <c r="O393" s="41">
        <v>618</v>
      </c>
      <c r="P393" s="41">
        <v>6</v>
      </c>
      <c r="Q393" s="41">
        <v>35</v>
      </c>
      <c r="R393" s="45" t="s">
        <v>1307</v>
      </c>
      <c r="S393" s="45" t="s">
        <v>1324</v>
      </c>
      <c r="T393" s="45" t="s">
        <v>1307</v>
      </c>
      <c r="U393" s="44">
        <v>159.55783783783787</v>
      </c>
      <c r="V393" s="44">
        <v>183.929</v>
      </c>
      <c r="W393" s="44">
        <v>17.180064999999985</v>
      </c>
      <c r="X393" s="44">
        <v>12.13530465</v>
      </c>
      <c r="Y393" s="130" t="s">
        <v>4201</v>
      </c>
      <c r="Z393" s="224" t="s">
        <v>3762</v>
      </c>
    </row>
    <row r="394" spans="2:26" ht="15" customHeight="1" x14ac:dyDescent="0.35">
      <c r="B394" s="181">
        <v>14040</v>
      </c>
      <c r="C394" s="182" t="s">
        <v>66</v>
      </c>
      <c r="D394" s="222">
        <v>1</v>
      </c>
      <c r="E394" s="223" t="s">
        <v>66</v>
      </c>
      <c r="F394" s="183" t="s">
        <v>2622</v>
      </c>
      <c r="G394" s="125">
        <v>1.8117229481805974</v>
      </c>
      <c r="H394" s="121" t="s">
        <v>1325</v>
      </c>
      <c r="I394" s="122">
        <v>59.921568627450981</v>
      </c>
      <c r="J394" s="106" t="s">
        <v>4656</v>
      </c>
      <c r="K394" s="118">
        <v>146</v>
      </c>
      <c r="L394" s="46">
        <v>2.4981684981684982</v>
      </c>
      <c r="M394" s="41">
        <v>364.73260073260076</v>
      </c>
      <c r="N394" s="44">
        <v>3.28</v>
      </c>
      <c r="O394" s="41">
        <v>147</v>
      </c>
      <c r="P394" s="41">
        <v>10</v>
      </c>
      <c r="Q394" s="41">
        <v>42.3</v>
      </c>
      <c r="R394" s="45" t="s">
        <v>1307</v>
      </c>
      <c r="S394" s="45" t="s">
        <v>1324</v>
      </c>
      <c r="T394" s="45" t="s">
        <v>1324</v>
      </c>
      <c r="U394" s="44">
        <v>18.439</v>
      </c>
      <c r="V394" s="44">
        <v>41.195</v>
      </c>
      <c r="W394" s="44">
        <v>5.968965663265303</v>
      </c>
      <c r="X394" s="44">
        <v>3.2946349050000001</v>
      </c>
      <c r="Y394" s="130" t="s">
        <v>4202</v>
      </c>
      <c r="Z394" s="224" t="s">
        <v>1533</v>
      </c>
    </row>
    <row r="395" spans="2:26" ht="15" customHeight="1" x14ac:dyDescent="0.35">
      <c r="B395" s="181">
        <v>91010</v>
      </c>
      <c r="C395" s="182" t="s">
        <v>938</v>
      </c>
      <c r="D395" s="222">
        <v>2</v>
      </c>
      <c r="E395" s="223" t="s">
        <v>2624</v>
      </c>
      <c r="F395" s="183" t="s">
        <v>2625</v>
      </c>
      <c r="G395" s="125">
        <v>2.9039953569796273</v>
      </c>
      <c r="H395" s="121" t="s">
        <v>1336</v>
      </c>
      <c r="I395" s="122">
        <v>58.72972972972974</v>
      </c>
      <c r="J395" s="106" t="s">
        <v>4656</v>
      </c>
      <c r="K395" s="118">
        <v>120</v>
      </c>
      <c r="L395" s="46">
        <v>1.9789029535864979</v>
      </c>
      <c r="M395" s="41">
        <v>237.46835443037975</v>
      </c>
      <c r="N395" s="44">
        <v>2.7959999999999998</v>
      </c>
      <c r="O395" s="41">
        <v>118</v>
      </c>
      <c r="P395" s="41">
        <v>5</v>
      </c>
      <c r="Q395" s="41">
        <v>49</v>
      </c>
      <c r="R395" s="45" t="s">
        <v>1307</v>
      </c>
      <c r="S395" s="45" t="s">
        <v>1307</v>
      </c>
      <c r="T395" s="45" t="s">
        <v>1307</v>
      </c>
      <c r="U395" s="44">
        <v>24.565999999999999</v>
      </c>
      <c r="V395" s="44">
        <v>34.5959</v>
      </c>
      <c r="W395" s="44">
        <v>8.2829615000000008</v>
      </c>
      <c r="X395" s="44">
        <v>2.8522640300000002</v>
      </c>
      <c r="Y395" s="130" t="s">
        <v>4203</v>
      </c>
      <c r="Z395" s="224" t="s">
        <v>4204</v>
      </c>
    </row>
    <row r="396" spans="2:26" ht="15" customHeight="1" x14ac:dyDescent="0.35">
      <c r="B396" s="181">
        <v>19062</v>
      </c>
      <c r="C396" s="182" t="s">
        <v>128</v>
      </c>
      <c r="D396" s="222">
        <v>12</v>
      </c>
      <c r="E396" s="223" t="s">
        <v>2627</v>
      </c>
      <c r="F396" s="183" t="s">
        <v>2628</v>
      </c>
      <c r="G396" s="125">
        <v>2.8350523902591775</v>
      </c>
      <c r="H396" s="121" t="s">
        <v>1336</v>
      </c>
      <c r="I396" s="122">
        <v>69.093489697810966</v>
      </c>
      <c r="J396" s="106" t="s">
        <v>4656</v>
      </c>
      <c r="K396" s="118">
        <v>1376</v>
      </c>
      <c r="L396" s="46">
        <v>2.3759530791788857</v>
      </c>
      <c r="M396" s="41">
        <v>3269.3114369501468</v>
      </c>
      <c r="N396" s="44">
        <v>27.858000000000001</v>
      </c>
      <c r="O396" s="41">
        <v>1177</v>
      </c>
      <c r="P396" s="41">
        <v>10</v>
      </c>
      <c r="Q396" s="41">
        <v>49</v>
      </c>
      <c r="R396" s="45" t="s">
        <v>1307</v>
      </c>
      <c r="S396" s="45" t="s">
        <v>1307</v>
      </c>
      <c r="T396" s="45" t="s">
        <v>1307</v>
      </c>
      <c r="U396" s="44">
        <v>210.80799999999999</v>
      </c>
      <c r="V396" s="44">
        <v>1351.865</v>
      </c>
      <c r="W396" s="44">
        <v>88.08933938775516</v>
      </c>
      <c r="X396" s="44">
        <v>31.071503190000001</v>
      </c>
      <c r="Y396" s="130" t="s">
        <v>4205</v>
      </c>
      <c r="Z396" s="224"/>
    </row>
    <row r="397" spans="2:26" ht="15" customHeight="1" x14ac:dyDescent="0.35">
      <c r="B397" s="181">
        <v>57075</v>
      </c>
      <c r="C397" s="182" t="s">
        <v>593</v>
      </c>
      <c r="D397" s="222">
        <v>16</v>
      </c>
      <c r="E397" s="223" t="s">
        <v>2630</v>
      </c>
      <c r="F397" s="183" t="s">
        <v>4791</v>
      </c>
      <c r="G397" s="125">
        <v>1.1000000000000001</v>
      </c>
      <c r="H397" s="121" t="s">
        <v>1325</v>
      </c>
      <c r="I397" s="122">
        <v>66</v>
      </c>
      <c r="J397" s="106" t="s">
        <v>4656</v>
      </c>
      <c r="K397" s="118"/>
      <c r="L397" s="46"/>
      <c r="M397" s="41"/>
      <c r="N397" s="44"/>
      <c r="O397" s="41"/>
      <c r="P397" s="41"/>
      <c r="Q397" s="41"/>
      <c r="R397" s="45"/>
      <c r="S397" s="45"/>
      <c r="T397" s="45"/>
      <c r="U397" s="44"/>
      <c r="V397" s="44"/>
      <c r="W397" s="44" t="s">
        <v>1124</v>
      </c>
      <c r="X397" s="44"/>
      <c r="Y397" s="130" t="s">
        <v>4583</v>
      </c>
      <c r="Z397" s="224"/>
    </row>
    <row r="398" spans="2:26" ht="15" customHeight="1" x14ac:dyDescent="0.35">
      <c r="B398" s="181">
        <v>12015</v>
      </c>
      <c r="C398" s="182" t="s">
        <v>30</v>
      </c>
      <c r="D398" s="222">
        <v>1</v>
      </c>
      <c r="E398" s="223" t="s">
        <v>2632</v>
      </c>
      <c r="F398" s="183" t="s">
        <v>2633</v>
      </c>
      <c r="G398" s="125">
        <v>2.1338309649083604</v>
      </c>
      <c r="H398" s="121" t="s">
        <v>1336</v>
      </c>
      <c r="I398" s="122">
        <v>59.081081081081081</v>
      </c>
      <c r="J398" s="106" t="s">
        <v>4656</v>
      </c>
      <c r="K398" s="118">
        <v>1190</v>
      </c>
      <c r="L398" s="46">
        <v>2.6058168316831685</v>
      </c>
      <c r="M398" s="41">
        <v>3100.9220297029706</v>
      </c>
      <c r="N398" s="44">
        <v>20.904</v>
      </c>
      <c r="O398" s="41">
        <v>1095</v>
      </c>
      <c r="P398" s="41">
        <v>6</v>
      </c>
      <c r="Q398" s="41">
        <v>53</v>
      </c>
      <c r="R398" s="45" t="s">
        <v>1307</v>
      </c>
      <c r="S398" s="45" t="s">
        <v>1307</v>
      </c>
      <c r="T398" s="45" t="s">
        <v>1307</v>
      </c>
      <c r="U398" s="44">
        <v>231.09423715415016</v>
      </c>
      <c r="V398" s="44">
        <v>308.76299999999998</v>
      </c>
      <c r="W398" s="44">
        <v>58.472554999999993</v>
      </c>
      <c r="X398" s="44">
        <v>27.402618090000001</v>
      </c>
      <c r="Y398" s="130" t="s">
        <v>4207</v>
      </c>
      <c r="Z398" s="224" t="s">
        <v>4208</v>
      </c>
    </row>
    <row r="399" spans="2:26" ht="15" customHeight="1" x14ac:dyDescent="0.35">
      <c r="B399" s="181">
        <v>33090</v>
      </c>
      <c r="C399" s="182" t="s">
        <v>280</v>
      </c>
      <c r="D399" s="222">
        <v>12</v>
      </c>
      <c r="E399" s="223" t="s">
        <v>2636</v>
      </c>
      <c r="F399" s="183" t="s">
        <v>2637</v>
      </c>
      <c r="G399" s="125">
        <v>1.0366025498886433</v>
      </c>
      <c r="H399" s="121" t="s">
        <v>1325</v>
      </c>
      <c r="I399" s="122">
        <v>52.686274509803923</v>
      </c>
      <c r="J399" s="106" t="s">
        <v>4656</v>
      </c>
      <c r="K399" s="118">
        <v>1979</v>
      </c>
      <c r="L399" s="46">
        <v>2.4579040852575487</v>
      </c>
      <c r="M399" s="41">
        <v>4864.1921847246886</v>
      </c>
      <c r="N399" s="44">
        <v>31.8</v>
      </c>
      <c r="O399" s="41">
        <v>2467</v>
      </c>
      <c r="P399" s="41">
        <v>6</v>
      </c>
      <c r="Q399" s="41">
        <v>30</v>
      </c>
      <c r="R399" s="45" t="s">
        <v>1324</v>
      </c>
      <c r="S399" s="45" t="s">
        <v>1324</v>
      </c>
      <c r="T399" s="45" t="s">
        <v>1324</v>
      </c>
      <c r="U399" s="44">
        <v>288.90800000000002</v>
      </c>
      <c r="V399" s="44">
        <v>384.96699999999998</v>
      </c>
      <c r="W399" s="44">
        <v>33.09949427835042</v>
      </c>
      <c r="X399" s="44">
        <v>31.930747499999999</v>
      </c>
      <c r="Y399" s="130" t="s">
        <v>4209</v>
      </c>
      <c r="Z399" s="224"/>
    </row>
    <row r="400" spans="2:26" ht="15" customHeight="1" x14ac:dyDescent="0.35">
      <c r="B400" s="181">
        <v>12065</v>
      </c>
      <c r="C400" s="182" t="s">
        <v>38</v>
      </c>
      <c r="D400" s="222">
        <v>1</v>
      </c>
      <c r="E400" s="223" t="s">
        <v>2639</v>
      </c>
      <c r="F400" s="183" t="s">
        <v>2640</v>
      </c>
      <c r="G400" s="125">
        <v>2.0495503356140898</v>
      </c>
      <c r="H400" s="121" t="s">
        <v>1336</v>
      </c>
      <c r="I400" s="122">
        <v>68.47777777777776</v>
      </c>
      <c r="J400" s="106" t="s">
        <v>4656</v>
      </c>
      <c r="K400" s="118">
        <v>315</v>
      </c>
      <c r="L400" s="46">
        <v>2.5487804878048781</v>
      </c>
      <c r="M400" s="41">
        <v>802.86585365853659</v>
      </c>
      <c r="N400" s="44">
        <v>7.73</v>
      </c>
      <c r="O400" s="41">
        <v>292</v>
      </c>
      <c r="P400" s="41">
        <v>6</v>
      </c>
      <c r="Q400" s="41">
        <v>44.2</v>
      </c>
      <c r="R400" s="45" t="s">
        <v>1307</v>
      </c>
      <c r="S400" s="45" t="s">
        <v>1307</v>
      </c>
      <c r="T400" s="45" t="s">
        <v>1307</v>
      </c>
      <c r="U400" s="44">
        <v>35.548999999999999</v>
      </c>
      <c r="V400" s="44">
        <v>60.835999999999999</v>
      </c>
      <c r="W400" s="44">
        <v>13.773059868421051</v>
      </c>
      <c r="X400" s="44">
        <v>6.7200398200000011</v>
      </c>
      <c r="Y400" s="130" t="s">
        <v>4210</v>
      </c>
      <c r="Z400" s="224"/>
    </row>
    <row r="401" spans="2:26" ht="15" customHeight="1" x14ac:dyDescent="0.35">
      <c r="B401" s="181">
        <v>92005</v>
      </c>
      <c r="C401" s="182" t="s">
        <v>946</v>
      </c>
      <c r="D401" s="222">
        <v>2</v>
      </c>
      <c r="E401" s="223" t="s">
        <v>2642</v>
      </c>
      <c r="F401" s="183" t="s">
        <v>2643</v>
      </c>
      <c r="G401" s="125">
        <v>2.8575670465213161</v>
      </c>
      <c r="H401" s="121" t="s">
        <v>1336</v>
      </c>
      <c r="I401" s="122">
        <v>45.081081081081081</v>
      </c>
      <c r="J401" s="106" t="s">
        <v>4656</v>
      </c>
      <c r="K401" s="118">
        <v>134</v>
      </c>
      <c r="L401" s="46">
        <v>2.2000000000000002</v>
      </c>
      <c r="M401" s="41">
        <v>294.8</v>
      </c>
      <c r="N401" s="44">
        <v>18.766999999999999</v>
      </c>
      <c r="O401" s="41">
        <v>133</v>
      </c>
      <c r="P401" s="41">
        <v>10</v>
      </c>
      <c r="Q401" s="41">
        <v>46.9</v>
      </c>
      <c r="R401" s="45" t="s">
        <v>1307</v>
      </c>
      <c r="S401" s="45" t="s">
        <v>1307</v>
      </c>
      <c r="T401" s="45" t="s">
        <v>1307</v>
      </c>
      <c r="U401" s="44">
        <v>62.749000000000002</v>
      </c>
      <c r="V401" s="44">
        <v>90.744</v>
      </c>
      <c r="W401" s="44">
        <v>23.355840000000004</v>
      </c>
      <c r="X401" s="44">
        <v>8.1733305359999999</v>
      </c>
      <c r="Y401" s="130" t="s">
        <v>4211</v>
      </c>
      <c r="Z401" s="224" t="s">
        <v>4122</v>
      </c>
    </row>
    <row r="402" spans="2:26" ht="15" customHeight="1" x14ac:dyDescent="0.35">
      <c r="B402" s="181">
        <v>98012</v>
      </c>
      <c r="C402" s="182" t="s">
        <v>1008</v>
      </c>
      <c r="D402" s="222">
        <v>9</v>
      </c>
      <c r="E402" s="223" t="s">
        <v>2645</v>
      </c>
      <c r="F402" s="183" t="s">
        <v>4799</v>
      </c>
      <c r="G402" s="125">
        <v>1.419740831427682</v>
      </c>
      <c r="H402" s="121" t="s">
        <v>1325</v>
      </c>
      <c r="I402" s="122">
        <v>45</v>
      </c>
      <c r="J402" s="106" t="s">
        <v>4656</v>
      </c>
      <c r="K402" s="118">
        <v>63</v>
      </c>
      <c r="L402" s="46">
        <v>2.85</v>
      </c>
      <c r="M402" s="41">
        <v>179.55</v>
      </c>
      <c r="N402" s="44">
        <v>6.4</v>
      </c>
      <c r="O402" s="41">
        <v>264</v>
      </c>
      <c r="P402" s="41">
        <v>7</v>
      </c>
      <c r="Q402" s="41">
        <v>48</v>
      </c>
      <c r="R402" s="45" t="s">
        <v>1307</v>
      </c>
      <c r="S402" s="45" t="s">
        <v>1307</v>
      </c>
      <c r="T402" s="45" t="s">
        <v>1324</v>
      </c>
      <c r="U402" s="44">
        <v>16.414999999999999</v>
      </c>
      <c r="V402" s="44">
        <v>53.052999999999997</v>
      </c>
      <c r="W402" s="44">
        <v>9.2680000000000007</v>
      </c>
      <c r="X402" s="44">
        <v>6.5279520000000009</v>
      </c>
      <c r="Y402" s="130" t="s">
        <v>4212</v>
      </c>
      <c r="Z402" s="224" t="s">
        <v>3782</v>
      </c>
    </row>
    <row r="403" spans="2:26" ht="15" customHeight="1" x14ac:dyDescent="0.35">
      <c r="B403" s="181">
        <v>52055</v>
      </c>
      <c r="C403" s="182" t="s">
        <v>522</v>
      </c>
      <c r="D403" s="222">
        <v>14</v>
      </c>
      <c r="E403" s="223" t="s">
        <v>2020</v>
      </c>
      <c r="F403" s="183" t="s">
        <v>2647</v>
      </c>
      <c r="G403" s="125">
        <v>3.7969979700548935</v>
      </c>
      <c r="H403" s="121" t="s">
        <v>1325</v>
      </c>
      <c r="I403" s="122">
        <v>64.221688124043041</v>
      </c>
      <c r="J403" s="106" t="s">
        <v>4656</v>
      </c>
      <c r="K403" s="118">
        <v>809</v>
      </c>
      <c r="L403" s="46">
        <v>2.0111223458038423</v>
      </c>
      <c r="M403" s="41">
        <v>1626.9979777553085</v>
      </c>
      <c r="N403" s="44">
        <v>47.728000000000002</v>
      </c>
      <c r="O403" s="41">
        <v>881</v>
      </c>
      <c r="P403" s="41">
        <v>5</v>
      </c>
      <c r="Q403" s="41">
        <v>32.950000000000003</v>
      </c>
      <c r="R403" s="45" t="s">
        <v>1324</v>
      </c>
      <c r="S403" s="45" t="s">
        <v>1324</v>
      </c>
      <c r="T403" s="45" t="s">
        <v>1307</v>
      </c>
      <c r="U403" s="44">
        <v>101.21600000000001</v>
      </c>
      <c r="V403" s="44">
        <v>213.99699999999999</v>
      </c>
      <c r="W403" s="44">
        <v>76.445447193877527</v>
      </c>
      <c r="X403" s="44">
        <v>20.13312827575</v>
      </c>
      <c r="Y403" s="130" t="s">
        <v>4213</v>
      </c>
      <c r="Z403" s="224"/>
    </row>
    <row r="404" spans="2:26" ht="15" customHeight="1" x14ac:dyDescent="0.35">
      <c r="B404" s="181">
        <v>57020</v>
      </c>
      <c r="C404" s="182" t="s">
        <v>583</v>
      </c>
      <c r="D404" s="222">
        <v>16</v>
      </c>
      <c r="E404" s="223" t="s">
        <v>2651</v>
      </c>
      <c r="F404" s="183" t="s">
        <v>2652</v>
      </c>
      <c r="G404" s="125">
        <v>2.1476805101212117</v>
      </c>
      <c r="H404" s="121" t="s">
        <v>1373</v>
      </c>
      <c r="I404" s="122">
        <v>60.578947368421069</v>
      </c>
      <c r="J404" s="106" t="s">
        <v>4656</v>
      </c>
      <c r="K404" s="118">
        <v>6734</v>
      </c>
      <c r="L404" s="46">
        <v>2.7784045124899275</v>
      </c>
      <c r="M404" s="41">
        <v>18709.775987107172</v>
      </c>
      <c r="N404" s="44">
        <v>97.58</v>
      </c>
      <c r="O404" s="41">
        <v>6187</v>
      </c>
      <c r="P404" s="41">
        <v>19.68</v>
      </c>
      <c r="Q404" s="41">
        <v>50</v>
      </c>
      <c r="R404" s="45" t="s">
        <v>1307</v>
      </c>
      <c r="S404" s="45" t="s">
        <v>1307</v>
      </c>
      <c r="T404" s="45" t="s">
        <v>1307</v>
      </c>
      <c r="U404" s="44">
        <v>1344.614368792242</v>
      </c>
      <c r="V404" s="44">
        <v>1830.925</v>
      </c>
      <c r="W404" s="44">
        <v>382.15462535714278</v>
      </c>
      <c r="X404" s="44">
        <v>177.93830300000002</v>
      </c>
      <c r="Y404" s="130" t="s">
        <v>4214</v>
      </c>
      <c r="Z404" s="224"/>
    </row>
    <row r="405" spans="2:26" ht="15" customHeight="1" x14ac:dyDescent="0.35">
      <c r="B405" s="181">
        <v>29100</v>
      </c>
      <c r="C405" s="182" t="s">
        <v>213</v>
      </c>
      <c r="D405" s="222">
        <v>12</v>
      </c>
      <c r="E405" s="223" t="s">
        <v>2653</v>
      </c>
      <c r="F405" s="183" t="s">
        <v>2654</v>
      </c>
      <c r="G405" s="125">
        <v>4.4848197092986881</v>
      </c>
      <c r="H405" s="121" t="s">
        <v>1336</v>
      </c>
      <c r="I405" s="122">
        <v>71.901960784313729</v>
      </c>
      <c r="J405" s="106" t="s">
        <v>4656</v>
      </c>
      <c r="K405" s="118">
        <v>343</v>
      </c>
      <c r="L405" s="46">
        <v>2.2782485875706215</v>
      </c>
      <c r="M405" s="41">
        <v>781.43926553672316</v>
      </c>
      <c r="N405" s="44">
        <v>8.4559999999999995</v>
      </c>
      <c r="O405" s="41">
        <v>322</v>
      </c>
      <c r="P405" s="41">
        <v>10</v>
      </c>
      <c r="Q405" s="41">
        <v>56.7</v>
      </c>
      <c r="R405" s="45" t="s">
        <v>1307</v>
      </c>
      <c r="S405" s="45" t="s">
        <v>1307</v>
      </c>
      <c r="T405" s="45" t="s">
        <v>1307</v>
      </c>
      <c r="U405" s="44">
        <v>35.326999999999998</v>
      </c>
      <c r="V405" s="44">
        <v>94.616</v>
      </c>
      <c r="W405" s="44">
        <v>45.508224484536086</v>
      </c>
      <c r="X405" s="44">
        <v>10.147169214000002</v>
      </c>
      <c r="Y405" s="130" t="s">
        <v>4215</v>
      </c>
      <c r="Z405" s="224"/>
    </row>
    <row r="406" spans="2:26" ht="15" customHeight="1" x14ac:dyDescent="0.35">
      <c r="B406" s="181">
        <v>26055</v>
      </c>
      <c r="C406" s="182" t="s">
        <v>175</v>
      </c>
      <c r="D406" s="222">
        <v>12</v>
      </c>
      <c r="E406" s="223" t="s">
        <v>2657</v>
      </c>
      <c r="F406" s="183" t="s">
        <v>2658</v>
      </c>
      <c r="G406" s="125">
        <v>3.2506267662838382</v>
      </c>
      <c r="H406" s="121" t="s">
        <v>1325</v>
      </c>
      <c r="I406" s="122">
        <v>53.17647058823529</v>
      </c>
      <c r="J406" s="106" t="s">
        <v>4656</v>
      </c>
      <c r="K406" s="118">
        <v>632</v>
      </c>
      <c r="L406" s="46">
        <v>2.6544276457883371</v>
      </c>
      <c r="M406" s="41">
        <v>1677.598272138229</v>
      </c>
      <c r="N406" s="44">
        <v>12.805</v>
      </c>
      <c r="O406" s="41">
        <v>627</v>
      </c>
      <c r="P406" s="41">
        <v>7.5</v>
      </c>
      <c r="Q406" s="41">
        <v>42.05</v>
      </c>
      <c r="R406" s="45" t="s">
        <v>1324</v>
      </c>
      <c r="S406" s="45" t="s">
        <v>1324</v>
      </c>
      <c r="T406" s="45" t="s">
        <v>1307</v>
      </c>
      <c r="U406" s="44">
        <v>85.286109999999994</v>
      </c>
      <c r="V406" s="44">
        <v>138.29900000000001</v>
      </c>
      <c r="W406" s="44">
        <v>42.39038015306123</v>
      </c>
      <c r="X406" s="44">
        <v>13.040678983125</v>
      </c>
      <c r="Y406" s="130" t="s">
        <v>4216</v>
      </c>
      <c r="Z406" s="224"/>
    </row>
    <row r="407" spans="2:26" ht="15" customHeight="1" x14ac:dyDescent="0.35">
      <c r="B407" s="181">
        <v>54115</v>
      </c>
      <c r="C407" s="182" t="s">
        <v>556</v>
      </c>
      <c r="D407" s="222">
        <v>16</v>
      </c>
      <c r="E407" s="223" t="s">
        <v>2573</v>
      </c>
      <c r="F407" s="183" t="s">
        <v>2574</v>
      </c>
      <c r="G407" s="125">
        <v>3.2769174609720264</v>
      </c>
      <c r="H407" s="121" t="s">
        <v>1336</v>
      </c>
      <c r="I407" s="122">
        <v>70.245098039215677</v>
      </c>
      <c r="J407" s="106" t="s">
        <v>4656</v>
      </c>
      <c r="K407" s="118">
        <v>264</v>
      </c>
      <c r="L407" s="46">
        <v>2.37</v>
      </c>
      <c r="M407" s="41">
        <v>625.68000000000006</v>
      </c>
      <c r="N407" s="44">
        <v>36.22</v>
      </c>
      <c r="O407" s="41">
        <v>288</v>
      </c>
      <c r="P407" s="41">
        <v>20</v>
      </c>
      <c r="Q407" s="41">
        <v>49</v>
      </c>
      <c r="R407" s="45" t="s">
        <v>1307</v>
      </c>
      <c r="S407" s="45" t="s">
        <v>1307</v>
      </c>
      <c r="T407" s="45" t="s">
        <v>1307</v>
      </c>
      <c r="U407" s="44">
        <v>45.436</v>
      </c>
      <c r="V407" s="44">
        <v>187.39500000000001</v>
      </c>
      <c r="W407" s="44">
        <v>60.152566938775507</v>
      </c>
      <c r="X407" s="44">
        <v>18.3564486</v>
      </c>
      <c r="Y407" s="130"/>
      <c r="Z407" s="224"/>
    </row>
    <row r="408" spans="2:26" ht="15" customHeight="1" x14ac:dyDescent="0.35">
      <c r="B408" s="181">
        <v>93030</v>
      </c>
      <c r="C408" s="182" t="s">
        <v>962</v>
      </c>
      <c r="D408" s="222">
        <v>2</v>
      </c>
      <c r="E408" s="223" t="s">
        <v>2663</v>
      </c>
      <c r="F408" s="183" t="s">
        <v>4800</v>
      </c>
      <c r="G408" s="125">
        <v>4.8362503144632907</v>
      </c>
      <c r="H408" s="121" t="s">
        <v>1336</v>
      </c>
      <c r="I408" s="122">
        <v>60</v>
      </c>
      <c r="J408" s="106" t="s">
        <v>4656</v>
      </c>
      <c r="K408" s="118">
        <v>1197</v>
      </c>
      <c r="L408" s="46">
        <v>2.4651553316540724</v>
      </c>
      <c r="M408" s="41">
        <v>2950.7909319899245</v>
      </c>
      <c r="N408" s="44">
        <v>50.267000000000003</v>
      </c>
      <c r="O408" s="41">
        <v>1127</v>
      </c>
      <c r="P408" s="41">
        <v>9.5</v>
      </c>
      <c r="Q408" s="41">
        <v>42</v>
      </c>
      <c r="R408" s="45" t="s">
        <v>1307</v>
      </c>
      <c r="S408" s="45" t="s">
        <v>1307</v>
      </c>
      <c r="T408" s="45" t="s">
        <v>1307</v>
      </c>
      <c r="U408" s="44">
        <v>255.286</v>
      </c>
      <c r="V408" s="44">
        <v>530.29999999999995</v>
      </c>
      <c r="W408" s="44">
        <v>153.77085229381439</v>
      </c>
      <c r="X408" s="44">
        <v>31.795470104999996</v>
      </c>
      <c r="Y408" s="130" t="s">
        <v>4217</v>
      </c>
      <c r="Z408" s="224" t="s">
        <v>3762</v>
      </c>
    </row>
    <row r="409" spans="2:26" ht="15" customHeight="1" x14ac:dyDescent="0.35">
      <c r="B409" s="181">
        <v>93030</v>
      </c>
      <c r="C409" s="182" t="s">
        <v>962</v>
      </c>
      <c r="D409" s="222">
        <v>2</v>
      </c>
      <c r="E409" s="223" t="s">
        <v>2664</v>
      </c>
      <c r="F409" s="183" t="s">
        <v>2665</v>
      </c>
      <c r="G409" s="125">
        <v>1.0543495998503596</v>
      </c>
      <c r="H409" s="121" t="s">
        <v>1336</v>
      </c>
      <c r="I409" s="122">
        <v>70</v>
      </c>
      <c r="J409" s="106" t="s">
        <v>4656</v>
      </c>
      <c r="K409" s="118">
        <v>0</v>
      </c>
      <c r="L409" s="46">
        <v>2.4651553316540724</v>
      </c>
      <c r="M409" s="41">
        <v>0</v>
      </c>
      <c r="N409" s="44">
        <v>21.5</v>
      </c>
      <c r="O409" s="41">
        <v>5</v>
      </c>
      <c r="P409" s="41">
        <v>1</v>
      </c>
      <c r="Q409" s="41">
        <v>102</v>
      </c>
      <c r="R409" s="45" t="s">
        <v>1307</v>
      </c>
      <c r="S409" s="45" t="s">
        <v>1307</v>
      </c>
      <c r="T409" s="45" t="s">
        <v>1307</v>
      </c>
      <c r="U409" s="44">
        <v>0</v>
      </c>
      <c r="V409" s="44">
        <v>0</v>
      </c>
      <c r="W409" s="44">
        <v>15.353</v>
      </c>
      <c r="X409" s="44">
        <v>14.56158375</v>
      </c>
      <c r="Y409" s="130" t="s">
        <v>4218</v>
      </c>
      <c r="Z409" s="224"/>
    </row>
    <row r="410" spans="2:26" ht="15" customHeight="1" x14ac:dyDescent="0.35">
      <c r="B410" s="181">
        <v>85045</v>
      </c>
      <c r="C410" s="182" t="s">
        <v>877</v>
      </c>
      <c r="D410" s="222">
        <v>8</v>
      </c>
      <c r="E410" s="223" t="s">
        <v>2669</v>
      </c>
      <c r="F410" s="183" t="s">
        <v>2670</v>
      </c>
      <c r="G410" s="125">
        <v>2.8018136410444399</v>
      </c>
      <c r="H410" s="121" t="s">
        <v>1336</v>
      </c>
      <c r="I410" s="122">
        <v>64.000000000000014</v>
      </c>
      <c r="J410" s="106" t="s">
        <v>4656</v>
      </c>
      <c r="K410" s="118">
        <v>256</v>
      </c>
      <c r="L410" s="46">
        <v>2.27</v>
      </c>
      <c r="M410" s="41">
        <v>581.12</v>
      </c>
      <c r="N410" s="44">
        <v>7.7329999999999997</v>
      </c>
      <c r="O410" s="41">
        <v>239</v>
      </c>
      <c r="P410" s="41">
        <v>8</v>
      </c>
      <c r="Q410" s="41">
        <v>37.200000000000003</v>
      </c>
      <c r="R410" s="45" t="s">
        <v>1307</v>
      </c>
      <c r="S410" s="45" t="s">
        <v>1307</v>
      </c>
      <c r="T410" s="45" t="s">
        <v>1307</v>
      </c>
      <c r="U410" s="44">
        <v>41.838999999999999</v>
      </c>
      <c r="V410" s="44">
        <v>67.147000000000006</v>
      </c>
      <c r="W410" s="44">
        <v>14.387644030612247</v>
      </c>
      <c r="X410" s="44">
        <v>5.1351181320000014</v>
      </c>
      <c r="Y410" s="130" t="s">
        <v>4219</v>
      </c>
      <c r="Z410" s="224"/>
    </row>
    <row r="411" spans="2:26" ht="15" customHeight="1" x14ac:dyDescent="0.35">
      <c r="B411" s="181">
        <v>63055</v>
      </c>
      <c r="C411" s="182" t="s">
        <v>641</v>
      </c>
      <c r="D411" s="222">
        <v>14</v>
      </c>
      <c r="E411" s="223" t="s">
        <v>2020</v>
      </c>
      <c r="F411" s="183" t="s">
        <v>2673</v>
      </c>
      <c r="G411" s="125">
        <v>3.2573460469963322</v>
      </c>
      <c r="H411" s="121" t="s">
        <v>1336</v>
      </c>
      <c r="I411" s="122">
        <v>59.081081081081081</v>
      </c>
      <c r="J411" s="106" t="s">
        <v>4656</v>
      </c>
      <c r="K411" s="118">
        <v>573</v>
      </c>
      <c r="L411" s="46">
        <v>1.9392248062015505</v>
      </c>
      <c r="M411" s="41">
        <v>1111.1758139534884</v>
      </c>
      <c r="N411" s="44">
        <v>10.989000000000001</v>
      </c>
      <c r="O411" s="41">
        <v>469</v>
      </c>
      <c r="P411" s="41">
        <v>10</v>
      </c>
      <c r="Q411" s="41">
        <v>49.206249999999997</v>
      </c>
      <c r="R411" s="45" t="s">
        <v>1307</v>
      </c>
      <c r="S411" s="45" t="s">
        <v>1307</v>
      </c>
      <c r="T411" s="45" t="s">
        <v>1307</v>
      </c>
      <c r="U411" s="44">
        <v>111.00793</v>
      </c>
      <c r="V411" s="44">
        <v>166.08600000000001</v>
      </c>
      <c r="W411" s="44">
        <v>40.381710000000012</v>
      </c>
      <c r="X411" s="44">
        <v>12.397120053375</v>
      </c>
      <c r="Y411" s="130" t="s">
        <v>4220</v>
      </c>
      <c r="Z411" s="224" t="s">
        <v>4221</v>
      </c>
    </row>
    <row r="412" spans="2:26" ht="15" customHeight="1" x14ac:dyDescent="0.35">
      <c r="B412" s="181">
        <v>34078</v>
      </c>
      <c r="C412" s="182" t="s">
        <v>294</v>
      </c>
      <c r="D412" s="222">
        <v>3</v>
      </c>
      <c r="E412" s="223" t="s">
        <v>2676</v>
      </c>
      <c r="F412" s="183" t="s">
        <v>2677</v>
      </c>
      <c r="G412" s="125">
        <v>0.57744518087986951</v>
      </c>
      <c r="H412" s="121" t="s">
        <v>1336</v>
      </c>
      <c r="I412" s="122">
        <v>61.833333333333329</v>
      </c>
      <c r="J412" s="106" t="s">
        <v>4656</v>
      </c>
      <c r="K412" s="118">
        <v>127</v>
      </c>
      <c r="L412" s="46">
        <v>1.8461538461538463</v>
      </c>
      <c r="M412" s="41">
        <v>234.46153846153848</v>
      </c>
      <c r="N412" s="44">
        <v>12.3</v>
      </c>
      <c r="O412" s="41">
        <v>103</v>
      </c>
      <c r="P412" s="41">
        <v>5</v>
      </c>
      <c r="Q412" s="41">
        <v>62.75</v>
      </c>
      <c r="R412" s="45" t="s">
        <v>1307</v>
      </c>
      <c r="S412" s="45" t="s">
        <v>1307</v>
      </c>
      <c r="T412" s="45" t="s">
        <v>1307</v>
      </c>
      <c r="U412" s="44">
        <v>25.263475000000003</v>
      </c>
      <c r="V412" s="44">
        <v>42.155000000000001</v>
      </c>
      <c r="W412" s="44">
        <v>4.1882358999999951</v>
      </c>
      <c r="X412" s="44">
        <v>7.2530450312500001</v>
      </c>
      <c r="Y412" s="130" t="s">
        <v>4222</v>
      </c>
      <c r="Z412" s="224"/>
    </row>
    <row r="413" spans="2:26" ht="15" customHeight="1" x14ac:dyDescent="0.35">
      <c r="B413" s="181">
        <v>34078</v>
      </c>
      <c r="C413" s="182" t="s">
        <v>294</v>
      </c>
      <c r="D413" s="222">
        <v>3</v>
      </c>
      <c r="E413" s="223" t="s">
        <v>2678</v>
      </c>
      <c r="F413" s="183" t="s">
        <v>2679</v>
      </c>
      <c r="G413" s="125">
        <v>0.4557136997539632</v>
      </c>
      <c r="H413" s="121" t="s">
        <v>1336</v>
      </c>
      <c r="I413" s="122">
        <v>66.166666666666671</v>
      </c>
      <c r="J413" s="106" t="s">
        <v>4656</v>
      </c>
      <c r="K413" s="118">
        <v>642</v>
      </c>
      <c r="L413" s="46">
        <v>1.8461538461538463</v>
      </c>
      <c r="M413" s="41">
        <v>1185.2307692307693</v>
      </c>
      <c r="N413" s="44">
        <v>24.067</v>
      </c>
      <c r="O413" s="41">
        <v>602</v>
      </c>
      <c r="P413" s="41">
        <v>2</v>
      </c>
      <c r="Q413" s="41">
        <v>62.75</v>
      </c>
      <c r="R413" s="45" t="s">
        <v>1307</v>
      </c>
      <c r="S413" s="45" t="s">
        <v>1307</v>
      </c>
      <c r="T413" s="45" t="s">
        <v>1307</v>
      </c>
      <c r="U413" s="44">
        <v>157.70409000000001</v>
      </c>
      <c r="V413" s="44">
        <v>197.273</v>
      </c>
      <c r="W413" s="44">
        <v>9.8625061249999764</v>
      </c>
      <c r="X413" s="44">
        <v>21.641890797500004</v>
      </c>
      <c r="Y413" s="130" t="s">
        <v>4223</v>
      </c>
      <c r="Z413" s="224"/>
    </row>
    <row r="414" spans="2:26" ht="15" customHeight="1" x14ac:dyDescent="0.35">
      <c r="B414" s="181">
        <v>50030</v>
      </c>
      <c r="C414" s="182" t="s">
        <v>485</v>
      </c>
      <c r="D414" s="222">
        <v>17</v>
      </c>
      <c r="E414" s="223" t="s">
        <v>2681</v>
      </c>
      <c r="F414" s="183" t="s">
        <v>2682</v>
      </c>
      <c r="G414" s="125">
        <v>1.7475052422599233</v>
      </c>
      <c r="H414" s="121" t="s">
        <v>1336</v>
      </c>
      <c r="I414" s="122">
        <v>61.064112028419039</v>
      </c>
      <c r="J414" s="106" t="s">
        <v>4656</v>
      </c>
      <c r="K414" s="118">
        <v>402</v>
      </c>
      <c r="L414" s="46">
        <v>2.4390243902439024</v>
      </c>
      <c r="M414" s="41">
        <v>980.48780487804879</v>
      </c>
      <c r="N414" s="44">
        <v>10.632</v>
      </c>
      <c r="O414" s="41">
        <v>327</v>
      </c>
      <c r="P414" s="41">
        <v>14.5</v>
      </c>
      <c r="Q414" s="41">
        <v>45.5</v>
      </c>
      <c r="R414" s="45" t="s">
        <v>1307</v>
      </c>
      <c r="S414" s="45" t="s">
        <v>1307</v>
      </c>
      <c r="T414" s="45" t="s">
        <v>1307</v>
      </c>
      <c r="U414" s="44">
        <v>69.697999999999993</v>
      </c>
      <c r="V414" s="44">
        <v>92.702832000000001</v>
      </c>
      <c r="W414" s="44">
        <v>16.586289520000001</v>
      </c>
      <c r="X414" s="44">
        <v>9.491410451250001</v>
      </c>
      <c r="Y414" s="130" t="s">
        <v>4224</v>
      </c>
      <c r="Z414" s="224" t="s">
        <v>4225</v>
      </c>
    </row>
    <row r="415" spans="2:26" ht="15" customHeight="1" x14ac:dyDescent="0.35">
      <c r="B415" s="181">
        <v>55023</v>
      </c>
      <c r="C415" s="182" t="s">
        <v>561</v>
      </c>
      <c r="D415" s="222">
        <v>16</v>
      </c>
      <c r="E415" s="223" t="s">
        <v>2684</v>
      </c>
      <c r="F415" s="183" t="s">
        <v>4792</v>
      </c>
      <c r="G415" s="125">
        <v>2.8294541571811793</v>
      </c>
      <c r="H415" s="121" t="s">
        <v>1336</v>
      </c>
      <c r="I415" s="122">
        <v>71.806574420115751</v>
      </c>
      <c r="J415" s="106" t="s">
        <v>4656</v>
      </c>
      <c r="K415" s="118">
        <v>2536</v>
      </c>
      <c r="L415" s="46">
        <v>2</v>
      </c>
      <c r="M415" s="41">
        <v>5072</v>
      </c>
      <c r="N415" s="44">
        <v>55.9</v>
      </c>
      <c r="O415" s="41">
        <v>1761</v>
      </c>
      <c r="P415" s="41">
        <v>8</v>
      </c>
      <c r="Q415" s="41">
        <v>40</v>
      </c>
      <c r="R415" s="45" t="s">
        <v>1307</v>
      </c>
      <c r="S415" s="45" t="s">
        <v>1307</v>
      </c>
      <c r="T415" s="45" t="s">
        <v>1307</v>
      </c>
      <c r="U415" s="44">
        <v>364.048</v>
      </c>
      <c r="V415" s="44">
        <v>838.22700000000009</v>
      </c>
      <c r="W415" s="44">
        <v>114.31311693877568</v>
      </c>
      <c r="X415" s="44">
        <v>40.401119999999999</v>
      </c>
      <c r="Y415" s="130" t="s">
        <v>4226</v>
      </c>
      <c r="Z415" s="224"/>
    </row>
    <row r="416" spans="2:26" ht="15" customHeight="1" x14ac:dyDescent="0.35">
      <c r="B416" s="181">
        <v>61035</v>
      </c>
      <c r="C416" s="182" t="s">
        <v>615</v>
      </c>
      <c r="D416" s="222">
        <v>14</v>
      </c>
      <c r="E416" s="223" t="s">
        <v>2687</v>
      </c>
      <c r="F416" s="183" t="s">
        <v>2688</v>
      </c>
      <c r="G416" s="125">
        <v>0.63974694269706733</v>
      </c>
      <c r="H416" s="121" t="s">
        <v>1441</v>
      </c>
      <c r="I416" s="122">
        <v>57.90392957119191</v>
      </c>
      <c r="J416" s="106" t="s">
        <v>4656</v>
      </c>
      <c r="K416" s="118">
        <v>7177</v>
      </c>
      <c r="L416" s="46">
        <v>2.0631792493841474</v>
      </c>
      <c r="M416" s="41">
        <v>14807.437472830026</v>
      </c>
      <c r="N416" s="44">
        <v>74.94</v>
      </c>
      <c r="O416" s="41">
        <v>7303</v>
      </c>
      <c r="P416" s="41">
        <v>15</v>
      </c>
      <c r="Q416" s="41">
        <v>40.799999999999997</v>
      </c>
      <c r="R416" s="45" t="s">
        <v>1307</v>
      </c>
      <c r="S416" s="45" t="s">
        <v>1324</v>
      </c>
      <c r="T416" s="45" t="s">
        <v>1324</v>
      </c>
      <c r="U416" s="44">
        <v>922.21346000000005</v>
      </c>
      <c r="V416" s="44">
        <v>1756.883</v>
      </c>
      <c r="W416" s="44">
        <v>94.60369291237123</v>
      </c>
      <c r="X416" s="44">
        <v>147.87674093999996</v>
      </c>
      <c r="Y416" s="130" t="s">
        <v>4227</v>
      </c>
      <c r="Z416" s="224"/>
    </row>
    <row r="417" spans="2:26" ht="15" customHeight="1" x14ac:dyDescent="0.35">
      <c r="B417" s="181">
        <v>19097</v>
      </c>
      <c r="C417" s="182" t="s">
        <v>134</v>
      </c>
      <c r="D417" s="222">
        <v>12</v>
      </c>
      <c r="E417" s="223" t="s">
        <v>2440</v>
      </c>
      <c r="F417" s="183" t="s">
        <v>2690</v>
      </c>
      <c r="G417" s="125">
        <v>5.8677953619510426</v>
      </c>
      <c r="H417" s="121" t="s">
        <v>1325</v>
      </c>
      <c r="I417" s="122">
        <v>67.82352941176471</v>
      </c>
      <c r="J417" s="106" t="s">
        <v>4656</v>
      </c>
      <c r="K417" s="118">
        <v>734</v>
      </c>
      <c r="L417" s="46">
        <v>2.330834114339269</v>
      </c>
      <c r="M417" s="41">
        <v>1710.8322399250235</v>
      </c>
      <c r="N417" s="44">
        <v>16.547000000000001</v>
      </c>
      <c r="O417" s="41">
        <v>656</v>
      </c>
      <c r="P417" s="41">
        <v>5</v>
      </c>
      <c r="Q417" s="41">
        <v>58</v>
      </c>
      <c r="R417" s="45" t="s">
        <v>1324</v>
      </c>
      <c r="S417" s="45" t="s">
        <v>1324</v>
      </c>
      <c r="T417" s="45" t="s">
        <v>1324</v>
      </c>
      <c r="U417" s="44">
        <v>102.867</v>
      </c>
      <c r="V417" s="44">
        <v>237.73099999999999</v>
      </c>
      <c r="W417" s="44">
        <v>112.3762368556701</v>
      </c>
      <c r="X417" s="44">
        <v>19.151355819999999</v>
      </c>
      <c r="Y417" s="130" t="s">
        <v>4228</v>
      </c>
      <c r="Z417" s="224"/>
    </row>
    <row r="418" spans="2:26" ht="15" customHeight="1" x14ac:dyDescent="0.35">
      <c r="B418" s="181">
        <v>94260</v>
      </c>
      <c r="C418" s="182" t="s">
        <v>984</v>
      </c>
      <c r="D418" s="222">
        <v>2</v>
      </c>
      <c r="E418" s="223" t="s">
        <v>2693</v>
      </c>
      <c r="F418" s="183" t="s">
        <v>2694</v>
      </c>
      <c r="G418" s="125">
        <v>1.988838401931335</v>
      </c>
      <c r="H418" s="121" t="s">
        <v>1336</v>
      </c>
      <c r="I418" s="122">
        <v>58.72972972972974</v>
      </c>
      <c r="J418" s="106" t="s">
        <v>4656</v>
      </c>
      <c r="K418" s="118">
        <v>275</v>
      </c>
      <c r="L418" s="46">
        <v>2.177650429799427</v>
      </c>
      <c r="M418" s="41">
        <v>598.85386819484245</v>
      </c>
      <c r="N418" s="44">
        <v>27.963000000000001</v>
      </c>
      <c r="O418" s="41">
        <v>331</v>
      </c>
      <c r="P418" s="41">
        <v>15</v>
      </c>
      <c r="Q418" s="41">
        <v>46</v>
      </c>
      <c r="R418" s="45" t="s">
        <v>1307</v>
      </c>
      <c r="S418" s="45" t="s">
        <v>1307</v>
      </c>
      <c r="T418" s="45" t="s">
        <v>1307</v>
      </c>
      <c r="U418" s="44">
        <v>97.956000000000003</v>
      </c>
      <c r="V418" s="44">
        <v>143.077</v>
      </c>
      <c r="W418" s="44">
        <v>29.794845000000009</v>
      </c>
      <c r="X418" s="44">
        <v>14.981028610000001</v>
      </c>
      <c r="Y418" s="130" t="s">
        <v>4229</v>
      </c>
      <c r="Z418" s="224" t="s">
        <v>4230</v>
      </c>
    </row>
    <row r="419" spans="2:26" ht="15" customHeight="1" x14ac:dyDescent="0.35">
      <c r="B419" s="181">
        <v>57057</v>
      </c>
      <c r="C419" s="182" t="s">
        <v>591</v>
      </c>
      <c r="D419" s="222">
        <v>16</v>
      </c>
      <c r="E419" s="223" t="s">
        <v>2630</v>
      </c>
      <c r="F419" s="183" t="s">
        <v>4791</v>
      </c>
      <c r="G419" s="125">
        <v>1.1000000000000001</v>
      </c>
      <c r="H419" s="121" t="s">
        <v>1336</v>
      </c>
      <c r="I419" s="122">
        <v>66</v>
      </c>
      <c r="J419" s="106" t="s">
        <v>4656</v>
      </c>
      <c r="K419" s="118"/>
      <c r="L419" s="46"/>
      <c r="M419" s="41"/>
      <c r="N419" s="44"/>
      <c r="O419" s="41"/>
      <c r="P419" s="41"/>
      <c r="Q419" s="41"/>
      <c r="R419" s="45"/>
      <c r="S419" s="45"/>
      <c r="T419" s="45"/>
      <c r="U419" s="44"/>
      <c r="V419" s="44"/>
      <c r="W419" s="44" t="s">
        <v>1124</v>
      </c>
      <c r="X419" s="44"/>
      <c r="Y419" s="130" t="s">
        <v>4231</v>
      </c>
      <c r="Z419" s="224"/>
    </row>
    <row r="420" spans="2:26" ht="15" customHeight="1" x14ac:dyDescent="0.35">
      <c r="B420" s="181">
        <v>39060</v>
      </c>
      <c r="C420" s="182" t="s">
        <v>345</v>
      </c>
      <c r="D420" s="222">
        <v>17</v>
      </c>
      <c r="E420" s="223" t="s">
        <v>2697</v>
      </c>
      <c r="F420" s="183" t="s">
        <v>2698</v>
      </c>
      <c r="G420" s="125">
        <v>12.7</v>
      </c>
      <c r="H420" s="121" t="s">
        <v>1373</v>
      </c>
      <c r="I420" s="122">
        <v>63</v>
      </c>
      <c r="J420" s="106" t="s">
        <v>4656</v>
      </c>
      <c r="K420" s="118"/>
      <c r="L420" s="46"/>
      <c r="M420" s="41"/>
      <c r="N420" s="44"/>
      <c r="O420" s="41"/>
      <c r="P420" s="41"/>
      <c r="Q420" s="41"/>
      <c r="R420" s="45"/>
      <c r="S420" s="45"/>
      <c r="T420" s="45"/>
      <c r="U420" s="44"/>
      <c r="V420" s="44"/>
      <c r="W420" s="44" t="s">
        <v>1124</v>
      </c>
      <c r="X420" s="44"/>
      <c r="Y420" s="130" t="s">
        <v>4232</v>
      </c>
      <c r="Z420" s="224"/>
    </row>
    <row r="421" spans="2:26" ht="15" customHeight="1" x14ac:dyDescent="0.35">
      <c r="B421" s="181">
        <v>69017</v>
      </c>
      <c r="C421" s="182" t="s">
        <v>686</v>
      </c>
      <c r="D421" s="222">
        <v>16</v>
      </c>
      <c r="E421" s="223" t="s">
        <v>2700</v>
      </c>
      <c r="F421" s="183" t="s">
        <v>2701</v>
      </c>
      <c r="G421" s="125">
        <v>2.3026465796219817</v>
      </c>
      <c r="H421" s="121" t="s">
        <v>1336</v>
      </c>
      <c r="I421" s="122">
        <v>58.72972972972974</v>
      </c>
      <c r="J421" s="106" t="s">
        <v>4656</v>
      </c>
      <c r="K421" s="118">
        <v>553</v>
      </c>
      <c r="L421" s="46">
        <v>2.395039858281665</v>
      </c>
      <c r="M421" s="41">
        <v>1324.4570416297609</v>
      </c>
      <c r="N421" s="44">
        <v>10.859</v>
      </c>
      <c r="O421" s="41">
        <v>618</v>
      </c>
      <c r="P421" s="41">
        <v>15</v>
      </c>
      <c r="Q421" s="41">
        <v>38</v>
      </c>
      <c r="R421" s="45" t="s">
        <v>1307</v>
      </c>
      <c r="S421" s="45" t="s">
        <v>1307</v>
      </c>
      <c r="T421" s="45" t="s">
        <v>1307</v>
      </c>
      <c r="U421" s="44">
        <v>123.48543689320388</v>
      </c>
      <c r="V421" s="44">
        <v>170.45500000000001</v>
      </c>
      <c r="W421" s="44">
        <v>29.434175000000025</v>
      </c>
      <c r="X421" s="44">
        <v>12.782758440000002</v>
      </c>
      <c r="Y421" s="130" t="s">
        <v>4233</v>
      </c>
      <c r="Z421" s="224"/>
    </row>
    <row r="422" spans="2:26" ht="15" customHeight="1" x14ac:dyDescent="0.35">
      <c r="B422" s="181">
        <v>11005</v>
      </c>
      <c r="C422" s="182" t="s">
        <v>17</v>
      </c>
      <c r="D422" s="222">
        <v>1</v>
      </c>
      <c r="E422" s="223" t="s">
        <v>2703</v>
      </c>
      <c r="F422" s="183" t="s">
        <v>2704</v>
      </c>
      <c r="G422" s="125">
        <v>1.610909328832659</v>
      </c>
      <c r="H422" s="121" t="s">
        <v>1336</v>
      </c>
      <c r="I422" s="122">
        <v>44.729729729729726</v>
      </c>
      <c r="J422" s="106" t="s">
        <v>4656</v>
      </c>
      <c r="K422" s="118">
        <v>100</v>
      </c>
      <c r="L422" s="46">
        <v>1.9914893617021276</v>
      </c>
      <c r="M422" s="41">
        <v>199.14893617021278</v>
      </c>
      <c r="N422" s="44">
        <v>2.3530000000000002</v>
      </c>
      <c r="O422" s="41">
        <v>115</v>
      </c>
      <c r="P422" s="41">
        <v>12</v>
      </c>
      <c r="Q422" s="41">
        <v>35.200000000000003</v>
      </c>
      <c r="R422" s="45" t="s">
        <v>1307</v>
      </c>
      <c r="S422" s="45" t="s">
        <v>1307</v>
      </c>
      <c r="T422" s="45" t="s">
        <v>1307</v>
      </c>
      <c r="U422" s="44">
        <v>17.131304347826088</v>
      </c>
      <c r="V422" s="44">
        <v>23.548999999999999</v>
      </c>
      <c r="W422" s="44">
        <v>3.4947650000000006</v>
      </c>
      <c r="X422" s="44">
        <v>2.1694361920000005</v>
      </c>
      <c r="Y422" s="130" t="s">
        <v>4234</v>
      </c>
      <c r="Z422" s="224" t="s">
        <v>4235</v>
      </c>
    </row>
    <row r="423" spans="2:26" ht="15" customHeight="1" x14ac:dyDescent="0.35">
      <c r="B423" s="181">
        <v>7090</v>
      </c>
      <c r="C423" s="182" t="s">
        <v>1082</v>
      </c>
      <c r="D423" s="222">
        <v>1</v>
      </c>
      <c r="E423" s="223" t="s">
        <v>2706</v>
      </c>
      <c r="F423" s="183" t="s">
        <v>2707</v>
      </c>
      <c r="G423" s="125">
        <v>7.4985776665806743</v>
      </c>
      <c r="H423" s="121" t="s">
        <v>1336</v>
      </c>
      <c r="I423" s="122">
        <v>59.081081081081081</v>
      </c>
      <c r="J423" s="106" t="s">
        <v>4656</v>
      </c>
      <c r="K423" s="118">
        <v>73</v>
      </c>
      <c r="L423" s="46">
        <v>2.3841059602649008</v>
      </c>
      <c r="M423" s="41">
        <v>174.03973509933778</v>
      </c>
      <c r="N423" s="44">
        <v>3.1160000000000001</v>
      </c>
      <c r="O423" s="41">
        <v>80</v>
      </c>
      <c r="P423" s="41">
        <v>10</v>
      </c>
      <c r="Q423" s="41">
        <v>52</v>
      </c>
      <c r="R423" s="45" t="s">
        <v>1307</v>
      </c>
      <c r="S423" s="45" t="s">
        <v>1307</v>
      </c>
      <c r="T423" s="45" t="s">
        <v>1307</v>
      </c>
      <c r="U423" s="44">
        <v>8.8154096385542164</v>
      </c>
      <c r="V423" s="44">
        <v>30.417000000000002</v>
      </c>
      <c r="W423" s="44">
        <v>19.937745</v>
      </c>
      <c r="X423" s="44">
        <v>2.6588702400000002</v>
      </c>
      <c r="Y423" s="130" t="s">
        <v>4236</v>
      </c>
      <c r="Z423" s="224"/>
    </row>
    <row r="424" spans="2:26" ht="15" customHeight="1" x14ac:dyDescent="0.35">
      <c r="B424" s="181">
        <v>62065</v>
      </c>
      <c r="C424" s="182" t="s">
        <v>629</v>
      </c>
      <c r="D424" s="222">
        <v>14</v>
      </c>
      <c r="E424" s="223" t="s">
        <v>2711</v>
      </c>
      <c r="F424" s="183" t="s">
        <v>2712</v>
      </c>
      <c r="G424" s="125">
        <v>3.3227877327436626</v>
      </c>
      <c r="H424" s="121" t="s">
        <v>1336</v>
      </c>
      <c r="I424" s="122">
        <v>58.905405405405418</v>
      </c>
      <c r="J424" s="106" t="s">
        <v>4656</v>
      </c>
      <c r="K424" s="118">
        <v>600</v>
      </c>
      <c r="L424" s="46">
        <v>1.0940128649183571</v>
      </c>
      <c r="M424" s="41">
        <v>656.40771895101432</v>
      </c>
      <c r="N424" s="44">
        <v>25.91</v>
      </c>
      <c r="O424" s="41">
        <v>584</v>
      </c>
      <c r="P424" s="41">
        <v>6.1</v>
      </c>
      <c r="Q424" s="41">
        <v>45.7</v>
      </c>
      <c r="R424" s="45" t="s">
        <v>1307</v>
      </c>
      <c r="S424" s="45" t="s">
        <v>1307</v>
      </c>
      <c r="T424" s="45" t="s">
        <v>1307</v>
      </c>
      <c r="U424" s="44">
        <v>104.79564541213063</v>
      </c>
      <c r="V424" s="44">
        <v>171.56</v>
      </c>
      <c r="W424" s="44">
        <v>56.680600000000013</v>
      </c>
      <c r="X424" s="44">
        <v>17.058146520000005</v>
      </c>
      <c r="Y424" s="130" t="s">
        <v>4237</v>
      </c>
      <c r="Z424" s="224"/>
    </row>
    <row r="425" spans="2:26" ht="15" customHeight="1" x14ac:dyDescent="0.35">
      <c r="B425" s="181">
        <v>29057</v>
      </c>
      <c r="C425" s="182" t="s">
        <v>209</v>
      </c>
      <c r="D425" s="222">
        <v>12</v>
      </c>
      <c r="E425" s="223" t="s">
        <v>2716</v>
      </c>
      <c r="F425" s="183" t="s">
        <v>2717</v>
      </c>
      <c r="G425" s="125">
        <v>4.1075271049442916</v>
      </c>
      <c r="H425" s="121" t="s">
        <v>1336</v>
      </c>
      <c r="I425" s="122">
        <v>63.117647058823536</v>
      </c>
      <c r="J425" s="106" t="s">
        <v>4656</v>
      </c>
      <c r="K425" s="118">
        <v>890</v>
      </c>
      <c r="L425" s="46">
        <v>2.3846715328467152</v>
      </c>
      <c r="M425" s="41">
        <v>2122.3576642335765</v>
      </c>
      <c r="N425" s="44">
        <v>29.15</v>
      </c>
      <c r="O425" s="41">
        <v>940</v>
      </c>
      <c r="P425" s="41">
        <v>3</v>
      </c>
      <c r="Q425" s="41">
        <v>49</v>
      </c>
      <c r="R425" s="45" t="s">
        <v>1307</v>
      </c>
      <c r="S425" s="45" t="s">
        <v>1307</v>
      </c>
      <c r="T425" s="45" t="s">
        <v>1307</v>
      </c>
      <c r="U425" s="44">
        <v>133.22200000000001</v>
      </c>
      <c r="V425" s="44">
        <v>248.595</v>
      </c>
      <c r="W425" s="44">
        <v>98.969518324742268</v>
      </c>
      <c r="X425" s="44">
        <v>24.094671999999996</v>
      </c>
      <c r="Y425" s="130" t="s">
        <v>4238</v>
      </c>
      <c r="Z425" s="224"/>
    </row>
    <row r="426" spans="2:26" ht="15" customHeight="1" x14ac:dyDescent="0.35">
      <c r="B426" s="181">
        <v>12005</v>
      </c>
      <c r="C426" s="182" t="s">
        <v>28</v>
      </c>
      <c r="D426" s="222">
        <v>1</v>
      </c>
      <c r="E426" s="223" t="s">
        <v>2721</v>
      </c>
      <c r="F426" s="183" t="s">
        <v>2722</v>
      </c>
      <c r="G426" s="125">
        <v>1.4153207199837894</v>
      </c>
      <c r="H426" s="121" t="s">
        <v>1336</v>
      </c>
      <c r="I426" s="122">
        <v>59.666666666666664</v>
      </c>
      <c r="J426" s="106" t="s">
        <v>4656</v>
      </c>
      <c r="K426" s="118">
        <v>396</v>
      </c>
      <c r="L426" s="46">
        <v>1.99624765478424</v>
      </c>
      <c r="M426" s="41">
        <v>790.51407129455902</v>
      </c>
      <c r="N426" s="44">
        <v>10.739000000000001</v>
      </c>
      <c r="O426" s="41">
        <v>339</v>
      </c>
      <c r="P426" s="41">
        <v>10</v>
      </c>
      <c r="Q426" s="41">
        <v>24.7</v>
      </c>
      <c r="R426" s="45" t="s">
        <v>1307</v>
      </c>
      <c r="S426" s="45" t="s">
        <v>1307</v>
      </c>
      <c r="T426" s="45" t="s">
        <v>1307</v>
      </c>
      <c r="U426" s="44">
        <v>71.444999999999993</v>
      </c>
      <c r="V426" s="44">
        <v>99.425799999999995</v>
      </c>
      <c r="W426" s="44">
        <v>7.0083588247422597</v>
      </c>
      <c r="X426" s="44">
        <v>4.9517814059999994</v>
      </c>
      <c r="Y426" s="130" t="s">
        <v>4239</v>
      </c>
      <c r="Z426" s="224" t="s">
        <v>4240</v>
      </c>
    </row>
    <row r="427" spans="2:26" ht="15" customHeight="1" x14ac:dyDescent="0.35">
      <c r="B427" s="181">
        <v>68035</v>
      </c>
      <c r="C427" s="182" t="s">
        <v>679</v>
      </c>
      <c r="D427" s="222">
        <v>16</v>
      </c>
      <c r="E427" s="223" t="s">
        <v>2725</v>
      </c>
      <c r="F427" s="183" t="s">
        <v>2726</v>
      </c>
      <c r="G427" s="125">
        <v>0.78363680699901672</v>
      </c>
      <c r="H427" s="121" t="s">
        <v>1325</v>
      </c>
      <c r="I427" s="122">
        <v>58.56996465795325</v>
      </c>
      <c r="J427" s="106" t="s">
        <v>4656</v>
      </c>
      <c r="K427" s="118">
        <v>186</v>
      </c>
      <c r="L427" s="46">
        <v>2.5499999999999998</v>
      </c>
      <c r="M427" s="41">
        <v>474.29999999999995</v>
      </c>
      <c r="N427" s="44">
        <v>4.3760000000000003</v>
      </c>
      <c r="O427" s="41">
        <v>209</v>
      </c>
      <c r="P427" s="41">
        <v>25</v>
      </c>
      <c r="Q427" s="41">
        <v>38.67</v>
      </c>
      <c r="R427" s="45" t="s">
        <v>1324</v>
      </c>
      <c r="S427" s="45" t="s">
        <v>1324</v>
      </c>
      <c r="T427" s="45" t="s">
        <v>1324</v>
      </c>
      <c r="U427" s="44">
        <v>43.419147058823533</v>
      </c>
      <c r="V427" s="44">
        <v>52.574999999999996</v>
      </c>
      <c r="W427" s="44">
        <v>4.1653749999999947</v>
      </c>
      <c r="X427" s="44">
        <v>5.3154407281500005</v>
      </c>
      <c r="Y427" s="130" t="s">
        <v>4241</v>
      </c>
      <c r="Z427" s="224"/>
    </row>
    <row r="428" spans="2:26" ht="15" customHeight="1" x14ac:dyDescent="0.35">
      <c r="B428" s="181">
        <v>68035</v>
      </c>
      <c r="C428" s="182" t="s">
        <v>679</v>
      </c>
      <c r="D428" s="222">
        <v>16</v>
      </c>
      <c r="E428" s="223" t="s">
        <v>2269</v>
      </c>
      <c r="F428" s="183" t="s">
        <v>2270</v>
      </c>
      <c r="G428" s="125">
        <v>4.0999999999999996</v>
      </c>
      <c r="H428" s="121" t="s">
        <v>1336</v>
      </c>
      <c r="I428" s="122">
        <v>49</v>
      </c>
      <c r="J428" s="106" t="s">
        <v>4656</v>
      </c>
      <c r="K428" s="118"/>
      <c r="L428" s="46"/>
      <c r="M428" s="41"/>
      <c r="N428" s="44"/>
      <c r="O428" s="41"/>
      <c r="P428" s="41"/>
      <c r="Q428" s="41"/>
      <c r="R428" s="45"/>
      <c r="S428" s="45"/>
      <c r="T428" s="45"/>
      <c r="U428" s="44"/>
      <c r="V428" s="44"/>
      <c r="W428" s="44" t="s">
        <v>1124</v>
      </c>
      <c r="X428" s="44"/>
      <c r="Y428" s="130" t="s">
        <v>4087</v>
      </c>
      <c r="Z428" s="224"/>
    </row>
    <row r="429" spans="2:26" ht="15" customHeight="1" x14ac:dyDescent="0.35">
      <c r="B429" s="181">
        <v>49070</v>
      </c>
      <c r="C429" s="182" t="s">
        <v>472</v>
      </c>
      <c r="D429" s="222">
        <v>17</v>
      </c>
      <c r="E429" s="223" t="s">
        <v>2729</v>
      </c>
      <c r="F429" s="183" t="s">
        <v>2730</v>
      </c>
      <c r="G429" s="125">
        <v>3.1842963314832731</v>
      </c>
      <c r="H429" s="121" t="s">
        <v>1325</v>
      </c>
      <c r="I429" s="122">
        <v>71.774509803921561</v>
      </c>
      <c r="J429" s="106" t="s">
        <v>4656</v>
      </c>
      <c r="K429" s="118">
        <v>924</v>
      </c>
      <c r="L429" s="46">
        <v>2.57449088960343</v>
      </c>
      <c r="M429" s="41">
        <v>2378.8295819935693</v>
      </c>
      <c r="N429" s="44">
        <v>24.986000000000001</v>
      </c>
      <c r="O429" s="41">
        <v>845</v>
      </c>
      <c r="P429" s="41">
        <v>10</v>
      </c>
      <c r="Q429" s="41">
        <v>36.504999999999995</v>
      </c>
      <c r="R429" s="45" t="s">
        <v>1324</v>
      </c>
      <c r="S429" s="45" t="s">
        <v>1324</v>
      </c>
      <c r="T429" s="45" t="s">
        <v>1324</v>
      </c>
      <c r="U429" s="44">
        <v>127.19200000000001</v>
      </c>
      <c r="V429" s="44">
        <v>204.97300000000001</v>
      </c>
      <c r="W429" s="44">
        <v>56.726952295918352</v>
      </c>
      <c r="X429" s="44">
        <v>17.814595876350001</v>
      </c>
      <c r="Y429" s="130" t="s">
        <v>4242</v>
      </c>
      <c r="Z429" s="224"/>
    </row>
    <row r="430" spans="2:26" ht="15" customHeight="1" x14ac:dyDescent="0.35">
      <c r="B430" s="181">
        <v>7105</v>
      </c>
      <c r="C430" s="182" t="s">
        <v>1085</v>
      </c>
      <c r="D430" s="222">
        <v>1</v>
      </c>
      <c r="E430" s="223" t="s">
        <v>2734</v>
      </c>
      <c r="F430" s="183" t="s">
        <v>2735</v>
      </c>
      <c r="G430" s="125">
        <v>2.0525401249471691</v>
      </c>
      <c r="H430" s="121" t="s">
        <v>1336</v>
      </c>
      <c r="I430" s="122">
        <v>59.081081081081081</v>
      </c>
      <c r="J430" s="106" t="s">
        <v>4656</v>
      </c>
      <c r="K430" s="118">
        <v>90</v>
      </c>
      <c r="L430" s="46">
        <v>2.4</v>
      </c>
      <c r="M430" s="41">
        <v>216</v>
      </c>
      <c r="N430" s="44">
        <v>2.1</v>
      </c>
      <c r="O430" s="41">
        <v>96</v>
      </c>
      <c r="P430" s="41">
        <v>10</v>
      </c>
      <c r="Q430" s="41">
        <v>42</v>
      </c>
      <c r="R430" s="45" t="s">
        <v>1307</v>
      </c>
      <c r="S430" s="45" t="s">
        <v>1307</v>
      </c>
      <c r="T430" s="45" t="s">
        <v>1307</v>
      </c>
      <c r="U430" s="44">
        <v>16.437669902912624</v>
      </c>
      <c r="V430" s="44">
        <v>23.526</v>
      </c>
      <c r="W430" s="44">
        <v>4.3611099999999992</v>
      </c>
      <c r="X430" s="44">
        <v>2.1247380000000007</v>
      </c>
      <c r="Y430" s="130" t="s">
        <v>4243</v>
      </c>
      <c r="Z430" s="224"/>
    </row>
    <row r="431" spans="2:26" ht="15" customHeight="1" x14ac:dyDescent="0.35">
      <c r="B431" s="181">
        <v>54017</v>
      </c>
      <c r="C431" s="182" t="s">
        <v>543</v>
      </c>
      <c r="D431" s="222">
        <v>16</v>
      </c>
      <c r="E431" s="223" t="s">
        <v>2734</v>
      </c>
      <c r="F431" s="183" t="s">
        <v>2574</v>
      </c>
      <c r="G431" s="125">
        <v>0.63838058041631363</v>
      </c>
      <c r="H431" s="121" t="s">
        <v>1336</v>
      </c>
      <c r="I431" s="122">
        <v>69.662771031356755</v>
      </c>
      <c r="J431" s="106" t="s">
        <v>4656</v>
      </c>
      <c r="K431" s="118">
        <v>1083</v>
      </c>
      <c r="L431" s="46">
        <v>1.839779005524862</v>
      </c>
      <c r="M431" s="41">
        <v>1992.4806629834254</v>
      </c>
      <c r="N431" s="44">
        <v>64</v>
      </c>
      <c r="O431" s="41">
        <v>986</v>
      </c>
      <c r="P431" s="41">
        <v>15</v>
      </c>
      <c r="Q431" s="41">
        <v>50</v>
      </c>
      <c r="R431" s="45" t="s">
        <v>1307</v>
      </c>
      <c r="S431" s="45" t="s">
        <v>1307</v>
      </c>
      <c r="T431" s="45" t="s">
        <v>1307</v>
      </c>
      <c r="U431" s="44">
        <v>159.09</v>
      </c>
      <c r="V431" s="44">
        <v>1682.1513694334099</v>
      </c>
      <c r="W431" s="44">
        <v>26.918937063976674</v>
      </c>
      <c r="X431" s="44">
        <v>42.167537500000009</v>
      </c>
      <c r="Y431" s="130" t="s">
        <v>4244</v>
      </c>
      <c r="Z431" s="224"/>
    </row>
    <row r="432" spans="2:26" ht="15" customHeight="1" x14ac:dyDescent="0.35">
      <c r="B432" s="181">
        <v>19030</v>
      </c>
      <c r="C432" s="182" t="s">
        <v>123</v>
      </c>
      <c r="D432" s="222">
        <v>12</v>
      </c>
      <c r="E432" s="223" t="s">
        <v>2738</v>
      </c>
      <c r="F432" s="183" t="s">
        <v>2739</v>
      </c>
      <c r="G432" s="125">
        <v>18.141797899669008</v>
      </c>
      <c r="H432" s="121" t="s">
        <v>1336</v>
      </c>
      <c r="I432" s="122">
        <v>63.490196078431381</v>
      </c>
      <c r="J432" s="106" t="s">
        <v>4656</v>
      </c>
      <c r="K432" s="118">
        <v>559</v>
      </c>
      <c r="L432" s="46">
        <v>2.1981566820276499</v>
      </c>
      <c r="M432" s="41">
        <v>1228.7695852534564</v>
      </c>
      <c r="N432" s="44">
        <v>18.105</v>
      </c>
      <c r="O432" s="41">
        <v>557</v>
      </c>
      <c r="P432" s="41">
        <v>5</v>
      </c>
      <c r="Q432" s="41">
        <v>35</v>
      </c>
      <c r="R432" s="45" t="s">
        <v>1307</v>
      </c>
      <c r="S432" s="45" t="s">
        <v>1307</v>
      </c>
      <c r="T432" s="45" t="s">
        <v>1307</v>
      </c>
      <c r="U432" s="44">
        <v>90.054109999999994</v>
      </c>
      <c r="V432" s="44">
        <v>355.93700000000001</v>
      </c>
      <c r="W432" s="44">
        <v>194.93804729835574</v>
      </c>
      <c r="X432" s="44">
        <v>10.745244124999999</v>
      </c>
      <c r="Y432" s="130" t="s">
        <v>4245</v>
      </c>
      <c r="Z432" s="224" t="s">
        <v>4246</v>
      </c>
    </row>
    <row r="433" spans="2:26" ht="15" customHeight="1" x14ac:dyDescent="0.35">
      <c r="B433" s="181">
        <v>53005</v>
      </c>
      <c r="C433" s="182" t="s">
        <v>530</v>
      </c>
      <c r="D433" s="222">
        <v>16</v>
      </c>
      <c r="E433" s="223" t="s">
        <v>2742</v>
      </c>
      <c r="F433" s="183" t="s">
        <v>2574</v>
      </c>
      <c r="G433" s="125">
        <v>0.57532312107052153</v>
      </c>
      <c r="H433" s="121" t="s">
        <v>1336</v>
      </c>
      <c r="I433" s="122">
        <v>61</v>
      </c>
      <c r="J433" s="106" t="s">
        <v>4656</v>
      </c>
      <c r="K433" s="118">
        <v>399</v>
      </c>
      <c r="L433" s="46">
        <v>2.2375979112271542</v>
      </c>
      <c r="M433" s="41">
        <v>892.8015665796346</v>
      </c>
      <c r="N433" s="44">
        <v>57.371000000000002</v>
      </c>
      <c r="O433" s="41">
        <v>419</v>
      </c>
      <c r="P433" s="41">
        <v>10</v>
      </c>
      <c r="Q433" s="41">
        <v>49.2</v>
      </c>
      <c r="R433" s="45" t="s">
        <v>1307</v>
      </c>
      <c r="S433" s="45" t="s">
        <v>1307</v>
      </c>
      <c r="T433" s="45" t="s">
        <v>1307</v>
      </c>
      <c r="U433" s="44">
        <v>56.947000000000003</v>
      </c>
      <c r="V433" s="44">
        <v>185.67</v>
      </c>
      <c r="W433" s="44">
        <v>15.214680917085415</v>
      </c>
      <c r="X433" s="44">
        <v>26.445453624000002</v>
      </c>
      <c r="Y433" s="130" t="s">
        <v>4247</v>
      </c>
      <c r="Z433" s="224"/>
    </row>
    <row r="434" spans="2:26" ht="15" customHeight="1" x14ac:dyDescent="0.35">
      <c r="B434" s="181">
        <v>94245</v>
      </c>
      <c r="C434" s="182" t="s">
        <v>981</v>
      </c>
      <c r="D434" s="222">
        <v>2</v>
      </c>
      <c r="E434" s="223" t="s">
        <v>2743</v>
      </c>
      <c r="F434" s="183" t="s">
        <v>2744</v>
      </c>
      <c r="G434" s="125">
        <v>5.6020676559750529</v>
      </c>
      <c r="H434" s="121" t="s">
        <v>1336</v>
      </c>
      <c r="I434" s="122">
        <v>58.027027027027032</v>
      </c>
      <c r="J434" s="106" t="s">
        <v>4656</v>
      </c>
      <c r="K434" s="118">
        <v>847</v>
      </c>
      <c r="L434" s="46">
        <v>2.1150705270972532</v>
      </c>
      <c r="M434" s="41">
        <v>1791.4647364513735</v>
      </c>
      <c r="N434" s="44">
        <v>36.905000000000001</v>
      </c>
      <c r="O434" s="41">
        <v>847</v>
      </c>
      <c r="P434" s="41">
        <v>16</v>
      </c>
      <c r="Q434" s="41">
        <v>63.28</v>
      </c>
      <c r="R434" s="45" t="s">
        <v>1307</v>
      </c>
      <c r="S434" s="45" t="s">
        <v>1307</v>
      </c>
      <c r="T434" s="45" t="s">
        <v>1307</v>
      </c>
      <c r="U434" s="44">
        <v>205.25407208237988</v>
      </c>
      <c r="V434" s="44">
        <v>435.80200000000002</v>
      </c>
      <c r="W434" s="44">
        <v>217.46797000000001</v>
      </c>
      <c r="X434" s="44">
        <v>38.819233067999996</v>
      </c>
      <c r="Y434" s="130" t="s">
        <v>4248</v>
      </c>
      <c r="Z434" s="224"/>
    </row>
    <row r="435" spans="2:26" ht="15" customHeight="1" x14ac:dyDescent="0.35">
      <c r="B435" s="181">
        <v>94245</v>
      </c>
      <c r="C435" s="182" t="s">
        <v>981</v>
      </c>
      <c r="D435" s="222">
        <v>2</v>
      </c>
      <c r="E435" s="223" t="s">
        <v>2745</v>
      </c>
      <c r="F435" s="183" t="s">
        <v>2746</v>
      </c>
      <c r="G435" s="125">
        <v>2.901076009363023</v>
      </c>
      <c r="H435" s="121" t="s">
        <v>1336</v>
      </c>
      <c r="I435" s="122">
        <v>58.027027027027032</v>
      </c>
      <c r="J435" s="106" t="s">
        <v>4656</v>
      </c>
      <c r="K435" s="118">
        <v>45</v>
      </c>
      <c r="L435" s="46">
        <v>2.1150705270972532</v>
      </c>
      <c r="M435" s="41">
        <v>95.178173719376389</v>
      </c>
      <c r="N435" s="44">
        <v>9.3049999999999997</v>
      </c>
      <c r="O435" s="41">
        <v>561</v>
      </c>
      <c r="P435" s="41">
        <v>16</v>
      </c>
      <c r="Q435" s="41">
        <v>70.31</v>
      </c>
      <c r="R435" s="45" t="s">
        <v>1307</v>
      </c>
      <c r="S435" s="45" t="s">
        <v>1307</v>
      </c>
      <c r="T435" s="45" t="s">
        <v>1307</v>
      </c>
      <c r="U435" s="44">
        <v>3.7749999999999999</v>
      </c>
      <c r="V435" s="44">
        <v>83.465000000000003</v>
      </c>
      <c r="W435" s="44">
        <v>62.59</v>
      </c>
      <c r="X435" s="44">
        <v>21.574753573500001</v>
      </c>
      <c r="Y435" s="130" t="s">
        <v>4249</v>
      </c>
      <c r="Z435" s="224"/>
    </row>
    <row r="436" spans="2:26" ht="15" customHeight="1" x14ac:dyDescent="0.35">
      <c r="B436" s="181">
        <v>42025</v>
      </c>
      <c r="C436" s="182" t="s">
        <v>381</v>
      </c>
      <c r="D436" s="222">
        <v>5</v>
      </c>
      <c r="E436" s="223" t="s">
        <v>2749</v>
      </c>
      <c r="F436" s="183" t="s">
        <v>2750</v>
      </c>
      <c r="G436" s="125">
        <v>0.93323393828003065</v>
      </c>
      <c r="H436" s="121" t="s">
        <v>1336</v>
      </c>
      <c r="I436" s="122">
        <v>59.081081081081095</v>
      </c>
      <c r="J436" s="106" t="s">
        <v>4656</v>
      </c>
      <c r="K436" s="118">
        <v>97</v>
      </c>
      <c r="L436" s="46">
        <v>2.5488454706927177</v>
      </c>
      <c r="M436" s="41">
        <v>247.23801065719363</v>
      </c>
      <c r="N436" s="44">
        <v>2.5990000000000002</v>
      </c>
      <c r="O436" s="41">
        <v>98</v>
      </c>
      <c r="P436" s="41">
        <v>100</v>
      </c>
      <c r="Q436" s="41">
        <v>42</v>
      </c>
      <c r="R436" s="45" t="s">
        <v>1307</v>
      </c>
      <c r="S436" s="45" t="s">
        <v>1307</v>
      </c>
      <c r="T436" s="45" t="s">
        <v>1307</v>
      </c>
      <c r="U436" s="44">
        <v>26.771082211734697</v>
      </c>
      <c r="V436" s="44">
        <v>35.652500000000003</v>
      </c>
      <c r="W436" s="44">
        <v>5.2960000000000003</v>
      </c>
      <c r="X436" s="44">
        <v>5.674890060000001</v>
      </c>
      <c r="Y436" s="130" t="s">
        <v>4250</v>
      </c>
      <c r="Z436" s="224"/>
    </row>
    <row r="437" spans="2:26" ht="15" customHeight="1" x14ac:dyDescent="0.35">
      <c r="B437" s="181">
        <v>57068</v>
      </c>
      <c r="C437" s="182" t="s">
        <v>592</v>
      </c>
      <c r="D437" s="222">
        <v>16</v>
      </c>
      <c r="E437" s="223" t="s">
        <v>2630</v>
      </c>
      <c r="F437" s="183" t="s">
        <v>4791</v>
      </c>
      <c r="G437" s="125">
        <v>1.1105835006862175</v>
      </c>
      <c r="H437" s="121" t="s">
        <v>1325</v>
      </c>
      <c r="I437" s="122">
        <v>65.73333333333332</v>
      </c>
      <c r="J437" s="106" t="s">
        <v>4656</v>
      </c>
      <c r="K437" s="118">
        <v>4617</v>
      </c>
      <c r="L437" s="46">
        <v>2.38</v>
      </c>
      <c r="M437" s="41">
        <v>10988.46</v>
      </c>
      <c r="N437" s="44">
        <v>253</v>
      </c>
      <c r="O437" s="41">
        <v>4617</v>
      </c>
      <c r="P437" s="41">
        <v>20</v>
      </c>
      <c r="Q437" s="41">
        <v>49.2</v>
      </c>
      <c r="R437" s="45" t="s">
        <v>1307</v>
      </c>
      <c r="S437" s="45" t="s">
        <v>1324</v>
      </c>
      <c r="T437" s="45" t="s">
        <v>1307</v>
      </c>
      <c r="U437" s="44">
        <v>896.45100000000002</v>
      </c>
      <c r="V437" s="44">
        <v>2331.0149999999999</v>
      </c>
      <c r="W437" s="44">
        <v>210.52936476804112</v>
      </c>
      <c r="X437" s="44">
        <v>189.5664438</v>
      </c>
      <c r="Y437" s="130" t="s">
        <v>4206</v>
      </c>
      <c r="Z437" s="224"/>
    </row>
    <row r="438" spans="2:26" ht="15" customHeight="1" x14ac:dyDescent="0.35">
      <c r="B438" s="181">
        <v>52090</v>
      </c>
      <c r="C438" s="182" t="s">
        <v>528</v>
      </c>
      <c r="D438" s="222">
        <v>14</v>
      </c>
      <c r="E438" s="223" t="s">
        <v>2754</v>
      </c>
      <c r="F438" s="183" t="s">
        <v>2755</v>
      </c>
      <c r="G438" s="125">
        <v>1.2809067187624108</v>
      </c>
      <c r="H438" s="121" t="s">
        <v>1336</v>
      </c>
      <c r="I438" s="122">
        <v>37.72972972972974</v>
      </c>
      <c r="J438" s="106" t="s">
        <v>4656</v>
      </c>
      <c r="K438" s="118">
        <v>44</v>
      </c>
      <c r="L438" s="46">
        <v>1.596244131455399</v>
      </c>
      <c r="M438" s="41">
        <v>70.234741784037553</v>
      </c>
      <c r="N438" s="44">
        <v>1.845</v>
      </c>
      <c r="O438" s="41">
        <v>55</v>
      </c>
      <c r="P438" s="41">
        <v>5</v>
      </c>
      <c r="Q438" s="41">
        <v>39</v>
      </c>
      <c r="R438" s="45" t="s">
        <v>1307</v>
      </c>
      <c r="S438" s="45" t="s">
        <v>1307</v>
      </c>
      <c r="T438" s="45" t="s">
        <v>1307</v>
      </c>
      <c r="U438" s="44">
        <v>4.2766279999999997</v>
      </c>
      <c r="V438" s="44">
        <v>7.0288979999999999</v>
      </c>
      <c r="W438" s="44">
        <v>1.5331812649999998</v>
      </c>
      <c r="X438" s="44">
        <v>1.1969499750000001</v>
      </c>
      <c r="Y438" s="130" t="s">
        <v>4251</v>
      </c>
      <c r="Z438" s="224"/>
    </row>
    <row r="439" spans="2:26" ht="15" customHeight="1" x14ac:dyDescent="0.35">
      <c r="B439" s="181">
        <v>54060</v>
      </c>
      <c r="C439" s="182" t="s">
        <v>548</v>
      </c>
      <c r="D439" s="222">
        <v>16</v>
      </c>
      <c r="E439" s="223" t="s">
        <v>2757</v>
      </c>
      <c r="F439" s="183" t="s">
        <v>2758</v>
      </c>
      <c r="G439" s="125">
        <v>1.6706723568883082</v>
      </c>
      <c r="H439" s="121" t="s">
        <v>1336</v>
      </c>
      <c r="I439" s="122">
        <v>74.196078431372541</v>
      </c>
      <c r="J439" s="106" t="s">
        <v>4656</v>
      </c>
      <c r="K439" s="118">
        <v>691</v>
      </c>
      <c r="L439" s="46">
        <v>2.526829268292683</v>
      </c>
      <c r="M439" s="41">
        <v>1746.0390243902439</v>
      </c>
      <c r="N439" s="44">
        <v>14.403</v>
      </c>
      <c r="O439" s="41">
        <v>748</v>
      </c>
      <c r="P439" s="41">
        <v>6</v>
      </c>
      <c r="Q439" s="41">
        <v>41.5</v>
      </c>
      <c r="R439" s="45" t="s">
        <v>1307</v>
      </c>
      <c r="S439" s="45" t="s">
        <v>1307</v>
      </c>
      <c r="T439" s="45" t="s">
        <v>1307</v>
      </c>
      <c r="U439" s="44">
        <v>155.36000000000001</v>
      </c>
      <c r="V439" s="44">
        <v>215.81200000000001</v>
      </c>
      <c r="W439" s="44">
        <v>24.543619489795887</v>
      </c>
      <c r="X439" s="44">
        <v>14.690863465</v>
      </c>
      <c r="Y439" s="130" t="s">
        <v>4252</v>
      </c>
      <c r="Z439" s="224"/>
    </row>
    <row r="440" spans="2:26" ht="15" customHeight="1" x14ac:dyDescent="0.35">
      <c r="B440" s="181">
        <v>77022</v>
      </c>
      <c r="C440" s="182" t="s">
        <v>758</v>
      </c>
      <c r="D440" s="222">
        <v>15</v>
      </c>
      <c r="E440" s="223" t="s">
        <v>2760</v>
      </c>
      <c r="F440" s="183" t="s">
        <v>2761</v>
      </c>
      <c r="G440" s="125">
        <v>5.2589300483206758</v>
      </c>
      <c r="H440" s="121" t="s">
        <v>1373</v>
      </c>
      <c r="I440" s="122">
        <v>60.12280701754387</v>
      </c>
      <c r="J440" s="106" t="s">
        <v>4656</v>
      </c>
      <c r="K440" s="118">
        <v>6501</v>
      </c>
      <c r="L440" s="46">
        <v>1.7431311560393987</v>
      </c>
      <c r="M440" s="41">
        <v>11332.095645412131</v>
      </c>
      <c r="N440" s="44">
        <v>163.39999999999998</v>
      </c>
      <c r="O440" s="41">
        <v>7258</v>
      </c>
      <c r="P440" s="41">
        <v>10</v>
      </c>
      <c r="Q440" s="41">
        <v>60</v>
      </c>
      <c r="R440" s="45" t="s">
        <v>1307</v>
      </c>
      <c r="S440" s="45" t="s">
        <v>1307</v>
      </c>
      <c r="T440" s="45" t="s">
        <v>1307</v>
      </c>
      <c r="U440" s="44">
        <v>764.11919909433959</v>
      </c>
      <c r="V440" s="44">
        <v>2278.837</v>
      </c>
      <c r="W440" s="44">
        <v>1216.4430568877551</v>
      </c>
      <c r="X440" s="44">
        <v>231.30999</v>
      </c>
      <c r="Y440" s="130" t="s">
        <v>4253</v>
      </c>
      <c r="Z440" s="224" t="s">
        <v>4254</v>
      </c>
    </row>
    <row r="441" spans="2:26" ht="15" customHeight="1" x14ac:dyDescent="0.35">
      <c r="B441" s="181">
        <v>33017</v>
      </c>
      <c r="C441" s="182" t="s">
        <v>268</v>
      </c>
      <c r="D441" s="222">
        <v>12</v>
      </c>
      <c r="E441" s="223" t="s">
        <v>2762</v>
      </c>
      <c r="F441" s="183" t="s">
        <v>2763</v>
      </c>
      <c r="G441" s="125">
        <v>2.673167030441741</v>
      </c>
      <c r="H441" s="121" t="s">
        <v>1336</v>
      </c>
      <c r="I441" s="122">
        <v>48.843137254901954</v>
      </c>
      <c r="J441" s="106" t="s">
        <v>4656</v>
      </c>
      <c r="K441" s="118">
        <v>372</v>
      </c>
      <c r="L441" s="46">
        <v>2.191011235955056</v>
      </c>
      <c r="M441" s="41">
        <v>815.05617977528084</v>
      </c>
      <c r="N441" s="44">
        <v>7.1349999999999998</v>
      </c>
      <c r="O441" s="41">
        <v>302</v>
      </c>
      <c r="P441" s="41">
        <v>4.5</v>
      </c>
      <c r="Q441" s="41">
        <v>37.1</v>
      </c>
      <c r="R441" s="45" t="s">
        <v>1307</v>
      </c>
      <c r="S441" s="45" t="s">
        <v>1307</v>
      </c>
      <c r="T441" s="45" t="s">
        <v>1307</v>
      </c>
      <c r="U441" s="44">
        <v>33.256</v>
      </c>
      <c r="V441" s="44">
        <v>69.992999999999995</v>
      </c>
      <c r="W441" s="44">
        <v>14.62445229591836</v>
      </c>
      <c r="X441" s="44">
        <v>5.4708337075000015</v>
      </c>
      <c r="Y441" s="130" t="s">
        <v>4255</v>
      </c>
      <c r="Z441" s="224" t="s">
        <v>4256</v>
      </c>
    </row>
    <row r="442" spans="2:26" ht="15" customHeight="1" x14ac:dyDescent="0.35">
      <c r="B442" s="181">
        <v>78032</v>
      </c>
      <c r="C442" s="182" t="s">
        <v>770</v>
      </c>
      <c r="D442" s="222">
        <v>15</v>
      </c>
      <c r="E442" s="223" t="s">
        <v>3691</v>
      </c>
      <c r="F442" s="183" t="s">
        <v>3692</v>
      </c>
      <c r="G442" s="125">
        <v>11.077669290142348</v>
      </c>
      <c r="H442" s="121" t="s">
        <v>1373</v>
      </c>
      <c r="I442" s="122">
        <v>58.72972972972974</v>
      </c>
      <c r="J442" s="106" t="s">
        <v>4656</v>
      </c>
      <c r="K442" s="118">
        <v>3773</v>
      </c>
      <c r="L442" s="46">
        <v>1.8414043583535109</v>
      </c>
      <c r="M442" s="41">
        <v>6947.6186440677966</v>
      </c>
      <c r="N442" s="44">
        <v>112.05800000000001</v>
      </c>
      <c r="O442" s="41">
        <v>5389</v>
      </c>
      <c r="P442" s="41">
        <v>10</v>
      </c>
      <c r="Q442" s="41">
        <v>45</v>
      </c>
      <c r="R442" s="45" t="s">
        <v>1307</v>
      </c>
      <c r="S442" s="45" t="s">
        <v>1307</v>
      </c>
      <c r="T442" s="45" t="s">
        <v>1307</v>
      </c>
      <c r="U442" s="44">
        <v>633.97020127118651</v>
      </c>
      <c r="V442" s="44">
        <v>2338.4180000000001</v>
      </c>
      <c r="W442" s="44">
        <v>1396.561645</v>
      </c>
      <c r="X442" s="44">
        <v>126.06998894999998</v>
      </c>
      <c r="Y442" s="130" t="s">
        <v>4257</v>
      </c>
      <c r="Z442" s="224" t="s">
        <v>4258</v>
      </c>
    </row>
    <row r="443" spans="2:26" ht="15" customHeight="1" x14ac:dyDescent="0.35">
      <c r="B443" s="181">
        <v>9035</v>
      </c>
      <c r="C443" s="182" t="s">
        <v>1103</v>
      </c>
      <c r="D443" s="222">
        <v>1</v>
      </c>
      <c r="E443" s="223" t="s">
        <v>2765</v>
      </c>
      <c r="F443" s="183" t="s">
        <v>2766</v>
      </c>
      <c r="G443" s="125">
        <v>14.865200818595016</v>
      </c>
      <c r="H443" s="121" t="s">
        <v>1325</v>
      </c>
      <c r="I443" s="122">
        <v>59.081081081081081</v>
      </c>
      <c r="J443" s="106" t="s">
        <v>4656</v>
      </c>
      <c r="K443" s="118">
        <v>283</v>
      </c>
      <c r="L443" s="46">
        <v>2.072210065645514</v>
      </c>
      <c r="M443" s="41">
        <v>586.43544857768052</v>
      </c>
      <c r="N443" s="44">
        <v>4.25</v>
      </c>
      <c r="O443" s="41">
        <v>290</v>
      </c>
      <c r="P443" s="41">
        <v>4.9000000000000004</v>
      </c>
      <c r="Q443" s="41">
        <v>38.5</v>
      </c>
      <c r="R443" s="45" t="s">
        <v>1324</v>
      </c>
      <c r="S443" s="45" t="s">
        <v>1307</v>
      </c>
      <c r="T443" s="45" t="s">
        <v>1307</v>
      </c>
      <c r="U443" s="44">
        <v>70.278658620689654</v>
      </c>
      <c r="V443" s="44">
        <v>146.767</v>
      </c>
      <c r="W443" s="44">
        <v>71.864495000000005</v>
      </c>
      <c r="X443" s="44">
        <v>4.8344113125000003</v>
      </c>
      <c r="Y443" s="130" t="s">
        <v>4259</v>
      </c>
      <c r="Z443" s="224" t="s">
        <v>4260</v>
      </c>
    </row>
    <row r="444" spans="2:26" ht="15" customHeight="1" x14ac:dyDescent="0.35">
      <c r="B444" s="181">
        <v>55030</v>
      </c>
      <c r="C444" s="182" t="s">
        <v>562</v>
      </c>
      <c r="D444" s="222">
        <v>16</v>
      </c>
      <c r="E444" s="223" t="s">
        <v>2769</v>
      </c>
      <c r="F444" s="183" t="s">
        <v>2770</v>
      </c>
      <c r="G444" s="125">
        <v>2.7145181611484035</v>
      </c>
      <c r="H444" s="121" t="s">
        <v>1325</v>
      </c>
      <c r="I444" s="122">
        <v>69.098039215686271</v>
      </c>
      <c r="J444" s="106" t="s">
        <v>4656</v>
      </c>
      <c r="K444" s="118">
        <v>449</v>
      </c>
      <c r="L444" s="46">
        <v>2.8296874999999999</v>
      </c>
      <c r="M444" s="41">
        <v>1270.5296874999999</v>
      </c>
      <c r="N444" s="44">
        <v>10.064</v>
      </c>
      <c r="O444" s="41">
        <v>399</v>
      </c>
      <c r="P444" s="41">
        <v>6.5</v>
      </c>
      <c r="Q444" s="41">
        <v>36.4</v>
      </c>
      <c r="R444" s="45" t="s">
        <v>1187</v>
      </c>
      <c r="S444" s="45" t="s">
        <v>1324</v>
      </c>
      <c r="T444" s="45" t="s">
        <v>1324</v>
      </c>
      <c r="U444" s="44">
        <v>76.236999999999995</v>
      </c>
      <c r="V444" s="44">
        <v>113.491</v>
      </c>
      <c r="W444" s="44">
        <v>20.383609217525766</v>
      </c>
      <c r="X444" s="44">
        <v>7.509107697000001</v>
      </c>
      <c r="Y444" s="130" t="s">
        <v>4261</v>
      </c>
      <c r="Z444" s="224" t="s">
        <v>1533</v>
      </c>
    </row>
    <row r="445" spans="2:26" ht="15" customHeight="1" x14ac:dyDescent="0.35">
      <c r="B445" s="181">
        <v>51055</v>
      </c>
      <c r="C445" s="182" t="s">
        <v>507</v>
      </c>
      <c r="D445" s="222">
        <v>4</v>
      </c>
      <c r="E445" s="223" t="s">
        <v>2773</v>
      </c>
      <c r="F445" s="183" t="s">
        <v>2774</v>
      </c>
      <c r="G445" s="125">
        <v>2.832841836428766</v>
      </c>
      <c r="H445" s="121" t="s">
        <v>1325</v>
      </c>
      <c r="I445" s="122">
        <v>62.470588235294123</v>
      </c>
      <c r="J445" s="106" t="s">
        <v>4656</v>
      </c>
      <c r="K445" s="118">
        <v>254</v>
      </c>
      <c r="L445" s="46">
        <v>2.1374570446735395</v>
      </c>
      <c r="M445" s="41">
        <v>542.91408934707897</v>
      </c>
      <c r="N445" s="44">
        <v>11.798999999999999</v>
      </c>
      <c r="O445" s="41">
        <v>255</v>
      </c>
      <c r="P445" s="41">
        <v>7</v>
      </c>
      <c r="Q445" s="41">
        <v>64.682400999999999</v>
      </c>
      <c r="R445" s="45" t="s">
        <v>1307</v>
      </c>
      <c r="S445" s="45" t="s">
        <v>1307</v>
      </c>
      <c r="T445" s="45" t="s">
        <v>1324</v>
      </c>
      <c r="U445" s="44">
        <v>55.666602230483271</v>
      </c>
      <c r="V445" s="44">
        <v>105.401</v>
      </c>
      <c r="W445" s="44">
        <v>30.83250739795918</v>
      </c>
      <c r="X445" s="44">
        <v>10.883949467799555</v>
      </c>
      <c r="Y445" s="130" t="s">
        <v>4262</v>
      </c>
      <c r="Z445" s="224"/>
    </row>
    <row r="446" spans="2:26" ht="15" customHeight="1" x14ac:dyDescent="0.35">
      <c r="B446" s="181">
        <v>21030</v>
      </c>
      <c r="C446" s="182" t="s">
        <v>149</v>
      </c>
      <c r="D446" s="222">
        <v>3</v>
      </c>
      <c r="E446" s="223" t="s">
        <v>4595</v>
      </c>
      <c r="F446" s="183" t="s">
        <v>3787</v>
      </c>
      <c r="G446" s="125">
        <v>3.3300804154707131</v>
      </c>
      <c r="H446" s="121" t="s">
        <v>1325</v>
      </c>
      <c r="I446" s="122">
        <v>44.378378378378386</v>
      </c>
      <c r="J446" s="106" t="s">
        <v>4656</v>
      </c>
      <c r="K446" s="118">
        <v>1546</v>
      </c>
      <c r="L446" s="46">
        <v>2.0160502442428472</v>
      </c>
      <c r="M446" s="41">
        <v>3116.8136775994417</v>
      </c>
      <c r="N446" s="44">
        <v>27.995999999999999</v>
      </c>
      <c r="O446" s="41">
        <v>1465</v>
      </c>
      <c r="P446" s="41">
        <v>5</v>
      </c>
      <c r="Q446" s="41">
        <v>59.8</v>
      </c>
      <c r="R446" s="45" t="s">
        <v>1324</v>
      </c>
      <c r="S446" s="45" t="s">
        <v>1307</v>
      </c>
      <c r="T446" s="45" t="s">
        <v>1324</v>
      </c>
      <c r="U446" s="44">
        <v>235.42179706744872</v>
      </c>
      <c r="V446" s="44">
        <v>400.772334</v>
      </c>
      <c r="W446" s="44">
        <v>135.12650400000001</v>
      </c>
      <c r="X446" s="44">
        <v>40.577549830999992</v>
      </c>
      <c r="Y446" s="130" t="s">
        <v>4596</v>
      </c>
      <c r="Z446" s="224"/>
    </row>
    <row r="447" spans="2:26" ht="15" customHeight="1" x14ac:dyDescent="0.35">
      <c r="B447" s="181">
        <v>66117</v>
      </c>
      <c r="C447" s="182" t="s">
        <v>660</v>
      </c>
      <c r="D447" s="222">
        <v>6</v>
      </c>
      <c r="E447" s="223" t="s">
        <v>2777</v>
      </c>
      <c r="F447" s="183" t="s">
        <v>2778</v>
      </c>
      <c r="G447" s="125">
        <v>7.6931428342574906</v>
      </c>
      <c r="H447" s="121" t="s">
        <v>1325</v>
      </c>
      <c r="I447" s="122">
        <v>65.284313725490193</v>
      </c>
      <c r="J447" s="106" t="s">
        <v>4656</v>
      </c>
      <c r="K447" s="118">
        <v>2153</v>
      </c>
      <c r="L447" s="46">
        <v>2.4068741291221549</v>
      </c>
      <c r="M447" s="41">
        <v>5182</v>
      </c>
      <c r="N447" s="44">
        <v>30.731000000000002</v>
      </c>
      <c r="O447" s="41">
        <v>1587</v>
      </c>
      <c r="P447" s="41">
        <v>6</v>
      </c>
      <c r="Q447" s="41">
        <v>55</v>
      </c>
      <c r="R447" s="45" t="s">
        <v>1307</v>
      </c>
      <c r="S447" s="45" t="s">
        <v>1324</v>
      </c>
      <c r="T447" s="45" t="s">
        <v>1307</v>
      </c>
      <c r="U447" s="44">
        <v>390.93900000000002</v>
      </c>
      <c r="V447" s="44">
        <v>1943.125</v>
      </c>
      <c r="W447" s="44">
        <v>318.2708627319588</v>
      </c>
      <c r="X447" s="44">
        <v>41.370720600000006</v>
      </c>
      <c r="Y447" s="130" t="s">
        <v>4263</v>
      </c>
      <c r="Z447" s="224"/>
    </row>
    <row r="448" spans="2:26" ht="15" customHeight="1" x14ac:dyDescent="0.35">
      <c r="B448" s="181">
        <v>14090</v>
      </c>
      <c r="C448" s="182" t="s">
        <v>76</v>
      </c>
      <c r="D448" s="222">
        <v>1</v>
      </c>
      <c r="E448" s="223" t="s">
        <v>2781</v>
      </c>
      <c r="F448" s="183">
        <v>19038553</v>
      </c>
      <c r="G448" s="125">
        <v>1.398053517321701</v>
      </c>
      <c r="H448" s="121" t="s">
        <v>1336</v>
      </c>
      <c r="I448" s="122">
        <v>68.044444444444423</v>
      </c>
      <c r="J448" s="106" t="s">
        <v>4656</v>
      </c>
      <c r="K448" s="118">
        <v>69</v>
      </c>
      <c r="L448" s="46">
        <v>2.4205882352941175</v>
      </c>
      <c r="M448" s="41">
        <v>167.0205882352941</v>
      </c>
      <c r="N448" s="44">
        <v>4.6559999999999997</v>
      </c>
      <c r="O448" s="41">
        <v>90</v>
      </c>
      <c r="P448" s="41">
        <v>9</v>
      </c>
      <c r="Q448" s="41">
        <v>62.999999999999993</v>
      </c>
      <c r="R448" s="45" t="s">
        <v>1307</v>
      </c>
      <c r="S448" s="45" t="s">
        <v>1307</v>
      </c>
      <c r="T448" s="45" t="s">
        <v>1307</v>
      </c>
      <c r="U448" s="44">
        <v>12.601000000000001</v>
      </c>
      <c r="V448" s="44">
        <v>44.128</v>
      </c>
      <c r="W448" s="44">
        <v>5.6599549489795891</v>
      </c>
      <c r="X448" s="44">
        <v>4.0484537099999995</v>
      </c>
      <c r="Y448" s="130" t="s">
        <v>4264</v>
      </c>
      <c r="Z448" s="224"/>
    </row>
    <row r="449" spans="2:26" ht="15" customHeight="1" x14ac:dyDescent="0.35">
      <c r="B449" s="181">
        <v>14090</v>
      </c>
      <c r="C449" s="182" t="s">
        <v>76</v>
      </c>
      <c r="D449" s="222">
        <v>1</v>
      </c>
      <c r="E449" s="223" t="s">
        <v>2782</v>
      </c>
      <c r="F449" s="183" t="s">
        <v>2783</v>
      </c>
      <c r="G449" s="125">
        <v>0.39961353334361938</v>
      </c>
      <c r="H449" s="121" t="s">
        <v>1336</v>
      </c>
      <c r="I449" s="122">
        <v>68.044444444444423</v>
      </c>
      <c r="J449" s="106" t="s">
        <v>4656</v>
      </c>
      <c r="K449" s="118">
        <v>46</v>
      </c>
      <c r="L449" s="46">
        <v>2.4205882352941175</v>
      </c>
      <c r="M449" s="41">
        <v>111.34705882352941</v>
      </c>
      <c r="N449" s="44">
        <v>1.9</v>
      </c>
      <c r="O449" s="41">
        <v>48</v>
      </c>
      <c r="P449" s="41">
        <v>9</v>
      </c>
      <c r="Q449" s="41">
        <v>49</v>
      </c>
      <c r="R449" s="45" t="s">
        <v>1307</v>
      </c>
      <c r="S449" s="45" t="s">
        <v>1307</v>
      </c>
      <c r="T449" s="45" t="s">
        <v>1307</v>
      </c>
      <c r="U449" s="44">
        <v>6.5170000000000003</v>
      </c>
      <c r="V449" s="44">
        <v>9.1929999999999996</v>
      </c>
      <c r="W449" s="44">
        <v>0.59606714285714268</v>
      </c>
      <c r="X449" s="44">
        <v>1.4916089999999997</v>
      </c>
      <c r="Y449" s="130" t="s">
        <v>4265</v>
      </c>
      <c r="Z449" s="224"/>
    </row>
    <row r="450" spans="2:26" ht="15" customHeight="1" x14ac:dyDescent="0.35">
      <c r="B450" s="181">
        <v>14090</v>
      </c>
      <c r="C450" s="182" t="s">
        <v>76</v>
      </c>
      <c r="D450" s="222">
        <v>1</v>
      </c>
      <c r="E450" s="223" t="s">
        <v>2784</v>
      </c>
      <c r="F450" s="183" t="s">
        <v>2785</v>
      </c>
      <c r="G450" s="125">
        <v>9.537432945699964E-2</v>
      </c>
      <c r="H450" s="121" t="s">
        <v>1336</v>
      </c>
      <c r="I450" s="122">
        <v>68.044444444444423</v>
      </c>
      <c r="J450" s="106" t="s">
        <v>4656</v>
      </c>
      <c r="K450" s="118">
        <v>30</v>
      </c>
      <c r="L450" s="46">
        <v>2.4205882352941175</v>
      </c>
      <c r="M450" s="41">
        <v>72.617647058823522</v>
      </c>
      <c r="N450" s="44">
        <v>1</v>
      </c>
      <c r="O450" s="41">
        <v>39</v>
      </c>
      <c r="P450" s="41">
        <v>9</v>
      </c>
      <c r="Q450" s="41">
        <v>56</v>
      </c>
      <c r="R450" s="45" t="s">
        <v>1307</v>
      </c>
      <c r="S450" s="45" t="s">
        <v>1307</v>
      </c>
      <c r="T450" s="45" t="s">
        <v>1307</v>
      </c>
      <c r="U450" s="44">
        <v>5.2009999999999996</v>
      </c>
      <c r="V450" s="44">
        <v>6.0049999999999999</v>
      </c>
      <c r="W450" s="44">
        <v>0.11301943877550968</v>
      </c>
      <c r="X450" s="44">
        <v>1.185009</v>
      </c>
      <c r="Y450" s="130" t="s">
        <v>4266</v>
      </c>
      <c r="Z450" s="224" t="s">
        <v>4267</v>
      </c>
    </row>
    <row r="451" spans="2:26" ht="15" customHeight="1" x14ac:dyDescent="0.35">
      <c r="B451" s="181">
        <v>4037</v>
      </c>
      <c r="C451" s="182" t="s">
        <v>1042</v>
      </c>
      <c r="D451" s="222">
        <v>11</v>
      </c>
      <c r="E451" s="223" t="s">
        <v>2787</v>
      </c>
      <c r="F451" s="183" t="s">
        <v>2788</v>
      </c>
      <c r="G451" s="125">
        <v>2.4161524786074855</v>
      </c>
      <c r="H451" s="121" t="s">
        <v>1336</v>
      </c>
      <c r="I451" s="122">
        <v>58.378378378378386</v>
      </c>
      <c r="J451" s="106" t="s">
        <v>4656</v>
      </c>
      <c r="K451" s="118">
        <v>2775</v>
      </c>
      <c r="L451" s="46">
        <v>2.0480432707604201</v>
      </c>
      <c r="M451" s="41">
        <v>5683.3200763601662</v>
      </c>
      <c r="N451" s="44">
        <v>69.897999999999996</v>
      </c>
      <c r="O451" s="41">
        <v>2086</v>
      </c>
      <c r="P451" s="41">
        <v>5</v>
      </c>
      <c r="Q451" s="41">
        <v>60</v>
      </c>
      <c r="R451" s="45" t="s">
        <v>1307</v>
      </c>
      <c r="S451" s="45" t="s">
        <v>1307</v>
      </c>
      <c r="T451" s="45" t="s">
        <v>1307</v>
      </c>
      <c r="U451" s="44">
        <v>1995.7855500000001</v>
      </c>
      <c r="V451" s="44">
        <v>2457.2530000000002</v>
      </c>
      <c r="W451" s="44">
        <v>168.6738675</v>
      </c>
      <c r="X451" s="44">
        <v>69.810936599999991</v>
      </c>
      <c r="Y451" s="130" t="s">
        <v>4268</v>
      </c>
      <c r="Z451" s="224" t="s">
        <v>3766</v>
      </c>
    </row>
    <row r="452" spans="2:26" ht="15" customHeight="1" x14ac:dyDescent="0.35">
      <c r="B452" s="181">
        <v>53065</v>
      </c>
      <c r="C452" s="182" t="s">
        <v>539</v>
      </c>
      <c r="D452" s="222">
        <v>16</v>
      </c>
      <c r="E452" s="223" t="s">
        <v>2792</v>
      </c>
      <c r="F452" s="183" t="s">
        <v>2793</v>
      </c>
      <c r="G452" s="125">
        <v>1.7389213433173167</v>
      </c>
      <c r="H452" s="121" t="s">
        <v>1336</v>
      </c>
      <c r="I452" s="122">
        <v>50.892156862745104</v>
      </c>
      <c r="J452" s="106" t="s">
        <v>4656</v>
      </c>
      <c r="K452" s="118">
        <v>1346</v>
      </c>
      <c r="L452" s="46">
        <v>2.0593912397921308</v>
      </c>
      <c r="M452" s="41">
        <v>2771.9406087602079</v>
      </c>
      <c r="N452" s="44">
        <v>24.76</v>
      </c>
      <c r="O452" s="41">
        <v>1346</v>
      </c>
      <c r="P452" s="41">
        <v>15</v>
      </c>
      <c r="Q452" s="41">
        <v>56.3</v>
      </c>
      <c r="R452" s="45" t="s">
        <v>1307</v>
      </c>
      <c r="S452" s="45" t="s">
        <v>1307</v>
      </c>
      <c r="T452" s="45" t="s">
        <v>1307</v>
      </c>
      <c r="U452" s="44">
        <v>239.047</v>
      </c>
      <c r="V452" s="44">
        <v>331.209</v>
      </c>
      <c r="W452" s="44">
        <v>72.440964132653107</v>
      </c>
      <c r="X452" s="44">
        <v>41.658562884999995</v>
      </c>
      <c r="Y452" s="130" t="s">
        <v>4219</v>
      </c>
      <c r="Z452" s="224"/>
    </row>
    <row r="453" spans="2:26" ht="15" customHeight="1" x14ac:dyDescent="0.35">
      <c r="B453" s="181">
        <v>73035</v>
      </c>
      <c r="C453" s="182" t="s">
        <v>740</v>
      </c>
      <c r="D453" s="222">
        <v>15</v>
      </c>
      <c r="E453" s="223" t="s">
        <v>2794</v>
      </c>
      <c r="F453" s="183" t="s">
        <v>2795</v>
      </c>
      <c r="G453" s="125">
        <v>2.3664068986641835</v>
      </c>
      <c r="H453" s="121" t="s">
        <v>1325</v>
      </c>
      <c r="I453" s="122">
        <v>58.298245614035096</v>
      </c>
      <c r="J453" s="106" t="s">
        <v>4656</v>
      </c>
      <c r="K453" s="118">
        <v>5600</v>
      </c>
      <c r="L453" s="46">
        <v>2.4</v>
      </c>
      <c r="M453" s="41">
        <v>13440</v>
      </c>
      <c r="N453" s="44">
        <v>61.8</v>
      </c>
      <c r="O453" s="41">
        <v>3675</v>
      </c>
      <c r="P453" s="41">
        <v>9</v>
      </c>
      <c r="Q453" s="41">
        <v>43</v>
      </c>
      <c r="R453" s="45" t="s">
        <v>1324</v>
      </c>
      <c r="S453" s="45" t="s">
        <v>1324</v>
      </c>
      <c r="T453" s="45" t="s">
        <v>1324</v>
      </c>
      <c r="U453" s="44">
        <v>943.16751197020744</v>
      </c>
      <c r="V453" s="44">
        <v>1306.701</v>
      </c>
      <c r="W453" s="44">
        <v>181.21996357142862</v>
      </c>
      <c r="X453" s="44">
        <v>76.580221124999994</v>
      </c>
      <c r="Y453" s="130" t="s">
        <v>4269</v>
      </c>
      <c r="Z453" s="224" t="s">
        <v>4270</v>
      </c>
    </row>
    <row r="454" spans="2:26" ht="15" customHeight="1" x14ac:dyDescent="0.35">
      <c r="B454" s="181">
        <v>79115</v>
      </c>
      <c r="C454" s="182" t="s">
        <v>802</v>
      </c>
      <c r="D454" s="222">
        <v>15</v>
      </c>
      <c r="E454" s="223" t="s">
        <v>2799</v>
      </c>
      <c r="F454" s="183" t="s">
        <v>2800</v>
      </c>
      <c r="G454" s="125">
        <v>2.3488067826871801</v>
      </c>
      <c r="H454" s="121" t="s">
        <v>1325</v>
      </c>
      <c r="I454" s="122">
        <v>44.729729729729726</v>
      </c>
      <c r="J454" s="106" t="s">
        <v>4656</v>
      </c>
      <c r="K454" s="118">
        <v>174</v>
      </c>
      <c r="L454" s="46">
        <v>1.52</v>
      </c>
      <c r="M454" s="41">
        <v>264.48</v>
      </c>
      <c r="N454" s="44">
        <v>6.23</v>
      </c>
      <c r="O454" s="41">
        <v>216</v>
      </c>
      <c r="P454" s="41">
        <v>1</v>
      </c>
      <c r="Q454" s="41">
        <v>52.74</v>
      </c>
      <c r="R454" s="45" t="s">
        <v>1324</v>
      </c>
      <c r="S454" s="45" t="s">
        <v>1307</v>
      </c>
      <c r="T454" s="45" t="s">
        <v>1307</v>
      </c>
      <c r="U454" s="44">
        <v>32.68568780487805</v>
      </c>
      <c r="V454" s="44">
        <v>52.423000000000002</v>
      </c>
      <c r="W454" s="44">
        <v>13.127655000000003</v>
      </c>
      <c r="X454" s="44">
        <v>5.5890740340000011</v>
      </c>
      <c r="Y454" s="130" t="s">
        <v>4271</v>
      </c>
      <c r="Z454" s="224" t="s">
        <v>1533</v>
      </c>
    </row>
    <row r="455" spans="2:26" ht="15" customHeight="1" x14ac:dyDescent="0.35">
      <c r="B455" s="181">
        <v>28015</v>
      </c>
      <c r="C455" s="182" t="s">
        <v>189</v>
      </c>
      <c r="D455" s="222">
        <v>12</v>
      </c>
      <c r="E455" s="223" t="s">
        <v>2803</v>
      </c>
      <c r="F455" s="183" t="s">
        <v>2804</v>
      </c>
      <c r="G455" s="125">
        <v>2.0598715394969691</v>
      </c>
      <c r="H455" s="121" t="s">
        <v>1336</v>
      </c>
      <c r="I455" s="122">
        <v>57.647058823529413</v>
      </c>
      <c r="J455" s="106" t="s">
        <v>4656</v>
      </c>
      <c r="K455" s="118">
        <v>276</v>
      </c>
      <c r="L455" s="46">
        <v>1.5655430711610487</v>
      </c>
      <c r="M455" s="41">
        <v>432.08988764044943</v>
      </c>
      <c r="N455" s="44">
        <v>10.494999999999999</v>
      </c>
      <c r="O455" s="41">
        <v>371</v>
      </c>
      <c r="P455" s="41">
        <v>10</v>
      </c>
      <c r="Q455" s="41">
        <v>62</v>
      </c>
      <c r="R455" s="45" t="s">
        <v>1307</v>
      </c>
      <c r="S455" s="45" t="s">
        <v>1307</v>
      </c>
      <c r="T455" s="45" t="s">
        <v>1307</v>
      </c>
      <c r="U455" s="44">
        <v>33.646000000000001</v>
      </c>
      <c r="V455" s="44">
        <v>79.853999999999999</v>
      </c>
      <c r="W455" s="44">
        <v>26.964850969387744</v>
      </c>
      <c r="X455" s="44">
        <v>13.090549800000002</v>
      </c>
      <c r="Y455" s="130" t="s">
        <v>4272</v>
      </c>
      <c r="Z455" s="224"/>
    </row>
    <row r="456" spans="2:26" ht="15" customHeight="1" x14ac:dyDescent="0.35">
      <c r="B456" s="181">
        <v>62020</v>
      </c>
      <c r="C456" s="182" t="s">
        <v>621</v>
      </c>
      <c r="D456" s="222">
        <v>14</v>
      </c>
      <c r="E456" s="223" t="s">
        <v>2806</v>
      </c>
      <c r="F456" s="183" t="s">
        <v>2807</v>
      </c>
      <c r="G456" s="125">
        <v>8.7315949221348603</v>
      </c>
      <c r="H456" s="121" t="s">
        <v>1325</v>
      </c>
      <c r="I456" s="122">
        <v>63</v>
      </c>
      <c r="J456" s="106" t="s">
        <v>4656</v>
      </c>
      <c r="K456" s="118">
        <v>147</v>
      </c>
      <c r="L456" s="46">
        <v>1.7658662092624358</v>
      </c>
      <c r="M456" s="41">
        <v>259.58233276157807</v>
      </c>
      <c r="N456" s="44">
        <v>4.6139999999999999</v>
      </c>
      <c r="O456" s="41">
        <v>124</v>
      </c>
      <c r="P456" s="41">
        <v>13.3</v>
      </c>
      <c r="Q456" s="41">
        <v>35.200000000000003</v>
      </c>
      <c r="R456" s="45" t="s">
        <v>1307</v>
      </c>
      <c r="S456" s="45" t="s">
        <v>1324</v>
      </c>
      <c r="T456" s="45" t="s">
        <v>1324</v>
      </c>
      <c r="U456" s="44">
        <v>14.997520958083834</v>
      </c>
      <c r="V456" s="44">
        <v>42.75</v>
      </c>
      <c r="W456" s="44">
        <v>25.070999999999998</v>
      </c>
      <c r="X456" s="44">
        <v>2.8712967360000001</v>
      </c>
      <c r="Y456" s="130" t="s">
        <v>4273</v>
      </c>
      <c r="Z456" s="224"/>
    </row>
    <row r="457" spans="2:26" ht="15" customHeight="1" x14ac:dyDescent="0.35">
      <c r="B457" s="181">
        <v>22045</v>
      </c>
      <c r="C457" s="182" t="s">
        <v>161</v>
      </c>
      <c r="D457" s="222">
        <v>3</v>
      </c>
      <c r="E457" s="223" t="s">
        <v>2810</v>
      </c>
      <c r="F457" s="183" t="s">
        <v>2811</v>
      </c>
      <c r="G457" s="125">
        <v>2.5267268418822986</v>
      </c>
      <c r="H457" s="121" t="s">
        <v>1325</v>
      </c>
      <c r="I457" s="122">
        <v>57.897959183673457</v>
      </c>
      <c r="J457" s="106" t="s">
        <v>4656</v>
      </c>
      <c r="K457" s="118">
        <v>1615</v>
      </c>
      <c r="L457" s="46">
        <v>2.5888707037643206</v>
      </c>
      <c r="M457" s="41">
        <v>4181.0261865793782</v>
      </c>
      <c r="N457" s="44">
        <v>38.241</v>
      </c>
      <c r="O457" s="41">
        <v>1663</v>
      </c>
      <c r="P457" s="41">
        <v>7</v>
      </c>
      <c r="Q457" s="41">
        <v>59</v>
      </c>
      <c r="R457" s="45" t="s">
        <v>1324</v>
      </c>
      <c r="S457" s="45" t="s">
        <v>1324</v>
      </c>
      <c r="T457" s="45" t="s">
        <v>1324</v>
      </c>
      <c r="U457" s="44">
        <v>345.65567087845966</v>
      </c>
      <c r="V457" s="44">
        <v>489.01</v>
      </c>
      <c r="W457" s="44">
        <v>125.68127857142858</v>
      </c>
      <c r="X457" s="44">
        <v>49.740746205000001</v>
      </c>
      <c r="Y457" s="130" t="s">
        <v>4274</v>
      </c>
      <c r="Z457" s="224"/>
    </row>
    <row r="458" spans="2:26" ht="15" customHeight="1" x14ac:dyDescent="0.35">
      <c r="B458" s="181">
        <v>49085</v>
      </c>
      <c r="C458" s="182" t="s">
        <v>475</v>
      </c>
      <c r="D458" s="222">
        <v>17</v>
      </c>
      <c r="E458" s="223" t="s">
        <v>2813</v>
      </c>
      <c r="F458" s="183" t="s">
        <v>2814</v>
      </c>
      <c r="G458" s="125">
        <v>0.42024902565296102</v>
      </c>
      <c r="H458" s="121" t="s">
        <v>1325</v>
      </c>
      <c r="I458" s="122">
        <v>70.117647058823522</v>
      </c>
      <c r="J458" s="106" t="s">
        <v>4656</v>
      </c>
      <c r="K458" s="118">
        <v>83</v>
      </c>
      <c r="L458" s="46">
        <v>2.0243243243243243</v>
      </c>
      <c r="M458" s="41">
        <v>168.01891891891893</v>
      </c>
      <c r="N458" s="44">
        <v>3.653</v>
      </c>
      <c r="O458" s="41">
        <v>97</v>
      </c>
      <c r="P458" s="41">
        <v>10</v>
      </c>
      <c r="Q458" s="41">
        <v>42.19</v>
      </c>
      <c r="R458" s="45" t="s">
        <v>1324</v>
      </c>
      <c r="S458" s="45" t="s">
        <v>1324</v>
      </c>
      <c r="T458" s="45" t="s">
        <v>1307</v>
      </c>
      <c r="U458" s="44">
        <v>10.35478</v>
      </c>
      <c r="V458" s="44">
        <v>17.289000000000001</v>
      </c>
      <c r="W458" s="44">
        <v>1.0846596494897967</v>
      </c>
      <c r="X458" s="44">
        <v>2.5809926573999999</v>
      </c>
      <c r="Y458" s="130" t="s">
        <v>4275</v>
      </c>
      <c r="Z458" s="224"/>
    </row>
    <row r="459" spans="2:26" ht="15" customHeight="1" x14ac:dyDescent="0.35">
      <c r="B459" s="181">
        <v>22005</v>
      </c>
      <c r="C459" s="182" t="s">
        <v>153</v>
      </c>
      <c r="D459" s="222">
        <v>3</v>
      </c>
      <c r="E459" s="223" t="s">
        <v>2815</v>
      </c>
      <c r="F459" s="183" t="s">
        <v>2816</v>
      </c>
      <c r="G459" s="125">
        <v>0.83676025910968233</v>
      </c>
      <c r="H459" s="121" t="s">
        <v>1325</v>
      </c>
      <c r="I459" s="122">
        <v>67.368542674213288</v>
      </c>
      <c r="J459" s="106" t="s">
        <v>4656</v>
      </c>
      <c r="K459" s="118">
        <v>1655</v>
      </c>
      <c r="L459" s="46">
        <v>2.6102027468933944</v>
      </c>
      <c r="M459" s="41">
        <v>4319.8855461085677</v>
      </c>
      <c r="N459" s="44">
        <v>28.573</v>
      </c>
      <c r="O459" s="41">
        <v>1430</v>
      </c>
      <c r="P459" s="41">
        <v>7.5</v>
      </c>
      <c r="Q459" s="41">
        <v>48</v>
      </c>
      <c r="R459" s="45" t="s">
        <v>1307</v>
      </c>
      <c r="S459" s="45" t="s">
        <v>1307</v>
      </c>
      <c r="T459" s="45" t="s">
        <v>1324</v>
      </c>
      <c r="U459" s="44">
        <v>290</v>
      </c>
      <c r="V459" s="44">
        <v>409.81299999999999</v>
      </c>
      <c r="W459" s="44">
        <v>28.241672295918427</v>
      </c>
      <c r="X459" s="44">
        <v>33.751211279999993</v>
      </c>
      <c r="Y459" s="130" t="s">
        <v>4276</v>
      </c>
      <c r="Z459" s="224" t="s">
        <v>3788</v>
      </c>
    </row>
    <row r="460" spans="2:26" ht="15" customHeight="1" x14ac:dyDescent="0.35">
      <c r="B460" s="181">
        <v>22005</v>
      </c>
      <c r="C460" s="182" t="s">
        <v>153</v>
      </c>
      <c r="D460" s="222">
        <v>3</v>
      </c>
      <c r="E460" s="223" t="s">
        <v>2817</v>
      </c>
      <c r="F460" s="183" t="s">
        <v>2818</v>
      </c>
      <c r="G460" s="125">
        <v>1.6171196626860036</v>
      </c>
      <c r="H460" s="121" t="s">
        <v>1336</v>
      </c>
      <c r="I460" s="122">
        <v>61.704505056684845</v>
      </c>
      <c r="J460" s="106" t="s">
        <v>4656</v>
      </c>
      <c r="K460" s="118">
        <v>274</v>
      </c>
      <c r="L460" s="46">
        <v>2.6102027468933944</v>
      </c>
      <c r="M460" s="41">
        <v>715.19555264879011</v>
      </c>
      <c r="N460" s="44">
        <v>6.9740000000000002</v>
      </c>
      <c r="O460" s="41">
        <v>274</v>
      </c>
      <c r="P460" s="41">
        <v>7.5</v>
      </c>
      <c r="Q460" s="41">
        <v>58</v>
      </c>
      <c r="R460" s="45" t="s">
        <v>1307</v>
      </c>
      <c r="S460" s="45" t="s">
        <v>1307</v>
      </c>
      <c r="T460" s="45" t="s">
        <v>1307</v>
      </c>
      <c r="U460" s="44">
        <v>48</v>
      </c>
      <c r="V460" s="44">
        <v>74.302999999999997</v>
      </c>
      <c r="W460" s="44">
        <v>13.560494693877548</v>
      </c>
      <c r="X460" s="44">
        <v>8.3855851900000005</v>
      </c>
      <c r="Y460" s="130" t="s">
        <v>4277</v>
      </c>
      <c r="Z460" s="224" t="s">
        <v>3788</v>
      </c>
    </row>
    <row r="461" spans="2:26" ht="15" customHeight="1" x14ac:dyDescent="0.35">
      <c r="B461" s="181">
        <v>38060</v>
      </c>
      <c r="C461" s="182" t="s">
        <v>334</v>
      </c>
      <c r="D461" s="222">
        <v>17</v>
      </c>
      <c r="E461" s="223" t="s">
        <v>2820</v>
      </c>
      <c r="F461" s="183" t="s">
        <v>2821</v>
      </c>
      <c r="G461" s="125">
        <v>1.3869463779256763</v>
      </c>
      <c r="H461" s="121" t="s">
        <v>1336</v>
      </c>
      <c r="I461" s="122">
        <v>58.72972972972974</v>
      </c>
      <c r="J461" s="106" t="s">
        <v>4656</v>
      </c>
      <c r="K461" s="118">
        <v>176</v>
      </c>
      <c r="L461" s="46">
        <v>2.294478527607362</v>
      </c>
      <c r="M461" s="41">
        <v>403.82822085889575</v>
      </c>
      <c r="N461" s="44">
        <v>18.617000000000001</v>
      </c>
      <c r="O461" s="41">
        <v>197</v>
      </c>
      <c r="P461" s="41">
        <v>10</v>
      </c>
      <c r="Q461" s="41">
        <v>58</v>
      </c>
      <c r="R461" s="45" t="s">
        <v>1307</v>
      </c>
      <c r="S461" s="45" t="s">
        <v>1307</v>
      </c>
      <c r="T461" s="45" t="s">
        <v>1307</v>
      </c>
      <c r="U461" s="44">
        <v>64.286000000000001</v>
      </c>
      <c r="V461" s="44">
        <v>88.981999999999999</v>
      </c>
      <c r="W461" s="44">
        <v>15.912725000000009</v>
      </c>
      <c r="X461" s="44">
        <v>11.47320852</v>
      </c>
      <c r="Y461" s="130" t="s">
        <v>4278</v>
      </c>
      <c r="Z461" s="224" t="s">
        <v>4279</v>
      </c>
    </row>
    <row r="462" spans="2:26" ht="15" customHeight="1" x14ac:dyDescent="0.35">
      <c r="B462" s="181">
        <v>30050</v>
      </c>
      <c r="C462" s="182" t="s">
        <v>226</v>
      </c>
      <c r="D462" s="222">
        <v>5</v>
      </c>
      <c r="E462" s="223" t="s">
        <v>4280</v>
      </c>
      <c r="F462" s="183" t="s">
        <v>4281</v>
      </c>
      <c r="G462" s="125">
        <v>2.9979623778164961</v>
      </c>
      <c r="H462" s="121" t="s">
        <v>1336</v>
      </c>
      <c r="I462" s="122">
        <v>45</v>
      </c>
      <c r="J462" s="106" t="s">
        <v>4656</v>
      </c>
      <c r="K462" s="118">
        <v>85</v>
      </c>
      <c r="L462" s="46">
        <v>2.2970027247956404</v>
      </c>
      <c r="M462" s="41">
        <v>195.24523160762942</v>
      </c>
      <c r="N462" s="44">
        <v>3.7749999999999999</v>
      </c>
      <c r="O462" s="41">
        <v>97</v>
      </c>
      <c r="P462" s="41">
        <v>9.8000000000000007</v>
      </c>
      <c r="Q462" s="41">
        <v>40</v>
      </c>
      <c r="R462" s="45" t="s">
        <v>1307</v>
      </c>
      <c r="S462" s="45" t="s">
        <v>1307</v>
      </c>
      <c r="T462" s="45" t="s">
        <v>1307</v>
      </c>
      <c r="U462" s="44">
        <v>11.13</v>
      </c>
      <c r="V462" s="44">
        <v>34.808999999999997</v>
      </c>
      <c r="W462" s="44">
        <v>7.4109600000000002</v>
      </c>
      <c r="X462" s="44">
        <v>2.4719989999999998</v>
      </c>
      <c r="Y462" s="130" t="s">
        <v>4282</v>
      </c>
      <c r="Z462" s="224"/>
    </row>
    <row r="463" spans="2:26" ht="15" customHeight="1" x14ac:dyDescent="0.35">
      <c r="B463" s="181">
        <v>19055</v>
      </c>
      <c r="C463" s="182" t="s">
        <v>127</v>
      </c>
      <c r="D463" s="222">
        <v>12</v>
      </c>
      <c r="E463" s="223" t="s">
        <v>2822</v>
      </c>
      <c r="F463" s="183" t="s">
        <v>2823</v>
      </c>
      <c r="G463" s="125">
        <v>3.9165212485249712</v>
      </c>
      <c r="H463" s="121" t="s">
        <v>1325</v>
      </c>
      <c r="I463" s="122">
        <v>70</v>
      </c>
      <c r="J463" s="106" t="s">
        <v>4656</v>
      </c>
      <c r="K463" s="118">
        <v>1240</v>
      </c>
      <c r="L463" s="46">
        <v>2.1562889165628891</v>
      </c>
      <c r="M463" s="41">
        <v>2673.7982565379825</v>
      </c>
      <c r="N463" s="44">
        <v>24.843</v>
      </c>
      <c r="O463" s="41">
        <v>1170</v>
      </c>
      <c r="P463" s="41">
        <v>6</v>
      </c>
      <c r="Q463" s="41">
        <v>53.6</v>
      </c>
      <c r="R463" s="45" t="s">
        <v>1324</v>
      </c>
      <c r="S463" s="45" t="s">
        <v>1307</v>
      </c>
      <c r="T463" s="45" t="s">
        <v>1324</v>
      </c>
      <c r="U463" s="44">
        <v>165.39410000000001</v>
      </c>
      <c r="V463" s="44">
        <v>742.14200000000005</v>
      </c>
      <c r="W463" s="44">
        <v>119.43</v>
      </c>
      <c r="X463" s="44">
        <v>30.493898135999999</v>
      </c>
      <c r="Y463" s="130" t="s">
        <v>4285</v>
      </c>
      <c r="Z463" s="224"/>
    </row>
    <row r="464" spans="2:26" ht="15" customHeight="1" x14ac:dyDescent="0.35">
      <c r="B464" s="181">
        <v>39117</v>
      </c>
      <c r="C464" s="182" t="s">
        <v>352</v>
      </c>
      <c r="D464" s="222">
        <v>17</v>
      </c>
      <c r="E464" s="223" t="s">
        <v>2827</v>
      </c>
      <c r="F464" s="183" t="s">
        <v>2828</v>
      </c>
      <c r="G464" s="125">
        <v>1.9818682994577965</v>
      </c>
      <c r="H464" s="121" t="s">
        <v>1336</v>
      </c>
      <c r="I464" s="122">
        <v>58.554054054054063</v>
      </c>
      <c r="J464" s="106" t="s">
        <v>4656</v>
      </c>
      <c r="K464" s="118">
        <v>171</v>
      </c>
      <c r="L464" s="46">
        <v>2.1934604904632153</v>
      </c>
      <c r="M464" s="41">
        <v>375.08174386920984</v>
      </c>
      <c r="N464" s="44">
        <v>4.6319999999999997</v>
      </c>
      <c r="O464" s="41">
        <v>159</v>
      </c>
      <c r="P464" s="41">
        <v>5</v>
      </c>
      <c r="Q464" s="41">
        <v>58.253999999999998</v>
      </c>
      <c r="R464" s="45" t="s">
        <v>1307</v>
      </c>
      <c r="S464" s="45" t="s">
        <v>1307</v>
      </c>
      <c r="T464" s="45" t="s">
        <v>1307</v>
      </c>
      <c r="U464" s="44">
        <v>32.146171122994659</v>
      </c>
      <c r="V464" s="44">
        <v>49.927999999999997</v>
      </c>
      <c r="W464" s="44">
        <v>9.7111799999999988</v>
      </c>
      <c r="X464" s="44">
        <v>4.9000127822100001</v>
      </c>
      <c r="Y464" s="130" t="s">
        <v>4286</v>
      </c>
      <c r="Z464" s="224" t="s">
        <v>4287</v>
      </c>
    </row>
    <row r="465" spans="2:26" ht="15" customHeight="1" x14ac:dyDescent="0.35">
      <c r="B465" s="181">
        <v>33102</v>
      </c>
      <c r="C465" s="182" t="s">
        <v>282</v>
      </c>
      <c r="D465" s="222">
        <v>12</v>
      </c>
      <c r="E465" s="223" t="s">
        <v>2831</v>
      </c>
      <c r="F465" s="183" t="s">
        <v>2832</v>
      </c>
      <c r="G465" s="125">
        <v>2.1877488715617708</v>
      </c>
      <c r="H465" s="121" t="s">
        <v>1336</v>
      </c>
      <c r="I465" s="122">
        <v>59.666666666666664</v>
      </c>
      <c r="J465" s="106" t="s">
        <v>4656</v>
      </c>
      <c r="K465" s="118">
        <v>862</v>
      </c>
      <c r="L465" s="46">
        <v>2.1208791208791209</v>
      </c>
      <c r="M465" s="41">
        <v>1828.1978021978023</v>
      </c>
      <c r="N465" s="44">
        <v>30.163</v>
      </c>
      <c r="O465" s="41">
        <v>794</v>
      </c>
      <c r="P465" s="41">
        <v>7</v>
      </c>
      <c r="Q465" s="41">
        <v>50.4</v>
      </c>
      <c r="R465" s="45" t="s">
        <v>1307</v>
      </c>
      <c r="S465" s="45" t="s">
        <v>1307</v>
      </c>
      <c r="T465" s="45" t="s">
        <v>1307</v>
      </c>
      <c r="U465" s="44">
        <v>99.13</v>
      </c>
      <c r="V465" s="44">
        <v>220.89699999999999</v>
      </c>
      <c r="W465" s="44">
        <v>53.007136443298947</v>
      </c>
      <c r="X465" s="44">
        <v>24.229077263999997</v>
      </c>
      <c r="Y465" s="130" t="s">
        <v>4288</v>
      </c>
      <c r="Z465" s="224"/>
    </row>
    <row r="466" spans="2:26" ht="15" customHeight="1" x14ac:dyDescent="0.35">
      <c r="B466" s="181">
        <v>92050</v>
      </c>
      <c r="C466" s="182" t="s">
        <v>953</v>
      </c>
      <c r="D466" s="222">
        <v>2</v>
      </c>
      <c r="E466" s="223" t="s">
        <v>2835</v>
      </c>
      <c r="F466" s="183" t="s">
        <v>2836</v>
      </c>
      <c r="G466" s="125">
        <v>0.9803348949913917</v>
      </c>
      <c r="H466" s="121" t="s">
        <v>1336</v>
      </c>
      <c r="I466" s="122">
        <v>31</v>
      </c>
      <c r="J466" s="106" t="s">
        <v>4656</v>
      </c>
      <c r="K466" s="118">
        <v>130</v>
      </c>
      <c r="L466" s="46">
        <v>2.1860465116279069</v>
      </c>
      <c r="M466" s="41">
        <v>284.18604651162786</v>
      </c>
      <c r="N466" s="44">
        <v>5.5819999999999999</v>
      </c>
      <c r="O466" s="41">
        <v>145</v>
      </c>
      <c r="P466" s="41">
        <v>5</v>
      </c>
      <c r="Q466" s="41">
        <v>66</v>
      </c>
      <c r="R466" s="45" t="s">
        <v>1307</v>
      </c>
      <c r="S466" s="45" t="s">
        <v>1307</v>
      </c>
      <c r="T466" s="45" t="s">
        <v>1307</v>
      </c>
      <c r="U466" s="44">
        <v>21.465</v>
      </c>
      <c r="V466" s="44">
        <v>31.44</v>
      </c>
      <c r="W466" s="44">
        <v>5.5404</v>
      </c>
      <c r="X466" s="44">
        <v>5.6515380899999998</v>
      </c>
      <c r="Y466" s="130" t="s">
        <v>4289</v>
      </c>
      <c r="Z466" s="224"/>
    </row>
    <row r="467" spans="2:26" ht="15" customHeight="1" x14ac:dyDescent="0.35">
      <c r="B467" s="181">
        <v>85015</v>
      </c>
      <c r="C467" s="182" t="s">
        <v>872</v>
      </c>
      <c r="D467" s="222">
        <v>8</v>
      </c>
      <c r="E467" s="223" t="s">
        <v>2838</v>
      </c>
      <c r="F467" s="183" t="s">
        <v>2839</v>
      </c>
      <c r="G467" s="125">
        <v>1.9552363286687435</v>
      </c>
      <c r="H467" s="121" t="s">
        <v>1336</v>
      </c>
      <c r="I467" s="122">
        <v>55.054101680394105</v>
      </c>
      <c r="J467" s="106" t="s">
        <v>4656</v>
      </c>
      <c r="K467" s="118">
        <v>212</v>
      </c>
      <c r="L467" s="46">
        <v>2.1182432432432434</v>
      </c>
      <c r="M467" s="41">
        <v>449.06756756756761</v>
      </c>
      <c r="N467" s="44">
        <v>8.0235000000000003</v>
      </c>
      <c r="O467" s="41">
        <v>204</v>
      </c>
      <c r="P467" s="41">
        <v>9</v>
      </c>
      <c r="Q467" s="41">
        <v>36.56</v>
      </c>
      <c r="R467" s="45" t="s">
        <v>1307</v>
      </c>
      <c r="S467" s="45" t="s">
        <v>1307</v>
      </c>
      <c r="T467" s="45" t="s">
        <v>1307</v>
      </c>
      <c r="U467" s="44">
        <v>33.207000000000001</v>
      </c>
      <c r="V467" s="44">
        <v>46.560079443892761</v>
      </c>
      <c r="W467" s="44">
        <v>9.2239296808057993</v>
      </c>
      <c r="X467" s="44">
        <v>4.7175523212000012</v>
      </c>
      <c r="Y467" s="130" t="s">
        <v>4290</v>
      </c>
      <c r="Z467" s="224"/>
    </row>
    <row r="468" spans="2:26" ht="15" customHeight="1" x14ac:dyDescent="0.35">
      <c r="B468" s="181">
        <v>33080</v>
      </c>
      <c r="C468" s="182" t="s">
        <v>278</v>
      </c>
      <c r="D468" s="222">
        <v>12</v>
      </c>
      <c r="E468" s="223" t="s">
        <v>2841</v>
      </c>
      <c r="F468" s="183" t="s">
        <v>2842</v>
      </c>
      <c r="G468" s="125">
        <v>2.8387422085330378</v>
      </c>
      <c r="H468" s="121" t="s">
        <v>1336</v>
      </c>
      <c r="I468" s="122">
        <v>59.081081081081081</v>
      </c>
      <c r="J468" s="106" t="s">
        <v>4656</v>
      </c>
      <c r="K468" s="118">
        <v>303</v>
      </c>
      <c r="L468" s="46">
        <v>2.48</v>
      </c>
      <c r="M468" s="41">
        <v>751.43999999999994</v>
      </c>
      <c r="N468" s="44">
        <v>6.15</v>
      </c>
      <c r="O468" s="41">
        <v>273</v>
      </c>
      <c r="P468" s="41">
        <v>6</v>
      </c>
      <c r="Q468" s="41">
        <v>52</v>
      </c>
      <c r="R468" s="45" t="s">
        <v>1307</v>
      </c>
      <c r="S468" s="45" t="s">
        <v>1307</v>
      </c>
      <c r="T468" s="45" t="s">
        <v>1307</v>
      </c>
      <c r="U468" s="44">
        <v>60.014000000000003</v>
      </c>
      <c r="V468" s="44">
        <v>86.197000000000003</v>
      </c>
      <c r="W468" s="44">
        <v>19.938045000000013</v>
      </c>
      <c r="X468" s="44">
        <v>7.0235490000000009</v>
      </c>
      <c r="Y468" s="130" t="s">
        <v>4291</v>
      </c>
      <c r="Z468" s="224" t="s">
        <v>4292</v>
      </c>
    </row>
    <row r="469" spans="2:26" ht="15" customHeight="1" x14ac:dyDescent="0.35">
      <c r="B469" s="181">
        <v>51050</v>
      </c>
      <c r="C469" s="182" t="s">
        <v>506</v>
      </c>
      <c r="D469" s="222">
        <v>4</v>
      </c>
      <c r="E469" s="223" t="s">
        <v>2844</v>
      </c>
      <c r="F469" s="183" t="s">
        <v>2845</v>
      </c>
      <c r="G469" s="125">
        <v>2.5357277261492022</v>
      </c>
      <c r="H469" s="121" t="s">
        <v>1336</v>
      </c>
      <c r="I469" s="122">
        <v>60.176470588235297</v>
      </c>
      <c r="J469" s="106" t="s">
        <v>4656</v>
      </c>
      <c r="K469" s="118">
        <v>163</v>
      </c>
      <c r="L469" s="46">
        <v>1.9650537634408602</v>
      </c>
      <c r="M469" s="41">
        <v>320.30376344086022</v>
      </c>
      <c r="N469" s="44">
        <v>5.0049999999999999</v>
      </c>
      <c r="O469" s="41">
        <v>177</v>
      </c>
      <c r="P469" s="41">
        <v>7.62</v>
      </c>
      <c r="Q469" s="41">
        <v>68.86886096493734</v>
      </c>
      <c r="R469" s="45" t="s">
        <v>1307</v>
      </c>
      <c r="S469" s="45" t="s">
        <v>1307</v>
      </c>
      <c r="T469" s="45" t="s">
        <v>1307</v>
      </c>
      <c r="U469" s="44">
        <v>18.102157303370788</v>
      </c>
      <c r="V469" s="44">
        <v>49.29</v>
      </c>
      <c r="W469" s="44">
        <v>16.91738416320166</v>
      </c>
      <c r="X469" s="44">
        <v>6.6716090961755894</v>
      </c>
      <c r="Y469" s="130" t="s">
        <v>4293</v>
      </c>
      <c r="Z469" s="224"/>
    </row>
    <row r="470" spans="2:26" ht="15" customHeight="1" x14ac:dyDescent="0.35">
      <c r="B470" s="181">
        <v>52030</v>
      </c>
      <c r="C470" s="182" t="s">
        <v>517</v>
      </c>
      <c r="D470" s="222">
        <v>14</v>
      </c>
      <c r="E470" s="223" t="s">
        <v>2847</v>
      </c>
      <c r="F470" s="183" t="s">
        <v>2848</v>
      </c>
      <c r="G470" s="125">
        <v>1.5417299224180752</v>
      </c>
      <c r="H470" s="121" t="s">
        <v>1325</v>
      </c>
      <c r="I470" s="122">
        <v>49.999999999999993</v>
      </c>
      <c r="J470" s="106" t="s">
        <v>4656</v>
      </c>
      <c r="K470" s="118">
        <v>35</v>
      </c>
      <c r="L470" s="46">
        <v>2.3738019169329072</v>
      </c>
      <c r="M470" s="41">
        <v>83.083067092651746</v>
      </c>
      <c r="N470" s="44">
        <v>3.62</v>
      </c>
      <c r="O470" s="41">
        <v>35</v>
      </c>
      <c r="P470" s="41">
        <v>10</v>
      </c>
      <c r="Q470" s="41">
        <v>49</v>
      </c>
      <c r="R470" s="45" t="s">
        <v>1307</v>
      </c>
      <c r="S470" s="45" t="s">
        <v>1324</v>
      </c>
      <c r="T470" s="45" t="s">
        <v>1307</v>
      </c>
      <c r="U470" s="44">
        <v>10.282</v>
      </c>
      <c r="V470" s="44">
        <v>23.73</v>
      </c>
      <c r="W470" s="44">
        <v>2.8100500000000017</v>
      </c>
      <c r="X470" s="44">
        <v>1.82266035</v>
      </c>
      <c r="Y470" s="130" t="s">
        <v>4294</v>
      </c>
      <c r="Z470" s="224" t="s">
        <v>3761</v>
      </c>
    </row>
    <row r="471" spans="2:26" ht="15" customHeight="1" x14ac:dyDescent="0.35">
      <c r="B471" s="181">
        <v>52030</v>
      </c>
      <c r="C471" s="182" t="s">
        <v>517</v>
      </c>
      <c r="D471" s="222">
        <v>14</v>
      </c>
      <c r="E471" s="223" t="s">
        <v>2849</v>
      </c>
      <c r="F471" s="183" t="s">
        <v>2850</v>
      </c>
      <c r="G471" s="125">
        <v>3.9778416439201703</v>
      </c>
      <c r="H471" s="121" t="s">
        <v>1325</v>
      </c>
      <c r="I471" s="122">
        <v>56.098039215686271</v>
      </c>
      <c r="J471" s="106" t="s">
        <v>4656</v>
      </c>
      <c r="K471" s="118">
        <v>610</v>
      </c>
      <c r="L471" s="46">
        <v>2.3738019169329072</v>
      </c>
      <c r="M471" s="41">
        <v>1448.0191693290733</v>
      </c>
      <c r="N471" s="44">
        <v>41.460999999999999</v>
      </c>
      <c r="O471" s="41">
        <v>562</v>
      </c>
      <c r="P471" s="41">
        <v>10</v>
      </c>
      <c r="Q471" s="41">
        <v>30.799999999999997</v>
      </c>
      <c r="R471" s="45" t="s">
        <v>1307</v>
      </c>
      <c r="S471" s="45" t="s">
        <v>1324</v>
      </c>
      <c r="T471" s="45" t="s">
        <v>1307</v>
      </c>
      <c r="U471" s="44">
        <v>255.04312999999999</v>
      </c>
      <c r="V471" s="44">
        <v>388.64699999999999</v>
      </c>
      <c r="W471" s="44">
        <v>59.762242857142802</v>
      </c>
      <c r="X471" s="44">
        <v>15.023786316000001</v>
      </c>
      <c r="Y471" s="130" t="s">
        <v>4295</v>
      </c>
      <c r="Z471" s="224" t="s">
        <v>3761</v>
      </c>
    </row>
    <row r="472" spans="2:26" ht="15" customHeight="1" x14ac:dyDescent="0.35">
      <c r="B472" s="181">
        <v>62070</v>
      </c>
      <c r="C472" s="182" t="s">
        <v>630</v>
      </c>
      <c r="D472" s="222">
        <v>14</v>
      </c>
      <c r="E472" s="223" t="s">
        <v>2854</v>
      </c>
      <c r="F472" s="183" t="s">
        <v>2855</v>
      </c>
      <c r="G472" s="125">
        <v>5.1750276582712056</v>
      </c>
      <c r="H472" s="121" t="s">
        <v>1336</v>
      </c>
      <c r="I472" s="122">
        <v>55.843137254901954</v>
      </c>
      <c r="J472" s="106" t="s">
        <v>4656</v>
      </c>
      <c r="K472" s="118">
        <v>269</v>
      </c>
      <c r="L472" s="46">
        <v>1.4672727272727273</v>
      </c>
      <c r="M472" s="41">
        <v>394.69636363636363</v>
      </c>
      <c r="N472" s="44">
        <v>5.8519999999999994</v>
      </c>
      <c r="O472" s="41">
        <v>217</v>
      </c>
      <c r="P472" s="41">
        <v>8</v>
      </c>
      <c r="Q472" s="41">
        <v>45.5</v>
      </c>
      <c r="R472" s="45" t="s">
        <v>1307</v>
      </c>
      <c r="S472" s="45" t="s">
        <v>1307</v>
      </c>
      <c r="T472" s="45" t="s">
        <v>1307</v>
      </c>
      <c r="U472" s="44">
        <v>54.667915916955025</v>
      </c>
      <c r="V472" s="44">
        <v>88.393000000000001</v>
      </c>
      <c r="W472" s="44">
        <v>27.702932806122448</v>
      </c>
      <c r="X472" s="44">
        <v>5.3531951200000005</v>
      </c>
      <c r="Y472" s="130" t="s">
        <v>4296</v>
      </c>
      <c r="Z472" s="224" t="s">
        <v>3762</v>
      </c>
    </row>
    <row r="473" spans="2:26" ht="15" customHeight="1" x14ac:dyDescent="0.35">
      <c r="B473" s="181">
        <v>50005</v>
      </c>
      <c r="C473" s="182" t="s">
        <v>482</v>
      </c>
      <c r="D473" s="222">
        <v>17</v>
      </c>
      <c r="E473" s="223" t="s">
        <v>2858</v>
      </c>
      <c r="F473" s="183" t="s">
        <v>2859</v>
      </c>
      <c r="G473" s="125">
        <v>2.7413176900288958</v>
      </c>
      <c r="H473" s="121" t="s">
        <v>1336</v>
      </c>
      <c r="I473" s="122">
        <v>64</v>
      </c>
      <c r="J473" s="106" t="s">
        <v>4656</v>
      </c>
      <c r="K473" s="118">
        <v>221</v>
      </c>
      <c r="L473" s="46">
        <v>2.4746192893401013</v>
      </c>
      <c r="M473" s="41">
        <v>546.89086294416245</v>
      </c>
      <c r="N473" s="44">
        <v>7.4829999999999997</v>
      </c>
      <c r="O473" s="41">
        <v>240</v>
      </c>
      <c r="P473" s="41">
        <v>18</v>
      </c>
      <c r="Q473" s="41">
        <v>65</v>
      </c>
      <c r="R473" s="45" t="s">
        <v>1307</v>
      </c>
      <c r="S473" s="45" t="s">
        <v>1307</v>
      </c>
      <c r="T473" s="45" t="s">
        <v>1307</v>
      </c>
      <c r="U473" s="44">
        <v>37.369799999999998</v>
      </c>
      <c r="V473" s="44">
        <v>71.930000000000007</v>
      </c>
      <c r="W473" s="44">
        <v>28.271525000000004</v>
      </c>
      <c r="X473" s="44">
        <v>10.313115149999998</v>
      </c>
      <c r="Y473" s="130" t="s">
        <v>4297</v>
      </c>
      <c r="Z473" s="224"/>
    </row>
    <row r="474" spans="2:26" ht="15" customHeight="1" x14ac:dyDescent="0.35">
      <c r="B474" s="181">
        <v>8023</v>
      </c>
      <c r="C474" s="182" t="s">
        <v>1089</v>
      </c>
      <c r="D474" s="222">
        <v>1</v>
      </c>
      <c r="E474" s="223" t="s">
        <v>2861</v>
      </c>
      <c r="F474" s="183" t="s">
        <v>2862</v>
      </c>
      <c r="G474" s="125">
        <v>23.738161294963291</v>
      </c>
      <c r="H474" s="121" t="s">
        <v>1336</v>
      </c>
      <c r="I474" s="122">
        <v>58.72972972972974</v>
      </c>
      <c r="J474" s="106" t="s">
        <v>4656</v>
      </c>
      <c r="K474" s="118">
        <v>272</v>
      </c>
      <c r="L474" s="46">
        <v>1.967741935483871</v>
      </c>
      <c r="M474" s="41">
        <v>535.22580645161293</v>
      </c>
      <c r="N474" s="44">
        <v>8.1760000000000002</v>
      </c>
      <c r="O474" s="41">
        <v>203</v>
      </c>
      <c r="P474" s="41">
        <v>10</v>
      </c>
      <c r="Q474" s="41">
        <v>31.499999999999996</v>
      </c>
      <c r="R474" s="45" t="s">
        <v>1307</v>
      </c>
      <c r="S474" s="45" t="s">
        <v>1307</v>
      </c>
      <c r="T474" s="45" t="s">
        <v>1307</v>
      </c>
      <c r="U474" s="44">
        <v>34.271000000000001</v>
      </c>
      <c r="V474" s="44">
        <v>136.03899999999999</v>
      </c>
      <c r="W474" s="44">
        <v>98.341414999999998</v>
      </c>
      <c r="X474" s="44">
        <v>4.1427562049999995</v>
      </c>
      <c r="Y474" s="130" t="s">
        <v>4298</v>
      </c>
      <c r="Z474" s="224"/>
    </row>
    <row r="475" spans="2:26" ht="15" customHeight="1" x14ac:dyDescent="0.35">
      <c r="B475" s="181">
        <v>9085</v>
      </c>
      <c r="C475" s="182" t="s">
        <v>1111</v>
      </c>
      <c r="D475" s="222">
        <v>1</v>
      </c>
      <c r="E475" s="223" t="s">
        <v>2866</v>
      </c>
      <c r="F475" s="183" t="s">
        <v>2867</v>
      </c>
      <c r="G475" s="125">
        <v>0.33889439548041628</v>
      </c>
      <c r="H475" s="121" t="s">
        <v>1336</v>
      </c>
      <c r="I475" s="122">
        <v>63.543859649122822</v>
      </c>
      <c r="J475" s="106" t="s">
        <v>4656</v>
      </c>
      <c r="K475" s="118">
        <v>444</v>
      </c>
      <c r="L475" s="46">
        <v>1.9310344827586208</v>
      </c>
      <c r="M475" s="41">
        <v>857.37931034482767</v>
      </c>
      <c r="N475" s="44">
        <v>12.949</v>
      </c>
      <c r="O475" s="41">
        <v>482</v>
      </c>
      <c r="P475" s="41">
        <v>15</v>
      </c>
      <c r="Q475" s="41">
        <v>58.8</v>
      </c>
      <c r="R475" s="45" t="s">
        <v>1307</v>
      </c>
      <c r="S475" s="45" t="s">
        <v>1307</v>
      </c>
      <c r="T475" s="45" t="s">
        <v>1307</v>
      </c>
      <c r="U475" s="44">
        <v>55.167000000000002</v>
      </c>
      <c r="V475" s="44">
        <v>98.951999999999998</v>
      </c>
      <c r="W475" s="44">
        <v>5.8145499489795807</v>
      </c>
      <c r="X475" s="44">
        <v>17.157409584</v>
      </c>
      <c r="Y475" s="130" t="s">
        <v>4299</v>
      </c>
      <c r="Z475" s="224" t="s">
        <v>4300</v>
      </c>
    </row>
    <row r="476" spans="2:26" ht="15" customHeight="1" x14ac:dyDescent="0.35">
      <c r="B476" s="181">
        <v>9085</v>
      </c>
      <c r="C476" s="182" t="s">
        <v>1111</v>
      </c>
      <c r="D476" s="222">
        <v>1</v>
      </c>
      <c r="E476" s="223" t="s">
        <v>2868</v>
      </c>
      <c r="F476" s="183" t="s">
        <v>2869</v>
      </c>
      <c r="G476" s="125">
        <v>7.5725820764388954E-2</v>
      </c>
      <c r="H476" s="121" t="s">
        <v>1336</v>
      </c>
      <c r="I476" s="122">
        <v>53.466666666666654</v>
      </c>
      <c r="J476" s="106" t="s">
        <v>4656</v>
      </c>
      <c r="K476" s="118">
        <v>4</v>
      </c>
      <c r="L476" s="46">
        <v>1.9310344827586208</v>
      </c>
      <c r="M476" s="41">
        <v>7.7241379310344831</v>
      </c>
      <c r="N476" s="44">
        <v>5.65</v>
      </c>
      <c r="O476" s="41">
        <v>9</v>
      </c>
      <c r="P476" s="41">
        <v>120</v>
      </c>
      <c r="Q476" s="41">
        <v>62.999999999999993</v>
      </c>
      <c r="R476" s="45" t="s">
        <v>1307</v>
      </c>
      <c r="S476" s="45" t="s">
        <v>1307</v>
      </c>
      <c r="T476" s="45" t="s">
        <v>1307</v>
      </c>
      <c r="U476" s="44">
        <v>0.39500000000000002</v>
      </c>
      <c r="V476" s="44">
        <v>21.041</v>
      </c>
      <c r="W476" s="44">
        <v>0.23664474226804111</v>
      </c>
      <c r="X476" s="44">
        <v>3.1250204999999993</v>
      </c>
      <c r="Y476" s="130" t="s">
        <v>4301</v>
      </c>
      <c r="Z476" s="224"/>
    </row>
    <row r="477" spans="2:26" ht="15" customHeight="1" x14ac:dyDescent="0.35">
      <c r="B477" s="181">
        <v>11030</v>
      </c>
      <c r="C477" s="182" t="s">
        <v>22</v>
      </c>
      <c r="D477" s="222">
        <v>1</v>
      </c>
      <c r="E477" s="223" t="s">
        <v>2871</v>
      </c>
      <c r="F477" s="183" t="s">
        <v>2872</v>
      </c>
      <c r="G477" s="125">
        <v>1.2372677694991927</v>
      </c>
      <c r="H477" s="121" t="s">
        <v>1325</v>
      </c>
      <c r="I477" s="122">
        <v>37.027027027027032</v>
      </c>
      <c r="J477" s="106" t="s">
        <v>4656</v>
      </c>
      <c r="K477" s="118">
        <v>92</v>
      </c>
      <c r="L477" s="46">
        <v>1.58</v>
      </c>
      <c r="M477" s="41">
        <v>145.36000000000001</v>
      </c>
      <c r="N477" s="44">
        <v>2.661</v>
      </c>
      <c r="O477" s="41">
        <v>93</v>
      </c>
      <c r="P477" s="41">
        <v>10</v>
      </c>
      <c r="Q477" s="41">
        <v>40</v>
      </c>
      <c r="R477" s="45" t="s">
        <v>1324</v>
      </c>
      <c r="S477" s="45" t="s">
        <v>1324</v>
      </c>
      <c r="T477" s="45" t="s">
        <v>1307</v>
      </c>
      <c r="U477" s="44">
        <v>10.638365591397848</v>
      </c>
      <c r="V477" s="44">
        <v>13.587</v>
      </c>
      <c r="W477" s="44">
        <v>2.6291950000000002</v>
      </c>
      <c r="X477" s="44">
        <v>2.1250008</v>
      </c>
      <c r="Y477" s="130" t="s">
        <v>4302</v>
      </c>
      <c r="Z477" s="224" t="s">
        <v>4303</v>
      </c>
    </row>
    <row r="478" spans="2:26" ht="15" customHeight="1" x14ac:dyDescent="0.35">
      <c r="B478" s="181">
        <v>37215</v>
      </c>
      <c r="C478" s="182" t="s">
        <v>317</v>
      </c>
      <c r="D478" s="222">
        <v>4</v>
      </c>
      <c r="E478" s="223" t="s">
        <v>2875</v>
      </c>
      <c r="F478" s="183" t="s">
        <v>2876</v>
      </c>
      <c r="G478" s="125">
        <v>0.97195011193222536</v>
      </c>
      <c r="H478" s="121" t="s">
        <v>1336</v>
      </c>
      <c r="I478" s="122">
        <v>70</v>
      </c>
      <c r="J478" s="106" t="s">
        <v>4656</v>
      </c>
      <c r="K478" s="118">
        <v>434</v>
      </c>
      <c r="L478" s="46">
        <v>1.85451197053407</v>
      </c>
      <c r="M478" s="41">
        <v>804.85819521178644</v>
      </c>
      <c r="N478" s="44">
        <v>30.082000000000001</v>
      </c>
      <c r="O478" s="41">
        <v>427</v>
      </c>
      <c r="P478" s="41">
        <v>4</v>
      </c>
      <c r="Q478" s="41">
        <v>41.4</v>
      </c>
      <c r="R478" s="45" t="s">
        <v>1307</v>
      </c>
      <c r="S478" s="45" t="s">
        <v>1307</v>
      </c>
      <c r="T478" s="45" t="s">
        <v>1307</v>
      </c>
      <c r="U478" s="44">
        <v>56.54</v>
      </c>
      <c r="V478" s="44">
        <v>119.83929166666667</v>
      </c>
      <c r="W478" s="44">
        <v>13.597</v>
      </c>
      <c r="X478" s="44">
        <v>13.989401136</v>
      </c>
      <c r="Y478" s="130" t="s">
        <v>4304</v>
      </c>
      <c r="Z478" s="224"/>
    </row>
    <row r="479" spans="2:26" ht="15" customHeight="1" x14ac:dyDescent="0.35">
      <c r="B479" s="181">
        <v>52040</v>
      </c>
      <c r="C479" s="182" t="s">
        <v>519</v>
      </c>
      <c r="D479" s="222">
        <v>14</v>
      </c>
      <c r="E479" s="223" t="s">
        <v>2878</v>
      </c>
      <c r="F479" s="183" t="s">
        <v>2879</v>
      </c>
      <c r="G479" s="125">
        <v>3.5947316787301906</v>
      </c>
      <c r="H479" s="121" t="s">
        <v>1336</v>
      </c>
      <c r="I479" s="122">
        <v>62.745098039215691</v>
      </c>
      <c r="J479" s="106" t="s">
        <v>4656</v>
      </c>
      <c r="K479" s="118">
        <v>883</v>
      </c>
      <c r="L479" s="46">
        <v>2.413757700205339</v>
      </c>
      <c r="M479" s="41">
        <v>2131.3480492813142</v>
      </c>
      <c r="N479" s="44">
        <v>33.14</v>
      </c>
      <c r="O479" s="41">
        <v>885</v>
      </c>
      <c r="P479" s="41">
        <v>25</v>
      </c>
      <c r="Q479" s="41">
        <v>49</v>
      </c>
      <c r="R479" s="45" t="s">
        <v>1307</v>
      </c>
      <c r="S479" s="45" t="s">
        <v>1307</v>
      </c>
      <c r="T479" s="45" t="s">
        <v>1307</v>
      </c>
      <c r="U479" s="44">
        <v>145.72300000000001</v>
      </c>
      <c r="V479" s="44">
        <v>302.60700000000003</v>
      </c>
      <c r="W479" s="44">
        <v>119.43129636515191</v>
      </c>
      <c r="X479" s="44">
        <v>33.223980824999998</v>
      </c>
      <c r="Y479" s="130" t="s">
        <v>4305</v>
      </c>
      <c r="Z479" s="224"/>
    </row>
    <row r="480" spans="2:26" ht="15" customHeight="1" x14ac:dyDescent="0.35">
      <c r="B480" s="181">
        <v>52040</v>
      </c>
      <c r="C480" s="182" t="s">
        <v>519</v>
      </c>
      <c r="D480" s="222">
        <v>14</v>
      </c>
      <c r="E480" s="223" t="s">
        <v>2880</v>
      </c>
      <c r="F480" s="183" t="s">
        <v>2881</v>
      </c>
      <c r="G480" s="125">
        <v>2.6501559492217464</v>
      </c>
      <c r="H480" s="121" t="s">
        <v>1336</v>
      </c>
      <c r="I480" s="122">
        <v>74.1111111111111</v>
      </c>
      <c r="J480" s="106" t="s">
        <v>4656</v>
      </c>
      <c r="K480" s="118">
        <v>31</v>
      </c>
      <c r="L480" s="46">
        <v>2.413757700205339</v>
      </c>
      <c r="M480" s="41">
        <v>74.82648870636551</v>
      </c>
      <c r="N480" s="44">
        <v>3.8</v>
      </c>
      <c r="O480" s="41">
        <v>62</v>
      </c>
      <c r="P480" s="41">
        <v>30</v>
      </c>
      <c r="Q480" s="41">
        <v>42</v>
      </c>
      <c r="R480" s="45" t="s">
        <v>1307</v>
      </c>
      <c r="S480" s="45" t="s">
        <v>1307</v>
      </c>
      <c r="T480" s="45" t="s">
        <v>1307</v>
      </c>
      <c r="U480" s="44">
        <v>3.8210000000000002</v>
      </c>
      <c r="V480" s="44">
        <v>26.297000000000001</v>
      </c>
      <c r="W480" s="44">
        <v>6.6831235204081612</v>
      </c>
      <c r="X480" s="44">
        <v>2.5217849999999999</v>
      </c>
      <c r="Y480" s="130" t="s">
        <v>4306</v>
      </c>
      <c r="Z480" s="224"/>
    </row>
    <row r="481" spans="2:26" ht="15" customHeight="1" x14ac:dyDescent="0.35">
      <c r="B481" s="181">
        <v>52040</v>
      </c>
      <c r="C481" s="182" t="s">
        <v>519</v>
      </c>
      <c r="D481" s="222">
        <v>14</v>
      </c>
      <c r="E481" s="223" t="s">
        <v>2882</v>
      </c>
      <c r="F481" s="183" t="s">
        <v>2881</v>
      </c>
      <c r="G481" s="125">
        <v>3.2044044109463226</v>
      </c>
      <c r="H481" s="121" t="s">
        <v>1336</v>
      </c>
      <c r="I481" s="122">
        <v>74.1111111111111</v>
      </c>
      <c r="J481" s="106" t="s">
        <v>4656</v>
      </c>
      <c r="K481" s="118">
        <v>58</v>
      </c>
      <c r="L481" s="46">
        <v>2.413757700205339</v>
      </c>
      <c r="M481" s="41">
        <v>139.99794661190967</v>
      </c>
      <c r="N481" s="44">
        <v>7.93</v>
      </c>
      <c r="O481" s="41">
        <v>70</v>
      </c>
      <c r="P481" s="41">
        <v>30</v>
      </c>
      <c r="Q481" s="41">
        <v>42</v>
      </c>
      <c r="R481" s="45" t="s">
        <v>1307</v>
      </c>
      <c r="S481" s="45" t="s">
        <v>1307</v>
      </c>
      <c r="T481" s="45" t="s">
        <v>1307</v>
      </c>
      <c r="U481" s="44">
        <v>7.5910000000000002</v>
      </c>
      <c r="V481" s="44">
        <v>26.059000000000001</v>
      </c>
      <c r="W481" s="44">
        <v>12.341793069280342</v>
      </c>
      <c r="X481" s="44">
        <v>3.8515092000000002</v>
      </c>
      <c r="Y481" s="130" t="s">
        <v>4307</v>
      </c>
      <c r="Z481" s="224"/>
    </row>
    <row r="482" spans="2:26" ht="15" customHeight="1" x14ac:dyDescent="0.35">
      <c r="B482" s="181">
        <v>91030</v>
      </c>
      <c r="C482" s="182" t="s">
        <v>942</v>
      </c>
      <c r="D482" s="222">
        <v>2</v>
      </c>
      <c r="E482" s="223" t="s">
        <v>2885</v>
      </c>
      <c r="F482" s="183" t="s">
        <v>2886</v>
      </c>
      <c r="G482" s="125">
        <v>1.2559188464373601</v>
      </c>
      <c r="H482" s="121" t="s">
        <v>1336</v>
      </c>
      <c r="I482" s="122">
        <v>59</v>
      </c>
      <c r="J482" s="106" t="s">
        <v>4656</v>
      </c>
      <c r="K482" s="118">
        <v>221</v>
      </c>
      <c r="L482" s="46">
        <v>2.0231481481481484</v>
      </c>
      <c r="M482" s="41">
        <v>447.11574074074076</v>
      </c>
      <c r="N482" s="44">
        <v>5.492</v>
      </c>
      <c r="O482" s="41">
        <v>214</v>
      </c>
      <c r="P482" s="41">
        <v>10</v>
      </c>
      <c r="Q482" s="41">
        <v>56</v>
      </c>
      <c r="R482" s="45" t="s">
        <v>1307</v>
      </c>
      <c r="S482" s="45" t="s">
        <v>1307</v>
      </c>
      <c r="T482" s="45" t="s">
        <v>1307</v>
      </c>
      <c r="U482" s="44">
        <v>46.331000000000003</v>
      </c>
      <c r="V482" s="44">
        <v>58.023000000000003</v>
      </c>
      <c r="W482" s="44">
        <v>8.3059999999999992</v>
      </c>
      <c r="X482" s="44">
        <v>6.6134846400000002</v>
      </c>
      <c r="Y482" s="130" t="s">
        <v>4308</v>
      </c>
      <c r="Z482" s="224" t="s">
        <v>3761</v>
      </c>
    </row>
    <row r="483" spans="2:26" ht="15" customHeight="1" x14ac:dyDescent="0.35">
      <c r="B483" s="181">
        <v>54095</v>
      </c>
      <c r="C483" s="182" t="s">
        <v>552</v>
      </c>
      <c r="D483" s="222">
        <v>16</v>
      </c>
      <c r="E483" s="223" t="s">
        <v>2888</v>
      </c>
      <c r="F483" s="183" t="s">
        <v>2889</v>
      </c>
      <c r="G483" s="125">
        <v>2.7415481571622049</v>
      </c>
      <c r="H483" s="121" t="s">
        <v>1336</v>
      </c>
      <c r="I483" s="122">
        <v>56.445945945945951</v>
      </c>
      <c r="J483" s="106" t="s">
        <v>4656</v>
      </c>
      <c r="K483" s="118">
        <v>419</v>
      </c>
      <c r="L483" s="46">
        <v>2.3716690042075736</v>
      </c>
      <c r="M483" s="41">
        <v>993.72931276297334</v>
      </c>
      <c r="N483" s="44">
        <v>8.0570000000000004</v>
      </c>
      <c r="O483" s="41">
        <v>476</v>
      </c>
      <c r="P483" s="41">
        <v>15</v>
      </c>
      <c r="Q483" s="41">
        <v>42.2</v>
      </c>
      <c r="R483" s="45" t="s">
        <v>1307</v>
      </c>
      <c r="S483" s="45" t="s">
        <v>1307</v>
      </c>
      <c r="T483" s="45" t="s">
        <v>1307</v>
      </c>
      <c r="U483" s="44">
        <v>70.620865546218482</v>
      </c>
      <c r="V483" s="44">
        <v>111.645</v>
      </c>
      <c r="W483" s="44">
        <v>29.742325000000005</v>
      </c>
      <c r="X483" s="44">
        <v>10.848733378</v>
      </c>
      <c r="Y483" s="130" t="s">
        <v>4309</v>
      </c>
      <c r="Z483" s="224"/>
    </row>
    <row r="484" spans="2:26" ht="15" customHeight="1" x14ac:dyDescent="0.35">
      <c r="B484" s="181">
        <v>14025</v>
      </c>
      <c r="C484" s="182" t="s">
        <v>63</v>
      </c>
      <c r="D484" s="222">
        <v>1</v>
      </c>
      <c r="E484" s="223" t="s">
        <v>2891</v>
      </c>
      <c r="F484" s="183" t="s">
        <v>2892</v>
      </c>
      <c r="G484" s="125">
        <v>1.19000457066304</v>
      </c>
      <c r="H484" s="121" t="s">
        <v>1336</v>
      </c>
      <c r="I484" s="122">
        <v>59.921568627450981</v>
      </c>
      <c r="J484" s="106" t="s">
        <v>4656</v>
      </c>
      <c r="K484" s="118">
        <v>239</v>
      </c>
      <c r="L484" s="46">
        <v>2.2043795620437958</v>
      </c>
      <c r="M484" s="41">
        <v>526.84671532846721</v>
      </c>
      <c r="N484" s="44">
        <v>6.8319999999999999</v>
      </c>
      <c r="O484" s="41">
        <v>240</v>
      </c>
      <c r="P484" s="41">
        <v>10</v>
      </c>
      <c r="Q484" s="41">
        <v>31.518000000000001</v>
      </c>
      <c r="R484" s="45" t="s">
        <v>1307</v>
      </c>
      <c r="S484" s="45" t="s">
        <v>1307</v>
      </c>
      <c r="T484" s="45" t="s">
        <v>1307</v>
      </c>
      <c r="U484" s="44">
        <v>37.286845238095232</v>
      </c>
      <c r="V484" s="44">
        <v>45.469000000000001</v>
      </c>
      <c r="W484" s="44">
        <v>5.1333823979591848</v>
      </c>
      <c r="X484" s="44">
        <v>4.3137501523199999</v>
      </c>
      <c r="Y484" s="130" t="s">
        <v>4310</v>
      </c>
      <c r="Z484" s="224" t="s">
        <v>4311</v>
      </c>
    </row>
    <row r="485" spans="2:26" ht="15" customHeight="1" x14ac:dyDescent="0.35">
      <c r="B485" s="181">
        <v>26040</v>
      </c>
      <c r="C485" s="182" t="s">
        <v>173</v>
      </c>
      <c r="D485" s="222">
        <v>12</v>
      </c>
      <c r="E485" s="223" t="s">
        <v>2895</v>
      </c>
      <c r="F485" s="183" t="s">
        <v>2896</v>
      </c>
      <c r="G485" s="125">
        <v>1.9967211465410153</v>
      </c>
      <c r="H485" s="121" t="s">
        <v>1325</v>
      </c>
      <c r="I485" s="122">
        <v>55.843137254901954</v>
      </c>
      <c r="J485" s="106" t="s">
        <v>4656</v>
      </c>
      <c r="K485" s="118">
        <v>340</v>
      </c>
      <c r="L485" s="46">
        <v>2.5836575875486383</v>
      </c>
      <c r="M485" s="41">
        <v>878.44357976653703</v>
      </c>
      <c r="N485" s="44">
        <v>6.984</v>
      </c>
      <c r="O485" s="41">
        <v>334</v>
      </c>
      <c r="P485" s="41">
        <v>6</v>
      </c>
      <c r="Q485" s="41">
        <v>42</v>
      </c>
      <c r="R485" s="45" t="s">
        <v>1324</v>
      </c>
      <c r="S485" s="45" t="s">
        <v>1324</v>
      </c>
      <c r="T485" s="45" t="s">
        <v>1324</v>
      </c>
      <c r="U485" s="44">
        <v>63.063600000000001</v>
      </c>
      <c r="V485" s="44">
        <v>86.004999999999995</v>
      </c>
      <c r="W485" s="44">
        <v>13.560479999999995</v>
      </c>
      <c r="X485" s="44">
        <v>6.7913739599999996</v>
      </c>
      <c r="Y485" s="130" t="s">
        <v>4312</v>
      </c>
      <c r="Z485" s="224"/>
    </row>
    <row r="486" spans="2:26" ht="15" customHeight="1" x14ac:dyDescent="0.35">
      <c r="B486" s="181">
        <v>7040</v>
      </c>
      <c r="C486" s="182" t="s">
        <v>1074</v>
      </c>
      <c r="D486" s="222">
        <v>1</v>
      </c>
      <c r="E486" s="223" t="s">
        <v>1612</v>
      </c>
      <c r="F486" s="183" t="s">
        <v>2898</v>
      </c>
      <c r="G486" s="125">
        <v>2.0197680134764653</v>
      </c>
      <c r="H486" s="121" t="s">
        <v>1336</v>
      </c>
      <c r="I486" s="122">
        <v>58.378378378378386</v>
      </c>
      <c r="J486" s="106" t="s">
        <v>4656</v>
      </c>
      <c r="K486" s="118">
        <v>48</v>
      </c>
      <c r="L486" s="46">
        <v>1.84</v>
      </c>
      <c r="M486" s="41">
        <v>88.320000000000007</v>
      </c>
      <c r="N486" s="44">
        <v>3</v>
      </c>
      <c r="O486" s="41">
        <v>53</v>
      </c>
      <c r="P486" s="41">
        <v>10</v>
      </c>
      <c r="Q486" s="41">
        <v>53</v>
      </c>
      <c r="R486" s="45" t="s">
        <v>1307</v>
      </c>
      <c r="S486" s="45" t="s">
        <v>1307</v>
      </c>
      <c r="T486" s="45" t="s">
        <v>1307</v>
      </c>
      <c r="U486" s="44">
        <v>3.8934339622641514</v>
      </c>
      <c r="V486" s="44">
        <v>8.7140000000000004</v>
      </c>
      <c r="W486" s="44">
        <v>4.2842899999999995</v>
      </c>
      <c r="X486" s="44">
        <v>2.1211792500000004</v>
      </c>
      <c r="Y486" s="130" t="s">
        <v>4313</v>
      </c>
      <c r="Z486" s="224" t="s">
        <v>3760</v>
      </c>
    </row>
    <row r="487" spans="2:26" ht="15" customHeight="1" x14ac:dyDescent="0.35">
      <c r="B487" s="181">
        <v>7040</v>
      </c>
      <c r="C487" s="182" t="s">
        <v>1074</v>
      </c>
      <c r="D487" s="222">
        <v>1</v>
      </c>
      <c r="E487" s="223" t="s">
        <v>2899</v>
      </c>
      <c r="F487" s="183" t="s">
        <v>2900</v>
      </c>
      <c r="G487" s="125">
        <v>2.2374421841147329</v>
      </c>
      <c r="H487" s="121" t="s">
        <v>1325</v>
      </c>
      <c r="I487" s="122">
        <v>58.378378378378386</v>
      </c>
      <c r="J487" s="106" t="s">
        <v>4656</v>
      </c>
      <c r="K487" s="118">
        <v>129</v>
      </c>
      <c r="L487" s="46">
        <v>1.84</v>
      </c>
      <c r="M487" s="41">
        <v>237.36</v>
      </c>
      <c r="N487" s="44">
        <v>2.0249999999999999</v>
      </c>
      <c r="O487" s="41">
        <v>132</v>
      </c>
      <c r="P487" s="41">
        <v>10</v>
      </c>
      <c r="Q487" s="41">
        <v>53</v>
      </c>
      <c r="R487" s="45" t="s">
        <v>1307</v>
      </c>
      <c r="S487" s="45" t="s">
        <v>1307</v>
      </c>
      <c r="T487" s="45" t="s">
        <v>1324</v>
      </c>
      <c r="U487" s="44">
        <v>19.179954545454549</v>
      </c>
      <c r="V487" s="44">
        <v>27.617000000000001</v>
      </c>
      <c r="W487" s="44">
        <v>7.5767450000000007</v>
      </c>
      <c r="X487" s="44">
        <v>3.3863422500000007</v>
      </c>
      <c r="Y487" s="130" t="s">
        <v>4314</v>
      </c>
      <c r="Z487" s="224" t="s">
        <v>3760</v>
      </c>
    </row>
    <row r="488" spans="2:26" ht="15" customHeight="1" x14ac:dyDescent="0.35">
      <c r="B488" s="181">
        <v>59010</v>
      </c>
      <c r="C488" s="182" t="s">
        <v>599</v>
      </c>
      <c r="D488" s="222">
        <v>16</v>
      </c>
      <c r="E488" s="223" t="s">
        <v>2903</v>
      </c>
      <c r="F488" s="183" t="s">
        <v>2904</v>
      </c>
      <c r="G488" s="125">
        <v>2.0347350623589464</v>
      </c>
      <c r="H488" s="121" t="s">
        <v>1373</v>
      </c>
      <c r="I488" s="122">
        <v>70.5</v>
      </c>
      <c r="J488" s="106" t="s">
        <v>4656</v>
      </c>
      <c r="K488" s="118">
        <v>11633</v>
      </c>
      <c r="L488" s="46">
        <v>2.570188257543196</v>
      </c>
      <c r="M488" s="41">
        <v>29899</v>
      </c>
      <c r="N488" s="44">
        <v>164.38</v>
      </c>
      <c r="O488" s="41">
        <v>12065</v>
      </c>
      <c r="P488" s="41">
        <v>7</v>
      </c>
      <c r="Q488" s="41">
        <v>53</v>
      </c>
      <c r="R488" s="45" t="s">
        <v>1307</v>
      </c>
      <c r="S488" s="45" t="s">
        <v>1307</v>
      </c>
      <c r="T488" s="45" t="s">
        <v>1307</v>
      </c>
      <c r="U488" s="44">
        <v>2728.28</v>
      </c>
      <c r="V488" s="44">
        <v>4173.6589999999997</v>
      </c>
      <c r="W488" s="44">
        <v>579.4950874999995</v>
      </c>
      <c r="X488" s="44">
        <v>284.80124917500001</v>
      </c>
      <c r="Y488" s="130" t="s">
        <v>4315</v>
      </c>
      <c r="Z488" s="224"/>
    </row>
    <row r="489" spans="2:26" ht="15" customHeight="1" x14ac:dyDescent="0.35">
      <c r="B489" s="181">
        <v>28045</v>
      </c>
      <c r="C489" s="182" t="s">
        <v>195</v>
      </c>
      <c r="D489" s="222">
        <v>12</v>
      </c>
      <c r="E489" s="223" t="s">
        <v>2906</v>
      </c>
      <c r="F489" s="183" t="s">
        <v>2907</v>
      </c>
      <c r="G489" s="125">
        <v>2.939924421442436</v>
      </c>
      <c r="H489" s="121" t="s">
        <v>1336</v>
      </c>
      <c r="I489" s="122">
        <v>55.229729729729726</v>
      </c>
      <c r="J489" s="106" t="s">
        <v>4656</v>
      </c>
      <c r="K489" s="118">
        <v>606</v>
      </c>
      <c r="L489" s="46">
        <v>2.4</v>
      </c>
      <c r="M489" s="41">
        <v>1454.3999999999999</v>
      </c>
      <c r="N489" s="44">
        <v>14.141999999999999</v>
      </c>
      <c r="O489" s="41">
        <v>541</v>
      </c>
      <c r="P489" s="41">
        <v>7</v>
      </c>
      <c r="Q489" s="41">
        <v>56</v>
      </c>
      <c r="R489" s="45" t="s">
        <v>1307</v>
      </c>
      <c r="S489" s="45" t="s">
        <v>1307</v>
      </c>
      <c r="T489" s="45" t="s">
        <v>1307</v>
      </c>
      <c r="U489" s="44">
        <v>115.839</v>
      </c>
      <c r="V489" s="44">
        <v>175.21</v>
      </c>
      <c r="W489" s="44">
        <v>46.993850000000016</v>
      </c>
      <c r="X489" s="44">
        <v>15.984713639999999</v>
      </c>
      <c r="Y489" s="130" t="s">
        <v>4316</v>
      </c>
      <c r="Z489" s="224"/>
    </row>
    <row r="490" spans="2:26" ht="15" customHeight="1" x14ac:dyDescent="0.35">
      <c r="B490" s="181">
        <v>17060</v>
      </c>
      <c r="C490" s="182" t="s">
        <v>100</v>
      </c>
      <c r="D490" s="222">
        <v>12</v>
      </c>
      <c r="E490" s="223" t="s">
        <v>2910</v>
      </c>
      <c r="F490" s="183" t="s">
        <v>2911</v>
      </c>
      <c r="G490" s="125">
        <v>6.6669157964710468</v>
      </c>
      <c r="H490" s="121" t="s">
        <v>1336</v>
      </c>
      <c r="I490" s="122">
        <v>59.081081081081081</v>
      </c>
      <c r="J490" s="106" t="s">
        <v>4656</v>
      </c>
      <c r="K490" s="118">
        <v>140</v>
      </c>
      <c r="L490" s="46">
        <v>2.0925373134328358</v>
      </c>
      <c r="M490" s="41">
        <v>292.95522388059703</v>
      </c>
      <c r="N490" s="44">
        <v>4.4340000000000002</v>
      </c>
      <c r="O490" s="41">
        <v>145</v>
      </c>
      <c r="P490" s="41">
        <v>5</v>
      </c>
      <c r="Q490" s="41">
        <v>33.536999999999999</v>
      </c>
      <c r="R490" s="45" t="s">
        <v>1307</v>
      </c>
      <c r="S490" s="45" t="s">
        <v>1307</v>
      </c>
      <c r="T490" s="45" t="s">
        <v>1307</v>
      </c>
      <c r="U490" s="44">
        <v>26.107586206896553</v>
      </c>
      <c r="V490" s="44">
        <v>45.177</v>
      </c>
      <c r="W490" s="44">
        <v>17.459345000000003</v>
      </c>
      <c r="X490" s="44">
        <v>2.6188038866850003</v>
      </c>
      <c r="Y490" s="130" t="s">
        <v>4317</v>
      </c>
      <c r="Z490" s="224"/>
    </row>
    <row r="491" spans="2:26" ht="15" customHeight="1" x14ac:dyDescent="0.35">
      <c r="B491" s="181">
        <v>9092</v>
      </c>
      <c r="C491" s="182" t="s">
        <v>1112</v>
      </c>
      <c r="D491" s="222">
        <v>1</v>
      </c>
      <c r="E491" s="223" t="s">
        <v>2915</v>
      </c>
      <c r="F491" s="183" t="s">
        <v>2916</v>
      </c>
      <c r="G491" s="125">
        <v>1.1665370194254607</v>
      </c>
      <c r="H491" s="121" t="s">
        <v>1336</v>
      </c>
      <c r="I491" s="122">
        <v>56.098039215686271</v>
      </c>
      <c r="J491" s="106" t="s">
        <v>4656</v>
      </c>
      <c r="K491" s="118">
        <v>812</v>
      </c>
      <c r="L491" s="46">
        <v>2.2550120288692863</v>
      </c>
      <c r="M491" s="41">
        <v>1831.0697674418604</v>
      </c>
      <c r="N491" s="44">
        <v>33.435000000000002</v>
      </c>
      <c r="O491" s="41">
        <v>736</v>
      </c>
      <c r="P491" s="41">
        <v>16</v>
      </c>
      <c r="Q491" s="41">
        <v>66.5</v>
      </c>
      <c r="R491" s="45" t="s">
        <v>1307</v>
      </c>
      <c r="S491" s="45" t="s">
        <v>1307</v>
      </c>
      <c r="T491" s="45" t="s">
        <v>1307</v>
      </c>
      <c r="U491" s="44">
        <v>126.151</v>
      </c>
      <c r="V491" s="44">
        <v>181.357</v>
      </c>
      <c r="W491" s="44">
        <v>42.048282602040807</v>
      </c>
      <c r="X491" s="44">
        <v>36.045390675000007</v>
      </c>
      <c r="Y491" s="130" t="s">
        <v>4318</v>
      </c>
      <c r="Z491" s="224"/>
    </row>
    <row r="492" spans="2:26" ht="15" customHeight="1" x14ac:dyDescent="0.35">
      <c r="B492" s="181">
        <v>9092</v>
      </c>
      <c r="C492" s="182" t="s">
        <v>1112</v>
      </c>
      <c r="D492" s="222">
        <v>1</v>
      </c>
      <c r="E492" s="223" t="s">
        <v>2917</v>
      </c>
      <c r="F492" s="183" t="s">
        <v>2918</v>
      </c>
      <c r="G492" s="125">
        <v>1.0633193762746191</v>
      </c>
      <c r="H492" s="121" t="s">
        <v>1336</v>
      </c>
      <c r="I492" s="122">
        <v>56.098039215686271</v>
      </c>
      <c r="J492" s="106" t="s">
        <v>4656</v>
      </c>
      <c r="K492" s="118">
        <v>671</v>
      </c>
      <c r="L492" s="46">
        <v>2.2550120288692863</v>
      </c>
      <c r="M492" s="41">
        <v>1513.1130713712912</v>
      </c>
      <c r="N492" s="44">
        <v>16.945</v>
      </c>
      <c r="O492" s="41">
        <v>538</v>
      </c>
      <c r="P492" s="41">
        <v>15</v>
      </c>
      <c r="Q492" s="41">
        <v>61.599999999999994</v>
      </c>
      <c r="R492" s="45" t="s">
        <v>1307</v>
      </c>
      <c r="S492" s="45" t="s">
        <v>1307</v>
      </c>
      <c r="T492" s="45" t="s">
        <v>1307</v>
      </c>
      <c r="U492" s="44">
        <v>117.748</v>
      </c>
      <c r="V492" s="44">
        <v>192.55199999999999</v>
      </c>
      <c r="W492" s="44">
        <v>22.405314693877532</v>
      </c>
      <c r="X492" s="44">
        <v>21.071105439999997</v>
      </c>
      <c r="Y492" s="130" t="s">
        <v>4319</v>
      </c>
      <c r="Z492" s="224"/>
    </row>
    <row r="493" spans="2:26" ht="15" customHeight="1" x14ac:dyDescent="0.35">
      <c r="B493" s="181">
        <v>78020</v>
      </c>
      <c r="C493" s="182" t="s">
        <v>769</v>
      </c>
      <c r="D493" s="222">
        <v>15</v>
      </c>
      <c r="E493" s="223" t="s">
        <v>4600</v>
      </c>
      <c r="F493" s="183" t="s">
        <v>4601</v>
      </c>
      <c r="G493" s="125">
        <v>5.022528939908339</v>
      </c>
      <c r="H493" s="121" t="s">
        <v>1325</v>
      </c>
      <c r="I493" s="122">
        <v>51.378378378378372</v>
      </c>
      <c r="J493" s="106" t="s">
        <v>4656</v>
      </c>
      <c r="K493" s="118">
        <v>85</v>
      </c>
      <c r="L493" s="46">
        <v>1.834874504623514</v>
      </c>
      <c r="M493" s="41">
        <v>155.9643328929987</v>
      </c>
      <c r="N493" s="44">
        <v>4.9020000000000001</v>
      </c>
      <c r="O493" s="41">
        <v>85</v>
      </c>
      <c r="P493" s="41">
        <v>10</v>
      </c>
      <c r="Q493" s="41">
        <v>42</v>
      </c>
      <c r="R493" s="45" t="s">
        <v>1324</v>
      </c>
      <c r="S493" s="45" t="s">
        <v>1307</v>
      </c>
      <c r="T493" s="45" t="s">
        <v>1324</v>
      </c>
      <c r="U493" s="44">
        <v>10.077</v>
      </c>
      <c r="V493" s="44">
        <v>24.103999999999999</v>
      </c>
      <c r="W493" s="44">
        <v>13.6656</v>
      </c>
      <c r="X493" s="44">
        <v>2.72086038</v>
      </c>
      <c r="Y493" s="130" t="s">
        <v>4602</v>
      </c>
      <c r="Z493" s="224"/>
    </row>
    <row r="494" spans="2:26" ht="15" customHeight="1" x14ac:dyDescent="0.35">
      <c r="B494" s="181">
        <v>78020</v>
      </c>
      <c r="C494" s="182" t="s">
        <v>769</v>
      </c>
      <c r="D494" s="222">
        <v>15</v>
      </c>
      <c r="E494" s="223" t="s">
        <v>1612</v>
      </c>
      <c r="F494" s="183" t="s">
        <v>4603</v>
      </c>
      <c r="G494" s="125">
        <v>1.9833615403754856</v>
      </c>
      <c r="H494" s="121" t="s">
        <v>1336</v>
      </c>
      <c r="I494" s="122">
        <v>58.378378378378386</v>
      </c>
      <c r="J494" s="106" t="s">
        <v>4656</v>
      </c>
      <c r="K494" s="118">
        <v>265</v>
      </c>
      <c r="L494" s="46">
        <v>1.834874504623514</v>
      </c>
      <c r="M494" s="41">
        <v>486.24174372523123</v>
      </c>
      <c r="N494" s="44">
        <v>7.9569999999999999</v>
      </c>
      <c r="O494" s="41">
        <v>267</v>
      </c>
      <c r="P494" s="41">
        <v>10</v>
      </c>
      <c r="Q494" s="41">
        <v>46</v>
      </c>
      <c r="R494" s="45" t="s">
        <v>1307</v>
      </c>
      <c r="S494" s="45" t="s">
        <v>1307</v>
      </c>
      <c r="T494" s="45" t="s">
        <v>1307</v>
      </c>
      <c r="U494" s="44">
        <v>61.268595505617981</v>
      </c>
      <c r="V494" s="44">
        <v>76.994</v>
      </c>
      <c r="W494" s="44">
        <v>14.105351999999995</v>
      </c>
      <c r="X494" s="44">
        <v>7.1118410399999998</v>
      </c>
      <c r="Y494" s="130" t="s">
        <v>4604</v>
      </c>
      <c r="Z494" s="224"/>
    </row>
    <row r="495" spans="2:26" ht="15" customHeight="1" x14ac:dyDescent="0.35">
      <c r="B495" s="181">
        <v>5050</v>
      </c>
      <c r="C495" s="182" t="s">
        <v>1051</v>
      </c>
      <c r="D495" s="222">
        <v>11</v>
      </c>
      <c r="E495" s="223" t="s">
        <v>2921</v>
      </c>
      <c r="F495" s="183" t="s">
        <v>2922</v>
      </c>
      <c r="G495" s="125">
        <v>0.26775752823127857</v>
      </c>
      <c r="H495" s="121" t="s">
        <v>1336</v>
      </c>
      <c r="I495" s="122">
        <v>58.72972972972974</v>
      </c>
      <c r="J495" s="106" t="s">
        <v>4656</v>
      </c>
      <c r="K495" s="118">
        <v>115</v>
      </c>
      <c r="L495" s="46">
        <v>2.5883575883575882</v>
      </c>
      <c r="M495" s="41">
        <v>297.66112266112265</v>
      </c>
      <c r="N495" s="44">
        <v>2.9329999999999998</v>
      </c>
      <c r="O495" s="41">
        <v>128</v>
      </c>
      <c r="P495" s="41">
        <v>10</v>
      </c>
      <c r="Q495" s="41">
        <v>60</v>
      </c>
      <c r="R495" s="45" t="s">
        <v>1307</v>
      </c>
      <c r="S495" s="45" t="s">
        <v>1307</v>
      </c>
      <c r="T495" s="45" t="s">
        <v>1307</v>
      </c>
      <c r="U495" s="44">
        <v>21.510390624999999</v>
      </c>
      <c r="V495" s="44">
        <v>25.420999999999999</v>
      </c>
      <c r="W495" s="44">
        <v>1.0976849999999987</v>
      </c>
      <c r="X495" s="44">
        <v>4.0995486000000003</v>
      </c>
      <c r="Y495" s="130" t="s">
        <v>4320</v>
      </c>
      <c r="Z495" s="224"/>
    </row>
    <row r="496" spans="2:26" ht="15" customHeight="1" x14ac:dyDescent="0.35">
      <c r="B496" s="181">
        <v>26022</v>
      </c>
      <c r="C496" s="182" t="s">
        <v>170</v>
      </c>
      <c r="D496" s="222">
        <v>12</v>
      </c>
      <c r="E496" s="223" t="s">
        <v>2921</v>
      </c>
      <c r="F496" s="183" t="s">
        <v>2924</v>
      </c>
      <c r="G496" s="125">
        <v>0.96972340243166755</v>
      </c>
      <c r="H496" s="121" t="s">
        <v>1336</v>
      </c>
      <c r="I496" s="122">
        <v>59</v>
      </c>
      <c r="J496" s="106" t="s">
        <v>4656</v>
      </c>
      <c r="K496" s="118">
        <v>720</v>
      </c>
      <c r="L496" s="46">
        <v>2.2949999999999999</v>
      </c>
      <c r="M496" s="41">
        <v>1652.3999999999999</v>
      </c>
      <c r="N496" s="44">
        <v>15.224</v>
      </c>
      <c r="O496" s="41">
        <v>849</v>
      </c>
      <c r="P496" s="41">
        <v>6.0960000000000001</v>
      </c>
      <c r="Q496" s="41">
        <v>53.13</v>
      </c>
      <c r="R496" s="45" t="s">
        <v>1307</v>
      </c>
      <c r="S496" s="45" t="s">
        <v>1307</v>
      </c>
      <c r="T496" s="45" t="s">
        <v>1307</v>
      </c>
      <c r="U496" s="44">
        <v>128.45599999999999</v>
      </c>
      <c r="V496" s="44">
        <v>165.75200000000001</v>
      </c>
      <c r="W496" s="44">
        <v>20.359000000000002</v>
      </c>
      <c r="X496" s="44">
        <v>20.994646462019997</v>
      </c>
      <c r="Y496" s="130" t="s">
        <v>4321</v>
      </c>
      <c r="Z496" s="224"/>
    </row>
    <row r="497" spans="2:26" ht="15" customHeight="1" x14ac:dyDescent="0.35">
      <c r="B497" s="181">
        <v>4005</v>
      </c>
      <c r="C497" s="182" t="s">
        <v>1036</v>
      </c>
      <c r="D497" s="222">
        <v>11</v>
      </c>
      <c r="E497" s="223" t="s">
        <v>2926</v>
      </c>
      <c r="F497" s="183" t="s">
        <v>2927</v>
      </c>
      <c r="G497" s="125">
        <v>2.1616961262532293</v>
      </c>
      <c r="H497" s="121" t="s">
        <v>1336</v>
      </c>
      <c r="I497" s="122">
        <v>61.035087719298261</v>
      </c>
      <c r="J497" s="106" t="s">
        <v>4656</v>
      </c>
      <c r="K497" s="118">
        <v>231</v>
      </c>
      <c r="L497" s="46">
        <v>1.3169642857142858</v>
      </c>
      <c r="M497" s="41">
        <v>304.21875</v>
      </c>
      <c r="N497" s="44">
        <v>10.260999999999999</v>
      </c>
      <c r="O497" s="41">
        <v>233</v>
      </c>
      <c r="P497" s="41">
        <v>10</v>
      </c>
      <c r="Q497" s="41">
        <v>74.199999999999989</v>
      </c>
      <c r="R497" s="45" t="s">
        <v>1307</v>
      </c>
      <c r="S497" s="45" t="s">
        <v>1307</v>
      </c>
      <c r="T497" s="45" t="s">
        <v>1307</v>
      </c>
      <c r="U497" s="44">
        <v>25.210999999999999</v>
      </c>
      <c r="V497" s="44">
        <v>54.988</v>
      </c>
      <c r="W497" s="44">
        <v>25.136271479591837</v>
      </c>
      <c r="X497" s="44">
        <v>11.628031883999999</v>
      </c>
      <c r="Y497" s="130" t="s">
        <v>4322</v>
      </c>
      <c r="Z497" s="224"/>
    </row>
    <row r="498" spans="2:26" ht="15" customHeight="1" x14ac:dyDescent="0.35">
      <c r="B498" s="181">
        <v>4005</v>
      </c>
      <c r="C498" s="182" t="s">
        <v>1036</v>
      </c>
      <c r="D498" s="222">
        <v>11</v>
      </c>
      <c r="E498" s="223" t="s">
        <v>2928</v>
      </c>
      <c r="F498" s="183" t="s">
        <v>2929</v>
      </c>
      <c r="G498" s="125">
        <v>0.20386282151262095</v>
      </c>
      <c r="H498" s="121" t="s">
        <v>1336</v>
      </c>
      <c r="I498" s="122">
        <v>56.862745098039213</v>
      </c>
      <c r="J498" s="106" t="s">
        <v>4656</v>
      </c>
      <c r="K498" s="118">
        <v>43</v>
      </c>
      <c r="L498" s="46">
        <v>1.3169642857142858</v>
      </c>
      <c r="M498" s="41">
        <v>56.629464285714292</v>
      </c>
      <c r="N498" s="44">
        <v>3.4</v>
      </c>
      <c r="O498" s="41">
        <v>43</v>
      </c>
      <c r="P498" s="41">
        <v>4</v>
      </c>
      <c r="Q498" s="41">
        <v>62.999999999999993</v>
      </c>
      <c r="R498" s="45" t="s">
        <v>1307</v>
      </c>
      <c r="S498" s="45" t="s">
        <v>1307</v>
      </c>
      <c r="T498" s="45" t="s">
        <v>1307</v>
      </c>
      <c r="U498" s="44">
        <v>4.7050000000000001</v>
      </c>
      <c r="V498" s="44">
        <v>5.2169999999999996</v>
      </c>
      <c r="W498" s="44">
        <v>0.46831377551020348</v>
      </c>
      <c r="X498" s="44">
        <v>2.2972004999999993</v>
      </c>
      <c r="Y498" s="130" t="s">
        <v>4323</v>
      </c>
      <c r="Z498" s="224" t="s">
        <v>4324</v>
      </c>
    </row>
    <row r="499" spans="2:26" ht="15" customHeight="1" x14ac:dyDescent="0.35">
      <c r="B499" s="181">
        <v>26035</v>
      </c>
      <c r="C499" s="182" t="s">
        <v>172</v>
      </c>
      <c r="D499" s="222">
        <v>12</v>
      </c>
      <c r="E499" s="223" t="s">
        <v>2933</v>
      </c>
      <c r="F499" s="183" t="s">
        <v>2934</v>
      </c>
      <c r="G499" s="125">
        <v>0.90134677442214717</v>
      </c>
      <c r="H499" s="121" t="s">
        <v>1325</v>
      </c>
      <c r="I499" s="122">
        <v>58.72972972972974</v>
      </c>
      <c r="J499" s="106" t="s">
        <v>4656</v>
      </c>
      <c r="K499" s="118">
        <v>249</v>
      </c>
      <c r="L499" s="46">
        <v>2.3326488706365502</v>
      </c>
      <c r="M499" s="41">
        <v>580.82956878850098</v>
      </c>
      <c r="N499" s="44">
        <v>6.0350000000000001</v>
      </c>
      <c r="O499" s="41">
        <v>286</v>
      </c>
      <c r="P499" s="41">
        <v>10</v>
      </c>
      <c r="Q499" s="41">
        <v>42</v>
      </c>
      <c r="R499" s="45" t="s">
        <v>1307</v>
      </c>
      <c r="S499" s="45" t="s">
        <v>1324</v>
      </c>
      <c r="T499" s="45" t="s">
        <v>1307</v>
      </c>
      <c r="U499" s="44">
        <v>28.843</v>
      </c>
      <c r="V499" s="44">
        <v>39.369999999999997</v>
      </c>
      <c r="W499" s="44">
        <v>5.6504499999999984</v>
      </c>
      <c r="X499" s="44">
        <v>6.2688969000000005</v>
      </c>
      <c r="Y499" s="130" t="s">
        <v>4325</v>
      </c>
      <c r="Z499" s="224"/>
    </row>
    <row r="500" spans="2:26" ht="15" customHeight="1" x14ac:dyDescent="0.35">
      <c r="B500" s="181">
        <v>77012</v>
      </c>
      <c r="C500" s="182" t="s">
        <v>757</v>
      </c>
      <c r="D500" s="222">
        <v>15</v>
      </c>
      <c r="E500" s="223" t="s">
        <v>2936</v>
      </c>
      <c r="F500" s="183" t="s">
        <v>2937</v>
      </c>
      <c r="G500" s="125">
        <v>1.0989027444167314</v>
      </c>
      <c r="H500" s="121" t="s">
        <v>1336</v>
      </c>
      <c r="I500" s="122">
        <v>59.081081081081095</v>
      </c>
      <c r="J500" s="106" t="s">
        <v>4656</v>
      </c>
      <c r="K500" s="118">
        <v>756</v>
      </c>
      <c r="L500" s="46">
        <v>1.4221799143265113</v>
      </c>
      <c r="M500" s="41">
        <v>1075.1680152308425</v>
      </c>
      <c r="N500" s="44">
        <v>24.602</v>
      </c>
      <c r="O500" s="41">
        <v>592</v>
      </c>
      <c r="P500" s="41">
        <v>6</v>
      </c>
      <c r="Q500" s="41">
        <v>52.74</v>
      </c>
      <c r="R500" s="45" t="s">
        <v>1307</v>
      </c>
      <c r="S500" s="45" t="s">
        <v>1307</v>
      </c>
      <c r="T500" s="45" t="s">
        <v>1307</v>
      </c>
      <c r="U500" s="44">
        <v>177.4864140526976</v>
      </c>
      <c r="V500" s="44">
        <v>211.54999999999998</v>
      </c>
      <c r="W500" s="44">
        <v>21.264749999999992</v>
      </c>
      <c r="X500" s="44">
        <v>19.3508935236</v>
      </c>
      <c r="Y500" s="130" t="s">
        <v>4326</v>
      </c>
      <c r="Z500" s="224" t="s">
        <v>3762</v>
      </c>
    </row>
    <row r="501" spans="2:26" ht="15" customHeight="1" x14ac:dyDescent="0.35">
      <c r="B501" s="181">
        <v>26030</v>
      </c>
      <c r="C501" s="182" t="s">
        <v>171</v>
      </c>
      <c r="D501" s="222">
        <v>12</v>
      </c>
      <c r="E501" s="223" t="s">
        <v>1835</v>
      </c>
      <c r="F501" s="183" t="s">
        <v>2941</v>
      </c>
      <c r="G501" s="125">
        <v>3.9605625402172668</v>
      </c>
      <c r="H501" s="121" t="s">
        <v>1373</v>
      </c>
      <c r="I501" s="122">
        <v>59.666666666666664</v>
      </c>
      <c r="J501" s="106" t="s">
        <v>4656</v>
      </c>
      <c r="K501" s="118">
        <v>4472</v>
      </c>
      <c r="L501" s="46">
        <v>2.4500000000000002</v>
      </c>
      <c r="M501" s="41">
        <v>10956.400000000001</v>
      </c>
      <c r="N501" s="44">
        <v>80.625</v>
      </c>
      <c r="O501" s="41">
        <v>5060</v>
      </c>
      <c r="P501" s="41">
        <v>9</v>
      </c>
      <c r="Q501" s="41">
        <v>45.5</v>
      </c>
      <c r="R501" s="45" t="s">
        <v>1307</v>
      </c>
      <c r="S501" s="45" t="s">
        <v>1307</v>
      </c>
      <c r="T501" s="45" t="s">
        <v>1307</v>
      </c>
      <c r="U501" s="44">
        <v>901.24</v>
      </c>
      <c r="V501" s="44">
        <v>1714.17</v>
      </c>
      <c r="W501" s="44">
        <v>436.5982876020409</v>
      </c>
      <c r="X501" s="44">
        <v>110.236433125</v>
      </c>
      <c r="Y501" s="130" t="s">
        <v>4327</v>
      </c>
      <c r="Z501" s="224" t="s">
        <v>3762</v>
      </c>
    </row>
    <row r="502" spans="2:26" ht="15" customHeight="1" x14ac:dyDescent="0.35">
      <c r="B502" s="181">
        <v>38015</v>
      </c>
      <c r="C502" s="182" t="s">
        <v>327</v>
      </c>
      <c r="D502" s="222">
        <v>17</v>
      </c>
      <c r="E502" s="223" t="s">
        <v>2265</v>
      </c>
      <c r="F502" s="183" t="s">
        <v>2944</v>
      </c>
      <c r="G502" s="125">
        <v>0.68112453094329495</v>
      </c>
      <c r="H502" s="121" t="s">
        <v>1325</v>
      </c>
      <c r="I502" s="122">
        <v>64</v>
      </c>
      <c r="J502" s="106" t="s">
        <v>4656</v>
      </c>
      <c r="K502" s="118">
        <v>92</v>
      </c>
      <c r="L502" s="46">
        <v>2.0580357142857144</v>
      </c>
      <c r="M502" s="41">
        <v>189.33928571428572</v>
      </c>
      <c r="N502" s="44">
        <v>3.7050000000000001</v>
      </c>
      <c r="O502" s="41">
        <v>103</v>
      </c>
      <c r="P502" s="41">
        <v>6</v>
      </c>
      <c r="Q502" s="41">
        <v>42.19</v>
      </c>
      <c r="R502" s="45" t="s">
        <v>1324</v>
      </c>
      <c r="S502" s="45" t="s">
        <v>1324</v>
      </c>
      <c r="T502" s="45" t="s">
        <v>1307</v>
      </c>
      <c r="U502" s="44">
        <v>20.311900000000001</v>
      </c>
      <c r="V502" s="44">
        <v>24.390699999999999</v>
      </c>
      <c r="W502" s="44">
        <v>1.7258395000000011</v>
      </c>
      <c r="X502" s="44">
        <v>2.5338090489999998</v>
      </c>
      <c r="Y502" s="130" t="s">
        <v>4328</v>
      </c>
      <c r="Z502" s="224"/>
    </row>
    <row r="503" spans="2:26" ht="15" customHeight="1" x14ac:dyDescent="0.35">
      <c r="B503" s="181">
        <v>38015</v>
      </c>
      <c r="C503" s="182" t="s">
        <v>327</v>
      </c>
      <c r="D503" s="222">
        <v>17</v>
      </c>
      <c r="E503" s="223" t="s">
        <v>2945</v>
      </c>
      <c r="F503" s="183" t="s">
        <v>2946</v>
      </c>
      <c r="G503" s="125">
        <v>1.9926208978364044</v>
      </c>
      <c r="H503" s="121" t="s">
        <v>1325</v>
      </c>
      <c r="I503" s="122">
        <v>37.72972972972974</v>
      </c>
      <c r="J503" s="106" t="s">
        <v>4656</v>
      </c>
      <c r="K503" s="118">
        <v>112</v>
      </c>
      <c r="L503" s="46">
        <v>2.0580357142857144</v>
      </c>
      <c r="M503" s="41">
        <v>230.5</v>
      </c>
      <c r="N503" s="44">
        <v>4.0999999999999996</v>
      </c>
      <c r="O503" s="41">
        <v>112</v>
      </c>
      <c r="P503" s="41">
        <v>8</v>
      </c>
      <c r="Q503" s="41">
        <v>35</v>
      </c>
      <c r="R503" s="45" t="s">
        <v>1324</v>
      </c>
      <c r="S503" s="45" t="s">
        <v>1324</v>
      </c>
      <c r="T503" s="45" t="s">
        <v>1324</v>
      </c>
      <c r="U503" s="44">
        <v>21.760999999999999</v>
      </c>
      <c r="V503" s="44">
        <v>26.826000000000001</v>
      </c>
      <c r="W503" s="44">
        <v>4.7296750000000003</v>
      </c>
      <c r="X503" s="44">
        <v>2.3735949999999999</v>
      </c>
      <c r="Y503" s="130" t="s">
        <v>4329</v>
      </c>
      <c r="Z503" s="224"/>
    </row>
    <row r="504" spans="2:26" ht="15" customHeight="1" x14ac:dyDescent="0.35">
      <c r="B504" s="181">
        <v>54030</v>
      </c>
      <c r="C504" s="182" t="s">
        <v>545</v>
      </c>
      <c r="D504" s="222">
        <v>16</v>
      </c>
      <c r="E504" s="223" t="s">
        <v>4617</v>
      </c>
      <c r="F504" s="183" t="s">
        <v>4618</v>
      </c>
      <c r="G504" s="125">
        <v>1.8231679241785039</v>
      </c>
      <c r="H504" s="121" t="s">
        <v>1336</v>
      </c>
      <c r="I504" s="122">
        <v>49.648648648648653</v>
      </c>
      <c r="J504" s="106" t="s">
        <v>4656</v>
      </c>
      <c r="K504" s="118">
        <v>712</v>
      </c>
      <c r="L504" s="46">
        <v>3.0960743801652892</v>
      </c>
      <c r="M504" s="41">
        <v>2204.404958677686</v>
      </c>
      <c r="N504" s="44">
        <v>22.882000000000001</v>
      </c>
      <c r="O504" s="41">
        <v>712</v>
      </c>
      <c r="P504" s="41">
        <v>10</v>
      </c>
      <c r="Q504" s="41">
        <v>50</v>
      </c>
      <c r="R504" s="45" t="s">
        <v>1307</v>
      </c>
      <c r="S504" s="45" t="s">
        <v>1307</v>
      </c>
      <c r="T504" s="45" t="s">
        <v>1307</v>
      </c>
      <c r="U504" s="44">
        <v>167.80649499999998</v>
      </c>
      <c r="V504" s="44">
        <v>208.99799999999999</v>
      </c>
      <c r="W504" s="44">
        <v>38.57903000000001</v>
      </c>
      <c r="X504" s="44">
        <v>21.160437000000002</v>
      </c>
      <c r="Y504" s="130"/>
      <c r="Z504" s="224"/>
    </row>
    <row r="505" spans="2:26" ht="15" customHeight="1" x14ac:dyDescent="0.35">
      <c r="B505" s="181">
        <v>54030</v>
      </c>
      <c r="C505" s="182" t="s">
        <v>545</v>
      </c>
      <c r="D505" s="222">
        <v>16</v>
      </c>
      <c r="E505" s="223" t="s">
        <v>4619</v>
      </c>
      <c r="F505" s="183" t="s">
        <v>4620</v>
      </c>
      <c r="G505" s="125">
        <v>1.0055997324213253</v>
      </c>
      <c r="H505" s="121" t="s">
        <v>1336</v>
      </c>
      <c r="I505" s="122">
        <v>49.648648648648653</v>
      </c>
      <c r="J505" s="106" t="s">
        <v>4656</v>
      </c>
      <c r="K505" s="118">
        <v>271</v>
      </c>
      <c r="L505" s="46">
        <v>3.0960743801652892</v>
      </c>
      <c r="M505" s="41">
        <v>839.0361570247934</v>
      </c>
      <c r="N505" s="44">
        <v>13.805</v>
      </c>
      <c r="O505" s="41">
        <v>271</v>
      </c>
      <c r="P505" s="41">
        <v>10</v>
      </c>
      <c r="Q505" s="41">
        <v>50</v>
      </c>
      <c r="R505" s="45" t="s">
        <v>1307</v>
      </c>
      <c r="S505" s="45" t="s">
        <v>1307</v>
      </c>
      <c r="T505" s="45" t="s">
        <v>1307</v>
      </c>
      <c r="U505" s="44">
        <v>35.643001152499998</v>
      </c>
      <c r="V505" s="44">
        <v>46.000461000000001</v>
      </c>
      <c r="W505" s="44">
        <v>9.7824540850000048</v>
      </c>
      <c r="X505" s="44">
        <v>9.7279800000000005</v>
      </c>
      <c r="Y505" s="130"/>
      <c r="Z505" s="224"/>
    </row>
    <row r="506" spans="2:26" ht="15" customHeight="1" x14ac:dyDescent="0.35">
      <c r="B506" s="181">
        <v>54030</v>
      </c>
      <c r="C506" s="182" t="s">
        <v>545</v>
      </c>
      <c r="D506" s="222">
        <v>16</v>
      </c>
      <c r="E506" s="223" t="s">
        <v>4621</v>
      </c>
      <c r="F506" s="183" t="s">
        <v>4622</v>
      </c>
      <c r="G506" s="125">
        <v>0.90020303991003225</v>
      </c>
      <c r="H506" s="121" t="s">
        <v>1336</v>
      </c>
      <c r="I506" s="122">
        <v>49.648648648648653</v>
      </c>
      <c r="J506" s="106" t="s">
        <v>4656</v>
      </c>
      <c r="K506" s="118">
        <v>100</v>
      </c>
      <c r="L506" s="46">
        <v>3.0960743801652892</v>
      </c>
      <c r="M506" s="41">
        <v>309.60743801652893</v>
      </c>
      <c r="N506" s="44">
        <v>8.08</v>
      </c>
      <c r="O506" s="41">
        <v>100</v>
      </c>
      <c r="P506" s="41">
        <v>10</v>
      </c>
      <c r="Q506" s="41">
        <v>50</v>
      </c>
      <c r="R506" s="45" t="s">
        <v>1307</v>
      </c>
      <c r="S506" s="45" t="s">
        <v>1307</v>
      </c>
      <c r="T506" s="45" t="s">
        <v>1307</v>
      </c>
      <c r="U506" s="44">
        <v>38.913932500000001</v>
      </c>
      <c r="V506" s="44">
        <v>43.573</v>
      </c>
      <c r="W506" s="44">
        <v>4.1144049999999996</v>
      </c>
      <c r="X506" s="44">
        <v>4.5705299999999998</v>
      </c>
      <c r="Y506" s="130"/>
      <c r="Z506" s="224"/>
    </row>
    <row r="507" spans="2:26" ht="15" customHeight="1" x14ac:dyDescent="0.35">
      <c r="B507" s="181">
        <v>72015</v>
      </c>
      <c r="C507" s="182" t="s">
        <v>729</v>
      </c>
      <c r="D507" s="222">
        <v>15</v>
      </c>
      <c r="E507" s="223" t="s">
        <v>2949</v>
      </c>
      <c r="F507" s="183" t="s">
        <v>2950</v>
      </c>
      <c r="G507" s="125">
        <v>3.4432822477119767</v>
      </c>
      <c r="H507" s="121" t="s">
        <v>1373</v>
      </c>
      <c r="I507" s="122">
        <v>63</v>
      </c>
      <c r="J507" s="106" t="s">
        <v>4656</v>
      </c>
      <c r="K507" s="118">
        <v>7468</v>
      </c>
      <c r="L507" s="46">
        <v>2.7252871933059142</v>
      </c>
      <c r="M507" s="41">
        <v>20352.444759608567</v>
      </c>
      <c r="N507" s="44">
        <v>97.84</v>
      </c>
      <c r="O507" s="41">
        <v>7562</v>
      </c>
      <c r="P507" s="41">
        <v>6</v>
      </c>
      <c r="Q507" s="41">
        <v>42</v>
      </c>
      <c r="R507" s="45" t="s">
        <v>1307</v>
      </c>
      <c r="S507" s="45" t="s">
        <v>1307</v>
      </c>
      <c r="T507" s="45" t="s">
        <v>1307</v>
      </c>
      <c r="U507" s="44">
        <v>1257.19527625619</v>
      </c>
      <c r="V507" s="44">
        <v>1829.5892143051165</v>
      </c>
      <c r="W507" s="44">
        <v>472.16750400000035</v>
      </c>
      <c r="X507" s="44">
        <v>137.12715660000003</v>
      </c>
      <c r="Y507" s="130" t="s">
        <v>4330</v>
      </c>
      <c r="Z507" s="224"/>
    </row>
    <row r="508" spans="2:26" ht="15" customHeight="1" x14ac:dyDescent="0.35">
      <c r="B508" s="181">
        <v>93075</v>
      </c>
      <c r="C508" s="182" t="s">
        <v>970</v>
      </c>
      <c r="D508" s="222">
        <v>2</v>
      </c>
      <c r="E508" s="223" t="s">
        <v>2953</v>
      </c>
      <c r="F508" s="183" t="s">
        <v>2954</v>
      </c>
      <c r="G508" s="125">
        <v>1.2852651953156209</v>
      </c>
      <c r="H508" s="121" t="s">
        <v>1325</v>
      </c>
      <c r="I508" s="122">
        <v>58.72972972972974</v>
      </c>
      <c r="J508" s="106" t="s">
        <v>4656</v>
      </c>
      <c r="K508" s="118">
        <v>425</v>
      </c>
      <c r="L508" s="46">
        <v>2.2553191489361701</v>
      </c>
      <c r="M508" s="41">
        <v>958.51063829787233</v>
      </c>
      <c r="N508" s="44">
        <v>28.216999999999999</v>
      </c>
      <c r="O508" s="41">
        <v>405</v>
      </c>
      <c r="P508" s="41">
        <v>8</v>
      </c>
      <c r="Q508" s="41">
        <v>39</v>
      </c>
      <c r="R508" s="45" t="s">
        <v>1307</v>
      </c>
      <c r="S508" s="45" t="s">
        <v>1324</v>
      </c>
      <c r="T508" s="45" t="s">
        <v>1307</v>
      </c>
      <c r="U508" s="44">
        <v>91.340999999999994</v>
      </c>
      <c r="V508" s="44">
        <v>113.18</v>
      </c>
      <c r="W508" s="44">
        <v>16.702300000000008</v>
      </c>
      <c r="X508" s="44">
        <v>12.995216909999998</v>
      </c>
      <c r="Y508" s="130" t="s">
        <v>4331</v>
      </c>
      <c r="Z508" s="224" t="s">
        <v>3761</v>
      </c>
    </row>
    <row r="509" spans="2:26" ht="15" customHeight="1" x14ac:dyDescent="0.35">
      <c r="B509" s="181">
        <v>17030</v>
      </c>
      <c r="C509" s="182" t="s">
        <v>95</v>
      </c>
      <c r="D509" s="222">
        <v>12</v>
      </c>
      <c r="E509" s="223" t="s">
        <v>2956</v>
      </c>
      <c r="F509" s="183" t="s">
        <v>2957</v>
      </c>
      <c r="G509" s="125">
        <v>0.65871665351955855</v>
      </c>
      <c r="H509" s="121" t="s">
        <v>1336</v>
      </c>
      <c r="I509" s="122">
        <v>51.729729729729726</v>
      </c>
      <c r="J509" s="106" t="s">
        <v>4656</v>
      </c>
      <c r="K509" s="118">
        <v>620</v>
      </c>
      <c r="L509" s="46">
        <v>2.0249687890137329</v>
      </c>
      <c r="M509" s="41">
        <v>1255.4806491885145</v>
      </c>
      <c r="N509" s="44">
        <v>15.547000000000001</v>
      </c>
      <c r="O509" s="41">
        <v>597</v>
      </c>
      <c r="P509" s="41">
        <v>3</v>
      </c>
      <c r="Q509" s="41">
        <v>35.200000000000003</v>
      </c>
      <c r="R509" s="45" t="s">
        <v>1307</v>
      </c>
      <c r="S509" s="45" t="s">
        <v>1307</v>
      </c>
      <c r="T509" s="45" t="s">
        <v>1307</v>
      </c>
      <c r="U509" s="44">
        <v>142.1359568</v>
      </c>
      <c r="V509" s="44">
        <v>157.71</v>
      </c>
      <c r="W509" s="44">
        <v>6.7893500000000069</v>
      </c>
      <c r="X509" s="44">
        <v>10.306935408000001</v>
      </c>
      <c r="Y509" s="130" t="s">
        <v>4332</v>
      </c>
      <c r="Z509" s="224" t="s">
        <v>3762</v>
      </c>
    </row>
    <row r="510" spans="2:26" ht="15" customHeight="1" x14ac:dyDescent="0.35">
      <c r="B510" s="181">
        <v>50050</v>
      </c>
      <c r="C510" s="182" t="s">
        <v>488</v>
      </c>
      <c r="D510" s="222">
        <v>17</v>
      </c>
      <c r="E510" s="223" t="s">
        <v>2959</v>
      </c>
      <c r="F510" s="183" t="s">
        <v>2960</v>
      </c>
      <c r="G510" s="125">
        <v>3.3864941935680233</v>
      </c>
      <c r="H510" s="121" t="s">
        <v>1336</v>
      </c>
      <c r="I510" s="122">
        <v>64.057161199258545</v>
      </c>
      <c r="J510" s="106" t="s">
        <v>4656</v>
      </c>
      <c r="K510" s="118">
        <v>234</v>
      </c>
      <c r="L510" s="46">
        <v>2.2999999999999998</v>
      </c>
      <c r="M510" s="41">
        <v>538.19999999999993</v>
      </c>
      <c r="N510" s="44">
        <v>7.4720000000000004</v>
      </c>
      <c r="O510" s="41">
        <v>234</v>
      </c>
      <c r="P510" s="41">
        <v>6</v>
      </c>
      <c r="Q510" s="41">
        <v>33.6</v>
      </c>
      <c r="R510" s="45" t="s">
        <v>1307</v>
      </c>
      <c r="S510" s="45" t="s">
        <v>1307</v>
      </c>
      <c r="T510" s="45" t="s">
        <v>1307</v>
      </c>
      <c r="U510" s="44">
        <v>31.26886</v>
      </c>
      <c r="V510" s="44">
        <v>69.313999999999993</v>
      </c>
      <c r="W510" s="44">
        <v>14.818438909183673</v>
      </c>
      <c r="X510" s="44">
        <v>4.3757461440000016</v>
      </c>
      <c r="Y510" s="130" t="s">
        <v>4333</v>
      </c>
      <c r="Z510" s="224" t="s">
        <v>3761</v>
      </c>
    </row>
    <row r="511" spans="2:26" ht="15" customHeight="1" x14ac:dyDescent="0.35">
      <c r="B511" s="181">
        <v>29112</v>
      </c>
      <c r="C511" s="182" t="s">
        <v>214</v>
      </c>
      <c r="D511" s="222">
        <v>12</v>
      </c>
      <c r="E511" s="223" t="s">
        <v>2963</v>
      </c>
      <c r="F511" s="183" t="s">
        <v>2964</v>
      </c>
      <c r="G511" s="125">
        <v>1.5981510838421307</v>
      </c>
      <c r="H511" s="121" t="s">
        <v>1336</v>
      </c>
      <c r="I511" s="122">
        <v>55</v>
      </c>
      <c r="J511" s="106" t="s">
        <v>4656</v>
      </c>
      <c r="K511" s="118">
        <v>739</v>
      </c>
      <c r="L511" s="46">
        <v>2.44</v>
      </c>
      <c r="M511" s="41">
        <v>1803.1599999999999</v>
      </c>
      <c r="N511" s="44">
        <v>19.363</v>
      </c>
      <c r="O511" s="41">
        <v>606</v>
      </c>
      <c r="P511" s="41">
        <v>6</v>
      </c>
      <c r="Q511" s="41">
        <v>31.5</v>
      </c>
      <c r="R511" s="45" t="s">
        <v>1307</v>
      </c>
      <c r="S511" s="45" t="s">
        <v>1307</v>
      </c>
      <c r="T511" s="45" t="s">
        <v>1307</v>
      </c>
      <c r="U511" s="44">
        <v>112.259</v>
      </c>
      <c r="V511" s="44">
        <v>170.24600000000001</v>
      </c>
      <c r="W511" s="44">
        <v>16.982561377551043</v>
      </c>
      <c r="X511" s="44">
        <v>10.626380415000002</v>
      </c>
      <c r="Y511" s="130" t="s">
        <v>4334</v>
      </c>
      <c r="Z511" s="224" t="s">
        <v>4335</v>
      </c>
    </row>
    <row r="512" spans="2:26" ht="15" customHeight="1" x14ac:dyDescent="0.35">
      <c r="B512" s="181">
        <v>12030</v>
      </c>
      <c r="C512" s="182" t="s">
        <v>33</v>
      </c>
      <c r="D512" s="222">
        <v>1</v>
      </c>
      <c r="E512" s="223" t="s">
        <v>2966</v>
      </c>
      <c r="F512" s="183" t="s">
        <v>2967</v>
      </c>
      <c r="G512" s="125">
        <v>0.41397307724143656</v>
      </c>
      <c r="H512" s="121" t="s">
        <v>1336</v>
      </c>
      <c r="I512" s="122">
        <v>71.392156862745111</v>
      </c>
      <c r="J512" s="106" t="s">
        <v>4656</v>
      </c>
      <c r="K512" s="118">
        <v>264</v>
      </c>
      <c r="L512" s="46">
        <v>2.026829268292683</v>
      </c>
      <c r="M512" s="41">
        <v>535.08292682926833</v>
      </c>
      <c r="N512" s="44">
        <v>5.0570000000000004</v>
      </c>
      <c r="O512" s="41">
        <v>250</v>
      </c>
      <c r="P512" s="41">
        <v>7.3</v>
      </c>
      <c r="Q512" s="41">
        <v>49</v>
      </c>
      <c r="R512" s="45" t="s">
        <v>1307</v>
      </c>
      <c r="S512" s="45" t="s">
        <v>1307</v>
      </c>
      <c r="T512" s="45" t="s">
        <v>1307</v>
      </c>
      <c r="U512" s="44">
        <v>31.878</v>
      </c>
      <c r="V512" s="44">
        <v>38.729999999999997</v>
      </c>
      <c r="W512" s="44">
        <v>2.4925331958762871</v>
      </c>
      <c r="X512" s="44">
        <v>6.0210031350000008</v>
      </c>
      <c r="Y512" s="130" t="s">
        <v>4336</v>
      </c>
      <c r="Z512" s="224"/>
    </row>
    <row r="513" spans="2:26" ht="15" customHeight="1" x14ac:dyDescent="0.35">
      <c r="B513" s="181">
        <v>94230</v>
      </c>
      <c r="C513" s="182" t="s">
        <v>978</v>
      </c>
      <c r="D513" s="222">
        <v>2</v>
      </c>
      <c r="E513" s="223" t="s">
        <v>2970</v>
      </c>
      <c r="F513" s="183" t="s">
        <v>2971</v>
      </c>
      <c r="G513" s="125">
        <v>1.2025075464652002</v>
      </c>
      <c r="H513" s="121" t="s">
        <v>1325</v>
      </c>
      <c r="I513" s="122">
        <v>62.037688833515027</v>
      </c>
      <c r="J513" s="106" t="s">
        <v>4656</v>
      </c>
      <c r="K513" s="118">
        <v>132</v>
      </c>
      <c r="L513" s="46">
        <v>1.8487394957983194</v>
      </c>
      <c r="M513" s="41">
        <v>244.03361344537817</v>
      </c>
      <c r="N513" s="44">
        <v>6.1470000000000002</v>
      </c>
      <c r="O513" s="41">
        <v>129</v>
      </c>
      <c r="P513" s="41">
        <v>10</v>
      </c>
      <c r="Q513" s="41">
        <v>52</v>
      </c>
      <c r="R513" s="45" t="s">
        <v>1324</v>
      </c>
      <c r="S513" s="45" t="s">
        <v>1324</v>
      </c>
      <c r="T513" s="45" t="s">
        <v>1324</v>
      </c>
      <c r="U513" s="44">
        <v>33.134</v>
      </c>
      <c r="V513" s="44">
        <v>44.947000000000003</v>
      </c>
      <c r="W513" s="44">
        <v>5.6167950000000006</v>
      </c>
      <c r="X513" s="44">
        <v>4.6709020800000003</v>
      </c>
      <c r="Y513" s="130" t="s">
        <v>4337</v>
      </c>
      <c r="Z513" s="224" t="s">
        <v>3761</v>
      </c>
    </row>
    <row r="514" spans="2:26" ht="15" customHeight="1" x14ac:dyDescent="0.35">
      <c r="B514" s="181">
        <v>28065</v>
      </c>
      <c r="C514" s="182" t="s">
        <v>198</v>
      </c>
      <c r="D514" s="222">
        <v>12</v>
      </c>
      <c r="E514" s="223" t="s">
        <v>2973</v>
      </c>
      <c r="F514" s="183" t="s">
        <v>2974</v>
      </c>
      <c r="G514" s="125">
        <v>0.77707058461145939</v>
      </c>
      <c r="H514" s="121" t="s">
        <v>1336</v>
      </c>
      <c r="I514" s="122">
        <v>38.081081081081081</v>
      </c>
      <c r="J514" s="106" t="s">
        <v>4656</v>
      </c>
      <c r="K514" s="118">
        <v>124</v>
      </c>
      <c r="L514" s="46">
        <v>1.45</v>
      </c>
      <c r="M514" s="41">
        <v>179.79999999999998</v>
      </c>
      <c r="N514" s="44">
        <v>3.5430000000000001</v>
      </c>
      <c r="O514" s="41">
        <v>140</v>
      </c>
      <c r="P514" s="41">
        <v>10</v>
      </c>
      <c r="Q514" s="41">
        <v>42.2</v>
      </c>
      <c r="R514" s="45" t="s">
        <v>1307</v>
      </c>
      <c r="S514" s="45" t="s">
        <v>1307</v>
      </c>
      <c r="T514" s="45" t="s">
        <v>1307</v>
      </c>
      <c r="U514" s="44">
        <v>15.315</v>
      </c>
      <c r="V514" s="44">
        <v>20.68</v>
      </c>
      <c r="W514" s="44">
        <v>2.522799999999997</v>
      </c>
      <c r="X514" s="44">
        <v>3.2465519220000001</v>
      </c>
      <c r="Y514" s="130" t="s">
        <v>4338</v>
      </c>
      <c r="Z514" s="224" t="s">
        <v>3761</v>
      </c>
    </row>
    <row r="515" spans="2:26" ht="15" customHeight="1" x14ac:dyDescent="0.35">
      <c r="B515" s="181">
        <v>75028</v>
      </c>
      <c r="C515" s="182" t="s">
        <v>744</v>
      </c>
      <c r="D515" s="222">
        <v>15</v>
      </c>
      <c r="E515" s="223" t="s">
        <v>2976</v>
      </c>
      <c r="F515" s="183" t="s">
        <v>2977</v>
      </c>
      <c r="G515" s="125">
        <v>5.7289247024184382</v>
      </c>
      <c r="H515" s="121" t="s">
        <v>1325</v>
      </c>
      <c r="I515" s="122">
        <v>56.098039215686271</v>
      </c>
      <c r="J515" s="106" t="s">
        <v>4656</v>
      </c>
      <c r="K515" s="118">
        <v>894</v>
      </c>
      <c r="L515" s="46">
        <v>2.5032132715588102</v>
      </c>
      <c r="M515" s="41">
        <v>2237.8726647735762</v>
      </c>
      <c r="N515" s="44">
        <v>13.415000000000001</v>
      </c>
      <c r="O515" s="41">
        <v>646</v>
      </c>
      <c r="P515" s="41">
        <v>9.1</v>
      </c>
      <c r="Q515" s="41">
        <v>41.404999999999994</v>
      </c>
      <c r="R515" s="45" t="s">
        <v>1324</v>
      </c>
      <c r="S515" s="45" t="s">
        <v>1307</v>
      </c>
      <c r="T515" s="45" t="s">
        <v>1307</v>
      </c>
      <c r="U515" s="44">
        <v>168.46943923240937</v>
      </c>
      <c r="V515" s="44">
        <v>276.62099999999998</v>
      </c>
      <c r="W515" s="44">
        <v>78.375460357142842</v>
      </c>
      <c r="X515" s="44">
        <v>13.680658138875</v>
      </c>
      <c r="Y515" s="130" t="s">
        <v>4339</v>
      </c>
      <c r="Z515" s="224" t="s">
        <v>3761</v>
      </c>
    </row>
    <row r="516" spans="2:26" ht="15" customHeight="1" x14ac:dyDescent="0.35">
      <c r="B516" s="181">
        <v>75028</v>
      </c>
      <c r="C516" s="182" t="s">
        <v>744</v>
      </c>
      <c r="D516" s="222">
        <v>15</v>
      </c>
      <c r="E516" s="223" t="s">
        <v>2978</v>
      </c>
      <c r="F516" s="183" t="s">
        <v>2979</v>
      </c>
      <c r="G516" s="125">
        <v>0.7215389085146543</v>
      </c>
      <c r="H516" s="121" t="s">
        <v>1325</v>
      </c>
      <c r="I516" s="122">
        <v>58.72972972972974</v>
      </c>
      <c r="J516" s="106" t="s">
        <v>4656</v>
      </c>
      <c r="K516" s="118">
        <v>51</v>
      </c>
      <c r="L516" s="46">
        <v>2.5032132715588102</v>
      </c>
      <c r="M516" s="41">
        <v>127.66387684949932</v>
      </c>
      <c r="N516" s="44">
        <v>0.98499999999999999</v>
      </c>
      <c r="O516" s="41">
        <v>50</v>
      </c>
      <c r="P516" s="41">
        <v>9.1</v>
      </c>
      <c r="Q516" s="41">
        <v>38.5</v>
      </c>
      <c r="R516" s="45" t="s">
        <v>1324</v>
      </c>
      <c r="S516" s="45" t="s">
        <v>1307</v>
      </c>
      <c r="T516" s="45" t="s">
        <v>1307</v>
      </c>
      <c r="U516" s="44">
        <v>11.731</v>
      </c>
      <c r="V516" s="44">
        <v>12.621</v>
      </c>
      <c r="W516" s="44">
        <v>0.70068500000000011</v>
      </c>
      <c r="X516" s="44">
        <v>0.97109801249999994</v>
      </c>
      <c r="Y516" s="130" t="s">
        <v>4340</v>
      </c>
      <c r="Z516" s="224"/>
    </row>
    <row r="517" spans="2:26" ht="15" customHeight="1" x14ac:dyDescent="0.35">
      <c r="B517" s="181">
        <v>63030</v>
      </c>
      <c r="C517" s="182" t="s">
        <v>637</v>
      </c>
      <c r="D517" s="222">
        <v>14</v>
      </c>
      <c r="E517" s="223" t="s">
        <v>2982</v>
      </c>
      <c r="F517" s="183" t="s">
        <v>2983</v>
      </c>
      <c r="G517" s="125">
        <v>3.6878819298927001</v>
      </c>
      <c r="H517" s="121" t="s">
        <v>1325</v>
      </c>
      <c r="I517" s="122">
        <v>67.322222222222194</v>
      </c>
      <c r="J517" s="106" t="s">
        <v>4656</v>
      </c>
      <c r="K517" s="118">
        <v>618</v>
      </c>
      <c r="L517" s="46">
        <v>2.3543123543123543</v>
      </c>
      <c r="M517" s="41">
        <v>1454.9650349650349</v>
      </c>
      <c r="N517" s="44">
        <v>14.59</v>
      </c>
      <c r="O517" s="41">
        <v>490</v>
      </c>
      <c r="P517" s="41">
        <v>15</v>
      </c>
      <c r="Q517" s="41">
        <v>45.7</v>
      </c>
      <c r="R517" s="45" t="s">
        <v>1324</v>
      </c>
      <c r="S517" s="45" t="s">
        <v>1307</v>
      </c>
      <c r="T517" s="45" t="s">
        <v>1307</v>
      </c>
      <c r="U517" s="44">
        <v>70.174999999999997</v>
      </c>
      <c r="V517" s="44">
        <v>191.267</v>
      </c>
      <c r="W517" s="44">
        <v>51.572929591836697</v>
      </c>
      <c r="X517" s="44">
        <v>13.984430785000002</v>
      </c>
      <c r="Y517" s="130" t="s">
        <v>4341</v>
      </c>
      <c r="Z517" s="224"/>
    </row>
    <row r="518" spans="2:26" ht="15" customHeight="1" x14ac:dyDescent="0.35">
      <c r="B518" s="181">
        <v>35050</v>
      </c>
      <c r="C518" s="182" t="s">
        <v>311</v>
      </c>
      <c r="D518" s="222">
        <v>4</v>
      </c>
      <c r="E518" s="223" t="s">
        <v>2987</v>
      </c>
      <c r="F518" s="183" t="s">
        <v>2988</v>
      </c>
      <c r="G518" s="125">
        <v>2.2915136526846007</v>
      </c>
      <c r="H518" s="121" t="s">
        <v>1336</v>
      </c>
      <c r="I518" s="122">
        <v>59</v>
      </c>
      <c r="J518" s="106" t="s">
        <v>4656</v>
      </c>
      <c r="K518" s="118">
        <v>968</v>
      </c>
      <c r="L518" s="46">
        <v>1.9836467702371219</v>
      </c>
      <c r="M518" s="41">
        <v>1920.170073589534</v>
      </c>
      <c r="N518" s="44">
        <v>29.41</v>
      </c>
      <c r="O518" s="41">
        <v>913</v>
      </c>
      <c r="P518" s="41">
        <v>7.21</v>
      </c>
      <c r="Q518" s="41">
        <v>43.36</v>
      </c>
      <c r="R518" s="45" t="s">
        <v>1307</v>
      </c>
      <c r="S518" s="45" t="s">
        <v>1307</v>
      </c>
      <c r="T518" s="45" t="s">
        <v>1307</v>
      </c>
      <c r="U518" s="44">
        <v>145.19349712092131</v>
      </c>
      <c r="V518" s="44">
        <v>215.58790999999999</v>
      </c>
      <c r="W518" s="44">
        <v>51.656000000000013</v>
      </c>
      <c r="X518" s="44">
        <v>22.542305143800004</v>
      </c>
      <c r="Y518" s="130" t="s">
        <v>4342</v>
      </c>
      <c r="Z518" s="224"/>
    </row>
    <row r="519" spans="2:26" ht="15" customHeight="1" x14ac:dyDescent="0.35">
      <c r="B519" s="181">
        <v>73010</v>
      </c>
      <c r="C519" s="182" t="s">
        <v>735</v>
      </c>
      <c r="D519" s="222">
        <v>15</v>
      </c>
      <c r="E519" s="223" t="s">
        <v>2991</v>
      </c>
      <c r="F519" s="183" t="s">
        <v>2992</v>
      </c>
      <c r="G519" s="125">
        <v>3.5210302255616113</v>
      </c>
      <c r="H519" s="121" t="s">
        <v>1373</v>
      </c>
      <c r="I519" s="122">
        <v>67</v>
      </c>
      <c r="J519" s="106" t="s">
        <v>4656</v>
      </c>
      <c r="K519" s="118">
        <v>13859</v>
      </c>
      <c r="L519" s="46">
        <v>1.9413107511045655</v>
      </c>
      <c r="M519" s="41">
        <v>26904.625699558175</v>
      </c>
      <c r="N519" s="44">
        <v>120.488</v>
      </c>
      <c r="O519" s="41">
        <v>5934</v>
      </c>
      <c r="P519" s="41">
        <v>10</v>
      </c>
      <c r="Q519" s="41">
        <v>48.7</v>
      </c>
      <c r="R519" s="45" t="s">
        <v>1307</v>
      </c>
      <c r="S519" s="45" t="s">
        <v>1307</v>
      </c>
      <c r="T519" s="45" t="s">
        <v>1307</v>
      </c>
      <c r="U519" s="44">
        <v>5666.1969926131751</v>
      </c>
      <c r="V519" s="44">
        <v>7201.5800000000017</v>
      </c>
      <c r="W519" s="44">
        <v>525.70751585999994</v>
      </c>
      <c r="X519" s="44">
        <v>149.30502784200002</v>
      </c>
      <c r="Y519" s="130" t="s">
        <v>4343</v>
      </c>
      <c r="Z519" s="224"/>
    </row>
    <row r="520" spans="2:26" ht="15" customHeight="1" x14ac:dyDescent="0.35">
      <c r="B520" s="181">
        <v>2010</v>
      </c>
      <c r="C520" s="182" t="s">
        <v>1027</v>
      </c>
      <c r="D520" s="222">
        <v>11</v>
      </c>
      <c r="E520" s="223" t="s">
        <v>2995</v>
      </c>
      <c r="F520" s="183" t="s">
        <v>4804</v>
      </c>
      <c r="G520" s="125">
        <v>20.556257514399906</v>
      </c>
      <c r="H520" s="121" t="s">
        <v>1336</v>
      </c>
      <c r="I520" s="122">
        <v>35.098039215686278</v>
      </c>
      <c r="J520" s="106" t="s">
        <v>4656</v>
      </c>
      <c r="K520" s="118">
        <v>273</v>
      </c>
      <c r="L520" s="46">
        <v>2.1440677966101696</v>
      </c>
      <c r="M520" s="41">
        <v>585.33050847457628</v>
      </c>
      <c r="N520" s="44">
        <v>7.3250000000000002</v>
      </c>
      <c r="O520" s="41">
        <v>234</v>
      </c>
      <c r="P520" s="41">
        <v>10</v>
      </c>
      <c r="Q520" s="41">
        <v>35</v>
      </c>
      <c r="R520" s="45" t="s">
        <v>1307</v>
      </c>
      <c r="S520" s="45" t="s">
        <v>1307</v>
      </c>
      <c r="T520" s="45" t="s">
        <v>1307</v>
      </c>
      <c r="U520" s="44">
        <v>54.457772727272733</v>
      </c>
      <c r="V520" s="44">
        <v>265.47000000000003</v>
      </c>
      <c r="W520" s="44">
        <v>99.146966938775535</v>
      </c>
      <c r="X520" s="44">
        <v>4.8232012500000003</v>
      </c>
      <c r="Y520" s="130" t="s">
        <v>4344</v>
      </c>
      <c r="Z520" s="224" t="s">
        <v>4345</v>
      </c>
    </row>
    <row r="521" spans="2:26" ht="15" customHeight="1" x14ac:dyDescent="0.35">
      <c r="B521" s="181">
        <v>51090</v>
      </c>
      <c r="C521" s="182" t="s">
        <v>514</v>
      </c>
      <c r="D521" s="222">
        <v>4</v>
      </c>
      <c r="E521" s="223" t="s">
        <v>2998</v>
      </c>
      <c r="F521" s="183" t="s">
        <v>2999</v>
      </c>
      <c r="G521" s="125">
        <v>0.74713117929559669</v>
      </c>
      <c r="H521" s="121" t="s">
        <v>1325</v>
      </c>
      <c r="I521" s="122">
        <v>44.905405405405403</v>
      </c>
      <c r="J521" s="106" t="s">
        <v>4656</v>
      </c>
      <c r="K521" s="118">
        <v>1187</v>
      </c>
      <c r="L521" s="46">
        <v>2.4786096256684491</v>
      </c>
      <c r="M521" s="41">
        <v>2942.1096256684491</v>
      </c>
      <c r="N521" s="44">
        <v>30.6</v>
      </c>
      <c r="O521" s="41">
        <v>1142</v>
      </c>
      <c r="P521" s="41">
        <v>8</v>
      </c>
      <c r="Q521" s="41">
        <v>40.79</v>
      </c>
      <c r="R521" s="45" t="s">
        <v>1307</v>
      </c>
      <c r="S521" s="45" t="s">
        <v>1324</v>
      </c>
      <c r="T521" s="45" t="s">
        <v>1324</v>
      </c>
      <c r="U521" s="44">
        <v>241.12864448051948</v>
      </c>
      <c r="V521" s="44">
        <v>273.19791500000002</v>
      </c>
      <c r="W521" s="44">
        <v>18.829946275000005</v>
      </c>
      <c r="X521" s="44">
        <v>25.202998880000003</v>
      </c>
      <c r="Y521" s="130" t="s">
        <v>4346</v>
      </c>
      <c r="Z521" s="224" t="s">
        <v>4347</v>
      </c>
    </row>
    <row r="522" spans="2:26" ht="15" customHeight="1" x14ac:dyDescent="0.35">
      <c r="B522" s="181">
        <v>92065</v>
      </c>
      <c r="C522" s="182" t="s">
        <v>956</v>
      </c>
      <c r="D522" s="222">
        <v>2</v>
      </c>
      <c r="E522" s="223" t="s">
        <v>3001</v>
      </c>
      <c r="F522" s="183" t="s">
        <v>3002</v>
      </c>
      <c r="G522" s="125">
        <v>1.5686610438758837</v>
      </c>
      <c r="H522" s="121" t="s">
        <v>1336</v>
      </c>
      <c r="I522" s="122">
        <v>45.432432432432435</v>
      </c>
      <c r="J522" s="106" t="s">
        <v>4656</v>
      </c>
      <c r="K522" s="118">
        <v>186</v>
      </c>
      <c r="L522" s="46">
        <v>2.2999999999999998</v>
      </c>
      <c r="M522" s="41">
        <v>427.79999999999995</v>
      </c>
      <c r="N522" s="44">
        <v>10.727</v>
      </c>
      <c r="O522" s="41">
        <v>187</v>
      </c>
      <c r="P522" s="41">
        <v>10</v>
      </c>
      <c r="Q522" s="41">
        <v>54.152000000000001</v>
      </c>
      <c r="R522" s="45" t="s">
        <v>1307</v>
      </c>
      <c r="S522" s="45" t="s">
        <v>1307</v>
      </c>
      <c r="T522" s="45" t="s">
        <v>1307</v>
      </c>
      <c r="U522" s="44">
        <v>38.338000000000001</v>
      </c>
      <c r="V522" s="44">
        <v>52.226999999999997</v>
      </c>
      <c r="W522" s="44">
        <v>12.074595</v>
      </c>
      <c r="X522" s="44">
        <v>7.6973894692800009</v>
      </c>
      <c r="Y522" s="130" t="s">
        <v>4348</v>
      </c>
      <c r="Z522" s="224" t="s">
        <v>3762</v>
      </c>
    </row>
    <row r="523" spans="2:26" ht="15" customHeight="1" x14ac:dyDescent="0.35">
      <c r="B523" s="181">
        <v>85085</v>
      </c>
      <c r="C523" s="182" t="s">
        <v>884</v>
      </c>
      <c r="D523" s="222">
        <v>8</v>
      </c>
      <c r="E523" s="223" t="s">
        <v>3004</v>
      </c>
      <c r="F523" s="183" t="s">
        <v>3005</v>
      </c>
      <c r="G523" s="125">
        <v>0.85955626042072375</v>
      </c>
      <c r="H523" s="121" t="s">
        <v>1336</v>
      </c>
      <c r="I523" s="122">
        <v>58.378378378378386</v>
      </c>
      <c r="J523" s="106" t="s">
        <v>4656</v>
      </c>
      <c r="K523" s="118">
        <v>69</v>
      </c>
      <c r="L523" s="46">
        <v>2.5</v>
      </c>
      <c r="M523" s="41">
        <v>172.5</v>
      </c>
      <c r="N523" s="44">
        <v>4.87</v>
      </c>
      <c r="O523" s="41">
        <v>76</v>
      </c>
      <c r="P523" s="41">
        <v>7</v>
      </c>
      <c r="Q523" s="41">
        <v>37.799999999999997</v>
      </c>
      <c r="R523" s="45" t="s">
        <v>1307</v>
      </c>
      <c r="S523" s="45" t="s">
        <v>1307</v>
      </c>
      <c r="T523" s="45" t="s">
        <v>1307</v>
      </c>
      <c r="U523" s="44">
        <v>19.123000000000001</v>
      </c>
      <c r="V523" s="44">
        <v>24.175999999999998</v>
      </c>
      <c r="W523" s="44">
        <v>1.9183599999999996</v>
      </c>
      <c r="X523" s="44">
        <v>2.2318027200000001</v>
      </c>
      <c r="Y523" s="130" t="s">
        <v>4349</v>
      </c>
      <c r="Z523" s="224"/>
    </row>
    <row r="524" spans="2:26" ht="15" customHeight="1" x14ac:dyDescent="0.35">
      <c r="B524" s="181">
        <v>51040</v>
      </c>
      <c r="C524" s="182" t="s">
        <v>504</v>
      </c>
      <c r="D524" s="222">
        <v>4</v>
      </c>
      <c r="E524" s="223" t="s">
        <v>3008</v>
      </c>
      <c r="F524" s="183" t="s">
        <v>3009</v>
      </c>
      <c r="G524" s="125">
        <v>1.0730876523271176</v>
      </c>
      <c r="H524" s="121" t="s">
        <v>1336</v>
      </c>
      <c r="I524" s="122">
        <v>58</v>
      </c>
      <c r="J524" s="106" t="s">
        <v>4656</v>
      </c>
      <c r="K524" s="118">
        <v>151</v>
      </c>
      <c r="L524" s="46">
        <v>2.0887850467289719</v>
      </c>
      <c r="M524" s="41">
        <v>315.40654205607478</v>
      </c>
      <c r="N524" s="44">
        <v>11.87</v>
      </c>
      <c r="O524" s="41">
        <v>200</v>
      </c>
      <c r="P524" s="41">
        <v>7</v>
      </c>
      <c r="Q524" s="41">
        <v>50</v>
      </c>
      <c r="R524" s="45" t="s">
        <v>1307</v>
      </c>
      <c r="S524" s="45" t="s">
        <v>1307</v>
      </c>
      <c r="T524" s="45" t="s">
        <v>1307</v>
      </c>
      <c r="U524" s="44">
        <v>79.265048046511623</v>
      </c>
      <c r="V524" s="44">
        <v>99.536000000000001</v>
      </c>
      <c r="W524" s="44">
        <v>8.0031359999999978</v>
      </c>
      <c r="X524" s="44">
        <v>7.4580450000000003</v>
      </c>
      <c r="Y524" s="130" t="s">
        <v>4350</v>
      </c>
      <c r="Z524" s="224"/>
    </row>
    <row r="525" spans="2:26" ht="15" customHeight="1" x14ac:dyDescent="0.35">
      <c r="B525" s="181">
        <v>51040</v>
      </c>
      <c r="C525" s="182" t="s">
        <v>504</v>
      </c>
      <c r="D525" s="222">
        <v>4</v>
      </c>
      <c r="E525" s="223" t="s">
        <v>3010</v>
      </c>
      <c r="F525" s="183" t="s">
        <v>3011</v>
      </c>
      <c r="G525" s="125">
        <v>2.0288369578257055</v>
      </c>
      <c r="H525" s="121" t="s">
        <v>1336</v>
      </c>
      <c r="I525" s="122">
        <v>63</v>
      </c>
      <c r="J525" s="106" t="s">
        <v>4656</v>
      </c>
      <c r="K525" s="118">
        <v>391</v>
      </c>
      <c r="L525" s="46">
        <v>2.0887850467289719</v>
      </c>
      <c r="M525" s="41">
        <v>816.71495327102798</v>
      </c>
      <c r="N525" s="44">
        <v>10.106</v>
      </c>
      <c r="O525" s="41">
        <v>358</v>
      </c>
      <c r="P525" s="41">
        <v>8</v>
      </c>
      <c r="Q525" s="41">
        <v>56.6</v>
      </c>
      <c r="R525" s="45" t="s">
        <v>1307</v>
      </c>
      <c r="S525" s="45" t="s">
        <v>1307</v>
      </c>
      <c r="T525" s="45" t="s">
        <v>1307</v>
      </c>
      <c r="U525" s="44">
        <v>98.960031601099843</v>
      </c>
      <c r="V525" s="44">
        <v>135.51781519799999</v>
      </c>
      <c r="W525" s="44">
        <v>22.629564999999999</v>
      </c>
      <c r="X525" s="44">
        <v>11.153959372000001</v>
      </c>
      <c r="Y525" s="130" t="s">
        <v>4351</v>
      </c>
      <c r="Z525" s="224"/>
    </row>
    <row r="526" spans="2:26" ht="15" customHeight="1" x14ac:dyDescent="0.35">
      <c r="B526" s="181">
        <v>72005</v>
      </c>
      <c r="C526" s="182" t="s">
        <v>727</v>
      </c>
      <c r="D526" s="222">
        <v>15</v>
      </c>
      <c r="E526" s="223" t="s">
        <v>3014</v>
      </c>
      <c r="F526" s="183" t="s">
        <v>3015</v>
      </c>
      <c r="G526" s="125">
        <v>3.6583895620118154</v>
      </c>
      <c r="H526" s="121" t="s">
        <v>2090</v>
      </c>
      <c r="I526" s="122">
        <v>59.666666666666664</v>
      </c>
      <c r="J526" s="106" t="s">
        <v>4656</v>
      </c>
      <c r="K526" s="118">
        <v>18334</v>
      </c>
      <c r="L526" s="46">
        <v>2.3199999999999998</v>
      </c>
      <c r="M526" s="41">
        <v>42534.879999999997</v>
      </c>
      <c r="N526" s="44">
        <v>204.14099999999999</v>
      </c>
      <c r="O526" s="41">
        <v>18334</v>
      </c>
      <c r="P526" s="41">
        <v>12</v>
      </c>
      <c r="Q526" s="41">
        <v>44</v>
      </c>
      <c r="R526" s="45" t="s">
        <v>1307</v>
      </c>
      <c r="S526" s="45" t="s">
        <v>1307</v>
      </c>
      <c r="T526" s="45" t="s">
        <v>1307</v>
      </c>
      <c r="U526" s="44">
        <v>4472.2432500000004</v>
      </c>
      <c r="V526" s="44">
        <v>7550.7694090000005</v>
      </c>
      <c r="W526" s="44">
        <v>1400.8029397043658</v>
      </c>
      <c r="X526" s="44">
        <v>382.90152428000005</v>
      </c>
      <c r="Y526" s="130" t="s">
        <v>4352</v>
      </c>
      <c r="Z526" s="224"/>
    </row>
    <row r="527" spans="2:26" ht="15" customHeight="1" x14ac:dyDescent="0.35">
      <c r="B527" s="181">
        <v>10070</v>
      </c>
      <c r="C527" s="182" t="s">
        <v>15</v>
      </c>
      <c r="D527" s="222">
        <v>1</v>
      </c>
      <c r="E527" s="223" t="s">
        <v>3017</v>
      </c>
      <c r="F527" s="183" t="s">
        <v>3018</v>
      </c>
      <c r="G527" s="125">
        <v>5.5201212034654645</v>
      </c>
      <c r="H527" s="121" t="s">
        <v>1325</v>
      </c>
      <c r="I527" s="122">
        <v>59.081081081081081</v>
      </c>
      <c r="J527" s="106" t="s">
        <v>4656</v>
      </c>
      <c r="K527" s="118">
        <v>563</v>
      </c>
      <c r="L527" s="46">
        <v>2.17</v>
      </c>
      <c r="M527" s="41">
        <v>1221.71</v>
      </c>
      <c r="N527" s="44">
        <v>11.926</v>
      </c>
      <c r="O527" s="41">
        <v>560</v>
      </c>
      <c r="P527" s="41">
        <v>8</v>
      </c>
      <c r="Q527" s="41">
        <v>56</v>
      </c>
      <c r="R527" s="45" t="s">
        <v>1324</v>
      </c>
      <c r="S527" s="45" t="s">
        <v>1307</v>
      </c>
      <c r="T527" s="45" t="s">
        <v>1307</v>
      </c>
      <c r="U527" s="44">
        <v>188.4485082236842</v>
      </c>
      <c r="V527" s="44">
        <v>295.34800000000001</v>
      </c>
      <c r="W527" s="44">
        <v>87.406780000000026</v>
      </c>
      <c r="X527" s="44">
        <v>15.834213920000002</v>
      </c>
      <c r="Y527" s="130" t="s">
        <v>4353</v>
      </c>
      <c r="Z527" s="224" t="s">
        <v>3766</v>
      </c>
    </row>
    <row r="528" spans="2:26" ht="15" customHeight="1" x14ac:dyDescent="0.35">
      <c r="B528" s="181">
        <v>18015</v>
      </c>
      <c r="C528" s="182" t="s">
        <v>106</v>
      </c>
      <c r="D528" s="222">
        <v>12</v>
      </c>
      <c r="E528" s="223" t="s">
        <v>3022</v>
      </c>
      <c r="F528" s="183" t="s">
        <v>3023</v>
      </c>
      <c r="G528" s="125">
        <v>2.0665446118641251</v>
      </c>
      <c r="H528" s="121" t="s">
        <v>1336</v>
      </c>
      <c r="I528" s="122">
        <v>59.081081081081081</v>
      </c>
      <c r="J528" s="106" t="s">
        <v>4656</v>
      </c>
      <c r="K528" s="118">
        <v>272</v>
      </c>
      <c r="L528" s="46">
        <v>1.9247524752475247</v>
      </c>
      <c r="M528" s="41">
        <v>523.53267326732669</v>
      </c>
      <c r="N528" s="44">
        <v>4.3380000000000001</v>
      </c>
      <c r="O528" s="41">
        <v>252</v>
      </c>
      <c r="P528" s="41">
        <v>10</v>
      </c>
      <c r="Q528" s="41">
        <v>49.588000000000001</v>
      </c>
      <c r="R528" s="45" t="s">
        <v>1307</v>
      </c>
      <c r="S528" s="45" t="s">
        <v>1307</v>
      </c>
      <c r="T528" s="45" t="s">
        <v>1307</v>
      </c>
      <c r="U528" s="44">
        <v>32.46</v>
      </c>
      <c r="V528" s="44">
        <v>47.423999999999999</v>
      </c>
      <c r="W528" s="44">
        <v>12.817639999999999</v>
      </c>
      <c r="X528" s="44">
        <v>6.2024501800800014</v>
      </c>
      <c r="Y528" s="130" t="s">
        <v>4354</v>
      </c>
      <c r="Z528" s="224"/>
    </row>
    <row r="529" spans="2:26" ht="15" customHeight="1" x14ac:dyDescent="0.35">
      <c r="B529" s="181">
        <v>78047</v>
      </c>
      <c r="C529" s="182" t="s">
        <v>772</v>
      </c>
      <c r="D529" s="222">
        <v>15</v>
      </c>
      <c r="E529" s="223" t="s">
        <v>3742</v>
      </c>
      <c r="F529" s="183" t="s">
        <v>3743</v>
      </c>
      <c r="G529" s="125">
        <v>3.7461845904826796</v>
      </c>
      <c r="H529" s="121" t="s">
        <v>1336</v>
      </c>
      <c r="I529" s="122">
        <v>49.201754385964925</v>
      </c>
      <c r="J529" s="106" t="s">
        <v>4656</v>
      </c>
      <c r="K529" s="118">
        <v>1237</v>
      </c>
      <c r="L529" s="46">
        <v>1.7422831945124939</v>
      </c>
      <c r="M529" s="41">
        <v>2155.2043116119548</v>
      </c>
      <c r="N529" s="44">
        <v>33.843000000000004</v>
      </c>
      <c r="O529" s="41">
        <v>1278</v>
      </c>
      <c r="P529" s="41">
        <v>7</v>
      </c>
      <c r="Q529" s="41">
        <v>86.5</v>
      </c>
      <c r="R529" s="45" t="s">
        <v>1307</v>
      </c>
      <c r="S529" s="45" t="s">
        <v>1307</v>
      </c>
      <c r="T529" s="45" t="s">
        <v>1307</v>
      </c>
      <c r="U529" s="44">
        <v>200.49619118804091</v>
      </c>
      <c r="V529" s="44">
        <v>477.79899999999998</v>
      </c>
      <c r="W529" s="44">
        <v>219.42923999999994</v>
      </c>
      <c r="X529" s="44">
        <v>58.57405974000001</v>
      </c>
      <c r="Y529" s="130" t="s">
        <v>4355</v>
      </c>
      <c r="Z529" s="224"/>
    </row>
    <row r="530" spans="2:26" ht="15" customHeight="1" x14ac:dyDescent="0.35">
      <c r="B530" s="181">
        <v>91042</v>
      </c>
      <c r="C530" s="182" t="s">
        <v>944</v>
      </c>
      <c r="D530" s="222">
        <v>2</v>
      </c>
      <c r="E530" s="223" t="s">
        <v>3025</v>
      </c>
      <c r="F530" s="183" t="s">
        <v>3026</v>
      </c>
      <c r="G530" s="125">
        <v>3.0731204374941514</v>
      </c>
      <c r="H530" s="121" t="s">
        <v>1336</v>
      </c>
      <c r="I530" s="122">
        <v>55.843137254901954</v>
      </c>
      <c r="J530" s="106" t="s">
        <v>4656</v>
      </c>
      <c r="K530" s="118">
        <v>4247</v>
      </c>
      <c r="L530" s="46">
        <v>2.2499449460471261</v>
      </c>
      <c r="M530" s="41">
        <v>9555.516185862145</v>
      </c>
      <c r="N530" s="44">
        <v>157.33500000000001</v>
      </c>
      <c r="O530" s="41">
        <v>3483</v>
      </c>
      <c r="P530" s="41">
        <v>10</v>
      </c>
      <c r="Q530" s="41">
        <v>56</v>
      </c>
      <c r="R530" s="45" t="s">
        <v>1307</v>
      </c>
      <c r="S530" s="45" t="s">
        <v>1307</v>
      </c>
      <c r="T530" s="45" t="s">
        <v>1307</v>
      </c>
      <c r="U530" s="44">
        <v>951.25699999999995</v>
      </c>
      <c r="V530" s="44">
        <v>1550.96</v>
      </c>
      <c r="W530" s="44">
        <v>407.61512755102041</v>
      </c>
      <c r="X530" s="44">
        <v>132.63883920000001</v>
      </c>
      <c r="Y530" s="130" t="s">
        <v>4356</v>
      </c>
      <c r="Z530" s="224" t="s">
        <v>4357</v>
      </c>
    </row>
    <row r="531" spans="2:26" ht="15" customHeight="1" x14ac:dyDescent="0.35">
      <c r="B531" s="181">
        <v>88060</v>
      </c>
      <c r="C531" s="182" t="s">
        <v>921</v>
      </c>
      <c r="D531" s="222">
        <v>8</v>
      </c>
      <c r="E531" s="223" t="s">
        <v>3030</v>
      </c>
      <c r="F531" s="183" t="s">
        <v>3031</v>
      </c>
      <c r="G531" s="125">
        <v>0.54651849748243886</v>
      </c>
      <c r="H531" s="121" t="s">
        <v>1336</v>
      </c>
      <c r="I531" s="122">
        <v>56.972972972972983</v>
      </c>
      <c r="J531" s="106" t="s">
        <v>4656</v>
      </c>
      <c r="K531" s="118">
        <v>232</v>
      </c>
      <c r="L531" s="46">
        <v>2.64</v>
      </c>
      <c r="M531" s="41">
        <v>612.48</v>
      </c>
      <c r="N531" s="44">
        <v>5.9690000000000003</v>
      </c>
      <c r="O531" s="41">
        <v>248</v>
      </c>
      <c r="P531" s="41">
        <v>15.3</v>
      </c>
      <c r="Q531" s="41">
        <v>49.22</v>
      </c>
      <c r="R531" s="45" t="s">
        <v>1307</v>
      </c>
      <c r="S531" s="45" t="s">
        <v>1307</v>
      </c>
      <c r="T531" s="45" t="s">
        <v>1307</v>
      </c>
      <c r="U531" s="44">
        <v>59.347999999999999</v>
      </c>
      <c r="V531" s="44">
        <v>66.584000000000003</v>
      </c>
      <c r="W531" s="44">
        <v>3.9342400000000035</v>
      </c>
      <c r="X531" s="44">
        <v>7.1987316405999993</v>
      </c>
      <c r="Y531" s="130" t="s">
        <v>4358</v>
      </c>
      <c r="Z531" s="224"/>
    </row>
    <row r="532" spans="2:26" ht="15" customHeight="1" x14ac:dyDescent="0.35">
      <c r="B532" s="181">
        <v>62007</v>
      </c>
      <c r="C532" s="182" t="s">
        <v>619</v>
      </c>
      <c r="D532" s="222">
        <v>14</v>
      </c>
      <c r="E532" s="223" t="s">
        <v>3034</v>
      </c>
      <c r="F532" s="183" t="s">
        <v>3035</v>
      </c>
      <c r="G532" s="125">
        <v>2.6299895500325032</v>
      </c>
      <c r="H532" s="121" t="s">
        <v>1336</v>
      </c>
      <c r="I532" s="122">
        <v>45.921568627450981</v>
      </c>
      <c r="J532" s="106" t="s">
        <v>4656</v>
      </c>
      <c r="K532" s="118">
        <v>2093</v>
      </c>
      <c r="L532" s="46">
        <v>2.2718144044321331</v>
      </c>
      <c r="M532" s="41">
        <v>4754.9075484764544</v>
      </c>
      <c r="N532" s="44">
        <v>55.88</v>
      </c>
      <c r="O532" s="41">
        <v>2265</v>
      </c>
      <c r="P532" s="41">
        <v>10</v>
      </c>
      <c r="Q532" s="41">
        <v>48.53</v>
      </c>
      <c r="R532" s="45" t="s">
        <v>1307</v>
      </c>
      <c r="S532" s="45" t="s">
        <v>1307</v>
      </c>
      <c r="T532" s="45" t="s">
        <v>1307</v>
      </c>
      <c r="U532" s="44">
        <v>266.41186581469651</v>
      </c>
      <c r="V532" s="44">
        <v>719.51</v>
      </c>
      <c r="W532" s="44">
        <v>157.65185428571422</v>
      </c>
      <c r="X532" s="44">
        <v>59.943909010500008</v>
      </c>
      <c r="Y532" s="130" t="s">
        <v>4359</v>
      </c>
      <c r="Z532" s="224"/>
    </row>
    <row r="533" spans="2:26" ht="15" customHeight="1" x14ac:dyDescent="0.35">
      <c r="B533" s="181">
        <v>62007</v>
      </c>
      <c r="C533" s="182" t="s">
        <v>619</v>
      </c>
      <c r="D533" s="222">
        <v>14</v>
      </c>
      <c r="E533" s="223" t="s">
        <v>3036</v>
      </c>
      <c r="F533" s="183" t="s">
        <v>3037</v>
      </c>
      <c r="G533" s="125">
        <v>1.0005415405631781</v>
      </c>
      <c r="H533" s="121" t="s">
        <v>1336</v>
      </c>
      <c r="I533" s="122">
        <v>53.259081439785888</v>
      </c>
      <c r="J533" s="106" t="s">
        <v>4656</v>
      </c>
      <c r="K533" s="118">
        <v>45</v>
      </c>
      <c r="L533" s="46">
        <v>2.2718144044321331</v>
      </c>
      <c r="M533" s="41">
        <v>102.23164819944598</v>
      </c>
      <c r="N533" s="44">
        <v>1.87</v>
      </c>
      <c r="O533" s="41">
        <v>45</v>
      </c>
      <c r="P533" s="41">
        <v>10</v>
      </c>
      <c r="Q533" s="41">
        <v>35</v>
      </c>
      <c r="R533" s="45" t="s">
        <v>1307</v>
      </c>
      <c r="S533" s="45" t="s">
        <v>1307</v>
      </c>
      <c r="T533" s="45" t="s">
        <v>1307</v>
      </c>
      <c r="U533" s="44">
        <v>6.5709999999999997</v>
      </c>
      <c r="V533" s="44">
        <v>7.7210000000000001</v>
      </c>
      <c r="W533" s="44">
        <v>1.0341850000000001</v>
      </c>
      <c r="X533" s="44">
        <v>1.0336252500000001</v>
      </c>
      <c r="Y533" s="130" t="s">
        <v>4360</v>
      </c>
      <c r="Z533" s="224"/>
    </row>
    <row r="534" spans="2:26" ht="15" customHeight="1" x14ac:dyDescent="0.35">
      <c r="B534" s="181">
        <v>94225</v>
      </c>
      <c r="C534" s="182" t="s">
        <v>977</v>
      </c>
      <c r="D534" s="222">
        <v>2</v>
      </c>
      <c r="E534" s="223" t="s">
        <v>3041</v>
      </c>
      <c r="F534" s="183" t="s">
        <v>3042</v>
      </c>
      <c r="G534" s="125">
        <v>0.91000734406002393</v>
      </c>
      <c r="H534" s="121" t="s">
        <v>1336</v>
      </c>
      <c r="I534" s="122">
        <v>58.202702702702709</v>
      </c>
      <c r="J534" s="106" t="s">
        <v>4656</v>
      </c>
      <c r="K534" s="118">
        <v>143</v>
      </c>
      <c r="L534" s="46">
        <v>1.9565217391304348</v>
      </c>
      <c r="M534" s="41">
        <v>279.78260869565219</v>
      </c>
      <c r="N534" s="44">
        <v>6.0019999999999998</v>
      </c>
      <c r="O534" s="41">
        <v>148</v>
      </c>
      <c r="P534" s="41">
        <v>9.1440000000000001</v>
      </c>
      <c r="Q534" s="41">
        <v>49</v>
      </c>
      <c r="R534" s="45" t="s">
        <v>1307</v>
      </c>
      <c r="S534" s="45" t="s">
        <v>1307</v>
      </c>
      <c r="T534" s="45" t="s">
        <v>1307</v>
      </c>
      <c r="U534" s="44">
        <v>37.177300000000002</v>
      </c>
      <c r="V534" s="44">
        <v>46.267000000000003</v>
      </c>
      <c r="W534" s="44">
        <v>4.235999999999998</v>
      </c>
      <c r="X534" s="44">
        <v>4.6549074880000001</v>
      </c>
      <c r="Y534" s="130" t="s">
        <v>4361</v>
      </c>
      <c r="Z534" s="224"/>
    </row>
    <row r="535" spans="2:26" ht="15" customHeight="1" x14ac:dyDescent="0.35">
      <c r="B535" s="181">
        <v>32013</v>
      </c>
      <c r="C535" s="182" t="s">
        <v>256</v>
      </c>
      <c r="D535" s="222">
        <v>17</v>
      </c>
      <c r="E535" s="223" t="s">
        <v>3045</v>
      </c>
      <c r="F535" s="183" t="s">
        <v>3046</v>
      </c>
      <c r="G535" s="125">
        <v>2.2465618725523933</v>
      </c>
      <c r="H535" s="121" t="s">
        <v>1336</v>
      </c>
      <c r="I535" s="122">
        <v>65.155555555555537</v>
      </c>
      <c r="J535" s="106" t="s">
        <v>4656</v>
      </c>
      <c r="K535" s="118">
        <v>603</v>
      </c>
      <c r="L535" s="46">
        <v>1.924074074074074</v>
      </c>
      <c r="M535" s="41">
        <v>1160.2166666666667</v>
      </c>
      <c r="N535" s="44">
        <v>10.840999999999999</v>
      </c>
      <c r="O535" s="41">
        <v>517</v>
      </c>
      <c r="P535" s="41">
        <v>9</v>
      </c>
      <c r="Q535" s="41">
        <v>58.657200000000003</v>
      </c>
      <c r="R535" s="45" t="s">
        <v>1307</v>
      </c>
      <c r="S535" s="45" t="s">
        <v>1307</v>
      </c>
      <c r="T535" s="45" t="s">
        <v>1307</v>
      </c>
      <c r="U535" s="44">
        <v>75.959999999999994</v>
      </c>
      <c r="V535" s="44">
        <v>119.14700000000001</v>
      </c>
      <c r="W535" s="44">
        <v>34.87452653061225</v>
      </c>
      <c r="X535" s="44">
        <v>15.523510372314004</v>
      </c>
      <c r="Y535" s="130" t="s">
        <v>4219</v>
      </c>
      <c r="Z535" s="224"/>
    </row>
    <row r="536" spans="2:26" ht="15" customHeight="1" x14ac:dyDescent="0.35">
      <c r="B536" s="181">
        <v>33052</v>
      </c>
      <c r="C536" s="182" t="s">
        <v>274</v>
      </c>
      <c r="D536" s="222">
        <v>12</v>
      </c>
      <c r="E536" s="223" t="s">
        <v>3049</v>
      </c>
      <c r="F536" s="183" t="s">
        <v>3050</v>
      </c>
      <c r="G536" s="125">
        <v>0.83885957025369384</v>
      </c>
      <c r="H536" s="121" t="s">
        <v>1325</v>
      </c>
      <c r="I536" s="122">
        <v>53.918367346938766</v>
      </c>
      <c r="J536" s="106" t="s">
        <v>4656</v>
      </c>
      <c r="K536" s="118">
        <v>449</v>
      </c>
      <c r="L536" s="46">
        <v>2.358490566037736</v>
      </c>
      <c r="M536" s="41">
        <v>1058.9622641509434</v>
      </c>
      <c r="N536" s="44">
        <v>6.38</v>
      </c>
      <c r="O536" s="41">
        <v>423</v>
      </c>
      <c r="P536" s="41">
        <v>8.5</v>
      </c>
      <c r="Q536" s="41">
        <v>47.1</v>
      </c>
      <c r="R536" s="45" t="s">
        <v>1307</v>
      </c>
      <c r="S536" s="45" t="s">
        <v>1324</v>
      </c>
      <c r="T536" s="45" t="s">
        <v>1307</v>
      </c>
      <c r="U536" s="44">
        <v>65.251892783505156</v>
      </c>
      <c r="V536" s="44">
        <v>87.994000000000028</v>
      </c>
      <c r="W536" s="44">
        <v>7.8325797959184014</v>
      </c>
      <c r="X536" s="44">
        <v>9.3371764162500011</v>
      </c>
      <c r="Y536" s="130" t="s">
        <v>4362</v>
      </c>
      <c r="Z536" s="224"/>
    </row>
    <row r="537" spans="2:26" ht="15" customHeight="1" x14ac:dyDescent="0.35">
      <c r="B537" s="181">
        <v>6055</v>
      </c>
      <c r="C537" s="182" t="s">
        <v>1066</v>
      </c>
      <c r="D537" s="222">
        <v>11</v>
      </c>
      <c r="E537" s="223" t="s">
        <v>3052</v>
      </c>
      <c r="F537" s="183" t="s">
        <v>3053</v>
      </c>
      <c r="G537" s="125">
        <v>1.431603079784868</v>
      </c>
      <c r="H537" s="121" t="s">
        <v>1336</v>
      </c>
      <c r="I537" s="122">
        <v>58.72972972972974</v>
      </c>
      <c r="J537" s="106" t="s">
        <v>4656</v>
      </c>
      <c r="K537" s="118">
        <v>230</v>
      </c>
      <c r="L537" s="46">
        <v>1.9145299145299146</v>
      </c>
      <c r="M537" s="41">
        <v>440.34188034188037</v>
      </c>
      <c r="N537" s="44">
        <v>5.2210000000000001</v>
      </c>
      <c r="O537" s="41">
        <v>246</v>
      </c>
      <c r="P537" s="41">
        <v>8</v>
      </c>
      <c r="Q537" s="41">
        <v>56</v>
      </c>
      <c r="R537" s="45" t="s">
        <v>1307</v>
      </c>
      <c r="S537" s="45" t="s">
        <v>1307</v>
      </c>
      <c r="T537" s="45" t="s">
        <v>1307</v>
      </c>
      <c r="U537" s="44">
        <v>44.209552845528449</v>
      </c>
      <c r="V537" s="44">
        <v>58.104999999999997</v>
      </c>
      <c r="W537" s="44">
        <v>9.9484250000000021</v>
      </c>
      <c r="X537" s="44">
        <v>6.9491503200000002</v>
      </c>
      <c r="Y537" s="130" t="s">
        <v>4363</v>
      </c>
      <c r="Z537" s="224" t="s">
        <v>3760</v>
      </c>
    </row>
    <row r="538" spans="2:26" ht="15" customHeight="1" x14ac:dyDescent="0.35">
      <c r="B538" s="181">
        <v>91015</v>
      </c>
      <c r="C538" s="182" t="s">
        <v>939</v>
      </c>
      <c r="D538" s="222">
        <v>2</v>
      </c>
      <c r="E538" s="223" t="s">
        <v>3056</v>
      </c>
      <c r="F538" s="183" t="s">
        <v>3057</v>
      </c>
      <c r="G538" s="125">
        <v>9.6394511037391002</v>
      </c>
      <c r="H538" s="121" t="s">
        <v>1336</v>
      </c>
      <c r="I538" s="122">
        <v>56.040816326530596</v>
      </c>
      <c r="J538" s="106" t="s">
        <v>4656</v>
      </c>
      <c r="K538" s="118">
        <v>262</v>
      </c>
      <c r="L538" s="46">
        <v>1.9545454545454546</v>
      </c>
      <c r="M538" s="41">
        <v>512.09090909090912</v>
      </c>
      <c r="N538" s="44">
        <v>16.667999999999999</v>
      </c>
      <c r="O538" s="41">
        <v>276</v>
      </c>
      <c r="P538" s="41">
        <v>10</v>
      </c>
      <c r="Q538" s="41">
        <v>35</v>
      </c>
      <c r="R538" s="45" t="s">
        <v>1307</v>
      </c>
      <c r="S538" s="45" t="s">
        <v>1307</v>
      </c>
      <c r="T538" s="45" t="s">
        <v>1307</v>
      </c>
      <c r="U538" s="44">
        <v>41.518999999999998</v>
      </c>
      <c r="V538" s="44">
        <v>133.46299999999999</v>
      </c>
      <c r="W538" s="44">
        <v>72.633279489795896</v>
      </c>
      <c r="X538" s="44">
        <v>7.5350016000000011</v>
      </c>
      <c r="Y538" s="130" t="s">
        <v>4364</v>
      </c>
      <c r="Z538" s="224" t="s">
        <v>4365</v>
      </c>
    </row>
    <row r="539" spans="2:26" ht="15" customHeight="1" x14ac:dyDescent="0.35">
      <c r="B539" s="181">
        <v>50128</v>
      </c>
      <c r="C539" s="182" t="s">
        <v>497</v>
      </c>
      <c r="D539" s="222">
        <v>17</v>
      </c>
      <c r="E539" s="223" t="s">
        <v>3789</v>
      </c>
      <c r="F539" s="183" t="s">
        <v>3790</v>
      </c>
      <c r="G539" s="125">
        <v>0.63496420730981973</v>
      </c>
      <c r="H539" s="121" t="s">
        <v>1325</v>
      </c>
      <c r="I539" s="122">
        <v>72.411764705882348</v>
      </c>
      <c r="J539" s="106" t="s">
        <v>4656</v>
      </c>
      <c r="K539" s="118">
        <v>1119</v>
      </c>
      <c r="L539" s="46">
        <v>2.058212058212058</v>
      </c>
      <c r="M539" s="41">
        <v>2303.1392931392929</v>
      </c>
      <c r="N539" s="44">
        <v>47.01</v>
      </c>
      <c r="O539" s="41">
        <v>996</v>
      </c>
      <c r="P539" s="41">
        <v>15.24</v>
      </c>
      <c r="Q539" s="41">
        <v>49.2</v>
      </c>
      <c r="R539" s="45" t="s">
        <v>1307</v>
      </c>
      <c r="S539" s="45" t="s">
        <v>1324</v>
      </c>
      <c r="T539" s="45" t="s">
        <v>1307</v>
      </c>
      <c r="U539" s="44">
        <v>137.95533</v>
      </c>
      <c r="V539" s="44">
        <v>204.601</v>
      </c>
      <c r="W539" s="44">
        <v>23.061433214285721</v>
      </c>
      <c r="X539" s="44">
        <v>36.319264848000003</v>
      </c>
      <c r="Y539" s="130" t="s">
        <v>4219</v>
      </c>
      <c r="Z539" s="224"/>
    </row>
    <row r="540" spans="2:26" ht="15" customHeight="1" x14ac:dyDescent="0.35">
      <c r="B540" s="181">
        <v>27065</v>
      </c>
      <c r="C540" s="182" t="s">
        <v>186</v>
      </c>
      <c r="D540" s="222">
        <v>12</v>
      </c>
      <c r="E540" s="223" t="s">
        <v>3060</v>
      </c>
      <c r="F540" s="183" t="s">
        <v>3061</v>
      </c>
      <c r="G540" s="125">
        <v>3.4228839949586818</v>
      </c>
      <c r="H540" s="121" t="s">
        <v>1325</v>
      </c>
      <c r="I540" s="122">
        <v>59.081081081081081</v>
      </c>
      <c r="J540" s="106" t="s">
        <v>4656</v>
      </c>
      <c r="K540" s="118">
        <v>386</v>
      </c>
      <c r="L540" s="46">
        <v>2.4326710816777042</v>
      </c>
      <c r="M540" s="41">
        <v>939.01103752759377</v>
      </c>
      <c r="N540" s="44">
        <v>14</v>
      </c>
      <c r="O540" s="41">
        <v>417</v>
      </c>
      <c r="P540" s="41">
        <v>15</v>
      </c>
      <c r="Q540" s="41">
        <v>30.099999999999998</v>
      </c>
      <c r="R540" s="45" t="s">
        <v>1307</v>
      </c>
      <c r="S540" s="45" t="s">
        <v>1324</v>
      </c>
      <c r="T540" s="45" t="s">
        <v>1324</v>
      </c>
      <c r="U540" s="44">
        <v>81.888099999999994</v>
      </c>
      <c r="V540" s="44">
        <v>129.12299999999999</v>
      </c>
      <c r="W540" s="44">
        <v>27.90235199999999</v>
      </c>
      <c r="X540" s="44">
        <v>8.1517083374999988</v>
      </c>
      <c r="Y540" s="130" t="s">
        <v>4366</v>
      </c>
      <c r="Z540" s="224"/>
    </row>
    <row r="541" spans="2:26" ht="15" customHeight="1" x14ac:dyDescent="0.35">
      <c r="B541" s="181">
        <v>94235</v>
      </c>
      <c r="C541" s="182" t="s">
        <v>979</v>
      </c>
      <c r="D541" s="222">
        <v>2</v>
      </c>
      <c r="E541" s="223" t="s">
        <v>3064</v>
      </c>
      <c r="F541" s="183" t="s">
        <v>3065</v>
      </c>
      <c r="G541" s="125">
        <v>4.9908501066774082</v>
      </c>
      <c r="H541" s="121" t="s">
        <v>1336</v>
      </c>
      <c r="I541" s="122">
        <v>58.72972972972974</v>
      </c>
      <c r="J541" s="106" t="s">
        <v>4656</v>
      </c>
      <c r="K541" s="118">
        <v>581</v>
      </c>
      <c r="L541" s="46">
        <v>3.43</v>
      </c>
      <c r="M541" s="41">
        <v>1992.8300000000002</v>
      </c>
      <c r="N541" s="44">
        <v>25.709</v>
      </c>
      <c r="O541" s="41">
        <v>569</v>
      </c>
      <c r="P541" s="41">
        <v>5</v>
      </c>
      <c r="Q541" s="41">
        <v>49</v>
      </c>
      <c r="R541" s="45" t="s">
        <v>1307</v>
      </c>
      <c r="S541" s="45" t="s">
        <v>1307</v>
      </c>
      <c r="T541" s="45" t="s">
        <v>1307</v>
      </c>
      <c r="U541" s="44">
        <v>121.667</v>
      </c>
      <c r="V541" s="44">
        <v>219.31700000000001</v>
      </c>
      <c r="W541" s="44">
        <v>88.287245000000013</v>
      </c>
      <c r="X541" s="44">
        <v>17.689820995000002</v>
      </c>
      <c r="Y541" s="130" t="s">
        <v>4367</v>
      </c>
      <c r="Z541" s="224"/>
    </row>
    <row r="542" spans="2:26" ht="15" customHeight="1" x14ac:dyDescent="0.35">
      <c r="B542" s="181">
        <v>52080</v>
      </c>
      <c r="C542" s="182" t="s">
        <v>526</v>
      </c>
      <c r="D542" s="222">
        <v>14</v>
      </c>
      <c r="E542" s="223" t="s">
        <v>2020</v>
      </c>
      <c r="F542" s="183" t="s">
        <v>3068</v>
      </c>
      <c r="G542" s="125">
        <v>1.3677220755429649</v>
      </c>
      <c r="H542" s="121" t="s">
        <v>1336</v>
      </c>
      <c r="I542" s="122">
        <v>56.587976820004769</v>
      </c>
      <c r="J542" s="106" t="s">
        <v>4656</v>
      </c>
      <c r="K542" s="118">
        <v>1452</v>
      </c>
      <c r="L542" s="46">
        <v>1.7640449438202248</v>
      </c>
      <c r="M542" s="41">
        <v>2561.3932584269664</v>
      </c>
      <c r="N542" s="44">
        <v>30.303999999999998</v>
      </c>
      <c r="O542" s="41">
        <v>1474</v>
      </c>
      <c r="P542" s="41">
        <v>12</v>
      </c>
      <c r="Q542" s="41">
        <v>35</v>
      </c>
      <c r="R542" s="45" t="s">
        <v>1307</v>
      </c>
      <c r="S542" s="45" t="s">
        <v>1307</v>
      </c>
      <c r="T542" s="45" t="s">
        <v>1307</v>
      </c>
      <c r="U542" s="44">
        <v>466.63477798861481</v>
      </c>
      <c r="V542" s="44">
        <v>554.26700000000005</v>
      </c>
      <c r="W542" s="44">
        <v>37.860995000000074</v>
      </c>
      <c r="X542" s="44">
        <v>27.681789799999997</v>
      </c>
      <c r="Y542" s="130" t="s">
        <v>4368</v>
      </c>
      <c r="Z542" s="224"/>
    </row>
    <row r="543" spans="2:26" ht="15" customHeight="1" x14ac:dyDescent="0.35">
      <c r="B543" s="181">
        <v>52085</v>
      </c>
      <c r="C543" s="182" t="s">
        <v>527</v>
      </c>
      <c r="D543" s="222">
        <v>14</v>
      </c>
      <c r="E543" s="223" t="s">
        <v>3071</v>
      </c>
      <c r="F543" s="183" t="s">
        <v>3072</v>
      </c>
      <c r="G543" s="125">
        <v>5.5254898349891368</v>
      </c>
      <c r="H543" s="121" t="s">
        <v>1336</v>
      </c>
      <c r="I543" s="122">
        <v>50.351351351351347</v>
      </c>
      <c r="J543" s="106" t="s">
        <v>4656</v>
      </c>
      <c r="K543" s="118">
        <v>429</v>
      </c>
      <c r="L543" s="46">
        <v>1.8413461538461537</v>
      </c>
      <c r="M543" s="41">
        <v>789.9375</v>
      </c>
      <c r="N543" s="44">
        <v>20.338000000000001</v>
      </c>
      <c r="O543" s="41">
        <v>457</v>
      </c>
      <c r="P543" s="41">
        <v>13</v>
      </c>
      <c r="Q543" s="41">
        <v>41.37</v>
      </c>
      <c r="R543" s="45" t="s">
        <v>1307</v>
      </c>
      <c r="S543" s="45" t="s">
        <v>1307</v>
      </c>
      <c r="T543" s="45" t="s">
        <v>1307</v>
      </c>
      <c r="U543" s="44">
        <v>43.740280434782612</v>
      </c>
      <c r="V543" s="44">
        <v>122.17400000000001</v>
      </c>
      <c r="W543" s="44">
        <v>73.440389999999994</v>
      </c>
      <c r="X543" s="44">
        <v>13.291199910449999</v>
      </c>
      <c r="Y543" s="130" t="s">
        <v>4369</v>
      </c>
      <c r="Z543" s="224"/>
    </row>
    <row r="544" spans="2:26" ht="15" customHeight="1" x14ac:dyDescent="0.35">
      <c r="B544" s="181">
        <v>9025</v>
      </c>
      <c r="C544" s="182" t="s">
        <v>1101</v>
      </c>
      <c r="D544" s="222">
        <v>1</v>
      </c>
      <c r="E544" s="223" t="s">
        <v>3074</v>
      </c>
      <c r="F544" s="183" t="s">
        <v>3075</v>
      </c>
      <c r="G544" s="125">
        <v>3.955876238877039</v>
      </c>
      <c r="H544" s="121" t="s">
        <v>1336</v>
      </c>
      <c r="I544" s="122">
        <v>37.72972972972974</v>
      </c>
      <c r="J544" s="106" t="s">
        <v>4656</v>
      </c>
      <c r="K544" s="118">
        <v>339</v>
      </c>
      <c r="L544" s="46">
        <v>2.1229050279329611</v>
      </c>
      <c r="M544" s="41">
        <v>719.6648044692738</v>
      </c>
      <c r="N544" s="44">
        <v>8.9339999999999993</v>
      </c>
      <c r="O544" s="41">
        <v>324</v>
      </c>
      <c r="P544" s="41">
        <v>15</v>
      </c>
      <c r="Q544" s="41">
        <v>37.799999999999997</v>
      </c>
      <c r="R544" s="45" t="s">
        <v>1307</v>
      </c>
      <c r="S544" s="45" t="s">
        <v>1307</v>
      </c>
      <c r="T544" s="45" t="s">
        <v>1307</v>
      </c>
      <c r="U544" s="44">
        <v>32.03734239130435</v>
      </c>
      <c r="V544" s="44">
        <v>65.313000000000002</v>
      </c>
      <c r="W544" s="44">
        <v>29.555305000000004</v>
      </c>
      <c r="X544" s="44">
        <v>7.4712410639999991</v>
      </c>
      <c r="Y544" s="130" t="s">
        <v>4370</v>
      </c>
      <c r="Z544" s="224" t="s">
        <v>4371</v>
      </c>
    </row>
    <row r="545" spans="2:26" ht="15" customHeight="1" x14ac:dyDescent="0.35">
      <c r="B545" s="181">
        <v>93035</v>
      </c>
      <c r="C545" s="182" t="s">
        <v>963</v>
      </c>
      <c r="D545" s="222">
        <v>2</v>
      </c>
      <c r="E545" s="223" t="s">
        <v>3079</v>
      </c>
      <c r="F545" s="183" t="s">
        <v>3080</v>
      </c>
      <c r="G545" s="125">
        <v>3.9564575191996147</v>
      </c>
      <c r="H545" s="121" t="s">
        <v>1336</v>
      </c>
      <c r="I545" s="122">
        <v>43.5</v>
      </c>
      <c r="J545" s="106" t="s">
        <v>4656</v>
      </c>
      <c r="K545" s="118">
        <v>1372</v>
      </c>
      <c r="L545" s="46">
        <v>2.2650000000000001</v>
      </c>
      <c r="M545" s="41">
        <v>3107.5800000000004</v>
      </c>
      <c r="N545" s="44">
        <v>63.53</v>
      </c>
      <c r="O545" s="41">
        <v>1644</v>
      </c>
      <c r="P545" s="41">
        <v>5</v>
      </c>
      <c r="Q545" s="41">
        <v>62.999999999999993</v>
      </c>
      <c r="R545" s="45" t="s">
        <v>1307</v>
      </c>
      <c r="S545" s="45" t="s">
        <v>1307</v>
      </c>
      <c r="T545" s="45" t="s">
        <v>1307</v>
      </c>
      <c r="U545" s="44">
        <v>603.93799999999999</v>
      </c>
      <c r="V545" s="44">
        <v>884.74599999999998</v>
      </c>
      <c r="W545" s="44">
        <v>242.38919999999996</v>
      </c>
      <c r="X545" s="44">
        <v>61.264198799999988</v>
      </c>
      <c r="Y545" s="130" t="s">
        <v>4372</v>
      </c>
      <c r="Z545" s="224"/>
    </row>
    <row r="546" spans="2:26" ht="15" customHeight="1" x14ac:dyDescent="0.35">
      <c r="B546" s="181">
        <v>29013</v>
      </c>
      <c r="C546" s="182" t="s">
        <v>202</v>
      </c>
      <c r="D546" s="222">
        <v>12</v>
      </c>
      <c r="E546" s="223" t="s">
        <v>3083</v>
      </c>
      <c r="F546" s="183" t="s">
        <v>3084</v>
      </c>
      <c r="G546" s="125">
        <v>0.35811497980673224</v>
      </c>
      <c r="H546" s="121" t="s">
        <v>1325</v>
      </c>
      <c r="I546" s="122">
        <v>65.155555555555551</v>
      </c>
      <c r="J546" s="106" t="s">
        <v>4656</v>
      </c>
      <c r="K546" s="118">
        <v>771</v>
      </c>
      <c r="L546" s="46">
        <v>2.3361976369495165</v>
      </c>
      <c r="M546" s="41">
        <v>1801.2083780880773</v>
      </c>
      <c r="N546" s="44">
        <v>26.76</v>
      </c>
      <c r="O546" s="41">
        <v>776</v>
      </c>
      <c r="P546" s="41">
        <v>15</v>
      </c>
      <c r="Q546" s="41">
        <v>44</v>
      </c>
      <c r="R546" s="45" t="s">
        <v>1324</v>
      </c>
      <c r="S546" s="45" t="s">
        <v>1307</v>
      </c>
      <c r="T546" s="45" t="s">
        <v>1307</v>
      </c>
      <c r="U546" s="44">
        <v>114.417</v>
      </c>
      <c r="V546" s="44">
        <v>187.636</v>
      </c>
      <c r="W546" s="44">
        <v>8.0143585567010298</v>
      </c>
      <c r="X546" s="44">
        <v>22.379288800000001</v>
      </c>
      <c r="Y546" s="130" t="s">
        <v>4373</v>
      </c>
      <c r="Z546" s="224"/>
    </row>
    <row r="547" spans="2:26" ht="15" customHeight="1" x14ac:dyDescent="0.35">
      <c r="B547" s="181">
        <v>29073</v>
      </c>
      <c r="C547" s="182" t="s">
        <v>211</v>
      </c>
      <c r="D547" s="222">
        <v>12</v>
      </c>
      <c r="E547" s="223" t="s">
        <v>3087</v>
      </c>
      <c r="F547" s="183" t="s">
        <v>3088</v>
      </c>
      <c r="G547" s="125">
        <v>1.8012718967301229</v>
      </c>
      <c r="H547" s="121" t="s">
        <v>1373</v>
      </c>
      <c r="I547" s="122">
        <v>63.087719298245624</v>
      </c>
      <c r="J547" s="106" t="s">
        <v>4656</v>
      </c>
      <c r="K547" s="118">
        <v>12514</v>
      </c>
      <c r="L547" s="46">
        <v>2.2029588534442905</v>
      </c>
      <c r="M547" s="41">
        <v>27567.827092001851</v>
      </c>
      <c r="N547" s="44">
        <v>224.75577000000001</v>
      </c>
      <c r="O547" s="41">
        <v>9628</v>
      </c>
      <c r="P547" s="41">
        <v>5</v>
      </c>
      <c r="Q547" s="41">
        <v>56</v>
      </c>
      <c r="R547" s="45" t="s">
        <v>1307</v>
      </c>
      <c r="S547" s="45" t="s">
        <v>1307</v>
      </c>
      <c r="T547" s="45" t="s">
        <v>1307</v>
      </c>
      <c r="U547" s="44">
        <v>2195.1131955102687</v>
      </c>
      <c r="V547" s="44">
        <v>3403.7640000000001</v>
      </c>
      <c r="W547" s="44">
        <v>476.84843763449447</v>
      </c>
      <c r="X547" s="44">
        <v>264.72873889840002</v>
      </c>
      <c r="Y547" s="130" t="s">
        <v>4374</v>
      </c>
      <c r="Z547" s="224"/>
    </row>
    <row r="548" spans="2:26" ht="15" customHeight="1" x14ac:dyDescent="0.35">
      <c r="B548" s="181">
        <v>49048</v>
      </c>
      <c r="C548" s="182" t="s">
        <v>470</v>
      </c>
      <c r="D548" s="222">
        <v>17</v>
      </c>
      <c r="E548" s="223" t="s">
        <v>3091</v>
      </c>
      <c r="F548" s="183" t="s">
        <v>3092</v>
      </c>
      <c r="G548" s="125">
        <v>1.1775445897321932</v>
      </c>
      <c r="H548" s="121" t="s">
        <v>1325</v>
      </c>
      <c r="I548" s="122">
        <v>74.45098039215685</v>
      </c>
      <c r="J548" s="106" t="s">
        <v>4656</v>
      </c>
      <c r="K548" s="118">
        <v>1704</v>
      </c>
      <c r="L548" s="46">
        <v>2.1</v>
      </c>
      <c r="M548" s="41">
        <v>3578.4</v>
      </c>
      <c r="N548" s="44">
        <v>44.452999999999996</v>
      </c>
      <c r="O548" s="41">
        <v>1591</v>
      </c>
      <c r="P548" s="41">
        <v>12</v>
      </c>
      <c r="Q548" s="41">
        <v>45</v>
      </c>
      <c r="R548" s="45" t="s">
        <v>1324</v>
      </c>
      <c r="S548" s="45" t="s">
        <v>1307</v>
      </c>
      <c r="T548" s="45" t="s">
        <v>1324</v>
      </c>
      <c r="U548" s="44">
        <v>257.38499999999999</v>
      </c>
      <c r="V548" s="44">
        <v>477.92599999999999</v>
      </c>
      <c r="W548" s="44">
        <v>49.324895867346896</v>
      </c>
      <c r="X548" s="44">
        <v>41.887921950000013</v>
      </c>
      <c r="Y548" s="130" t="s">
        <v>4375</v>
      </c>
      <c r="Z548" s="224"/>
    </row>
    <row r="549" spans="2:26" ht="15" customHeight="1" x14ac:dyDescent="0.35">
      <c r="B549" s="181">
        <v>19075</v>
      </c>
      <c r="C549" s="182" t="s">
        <v>131</v>
      </c>
      <c r="D549" s="222">
        <v>12</v>
      </c>
      <c r="E549" s="223" t="s">
        <v>3094</v>
      </c>
      <c r="F549" s="183" t="s">
        <v>3095</v>
      </c>
      <c r="G549" s="125">
        <v>0.45891473039783648</v>
      </c>
      <c r="H549" s="121" t="s">
        <v>1336</v>
      </c>
      <c r="I549" s="122">
        <v>67.466666666666654</v>
      </c>
      <c r="J549" s="106" t="s">
        <v>4656</v>
      </c>
      <c r="K549" s="118">
        <v>623</v>
      </c>
      <c r="L549" s="46">
        <v>2.5460829493087558</v>
      </c>
      <c r="M549" s="41">
        <v>1586.2096774193549</v>
      </c>
      <c r="N549" s="44">
        <v>13.585000000000001</v>
      </c>
      <c r="O549" s="41">
        <v>628</v>
      </c>
      <c r="P549" s="41">
        <v>5</v>
      </c>
      <c r="Q549" s="41">
        <v>39.199999999999996</v>
      </c>
      <c r="R549" s="45" t="s">
        <v>1307</v>
      </c>
      <c r="S549" s="45" t="s">
        <v>1307</v>
      </c>
      <c r="T549" s="45" t="s">
        <v>1307</v>
      </c>
      <c r="U549" s="44">
        <v>113.631</v>
      </c>
      <c r="V549" s="44">
        <v>149.34299999999999</v>
      </c>
      <c r="W549" s="44">
        <v>5.4198988144329903</v>
      </c>
      <c r="X549" s="44">
        <v>11.810252439999999</v>
      </c>
      <c r="Y549" s="130" t="s">
        <v>4376</v>
      </c>
      <c r="Z549" s="224"/>
    </row>
    <row r="550" spans="2:26" ht="15" customHeight="1" x14ac:dyDescent="0.35">
      <c r="B550" s="181">
        <v>33035</v>
      </c>
      <c r="C550" s="182" t="s">
        <v>271</v>
      </c>
      <c r="D550" s="222">
        <v>12</v>
      </c>
      <c r="E550" s="223" t="s">
        <v>3096</v>
      </c>
      <c r="F550" s="183" t="s">
        <v>3097</v>
      </c>
      <c r="G550" s="125">
        <v>8.4268336354257734E-2</v>
      </c>
      <c r="H550" s="121" t="s">
        <v>1325</v>
      </c>
      <c r="I550" s="122">
        <v>58.027027027027032</v>
      </c>
      <c r="J550" s="106" t="s">
        <v>4656</v>
      </c>
      <c r="K550" s="118">
        <v>689</v>
      </c>
      <c r="L550" s="46">
        <v>2.3433098591549295</v>
      </c>
      <c r="M550" s="41">
        <v>1614.5404929577464</v>
      </c>
      <c r="N550" s="44">
        <v>12.382</v>
      </c>
      <c r="O550" s="41">
        <v>685</v>
      </c>
      <c r="P550" s="41">
        <v>9</v>
      </c>
      <c r="Q550" s="41">
        <v>66.5</v>
      </c>
      <c r="R550" s="45" t="s">
        <v>1324</v>
      </c>
      <c r="S550" s="45" t="s">
        <v>1324</v>
      </c>
      <c r="T550" s="45" t="s">
        <v>1324</v>
      </c>
      <c r="U550" s="44">
        <v>128.35900000000001</v>
      </c>
      <c r="V550" s="44">
        <v>159.15199999999999</v>
      </c>
      <c r="W550" s="44">
        <v>1.8920000000000108</v>
      </c>
      <c r="X550" s="44">
        <v>22.4520867725</v>
      </c>
      <c r="Y550" s="130" t="s">
        <v>4377</v>
      </c>
      <c r="Z550" s="224" t="s">
        <v>4378</v>
      </c>
    </row>
    <row r="551" spans="2:26" ht="15" customHeight="1" x14ac:dyDescent="0.35">
      <c r="B551" s="181">
        <v>49113</v>
      </c>
      <c r="C551" s="182" t="s">
        <v>479</v>
      </c>
      <c r="D551" s="222">
        <v>17</v>
      </c>
      <c r="E551" s="223" t="s">
        <v>3100</v>
      </c>
      <c r="F551" s="183" t="s">
        <v>3101</v>
      </c>
      <c r="G551" s="125">
        <v>3.0980479348530436</v>
      </c>
      <c r="H551" s="121" t="s">
        <v>1325</v>
      </c>
      <c r="I551" s="122">
        <v>71.799999999999983</v>
      </c>
      <c r="J551" s="106" t="s">
        <v>4656</v>
      </c>
      <c r="K551" s="118">
        <v>442</v>
      </c>
      <c r="L551" s="46">
        <v>2.174927113702624</v>
      </c>
      <c r="M551" s="41">
        <v>961.31778425655978</v>
      </c>
      <c r="N551" s="44">
        <v>11.071999999999999</v>
      </c>
      <c r="O551" s="41">
        <v>352</v>
      </c>
      <c r="P551" s="41">
        <v>6</v>
      </c>
      <c r="Q551" s="41">
        <v>35</v>
      </c>
      <c r="R551" s="45" t="s">
        <v>1307</v>
      </c>
      <c r="S551" s="45" t="s">
        <v>1324</v>
      </c>
      <c r="T551" s="45" t="s">
        <v>1307</v>
      </c>
      <c r="U551" s="44">
        <v>89.780727272727276</v>
      </c>
      <c r="V551" s="44">
        <v>124.185</v>
      </c>
      <c r="W551" s="44">
        <v>21.122386725417442</v>
      </c>
      <c r="X551" s="44">
        <v>6.8179664000000004</v>
      </c>
      <c r="Y551" s="130" t="s">
        <v>4379</v>
      </c>
      <c r="Z551" s="224"/>
    </row>
    <row r="552" spans="2:26" ht="15" customHeight="1" x14ac:dyDescent="0.35">
      <c r="B552" s="181">
        <v>49113</v>
      </c>
      <c r="C552" s="182" t="s">
        <v>479</v>
      </c>
      <c r="D552" s="222">
        <v>17</v>
      </c>
      <c r="E552" s="223" t="s">
        <v>3102</v>
      </c>
      <c r="F552" s="183" t="s">
        <v>3103</v>
      </c>
      <c r="G552" s="125">
        <v>0.51573935179698704</v>
      </c>
      <c r="H552" s="121" t="s">
        <v>1336</v>
      </c>
      <c r="I552" s="122">
        <v>58.088888888888874</v>
      </c>
      <c r="J552" s="106" t="s">
        <v>4656</v>
      </c>
      <c r="K552" s="118">
        <v>102</v>
      </c>
      <c r="L552" s="46">
        <v>2.174927113702624</v>
      </c>
      <c r="M552" s="41">
        <v>221.84256559766766</v>
      </c>
      <c r="N552" s="44">
        <v>12.503</v>
      </c>
      <c r="O552" s="41">
        <v>101</v>
      </c>
      <c r="P552" s="41">
        <v>6</v>
      </c>
      <c r="Q552" s="41">
        <v>49</v>
      </c>
      <c r="R552" s="45" t="s">
        <v>1307</v>
      </c>
      <c r="S552" s="45" t="s">
        <v>1307</v>
      </c>
      <c r="T552" s="45" t="s">
        <v>1307</v>
      </c>
      <c r="U552" s="44">
        <v>25.959272727272729</v>
      </c>
      <c r="V552" s="44">
        <v>35.69</v>
      </c>
      <c r="W552" s="44">
        <v>2.9609403525046334</v>
      </c>
      <c r="X552" s="44">
        <v>5.7411565400000013</v>
      </c>
      <c r="Y552" s="130" t="s">
        <v>4380</v>
      </c>
      <c r="Z552" s="224"/>
    </row>
    <row r="553" spans="2:26" ht="15" customHeight="1" x14ac:dyDescent="0.35">
      <c r="B553" s="181">
        <v>19068</v>
      </c>
      <c r="C553" s="182" t="s">
        <v>129</v>
      </c>
      <c r="D553" s="222">
        <v>12</v>
      </c>
      <c r="E553" s="223" t="s">
        <v>3107</v>
      </c>
      <c r="F553" s="183" t="s">
        <v>4801</v>
      </c>
      <c r="G553" s="125">
        <v>0.40547775958477439</v>
      </c>
      <c r="H553" s="121" t="s">
        <v>1325</v>
      </c>
      <c r="I553" s="122">
        <v>66.549019607843135</v>
      </c>
      <c r="J553" s="106" t="s">
        <v>4656</v>
      </c>
      <c r="K553" s="118">
        <v>1895</v>
      </c>
      <c r="L553" s="46">
        <v>2.3889591234723979</v>
      </c>
      <c r="M553" s="41">
        <v>4527.0775389801938</v>
      </c>
      <c r="N553" s="44">
        <v>34.363</v>
      </c>
      <c r="O553" s="41">
        <v>1789</v>
      </c>
      <c r="P553" s="41">
        <v>6</v>
      </c>
      <c r="Q553" s="41">
        <v>40</v>
      </c>
      <c r="R553" s="45" t="s">
        <v>1324</v>
      </c>
      <c r="S553" s="45" t="s">
        <v>1307</v>
      </c>
      <c r="T553" s="45" t="s">
        <v>1307</v>
      </c>
      <c r="U553" s="44">
        <v>271.41300000000001</v>
      </c>
      <c r="V553" s="44">
        <v>600.44399999999996</v>
      </c>
      <c r="W553" s="44">
        <v>13.722999999999956</v>
      </c>
      <c r="X553" s="44">
        <v>33.844026399999997</v>
      </c>
      <c r="Y553" s="130" t="s">
        <v>4381</v>
      </c>
      <c r="Z553" s="224"/>
    </row>
    <row r="554" spans="2:26" ht="15" customHeight="1" x14ac:dyDescent="0.35">
      <c r="B554" s="181">
        <v>93070</v>
      </c>
      <c r="C554" s="182" t="s">
        <v>969</v>
      </c>
      <c r="D554" s="222">
        <v>2</v>
      </c>
      <c r="E554" s="223" t="s">
        <v>3109</v>
      </c>
      <c r="F554" s="183" t="s">
        <v>3110</v>
      </c>
      <c r="G554" s="125">
        <v>1.0762206152697023</v>
      </c>
      <c r="H554" s="121" t="s">
        <v>1336</v>
      </c>
      <c r="I554" s="122">
        <v>63</v>
      </c>
      <c r="J554" s="106" t="s">
        <v>4656</v>
      </c>
      <c r="K554" s="118">
        <v>333</v>
      </c>
      <c r="L554" s="46">
        <v>2.78</v>
      </c>
      <c r="M554" s="41">
        <v>925.7399999999999</v>
      </c>
      <c r="N554" s="44">
        <v>38.542999999999999</v>
      </c>
      <c r="O554" s="41">
        <v>662</v>
      </c>
      <c r="P554" s="41">
        <v>15</v>
      </c>
      <c r="Q554" s="41">
        <v>58.8</v>
      </c>
      <c r="R554" s="45" t="s">
        <v>1307</v>
      </c>
      <c r="S554" s="45" t="s">
        <v>1307</v>
      </c>
      <c r="T554" s="45" t="s">
        <v>1307</v>
      </c>
      <c r="U554" s="44">
        <v>72.319000000000003</v>
      </c>
      <c r="V554" s="44">
        <v>204.01</v>
      </c>
      <c r="W554" s="44">
        <v>33.991345765306122</v>
      </c>
      <c r="X554" s="44">
        <v>31.583994288000003</v>
      </c>
      <c r="Y554" s="130" t="s">
        <v>4382</v>
      </c>
      <c r="Z554" s="224"/>
    </row>
    <row r="555" spans="2:26" ht="15" customHeight="1" x14ac:dyDescent="0.35">
      <c r="B555" s="181">
        <v>44015</v>
      </c>
      <c r="C555" s="182" t="s">
        <v>401</v>
      </c>
      <c r="D555" s="222">
        <v>5</v>
      </c>
      <c r="E555" s="223" t="s">
        <v>3112</v>
      </c>
      <c r="F555" s="183" t="s">
        <v>3113</v>
      </c>
      <c r="G555" s="125">
        <v>0.85174831480380297</v>
      </c>
      <c r="H555" s="121" t="s">
        <v>1336</v>
      </c>
      <c r="I555" s="122">
        <v>59.256756756756758</v>
      </c>
      <c r="J555" s="106" t="s">
        <v>4656</v>
      </c>
      <c r="K555" s="118">
        <v>28</v>
      </c>
      <c r="L555" s="46">
        <v>2.2195121951219514</v>
      </c>
      <c r="M555" s="41">
        <v>62.146341463414643</v>
      </c>
      <c r="N555" s="44">
        <v>1.6080000000000001</v>
      </c>
      <c r="O555" s="41">
        <v>32</v>
      </c>
      <c r="P555" s="41">
        <v>14</v>
      </c>
      <c r="Q555" s="41">
        <v>46.9650478301958</v>
      </c>
      <c r="R555" s="45" t="s">
        <v>1307</v>
      </c>
      <c r="S555" s="45" t="s">
        <v>1307</v>
      </c>
      <c r="T555" s="45" t="s">
        <v>1307</v>
      </c>
      <c r="U555" s="44">
        <v>5.7572941176470582</v>
      </c>
      <c r="V555" s="44">
        <v>8.0719999999999992</v>
      </c>
      <c r="W555" s="44">
        <v>0.95991999999999933</v>
      </c>
      <c r="X555" s="44">
        <v>1.1269995881601635</v>
      </c>
      <c r="Y555" s="130" t="s">
        <v>4383</v>
      </c>
      <c r="Z555" s="224"/>
    </row>
    <row r="556" spans="2:26" ht="15" customHeight="1" x14ac:dyDescent="0.35">
      <c r="B556" s="181">
        <v>16050</v>
      </c>
      <c r="C556" s="182" t="s">
        <v>88</v>
      </c>
      <c r="D556" s="222">
        <v>3</v>
      </c>
      <c r="E556" s="223" t="s">
        <v>3115</v>
      </c>
      <c r="F556" s="183" t="s">
        <v>3116</v>
      </c>
      <c r="G556" s="125">
        <v>0.9856691009265397</v>
      </c>
      <c r="H556" s="121" t="s">
        <v>1336</v>
      </c>
      <c r="I556" s="122">
        <v>58.202702702702709</v>
      </c>
      <c r="J556" s="106" t="s">
        <v>4656</v>
      </c>
      <c r="K556" s="118">
        <v>284</v>
      </c>
      <c r="L556" s="46">
        <v>2.0885122410546137</v>
      </c>
      <c r="M556" s="41">
        <v>593.13747645951025</v>
      </c>
      <c r="N556" s="44">
        <v>6.56</v>
      </c>
      <c r="O556" s="41">
        <v>243</v>
      </c>
      <c r="P556" s="41">
        <v>10</v>
      </c>
      <c r="Q556" s="41">
        <v>60</v>
      </c>
      <c r="R556" s="45" t="s">
        <v>1307</v>
      </c>
      <c r="S556" s="45" t="s">
        <v>1307</v>
      </c>
      <c r="T556" s="45" t="s">
        <v>1307</v>
      </c>
      <c r="U556" s="44">
        <v>53.022886850152908</v>
      </c>
      <c r="V556" s="44">
        <v>70.16</v>
      </c>
      <c r="W556" s="44">
        <v>8.0565999999999924</v>
      </c>
      <c r="X556" s="44">
        <v>8.1737370000000009</v>
      </c>
      <c r="Y556" s="130" t="s">
        <v>4384</v>
      </c>
      <c r="Z556" s="224" t="s">
        <v>4385</v>
      </c>
    </row>
    <row r="557" spans="2:26" ht="15" customHeight="1" x14ac:dyDescent="0.35">
      <c r="B557" s="181">
        <v>75045</v>
      </c>
      <c r="C557" s="182" t="s">
        <v>746</v>
      </c>
      <c r="D557" s="222">
        <v>15</v>
      </c>
      <c r="E557" s="223" t="s">
        <v>3119</v>
      </c>
      <c r="F557" s="183" t="s">
        <v>3120</v>
      </c>
      <c r="G557" s="125">
        <v>0.58291393869429242</v>
      </c>
      <c r="H557" s="121" t="s">
        <v>1325</v>
      </c>
      <c r="I557" s="122">
        <v>59.081081081081095</v>
      </c>
      <c r="J557" s="106" t="s">
        <v>4656</v>
      </c>
      <c r="K557" s="118">
        <v>79</v>
      </c>
      <c r="L557" s="46">
        <v>2.1175049417966174</v>
      </c>
      <c r="M557" s="41">
        <v>167.28289040193278</v>
      </c>
      <c r="N557" s="44">
        <v>3.8149999999999999</v>
      </c>
      <c r="O557" s="41">
        <v>83</v>
      </c>
      <c r="P557" s="41">
        <v>20</v>
      </c>
      <c r="Q557" s="41">
        <v>45</v>
      </c>
      <c r="R557" s="45" t="s">
        <v>1324</v>
      </c>
      <c r="S557" s="45" t="s">
        <v>1307</v>
      </c>
      <c r="T557" s="45" t="s">
        <v>1307</v>
      </c>
      <c r="U557" s="44">
        <v>18.929945652173913</v>
      </c>
      <c r="V557" s="44">
        <v>24.097000000000001</v>
      </c>
      <c r="W557" s="44">
        <v>1.6905450000000013</v>
      </c>
      <c r="X557" s="44">
        <v>2.9001622500000002</v>
      </c>
      <c r="Y557" s="130" t="s">
        <v>4386</v>
      </c>
      <c r="Z557" s="224" t="s">
        <v>3761</v>
      </c>
    </row>
    <row r="558" spans="2:26" ht="15" customHeight="1" x14ac:dyDescent="0.35">
      <c r="B558" s="181">
        <v>94240</v>
      </c>
      <c r="C558" s="182" t="s">
        <v>980</v>
      </c>
      <c r="D558" s="222">
        <v>2</v>
      </c>
      <c r="E558" s="223" t="s">
        <v>3124</v>
      </c>
      <c r="F558" s="183" t="s">
        <v>3125</v>
      </c>
      <c r="G558" s="125">
        <v>2.8785396014259481</v>
      </c>
      <c r="H558" s="121" t="s">
        <v>1336</v>
      </c>
      <c r="I558" s="122">
        <v>59.780701754385973</v>
      </c>
      <c r="J558" s="106" t="s">
        <v>4656</v>
      </c>
      <c r="K558" s="118">
        <v>2428</v>
      </c>
      <c r="L558" s="46">
        <v>2.4674092409240922</v>
      </c>
      <c r="M558" s="41">
        <v>5990.8696369636955</v>
      </c>
      <c r="N558" s="44">
        <v>104.33544999999999</v>
      </c>
      <c r="O558" s="41">
        <v>2596</v>
      </c>
      <c r="P558" s="41">
        <v>15</v>
      </c>
      <c r="Q558" s="41">
        <v>49.29</v>
      </c>
      <c r="R558" s="45" t="s">
        <v>1307</v>
      </c>
      <c r="S558" s="45" t="s">
        <v>1307</v>
      </c>
      <c r="T558" s="45" t="s">
        <v>1307</v>
      </c>
      <c r="U558" s="44">
        <v>452.30799999999999</v>
      </c>
      <c r="V558" s="44">
        <v>823.41499999999996</v>
      </c>
      <c r="W558" s="44">
        <v>255.22568931122453</v>
      </c>
      <c r="X558" s="44">
        <v>88.664991506384993</v>
      </c>
      <c r="Y558" s="130" t="s">
        <v>4387</v>
      </c>
      <c r="Z558" s="224" t="s">
        <v>4388</v>
      </c>
    </row>
    <row r="559" spans="2:26" ht="15" customHeight="1" x14ac:dyDescent="0.35">
      <c r="B559" s="181">
        <v>29038</v>
      </c>
      <c r="C559" s="182" t="s">
        <v>206</v>
      </c>
      <c r="D559" s="222">
        <v>12</v>
      </c>
      <c r="E559" s="223" t="s">
        <v>3127</v>
      </c>
      <c r="F559" s="183" t="s">
        <v>3128</v>
      </c>
      <c r="G559" s="125">
        <v>0.58282250956940529</v>
      </c>
      <c r="H559" s="121" t="s">
        <v>1336</v>
      </c>
      <c r="I559" s="122">
        <v>67.177777777777749</v>
      </c>
      <c r="J559" s="106" t="s">
        <v>4656</v>
      </c>
      <c r="K559" s="118">
        <v>425</v>
      </c>
      <c r="L559" s="46">
        <v>2.72</v>
      </c>
      <c r="M559" s="41">
        <v>1156</v>
      </c>
      <c r="N559" s="44">
        <v>11.734999999999999</v>
      </c>
      <c r="O559" s="41">
        <v>419</v>
      </c>
      <c r="P559" s="41">
        <v>7.5</v>
      </c>
      <c r="Q559" s="41">
        <v>59.76</v>
      </c>
      <c r="R559" s="45" t="s">
        <v>1307</v>
      </c>
      <c r="S559" s="45" t="s">
        <v>1307</v>
      </c>
      <c r="T559" s="45" t="s">
        <v>1307</v>
      </c>
      <c r="U559" s="44">
        <v>92.25</v>
      </c>
      <c r="V559" s="44">
        <v>138.44300000000001</v>
      </c>
      <c r="W559" s="44">
        <v>7.9453782216495021</v>
      </c>
      <c r="X559" s="44">
        <v>13.632586407</v>
      </c>
      <c r="Y559" s="130" t="s">
        <v>4389</v>
      </c>
      <c r="Z559" s="224"/>
    </row>
    <row r="560" spans="2:26" ht="15" customHeight="1" x14ac:dyDescent="0.35">
      <c r="B560" s="181">
        <v>12010</v>
      </c>
      <c r="C560" s="182" t="s">
        <v>29</v>
      </c>
      <c r="D560" s="222">
        <v>1</v>
      </c>
      <c r="E560" s="223" t="s">
        <v>3130</v>
      </c>
      <c r="F560" s="183" t="s">
        <v>3131</v>
      </c>
      <c r="G560" s="125">
        <v>1.4686573569308548</v>
      </c>
      <c r="H560" s="121" t="s">
        <v>1336</v>
      </c>
      <c r="I560" s="122">
        <v>59.081081081081081</v>
      </c>
      <c r="J560" s="106" t="s">
        <v>4656</v>
      </c>
      <c r="K560" s="118">
        <v>389</v>
      </c>
      <c r="L560" s="46">
        <v>2.2898799313893652</v>
      </c>
      <c r="M560" s="41">
        <v>890.76329331046304</v>
      </c>
      <c r="N560" s="44">
        <v>10.244999999999999</v>
      </c>
      <c r="O560" s="41">
        <v>389</v>
      </c>
      <c r="P560" s="41">
        <v>15</v>
      </c>
      <c r="Q560" s="41">
        <v>42.2</v>
      </c>
      <c r="R560" s="45" t="s">
        <v>1307</v>
      </c>
      <c r="S560" s="45" t="s">
        <v>1307</v>
      </c>
      <c r="T560" s="45" t="s">
        <v>1307</v>
      </c>
      <c r="U560" s="44">
        <v>60.124130841121499</v>
      </c>
      <c r="V560" s="44">
        <v>82.1</v>
      </c>
      <c r="W560" s="44">
        <v>14.511499999999989</v>
      </c>
      <c r="X560" s="44">
        <v>9.8807934550000009</v>
      </c>
      <c r="Y560" s="130" t="s">
        <v>4390</v>
      </c>
      <c r="Z560" s="224"/>
    </row>
    <row r="561" spans="2:26" ht="15" customHeight="1" x14ac:dyDescent="0.35">
      <c r="B561" s="181">
        <v>52045</v>
      </c>
      <c r="C561" s="182" t="s">
        <v>520</v>
      </c>
      <c r="D561" s="222">
        <v>14</v>
      </c>
      <c r="E561" s="223" t="s">
        <v>3133</v>
      </c>
      <c r="F561" s="183" t="s">
        <v>3133</v>
      </c>
      <c r="G561" s="125">
        <v>4.0849422218735896</v>
      </c>
      <c r="H561" s="121" t="s">
        <v>1336</v>
      </c>
      <c r="I561" s="122">
        <v>69.701754385964932</v>
      </c>
      <c r="J561" s="106" t="s">
        <v>4656</v>
      </c>
      <c r="K561" s="118">
        <v>1000</v>
      </c>
      <c r="L561" s="46">
        <v>2.06</v>
      </c>
      <c r="M561" s="41">
        <v>2060</v>
      </c>
      <c r="N561" s="44">
        <v>31.360000000000003</v>
      </c>
      <c r="O561" s="41">
        <v>1006</v>
      </c>
      <c r="P561" s="41">
        <v>10</v>
      </c>
      <c r="Q561" s="41">
        <v>46.199999999999996</v>
      </c>
      <c r="R561" s="45" t="s">
        <v>1307</v>
      </c>
      <c r="S561" s="45" t="s">
        <v>1307</v>
      </c>
      <c r="T561" s="45" t="s">
        <v>1307</v>
      </c>
      <c r="U561" s="44">
        <v>147.523</v>
      </c>
      <c r="V561" s="44">
        <v>283.745</v>
      </c>
      <c r="W561" s="44">
        <v>111.64642653061226</v>
      </c>
      <c r="X561" s="44">
        <v>27.331213140000003</v>
      </c>
      <c r="Y561" s="130" t="s">
        <v>4391</v>
      </c>
      <c r="Z561" s="224"/>
    </row>
    <row r="562" spans="2:26" ht="15" customHeight="1" x14ac:dyDescent="0.35">
      <c r="B562" s="181">
        <v>15005</v>
      </c>
      <c r="C562" s="182" t="s">
        <v>77</v>
      </c>
      <c r="D562" s="222">
        <v>3</v>
      </c>
      <c r="E562" s="223" t="s">
        <v>3137</v>
      </c>
      <c r="F562" s="183" t="s">
        <v>2795</v>
      </c>
      <c r="G562" s="125">
        <v>2.9249050042428548</v>
      </c>
      <c r="H562" s="121" t="s">
        <v>1336</v>
      </c>
      <c r="I562" s="122">
        <v>59.552631578947377</v>
      </c>
      <c r="J562" s="106" t="s">
        <v>4656</v>
      </c>
      <c r="K562" s="118">
        <v>164</v>
      </c>
      <c r="L562" s="46">
        <v>1.5750577367205543</v>
      </c>
      <c r="M562" s="41">
        <v>258.30946882217091</v>
      </c>
      <c r="N562" s="44">
        <v>5.96</v>
      </c>
      <c r="O562" s="41">
        <v>170</v>
      </c>
      <c r="P562" s="41">
        <v>19</v>
      </c>
      <c r="Q562" s="41">
        <v>51.3</v>
      </c>
      <c r="R562" s="45" t="s">
        <v>1307</v>
      </c>
      <c r="S562" s="45" t="s">
        <v>1307</v>
      </c>
      <c r="T562" s="45" t="s">
        <v>1307</v>
      </c>
      <c r="U562" s="44">
        <v>33.89</v>
      </c>
      <c r="V562" s="44">
        <v>64.623999999999995</v>
      </c>
      <c r="W562" s="44">
        <v>17.746275357142846</v>
      </c>
      <c r="X562" s="44">
        <v>6.0672997349999997</v>
      </c>
      <c r="Y562" s="130" t="s">
        <v>4392</v>
      </c>
      <c r="Z562" s="224"/>
    </row>
    <row r="563" spans="2:26" ht="15" customHeight="1" x14ac:dyDescent="0.35">
      <c r="B563" s="181">
        <v>67040</v>
      </c>
      <c r="C563" s="182" t="s">
        <v>669</v>
      </c>
      <c r="D563" s="222">
        <v>16</v>
      </c>
      <c r="E563" s="223" t="s">
        <v>3140</v>
      </c>
      <c r="F563" s="183" t="s">
        <v>3141</v>
      </c>
      <c r="G563" s="125">
        <v>4.397946878762375</v>
      </c>
      <c r="H563" s="121" t="s">
        <v>1325</v>
      </c>
      <c r="I563" s="122">
        <v>71.8</v>
      </c>
      <c r="J563" s="106" t="s">
        <v>4656</v>
      </c>
      <c r="K563" s="118">
        <v>747</v>
      </c>
      <c r="L563" s="46">
        <v>2.5688847235238987</v>
      </c>
      <c r="M563" s="41">
        <v>1918.9568884723524</v>
      </c>
      <c r="N563" s="44">
        <v>13.334</v>
      </c>
      <c r="O563" s="41">
        <v>694</v>
      </c>
      <c r="P563" s="41">
        <v>10</v>
      </c>
      <c r="Q563" s="41">
        <v>40</v>
      </c>
      <c r="R563" s="45" t="s">
        <v>1324</v>
      </c>
      <c r="S563" s="45" t="s">
        <v>1324</v>
      </c>
      <c r="T563" s="45" t="s">
        <v>1324</v>
      </c>
      <c r="U563" s="44">
        <v>131.03700000000001</v>
      </c>
      <c r="V563" s="44">
        <v>233.774</v>
      </c>
      <c r="W563" s="44">
        <v>62.201021185567001</v>
      </c>
      <c r="X563" s="44">
        <v>14.143195199999999</v>
      </c>
      <c r="Y563" s="130" t="s">
        <v>4393</v>
      </c>
      <c r="Z563" s="224"/>
    </row>
    <row r="564" spans="2:26" ht="15" customHeight="1" x14ac:dyDescent="0.35">
      <c r="B564" s="181">
        <v>41012</v>
      </c>
      <c r="C564" s="182" t="s">
        <v>365</v>
      </c>
      <c r="D564" s="222">
        <v>5</v>
      </c>
      <c r="E564" s="223" t="s">
        <v>3144</v>
      </c>
      <c r="F564" s="183" t="s">
        <v>3145</v>
      </c>
      <c r="G564" s="125">
        <v>5.9069874443646428</v>
      </c>
      <c r="H564" s="121" t="s">
        <v>1336</v>
      </c>
      <c r="I564" s="122">
        <v>72.096491228070192</v>
      </c>
      <c r="J564" s="106" t="s">
        <v>4656</v>
      </c>
      <c r="K564" s="118">
        <v>167</v>
      </c>
      <c r="L564" s="46">
        <v>1.8021108179419525</v>
      </c>
      <c r="M564" s="41">
        <v>300.95250659630608</v>
      </c>
      <c r="N564" s="44">
        <v>6.0060000000000002</v>
      </c>
      <c r="O564" s="41">
        <v>166</v>
      </c>
      <c r="P564" s="41">
        <v>18</v>
      </c>
      <c r="Q564" s="41">
        <v>43.59</v>
      </c>
      <c r="R564" s="45" t="s">
        <v>1307</v>
      </c>
      <c r="S564" s="45" t="s">
        <v>1307</v>
      </c>
      <c r="T564" s="45" t="s">
        <v>1307</v>
      </c>
      <c r="U564" s="44">
        <v>17.007000000000001</v>
      </c>
      <c r="V564" s="44">
        <v>53.143999999999991</v>
      </c>
      <c r="W564" s="44">
        <v>29.661546071428557</v>
      </c>
      <c r="X564" s="44">
        <v>5.0214337428000002</v>
      </c>
      <c r="Y564" s="130" t="s">
        <v>4394</v>
      </c>
      <c r="Z564" s="224"/>
    </row>
    <row r="565" spans="2:26" ht="15" customHeight="1" x14ac:dyDescent="0.35">
      <c r="B565" s="181">
        <v>63013</v>
      </c>
      <c r="C565" s="182" t="s">
        <v>635</v>
      </c>
      <c r="D565" s="222">
        <v>14</v>
      </c>
      <c r="E565" s="223" t="s">
        <v>3148</v>
      </c>
      <c r="F565" s="183" t="s">
        <v>3148</v>
      </c>
      <c r="G565" s="125">
        <v>3.4779924616486322</v>
      </c>
      <c r="H565" s="121" t="s">
        <v>1325</v>
      </c>
      <c r="I565" s="122">
        <v>58.72972972972974</v>
      </c>
      <c r="J565" s="106" t="s">
        <v>4656</v>
      </c>
      <c r="K565" s="118">
        <v>1627</v>
      </c>
      <c r="L565" s="46">
        <v>2.3019406392694064</v>
      </c>
      <c r="M565" s="41">
        <v>3745.2574200913241</v>
      </c>
      <c r="N565" s="44">
        <v>26.111999999999998</v>
      </c>
      <c r="O565" s="41">
        <v>1155</v>
      </c>
      <c r="P565" s="41">
        <v>15</v>
      </c>
      <c r="Q565" s="41">
        <v>38</v>
      </c>
      <c r="R565" s="45" t="s">
        <v>1324</v>
      </c>
      <c r="S565" s="45" t="s">
        <v>1324</v>
      </c>
      <c r="T565" s="45" t="s">
        <v>1324</v>
      </c>
      <c r="U565" s="44">
        <v>345.28262402402402</v>
      </c>
      <c r="V565" s="44">
        <v>448.21100000000001</v>
      </c>
      <c r="W565" s="44">
        <v>88.140835000000024</v>
      </c>
      <c r="X565" s="44">
        <v>25.34244567</v>
      </c>
      <c r="Y565" s="130" t="s">
        <v>4395</v>
      </c>
      <c r="Z565" s="224" t="s">
        <v>4396</v>
      </c>
    </row>
    <row r="566" spans="2:26" ht="15" customHeight="1" x14ac:dyDescent="0.35">
      <c r="B566" s="181">
        <v>31140</v>
      </c>
      <c r="C566" s="182" t="s">
        <v>255</v>
      </c>
      <c r="D566" s="222">
        <v>12</v>
      </c>
      <c r="E566" s="223" t="s">
        <v>3152</v>
      </c>
      <c r="F566" s="183" t="s">
        <v>3153</v>
      </c>
      <c r="G566" s="125">
        <v>0.98581478807087508</v>
      </c>
      <c r="H566" s="121" t="s">
        <v>1336</v>
      </c>
      <c r="I566" s="122">
        <v>58.72972972972974</v>
      </c>
      <c r="J566" s="106" t="s">
        <v>4656</v>
      </c>
      <c r="K566" s="118">
        <v>204</v>
      </c>
      <c r="L566" s="46">
        <v>2.0299999999999998</v>
      </c>
      <c r="M566" s="41">
        <v>414.11999999999995</v>
      </c>
      <c r="N566" s="44">
        <v>6.6109999999999998</v>
      </c>
      <c r="O566" s="41">
        <v>194</v>
      </c>
      <c r="P566" s="41">
        <v>5</v>
      </c>
      <c r="Q566" s="41">
        <v>37.1</v>
      </c>
      <c r="R566" s="45" t="s">
        <v>1307</v>
      </c>
      <c r="S566" s="45" t="s">
        <v>1307</v>
      </c>
      <c r="T566" s="45" t="s">
        <v>1307</v>
      </c>
      <c r="U566" s="44">
        <v>30.908756756756759</v>
      </c>
      <c r="V566" s="44">
        <v>38.192999999999998</v>
      </c>
      <c r="W566" s="44">
        <v>3.9841049999999951</v>
      </c>
      <c r="X566" s="44">
        <v>4.0414335919999997</v>
      </c>
      <c r="Y566" s="130" t="s">
        <v>4397</v>
      </c>
      <c r="Z566" s="224" t="s">
        <v>4398</v>
      </c>
    </row>
    <row r="567" spans="2:26" ht="15" customHeight="1" x14ac:dyDescent="0.35">
      <c r="B567" s="181">
        <v>57033</v>
      </c>
      <c r="C567" s="182" t="s">
        <v>586</v>
      </c>
      <c r="D567" s="222">
        <v>16</v>
      </c>
      <c r="E567" s="223" t="s">
        <v>3155</v>
      </c>
      <c r="F567" s="183" t="s">
        <v>3156</v>
      </c>
      <c r="G567" s="125">
        <v>1.9943019041989662</v>
      </c>
      <c r="H567" s="121" t="s">
        <v>1325</v>
      </c>
      <c r="I567" s="122">
        <v>76.107843137254903</v>
      </c>
      <c r="J567" s="106" t="s">
        <v>4656</v>
      </c>
      <c r="K567" s="118">
        <v>1210</v>
      </c>
      <c r="L567" s="46">
        <v>2.5772357723577235</v>
      </c>
      <c r="M567" s="41">
        <v>3118.4552845528456</v>
      </c>
      <c r="N567" s="44">
        <v>43.86</v>
      </c>
      <c r="O567" s="41">
        <v>1012</v>
      </c>
      <c r="P567" s="41">
        <v>6</v>
      </c>
      <c r="Q567" s="41">
        <v>56</v>
      </c>
      <c r="R567" s="45" t="s">
        <v>1307</v>
      </c>
      <c r="S567" s="45" t="s">
        <v>1324</v>
      </c>
      <c r="T567" s="45" t="s">
        <v>1307</v>
      </c>
      <c r="U567" s="44">
        <v>321.43700000000001</v>
      </c>
      <c r="V567" s="44">
        <v>826.7</v>
      </c>
      <c r="W567" s="44">
        <v>71.372051020408236</v>
      </c>
      <c r="X567" s="44">
        <v>35.787987200000003</v>
      </c>
      <c r="Y567" s="130" t="s">
        <v>4219</v>
      </c>
      <c r="Z567" s="224"/>
    </row>
    <row r="568" spans="2:26" ht="15" customHeight="1" x14ac:dyDescent="0.35">
      <c r="B568" s="181">
        <v>11010</v>
      </c>
      <c r="C568" s="182" t="s">
        <v>18</v>
      </c>
      <c r="D568" s="222">
        <v>1</v>
      </c>
      <c r="E568" s="223" t="s">
        <v>3158</v>
      </c>
      <c r="F568" s="183" t="s">
        <v>3159</v>
      </c>
      <c r="G568" s="125">
        <v>1.1993638129085806</v>
      </c>
      <c r="H568" s="121" t="s">
        <v>1336</v>
      </c>
      <c r="I568" s="122">
        <v>59.081081081081081</v>
      </c>
      <c r="J568" s="106" t="s">
        <v>4656</v>
      </c>
      <c r="K568" s="118">
        <v>573</v>
      </c>
      <c r="L568" s="46">
        <v>2.0931435963777489</v>
      </c>
      <c r="M568" s="41">
        <v>1199.3712807244501</v>
      </c>
      <c r="N568" s="44">
        <v>10.688000000000001</v>
      </c>
      <c r="O568" s="41">
        <v>588</v>
      </c>
      <c r="P568" s="41">
        <v>6.1</v>
      </c>
      <c r="Q568" s="41">
        <v>39.700000000000003</v>
      </c>
      <c r="R568" s="45" t="s">
        <v>1307</v>
      </c>
      <c r="S568" s="45" t="s">
        <v>1307</v>
      </c>
      <c r="T568" s="45" t="s">
        <v>1307</v>
      </c>
      <c r="U568" s="44">
        <v>85.729335974643419</v>
      </c>
      <c r="V568" s="44">
        <v>109.121</v>
      </c>
      <c r="W568" s="44">
        <v>13.077184999999997</v>
      </c>
      <c r="X568" s="44">
        <v>10.903434687000001</v>
      </c>
      <c r="Y568" s="130" t="s">
        <v>4399</v>
      </c>
      <c r="Z568" s="224" t="s">
        <v>4400</v>
      </c>
    </row>
    <row r="569" spans="2:26" ht="15" customHeight="1" x14ac:dyDescent="0.35">
      <c r="B569" s="181">
        <v>62015</v>
      </c>
      <c r="C569" s="182" t="s">
        <v>620</v>
      </c>
      <c r="D569" s="222">
        <v>14</v>
      </c>
      <c r="E569" s="223" t="s">
        <v>2020</v>
      </c>
      <c r="F569" s="183" t="s">
        <v>3161</v>
      </c>
      <c r="G569" s="125">
        <v>3.2002981991002422</v>
      </c>
      <c r="H569" s="121" t="s">
        <v>1336</v>
      </c>
      <c r="I569" s="122">
        <v>59.081081081081081</v>
      </c>
      <c r="J569" s="106" t="s">
        <v>4656</v>
      </c>
      <c r="K569" s="118">
        <v>755</v>
      </c>
      <c r="L569" s="46">
        <v>1.7460194174757282</v>
      </c>
      <c r="M569" s="41">
        <v>1318.2446601941747</v>
      </c>
      <c r="N569" s="44">
        <v>9.7409999999999997</v>
      </c>
      <c r="O569" s="41">
        <v>558</v>
      </c>
      <c r="P569" s="41">
        <v>9.5</v>
      </c>
      <c r="Q569" s="41">
        <v>43.75</v>
      </c>
      <c r="R569" s="45" t="s">
        <v>1307</v>
      </c>
      <c r="S569" s="45" t="s">
        <v>1307</v>
      </c>
      <c r="T569" s="45" t="s">
        <v>1307</v>
      </c>
      <c r="U569" s="44">
        <v>117.63934495192308</v>
      </c>
      <c r="V569" s="44">
        <v>170.74460000000002</v>
      </c>
      <c r="W569" s="44">
        <v>38.546431000000013</v>
      </c>
      <c r="X569" s="44">
        <v>12.044637281250001</v>
      </c>
      <c r="Y569" s="130" t="s">
        <v>4401</v>
      </c>
      <c r="Z569" s="224"/>
    </row>
    <row r="570" spans="2:26" ht="15" customHeight="1" x14ac:dyDescent="0.35">
      <c r="B570" s="181">
        <v>56083</v>
      </c>
      <c r="C570" s="182" t="s">
        <v>578</v>
      </c>
      <c r="D570" s="222">
        <v>16</v>
      </c>
      <c r="E570" s="223" t="s">
        <v>3165</v>
      </c>
      <c r="F570" s="183" t="s">
        <v>3166</v>
      </c>
      <c r="G570" s="125">
        <v>3.2845356450043037</v>
      </c>
      <c r="H570" s="121" t="s">
        <v>2090</v>
      </c>
      <c r="I570" s="122">
        <v>62</v>
      </c>
      <c r="J570" s="106" t="s">
        <v>4656</v>
      </c>
      <c r="K570" s="118">
        <v>34730</v>
      </c>
      <c r="L570" s="46">
        <v>2.2877374051557569</v>
      </c>
      <c r="M570" s="41">
        <v>79453.120081059431</v>
      </c>
      <c r="N570" s="44">
        <v>388.18</v>
      </c>
      <c r="O570" s="41">
        <v>24685</v>
      </c>
      <c r="P570" s="41">
        <v>7</v>
      </c>
      <c r="Q570" s="41">
        <v>47</v>
      </c>
      <c r="R570" s="45" t="s">
        <v>1307</v>
      </c>
      <c r="S570" s="45" t="s">
        <v>1307</v>
      </c>
      <c r="T570" s="45" t="s">
        <v>1307</v>
      </c>
      <c r="U570" s="44">
        <v>7982.9943880000001</v>
      </c>
      <c r="V570" s="44">
        <v>12446</v>
      </c>
      <c r="W570" s="44">
        <v>1749.838</v>
      </c>
      <c r="X570" s="44">
        <v>532.75049782499991</v>
      </c>
      <c r="Y570" s="130" t="s">
        <v>4402</v>
      </c>
      <c r="Z570" s="224"/>
    </row>
    <row r="571" spans="2:26" ht="15" customHeight="1" x14ac:dyDescent="0.35">
      <c r="B571" s="181">
        <v>56083</v>
      </c>
      <c r="C571" s="182" t="s">
        <v>578</v>
      </c>
      <c r="D571" s="222">
        <v>16</v>
      </c>
      <c r="E571" s="223" t="s">
        <v>3167</v>
      </c>
      <c r="F571" s="183" t="s">
        <v>3168</v>
      </c>
      <c r="G571" s="125">
        <v>2.1715166816290608</v>
      </c>
      <c r="H571" s="121" t="s">
        <v>1373</v>
      </c>
      <c r="I571" s="122">
        <v>56</v>
      </c>
      <c r="J571" s="106" t="s">
        <v>4656</v>
      </c>
      <c r="K571" s="118">
        <v>7515</v>
      </c>
      <c r="L571" s="46">
        <v>2.2877374051557569</v>
      </c>
      <c r="M571" s="41">
        <v>17192.346599745513</v>
      </c>
      <c r="N571" s="44">
        <v>109.36</v>
      </c>
      <c r="O571" s="41">
        <v>6955</v>
      </c>
      <c r="P571" s="41">
        <v>5</v>
      </c>
      <c r="Q571" s="41">
        <v>47</v>
      </c>
      <c r="R571" s="45" t="s">
        <v>1307</v>
      </c>
      <c r="S571" s="45" t="s">
        <v>1307</v>
      </c>
      <c r="T571" s="45" t="s">
        <v>1307</v>
      </c>
      <c r="U571" s="44">
        <v>1727.388506</v>
      </c>
      <c r="V571" s="44">
        <v>2708.2110000000002</v>
      </c>
      <c r="W571" s="44">
        <v>312.98899999999998</v>
      </c>
      <c r="X571" s="44">
        <v>144.133822525</v>
      </c>
      <c r="Y571" s="130" t="s">
        <v>4402</v>
      </c>
      <c r="Z571" s="224"/>
    </row>
    <row r="572" spans="2:26" ht="15" customHeight="1" x14ac:dyDescent="0.35">
      <c r="B572" s="181">
        <v>21020</v>
      </c>
      <c r="C572" s="182" t="s">
        <v>147</v>
      </c>
      <c r="D572" s="222">
        <v>3</v>
      </c>
      <c r="E572" s="223" t="s">
        <v>1612</v>
      </c>
      <c r="F572" s="183" t="s">
        <v>3171</v>
      </c>
      <c r="G572" s="125">
        <v>0.87158262860631808</v>
      </c>
      <c r="H572" s="121" t="s">
        <v>1336</v>
      </c>
      <c r="I572" s="122">
        <v>52.077957065539763</v>
      </c>
      <c r="J572" s="106" t="s">
        <v>4656</v>
      </c>
      <c r="K572" s="118">
        <v>548</v>
      </c>
      <c r="L572" s="46">
        <v>2.1197080291970805</v>
      </c>
      <c r="M572" s="41">
        <v>1161.6000000000001</v>
      </c>
      <c r="N572" s="44">
        <v>19.28</v>
      </c>
      <c r="O572" s="41">
        <v>548</v>
      </c>
      <c r="P572" s="41">
        <v>8</v>
      </c>
      <c r="Q572" s="41">
        <v>45.7</v>
      </c>
      <c r="R572" s="45" t="s">
        <v>1307</v>
      </c>
      <c r="S572" s="45" t="s">
        <v>1307</v>
      </c>
      <c r="T572" s="45" t="s">
        <v>1307</v>
      </c>
      <c r="U572" s="44">
        <v>116.63500000000001</v>
      </c>
      <c r="V572" s="44">
        <v>152.36800000000002</v>
      </c>
      <c r="W572" s="44">
        <v>13.012480000000043</v>
      </c>
      <c r="X572" s="44">
        <v>14.929714720000003</v>
      </c>
      <c r="Y572" s="130" t="s">
        <v>4403</v>
      </c>
      <c r="Z572" s="224" t="s">
        <v>4404</v>
      </c>
    </row>
    <row r="573" spans="2:26" ht="15" customHeight="1" x14ac:dyDescent="0.35">
      <c r="B573" s="181">
        <v>21020</v>
      </c>
      <c r="C573" s="182" t="s">
        <v>147</v>
      </c>
      <c r="D573" s="222">
        <v>3</v>
      </c>
      <c r="E573" s="223" t="s">
        <v>3172</v>
      </c>
      <c r="F573" s="183" t="s">
        <v>3173</v>
      </c>
      <c r="G573" s="125">
        <v>5.6626489022330624</v>
      </c>
      <c r="H573" s="121" t="s">
        <v>1336</v>
      </c>
      <c r="I573" s="122">
        <v>52.081081081081081</v>
      </c>
      <c r="J573" s="106" t="s">
        <v>4656</v>
      </c>
      <c r="K573" s="118">
        <v>37</v>
      </c>
      <c r="L573" s="46">
        <v>2.1197080291970805</v>
      </c>
      <c r="M573" s="41">
        <v>78.429197080291971</v>
      </c>
      <c r="N573" s="44">
        <v>1.925</v>
      </c>
      <c r="O573" s="41">
        <v>37</v>
      </c>
      <c r="P573" s="41">
        <v>15</v>
      </c>
      <c r="Q573" s="41">
        <v>36.5</v>
      </c>
      <c r="R573" s="45" t="s">
        <v>1307</v>
      </c>
      <c r="S573" s="45" t="s">
        <v>1307</v>
      </c>
      <c r="T573" s="45" t="s">
        <v>1307</v>
      </c>
      <c r="U573" s="44">
        <v>7.8289999999999997</v>
      </c>
      <c r="V573" s="44">
        <v>25.08</v>
      </c>
      <c r="W573" s="44">
        <v>5.8937999999999979</v>
      </c>
      <c r="X573" s="44">
        <v>1.0408203125</v>
      </c>
      <c r="Y573" s="130" t="s">
        <v>4403</v>
      </c>
      <c r="Z573" s="224" t="s">
        <v>4404</v>
      </c>
    </row>
    <row r="574" spans="2:26" ht="15" customHeight="1" x14ac:dyDescent="0.35">
      <c r="B574" s="181">
        <v>27043</v>
      </c>
      <c r="C574" s="182" t="s">
        <v>182</v>
      </c>
      <c r="D574" s="222">
        <v>12</v>
      </c>
      <c r="E574" s="223" t="s">
        <v>3177</v>
      </c>
      <c r="F574" s="183" t="s">
        <v>3178</v>
      </c>
      <c r="G574" s="125">
        <v>1.983556407866415</v>
      </c>
      <c r="H574" s="121" t="s">
        <v>1336</v>
      </c>
      <c r="I574" s="122">
        <v>58.295918367346928</v>
      </c>
      <c r="J574" s="106" t="s">
        <v>4656</v>
      </c>
      <c r="K574" s="118">
        <v>1744</v>
      </c>
      <c r="L574" s="46">
        <v>2.82</v>
      </c>
      <c r="M574" s="41">
        <v>4918.08</v>
      </c>
      <c r="N574" s="44">
        <v>34.979999999999997</v>
      </c>
      <c r="O574" s="41">
        <v>1953</v>
      </c>
      <c r="P574" s="41">
        <v>8</v>
      </c>
      <c r="Q574" s="41">
        <v>49.5</v>
      </c>
      <c r="R574" s="45" t="s">
        <v>1307</v>
      </c>
      <c r="S574" s="45" t="s">
        <v>1307</v>
      </c>
      <c r="T574" s="45" t="s">
        <v>1307</v>
      </c>
      <c r="U574" s="44">
        <v>340.4087354904982</v>
      </c>
      <c r="V574" s="44">
        <v>478.67399999999998</v>
      </c>
      <c r="W574" s="44">
        <v>92.556407999999934</v>
      </c>
      <c r="X574" s="44">
        <v>46.661848199999994</v>
      </c>
      <c r="Y574" s="130" t="s">
        <v>4405</v>
      </c>
      <c r="Z574" s="224"/>
    </row>
    <row r="575" spans="2:26" ht="15" customHeight="1" x14ac:dyDescent="0.35">
      <c r="B575" s="181">
        <v>31045</v>
      </c>
      <c r="C575" s="182" t="s">
        <v>244</v>
      </c>
      <c r="D575" s="222">
        <v>12</v>
      </c>
      <c r="E575" s="223" t="s">
        <v>3694</v>
      </c>
      <c r="F575" s="183" t="s">
        <v>3695</v>
      </c>
      <c r="G575" s="125">
        <v>7.5804898531233285</v>
      </c>
      <c r="H575" s="121" t="s">
        <v>1336</v>
      </c>
      <c r="I575" s="122">
        <v>61.612244897959172</v>
      </c>
      <c r="J575" s="106" t="s">
        <v>4656</v>
      </c>
      <c r="K575" s="118">
        <v>523</v>
      </c>
      <c r="L575" s="46">
        <v>1.9887260428410372</v>
      </c>
      <c r="M575" s="41">
        <v>1040.1037204058625</v>
      </c>
      <c r="N575" s="44">
        <v>14.149000000000001</v>
      </c>
      <c r="O575" s="41">
        <v>577</v>
      </c>
      <c r="P575" s="41">
        <v>8</v>
      </c>
      <c r="Q575" s="41">
        <v>31.6</v>
      </c>
      <c r="R575" s="45" t="s">
        <v>1307</v>
      </c>
      <c r="S575" s="45" t="s">
        <v>1307</v>
      </c>
      <c r="T575" s="45" t="s">
        <v>1307</v>
      </c>
      <c r="U575" s="44">
        <v>64.499073319304159</v>
      </c>
      <c r="V575" s="44">
        <v>180.98400000000001</v>
      </c>
      <c r="W575" s="44">
        <v>72.716760000000008</v>
      </c>
      <c r="X575" s="44">
        <v>9.5926201880000015</v>
      </c>
      <c r="Y575" s="130"/>
      <c r="Z575" s="224"/>
    </row>
    <row r="576" spans="2:26" ht="15" customHeight="1" x14ac:dyDescent="0.35">
      <c r="B576" s="181">
        <v>31045</v>
      </c>
      <c r="C576" s="182" t="s">
        <v>244</v>
      </c>
      <c r="D576" s="222">
        <v>12</v>
      </c>
      <c r="E576" s="223" t="s">
        <v>3696</v>
      </c>
      <c r="F576" s="183" t="s">
        <v>3697</v>
      </c>
      <c r="G576" s="125">
        <v>2.4080398004888148</v>
      </c>
      <c r="H576" s="121" t="s">
        <v>1336</v>
      </c>
      <c r="I576" s="122">
        <v>56.744186046511629</v>
      </c>
      <c r="J576" s="106" t="s">
        <v>4656</v>
      </c>
      <c r="K576" s="118">
        <v>42</v>
      </c>
      <c r="L576" s="46">
        <v>1.9887260428410372</v>
      </c>
      <c r="M576" s="41">
        <v>83.526493799323561</v>
      </c>
      <c r="N576" s="44">
        <v>1.73</v>
      </c>
      <c r="O576" s="41">
        <v>42</v>
      </c>
      <c r="P576" s="41">
        <v>8</v>
      </c>
      <c r="Q576" s="41">
        <v>38.700000000000003</v>
      </c>
      <c r="R576" s="45" t="s">
        <v>1307</v>
      </c>
      <c r="S576" s="45" t="s">
        <v>1307</v>
      </c>
      <c r="T576" s="45" t="s">
        <v>1307</v>
      </c>
      <c r="U576" s="44">
        <v>9.1322049999999972</v>
      </c>
      <c r="V576" s="44">
        <v>11.796999999999997</v>
      </c>
      <c r="W576" s="44">
        <v>2.4878400000000003</v>
      </c>
      <c r="X576" s="44">
        <v>1.0331390700000003</v>
      </c>
      <c r="Y576" s="130"/>
      <c r="Z576" s="224"/>
    </row>
    <row r="577" spans="2:26" ht="15" customHeight="1" x14ac:dyDescent="0.35">
      <c r="B577" s="181">
        <v>72025</v>
      </c>
      <c r="C577" s="182" t="s">
        <v>731</v>
      </c>
      <c r="D577" s="222">
        <v>15</v>
      </c>
      <c r="E577" s="223" t="s">
        <v>2410</v>
      </c>
      <c r="F577" s="183" t="s">
        <v>3180</v>
      </c>
      <c r="G577" s="125">
        <v>2.1080915474621968</v>
      </c>
      <c r="H577" s="121" t="s">
        <v>1441</v>
      </c>
      <c r="I577" s="122">
        <v>52.026315789473685</v>
      </c>
      <c r="J577" s="106" t="s">
        <v>4656</v>
      </c>
      <c r="K577" s="118">
        <v>5036</v>
      </c>
      <c r="L577" s="46">
        <v>2.4757744241461479</v>
      </c>
      <c r="M577" s="41">
        <v>12468</v>
      </c>
      <c r="N577" s="44">
        <v>88.222999999999999</v>
      </c>
      <c r="O577" s="41">
        <v>5829</v>
      </c>
      <c r="P577" s="41">
        <v>10.5</v>
      </c>
      <c r="Q577" s="41">
        <v>40</v>
      </c>
      <c r="R577" s="45" t="s">
        <v>1307</v>
      </c>
      <c r="S577" s="45" t="s">
        <v>1324</v>
      </c>
      <c r="T577" s="45" t="s">
        <v>1307</v>
      </c>
      <c r="U577" s="44">
        <v>945.2378116485686</v>
      </c>
      <c r="V577" s="44">
        <v>1440.4690000000001</v>
      </c>
      <c r="W577" s="44">
        <v>239.49472989132656</v>
      </c>
      <c r="X577" s="44">
        <v>113.6073669</v>
      </c>
      <c r="Y577" s="130" t="s">
        <v>4406</v>
      </c>
      <c r="Z577" s="224"/>
    </row>
    <row r="578" spans="2:26" ht="15" customHeight="1" x14ac:dyDescent="0.35">
      <c r="B578" s="181">
        <v>27055</v>
      </c>
      <c r="C578" s="182" t="s">
        <v>184</v>
      </c>
      <c r="D578" s="222">
        <v>12</v>
      </c>
      <c r="E578" s="223" t="s">
        <v>3183</v>
      </c>
      <c r="F578" s="183" t="s">
        <v>3184</v>
      </c>
      <c r="G578" s="125">
        <v>1.5574824170099819</v>
      </c>
      <c r="H578" s="121" t="s">
        <v>1325</v>
      </c>
      <c r="I578" s="122">
        <v>61.540540540540547</v>
      </c>
      <c r="J578" s="106" t="s">
        <v>4656</v>
      </c>
      <c r="K578" s="118">
        <v>66</v>
      </c>
      <c r="L578" s="46">
        <v>2.299145299145299</v>
      </c>
      <c r="M578" s="41">
        <v>151.74358974358972</v>
      </c>
      <c r="N578" s="44">
        <v>2.9649999999999999</v>
      </c>
      <c r="O578" s="41">
        <v>77</v>
      </c>
      <c r="P578" s="41">
        <v>5.49</v>
      </c>
      <c r="Q578" s="41">
        <v>36.6</v>
      </c>
      <c r="R578" s="45" t="s">
        <v>1307</v>
      </c>
      <c r="S578" s="45" t="s">
        <v>1307</v>
      </c>
      <c r="T578" s="45" t="s">
        <v>1324</v>
      </c>
      <c r="U578" s="44">
        <v>13.325230769230769</v>
      </c>
      <c r="V578" s="44">
        <v>18.64</v>
      </c>
      <c r="W578" s="44">
        <v>2.6120000000000001</v>
      </c>
      <c r="X578" s="44">
        <v>1.6770654817500001</v>
      </c>
      <c r="Y578" s="130" t="s">
        <v>4407</v>
      </c>
      <c r="Z578" s="224"/>
    </row>
    <row r="579" spans="2:26" ht="15" customHeight="1" x14ac:dyDescent="0.35">
      <c r="B579" s="181">
        <v>18005</v>
      </c>
      <c r="C579" s="182" t="s">
        <v>104</v>
      </c>
      <c r="D579" s="222">
        <v>12</v>
      </c>
      <c r="E579" s="223" t="s">
        <v>3187</v>
      </c>
      <c r="F579" s="183" t="s">
        <v>3188</v>
      </c>
      <c r="G579" s="125">
        <v>2.3817998849402118</v>
      </c>
      <c r="H579" s="121" t="s">
        <v>1336</v>
      </c>
      <c r="I579" s="122">
        <v>59.081081081081081</v>
      </c>
      <c r="J579" s="106" t="s">
        <v>4656</v>
      </c>
      <c r="K579" s="118">
        <v>160</v>
      </c>
      <c r="L579" s="46">
        <v>1.8781869688385269</v>
      </c>
      <c r="M579" s="41">
        <v>300.50991501416428</v>
      </c>
      <c r="N579" s="44">
        <v>3.7890000000000001</v>
      </c>
      <c r="O579" s="41">
        <v>169</v>
      </c>
      <c r="P579" s="41">
        <v>6</v>
      </c>
      <c r="Q579" s="41">
        <v>42</v>
      </c>
      <c r="R579" s="45" t="s">
        <v>1307</v>
      </c>
      <c r="S579" s="45" t="s">
        <v>1307</v>
      </c>
      <c r="T579" s="45" t="s">
        <v>1307</v>
      </c>
      <c r="U579" s="44">
        <v>27.315999999999999</v>
      </c>
      <c r="V579" s="44">
        <v>37.771999999999998</v>
      </c>
      <c r="W579" s="44">
        <v>8.3524199999999986</v>
      </c>
      <c r="X579" s="44">
        <v>3.50676816</v>
      </c>
      <c r="Y579" s="130" t="s">
        <v>4408</v>
      </c>
      <c r="Z579" s="224" t="s">
        <v>3761</v>
      </c>
    </row>
    <row r="580" spans="2:26" ht="15" customHeight="1" x14ac:dyDescent="0.35">
      <c r="B580" s="181">
        <v>13040</v>
      </c>
      <c r="C580" s="182" t="s">
        <v>47</v>
      </c>
      <c r="D580" s="222">
        <v>1</v>
      </c>
      <c r="E580" s="223" t="s">
        <v>3190</v>
      </c>
      <c r="F580" s="183" t="s">
        <v>3191</v>
      </c>
      <c r="G580" s="125">
        <v>0.69978722373525926</v>
      </c>
      <c r="H580" s="121" t="s">
        <v>1325</v>
      </c>
      <c r="I580" s="122">
        <v>59.081081081081081</v>
      </c>
      <c r="J580" s="106" t="s">
        <v>4656</v>
      </c>
      <c r="K580" s="118">
        <v>80</v>
      </c>
      <c r="L580" s="46">
        <v>1.8810289389067525</v>
      </c>
      <c r="M580" s="41">
        <v>150.48231511254019</v>
      </c>
      <c r="N580" s="44">
        <v>4.2560000000000002</v>
      </c>
      <c r="O580" s="41">
        <v>78</v>
      </c>
      <c r="P580" s="41">
        <v>10</v>
      </c>
      <c r="Q580" s="41">
        <v>49.2</v>
      </c>
      <c r="R580" s="45" t="s">
        <v>1307</v>
      </c>
      <c r="S580" s="45" t="s">
        <v>1307</v>
      </c>
      <c r="T580" s="45" t="s">
        <v>1324</v>
      </c>
      <c r="U580" s="44">
        <v>9.8657142857142848</v>
      </c>
      <c r="V580" s="44">
        <v>12.413</v>
      </c>
      <c r="W580" s="44">
        <v>1.991935</v>
      </c>
      <c r="X580" s="44">
        <v>2.8464866640000004</v>
      </c>
      <c r="Y580" s="130" t="s">
        <v>4409</v>
      </c>
      <c r="Z580" s="224" t="s">
        <v>3760</v>
      </c>
    </row>
    <row r="581" spans="2:26" ht="15" customHeight="1" x14ac:dyDescent="0.35">
      <c r="B581" s="181">
        <v>26070</v>
      </c>
      <c r="C581" s="182" t="s">
        <v>177</v>
      </c>
      <c r="D581" s="222">
        <v>12</v>
      </c>
      <c r="E581" s="223" t="s">
        <v>3194</v>
      </c>
      <c r="F581" s="183" t="s">
        <v>3195</v>
      </c>
      <c r="G581" s="125">
        <v>1.491996415585868</v>
      </c>
      <c r="H581" s="121" t="s">
        <v>1325</v>
      </c>
      <c r="I581" s="122">
        <v>48.460784313725483</v>
      </c>
      <c r="J581" s="106" t="s">
        <v>4656</v>
      </c>
      <c r="K581" s="118">
        <v>1090</v>
      </c>
      <c r="L581" s="46">
        <v>2.5988394584139267</v>
      </c>
      <c r="M581" s="41">
        <v>2832.7350096711803</v>
      </c>
      <c r="N581" s="44">
        <v>21.431999999999999</v>
      </c>
      <c r="O581" s="41">
        <v>943</v>
      </c>
      <c r="P581" s="41">
        <v>9.5</v>
      </c>
      <c r="Q581" s="41">
        <v>45.7</v>
      </c>
      <c r="R581" s="45" t="s">
        <v>1324</v>
      </c>
      <c r="S581" s="45" t="s">
        <v>1324</v>
      </c>
      <c r="T581" s="45" t="s">
        <v>1324</v>
      </c>
      <c r="U581" s="44">
        <v>185.715</v>
      </c>
      <c r="V581" s="44">
        <v>248.15100000000001</v>
      </c>
      <c r="W581" s="44">
        <v>33.949650714285731</v>
      </c>
      <c r="X581" s="44">
        <v>22.754512249250002</v>
      </c>
      <c r="Y581" s="130" t="s">
        <v>4410</v>
      </c>
      <c r="Z581" s="224"/>
    </row>
    <row r="582" spans="2:26" ht="15" customHeight="1" x14ac:dyDescent="0.35">
      <c r="B582" s="181">
        <v>71105</v>
      </c>
      <c r="C582" s="182" t="s">
        <v>721</v>
      </c>
      <c r="D582" s="222">
        <v>16</v>
      </c>
      <c r="E582" s="223" t="s">
        <v>3197</v>
      </c>
      <c r="F582" s="183" t="s">
        <v>3198</v>
      </c>
      <c r="G582" s="125">
        <v>1.5190182157314689</v>
      </c>
      <c r="H582" s="121" t="s">
        <v>1441</v>
      </c>
      <c r="I582" s="122">
        <v>58.905405405405418</v>
      </c>
      <c r="J582" s="106" t="s">
        <v>4656</v>
      </c>
      <c r="K582" s="118">
        <v>7066</v>
      </c>
      <c r="L582" s="46">
        <v>2.9466704288939054</v>
      </c>
      <c r="M582" s="41">
        <v>20821.173250564334</v>
      </c>
      <c r="N582" s="44">
        <v>185.77</v>
      </c>
      <c r="O582" s="41">
        <v>7066</v>
      </c>
      <c r="P582" s="41">
        <v>9</v>
      </c>
      <c r="Q582" s="41">
        <v>51</v>
      </c>
      <c r="R582" s="45" t="s">
        <v>1324</v>
      </c>
      <c r="S582" s="45" t="s">
        <v>1307</v>
      </c>
      <c r="T582" s="45" t="s">
        <v>1324</v>
      </c>
      <c r="U582" s="44">
        <v>1975.473952654625</v>
      </c>
      <c r="V582" s="44">
        <v>2378.1529999999998</v>
      </c>
      <c r="W582" s="44">
        <v>299.34970499999969</v>
      </c>
      <c r="X582" s="44">
        <v>197.06788365</v>
      </c>
      <c r="Y582" s="130" t="s">
        <v>4411</v>
      </c>
      <c r="Z582" s="224"/>
    </row>
    <row r="583" spans="2:26" ht="15" customHeight="1" x14ac:dyDescent="0.35">
      <c r="B583" s="181">
        <v>19050</v>
      </c>
      <c r="C583" s="182" t="s">
        <v>126</v>
      </c>
      <c r="D583" s="222">
        <v>12</v>
      </c>
      <c r="E583" s="223" t="s">
        <v>3201</v>
      </c>
      <c r="F583" s="183" t="s">
        <v>3201</v>
      </c>
      <c r="G583" s="125">
        <v>0.98140747619422497</v>
      </c>
      <c r="H583" s="121" t="s">
        <v>1325</v>
      </c>
      <c r="I583" s="122">
        <v>66.421568627450981</v>
      </c>
      <c r="J583" s="106" t="s">
        <v>4656</v>
      </c>
      <c r="K583" s="118">
        <v>319</v>
      </c>
      <c r="L583" s="46">
        <v>2.3963302752293578</v>
      </c>
      <c r="M583" s="41">
        <v>764.42935779816514</v>
      </c>
      <c r="N583" s="44">
        <v>8.9109999999999996</v>
      </c>
      <c r="O583" s="41">
        <v>295</v>
      </c>
      <c r="P583" s="41">
        <v>10</v>
      </c>
      <c r="Q583" s="41">
        <v>42</v>
      </c>
      <c r="R583" s="45" t="s">
        <v>1307</v>
      </c>
      <c r="S583" s="45" t="s">
        <v>1324</v>
      </c>
      <c r="T583" s="45" t="s">
        <v>1307</v>
      </c>
      <c r="U583" s="44">
        <v>45.393999999999998</v>
      </c>
      <c r="V583" s="44">
        <v>79.826999999999998</v>
      </c>
      <c r="W583" s="44">
        <v>7.0733656632652986</v>
      </c>
      <c r="X583" s="44">
        <v>7.20736884</v>
      </c>
      <c r="Y583" s="130" t="s">
        <v>4412</v>
      </c>
      <c r="Z583" s="224"/>
    </row>
    <row r="584" spans="2:26" ht="15" customHeight="1" x14ac:dyDescent="0.35">
      <c r="B584" s="181">
        <v>50042</v>
      </c>
      <c r="C584" s="182" t="s">
        <v>487</v>
      </c>
      <c r="D584" s="222">
        <v>17</v>
      </c>
      <c r="E584" s="223" t="s">
        <v>1612</v>
      </c>
      <c r="F584" s="183" t="s">
        <v>3205</v>
      </c>
      <c r="G584" s="125">
        <v>1.0342939150284465</v>
      </c>
      <c r="H584" s="121" t="s">
        <v>1336</v>
      </c>
      <c r="I584" s="122">
        <v>58.905405405405418</v>
      </c>
      <c r="J584" s="106" t="s">
        <v>4656</v>
      </c>
      <c r="K584" s="118">
        <v>680</v>
      </c>
      <c r="L584" s="46">
        <v>2.355325164938737</v>
      </c>
      <c r="M584" s="41">
        <v>1601.6211121583412</v>
      </c>
      <c r="N584" s="44">
        <v>12.6</v>
      </c>
      <c r="O584" s="41">
        <v>628</v>
      </c>
      <c r="P584" s="41">
        <v>15</v>
      </c>
      <c r="Q584" s="41">
        <v>45.7</v>
      </c>
      <c r="R584" s="45" t="s">
        <v>1307</v>
      </c>
      <c r="S584" s="45" t="s">
        <v>1307</v>
      </c>
      <c r="T584" s="45" t="s">
        <v>1307</v>
      </c>
      <c r="U584" s="44">
        <v>113.01600000000001</v>
      </c>
      <c r="V584" s="44">
        <v>139.565</v>
      </c>
      <c r="W584" s="44">
        <v>16.643524999999993</v>
      </c>
      <c r="X584" s="44">
        <v>16.091678350000002</v>
      </c>
      <c r="Y584" s="130" t="s">
        <v>4413</v>
      </c>
      <c r="Z584" s="224"/>
    </row>
    <row r="585" spans="2:26" ht="15" customHeight="1" x14ac:dyDescent="0.35">
      <c r="B585" s="181">
        <v>50042</v>
      </c>
      <c r="C585" s="182" t="s">
        <v>487</v>
      </c>
      <c r="D585" s="222">
        <v>17</v>
      </c>
      <c r="E585" s="223" t="s">
        <v>3206</v>
      </c>
      <c r="F585" s="183" t="s">
        <v>3207</v>
      </c>
      <c r="G585" s="125">
        <v>0.93957805346316647</v>
      </c>
      <c r="H585" s="121" t="s">
        <v>1336</v>
      </c>
      <c r="I585" s="122">
        <v>58.905405405405418</v>
      </c>
      <c r="J585" s="106" t="s">
        <v>4656</v>
      </c>
      <c r="K585" s="118">
        <v>112</v>
      </c>
      <c r="L585" s="46">
        <v>2.355325164938737</v>
      </c>
      <c r="M585" s="41">
        <v>263.79641847313854</v>
      </c>
      <c r="N585" s="44">
        <v>2.8</v>
      </c>
      <c r="O585" s="41">
        <v>115</v>
      </c>
      <c r="P585" s="41">
        <v>15</v>
      </c>
      <c r="Q585" s="41">
        <v>45.7</v>
      </c>
      <c r="R585" s="45" t="s">
        <v>1307</v>
      </c>
      <c r="S585" s="45" t="s">
        <v>1307</v>
      </c>
      <c r="T585" s="45" t="s">
        <v>1307</v>
      </c>
      <c r="U585" s="44">
        <v>16.486000000000001</v>
      </c>
      <c r="V585" s="44">
        <v>19.689</v>
      </c>
      <c r="W585" s="44">
        <v>2.9076650000000006</v>
      </c>
      <c r="X585" s="44">
        <v>3.0946497625</v>
      </c>
      <c r="Y585" s="130" t="s">
        <v>4414</v>
      </c>
      <c r="Z585" s="224"/>
    </row>
    <row r="586" spans="2:26" ht="15" customHeight="1" x14ac:dyDescent="0.35">
      <c r="B586" s="181">
        <v>34115</v>
      </c>
      <c r="C586" s="182" t="s">
        <v>299</v>
      </c>
      <c r="D586" s="222">
        <v>3</v>
      </c>
      <c r="E586" s="223" t="s">
        <v>3209</v>
      </c>
      <c r="F586" s="183" t="s">
        <v>3210</v>
      </c>
      <c r="G586" s="125">
        <v>0.51772635468097028</v>
      </c>
      <c r="H586" s="121" t="s">
        <v>1336</v>
      </c>
      <c r="I586" s="122">
        <v>58.72972972972974</v>
      </c>
      <c r="J586" s="106" t="s">
        <v>4656</v>
      </c>
      <c r="K586" s="118">
        <v>238</v>
      </c>
      <c r="L586" s="46">
        <v>2.1969111969111967</v>
      </c>
      <c r="M586" s="41">
        <v>522.86486486486478</v>
      </c>
      <c r="N586" s="44">
        <v>4.6369999999999996</v>
      </c>
      <c r="O586" s="41">
        <v>238</v>
      </c>
      <c r="P586" s="41">
        <v>10</v>
      </c>
      <c r="Q586" s="41">
        <v>63.3</v>
      </c>
      <c r="R586" s="45" t="s">
        <v>1307</v>
      </c>
      <c r="S586" s="45" t="s">
        <v>1307</v>
      </c>
      <c r="T586" s="45" t="s">
        <v>1307</v>
      </c>
      <c r="U586" s="44">
        <v>21.147028571428571</v>
      </c>
      <c r="V586" s="44">
        <v>26.14889367816092</v>
      </c>
      <c r="W586" s="44">
        <v>3.9876602729885082</v>
      </c>
      <c r="X586" s="44">
        <v>7.7022547469999987</v>
      </c>
      <c r="Y586" s="130" t="s">
        <v>4415</v>
      </c>
      <c r="Z586" s="224"/>
    </row>
    <row r="587" spans="2:26" ht="15" customHeight="1" x14ac:dyDescent="0.35">
      <c r="B587" s="181">
        <v>19020</v>
      </c>
      <c r="C587" s="182" t="s">
        <v>121</v>
      </c>
      <c r="D587" s="222">
        <v>12</v>
      </c>
      <c r="E587" s="223" t="s">
        <v>3212</v>
      </c>
      <c r="F587" s="183" t="s">
        <v>3213</v>
      </c>
      <c r="G587" s="125">
        <v>0.93591259203159627</v>
      </c>
      <c r="H587" s="121" t="s">
        <v>1336</v>
      </c>
      <c r="I587" s="122">
        <v>64.866666666666646</v>
      </c>
      <c r="J587" s="106" t="s">
        <v>4656</v>
      </c>
      <c r="K587" s="118">
        <v>330</v>
      </c>
      <c r="L587" s="46">
        <v>1.7365930599369086</v>
      </c>
      <c r="M587" s="41">
        <v>573.07570977917987</v>
      </c>
      <c r="N587" s="44">
        <v>8.7249999999999996</v>
      </c>
      <c r="O587" s="41">
        <v>382</v>
      </c>
      <c r="P587" s="41">
        <v>7</v>
      </c>
      <c r="Q587" s="41">
        <v>37.799999999999997</v>
      </c>
      <c r="R587" s="45" t="s">
        <v>1307</v>
      </c>
      <c r="S587" s="45" t="s">
        <v>1307</v>
      </c>
      <c r="T587" s="45" t="s">
        <v>1307</v>
      </c>
      <c r="U587" s="44">
        <v>41.800899999999999</v>
      </c>
      <c r="V587" s="44">
        <v>51.237000000000002</v>
      </c>
      <c r="W587" s="44">
        <v>6.8373202040816334</v>
      </c>
      <c r="X587" s="44">
        <v>7.3055114999999988</v>
      </c>
      <c r="Y587" s="130" t="s">
        <v>4416</v>
      </c>
      <c r="Z587" s="224"/>
    </row>
    <row r="588" spans="2:26" ht="15" customHeight="1" x14ac:dyDescent="0.35">
      <c r="B588" s="181">
        <v>51035</v>
      </c>
      <c r="C588" s="182" t="s">
        <v>503</v>
      </c>
      <c r="D588" s="222">
        <v>4</v>
      </c>
      <c r="E588" s="223" t="s">
        <v>3215</v>
      </c>
      <c r="F588" s="183" t="s">
        <v>3216</v>
      </c>
      <c r="G588" s="125">
        <v>3.3600970441591413</v>
      </c>
      <c r="H588" s="121" t="s">
        <v>1325</v>
      </c>
      <c r="I588" s="122">
        <v>69.199999999999989</v>
      </c>
      <c r="J588" s="106" t="s">
        <v>4656</v>
      </c>
      <c r="K588" s="118">
        <v>300</v>
      </c>
      <c r="L588" s="46">
        <v>2.91</v>
      </c>
      <c r="M588" s="41">
        <v>873</v>
      </c>
      <c r="N588" s="44">
        <v>21.512</v>
      </c>
      <c r="O588" s="41">
        <v>327</v>
      </c>
      <c r="P588" s="41">
        <v>10.667999999999999</v>
      </c>
      <c r="Q588" s="41">
        <v>38.700000000000003</v>
      </c>
      <c r="R588" s="45" t="s">
        <v>1307</v>
      </c>
      <c r="S588" s="45" t="s">
        <v>1307</v>
      </c>
      <c r="T588" s="45" t="s">
        <v>1324</v>
      </c>
      <c r="U588" s="44">
        <v>58.709000000000003</v>
      </c>
      <c r="V588" s="44">
        <v>205.89500000000001</v>
      </c>
      <c r="W588" s="44">
        <v>34.934082142857136</v>
      </c>
      <c r="X588" s="44">
        <v>10.396747975950001</v>
      </c>
      <c r="Y588" s="130" t="s">
        <v>4417</v>
      </c>
      <c r="Z588" s="224"/>
    </row>
    <row r="589" spans="2:26" ht="15" customHeight="1" x14ac:dyDescent="0.35">
      <c r="B589" s="181">
        <v>51035</v>
      </c>
      <c r="C589" s="182" t="s">
        <v>503</v>
      </c>
      <c r="D589" s="222">
        <v>4</v>
      </c>
      <c r="E589" s="223" t="s">
        <v>3217</v>
      </c>
      <c r="F589" s="183" t="s">
        <v>3218</v>
      </c>
      <c r="G589" s="125">
        <v>0.17646554159979205</v>
      </c>
      <c r="H589" s="121" t="s">
        <v>1325</v>
      </c>
      <c r="I589" s="122">
        <v>50.866666666666667</v>
      </c>
      <c r="J589" s="106" t="s">
        <v>4656</v>
      </c>
      <c r="K589" s="118">
        <v>68</v>
      </c>
      <c r="L589" s="46">
        <v>2.91</v>
      </c>
      <c r="M589" s="41">
        <v>197.88</v>
      </c>
      <c r="N589" s="44">
        <v>12.420999999999999</v>
      </c>
      <c r="O589" s="41">
        <v>86</v>
      </c>
      <c r="P589" s="41">
        <v>18.287998999999999</v>
      </c>
      <c r="Q589" s="41">
        <v>31.6</v>
      </c>
      <c r="R589" s="45" t="s">
        <v>1307</v>
      </c>
      <c r="S589" s="45" t="s">
        <v>1324</v>
      </c>
      <c r="T589" s="45" t="s">
        <v>1307</v>
      </c>
      <c r="U589" s="44">
        <v>9.2070000000000007</v>
      </c>
      <c r="V589" s="44">
        <v>45.036000000000001</v>
      </c>
      <c r="W589" s="44">
        <v>0.67512107142857158</v>
      </c>
      <c r="X589" s="44">
        <v>3.8257954800018994</v>
      </c>
      <c r="Y589" s="130" t="s">
        <v>4418</v>
      </c>
      <c r="Z589" s="224"/>
    </row>
    <row r="590" spans="2:26" ht="15" customHeight="1" x14ac:dyDescent="0.35">
      <c r="B590" s="181">
        <v>63065</v>
      </c>
      <c r="C590" s="182" t="s">
        <v>643</v>
      </c>
      <c r="D590" s="222">
        <v>14</v>
      </c>
      <c r="E590" s="223" t="s">
        <v>4624</v>
      </c>
      <c r="F590" s="183" t="s">
        <v>4625</v>
      </c>
      <c r="G590" s="125">
        <v>0.82419292552106271</v>
      </c>
      <c r="H590" s="121" t="s">
        <v>1325</v>
      </c>
      <c r="I590" s="122">
        <v>45.432432432432435</v>
      </c>
      <c r="J590" s="106" t="s">
        <v>4656</v>
      </c>
      <c r="K590" s="118">
        <v>347</v>
      </c>
      <c r="L590" s="46">
        <v>2.425814234016888</v>
      </c>
      <c r="M590" s="41">
        <v>841.75753920386012</v>
      </c>
      <c r="N590" s="44">
        <v>12.796000000000001</v>
      </c>
      <c r="O590" s="41">
        <v>343</v>
      </c>
      <c r="P590" s="41">
        <v>7</v>
      </c>
      <c r="Q590" s="41">
        <v>42</v>
      </c>
      <c r="R590" s="45" t="s">
        <v>1307</v>
      </c>
      <c r="S590" s="45" t="s">
        <v>1324</v>
      </c>
      <c r="T590" s="45" t="s">
        <v>1307</v>
      </c>
      <c r="U590" s="44">
        <v>71.679460000000006</v>
      </c>
      <c r="V590" s="44">
        <v>83.161000000000001</v>
      </c>
      <c r="W590" s="44">
        <v>7.1355849999999945</v>
      </c>
      <c r="X590" s="44">
        <v>8.6576634900000009</v>
      </c>
      <c r="Y590" s="130" t="s">
        <v>4626</v>
      </c>
      <c r="Z590" s="224"/>
    </row>
    <row r="591" spans="2:26" ht="15" customHeight="1" x14ac:dyDescent="0.35">
      <c r="B591" s="181">
        <v>63048</v>
      </c>
      <c r="C591" s="182" t="s">
        <v>640</v>
      </c>
      <c r="D591" s="222">
        <v>14</v>
      </c>
      <c r="E591" s="223" t="s">
        <v>2020</v>
      </c>
      <c r="F591" s="183" t="s">
        <v>3221</v>
      </c>
      <c r="G591" s="125">
        <v>20.080032725440109</v>
      </c>
      <c r="H591" s="121" t="s">
        <v>1325</v>
      </c>
      <c r="I591" s="122">
        <v>52.666666666666664</v>
      </c>
      <c r="J591" s="106" t="s">
        <v>4656</v>
      </c>
      <c r="K591" s="118">
        <v>3406</v>
      </c>
      <c r="L591" s="46">
        <v>2.6552095808383234</v>
      </c>
      <c r="M591" s="41">
        <v>9043.6438323353286</v>
      </c>
      <c r="N591" s="44">
        <v>48.633000000000003</v>
      </c>
      <c r="O591" s="41">
        <v>2281</v>
      </c>
      <c r="P591" s="41">
        <v>7</v>
      </c>
      <c r="Q591" s="41">
        <v>28.35</v>
      </c>
      <c r="R591" s="45" t="s">
        <v>1324</v>
      </c>
      <c r="S591" s="45" t="s">
        <v>1324</v>
      </c>
      <c r="T591" s="45" t="s">
        <v>1324</v>
      </c>
      <c r="U591" s="44">
        <v>360.37132092498592</v>
      </c>
      <c r="V591" s="44">
        <v>1178.03</v>
      </c>
      <c r="W591" s="44">
        <v>643.99668059438773</v>
      </c>
      <c r="X591" s="44">
        <v>32.071495569750013</v>
      </c>
      <c r="Y591" s="130" t="s">
        <v>4419</v>
      </c>
      <c r="Z591" s="224"/>
    </row>
    <row r="592" spans="2:26" ht="15" customHeight="1" x14ac:dyDescent="0.35">
      <c r="B592" s="181">
        <v>54120</v>
      </c>
      <c r="C592" s="182" t="s">
        <v>557</v>
      </c>
      <c r="D592" s="222">
        <v>16</v>
      </c>
      <c r="E592" s="223" t="s">
        <v>2573</v>
      </c>
      <c r="F592" s="183" t="s">
        <v>2574</v>
      </c>
      <c r="G592" s="125">
        <v>1.2228315237206706</v>
      </c>
      <c r="H592" s="121" t="s">
        <v>1336</v>
      </c>
      <c r="I592" s="122">
        <v>54.188888888888883</v>
      </c>
      <c r="J592" s="106" t="s">
        <v>4656</v>
      </c>
      <c r="K592" s="118">
        <v>279</v>
      </c>
      <c r="L592" s="46">
        <v>2.1945288753799392</v>
      </c>
      <c r="M592" s="41">
        <v>612.273556231003</v>
      </c>
      <c r="N592" s="44">
        <v>36.584000000000003</v>
      </c>
      <c r="O592" s="41">
        <v>402</v>
      </c>
      <c r="P592" s="41">
        <v>10</v>
      </c>
      <c r="Q592" s="41">
        <v>52.7</v>
      </c>
      <c r="R592" s="45" t="s">
        <v>1307</v>
      </c>
      <c r="S592" s="45" t="s">
        <v>1307</v>
      </c>
      <c r="T592" s="45" t="s">
        <v>1307</v>
      </c>
      <c r="U592" s="44">
        <v>53.875</v>
      </c>
      <c r="V592" s="44">
        <v>193.40199999999999</v>
      </c>
      <c r="W592" s="44">
        <v>25.41791316326529</v>
      </c>
      <c r="X592" s="44">
        <v>20.786112126000003</v>
      </c>
      <c r="Y592" s="130" t="s">
        <v>4420</v>
      </c>
      <c r="Z592" s="224"/>
    </row>
    <row r="593" spans="2:26" ht="15" customHeight="1" x14ac:dyDescent="0.35">
      <c r="B593" s="181">
        <v>28060</v>
      </c>
      <c r="C593" s="182" t="s">
        <v>197</v>
      </c>
      <c r="D593" s="222">
        <v>12</v>
      </c>
      <c r="E593" s="223" t="s">
        <v>3224</v>
      </c>
      <c r="F593" s="183" t="s">
        <v>3225</v>
      </c>
      <c r="G593" s="125">
        <v>0.64830465360594824</v>
      </c>
      <c r="H593" s="121" t="s">
        <v>1325</v>
      </c>
      <c r="I593" s="122">
        <v>57.04651162790698</v>
      </c>
      <c r="J593" s="106" t="s">
        <v>4656</v>
      </c>
      <c r="K593" s="118">
        <v>129</v>
      </c>
      <c r="L593" s="46">
        <v>2</v>
      </c>
      <c r="M593" s="41">
        <v>258</v>
      </c>
      <c r="N593" s="44">
        <v>2.0350000000000001</v>
      </c>
      <c r="O593" s="41">
        <v>134</v>
      </c>
      <c r="P593" s="41">
        <v>6</v>
      </c>
      <c r="Q593" s="41">
        <v>42</v>
      </c>
      <c r="R593" s="45" t="s">
        <v>1307</v>
      </c>
      <c r="S593" s="45" t="s">
        <v>1307</v>
      </c>
      <c r="T593" s="45" t="s">
        <v>1324</v>
      </c>
      <c r="U593" s="44">
        <v>21.618099999999998</v>
      </c>
      <c r="V593" s="44">
        <v>24.452000000000002</v>
      </c>
      <c r="W593" s="44">
        <v>1.6292200000000023</v>
      </c>
      <c r="X593" s="44">
        <v>2.5130469000000004</v>
      </c>
      <c r="Y593" s="130" t="s">
        <v>4421</v>
      </c>
      <c r="Z593" s="224"/>
    </row>
    <row r="594" spans="2:26" ht="15" customHeight="1" x14ac:dyDescent="0.35">
      <c r="B594" s="181">
        <v>37225</v>
      </c>
      <c r="C594" s="182" t="s">
        <v>319</v>
      </c>
      <c r="D594" s="222">
        <v>4</v>
      </c>
      <c r="E594" s="223" t="s">
        <v>3227</v>
      </c>
      <c r="F594" s="183" t="s">
        <v>3228</v>
      </c>
      <c r="G594" s="125">
        <v>1.0415179702048853</v>
      </c>
      <c r="H594" s="121" t="s">
        <v>1325</v>
      </c>
      <c r="I594" s="122">
        <v>63</v>
      </c>
      <c r="J594" s="106" t="s">
        <v>4656</v>
      </c>
      <c r="K594" s="118"/>
      <c r="L594" s="46"/>
      <c r="M594" s="41"/>
      <c r="N594" s="44"/>
      <c r="O594" s="41"/>
      <c r="P594" s="41"/>
      <c r="Q594" s="41"/>
      <c r="R594" s="45"/>
      <c r="S594" s="45"/>
      <c r="T594" s="45"/>
      <c r="U594" s="44"/>
      <c r="V594" s="44"/>
      <c r="W594" s="44" t="s">
        <v>1124</v>
      </c>
      <c r="X594" s="44"/>
      <c r="Y594" s="130" t="s">
        <v>4422</v>
      </c>
      <c r="Z594" s="224"/>
    </row>
    <row r="595" spans="2:26" ht="15" customHeight="1" x14ac:dyDescent="0.35">
      <c r="B595" s="181">
        <v>37225</v>
      </c>
      <c r="C595" s="182" t="s">
        <v>319</v>
      </c>
      <c r="D595" s="222">
        <v>4</v>
      </c>
      <c r="E595" s="223" t="s">
        <v>3229</v>
      </c>
      <c r="F595" s="183" t="s">
        <v>3230</v>
      </c>
      <c r="G595" s="125">
        <v>0.75703606067721041</v>
      </c>
      <c r="H595" s="121" t="s">
        <v>1336</v>
      </c>
      <c r="I595" s="122">
        <v>56</v>
      </c>
      <c r="J595" s="106" t="s">
        <v>4656</v>
      </c>
      <c r="K595" s="118">
        <v>191</v>
      </c>
      <c r="L595" s="46">
        <v>2.1333333333333333</v>
      </c>
      <c r="M595" s="41">
        <v>407.46666666666664</v>
      </c>
      <c r="N595" s="44">
        <v>15.260999999999999</v>
      </c>
      <c r="O595" s="41">
        <v>212</v>
      </c>
      <c r="P595" s="41">
        <v>6</v>
      </c>
      <c r="Q595" s="41">
        <v>43.1</v>
      </c>
      <c r="R595" s="45" t="s">
        <v>1307</v>
      </c>
      <c r="S595" s="45" t="s">
        <v>1307</v>
      </c>
      <c r="T595" s="45" t="s">
        <v>1307</v>
      </c>
      <c r="U595" s="44">
        <v>28.169999999999998</v>
      </c>
      <c r="V595" s="44">
        <v>61.082999999999998</v>
      </c>
      <c r="W595" s="44">
        <v>5.6700000000000008</v>
      </c>
      <c r="X595" s="44">
        <v>7.4897356870000005</v>
      </c>
      <c r="Y595" s="130" t="s">
        <v>4423</v>
      </c>
      <c r="Z595" s="224"/>
    </row>
    <row r="596" spans="2:26" ht="15" customHeight="1" x14ac:dyDescent="0.35">
      <c r="B596" s="181">
        <v>30072</v>
      </c>
      <c r="C596" s="182" t="s">
        <v>229</v>
      </c>
      <c r="D596" s="222">
        <v>5</v>
      </c>
      <c r="E596" s="223" t="s">
        <v>1612</v>
      </c>
      <c r="F596" s="183" t="s">
        <v>3232</v>
      </c>
      <c r="G596" s="125">
        <v>0.5480847589700325</v>
      </c>
      <c r="H596" s="121" t="s">
        <v>1336</v>
      </c>
      <c r="I596" s="122">
        <v>47</v>
      </c>
      <c r="J596" s="106" t="s">
        <v>4656</v>
      </c>
      <c r="K596" s="118">
        <v>93</v>
      </c>
      <c r="L596" s="46">
        <v>2.257861635220126</v>
      </c>
      <c r="M596" s="41">
        <v>209.98113207547172</v>
      </c>
      <c r="N596" s="44">
        <v>13.522</v>
      </c>
      <c r="O596" s="41">
        <v>93</v>
      </c>
      <c r="P596" s="41">
        <v>4.3</v>
      </c>
      <c r="Q596" s="41">
        <v>50.4</v>
      </c>
      <c r="R596" s="45" t="s">
        <v>1307</v>
      </c>
      <c r="S596" s="45" t="s">
        <v>1307</v>
      </c>
      <c r="T596" s="45" t="s">
        <v>1307</v>
      </c>
      <c r="U596" s="44">
        <v>11.917</v>
      </c>
      <c r="V596" s="44">
        <v>18.242000000000001</v>
      </c>
      <c r="W596" s="44">
        <v>3.3050000000000002</v>
      </c>
      <c r="X596" s="44">
        <v>6.0300892260000003</v>
      </c>
      <c r="Y596" s="130" t="s">
        <v>4424</v>
      </c>
      <c r="Z596" s="224"/>
    </row>
    <row r="597" spans="2:26" ht="15" customHeight="1" x14ac:dyDescent="0.35">
      <c r="B597" s="181">
        <v>28075</v>
      </c>
      <c r="C597" s="182" t="s">
        <v>200</v>
      </c>
      <c r="D597" s="222">
        <v>12</v>
      </c>
      <c r="E597" s="223" t="s">
        <v>1232</v>
      </c>
      <c r="F597" s="183" t="s">
        <v>3234</v>
      </c>
      <c r="G597" s="125">
        <v>1.1947502673253718</v>
      </c>
      <c r="H597" s="121" t="s">
        <v>1325</v>
      </c>
      <c r="I597" s="122">
        <v>62.243243243243256</v>
      </c>
      <c r="J597" s="106" t="s">
        <v>4656</v>
      </c>
      <c r="K597" s="118">
        <v>376</v>
      </c>
      <c r="L597" s="46">
        <v>1.52</v>
      </c>
      <c r="M597" s="41">
        <v>571.52</v>
      </c>
      <c r="N597" s="44">
        <v>3.7429999999999999</v>
      </c>
      <c r="O597" s="41">
        <v>392</v>
      </c>
      <c r="P597" s="41">
        <v>8</v>
      </c>
      <c r="Q597" s="41">
        <v>38.700000000000003</v>
      </c>
      <c r="R597" s="45" t="s">
        <v>1307</v>
      </c>
      <c r="S597" s="45" t="s">
        <v>1324</v>
      </c>
      <c r="T597" s="45" t="s">
        <v>1324</v>
      </c>
      <c r="U597" s="44">
        <v>41.026204081632649</v>
      </c>
      <c r="V597" s="44">
        <v>51.293999999999997</v>
      </c>
      <c r="W597" s="44">
        <v>7.7525999999999975</v>
      </c>
      <c r="X597" s="44">
        <v>6.4888874370000007</v>
      </c>
      <c r="Y597" s="130" t="s">
        <v>4425</v>
      </c>
      <c r="Z597" s="224" t="s">
        <v>3761</v>
      </c>
    </row>
    <row r="598" spans="2:26" ht="15" customHeight="1" x14ac:dyDescent="0.35">
      <c r="B598" s="181">
        <v>49095</v>
      </c>
      <c r="C598" s="182" t="s">
        <v>476</v>
      </c>
      <c r="D598" s="222">
        <v>17</v>
      </c>
      <c r="E598" s="223" t="s">
        <v>3235</v>
      </c>
      <c r="F598" s="183" t="s">
        <v>3236</v>
      </c>
      <c r="G598" s="125">
        <v>6.0602528344408525E-2</v>
      </c>
      <c r="H598" s="121" t="s">
        <v>1325</v>
      </c>
      <c r="I598" s="122">
        <v>53.450980392156865</v>
      </c>
      <c r="J598" s="106" t="s">
        <v>4656</v>
      </c>
      <c r="K598" s="118">
        <v>509</v>
      </c>
      <c r="L598" s="46">
        <v>2.731225296442688</v>
      </c>
      <c r="M598" s="41">
        <v>1390.1936758893282</v>
      </c>
      <c r="N598" s="44">
        <v>10.746</v>
      </c>
      <c r="O598" s="41">
        <v>334</v>
      </c>
      <c r="P598" s="41">
        <v>8</v>
      </c>
      <c r="Q598" s="41">
        <v>54</v>
      </c>
      <c r="R598" s="45" t="s">
        <v>1307</v>
      </c>
      <c r="S598" s="45" t="s">
        <v>1307</v>
      </c>
      <c r="T598" s="45" t="s">
        <v>1324</v>
      </c>
      <c r="U598" s="44">
        <v>68.688000000000002</v>
      </c>
      <c r="V598" s="44">
        <v>75.507999999999996</v>
      </c>
      <c r="W598" s="44">
        <v>0.63</v>
      </c>
      <c r="X598" s="44">
        <v>10.395605880000002</v>
      </c>
      <c r="Y598" s="130" t="s">
        <v>4426</v>
      </c>
      <c r="Z598" s="224"/>
    </row>
    <row r="599" spans="2:26" ht="15" customHeight="1" x14ac:dyDescent="0.35">
      <c r="B599" s="181">
        <v>19025</v>
      </c>
      <c r="C599" s="182" t="s">
        <v>122</v>
      </c>
      <c r="D599" s="222">
        <v>12</v>
      </c>
      <c r="E599" s="223" t="s">
        <v>3237</v>
      </c>
      <c r="F599" s="183" t="s">
        <v>3238</v>
      </c>
      <c r="G599" s="125">
        <v>1.844588891328546</v>
      </c>
      <c r="H599" s="121" t="s">
        <v>1336</v>
      </c>
      <c r="I599" s="122">
        <v>59.959459459459467</v>
      </c>
      <c r="J599" s="106" t="s">
        <v>4656</v>
      </c>
      <c r="K599" s="118">
        <v>464</v>
      </c>
      <c r="L599" s="46">
        <v>2.29</v>
      </c>
      <c r="M599" s="41">
        <v>1062.56</v>
      </c>
      <c r="N599" s="44">
        <v>14.43</v>
      </c>
      <c r="O599" s="41">
        <v>528</v>
      </c>
      <c r="P599" s="41">
        <v>6</v>
      </c>
      <c r="Q599" s="41">
        <v>49.7</v>
      </c>
      <c r="R599" s="45" t="s">
        <v>1307</v>
      </c>
      <c r="S599" s="45" t="s">
        <v>1307</v>
      </c>
      <c r="T599" s="45" t="s">
        <v>1307</v>
      </c>
      <c r="U599" s="44">
        <v>93.72</v>
      </c>
      <c r="V599" s="44">
        <v>126.548</v>
      </c>
      <c r="W599" s="44">
        <v>25.475779999999993</v>
      </c>
      <c r="X599" s="44">
        <v>13.811088270000004</v>
      </c>
      <c r="Y599" s="130" t="s">
        <v>4427</v>
      </c>
      <c r="Z599" s="224" t="s">
        <v>3762</v>
      </c>
    </row>
    <row r="600" spans="2:26" ht="15" customHeight="1" x14ac:dyDescent="0.35">
      <c r="B600" s="181">
        <v>19025</v>
      </c>
      <c r="C600" s="182" t="s">
        <v>122</v>
      </c>
      <c r="D600" s="222">
        <v>12</v>
      </c>
      <c r="E600" s="223" t="s">
        <v>3239</v>
      </c>
      <c r="F600" s="183" t="s">
        <v>3240</v>
      </c>
      <c r="G600" s="125">
        <v>0.41858655547123003</v>
      </c>
      <c r="H600" s="121" t="s">
        <v>1336</v>
      </c>
      <c r="I600" s="122">
        <v>58.72972972972974</v>
      </c>
      <c r="J600" s="106" t="s">
        <v>4656</v>
      </c>
      <c r="K600" s="118">
        <v>45</v>
      </c>
      <c r="L600" s="46">
        <v>2.29</v>
      </c>
      <c r="M600" s="41">
        <v>103.05</v>
      </c>
      <c r="N600" s="44">
        <v>3.95</v>
      </c>
      <c r="O600" s="41">
        <v>99</v>
      </c>
      <c r="P600" s="41">
        <v>6</v>
      </c>
      <c r="Q600" s="41">
        <v>49.98</v>
      </c>
      <c r="R600" s="45" t="s">
        <v>1307</v>
      </c>
      <c r="S600" s="45" t="s">
        <v>1307</v>
      </c>
      <c r="T600" s="45" t="s">
        <v>1307</v>
      </c>
      <c r="U600" s="44">
        <v>4.6689999999999996</v>
      </c>
      <c r="V600" s="44">
        <v>6.1260000000000003</v>
      </c>
      <c r="W600" s="44">
        <v>1.2611100000000006</v>
      </c>
      <c r="X600" s="44">
        <v>3.0127819050000002</v>
      </c>
      <c r="Y600" s="130" t="s">
        <v>4428</v>
      </c>
      <c r="Z600" s="224"/>
    </row>
    <row r="601" spans="2:26" ht="15" customHeight="1" x14ac:dyDescent="0.35">
      <c r="B601" s="181">
        <v>34065</v>
      </c>
      <c r="C601" s="182" t="s">
        <v>293</v>
      </c>
      <c r="D601" s="222">
        <v>3</v>
      </c>
      <c r="E601" s="223" t="s">
        <v>3242</v>
      </c>
      <c r="F601" s="183" t="s">
        <v>3243</v>
      </c>
      <c r="G601" s="125">
        <v>4.9753406275936332</v>
      </c>
      <c r="H601" s="121" t="s">
        <v>1336</v>
      </c>
      <c r="I601" s="122">
        <v>60</v>
      </c>
      <c r="J601" s="106" t="s">
        <v>4656</v>
      </c>
      <c r="K601" s="118">
        <v>1411</v>
      </c>
      <c r="L601" s="46">
        <v>2.1607272727272728</v>
      </c>
      <c r="M601" s="41">
        <v>3048.7861818181818</v>
      </c>
      <c r="N601" s="44">
        <v>31.157</v>
      </c>
      <c r="O601" s="41">
        <v>1252</v>
      </c>
      <c r="P601" s="41">
        <v>10</v>
      </c>
      <c r="Q601" s="41">
        <v>24.6</v>
      </c>
      <c r="R601" s="45" t="s">
        <v>1307</v>
      </c>
      <c r="S601" s="45" t="s">
        <v>1307</v>
      </c>
      <c r="T601" s="45" t="s">
        <v>1307</v>
      </c>
      <c r="U601" s="44">
        <v>241.5911806914547</v>
      </c>
      <c r="V601" s="44">
        <v>417.79599999999999</v>
      </c>
      <c r="W601" s="44">
        <v>83.781999999999996</v>
      </c>
      <c r="X601" s="44">
        <v>16.839450054</v>
      </c>
      <c r="Y601" s="130" t="s">
        <v>4429</v>
      </c>
      <c r="Z601" s="224"/>
    </row>
    <row r="602" spans="2:26" ht="15" customHeight="1" x14ac:dyDescent="0.35">
      <c r="B602" s="181">
        <v>13020</v>
      </c>
      <c r="C602" s="182" t="s">
        <v>44</v>
      </c>
      <c r="D602" s="222">
        <v>1</v>
      </c>
      <c r="E602" s="223" t="s">
        <v>3246</v>
      </c>
      <c r="F602" s="183" t="s">
        <v>3247</v>
      </c>
      <c r="G602" s="125">
        <v>0.86134472230879089</v>
      </c>
      <c r="H602" s="121" t="s">
        <v>1336</v>
      </c>
      <c r="I602" s="122">
        <v>59.081081081081081</v>
      </c>
      <c r="J602" s="106" t="s">
        <v>4656</v>
      </c>
      <c r="K602" s="118">
        <v>133</v>
      </c>
      <c r="L602" s="46">
        <v>1.9849246231155779</v>
      </c>
      <c r="M602" s="41">
        <v>263.99497487437185</v>
      </c>
      <c r="N602" s="44">
        <v>4.1559999999999997</v>
      </c>
      <c r="O602" s="41">
        <v>144</v>
      </c>
      <c r="P602" s="41">
        <v>10</v>
      </c>
      <c r="Q602" s="41">
        <v>62.999999999999993</v>
      </c>
      <c r="R602" s="45" t="s">
        <v>1307</v>
      </c>
      <c r="S602" s="45" t="s">
        <v>1307</v>
      </c>
      <c r="T602" s="45" t="s">
        <v>1307</v>
      </c>
      <c r="U602" s="44">
        <v>17.065562500000002</v>
      </c>
      <c r="V602" s="44">
        <v>23.303000000000001</v>
      </c>
      <c r="W602" s="44">
        <v>4.4764550000000014</v>
      </c>
      <c r="X602" s="44">
        <v>5.197053959999999</v>
      </c>
      <c r="Y602" s="130" t="s">
        <v>4430</v>
      </c>
      <c r="Z602" s="224"/>
    </row>
    <row r="603" spans="2:26" ht="15" customHeight="1" x14ac:dyDescent="0.35">
      <c r="B603" s="181">
        <v>57050</v>
      </c>
      <c r="C603" s="182" t="s">
        <v>590</v>
      </c>
      <c r="D603" s="222">
        <v>16</v>
      </c>
      <c r="E603" s="223" t="s">
        <v>2630</v>
      </c>
      <c r="F603" s="183" t="s">
        <v>4791</v>
      </c>
      <c r="G603" s="125">
        <v>1.1000000000000001</v>
      </c>
      <c r="H603" s="121" t="s">
        <v>1325</v>
      </c>
      <c r="I603" s="122">
        <v>66</v>
      </c>
      <c r="J603" s="106" t="s">
        <v>4656</v>
      </c>
      <c r="K603" s="118"/>
      <c r="L603" s="46"/>
      <c r="M603" s="41"/>
      <c r="N603" s="44"/>
      <c r="O603" s="41"/>
      <c r="P603" s="41"/>
      <c r="Q603" s="41"/>
      <c r="R603" s="45"/>
      <c r="S603" s="45"/>
      <c r="T603" s="45"/>
      <c r="U603" s="44"/>
      <c r="V603" s="44"/>
      <c r="W603" s="44" t="s">
        <v>1124</v>
      </c>
      <c r="X603" s="44"/>
      <c r="Y603" s="130" t="s">
        <v>4431</v>
      </c>
      <c r="Z603" s="224"/>
    </row>
    <row r="604" spans="2:26" ht="15" customHeight="1" x14ac:dyDescent="0.35">
      <c r="B604" s="181">
        <v>29045</v>
      </c>
      <c r="C604" s="182" t="s">
        <v>207</v>
      </c>
      <c r="D604" s="222">
        <v>12</v>
      </c>
      <c r="E604" s="223" t="s">
        <v>3251</v>
      </c>
      <c r="F604" s="183" t="s">
        <v>3252</v>
      </c>
      <c r="G604" s="125">
        <v>0.6243129016944402</v>
      </c>
      <c r="H604" s="121" t="s">
        <v>1325</v>
      </c>
      <c r="I604" s="122">
        <v>64.577777777777769</v>
      </c>
      <c r="J604" s="106" t="s">
        <v>4656</v>
      </c>
      <c r="K604" s="118">
        <v>866</v>
      </c>
      <c r="L604" s="46">
        <v>2.1946133796698524</v>
      </c>
      <c r="M604" s="41">
        <v>1900.5351867940922</v>
      </c>
      <c r="N604" s="44">
        <v>22.231000000000002</v>
      </c>
      <c r="O604" s="41">
        <v>966</v>
      </c>
      <c r="P604" s="41">
        <v>6.5</v>
      </c>
      <c r="Q604" s="41">
        <v>36</v>
      </c>
      <c r="R604" s="45" t="s">
        <v>1307</v>
      </c>
      <c r="S604" s="45" t="s">
        <v>1324</v>
      </c>
      <c r="T604" s="45" t="s">
        <v>1307</v>
      </c>
      <c r="U604" s="44">
        <v>127.383</v>
      </c>
      <c r="V604" s="44">
        <v>157.20599999999999</v>
      </c>
      <c r="W604" s="44">
        <v>10.910067499999982</v>
      </c>
      <c r="X604" s="44">
        <v>17.47531962</v>
      </c>
      <c r="Y604" s="130" t="s">
        <v>4432</v>
      </c>
      <c r="Z604" s="224"/>
    </row>
    <row r="605" spans="2:26" ht="15" customHeight="1" x14ac:dyDescent="0.35">
      <c r="B605" s="181">
        <v>57045</v>
      </c>
      <c r="C605" s="182" t="s">
        <v>589</v>
      </c>
      <c r="D605" s="222">
        <v>16</v>
      </c>
      <c r="E605" s="223" t="s">
        <v>2630</v>
      </c>
      <c r="F605" s="183" t="s">
        <v>4791</v>
      </c>
      <c r="G605" s="125">
        <v>1.1000000000000001</v>
      </c>
      <c r="H605" s="121" t="s">
        <v>1325</v>
      </c>
      <c r="I605" s="122">
        <v>66</v>
      </c>
      <c r="J605" s="106" t="s">
        <v>4656</v>
      </c>
      <c r="K605" s="118"/>
      <c r="L605" s="46"/>
      <c r="M605" s="41"/>
      <c r="N605" s="44"/>
      <c r="O605" s="41"/>
      <c r="P605" s="41"/>
      <c r="Q605" s="41"/>
      <c r="R605" s="45"/>
      <c r="S605" s="45"/>
      <c r="T605" s="45"/>
      <c r="U605" s="44"/>
      <c r="V605" s="44"/>
      <c r="W605" s="44" t="s">
        <v>1124</v>
      </c>
      <c r="X605" s="44"/>
      <c r="Y605" s="130" t="s">
        <v>4231</v>
      </c>
      <c r="Z605" s="224"/>
    </row>
    <row r="606" spans="2:26" ht="15" customHeight="1" x14ac:dyDescent="0.35">
      <c r="B606" s="181">
        <v>11050</v>
      </c>
      <c r="C606" s="182" t="s">
        <v>26</v>
      </c>
      <c r="D606" s="222">
        <v>1</v>
      </c>
      <c r="E606" s="223" t="s">
        <v>3254</v>
      </c>
      <c r="F606" s="183" t="s">
        <v>3255</v>
      </c>
      <c r="G606" s="125">
        <v>0.87410568502284181</v>
      </c>
      <c r="H606" s="121" t="s">
        <v>1325</v>
      </c>
      <c r="I606" s="122">
        <v>59.432432432432435</v>
      </c>
      <c r="J606" s="106" t="s">
        <v>4656</v>
      </c>
      <c r="K606" s="118">
        <v>156</v>
      </c>
      <c r="L606" s="46">
        <v>1.8054794520547945</v>
      </c>
      <c r="M606" s="41">
        <v>281.65479452054797</v>
      </c>
      <c r="N606" s="44">
        <v>3.9899999999999998</v>
      </c>
      <c r="O606" s="41">
        <v>167</v>
      </c>
      <c r="P606" s="41">
        <v>4</v>
      </c>
      <c r="Q606" s="41">
        <v>33.1</v>
      </c>
      <c r="R606" s="45" t="s">
        <v>1307</v>
      </c>
      <c r="S606" s="45" t="s">
        <v>1324</v>
      </c>
      <c r="T606" s="45" t="s">
        <v>1307</v>
      </c>
      <c r="U606" s="44">
        <v>20.4033488372093</v>
      </c>
      <c r="V606" s="44">
        <v>25.22</v>
      </c>
      <c r="W606" s="44">
        <v>2.3457000000000012</v>
      </c>
      <c r="X606" s="44">
        <v>2.6835427799999998</v>
      </c>
      <c r="Y606" s="130" t="s">
        <v>4433</v>
      </c>
      <c r="Z606" s="224"/>
    </row>
    <row r="607" spans="2:26" ht="15" customHeight="1" x14ac:dyDescent="0.35">
      <c r="B607" s="181">
        <v>37230</v>
      </c>
      <c r="C607" s="182" t="s">
        <v>320</v>
      </c>
      <c r="D607" s="222">
        <v>4</v>
      </c>
      <c r="E607" s="223" t="s">
        <v>3258</v>
      </c>
      <c r="F607" s="183" t="s">
        <v>3259</v>
      </c>
      <c r="G607" s="125">
        <v>1.0415179702048853</v>
      </c>
      <c r="H607" s="121" t="s">
        <v>1325</v>
      </c>
      <c r="I607" s="122">
        <v>62.915535203933466</v>
      </c>
      <c r="J607" s="106" t="s">
        <v>4656</v>
      </c>
      <c r="K607" s="118">
        <v>1451</v>
      </c>
      <c r="L607" s="46">
        <v>2.5326533425223983</v>
      </c>
      <c r="M607" s="41">
        <v>3674.88</v>
      </c>
      <c r="N607" s="44">
        <v>64.234999999999999</v>
      </c>
      <c r="O607" s="41">
        <v>1401</v>
      </c>
      <c r="P607" s="41">
        <v>10</v>
      </c>
      <c r="Q607" s="41">
        <v>52</v>
      </c>
      <c r="R607" s="45" t="s">
        <v>1307</v>
      </c>
      <c r="S607" s="45" t="s">
        <v>1307</v>
      </c>
      <c r="T607" s="45" t="s">
        <v>1324</v>
      </c>
      <c r="U607" s="44">
        <v>209.72126677316297</v>
      </c>
      <c r="V607" s="44">
        <v>376.77300000000002</v>
      </c>
      <c r="W607" s="44">
        <v>51.936100135782731</v>
      </c>
      <c r="X607" s="44">
        <v>49.865774399999999</v>
      </c>
      <c r="Y607" s="130" t="s">
        <v>4434</v>
      </c>
      <c r="Z607" s="224"/>
    </row>
    <row r="608" spans="2:26" ht="15" customHeight="1" x14ac:dyDescent="0.35">
      <c r="B608" s="181">
        <v>4010</v>
      </c>
      <c r="C608" s="182" t="s">
        <v>1037</v>
      </c>
      <c r="D608" s="222">
        <v>11</v>
      </c>
      <c r="E608" s="223" t="s">
        <v>3262</v>
      </c>
      <c r="F608" s="183" t="s">
        <v>3263</v>
      </c>
      <c r="G608" s="125">
        <v>3.2063693379219154</v>
      </c>
      <c r="H608" s="121" t="s">
        <v>1336</v>
      </c>
      <c r="I608" s="122">
        <v>61.035087719298261</v>
      </c>
      <c r="J608" s="106" t="s">
        <v>4656</v>
      </c>
      <c r="K608" s="118">
        <v>326</v>
      </c>
      <c r="L608" s="46">
        <v>1.9397590361445782</v>
      </c>
      <c r="M608" s="41">
        <v>632.36144578313247</v>
      </c>
      <c r="N608" s="44">
        <v>12.145</v>
      </c>
      <c r="O608" s="41">
        <v>367</v>
      </c>
      <c r="P608" s="41">
        <v>5</v>
      </c>
      <c r="Q608" s="41">
        <v>56</v>
      </c>
      <c r="R608" s="45" t="s">
        <v>1307</v>
      </c>
      <c r="S608" s="45" t="s">
        <v>1307</v>
      </c>
      <c r="T608" s="45" t="s">
        <v>1307</v>
      </c>
      <c r="U608" s="44">
        <v>53.981999999999999</v>
      </c>
      <c r="V608" s="44">
        <v>120.834</v>
      </c>
      <c r="W608" s="44">
        <v>36.575880357142871</v>
      </c>
      <c r="X608" s="44">
        <v>11.407257400000001</v>
      </c>
      <c r="Y608" s="130" t="s">
        <v>4435</v>
      </c>
      <c r="Z608" s="224"/>
    </row>
    <row r="609" spans="2:26" ht="15" customHeight="1" x14ac:dyDescent="0.35">
      <c r="B609" s="181">
        <v>4010</v>
      </c>
      <c r="C609" s="182" t="s">
        <v>1037</v>
      </c>
      <c r="D609" s="222">
        <v>11</v>
      </c>
      <c r="E609" s="223" t="s">
        <v>3264</v>
      </c>
      <c r="F609" s="183" t="s">
        <v>3265</v>
      </c>
      <c r="G609" s="125">
        <v>1.5011830740425067</v>
      </c>
      <c r="H609" s="121" t="s">
        <v>1336</v>
      </c>
      <c r="I609" s="122">
        <v>61.035087719298261</v>
      </c>
      <c r="J609" s="106" t="s">
        <v>4656</v>
      </c>
      <c r="K609" s="118">
        <v>129</v>
      </c>
      <c r="L609" s="46">
        <v>1.9397590361445782</v>
      </c>
      <c r="M609" s="41">
        <v>250.22891566265059</v>
      </c>
      <c r="N609" s="44">
        <v>5.1100000000000003</v>
      </c>
      <c r="O609" s="41">
        <v>134</v>
      </c>
      <c r="P609" s="41">
        <v>5</v>
      </c>
      <c r="Q609" s="41">
        <v>54.599999999999994</v>
      </c>
      <c r="R609" s="45" t="s">
        <v>1307</v>
      </c>
      <c r="S609" s="45" t="s">
        <v>1307</v>
      </c>
      <c r="T609" s="45" t="s">
        <v>1307</v>
      </c>
      <c r="U609" s="44">
        <v>21.544999999999998</v>
      </c>
      <c r="V609" s="44">
        <v>29.364000000000001</v>
      </c>
      <c r="W609" s="44">
        <v>6.4599945408163313</v>
      </c>
      <c r="X609" s="44">
        <v>4.3032689699999995</v>
      </c>
      <c r="Y609" s="130" t="s">
        <v>4436</v>
      </c>
      <c r="Z609" s="224"/>
    </row>
    <row r="610" spans="2:26" ht="15" customHeight="1" x14ac:dyDescent="0.35">
      <c r="B610" s="181">
        <v>19110</v>
      </c>
      <c r="C610" s="182" t="s">
        <v>136</v>
      </c>
      <c r="D610" s="222">
        <v>12</v>
      </c>
      <c r="E610" s="223" t="s">
        <v>3269</v>
      </c>
      <c r="F610" s="183" t="s">
        <v>3270</v>
      </c>
      <c r="G610" s="125">
        <v>1.2905672559385164</v>
      </c>
      <c r="H610" s="121" t="s">
        <v>1325</v>
      </c>
      <c r="I610" s="122">
        <v>59.405471962479268</v>
      </c>
      <c r="J610" s="106" t="s">
        <v>4656</v>
      </c>
      <c r="K610" s="118">
        <v>507</v>
      </c>
      <c r="L610" s="46">
        <v>2.2645962732919256</v>
      </c>
      <c r="M610" s="41">
        <v>1148.1503105590064</v>
      </c>
      <c r="N610" s="44">
        <v>11.32</v>
      </c>
      <c r="O610" s="41">
        <v>525</v>
      </c>
      <c r="P610" s="41">
        <v>12.5</v>
      </c>
      <c r="Q610" s="41">
        <v>49.419999999999995</v>
      </c>
      <c r="R610" s="45" t="s">
        <v>1307</v>
      </c>
      <c r="S610" s="45" t="s">
        <v>1324</v>
      </c>
      <c r="T610" s="45" t="s">
        <v>1324</v>
      </c>
      <c r="U610" s="44">
        <v>92.83</v>
      </c>
      <c r="V610" s="44">
        <v>121.41850117589998</v>
      </c>
      <c r="W610" s="44">
        <v>18.340223658261468</v>
      </c>
      <c r="X610" s="44">
        <v>14.210978601749998</v>
      </c>
      <c r="Y610" s="130" t="s">
        <v>4437</v>
      </c>
      <c r="Z610" s="224"/>
    </row>
    <row r="611" spans="2:26" ht="15" customHeight="1" x14ac:dyDescent="0.35">
      <c r="B611" s="181">
        <v>62085</v>
      </c>
      <c r="C611" s="182" t="s">
        <v>633</v>
      </c>
      <c r="D611" s="222">
        <v>14</v>
      </c>
      <c r="E611" s="223" t="s">
        <v>3272</v>
      </c>
      <c r="F611" s="183" t="s">
        <v>3273</v>
      </c>
      <c r="G611" s="125">
        <v>12.401634938249616</v>
      </c>
      <c r="H611" s="121" t="s">
        <v>1325</v>
      </c>
      <c r="I611" s="122">
        <v>59.081081081081081</v>
      </c>
      <c r="J611" s="106" t="s">
        <v>4656</v>
      </c>
      <c r="K611" s="118">
        <v>644</v>
      </c>
      <c r="L611" s="46">
        <v>1.2758433079434168</v>
      </c>
      <c r="M611" s="41">
        <v>821.64309031556047</v>
      </c>
      <c r="N611" s="44">
        <v>18.254999999999999</v>
      </c>
      <c r="O611" s="41">
        <v>933</v>
      </c>
      <c r="P611" s="41">
        <v>5.5</v>
      </c>
      <c r="Q611" s="41">
        <v>42</v>
      </c>
      <c r="R611" s="45" t="s">
        <v>1324</v>
      </c>
      <c r="S611" s="45" t="s">
        <v>1324</v>
      </c>
      <c r="T611" s="45" t="s">
        <v>1324</v>
      </c>
      <c r="U611" s="44">
        <v>101.90951337579617</v>
      </c>
      <c r="V611" s="44">
        <v>358.36099999999999</v>
      </c>
      <c r="W611" s="44">
        <v>228.76358499999998</v>
      </c>
      <c r="X611" s="44">
        <v>18.446244074999999</v>
      </c>
      <c r="Y611" s="130" t="s">
        <v>4438</v>
      </c>
      <c r="Z611" s="224" t="s">
        <v>3762</v>
      </c>
    </row>
    <row r="612" spans="2:26" ht="15" customHeight="1" x14ac:dyDescent="0.35">
      <c r="B612" s="181">
        <v>13065</v>
      </c>
      <c r="C612" s="182" t="s">
        <v>52</v>
      </c>
      <c r="D612" s="222">
        <v>1</v>
      </c>
      <c r="E612" s="223" t="s">
        <v>3276</v>
      </c>
      <c r="F612" s="183" t="s">
        <v>3277</v>
      </c>
      <c r="G612" s="125">
        <v>1.6756311640052983</v>
      </c>
      <c r="H612" s="121" t="s">
        <v>1336</v>
      </c>
      <c r="I612" s="122">
        <v>44.554054054054049</v>
      </c>
      <c r="J612" s="106" t="s">
        <v>4656</v>
      </c>
      <c r="K612" s="118">
        <v>499</v>
      </c>
      <c r="L612" s="46">
        <v>1.8865619546247818</v>
      </c>
      <c r="M612" s="41">
        <v>941.39441535776609</v>
      </c>
      <c r="N612" s="44">
        <v>13.885</v>
      </c>
      <c r="O612" s="41">
        <v>369</v>
      </c>
      <c r="P612" s="41">
        <v>10</v>
      </c>
      <c r="Q612" s="41">
        <v>73.900000000000006</v>
      </c>
      <c r="R612" s="45" t="s">
        <v>1307</v>
      </c>
      <c r="S612" s="45" t="s">
        <v>1307</v>
      </c>
      <c r="T612" s="45" t="s">
        <v>1307</v>
      </c>
      <c r="U612" s="44">
        <v>86.272154954954942</v>
      </c>
      <c r="V612" s="44">
        <v>126.66200000000001</v>
      </c>
      <c r="W612" s="44">
        <v>28.808070000000011</v>
      </c>
      <c r="X612" s="44">
        <v>17.192369430000003</v>
      </c>
      <c r="Y612" s="130" t="s">
        <v>4439</v>
      </c>
      <c r="Z612" s="224"/>
    </row>
    <row r="613" spans="2:26" ht="15" customHeight="1" x14ac:dyDescent="0.35">
      <c r="B613" s="181">
        <v>12020</v>
      </c>
      <c r="C613" s="182" t="s">
        <v>31</v>
      </c>
      <c r="D613" s="222">
        <v>1</v>
      </c>
      <c r="E613" s="223" t="s">
        <v>2813</v>
      </c>
      <c r="F613" s="183" t="s">
        <v>3281</v>
      </c>
      <c r="G613" s="125">
        <v>0.4524871411135174</v>
      </c>
      <c r="H613" s="121" t="s">
        <v>1325</v>
      </c>
      <c r="I613" s="122">
        <v>56.607843137254896</v>
      </c>
      <c r="J613" s="106" t="s">
        <v>4656</v>
      </c>
      <c r="K613" s="118">
        <v>190</v>
      </c>
      <c r="L613" s="46">
        <v>2.478723404255319</v>
      </c>
      <c r="M613" s="41">
        <v>470.95744680851061</v>
      </c>
      <c r="N613" s="44">
        <v>5.5039999999999996</v>
      </c>
      <c r="O613" s="41">
        <v>167</v>
      </c>
      <c r="P613" s="41">
        <v>5</v>
      </c>
      <c r="Q613" s="41">
        <v>38.5</v>
      </c>
      <c r="R613" s="45" t="s">
        <v>1307</v>
      </c>
      <c r="S613" s="45" t="s">
        <v>1324</v>
      </c>
      <c r="T613" s="45" t="s">
        <v>1307</v>
      </c>
      <c r="U613" s="44">
        <v>29.125538461538461</v>
      </c>
      <c r="V613" s="44">
        <v>33.847000000000001</v>
      </c>
      <c r="W613" s="44">
        <v>1.612197755102041</v>
      </c>
      <c r="X613" s="44">
        <v>3.5629692174999996</v>
      </c>
      <c r="Y613" s="130" t="s">
        <v>4440</v>
      </c>
      <c r="Z613" s="224"/>
    </row>
    <row r="614" spans="2:26" ht="15" customHeight="1" x14ac:dyDescent="0.35">
      <c r="B614" s="181">
        <v>12020</v>
      </c>
      <c r="C614" s="182" t="s">
        <v>31</v>
      </c>
      <c r="D614" s="222">
        <v>1</v>
      </c>
      <c r="E614" s="223" t="s">
        <v>1353</v>
      </c>
      <c r="F614" s="183" t="s">
        <v>3282</v>
      </c>
      <c r="G614" s="125">
        <v>1.3323287069513616</v>
      </c>
      <c r="H614" s="121" t="s">
        <v>1325</v>
      </c>
      <c r="I614" s="122">
        <v>50.866666666666674</v>
      </c>
      <c r="J614" s="106" t="s">
        <v>4656</v>
      </c>
      <c r="K614" s="118">
        <v>47</v>
      </c>
      <c r="L614" s="46">
        <v>2.478723404255319</v>
      </c>
      <c r="M614" s="41">
        <v>116.5</v>
      </c>
      <c r="N614" s="44">
        <v>1.4490000000000001</v>
      </c>
      <c r="O614" s="41">
        <v>55</v>
      </c>
      <c r="P614" s="41">
        <v>5</v>
      </c>
      <c r="Q614" s="41">
        <v>56</v>
      </c>
      <c r="R614" s="45" t="s">
        <v>1307</v>
      </c>
      <c r="S614" s="45" t="s">
        <v>1324</v>
      </c>
      <c r="T614" s="45" t="s">
        <v>1307</v>
      </c>
      <c r="U614" s="44">
        <v>5.45</v>
      </c>
      <c r="V614" s="44">
        <v>7.6390000000000002</v>
      </c>
      <c r="W614" s="44">
        <v>2.0957544949494951</v>
      </c>
      <c r="X614" s="44">
        <v>1.5730010799999998</v>
      </c>
      <c r="Y614" s="130" t="s">
        <v>4441</v>
      </c>
      <c r="Z614" s="224"/>
    </row>
    <row r="615" spans="2:26" ht="15" customHeight="1" x14ac:dyDescent="0.35">
      <c r="B615" s="181">
        <v>7095</v>
      </c>
      <c r="C615" s="182" t="s">
        <v>1083</v>
      </c>
      <c r="D615" s="222">
        <v>1</v>
      </c>
      <c r="E615" s="223" t="s">
        <v>3285</v>
      </c>
      <c r="F615" s="183" t="s">
        <v>3286</v>
      </c>
      <c r="G615" s="125">
        <v>0.65298787065222308</v>
      </c>
      <c r="H615" s="121" t="s">
        <v>1336</v>
      </c>
      <c r="I615" s="122">
        <v>38.081081081081081</v>
      </c>
      <c r="J615" s="106" t="s">
        <v>4656</v>
      </c>
      <c r="K615" s="118">
        <v>177</v>
      </c>
      <c r="L615" s="46">
        <v>1.8523489932885906</v>
      </c>
      <c r="M615" s="41">
        <v>327.86577181208054</v>
      </c>
      <c r="N615" s="44">
        <v>3.7989999999999999</v>
      </c>
      <c r="O615" s="41">
        <v>166</v>
      </c>
      <c r="P615" s="41">
        <v>5</v>
      </c>
      <c r="Q615" s="41">
        <v>50</v>
      </c>
      <c r="R615" s="45" t="s">
        <v>1307</v>
      </c>
      <c r="S615" s="45" t="s">
        <v>1307</v>
      </c>
      <c r="T615" s="45" t="s">
        <v>1307</v>
      </c>
      <c r="U615" s="44">
        <v>15.978859374999999</v>
      </c>
      <c r="V615" s="44">
        <v>20.282</v>
      </c>
      <c r="W615" s="44">
        <v>2.6447700000000021</v>
      </c>
      <c r="X615" s="44">
        <v>4.0502589999999996</v>
      </c>
      <c r="Y615" s="130" t="s">
        <v>4442</v>
      </c>
      <c r="Z615" s="224"/>
    </row>
    <row r="616" spans="2:26" ht="15" customHeight="1" x14ac:dyDescent="0.35">
      <c r="B616" s="181">
        <v>37240</v>
      </c>
      <c r="C616" s="182" t="s">
        <v>322</v>
      </c>
      <c r="D616" s="222">
        <v>4</v>
      </c>
      <c r="E616" s="223" t="s">
        <v>3288</v>
      </c>
      <c r="F616" s="183" t="s">
        <v>3289</v>
      </c>
      <c r="G616" s="125">
        <v>0.77462594481845537</v>
      </c>
      <c r="H616" s="121" t="s">
        <v>1336</v>
      </c>
      <c r="I616" s="122">
        <v>69</v>
      </c>
      <c r="J616" s="106" t="s">
        <v>4656</v>
      </c>
      <c r="K616" s="118">
        <v>550</v>
      </c>
      <c r="L616" s="46">
        <v>2.0859728506787332</v>
      </c>
      <c r="M616" s="41">
        <v>1147.2850678733032</v>
      </c>
      <c r="N616" s="44">
        <v>27.638000000000002</v>
      </c>
      <c r="O616" s="41">
        <v>557</v>
      </c>
      <c r="P616" s="41">
        <v>15</v>
      </c>
      <c r="Q616" s="41">
        <v>51.2</v>
      </c>
      <c r="R616" s="45" t="s">
        <v>1307</v>
      </c>
      <c r="S616" s="45" t="s">
        <v>1307</v>
      </c>
      <c r="T616" s="45" t="s">
        <v>1307</v>
      </c>
      <c r="U616" s="44">
        <v>70.863</v>
      </c>
      <c r="V616" s="44">
        <v>109.762</v>
      </c>
      <c r="W616" s="44">
        <v>16.675999999999998</v>
      </c>
      <c r="X616" s="44">
        <v>21.527809792000003</v>
      </c>
      <c r="Y616" s="130" t="s">
        <v>4443</v>
      </c>
      <c r="Z616" s="224"/>
    </row>
    <row r="617" spans="2:26" ht="15" customHeight="1" x14ac:dyDescent="0.35">
      <c r="B617" s="181">
        <v>33030</v>
      </c>
      <c r="C617" s="182" t="s">
        <v>270</v>
      </c>
      <c r="D617" s="222">
        <v>12</v>
      </c>
      <c r="E617" s="223" t="s">
        <v>3288</v>
      </c>
      <c r="F617" s="183" t="s">
        <v>3291</v>
      </c>
      <c r="G617" s="125">
        <v>2.1824375234390088</v>
      </c>
      <c r="H617" s="121" t="s">
        <v>1336</v>
      </c>
      <c r="I617" s="122">
        <v>58</v>
      </c>
      <c r="J617" s="106" t="s">
        <v>4656</v>
      </c>
      <c r="K617" s="118">
        <v>285</v>
      </c>
      <c r="L617" s="46">
        <v>2.3603411513859274</v>
      </c>
      <c r="M617" s="41">
        <v>672.69722814498925</v>
      </c>
      <c r="N617" s="44">
        <v>9.6950000000000003</v>
      </c>
      <c r="O617" s="41">
        <v>293</v>
      </c>
      <c r="P617" s="41">
        <v>7.5</v>
      </c>
      <c r="Q617" s="41">
        <v>49.2</v>
      </c>
      <c r="R617" s="45" t="s">
        <v>1307</v>
      </c>
      <c r="S617" s="45" t="s">
        <v>1307</v>
      </c>
      <c r="T617" s="45" t="s">
        <v>1307</v>
      </c>
      <c r="U617" s="44">
        <v>40.390670103092781</v>
      </c>
      <c r="V617" s="44">
        <v>65.027000000000001</v>
      </c>
      <c r="W617" s="44">
        <v>18.179210040816319</v>
      </c>
      <c r="X617" s="44">
        <v>8.3297734049999992</v>
      </c>
      <c r="Y617" s="130" t="s">
        <v>4444</v>
      </c>
      <c r="Z617" s="224"/>
    </row>
    <row r="618" spans="2:26" ht="15" customHeight="1" x14ac:dyDescent="0.35">
      <c r="B618" s="181">
        <v>10015</v>
      </c>
      <c r="C618" s="182" t="s">
        <v>10</v>
      </c>
      <c r="D618" s="222">
        <v>1</v>
      </c>
      <c r="E618" s="223" t="s">
        <v>3288</v>
      </c>
      <c r="F618" s="183" t="s">
        <v>3292</v>
      </c>
      <c r="G618" s="125">
        <v>2.1183384320729877</v>
      </c>
      <c r="H618" s="121" t="s">
        <v>1336</v>
      </c>
      <c r="I618" s="122">
        <v>56.098039215686271</v>
      </c>
      <c r="J618" s="106" t="s">
        <v>4656</v>
      </c>
      <c r="K618" s="118">
        <v>191</v>
      </c>
      <c r="L618" s="46">
        <v>2.2706422018348622</v>
      </c>
      <c r="M618" s="41">
        <v>433.6926605504587</v>
      </c>
      <c r="N618" s="44">
        <v>4.38</v>
      </c>
      <c r="O618" s="41">
        <v>158</v>
      </c>
      <c r="P618" s="41">
        <v>8</v>
      </c>
      <c r="Q618" s="41">
        <v>25</v>
      </c>
      <c r="R618" s="45" t="s">
        <v>1307</v>
      </c>
      <c r="S618" s="45" t="s">
        <v>1307</v>
      </c>
      <c r="T618" s="45" t="s">
        <v>1307</v>
      </c>
      <c r="U618" s="44">
        <v>25.73725</v>
      </c>
      <c r="V618" s="44">
        <v>31.731000000000002</v>
      </c>
      <c r="W618" s="44">
        <v>4.5780788775510182</v>
      </c>
      <c r="X618" s="44">
        <v>2.161165</v>
      </c>
      <c r="Y618" s="130" t="s">
        <v>4445</v>
      </c>
      <c r="Z618" s="224"/>
    </row>
    <row r="619" spans="2:26" ht="15" customHeight="1" x14ac:dyDescent="0.35">
      <c r="B619" s="181">
        <v>93045</v>
      </c>
      <c r="C619" s="182" t="s">
        <v>965</v>
      </c>
      <c r="D619" s="222">
        <v>2</v>
      </c>
      <c r="E619" s="223" t="s">
        <v>3293</v>
      </c>
      <c r="F619" s="183" t="s">
        <v>3294</v>
      </c>
      <c r="G619" s="125">
        <v>4.9536115343307774</v>
      </c>
      <c r="H619" s="121" t="s">
        <v>1325</v>
      </c>
      <c r="I619" s="122">
        <v>58.72972972972974</v>
      </c>
      <c r="J619" s="106" t="s">
        <v>4656</v>
      </c>
      <c r="K619" s="118">
        <v>657</v>
      </c>
      <c r="L619" s="46">
        <v>2.66</v>
      </c>
      <c r="M619" s="41">
        <v>1747.6200000000001</v>
      </c>
      <c r="N619" s="44">
        <v>19.152000000000001</v>
      </c>
      <c r="O619" s="41">
        <v>657</v>
      </c>
      <c r="P619" s="41">
        <v>10</v>
      </c>
      <c r="Q619" s="41">
        <v>52.5</v>
      </c>
      <c r="R619" s="45" t="s">
        <v>1324</v>
      </c>
      <c r="S619" s="45" t="s">
        <v>1307</v>
      </c>
      <c r="T619" s="45" t="s">
        <v>1324</v>
      </c>
      <c r="U619" s="44">
        <v>81.047300000000007</v>
      </c>
      <c r="V619" s="44">
        <v>188.60400000000001</v>
      </c>
      <c r="W619" s="44">
        <v>98.206607999999989</v>
      </c>
      <c r="X619" s="44">
        <v>19.825254225000002</v>
      </c>
      <c r="Y619" s="130" t="s">
        <v>4446</v>
      </c>
      <c r="Z619" s="224"/>
    </row>
    <row r="620" spans="2:26" ht="15" customHeight="1" x14ac:dyDescent="0.35">
      <c r="B620" s="181">
        <v>19045</v>
      </c>
      <c r="C620" s="182" t="s">
        <v>125</v>
      </c>
      <c r="D620" s="222">
        <v>12</v>
      </c>
      <c r="E620" s="223" t="s">
        <v>3297</v>
      </c>
      <c r="F620" s="183" t="s">
        <v>3298</v>
      </c>
      <c r="G620" s="125">
        <v>1.4117504289523435</v>
      </c>
      <c r="H620" s="121" t="s">
        <v>1336</v>
      </c>
      <c r="I620" s="122">
        <v>58.554054054054063</v>
      </c>
      <c r="J620" s="106" t="s">
        <v>4656</v>
      </c>
      <c r="K620" s="118">
        <v>182</v>
      </c>
      <c r="L620" s="46">
        <v>1.9151670951156812</v>
      </c>
      <c r="M620" s="41">
        <v>348.560411311054</v>
      </c>
      <c r="N620" s="44">
        <v>4.2930000000000001</v>
      </c>
      <c r="O620" s="41">
        <v>177</v>
      </c>
      <c r="P620" s="41">
        <v>8</v>
      </c>
      <c r="Q620" s="41">
        <v>42</v>
      </c>
      <c r="R620" s="45" t="s">
        <v>1307</v>
      </c>
      <c r="S620" s="45" t="s">
        <v>1307</v>
      </c>
      <c r="T620" s="45" t="s">
        <v>1307</v>
      </c>
      <c r="U620" s="44">
        <v>27.049920110552765</v>
      </c>
      <c r="V620" s="44">
        <v>35.613800000000005</v>
      </c>
      <c r="W620" s="44">
        <v>5.5030319999999939</v>
      </c>
      <c r="X620" s="44">
        <v>3.8980204199999999</v>
      </c>
      <c r="Y620" s="130" t="s">
        <v>4447</v>
      </c>
      <c r="Z620" s="224"/>
    </row>
    <row r="621" spans="2:26" ht="15" customHeight="1" x14ac:dyDescent="0.35">
      <c r="B621" s="181">
        <v>7100</v>
      </c>
      <c r="C621" s="182" t="s">
        <v>1084</v>
      </c>
      <c r="D621" s="222">
        <v>1</v>
      </c>
      <c r="E621" s="223" t="s">
        <v>3300</v>
      </c>
      <c r="F621" s="183" t="s">
        <v>4802</v>
      </c>
      <c r="G621" s="125">
        <v>1.4108677131666547</v>
      </c>
      <c r="H621" s="121" t="s">
        <v>1336</v>
      </c>
      <c r="I621" s="122">
        <v>58.551317376963226</v>
      </c>
      <c r="J621" s="106" t="s">
        <v>4656</v>
      </c>
      <c r="K621" s="118">
        <v>149</v>
      </c>
      <c r="L621" s="46">
        <v>2.0497512437810945</v>
      </c>
      <c r="M621" s="41">
        <v>305.41293532338307</v>
      </c>
      <c r="N621" s="44">
        <v>5.62</v>
      </c>
      <c r="O621" s="41">
        <v>176</v>
      </c>
      <c r="P621" s="41">
        <v>5</v>
      </c>
      <c r="Q621" s="41">
        <v>52</v>
      </c>
      <c r="R621" s="45" t="s">
        <v>1307</v>
      </c>
      <c r="S621" s="45" t="s">
        <v>1307</v>
      </c>
      <c r="T621" s="45" t="s">
        <v>1307</v>
      </c>
      <c r="U621" s="44">
        <v>18.096141975308644</v>
      </c>
      <c r="V621" s="44">
        <v>27.15065171264019</v>
      </c>
      <c r="W621" s="44">
        <v>7.0683919369505857</v>
      </c>
      <c r="X621" s="44">
        <v>5.0099608000000009</v>
      </c>
      <c r="Y621" s="130" t="s">
        <v>4448</v>
      </c>
      <c r="Z621" s="224"/>
    </row>
    <row r="622" spans="2:26" ht="15" customHeight="1" x14ac:dyDescent="0.35">
      <c r="B622" s="181">
        <v>39043</v>
      </c>
      <c r="C622" s="182" t="s">
        <v>344</v>
      </c>
      <c r="D622" s="222">
        <v>17</v>
      </c>
      <c r="E622" s="223" t="s">
        <v>3302</v>
      </c>
      <c r="F622" s="183" t="s">
        <v>3303</v>
      </c>
      <c r="G622" s="125">
        <v>0.57915668827035827</v>
      </c>
      <c r="H622" s="121" t="s">
        <v>1325</v>
      </c>
      <c r="I622" s="122">
        <v>59.081081081081081</v>
      </c>
      <c r="J622" s="106" t="s">
        <v>4656</v>
      </c>
      <c r="K622" s="118">
        <v>162</v>
      </c>
      <c r="L622" s="46">
        <v>2.4194831013916502</v>
      </c>
      <c r="M622" s="41">
        <v>391.95626242544733</v>
      </c>
      <c r="N622" s="44">
        <v>4.9960000000000004</v>
      </c>
      <c r="O622" s="41">
        <v>158</v>
      </c>
      <c r="P622" s="41">
        <v>11</v>
      </c>
      <c r="Q622" s="41">
        <v>36.9</v>
      </c>
      <c r="R622" s="45" t="s">
        <v>1187</v>
      </c>
      <c r="S622" s="45" t="s">
        <v>1324</v>
      </c>
      <c r="T622" s="45" t="s">
        <v>1307</v>
      </c>
      <c r="U622" s="44">
        <v>47.738</v>
      </c>
      <c r="V622" s="44">
        <v>55.308999999999997</v>
      </c>
      <c r="W622" s="44">
        <v>2.026364999999998</v>
      </c>
      <c r="X622" s="44">
        <v>3.4988199929999997</v>
      </c>
      <c r="Y622" s="130" t="s">
        <v>4449</v>
      </c>
      <c r="Z622" s="224" t="s">
        <v>3761</v>
      </c>
    </row>
    <row r="623" spans="2:26" ht="15" customHeight="1" x14ac:dyDescent="0.35">
      <c r="B623" s="181">
        <v>9055</v>
      </c>
      <c r="C623" s="182" t="s">
        <v>1106</v>
      </c>
      <c r="D623" s="222">
        <v>1</v>
      </c>
      <c r="E623" s="223" t="s">
        <v>3305</v>
      </c>
      <c r="F623" s="183" t="s">
        <v>3306</v>
      </c>
      <c r="G623" s="125">
        <v>0.19920522997749304</v>
      </c>
      <c r="H623" s="121" t="s">
        <v>1336</v>
      </c>
      <c r="I623" s="122">
        <v>38.081081081081081</v>
      </c>
      <c r="J623" s="106" t="s">
        <v>4656</v>
      </c>
      <c r="K623" s="118">
        <v>226</v>
      </c>
      <c r="L623" s="46">
        <v>2.1914893617021276</v>
      </c>
      <c r="M623" s="41">
        <v>495.27659574468083</v>
      </c>
      <c r="N623" s="44">
        <v>4.0209999999999999</v>
      </c>
      <c r="O623" s="41">
        <v>235</v>
      </c>
      <c r="P623" s="41">
        <v>10</v>
      </c>
      <c r="Q623" s="41">
        <v>49.1</v>
      </c>
      <c r="R623" s="45" t="s">
        <v>1307</v>
      </c>
      <c r="S623" s="45" t="s">
        <v>1307</v>
      </c>
      <c r="T623" s="45" t="s">
        <v>1307</v>
      </c>
      <c r="U623" s="44">
        <v>19.851455319148936</v>
      </c>
      <c r="V623" s="44">
        <v>22.113</v>
      </c>
      <c r="W623" s="44">
        <v>1.1393050000000009</v>
      </c>
      <c r="X623" s="44">
        <v>5.7192524519999992</v>
      </c>
      <c r="Y623" s="130" t="s">
        <v>4450</v>
      </c>
      <c r="Z623" s="224"/>
    </row>
    <row r="624" spans="2:26" ht="15" customHeight="1" x14ac:dyDescent="0.35">
      <c r="B624" s="181">
        <v>27035</v>
      </c>
      <c r="C624" s="182" t="s">
        <v>181</v>
      </c>
      <c r="D624" s="222">
        <v>12</v>
      </c>
      <c r="E624" s="223" t="s">
        <v>3308</v>
      </c>
      <c r="F624" s="183" t="s">
        <v>3309</v>
      </c>
      <c r="G624" s="125">
        <v>1.0413266052143915</v>
      </c>
      <c r="H624" s="121" t="s">
        <v>1336</v>
      </c>
      <c r="I624" s="122">
        <v>58.72972972972974</v>
      </c>
      <c r="J624" s="106" t="s">
        <v>4656</v>
      </c>
      <c r="K624" s="118">
        <v>331</v>
      </c>
      <c r="L624" s="46">
        <v>2.3653198653198655</v>
      </c>
      <c r="M624" s="41">
        <v>782.92087542087552</v>
      </c>
      <c r="N624" s="44">
        <v>9.2850000000000001</v>
      </c>
      <c r="O624" s="41">
        <v>328</v>
      </c>
      <c r="P624" s="41">
        <v>6</v>
      </c>
      <c r="Q624" s="41">
        <v>49</v>
      </c>
      <c r="R624" s="45" t="s">
        <v>1307</v>
      </c>
      <c r="S624" s="45" t="s">
        <v>1307</v>
      </c>
      <c r="T624" s="45" t="s">
        <v>1307</v>
      </c>
      <c r="U624" s="44">
        <v>56.56</v>
      </c>
      <c r="V624" s="44">
        <v>67.637</v>
      </c>
      <c r="W624" s="44">
        <v>8.9159279999999992</v>
      </c>
      <c r="X624" s="44">
        <v>8.5620860500000013</v>
      </c>
      <c r="Y624" s="130" t="s">
        <v>4451</v>
      </c>
      <c r="Z624" s="224"/>
    </row>
    <row r="625" spans="2:26" ht="15" customHeight="1" x14ac:dyDescent="0.35">
      <c r="B625" s="181">
        <v>53032</v>
      </c>
      <c r="C625" s="182" t="s">
        <v>535</v>
      </c>
      <c r="D625" s="222">
        <v>16</v>
      </c>
      <c r="E625" s="223" t="s">
        <v>3310</v>
      </c>
      <c r="F625" s="183" t="s">
        <v>3311</v>
      </c>
      <c r="G625" s="125">
        <v>1.8713690589292811</v>
      </c>
      <c r="H625" s="121" t="s">
        <v>1336</v>
      </c>
      <c r="I625" s="122">
        <v>37.529411764705884</v>
      </c>
      <c r="J625" s="106" t="s">
        <v>4656</v>
      </c>
      <c r="K625" s="118">
        <v>867</v>
      </c>
      <c r="L625" s="46">
        <v>2.0772014475271412</v>
      </c>
      <c r="M625" s="41">
        <v>1800.9336550060314</v>
      </c>
      <c r="N625" s="44">
        <v>42.08</v>
      </c>
      <c r="O625" s="41">
        <v>841</v>
      </c>
      <c r="P625" s="41">
        <v>14</v>
      </c>
      <c r="Q625" s="41">
        <v>49.2</v>
      </c>
      <c r="R625" s="45" t="s">
        <v>1307</v>
      </c>
      <c r="S625" s="45" t="s">
        <v>1307</v>
      </c>
      <c r="T625" s="45" t="s">
        <v>1307</v>
      </c>
      <c r="U625" s="44">
        <v>135.14671000000001</v>
      </c>
      <c r="V625" s="44">
        <v>285.2</v>
      </c>
      <c r="W625" s="44">
        <v>57.956650112755057</v>
      </c>
      <c r="X625" s="44">
        <v>30.970187220000003</v>
      </c>
      <c r="Y625" s="130" t="s">
        <v>4452</v>
      </c>
      <c r="Z625" s="224"/>
    </row>
    <row r="626" spans="2:26" ht="15" customHeight="1" x14ac:dyDescent="0.35">
      <c r="B626" s="181">
        <v>14070</v>
      </c>
      <c r="C626" s="182" t="s">
        <v>72</v>
      </c>
      <c r="D626" s="222">
        <v>1</v>
      </c>
      <c r="E626" s="223" t="s">
        <v>3313</v>
      </c>
      <c r="F626" s="183" t="s">
        <v>3314</v>
      </c>
      <c r="G626" s="125">
        <v>2.2957470799545745</v>
      </c>
      <c r="H626" s="121" t="s">
        <v>1336</v>
      </c>
      <c r="I626" s="122">
        <v>59.081081081081081</v>
      </c>
      <c r="J626" s="106" t="s">
        <v>4656</v>
      </c>
      <c r="K626" s="118">
        <v>591</v>
      </c>
      <c r="L626" s="46">
        <v>2.050198150594452</v>
      </c>
      <c r="M626" s="41">
        <v>1211.667107001321</v>
      </c>
      <c r="N626" s="44">
        <v>17.155000000000001</v>
      </c>
      <c r="O626" s="41">
        <v>505</v>
      </c>
      <c r="P626" s="41">
        <v>7</v>
      </c>
      <c r="Q626" s="41">
        <v>53.76</v>
      </c>
      <c r="R626" s="45" t="s">
        <v>1307</v>
      </c>
      <c r="S626" s="45" t="s">
        <v>1307</v>
      </c>
      <c r="T626" s="45" t="s">
        <v>1307</v>
      </c>
      <c r="U626" s="44">
        <v>65.835115942028992</v>
      </c>
      <c r="V626" s="44">
        <v>106.871</v>
      </c>
      <c r="W626" s="44">
        <v>36.090934999999988</v>
      </c>
      <c r="X626" s="44">
        <v>15.720780095999997</v>
      </c>
      <c r="Y626" s="130" t="s">
        <v>4453</v>
      </c>
      <c r="Z626" s="224" t="s">
        <v>4454</v>
      </c>
    </row>
    <row r="627" spans="2:26" ht="15" customHeight="1" x14ac:dyDescent="0.35">
      <c r="B627" s="181">
        <v>17010</v>
      </c>
      <c r="C627" s="182" t="s">
        <v>91</v>
      </c>
      <c r="D627" s="222">
        <v>12</v>
      </c>
      <c r="E627" s="223" t="s">
        <v>3315</v>
      </c>
      <c r="F627" s="183" t="s">
        <v>3316</v>
      </c>
      <c r="G627" s="125">
        <v>2.2122343563819684</v>
      </c>
      <c r="H627" s="121" t="s">
        <v>1336</v>
      </c>
      <c r="I627" s="122">
        <v>53.441176470588232</v>
      </c>
      <c r="J627" s="106" t="s">
        <v>4656</v>
      </c>
      <c r="K627" s="118">
        <v>648</v>
      </c>
      <c r="L627" s="46">
        <v>2.0791304347826087</v>
      </c>
      <c r="M627" s="41">
        <v>1347.2765217391304</v>
      </c>
      <c r="N627" s="44">
        <v>19.47</v>
      </c>
      <c r="O627" s="41">
        <v>648</v>
      </c>
      <c r="P627" s="41">
        <v>6</v>
      </c>
      <c r="Q627" s="41">
        <v>75</v>
      </c>
      <c r="R627" s="45" t="s">
        <v>1307</v>
      </c>
      <c r="S627" s="45" t="s">
        <v>1307</v>
      </c>
      <c r="T627" s="45" t="s">
        <v>1307</v>
      </c>
      <c r="U627" s="44">
        <v>103.7608</v>
      </c>
      <c r="V627" s="44">
        <v>216.13499999999999</v>
      </c>
      <c r="W627" s="44">
        <v>58.504511973684224</v>
      </c>
      <c r="X627" s="44">
        <v>26.445892499999999</v>
      </c>
      <c r="Y627" s="130" t="s">
        <v>4455</v>
      </c>
      <c r="Z627" s="224"/>
    </row>
    <row r="628" spans="2:26" ht="15" customHeight="1" x14ac:dyDescent="0.35">
      <c r="B628" s="181">
        <v>14018</v>
      </c>
      <c r="C628" s="182" t="s">
        <v>62</v>
      </c>
      <c r="D628" s="222">
        <v>1</v>
      </c>
      <c r="E628" s="223" t="s">
        <v>3317</v>
      </c>
      <c r="F628" s="183" t="s">
        <v>3318</v>
      </c>
      <c r="G628" s="125">
        <v>2.7847808253495634</v>
      </c>
      <c r="H628" s="121" t="s">
        <v>1325</v>
      </c>
      <c r="I628" s="122">
        <v>59.398155145080622</v>
      </c>
      <c r="J628" s="106" t="s">
        <v>4656</v>
      </c>
      <c r="K628" s="118">
        <v>1310</v>
      </c>
      <c r="L628" s="46">
        <v>2.1246958637469588</v>
      </c>
      <c r="M628" s="41">
        <v>2783.3515815085161</v>
      </c>
      <c r="N628" s="44">
        <v>28.8</v>
      </c>
      <c r="O628" s="41">
        <v>1034</v>
      </c>
      <c r="P628" s="41">
        <v>10</v>
      </c>
      <c r="Q628" s="41">
        <v>57.4</v>
      </c>
      <c r="R628" s="45" t="s">
        <v>1307</v>
      </c>
      <c r="S628" s="45" t="s">
        <v>1324</v>
      </c>
      <c r="T628" s="45" t="s">
        <v>1307</v>
      </c>
      <c r="U628" s="44">
        <v>259.40725251076043</v>
      </c>
      <c r="V628" s="44">
        <v>468.47400000000005</v>
      </c>
      <c r="W628" s="44">
        <v>93.589519081632702</v>
      </c>
      <c r="X628" s="44">
        <v>33.607499099999998</v>
      </c>
      <c r="Y628" s="130" t="s">
        <v>4456</v>
      </c>
      <c r="Z628" s="224"/>
    </row>
    <row r="629" spans="2:26" ht="15" customHeight="1" x14ac:dyDescent="0.35">
      <c r="B629" s="181">
        <v>33025</v>
      </c>
      <c r="C629" s="182" t="s">
        <v>269</v>
      </c>
      <c r="D629" s="222">
        <v>12</v>
      </c>
      <c r="E629" s="223" t="s">
        <v>3321</v>
      </c>
      <c r="F629" s="183" t="s">
        <v>3322</v>
      </c>
      <c r="G629" s="125">
        <v>2.5772880112378229</v>
      </c>
      <c r="H629" s="121" t="s">
        <v>1336</v>
      </c>
      <c r="I629" s="122">
        <v>58.264705882352935</v>
      </c>
      <c r="J629" s="106" t="s">
        <v>4656</v>
      </c>
      <c r="K629" s="118">
        <v>268</v>
      </c>
      <c r="L629" s="46">
        <v>2.2927350427350426</v>
      </c>
      <c r="M629" s="41">
        <v>614.45299145299145</v>
      </c>
      <c r="N629" s="44">
        <v>6.0380000000000003</v>
      </c>
      <c r="O629" s="41">
        <v>259</v>
      </c>
      <c r="P629" s="41">
        <v>8</v>
      </c>
      <c r="Q629" s="41">
        <v>44.6</v>
      </c>
      <c r="R629" s="45" t="s">
        <v>1307</v>
      </c>
      <c r="S629" s="45" t="s">
        <v>1307</v>
      </c>
      <c r="T629" s="45" t="s">
        <v>1307</v>
      </c>
      <c r="U629" s="44">
        <v>51.930716723549487</v>
      </c>
      <c r="V629" s="44">
        <v>74.466999999999999</v>
      </c>
      <c r="W629" s="44">
        <v>15.426429132653073</v>
      </c>
      <c r="X629" s="44">
        <v>5.985527836000001</v>
      </c>
      <c r="Y629" s="130" t="s">
        <v>4457</v>
      </c>
      <c r="Z629" s="224"/>
    </row>
    <row r="630" spans="2:26" ht="15" customHeight="1" x14ac:dyDescent="0.35">
      <c r="B630" s="181">
        <v>61005</v>
      </c>
      <c r="C630" s="182" t="s">
        <v>609</v>
      </c>
      <c r="D630" s="222">
        <v>14</v>
      </c>
      <c r="E630" s="223" t="s">
        <v>3326</v>
      </c>
      <c r="F630" s="183" t="s">
        <v>3327</v>
      </c>
      <c r="G630" s="125">
        <v>0.8287151579917279</v>
      </c>
      <c r="H630" s="121" t="s">
        <v>1336</v>
      </c>
      <c r="I630" s="122">
        <v>63.82432432432433</v>
      </c>
      <c r="J630" s="106" t="s">
        <v>4656</v>
      </c>
      <c r="K630" s="118">
        <v>1835</v>
      </c>
      <c r="L630" s="46">
        <v>2.4812178726769476</v>
      </c>
      <c r="M630" s="41">
        <v>4553.0347963621989</v>
      </c>
      <c r="N630" s="44">
        <v>24.983000000000001</v>
      </c>
      <c r="O630" s="41">
        <v>1546</v>
      </c>
      <c r="P630" s="41">
        <v>7.5</v>
      </c>
      <c r="Q630" s="41">
        <v>55.829860799999999</v>
      </c>
      <c r="R630" s="45" t="s">
        <v>1307</v>
      </c>
      <c r="S630" s="45" t="s">
        <v>1307</v>
      </c>
      <c r="T630" s="45" t="s">
        <v>1307</v>
      </c>
      <c r="U630" s="44">
        <v>418.11492270788909</v>
      </c>
      <c r="V630" s="44">
        <v>481.64800000000002</v>
      </c>
      <c r="W630" s="44">
        <v>33.375880000000038</v>
      </c>
      <c r="X630" s="44">
        <v>40.27424824819385</v>
      </c>
      <c r="Y630" s="130" t="s">
        <v>4458</v>
      </c>
      <c r="Z630" s="224"/>
    </row>
    <row r="631" spans="2:26" ht="15" customHeight="1" x14ac:dyDescent="0.35">
      <c r="B631" s="181">
        <v>61005</v>
      </c>
      <c r="C631" s="182" t="s">
        <v>609</v>
      </c>
      <c r="D631" s="222">
        <v>14</v>
      </c>
      <c r="E631" s="223" t="s">
        <v>3328</v>
      </c>
      <c r="F631" s="183" t="s">
        <v>3329</v>
      </c>
      <c r="G631" s="125">
        <v>0.70230000517398183</v>
      </c>
      <c r="H631" s="121" t="s">
        <v>1336</v>
      </c>
      <c r="I631" s="122">
        <v>63.82432432432433</v>
      </c>
      <c r="J631" s="106" t="s">
        <v>4656</v>
      </c>
      <c r="K631" s="118">
        <v>84</v>
      </c>
      <c r="L631" s="46">
        <v>2.4812178726769476</v>
      </c>
      <c r="M631" s="41">
        <v>208.42230130486359</v>
      </c>
      <c r="N631" s="44">
        <v>2.33</v>
      </c>
      <c r="O631" s="41">
        <v>85</v>
      </c>
      <c r="P631" s="41">
        <v>7.5</v>
      </c>
      <c r="Q631" s="41">
        <v>59.709999999999994</v>
      </c>
      <c r="R631" s="45" t="s">
        <v>1307</v>
      </c>
      <c r="S631" s="45" t="s">
        <v>1307</v>
      </c>
      <c r="T631" s="45" t="s">
        <v>1307</v>
      </c>
      <c r="U631" s="44">
        <v>18.670000000000002</v>
      </c>
      <c r="V631" s="44">
        <v>38.526000000000003</v>
      </c>
      <c r="W631" s="44">
        <v>1.9266850000000033</v>
      </c>
      <c r="X631" s="44">
        <v>2.7433931166249996</v>
      </c>
      <c r="Y631" s="130" t="s">
        <v>4459</v>
      </c>
      <c r="Z631" s="224"/>
    </row>
    <row r="632" spans="2:26" ht="15" customHeight="1" x14ac:dyDescent="0.35">
      <c r="B632" s="181">
        <v>61005</v>
      </c>
      <c r="C632" s="182" t="s">
        <v>609</v>
      </c>
      <c r="D632" s="222">
        <v>14</v>
      </c>
      <c r="E632" s="223" t="s">
        <v>3330</v>
      </c>
      <c r="F632" s="183" t="s">
        <v>3331</v>
      </c>
      <c r="G632" s="125">
        <v>0.57871587164163696</v>
      </c>
      <c r="H632" s="121" t="s">
        <v>1336</v>
      </c>
      <c r="I632" s="122">
        <v>40.977777777777774</v>
      </c>
      <c r="J632" s="106" t="s">
        <v>4656</v>
      </c>
      <c r="K632" s="118">
        <v>123</v>
      </c>
      <c r="L632" s="46">
        <v>2.4812178726769476</v>
      </c>
      <c r="M632" s="41">
        <v>305.18979833926454</v>
      </c>
      <c r="N632" s="44">
        <v>2.8340000000000001</v>
      </c>
      <c r="O632" s="41">
        <v>90</v>
      </c>
      <c r="P632" s="41">
        <v>7.5</v>
      </c>
      <c r="Q632" s="41">
        <v>50.4</v>
      </c>
      <c r="R632" s="45" t="s">
        <v>1307</v>
      </c>
      <c r="S632" s="45" t="s">
        <v>1307</v>
      </c>
      <c r="T632" s="45" t="s">
        <v>1307</v>
      </c>
      <c r="U632" s="44">
        <v>22.35998076923077</v>
      </c>
      <c r="V632" s="44">
        <v>32.720999999999997</v>
      </c>
      <c r="W632" s="44">
        <v>1.4892449999999939</v>
      </c>
      <c r="X632" s="44">
        <v>2.5733612519999998</v>
      </c>
      <c r="Y632" s="130" t="s">
        <v>4460</v>
      </c>
      <c r="Z632" s="224"/>
    </row>
    <row r="633" spans="2:26" ht="15" customHeight="1" x14ac:dyDescent="0.35">
      <c r="B633" s="181">
        <v>55015</v>
      </c>
      <c r="C633" s="182" t="s">
        <v>560</v>
      </c>
      <c r="D633" s="222">
        <v>16</v>
      </c>
      <c r="E633" s="223" t="s">
        <v>3334</v>
      </c>
      <c r="F633" s="183" t="s">
        <v>3335</v>
      </c>
      <c r="G633" s="125">
        <v>4.1418927924301512E-2</v>
      </c>
      <c r="H633" s="121" t="s">
        <v>1336</v>
      </c>
      <c r="I633" s="122">
        <v>64.509803921568633</v>
      </c>
      <c r="J633" s="106" t="s">
        <v>4656</v>
      </c>
      <c r="K633" s="118">
        <v>234</v>
      </c>
      <c r="L633" s="46">
        <v>2.7834681042228211</v>
      </c>
      <c r="M633" s="41">
        <v>651.33153638814008</v>
      </c>
      <c r="N633" s="44">
        <v>4.4720000000000004</v>
      </c>
      <c r="O633" s="41">
        <v>264</v>
      </c>
      <c r="P633" s="41">
        <v>10</v>
      </c>
      <c r="Q633" s="41">
        <v>41.7</v>
      </c>
      <c r="R633" s="45" t="s">
        <v>1307</v>
      </c>
      <c r="S633" s="45" t="s">
        <v>1307</v>
      </c>
      <c r="T633" s="45" t="s">
        <v>1307</v>
      </c>
      <c r="U633" s="44">
        <v>42.491869999999999</v>
      </c>
      <c r="V633" s="44">
        <v>56.524999999999999</v>
      </c>
      <c r="W633" s="44">
        <v>0.22549756500000415</v>
      </c>
      <c r="X633" s="44">
        <v>5.4443119680000009</v>
      </c>
      <c r="Y633" s="130" t="s">
        <v>4461</v>
      </c>
      <c r="Z633" s="224"/>
    </row>
    <row r="634" spans="2:26" ht="15" customHeight="1" x14ac:dyDescent="0.35">
      <c r="B634" s="181">
        <v>19005</v>
      </c>
      <c r="C634" s="182" t="s">
        <v>118</v>
      </c>
      <c r="D634" s="222">
        <v>12</v>
      </c>
      <c r="E634" s="223" t="s">
        <v>3337</v>
      </c>
      <c r="F634" s="183" t="s">
        <v>3338</v>
      </c>
      <c r="G634" s="125">
        <v>0.17042175985043598</v>
      </c>
      <c r="H634" s="121" t="s">
        <v>1336</v>
      </c>
      <c r="I634" s="122">
        <v>57.211111111111109</v>
      </c>
      <c r="J634" s="106" t="s">
        <v>4656</v>
      </c>
      <c r="K634" s="118">
        <v>10</v>
      </c>
      <c r="L634" s="46">
        <v>2</v>
      </c>
      <c r="M634" s="41">
        <v>20</v>
      </c>
      <c r="N634" s="44">
        <v>5.4729999999999999</v>
      </c>
      <c r="O634" s="41">
        <v>255</v>
      </c>
      <c r="P634" s="41">
        <v>25</v>
      </c>
      <c r="Q634" s="41">
        <v>56.2</v>
      </c>
      <c r="R634" s="45" t="s">
        <v>1307</v>
      </c>
      <c r="S634" s="45" t="s">
        <v>1307</v>
      </c>
      <c r="T634" s="45" t="s">
        <v>1307</v>
      </c>
      <c r="U634" s="44">
        <v>1.4219999999999999</v>
      </c>
      <c r="V634" s="44">
        <v>14.22</v>
      </c>
      <c r="W634" s="44">
        <v>1.6147000000000016</v>
      </c>
      <c r="X634" s="44">
        <v>9.4747290569999993</v>
      </c>
      <c r="Y634" s="130" t="s">
        <v>4462</v>
      </c>
      <c r="Z634" s="224"/>
    </row>
    <row r="635" spans="2:26" ht="15" customHeight="1" x14ac:dyDescent="0.35">
      <c r="B635" s="181">
        <v>19005</v>
      </c>
      <c r="C635" s="182" t="s">
        <v>118</v>
      </c>
      <c r="D635" s="222">
        <v>12</v>
      </c>
      <c r="E635" s="223" t="s">
        <v>1612</v>
      </c>
      <c r="F635" s="183" t="s">
        <v>3339</v>
      </c>
      <c r="G635" s="125">
        <v>1.902562885475332</v>
      </c>
      <c r="H635" s="121" t="s">
        <v>1336</v>
      </c>
      <c r="I635" s="122">
        <v>51.040540540540547</v>
      </c>
      <c r="J635" s="106" t="s">
        <v>4656</v>
      </c>
      <c r="K635" s="118">
        <v>215</v>
      </c>
      <c r="L635" s="46">
        <v>1.89</v>
      </c>
      <c r="M635" s="41">
        <v>406.34999999999997</v>
      </c>
      <c r="N635" s="44">
        <v>6.5439999999999996</v>
      </c>
      <c r="O635" s="41">
        <v>226</v>
      </c>
      <c r="P635" s="41">
        <v>7.5</v>
      </c>
      <c r="Q635" s="41">
        <v>49.2</v>
      </c>
      <c r="R635" s="45" t="s">
        <v>1307</v>
      </c>
      <c r="S635" s="45" t="s">
        <v>1307</v>
      </c>
      <c r="T635" s="45" t="s">
        <v>1307</v>
      </c>
      <c r="U635" s="44">
        <v>28.699000000000002</v>
      </c>
      <c r="V635" s="44">
        <v>40.963000000000001</v>
      </c>
      <c r="W635" s="44">
        <v>11.649554999999998</v>
      </c>
      <c r="X635" s="44">
        <v>6.1230853860000005</v>
      </c>
      <c r="Y635" s="130" t="s">
        <v>4463</v>
      </c>
      <c r="Z635" s="224"/>
    </row>
    <row r="636" spans="2:26" ht="15" customHeight="1" x14ac:dyDescent="0.35">
      <c r="B636" s="181">
        <v>67010</v>
      </c>
      <c r="C636" s="182" t="s">
        <v>663</v>
      </c>
      <c r="D636" s="222">
        <v>16</v>
      </c>
      <c r="E636" s="223" t="s">
        <v>3341</v>
      </c>
      <c r="F636" s="183" t="s">
        <v>3342</v>
      </c>
      <c r="G636" s="125">
        <v>0.73505866407783016</v>
      </c>
      <c r="H636" s="121" t="s">
        <v>1325</v>
      </c>
      <c r="I636" s="122">
        <v>45.539215686274517</v>
      </c>
      <c r="J636" s="106" t="s">
        <v>4656</v>
      </c>
      <c r="K636" s="118">
        <v>2395</v>
      </c>
      <c r="L636" s="46">
        <v>2.9579037800687287</v>
      </c>
      <c r="M636" s="41">
        <v>7084.1795532646056</v>
      </c>
      <c r="N636" s="44">
        <v>27.87</v>
      </c>
      <c r="O636" s="41">
        <v>2395</v>
      </c>
      <c r="P636" s="41">
        <v>10</v>
      </c>
      <c r="Q636" s="41">
        <v>42</v>
      </c>
      <c r="R636" s="45" t="s">
        <v>1324</v>
      </c>
      <c r="S636" s="45" t="s">
        <v>1324</v>
      </c>
      <c r="T636" s="45" t="s">
        <v>1324</v>
      </c>
      <c r="U636" s="44">
        <v>554.5068817204301</v>
      </c>
      <c r="V636" s="44">
        <v>610.73800000000006</v>
      </c>
      <c r="W636" s="44">
        <v>33.990263214285747</v>
      </c>
      <c r="X636" s="44">
        <v>46.241565299999998</v>
      </c>
      <c r="Y636" s="130" t="s">
        <v>4464</v>
      </c>
      <c r="Z636" s="224"/>
    </row>
    <row r="637" spans="2:26" ht="15" customHeight="1" x14ac:dyDescent="0.35">
      <c r="B637" s="181">
        <v>14060</v>
      </c>
      <c r="C637" s="182" t="s">
        <v>70</v>
      </c>
      <c r="D637" s="222">
        <v>1</v>
      </c>
      <c r="E637" s="223" t="s">
        <v>70</v>
      </c>
      <c r="F637" s="183" t="s">
        <v>3343</v>
      </c>
      <c r="G637" s="125">
        <v>0.8955134639586646</v>
      </c>
      <c r="H637" s="121" t="s">
        <v>1336</v>
      </c>
      <c r="I637" s="122">
        <v>48.243243243243242</v>
      </c>
      <c r="J637" s="106" t="s">
        <v>4656</v>
      </c>
      <c r="K637" s="118">
        <v>368</v>
      </c>
      <c r="L637" s="46">
        <v>2.152061855670103</v>
      </c>
      <c r="M637" s="41">
        <v>791.95876288659792</v>
      </c>
      <c r="N637" s="44">
        <v>5.9160000000000004</v>
      </c>
      <c r="O637" s="41">
        <v>348</v>
      </c>
      <c r="P637" s="41">
        <v>10</v>
      </c>
      <c r="Q637" s="41">
        <v>51</v>
      </c>
      <c r="R637" s="45" t="s">
        <v>1307</v>
      </c>
      <c r="S637" s="45" t="s">
        <v>1307</v>
      </c>
      <c r="T637" s="45" t="s">
        <v>1307</v>
      </c>
      <c r="U637" s="44">
        <v>49.628783505154637</v>
      </c>
      <c r="V637" s="44">
        <v>61.109000000000002</v>
      </c>
      <c r="W637" s="44">
        <v>7.8663649999999992</v>
      </c>
      <c r="X637" s="44">
        <v>8.7841951200000015</v>
      </c>
      <c r="Y637" s="130" t="s">
        <v>4465</v>
      </c>
      <c r="Z637" s="224" t="s">
        <v>4466</v>
      </c>
    </row>
    <row r="638" spans="2:26" ht="15" customHeight="1" x14ac:dyDescent="0.35">
      <c r="B638" s="181">
        <v>54008</v>
      </c>
      <c r="C638" s="182" t="s">
        <v>542</v>
      </c>
      <c r="D638" s="222">
        <v>16</v>
      </c>
      <c r="E638" s="223" t="s">
        <v>3029</v>
      </c>
      <c r="F638" s="183" t="s">
        <v>3346</v>
      </c>
      <c r="G638" s="125">
        <v>1.1936144168304712</v>
      </c>
      <c r="H638" s="121" t="s">
        <v>1336</v>
      </c>
      <c r="I638" s="122">
        <v>54</v>
      </c>
      <c r="J638" s="106" t="s">
        <v>4656</v>
      </c>
      <c r="K638" s="118">
        <v>29</v>
      </c>
      <c r="L638" s="46">
        <v>2.410375369042598</v>
      </c>
      <c r="M638" s="41">
        <v>69.900885702235342</v>
      </c>
      <c r="N638" s="44">
        <v>3.4</v>
      </c>
      <c r="O638" s="41">
        <v>28</v>
      </c>
      <c r="P638" s="41">
        <v>9</v>
      </c>
      <c r="Q638" s="41">
        <v>48</v>
      </c>
      <c r="R638" s="45" t="s">
        <v>1307</v>
      </c>
      <c r="S638" s="45" t="s">
        <v>1307</v>
      </c>
      <c r="T638" s="45" t="s">
        <v>1307</v>
      </c>
      <c r="U638" s="44">
        <v>5.3789999999999996</v>
      </c>
      <c r="V638" s="44">
        <v>7.7093190701501753</v>
      </c>
      <c r="W638" s="44">
        <v>1.8800000000000001</v>
      </c>
      <c r="X638" s="44">
        <v>1.575048</v>
      </c>
      <c r="Y638" s="130" t="s">
        <v>4219</v>
      </c>
      <c r="Z638" s="224"/>
    </row>
    <row r="639" spans="2:26" ht="15" customHeight="1" x14ac:dyDescent="0.35">
      <c r="B639" s="181">
        <v>54008</v>
      </c>
      <c r="C639" s="182" t="s">
        <v>542</v>
      </c>
      <c r="D639" s="222">
        <v>16</v>
      </c>
      <c r="E639" s="223" t="s">
        <v>3345</v>
      </c>
      <c r="F639" s="183" t="s">
        <v>3347</v>
      </c>
      <c r="G639" s="125">
        <v>1.8030832106096919</v>
      </c>
      <c r="H639" s="121" t="s">
        <v>1336</v>
      </c>
      <c r="I639" s="122">
        <v>71</v>
      </c>
      <c r="J639" s="106" t="s">
        <v>4656</v>
      </c>
      <c r="K639" s="118">
        <v>1826</v>
      </c>
      <c r="L639" s="46">
        <v>2.410375369042598</v>
      </c>
      <c r="M639" s="41">
        <v>4401.3454238717841</v>
      </c>
      <c r="N639" s="44">
        <v>46.1</v>
      </c>
      <c r="O639" s="41">
        <v>1521</v>
      </c>
      <c r="P639" s="41">
        <v>9</v>
      </c>
      <c r="Q639" s="41">
        <v>41</v>
      </c>
      <c r="R639" s="45" t="s">
        <v>1307</v>
      </c>
      <c r="S639" s="45" t="s">
        <v>1307</v>
      </c>
      <c r="T639" s="45" t="s">
        <v>1307</v>
      </c>
      <c r="U639" s="44">
        <v>359.45</v>
      </c>
      <c r="V639" s="44">
        <v>482.80528140706224</v>
      </c>
      <c r="W639" s="44">
        <v>64.457999999999998</v>
      </c>
      <c r="X639" s="44">
        <v>35.748766125000003</v>
      </c>
      <c r="Y639" s="130" t="s">
        <v>4467</v>
      </c>
      <c r="Z639" s="224"/>
    </row>
    <row r="640" spans="2:26" ht="15" customHeight="1" x14ac:dyDescent="0.35">
      <c r="B640" s="181">
        <v>49130</v>
      </c>
      <c r="C640" s="182" t="s">
        <v>481</v>
      </c>
      <c r="D640" s="222">
        <v>17</v>
      </c>
      <c r="E640" s="223" t="s">
        <v>3349</v>
      </c>
      <c r="F640" s="183" t="s">
        <v>3350</v>
      </c>
      <c r="G640" s="125">
        <v>0.67361787817517471</v>
      </c>
      <c r="H640" s="121" t="s">
        <v>1336</v>
      </c>
      <c r="I640" s="122">
        <v>70.882352941176464</v>
      </c>
      <c r="J640" s="106" t="s">
        <v>4656</v>
      </c>
      <c r="K640" s="118">
        <v>68</v>
      </c>
      <c r="L640" s="46">
        <v>2.3250000000000002</v>
      </c>
      <c r="M640" s="41">
        <v>158.10000000000002</v>
      </c>
      <c r="N640" s="44">
        <v>7.6950000000000003</v>
      </c>
      <c r="O640" s="41">
        <v>85</v>
      </c>
      <c r="P640" s="41">
        <v>6</v>
      </c>
      <c r="Q640" s="41">
        <v>52.5</v>
      </c>
      <c r="R640" s="45" t="s">
        <v>1307</v>
      </c>
      <c r="S640" s="45" t="s">
        <v>1307</v>
      </c>
      <c r="T640" s="45" t="s">
        <v>1307</v>
      </c>
      <c r="U640" s="44">
        <v>10.624000000000001</v>
      </c>
      <c r="V640" s="44">
        <v>17.477</v>
      </c>
      <c r="W640" s="44">
        <v>2.8302524999999994</v>
      </c>
      <c r="X640" s="44">
        <v>4.20156975</v>
      </c>
      <c r="Y640" s="130" t="s">
        <v>4219</v>
      </c>
      <c r="Z640" s="224"/>
    </row>
    <row r="641" spans="2:26" ht="15" customHeight="1" x14ac:dyDescent="0.35">
      <c r="B641" s="181">
        <v>49130</v>
      </c>
      <c r="C641" s="182" t="s">
        <v>481</v>
      </c>
      <c r="D641" s="222">
        <v>17</v>
      </c>
      <c r="E641" s="223" t="s">
        <v>3351</v>
      </c>
      <c r="F641" s="183" t="s">
        <v>3352</v>
      </c>
      <c r="G641" s="125">
        <v>0.61460039241739906</v>
      </c>
      <c r="H641" s="121" t="s">
        <v>1336</v>
      </c>
      <c r="I641" s="122">
        <v>57.8</v>
      </c>
      <c r="J641" s="106" t="s">
        <v>4656</v>
      </c>
      <c r="K641" s="118">
        <v>42</v>
      </c>
      <c r="L641" s="46">
        <v>2.3250000000000002</v>
      </c>
      <c r="M641" s="41">
        <v>97.65</v>
      </c>
      <c r="N641" s="44">
        <v>9.3040000000000003</v>
      </c>
      <c r="O641" s="41">
        <v>42</v>
      </c>
      <c r="P641" s="41">
        <v>6</v>
      </c>
      <c r="Q641" s="41">
        <v>52.5</v>
      </c>
      <c r="R641" s="45" t="s">
        <v>1307</v>
      </c>
      <c r="S641" s="45" t="s">
        <v>1307</v>
      </c>
      <c r="T641" s="45" t="s">
        <v>1307</v>
      </c>
      <c r="U641" s="44">
        <v>10.901</v>
      </c>
      <c r="V641" s="44">
        <v>13.8</v>
      </c>
      <c r="W641" s="44">
        <v>2.4422781122448987</v>
      </c>
      <c r="X641" s="44">
        <v>3.9737659500000002</v>
      </c>
      <c r="Y641" s="130" t="s">
        <v>4468</v>
      </c>
      <c r="Z641" s="224"/>
    </row>
    <row r="642" spans="2:26" ht="15" customHeight="1" x14ac:dyDescent="0.35">
      <c r="B642" s="181">
        <v>32050</v>
      </c>
      <c r="C642" s="182" t="s">
        <v>261</v>
      </c>
      <c r="D642" s="222">
        <v>17</v>
      </c>
      <c r="E642" s="223" t="s">
        <v>3354</v>
      </c>
      <c r="F642" s="183" t="s">
        <v>3355</v>
      </c>
      <c r="G642" s="125">
        <v>0.64537176836264476</v>
      </c>
      <c r="H642" s="121" t="s">
        <v>1336</v>
      </c>
      <c r="I642" s="122">
        <v>58.921568627450981</v>
      </c>
      <c r="J642" s="106" t="s">
        <v>4656</v>
      </c>
      <c r="K642" s="118">
        <v>67</v>
      </c>
      <c r="L642" s="46">
        <v>2.0236220472440944</v>
      </c>
      <c r="M642" s="41">
        <v>135.58267716535434</v>
      </c>
      <c r="N642" s="44">
        <v>1.631</v>
      </c>
      <c r="O642" s="41">
        <v>60</v>
      </c>
      <c r="P642" s="41">
        <v>6</v>
      </c>
      <c r="Q642" s="41">
        <v>34.5</v>
      </c>
      <c r="R642" s="45" t="s">
        <v>1307</v>
      </c>
      <c r="S642" s="45" t="s">
        <v>1307</v>
      </c>
      <c r="T642" s="45" t="s">
        <v>1307</v>
      </c>
      <c r="U642" s="44">
        <v>6.0110400000000004</v>
      </c>
      <c r="V642" s="44">
        <v>8.2050000000000001</v>
      </c>
      <c r="W642" s="44">
        <v>0.70181799355670016</v>
      </c>
      <c r="X642" s="44">
        <v>1.087463115</v>
      </c>
      <c r="Y642" s="130" t="s">
        <v>4469</v>
      </c>
      <c r="Z642" s="224"/>
    </row>
    <row r="643" spans="2:26" ht="15" customHeight="1" x14ac:dyDescent="0.35">
      <c r="B643" s="181">
        <v>31135</v>
      </c>
      <c r="C643" s="182" t="s">
        <v>254</v>
      </c>
      <c r="D643" s="222">
        <v>12</v>
      </c>
      <c r="E643" s="223" t="s">
        <v>3357</v>
      </c>
      <c r="F643" s="183" t="s">
        <v>3358</v>
      </c>
      <c r="G643" s="125">
        <v>5.2239376671162834</v>
      </c>
      <c r="H643" s="121" t="s">
        <v>1336</v>
      </c>
      <c r="I643" s="122">
        <v>51.729729729729726</v>
      </c>
      <c r="J643" s="106" t="s">
        <v>4656</v>
      </c>
      <c r="K643" s="118">
        <v>150</v>
      </c>
      <c r="L643" s="46">
        <v>1.8609958506224067</v>
      </c>
      <c r="M643" s="41">
        <v>279.14937759336101</v>
      </c>
      <c r="N643" s="44">
        <v>3.5819999999999999</v>
      </c>
      <c r="O643" s="41">
        <v>144</v>
      </c>
      <c r="P643" s="41">
        <v>6</v>
      </c>
      <c r="Q643" s="41">
        <v>56</v>
      </c>
      <c r="R643" s="45" t="s">
        <v>1307</v>
      </c>
      <c r="S643" s="45" t="s">
        <v>1307</v>
      </c>
      <c r="T643" s="45" t="s">
        <v>1307</v>
      </c>
      <c r="U643" s="44">
        <v>19.452999999999999</v>
      </c>
      <c r="V643" s="44">
        <v>42.753</v>
      </c>
      <c r="W643" s="44">
        <v>21.491705</v>
      </c>
      <c r="X643" s="44">
        <v>4.1140814399999996</v>
      </c>
      <c r="Y643" s="130" t="s">
        <v>4470</v>
      </c>
      <c r="Z643" s="224" t="s">
        <v>4471</v>
      </c>
    </row>
    <row r="644" spans="2:26" ht="15" customHeight="1" x14ac:dyDescent="0.35">
      <c r="B644" s="181">
        <v>38065</v>
      </c>
      <c r="C644" s="182" t="s">
        <v>335</v>
      </c>
      <c r="D644" s="222">
        <v>17</v>
      </c>
      <c r="E644" s="223" t="s">
        <v>3361</v>
      </c>
      <c r="F644" s="183" t="s">
        <v>3362</v>
      </c>
      <c r="G644" s="125">
        <v>1.7794478550888153</v>
      </c>
      <c r="H644" s="121" t="s">
        <v>1336</v>
      </c>
      <c r="I644" s="122">
        <v>55.078431372549012</v>
      </c>
      <c r="J644" s="106" t="s">
        <v>4656</v>
      </c>
      <c r="K644" s="118">
        <v>623</v>
      </c>
      <c r="L644" s="46">
        <v>2.095412844036697</v>
      </c>
      <c r="M644" s="41">
        <v>1305.4422018348623</v>
      </c>
      <c r="N644" s="44">
        <v>32.061999999999998</v>
      </c>
      <c r="O644" s="41">
        <v>658</v>
      </c>
      <c r="P644" s="41">
        <v>10</v>
      </c>
      <c r="Q644" s="41">
        <v>35.26</v>
      </c>
      <c r="R644" s="45" t="s">
        <v>1307</v>
      </c>
      <c r="S644" s="45" t="s">
        <v>1307</v>
      </c>
      <c r="T644" s="45" t="s">
        <v>1307</v>
      </c>
      <c r="U644" s="44">
        <v>226.20623000000001</v>
      </c>
      <c r="V644" s="44">
        <v>284.33299999999997</v>
      </c>
      <c r="W644" s="44">
        <v>29.039235045918367</v>
      </c>
      <c r="X644" s="44">
        <v>16.319239118399999</v>
      </c>
      <c r="Y644" s="130" t="s">
        <v>4472</v>
      </c>
      <c r="Z644" s="224" t="s">
        <v>4279</v>
      </c>
    </row>
    <row r="645" spans="2:26" ht="15" customHeight="1" x14ac:dyDescent="0.35">
      <c r="B645" s="181">
        <v>72043</v>
      </c>
      <c r="C645" s="182" t="s">
        <v>733</v>
      </c>
      <c r="D645" s="222">
        <v>15</v>
      </c>
      <c r="E645" s="223" t="s">
        <v>3363</v>
      </c>
      <c r="F645" s="183" t="s">
        <v>3364</v>
      </c>
      <c r="G645" s="125">
        <v>10.193659295900392</v>
      </c>
      <c r="H645" s="121" t="s">
        <v>1336</v>
      </c>
      <c r="I645" s="122">
        <v>44.18662481892806</v>
      </c>
      <c r="J645" s="106" t="s">
        <v>4656</v>
      </c>
      <c r="K645" s="118">
        <v>206</v>
      </c>
      <c r="L645" s="46">
        <v>2.1977186311787071</v>
      </c>
      <c r="M645" s="41">
        <v>452.73003802281369</v>
      </c>
      <c r="N645" s="44">
        <v>3.9670000000000001</v>
      </c>
      <c r="O645" s="41">
        <v>159</v>
      </c>
      <c r="P645" s="41">
        <v>8.5299999999999994</v>
      </c>
      <c r="Q645" s="41">
        <v>51</v>
      </c>
      <c r="R645" s="45" t="s">
        <v>1307</v>
      </c>
      <c r="S645" s="45" t="s">
        <v>1307</v>
      </c>
      <c r="T645" s="45" t="s">
        <v>1307</v>
      </c>
      <c r="U645" s="44">
        <v>23.70086165997887</v>
      </c>
      <c r="V645" s="44">
        <v>78.21208791208791</v>
      </c>
      <c r="W645" s="44">
        <v>44.120449387755059</v>
      </c>
      <c r="X645" s="44">
        <v>4.32822484125</v>
      </c>
      <c r="Y645" s="130" t="s">
        <v>4473</v>
      </c>
      <c r="Z645" s="224" t="s">
        <v>4474</v>
      </c>
    </row>
    <row r="646" spans="2:26" ht="15" customHeight="1" x14ac:dyDescent="0.35">
      <c r="B646" s="181">
        <v>71020</v>
      </c>
      <c r="C646" s="182" t="s">
        <v>706</v>
      </c>
      <c r="D646" s="222">
        <v>16</v>
      </c>
      <c r="E646" s="223" t="s">
        <v>3367</v>
      </c>
      <c r="F646" s="183" t="s">
        <v>4776</v>
      </c>
      <c r="G646" s="125">
        <v>0.89150208151055654</v>
      </c>
      <c r="H646" s="121" t="s">
        <v>1325</v>
      </c>
      <c r="I646" s="122">
        <v>70.37254901960786</v>
      </c>
      <c r="J646" s="106" t="s">
        <v>4656</v>
      </c>
      <c r="K646" s="118">
        <v>1090</v>
      </c>
      <c r="L646" s="46">
        <v>2.5</v>
      </c>
      <c r="M646" s="41">
        <v>2725</v>
      </c>
      <c r="N646" s="44">
        <v>31.951000000000001</v>
      </c>
      <c r="O646" s="41">
        <v>970</v>
      </c>
      <c r="P646" s="41">
        <v>6</v>
      </c>
      <c r="Q646" s="41">
        <v>39</v>
      </c>
      <c r="R646" s="45" t="s">
        <v>1324</v>
      </c>
      <c r="S646" s="45" t="s">
        <v>1324</v>
      </c>
      <c r="T646" s="45" t="s">
        <v>1324</v>
      </c>
      <c r="U646" s="44">
        <v>196.52819358816276</v>
      </c>
      <c r="V646" s="44">
        <v>232.911</v>
      </c>
      <c r="W646" s="44">
        <v>18.992878815789474</v>
      </c>
      <c r="X646" s="44">
        <v>21.304357230000001</v>
      </c>
      <c r="Y646" s="130" t="s">
        <v>4475</v>
      </c>
      <c r="Z646" s="224"/>
    </row>
    <row r="647" spans="2:26" ht="15" customHeight="1" x14ac:dyDescent="0.35">
      <c r="B647" s="181">
        <v>28020</v>
      </c>
      <c r="C647" s="182" t="s">
        <v>190</v>
      </c>
      <c r="D647" s="222">
        <v>12</v>
      </c>
      <c r="E647" s="223" t="s">
        <v>3368</v>
      </c>
      <c r="F647" s="183" t="s">
        <v>3369</v>
      </c>
      <c r="G647" s="125">
        <v>1.3103691021666297</v>
      </c>
      <c r="H647" s="121" t="s">
        <v>1336</v>
      </c>
      <c r="I647" s="122">
        <v>61.716216216216203</v>
      </c>
      <c r="J647" s="106" t="s">
        <v>4656</v>
      </c>
      <c r="K647" s="118">
        <v>1253</v>
      </c>
      <c r="L647" s="46">
        <v>2.1093843395098624</v>
      </c>
      <c r="M647" s="41">
        <v>2643.0585774058577</v>
      </c>
      <c r="N647" s="44">
        <v>25.84</v>
      </c>
      <c r="O647" s="41">
        <v>1105</v>
      </c>
      <c r="P647" s="41">
        <v>8</v>
      </c>
      <c r="Q647" s="41">
        <v>49</v>
      </c>
      <c r="R647" s="45" t="s">
        <v>1307</v>
      </c>
      <c r="S647" s="45" t="s">
        <v>1307</v>
      </c>
      <c r="T647" s="45" t="s">
        <v>1307</v>
      </c>
      <c r="U647" s="44">
        <v>211.43759254425612</v>
      </c>
      <c r="V647" s="44">
        <v>261.29300000000001</v>
      </c>
      <c r="W647" s="44">
        <v>36.797255999999834</v>
      </c>
      <c r="X647" s="44">
        <v>28.081596199999996</v>
      </c>
      <c r="Y647" s="130" t="s">
        <v>4476</v>
      </c>
      <c r="Z647" s="224"/>
    </row>
    <row r="648" spans="2:26" ht="15" customHeight="1" x14ac:dyDescent="0.35">
      <c r="B648" s="181">
        <v>37250</v>
      </c>
      <c r="C648" s="182" t="s">
        <v>324</v>
      </c>
      <c r="D648" s="222">
        <v>4</v>
      </c>
      <c r="E648" s="223" t="s">
        <v>3372</v>
      </c>
      <c r="F648" s="183" t="s">
        <v>3373</v>
      </c>
      <c r="G648" s="125">
        <v>0.82281442233233404</v>
      </c>
      <c r="H648" s="121" t="s">
        <v>1336</v>
      </c>
      <c r="I648" s="122">
        <v>60</v>
      </c>
      <c r="J648" s="106" t="s">
        <v>4656</v>
      </c>
      <c r="K648" s="118">
        <v>232</v>
      </c>
      <c r="L648" s="46">
        <v>1.9368421052631579</v>
      </c>
      <c r="M648" s="41">
        <v>449.34736842105264</v>
      </c>
      <c r="N648" s="44">
        <v>18.507999999999999</v>
      </c>
      <c r="O648" s="41">
        <v>233</v>
      </c>
      <c r="P648" s="41">
        <v>13</v>
      </c>
      <c r="Q648" s="41">
        <v>49</v>
      </c>
      <c r="R648" s="45" t="s">
        <v>1307</v>
      </c>
      <c r="S648" s="45" t="s">
        <v>1307</v>
      </c>
      <c r="T648" s="45" t="s">
        <v>1307</v>
      </c>
      <c r="U648" s="44">
        <v>45.505355642023346</v>
      </c>
      <c r="V648" s="44">
        <v>60.07</v>
      </c>
      <c r="W648" s="44">
        <v>8.7599999999999856</v>
      </c>
      <c r="X648" s="44">
        <v>10.646386065</v>
      </c>
      <c r="Y648" s="130" t="s">
        <v>4477</v>
      </c>
      <c r="Z648" s="224"/>
    </row>
    <row r="649" spans="2:26" ht="15" customHeight="1" x14ac:dyDescent="0.35">
      <c r="B649" s="181">
        <v>19082</v>
      </c>
      <c r="C649" s="182" t="s">
        <v>132</v>
      </c>
      <c r="D649" s="222">
        <v>12</v>
      </c>
      <c r="E649" s="223" t="s">
        <v>3376</v>
      </c>
      <c r="F649" s="183" t="s">
        <v>3377</v>
      </c>
      <c r="G649" s="125">
        <v>0.69326940203693777</v>
      </c>
      <c r="H649" s="121" t="s">
        <v>1325</v>
      </c>
      <c r="I649" s="122">
        <v>57.04651162790698</v>
      </c>
      <c r="J649" s="106" t="s">
        <v>4656</v>
      </c>
      <c r="K649" s="118">
        <v>574</v>
      </c>
      <c r="L649" s="46">
        <v>2.2027522935779817</v>
      </c>
      <c r="M649" s="41">
        <v>1264.3798165137616</v>
      </c>
      <c r="N649" s="44">
        <v>14.672000000000001</v>
      </c>
      <c r="O649" s="41">
        <v>731</v>
      </c>
      <c r="P649" s="41">
        <v>6</v>
      </c>
      <c r="Q649" s="41">
        <v>39.199999999999996</v>
      </c>
      <c r="R649" s="45" t="s">
        <v>1324</v>
      </c>
      <c r="S649" s="45" t="s">
        <v>1324</v>
      </c>
      <c r="T649" s="45" t="s">
        <v>1307</v>
      </c>
      <c r="U649" s="44">
        <v>122.9</v>
      </c>
      <c r="V649" s="44">
        <v>170.07300000000001</v>
      </c>
      <c r="W649" s="44">
        <v>9.5081040000000083</v>
      </c>
      <c r="X649" s="44">
        <v>13.714876168</v>
      </c>
      <c r="Y649" s="130" t="s">
        <v>4478</v>
      </c>
      <c r="Z649" s="224"/>
    </row>
    <row r="650" spans="2:26" ht="15" customHeight="1" x14ac:dyDescent="0.35">
      <c r="B650" s="181">
        <v>34128</v>
      </c>
      <c r="C650" s="182" t="s">
        <v>301</v>
      </c>
      <c r="D650" s="222">
        <v>3</v>
      </c>
      <c r="E650" s="223" t="s">
        <v>3379</v>
      </c>
      <c r="F650" s="183" t="s">
        <v>3380</v>
      </c>
      <c r="G650" s="125">
        <v>2.4260820663553333</v>
      </c>
      <c r="H650" s="121" t="s">
        <v>1336</v>
      </c>
      <c r="I650" s="122">
        <v>57.385964912280713</v>
      </c>
      <c r="J650" s="106" t="s">
        <v>4656</v>
      </c>
      <c r="K650" s="118">
        <v>2560</v>
      </c>
      <c r="L650" s="46">
        <v>2.2799999999999998</v>
      </c>
      <c r="M650" s="41">
        <v>5836.7999999999993</v>
      </c>
      <c r="N650" s="44">
        <v>59.116</v>
      </c>
      <c r="O650" s="41">
        <v>1995</v>
      </c>
      <c r="P650" s="41">
        <v>7.5</v>
      </c>
      <c r="Q650" s="41">
        <v>46</v>
      </c>
      <c r="R650" s="45" t="s">
        <v>1307</v>
      </c>
      <c r="S650" s="45" t="s">
        <v>1307</v>
      </c>
      <c r="T650" s="45" t="s">
        <v>1307</v>
      </c>
      <c r="U650" s="44">
        <v>496.53089999999997</v>
      </c>
      <c r="V650" s="44">
        <v>913.202</v>
      </c>
      <c r="W650" s="44">
        <v>123.59283734536079</v>
      </c>
      <c r="X650" s="44">
        <v>50.943386894999996</v>
      </c>
      <c r="Y650" s="130" t="s">
        <v>4479</v>
      </c>
      <c r="Z650" s="224"/>
    </row>
    <row r="651" spans="2:26" ht="15" customHeight="1" x14ac:dyDescent="0.35">
      <c r="B651" s="181">
        <v>68055</v>
      </c>
      <c r="C651" s="182" t="s">
        <v>683</v>
      </c>
      <c r="D651" s="222">
        <v>16</v>
      </c>
      <c r="E651" s="223" t="s">
        <v>4628</v>
      </c>
      <c r="F651" s="183" t="s">
        <v>4629</v>
      </c>
      <c r="G651" s="125">
        <v>0.95137739561704093</v>
      </c>
      <c r="H651" s="121" t="s">
        <v>1336</v>
      </c>
      <c r="I651" s="122">
        <v>48.588235294117638</v>
      </c>
      <c r="J651" s="106" t="s">
        <v>4656</v>
      </c>
      <c r="K651" s="118">
        <v>3210</v>
      </c>
      <c r="L651" s="46">
        <v>2.3424398160670816</v>
      </c>
      <c r="M651" s="41">
        <v>7519.2318095753317</v>
      </c>
      <c r="N651" s="44">
        <v>39.514000000000003</v>
      </c>
      <c r="O651" s="41">
        <v>3476</v>
      </c>
      <c r="P651" s="41">
        <v>10</v>
      </c>
      <c r="Q651" s="41">
        <v>38.67</v>
      </c>
      <c r="R651" s="45" t="s">
        <v>1307</v>
      </c>
      <c r="S651" s="45" t="s">
        <v>1307</v>
      </c>
      <c r="T651" s="45" t="s">
        <v>1307</v>
      </c>
      <c r="U651" s="44">
        <v>714.49885740402192</v>
      </c>
      <c r="V651" s="44">
        <v>1003.593</v>
      </c>
      <c r="W651" s="44">
        <v>58.561356785714274</v>
      </c>
      <c r="X651" s="44">
        <v>61.5542865066</v>
      </c>
      <c r="Y651" s="130"/>
      <c r="Z651" s="224"/>
    </row>
    <row r="652" spans="2:26" ht="15" customHeight="1" x14ac:dyDescent="0.35">
      <c r="B652" s="181">
        <v>39020</v>
      </c>
      <c r="C652" s="182" t="s">
        <v>340</v>
      </c>
      <c r="D652" s="222">
        <v>17</v>
      </c>
      <c r="E652" s="223" t="s">
        <v>3383</v>
      </c>
      <c r="F652" s="183" t="s">
        <v>3384</v>
      </c>
      <c r="G652" s="125">
        <v>1.1875554604887395</v>
      </c>
      <c r="H652" s="121" t="s">
        <v>1325</v>
      </c>
      <c r="I652" s="122">
        <v>45.081081081081081</v>
      </c>
      <c r="J652" s="106" t="s">
        <v>4656</v>
      </c>
      <c r="K652" s="118">
        <v>116</v>
      </c>
      <c r="L652" s="46">
        <v>1.8529411764705883</v>
      </c>
      <c r="M652" s="41">
        <v>214.94117647058823</v>
      </c>
      <c r="N652" s="44">
        <v>5.9249999999999998</v>
      </c>
      <c r="O652" s="41">
        <v>131</v>
      </c>
      <c r="P652" s="41">
        <v>22.86</v>
      </c>
      <c r="Q652" s="41">
        <v>38.5</v>
      </c>
      <c r="R652" s="45" t="s">
        <v>1324</v>
      </c>
      <c r="S652" s="45" t="s">
        <v>1307</v>
      </c>
      <c r="T652" s="45" t="s">
        <v>1307</v>
      </c>
      <c r="U652" s="44">
        <v>17.197743589743588</v>
      </c>
      <c r="V652" s="44">
        <v>22.460999999999999</v>
      </c>
      <c r="W652" s="44">
        <v>4.7780849999999973</v>
      </c>
      <c r="X652" s="44">
        <v>4.0234626162499998</v>
      </c>
      <c r="Y652" s="130" t="s">
        <v>4480</v>
      </c>
      <c r="Z652" s="224"/>
    </row>
    <row r="653" spans="2:26" ht="15" customHeight="1" x14ac:dyDescent="0.35">
      <c r="B653" s="181">
        <v>8035</v>
      </c>
      <c r="C653" s="182" t="s">
        <v>1091</v>
      </c>
      <c r="D653" s="222">
        <v>1</v>
      </c>
      <c r="E653" s="223" t="s">
        <v>3386</v>
      </c>
      <c r="F653" s="183" t="s">
        <v>3387</v>
      </c>
      <c r="G653" s="125">
        <v>1.9958647758728265</v>
      </c>
      <c r="H653" s="121" t="s">
        <v>1336</v>
      </c>
      <c r="I653" s="122">
        <v>59.081081081081081</v>
      </c>
      <c r="J653" s="106" t="s">
        <v>4656</v>
      </c>
      <c r="K653" s="118">
        <v>118</v>
      </c>
      <c r="L653" s="46">
        <v>2.2000000000000002</v>
      </c>
      <c r="M653" s="41">
        <v>259.60000000000002</v>
      </c>
      <c r="N653" s="44">
        <v>2.968</v>
      </c>
      <c r="O653" s="41">
        <v>98</v>
      </c>
      <c r="P653" s="41">
        <v>9</v>
      </c>
      <c r="Q653" s="41">
        <v>52</v>
      </c>
      <c r="R653" s="45" t="s">
        <v>1307</v>
      </c>
      <c r="S653" s="45" t="s">
        <v>1307</v>
      </c>
      <c r="T653" s="45" t="s">
        <v>1307</v>
      </c>
      <c r="U653" s="44">
        <v>19.637483870967738</v>
      </c>
      <c r="V653" s="44">
        <v>26.867999999999999</v>
      </c>
      <c r="W653" s="44">
        <v>5.8289799999999987</v>
      </c>
      <c r="X653" s="44">
        <v>2.9205285200000004</v>
      </c>
      <c r="Y653" s="130" t="s">
        <v>4481</v>
      </c>
      <c r="Z653" s="224"/>
    </row>
    <row r="654" spans="2:26" ht="15" customHeight="1" x14ac:dyDescent="0.35">
      <c r="B654" s="181">
        <v>53020</v>
      </c>
      <c r="C654" s="182" t="s">
        <v>533</v>
      </c>
      <c r="D654" s="222">
        <v>16</v>
      </c>
      <c r="E654" s="223" t="s">
        <v>3390</v>
      </c>
      <c r="F654" s="183" t="s">
        <v>3391</v>
      </c>
      <c r="G654" s="125">
        <v>1.299443767649556</v>
      </c>
      <c r="H654" s="121" t="s">
        <v>1325</v>
      </c>
      <c r="I654" s="122">
        <v>57.222222222222214</v>
      </c>
      <c r="J654" s="106" t="s">
        <v>4656</v>
      </c>
      <c r="K654" s="118">
        <v>829</v>
      </c>
      <c r="L654" s="46">
        <v>2.3151750972762648</v>
      </c>
      <c r="M654" s="41">
        <v>1919.2801556420236</v>
      </c>
      <c r="N654" s="44">
        <v>45.973999999999997</v>
      </c>
      <c r="O654" s="41">
        <v>829</v>
      </c>
      <c r="P654" s="41">
        <v>10</v>
      </c>
      <c r="Q654" s="41">
        <v>50</v>
      </c>
      <c r="R654" s="45" t="s">
        <v>1324</v>
      </c>
      <c r="S654" s="45" t="s">
        <v>1324</v>
      </c>
      <c r="T654" s="45" t="s">
        <v>1307</v>
      </c>
      <c r="U654" s="44">
        <v>149.2456</v>
      </c>
      <c r="V654" s="44">
        <v>262.29399999999998</v>
      </c>
      <c r="W654" s="44">
        <v>40.267386326530598</v>
      </c>
      <c r="X654" s="44">
        <v>30.988171500000004</v>
      </c>
      <c r="Y654" s="130" t="s">
        <v>4482</v>
      </c>
      <c r="Z654" s="224"/>
    </row>
    <row r="655" spans="2:26" ht="15" customHeight="1" x14ac:dyDescent="0.35">
      <c r="B655" s="181">
        <v>63035</v>
      </c>
      <c r="C655" s="182" t="s">
        <v>638</v>
      </c>
      <c r="D655" s="222">
        <v>14</v>
      </c>
      <c r="E655" s="223" t="s">
        <v>3392</v>
      </c>
      <c r="F655" s="183" t="s">
        <v>3393</v>
      </c>
      <c r="G655" s="125">
        <v>1.8940424734604071</v>
      </c>
      <c r="H655" s="121" t="s">
        <v>1325</v>
      </c>
      <c r="I655" s="122">
        <v>63.543859649122822</v>
      </c>
      <c r="J655" s="106" t="s">
        <v>4656</v>
      </c>
      <c r="K655" s="118">
        <v>1274</v>
      </c>
      <c r="L655" s="46">
        <v>2.5229966808914179</v>
      </c>
      <c r="M655" s="41">
        <v>3214.2977714556664</v>
      </c>
      <c r="N655" s="44">
        <v>28.584</v>
      </c>
      <c r="O655" s="41">
        <v>1369</v>
      </c>
      <c r="P655" s="41">
        <v>3</v>
      </c>
      <c r="Q655" s="41">
        <v>35.15</v>
      </c>
      <c r="R655" s="45" t="s">
        <v>1324</v>
      </c>
      <c r="S655" s="45" t="s">
        <v>1324</v>
      </c>
      <c r="T655" s="45" t="s">
        <v>1307</v>
      </c>
      <c r="U655" s="44">
        <v>258.46600000000001</v>
      </c>
      <c r="V655" s="44">
        <v>357.39800000000002</v>
      </c>
      <c r="W655" s="44">
        <v>41.611160653061305</v>
      </c>
      <c r="X655" s="44">
        <v>21.96949711325</v>
      </c>
      <c r="Y655" s="130" t="s">
        <v>4483</v>
      </c>
      <c r="Z655" s="224" t="s">
        <v>1357</v>
      </c>
    </row>
    <row r="656" spans="2:26" ht="15" customHeight="1" x14ac:dyDescent="0.35">
      <c r="B656" s="181">
        <v>17065</v>
      </c>
      <c r="C656" s="182" t="s">
        <v>101</v>
      </c>
      <c r="D656" s="222">
        <v>12</v>
      </c>
      <c r="E656" s="223" t="s">
        <v>3397</v>
      </c>
      <c r="F656" s="183" t="s">
        <v>3398</v>
      </c>
      <c r="G656" s="125">
        <v>0.59328899105442068</v>
      </c>
      <c r="H656" s="121" t="s">
        <v>1336</v>
      </c>
      <c r="I656" s="122">
        <v>58.378378378378386</v>
      </c>
      <c r="J656" s="106" t="s">
        <v>4656</v>
      </c>
      <c r="K656" s="118">
        <v>197</v>
      </c>
      <c r="L656" s="46">
        <v>2.0219298245614037</v>
      </c>
      <c r="M656" s="41">
        <v>398.32017543859655</v>
      </c>
      <c r="N656" s="44">
        <v>4.95</v>
      </c>
      <c r="O656" s="41">
        <v>189</v>
      </c>
      <c r="P656" s="41">
        <v>15</v>
      </c>
      <c r="Q656" s="41">
        <v>52</v>
      </c>
      <c r="R656" s="45" t="s">
        <v>1307</v>
      </c>
      <c r="S656" s="45" t="s">
        <v>1307</v>
      </c>
      <c r="T656" s="45" t="s">
        <v>1307</v>
      </c>
      <c r="U656" s="44">
        <v>26.037634146341464</v>
      </c>
      <c r="V656" s="44">
        <v>31.065000000000001</v>
      </c>
      <c r="W656" s="44">
        <v>3.5040250000000008</v>
      </c>
      <c r="X656" s="44">
        <v>5.9061015000000001</v>
      </c>
      <c r="Y656" s="130" t="s">
        <v>4484</v>
      </c>
      <c r="Z656" s="224"/>
    </row>
    <row r="657" spans="2:26" ht="15" customHeight="1" x14ac:dyDescent="0.35">
      <c r="B657" s="181">
        <v>30100</v>
      </c>
      <c r="C657" s="182" t="s">
        <v>234</v>
      </c>
      <c r="D657" s="222">
        <v>5</v>
      </c>
      <c r="E657" s="223" t="s">
        <v>3401</v>
      </c>
      <c r="F657" s="183" t="s">
        <v>3402</v>
      </c>
      <c r="G657" s="125">
        <v>3.566342726623676</v>
      </c>
      <c r="H657" s="121" t="s">
        <v>1336</v>
      </c>
      <c r="I657" s="122">
        <v>47.852941176470587</v>
      </c>
      <c r="J657" s="106" t="s">
        <v>4656</v>
      </c>
      <c r="K657" s="118">
        <v>185</v>
      </c>
      <c r="L657" s="46">
        <v>2.1160714285714284</v>
      </c>
      <c r="M657" s="41">
        <v>391.47321428571428</v>
      </c>
      <c r="N657" s="44">
        <v>5.3310000000000004</v>
      </c>
      <c r="O657" s="41">
        <v>175</v>
      </c>
      <c r="P657" s="41">
        <v>10</v>
      </c>
      <c r="Q657" s="41">
        <v>44.006947678548933</v>
      </c>
      <c r="R657" s="45" t="s">
        <v>1307</v>
      </c>
      <c r="S657" s="45" t="s">
        <v>1307</v>
      </c>
      <c r="T657" s="45" t="s">
        <v>1307</v>
      </c>
      <c r="U657" s="44">
        <v>23.446999999999999</v>
      </c>
      <c r="V657" s="44">
        <v>51.862000000000002</v>
      </c>
      <c r="W657" s="44">
        <v>16.022935188172045</v>
      </c>
      <c r="X657" s="44">
        <v>4.4928197922641218</v>
      </c>
      <c r="Y657" s="130" t="s">
        <v>4485</v>
      </c>
      <c r="Z657" s="224"/>
    </row>
    <row r="658" spans="2:26" ht="15" customHeight="1" x14ac:dyDescent="0.35">
      <c r="B658" s="181">
        <v>39145</v>
      </c>
      <c r="C658" s="182" t="s">
        <v>355</v>
      </c>
      <c r="D658" s="222">
        <v>17</v>
      </c>
      <c r="E658" s="223" t="s">
        <v>3747</v>
      </c>
      <c r="F658" s="183" t="s">
        <v>3748</v>
      </c>
      <c r="G658" s="125">
        <v>1.7249800822802579</v>
      </c>
      <c r="H658" s="121" t="s">
        <v>1325</v>
      </c>
      <c r="I658" s="122">
        <v>44.729729729729726</v>
      </c>
      <c r="J658" s="106" t="s">
        <v>4656</v>
      </c>
      <c r="K658" s="118">
        <v>108</v>
      </c>
      <c r="L658" s="46">
        <v>2.352785145888594</v>
      </c>
      <c r="M658" s="41">
        <v>254.10079575596816</v>
      </c>
      <c r="N658" s="44">
        <v>3.5539999999999998</v>
      </c>
      <c r="O658" s="41">
        <v>112</v>
      </c>
      <c r="P658" s="41">
        <v>9</v>
      </c>
      <c r="Q658" s="41">
        <v>48</v>
      </c>
      <c r="R658" s="45" t="s">
        <v>1307</v>
      </c>
      <c r="S658" s="45" t="s">
        <v>1324</v>
      </c>
      <c r="T658" s="45" t="s">
        <v>1324</v>
      </c>
      <c r="U658" s="44">
        <v>31.910270000000001</v>
      </c>
      <c r="V658" s="44">
        <v>40.280999999999999</v>
      </c>
      <c r="W658" s="44">
        <v>5.4027849999999988</v>
      </c>
      <c r="X658" s="44">
        <v>3.1320854400000004</v>
      </c>
      <c r="Y658" s="130" t="s">
        <v>4486</v>
      </c>
      <c r="Z658" s="224" t="s">
        <v>4487</v>
      </c>
    </row>
    <row r="659" spans="2:26" ht="15" customHeight="1" x14ac:dyDescent="0.35">
      <c r="B659" s="181">
        <v>77043</v>
      </c>
      <c r="C659" s="182" t="s">
        <v>761</v>
      </c>
      <c r="D659" s="222">
        <v>15</v>
      </c>
      <c r="E659" s="223" t="s">
        <v>3407</v>
      </c>
      <c r="F659" s="183" t="s">
        <v>3408</v>
      </c>
      <c r="G659" s="125">
        <v>0.75696735669799964</v>
      </c>
      <c r="H659" s="121" t="s">
        <v>1336</v>
      </c>
      <c r="I659" s="122">
        <v>45.95945945945946</v>
      </c>
      <c r="J659" s="106" t="s">
        <v>4656</v>
      </c>
      <c r="K659" s="118">
        <v>137</v>
      </c>
      <c r="L659" s="46">
        <v>1.5692148760330578</v>
      </c>
      <c r="M659" s="41">
        <v>214.9824380165289</v>
      </c>
      <c r="N659" s="44">
        <v>3.6150000000000002</v>
      </c>
      <c r="O659" s="41">
        <v>148</v>
      </c>
      <c r="P659" s="41">
        <v>10</v>
      </c>
      <c r="Q659" s="41">
        <v>42.2</v>
      </c>
      <c r="R659" s="45" t="s">
        <v>1307</v>
      </c>
      <c r="S659" s="45" t="s">
        <v>1307</v>
      </c>
      <c r="T659" s="45" t="s">
        <v>1307</v>
      </c>
      <c r="U659" s="44">
        <v>19.849</v>
      </c>
      <c r="V659" s="44">
        <v>22.760999999999999</v>
      </c>
      <c r="W659" s="44">
        <v>2.5705849999999972</v>
      </c>
      <c r="X659" s="44">
        <v>3.3958994100000011</v>
      </c>
      <c r="Y659" s="130" t="s">
        <v>4488</v>
      </c>
      <c r="Z659" s="224" t="s">
        <v>3762</v>
      </c>
    </row>
    <row r="660" spans="2:26" ht="15" customHeight="1" x14ac:dyDescent="0.35">
      <c r="B660" s="181">
        <v>77043</v>
      </c>
      <c r="C660" s="182" t="s">
        <v>761</v>
      </c>
      <c r="D660" s="222">
        <v>15</v>
      </c>
      <c r="E660" s="223" t="s">
        <v>3406</v>
      </c>
      <c r="F660" s="183" t="s">
        <v>3409</v>
      </c>
      <c r="G660" s="125">
        <v>2.7243152547656093</v>
      </c>
      <c r="H660" s="121" t="s">
        <v>1336</v>
      </c>
      <c r="I660" s="122">
        <v>43.499999999999993</v>
      </c>
      <c r="J660" s="106" t="s">
        <v>4656</v>
      </c>
      <c r="K660" s="118">
        <v>4229</v>
      </c>
      <c r="L660" s="46">
        <v>1.5692148760330578</v>
      </c>
      <c r="M660" s="41">
        <v>6636.2097107438012</v>
      </c>
      <c r="N660" s="44">
        <v>59.523000000000003</v>
      </c>
      <c r="O660" s="41">
        <v>4624</v>
      </c>
      <c r="P660" s="41">
        <v>10</v>
      </c>
      <c r="Q660" s="41">
        <v>42.2</v>
      </c>
      <c r="R660" s="45" t="s">
        <v>1307</v>
      </c>
      <c r="S660" s="45" t="s">
        <v>1307</v>
      </c>
      <c r="T660" s="45" t="s">
        <v>1307</v>
      </c>
      <c r="U660" s="44">
        <v>635.15921126115813</v>
      </c>
      <c r="V660" s="44">
        <v>1307.925</v>
      </c>
      <c r="W660" s="44">
        <v>248.69629780612229</v>
      </c>
      <c r="X660" s="44">
        <v>91.287635441999996</v>
      </c>
      <c r="Y660" s="130" t="s">
        <v>4489</v>
      </c>
      <c r="Z660" s="224" t="s">
        <v>3762</v>
      </c>
    </row>
    <row r="661" spans="2:26" ht="15" customHeight="1" x14ac:dyDescent="0.35">
      <c r="B661" s="181">
        <v>30085</v>
      </c>
      <c r="C661" s="182" t="s">
        <v>231</v>
      </c>
      <c r="D661" s="222">
        <v>5</v>
      </c>
      <c r="E661" s="223" t="s">
        <v>3414</v>
      </c>
      <c r="F661" s="183" t="s">
        <v>3415</v>
      </c>
      <c r="G661" s="125">
        <v>0.40170009621030867</v>
      </c>
      <c r="H661" s="121" t="s">
        <v>1325</v>
      </c>
      <c r="I661" s="122">
        <v>69.929824561403521</v>
      </c>
      <c r="J661" s="106" t="s">
        <v>4656</v>
      </c>
      <c r="K661" s="118">
        <v>202</v>
      </c>
      <c r="L661" s="46">
        <v>2.3018999999999998</v>
      </c>
      <c r="M661" s="41">
        <v>464.98379999999997</v>
      </c>
      <c r="N661" s="44">
        <v>5.73</v>
      </c>
      <c r="O661" s="41">
        <v>239</v>
      </c>
      <c r="P661" s="41">
        <v>9.1440000000000001</v>
      </c>
      <c r="Q661" s="41">
        <v>53.726233608145598</v>
      </c>
      <c r="R661" s="45" t="s">
        <v>1324</v>
      </c>
      <c r="S661" s="45" t="s">
        <v>1307</v>
      </c>
      <c r="T661" s="45" t="s">
        <v>1324</v>
      </c>
      <c r="U661" s="44">
        <v>30.117000000000001</v>
      </c>
      <c r="V661" s="44">
        <v>55.387</v>
      </c>
      <c r="W661" s="44">
        <v>2.7490080401002555</v>
      </c>
      <c r="X661" s="44">
        <v>6.8434338603220599</v>
      </c>
      <c r="Y661" s="130" t="s">
        <v>4490</v>
      </c>
      <c r="Z661" s="224"/>
    </row>
    <row r="662" spans="2:26" ht="15" customHeight="1" x14ac:dyDescent="0.35">
      <c r="B662" s="181">
        <v>51030</v>
      </c>
      <c r="C662" s="182" t="s">
        <v>502</v>
      </c>
      <c r="D662" s="222">
        <v>4</v>
      </c>
      <c r="E662" s="223" t="s">
        <v>3750</v>
      </c>
      <c r="F662" s="183" t="s">
        <v>3751</v>
      </c>
      <c r="G662" s="125">
        <v>2.001876865899793</v>
      </c>
      <c r="H662" s="121" t="s">
        <v>1336</v>
      </c>
      <c r="I662" s="122">
        <v>54</v>
      </c>
      <c r="J662" s="106" t="s">
        <v>4656</v>
      </c>
      <c r="K662" s="118">
        <v>141</v>
      </c>
      <c r="L662" s="46">
        <v>2.1610738255033559</v>
      </c>
      <c r="M662" s="41">
        <v>304.71140939597319</v>
      </c>
      <c r="N662" s="44">
        <v>24.15</v>
      </c>
      <c r="O662" s="41">
        <v>182</v>
      </c>
      <c r="P662" s="41">
        <v>15</v>
      </c>
      <c r="Q662" s="41">
        <v>58</v>
      </c>
      <c r="R662" s="45" t="s">
        <v>1307</v>
      </c>
      <c r="S662" s="45" t="s">
        <v>1307</v>
      </c>
      <c r="T662" s="45" t="s">
        <v>1307</v>
      </c>
      <c r="U662" s="44">
        <v>31.478869005494509</v>
      </c>
      <c r="V662" s="44">
        <v>69.155000000000001</v>
      </c>
      <c r="W662" s="44">
        <v>27.485376000000002</v>
      </c>
      <c r="X662" s="44">
        <v>13.729803499999997</v>
      </c>
      <c r="Y662" s="130" t="s">
        <v>4491</v>
      </c>
      <c r="Z662" s="224" t="s">
        <v>4492</v>
      </c>
    </row>
    <row r="663" spans="2:26" ht="15" customHeight="1" x14ac:dyDescent="0.35">
      <c r="B663" s="181">
        <v>35020</v>
      </c>
      <c r="C663" s="182" t="s">
        <v>306</v>
      </c>
      <c r="D663" s="222">
        <v>4</v>
      </c>
      <c r="E663" s="223" t="s">
        <v>3418</v>
      </c>
      <c r="F663" s="183" t="s">
        <v>3419</v>
      </c>
      <c r="G663" s="125">
        <v>4.529542986988683</v>
      </c>
      <c r="H663" s="121" t="s">
        <v>1336</v>
      </c>
      <c r="I663" s="122">
        <v>60</v>
      </c>
      <c r="J663" s="106" t="s">
        <v>4656</v>
      </c>
      <c r="K663" s="118">
        <v>346</v>
      </c>
      <c r="L663" s="46">
        <v>1.7875000000000001</v>
      </c>
      <c r="M663" s="41">
        <v>618.47500000000002</v>
      </c>
      <c r="N663" s="44">
        <v>15.53</v>
      </c>
      <c r="O663" s="41">
        <v>373</v>
      </c>
      <c r="P663" s="41">
        <v>7.6</v>
      </c>
      <c r="Q663" s="41">
        <v>39</v>
      </c>
      <c r="R663" s="45" t="s">
        <v>1307</v>
      </c>
      <c r="S663" s="45" t="s">
        <v>1307</v>
      </c>
      <c r="T663" s="45" t="s">
        <v>1307</v>
      </c>
      <c r="U663" s="44">
        <v>38.802999999999997</v>
      </c>
      <c r="V663" s="44">
        <v>88.064999999999998</v>
      </c>
      <c r="W663" s="44">
        <v>41.833999999999996</v>
      </c>
      <c r="X663" s="44">
        <v>9.2358103500000013</v>
      </c>
      <c r="Y663" s="130" t="s">
        <v>4493</v>
      </c>
      <c r="Z663" s="224"/>
    </row>
    <row r="664" spans="2:26" ht="15" customHeight="1" x14ac:dyDescent="0.35">
      <c r="B664" s="181">
        <v>15058</v>
      </c>
      <c r="C664" s="182" t="s">
        <v>82</v>
      </c>
      <c r="D664" s="222">
        <v>3</v>
      </c>
      <c r="E664" s="223" t="s">
        <v>3421</v>
      </c>
      <c r="F664" s="183" t="s">
        <v>3422</v>
      </c>
      <c r="G664" s="125">
        <v>2.8739690657342272</v>
      </c>
      <c r="H664" s="121" t="s">
        <v>1336</v>
      </c>
      <c r="I664" s="122">
        <v>55.588235294117645</v>
      </c>
      <c r="J664" s="106" t="s">
        <v>4656</v>
      </c>
      <c r="K664" s="118">
        <v>45</v>
      </c>
      <c r="L664" s="46">
        <v>2.0372340425531914</v>
      </c>
      <c r="M664" s="41">
        <v>91.675531914893611</v>
      </c>
      <c r="N664" s="44">
        <v>2.0710000000000002</v>
      </c>
      <c r="O664" s="41">
        <v>45</v>
      </c>
      <c r="P664" s="41">
        <v>6</v>
      </c>
      <c r="Q664" s="41">
        <v>42.18</v>
      </c>
      <c r="R664" s="45" t="s">
        <v>1307</v>
      </c>
      <c r="S664" s="45" t="s">
        <v>1307</v>
      </c>
      <c r="T664" s="45" t="s">
        <v>1307</v>
      </c>
      <c r="U664" s="44">
        <v>7.7619999999999996</v>
      </c>
      <c r="V664" s="44">
        <v>11.85</v>
      </c>
      <c r="W664" s="44">
        <v>3.5409801530612248</v>
      </c>
      <c r="X664" s="44">
        <v>1.2320870796000001</v>
      </c>
      <c r="Y664" s="130" t="s">
        <v>4494</v>
      </c>
      <c r="Z664" s="224"/>
    </row>
    <row r="665" spans="2:26" ht="15" customHeight="1" x14ac:dyDescent="0.35">
      <c r="B665" s="181">
        <v>15058</v>
      </c>
      <c r="C665" s="182" t="s">
        <v>82</v>
      </c>
      <c r="D665" s="222">
        <v>3</v>
      </c>
      <c r="E665" s="223" t="s">
        <v>3423</v>
      </c>
      <c r="F665" s="183" t="s">
        <v>3424</v>
      </c>
      <c r="G665" s="125">
        <v>2.6028083889162383</v>
      </c>
      <c r="H665" s="121" t="s">
        <v>1336</v>
      </c>
      <c r="I665" s="122">
        <v>60.578947368421055</v>
      </c>
      <c r="J665" s="106" t="s">
        <v>4656</v>
      </c>
      <c r="K665" s="118">
        <v>419</v>
      </c>
      <c r="L665" s="46">
        <v>2.0372340425531914</v>
      </c>
      <c r="M665" s="41">
        <v>853.60106382978722</v>
      </c>
      <c r="N665" s="44">
        <v>12.22</v>
      </c>
      <c r="O665" s="41">
        <v>395</v>
      </c>
      <c r="P665" s="41">
        <v>5</v>
      </c>
      <c r="Q665" s="41">
        <v>54.24</v>
      </c>
      <c r="R665" s="45" t="s">
        <v>1307</v>
      </c>
      <c r="S665" s="45" t="s">
        <v>1307</v>
      </c>
      <c r="T665" s="45" t="s">
        <v>1307</v>
      </c>
      <c r="U665" s="44">
        <v>74.14</v>
      </c>
      <c r="V665" s="44">
        <v>157.989</v>
      </c>
      <c r="W665" s="44">
        <v>30.161937561224494</v>
      </c>
      <c r="X665" s="44">
        <v>11.588228196000003</v>
      </c>
      <c r="Y665" s="130" t="s">
        <v>4495</v>
      </c>
      <c r="Z665" s="224"/>
    </row>
    <row r="666" spans="2:26" ht="15" customHeight="1" x14ac:dyDescent="0.35">
      <c r="B666" s="181">
        <v>5055</v>
      </c>
      <c r="C666" s="182" t="s">
        <v>1052</v>
      </c>
      <c r="D666" s="222">
        <v>11</v>
      </c>
      <c r="E666" s="223" t="s">
        <v>3423</v>
      </c>
      <c r="F666" s="183" t="s">
        <v>3426</v>
      </c>
      <c r="G666" s="125">
        <v>2.3016816189521645</v>
      </c>
      <c r="H666" s="121" t="s">
        <v>1336</v>
      </c>
      <c r="I666" s="122">
        <v>59.081081081081081</v>
      </c>
      <c r="J666" s="106" t="s">
        <v>4656</v>
      </c>
      <c r="K666" s="118">
        <v>434</v>
      </c>
      <c r="L666" s="46">
        <v>1.8558139534883722</v>
      </c>
      <c r="M666" s="41">
        <v>805.42325581395357</v>
      </c>
      <c r="N666" s="44">
        <v>12.895</v>
      </c>
      <c r="O666" s="41">
        <v>405</v>
      </c>
      <c r="P666" s="41">
        <v>18.288</v>
      </c>
      <c r="Q666" s="41">
        <v>42</v>
      </c>
      <c r="R666" s="45" t="s">
        <v>1307</v>
      </c>
      <c r="S666" s="45" t="s">
        <v>1307</v>
      </c>
      <c r="T666" s="45" t="s">
        <v>1307</v>
      </c>
      <c r="U666" s="44">
        <v>55.390424242424245</v>
      </c>
      <c r="V666" s="44">
        <v>86.415999999999997</v>
      </c>
      <c r="W666" s="44">
        <v>26.155760000000001</v>
      </c>
      <c r="X666" s="44">
        <v>11.363761080000002</v>
      </c>
      <c r="Y666" s="130" t="s">
        <v>4496</v>
      </c>
      <c r="Z666" s="224"/>
    </row>
    <row r="667" spans="2:26" ht="15" customHeight="1" x14ac:dyDescent="0.35">
      <c r="B667" s="181">
        <v>11055</v>
      </c>
      <c r="C667" s="182" t="s">
        <v>27</v>
      </c>
      <c r="D667" s="222">
        <v>1</v>
      </c>
      <c r="E667" s="223" t="s">
        <v>1412</v>
      </c>
      <c r="F667" s="183" t="s">
        <v>3428</v>
      </c>
      <c r="G667" s="125">
        <v>0.95979373062581708</v>
      </c>
      <c r="H667" s="121" t="s">
        <v>1325</v>
      </c>
      <c r="I667" s="122">
        <v>59.081081081081081</v>
      </c>
      <c r="J667" s="106" t="s">
        <v>4656</v>
      </c>
      <c r="K667" s="118">
        <v>116</v>
      </c>
      <c r="L667" s="46">
        <v>2.7229601518026567</v>
      </c>
      <c r="M667" s="41">
        <v>315.86337760910817</v>
      </c>
      <c r="N667" s="44">
        <v>3.6419999999999999</v>
      </c>
      <c r="O667" s="41">
        <v>126</v>
      </c>
      <c r="P667" s="41">
        <v>10</v>
      </c>
      <c r="Q667" s="41">
        <v>45.5</v>
      </c>
      <c r="R667" s="45" t="s">
        <v>1307</v>
      </c>
      <c r="S667" s="45" t="s">
        <v>1324</v>
      </c>
      <c r="T667" s="45" t="s">
        <v>1324</v>
      </c>
      <c r="U667" s="44">
        <v>20.989555555555555</v>
      </c>
      <c r="V667" s="44">
        <v>26.347999999999999</v>
      </c>
      <c r="W667" s="44">
        <v>3.153779999999998</v>
      </c>
      <c r="X667" s="44">
        <v>3.2858935200000001</v>
      </c>
      <c r="Y667" s="130" t="s">
        <v>4497</v>
      </c>
      <c r="Z667" s="224"/>
    </row>
    <row r="668" spans="2:26" ht="15" customHeight="1" x14ac:dyDescent="0.35">
      <c r="B668" s="181">
        <v>54090</v>
      </c>
      <c r="C668" s="182" t="s">
        <v>551</v>
      </c>
      <c r="D668" s="222">
        <v>16</v>
      </c>
      <c r="E668" s="223" t="s">
        <v>3431</v>
      </c>
      <c r="F668" s="183" t="s">
        <v>3432</v>
      </c>
      <c r="G668" s="125">
        <v>1.2372844629982147</v>
      </c>
      <c r="H668" s="121" t="s">
        <v>1336</v>
      </c>
      <c r="I668" s="122">
        <v>68</v>
      </c>
      <c r="J668" s="106" t="s">
        <v>4656</v>
      </c>
      <c r="K668" s="118">
        <v>250</v>
      </c>
      <c r="L668" s="46">
        <v>2.72</v>
      </c>
      <c r="M668" s="41">
        <v>680</v>
      </c>
      <c r="N668" s="44">
        <v>9.3569999999999993</v>
      </c>
      <c r="O668" s="41">
        <v>221</v>
      </c>
      <c r="P668" s="41">
        <v>5</v>
      </c>
      <c r="Q668" s="41">
        <v>49.21</v>
      </c>
      <c r="R668" s="45" t="s">
        <v>1307</v>
      </c>
      <c r="S668" s="45" t="s">
        <v>1307</v>
      </c>
      <c r="T668" s="45" t="s">
        <v>1307</v>
      </c>
      <c r="U668" s="44">
        <v>43.369500000000002</v>
      </c>
      <c r="V668" s="44">
        <v>82.013000000000005</v>
      </c>
      <c r="W668" s="44">
        <v>8.2861177602040854</v>
      </c>
      <c r="X668" s="44">
        <v>6.6970191641499994</v>
      </c>
      <c r="Y668" s="130" t="s">
        <v>4498</v>
      </c>
      <c r="Z668" s="224"/>
    </row>
    <row r="669" spans="2:26" ht="15" customHeight="1" x14ac:dyDescent="0.35">
      <c r="B669" s="181">
        <v>92070</v>
      </c>
      <c r="C669" s="182" t="s">
        <v>957</v>
      </c>
      <c r="D669" s="222">
        <v>2</v>
      </c>
      <c r="E669" s="223" t="s">
        <v>3434</v>
      </c>
      <c r="F669" s="183" t="s">
        <v>3435</v>
      </c>
      <c r="G669" s="125">
        <v>4.4316356349145378</v>
      </c>
      <c r="H669" s="121" t="s">
        <v>1336</v>
      </c>
      <c r="I669" s="122">
        <v>51</v>
      </c>
      <c r="J669" s="106" t="s">
        <v>4656</v>
      </c>
      <c r="K669" s="118">
        <v>47</v>
      </c>
      <c r="L669" s="46">
        <v>2.2999999999999998</v>
      </c>
      <c r="M669" s="41">
        <v>108.1</v>
      </c>
      <c r="N669" s="44">
        <v>2.8580000000000001</v>
      </c>
      <c r="O669" s="41">
        <v>43</v>
      </c>
      <c r="P669" s="41">
        <v>5</v>
      </c>
      <c r="Q669" s="41">
        <v>49</v>
      </c>
      <c r="R669" s="45" t="s">
        <v>1307</v>
      </c>
      <c r="S669" s="45" t="s">
        <v>1307</v>
      </c>
      <c r="T669" s="45" t="s">
        <v>1307</v>
      </c>
      <c r="U669" s="44">
        <v>6.3220000000000001</v>
      </c>
      <c r="V669" s="44">
        <v>15.686999999999999</v>
      </c>
      <c r="W669" s="44">
        <v>7.2299999999999995</v>
      </c>
      <c r="X669" s="44">
        <v>1.6314518149999999</v>
      </c>
      <c r="Y669" s="130" t="s">
        <v>4499</v>
      </c>
      <c r="Z669" s="224"/>
    </row>
    <row r="670" spans="2:26" ht="15" customHeight="1" x14ac:dyDescent="0.35">
      <c r="B670" s="181">
        <v>37245</v>
      </c>
      <c r="C670" s="182" t="s">
        <v>323</v>
      </c>
      <c r="D670" s="222">
        <v>4</v>
      </c>
      <c r="E670" s="223" t="s">
        <v>3439</v>
      </c>
      <c r="F670" s="183" t="s">
        <v>3440</v>
      </c>
      <c r="G670" s="125">
        <v>2.1923998757515255</v>
      </c>
      <c r="H670" s="121" t="s">
        <v>1336</v>
      </c>
      <c r="I670" s="122">
        <v>70</v>
      </c>
      <c r="J670" s="106" t="s">
        <v>4656</v>
      </c>
      <c r="K670" s="118">
        <v>418</v>
      </c>
      <c r="L670" s="46">
        <v>1.9617486338797814</v>
      </c>
      <c r="M670" s="41">
        <v>820.01092896174862</v>
      </c>
      <c r="N670" s="44">
        <v>18.579999999999998</v>
      </c>
      <c r="O670" s="41">
        <v>385</v>
      </c>
      <c r="P670" s="41">
        <v>6</v>
      </c>
      <c r="Q670" s="41">
        <v>45.5</v>
      </c>
      <c r="R670" s="45" t="s">
        <v>1307</v>
      </c>
      <c r="S670" s="45" t="s">
        <v>1307</v>
      </c>
      <c r="T670" s="45" t="s">
        <v>1307</v>
      </c>
      <c r="U670" s="44">
        <v>41.819000000000003</v>
      </c>
      <c r="V670" s="44">
        <v>98.318724137931</v>
      </c>
      <c r="W670" s="44">
        <v>25.494114608958363</v>
      </c>
      <c r="X670" s="44">
        <v>11.628405424999999</v>
      </c>
      <c r="Y670" s="130" t="s">
        <v>4500</v>
      </c>
      <c r="Z670" s="224"/>
    </row>
    <row r="671" spans="2:26" ht="15" customHeight="1" x14ac:dyDescent="0.35">
      <c r="B671" s="181">
        <v>60020</v>
      </c>
      <c r="C671" s="182" t="s">
        <v>607</v>
      </c>
      <c r="D671" s="222">
        <v>14</v>
      </c>
      <c r="E671" s="223" t="s">
        <v>3443</v>
      </c>
      <c r="F671" s="183" t="s">
        <v>3444</v>
      </c>
      <c r="G671" s="125">
        <v>5.3040008988361436</v>
      </c>
      <c r="H671" s="121" t="s">
        <v>1325</v>
      </c>
      <c r="I671" s="122">
        <v>60.669753636227398</v>
      </c>
      <c r="J671" s="106" t="s">
        <v>4656</v>
      </c>
      <c r="K671" s="118">
        <v>1531</v>
      </c>
      <c r="L671" s="46">
        <v>2.2821881254169445</v>
      </c>
      <c r="M671" s="41">
        <v>3494.030020013342</v>
      </c>
      <c r="N671" s="44">
        <v>27.4</v>
      </c>
      <c r="O671" s="41">
        <v>1225</v>
      </c>
      <c r="P671" s="41">
        <v>8</v>
      </c>
      <c r="Q671" s="41">
        <v>52.7</v>
      </c>
      <c r="R671" s="45" t="s">
        <v>1324</v>
      </c>
      <c r="S671" s="45" t="s">
        <v>1324</v>
      </c>
      <c r="T671" s="45" t="s">
        <v>1324</v>
      </c>
      <c r="U671" s="44">
        <v>268.77100000000002</v>
      </c>
      <c r="V671" s="44">
        <v>506.92696899999999</v>
      </c>
      <c r="W671" s="44">
        <v>175.29954278132655</v>
      </c>
      <c r="X671" s="44">
        <v>33.050436100000006</v>
      </c>
      <c r="Y671" s="130" t="s">
        <v>4501</v>
      </c>
      <c r="Z671" s="224"/>
    </row>
    <row r="672" spans="2:26" ht="15" customHeight="1" x14ac:dyDescent="0.35">
      <c r="B672" s="181">
        <v>38005</v>
      </c>
      <c r="C672" s="182" t="s">
        <v>325</v>
      </c>
      <c r="D672" s="222">
        <v>17</v>
      </c>
      <c r="E672" s="223" t="s">
        <v>3447</v>
      </c>
      <c r="F672" s="183" t="s">
        <v>3448</v>
      </c>
      <c r="G672" s="125">
        <v>1.7412511959590635</v>
      </c>
      <c r="H672" s="121" t="s">
        <v>1325</v>
      </c>
      <c r="I672" s="122">
        <v>54.316326530612223</v>
      </c>
      <c r="J672" s="106" t="s">
        <v>4656</v>
      </c>
      <c r="K672" s="118">
        <v>108</v>
      </c>
      <c r="L672" s="46">
        <v>2.0558510638297873</v>
      </c>
      <c r="M672" s="41">
        <v>222.03191489361703</v>
      </c>
      <c r="N672" s="44">
        <v>1.962</v>
      </c>
      <c r="O672" s="41">
        <v>110</v>
      </c>
      <c r="P672" s="41">
        <v>6</v>
      </c>
      <c r="Q672" s="41">
        <v>42</v>
      </c>
      <c r="R672" s="45" t="s">
        <v>1324</v>
      </c>
      <c r="S672" s="45" t="s">
        <v>1324</v>
      </c>
      <c r="T672" s="45" t="s">
        <v>1307</v>
      </c>
      <c r="U672" s="44">
        <v>13.51</v>
      </c>
      <c r="V672" s="44">
        <v>19.645</v>
      </c>
      <c r="W672" s="44">
        <v>3.7321617346938765</v>
      </c>
      <c r="X672" s="44">
        <v>2.14337928</v>
      </c>
      <c r="Y672" s="130" t="s">
        <v>4502</v>
      </c>
      <c r="Z672" s="224"/>
    </row>
    <row r="673" spans="2:26" ht="15" customHeight="1" x14ac:dyDescent="0.35">
      <c r="B673" s="181">
        <v>7070</v>
      </c>
      <c r="C673" s="182" t="s">
        <v>1078</v>
      </c>
      <c r="D673" s="222">
        <v>1</v>
      </c>
      <c r="E673" s="223" t="s">
        <v>3450</v>
      </c>
      <c r="F673" s="183" t="s">
        <v>3286</v>
      </c>
      <c r="G673" s="125">
        <v>1.1825795888459918</v>
      </c>
      <c r="H673" s="121" t="s">
        <v>1336</v>
      </c>
      <c r="I673" s="122">
        <v>59.081081081081081</v>
      </c>
      <c r="J673" s="106" t="s">
        <v>4656</v>
      </c>
      <c r="K673" s="118">
        <v>97</v>
      </c>
      <c r="L673" s="46">
        <v>2.1243781094527363</v>
      </c>
      <c r="M673" s="41">
        <v>206.06467661691542</v>
      </c>
      <c r="N673" s="44">
        <v>3.5739999999999998</v>
      </c>
      <c r="O673" s="41">
        <v>91</v>
      </c>
      <c r="P673" s="41">
        <v>10</v>
      </c>
      <c r="Q673" s="41">
        <v>35</v>
      </c>
      <c r="R673" s="45" t="s">
        <v>1307</v>
      </c>
      <c r="S673" s="45" t="s">
        <v>1307</v>
      </c>
      <c r="T673" s="45" t="s">
        <v>1307</v>
      </c>
      <c r="U673" s="44">
        <v>7.6199905660377363</v>
      </c>
      <c r="V673" s="44">
        <v>10.906000000000001</v>
      </c>
      <c r="W673" s="44">
        <v>2.4154100000000014</v>
      </c>
      <c r="X673" s="44">
        <v>2.04249255</v>
      </c>
      <c r="Y673" s="130" t="s">
        <v>4503</v>
      </c>
      <c r="Z673" s="224"/>
    </row>
    <row r="674" spans="2:26" ht="15" customHeight="1" x14ac:dyDescent="0.35">
      <c r="B674" s="181">
        <v>61027</v>
      </c>
      <c r="C674" s="182" t="s">
        <v>613</v>
      </c>
      <c r="D674" s="222">
        <v>14</v>
      </c>
      <c r="E674" s="223" t="s">
        <v>3452</v>
      </c>
      <c r="F674" s="183" t="s">
        <v>3453</v>
      </c>
      <c r="G674" s="125">
        <v>0.2965396484715877</v>
      </c>
      <c r="H674" s="121" t="s">
        <v>1336</v>
      </c>
      <c r="I674" s="122">
        <v>77</v>
      </c>
      <c r="J674" s="106" t="s">
        <v>4656</v>
      </c>
      <c r="K674" s="118">
        <v>1194</v>
      </c>
      <c r="L674" s="46">
        <v>2.4132867132867131</v>
      </c>
      <c r="M674" s="41">
        <v>2881.4643356643355</v>
      </c>
      <c r="N674" s="44">
        <v>29.056000000000001</v>
      </c>
      <c r="O674" s="41">
        <v>993</v>
      </c>
      <c r="P674" s="41">
        <v>15</v>
      </c>
      <c r="Q674" s="41">
        <v>50</v>
      </c>
      <c r="R674" s="45" t="s">
        <v>1307</v>
      </c>
      <c r="S674" s="45" t="s">
        <v>1307</v>
      </c>
      <c r="T674" s="45" t="s">
        <v>1307</v>
      </c>
      <c r="U674" s="44">
        <v>197.34399999999999</v>
      </c>
      <c r="V674" s="44">
        <v>273.73500000000001</v>
      </c>
      <c r="W674" s="44">
        <v>9.1448497368420849</v>
      </c>
      <c r="X674" s="44">
        <v>30.838539750000002</v>
      </c>
      <c r="Y674" s="130" t="s">
        <v>4504</v>
      </c>
      <c r="Z674" s="224"/>
    </row>
    <row r="675" spans="2:26" ht="15" customHeight="1" x14ac:dyDescent="0.35">
      <c r="B675" s="181">
        <v>92045</v>
      </c>
      <c r="C675" s="182" t="s">
        <v>952</v>
      </c>
      <c r="D675" s="222">
        <v>2</v>
      </c>
      <c r="E675" s="223" t="s">
        <v>3455</v>
      </c>
      <c r="F675" s="183" t="s">
        <v>3456</v>
      </c>
      <c r="G675" s="125">
        <v>3.0484625616015677</v>
      </c>
      <c r="H675" s="121" t="s">
        <v>1336</v>
      </c>
      <c r="I675" s="122">
        <v>59.081081081081081</v>
      </c>
      <c r="J675" s="106" t="s">
        <v>4656</v>
      </c>
      <c r="K675" s="118">
        <v>317</v>
      </c>
      <c r="L675" s="46">
        <v>2.13</v>
      </c>
      <c r="M675" s="41">
        <v>675.20999999999992</v>
      </c>
      <c r="N675" s="44">
        <v>5.1589999999999998</v>
      </c>
      <c r="O675" s="41">
        <v>269</v>
      </c>
      <c r="P675" s="41">
        <v>7</v>
      </c>
      <c r="Q675" s="41">
        <v>59.499999999999993</v>
      </c>
      <c r="R675" s="45" t="s">
        <v>1307</v>
      </c>
      <c r="S675" s="45" t="s">
        <v>1307</v>
      </c>
      <c r="T675" s="45" t="s">
        <v>1307</v>
      </c>
      <c r="U675" s="44">
        <v>58.88</v>
      </c>
      <c r="V675" s="44">
        <v>84.591999999999999</v>
      </c>
      <c r="W675" s="44">
        <v>23.511839999999999</v>
      </c>
      <c r="X675" s="44">
        <v>7.7126877974999983</v>
      </c>
      <c r="Y675" s="130" t="s">
        <v>4505</v>
      </c>
      <c r="Z675" s="224"/>
    </row>
    <row r="676" spans="2:26" ht="15" customHeight="1" x14ac:dyDescent="0.35">
      <c r="B676" s="181">
        <v>34085</v>
      </c>
      <c r="C676" s="182" t="s">
        <v>295</v>
      </c>
      <c r="D676" s="222">
        <v>3</v>
      </c>
      <c r="E676" s="223" t="s">
        <v>2676</v>
      </c>
      <c r="F676" s="183" t="s">
        <v>2677</v>
      </c>
      <c r="G676" s="125">
        <v>0.6</v>
      </c>
      <c r="H676" s="121" t="s">
        <v>1336</v>
      </c>
      <c r="I676" s="122">
        <v>62</v>
      </c>
      <c r="J676" s="106" t="s">
        <v>4656</v>
      </c>
      <c r="K676" s="118"/>
      <c r="L676" s="46"/>
      <c r="M676" s="41"/>
      <c r="N676" s="44"/>
      <c r="O676" s="41"/>
      <c r="P676" s="41"/>
      <c r="Q676" s="41"/>
      <c r="R676" s="45"/>
      <c r="S676" s="45"/>
      <c r="T676" s="45"/>
      <c r="U676" s="44"/>
      <c r="V676" s="44"/>
      <c r="W676" s="44" t="s">
        <v>1124</v>
      </c>
      <c r="X676" s="44"/>
      <c r="Y676" s="130" t="s">
        <v>4506</v>
      </c>
      <c r="Z676" s="224"/>
    </row>
    <row r="677" spans="2:26" ht="15" customHeight="1" x14ac:dyDescent="0.35">
      <c r="B677" s="181">
        <v>34085</v>
      </c>
      <c r="C677" s="182" t="s">
        <v>295</v>
      </c>
      <c r="D677" s="222">
        <v>3</v>
      </c>
      <c r="E677" s="223" t="s">
        <v>3459</v>
      </c>
      <c r="F677" s="183" t="s">
        <v>2679</v>
      </c>
      <c r="G677" s="125">
        <v>0.5</v>
      </c>
      <c r="H677" s="121" t="s">
        <v>1336</v>
      </c>
      <c r="I677" s="122">
        <v>66</v>
      </c>
      <c r="J677" s="106" t="s">
        <v>4656</v>
      </c>
      <c r="K677" s="118"/>
      <c r="L677" s="46"/>
      <c r="M677" s="41"/>
      <c r="N677" s="44"/>
      <c r="O677" s="41"/>
      <c r="P677" s="41"/>
      <c r="Q677" s="41"/>
      <c r="R677" s="45"/>
      <c r="S677" s="45"/>
      <c r="T677" s="45"/>
      <c r="U677" s="44"/>
      <c r="V677" s="44"/>
      <c r="W677" s="44" t="s">
        <v>1124</v>
      </c>
      <c r="X677" s="44"/>
      <c r="Y677" s="130" t="s">
        <v>4507</v>
      </c>
      <c r="Z677" s="224"/>
    </row>
    <row r="678" spans="2:26" ht="15" customHeight="1" x14ac:dyDescent="0.35">
      <c r="B678" s="181">
        <v>35027</v>
      </c>
      <c r="C678" s="182" t="s">
        <v>307</v>
      </c>
      <c r="D678" s="222">
        <v>4</v>
      </c>
      <c r="E678" s="223" t="s">
        <v>3463</v>
      </c>
      <c r="F678" s="183" t="s">
        <v>3464</v>
      </c>
      <c r="G678" s="125">
        <v>5.8699238580775042</v>
      </c>
      <c r="H678" s="121" t="s">
        <v>1336</v>
      </c>
      <c r="I678" s="122">
        <v>37</v>
      </c>
      <c r="J678" s="106" t="s">
        <v>4656</v>
      </c>
      <c r="K678" s="118">
        <v>1792</v>
      </c>
      <c r="L678" s="46">
        <v>1.9272070211667527</v>
      </c>
      <c r="M678" s="41">
        <v>3453.5549819308208</v>
      </c>
      <c r="N678" s="44">
        <v>47.418999999999997</v>
      </c>
      <c r="O678" s="41">
        <v>1884</v>
      </c>
      <c r="P678" s="41">
        <v>5</v>
      </c>
      <c r="Q678" s="41">
        <v>56</v>
      </c>
      <c r="R678" s="45" t="s">
        <v>1307</v>
      </c>
      <c r="S678" s="45" t="s">
        <v>1307</v>
      </c>
      <c r="T678" s="45" t="s">
        <v>1307</v>
      </c>
      <c r="U678" s="44">
        <v>291.57378558763878</v>
      </c>
      <c r="V678" s="44">
        <v>658.34500000000003</v>
      </c>
      <c r="W678" s="44">
        <v>311.50034400000004</v>
      </c>
      <c r="X678" s="44">
        <v>53.067186480000011</v>
      </c>
      <c r="Y678" s="130" t="s">
        <v>4508</v>
      </c>
      <c r="Z678" s="224"/>
    </row>
    <row r="679" spans="2:26" ht="15" customHeight="1" x14ac:dyDescent="0.35">
      <c r="B679" s="181">
        <v>21005</v>
      </c>
      <c r="C679" s="182" t="s">
        <v>144</v>
      </c>
      <c r="D679" s="222">
        <v>3</v>
      </c>
      <c r="E679" s="223" t="s">
        <v>3467</v>
      </c>
      <c r="F679" s="183" t="s">
        <v>3468</v>
      </c>
      <c r="G679" s="125">
        <v>0.74776640859435883</v>
      </c>
      <c r="H679" s="121" t="s">
        <v>1336</v>
      </c>
      <c r="I679" s="122">
        <v>59.081081081081081</v>
      </c>
      <c r="J679" s="106" t="s">
        <v>4656</v>
      </c>
      <c r="K679" s="118">
        <v>329</v>
      </c>
      <c r="L679" s="46">
        <v>1.9075520833333333</v>
      </c>
      <c r="M679" s="41">
        <v>627.58463541666663</v>
      </c>
      <c r="N679" s="44">
        <v>6.3760000000000003</v>
      </c>
      <c r="O679" s="41">
        <v>265</v>
      </c>
      <c r="P679" s="41">
        <v>10</v>
      </c>
      <c r="Q679" s="41">
        <v>49</v>
      </c>
      <c r="R679" s="45" t="s">
        <v>1307</v>
      </c>
      <c r="S679" s="45" t="s">
        <v>1307</v>
      </c>
      <c r="T679" s="45" t="s">
        <v>1307</v>
      </c>
      <c r="U679" s="44">
        <v>58.275451612903225</v>
      </c>
      <c r="V679" s="44">
        <v>66.656999999999996</v>
      </c>
      <c r="W679" s="44">
        <v>5.2561449999999912</v>
      </c>
      <c r="X679" s="44">
        <v>7.0291269300000003</v>
      </c>
      <c r="Y679" s="130" t="s">
        <v>4509</v>
      </c>
      <c r="Z679" s="224" t="s">
        <v>3760</v>
      </c>
    </row>
    <row r="680" spans="2:26" ht="15" customHeight="1" x14ac:dyDescent="0.35">
      <c r="B680" s="181">
        <v>8073</v>
      </c>
      <c r="C680" s="182" t="s">
        <v>1095</v>
      </c>
      <c r="D680" s="222">
        <v>1</v>
      </c>
      <c r="E680" s="223" t="s">
        <v>3470</v>
      </c>
      <c r="F680" s="183" t="s">
        <v>3471</v>
      </c>
      <c r="G680" s="125">
        <v>1.4117993171808405</v>
      </c>
      <c r="H680" s="121" t="s">
        <v>1336</v>
      </c>
      <c r="I680" s="122">
        <v>59.081081081081081</v>
      </c>
      <c r="J680" s="106" t="s">
        <v>4656</v>
      </c>
      <c r="K680" s="118">
        <v>372</v>
      </c>
      <c r="L680" s="46">
        <v>1.9356435643564356</v>
      </c>
      <c r="M680" s="41">
        <v>720.05940594059405</v>
      </c>
      <c r="N680" s="44">
        <v>9.5909999999999993</v>
      </c>
      <c r="O680" s="41">
        <v>343</v>
      </c>
      <c r="P680" s="41">
        <v>5</v>
      </c>
      <c r="Q680" s="41">
        <v>62.999999999999993</v>
      </c>
      <c r="R680" s="45" t="s">
        <v>1307</v>
      </c>
      <c r="S680" s="45" t="s">
        <v>1307</v>
      </c>
      <c r="T680" s="45" t="s">
        <v>1307</v>
      </c>
      <c r="U680" s="44">
        <v>59.676937500000001</v>
      </c>
      <c r="V680" s="44">
        <v>78.686999999999998</v>
      </c>
      <c r="W680" s="44">
        <v>15.904695000000002</v>
      </c>
      <c r="X680" s="44">
        <v>11.265549434999999</v>
      </c>
      <c r="Y680" s="130" t="s">
        <v>4510</v>
      </c>
      <c r="Z680" s="224"/>
    </row>
    <row r="681" spans="2:26" ht="15" customHeight="1" x14ac:dyDescent="0.35">
      <c r="B681" s="181">
        <v>16055</v>
      </c>
      <c r="C681" s="182" t="s">
        <v>89</v>
      </c>
      <c r="D681" s="222">
        <v>3</v>
      </c>
      <c r="E681" s="223" t="s">
        <v>3473</v>
      </c>
      <c r="F681" s="183" t="s">
        <v>3474</v>
      </c>
      <c r="G681" s="125">
        <v>2.6358510953042305</v>
      </c>
      <c r="H681" s="121" t="s">
        <v>1336</v>
      </c>
      <c r="I681" s="122">
        <v>59.432432432432435</v>
      </c>
      <c r="J681" s="106" t="s">
        <v>4656</v>
      </c>
      <c r="K681" s="118">
        <v>431</v>
      </c>
      <c r="L681" s="46">
        <v>2.1671779141104293</v>
      </c>
      <c r="M681" s="41">
        <v>934.05368098159499</v>
      </c>
      <c r="N681" s="44">
        <v>10.475</v>
      </c>
      <c r="O681" s="41">
        <v>471</v>
      </c>
      <c r="P681" s="41">
        <v>15</v>
      </c>
      <c r="Q681" s="41">
        <v>60</v>
      </c>
      <c r="R681" s="45" t="s">
        <v>1307</v>
      </c>
      <c r="S681" s="45" t="s">
        <v>1307</v>
      </c>
      <c r="T681" s="45" t="s">
        <v>1307</v>
      </c>
      <c r="U681" s="44">
        <v>94.371002197802213</v>
      </c>
      <c r="V681" s="44">
        <v>144.626</v>
      </c>
      <c r="W681" s="44">
        <v>42.830610000000007</v>
      </c>
      <c r="X681" s="44">
        <v>16.249252500000001</v>
      </c>
      <c r="Y681" s="130" t="s">
        <v>4511</v>
      </c>
      <c r="Z681" s="224" t="s">
        <v>4512</v>
      </c>
    </row>
    <row r="682" spans="2:26" ht="15" customHeight="1" x14ac:dyDescent="0.35">
      <c r="B682" s="181">
        <v>7075</v>
      </c>
      <c r="C682" s="182" t="s">
        <v>1079</v>
      </c>
      <c r="D682" s="222">
        <v>1</v>
      </c>
      <c r="E682" s="223" t="s">
        <v>3478</v>
      </c>
      <c r="F682" s="183" t="s">
        <v>3479</v>
      </c>
      <c r="G682" s="125">
        <v>2.5204600734564049</v>
      </c>
      <c r="H682" s="121" t="s">
        <v>1336</v>
      </c>
      <c r="I682" s="122">
        <v>59.081081081081081</v>
      </c>
      <c r="J682" s="106" t="s">
        <v>4656</v>
      </c>
      <c r="K682" s="118">
        <v>152</v>
      </c>
      <c r="L682" s="46">
        <v>1.8963963963963963</v>
      </c>
      <c r="M682" s="41">
        <v>288.25225225225222</v>
      </c>
      <c r="N682" s="44">
        <v>4.57</v>
      </c>
      <c r="O682" s="41">
        <v>126</v>
      </c>
      <c r="P682" s="41">
        <v>5</v>
      </c>
      <c r="Q682" s="41">
        <v>59.499999999999993</v>
      </c>
      <c r="R682" s="45" t="s">
        <v>1307</v>
      </c>
      <c r="S682" s="45" t="s">
        <v>1307</v>
      </c>
      <c r="T682" s="45" t="s">
        <v>1307</v>
      </c>
      <c r="U682" s="44">
        <v>29.680150943396228</v>
      </c>
      <c r="V682" s="44">
        <v>42.567999999999998</v>
      </c>
      <c r="W682" s="44">
        <v>10.882479999999997</v>
      </c>
      <c r="X682" s="44">
        <v>4.3176561749999989</v>
      </c>
      <c r="Y682" s="130" t="s">
        <v>4513</v>
      </c>
      <c r="Z682" s="224" t="s">
        <v>3813</v>
      </c>
    </row>
    <row r="683" spans="2:26" ht="15" customHeight="1" x14ac:dyDescent="0.35">
      <c r="B683" s="181">
        <v>50023</v>
      </c>
      <c r="C683" s="182" t="s">
        <v>484</v>
      </c>
      <c r="D683" s="222">
        <v>17</v>
      </c>
      <c r="E683" s="223" t="s">
        <v>3481</v>
      </c>
      <c r="F683" s="183" t="s">
        <v>3482</v>
      </c>
      <c r="G683" s="125">
        <v>1.2203296482179098</v>
      </c>
      <c r="H683" s="121" t="s">
        <v>1325</v>
      </c>
      <c r="I683" s="122">
        <v>41.843137254901954</v>
      </c>
      <c r="J683" s="106" t="s">
        <v>4656</v>
      </c>
      <c r="K683" s="118">
        <v>355</v>
      </c>
      <c r="L683" s="46">
        <v>2.322265625</v>
      </c>
      <c r="M683" s="41">
        <v>824.404296875</v>
      </c>
      <c r="N683" s="44">
        <v>9.7170000000000005</v>
      </c>
      <c r="O683" s="41">
        <v>289</v>
      </c>
      <c r="P683" s="41">
        <v>6</v>
      </c>
      <c r="Q683" s="41">
        <v>45.7</v>
      </c>
      <c r="R683" s="45" t="s">
        <v>1324</v>
      </c>
      <c r="S683" s="45" t="s">
        <v>1324</v>
      </c>
      <c r="T683" s="45" t="s">
        <v>1307</v>
      </c>
      <c r="U683" s="44">
        <v>54.925600000000003</v>
      </c>
      <c r="V683" s="44">
        <v>73.721000000000004</v>
      </c>
      <c r="W683" s="44">
        <v>9.1489954081632572</v>
      </c>
      <c r="X683" s="44">
        <v>7.4971508079999998</v>
      </c>
      <c r="Y683" s="130" t="s">
        <v>4514</v>
      </c>
      <c r="Z683" s="224"/>
    </row>
    <row r="684" spans="2:26" ht="15" customHeight="1" x14ac:dyDescent="0.35">
      <c r="B684" s="181">
        <v>28005</v>
      </c>
      <c r="C684" s="182" t="s">
        <v>188</v>
      </c>
      <c r="D684" s="222">
        <v>12</v>
      </c>
      <c r="E684" s="223" t="s">
        <v>3484</v>
      </c>
      <c r="F684" s="183" t="s">
        <v>3485</v>
      </c>
      <c r="G684" s="125">
        <v>1.8596530979594679</v>
      </c>
      <c r="H684" s="121" t="s">
        <v>1325</v>
      </c>
      <c r="I684" s="122">
        <v>48.243243243243242</v>
      </c>
      <c r="J684" s="106" t="s">
        <v>4656</v>
      </c>
      <c r="K684" s="118">
        <v>357</v>
      </c>
      <c r="L684" s="46">
        <v>1.6649848637739657</v>
      </c>
      <c r="M684" s="41">
        <v>594.39959636730578</v>
      </c>
      <c r="N684" s="44">
        <v>8.4480000000000004</v>
      </c>
      <c r="O684" s="41">
        <v>312</v>
      </c>
      <c r="P684" s="41">
        <v>7.4</v>
      </c>
      <c r="Q684" s="41">
        <v>63.1</v>
      </c>
      <c r="R684" s="45" t="s">
        <v>1324</v>
      </c>
      <c r="S684" s="45" t="s">
        <v>1307</v>
      </c>
      <c r="T684" s="45" t="s">
        <v>1307</v>
      </c>
      <c r="U684" s="44">
        <v>47.87745283018868</v>
      </c>
      <c r="V684" s="44">
        <v>75.641000000000005</v>
      </c>
      <c r="W684" s="44">
        <v>19.675692500000004</v>
      </c>
      <c r="X684" s="44">
        <v>10.580302596000001</v>
      </c>
      <c r="Y684" s="130" t="s">
        <v>4515</v>
      </c>
      <c r="Z684" s="224" t="s">
        <v>4516</v>
      </c>
    </row>
    <row r="685" spans="2:26" ht="15" customHeight="1" x14ac:dyDescent="0.35">
      <c r="B685" s="181">
        <v>62080</v>
      </c>
      <c r="C685" s="182" t="s">
        <v>632</v>
      </c>
      <c r="D685" s="222">
        <v>14</v>
      </c>
      <c r="E685" s="223" t="s">
        <v>3488</v>
      </c>
      <c r="F685" s="183" t="s">
        <v>3489</v>
      </c>
      <c r="G685" s="125">
        <v>1.0999282797006318</v>
      </c>
      <c r="H685" s="121" t="s">
        <v>1336</v>
      </c>
      <c r="I685" s="122">
        <v>59.081081081081081</v>
      </c>
      <c r="J685" s="106" t="s">
        <v>4656</v>
      </c>
      <c r="K685" s="118">
        <v>188</v>
      </c>
      <c r="L685" s="46">
        <v>1.9</v>
      </c>
      <c r="M685" s="41">
        <v>357.2</v>
      </c>
      <c r="N685" s="44">
        <v>3.7949999999999999</v>
      </c>
      <c r="O685" s="41">
        <v>172</v>
      </c>
      <c r="P685" s="41">
        <v>10</v>
      </c>
      <c r="Q685" s="41">
        <v>53</v>
      </c>
      <c r="R685" s="45" t="s">
        <v>1307</v>
      </c>
      <c r="S685" s="45" t="s">
        <v>1307</v>
      </c>
      <c r="T685" s="45" t="s">
        <v>1307</v>
      </c>
      <c r="U685" s="44">
        <v>27.296844221105527</v>
      </c>
      <c r="V685" s="44">
        <v>34.710999999999999</v>
      </c>
      <c r="W685" s="44">
        <v>5.2963349999999991</v>
      </c>
      <c r="X685" s="44">
        <v>4.8151639500000005</v>
      </c>
      <c r="Y685" s="130" t="s">
        <v>4517</v>
      </c>
      <c r="Z685" s="224"/>
    </row>
    <row r="686" spans="2:26" ht="15" customHeight="1" x14ac:dyDescent="0.35">
      <c r="B686" s="181">
        <v>50090</v>
      </c>
      <c r="C686" s="182" t="s">
        <v>493</v>
      </c>
      <c r="D686" s="222">
        <v>17</v>
      </c>
      <c r="E686" s="223" t="s">
        <v>3491</v>
      </c>
      <c r="F686" s="183" t="s">
        <v>3492</v>
      </c>
      <c r="G686" s="125">
        <v>0.23789574625206769</v>
      </c>
      <c r="H686" s="121" t="s">
        <v>1336</v>
      </c>
      <c r="I686" s="122">
        <v>74.068627450980387</v>
      </c>
      <c r="J686" s="106" t="s">
        <v>4656</v>
      </c>
      <c r="K686" s="118">
        <v>262</v>
      </c>
      <c r="L686" s="46">
        <v>2.2970297029702968</v>
      </c>
      <c r="M686" s="41">
        <v>601.82178217821775</v>
      </c>
      <c r="N686" s="44">
        <v>27.375</v>
      </c>
      <c r="O686" s="41">
        <v>248</v>
      </c>
      <c r="P686" s="41">
        <v>3</v>
      </c>
      <c r="Q686" s="41">
        <v>43.4</v>
      </c>
      <c r="R686" s="45" t="s">
        <v>1307</v>
      </c>
      <c r="S686" s="45" t="s">
        <v>1307</v>
      </c>
      <c r="T686" s="45" t="s">
        <v>1307</v>
      </c>
      <c r="U686" s="44">
        <v>27.242000000000001</v>
      </c>
      <c r="V686" s="44">
        <v>144.643</v>
      </c>
      <c r="W686" s="44">
        <v>2.6746974999999984</v>
      </c>
      <c r="X686" s="44">
        <v>11.243149750000001</v>
      </c>
      <c r="Y686" s="130" t="s">
        <v>4518</v>
      </c>
      <c r="Z686" s="224"/>
    </row>
    <row r="687" spans="2:26" ht="15" customHeight="1" x14ac:dyDescent="0.35">
      <c r="B687" s="181">
        <v>71025</v>
      </c>
      <c r="C687" s="182" t="s">
        <v>707</v>
      </c>
      <c r="D687" s="222">
        <v>16</v>
      </c>
      <c r="E687" s="223" t="s">
        <v>3494</v>
      </c>
      <c r="F687" s="183" t="s">
        <v>3495</v>
      </c>
      <c r="G687" s="125">
        <v>3.5218036310388512</v>
      </c>
      <c r="H687" s="121" t="s">
        <v>1325</v>
      </c>
      <c r="I687" s="122">
        <v>52.530697524911602</v>
      </c>
      <c r="J687" s="106" t="s">
        <v>4656</v>
      </c>
      <c r="K687" s="118">
        <v>3364</v>
      </c>
      <c r="L687" s="46">
        <v>2.4943592710442579</v>
      </c>
      <c r="M687" s="41">
        <v>8391.0245877928828</v>
      </c>
      <c r="N687" s="44">
        <v>53.103999999999999</v>
      </c>
      <c r="O687" s="41">
        <v>3283</v>
      </c>
      <c r="P687" s="41">
        <v>15</v>
      </c>
      <c r="Q687" s="41">
        <v>43.59</v>
      </c>
      <c r="R687" s="45" t="s">
        <v>1307</v>
      </c>
      <c r="S687" s="45" t="s">
        <v>1307</v>
      </c>
      <c r="T687" s="45" t="s">
        <v>1324</v>
      </c>
      <c r="U687" s="44">
        <v>641.76400000000001</v>
      </c>
      <c r="V687" s="44">
        <v>966.87800000000004</v>
      </c>
      <c r="W687" s="44">
        <v>269.70969214646465</v>
      </c>
      <c r="X687" s="44">
        <v>76.582830958949998</v>
      </c>
      <c r="Y687" s="130" t="s">
        <v>4519</v>
      </c>
      <c r="Z687" s="224"/>
    </row>
    <row r="688" spans="2:26" ht="15" customHeight="1" x14ac:dyDescent="0.35">
      <c r="B688" s="181">
        <v>7085</v>
      </c>
      <c r="C688" s="182" t="s">
        <v>1081</v>
      </c>
      <c r="D688" s="222">
        <v>1</v>
      </c>
      <c r="E688" s="223" t="s">
        <v>3498</v>
      </c>
      <c r="F688" s="183" t="s">
        <v>3499</v>
      </c>
      <c r="G688" s="125">
        <v>1.8273709210470632</v>
      </c>
      <c r="H688" s="121" t="s">
        <v>1336</v>
      </c>
      <c r="I688" s="122">
        <v>60.350877192982466</v>
      </c>
      <c r="J688" s="106" t="s">
        <v>4656</v>
      </c>
      <c r="K688" s="118">
        <v>743</v>
      </c>
      <c r="L688" s="46">
        <v>2.2135802469135801</v>
      </c>
      <c r="M688" s="41">
        <v>1644.6901234567899</v>
      </c>
      <c r="N688" s="44">
        <v>17.260000000000002</v>
      </c>
      <c r="O688" s="41">
        <v>766</v>
      </c>
      <c r="P688" s="41">
        <v>10</v>
      </c>
      <c r="Q688" s="41">
        <v>52.8</v>
      </c>
      <c r="R688" s="45" t="s">
        <v>1307</v>
      </c>
      <c r="S688" s="45" t="s">
        <v>1307</v>
      </c>
      <c r="T688" s="45" t="s">
        <v>1307</v>
      </c>
      <c r="U688" s="44">
        <v>202.93443119266053</v>
      </c>
      <c r="V688" s="44">
        <v>264.553</v>
      </c>
      <c r="W688" s="44">
        <v>39.266353673469375</v>
      </c>
      <c r="X688" s="44">
        <v>21.487894559999997</v>
      </c>
      <c r="Y688" s="130" t="s">
        <v>4520</v>
      </c>
      <c r="Z688" s="224" t="s">
        <v>3766</v>
      </c>
    </row>
    <row r="689" spans="2:26" ht="15" customHeight="1" x14ac:dyDescent="0.35">
      <c r="B689" s="181">
        <v>26048</v>
      </c>
      <c r="C689" s="182" t="s">
        <v>174</v>
      </c>
      <c r="D689" s="222">
        <v>12</v>
      </c>
      <c r="E689" s="223" t="s">
        <v>3753</v>
      </c>
      <c r="F689" s="183" t="s">
        <v>3754</v>
      </c>
      <c r="G689" s="125">
        <v>1.8089269446372551</v>
      </c>
      <c r="H689" s="121" t="s">
        <v>1325</v>
      </c>
      <c r="I689" s="122">
        <v>45.081081081081081</v>
      </c>
      <c r="J689" s="106" t="s">
        <v>4656</v>
      </c>
      <c r="K689" s="118">
        <v>665</v>
      </c>
      <c r="L689" s="46">
        <v>2.431906614785992</v>
      </c>
      <c r="M689" s="41">
        <v>1617.2178988326848</v>
      </c>
      <c r="N689" s="44">
        <v>13.224</v>
      </c>
      <c r="O689" s="41">
        <v>532</v>
      </c>
      <c r="P689" s="41">
        <v>5</v>
      </c>
      <c r="Q689" s="41">
        <v>51.625</v>
      </c>
      <c r="R689" s="45" t="s">
        <v>1307</v>
      </c>
      <c r="S689" s="45" t="s">
        <v>1307</v>
      </c>
      <c r="T689" s="45" t="s">
        <v>1324</v>
      </c>
      <c r="U689" s="44">
        <v>99.996441176470597</v>
      </c>
      <c r="V689" s="44">
        <v>129.07499999999999</v>
      </c>
      <c r="W689" s="44">
        <v>24.887159999999994</v>
      </c>
      <c r="X689" s="44">
        <v>13.7579685425</v>
      </c>
      <c r="Y689" s="130" t="s">
        <v>4521</v>
      </c>
      <c r="Z689" s="224"/>
    </row>
    <row r="690" spans="2:26" ht="15" customHeight="1" x14ac:dyDescent="0.35">
      <c r="B690" s="181">
        <v>66127</v>
      </c>
      <c r="C690" s="182" t="s">
        <v>661</v>
      </c>
      <c r="D690" s="222">
        <v>6</v>
      </c>
      <c r="E690" s="223" t="s">
        <v>3704</v>
      </c>
      <c r="F690" s="183" t="s">
        <v>3705</v>
      </c>
      <c r="G690" s="125">
        <v>6.4339334379400528</v>
      </c>
      <c r="H690" s="121" t="s">
        <v>1336</v>
      </c>
      <c r="I690" s="122">
        <v>58.780701754385973</v>
      </c>
      <c r="J690" s="106" t="s">
        <v>4656</v>
      </c>
      <c r="K690" s="118">
        <v>339</v>
      </c>
      <c r="L690" s="46">
        <v>2.5386666666666668</v>
      </c>
      <c r="M690" s="41">
        <v>860.60800000000006</v>
      </c>
      <c r="N690" s="44">
        <v>8.57</v>
      </c>
      <c r="O690" s="41">
        <v>369</v>
      </c>
      <c r="P690" s="41">
        <v>13</v>
      </c>
      <c r="Q690" s="41">
        <v>47.3</v>
      </c>
      <c r="R690" s="45" t="s">
        <v>1307</v>
      </c>
      <c r="S690" s="45" t="s">
        <v>1307</v>
      </c>
      <c r="T690" s="45" t="s">
        <v>1307</v>
      </c>
      <c r="U690" s="44">
        <v>94.279499999999985</v>
      </c>
      <c r="V690" s="44">
        <v>330.11799999999999</v>
      </c>
      <c r="W690" s="44">
        <v>63.246513622448958</v>
      </c>
      <c r="X690" s="44">
        <v>9.8301473324999993</v>
      </c>
      <c r="Y690" s="130"/>
      <c r="Z690" s="224"/>
    </row>
    <row r="691" spans="2:26" ht="15" customHeight="1" x14ac:dyDescent="0.35">
      <c r="B691" s="181">
        <v>97007</v>
      </c>
      <c r="C691" s="182" t="s">
        <v>1002</v>
      </c>
      <c r="D691" s="222">
        <v>9</v>
      </c>
      <c r="E691" s="223" t="s">
        <v>3502</v>
      </c>
      <c r="F691" s="183" t="s">
        <v>3503</v>
      </c>
      <c r="G691" s="125">
        <v>6.3190495220666829</v>
      </c>
      <c r="H691" s="121" t="s">
        <v>1373</v>
      </c>
      <c r="I691" s="122">
        <v>58.950199070425434</v>
      </c>
      <c r="J691" s="106" t="s">
        <v>4656</v>
      </c>
      <c r="K691" s="118">
        <v>11874</v>
      </c>
      <c r="L691" s="46">
        <v>2.3235643202775496</v>
      </c>
      <c r="M691" s="41">
        <v>27590.002738975625</v>
      </c>
      <c r="N691" s="44">
        <v>222.76599999999999</v>
      </c>
      <c r="O691" s="41">
        <v>14154</v>
      </c>
      <c r="P691" s="41">
        <v>5</v>
      </c>
      <c r="Q691" s="41">
        <v>53</v>
      </c>
      <c r="R691" s="45" t="s">
        <v>1307</v>
      </c>
      <c r="S691" s="45" t="s">
        <v>1307</v>
      </c>
      <c r="T691" s="45" t="s">
        <v>1307</v>
      </c>
      <c r="U691" s="44">
        <v>3530.9256239710476</v>
      </c>
      <c r="V691" s="44">
        <v>7547.0630000000001</v>
      </c>
      <c r="W691" s="44">
        <v>2090.6120000000014</v>
      </c>
      <c r="X691" s="44">
        <v>330.84279411</v>
      </c>
      <c r="Y691" s="130" t="s">
        <v>4522</v>
      </c>
      <c r="Z691" s="224"/>
    </row>
    <row r="692" spans="2:26" ht="15" customHeight="1" x14ac:dyDescent="0.35">
      <c r="B692" s="181">
        <v>97007</v>
      </c>
      <c r="C692" s="182" t="s">
        <v>1002</v>
      </c>
      <c r="D692" s="222">
        <v>9</v>
      </c>
      <c r="E692" s="223" t="s">
        <v>3504</v>
      </c>
      <c r="F692" s="183" t="s">
        <v>3505</v>
      </c>
      <c r="G692" s="125">
        <v>0.74019058474304433</v>
      </c>
      <c r="H692" s="121" t="s">
        <v>1336</v>
      </c>
      <c r="I692" s="122">
        <v>64.530612244897952</v>
      </c>
      <c r="J692" s="106" t="s">
        <v>4656</v>
      </c>
      <c r="K692" s="118">
        <v>314</v>
      </c>
      <c r="L692" s="46">
        <v>2.3235643202775496</v>
      </c>
      <c r="M692" s="41">
        <v>729.59919656715056</v>
      </c>
      <c r="N692" s="44">
        <v>13</v>
      </c>
      <c r="O692" s="41">
        <v>349</v>
      </c>
      <c r="P692" s="41">
        <v>5</v>
      </c>
      <c r="Q692" s="41">
        <v>35</v>
      </c>
      <c r="R692" s="45" t="s">
        <v>1307</v>
      </c>
      <c r="S692" s="45" t="s">
        <v>1307</v>
      </c>
      <c r="T692" s="45" t="s">
        <v>1307</v>
      </c>
      <c r="U692" s="44">
        <v>73.868848161355857</v>
      </c>
      <c r="V692" s="44">
        <v>84.215000000000003</v>
      </c>
      <c r="W692" s="44">
        <v>5.2653008505154455</v>
      </c>
      <c r="X692" s="44">
        <v>7.1134393749999996</v>
      </c>
      <c r="Y692" s="130" t="s">
        <v>4523</v>
      </c>
      <c r="Z692" s="224"/>
    </row>
    <row r="693" spans="2:26" ht="15" customHeight="1" x14ac:dyDescent="0.35">
      <c r="B693" s="181">
        <v>97007</v>
      </c>
      <c r="C693" s="182" t="s">
        <v>1002</v>
      </c>
      <c r="D693" s="222">
        <v>9</v>
      </c>
      <c r="E693" s="223" t="s">
        <v>3506</v>
      </c>
      <c r="F693" s="183" t="s">
        <v>3507</v>
      </c>
      <c r="G693" s="125">
        <v>1.7117893548099492</v>
      </c>
      <c r="H693" s="121" t="s">
        <v>1336</v>
      </c>
      <c r="I693" s="122">
        <v>56.139534883720934</v>
      </c>
      <c r="J693" s="106" t="s">
        <v>4656</v>
      </c>
      <c r="K693" s="118">
        <v>87</v>
      </c>
      <c r="L693" s="46">
        <v>2.3235643202775496</v>
      </c>
      <c r="M693" s="41">
        <v>202.15009586414681</v>
      </c>
      <c r="N693" s="44">
        <v>2</v>
      </c>
      <c r="O693" s="41">
        <v>91</v>
      </c>
      <c r="P693" s="41">
        <v>5</v>
      </c>
      <c r="Q693" s="41">
        <v>42</v>
      </c>
      <c r="R693" s="45" t="s">
        <v>1307</v>
      </c>
      <c r="S693" s="45" t="s">
        <v>1307</v>
      </c>
      <c r="T693" s="45" t="s">
        <v>1307</v>
      </c>
      <c r="U693" s="44">
        <v>11.158013776595746</v>
      </c>
      <c r="V693" s="44">
        <v>15.441000000000001</v>
      </c>
      <c r="W693" s="44">
        <v>3.1535999999999986</v>
      </c>
      <c r="X693" s="44">
        <v>1.8422827499999999</v>
      </c>
      <c r="Y693" s="130" t="s">
        <v>4524</v>
      </c>
      <c r="Z693" s="224"/>
    </row>
    <row r="694" spans="2:26" ht="15" customHeight="1" x14ac:dyDescent="0.35">
      <c r="B694" s="181">
        <v>97007</v>
      </c>
      <c r="C694" s="182" t="s">
        <v>1002</v>
      </c>
      <c r="D694" s="222">
        <v>9</v>
      </c>
      <c r="E694" s="223" t="s">
        <v>3508</v>
      </c>
      <c r="F694" s="183" t="s">
        <v>3509</v>
      </c>
      <c r="G694" s="125">
        <v>23.27290443520377</v>
      </c>
      <c r="H694" s="121" t="s">
        <v>1336</v>
      </c>
      <c r="I694" s="122">
        <v>59.666666666666679</v>
      </c>
      <c r="J694" s="106" t="s">
        <v>4656</v>
      </c>
      <c r="K694" s="118">
        <v>304</v>
      </c>
      <c r="L694" s="46">
        <v>2.3235643202775496</v>
      </c>
      <c r="M694" s="41">
        <v>706.36355336437509</v>
      </c>
      <c r="N694" s="44">
        <v>6</v>
      </c>
      <c r="O694" s="41">
        <v>289</v>
      </c>
      <c r="P694" s="41">
        <v>5</v>
      </c>
      <c r="Q694" s="41">
        <v>35</v>
      </c>
      <c r="R694" s="45" t="s">
        <v>1307</v>
      </c>
      <c r="S694" s="45" t="s">
        <v>1307</v>
      </c>
      <c r="T694" s="45" t="s">
        <v>1307</v>
      </c>
      <c r="U694" s="44">
        <v>99.339943948587702</v>
      </c>
      <c r="V694" s="44">
        <v>216.142</v>
      </c>
      <c r="W694" s="44">
        <v>111.588384</v>
      </c>
      <c r="X694" s="44">
        <v>4.794776875000001</v>
      </c>
      <c r="Y694" s="130" t="s">
        <v>4525</v>
      </c>
      <c r="Z694" s="224"/>
    </row>
    <row r="695" spans="2:26" ht="15" customHeight="1" x14ac:dyDescent="0.35">
      <c r="B695" s="181">
        <v>22020</v>
      </c>
      <c r="C695" s="182" t="s">
        <v>156</v>
      </c>
      <c r="D695" s="222">
        <v>3</v>
      </c>
      <c r="E695" s="223" t="s">
        <v>3512</v>
      </c>
      <c r="F695" s="183" t="s">
        <v>3513</v>
      </c>
      <c r="G695" s="125">
        <v>0.60370461354486626</v>
      </c>
      <c r="H695" s="121" t="s">
        <v>1336</v>
      </c>
      <c r="I695" s="122">
        <v>50.472972972972983</v>
      </c>
      <c r="J695" s="106" t="s">
        <v>4656</v>
      </c>
      <c r="K695" s="118">
        <v>1363</v>
      </c>
      <c r="L695" s="46">
        <v>2.7381056307289393</v>
      </c>
      <c r="M695" s="41">
        <v>3732.0379746835442</v>
      </c>
      <c r="N695" s="44">
        <v>41.198</v>
      </c>
      <c r="O695" s="41">
        <v>1475</v>
      </c>
      <c r="P695" s="41">
        <v>20</v>
      </c>
      <c r="Q695" s="41">
        <v>67.900000000000006</v>
      </c>
      <c r="R695" s="45" t="s">
        <v>1307</v>
      </c>
      <c r="S695" s="45" t="s">
        <v>1307</v>
      </c>
      <c r="T695" s="45" t="s">
        <v>1307</v>
      </c>
      <c r="U695" s="44">
        <v>270.28437617328518</v>
      </c>
      <c r="V695" s="44">
        <v>319.221</v>
      </c>
      <c r="W695" s="44">
        <v>39.78468500000001</v>
      </c>
      <c r="X695" s="44">
        <v>65.900912644000002</v>
      </c>
      <c r="Y695" s="130" t="s">
        <v>4526</v>
      </c>
      <c r="Z695" s="224"/>
    </row>
    <row r="696" spans="2:26" ht="15" customHeight="1" x14ac:dyDescent="0.35">
      <c r="B696" s="181">
        <v>36033</v>
      </c>
      <c r="C696" s="182" t="s">
        <v>313</v>
      </c>
      <c r="D696" s="222">
        <v>4</v>
      </c>
      <c r="E696" s="223" t="s">
        <v>3517</v>
      </c>
      <c r="F696" s="183" t="s">
        <v>3518</v>
      </c>
      <c r="G696" s="125">
        <v>4.5315741020722644</v>
      </c>
      <c r="H696" s="121" t="s">
        <v>1373</v>
      </c>
      <c r="I696" s="122">
        <v>60.220930232558132</v>
      </c>
      <c r="J696" s="106" t="s">
        <v>4656</v>
      </c>
      <c r="K696" s="118">
        <v>8331</v>
      </c>
      <c r="L696" s="46">
        <v>1.8574427409378866</v>
      </c>
      <c r="M696" s="41">
        <v>15474.355474753533</v>
      </c>
      <c r="N696" s="44">
        <v>170.72</v>
      </c>
      <c r="O696" s="41">
        <v>5658</v>
      </c>
      <c r="P696" s="41">
        <v>5</v>
      </c>
      <c r="Q696" s="41">
        <v>61.220999999999997</v>
      </c>
      <c r="R696" s="45" t="s">
        <v>1307</v>
      </c>
      <c r="S696" s="45" t="s">
        <v>1307</v>
      </c>
      <c r="T696" s="45" t="s">
        <v>1307</v>
      </c>
      <c r="U696" s="44">
        <v>1591.6058525294334</v>
      </c>
      <c r="V696" s="44">
        <v>2493.8391083199999</v>
      </c>
      <c r="W696" s="44">
        <v>841.13594095623409</v>
      </c>
      <c r="X696" s="44">
        <v>185.61672434565003</v>
      </c>
      <c r="Y696" s="130" t="s">
        <v>4527</v>
      </c>
      <c r="Z696" s="224"/>
    </row>
    <row r="697" spans="2:26" ht="15" customHeight="1" x14ac:dyDescent="0.35">
      <c r="B697" s="181">
        <v>36033</v>
      </c>
      <c r="C697" s="182" t="s">
        <v>313</v>
      </c>
      <c r="D697" s="222">
        <v>4</v>
      </c>
      <c r="E697" s="223" t="s">
        <v>3516</v>
      </c>
      <c r="F697" s="183" t="s">
        <v>3519</v>
      </c>
      <c r="G697" s="125">
        <v>3.5885511256948277</v>
      </c>
      <c r="H697" s="121" t="s">
        <v>1373</v>
      </c>
      <c r="I697" s="122">
        <v>59.767441860465112</v>
      </c>
      <c r="J697" s="106" t="s">
        <v>4656</v>
      </c>
      <c r="K697" s="118">
        <v>17249</v>
      </c>
      <c r="L697" s="46">
        <v>1.8574427409378866</v>
      </c>
      <c r="M697" s="41">
        <v>32039.029838437607</v>
      </c>
      <c r="N697" s="44">
        <v>343.59500000000003</v>
      </c>
      <c r="O697" s="41">
        <v>11718</v>
      </c>
      <c r="P697" s="41">
        <v>5</v>
      </c>
      <c r="Q697" s="41">
        <v>59.371755725190837</v>
      </c>
      <c r="R697" s="45" t="s">
        <v>1307</v>
      </c>
      <c r="S697" s="45" t="s">
        <v>1307</v>
      </c>
      <c r="T697" s="45" t="s">
        <v>1307</v>
      </c>
      <c r="U697" s="44">
        <v>4986.6377844828403</v>
      </c>
      <c r="V697" s="44">
        <v>6501.1280063699996</v>
      </c>
      <c r="W697" s="44">
        <v>1323.8840000000002</v>
      </c>
      <c r="X697" s="44">
        <v>368.91880695824426</v>
      </c>
      <c r="Y697" s="130" t="s">
        <v>4528</v>
      </c>
      <c r="Z697" s="224"/>
    </row>
    <row r="698" spans="2:26" ht="15" customHeight="1" x14ac:dyDescent="0.35">
      <c r="B698" s="181">
        <v>47035</v>
      </c>
      <c r="C698" s="182" t="s">
        <v>452</v>
      </c>
      <c r="D698" s="222">
        <v>5</v>
      </c>
      <c r="E698" s="223" t="s">
        <v>3522</v>
      </c>
      <c r="F698" s="183" t="s">
        <v>3523</v>
      </c>
      <c r="G698" s="125">
        <v>0.55820670750681134</v>
      </c>
      <c r="H698" s="121" t="s">
        <v>1336</v>
      </c>
      <c r="I698" s="122">
        <v>61.716216216216225</v>
      </c>
      <c r="J698" s="106" t="s">
        <v>4656</v>
      </c>
      <c r="K698" s="118">
        <v>63</v>
      </c>
      <c r="L698" s="46">
        <v>2.5983187134502925</v>
      </c>
      <c r="M698" s="41">
        <v>163.69407894736844</v>
      </c>
      <c r="N698" s="44">
        <v>2.77</v>
      </c>
      <c r="O698" s="41">
        <v>76</v>
      </c>
      <c r="P698" s="41">
        <v>4</v>
      </c>
      <c r="Q698" s="41">
        <v>31.6</v>
      </c>
      <c r="R698" s="45" t="s">
        <v>1307</v>
      </c>
      <c r="S698" s="45" t="s">
        <v>1307</v>
      </c>
      <c r="T698" s="45" t="s">
        <v>1307</v>
      </c>
      <c r="U698" s="44">
        <v>7.3550000000000004</v>
      </c>
      <c r="V698" s="44">
        <v>8.24</v>
      </c>
      <c r="W698" s="44">
        <v>0.76140000000000019</v>
      </c>
      <c r="X698" s="44">
        <v>1.3640108400000002</v>
      </c>
      <c r="Y698" s="130" t="s">
        <v>4529</v>
      </c>
      <c r="Z698" s="224"/>
    </row>
    <row r="699" spans="2:26" ht="15" customHeight="1" x14ac:dyDescent="0.35">
      <c r="B699" s="181">
        <v>43027</v>
      </c>
      <c r="C699" s="182" t="s">
        <v>397</v>
      </c>
      <c r="D699" s="222">
        <v>5</v>
      </c>
      <c r="E699" s="223" t="s">
        <v>3524</v>
      </c>
      <c r="F699" s="183" t="s">
        <v>3525</v>
      </c>
      <c r="G699" s="125">
        <v>2.0233319307862252</v>
      </c>
      <c r="H699" s="121" t="s">
        <v>3526</v>
      </c>
      <c r="I699" s="122">
        <v>69</v>
      </c>
      <c r="J699" s="106" t="s">
        <v>4656</v>
      </c>
      <c r="K699" s="118">
        <v>77588</v>
      </c>
      <c r="L699" s="46">
        <v>2.0304313245640868</v>
      </c>
      <c r="M699" s="41">
        <v>157537.10561027838</v>
      </c>
      <c r="N699" s="44">
        <v>898</v>
      </c>
      <c r="O699" s="41">
        <v>40806</v>
      </c>
      <c r="P699" s="41">
        <v>9.49</v>
      </c>
      <c r="Q699" s="41">
        <v>64</v>
      </c>
      <c r="R699" s="45" t="s">
        <v>1307</v>
      </c>
      <c r="S699" s="45" t="s">
        <v>1307</v>
      </c>
      <c r="T699" s="45" t="s">
        <v>1307</v>
      </c>
      <c r="U699" s="44">
        <v>12955.674999999999</v>
      </c>
      <c r="V699" s="44">
        <v>22673.378000000001</v>
      </c>
      <c r="W699" s="44">
        <v>2764.5329437244891</v>
      </c>
      <c r="X699" s="44">
        <v>1366.32694896</v>
      </c>
      <c r="Y699" s="130" t="s">
        <v>4530</v>
      </c>
      <c r="Z699" s="224"/>
    </row>
    <row r="700" spans="2:26" ht="15" customHeight="1" x14ac:dyDescent="0.35">
      <c r="B700" s="181">
        <v>53052</v>
      </c>
      <c r="C700" s="182" t="s">
        <v>538</v>
      </c>
      <c r="D700" s="222">
        <v>16</v>
      </c>
      <c r="E700" s="223" t="s">
        <v>3530</v>
      </c>
      <c r="F700" s="183" t="s">
        <v>2793</v>
      </c>
      <c r="G700" s="125">
        <v>7.8513562756471957</v>
      </c>
      <c r="H700" s="121" t="s">
        <v>1373</v>
      </c>
      <c r="I700" s="122">
        <v>57.709781033731559</v>
      </c>
      <c r="J700" s="106" t="s">
        <v>4656</v>
      </c>
      <c r="K700" s="118">
        <v>11409</v>
      </c>
      <c r="L700" s="46">
        <v>2.0085945109723258</v>
      </c>
      <c r="M700" s="41">
        <v>22916.054775683264</v>
      </c>
      <c r="N700" s="44">
        <v>158.97999999999999</v>
      </c>
      <c r="O700" s="41">
        <v>8575</v>
      </c>
      <c r="P700" s="41">
        <v>8</v>
      </c>
      <c r="Q700" s="41">
        <v>53.14</v>
      </c>
      <c r="R700" s="45" t="s">
        <v>1307</v>
      </c>
      <c r="S700" s="45" t="s">
        <v>1307</v>
      </c>
      <c r="T700" s="45" t="s">
        <v>1307</v>
      </c>
      <c r="U700" s="44">
        <v>2092.5529999999999</v>
      </c>
      <c r="V700" s="44">
        <v>4489.5959999999995</v>
      </c>
      <c r="W700" s="44">
        <v>1741.6366303571426</v>
      </c>
      <c r="X700" s="44">
        <v>221.826213104</v>
      </c>
      <c r="Y700" s="130" t="s">
        <v>4531</v>
      </c>
      <c r="Z700" s="224"/>
    </row>
    <row r="701" spans="2:26" ht="15" customHeight="1" x14ac:dyDescent="0.35">
      <c r="B701" s="181">
        <v>53052</v>
      </c>
      <c r="C701" s="182" t="s">
        <v>538</v>
      </c>
      <c r="D701" s="222">
        <v>16</v>
      </c>
      <c r="E701" s="223" t="s">
        <v>3531</v>
      </c>
      <c r="F701" s="183" t="s">
        <v>3532</v>
      </c>
      <c r="G701" s="125">
        <v>6.8679463846392688</v>
      </c>
      <c r="H701" s="121" t="s">
        <v>1373</v>
      </c>
      <c r="I701" s="122">
        <v>44.412280701754383</v>
      </c>
      <c r="J701" s="106" t="s">
        <v>4656</v>
      </c>
      <c r="K701" s="118">
        <v>6554</v>
      </c>
      <c r="L701" s="46">
        <v>2.0085945109723258</v>
      </c>
      <c r="M701" s="41">
        <v>13164.328424912623</v>
      </c>
      <c r="N701" s="44">
        <v>102.88</v>
      </c>
      <c r="O701" s="41">
        <v>5040</v>
      </c>
      <c r="P701" s="41">
        <v>8</v>
      </c>
      <c r="Q701" s="41">
        <v>51.54</v>
      </c>
      <c r="R701" s="45" t="s">
        <v>1307</v>
      </c>
      <c r="S701" s="45" t="s">
        <v>1307</v>
      </c>
      <c r="T701" s="45" t="s">
        <v>1307</v>
      </c>
      <c r="U701" s="44">
        <v>1202.086</v>
      </c>
      <c r="V701" s="44">
        <v>2657.8809999999999</v>
      </c>
      <c r="W701" s="44">
        <v>890.42913382653035</v>
      </c>
      <c r="X701" s="44">
        <v>129.64998326399999</v>
      </c>
      <c r="Y701" s="130" t="s">
        <v>4532</v>
      </c>
      <c r="Z701" s="224"/>
    </row>
    <row r="702" spans="2:26" ht="15" customHeight="1" x14ac:dyDescent="0.35">
      <c r="B702" s="181">
        <v>45025</v>
      </c>
      <c r="C702" s="182" t="s">
        <v>412</v>
      </c>
      <c r="D702" s="222">
        <v>5</v>
      </c>
      <c r="E702" s="223" t="s">
        <v>3537</v>
      </c>
      <c r="F702" s="183" t="s">
        <v>3538</v>
      </c>
      <c r="G702" s="125">
        <v>1.1137008367902608</v>
      </c>
      <c r="H702" s="121" t="s">
        <v>1336</v>
      </c>
      <c r="I702" s="122">
        <v>46</v>
      </c>
      <c r="J702" s="106" t="s">
        <v>4656</v>
      </c>
      <c r="K702" s="118">
        <v>44</v>
      </c>
      <c r="L702" s="46">
        <v>2.02</v>
      </c>
      <c r="M702" s="41">
        <v>88.88</v>
      </c>
      <c r="N702" s="44">
        <v>1.9079999999999999</v>
      </c>
      <c r="O702" s="41">
        <v>55</v>
      </c>
      <c r="P702" s="41">
        <v>8</v>
      </c>
      <c r="Q702" s="41">
        <v>40.200000000000003</v>
      </c>
      <c r="R702" s="45" t="s">
        <v>1307</v>
      </c>
      <c r="S702" s="45" t="s">
        <v>1307</v>
      </c>
      <c r="T702" s="45" t="s">
        <v>1307</v>
      </c>
      <c r="U702" s="44">
        <v>5.3577021276595742</v>
      </c>
      <c r="V702" s="44">
        <v>7.2919999999999998</v>
      </c>
      <c r="W702" s="44">
        <v>1.46</v>
      </c>
      <c r="X702" s="44">
        <v>1.3109445119999998</v>
      </c>
      <c r="Y702" s="130" t="s">
        <v>4533</v>
      </c>
      <c r="Z702" s="224"/>
    </row>
    <row r="703" spans="2:26" ht="15" customHeight="1" x14ac:dyDescent="0.35">
      <c r="B703" s="181">
        <v>45008</v>
      </c>
      <c r="C703" s="182" t="s">
        <v>410</v>
      </c>
      <c r="D703" s="222">
        <v>5</v>
      </c>
      <c r="E703" s="223" t="s">
        <v>3540</v>
      </c>
      <c r="F703" s="183" t="s">
        <v>3541</v>
      </c>
      <c r="G703" s="125">
        <v>2.2986320322223674</v>
      </c>
      <c r="H703" s="121" t="s">
        <v>1336</v>
      </c>
      <c r="I703" s="122">
        <v>50</v>
      </c>
      <c r="J703" s="106" t="s">
        <v>4656</v>
      </c>
      <c r="K703" s="118">
        <v>1330</v>
      </c>
      <c r="L703" s="46">
        <v>2.02</v>
      </c>
      <c r="M703" s="41">
        <v>2686.6</v>
      </c>
      <c r="N703" s="44">
        <v>36.767000000000003</v>
      </c>
      <c r="O703" s="41">
        <v>1104</v>
      </c>
      <c r="P703" s="41">
        <v>8</v>
      </c>
      <c r="Q703" s="41">
        <v>56.2</v>
      </c>
      <c r="R703" s="45" t="s">
        <v>1307</v>
      </c>
      <c r="S703" s="45" t="s">
        <v>1307</v>
      </c>
      <c r="T703" s="45" t="s">
        <v>1307</v>
      </c>
      <c r="U703" s="44">
        <v>294.1007104700895</v>
      </c>
      <c r="V703" s="44">
        <v>586.18700000000001</v>
      </c>
      <c r="W703" s="44">
        <v>83.260999999999996</v>
      </c>
      <c r="X703" s="44">
        <v>36.221978477999997</v>
      </c>
      <c r="Y703" s="130" t="s">
        <v>4534</v>
      </c>
      <c r="Z703" s="224"/>
    </row>
    <row r="704" spans="2:26" ht="15" customHeight="1" x14ac:dyDescent="0.35">
      <c r="B704" s="181">
        <v>22035</v>
      </c>
      <c r="C704" s="182" t="s">
        <v>159</v>
      </c>
      <c r="D704" s="222">
        <v>3</v>
      </c>
      <c r="E704" s="223" t="s">
        <v>3791</v>
      </c>
      <c r="F704" s="183" t="s">
        <v>3792</v>
      </c>
      <c r="G704" s="125">
        <v>1.2256106639092719</v>
      </c>
      <c r="H704" s="121" t="s">
        <v>1336</v>
      </c>
      <c r="I704" s="122">
        <v>59.53921568627451</v>
      </c>
      <c r="J704" s="106" t="s">
        <v>4656</v>
      </c>
      <c r="K704" s="118">
        <v>408</v>
      </c>
      <c r="L704" s="46">
        <v>2.1769868356899074</v>
      </c>
      <c r="M704" s="41">
        <v>888.21062896148226</v>
      </c>
      <c r="N704" s="44">
        <v>2.88</v>
      </c>
      <c r="O704" s="41">
        <v>412</v>
      </c>
      <c r="P704" s="41">
        <v>15</v>
      </c>
      <c r="Q704" s="41">
        <v>63</v>
      </c>
      <c r="R704" s="45" t="s">
        <v>1307</v>
      </c>
      <c r="S704" s="45" t="s">
        <v>1307</v>
      </c>
      <c r="T704" s="45" t="s">
        <v>1307</v>
      </c>
      <c r="U704" s="44">
        <v>39.481000000000002</v>
      </c>
      <c r="V704" s="44">
        <v>62.637</v>
      </c>
      <c r="W704" s="44">
        <v>15.104352653061232</v>
      </c>
      <c r="X704" s="44">
        <v>12.3239403</v>
      </c>
      <c r="Y704" s="130" t="s">
        <v>4630</v>
      </c>
      <c r="Z704" s="224"/>
    </row>
    <row r="705" spans="2:26" ht="15" customHeight="1" x14ac:dyDescent="0.35">
      <c r="B705" s="181">
        <v>22035</v>
      </c>
      <c r="C705" s="182" t="s">
        <v>159</v>
      </c>
      <c r="D705" s="222">
        <v>3</v>
      </c>
      <c r="E705" s="223" t="s">
        <v>3793</v>
      </c>
      <c r="F705" s="183" t="s">
        <v>3794</v>
      </c>
      <c r="G705" s="125">
        <v>0.5203819231250375</v>
      </c>
      <c r="H705" s="121" t="s">
        <v>1336</v>
      </c>
      <c r="I705" s="122">
        <v>56.593023255813961</v>
      </c>
      <c r="J705" s="106" t="s">
        <v>4656</v>
      </c>
      <c r="K705" s="118">
        <v>142</v>
      </c>
      <c r="L705" s="46">
        <v>2.1769868356899074</v>
      </c>
      <c r="M705" s="41">
        <v>309.13213066796686</v>
      </c>
      <c r="N705" s="44">
        <v>1.8720000000000001</v>
      </c>
      <c r="O705" s="41">
        <v>142</v>
      </c>
      <c r="P705" s="41">
        <v>15</v>
      </c>
      <c r="Q705" s="41">
        <v>63</v>
      </c>
      <c r="R705" s="45" t="s">
        <v>1307</v>
      </c>
      <c r="S705" s="45" t="s">
        <v>1307</v>
      </c>
      <c r="T705" s="45" t="s">
        <v>1307</v>
      </c>
      <c r="U705" s="44">
        <v>12.061999999999999</v>
      </c>
      <c r="V705" s="44">
        <v>14.682</v>
      </c>
      <c r="W705" s="44">
        <v>2.3997700000000015</v>
      </c>
      <c r="X705" s="44">
        <v>4.6115552700000002</v>
      </c>
      <c r="Y705" s="130" t="s">
        <v>4631</v>
      </c>
      <c r="Z705" s="224"/>
    </row>
    <row r="706" spans="2:26" ht="15" customHeight="1" x14ac:dyDescent="0.35">
      <c r="B706" s="181">
        <v>22035</v>
      </c>
      <c r="C706" s="182" t="s">
        <v>159</v>
      </c>
      <c r="D706" s="222">
        <v>3</v>
      </c>
      <c r="E706" s="223" t="s">
        <v>3795</v>
      </c>
      <c r="F706" s="183" t="s">
        <v>3796</v>
      </c>
      <c r="G706" s="125">
        <v>0.83369265544745952</v>
      </c>
      <c r="H706" s="121" t="s">
        <v>1336</v>
      </c>
      <c r="I706" s="122">
        <v>61.377192982456151</v>
      </c>
      <c r="J706" s="106" t="s">
        <v>4656</v>
      </c>
      <c r="K706" s="118">
        <v>356</v>
      </c>
      <c r="L706" s="46">
        <v>2.1769868356899074</v>
      </c>
      <c r="M706" s="41">
        <v>775.00731350560704</v>
      </c>
      <c r="N706" s="44">
        <v>6.53</v>
      </c>
      <c r="O706" s="41">
        <v>361</v>
      </c>
      <c r="P706" s="41">
        <v>15</v>
      </c>
      <c r="Q706" s="41">
        <v>70</v>
      </c>
      <c r="R706" s="45" t="s">
        <v>1307</v>
      </c>
      <c r="S706" s="45" t="s">
        <v>1307</v>
      </c>
      <c r="T706" s="45" t="s">
        <v>1307</v>
      </c>
      <c r="U706" s="44">
        <v>61.32</v>
      </c>
      <c r="V706" s="44">
        <v>82.671999999999997</v>
      </c>
      <c r="W706" s="44">
        <v>11.538988520408161</v>
      </c>
      <c r="X706" s="44">
        <v>13.840818250000002</v>
      </c>
      <c r="Y706" s="130" t="s">
        <v>4632</v>
      </c>
      <c r="Z706" s="224"/>
    </row>
    <row r="707" spans="2:26" ht="15" customHeight="1" x14ac:dyDescent="0.35">
      <c r="B707" s="181">
        <v>22035</v>
      </c>
      <c r="C707" s="182" t="s">
        <v>159</v>
      </c>
      <c r="D707" s="222">
        <v>3</v>
      </c>
      <c r="E707" s="223" t="s">
        <v>3797</v>
      </c>
      <c r="F707" s="183" t="s">
        <v>3798</v>
      </c>
      <c r="G707" s="125">
        <v>4.5365247386776639</v>
      </c>
      <c r="H707" s="121" t="s">
        <v>1336</v>
      </c>
      <c r="I707" s="122">
        <v>58.554054054054063</v>
      </c>
      <c r="J707" s="106" t="s">
        <v>4656</v>
      </c>
      <c r="K707" s="118">
        <v>157</v>
      </c>
      <c r="L707" s="46">
        <v>2.1769868356899074</v>
      </c>
      <c r="M707" s="41">
        <v>341.78693320331547</v>
      </c>
      <c r="N707" s="44">
        <v>3.74</v>
      </c>
      <c r="O707" s="41">
        <v>157</v>
      </c>
      <c r="P707" s="41">
        <v>15</v>
      </c>
      <c r="Q707" s="41">
        <v>50</v>
      </c>
      <c r="R707" s="45" t="s">
        <v>1307</v>
      </c>
      <c r="S707" s="45" t="s">
        <v>1307</v>
      </c>
      <c r="T707" s="45" t="s">
        <v>1307</v>
      </c>
      <c r="U707" s="44">
        <v>26.466000000000001</v>
      </c>
      <c r="V707" s="44">
        <v>48.033000000000001</v>
      </c>
      <c r="W707" s="44">
        <v>20.846505000000001</v>
      </c>
      <c r="X707" s="44">
        <v>4.5952587500000002</v>
      </c>
      <c r="Y707" s="130" t="s">
        <v>4633</v>
      </c>
      <c r="Z707" s="224"/>
    </row>
    <row r="708" spans="2:26" ht="15" customHeight="1" x14ac:dyDescent="0.35">
      <c r="B708" s="181">
        <v>45105</v>
      </c>
      <c r="C708" s="182" t="s">
        <v>425</v>
      </c>
      <c r="D708" s="222">
        <v>5</v>
      </c>
      <c r="E708" s="223" t="s">
        <v>3543</v>
      </c>
      <c r="F708" s="183" t="s">
        <v>3544</v>
      </c>
      <c r="G708" s="125">
        <v>5.6571710750215507</v>
      </c>
      <c r="H708" s="121" t="s">
        <v>1336</v>
      </c>
      <c r="I708" s="122">
        <v>69</v>
      </c>
      <c r="J708" s="106" t="s">
        <v>4656</v>
      </c>
      <c r="K708" s="118">
        <v>77</v>
      </c>
      <c r="L708" s="46">
        <v>2.3143459915611815</v>
      </c>
      <c r="M708" s="41">
        <v>178.20464135021098</v>
      </c>
      <c r="N708" s="44">
        <v>4.3140000000000001</v>
      </c>
      <c r="O708" s="41">
        <v>74</v>
      </c>
      <c r="P708" s="41">
        <v>15</v>
      </c>
      <c r="Q708" s="41">
        <v>42</v>
      </c>
      <c r="R708" s="45" t="s">
        <v>1307</v>
      </c>
      <c r="S708" s="45" t="s">
        <v>1307</v>
      </c>
      <c r="T708" s="45" t="s">
        <v>1307</v>
      </c>
      <c r="U708" s="44">
        <v>9.4939999999999998</v>
      </c>
      <c r="V708" s="44">
        <v>24.539000000000001</v>
      </c>
      <c r="W708" s="44">
        <v>14.275015051546392</v>
      </c>
      <c r="X708" s="44">
        <v>2.5233486600000004</v>
      </c>
      <c r="Y708" s="130" t="s">
        <v>4535</v>
      </c>
      <c r="Z708" s="224"/>
    </row>
    <row r="709" spans="2:26" ht="15" customHeight="1" x14ac:dyDescent="0.35">
      <c r="B709" s="181">
        <v>95005</v>
      </c>
      <c r="C709" s="182" t="s">
        <v>986</v>
      </c>
      <c r="D709" s="222">
        <v>9</v>
      </c>
      <c r="E709" s="223" t="s">
        <v>3546</v>
      </c>
      <c r="F709" s="183" t="s">
        <v>3547</v>
      </c>
      <c r="G709" s="125">
        <v>2.6418026023281453</v>
      </c>
      <c r="H709" s="121" t="s">
        <v>1336</v>
      </c>
      <c r="I709" s="122">
        <v>61</v>
      </c>
      <c r="J709" s="106" t="s">
        <v>4656</v>
      </c>
      <c r="K709" s="118">
        <v>422</v>
      </c>
      <c r="L709" s="46">
        <v>1.7945205479452055</v>
      </c>
      <c r="M709" s="41">
        <v>757.28767123287673</v>
      </c>
      <c r="N709" s="44">
        <v>17.335999999999999</v>
      </c>
      <c r="O709" s="41">
        <v>494</v>
      </c>
      <c r="P709" s="41">
        <v>10</v>
      </c>
      <c r="Q709" s="41">
        <v>57.8</v>
      </c>
      <c r="R709" s="45" t="s">
        <v>1307</v>
      </c>
      <c r="S709" s="45" t="s">
        <v>1307</v>
      </c>
      <c r="T709" s="45" t="s">
        <v>1307</v>
      </c>
      <c r="U709" s="44">
        <v>63.336104444444445</v>
      </c>
      <c r="V709" s="44">
        <v>164.923</v>
      </c>
      <c r="W709" s="44">
        <v>46.301000000000002</v>
      </c>
      <c r="X709" s="44">
        <v>17.526290556000003</v>
      </c>
      <c r="Y709" s="130" t="s">
        <v>4536</v>
      </c>
      <c r="Z709" s="224" t="s">
        <v>4537</v>
      </c>
    </row>
    <row r="710" spans="2:26" ht="15" customHeight="1" x14ac:dyDescent="0.35">
      <c r="B710" s="181">
        <v>13073</v>
      </c>
      <c r="C710" s="182" t="s">
        <v>53</v>
      </c>
      <c r="D710" s="222">
        <v>1</v>
      </c>
      <c r="E710" s="223" t="s">
        <v>3550</v>
      </c>
      <c r="F710" s="183" t="s">
        <v>3551</v>
      </c>
      <c r="G710" s="125">
        <v>2.6551058748601344</v>
      </c>
      <c r="H710" s="121" t="s">
        <v>1325</v>
      </c>
      <c r="I710" s="122">
        <v>59.081081081081081</v>
      </c>
      <c r="J710" s="106" t="s">
        <v>4656</v>
      </c>
      <c r="K710" s="118">
        <v>1299</v>
      </c>
      <c r="L710" s="46">
        <v>2.0481978206202851</v>
      </c>
      <c r="M710" s="41">
        <v>2660.6089689857504</v>
      </c>
      <c r="N710" s="44">
        <v>31.094999999999999</v>
      </c>
      <c r="O710" s="41">
        <v>1153</v>
      </c>
      <c r="P710" s="41">
        <v>15</v>
      </c>
      <c r="Q710" s="41">
        <v>59.4</v>
      </c>
      <c r="R710" s="45" t="s">
        <v>1307</v>
      </c>
      <c r="S710" s="45" t="s">
        <v>1307</v>
      </c>
      <c r="T710" s="45" t="s">
        <v>1324</v>
      </c>
      <c r="U710" s="44">
        <v>327.09000416666663</v>
      </c>
      <c r="V710" s="44">
        <v>486.32400000000001</v>
      </c>
      <c r="W710" s="44">
        <v>110.208</v>
      </c>
      <c r="X710" s="44">
        <v>41.507949284999995</v>
      </c>
      <c r="Y710" s="130" t="s">
        <v>4538</v>
      </c>
      <c r="Z710" s="224"/>
    </row>
    <row r="711" spans="2:26" ht="15" customHeight="1" x14ac:dyDescent="0.35">
      <c r="B711" s="181">
        <v>13073</v>
      </c>
      <c r="C711" s="182" t="s">
        <v>53</v>
      </c>
      <c r="D711" s="222">
        <v>1</v>
      </c>
      <c r="E711" s="223" t="s">
        <v>3552</v>
      </c>
      <c r="F711" s="183" t="s">
        <v>3553</v>
      </c>
      <c r="G711" s="125">
        <v>9.0611104942263747</v>
      </c>
      <c r="H711" s="121" t="s">
        <v>1336</v>
      </c>
      <c r="I711" s="122">
        <v>45.081081081081081</v>
      </c>
      <c r="J711" s="106" t="s">
        <v>4656</v>
      </c>
      <c r="K711" s="118">
        <v>731</v>
      </c>
      <c r="L711" s="46">
        <v>2.0481978206202851</v>
      </c>
      <c r="M711" s="41">
        <v>1497.2326068734285</v>
      </c>
      <c r="N711" s="44">
        <v>24.779400000000003</v>
      </c>
      <c r="O711" s="41">
        <v>580</v>
      </c>
      <c r="P711" s="41">
        <v>15</v>
      </c>
      <c r="Q711" s="41">
        <v>60</v>
      </c>
      <c r="R711" s="45" t="s">
        <v>1307</v>
      </c>
      <c r="S711" s="45" t="s">
        <v>1307</v>
      </c>
      <c r="T711" s="45" t="s">
        <v>1307</v>
      </c>
      <c r="U711" s="44">
        <v>200.97358695652173</v>
      </c>
      <c r="V711" s="44">
        <v>445.42099999999999</v>
      </c>
      <c r="W711" s="44">
        <v>223.74500000000003</v>
      </c>
      <c r="X711" s="44">
        <v>24.692889479999998</v>
      </c>
      <c r="Y711" s="130" t="s">
        <v>4539</v>
      </c>
      <c r="Z711" s="224"/>
    </row>
    <row r="712" spans="2:26" ht="15" customHeight="1" x14ac:dyDescent="0.35">
      <c r="B712" s="181">
        <v>71075</v>
      </c>
      <c r="C712" s="182" t="s">
        <v>716</v>
      </c>
      <c r="D712" s="222">
        <v>16</v>
      </c>
      <c r="E712" s="223" t="s">
        <v>3558</v>
      </c>
      <c r="F712" s="183" t="s">
        <v>3559</v>
      </c>
      <c r="G712" s="125">
        <v>2.0057290017896885</v>
      </c>
      <c r="H712" s="121" t="s">
        <v>1336</v>
      </c>
      <c r="I712" s="122">
        <v>63.235294117647058</v>
      </c>
      <c r="J712" s="106" t="s">
        <v>4656</v>
      </c>
      <c r="K712" s="118">
        <v>834</v>
      </c>
      <c r="L712" s="46">
        <v>2.3862815884476536</v>
      </c>
      <c r="M712" s="41">
        <v>1990.158844765343</v>
      </c>
      <c r="N712" s="44">
        <v>12.611000000000001</v>
      </c>
      <c r="O712" s="41">
        <v>845</v>
      </c>
      <c r="P712" s="41">
        <v>10</v>
      </c>
      <c r="Q712" s="41">
        <v>47</v>
      </c>
      <c r="R712" s="45" t="s">
        <v>1307</v>
      </c>
      <c r="S712" s="45" t="s">
        <v>1307</v>
      </c>
      <c r="T712" s="45" t="s">
        <v>1307</v>
      </c>
      <c r="U712" s="44">
        <v>137.63964454976303</v>
      </c>
      <c r="V712" s="44">
        <v>224.31200000000001</v>
      </c>
      <c r="W712" s="44">
        <v>38.339358316326525</v>
      </c>
      <c r="X712" s="44">
        <v>19.114924440000003</v>
      </c>
      <c r="Y712" s="130" t="s">
        <v>4540</v>
      </c>
      <c r="Z712" s="224"/>
    </row>
    <row r="713" spans="2:26" ht="15" customHeight="1" x14ac:dyDescent="0.35">
      <c r="B713" s="181">
        <v>64008</v>
      </c>
      <c r="C713" s="182" t="s">
        <v>644</v>
      </c>
      <c r="D713" s="222">
        <v>14</v>
      </c>
      <c r="E713" s="223" t="s">
        <v>3757</v>
      </c>
      <c r="F713" s="183" t="s">
        <v>3758</v>
      </c>
      <c r="G713" s="125">
        <v>1.4626894182105517</v>
      </c>
      <c r="H713" s="121" t="s">
        <v>3526</v>
      </c>
      <c r="I713" s="122">
        <v>56.508771929824569</v>
      </c>
      <c r="J713" s="106" t="s">
        <v>4656</v>
      </c>
      <c r="K713" s="118">
        <v>43823</v>
      </c>
      <c r="L713" s="46">
        <v>2.71</v>
      </c>
      <c r="M713" s="41">
        <v>118760.33</v>
      </c>
      <c r="N713" s="44">
        <v>562.22699999999998</v>
      </c>
      <c r="O713" s="41">
        <v>38570</v>
      </c>
      <c r="P713" s="41">
        <v>7</v>
      </c>
      <c r="Q713" s="41">
        <v>43.6</v>
      </c>
      <c r="R713" s="45" t="s">
        <v>1307</v>
      </c>
      <c r="S713" s="45" t="s">
        <v>1307</v>
      </c>
      <c r="T713" s="45" t="s">
        <v>1307</v>
      </c>
      <c r="U713" s="44">
        <v>12221.910074144616</v>
      </c>
      <c r="V713" s="44">
        <v>15935.247000000001</v>
      </c>
      <c r="W713" s="44">
        <v>1110.9257102040842</v>
      </c>
      <c r="X713" s="44">
        <v>759.50895410399994</v>
      </c>
      <c r="Y713" s="130" t="s">
        <v>4541</v>
      </c>
      <c r="Z713" s="224"/>
    </row>
    <row r="714" spans="2:26" ht="15" customHeight="1" x14ac:dyDescent="0.35">
      <c r="B714" s="181">
        <v>31084</v>
      </c>
      <c r="C714" s="182" t="s">
        <v>248</v>
      </c>
      <c r="D714" s="222">
        <v>12</v>
      </c>
      <c r="E714" s="223" t="s">
        <v>3561</v>
      </c>
      <c r="F714" s="183" t="s">
        <v>3562</v>
      </c>
      <c r="G714" s="125">
        <v>0.48490055851279024</v>
      </c>
      <c r="H714" s="121" t="s">
        <v>1336</v>
      </c>
      <c r="I714" s="122">
        <v>58.729729729729726</v>
      </c>
      <c r="J714" s="106" t="s">
        <v>4656</v>
      </c>
      <c r="K714" s="118">
        <v>1840</v>
      </c>
      <c r="L714" s="46">
        <v>1.9512619011636694</v>
      </c>
      <c r="M714" s="41">
        <v>3590.3218981411515</v>
      </c>
      <c r="N714" s="44">
        <v>49.420999999999999</v>
      </c>
      <c r="O714" s="41">
        <v>2042</v>
      </c>
      <c r="P714" s="41">
        <v>8</v>
      </c>
      <c r="Q714" s="41">
        <v>50.4</v>
      </c>
      <c r="R714" s="45" t="s">
        <v>1307</v>
      </c>
      <c r="S714" s="45" t="s">
        <v>1307</v>
      </c>
      <c r="T714" s="45" t="s">
        <v>1307</v>
      </c>
      <c r="U714" s="44">
        <v>457.63600000000002</v>
      </c>
      <c r="V714" s="44">
        <v>570.60799999999995</v>
      </c>
      <c r="W714" s="44">
        <v>26.15035199999998</v>
      </c>
      <c r="X714" s="44">
        <v>53.929308887999994</v>
      </c>
      <c r="Y714" s="130" t="s">
        <v>4542</v>
      </c>
      <c r="Z714" s="224"/>
    </row>
    <row r="715" spans="2:26" ht="15" customHeight="1" x14ac:dyDescent="0.35">
      <c r="B715" s="181">
        <v>31084</v>
      </c>
      <c r="C715" s="182" t="s">
        <v>248</v>
      </c>
      <c r="D715" s="222">
        <v>12</v>
      </c>
      <c r="E715" s="223" t="s">
        <v>3563</v>
      </c>
      <c r="F715" s="183" t="s">
        <v>3564</v>
      </c>
      <c r="G715" s="125">
        <v>0.35111894176302921</v>
      </c>
      <c r="H715" s="121" t="s">
        <v>1373</v>
      </c>
      <c r="I715" s="122">
        <v>58.729729729729726</v>
      </c>
      <c r="J715" s="106" t="s">
        <v>4656</v>
      </c>
      <c r="K715" s="118">
        <v>10695</v>
      </c>
      <c r="L715" s="46">
        <v>1.9512619011636694</v>
      </c>
      <c r="M715" s="41">
        <v>20868.746032945444</v>
      </c>
      <c r="N715" s="44">
        <v>201.53200000000001</v>
      </c>
      <c r="O715" s="41">
        <v>11518</v>
      </c>
      <c r="P715" s="41">
        <v>8</v>
      </c>
      <c r="Q715" s="41">
        <v>65.099999999999994</v>
      </c>
      <c r="R715" s="45" t="s">
        <v>1307</v>
      </c>
      <c r="S715" s="45" t="s">
        <v>1307</v>
      </c>
      <c r="T715" s="45" t="s">
        <v>1307</v>
      </c>
      <c r="U715" s="44">
        <v>2781.4</v>
      </c>
      <c r="V715" s="44">
        <v>3250.2429999999999</v>
      </c>
      <c r="W715" s="44">
        <v>126.36124800000029</v>
      </c>
      <c r="X715" s="44">
        <v>359.88160412399998</v>
      </c>
      <c r="Y715" s="130" t="s">
        <v>4543</v>
      </c>
      <c r="Z715" s="224"/>
    </row>
    <row r="716" spans="2:26" ht="15" customHeight="1" x14ac:dyDescent="0.35">
      <c r="B716" s="181">
        <v>80050</v>
      </c>
      <c r="C716" s="182" t="s">
        <v>810</v>
      </c>
      <c r="D716" s="222">
        <v>7</v>
      </c>
      <c r="E716" s="223" t="s">
        <v>3566</v>
      </c>
      <c r="F716" s="183" t="s">
        <v>3567</v>
      </c>
      <c r="G716" s="125">
        <v>1.6651624760829233</v>
      </c>
      <c r="H716" s="121" t="s">
        <v>1325</v>
      </c>
      <c r="I716" s="122">
        <v>55.482456140350891</v>
      </c>
      <c r="J716" s="106" t="s">
        <v>4656</v>
      </c>
      <c r="K716" s="118">
        <v>1457</v>
      </c>
      <c r="L716" s="46">
        <v>2.0698847262247839</v>
      </c>
      <c r="M716" s="41">
        <v>3015.8220461095102</v>
      </c>
      <c r="N716" s="44">
        <v>21.065000000000001</v>
      </c>
      <c r="O716" s="41">
        <v>1231</v>
      </c>
      <c r="P716" s="41">
        <v>13</v>
      </c>
      <c r="Q716" s="41">
        <v>45.7</v>
      </c>
      <c r="R716" s="45" t="s">
        <v>1324</v>
      </c>
      <c r="S716" s="45" t="s">
        <v>1307</v>
      </c>
      <c r="T716" s="45" t="s">
        <v>1307</v>
      </c>
      <c r="U716" s="44">
        <v>285.29000000000002</v>
      </c>
      <c r="V716" s="44">
        <v>402.26400000000001</v>
      </c>
      <c r="W716" s="44">
        <v>48.997660000000025</v>
      </c>
      <c r="X716" s="44">
        <v>29.425152622500001</v>
      </c>
      <c r="Y716" s="130" t="s">
        <v>4544</v>
      </c>
      <c r="Z716" s="224"/>
    </row>
    <row r="717" spans="2:26" ht="15" customHeight="1" x14ac:dyDescent="0.35">
      <c r="B717" s="181">
        <v>17035</v>
      </c>
      <c r="C717" s="182" t="s">
        <v>96</v>
      </c>
      <c r="D717" s="222">
        <v>12</v>
      </c>
      <c r="E717" s="223" t="s">
        <v>3570</v>
      </c>
      <c r="F717" s="183" t="s">
        <v>3571</v>
      </c>
      <c r="G717" s="125">
        <v>1.9146522216593316</v>
      </c>
      <c r="H717" s="121" t="s">
        <v>1336</v>
      </c>
      <c r="I717" s="122">
        <v>38</v>
      </c>
      <c r="J717" s="106" t="s">
        <v>4656</v>
      </c>
      <c r="K717" s="118">
        <v>198</v>
      </c>
      <c r="L717" s="46">
        <v>1.9084967320261439</v>
      </c>
      <c r="M717" s="41">
        <v>377.88235294117646</v>
      </c>
      <c r="N717" s="44">
        <v>10.154</v>
      </c>
      <c r="O717" s="41">
        <v>186</v>
      </c>
      <c r="P717" s="41">
        <v>5</v>
      </c>
      <c r="Q717" s="41">
        <v>30</v>
      </c>
      <c r="R717" s="45" t="s">
        <v>1307</v>
      </c>
      <c r="S717" s="45" t="s">
        <v>1307</v>
      </c>
      <c r="T717" s="45" t="s">
        <v>1307</v>
      </c>
      <c r="U717" s="44">
        <v>30.305700000000002</v>
      </c>
      <c r="V717" s="44">
        <v>41.738</v>
      </c>
      <c r="W717" s="44">
        <v>7.4390000000000001</v>
      </c>
      <c r="X717" s="44">
        <v>3.8853008999999998</v>
      </c>
      <c r="Y717" s="130" t="s">
        <v>4545</v>
      </c>
      <c r="Z717" s="224" t="s">
        <v>4546</v>
      </c>
    </row>
    <row r="718" spans="2:26" ht="15" customHeight="1" x14ac:dyDescent="0.35">
      <c r="B718" s="181">
        <v>27060</v>
      </c>
      <c r="C718" s="182" t="s">
        <v>185</v>
      </c>
      <c r="D718" s="222">
        <v>12</v>
      </c>
      <c r="E718" s="223" t="s">
        <v>3573</v>
      </c>
      <c r="F718" s="183" t="s">
        <v>3574</v>
      </c>
      <c r="G718" s="125">
        <v>6.0264236181412887</v>
      </c>
      <c r="H718" s="121" t="s">
        <v>1325</v>
      </c>
      <c r="I718" s="122">
        <v>59.081081081081081</v>
      </c>
      <c r="J718" s="106" t="s">
        <v>4656</v>
      </c>
      <c r="K718" s="118">
        <v>615</v>
      </c>
      <c r="L718" s="46">
        <v>2.1689708141321042</v>
      </c>
      <c r="M718" s="41">
        <v>1333.9170506912442</v>
      </c>
      <c r="N718" s="44">
        <v>20.608000000000001</v>
      </c>
      <c r="O718" s="41">
        <v>615</v>
      </c>
      <c r="P718" s="41">
        <v>6</v>
      </c>
      <c r="Q718" s="41">
        <v>32</v>
      </c>
      <c r="R718" s="45" t="s">
        <v>1324</v>
      </c>
      <c r="S718" s="45" t="s">
        <v>1324</v>
      </c>
      <c r="T718" s="45" t="s">
        <v>1324</v>
      </c>
      <c r="U718" s="44">
        <v>80.853300000000004</v>
      </c>
      <c r="V718" s="44">
        <v>153.947</v>
      </c>
      <c r="W718" s="44">
        <v>67.234795000000005</v>
      </c>
      <c r="X718" s="44">
        <v>11.15666592</v>
      </c>
      <c r="Y718" s="130" t="s">
        <v>4547</v>
      </c>
      <c r="Z718" s="224" t="s">
        <v>1533</v>
      </c>
    </row>
    <row r="719" spans="2:26" ht="15" customHeight="1" x14ac:dyDescent="0.35">
      <c r="B719" s="181">
        <v>11040</v>
      </c>
      <c r="C719" s="182" t="s">
        <v>24</v>
      </c>
      <c r="D719" s="222">
        <v>1</v>
      </c>
      <c r="E719" s="223" t="s">
        <v>3577</v>
      </c>
      <c r="F719" s="183" t="s">
        <v>3578</v>
      </c>
      <c r="G719" s="125">
        <v>2.3774073131870437</v>
      </c>
      <c r="H719" s="121" t="s">
        <v>1336</v>
      </c>
      <c r="I719" s="122">
        <v>58.378378378378386</v>
      </c>
      <c r="J719" s="106" t="s">
        <v>4656</v>
      </c>
      <c r="K719" s="118">
        <v>1633</v>
      </c>
      <c r="L719" s="46">
        <v>2.0099999999999998</v>
      </c>
      <c r="M719" s="41">
        <v>3282.3299999999995</v>
      </c>
      <c r="N719" s="44">
        <v>36.6</v>
      </c>
      <c r="O719" s="41">
        <v>1277</v>
      </c>
      <c r="P719" s="41">
        <v>5</v>
      </c>
      <c r="Q719" s="41">
        <v>47.599999999999994</v>
      </c>
      <c r="R719" s="45" t="s">
        <v>1307</v>
      </c>
      <c r="S719" s="45" t="s">
        <v>1307</v>
      </c>
      <c r="T719" s="45" t="s">
        <v>1307</v>
      </c>
      <c r="U719" s="44">
        <v>345.93126450511949</v>
      </c>
      <c r="V719" s="44">
        <v>455.24199999999996</v>
      </c>
      <c r="W719" s="44">
        <v>76.002369999999985</v>
      </c>
      <c r="X719" s="44">
        <v>31.968594349999993</v>
      </c>
      <c r="Y719" s="130" t="s">
        <v>4548</v>
      </c>
      <c r="Z719" s="224" t="s">
        <v>4549</v>
      </c>
    </row>
    <row r="720" spans="2:26" ht="15" customHeight="1" x14ac:dyDescent="0.35">
      <c r="B720" s="181">
        <v>37067</v>
      </c>
      <c r="C720" s="182" t="s">
        <v>314</v>
      </c>
      <c r="D720" s="222">
        <v>4</v>
      </c>
      <c r="E720" s="223" t="s">
        <v>3583</v>
      </c>
      <c r="F720" s="183" t="s">
        <v>3584</v>
      </c>
      <c r="G720" s="125">
        <v>3.1028990288081819</v>
      </c>
      <c r="H720" s="121" t="s">
        <v>1373</v>
      </c>
      <c r="I720" s="122">
        <v>56</v>
      </c>
      <c r="J720" s="106" t="s">
        <v>4656</v>
      </c>
      <c r="K720" s="118">
        <v>21571</v>
      </c>
      <c r="L720" s="46">
        <v>1.9424698367636621</v>
      </c>
      <c r="M720" s="41">
        <v>41901.016848828956</v>
      </c>
      <c r="N720" s="44">
        <v>286.73200000000003</v>
      </c>
      <c r="O720" s="41">
        <v>13720</v>
      </c>
      <c r="P720" s="41">
        <v>6</v>
      </c>
      <c r="Q720" s="41">
        <v>49.5</v>
      </c>
      <c r="R720" s="45" t="s">
        <v>1307</v>
      </c>
      <c r="S720" s="45" t="s">
        <v>1307</v>
      </c>
      <c r="T720" s="45" t="s">
        <v>1307</v>
      </c>
      <c r="U720" s="44">
        <v>4630.1847185663655</v>
      </c>
      <c r="V720" s="44">
        <v>5908.7529999999997</v>
      </c>
      <c r="W720" s="44">
        <v>1020.051192</v>
      </c>
      <c r="X720" s="44">
        <v>328.74134237999999</v>
      </c>
      <c r="Y720" s="130" t="s">
        <v>4550</v>
      </c>
      <c r="Z720" s="224" t="s">
        <v>4551</v>
      </c>
    </row>
    <row r="721" spans="2:26" ht="15" customHeight="1" x14ac:dyDescent="0.35">
      <c r="B721" s="181">
        <v>37067</v>
      </c>
      <c r="C721" s="182" t="s">
        <v>314</v>
      </c>
      <c r="D721" s="222">
        <v>4</v>
      </c>
      <c r="E721" s="223" t="s">
        <v>3585</v>
      </c>
      <c r="F721" s="183" t="s">
        <v>3586</v>
      </c>
      <c r="G721" s="125">
        <v>5.7976032241664344</v>
      </c>
      <c r="H721" s="121" t="s">
        <v>2227</v>
      </c>
      <c r="I721" s="122">
        <v>56</v>
      </c>
      <c r="J721" s="106" t="s">
        <v>4656</v>
      </c>
      <c r="K721" s="118">
        <v>47495</v>
      </c>
      <c r="L721" s="46">
        <v>1.9424698367636621</v>
      </c>
      <c r="M721" s="41">
        <v>92257.604897090132</v>
      </c>
      <c r="N721" s="44">
        <v>594.48299999999995</v>
      </c>
      <c r="O721" s="41">
        <v>26485</v>
      </c>
      <c r="P721" s="41">
        <v>6</v>
      </c>
      <c r="Q721" s="41">
        <v>54.8</v>
      </c>
      <c r="R721" s="45" t="s">
        <v>1307</v>
      </c>
      <c r="S721" s="45" t="s">
        <v>1307</v>
      </c>
      <c r="T721" s="45" t="s">
        <v>1307</v>
      </c>
      <c r="U721" s="44">
        <v>7954.2239007156377</v>
      </c>
      <c r="V721" s="44">
        <v>12936.964</v>
      </c>
      <c r="W721" s="44">
        <v>4158.6242879999954</v>
      </c>
      <c r="X721" s="44">
        <v>717.30060288799996</v>
      </c>
      <c r="Y721" s="130" t="s">
        <v>4552</v>
      </c>
      <c r="Z721" s="224" t="s">
        <v>4551</v>
      </c>
    </row>
    <row r="722" spans="2:26" ht="15" customHeight="1" x14ac:dyDescent="0.35">
      <c r="B722" s="181">
        <v>37067</v>
      </c>
      <c r="C722" s="182" t="s">
        <v>314</v>
      </c>
      <c r="D722" s="222">
        <v>4</v>
      </c>
      <c r="E722" s="223" t="s">
        <v>3587</v>
      </c>
      <c r="F722" s="183" t="s">
        <v>3588</v>
      </c>
      <c r="G722" s="125">
        <v>1.7873118020249528</v>
      </c>
      <c r="H722" s="121" t="s">
        <v>1336</v>
      </c>
      <c r="I722" s="122">
        <v>57</v>
      </c>
      <c r="J722" s="106" t="s">
        <v>4656</v>
      </c>
      <c r="K722" s="118">
        <v>2427</v>
      </c>
      <c r="L722" s="46">
        <v>2.33</v>
      </c>
      <c r="M722" s="41">
        <v>5654.91</v>
      </c>
      <c r="N722" s="44">
        <v>51.192</v>
      </c>
      <c r="O722" s="41">
        <v>2148</v>
      </c>
      <c r="P722" s="41">
        <v>6</v>
      </c>
      <c r="Q722" s="41">
        <v>40.799999999999997</v>
      </c>
      <c r="R722" s="45" t="s">
        <v>1307</v>
      </c>
      <c r="S722" s="45" t="s">
        <v>1307</v>
      </c>
      <c r="T722" s="45" t="s">
        <v>1307</v>
      </c>
      <c r="U722" s="44">
        <v>408.61313720383271</v>
      </c>
      <c r="V722" s="44">
        <v>523.45900000000006</v>
      </c>
      <c r="W722" s="44">
        <v>78.84</v>
      </c>
      <c r="X722" s="44">
        <v>44.110937952</v>
      </c>
      <c r="Y722" s="130" t="s">
        <v>4553</v>
      </c>
      <c r="Z722" s="224"/>
    </row>
    <row r="723" spans="2:26" ht="15" customHeight="1" x14ac:dyDescent="0.35">
      <c r="B723" s="181">
        <v>48038</v>
      </c>
      <c r="C723" s="182" t="s">
        <v>461</v>
      </c>
      <c r="D723" s="222">
        <v>16</v>
      </c>
      <c r="E723" s="223" t="s">
        <v>3592</v>
      </c>
      <c r="F723" s="183" t="s">
        <v>3593</v>
      </c>
      <c r="G723" s="125">
        <v>12.018406998054243</v>
      </c>
      <c r="H723" s="121" t="s">
        <v>1336</v>
      </c>
      <c r="I723" s="122">
        <v>61.323529411764696</v>
      </c>
      <c r="J723" s="106" t="s">
        <v>4656</v>
      </c>
      <c r="K723" s="118">
        <v>526</v>
      </c>
      <c r="L723" s="46">
        <v>2.7058823529411766</v>
      </c>
      <c r="M723" s="41">
        <v>1423.294117647059</v>
      </c>
      <c r="N723" s="44">
        <v>13.083</v>
      </c>
      <c r="O723" s="41">
        <v>516</v>
      </c>
      <c r="P723" s="41">
        <v>9</v>
      </c>
      <c r="Q723" s="41">
        <v>39.4</v>
      </c>
      <c r="R723" s="45" t="s">
        <v>1307</v>
      </c>
      <c r="S723" s="45" t="s">
        <v>1307</v>
      </c>
      <c r="T723" s="45" t="s">
        <v>1307</v>
      </c>
      <c r="U723" s="44">
        <v>120.45307067137809</v>
      </c>
      <c r="V723" s="44">
        <v>410.31900000000002</v>
      </c>
      <c r="W723" s="44">
        <v>132.11534489795918</v>
      </c>
      <c r="X723" s="44">
        <v>10.992750114</v>
      </c>
      <c r="Y723" s="130" t="s">
        <v>4554</v>
      </c>
      <c r="Z723" s="224"/>
    </row>
    <row r="724" spans="2:26" ht="15" customHeight="1" x14ac:dyDescent="0.35">
      <c r="B724" s="181">
        <v>7080</v>
      </c>
      <c r="C724" s="182" t="s">
        <v>1080</v>
      </c>
      <c r="D724" s="222">
        <v>1</v>
      </c>
      <c r="E724" s="223" t="s">
        <v>3595</v>
      </c>
      <c r="F724" s="183" t="s">
        <v>3596</v>
      </c>
      <c r="G724" s="125">
        <v>8.6638487762893845</v>
      </c>
      <c r="H724" s="121" t="s">
        <v>1336</v>
      </c>
      <c r="I724" s="122">
        <v>45.081081081081081</v>
      </c>
      <c r="J724" s="106" t="s">
        <v>4656</v>
      </c>
      <c r="K724" s="118">
        <v>267</v>
      </c>
      <c r="L724" s="46">
        <v>2.04</v>
      </c>
      <c r="M724" s="41">
        <v>544.68000000000006</v>
      </c>
      <c r="N724" s="44">
        <v>8.32</v>
      </c>
      <c r="O724" s="41">
        <v>278</v>
      </c>
      <c r="P724" s="41">
        <v>10</v>
      </c>
      <c r="Q724" s="41">
        <v>46.9</v>
      </c>
      <c r="R724" s="45" t="s">
        <v>1307</v>
      </c>
      <c r="S724" s="45" t="s">
        <v>1307</v>
      </c>
      <c r="T724" s="45" t="s">
        <v>1307</v>
      </c>
      <c r="U724" s="44">
        <v>34.559212230215827</v>
      </c>
      <c r="V724" s="44">
        <v>103.032</v>
      </c>
      <c r="W724" s="44">
        <v>65.503519999999995</v>
      </c>
      <c r="X724" s="44">
        <v>7.5605567100000002</v>
      </c>
      <c r="Y724" s="130" t="s">
        <v>4555</v>
      </c>
      <c r="Z724" s="224" t="s">
        <v>4556</v>
      </c>
    </row>
    <row r="725" spans="2:26" ht="15" customHeight="1" x14ac:dyDescent="0.35">
      <c r="B725" s="181">
        <v>42060</v>
      </c>
      <c r="C725" s="182" t="s">
        <v>387</v>
      </c>
      <c r="D725" s="222">
        <v>5</v>
      </c>
      <c r="E725" s="223" t="s">
        <v>3600</v>
      </c>
      <c r="F725" s="183" t="s">
        <v>3601</v>
      </c>
      <c r="G725" s="125">
        <v>1.127885810323793</v>
      </c>
      <c r="H725" s="121" t="s">
        <v>1336</v>
      </c>
      <c r="I725" s="122">
        <v>64.702702702702709</v>
      </c>
      <c r="J725" s="106" t="s">
        <v>4656</v>
      </c>
      <c r="K725" s="118">
        <v>139</v>
      </c>
      <c r="L725" s="46">
        <v>1.9117387466902029</v>
      </c>
      <c r="M725" s="41">
        <v>265.73168578993818</v>
      </c>
      <c r="N725" s="44">
        <v>3.9889999999999999</v>
      </c>
      <c r="O725" s="41">
        <v>132</v>
      </c>
      <c r="P725" s="41">
        <v>12</v>
      </c>
      <c r="Q725" s="41">
        <v>56.951999999999998</v>
      </c>
      <c r="R725" s="45" t="s">
        <v>1307</v>
      </c>
      <c r="S725" s="45" t="s">
        <v>1307</v>
      </c>
      <c r="T725" s="45" t="s">
        <v>1307</v>
      </c>
      <c r="U725" s="44">
        <v>16.147720496894408</v>
      </c>
      <c r="V725" s="44">
        <v>23.274000000000001</v>
      </c>
      <c r="W725" s="44">
        <v>5.087807999999999</v>
      </c>
      <c r="X725" s="44">
        <v>4.5109247349599988</v>
      </c>
      <c r="Y725" s="130" t="s">
        <v>4557</v>
      </c>
      <c r="Z725" s="224" t="s">
        <v>4558</v>
      </c>
    </row>
    <row r="726" spans="2:26" ht="15" customHeight="1" x14ac:dyDescent="0.35">
      <c r="B726" s="181">
        <v>42060</v>
      </c>
      <c r="C726" s="182" t="s">
        <v>387</v>
      </c>
      <c r="D726" s="222">
        <v>5</v>
      </c>
      <c r="E726" s="223" t="s">
        <v>3602</v>
      </c>
      <c r="F726" s="183" t="s">
        <v>3603</v>
      </c>
      <c r="G726" s="125">
        <v>4.4000000000000004</v>
      </c>
      <c r="H726" s="121" t="s">
        <v>1336</v>
      </c>
      <c r="I726" s="122">
        <v>59</v>
      </c>
      <c r="J726" s="106" t="s">
        <v>4656</v>
      </c>
      <c r="K726" s="118"/>
      <c r="L726" s="46"/>
      <c r="M726" s="41"/>
      <c r="N726" s="44"/>
      <c r="O726" s="41"/>
      <c r="P726" s="41"/>
      <c r="Q726" s="41"/>
      <c r="R726" s="45"/>
      <c r="S726" s="45"/>
      <c r="T726" s="45"/>
      <c r="U726" s="44"/>
      <c r="V726" s="44"/>
      <c r="W726" s="44" t="s">
        <v>1124</v>
      </c>
      <c r="X726" s="44"/>
      <c r="Y726" s="130" t="s">
        <v>4559</v>
      </c>
      <c r="Z726" s="224"/>
    </row>
    <row r="727" spans="2:26" ht="15" customHeight="1" x14ac:dyDescent="0.35">
      <c r="B727" s="181">
        <v>42055</v>
      </c>
      <c r="C727" s="182" t="s">
        <v>386</v>
      </c>
      <c r="D727" s="222">
        <v>5</v>
      </c>
      <c r="E727" s="223" t="s">
        <v>3602</v>
      </c>
      <c r="F727" s="183" t="s">
        <v>3603</v>
      </c>
      <c r="G727" s="125">
        <v>4.3611784649286163</v>
      </c>
      <c r="H727" s="121" t="s">
        <v>1336</v>
      </c>
      <c r="I727" s="122">
        <v>59</v>
      </c>
      <c r="J727" s="106" t="s">
        <v>4656</v>
      </c>
      <c r="K727" s="118">
        <v>1224</v>
      </c>
      <c r="L727" s="46">
        <v>2.3793627450980392</v>
      </c>
      <c r="M727" s="41">
        <v>2912.34</v>
      </c>
      <c r="N727" s="44">
        <v>26.463000000000001</v>
      </c>
      <c r="O727" s="41">
        <v>918</v>
      </c>
      <c r="P727" s="41">
        <v>7</v>
      </c>
      <c r="Q727" s="41">
        <v>48.92</v>
      </c>
      <c r="R727" s="45" t="s">
        <v>1307</v>
      </c>
      <c r="S727" s="45" t="s">
        <v>1307</v>
      </c>
      <c r="T727" s="45" t="s">
        <v>1307</v>
      </c>
      <c r="U727" s="44">
        <v>228.30487938113967</v>
      </c>
      <c r="V727" s="44">
        <v>429.81799999999998</v>
      </c>
      <c r="W727" s="44">
        <v>106.79286799999996</v>
      </c>
      <c r="X727" s="44">
        <v>24.487158427200008</v>
      </c>
      <c r="Y727" s="130" t="s">
        <v>4559</v>
      </c>
      <c r="Z727" s="224"/>
    </row>
    <row r="728" spans="2:26" ht="15" customHeight="1" x14ac:dyDescent="0.35">
      <c r="B728" s="181">
        <v>78010</v>
      </c>
      <c r="C728" s="182" t="s">
        <v>767</v>
      </c>
      <c r="D728" s="222">
        <v>15</v>
      </c>
      <c r="E728" s="223" t="s">
        <v>3608</v>
      </c>
      <c r="F728" s="183" t="s">
        <v>3609</v>
      </c>
      <c r="G728" s="125">
        <v>4.4401792873320387</v>
      </c>
      <c r="H728" s="121" t="s">
        <v>1325</v>
      </c>
      <c r="I728" s="122">
        <v>56.438775510204074</v>
      </c>
      <c r="J728" s="106" t="s">
        <v>4656</v>
      </c>
      <c r="K728" s="118">
        <v>2163</v>
      </c>
      <c r="L728" s="46">
        <v>1.749748068525361</v>
      </c>
      <c r="M728" s="41">
        <v>3784.7050722203558</v>
      </c>
      <c r="N728" s="44">
        <v>47</v>
      </c>
      <c r="O728" s="41">
        <v>1972</v>
      </c>
      <c r="P728" s="41">
        <v>12</v>
      </c>
      <c r="Q728" s="41">
        <v>56.89</v>
      </c>
      <c r="R728" s="45" t="s">
        <v>1307</v>
      </c>
      <c r="S728" s="45" t="s">
        <v>1307</v>
      </c>
      <c r="T728" s="45" t="s">
        <v>1324</v>
      </c>
      <c r="U728" s="44">
        <v>343.13215334773219</v>
      </c>
      <c r="V728" s="44">
        <v>681.846</v>
      </c>
      <c r="W728" s="44">
        <v>278.00040540816332</v>
      </c>
      <c r="X728" s="44">
        <v>62.610175720000001</v>
      </c>
      <c r="Y728" s="130" t="s">
        <v>4560</v>
      </c>
      <c r="Z728" s="224" t="s">
        <v>3762</v>
      </c>
    </row>
    <row r="729" spans="2:26" ht="15" customHeight="1" x14ac:dyDescent="0.35">
      <c r="B729" s="181">
        <v>78010</v>
      </c>
      <c r="C729" s="182" t="s">
        <v>767</v>
      </c>
      <c r="D729" s="222">
        <v>15</v>
      </c>
      <c r="E729" s="223" t="s">
        <v>3610</v>
      </c>
      <c r="F729" s="183" t="s">
        <v>3611</v>
      </c>
      <c r="G729" s="125">
        <v>5.1589146848867271</v>
      </c>
      <c r="H729" s="121" t="s">
        <v>1336</v>
      </c>
      <c r="I729" s="122">
        <v>56.438775510204074</v>
      </c>
      <c r="J729" s="106" t="s">
        <v>4656</v>
      </c>
      <c r="K729" s="118">
        <v>737</v>
      </c>
      <c r="L729" s="46">
        <v>1.749748068525361</v>
      </c>
      <c r="M729" s="41">
        <v>1289.5643265031911</v>
      </c>
      <c r="N729" s="44">
        <v>16.122</v>
      </c>
      <c r="O729" s="41">
        <v>566</v>
      </c>
      <c r="P729" s="41">
        <v>12</v>
      </c>
      <c r="Q729" s="41">
        <v>56.9</v>
      </c>
      <c r="R729" s="45" t="s">
        <v>1307</v>
      </c>
      <c r="S729" s="45" t="s">
        <v>1307</v>
      </c>
      <c r="T729" s="45" t="s">
        <v>1307</v>
      </c>
      <c r="U729" s="44">
        <v>65.755601827676244</v>
      </c>
      <c r="V729" s="44">
        <v>199.60300000000001</v>
      </c>
      <c r="W729" s="44">
        <v>97.799628469387756</v>
      </c>
      <c r="X729" s="44">
        <v>18.957403725999999</v>
      </c>
      <c r="Y729" s="130" t="s">
        <v>4561</v>
      </c>
      <c r="Z729" s="224" t="s">
        <v>3762</v>
      </c>
    </row>
    <row r="730" spans="2:26" ht="15" customHeight="1" x14ac:dyDescent="0.35">
      <c r="B730" s="181">
        <v>89008</v>
      </c>
      <c r="C730" s="182" t="s">
        <v>928</v>
      </c>
      <c r="D730" s="222">
        <v>8</v>
      </c>
      <c r="E730" s="223" t="s">
        <v>3616</v>
      </c>
      <c r="F730" s="183" t="s">
        <v>3617</v>
      </c>
      <c r="G730" s="125">
        <v>2.7165361936385257</v>
      </c>
      <c r="H730" s="121" t="s">
        <v>1373</v>
      </c>
      <c r="I730" s="122">
        <v>62</v>
      </c>
      <c r="J730" s="106" t="s">
        <v>4656</v>
      </c>
      <c r="K730" s="118">
        <v>12370</v>
      </c>
      <c r="L730" s="46">
        <v>2.2309465690263086</v>
      </c>
      <c r="M730" s="41">
        <v>27596.809058855437</v>
      </c>
      <c r="N730" s="44">
        <v>192</v>
      </c>
      <c r="O730" s="41">
        <v>8340</v>
      </c>
      <c r="P730" s="41">
        <v>5</v>
      </c>
      <c r="Q730" s="41">
        <v>63.3</v>
      </c>
      <c r="R730" s="45" t="s">
        <v>1307</v>
      </c>
      <c r="S730" s="45" t="s">
        <v>1307</v>
      </c>
      <c r="T730" s="45" t="s">
        <v>1307</v>
      </c>
      <c r="U730" s="44">
        <v>2309.61</v>
      </c>
      <c r="V730" s="44">
        <v>3901.8049999999998</v>
      </c>
      <c r="W730" s="44">
        <v>701.10761323298402</v>
      </c>
      <c r="X730" s="44">
        <v>258.08881724999998</v>
      </c>
      <c r="Y730" s="130" t="s">
        <v>4562</v>
      </c>
      <c r="Z730" s="224"/>
    </row>
    <row r="731" spans="2:26" ht="15" customHeight="1" x14ac:dyDescent="0.35">
      <c r="B731" s="181">
        <v>89008</v>
      </c>
      <c r="C731" s="182" t="s">
        <v>928</v>
      </c>
      <c r="D731" s="222">
        <v>8</v>
      </c>
      <c r="E731" s="223" t="s">
        <v>3618</v>
      </c>
      <c r="F731" s="183" t="s">
        <v>3619</v>
      </c>
      <c r="G731" s="125">
        <v>1.9269806707136299</v>
      </c>
      <c r="H731" s="121" t="s">
        <v>1336</v>
      </c>
      <c r="I731" s="122">
        <v>59.081081081081081</v>
      </c>
      <c r="J731" s="106" t="s">
        <v>4656</v>
      </c>
      <c r="K731" s="118">
        <v>109</v>
      </c>
      <c r="L731" s="46">
        <v>2.2309465690263086</v>
      </c>
      <c r="M731" s="41">
        <v>243.17317602386763</v>
      </c>
      <c r="N731" s="44">
        <v>6.3049999999999997</v>
      </c>
      <c r="O731" s="41">
        <v>108</v>
      </c>
      <c r="P731" s="41">
        <v>5</v>
      </c>
      <c r="Q731" s="41">
        <v>45.7</v>
      </c>
      <c r="R731" s="45" t="s">
        <v>1307</v>
      </c>
      <c r="S731" s="45" t="s">
        <v>1307</v>
      </c>
      <c r="T731" s="45" t="s">
        <v>1307</v>
      </c>
      <c r="U731" s="44">
        <v>15.327999999999999</v>
      </c>
      <c r="V731" s="44">
        <v>23.667000000000002</v>
      </c>
      <c r="W731" s="44">
        <v>6.8589950000000011</v>
      </c>
      <c r="X731" s="44">
        <v>3.559451895</v>
      </c>
      <c r="Y731" s="130" t="s">
        <v>4563</v>
      </c>
      <c r="Z731" s="224"/>
    </row>
    <row r="732" spans="2:26" ht="15" customHeight="1" x14ac:dyDescent="0.35">
      <c r="B732" s="181">
        <v>89008</v>
      </c>
      <c r="C732" s="182" t="s">
        <v>928</v>
      </c>
      <c r="D732" s="222">
        <v>8</v>
      </c>
      <c r="E732" s="223" t="s">
        <v>3620</v>
      </c>
      <c r="F732" s="183" t="s">
        <v>3621</v>
      </c>
      <c r="G732" s="125">
        <v>2.5819407588037002</v>
      </c>
      <c r="H732" s="121" t="s">
        <v>1336</v>
      </c>
      <c r="I732" s="122">
        <v>59.081081081081081</v>
      </c>
      <c r="J732" s="106" t="s">
        <v>4656</v>
      </c>
      <c r="K732" s="118">
        <v>18</v>
      </c>
      <c r="L732" s="46">
        <v>2.2309465690263086</v>
      </c>
      <c r="M732" s="41">
        <v>40.157038242473554</v>
      </c>
      <c r="N732" s="44">
        <v>1.835</v>
      </c>
      <c r="O732" s="41">
        <v>22</v>
      </c>
      <c r="P732" s="41">
        <v>5</v>
      </c>
      <c r="Q732" s="41">
        <v>38.200000000000003</v>
      </c>
      <c r="R732" s="45" t="s">
        <v>1307</v>
      </c>
      <c r="S732" s="45" t="s">
        <v>1307</v>
      </c>
      <c r="T732" s="45" t="s">
        <v>1307</v>
      </c>
      <c r="U732" s="44">
        <v>2.0019999999999998</v>
      </c>
      <c r="V732" s="44">
        <v>4.8879999999999999</v>
      </c>
      <c r="W732" s="44">
        <v>1.9216799999999998</v>
      </c>
      <c r="X732" s="44">
        <v>0.74427734000000012</v>
      </c>
      <c r="Y732" s="130" t="s">
        <v>4564</v>
      </c>
      <c r="Z732" s="224"/>
    </row>
    <row r="733" spans="2:26" ht="15" customHeight="1" x14ac:dyDescent="0.35">
      <c r="B733" s="181">
        <v>26015</v>
      </c>
      <c r="C733" s="182" t="s">
        <v>169</v>
      </c>
      <c r="D733" s="222">
        <v>12</v>
      </c>
      <c r="E733" s="223" t="s">
        <v>3625</v>
      </c>
      <c r="F733" s="183" t="s">
        <v>3626</v>
      </c>
      <c r="G733" s="125">
        <v>2.1277588299643826</v>
      </c>
      <c r="H733" s="121" t="s">
        <v>1336</v>
      </c>
      <c r="I733" s="122">
        <v>41.843137254901954</v>
      </c>
      <c r="J733" s="106" t="s">
        <v>4656</v>
      </c>
      <c r="K733" s="118">
        <v>944</v>
      </c>
      <c r="L733" s="46">
        <v>1.68</v>
      </c>
      <c r="M733" s="41">
        <v>1585.9199999999998</v>
      </c>
      <c r="N733" s="44">
        <v>17.425000000000001</v>
      </c>
      <c r="O733" s="41">
        <v>981</v>
      </c>
      <c r="P733" s="41">
        <v>8</v>
      </c>
      <c r="Q733" s="41">
        <v>60</v>
      </c>
      <c r="R733" s="45" t="s">
        <v>1307</v>
      </c>
      <c r="S733" s="45" t="s">
        <v>1307</v>
      </c>
      <c r="T733" s="45" t="s">
        <v>1307</v>
      </c>
      <c r="U733" s="44">
        <v>173.51400000000001</v>
      </c>
      <c r="V733" s="44">
        <v>254.46899999999999</v>
      </c>
      <c r="W733" s="44">
        <v>60.327995025773191</v>
      </c>
      <c r="X733" s="44">
        <v>28.352834999999999</v>
      </c>
      <c r="Y733" s="130" t="s">
        <v>4565</v>
      </c>
      <c r="Z733" s="224" t="s">
        <v>4566</v>
      </c>
    </row>
    <row r="734" spans="2:26" ht="15" customHeight="1" x14ac:dyDescent="0.35">
      <c r="B734" s="181">
        <v>78005</v>
      </c>
      <c r="C734" s="182" t="s">
        <v>766</v>
      </c>
      <c r="D734" s="222">
        <v>15</v>
      </c>
      <c r="E734" s="223" t="s">
        <v>3629</v>
      </c>
      <c r="F734" s="183" t="s">
        <v>3630</v>
      </c>
      <c r="G734" s="125">
        <v>1.4733766773545525</v>
      </c>
      <c r="H734" s="121" t="s">
        <v>1336</v>
      </c>
      <c r="I734" s="122">
        <v>59.081081081081081</v>
      </c>
      <c r="J734" s="106" t="s">
        <v>4656</v>
      </c>
      <c r="K734" s="118">
        <v>1327</v>
      </c>
      <c r="L734" s="46">
        <v>1.6755986316989737</v>
      </c>
      <c r="M734" s="41">
        <v>2223.5193842645381</v>
      </c>
      <c r="N734" s="44">
        <v>42.076999999999998</v>
      </c>
      <c r="O734" s="41">
        <v>1348</v>
      </c>
      <c r="P734" s="41">
        <v>15.7</v>
      </c>
      <c r="Q734" s="41">
        <v>66.2</v>
      </c>
      <c r="R734" s="45" t="s">
        <v>1307</v>
      </c>
      <c r="S734" s="45" t="s">
        <v>1307</v>
      </c>
      <c r="T734" s="45" t="s">
        <v>1307</v>
      </c>
      <c r="U734" s="44">
        <v>345.28894654788422</v>
      </c>
      <c r="V734" s="44">
        <v>441.30500000000001</v>
      </c>
      <c r="W734" s="44">
        <v>84.192424999999986</v>
      </c>
      <c r="X734" s="44">
        <v>57.142498788000005</v>
      </c>
      <c r="Y734" s="130" t="s">
        <v>4567</v>
      </c>
      <c r="Z734" s="224"/>
    </row>
    <row r="735" spans="2:26" ht="15" customHeight="1" x14ac:dyDescent="0.35">
      <c r="B735" s="181">
        <v>78005</v>
      </c>
      <c r="C735" s="182" t="s">
        <v>766</v>
      </c>
      <c r="D735" s="222">
        <v>15</v>
      </c>
      <c r="E735" s="223" t="s">
        <v>3631</v>
      </c>
      <c r="F735" s="183" t="s">
        <v>2761</v>
      </c>
      <c r="G735" s="125">
        <v>5.3</v>
      </c>
      <c r="H735" s="121" t="s">
        <v>1373</v>
      </c>
      <c r="I735" s="122">
        <v>60</v>
      </c>
      <c r="J735" s="106" t="s">
        <v>4656</v>
      </c>
      <c r="K735" s="118"/>
      <c r="L735" s="46"/>
      <c r="M735" s="41"/>
      <c r="N735" s="44"/>
      <c r="O735" s="41"/>
      <c r="P735" s="41"/>
      <c r="Q735" s="41"/>
      <c r="R735" s="45"/>
      <c r="S735" s="45"/>
      <c r="T735" s="45"/>
      <c r="U735" s="44"/>
      <c r="V735" s="44"/>
      <c r="W735" s="44" t="s">
        <v>1124</v>
      </c>
      <c r="X735" s="44"/>
      <c r="Y735" s="130" t="s">
        <v>4568</v>
      </c>
      <c r="Z735" s="224"/>
    </row>
    <row r="736" spans="2:26" ht="15" customHeight="1" x14ac:dyDescent="0.35">
      <c r="B736" s="181">
        <v>59025</v>
      </c>
      <c r="C736" s="182" t="s">
        <v>602</v>
      </c>
      <c r="D736" s="222">
        <v>16</v>
      </c>
      <c r="E736" s="223" t="s">
        <v>3633</v>
      </c>
      <c r="F736" s="183" t="s">
        <v>3634</v>
      </c>
      <c r="G736" s="125">
        <v>3.8692444218776583</v>
      </c>
      <c r="H736" s="121" t="s">
        <v>1325</v>
      </c>
      <c r="I736" s="122">
        <v>48</v>
      </c>
      <c r="J736" s="106" t="s">
        <v>4656</v>
      </c>
      <c r="K736" s="118">
        <v>2446</v>
      </c>
      <c r="L736" s="46">
        <v>2.3704006541291904</v>
      </c>
      <c r="M736" s="41">
        <v>5798</v>
      </c>
      <c r="N736" s="44">
        <v>55.42</v>
      </c>
      <c r="O736" s="41">
        <v>2086</v>
      </c>
      <c r="P736" s="41">
        <v>7</v>
      </c>
      <c r="Q736" s="41">
        <v>43.31</v>
      </c>
      <c r="R736" s="45" t="s">
        <v>1324</v>
      </c>
      <c r="S736" s="45" t="s">
        <v>1324</v>
      </c>
      <c r="T736" s="45" t="s">
        <v>1307</v>
      </c>
      <c r="U736" s="44">
        <v>375.767</v>
      </c>
      <c r="V736" s="44">
        <v>733.75099999999998</v>
      </c>
      <c r="W736" s="44">
        <v>185.41800000000001</v>
      </c>
      <c r="X736" s="44">
        <v>47.920983991500016</v>
      </c>
      <c r="Y736" s="130" t="s">
        <v>4569</v>
      </c>
      <c r="Z736" s="224"/>
    </row>
    <row r="737" spans="2:26" ht="15" customHeight="1" x14ac:dyDescent="0.35">
      <c r="B737" s="181">
        <v>39062</v>
      </c>
      <c r="C737" s="182" t="s">
        <v>346</v>
      </c>
      <c r="D737" s="222">
        <v>17</v>
      </c>
      <c r="E737" s="223" t="s">
        <v>2697</v>
      </c>
      <c r="F737" s="183" t="s">
        <v>3638</v>
      </c>
      <c r="G737" s="125">
        <v>12.650720646453449</v>
      </c>
      <c r="H737" s="121" t="s">
        <v>1373</v>
      </c>
      <c r="I737" s="122">
        <v>62.639626136438103</v>
      </c>
      <c r="J737" s="106" t="s">
        <v>4656</v>
      </c>
      <c r="K737" s="118">
        <v>16584</v>
      </c>
      <c r="L737" s="46">
        <v>2.1638326097443317</v>
      </c>
      <c r="M737" s="41">
        <v>35885</v>
      </c>
      <c r="N737" s="44">
        <v>276.08</v>
      </c>
      <c r="O737" s="41">
        <v>10469</v>
      </c>
      <c r="P737" s="41">
        <v>4.5</v>
      </c>
      <c r="Q737" s="41">
        <v>42</v>
      </c>
      <c r="R737" s="45" t="s">
        <v>1307</v>
      </c>
      <c r="S737" s="45" t="s">
        <v>1307</v>
      </c>
      <c r="T737" s="45" t="s">
        <v>1307</v>
      </c>
      <c r="U737" s="44">
        <v>2254.9574227926832</v>
      </c>
      <c r="V737" s="44">
        <v>7598.4940000000015</v>
      </c>
      <c r="W737" s="44">
        <v>2816.4100800000006</v>
      </c>
      <c r="X737" s="44">
        <v>222.62843032500001</v>
      </c>
      <c r="Y737" s="130" t="s">
        <v>4570</v>
      </c>
      <c r="Z737" s="224"/>
    </row>
    <row r="738" spans="2:26" ht="15" customHeight="1" x14ac:dyDescent="0.35">
      <c r="B738" s="181">
        <v>39062</v>
      </c>
      <c r="C738" s="182" t="s">
        <v>346</v>
      </c>
      <c r="D738" s="222">
        <v>17</v>
      </c>
      <c r="E738" s="223" t="s">
        <v>3639</v>
      </c>
      <c r="F738" s="183" t="s">
        <v>3640</v>
      </c>
      <c r="G738" s="125">
        <v>4.7677896346352338</v>
      </c>
      <c r="H738" s="121" t="s">
        <v>1336</v>
      </c>
      <c r="I738" s="122">
        <v>54</v>
      </c>
      <c r="J738" s="106" t="s">
        <v>4656</v>
      </c>
      <c r="K738" s="118">
        <v>4909</v>
      </c>
      <c r="L738" s="46">
        <v>2.1565149995440867</v>
      </c>
      <c r="M738" s="41">
        <v>10586.332132761921</v>
      </c>
      <c r="N738" s="44">
        <v>78.914999999999992</v>
      </c>
      <c r="O738" s="41">
        <v>3733</v>
      </c>
      <c r="P738" s="41">
        <v>4.5</v>
      </c>
      <c r="Q738" s="41">
        <v>46.9</v>
      </c>
      <c r="R738" s="45" t="s">
        <v>1307</v>
      </c>
      <c r="S738" s="45" t="s">
        <v>1307</v>
      </c>
      <c r="T738" s="45" t="s">
        <v>1307</v>
      </c>
      <c r="U738" s="44">
        <v>1174.7036468491392</v>
      </c>
      <c r="V738" s="44">
        <v>1689.5459999999998</v>
      </c>
      <c r="W738" s="44">
        <v>393.953552</v>
      </c>
      <c r="X738" s="44">
        <v>82.628132151249986</v>
      </c>
      <c r="Y738" s="130" t="s">
        <v>4571</v>
      </c>
      <c r="Z738" s="224"/>
    </row>
    <row r="739" spans="2:26" ht="15" customHeight="1" x14ac:dyDescent="0.35">
      <c r="B739" s="181">
        <v>85025</v>
      </c>
      <c r="C739" s="182" t="s">
        <v>874</v>
      </c>
      <c r="D739" s="222">
        <v>8</v>
      </c>
      <c r="E739" s="223" t="s">
        <v>3644</v>
      </c>
      <c r="F739" s="183" t="s">
        <v>3645</v>
      </c>
      <c r="G739" s="125">
        <v>1.5113479447329397</v>
      </c>
      <c r="H739" s="121" t="s">
        <v>1336</v>
      </c>
      <c r="I739" s="122">
        <v>64.000000000000014</v>
      </c>
      <c r="J739" s="106" t="s">
        <v>4656</v>
      </c>
      <c r="K739" s="118">
        <v>1194</v>
      </c>
      <c r="L739" s="46">
        <v>2.0876623376623376</v>
      </c>
      <c r="M739" s="41">
        <v>2492.6688311688308</v>
      </c>
      <c r="N739" s="44">
        <v>24.238330000000001</v>
      </c>
      <c r="O739" s="41">
        <v>1407</v>
      </c>
      <c r="P739" s="41">
        <v>15</v>
      </c>
      <c r="Q739" s="41">
        <v>50.1</v>
      </c>
      <c r="R739" s="45" t="s">
        <v>1307</v>
      </c>
      <c r="S739" s="45" t="s">
        <v>1307</v>
      </c>
      <c r="T739" s="45" t="s">
        <v>1307</v>
      </c>
      <c r="U739" s="44">
        <v>286.71499999999997</v>
      </c>
      <c r="V739" s="44">
        <v>366.923</v>
      </c>
      <c r="W739" s="44">
        <v>57.748476428571458</v>
      </c>
      <c r="X739" s="44">
        <v>38.209914950310008</v>
      </c>
      <c r="Y739" s="130" t="s">
        <v>4572</v>
      </c>
      <c r="Z739" s="224"/>
    </row>
    <row r="740" spans="2:26" ht="15" customHeight="1" x14ac:dyDescent="0.35">
      <c r="B740" s="181">
        <v>39077</v>
      </c>
      <c r="C740" s="182" t="s">
        <v>347</v>
      </c>
      <c r="D740" s="222">
        <v>17</v>
      </c>
      <c r="E740" s="223" t="s">
        <v>3647</v>
      </c>
      <c r="F740" s="183" t="s">
        <v>3648</v>
      </c>
      <c r="G740" s="125">
        <v>2.1936906376884053</v>
      </c>
      <c r="H740" s="121" t="s">
        <v>1325</v>
      </c>
      <c r="I740" s="122">
        <v>66.052631578947398</v>
      </c>
      <c r="J740" s="106" t="s">
        <v>4656</v>
      </c>
      <c r="K740" s="118">
        <v>1649</v>
      </c>
      <c r="L740" s="46">
        <v>2.82</v>
      </c>
      <c r="M740" s="41">
        <v>4650.1799999999994</v>
      </c>
      <c r="N740" s="44">
        <v>32.726999999999997</v>
      </c>
      <c r="O740" s="41">
        <v>1830</v>
      </c>
      <c r="P740" s="41">
        <v>7</v>
      </c>
      <c r="Q740" s="41">
        <v>57</v>
      </c>
      <c r="R740" s="45" t="s">
        <v>1307</v>
      </c>
      <c r="S740" s="45" t="s">
        <v>1307</v>
      </c>
      <c r="T740" s="45" t="s">
        <v>1324</v>
      </c>
      <c r="U740" s="44">
        <v>316.93700000000001</v>
      </c>
      <c r="V740" s="44">
        <v>1081.81</v>
      </c>
      <c r="W740" s="44">
        <v>108.31842306122451</v>
      </c>
      <c r="X740" s="44">
        <v>49.377255480000002</v>
      </c>
      <c r="Y740" s="130" t="s">
        <v>4573</v>
      </c>
      <c r="Z740" s="224"/>
    </row>
    <row r="741" spans="2:26" ht="15" customHeight="1" x14ac:dyDescent="0.35">
      <c r="B741" s="181">
        <v>44080</v>
      </c>
      <c r="C741" s="182" t="s">
        <v>409</v>
      </c>
      <c r="D741" s="222">
        <v>5</v>
      </c>
      <c r="E741" s="223" t="s">
        <v>3652</v>
      </c>
      <c r="F741" s="183" t="s">
        <v>3653</v>
      </c>
      <c r="G741" s="125">
        <v>3.9142057831663872</v>
      </c>
      <c r="H741" s="121" t="s">
        <v>1336</v>
      </c>
      <c r="I741" s="122">
        <v>61.450980392156865</v>
      </c>
      <c r="J741" s="106" t="s">
        <v>4656</v>
      </c>
      <c r="K741" s="118">
        <v>578</v>
      </c>
      <c r="L741" s="46">
        <v>2.4643261608154021</v>
      </c>
      <c r="M741" s="41">
        <v>1424.3805209513025</v>
      </c>
      <c r="N741" s="44">
        <v>14.574999999999999</v>
      </c>
      <c r="O741" s="41">
        <v>504</v>
      </c>
      <c r="P741" s="41">
        <v>8</v>
      </c>
      <c r="Q741" s="41">
        <v>49</v>
      </c>
      <c r="R741" s="45" t="s">
        <v>1307</v>
      </c>
      <c r="S741" s="45" t="s">
        <v>1307</v>
      </c>
      <c r="T741" s="45" t="s">
        <v>1307</v>
      </c>
      <c r="U741" s="44">
        <v>95.630110000000002</v>
      </c>
      <c r="V741" s="44">
        <v>279.02199999999999</v>
      </c>
      <c r="W741" s="44">
        <v>53.648768900510184</v>
      </c>
      <c r="X741" s="44">
        <v>13.706169749999997</v>
      </c>
      <c r="Y741" s="130" t="s">
        <v>4574</v>
      </c>
      <c r="Z741" s="224"/>
    </row>
    <row r="742" spans="2:26" ht="15" customHeight="1" x14ac:dyDescent="0.35">
      <c r="B742" s="181">
        <v>41098</v>
      </c>
      <c r="C742" s="182" t="s">
        <v>377</v>
      </c>
      <c r="D742" s="222">
        <v>5</v>
      </c>
      <c r="E742" s="223" t="s">
        <v>3657</v>
      </c>
      <c r="F742" s="183" t="s">
        <v>3658</v>
      </c>
      <c r="G742" s="125">
        <v>0.92767959586007831</v>
      </c>
      <c r="H742" s="121" t="s">
        <v>1336</v>
      </c>
      <c r="I742" s="122">
        <v>62.594594594594597</v>
      </c>
      <c r="J742" s="106" t="s">
        <v>4656</v>
      </c>
      <c r="K742" s="118">
        <v>155</v>
      </c>
      <c r="L742" s="46">
        <v>2.0914777169663799</v>
      </c>
      <c r="M742" s="41">
        <v>324.1790461297889</v>
      </c>
      <c r="N742" s="44">
        <v>4.2750000000000004</v>
      </c>
      <c r="O742" s="41">
        <v>130</v>
      </c>
      <c r="P742" s="41">
        <v>8</v>
      </c>
      <c r="Q742" s="41">
        <v>53.72</v>
      </c>
      <c r="R742" s="45" t="s">
        <v>1307</v>
      </c>
      <c r="S742" s="45" t="s">
        <v>1307</v>
      </c>
      <c r="T742" s="45" t="s">
        <v>1307</v>
      </c>
      <c r="U742" s="44">
        <v>47.374053254437868</v>
      </c>
      <c r="V742" s="44">
        <v>56.241999999999997</v>
      </c>
      <c r="W742" s="44">
        <v>3.7643700000000004</v>
      </c>
      <c r="X742" s="44">
        <v>4.0578342100000002</v>
      </c>
      <c r="Y742" s="130" t="s">
        <v>4575</v>
      </c>
      <c r="Z742" s="224"/>
    </row>
    <row r="743" spans="2:26" ht="15" customHeight="1" x14ac:dyDescent="0.35">
      <c r="B743" s="181">
        <v>41098</v>
      </c>
      <c r="C743" s="182" t="s">
        <v>377</v>
      </c>
      <c r="D743" s="222">
        <v>5</v>
      </c>
      <c r="E743" s="223" t="s">
        <v>3659</v>
      </c>
      <c r="F743" s="183" t="s">
        <v>3660</v>
      </c>
      <c r="G743" s="125">
        <v>14.386658088877835</v>
      </c>
      <c r="H743" s="121" t="s">
        <v>1336</v>
      </c>
      <c r="I743" s="122">
        <v>62.594594594594597</v>
      </c>
      <c r="J743" s="106" t="s">
        <v>4656</v>
      </c>
      <c r="K743" s="118">
        <v>519</v>
      </c>
      <c r="L743" s="46">
        <v>2.0914777169663799</v>
      </c>
      <c r="M743" s="41">
        <v>1085.4769351055511</v>
      </c>
      <c r="N743" s="44">
        <v>11.303000000000001</v>
      </c>
      <c r="O743" s="41">
        <v>373</v>
      </c>
      <c r="P743" s="41">
        <v>15</v>
      </c>
      <c r="Q743" s="41">
        <v>49.73</v>
      </c>
      <c r="R743" s="45" t="s">
        <v>1307</v>
      </c>
      <c r="S743" s="45" t="s">
        <v>1307</v>
      </c>
      <c r="T743" s="45" t="s">
        <v>1307</v>
      </c>
      <c r="U743" s="44">
        <v>125.88117368421052</v>
      </c>
      <c r="V743" s="44">
        <v>310.44799999999998</v>
      </c>
      <c r="W743" s="44">
        <v>167.58027999999999</v>
      </c>
      <c r="X743" s="44">
        <v>11.64831185705</v>
      </c>
      <c r="Y743" s="130" t="s">
        <v>4576</v>
      </c>
      <c r="Z743" s="224"/>
    </row>
    <row r="744" spans="2:26" ht="15" customHeight="1" x14ac:dyDescent="0.35">
      <c r="B744" s="181">
        <v>41098</v>
      </c>
      <c r="C744" s="182" t="s">
        <v>377</v>
      </c>
      <c r="D744" s="222">
        <v>5</v>
      </c>
      <c r="E744" s="223" t="s">
        <v>3661</v>
      </c>
      <c r="F744" s="183" t="s">
        <v>3662</v>
      </c>
      <c r="G744" s="125">
        <v>0.95242430004179712</v>
      </c>
      <c r="H744" s="121" t="s">
        <v>1336</v>
      </c>
      <c r="I744" s="122">
        <v>62.594594594594597</v>
      </c>
      <c r="J744" s="106" t="s">
        <v>4656</v>
      </c>
      <c r="K744" s="118">
        <v>32</v>
      </c>
      <c r="L744" s="46">
        <v>2.0914777169663799</v>
      </c>
      <c r="M744" s="41">
        <v>66.927286942924155</v>
      </c>
      <c r="N744" s="44">
        <v>1.4</v>
      </c>
      <c r="O744" s="41">
        <v>32</v>
      </c>
      <c r="P744" s="41">
        <v>12</v>
      </c>
      <c r="Q744" s="41">
        <v>35.04</v>
      </c>
      <c r="R744" s="45" t="s">
        <v>1307</v>
      </c>
      <c r="S744" s="45" t="s">
        <v>1307</v>
      </c>
      <c r="T744" s="45" t="s">
        <v>1307</v>
      </c>
      <c r="U744" s="44">
        <v>19.047000000000001</v>
      </c>
      <c r="V744" s="44">
        <v>20.084</v>
      </c>
      <c r="W744" s="44">
        <v>0.73573999999999973</v>
      </c>
      <c r="X744" s="44">
        <v>0.77249183999999982</v>
      </c>
      <c r="Y744" s="130" t="s">
        <v>4577</v>
      </c>
      <c r="Z744" s="224"/>
    </row>
    <row r="745" spans="2:26" ht="15" customHeight="1" x14ac:dyDescent="0.35">
      <c r="B745" s="181">
        <v>49040</v>
      </c>
      <c r="C745" s="182" t="s">
        <v>469</v>
      </c>
      <c r="D745" s="222">
        <v>17</v>
      </c>
      <c r="E745" s="223" t="s">
        <v>3665</v>
      </c>
      <c r="F745" s="183" t="s">
        <v>3666</v>
      </c>
      <c r="G745" s="125">
        <v>2.2673626272792986</v>
      </c>
      <c r="H745" s="121" t="s">
        <v>1325</v>
      </c>
      <c r="I745" s="122">
        <v>72.666666666666671</v>
      </c>
      <c r="J745" s="106" t="s">
        <v>4656</v>
      </c>
      <c r="K745" s="118">
        <v>294</v>
      </c>
      <c r="L745" s="46">
        <v>2.5208535402521823</v>
      </c>
      <c r="M745" s="41">
        <v>741.1309408341416</v>
      </c>
      <c r="N745" s="44">
        <v>8.625</v>
      </c>
      <c r="O745" s="41">
        <v>324</v>
      </c>
      <c r="P745" s="41">
        <v>6</v>
      </c>
      <c r="Q745" s="41">
        <v>31.64</v>
      </c>
      <c r="R745" s="45" t="s">
        <v>1324</v>
      </c>
      <c r="S745" s="45" t="s">
        <v>1324</v>
      </c>
      <c r="T745" s="45" t="s">
        <v>1307</v>
      </c>
      <c r="U745" s="44">
        <v>42.481000000000002</v>
      </c>
      <c r="V745" s="44">
        <v>86.658000000000001</v>
      </c>
      <c r="W745" s="44">
        <v>12.124901292517009</v>
      </c>
      <c r="X745" s="44">
        <v>5.34757923</v>
      </c>
      <c r="Y745" s="130" t="s">
        <v>4578</v>
      </c>
      <c r="Z745" s="224"/>
    </row>
    <row r="746" spans="2:26" ht="15" customHeight="1" x14ac:dyDescent="0.35">
      <c r="B746" s="181">
        <v>42088</v>
      </c>
      <c r="C746" s="182" t="s">
        <v>392</v>
      </c>
      <c r="D746" s="222">
        <v>5</v>
      </c>
      <c r="E746" s="223" t="s">
        <v>3669</v>
      </c>
      <c r="F746" s="183" t="s">
        <v>3670</v>
      </c>
      <c r="G746" s="125">
        <v>4.2589455488801509</v>
      </c>
      <c r="H746" s="121" t="s">
        <v>1325</v>
      </c>
      <c r="I746" s="122">
        <v>58.322466249278158</v>
      </c>
      <c r="J746" s="106" t="s">
        <v>4656</v>
      </c>
      <c r="K746" s="118">
        <v>2333</v>
      </c>
      <c r="L746" s="46">
        <v>2.1557768924302789</v>
      </c>
      <c r="M746" s="41">
        <v>5029.4274900398404</v>
      </c>
      <c r="N746" s="44">
        <v>40.948999999999998</v>
      </c>
      <c r="O746" s="41">
        <v>1728</v>
      </c>
      <c r="P746" s="41">
        <v>8</v>
      </c>
      <c r="Q746" s="41">
        <v>70.103848840348704</v>
      </c>
      <c r="R746" s="45" t="s">
        <v>1307</v>
      </c>
      <c r="S746" s="45" t="s">
        <v>1324</v>
      </c>
      <c r="T746" s="45" t="s">
        <v>1307</v>
      </c>
      <c r="U746" s="44">
        <v>434.36919094247253</v>
      </c>
      <c r="V746" s="44">
        <v>858.82764999999995</v>
      </c>
      <c r="W746" s="44">
        <v>268.63845730401016</v>
      </c>
      <c r="X746" s="44">
        <v>63.076283606078526</v>
      </c>
      <c r="Y746" s="130" t="s">
        <v>4579</v>
      </c>
      <c r="Z746" s="224" t="s">
        <v>3786</v>
      </c>
    </row>
    <row r="747" spans="2:26" ht="15" customHeight="1" x14ac:dyDescent="0.35">
      <c r="B747" s="181">
        <v>51020</v>
      </c>
      <c r="C747" s="182" t="s">
        <v>500</v>
      </c>
      <c r="D747" s="222">
        <v>4</v>
      </c>
      <c r="E747" s="223" t="s">
        <v>3675</v>
      </c>
      <c r="F747" s="183" t="s">
        <v>3676</v>
      </c>
      <c r="G747" s="125">
        <v>2.4006019286769216</v>
      </c>
      <c r="H747" s="121" t="s">
        <v>1336</v>
      </c>
      <c r="I747" s="122">
        <v>71</v>
      </c>
      <c r="J747" s="106" t="s">
        <v>4656</v>
      </c>
      <c r="K747" s="118">
        <v>1313</v>
      </c>
      <c r="L747" s="46">
        <v>2.4079601990049753</v>
      </c>
      <c r="M747" s="41">
        <v>3161.6517412935327</v>
      </c>
      <c r="N747" s="44">
        <v>59.061999999999998</v>
      </c>
      <c r="O747" s="41">
        <v>1062</v>
      </c>
      <c r="P747" s="41">
        <v>8</v>
      </c>
      <c r="Q747" s="41">
        <v>38.67</v>
      </c>
      <c r="R747" s="45" t="s">
        <v>1307</v>
      </c>
      <c r="S747" s="45" t="s">
        <v>1307</v>
      </c>
      <c r="T747" s="45" t="s">
        <v>1307</v>
      </c>
      <c r="U747" s="44">
        <v>177.69217036172697</v>
      </c>
      <c r="V747" s="44">
        <v>841.83399999999995</v>
      </c>
      <c r="W747" s="44">
        <v>72.006189375115014</v>
      </c>
      <c r="X747" s="44">
        <v>29.995056037799998</v>
      </c>
      <c r="Y747" s="130" t="s">
        <v>4580</v>
      </c>
      <c r="Z747" s="224"/>
    </row>
    <row r="748" spans="2:26" ht="15" customHeight="1" x14ac:dyDescent="0.35">
      <c r="B748" s="202">
        <v>51020</v>
      </c>
      <c r="C748" s="203" t="s">
        <v>500</v>
      </c>
      <c r="D748" s="225">
        <v>4</v>
      </c>
      <c r="E748" s="226" t="s">
        <v>3677</v>
      </c>
      <c r="F748" s="204" t="s">
        <v>3678</v>
      </c>
      <c r="G748" s="227">
        <v>0.42383848171898908</v>
      </c>
      <c r="H748" s="228" t="s">
        <v>1336</v>
      </c>
      <c r="I748" s="229">
        <v>45</v>
      </c>
      <c r="J748" s="230" t="s">
        <v>4656</v>
      </c>
      <c r="K748" s="231">
        <v>130</v>
      </c>
      <c r="L748" s="232">
        <v>2.4079601990049753</v>
      </c>
      <c r="M748" s="233">
        <v>313.03482587064678</v>
      </c>
      <c r="N748" s="234">
        <v>21.484000000000002</v>
      </c>
      <c r="O748" s="233">
        <v>142</v>
      </c>
      <c r="P748" s="233">
        <v>8</v>
      </c>
      <c r="Q748" s="233">
        <v>42.19</v>
      </c>
      <c r="R748" s="235" t="s">
        <v>1307</v>
      </c>
      <c r="S748" s="235" t="s">
        <v>1307</v>
      </c>
      <c r="T748" s="235" t="s">
        <v>1307</v>
      </c>
      <c r="U748" s="234">
        <v>17.184999999999999</v>
      </c>
      <c r="V748" s="234">
        <v>37.082000000000001</v>
      </c>
      <c r="W748" s="234">
        <v>3.4508171092184217</v>
      </c>
      <c r="X748" s="234">
        <v>8.1418211372000009</v>
      </c>
      <c r="Y748" s="236" t="s">
        <v>4581</v>
      </c>
      <c r="Z748" s="237"/>
    </row>
  </sheetData>
  <sheetProtection sheet="1" objects="1" scenarios="1" sort="0" autoFilter="0"/>
  <autoFilter ref="B5:Z748"/>
  <mergeCells count="1">
    <mergeCell ref="B3:F3"/>
  </mergeCells>
  <dataValidations count="3">
    <dataValidation allowBlank="1" showInputMessage="1" showErrorMessage="1" promptTitle="Critère 1" prompt="L’ensemble des installations de production d’eau potable a fonctionné pendant au moins une journée à plus de 90 % de sa capacité maximale nominale." sqref="R4:R748"/>
    <dataValidation allowBlank="1" showInputMessage="1" showErrorMessage="1" promptTitle="Critère 2" prompt="Au moins deux avis de restriction d’utilisation d’eau ont été émis lors d’une sécheresse, au cours des 5 dernières années." sqref="S4:S748"/>
    <dataValidation allowBlank="1" showInputMessage="1" showErrorMessage="1" promptTitle="Critère 3" prompt="Des investissements, dont l’objectif est d’augmenter la capacité des installations de production d’eau potable d’un réseau, sont prévus dans les 10 prochaines années." sqref="T4:T748"/>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4" tint="-0.499984740745262"/>
    <pageSetUpPr fitToPage="1"/>
  </sheetPr>
  <dimension ref="A1:CK1113"/>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baseColWidth="10" defaultColWidth="11.453125" defaultRowHeight="15" customHeight="1" x14ac:dyDescent="0.35"/>
  <cols>
    <col min="1" max="1" width="2.1796875" customWidth="1"/>
    <col min="2" max="2" width="16.81640625" customWidth="1"/>
    <col min="3" max="3" width="56.7265625" customWidth="1"/>
    <col min="4" max="4" width="12" customWidth="1"/>
    <col min="5" max="16" width="27.7265625" customWidth="1"/>
    <col min="17" max="26" width="13.7265625" customWidth="1"/>
    <col min="27" max="75" width="27.7265625" customWidth="1"/>
    <col min="76" max="81" width="13.7265625" customWidth="1"/>
    <col min="82" max="89" width="27.7265625" customWidth="1"/>
  </cols>
  <sheetData>
    <row r="1" spans="1:89" ht="33" customHeight="1" x14ac:dyDescent="0.35">
      <c r="B1" s="474"/>
      <c r="C1" s="571" t="s">
        <v>4806</v>
      </c>
      <c r="D1" s="571"/>
    </row>
    <row r="2" spans="1:89" ht="15" customHeight="1" x14ac:dyDescent="0.35">
      <c r="B2" s="565" t="s">
        <v>1279</v>
      </c>
      <c r="C2" s="566"/>
      <c r="D2" s="566"/>
      <c r="E2" s="320"/>
      <c r="F2" s="320"/>
      <c r="G2" s="320"/>
      <c r="H2" s="320"/>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6"/>
    </row>
    <row r="3" spans="1:89" s="77" customFormat="1" ht="35.15" customHeight="1" x14ac:dyDescent="0.35">
      <c r="A3" s="325"/>
      <c r="B3" s="160"/>
      <c r="C3" s="263"/>
      <c r="D3" s="163"/>
      <c r="E3" s="567" t="s">
        <v>1127</v>
      </c>
      <c r="F3" s="568"/>
      <c r="G3" s="569" t="s">
        <v>1128</v>
      </c>
      <c r="H3" s="568"/>
      <c r="I3" s="569" t="s">
        <v>1129</v>
      </c>
      <c r="J3" s="568"/>
      <c r="K3" s="569" t="s">
        <v>1130</v>
      </c>
      <c r="L3" s="568"/>
      <c r="M3" s="569" t="s">
        <v>1131</v>
      </c>
      <c r="N3" s="568"/>
      <c r="O3" s="569" t="s">
        <v>1132</v>
      </c>
      <c r="P3" s="568"/>
      <c r="Q3" s="569" t="s">
        <v>4704</v>
      </c>
      <c r="R3" s="568"/>
      <c r="S3" s="569" t="s">
        <v>4705</v>
      </c>
      <c r="T3" s="568"/>
      <c r="U3" s="569" t="s">
        <v>4706</v>
      </c>
      <c r="V3" s="568"/>
      <c r="W3" s="569" t="s">
        <v>4707</v>
      </c>
      <c r="X3" s="568"/>
      <c r="Y3" s="569" t="s">
        <v>4708</v>
      </c>
      <c r="Z3" s="568"/>
      <c r="AA3" s="569" t="s">
        <v>1133</v>
      </c>
      <c r="AB3" s="568"/>
      <c r="AC3" s="569" t="s">
        <v>4658</v>
      </c>
      <c r="AD3" s="570"/>
      <c r="AE3" s="568"/>
      <c r="AF3" s="569" t="s">
        <v>4712</v>
      </c>
      <c r="AG3" s="570"/>
      <c r="AH3" s="568"/>
      <c r="AI3" s="569" t="s">
        <v>1264</v>
      </c>
      <c r="AJ3" s="570"/>
      <c r="AK3" s="568"/>
      <c r="AL3" s="569" t="s">
        <v>1134</v>
      </c>
      <c r="AM3" s="568"/>
      <c r="AN3" s="569" t="s">
        <v>1135</v>
      </c>
      <c r="AO3" s="568"/>
      <c r="AP3" s="569" t="s">
        <v>1136</v>
      </c>
      <c r="AQ3" s="568"/>
      <c r="AR3" s="569" t="s">
        <v>1236</v>
      </c>
      <c r="AS3" s="568"/>
      <c r="AT3" s="569" t="s">
        <v>1237</v>
      </c>
      <c r="AU3" s="568"/>
      <c r="AV3" s="569" t="s">
        <v>1238</v>
      </c>
      <c r="AW3" s="568"/>
      <c r="AX3" s="569" t="s">
        <v>1239</v>
      </c>
      <c r="AY3" s="568"/>
      <c r="AZ3" s="569" t="s">
        <v>1240</v>
      </c>
      <c r="BA3" s="568"/>
      <c r="BB3" s="569" t="s">
        <v>1241</v>
      </c>
      <c r="BC3" s="568"/>
      <c r="BD3" s="569" t="s">
        <v>1242</v>
      </c>
      <c r="BE3" s="568"/>
      <c r="BF3" s="569" t="s">
        <v>1243</v>
      </c>
      <c r="BG3" s="568"/>
      <c r="BH3" s="569" t="s">
        <v>1244</v>
      </c>
      <c r="BI3" s="568"/>
      <c r="BJ3" s="569" t="s">
        <v>1245</v>
      </c>
      <c r="BK3" s="568"/>
      <c r="BL3" s="569" t="s">
        <v>1246</v>
      </c>
      <c r="BM3" s="568"/>
      <c r="BN3" s="569" t="s">
        <v>1247</v>
      </c>
      <c r="BO3" s="568"/>
      <c r="BP3" s="569" t="s">
        <v>1248</v>
      </c>
      <c r="BQ3" s="568"/>
      <c r="BR3" s="569" t="s">
        <v>1249</v>
      </c>
      <c r="BS3" s="568"/>
      <c r="BT3" s="569" t="s">
        <v>1250</v>
      </c>
      <c r="BU3" s="568"/>
      <c r="BV3" s="569" t="s">
        <v>1251</v>
      </c>
      <c r="BW3" s="568"/>
      <c r="BX3" s="569" t="s">
        <v>1255</v>
      </c>
      <c r="BY3" s="570"/>
      <c r="BZ3" s="568"/>
      <c r="CA3" s="569" t="s">
        <v>1256</v>
      </c>
      <c r="CB3" s="570"/>
      <c r="CC3" s="568"/>
      <c r="CD3" s="569" t="s">
        <v>1137</v>
      </c>
      <c r="CE3" s="568"/>
      <c r="CF3" s="569" t="s">
        <v>1138</v>
      </c>
      <c r="CG3" s="568"/>
      <c r="CH3" s="569" t="s">
        <v>1139</v>
      </c>
      <c r="CI3" s="568"/>
      <c r="CJ3" s="310"/>
      <c r="CK3" s="310"/>
    </row>
    <row r="4" spans="1:89" ht="35.15" customHeight="1" x14ac:dyDescent="0.35">
      <c r="A4" s="238"/>
      <c r="B4" s="162" t="s">
        <v>1</v>
      </c>
      <c r="C4" s="259" t="s">
        <v>0</v>
      </c>
      <c r="D4" s="147" t="s">
        <v>7</v>
      </c>
      <c r="E4" s="318" t="s">
        <v>1509</v>
      </c>
      <c r="F4" s="319" t="s">
        <v>1510</v>
      </c>
      <c r="G4" s="148" t="s">
        <v>1509</v>
      </c>
      <c r="H4" s="319" t="s">
        <v>1510</v>
      </c>
      <c r="I4" s="148" t="s">
        <v>1509</v>
      </c>
      <c r="J4" s="319" t="s">
        <v>1510</v>
      </c>
      <c r="K4" s="148" t="s">
        <v>1509</v>
      </c>
      <c r="L4" s="319" t="s">
        <v>1510</v>
      </c>
      <c r="M4" s="148" t="s">
        <v>1509</v>
      </c>
      <c r="N4" s="319" t="s">
        <v>1510</v>
      </c>
      <c r="O4" s="148" t="s">
        <v>1509</v>
      </c>
      <c r="P4" s="319" t="s">
        <v>1510</v>
      </c>
      <c r="Q4" s="260" t="s">
        <v>1509</v>
      </c>
      <c r="R4" s="262" t="s">
        <v>1510</v>
      </c>
      <c r="S4" s="260" t="s">
        <v>1509</v>
      </c>
      <c r="T4" s="262" t="s">
        <v>1510</v>
      </c>
      <c r="U4" s="260" t="s">
        <v>1509</v>
      </c>
      <c r="V4" s="262" t="s">
        <v>1510</v>
      </c>
      <c r="W4" s="260" t="s">
        <v>1509</v>
      </c>
      <c r="X4" s="262" t="s">
        <v>1510</v>
      </c>
      <c r="Y4" s="260" t="s">
        <v>1509</v>
      </c>
      <c r="Z4" s="262" t="s">
        <v>1510</v>
      </c>
      <c r="AA4" s="148" t="s">
        <v>1509</v>
      </c>
      <c r="AB4" s="319" t="s">
        <v>1510</v>
      </c>
      <c r="AC4" s="260" t="s">
        <v>1186</v>
      </c>
      <c r="AD4" s="261" t="s">
        <v>1234</v>
      </c>
      <c r="AE4" s="262" t="s">
        <v>1235</v>
      </c>
      <c r="AF4" s="260" t="s">
        <v>1186</v>
      </c>
      <c r="AG4" s="261" t="s">
        <v>1234</v>
      </c>
      <c r="AH4" s="262" t="s">
        <v>1235</v>
      </c>
      <c r="AI4" s="260" t="s">
        <v>4709</v>
      </c>
      <c r="AJ4" s="261" t="s">
        <v>4710</v>
      </c>
      <c r="AK4" s="262" t="s">
        <v>4711</v>
      </c>
      <c r="AL4" s="148" t="s">
        <v>1509</v>
      </c>
      <c r="AM4" s="319" t="s">
        <v>1510</v>
      </c>
      <c r="AN4" s="148" t="s">
        <v>1509</v>
      </c>
      <c r="AO4" s="319" t="s">
        <v>1510</v>
      </c>
      <c r="AP4" s="148" t="s">
        <v>1509</v>
      </c>
      <c r="AQ4" s="319" t="s">
        <v>1510</v>
      </c>
      <c r="AR4" s="148" t="s">
        <v>1509</v>
      </c>
      <c r="AS4" s="319" t="s">
        <v>1510</v>
      </c>
      <c r="AT4" s="148" t="s">
        <v>1509</v>
      </c>
      <c r="AU4" s="319" t="s">
        <v>1510</v>
      </c>
      <c r="AV4" s="148" t="s">
        <v>1509</v>
      </c>
      <c r="AW4" s="319" t="s">
        <v>1510</v>
      </c>
      <c r="AX4" s="148" t="s">
        <v>1509</v>
      </c>
      <c r="AY4" s="319" t="s">
        <v>1510</v>
      </c>
      <c r="AZ4" s="148" t="s">
        <v>1509</v>
      </c>
      <c r="BA4" s="319" t="s">
        <v>1510</v>
      </c>
      <c r="BB4" s="148" t="s">
        <v>1509</v>
      </c>
      <c r="BC4" s="319" t="s">
        <v>1510</v>
      </c>
      <c r="BD4" s="148" t="s">
        <v>1509</v>
      </c>
      <c r="BE4" s="319" t="s">
        <v>1510</v>
      </c>
      <c r="BF4" s="148" t="s">
        <v>1509</v>
      </c>
      <c r="BG4" s="319" t="s">
        <v>1510</v>
      </c>
      <c r="BH4" s="148" t="s">
        <v>1509</v>
      </c>
      <c r="BI4" s="319" t="s">
        <v>1510</v>
      </c>
      <c r="BJ4" s="148" t="s">
        <v>1509</v>
      </c>
      <c r="BK4" s="319" t="s">
        <v>1510</v>
      </c>
      <c r="BL4" s="148" t="s">
        <v>1509</v>
      </c>
      <c r="BM4" s="319" t="s">
        <v>1510</v>
      </c>
      <c r="BN4" s="148" t="s">
        <v>1509</v>
      </c>
      <c r="BO4" s="319" t="s">
        <v>1510</v>
      </c>
      <c r="BP4" s="148" t="s">
        <v>1509</v>
      </c>
      <c r="BQ4" s="319" t="s">
        <v>1510</v>
      </c>
      <c r="BR4" s="148" t="s">
        <v>1509</v>
      </c>
      <c r="BS4" s="319" t="s">
        <v>1510</v>
      </c>
      <c r="BT4" s="148" t="s">
        <v>1509</v>
      </c>
      <c r="BU4" s="319" t="s">
        <v>1510</v>
      </c>
      <c r="BV4" s="148" t="s">
        <v>1509</v>
      </c>
      <c r="BW4" s="319" t="s">
        <v>1510</v>
      </c>
      <c r="BX4" s="309" t="s">
        <v>1252</v>
      </c>
      <c r="BY4" s="311" t="s">
        <v>1253</v>
      </c>
      <c r="BZ4" s="308" t="s">
        <v>1254</v>
      </c>
      <c r="CA4" s="309" t="s">
        <v>1252</v>
      </c>
      <c r="CB4" s="311" t="s">
        <v>1253</v>
      </c>
      <c r="CC4" s="308" t="s">
        <v>1254</v>
      </c>
      <c r="CD4" s="148" t="s">
        <v>1509</v>
      </c>
      <c r="CE4" s="319" t="s">
        <v>1510</v>
      </c>
      <c r="CF4" s="148" t="s">
        <v>1509</v>
      </c>
      <c r="CG4" s="319" t="s">
        <v>1510</v>
      </c>
      <c r="CH4" s="148" t="s">
        <v>1509</v>
      </c>
      <c r="CI4" s="319" t="s">
        <v>1510</v>
      </c>
      <c r="CJ4" s="310" t="s">
        <v>5</v>
      </c>
      <c r="CK4" s="310" t="s">
        <v>6</v>
      </c>
    </row>
    <row r="5" spans="1:89" ht="35.15" customHeight="1" x14ac:dyDescent="0.35">
      <c r="A5" s="238"/>
      <c r="B5" s="307"/>
      <c r="C5" s="141"/>
      <c r="D5" s="142"/>
      <c r="E5" s="321"/>
      <c r="F5" s="322"/>
      <c r="G5" s="323"/>
      <c r="H5" s="324"/>
      <c r="I5" s="323"/>
      <c r="J5" s="324"/>
      <c r="K5" s="323"/>
      <c r="L5" s="324"/>
      <c r="M5" s="323"/>
      <c r="N5" s="324"/>
      <c r="O5" s="323"/>
      <c r="P5" s="324"/>
      <c r="Q5" s="145" t="str">
        <f>"TOTAL :
"&amp;TEXT(SUM(Q6:Q1113),"# ##0")</f>
        <v>TOTAL :
4 157</v>
      </c>
      <c r="R5" s="144" t="str">
        <f t="shared" ref="R5:Z5" si="0">"TOTAL :
"&amp;TEXT(SUM(R6:R1113),"# ##0")</f>
        <v>TOTAL :
4 875</v>
      </c>
      <c r="S5" s="145" t="str">
        <f t="shared" si="0"/>
        <v>TOTAL :
32 099</v>
      </c>
      <c r="T5" s="144" t="str">
        <f t="shared" si="0"/>
        <v>TOTAL :
41 612</v>
      </c>
      <c r="U5" s="145" t="str">
        <f t="shared" si="0"/>
        <v>TOTAL :
7 416</v>
      </c>
      <c r="V5" s="144" t="str">
        <f t="shared" si="0"/>
        <v>TOTAL :
14 088</v>
      </c>
      <c r="W5" s="145" t="str">
        <f t="shared" si="0"/>
        <v>TOTAL :
658</v>
      </c>
      <c r="X5" s="144" t="str">
        <f t="shared" si="0"/>
        <v>TOTAL :
340</v>
      </c>
      <c r="Y5" s="145" t="str">
        <f t="shared" si="0"/>
        <v>TOTAL :
0</v>
      </c>
      <c r="Z5" s="144" t="str">
        <f t="shared" si="0"/>
        <v>TOTAL :
223</v>
      </c>
      <c r="AA5" s="323"/>
      <c r="AB5" s="324"/>
      <c r="AC5" s="145" t="str">
        <f t="shared" ref="AC5" si="1">"TOTAL :
"&amp;TEXT(SUM(AC6:AC1113),"# ##0")</f>
        <v>TOTAL :
5 090</v>
      </c>
      <c r="AD5" s="146" t="str">
        <f t="shared" ref="AD5" si="2">"TOTAL :
"&amp;TEXT(SUM(AD6:AD1113),"# ##0")</f>
        <v>TOTAL :
2 667</v>
      </c>
      <c r="AE5" s="144" t="str">
        <f t="shared" ref="AE5" si="3">"TOTAL :
"&amp;TEXT(SUM(AE6:AE1113),"# ##0")</f>
        <v>TOTAL :
1 457</v>
      </c>
      <c r="AF5" s="145" t="str">
        <f>"MOY. PONDÉRÉE :
"&amp;TEXT(SUMPRODUCT(AF6:AF1113,AC6:AC1113)/SUM(AC6:AC1113),"#")</f>
        <v>MOY. PONDÉRÉE :
5</v>
      </c>
      <c r="AG5" s="146" t="str">
        <f t="shared" ref="AG5:AH5" si="4">"MOY. PONDÉRÉE :
"&amp;TEXT(SUMPRODUCT(AG6:AG1113,AD6:AD1113)/SUM(AD6:AD1113),"#")</f>
        <v>MOY. PONDÉRÉE :
8</v>
      </c>
      <c r="AH5" s="144" t="str">
        <f t="shared" si="4"/>
        <v>MOY. PONDÉRÉE :
17</v>
      </c>
      <c r="AI5" s="145" t="str">
        <f>"MOY. PONDÉRÉE :
"&amp;TEXT(SUM(AC6:AC1113)*100/SUM('Données par municipalité'!L6:L1113),"0,0")</f>
        <v>MOY. PONDÉRÉE :
13,1</v>
      </c>
      <c r="AJ5" s="146" t="str">
        <f>"MOY. PONDÉRÉE :
"&amp;TEXT(SUM(AD6:AD1113)*1000/SUM('Données par municipalité'!$M$6:$M$1113),"0,0")</f>
        <v>MOY. PONDÉRÉE :
1,3</v>
      </c>
      <c r="AK5" s="144" t="str">
        <f>"MOY. PONDÉRÉE :
"&amp;TEXT(SUM(AE6:AE1113)*1000/SUM('Données par municipalité'!$M$6:$M$1113),"0,0")</f>
        <v>MOY. PONDÉRÉE :
0,7</v>
      </c>
      <c r="AL5" s="323"/>
      <c r="AM5" s="324"/>
      <c r="AN5" s="323"/>
      <c r="AO5" s="324"/>
      <c r="AP5" s="323"/>
      <c r="AQ5" s="324"/>
      <c r="AR5" s="323"/>
      <c r="AS5" s="324"/>
      <c r="AT5" s="323"/>
      <c r="AU5" s="324"/>
      <c r="AV5" s="323"/>
      <c r="AW5" s="324"/>
      <c r="AX5" s="323"/>
      <c r="AY5" s="324"/>
      <c r="AZ5" s="323"/>
      <c r="BA5" s="324"/>
      <c r="BB5" s="323"/>
      <c r="BC5" s="324"/>
      <c r="BD5" s="323"/>
      <c r="BE5" s="324"/>
      <c r="BF5" s="323"/>
      <c r="BG5" s="324"/>
      <c r="BH5" s="323"/>
      <c r="BI5" s="324"/>
      <c r="BJ5" s="323"/>
      <c r="BK5" s="324"/>
      <c r="BL5" s="323"/>
      <c r="BM5" s="324"/>
      <c r="BN5" s="323"/>
      <c r="BO5" s="324"/>
      <c r="BP5" s="323"/>
      <c r="BQ5" s="324"/>
      <c r="BR5" s="323"/>
      <c r="BS5" s="324"/>
      <c r="BT5" s="323"/>
      <c r="BU5" s="324"/>
      <c r="BV5" s="323"/>
      <c r="BW5" s="324"/>
      <c r="BX5" s="145" t="str">
        <f t="shared" ref="BX5:CC5" si="5">"TOTAL :
"&amp;TEXT(SUM(BX6:BX1113),"# ##0")</f>
        <v>TOTAL :
63 642</v>
      </c>
      <c r="BY5" s="146" t="str">
        <f t="shared" si="5"/>
        <v>TOTAL :
6 866</v>
      </c>
      <c r="BZ5" s="144" t="str">
        <f t="shared" si="5"/>
        <v>TOTAL :
51 910</v>
      </c>
      <c r="CA5" s="145" t="str">
        <f t="shared" si="5"/>
        <v>TOTAL :
186 707</v>
      </c>
      <c r="CB5" s="146" t="str">
        <f t="shared" si="5"/>
        <v>TOTAL :
56 662</v>
      </c>
      <c r="CC5" s="144" t="str">
        <f t="shared" si="5"/>
        <v>TOTAL :
1 567 086</v>
      </c>
      <c r="CD5" s="323"/>
      <c r="CE5" s="324"/>
      <c r="CF5" s="323"/>
      <c r="CG5" s="324"/>
      <c r="CH5" s="323"/>
      <c r="CI5" s="324"/>
      <c r="CJ5" s="330"/>
      <c r="CK5" s="330"/>
    </row>
    <row r="6" spans="1:89" ht="15" customHeight="1" x14ac:dyDescent="0.35">
      <c r="A6" s="239"/>
      <c r="B6" s="312">
        <v>46005</v>
      </c>
      <c r="C6" s="13" t="s">
        <v>427</v>
      </c>
      <c r="D6" s="137">
        <v>5</v>
      </c>
      <c r="E6" s="138"/>
      <c r="F6" s="139"/>
      <c r="G6" s="13"/>
      <c r="H6" s="139"/>
      <c r="I6" s="139"/>
      <c r="J6" s="139"/>
      <c r="K6" s="139"/>
      <c r="L6" s="139"/>
      <c r="M6" s="140"/>
      <c r="N6" s="139"/>
      <c r="O6" s="139"/>
      <c r="P6" s="139"/>
      <c r="Q6" s="19"/>
      <c r="R6" s="19"/>
      <c r="S6" s="19"/>
      <c r="T6" s="19"/>
      <c r="U6" s="19"/>
      <c r="V6" s="19"/>
      <c r="W6" s="19"/>
      <c r="X6" s="19"/>
      <c r="Y6" s="19"/>
      <c r="Z6" s="19"/>
      <c r="AA6" s="19"/>
      <c r="AB6" s="139"/>
      <c r="AC6" s="19"/>
      <c r="AD6" s="19"/>
      <c r="AE6" s="19"/>
      <c r="AF6" s="19" t="s">
        <v>1124</v>
      </c>
      <c r="AG6" s="19" t="s">
        <v>1124</v>
      </c>
      <c r="AH6" s="19" t="s">
        <v>1124</v>
      </c>
      <c r="AI6" s="327"/>
      <c r="AJ6" s="327"/>
      <c r="AK6" s="327"/>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9"/>
      <c r="BY6" s="19"/>
      <c r="BZ6" s="19"/>
      <c r="CA6" s="19"/>
      <c r="CB6" s="19"/>
      <c r="CC6" s="19"/>
      <c r="CD6" s="139"/>
      <c r="CE6" s="139"/>
      <c r="CF6" s="139"/>
      <c r="CG6" s="139"/>
      <c r="CH6" s="139"/>
      <c r="CI6" s="139"/>
      <c r="CJ6" s="149"/>
      <c r="CK6" s="240"/>
    </row>
    <row r="7" spans="1:89" ht="15" customHeight="1" x14ac:dyDescent="0.35">
      <c r="A7" s="17"/>
      <c r="B7" s="313">
        <v>48028</v>
      </c>
      <c r="C7" s="8" t="s">
        <v>460</v>
      </c>
      <c r="D7" s="18">
        <v>16</v>
      </c>
      <c r="E7" s="131" t="s">
        <v>1309</v>
      </c>
      <c r="F7" s="22" t="s">
        <v>1309</v>
      </c>
      <c r="G7" s="132" t="s">
        <v>1309</v>
      </c>
      <c r="H7" s="22" t="s">
        <v>1311</v>
      </c>
      <c r="I7" s="22" t="s">
        <v>1327</v>
      </c>
      <c r="J7" s="22" t="s">
        <v>1327</v>
      </c>
      <c r="K7" s="22" t="s">
        <v>1314</v>
      </c>
      <c r="L7" s="22" t="s">
        <v>1311</v>
      </c>
      <c r="M7" s="133" t="s">
        <v>1311</v>
      </c>
      <c r="N7" s="22" t="s">
        <v>1311</v>
      </c>
      <c r="O7" s="22" t="s">
        <v>1309</v>
      </c>
      <c r="P7" s="22" t="s">
        <v>1309</v>
      </c>
      <c r="Q7" s="20">
        <v>0</v>
      </c>
      <c r="R7" s="20">
        <v>0</v>
      </c>
      <c r="S7" s="20">
        <v>44.44</v>
      </c>
      <c r="T7" s="20">
        <v>0</v>
      </c>
      <c r="U7" s="20">
        <v>0</v>
      </c>
      <c r="V7" s="20">
        <v>0</v>
      </c>
      <c r="W7" s="20">
        <v>0</v>
      </c>
      <c r="X7" s="20">
        <v>0</v>
      </c>
      <c r="Y7" s="20">
        <v>0</v>
      </c>
      <c r="Z7" s="20">
        <v>0</v>
      </c>
      <c r="AA7" s="20" t="s">
        <v>1317</v>
      </c>
      <c r="AB7" s="22" t="s">
        <v>1318</v>
      </c>
      <c r="AC7" s="20">
        <v>1</v>
      </c>
      <c r="AD7" s="20">
        <v>2</v>
      </c>
      <c r="AE7" s="20">
        <v>1</v>
      </c>
      <c r="AF7" s="20">
        <v>1</v>
      </c>
      <c r="AG7" s="20">
        <v>1</v>
      </c>
      <c r="AH7" s="20">
        <v>3</v>
      </c>
      <c r="AI7" s="328">
        <v>2.2502250225022502</v>
      </c>
      <c r="AJ7" s="328">
        <v>1.1007154650522839</v>
      </c>
      <c r="AK7" s="328">
        <v>0.55035773252614195</v>
      </c>
      <c r="AL7" s="22" t="s">
        <v>1329</v>
      </c>
      <c r="AM7" s="22" t="s">
        <v>1330</v>
      </c>
      <c r="AN7" s="22" t="s">
        <v>1317</v>
      </c>
      <c r="AO7" s="22" t="s">
        <v>1318</v>
      </c>
      <c r="AP7" s="22" t="s">
        <v>1318</v>
      </c>
      <c r="AQ7" s="22" t="s">
        <v>1318</v>
      </c>
      <c r="AR7" s="22" t="s">
        <v>1317</v>
      </c>
      <c r="AS7" s="22" t="s">
        <v>1318</v>
      </c>
      <c r="AT7" s="22" t="s">
        <v>1317</v>
      </c>
      <c r="AU7" s="22" t="s">
        <v>1311</v>
      </c>
      <c r="AV7" s="22" t="s">
        <v>1317</v>
      </c>
      <c r="AW7" s="22" t="s">
        <v>1318</v>
      </c>
      <c r="AX7" s="22" t="s">
        <v>1317</v>
      </c>
      <c r="AY7" s="22" t="s">
        <v>1318</v>
      </c>
      <c r="AZ7" s="22" t="s">
        <v>1309</v>
      </c>
      <c r="BA7" s="22" t="s">
        <v>1309</v>
      </c>
      <c r="BB7" s="22" t="s">
        <v>1309</v>
      </c>
      <c r="BC7" s="22" t="s">
        <v>1309</v>
      </c>
      <c r="BD7" s="22" t="s">
        <v>1317</v>
      </c>
      <c r="BE7" s="22" t="s">
        <v>1318</v>
      </c>
      <c r="BF7" s="22" t="s">
        <v>1317</v>
      </c>
      <c r="BG7" s="22" t="s">
        <v>1318</v>
      </c>
      <c r="BH7" s="22" t="s">
        <v>1309</v>
      </c>
      <c r="BI7" s="22" t="s">
        <v>1309</v>
      </c>
      <c r="BJ7" s="22" t="s">
        <v>1317</v>
      </c>
      <c r="BK7" s="22" t="s">
        <v>1318</v>
      </c>
      <c r="BL7" s="22" t="s">
        <v>1317</v>
      </c>
      <c r="BM7" s="22" t="s">
        <v>1318</v>
      </c>
      <c r="BN7" s="22" t="s">
        <v>1319</v>
      </c>
      <c r="BO7" s="22" t="s">
        <v>1311</v>
      </c>
      <c r="BP7" s="22" t="s">
        <v>1309</v>
      </c>
      <c r="BQ7" s="22" t="s">
        <v>1309</v>
      </c>
      <c r="BR7" s="22" t="s">
        <v>1309</v>
      </c>
      <c r="BS7" s="22" t="s">
        <v>1309</v>
      </c>
      <c r="BT7" s="22" t="s">
        <v>1309</v>
      </c>
      <c r="BU7" s="22" t="s">
        <v>1309</v>
      </c>
      <c r="BV7" s="22" t="s">
        <v>1317</v>
      </c>
      <c r="BW7" s="22" t="s">
        <v>1318</v>
      </c>
      <c r="BX7" s="20">
        <v>102</v>
      </c>
      <c r="BY7" s="20">
        <v>0</v>
      </c>
      <c r="BZ7" s="20">
        <v>43</v>
      </c>
      <c r="CA7" s="20">
        <v>52</v>
      </c>
      <c r="CB7" s="20">
        <v>8</v>
      </c>
      <c r="CC7" s="20">
        <v>1547</v>
      </c>
      <c r="CD7" s="22" t="s">
        <v>1345</v>
      </c>
      <c r="CE7" s="22" t="s">
        <v>1321</v>
      </c>
      <c r="CF7" s="22" t="s">
        <v>1331</v>
      </c>
      <c r="CG7" s="22" t="s">
        <v>1331</v>
      </c>
      <c r="CH7" s="22" t="s">
        <v>1317</v>
      </c>
      <c r="CI7" s="22" t="s">
        <v>1318</v>
      </c>
      <c r="CJ7" s="149" t="s">
        <v>1124</v>
      </c>
      <c r="CK7" s="241" t="s">
        <v>1362</v>
      </c>
    </row>
    <row r="8" spans="1:89" ht="15" customHeight="1" x14ac:dyDescent="0.35">
      <c r="A8" s="17"/>
      <c r="B8" s="313">
        <v>31056</v>
      </c>
      <c r="C8" s="8" t="s">
        <v>246</v>
      </c>
      <c r="D8" s="18">
        <v>12</v>
      </c>
      <c r="E8" s="131" t="s">
        <v>1309</v>
      </c>
      <c r="F8" s="22" t="s">
        <v>1309</v>
      </c>
      <c r="G8" s="132" t="s">
        <v>1309</v>
      </c>
      <c r="H8" s="22" t="s">
        <v>1311</v>
      </c>
      <c r="I8" s="22" t="s">
        <v>1327</v>
      </c>
      <c r="J8" s="22" t="s">
        <v>1327</v>
      </c>
      <c r="K8" s="22" t="s">
        <v>1309</v>
      </c>
      <c r="L8" s="22" t="s">
        <v>1309</v>
      </c>
      <c r="M8" s="133" t="s">
        <v>1311</v>
      </c>
      <c r="N8" s="22" t="s">
        <v>1311</v>
      </c>
      <c r="O8" s="22" t="s">
        <v>1309</v>
      </c>
      <c r="P8" s="22" t="s">
        <v>1309</v>
      </c>
      <c r="Q8" s="20">
        <v>0</v>
      </c>
      <c r="R8" s="20">
        <v>0</v>
      </c>
      <c r="S8" s="20">
        <v>0</v>
      </c>
      <c r="T8" s="20">
        <v>0</v>
      </c>
      <c r="U8" s="20">
        <v>0</v>
      </c>
      <c r="V8" s="20">
        <v>0</v>
      </c>
      <c r="W8" s="20">
        <v>0</v>
      </c>
      <c r="X8" s="20">
        <v>0</v>
      </c>
      <c r="Y8" s="20">
        <v>0</v>
      </c>
      <c r="Z8" s="20">
        <v>0</v>
      </c>
      <c r="AA8" s="20" t="s">
        <v>1317</v>
      </c>
      <c r="AB8" s="22" t="s">
        <v>1318</v>
      </c>
      <c r="AC8" s="20">
        <v>0</v>
      </c>
      <c r="AD8" s="20">
        <v>0</v>
      </c>
      <c r="AE8" s="20">
        <v>0</v>
      </c>
      <c r="AF8" s="20">
        <v>0</v>
      </c>
      <c r="AG8" s="20">
        <v>0</v>
      </c>
      <c r="AH8" s="20">
        <v>0</v>
      </c>
      <c r="AI8" s="328" t="s">
        <v>1328</v>
      </c>
      <c r="AJ8" s="328" t="s">
        <v>1328</v>
      </c>
      <c r="AK8" s="328" t="s">
        <v>1328</v>
      </c>
      <c r="AL8" s="22" t="s">
        <v>1329</v>
      </c>
      <c r="AM8" s="22" t="s">
        <v>1330</v>
      </c>
      <c r="AN8" s="22" t="s">
        <v>1317</v>
      </c>
      <c r="AO8" s="22" t="s">
        <v>1318</v>
      </c>
      <c r="AP8" s="22" t="s">
        <v>1318</v>
      </c>
      <c r="AQ8" s="22" t="s">
        <v>1318</v>
      </c>
      <c r="AR8" s="22" t="s">
        <v>1317</v>
      </c>
      <c r="AS8" s="22" t="s">
        <v>1318</v>
      </c>
      <c r="AT8" s="22" t="s">
        <v>1317</v>
      </c>
      <c r="AU8" s="22" t="s">
        <v>1318</v>
      </c>
      <c r="AV8" s="22" t="s">
        <v>1317</v>
      </c>
      <c r="AW8" s="22" t="s">
        <v>1318</v>
      </c>
      <c r="AX8" s="22" t="s">
        <v>1317</v>
      </c>
      <c r="AY8" s="22" t="s">
        <v>1318</v>
      </c>
      <c r="AZ8" s="22" t="s">
        <v>1317</v>
      </c>
      <c r="BA8" s="22" t="s">
        <v>1318</v>
      </c>
      <c r="BB8" s="22" t="s">
        <v>1309</v>
      </c>
      <c r="BC8" s="22" t="s">
        <v>1309</v>
      </c>
      <c r="BD8" s="22" t="s">
        <v>1309</v>
      </c>
      <c r="BE8" s="22" t="s">
        <v>1309</v>
      </c>
      <c r="BF8" s="22" t="s">
        <v>1309</v>
      </c>
      <c r="BG8" s="22" t="s">
        <v>1309</v>
      </c>
      <c r="BH8" s="22" t="s">
        <v>1317</v>
      </c>
      <c r="BI8" s="22" t="s">
        <v>1318</v>
      </c>
      <c r="BJ8" s="22" t="s">
        <v>1317</v>
      </c>
      <c r="BK8" s="22" t="s">
        <v>1318</v>
      </c>
      <c r="BL8" s="22" t="s">
        <v>1317</v>
      </c>
      <c r="BM8" s="22" t="s">
        <v>1318</v>
      </c>
      <c r="BN8" s="22" t="s">
        <v>1317</v>
      </c>
      <c r="BO8" s="22" t="s">
        <v>1318</v>
      </c>
      <c r="BP8" s="22" t="s">
        <v>1317</v>
      </c>
      <c r="BQ8" s="22" t="s">
        <v>1318</v>
      </c>
      <c r="BR8" s="22" t="s">
        <v>1317</v>
      </c>
      <c r="BS8" s="22" t="s">
        <v>1318</v>
      </c>
      <c r="BT8" s="22" t="s">
        <v>1317</v>
      </c>
      <c r="BU8" s="22" t="s">
        <v>1318</v>
      </c>
      <c r="BV8" s="22" t="s">
        <v>1309</v>
      </c>
      <c r="BW8" s="22" t="s">
        <v>1311</v>
      </c>
      <c r="BX8" s="20">
        <v>25</v>
      </c>
      <c r="BY8" s="20">
        <v>0</v>
      </c>
      <c r="BZ8" s="20">
        <v>0</v>
      </c>
      <c r="CA8" s="20">
        <v>475</v>
      </c>
      <c r="CB8" s="20">
        <v>0</v>
      </c>
      <c r="CC8" s="20">
        <v>0</v>
      </c>
      <c r="CD8" s="22" t="s">
        <v>1331</v>
      </c>
      <c r="CE8" s="22" t="s">
        <v>1331</v>
      </c>
      <c r="CF8" s="22" t="s">
        <v>1331</v>
      </c>
      <c r="CG8" s="22" t="s">
        <v>1331</v>
      </c>
      <c r="CH8" s="22" t="s">
        <v>1317</v>
      </c>
      <c r="CI8" s="22" t="s">
        <v>1318</v>
      </c>
      <c r="CJ8" s="149" t="s">
        <v>1124</v>
      </c>
      <c r="CK8" s="241" t="s">
        <v>1124</v>
      </c>
    </row>
    <row r="9" spans="1:89" ht="15" customHeight="1" x14ac:dyDescent="0.35">
      <c r="A9" s="17"/>
      <c r="B9" s="313">
        <v>98030</v>
      </c>
      <c r="C9" s="8" t="s">
        <v>1013</v>
      </c>
      <c r="D9" s="18">
        <v>9</v>
      </c>
      <c r="E9" s="131" t="s">
        <v>1309</v>
      </c>
      <c r="F9" s="22" t="s">
        <v>1309</v>
      </c>
      <c r="G9" s="132" t="s">
        <v>1309</v>
      </c>
      <c r="H9" s="22" t="s">
        <v>1311</v>
      </c>
      <c r="I9" s="22" t="s">
        <v>1327</v>
      </c>
      <c r="J9" s="22" t="s">
        <v>1327</v>
      </c>
      <c r="K9" s="22" t="s">
        <v>1319</v>
      </c>
      <c r="L9" s="22" t="s">
        <v>1309</v>
      </c>
      <c r="M9" s="133" t="s">
        <v>1311</v>
      </c>
      <c r="N9" s="22" t="s">
        <v>1311</v>
      </c>
      <c r="O9" s="22" t="s">
        <v>1315</v>
      </c>
      <c r="P9" s="22" t="s">
        <v>1315</v>
      </c>
      <c r="Q9" s="20">
        <v>10.734999999999999</v>
      </c>
      <c r="R9" s="20">
        <v>10.734999999999999</v>
      </c>
      <c r="S9" s="20">
        <v>0</v>
      </c>
      <c r="T9" s="20">
        <v>0</v>
      </c>
      <c r="U9" s="20">
        <v>0</v>
      </c>
      <c r="V9" s="20">
        <v>0</v>
      </c>
      <c r="W9" s="20">
        <v>0</v>
      </c>
      <c r="X9" s="20">
        <v>0</v>
      </c>
      <c r="Y9" s="20">
        <v>0</v>
      </c>
      <c r="Z9" s="20">
        <v>0</v>
      </c>
      <c r="AA9" s="20" t="s">
        <v>1317</v>
      </c>
      <c r="AB9" s="22" t="s">
        <v>1318</v>
      </c>
      <c r="AC9" s="20">
        <v>0</v>
      </c>
      <c r="AD9" s="20">
        <v>0</v>
      </c>
      <c r="AE9" s="20">
        <v>0</v>
      </c>
      <c r="AF9" s="20">
        <v>0</v>
      </c>
      <c r="AG9" s="20">
        <v>0</v>
      </c>
      <c r="AH9" s="20">
        <v>0</v>
      </c>
      <c r="AI9" s="328" t="s">
        <v>1328</v>
      </c>
      <c r="AJ9" s="328" t="s">
        <v>1328</v>
      </c>
      <c r="AK9" s="328" t="s">
        <v>1328</v>
      </c>
      <c r="AL9" s="22" t="s">
        <v>1329</v>
      </c>
      <c r="AM9" s="22" t="s">
        <v>1330</v>
      </c>
      <c r="AN9" s="22" t="s">
        <v>1317</v>
      </c>
      <c r="AO9" s="22" t="s">
        <v>1318</v>
      </c>
      <c r="AP9" s="22" t="s">
        <v>1318</v>
      </c>
      <c r="AQ9" s="22" t="s">
        <v>1318</v>
      </c>
      <c r="AR9" s="22" t="s">
        <v>1317</v>
      </c>
      <c r="AS9" s="22" t="s">
        <v>1318</v>
      </c>
      <c r="AT9" s="22" t="s">
        <v>1309</v>
      </c>
      <c r="AU9" s="22" t="s">
        <v>1309</v>
      </c>
      <c r="AV9" s="22" t="s">
        <v>1317</v>
      </c>
      <c r="AW9" s="22" t="s">
        <v>1318</v>
      </c>
      <c r="AX9" s="22" t="s">
        <v>1317</v>
      </c>
      <c r="AY9" s="22" t="s">
        <v>1318</v>
      </c>
      <c r="AZ9" s="22" t="s">
        <v>1309</v>
      </c>
      <c r="BA9" s="22" t="s">
        <v>1309</v>
      </c>
      <c r="BB9" s="22" t="s">
        <v>1309</v>
      </c>
      <c r="BC9" s="22" t="s">
        <v>1309</v>
      </c>
      <c r="BD9" s="22" t="s">
        <v>1317</v>
      </c>
      <c r="BE9" s="22" t="s">
        <v>1318</v>
      </c>
      <c r="BF9" s="22" t="s">
        <v>1317</v>
      </c>
      <c r="BG9" s="22" t="s">
        <v>1318</v>
      </c>
      <c r="BH9" s="22" t="s">
        <v>1317</v>
      </c>
      <c r="BI9" s="22" t="s">
        <v>1318</v>
      </c>
      <c r="BJ9" s="22" t="s">
        <v>1317</v>
      </c>
      <c r="BK9" s="22" t="s">
        <v>1318</v>
      </c>
      <c r="BL9" s="22" t="s">
        <v>1309</v>
      </c>
      <c r="BM9" s="22" t="s">
        <v>1309</v>
      </c>
      <c r="BN9" s="22" t="s">
        <v>1309</v>
      </c>
      <c r="BO9" s="22" t="s">
        <v>1309</v>
      </c>
      <c r="BP9" s="22" t="s">
        <v>1315</v>
      </c>
      <c r="BQ9" s="22" t="s">
        <v>1315</v>
      </c>
      <c r="BR9" s="22" t="s">
        <v>1309</v>
      </c>
      <c r="BS9" s="22" t="s">
        <v>1309</v>
      </c>
      <c r="BT9" s="22" t="s">
        <v>1315</v>
      </c>
      <c r="BU9" s="22" t="s">
        <v>1315</v>
      </c>
      <c r="BV9" s="22" t="s">
        <v>1317</v>
      </c>
      <c r="BW9" s="22" t="s">
        <v>1318</v>
      </c>
      <c r="BX9" s="20">
        <v>0</v>
      </c>
      <c r="BY9" s="20">
        <v>0</v>
      </c>
      <c r="BZ9" s="20">
        <v>13</v>
      </c>
      <c r="CA9" s="20">
        <v>0</v>
      </c>
      <c r="CB9" s="20">
        <v>0</v>
      </c>
      <c r="CC9" s="20">
        <v>182</v>
      </c>
      <c r="CD9" s="22" t="s">
        <v>1317</v>
      </c>
      <c r="CE9" s="22" t="s">
        <v>1318</v>
      </c>
      <c r="CF9" s="22" t="s">
        <v>1317</v>
      </c>
      <c r="CG9" s="22" t="s">
        <v>1318</v>
      </c>
      <c r="CH9" s="22" t="s">
        <v>1317</v>
      </c>
      <c r="CI9" s="22" t="s">
        <v>1318</v>
      </c>
      <c r="CJ9" s="149" t="s">
        <v>1414</v>
      </c>
      <c r="CK9" s="241" t="s">
        <v>1124</v>
      </c>
    </row>
    <row r="10" spans="1:89" ht="15" customHeight="1" x14ac:dyDescent="0.35">
      <c r="A10" s="17"/>
      <c r="B10" s="313">
        <v>92030</v>
      </c>
      <c r="C10" s="8" t="s">
        <v>950</v>
      </c>
      <c r="D10" s="18">
        <v>2</v>
      </c>
      <c r="E10" s="131" t="s">
        <v>1309</v>
      </c>
      <c r="F10" s="22" t="s">
        <v>1309</v>
      </c>
      <c r="G10" s="132" t="s">
        <v>1309</v>
      </c>
      <c r="H10" s="22" t="s">
        <v>1311</v>
      </c>
      <c r="I10" s="22" t="s">
        <v>1327</v>
      </c>
      <c r="J10" s="22" t="s">
        <v>1327</v>
      </c>
      <c r="K10" s="22" t="s">
        <v>1314</v>
      </c>
      <c r="L10" s="22" t="s">
        <v>1311</v>
      </c>
      <c r="M10" s="133" t="s">
        <v>1311</v>
      </c>
      <c r="N10" s="22" t="s">
        <v>1311</v>
      </c>
      <c r="O10" s="22" t="s">
        <v>1314</v>
      </c>
      <c r="P10" s="22" t="s">
        <v>1318</v>
      </c>
      <c r="Q10" s="20">
        <v>0</v>
      </c>
      <c r="R10" s="20">
        <v>0</v>
      </c>
      <c r="S10" s="20">
        <v>19.817</v>
      </c>
      <c r="T10" s="20">
        <v>0</v>
      </c>
      <c r="U10" s="20">
        <v>0</v>
      </c>
      <c r="V10" s="20">
        <v>19.817</v>
      </c>
      <c r="W10" s="20">
        <v>0</v>
      </c>
      <c r="X10" s="20">
        <v>0</v>
      </c>
      <c r="Y10" s="20">
        <v>0</v>
      </c>
      <c r="Z10" s="20">
        <v>0</v>
      </c>
      <c r="AA10" s="20" t="s">
        <v>1317</v>
      </c>
      <c r="AB10" s="22" t="s">
        <v>1311</v>
      </c>
      <c r="AC10" s="20">
        <v>1</v>
      </c>
      <c r="AD10" s="20">
        <v>0</v>
      </c>
      <c r="AE10" s="20">
        <v>1</v>
      </c>
      <c r="AF10" s="20">
        <v>30</v>
      </c>
      <c r="AG10" s="20">
        <v>0</v>
      </c>
      <c r="AH10" s="20">
        <v>30</v>
      </c>
      <c r="AI10" s="328">
        <v>5.0461724781753041</v>
      </c>
      <c r="AJ10" s="328" t="s">
        <v>1328</v>
      </c>
      <c r="AK10" s="328">
        <v>1.8484288354898337</v>
      </c>
      <c r="AL10" s="22" t="s">
        <v>1338</v>
      </c>
      <c r="AM10" s="22" t="s">
        <v>1339</v>
      </c>
      <c r="AN10" s="22" t="s">
        <v>1317</v>
      </c>
      <c r="AO10" s="22" t="s">
        <v>1318</v>
      </c>
      <c r="AP10" s="22" t="s">
        <v>1318</v>
      </c>
      <c r="AQ10" s="22" t="s">
        <v>1318</v>
      </c>
      <c r="AR10" s="22" t="s">
        <v>1317</v>
      </c>
      <c r="AS10" s="22" t="s">
        <v>1318</v>
      </c>
      <c r="AT10" s="22" t="s">
        <v>1317</v>
      </c>
      <c r="AU10" s="22" t="s">
        <v>1318</v>
      </c>
      <c r="AV10" s="22" t="s">
        <v>1317</v>
      </c>
      <c r="AW10" s="22" t="s">
        <v>1318</v>
      </c>
      <c r="AX10" s="22" t="s">
        <v>1317</v>
      </c>
      <c r="AY10" s="22" t="s">
        <v>1318</v>
      </c>
      <c r="AZ10" s="22" t="s">
        <v>1309</v>
      </c>
      <c r="BA10" s="22" t="s">
        <v>1309</v>
      </c>
      <c r="BB10" s="22" t="s">
        <v>1309</v>
      </c>
      <c r="BC10" s="22" t="s">
        <v>1309</v>
      </c>
      <c r="BD10" s="22" t="s">
        <v>1317</v>
      </c>
      <c r="BE10" s="22" t="s">
        <v>1318</v>
      </c>
      <c r="BF10" s="22" t="s">
        <v>1319</v>
      </c>
      <c r="BG10" s="22" t="s">
        <v>1311</v>
      </c>
      <c r="BH10" s="22" t="s">
        <v>1317</v>
      </c>
      <c r="BI10" s="22" t="s">
        <v>1318</v>
      </c>
      <c r="BJ10" s="22" t="s">
        <v>1317</v>
      </c>
      <c r="BK10" s="22" t="s">
        <v>1318</v>
      </c>
      <c r="BL10" s="22" t="s">
        <v>1317</v>
      </c>
      <c r="BM10" s="22" t="s">
        <v>1318</v>
      </c>
      <c r="BN10" s="22" t="s">
        <v>1317</v>
      </c>
      <c r="BO10" s="22" t="s">
        <v>1311</v>
      </c>
      <c r="BP10" s="22" t="s">
        <v>1317</v>
      </c>
      <c r="BQ10" s="22" t="s">
        <v>1318</v>
      </c>
      <c r="BR10" s="22" t="s">
        <v>1309</v>
      </c>
      <c r="BS10" s="22" t="s">
        <v>1309</v>
      </c>
      <c r="BT10" s="22" t="s">
        <v>1309</v>
      </c>
      <c r="BU10" s="22" t="s">
        <v>1309</v>
      </c>
      <c r="BV10" s="22" t="s">
        <v>1317</v>
      </c>
      <c r="BW10" s="22" t="s">
        <v>1318</v>
      </c>
      <c r="BX10" s="20">
        <v>0</v>
      </c>
      <c r="BY10" s="20">
        <v>0</v>
      </c>
      <c r="BZ10" s="20">
        <v>32</v>
      </c>
      <c r="CA10" s="20">
        <v>0</v>
      </c>
      <c r="CB10" s="20">
        <v>0</v>
      </c>
      <c r="CC10" s="20">
        <v>505</v>
      </c>
      <c r="CD10" s="22" t="s">
        <v>1320</v>
      </c>
      <c r="CE10" s="22" t="s">
        <v>1321</v>
      </c>
      <c r="CF10" s="22" t="s">
        <v>1320</v>
      </c>
      <c r="CG10" s="22" t="s">
        <v>1321</v>
      </c>
      <c r="CH10" s="22" t="s">
        <v>1317</v>
      </c>
      <c r="CI10" s="22" t="s">
        <v>1318</v>
      </c>
      <c r="CJ10" s="149" t="s">
        <v>1368</v>
      </c>
      <c r="CK10" s="241" t="s">
        <v>1124</v>
      </c>
    </row>
    <row r="11" spans="1:89" ht="15" customHeight="1" x14ac:dyDescent="0.35">
      <c r="A11" s="17"/>
      <c r="B11" s="313">
        <v>7025</v>
      </c>
      <c r="C11" s="8" t="s">
        <v>1071</v>
      </c>
      <c r="D11" s="18">
        <v>1</v>
      </c>
      <c r="E11" s="131"/>
      <c r="F11" s="22"/>
      <c r="G11" s="132"/>
      <c r="H11" s="22"/>
      <c r="I11" s="22"/>
      <c r="J11" s="22"/>
      <c r="K11" s="22"/>
      <c r="L11" s="22"/>
      <c r="M11" s="133"/>
      <c r="N11" s="22"/>
      <c r="O11" s="22"/>
      <c r="P11" s="22"/>
      <c r="Q11" s="20"/>
      <c r="R11" s="20"/>
      <c r="S11" s="20"/>
      <c r="T11" s="20"/>
      <c r="U11" s="20"/>
      <c r="V11" s="20"/>
      <c r="W11" s="20"/>
      <c r="X11" s="20"/>
      <c r="Y11" s="20"/>
      <c r="Z11" s="20"/>
      <c r="AA11" s="20"/>
      <c r="AB11" s="22"/>
      <c r="AC11" s="20"/>
      <c r="AD11" s="20"/>
      <c r="AE11" s="20"/>
      <c r="AF11" s="20" t="s">
        <v>1124</v>
      </c>
      <c r="AG11" s="20" t="s">
        <v>1124</v>
      </c>
      <c r="AH11" s="20" t="s">
        <v>1124</v>
      </c>
      <c r="AI11" s="328"/>
      <c r="AJ11" s="328"/>
      <c r="AK11" s="328"/>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0"/>
      <c r="BY11" s="20"/>
      <c r="BZ11" s="20"/>
      <c r="CA11" s="20"/>
      <c r="CB11" s="20"/>
      <c r="CC11" s="20"/>
      <c r="CD11" s="22"/>
      <c r="CE11" s="22"/>
      <c r="CF11" s="22"/>
      <c r="CG11" s="22"/>
      <c r="CH11" s="22"/>
      <c r="CI11" s="22"/>
      <c r="CJ11" s="149"/>
      <c r="CK11" s="241"/>
    </row>
    <row r="12" spans="1:89" ht="15" customHeight="1" x14ac:dyDescent="0.35">
      <c r="A12" s="17"/>
      <c r="B12" s="313">
        <v>84050</v>
      </c>
      <c r="C12" s="8" t="s">
        <v>861</v>
      </c>
      <c r="D12" s="18">
        <v>7</v>
      </c>
      <c r="E12" s="131"/>
      <c r="F12" s="22"/>
      <c r="G12" s="132"/>
      <c r="H12" s="22"/>
      <c r="I12" s="22"/>
      <c r="J12" s="22"/>
      <c r="K12" s="22"/>
      <c r="L12" s="22"/>
      <c r="M12" s="133"/>
      <c r="N12" s="22"/>
      <c r="O12" s="22"/>
      <c r="P12" s="22"/>
      <c r="Q12" s="20"/>
      <c r="R12" s="20"/>
      <c r="S12" s="20"/>
      <c r="T12" s="20"/>
      <c r="U12" s="20"/>
      <c r="V12" s="20"/>
      <c r="W12" s="20"/>
      <c r="X12" s="20"/>
      <c r="Y12" s="20"/>
      <c r="Z12" s="20"/>
      <c r="AA12" s="20"/>
      <c r="AB12" s="22"/>
      <c r="AC12" s="20"/>
      <c r="AD12" s="20"/>
      <c r="AE12" s="20"/>
      <c r="AF12" s="20" t="s">
        <v>1124</v>
      </c>
      <c r="AG12" s="20" t="s">
        <v>1124</v>
      </c>
      <c r="AH12" s="20" t="s">
        <v>1124</v>
      </c>
      <c r="AI12" s="328"/>
      <c r="AJ12" s="328"/>
      <c r="AK12" s="328"/>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0"/>
      <c r="BY12" s="20"/>
      <c r="BZ12" s="20"/>
      <c r="CA12" s="20"/>
      <c r="CB12" s="20"/>
      <c r="CC12" s="20"/>
      <c r="CD12" s="22"/>
      <c r="CE12" s="22"/>
      <c r="CF12" s="22"/>
      <c r="CG12" s="22"/>
      <c r="CH12" s="22"/>
      <c r="CI12" s="22"/>
      <c r="CJ12" s="149"/>
      <c r="CK12" s="241"/>
    </row>
    <row r="13" spans="1:89" ht="15" customHeight="1" x14ac:dyDescent="0.35">
      <c r="A13" s="17"/>
      <c r="B13" s="313">
        <v>93042</v>
      </c>
      <c r="C13" s="8" t="s">
        <v>964</v>
      </c>
      <c r="D13" s="18">
        <v>2</v>
      </c>
      <c r="E13" s="131" t="s">
        <v>1309</v>
      </c>
      <c r="F13" s="22" t="s">
        <v>1309</v>
      </c>
      <c r="G13" s="132" t="s">
        <v>1309</v>
      </c>
      <c r="H13" s="22" t="s">
        <v>1311</v>
      </c>
      <c r="I13" s="22" t="s">
        <v>1327</v>
      </c>
      <c r="J13" s="22" t="s">
        <v>1327</v>
      </c>
      <c r="K13" s="22" t="s">
        <v>1309</v>
      </c>
      <c r="L13" s="22" t="s">
        <v>1309</v>
      </c>
      <c r="M13" s="133" t="s">
        <v>1311</v>
      </c>
      <c r="N13" s="22" t="s">
        <v>1311</v>
      </c>
      <c r="O13" s="22" t="s">
        <v>1309</v>
      </c>
      <c r="P13" s="22" t="s">
        <v>1309</v>
      </c>
      <c r="Q13" s="20">
        <v>9.6910000000000007</v>
      </c>
      <c r="R13" s="20">
        <v>9.6910000000000007</v>
      </c>
      <c r="S13" s="20">
        <v>253.858</v>
      </c>
      <c r="T13" s="20">
        <v>0</v>
      </c>
      <c r="U13" s="20">
        <v>0</v>
      </c>
      <c r="V13" s="20">
        <v>253.858</v>
      </c>
      <c r="W13" s="20">
        <v>0</v>
      </c>
      <c r="X13" s="20">
        <v>0</v>
      </c>
      <c r="Y13" s="20">
        <v>0</v>
      </c>
      <c r="Z13" s="20">
        <v>0</v>
      </c>
      <c r="AA13" s="20" t="s">
        <v>1317</v>
      </c>
      <c r="AB13" s="22" t="s">
        <v>1311</v>
      </c>
      <c r="AC13" s="20">
        <v>56</v>
      </c>
      <c r="AD13" s="20">
        <v>0</v>
      </c>
      <c r="AE13" s="20">
        <v>5</v>
      </c>
      <c r="AF13" s="20">
        <v>2</v>
      </c>
      <c r="AG13" s="20">
        <v>0</v>
      </c>
      <c r="AH13" s="20">
        <v>7</v>
      </c>
      <c r="AI13" s="328">
        <v>22.05957661369742</v>
      </c>
      <c r="AJ13" s="328" t="s">
        <v>1328</v>
      </c>
      <c r="AK13" s="328">
        <v>0.50745965695727191</v>
      </c>
      <c r="AL13" s="22" t="s">
        <v>1329</v>
      </c>
      <c r="AM13" s="22" t="s">
        <v>1330</v>
      </c>
      <c r="AN13" s="22" t="s">
        <v>1347</v>
      </c>
      <c r="AO13" s="22" t="s">
        <v>1309</v>
      </c>
      <c r="AP13" s="22" t="s">
        <v>1350</v>
      </c>
      <c r="AQ13" s="22" t="s">
        <v>1318</v>
      </c>
      <c r="AR13" s="22" t="s">
        <v>1317</v>
      </c>
      <c r="AS13" s="22" t="s">
        <v>1318</v>
      </c>
      <c r="AT13" s="22" t="s">
        <v>1309</v>
      </c>
      <c r="AU13" s="22" t="s">
        <v>1309</v>
      </c>
      <c r="AV13" s="22" t="s">
        <v>1317</v>
      </c>
      <c r="AW13" s="22" t="s">
        <v>1318</v>
      </c>
      <c r="AX13" s="22" t="s">
        <v>1317</v>
      </c>
      <c r="AY13" s="22" t="s">
        <v>1318</v>
      </c>
      <c r="AZ13" s="22" t="s">
        <v>1309</v>
      </c>
      <c r="BA13" s="22" t="s">
        <v>1309</v>
      </c>
      <c r="BB13" s="22" t="s">
        <v>1309</v>
      </c>
      <c r="BC13" s="22" t="s">
        <v>1309</v>
      </c>
      <c r="BD13" s="22" t="s">
        <v>1317</v>
      </c>
      <c r="BE13" s="22" t="s">
        <v>1318</v>
      </c>
      <c r="BF13" s="22" t="s">
        <v>1317</v>
      </c>
      <c r="BG13" s="22" t="s">
        <v>1318</v>
      </c>
      <c r="BH13" s="22" t="s">
        <v>1317</v>
      </c>
      <c r="BI13" s="22" t="s">
        <v>1318</v>
      </c>
      <c r="BJ13" s="22" t="s">
        <v>1309</v>
      </c>
      <c r="BK13" s="22" t="s">
        <v>1309</v>
      </c>
      <c r="BL13" s="22" t="s">
        <v>1309</v>
      </c>
      <c r="BM13" s="22" t="s">
        <v>1309</v>
      </c>
      <c r="BN13" s="22" t="s">
        <v>1309</v>
      </c>
      <c r="BO13" s="22" t="s">
        <v>1309</v>
      </c>
      <c r="BP13" s="22" t="s">
        <v>1309</v>
      </c>
      <c r="BQ13" s="22" t="s">
        <v>1309</v>
      </c>
      <c r="BR13" s="22" t="s">
        <v>1309</v>
      </c>
      <c r="BS13" s="22" t="s">
        <v>1309</v>
      </c>
      <c r="BT13" s="22" t="s">
        <v>1309</v>
      </c>
      <c r="BU13" s="22" t="s">
        <v>1309</v>
      </c>
      <c r="BV13" s="22" t="s">
        <v>1317</v>
      </c>
      <c r="BW13" s="22" t="s">
        <v>1318</v>
      </c>
      <c r="BX13" s="20">
        <v>18</v>
      </c>
      <c r="BY13" s="20">
        <v>0</v>
      </c>
      <c r="BZ13" s="20">
        <v>695</v>
      </c>
      <c r="CA13" s="20">
        <v>0</v>
      </c>
      <c r="CB13" s="20">
        <v>0</v>
      </c>
      <c r="CC13" s="20">
        <v>9140</v>
      </c>
      <c r="CD13" s="22" t="s">
        <v>1320</v>
      </c>
      <c r="CE13" s="22" t="s">
        <v>1344</v>
      </c>
      <c r="CF13" s="22" t="s">
        <v>1317</v>
      </c>
      <c r="CG13" s="22" t="s">
        <v>1318</v>
      </c>
      <c r="CH13" s="22" t="s">
        <v>1341</v>
      </c>
      <c r="CI13" s="22" t="s">
        <v>1352</v>
      </c>
      <c r="CJ13" s="149" t="s">
        <v>1124</v>
      </c>
      <c r="CK13" s="241" t="s">
        <v>1374</v>
      </c>
    </row>
    <row r="14" spans="1:89" ht="15" customHeight="1" x14ac:dyDescent="0.35">
      <c r="A14" s="17"/>
      <c r="B14" s="313">
        <v>78070</v>
      </c>
      <c r="C14" s="8" t="s">
        <v>777</v>
      </c>
      <c r="D14" s="18">
        <v>15</v>
      </c>
      <c r="E14" s="131" t="s">
        <v>1309</v>
      </c>
      <c r="F14" s="22" t="s">
        <v>1309</v>
      </c>
      <c r="G14" s="132" t="s">
        <v>1309</v>
      </c>
      <c r="H14" s="22" t="s">
        <v>1311</v>
      </c>
      <c r="I14" s="22" t="s">
        <v>1327</v>
      </c>
      <c r="J14" s="22" t="s">
        <v>1342</v>
      </c>
      <c r="K14" s="22" t="s">
        <v>1314</v>
      </c>
      <c r="L14" s="22" t="s">
        <v>1311</v>
      </c>
      <c r="M14" s="133" t="s">
        <v>1311</v>
      </c>
      <c r="N14" s="22" t="s">
        <v>1311</v>
      </c>
      <c r="O14" s="22" t="s">
        <v>1315</v>
      </c>
      <c r="P14" s="22" t="s">
        <v>1315</v>
      </c>
      <c r="Q14" s="20">
        <v>0</v>
      </c>
      <c r="R14" s="20">
        <v>0</v>
      </c>
      <c r="S14" s="20">
        <v>0</v>
      </c>
      <c r="T14" s="20">
        <v>0</v>
      </c>
      <c r="U14" s="20">
        <v>0</v>
      </c>
      <c r="V14" s="20">
        <v>0</v>
      </c>
      <c r="W14" s="20">
        <v>0</v>
      </c>
      <c r="X14" s="20">
        <v>0</v>
      </c>
      <c r="Y14" s="20">
        <v>0</v>
      </c>
      <c r="Z14" s="20">
        <v>0</v>
      </c>
      <c r="AA14" s="20" t="s">
        <v>1317</v>
      </c>
      <c r="AB14" s="22" t="s">
        <v>1318</v>
      </c>
      <c r="AC14" s="20">
        <v>0</v>
      </c>
      <c r="AD14" s="20">
        <v>0</v>
      </c>
      <c r="AE14" s="20">
        <v>1</v>
      </c>
      <c r="AF14" s="20">
        <v>0</v>
      </c>
      <c r="AG14" s="20">
        <v>0</v>
      </c>
      <c r="AH14" s="20">
        <v>1</v>
      </c>
      <c r="AI14" s="328" t="s">
        <v>1328</v>
      </c>
      <c r="AJ14" s="328" t="s">
        <v>1328</v>
      </c>
      <c r="AK14" s="328">
        <v>5.9880239520958085</v>
      </c>
      <c r="AL14" s="22" t="s">
        <v>1329</v>
      </c>
      <c r="AM14" s="22" t="s">
        <v>1330</v>
      </c>
      <c r="AN14" s="22" t="s">
        <v>1317</v>
      </c>
      <c r="AO14" s="22" t="s">
        <v>1318</v>
      </c>
      <c r="AP14" s="22" t="s">
        <v>1318</v>
      </c>
      <c r="AQ14" s="22" t="s">
        <v>1318</v>
      </c>
      <c r="AR14" s="22" t="s">
        <v>1317</v>
      </c>
      <c r="AS14" s="22" t="s">
        <v>1318</v>
      </c>
      <c r="AT14" s="22" t="s">
        <v>1309</v>
      </c>
      <c r="AU14" s="22" t="s">
        <v>1309</v>
      </c>
      <c r="AV14" s="22" t="s">
        <v>1317</v>
      </c>
      <c r="AW14" s="22" t="s">
        <v>1318</v>
      </c>
      <c r="AX14" s="22" t="s">
        <v>1317</v>
      </c>
      <c r="AY14" s="22" t="s">
        <v>1318</v>
      </c>
      <c r="AZ14" s="22" t="s">
        <v>1309</v>
      </c>
      <c r="BA14" s="22" t="s">
        <v>1309</v>
      </c>
      <c r="BB14" s="22" t="s">
        <v>1309</v>
      </c>
      <c r="BC14" s="22" t="s">
        <v>1309</v>
      </c>
      <c r="BD14" s="22" t="s">
        <v>1317</v>
      </c>
      <c r="BE14" s="22" t="s">
        <v>1318</v>
      </c>
      <c r="BF14" s="22" t="s">
        <v>1317</v>
      </c>
      <c r="BG14" s="22" t="s">
        <v>1318</v>
      </c>
      <c r="BH14" s="22" t="s">
        <v>1309</v>
      </c>
      <c r="BI14" s="22" t="s">
        <v>1309</v>
      </c>
      <c r="BJ14" s="22" t="s">
        <v>1309</v>
      </c>
      <c r="BK14" s="22" t="s">
        <v>1309</v>
      </c>
      <c r="BL14" s="22" t="s">
        <v>1319</v>
      </c>
      <c r="BM14" s="22" t="s">
        <v>1311</v>
      </c>
      <c r="BN14" s="22" t="s">
        <v>1309</v>
      </c>
      <c r="BO14" s="22" t="s">
        <v>1309</v>
      </c>
      <c r="BP14" s="22" t="s">
        <v>1319</v>
      </c>
      <c r="BQ14" s="22" t="s">
        <v>1311</v>
      </c>
      <c r="BR14" s="22" t="s">
        <v>1309</v>
      </c>
      <c r="BS14" s="22" t="s">
        <v>1309</v>
      </c>
      <c r="BT14" s="22" t="s">
        <v>1315</v>
      </c>
      <c r="BU14" s="22" t="s">
        <v>1315</v>
      </c>
      <c r="BV14" s="22" t="s">
        <v>1317</v>
      </c>
      <c r="BW14" s="22" t="s">
        <v>1318</v>
      </c>
      <c r="BX14" s="20">
        <v>0</v>
      </c>
      <c r="BY14" s="20">
        <v>0</v>
      </c>
      <c r="BZ14" s="20">
        <v>18</v>
      </c>
      <c r="CA14" s="20">
        <v>0</v>
      </c>
      <c r="CB14" s="20">
        <v>0</v>
      </c>
      <c r="CC14" s="20">
        <v>167</v>
      </c>
      <c r="CD14" s="22" t="s">
        <v>1317</v>
      </c>
      <c r="CE14" s="22" t="s">
        <v>1318</v>
      </c>
      <c r="CF14" s="22" t="s">
        <v>1317</v>
      </c>
      <c r="CG14" s="22" t="s">
        <v>1318</v>
      </c>
      <c r="CH14" s="22" t="s">
        <v>1317</v>
      </c>
      <c r="CI14" s="22" t="s">
        <v>1318</v>
      </c>
      <c r="CJ14" s="149" t="s">
        <v>1420</v>
      </c>
      <c r="CK14" s="241" t="s">
        <v>1358</v>
      </c>
    </row>
    <row r="15" spans="1:89" ht="15" customHeight="1" x14ac:dyDescent="0.35">
      <c r="A15" s="17"/>
      <c r="B15" s="313">
        <v>88055</v>
      </c>
      <c r="C15" s="8" t="s">
        <v>920</v>
      </c>
      <c r="D15" s="18">
        <v>8</v>
      </c>
      <c r="E15" s="131" t="s">
        <v>1309</v>
      </c>
      <c r="F15" s="22" t="s">
        <v>1310</v>
      </c>
      <c r="G15" s="132" t="s">
        <v>1309</v>
      </c>
      <c r="H15" s="22" t="s">
        <v>1311</v>
      </c>
      <c r="I15" s="22" t="s">
        <v>1312</v>
      </c>
      <c r="J15" s="22" t="s">
        <v>1313</v>
      </c>
      <c r="K15" s="22" t="s">
        <v>1309</v>
      </c>
      <c r="L15" s="22" t="s">
        <v>1309</v>
      </c>
      <c r="M15" s="133" t="s">
        <v>1311</v>
      </c>
      <c r="N15" s="22" t="s">
        <v>1311</v>
      </c>
      <c r="O15" s="22" t="s">
        <v>1314</v>
      </c>
      <c r="P15" s="22" t="s">
        <v>1311</v>
      </c>
      <c r="Q15" s="20">
        <v>0</v>
      </c>
      <c r="R15" s="20">
        <v>0</v>
      </c>
      <c r="S15" s="20">
        <v>0</v>
      </c>
      <c r="T15" s="20">
        <v>0</v>
      </c>
      <c r="U15" s="20">
        <v>0</v>
      </c>
      <c r="V15" s="20">
        <v>0</v>
      </c>
      <c r="W15" s="20">
        <v>0</v>
      </c>
      <c r="X15" s="20">
        <v>0</v>
      </c>
      <c r="Y15" s="20">
        <v>0</v>
      </c>
      <c r="Z15" s="20">
        <v>0</v>
      </c>
      <c r="AA15" s="20" t="s">
        <v>1315</v>
      </c>
      <c r="AB15" s="22" t="s">
        <v>1311</v>
      </c>
      <c r="AC15" s="20">
        <v>8</v>
      </c>
      <c r="AD15" s="20">
        <v>4</v>
      </c>
      <c r="AE15" s="20">
        <v>3</v>
      </c>
      <c r="AF15" s="20">
        <v>2</v>
      </c>
      <c r="AG15" s="20">
        <v>2</v>
      </c>
      <c r="AH15" s="20">
        <v>2</v>
      </c>
      <c r="AI15" s="328">
        <v>7.7579519006982167</v>
      </c>
      <c r="AJ15" s="328">
        <v>0.87834870443566093</v>
      </c>
      <c r="AK15" s="328">
        <v>0.65876152832674573</v>
      </c>
      <c r="AL15" s="22" t="s">
        <v>1315</v>
      </c>
      <c r="AM15" s="22" t="s">
        <v>1316</v>
      </c>
      <c r="AN15" s="22" t="s">
        <v>1317</v>
      </c>
      <c r="AO15" s="22" t="s">
        <v>1318</v>
      </c>
      <c r="AP15" s="22" t="s">
        <v>1318</v>
      </c>
      <c r="AQ15" s="22" t="s">
        <v>1318</v>
      </c>
      <c r="AR15" s="22" t="s">
        <v>1317</v>
      </c>
      <c r="AS15" s="22" t="s">
        <v>1318</v>
      </c>
      <c r="AT15" s="22" t="s">
        <v>1319</v>
      </c>
      <c r="AU15" s="22" t="s">
        <v>1311</v>
      </c>
      <c r="AV15" s="22" t="s">
        <v>1319</v>
      </c>
      <c r="AW15" s="22" t="s">
        <v>1311</v>
      </c>
      <c r="AX15" s="22" t="s">
        <v>1317</v>
      </c>
      <c r="AY15" s="22" t="s">
        <v>1318</v>
      </c>
      <c r="AZ15" s="22" t="s">
        <v>1319</v>
      </c>
      <c r="BA15" s="22" t="s">
        <v>1311</v>
      </c>
      <c r="BB15" s="22" t="s">
        <v>1317</v>
      </c>
      <c r="BC15" s="22" t="s">
        <v>1318</v>
      </c>
      <c r="BD15" s="22" t="s">
        <v>1319</v>
      </c>
      <c r="BE15" s="22" t="s">
        <v>1311</v>
      </c>
      <c r="BF15" s="22" t="s">
        <v>1319</v>
      </c>
      <c r="BG15" s="22" t="s">
        <v>1311</v>
      </c>
      <c r="BH15" s="22" t="s">
        <v>1319</v>
      </c>
      <c r="BI15" s="22" t="s">
        <v>1311</v>
      </c>
      <c r="BJ15" s="22" t="s">
        <v>1317</v>
      </c>
      <c r="BK15" s="22" t="s">
        <v>1318</v>
      </c>
      <c r="BL15" s="22" t="s">
        <v>1317</v>
      </c>
      <c r="BM15" s="22" t="s">
        <v>1318</v>
      </c>
      <c r="BN15" s="22" t="s">
        <v>1319</v>
      </c>
      <c r="BO15" s="22" t="s">
        <v>1311</v>
      </c>
      <c r="BP15" s="22" t="s">
        <v>1309</v>
      </c>
      <c r="BQ15" s="22" t="s">
        <v>1311</v>
      </c>
      <c r="BR15" s="22" t="s">
        <v>1309</v>
      </c>
      <c r="BS15" s="22" t="s">
        <v>1311</v>
      </c>
      <c r="BT15" s="22" t="s">
        <v>1309</v>
      </c>
      <c r="BU15" s="22" t="s">
        <v>1311</v>
      </c>
      <c r="BV15" s="22" t="s">
        <v>1309</v>
      </c>
      <c r="BW15" s="22" t="s">
        <v>1311</v>
      </c>
      <c r="BX15" s="20">
        <v>30</v>
      </c>
      <c r="BY15" s="20">
        <v>10</v>
      </c>
      <c r="BZ15" s="20">
        <v>583</v>
      </c>
      <c r="CA15" s="20">
        <v>1</v>
      </c>
      <c r="CB15" s="20">
        <v>0</v>
      </c>
      <c r="CC15" s="20">
        <v>3930</v>
      </c>
      <c r="CD15" s="22" t="s">
        <v>1320</v>
      </c>
      <c r="CE15" s="22" t="s">
        <v>1321</v>
      </c>
      <c r="CF15" s="22" t="s">
        <v>1320</v>
      </c>
      <c r="CG15" s="22" t="s">
        <v>1321</v>
      </c>
      <c r="CH15" s="22" t="s">
        <v>1317</v>
      </c>
      <c r="CI15" s="22" t="s">
        <v>1318</v>
      </c>
      <c r="CJ15" s="149" t="s">
        <v>1124</v>
      </c>
      <c r="CK15" s="241" t="s">
        <v>1376</v>
      </c>
    </row>
    <row r="16" spans="1:89" ht="15" customHeight="1" x14ac:dyDescent="0.35">
      <c r="A16" s="17"/>
      <c r="B16" s="313">
        <v>7047</v>
      </c>
      <c r="C16" s="8" t="s">
        <v>1075</v>
      </c>
      <c r="D16" s="18">
        <v>1</v>
      </c>
      <c r="E16" s="131" t="s">
        <v>1309</v>
      </c>
      <c r="F16" s="22" t="s">
        <v>1309</v>
      </c>
      <c r="G16" s="132" t="s">
        <v>1309</v>
      </c>
      <c r="H16" s="22" t="s">
        <v>1311</v>
      </c>
      <c r="I16" s="22" t="s">
        <v>1327</v>
      </c>
      <c r="J16" s="22" t="s">
        <v>1327</v>
      </c>
      <c r="K16" s="22" t="s">
        <v>1309</v>
      </c>
      <c r="L16" s="22" t="s">
        <v>1309</v>
      </c>
      <c r="M16" s="133" t="s">
        <v>1311</v>
      </c>
      <c r="N16" s="22" t="s">
        <v>1311</v>
      </c>
      <c r="O16" s="22" t="s">
        <v>1314</v>
      </c>
      <c r="P16" s="22" t="s">
        <v>1311</v>
      </c>
      <c r="Q16" s="20">
        <v>0</v>
      </c>
      <c r="R16" s="20">
        <v>0</v>
      </c>
      <c r="S16" s="20">
        <v>11.465</v>
      </c>
      <c r="T16" s="20">
        <v>0</v>
      </c>
      <c r="U16" s="20">
        <v>0</v>
      </c>
      <c r="V16" s="20">
        <v>43.91</v>
      </c>
      <c r="W16" s="20">
        <v>0</v>
      </c>
      <c r="X16" s="20">
        <v>0</v>
      </c>
      <c r="Y16" s="20">
        <v>0</v>
      </c>
      <c r="Z16" s="20">
        <v>0</v>
      </c>
      <c r="AA16" s="20" t="s">
        <v>1317</v>
      </c>
      <c r="AB16" s="22" t="s">
        <v>1318</v>
      </c>
      <c r="AC16" s="20">
        <v>3</v>
      </c>
      <c r="AD16" s="20">
        <v>0</v>
      </c>
      <c r="AE16" s="20">
        <v>0</v>
      </c>
      <c r="AF16" s="20">
        <v>2</v>
      </c>
      <c r="AG16" s="20">
        <v>0</v>
      </c>
      <c r="AH16" s="20">
        <v>0</v>
      </c>
      <c r="AI16" s="328">
        <v>6.8321566841266232</v>
      </c>
      <c r="AJ16" s="328" t="s">
        <v>1328</v>
      </c>
      <c r="AK16" s="328" t="s">
        <v>1328</v>
      </c>
      <c r="AL16" s="22" t="s">
        <v>1329</v>
      </c>
      <c r="AM16" s="22" t="s">
        <v>1330</v>
      </c>
      <c r="AN16" s="22" t="s">
        <v>1317</v>
      </c>
      <c r="AO16" s="22" t="s">
        <v>1318</v>
      </c>
      <c r="AP16" s="22" t="s">
        <v>1318</v>
      </c>
      <c r="AQ16" s="22" t="s">
        <v>1318</v>
      </c>
      <c r="AR16" s="22" t="s">
        <v>1317</v>
      </c>
      <c r="AS16" s="22" t="s">
        <v>1318</v>
      </c>
      <c r="AT16" s="22" t="s">
        <v>1317</v>
      </c>
      <c r="AU16" s="22" t="s">
        <v>1318</v>
      </c>
      <c r="AV16" s="22" t="s">
        <v>1319</v>
      </c>
      <c r="AW16" s="22" t="s">
        <v>1318</v>
      </c>
      <c r="AX16" s="22" t="s">
        <v>1317</v>
      </c>
      <c r="AY16" s="22" t="s">
        <v>1318</v>
      </c>
      <c r="AZ16" s="22" t="s">
        <v>1309</v>
      </c>
      <c r="BA16" s="22" t="s">
        <v>1311</v>
      </c>
      <c r="BB16" s="22" t="s">
        <v>1309</v>
      </c>
      <c r="BC16" s="22" t="s">
        <v>1309</v>
      </c>
      <c r="BD16" s="22" t="s">
        <v>1309</v>
      </c>
      <c r="BE16" s="22" t="s">
        <v>1309</v>
      </c>
      <c r="BF16" s="22" t="s">
        <v>1317</v>
      </c>
      <c r="BG16" s="22" t="s">
        <v>1311</v>
      </c>
      <c r="BH16" s="22" t="s">
        <v>1309</v>
      </c>
      <c r="BI16" s="22" t="s">
        <v>1309</v>
      </c>
      <c r="BJ16" s="22" t="s">
        <v>1317</v>
      </c>
      <c r="BK16" s="22" t="s">
        <v>1318</v>
      </c>
      <c r="BL16" s="22" t="s">
        <v>1317</v>
      </c>
      <c r="BM16" s="22" t="s">
        <v>1318</v>
      </c>
      <c r="BN16" s="22" t="s">
        <v>1309</v>
      </c>
      <c r="BO16" s="22" t="s">
        <v>1309</v>
      </c>
      <c r="BP16" s="22" t="s">
        <v>1317</v>
      </c>
      <c r="BQ16" s="22" t="s">
        <v>1318</v>
      </c>
      <c r="BR16" s="22" t="s">
        <v>1309</v>
      </c>
      <c r="BS16" s="22" t="s">
        <v>1309</v>
      </c>
      <c r="BT16" s="22" t="s">
        <v>1317</v>
      </c>
      <c r="BU16" s="22" t="s">
        <v>1318</v>
      </c>
      <c r="BV16" s="22" t="s">
        <v>1317</v>
      </c>
      <c r="BW16" s="22" t="s">
        <v>1318</v>
      </c>
      <c r="BX16" s="20">
        <v>11</v>
      </c>
      <c r="BY16" s="20">
        <v>0</v>
      </c>
      <c r="BZ16" s="20">
        <v>166</v>
      </c>
      <c r="CA16" s="20">
        <v>0</v>
      </c>
      <c r="CB16" s="20">
        <v>0</v>
      </c>
      <c r="CC16" s="20">
        <v>1587</v>
      </c>
      <c r="CD16" s="22" t="s">
        <v>1317</v>
      </c>
      <c r="CE16" s="22" t="s">
        <v>1321</v>
      </c>
      <c r="CF16" s="22" t="s">
        <v>1317</v>
      </c>
      <c r="CG16" s="22" t="s">
        <v>1321</v>
      </c>
      <c r="CH16" s="22" t="s">
        <v>1317</v>
      </c>
      <c r="CI16" s="22" t="s">
        <v>1318</v>
      </c>
      <c r="CJ16" s="149" t="s">
        <v>1124</v>
      </c>
      <c r="CK16" s="241" t="s">
        <v>1458</v>
      </c>
    </row>
    <row r="17" spans="1:89" ht="15" customHeight="1" x14ac:dyDescent="0.35">
      <c r="A17" s="17"/>
      <c r="B17" s="313">
        <v>55008</v>
      </c>
      <c r="C17" s="8" t="s">
        <v>559</v>
      </c>
      <c r="D17" s="18">
        <v>16</v>
      </c>
      <c r="E17" s="131" t="s">
        <v>1309</v>
      </c>
      <c r="F17" s="22" t="s">
        <v>1309</v>
      </c>
      <c r="G17" s="132" t="s">
        <v>1309</v>
      </c>
      <c r="H17" s="22" t="s">
        <v>1311</v>
      </c>
      <c r="I17" s="22" t="s">
        <v>1327</v>
      </c>
      <c r="J17" s="22" t="s">
        <v>1327</v>
      </c>
      <c r="K17" s="22" t="s">
        <v>1309</v>
      </c>
      <c r="L17" s="22" t="s">
        <v>1309</v>
      </c>
      <c r="M17" s="133" t="s">
        <v>1311</v>
      </c>
      <c r="N17" s="22" t="s">
        <v>1311</v>
      </c>
      <c r="O17" s="22" t="s">
        <v>1309</v>
      </c>
      <c r="P17" s="22" t="s">
        <v>1309</v>
      </c>
      <c r="Q17" s="20">
        <v>0</v>
      </c>
      <c r="R17" s="20">
        <v>0</v>
      </c>
      <c r="S17" s="20">
        <v>0</v>
      </c>
      <c r="T17" s="20">
        <v>0</v>
      </c>
      <c r="U17" s="20">
        <v>0</v>
      </c>
      <c r="V17" s="20">
        <v>21.75</v>
      </c>
      <c r="W17" s="20">
        <v>0</v>
      </c>
      <c r="X17" s="20">
        <v>0</v>
      </c>
      <c r="Y17" s="20">
        <v>0</v>
      </c>
      <c r="Z17" s="20">
        <v>0</v>
      </c>
      <c r="AA17" s="20" t="s">
        <v>1317</v>
      </c>
      <c r="AB17" s="22" t="s">
        <v>1311</v>
      </c>
      <c r="AC17" s="20">
        <v>1</v>
      </c>
      <c r="AD17" s="20">
        <v>0</v>
      </c>
      <c r="AE17" s="20">
        <v>0</v>
      </c>
      <c r="AF17" s="20">
        <v>1</v>
      </c>
      <c r="AG17" s="20">
        <v>0</v>
      </c>
      <c r="AH17" s="20">
        <v>0</v>
      </c>
      <c r="AI17" s="328">
        <v>4.5977011494252871</v>
      </c>
      <c r="AJ17" s="328" t="s">
        <v>1328</v>
      </c>
      <c r="AK17" s="328" t="s">
        <v>1328</v>
      </c>
      <c r="AL17" s="22" t="s">
        <v>1329</v>
      </c>
      <c r="AM17" s="22" t="s">
        <v>1330</v>
      </c>
      <c r="AN17" s="22" t="s">
        <v>1317</v>
      </c>
      <c r="AO17" s="22" t="s">
        <v>1318</v>
      </c>
      <c r="AP17" s="22" t="s">
        <v>1318</v>
      </c>
      <c r="AQ17" s="22" t="s">
        <v>1318</v>
      </c>
      <c r="AR17" s="22" t="s">
        <v>1317</v>
      </c>
      <c r="AS17" s="22" t="s">
        <v>1318</v>
      </c>
      <c r="AT17" s="22" t="s">
        <v>1317</v>
      </c>
      <c r="AU17" s="22" t="s">
        <v>1311</v>
      </c>
      <c r="AV17" s="22" t="s">
        <v>1317</v>
      </c>
      <c r="AW17" s="22" t="s">
        <v>1311</v>
      </c>
      <c r="AX17" s="22" t="s">
        <v>1317</v>
      </c>
      <c r="AY17" s="22" t="s">
        <v>1311</v>
      </c>
      <c r="AZ17" s="22" t="s">
        <v>1309</v>
      </c>
      <c r="BA17" s="22" t="s">
        <v>1309</v>
      </c>
      <c r="BB17" s="22" t="s">
        <v>1309</v>
      </c>
      <c r="BC17" s="22" t="s">
        <v>1309</v>
      </c>
      <c r="BD17" s="22" t="s">
        <v>1309</v>
      </c>
      <c r="BE17" s="22" t="s">
        <v>1309</v>
      </c>
      <c r="BF17" s="22" t="s">
        <v>1309</v>
      </c>
      <c r="BG17" s="22" t="s">
        <v>1309</v>
      </c>
      <c r="BH17" s="22" t="s">
        <v>1317</v>
      </c>
      <c r="BI17" s="22" t="s">
        <v>1318</v>
      </c>
      <c r="BJ17" s="22" t="s">
        <v>1317</v>
      </c>
      <c r="BK17" s="22" t="s">
        <v>1311</v>
      </c>
      <c r="BL17" s="22" t="s">
        <v>1319</v>
      </c>
      <c r="BM17" s="22" t="s">
        <v>1311</v>
      </c>
      <c r="BN17" s="22" t="s">
        <v>1317</v>
      </c>
      <c r="BO17" s="22" t="s">
        <v>1311</v>
      </c>
      <c r="BP17" s="22" t="s">
        <v>1309</v>
      </c>
      <c r="BQ17" s="22" t="s">
        <v>1309</v>
      </c>
      <c r="BR17" s="22" t="s">
        <v>1309</v>
      </c>
      <c r="BS17" s="22" t="s">
        <v>1309</v>
      </c>
      <c r="BT17" s="22" t="s">
        <v>1317</v>
      </c>
      <c r="BU17" s="22" t="s">
        <v>1318</v>
      </c>
      <c r="BV17" s="22" t="s">
        <v>1317</v>
      </c>
      <c r="BW17" s="22" t="s">
        <v>1318</v>
      </c>
      <c r="BX17" s="20">
        <v>51</v>
      </c>
      <c r="BY17" s="20">
        <v>7</v>
      </c>
      <c r="BZ17" s="20">
        <v>0</v>
      </c>
      <c r="CA17" s="20">
        <v>689</v>
      </c>
      <c r="CB17" s="20">
        <v>0</v>
      </c>
      <c r="CC17" s="20">
        <v>0</v>
      </c>
      <c r="CD17" s="22" t="s">
        <v>1331</v>
      </c>
      <c r="CE17" s="22" t="s">
        <v>1331</v>
      </c>
      <c r="CF17" s="22" t="s">
        <v>1315</v>
      </c>
      <c r="CG17" s="22" t="s">
        <v>1315</v>
      </c>
      <c r="CH17" s="22" t="s">
        <v>1317</v>
      </c>
      <c r="CI17" s="22" t="s">
        <v>1318</v>
      </c>
      <c r="CJ17" s="149" t="s">
        <v>1354</v>
      </c>
      <c r="CK17" s="241" t="s">
        <v>1355</v>
      </c>
    </row>
    <row r="18" spans="1:89" ht="15" customHeight="1" x14ac:dyDescent="0.35">
      <c r="A18" s="17"/>
      <c r="B18" s="313">
        <v>19037</v>
      </c>
      <c r="C18" s="8" t="s">
        <v>124</v>
      </c>
      <c r="D18" s="18">
        <v>12</v>
      </c>
      <c r="E18" s="131" t="s">
        <v>1309</v>
      </c>
      <c r="F18" s="22" t="s">
        <v>1309</v>
      </c>
      <c r="G18" s="132" t="s">
        <v>1309</v>
      </c>
      <c r="H18" s="22" t="s">
        <v>1311</v>
      </c>
      <c r="I18" s="22" t="s">
        <v>1327</v>
      </c>
      <c r="J18" s="22" t="s">
        <v>1327</v>
      </c>
      <c r="K18" s="22" t="s">
        <v>1314</v>
      </c>
      <c r="L18" s="22" t="s">
        <v>1311</v>
      </c>
      <c r="M18" s="133" t="s">
        <v>1311</v>
      </c>
      <c r="N18" s="22" t="s">
        <v>1311</v>
      </c>
      <c r="O18" s="22" t="s">
        <v>1315</v>
      </c>
      <c r="P18" s="22" t="s">
        <v>1315</v>
      </c>
      <c r="Q18" s="20">
        <v>0</v>
      </c>
      <c r="R18" s="20">
        <v>0</v>
      </c>
      <c r="S18" s="20">
        <v>0</v>
      </c>
      <c r="T18" s="20">
        <v>0</v>
      </c>
      <c r="U18" s="20">
        <v>0</v>
      </c>
      <c r="V18" s="20">
        <v>9.1509999999999998</v>
      </c>
      <c r="W18" s="20">
        <v>0</v>
      </c>
      <c r="X18" s="20">
        <v>0</v>
      </c>
      <c r="Y18" s="20">
        <v>0</v>
      </c>
      <c r="Z18" s="20">
        <v>0</v>
      </c>
      <c r="AA18" s="20" t="s">
        <v>1317</v>
      </c>
      <c r="AB18" s="22" t="s">
        <v>1311</v>
      </c>
      <c r="AC18" s="20">
        <v>2</v>
      </c>
      <c r="AD18" s="20">
        <v>0</v>
      </c>
      <c r="AE18" s="20">
        <v>0</v>
      </c>
      <c r="AF18" s="20">
        <v>1</v>
      </c>
      <c r="AG18" s="20">
        <v>0</v>
      </c>
      <c r="AH18" s="20">
        <v>0</v>
      </c>
      <c r="AI18" s="328">
        <v>21.855534914217024</v>
      </c>
      <c r="AJ18" s="328" t="s">
        <v>1328</v>
      </c>
      <c r="AK18" s="328" t="s">
        <v>1328</v>
      </c>
      <c r="AL18" s="22" t="s">
        <v>1316</v>
      </c>
      <c r="AM18" s="22" t="s">
        <v>1316</v>
      </c>
      <c r="AN18" s="22" t="s">
        <v>1317</v>
      </c>
      <c r="AO18" s="22" t="s">
        <v>1318</v>
      </c>
      <c r="AP18" s="22" t="s">
        <v>1318</v>
      </c>
      <c r="AQ18" s="22" t="s">
        <v>1318</v>
      </c>
      <c r="AR18" s="22" t="s">
        <v>1317</v>
      </c>
      <c r="AS18" s="22" t="s">
        <v>1318</v>
      </c>
      <c r="AT18" s="22" t="s">
        <v>1317</v>
      </c>
      <c r="AU18" s="22" t="s">
        <v>1318</v>
      </c>
      <c r="AV18" s="22" t="s">
        <v>1317</v>
      </c>
      <c r="AW18" s="22" t="s">
        <v>1318</v>
      </c>
      <c r="AX18" s="22" t="s">
        <v>1317</v>
      </c>
      <c r="AY18" s="22" t="s">
        <v>1318</v>
      </c>
      <c r="AZ18" s="22" t="s">
        <v>1317</v>
      </c>
      <c r="BA18" s="22" t="s">
        <v>1318</v>
      </c>
      <c r="BB18" s="22" t="s">
        <v>1309</v>
      </c>
      <c r="BC18" s="22" t="s">
        <v>1309</v>
      </c>
      <c r="BD18" s="22" t="s">
        <v>1317</v>
      </c>
      <c r="BE18" s="22" t="s">
        <v>1318</v>
      </c>
      <c r="BF18" s="22" t="s">
        <v>1317</v>
      </c>
      <c r="BG18" s="22" t="s">
        <v>1318</v>
      </c>
      <c r="BH18" s="22" t="s">
        <v>1309</v>
      </c>
      <c r="BI18" s="22" t="s">
        <v>1309</v>
      </c>
      <c r="BJ18" s="22" t="s">
        <v>1317</v>
      </c>
      <c r="BK18" s="22" t="s">
        <v>1318</v>
      </c>
      <c r="BL18" s="22" t="s">
        <v>1317</v>
      </c>
      <c r="BM18" s="22" t="s">
        <v>1318</v>
      </c>
      <c r="BN18" s="22" t="s">
        <v>1317</v>
      </c>
      <c r="BO18" s="22" t="s">
        <v>1315</v>
      </c>
      <c r="BP18" s="22" t="s">
        <v>1309</v>
      </c>
      <c r="BQ18" s="22" t="s">
        <v>1309</v>
      </c>
      <c r="BR18" s="22" t="s">
        <v>1317</v>
      </c>
      <c r="BS18" s="22" t="s">
        <v>1318</v>
      </c>
      <c r="BT18" s="22" t="s">
        <v>1315</v>
      </c>
      <c r="BU18" s="22" t="s">
        <v>1315</v>
      </c>
      <c r="BV18" s="22" t="s">
        <v>1317</v>
      </c>
      <c r="BW18" s="22" t="s">
        <v>1318</v>
      </c>
      <c r="BX18" s="20">
        <v>0</v>
      </c>
      <c r="BY18" s="20">
        <v>0</v>
      </c>
      <c r="BZ18" s="20">
        <v>23</v>
      </c>
      <c r="CA18" s="20">
        <v>0</v>
      </c>
      <c r="CB18" s="20">
        <v>0</v>
      </c>
      <c r="CC18" s="20">
        <v>434</v>
      </c>
      <c r="CD18" s="22" t="s">
        <v>1317</v>
      </c>
      <c r="CE18" s="22" t="s">
        <v>1318</v>
      </c>
      <c r="CF18" s="22" t="s">
        <v>1317</v>
      </c>
      <c r="CG18" s="22" t="s">
        <v>1318</v>
      </c>
      <c r="CH18" s="22" t="s">
        <v>1317</v>
      </c>
      <c r="CI18" s="22" t="s">
        <v>1318</v>
      </c>
      <c r="CJ18" s="149" t="s">
        <v>1424</v>
      </c>
      <c r="CK18" s="241" t="s">
        <v>1124</v>
      </c>
    </row>
    <row r="19" spans="1:89" ht="15" customHeight="1" x14ac:dyDescent="0.35">
      <c r="A19" s="17"/>
      <c r="B19" s="313">
        <v>78060</v>
      </c>
      <c r="C19" s="8" t="s">
        <v>775</v>
      </c>
      <c r="D19" s="18">
        <v>15</v>
      </c>
      <c r="E19" s="131"/>
      <c r="F19" s="22"/>
      <c r="G19" s="132"/>
      <c r="H19" s="22"/>
      <c r="I19" s="22"/>
      <c r="J19" s="22"/>
      <c r="K19" s="22"/>
      <c r="L19" s="22"/>
      <c r="M19" s="133"/>
      <c r="N19" s="22"/>
      <c r="O19" s="22"/>
      <c r="P19" s="22"/>
      <c r="Q19" s="20"/>
      <c r="R19" s="20"/>
      <c r="S19" s="20"/>
      <c r="T19" s="20"/>
      <c r="U19" s="20"/>
      <c r="V19" s="20"/>
      <c r="W19" s="20"/>
      <c r="X19" s="20"/>
      <c r="Y19" s="20"/>
      <c r="Z19" s="20"/>
      <c r="AA19" s="20"/>
      <c r="AB19" s="22"/>
      <c r="AC19" s="20"/>
      <c r="AD19" s="20"/>
      <c r="AE19" s="20"/>
      <c r="AF19" s="20" t="s">
        <v>1124</v>
      </c>
      <c r="AG19" s="20" t="s">
        <v>1124</v>
      </c>
      <c r="AH19" s="20" t="s">
        <v>1124</v>
      </c>
      <c r="AI19" s="328"/>
      <c r="AJ19" s="328"/>
      <c r="AK19" s="32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0"/>
      <c r="BY19" s="20"/>
      <c r="BZ19" s="20"/>
      <c r="CA19" s="20"/>
      <c r="CB19" s="20"/>
      <c r="CC19" s="20"/>
      <c r="CD19" s="22"/>
      <c r="CE19" s="22"/>
      <c r="CF19" s="22"/>
      <c r="CG19" s="22"/>
      <c r="CH19" s="22"/>
      <c r="CI19" s="22"/>
      <c r="CJ19" s="149"/>
      <c r="CK19" s="241"/>
    </row>
    <row r="20" spans="1:89" ht="15" customHeight="1" x14ac:dyDescent="0.35">
      <c r="A20" s="17"/>
      <c r="B20" s="313">
        <v>40043</v>
      </c>
      <c r="C20" s="8" t="s">
        <v>363</v>
      </c>
      <c r="D20" s="18">
        <v>5</v>
      </c>
      <c r="E20" s="131" t="s">
        <v>1309</v>
      </c>
      <c r="F20" s="22" t="s">
        <v>1309</v>
      </c>
      <c r="G20" s="132" t="s">
        <v>1309</v>
      </c>
      <c r="H20" s="22" t="s">
        <v>1311</v>
      </c>
      <c r="I20" s="22" t="s">
        <v>1327</v>
      </c>
      <c r="J20" s="22" t="s">
        <v>1327</v>
      </c>
      <c r="K20" s="22" t="s">
        <v>1319</v>
      </c>
      <c r="L20" s="22" t="s">
        <v>1311</v>
      </c>
      <c r="M20" s="133" t="s">
        <v>1311</v>
      </c>
      <c r="N20" s="22" t="s">
        <v>1311</v>
      </c>
      <c r="O20" s="22" t="s">
        <v>1314</v>
      </c>
      <c r="P20" s="22" t="s">
        <v>1311</v>
      </c>
      <c r="Q20" s="20">
        <v>0</v>
      </c>
      <c r="R20" s="20">
        <v>0</v>
      </c>
      <c r="S20" s="20">
        <v>98.036000000000001</v>
      </c>
      <c r="T20" s="20">
        <v>0</v>
      </c>
      <c r="U20" s="20">
        <v>0</v>
      </c>
      <c r="V20" s="20">
        <v>65.357100000000003</v>
      </c>
      <c r="W20" s="20">
        <v>0</v>
      </c>
      <c r="X20" s="20">
        <v>0</v>
      </c>
      <c r="Y20" s="20">
        <v>0</v>
      </c>
      <c r="Z20" s="20">
        <v>0</v>
      </c>
      <c r="AA20" s="20" t="s">
        <v>1317</v>
      </c>
      <c r="AB20" s="22" t="s">
        <v>1311</v>
      </c>
      <c r="AC20" s="20">
        <v>6</v>
      </c>
      <c r="AD20" s="20">
        <v>3</v>
      </c>
      <c r="AE20" s="20">
        <v>9</v>
      </c>
      <c r="AF20" s="20">
        <v>5</v>
      </c>
      <c r="AG20" s="20">
        <v>5</v>
      </c>
      <c r="AH20" s="20">
        <v>10</v>
      </c>
      <c r="AI20" s="328">
        <v>9.1803479351867434</v>
      </c>
      <c r="AJ20" s="328">
        <v>1.3245033112582782</v>
      </c>
      <c r="AK20" s="328">
        <v>3.9735099337748343</v>
      </c>
      <c r="AL20" s="22" t="s">
        <v>1329</v>
      </c>
      <c r="AM20" s="22" t="s">
        <v>1330</v>
      </c>
      <c r="AN20" s="22" t="s">
        <v>1317</v>
      </c>
      <c r="AO20" s="22" t="s">
        <v>1318</v>
      </c>
      <c r="AP20" s="22" t="s">
        <v>1318</v>
      </c>
      <c r="AQ20" s="22" t="s">
        <v>1318</v>
      </c>
      <c r="AR20" s="22" t="s">
        <v>1317</v>
      </c>
      <c r="AS20" s="22" t="s">
        <v>1318</v>
      </c>
      <c r="AT20" s="22" t="s">
        <v>1317</v>
      </c>
      <c r="AU20" s="22" t="s">
        <v>1318</v>
      </c>
      <c r="AV20" s="22" t="s">
        <v>1309</v>
      </c>
      <c r="AW20" s="22" t="s">
        <v>1309</v>
      </c>
      <c r="AX20" s="22" t="s">
        <v>1317</v>
      </c>
      <c r="AY20" s="22" t="s">
        <v>1318</v>
      </c>
      <c r="AZ20" s="22" t="s">
        <v>1319</v>
      </c>
      <c r="BA20" s="22" t="s">
        <v>1311</v>
      </c>
      <c r="BB20" s="22" t="s">
        <v>1315</v>
      </c>
      <c r="BC20" s="22" t="s">
        <v>1315</v>
      </c>
      <c r="BD20" s="22" t="s">
        <v>1317</v>
      </c>
      <c r="BE20" s="22" t="s">
        <v>1311</v>
      </c>
      <c r="BF20" s="22" t="s">
        <v>1317</v>
      </c>
      <c r="BG20" s="22" t="s">
        <v>1318</v>
      </c>
      <c r="BH20" s="22" t="s">
        <v>1317</v>
      </c>
      <c r="BI20" s="22" t="s">
        <v>1311</v>
      </c>
      <c r="BJ20" s="22" t="s">
        <v>1317</v>
      </c>
      <c r="BK20" s="22" t="s">
        <v>1318</v>
      </c>
      <c r="BL20" s="22" t="s">
        <v>1317</v>
      </c>
      <c r="BM20" s="22" t="s">
        <v>1318</v>
      </c>
      <c r="BN20" s="22" t="s">
        <v>1309</v>
      </c>
      <c r="BO20" s="22" t="s">
        <v>1309</v>
      </c>
      <c r="BP20" s="22" t="s">
        <v>1317</v>
      </c>
      <c r="BQ20" s="22" t="s">
        <v>1318</v>
      </c>
      <c r="BR20" s="22" t="s">
        <v>1309</v>
      </c>
      <c r="BS20" s="22" t="s">
        <v>1309</v>
      </c>
      <c r="BT20" s="22" t="s">
        <v>1309</v>
      </c>
      <c r="BU20" s="22" t="s">
        <v>1309</v>
      </c>
      <c r="BV20" s="22" t="s">
        <v>1317</v>
      </c>
      <c r="BW20" s="22" t="s">
        <v>1318</v>
      </c>
      <c r="BX20" s="20">
        <v>0</v>
      </c>
      <c r="BY20" s="20">
        <v>56</v>
      </c>
      <c r="BZ20" s="20">
        <v>164</v>
      </c>
      <c r="CA20" s="20">
        <v>0</v>
      </c>
      <c r="CB20" s="20">
        <v>2</v>
      </c>
      <c r="CC20" s="20">
        <v>2043</v>
      </c>
      <c r="CD20" s="22" t="s">
        <v>1320</v>
      </c>
      <c r="CE20" s="22" t="s">
        <v>1321</v>
      </c>
      <c r="CF20" s="22" t="s">
        <v>1320</v>
      </c>
      <c r="CG20" s="22" t="s">
        <v>1321</v>
      </c>
      <c r="CH20" s="22" t="s">
        <v>1317</v>
      </c>
      <c r="CI20" s="22" t="s">
        <v>1318</v>
      </c>
      <c r="CJ20" s="149" t="s">
        <v>1381</v>
      </c>
      <c r="CK20" s="241" t="s">
        <v>1382</v>
      </c>
    </row>
    <row r="21" spans="1:89" ht="15" customHeight="1" x14ac:dyDescent="0.35">
      <c r="A21" s="17"/>
      <c r="B21" s="313">
        <v>41055</v>
      </c>
      <c r="C21" s="8" t="s">
        <v>370</v>
      </c>
      <c r="D21" s="18">
        <v>5</v>
      </c>
      <c r="E21" s="131" t="s">
        <v>1309</v>
      </c>
      <c r="F21" s="22" t="s">
        <v>1309</v>
      </c>
      <c r="G21" s="132" t="s">
        <v>1309</v>
      </c>
      <c r="H21" s="22" t="s">
        <v>1311</v>
      </c>
      <c r="I21" s="22" t="s">
        <v>1327</v>
      </c>
      <c r="J21" s="22" t="s">
        <v>1327</v>
      </c>
      <c r="K21" s="22" t="s">
        <v>1314</v>
      </c>
      <c r="L21" s="22" t="s">
        <v>1309</v>
      </c>
      <c r="M21" s="133" t="s">
        <v>1311</v>
      </c>
      <c r="N21" s="22" t="s">
        <v>1311</v>
      </c>
      <c r="O21" s="22" t="s">
        <v>1314</v>
      </c>
      <c r="P21" s="22" t="s">
        <v>1318</v>
      </c>
      <c r="Q21" s="20">
        <v>8.5410000000000004</v>
      </c>
      <c r="R21" s="20">
        <v>8.5410000000000004</v>
      </c>
      <c r="S21" s="20">
        <v>0</v>
      </c>
      <c r="T21" s="20">
        <v>0</v>
      </c>
      <c r="U21" s="20">
        <v>0</v>
      </c>
      <c r="V21" s="20">
        <v>0</v>
      </c>
      <c r="W21" s="20">
        <v>0</v>
      </c>
      <c r="X21" s="20">
        <v>0</v>
      </c>
      <c r="Y21" s="20">
        <v>0</v>
      </c>
      <c r="Z21" s="20">
        <v>0</v>
      </c>
      <c r="AA21" s="20" t="s">
        <v>1315</v>
      </c>
      <c r="AB21" s="22" t="s">
        <v>1315</v>
      </c>
      <c r="AC21" s="20">
        <v>1</v>
      </c>
      <c r="AD21" s="20">
        <v>0</v>
      </c>
      <c r="AE21" s="20">
        <v>0</v>
      </c>
      <c r="AF21" s="20">
        <v>1</v>
      </c>
      <c r="AG21" s="20">
        <v>0</v>
      </c>
      <c r="AH21" s="20">
        <v>0</v>
      </c>
      <c r="AI21" s="328">
        <v>11.708230886313078</v>
      </c>
      <c r="AJ21" s="328" t="s">
        <v>1328</v>
      </c>
      <c r="AK21" s="328" t="s">
        <v>1328</v>
      </c>
      <c r="AL21" s="22" t="s">
        <v>1329</v>
      </c>
      <c r="AM21" s="22" t="s">
        <v>1330</v>
      </c>
      <c r="AN21" s="22" t="s">
        <v>1317</v>
      </c>
      <c r="AO21" s="22" t="s">
        <v>1318</v>
      </c>
      <c r="AP21" s="22" t="s">
        <v>1318</v>
      </c>
      <c r="AQ21" s="22" t="s">
        <v>1318</v>
      </c>
      <c r="AR21" s="22" t="s">
        <v>1317</v>
      </c>
      <c r="AS21" s="22" t="s">
        <v>1318</v>
      </c>
      <c r="AT21" s="22" t="s">
        <v>1309</v>
      </c>
      <c r="AU21" s="22" t="s">
        <v>1309</v>
      </c>
      <c r="AV21" s="22" t="s">
        <v>1317</v>
      </c>
      <c r="AW21" s="22" t="s">
        <v>1318</v>
      </c>
      <c r="AX21" s="22" t="s">
        <v>1317</v>
      </c>
      <c r="AY21" s="22" t="s">
        <v>1318</v>
      </c>
      <c r="AZ21" s="22" t="s">
        <v>1317</v>
      </c>
      <c r="BA21" s="22" t="s">
        <v>1311</v>
      </c>
      <c r="BB21" s="22" t="s">
        <v>1309</v>
      </c>
      <c r="BC21" s="22" t="s">
        <v>1309</v>
      </c>
      <c r="BD21" s="22" t="s">
        <v>1317</v>
      </c>
      <c r="BE21" s="22" t="s">
        <v>1318</v>
      </c>
      <c r="BF21" s="22" t="s">
        <v>1317</v>
      </c>
      <c r="BG21" s="22" t="s">
        <v>1318</v>
      </c>
      <c r="BH21" s="22" t="s">
        <v>1317</v>
      </c>
      <c r="BI21" s="22" t="s">
        <v>1318</v>
      </c>
      <c r="BJ21" s="22" t="s">
        <v>1317</v>
      </c>
      <c r="BK21" s="22" t="s">
        <v>1311</v>
      </c>
      <c r="BL21" s="22" t="s">
        <v>1317</v>
      </c>
      <c r="BM21" s="22" t="s">
        <v>1311</v>
      </c>
      <c r="BN21" s="22" t="s">
        <v>1309</v>
      </c>
      <c r="BO21" s="22" t="s">
        <v>1309</v>
      </c>
      <c r="BP21" s="22" t="s">
        <v>1317</v>
      </c>
      <c r="BQ21" s="22" t="s">
        <v>1318</v>
      </c>
      <c r="BR21" s="22" t="s">
        <v>1309</v>
      </c>
      <c r="BS21" s="22" t="s">
        <v>1309</v>
      </c>
      <c r="BT21" s="22" t="s">
        <v>1315</v>
      </c>
      <c r="BU21" s="22" t="s">
        <v>1315</v>
      </c>
      <c r="BV21" s="22" t="s">
        <v>1309</v>
      </c>
      <c r="BW21" s="22" t="s">
        <v>1309</v>
      </c>
      <c r="BX21" s="20">
        <v>8</v>
      </c>
      <c r="BY21" s="20">
        <v>0</v>
      </c>
      <c r="BZ21" s="20">
        <v>1</v>
      </c>
      <c r="CA21" s="20">
        <v>0</v>
      </c>
      <c r="CB21" s="20">
        <v>20</v>
      </c>
      <c r="CC21" s="20">
        <v>270</v>
      </c>
      <c r="CD21" s="22" t="s">
        <v>1331</v>
      </c>
      <c r="CE21" s="22" t="s">
        <v>1331</v>
      </c>
      <c r="CF21" s="22" t="s">
        <v>1331</v>
      </c>
      <c r="CG21" s="22" t="s">
        <v>1331</v>
      </c>
      <c r="CH21" s="22" t="s">
        <v>1315</v>
      </c>
      <c r="CI21" s="22" t="s">
        <v>1315</v>
      </c>
      <c r="CJ21" s="149" t="s">
        <v>1428</v>
      </c>
      <c r="CK21" s="241" t="s">
        <v>1386</v>
      </c>
    </row>
    <row r="22" spans="1:89" ht="15" customHeight="1" x14ac:dyDescent="0.35">
      <c r="A22" s="17"/>
      <c r="B22" s="313">
        <v>50013</v>
      </c>
      <c r="C22" s="8" t="s">
        <v>483</v>
      </c>
      <c r="D22" s="18">
        <v>17</v>
      </c>
      <c r="E22" s="131"/>
      <c r="F22" s="22"/>
      <c r="G22" s="132"/>
      <c r="H22" s="22"/>
      <c r="I22" s="22"/>
      <c r="J22" s="22"/>
      <c r="K22" s="22"/>
      <c r="L22" s="22"/>
      <c r="M22" s="133"/>
      <c r="N22" s="22"/>
      <c r="O22" s="22"/>
      <c r="P22" s="22"/>
      <c r="Q22" s="20"/>
      <c r="R22" s="20"/>
      <c r="S22" s="20"/>
      <c r="T22" s="20"/>
      <c r="U22" s="20"/>
      <c r="V22" s="20"/>
      <c r="W22" s="20"/>
      <c r="X22" s="20"/>
      <c r="Y22" s="20"/>
      <c r="Z22" s="20"/>
      <c r="AA22" s="20"/>
      <c r="AB22" s="22"/>
      <c r="AC22" s="20"/>
      <c r="AD22" s="20"/>
      <c r="AE22" s="20"/>
      <c r="AF22" s="20" t="s">
        <v>1124</v>
      </c>
      <c r="AG22" s="20" t="s">
        <v>1124</v>
      </c>
      <c r="AH22" s="20" t="s">
        <v>1124</v>
      </c>
      <c r="AI22" s="328"/>
      <c r="AJ22" s="328"/>
      <c r="AK22" s="328"/>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0"/>
      <c r="BY22" s="20"/>
      <c r="BZ22" s="20"/>
      <c r="CA22" s="20"/>
      <c r="CB22" s="20"/>
      <c r="CC22" s="20"/>
      <c r="CD22" s="22"/>
      <c r="CE22" s="22"/>
      <c r="CF22" s="22"/>
      <c r="CG22" s="22"/>
      <c r="CH22" s="22"/>
      <c r="CI22" s="22"/>
      <c r="CJ22" s="149"/>
      <c r="CK22" s="241"/>
    </row>
    <row r="23" spans="1:89" ht="15" customHeight="1" x14ac:dyDescent="0.35">
      <c r="A23" s="17"/>
      <c r="B23" s="313">
        <v>13045</v>
      </c>
      <c r="C23" s="8" t="s">
        <v>48</v>
      </c>
      <c r="D23" s="18">
        <v>1</v>
      </c>
      <c r="E23" s="131" t="s">
        <v>1309</v>
      </c>
      <c r="F23" s="22" t="s">
        <v>1309</v>
      </c>
      <c r="G23" s="132" t="s">
        <v>1309</v>
      </c>
      <c r="H23" s="22" t="s">
        <v>1311</v>
      </c>
      <c r="I23" s="22" t="s">
        <v>1327</v>
      </c>
      <c r="J23" s="22" t="s">
        <v>1327</v>
      </c>
      <c r="K23" s="22" t="s">
        <v>1314</v>
      </c>
      <c r="L23" s="22" t="s">
        <v>1311</v>
      </c>
      <c r="M23" s="133" t="s">
        <v>1311</v>
      </c>
      <c r="N23" s="22" t="s">
        <v>1311</v>
      </c>
      <c r="O23" s="22" t="s">
        <v>1314</v>
      </c>
      <c r="P23" s="22" t="s">
        <v>1318</v>
      </c>
      <c r="Q23" s="20">
        <v>0</v>
      </c>
      <c r="R23" s="20">
        <v>0</v>
      </c>
      <c r="S23" s="20">
        <v>0</v>
      </c>
      <c r="T23" s="20">
        <v>0</v>
      </c>
      <c r="U23" s="20">
        <v>0</v>
      </c>
      <c r="V23" s="20">
        <v>0</v>
      </c>
      <c r="W23" s="20">
        <v>0</v>
      </c>
      <c r="X23" s="20">
        <v>0</v>
      </c>
      <c r="Y23" s="20">
        <v>0</v>
      </c>
      <c r="Z23" s="20">
        <v>0</v>
      </c>
      <c r="AA23" s="20" t="s">
        <v>1317</v>
      </c>
      <c r="AB23" s="22" t="s">
        <v>1318</v>
      </c>
      <c r="AC23" s="20">
        <v>1</v>
      </c>
      <c r="AD23" s="20">
        <v>0</v>
      </c>
      <c r="AE23" s="20">
        <v>0</v>
      </c>
      <c r="AF23" s="20">
        <v>2</v>
      </c>
      <c r="AG23" s="20">
        <v>0</v>
      </c>
      <c r="AH23" s="20">
        <v>0</v>
      </c>
      <c r="AI23" s="328">
        <v>36.764705882352942</v>
      </c>
      <c r="AJ23" s="328" t="s">
        <v>1328</v>
      </c>
      <c r="AK23" s="328" t="s">
        <v>1328</v>
      </c>
      <c r="AL23" s="22" t="s">
        <v>1329</v>
      </c>
      <c r="AM23" s="22" t="s">
        <v>1330</v>
      </c>
      <c r="AN23" s="22" t="s">
        <v>1317</v>
      </c>
      <c r="AO23" s="22" t="s">
        <v>1318</v>
      </c>
      <c r="AP23" s="22" t="s">
        <v>1318</v>
      </c>
      <c r="AQ23" s="22" t="s">
        <v>1318</v>
      </c>
      <c r="AR23" s="22" t="s">
        <v>1317</v>
      </c>
      <c r="AS23" s="22" t="s">
        <v>1311</v>
      </c>
      <c r="AT23" s="22" t="s">
        <v>1309</v>
      </c>
      <c r="AU23" s="22" t="s">
        <v>1311</v>
      </c>
      <c r="AV23" s="22" t="s">
        <v>1317</v>
      </c>
      <c r="AW23" s="22" t="s">
        <v>1318</v>
      </c>
      <c r="AX23" s="22" t="s">
        <v>1317</v>
      </c>
      <c r="AY23" s="22" t="s">
        <v>1318</v>
      </c>
      <c r="AZ23" s="22" t="s">
        <v>1309</v>
      </c>
      <c r="BA23" s="22" t="s">
        <v>1311</v>
      </c>
      <c r="BB23" s="22" t="s">
        <v>1309</v>
      </c>
      <c r="BC23" s="22" t="s">
        <v>1309</v>
      </c>
      <c r="BD23" s="22" t="s">
        <v>1317</v>
      </c>
      <c r="BE23" s="22" t="s">
        <v>1318</v>
      </c>
      <c r="BF23" s="22" t="s">
        <v>1317</v>
      </c>
      <c r="BG23" s="22" t="s">
        <v>1318</v>
      </c>
      <c r="BH23" s="22" t="s">
        <v>1309</v>
      </c>
      <c r="BI23" s="22" t="s">
        <v>1309</v>
      </c>
      <c r="BJ23" s="22" t="s">
        <v>1309</v>
      </c>
      <c r="BK23" s="22" t="s">
        <v>1309</v>
      </c>
      <c r="BL23" s="22" t="s">
        <v>1309</v>
      </c>
      <c r="BM23" s="22" t="s">
        <v>1309</v>
      </c>
      <c r="BN23" s="22" t="s">
        <v>1309</v>
      </c>
      <c r="BO23" s="22" t="s">
        <v>1309</v>
      </c>
      <c r="BP23" s="22" t="s">
        <v>1315</v>
      </c>
      <c r="BQ23" s="22" t="s">
        <v>1315</v>
      </c>
      <c r="BR23" s="22" t="s">
        <v>1317</v>
      </c>
      <c r="BS23" s="22" t="s">
        <v>1318</v>
      </c>
      <c r="BT23" s="22" t="s">
        <v>1309</v>
      </c>
      <c r="BU23" s="22" t="s">
        <v>1309</v>
      </c>
      <c r="BV23" s="22" t="s">
        <v>1317</v>
      </c>
      <c r="BW23" s="22" t="s">
        <v>1318</v>
      </c>
      <c r="BX23" s="20">
        <v>0</v>
      </c>
      <c r="BY23" s="20">
        <v>0</v>
      </c>
      <c r="BZ23" s="20">
        <v>9</v>
      </c>
      <c r="CA23" s="20">
        <v>0</v>
      </c>
      <c r="CB23" s="20">
        <v>0</v>
      </c>
      <c r="CC23" s="20">
        <v>99</v>
      </c>
      <c r="CD23" s="22" t="s">
        <v>1317</v>
      </c>
      <c r="CE23" s="22" t="s">
        <v>1318</v>
      </c>
      <c r="CF23" s="22" t="s">
        <v>1317</v>
      </c>
      <c r="CG23" s="22" t="s">
        <v>1318</v>
      </c>
      <c r="CH23" s="22" t="s">
        <v>1317</v>
      </c>
      <c r="CI23" s="22" t="s">
        <v>1318</v>
      </c>
      <c r="CJ23" s="149" t="s">
        <v>1124</v>
      </c>
      <c r="CK23" s="241" t="s">
        <v>1431</v>
      </c>
    </row>
    <row r="24" spans="1:89" ht="15" customHeight="1" x14ac:dyDescent="0.35">
      <c r="A24" s="17"/>
      <c r="B24" s="313">
        <v>30055</v>
      </c>
      <c r="C24" s="8" t="s">
        <v>227</v>
      </c>
      <c r="D24" s="18">
        <v>5</v>
      </c>
      <c r="E24" s="131" t="s">
        <v>1309</v>
      </c>
      <c r="F24" s="22" t="s">
        <v>1309</v>
      </c>
      <c r="G24" s="132" t="s">
        <v>1309</v>
      </c>
      <c r="H24" s="22" t="s">
        <v>1311</v>
      </c>
      <c r="I24" s="22" t="s">
        <v>1327</v>
      </c>
      <c r="J24" s="22" t="s">
        <v>1327</v>
      </c>
      <c r="K24" s="22" t="s">
        <v>1319</v>
      </c>
      <c r="L24" s="22" t="s">
        <v>1311</v>
      </c>
      <c r="M24" s="133" t="s">
        <v>1311</v>
      </c>
      <c r="N24" s="22" t="s">
        <v>1311</v>
      </c>
      <c r="O24" s="22" t="s">
        <v>1309</v>
      </c>
      <c r="P24" s="22" t="s">
        <v>1309</v>
      </c>
      <c r="Q24" s="20">
        <v>5.5350000000000001</v>
      </c>
      <c r="R24" s="20">
        <v>5.5350000000000001</v>
      </c>
      <c r="S24" s="20">
        <v>11.07</v>
      </c>
      <c r="T24" s="20">
        <v>11.07</v>
      </c>
      <c r="U24" s="20">
        <v>0</v>
      </c>
      <c r="V24" s="20">
        <v>0</v>
      </c>
      <c r="W24" s="20">
        <v>0</v>
      </c>
      <c r="X24" s="20">
        <v>0</v>
      </c>
      <c r="Y24" s="20">
        <v>0</v>
      </c>
      <c r="Z24" s="20">
        <v>0</v>
      </c>
      <c r="AA24" s="20" t="s">
        <v>1317</v>
      </c>
      <c r="AB24" s="22" t="s">
        <v>1311</v>
      </c>
      <c r="AC24" s="20">
        <v>0</v>
      </c>
      <c r="AD24" s="20">
        <v>4</v>
      </c>
      <c r="AE24" s="20">
        <v>1</v>
      </c>
      <c r="AF24" s="20">
        <v>0</v>
      </c>
      <c r="AG24" s="20">
        <v>4</v>
      </c>
      <c r="AH24" s="20">
        <v>29</v>
      </c>
      <c r="AI24" s="328" t="s">
        <v>1328</v>
      </c>
      <c r="AJ24" s="328">
        <v>29.850746268656717</v>
      </c>
      <c r="AK24" s="328">
        <v>7.4626865671641793</v>
      </c>
      <c r="AL24" s="22" t="s">
        <v>1315</v>
      </c>
      <c r="AM24" s="22" t="s">
        <v>1315</v>
      </c>
      <c r="AN24" s="22" t="s">
        <v>1315</v>
      </c>
      <c r="AO24" s="22" t="s">
        <v>1315</v>
      </c>
      <c r="AP24" s="22" t="s">
        <v>1315</v>
      </c>
      <c r="AQ24" s="22" t="s">
        <v>1315</v>
      </c>
      <c r="AR24" s="22" t="s">
        <v>1317</v>
      </c>
      <c r="AS24" s="22" t="s">
        <v>1311</v>
      </c>
      <c r="AT24" s="22" t="s">
        <v>1317</v>
      </c>
      <c r="AU24" s="22" t="s">
        <v>1318</v>
      </c>
      <c r="AV24" s="22" t="s">
        <v>1317</v>
      </c>
      <c r="AW24" s="22" t="s">
        <v>1318</v>
      </c>
      <c r="AX24" s="22" t="s">
        <v>1317</v>
      </c>
      <c r="AY24" s="22" t="s">
        <v>1318</v>
      </c>
      <c r="AZ24" s="22" t="s">
        <v>1317</v>
      </c>
      <c r="BA24" s="22" t="s">
        <v>1318</v>
      </c>
      <c r="BB24" s="22" t="s">
        <v>1309</v>
      </c>
      <c r="BC24" s="22" t="s">
        <v>1309</v>
      </c>
      <c r="BD24" s="22" t="s">
        <v>1309</v>
      </c>
      <c r="BE24" s="22" t="s">
        <v>1309</v>
      </c>
      <c r="BF24" s="22" t="s">
        <v>1309</v>
      </c>
      <c r="BG24" s="22" t="s">
        <v>1309</v>
      </c>
      <c r="BH24" s="22" t="s">
        <v>1317</v>
      </c>
      <c r="BI24" s="22" t="s">
        <v>1318</v>
      </c>
      <c r="BJ24" s="22" t="s">
        <v>1317</v>
      </c>
      <c r="BK24" s="22" t="s">
        <v>1318</v>
      </c>
      <c r="BL24" s="22" t="s">
        <v>1317</v>
      </c>
      <c r="BM24" s="22" t="s">
        <v>1311</v>
      </c>
      <c r="BN24" s="22" t="s">
        <v>1317</v>
      </c>
      <c r="BO24" s="22" t="s">
        <v>1311</v>
      </c>
      <c r="BP24" s="22" t="s">
        <v>1315</v>
      </c>
      <c r="BQ24" s="22" t="s">
        <v>1315</v>
      </c>
      <c r="BR24" s="22" t="s">
        <v>1309</v>
      </c>
      <c r="BS24" s="22" t="s">
        <v>1309</v>
      </c>
      <c r="BT24" s="22" t="s">
        <v>1309</v>
      </c>
      <c r="BU24" s="22" t="s">
        <v>1309</v>
      </c>
      <c r="BV24" s="22" t="s">
        <v>1317</v>
      </c>
      <c r="BW24" s="22" t="s">
        <v>1311</v>
      </c>
      <c r="BX24" s="20">
        <v>12</v>
      </c>
      <c r="BY24" s="20">
        <v>0</v>
      </c>
      <c r="BZ24" s="20">
        <v>0</v>
      </c>
      <c r="CA24" s="20">
        <v>117</v>
      </c>
      <c r="CB24" s="20">
        <v>0</v>
      </c>
      <c r="CC24" s="20">
        <v>0</v>
      </c>
      <c r="CD24" s="22" t="s">
        <v>1331</v>
      </c>
      <c r="CE24" s="22" t="s">
        <v>1331</v>
      </c>
      <c r="CF24" s="22" t="s">
        <v>1315</v>
      </c>
      <c r="CG24" s="22" t="s">
        <v>1315</v>
      </c>
      <c r="CH24" s="22" t="s">
        <v>1315</v>
      </c>
      <c r="CI24" s="22" t="s">
        <v>1315</v>
      </c>
      <c r="CJ24" s="149" t="s">
        <v>1386</v>
      </c>
      <c r="CK24" s="241" t="s">
        <v>1124</v>
      </c>
    </row>
    <row r="25" spans="1:89" ht="15" customHeight="1" x14ac:dyDescent="0.35">
      <c r="A25" s="17"/>
      <c r="B25" s="313">
        <v>83090</v>
      </c>
      <c r="C25" s="8" t="s">
        <v>850</v>
      </c>
      <c r="D25" s="18">
        <v>7</v>
      </c>
      <c r="E25" s="131"/>
      <c r="F25" s="22"/>
      <c r="G25" s="132"/>
      <c r="H25" s="22"/>
      <c r="I25" s="22"/>
      <c r="J25" s="22"/>
      <c r="K25" s="22"/>
      <c r="L25" s="22"/>
      <c r="M25" s="133"/>
      <c r="N25" s="22"/>
      <c r="O25" s="22"/>
      <c r="P25" s="22"/>
      <c r="Q25" s="20"/>
      <c r="R25" s="20"/>
      <c r="S25" s="20"/>
      <c r="T25" s="20"/>
      <c r="U25" s="20"/>
      <c r="V25" s="20"/>
      <c r="W25" s="20"/>
      <c r="X25" s="20"/>
      <c r="Y25" s="20"/>
      <c r="Z25" s="20"/>
      <c r="AA25" s="20"/>
      <c r="AB25" s="22"/>
      <c r="AC25" s="20"/>
      <c r="AD25" s="20"/>
      <c r="AE25" s="20"/>
      <c r="AF25" s="20" t="s">
        <v>1124</v>
      </c>
      <c r="AG25" s="20" t="s">
        <v>1124</v>
      </c>
      <c r="AH25" s="20" t="s">
        <v>1124</v>
      </c>
      <c r="AI25" s="328"/>
      <c r="AJ25" s="328"/>
      <c r="AK25" s="328"/>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0"/>
      <c r="BY25" s="20"/>
      <c r="BZ25" s="20"/>
      <c r="CA25" s="20"/>
      <c r="CB25" s="20"/>
      <c r="CC25" s="20"/>
      <c r="CD25" s="22"/>
      <c r="CE25" s="22"/>
      <c r="CF25" s="22"/>
      <c r="CG25" s="22"/>
      <c r="CH25" s="22"/>
      <c r="CI25" s="22"/>
      <c r="CJ25" s="149"/>
      <c r="CK25" s="241"/>
    </row>
    <row r="26" spans="1:89" ht="15" customHeight="1" x14ac:dyDescent="0.35">
      <c r="A26" s="17"/>
      <c r="B26" s="313">
        <v>45085</v>
      </c>
      <c r="C26" s="8" t="s">
        <v>421</v>
      </c>
      <c r="D26" s="18">
        <v>5</v>
      </c>
      <c r="E26" s="131"/>
      <c r="F26" s="22"/>
      <c r="G26" s="132"/>
      <c r="H26" s="22"/>
      <c r="I26" s="22"/>
      <c r="J26" s="22"/>
      <c r="K26" s="22"/>
      <c r="L26" s="22"/>
      <c r="M26" s="133"/>
      <c r="N26" s="22"/>
      <c r="O26" s="22"/>
      <c r="P26" s="22"/>
      <c r="Q26" s="20"/>
      <c r="R26" s="20"/>
      <c r="S26" s="20"/>
      <c r="T26" s="20"/>
      <c r="U26" s="20"/>
      <c r="V26" s="20"/>
      <c r="W26" s="20"/>
      <c r="X26" s="20"/>
      <c r="Y26" s="20"/>
      <c r="Z26" s="20"/>
      <c r="AA26" s="20"/>
      <c r="AB26" s="22"/>
      <c r="AC26" s="20"/>
      <c r="AD26" s="20"/>
      <c r="AE26" s="20"/>
      <c r="AF26" s="20" t="s">
        <v>1124</v>
      </c>
      <c r="AG26" s="20" t="s">
        <v>1124</v>
      </c>
      <c r="AH26" s="20" t="s">
        <v>1124</v>
      </c>
      <c r="AI26" s="328"/>
      <c r="AJ26" s="328"/>
      <c r="AK26" s="328"/>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0"/>
      <c r="BY26" s="20"/>
      <c r="BZ26" s="20"/>
      <c r="CA26" s="20"/>
      <c r="CB26" s="20"/>
      <c r="CC26" s="20"/>
      <c r="CD26" s="22"/>
      <c r="CE26" s="22"/>
      <c r="CF26" s="22"/>
      <c r="CG26" s="22"/>
      <c r="CH26" s="22"/>
      <c r="CI26" s="22"/>
      <c r="CJ26" s="149"/>
      <c r="CK26" s="241"/>
    </row>
    <row r="27" spans="1:89" ht="15" customHeight="1" x14ac:dyDescent="0.35">
      <c r="A27" s="17"/>
      <c r="B27" s="313">
        <v>87050</v>
      </c>
      <c r="C27" s="8" t="s">
        <v>898</v>
      </c>
      <c r="D27" s="18">
        <v>8</v>
      </c>
      <c r="E27" s="131"/>
      <c r="F27" s="22"/>
      <c r="G27" s="132"/>
      <c r="H27" s="22"/>
      <c r="I27" s="22"/>
      <c r="J27" s="22"/>
      <c r="K27" s="22"/>
      <c r="L27" s="22"/>
      <c r="M27" s="133"/>
      <c r="N27" s="22"/>
      <c r="O27" s="22"/>
      <c r="P27" s="22"/>
      <c r="Q27" s="20"/>
      <c r="R27" s="20"/>
      <c r="S27" s="20"/>
      <c r="T27" s="20"/>
      <c r="U27" s="20"/>
      <c r="V27" s="20"/>
      <c r="W27" s="20"/>
      <c r="X27" s="20"/>
      <c r="Y27" s="20"/>
      <c r="Z27" s="20"/>
      <c r="AA27" s="20"/>
      <c r="AB27" s="22"/>
      <c r="AC27" s="20"/>
      <c r="AD27" s="20"/>
      <c r="AE27" s="20"/>
      <c r="AF27" s="20" t="s">
        <v>1124</v>
      </c>
      <c r="AG27" s="20" t="s">
        <v>1124</v>
      </c>
      <c r="AH27" s="20" t="s">
        <v>1124</v>
      </c>
      <c r="AI27" s="328"/>
      <c r="AJ27" s="328"/>
      <c r="AK27" s="328"/>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0"/>
      <c r="BY27" s="20"/>
      <c r="BZ27" s="20"/>
      <c r="CA27" s="20"/>
      <c r="CB27" s="20"/>
      <c r="CC27" s="20"/>
      <c r="CD27" s="22"/>
      <c r="CE27" s="22"/>
      <c r="CF27" s="22"/>
      <c r="CG27" s="22"/>
      <c r="CH27" s="22"/>
      <c r="CI27" s="22"/>
      <c r="CJ27" s="149"/>
      <c r="CK27" s="241"/>
    </row>
    <row r="28" spans="1:89" ht="15" customHeight="1" x14ac:dyDescent="0.35">
      <c r="A28" s="17"/>
      <c r="B28" s="313">
        <v>87100</v>
      </c>
      <c r="C28" s="8" t="s">
        <v>906</v>
      </c>
      <c r="D28" s="18">
        <v>8</v>
      </c>
      <c r="E28" s="131"/>
      <c r="F28" s="22"/>
      <c r="G28" s="132"/>
      <c r="H28" s="22"/>
      <c r="I28" s="22"/>
      <c r="J28" s="22"/>
      <c r="K28" s="22"/>
      <c r="L28" s="22"/>
      <c r="M28" s="133"/>
      <c r="N28" s="22"/>
      <c r="O28" s="22"/>
      <c r="P28" s="22"/>
      <c r="Q28" s="20"/>
      <c r="R28" s="20"/>
      <c r="S28" s="20"/>
      <c r="T28" s="20"/>
      <c r="U28" s="20"/>
      <c r="V28" s="20"/>
      <c r="W28" s="20"/>
      <c r="X28" s="20"/>
      <c r="Y28" s="20"/>
      <c r="Z28" s="20"/>
      <c r="AA28" s="20"/>
      <c r="AB28" s="22"/>
      <c r="AC28" s="20"/>
      <c r="AD28" s="20"/>
      <c r="AE28" s="20"/>
      <c r="AF28" s="20" t="s">
        <v>1124</v>
      </c>
      <c r="AG28" s="20" t="s">
        <v>1124</v>
      </c>
      <c r="AH28" s="20" t="s">
        <v>1124</v>
      </c>
      <c r="AI28" s="328"/>
      <c r="AJ28" s="328"/>
      <c r="AK28" s="328"/>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0"/>
      <c r="BY28" s="20"/>
      <c r="BZ28" s="20"/>
      <c r="CA28" s="20"/>
      <c r="CB28" s="20"/>
      <c r="CC28" s="20"/>
      <c r="CD28" s="22"/>
      <c r="CE28" s="22"/>
      <c r="CF28" s="22"/>
      <c r="CG28" s="22"/>
      <c r="CH28" s="22"/>
      <c r="CI28" s="22"/>
      <c r="CJ28" s="149"/>
      <c r="CK28" s="241"/>
    </row>
    <row r="29" spans="1:89" ht="15" customHeight="1" x14ac:dyDescent="0.35">
      <c r="A29" s="17"/>
      <c r="B29" s="313">
        <v>45035</v>
      </c>
      <c r="C29" s="8" t="s">
        <v>414</v>
      </c>
      <c r="D29" s="18">
        <v>5</v>
      </c>
      <c r="E29" s="131"/>
      <c r="F29" s="22"/>
      <c r="G29" s="132"/>
      <c r="H29" s="22"/>
      <c r="I29" s="22"/>
      <c r="J29" s="22"/>
      <c r="K29" s="22"/>
      <c r="L29" s="22"/>
      <c r="M29" s="133"/>
      <c r="N29" s="22"/>
      <c r="O29" s="22"/>
      <c r="P29" s="22"/>
      <c r="Q29" s="20"/>
      <c r="R29" s="20"/>
      <c r="S29" s="20"/>
      <c r="T29" s="20"/>
      <c r="U29" s="20"/>
      <c r="V29" s="20"/>
      <c r="W29" s="20"/>
      <c r="X29" s="20"/>
      <c r="Y29" s="20"/>
      <c r="Z29" s="20"/>
      <c r="AA29" s="20"/>
      <c r="AB29" s="22"/>
      <c r="AC29" s="20"/>
      <c r="AD29" s="20"/>
      <c r="AE29" s="20"/>
      <c r="AF29" s="20" t="s">
        <v>1124</v>
      </c>
      <c r="AG29" s="20" t="s">
        <v>1124</v>
      </c>
      <c r="AH29" s="20" t="s">
        <v>1124</v>
      </c>
      <c r="AI29" s="328"/>
      <c r="AJ29" s="328"/>
      <c r="AK29" s="328"/>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0"/>
      <c r="BY29" s="20"/>
      <c r="BZ29" s="20"/>
      <c r="CA29" s="20"/>
      <c r="CB29" s="20"/>
      <c r="CC29" s="20"/>
      <c r="CD29" s="22"/>
      <c r="CE29" s="22"/>
      <c r="CF29" s="22"/>
      <c r="CG29" s="22"/>
      <c r="CH29" s="22"/>
      <c r="CI29" s="22"/>
      <c r="CJ29" s="149"/>
      <c r="CK29" s="241"/>
    </row>
    <row r="30" spans="1:89" ht="15" customHeight="1" x14ac:dyDescent="0.35">
      <c r="A30" s="17"/>
      <c r="B30" s="313">
        <v>96020</v>
      </c>
      <c r="C30" s="8" t="s">
        <v>997</v>
      </c>
      <c r="D30" s="18">
        <v>9</v>
      </c>
      <c r="E30" s="131" t="s">
        <v>1309</v>
      </c>
      <c r="F30" s="22" t="s">
        <v>1309</v>
      </c>
      <c r="G30" s="132" t="s">
        <v>1309</v>
      </c>
      <c r="H30" s="22" t="s">
        <v>1311</v>
      </c>
      <c r="I30" s="22" t="s">
        <v>1327</v>
      </c>
      <c r="J30" s="22" t="s">
        <v>1327</v>
      </c>
      <c r="K30" s="22" t="s">
        <v>1319</v>
      </c>
      <c r="L30" s="22" t="s">
        <v>1309</v>
      </c>
      <c r="M30" s="133" t="s">
        <v>1311</v>
      </c>
      <c r="N30" s="22" t="s">
        <v>1311</v>
      </c>
      <c r="O30" s="22" t="s">
        <v>1314</v>
      </c>
      <c r="P30" s="22" t="s">
        <v>1318</v>
      </c>
      <c r="Q30" s="20">
        <v>0</v>
      </c>
      <c r="R30" s="20">
        <v>0</v>
      </c>
      <c r="S30" s="20">
        <v>301.97000000000003</v>
      </c>
      <c r="T30" s="20">
        <v>301.97000000000003</v>
      </c>
      <c r="U30" s="20">
        <v>0</v>
      </c>
      <c r="V30" s="20">
        <v>0</v>
      </c>
      <c r="W30" s="20">
        <v>0</v>
      </c>
      <c r="X30" s="20">
        <v>0</v>
      </c>
      <c r="Y30" s="20">
        <v>0</v>
      </c>
      <c r="Z30" s="20">
        <v>0</v>
      </c>
      <c r="AA30" s="20" t="s">
        <v>1317</v>
      </c>
      <c r="AB30" s="22" t="s">
        <v>1318</v>
      </c>
      <c r="AC30" s="20">
        <v>13</v>
      </c>
      <c r="AD30" s="20">
        <v>72</v>
      </c>
      <c r="AE30" s="20">
        <v>5</v>
      </c>
      <c r="AF30" s="20">
        <v>2</v>
      </c>
      <c r="AG30" s="20">
        <v>3</v>
      </c>
      <c r="AH30" s="20">
        <v>5</v>
      </c>
      <c r="AI30" s="328">
        <v>8.727760993622022</v>
      </c>
      <c r="AJ30" s="328">
        <v>9.3409444732745204</v>
      </c>
      <c r="AK30" s="328">
        <v>0.64867669953295282</v>
      </c>
      <c r="AL30" s="22" t="s">
        <v>1316</v>
      </c>
      <c r="AM30" s="22" t="s">
        <v>1343</v>
      </c>
      <c r="AN30" s="22" t="s">
        <v>1317</v>
      </c>
      <c r="AO30" s="22" t="s">
        <v>1318</v>
      </c>
      <c r="AP30" s="22" t="s">
        <v>1318</v>
      </c>
      <c r="AQ30" s="22" t="s">
        <v>1318</v>
      </c>
      <c r="AR30" s="22" t="s">
        <v>1317</v>
      </c>
      <c r="AS30" s="22" t="s">
        <v>1318</v>
      </c>
      <c r="AT30" s="22" t="s">
        <v>1317</v>
      </c>
      <c r="AU30" s="22" t="s">
        <v>1311</v>
      </c>
      <c r="AV30" s="22" t="s">
        <v>1317</v>
      </c>
      <c r="AW30" s="22" t="s">
        <v>1318</v>
      </c>
      <c r="AX30" s="22" t="s">
        <v>1317</v>
      </c>
      <c r="AY30" s="22" t="s">
        <v>1318</v>
      </c>
      <c r="AZ30" s="22" t="s">
        <v>1309</v>
      </c>
      <c r="BA30" s="22" t="s">
        <v>1309</v>
      </c>
      <c r="BB30" s="22" t="s">
        <v>1309</v>
      </c>
      <c r="BC30" s="22" t="s">
        <v>1309</v>
      </c>
      <c r="BD30" s="22" t="s">
        <v>1317</v>
      </c>
      <c r="BE30" s="22" t="s">
        <v>1318</v>
      </c>
      <c r="BF30" s="22" t="s">
        <v>1317</v>
      </c>
      <c r="BG30" s="22" t="s">
        <v>1318</v>
      </c>
      <c r="BH30" s="22" t="s">
        <v>1309</v>
      </c>
      <c r="BI30" s="22" t="s">
        <v>1309</v>
      </c>
      <c r="BJ30" s="22" t="s">
        <v>1317</v>
      </c>
      <c r="BK30" s="22" t="s">
        <v>1318</v>
      </c>
      <c r="BL30" s="22" t="s">
        <v>1317</v>
      </c>
      <c r="BM30" s="22" t="s">
        <v>1318</v>
      </c>
      <c r="BN30" s="22" t="s">
        <v>1319</v>
      </c>
      <c r="BO30" s="22" t="s">
        <v>1311</v>
      </c>
      <c r="BP30" s="22" t="s">
        <v>1309</v>
      </c>
      <c r="BQ30" s="22" t="s">
        <v>1309</v>
      </c>
      <c r="BR30" s="22" t="s">
        <v>1309</v>
      </c>
      <c r="BS30" s="22" t="s">
        <v>1309</v>
      </c>
      <c r="BT30" s="22" t="s">
        <v>1309</v>
      </c>
      <c r="BU30" s="22" t="s">
        <v>1309</v>
      </c>
      <c r="BV30" s="22" t="s">
        <v>1317</v>
      </c>
      <c r="BW30" s="22" t="s">
        <v>1318</v>
      </c>
      <c r="BX30" s="20">
        <v>0</v>
      </c>
      <c r="BY30" s="20">
        <v>202</v>
      </c>
      <c r="BZ30" s="20">
        <v>348</v>
      </c>
      <c r="CA30" s="20">
        <v>0</v>
      </c>
      <c r="CB30" s="20">
        <v>60</v>
      </c>
      <c r="CC30" s="20">
        <v>7103</v>
      </c>
      <c r="CD30" s="22" t="s">
        <v>1331</v>
      </c>
      <c r="CE30" s="22" t="s">
        <v>1331</v>
      </c>
      <c r="CF30" s="22" t="s">
        <v>1331</v>
      </c>
      <c r="CG30" s="22" t="s">
        <v>1331</v>
      </c>
      <c r="CH30" s="22" t="s">
        <v>1315</v>
      </c>
      <c r="CI30" s="22" t="s">
        <v>1315</v>
      </c>
      <c r="CJ30" s="149" t="s">
        <v>1462</v>
      </c>
      <c r="CK30" s="241" t="s">
        <v>1124</v>
      </c>
    </row>
    <row r="31" spans="1:89" ht="15" customHeight="1" x14ac:dyDescent="0.35">
      <c r="A31" s="17"/>
      <c r="B31" s="313">
        <v>8080</v>
      </c>
      <c r="C31" s="8" t="s">
        <v>1096</v>
      </c>
      <c r="D31" s="18">
        <v>1</v>
      </c>
      <c r="E31" s="131" t="s">
        <v>1309</v>
      </c>
      <c r="F31" s="22" t="s">
        <v>1309</v>
      </c>
      <c r="G31" s="132" t="s">
        <v>1309</v>
      </c>
      <c r="H31" s="22" t="s">
        <v>1311</v>
      </c>
      <c r="I31" s="22" t="s">
        <v>1327</v>
      </c>
      <c r="J31" s="22" t="s">
        <v>1327</v>
      </c>
      <c r="K31" s="22" t="s">
        <v>1309</v>
      </c>
      <c r="L31" s="22" t="s">
        <v>1309</v>
      </c>
      <c r="M31" s="133" t="s">
        <v>1311</v>
      </c>
      <c r="N31" s="22" t="s">
        <v>1311</v>
      </c>
      <c r="O31" s="22" t="s">
        <v>1315</v>
      </c>
      <c r="P31" s="22" t="s">
        <v>1315</v>
      </c>
      <c r="Q31" s="20">
        <v>0</v>
      </c>
      <c r="R31" s="20">
        <v>0</v>
      </c>
      <c r="S31" s="20">
        <v>0</v>
      </c>
      <c r="T31" s="20">
        <v>0</v>
      </c>
      <c r="U31" s="20">
        <v>0</v>
      </c>
      <c r="V31" s="20">
        <v>0</v>
      </c>
      <c r="W31" s="20">
        <v>0</v>
      </c>
      <c r="X31" s="20">
        <v>0</v>
      </c>
      <c r="Y31" s="20">
        <v>0</v>
      </c>
      <c r="Z31" s="20">
        <v>0</v>
      </c>
      <c r="AA31" s="20" t="s">
        <v>1315</v>
      </c>
      <c r="AB31" s="22" t="s">
        <v>1315</v>
      </c>
      <c r="AC31" s="20">
        <v>0</v>
      </c>
      <c r="AD31" s="20">
        <v>0</v>
      </c>
      <c r="AE31" s="20">
        <v>0</v>
      </c>
      <c r="AF31" s="20">
        <v>0</v>
      </c>
      <c r="AG31" s="20">
        <v>0</v>
      </c>
      <c r="AH31" s="20">
        <v>0</v>
      </c>
      <c r="AI31" s="328" t="s">
        <v>1328</v>
      </c>
      <c r="AJ31" s="328" t="s">
        <v>1328</v>
      </c>
      <c r="AK31" s="328" t="s">
        <v>1328</v>
      </c>
      <c r="AL31" s="22" t="s">
        <v>1329</v>
      </c>
      <c r="AM31" s="22" t="s">
        <v>1330</v>
      </c>
      <c r="AN31" s="22" t="s">
        <v>1315</v>
      </c>
      <c r="AO31" s="22" t="s">
        <v>1315</v>
      </c>
      <c r="AP31" s="22" t="s">
        <v>1315</v>
      </c>
      <c r="AQ31" s="22" t="s">
        <v>1315</v>
      </c>
      <c r="AR31" s="22" t="s">
        <v>1317</v>
      </c>
      <c r="AS31" s="22" t="s">
        <v>1318</v>
      </c>
      <c r="AT31" s="22" t="s">
        <v>1317</v>
      </c>
      <c r="AU31" s="22" t="s">
        <v>1318</v>
      </c>
      <c r="AV31" s="22" t="s">
        <v>1317</v>
      </c>
      <c r="AW31" s="22" t="s">
        <v>1318</v>
      </c>
      <c r="AX31" s="22" t="s">
        <v>1317</v>
      </c>
      <c r="AY31" s="22" t="s">
        <v>1318</v>
      </c>
      <c r="AZ31" s="22" t="s">
        <v>1309</v>
      </c>
      <c r="BA31" s="22" t="s">
        <v>1309</v>
      </c>
      <c r="BB31" s="22" t="s">
        <v>1309</v>
      </c>
      <c r="BC31" s="22" t="s">
        <v>1309</v>
      </c>
      <c r="BD31" s="22" t="s">
        <v>1317</v>
      </c>
      <c r="BE31" s="22" t="s">
        <v>1318</v>
      </c>
      <c r="BF31" s="22" t="s">
        <v>1317</v>
      </c>
      <c r="BG31" s="22" t="s">
        <v>1318</v>
      </c>
      <c r="BH31" s="22" t="s">
        <v>1309</v>
      </c>
      <c r="BI31" s="22" t="s">
        <v>1309</v>
      </c>
      <c r="BJ31" s="22" t="s">
        <v>1317</v>
      </c>
      <c r="BK31" s="22" t="s">
        <v>1318</v>
      </c>
      <c r="BL31" s="22" t="s">
        <v>1317</v>
      </c>
      <c r="BM31" s="22" t="s">
        <v>1318</v>
      </c>
      <c r="BN31" s="22" t="s">
        <v>1309</v>
      </c>
      <c r="BO31" s="22" t="s">
        <v>1309</v>
      </c>
      <c r="BP31" s="22" t="s">
        <v>1315</v>
      </c>
      <c r="BQ31" s="22" t="s">
        <v>1315</v>
      </c>
      <c r="BR31" s="22" t="s">
        <v>1309</v>
      </c>
      <c r="BS31" s="22" t="s">
        <v>1309</v>
      </c>
      <c r="BT31" s="22" t="s">
        <v>1309</v>
      </c>
      <c r="BU31" s="22" t="s">
        <v>1309</v>
      </c>
      <c r="BV31" s="22" t="s">
        <v>1317</v>
      </c>
      <c r="BW31" s="22" t="s">
        <v>1318</v>
      </c>
      <c r="BX31" s="20">
        <v>0</v>
      </c>
      <c r="BY31" s="20">
        <v>0</v>
      </c>
      <c r="BZ31" s="20">
        <v>12</v>
      </c>
      <c r="CA31" s="20">
        <v>0</v>
      </c>
      <c r="CB31" s="20">
        <v>0</v>
      </c>
      <c r="CC31" s="20">
        <v>174</v>
      </c>
      <c r="CD31" s="22" t="s">
        <v>1317</v>
      </c>
      <c r="CE31" s="22" t="s">
        <v>1318</v>
      </c>
      <c r="CF31" s="22" t="s">
        <v>1317</v>
      </c>
      <c r="CG31" s="22" t="s">
        <v>1318</v>
      </c>
      <c r="CH31" s="22" t="s">
        <v>1317</v>
      </c>
      <c r="CI31" s="22" t="s">
        <v>1318</v>
      </c>
      <c r="CJ31" s="149" t="s">
        <v>1124</v>
      </c>
      <c r="CK31" s="241" t="s">
        <v>1124</v>
      </c>
    </row>
    <row r="32" spans="1:89" ht="15" customHeight="1" x14ac:dyDescent="0.35">
      <c r="A32" s="17"/>
      <c r="B32" s="313">
        <v>50100</v>
      </c>
      <c r="C32" s="8" t="s">
        <v>495</v>
      </c>
      <c r="D32" s="18">
        <v>17</v>
      </c>
      <c r="E32" s="131" t="s">
        <v>1309</v>
      </c>
      <c r="F32" s="22" t="s">
        <v>1309</v>
      </c>
      <c r="G32" s="132" t="s">
        <v>1309</v>
      </c>
      <c r="H32" s="22" t="s">
        <v>1311</v>
      </c>
      <c r="I32" s="22" t="s">
        <v>1327</v>
      </c>
      <c r="J32" s="22" t="s">
        <v>1327</v>
      </c>
      <c r="K32" s="22" t="s">
        <v>1309</v>
      </c>
      <c r="L32" s="22" t="s">
        <v>1309</v>
      </c>
      <c r="M32" s="133" t="s">
        <v>1311</v>
      </c>
      <c r="N32" s="22" t="s">
        <v>1311</v>
      </c>
      <c r="O32" s="22" t="s">
        <v>1309</v>
      </c>
      <c r="P32" s="22" t="s">
        <v>1309</v>
      </c>
      <c r="Q32" s="20">
        <v>0</v>
      </c>
      <c r="R32" s="20">
        <v>0</v>
      </c>
      <c r="S32" s="20">
        <v>0</v>
      </c>
      <c r="T32" s="20">
        <v>0</v>
      </c>
      <c r="U32" s="20">
        <v>76.603999999999999</v>
      </c>
      <c r="V32" s="20">
        <v>76.603999999999999</v>
      </c>
      <c r="W32" s="20">
        <v>0</v>
      </c>
      <c r="X32" s="20">
        <v>0</v>
      </c>
      <c r="Y32" s="20">
        <v>0</v>
      </c>
      <c r="Z32" s="20">
        <v>0</v>
      </c>
      <c r="AA32" s="20" t="s">
        <v>1309</v>
      </c>
      <c r="AB32" s="22" t="s">
        <v>1309</v>
      </c>
      <c r="AC32" s="20">
        <v>0</v>
      </c>
      <c r="AD32" s="20">
        <v>0</v>
      </c>
      <c r="AE32" s="20">
        <v>7</v>
      </c>
      <c r="AF32" s="20">
        <v>0</v>
      </c>
      <c r="AG32" s="20">
        <v>0</v>
      </c>
      <c r="AH32" s="20">
        <v>2</v>
      </c>
      <c r="AI32" s="328" t="s">
        <v>1328</v>
      </c>
      <c r="AJ32" s="328" t="s">
        <v>1328</v>
      </c>
      <c r="AK32" s="328">
        <v>12.704174228675136</v>
      </c>
      <c r="AL32" s="22" t="s">
        <v>1329</v>
      </c>
      <c r="AM32" s="22" t="s">
        <v>1330</v>
      </c>
      <c r="AN32" s="22" t="s">
        <v>1317</v>
      </c>
      <c r="AO32" s="22" t="s">
        <v>1318</v>
      </c>
      <c r="AP32" s="22" t="s">
        <v>1318</v>
      </c>
      <c r="AQ32" s="22" t="s">
        <v>1318</v>
      </c>
      <c r="AR32" s="22" t="s">
        <v>1317</v>
      </c>
      <c r="AS32" s="22" t="s">
        <v>1318</v>
      </c>
      <c r="AT32" s="22" t="s">
        <v>1309</v>
      </c>
      <c r="AU32" s="22" t="s">
        <v>1309</v>
      </c>
      <c r="AV32" s="22" t="s">
        <v>1317</v>
      </c>
      <c r="AW32" s="22" t="s">
        <v>1318</v>
      </c>
      <c r="AX32" s="22" t="s">
        <v>1309</v>
      </c>
      <c r="AY32" s="22" t="s">
        <v>1309</v>
      </c>
      <c r="AZ32" s="22" t="s">
        <v>1309</v>
      </c>
      <c r="BA32" s="22" t="s">
        <v>1309</v>
      </c>
      <c r="BB32" s="22" t="s">
        <v>1309</v>
      </c>
      <c r="BC32" s="22" t="s">
        <v>1309</v>
      </c>
      <c r="BD32" s="22" t="s">
        <v>1309</v>
      </c>
      <c r="BE32" s="22" t="s">
        <v>1309</v>
      </c>
      <c r="BF32" s="22" t="s">
        <v>1309</v>
      </c>
      <c r="BG32" s="22" t="s">
        <v>1309</v>
      </c>
      <c r="BH32" s="22" t="s">
        <v>1309</v>
      </c>
      <c r="BI32" s="22" t="s">
        <v>1309</v>
      </c>
      <c r="BJ32" s="22" t="s">
        <v>1309</v>
      </c>
      <c r="BK32" s="22" t="s">
        <v>1309</v>
      </c>
      <c r="BL32" s="22" t="s">
        <v>1319</v>
      </c>
      <c r="BM32" s="22" t="s">
        <v>1311</v>
      </c>
      <c r="BN32" s="22" t="s">
        <v>1309</v>
      </c>
      <c r="BO32" s="22" t="s">
        <v>1309</v>
      </c>
      <c r="BP32" s="22" t="s">
        <v>1315</v>
      </c>
      <c r="BQ32" s="22" t="s">
        <v>1309</v>
      </c>
      <c r="BR32" s="22" t="s">
        <v>1309</v>
      </c>
      <c r="BS32" s="22" t="s">
        <v>1309</v>
      </c>
      <c r="BT32" s="22" t="s">
        <v>1309</v>
      </c>
      <c r="BU32" s="22" t="s">
        <v>1309</v>
      </c>
      <c r="BV32" s="22" t="s">
        <v>1317</v>
      </c>
      <c r="BW32" s="22" t="s">
        <v>1318</v>
      </c>
      <c r="BX32" s="20">
        <v>70</v>
      </c>
      <c r="BY32" s="20">
        <v>11</v>
      </c>
      <c r="BZ32" s="20">
        <v>0</v>
      </c>
      <c r="CA32" s="20">
        <v>470</v>
      </c>
      <c r="CB32" s="20">
        <v>0</v>
      </c>
      <c r="CC32" s="20">
        <v>0</v>
      </c>
      <c r="CD32" s="22" t="s">
        <v>1331</v>
      </c>
      <c r="CE32" s="22" t="s">
        <v>1331</v>
      </c>
      <c r="CF32" s="22" t="s">
        <v>1331</v>
      </c>
      <c r="CG32" s="22" t="s">
        <v>1331</v>
      </c>
      <c r="CH32" s="22" t="s">
        <v>1317</v>
      </c>
      <c r="CI32" s="22" t="s">
        <v>1318</v>
      </c>
      <c r="CJ32" s="149" t="s">
        <v>1124</v>
      </c>
      <c r="CK32" s="241" t="s">
        <v>1124</v>
      </c>
    </row>
    <row r="33" spans="1:89" ht="15" customHeight="1" x14ac:dyDescent="0.35">
      <c r="A33" s="17"/>
      <c r="B33" s="313">
        <v>66112</v>
      </c>
      <c r="C33" s="8" t="s">
        <v>659</v>
      </c>
      <c r="D33" s="18">
        <v>6</v>
      </c>
      <c r="E33" s="131" t="s">
        <v>1309</v>
      </c>
      <c r="F33" s="22" t="s">
        <v>1309</v>
      </c>
      <c r="G33" s="132" t="s">
        <v>1309</v>
      </c>
      <c r="H33" s="22" t="s">
        <v>1311</v>
      </c>
      <c r="I33" s="22" t="s">
        <v>1315</v>
      </c>
      <c r="J33" s="22" t="s">
        <v>1315</v>
      </c>
      <c r="K33" s="22" t="s">
        <v>1319</v>
      </c>
      <c r="L33" s="22" t="s">
        <v>1311</v>
      </c>
      <c r="M33" s="133" t="s">
        <v>1311</v>
      </c>
      <c r="N33" s="22" t="s">
        <v>1311</v>
      </c>
      <c r="O33" s="22" t="s">
        <v>1309</v>
      </c>
      <c r="P33" s="22" t="s">
        <v>1309</v>
      </c>
      <c r="Q33" s="20">
        <v>0</v>
      </c>
      <c r="R33" s="20">
        <v>0</v>
      </c>
      <c r="S33" s="20">
        <v>47.136000000000003</v>
      </c>
      <c r="T33" s="20">
        <v>47.136000000000003</v>
      </c>
      <c r="U33" s="20">
        <v>0</v>
      </c>
      <c r="V33" s="20">
        <v>0</v>
      </c>
      <c r="W33" s="20">
        <v>0</v>
      </c>
      <c r="X33" s="20">
        <v>0</v>
      </c>
      <c r="Y33" s="20">
        <v>0</v>
      </c>
      <c r="Z33" s="20">
        <v>0</v>
      </c>
      <c r="AA33" s="20" t="s">
        <v>1317</v>
      </c>
      <c r="AB33" s="22" t="s">
        <v>1318</v>
      </c>
      <c r="AC33" s="20">
        <v>1</v>
      </c>
      <c r="AD33" s="20">
        <v>0</v>
      </c>
      <c r="AE33" s="20">
        <v>0</v>
      </c>
      <c r="AF33" s="20">
        <v>1</v>
      </c>
      <c r="AG33" s="20">
        <v>0</v>
      </c>
      <c r="AH33" s="20">
        <v>0</v>
      </c>
      <c r="AI33" s="328">
        <v>2.1215207060420913</v>
      </c>
      <c r="AJ33" s="328" t="s">
        <v>1328</v>
      </c>
      <c r="AK33" s="328" t="s">
        <v>1328</v>
      </c>
      <c r="AL33" s="22" t="s">
        <v>1316</v>
      </c>
      <c r="AM33" s="22" t="s">
        <v>1343</v>
      </c>
      <c r="AN33" s="22" t="s">
        <v>1317</v>
      </c>
      <c r="AO33" s="22" t="s">
        <v>1311</v>
      </c>
      <c r="AP33" s="22" t="s">
        <v>1318</v>
      </c>
      <c r="AQ33" s="22" t="s">
        <v>1318</v>
      </c>
      <c r="AR33" s="22" t="s">
        <v>1317</v>
      </c>
      <c r="AS33" s="22" t="s">
        <v>1311</v>
      </c>
      <c r="AT33" s="22" t="s">
        <v>1317</v>
      </c>
      <c r="AU33" s="22" t="s">
        <v>1311</v>
      </c>
      <c r="AV33" s="22" t="s">
        <v>1317</v>
      </c>
      <c r="AW33" s="22" t="s">
        <v>1318</v>
      </c>
      <c r="AX33" s="22" t="s">
        <v>1309</v>
      </c>
      <c r="AY33" s="22" t="s">
        <v>1309</v>
      </c>
      <c r="AZ33" s="22" t="s">
        <v>1317</v>
      </c>
      <c r="BA33" s="22" t="s">
        <v>1311</v>
      </c>
      <c r="BB33" s="22" t="s">
        <v>1309</v>
      </c>
      <c r="BC33" s="22" t="s">
        <v>1309</v>
      </c>
      <c r="BD33" s="22" t="s">
        <v>1309</v>
      </c>
      <c r="BE33" s="22" t="s">
        <v>1309</v>
      </c>
      <c r="BF33" s="22" t="s">
        <v>1309</v>
      </c>
      <c r="BG33" s="22" t="s">
        <v>1309</v>
      </c>
      <c r="BH33" s="22" t="s">
        <v>1317</v>
      </c>
      <c r="BI33" s="22" t="s">
        <v>1311</v>
      </c>
      <c r="BJ33" s="22" t="s">
        <v>1309</v>
      </c>
      <c r="BK33" s="22" t="s">
        <v>1309</v>
      </c>
      <c r="BL33" s="22" t="s">
        <v>1317</v>
      </c>
      <c r="BM33" s="22" t="s">
        <v>1311</v>
      </c>
      <c r="BN33" s="22" t="s">
        <v>1317</v>
      </c>
      <c r="BO33" s="22" t="s">
        <v>1311</v>
      </c>
      <c r="BP33" s="22" t="s">
        <v>1309</v>
      </c>
      <c r="BQ33" s="22" t="s">
        <v>1309</v>
      </c>
      <c r="BR33" s="22" t="s">
        <v>1317</v>
      </c>
      <c r="BS33" s="22" t="s">
        <v>1311</v>
      </c>
      <c r="BT33" s="22" t="s">
        <v>1317</v>
      </c>
      <c r="BU33" s="22" t="s">
        <v>1311</v>
      </c>
      <c r="BV33" s="22" t="s">
        <v>1309</v>
      </c>
      <c r="BW33" s="22" t="s">
        <v>1311</v>
      </c>
      <c r="BX33" s="20">
        <v>100</v>
      </c>
      <c r="BY33" s="20">
        <v>0</v>
      </c>
      <c r="BZ33" s="20">
        <v>0</v>
      </c>
      <c r="CA33" s="20">
        <v>1321</v>
      </c>
      <c r="CB33" s="20">
        <v>0</v>
      </c>
      <c r="CC33" s="20">
        <v>0</v>
      </c>
      <c r="CD33" s="22" t="s">
        <v>1331</v>
      </c>
      <c r="CE33" s="22" t="s">
        <v>1331</v>
      </c>
      <c r="CF33" s="22" t="s">
        <v>1331</v>
      </c>
      <c r="CG33" s="22" t="s">
        <v>1331</v>
      </c>
      <c r="CH33" s="22" t="s">
        <v>1315</v>
      </c>
      <c r="CI33" s="22" t="s">
        <v>1315</v>
      </c>
      <c r="CJ33" s="149" t="s">
        <v>1124</v>
      </c>
      <c r="CK33" s="241" t="s">
        <v>1411</v>
      </c>
    </row>
    <row r="34" spans="1:89" ht="15" customHeight="1" x14ac:dyDescent="0.35">
      <c r="A34" s="17"/>
      <c r="B34" s="313">
        <v>98035</v>
      </c>
      <c r="C34" s="8" t="s">
        <v>1014</v>
      </c>
      <c r="D34" s="18">
        <v>9</v>
      </c>
      <c r="E34" s="131" t="s">
        <v>1309</v>
      </c>
      <c r="F34" s="22" t="s">
        <v>1309</v>
      </c>
      <c r="G34" s="132" t="s">
        <v>1309</v>
      </c>
      <c r="H34" s="22" t="s">
        <v>1311</v>
      </c>
      <c r="I34" s="22" t="s">
        <v>1315</v>
      </c>
      <c r="J34" s="22" t="s">
        <v>1315</v>
      </c>
      <c r="K34" s="22" t="s">
        <v>1319</v>
      </c>
      <c r="L34" s="22" t="s">
        <v>1309</v>
      </c>
      <c r="M34" s="133" t="s">
        <v>1311</v>
      </c>
      <c r="N34" s="22" t="s">
        <v>1311</v>
      </c>
      <c r="O34" s="22" t="s">
        <v>1314</v>
      </c>
      <c r="P34" s="22" t="s">
        <v>1318</v>
      </c>
      <c r="Q34" s="20">
        <v>0</v>
      </c>
      <c r="R34" s="20">
        <v>0</v>
      </c>
      <c r="S34" s="20">
        <v>0</v>
      </c>
      <c r="T34" s="20">
        <v>0</v>
      </c>
      <c r="U34" s="20">
        <v>0</v>
      </c>
      <c r="V34" s="20">
        <v>0</v>
      </c>
      <c r="W34" s="20">
        <v>0</v>
      </c>
      <c r="X34" s="20">
        <v>0</v>
      </c>
      <c r="Y34" s="20">
        <v>0</v>
      </c>
      <c r="Z34" s="20">
        <v>0</v>
      </c>
      <c r="AA34" s="20" t="s">
        <v>1317</v>
      </c>
      <c r="AB34" s="22" t="s">
        <v>1318</v>
      </c>
      <c r="AC34" s="20">
        <v>1</v>
      </c>
      <c r="AD34" s="20">
        <v>0</v>
      </c>
      <c r="AE34" s="20">
        <v>0</v>
      </c>
      <c r="AF34" s="20">
        <v>2</v>
      </c>
      <c r="AG34" s="20">
        <v>0</v>
      </c>
      <c r="AH34" s="20">
        <v>0</v>
      </c>
      <c r="AI34" s="328">
        <v>36.363636363636367</v>
      </c>
      <c r="AJ34" s="328" t="s">
        <v>1328</v>
      </c>
      <c r="AK34" s="328" t="s">
        <v>1328</v>
      </c>
      <c r="AL34" s="22" t="s">
        <v>1329</v>
      </c>
      <c r="AM34" s="22" t="s">
        <v>1330</v>
      </c>
      <c r="AN34" s="22" t="s">
        <v>1315</v>
      </c>
      <c r="AO34" s="22" t="s">
        <v>1315</v>
      </c>
      <c r="AP34" s="22" t="s">
        <v>1315</v>
      </c>
      <c r="AQ34" s="22" t="s">
        <v>1315</v>
      </c>
      <c r="AR34" s="22" t="s">
        <v>1317</v>
      </c>
      <c r="AS34" s="22" t="s">
        <v>1318</v>
      </c>
      <c r="AT34" s="22" t="s">
        <v>1309</v>
      </c>
      <c r="AU34" s="22" t="s">
        <v>1309</v>
      </c>
      <c r="AV34" s="22" t="s">
        <v>1317</v>
      </c>
      <c r="AW34" s="22" t="s">
        <v>1311</v>
      </c>
      <c r="AX34" s="22" t="s">
        <v>1317</v>
      </c>
      <c r="AY34" s="22" t="s">
        <v>1318</v>
      </c>
      <c r="AZ34" s="22" t="s">
        <v>1317</v>
      </c>
      <c r="BA34" s="22" t="s">
        <v>1318</v>
      </c>
      <c r="BB34" s="22" t="s">
        <v>1309</v>
      </c>
      <c r="BC34" s="22" t="s">
        <v>1309</v>
      </c>
      <c r="BD34" s="22" t="s">
        <v>1317</v>
      </c>
      <c r="BE34" s="22" t="s">
        <v>1318</v>
      </c>
      <c r="BF34" s="22" t="s">
        <v>1317</v>
      </c>
      <c r="BG34" s="22" t="s">
        <v>1309</v>
      </c>
      <c r="BH34" s="22" t="s">
        <v>1317</v>
      </c>
      <c r="BI34" s="22" t="s">
        <v>1318</v>
      </c>
      <c r="BJ34" s="22" t="s">
        <v>1317</v>
      </c>
      <c r="BK34" s="22" t="s">
        <v>1318</v>
      </c>
      <c r="BL34" s="22" t="s">
        <v>1319</v>
      </c>
      <c r="BM34" s="22" t="s">
        <v>1311</v>
      </c>
      <c r="BN34" s="22" t="s">
        <v>1309</v>
      </c>
      <c r="BO34" s="22" t="s">
        <v>1309</v>
      </c>
      <c r="BP34" s="22" t="s">
        <v>1315</v>
      </c>
      <c r="BQ34" s="22" t="s">
        <v>1315</v>
      </c>
      <c r="BR34" s="22" t="s">
        <v>1309</v>
      </c>
      <c r="BS34" s="22" t="s">
        <v>1309</v>
      </c>
      <c r="BT34" s="22" t="s">
        <v>1317</v>
      </c>
      <c r="BU34" s="22" t="s">
        <v>1311</v>
      </c>
      <c r="BV34" s="22" t="s">
        <v>1309</v>
      </c>
      <c r="BW34" s="22" t="s">
        <v>1309</v>
      </c>
      <c r="BX34" s="20">
        <v>0</v>
      </c>
      <c r="BY34" s="20">
        <v>0</v>
      </c>
      <c r="BZ34" s="20">
        <v>11</v>
      </c>
      <c r="CA34" s="20">
        <v>0</v>
      </c>
      <c r="CB34" s="20">
        <v>0</v>
      </c>
      <c r="CC34" s="20">
        <v>55</v>
      </c>
      <c r="CD34" s="22" t="s">
        <v>1320</v>
      </c>
      <c r="CE34" s="22" t="s">
        <v>1321</v>
      </c>
      <c r="CF34" s="22" t="s">
        <v>1320</v>
      </c>
      <c r="CG34" s="22" t="s">
        <v>1321</v>
      </c>
      <c r="CH34" s="22" t="s">
        <v>1317</v>
      </c>
      <c r="CI34" s="22" t="s">
        <v>1318</v>
      </c>
      <c r="CJ34" s="149" t="s">
        <v>1414</v>
      </c>
      <c r="CK34" s="241" t="s">
        <v>1124</v>
      </c>
    </row>
    <row r="35" spans="1:89" ht="15" customHeight="1" x14ac:dyDescent="0.35">
      <c r="A35" s="17"/>
      <c r="B35" s="313">
        <v>15065</v>
      </c>
      <c r="C35" s="8" t="s">
        <v>83</v>
      </c>
      <c r="D35" s="18">
        <v>3</v>
      </c>
      <c r="E35" s="131" t="s">
        <v>1309</v>
      </c>
      <c r="F35" s="22" t="s">
        <v>1309</v>
      </c>
      <c r="G35" s="132" t="s">
        <v>1309</v>
      </c>
      <c r="H35" s="22" t="s">
        <v>1311</v>
      </c>
      <c r="I35" s="22" t="s">
        <v>1312</v>
      </c>
      <c r="J35" s="22" t="s">
        <v>1342</v>
      </c>
      <c r="K35" s="22" t="s">
        <v>1309</v>
      </c>
      <c r="L35" s="22" t="s">
        <v>1309</v>
      </c>
      <c r="M35" s="133" t="s">
        <v>1311</v>
      </c>
      <c r="N35" s="22" t="s">
        <v>1311</v>
      </c>
      <c r="O35" s="22" t="s">
        <v>1314</v>
      </c>
      <c r="P35" s="22" t="s">
        <v>1318</v>
      </c>
      <c r="Q35" s="20">
        <v>6.5960000000000001</v>
      </c>
      <c r="R35" s="20">
        <v>6.5960000000000001</v>
      </c>
      <c r="S35" s="20">
        <v>0</v>
      </c>
      <c r="T35" s="20">
        <v>0</v>
      </c>
      <c r="U35" s="20">
        <v>0</v>
      </c>
      <c r="V35" s="20">
        <v>0</v>
      </c>
      <c r="W35" s="20">
        <v>0</v>
      </c>
      <c r="X35" s="20">
        <v>0</v>
      </c>
      <c r="Y35" s="20">
        <v>0</v>
      </c>
      <c r="Z35" s="20">
        <v>0</v>
      </c>
      <c r="AA35" s="20" t="s">
        <v>1317</v>
      </c>
      <c r="AB35" s="22" t="s">
        <v>1318</v>
      </c>
      <c r="AC35" s="20">
        <v>1</v>
      </c>
      <c r="AD35" s="20">
        <v>0</v>
      </c>
      <c r="AE35" s="20">
        <v>0</v>
      </c>
      <c r="AF35" s="20">
        <v>1</v>
      </c>
      <c r="AG35" s="20">
        <v>0</v>
      </c>
      <c r="AH35" s="20">
        <v>0</v>
      </c>
      <c r="AI35" s="328">
        <v>15.160703456640388</v>
      </c>
      <c r="AJ35" s="328" t="s">
        <v>1328</v>
      </c>
      <c r="AK35" s="328" t="s">
        <v>1328</v>
      </c>
      <c r="AL35" s="22" t="s">
        <v>1329</v>
      </c>
      <c r="AM35" s="22" t="s">
        <v>1330</v>
      </c>
      <c r="AN35" s="22" t="s">
        <v>1317</v>
      </c>
      <c r="AO35" s="22" t="s">
        <v>1318</v>
      </c>
      <c r="AP35" s="22" t="s">
        <v>1318</v>
      </c>
      <c r="AQ35" s="22" t="s">
        <v>1318</v>
      </c>
      <c r="AR35" s="22" t="s">
        <v>1317</v>
      </c>
      <c r="AS35" s="22" t="s">
        <v>1318</v>
      </c>
      <c r="AT35" s="22" t="s">
        <v>1309</v>
      </c>
      <c r="AU35" s="22" t="s">
        <v>1309</v>
      </c>
      <c r="AV35" s="22" t="s">
        <v>1317</v>
      </c>
      <c r="AW35" s="22" t="s">
        <v>1318</v>
      </c>
      <c r="AX35" s="22" t="s">
        <v>1317</v>
      </c>
      <c r="AY35" s="22" t="s">
        <v>1318</v>
      </c>
      <c r="AZ35" s="22" t="s">
        <v>1317</v>
      </c>
      <c r="BA35" s="22" t="s">
        <v>1318</v>
      </c>
      <c r="BB35" s="22" t="s">
        <v>1309</v>
      </c>
      <c r="BC35" s="22" t="s">
        <v>1309</v>
      </c>
      <c r="BD35" s="22" t="s">
        <v>1317</v>
      </c>
      <c r="BE35" s="22" t="s">
        <v>1318</v>
      </c>
      <c r="BF35" s="22" t="s">
        <v>1309</v>
      </c>
      <c r="BG35" s="22" t="s">
        <v>1309</v>
      </c>
      <c r="BH35" s="22" t="s">
        <v>1317</v>
      </c>
      <c r="BI35" s="22" t="s">
        <v>1318</v>
      </c>
      <c r="BJ35" s="22" t="s">
        <v>1309</v>
      </c>
      <c r="BK35" s="22" t="s">
        <v>1309</v>
      </c>
      <c r="BL35" s="22" t="s">
        <v>1317</v>
      </c>
      <c r="BM35" s="22" t="s">
        <v>1318</v>
      </c>
      <c r="BN35" s="22" t="s">
        <v>1309</v>
      </c>
      <c r="BO35" s="22" t="s">
        <v>1309</v>
      </c>
      <c r="BP35" s="22" t="s">
        <v>1317</v>
      </c>
      <c r="BQ35" s="22" t="s">
        <v>1318</v>
      </c>
      <c r="BR35" s="22" t="s">
        <v>1317</v>
      </c>
      <c r="BS35" s="22" t="s">
        <v>1318</v>
      </c>
      <c r="BT35" s="22" t="s">
        <v>1309</v>
      </c>
      <c r="BU35" s="22" t="s">
        <v>1309</v>
      </c>
      <c r="BV35" s="22" t="s">
        <v>1317</v>
      </c>
      <c r="BW35" s="22" t="s">
        <v>1318</v>
      </c>
      <c r="BX35" s="20">
        <v>19</v>
      </c>
      <c r="BY35" s="20">
        <v>7</v>
      </c>
      <c r="BZ35" s="20">
        <v>0</v>
      </c>
      <c r="CA35" s="20">
        <v>14</v>
      </c>
      <c r="CB35" s="20">
        <v>6</v>
      </c>
      <c r="CC35" s="20">
        <v>124</v>
      </c>
      <c r="CD35" s="22" t="s">
        <v>1331</v>
      </c>
      <c r="CE35" s="22" t="s">
        <v>1331</v>
      </c>
      <c r="CF35" s="22" t="s">
        <v>1331</v>
      </c>
      <c r="CG35" s="22" t="s">
        <v>1331</v>
      </c>
      <c r="CH35" s="22" t="s">
        <v>1317</v>
      </c>
      <c r="CI35" s="22" t="s">
        <v>1318</v>
      </c>
      <c r="CJ35" s="149" t="s">
        <v>1396</v>
      </c>
      <c r="CK35" s="241" t="s">
        <v>1124</v>
      </c>
    </row>
    <row r="36" spans="1:89" ht="15" customHeight="1" x14ac:dyDescent="0.35">
      <c r="A36" s="17"/>
      <c r="B36" s="313">
        <v>16013</v>
      </c>
      <c r="C36" s="8" t="s">
        <v>85</v>
      </c>
      <c r="D36" s="18">
        <v>3</v>
      </c>
      <c r="E36" s="131" t="s">
        <v>1309</v>
      </c>
      <c r="F36" s="22" t="s">
        <v>1309</v>
      </c>
      <c r="G36" s="132" t="s">
        <v>1309</v>
      </c>
      <c r="H36" s="22" t="s">
        <v>1311</v>
      </c>
      <c r="I36" s="22" t="s">
        <v>1327</v>
      </c>
      <c r="J36" s="22" t="s">
        <v>1327</v>
      </c>
      <c r="K36" s="22" t="s">
        <v>1309</v>
      </c>
      <c r="L36" s="22" t="s">
        <v>1309</v>
      </c>
      <c r="M36" s="133" t="s">
        <v>1311</v>
      </c>
      <c r="N36" s="22" t="s">
        <v>1311</v>
      </c>
      <c r="O36" s="22" t="s">
        <v>1314</v>
      </c>
      <c r="P36" s="22" t="s">
        <v>1318</v>
      </c>
      <c r="Q36" s="20">
        <v>10.977</v>
      </c>
      <c r="R36" s="20">
        <v>10.977</v>
      </c>
      <c r="S36" s="20">
        <v>0</v>
      </c>
      <c r="T36" s="20">
        <v>0</v>
      </c>
      <c r="U36" s="20">
        <v>12.92</v>
      </c>
      <c r="V36" s="20">
        <v>56.023000000000003</v>
      </c>
      <c r="W36" s="20">
        <v>0</v>
      </c>
      <c r="X36" s="20">
        <v>0</v>
      </c>
      <c r="Y36" s="20">
        <v>0</v>
      </c>
      <c r="Z36" s="20">
        <v>0</v>
      </c>
      <c r="AA36" s="20" t="s">
        <v>1317</v>
      </c>
      <c r="AB36" s="22" t="s">
        <v>1318</v>
      </c>
      <c r="AC36" s="20">
        <v>2</v>
      </c>
      <c r="AD36" s="20">
        <v>5</v>
      </c>
      <c r="AE36" s="20">
        <v>1</v>
      </c>
      <c r="AF36" s="20">
        <v>1</v>
      </c>
      <c r="AG36" s="20">
        <v>1</v>
      </c>
      <c r="AH36" s="20">
        <v>1</v>
      </c>
      <c r="AI36" s="328">
        <v>3.4661444342385748</v>
      </c>
      <c r="AJ36" s="328">
        <v>2.197802197802198</v>
      </c>
      <c r="AK36" s="328">
        <v>0.43956043956043955</v>
      </c>
      <c r="AL36" s="22" t="s">
        <v>1329</v>
      </c>
      <c r="AM36" s="22" t="s">
        <v>1330</v>
      </c>
      <c r="AN36" s="22" t="s">
        <v>1317</v>
      </c>
      <c r="AO36" s="22" t="s">
        <v>1318</v>
      </c>
      <c r="AP36" s="22" t="s">
        <v>1318</v>
      </c>
      <c r="AQ36" s="22" t="s">
        <v>1318</v>
      </c>
      <c r="AR36" s="22" t="s">
        <v>1315</v>
      </c>
      <c r="AS36" s="22" t="s">
        <v>1315</v>
      </c>
      <c r="AT36" s="22" t="s">
        <v>1317</v>
      </c>
      <c r="AU36" s="22" t="s">
        <v>1318</v>
      </c>
      <c r="AV36" s="22" t="s">
        <v>1309</v>
      </c>
      <c r="AW36" s="22" t="s">
        <v>1309</v>
      </c>
      <c r="AX36" s="22" t="s">
        <v>1319</v>
      </c>
      <c r="AY36" s="22" t="s">
        <v>1309</v>
      </c>
      <c r="AZ36" s="22" t="s">
        <v>1319</v>
      </c>
      <c r="BA36" s="22" t="s">
        <v>1311</v>
      </c>
      <c r="BB36" s="22" t="s">
        <v>1309</v>
      </c>
      <c r="BC36" s="22" t="s">
        <v>1309</v>
      </c>
      <c r="BD36" s="22" t="s">
        <v>1317</v>
      </c>
      <c r="BE36" s="22" t="s">
        <v>1318</v>
      </c>
      <c r="BF36" s="22" t="s">
        <v>1317</v>
      </c>
      <c r="BG36" s="22" t="s">
        <v>1318</v>
      </c>
      <c r="BH36" s="22" t="s">
        <v>1309</v>
      </c>
      <c r="BI36" s="22" t="s">
        <v>1309</v>
      </c>
      <c r="BJ36" s="22" t="s">
        <v>1317</v>
      </c>
      <c r="BK36" s="22" t="s">
        <v>1311</v>
      </c>
      <c r="BL36" s="22" t="s">
        <v>1317</v>
      </c>
      <c r="BM36" s="22" t="s">
        <v>1318</v>
      </c>
      <c r="BN36" s="22" t="s">
        <v>1317</v>
      </c>
      <c r="BO36" s="22" t="s">
        <v>1318</v>
      </c>
      <c r="BP36" s="22" t="s">
        <v>1309</v>
      </c>
      <c r="BQ36" s="22" t="s">
        <v>1309</v>
      </c>
      <c r="BR36" s="22" t="s">
        <v>1309</v>
      </c>
      <c r="BS36" s="22" t="s">
        <v>1309</v>
      </c>
      <c r="BT36" s="22" t="s">
        <v>1309</v>
      </c>
      <c r="BU36" s="22" t="s">
        <v>1309</v>
      </c>
      <c r="BV36" s="22" t="s">
        <v>1317</v>
      </c>
      <c r="BW36" s="22" t="s">
        <v>1318</v>
      </c>
      <c r="BX36" s="20">
        <v>174</v>
      </c>
      <c r="BY36" s="20">
        <v>2</v>
      </c>
      <c r="BZ36" s="20">
        <v>77</v>
      </c>
      <c r="CA36" s="20">
        <v>25</v>
      </c>
      <c r="CB36" s="20">
        <v>10</v>
      </c>
      <c r="CC36" s="20">
        <v>2013</v>
      </c>
      <c r="CD36" s="22" t="s">
        <v>1331</v>
      </c>
      <c r="CE36" s="22" t="s">
        <v>1331</v>
      </c>
      <c r="CF36" s="22" t="s">
        <v>1331</v>
      </c>
      <c r="CG36" s="22" t="s">
        <v>1331</v>
      </c>
      <c r="CH36" s="22" t="s">
        <v>1341</v>
      </c>
      <c r="CI36" s="22" t="s">
        <v>1352</v>
      </c>
      <c r="CJ36" s="149" t="s">
        <v>1402</v>
      </c>
      <c r="CK36" s="241" t="s">
        <v>1124</v>
      </c>
    </row>
    <row r="37" spans="1:89" ht="15" customHeight="1" x14ac:dyDescent="0.35">
      <c r="A37" s="17"/>
      <c r="B37" s="313">
        <v>96005</v>
      </c>
      <c r="C37" s="8" t="s">
        <v>994</v>
      </c>
      <c r="D37" s="18">
        <v>9</v>
      </c>
      <c r="E37" s="131" t="s">
        <v>1309</v>
      </c>
      <c r="F37" s="22" t="s">
        <v>1309</v>
      </c>
      <c r="G37" s="132" t="s">
        <v>1309</v>
      </c>
      <c r="H37" s="22" t="s">
        <v>1311</v>
      </c>
      <c r="I37" s="22" t="s">
        <v>1315</v>
      </c>
      <c r="J37" s="22" t="s">
        <v>1315</v>
      </c>
      <c r="K37" s="22" t="s">
        <v>1319</v>
      </c>
      <c r="L37" s="22" t="s">
        <v>1309</v>
      </c>
      <c r="M37" s="133" t="s">
        <v>1311</v>
      </c>
      <c r="N37" s="22" t="s">
        <v>1311</v>
      </c>
      <c r="O37" s="22" t="s">
        <v>1314</v>
      </c>
      <c r="P37" s="22" t="s">
        <v>1318</v>
      </c>
      <c r="Q37" s="20">
        <v>19.8</v>
      </c>
      <c r="R37" s="20">
        <v>19.8</v>
      </c>
      <c r="S37" s="20">
        <v>0</v>
      </c>
      <c r="T37" s="20">
        <v>0</v>
      </c>
      <c r="U37" s="20">
        <v>0</v>
      </c>
      <c r="V37" s="20">
        <v>0</v>
      </c>
      <c r="W37" s="20">
        <v>0</v>
      </c>
      <c r="X37" s="20">
        <v>0</v>
      </c>
      <c r="Y37" s="20">
        <v>0</v>
      </c>
      <c r="Z37" s="20">
        <v>0</v>
      </c>
      <c r="AA37" s="20" t="s">
        <v>1317</v>
      </c>
      <c r="AB37" s="22" t="s">
        <v>1311</v>
      </c>
      <c r="AC37" s="20">
        <v>0</v>
      </c>
      <c r="AD37" s="20">
        <v>0</v>
      </c>
      <c r="AE37" s="20">
        <v>1</v>
      </c>
      <c r="AF37" s="20">
        <v>0</v>
      </c>
      <c r="AG37" s="20">
        <v>0</v>
      </c>
      <c r="AH37" s="20">
        <v>2</v>
      </c>
      <c r="AI37" s="328" t="s">
        <v>1328</v>
      </c>
      <c r="AJ37" s="328" t="s">
        <v>1328</v>
      </c>
      <c r="AK37" s="328">
        <v>3.6363636363636362</v>
      </c>
      <c r="AL37" s="22" t="s">
        <v>1329</v>
      </c>
      <c r="AM37" s="22" t="s">
        <v>1330</v>
      </c>
      <c r="AN37" s="22" t="s">
        <v>1315</v>
      </c>
      <c r="AO37" s="22" t="s">
        <v>1315</v>
      </c>
      <c r="AP37" s="22" t="s">
        <v>1315</v>
      </c>
      <c r="AQ37" s="22" t="s">
        <v>1315</v>
      </c>
      <c r="AR37" s="22" t="s">
        <v>1317</v>
      </c>
      <c r="AS37" s="22" t="s">
        <v>1318</v>
      </c>
      <c r="AT37" s="22" t="s">
        <v>1309</v>
      </c>
      <c r="AU37" s="22" t="s">
        <v>1309</v>
      </c>
      <c r="AV37" s="22" t="s">
        <v>1317</v>
      </c>
      <c r="AW37" s="22" t="s">
        <v>1311</v>
      </c>
      <c r="AX37" s="22" t="s">
        <v>1317</v>
      </c>
      <c r="AY37" s="22" t="s">
        <v>1318</v>
      </c>
      <c r="AZ37" s="22" t="s">
        <v>1319</v>
      </c>
      <c r="BA37" s="22" t="s">
        <v>1311</v>
      </c>
      <c r="BB37" s="22" t="s">
        <v>1309</v>
      </c>
      <c r="BC37" s="22" t="s">
        <v>1309</v>
      </c>
      <c r="BD37" s="22" t="s">
        <v>1317</v>
      </c>
      <c r="BE37" s="22" t="s">
        <v>1318</v>
      </c>
      <c r="BF37" s="22" t="s">
        <v>1317</v>
      </c>
      <c r="BG37" s="22" t="s">
        <v>1318</v>
      </c>
      <c r="BH37" s="22" t="s">
        <v>1317</v>
      </c>
      <c r="BI37" s="22" t="s">
        <v>1318</v>
      </c>
      <c r="BJ37" s="22" t="s">
        <v>1317</v>
      </c>
      <c r="BK37" s="22" t="s">
        <v>1311</v>
      </c>
      <c r="BL37" s="22" t="s">
        <v>1319</v>
      </c>
      <c r="BM37" s="22" t="s">
        <v>1311</v>
      </c>
      <c r="BN37" s="22" t="s">
        <v>1309</v>
      </c>
      <c r="BO37" s="22" t="s">
        <v>1309</v>
      </c>
      <c r="BP37" s="22" t="s">
        <v>1315</v>
      </c>
      <c r="BQ37" s="22" t="s">
        <v>1315</v>
      </c>
      <c r="BR37" s="22" t="s">
        <v>1317</v>
      </c>
      <c r="BS37" s="22" t="s">
        <v>1318</v>
      </c>
      <c r="BT37" s="22" t="s">
        <v>1315</v>
      </c>
      <c r="BU37" s="22" t="s">
        <v>1315</v>
      </c>
      <c r="BV37" s="22" t="s">
        <v>1317</v>
      </c>
      <c r="BW37" s="22" t="s">
        <v>1311</v>
      </c>
      <c r="BX37" s="20">
        <v>2</v>
      </c>
      <c r="BY37" s="20">
        <v>0</v>
      </c>
      <c r="BZ37" s="20">
        <v>23</v>
      </c>
      <c r="CA37" s="20">
        <v>0</v>
      </c>
      <c r="CB37" s="20">
        <v>0</v>
      </c>
      <c r="CC37" s="20">
        <v>199</v>
      </c>
      <c r="CD37" s="22" t="s">
        <v>1317</v>
      </c>
      <c r="CE37" s="22" t="s">
        <v>1318</v>
      </c>
      <c r="CF37" s="22" t="s">
        <v>1317</v>
      </c>
      <c r="CG37" s="22" t="s">
        <v>1318</v>
      </c>
      <c r="CH37" s="22" t="s">
        <v>1317</v>
      </c>
      <c r="CI37" s="22" t="s">
        <v>1318</v>
      </c>
      <c r="CJ37" s="149" t="s">
        <v>1502</v>
      </c>
      <c r="CK37" s="241" t="s">
        <v>1124</v>
      </c>
    </row>
    <row r="38" spans="1:89" ht="15" customHeight="1" x14ac:dyDescent="0.35">
      <c r="A38" s="17"/>
      <c r="B38" s="313">
        <v>78050</v>
      </c>
      <c r="C38" s="8" t="s">
        <v>773</v>
      </c>
      <c r="D38" s="18">
        <v>15</v>
      </c>
      <c r="E38" s="131"/>
      <c r="F38" s="22"/>
      <c r="G38" s="132"/>
      <c r="H38" s="22"/>
      <c r="I38" s="22"/>
      <c r="J38" s="22"/>
      <c r="K38" s="22"/>
      <c r="L38" s="22"/>
      <c r="M38" s="133"/>
      <c r="N38" s="22"/>
      <c r="O38" s="22"/>
      <c r="P38" s="22"/>
      <c r="Q38" s="20"/>
      <c r="R38" s="20"/>
      <c r="S38" s="20"/>
      <c r="T38" s="20"/>
      <c r="U38" s="20"/>
      <c r="V38" s="20"/>
      <c r="W38" s="20"/>
      <c r="X38" s="20"/>
      <c r="Y38" s="20"/>
      <c r="Z38" s="20"/>
      <c r="AA38" s="20"/>
      <c r="AB38" s="22"/>
      <c r="AC38" s="20"/>
      <c r="AD38" s="20"/>
      <c r="AE38" s="20"/>
      <c r="AF38" s="20" t="s">
        <v>1124</v>
      </c>
      <c r="AG38" s="20" t="s">
        <v>1124</v>
      </c>
      <c r="AH38" s="20" t="s">
        <v>1124</v>
      </c>
      <c r="AI38" s="328"/>
      <c r="AJ38" s="328"/>
      <c r="AK38" s="328"/>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0"/>
      <c r="BY38" s="20"/>
      <c r="BZ38" s="20"/>
      <c r="CA38" s="20"/>
      <c r="CB38" s="20"/>
      <c r="CC38" s="20"/>
      <c r="CD38" s="22"/>
      <c r="CE38" s="22"/>
      <c r="CF38" s="22"/>
      <c r="CG38" s="22"/>
      <c r="CH38" s="22"/>
      <c r="CI38" s="22"/>
      <c r="CJ38" s="149"/>
      <c r="CK38" s="241"/>
    </row>
    <row r="39" spans="1:89" ht="15" customHeight="1" x14ac:dyDescent="0.35">
      <c r="A39" s="17"/>
      <c r="B39" s="313">
        <v>44045</v>
      </c>
      <c r="C39" s="8" t="s">
        <v>404</v>
      </c>
      <c r="D39" s="18">
        <v>5</v>
      </c>
      <c r="E39" s="131"/>
      <c r="F39" s="22"/>
      <c r="G39" s="132"/>
      <c r="H39" s="22"/>
      <c r="I39" s="22"/>
      <c r="J39" s="22"/>
      <c r="K39" s="22"/>
      <c r="L39" s="22"/>
      <c r="M39" s="133"/>
      <c r="N39" s="22"/>
      <c r="O39" s="22"/>
      <c r="P39" s="22"/>
      <c r="Q39" s="20"/>
      <c r="R39" s="20"/>
      <c r="S39" s="20"/>
      <c r="T39" s="20"/>
      <c r="U39" s="20"/>
      <c r="V39" s="20"/>
      <c r="W39" s="20"/>
      <c r="X39" s="20"/>
      <c r="Y39" s="20"/>
      <c r="Z39" s="20"/>
      <c r="AA39" s="20"/>
      <c r="AB39" s="22"/>
      <c r="AC39" s="20"/>
      <c r="AD39" s="20"/>
      <c r="AE39" s="20"/>
      <c r="AF39" s="20" t="s">
        <v>1124</v>
      </c>
      <c r="AG39" s="20" t="s">
        <v>1124</v>
      </c>
      <c r="AH39" s="20" t="s">
        <v>1124</v>
      </c>
      <c r="AI39" s="328"/>
      <c r="AJ39" s="328"/>
      <c r="AK39" s="328"/>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0"/>
      <c r="BY39" s="20"/>
      <c r="BZ39" s="20"/>
      <c r="CA39" s="20"/>
      <c r="CB39" s="20"/>
      <c r="CC39" s="20"/>
      <c r="CD39" s="22"/>
      <c r="CE39" s="22"/>
      <c r="CF39" s="22"/>
      <c r="CG39" s="22"/>
      <c r="CH39" s="22"/>
      <c r="CI39" s="22"/>
      <c r="CJ39" s="149"/>
      <c r="CK39" s="241"/>
    </row>
    <row r="40" spans="1:89" ht="15" customHeight="1" x14ac:dyDescent="0.35">
      <c r="A40" s="17"/>
      <c r="B40" s="313">
        <v>88022</v>
      </c>
      <c r="C40" s="8" t="s">
        <v>914</v>
      </c>
      <c r="D40" s="18">
        <v>8</v>
      </c>
      <c r="E40" s="131"/>
      <c r="F40" s="22"/>
      <c r="G40" s="132"/>
      <c r="H40" s="22"/>
      <c r="I40" s="22"/>
      <c r="J40" s="22"/>
      <c r="K40" s="22"/>
      <c r="L40" s="22"/>
      <c r="M40" s="133"/>
      <c r="N40" s="22"/>
      <c r="O40" s="22"/>
      <c r="P40" s="22"/>
      <c r="Q40" s="20"/>
      <c r="R40" s="20"/>
      <c r="S40" s="20"/>
      <c r="T40" s="20"/>
      <c r="U40" s="20"/>
      <c r="V40" s="20"/>
      <c r="W40" s="20"/>
      <c r="X40" s="20"/>
      <c r="Y40" s="20"/>
      <c r="Z40" s="20"/>
      <c r="AA40" s="20"/>
      <c r="AB40" s="22"/>
      <c r="AC40" s="20"/>
      <c r="AD40" s="20"/>
      <c r="AE40" s="20"/>
      <c r="AF40" s="20" t="s">
        <v>1124</v>
      </c>
      <c r="AG40" s="20" t="s">
        <v>1124</v>
      </c>
      <c r="AH40" s="20" t="s">
        <v>1124</v>
      </c>
      <c r="AI40" s="328"/>
      <c r="AJ40" s="328"/>
      <c r="AK40" s="328"/>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0"/>
      <c r="BY40" s="20"/>
      <c r="BZ40" s="20"/>
      <c r="CA40" s="20"/>
      <c r="CB40" s="20"/>
      <c r="CC40" s="20"/>
      <c r="CD40" s="22"/>
      <c r="CE40" s="22"/>
      <c r="CF40" s="22"/>
      <c r="CG40" s="22"/>
      <c r="CH40" s="22"/>
      <c r="CI40" s="22"/>
      <c r="CJ40" s="149"/>
      <c r="CK40" s="241"/>
    </row>
    <row r="41" spans="1:89" ht="15" customHeight="1" x14ac:dyDescent="0.35">
      <c r="A41" s="17"/>
      <c r="B41" s="313">
        <v>37210</v>
      </c>
      <c r="C41" s="8" t="s">
        <v>316</v>
      </c>
      <c r="D41" s="18">
        <v>4</v>
      </c>
      <c r="E41" s="131"/>
      <c r="F41" s="22"/>
      <c r="G41" s="132"/>
      <c r="H41" s="22"/>
      <c r="I41" s="22"/>
      <c r="J41" s="22"/>
      <c r="K41" s="22"/>
      <c r="L41" s="22"/>
      <c r="M41" s="133"/>
      <c r="N41" s="22"/>
      <c r="O41" s="22"/>
      <c r="P41" s="22"/>
      <c r="Q41" s="20"/>
      <c r="R41" s="20"/>
      <c r="S41" s="20"/>
      <c r="T41" s="20"/>
      <c r="U41" s="20"/>
      <c r="V41" s="20"/>
      <c r="W41" s="20"/>
      <c r="X41" s="20"/>
      <c r="Y41" s="20"/>
      <c r="Z41" s="20"/>
      <c r="AA41" s="20"/>
      <c r="AB41" s="22"/>
      <c r="AC41" s="20"/>
      <c r="AD41" s="20"/>
      <c r="AE41" s="20"/>
      <c r="AF41" s="20" t="s">
        <v>1124</v>
      </c>
      <c r="AG41" s="20" t="s">
        <v>1124</v>
      </c>
      <c r="AH41" s="20" t="s">
        <v>1124</v>
      </c>
      <c r="AI41" s="328"/>
      <c r="AJ41" s="328"/>
      <c r="AK41" s="328"/>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0"/>
      <c r="BY41" s="20"/>
      <c r="BZ41" s="20"/>
      <c r="CA41" s="20"/>
      <c r="CB41" s="20"/>
      <c r="CC41" s="20"/>
      <c r="CD41" s="22"/>
      <c r="CE41" s="22"/>
      <c r="CF41" s="22"/>
      <c r="CG41" s="22"/>
      <c r="CH41" s="22"/>
      <c r="CI41" s="22"/>
      <c r="CJ41" s="149"/>
      <c r="CK41" s="241"/>
    </row>
    <row r="42" spans="1:89" ht="15" customHeight="1" x14ac:dyDescent="0.35">
      <c r="A42" s="17"/>
      <c r="B42" s="313">
        <v>66107</v>
      </c>
      <c r="C42" s="8" t="s">
        <v>658</v>
      </c>
      <c r="D42" s="18">
        <v>6</v>
      </c>
      <c r="E42" s="131"/>
      <c r="F42" s="22"/>
      <c r="G42" s="132"/>
      <c r="H42" s="22"/>
      <c r="I42" s="22"/>
      <c r="J42" s="22"/>
      <c r="K42" s="22"/>
      <c r="L42" s="22"/>
      <c r="M42" s="133"/>
      <c r="N42" s="22"/>
      <c r="O42" s="22"/>
      <c r="P42" s="22"/>
      <c r="Q42" s="20"/>
      <c r="R42" s="20"/>
      <c r="S42" s="20"/>
      <c r="T42" s="20"/>
      <c r="U42" s="20"/>
      <c r="V42" s="20"/>
      <c r="W42" s="20"/>
      <c r="X42" s="20"/>
      <c r="Y42" s="20"/>
      <c r="Z42" s="20"/>
      <c r="AA42" s="20"/>
      <c r="AB42" s="22"/>
      <c r="AC42" s="20"/>
      <c r="AD42" s="20"/>
      <c r="AE42" s="20"/>
      <c r="AF42" s="20" t="s">
        <v>1124</v>
      </c>
      <c r="AG42" s="20" t="s">
        <v>1124</v>
      </c>
      <c r="AH42" s="20" t="s">
        <v>1124</v>
      </c>
      <c r="AI42" s="328"/>
      <c r="AJ42" s="328"/>
      <c r="AK42" s="328"/>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0"/>
      <c r="BY42" s="20"/>
      <c r="BZ42" s="20"/>
      <c r="CA42" s="20"/>
      <c r="CB42" s="20"/>
      <c r="CC42" s="20"/>
      <c r="CD42" s="22"/>
      <c r="CE42" s="22"/>
      <c r="CF42" s="22"/>
      <c r="CG42" s="22"/>
      <c r="CH42" s="22"/>
      <c r="CI42" s="22"/>
      <c r="CJ42" s="149"/>
      <c r="CK42" s="241"/>
    </row>
    <row r="43" spans="1:89" ht="15" customHeight="1" x14ac:dyDescent="0.35">
      <c r="A43" s="17"/>
      <c r="B43" s="313">
        <v>85020</v>
      </c>
      <c r="C43" s="8" t="s">
        <v>873</v>
      </c>
      <c r="D43" s="18">
        <v>8</v>
      </c>
      <c r="E43" s="131" t="s">
        <v>1309</v>
      </c>
      <c r="F43" s="22" t="s">
        <v>1309</v>
      </c>
      <c r="G43" s="132" t="s">
        <v>1309</v>
      </c>
      <c r="H43" s="22" t="s">
        <v>1311</v>
      </c>
      <c r="I43" s="22" t="s">
        <v>1327</v>
      </c>
      <c r="J43" s="22" t="s">
        <v>1327</v>
      </c>
      <c r="K43" s="22" t="s">
        <v>1309</v>
      </c>
      <c r="L43" s="22" t="s">
        <v>1309</v>
      </c>
      <c r="M43" s="133" t="s">
        <v>1311</v>
      </c>
      <c r="N43" s="22" t="s">
        <v>1311</v>
      </c>
      <c r="O43" s="22" t="s">
        <v>1314</v>
      </c>
      <c r="P43" s="22" t="s">
        <v>1318</v>
      </c>
      <c r="Q43" s="20">
        <v>0</v>
      </c>
      <c r="R43" s="20">
        <v>0</v>
      </c>
      <c r="S43" s="20">
        <v>10.835000000000001</v>
      </c>
      <c r="T43" s="20">
        <v>15</v>
      </c>
      <c r="U43" s="20">
        <v>0.2</v>
      </c>
      <c r="V43" s="20">
        <v>0.2</v>
      </c>
      <c r="W43" s="20">
        <v>0</v>
      </c>
      <c r="X43" s="20">
        <v>0</v>
      </c>
      <c r="Y43" s="20">
        <v>0</v>
      </c>
      <c r="Z43" s="20">
        <v>0</v>
      </c>
      <c r="AA43" s="20" t="s">
        <v>1319</v>
      </c>
      <c r="AB43" s="22" t="s">
        <v>1311</v>
      </c>
      <c r="AC43" s="20">
        <v>2</v>
      </c>
      <c r="AD43" s="20">
        <v>1</v>
      </c>
      <c r="AE43" s="20">
        <v>2</v>
      </c>
      <c r="AF43" s="20">
        <v>1</v>
      </c>
      <c r="AG43" s="20">
        <v>2</v>
      </c>
      <c r="AH43" s="20">
        <v>10</v>
      </c>
      <c r="AI43" s="328">
        <v>27.689325764917626</v>
      </c>
      <c r="AJ43" s="328">
        <v>3.5460992907801416</v>
      </c>
      <c r="AK43" s="328">
        <v>7.0921985815602833</v>
      </c>
      <c r="AL43" s="22" t="s">
        <v>1329</v>
      </c>
      <c r="AM43" s="22" t="s">
        <v>1330</v>
      </c>
      <c r="AN43" s="22" t="s">
        <v>1317</v>
      </c>
      <c r="AO43" s="22" t="s">
        <v>1318</v>
      </c>
      <c r="AP43" s="22" t="s">
        <v>1318</v>
      </c>
      <c r="AQ43" s="22" t="s">
        <v>1318</v>
      </c>
      <c r="AR43" s="22" t="s">
        <v>1317</v>
      </c>
      <c r="AS43" s="22" t="s">
        <v>1318</v>
      </c>
      <c r="AT43" s="22" t="s">
        <v>1317</v>
      </c>
      <c r="AU43" s="22" t="s">
        <v>1318</v>
      </c>
      <c r="AV43" s="22" t="s">
        <v>1317</v>
      </c>
      <c r="AW43" s="22" t="s">
        <v>1318</v>
      </c>
      <c r="AX43" s="22" t="s">
        <v>1317</v>
      </c>
      <c r="AY43" s="22" t="s">
        <v>1318</v>
      </c>
      <c r="AZ43" s="22" t="s">
        <v>1309</v>
      </c>
      <c r="BA43" s="22" t="s">
        <v>1309</v>
      </c>
      <c r="BB43" s="22" t="s">
        <v>1309</v>
      </c>
      <c r="BC43" s="22" t="s">
        <v>1309</v>
      </c>
      <c r="BD43" s="22" t="s">
        <v>1309</v>
      </c>
      <c r="BE43" s="22" t="s">
        <v>1309</v>
      </c>
      <c r="BF43" s="22" t="s">
        <v>1319</v>
      </c>
      <c r="BG43" s="22" t="s">
        <v>1309</v>
      </c>
      <c r="BH43" s="22" t="s">
        <v>1309</v>
      </c>
      <c r="BI43" s="22" t="s">
        <v>1309</v>
      </c>
      <c r="BJ43" s="22" t="s">
        <v>1317</v>
      </c>
      <c r="BK43" s="22" t="s">
        <v>1318</v>
      </c>
      <c r="BL43" s="22" t="s">
        <v>1317</v>
      </c>
      <c r="BM43" s="22" t="s">
        <v>1318</v>
      </c>
      <c r="BN43" s="22" t="s">
        <v>1309</v>
      </c>
      <c r="BO43" s="22" t="s">
        <v>1309</v>
      </c>
      <c r="BP43" s="22" t="s">
        <v>1309</v>
      </c>
      <c r="BQ43" s="22" t="s">
        <v>1309</v>
      </c>
      <c r="BR43" s="22" t="s">
        <v>1309</v>
      </c>
      <c r="BS43" s="22" t="s">
        <v>1309</v>
      </c>
      <c r="BT43" s="22" t="s">
        <v>1309</v>
      </c>
      <c r="BU43" s="22" t="s">
        <v>1309</v>
      </c>
      <c r="BV43" s="22" t="s">
        <v>1317</v>
      </c>
      <c r="BW43" s="22" t="s">
        <v>1318</v>
      </c>
      <c r="BX43" s="20">
        <v>15</v>
      </c>
      <c r="BY43" s="20">
        <v>9</v>
      </c>
      <c r="BZ43" s="20">
        <v>4</v>
      </c>
      <c r="CA43" s="20">
        <v>16</v>
      </c>
      <c r="CB43" s="20">
        <v>3</v>
      </c>
      <c r="CC43" s="20">
        <v>242</v>
      </c>
      <c r="CD43" s="22" t="s">
        <v>1345</v>
      </c>
      <c r="CE43" s="22" t="s">
        <v>1331</v>
      </c>
      <c r="CF43" s="22" t="s">
        <v>1320</v>
      </c>
      <c r="CG43" s="22" t="s">
        <v>1321</v>
      </c>
      <c r="CH43" s="22" t="s">
        <v>1317</v>
      </c>
      <c r="CI43" s="22" t="s">
        <v>1315</v>
      </c>
      <c r="CJ43" s="149" t="s">
        <v>1437</v>
      </c>
      <c r="CK43" s="241" t="s">
        <v>1124</v>
      </c>
    </row>
    <row r="44" spans="1:89" ht="15" customHeight="1" x14ac:dyDescent="0.35">
      <c r="A44" s="17"/>
      <c r="B44" s="313">
        <v>27028</v>
      </c>
      <c r="C44" s="8" t="s">
        <v>180</v>
      </c>
      <c r="D44" s="18">
        <v>12</v>
      </c>
      <c r="E44" s="131" t="s">
        <v>1309</v>
      </c>
      <c r="F44" s="22" t="s">
        <v>1309</v>
      </c>
      <c r="G44" s="132" t="s">
        <v>1309</v>
      </c>
      <c r="H44" s="22" t="s">
        <v>1311</v>
      </c>
      <c r="I44" s="22" t="s">
        <v>1327</v>
      </c>
      <c r="J44" s="22" t="s">
        <v>1327</v>
      </c>
      <c r="K44" s="22" t="s">
        <v>1314</v>
      </c>
      <c r="L44" s="22" t="s">
        <v>1311</v>
      </c>
      <c r="M44" s="133" t="s">
        <v>1311</v>
      </c>
      <c r="N44" s="22" t="s">
        <v>1311</v>
      </c>
      <c r="O44" s="22" t="s">
        <v>1319</v>
      </c>
      <c r="P44" s="22" t="s">
        <v>1311</v>
      </c>
      <c r="Q44" s="20">
        <v>0</v>
      </c>
      <c r="R44" s="20">
        <v>0</v>
      </c>
      <c r="S44" s="20">
        <v>42.2</v>
      </c>
      <c r="T44" s="20">
        <v>42.2</v>
      </c>
      <c r="U44" s="20">
        <v>21.1</v>
      </c>
      <c r="V44" s="20">
        <v>21.1</v>
      </c>
      <c r="W44" s="20">
        <v>0</v>
      </c>
      <c r="X44" s="20">
        <v>0</v>
      </c>
      <c r="Y44" s="20">
        <v>0</v>
      </c>
      <c r="Z44" s="20">
        <v>0</v>
      </c>
      <c r="AA44" s="20" t="s">
        <v>1309</v>
      </c>
      <c r="AB44" s="22" t="s">
        <v>1309</v>
      </c>
      <c r="AC44" s="20">
        <v>10</v>
      </c>
      <c r="AD44" s="20">
        <v>0</v>
      </c>
      <c r="AE44" s="20">
        <v>0</v>
      </c>
      <c r="AF44" s="20">
        <v>1</v>
      </c>
      <c r="AG44" s="20">
        <v>0</v>
      </c>
      <c r="AH44" s="20">
        <v>0</v>
      </c>
      <c r="AI44" s="328">
        <v>24.354603019970774</v>
      </c>
      <c r="AJ44" s="328" t="s">
        <v>1328</v>
      </c>
      <c r="AK44" s="328" t="s">
        <v>1328</v>
      </c>
      <c r="AL44" s="22" t="s">
        <v>1329</v>
      </c>
      <c r="AM44" s="22" t="s">
        <v>1330</v>
      </c>
      <c r="AN44" s="22" t="s">
        <v>1317</v>
      </c>
      <c r="AO44" s="22" t="s">
        <v>1318</v>
      </c>
      <c r="AP44" s="22" t="s">
        <v>1318</v>
      </c>
      <c r="AQ44" s="22" t="s">
        <v>1318</v>
      </c>
      <c r="AR44" s="22" t="s">
        <v>1317</v>
      </c>
      <c r="AS44" s="22" t="s">
        <v>1318</v>
      </c>
      <c r="AT44" s="22" t="s">
        <v>1317</v>
      </c>
      <c r="AU44" s="22" t="s">
        <v>1318</v>
      </c>
      <c r="AV44" s="22" t="s">
        <v>1309</v>
      </c>
      <c r="AW44" s="22" t="s">
        <v>1309</v>
      </c>
      <c r="AX44" s="22" t="s">
        <v>1317</v>
      </c>
      <c r="AY44" s="22" t="s">
        <v>1318</v>
      </c>
      <c r="AZ44" s="22" t="s">
        <v>1309</v>
      </c>
      <c r="BA44" s="22" t="s">
        <v>1309</v>
      </c>
      <c r="BB44" s="22" t="s">
        <v>1317</v>
      </c>
      <c r="BC44" s="22" t="s">
        <v>1318</v>
      </c>
      <c r="BD44" s="22" t="s">
        <v>1317</v>
      </c>
      <c r="BE44" s="22" t="s">
        <v>1318</v>
      </c>
      <c r="BF44" s="22" t="s">
        <v>1309</v>
      </c>
      <c r="BG44" s="22" t="s">
        <v>1309</v>
      </c>
      <c r="BH44" s="22" t="s">
        <v>1317</v>
      </c>
      <c r="BI44" s="22" t="s">
        <v>1311</v>
      </c>
      <c r="BJ44" s="22" t="s">
        <v>1317</v>
      </c>
      <c r="BK44" s="22" t="s">
        <v>1318</v>
      </c>
      <c r="BL44" s="22" t="s">
        <v>1309</v>
      </c>
      <c r="BM44" s="22" t="s">
        <v>1318</v>
      </c>
      <c r="BN44" s="22" t="s">
        <v>1309</v>
      </c>
      <c r="BO44" s="22" t="s">
        <v>1309</v>
      </c>
      <c r="BP44" s="22" t="s">
        <v>1317</v>
      </c>
      <c r="BQ44" s="22" t="s">
        <v>1318</v>
      </c>
      <c r="BR44" s="22" t="s">
        <v>1309</v>
      </c>
      <c r="BS44" s="22" t="s">
        <v>1309</v>
      </c>
      <c r="BT44" s="22" t="s">
        <v>1309</v>
      </c>
      <c r="BU44" s="22" t="s">
        <v>1309</v>
      </c>
      <c r="BV44" s="22" t="s">
        <v>1317</v>
      </c>
      <c r="BW44" s="22" t="s">
        <v>1318</v>
      </c>
      <c r="BX44" s="20">
        <v>113</v>
      </c>
      <c r="BY44" s="20">
        <v>0</v>
      </c>
      <c r="BZ44" s="20">
        <v>41</v>
      </c>
      <c r="CA44" s="20">
        <v>64</v>
      </c>
      <c r="CB44" s="20">
        <v>0</v>
      </c>
      <c r="CC44" s="20">
        <v>1750</v>
      </c>
      <c r="CD44" s="22" t="s">
        <v>1345</v>
      </c>
      <c r="CE44" s="22" t="s">
        <v>1321</v>
      </c>
      <c r="CF44" s="22" t="s">
        <v>1331</v>
      </c>
      <c r="CG44" s="22" t="s">
        <v>1331</v>
      </c>
      <c r="CH44" s="22" t="s">
        <v>1317</v>
      </c>
      <c r="CI44" s="22" t="s">
        <v>1318</v>
      </c>
      <c r="CJ44" s="149" t="s">
        <v>1124</v>
      </c>
      <c r="CK44" s="241" t="s">
        <v>1503</v>
      </c>
    </row>
    <row r="45" spans="1:89" ht="15" customHeight="1" x14ac:dyDescent="0.35">
      <c r="A45" s="17"/>
      <c r="B45" s="313">
        <v>70022</v>
      </c>
      <c r="C45" s="8" t="s">
        <v>699</v>
      </c>
      <c r="D45" s="18">
        <v>16</v>
      </c>
      <c r="E45" s="131" t="s">
        <v>1309</v>
      </c>
      <c r="F45" s="22" t="s">
        <v>1309</v>
      </c>
      <c r="G45" s="132" t="s">
        <v>1309</v>
      </c>
      <c r="H45" s="22" t="s">
        <v>1311</v>
      </c>
      <c r="I45" s="22" t="s">
        <v>1327</v>
      </c>
      <c r="J45" s="22" t="s">
        <v>1327</v>
      </c>
      <c r="K45" s="22" t="s">
        <v>1314</v>
      </c>
      <c r="L45" s="22" t="s">
        <v>1311</v>
      </c>
      <c r="M45" s="133" t="s">
        <v>1311</v>
      </c>
      <c r="N45" s="22" t="s">
        <v>1311</v>
      </c>
      <c r="O45" s="22" t="s">
        <v>1309</v>
      </c>
      <c r="P45" s="22" t="s">
        <v>1309</v>
      </c>
      <c r="Q45" s="20">
        <v>0</v>
      </c>
      <c r="R45" s="20">
        <v>0</v>
      </c>
      <c r="S45" s="20">
        <v>95.061000000000007</v>
      </c>
      <c r="T45" s="20">
        <v>95.061000000000007</v>
      </c>
      <c r="U45" s="20">
        <v>20</v>
      </c>
      <c r="V45" s="20">
        <v>50</v>
      </c>
      <c r="W45" s="20">
        <v>0</v>
      </c>
      <c r="X45" s="20">
        <v>0</v>
      </c>
      <c r="Y45" s="20">
        <v>0</v>
      </c>
      <c r="Z45" s="20">
        <v>0</v>
      </c>
      <c r="AA45" s="20" t="s">
        <v>1309</v>
      </c>
      <c r="AB45" s="22" t="s">
        <v>1311</v>
      </c>
      <c r="AC45" s="20">
        <v>30</v>
      </c>
      <c r="AD45" s="20">
        <v>0</v>
      </c>
      <c r="AE45" s="20">
        <v>0</v>
      </c>
      <c r="AF45" s="20">
        <v>5</v>
      </c>
      <c r="AG45" s="20">
        <v>0</v>
      </c>
      <c r="AH45" s="20">
        <v>0</v>
      </c>
      <c r="AI45" s="328">
        <v>31.558683371729728</v>
      </c>
      <c r="AJ45" s="328" t="s">
        <v>1328</v>
      </c>
      <c r="AK45" s="328" t="s">
        <v>1328</v>
      </c>
      <c r="AL45" s="22" t="s">
        <v>1338</v>
      </c>
      <c r="AM45" s="22" t="s">
        <v>1339</v>
      </c>
      <c r="AN45" s="22" t="s">
        <v>1317</v>
      </c>
      <c r="AO45" s="22" t="s">
        <v>1318</v>
      </c>
      <c r="AP45" s="22" t="s">
        <v>1318</v>
      </c>
      <c r="AQ45" s="22" t="s">
        <v>1318</v>
      </c>
      <c r="AR45" s="22" t="s">
        <v>1317</v>
      </c>
      <c r="AS45" s="22" t="s">
        <v>1318</v>
      </c>
      <c r="AT45" s="22" t="s">
        <v>1309</v>
      </c>
      <c r="AU45" s="22" t="s">
        <v>1309</v>
      </c>
      <c r="AV45" s="22" t="s">
        <v>1317</v>
      </c>
      <c r="AW45" s="22" t="s">
        <v>1318</v>
      </c>
      <c r="AX45" s="22" t="s">
        <v>1317</v>
      </c>
      <c r="AY45" s="22" t="s">
        <v>1318</v>
      </c>
      <c r="AZ45" s="22" t="s">
        <v>1319</v>
      </c>
      <c r="BA45" s="22" t="s">
        <v>1311</v>
      </c>
      <c r="BB45" s="22" t="s">
        <v>1319</v>
      </c>
      <c r="BC45" s="22" t="s">
        <v>1311</v>
      </c>
      <c r="BD45" s="22" t="s">
        <v>1317</v>
      </c>
      <c r="BE45" s="22" t="s">
        <v>1318</v>
      </c>
      <c r="BF45" s="22" t="s">
        <v>1317</v>
      </c>
      <c r="BG45" s="22" t="s">
        <v>1311</v>
      </c>
      <c r="BH45" s="22" t="s">
        <v>1309</v>
      </c>
      <c r="BI45" s="22" t="s">
        <v>1309</v>
      </c>
      <c r="BJ45" s="22" t="s">
        <v>1317</v>
      </c>
      <c r="BK45" s="22" t="s">
        <v>1318</v>
      </c>
      <c r="BL45" s="22" t="s">
        <v>1317</v>
      </c>
      <c r="BM45" s="22" t="s">
        <v>1318</v>
      </c>
      <c r="BN45" s="22" t="s">
        <v>1309</v>
      </c>
      <c r="BO45" s="22" t="s">
        <v>1309</v>
      </c>
      <c r="BP45" s="22" t="s">
        <v>1317</v>
      </c>
      <c r="BQ45" s="22" t="s">
        <v>1318</v>
      </c>
      <c r="BR45" s="22" t="s">
        <v>1309</v>
      </c>
      <c r="BS45" s="22" t="s">
        <v>1309</v>
      </c>
      <c r="BT45" s="22" t="s">
        <v>1317</v>
      </c>
      <c r="BU45" s="22" t="s">
        <v>1318</v>
      </c>
      <c r="BV45" s="22" t="s">
        <v>1317</v>
      </c>
      <c r="BW45" s="22" t="s">
        <v>1318</v>
      </c>
      <c r="BX45" s="20">
        <v>44</v>
      </c>
      <c r="BY45" s="20">
        <v>0</v>
      </c>
      <c r="BZ45" s="20">
        <v>400</v>
      </c>
      <c r="CA45" s="20">
        <v>0</v>
      </c>
      <c r="CB45" s="20">
        <v>0</v>
      </c>
      <c r="CC45" s="20">
        <v>6896</v>
      </c>
      <c r="CD45" s="22" t="s">
        <v>1317</v>
      </c>
      <c r="CE45" s="22" t="s">
        <v>1340</v>
      </c>
      <c r="CF45" s="22" t="s">
        <v>1317</v>
      </c>
      <c r="CG45" s="22" t="s">
        <v>1340</v>
      </c>
      <c r="CH45" s="22" t="s">
        <v>1317</v>
      </c>
      <c r="CI45" s="22" t="s">
        <v>1318</v>
      </c>
      <c r="CJ45" s="149" t="s">
        <v>1443</v>
      </c>
      <c r="CK45" s="241" t="s">
        <v>1444</v>
      </c>
    </row>
    <row r="46" spans="1:89" ht="15" customHeight="1" x14ac:dyDescent="0.35">
      <c r="A46" s="17"/>
      <c r="B46" s="313">
        <v>31008</v>
      </c>
      <c r="C46" s="8" t="s">
        <v>237</v>
      </c>
      <c r="D46" s="18">
        <v>12</v>
      </c>
      <c r="E46" s="131" t="s">
        <v>1309</v>
      </c>
      <c r="F46" s="22" t="s">
        <v>1309</v>
      </c>
      <c r="G46" s="132" t="s">
        <v>1309</v>
      </c>
      <c r="H46" s="22" t="s">
        <v>1311</v>
      </c>
      <c r="I46" s="22" t="s">
        <v>1349</v>
      </c>
      <c r="J46" s="22" t="s">
        <v>1405</v>
      </c>
      <c r="K46" s="22" t="s">
        <v>1309</v>
      </c>
      <c r="L46" s="22" t="s">
        <v>1309</v>
      </c>
      <c r="M46" s="133" t="s">
        <v>1311</v>
      </c>
      <c r="N46" s="22" t="s">
        <v>1311</v>
      </c>
      <c r="O46" s="22" t="s">
        <v>1314</v>
      </c>
      <c r="P46" s="22" t="s">
        <v>1318</v>
      </c>
      <c r="Q46" s="20">
        <v>0</v>
      </c>
      <c r="R46" s="20">
        <v>0</v>
      </c>
      <c r="S46" s="20">
        <v>0</v>
      </c>
      <c r="T46" s="20">
        <v>0</v>
      </c>
      <c r="U46" s="20">
        <v>4.3499999999999996</v>
      </c>
      <c r="V46" s="20">
        <v>4.3499999999999996</v>
      </c>
      <c r="W46" s="20">
        <v>0</v>
      </c>
      <c r="X46" s="20">
        <v>0</v>
      </c>
      <c r="Y46" s="20">
        <v>0</v>
      </c>
      <c r="Z46" s="20">
        <v>0</v>
      </c>
      <c r="AA46" s="20" t="s">
        <v>1319</v>
      </c>
      <c r="AB46" s="22" t="s">
        <v>1311</v>
      </c>
      <c r="AC46" s="20">
        <v>0</v>
      </c>
      <c r="AD46" s="20">
        <v>0</v>
      </c>
      <c r="AE46" s="20">
        <v>0</v>
      </c>
      <c r="AF46" s="20">
        <v>0</v>
      </c>
      <c r="AG46" s="20">
        <v>0</v>
      </c>
      <c r="AH46" s="20">
        <v>0</v>
      </c>
      <c r="AI46" s="328" t="s">
        <v>1328</v>
      </c>
      <c r="AJ46" s="328" t="s">
        <v>1328</v>
      </c>
      <c r="AK46" s="328" t="s">
        <v>1328</v>
      </c>
      <c r="AL46" s="22" t="s">
        <v>1329</v>
      </c>
      <c r="AM46" s="22" t="s">
        <v>1330</v>
      </c>
      <c r="AN46" s="22" t="s">
        <v>1317</v>
      </c>
      <c r="AO46" s="22" t="s">
        <v>1318</v>
      </c>
      <c r="AP46" s="22" t="s">
        <v>1318</v>
      </c>
      <c r="AQ46" s="22" t="s">
        <v>1318</v>
      </c>
      <c r="AR46" s="22" t="s">
        <v>1317</v>
      </c>
      <c r="AS46" s="22" t="s">
        <v>1318</v>
      </c>
      <c r="AT46" s="22" t="s">
        <v>1309</v>
      </c>
      <c r="AU46" s="22" t="s">
        <v>1309</v>
      </c>
      <c r="AV46" s="22" t="s">
        <v>1317</v>
      </c>
      <c r="AW46" s="22" t="s">
        <v>1318</v>
      </c>
      <c r="AX46" s="22" t="s">
        <v>1317</v>
      </c>
      <c r="AY46" s="22" t="s">
        <v>1318</v>
      </c>
      <c r="AZ46" s="22" t="s">
        <v>1309</v>
      </c>
      <c r="BA46" s="22" t="s">
        <v>1309</v>
      </c>
      <c r="BB46" s="22" t="s">
        <v>1309</v>
      </c>
      <c r="BC46" s="22" t="s">
        <v>1309</v>
      </c>
      <c r="BD46" s="22" t="s">
        <v>1317</v>
      </c>
      <c r="BE46" s="22" t="s">
        <v>1318</v>
      </c>
      <c r="BF46" s="22" t="s">
        <v>1317</v>
      </c>
      <c r="BG46" s="22" t="s">
        <v>1311</v>
      </c>
      <c r="BH46" s="22" t="s">
        <v>1317</v>
      </c>
      <c r="BI46" s="22" t="s">
        <v>1311</v>
      </c>
      <c r="BJ46" s="22" t="s">
        <v>1317</v>
      </c>
      <c r="BK46" s="22" t="s">
        <v>1318</v>
      </c>
      <c r="BL46" s="22" t="s">
        <v>1317</v>
      </c>
      <c r="BM46" s="22" t="s">
        <v>1318</v>
      </c>
      <c r="BN46" s="22" t="s">
        <v>1317</v>
      </c>
      <c r="BO46" s="22" t="s">
        <v>1318</v>
      </c>
      <c r="BP46" s="22" t="s">
        <v>1315</v>
      </c>
      <c r="BQ46" s="22" t="s">
        <v>1315</v>
      </c>
      <c r="BR46" s="22" t="s">
        <v>1309</v>
      </c>
      <c r="BS46" s="22" t="s">
        <v>1309</v>
      </c>
      <c r="BT46" s="22" t="s">
        <v>1309</v>
      </c>
      <c r="BU46" s="22" t="s">
        <v>1309</v>
      </c>
      <c r="BV46" s="22" t="s">
        <v>1309</v>
      </c>
      <c r="BW46" s="22" t="s">
        <v>1309</v>
      </c>
      <c r="BX46" s="20">
        <v>0</v>
      </c>
      <c r="BY46" s="20">
        <v>0</v>
      </c>
      <c r="BZ46" s="20">
        <v>11</v>
      </c>
      <c r="CA46" s="20">
        <v>0</v>
      </c>
      <c r="CB46" s="20">
        <v>0</v>
      </c>
      <c r="CC46" s="20">
        <v>198</v>
      </c>
      <c r="CD46" s="22" t="s">
        <v>1317</v>
      </c>
      <c r="CE46" s="22" t="s">
        <v>1321</v>
      </c>
      <c r="CF46" s="22" t="s">
        <v>1317</v>
      </c>
      <c r="CG46" s="22" t="s">
        <v>1321</v>
      </c>
      <c r="CH46" s="22" t="s">
        <v>1317</v>
      </c>
      <c r="CI46" s="22" t="s">
        <v>1318</v>
      </c>
      <c r="CJ46" s="149" t="s">
        <v>1124</v>
      </c>
      <c r="CK46" s="241" t="s">
        <v>1359</v>
      </c>
    </row>
    <row r="47" spans="1:89" ht="15" customHeight="1" x14ac:dyDescent="0.35">
      <c r="A47" s="17"/>
      <c r="B47" s="313">
        <v>19105</v>
      </c>
      <c r="C47" s="8" t="s">
        <v>135</v>
      </c>
      <c r="D47" s="18">
        <v>12</v>
      </c>
      <c r="E47" s="131" t="s">
        <v>1309</v>
      </c>
      <c r="F47" s="22" t="s">
        <v>1309</v>
      </c>
      <c r="G47" s="132" t="s">
        <v>1309</v>
      </c>
      <c r="H47" s="22" t="s">
        <v>1311</v>
      </c>
      <c r="I47" s="22" t="s">
        <v>1327</v>
      </c>
      <c r="J47" s="22" t="s">
        <v>1327</v>
      </c>
      <c r="K47" s="22" t="s">
        <v>1314</v>
      </c>
      <c r="L47" s="22" t="s">
        <v>1311</v>
      </c>
      <c r="M47" s="133" t="s">
        <v>1311</v>
      </c>
      <c r="N47" s="22" t="s">
        <v>1311</v>
      </c>
      <c r="O47" s="22" t="s">
        <v>1314</v>
      </c>
      <c r="P47" s="22" t="s">
        <v>1318</v>
      </c>
      <c r="Q47" s="20">
        <v>0</v>
      </c>
      <c r="R47" s="20">
        <v>0</v>
      </c>
      <c r="S47" s="20">
        <v>14.207000000000001</v>
      </c>
      <c r="T47" s="20">
        <v>14.207000000000001</v>
      </c>
      <c r="U47" s="20">
        <v>0</v>
      </c>
      <c r="V47" s="20">
        <v>0</v>
      </c>
      <c r="W47" s="20">
        <v>0</v>
      </c>
      <c r="X47" s="20">
        <v>0</v>
      </c>
      <c r="Y47" s="20">
        <v>0</v>
      </c>
      <c r="Z47" s="20">
        <v>0</v>
      </c>
      <c r="AA47" s="20" t="s">
        <v>1309</v>
      </c>
      <c r="AB47" s="22" t="s">
        <v>1318</v>
      </c>
      <c r="AC47" s="20">
        <v>0</v>
      </c>
      <c r="AD47" s="20">
        <v>0</v>
      </c>
      <c r="AE47" s="20">
        <v>0</v>
      </c>
      <c r="AF47" s="20">
        <v>0</v>
      </c>
      <c r="AG47" s="20">
        <v>0</v>
      </c>
      <c r="AH47" s="20">
        <v>0</v>
      </c>
      <c r="AI47" s="328" t="s">
        <v>1328</v>
      </c>
      <c r="AJ47" s="328" t="s">
        <v>1328</v>
      </c>
      <c r="AK47" s="328" t="s">
        <v>1328</v>
      </c>
      <c r="AL47" s="22" t="s">
        <v>1329</v>
      </c>
      <c r="AM47" s="22" t="s">
        <v>1330</v>
      </c>
      <c r="AN47" s="22" t="s">
        <v>1317</v>
      </c>
      <c r="AO47" s="22" t="s">
        <v>1318</v>
      </c>
      <c r="AP47" s="22" t="s">
        <v>1318</v>
      </c>
      <c r="AQ47" s="22" t="s">
        <v>1318</v>
      </c>
      <c r="AR47" s="22" t="s">
        <v>1317</v>
      </c>
      <c r="AS47" s="22" t="s">
        <v>1318</v>
      </c>
      <c r="AT47" s="22" t="s">
        <v>1317</v>
      </c>
      <c r="AU47" s="22" t="s">
        <v>1318</v>
      </c>
      <c r="AV47" s="22" t="s">
        <v>1317</v>
      </c>
      <c r="AW47" s="22" t="s">
        <v>1318</v>
      </c>
      <c r="AX47" s="22" t="s">
        <v>1317</v>
      </c>
      <c r="AY47" s="22" t="s">
        <v>1318</v>
      </c>
      <c r="AZ47" s="22" t="s">
        <v>1309</v>
      </c>
      <c r="BA47" s="22" t="s">
        <v>1309</v>
      </c>
      <c r="BB47" s="22" t="s">
        <v>1317</v>
      </c>
      <c r="BC47" s="22" t="s">
        <v>1318</v>
      </c>
      <c r="BD47" s="22" t="s">
        <v>1317</v>
      </c>
      <c r="BE47" s="22" t="s">
        <v>1318</v>
      </c>
      <c r="BF47" s="22" t="s">
        <v>1317</v>
      </c>
      <c r="BG47" s="22" t="s">
        <v>1318</v>
      </c>
      <c r="BH47" s="22" t="s">
        <v>1309</v>
      </c>
      <c r="BI47" s="22" t="s">
        <v>1309</v>
      </c>
      <c r="BJ47" s="22" t="s">
        <v>1317</v>
      </c>
      <c r="BK47" s="22" t="s">
        <v>1318</v>
      </c>
      <c r="BL47" s="22" t="s">
        <v>1319</v>
      </c>
      <c r="BM47" s="22" t="s">
        <v>1311</v>
      </c>
      <c r="BN47" s="22" t="s">
        <v>1309</v>
      </c>
      <c r="BO47" s="22" t="s">
        <v>1309</v>
      </c>
      <c r="BP47" s="22" t="s">
        <v>1309</v>
      </c>
      <c r="BQ47" s="22" t="s">
        <v>1309</v>
      </c>
      <c r="BR47" s="22" t="s">
        <v>1309</v>
      </c>
      <c r="BS47" s="22" t="s">
        <v>1309</v>
      </c>
      <c r="BT47" s="22" t="s">
        <v>1317</v>
      </c>
      <c r="BU47" s="22" t="s">
        <v>1318</v>
      </c>
      <c r="BV47" s="22" t="s">
        <v>1317</v>
      </c>
      <c r="BW47" s="22" t="s">
        <v>1318</v>
      </c>
      <c r="BX47" s="20">
        <v>0</v>
      </c>
      <c r="BY47" s="20">
        <v>0</v>
      </c>
      <c r="BZ47" s="20">
        <v>89</v>
      </c>
      <c r="CA47" s="20">
        <v>0</v>
      </c>
      <c r="CB47" s="20">
        <v>0</v>
      </c>
      <c r="CC47" s="20">
        <v>573</v>
      </c>
      <c r="CD47" s="22" t="s">
        <v>1317</v>
      </c>
      <c r="CE47" s="22" t="s">
        <v>1318</v>
      </c>
      <c r="CF47" s="22" t="s">
        <v>1317</v>
      </c>
      <c r="CG47" s="22" t="s">
        <v>1318</v>
      </c>
      <c r="CH47" s="22" t="s">
        <v>1317</v>
      </c>
      <c r="CI47" s="22" t="s">
        <v>1318</v>
      </c>
      <c r="CJ47" s="149" t="s">
        <v>1124</v>
      </c>
      <c r="CK47" s="241" t="s">
        <v>1386</v>
      </c>
    </row>
    <row r="48" spans="1:89" ht="15" customHeight="1" x14ac:dyDescent="0.35">
      <c r="A48" s="17"/>
      <c r="B48" s="313">
        <v>21025</v>
      </c>
      <c r="C48" s="8" t="s">
        <v>148</v>
      </c>
      <c r="D48" s="18">
        <v>3</v>
      </c>
      <c r="E48" s="131" t="s">
        <v>1309</v>
      </c>
      <c r="F48" s="22" t="s">
        <v>1309</v>
      </c>
      <c r="G48" s="132" t="s">
        <v>1309</v>
      </c>
      <c r="H48" s="22" t="s">
        <v>1311</v>
      </c>
      <c r="I48" s="22" t="s">
        <v>1351</v>
      </c>
      <c r="J48" s="22" t="s">
        <v>1348</v>
      </c>
      <c r="K48" s="22" t="s">
        <v>1309</v>
      </c>
      <c r="L48" s="22" t="s">
        <v>1309</v>
      </c>
      <c r="M48" s="133" t="s">
        <v>1311</v>
      </c>
      <c r="N48" s="22" t="s">
        <v>1311</v>
      </c>
      <c r="O48" s="22" t="s">
        <v>1315</v>
      </c>
      <c r="P48" s="22" t="s">
        <v>1315</v>
      </c>
      <c r="Q48" s="20">
        <v>45</v>
      </c>
      <c r="R48" s="20">
        <v>45</v>
      </c>
      <c r="S48" s="20">
        <v>0</v>
      </c>
      <c r="T48" s="20">
        <v>0</v>
      </c>
      <c r="U48" s="20">
        <v>0</v>
      </c>
      <c r="V48" s="20">
        <v>0</v>
      </c>
      <c r="W48" s="20">
        <v>0</v>
      </c>
      <c r="X48" s="20">
        <v>0</v>
      </c>
      <c r="Y48" s="20">
        <v>0</v>
      </c>
      <c r="Z48" s="20">
        <v>0</v>
      </c>
      <c r="AA48" s="20" t="s">
        <v>1317</v>
      </c>
      <c r="AB48" s="22" t="s">
        <v>1311</v>
      </c>
      <c r="AC48" s="20">
        <v>3</v>
      </c>
      <c r="AD48" s="20">
        <v>3</v>
      </c>
      <c r="AE48" s="20">
        <v>1</v>
      </c>
      <c r="AF48" s="20">
        <v>4</v>
      </c>
      <c r="AG48" s="20">
        <v>4</v>
      </c>
      <c r="AH48" s="20">
        <v>14</v>
      </c>
      <c r="AI48" s="328">
        <v>6.6174037719201495</v>
      </c>
      <c r="AJ48" s="328">
        <v>1.2155591572123177</v>
      </c>
      <c r="AK48" s="328">
        <v>0.4051863857374392</v>
      </c>
      <c r="AL48" s="22" t="s">
        <v>1329</v>
      </c>
      <c r="AM48" s="22" t="s">
        <v>1330</v>
      </c>
      <c r="AN48" s="22" t="s">
        <v>1315</v>
      </c>
      <c r="AO48" s="22" t="s">
        <v>1318</v>
      </c>
      <c r="AP48" s="22" t="s">
        <v>1318</v>
      </c>
      <c r="AQ48" s="22" t="s">
        <v>1318</v>
      </c>
      <c r="AR48" s="22" t="s">
        <v>1317</v>
      </c>
      <c r="AS48" s="22" t="s">
        <v>1318</v>
      </c>
      <c r="AT48" s="22" t="s">
        <v>1317</v>
      </c>
      <c r="AU48" s="22" t="s">
        <v>1311</v>
      </c>
      <c r="AV48" s="22" t="s">
        <v>1317</v>
      </c>
      <c r="AW48" s="22" t="s">
        <v>1318</v>
      </c>
      <c r="AX48" s="22" t="s">
        <v>1317</v>
      </c>
      <c r="AY48" s="22" t="s">
        <v>1318</v>
      </c>
      <c r="AZ48" s="22" t="s">
        <v>1317</v>
      </c>
      <c r="BA48" s="22" t="s">
        <v>1318</v>
      </c>
      <c r="BB48" s="22" t="s">
        <v>1317</v>
      </c>
      <c r="BC48" s="22" t="s">
        <v>1318</v>
      </c>
      <c r="BD48" s="22" t="s">
        <v>1317</v>
      </c>
      <c r="BE48" s="22" t="s">
        <v>1318</v>
      </c>
      <c r="BF48" s="22" t="s">
        <v>1317</v>
      </c>
      <c r="BG48" s="22" t="s">
        <v>1318</v>
      </c>
      <c r="BH48" s="22" t="s">
        <v>1317</v>
      </c>
      <c r="BI48" s="22" t="s">
        <v>1318</v>
      </c>
      <c r="BJ48" s="22" t="s">
        <v>1315</v>
      </c>
      <c r="BK48" s="22" t="s">
        <v>1318</v>
      </c>
      <c r="BL48" s="22" t="s">
        <v>1317</v>
      </c>
      <c r="BM48" s="22" t="s">
        <v>1318</v>
      </c>
      <c r="BN48" s="22" t="s">
        <v>1309</v>
      </c>
      <c r="BO48" s="22" t="s">
        <v>1309</v>
      </c>
      <c r="BP48" s="22" t="s">
        <v>1317</v>
      </c>
      <c r="BQ48" s="22" t="s">
        <v>1318</v>
      </c>
      <c r="BR48" s="22" t="s">
        <v>1309</v>
      </c>
      <c r="BS48" s="22" t="s">
        <v>1309</v>
      </c>
      <c r="BT48" s="22" t="s">
        <v>1309</v>
      </c>
      <c r="BU48" s="22" t="s">
        <v>1309</v>
      </c>
      <c r="BV48" s="22" t="s">
        <v>1317</v>
      </c>
      <c r="BW48" s="22" t="s">
        <v>1311</v>
      </c>
      <c r="BX48" s="20">
        <v>67</v>
      </c>
      <c r="BY48" s="20">
        <v>0</v>
      </c>
      <c r="BZ48" s="20">
        <v>6</v>
      </c>
      <c r="CA48" s="20">
        <v>3</v>
      </c>
      <c r="CB48" s="20">
        <v>0</v>
      </c>
      <c r="CC48" s="20">
        <v>2479</v>
      </c>
      <c r="CD48" s="22" t="s">
        <v>1345</v>
      </c>
      <c r="CE48" s="22" t="s">
        <v>1321</v>
      </c>
      <c r="CF48" s="22" t="s">
        <v>1320</v>
      </c>
      <c r="CG48" s="22" t="s">
        <v>1321</v>
      </c>
      <c r="CH48" s="22" t="s">
        <v>1413</v>
      </c>
      <c r="CI48" s="22" t="s">
        <v>1413</v>
      </c>
      <c r="CJ48" s="149" t="s">
        <v>1448</v>
      </c>
      <c r="CK48" s="241" t="s">
        <v>1449</v>
      </c>
    </row>
    <row r="49" spans="1:89" ht="15" customHeight="1" x14ac:dyDescent="0.35">
      <c r="A49" s="17"/>
      <c r="B49" s="313">
        <v>38010</v>
      </c>
      <c r="C49" s="8" t="s">
        <v>326</v>
      </c>
      <c r="D49" s="18">
        <v>17</v>
      </c>
      <c r="E49" s="131" t="s">
        <v>1309</v>
      </c>
      <c r="F49" s="22" t="s">
        <v>1309</v>
      </c>
      <c r="G49" s="132" t="s">
        <v>1309</v>
      </c>
      <c r="H49" s="22" t="s">
        <v>1311</v>
      </c>
      <c r="I49" s="22" t="s">
        <v>1327</v>
      </c>
      <c r="J49" s="22" t="s">
        <v>1327</v>
      </c>
      <c r="K49" s="22" t="s">
        <v>1309</v>
      </c>
      <c r="L49" s="22" t="s">
        <v>1309</v>
      </c>
      <c r="M49" s="133" t="s">
        <v>1311</v>
      </c>
      <c r="N49" s="22" t="s">
        <v>1311</v>
      </c>
      <c r="O49" s="22" t="s">
        <v>1309</v>
      </c>
      <c r="P49" s="22" t="s">
        <v>1309</v>
      </c>
      <c r="Q49" s="20">
        <v>0</v>
      </c>
      <c r="R49" s="20">
        <v>0</v>
      </c>
      <c r="S49" s="20">
        <v>0.2</v>
      </c>
      <c r="T49" s="20">
        <v>0.2</v>
      </c>
      <c r="U49" s="20">
        <v>0</v>
      </c>
      <c r="V49" s="20">
        <v>0</v>
      </c>
      <c r="W49" s="20">
        <v>0</v>
      </c>
      <c r="X49" s="20">
        <v>0</v>
      </c>
      <c r="Y49" s="20">
        <v>0</v>
      </c>
      <c r="Z49" s="20">
        <v>0</v>
      </c>
      <c r="AA49" s="20" t="s">
        <v>1315</v>
      </c>
      <c r="AB49" s="22" t="s">
        <v>1315</v>
      </c>
      <c r="AC49" s="20">
        <v>22</v>
      </c>
      <c r="AD49" s="20">
        <v>2</v>
      </c>
      <c r="AE49" s="20">
        <v>2</v>
      </c>
      <c r="AF49" s="20">
        <v>1</v>
      </c>
      <c r="AG49" s="20">
        <v>2</v>
      </c>
      <c r="AH49" s="20">
        <v>4</v>
      </c>
      <c r="AI49" s="328">
        <v>6.6057536113955253</v>
      </c>
      <c r="AJ49" s="328">
        <v>0.37202380952380953</v>
      </c>
      <c r="AK49" s="328">
        <v>0.37202380952380953</v>
      </c>
      <c r="AL49" s="22" t="s">
        <v>1329</v>
      </c>
      <c r="AM49" s="22" t="s">
        <v>1330</v>
      </c>
      <c r="AN49" s="22" t="s">
        <v>1317</v>
      </c>
      <c r="AO49" s="22" t="s">
        <v>1318</v>
      </c>
      <c r="AP49" s="22" t="s">
        <v>1318</v>
      </c>
      <c r="AQ49" s="22" t="s">
        <v>1318</v>
      </c>
      <c r="AR49" s="22" t="s">
        <v>1319</v>
      </c>
      <c r="AS49" s="22" t="s">
        <v>1311</v>
      </c>
      <c r="AT49" s="22" t="s">
        <v>1309</v>
      </c>
      <c r="AU49" s="22" t="s">
        <v>1309</v>
      </c>
      <c r="AV49" s="22" t="s">
        <v>1317</v>
      </c>
      <c r="AW49" s="22" t="s">
        <v>1318</v>
      </c>
      <c r="AX49" s="22" t="s">
        <v>1317</v>
      </c>
      <c r="AY49" s="22" t="s">
        <v>1318</v>
      </c>
      <c r="AZ49" s="22" t="s">
        <v>1317</v>
      </c>
      <c r="BA49" s="22" t="s">
        <v>1318</v>
      </c>
      <c r="BB49" s="22" t="s">
        <v>1309</v>
      </c>
      <c r="BC49" s="22" t="s">
        <v>1309</v>
      </c>
      <c r="BD49" s="22" t="s">
        <v>1309</v>
      </c>
      <c r="BE49" s="22" t="s">
        <v>1309</v>
      </c>
      <c r="BF49" s="22" t="s">
        <v>1317</v>
      </c>
      <c r="BG49" s="22" t="s">
        <v>1318</v>
      </c>
      <c r="BH49" s="22" t="s">
        <v>1317</v>
      </c>
      <c r="BI49" s="22" t="s">
        <v>1318</v>
      </c>
      <c r="BJ49" s="22" t="s">
        <v>1309</v>
      </c>
      <c r="BK49" s="22" t="s">
        <v>1309</v>
      </c>
      <c r="BL49" s="22" t="s">
        <v>1319</v>
      </c>
      <c r="BM49" s="22" t="s">
        <v>1311</v>
      </c>
      <c r="BN49" s="22" t="s">
        <v>1317</v>
      </c>
      <c r="BO49" s="22" t="s">
        <v>1318</v>
      </c>
      <c r="BP49" s="22" t="s">
        <v>1309</v>
      </c>
      <c r="BQ49" s="22" t="s">
        <v>1309</v>
      </c>
      <c r="BR49" s="22" t="s">
        <v>1309</v>
      </c>
      <c r="BS49" s="22" t="s">
        <v>1309</v>
      </c>
      <c r="BT49" s="22" t="s">
        <v>1309</v>
      </c>
      <c r="BU49" s="22" t="s">
        <v>1309</v>
      </c>
      <c r="BV49" s="22" t="s">
        <v>1309</v>
      </c>
      <c r="BW49" s="22" t="s">
        <v>1311</v>
      </c>
      <c r="BX49" s="20">
        <v>462</v>
      </c>
      <c r="BY49" s="20">
        <v>0</v>
      </c>
      <c r="BZ49" s="20">
        <v>6</v>
      </c>
      <c r="CA49" s="20">
        <v>0</v>
      </c>
      <c r="CB49" s="20">
        <v>0</v>
      </c>
      <c r="CC49" s="20">
        <v>4908</v>
      </c>
      <c r="CD49" s="22" t="s">
        <v>1345</v>
      </c>
      <c r="CE49" s="22" t="s">
        <v>1321</v>
      </c>
      <c r="CF49" s="22" t="s">
        <v>1317</v>
      </c>
      <c r="CG49" s="22" t="s">
        <v>1318</v>
      </c>
      <c r="CH49" s="22" t="s">
        <v>1317</v>
      </c>
      <c r="CI49" s="22" t="s">
        <v>1318</v>
      </c>
      <c r="CJ49" s="149" t="s">
        <v>1124</v>
      </c>
      <c r="CK49" s="241" t="s">
        <v>1124</v>
      </c>
    </row>
    <row r="50" spans="1:89" ht="15" customHeight="1" x14ac:dyDescent="0.35">
      <c r="A50" s="17"/>
      <c r="B50" s="313">
        <v>46040</v>
      </c>
      <c r="C50" s="8" t="s">
        <v>433</v>
      </c>
      <c r="D50" s="18">
        <v>5</v>
      </c>
      <c r="E50" s="131"/>
      <c r="F50" s="22"/>
      <c r="G50" s="132"/>
      <c r="H50" s="22"/>
      <c r="I50" s="22"/>
      <c r="J50" s="22"/>
      <c r="K50" s="22"/>
      <c r="L50" s="22"/>
      <c r="M50" s="133"/>
      <c r="N50" s="22"/>
      <c r="O50" s="22"/>
      <c r="P50" s="22"/>
      <c r="Q50" s="20"/>
      <c r="R50" s="20"/>
      <c r="S50" s="20"/>
      <c r="T50" s="20"/>
      <c r="U50" s="20"/>
      <c r="V50" s="20"/>
      <c r="W50" s="20"/>
      <c r="X50" s="20"/>
      <c r="Y50" s="20"/>
      <c r="Z50" s="20"/>
      <c r="AA50" s="20"/>
      <c r="AB50" s="22"/>
      <c r="AC50" s="20"/>
      <c r="AD50" s="20"/>
      <c r="AE50" s="20"/>
      <c r="AF50" s="20" t="s">
        <v>1124</v>
      </c>
      <c r="AG50" s="20" t="s">
        <v>1124</v>
      </c>
      <c r="AH50" s="20" t="s">
        <v>1124</v>
      </c>
      <c r="AI50" s="328"/>
      <c r="AJ50" s="328"/>
      <c r="AK50" s="328"/>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0"/>
      <c r="BY50" s="20"/>
      <c r="BZ50" s="20"/>
      <c r="CA50" s="20"/>
      <c r="CB50" s="20"/>
      <c r="CC50" s="20"/>
      <c r="CD50" s="22"/>
      <c r="CE50" s="22"/>
      <c r="CF50" s="22"/>
      <c r="CG50" s="22"/>
      <c r="CH50" s="22"/>
      <c r="CI50" s="22"/>
      <c r="CJ50" s="149"/>
      <c r="CK50" s="241"/>
    </row>
    <row r="51" spans="1:89" ht="15" customHeight="1" x14ac:dyDescent="0.35">
      <c r="A51" s="17"/>
      <c r="B51" s="313">
        <v>46035</v>
      </c>
      <c r="C51" s="8" t="s">
        <v>432</v>
      </c>
      <c r="D51" s="18">
        <v>5</v>
      </c>
      <c r="E51" s="131" t="s">
        <v>1309</v>
      </c>
      <c r="F51" s="22" t="s">
        <v>1309</v>
      </c>
      <c r="G51" s="132" t="s">
        <v>1309</v>
      </c>
      <c r="H51" s="22" t="s">
        <v>1311</v>
      </c>
      <c r="I51" s="22" t="s">
        <v>1349</v>
      </c>
      <c r="J51" s="22" t="s">
        <v>1405</v>
      </c>
      <c r="K51" s="22" t="s">
        <v>1314</v>
      </c>
      <c r="L51" s="22" t="s">
        <v>1311</v>
      </c>
      <c r="M51" s="133" t="s">
        <v>1311</v>
      </c>
      <c r="N51" s="22" t="s">
        <v>1311</v>
      </c>
      <c r="O51" s="22" t="s">
        <v>1309</v>
      </c>
      <c r="P51" s="22" t="s">
        <v>1309</v>
      </c>
      <c r="Q51" s="20">
        <v>0</v>
      </c>
      <c r="R51" s="20">
        <v>0</v>
      </c>
      <c r="S51" s="20">
        <v>0</v>
      </c>
      <c r="T51" s="20">
        <v>0</v>
      </c>
      <c r="U51" s="20">
        <v>23.411000000000001</v>
      </c>
      <c r="V51" s="20">
        <v>23.411000000000001</v>
      </c>
      <c r="W51" s="20">
        <v>0</v>
      </c>
      <c r="X51" s="20">
        <v>0</v>
      </c>
      <c r="Y51" s="20">
        <v>0</v>
      </c>
      <c r="Z51" s="20">
        <v>0</v>
      </c>
      <c r="AA51" s="20" t="s">
        <v>1317</v>
      </c>
      <c r="AB51" s="22" t="s">
        <v>1318</v>
      </c>
      <c r="AC51" s="20">
        <v>1</v>
      </c>
      <c r="AD51" s="20">
        <v>2</v>
      </c>
      <c r="AE51" s="20">
        <v>0</v>
      </c>
      <c r="AF51" s="20">
        <v>1</v>
      </c>
      <c r="AG51" s="20">
        <v>2</v>
      </c>
      <c r="AH51" s="20">
        <v>0</v>
      </c>
      <c r="AI51" s="328">
        <v>4.2714963051556962</v>
      </c>
      <c r="AJ51" s="328">
        <v>1.8099547511312217</v>
      </c>
      <c r="AK51" s="328" t="s">
        <v>1328</v>
      </c>
      <c r="AL51" s="22" t="s">
        <v>1329</v>
      </c>
      <c r="AM51" s="22" t="s">
        <v>1330</v>
      </c>
      <c r="AN51" s="22" t="s">
        <v>1317</v>
      </c>
      <c r="AO51" s="22" t="s">
        <v>1318</v>
      </c>
      <c r="AP51" s="22" t="s">
        <v>1318</v>
      </c>
      <c r="AQ51" s="22" t="s">
        <v>1318</v>
      </c>
      <c r="AR51" s="22" t="s">
        <v>1317</v>
      </c>
      <c r="AS51" s="22" t="s">
        <v>1318</v>
      </c>
      <c r="AT51" s="22" t="s">
        <v>1309</v>
      </c>
      <c r="AU51" s="22" t="s">
        <v>1309</v>
      </c>
      <c r="AV51" s="22" t="s">
        <v>1309</v>
      </c>
      <c r="AW51" s="22" t="s">
        <v>1309</v>
      </c>
      <c r="AX51" s="22" t="s">
        <v>1317</v>
      </c>
      <c r="AY51" s="22" t="s">
        <v>1318</v>
      </c>
      <c r="AZ51" s="22" t="s">
        <v>1317</v>
      </c>
      <c r="BA51" s="22" t="s">
        <v>1318</v>
      </c>
      <c r="BB51" s="22" t="s">
        <v>1309</v>
      </c>
      <c r="BC51" s="22" t="s">
        <v>1309</v>
      </c>
      <c r="BD51" s="22" t="s">
        <v>1317</v>
      </c>
      <c r="BE51" s="22" t="s">
        <v>1311</v>
      </c>
      <c r="BF51" s="22" t="s">
        <v>1317</v>
      </c>
      <c r="BG51" s="22" t="s">
        <v>1318</v>
      </c>
      <c r="BH51" s="22" t="s">
        <v>1317</v>
      </c>
      <c r="BI51" s="22" t="s">
        <v>1317</v>
      </c>
      <c r="BJ51" s="22" t="s">
        <v>1317</v>
      </c>
      <c r="BK51" s="22" t="s">
        <v>1311</v>
      </c>
      <c r="BL51" s="22" t="s">
        <v>1317</v>
      </c>
      <c r="BM51" s="22" t="s">
        <v>1311</v>
      </c>
      <c r="BN51" s="22" t="s">
        <v>1309</v>
      </c>
      <c r="BO51" s="22" t="s">
        <v>1309</v>
      </c>
      <c r="BP51" s="22" t="s">
        <v>1317</v>
      </c>
      <c r="BQ51" s="22" t="s">
        <v>1317</v>
      </c>
      <c r="BR51" s="22" t="s">
        <v>1317</v>
      </c>
      <c r="BS51" s="22" t="s">
        <v>1317</v>
      </c>
      <c r="BT51" s="22" t="s">
        <v>1317</v>
      </c>
      <c r="BU51" s="22" t="s">
        <v>1317</v>
      </c>
      <c r="BV51" s="22" t="s">
        <v>1317</v>
      </c>
      <c r="BW51" s="22" t="s">
        <v>1317</v>
      </c>
      <c r="BX51" s="20">
        <v>51</v>
      </c>
      <c r="BY51" s="20">
        <v>0</v>
      </c>
      <c r="BZ51" s="20">
        <v>55</v>
      </c>
      <c r="CA51" s="20">
        <v>0</v>
      </c>
      <c r="CB51" s="20">
        <v>2</v>
      </c>
      <c r="CC51" s="20">
        <v>1474</v>
      </c>
      <c r="CD51" s="22" t="s">
        <v>1331</v>
      </c>
      <c r="CE51" s="22" t="s">
        <v>1321</v>
      </c>
      <c r="CF51" s="22" t="s">
        <v>1320</v>
      </c>
      <c r="CG51" s="22" t="s">
        <v>1344</v>
      </c>
      <c r="CH51" s="22" t="s">
        <v>1317</v>
      </c>
      <c r="CI51" s="22" t="s">
        <v>1318</v>
      </c>
      <c r="CJ51" s="149" t="s">
        <v>1124</v>
      </c>
      <c r="CK51" s="241" t="s">
        <v>1472</v>
      </c>
    </row>
    <row r="52" spans="1:89" ht="15" customHeight="1" x14ac:dyDescent="0.35">
      <c r="A52" s="17"/>
      <c r="B52" s="313">
        <v>94250</v>
      </c>
      <c r="C52" s="8" t="s">
        <v>982</v>
      </c>
      <c r="D52" s="18">
        <v>2</v>
      </c>
      <c r="E52" s="131" t="s">
        <v>1309</v>
      </c>
      <c r="F52" s="22" t="s">
        <v>1309</v>
      </c>
      <c r="G52" s="132" t="s">
        <v>1309</v>
      </c>
      <c r="H52" s="22" t="s">
        <v>1311</v>
      </c>
      <c r="I52" s="22" t="s">
        <v>1327</v>
      </c>
      <c r="J52" s="22" t="s">
        <v>1327</v>
      </c>
      <c r="K52" s="22" t="s">
        <v>1309</v>
      </c>
      <c r="L52" s="22" t="s">
        <v>1309</v>
      </c>
      <c r="M52" s="133" t="s">
        <v>1311</v>
      </c>
      <c r="N52" s="22" t="s">
        <v>1311</v>
      </c>
      <c r="O52" s="22" t="s">
        <v>1315</v>
      </c>
      <c r="P52" s="22" t="s">
        <v>1318</v>
      </c>
      <c r="Q52" s="20">
        <v>17.748999999999999</v>
      </c>
      <c r="R52" s="20">
        <v>17.748999999999999</v>
      </c>
      <c r="S52" s="20">
        <v>0</v>
      </c>
      <c r="T52" s="20">
        <v>0</v>
      </c>
      <c r="U52" s="20">
        <v>0</v>
      </c>
      <c r="V52" s="20">
        <v>0</v>
      </c>
      <c r="W52" s="20">
        <v>0</v>
      </c>
      <c r="X52" s="20">
        <v>0</v>
      </c>
      <c r="Y52" s="20">
        <v>0</v>
      </c>
      <c r="Z52" s="20">
        <v>0</v>
      </c>
      <c r="AA52" s="20" t="s">
        <v>1317</v>
      </c>
      <c r="AB52" s="22" t="s">
        <v>1318</v>
      </c>
      <c r="AC52" s="20">
        <v>0</v>
      </c>
      <c r="AD52" s="20">
        <v>0</v>
      </c>
      <c r="AE52" s="20">
        <v>2</v>
      </c>
      <c r="AF52" s="20">
        <v>0</v>
      </c>
      <c r="AG52" s="20">
        <v>0</v>
      </c>
      <c r="AH52" s="20">
        <v>1</v>
      </c>
      <c r="AI52" s="328" t="s">
        <v>1328</v>
      </c>
      <c r="AJ52" s="328" t="s">
        <v>1328</v>
      </c>
      <c r="AK52" s="328">
        <v>6.369426751592357</v>
      </c>
      <c r="AL52" s="22" t="s">
        <v>1329</v>
      </c>
      <c r="AM52" s="22" t="s">
        <v>1330</v>
      </c>
      <c r="AN52" s="22" t="s">
        <v>1317</v>
      </c>
      <c r="AO52" s="22" t="s">
        <v>1318</v>
      </c>
      <c r="AP52" s="22" t="s">
        <v>1318</v>
      </c>
      <c r="AQ52" s="22" t="s">
        <v>1318</v>
      </c>
      <c r="AR52" s="22" t="s">
        <v>1317</v>
      </c>
      <c r="AS52" s="22" t="s">
        <v>1318</v>
      </c>
      <c r="AT52" s="22" t="s">
        <v>1317</v>
      </c>
      <c r="AU52" s="22" t="s">
        <v>1311</v>
      </c>
      <c r="AV52" s="22" t="s">
        <v>1309</v>
      </c>
      <c r="AW52" s="22" t="s">
        <v>1309</v>
      </c>
      <c r="AX52" s="22" t="s">
        <v>1317</v>
      </c>
      <c r="AY52" s="22" t="s">
        <v>1318</v>
      </c>
      <c r="AZ52" s="22" t="s">
        <v>1317</v>
      </c>
      <c r="BA52" s="22" t="s">
        <v>1318</v>
      </c>
      <c r="BB52" s="22" t="s">
        <v>1309</v>
      </c>
      <c r="BC52" s="22" t="s">
        <v>1309</v>
      </c>
      <c r="BD52" s="22" t="s">
        <v>1317</v>
      </c>
      <c r="BE52" s="22" t="s">
        <v>1318</v>
      </c>
      <c r="BF52" s="22" t="s">
        <v>1317</v>
      </c>
      <c r="BG52" s="22" t="s">
        <v>1318</v>
      </c>
      <c r="BH52" s="22" t="s">
        <v>1309</v>
      </c>
      <c r="BI52" s="22" t="s">
        <v>1318</v>
      </c>
      <c r="BJ52" s="22" t="s">
        <v>1309</v>
      </c>
      <c r="BK52" s="22" t="s">
        <v>1309</v>
      </c>
      <c r="BL52" s="22" t="s">
        <v>1309</v>
      </c>
      <c r="BM52" s="22" t="s">
        <v>1309</v>
      </c>
      <c r="BN52" s="22" t="s">
        <v>1317</v>
      </c>
      <c r="BO52" s="22" t="s">
        <v>1311</v>
      </c>
      <c r="BP52" s="22" t="s">
        <v>1315</v>
      </c>
      <c r="BQ52" s="22" t="s">
        <v>1315</v>
      </c>
      <c r="BR52" s="22" t="s">
        <v>1309</v>
      </c>
      <c r="BS52" s="22" t="s">
        <v>1309</v>
      </c>
      <c r="BT52" s="22" t="s">
        <v>1317</v>
      </c>
      <c r="BU52" s="22" t="s">
        <v>1318</v>
      </c>
      <c r="BV52" s="22" t="s">
        <v>1317</v>
      </c>
      <c r="BW52" s="22" t="s">
        <v>1318</v>
      </c>
      <c r="BX52" s="20">
        <v>0</v>
      </c>
      <c r="BY52" s="20">
        <v>0</v>
      </c>
      <c r="BZ52" s="20">
        <v>20</v>
      </c>
      <c r="CA52" s="20">
        <v>0</v>
      </c>
      <c r="CB52" s="20">
        <v>0</v>
      </c>
      <c r="CC52" s="20">
        <v>294</v>
      </c>
      <c r="CD52" s="22" t="s">
        <v>1317</v>
      </c>
      <c r="CE52" s="22" t="s">
        <v>1321</v>
      </c>
      <c r="CF52" s="22" t="s">
        <v>1317</v>
      </c>
      <c r="CG52" s="22" t="s">
        <v>1321</v>
      </c>
      <c r="CH52" s="22" t="s">
        <v>1315</v>
      </c>
      <c r="CI52" s="22" t="s">
        <v>1315</v>
      </c>
      <c r="CJ52" s="149" t="s">
        <v>1124</v>
      </c>
      <c r="CK52" s="241" t="s">
        <v>1356</v>
      </c>
    </row>
    <row r="53" spans="1:89" ht="15" customHeight="1" x14ac:dyDescent="0.35">
      <c r="A53" s="17"/>
      <c r="B53" s="313">
        <v>89050</v>
      </c>
      <c r="C53" s="8" t="s">
        <v>933</v>
      </c>
      <c r="D53" s="18">
        <v>8</v>
      </c>
      <c r="E53" s="131"/>
      <c r="F53" s="22"/>
      <c r="G53" s="132"/>
      <c r="H53" s="22"/>
      <c r="I53" s="22"/>
      <c r="J53" s="22"/>
      <c r="K53" s="22"/>
      <c r="L53" s="22"/>
      <c r="M53" s="133"/>
      <c r="N53" s="22"/>
      <c r="O53" s="22"/>
      <c r="P53" s="22"/>
      <c r="Q53" s="20"/>
      <c r="R53" s="20"/>
      <c r="S53" s="20"/>
      <c r="T53" s="20"/>
      <c r="U53" s="20"/>
      <c r="V53" s="20"/>
      <c r="W53" s="20"/>
      <c r="X53" s="20"/>
      <c r="Y53" s="20"/>
      <c r="Z53" s="20"/>
      <c r="AA53" s="20"/>
      <c r="AB53" s="22"/>
      <c r="AC53" s="20"/>
      <c r="AD53" s="20"/>
      <c r="AE53" s="20"/>
      <c r="AF53" s="20" t="s">
        <v>1124</v>
      </c>
      <c r="AG53" s="20" t="s">
        <v>1124</v>
      </c>
      <c r="AH53" s="20" t="s">
        <v>1124</v>
      </c>
      <c r="AI53" s="328"/>
      <c r="AJ53" s="328"/>
      <c r="AK53" s="328"/>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0"/>
      <c r="BY53" s="20"/>
      <c r="BZ53" s="20"/>
      <c r="CA53" s="20"/>
      <c r="CB53" s="20"/>
      <c r="CC53" s="20"/>
      <c r="CD53" s="22"/>
      <c r="CE53" s="22"/>
      <c r="CF53" s="22"/>
      <c r="CG53" s="22"/>
      <c r="CH53" s="22"/>
      <c r="CI53" s="22"/>
      <c r="CJ53" s="149"/>
      <c r="CK53" s="241"/>
    </row>
    <row r="54" spans="1:89" ht="15" customHeight="1" x14ac:dyDescent="0.35">
      <c r="A54" s="17"/>
      <c r="B54" s="313">
        <v>85065</v>
      </c>
      <c r="C54" s="8" t="s">
        <v>881</v>
      </c>
      <c r="D54" s="18">
        <v>8</v>
      </c>
      <c r="E54" s="131"/>
      <c r="F54" s="22"/>
      <c r="G54" s="132"/>
      <c r="H54" s="22"/>
      <c r="I54" s="22"/>
      <c r="J54" s="22"/>
      <c r="K54" s="22"/>
      <c r="L54" s="22"/>
      <c r="M54" s="133"/>
      <c r="N54" s="22"/>
      <c r="O54" s="22"/>
      <c r="P54" s="22"/>
      <c r="Q54" s="20"/>
      <c r="R54" s="20"/>
      <c r="S54" s="20"/>
      <c r="T54" s="20"/>
      <c r="U54" s="20"/>
      <c r="V54" s="20"/>
      <c r="W54" s="20"/>
      <c r="X54" s="20"/>
      <c r="Y54" s="20"/>
      <c r="Z54" s="20"/>
      <c r="AA54" s="20"/>
      <c r="AB54" s="22"/>
      <c r="AC54" s="20"/>
      <c r="AD54" s="20"/>
      <c r="AE54" s="20"/>
      <c r="AF54" s="20" t="s">
        <v>1124</v>
      </c>
      <c r="AG54" s="20" t="s">
        <v>1124</v>
      </c>
      <c r="AH54" s="20" t="s">
        <v>1124</v>
      </c>
      <c r="AI54" s="328"/>
      <c r="AJ54" s="328"/>
      <c r="AK54" s="328"/>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0"/>
      <c r="BY54" s="20"/>
      <c r="BZ54" s="20"/>
      <c r="CA54" s="20"/>
      <c r="CB54" s="20"/>
      <c r="CC54" s="20"/>
      <c r="CD54" s="22"/>
      <c r="CE54" s="22"/>
      <c r="CF54" s="22"/>
      <c r="CG54" s="22"/>
      <c r="CH54" s="22"/>
      <c r="CI54" s="22"/>
      <c r="CJ54" s="149"/>
      <c r="CK54" s="241"/>
    </row>
    <row r="55" spans="1:89" ht="15" customHeight="1" x14ac:dyDescent="0.35">
      <c r="A55" s="17"/>
      <c r="B55" s="313">
        <v>57040</v>
      </c>
      <c r="C55" s="8" t="s">
        <v>588</v>
      </c>
      <c r="D55" s="18">
        <v>16</v>
      </c>
      <c r="E55" s="131" t="s">
        <v>1309</v>
      </c>
      <c r="F55" s="22" t="s">
        <v>1310</v>
      </c>
      <c r="G55" s="132" t="s">
        <v>1309</v>
      </c>
      <c r="H55" s="22" t="s">
        <v>1311</v>
      </c>
      <c r="I55" s="22" t="s">
        <v>1315</v>
      </c>
      <c r="J55" s="22" t="s">
        <v>1315</v>
      </c>
      <c r="K55" s="22" t="s">
        <v>1309</v>
      </c>
      <c r="L55" s="22" t="s">
        <v>1309</v>
      </c>
      <c r="M55" s="133" t="s">
        <v>1311</v>
      </c>
      <c r="N55" s="22" t="s">
        <v>1311</v>
      </c>
      <c r="O55" s="22" t="s">
        <v>1315</v>
      </c>
      <c r="P55" s="22" t="s">
        <v>1315</v>
      </c>
      <c r="Q55" s="20">
        <v>0</v>
      </c>
      <c r="R55" s="20">
        <v>0</v>
      </c>
      <c r="S55" s="20">
        <v>144.858</v>
      </c>
      <c r="T55" s="20">
        <v>144.858</v>
      </c>
      <c r="U55" s="20">
        <v>2</v>
      </c>
      <c r="V55" s="20">
        <v>2</v>
      </c>
      <c r="W55" s="20">
        <v>0</v>
      </c>
      <c r="X55" s="20">
        <v>0</v>
      </c>
      <c r="Y55" s="20">
        <v>0</v>
      </c>
      <c r="Z55" s="20">
        <v>0</v>
      </c>
      <c r="AA55" s="20" t="s">
        <v>1317</v>
      </c>
      <c r="AB55" s="22" t="s">
        <v>1318</v>
      </c>
      <c r="AC55" s="20">
        <v>12</v>
      </c>
      <c r="AD55" s="20">
        <v>5</v>
      </c>
      <c r="AE55" s="20">
        <v>7</v>
      </c>
      <c r="AF55" s="20">
        <v>1</v>
      </c>
      <c r="AG55" s="20">
        <v>1</v>
      </c>
      <c r="AH55" s="20">
        <v>3</v>
      </c>
      <c r="AI55" s="328">
        <v>8.2839746510375676</v>
      </c>
      <c r="AJ55" s="328">
        <v>0.5</v>
      </c>
      <c r="AK55" s="328">
        <v>0.7</v>
      </c>
      <c r="AL55" s="22" t="s">
        <v>1329</v>
      </c>
      <c r="AM55" s="22" t="s">
        <v>1316</v>
      </c>
      <c r="AN55" s="22" t="s">
        <v>1317</v>
      </c>
      <c r="AO55" s="22" t="s">
        <v>1318</v>
      </c>
      <c r="AP55" s="22" t="s">
        <v>1318</v>
      </c>
      <c r="AQ55" s="22" t="s">
        <v>1318</v>
      </c>
      <c r="AR55" s="22" t="s">
        <v>1317</v>
      </c>
      <c r="AS55" s="22" t="s">
        <v>1318</v>
      </c>
      <c r="AT55" s="22" t="s">
        <v>1309</v>
      </c>
      <c r="AU55" s="22" t="s">
        <v>1318</v>
      </c>
      <c r="AV55" s="22" t="s">
        <v>1309</v>
      </c>
      <c r="AW55" s="22" t="s">
        <v>1311</v>
      </c>
      <c r="AX55" s="22" t="s">
        <v>1317</v>
      </c>
      <c r="AY55" s="22" t="s">
        <v>1318</v>
      </c>
      <c r="AZ55" s="22" t="s">
        <v>1309</v>
      </c>
      <c r="BA55" s="22" t="s">
        <v>1309</v>
      </c>
      <c r="BB55" s="22" t="s">
        <v>1317</v>
      </c>
      <c r="BC55" s="22" t="s">
        <v>1318</v>
      </c>
      <c r="BD55" s="22" t="s">
        <v>1319</v>
      </c>
      <c r="BE55" s="22" t="s">
        <v>1309</v>
      </c>
      <c r="BF55" s="22" t="s">
        <v>1317</v>
      </c>
      <c r="BG55" s="22" t="s">
        <v>1318</v>
      </c>
      <c r="BH55" s="22" t="s">
        <v>1309</v>
      </c>
      <c r="BI55" s="22" t="s">
        <v>1318</v>
      </c>
      <c r="BJ55" s="22" t="s">
        <v>1317</v>
      </c>
      <c r="BK55" s="22" t="s">
        <v>1318</v>
      </c>
      <c r="BL55" s="22" t="s">
        <v>1309</v>
      </c>
      <c r="BM55" s="22" t="s">
        <v>1309</v>
      </c>
      <c r="BN55" s="22" t="s">
        <v>1309</v>
      </c>
      <c r="BO55" s="22" t="s">
        <v>1309</v>
      </c>
      <c r="BP55" s="22" t="s">
        <v>1317</v>
      </c>
      <c r="BQ55" s="22" t="s">
        <v>1318</v>
      </c>
      <c r="BR55" s="22" t="s">
        <v>1317</v>
      </c>
      <c r="BS55" s="22" t="s">
        <v>1311</v>
      </c>
      <c r="BT55" s="22" t="s">
        <v>1309</v>
      </c>
      <c r="BU55" s="22" t="s">
        <v>1318</v>
      </c>
      <c r="BV55" s="22" t="s">
        <v>1317</v>
      </c>
      <c r="BW55" s="22" t="s">
        <v>1318</v>
      </c>
      <c r="BX55" s="20">
        <v>382</v>
      </c>
      <c r="BY55" s="20">
        <v>0</v>
      </c>
      <c r="BZ55" s="20">
        <v>25</v>
      </c>
      <c r="CA55" s="20">
        <v>13</v>
      </c>
      <c r="CB55" s="20">
        <v>1</v>
      </c>
      <c r="CC55" s="20">
        <v>9702</v>
      </c>
      <c r="CD55" s="22" t="s">
        <v>1317</v>
      </c>
      <c r="CE55" s="22" t="s">
        <v>1318</v>
      </c>
      <c r="CF55" s="22" t="s">
        <v>1317</v>
      </c>
      <c r="CG55" s="22" t="s">
        <v>1318</v>
      </c>
      <c r="CH55" s="22" t="s">
        <v>1317</v>
      </c>
      <c r="CI55" s="22" t="s">
        <v>1318</v>
      </c>
      <c r="CJ55" s="149" t="s">
        <v>1124</v>
      </c>
      <c r="CK55" s="241" t="s">
        <v>1357</v>
      </c>
    </row>
    <row r="56" spans="1:89" ht="15" customHeight="1" x14ac:dyDescent="0.35">
      <c r="A56" s="17"/>
      <c r="B56" s="313">
        <v>88070</v>
      </c>
      <c r="C56" s="8" t="s">
        <v>923</v>
      </c>
      <c r="D56" s="18">
        <v>8</v>
      </c>
      <c r="E56" s="131"/>
      <c r="F56" s="22"/>
      <c r="G56" s="132"/>
      <c r="H56" s="22"/>
      <c r="I56" s="22"/>
      <c r="J56" s="22"/>
      <c r="K56" s="22"/>
      <c r="L56" s="22"/>
      <c r="M56" s="133"/>
      <c r="N56" s="22"/>
      <c r="O56" s="22"/>
      <c r="P56" s="22"/>
      <c r="Q56" s="20"/>
      <c r="R56" s="20"/>
      <c r="S56" s="20"/>
      <c r="T56" s="20"/>
      <c r="U56" s="20"/>
      <c r="V56" s="20"/>
      <c r="W56" s="20"/>
      <c r="X56" s="20"/>
      <c r="Y56" s="20"/>
      <c r="Z56" s="20"/>
      <c r="AA56" s="20"/>
      <c r="AB56" s="22"/>
      <c r="AC56" s="20"/>
      <c r="AD56" s="20"/>
      <c r="AE56" s="20"/>
      <c r="AF56" s="20" t="s">
        <v>1124</v>
      </c>
      <c r="AG56" s="20" t="s">
        <v>1124</v>
      </c>
      <c r="AH56" s="20" t="s">
        <v>1124</v>
      </c>
      <c r="AI56" s="328"/>
      <c r="AJ56" s="328"/>
      <c r="AK56" s="328"/>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0"/>
      <c r="BY56" s="20"/>
      <c r="BZ56" s="20"/>
      <c r="CA56" s="20"/>
      <c r="CB56" s="20"/>
      <c r="CC56" s="20"/>
      <c r="CD56" s="22"/>
      <c r="CE56" s="22"/>
      <c r="CF56" s="22"/>
      <c r="CG56" s="22"/>
      <c r="CH56" s="22"/>
      <c r="CI56" s="22"/>
      <c r="CJ56" s="149"/>
      <c r="CK56" s="241"/>
    </row>
    <row r="57" spans="1:89" ht="15" customHeight="1" x14ac:dyDescent="0.35">
      <c r="A57" s="17"/>
      <c r="B57" s="313">
        <v>18065</v>
      </c>
      <c r="C57" s="8" t="s">
        <v>116</v>
      </c>
      <c r="D57" s="18">
        <v>12</v>
      </c>
      <c r="E57" s="131" t="s">
        <v>1309</v>
      </c>
      <c r="F57" s="22" t="s">
        <v>1309</v>
      </c>
      <c r="G57" s="132" t="s">
        <v>1309</v>
      </c>
      <c r="H57" s="22" t="s">
        <v>1311</v>
      </c>
      <c r="I57" s="22" t="s">
        <v>1312</v>
      </c>
      <c r="J57" s="22" t="s">
        <v>1327</v>
      </c>
      <c r="K57" s="22" t="s">
        <v>1314</v>
      </c>
      <c r="L57" s="22" t="s">
        <v>1311</v>
      </c>
      <c r="M57" s="133" t="s">
        <v>1311</v>
      </c>
      <c r="N57" s="22" t="s">
        <v>1311</v>
      </c>
      <c r="O57" s="22" t="s">
        <v>1314</v>
      </c>
      <c r="P57" s="22" t="s">
        <v>1318</v>
      </c>
      <c r="Q57" s="20">
        <v>0</v>
      </c>
      <c r="R57" s="20">
        <v>0</v>
      </c>
      <c r="S57" s="20">
        <v>12.429</v>
      </c>
      <c r="T57" s="20">
        <v>12.429</v>
      </c>
      <c r="U57" s="20">
        <v>0</v>
      </c>
      <c r="V57" s="20">
        <v>0</v>
      </c>
      <c r="W57" s="20">
        <v>0</v>
      </c>
      <c r="X57" s="20">
        <v>0</v>
      </c>
      <c r="Y57" s="20">
        <v>0</v>
      </c>
      <c r="Z57" s="20">
        <v>0</v>
      </c>
      <c r="AA57" s="20" t="s">
        <v>1315</v>
      </c>
      <c r="AB57" s="22" t="s">
        <v>1318</v>
      </c>
      <c r="AC57" s="20">
        <v>2</v>
      </c>
      <c r="AD57" s="20">
        <v>0</v>
      </c>
      <c r="AE57" s="20">
        <v>1</v>
      </c>
      <c r="AF57" s="20">
        <v>1</v>
      </c>
      <c r="AG57" s="20">
        <v>0</v>
      </c>
      <c r="AH57" s="20">
        <v>1</v>
      </c>
      <c r="AI57" s="328">
        <v>15.392903871315323</v>
      </c>
      <c r="AJ57" s="328" t="s">
        <v>1328</v>
      </c>
      <c r="AK57" s="328">
        <v>1.6051364365971108</v>
      </c>
      <c r="AL57" s="22" t="s">
        <v>1329</v>
      </c>
      <c r="AM57" s="22" t="s">
        <v>1330</v>
      </c>
      <c r="AN57" s="22" t="s">
        <v>1317</v>
      </c>
      <c r="AO57" s="22" t="s">
        <v>1318</v>
      </c>
      <c r="AP57" s="22" t="s">
        <v>1318</v>
      </c>
      <c r="AQ57" s="22" t="s">
        <v>1318</v>
      </c>
      <c r="AR57" s="22" t="s">
        <v>1317</v>
      </c>
      <c r="AS57" s="22" t="s">
        <v>1318</v>
      </c>
      <c r="AT57" s="22" t="s">
        <v>1317</v>
      </c>
      <c r="AU57" s="22" t="s">
        <v>1318</v>
      </c>
      <c r="AV57" s="22" t="s">
        <v>1317</v>
      </c>
      <c r="AW57" s="22" t="s">
        <v>1318</v>
      </c>
      <c r="AX57" s="22" t="s">
        <v>1317</v>
      </c>
      <c r="AY57" s="22" t="s">
        <v>1318</v>
      </c>
      <c r="AZ57" s="22" t="s">
        <v>1309</v>
      </c>
      <c r="BA57" s="22" t="s">
        <v>1309</v>
      </c>
      <c r="BB57" s="22" t="s">
        <v>1309</v>
      </c>
      <c r="BC57" s="22" t="s">
        <v>1309</v>
      </c>
      <c r="BD57" s="22" t="s">
        <v>1317</v>
      </c>
      <c r="BE57" s="22" t="s">
        <v>1318</v>
      </c>
      <c r="BF57" s="22" t="s">
        <v>1317</v>
      </c>
      <c r="BG57" s="22" t="s">
        <v>1311</v>
      </c>
      <c r="BH57" s="22" t="s">
        <v>1309</v>
      </c>
      <c r="BI57" s="22" t="s">
        <v>1309</v>
      </c>
      <c r="BJ57" s="22" t="s">
        <v>1319</v>
      </c>
      <c r="BK57" s="22" t="s">
        <v>1311</v>
      </c>
      <c r="BL57" s="22" t="s">
        <v>1309</v>
      </c>
      <c r="BM57" s="22" t="s">
        <v>1309</v>
      </c>
      <c r="BN57" s="22" t="s">
        <v>1309</v>
      </c>
      <c r="BO57" s="22" t="s">
        <v>1309</v>
      </c>
      <c r="BP57" s="22" t="s">
        <v>1309</v>
      </c>
      <c r="BQ57" s="22" t="s">
        <v>1309</v>
      </c>
      <c r="BR57" s="22" t="s">
        <v>1309</v>
      </c>
      <c r="BS57" s="22" t="s">
        <v>1309</v>
      </c>
      <c r="BT57" s="22" t="s">
        <v>1309</v>
      </c>
      <c r="BU57" s="22" t="s">
        <v>1309</v>
      </c>
      <c r="BV57" s="22" t="s">
        <v>1317</v>
      </c>
      <c r="BW57" s="22" t="s">
        <v>1318</v>
      </c>
      <c r="BX57" s="20">
        <v>0</v>
      </c>
      <c r="BY57" s="20">
        <v>0</v>
      </c>
      <c r="BZ57" s="20">
        <v>21</v>
      </c>
      <c r="CA57" s="20">
        <v>0</v>
      </c>
      <c r="CB57" s="20">
        <v>0</v>
      </c>
      <c r="CC57" s="20">
        <v>602</v>
      </c>
      <c r="CD57" s="22" t="s">
        <v>1317</v>
      </c>
      <c r="CE57" s="22" t="s">
        <v>1318</v>
      </c>
      <c r="CF57" s="22" t="s">
        <v>1317</v>
      </c>
      <c r="CG57" s="22" t="s">
        <v>1318</v>
      </c>
      <c r="CH57" s="22" t="s">
        <v>1317</v>
      </c>
      <c r="CI57" s="22" t="s">
        <v>1318</v>
      </c>
      <c r="CJ57" s="149" t="s">
        <v>1124</v>
      </c>
      <c r="CK57" s="241" t="s">
        <v>1411</v>
      </c>
    </row>
    <row r="58" spans="1:89" ht="15" customHeight="1" x14ac:dyDescent="0.35">
      <c r="A58" s="17"/>
      <c r="B58" s="313">
        <v>52035</v>
      </c>
      <c r="C58" s="8" t="s">
        <v>518</v>
      </c>
      <c r="D58" s="18">
        <v>14</v>
      </c>
      <c r="E58" s="131" t="s">
        <v>1309</v>
      </c>
      <c r="F58" s="22" t="s">
        <v>1309</v>
      </c>
      <c r="G58" s="132" t="s">
        <v>1309</v>
      </c>
      <c r="H58" s="22" t="s">
        <v>1311</v>
      </c>
      <c r="I58" s="22" t="s">
        <v>1327</v>
      </c>
      <c r="J58" s="22" t="s">
        <v>1327</v>
      </c>
      <c r="K58" s="22" t="s">
        <v>1314</v>
      </c>
      <c r="L58" s="22" t="s">
        <v>1311</v>
      </c>
      <c r="M58" s="133" t="s">
        <v>1311</v>
      </c>
      <c r="N58" s="22" t="s">
        <v>1311</v>
      </c>
      <c r="O58" s="22" t="s">
        <v>1309</v>
      </c>
      <c r="P58" s="22" t="s">
        <v>1309</v>
      </c>
      <c r="Q58" s="20">
        <v>0</v>
      </c>
      <c r="R58" s="20">
        <v>0</v>
      </c>
      <c r="S58" s="20">
        <v>0</v>
      </c>
      <c r="T58" s="20">
        <v>62.15</v>
      </c>
      <c r="U58" s="20">
        <v>2</v>
      </c>
      <c r="V58" s="20">
        <v>0</v>
      </c>
      <c r="W58" s="20">
        <v>0</v>
      </c>
      <c r="X58" s="20">
        <v>0</v>
      </c>
      <c r="Y58" s="20">
        <v>0</v>
      </c>
      <c r="Z58" s="20">
        <v>0</v>
      </c>
      <c r="AA58" s="20" t="s">
        <v>1317</v>
      </c>
      <c r="AB58" s="22" t="s">
        <v>1318</v>
      </c>
      <c r="AC58" s="20">
        <v>1</v>
      </c>
      <c r="AD58" s="20">
        <v>1</v>
      </c>
      <c r="AE58" s="20">
        <v>1</v>
      </c>
      <c r="AF58" s="20">
        <v>1</v>
      </c>
      <c r="AG58" s="20">
        <v>1</v>
      </c>
      <c r="AH58" s="20">
        <v>1</v>
      </c>
      <c r="AI58" s="328">
        <v>3.2180209171359615</v>
      </c>
      <c r="AJ58" s="328">
        <v>0.7293946024799417</v>
      </c>
      <c r="AK58" s="328">
        <v>0.7293946024799417</v>
      </c>
      <c r="AL58" s="22" t="s">
        <v>1329</v>
      </c>
      <c r="AM58" s="22" t="s">
        <v>1330</v>
      </c>
      <c r="AN58" s="22" t="s">
        <v>1317</v>
      </c>
      <c r="AO58" s="22" t="s">
        <v>1318</v>
      </c>
      <c r="AP58" s="22" t="s">
        <v>1318</v>
      </c>
      <c r="AQ58" s="22" t="s">
        <v>1318</v>
      </c>
      <c r="AR58" s="22" t="s">
        <v>1309</v>
      </c>
      <c r="AS58" s="22" t="s">
        <v>1309</v>
      </c>
      <c r="AT58" s="22" t="s">
        <v>1317</v>
      </c>
      <c r="AU58" s="22" t="s">
        <v>1318</v>
      </c>
      <c r="AV58" s="22" t="s">
        <v>1317</v>
      </c>
      <c r="AW58" s="22" t="s">
        <v>1318</v>
      </c>
      <c r="AX58" s="22" t="s">
        <v>1317</v>
      </c>
      <c r="AY58" s="22" t="s">
        <v>1318</v>
      </c>
      <c r="AZ58" s="22" t="s">
        <v>1317</v>
      </c>
      <c r="BA58" s="22" t="s">
        <v>1318</v>
      </c>
      <c r="BB58" s="22" t="s">
        <v>1309</v>
      </c>
      <c r="BC58" s="22" t="s">
        <v>1309</v>
      </c>
      <c r="BD58" s="22" t="s">
        <v>1317</v>
      </c>
      <c r="BE58" s="22" t="s">
        <v>1318</v>
      </c>
      <c r="BF58" s="22" t="s">
        <v>1317</v>
      </c>
      <c r="BG58" s="22" t="s">
        <v>1311</v>
      </c>
      <c r="BH58" s="22" t="s">
        <v>1309</v>
      </c>
      <c r="BI58" s="22" t="s">
        <v>1309</v>
      </c>
      <c r="BJ58" s="22" t="s">
        <v>1309</v>
      </c>
      <c r="BK58" s="22" t="s">
        <v>1309</v>
      </c>
      <c r="BL58" s="22" t="s">
        <v>1317</v>
      </c>
      <c r="BM58" s="22" t="s">
        <v>1318</v>
      </c>
      <c r="BN58" s="22" t="s">
        <v>1309</v>
      </c>
      <c r="BO58" s="22" t="s">
        <v>1309</v>
      </c>
      <c r="BP58" s="22" t="s">
        <v>1309</v>
      </c>
      <c r="BQ58" s="22" t="s">
        <v>1309</v>
      </c>
      <c r="BR58" s="22" t="s">
        <v>1309</v>
      </c>
      <c r="BS58" s="22" t="s">
        <v>1309</v>
      </c>
      <c r="BT58" s="22" t="s">
        <v>1309</v>
      </c>
      <c r="BU58" s="22" t="s">
        <v>1309</v>
      </c>
      <c r="BV58" s="22" t="s">
        <v>1317</v>
      </c>
      <c r="BW58" s="22" t="s">
        <v>1318</v>
      </c>
      <c r="BX58" s="20">
        <v>61</v>
      </c>
      <c r="BY58" s="20">
        <v>0</v>
      </c>
      <c r="BZ58" s="20">
        <v>127</v>
      </c>
      <c r="CA58" s="20">
        <v>0</v>
      </c>
      <c r="CB58" s="20">
        <v>0</v>
      </c>
      <c r="CC58" s="20">
        <v>1183</v>
      </c>
      <c r="CD58" s="22" t="s">
        <v>1320</v>
      </c>
      <c r="CE58" s="22" t="s">
        <v>1321</v>
      </c>
      <c r="CF58" s="22" t="s">
        <v>1317</v>
      </c>
      <c r="CG58" s="22" t="s">
        <v>1321</v>
      </c>
      <c r="CH58" s="22" t="s">
        <v>1317</v>
      </c>
      <c r="CI58" s="22" t="s">
        <v>1318</v>
      </c>
      <c r="CJ58" s="149" t="s">
        <v>1481</v>
      </c>
      <c r="CK58" s="241" t="s">
        <v>1482</v>
      </c>
    </row>
    <row r="59" spans="1:89" ht="15" customHeight="1" x14ac:dyDescent="0.35">
      <c r="A59" s="17"/>
      <c r="B59" s="313">
        <v>48005</v>
      </c>
      <c r="C59" s="8" t="s">
        <v>456</v>
      </c>
      <c r="D59" s="18">
        <v>16</v>
      </c>
      <c r="E59" s="131"/>
      <c r="F59" s="22"/>
      <c r="G59" s="132"/>
      <c r="H59" s="22"/>
      <c r="I59" s="22"/>
      <c r="J59" s="22"/>
      <c r="K59" s="22"/>
      <c r="L59" s="22"/>
      <c r="M59" s="133"/>
      <c r="N59" s="22"/>
      <c r="O59" s="22"/>
      <c r="P59" s="22"/>
      <c r="Q59" s="20"/>
      <c r="R59" s="20"/>
      <c r="S59" s="20"/>
      <c r="T59" s="20"/>
      <c r="U59" s="20"/>
      <c r="V59" s="20"/>
      <c r="W59" s="20"/>
      <c r="X59" s="20"/>
      <c r="Y59" s="20"/>
      <c r="Z59" s="20"/>
      <c r="AA59" s="20"/>
      <c r="AB59" s="22"/>
      <c r="AC59" s="20"/>
      <c r="AD59" s="20"/>
      <c r="AE59" s="20"/>
      <c r="AF59" s="20" t="s">
        <v>1124</v>
      </c>
      <c r="AG59" s="20" t="s">
        <v>1124</v>
      </c>
      <c r="AH59" s="20" t="s">
        <v>1124</v>
      </c>
      <c r="AI59" s="328"/>
      <c r="AJ59" s="328"/>
      <c r="AK59" s="328"/>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0"/>
      <c r="BY59" s="20"/>
      <c r="BZ59" s="20"/>
      <c r="CA59" s="20"/>
      <c r="CB59" s="20"/>
      <c r="CC59" s="20"/>
      <c r="CD59" s="22"/>
      <c r="CE59" s="22"/>
      <c r="CF59" s="22"/>
      <c r="CG59" s="22"/>
      <c r="CH59" s="22"/>
      <c r="CI59" s="22"/>
      <c r="CJ59" s="149"/>
      <c r="CK59" s="241"/>
    </row>
    <row r="60" spans="1:89" ht="15" customHeight="1" x14ac:dyDescent="0.35">
      <c r="A60" s="17"/>
      <c r="B60" s="313">
        <v>13055</v>
      </c>
      <c r="C60" s="8" t="s">
        <v>50</v>
      </c>
      <c r="D60" s="18">
        <v>1</v>
      </c>
      <c r="E60" s="131" t="s">
        <v>1309</v>
      </c>
      <c r="F60" s="22" t="s">
        <v>1309</v>
      </c>
      <c r="G60" s="132" t="s">
        <v>1309</v>
      </c>
      <c r="H60" s="22" t="s">
        <v>1311</v>
      </c>
      <c r="I60" s="22" t="s">
        <v>1327</v>
      </c>
      <c r="J60" s="22" t="s">
        <v>1327</v>
      </c>
      <c r="K60" s="22" t="s">
        <v>1314</v>
      </c>
      <c r="L60" s="22" t="s">
        <v>1311</v>
      </c>
      <c r="M60" s="133" t="s">
        <v>1311</v>
      </c>
      <c r="N60" s="22" t="s">
        <v>1311</v>
      </c>
      <c r="O60" s="22" t="s">
        <v>1314</v>
      </c>
      <c r="P60" s="22" t="s">
        <v>1318</v>
      </c>
      <c r="Q60" s="20">
        <v>0</v>
      </c>
      <c r="R60" s="20">
        <v>0</v>
      </c>
      <c r="S60" s="20">
        <v>0</v>
      </c>
      <c r="T60" s="20">
        <v>0</v>
      </c>
      <c r="U60" s="20">
        <v>5.5049999999999999</v>
      </c>
      <c r="V60" s="20">
        <v>5.5049999999999999</v>
      </c>
      <c r="W60" s="20">
        <v>0</v>
      </c>
      <c r="X60" s="20">
        <v>0</v>
      </c>
      <c r="Y60" s="20">
        <v>0</v>
      </c>
      <c r="Z60" s="20">
        <v>0</v>
      </c>
      <c r="AA60" s="20" t="s">
        <v>1309</v>
      </c>
      <c r="AB60" s="22" t="s">
        <v>1309</v>
      </c>
      <c r="AC60" s="20">
        <v>2</v>
      </c>
      <c r="AD60" s="20">
        <v>0</v>
      </c>
      <c r="AE60" s="20">
        <v>0</v>
      </c>
      <c r="AF60" s="20">
        <v>4</v>
      </c>
      <c r="AG60" s="20">
        <v>0</v>
      </c>
      <c r="AH60" s="20">
        <v>0</v>
      </c>
      <c r="AI60" s="328">
        <v>36.33060853769301</v>
      </c>
      <c r="AJ60" s="328" t="s">
        <v>1328</v>
      </c>
      <c r="AK60" s="328" t="s">
        <v>1328</v>
      </c>
      <c r="AL60" s="22" t="s">
        <v>1329</v>
      </c>
      <c r="AM60" s="22" t="s">
        <v>1330</v>
      </c>
      <c r="AN60" s="22" t="s">
        <v>1317</v>
      </c>
      <c r="AO60" s="22" t="s">
        <v>1318</v>
      </c>
      <c r="AP60" s="22" t="s">
        <v>1318</v>
      </c>
      <c r="AQ60" s="22" t="s">
        <v>1318</v>
      </c>
      <c r="AR60" s="22" t="s">
        <v>1317</v>
      </c>
      <c r="AS60" s="22" t="s">
        <v>1318</v>
      </c>
      <c r="AT60" s="22" t="s">
        <v>1317</v>
      </c>
      <c r="AU60" s="22" t="s">
        <v>1318</v>
      </c>
      <c r="AV60" s="22" t="s">
        <v>1317</v>
      </c>
      <c r="AW60" s="22" t="s">
        <v>1318</v>
      </c>
      <c r="AX60" s="22" t="s">
        <v>1317</v>
      </c>
      <c r="AY60" s="22" t="s">
        <v>1318</v>
      </c>
      <c r="AZ60" s="22" t="s">
        <v>1309</v>
      </c>
      <c r="BA60" s="22" t="s">
        <v>1309</v>
      </c>
      <c r="BB60" s="22" t="s">
        <v>1309</v>
      </c>
      <c r="BC60" s="22" t="s">
        <v>1309</v>
      </c>
      <c r="BD60" s="22" t="s">
        <v>1317</v>
      </c>
      <c r="BE60" s="22" t="s">
        <v>1318</v>
      </c>
      <c r="BF60" s="22" t="s">
        <v>1317</v>
      </c>
      <c r="BG60" s="22" t="s">
        <v>1318</v>
      </c>
      <c r="BH60" s="22" t="s">
        <v>1317</v>
      </c>
      <c r="BI60" s="22" t="s">
        <v>1318</v>
      </c>
      <c r="BJ60" s="22" t="s">
        <v>1319</v>
      </c>
      <c r="BK60" s="22" t="s">
        <v>1311</v>
      </c>
      <c r="BL60" s="22" t="s">
        <v>1317</v>
      </c>
      <c r="BM60" s="22" t="s">
        <v>1318</v>
      </c>
      <c r="BN60" s="22" t="s">
        <v>1317</v>
      </c>
      <c r="BO60" s="22" t="s">
        <v>1318</v>
      </c>
      <c r="BP60" s="22" t="s">
        <v>1317</v>
      </c>
      <c r="BQ60" s="22" t="s">
        <v>1318</v>
      </c>
      <c r="BR60" s="22" t="s">
        <v>1319</v>
      </c>
      <c r="BS60" s="22" t="s">
        <v>1311</v>
      </c>
      <c r="BT60" s="22" t="s">
        <v>1317</v>
      </c>
      <c r="BU60" s="22" t="s">
        <v>1318</v>
      </c>
      <c r="BV60" s="22" t="s">
        <v>1317</v>
      </c>
      <c r="BW60" s="22" t="s">
        <v>1318</v>
      </c>
      <c r="BX60" s="20">
        <v>0</v>
      </c>
      <c r="BY60" s="20">
        <v>0</v>
      </c>
      <c r="BZ60" s="20">
        <v>16</v>
      </c>
      <c r="CA60" s="20">
        <v>0</v>
      </c>
      <c r="CB60" s="20">
        <v>0</v>
      </c>
      <c r="CC60" s="20">
        <v>122</v>
      </c>
      <c r="CD60" s="22" t="s">
        <v>1317</v>
      </c>
      <c r="CE60" s="22" t="s">
        <v>1318</v>
      </c>
      <c r="CF60" s="22" t="s">
        <v>1317</v>
      </c>
      <c r="CG60" s="22" t="s">
        <v>1318</v>
      </c>
      <c r="CH60" s="22" t="s">
        <v>1317</v>
      </c>
      <c r="CI60" s="22" t="s">
        <v>1318</v>
      </c>
      <c r="CJ60" s="149" t="s">
        <v>1486</v>
      </c>
      <c r="CK60" s="241" t="s">
        <v>1487</v>
      </c>
    </row>
    <row r="61" spans="1:89" ht="15" customHeight="1" x14ac:dyDescent="0.35">
      <c r="A61" s="17"/>
      <c r="B61" s="313">
        <v>73015</v>
      </c>
      <c r="C61" s="8" t="s">
        <v>736</v>
      </c>
      <c r="D61" s="18">
        <v>15</v>
      </c>
      <c r="E61" s="131" t="s">
        <v>1309</v>
      </c>
      <c r="F61" s="22" t="s">
        <v>1309</v>
      </c>
      <c r="G61" s="132" t="s">
        <v>1309</v>
      </c>
      <c r="H61" s="22" t="s">
        <v>1311</v>
      </c>
      <c r="I61" s="22" t="s">
        <v>1327</v>
      </c>
      <c r="J61" s="22" t="s">
        <v>1327</v>
      </c>
      <c r="K61" s="22" t="s">
        <v>1319</v>
      </c>
      <c r="L61" s="22" t="s">
        <v>1311</v>
      </c>
      <c r="M61" s="133" t="s">
        <v>1311</v>
      </c>
      <c r="N61" s="22" t="s">
        <v>1311</v>
      </c>
      <c r="O61" s="22" t="s">
        <v>1309</v>
      </c>
      <c r="P61" s="22" t="s">
        <v>1309</v>
      </c>
      <c r="Q61" s="20">
        <v>0</v>
      </c>
      <c r="R61" s="20">
        <v>0</v>
      </c>
      <c r="S61" s="20">
        <v>0</v>
      </c>
      <c r="T61" s="20">
        <v>0</v>
      </c>
      <c r="U61" s="20">
        <v>0</v>
      </c>
      <c r="V61" s="20">
        <v>276.27</v>
      </c>
      <c r="W61" s="20">
        <v>0</v>
      </c>
      <c r="X61" s="20">
        <v>0</v>
      </c>
      <c r="Y61" s="20">
        <v>0</v>
      </c>
      <c r="Z61" s="20">
        <v>0</v>
      </c>
      <c r="AA61" s="20" t="s">
        <v>1317</v>
      </c>
      <c r="AB61" s="22" t="s">
        <v>1318</v>
      </c>
      <c r="AC61" s="20">
        <v>22</v>
      </c>
      <c r="AD61" s="20">
        <v>0</v>
      </c>
      <c r="AE61" s="20">
        <v>0</v>
      </c>
      <c r="AF61" s="20">
        <v>1</v>
      </c>
      <c r="AG61" s="20">
        <v>0</v>
      </c>
      <c r="AH61" s="20">
        <v>0</v>
      </c>
      <c r="AI61" s="328">
        <v>7.9632243819451993</v>
      </c>
      <c r="AJ61" s="328" t="s">
        <v>1328</v>
      </c>
      <c r="AK61" s="328" t="s">
        <v>1328</v>
      </c>
      <c r="AL61" s="22" t="s">
        <v>1316</v>
      </c>
      <c r="AM61" s="22" t="s">
        <v>1343</v>
      </c>
      <c r="AN61" s="22" t="s">
        <v>1317</v>
      </c>
      <c r="AO61" s="22" t="s">
        <v>1318</v>
      </c>
      <c r="AP61" s="22" t="s">
        <v>1318</v>
      </c>
      <c r="AQ61" s="22" t="s">
        <v>1318</v>
      </c>
      <c r="AR61" s="22" t="s">
        <v>1309</v>
      </c>
      <c r="AS61" s="22" t="s">
        <v>1309</v>
      </c>
      <c r="AT61" s="22" t="s">
        <v>1309</v>
      </c>
      <c r="AU61" s="22" t="s">
        <v>1309</v>
      </c>
      <c r="AV61" s="22" t="s">
        <v>1309</v>
      </c>
      <c r="AW61" s="22" t="s">
        <v>1309</v>
      </c>
      <c r="AX61" s="22" t="s">
        <v>1317</v>
      </c>
      <c r="AY61" s="22" t="s">
        <v>1318</v>
      </c>
      <c r="AZ61" s="22" t="s">
        <v>1309</v>
      </c>
      <c r="BA61" s="22" t="s">
        <v>1309</v>
      </c>
      <c r="BB61" s="22" t="s">
        <v>1317</v>
      </c>
      <c r="BC61" s="22" t="s">
        <v>1318</v>
      </c>
      <c r="BD61" s="22" t="s">
        <v>1317</v>
      </c>
      <c r="BE61" s="22" t="s">
        <v>1318</v>
      </c>
      <c r="BF61" s="22" t="s">
        <v>1317</v>
      </c>
      <c r="BG61" s="22" t="s">
        <v>1318</v>
      </c>
      <c r="BH61" s="22" t="s">
        <v>1309</v>
      </c>
      <c r="BI61" s="22" t="s">
        <v>1309</v>
      </c>
      <c r="BJ61" s="22" t="s">
        <v>1309</v>
      </c>
      <c r="BK61" s="22" t="s">
        <v>1309</v>
      </c>
      <c r="BL61" s="22" t="s">
        <v>1309</v>
      </c>
      <c r="BM61" s="22" t="s">
        <v>1309</v>
      </c>
      <c r="BN61" s="22" t="s">
        <v>1309</v>
      </c>
      <c r="BO61" s="22" t="s">
        <v>1309</v>
      </c>
      <c r="BP61" s="22" t="s">
        <v>1317</v>
      </c>
      <c r="BQ61" s="22" t="s">
        <v>1318</v>
      </c>
      <c r="BR61" s="22" t="s">
        <v>1317</v>
      </c>
      <c r="BS61" s="22" t="s">
        <v>1318</v>
      </c>
      <c r="BT61" s="22" t="s">
        <v>1317</v>
      </c>
      <c r="BU61" s="22" t="s">
        <v>1318</v>
      </c>
      <c r="BV61" s="22" t="s">
        <v>1317</v>
      </c>
      <c r="BW61" s="22" t="s">
        <v>1318</v>
      </c>
      <c r="BX61" s="20">
        <v>358</v>
      </c>
      <c r="BY61" s="20">
        <v>0</v>
      </c>
      <c r="BZ61" s="20">
        <v>329</v>
      </c>
      <c r="CA61" s="20">
        <v>0</v>
      </c>
      <c r="CB61" s="20">
        <v>0</v>
      </c>
      <c r="CC61" s="20">
        <v>18423</v>
      </c>
      <c r="CD61" s="22" t="s">
        <v>1345</v>
      </c>
      <c r="CE61" s="22" t="s">
        <v>1318</v>
      </c>
      <c r="CF61" s="22" t="s">
        <v>1317</v>
      </c>
      <c r="CG61" s="22" t="s">
        <v>1318</v>
      </c>
      <c r="CH61" s="22" t="s">
        <v>1317</v>
      </c>
      <c r="CI61" s="22" t="s">
        <v>1318</v>
      </c>
      <c r="CJ61" s="149" t="s">
        <v>1124</v>
      </c>
      <c r="CK61" s="241" t="s">
        <v>3710</v>
      </c>
    </row>
    <row r="62" spans="1:89" ht="15" customHeight="1" x14ac:dyDescent="0.35">
      <c r="A62" s="17"/>
      <c r="B62" s="313">
        <v>98005</v>
      </c>
      <c r="C62" s="8" t="s">
        <v>1006</v>
      </c>
      <c r="D62" s="18">
        <v>9</v>
      </c>
      <c r="E62" s="131"/>
      <c r="F62" s="22"/>
      <c r="G62" s="132"/>
      <c r="H62" s="22"/>
      <c r="I62" s="22"/>
      <c r="J62" s="22"/>
      <c r="K62" s="22"/>
      <c r="L62" s="22"/>
      <c r="M62" s="133"/>
      <c r="N62" s="22"/>
      <c r="O62" s="22"/>
      <c r="P62" s="22"/>
      <c r="Q62" s="20"/>
      <c r="R62" s="20"/>
      <c r="S62" s="20"/>
      <c r="T62" s="20"/>
      <c r="U62" s="20"/>
      <c r="V62" s="20"/>
      <c r="W62" s="20"/>
      <c r="X62" s="20"/>
      <c r="Y62" s="20"/>
      <c r="Z62" s="20"/>
      <c r="AA62" s="20"/>
      <c r="AB62" s="22"/>
      <c r="AC62" s="20"/>
      <c r="AD62" s="20"/>
      <c r="AE62" s="20"/>
      <c r="AF62" s="20" t="s">
        <v>1124</v>
      </c>
      <c r="AG62" s="20" t="s">
        <v>1124</v>
      </c>
      <c r="AH62" s="20" t="s">
        <v>1124</v>
      </c>
      <c r="AI62" s="328"/>
      <c r="AJ62" s="328"/>
      <c r="AK62" s="328"/>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0"/>
      <c r="BY62" s="20"/>
      <c r="BZ62" s="20"/>
      <c r="CA62" s="20"/>
      <c r="CB62" s="20"/>
      <c r="CC62" s="20"/>
      <c r="CD62" s="22"/>
      <c r="CE62" s="22"/>
      <c r="CF62" s="22"/>
      <c r="CG62" s="22"/>
      <c r="CH62" s="22"/>
      <c r="CI62" s="22"/>
      <c r="CJ62" s="149"/>
      <c r="CK62" s="241"/>
    </row>
    <row r="63" spans="1:89" ht="15" customHeight="1" x14ac:dyDescent="0.35">
      <c r="A63" s="17"/>
      <c r="B63" s="313">
        <v>83045</v>
      </c>
      <c r="C63" s="8" t="s">
        <v>841</v>
      </c>
      <c r="D63" s="18">
        <v>7</v>
      </c>
      <c r="E63" s="131"/>
      <c r="F63" s="22"/>
      <c r="G63" s="132"/>
      <c r="H63" s="22"/>
      <c r="I63" s="22"/>
      <c r="J63" s="22"/>
      <c r="K63" s="22"/>
      <c r="L63" s="22"/>
      <c r="M63" s="133"/>
      <c r="N63" s="22"/>
      <c r="O63" s="22"/>
      <c r="P63" s="22"/>
      <c r="Q63" s="20"/>
      <c r="R63" s="20"/>
      <c r="S63" s="20"/>
      <c r="T63" s="20"/>
      <c r="U63" s="20"/>
      <c r="V63" s="20"/>
      <c r="W63" s="20"/>
      <c r="X63" s="20"/>
      <c r="Y63" s="20"/>
      <c r="Z63" s="20"/>
      <c r="AA63" s="20"/>
      <c r="AB63" s="22"/>
      <c r="AC63" s="20"/>
      <c r="AD63" s="20"/>
      <c r="AE63" s="20"/>
      <c r="AF63" s="20" t="s">
        <v>1124</v>
      </c>
      <c r="AG63" s="20" t="s">
        <v>1124</v>
      </c>
      <c r="AH63" s="20" t="s">
        <v>1124</v>
      </c>
      <c r="AI63" s="328"/>
      <c r="AJ63" s="328"/>
      <c r="AK63" s="328"/>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0"/>
      <c r="BY63" s="20"/>
      <c r="BZ63" s="20"/>
      <c r="CA63" s="20"/>
      <c r="CB63" s="20"/>
      <c r="CC63" s="20"/>
      <c r="CD63" s="22"/>
      <c r="CE63" s="22"/>
      <c r="CF63" s="22"/>
      <c r="CG63" s="22"/>
      <c r="CH63" s="22"/>
      <c r="CI63" s="22"/>
      <c r="CJ63" s="149"/>
      <c r="CK63" s="241"/>
    </row>
    <row r="64" spans="1:89" ht="15" customHeight="1" x14ac:dyDescent="0.35">
      <c r="A64" s="17"/>
      <c r="B64" s="313">
        <v>80115</v>
      </c>
      <c r="C64" s="8" t="s">
        <v>821</v>
      </c>
      <c r="D64" s="18">
        <v>7</v>
      </c>
      <c r="E64" s="131"/>
      <c r="F64" s="22"/>
      <c r="G64" s="132"/>
      <c r="H64" s="22"/>
      <c r="I64" s="22"/>
      <c r="J64" s="22"/>
      <c r="K64" s="22"/>
      <c r="L64" s="22"/>
      <c r="M64" s="133"/>
      <c r="N64" s="22"/>
      <c r="O64" s="22"/>
      <c r="P64" s="22"/>
      <c r="Q64" s="20"/>
      <c r="R64" s="20"/>
      <c r="S64" s="20"/>
      <c r="T64" s="20"/>
      <c r="U64" s="20"/>
      <c r="V64" s="20"/>
      <c r="W64" s="20"/>
      <c r="X64" s="20"/>
      <c r="Y64" s="20"/>
      <c r="Z64" s="20"/>
      <c r="AA64" s="20"/>
      <c r="AB64" s="22"/>
      <c r="AC64" s="20"/>
      <c r="AD64" s="20"/>
      <c r="AE64" s="20"/>
      <c r="AF64" s="20" t="s">
        <v>1124</v>
      </c>
      <c r="AG64" s="20" t="s">
        <v>1124</v>
      </c>
      <c r="AH64" s="20" t="s">
        <v>1124</v>
      </c>
      <c r="AI64" s="328"/>
      <c r="AJ64" s="328"/>
      <c r="AK64" s="328"/>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0"/>
      <c r="BY64" s="20"/>
      <c r="BZ64" s="20"/>
      <c r="CA64" s="20"/>
      <c r="CB64" s="20"/>
      <c r="CC64" s="20"/>
      <c r="CD64" s="22"/>
      <c r="CE64" s="22"/>
      <c r="CF64" s="22"/>
      <c r="CG64" s="22"/>
      <c r="CH64" s="22"/>
      <c r="CI64" s="22"/>
      <c r="CJ64" s="149"/>
      <c r="CK64" s="241"/>
    </row>
    <row r="65" spans="1:89" ht="15" customHeight="1" x14ac:dyDescent="0.35">
      <c r="A65" s="17"/>
      <c r="B65" s="313">
        <v>73005</v>
      </c>
      <c r="C65" s="8" t="s">
        <v>734</v>
      </c>
      <c r="D65" s="18">
        <v>15</v>
      </c>
      <c r="E65" s="131" t="s">
        <v>1309</v>
      </c>
      <c r="F65" s="22" t="s">
        <v>1309</v>
      </c>
      <c r="G65" s="132" t="s">
        <v>1309</v>
      </c>
      <c r="H65" s="22" t="s">
        <v>1311</v>
      </c>
      <c r="I65" s="22" t="s">
        <v>1327</v>
      </c>
      <c r="J65" s="22" t="s">
        <v>1327</v>
      </c>
      <c r="K65" s="22" t="s">
        <v>1314</v>
      </c>
      <c r="L65" s="22" t="s">
        <v>1311</v>
      </c>
      <c r="M65" s="133" t="s">
        <v>1311</v>
      </c>
      <c r="N65" s="22" t="s">
        <v>1311</v>
      </c>
      <c r="O65" s="22" t="s">
        <v>1309</v>
      </c>
      <c r="P65" s="22" t="s">
        <v>1309</v>
      </c>
      <c r="Q65" s="20">
        <v>0</v>
      </c>
      <c r="R65" s="20">
        <v>0</v>
      </c>
      <c r="S65" s="20">
        <v>192.04049999999998</v>
      </c>
      <c r="T65" s="20">
        <v>256.05399999999997</v>
      </c>
      <c r="U65" s="20">
        <v>0</v>
      </c>
      <c r="V65" s="20">
        <v>0</v>
      </c>
      <c r="W65" s="20">
        <v>0</v>
      </c>
      <c r="X65" s="20">
        <v>0</v>
      </c>
      <c r="Y65" s="20">
        <v>0</v>
      </c>
      <c r="Z65" s="20">
        <v>0</v>
      </c>
      <c r="AA65" s="20" t="s">
        <v>1317</v>
      </c>
      <c r="AB65" s="22" t="s">
        <v>1311</v>
      </c>
      <c r="AC65" s="20">
        <v>4</v>
      </c>
      <c r="AD65" s="20">
        <v>1</v>
      </c>
      <c r="AE65" s="20">
        <v>1</v>
      </c>
      <c r="AF65" s="20">
        <v>8</v>
      </c>
      <c r="AG65" s="20">
        <v>1</v>
      </c>
      <c r="AH65" s="20">
        <v>1</v>
      </c>
      <c r="AI65" s="328">
        <v>3.124340959328892</v>
      </c>
      <c r="AJ65" s="328">
        <v>0.11779950524207798</v>
      </c>
      <c r="AK65" s="328">
        <v>0.11779950524207798</v>
      </c>
      <c r="AL65" s="22" t="s">
        <v>1338</v>
      </c>
      <c r="AM65" s="22" t="s">
        <v>1330</v>
      </c>
      <c r="AN65" s="22" t="s">
        <v>1315</v>
      </c>
      <c r="AO65" s="22" t="s">
        <v>1315</v>
      </c>
      <c r="AP65" s="22" t="s">
        <v>1315</v>
      </c>
      <c r="AQ65" s="22" t="s">
        <v>1315</v>
      </c>
      <c r="AR65" s="22" t="s">
        <v>1317</v>
      </c>
      <c r="AS65" s="22" t="s">
        <v>1318</v>
      </c>
      <c r="AT65" s="22" t="s">
        <v>1309</v>
      </c>
      <c r="AU65" s="22" t="s">
        <v>1309</v>
      </c>
      <c r="AV65" s="22" t="s">
        <v>1317</v>
      </c>
      <c r="AW65" s="22" t="s">
        <v>1318</v>
      </c>
      <c r="AX65" s="22" t="s">
        <v>1317</v>
      </c>
      <c r="AY65" s="22" t="s">
        <v>1318</v>
      </c>
      <c r="AZ65" s="22" t="s">
        <v>1309</v>
      </c>
      <c r="BA65" s="22" t="s">
        <v>1309</v>
      </c>
      <c r="BB65" s="22" t="s">
        <v>1309</v>
      </c>
      <c r="BC65" s="22" t="s">
        <v>1309</v>
      </c>
      <c r="BD65" s="22" t="s">
        <v>1309</v>
      </c>
      <c r="BE65" s="22" t="s">
        <v>1309</v>
      </c>
      <c r="BF65" s="22" t="s">
        <v>1309</v>
      </c>
      <c r="BG65" s="22" t="s">
        <v>1309</v>
      </c>
      <c r="BH65" s="22" t="s">
        <v>1309</v>
      </c>
      <c r="BI65" s="22" t="s">
        <v>1309</v>
      </c>
      <c r="BJ65" s="22" t="s">
        <v>1317</v>
      </c>
      <c r="BK65" s="22" t="s">
        <v>1318</v>
      </c>
      <c r="BL65" s="22" t="s">
        <v>1309</v>
      </c>
      <c r="BM65" s="22" t="s">
        <v>1309</v>
      </c>
      <c r="BN65" s="22" t="s">
        <v>1317</v>
      </c>
      <c r="BO65" s="22" t="s">
        <v>1311</v>
      </c>
      <c r="BP65" s="22" t="s">
        <v>1309</v>
      </c>
      <c r="BQ65" s="22" t="s">
        <v>1309</v>
      </c>
      <c r="BR65" s="22" t="s">
        <v>1309</v>
      </c>
      <c r="BS65" s="22" t="s">
        <v>1309</v>
      </c>
      <c r="BT65" s="22" t="s">
        <v>1317</v>
      </c>
      <c r="BU65" s="22" t="s">
        <v>1318</v>
      </c>
      <c r="BV65" s="22" t="s">
        <v>1317</v>
      </c>
      <c r="BW65" s="22" t="s">
        <v>1318</v>
      </c>
      <c r="BX65" s="20">
        <v>455</v>
      </c>
      <c r="BY65" s="20">
        <v>13</v>
      </c>
      <c r="BZ65" s="20">
        <v>0</v>
      </c>
      <c r="CA65" s="20">
        <v>7563</v>
      </c>
      <c r="CB65" s="20">
        <v>300</v>
      </c>
      <c r="CC65" s="20">
        <v>0</v>
      </c>
      <c r="CD65" s="22" t="s">
        <v>1331</v>
      </c>
      <c r="CE65" s="22" t="s">
        <v>1331</v>
      </c>
      <c r="CF65" s="22" t="s">
        <v>1315</v>
      </c>
      <c r="CG65" s="22" t="s">
        <v>1315</v>
      </c>
      <c r="CH65" s="22" t="s">
        <v>1317</v>
      </c>
      <c r="CI65" s="22" t="s">
        <v>1318</v>
      </c>
      <c r="CJ65" s="149" t="s">
        <v>1506</v>
      </c>
      <c r="CK65" s="241" t="s">
        <v>1124</v>
      </c>
    </row>
    <row r="66" spans="1:89" ht="15" customHeight="1" x14ac:dyDescent="0.35">
      <c r="A66" s="17"/>
      <c r="B66" s="313">
        <v>21045</v>
      </c>
      <c r="C66" s="8" t="s">
        <v>152</v>
      </c>
      <c r="D66" s="18">
        <v>3</v>
      </c>
      <c r="E66" s="131" t="s">
        <v>1319</v>
      </c>
      <c r="F66" s="22" t="s">
        <v>1490</v>
      </c>
      <c r="G66" s="132" t="s">
        <v>1309</v>
      </c>
      <c r="H66" s="22" t="s">
        <v>1311</v>
      </c>
      <c r="I66" s="22" t="s">
        <v>1327</v>
      </c>
      <c r="J66" s="22" t="s">
        <v>1327</v>
      </c>
      <c r="K66" s="22" t="s">
        <v>1309</v>
      </c>
      <c r="L66" s="22" t="s">
        <v>1309</v>
      </c>
      <c r="M66" s="133" t="s">
        <v>1311</v>
      </c>
      <c r="N66" s="22" t="s">
        <v>1311</v>
      </c>
      <c r="O66" s="22" t="s">
        <v>1315</v>
      </c>
      <c r="P66" s="22" t="s">
        <v>1315</v>
      </c>
      <c r="Q66" s="20">
        <v>0</v>
      </c>
      <c r="R66" s="20">
        <v>0</v>
      </c>
      <c r="S66" s="20">
        <v>46.9</v>
      </c>
      <c r="T66" s="20">
        <v>46.9</v>
      </c>
      <c r="U66" s="20">
        <v>0</v>
      </c>
      <c r="V66" s="20">
        <v>0</v>
      </c>
      <c r="W66" s="20">
        <v>0</v>
      </c>
      <c r="X66" s="20">
        <v>0</v>
      </c>
      <c r="Y66" s="20">
        <v>0</v>
      </c>
      <c r="Z66" s="20">
        <v>0</v>
      </c>
      <c r="AA66" s="20" t="s">
        <v>1317</v>
      </c>
      <c r="AB66" s="22" t="s">
        <v>1318</v>
      </c>
      <c r="AC66" s="20">
        <v>0</v>
      </c>
      <c r="AD66" s="20">
        <v>7</v>
      </c>
      <c r="AE66" s="20">
        <v>0</v>
      </c>
      <c r="AF66" s="20">
        <v>0</v>
      </c>
      <c r="AG66" s="20">
        <v>1</v>
      </c>
      <c r="AH66" s="20">
        <v>0</v>
      </c>
      <c r="AI66" s="328" t="s">
        <v>1328</v>
      </c>
      <c r="AJ66" s="328">
        <v>2.4088093599449416</v>
      </c>
      <c r="AK66" s="328" t="s">
        <v>1328</v>
      </c>
      <c r="AL66" s="22" t="s">
        <v>1329</v>
      </c>
      <c r="AM66" s="22" t="s">
        <v>1330</v>
      </c>
      <c r="AN66" s="22" t="s">
        <v>1317</v>
      </c>
      <c r="AO66" s="22" t="s">
        <v>1318</v>
      </c>
      <c r="AP66" s="22" t="s">
        <v>1318</v>
      </c>
      <c r="AQ66" s="22" t="s">
        <v>1318</v>
      </c>
      <c r="AR66" s="22" t="s">
        <v>1317</v>
      </c>
      <c r="AS66" s="22" t="s">
        <v>1318</v>
      </c>
      <c r="AT66" s="22" t="s">
        <v>1317</v>
      </c>
      <c r="AU66" s="22" t="s">
        <v>1318</v>
      </c>
      <c r="AV66" s="22" t="s">
        <v>1317</v>
      </c>
      <c r="AW66" s="22" t="s">
        <v>1318</v>
      </c>
      <c r="AX66" s="22" t="s">
        <v>1317</v>
      </c>
      <c r="AY66" s="22" t="s">
        <v>1318</v>
      </c>
      <c r="AZ66" s="22" t="s">
        <v>1317</v>
      </c>
      <c r="BA66" s="22" t="s">
        <v>1318</v>
      </c>
      <c r="BB66" s="22" t="s">
        <v>1317</v>
      </c>
      <c r="BC66" s="22" t="s">
        <v>1318</v>
      </c>
      <c r="BD66" s="22" t="s">
        <v>1317</v>
      </c>
      <c r="BE66" s="22" t="s">
        <v>1318</v>
      </c>
      <c r="BF66" s="22" t="s">
        <v>1317</v>
      </c>
      <c r="BG66" s="22" t="s">
        <v>1318</v>
      </c>
      <c r="BH66" s="22" t="s">
        <v>1317</v>
      </c>
      <c r="BI66" s="22" t="s">
        <v>1318</v>
      </c>
      <c r="BJ66" s="22" t="s">
        <v>1317</v>
      </c>
      <c r="BK66" s="22" t="s">
        <v>1318</v>
      </c>
      <c r="BL66" s="22" t="s">
        <v>1317</v>
      </c>
      <c r="BM66" s="22" t="s">
        <v>1318</v>
      </c>
      <c r="BN66" s="22" t="s">
        <v>1317</v>
      </c>
      <c r="BO66" s="22" t="s">
        <v>1318</v>
      </c>
      <c r="BP66" s="22" t="s">
        <v>1317</v>
      </c>
      <c r="BQ66" s="22" t="s">
        <v>1318</v>
      </c>
      <c r="BR66" s="22" t="s">
        <v>1317</v>
      </c>
      <c r="BS66" s="22" t="s">
        <v>1318</v>
      </c>
      <c r="BT66" s="22" t="s">
        <v>1317</v>
      </c>
      <c r="BU66" s="22" t="s">
        <v>1318</v>
      </c>
      <c r="BV66" s="22" t="s">
        <v>1317</v>
      </c>
      <c r="BW66" s="22" t="s">
        <v>1318</v>
      </c>
      <c r="BX66" s="20">
        <v>0</v>
      </c>
      <c r="BY66" s="20">
        <v>0</v>
      </c>
      <c r="BZ66" s="20">
        <v>60</v>
      </c>
      <c r="CA66" s="20">
        <v>0</v>
      </c>
      <c r="CB66" s="20">
        <v>0</v>
      </c>
      <c r="CC66" s="20">
        <v>2608</v>
      </c>
      <c r="CD66" s="22" t="s">
        <v>1317</v>
      </c>
      <c r="CE66" s="22" t="s">
        <v>1318</v>
      </c>
      <c r="CF66" s="22" t="s">
        <v>1317</v>
      </c>
      <c r="CG66" s="22" t="s">
        <v>1318</v>
      </c>
      <c r="CH66" s="22" t="s">
        <v>1317</v>
      </c>
      <c r="CI66" s="22" t="s">
        <v>1318</v>
      </c>
      <c r="CJ66" s="149" t="s">
        <v>1124</v>
      </c>
      <c r="CK66" s="241" t="s">
        <v>1124</v>
      </c>
    </row>
    <row r="67" spans="1:89" ht="15" customHeight="1" x14ac:dyDescent="0.35">
      <c r="A67" s="17"/>
      <c r="B67" s="313">
        <v>73030</v>
      </c>
      <c r="C67" s="8" t="s">
        <v>739</v>
      </c>
      <c r="D67" s="18">
        <v>15</v>
      </c>
      <c r="E67" s="131" t="s">
        <v>1309</v>
      </c>
      <c r="F67" s="22" t="s">
        <v>1309</v>
      </c>
      <c r="G67" s="132" t="s">
        <v>1309</v>
      </c>
      <c r="H67" s="22" t="s">
        <v>1311</v>
      </c>
      <c r="I67" s="22" t="s">
        <v>1327</v>
      </c>
      <c r="J67" s="22" t="s">
        <v>1327</v>
      </c>
      <c r="K67" s="22" t="s">
        <v>1314</v>
      </c>
      <c r="L67" s="22" t="s">
        <v>1309</v>
      </c>
      <c r="M67" s="133" t="s">
        <v>1311</v>
      </c>
      <c r="N67" s="22" t="s">
        <v>1311</v>
      </c>
      <c r="O67" s="22" t="s">
        <v>1309</v>
      </c>
      <c r="P67" s="22" t="s">
        <v>1309</v>
      </c>
      <c r="Q67" s="20">
        <v>0</v>
      </c>
      <c r="R67" s="20">
        <v>2.3159999999999998</v>
      </c>
      <c r="S67" s="20">
        <v>46.918999999999997</v>
      </c>
      <c r="T67" s="20">
        <v>51.206000000000017</v>
      </c>
      <c r="U67" s="20">
        <v>0</v>
      </c>
      <c r="V67" s="20">
        <v>0</v>
      </c>
      <c r="W67" s="20">
        <v>38</v>
      </c>
      <c r="X67" s="20">
        <v>38</v>
      </c>
      <c r="Y67" s="20">
        <v>0</v>
      </c>
      <c r="Z67" s="20">
        <v>0</v>
      </c>
      <c r="AA67" s="20" t="s">
        <v>1317</v>
      </c>
      <c r="AB67" s="22" t="s">
        <v>1318</v>
      </c>
      <c r="AC67" s="20">
        <v>10</v>
      </c>
      <c r="AD67" s="20">
        <v>1</v>
      </c>
      <c r="AE67" s="20">
        <v>0</v>
      </c>
      <c r="AF67" s="20">
        <v>2</v>
      </c>
      <c r="AG67" s="20">
        <v>2</v>
      </c>
      <c r="AH67" s="20">
        <v>0</v>
      </c>
      <c r="AI67" s="328">
        <v>21.313327223512861</v>
      </c>
      <c r="AJ67" s="328">
        <v>0.32509752925877761</v>
      </c>
      <c r="AK67" s="328" t="s">
        <v>1328</v>
      </c>
      <c r="AL67" s="22" t="s">
        <v>1329</v>
      </c>
      <c r="AM67" s="22" t="s">
        <v>1330</v>
      </c>
      <c r="AN67" s="22" t="s">
        <v>1317</v>
      </c>
      <c r="AO67" s="22" t="s">
        <v>1318</v>
      </c>
      <c r="AP67" s="22" t="s">
        <v>1318</v>
      </c>
      <c r="AQ67" s="22" t="s">
        <v>1318</v>
      </c>
      <c r="AR67" s="22" t="s">
        <v>1317</v>
      </c>
      <c r="AS67" s="22" t="s">
        <v>1318</v>
      </c>
      <c r="AT67" s="22" t="s">
        <v>1317</v>
      </c>
      <c r="AU67" s="22" t="s">
        <v>1318</v>
      </c>
      <c r="AV67" s="22" t="s">
        <v>1309</v>
      </c>
      <c r="AW67" s="22" t="s">
        <v>1309</v>
      </c>
      <c r="AX67" s="22" t="s">
        <v>1317</v>
      </c>
      <c r="AY67" s="22" t="s">
        <v>1318</v>
      </c>
      <c r="AZ67" s="22" t="s">
        <v>1309</v>
      </c>
      <c r="BA67" s="22" t="s">
        <v>1309</v>
      </c>
      <c r="BB67" s="22" t="s">
        <v>1309</v>
      </c>
      <c r="BC67" s="22" t="s">
        <v>1309</v>
      </c>
      <c r="BD67" s="22" t="s">
        <v>1309</v>
      </c>
      <c r="BE67" s="22" t="s">
        <v>1309</v>
      </c>
      <c r="BF67" s="22" t="s">
        <v>1317</v>
      </c>
      <c r="BG67" s="22" t="s">
        <v>1318</v>
      </c>
      <c r="BH67" s="22" t="s">
        <v>1309</v>
      </c>
      <c r="BI67" s="22" t="s">
        <v>1309</v>
      </c>
      <c r="BJ67" s="22" t="s">
        <v>1309</v>
      </c>
      <c r="BK67" s="22" t="s">
        <v>1309</v>
      </c>
      <c r="BL67" s="22" t="s">
        <v>1309</v>
      </c>
      <c r="BM67" s="22" t="s">
        <v>1309</v>
      </c>
      <c r="BN67" s="22" t="s">
        <v>1309</v>
      </c>
      <c r="BO67" s="22" t="s">
        <v>1309</v>
      </c>
      <c r="BP67" s="22" t="s">
        <v>1317</v>
      </c>
      <c r="BQ67" s="22" t="s">
        <v>1318</v>
      </c>
      <c r="BR67" s="22" t="s">
        <v>1309</v>
      </c>
      <c r="BS67" s="22" t="s">
        <v>1309</v>
      </c>
      <c r="BT67" s="22" t="s">
        <v>1309</v>
      </c>
      <c r="BU67" s="22" t="s">
        <v>1309</v>
      </c>
      <c r="BV67" s="22" t="s">
        <v>1309</v>
      </c>
      <c r="BW67" s="22" t="s">
        <v>1309</v>
      </c>
      <c r="BX67" s="20">
        <v>53</v>
      </c>
      <c r="BY67" s="20">
        <v>0</v>
      </c>
      <c r="BZ67" s="20">
        <v>49</v>
      </c>
      <c r="CA67" s="20">
        <v>2</v>
      </c>
      <c r="CB67" s="20">
        <v>0</v>
      </c>
      <c r="CC67" s="20">
        <v>2979</v>
      </c>
      <c r="CD67" s="22" t="s">
        <v>1345</v>
      </c>
      <c r="CE67" s="22" t="s">
        <v>1331</v>
      </c>
      <c r="CF67" s="22" t="s">
        <v>1317</v>
      </c>
      <c r="CG67" s="22" t="s">
        <v>1318</v>
      </c>
      <c r="CH67" s="22" t="s">
        <v>1317</v>
      </c>
      <c r="CI67" s="22" t="s">
        <v>1318</v>
      </c>
      <c r="CJ67" s="149" t="s">
        <v>1124</v>
      </c>
      <c r="CK67" s="241" t="s">
        <v>1124</v>
      </c>
    </row>
    <row r="68" spans="1:89" ht="15" customHeight="1" x14ac:dyDescent="0.35">
      <c r="A68" s="17"/>
      <c r="B68" s="313">
        <v>83085</v>
      </c>
      <c r="C68" s="8" t="s">
        <v>848</v>
      </c>
      <c r="D68" s="18">
        <v>7</v>
      </c>
      <c r="E68" s="131"/>
      <c r="F68" s="22"/>
      <c r="G68" s="132"/>
      <c r="H68" s="22"/>
      <c r="I68" s="22"/>
      <c r="J68" s="22"/>
      <c r="K68" s="22"/>
      <c r="L68" s="22"/>
      <c r="M68" s="133"/>
      <c r="N68" s="22"/>
      <c r="O68" s="22"/>
      <c r="P68" s="22"/>
      <c r="Q68" s="20"/>
      <c r="R68" s="20"/>
      <c r="S68" s="20"/>
      <c r="T68" s="20"/>
      <c r="U68" s="20"/>
      <c r="V68" s="20"/>
      <c r="W68" s="20"/>
      <c r="X68" s="20"/>
      <c r="Y68" s="20"/>
      <c r="Z68" s="20"/>
      <c r="AA68" s="20"/>
      <c r="AB68" s="22"/>
      <c r="AC68" s="20"/>
      <c r="AD68" s="20"/>
      <c r="AE68" s="20"/>
      <c r="AF68" s="20" t="s">
        <v>1124</v>
      </c>
      <c r="AG68" s="20" t="s">
        <v>1124</v>
      </c>
      <c r="AH68" s="20" t="s">
        <v>1124</v>
      </c>
      <c r="AI68" s="328"/>
      <c r="AJ68" s="328"/>
      <c r="AK68" s="328"/>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0"/>
      <c r="BY68" s="20"/>
      <c r="BZ68" s="20"/>
      <c r="CA68" s="20"/>
      <c r="CB68" s="20"/>
      <c r="CC68" s="20"/>
      <c r="CD68" s="22"/>
      <c r="CE68" s="22"/>
      <c r="CF68" s="22"/>
      <c r="CG68" s="22"/>
      <c r="CH68" s="22"/>
      <c r="CI68" s="22"/>
      <c r="CJ68" s="149"/>
      <c r="CK68" s="241"/>
    </row>
    <row r="69" spans="1:89" ht="15" customHeight="1" x14ac:dyDescent="0.35">
      <c r="A69" s="17"/>
      <c r="B69" s="313">
        <v>45095</v>
      </c>
      <c r="C69" s="8" t="s">
        <v>423</v>
      </c>
      <c r="D69" s="18">
        <v>5</v>
      </c>
      <c r="E69" s="131"/>
      <c r="F69" s="22"/>
      <c r="G69" s="132"/>
      <c r="H69" s="22"/>
      <c r="I69" s="22"/>
      <c r="J69" s="22"/>
      <c r="K69" s="22"/>
      <c r="L69" s="22"/>
      <c r="M69" s="133"/>
      <c r="N69" s="22"/>
      <c r="O69" s="22"/>
      <c r="P69" s="22"/>
      <c r="Q69" s="20"/>
      <c r="R69" s="20"/>
      <c r="S69" s="20"/>
      <c r="T69" s="20"/>
      <c r="U69" s="20"/>
      <c r="V69" s="20"/>
      <c r="W69" s="20"/>
      <c r="X69" s="20"/>
      <c r="Y69" s="20"/>
      <c r="Z69" s="20"/>
      <c r="AA69" s="20"/>
      <c r="AB69" s="22"/>
      <c r="AC69" s="20"/>
      <c r="AD69" s="20"/>
      <c r="AE69" s="20"/>
      <c r="AF69" s="20" t="s">
        <v>1124</v>
      </c>
      <c r="AG69" s="20" t="s">
        <v>1124</v>
      </c>
      <c r="AH69" s="20" t="s">
        <v>1124</v>
      </c>
      <c r="AI69" s="328"/>
      <c r="AJ69" s="328"/>
      <c r="AK69" s="328"/>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0"/>
      <c r="BY69" s="20"/>
      <c r="BZ69" s="20"/>
      <c r="CA69" s="20"/>
      <c r="CB69" s="20"/>
      <c r="CC69" s="20"/>
      <c r="CD69" s="22"/>
      <c r="CE69" s="22"/>
      <c r="CF69" s="22"/>
      <c r="CG69" s="22"/>
      <c r="CH69" s="22"/>
      <c r="CI69" s="22"/>
      <c r="CJ69" s="149"/>
      <c r="CK69" s="241"/>
    </row>
    <row r="70" spans="1:89" ht="15" customHeight="1" x14ac:dyDescent="0.35">
      <c r="A70" s="17"/>
      <c r="B70" s="313">
        <v>46065</v>
      </c>
      <c r="C70" s="8" t="s">
        <v>437</v>
      </c>
      <c r="D70" s="18">
        <v>5</v>
      </c>
      <c r="E70" s="131"/>
      <c r="F70" s="22"/>
      <c r="G70" s="132"/>
      <c r="H70" s="22"/>
      <c r="I70" s="22"/>
      <c r="J70" s="22"/>
      <c r="K70" s="22"/>
      <c r="L70" s="22"/>
      <c r="M70" s="133"/>
      <c r="N70" s="22"/>
      <c r="O70" s="22"/>
      <c r="P70" s="22"/>
      <c r="Q70" s="20"/>
      <c r="R70" s="20"/>
      <c r="S70" s="20"/>
      <c r="T70" s="20"/>
      <c r="U70" s="20"/>
      <c r="V70" s="20"/>
      <c r="W70" s="20"/>
      <c r="X70" s="20"/>
      <c r="Y70" s="20"/>
      <c r="Z70" s="20"/>
      <c r="AA70" s="20"/>
      <c r="AB70" s="22"/>
      <c r="AC70" s="20"/>
      <c r="AD70" s="20"/>
      <c r="AE70" s="20"/>
      <c r="AF70" s="20" t="s">
        <v>1124</v>
      </c>
      <c r="AG70" s="20" t="s">
        <v>1124</v>
      </c>
      <c r="AH70" s="20" t="s">
        <v>1124</v>
      </c>
      <c r="AI70" s="328"/>
      <c r="AJ70" s="328"/>
      <c r="AK70" s="328"/>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0"/>
      <c r="BY70" s="20"/>
      <c r="BZ70" s="20"/>
      <c r="CA70" s="20"/>
      <c r="CB70" s="20"/>
      <c r="CC70" s="20"/>
      <c r="CD70" s="22"/>
      <c r="CE70" s="22"/>
      <c r="CF70" s="22"/>
      <c r="CG70" s="22"/>
      <c r="CH70" s="22"/>
      <c r="CI70" s="22"/>
      <c r="CJ70" s="149"/>
      <c r="CK70" s="241"/>
    </row>
    <row r="71" spans="1:89" ht="15" customHeight="1" x14ac:dyDescent="0.35">
      <c r="A71" s="17"/>
      <c r="B71" s="313">
        <v>5045</v>
      </c>
      <c r="C71" s="8" t="s">
        <v>1050</v>
      </c>
      <c r="D71" s="18">
        <v>11</v>
      </c>
      <c r="E71" s="131" t="s">
        <v>1309</v>
      </c>
      <c r="F71" s="22" t="s">
        <v>1309</v>
      </c>
      <c r="G71" s="132" t="s">
        <v>1309</v>
      </c>
      <c r="H71" s="22" t="s">
        <v>1311</v>
      </c>
      <c r="I71" s="22" t="s">
        <v>1327</v>
      </c>
      <c r="J71" s="22" t="s">
        <v>1327</v>
      </c>
      <c r="K71" s="22" t="s">
        <v>1314</v>
      </c>
      <c r="L71" s="22" t="s">
        <v>1311</v>
      </c>
      <c r="M71" s="133" t="s">
        <v>1311</v>
      </c>
      <c r="N71" s="22" t="s">
        <v>1311</v>
      </c>
      <c r="O71" s="22" t="s">
        <v>1314</v>
      </c>
      <c r="P71" s="22" t="s">
        <v>1318</v>
      </c>
      <c r="Q71" s="20">
        <v>0</v>
      </c>
      <c r="R71" s="20">
        <v>0</v>
      </c>
      <c r="S71" s="20">
        <v>0</v>
      </c>
      <c r="T71" s="20">
        <v>0</v>
      </c>
      <c r="U71" s="20">
        <v>0</v>
      </c>
      <c r="V71" s="20">
        <v>0</v>
      </c>
      <c r="W71" s="20">
        <v>0</v>
      </c>
      <c r="X71" s="20">
        <v>0</v>
      </c>
      <c r="Y71" s="20">
        <v>0</v>
      </c>
      <c r="Z71" s="20">
        <v>0</v>
      </c>
      <c r="AA71" s="20" t="s">
        <v>1317</v>
      </c>
      <c r="AB71" s="22" t="s">
        <v>1311</v>
      </c>
      <c r="AC71" s="20">
        <v>1</v>
      </c>
      <c r="AD71" s="20">
        <v>1</v>
      </c>
      <c r="AE71" s="20">
        <v>0</v>
      </c>
      <c r="AF71" s="20">
        <v>1</v>
      </c>
      <c r="AG71" s="20">
        <v>1</v>
      </c>
      <c r="AH71" s="20">
        <v>0</v>
      </c>
      <c r="AI71" s="328">
        <v>4.2167404596247104</v>
      </c>
      <c r="AJ71" s="328">
        <v>1.1185682326621924</v>
      </c>
      <c r="AK71" s="328" t="s">
        <v>1328</v>
      </c>
      <c r="AL71" s="22" t="s">
        <v>1329</v>
      </c>
      <c r="AM71" s="22" t="s">
        <v>1330</v>
      </c>
      <c r="AN71" s="22" t="s">
        <v>1317</v>
      </c>
      <c r="AO71" s="22" t="s">
        <v>1318</v>
      </c>
      <c r="AP71" s="22" t="s">
        <v>1318</v>
      </c>
      <c r="AQ71" s="22" t="s">
        <v>1318</v>
      </c>
      <c r="AR71" s="22" t="s">
        <v>1317</v>
      </c>
      <c r="AS71" s="22" t="s">
        <v>1318</v>
      </c>
      <c r="AT71" s="22" t="s">
        <v>1317</v>
      </c>
      <c r="AU71" s="22" t="s">
        <v>1318</v>
      </c>
      <c r="AV71" s="22" t="s">
        <v>1309</v>
      </c>
      <c r="AW71" s="22" t="s">
        <v>1311</v>
      </c>
      <c r="AX71" s="22" t="s">
        <v>1317</v>
      </c>
      <c r="AY71" s="22" t="s">
        <v>1318</v>
      </c>
      <c r="AZ71" s="22" t="s">
        <v>1309</v>
      </c>
      <c r="BA71" s="22" t="s">
        <v>1311</v>
      </c>
      <c r="BB71" s="22" t="s">
        <v>1309</v>
      </c>
      <c r="BC71" s="22" t="s">
        <v>1311</v>
      </c>
      <c r="BD71" s="22" t="s">
        <v>1317</v>
      </c>
      <c r="BE71" s="22" t="s">
        <v>1318</v>
      </c>
      <c r="BF71" s="22" t="s">
        <v>1317</v>
      </c>
      <c r="BG71" s="22" t="s">
        <v>1311</v>
      </c>
      <c r="BH71" s="22" t="s">
        <v>1317</v>
      </c>
      <c r="BI71" s="22" t="s">
        <v>1318</v>
      </c>
      <c r="BJ71" s="22" t="s">
        <v>1309</v>
      </c>
      <c r="BK71" s="22" t="s">
        <v>1311</v>
      </c>
      <c r="BL71" s="22" t="s">
        <v>1309</v>
      </c>
      <c r="BM71" s="22" t="s">
        <v>1309</v>
      </c>
      <c r="BN71" s="22" t="s">
        <v>1309</v>
      </c>
      <c r="BO71" s="22" t="s">
        <v>1309</v>
      </c>
      <c r="BP71" s="22" t="s">
        <v>1309</v>
      </c>
      <c r="BQ71" s="22" t="s">
        <v>1311</v>
      </c>
      <c r="BR71" s="22" t="s">
        <v>1309</v>
      </c>
      <c r="BS71" s="22" t="s">
        <v>1311</v>
      </c>
      <c r="BT71" s="22" t="s">
        <v>1309</v>
      </c>
      <c r="BU71" s="22" t="s">
        <v>1311</v>
      </c>
      <c r="BV71" s="22" t="s">
        <v>1317</v>
      </c>
      <c r="BW71" s="22" t="s">
        <v>1318</v>
      </c>
      <c r="BX71" s="20">
        <v>0</v>
      </c>
      <c r="BY71" s="20">
        <v>4</v>
      </c>
      <c r="BZ71" s="20">
        <v>85</v>
      </c>
      <c r="CA71" s="20">
        <v>0</v>
      </c>
      <c r="CB71" s="20">
        <v>0</v>
      </c>
      <c r="CC71" s="20">
        <v>807</v>
      </c>
      <c r="CD71" s="22" t="s">
        <v>1317</v>
      </c>
      <c r="CE71" s="22" t="s">
        <v>1340</v>
      </c>
      <c r="CF71" s="22" t="s">
        <v>1317</v>
      </c>
      <c r="CG71" s="22" t="s">
        <v>1340</v>
      </c>
      <c r="CH71" s="22" t="s">
        <v>1317</v>
      </c>
      <c r="CI71" s="22" t="s">
        <v>1318</v>
      </c>
      <c r="CJ71" s="149" t="s">
        <v>1124</v>
      </c>
      <c r="CK71" s="241" t="s">
        <v>1499</v>
      </c>
    </row>
    <row r="72" spans="1:89" ht="15" customHeight="1" x14ac:dyDescent="0.35">
      <c r="A72" s="17"/>
      <c r="B72" s="313">
        <v>98010</v>
      </c>
      <c r="C72" s="8" t="s">
        <v>1007</v>
      </c>
      <c r="D72" s="18">
        <v>9</v>
      </c>
      <c r="E72" s="131"/>
      <c r="F72" s="22"/>
      <c r="G72" s="132"/>
      <c r="H72" s="22"/>
      <c r="I72" s="22"/>
      <c r="J72" s="22"/>
      <c r="K72" s="22"/>
      <c r="L72" s="22"/>
      <c r="M72" s="133"/>
      <c r="N72" s="22"/>
      <c r="O72" s="22"/>
      <c r="P72" s="22"/>
      <c r="Q72" s="20"/>
      <c r="R72" s="20"/>
      <c r="S72" s="20"/>
      <c r="T72" s="20"/>
      <c r="U72" s="20"/>
      <c r="V72" s="20"/>
      <c r="W72" s="20"/>
      <c r="X72" s="20"/>
      <c r="Y72" s="20"/>
      <c r="Z72" s="20"/>
      <c r="AA72" s="20"/>
      <c r="AB72" s="22"/>
      <c r="AC72" s="20"/>
      <c r="AD72" s="20"/>
      <c r="AE72" s="20"/>
      <c r="AF72" s="20" t="s">
        <v>1124</v>
      </c>
      <c r="AG72" s="20" t="s">
        <v>1124</v>
      </c>
      <c r="AH72" s="20" t="s">
        <v>1124</v>
      </c>
      <c r="AI72" s="328"/>
      <c r="AJ72" s="328"/>
      <c r="AK72" s="328"/>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0"/>
      <c r="BY72" s="20"/>
      <c r="BZ72" s="20"/>
      <c r="CA72" s="20"/>
      <c r="CB72" s="20"/>
      <c r="CC72" s="20"/>
      <c r="CD72" s="22"/>
      <c r="CE72" s="22"/>
      <c r="CF72" s="22"/>
      <c r="CG72" s="22"/>
      <c r="CH72" s="22"/>
      <c r="CI72" s="22"/>
      <c r="CJ72" s="149"/>
      <c r="CK72" s="241"/>
    </row>
    <row r="73" spans="1:89" ht="15" customHeight="1" x14ac:dyDescent="0.35">
      <c r="A73" s="17"/>
      <c r="B73" s="313">
        <v>42040</v>
      </c>
      <c r="C73" s="8" t="s">
        <v>383</v>
      </c>
      <c r="D73" s="18">
        <v>5</v>
      </c>
      <c r="E73" s="131" t="s">
        <v>1309</v>
      </c>
      <c r="F73" s="22" t="s">
        <v>1309</v>
      </c>
      <c r="G73" s="132" t="s">
        <v>1309</v>
      </c>
      <c r="H73" s="22" t="s">
        <v>1311</v>
      </c>
      <c r="I73" s="22" t="s">
        <v>1327</v>
      </c>
      <c r="J73" s="22" t="s">
        <v>1327</v>
      </c>
      <c r="K73" s="22" t="s">
        <v>1319</v>
      </c>
      <c r="L73" s="22" t="s">
        <v>1309</v>
      </c>
      <c r="M73" s="133" t="s">
        <v>1311</v>
      </c>
      <c r="N73" s="22" t="s">
        <v>1311</v>
      </c>
      <c r="O73" s="22" t="s">
        <v>1314</v>
      </c>
      <c r="P73" s="22" t="s">
        <v>1318</v>
      </c>
      <c r="Q73" s="20">
        <v>9.7539999999999996</v>
      </c>
      <c r="R73" s="20">
        <v>9.7539999999999996</v>
      </c>
      <c r="S73" s="20">
        <v>9.7539999999999996</v>
      </c>
      <c r="T73" s="20">
        <v>9.7539999999999996</v>
      </c>
      <c r="U73" s="20">
        <v>0</v>
      </c>
      <c r="V73" s="20">
        <v>0</v>
      </c>
      <c r="W73" s="20">
        <v>0</v>
      </c>
      <c r="X73" s="20">
        <v>0</v>
      </c>
      <c r="Y73" s="20">
        <v>0</v>
      </c>
      <c r="Z73" s="20">
        <v>0</v>
      </c>
      <c r="AA73" s="20" t="s">
        <v>1317</v>
      </c>
      <c r="AB73" s="22" t="s">
        <v>1318</v>
      </c>
      <c r="AC73" s="20">
        <v>1</v>
      </c>
      <c r="AD73" s="20">
        <v>1</v>
      </c>
      <c r="AE73" s="20">
        <v>0</v>
      </c>
      <c r="AF73" s="20">
        <v>1</v>
      </c>
      <c r="AG73" s="20">
        <v>1</v>
      </c>
      <c r="AH73" s="20">
        <v>0</v>
      </c>
      <c r="AI73" s="328">
        <v>10.252204223908141</v>
      </c>
      <c r="AJ73" s="328">
        <v>8.4745762711864412</v>
      </c>
      <c r="AK73" s="328" t="s">
        <v>1328</v>
      </c>
      <c r="AL73" s="22" t="s">
        <v>1329</v>
      </c>
      <c r="AM73" s="22" t="s">
        <v>1330</v>
      </c>
      <c r="AN73" s="22" t="s">
        <v>1315</v>
      </c>
      <c r="AO73" s="22" t="s">
        <v>1315</v>
      </c>
      <c r="AP73" s="22" t="s">
        <v>1315</v>
      </c>
      <c r="AQ73" s="22" t="s">
        <v>1315</v>
      </c>
      <c r="AR73" s="22" t="s">
        <v>1317</v>
      </c>
      <c r="AS73" s="22" t="s">
        <v>1318</v>
      </c>
      <c r="AT73" s="22" t="s">
        <v>1317</v>
      </c>
      <c r="AU73" s="22" t="s">
        <v>1318</v>
      </c>
      <c r="AV73" s="22" t="s">
        <v>1317</v>
      </c>
      <c r="AW73" s="22" t="s">
        <v>1318</v>
      </c>
      <c r="AX73" s="22" t="s">
        <v>1317</v>
      </c>
      <c r="AY73" s="22" t="s">
        <v>1318</v>
      </c>
      <c r="AZ73" s="22" t="s">
        <v>1317</v>
      </c>
      <c r="BA73" s="22" t="s">
        <v>1318</v>
      </c>
      <c r="BB73" s="22" t="s">
        <v>1309</v>
      </c>
      <c r="BC73" s="22" t="s">
        <v>1309</v>
      </c>
      <c r="BD73" s="22" t="s">
        <v>1317</v>
      </c>
      <c r="BE73" s="22" t="s">
        <v>1318</v>
      </c>
      <c r="BF73" s="22" t="s">
        <v>1309</v>
      </c>
      <c r="BG73" s="22" t="s">
        <v>1309</v>
      </c>
      <c r="BH73" s="22" t="s">
        <v>1309</v>
      </c>
      <c r="BI73" s="22" t="s">
        <v>1309</v>
      </c>
      <c r="BJ73" s="22" t="s">
        <v>1317</v>
      </c>
      <c r="BK73" s="22" t="s">
        <v>1318</v>
      </c>
      <c r="BL73" s="22" t="s">
        <v>1317</v>
      </c>
      <c r="BM73" s="22" t="s">
        <v>1318</v>
      </c>
      <c r="BN73" s="22" t="s">
        <v>1309</v>
      </c>
      <c r="BO73" s="22" t="s">
        <v>1309</v>
      </c>
      <c r="BP73" s="22" t="s">
        <v>1317</v>
      </c>
      <c r="BQ73" s="22" t="s">
        <v>1318</v>
      </c>
      <c r="BR73" s="22" t="s">
        <v>1317</v>
      </c>
      <c r="BS73" s="22" t="s">
        <v>1318</v>
      </c>
      <c r="BT73" s="22" t="s">
        <v>1317</v>
      </c>
      <c r="BU73" s="22" t="s">
        <v>1318</v>
      </c>
      <c r="BV73" s="22" t="s">
        <v>1319</v>
      </c>
      <c r="BW73" s="22" t="s">
        <v>1309</v>
      </c>
      <c r="BX73" s="20">
        <v>0</v>
      </c>
      <c r="BY73" s="20">
        <v>15</v>
      </c>
      <c r="BZ73" s="20">
        <v>5</v>
      </c>
      <c r="CA73" s="20">
        <v>0</v>
      </c>
      <c r="CB73" s="20">
        <v>20</v>
      </c>
      <c r="CC73" s="20">
        <v>78</v>
      </c>
      <c r="CD73" s="22" t="s">
        <v>1345</v>
      </c>
      <c r="CE73" s="22" t="s">
        <v>1344</v>
      </c>
      <c r="CF73" s="22" t="s">
        <v>1315</v>
      </c>
      <c r="CG73" s="22" t="s">
        <v>1315</v>
      </c>
      <c r="CH73" s="22" t="s">
        <v>1317</v>
      </c>
      <c r="CI73" s="22" t="s">
        <v>1318</v>
      </c>
      <c r="CJ73" s="149" t="s">
        <v>1414</v>
      </c>
      <c r="CK73" s="241" t="s">
        <v>1124</v>
      </c>
    </row>
    <row r="74" spans="1:89" ht="15" customHeight="1" x14ac:dyDescent="0.35">
      <c r="A74" s="17"/>
      <c r="B74" s="313">
        <v>58033</v>
      </c>
      <c r="C74" s="8" t="s">
        <v>596</v>
      </c>
      <c r="D74" s="18">
        <v>16</v>
      </c>
      <c r="E74" s="131"/>
      <c r="F74" s="22"/>
      <c r="G74" s="132"/>
      <c r="H74" s="22"/>
      <c r="I74" s="22"/>
      <c r="J74" s="22"/>
      <c r="K74" s="22"/>
      <c r="L74" s="22"/>
      <c r="M74" s="133"/>
      <c r="N74" s="22"/>
      <c r="O74" s="22"/>
      <c r="P74" s="22"/>
      <c r="Q74" s="20"/>
      <c r="R74" s="20"/>
      <c r="S74" s="20"/>
      <c r="T74" s="20"/>
      <c r="U74" s="20"/>
      <c r="V74" s="20"/>
      <c r="W74" s="20"/>
      <c r="X74" s="20"/>
      <c r="Y74" s="20"/>
      <c r="Z74" s="20"/>
      <c r="AA74" s="20"/>
      <c r="AB74" s="22"/>
      <c r="AC74" s="20"/>
      <c r="AD74" s="20"/>
      <c r="AE74" s="20"/>
      <c r="AF74" s="20" t="s">
        <v>1124</v>
      </c>
      <c r="AG74" s="20" t="s">
        <v>1124</v>
      </c>
      <c r="AH74" s="20" t="s">
        <v>1124</v>
      </c>
      <c r="AI74" s="328"/>
      <c r="AJ74" s="328"/>
      <c r="AK74" s="328"/>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0"/>
      <c r="BY74" s="20"/>
      <c r="BZ74" s="20"/>
      <c r="CA74" s="20"/>
      <c r="CB74" s="20"/>
      <c r="CC74" s="20"/>
      <c r="CD74" s="22"/>
      <c r="CE74" s="22"/>
      <c r="CF74" s="22"/>
      <c r="CG74" s="22"/>
      <c r="CH74" s="22"/>
      <c r="CI74" s="22"/>
      <c r="CJ74" s="149"/>
      <c r="CK74" s="241"/>
    </row>
    <row r="75" spans="1:89" ht="15" customHeight="1" x14ac:dyDescent="0.35">
      <c r="A75" s="17"/>
      <c r="B75" s="313">
        <v>83050</v>
      </c>
      <c r="C75" s="8" t="s">
        <v>842</v>
      </c>
      <c r="D75" s="18">
        <v>7</v>
      </c>
      <c r="E75" s="131"/>
      <c r="F75" s="22"/>
      <c r="G75" s="132"/>
      <c r="H75" s="22"/>
      <c r="I75" s="22"/>
      <c r="J75" s="22"/>
      <c r="K75" s="22"/>
      <c r="L75" s="22"/>
      <c r="M75" s="133"/>
      <c r="N75" s="22"/>
      <c r="O75" s="22"/>
      <c r="P75" s="22"/>
      <c r="Q75" s="20"/>
      <c r="R75" s="20"/>
      <c r="S75" s="20"/>
      <c r="T75" s="20"/>
      <c r="U75" s="20"/>
      <c r="V75" s="20"/>
      <c r="W75" s="20"/>
      <c r="X75" s="20"/>
      <c r="Y75" s="20"/>
      <c r="Z75" s="20"/>
      <c r="AA75" s="20"/>
      <c r="AB75" s="22"/>
      <c r="AC75" s="20"/>
      <c r="AD75" s="20"/>
      <c r="AE75" s="20"/>
      <c r="AF75" s="20" t="s">
        <v>1124</v>
      </c>
      <c r="AG75" s="20" t="s">
        <v>1124</v>
      </c>
      <c r="AH75" s="20" t="s">
        <v>1124</v>
      </c>
      <c r="AI75" s="328"/>
      <c r="AJ75" s="328"/>
      <c r="AK75" s="328"/>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0"/>
      <c r="BY75" s="20"/>
      <c r="BZ75" s="20"/>
      <c r="CA75" s="20"/>
      <c r="CB75" s="20"/>
      <c r="CC75" s="20"/>
      <c r="CD75" s="22"/>
      <c r="CE75" s="22"/>
      <c r="CF75" s="22"/>
      <c r="CG75" s="22"/>
      <c r="CH75" s="22"/>
      <c r="CI75" s="22"/>
      <c r="CJ75" s="149"/>
      <c r="CK75" s="241"/>
    </row>
    <row r="76" spans="1:89" ht="15" customHeight="1" x14ac:dyDescent="0.35">
      <c r="A76" s="17"/>
      <c r="B76" s="313">
        <v>80145</v>
      </c>
      <c r="C76" s="8" t="s">
        <v>826</v>
      </c>
      <c r="D76" s="18">
        <v>7</v>
      </c>
      <c r="E76" s="131"/>
      <c r="F76" s="22"/>
      <c r="G76" s="132"/>
      <c r="H76" s="22"/>
      <c r="I76" s="22"/>
      <c r="J76" s="22"/>
      <c r="K76" s="22"/>
      <c r="L76" s="22"/>
      <c r="M76" s="133"/>
      <c r="N76" s="22"/>
      <c r="O76" s="22"/>
      <c r="P76" s="22"/>
      <c r="Q76" s="20"/>
      <c r="R76" s="20"/>
      <c r="S76" s="20"/>
      <c r="T76" s="20"/>
      <c r="U76" s="20"/>
      <c r="V76" s="20"/>
      <c r="W76" s="20"/>
      <c r="X76" s="20"/>
      <c r="Y76" s="20"/>
      <c r="Z76" s="20"/>
      <c r="AA76" s="20"/>
      <c r="AB76" s="22"/>
      <c r="AC76" s="20"/>
      <c r="AD76" s="20"/>
      <c r="AE76" s="20"/>
      <c r="AF76" s="20" t="s">
        <v>1124</v>
      </c>
      <c r="AG76" s="20" t="s">
        <v>1124</v>
      </c>
      <c r="AH76" s="20" t="s">
        <v>1124</v>
      </c>
      <c r="AI76" s="328"/>
      <c r="AJ76" s="328"/>
      <c r="AK76" s="328"/>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0"/>
      <c r="BY76" s="20"/>
      <c r="BZ76" s="20"/>
      <c r="CA76" s="20"/>
      <c r="CB76" s="20"/>
      <c r="CC76" s="20"/>
      <c r="CD76" s="22"/>
      <c r="CE76" s="22"/>
      <c r="CF76" s="22"/>
      <c r="CG76" s="22"/>
      <c r="CH76" s="22"/>
      <c r="CI76" s="22"/>
      <c r="CJ76" s="149"/>
      <c r="CK76" s="241"/>
    </row>
    <row r="77" spans="1:89" ht="15" customHeight="1" x14ac:dyDescent="0.35">
      <c r="A77" s="17"/>
      <c r="B77" s="313">
        <v>78075</v>
      </c>
      <c r="C77" s="8" t="s">
        <v>778</v>
      </c>
      <c r="D77" s="18">
        <v>15</v>
      </c>
      <c r="E77" s="131" t="s">
        <v>1309</v>
      </c>
      <c r="F77" s="22" t="s">
        <v>1309</v>
      </c>
      <c r="G77" s="132" t="s">
        <v>1309</v>
      </c>
      <c r="H77" s="22" t="s">
        <v>1311</v>
      </c>
      <c r="I77" s="22" t="s">
        <v>1327</v>
      </c>
      <c r="J77" s="22" t="s">
        <v>1315</v>
      </c>
      <c r="K77" s="22" t="s">
        <v>1314</v>
      </c>
      <c r="L77" s="22" t="s">
        <v>1311</v>
      </c>
      <c r="M77" s="133" t="s">
        <v>1311</v>
      </c>
      <c r="N77" s="22" t="s">
        <v>1311</v>
      </c>
      <c r="O77" s="22" t="s">
        <v>1314</v>
      </c>
      <c r="P77" s="22" t="s">
        <v>1318</v>
      </c>
      <c r="Q77" s="20">
        <v>0</v>
      </c>
      <c r="R77" s="20">
        <v>0</v>
      </c>
      <c r="S77" s="20">
        <v>0</v>
      </c>
      <c r="T77" s="20">
        <v>0</v>
      </c>
      <c r="U77" s="20">
        <v>0</v>
      </c>
      <c r="V77" s="20">
        <v>0</v>
      </c>
      <c r="W77" s="20">
        <v>0</v>
      </c>
      <c r="X77" s="20">
        <v>0</v>
      </c>
      <c r="Y77" s="20">
        <v>0</v>
      </c>
      <c r="Z77" s="20">
        <v>0</v>
      </c>
      <c r="AA77" s="20" t="s">
        <v>1315</v>
      </c>
      <c r="AB77" s="22" t="s">
        <v>1315</v>
      </c>
      <c r="AC77" s="20">
        <v>0</v>
      </c>
      <c r="AD77" s="20">
        <v>0</v>
      </c>
      <c r="AE77" s="20">
        <v>0</v>
      </c>
      <c r="AF77" s="20">
        <v>0</v>
      </c>
      <c r="AG77" s="20">
        <v>0</v>
      </c>
      <c r="AH77" s="20">
        <v>0</v>
      </c>
      <c r="AI77" s="328" t="s">
        <v>1328</v>
      </c>
      <c r="AJ77" s="328" t="s">
        <v>1328</v>
      </c>
      <c r="AK77" s="328" t="s">
        <v>1328</v>
      </c>
      <c r="AL77" s="22" t="s">
        <v>1315</v>
      </c>
      <c r="AM77" s="22" t="s">
        <v>1315</v>
      </c>
      <c r="AN77" s="22" t="s">
        <v>1315</v>
      </c>
      <c r="AO77" s="22" t="s">
        <v>1315</v>
      </c>
      <c r="AP77" s="22" t="s">
        <v>1315</v>
      </c>
      <c r="AQ77" s="22" t="s">
        <v>1315</v>
      </c>
      <c r="AR77" s="22" t="s">
        <v>1315</v>
      </c>
      <c r="AS77" s="22" t="s">
        <v>1315</v>
      </c>
      <c r="AT77" s="22" t="s">
        <v>1317</v>
      </c>
      <c r="AU77" s="22" t="s">
        <v>1318</v>
      </c>
      <c r="AV77" s="22" t="s">
        <v>1315</v>
      </c>
      <c r="AW77" s="22" t="s">
        <v>1315</v>
      </c>
      <c r="AX77" s="22" t="s">
        <v>1315</v>
      </c>
      <c r="AY77" s="22" t="s">
        <v>1315</v>
      </c>
      <c r="AZ77" s="22" t="s">
        <v>1315</v>
      </c>
      <c r="BA77" s="22" t="s">
        <v>1315</v>
      </c>
      <c r="BB77" s="22" t="s">
        <v>1309</v>
      </c>
      <c r="BC77" s="22" t="s">
        <v>1309</v>
      </c>
      <c r="BD77" s="22" t="s">
        <v>1315</v>
      </c>
      <c r="BE77" s="22" t="s">
        <v>1315</v>
      </c>
      <c r="BF77" s="22" t="s">
        <v>1315</v>
      </c>
      <c r="BG77" s="22" t="s">
        <v>1315</v>
      </c>
      <c r="BH77" s="22" t="s">
        <v>1315</v>
      </c>
      <c r="BI77" s="22" t="s">
        <v>1315</v>
      </c>
      <c r="BJ77" s="22" t="s">
        <v>1315</v>
      </c>
      <c r="BK77" s="22" t="s">
        <v>1315</v>
      </c>
      <c r="BL77" s="22" t="s">
        <v>1315</v>
      </c>
      <c r="BM77" s="22" t="s">
        <v>1311</v>
      </c>
      <c r="BN77" s="22" t="s">
        <v>1315</v>
      </c>
      <c r="BO77" s="22" t="s">
        <v>1315</v>
      </c>
      <c r="BP77" s="22" t="s">
        <v>1315</v>
      </c>
      <c r="BQ77" s="22" t="s">
        <v>1315</v>
      </c>
      <c r="BR77" s="22" t="s">
        <v>1315</v>
      </c>
      <c r="BS77" s="22" t="s">
        <v>1315</v>
      </c>
      <c r="BT77" s="22" t="s">
        <v>1317</v>
      </c>
      <c r="BU77" s="22" t="s">
        <v>1311</v>
      </c>
      <c r="BV77" s="22" t="s">
        <v>1317</v>
      </c>
      <c r="BW77" s="22" t="s">
        <v>1318</v>
      </c>
      <c r="BX77" s="20">
        <v>0</v>
      </c>
      <c r="BY77" s="20">
        <v>0</v>
      </c>
      <c r="BZ77" s="20">
        <v>13</v>
      </c>
      <c r="CA77" s="20">
        <v>0</v>
      </c>
      <c r="CB77" s="20">
        <v>0</v>
      </c>
      <c r="CC77" s="20">
        <v>311</v>
      </c>
      <c r="CD77" s="22" t="s">
        <v>1315</v>
      </c>
      <c r="CE77" s="22" t="s">
        <v>1315</v>
      </c>
      <c r="CF77" s="22" t="s">
        <v>1315</v>
      </c>
      <c r="CG77" s="22" t="s">
        <v>1315</v>
      </c>
      <c r="CH77" s="22" t="s">
        <v>1315</v>
      </c>
      <c r="CI77" s="22" t="s">
        <v>1315</v>
      </c>
      <c r="CJ77" s="149" t="s">
        <v>1521</v>
      </c>
      <c r="CK77" s="241" t="s">
        <v>1522</v>
      </c>
    </row>
    <row r="78" spans="1:89" ht="15" customHeight="1" x14ac:dyDescent="0.35">
      <c r="A78" s="17"/>
      <c r="B78" s="313">
        <v>46090</v>
      </c>
      <c r="C78" s="8" t="s">
        <v>443</v>
      </c>
      <c r="D78" s="18">
        <v>5</v>
      </c>
      <c r="E78" s="131"/>
      <c r="F78" s="22"/>
      <c r="G78" s="132"/>
      <c r="H78" s="22"/>
      <c r="I78" s="22"/>
      <c r="J78" s="22"/>
      <c r="K78" s="22"/>
      <c r="L78" s="22"/>
      <c r="M78" s="133"/>
      <c r="N78" s="22"/>
      <c r="O78" s="22"/>
      <c r="P78" s="22"/>
      <c r="Q78" s="20"/>
      <c r="R78" s="20"/>
      <c r="S78" s="20"/>
      <c r="T78" s="20"/>
      <c r="U78" s="20"/>
      <c r="V78" s="20"/>
      <c r="W78" s="20"/>
      <c r="X78" s="20"/>
      <c r="Y78" s="20"/>
      <c r="Z78" s="20"/>
      <c r="AA78" s="20"/>
      <c r="AB78" s="22"/>
      <c r="AC78" s="20"/>
      <c r="AD78" s="20"/>
      <c r="AE78" s="20"/>
      <c r="AF78" s="20" t="s">
        <v>1124</v>
      </c>
      <c r="AG78" s="20" t="s">
        <v>1124</v>
      </c>
      <c r="AH78" s="20" t="s">
        <v>1124</v>
      </c>
      <c r="AI78" s="328"/>
      <c r="AJ78" s="328"/>
      <c r="AK78" s="328"/>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0"/>
      <c r="BY78" s="20"/>
      <c r="BZ78" s="20"/>
      <c r="CA78" s="20"/>
      <c r="CB78" s="20"/>
      <c r="CC78" s="20"/>
      <c r="CD78" s="22"/>
      <c r="CE78" s="22"/>
      <c r="CF78" s="22"/>
      <c r="CG78" s="22"/>
      <c r="CH78" s="22"/>
      <c r="CI78" s="22"/>
      <c r="CJ78" s="149"/>
      <c r="CK78" s="241"/>
    </row>
    <row r="79" spans="1:89" ht="15" customHeight="1" x14ac:dyDescent="0.35">
      <c r="A79" s="17"/>
      <c r="B79" s="313">
        <v>84005</v>
      </c>
      <c r="C79" s="8" t="s">
        <v>852</v>
      </c>
      <c r="D79" s="18">
        <v>7</v>
      </c>
      <c r="E79" s="131"/>
      <c r="F79" s="22"/>
      <c r="G79" s="132"/>
      <c r="H79" s="22"/>
      <c r="I79" s="22"/>
      <c r="J79" s="22"/>
      <c r="K79" s="22"/>
      <c r="L79" s="22"/>
      <c r="M79" s="133"/>
      <c r="N79" s="22"/>
      <c r="O79" s="22"/>
      <c r="P79" s="22"/>
      <c r="Q79" s="20"/>
      <c r="R79" s="20"/>
      <c r="S79" s="20"/>
      <c r="T79" s="20"/>
      <c r="U79" s="20"/>
      <c r="V79" s="20"/>
      <c r="W79" s="20"/>
      <c r="X79" s="20"/>
      <c r="Y79" s="20"/>
      <c r="Z79" s="20"/>
      <c r="AA79" s="20"/>
      <c r="AB79" s="22"/>
      <c r="AC79" s="20"/>
      <c r="AD79" s="20"/>
      <c r="AE79" s="20"/>
      <c r="AF79" s="20" t="s">
        <v>1124</v>
      </c>
      <c r="AG79" s="20" t="s">
        <v>1124</v>
      </c>
      <c r="AH79" s="20" t="s">
        <v>1124</v>
      </c>
      <c r="AI79" s="328"/>
      <c r="AJ79" s="328"/>
      <c r="AK79" s="328"/>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0"/>
      <c r="BY79" s="20"/>
      <c r="BZ79" s="20"/>
      <c r="CA79" s="20"/>
      <c r="CB79" s="20"/>
      <c r="CC79" s="20"/>
      <c r="CD79" s="22"/>
      <c r="CE79" s="22"/>
      <c r="CF79" s="22"/>
      <c r="CG79" s="22"/>
      <c r="CH79" s="22"/>
      <c r="CI79" s="22"/>
      <c r="CJ79" s="149"/>
      <c r="CK79" s="241"/>
    </row>
    <row r="80" spans="1:89" ht="15" customHeight="1" x14ac:dyDescent="0.35">
      <c r="A80" s="17"/>
      <c r="B80" s="313">
        <v>46070</v>
      </c>
      <c r="C80" s="8" t="s">
        <v>438</v>
      </c>
      <c r="D80" s="18">
        <v>5</v>
      </c>
      <c r="E80" s="131"/>
      <c r="F80" s="22"/>
      <c r="G80" s="132"/>
      <c r="H80" s="22"/>
      <c r="I80" s="22"/>
      <c r="J80" s="22"/>
      <c r="K80" s="22"/>
      <c r="L80" s="22"/>
      <c r="M80" s="133"/>
      <c r="N80" s="22"/>
      <c r="O80" s="22"/>
      <c r="P80" s="22"/>
      <c r="Q80" s="20"/>
      <c r="R80" s="20"/>
      <c r="S80" s="20"/>
      <c r="T80" s="20"/>
      <c r="U80" s="20"/>
      <c r="V80" s="20"/>
      <c r="W80" s="20"/>
      <c r="X80" s="20"/>
      <c r="Y80" s="20"/>
      <c r="Z80" s="20"/>
      <c r="AA80" s="20"/>
      <c r="AB80" s="22"/>
      <c r="AC80" s="20"/>
      <c r="AD80" s="20"/>
      <c r="AE80" s="20"/>
      <c r="AF80" s="20" t="s">
        <v>1124</v>
      </c>
      <c r="AG80" s="20" t="s">
        <v>1124</v>
      </c>
      <c r="AH80" s="20" t="s">
        <v>1124</v>
      </c>
      <c r="AI80" s="328"/>
      <c r="AJ80" s="328"/>
      <c r="AK80" s="328"/>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0"/>
      <c r="BY80" s="20"/>
      <c r="BZ80" s="20"/>
      <c r="CA80" s="20"/>
      <c r="CB80" s="20"/>
      <c r="CC80" s="20"/>
      <c r="CD80" s="22"/>
      <c r="CE80" s="22"/>
      <c r="CF80" s="22"/>
      <c r="CG80" s="22"/>
      <c r="CH80" s="22"/>
      <c r="CI80" s="22"/>
      <c r="CJ80" s="149"/>
      <c r="CK80" s="241"/>
    </row>
    <row r="81" spans="1:89" ht="15" customHeight="1" x14ac:dyDescent="0.35">
      <c r="A81" s="17"/>
      <c r="B81" s="313">
        <v>46078</v>
      </c>
      <c r="C81" s="8" t="s">
        <v>440</v>
      </c>
      <c r="D81" s="18">
        <v>5</v>
      </c>
      <c r="E81" s="131" t="s">
        <v>1309</v>
      </c>
      <c r="F81" s="22" t="s">
        <v>1309</v>
      </c>
      <c r="G81" s="132" t="s">
        <v>1309</v>
      </c>
      <c r="H81" s="22" t="s">
        <v>1311</v>
      </c>
      <c r="I81" s="22" t="s">
        <v>1349</v>
      </c>
      <c r="J81" s="22" t="s">
        <v>1405</v>
      </c>
      <c r="K81" s="22" t="s">
        <v>1319</v>
      </c>
      <c r="L81" s="22" t="s">
        <v>1311</v>
      </c>
      <c r="M81" s="133" t="s">
        <v>1311</v>
      </c>
      <c r="N81" s="22" t="s">
        <v>1311</v>
      </c>
      <c r="O81" s="22" t="s">
        <v>1309</v>
      </c>
      <c r="P81" s="22" t="s">
        <v>1309</v>
      </c>
      <c r="Q81" s="20">
        <v>0</v>
      </c>
      <c r="R81" s="20">
        <v>0</v>
      </c>
      <c r="S81" s="20">
        <v>0</v>
      </c>
      <c r="T81" s="20">
        <v>0</v>
      </c>
      <c r="U81" s="20">
        <v>0</v>
      </c>
      <c r="V81" s="20">
        <v>0</v>
      </c>
      <c r="W81" s="20">
        <v>117.26300000000001</v>
      </c>
      <c r="X81" s="20">
        <v>0</v>
      </c>
      <c r="Y81" s="20">
        <v>0</v>
      </c>
      <c r="Z81" s="20">
        <v>0</v>
      </c>
      <c r="AA81" s="20" t="s">
        <v>1315</v>
      </c>
      <c r="AB81" s="22" t="s">
        <v>1315</v>
      </c>
      <c r="AC81" s="20">
        <v>8</v>
      </c>
      <c r="AD81" s="20">
        <v>0</v>
      </c>
      <c r="AE81" s="20">
        <v>0</v>
      </c>
      <c r="AF81" s="20">
        <v>3</v>
      </c>
      <c r="AG81" s="20">
        <v>0</v>
      </c>
      <c r="AH81" s="20">
        <v>0</v>
      </c>
      <c r="AI81" s="328">
        <v>6.8222713046741079</v>
      </c>
      <c r="AJ81" s="328" t="s">
        <v>1328</v>
      </c>
      <c r="AK81" s="328" t="s">
        <v>1328</v>
      </c>
      <c r="AL81" s="22" t="s">
        <v>1315</v>
      </c>
      <c r="AM81" s="22" t="s">
        <v>1315</v>
      </c>
      <c r="AN81" s="22" t="s">
        <v>1526</v>
      </c>
      <c r="AO81" s="22" t="s">
        <v>1318</v>
      </c>
      <c r="AP81" s="22" t="s">
        <v>1526</v>
      </c>
      <c r="AQ81" s="22" t="s">
        <v>1318</v>
      </c>
      <c r="AR81" s="22" t="s">
        <v>1317</v>
      </c>
      <c r="AS81" s="22" t="s">
        <v>1318</v>
      </c>
      <c r="AT81" s="22" t="s">
        <v>1317</v>
      </c>
      <c r="AU81" s="22" t="s">
        <v>1311</v>
      </c>
      <c r="AV81" s="22" t="s">
        <v>1317</v>
      </c>
      <c r="AW81" s="22" t="s">
        <v>1318</v>
      </c>
      <c r="AX81" s="22" t="s">
        <v>1317</v>
      </c>
      <c r="AY81" s="22" t="s">
        <v>1318</v>
      </c>
      <c r="AZ81" s="22" t="s">
        <v>1317</v>
      </c>
      <c r="BA81" s="22" t="s">
        <v>1318</v>
      </c>
      <c r="BB81" s="22" t="s">
        <v>1309</v>
      </c>
      <c r="BC81" s="22" t="s">
        <v>1309</v>
      </c>
      <c r="BD81" s="22" t="s">
        <v>1309</v>
      </c>
      <c r="BE81" s="22" t="s">
        <v>1309</v>
      </c>
      <c r="BF81" s="22" t="s">
        <v>1317</v>
      </c>
      <c r="BG81" s="22" t="s">
        <v>1318</v>
      </c>
      <c r="BH81" s="22" t="s">
        <v>1317</v>
      </c>
      <c r="BI81" s="22" t="s">
        <v>1318</v>
      </c>
      <c r="BJ81" s="22" t="s">
        <v>1317</v>
      </c>
      <c r="BK81" s="22" t="s">
        <v>1318</v>
      </c>
      <c r="BL81" s="22" t="s">
        <v>1317</v>
      </c>
      <c r="BM81" s="22" t="s">
        <v>1318</v>
      </c>
      <c r="BN81" s="22" t="s">
        <v>1317</v>
      </c>
      <c r="BO81" s="22" t="s">
        <v>1318</v>
      </c>
      <c r="BP81" s="22" t="s">
        <v>1317</v>
      </c>
      <c r="BQ81" s="22" t="s">
        <v>1318</v>
      </c>
      <c r="BR81" s="22" t="s">
        <v>1319</v>
      </c>
      <c r="BS81" s="22" t="s">
        <v>1309</v>
      </c>
      <c r="BT81" s="22" t="s">
        <v>1317</v>
      </c>
      <c r="BU81" s="22" t="s">
        <v>1311</v>
      </c>
      <c r="BV81" s="22" t="s">
        <v>1309</v>
      </c>
      <c r="BW81" s="22" t="s">
        <v>1309</v>
      </c>
      <c r="BX81" s="20">
        <v>164</v>
      </c>
      <c r="BY81" s="20">
        <v>0</v>
      </c>
      <c r="BZ81" s="20">
        <v>71</v>
      </c>
      <c r="CA81" s="20">
        <v>55</v>
      </c>
      <c r="CB81" s="20">
        <v>0</v>
      </c>
      <c r="CC81" s="20">
        <v>2840</v>
      </c>
      <c r="CD81" s="22" t="s">
        <v>1345</v>
      </c>
      <c r="CE81" s="22" t="s">
        <v>1321</v>
      </c>
      <c r="CF81" s="22" t="s">
        <v>1345</v>
      </c>
      <c r="CG81" s="22" t="s">
        <v>1321</v>
      </c>
      <c r="CH81" s="22" t="s">
        <v>1317</v>
      </c>
      <c r="CI81" s="22" t="s">
        <v>1318</v>
      </c>
      <c r="CJ81" s="149" t="s">
        <v>1527</v>
      </c>
      <c r="CK81" s="241" t="s">
        <v>1124</v>
      </c>
    </row>
    <row r="82" spans="1:89" ht="15" customHeight="1" x14ac:dyDescent="0.35">
      <c r="A82" s="17"/>
      <c r="B82" s="313">
        <v>58007</v>
      </c>
      <c r="C82" s="8" t="s">
        <v>594</v>
      </c>
      <c r="D82" s="18">
        <v>16</v>
      </c>
      <c r="E82" s="131" t="s">
        <v>1309</v>
      </c>
      <c r="F82" s="22" t="s">
        <v>1309</v>
      </c>
      <c r="G82" s="132" t="s">
        <v>1309</v>
      </c>
      <c r="H82" s="22" t="s">
        <v>1311</v>
      </c>
      <c r="I82" s="22" t="s">
        <v>1327</v>
      </c>
      <c r="J82" s="22" t="s">
        <v>1318</v>
      </c>
      <c r="K82" s="22" t="s">
        <v>1309</v>
      </c>
      <c r="L82" s="22" t="s">
        <v>1309</v>
      </c>
      <c r="M82" s="133" t="s">
        <v>1311</v>
      </c>
      <c r="N82" s="22" t="s">
        <v>1311</v>
      </c>
      <c r="O82" s="22" t="s">
        <v>1309</v>
      </c>
      <c r="P82" s="22" t="s">
        <v>1309</v>
      </c>
      <c r="Q82" s="20">
        <v>0</v>
      </c>
      <c r="R82" s="20">
        <v>0</v>
      </c>
      <c r="S82" s="20">
        <v>0</v>
      </c>
      <c r="T82" s="20">
        <v>0</v>
      </c>
      <c r="U82" s="20">
        <v>355</v>
      </c>
      <c r="V82" s="20">
        <v>355</v>
      </c>
      <c r="W82" s="20">
        <v>0</v>
      </c>
      <c r="X82" s="20">
        <v>0</v>
      </c>
      <c r="Y82" s="20">
        <v>0</v>
      </c>
      <c r="Z82" s="20">
        <v>0</v>
      </c>
      <c r="AA82" s="20" t="s">
        <v>1317</v>
      </c>
      <c r="AB82" s="22" t="s">
        <v>1318</v>
      </c>
      <c r="AC82" s="20">
        <v>15</v>
      </c>
      <c r="AD82" s="20">
        <v>10</v>
      </c>
      <c r="AE82" s="20">
        <v>0</v>
      </c>
      <c r="AF82" s="20">
        <v>1</v>
      </c>
      <c r="AG82" s="20">
        <v>2</v>
      </c>
      <c r="AH82" s="20">
        <v>0</v>
      </c>
      <c r="AI82" s="328">
        <v>4.225352112676056</v>
      </c>
      <c r="AJ82" s="328">
        <v>0.42683967901656139</v>
      </c>
      <c r="AK82" s="328" t="s">
        <v>1328</v>
      </c>
      <c r="AL82" s="22" t="s">
        <v>1329</v>
      </c>
      <c r="AM82" s="22" t="s">
        <v>1330</v>
      </c>
      <c r="AN82" s="22" t="s">
        <v>1317</v>
      </c>
      <c r="AO82" s="22" t="s">
        <v>1318</v>
      </c>
      <c r="AP82" s="22" t="s">
        <v>1318</v>
      </c>
      <c r="AQ82" s="22" t="s">
        <v>1318</v>
      </c>
      <c r="AR82" s="22" t="s">
        <v>1317</v>
      </c>
      <c r="AS82" s="22" t="s">
        <v>1318</v>
      </c>
      <c r="AT82" s="22" t="s">
        <v>1309</v>
      </c>
      <c r="AU82" s="22" t="s">
        <v>1309</v>
      </c>
      <c r="AV82" s="22" t="s">
        <v>1317</v>
      </c>
      <c r="AW82" s="22" t="s">
        <v>1318</v>
      </c>
      <c r="AX82" s="22" t="s">
        <v>1309</v>
      </c>
      <c r="AY82" s="22" t="s">
        <v>1309</v>
      </c>
      <c r="AZ82" s="22" t="s">
        <v>1319</v>
      </c>
      <c r="BA82" s="22" t="s">
        <v>1311</v>
      </c>
      <c r="BB82" s="22" t="s">
        <v>1309</v>
      </c>
      <c r="BC82" s="22" t="s">
        <v>1309</v>
      </c>
      <c r="BD82" s="22" t="s">
        <v>1309</v>
      </c>
      <c r="BE82" s="22" t="s">
        <v>1309</v>
      </c>
      <c r="BF82" s="22" t="s">
        <v>1309</v>
      </c>
      <c r="BG82" s="22" t="s">
        <v>1309</v>
      </c>
      <c r="BH82" s="22" t="s">
        <v>1317</v>
      </c>
      <c r="BI82" s="22" t="s">
        <v>1318</v>
      </c>
      <c r="BJ82" s="22" t="s">
        <v>1309</v>
      </c>
      <c r="BK82" s="22" t="s">
        <v>1309</v>
      </c>
      <c r="BL82" s="22" t="s">
        <v>1317</v>
      </c>
      <c r="BM82" s="22" t="s">
        <v>1318</v>
      </c>
      <c r="BN82" s="22" t="s">
        <v>1309</v>
      </c>
      <c r="BO82" s="22" t="s">
        <v>1309</v>
      </c>
      <c r="BP82" s="22" t="s">
        <v>1317</v>
      </c>
      <c r="BQ82" s="22" t="s">
        <v>1318</v>
      </c>
      <c r="BR82" s="22" t="s">
        <v>1309</v>
      </c>
      <c r="BS82" s="22" t="s">
        <v>1309</v>
      </c>
      <c r="BT82" s="22" t="s">
        <v>1317</v>
      </c>
      <c r="BU82" s="22" t="s">
        <v>1318</v>
      </c>
      <c r="BV82" s="22" t="s">
        <v>1309</v>
      </c>
      <c r="BW82" s="22" t="s">
        <v>1309</v>
      </c>
      <c r="BX82" s="20">
        <v>437</v>
      </c>
      <c r="BY82" s="20">
        <v>0</v>
      </c>
      <c r="BZ82" s="20">
        <v>1</v>
      </c>
      <c r="CA82" s="20">
        <v>23199</v>
      </c>
      <c r="CB82" s="20">
        <v>0</v>
      </c>
      <c r="CC82" s="20">
        <v>0</v>
      </c>
      <c r="CD82" s="22" t="s">
        <v>1331</v>
      </c>
      <c r="CE82" s="22" t="s">
        <v>1331</v>
      </c>
      <c r="CF82" s="22" t="s">
        <v>1331</v>
      </c>
      <c r="CG82" s="22" t="s">
        <v>1331</v>
      </c>
      <c r="CH82" s="22" t="s">
        <v>1317</v>
      </c>
      <c r="CI82" s="22" t="s">
        <v>1318</v>
      </c>
      <c r="CJ82" s="149" t="s">
        <v>1124</v>
      </c>
      <c r="CK82" s="241" t="s">
        <v>1124</v>
      </c>
    </row>
    <row r="83" spans="1:89" ht="15" customHeight="1" x14ac:dyDescent="0.35">
      <c r="A83" s="17"/>
      <c r="B83" s="313">
        <v>76043</v>
      </c>
      <c r="C83" s="8" t="s">
        <v>752</v>
      </c>
      <c r="D83" s="18">
        <v>15</v>
      </c>
      <c r="E83" s="131" t="s">
        <v>1309</v>
      </c>
      <c r="F83" s="22" t="s">
        <v>1309</v>
      </c>
      <c r="G83" s="132" t="s">
        <v>1309</v>
      </c>
      <c r="H83" s="22" t="s">
        <v>1311</v>
      </c>
      <c r="I83" s="22" t="s">
        <v>1327</v>
      </c>
      <c r="J83" s="22" t="s">
        <v>1327</v>
      </c>
      <c r="K83" s="22" t="s">
        <v>1314</v>
      </c>
      <c r="L83" s="22" t="s">
        <v>1311</v>
      </c>
      <c r="M83" s="133" t="s">
        <v>1311</v>
      </c>
      <c r="N83" s="22" t="s">
        <v>1311</v>
      </c>
      <c r="O83" s="22" t="s">
        <v>1314</v>
      </c>
      <c r="P83" s="22" t="s">
        <v>1311</v>
      </c>
      <c r="Q83" s="20">
        <v>0</v>
      </c>
      <c r="R83" s="20">
        <v>0</v>
      </c>
      <c r="S83" s="20">
        <v>36.808999999999997</v>
      </c>
      <c r="T83" s="20">
        <v>0</v>
      </c>
      <c r="U83" s="20">
        <v>0</v>
      </c>
      <c r="V83" s="20">
        <v>36.808999999999997</v>
      </c>
      <c r="W83" s="20">
        <v>0</v>
      </c>
      <c r="X83" s="20">
        <v>0</v>
      </c>
      <c r="Y83" s="20">
        <v>0</v>
      </c>
      <c r="Z83" s="20">
        <v>0</v>
      </c>
      <c r="AA83" s="20" t="s">
        <v>1317</v>
      </c>
      <c r="AB83" s="22" t="s">
        <v>1311</v>
      </c>
      <c r="AC83" s="20">
        <v>2</v>
      </c>
      <c r="AD83" s="20">
        <v>0</v>
      </c>
      <c r="AE83" s="20">
        <v>0</v>
      </c>
      <c r="AF83" s="20">
        <v>1</v>
      </c>
      <c r="AG83" s="20">
        <v>0</v>
      </c>
      <c r="AH83" s="20">
        <v>0</v>
      </c>
      <c r="AI83" s="328">
        <v>5.4334537748920093</v>
      </c>
      <c r="AJ83" s="328" t="s">
        <v>1328</v>
      </c>
      <c r="AK83" s="328" t="s">
        <v>1328</v>
      </c>
      <c r="AL83" s="22" t="s">
        <v>1329</v>
      </c>
      <c r="AM83" s="22" t="s">
        <v>1330</v>
      </c>
      <c r="AN83" s="22" t="s">
        <v>1317</v>
      </c>
      <c r="AO83" s="22" t="s">
        <v>1318</v>
      </c>
      <c r="AP83" s="22" t="s">
        <v>1318</v>
      </c>
      <c r="AQ83" s="22" t="s">
        <v>1318</v>
      </c>
      <c r="AR83" s="22" t="s">
        <v>1317</v>
      </c>
      <c r="AS83" s="22" t="s">
        <v>1318</v>
      </c>
      <c r="AT83" s="22" t="s">
        <v>1319</v>
      </c>
      <c r="AU83" s="22" t="s">
        <v>1311</v>
      </c>
      <c r="AV83" s="22" t="s">
        <v>1317</v>
      </c>
      <c r="AW83" s="22" t="s">
        <v>1311</v>
      </c>
      <c r="AX83" s="22" t="s">
        <v>1317</v>
      </c>
      <c r="AY83" s="22" t="s">
        <v>1318</v>
      </c>
      <c r="AZ83" s="22" t="s">
        <v>1309</v>
      </c>
      <c r="BA83" s="22" t="s">
        <v>1309</v>
      </c>
      <c r="BB83" s="22" t="s">
        <v>1309</v>
      </c>
      <c r="BC83" s="22" t="s">
        <v>1311</v>
      </c>
      <c r="BD83" s="22" t="s">
        <v>1317</v>
      </c>
      <c r="BE83" s="22" t="s">
        <v>1318</v>
      </c>
      <c r="BF83" s="22" t="s">
        <v>1317</v>
      </c>
      <c r="BG83" s="22" t="s">
        <v>1318</v>
      </c>
      <c r="BH83" s="22" t="s">
        <v>1317</v>
      </c>
      <c r="BI83" s="22" t="s">
        <v>1311</v>
      </c>
      <c r="BJ83" s="22" t="s">
        <v>1317</v>
      </c>
      <c r="BK83" s="22" t="s">
        <v>1311</v>
      </c>
      <c r="BL83" s="22" t="s">
        <v>1309</v>
      </c>
      <c r="BM83" s="22" t="s">
        <v>1309</v>
      </c>
      <c r="BN83" s="22" t="s">
        <v>1319</v>
      </c>
      <c r="BO83" s="22" t="s">
        <v>1311</v>
      </c>
      <c r="BP83" s="22" t="s">
        <v>1309</v>
      </c>
      <c r="BQ83" s="22" t="s">
        <v>1309</v>
      </c>
      <c r="BR83" s="22" t="s">
        <v>1309</v>
      </c>
      <c r="BS83" s="22" t="s">
        <v>1309</v>
      </c>
      <c r="BT83" s="22" t="s">
        <v>1319</v>
      </c>
      <c r="BU83" s="22" t="s">
        <v>1311</v>
      </c>
      <c r="BV83" s="22" t="s">
        <v>1317</v>
      </c>
      <c r="BW83" s="22" t="s">
        <v>1311</v>
      </c>
      <c r="BX83" s="20">
        <v>1</v>
      </c>
      <c r="BY83" s="20">
        <v>33</v>
      </c>
      <c r="BZ83" s="20">
        <v>0</v>
      </c>
      <c r="CA83" s="20">
        <v>0</v>
      </c>
      <c r="CB83" s="20">
        <v>0</v>
      </c>
      <c r="CC83" s="20">
        <v>1485</v>
      </c>
      <c r="CD83" s="22" t="s">
        <v>1331</v>
      </c>
      <c r="CE83" s="22" t="s">
        <v>1331</v>
      </c>
      <c r="CF83" s="22" t="s">
        <v>1320</v>
      </c>
      <c r="CG83" s="22" t="s">
        <v>1321</v>
      </c>
      <c r="CH83" s="22" t="s">
        <v>1315</v>
      </c>
      <c r="CI83" s="22" t="s">
        <v>1315</v>
      </c>
      <c r="CJ83" s="149" t="s">
        <v>1536</v>
      </c>
      <c r="CK83" s="241" t="s">
        <v>1537</v>
      </c>
    </row>
    <row r="84" spans="1:89" ht="15" customHeight="1" x14ac:dyDescent="0.35">
      <c r="A84" s="17"/>
      <c r="B84" s="313">
        <v>84025</v>
      </c>
      <c r="C84" s="8" t="s">
        <v>856</v>
      </c>
      <c r="D84" s="18">
        <v>7</v>
      </c>
      <c r="E84" s="131"/>
      <c r="F84" s="22"/>
      <c r="G84" s="132"/>
      <c r="H84" s="22"/>
      <c r="I84" s="22"/>
      <c r="J84" s="22"/>
      <c r="K84" s="22"/>
      <c r="L84" s="22"/>
      <c r="M84" s="133"/>
      <c r="N84" s="22"/>
      <c r="O84" s="22"/>
      <c r="P84" s="22"/>
      <c r="Q84" s="20"/>
      <c r="R84" s="20"/>
      <c r="S84" s="20"/>
      <c r="T84" s="20"/>
      <c r="U84" s="20"/>
      <c r="V84" s="20"/>
      <c r="W84" s="20"/>
      <c r="X84" s="20"/>
      <c r="Y84" s="20"/>
      <c r="Z84" s="20"/>
      <c r="AA84" s="20"/>
      <c r="AB84" s="22"/>
      <c r="AC84" s="20"/>
      <c r="AD84" s="20"/>
      <c r="AE84" s="20"/>
      <c r="AF84" s="20" t="s">
        <v>1124</v>
      </c>
      <c r="AG84" s="20" t="s">
        <v>1124</v>
      </c>
      <c r="AH84" s="20" t="s">
        <v>1124</v>
      </c>
      <c r="AI84" s="328"/>
      <c r="AJ84" s="328"/>
      <c r="AK84" s="328"/>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0"/>
      <c r="BY84" s="20"/>
      <c r="BZ84" s="20"/>
      <c r="CA84" s="20"/>
      <c r="CB84" s="20"/>
      <c r="CC84" s="20"/>
      <c r="CD84" s="22"/>
      <c r="CE84" s="22"/>
      <c r="CF84" s="22"/>
      <c r="CG84" s="22"/>
      <c r="CH84" s="22"/>
      <c r="CI84" s="22"/>
      <c r="CJ84" s="149"/>
      <c r="CK84" s="241"/>
    </row>
    <row r="85" spans="1:89" ht="15" customHeight="1" x14ac:dyDescent="0.35">
      <c r="A85" s="17"/>
      <c r="B85" s="313">
        <v>41070</v>
      </c>
      <c r="C85" s="8" t="s">
        <v>373</v>
      </c>
      <c r="D85" s="18">
        <v>5</v>
      </c>
      <c r="E85" s="131"/>
      <c r="F85" s="22"/>
      <c r="G85" s="132"/>
      <c r="H85" s="22"/>
      <c r="I85" s="22"/>
      <c r="J85" s="22"/>
      <c r="K85" s="22"/>
      <c r="L85" s="22"/>
      <c r="M85" s="133"/>
      <c r="N85" s="22"/>
      <c r="O85" s="22"/>
      <c r="P85" s="22"/>
      <c r="Q85" s="20"/>
      <c r="R85" s="20"/>
      <c r="S85" s="20"/>
      <c r="T85" s="20"/>
      <c r="U85" s="20"/>
      <c r="V85" s="20"/>
      <c r="W85" s="20"/>
      <c r="X85" s="20"/>
      <c r="Y85" s="20"/>
      <c r="Z85" s="20"/>
      <c r="AA85" s="20"/>
      <c r="AB85" s="22"/>
      <c r="AC85" s="20"/>
      <c r="AD85" s="20"/>
      <c r="AE85" s="20"/>
      <c r="AF85" s="20" t="s">
        <v>1124</v>
      </c>
      <c r="AG85" s="20" t="s">
        <v>1124</v>
      </c>
      <c r="AH85" s="20" t="s">
        <v>1124</v>
      </c>
      <c r="AI85" s="328"/>
      <c r="AJ85" s="328"/>
      <c r="AK85" s="328"/>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0"/>
      <c r="BY85" s="20"/>
      <c r="BZ85" s="20"/>
      <c r="CA85" s="20"/>
      <c r="CB85" s="20"/>
      <c r="CC85" s="20"/>
      <c r="CD85" s="22"/>
      <c r="CE85" s="22"/>
      <c r="CF85" s="22"/>
      <c r="CG85" s="22"/>
      <c r="CH85" s="22"/>
      <c r="CI85" s="22"/>
      <c r="CJ85" s="149"/>
      <c r="CK85" s="241"/>
    </row>
    <row r="86" spans="1:89" ht="15" customHeight="1" x14ac:dyDescent="0.35">
      <c r="A86" s="17"/>
      <c r="B86" s="313">
        <v>12057</v>
      </c>
      <c r="C86" s="8" t="s">
        <v>37</v>
      </c>
      <c r="D86" s="18">
        <v>1</v>
      </c>
      <c r="E86" s="131" t="s">
        <v>1309</v>
      </c>
      <c r="F86" s="22" t="s">
        <v>1309</v>
      </c>
      <c r="G86" s="132" t="s">
        <v>1309</v>
      </c>
      <c r="H86" s="22" t="s">
        <v>1311</v>
      </c>
      <c r="I86" s="22" t="s">
        <v>1327</v>
      </c>
      <c r="J86" s="22" t="s">
        <v>1327</v>
      </c>
      <c r="K86" s="22" t="s">
        <v>1314</v>
      </c>
      <c r="L86" s="22" t="s">
        <v>1311</v>
      </c>
      <c r="M86" s="133" t="s">
        <v>1311</v>
      </c>
      <c r="N86" s="22" t="s">
        <v>1311</v>
      </c>
      <c r="O86" s="22" t="s">
        <v>1309</v>
      </c>
      <c r="P86" s="22" t="s">
        <v>1309</v>
      </c>
      <c r="Q86" s="20">
        <v>0</v>
      </c>
      <c r="R86" s="20">
        <v>0</v>
      </c>
      <c r="S86" s="20">
        <v>0.25</v>
      </c>
      <c r="T86" s="20">
        <v>0.25</v>
      </c>
      <c r="U86" s="20">
        <v>0</v>
      </c>
      <c r="V86" s="20">
        <v>0</v>
      </c>
      <c r="W86" s="20">
        <v>0</v>
      </c>
      <c r="X86" s="20">
        <v>0</v>
      </c>
      <c r="Y86" s="20">
        <v>0</v>
      </c>
      <c r="Z86" s="20">
        <v>0</v>
      </c>
      <c r="AA86" s="20" t="s">
        <v>1317</v>
      </c>
      <c r="AB86" s="22" t="s">
        <v>1318</v>
      </c>
      <c r="AC86" s="20">
        <v>1</v>
      </c>
      <c r="AD86" s="20">
        <v>3</v>
      </c>
      <c r="AE86" s="20">
        <v>0</v>
      </c>
      <c r="AF86" s="20">
        <v>1</v>
      </c>
      <c r="AG86" s="20">
        <v>1</v>
      </c>
      <c r="AH86" s="20">
        <v>0</v>
      </c>
      <c r="AI86" s="328">
        <v>5.3228296162239852</v>
      </c>
      <c r="AJ86" s="328">
        <v>4.4642857142857144</v>
      </c>
      <c r="AK86" s="328" t="s">
        <v>1328</v>
      </c>
      <c r="AL86" s="22" t="s">
        <v>1329</v>
      </c>
      <c r="AM86" s="22" t="s">
        <v>1330</v>
      </c>
      <c r="AN86" s="22" t="s">
        <v>1317</v>
      </c>
      <c r="AO86" s="22" t="s">
        <v>1318</v>
      </c>
      <c r="AP86" s="22" t="s">
        <v>1318</v>
      </c>
      <c r="AQ86" s="22" t="s">
        <v>1318</v>
      </c>
      <c r="AR86" s="22" t="s">
        <v>1309</v>
      </c>
      <c r="AS86" s="22" t="s">
        <v>1309</v>
      </c>
      <c r="AT86" s="22" t="s">
        <v>1309</v>
      </c>
      <c r="AU86" s="22" t="s">
        <v>1318</v>
      </c>
      <c r="AV86" s="22" t="s">
        <v>1317</v>
      </c>
      <c r="AW86" s="22" t="s">
        <v>1318</v>
      </c>
      <c r="AX86" s="22" t="s">
        <v>1317</v>
      </c>
      <c r="AY86" s="22" t="s">
        <v>1318</v>
      </c>
      <c r="AZ86" s="22" t="s">
        <v>1317</v>
      </c>
      <c r="BA86" s="22" t="s">
        <v>1318</v>
      </c>
      <c r="BB86" s="22" t="s">
        <v>1309</v>
      </c>
      <c r="BC86" s="22" t="s">
        <v>1309</v>
      </c>
      <c r="BD86" s="22" t="s">
        <v>1317</v>
      </c>
      <c r="BE86" s="22" t="s">
        <v>1318</v>
      </c>
      <c r="BF86" s="22" t="s">
        <v>1309</v>
      </c>
      <c r="BG86" s="22" t="s">
        <v>1309</v>
      </c>
      <c r="BH86" s="22" t="s">
        <v>1317</v>
      </c>
      <c r="BI86" s="22" t="s">
        <v>1318</v>
      </c>
      <c r="BJ86" s="22" t="s">
        <v>1309</v>
      </c>
      <c r="BK86" s="22" t="s">
        <v>1309</v>
      </c>
      <c r="BL86" s="22" t="s">
        <v>1319</v>
      </c>
      <c r="BM86" s="22" t="s">
        <v>1311</v>
      </c>
      <c r="BN86" s="22" t="s">
        <v>1309</v>
      </c>
      <c r="BO86" s="22" t="s">
        <v>1309</v>
      </c>
      <c r="BP86" s="22" t="s">
        <v>1315</v>
      </c>
      <c r="BQ86" s="22" t="s">
        <v>1315</v>
      </c>
      <c r="BR86" s="22" t="s">
        <v>1309</v>
      </c>
      <c r="BS86" s="22" t="s">
        <v>1309</v>
      </c>
      <c r="BT86" s="22" t="s">
        <v>1309</v>
      </c>
      <c r="BU86" s="22" t="s">
        <v>1309</v>
      </c>
      <c r="BV86" s="22" t="s">
        <v>1317</v>
      </c>
      <c r="BW86" s="22" t="s">
        <v>1318</v>
      </c>
      <c r="BX86" s="20">
        <v>80</v>
      </c>
      <c r="BY86" s="20">
        <v>0</v>
      </c>
      <c r="BZ86" s="20">
        <v>0</v>
      </c>
      <c r="CA86" s="20">
        <v>592</v>
      </c>
      <c r="CB86" s="20">
        <v>0</v>
      </c>
      <c r="CC86" s="20">
        <v>0</v>
      </c>
      <c r="CD86" s="22" t="s">
        <v>1331</v>
      </c>
      <c r="CE86" s="22" t="s">
        <v>1331</v>
      </c>
      <c r="CF86" s="22" t="s">
        <v>1331</v>
      </c>
      <c r="CG86" s="22" t="s">
        <v>1331</v>
      </c>
      <c r="CH86" s="22" t="s">
        <v>1317</v>
      </c>
      <c r="CI86" s="22" t="s">
        <v>1318</v>
      </c>
      <c r="CJ86" s="149" t="s">
        <v>1124</v>
      </c>
      <c r="CK86" s="241" t="s">
        <v>1386</v>
      </c>
    </row>
    <row r="87" spans="1:89" ht="15" customHeight="1" x14ac:dyDescent="0.35">
      <c r="A87" s="17"/>
      <c r="B87" s="313">
        <v>59030</v>
      </c>
      <c r="C87" s="8" t="s">
        <v>603</v>
      </c>
      <c r="D87" s="18">
        <v>16</v>
      </c>
      <c r="E87" s="131" t="s">
        <v>1309</v>
      </c>
      <c r="F87" s="22" t="s">
        <v>1309</v>
      </c>
      <c r="G87" s="132" t="s">
        <v>1309</v>
      </c>
      <c r="H87" s="22" t="s">
        <v>1311</v>
      </c>
      <c r="I87" s="22" t="s">
        <v>1327</v>
      </c>
      <c r="J87" s="22" t="s">
        <v>1327</v>
      </c>
      <c r="K87" s="22" t="s">
        <v>1314</v>
      </c>
      <c r="L87" s="22" t="s">
        <v>1311</v>
      </c>
      <c r="M87" s="133" t="s">
        <v>1311</v>
      </c>
      <c r="N87" s="22" t="s">
        <v>1311</v>
      </c>
      <c r="O87" s="22" t="s">
        <v>1309</v>
      </c>
      <c r="P87" s="22" t="s">
        <v>1309</v>
      </c>
      <c r="Q87" s="20">
        <v>0</v>
      </c>
      <c r="R87" s="20">
        <v>0</v>
      </c>
      <c r="S87" s="20">
        <v>0</v>
      </c>
      <c r="T87" s="20">
        <v>0</v>
      </c>
      <c r="U87" s="20">
        <v>0</v>
      </c>
      <c r="V87" s="20">
        <v>0</v>
      </c>
      <c r="W87" s="20">
        <v>0</v>
      </c>
      <c r="X87" s="20">
        <v>0</v>
      </c>
      <c r="Y87" s="20">
        <v>0</v>
      </c>
      <c r="Z87" s="20">
        <v>0</v>
      </c>
      <c r="AA87" s="20" t="s">
        <v>1315</v>
      </c>
      <c r="AB87" s="22" t="s">
        <v>1315</v>
      </c>
      <c r="AC87" s="20">
        <v>0</v>
      </c>
      <c r="AD87" s="20">
        <v>0</v>
      </c>
      <c r="AE87" s="20">
        <v>0</v>
      </c>
      <c r="AF87" s="20">
        <v>0</v>
      </c>
      <c r="AG87" s="20">
        <v>0</v>
      </c>
      <c r="AH87" s="20">
        <v>0</v>
      </c>
      <c r="AI87" s="328" t="s">
        <v>1328</v>
      </c>
      <c r="AJ87" s="328" t="s">
        <v>1328</v>
      </c>
      <c r="AK87" s="328" t="s">
        <v>1328</v>
      </c>
      <c r="AL87" s="22" t="s">
        <v>1316</v>
      </c>
      <c r="AM87" s="22" t="s">
        <v>1316</v>
      </c>
      <c r="AN87" s="22" t="s">
        <v>1317</v>
      </c>
      <c r="AO87" s="22" t="s">
        <v>1318</v>
      </c>
      <c r="AP87" s="22" t="s">
        <v>1318</v>
      </c>
      <c r="AQ87" s="22" t="s">
        <v>1318</v>
      </c>
      <c r="AR87" s="22" t="s">
        <v>1318</v>
      </c>
      <c r="AS87" s="22" t="s">
        <v>1318</v>
      </c>
      <c r="AT87" s="22" t="s">
        <v>1318</v>
      </c>
      <c r="AU87" s="22" t="s">
        <v>1318</v>
      </c>
      <c r="AV87" s="22" t="s">
        <v>1318</v>
      </c>
      <c r="AW87" s="22" t="s">
        <v>1318</v>
      </c>
      <c r="AX87" s="22" t="s">
        <v>1318</v>
      </c>
      <c r="AY87" s="22" t="s">
        <v>1318</v>
      </c>
      <c r="AZ87" s="22" t="s">
        <v>1318</v>
      </c>
      <c r="BA87" s="22" t="s">
        <v>1318</v>
      </c>
      <c r="BB87" s="22" t="s">
        <v>1309</v>
      </c>
      <c r="BC87" s="22" t="s">
        <v>1309</v>
      </c>
      <c r="BD87" s="22" t="s">
        <v>1318</v>
      </c>
      <c r="BE87" s="22" t="s">
        <v>1318</v>
      </c>
      <c r="BF87" s="22" t="s">
        <v>1309</v>
      </c>
      <c r="BG87" s="22" t="s">
        <v>1309</v>
      </c>
      <c r="BH87" s="22" t="s">
        <v>1318</v>
      </c>
      <c r="BI87" s="22" t="s">
        <v>1318</v>
      </c>
      <c r="BJ87" s="22" t="s">
        <v>1318</v>
      </c>
      <c r="BK87" s="22" t="s">
        <v>1318</v>
      </c>
      <c r="BL87" s="22" t="s">
        <v>1318</v>
      </c>
      <c r="BM87" s="22" t="s">
        <v>1318</v>
      </c>
      <c r="BN87" s="22" t="s">
        <v>1318</v>
      </c>
      <c r="BO87" s="22" t="s">
        <v>1318</v>
      </c>
      <c r="BP87" s="22" t="s">
        <v>1318</v>
      </c>
      <c r="BQ87" s="22" t="s">
        <v>1318</v>
      </c>
      <c r="BR87" s="22" t="s">
        <v>1318</v>
      </c>
      <c r="BS87" s="22" t="s">
        <v>1318</v>
      </c>
      <c r="BT87" s="22" t="s">
        <v>1318</v>
      </c>
      <c r="BU87" s="22" t="s">
        <v>1318</v>
      </c>
      <c r="BV87" s="22" t="s">
        <v>1318</v>
      </c>
      <c r="BW87" s="22" t="s">
        <v>1318</v>
      </c>
      <c r="BX87" s="20">
        <v>8</v>
      </c>
      <c r="BY87" s="20">
        <v>0</v>
      </c>
      <c r="BZ87" s="20">
        <v>0</v>
      </c>
      <c r="CA87" s="20">
        <v>200</v>
      </c>
      <c r="CB87" s="20">
        <v>0</v>
      </c>
      <c r="CC87" s="20">
        <v>0</v>
      </c>
      <c r="CD87" s="22" t="s">
        <v>1331</v>
      </c>
      <c r="CE87" s="22" t="s">
        <v>1331</v>
      </c>
      <c r="CF87" s="22" t="s">
        <v>1331</v>
      </c>
      <c r="CG87" s="22" t="s">
        <v>1331</v>
      </c>
      <c r="CH87" s="22" t="s">
        <v>1317</v>
      </c>
      <c r="CI87" s="22" t="s">
        <v>1318</v>
      </c>
      <c r="CJ87" s="149" t="s">
        <v>1124</v>
      </c>
      <c r="CK87" s="241" t="s">
        <v>1124</v>
      </c>
    </row>
    <row r="88" spans="1:89" ht="15" customHeight="1" x14ac:dyDescent="0.35">
      <c r="A88" s="17"/>
      <c r="B88" s="313">
        <v>84030</v>
      </c>
      <c r="C88" s="8" t="s">
        <v>857</v>
      </c>
      <c r="D88" s="18">
        <v>7</v>
      </c>
      <c r="E88" s="131"/>
      <c r="F88" s="22"/>
      <c r="G88" s="132"/>
      <c r="H88" s="22"/>
      <c r="I88" s="22"/>
      <c r="J88" s="22"/>
      <c r="K88" s="22"/>
      <c r="L88" s="22"/>
      <c r="M88" s="133"/>
      <c r="N88" s="22"/>
      <c r="O88" s="22"/>
      <c r="P88" s="22"/>
      <c r="Q88" s="20"/>
      <c r="R88" s="20"/>
      <c r="S88" s="20"/>
      <c r="T88" s="20"/>
      <c r="U88" s="20"/>
      <c r="V88" s="20"/>
      <c r="W88" s="20"/>
      <c r="X88" s="20"/>
      <c r="Y88" s="20"/>
      <c r="Z88" s="20"/>
      <c r="AA88" s="20"/>
      <c r="AB88" s="22"/>
      <c r="AC88" s="20"/>
      <c r="AD88" s="20"/>
      <c r="AE88" s="20"/>
      <c r="AF88" s="20" t="s">
        <v>1124</v>
      </c>
      <c r="AG88" s="20" t="s">
        <v>1124</v>
      </c>
      <c r="AH88" s="20" t="s">
        <v>1124</v>
      </c>
      <c r="AI88" s="328"/>
      <c r="AJ88" s="328"/>
      <c r="AK88" s="328"/>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0"/>
      <c r="BY88" s="20"/>
      <c r="BZ88" s="20"/>
      <c r="CA88" s="20"/>
      <c r="CB88" s="20"/>
      <c r="CC88" s="20"/>
      <c r="CD88" s="22"/>
      <c r="CE88" s="22"/>
      <c r="CF88" s="22"/>
      <c r="CG88" s="22"/>
      <c r="CH88" s="22"/>
      <c r="CI88" s="22"/>
      <c r="CJ88" s="149"/>
      <c r="CK88" s="241"/>
    </row>
    <row r="89" spans="1:89" ht="15" customHeight="1" x14ac:dyDescent="0.35">
      <c r="A89" s="17"/>
      <c r="B89" s="313">
        <v>67020</v>
      </c>
      <c r="C89" s="8" t="s">
        <v>665</v>
      </c>
      <c r="D89" s="18">
        <v>16</v>
      </c>
      <c r="E89" s="131"/>
      <c r="F89" s="22"/>
      <c r="G89" s="132"/>
      <c r="H89" s="22"/>
      <c r="I89" s="22"/>
      <c r="J89" s="22"/>
      <c r="K89" s="22"/>
      <c r="L89" s="22"/>
      <c r="M89" s="133"/>
      <c r="N89" s="22"/>
      <c r="O89" s="22"/>
      <c r="P89" s="22"/>
      <c r="Q89" s="20"/>
      <c r="R89" s="20"/>
      <c r="S89" s="20"/>
      <c r="T89" s="20"/>
      <c r="U89" s="20"/>
      <c r="V89" s="20"/>
      <c r="W89" s="20"/>
      <c r="X89" s="20"/>
      <c r="Y89" s="20"/>
      <c r="Z89" s="20"/>
      <c r="AA89" s="20"/>
      <c r="AB89" s="22"/>
      <c r="AC89" s="20"/>
      <c r="AD89" s="20"/>
      <c r="AE89" s="20"/>
      <c r="AF89" s="20" t="s">
        <v>1124</v>
      </c>
      <c r="AG89" s="20" t="s">
        <v>1124</v>
      </c>
      <c r="AH89" s="20" t="s">
        <v>1124</v>
      </c>
      <c r="AI89" s="328"/>
      <c r="AJ89" s="328"/>
      <c r="AK89" s="328"/>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0"/>
      <c r="BY89" s="20"/>
      <c r="BZ89" s="20"/>
      <c r="CA89" s="20"/>
      <c r="CB89" s="20"/>
      <c r="CC89" s="20"/>
      <c r="CD89" s="22"/>
      <c r="CE89" s="22"/>
      <c r="CF89" s="22"/>
      <c r="CG89" s="22"/>
      <c r="CH89" s="22"/>
      <c r="CI89" s="22"/>
      <c r="CJ89" s="149"/>
      <c r="CK89" s="241"/>
    </row>
    <row r="90" spans="1:89" ht="15" customHeight="1" x14ac:dyDescent="0.35">
      <c r="A90" s="17"/>
      <c r="B90" s="313">
        <v>82020</v>
      </c>
      <c r="C90" s="8" t="s">
        <v>831</v>
      </c>
      <c r="D90" s="18">
        <v>7</v>
      </c>
      <c r="E90" s="131"/>
      <c r="F90" s="22"/>
      <c r="G90" s="132"/>
      <c r="H90" s="22"/>
      <c r="I90" s="22"/>
      <c r="J90" s="22"/>
      <c r="K90" s="22"/>
      <c r="L90" s="22"/>
      <c r="M90" s="133"/>
      <c r="N90" s="22"/>
      <c r="O90" s="22"/>
      <c r="P90" s="22"/>
      <c r="Q90" s="20"/>
      <c r="R90" s="20"/>
      <c r="S90" s="20"/>
      <c r="T90" s="20"/>
      <c r="U90" s="20"/>
      <c r="V90" s="20"/>
      <c r="W90" s="20"/>
      <c r="X90" s="20"/>
      <c r="Y90" s="20"/>
      <c r="Z90" s="20"/>
      <c r="AA90" s="20"/>
      <c r="AB90" s="22"/>
      <c r="AC90" s="20"/>
      <c r="AD90" s="20"/>
      <c r="AE90" s="20"/>
      <c r="AF90" s="20" t="s">
        <v>1124</v>
      </c>
      <c r="AG90" s="20" t="s">
        <v>1124</v>
      </c>
      <c r="AH90" s="20" t="s">
        <v>1124</v>
      </c>
      <c r="AI90" s="328"/>
      <c r="AJ90" s="328"/>
      <c r="AK90" s="328"/>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0"/>
      <c r="BY90" s="20"/>
      <c r="BZ90" s="20"/>
      <c r="CA90" s="20"/>
      <c r="CB90" s="20"/>
      <c r="CC90" s="20"/>
      <c r="CD90" s="22"/>
      <c r="CE90" s="22"/>
      <c r="CF90" s="22"/>
      <c r="CG90" s="22"/>
      <c r="CH90" s="22"/>
      <c r="CI90" s="22"/>
      <c r="CJ90" s="149"/>
      <c r="CK90" s="241"/>
    </row>
    <row r="91" spans="1:89" ht="15" customHeight="1" x14ac:dyDescent="0.35">
      <c r="A91" s="17"/>
      <c r="B91" s="313">
        <v>4047</v>
      </c>
      <c r="C91" s="8" t="s">
        <v>1043</v>
      </c>
      <c r="D91" s="18">
        <v>11</v>
      </c>
      <c r="E91" s="131" t="s">
        <v>1309</v>
      </c>
      <c r="F91" s="22" t="s">
        <v>1309</v>
      </c>
      <c r="G91" s="132" t="s">
        <v>1309</v>
      </c>
      <c r="H91" s="22" t="s">
        <v>1311</v>
      </c>
      <c r="I91" s="22" t="s">
        <v>1327</v>
      </c>
      <c r="J91" s="22" t="s">
        <v>1327</v>
      </c>
      <c r="K91" s="22" t="s">
        <v>1309</v>
      </c>
      <c r="L91" s="22" t="s">
        <v>1309</v>
      </c>
      <c r="M91" s="133" t="s">
        <v>1311</v>
      </c>
      <c r="N91" s="22" t="s">
        <v>1311</v>
      </c>
      <c r="O91" s="22" t="s">
        <v>1319</v>
      </c>
      <c r="P91" s="22" t="s">
        <v>1309</v>
      </c>
      <c r="Q91" s="20">
        <v>0</v>
      </c>
      <c r="R91" s="20">
        <v>0</v>
      </c>
      <c r="S91" s="20">
        <v>0</v>
      </c>
      <c r="T91" s="20">
        <v>0</v>
      </c>
      <c r="U91" s="20">
        <v>29.158999999999999</v>
      </c>
      <c r="V91" s="20">
        <v>29.158999999999999</v>
      </c>
      <c r="W91" s="20">
        <v>0</v>
      </c>
      <c r="X91" s="20">
        <v>0</v>
      </c>
      <c r="Y91" s="20">
        <v>0</v>
      </c>
      <c r="Z91" s="20">
        <v>0</v>
      </c>
      <c r="AA91" s="20" t="s">
        <v>1309</v>
      </c>
      <c r="AB91" s="22" t="s">
        <v>1309</v>
      </c>
      <c r="AC91" s="20">
        <v>8</v>
      </c>
      <c r="AD91" s="20">
        <v>0</v>
      </c>
      <c r="AE91" s="20">
        <v>0</v>
      </c>
      <c r="AF91" s="20">
        <v>12</v>
      </c>
      <c r="AG91" s="20">
        <v>0</v>
      </c>
      <c r="AH91" s="20">
        <v>0</v>
      </c>
      <c r="AI91" s="328">
        <v>27.435783120134435</v>
      </c>
      <c r="AJ91" s="328" t="s">
        <v>1328</v>
      </c>
      <c r="AK91" s="328" t="s">
        <v>1328</v>
      </c>
      <c r="AL91" s="22" t="s">
        <v>1338</v>
      </c>
      <c r="AM91" s="22" t="s">
        <v>1339</v>
      </c>
      <c r="AN91" s="22" t="s">
        <v>1317</v>
      </c>
      <c r="AO91" s="22" t="s">
        <v>1318</v>
      </c>
      <c r="AP91" s="22" t="s">
        <v>1318</v>
      </c>
      <c r="AQ91" s="22" t="s">
        <v>1318</v>
      </c>
      <c r="AR91" s="22" t="s">
        <v>1317</v>
      </c>
      <c r="AS91" s="22" t="s">
        <v>1318</v>
      </c>
      <c r="AT91" s="22" t="s">
        <v>1309</v>
      </c>
      <c r="AU91" s="22" t="s">
        <v>1309</v>
      </c>
      <c r="AV91" s="22" t="s">
        <v>1309</v>
      </c>
      <c r="AW91" s="22" t="s">
        <v>1311</v>
      </c>
      <c r="AX91" s="22" t="s">
        <v>1317</v>
      </c>
      <c r="AY91" s="22" t="s">
        <v>1318</v>
      </c>
      <c r="AZ91" s="22" t="s">
        <v>1317</v>
      </c>
      <c r="BA91" s="22" t="s">
        <v>1318</v>
      </c>
      <c r="BB91" s="22" t="s">
        <v>1309</v>
      </c>
      <c r="BC91" s="22" t="s">
        <v>1309</v>
      </c>
      <c r="BD91" s="22" t="s">
        <v>1317</v>
      </c>
      <c r="BE91" s="22" t="s">
        <v>1318</v>
      </c>
      <c r="BF91" s="22" t="s">
        <v>1317</v>
      </c>
      <c r="BG91" s="22" t="s">
        <v>1318</v>
      </c>
      <c r="BH91" s="22" t="s">
        <v>1317</v>
      </c>
      <c r="BI91" s="22" t="s">
        <v>1311</v>
      </c>
      <c r="BJ91" s="22" t="s">
        <v>1309</v>
      </c>
      <c r="BK91" s="22" t="s">
        <v>1309</v>
      </c>
      <c r="BL91" s="22" t="s">
        <v>1309</v>
      </c>
      <c r="BM91" s="22" t="s">
        <v>1309</v>
      </c>
      <c r="BN91" s="22" t="s">
        <v>1309</v>
      </c>
      <c r="BO91" s="22" t="s">
        <v>1309</v>
      </c>
      <c r="BP91" s="22" t="s">
        <v>1315</v>
      </c>
      <c r="BQ91" s="22" t="s">
        <v>1315</v>
      </c>
      <c r="BR91" s="22" t="s">
        <v>1309</v>
      </c>
      <c r="BS91" s="22" t="s">
        <v>1309</v>
      </c>
      <c r="BT91" s="22" t="s">
        <v>1315</v>
      </c>
      <c r="BU91" s="22" t="s">
        <v>1315</v>
      </c>
      <c r="BV91" s="22" t="s">
        <v>1317</v>
      </c>
      <c r="BW91" s="22" t="s">
        <v>1318</v>
      </c>
      <c r="BX91" s="20">
        <v>4</v>
      </c>
      <c r="BY91" s="20">
        <v>0</v>
      </c>
      <c r="BZ91" s="20">
        <v>98</v>
      </c>
      <c r="CA91" s="20">
        <v>0</v>
      </c>
      <c r="CB91" s="20">
        <v>0</v>
      </c>
      <c r="CC91" s="20">
        <v>927</v>
      </c>
      <c r="CD91" s="22" t="s">
        <v>1320</v>
      </c>
      <c r="CE91" s="22" t="s">
        <v>1344</v>
      </c>
      <c r="CF91" s="22" t="s">
        <v>1317</v>
      </c>
      <c r="CG91" s="22" t="s">
        <v>1344</v>
      </c>
      <c r="CH91" s="22" t="s">
        <v>1317</v>
      </c>
      <c r="CI91" s="22" t="s">
        <v>1318</v>
      </c>
      <c r="CJ91" s="149" t="s">
        <v>1546</v>
      </c>
      <c r="CK91" s="241" t="s">
        <v>1547</v>
      </c>
    </row>
    <row r="92" spans="1:89" ht="15" customHeight="1" x14ac:dyDescent="0.35">
      <c r="A92" s="17"/>
      <c r="B92" s="313">
        <v>5060</v>
      </c>
      <c r="C92" s="8" t="s">
        <v>1053</v>
      </c>
      <c r="D92" s="18">
        <v>11</v>
      </c>
      <c r="E92" s="131" t="s">
        <v>1309</v>
      </c>
      <c r="F92" s="22" t="s">
        <v>1309</v>
      </c>
      <c r="G92" s="132" t="s">
        <v>1309</v>
      </c>
      <c r="H92" s="22" t="s">
        <v>1311</v>
      </c>
      <c r="I92" s="22" t="s">
        <v>1327</v>
      </c>
      <c r="J92" s="22" t="s">
        <v>1327</v>
      </c>
      <c r="K92" s="22" t="s">
        <v>1314</v>
      </c>
      <c r="L92" s="22" t="s">
        <v>1311</v>
      </c>
      <c r="M92" s="133" t="s">
        <v>1311</v>
      </c>
      <c r="N92" s="22" t="s">
        <v>1311</v>
      </c>
      <c r="O92" s="22" t="s">
        <v>1314</v>
      </c>
      <c r="P92" s="22" t="s">
        <v>1318</v>
      </c>
      <c r="Q92" s="20">
        <v>0</v>
      </c>
      <c r="R92" s="20">
        <v>0</v>
      </c>
      <c r="S92" s="20">
        <v>0</v>
      </c>
      <c r="T92" s="20">
        <v>22.579000000000001</v>
      </c>
      <c r="U92" s="20">
        <v>0</v>
      </c>
      <c r="V92" s="20">
        <v>0</v>
      </c>
      <c r="W92" s="20">
        <v>0</v>
      </c>
      <c r="X92" s="20">
        <v>0</v>
      </c>
      <c r="Y92" s="20">
        <v>0</v>
      </c>
      <c r="Z92" s="20">
        <v>0</v>
      </c>
      <c r="AA92" s="20" t="s">
        <v>1317</v>
      </c>
      <c r="AB92" s="22" t="s">
        <v>1318</v>
      </c>
      <c r="AC92" s="20">
        <v>3</v>
      </c>
      <c r="AD92" s="20">
        <v>6</v>
      </c>
      <c r="AE92" s="20">
        <v>0</v>
      </c>
      <c r="AF92" s="20">
        <v>1</v>
      </c>
      <c r="AG92" s="20">
        <v>25</v>
      </c>
      <c r="AH92" s="20">
        <v>0</v>
      </c>
      <c r="AI92" s="328">
        <v>13.286682315425837</v>
      </c>
      <c r="AJ92" s="328">
        <v>7.7720207253886011</v>
      </c>
      <c r="AK92" s="328" t="s">
        <v>1328</v>
      </c>
      <c r="AL92" s="22" t="s">
        <v>1338</v>
      </c>
      <c r="AM92" s="22" t="s">
        <v>1339</v>
      </c>
      <c r="AN92" s="22" t="s">
        <v>1317</v>
      </c>
      <c r="AO92" s="22" t="s">
        <v>1318</v>
      </c>
      <c r="AP92" s="22" t="s">
        <v>1318</v>
      </c>
      <c r="AQ92" s="22" t="s">
        <v>1318</v>
      </c>
      <c r="AR92" s="22" t="s">
        <v>1317</v>
      </c>
      <c r="AS92" s="22" t="s">
        <v>1311</v>
      </c>
      <c r="AT92" s="22" t="s">
        <v>1309</v>
      </c>
      <c r="AU92" s="22" t="s">
        <v>1309</v>
      </c>
      <c r="AV92" s="22" t="s">
        <v>1317</v>
      </c>
      <c r="AW92" s="22" t="s">
        <v>1318</v>
      </c>
      <c r="AX92" s="22" t="s">
        <v>1317</v>
      </c>
      <c r="AY92" s="22" t="s">
        <v>1318</v>
      </c>
      <c r="AZ92" s="22" t="s">
        <v>1317</v>
      </c>
      <c r="BA92" s="22" t="s">
        <v>1318</v>
      </c>
      <c r="BB92" s="22" t="s">
        <v>1309</v>
      </c>
      <c r="BC92" s="22" t="s">
        <v>1309</v>
      </c>
      <c r="BD92" s="22" t="s">
        <v>1317</v>
      </c>
      <c r="BE92" s="22" t="s">
        <v>1318</v>
      </c>
      <c r="BF92" s="22" t="s">
        <v>1317</v>
      </c>
      <c r="BG92" s="22" t="s">
        <v>1318</v>
      </c>
      <c r="BH92" s="22" t="s">
        <v>1309</v>
      </c>
      <c r="BI92" s="22" t="s">
        <v>1309</v>
      </c>
      <c r="BJ92" s="22" t="s">
        <v>1309</v>
      </c>
      <c r="BK92" s="22" t="s">
        <v>1309</v>
      </c>
      <c r="BL92" s="22" t="s">
        <v>1309</v>
      </c>
      <c r="BM92" s="22" t="s">
        <v>1309</v>
      </c>
      <c r="BN92" s="22" t="s">
        <v>1309</v>
      </c>
      <c r="BO92" s="22" t="s">
        <v>1309</v>
      </c>
      <c r="BP92" s="22" t="s">
        <v>1315</v>
      </c>
      <c r="BQ92" s="22" t="s">
        <v>1315</v>
      </c>
      <c r="BR92" s="22" t="s">
        <v>1309</v>
      </c>
      <c r="BS92" s="22" t="s">
        <v>1309</v>
      </c>
      <c r="BT92" s="22" t="s">
        <v>1315</v>
      </c>
      <c r="BU92" s="22" t="s">
        <v>1315</v>
      </c>
      <c r="BV92" s="22" t="s">
        <v>1317</v>
      </c>
      <c r="BW92" s="22" t="s">
        <v>1318</v>
      </c>
      <c r="BX92" s="20">
        <v>0</v>
      </c>
      <c r="BY92" s="20">
        <v>0</v>
      </c>
      <c r="BZ92" s="20">
        <v>51</v>
      </c>
      <c r="CA92" s="20">
        <v>0</v>
      </c>
      <c r="CB92" s="20">
        <v>0</v>
      </c>
      <c r="CC92" s="20">
        <v>721</v>
      </c>
      <c r="CD92" s="22" t="s">
        <v>1317</v>
      </c>
      <c r="CE92" s="22" t="s">
        <v>1340</v>
      </c>
      <c r="CF92" s="22" t="s">
        <v>1317</v>
      </c>
      <c r="CG92" s="22" t="s">
        <v>1340</v>
      </c>
      <c r="CH92" s="22" t="s">
        <v>1317</v>
      </c>
      <c r="CI92" s="22" t="s">
        <v>1318</v>
      </c>
      <c r="CJ92" s="149" t="s">
        <v>1124</v>
      </c>
      <c r="CK92" s="241" t="s">
        <v>1552</v>
      </c>
    </row>
    <row r="93" spans="1:89" ht="15" customHeight="1" x14ac:dyDescent="0.35">
      <c r="A93" s="17"/>
      <c r="B93" s="313">
        <v>18045</v>
      </c>
      <c r="C93" s="8" t="s">
        <v>112</v>
      </c>
      <c r="D93" s="18">
        <v>12</v>
      </c>
      <c r="E93" s="131" t="s">
        <v>1319</v>
      </c>
      <c r="F93" s="22" t="s">
        <v>1310</v>
      </c>
      <c r="G93" s="132" t="s">
        <v>1309</v>
      </c>
      <c r="H93" s="22" t="s">
        <v>1311</v>
      </c>
      <c r="I93" s="22" t="s">
        <v>1327</v>
      </c>
      <c r="J93" s="22" t="s">
        <v>1327</v>
      </c>
      <c r="K93" s="22" t="s">
        <v>1314</v>
      </c>
      <c r="L93" s="22" t="s">
        <v>1311</v>
      </c>
      <c r="M93" s="133" t="s">
        <v>1311</v>
      </c>
      <c r="N93" s="22" t="s">
        <v>1311</v>
      </c>
      <c r="O93" s="22" t="s">
        <v>1309</v>
      </c>
      <c r="P93" s="22" t="s">
        <v>1309</v>
      </c>
      <c r="Q93" s="20">
        <v>0</v>
      </c>
      <c r="R93" s="20">
        <v>0</v>
      </c>
      <c r="S93" s="20">
        <v>0</v>
      </c>
      <c r="T93" s="20">
        <v>0</v>
      </c>
      <c r="U93" s="20">
        <v>0</v>
      </c>
      <c r="V93" s="20">
        <v>19.969000000000001</v>
      </c>
      <c r="W93" s="20">
        <v>0</v>
      </c>
      <c r="X93" s="20">
        <v>0</v>
      </c>
      <c r="Y93" s="20">
        <v>0</v>
      </c>
      <c r="Z93" s="20">
        <v>0</v>
      </c>
      <c r="AA93" s="20" t="s">
        <v>1317</v>
      </c>
      <c r="AB93" s="22" t="s">
        <v>1311</v>
      </c>
      <c r="AC93" s="20">
        <v>7</v>
      </c>
      <c r="AD93" s="20">
        <v>0</v>
      </c>
      <c r="AE93" s="20">
        <v>0</v>
      </c>
      <c r="AF93" s="20">
        <v>1</v>
      </c>
      <c r="AG93" s="20">
        <v>0</v>
      </c>
      <c r="AH93" s="20">
        <v>0</v>
      </c>
      <c r="AI93" s="328">
        <v>35.054334218037958</v>
      </c>
      <c r="AJ93" s="328" t="s">
        <v>1328</v>
      </c>
      <c r="AK93" s="328" t="s">
        <v>1328</v>
      </c>
      <c r="AL93" s="22" t="s">
        <v>1329</v>
      </c>
      <c r="AM93" s="22" t="s">
        <v>1330</v>
      </c>
      <c r="AN93" s="22" t="s">
        <v>1317</v>
      </c>
      <c r="AO93" s="22" t="s">
        <v>1318</v>
      </c>
      <c r="AP93" s="22" t="s">
        <v>1350</v>
      </c>
      <c r="AQ93" s="22" t="s">
        <v>1350</v>
      </c>
      <c r="AR93" s="22" t="s">
        <v>1317</v>
      </c>
      <c r="AS93" s="22" t="s">
        <v>1318</v>
      </c>
      <c r="AT93" s="22" t="s">
        <v>1317</v>
      </c>
      <c r="AU93" s="22" t="s">
        <v>1318</v>
      </c>
      <c r="AV93" s="22" t="s">
        <v>1309</v>
      </c>
      <c r="AW93" s="22" t="s">
        <v>1309</v>
      </c>
      <c r="AX93" s="22" t="s">
        <v>1317</v>
      </c>
      <c r="AY93" s="22" t="s">
        <v>1318</v>
      </c>
      <c r="AZ93" s="22" t="s">
        <v>1309</v>
      </c>
      <c r="BA93" s="22" t="s">
        <v>1309</v>
      </c>
      <c r="BB93" s="22" t="s">
        <v>1309</v>
      </c>
      <c r="BC93" s="22" t="s">
        <v>1309</v>
      </c>
      <c r="BD93" s="22" t="s">
        <v>1309</v>
      </c>
      <c r="BE93" s="22" t="s">
        <v>1309</v>
      </c>
      <c r="BF93" s="22" t="s">
        <v>1317</v>
      </c>
      <c r="BG93" s="22" t="s">
        <v>1311</v>
      </c>
      <c r="BH93" s="22" t="s">
        <v>1317</v>
      </c>
      <c r="BI93" s="22" t="s">
        <v>1318</v>
      </c>
      <c r="BJ93" s="22" t="s">
        <v>1317</v>
      </c>
      <c r="BK93" s="22" t="s">
        <v>1318</v>
      </c>
      <c r="BL93" s="22" t="s">
        <v>1317</v>
      </c>
      <c r="BM93" s="22" t="s">
        <v>1318</v>
      </c>
      <c r="BN93" s="22" t="s">
        <v>1317</v>
      </c>
      <c r="BO93" s="22" t="s">
        <v>1318</v>
      </c>
      <c r="BP93" s="22" t="s">
        <v>1317</v>
      </c>
      <c r="BQ93" s="22" t="s">
        <v>1318</v>
      </c>
      <c r="BR93" s="22" t="s">
        <v>1309</v>
      </c>
      <c r="BS93" s="22" t="s">
        <v>1309</v>
      </c>
      <c r="BT93" s="22" t="s">
        <v>1309</v>
      </c>
      <c r="BU93" s="22" t="s">
        <v>1309</v>
      </c>
      <c r="BV93" s="22" t="s">
        <v>1309</v>
      </c>
      <c r="BW93" s="22" t="s">
        <v>1309</v>
      </c>
      <c r="BX93" s="20">
        <v>7</v>
      </c>
      <c r="BY93" s="20">
        <v>0</v>
      </c>
      <c r="BZ93" s="20">
        <v>57</v>
      </c>
      <c r="CA93" s="20">
        <v>0</v>
      </c>
      <c r="CB93" s="20">
        <v>0</v>
      </c>
      <c r="CC93" s="20">
        <v>545</v>
      </c>
      <c r="CD93" s="22" t="s">
        <v>1320</v>
      </c>
      <c r="CE93" s="22" t="s">
        <v>1344</v>
      </c>
      <c r="CF93" s="22" t="s">
        <v>1317</v>
      </c>
      <c r="CG93" s="22" t="s">
        <v>1340</v>
      </c>
      <c r="CH93" s="22" t="s">
        <v>1317</v>
      </c>
      <c r="CI93" s="22" t="s">
        <v>1318</v>
      </c>
      <c r="CJ93" s="149" t="s">
        <v>4585</v>
      </c>
      <c r="CK93" s="241" t="s">
        <v>4586</v>
      </c>
    </row>
    <row r="94" spans="1:89" ht="15" customHeight="1" x14ac:dyDescent="0.35">
      <c r="A94" s="17"/>
      <c r="B94" s="313">
        <v>34030</v>
      </c>
      <c r="C94" s="8" t="s">
        <v>288</v>
      </c>
      <c r="D94" s="18">
        <v>3</v>
      </c>
      <c r="E94" s="131" t="s">
        <v>1309</v>
      </c>
      <c r="F94" s="22" t="s">
        <v>1310</v>
      </c>
      <c r="G94" s="132" t="s">
        <v>1309</v>
      </c>
      <c r="H94" s="22" t="s">
        <v>1311</v>
      </c>
      <c r="I94" s="22" t="s">
        <v>1338</v>
      </c>
      <c r="J94" s="22" t="s">
        <v>1313</v>
      </c>
      <c r="K94" s="22" t="s">
        <v>1319</v>
      </c>
      <c r="L94" s="22" t="s">
        <v>1311</v>
      </c>
      <c r="M94" s="133" t="s">
        <v>1311</v>
      </c>
      <c r="N94" s="22" t="s">
        <v>1311</v>
      </c>
      <c r="O94" s="22" t="s">
        <v>1315</v>
      </c>
      <c r="P94" s="22" t="s">
        <v>1315</v>
      </c>
      <c r="Q94" s="20">
        <v>0</v>
      </c>
      <c r="R94" s="20">
        <v>0</v>
      </c>
      <c r="S94" s="20">
        <v>0</v>
      </c>
      <c r="T94" s="20">
        <v>0</v>
      </c>
      <c r="U94" s="20">
        <v>0</v>
      </c>
      <c r="V94" s="20">
        <v>0</v>
      </c>
      <c r="W94" s="20">
        <v>0</v>
      </c>
      <c r="X94" s="20">
        <v>0</v>
      </c>
      <c r="Y94" s="20">
        <v>0</v>
      </c>
      <c r="Z94" s="20">
        <v>0</v>
      </c>
      <c r="AA94" s="20" t="s">
        <v>1309</v>
      </c>
      <c r="AB94" s="22" t="s">
        <v>1311</v>
      </c>
      <c r="AC94" s="20">
        <v>3</v>
      </c>
      <c r="AD94" s="20">
        <v>3</v>
      </c>
      <c r="AE94" s="20">
        <v>0</v>
      </c>
      <c r="AF94" s="20">
        <v>1</v>
      </c>
      <c r="AG94" s="20">
        <v>4</v>
      </c>
      <c r="AH94" s="20">
        <v>0</v>
      </c>
      <c r="AI94" s="328">
        <v>9.6993210475266736</v>
      </c>
      <c r="AJ94" s="328">
        <v>2.0229265003371544</v>
      </c>
      <c r="AK94" s="328" t="s">
        <v>1328</v>
      </c>
      <c r="AL94" s="22" t="s">
        <v>1329</v>
      </c>
      <c r="AM94" s="22" t="s">
        <v>1330</v>
      </c>
      <c r="AN94" s="22" t="s">
        <v>1317</v>
      </c>
      <c r="AO94" s="22" t="s">
        <v>1318</v>
      </c>
      <c r="AP94" s="22" t="s">
        <v>1318</v>
      </c>
      <c r="AQ94" s="22" t="s">
        <v>1318</v>
      </c>
      <c r="AR94" s="22" t="s">
        <v>1317</v>
      </c>
      <c r="AS94" s="22" t="s">
        <v>1311</v>
      </c>
      <c r="AT94" s="22" t="s">
        <v>1309</v>
      </c>
      <c r="AU94" s="22" t="s">
        <v>1311</v>
      </c>
      <c r="AV94" s="22" t="s">
        <v>1317</v>
      </c>
      <c r="AW94" s="22" t="s">
        <v>1311</v>
      </c>
      <c r="AX94" s="22" t="s">
        <v>1317</v>
      </c>
      <c r="AY94" s="22" t="s">
        <v>1311</v>
      </c>
      <c r="AZ94" s="22" t="s">
        <v>1319</v>
      </c>
      <c r="BA94" s="22" t="s">
        <v>1311</v>
      </c>
      <c r="BB94" s="22" t="s">
        <v>1319</v>
      </c>
      <c r="BC94" s="22" t="s">
        <v>1311</v>
      </c>
      <c r="BD94" s="22" t="s">
        <v>1317</v>
      </c>
      <c r="BE94" s="22" t="s">
        <v>1311</v>
      </c>
      <c r="BF94" s="22" t="s">
        <v>1317</v>
      </c>
      <c r="BG94" s="22" t="s">
        <v>1311</v>
      </c>
      <c r="BH94" s="22" t="s">
        <v>1309</v>
      </c>
      <c r="BI94" s="22" t="s">
        <v>1309</v>
      </c>
      <c r="BJ94" s="22" t="s">
        <v>1319</v>
      </c>
      <c r="BK94" s="22" t="s">
        <v>1311</v>
      </c>
      <c r="BL94" s="22" t="s">
        <v>1309</v>
      </c>
      <c r="BM94" s="22" t="s">
        <v>1309</v>
      </c>
      <c r="BN94" s="22" t="s">
        <v>1309</v>
      </c>
      <c r="BO94" s="22" t="s">
        <v>1309</v>
      </c>
      <c r="BP94" s="22" t="s">
        <v>1309</v>
      </c>
      <c r="BQ94" s="22" t="s">
        <v>1309</v>
      </c>
      <c r="BR94" s="22" t="s">
        <v>1309</v>
      </c>
      <c r="BS94" s="22" t="s">
        <v>1309</v>
      </c>
      <c r="BT94" s="22" t="s">
        <v>1309</v>
      </c>
      <c r="BU94" s="22" t="s">
        <v>1309</v>
      </c>
      <c r="BV94" s="22" t="s">
        <v>1319</v>
      </c>
      <c r="BW94" s="22" t="s">
        <v>1311</v>
      </c>
      <c r="BX94" s="20">
        <v>0</v>
      </c>
      <c r="BY94" s="20">
        <v>0</v>
      </c>
      <c r="BZ94" s="20">
        <v>76</v>
      </c>
      <c r="CA94" s="20">
        <v>0</v>
      </c>
      <c r="CB94" s="20">
        <v>0</v>
      </c>
      <c r="CC94" s="20">
        <v>1296</v>
      </c>
      <c r="CD94" s="22" t="s">
        <v>1317</v>
      </c>
      <c r="CE94" s="22" t="s">
        <v>1318</v>
      </c>
      <c r="CF94" s="22" t="s">
        <v>1317</v>
      </c>
      <c r="CG94" s="22" t="s">
        <v>1318</v>
      </c>
      <c r="CH94" s="22" t="s">
        <v>1317</v>
      </c>
      <c r="CI94" s="22" t="s">
        <v>1318</v>
      </c>
      <c r="CJ94" s="149" t="s">
        <v>1124</v>
      </c>
      <c r="CK94" s="241" t="s">
        <v>1124</v>
      </c>
    </row>
    <row r="95" spans="1:89" ht="15" customHeight="1" x14ac:dyDescent="0.35">
      <c r="A95" s="17"/>
      <c r="B95" s="313">
        <v>57010</v>
      </c>
      <c r="C95" s="8" t="s">
        <v>582</v>
      </c>
      <c r="D95" s="18">
        <v>16</v>
      </c>
      <c r="E95" s="131" t="s">
        <v>1319</v>
      </c>
      <c r="F95" s="22" t="s">
        <v>1310</v>
      </c>
      <c r="G95" s="132" t="s">
        <v>1309</v>
      </c>
      <c r="H95" s="22" t="s">
        <v>1311</v>
      </c>
      <c r="I95" s="22" t="s">
        <v>1327</v>
      </c>
      <c r="J95" s="22" t="s">
        <v>1327</v>
      </c>
      <c r="K95" s="22" t="s">
        <v>1314</v>
      </c>
      <c r="L95" s="22" t="s">
        <v>1311</v>
      </c>
      <c r="M95" s="133" t="s">
        <v>1311</v>
      </c>
      <c r="N95" s="22" t="s">
        <v>1311</v>
      </c>
      <c r="O95" s="22" t="s">
        <v>1314</v>
      </c>
      <c r="P95" s="22" t="s">
        <v>1318</v>
      </c>
      <c r="Q95" s="20">
        <v>0</v>
      </c>
      <c r="R95" s="20">
        <v>0</v>
      </c>
      <c r="S95" s="20">
        <v>63.567999999999998</v>
      </c>
      <c r="T95" s="20">
        <v>0</v>
      </c>
      <c r="U95" s="20">
        <v>0</v>
      </c>
      <c r="V95" s="20">
        <v>0</v>
      </c>
      <c r="W95" s="20">
        <v>0</v>
      </c>
      <c r="X95" s="20">
        <v>0</v>
      </c>
      <c r="Y95" s="20">
        <v>0</v>
      </c>
      <c r="Z95" s="20">
        <v>0</v>
      </c>
      <c r="AA95" s="20" t="s">
        <v>1317</v>
      </c>
      <c r="AB95" s="22" t="s">
        <v>1318</v>
      </c>
      <c r="AC95" s="20">
        <v>0</v>
      </c>
      <c r="AD95" s="20">
        <v>0</v>
      </c>
      <c r="AE95" s="20">
        <v>0</v>
      </c>
      <c r="AF95" s="20">
        <v>0</v>
      </c>
      <c r="AG95" s="20">
        <v>0</v>
      </c>
      <c r="AH95" s="20">
        <v>0</v>
      </c>
      <c r="AI95" s="328" t="s">
        <v>1328</v>
      </c>
      <c r="AJ95" s="328" t="s">
        <v>1328</v>
      </c>
      <c r="AK95" s="328" t="s">
        <v>1328</v>
      </c>
      <c r="AL95" s="22" t="s">
        <v>1329</v>
      </c>
      <c r="AM95" s="22" t="s">
        <v>1330</v>
      </c>
      <c r="AN95" s="22" t="s">
        <v>1317</v>
      </c>
      <c r="AO95" s="22" t="s">
        <v>1318</v>
      </c>
      <c r="AP95" s="22" t="s">
        <v>1318</v>
      </c>
      <c r="AQ95" s="22" t="s">
        <v>1318</v>
      </c>
      <c r="AR95" s="22" t="s">
        <v>1317</v>
      </c>
      <c r="AS95" s="22" t="s">
        <v>1318</v>
      </c>
      <c r="AT95" s="22" t="s">
        <v>1309</v>
      </c>
      <c r="AU95" s="22" t="s">
        <v>1309</v>
      </c>
      <c r="AV95" s="22" t="s">
        <v>1317</v>
      </c>
      <c r="AW95" s="22" t="s">
        <v>1318</v>
      </c>
      <c r="AX95" s="22" t="s">
        <v>1317</v>
      </c>
      <c r="AY95" s="22" t="s">
        <v>1318</v>
      </c>
      <c r="AZ95" s="22" t="s">
        <v>1309</v>
      </c>
      <c r="BA95" s="22" t="s">
        <v>1309</v>
      </c>
      <c r="BB95" s="22" t="s">
        <v>1309</v>
      </c>
      <c r="BC95" s="22" t="s">
        <v>1309</v>
      </c>
      <c r="BD95" s="22" t="s">
        <v>1317</v>
      </c>
      <c r="BE95" s="22" t="s">
        <v>1318</v>
      </c>
      <c r="BF95" s="22" t="s">
        <v>1317</v>
      </c>
      <c r="BG95" s="22" t="s">
        <v>1318</v>
      </c>
      <c r="BH95" s="22" t="s">
        <v>1317</v>
      </c>
      <c r="BI95" s="22" t="s">
        <v>1318</v>
      </c>
      <c r="BJ95" s="22" t="s">
        <v>1317</v>
      </c>
      <c r="BK95" s="22" t="s">
        <v>1317</v>
      </c>
      <c r="BL95" s="22" t="s">
        <v>1309</v>
      </c>
      <c r="BM95" s="22" t="s">
        <v>1309</v>
      </c>
      <c r="BN95" s="22" t="s">
        <v>1309</v>
      </c>
      <c r="BO95" s="22" t="s">
        <v>1309</v>
      </c>
      <c r="BP95" s="22" t="s">
        <v>1309</v>
      </c>
      <c r="BQ95" s="22" t="s">
        <v>1309</v>
      </c>
      <c r="BR95" s="22" t="s">
        <v>1317</v>
      </c>
      <c r="BS95" s="22" t="s">
        <v>1317</v>
      </c>
      <c r="BT95" s="22" t="s">
        <v>1317</v>
      </c>
      <c r="BU95" s="22" t="s">
        <v>1317</v>
      </c>
      <c r="BV95" s="22" t="s">
        <v>1317</v>
      </c>
      <c r="BW95" s="22" t="s">
        <v>1317</v>
      </c>
      <c r="BX95" s="20">
        <v>0</v>
      </c>
      <c r="BY95" s="20">
        <v>0</v>
      </c>
      <c r="BZ95" s="20">
        <v>20</v>
      </c>
      <c r="CA95" s="20">
        <v>0</v>
      </c>
      <c r="CB95" s="20">
        <v>0</v>
      </c>
      <c r="CC95" s="20">
        <v>3147</v>
      </c>
      <c r="CD95" s="22" t="s">
        <v>1317</v>
      </c>
      <c r="CE95" s="22" t="s">
        <v>1318</v>
      </c>
      <c r="CF95" s="22" t="s">
        <v>1317</v>
      </c>
      <c r="CG95" s="22" t="s">
        <v>1318</v>
      </c>
      <c r="CH95" s="22" t="s">
        <v>1317</v>
      </c>
      <c r="CI95" s="22" t="s">
        <v>1318</v>
      </c>
      <c r="CJ95" s="149" t="s">
        <v>1124</v>
      </c>
      <c r="CK95" s="241" t="s">
        <v>1563</v>
      </c>
    </row>
    <row r="96" spans="1:89" ht="15" customHeight="1" x14ac:dyDescent="0.35">
      <c r="A96" s="17"/>
      <c r="B96" s="313">
        <v>6013</v>
      </c>
      <c r="C96" s="8" t="s">
        <v>1058</v>
      </c>
      <c r="D96" s="18">
        <v>11</v>
      </c>
      <c r="E96" s="131" t="s">
        <v>1309</v>
      </c>
      <c r="F96" s="22" t="s">
        <v>1309</v>
      </c>
      <c r="G96" s="132" t="s">
        <v>1309</v>
      </c>
      <c r="H96" s="22" t="s">
        <v>1311</v>
      </c>
      <c r="I96" s="22" t="s">
        <v>1327</v>
      </c>
      <c r="J96" s="22" t="s">
        <v>1327</v>
      </c>
      <c r="K96" s="22" t="s">
        <v>1309</v>
      </c>
      <c r="L96" s="22" t="s">
        <v>1309</v>
      </c>
      <c r="M96" s="133" t="s">
        <v>1311</v>
      </c>
      <c r="N96" s="22" t="s">
        <v>1311</v>
      </c>
      <c r="O96" s="22" t="s">
        <v>1314</v>
      </c>
      <c r="P96" s="22" t="s">
        <v>1318</v>
      </c>
      <c r="Q96" s="20">
        <v>0</v>
      </c>
      <c r="R96" s="20">
        <v>0</v>
      </c>
      <c r="S96" s="20">
        <v>0</v>
      </c>
      <c r="T96" s="20">
        <v>110</v>
      </c>
      <c r="U96" s="20">
        <v>41</v>
      </c>
      <c r="V96" s="20">
        <v>0</v>
      </c>
      <c r="W96" s="20">
        <v>0</v>
      </c>
      <c r="X96" s="20">
        <v>0</v>
      </c>
      <c r="Y96" s="20">
        <v>0</v>
      </c>
      <c r="Z96" s="20">
        <v>0</v>
      </c>
      <c r="AA96" s="20" t="s">
        <v>1317</v>
      </c>
      <c r="AB96" s="22" t="s">
        <v>1311</v>
      </c>
      <c r="AC96" s="20">
        <v>4</v>
      </c>
      <c r="AD96" s="20">
        <v>6</v>
      </c>
      <c r="AE96" s="20">
        <v>0</v>
      </c>
      <c r="AF96" s="20">
        <v>2</v>
      </c>
      <c r="AG96" s="20">
        <v>2</v>
      </c>
      <c r="AH96" s="20">
        <v>0</v>
      </c>
      <c r="AI96" s="328">
        <v>7.3630924988495163</v>
      </c>
      <c r="AJ96" s="328">
        <v>3.0196275792652241</v>
      </c>
      <c r="AK96" s="328" t="s">
        <v>1328</v>
      </c>
      <c r="AL96" s="22" t="s">
        <v>1329</v>
      </c>
      <c r="AM96" s="22" t="s">
        <v>1330</v>
      </c>
      <c r="AN96" s="22" t="s">
        <v>1317</v>
      </c>
      <c r="AO96" s="22" t="s">
        <v>1318</v>
      </c>
      <c r="AP96" s="22" t="s">
        <v>1318</v>
      </c>
      <c r="AQ96" s="22" t="s">
        <v>1318</v>
      </c>
      <c r="AR96" s="22" t="s">
        <v>1317</v>
      </c>
      <c r="AS96" s="22" t="s">
        <v>1318</v>
      </c>
      <c r="AT96" s="22" t="s">
        <v>1317</v>
      </c>
      <c r="AU96" s="22" t="s">
        <v>1318</v>
      </c>
      <c r="AV96" s="22" t="s">
        <v>1309</v>
      </c>
      <c r="AW96" s="22" t="s">
        <v>1309</v>
      </c>
      <c r="AX96" s="22" t="s">
        <v>1317</v>
      </c>
      <c r="AY96" s="22" t="s">
        <v>1318</v>
      </c>
      <c r="AZ96" s="22" t="s">
        <v>1317</v>
      </c>
      <c r="BA96" s="22" t="s">
        <v>1318</v>
      </c>
      <c r="BB96" s="22" t="s">
        <v>1309</v>
      </c>
      <c r="BC96" s="22" t="s">
        <v>1309</v>
      </c>
      <c r="BD96" s="22" t="s">
        <v>1317</v>
      </c>
      <c r="BE96" s="22" t="s">
        <v>1318</v>
      </c>
      <c r="BF96" s="22" t="s">
        <v>1317</v>
      </c>
      <c r="BG96" s="22" t="s">
        <v>1311</v>
      </c>
      <c r="BH96" s="22" t="s">
        <v>1309</v>
      </c>
      <c r="BI96" s="22" t="s">
        <v>1309</v>
      </c>
      <c r="BJ96" s="22" t="s">
        <v>1317</v>
      </c>
      <c r="BK96" s="22" t="s">
        <v>1318</v>
      </c>
      <c r="BL96" s="22" t="s">
        <v>1317</v>
      </c>
      <c r="BM96" s="22" t="s">
        <v>1318</v>
      </c>
      <c r="BN96" s="22" t="s">
        <v>1309</v>
      </c>
      <c r="BO96" s="22" t="s">
        <v>1309</v>
      </c>
      <c r="BP96" s="22" t="s">
        <v>1315</v>
      </c>
      <c r="BQ96" s="22" t="s">
        <v>1315</v>
      </c>
      <c r="BR96" s="22" t="s">
        <v>1309</v>
      </c>
      <c r="BS96" s="22" t="s">
        <v>1309</v>
      </c>
      <c r="BT96" s="22" t="s">
        <v>1317</v>
      </c>
      <c r="BU96" s="22" t="s">
        <v>1311</v>
      </c>
      <c r="BV96" s="22" t="s">
        <v>1317</v>
      </c>
      <c r="BW96" s="22" t="s">
        <v>1318</v>
      </c>
      <c r="BX96" s="20">
        <v>0</v>
      </c>
      <c r="BY96" s="20">
        <v>2</v>
      </c>
      <c r="BZ96" s="20">
        <v>160</v>
      </c>
      <c r="CA96" s="20">
        <v>0</v>
      </c>
      <c r="CB96" s="20">
        <v>1</v>
      </c>
      <c r="CC96" s="20">
        <v>1824</v>
      </c>
      <c r="CD96" s="22" t="s">
        <v>1317</v>
      </c>
      <c r="CE96" s="22" t="s">
        <v>1321</v>
      </c>
      <c r="CF96" s="22" t="s">
        <v>1317</v>
      </c>
      <c r="CG96" s="22" t="s">
        <v>1321</v>
      </c>
      <c r="CH96" s="22" t="s">
        <v>1317</v>
      </c>
      <c r="CI96" s="22" t="s">
        <v>1318</v>
      </c>
      <c r="CJ96" s="149" t="s">
        <v>1124</v>
      </c>
      <c r="CK96" s="241" t="s">
        <v>1567</v>
      </c>
    </row>
    <row r="97" spans="1:89" ht="15" customHeight="1" x14ac:dyDescent="0.35">
      <c r="A97" s="17"/>
      <c r="B97" s="313">
        <v>5077</v>
      </c>
      <c r="C97" s="8" t="s">
        <v>1056</v>
      </c>
      <c r="D97" s="18">
        <v>11</v>
      </c>
      <c r="E97" s="131"/>
      <c r="F97" s="22"/>
      <c r="G97" s="132"/>
      <c r="H97" s="22"/>
      <c r="I97" s="22"/>
      <c r="J97" s="22"/>
      <c r="K97" s="22"/>
      <c r="L97" s="22"/>
      <c r="M97" s="133"/>
      <c r="N97" s="22"/>
      <c r="O97" s="22"/>
      <c r="P97" s="22"/>
      <c r="Q97" s="20"/>
      <c r="R97" s="20"/>
      <c r="S97" s="20"/>
      <c r="T97" s="20"/>
      <c r="U97" s="20"/>
      <c r="V97" s="20"/>
      <c r="W97" s="20"/>
      <c r="X97" s="20"/>
      <c r="Y97" s="20"/>
      <c r="Z97" s="20"/>
      <c r="AA97" s="20"/>
      <c r="AB97" s="22"/>
      <c r="AC97" s="20"/>
      <c r="AD97" s="20"/>
      <c r="AE97" s="20"/>
      <c r="AF97" s="20" t="s">
        <v>1124</v>
      </c>
      <c r="AG97" s="20" t="s">
        <v>1124</v>
      </c>
      <c r="AH97" s="20" t="s">
        <v>1124</v>
      </c>
      <c r="AI97" s="328"/>
      <c r="AJ97" s="328"/>
      <c r="AK97" s="328"/>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0"/>
      <c r="BY97" s="20"/>
      <c r="BZ97" s="20"/>
      <c r="CA97" s="20"/>
      <c r="CB97" s="20"/>
      <c r="CC97" s="20"/>
      <c r="CD97" s="22"/>
      <c r="CE97" s="22"/>
      <c r="CF97" s="22"/>
      <c r="CG97" s="22"/>
      <c r="CH97" s="22"/>
      <c r="CI97" s="22"/>
      <c r="CJ97" s="149"/>
      <c r="CK97" s="241"/>
    </row>
    <row r="98" spans="1:89" ht="15" customHeight="1" x14ac:dyDescent="0.35">
      <c r="A98" s="17"/>
      <c r="B98" s="313">
        <v>7018</v>
      </c>
      <c r="C98" s="8" t="s">
        <v>1070</v>
      </c>
      <c r="D98" s="18">
        <v>1</v>
      </c>
      <c r="E98" s="131" t="s">
        <v>1309</v>
      </c>
      <c r="F98" s="22" t="s">
        <v>1310</v>
      </c>
      <c r="G98" s="132" t="s">
        <v>1309</v>
      </c>
      <c r="H98" s="22" t="s">
        <v>1311</v>
      </c>
      <c r="I98" s="22" t="s">
        <v>1327</v>
      </c>
      <c r="J98" s="22" t="s">
        <v>1327</v>
      </c>
      <c r="K98" s="22" t="s">
        <v>1314</v>
      </c>
      <c r="L98" s="22" t="s">
        <v>1311</v>
      </c>
      <c r="M98" s="133" t="s">
        <v>1311</v>
      </c>
      <c r="N98" s="22" t="s">
        <v>1311</v>
      </c>
      <c r="O98" s="22" t="s">
        <v>1314</v>
      </c>
      <c r="P98" s="22" t="s">
        <v>1318</v>
      </c>
      <c r="Q98" s="20">
        <v>0</v>
      </c>
      <c r="R98" s="20">
        <v>0</v>
      </c>
      <c r="S98" s="20">
        <v>0</v>
      </c>
      <c r="T98" s="20">
        <v>0</v>
      </c>
      <c r="U98" s="20">
        <v>15</v>
      </c>
      <c r="V98" s="20">
        <v>15</v>
      </c>
      <c r="W98" s="20">
        <v>0</v>
      </c>
      <c r="X98" s="20">
        <v>0</v>
      </c>
      <c r="Y98" s="20">
        <v>0</v>
      </c>
      <c r="Z98" s="20">
        <v>0</v>
      </c>
      <c r="AA98" s="20" t="s">
        <v>1317</v>
      </c>
      <c r="AB98" s="22" t="s">
        <v>1318</v>
      </c>
      <c r="AC98" s="20">
        <v>0</v>
      </c>
      <c r="AD98" s="20">
        <v>0</v>
      </c>
      <c r="AE98" s="20">
        <v>0</v>
      </c>
      <c r="AF98" s="20">
        <v>0</v>
      </c>
      <c r="AG98" s="20">
        <v>0</v>
      </c>
      <c r="AH98" s="20">
        <v>0</v>
      </c>
      <c r="AI98" s="328" t="s">
        <v>1328</v>
      </c>
      <c r="AJ98" s="328" t="s">
        <v>1328</v>
      </c>
      <c r="AK98" s="328" t="s">
        <v>1328</v>
      </c>
      <c r="AL98" s="22" t="s">
        <v>1329</v>
      </c>
      <c r="AM98" s="22" t="s">
        <v>1330</v>
      </c>
      <c r="AN98" s="22" t="s">
        <v>1317</v>
      </c>
      <c r="AO98" s="22" t="s">
        <v>1318</v>
      </c>
      <c r="AP98" s="22" t="s">
        <v>1318</v>
      </c>
      <c r="AQ98" s="22" t="s">
        <v>1318</v>
      </c>
      <c r="AR98" s="22" t="s">
        <v>1317</v>
      </c>
      <c r="AS98" s="22" t="s">
        <v>1318</v>
      </c>
      <c r="AT98" s="22" t="s">
        <v>1317</v>
      </c>
      <c r="AU98" s="22" t="s">
        <v>1318</v>
      </c>
      <c r="AV98" s="22" t="s">
        <v>1317</v>
      </c>
      <c r="AW98" s="22" t="s">
        <v>1318</v>
      </c>
      <c r="AX98" s="22" t="s">
        <v>1317</v>
      </c>
      <c r="AY98" s="22" t="s">
        <v>1318</v>
      </c>
      <c r="AZ98" s="22" t="s">
        <v>1319</v>
      </c>
      <c r="BA98" s="22" t="s">
        <v>1311</v>
      </c>
      <c r="BB98" s="22" t="s">
        <v>1309</v>
      </c>
      <c r="BC98" s="22" t="s">
        <v>1309</v>
      </c>
      <c r="BD98" s="22" t="s">
        <v>1317</v>
      </c>
      <c r="BE98" s="22" t="s">
        <v>1318</v>
      </c>
      <c r="BF98" s="22" t="s">
        <v>1317</v>
      </c>
      <c r="BG98" s="22" t="s">
        <v>1311</v>
      </c>
      <c r="BH98" s="22" t="s">
        <v>1317</v>
      </c>
      <c r="BI98" s="22" t="s">
        <v>1318</v>
      </c>
      <c r="BJ98" s="22" t="s">
        <v>1317</v>
      </c>
      <c r="BK98" s="22" t="s">
        <v>1311</v>
      </c>
      <c r="BL98" s="22" t="s">
        <v>1317</v>
      </c>
      <c r="BM98" s="22" t="s">
        <v>1311</v>
      </c>
      <c r="BN98" s="22" t="s">
        <v>1319</v>
      </c>
      <c r="BO98" s="22" t="s">
        <v>1311</v>
      </c>
      <c r="BP98" s="22" t="s">
        <v>1315</v>
      </c>
      <c r="BQ98" s="22" t="s">
        <v>1315</v>
      </c>
      <c r="BR98" s="22" t="s">
        <v>1317</v>
      </c>
      <c r="BS98" s="22" t="s">
        <v>1318</v>
      </c>
      <c r="BT98" s="22" t="s">
        <v>1317</v>
      </c>
      <c r="BU98" s="22" t="s">
        <v>1318</v>
      </c>
      <c r="BV98" s="22" t="s">
        <v>1309</v>
      </c>
      <c r="BW98" s="22" t="s">
        <v>1309</v>
      </c>
      <c r="BX98" s="20">
        <v>0</v>
      </c>
      <c r="BY98" s="20">
        <v>0</v>
      </c>
      <c r="BZ98" s="20">
        <v>46</v>
      </c>
      <c r="CA98" s="20">
        <v>0</v>
      </c>
      <c r="CB98" s="20">
        <v>0</v>
      </c>
      <c r="CC98" s="20">
        <v>705</v>
      </c>
      <c r="CD98" s="22" t="s">
        <v>1317</v>
      </c>
      <c r="CE98" s="22" t="s">
        <v>1321</v>
      </c>
      <c r="CF98" s="22" t="s">
        <v>1317</v>
      </c>
      <c r="CG98" s="22" t="s">
        <v>1321</v>
      </c>
      <c r="CH98" s="22" t="s">
        <v>1317</v>
      </c>
      <c r="CI98" s="22" t="s">
        <v>1318</v>
      </c>
      <c r="CJ98" s="149" t="s">
        <v>1124</v>
      </c>
      <c r="CK98" s="241" t="s">
        <v>1571</v>
      </c>
    </row>
    <row r="99" spans="1:89" ht="15" customHeight="1" x14ac:dyDescent="0.35">
      <c r="A99" s="17"/>
      <c r="B99" s="313">
        <v>83040</v>
      </c>
      <c r="C99" s="8" t="s">
        <v>840</v>
      </c>
      <c r="D99" s="18">
        <v>7</v>
      </c>
      <c r="E99" s="131"/>
      <c r="F99" s="22"/>
      <c r="G99" s="132"/>
      <c r="H99" s="22"/>
      <c r="I99" s="22"/>
      <c r="J99" s="22"/>
      <c r="K99" s="22"/>
      <c r="L99" s="22"/>
      <c r="M99" s="133"/>
      <c r="N99" s="22"/>
      <c r="O99" s="22"/>
      <c r="P99" s="22"/>
      <c r="Q99" s="20"/>
      <c r="R99" s="20"/>
      <c r="S99" s="20"/>
      <c r="T99" s="20"/>
      <c r="U99" s="20"/>
      <c r="V99" s="20"/>
      <c r="W99" s="20"/>
      <c r="X99" s="20"/>
      <c r="Y99" s="20"/>
      <c r="Z99" s="20"/>
      <c r="AA99" s="20"/>
      <c r="AB99" s="22"/>
      <c r="AC99" s="20"/>
      <c r="AD99" s="20"/>
      <c r="AE99" s="20"/>
      <c r="AF99" s="20" t="s">
        <v>1124</v>
      </c>
      <c r="AG99" s="20" t="s">
        <v>1124</v>
      </c>
      <c r="AH99" s="20" t="s">
        <v>1124</v>
      </c>
      <c r="AI99" s="328"/>
      <c r="AJ99" s="328"/>
      <c r="AK99" s="328"/>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0"/>
      <c r="BY99" s="20"/>
      <c r="BZ99" s="20"/>
      <c r="CA99" s="20"/>
      <c r="CB99" s="20"/>
      <c r="CC99" s="20"/>
      <c r="CD99" s="22"/>
      <c r="CE99" s="22"/>
      <c r="CF99" s="22"/>
      <c r="CG99" s="22"/>
      <c r="CH99" s="22"/>
      <c r="CI99" s="22"/>
      <c r="CJ99" s="149"/>
      <c r="CK99" s="241"/>
    </row>
    <row r="100" spans="1:89" ht="15" customHeight="1" x14ac:dyDescent="0.35">
      <c r="A100" s="17"/>
      <c r="B100" s="313">
        <v>57005</v>
      </c>
      <c r="C100" s="8" t="s">
        <v>581</v>
      </c>
      <c r="D100" s="21">
        <v>16</v>
      </c>
      <c r="E100" s="131" t="s">
        <v>1309</v>
      </c>
      <c r="F100" s="22" t="s">
        <v>1309</v>
      </c>
      <c r="G100" s="132" t="s">
        <v>1309</v>
      </c>
      <c r="H100" s="22" t="s">
        <v>1311</v>
      </c>
      <c r="I100" s="22" t="s">
        <v>1341</v>
      </c>
      <c r="J100" s="22" t="s">
        <v>1342</v>
      </c>
      <c r="K100" s="22" t="s">
        <v>1319</v>
      </c>
      <c r="L100" s="22" t="s">
        <v>1311</v>
      </c>
      <c r="M100" s="133" t="s">
        <v>1311</v>
      </c>
      <c r="N100" s="22" t="s">
        <v>1311</v>
      </c>
      <c r="O100" s="22" t="s">
        <v>1309</v>
      </c>
      <c r="P100" s="22" t="s">
        <v>1309</v>
      </c>
      <c r="Q100" s="20">
        <v>0</v>
      </c>
      <c r="R100" s="20">
        <v>0</v>
      </c>
      <c r="S100" s="20">
        <v>20</v>
      </c>
      <c r="T100" s="20">
        <v>50</v>
      </c>
      <c r="U100" s="20">
        <v>20</v>
      </c>
      <c r="V100" s="20">
        <v>50</v>
      </c>
      <c r="W100" s="20">
        <v>0</v>
      </c>
      <c r="X100" s="20">
        <v>0</v>
      </c>
      <c r="Y100" s="20">
        <v>0</v>
      </c>
      <c r="Z100" s="20">
        <v>0</v>
      </c>
      <c r="AA100" s="20" t="s">
        <v>1319</v>
      </c>
      <c r="AB100" s="22" t="s">
        <v>1311</v>
      </c>
      <c r="AC100" s="20">
        <v>35</v>
      </c>
      <c r="AD100" s="20">
        <v>2</v>
      </c>
      <c r="AE100" s="20">
        <v>0</v>
      </c>
      <c r="AF100" s="20">
        <v>1</v>
      </c>
      <c r="AG100" s="20">
        <v>1</v>
      </c>
      <c r="AH100" s="20">
        <v>0</v>
      </c>
      <c r="AI100" s="328">
        <v>23.017230040773377</v>
      </c>
      <c r="AJ100" s="328">
        <v>0.16823687752355315</v>
      </c>
      <c r="AK100" s="328" t="s">
        <v>1328</v>
      </c>
      <c r="AL100" s="22" t="s">
        <v>1329</v>
      </c>
      <c r="AM100" s="22" t="s">
        <v>1330</v>
      </c>
      <c r="AN100" s="22" t="s">
        <v>1347</v>
      </c>
      <c r="AO100" s="22" t="s">
        <v>1309</v>
      </c>
      <c r="AP100" s="22" t="s">
        <v>1526</v>
      </c>
      <c r="AQ100" s="22" t="s">
        <v>1318</v>
      </c>
      <c r="AR100" s="22" t="s">
        <v>1317</v>
      </c>
      <c r="AS100" s="22" t="s">
        <v>1311</v>
      </c>
      <c r="AT100" s="22" t="s">
        <v>1317</v>
      </c>
      <c r="AU100" s="22" t="s">
        <v>1318</v>
      </c>
      <c r="AV100" s="22" t="s">
        <v>1317</v>
      </c>
      <c r="AW100" s="22" t="s">
        <v>1318</v>
      </c>
      <c r="AX100" s="22" t="s">
        <v>1317</v>
      </c>
      <c r="AY100" s="22" t="s">
        <v>1318</v>
      </c>
      <c r="AZ100" s="22" t="s">
        <v>1309</v>
      </c>
      <c r="BA100" s="22" t="s">
        <v>1309</v>
      </c>
      <c r="BB100" s="22" t="s">
        <v>1309</v>
      </c>
      <c r="BC100" s="22" t="s">
        <v>1309</v>
      </c>
      <c r="BD100" s="22" t="s">
        <v>1309</v>
      </c>
      <c r="BE100" s="22" t="s">
        <v>1309</v>
      </c>
      <c r="BF100" s="22" t="s">
        <v>1317</v>
      </c>
      <c r="BG100" s="22" t="s">
        <v>1318</v>
      </c>
      <c r="BH100" s="22" t="s">
        <v>1309</v>
      </c>
      <c r="BI100" s="22" t="s">
        <v>1309</v>
      </c>
      <c r="BJ100" s="22" t="s">
        <v>1309</v>
      </c>
      <c r="BK100" s="22" t="s">
        <v>1309</v>
      </c>
      <c r="BL100" s="22" t="s">
        <v>1317</v>
      </c>
      <c r="BM100" s="22" t="s">
        <v>1311</v>
      </c>
      <c r="BN100" s="22" t="s">
        <v>1309</v>
      </c>
      <c r="BO100" s="22" t="s">
        <v>1309</v>
      </c>
      <c r="BP100" s="22" t="s">
        <v>1309</v>
      </c>
      <c r="BQ100" s="22" t="s">
        <v>1309</v>
      </c>
      <c r="BR100" s="22" t="s">
        <v>1309</v>
      </c>
      <c r="BS100" s="22" t="s">
        <v>1309</v>
      </c>
      <c r="BT100" s="22" t="s">
        <v>1309</v>
      </c>
      <c r="BU100" s="22" t="s">
        <v>1309</v>
      </c>
      <c r="BV100" s="22" t="s">
        <v>1309</v>
      </c>
      <c r="BW100" s="22" t="s">
        <v>1309</v>
      </c>
      <c r="BX100" s="20">
        <v>368</v>
      </c>
      <c r="BY100" s="20">
        <v>10</v>
      </c>
      <c r="BZ100" s="20">
        <v>10</v>
      </c>
      <c r="CA100" s="20">
        <v>0</v>
      </c>
      <c r="CB100" s="20">
        <v>0</v>
      </c>
      <c r="CC100" s="20">
        <v>11500</v>
      </c>
      <c r="CD100" s="22" t="s">
        <v>1331</v>
      </c>
      <c r="CE100" s="22" t="s">
        <v>1331</v>
      </c>
      <c r="CF100" s="22" t="s">
        <v>1317</v>
      </c>
      <c r="CG100" s="22" t="s">
        <v>1318</v>
      </c>
      <c r="CH100" s="22" t="s">
        <v>1317</v>
      </c>
      <c r="CI100" s="22" t="s">
        <v>1318</v>
      </c>
      <c r="CJ100" s="149" t="s">
        <v>1124</v>
      </c>
      <c r="CK100" s="241" t="s">
        <v>3713</v>
      </c>
    </row>
    <row r="101" spans="1:89" ht="15" customHeight="1" x14ac:dyDescent="0.35">
      <c r="A101" s="17"/>
      <c r="B101" s="313">
        <v>91020</v>
      </c>
      <c r="C101" s="8" t="s">
        <v>940</v>
      </c>
      <c r="D101" s="18">
        <v>2</v>
      </c>
      <c r="E101" s="131" t="s">
        <v>1319</v>
      </c>
      <c r="F101" s="22" t="s">
        <v>1310</v>
      </c>
      <c r="G101" s="132" t="s">
        <v>1309</v>
      </c>
      <c r="H101" s="22" t="s">
        <v>1311</v>
      </c>
      <c r="I101" s="22" t="s">
        <v>1327</v>
      </c>
      <c r="J101" s="22" t="s">
        <v>1327</v>
      </c>
      <c r="K101" s="22" t="s">
        <v>1319</v>
      </c>
      <c r="L101" s="22" t="s">
        <v>1311</v>
      </c>
      <c r="M101" s="133" t="s">
        <v>1311</v>
      </c>
      <c r="N101" s="22" t="s">
        <v>1311</v>
      </c>
      <c r="O101" s="22" t="s">
        <v>1319</v>
      </c>
      <c r="P101" s="22" t="s">
        <v>1311</v>
      </c>
      <c r="Q101" s="20">
        <v>0</v>
      </c>
      <c r="R101" s="20">
        <v>0</v>
      </c>
      <c r="S101" s="20">
        <v>0</v>
      </c>
      <c r="T101" s="20">
        <v>0</v>
      </c>
      <c r="U101" s="20">
        <v>13.25</v>
      </c>
      <c r="V101" s="20">
        <v>13.25</v>
      </c>
      <c r="W101" s="20">
        <v>0</v>
      </c>
      <c r="X101" s="20">
        <v>0</v>
      </c>
      <c r="Y101" s="20">
        <v>0</v>
      </c>
      <c r="Z101" s="20">
        <v>0</v>
      </c>
      <c r="AA101" s="20" t="s">
        <v>1317</v>
      </c>
      <c r="AB101" s="22" t="s">
        <v>1318</v>
      </c>
      <c r="AC101" s="20">
        <v>2</v>
      </c>
      <c r="AD101" s="20">
        <v>4</v>
      </c>
      <c r="AE101" s="20">
        <v>2</v>
      </c>
      <c r="AF101" s="20">
        <v>1</v>
      </c>
      <c r="AG101" s="20">
        <v>1</v>
      </c>
      <c r="AH101" s="20">
        <v>1</v>
      </c>
      <c r="AI101" s="328">
        <v>15.09433962264151</v>
      </c>
      <c r="AJ101" s="328">
        <v>5.7142857142857144</v>
      </c>
      <c r="AK101" s="328">
        <v>2.8571428571428572</v>
      </c>
      <c r="AL101" s="22" t="s">
        <v>1329</v>
      </c>
      <c r="AM101" s="22" t="s">
        <v>1330</v>
      </c>
      <c r="AN101" s="22" t="s">
        <v>1317</v>
      </c>
      <c r="AO101" s="22" t="s">
        <v>1318</v>
      </c>
      <c r="AP101" s="22" t="s">
        <v>1318</v>
      </c>
      <c r="AQ101" s="22" t="s">
        <v>1318</v>
      </c>
      <c r="AR101" s="22" t="s">
        <v>1317</v>
      </c>
      <c r="AS101" s="22" t="s">
        <v>1311</v>
      </c>
      <c r="AT101" s="22" t="s">
        <v>1317</v>
      </c>
      <c r="AU101" s="22" t="s">
        <v>1311</v>
      </c>
      <c r="AV101" s="22" t="s">
        <v>1309</v>
      </c>
      <c r="AW101" s="22" t="s">
        <v>1311</v>
      </c>
      <c r="AX101" s="22" t="s">
        <v>1317</v>
      </c>
      <c r="AY101" s="22" t="s">
        <v>1318</v>
      </c>
      <c r="AZ101" s="22" t="s">
        <v>1319</v>
      </c>
      <c r="BA101" s="22" t="s">
        <v>1311</v>
      </c>
      <c r="BB101" s="22" t="s">
        <v>1309</v>
      </c>
      <c r="BC101" s="22" t="s">
        <v>1311</v>
      </c>
      <c r="BD101" s="22" t="s">
        <v>1317</v>
      </c>
      <c r="BE101" s="22" t="s">
        <v>1318</v>
      </c>
      <c r="BF101" s="22" t="s">
        <v>1309</v>
      </c>
      <c r="BG101" s="22" t="s">
        <v>1309</v>
      </c>
      <c r="BH101" s="22" t="s">
        <v>1317</v>
      </c>
      <c r="BI101" s="22" t="s">
        <v>1311</v>
      </c>
      <c r="BJ101" s="22" t="s">
        <v>1319</v>
      </c>
      <c r="BK101" s="22" t="s">
        <v>1311</v>
      </c>
      <c r="BL101" s="22" t="s">
        <v>1309</v>
      </c>
      <c r="BM101" s="22" t="s">
        <v>1311</v>
      </c>
      <c r="BN101" s="22" t="s">
        <v>1319</v>
      </c>
      <c r="BO101" s="22" t="s">
        <v>1311</v>
      </c>
      <c r="BP101" s="22" t="s">
        <v>1317</v>
      </c>
      <c r="BQ101" s="22" t="s">
        <v>1311</v>
      </c>
      <c r="BR101" s="22" t="s">
        <v>1317</v>
      </c>
      <c r="BS101" s="22" t="s">
        <v>1311</v>
      </c>
      <c r="BT101" s="22" t="s">
        <v>1317</v>
      </c>
      <c r="BU101" s="22" t="s">
        <v>1311</v>
      </c>
      <c r="BV101" s="22" t="s">
        <v>1309</v>
      </c>
      <c r="BW101" s="22" t="s">
        <v>1309</v>
      </c>
      <c r="BX101" s="20">
        <v>15</v>
      </c>
      <c r="BY101" s="20">
        <v>0</v>
      </c>
      <c r="BZ101" s="20">
        <v>10</v>
      </c>
      <c r="CA101" s="20">
        <v>20</v>
      </c>
      <c r="CB101" s="20">
        <v>0</v>
      </c>
      <c r="CC101" s="20">
        <v>655</v>
      </c>
      <c r="CD101" s="22" t="s">
        <v>1345</v>
      </c>
      <c r="CE101" s="22" t="s">
        <v>1331</v>
      </c>
      <c r="CF101" s="22" t="s">
        <v>1331</v>
      </c>
      <c r="CG101" s="22" t="s">
        <v>1331</v>
      </c>
      <c r="CH101" s="22" t="s">
        <v>1317</v>
      </c>
      <c r="CI101" s="22" t="s">
        <v>1318</v>
      </c>
      <c r="CJ101" s="149" t="s">
        <v>1124</v>
      </c>
      <c r="CK101" s="241" t="s">
        <v>1576</v>
      </c>
    </row>
    <row r="102" spans="1:89" ht="15" customHeight="1" x14ac:dyDescent="0.35">
      <c r="A102" s="17"/>
      <c r="B102" s="313">
        <v>37220</v>
      </c>
      <c r="C102" s="8" t="s">
        <v>318</v>
      </c>
      <c r="D102" s="18">
        <v>4</v>
      </c>
      <c r="E102" s="131"/>
      <c r="F102" s="22"/>
      <c r="G102" s="132"/>
      <c r="H102" s="22"/>
      <c r="I102" s="22"/>
      <c r="J102" s="22"/>
      <c r="K102" s="22"/>
      <c r="L102" s="22"/>
      <c r="M102" s="133"/>
      <c r="N102" s="22"/>
      <c r="O102" s="22"/>
      <c r="P102" s="22"/>
      <c r="Q102" s="20"/>
      <c r="R102" s="20"/>
      <c r="S102" s="20"/>
      <c r="T102" s="20"/>
      <c r="U102" s="20"/>
      <c r="V102" s="20"/>
      <c r="W102" s="20"/>
      <c r="X102" s="20"/>
      <c r="Y102" s="20"/>
      <c r="Z102" s="20"/>
      <c r="AA102" s="20"/>
      <c r="AB102" s="22"/>
      <c r="AC102" s="20"/>
      <c r="AD102" s="20"/>
      <c r="AE102" s="20"/>
      <c r="AF102" s="20" t="s">
        <v>1124</v>
      </c>
      <c r="AG102" s="20" t="s">
        <v>1124</v>
      </c>
      <c r="AH102" s="20" t="s">
        <v>1124</v>
      </c>
      <c r="AI102" s="328"/>
      <c r="AJ102" s="328"/>
      <c r="AK102" s="328"/>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0"/>
      <c r="BY102" s="20"/>
      <c r="BZ102" s="20"/>
      <c r="CA102" s="20"/>
      <c r="CB102" s="20"/>
      <c r="CC102" s="20"/>
      <c r="CD102" s="22"/>
      <c r="CE102" s="22"/>
      <c r="CF102" s="22"/>
      <c r="CG102" s="22"/>
      <c r="CH102" s="22"/>
      <c r="CI102" s="22"/>
      <c r="CJ102" s="149"/>
      <c r="CK102" s="241"/>
    </row>
    <row r="103" spans="1:89" ht="15" customHeight="1" x14ac:dyDescent="0.35">
      <c r="A103" s="17"/>
      <c r="B103" s="313">
        <v>88005</v>
      </c>
      <c r="C103" s="8" t="s">
        <v>911</v>
      </c>
      <c r="D103" s="18">
        <v>8</v>
      </c>
      <c r="E103" s="131"/>
      <c r="F103" s="22"/>
      <c r="G103" s="132"/>
      <c r="H103" s="22"/>
      <c r="I103" s="22"/>
      <c r="J103" s="22"/>
      <c r="K103" s="22"/>
      <c r="L103" s="22"/>
      <c r="M103" s="133"/>
      <c r="N103" s="22"/>
      <c r="O103" s="22"/>
      <c r="P103" s="22"/>
      <c r="Q103" s="20"/>
      <c r="R103" s="20"/>
      <c r="S103" s="20"/>
      <c r="T103" s="20"/>
      <c r="U103" s="20"/>
      <c r="V103" s="20"/>
      <c r="W103" s="20"/>
      <c r="X103" s="20"/>
      <c r="Y103" s="20"/>
      <c r="Z103" s="20"/>
      <c r="AA103" s="20"/>
      <c r="AB103" s="22"/>
      <c r="AC103" s="20"/>
      <c r="AD103" s="20"/>
      <c r="AE103" s="20"/>
      <c r="AF103" s="20" t="s">
        <v>1124</v>
      </c>
      <c r="AG103" s="20" t="s">
        <v>1124</v>
      </c>
      <c r="AH103" s="20" t="s">
        <v>1124</v>
      </c>
      <c r="AI103" s="328"/>
      <c r="AJ103" s="328"/>
      <c r="AK103" s="328"/>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0"/>
      <c r="BY103" s="20"/>
      <c r="BZ103" s="20"/>
      <c r="CA103" s="20"/>
      <c r="CB103" s="20"/>
      <c r="CC103" s="20"/>
      <c r="CD103" s="22"/>
      <c r="CE103" s="22"/>
      <c r="CF103" s="22"/>
      <c r="CG103" s="22"/>
      <c r="CH103" s="22"/>
      <c r="CI103" s="22"/>
      <c r="CJ103" s="149"/>
      <c r="CK103" s="241"/>
    </row>
    <row r="104" spans="1:89" ht="15" customHeight="1" x14ac:dyDescent="0.35">
      <c r="A104" s="17"/>
      <c r="B104" s="313">
        <v>2028</v>
      </c>
      <c r="C104" s="8" t="s">
        <v>1029</v>
      </c>
      <c r="D104" s="18">
        <v>11</v>
      </c>
      <c r="E104" s="131" t="s">
        <v>1309</v>
      </c>
      <c r="F104" s="22" t="s">
        <v>1309</v>
      </c>
      <c r="G104" s="132" t="s">
        <v>1309</v>
      </c>
      <c r="H104" s="22" t="s">
        <v>1311</v>
      </c>
      <c r="I104" s="22" t="s">
        <v>1349</v>
      </c>
      <c r="J104" s="22" t="s">
        <v>1313</v>
      </c>
      <c r="K104" s="22" t="s">
        <v>1309</v>
      </c>
      <c r="L104" s="22" t="s">
        <v>1309</v>
      </c>
      <c r="M104" s="133" t="s">
        <v>1311</v>
      </c>
      <c r="N104" s="22" t="s">
        <v>1311</v>
      </c>
      <c r="O104" s="22" t="s">
        <v>1314</v>
      </c>
      <c r="P104" s="22" t="s">
        <v>1318</v>
      </c>
      <c r="Q104" s="20">
        <v>0</v>
      </c>
      <c r="R104" s="20">
        <v>0</v>
      </c>
      <c r="S104" s="20">
        <v>0</v>
      </c>
      <c r="T104" s="20">
        <v>0</v>
      </c>
      <c r="U104" s="20">
        <v>81.043000000000006</v>
      </c>
      <c r="V104" s="20">
        <v>81.043000000000006</v>
      </c>
      <c r="W104" s="20">
        <v>0</v>
      </c>
      <c r="X104" s="20">
        <v>0</v>
      </c>
      <c r="Y104" s="20">
        <v>0</v>
      </c>
      <c r="Z104" s="20">
        <v>0</v>
      </c>
      <c r="AA104" s="20" t="s">
        <v>1317</v>
      </c>
      <c r="AB104" s="22" t="s">
        <v>1318</v>
      </c>
      <c r="AC104" s="20">
        <v>4</v>
      </c>
      <c r="AD104" s="20">
        <v>18</v>
      </c>
      <c r="AE104" s="20">
        <v>0</v>
      </c>
      <c r="AF104" s="20">
        <v>3</v>
      </c>
      <c r="AG104" s="20">
        <v>5</v>
      </c>
      <c r="AH104" s="20">
        <v>0</v>
      </c>
      <c r="AI104" s="328">
        <v>4.9356514442950044</v>
      </c>
      <c r="AJ104" s="328">
        <v>4.2643923240938166</v>
      </c>
      <c r="AK104" s="328" t="s">
        <v>1328</v>
      </c>
      <c r="AL104" s="22" t="s">
        <v>1329</v>
      </c>
      <c r="AM104" s="22" t="s">
        <v>1330</v>
      </c>
      <c r="AN104" s="22" t="s">
        <v>1317</v>
      </c>
      <c r="AO104" s="22" t="s">
        <v>1318</v>
      </c>
      <c r="AP104" s="22" t="s">
        <v>1318</v>
      </c>
      <c r="AQ104" s="22" t="s">
        <v>1318</v>
      </c>
      <c r="AR104" s="22" t="s">
        <v>1317</v>
      </c>
      <c r="AS104" s="22" t="s">
        <v>1318</v>
      </c>
      <c r="AT104" s="22" t="s">
        <v>1317</v>
      </c>
      <c r="AU104" s="22" t="s">
        <v>1318</v>
      </c>
      <c r="AV104" s="22" t="s">
        <v>1317</v>
      </c>
      <c r="AW104" s="22" t="s">
        <v>1318</v>
      </c>
      <c r="AX104" s="22" t="s">
        <v>1317</v>
      </c>
      <c r="AY104" s="22" t="s">
        <v>1318</v>
      </c>
      <c r="AZ104" s="22" t="s">
        <v>1309</v>
      </c>
      <c r="BA104" s="22" t="s">
        <v>1309</v>
      </c>
      <c r="BB104" s="22" t="s">
        <v>1309</v>
      </c>
      <c r="BC104" s="22" t="s">
        <v>1309</v>
      </c>
      <c r="BD104" s="22" t="s">
        <v>1317</v>
      </c>
      <c r="BE104" s="22" t="s">
        <v>1318</v>
      </c>
      <c r="BF104" s="22" t="s">
        <v>1317</v>
      </c>
      <c r="BG104" s="22" t="s">
        <v>1311</v>
      </c>
      <c r="BH104" s="22" t="s">
        <v>1317</v>
      </c>
      <c r="BI104" s="22" t="s">
        <v>1318</v>
      </c>
      <c r="BJ104" s="22" t="s">
        <v>1317</v>
      </c>
      <c r="BK104" s="22" t="s">
        <v>1318</v>
      </c>
      <c r="BL104" s="22" t="s">
        <v>1317</v>
      </c>
      <c r="BM104" s="22" t="s">
        <v>1318</v>
      </c>
      <c r="BN104" s="22" t="s">
        <v>1309</v>
      </c>
      <c r="BO104" s="22" t="s">
        <v>1309</v>
      </c>
      <c r="BP104" s="22" t="s">
        <v>1317</v>
      </c>
      <c r="BQ104" s="22" t="s">
        <v>1318</v>
      </c>
      <c r="BR104" s="22" t="s">
        <v>1309</v>
      </c>
      <c r="BS104" s="22" t="s">
        <v>1309</v>
      </c>
      <c r="BT104" s="22" t="s">
        <v>1317</v>
      </c>
      <c r="BU104" s="22" t="s">
        <v>1318</v>
      </c>
      <c r="BV104" s="22" t="s">
        <v>1317</v>
      </c>
      <c r="BW104" s="22" t="s">
        <v>1311</v>
      </c>
      <c r="BX104" s="20">
        <v>10</v>
      </c>
      <c r="BY104" s="20">
        <v>0</v>
      </c>
      <c r="BZ104" s="20">
        <v>162</v>
      </c>
      <c r="CA104" s="20">
        <v>0</v>
      </c>
      <c r="CB104" s="20">
        <v>0</v>
      </c>
      <c r="CC104" s="20">
        <v>3062</v>
      </c>
      <c r="CD104" s="22" t="s">
        <v>1317</v>
      </c>
      <c r="CE104" s="22" t="s">
        <v>1344</v>
      </c>
      <c r="CF104" s="22" t="s">
        <v>1317</v>
      </c>
      <c r="CG104" s="22" t="s">
        <v>1344</v>
      </c>
      <c r="CH104" s="22" t="s">
        <v>1317</v>
      </c>
      <c r="CI104" s="22" t="s">
        <v>1318</v>
      </c>
      <c r="CJ104" s="149" t="s">
        <v>1124</v>
      </c>
      <c r="CK104" s="241" t="s">
        <v>1581</v>
      </c>
    </row>
    <row r="105" spans="1:89" ht="15" customHeight="1" x14ac:dyDescent="0.35">
      <c r="A105" s="17"/>
      <c r="B105" s="313">
        <v>99020</v>
      </c>
      <c r="C105" s="8" t="s">
        <v>1021</v>
      </c>
      <c r="D105" s="18">
        <v>10</v>
      </c>
      <c r="E105" s="131" t="s">
        <v>1309</v>
      </c>
      <c r="F105" s="22" t="s">
        <v>1309</v>
      </c>
      <c r="G105" s="132" t="s">
        <v>1309</v>
      </c>
      <c r="H105" s="22" t="s">
        <v>1311</v>
      </c>
      <c r="I105" s="22" t="s">
        <v>1327</v>
      </c>
      <c r="J105" s="22" t="s">
        <v>1327</v>
      </c>
      <c r="K105" s="22" t="s">
        <v>1319</v>
      </c>
      <c r="L105" s="22" t="s">
        <v>1309</v>
      </c>
      <c r="M105" s="133" t="s">
        <v>1311</v>
      </c>
      <c r="N105" s="22" t="s">
        <v>1311</v>
      </c>
      <c r="O105" s="22" t="s">
        <v>1319</v>
      </c>
      <c r="P105" s="22" t="s">
        <v>1311</v>
      </c>
      <c r="Q105" s="20">
        <v>0</v>
      </c>
      <c r="R105" s="20">
        <v>0</v>
      </c>
      <c r="S105" s="20">
        <v>0</v>
      </c>
      <c r="T105" s="20">
        <v>0</v>
      </c>
      <c r="U105" s="20">
        <v>18.399999999999999</v>
      </c>
      <c r="V105" s="20">
        <v>18.399999999999999</v>
      </c>
      <c r="W105" s="20">
        <v>0</v>
      </c>
      <c r="X105" s="20">
        <v>0</v>
      </c>
      <c r="Y105" s="20">
        <v>0</v>
      </c>
      <c r="Z105" s="20">
        <v>0</v>
      </c>
      <c r="AA105" s="20" t="s">
        <v>1317</v>
      </c>
      <c r="AB105" s="22" t="s">
        <v>1309</v>
      </c>
      <c r="AC105" s="20">
        <v>1</v>
      </c>
      <c r="AD105" s="20">
        <v>1</v>
      </c>
      <c r="AE105" s="20">
        <v>0</v>
      </c>
      <c r="AF105" s="20">
        <v>1</v>
      </c>
      <c r="AG105" s="20">
        <v>1</v>
      </c>
      <c r="AH105" s="20">
        <v>0</v>
      </c>
      <c r="AI105" s="328">
        <v>5.4347826086956523</v>
      </c>
      <c r="AJ105" s="328">
        <v>1.4064697609001406</v>
      </c>
      <c r="AK105" s="328" t="s">
        <v>1328</v>
      </c>
      <c r="AL105" s="22" t="s">
        <v>1329</v>
      </c>
      <c r="AM105" s="22" t="s">
        <v>1330</v>
      </c>
      <c r="AN105" s="22" t="s">
        <v>1317</v>
      </c>
      <c r="AO105" s="22" t="s">
        <v>1318</v>
      </c>
      <c r="AP105" s="22" t="s">
        <v>1318</v>
      </c>
      <c r="AQ105" s="22" t="s">
        <v>1318</v>
      </c>
      <c r="AR105" s="22" t="s">
        <v>1317</v>
      </c>
      <c r="AS105" s="22" t="s">
        <v>1318</v>
      </c>
      <c r="AT105" s="22" t="s">
        <v>1309</v>
      </c>
      <c r="AU105" s="22" t="s">
        <v>1309</v>
      </c>
      <c r="AV105" s="22" t="s">
        <v>1317</v>
      </c>
      <c r="AW105" s="22" t="s">
        <v>1318</v>
      </c>
      <c r="AX105" s="22" t="s">
        <v>1317</v>
      </c>
      <c r="AY105" s="22" t="s">
        <v>1318</v>
      </c>
      <c r="AZ105" s="22" t="s">
        <v>1309</v>
      </c>
      <c r="BA105" s="22" t="s">
        <v>1311</v>
      </c>
      <c r="BB105" s="22" t="s">
        <v>1309</v>
      </c>
      <c r="BC105" s="22" t="s">
        <v>1309</v>
      </c>
      <c r="BD105" s="22" t="s">
        <v>1317</v>
      </c>
      <c r="BE105" s="22" t="s">
        <v>1318</v>
      </c>
      <c r="BF105" s="22" t="s">
        <v>1317</v>
      </c>
      <c r="BG105" s="22" t="s">
        <v>1318</v>
      </c>
      <c r="BH105" s="22" t="s">
        <v>1317</v>
      </c>
      <c r="BI105" s="22" t="s">
        <v>1318</v>
      </c>
      <c r="BJ105" s="22" t="s">
        <v>1309</v>
      </c>
      <c r="BK105" s="22" t="s">
        <v>1309</v>
      </c>
      <c r="BL105" s="22" t="s">
        <v>1317</v>
      </c>
      <c r="BM105" s="22" t="s">
        <v>1318</v>
      </c>
      <c r="BN105" s="22" t="s">
        <v>1309</v>
      </c>
      <c r="BO105" s="22" t="s">
        <v>1309</v>
      </c>
      <c r="BP105" s="22" t="s">
        <v>1317</v>
      </c>
      <c r="BQ105" s="22" t="s">
        <v>1318</v>
      </c>
      <c r="BR105" s="22" t="s">
        <v>1317</v>
      </c>
      <c r="BS105" s="22" t="s">
        <v>1311</v>
      </c>
      <c r="BT105" s="22" t="s">
        <v>1317</v>
      </c>
      <c r="BU105" s="22" t="s">
        <v>1309</v>
      </c>
      <c r="BV105" s="22" t="s">
        <v>1317</v>
      </c>
      <c r="BW105" s="22" t="s">
        <v>1318</v>
      </c>
      <c r="BX105" s="20">
        <v>1</v>
      </c>
      <c r="BY105" s="20">
        <v>0</v>
      </c>
      <c r="BZ105" s="20">
        <v>172</v>
      </c>
      <c r="CA105" s="20">
        <v>0</v>
      </c>
      <c r="CB105" s="20">
        <v>0</v>
      </c>
      <c r="CC105" s="20">
        <v>538</v>
      </c>
      <c r="CD105" s="22" t="s">
        <v>1317</v>
      </c>
      <c r="CE105" s="22" t="s">
        <v>1340</v>
      </c>
      <c r="CF105" s="22" t="s">
        <v>1317</v>
      </c>
      <c r="CG105" s="22" t="s">
        <v>1340</v>
      </c>
      <c r="CH105" s="22" t="s">
        <v>1317</v>
      </c>
      <c r="CI105" s="22" t="s">
        <v>1318</v>
      </c>
      <c r="CJ105" s="149" t="s">
        <v>1585</v>
      </c>
      <c r="CK105" s="241" t="s">
        <v>1124</v>
      </c>
    </row>
    <row r="106" spans="1:89" ht="15" customHeight="1" x14ac:dyDescent="0.35">
      <c r="A106" s="17"/>
      <c r="B106" s="313">
        <v>51080</v>
      </c>
      <c r="C106" s="8" t="s">
        <v>512</v>
      </c>
      <c r="D106" s="18">
        <v>4</v>
      </c>
      <c r="E106" s="131" t="s">
        <v>1309</v>
      </c>
      <c r="F106" s="22" t="s">
        <v>1309</v>
      </c>
      <c r="G106" s="132" t="s">
        <v>1309</v>
      </c>
      <c r="H106" s="22" t="s">
        <v>1311</v>
      </c>
      <c r="I106" s="22" t="s">
        <v>1349</v>
      </c>
      <c r="J106" s="22" t="s">
        <v>1342</v>
      </c>
      <c r="K106" s="22" t="s">
        <v>1309</v>
      </c>
      <c r="L106" s="22" t="s">
        <v>1309</v>
      </c>
      <c r="M106" s="133" t="s">
        <v>1311</v>
      </c>
      <c r="N106" s="22" t="s">
        <v>1311</v>
      </c>
      <c r="O106" s="22" t="s">
        <v>1309</v>
      </c>
      <c r="P106" s="22" t="s">
        <v>1309</v>
      </c>
      <c r="Q106" s="20">
        <v>0</v>
      </c>
      <c r="R106" s="20">
        <v>0</v>
      </c>
      <c r="S106" s="20">
        <v>0</v>
      </c>
      <c r="T106" s="20">
        <v>0</v>
      </c>
      <c r="U106" s="20">
        <v>0</v>
      </c>
      <c r="V106" s="20">
        <v>13.69</v>
      </c>
      <c r="W106" s="20">
        <v>0</v>
      </c>
      <c r="X106" s="20">
        <v>0</v>
      </c>
      <c r="Y106" s="20">
        <v>0</v>
      </c>
      <c r="Z106" s="20">
        <v>0</v>
      </c>
      <c r="AA106" s="20" t="s">
        <v>1317</v>
      </c>
      <c r="AB106" s="22" t="s">
        <v>1311</v>
      </c>
      <c r="AC106" s="20">
        <v>0</v>
      </c>
      <c r="AD106" s="20">
        <v>1</v>
      </c>
      <c r="AE106" s="20">
        <v>1</v>
      </c>
      <c r="AF106" s="20">
        <v>0</v>
      </c>
      <c r="AG106" s="20">
        <v>2</v>
      </c>
      <c r="AH106" s="20">
        <v>4</v>
      </c>
      <c r="AI106" s="328" t="s">
        <v>1328</v>
      </c>
      <c r="AJ106" s="328">
        <v>3.0030030030030028</v>
      </c>
      <c r="AK106" s="328">
        <v>3.0030030030030028</v>
      </c>
      <c r="AL106" s="22" t="s">
        <v>1338</v>
      </c>
      <c r="AM106" s="22" t="s">
        <v>1330</v>
      </c>
      <c r="AN106" s="22" t="s">
        <v>1317</v>
      </c>
      <c r="AO106" s="22" t="s">
        <v>1318</v>
      </c>
      <c r="AP106" s="22" t="s">
        <v>1318</v>
      </c>
      <c r="AQ106" s="22" t="s">
        <v>1318</v>
      </c>
      <c r="AR106" s="22" t="s">
        <v>1317</v>
      </c>
      <c r="AS106" s="22" t="s">
        <v>1318</v>
      </c>
      <c r="AT106" s="22" t="s">
        <v>1309</v>
      </c>
      <c r="AU106" s="22" t="s">
        <v>1309</v>
      </c>
      <c r="AV106" s="22" t="s">
        <v>1309</v>
      </c>
      <c r="AW106" s="22" t="s">
        <v>1309</v>
      </c>
      <c r="AX106" s="22" t="s">
        <v>1317</v>
      </c>
      <c r="AY106" s="22" t="s">
        <v>1318</v>
      </c>
      <c r="AZ106" s="22" t="s">
        <v>1317</v>
      </c>
      <c r="BA106" s="22" t="s">
        <v>1318</v>
      </c>
      <c r="BB106" s="22" t="s">
        <v>1309</v>
      </c>
      <c r="BC106" s="22" t="s">
        <v>1309</v>
      </c>
      <c r="BD106" s="22" t="s">
        <v>1309</v>
      </c>
      <c r="BE106" s="22" t="s">
        <v>1309</v>
      </c>
      <c r="BF106" s="22" t="s">
        <v>1317</v>
      </c>
      <c r="BG106" s="22" t="s">
        <v>1318</v>
      </c>
      <c r="BH106" s="22" t="s">
        <v>1309</v>
      </c>
      <c r="BI106" s="22" t="s">
        <v>1309</v>
      </c>
      <c r="BJ106" s="22" t="s">
        <v>1317</v>
      </c>
      <c r="BK106" s="22" t="s">
        <v>1318</v>
      </c>
      <c r="BL106" s="22" t="s">
        <v>1309</v>
      </c>
      <c r="BM106" s="22" t="s">
        <v>1309</v>
      </c>
      <c r="BN106" s="22" t="s">
        <v>1309</v>
      </c>
      <c r="BO106" s="22" t="s">
        <v>1309</v>
      </c>
      <c r="BP106" s="22" t="s">
        <v>1315</v>
      </c>
      <c r="BQ106" s="22" t="s">
        <v>1315</v>
      </c>
      <c r="BR106" s="22" t="s">
        <v>1309</v>
      </c>
      <c r="BS106" s="22" t="s">
        <v>1309</v>
      </c>
      <c r="BT106" s="22" t="s">
        <v>1315</v>
      </c>
      <c r="BU106" s="22" t="s">
        <v>1315</v>
      </c>
      <c r="BV106" s="22" t="s">
        <v>1309</v>
      </c>
      <c r="BW106" s="22" t="s">
        <v>1309</v>
      </c>
      <c r="BX106" s="20">
        <v>3</v>
      </c>
      <c r="BY106" s="20">
        <v>0</v>
      </c>
      <c r="BZ106" s="20">
        <v>28</v>
      </c>
      <c r="CA106" s="20">
        <v>1</v>
      </c>
      <c r="CB106" s="20">
        <v>1</v>
      </c>
      <c r="CC106" s="20">
        <v>300</v>
      </c>
      <c r="CD106" s="22" t="s">
        <v>1317</v>
      </c>
      <c r="CE106" s="22" t="s">
        <v>1318</v>
      </c>
      <c r="CF106" s="22" t="s">
        <v>1317</v>
      </c>
      <c r="CG106" s="22" t="s">
        <v>1318</v>
      </c>
      <c r="CH106" s="22" t="s">
        <v>1317</v>
      </c>
      <c r="CI106" s="22" t="s">
        <v>1318</v>
      </c>
      <c r="CJ106" s="149" t="s">
        <v>1589</v>
      </c>
      <c r="CK106" s="241" t="s">
        <v>1358</v>
      </c>
    </row>
    <row r="107" spans="1:89" ht="15" customHeight="1" x14ac:dyDescent="0.35">
      <c r="A107" s="17"/>
      <c r="B107" s="313">
        <v>60005</v>
      </c>
      <c r="C107" s="8" t="s">
        <v>605</v>
      </c>
      <c r="D107" s="18">
        <v>14</v>
      </c>
      <c r="E107" s="131" t="s">
        <v>1309</v>
      </c>
      <c r="F107" s="22" t="s">
        <v>1309</v>
      </c>
      <c r="G107" s="132" t="s">
        <v>1309</v>
      </c>
      <c r="H107" s="22" t="s">
        <v>1311</v>
      </c>
      <c r="I107" s="22" t="s">
        <v>1315</v>
      </c>
      <c r="J107" s="22" t="s">
        <v>1315</v>
      </c>
      <c r="K107" s="22" t="s">
        <v>1314</v>
      </c>
      <c r="L107" s="22" t="s">
        <v>1311</v>
      </c>
      <c r="M107" s="133" t="s">
        <v>1311</v>
      </c>
      <c r="N107" s="22" t="s">
        <v>1311</v>
      </c>
      <c r="O107" s="22" t="s">
        <v>1309</v>
      </c>
      <c r="P107" s="22" t="s">
        <v>1309</v>
      </c>
      <c r="Q107" s="20">
        <v>0</v>
      </c>
      <c r="R107" s="20">
        <v>0</v>
      </c>
      <c r="S107" s="20">
        <v>0</v>
      </c>
      <c r="T107" s="20">
        <v>0</v>
      </c>
      <c r="U107" s="20">
        <v>26.244</v>
      </c>
      <c r="V107" s="20">
        <v>26.244</v>
      </c>
      <c r="W107" s="20">
        <v>0</v>
      </c>
      <c r="X107" s="20">
        <v>0</v>
      </c>
      <c r="Y107" s="20">
        <v>0</v>
      </c>
      <c r="Z107" s="20">
        <v>0</v>
      </c>
      <c r="AA107" s="20" t="s">
        <v>1319</v>
      </c>
      <c r="AB107" s="22" t="s">
        <v>1311</v>
      </c>
      <c r="AC107" s="20">
        <v>6</v>
      </c>
      <c r="AD107" s="20">
        <v>0</v>
      </c>
      <c r="AE107" s="20">
        <v>0</v>
      </c>
      <c r="AF107" s="20">
        <v>1</v>
      </c>
      <c r="AG107" s="20">
        <v>0</v>
      </c>
      <c r="AH107" s="20">
        <v>0</v>
      </c>
      <c r="AI107" s="328">
        <v>23.470505398216243</v>
      </c>
      <c r="AJ107" s="328" t="s">
        <v>1328</v>
      </c>
      <c r="AK107" s="328" t="s">
        <v>1328</v>
      </c>
      <c r="AL107" s="22" t="s">
        <v>1329</v>
      </c>
      <c r="AM107" s="22" t="s">
        <v>1330</v>
      </c>
      <c r="AN107" s="22" t="s">
        <v>1315</v>
      </c>
      <c r="AO107" s="22" t="s">
        <v>1315</v>
      </c>
      <c r="AP107" s="22" t="s">
        <v>1315</v>
      </c>
      <c r="AQ107" s="22" t="s">
        <v>1315</v>
      </c>
      <c r="AR107" s="22" t="s">
        <v>1317</v>
      </c>
      <c r="AS107" s="22" t="s">
        <v>1318</v>
      </c>
      <c r="AT107" s="22" t="s">
        <v>1309</v>
      </c>
      <c r="AU107" s="22" t="s">
        <v>1309</v>
      </c>
      <c r="AV107" s="22" t="s">
        <v>1317</v>
      </c>
      <c r="AW107" s="22" t="s">
        <v>1318</v>
      </c>
      <c r="AX107" s="22" t="s">
        <v>1317</v>
      </c>
      <c r="AY107" s="22" t="s">
        <v>1318</v>
      </c>
      <c r="AZ107" s="22" t="s">
        <v>1309</v>
      </c>
      <c r="BA107" s="22" t="s">
        <v>1309</v>
      </c>
      <c r="BB107" s="22" t="s">
        <v>1309</v>
      </c>
      <c r="BC107" s="22" t="s">
        <v>1309</v>
      </c>
      <c r="BD107" s="22" t="s">
        <v>1309</v>
      </c>
      <c r="BE107" s="22" t="s">
        <v>1309</v>
      </c>
      <c r="BF107" s="22" t="s">
        <v>1309</v>
      </c>
      <c r="BG107" s="22" t="s">
        <v>1309</v>
      </c>
      <c r="BH107" s="22" t="s">
        <v>1309</v>
      </c>
      <c r="BI107" s="22" t="s">
        <v>1309</v>
      </c>
      <c r="BJ107" s="22" t="s">
        <v>1317</v>
      </c>
      <c r="BK107" s="22" t="s">
        <v>1318</v>
      </c>
      <c r="BL107" s="22" t="s">
        <v>1317</v>
      </c>
      <c r="BM107" s="22" t="s">
        <v>1318</v>
      </c>
      <c r="BN107" s="22" t="s">
        <v>1309</v>
      </c>
      <c r="BO107" s="22" t="s">
        <v>1309</v>
      </c>
      <c r="BP107" s="22" t="s">
        <v>1309</v>
      </c>
      <c r="BQ107" s="22" t="s">
        <v>1309</v>
      </c>
      <c r="BR107" s="22" t="s">
        <v>1317</v>
      </c>
      <c r="BS107" s="22" t="s">
        <v>1318</v>
      </c>
      <c r="BT107" s="22" t="s">
        <v>1309</v>
      </c>
      <c r="BU107" s="22" t="s">
        <v>1309</v>
      </c>
      <c r="BV107" s="22" t="s">
        <v>1317</v>
      </c>
      <c r="BW107" s="22" t="s">
        <v>1318</v>
      </c>
      <c r="BX107" s="20">
        <v>50</v>
      </c>
      <c r="BY107" s="20">
        <v>0</v>
      </c>
      <c r="BZ107" s="20">
        <v>0</v>
      </c>
      <c r="CA107" s="20">
        <v>1334</v>
      </c>
      <c r="CB107" s="20">
        <v>0</v>
      </c>
      <c r="CC107" s="20">
        <v>0</v>
      </c>
      <c r="CD107" s="22" t="s">
        <v>1331</v>
      </c>
      <c r="CE107" s="22" t="s">
        <v>1331</v>
      </c>
      <c r="CF107" s="22" t="s">
        <v>1331</v>
      </c>
      <c r="CG107" s="22" t="s">
        <v>1331</v>
      </c>
      <c r="CH107" s="22" t="s">
        <v>1315</v>
      </c>
      <c r="CI107" s="22" t="s">
        <v>1315</v>
      </c>
      <c r="CJ107" s="149" t="s">
        <v>1124</v>
      </c>
      <c r="CK107" s="241" t="s">
        <v>1593</v>
      </c>
    </row>
    <row r="108" spans="1:89" ht="15" customHeight="1" x14ac:dyDescent="0.35">
      <c r="A108" s="17"/>
      <c r="B108" s="313">
        <v>41020</v>
      </c>
      <c r="C108" s="8" t="s">
        <v>366</v>
      </c>
      <c r="D108" s="18">
        <v>5</v>
      </c>
      <c r="E108" s="131"/>
      <c r="F108" s="22"/>
      <c r="G108" s="132"/>
      <c r="H108" s="22"/>
      <c r="I108" s="22"/>
      <c r="J108" s="22"/>
      <c r="K108" s="22"/>
      <c r="L108" s="22"/>
      <c r="M108" s="133"/>
      <c r="N108" s="22"/>
      <c r="O108" s="22"/>
      <c r="P108" s="22"/>
      <c r="Q108" s="20"/>
      <c r="R108" s="20"/>
      <c r="S108" s="20"/>
      <c r="T108" s="20"/>
      <c r="U108" s="20"/>
      <c r="V108" s="20"/>
      <c r="W108" s="20"/>
      <c r="X108" s="20"/>
      <c r="Y108" s="20"/>
      <c r="Z108" s="20"/>
      <c r="AA108" s="20"/>
      <c r="AB108" s="22"/>
      <c r="AC108" s="20"/>
      <c r="AD108" s="20"/>
      <c r="AE108" s="20"/>
      <c r="AF108" s="20" t="s">
        <v>1124</v>
      </c>
      <c r="AG108" s="20" t="s">
        <v>1124</v>
      </c>
      <c r="AH108" s="20" t="s">
        <v>1124</v>
      </c>
      <c r="AI108" s="328"/>
      <c r="AJ108" s="328"/>
      <c r="AK108" s="328"/>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0"/>
      <c r="BY108" s="20"/>
      <c r="BZ108" s="20"/>
      <c r="CA108" s="20"/>
      <c r="CB108" s="20"/>
      <c r="CC108" s="20"/>
      <c r="CD108" s="22"/>
      <c r="CE108" s="22"/>
      <c r="CF108" s="22"/>
      <c r="CG108" s="22"/>
      <c r="CH108" s="22"/>
      <c r="CI108" s="22"/>
      <c r="CJ108" s="149"/>
      <c r="CK108" s="241"/>
    </row>
    <row r="109" spans="1:89" ht="15" customHeight="1" x14ac:dyDescent="0.35">
      <c r="A109" s="17"/>
      <c r="B109" s="313">
        <v>67050</v>
      </c>
      <c r="C109" s="8" t="s">
        <v>671</v>
      </c>
      <c r="D109" s="18">
        <v>16</v>
      </c>
      <c r="E109" s="131" t="s">
        <v>1309</v>
      </c>
      <c r="F109" s="22" t="s">
        <v>1490</v>
      </c>
      <c r="G109" s="132" t="s">
        <v>1309</v>
      </c>
      <c r="H109" s="22" t="s">
        <v>1311</v>
      </c>
      <c r="I109" s="22" t="s">
        <v>1327</v>
      </c>
      <c r="J109" s="22" t="s">
        <v>1327</v>
      </c>
      <c r="K109" s="22" t="s">
        <v>1309</v>
      </c>
      <c r="L109" s="22" t="s">
        <v>1311</v>
      </c>
      <c r="M109" s="133" t="s">
        <v>1311</v>
      </c>
      <c r="N109" s="22" t="s">
        <v>1311</v>
      </c>
      <c r="O109" s="22" t="s">
        <v>1319</v>
      </c>
      <c r="P109" s="22" t="s">
        <v>1311</v>
      </c>
      <c r="Q109" s="20">
        <v>0</v>
      </c>
      <c r="R109" s="20">
        <v>0</v>
      </c>
      <c r="S109" s="20">
        <v>0</v>
      </c>
      <c r="T109" s="20">
        <v>0</v>
      </c>
      <c r="U109" s="20">
        <v>542</v>
      </c>
      <c r="V109" s="20">
        <v>542</v>
      </c>
      <c r="W109" s="20">
        <v>0</v>
      </c>
      <c r="X109" s="20">
        <v>0</v>
      </c>
      <c r="Y109" s="20">
        <v>0</v>
      </c>
      <c r="Z109" s="20">
        <v>0</v>
      </c>
      <c r="AA109" s="20" t="s">
        <v>1317</v>
      </c>
      <c r="AB109" s="22" t="s">
        <v>1311</v>
      </c>
      <c r="AC109" s="20">
        <v>55</v>
      </c>
      <c r="AD109" s="20">
        <v>0</v>
      </c>
      <c r="AE109" s="20">
        <v>0</v>
      </c>
      <c r="AF109" s="20">
        <v>1</v>
      </c>
      <c r="AG109" s="20">
        <v>0</v>
      </c>
      <c r="AH109" s="20">
        <v>0</v>
      </c>
      <c r="AI109" s="328">
        <v>20.29520295202952</v>
      </c>
      <c r="AJ109" s="328" t="s">
        <v>1328</v>
      </c>
      <c r="AK109" s="328" t="s">
        <v>1328</v>
      </c>
      <c r="AL109" s="22" t="s">
        <v>1329</v>
      </c>
      <c r="AM109" s="22" t="s">
        <v>1330</v>
      </c>
      <c r="AN109" s="22" t="s">
        <v>1319</v>
      </c>
      <c r="AO109" s="22" t="s">
        <v>1311</v>
      </c>
      <c r="AP109" s="22" t="s">
        <v>1318</v>
      </c>
      <c r="AQ109" s="22" t="s">
        <v>1313</v>
      </c>
      <c r="AR109" s="22" t="s">
        <v>1317</v>
      </c>
      <c r="AS109" s="22" t="s">
        <v>1311</v>
      </c>
      <c r="AT109" s="22" t="s">
        <v>1317</v>
      </c>
      <c r="AU109" s="22" t="s">
        <v>1311</v>
      </c>
      <c r="AV109" s="22" t="s">
        <v>1317</v>
      </c>
      <c r="AW109" s="22" t="s">
        <v>1318</v>
      </c>
      <c r="AX109" s="22" t="s">
        <v>1317</v>
      </c>
      <c r="AY109" s="22" t="s">
        <v>1318</v>
      </c>
      <c r="AZ109" s="22" t="s">
        <v>1317</v>
      </c>
      <c r="BA109" s="22" t="s">
        <v>1311</v>
      </c>
      <c r="BB109" s="22" t="s">
        <v>1309</v>
      </c>
      <c r="BC109" s="22" t="s">
        <v>1309</v>
      </c>
      <c r="BD109" s="22" t="s">
        <v>1309</v>
      </c>
      <c r="BE109" s="22" t="s">
        <v>1309</v>
      </c>
      <c r="BF109" s="22" t="s">
        <v>1317</v>
      </c>
      <c r="BG109" s="22" t="s">
        <v>1311</v>
      </c>
      <c r="BH109" s="22" t="s">
        <v>1309</v>
      </c>
      <c r="BI109" s="22" t="s">
        <v>1309</v>
      </c>
      <c r="BJ109" s="22" t="s">
        <v>1317</v>
      </c>
      <c r="BK109" s="22" t="s">
        <v>1311</v>
      </c>
      <c r="BL109" s="22" t="s">
        <v>1317</v>
      </c>
      <c r="BM109" s="22" t="s">
        <v>1311</v>
      </c>
      <c r="BN109" s="22" t="s">
        <v>1309</v>
      </c>
      <c r="BO109" s="22" t="s">
        <v>1309</v>
      </c>
      <c r="BP109" s="22" t="s">
        <v>1309</v>
      </c>
      <c r="BQ109" s="22" t="s">
        <v>1309</v>
      </c>
      <c r="BR109" s="22" t="s">
        <v>1309</v>
      </c>
      <c r="BS109" s="22" t="s">
        <v>1309</v>
      </c>
      <c r="BT109" s="22" t="s">
        <v>1319</v>
      </c>
      <c r="BU109" s="22" t="s">
        <v>1311</v>
      </c>
      <c r="BV109" s="22" t="s">
        <v>1317</v>
      </c>
      <c r="BW109" s="22" t="s">
        <v>1318</v>
      </c>
      <c r="BX109" s="20">
        <v>279</v>
      </c>
      <c r="BY109" s="20">
        <v>0</v>
      </c>
      <c r="BZ109" s="20">
        <v>67</v>
      </c>
      <c r="CA109" s="20">
        <v>0</v>
      </c>
      <c r="CB109" s="20">
        <v>0</v>
      </c>
      <c r="CC109" s="20">
        <v>15512</v>
      </c>
      <c r="CD109" s="22" t="s">
        <v>1317</v>
      </c>
      <c r="CE109" s="22" t="s">
        <v>1340</v>
      </c>
      <c r="CF109" s="22" t="s">
        <v>1317</v>
      </c>
      <c r="CG109" s="22" t="s">
        <v>1340</v>
      </c>
      <c r="CH109" s="22" t="s">
        <v>1317</v>
      </c>
      <c r="CI109" s="22" t="s">
        <v>1318</v>
      </c>
      <c r="CJ109" s="149" t="s">
        <v>1124</v>
      </c>
      <c r="CK109" s="241" t="s">
        <v>1597</v>
      </c>
    </row>
    <row r="110" spans="1:89" ht="15" customHeight="1" x14ac:dyDescent="0.35">
      <c r="A110" s="17"/>
      <c r="B110" s="313">
        <v>21035</v>
      </c>
      <c r="C110" s="8" t="s">
        <v>150</v>
      </c>
      <c r="D110" s="18">
        <v>3</v>
      </c>
      <c r="E110" s="131" t="s">
        <v>1309</v>
      </c>
      <c r="F110" s="22" t="s">
        <v>1309</v>
      </c>
      <c r="G110" s="132" t="s">
        <v>1309</v>
      </c>
      <c r="H110" s="22" t="s">
        <v>1311</v>
      </c>
      <c r="I110" s="22" t="s">
        <v>1327</v>
      </c>
      <c r="J110" s="22" t="s">
        <v>1327</v>
      </c>
      <c r="K110" s="22" t="s">
        <v>1309</v>
      </c>
      <c r="L110" s="22" t="s">
        <v>1309</v>
      </c>
      <c r="M110" s="133" t="s">
        <v>1311</v>
      </c>
      <c r="N110" s="22" t="s">
        <v>1311</v>
      </c>
      <c r="O110" s="22" t="s">
        <v>1315</v>
      </c>
      <c r="P110" s="22" t="s">
        <v>1315</v>
      </c>
      <c r="Q110" s="20">
        <v>0</v>
      </c>
      <c r="R110" s="20">
        <v>0</v>
      </c>
      <c r="S110" s="20">
        <v>0</v>
      </c>
      <c r="T110" s="20">
        <v>0</v>
      </c>
      <c r="U110" s="20">
        <v>40.799999999999997</v>
      </c>
      <c r="V110" s="20">
        <v>40.799999999999997</v>
      </c>
      <c r="W110" s="20">
        <v>0</v>
      </c>
      <c r="X110" s="20">
        <v>0</v>
      </c>
      <c r="Y110" s="20">
        <v>0</v>
      </c>
      <c r="Z110" s="20">
        <v>0</v>
      </c>
      <c r="AA110" s="20" t="s">
        <v>1319</v>
      </c>
      <c r="AB110" s="22" t="s">
        <v>1311</v>
      </c>
      <c r="AC110" s="20">
        <v>0</v>
      </c>
      <c r="AD110" s="20">
        <v>1</v>
      </c>
      <c r="AE110" s="20">
        <v>0</v>
      </c>
      <c r="AF110" s="20">
        <v>0</v>
      </c>
      <c r="AG110" s="20">
        <v>1</v>
      </c>
      <c r="AH110" s="20">
        <v>0</v>
      </c>
      <c r="AI110" s="328" t="s">
        <v>1328</v>
      </c>
      <c r="AJ110" s="328">
        <v>0.49950049950049952</v>
      </c>
      <c r="AK110" s="328" t="s">
        <v>1328</v>
      </c>
      <c r="AL110" s="22" t="s">
        <v>1329</v>
      </c>
      <c r="AM110" s="22" t="s">
        <v>1330</v>
      </c>
      <c r="AN110" s="22" t="s">
        <v>1317</v>
      </c>
      <c r="AO110" s="22" t="s">
        <v>1318</v>
      </c>
      <c r="AP110" s="22" t="s">
        <v>1318</v>
      </c>
      <c r="AQ110" s="22" t="s">
        <v>1318</v>
      </c>
      <c r="AR110" s="22" t="s">
        <v>1317</v>
      </c>
      <c r="AS110" s="22" t="s">
        <v>1318</v>
      </c>
      <c r="AT110" s="22" t="s">
        <v>1317</v>
      </c>
      <c r="AU110" s="22" t="s">
        <v>1318</v>
      </c>
      <c r="AV110" s="22" t="s">
        <v>1317</v>
      </c>
      <c r="AW110" s="22" t="s">
        <v>1318</v>
      </c>
      <c r="AX110" s="22" t="s">
        <v>1317</v>
      </c>
      <c r="AY110" s="22" t="s">
        <v>1318</v>
      </c>
      <c r="AZ110" s="22" t="s">
        <v>1309</v>
      </c>
      <c r="BA110" s="22" t="s">
        <v>1311</v>
      </c>
      <c r="BB110" s="22" t="s">
        <v>1309</v>
      </c>
      <c r="BC110" s="22" t="s">
        <v>1311</v>
      </c>
      <c r="BD110" s="22" t="s">
        <v>1317</v>
      </c>
      <c r="BE110" s="22" t="s">
        <v>1318</v>
      </c>
      <c r="BF110" s="22" t="s">
        <v>1317</v>
      </c>
      <c r="BG110" s="22" t="s">
        <v>1318</v>
      </c>
      <c r="BH110" s="22" t="s">
        <v>1317</v>
      </c>
      <c r="BI110" s="22" t="s">
        <v>1318</v>
      </c>
      <c r="BJ110" s="22" t="s">
        <v>1319</v>
      </c>
      <c r="BK110" s="22" t="s">
        <v>1311</v>
      </c>
      <c r="BL110" s="22" t="s">
        <v>1319</v>
      </c>
      <c r="BM110" s="22" t="s">
        <v>1311</v>
      </c>
      <c r="BN110" s="22" t="s">
        <v>1309</v>
      </c>
      <c r="BO110" s="22" t="s">
        <v>1309</v>
      </c>
      <c r="BP110" s="22" t="s">
        <v>1319</v>
      </c>
      <c r="BQ110" s="22" t="s">
        <v>1309</v>
      </c>
      <c r="BR110" s="22" t="s">
        <v>1319</v>
      </c>
      <c r="BS110" s="22" t="s">
        <v>1311</v>
      </c>
      <c r="BT110" s="22" t="s">
        <v>1309</v>
      </c>
      <c r="BU110" s="22" t="s">
        <v>1309</v>
      </c>
      <c r="BV110" s="22" t="s">
        <v>1317</v>
      </c>
      <c r="BW110" s="22" t="s">
        <v>1318</v>
      </c>
      <c r="BX110" s="20">
        <v>0</v>
      </c>
      <c r="BY110" s="20">
        <v>0</v>
      </c>
      <c r="BZ110" s="20">
        <v>98</v>
      </c>
      <c r="CA110" s="20">
        <v>0</v>
      </c>
      <c r="CB110" s="20">
        <v>0</v>
      </c>
      <c r="CC110" s="20">
        <v>1841</v>
      </c>
      <c r="CD110" s="22" t="s">
        <v>1317</v>
      </c>
      <c r="CE110" s="22" t="s">
        <v>1318</v>
      </c>
      <c r="CF110" s="22" t="s">
        <v>1317</v>
      </c>
      <c r="CG110" s="22" t="s">
        <v>1318</v>
      </c>
      <c r="CH110" s="22" t="s">
        <v>1317</v>
      </c>
      <c r="CI110" s="22" t="s">
        <v>1318</v>
      </c>
      <c r="CJ110" s="149" t="s">
        <v>1124</v>
      </c>
      <c r="CK110" s="241" t="s">
        <v>1600</v>
      </c>
    </row>
    <row r="111" spans="1:89" ht="15" customHeight="1" x14ac:dyDescent="0.35">
      <c r="A111" s="17"/>
      <c r="B111" s="313">
        <v>87095</v>
      </c>
      <c r="C111" s="8" t="s">
        <v>905</v>
      </c>
      <c r="D111" s="18">
        <v>8</v>
      </c>
      <c r="E111" s="131"/>
      <c r="F111" s="22"/>
      <c r="G111" s="132"/>
      <c r="H111" s="22"/>
      <c r="I111" s="22"/>
      <c r="J111" s="22"/>
      <c r="K111" s="22"/>
      <c r="L111" s="22"/>
      <c r="M111" s="133"/>
      <c r="N111" s="22"/>
      <c r="O111" s="22"/>
      <c r="P111" s="22"/>
      <c r="Q111" s="20"/>
      <c r="R111" s="20"/>
      <c r="S111" s="20"/>
      <c r="T111" s="20"/>
      <c r="U111" s="20"/>
      <c r="V111" s="20"/>
      <c r="W111" s="20"/>
      <c r="X111" s="20"/>
      <c r="Y111" s="20"/>
      <c r="Z111" s="20"/>
      <c r="AA111" s="20"/>
      <c r="AB111" s="22"/>
      <c r="AC111" s="20"/>
      <c r="AD111" s="20"/>
      <c r="AE111" s="20"/>
      <c r="AF111" s="20" t="s">
        <v>1124</v>
      </c>
      <c r="AG111" s="20" t="s">
        <v>1124</v>
      </c>
      <c r="AH111" s="20" t="s">
        <v>1124</v>
      </c>
      <c r="AI111" s="328"/>
      <c r="AJ111" s="328"/>
      <c r="AK111" s="328"/>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0"/>
      <c r="BY111" s="20"/>
      <c r="BZ111" s="20"/>
      <c r="CA111" s="20"/>
      <c r="CB111" s="20"/>
      <c r="CC111" s="20"/>
      <c r="CD111" s="22"/>
      <c r="CE111" s="22"/>
      <c r="CF111" s="22"/>
      <c r="CG111" s="22"/>
      <c r="CH111" s="22"/>
      <c r="CI111" s="22"/>
      <c r="CJ111" s="149"/>
      <c r="CK111" s="241"/>
    </row>
    <row r="112" spans="1:89" ht="15" customHeight="1" x14ac:dyDescent="0.35">
      <c r="A112" s="17"/>
      <c r="B112" s="313">
        <v>82025</v>
      </c>
      <c r="C112" s="8" t="s">
        <v>832</v>
      </c>
      <c r="D112" s="18">
        <v>7</v>
      </c>
      <c r="E112" s="131" t="s">
        <v>1319</v>
      </c>
      <c r="F112" s="22" t="s">
        <v>1490</v>
      </c>
      <c r="G112" s="132" t="s">
        <v>1309</v>
      </c>
      <c r="H112" s="22" t="s">
        <v>1311</v>
      </c>
      <c r="I112" s="22" t="s">
        <v>1327</v>
      </c>
      <c r="J112" s="22" t="s">
        <v>1327</v>
      </c>
      <c r="K112" s="22" t="s">
        <v>1314</v>
      </c>
      <c r="L112" s="22" t="s">
        <v>1311</v>
      </c>
      <c r="M112" s="133" t="s">
        <v>1311</v>
      </c>
      <c r="N112" s="22" t="s">
        <v>1311</v>
      </c>
      <c r="O112" s="22" t="s">
        <v>1309</v>
      </c>
      <c r="P112" s="22" t="s">
        <v>1309</v>
      </c>
      <c r="Q112" s="20">
        <v>0</v>
      </c>
      <c r="R112" s="20">
        <v>0</v>
      </c>
      <c r="S112" s="20">
        <v>6</v>
      </c>
      <c r="T112" s="20">
        <v>6</v>
      </c>
      <c r="U112" s="20">
        <v>6</v>
      </c>
      <c r="V112" s="20">
        <v>6</v>
      </c>
      <c r="W112" s="20">
        <v>0</v>
      </c>
      <c r="X112" s="20">
        <v>4</v>
      </c>
      <c r="Y112" s="20">
        <v>0</v>
      </c>
      <c r="Z112" s="20">
        <v>0</v>
      </c>
      <c r="AA112" s="20" t="s">
        <v>1319</v>
      </c>
      <c r="AB112" s="22" t="s">
        <v>1311</v>
      </c>
      <c r="AC112" s="20">
        <v>0</v>
      </c>
      <c r="AD112" s="20">
        <v>0</v>
      </c>
      <c r="AE112" s="20">
        <v>1</v>
      </c>
      <c r="AF112" s="20">
        <v>0</v>
      </c>
      <c r="AG112" s="20">
        <v>0</v>
      </c>
      <c r="AH112" s="20">
        <v>2</v>
      </c>
      <c r="AI112" s="328" t="s">
        <v>1328</v>
      </c>
      <c r="AJ112" s="328" t="s">
        <v>1328</v>
      </c>
      <c r="AK112" s="328">
        <v>6.1349693251533743</v>
      </c>
      <c r="AL112" s="22" t="s">
        <v>1329</v>
      </c>
      <c r="AM112" s="22" t="s">
        <v>1330</v>
      </c>
      <c r="AN112" s="22" t="s">
        <v>1315</v>
      </c>
      <c r="AO112" s="22" t="s">
        <v>1315</v>
      </c>
      <c r="AP112" s="22" t="s">
        <v>1318</v>
      </c>
      <c r="AQ112" s="22" t="s">
        <v>1318</v>
      </c>
      <c r="AR112" s="22" t="s">
        <v>1317</v>
      </c>
      <c r="AS112" s="22" t="s">
        <v>1317</v>
      </c>
      <c r="AT112" s="22" t="s">
        <v>1317</v>
      </c>
      <c r="AU112" s="22" t="s">
        <v>1317</v>
      </c>
      <c r="AV112" s="22" t="s">
        <v>1317</v>
      </c>
      <c r="AW112" s="22" t="s">
        <v>1317</v>
      </c>
      <c r="AX112" s="22" t="s">
        <v>1309</v>
      </c>
      <c r="AY112" s="22" t="s">
        <v>1309</v>
      </c>
      <c r="AZ112" s="22" t="s">
        <v>1309</v>
      </c>
      <c r="BA112" s="22" t="s">
        <v>1309</v>
      </c>
      <c r="BB112" s="22" t="s">
        <v>1309</v>
      </c>
      <c r="BC112" s="22" t="s">
        <v>1309</v>
      </c>
      <c r="BD112" s="22" t="s">
        <v>1309</v>
      </c>
      <c r="BE112" s="22" t="s">
        <v>1309</v>
      </c>
      <c r="BF112" s="22" t="s">
        <v>1309</v>
      </c>
      <c r="BG112" s="22" t="s">
        <v>1309</v>
      </c>
      <c r="BH112" s="22" t="s">
        <v>1317</v>
      </c>
      <c r="BI112" s="22" t="s">
        <v>1318</v>
      </c>
      <c r="BJ112" s="22" t="s">
        <v>1319</v>
      </c>
      <c r="BK112" s="22" t="s">
        <v>1311</v>
      </c>
      <c r="BL112" s="22" t="s">
        <v>1319</v>
      </c>
      <c r="BM112" s="22" t="s">
        <v>1311</v>
      </c>
      <c r="BN112" s="22" t="s">
        <v>1317</v>
      </c>
      <c r="BO112" s="22" t="s">
        <v>1317</v>
      </c>
      <c r="BP112" s="22" t="s">
        <v>1317</v>
      </c>
      <c r="BQ112" s="22" t="s">
        <v>1317</v>
      </c>
      <c r="BR112" s="22" t="s">
        <v>1319</v>
      </c>
      <c r="BS112" s="22" t="s">
        <v>1309</v>
      </c>
      <c r="BT112" s="22" t="s">
        <v>1319</v>
      </c>
      <c r="BU112" s="22" t="s">
        <v>1315</v>
      </c>
      <c r="BV112" s="22" t="s">
        <v>1309</v>
      </c>
      <c r="BW112" s="22" t="s">
        <v>1309</v>
      </c>
      <c r="BX112" s="20">
        <v>59</v>
      </c>
      <c r="BY112" s="20">
        <v>0</v>
      </c>
      <c r="BZ112" s="20">
        <v>0</v>
      </c>
      <c r="CA112" s="20">
        <v>0</v>
      </c>
      <c r="CB112" s="20">
        <v>104</v>
      </c>
      <c r="CC112" s="20">
        <v>0</v>
      </c>
      <c r="CD112" s="22" t="s">
        <v>1331</v>
      </c>
      <c r="CE112" s="22" t="s">
        <v>1331</v>
      </c>
      <c r="CF112" s="22" t="s">
        <v>1331</v>
      </c>
      <c r="CG112" s="22" t="s">
        <v>1331</v>
      </c>
      <c r="CH112" s="22" t="s">
        <v>1317</v>
      </c>
      <c r="CI112" s="22" t="s">
        <v>1318</v>
      </c>
      <c r="CJ112" s="149" t="s">
        <v>1604</v>
      </c>
      <c r="CK112" s="241" t="s">
        <v>1124</v>
      </c>
    </row>
    <row r="113" spans="1:89" ht="15" customHeight="1" x14ac:dyDescent="0.35">
      <c r="A113" s="17"/>
      <c r="B113" s="313">
        <v>80103</v>
      </c>
      <c r="C113" s="8" t="s">
        <v>819</v>
      </c>
      <c r="D113" s="18">
        <v>7</v>
      </c>
      <c r="E113" s="131" t="s">
        <v>1309</v>
      </c>
      <c r="F113" s="22" t="s">
        <v>1309</v>
      </c>
      <c r="G113" s="132" t="s">
        <v>1309</v>
      </c>
      <c r="H113" s="22" t="s">
        <v>1311</v>
      </c>
      <c r="I113" s="22" t="s">
        <v>1327</v>
      </c>
      <c r="J113" s="22" t="s">
        <v>1327</v>
      </c>
      <c r="K113" s="22" t="s">
        <v>1309</v>
      </c>
      <c r="L113" s="22" t="s">
        <v>1309</v>
      </c>
      <c r="M113" s="133" t="s">
        <v>1311</v>
      </c>
      <c r="N113" s="22" t="s">
        <v>1311</v>
      </c>
      <c r="O113" s="22" t="s">
        <v>1315</v>
      </c>
      <c r="P113" s="22" t="s">
        <v>1315</v>
      </c>
      <c r="Q113" s="20">
        <v>0</v>
      </c>
      <c r="R113" s="20">
        <v>0</v>
      </c>
      <c r="S113" s="20">
        <v>0</v>
      </c>
      <c r="T113" s="20">
        <v>0</v>
      </c>
      <c r="U113" s="20">
        <v>0</v>
      </c>
      <c r="V113" s="20">
        <v>10.965</v>
      </c>
      <c r="W113" s="20">
        <v>0</v>
      </c>
      <c r="X113" s="20">
        <v>0</v>
      </c>
      <c r="Y113" s="20">
        <v>0</v>
      </c>
      <c r="Z113" s="20">
        <v>0</v>
      </c>
      <c r="AA113" s="20" t="s">
        <v>1317</v>
      </c>
      <c r="AB113" s="22" t="s">
        <v>1311</v>
      </c>
      <c r="AC113" s="20">
        <v>1</v>
      </c>
      <c r="AD113" s="20">
        <v>0</v>
      </c>
      <c r="AE113" s="20">
        <v>5</v>
      </c>
      <c r="AF113" s="20">
        <v>14</v>
      </c>
      <c r="AG113" s="20">
        <v>0</v>
      </c>
      <c r="AH113" s="20">
        <v>4</v>
      </c>
      <c r="AI113" s="328">
        <v>9.1199270405836756</v>
      </c>
      <c r="AJ113" s="328" t="s">
        <v>1328</v>
      </c>
      <c r="AK113" s="328">
        <v>14.705882352941176</v>
      </c>
      <c r="AL113" s="22" t="s">
        <v>1338</v>
      </c>
      <c r="AM113" s="22" t="s">
        <v>1339</v>
      </c>
      <c r="AN113" s="22" t="s">
        <v>1315</v>
      </c>
      <c r="AO113" s="22" t="s">
        <v>1315</v>
      </c>
      <c r="AP113" s="22" t="s">
        <v>1315</v>
      </c>
      <c r="AQ113" s="22" t="s">
        <v>1315</v>
      </c>
      <c r="AR113" s="22" t="s">
        <v>1317</v>
      </c>
      <c r="AS113" s="22" t="s">
        <v>1318</v>
      </c>
      <c r="AT113" s="22" t="s">
        <v>1317</v>
      </c>
      <c r="AU113" s="22" t="s">
        <v>1318</v>
      </c>
      <c r="AV113" s="22" t="s">
        <v>1317</v>
      </c>
      <c r="AW113" s="22" t="s">
        <v>1318</v>
      </c>
      <c r="AX113" s="22" t="s">
        <v>1317</v>
      </c>
      <c r="AY113" s="22" t="s">
        <v>1318</v>
      </c>
      <c r="AZ113" s="22" t="s">
        <v>1317</v>
      </c>
      <c r="BA113" s="22" t="s">
        <v>1318</v>
      </c>
      <c r="BB113" s="22" t="s">
        <v>1309</v>
      </c>
      <c r="BC113" s="22" t="s">
        <v>1309</v>
      </c>
      <c r="BD113" s="22" t="s">
        <v>1315</v>
      </c>
      <c r="BE113" s="22" t="s">
        <v>1315</v>
      </c>
      <c r="BF113" s="22" t="s">
        <v>1315</v>
      </c>
      <c r="BG113" s="22" t="s">
        <v>1315</v>
      </c>
      <c r="BH113" s="22" t="s">
        <v>1309</v>
      </c>
      <c r="BI113" s="22" t="s">
        <v>1309</v>
      </c>
      <c r="BJ113" s="22" t="s">
        <v>1309</v>
      </c>
      <c r="BK113" s="22" t="s">
        <v>1309</v>
      </c>
      <c r="BL113" s="22" t="s">
        <v>1319</v>
      </c>
      <c r="BM113" s="22" t="s">
        <v>1311</v>
      </c>
      <c r="BN113" s="22" t="s">
        <v>1309</v>
      </c>
      <c r="BO113" s="22" t="s">
        <v>1309</v>
      </c>
      <c r="BP113" s="22" t="s">
        <v>1315</v>
      </c>
      <c r="BQ113" s="22" t="s">
        <v>1315</v>
      </c>
      <c r="BR113" s="22" t="s">
        <v>1309</v>
      </c>
      <c r="BS113" s="22" t="s">
        <v>1309</v>
      </c>
      <c r="BT113" s="22" t="s">
        <v>1309</v>
      </c>
      <c r="BU113" s="22" t="s">
        <v>1309</v>
      </c>
      <c r="BV113" s="22" t="s">
        <v>1309</v>
      </c>
      <c r="BW113" s="22" t="s">
        <v>1309</v>
      </c>
      <c r="BX113" s="20">
        <v>0</v>
      </c>
      <c r="BY113" s="20">
        <v>3</v>
      </c>
      <c r="BZ113" s="20">
        <v>81</v>
      </c>
      <c r="CA113" s="20">
        <v>0</v>
      </c>
      <c r="CB113" s="20">
        <v>0</v>
      </c>
      <c r="CC113" s="20">
        <v>256</v>
      </c>
      <c r="CD113" s="22" t="s">
        <v>1317</v>
      </c>
      <c r="CE113" s="22" t="s">
        <v>1340</v>
      </c>
      <c r="CF113" s="22" t="s">
        <v>1317</v>
      </c>
      <c r="CG113" s="22" t="s">
        <v>1340</v>
      </c>
      <c r="CH113" s="22" t="s">
        <v>1317</v>
      </c>
      <c r="CI113" s="22" t="s">
        <v>1318</v>
      </c>
      <c r="CJ113" s="149" t="s">
        <v>1608</v>
      </c>
      <c r="CK113" s="241" t="s">
        <v>1609</v>
      </c>
    </row>
    <row r="114" spans="1:89" ht="15" customHeight="1" x14ac:dyDescent="0.35">
      <c r="A114" s="17"/>
      <c r="B114" s="313">
        <v>62047</v>
      </c>
      <c r="C114" s="8" t="s">
        <v>625</v>
      </c>
      <c r="D114" s="18">
        <v>14</v>
      </c>
      <c r="E114" s="131" t="s">
        <v>1309</v>
      </c>
      <c r="F114" s="22" t="s">
        <v>1310</v>
      </c>
      <c r="G114" s="132" t="s">
        <v>1309</v>
      </c>
      <c r="H114" s="22" t="s">
        <v>1311</v>
      </c>
      <c r="I114" s="22" t="s">
        <v>1327</v>
      </c>
      <c r="J114" s="22" t="s">
        <v>1327</v>
      </c>
      <c r="K114" s="22" t="s">
        <v>1309</v>
      </c>
      <c r="L114" s="22" t="s">
        <v>1309</v>
      </c>
      <c r="M114" s="133" t="s">
        <v>1311</v>
      </c>
      <c r="N114" s="22" t="s">
        <v>1311</v>
      </c>
      <c r="O114" s="22" t="s">
        <v>1314</v>
      </c>
      <c r="P114" s="22" t="s">
        <v>1311</v>
      </c>
      <c r="Q114" s="20">
        <v>0</v>
      </c>
      <c r="R114" s="20">
        <v>0</v>
      </c>
      <c r="S114" s="20">
        <v>0</v>
      </c>
      <c r="T114" s="20">
        <v>0</v>
      </c>
      <c r="U114" s="20">
        <v>5.5</v>
      </c>
      <c r="V114" s="20">
        <v>5.6</v>
      </c>
      <c r="W114" s="20">
        <v>0</v>
      </c>
      <c r="X114" s="20">
        <v>0</v>
      </c>
      <c r="Y114" s="20">
        <v>0</v>
      </c>
      <c r="Z114" s="20">
        <v>0</v>
      </c>
      <c r="AA114" s="20" t="s">
        <v>1309</v>
      </c>
      <c r="AB114" s="22" t="s">
        <v>1309</v>
      </c>
      <c r="AC114" s="20">
        <v>0</v>
      </c>
      <c r="AD114" s="20">
        <v>0</v>
      </c>
      <c r="AE114" s="20">
        <v>0</v>
      </c>
      <c r="AF114" s="20">
        <v>0</v>
      </c>
      <c r="AG114" s="20">
        <v>0</v>
      </c>
      <c r="AH114" s="20">
        <v>0</v>
      </c>
      <c r="AI114" s="328" t="s">
        <v>1328</v>
      </c>
      <c r="AJ114" s="328" t="s">
        <v>1328</v>
      </c>
      <c r="AK114" s="328" t="s">
        <v>1328</v>
      </c>
      <c r="AL114" s="22" t="s">
        <v>1329</v>
      </c>
      <c r="AM114" s="22" t="s">
        <v>1330</v>
      </c>
      <c r="AN114" s="22" t="s">
        <v>1317</v>
      </c>
      <c r="AO114" s="22" t="s">
        <v>1311</v>
      </c>
      <c r="AP114" s="22" t="s">
        <v>1318</v>
      </c>
      <c r="AQ114" s="22" t="s">
        <v>1318</v>
      </c>
      <c r="AR114" s="22" t="s">
        <v>1317</v>
      </c>
      <c r="AS114" s="22" t="s">
        <v>1318</v>
      </c>
      <c r="AT114" s="22" t="s">
        <v>1317</v>
      </c>
      <c r="AU114" s="22" t="s">
        <v>1318</v>
      </c>
      <c r="AV114" s="22" t="s">
        <v>1317</v>
      </c>
      <c r="AW114" s="22" t="s">
        <v>1311</v>
      </c>
      <c r="AX114" s="22" t="s">
        <v>1317</v>
      </c>
      <c r="AY114" s="22" t="s">
        <v>1318</v>
      </c>
      <c r="AZ114" s="22" t="s">
        <v>1319</v>
      </c>
      <c r="BA114" s="22" t="s">
        <v>1311</v>
      </c>
      <c r="BB114" s="22" t="s">
        <v>1309</v>
      </c>
      <c r="BC114" s="22" t="s">
        <v>1311</v>
      </c>
      <c r="BD114" s="22" t="s">
        <v>1317</v>
      </c>
      <c r="BE114" s="22" t="s">
        <v>1318</v>
      </c>
      <c r="BF114" s="22" t="s">
        <v>1317</v>
      </c>
      <c r="BG114" s="22" t="s">
        <v>1311</v>
      </c>
      <c r="BH114" s="22" t="s">
        <v>1309</v>
      </c>
      <c r="BI114" s="22" t="s">
        <v>1309</v>
      </c>
      <c r="BJ114" s="22" t="s">
        <v>1309</v>
      </c>
      <c r="BK114" s="22" t="s">
        <v>1311</v>
      </c>
      <c r="BL114" s="22" t="s">
        <v>1309</v>
      </c>
      <c r="BM114" s="22" t="s">
        <v>1311</v>
      </c>
      <c r="BN114" s="22" t="s">
        <v>1317</v>
      </c>
      <c r="BO114" s="22" t="s">
        <v>1318</v>
      </c>
      <c r="BP114" s="22" t="s">
        <v>1317</v>
      </c>
      <c r="BQ114" s="22" t="s">
        <v>1318</v>
      </c>
      <c r="BR114" s="22" t="s">
        <v>1309</v>
      </c>
      <c r="BS114" s="22" t="s">
        <v>1309</v>
      </c>
      <c r="BT114" s="22" t="s">
        <v>1317</v>
      </c>
      <c r="BU114" s="22" t="s">
        <v>1318</v>
      </c>
      <c r="BV114" s="22" t="s">
        <v>1317</v>
      </c>
      <c r="BW114" s="22" t="s">
        <v>1318</v>
      </c>
      <c r="BX114" s="20">
        <v>0</v>
      </c>
      <c r="BY114" s="20">
        <v>0</v>
      </c>
      <c r="BZ114" s="20">
        <v>37</v>
      </c>
      <c r="CA114" s="20">
        <v>0</v>
      </c>
      <c r="CB114" s="20">
        <v>0</v>
      </c>
      <c r="CC114" s="20">
        <v>153</v>
      </c>
      <c r="CD114" s="22" t="s">
        <v>1317</v>
      </c>
      <c r="CE114" s="22" t="s">
        <v>1340</v>
      </c>
      <c r="CF114" s="22" t="s">
        <v>1317</v>
      </c>
      <c r="CG114" s="22" t="s">
        <v>1340</v>
      </c>
      <c r="CH114" s="22" t="s">
        <v>1317</v>
      </c>
      <c r="CI114" s="22" t="s">
        <v>1318</v>
      </c>
      <c r="CJ114" s="149" t="s">
        <v>1614</v>
      </c>
      <c r="CK114" s="241" t="s">
        <v>1615</v>
      </c>
    </row>
    <row r="115" spans="1:89" ht="15" customHeight="1" x14ac:dyDescent="0.35">
      <c r="A115" s="17"/>
      <c r="B115" s="313">
        <v>39030</v>
      </c>
      <c r="C115" s="8" t="s">
        <v>342</v>
      </c>
      <c r="D115" s="18">
        <v>17</v>
      </c>
      <c r="E115" s="131" t="s">
        <v>1309</v>
      </c>
      <c r="F115" s="22" t="s">
        <v>1309</v>
      </c>
      <c r="G115" s="132" t="s">
        <v>1309</v>
      </c>
      <c r="H115" s="22" t="s">
        <v>1311</v>
      </c>
      <c r="I115" s="22" t="s">
        <v>1327</v>
      </c>
      <c r="J115" s="22" t="s">
        <v>1327</v>
      </c>
      <c r="K115" s="22" t="s">
        <v>1314</v>
      </c>
      <c r="L115" s="22" t="s">
        <v>1311</v>
      </c>
      <c r="M115" s="133" t="s">
        <v>1311</v>
      </c>
      <c r="N115" s="22" t="s">
        <v>1311</v>
      </c>
      <c r="O115" s="22" t="s">
        <v>1309</v>
      </c>
      <c r="P115" s="22" t="s">
        <v>1309</v>
      </c>
      <c r="Q115" s="20">
        <v>0</v>
      </c>
      <c r="R115" s="20">
        <v>0</v>
      </c>
      <c r="S115" s="20">
        <v>0</v>
      </c>
      <c r="T115" s="20">
        <v>0</v>
      </c>
      <c r="U115" s="20">
        <v>0</v>
      </c>
      <c r="V115" s="20">
        <v>0</v>
      </c>
      <c r="W115" s="20">
        <v>0</v>
      </c>
      <c r="X115" s="20">
        <v>0</v>
      </c>
      <c r="Y115" s="20">
        <v>0</v>
      </c>
      <c r="Z115" s="20">
        <v>0</v>
      </c>
      <c r="AA115" s="20" t="s">
        <v>1317</v>
      </c>
      <c r="AB115" s="22" t="s">
        <v>1318</v>
      </c>
      <c r="AC115" s="20">
        <v>1</v>
      </c>
      <c r="AD115" s="20">
        <v>0</v>
      </c>
      <c r="AE115" s="20">
        <v>7</v>
      </c>
      <c r="AF115" s="20">
        <v>1</v>
      </c>
      <c r="AG115" s="20">
        <v>0</v>
      </c>
      <c r="AH115" s="20">
        <v>3</v>
      </c>
      <c r="AI115" s="328">
        <v>22.138587558113791</v>
      </c>
      <c r="AJ115" s="328" t="s">
        <v>1328</v>
      </c>
      <c r="AK115" s="328">
        <v>40.462427745664741</v>
      </c>
      <c r="AL115" s="22" t="s">
        <v>1329</v>
      </c>
      <c r="AM115" s="22" t="s">
        <v>1330</v>
      </c>
      <c r="AN115" s="22" t="s">
        <v>1317</v>
      </c>
      <c r="AO115" s="22" t="s">
        <v>1318</v>
      </c>
      <c r="AP115" s="22" t="s">
        <v>1318</v>
      </c>
      <c r="AQ115" s="22" t="s">
        <v>1318</v>
      </c>
      <c r="AR115" s="22" t="s">
        <v>1317</v>
      </c>
      <c r="AS115" s="22" t="s">
        <v>1318</v>
      </c>
      <c r="AT115" s="22" t="s">
        <v>1317</v>
      </c>
      <c r="AU115" s="22" t="s">
        <v>1318</v>
      </c>
      <c r="AV115" s="22" t="s">
        <v>1317</v>
      </c>
      <c r="AW115" s="22" t="s">
        <v>1318</v>
      </c>
      <c r="AX115" s="22" t="s">
        <v>1317</v>
      </c>
      <c r="AY115" s="22" t="s">
        <v>1318</v>
      </c>
      <c r="AZ115" s="22" t="s">
        <v>1317</v>
      </c>
      <c r="BA115" s="22" t="s">
        <v>1318</v>
      </c>
      <c r="BB115" s="22" t="s">
        <v>1309</v>
      </c>
      <c r="BC115" s="22" t="s">
        <v>1309</v>
      </c>
      <c r="BD115" s="22" t="s">
        <v>1309</v>
      </c>
      <c r="BE115" s="22" t="s">
        <v>1309</v>
      </c>
      <c r="BF115" s="22" t="s">
        <v>1309</v>
      </c>
      <c r="BG115" s="22" t="s">
        <v>1309</v>
      </c>
      <c r="BH115" s="22" t="s">
        <v>1317</v>
      </c>
      <c r="BI115" s="22" t="s">
        <v>1311</v>
      </c>
      <c r="BJ115" s="22" t="s">
        <v>1317</v>
      </c>
      <c r="BK115" s="22" t="s">
        <v>1311</v>
      </c>
      <c r="BL115" s="22" t="s">
        <v>1317</v>
      </c>
      <c r="BM115" s="22" t="s">
        <v>1311</v>
      </c>
      <c r="BN115" s="22" t="s">
        <v>1309</v>
      </c>
      <c r="BO115" s="22" t="s">
        <v>1309</v>
      </c>
      <c r="BP115" s="22" t="s">
        <v>1309</v>
      </c>
      <c r="BQ115" s="22" t="s">
        <v>1309</v>
      </c>
      <c r="BR115" s="22" t="s">
        <v>1309</v>
      </c>
      <c r="BS115" s="22" t="s">
        <v>1311</v>
      </c>
      <c r="BT115" s="22" t="s">
        <v>1317</v>
      </c>
      <c r="BU115" s="22" t="s">
        <v>1318</v>
      </c>
      <c r="BV115" s="22" t="s">
        <v>1317</v>
      </c>
      <c r="BW115" s="22" t="s">
        <v>1318</v>
      </c>
      <c r="BX115" s="20">
        <v>17</v>
      </c>
      <c r="BY115" s="20">
        <v>1</v>
      </c>
      <c r="BZ115" s="20">
        <v>2</v>
      </c>
      <c r="CA115" s="20">
        <v>153</v>
      </c>
      <c r="CB115" s="20">
        <v>0</v>
      </c>
      <c r="CC115" s="20">
        <v>0</v>
      </c>
      <c r="CD115" s="22" t="s">
        <v>1331</v>
      </c>
      <c r="CE115" s="22" t="s">
        <v>1331</v>
      </c>
      <c r="CF115" s="22" t="s">
        <v>1331</v>
      </c>
      <c r="CG115" s="22" t="s">
        <v>1331</v>
      </c>
      <c r="CH115" s="22" t="s">
        <v>1317</v>
      </c>
      <c r="CI115" s="22" t="s">
        <v>1318</v>
      </c>
      <c r="CJ115" s="149" t="s">
        <v>1124</v>
      </c>
      <c r="CK115" s="241" t="s">
        <v>1124</v>
      </c>
    </row>
    <row r="116" spans="1:89" ht="15" customHeight="1" x14ac:dyDescent="0.35">
      <c r="A116" s="17"/>
      <c r="B116" s="313">
        <v>99025</v>
      </c>
      <c r="C116" s="8" t="s">
        <v>1022</v>
      </c>
      <c r="D116" s="18">
        <v>10</v>
      </c>
      <c r="E116" s="131" t="s">
        <v>1309</v>
      </c>
      <c r="F116" s="22" t="s">
        <v>1309</v>
      </c>
      <c r="G116" s="132" t="s">
        <v>1309</v>
      </c>
      <c r="H116" s="22" t="s">
        <v>1311</v>
      </c>
      <c r="I116" s="22" t="s">
        <v>1327</v>
      </c>
      <c r="J116" s="22" t="s">
        <v>1327</v>
      </c>
      <c r="K116" s="22" t="s">
        <v>1314</v>
      </c>
      <c r="L116" s="22" t="s">
        <v>1311</v>
      </c>
      <c r="M116" s="133" t="s">
        <v>1311</v>
      </c>
      <c r="N116" s="22" t="s">
        <v>1311</v>
      </c>
      <c r="O116" s="22" t="s">
        <v>1309</v>
      </c>
      <c r="P116" s="22" t="s">
        <v>1309</v>
      </c>
      <c r="Q116" s="20">
        <v>51.475999999999999</v>
      </c>
      <c r="R116" s="20">
        <v>51.475999999999999</v>
      </c>
      <c r="S116" s="20">
        <v>0</v>
      </c>
      <c r="T116" s="20">
        <v>0</v>
      </c>
      <c r="U116" s="20">
        <v>0</v>
      </c>
      <c r="V116" s="20">
        <v>0</v>
      </c>
      <c r="W116" s="20">
        <v>0</v>
      </c>
      <c r="X116" s="20">
        <v>0</v>
      </c>
      <c r="Y116" s="20">
        <v>0</v>
      </c>
      <c r="Z116" s="20">
        <v>0</v>
      </c>
      <c r="AA116" s="20" t="s">
        <v>1317</v>
      </c>
      <c r="AB116" s="22" t="s">
        <v>1318</v>
      </c>
      <c r="AC116" s="20">
        <v>5</v>
      </c>
      <c r="AD116" s="20">
        <v>5</v>
      </c>
      <c r="AE116" s="20">
        <v>0</v>
      </c>
      <c r="AF116" s="20">
        <v>2</v>
      </c>
      <c r="AG116" s="20">
        <v>5</v>
      </c>
      <c r="AH116" s="20">
        <v>0</v>
      </c>
      <c r="AI116" s="328">
        <v>9.7132644339109486</v>
      </c>
      <c r="AJ116" s="328">
        <v>2.028397565922921</v>
      </c>
      <c r="AK116" s="328" t="s">
        <v>1328</v>
      </c>
      <c r="AL116" s="22" t="s">
        <v>1329</v>
      </c>
      <c r="AM116" s="22" t="s">
        <v>1330</v>
      </c>
      <c r="AN116" s="22" t="s">
        <v>1317</v>
      </c>
      <c r="AO116" s="22" t="s">
        <v>1318</v>
      </c>
      <c r="AP116" s="22" t="s">
        <v>1318</v>
      </c>
      <c r="AQ116" s="22" t="s">
        <v>1318</v>
      </c>
      <c r="AR116" s="22" t="s">
        <v>1317</v>
      </c>
      <c r="AS116" s="22" t="s">
        <v>1318</v>
      </c>
      <c r="AT116" s="22" t="s">
        <v>1309</v>
      </c>
      <c r="AU116" s="22" t="s">
        <v>1309</v>
      </c>
      <c r="AV116" s="22" t="s">
        <v>1317</v>
      </c>
      <c r="AW116" s="22" t="s">
        <v>1318</v>
      </c>
      <c r="AX116" s="22" t="s">
        <v>1317</v>
      </c>
      <c r="AY116" s="22" t="s">
        <v>1318</v>
      </c>
      <c r="AZ116" s="22" t="s">
        <v>1309</v>
      </c>
      <c r="BA116" s="22" t="s">
        <v>1309</v>
      </c>
      <c r="BB116" s="22" t="s">
        <v>1309</v>
      </c>
      <c r="BC116" s="22" t="s">
        <v>1309</v>
      </c>
      <c r="BD116" s="22" t="s">
        <v>1309</v>
      </c>
      <c r="BE116" s="22" t="s">
        <v>1309</v>
      </c>
      <c r="BF116" s="22" t="s">
        <v>1317</v>
      </c>
      <c r="BG116" s="22" t="s">
        <v>1318</v>
      </c>
      <c r="BH116" s="22" t="s">
        <v>1309</v>
      </c>
      <c r="BI116" s="22" t="s">
        <v>1309</v>
      </c>
      <c r="BJ116" s="22" t="s">
        <v>1317</v>
      </c>
      <c r="BK116" s="22" t="s">
        <v>1318</v>
      </c>
      <c r="BL116" s="22" t="s">
        <v>1317</v>
      </c>
      <c r="BM116" s="22" t="s">
        <v>1318</v>
      </c>
      <c r="BN116" s="22" t="s">
        <v>1309</v>
      </c>
      <c r="BO116" s="22" t="s">
        <v>1309</v>
      </c>
      <c r="BP116" s="22" t="s">
        <v>1317</v>
      </c>
      <c r="BQ116" s="22" t="s">
        <v>1318</v>
      </c>
      <c r="BR116" s="22" t="s">
        <v>1309</v>
      </c>
      <c r="BS116" s="22" t="s">
        <v>1309</v>
      </c>
      <c r="BT116" s="22" t="s">
        <v>1309</v>
      </c>
      <c r="BU116" s="22" t="s">
        <v>1309</v>
      </c>
      <c r="BV116" s="22" t="s">
        <v>1317</v>
      </c>
      <c r="BW116" s="22" t="s">
        <v>1318</v>
      </c>
      <c r="BX116" s="20">
        <v>1</v>
      </c>
      <c r="BY116" s="20">
        <v>0</v>
      </c>
      <c r="BZ116" s="20">
        <v>217</v>
      </c>
      <c r="CA116" s="20">
        <v>0</v>
      </c>
      <c r="CB116" s="20">
        <v>0</v>
      </c>
      <c r="CC116" s="20">
        <v>2247</v>
      </c>
      <c r="CD116" s="22" t="s">
        <v>1320</v>
      </c>
      <c r="CE116" s="22" t="s">
        <v>1321</v>
      </c>
      <c r="CF116" s="22" t="s">
        <v>1317</v>
      </c>
      <c r="CG116" s="22" t="s">
        <v>1321</v>
      </c>
      <c r="CH116" s="22" t="s">
        <v>1317</v>
      </c>
      <c r="CI116" s="22" t="s">
        <v>1318</v>
      </c>
      <c r="CJ116" s="149" t="s">
        <v>1124</v>
      </c>
      <c r="CK116" s="241" t="s">
        <v>1622</v>
      </c>
    </row>
    <row r="117" spans="1:89" ht="15" customHeight="1" x14ac:dyDescent="0.35">
      <c r="A117" s="17"/>
      <c r="B117" s="313">
        <v>84090</v>
      </c>
      <c r="C117" s="8" t="s">
        <v>867</v>
      </c>
      <c r="D117" s="18">
        <v>7</v>
      </c>
      <c r="E117" s="131"/>
      <c r="F117" s="22"/>
      <c r="G117" s="132"/>
      <c r="H117" s="22"/>
      <c r="I117" s="22"/>
      <c r="J117" s="22"/>
      <c r="K117" s="22"/>
      <c r="L117" s="22"/>
      <c r="M117" s="133"/>
      <c r="N117" s="22"/>
      <c r="O117" s="22"/>
      <c r="P117" s="22"/>
      <c r="Q117" s="20"/>
      <c r="R117" s="20"/>
      <c r="S117" s="20"/>
      <c r="T117" s="20"/>
      <c r="U117" s="20"/>
      <c r="V117" s="20"/>
      <c r="W117" s="20"/>
      <c r="X117" s="20"/>
      <c r="Y117" s="20"/>
      <c r="Z117" s="20"/>
      <c r="AA117" s="20"/>
      <c r="AB117" s="22"/>
      <c r="AC117" s="20"/>
      <c r="AD117" s="20"/>
      <c r="AE117" s="20"/>
      <c r="AF117" s="20" t="s">
        <v>1124</v>
      </c>
      <c r="AG117" s="20" t="s">
        <v>1124</v>
      </c>
      <c r="AH117" s="20" t="s">
        <v>1124</v>
      </c>
      <c r="AI117" s="328"/>
      <c r="AJ117" s="328"/>
      <c r="AK117" s="328"/>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0"/>
      <c r="BY117" s="20"/>
      <c r="BZ117" s="20"/>
      <c r="CA117" s="20"/>
      <c r="CB117" s="20"/>
      <c r="CC117" s="20"/>
      <c r="CD117" s="22"/>
      <c r="CE117" s="22"/>
      <c r="CF117" s="22"/>
      <c r="CG117" s="22"/>
      <c r="CH117" s="22"/>
      <c r="CI117" s="22"/>
      <c r="CJ117" s="149"/>
      <c r="CK117" s="241"/>
    </row>
    <row r="118" spans="1:89" ht="15" customHeight="1" x14ac:dyDescent="0.35">
      <c r="A118" s="17"/>
      <c r="B118" s="313">
        <v>96035</v>
      </c>
      <c r="C118" s="8" t="s">
        <v>1000</v>
      </c>
      <c r="D118" s="18">
        <v>9</v>
      </c>
      <c r="E118" s="131" t="s">
        <v>1319</v>
      </c>
      <c r="F118" s="22" t="s">
        <v>1310</v>
      </c>
      <c r="G118" s="132" t="s">
        <v>1309</v>
      </c>
      <c r="H118" s="22" t="s">
        <v>1311</v>
      </c>
      <c r="I118" s="22" t="s">
        <v>1315</v>
      </c>
      <c r="J118" s="22" t="s">
        <v>1315</v>
      </c>
      <c r="K118" s="22" t="s">
        <v>1309</v>
      </c>
      <c r="L118" s="22" t="s">
        <v>1309</v>
      </c>
      <c r="M118" s="133" t="s">
        <v>1311</v>
      </c>
      <c r="N118" s="22" t="s">
        <v>1311</v>
      </c>
      <c r="O118" s="22" t="s">
        <v>1315</v>
      </c>
      <c r="P118" s="22" t="s">
        <v>1315</v>
      </c>
      <c r="Q118" s="20">
        <v>0</v>
      </c>
      <c r="R118" s="20">
        <v>0</v>
      </c>
      <c r="S118" s="20">
        <v>0</v>
      </c>
      <c r="T118" s="20">
        <v>0</v>
      </c>
      <c r="U118" s="20">
        <v>0</v>
      </c>
      <c r="V118" s="20">
        <v>0</v>
      </c>
      <c r="W118" s="20">
        <v>0</v>
      </c>
      <c r="X118" s="20">
        <v>0</v>
      </c>
      <c r="Y118" s="20">
        <v>0</v>
      </c>
      <c r="Z118" s="20">
        <v>0</v>
      </c>
      <c r="AA118" s="20" t="s">
        <v>1317</v>
      </c>
      <c r="AB118" s="22" t="s">
        <v>1318</v>
      </c>
      <c r="AC118" s="20">
        <v>0</v>
      </c>
      <c r="AD118" s="20">
        <v>16</v>
      </c>
      <c r="AE118" s="20">
        <v>0</v>
      </c>
      <c r="AF118" s="20">
        <v>0</v>
      </c>
      <c r="AG118" s="20">
        <v>1</v>
      </c>
      <c r="AH118" s="20">
        <v>0</v>
      </c>
      <c r="AI118" s="328" t="s">
        <v>1328</v>
      </c>
      <c r="AJ118" s="328">
        <v>32.586558044806516</v>
      </c>
      <c r="AK118" s="328" t="s">
        <v>1328</v>
      </c>
      <c r="AL118" s="22" t="s">
        <v>1329</v>
      </c>
      <c r="AM118" s="22" t="s">
        <v>1330</v>
      </c>
      <c r="AN118" s="22" t="s">
        <v>1315</v>
      </c>
      <c r="AO118" s="22" t="s">
        <v>1315</v>
      </c>
      <c r="AP118" s="22" t="s">
        <v>1315</v>
      </c>
      <c r="AQ118" s="22" t="s">
        <v>1315</v>
      </c>
      <c r="AR118" s="22" t="s">
        <v>1317</v>
      </c>
      <c r="AS118" s="22" t="s">
        <v>1318</v>
      </c>
      <c r="AT118" s="22" t="s">
        <v>1309</v>
      </c>
      <c r="AU118" s="22" t="s">
        <v>1309</v>
      </c>
      <c r="AV118" s="22" t="s">
        <v>1317</v>
      </c>
      <c r="AW118" s="22" t="s">
        <v>1318</v>
      </c>
      <c r="AX118" s="22" t="s">
        <v>1317</v>
      </c>
      <c r="AY118" s="22" t="s">
        <v>1318</v>
      </c>
      <c r="AZ118" s="22" t="s">
        <v>1309</v>
      </c>
      <c r="BA118" s="22" t="s">
        <v>1309</v>
      </c>
      <c r="BB118" s="22" t="s">
        <v>1309</v>
      </c>
      <c r="BC118" s="22" t="s">
        <v>1309</v>
      </c>
      <c r="BD118" s="22" t="s">
        <v>1317</v>
      </c>
      <c r="BE118" s="22" t="s">
        <v>1318</v>
      </c>
      <c r="BF118" s="22" t="s">
        <v>1317</v>
      </c>
      <c r="BG118" s="22" t="s">
        <v>1311</v>
      </c>
      <c r="BH118" s="22" t="s">
        <v>1309</v>
      </c>
      <c r="BI118" s="22" t="s">
        <v>1309</v>
      </c>
      <c r="BJ118" s="22" t="s">
        <v>1309</v>
      </c>
      <c r="BK118" s="22" t="s">
        <v>1309</v>
      </c>
      <c r="BL118" s="22" t="s">
        <v>1317</v>
      </c>
      <c r="BM118" s="22" t="s">
        <v>1311</v>
      </c>
      <c r="BN118" s="22" t="s">
        <v>1309</v>
      </c>
      <c r="BO118" s="22" t="s">
        <v>1309</v>
      </c>
      <c r="BP118" s="22" t="s">
        <v>1315</v>
      </c>
      <c r="BQ118" s="22" t="s">
        <v>1315</v>
      </c>
      <c r="BR118" s="22" t="s">
        <v>1309</v>
      </c>
      <c r="BS118" s="22" t="s">
        <v>1309</v>
      </c>
      <c r="BT118" s="22" t="s">
        <v>1315</v>
      </c>
      <c r="BU118" s="22" t="s">
        <v>1315</v>
      </c>
      <c r="BV118" s="22" t="s">
        <v>1317</v>
      </c>
      <c r="BW118" s="22" t="s">
        <v>1311</v>
      </c>
      <c r="BX118" s="20">
        <v>0</v>
      </c>
      <c r="BY118" s="20">
        <v>0</v>
      </c>
      <c r="BZ118" s="20">
        <v>36</v>
      </c>
      <c r="CA118" s="20">
        <v>0</v>
      </c>
      <c r="CB118" s="20">
        <v>0</v>
      </c>
      <c r="CC118" s="20">
        <v>447</v>
      </c>
      <c r="CD118" s="22" t="s">
        <v>1317</v>
      </c>
      <c r="CE118" s="22" t="s">
        <v>1321</v>
      </c>
      <c r="CF118" s="22" t="s">
        <v>1317</v>
      </c>
      <c r="CG118" s="22" t="s">
        <v>1321</v>
      </c>
      <c r="CH118" s="22" t="s">
        <v>1317</v>
      </c>
      <c r="CI118" s="22" t="s">
        <v>1318</v>
      </c>
      <c r="CJ118" s="149" t="s">
        <v>3682</v>
      </c>
      <c r="CK118" s="241" t="s">
        <v>1124</v>
      </c>
    </row>
    <row r="119" spans="1:89" ht="15" customHeight="1" x14ac:dyDescent="0.35">
      <c r="A119" s="17"/>
      <c r="B119" s="313">
        <v>79065</v>
      </c>
      <c r="C119" s="8" t="s">
        <v>796</v>
      </c>
      <c r="D119" s="18">
        <v>15</v>
      </c>
      <c r="E119" s="131"/>
      <c r="F119" s="22"/>
      <c r="G119" s="132"/>
      <c r="H119" s="22"/>
      <c r="I119" s="22"/>
      <c r="J119" s="22"/>
      <c r="K119" s="22"/>
      <c r="L119" s="22"/>
      <c r="M119" s="133"/>
      <c r="N119" s="22"/>
      <c r="O119" s="22"/>
      <c r="P119" s="22"/>
      <c r="Q119" s="20"/>
      <c r="R119" s="20"/>
      <c r="S119" s="20"/>
      <c r="T119" s="20"/>
      <c r="U119" s="20"/>
      <c r="V119" s="20"/>
      <c r="W119" s="20"/>
      <c r="X119" s="20"/>
      <c r="Y119" s="20"/>
      <c r="Z119" s="20"/>
      <c r="AA119" s="20"/>
      <c r="AB119" s="22"/>
      <c r="AC119" s="20"/>
      <c r="AD119" s="20"/>
      <c r="AE119" s="20"/>
      <c r="AF119" s="20" t="s">
        <v>1124</v>
      </c>
      <c r="AG119" s="20" t="s">
        <v>1124</v>
      </c>
      <c r="AH119" s="20" t="s">
        <v>1124</v>
      </c>
      <c r="AI119" s="328"/>
      <c r="AJ119" s="328"/>
      <c r="AK119" s="328"/>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0"/>
      <c r="BY119" s="20"/>
      <c r="BZ119" s="20"/>
      <c r="CA119" s="20"/>
      <c r="CB119" s="20"/>
      <c r="CC119" s="20"/>
      <c r="CD119" s="22"/>
      <c r="CE119" s="22"/>
      <c r="CF119" s="22"/>
      <c r="CG119" s="22"/>
      <c r="CH119" s="22"/>
      <c r="CI119" s="22"/>
      <c r="CJ119" s="149"/>
      <c r="CK119" s="241"/>
    </row>
    <row r="120" spans="1:89" ht="15" customHeight="1" x14ac:dyDescent="0.35">
      <c r="A120" s="17"/>
      <c r="B120" s="313">
        <v>84015</v>
      </c>
      <c r="C120" s="8" t="s">
        <v>854</v>
      </c>
      <c r="D120" s="18">
        <v>7</v>
      </c>
      <c r="E120" s="131"/>
      <c r="F120" s="22"/>
      <c r="G120" s="132"/>
      <c r="H120" s="22"/>
      <c r="I120" s="22"/>
      <c r="J120" s="22"/>
      <c r="K120" s="22"/>
      <c r="L120" s="22"/>
      <c r="M120" s="133"/>
      <c r="N120" s="22"/>
      <c r="O120" s="22"/>
      <c r="P120" s="22"/>
      <c r="Q120" s="20"/>
      <c r="R120" s="20"/>
      <c r="S120" s="20"/>
      <c r="T120" s="20"/>
      <c r="U120" s="20"/>
      <c r="V120" s="20"/>
      <c r="W120" s="20"/>
      <c r="X120" s="20"/>
      <c r="Y120" s="20"/>
      <c r="Z120" s="20"/>
      <c r="AA120" s="20"/>
      <c r="AB120" s="22"/>
      <c r="AC120" s="20"/>
      <c r="AD120" s="20"/>
      <c r="AE120" s="20"/>
      <c r="AF120" s="20" t="s">
        <v>1124</v>
      </c>
      <c r="AG120" s="20" t="s">
        <v>1124</v>
      </c>
      <c r="AH120" s="20" t="s">
        <v>1124</v>
      </c>
      <c r="AI120" s="328"/>
      <c r="AJ120" s="328"/>
      <c r="AK120" s="328"/>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0"/>
      <c r="BY120" s="20"/>
      <c r="BZ120" s="20"/>
      <c r="CA120" s="20"/>
      <c r="CB120" s="20"/>
      <c r="CC120" s="20"/>
      <c r="CD120" s="22"/>
      <c r="CE120" s="22"/>
      <c r="CF120" s="22"/>
      <c r="CG120" s="22"/>
      <c r="CH120" s="22"/>
      <c r="CI120" s="22"/>
      <c r="CJ120" s="149"/>
      <c r="CK120" s="241"/>
    </row>
    <row r="121" spans="1:89" ht="15" customHeight="1" x14ac:dyDescent="0.35">
      <c r="A121" s="17"/>
      <c r="B121" s="313">
        <v>15035</v>
      </c>
      <c r="C121" s="8" t="s">
        <v>81</v>
      </c>
      <c r="D121" s="18">
        <v>3</v>
      </c>
      <c r="E121" s="131" t="s">
        <v>1309</v>
      </c>
      <c r="F121" s="22" t="s">
        <v>1309</v>
      </c>
      <c r="G121" s="132" t="s">
        <v>1309</v>
      </c>
      <c r="H121" s="22" t="s">
        <v>1311</v>
      </c>
      <c r="I121" s="22" t="s">
        <v>1327</v>
      </c>
      <c r="J121" s="22" t="s">
        <v>1327</v>
      </c>
      <c r="K121" s="22" t="s">
        <v>1319</v>
      </c>
      <c r="L121" s="22" t="s">
        <v>1311</v>
      </c>
      <c r="M121" s="133" t="s">
        <v>1311</v>
      </c>
      <c r="N121" s="22" t="s">
        <v>1311</v>
      </c>
      <c r="O121" s="22" t="s">
        <v>1314</v>
      </c>
      <c r="P121" s="22" t="s">
        <v>1318</v>
      </c>
      <c r="Q121" s="20">
        <v>0</v>
      </c>
      <c r="R121" s="20">
        <v>0</v>
      </c>
      <c r="S121" s="20">
        <v>34.56</v>
      </c>
      <c r="T121" s="20">
        <v>0</v>
      </c>
      <c r="U121" s="20">
        <v>0</v>
      </c>
      <c r="V121" s="20">
        <v>0</v>
      </c>
      <c r="W121" s="20">
        <v>0</v>
      </c>
      <c r="X121" s="20">
        <v>0</v>
      </c>
      <c r="Y121" s="20">
        <v>0</v>
      </c>
      <c r="Z121" s="20">
        <v>0</v>
      </c>
      <c r="AA121" s="20" t="s">
        <v>1317</v>
      </c>
      <c r="AB121" s="22" t="s">
        <v>1318</v>
      </c>
      <c r="AC121" s="20">
        <v>1</v>
      </c>
      <c r="AD121" s="20">
        <v>3</v>
      </c>
      <c r="AE121" s="20">
        <v>1</v>
      </c>
      <c r="AF121" s="20">
        <v>1</v>
      </c>
      <c r="AG121" s="20">
        <v>1</v>
      </c>
      <c r="AH121" s="20">
        <v>2</v>
      </c>
      <c r="AI121" s="328">
        <v>2.8935185185185182</v>
      </c>
      <c r="AJ121" s="328">
        <v>1.8645121193287757</v>
      </c>
      <c r="AK121" s="328">
        <v>0.62150403977625857</v>
      </c>
      <c r="AL121" s="22" t="s">
        <v>1329</v>
      </c>
      <c r="AM121" s="22" t="s">
        <v>1330</v>
      </c>
      <c r="AN121" s="22" t="s">
        <v>1317</v>
      </c>
      <c r="AO121" s="22" t="s">
        <v>1318</v>
      </c>
      <c r="AP121" s="22" t="s">
        <v>1318</v>
      </c>
      <c r="AQ121" s="22" t="s">
        <v>1318</v>
      </c>
      <c r="AR121" s="22" t="s">
        <v>1317</v>
      </c>
      <c r="AS121" s="22" t="s">
        <v>1318</v>
      </c>
      <c r="AT121" s="22" t="s">
        <v>1319</v>
      </c>
      <c r="AU121" s="22" t="s">
        <v>1311</v>
      </c>
      <c r="AV121" s="22" t="s">
        <v>1317</v>
      </c>
      <c r="AW121" s="22" t="s">
        <v>1318</v>
      </c>
      <c r="AX121" s="22" t="s">
        <v>1317</v>
      </c>
      <c r="AY121" s="22" t="s">
        <v>1318</v>
      </c>
      <c r="AZ121" s="22" t="s">
        <v>1309</v>
      </c>
      <c r="BA121" s="22" t="s">
        <v>1309</v>
      </c>
      <c r="BB121" s="22" t="s">
        <v>1309</v>
      </c>
      <c r="BC121" s="22" t="s">
        <v>1309</v>
      </c>
      <c r="BD121" s="22" t="s">
        <v>1317</v>
      </c>
      <c r="BE121" s="22" t="s">
        <v>1318</v>
      </c>
      <c r="BF121" s="22" t="s">
        <v>1319</v>
      </c>
      <c r="BG121" s="22" t="s">
        <v>1311</v>
      </c>
      <c r="BH121" s="22" t="s">
        <v>1309</v>
      </c>
      <c r="BI121" s="22" t="s">
        <v>1309</v>
      </c>
      <c r="BJ121" s="22" t="s">
        <v>1317</v>
      </c>
      <c r="BK121" s="22" t="s">
        <v>1318</v>
      </c>
      <c r="BL121" s="22" t="s">
        <v>1319</v>
      </c>
      <c r="BM121" s="22" t="s">
        <v>1311</v>
      </c>
      <c r="BN121" s="22" t="s">
        <v>1309</v>
      </c>
      <c r="BO121" s="22" t="s">
        <v>1309</v>
      </c>
      <c r="BP121" s="22" t="s">
        <v>1309</v>
      </c>
      <c r="BQ121" s="22" t="s">
        <v>1309</v>
      </c>
      <c r="BR121" s="22" t="s">
        <v>1309</v>
      </c>
      <c r="BS121" s="22" t="s">
        <v>1309</v>
      </c>
      <c r="BT121" s="22" t="s">
        <v>1315</v>
      </c>
      <c r="BU121" s="22" t="s">
        <v>1315</v>
      </c>
      <c r="BV121" s="22" t="s">
        <v>1309</v>
      </c>
      <c r="BW121" s="22" t="s">
        <v>1309</v>
      </c>
      <c r="BX121" s="20">
        <v>0</v>
      </c>
      <c r="BY121" s="20">
        <v>47</v>
      </c>
      <c r="BZ121" s="20">
        <v>71</v>
      </c>
      <c r="CA121" s="20">
        <v>0</v>
      </c>
      <c r="CB121" s="20">
        <v>45</v>
      </c>
      <c r="CC121" s="20">
        <v>1446</v>
      </c>
      <c r="CD121" s="22" t="s">
        <v>1320</v>
      </c>
      <c r="CE121" s="22" t="s">
        <v>1321</v>
      </c>
      <c r="CF121" s="22" t="s">
        <v>1345</v>
      </c>
      <c r="CG121" s="22" t="s">
        <v>1321</v>
      </c>
      <c r="CH121" s="22" t="s">
        <v>1317</v>
      </c>
      <c r="CI121" s="22" t="s">
        <v>1318</v>
      </c>
      <c r="CJ121" s="149" t="s">
        <v>1627</v>
      </c>
      <c r="CK121" s="241" t="s">
        <v>1628</v>
      </c>
    </row>
    <row r="122" spans="1:89" ht="15" customHeight="1" x14ac:dyDescent="0.35">
      <c r="A122" s="17"/>
      <c r="B122" s="313">
        <v>87110</v>
      </c>
      <c r="C122" s="8" t="s">
        <v>908</v>
      </c>
      <c r="D122" s="18">
        <v>8</v>
      </c>
      <c r="E122" s="131"/>
      <c r="F122" s="22"/>
      <c r="G122" s="132"/>
      <c r="H122" s="22"/>
      <c r="I122" s="22"/>
      <c r="J122" s="22"/>
      <c r="K122" s="22"/>
      <c r="L122" s="22"/>
      <c r="M122" s="133"/>
      <c r="N122" s="22"/>
      <c r="O122" s="22"/>
      <c r="P122" s="22"/>
      <c r="Q122" s="20"/>
      <c r="R122" s="20"/>
      <c r="S122" s="20"/>
      <c r="T122" s="20"/>
      <c r="U122" s="20"/>
      <c r="V122" s="20"/>
      <c r="W122" s="20"/>
      <c r="X122" s="20"/>
      <c r="Y122" s="20"/>
      <c r="Z122" s="20"/>
      <c r="AA122" s="20"/>
      <c r="AB122" s="22"/>
      <c r="AC122" s="20"/>
      <c r="AD122" s="20"/>
      <c r="AE122" s="20"/>
      <c r="AF122" s="20" t="s">
        <v>1124</v>
      </c>
      <c r="AG122" s="20" t="s">
        <v>1124</v>
      </c>
      <c r="AH122" s="20" t="s">
        <v>1124</v>
      </c>
      <c r="AI122" s="328"/>
      <c r="AJ122" s="328"/>
      <c r="AK122" s="328"/>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0"/>
      <c r="BY122" s="20"/>
      <c r="BZ122" s="20"/>
      <c r="CA122" s="20"/>
      <c r="CB122" s="20"/>
      <c r="CC122" s="20"/>
      <c r="CD122" s="22"/>
      <c r="CE122" s="22"/>
      <c r="CF122" s="22"/>
      <c r="CG122" s="22"/>
      <c r="CH122" s="22"/>
      <c r="CI122" s="22"/>
      <c r="CJ122" s="149"/>
      <c r="CK122" s="241"/>
    </row>
    <row r="123" spans="1:89" ht="15" customHeight="1" x14ac:dyDescent="0.35">
      <c r="A123" s="17"/>
      <c r="B123" s="313">
        <v>87075</v>
      </c>
      <c r="C123" s="8" t="s">
        <v>901</v>
      </c>
      <c r="D123" s="18">
        <v>8</v>
      </c>
      <c r="E123" s="131"/>
      <c r="F123" s="22"/>
      <c r="G123" s="132"/>
      <c r="H123" s="22"/>
      <c r="I123" s="22"/>
      <c r="J123" s="22"/>
      <c r="K123" s="22"/>
      <c r="L123" s="22"/>
      <c r="M123" s="133"/>
      <c r="N123" s="22"/>
      <c r="O123" s="22"/>
      <c r="P123" s="22"/>
      <c r="Q123" s="20"/>
      <c r="R123" s="20"/>
      <c r="S123" s="20"/>
      <c r="T123" s="20"/>
      <c r="U123" s="20"/>
      <c r="V123" s="20"/>
      <c r="W123" s="20"/>
      <c r="X123" s="20"/>
      <c r="Y123" s="20"/>
      <c r="Z123" s="20"/>
      <c r="AA123" s="20"/>
      <c r="AB123" s="22"/>
      <c r="AC123" s="20"/>
      <c r="AD123" s="20"/>
      <c r="AE123" s="20"/>
      <c r="AF123" s="20" t="s">
        <v>1124</v>
      </c>
      <c r="AG123" s="20" t="s">
        <v>1124</v>
      </c>
      <c r="AH123" s="20" t="s">
        <v>1124</v>
      </c>
      <c r="AI123" s="328"/>
      <c r="AJ123" s="328"/>
      <c r="AK123" s="328"/>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0"/>
      <c r="BY123" s="20"/>
      <c r="BZ123" s="20"/>
      <c r="CA123" s="20"/>
      <c r="CB123" s="20"/>
      <c r="CC123" s="20"/>
      <c r="CD123" s="22"/>
      <c r="CE123" s="22"/>
      <c r="CF123" s="22"/>
      <c r="CG123" s="22"/>
      <c r="CH123" s="22"/>
      <c r="CI123" s="22"/>
      <c r="CJ123" s="149"/>
      <c r="CK123" s="241"/>
    </row>
    <row r="124" spans="1:89" ht="15" customHeight="1" x14ac:dyDescent="0.35">
      <c r="A124" s="17"/>
      <c r="B124" s="313">
        <v>42110</v>
      </c>
      <c r="C124" s="8" t="s">
        <v>396</v>
      </c>
      <c r="D124" s="18">
        <v>5</v>
      </c>
      <c r="E124" s="131"/>
      <c r="F124" s="22"/>
      <c r="G124" s="132"/>
      <c r="H124" s="22"/>
      <c r="I124" s="22"/>
      <c r="J124" s="22"/>
      <c r="K124" s="22"/>
      <c r="L124" s="22"/>
      <c r="M124" s="133"/>
      <c r="N124" s="22"/>
      <c r="O124" s="22"/>
      <c r="P124" s="22"/>
      <c r="Q124" s="20"/>
      <c r="R124" s="20"/>
      <c r="S124" s="20"/>
      <c r="T124" s="20"/>
      <c r="U124" s="20"/>
      <c r="V124" s="20"/>
      <c r="W124" s="20"/>
      <c r="X124" s="20"/>
      <c r="Y124" s="20"/>
      <c r="Z124" s="20"/>
      <c r="AA124" s="20"/>
      <c r="AB124" s="22"/>
      <c r="AC124" s="20"/>
      <c r="AD124" s="20"/>
      <c r="AE124" s="20"/>
      <c r="AF124" s="20" t="s">
        <v>1124</v>
      </c>
      <c r="AG124" s="20" t="s">
        <v>1124</v>
      </c>
      <c r="AH124" s="20" t="s">
        <v>1124</v>
      </c>
      <c r="AI124" s="328"/>
      <c r="AJ124" s="328"/>
      <c r="AK124" s="328"/>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0"/>
      <c r="BY124" s="20"/>
      <c r="BZ124" s="20"/>
      <c r="CA124" s="20"/>
      <c r="CB124" s="20"/>
      <c r="CC124" s="20"/>
      <c r="CD124" s="22"/>
      <c r="CE124" s="22"/>
      <c r="CF124" s="22"/>
      <c r="CG124" s="22"/>
      <c r="CH124" s="22"/>
      <c r="CI124" s="22"/>
      <c r="CJ124" s="149"/>
      <c r="CK124" s="241"/>
    </row>
    <row r="125" spans="1:89" ht="15" customHeight="1" x14ac:dyDescent="0.35">
      <c r="A125" s="17"/>
      <c r="B125" s="313">
        <v>3010</v>
      </c>
      <c r="C125" s="8" t="s">
        <v>1032</v>
      </c>
      <c r="D125" s="18">
        <v>11</v>
      </c>
      <c r="E125" s="131"/>
      <c r="F125" s="22"/>
      <c r="G125" s="132"/>
      <c r="H125" s="22"/>
      <c r="I125" s="22"/>
      <c r="J125" s="22"/>
      <c r="K125" s="22"/>
      <c r="L125" s="22"/>
      <c r="M125" s="133"/>
      <c r="N125" s="22"/>
      <c r="O125" s="22"/>
      <c r="P125" s="22"/>
      <c r="Q125" s="20"/>
      <c r="R125" s="20"/>
      <c r="S125" s="20"/>
      <c r="T125" s="20"/>
      <c r="U125" s="20"/>
      <c r="V125" s="20"/>
      <c r="W125" s="20"/>
      <c r="X125" s="20"/>
      <c r="Y125" s="20"/>
      <c r="Z125" s="20"/>
      <c r="AA125" s="20"/>
      <c r="AB125" s="22"/>
      <c r="AC125" s="20"/>
      <c r="AD125" s="20"/>
      <c r="AE125" s="20"/>
      <c r="AF125" s="20" t="s">
        <v>1124</v>
      </c>
      <c r="AG125" s="20" t="s">
        <v>1124</v>
      </c>
      <c r="AH125" s="20" t="s">
        <v>1124</v>
      </c>
      <c r="AI125" s="328"/>
      <c r="AJ125" s="328"/>
      <c r="AK125" s="328"/>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0"/>
      <c r="BY125" s="20"/>
      <c r="BZ125" s="20"/>
      <c r="CA125" s="20"/>
      <c r="CB125" s="20"/>
      <c r="CC125" s="20"/>
      <c r="CD125" s="22"/>
      <c r="CE125" s="22"/>
      <c r="CF125" s="22"/>
      <c r="CG125" s="22"/>
      <c r="CH125" s="22"/>
      <c r="CI125" s="22"/>
      <c r="CJ125" s="149"/>
      <c r="CK125" s="241"/>
    </row>
    <row r="126" spans="1:89" ht="15" customHeight="1" x14ac:dyDescent="0.35">
      <c r="A126" s="17"/>
      <c r="B126" s="313">
        <v>44037</v>
      </c>
      <c r="C126" s="8" t="s">
        <v>403</v>
      </c>
      <c r="D126" s="18">
        <v>5</v>
      </c>
      <c r="E126" s="131"/>
      <c r="F126" s="22"/>
      <c r="G126" s="132"/>
      <c r="H126" s="22"/>
      <c r="I126" s="22"/>
      <c r="J126" s="22"/>
      <c r="K126" s="22"/>
      <c r="L126" s="22"/>
      <c r="M126" s="133"/>
      <c r="N126" s="22"/>
      <c r="O126" s="22"/>
      <c r="P126" s="22"/>
      <c r="Q126" s="20"/>
      <c r="R126" s="20"/>
      <c r="S126" s="20"/>
      <c r="T126" s="20"/>
      <c r="U126" s="20"/>
      <c r="V126" s="20"/>
      <c r="W126" s="20"/>
      <c r="X126" s="20"/>
      <c r="Y126" s="20"/>
      <c r="Z126" s="20"/>
      <c r="AA126" s="20"/>
      <c r="AB126" s="22"/>
      <c r="AC126" s="20"/>
      <c r="AD126" s="20"/>
      <c r="AE126" s="20"/>
      <c r="AF126" s="20" t="s">
        <v>1124</v>
      </c>
      <c r="AG126" s="20" t="s">
        <v>1124</v>
      </c>
      <c r="AH126" s="20" t="s">
        <v>1124</v>
      </c>
      <c r="AI126" s="328"/>
      <c r="AJ126" s="328"/>
      <c r="AK126" s="328"/>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0"/>
      <c r="BY126" s="20"/>
      <c r="BZ126" s="20"/>
      <c r="CA126" s="20"/>
      <c r="CB126" s="20"/>
      <c r="CC126" s="20"/>
      <c r="CD126" s="22"/>
      <c r="CE126" s="22"/>
      <c r="CF126" s="22"/>
      <c r="CG126" s="22"/>
      <c r="CH126" s="22"/>
      <c r="CI126" s="22"/>
      <c r="CJ126" s="149"/>
      <c r="CK126" s="241"/>
    </row>
    <row r="127" spans="1:89" ht="15" customHeight="1" x14ac:dyDescent="0.35">
      <c r="A127" s="17"/>
      <c r="B127" s="313">
        <v>95050</v>
      </c>
      <c r="C127" s="8" t="s">
        <v>993</v>
      </c>
      <c r="D127" s="18">
        <v>9</v>
      </c>
      <c r="E127" s="131"/>
      <c r="F127" s="22"/>
      <c r="G127" s="132"/>
      <c r="H127" s="22"/>
      <c r="I127" s="22"/>
      <c r="J127" s="22"/>
      <c r="K127" s="22"/>
      <c r="L127" s="22"/>
      <c r="M127" s="133"/>
      <c r="N127" s="22"/>
      <c r="O127" s="22"/>
      <c r="P127" s="22"/>
      <c r="Q127" s="20"/>
      <c r="R127" s="20"/>
      <c r="S127" s="20"/>
      <c r="T127" s="20"/>
      <c r="U127" s="20"/>
      <c r="V127" s="20"/>
      <c r="W127" s="20"/>
      <c r="X127" s="20"/>
      <c r="Y127" s="20"/>
      <c r="Z127" s="20"/>
      <c r="AA127" s="20"/>
      <c r="AB127" s="22"/>
      <c r="AC127" s="20"/>
      <c r="AD127" s="20"/>
      <c r="AE127" s="20"/>
      <c r="AF127" s="20" t="s">
        <v>1124</v>
      </c>
      <c r="AG127" s="20" t="s">
        <v>1124</v>
      </c>
      <c r="AH127" s="20" t="s">
        <v>1124</v>
      </c>
      <c r="AI127" s="328"/>
      <c r="AJ127" s="328"/>
      <c r="AK127" s="328"/>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0"/>
      <c r="BY127" s="20"/>
      <c r="BZ127" s="20"/>
      <c r="CA127" s="20"/>
      <c r="CB127" s="20"/>
      <c r="CC127" s="20"/>
      <c r="CD127" s="22"/>
      <c r="CE127" s="22"/>
      <c r="CF127" s="22"/>
      <c r="CG127" s="22"/>
      <c r="CH127" s="22"/>
      <c r="CI127" s="22"/>
      <c r="CJ127" s="149"/>
      <c r="CK127" s="241"/>
    </row>
    <row r="128" spans="1:89" ht="15" customHeight="1" x14ac:dyDescent="0.35">
      <c r="A128" s="17"/>
      <c r="B128" s="313">
        <v>44071</v>
      </c>
      <c r="C128" s="8" t="s">
        <v>408</v>
      </c>
      <c r="D128" s="18">
        <v>5</v>
      </c>
      <c r="E128" s="131" t="s">
        <v>1309</v>
      </c>
      <c r="F128" s="22" t="s">
        <v>1309</v>
      </c>
      <c r="G128" s="132" t="s">
        <v>1309</v>
      </c>
      <c r="H128" s="22" t="s">
        <v>1311</v>
      </c>
      <c r="I128" s="22" t="s">
        <v>1327</v>
      </c>
      <c r="J128" s="22" t="s">
        <v>1327</v>
      </c>
      <c r="K128" s="22" t="s">
        <v>1309</v>
      </c>
      <c r="L128" s="22" t="s">
        <v>1309</v>
      </c>
      <c r="M128" s="133" t="s">
        <v>1311</v>
      </c>
      <c r="N128" s="22" t="s">
        <v>1311</v>
      </c>
      <c r="O128" s="22" t="s">
        <v>1309</v>
      </c>
      <c r="P128" s="22" t="s">
        <v>1309</v>
      </c>
      <c r="Q128" s="20">
        <v>11.561999999999999</v>
      </c>
      <c r="R128" s="20">
        <v>11.561999999999999</v>
      </c>
      <c r="S128" s="20">
        <v>23.123999999999999</v>
      </c>
      <c r="T128" s="20">
        <v>23.123999999999999</v>
      </c>
      <c r="U128" s="20">
        <v>0</v>
      </c>
      <c r="V128" s="20">
        <v>0</v>
      </c>
      <c r="W128" s="20">
        <v>0</v>
      </c>
      <c r="X128" s="20">
        <v>0</v>
      </c>
      <c r="Y128" s="20">
        <v>0</v>
      </c>
      <c r="Z128" s="20">
        <v>0</v>
      </c>
      <c r="AA128" s="20" t="s">
        <v>1317</v>
      </c>
      <c r="AB128" s="22" t="s">
        <v>1318</v>
      </c>
      <c r="AC128" s="20">
        <v>2</v>
      </c>
      <c r="AD128" s="20">
        <v>0</v>
      </c>
      <c r="AE128" s="20">
        <v>0</v>
      </c>
      <c r="AF128" s="20">
        <v>2</v>
      </c>
      <c r="AG128" s="20">
        <v>0</v>
      </c>
      <c r="AH128" s="20">
        <v>0</v>
      </c>
      <c r="AI128" s="328">
        <v>17.298045320878742</v>
      </c>
      <c r="AJ128" s="328" t="s">
        <v>1328</v>
      </c>
      <c r="AK128" s="328" t="s">
        <v>1328</v>
      </c>
      <c r="AL128" s="22" t="s">
        <v>1329</v>
      </c>
      <c r="AM128" s="22" t="s">
        <v>1330</v>
      </c>
      <c r="AN128" s="22" t="s">
        <v>1315</v>
      </c>
      <c r="AO128" s="22" t="s">
        <v>1315</v>
      </c>
      <c r="AP128" s="22" t="s">
        <v>1315</v>
      </c>
      <c r="AQ128" s="22" t="s">
        <v>1315</v>
      </c>
      <c r="AR128" s="22" t="s">
        <v>1317</v>
      </c>
      <c r="AS128" s="22" t="s">
        <v>1318</v>
      </c>
      <c r="AT128" s="22" t="s">
        <v>1309</v>
      </c>
      <c r="AU128" s="22" t="s">
        <v>1309</v>
      </c>
      <c r="AV128" s="22" t="s">
        <v>1317</v>
      </c>
      <c r="AW128" s="22" t="s">
        <v>1318</v>
      </c>
      <c r="AX128" s="22" t="s">
        <v>1317</v>
      </c>
      <c r="AY128" s="22" t="s">
        <v>1318</v>
      </c>
      <c r="AZ128" s="22" t="s">
        <v>1317</v>
      </c>
      <c r="BA128" s="22" t="s">
        <v>1318</v>
      </c>
      <c r="BB128" s="22" t="s">
        <v>1309</v>
      </c>
      <c r="BC128" s="22" t="s">
        <v>1309</v>
      </c>
      <c r="BD128" s="22" t="s">
        <v>1309</v>
      </c>
      <c r="BE128" s="22" t="s">
        <v>1309</v>
      </c>
      <c r="BF128" s="22" t="s">
        <v>1317</v>
      </c>
      <c r="BG128" s="22" t="s">
        <v>1318</v>
      </c>
      <c r="BH128" s="22" t="s">
        <v>1309</v>
      </c>
      <c r="BI128" s="22" t="s">
        <v>1309</v>
      </c>
      <c r="BJ128" s="22" t="s">
        <v>1309</v>
      </c>
      <c r="BK128" s="22" t="s">
        <v>1309</v>
      </c>
      <c r="BL128" s="22" t="s">
        <v>1309</v>
      </c>
      <c r="BM128" s="22" t="s">
        <v>1309</v>
      </c>
      <c r="BN128" s="22" t="s">
        <v>1317</v>
      </c>
      <c r="BO128" s="22" t="s">
        <v>1318</v>
      </c>
      <c r="BP128" s="22" t="s">
        <v>1309</v>
      </c>
      <c r="BQ128" s="22" t="s">
        <v>1309</v>
      </c>
      <c r="BR128" s="22" t="s">
        <v>1309</v>
      </c>
      <c r="BS128" s="22" t="s">
        <v>1309</v>
      </c>
      <c r="BT128" s="22" t="s">
        <v>1315</v>
      </c>
      <c r="BU128" s="22" t="s">
        <v>1315</v>
      </c>
      <c r="BV128" s="22" t="s">
        <v>1309</v>
      </c>
      <c r="BW128" s="22" t="s">
        <v>1309</v>
      </c>
      <c r="BX128" s="20">
        <v>28</v>
      </c>
      <c r="BY128" s="20">
        <v>1</v>
      </c>
      <c r="BZ128" s="20">
        <v>0</v>
      </c>
      <c r="CA128" s="20">
        <v>0</v>
      </c>
      <c r="CB128" s="20">
        <v>0</v>
      </c>
      <c r="CC128" s="20">
        <v>504</v>
      </c>
      <c r="CD128" s="22" t="s">
        <v>1331</v>
      </c>
      <c r="CE128" s="22" t="s">
        <v>1331</v>
      </c>
      <c r="CF128" s="22" t="s">
        <v>1317</v>
      </c>
      <c r="CG128" s="22" t="s">
        <v>1318</v>
      </c>
      <c r="CH128" s="22" t="s">
        <v>1317</v>
      </c>
      <c r="CI128" s="22" t="s">
        <v>1318</v>
      </c>
      <c r="CJ128" s="149" t="s">
        <v>1124</v>
      </c>
      <c r="CK128" s="241" t="s">
        <v>1124</v>
      </c>
    </row>
    <row r="129" spans="1:89" ht="15" customHeight="1" x14ac:dyDescent="0.35">
      <c r="A129" s="17"/>
      <c r="B129" s="313">
        <v>59035</v>
      </c>
      <c r="C129" s="8" t="s">
        <v>604</v>
      </c>
      <c r="D129" s="18">
        <v>16</v>
      </c>
      <c r="E129" s="131" t="s">
        <v>1309</v>
      </c>
      <c r="F129" s="22" t="s">
        <v>1309</v>
      </c>
      <c r="G129" s="132" t="s">
        <v>1309</v>
      </c>
      <c r="H129" s="22" t="s">
        <v>1311</v>
      </c>
      <c r="I129" s="22" t="s">
        <v>1338</v>
      </c>
      <c r="J129" s="22" t="s">
        <v>1327</v>
      </c>
      <c r="K129" s="22" t="s">
        <v>1309</v>
      </c>
      <c r="L129" s="22" t="s">
        <v>1309</v>
      </c>
      <c r="M129" s="133" t="s">
        <v>1311</v>
      </c>
      <c r="N129" s="22" t="s">
        <v>1311</v>
      </c>
      <c r="O129" s="22" t="s">
        <v>1309</v>
      </c>
      <c r="P129" s="22" t="s">
        <v>1309</v>
      </c>
      <c r="Q129" s="20">
        <v>0</v>
      </c>
      <c r="R129" s="20">
        <v>0</v>
      </c>
      <c r="S129" s="20">
        <v>0</v>
      </c>
      <c r="T129" s="20">
        <v>0</v>
      </c>
      <c r="U129" s="20">
        <v>0</v>
      </c>
      <c r="V129" s="20">
        <v>0</v>
      </c>
      <c r="W129" s="20">
        <v>0</v>
      </c>
      <c r="X129" s="20">
        <v>0</v>
      </c>
      <c r="Y129" s="20">
        <v>0</v>
      </c>
      <c r="Z129" s="20">
        <v>0</v>
      </c>
      <c r="AA129" s="20" t="s">
        <v>1315</v>
      </c>
      <c r="AB129" s="22" t="s">
        <v>1315</v>
      </c>
      <c r="AC129" s="20">
        <v>7</v>
      </c>
      <c r="AD129" s="20">
        <v>0</v>
      </c>
      <c r="AE129" s="20">
        <v>1</v>
      </c>
      <c r="AF129" s="20">
        <v>1</v>
      </c>
      <c r="AG129" s="20">
        <v>0</v>
      </c>
      <c r="AH129" s="20">
        <v>7</v>
      </c>
      <c r="AI129" s="328">
        <v>8.9922281456740958</v>
      </c>
      <c r="AJ129" s="328" t="s">
        <v>1328</v>
      </c>
      <c r="AK129" s="328">
        <v>0.28344671201814059</v>
      </c>
      <c r="AL129" s="22" t="s">
        <v>1329</v>
      </c>
      <c r="AM129" s="22" t="s">
        <v>1330</v>
      </c>
      <c r="AN129" s="22" t="s">
        <v>1315</v>
      </c>
      <c r="AO129" s="22" t="s">
        <v>1315</v>
      </c>
      <c r="AP129" s="22" t="s">
        <v>1315</v>
      </c>
      <c r="AQ129" s="22" t="s">
        <v>1315</v>
      </c>
      <c r="AR129" s="22" t="s">
        <v>1317</v>
      </c>
      <c r="AS129" s="22" t="s">
        <v>1318</v>
      </c>
      <c r="AT129" s="22" t="s">
        <v>1317</v>
      </c>
      <c r="AU129" s="22" t="s">
        <v>1318</v>
      </c>
      <c r="AV129" s="22" t="s">
        <v>1309</v>
      </c>
      <c r="AW129" s="22" t="s">
        <v>1309</v>
      </c>
      <c r="AX129" s="22" t="s">
        <v>1317</v>
      </c>
      <c r="AY129" s="22" t="s">
        <v>1318</v>
      </c>
      <c r="AZ129" s="22" t="s">
        <v>1317</v>
      </c>
      <c r="BA129" s="22" t="s">
        <v>1309</v>
      </c>
      <c r="BB129" s="22" t="s">
        <v>1309</v>
      </c>
      <c r="BC129" s="22" t="s">
        <v>1309</v>
      </c>
      <c r="BD129" s="22" t="s">
        <v>1309</v>
      </c>
      <c r="BE129" s="22" t="s">
        <v>1309</v>
      </c>
      <c r="BF129" s="22" t="s">
        <v>1317</v>
      </c>
      <c r="BG129" s="22" t="s">
        <v>1318</v>
      </c>
      <c r="BH129" s="22" t="s">
        <v>1309</v>
      </c>
      <c r="BI129" s="22" t="s">
        <v>1309</v>
      </c>
      <c r="BJ129" s="22" t="s">
        <v>1309</v>
      </c>
      <c r="BK129" s="22" t="s">
        <v>1309</v>
      </c>
      <c r="BL129" s="22" t="s">
        <v>1309</v>
      </c>
      <c r="BM129" s="22" t="s">
        <v>1309</v>
      </c>
      <c r="BN129" s="22" t="s">
        <v>1317</v>
      </c>
      <c r="BO129" s="22" t="s">
        <v>1318</v>
      </c>
      <c r="BP129" s="22" t="s">
        <v>1317</v>
      </c>
      <c r="BQ129" s="22" t="s">
        <v>1318</v>
      </c>
      <c r="BR129" s="22" t="s">
        <v>1309</v>
      </c>
      <c r="BS129" s="22" t="s">
        <v>1309</v>
      </c>
      <c r="BT129" s="22" t="s">
        <v>1309</v>
      </c>
      <c r="BU129" s="22" t="s">
        <v>1309</v>
      </c>
      <c r="BV129" s="22" t="s">
        <v>1317</v>
      </c>
      <c r="BW129" s="22" t="s">
        <v>1318</v>
      </c>
      <c r="BX129" s="20">
        <v>137</v>
      </c>
      <c r="BY129" s="20">
        <v>0</v>
      </c>
      <c r="BZ129" s="20">
        <v>1</v>
      </c>
      <c r="CA129" s="20">
        <v>61</v>
      </c>
      <c r="CB129" s="20">
        <v>0</v>
      </c>
      <c r="CC129" s="20">
        <v>3319</v>
      </c>
      <c r="CD129" s="22" t="s">
        <v>1331</v>
      </c>
      <c r="CE129" s="22" t="s">
        <v>1331</v>
      </c>
      <c r="CF129" s="22" t="s">
        <v>1331</v>
      </c>
      <c r="CG129" s="22" t="s">
        <v>1331</v>
      </c>
      <c r="CH129" s="22" t="s">
        <v>1317</v>
      </c>
      <c r="CI129" s="22" t="s">
        <v>1318</v>
      </c>
      <c r="CJ129" s="149" t="s">
        <v>1124</v>
      </c>
      <c r="CK129" s="241" t="s">
        <v>1124</v>
      </c>
    </row>
    <row r="130" spans="1:89" ht="15" customHeight="1" x14ac:dyDescent="0.35">
      <c r="A130" s="17"/>
      <c r="B130" s="313">
        <v>41038</v>
      </c>
      <c r="C130" s="8" t="s">
        <v>369</v>
      </c>
      <c r="D130" s="18">
        <v>5</v>
      </c>
      <c r="E130" s="131" t="s">
        <v>1309</v>
      </c>
      <c r="F130" s="22" t="s">
        <v>1309</v>
      </c>
      <c r="G130" s="132" t="s">
        <v>1309</v>
      </c>
      <c r="H130" s="22" t="s">
        <v>1311</v>
      </c>
      <c r="I130" s="22" t="s">
        <v>1341</v>
      </c>
      <c r="J130" s="22" t="s">
        <v>1342</v>
      </c>
      <c r="K130" s="22" t="s">
        <v>1314</v>
      </c>
      <c r="L130" s="22" t="s">
        <v>1311</v>
      </c>
      <c r="M130" s="133" t="s">
        <v>1311</v>
      </c>
      <c r="N130" s="22" t="s">
        <v>1311</v>
      </c>
      <c r="O130" s="22" t="s">
        <v>1309</v>
      </c>
      <c r="P130" s="22" t="s">
        <v>1309</v>
      </c>
      <c r="Q130" s="20">
        <v>0</v>
      </c>
      <c r="R130" s="20">
        <v>0</v>
      </c>
      <c r="S130" s="20">
        <v>54.968000000000004</v>
      </c>
      <c r="T130" s="20">
        <v>0</v>
      </c>
      <c r="U130" s="20">
        <v>0</v>
      </c>
      <c r="V130" s="20">
        <v>27.484000000000002</v>
      </c>
      <c r="W130" s="20">
        <v>0</v>
      </c>
      <c r="X130" s="20">
        <v>0</v>
      </c>
      <c r="Y130" s="20">
        <v>0</v>
      </c>
      <c r="Z130" s="20">
        <v>0</v>
      </c>
      <c r="AA130" s="20" t="s">
        <v>1317</v>
      </c>
      <c r="AB130" s="22" t="s">
        <v>1311</v>
      </c>
      <c r="AC130" s="20">
        <v>6</v>
      </c>
      <c r="AD130" s="20">
        <v>12</v>
      </c>
      <c r="AE130" s="20">
        <v>0</v>
      </c>
      <c r="AF130" s="20">
        <v>2</v>
      </c>
      <c r="AG130" s="20">
        <v>5</v>
      </c>
      <c r="AH130" s="20">
        <v>0</v>
      </c>
      <c r="AI130" s="328">
        <v>21.158050638267863</v>
      </c>
      <c r="AJ130" s="328">
        <v>12.944983818770227</v>
      </c>
      <c r="AK130" s="328" t="s">
        <v>1328</v>
      </c>
      <c r="AL130" s="22" t="s">
        <v>1329</v>
      </c>
      <c r="AM130" s="22" t="s">
        <v>1330</v>
      </c>
      <c r="AN130" s="22" t="s">
        <v>1317</v>
      </c>
      <c r="AO130" s="22" t="s">
        <v>1318</v>
      </c>
      <c r="AP130" s="22" t="s">
        <v>1318</v>
      </c>
      <c r="AQ130" s="22" t="s">
        <v>1318</v>
      </c>
      <c r="AR130" s="22" t="s">
        <v>1317</v>
      </c>
      <c r="AS130" s="22" t="s">
        <v>1318</v>
      </c>
      <c r="AT130" s="22" t="s">
        <v>1309</v>
      </c>
      <c r="AU130" s="22" t="s">
        <v>1309</v>
      </c>
      <c r="AV130" s="22" t="s">
        <v>1317</v>
      </c>
      <c r="AW130" s="22" t="s">
        <v>1318</v>
      </c>
      <c r="AX130" s="22" t="s">
        <v>1317</v>
      </c>
      <c r="AY130" s="22" t="s">
        <v>1318</v>
      </c>
      <c r="AZ130" s="22" t="s">
        <v>1317</v>
      </c>
      <c r="BA130" s="22" t="s">
        <v>1318</v>
      </c>
      <c r="BB130" s="22" t="s">
        <v>1309</v>
      </c>
      <c r="BC130" s="22" t="s">
        <v>1309</v>
      </c>
      <c r="BD130" s="22" t="s">
        <v>1309</v>
      </c>
      <c r="BE130" s="22" t="s">
        <v>1309</v>
      </c>
      <c r="BF130" s="22" t="s">
        <v>1317</v>
      </c>
      <c r="BG130" s="22" t="s">
        <v>1318</v>
      </c>
      <c r="BH130" s="22" t="s">
        <v>1317</v>
      </c>
      <c r="BI130" s="22" t="s">
        <v>1318</v>
      </c>
      <c r="BJ130" s="22" t="s">
        <v>1317</v>
      </c>
      <c r="BK130" s="22" t="s">
        <v>1311</v>
      </c>
      <c r="BL130" s="22" t="s">
        <v>1317</v>
      </c>
      <c r="BM130" s="22" t="s">
        <v>1318</v>
      </c>
      <c r="BN130" s="22" t="s">
        <v>1309</v>
      </c>
      <c r="BO130" s="22" t="s">
        <v>1309</v>
      </c>
      <c r="BP130" s="22" t="s">
        <v>1309</v>
      </c>
      <c r="BQ130" s="22" t="s">
        <v>1309</v>
      </c>
      <c r="BR130" s="22" t="s">
        <v>1309</v>
      </c>
      <c r="BS130" s="22" t="s">
        <v>1309</v>
      </c>
      <c r="BT130" s="22" t="s">
        <v>1315</v>
      </c>
      <c r="BU130" s="22" t="s">
        <v>1315</v>
      </c>
      <c r="BV130" s="22" t="s">
        <v>1317</v>
      </c>
      <c r="BW130" s="22" t="s">
        <v>1318</v>
      </c>
      <c r="BX130" s="20">
        <v>4</v>
      </c>
      <c r="BY130" s="20">
        <v>7</v>
      </c>
      <c r="BZ130" s="20">
        <v>76</v>
      </c>
      <c r="CA130" s="20">
        <v>0</v>
      </c>
      <c r="CB130" s="20">
        <v>0</v>
      </c>
      <c r="CC130" s="20">
        <v>840</v>
      </c>
      <c r="CD130" s="22" t="s">
        <v>1320</v>
      </c>
      <c r="CE130" s="22" t="s">
        <v>1321</v>
      </c>
      <c r="CF130" s="22" t="s">
        <v>1317</v>
      </c>
      <c r="CG130" s="22" t="s">
        <v>1321</v>
      </c>
      <c r="CH130" s="22" t="s">
        <v>1317</v>
      </c>
      <c r="CI130" s="22" t="s">
        <v>1318</v>
      </c>
      <c r="CJ130" s="149" t="s">
        <v>1124</v>
      </c>
      <c r="CK130" s="241" t="s">
        <v>1643</v>
      </c>
    </row>
    <row r="131" spans="1:89" ht="15" customHeight="1" x14ac:dyDescent="0.35">
      <c r="A131" s="17"/>
      <c r="B131" s="313">
        <v>71040</v>
      </c>
      <c r="C131" s="8" t="s">
        <v>709</v>
      </c>
      <c r="D131" s="18">
        <v>16</v>
      </c>
      <c r="E131" s="131" t="s">
        <v>1309</v>
      </c>
      <c r="F131" s="22" t="s">
        <v>1490</v>
      </c>
      <c r="G131" s="132" t="s">
        <v>1309</v>
      </c>
      <c r="H131" s="22" t="s">
        <v>1311</v>
      </c>
      <c r="I131" s="22" t="s">
        <v>1327</v>
      </c>
      <c r="J131" s="22" t="s">
        <v>1327</v>
      </c>
      <c r="K131" s="22" t="s">
        <v>1309</v>
      </c>
      <c r="L131" s="22" t="s">
        <v>1309</v>
      </c>
      <c r="M131" s="133" t="s">
        <v>1311</v>
      </c>
      <c r="N131" s="22" t="s">
        <v>1311</v>
      </c>
      <c r="O131" s="22" t="s">
        <v>1314</v>
      </c>
      <c r="P131" s="22" t="s">
        <v>1318</v>
      </c>
      <c r="Q131" s="20">
        <v>0</v>
      </c>
      <c r="R131" s="20">
        <v>0</v>
      </c>
      <c r="S131" s="20">
        <v>0</v>
      </c>
      <c r="T131" s="20">
        <v>0</v>
      </c>
      <c r="U131" s="20">
        <v>0</v>
      </c>
      <c r="V131" s="20">
        <v>0</v>
      </c>
      <c r="W131" s="20">
        <v>0</v>
      </c>
      <c r="X131" s="20">
        <v>0</v>
      </c>
      <c r="Y131" s="20">
        <v>0</v>
      </c>
      <c r="Z131" s="20">
        <v>0</v>
      </c>
      <c r="AA131" s="20" t="s">
        <v>1317</v>
      </c>
      <c r="AB131" s="22" t="s">
        <v>1318</v>
      </c>
      <c r="AC131" s="20">
        <v>8</v>
      </c>
      <c r="AD131" s="20">
        <v>0</v>
      </c>
      <c r="AE131" s="20">
        <v>0</v>
      </c>
      <c r="AF131" s="20">
        <v>1</v>
      </c>
      <c r="AG131" s="20">
        <v>0</v>
      </c>
      <c r="AH131" s="20">
        <v>0</v>
      </c>
      <c r="AI131" s="328">
        <v>15.998400159984001</v>
      </c>
      <c r="AJ131" s="328" t="s">
        <v>1328</v>
      </c>
      <c r="AK131" s="328" t="s">
        <v>1328</v>
      </c>
      <c r="AL131" s="22" t="s">
        <v>1329</v>
      </c>
      <c r="AM131" s="22" t="s">
        <v>1316</v>
      </c>
      <c r="AN131" s="22" t="s">
        <v>1317</v>
      </c>
      <c r="AO131" s="22" t="s">
        <v>1318</v>
      </c>
      <c r="AP131" s="22" t="s">
        <v>1318</v>
      </c>
      <c r="AQ131" s="22" t="s">
        <v>1318</v>
      </c>
      <c r="AR131" s="22" t="s">
        <v>1317</v>
      </c>
      <c r="AS131" s="22" t="s">
        <v>1318</v>
      </c>
      <c r="AT131" s="22" t="s">
        <v>1317</v>
      </c>
      <c r="AU131" s="22" t="s">
        <v>1311</v>
      </c>
      <c r="AV131" s="22" t="s">
        <v>1317</v>
      </c>
      <c r="AW131" s="22" t="s">
        <v>1318</v>
      </c>
      <c r="AX131" s="22" t="s">
        <v>1317</v>
      </c>
      <c r="AY131" s="22" t="s">
        <v>1318</v>
      </c>
      <c r="AZ131" s="22" t="s">
        <v>1309</v>
      </c>
      <c r="BA131" s="22" t="s">
        <v>1309</v>
      </c>
      <c r="BB131" s="22" t="s">
        <v>1309</v>
      </c>
      <c r="BC131" s="22" t="s">
        <v>1309</v>
      </c>
      <c r="BD131" s="22" t="s">
        <v>1317</v>
      </c>
      <c r="BE131" s="22" t="s">
        <v>1318</v>
      </c>
      <c r="BF131" s="22" t="s">
        <v>1317</v>
      </c>
      <c r="BG131" s="22" t="s">
        <v>1318</v>
      </c>
      <c r="BH131" s="22" t="s">
        <v>1309</v>
      </c>
      <c r="BI131" s="22" t="s">
        <v>1309</v>
      </c>
      <c r="BJ131" s="22" t="s">
        <v>1309</v>
      </c>
      <c r="BK131" s="22" t="s">
        <v>1309</v>
      </c>
      <c r="BL131" s="22" t="s">
        <v>1309</v>
      </c>
      <c r="BM131" s="22" t="s">
        <v>1309</v>
      </c>
      <c r="BN131" s="22" t="s">
        <v>1309</v>
      </c>
      <c r="BO131" s="22" t="s">
        <v>1309</v>
      </c>
      <c r="BP131" s="22" t="s">
        <v>1309</v>
      </c>
      <c r="BQ131" s="22" t="s">
        <v>1309</v>
      </c>
      <c r="BR131" s="22" t="s">
        <v>1319</v>
      </c>
      <c r="BS131" s="22" t="s">
        <v>1309</v>
      </c>
      <c r="BT131" s="22" t="s">
        <v>1309</v>
      </c>
      <c r="BU131" s="22" t="s">
        <v>1309</v>
      </c>
      <c r="BV131" s="22" t="s">
        <v>1317</v>
      </c>
      <c r="BW131" s="22" t="s">
        <v>1318</v>
      </c>
      <c r="BX131" s="20">
        <v>10</v>
      </c>
      <c r="BY131" s="20">
        <v>0</v>
      </c>
      <c r="BZ131" s="20">
        <v>91</v>
      </c>
      <c r="CA131" s="20">
        <v>0</v>
      </c>
      <c r="CB131" s="20">
        <v>0</v>
      </c>
      <c r="CC131" s="20">
        <v>2154</v>
      </c>
      <c r="CD131" s="22" t="s">
        <v>1345</v>
      </c>
      <c r="CE131" s="22" t="s">
        <v>1321</v>
      </c>
      <c r="CF131" s="22" t="s">
        <v>1317</v>
      </c>
      <c r="CG131" s="22" t="s">
        <v>1318</v>
      </c>
      <c r="CH131" s="22" t="s">
        <v>1317</v>
      </c>
      <c r="CI131" s="22" t="s">
        <v>1318</v>
      </c>
      <c r="CJ131" s="149" t="s">
        <v>1124</v>
      </c>
      <c r="CK131" s="241" t="s">
        <v>1357</v>
      </c>
    </row>
    <row r="132" spans="1:89" ht="15" customHeight="1" x14ac:dyDescent="0.35">
      <c r="A132" s="17"/>
      <c r="B132" s="313">
        <v>98015</v>
      </c>
      <c r="C132" s="8" t="s">
        <v>1010</v>
      </c>
      <c r="D132" s="18">
        <v>9</v>
      </c>
      <c r="E132" s="131"/>
      <c r="F132" s="22"/>
      <c r="G132" s="132"/>
      <c r="H132" s="22"/>
      <c r="I132" s="22"/>
      <c r="J132" s="22"/>
      <c r="K132" s="22"/>
      <c r="L132" s="22"/>
      <c r="M132" s="133"/>
      <c r="N132" s="22"/>
      <c r="O132" s="22"/>
      <c r="P132" s="22"/>
      <c r="Q132" s="20"/>
      <c r="R132" s="20"/>
      <c r="S132" s="20"/>
      <c r="T132" s="20"/>
      <c r="U132" s="20"/>
      <c r="V132" s="20"/>
      <c r="W132" s="20"/>
      <c r="X132" s="20"/>
      <c r="Y132" s="20"/>
      <c r="Z132" s="20"/>
      <c r="AA132" s="20"/>
      <c r="AB132" s="22"/>
      <c r="AC132" s="20"/>
      <c r="AD132" s="20"/>
      <c r="AE132" s="20"/>
      <c r="AF132" s="20" t="s">
        <v>1124</v>
      </c>
      <c r="AG132" s="20" t="s">
        <v>1124</v>
      </c>
      <c r="AH132" s="20" t="s">
        <v>1124</v>
      </c>
      <c r="AI132" s="328"/>
      <c r="AJ132" s="328"/>
      <c r="AK132" s="328"/>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0"/>
      <c r="BY132" s="20"/>
      <c r="BZ132" s="20"/>
      <c r="CA132" s="20"/>
      <c r="CB132" s="20"/>
      <c r="CC132" s="20"/>
      <c r="CD132" s="22"/>
      <c r="CE132" s="22"/>
      <c r="CF132" s="22"/>
      <c r="CG132" s="22"/>
      <c r="CH132" s="22"/>
      <c r="CI132" s="22"/>
      <c r="CJ132" s="149"/>
      <c r="CK132" s="241"/>
    </row>
    <row r="133" spans="1:89" ht="15" customHeight="1" x14ac:dyDescent="0.35">
      <c r="A133" s="17"/>
      <c r="B133" s="313">
        <v>66058</v>
      </c>
      <c r="C133" s="8" t="s">
        <v>651</v>
      </c>
      <c r="D133" s="18">
        <v>6</v>
      </c>
      <c r="E133" s="131" t="s">
        <v>1309</v>
      </c>
      <c r="F133" s="22" t="s">
        <v>1309</v>
      </c>
      <c r="G133" s="132" t="s">
        <v>1309</v>
      </c>
      <c r="H133" s="22" t="s">
        <v>1311</v>
      </c>
      <c r="I133" s="22" t="s">
        <v>1327</v>
      </c>
      <c r="J133" s="22" t="s">
        <v>1327</v>
      </c>
      <c r="K133" s="22" t="s">
        <v>1309</v>
      </c>
      <c r="L133" s="22" t="s">
        <v>1309</v>
      </c>
      <c r="M133" s="133" t="s">
        <v>1311</v>
      </c>
      <c r="N133" s="22" t="s">
        <v>1311</v>
      </c>
      <c r="O133" s="22" t="s">
        <v>1314</v>
      </c>
      <c r="P133" s="22" t="s">
        <v>1318</v>
      </c>
      <c r="Q133" s="20">
        <v>0</v>
      </c>
      <c r="R133" s="20">
        <v>0</v>
      </c>
      <c r="S133" s="20">
        <v>0</v>
      </c>
      <c r="T133" s="20">
        <v>0</v>
      </c>
      <c r="U133" s="20">
        <v>72.805000000000007</v>
      </c>
      <c r="V133" s="20">
        <v>72.805000000000007</v>
      </c>
      <c r="W133" s="20">
        <v>0</v>
      </c>
      <c r="X133" s="20">
        <v>0</v>
      </c>
      <c r="Y133" s="20">
        <v>0</v>
      </c>
      <c r="Z133" s="20">
        <v>0</v>
      </c>
      <c r="AA133" s="20" t="s">
        <v>1309</v>
      </c>
      <c r="AB133" s="22" t="s">
        <v>1309</v>
      </c>
      <c r="AC133" s="20">
        <v>6</v>
      </c>
      <c r="AD133" s="20">
        <v>21</v>
      </c>
      <c r="AE133" s="20">
        <v>5</v>
      </c>
      <c r="AF133" s="20">
        <v>1</v>
      </c>
      <c r="AG133" s="20">
        <v>1</v>
      </c>
      <c r="AH133" s="20">
        <v>10</v>
      </c>
      <c r="AI133" s="328">
        <v>8.2411922258086658</v>
      </c>
      <c r="AJ133" s="328">
        <v>2.3393115740225019</v>
      </c>
      <c r="AK133" s="328">
        <v>0.55697894619583377</v>
      </c>
      <c r="AL133" s="22" t="s">
        <v>1329</v>
      </c>
      <c r="AM133" s="22" t="s">
        <v>1330</v>
      </c>
      <c r="AN133" s="22" t="s">
        <v>1347</v>
      </c>
      <c r="AO133" s="22" t="s">
        <v>1309</v>
      </c>
      <c r="AP133" s="22" t="s">
        <v>1347</v>
      </c>
      <c r="AQ133" s="22" t="s">
        <v>1649</v>
      </c>
      <c r="AR133" s="22" t="s">
        <v>1317</v>
      </c>
      <c r="AS133" s="22" t="s">
        <v>1318</v>
      </c>
      <c r="AT133" s="22" t="s">
        <v>1317</v>
      </c>
      <c r="AU133" s="22" t="s">
        <v>1318</v>
      </c>
      <c r="AV133" s="22" t="s">
        <v>1317</v>
      </c>
      <c r="AW133" s="22" t="s">
        <v>1318</v>
      </c>
      <c r="AX133" s="22" t="s">
        <v>1309</v>
      </c>
      <c r="AY133" s="22" t="s">
        <v>1311</v>
      </c>
      <c r="AZ133" s="22" t="s">
        <v>1309</v>
      </c>
      <c r="BA133" s="22" t="s">
        <v>1309</v>
      </c>
      <c r="BB133" s="22" t="s">
        <v>1309</v>
      </c>
      <c r="BC133" s="22" t="s">
        <v>1311</v>
      </c>
      <c r="BD133" s="22" t="s">
        <v>1317</v>
      </c>
      <c r="BE133" s="22" t="s">
        <v>1318</v>
      </c>
      <c r="BF133" s="22" t="s">
        <v>1317</v>
      </c>
      <c r="BG133" s="22" t="s">
        <v>1318</v>
      </c>
      <c r="BH133" s="22" t="s">
        <v>1317</v>
      </c>
      <c r="BI133" s="22" t="s">
        <v>1318</v>
      </c>
      <c r="BJ133" s="22" t="s">
        <v>1317</v>
      </c>
      <c r="BK133" s="22" t="s">
        <v>1318</v>
      </c>
      <c r="BL133" s="22" t="s">
        <v>1319</v>
      </c>
      <c r="BM133" s="22" t="s">
        <v>1311</v>
      </c>
      <c r="BN133" s="22" t="s">
        <v>1309</v>
      </c>
      <c r="BO133" s="22" t="s">
        <v>1309</v>
      </c>
      <c r="BP133" s="22" t="s">
        <v>1309</v>
      </c>
      <c r="BQ133" s="22" t="s">
        <v>1309</v>
      </c>
      <c r="BR133" s="22" t="s">
        <v>1309</v>
      </c>
      <c r="BS133" s="22" t="s">
        <v>1311</v>
      </c>
      <c r="BT133" s="22" t="s">
        <v>1317</v>
      </c>
      <c r="BU133" s="22" t="s">
        <v>1318</v>
      </c>
      <c r="BV133" s="22" t="s">
        <v>1309</v>
      </c>
      <c r="BW133" s="22" t="s">
        <v>1309</v>
      </c>
      <c r="BX133" s="20">
        <v>57</v>
      </c>
      <c r="BY133" s="20">
        <v>3</v>
      </c>
      <c r="BZ133" s="20">
        <v>17</v>
      </c>
      <c r="CA133" s="20">
        <v>19</v>
      </c>
      <c r="CB133" s="20">
        <v>0</v>
      </c>
      <c r="CC133" s="20">
        <v>8881</v>
      </c>
      <c r="CD133" s="22" t="s">
        <v>1345</v>
      </c>
      <c r="CE133" s="22" t="s">
        <v>1321</v>
      </c>
      <c r="CF133" s="22" t="s">
        <v>1317</v>
      </c>
      <c r="CG133" s="22" t="s">
        <v>1340</v>
      </c>
      <c r="CH133" s="22" t="s">
        <v>1317</v>
      </c>
      <c r="CI133" s="22" t="s">
        <v>1318</v>
      </c>
      <c r="CJ133" s="149" t="s">
        <v>1124</v>
      </c>
      <c r="CK133" s="241" t="s">
        <v>1650</v>
      </c>
    </row>
    <row r="134" spans="1:89" ht="15" customHeight="1" x14ac:dyDescent="0.35">
      <c r="A134" s="17"/>
      <c r="B134" s="313">
        <v>30090</v>
      </c>
      <c r="C134" s="8" t="s">
        <v>232</v>
      </c>
      <c r="D134" s="18">
        <v>5</v>
      </c>
      <c r="E134" s="131" t="s">
        <v>1309</v>
      </c>
      <c r="F134" s="22" t="s">
        <v>1309</v>
      </c>
      <c r="G134" s="132" t="s">
        <v>1309</v>
      </c>
      <c r="H134" s="22" t="s">
        <v>1311</v>
      </c>
      <c r="I134" s="22" t="s">
        <v>1327</v>
      </c>
      <c r="J134" s="22" t="s">
        <v>1327</v>
      </c>
      <c r="K134" s="22" t="s">
        <v>1314</v>
      </c>
      <c r="L134" s="22" t="s">
        <v>1311</v>
      </c>
      <c r="M134" s="133" t="s">
        <v>1311</v>
      </c>
      <c r="N134" s="22" t="s">
        <v>1311</v>
      </c>
      <c r="O134" s="22" t="s">
        <v>1309</v>
      </c>
      <c r="P134" s="22" t="s">
        <v>1309</v>
      </c>
      <c r="Q134" s="20">
        <v>0</v>
      </c>
      <c r="R134" s="20">
        <v>0</v>
      </c>
      <c r="S134" s="20">
        <v>0</v>
      </c>
      <c r="T134" s="20">
        <v>0</v>
      </c>
      <c r="U134" s="20">
        <v>0</v>
      </c>
      <c r="V134" s="20">
        <v>0</v>
      </c>
      <c r="W134" s="20">
        <v>0</v>
      </c>
      <c r="X134" s="20">
        <v>0</v>
      </c>
      <c r="Y134" s="20">
        <v>0</v>
      </c>
      <c r="Z134" s="20">
        <v>0</v>
      </c>
      <c r="AA134" s="20" t="s">
        <v>1317</v>
      </c>
      <c r="AB134" s="22" t="s">
        <v>1318</v>
      </c>
      <c r="AC134" s="20">
        <v>0</v>
      </c>
      <c r="AD134" s="20">
        <v>0</v>
      </c>
      <c r="AE134" s="20">
        <v>1</v>
      </c>
      <c r="AF134" s="20">
        <v>0</v>
      </c>
      <c r="AG134" s="20">
        <v>0</v>
      </c>
      <c r="AH134" s="20">
        <v>1</v>
      </c>
      <c r="AI134" s="328" t="s">
        <v>1328</v>
      </c>
      <c r="AJ134" s="328" t="s">
        <v>1328</v>
      </c>
      <c r="AK134" s="328">
        <v>4.0650406504065044</v>
      </c>
      <c r="AL134" s="22" t="s">
        <v>1329</v>
      </c>
      <c r="AM134" s="22" t="s">
        <v>1330</v>
      </c>
      <c r="AN134" s="22" t="s">
        <v>1526</v>
      </c>
      <c r="AO134" s="22" t="s">
        <v>1318</v>
      </c>
      <c r="AP134" s="22" t="s">
        <v>1526</v>
      </c>
      <c r="AQ134" s="22" t="s">
        <v>1318</v>
      </c>
      <c r="AR134" s="22" t="s">
        <v>1317</v>
      </c>
      <c r="AS134" s="22" t="s">
        <v>1318</v>
      </c>
      <c r="AT134" s="22" t="s">
        <v>1317</v>
      </c>
      <c r="AU134" s="22" t="s">
        <v>1318</v>
      </c>
      <c r="AV134" s="22" t="s">
        <v>1317</v>
      </c>
      <c r="AW134" s="22" t="s">
        <v>1318</v>
      </c>
      <c r="AX134" s="22" t="s">
        <v>1317</v>
      </c>
      <c r="AY134" s="22" t="s">
        <v>1318</v>
      </c>
      <c r="AZ134" s="22" t="s">
        <v>1309</v>
      </c>
      <c r="BA134" s="22" t="s">
        <v>1309</v>
      </c>
      <c r="BB134" s="22" t="s">
        <v>1309</v>
      </c>
      <c r="BC134" s="22" t="s">
        <v>1309</v>
      </c>
      <c r="BD134" s="22" t="s">
        <v>1309</v>
      </c>
      <c r="BE134" s="22" t="s">
        <v>1309</v>
      </c>
      <c r="BF134" s="22" t="s">
        <v>1309</v>
      </c>
      <c r="BG134" s="22" t="s">
        <v>1309</v>
      </c>
      <c r="BH134" s="22" t="s">
        <v>1317</v>
      </c>
      <c r="BI134" s="22" t="s">
        <v>1311</v>
      </c>
      <c r="BJ134" s="22" t="s">
        <v>1319</v>
      </c>
      <c r="BK134" s="22" t="s">
        <v>1311</v>
      </c>
      <c r="BL134" s="22" t="s">
        <v>1317</v>
      </c>
      <c r="BM134" s="22" t="s">
        <v>1311</v>
      </c>
      <c r="BN134" s="22" t="s">
        <v>1309</v>
      </c>
      <c r="BO134" s="22" t="s">
        <v>1309</v>
      </c>
      <c r="BP134" s="22" t="s">
        <v>1315</v>
      </c>
      <c r="BQ134" s="22" t="s">
        <v>1318</v>
      </c>
      <c r="BR134" s="22" t="s">
        <v>1309</v>
      </c>
      <c r="BS134" s="22" t="s">
        <v>1309</v>
      </c>
      <c r="BT134" s="22" t="s">
        <v>1309</v>
      </c>
      <c r="BU134" s="22" t="s">
        <v>1309</v>
      </c>
      <c r="BV134" s="22" t="s">
        <v>1309</v>
      </c>
      <c r="BW134" s="22" t="s">
        <v>1309</v>
      </c>
      <c r="BX134" s="20">
        <v>23</v>
      </c>
      <c r="BY134" s="20">
        <v>2</v>
      </c>
      <c r="BZ134" s="20">
        <v>0</v>
      </c>
      <c r="CA134" s="20">
        <v>213</v>
      </c>
      <c r="CB134" s="20">
        <v>1</v>
      </c>
      <c r="CC134" s="20">
        <v>7</v>
      </c>
      <c r="CD134" s="22" t="s">
        <v>1331</v>
      </c>
      <c r="CE134" s="22" t="s">
        <v>1331</v>
      </c>
      <c r="CF134" s="22" t="s">
        <v>1315</v>
      </c>
      <c r="CG134" s="22" t="s">
        <v>1315</v>
      </c>
      <c r="CH134" s="22" t="s">
        <v>1315</v>
      </c>
      <c r="CI134" s="22" t="s">
        <v>1315</v>
      </c>
      <c r="CJ134" s="149" t="s">
        <v>1654</v>
      </c>
      <c r="CK134" s="241" t="s">
        <v>1124</v>
      </c>
    </row>
    <row r="135" spans="1:89" ht="15" customHeight="1" x14ac:dyDescent="0.35">
      <c r="A135" s="17"/>
      <c r="B135" s="313">
        <v>46080</v>
      </c>
      <c r="C135" s="8" t="s">
        <v>441</v>
      </c>
      <c r="D135" s="18">
        <v>5</v>
      </c>
      <c r="E135" s="131" t="s">
        <v>1309</v>
      </c>
      <c r="F135" s="22" t="s">
        <v>1309</v>
      </c>
      <c r="G135" s="132" t="s">
        <v>1309</v>
      </c>
      <c r="H135" s="22" t="s">
        <v>1311</v>
      </c>
      <c r="I135" s="22" t="s">
        <v>1327</v>
      </c>
      <c r="J135" s="22" t="s">
        <v>1342</v>
      </c>
      <c r="K135" s="22" t="s">
        <v>1319</v>
      </c>
      <c r="L135" s="22" t="s">
        <v>1311</v>
      </c>
      <c r="M135" s="133" t="s">
        <v>1311</v>
      </c>
      <c r="N135" s="22" t="s">
        <v>1311</v>
      </c>
      <c r="O135" s="22" t="s">
        <v>1319</v>
      </c>
      <c r="P135" s="22" t="s">
        <v>1309</v>
      </c>
      <c r="Q135" s="20">
        <v>0</v>
      </c>
      <c r="R135" s="20">
        <v>0</v>
      </c>
      <c r="S135" s="20">
        <v>0</v>
      </c>
      <c r="T135" s="20">
        <v>0</v>
      </c>
      <c r="U135" s="20">
        <v>123.3</v>
      </c>
      <c r="V135" s="20">
        <v>123.3</v>
      </c>
      <c r="W135" s="20">
        <v>0</v>
      </c>
      <c r="X135" s="20">
        <v>0</v>
      </c>
      <c r="Y135" s="20">
        <v>0</v>
      </c>
      <c r="Z135" s="20">
        <v>0</v>
      </c>
      <c r="AA135" s="20" t="s">
        <v>1317</v>
      </c>
      <c r="AB135" s="22" t="s">
        <v>1318</v>
      </c>
      <c r="AC135" s="20">
        <v>18</v>
      </c>
      <c r="AD135" s="20">
        <v>15</v>
      </c>
      <c r="AE135" s="20">
        <v>7</v>
      </c>
      <c r="AF135" s="20">
        <v>3</v>
      </c>
      <c r="AG135" s="20">
        <v>3</v>
      </c>
      <c r="AH135" s="20">
        <v>12</v>
      </c>
      <c r="AI135" s="328">
        <v>14.606714219636293</v>
      </c>
      <c r="AJ135" s="328">
        <v>3.4570177460244298</v>
      </c>
      <c r="AK135" s="328">
        <v>1.6132749481447337</v>
      </c>
      <c r="AL135" s="22" t="s">
        <v>1316</v>
      </c>
      <c r="AM135" s="22" t="s">
        <v>1343</v>
      </c>
      <c r="AN135" s="22" t="s">
        <v>1317</v>
      </c>
      <c r="AO135" s="22" t="s">
        <v>1318</v>
      </c>
      <c r="AP135" s="22" t="s">
        <v>1318</v>
      </c>
      <c r="AQ135" s="22" t="s">
        <v>1318</v>
      </c>
      <c r="AR135" s="22" t="s">
        <v>1317</v>
      </c>
      <c r="AS135" s="22" t="s">
        <v>1315</v>
      </c>
      <c r="AT135" s="22" t="s">
        <v>1309</v>
      </c>
      <c r="AU135" s="22" t="s">
        <v>1309</v>
      </c>
      <c r="AV135" s="22" t="s">
        <v>1317</v>
      </c>
      <c r="AW135" s="22" t="s">
        <v>1318</v>
      </c>
      <c r="AX135" s="22" t="s">
        <v>1317</v>
      </c>
      <c r="AY135" s="22" t="s">
        <v>1318</v>
      </c>
      <c r="AZ135" s="22" t="s">
        <v>1315</v>
      </c>
      <c r="BA135" s="22" t="s">
        <v>1311</v>
      </c>
      <c r="BB135" s="22" t="s">
        <v>1319</v>
      </c>
      <c r="BC135" s="22" t="s">
        <v>1309</v>
      </c>
      <c r="BD135" s="22" t="s">
        <v>1319</v>
      </c>
      <c r="BE135" s="22" t="s">
        <v>1311</v>
      </c>
      <c r="BF135" s="22" t="s">
        <v>1317</v>
      </c>
      <c r="BG135" s="22" t="s">
        <v>1318</v>
      </c>
      <c r="BH135" s="22" t="s">
        <v>1315</v>
      </c>
      <c r="BI135" s="22" t="s">
        <v>1318</v>
      </c>
      <c r="BJ135" s="22" t="s">
        <v>1315</v>
      </c>
      <c r="BK135" s="22" t="s">
        <v>1311</v>
      </c>
      <c r="BL135" s="22" t="s">
        <v>1309</v>
      </c>
      <c r="BM135" s="22" t="s">
        <v>1309</v>
      </c>
      <c r="BN135" s="22" t="s">
        <v>1315</v>
      </c>
      <c r="BO135" s="22" t="s">
        <v>1311</v>
      </c>
      <c r="BP135" s="22" t="s">
        <v>1309</v>
      </c>
      <c r="BQ135" s="22" t="s">
        <v>1309</v>
      </c>
      <c r="BR135" s="22" t="s">
        <v>1309</v>
      </c>
      <c r="BS135" s="22" t="s">
        <v>1309</v>
      </c>
      <c r="BT135" s="22" t="s">
        <v>1309</v>
      </c>
      <c r="BU135" s="22" t="s">
        <v>1309</v>
      </c>
      <c r="BV135" s="22" t="s">
        <v>1317</v>
      </c>
      <c r="BW135" s="22" t="s">
        <v>1318</v>
      </c>
      <c r="BX135" s="20">
        <v>265</v>
      </c>
      <c r="BY135" s="20">
        <v>2</v>
      </c>
      <c r="BZ135" s="20">
        <v>77</v>
      </c>
      <c r="CA135" s="20">
        <v>59</v>
      </c>
      <c r="CB135" s="20">
        <v>0</v>
      </c>
      <c r="CC135" s="20">
        <v>3711</v>
      </c>
      <c r="CD135" s="22" t="s">
        <v>1345</v>
      </c>
      <c r="CE135" s="22" t="s">
        <v>1321</v>
      </c>
      <c r="CF135" s="22" t="s">
        <v>1345</v>
      </c>
      <c r="CG135" s="22" t="s">
        <v>1331</v>
      </c>
      <c r="CH135" s="22" t="s">
        <v>1315</v>
      </c>
      <c r="CI135" s="22" t="s">
        <v>1318</v>
      </c>
      <c r="CJ135" s="149" t="s">
        <v>1124</v>
      </c>
      <c r="CK135" s="241" t="s">
        <v>1124</v>
      </c>
    </row>
    <row r="136" spans="1:89" ht="15" customHeight="1" x14ac:dyDescent="0.35">
      <c r="A136" s="17"/>
      <c r="B136" s="313">
        <v>61013</v>
      </c>
      <c r="C136" s="8" t="s">
        <v>610</v>
      </c>
      <c r="D136" s="18">
        <v>14</v>
      </c>
      <c r="E136" s="131" t="s">
        <v>1309</v>
      </c>
      <c r="F136" s="22" t="s">
        <v>1309</v>
      </c>
      <c r="G136" s="132" t="s">
        <v>1309</v>
      </c>
      <c r="H136" s="22" t="s">
        <v>1311</v>
      </c>
      <c r="I136" s="22" t="s">
        <v>1327</v>
      </c>
      <c r="J136" s="22" t="s">
        <v>1327</v>
      </c>
      <c r="K136" s="22" t="s">
        <v>1309</v>
      </c>
      <c r="L136" s="22" t="s">
        <v>1309</v>
      </c>
      <c r="M136" s="133" t="s">
        <v>1311</v>
      </c>
      <c r="N136" s="22" t="s">
        <v>1311</v>
      </c>
      <c r="O136" s="22" t="s">
        <v>1309</v>
      </c>
      <c r="P136" s="22" t="s">
        <v>1309</v>
      </c>
      <c r="Q136" s="20">
        <v>19.981000000000002</v>
      </c>
      <c r="R136" s="20">
        <v>19.981000000000002</v>
      </c>
      <c r="S136" s="20">
        <v>17.902000000000001</v>
      </c>
      <c r="T136" s="20">
        <v>17.902000000000001</v>
      </c>
      <c r="U136" s="20">
        <v>1.9890000000000001</v>
      </c>
      <c r="V136" s="20">
        <v>1.9890000000000001</v>
      </c>
      <c r="W136" s="20">
        <v>0</v>
      </c>
      <c r="X136" s="20">
        <v>0</v>
      </c>
      <c r="Y136" s="20">
        <v>0</v>
      </c>
      <c r="Z136" s="20">
        <v>0</v>
      </c>
      <c r="AA136" s="20" t="s">
        <v>1309</v>
      </c>
      <c r="AB136" s="22" t="s">
        <v>1309</v>
      </c>
      <c r="AC136" s="20">
        <v>1</v>
      </c>
      <c r="AD136" s="20">
        <v>0</v>
      </c>
      <c r="AE136" s="20">
        <v>0</v>
      </c>
      <c r="AF136" s="20">
        <v>1</v>
      </c>
      <c r="AG136" s="20">
        <v>0</v>
      </c>
      <c r="AH136" s="20">
        <v>0</v>
      </c>
      <c r="AI136" s="328">
        <v>5.0047545167909515</v>
      </c>
      <c r="AJ136" s="328" t="s">
        <v>1328</v>
      </c>
      <c r="AK136" s="328" t="s">
        <v>1328</v>
      </c>
      <c r="AL136" s="22" t="s">
        <v>1329</v>
      </c>
      <c r="AM136" s="22" t="s">
        <v>1330</v>
      </c>
      <c r="AN136" s="22" t="s">
        <v>1315</v>
      </c>
      <c r="AO136" s="22" t="s">
        <v>1315</v>
      </c>
      <c r="AP136" s="22" t="s">
        <v>1315</v>
      </c>
      <c r="AQ136" s="22" t="s">
        <v>1315</v>
      </c>
      <c r="AR136" s="22" t="s">
        <v>1317</v>
      </c>
      <c r="AS136" s="22" t="s">
        <v>1318</v>
      </c>
      <c r="AT136" s="22" t="s">
        <v>1309</v>
      </c>
      <c r="AU136" s="22" t="s">
        <v>1309</v>
      </c>
      <c r="AV136" s="22" t="s">
        <v>1309</v>
      </c>
      <c r="AW136" s="22" t="s">
        <v>1309</v>
      </c>
      <c r="AX136" s="22" t="s">
        <v>1309</v>
      </c>
      <c r="AY136" s="22" t="s">
        <v>1309</v>
      </c>
      <c r="AZ136" s="22" t="s">
        <v>1309</v>
      </c>
      <c r="BA136" s="22" t="s">
        <v>1309</v>
      </c>
      <c r="BB136" s="22" t="s">
        <v>1309</v>
      </c>
      <c r="BC136" s="22" t="s">
        <v>1309</v>
      </c>
      <c r="BD136" s="22" t="s">
        <v>1309</v>
      </c>
      <c r="BE136" s="22" t="s">
        <v>1309</v>
      </c>
      <c r="BF136" s="22" t="s">
        <v>1309</v>
      </c>
      <c r="BG136" s="22" t="s">
        <v>1309</v>
      </c>
      <c r="BH136" s="22" t="s">
        <v>1309</v>
      </c>
      <c r="BI136" s="22" t="s">
        <v>1309</v>
      </c>
      <c r="BJ136" s="22" t="s">
        <v>1309</v>
      </c>
      <c r="BK136" s="22" t="s">
        <v>1309</v>
      </c>
      <c r="BL136" s="22" t="s">
        <v>1319</v>
      </c>
      <c r="BM136" s="22" t="s">
        <v>1311</v>
      </c>
      <c r="BN136" s="22" t="s">
        <v>1317</v>
      </c>
      <c r="BO136" s="22" t="s">
        <v>1311</v>
      </c>
      <c r="BP136" s="22" t="s">
        <v>1309</v>
      </c>
      <c r="BQ136" s="22" t="s">
        <v>1309</v>
      </c>
      <c r="BR136" s="22" t="s">
        <v>1309</v>
      </c>
      <c r="BS136" s="22" t="s">
        <v>1309</v>
      </c>
      <c r="BT136" s="22" t="s">
        <v>1309</v>
      </c>
      <c r="BU136" s="22" t="s">
        <v>1309</v>
      </c>
      <c r="BV136" s="22" t="s">
        <v>1317</v>
      </c>
      <c r="BW136" s="22" t="s">
        <v>1311</v>
      </c>
      <c r="BX136" s="20">
        <v>84</v>
      </c>
      <c r="BY136" s="20">
        <v>0</v>
      </c>
      <c r="BZ136" s="20">
        <v>0</v>
      </c>
      <c r="CA136" s="20">
        <v>355</v>
      </c>
      <c r="CB136" s="20">
        <v>0</v>
      </c>
      <c r="CC136" s="20">
        <v>594</v>
      </c>
      <c r="CD136" s="22" t="s">
        <v>1331</v>
      </c>
      <c r="CE136" s="22" t="s">
        <v>1331</v>
      </c>
      <c r="CF136" s="22" t="s">
        <v>1331</v>
      </c>
      <c r="CG136" s="22" t="s">
        <v>1331</v>
      </c>
      <c r="CH136" s="22" t="s">
        <v>1315</v>
      </c>
      <c r="CI136" s="22" t="s">
        <v>1315</v>
      </c>
      <c r="CJ136" s="149" t="s">
        <v>1124</v>
      </c>
      <c r="CK136" s="241" t="s">
        <v>1124</v>
      </c>
    </row>
    <row r="137" spans="1:89" ht="15" customHeight="1" x14ac:dyDescent="0.35">
      <c r="A137" s="17"/>
      <c r="B137" s="313">
        <v>40047</v>
      </c>
      <c r="C137" s="8" t="s">
        <v>364</v>
      </c>
      <c r="D137" s="18">
        <v>5</v>
      </c>
      <c r="E137" s="131"/>
      <c r="F137" s="22"/>
      <c r="G137" s="132"/>
      <c r="H137" s="22"/>
      <c r="I137" s="22"/>
      <c r="J137" s="22"/>
      <c r="K137" s="22"/>
      <c r="L137" s="22"/>
      <c r="M137" s="133"/>
      <c r="N137" s="22"/>
      <c r="O137" s="22"/>
      <c r="P137" s="22"/>
      <c r="Q137" s="20"/>
      <c r="R137" s="20"/>
      <c r="S137" s="20"/>
      <c r="T137" s="20"/>
      <c r="U137" s="20"/>
      <c r="V137" s="20"/>
      <c r="W137" s="20"/>
      <c r="X137" s="20"/>
      <c r="Y137" s="20"/>
      <c r="Z137" s="20"/>
      <c r="AA137" s="20"/>
      <c r="AB137" s="22"/>
      <c r="AC137" s="20"/>
      <c r="AD137" s="20"/>
      <c r="AE137" s="20"/>
      <c r="AF137" s="20" t="s">
        <v>1124</v>
      </c>
      <c r="AG137" s="20" t="s">
        <v>1124</v>
      </c>
      <c r="AH137" s="20" t="s">
        <v>1124</v>
      </c>
      <c r="AI137" s="328"/>
      <c r="AJ137" s="328"/>
      <c r="AK137" s="328"/>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0"/>
      <c r="BY137" s="20"/>
      <c r="BZ137" s="20"/>
      <c r="CA137" s="20"/>
      <c r="CB137" s="20"/>
      <c r="CC137" s="20"/>
      <c r="CD137" s="22"/>
      <c r="CE137" s="22"/>
      <c r="CF137" s="22"/>
      <c r="CG137" s="22"/>
      <c r="CH137" s="22"/>
      <c r="CI137" s="22"/>
      <c r="CJ137" s="149"/>
      <c r="CK137" s="241"/>
    </row>
    <row r="138" spans="1:89" ht="15" customHeight="1" x14ac:dyDescent="0.35">
      <c r="A138" s="17"/>
      <c r="B138" s="313">
        <v>39152</v>
      </c>
      <c r="C138" s="8" t="s">
        <v>356</v>
      </c>
      <c r="D138" s="21">
        <v>17</v>
      </c>
      <c r="E138" s="131" t="s">
        <v>1309</v>
      </c>
      <c r="F138" s="22" t="s">
        <v>1309</v>
      </c>
      <c r="G138" s="132" t="s">
        <v>1309</v>
      </c>
      <c r="H138" s="22" t="s">
        <v>1311</v>
      </c>
      <c r="I138" s="22" t="s">
        <v>1327</v>
      </c>
      <c r="J138" s="22" t="s">
        <v>1327</v>
      </c>
      <c r="K138" s="22" t="s">
        <v>1314</v>
      </c>
      <c r="L138" s="22" t="s">
        <v>1311</v>
      </c>
      <c r="M138" s="133" t="s">
        <v>1311</v>
      </c>
      <c r="N138" s="22" t="s">
        <v>1311</v>
      </c>
      <c r="O138" s="22" t="s">
        <v>1309</v>
      </c>
      <c r="P138" s="22" t="s">
        <v>1309</v>
      </c>
      <c r="Q138" s="20">
        <v>0</v>
      </c>
      <c r="R138" s="20">
        <v>0</v>
      </c>
      <c r="S138" s="20">
        <v>0</v>
      </c>
      <c r="T138" s="20">
        <v>0</v>
      </c>
      <c r="U138" s="20">
        <v>0</v>
      </c>
      <c r="V138" s="20">
        <v>0</v>
      </c>
      <c r="W138" s="20">
        <v>0</v>
      </c>
      <c r="X138" s="20">
        <v>0</v>
      </c>
      <c r="Y138" s="20">
        <v>0</v>
      </c>
      <c r="Z138" s="20">
        <v>0</v>
      </c>
      <c r="AA138" s="20" t="s">
        <v>1317</v>
      </c>
      <c r="AB138" s="22" t="s">
        <v>1318</v>
      </c>
      <c r="AC138" s="20">
        <v>4</v>
      </c>
      <c r="AD138" s="20">
        <v>4</v>
      </c>
      <c r="AE138" s="20">
        <v>0</v>
      </c>
      <c r="AF138" s="20">
        <v>2</v>
      </c>
      <c r="AG138" s="20">
        <v>2</v>
      </c>
      <c r="AH138" s="20">
        <v>0</v>
      </c>
      <c r="AI138" s="328">
        <v>18.049726997879155</v>
      </c>
      <c r="AJ138" s="328">
        <v>3.734827264239029</v>
      </c>
      <c r="AK138" s="328" t="s">
        <v>1328</v>
      </c>
      <c r="AL138" s="22" t="s">
        <v>1329</v>
      </c>
      <c r="AM138" s="22" t="s">
        <v>1330</v>
      </c>
      <c r="AN138" s="22" t="s">
        <v>1317</v>
      </c>
      <c r="AO138" s="22" t="s">
        <v>1318</v>
      </c>
      <c r="AP138" s="22" t="s">
        <v>1318</v>
      </c>
      <c r="AQ138" s="22" t="s">
        <v>1318</v>
      </c>
      <c r="AR138" s="22" t="s">
        <v>1317</v>
      </c>
      <c r="AS138" s="22" t="s">
        <v>1311</v>
      </c>
      <c r="AT138" s="22" t="s">
        <v>1317</v>
      </c>
      <c r="AU138" s="22" t="s">
        <v>1318</v>
      </c>
      <c r="AV138" s="22" t="s">
        <v>1317</v>
      </c>
      <c r="AW138" s="22" t="s">
        <v>1318</v>
      </c>
      <c r="AX138" s="22" t="s">
        <v>1317</v>
      </c>
      <c r="AY138" s="22" t="s">
        <v>1318</v>
      </c>
      <c r="AZ138" s="22" t="s">
        <v>1317</v>
      </c>
      <c r="BA138" s="22" t="s">
        <v>1311</v>
      </c>
      <c r="BB138" s="22" t="s">
        <v>1309</v>
      </c>
      <c r="BC138" s="22" t="s">
        <v>1309</v>
      </c>
      <c r="BD138" s="22" t="s">
        <v>1317</v>
      </c>
      <c r="BE138" s="22" t="s">
        <v>1318</v>
      </c>
      <c r="BF138" s="22" t="s">
        <v>1319</v>
      </c>
      <c r="BG138" s="22" t="s">
        <v>1311</v>
      </c>
      <c r="BH138" s="22" t="s">
        <v>1317</v>
      </c>
      <c r="BI138" s="22" t="s">
        <v>1318</v>
      </c>
      <c r="BJ138" s="22" t="s">
        <v>1317</v>
      </c>
      <c r="BK138" s="22" t="s">
        <v>1311</v>
      </c>
      <c r="BL138" s="22" t="s">
        <v>1317</v>
      </c>
      <c r="BM138" s="22" t="s">
        <v>1318</v>
      </c>
      <c r="BN138" s="22" t="s">
        <v>1317</v>
      </c>
      <c r="BO138" s="22" t="s">
        <v>1311</v>
      </c>
      <c r="BP138" s="22" t="s">
        <v>1309</v>
      </c>
      <c r="BQ138" s="22" t="s">
        <v>1311</v>
      </c>
      <c r="BR138" s="22" t="s">
        <v>1309</v>
      </c>
      <c r="BS138" s="22" t="s">
        <v>1309</v>
      </c>
      <c r="BT138" s="22" t="s">
        <v>1309</v>
      </c>
      <c r="BU138" s="22" t="s">
        <v>1309</v>
      </c>
      <c r="BV138" s="22" t="s">
        <v>1317</v>
      </c>
      <c r="BW138" s="22" t="s">
        <v>1318</v>
      </c>
      <c r="BX138" s="20">
        <v>50</v>
      </c>
      <c r="BY138" s="20">
        <v>6</v>
      </c>
      <c r="BZ138" s="20">
        <v>12</v>
      </c>
      <c r="CA138" s="20">
        <v>0</v>
      </c>
      <c r="CB138" s="20">
        <v>7</v>
      </c>
      <c r="CC138" s="20">
        <v>996</v>
      </c>
      <c r="CD138" s="22" t="s">
        <v>1331</v>
      </c>
      <c r="CE138" s="22" t="s">
        <v>1331</v>
      </c>
      <c r="CF138" s="22" t="s">
        <v>1320</v>
      </c>
      <c r="CG138" s="22" t="s">
        <v>1321</v>
      </c>
      <c r="CH138" s="22" t="s">
        <v>1317</v>
      </c>
      <c r="CI138" s="22" t="s">
        <v>1318</v>
      </c>
      <c r="CJ138" s="149" t="s">
        <v>1663</v>
      </c>
      <c r="CK138" s="241" t="s">
        <v>1124</v>
      </c>
    </row>
    <row r="139" spans="1:89" ht="15" customHeight="1" x14ac:dyDescent="0.35">
      <c r="A139" s="17"/>
      <c r="B139" s="313">
        <v>13005</v>
      </c>
      <c r="C139" s="8" t="s">
        <v>41</v>
      </c>
      <c r="D139" s="18">
        <v>1</v>
      </c>
      <c r="E139" s="131" t="s">
        <v>1309</v>
      </c>
      <c r="F139" s="22" t="s">
        <v>1309</v>
      </c>
      <c r="G139" s="132" t="s">
        <v>1309</v>
      </c>
      <c r="H139" s="22" t="s">
        <v>1311</v>
      </c>
      <c r="I139" s="22" t="s">
        <v>1327</v>
      </c>
      <c r="J139" s="22" t="s">
        <v>1327</v>
      </c>
      <c r="K139" s="22" t="s">
        <v>1314</v>
      </c>
      <c r="L139" s="22" t="s">
        <v>1311</v>
      </c>
      <c r="M139" s="133" t="s">
        <v>1311</v>
      </c>
      <c r="N139" s="22" t="s">
        <v>1311</v>
      </c>
      <c r="O139" s="22" t="s">
        <v>1314</v>
      </c>
      <c r="P139" s="22" t="s">
        <v>1318</v>
      </c>
      <c r="Q139" s="20">
        <v>9</v>
      </c>
      <c r="R139" s="20">
        <v>20.504000000000001</v>
      </c>
      <c r="S139" s="20">
        <v>8</v>
      </c>
      <c r="T139" s="20">
        <v>5</v>
      </c>
      <c r="U139" s="20">
        <v>10</v>
      </c>
      <c r="V139" s="20">
        <v>10</v>
      </c>
      <c r="W139" s="20">
        <v>0</v>
      </c>
      <c r="X139" s="20">
        <v>0</v>
      </c>
      <c r="Y139" s="20">
        <v>0</v>
      </c>
      <c r="Z139" s="20">
        <v>0</v>
      </c>
      <c r="AA139" s="20" t="s">
        <v>1317</v>
      </c>
      <c r="AB139" s="22" t="s">
        <v>1311</v>
      </c>
      <c r="AC139" s="20">
        <v>4</v>
      </c>
      <c r="AD139" s="20">
        <v>0</v>
      </c>
      <c r="AE139" s="20">
        <v>1</v>
      </c>
      <c r="AF139" s="20">
        <v>1</v>
      </c>
      <c r="AG139" s="20">
        <v>0</v>
      </c>
      <c r="AH139" s="20">
        <v>1</v>
      </c>
      <c r="AI139" s="328">
        <v>13.557483731019522</v>
      </c>
      <c r="AJ139" s="328" t="s">
        <v>1328</v>
      </c>
      <c r="AK139" s="328">
        <v>1.1862396204033214</v>
      </c>
      <c r="AL139" s="22" t="s">
        <v>1329</v>
      </c>
      <c r="AM139" s="22" t="s">
        <v>1330</v>
      </c>
      <c r="AN139" s="22" t="s">
        <v>1317</v>
      </c>
      <c r="AO139" s="22" t="s">
        <v>1318</v>
      </c>
      <c r="AP139" s="22" t="s">
        <v>1318</v>
      </c>
      <c r="AQ139" s="22" t="s">
        <v>1318</v>
      </c>
      <c r="AR139" s="22" t="s">
        <v>1317</v>
      </c>
      <c r="AS139" s="22" t="s">
        <v>1318</v>
      </c>
      <c r="AT139" s="22" t="s">
        <v>1309</v>
      </c>
      <c r="AU139" s="22" t="s">
        <v>1309</v>
      </c>
      <c r="AV139" s="22" t="s">
        <v>1317</v>
      </c>
      <c r="AW139" s="22" t="s">
        <v>1318</v>
      </c>
      <c r="AX139" s="22" t="s">
        <v>1317</v>
      </c>
      <c r="AY139" s="22" t="s">
        <v>1318</v>
      </c>
      <c r="AZ139" s="22" t="s">
        <v>1319</v>
      </c>
      <c r="BA139" s="22" t="s">
        <v>1311</v>
      </c>
      <c r="BB139" s="22" t="s">
        <v>1309</v>
      </c>
      <c r="BC139" s="22" t="s">
        <v>1309</v>
      </c>
      <c r="BD139" s="22" t="s">
        <v>1317</v>
      </c>
      <c r="BE139" s="22" t="s">
        <v>1318</v>
      </c>
      <c r="BF139" s="22" t="s">
        <v>1317</v>
      </c>
      <c r="BG139" s="22" t="s">
        <v>1318</v>
      </c>
      <c r="BH139" s="22" t="s">
        <v>1309</v>
      </c>
      <c r="BI139" s="22" t="s">
        <v>1309</v>
      </c>
      <c r="BJ139" s="22" t="s">
        <v>1317</v>
      </c>
      <c r="BK139" s="22" t="s">
        <v>1318</v>
      </c>
      <c r="BL139" s="22" t="s">
        <v>1309</v>
      </c>
      <c r="BM139" s="22" t="s">
        <v>1309</v>
      </c>
      <c r="BN139" s="22" t="s">
        <v>1309</v>
      </c>
      <c r="BO139" s="22" t="s">
        <v>1309</v>
      </c>
      <c r="BP139" s="22" t="s">
        <v>1315</v>
      </c>
      <c r="BQ139" s="22" t="s">
        <v>1311</v>
      </c>
      <c r="BR139" s="22" t="s">
        <v>1309</v>
      </c>
      <c r="BS139" s="22" t="s">
        <v>1309</v>
      </c>
      <c r="BT139" s="22" t="s">
        <v>1315</v>
      </c>
      <c r="BU139" s="22" t="s">
        <v>1315</v>
      </c>
      <c r="BV139" s="22" t="s">
        <v>1309</v>
      </c>
      <c r="BW139" s="22" t="s">
        <v>1309</v>
      </c>
      <c r="BX139" s="20">
        <v>0</v>
      </c>
      <c r="BY139" s="20">
        <v>2</v>
      </c>
      <c r="BZ139" s="20">
        <v>80</v>
      </c>
      <c r="CA139" s="20">
        <v>0</v>
      </c>
      <c r="CB139" s="20">
        <v>0</v>
      </c>
      <c r="CC139" s="20">
        <v>761</v>
      </c>
      <c r="CD139" s="22" t="s">
        <v>1317</v>
      </c>
      <c r="CE139" s="22" t="s">
        <v>1321</v>
      </c>
      <c r="CF139" s="22" t="s">
        <v>1317</v>
      </c>
      <c r="CG139" s="22" t="s">
        <v>1321</v>
      </c>
      <c r="CH139" s="22" t="s">
        <v>1317</v>
      </c>
      <c r="CI139" s="22" t="s">
        <v>1318</v>
      </c>
      <c r="CJ139" s="149" t="s">
        <v>1124</v>
      </c>
      <c r="CK139" s="241" t="s">
        <v>1667</v>
      </c>
    </row>
    <row r="140" spans="1:89" ht="15" customHeight="1" x14ac:dyDescent="0.35">
      <c r="A140" s="17"/>
      <c r="B140" s="313">
        <v>83070</v>
      </c>
      <c r="C140" s="8" t="s">
        <v>846</v>
      </c>
      <c r="D140" s="18">
        <v>7</v>
      </c>
      <c r="E140" s="131"/>
      <c r="F140" s="22"/>
      <c r="G140" s="132"/>
      <c r="H140" s="22"/>
      <c r="I140" s="22"/>
      <c r="J140" s="22"/>
      <c r="K140" s="22"/>
      <c r="L140" s="22"/>
      <c r="M140" s="133"/>
      <c r="N140" s="22"/>
      <c r="O140" s="22"/>
      <c r="P140" s="22"/>
      <c r="Q140" s="20"/>
      <c r="R140" s="20"/>
      <c r="S140" s="20"/>
      <c r="T140" s="20"/>
      <c r="U140" s="20"/>
      <c r="V140" s="20"/>
      <c r="W140" s="20"/>
      <c r="X140" s="20"/>
      <c r="Y140" s="20"/>
      <c r="Z140" s="20"/>
      <c r="AA140" s="20"/>
      <c r="AB140" s="22"/>
      <c r="AC140" s="20"/>
      <c r="AD140" s="20"/>
      <c r="AE140" s="20"/>
      <c r="AF140" s="20" t="s">
        <v>1124</v>
      </c>
      <c r="AG140" s="20" t="s">
        <v>1124</v>
      </c>
      <c r="AH140" s="20" t="s">
        <v>1124</v>
      </c>
      <c r="AI140" s="328"/>
      <c r="AJ140" s="328"/>
      <c r="AK140" s="328"/>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0"/>
      <c r="BY140" s="20"/>
      <c r="BZ140" s="20"/>
      <c r="CA140" s="20"/>
      <c r="CB140" s="20"/>
      <c r="CC140" s="20"/>
      <c r="CD140" s="22"/>
      <c r="CE140" s="22"/>
      <c r="CF140" s="22"/>
      <c r="CG140" s="22"/>
      <c r="CH140" s="22"/>
      <c r="CI140" s="22"/>
      <c r="CJ140" s="149"/>
      <c r="CK140" s="241"/>
    </row>
    <row r="141" spans="1:89" ht="15" customHeight="1" x14ac:dyDescent="0.35">
      <c r="A141" s="17"/>
      <c r="B141" s="313">
        <v>67025</v>
      </c>
      <c r="C141" s="8" t="s">
        <v>666</v>
      </c>
      <c r="D141" s="18">
        <v>16</v>
      </c>
      <c r="E141" s="131"/>
      <c r="F141" s="22"/>
      <c r="G141" s="132"/>
      <c r="H141" s="22"/>
      <c r="I141" s="22"/>
      <c r="J141" s="22"/>
      <c r="K141" s="22"/>
      <c r="L141" s="22"/>
      <c r="M141" s="133"/>
      <c r="N141" s="22"/>
      <c r="O141" s="22"/>
      <c r="P141" s="22"/>
      <c r="Q141" s="20"/>
      <c r="R141" s="20"/>
      <c r="S141" s="20"/>
      <c r="T141" s="20"/>
      <c r="U141" s="20"/>
      <c r="V141" s="20"/>
      <c r="W141" s="20"/>
      <c r="X141" s="20"/>
      <c r="Y141" s="20"/>
      <c r="Z141" s="20"/>
      <c r="AA141" s="20"/>
      <c r="AB141" s="22"/>
      <c r="AC141" s="20"/>
      <c r="AD141" s="20"/>
      <c r="AE141" s="20"/>
      <c r="AF141" s="20" t="s">
        <v>1124</v>
      </c>
      <c r="AG141" s="20" t="s">
        <v>1124</v>
      </c>
      <c r="AH141" s="20" t="s">
        <v>1124</v>
      </c>
      <c r="AI141" s="328"/>
      <c r="AJ141" s="328"/>
      <c r="AK141" s="328"/>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0"/>
      <c r="BY141" s="20"/>
      <c r="BZ141" s="20"/>
      <c r="CA141" s="20"/>
      <c r="CB141" s="20"/>
      <c r="CC141" s="20"/>
      <c r="CD141" s="22"/>
      <c r="CE141" s="22"/>
      <c r="CF141" s="22"/>
      <c r="CG141" s="22"/>
      <c r="CH141" s="22"/>
      <c r="CI141" s="22"/>
      <c r="CJ141" s="149"/>
      <c r="CK141" s="241"/>
    </row>
    <row r="142" spans="1:89" ht="15" customHeight="1" x14ac:dyDescent="0.35">
      <c r="A142" s="17"/>
      <c r="B142" s="314">
        <v>83005</v>
      </c>
      <c r="C142" s="8" t="s">
        <v>835</v>
      </c>
      <c r="D142" s="18">
        <v>7</v>
      </c>
      <c r="E142" s="131"/>
      <c r="F142" s="22"/>
      <c r="G142" s="132"/>
      <c r="H142" s="22"/>
      <c r="I142" s="22"/>
      <c r="J142" s="22"/>
      <c r="K142" s="22"/>
      <c r="L142" s="22"/>
      <c r="M142" s="133"/>
      <c r="N142" s="22"/>
      <c r="O142" s="22"/>
      <c r="P142" s="22"/>
      <c r="Q142" s="20"/>
      <c r="R142" s="20"/>
      <c r="S142" s="20"/>
      <c r="T142" s="20"/>
      <c r="U142" s="20"/>
      <c r="V142" s="20"/>
      <c r="W142" s="20"/>
      <c r="X142" s="20"/>
      <c r="Y142" s="20"/>
      <c r="Z142" s="20"/>
      <c r="AA142" s="20"/>
      <c r="AB142" s="22"/>
      <c r="AC142" s="20"/>
      <c r="AD142" s="20"/>
      <c r="AE142" s="20"/>
      <c r="AF142" s="20" t="s">
        <v>1124</v>
      </c>
      <c r="AG142" s="20" t="s">
        <v>1124</v>
      </c>
      <c r="AH142" s="20" t="s">
        <v>1124</v>
      </c>
      <c r="AI142" s="328"/>
      <c r="AJ142" s="328"/>
      <c r="AK142" s="328"/>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0"/>
      <c r="BY142" s="20"/>
      <c r="BZ142" s="20"/>
      <c r="CA142" s="20"/>
      <c r="CB142" s="20"/>
      <c r="CC142" s="20"/>
      <c r="CD142" s="22"/>
      <c r="CE142" s="22"/>
      <c r="CF142" s="22"/>
      <c r="CG142" s="22"/>
      <c r="CH142" s="22"/>
      <c r="CI142" s="22"/>
      <c r="CJ142" s="149"/>
      <c r="CK142" s="241"/>
    </row>
    <row r="143" spans="1:89" ht="15" customHeight="1" x14ac:dyDescent="0.35">
      <c r="A143" s="17"/>
      <c r="B143" s="313">
        <v>93005</v>
      </c>
      <c r="C143" s="8" t="s">
        <v>958</v>
      </c>
      <c r="D143" s="18">
        <v>2</v>
      </c>
      <c r="E143" s="131" t="s">
        <v>1309</v>
      </c>
      <c r="F143" s="22" t="s">
        <v>1309</v>
      </c>
      <c r="G143" s="132" t="s">
        <v>1309</v>
      </c>
      <c r="H143" s="22" t="s">
        <v>1311</v>
      </c>
      <c r="I143" s="22" t="s">
        <v>1327</v>
      </c>
      <c r="J143" s="22" t="s">
        <v>1327</v>
      </c>
      <c r="K143" s="22" t="s">
        <v>1314</v>
      </c>
      <c r="L143" s="22" t="s">
        <v>1311</v>
      </c>
      <c r="M143" s="133" t="s">
        <v>1311</v>
      </c>
      <c r="N143" s="22" t="s">
        <v>1311</v>
      </c>
      <c r="O143" s="22" t="s">
        <v>1314</v>
      </c>
      <c r="P143" s="22" t="s">
        <v>1311</v>
      </c>
      <c r="Q143" s="20">
        <v>0</v>
      </c>
      <c r="R143" s="20">
        <v>0</v>
      </c>
      <c r="S143" s="20">
        <v>12.5</v>
      </c>
      <c r="T143" s="20">
        <v>12.5</v>
      </c>
      <c r="U143" s="20">
        <v>0</v>
      </c>
      <c r="V143" s="20">
        <v>0</v>
      </c>
      <c r="W143" s="20">
        <v>0</v>
      </c>
      <c r="X143" s="20">
        <v>0</v>
      </c>
      <c r="Y143" s="20">
        <v>0</v>
      </c>
      <c r="Z143" s="20">
        <v>0</v>
      </c>
      <c r="AA143" s="20" t="s">
        <v>1319</v>
      </c>
      <c r="AB143" s="22" t="s">
        <v>1311</v>
      </c>
      <c r="AC143" s="20">
        <v>2</v>
      </c>
      <c r="AD143" s="20">
        <v>0</v>
      </c>
      <c r="AE143" s="20">
        <v>1</v>
      </c>
      <c r="AF143" s="20">
        <v>1</v>
      </c>
      <c r="AG143" s="20">
        <v>0</v>
      </c>
      <c r="AH143" s="20">
        <v>1</v>
      </c>
      <c r="AI143" s="328">
        <v>15.979546180888462</v>
      </c>
      <c r="AJ143" s="328" t="s">
        <v>1328</v>
      </c>
      <c r="AK143" s="328">
        <v>1.8416206261510129</v>
      </c>
      <c r="AL143" s="22" t="s">
        <v>1329</v>
      </c>
      <c r="AM143" s="22" t="s">
        <v>1330</v>
      </c>
      <c r="AN143" s="22" t="s">
        <v>1317</v>
      </c>
      <c r="AO143" s="22" t="s">
        <v>1318</v>
      </c>
      <c r="AP143" s="22" t="s">
        <v>1318</v>
      </c>
      <c r="AQ143" s="22" t="s">
        <v>1318</v>
      </c>
      <c r="AR143" s="22" t="s">
        <v>1317</v>
      </c>
      <c r="AS143" s="22" t="s">
        <v>1311</v>
      </c>
      <c r="AT143" s="22" t="s">
        <v>1317</v>
      </c>
      <c r="AU143" s="22" t="s">
        <v>1311</v>
      </c>
      <c r="AV143" s="22" t="s">
        <v>1317</v>
      </c>
      <c r="AW143" s="22" t="s">
        <v>1318</v>
      </c>
      <c r="AX143" s="22" t="s">
        <v>1317</v>
      </c>
      <c r="AY143" s="22" t="s">
        <v>1318</v>
      </c>
      <c r="AZ143" s="22" t="s">
        <v>1309</v>
      </c>
      <c r="BA143" s="22" t="s">
        <v>1309</v>
      </c>
      <c r="BB143" s="22" t="s">
        <v>1309</v>
      </c>
      <c r="BC143" s="22" t="s">
        <v>1309</v>
      </c>
      <c r="BD143" s="22" t="s">
        <v>1317</v>
      </c>
      <c r="BE143" s="22" t="s">
        <v>1318</v>
      </c>
      <c r="BF143" s="22" t="s">
        <v>1317</v>
      </c>
      <c r="BG143" s="22" t="s">
        <v>1318</v>
      </c>
      <c r="BH143" s="22" t="s">
        <v>1317</v>
      </c>
      <c r="BI143" s="22" t="s">
        <v>1318</v>
      </c>
      <c r="BJ143" s="22" t="s">
        <v>1309</v>
      </c>
      <c r="BK143" s="22" t="s">
        <v>1311</v>
      </c>
      <c r="BL143" s="22" t="s">
        <v>1317</v>
      </c>
      <c r="BM143" s="22" t="s">
        <v>1318</v>
      </c>
      <c r="BN143" s="22" t="s">
        <v>1317</v>
      </c>
      <c r="BO143" s="22" t="s">
        <v>1318</v>
      </c>
      <c r="BP143" s="22" t="s">
        <v>1317</v>
      </c>
      <c r="BQ143" s="22" t="s">
        <v>1311</v>
      </c>
      <c r="BR143" s="22" t="s">
        <v>1317</v>
      </c>
      <c r="BS143" s="22" t="s">
        <v>1318</v>
      </c>
      <c r="BT143" s="22" t="s">
        <v>1309</v>
      </c>
      <c r="BU143" s="22" t="s">
        <v>1309</v>
      </c>
      <c r="BV143" s="22" t="s">
        <v>1317</v>
      </c>
      <c r="BW143" s="22" t="s">
        <v>1311</v>
      </c>
      <c r="BX143" s="20">
        <v>0</v>
      </c>
      <c r="BY143" s="20">
        <v>0</v>
      </c>
      <c r="BZ143" s="20">
        <v>28</v>
      </c>
      <c r="CA143" s="20">
        <v>0</v>
      </c>
      <c r="CB143" s="20">
        <v>0</v>
      </c>
      <c r="CC143" s="20">
        <v>515</v>
      </c>
      <c r="CD143" s="22" t="s">
        <v>1317</v>
      </c>
      <c r="CE143" s="22" t="s">
        <v>1340</v>
      </c>
      <c r="CF143" s="22" t="s">
        <v>1317</v>
      </c>
      <c r="CG143" s="22" t="s">
        <v>1340</v>
      </c>
      <c r="CH143" s="22" t="s">
        <v>1317</v>
      </c>
      <c r="CI143" s="22" t="s">
        <v>1318</v>
      </c>
      <c r="CJ143" s="149" t="s">
        <v>1670</v>
      </c>
      <c r="CK143" s="241" t="s">
        <v>1671</v>
      </c>
    </row>
    <row r="144" spans="1:89" ht="15" customHeight="1" x14ac:dyDescent="0.35">
      <c r="A144" s="17"/>
      <c r="B144" s="313">
        <v>38070</v>
      </c>
      <c r="C144" s="8" t="s">
        <v>336</v>
      </c>
      <c r="D144" s="18">
        <v>17</v>
      </c>
      <c r="E144" s="131" t="s">
        <v>1309</v>
      </c>
      <c r="F144" s="22" t="s">
        <v>1309</v>
      </c>
      <c r="G144" s="132" t="s">
        <v>1309</v>
      </c>
      <c r="H144" s="22" t="s">
        <v>1311</v>
      </c>
      <c r="I144" s="22" t="s">
        <v>1327</v>
      </c>
      <c r="J144" s="22" t="s">
        <v>1327</v>
      </c>
      <c r="K144" s="22" t="s">
        <v>1314</v>
      </c>
      <c r="L144" s="22" t="s">
        <v>1311</v>
      </c>
      <c r="M144" s="133" t="s">
        <v>1311</v>
      </c>
      <c r="N144" s="22" t="s">
        <v>1311</v>
      </c>
      <c r="O144" s="22" t="s">
        <v>1314</v>
      </c>
      <c r="P144" s="22" t="s">
        <v>1318</v>
      </c>
      <c r="Q144" s="20">
        <v>5.79</v>
      </c>
      <c r="R144" s="20">
        <v>5.79</v>
      </c>
      <c r="S144" s="20">
        <v>5.79</v>
      </c>
      <c r="T144" s="20">
        <v>5.79</v>
      </c>
      <c r="U144" s="20">
        <v>0</v>
      </c>
      <c r="V144" s="20">
        <v>0</v>
      </c>
      <c r="W144" s="20">
        <v>0</v>
      </c>
      <c r="X144" s="20">
        <v>0</v>
      </c>
      <c r="Y144" s="20">
        <v>0</v>
      </c>
      <c r="Z144" s="20">
        <v>0</v>
      </c>
      <c r="AA144" s="20" t="s">
        <v>1309</v>
      </c>
      <c r="AB144" s="22" t="s">
        <v>1309</v>
      </c>
      <c r="AC144" s="20">
        <v>2</v>
      </c>
      <c r="AD144" s="20">
        <v>1</v>
      </c>
      <c r="AE144" s="20">
        <v>3</v>
      </c>
      <c r="AF144" s="20">
        <v>2</v>
      </c>
      <c r="AG144" s="20">
        <v>3</v>
      </c>
      <c r="AH144" s="20">
        <v>5</v>
      </c>
      <c r="AI144" s="328">
        <v>11.574074074074073</v>
      </c>
      <c r="AJ144" s="328">
        <v>1.941747572815534</v>
      </c>
      <c r="AK144" s="328">
        <v>5.825242718446602</v>
      </c>
      <c r="AL144" s="22" t="s">
        <v>1329</v>
      </c>
      <c r="AM144" s="22" t="s">
        <v>1330</v>
      </c>
      <c r="AN144" s="22" t="s">
        <v>1317</v>
      </c>
      <c r="AO144" s="22" t="s">
        <v>1318</v>
      </c>
      <c r="AP144" s="22" t="s">
        <v>1318</v>
      </c>
      <c r="AQ144" s="22" t="s">
        <v>1318</v>
      </c>
      <c r="AR144" s="22" t="s">
        <v>1317</v>
      </c>
      <c r="AS144" s="22" t="s">
        <v>1318</v>
      </c>
      <c r="AT144" s="22" t="s">
        <v>1317</v>
      </c>
      <c r="AU144" s="22" t="s">
        <v>1318</v>
      </c>
      <c r="AV144" s="22" t="s">
        <v>1317</v>
      </c>
      <c r="AW144" s="22" t="s">
        <v>1318</v>
      </c>
      <c r="AX144" s="22" t="s">
        <v>1317</v>
      </c>
      <c r="AY144" s="22" t="s">
        <v>1318</v>
      </c>
      <c r="AZ144" s="22" t="s">
        <v>1319</v>
      </c>
      <c r="BA144" s="22" t="s">
        <v>1309</v>
      </c>
      <c r="BB144" s="22" t="s">
        <v>1309</v>
      </c>
      <c r="BC144" s="22" t="s">
        <v>1309</v>
      </c>
      <c r="BD144" s="22" t="s">
        <v>1317</v>
      </c>
      <c r="BE144" s="22" t="s">
        <v>1318</v>
      </c>
      <c r="BF144" s="22" t="s">
        <v>1319</v>
      </c>
      <c r="BG144" s="22" t="s">
        <v>1311</v>
      </c>
      <c r="BH144" s="22" t="s">
        <v>1309</v>
      </c>
      <c r="BI144" s="22" t="s">
        <v>1309</v>
      </c>
      <c r="BJ144" s="22" t="s">
        <v>1317</v>
      </c>
      <c r="BK144" s="22" t="s">
        <v>1318</v>
      </c>
      <c r="BL144" s="22" t="s">
        <v>1317</v>
      </c>
      <c r="BM144" s="22" t="s">
        <v>1318</v>
      </c>
      <c r="BN144" s="22" t="s">
        <v>1309</v>
      </c>
      <c r="BO144" s="22" t="s">
        <v>1309</v>
      </c>
      <c r="BP144" s="22" t="s">
        <v>1309</v>
      </c>
      <c r="BQ144" s="22" t="s">
        <v>1309</v>
      </c>
      <c r="BR144" s="22" t="s">
        <v>1309</v>
      </c>
      <c r="BS144" s="22" t="s">
        <v>1309</v>
      </c>
      <c r="BT144" s="22" t="s">
        <v>1309</v>
      </c>
      <c r="BU144" s="22" t="s">
        <v>1309</v>
      </c>
      <c r="BV144" s="22" t="s">
        <v>1317</v>
      </c>
      <c r="BW144" s="22" t="s">
        <v>1318</v>
      </c>
      <c r="BX144" s="20">
        <v>62</v>
      </c>
      <c r="BY144" s="20">
        <v>1</v>
      </c>
      <c r="BZ144" s="20">
        <v>0</v>
      </c>
      <c r="CA144" s="20">
        <v>2</v>
      </c>
      <c r="CB144" s="20">
        <v>7</v>
      </c>
      <c r="CC144" s="20">
        <v>443</v>
      </c>
      <c r="CD144" s="22" t="s">
        <v>1331</v>
      </c>
      <c r="CE144" s="22" t="s">
        <v>1331</v>
      </c>
      <c r="CF144" s="22" t="s">
        <v>1317</v>
      </c>
      <c r="CG144" s="22" t="s">
        <v>1318</v>
      </c>
      <c r="CH144" s="22" t="s">
        <v>1317</v>
      </c>
      <c r="CI144" s="22" t="s">
        <v>1318</v>
      </c>
      <c r="CJ144" s="149" t="s">
        <v>1124</v>
      </c>
      <c r="CK144" s="241" t="s">
        <v>1675</v>
      </c>
    </row>
    <row r="145" spans="1:89" ht="15" customHeight="1" x14ac:dyDescent="0.35">
      <c r="A145" s="17"/>
      <c r="B145" s="313">
        <v>34058</v>
      </c>
      <c r="C145" s="8" t="s">
        <v>291</v>
      </c>
      <c r="D145" s="18">
        <v>3</v>
      </c>
      <c r="E145" s="131" t="s">
        <v>1309</v>
      </c>
      <c r="F145" s="22" t="s">
        <v>1309</v>
      </c>
      <c r="G145" s="132" t="s">
        <v>1309</v>
      </c>
      <c r="H145" s="22" t="s">
        <v>1311</v>
      </c>
      <c r="I145" s="22" t="s">
        <v>1327</v>
      </c>
      <c r="J145" s="22" t="s">
        <v>1327</v>
      </c>
      <c r="K145" s="22" t="s">
        <v>1314</v>
      </c>
      <c r="L145" s="22" t="s">
        <v>1311</v>
      </c>
      <c r="M145" s="133" t="s">
        <v>1311</v>
      </c>
      <c r="N145" s="22" t="s">
        <v>1311</v>
      </c>
      <c r="O145" s="22" t="s">
        <v>1314</v>
      </c>
      <c r="P145" s="22" t="s">
        <v>1311</v>
      </c>
      <c r="Q145" s="20">
        <v>0</v>
      </c>
      <c r="R145" s="20">
        <v>0</v>
      </c>
      <c r="S145" s="20">
        <v>61.19</v>
      </c>
      <c r="T145" s="20">
        <v>0</v>
      </c>
      <c r="U145" s="20">
        <v>0</v>
      </c>
      <c r="V145" s="20">
        <v>0</v>
      </c>
      <c r="W145" s="20">
        <v>0</v>
      </c>
      <c r="X145" s="20">
        <v>0</v>
      </c>
      <c r="Y145" s="20">
        <v>0</v>
      </c>
      <c r="Z145" s="20">
        <v>0</v>
      </c>
      <c r="AA145" s="20" t="s">
        <v>1317</v>
      </c>
      <c r="AB145" s="22" t="s">
        <v>1318</v>
      </c>
      <c r="AC145" s="20">
        <v>1</v>
      </c>
      <c r="AD145" s="20">
        <v>5</v>
      </c>
      <c r="AE145" s="20">
        <v>1</v>
      </c>
      <c r="AF145" s="20">
        <v>1</v>
      </c>
      <c r="AG145" s="20">
        <v>1</v>
      </c>
      <c r="AH145" s="20">
        <v>1</v>
      </c>
      <c r="AI145" s="328">
        <v>1.6342539630658606</v>
      </c>
      <c r="AJ145" s="328">
        <v>4.6468401486988844</v>
      </c>
      <c r="AK145" s="328">
        <v>0.92936802973977695</v>
      </c>
      <c r="AL145" s="22" t="s">
        <v>1329</v>
      </c>
      <c r="AM145" s="22" t="s">
        <v>1330</v>
      </c>
      <c r="AN145" s="22" t="s">
        <v>1317</v>
      </c>
      <c r="AO145" s="22" t="s">
        <v>1318</v>
      </c>
      <c r="AP145" s="22" t="s">
        <v>1318</v>
      </c>
      <c r="AQ145" s="22" t="s">
        <v>1318</v>
      </c>
      <c r="AR145" s="22" t="s">
        <v>1317</v>
      </c>
      <c r="AS145" s="22" t="s">
        <v>1318</v>
      </c>
      <c r="AT145" s="22" t="s">
        <v>1317</v>
      </c>
      <c r="AU145" s="22" t="s">
        <v>1318</v>
      </c>
      <c r="AV145" s="22" t="s">
        <v>1317</v>
      </c>
      <c r="AW145" s="22" t="s">
        <v>1318</v>
      </c>
      <c r="AX145" s="22" t="s">
        <v>1317</v>
      </c>
      <c r="AY145" s="22" t="s">
        <v>1318</v>
      </c>
      <c r="AZ145" s="22" t="s">
        <v>1309</v>
      </c>
      <c r="BA145" s="22" t="s">
        <v>1309</v>
      </c>
      <c r="BB145" s="22" t="s">
        <v>1309</v>
      </c>
      <c r="BC145" s="22" t="s">
        <v>1309</v>
      </c>
      <c r="BD145" s="22" t="s">
        <v>1319</v>
      </c>
      <c r="BE145" s="22" t="s">
        <v>1311</v>
      </c>
      <c r="BF145" s="22" t="s">
        <v>1317</v>
      </c>
      <c r="BG145" s="22" t="s">
        <v>1318</v>
      </c>
      <c r="BH145" s="22" t="s">
        <v>1309</v>
      </c>
      <c r="BI145" s="22" t="s">
        <v>1309</v>
      </c>
      <c r="BJ145" s="22" t="s">
        <v>1309</v>
      </c>
      <c r="BK145" s="22" t="s">
        <v>1309</v>
      </c>
      <c r="BL145" s="22" t="s">
        <v>1317</v>
      </c>
      <c r="BM145" s="22" t="s">
        <v>1318</v>
      </c>
      <c r="BN145" s="22" t="s">
        <v>1309</v>
      </c>
      <c r="BO145" s="22" t="s">
        <v>1309</v>
      </c>
      <c r="BP145" s="22" t="s">
        <v>1317</v>
      </c>
      <c r="BQ145" s="22" t="s">
        <v>1318</v>
      </c>
      <c r="BR145" s="22" t="s">
        <v>1309</v>
      </c>
      <c r="BS145" s="22" t="s">
        <v>1309</v>
      </c>
      <c r="BT145" s="22" t="s">
        <v>1309</v>
      </c>
      <c r="BU145" s="22" t="s">
        <v>1309</v>
      </c>
      <c r="BV145" s="22" t="s">
        <v>1317</v>
      </c>
      <c r="BW145" s="22" t="s">
        <v>1318</v>
      </c>
      <c r="BX145" s="20">
        <v>4</v>
      </c>
      <c r="BY145" s="20">
        <v>0</v>
      </c>
      <c r="BZ145" s="20">
        <v>102</v>
      </c>
      <c r="CA145" s="20">
        <v>0</v>
      </c>
      <c r="CB145" s="20">
        <v>0</v>
      </c>
      <c r="CC145" s="20">
        <v>970</v>
      </c>
      <c r="CD145" s="22" t="s">
        <v>1320</v>
      </c>
      <c r="CE145" s="22" t="s">
        <v>1344</v>
      </c>
      <c r="CF145" s="22" t="s">
        <v>1317</v>
      </c>
      <c r="CG145" s="22" t="s">
        <v>1318</v>
      </c>
      <c r="CH145" s="22" t="s">
        <v>1317</v>
      </c>
      <c r="CI145" s="22" t="s">
        <v>1318</v>
      </c>
      <c r="CJ145" s="149" t="s">
        <v>1680</v>
      </c>
      <c r="CK145" s="241" t="s">
        <v>1681</v>
      </c>
    </row>
    <row r="146" spans="1:89" ht="15" customHeight="1" x14ac:dyDescent="0.35">
      <c r="A146" s="17"/>
      <c r="B146" s="313">
        <v>72010</v>
      </c>
      <c r="C146" s="8" t="s">
        <v>728</v>
      </c>
      <c r="D146" s="18">
        <v>15</v>
      </c>
      <c r="E146" s="131" t="s">
        <v>1309</v>
      </c>
      <c r="F146" s="22" t="s">
        <v>1309</v>
      </c>
      <c r="G146" s="132" t="s">
        <v>1309</v>
      </c>
      <c r="H146" s="22" t="s">
        <v>1311</v>
      </c>
      <c r="I146" s="22" t="s">
        <v>1349</v>
      </c>
      <c r="J146" s="22" t="s">
        <v>1342</v>
      </c>
      <c r="K146" s="22" t="s">
        <v>1314</v>
      </c>
      <c r="L146" s="22" t="s">
        <v>1311</v>
      </c>
      <c r="M146" s="133" t="s">
        <v>1311</v>
      </c>
      <c r="N146" s="22" t="s">
        <v>1311</v>
      </c>
      <c r="O146" s="22" t="s">
        <v>1309</v>
      </c>
      <c r="P146" s="22" t="s">
        <v>1309</v>
      </c>
      <c r="Q146" s="20">
        <v>0</v>
      </c>
      <c r="R146" s="20">
        <v>0</v>
      </c>
      <c r="S146" s="20">
        <v>57.030749999999998</v>
      </c>
      <c r="T146" s="20">
        <v>57.030749999999998</v>
      </c>
      <c r="U146" s="20">
        <v>0</v>
      </c>
      <c r="V146" s="20">
        <v>0</v>
      </c>
      <c r="W146" s="20">
        <v>0</v>
      </c>
      <c r="X146" s="20">
        <v>0</v>
      </c>
      <c r="Y146" s="20">
        <v>0</v>
      </c>
      <c r="Z146" s="20">
        <v>0</v>
      </c>
      <c r="AA146" s="20" t="s">
        <v>1317</v>
      </c>
      <c r="AB146" s="22" t="s">
        <v>1311</v>
      </c>
      <c r="AC146" s="20">
        <v>26</v>
      </c>
      <c r="AD146" s="20">
        <v>0</v>
      </c>
      <c r="AE146" s="20">
        <v>0</v>
      </c>
      <c r="AF146" s="20">
        <v>1</v>
      </c>
      <c r="AG146" s="20">
        <v>0</v>
      </c>
      <c r="AH146" s="20">
        <v>0</v>
      </c>
      <c r="AI146" s="328">
        <v>34.192080588103785</v>
      </c>
      <c r="AJ146" s="328" t="s">
        <v>1328</v>
      </c>
      <c r="AK146" s="328" t="s">
        <v>1328</v>
      </c>
      <c r="AL146" s="22" t="s">
        <v>1329</v>
      </c>
      <c r="AM146" s="22" t="s">
        <v>1330</v>
      </c>
      <c r="AN146" s="22" t="s">
        <v>1315</v>
      </c>
      <c r="AO146" s="22" t="s">
        <v>1315</v>
      </c>
      <c r="AP146" s="22" t="s">
        <v>1315</v>
      </c>
      <c r="AQ146" s="22" t="s">
        <v>1315</v>
      </c>
      <c r="AR146" s="22" t="s">
        <v>1317</v>
      </c>
      <c r="AS146" s="22" t="s">
        <v>1318</v>
      </c>
      <c r="AT146" s="22" t="s">
        <v>1317</v>
      </c>
      <c r="AU146" s="22" t="s">
        <v>1318</v>
      </c>
      <c r="AV146" s="22" t="s">
        <v>1317</v>
      </c>
      <c r="AW146" s="22" t="s">
        <v>1318</v>
      </c>
      <c r="AX146" s="22" t="s">
        <v>1317</v>
      </c>
      <c r="AY146" s="22" t="s">
        <v>1318</v>
      </c>
      <c r="AZ146" s="22" t="s">
        <v>1309</v>
      </c>
      <c r="BA146" s="22" t="s">
        <v>1311</v>
      </c>
      <c r="BB146" s="22" t="s">
        <v>1309</v>
      </c>
      <c r="BC146" s="22" t="s">
        <v>1309</v>
      </c>
      <c r="BD146" s="22" t="s">
        <v>1309</v>
      </c>
      <c r="BE146" s="22" t="s">
        <v>1309</v>
      </c>
      <c r="BF146" s="22" t="s">
        <v>1317</v>
      </c>
      <c r="BG146" s="22" t="s">
        <v>1318</v>
      </c>
      <c r="BH146" s="22" t="s">
        <v>1317</v>
      </c>
      <c r="BI146" s="22" t="s">
        <v>1318</v>
      </c>
      <c r="BJ146" s="22" t="s">
        <v>1309</v>
      </c>
      <c r="BK146" s="22" t="s">
        <v>1309</v>
      </c>
      <c r="BL146" s="22" t="s">
        <v>1317</v>
      </c>
      <c r="BM146" s="22" t="s">
        <v>1318</v>
      </c>
      <c r="BN146" s="22" t="s">
        <v>1309</v>
      </c>
      <c r="BO146" s="22" t="s">
        <v>1309</v>
      </c>
      <c r="BP146" s="22" t="s">
        <v>1309</v>
      </c>
      <c r="BQ146" s="22" t="s">
        <v>1309</v>
      </c>
      <c r="BR146" s="22" t="s">
        <v>1309</v>
      </c>
      <c r="BS146" s="22" t="s">
        <v>1309</v>
      </c>
      <c r="BT146" s="22" t="s">
        <v>1317</v>
      </c>
      <c r="BU146" s="22" t="s">
        <v>1318</v>
      </c>
      <c r="BV146" s="22" t="s">
        <v>1309</v>
      </c>
      <c r="BW146" s="22" t="s">
        <v>1309</v>
      </c>
      <c r="BX146" s="20">
        <v>0</v>
      </c>
      <c r="BY146" s="20">
        <v>98</v>
      </c>
      <c r="BZ146" s="20">
        <v>1</v>
      </c>
      <c r="CA146" s="20">
        <v>0</v>
      </c>
      <c r="CB146" s="20">
        <v>30</v>
      </c>
      <c r="CC146" s="20">
        <v>5914</v>
      </c>
      <c r="CD146" s="22" t="s">
        <v>1345</v>
      </c>
      <c r="CE146" s="22" t="s">
        <v>1321</v>
      </c>
      <c r="CF146" s="22" t="s">
        <v>1345</v>
      </c>
      <c r="CG146" s="22" t="s">
        <v>1321</v>
      </c>
      <c r="CH146" s="22" t="s">
        <v>1317</v>
      </c>
      <c r="CI146" s="22" t="s">
        <v>1318</v>
      </c>
      <c r="CJ146" s="149" t="s">
        <v>1685</v>
      </c>
      <c r="CK146" s="241" t="s">
        <v>1686</v>
      </c>
    </row>
    <row r="147" spans="1:89" ht="15" customHeight="1" x14ac:dyDescent="0.35">
      <c r="A147" s="17"/>
      <c r="B147" s="313">
        <v>31020</v>
      </c>
      <c r="C147" s="8" t="s">
        <v>239</v>
      </c>
      <c r="D147" s="18">
        <v>12</v>
      </c>
      <c r="E147" s="131"/>
      <c r="F147" s="22"/>
      <c r="G147" s="132"/>
      <c r="H147" s="22"/>
      <c r="I147" s="22"/>
      <c r="J147" s="22"/>
      <c r="K147" s="22"/>
      <c r="L147" s="22"/>
      <c r="M147" s="133"/>
      <c r="N147" s="22"/>
      <c r="O147" s="22"/>
      <c r="P147" s="22"/>
      <c r="Q147" s="20"/>
      <c r="R147" s="20"/>
      <c r="S147" s="20"/>
      <c r="T147" s="20"/>
      <c r="U147" s="20"/>
      <c r="V147" s="20"/>
      <c r="W147" s="20"/>
      <c r="X147" s="20"/>
      <c r="Y147" s="20"/>
      <c r="Z147" s="20"/>
      <c r="AA147" s="20"/>
      <c r="AB147" s="22"/>
      <c r="AC147" s="20"/>
      <c r="AD147" s="20"/>
      <c r="AE147" s="20"/>
      <c r="AF147" s="20" t="s">
        <v>1124</v>
      </c>
      <c r="AG147" s="20" t="s">
        <v>1124</v>
      </c>
      <c r="AH147" s="20" t="s">
        <v>1124</v>
      </c>
      <c r="AI147" s="328"/>
      <c r="AJ147" s="328"/>
      <c r="AK147" s="328"/>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0"/>
      <c r="BY147" s="20"/>
      <c r="BZ147" s="20"/>
      <c r="CA147" s="20"/>
      <c r="CB147" s="20"/>
      <c r="CC147" s="20"/>
      <c r="CD147" s="22"/>
      <c r="CE147" s="22"/>
      <c r="CF147" s="22"/>
      <c r="CG147" s="22"/>
      <c r="CH147" s="22"/>
      <c r="CI147" s="22"/>
      <c r="CJ147" s="149"/>
      <c r="CK147" s="241"/>
    </row>
    <row r="148" spans="1:89" ht="15" customHeight="1" x14ac:dyDescent="0.35">
      <c r="A148" s="17"/>
      <c r="B148" s="313">
        <v>31015</v>
      </c>
      <c r="C148" s="8" t="s">
        <v>238</v>
      </c>
      <c r="D148" s="18">
        <v>12</v>
      </c>
      <c r="E148" s="131" t="s">
        <v>1309</v>
      </c>
      <c r="F148" s="22" t="s">
        <v>1309</v>
      </c>
      <c r="G148" s="132" t="s">
        <v>1309</v>
      </c>
      <c r="H148" s="22" t="s">
        <v>1311</v>
      </c>
      <c r="I148" s="22" t="s">
        <v>1327</v>
      </c>
      <c r="J148" s="22" t="s">
        <v>1327</v>
      </c>
      <c r="K148" s="22" t="s">
        <v>1309</v>
      </c>
      <c r="L148" s="22" t="s">
        <v>1309</v>
      </c>
      <c r="M148" s="133" t="s">
        <v>1311</v>
      </c>
      <c r="N148" s="22" t="s">
        <v>1311</v>
      </c>
      <c r="O148" s="22" t="s">
        <v>1315</v>
      </c>
      <c r="P148" s="22" t="s">
        <v>1315</v>
      </c>
      <c r="Q148" s="20">
        <v>23.392999999999997</v>
      </c>
      <c r="R148" s="20">
        <v>23.392999999999997</v>
      </c>
      <c r="S148" s="20">
        <v>23.392999999999997</v>
      </c>
      <c r="T148" s="20">
        <v>0</v>
      </c>
      <c r="U148" s="20">
        <v>0</v>
      </c>
      <c r="V148" s="20">
        <v>11.696499999999999</v>
      </c>
      <c r="W148" s="20">
        <v>0</v>
      </c>
      <c r="X148" s="20">
        <v>0</v>
      </c>
      <c r="Y148" s="20">
        <v>0</v>
      </c>
      <c r="Z148" s="20">
        <v>0</v>
      </c>
      <c r="AA148" s="20" t="s">
        <v>1317</v>
      </c>
      <c r="AB148" s="22" t="s">
        <v>1311</v>
      </c>
      <c r="AC148" s="20">
        <v>2</v>
      </c>
      <c r="AD148" s="20">
        <v>2</v>
      </c>
      <c r="AE148" s="20">
        <v>5</v>
      </c>
      <c r="AF148" s="20">
        <v>2</v>
      </c>
      <c r="AG148" s="20">
        <v>4</v>
      </c>
      <c r="AH148" s="20">
        <v>15</v>
      </c>
      <c r="AI148" s="328">
        <v>8.5495661095199438</v>
      </c>
      <c r="AJ148" s="328">
        <v>1.5600624024960998</v>
      </c>
      <c r="AK148" s="328">
        <v>3.9001560062402496</v>
      </c>
      <c r="AL148" s="22" t="s">
        <v>1329</v>
      </c>
      <c r="AM148" s="22" t="s">
        <v>1330</v>
      </c>
      <c r="AN148" s="22" t="s">
        <v>1317</v>
      </c>
      <c r="AO148" s="22" t="s">
        <v>1318</v>
      </c>
      <c r="AP148" s="22" t="s">
        <v>1318</v>
      </c>
      <c r="AQ148" s="22" t="s">
        <v>1318</v>
      </c>
      <c r="AR148" s="22" t="s">
        <v>1317</v>
      </c>
      <c r="AS148" s="22" t="s">
        <v>1311</v>
      </c>
      <c r="AT148" s="22" t="s">
        <v>1317</v>
      </c>
      <c r="AU148" s="22" t="s">
        <v>1311</v>
      </c>
      <c r="AV148" s="22" t="s">
        <v>1315</v>
      </c>
      <c r="AW148" s="22" t="s">
        <v>1318</v>
      </c>
      <c r="AX148" s="22" t="s">
        <v>1315</v>
      </c>
      <c r="AY148" s="22" t="s">
        <v>1318</v>
      </c>
      <c r="AZ148" s="22" t="s">
        <v>1309</v>
      </c>
      <c r="BA148" s="22" t="s">
        <v>1309</v>
      </c>
      <c r="BB148" s="22" t="s">
        <v>1309</v>
      </c>
      <c r="BC148" s="22" t="s">
        <v>1309</v>
      </c>
      <c r="BD148" s="22" t="s">
        <v>1315</v>
      </c>
      <c r="BE148" s="22" t="s">
        <v>1318</v>
      </c>
      <c r="BF148" s="22" t="s">
        <v>1315</v>
      </c>
      <c r="BG148" s="22" t="s">
        <v>1318</v>
      </c>
      <c r="BH148" s="22" t="s">
        <v>1319</v>
      </c>
      <c r="BI148" s="22" t="s">
        <v>1311</v>
      </c>
      <c r="BJ148" s="22" t="s">
        <v>1317</v>
      </c>
      <c r="BK148" s="22" t="s">
        <v>1311</v>
      </c>
      <c r="BL148" s="22" t="s">
        <v>1309</v>
      </c>
      <c r="BM148" s="22" t="s">
        <v>1309</v>
      </c>
      <c r="BN148" s="22" t="s">
        <v>1309</v>
      </c>
      <c r="BO148" s="22" t="s">
        <v>1309</v>
      </c>
      <c r="BP148" s="22" t="s">
        <v>1317</v>
      </c>
      <c r="BQ148" s="22" t="s">
        <v>1318</v>
      </c>
      <c r="BR148" s="22" t="s">
        <v>1317</v>
      </c>
      <c r="BS148" s="22" t="s">
        <v>1318</v>
      </c>
      <c r="BT148" s="22" t="s">
        <v>1319</v>
      </c>
      <c r="BU148" s="22" t="s">
        <v>1311</v>
      </c>
      <c r="BV148" s="22" t="s">
        <v>1315</v>
      </c>
      <c r="BW148" s="22" t="s">
        <v>1318</v>
      </c>
      <c r="BX148" s="20">
        <v>0</v>
      </c>
      <c r="BY148" s="20">
        <v>0</v>
      </c>
      <c r="BZ148" s="20">
        <v>132</v>
      </c>
      <c r="CA148" s="20">
        <v>0</v>
      </c>
      <c r="CB148" s="20">
        <v>0</v>
      </c>
      <c r="CC148" s="20">
        <v>1152</v>
      </c>
      <c r="CD148" s="22" t="s">
        <v>1317</v>
      </c>
      <c r="CE148" s="22" t="s">
        <v>1318</v>
      </c>
      <c r="CF148" s="22" t="s">
        <v>1317</v>
      </c>
      <c r="CG148" s="22" t="s">
        <v>1318</v>
      </c>
      <c r="CH148" s="22" t="s">
        <v>1317</v>
      </c>
      <c r="CI148" s="22" t="s">
        <v>1318</v>
      </c>
      <c r="CJ148" s="149" t="s">
        <v>1690</v>
      </c>
      <c r="CK148" s="241" t="s">
        <v>1691</v>
      </c>
    </row>
    <row r="149" spans="1:89" ht="15" customHeight="1" x14ac:dyDescent="0.35">
      <c r="A149" s="17"/>
      <c r="B149" s="313">
        <v>44023</v>
      </c>
      <c r="C149" s="8" t="s">
        <v>402</v>
      </c>
      <c r="D149" s="18">
        <v>5</v>
      </c>
      <c r="E149" s="131" t="s">
        <v>1309</v>
      </c>
      <c r="F149" s="22" t="s">
        <v>1309</v>
      </c>
      <c r="G149" s="132" t="s">
        <v>1309</v>
      </c>
      <c r="H149" s="22" t="s">
        <v>1311</v>
      </c>
      <c r="I149" s="22" t="s">
        <v>1327</v>
      </c>
      <c r="J149" s="22" t="s">
        <v>1327</v>
      </c>
      <c r="K149" s="22" t="s">
        <v>1309</v>
      </c>
      <c r="L149" s="22" t="s">
        <v>1309</v>
      </c>
      <c r="M149" s="133" t="s">
        <v>1311</v>
      </c>
      <c r="N149" s="22" t="s">
        <v>1311</v>
      </c>
      <c r="O149" s="22" t="s">
        <v>1315</v>
      </c>
      <c r="P149" s="22" t="s">
        <v>1315</v>
      </c>
      <c r="Q149" s="20">
        <v>0</v>
      </c>
      <c r="R149" s="20">
        <v>0</v>
      </c>
      <c r="S149" s="20">
        <v>0</v>
      </c>
      <c r="T149" s="20">
        <v>0</v>
      </c>
      <c r="U149" s="20">
        <v>0</v>
      </c>
      <c r="V149" s="20">
        <v>0</v>
      </c>
      <c r="W149" s="20">
        <v>0</v>
      </c>
      <c r="X149" s="20">
        <v>0</v>
      </c>
      <c r="Y149" s="20">
        <v>0</v>
      </c>
      <c r="Z149" s="20">
        <v>0</v>
      </c>
      <c r="AA149" s="20" t="s">
        <v>1317</v>
      </c>
      <c r="AB149" s="22" t="s">
        <v>1318</v>
      </c>
      <c r="AC149" s="20">
        <v>0</v>
      </c>
      <c r="AD149" s="20">
        <v>0</v>
      </c>
      <c r="AE149" s="20">
        <v>4</v>
      </c>
      <c r="AF149" s="20">
        <v>0</v>
      </c>
      <c r="AG149" s="20">
        <v>0</v>
      </c>
      <c r="AH149" s="20">
        <v>2</v>
      </c>
      <c r="AI149" s="328" t="s">
        <v>1328</v>
      </c>
      <c r="AJ149" s="328" t="s">
        <v>1328</v>
      </c>
      <c r="AK149" s="328">
        <v>37.735849056603776</v>
      </c>
      <c r="AL149" s="22" t="s">
        <v>1329</v>
      </c>
      <c r="AM149" s="22" t="s">
        <v>1330</v>
      </c>
      <c r="AN149" s="22" t="s">
        <v>1317</v>
      </c>
      <c r="AO149" s="22" t="s">
        <v>1318</v>
      </c>
      <c r="AP149" s="22" t="s">
        <v>1318</v>
      </c>
      <c r="AQ149" s="22" t="s">
        <v>1318</v>
      </c>
      <c r="AR149" s="22" t="s">
        <v>1317</v>
      </c>
      <c r="AS149" s="22" t="s">
        <v>1318</v>
      </c>
      <c r="AT149" s="22" t="s">
        <v>1317</v>
      </c>
      <c r="AU149" s="22" t="s">
        <v>1311</v>
      </c>
      <c r="AV149" s="22" t="s">
        <v>1317</v>
      </c>
      <c r="AW149" s="22" t="s">
        <v>1318</v>
      </c>
      <c r="AX149" s="22" t="s">
        <v>1317</v>
      </c>
      <c r="AY149" s="22" t="s">
        <v>1318</v>
      </c>
      <c r="AZ149" s="22" t="s">
        <v>1309</v>
      </c>
      <c r="BA149" s="22" t="s">
        <v>1309</v>
      </c>
      <c r="BB149" s="22" t="s">
        <v>1309</v>
      </c>
      <c r="BC149" s="22" t="s">
        <v>1309</v>
      </c>
      <c r="BD149" s="22" t="s">
        <v>1317</v>
      </c>
      <c r="BE149" s="22" t="s">
        <v>1318</v>
      </c>
      <c r="BF149" s="22" t="s">
        <v>1317</v>
      </c>
      <c r="BG149" s="22" t="s">
        <v>1318</v>
      </c>
      <c r="BH149" s="22" t="s">
        <v>1317</v>
      </c>
      <c r="BI149" s="22" t="s">
        <v>1317</v>
      </c>
      <c r="BJ149" s="22" t="s">
        <v>1317</v>
      </c>
      <c r="BK149" s="22" t="s">
        <v>1317</v>
      </c>
      <c r="BL149" s="22" t="s">
        <v>1317</v>
      </c>
      <c r="BM149" s="22" t="s">
        <v>1317</v>
      </c>
      <c r="BN149" s="22" t="s">
        <v>1317</v>
      </c>
      <c r="BO149" s="22" t="s">
        <v>1311</v>
      </c>
      <c r="BP149" s="22" t="s">
        <v>1317</v>
      </c>
      <c r="BQ149" s="22" t="s">
        <v>1311</v>
      </c>
      <c r="BR149" s="22" t="s">
        <v>1317</v>
      </c>
      <c r="BS149" s="22" t="s">
        <v>1317</v>
      </c>
      <c r="BT149" s="22" t="s">
        <v>1317</v>
      </c>
      <c r="BU149" s="22" t="s">
        <v>1317</v>
      </c>
      <c r="BV149" s="22" t="s">
        <v>1309</v>
      </c>
      <c r="BW149" s="22" t="s">
        <v>1309</v>
      </c>
      <c r="BX149" s="20">
        <v>0</v>
      </c>
      <c r="BY149" s="20">
        <v>0</v>
      </c>
      <c r="BZ149" s="20">
        <v>18</v>
      </c>
      <c r="CA149" s="20">
        <v>0</v>
      </c>
      <c r="CB149" s="20">
        <v>0</v>
      </c>
      <c r="CC149" s="20">
        <v>88</v>
      </c>
      <c r="CD149" s="22" t="s">
        <v>1317</v>
      </c>
      <c r="CE149" s="22" t="s">
        <v>1318</v>
      </c>
      <c r="CF149" s="22" t="s">
        <v>1317</v>
      </c>
      <c r="CG149" s="22" t="s">
        <v>1318</v>
      </c>
      <c r="CH149" s="22" t="s">
        <v>1317</v>
      </c>
      <c r="CI149" s="22" t="s">
        <v>1318</v>
      </c>
      <c r="CJ149" s="149" t="s">
        <v>1124</v>
      </c>
      <c r="CK149" s="241" t="s">
        <v>1694</v>
      </c>
    </row>
    <row r="150" spans="1:89" ht="15" customHeight="1" x14ac:dyDescent="0.35">
      <c r="A150" s="17"/>
      <c r="B150" s="313">
        <v>92022</v>
      </c>
      <c r="C150" s="8" t="s">
        <v>949</v>
      </c>
      <c r="D150" s="18">
        <v>2</v>
      </c>
      <c r="E150" s="134" t="s">
        <v>1309</v>
      </c>
      <c r="F150" s="22" t="s">
        <v>1309</v>
      </c>
      <c r="G150" s="132" t="s">
        <v>1309</v>
      </c>
      <c r="H150" s="22" t="s">
        <v>1311</v>
      </c>
      <c r="I150" s="22" t="s">
        <v>1327</v>
      </c>
      <c r="J150" s="22" t="s">
        <v>1327</v>
      </c>
      <c r="K150" s="22" t="s">
        <v>1309</v>
      </c>
      <c r="L150" s="22" t="s">
        <v>1309</v>
      </c>
      <c r="M150" s="133" t="s">
        <v>1311</v>
      </c>
      <c r="N150" s="22" t="s">
        <v>1311</v>
      </c>
      <c r="O150" s="22" t="s">
        <v>1309</v>
      </c>
      <c r="P150" s="22" t="s">
        <v>1309</v>
      </c>
      <c r="Q150" s="20">
        <v>0</v>
      </c>
      <c r="R150" s="20">
        <v>0</v>
      </c>
      <c r="S150" s="20">
        <v>0</v>
      </c>
      <c r="T150" s="20">
        <v>0</v>
      </c>
      <c r="U150" s="20">
        <v>93.795000000000002</v>
      </c>
      <c r="V150" s="20">
        <v>93.795000000000002</v>
      </c>
      <c r="W150" s="20">
        <v>0</v>
      </c>
      <c r="X150" s="20">
        <v>0</v>
      </c>
      <c r="Y150" s="20">
        <v>0</v>
      </c>
      <c r="Z150" s="20">
        <v>0</v>
      </c>
      <c r="AA150" s="20" t="s">
        <v>1319</v>
      </c>
      <c r="AB150" s="22" t="s">
        <v>1311</v>
      </c>
      <c r="AC150" s="20">
        <v>13</v>
      </c>
      <c r="AD150" s="20">
        <v>14</v>
      </c>
      <c r="AE150" s="20">
        <v>12</v>
      </c>
      <c r="AF150" s="20">
        <v>3</v>
      </c>
      <c r="AG150" s="20">
        <v>3</v>
      </c>
      <c r="AH150" s="20">
        <v>6</v>
      </c>
      <c r="AI150" s="328">
        <v>13.860013860013861</v>
      </c>
      <c r="AJ150" s="328">
        <v>3.0721966205837172</v>
      </c>
      <c r="AK150" s="328">
        <v>2.6333113890717579</v>
      </c>
      <c r="AL150" s="22" t="s">
        <v>1329</v>
      </c>
      <c r="AM150" s="22" t="s">
        <v>1330</v>
      </c>
      <c r="AN150" s="22" t="s">
        <v>1317</v>
      </c>
      <c r="AO150" s="22" t="s">
        <v>1318</v>
      </c>
      <c r="AP150" s="22" t="s">
        <v>1318</v>
      </c>
      <c r="AQ150" s="22" t="s">
        <v>1318</v>
      </c>
      <c r="AR150" s="22" t="s">
        <v>1317</v>
      </c>
      <c r="AS150" s="22" t="s">
        <v>1318</v>
      </c>
      <c r="AT150" s="22" t="s">
        <v>1317</v>
      </c>
      <c r="AU150" s="22" t="s">
        <v>1318</v>
      </c>
      <c r="AV150" s="22" t="s">
        <v>1319</v>
      </c>
      <c r="AW150" s="22" t="s">
        <v>1311</v>
      </c>
      <c r="AX150" s="22" t="s">
        <v>1317</v>
      </c>
      <c r="AY150" s="22" t="s">
        <v>1318</v>
      </c>
      <c r="AZ150" s="22" t="s">
        <v>1309</v>
      </c>
      <c r="BA150" s="22" t="s">
        <v>1309</v>
      </c>
      <c r="BB150" s="22" t="s">
        <v>1309</v>
      </c>
      <c r="BC150" s="22" t="s">
        <v>1309</v>
      </c>
      <c r="BD150" s="22" t="s">
        <v>1317</v>
      </c>
      <c r="BE150" s="22" t="s">
        <v>1318</v>
      </c>
      <c r="BF150" s="22" t="s">
        <v>1317</v>
      </c>
      <c r="BG150" s="22" t="s">
        <v>1318</v>
      </c>
      <c r="BH150" s="22" t="s">
        <v>1309</v>
      </c>
      <c r="BI150" s="22" t="s">
        <v>1309</v>
      </c>
      <c r="BJ150" s="22" t="s">
        <v>1309</v>
      </c>
      <c r="BK150" s="22" t="s">
        <v>1309</v>
      </c>
      <c r="BL150" s="22" t="s">
        <v>1309</v>
      </c>
      <c r="BM150" s="22" t="s">
        <v>1309</v>
      </c>
      <c r="BN150" s="22" t="s">
        <v>1309</v>
      </c>
      <c r="BO150" s="22" t="s">
        <v>1309</v>
      </c>
      <c r="BP150" s="22" t="s">
        <v>1309</v>
      </c>
      <c r="BQ150" s="22" t="s">
        <v>1309</v>
      </c>
      <c r="BR150" s="22" t="s">
        <v>1309</v>
      </c>
      <c r="BS150" s="22" t="s">
        <v>1309</v>
      </c>
      <c r="BT150" s="22" t="s">
        <v>1309</v>
      </c>
      <c r="BU150" s="22" t="s">
        <v>1309</v>
      </c>
      <c r="BV150" s="22" t="s">
        <v>1309</v>
      </c>
      <c r="BW150" s="22" t="s">
        <v>1309</v>
      </c>
      <c r="BX150" s="20">
        <v>99</v>
      </c>
      <c r="BY150" s="20">
        <v>0</v>
      </c>
      <c r="BZ150" s="20">
        <v>333</v>
      </c>
      <c r="CA150" s="20">
        <v>0</v>
      </c>
      <c r="CB150" s="20">
        <v>0</v>
      </c>
      <c r="CC150" s="20">
        <v>4125</v>
      </c>
      <c r="CD150" s="22" t="s">
        <v>1320</v>
      </c>
      <c r="CE150" s="22" t="s">
        <v>1321</v>
      </c>
      <c r="CF150" s="22" t="s">
        <v>1320</v>
      </c>
      <c r="CG150" s="22" t="s">
        <v>1321</v>
      </c>
      <c r="CH150" s="22" t="s">
        <v>1317</v>
      </c>
      <c r="CI150" s="22" t="s">
        <v>1318</v>
      </c>
      <c r="CJ150" s="149" t="s">
        <v>1124</v>
      </c>
      <c r="CK150" s="241" t="s">
        <v>1700</v>
      </c>
    </row>
    <row r="151" spans="1:89" ht="15" customHeight="1" x14ac:dyDescent="0.35">
      <c r="A151" s="17"/>
      <c r="B151" s="313">
        <v>66142</v>
      </c>
      <c r="C151" s="8" t="s">
        <v>1113</v>
      </c>
      <c r="D151" s="18">
        <v>6</v>
      </c>
      <c r="E151" s="131" t="s">
        <v>1309</v>
      </c>
      <c r="F151" s="22" t="s">
        <v>1309</v>
      </c>
      <c r="G151" s="132" t="s">
        <v>1309</v>
      </c>
      <c r="H151" s="22" t="s">
        <v>1311</v>
      </c>
      <c r="I151" s="22" t="s">
        <v>1327</v>
      </c>
      <c r="J151" s="22" t="s">
        <v>1327</v>
      </c>
      <c r="K151" s="22" t="s">
        <v>1314</v>
      </c>
      <c r="L151" s="22" t="s">
        <v>1311</v>
      </c>
      <c r="M151" s="133" t="s">
        <v>1311</v>
      </c>
      <c r="N151" s="22" t="s">
        <v>1311</v>
      </c>
      <c r="O151" s="22" t="s">
        <v>1314</v>
      </c>
      <c r="P151" s="22" t="s">
        <v>1318</v>
      </c>
      <c r="Q151" s="20">
        <v>0</v>
      </c>
      <c r="R151" s="20">
        <v>0</v>
      </c>
      <c r="S151" s="20">
        <v>0</v>
      </c>
      <c r="T151" s="20">
        <v>0</v>
      </c>
      <c r="U151" s="20">
        <v>207.22</v>
      </c>
      <c r="V151" s="20">
        <v>207.22</v>
      </c>
      <c r="W151" s="20">
        <v>0</v>
      </c>
      <c r="X151" s="20">
        <v>0</v>
      </c>
      <c r="Y151" s="20">
        <v>0</v>
      </c>
      <c r="Z151" s="20">
        <v>0</v>
      </c>
      <c r="AA151" s="20" t="s">
        <v>1317</v>
      </c>
      <c r="AB151" s="22" t="s">
        <v>1311</v>
      </c>
      <c r="AC151" s="20">
        <v>31</v>
      </c>
      <c r="AD151" s="20">
        <v>11</v>
      </c>
      <c r="AE151" s="20">
        <v>21</v>
      </c>
      <c r="AF151" s="20">
        <v>13</v>
      </c>
      <c r="AG151" s="20">
        <v>13</v>
      </c>
      <c r="AH151" s="20">
        <v>27</v>
      </c>
      <c r="AI151" s="328">
        <v>14.959945951163014</v>
      </c>
      <c r="AJ151" s="328">
        <v>0.93070479736018275</v>
      </c>
      <c r="AK151" s="328">
        <v>1.7768000676876217</v>
      </c>
      <c r="AL151" s="22" t="s">
        <v>1316</v>
      </c>
      <c r="AM151" s="22" t="s">
        <v>1330</v>
      </c>
      <c r="AN151" s="22" t="s">
        <v>1317</v>
      </c>
      <c r="AO151" s="22" t="s">
        <v>1318</v>
      </c>
      <c r="AP151" s="22" t="s">
        <v>1318</v>
      </c>
      <c r="AQ151" s="22" t="s">
        <v>1318</v>
      </c>
      <c r="AR151" s="22" t="s">
        <v>1317</v>
      </c>
      <c r="AS151" s="22" t="s">
        <v>1318</v>
      </c>
      <c r="AT151" s="22" t="s">
        <v>1317</v>
      </c>
      <c r="AU151" s="22" t="s">
        <v>1311</v>
      </c>
      <c r="AV151" s="22" t="s">
        <v>1317</v>
      </c>
      <c r="AW151" s="22" t="s">
        <v>1311</v>
      </c>
      <c r="AX151" s="22" t="s">
        <v>1317</v>
      </c>
      <c r="AY151" s="22" t="s">
        <v>1318</v>
      </c>
      <c r="AZ151" s="22" t="s">
        <v>1309</v>
      </c>
      <c r="BA151" s="22" t="s">
        <v>1309</v>
      </c>
      <c r="BB151" s="22" t="s">
        <v>1317</v>
      </c>
      <c r="BC151" s="22" t="s">
        <v>1318</v>
      </c>
      <c r="BD151" s="22" t="s">
        <v>1317</v>
      </c>
      <c r="BE151" s="22" t="s">
        <v>1318</v>
      </c>
      <c r="BF151" s="22" t="s">
        <v>1317</v>
      </c>
      <c r="BG151" s="22" t="s">
        <v>1318</v>
      </c>
      <c r="BH151" s="22" t="s">
        <v>1317</v>
      </c>
      <c r="BI151" s="22" t="s">
        <v>1318</v>
      </c>
      <c r="BJ151" s="22" t="s">
        <v>1317</v>
      </c>
      <c r="BK151" s="22" t="s">
        <v>1318</v>
      </c>
      <c r="BL151" s="22" t="s">
        <v>1309</v>
      </c>
      <c r="BM151" s="22" t="s">
        <v>1309</v>
      </c>
      <c r="BN151" s="22" t="s">
        <v>1317</v>
      </c>
      <c r="BO151" s="22" t="s">
        <v>1318</v>
      </c>
      <c r="BP151" s="22" t="s">
        <v>1317</v>
      </c>
      <c r="BQ151" s="22" t="s">
        <v>1318</v>
      </c>
      <c r="BR151" s="22" t="s">
        <v>1309</v>
      </c>
      <c r="BS151" s="22" t="s">
        <v>1309</v>
      </c>
      <c r="BT151" s="22" t="s">
        <v>1317</v>
      </c>
      <c r="BU151" s="22" t="s">
        <v>1318</v>
      </c>
      <c r="BV151" s="22" t="s">
        <v>1317</v>
      </c>
      <c r="BW151" s="22" t="s">
        <v>1318</v>
      </c>
      <c r="BX151" s="20">
        <v>0</v>
      </c>
      <c r="BY151" s="20">
        <v>205</v>
      </c>
      <c r="BZ151" s="20">
        <v>9</v>
      </c>
      <c r="CA151" s="20">
        <v>0</v>
      </c>
      <c r="CB151" s="20">
        <v>23</v>
      </c>
      <c r="CC151" s="20">
        <v>11580</v>
      </c>
      <c r="CD151" s="22" t="s">
        <v>1345</v>
      </c>
      <c r="CE151" s="22" t="s">
        <v>1321</v>
      </c>
      <c r="CF151" s="22" t="s">
        <v>1320</v>
      </c>
      <c r="CG151" s="22" t="s">
        <v>1344</v>
      </c>
      <c r="CH151" s="22" t="s">
        <v>1317</v>
      </c>
      <c r="CI151" s="22" t="s">
        <v>1318</v>
      </c>
      <c r="CJ151" s="149" t="s">
        <v>1124</v>
      </c>
      <c r="CK151" s="241" t="s">
        <v>1706</v>
      </c>
    </row>
    <row r="152" spans="1:89" ht="15" customHeight="1" x14ac:dyDescent="0.35">
      <c r="A152" s="17"/>
      <c r="B152" s="313">
        <v>34025</v>
      </c>
      <c r="C152" s="8" t="s">
        <v>287</v>
      </c>
      <c r="D152" s="18">
        <v>3</v>
      </c>
      <c r="E152" s="131" t="s">
        <v>1309</v>
      </c>
      <c r="F152" s="22" t="s">
        <v>1309</v>
      </c>
      <c r="G152" s="132" t="s">
        <v>1309</v>
      </c>
      <c r="H152" s="22" t="s">
        <v>1311</v>
      </c>
      <c r="I152" s="22" t="s">
        <v>1312</v>
      </c>
      <c r="J152" s="22" t="s">
        <v>1315</v>
      </c>
      <c r="K152" s="22" t="s">
        <v>1309</v>
      </c>
      <c r="L152" s="22" t="s">
        <v>1309</v>
      </c>
      <c r="M152" s="133" t="s">
        <v>1311</v>
      </c>
      <c r="N152" s="22" t="s">
        <v>1311</v>
      </c>
      <c r="O152" s="22" t="s">
        <v>1309</v>
      </c>
      <c r="P152" s="22" t="s">
        <v>1309</v>
      </c>
      <c r="Q152" s="20">
        <v>0</v>
      </c>
      <c r="R152" s="20">
        <v>0</v>
      </c>
      <c r="S152" s="20">
        <v>0</v>
      </c>
      <c r="T152" s="20">
        <v>20</v>
      </c>
      <c r="U152" s="20">
        <v>0</v>
      </c>
      <c r="V152" s="20">
        <v>0</v>
      </c>
      <c r="W152" s="20">
        <v>0</v>
      </c>
      <c r="X152" s="20">
        <v>0</v>
      </c>
      <c r="Y152" s="20">
        <v>0</v>
      </c>
      <c r="Z152" s="20">
        <v>0</v>
      </c>
      <c r="AA152" s="20" t="s">
        <v>1319</v>
      </c>
      <c r="AB152" s="22" t="s">
        <v>1311</v>
      </c>
      <c r="AC152" s="20">
        <v>13</v>
      </c>
      <c r="AD152" s="20">
        <v>8</v>
      </c>
      <c r="AE152" s="20">
        <v>0</v>
      </c>
      <c r="AF152" s="20">
        <v>2</v>
      </c>
      <c r="AG152" s="20">
        <v>2</v>
      </c>
      <c r="AH152" s="20">
        <v>0</v>
      </c>
      <c r="AI152" s="328">
        <v>22.872827081427264</v>
      </c>
      <c r="AJ152" s="328">
        <v>2.8694404591104736</v>
      </c>
      <c r="AK152" s="328" t="s">
        <v>1328</v>
      </c>
      <c r="AL152" s="22" t="s">
        <v>1329</v>
      </c>
      <c r="AM152" s="22" t="s">
        <v>1330</v>
      </c>
      <c r="AN152" s="22" t="s">
        <v>1317</v>
      </c>
      <c r="AO152" s="22" t="s">
        <v>1318</v>
      </c>
      <c r="AP152" s="22" t="s">
        <v>1318</v>
      </c>
      <c r="AQ152" s="22" t="s">
        <v>1318</v>
      </c>
      <c r="AR152" s="22" t="s">
        <v>1317</v>
      </c>
      <c r="AS152" s="22" t="s">
        <v>1318</v>
      </c>
      <c r="AT152" s="22" t="s">
        <v>1309</v>
      </c>
      <c r="AU152" s="22" t="s">
        <v>1318</v>
      </c>
      <c r="AV152" s="22" t="s">
        <v>1317</v>
      </c>
      <c r="AW152" s="22" t="s">
        <v>1318</v>
      </c>
      <c r="AX152" s="22" t="s">
        <v>1317</v>
      </c>
      <c r="AY152" s="22" t="s">
        <v>1318</v>
      </c>
      <c r="AZ152" s="22" t="s">
        <v>1309</v>
      </c>
      <c r="BA152" s="22" t="s">
        <v>1311</v>
      </c>
      <c r="BB152" s="22" t="s">
        <v>1319</v>
      </c>
      <c r="BC152" s="22" t="s">
        <v>1311</v>
      </c>
      <c r="BD152" s="22" t="s">
        <v>1309</v>
      </c>
      <c r="BE152" s="22" t="s">
        <v>1309</v>
      </c>
      <c r="BF152" s="22" t="s">
        <v>1317</v>
      </c>
      <c r="BG152" s="22" t="s">
        <v>1318</v>
      </c>
      <c r="BH152" s="22" t="s">
        <v>1309</v>
      </c>
      <c r="BI152" s="22" t="s">
        <v>1309</v>
      </c>
      <c r="BJ152" s="22" t="s">
        <v>1317</v>
      </c>
      <c r="BK152" s="22" t="s">
        <v>1318</v>
      </c>
      <c r="BL152" s="22" t="s">
        <v>1319</v>
      </c>
      <c r="BM152" s="22" t="s">
        <v>1311</v>
      </c>
      <c r="BN152" s="22" t="s">
        <v>1317</v>
      </c>
      <c r="BO152" s="22" t="s">
        <v>1318</v>
      </c>
      <c r="BP152" s="22" t="s">
        <v>1317</v>
      </c>
      <c r="BQ152" s="22" t="s">
        <v>1318</v>
      </c>
      <c r="BR152" s="22" t="s">
        <v>1319</v>
      </c>
      <c r="BS152" s="22" t="s">
        <v>1311</v>
      </c>
      <c r="BT152" s="22" t="s">
        <v>1309</v>
      </c>
      <c r="BU152" s="22" t="s">
        <v>1309</v>
      </c>
      <c r="BV152" s="22" t="s">
        <v>1319</v>
      </c>
      <c r="BW152" s="22" t="s">
        <v>1311</v>
      </c>
      <c r="BX152" s="20">
        <v>40</v>
      </c>
      <c r="BY152" s="20">
        <v>0</v>
      </c>
      <c r="BZ152" s="20">
        <v>379</v>
      </c>
      <c r="CA152" s="20">
        <v>0</v>
      </c>
      <c r="CB152" s="20">
        <v>0</v>
      </c>
      <c r="CC152" s="20">
        <v>2408</v>
      </c>
      <c r="CD152" s="22" t="s">
        <v>1320</v>
      </c>
      <c r="CE152" s="22" t="s">
        <v>1318</v>
      </c>
      <c r="CF152" s="22" t="s">
        <v>1317</v>
      </c>
      <c r="CG152" s="22" t="s">
        <v>1318</v>
      </c>
      <c r="CH152" s="22" t="s">
        <v>1317</v>
      </c>
      <c r="CI152" s="22" t="s">
        <v>1318</v>
      </c>
      <c r="CJ152" s="149" t="s">
        <v>1124</v>
      </c>
      <c r="CK152" s="241" t="s">
        <v>1710</v>
      </c>
    </row>
    <row r="153" spans="1:89" ht="15" customHeight="1" x14ac:dyDescent="0.35">
      <c r="A153" s="17"/>
      <c r="B153" s="313">
        <v>66087</v>
      </c>
      <c r="C153" s="8" t="s">
        <v>654</v>
      </c>
      <c r="D153" s="18">
        <v>6</v>
      </c>
      <c r="E153" s="131" t="s">
        <v>1309</v>
      </c>
      <c r="F153" s="22" t="s">
        <v>1309</v>
      </c>
      <c r="G153" s="132" t="s">
        <v>1309</v>
      </c>
      <c r="H153" s="22" t="s">
        <v>1311</v>
      </c>
      <c r="I153" s="22" t="s">
        <v>1315</v>
      </c>
      <c r="J153" s="22" t="s">
        <v>1315</v>
      </c>
      <c r="K153" s="22" t="s">
        <v>1309</v>
      </c>
      <c r="L153" s="22" t="s">
        <v>1309</v>
      </c>
      <c r="M153" s="133" t="s">
        <v>1311</v>
      </c>
      <c r="N153" s="22" t="s">
        <v>1311</v>
      </c>
      <c r="O153" s="22" t="s">
        <v>1314</v>
      </c>
      <c r="P153" s="22" t="s">
        <v>1311</v>
      </c>
      <c r="Q153" s="20">
        <v>0</v>
      </c>
      <c r="R153" s="20">
        <v>0</v>
      </c>
      <c r="S153" s="20">
        <v>0</v>
      </c>
      <c r="T153" s="20">
        <v>137.79</v>
      </c>
      <c r="U153" s="20">
        <v>137.79</v>
      </c>
      <c r="V153" s="20">
        <v>275.58</v>
      </c>
      <c r="W153" s="20">
        <v>0</v>
      </c>
      <c r="X153" s="20">
        <v>0</v>
      </c>
      <c r="Y153" s="20">
        <v>0</v>
      </c>
      <c r="Z153" s="20">
        <v>0</v>
      </c>
      <c r="AA153" s="20" t="s">
        <v>1309</v>
      </c>
      <c r="AB153" s="22" t="s">
        <v>1311</v>
      </c>
      <c r="AC153" s="20">
        <v>23</v>
      </c>
      <c r="AD153" s="20">
        <v>7</v>
      </c>
      <c r="AE153" s="20">
        <v>0</v>
      </c>
      <c r="AF153" s="20">
        <v>2</v>
      </c>
      <c r="AG153" s="20">
        <v>2</v>
      </c>
      <c r="AH153" s="20">
        <v>0</v>
      </c>
      <c r="AI153" s="328">
        <v>16.692067639161042</v>
      </c>
      <c r="AJ153" s="328">
        <v>0.93783494105037513</v>
      </c>
      <c r="AK153" s="328" t="s">
        <v>1328</v>
      </c>
      <c r="AL153" s="22" t="s">
        <v>1329</v>
      </c>
      <c r="AM153" s="22" t="s">
        <v>1316</v>
      </c>
      <c r="AN153" s="22" t="s">
        <v>1317</v>
      </c>
      <c r="AO153" s="22" t="s">
        <v>1309</v>
      </c>
      <c r="AP153" s="22" t="s">
        <v>1315</v>
      </c>
      <c r="AQ153" s="22" t="s">
        <v>1315</v>
      </c>
      <c r="AR153" s="22" t="s">
        <v>1317</v>
      </c>
      <c r="AS153" s="22" t="s">
        <v>1318</v>
      </c>
      <c r="AT153" s="22" t="s">
        <v>1309</v>
      </c>
      <c r="AU153" s="22" t="s">
        <v>1309</v>
      </c>
      <c r="AV153" s="22" t="s">
        <v>1317</v>
      </c>
      <c r="AW153" s="22" t="s">
        <v>1311</v>
      </c>
      <c r="AX153" s="22" t="s">
        <v>1317</v>
      </c>
      <c r="AY153" s="22" t="s">
        <v>1318</v>
      </c>
      <c r="AZ153" s="22" t="s">
        <v>1309</v>
      </c>
      <c r="BA153" s="22" t="s">
        <v>1309</v>
      </c>
      <c r="BB153" s="22" t="s">
        <v>1317</v>
      </c>
      <c r="BC153" s="22" t="s">
        <v>1311</v>
      </c>
      <c r="BD153" s="22" t="s">
        <v>1317</v>
      </c>
      <c r="BE153" s="22" t="s">
        <v>1311</v>
      </c>
      <c r="BF153" s="22" t="s">
        <v>1317</v>
      </c>
      <c r="BG153" s="22" t="s">
        <v>1318</v>
      </c>
      <c r="BH153" s="22" t="s">
        <v>1317</v>
      </c>
      <c r="BI153" s="22" t="s">
        <v>1318</v>
      </c>
      <c r="BJ153" s="22" t="s">
        <v>1319</v>
      </c>
      <c r="BK153" s="22" t="s">
        <v>1311</v>
      </c>
      <c r="BL153" s="22" t="s">
        <v>1309</v>
      </c>
      <c r="BM153" s="22" t="s">
        <v>1309</v>
      </c>
      <c r="BN153" s="22" t="s">
        <v>1309</v>
      </c>
      <c r="BO153" s="22" t="s">
        <v>1309</v>
      </c>
      <c r="BP153" s="22" t="s">
        <v>1309</v>
      </c>
      <c r="BQ153" s="22" t="s">
        <v>1309</v>
      </c>
      <c r="BR153" s="22" t="s">
        <v>1309</v>
      </c>
      <c r="BS153" s="22" t="s">
        <v>1309</v>
      </c>
      <c r="BT153" s="22" t="s">
        <v>1309</v>
      </c>
      <c r="BU153" s="22" t="s">
        <v>1309</v>
      </c>
      <c r="BV153" s="22" t="s">
        <v>1317</v>
      </c>
      <c r="BW153" s="22" t="s">
        <v>1311</v>
      </c>
      <c r="BX153" s="20">
        <v>1</v>
      </c>
      <c r="BY153" s="20">
        <v>51</v>
      </c>
      <c r="BZ153" s="20">
        <v>586</v>
      </c>
      <c r="CA153" s="20">
        <v>0</v>
      </c>
      <c r="CB153" s="20">
        <v>8</v>
      </c>
      <c r="CC153" s="20">
        <v>4583</v>
      </c>
      <c r="CD153" s="22" t="s">
        <v>1320</v>
      </c>
      <c r="CE153" s="22" t="s">
        <v>1344</v>
      </c>
      <c r="CF153" s="22" t="s">
        <v>1317</v>
      </c>
      <c r="CG153" s="22" t="s">
        <v>1340</v>
      </c>
      <c r="CH153" s="22" t="s">
        <v>1315</v>
      </c>
      <c r="CI153" s="22" t="s">
        <v>1315</v>
      </c>
      <c r="CJ153" s="149" t="s">
        <v>1715</v>
      </c>
      <c r="CK153" s="241" t="s">
        <v>1124</v>
      </c>
    </row>
    <row r="154" spans="1:89" ht="15" customHeight="1" x14ac:dyDescent="0.35">
      <c r="A154" s="17"/>
      <c r="B154" s="313">
        <v>33040</v>
      </c>
      <c r="C154" s="8" t="s">
        <v>272</v>
      </c>
      <c r="D154" s="18">
        <v>12</v>
      </c>
      <c r="E154" s="131"/>
      <c r="F154" s="22"/>
      <c r="G154" s="132"/>
      <c r="H154" s="22"/>
      <c r="I154" s="22"/>
      <c r="J154" s="22"/>
      <c r="K154" s="22"/>
      <c r="L154" s="22"/>
      <c r="M154" s="133"/>
      <c r="N154" s="22"/>
      <c r="O154" s="22"/>
      <c r="P154" s="22"/>
      <c r="Q154" s="20"/>
      <c r="R154" s="20"/>
      <c r="S154" s="20"/>
      <c r="T154" s="20"/>
      <c r="U154" s="20"/>
      <c r="V154" s="20"/>
      <c r="W154" s="20"/>
      <c r="X154" s="20"/>
      <c r="Y154" s="20"/>
      <c r="Z154" s="20"/>
      <c r="AA154" s="20"/>
      <c r="AB154" s="22"/>
      <c r="AC154" s="20"/>
      <c r="AD154" s="20"/>
      <c r="AE154" s="20"/>
      <c r="AF154" s="20" t="s">
        <v>1124</v>
      </c>
      <c r="AG154" s="20" t="s">
        <v>1124</v>
      </c>
      <c r="AH154" s="20" t="s">
        <v>1124</v>
      </c>
      <c r="AI154" s="328"/>
      <c r="AJ154" s="328"/>
      <c r="AK154" s="328"/>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0"/>
      <c r="BY154" s="20"/>
      <c r="BZ154" s="20"/>
      <c r="CA154" s="20"/>
      <c r="CB154" s="20"/>
      <c r="CC154" s="20"/>
      <c r="CD154" s="22"/>
      <c r="CE154" s="22"/>
      <c r="CF154" s="22"/>
      <c r="CG154" s="22"/>
      <c r="CH154" s="22"/>
      <c r="CI154" s="22"/>
      <c r="CJ154" s="149"/>
      <c r="CK154" s="241"/>
    </row>
    <row r="155" spans="1:89" ht="15" customHeight="1" x14ac:dyDescent="0.35">
      <c r="A155" s="17"/>
      <c r="B155" s="313">
        <v>49058</v>
      </c>
      <c r="C155" s="8" t="s">
        <v>471</v>
      </c>
      <c r="D155" s="18">
        <v>17</v>
      </c>
      <c r="E155" s="135" t="s">
        <v>1309</v>
      </c>
      <c r="F155" s="22" t="s">
        <v>1309</v>
      </c>
      <c r="G155" s="132" t="s">
        <v>1309</v>
      </c>
      <c r="H155" s="22" t="s">
        <v>1311</v>
      </c>
      <c r="I155" s="22" t="s">
        <v>1327</v>
      </c>
      <c r="J155" s="22" t="s">
        <v>1327</v>
      </c>
      <c r="K155" s="22" t="s">
        <v>1319</v>
      </c>
      <c r="L155" s="22" t="s">
        <v>1311</v>
      </c>
      <c r="M155" s="133" t="s">
        <v>1311</v>
      </c>
      <c r="N155" s="22" t="s">
        <v>1311</v>
      </c>
      <c r="O155" s="22" t="s">
        <v>1309</v>
      </c>
      <c r="P155" s="22" t="s">
        <v>1309</v>
      </c>
      <c r="Q155" s="20">
        <v>1.4</v>
      </c>
      <c r="R155" s="20">
        <v>1.4</v>
      </c>
      <c r="S155" s="20">
        <v>488</v>
      </c>
      <c r="T155" s="20">
        <v>675</v>
      </c>
      <c r="U155" s="20">
        <v>96</v>
      </c>
      <c r="V155" s="20">
        <v>150</v>
      </c>
      <c r="W155" s="20">
        <v>50</v>
      </c>
      <c r="X155" s="20">
        <v>0</v>
      </c>
      <c r="Y155" s="20">
        <v>0</v>
      </c>
      <c r="Z155" s="20">
        <v>0</v>
      </c>
      <c r="AA155" s="20" t="s">
        <v>1309</v>
      </c>
      <c r="AB155" s="22" t="s">
        <v>1311</v>
      </c>
      <c r="AC155" s="20">
        <v>58</v>
      </c>
      <c r="AD155" s="20">
        <v>12</v>
      </c>
      <c r="AE155" s="20">
        <v>9</v>
      </c>
      <c r="AF155" s="20">
        <v>1</v>
      </c>
      <c r="AG155" s="20">
        <v>3</v>
      </c>
      <c r="AH155" s="20">
        <v>19</v>
      </c>
      <c r="AI155" s="328">
        <v>11.881326037926012</v>
      </c>
      <c r="AJ155" s="328">
        <v>0.53809246222142504</v>
      </c>
      <c r="AK155" s="328">
        <v>0.40356934666606881</v>
      </c>
      <c r="AL155" s="22" t="s">
        <v>1329</v>
      </c>
      <c r="AM155" s="22" t="s">
        <v>1330</v>
      </c>
      <c r="AN155" s="22" t="s">
        <v>1317</v>
      </c>
      <c r="AO155" s="22" t="s">
        <v>1318</v>
      </c>
      <c r="AP155" s="22" t="s">
        <v>1318</v>
      </c>
      <c r="AQ155" s="22" t="s">
        <v>1318</v>
      </c>
      <c r="AR155" s="22" t="s">
        <v>1317</v>
      </c>
      <c r="AS155" s="22" t="s">
        <v>1318</v>
      </c>
      <c r="AT155" s="22" t="s">
        <v>1319</v>
      </c>
      <c r="AU155" s="22" t="s">
        <v>1311</v>
      </c>
      <c r="AV155" s="22" t="s">
        <v>1317</v>
      </c>
      <c r="AW155" s="22" t="s">
        <v>1318</v>
      </c>
      <c r="AX155" s="22" t="s">
        <v>1317</v>
      </c>
      <c r="AY155" s="22" t="s">
        <v>1318</v>
      </c>
      <c r="AZ155" s="22" t="s">
        <v>1317</v>
      </c>
      <c r="BA155" s="22" t="s">
        <v>1318</v>
      </c>
      <c r="BB155" s="22" t="s">
        <v>1317</v>
      </c>
      <c r="BC155" s="22" t="s">
        <v>1311</v>
      </c>
      <c r="BD155" s="22" t="s">
        <v>1309</v>
      </c>
      <c r="BE155" s="22" t="s">
        <v>1309</v>
      </c>
      <c r="BF155" s="22" t="s">
        <v>1317</v>
      </c>
      <c r="BG155" s="22" t="s">
        <v>1318</v>
      </c>
      <c r="BH155" s="22" t="s">
        <v>1309</v>
      </c>
      <c r="BI155" s="22" t="s">
        <v>1309</v>
      </c>
      <c r="BJ155" s="22" t="s">
        <v>1317</v>
      </c>
      <c r="BK155" s="22" t="s">
        <v>1318</v>
      </c>
      <c r="BL155" s="22" t="s">
        <v>1317</v>
      </c>
      <c r="BM155" s="22" t="s">
        <v>1318</v>
      </c>
      <c r="BN155" s="22" t="s">
        <v>1317</v>
      </c>
      <c r="BO155" s="22" t="s">
        <v>1311</v>
      </c>
      <c r="BP155" s="22" t="s">
        <v>1317</v>
      </c>
      <c r="BQ155" s="22" t="s">
        <v>1318</v>
      </c>
      <c r="BR155" s="22" t="s">
        <v>1309</v>
      </c>
      <c r="BS155" s="22" t="s">
        <v>1311</v>
      </c>
      <c r="BT155" s="22" t="s">
        <v>1317</v>
      </c>
      <c r="BU155" s="22" t="s">
        <v>1318</v>
      </c>
      <c r="BV155" s="22" t="s">
        <v>1317</v>
      </c>
      <c r="BW155" s="22" t="s">
        <v>1318</v>
      </c>
      <c r="BX155" s="20">
        <v>514</v>
      </c>
      <c r="BY155" s="20">
        <v>295</v>
      </c>
      <c r="BZ155" s="20">
        <v>972</v>
      </c>
      <c r="CA155" s="20">
        <v>0</v>
      </c>
      <c r="CB155" s="20">
        <v>0</v>
      </c>
      <c r="CC155" s="20">
        <v>20520</v>
      </c>
      <c r="CD155" s="22" t="s">
        <v>1345</v>
      </c>
      <c r="CE155" s="22" t="s">
        <v>1321</v>
      </c>
      <c r="CF155" s="22" t="s">
        <v>1317</v>
      </c>
      <c r="CG155" s="22" t="s">
        <v>1318</v>
      </c>
      <c r="CH155" s="22" t="s">
        <v>1341</v>
      </c>
      <c r="CI155" s="22" t="s">
        <v>1352</v>
      </c>
      <c r="CJ155" s="149" t="s">
        <v>1719</v>
      </c>
      <c r="CK155" s="241" t="s">
        <v>1720</v>
      </c>
    </row>
    <row r="156" spans="1:89" ht="15" customHeight="1" x14ac:dyDescent="0.35">
      <c r="A156" s="17"/>
      <c r="B156" s="313">
        <v>41117</v>
      </c>
      <c r="C156" s="8" t="s">
        <v>378</v>
      </c>
      <c r="D156" s="18">
        <v>5</v>
      </c>
      <c r="E156" s="131" t="s">
        <v>1309</v>
      </c>
      <c r="F156" s="22" t="s">
        <v>1309</v>
      </c>
      <c r="G156" s="132" t="s">
        <v>1309</v>
      </c>
      <c r="H156" s="22" t="s">
        <v>1311</v>
      </c>
      <c r="I156" s="22" t="s">
        <v>1327</v>
      </c>
      <c r="J156" s="22" t="s">
        <v>1327</v>
      </c>
      <c r="K156" s="22" t="s">
        <v>1319</v>
      </c>
      <c r="L156" s="22" t="s">
        <v>1309</v>
      </c>
      <c r="M156" s="133" t="s">
        <v>1311</v>
      </c>
      <c r="N156" s="22" t="s">
        <v>1311</v>
      </c>
      <c r="O156" s="22" t="s">
        <v>1314</v>
      </c>
      <c r="P156" s="22" t="s">
        <v>1318</v>
      </c>
      <c r="Q156" s="20">
        <v>3.8570000000000002</v>
      </c>
      <c r="R156" s="20">
        <v>3.8570000000000002</v>
      </c>
      <c r="S156" s="20">
        <v>0</v>
      </c>
      <c r="T156" s="20">
        <v>0</v>
      </c>
      <c r="U156" s="20">
        <v>0</v>
      </c>
      <c r="V156" s="20">
        <v>0</v>
      </c>
      <c r="W156" s="20">
        <v>0</v>
      </c>
      <c r="X156" s="20">
        <v>0</v>
      </c>
      <c r="Y156" s="20">
        <v>0</v>
      </c>
      <c r="Z156" s="20">
        <v>0</v>
      </c>
      <c r="AA156" s="20" t="s">
        <v>1317</v>
      </c>
      <c r="AB156" s="22" t="s">
        <v>1318</v>
      </c>
      <c r="AC156" s="20">
        <v>0</v>
      </c>
      <c r="AD156" s="20">
        <v>2</v>
      </c>
      <c r="AE156" s="20">
        <v>4</v>
      </c>
      <c r="AF156" s="20">
        <v>0</v>
      </c>
      <c r="AG156" s="20">
        <v>3</v>
      </c>
      <c r="AH156" s="20">
        <v>5</v>
      </c>
      <c r="AI156" s="328" t="s">
        <v>1328</v>
      </c>
      <c r="AJ156" s="328">
        <v>15.748031496062993</v>
      </c>
      <c r="AK156" s="328">
        <v>31.496062992125985</v>
      </c>
      <c r="AL156" s="22" t="s">
        <v>1329</v>
      </c>
      <c r="AM156" s="22" t="s">
        <v>1330</v>
      </c>
      <c r="AN156" s="22" t="s">
        <v>1315</v>
      </c>
      <c r="AO156" s="22" t="s">
        <v>1315</v>
      </c>
      <c r="AP156" s="22" t="s">
        <v>1315</v>
      </c>
      <c r="AQ156" s="22" t="s">
        <v>1315</v>
      </c>
      <c r="AR156" s="22" t="s">
        <v>1317</v>
      </c>
      <c r="AS156" s="22" t="s">
        <v>1318</v>
      </c>
      <c r="AT156" s="22" t="s">
        <v>1317</v>
      </c>
      <c r="AU156" s="22" t="s">
        <v>1318</v>
      </c>
      <c r="AV156" s="22" t="s">
        <v>1317</v>
      </c>
      <c r="AW156" s="22" t="s">
        <v>1311</v>
      </c>
      <c r="AX156" s="22" t="s">
        <v>1317</v>
      </c>
      <c r="AY156" s="22" t="s">
        <v>1311</v>
      </c>
      <c r="AZ156" s="22" t="s">
        <v>1317</v>
      </c>
      <c r="BA156" s="22" t="s">
        <v>1318</v>
      </c>
      <c r="BB156" s="22" t="s">
        <v>1309</v>
      </c>
      <c r="BC156" s="22" t="s">
        <v>1309</v>
      </c>
      <c r="BD156" s="22" t="s">
        <v>1317</v>
      </c>
      <c r="BE156" s="22" t="s">
        <v>1318</v>
      </c>
      <c r="BF156" s="22" t="s">
        <v>1317</v>
      </c>
      <c r="BG156" s="22" t="s">
        <v>1318</v>
      </c>
      <c r="BH156" s="22" t="s">
        <v>1309</v>
      </c>
      <c r="BI156" s="22" t="s">
        <v>1309</v>
      </c>
      <c r="BJ156" s="22" t="s">
        <v>1309</v>
      </c>
      <c r="BK156" s="22" t="s">
        <v>1309</v>
      </c>
      <c r="BL156" s="22" t="s">
        <v>1319</v>
      </c>
      <c r="BM156" s="22" t="s">
        <v>1309</v>
      </c>
      <c r="BN156" s="22" t="s">
        <v>1309</v>
      </c>
      <c r="BO156" s="22" t="s">
        <v>1309</v>
      </c>
      <c r="BP156" s="22" t="s">
        <v>1315</v>
      </c>
      <c r="BQ156" s="22" t="s">
        <v>1315</v>
      </c>
      <c r="BR156" s="22" t="s">
        <v>1309</v>
      </c>
      <c r="BS156" s="22" t="s">
        <v>1309</v>
      </c>
      <c r="BT156" s="22" t="s">
        <v>1315</v>
      </c>
      <c r="BU156" s="22" t="s">
        <v>1315</v>
      </c>
      <c r="BV156" s="22" t="s">
        <v>1317</v>
      </c>
      <c r="BW156" s="22" t="s">
        <v>1318</v>
      </c>
      <c r="BX156" s="20">
        <v>0</v>
      </c>
      <c r="BY156" s="20">
        <v>0</v>
      </c>
      <c r="BZ156" s="20">
        <v>3</v>
      </c>
      <c r="CA156" s="20">
        <v>0</v>
      </c>
      <c r="CB156" s="20">
        <v>0</v>
      </c>
      <c r="CC156" s="20">
        <v>127</v>
      </c>
      <c r="CD156" s="22" t="s">
        <v>1317</v>
      </c>
      <c r="CE156" s="22" t="s">
        <v>1318</v>
      </c>
      <c r="CF156" s="22" t="s">
        <v>1317</v>
      </c>
      <c r="CG156" s="22" t="s">
        <v>1318</v>
      </c>
      <c r="CH156" s="22" t="s">
        <v>1317</v>
      </c>
      <c r="CI156" s="22" t="s">
        <v>1318</v>
      </c>
      <c r="CJ156" s="149" t="s">
        <v>1502</v>
      </c>
      <c r="CK156" s="241" t="s">
        <v>1124</v>
      </c>
    </row>
    <row r="157" spans="1:89" ht="15" customHeight="1" x14ac:dyDescent="0.35">
      <c r="A157" s="17"/>
      <c r="B157" s="313">
        <v>80135</v>
      </c>
      <c r="C157" s="8" t="s">
        <v>824</v>
      </c>
      <c r="D157" s="18">
        <v>7</v>
      </c>
      <c r="E157" s="131" t="s">
        <v>1309</v>
      </c>
      <c r="F157" s="22" t="s">
        <v>1310</v>
      </c>
      <c r="G157" s="132" t="s">
        <v>1309</v>
      </c>
      <c r="H157" s="22" t="s">
        <v>1311</v>
      </c>
      <c r="I157" s="22" t="s">
        <v>1327</v>
      </c>
      <c r="J157" s="22" t="s">
        <v>1327</v>
      </c>
      <c r="K157" s="22" t="s">
        <v>1314</v>
      </c>
      <c r="L157" s="22" t="s">
        <v>1311</v>
      </c>
      <c r="M157" s="133" t="s">
        <v>1311</v>
      </c>
      <c r="N157" s="22" t="s">
        <v>1311</v>
      </c>
      <c r="O157" s="22" t="s">
        <v>1315</v>
      </c>
      <c r="P157" s="22" t="s">
        <v>1315</v>
      </c>
      <c r="Q157" s="20">
        <v>0</v>
      </c>
      <c r="R157" s="20">
        <v>0</v>
      </c>
      <c r="S157" s="20">
        <v>0</v>
      </c>
      <c r="T157" s="20">
        <v>0</v>
      </c>
      <c r="U157" s="20">
        <v>0</v>
      </c>
      <c r="V157" s="20">
        <v>0</v>
      </c>
      <c r="W157" s="20">
        <v>0</v>
      </c>
      <c r="X157" s="20">
        <v>0</v>
      </c>
      <c r="Y157" s="20">
        <v>0</v>
      </c>
      <c r="Z157" s="20">
        <v>0</v>
      </c>
      <c r="AA157" s="20" t="s">
        <v>1317</v>
      </c>
      <c r="AB157" s="22" t="s">
        <v>1318</v>
      </c>
      <c r="AC157" s="20">
        <v>0</v>
      </c>
      <c r="AD157" s="20">
        <v>0</v>
      </c>
      <c r="AE157" s="20">
        <v>0</v>
      </c>
      <c r="AF157" s="20">
        <v>0</v>
      </c>
      <c r="AG157" s="20">
        <v>0</v>
      </c>
      <c r="AH157" s="20">
        <v>0</v>
      </c>
      <c r="AI157" s="328" t="s">
        <v>1328</v>
      </c>
      <c r="AJ157" s="328" t="s">
        <v>1328</v>
      </c>
      <c r="AK157" s="328" t="s">
        <v>1328</v>
      </c>
      <c r="AL157" s="22" t="s">
        <v>1338</v>
      </c>
      <c r="AM157" s="22" t="s">
        <v>1330</v>
      </c>
      <c r="AN157" s="22" t="s">
        <v>1317</v>
      </c>
      <c r="AO157" s="22" t="s">
        <v>1318</v>
      </c>
      <c r="AP157" s="22" t="s">
        <v>1318</v>
      </c>
      <c r="AQ157" s="22" t="s">
        <v>1318</v>
      </c>
      <c r="AR157" s="22" t="s">
        <v>1317</v>
      </c>
      <c r="AS157" s="22" t="s">
        <v>1311</v>
      </c>
      <c r="AT157" s="22" t="s">
        <v>1317</v>
      </c>
      <c r="AU157" s="22" t="s">
        <v>1318</v>
      </c>
      <c r="AV157" s="22" t="s">
        <v>1317</v>
      </c>
      <c r="AW157" s="22" t="s">
        <v>1318</v>
      </c>
      <c r="AX157" s="22" t="s">
        <v>1317</v>
      </c>
      <c r="AY157" s="22" t="s">
        <v>1318</v>
      </c>
      <c r="AZ157" s="22" t="s">
        <v>1309</v>
      </c>
      <c r="BA157" s="22" t="s">
        <v>1309</v>
      </c>
      <c r="BB157" s="22" t="s">
        <v>1309</v>
      </c>
      <c r="BC157" s="22" t="s">
        <v>1309</v>
      </c>
      <c r="BD157" s="22" t="s">
        <v>1317</v>
      </c>
      <c r="BE157" s="22" t="s">
        <v>1318</v>
      </c>
      <c r="BF157" s="22" t="s">
        <v>1317</v>
      </c>
      <c r="BG157" s="22" t="s">
        <v>1318</v>
      </c>
      <c r="BH157" s="22" t="s">
        <v>1317</v>
      </c>
      <c r="BI157" s="22" t="s">
        <v>1311</v>
      </c>
      <c r="BJ157" s="22" t="s">
        <v>1317</v>
      </c>
      <c r="BK157" s="22" t="s">
        <v>1311</v>
      </c>
      <c r="BL157" s="22" t="s">
        <v>1309</v>
      </c>
      <c r="BM157" s="22" t="s">
        <v>1309</v>
      </c>
      <c r="BN157" s="22" t="s">
        <v>1317</v>
      </c>
      <c r="BO157" s="22" t="s">
        <v>1318</v>
      </c>
      <c r="BP157" s="22" t="s">
        <v>1315</v>
      </c>
      <c r="BQ157" s="22" t="s">
        <v>1315</v>
      </c>
      <c r="BR157" s="22" t="s">
        <v>1317</v>
      </c>
      <c r="BS157" s="22" t="s">
        <v>1318</v>
      </c>
      <c r="BT157" s="22" t="s">
        <v>1309</v>
      </c>
      <c r="BU157" s="22" t="s">
        <v>1309</v>
      </c>
      <c r="BV157" s="22" t="s">
        <v>1317</v>
      </c>
      <c r="BW157" s="22" t="s">
        <v>1318</v>
      </c>
      <c r="BX157" s="20">
        <v>0</v>
      </c>
      <c r="BY157" s="20">
        <v>1</v>
      </c>
      <c r="BZ157" s="20">
        <v>3</v>
      </c>
      <c r="CA157" s="20">
        <v>0</v>
      </c>
      <c r="CB157" s="20">
        <v>0</v>
      </c>
      <c r="CC157" s="20">
        <v>45</v>
      </c>
      <c r="CD157" s="22" t="s">
        <v>1317</v>
      </c>
      <c r="CE157" s="22" t="s">
        <v>1321</v>
      </c>
      <c r="CF157" s="22" t="s">
        <v>1317</v>
      </c>
      <c r="CG157" s="22" t="s">
        <v>1340</v>
      </c>
      <c r="CH157" s="22" t="s">
        <v>1317</v>
      </c>
      <c r="CI157" s="22" t="s">
        <v>1318</v>
      </c>
      <c r="CJ157" s="149" t="s">
        <v>1728</v>
      </c>
      <c r="CK157" s="241" t="s">
        <v>1124</v>
      </c>
    </row>
    <row r="158" spans="1:89" ht="15" customHeight="1" x14ac:dyDescent="0.35">
      <c r="A158" s="17"/>
      <c r="B158" s="313">
        <v>85030</v>
      </c>
      <c r="C158" s="8" t="s">
        <v>875</v>
      </c>
      <c r="D158" s="18">
        <v>8</v>
      </c>
      <c r="E158" s="131"/>
      <c r="F158" s="22"/>
      <c r="G158" s="132"/>
      <c r="H158" s="22"/>
      <c r="I158" s="22"/>
      <c r="J158" s="22"/>
      <c r="K158" s="22"/>
      <c r="L158" s="22"/>
      <c r="M158" s="133"/>
      <c r="N158" s="22"/>
      <c r="O158" s="22"/>
      <c r="P158" s="22"/>
      <c r="Q158" s="20"/>
      <c r="R158" s="20"/>
      <c r="S158" s="20"/>
      <c r="T158" s="20"/>
      <c r="U158" s="20"/>
      <c r="V158" s="20"/>
      <c r="W158" s="20"/>
      <c r="X158" s="20"/>
      <c r="Y158" s="20"/>
      <c r="Z158" s="20"/>
      <c r="AA158" s="20"/>
      <c r="AB158" s="22"/>
      <c r="AC158" s="20"/>
      <c r="AD158" s="20"/>
      <c r="AE158" s="20"/>
      <c r="AF158" s="20" t="s">
        <v>1124</v>
      </c>
      <c r="AG158" s="20" t="s">
        <v>1124</v>
      </c>
      <c r="AH158" s="20" t="s">
        <v>1124</v>
      </c>
      <c r="AI158" s="328"/>
      <c r="AJ158" s="328"/>
      <c r="AK158" s="328"/>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0"/>
      <c r="BY158" s="20"/>
      <c r="BZ158" s="20"/>
      <c r="CA158" s="20"/>
      <c r="CB158" s="20"/>
      <c r="CC158" s="20"/>
      <c r="CD158" s="22"/>
      <c r="CE158" s="22"/>
      <c r="CF158" s="22"/>
      <c r="CG158" s="22"/>
      <c r="CH158" s="22"/>
      <c r="CI158" s="22"/>
      <c r="CJ158" s="149"/>
      <c r="CK158" s="241"/>
    </row>
    <row r="159" spans="1:89" ht="15" customHeight="1" x14ac:dyDescent="0.35">
      <c r="A159" s="17"/>
      <c r="B159" s="313">
        <v>69075</v>
      </c>
      <c r="C159" s="8" t="s">
        <v>696</v>
      </c>
      <c r="D159" s="18">
        <v>16</v>
      </c>
      <c r="E159" s="131"/>
      <c r="F159" s="22"/>
      <c r="G159" s="132"/>
      <c r="H159" s="22"/>
      <c r="I159" s="22"/>
      <c r="J159" s="22"/>
      <c r="K159" s="22"/>
      <c r="L159" s="22"/>
      <c r="M159" s="133"/>
      <c r="N159" s="22"/>
      <c r="O159" s="22"/>
      <c r="P159" s="22"/>
      <c r="Q159" s="20"/>
      <c r="R159" s="20"/>
      <c r="S159" s="20"/>
      <c r="T159" s="20"/>
      <c r="U159" s="20"/>
      <c r="V159" s="20"/>
      <c r="W159" s="20"/>
      <c r="X159" s="20"/>
      <c r="Y159" s="20"/>
      <c r="Z159" s="20"/>
      <c r="AA159" s="20"/>
      <c r="AB159" s="22"/>
      <c r="AC159" s="20"/>
      <c r="AD159" s="20"/>
      <c r="AE159" s="20"/>
      <c r="AF159" s="20" t="s">
        <v>1124</v>
      </c>
      <c r="AG159" s="20" t="s">
        <v>1124</v>
      </c>
      <c r="AH159" s="20" t="s">
        <v>1124</v>
      </c>
      <c r="AI159" s="328"/>
      <c r="AJ159" s="328"/>
      <c r="AK159" s="328"/>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0"/>
      <c r="BY159" s="20"/>
      <c r="BZ159" s="20"/>
      <c r="CA159" s="20"/>
      <c r="CB159" s="20"/>
      <c r="CC159" s="20"/>
      <c r="CD159" s="22"/>
      <c r="CE159" s="22"/>
      <c r="CF159" s="22"/>
      <c r="CG159" s="22"/>
      <c r="CH159" s="22"/>
      <c r="CI159" s="22"/>
      <c r="CJ159" s="149"/>
      <c r="CK159" s="241"/>
    </row>
    <row r="160" spans="1:89" ht="15" customHeight="1" x14ac:dyDescent="0.35">
      <c r="A160" s="17"/>
      <c r="B160" s="313">
        <v>46050</v>
      </c>
      <c r="C160" s="8" t="s">
        <v>435</v>
      </c>
      <c r="D160" s="18">
        <v>5</v>
      </c>
      <c r="E160" s="131"/>
      <c r="F160" s="22"/>
      <c r="G160" s="132"/>
      <c r="H160" s="22"/>
      <c r="I160" s="22"/>
      <c r="J160" s="22"/>
      <c r="K160" s="22"/>
      <c r="L160" s="22"/>
      <c r="M160" s="133"/>
      <c r="N160" s="22"/>
      <c r="O160" s="22"/>
      <c r="P160" s="22"/>
      <c r="Q160" s="20"/>
      <c r="R160" s="20"/>
      <c r="S160" s="20"/>
      <c r="T160" s="20"/>
      <c r="U160" s="20"/>
      <c r="V160" s="20"/>
      <c r="W160" s="20"/>
      <c r="X160" s="20"/>
      <c r="Y160" s="20"/>
      <c r="Z160" s="20"/>
      <c r="AA160" s="20"/>
      <c r="AB160" s="22"/>
      <c r="AC160" s="20"/>
      <c r="AD160" s="20"/>
      <c r="AE160" s="20"/>
      <c r="AF160" s="20" t="s">
        <v>1124</v>
      </c>
      <c r="AG160" s="20" t="s">
        <v>1124</v>
      </c>
      <c r="AH160" s="20" t="s">
        <v>1124</v>
      </c>
      <c r="AI160" s="328"/>
      <c r="AJ160" s="328"/>
      <c r="AK160" s="328"/>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0"/>
      <c r="BY160" s="20"/>
      <c r="BZ160" s="20"/>
      <c r="CA160" s="20"/>
      <c r="CB160" s="20"/>
      <c r="CC160" s="20"/>
      <c r="CD160" s="22"/>
      <c r="CE160" s="22"/>
      <c r="CF160" s="22"/>
      <c r="CG160" s="22"/>
      <c r="CH160" s="22"/>
      <c r="CI160" s="22"/>
      <c r="CJ160" s="149"/>
      <c r="CK160" s="241"/>
    </row>
    <row r="161" spans="1:89" ht="15" customHeight="1" x14ac:dyDescent="0.35">
      <c r="A161" s="17"/>
      <c r="B161" s="313">
        <v>87005</v>
      </c>
      <c r="C161" s="8" t="s">
        <v>890</v>
      </c>
      <c r="D161" s="18">
        <v>8</v>
      </c>
      <c r="E161" s="131"/>
      <c r="F161" s="22"/>
      <c r="G161" s="132"/>
      <c r="H161" s="22"/>
      <c r="I161" s="22"/>
      <c r="J161" s="22"/>
      <c r="K161" s="22"/>
      <c r="L161" s="22"/>
      <c r="M161" s="133"/>
      <c r="N161" s="22"/>
      <c r="O161" s="22"/>
      <c r="P161" s="22"/>
      <c r="Q161" s="20"/>
      <c r="R161" s="20"/>
      <c r="S161" s="20"/>
      <c r="T161" s="20"/>
      <c r="U161" s="20"/>
      <c r="V161" s="20"/>
      <c r="W161" s="20"/>
      <c r="X161" s="20"/>
      <c r="Y161" s="20"/>
      <c r="Z161" s="20"/>
      <c r="AA161" s="20"/>
      <c r="AB161" s="22"/>
      <c r="AC161" s="20"/>
      <c r="AD161" s="20"/>
      <c r="AE161" s="20"/>
      <c r="AF161" s="20" t="s">
        <v>1124</v>
      </c>
      <c r="AG161" s="20" t="s">
        <v>1124</v>
      </c>
      <c r="AH161" s="20" t="s">
        <v>1124</v>
      </c>
      <c r="AI161" s="328"/>
      <c r="AJ161" s="328"/>
      <c r="AK161" s="328"/>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0"/>
      <c r="BY161" s="20"/>
      <c r="BZ161" s="20"/>
      <c r="CA161" s="20"/>
      <c r="CB161" s="20"/>
      <c r="CC161" s="20"/>
      <c r="CD161" s="22"/>
      <c r="CE161" s="22"/>
      <c r="CF161" s="22"/>
      <c r="CG161" s="22"/>
      <c r="CH161" s="22"/>
      <c r="CI161" s="22"/>
      <c r="CJ161" s="149"/>
      <c r="CK161" s="241"/>
    </row>
    <row r="162" spans="1:89" ht="15" customHeight="1" x14ac:dyDescent="0.35">
      <c r="A162" s="17"/>
      <c r="B162" s="313">
        <v>87085</v>
      </c>
      <c r="C162" s="8" t="s">
        <v>903</v>
      </c>
      <c r="D162" s="18">
        <v>8</v>
      </c>
      <c r="E162" s="131" t="s">
        <v>1309</v>
      </c>
      <c r="F162" s="22" t="s">
        <v>1309</v>
      </c>
      <c r="G162" s="132" t="s">
        <v>1309</v>
      </c>
      <c r="H162" s="22" t="s">
        <v>1311</v>
      </c>
      <c r="I162" s="22" t="s">
        <v>1327</v>
      </c>
      <c r="J162" s="22" t="s">
        <v>1327</v>
      </c>
      <c r="K162" s="22" t="s">
        <v>1319</v>
      </c>
      <c r="L162" s="22" t="s">
        <v>1311</v>
      </c>
      <c r="M162" s="133" t="s">
        <v>1311</v>
      </c>
      <c r="N162" s="22" t="s">
        <v>1311</v>
      </c>
      <c r="O162" s="22" t="s">
        <v>1314</v>
      </c>
      <c r="P162" s="22" t="s">
        <v>1318</v>
      </c>
      <c r="Q162" s="20">
        <v>0</v>
      </c>
      <c r="R162" s="20">
        <v>0</v>
      </c>
      <c r="S162" s="20">
        <v>0</v>
      </c>
      <c r="T162" s="20">
        <v>0</v>
      </c>
      <c r="U162" s="20">
        <v>0</v>
      </c>
      <c r="V162" s="20">
        <v>7.734</v>
      </c>
      <c r="W162" s="20">
        <v>0</v>
      </c>
      <c r="X162" s="20">
        <v>0</v>
      </c>
      <c r="Y162" s="20">
        <v>0</v>
      </c>
      <c r="Z162" s="20">
        <v>0</v>
      </c>
      <c r="AA162" s="20" t="s">
        <v>1317</v>
      </c>
      <c r="AB162" s="22" t="s">
        <v>1311</v>
      </c>
      <c r="AC162" s="20">
        <v>0</v>
      </c>
      <c r="AD162" s="20">
        <v>0</v>
      </c>
      <c r="AE162" s="20">
        <v>3</v>
      </c>
      <c r="AF162" s="20">
        <v>0</v>
      </c>
      <c r="AG162" s="20">
        <v>0</v>
      </c>
      <c r="AH162" s="20">
        <v>60</v>
      </c>
      <c r="AI162" s="328" t="s">
        <v>1328</v>
      </c>
      <c r="AJ162" s="328" t="s">
        <v>1328</v>
      </c>
      <c r="AK162" s="328">
        <v>10.48951048951049</v>
      </c>
      <c r="AL162" s="22" t="s">
        <v>1316</v>
      </c>
      <c r="AM162" s="22" t="s">
        <v>1343</v>
      </c>
      <c r="AN162" s="22" t="s">
        <v>1317</v>
      </c>
      <c r="AO162" s="22" t="s">
        <v>1318</v>
      </c>
      <c r="AP162" s="22" t="s">
        <v>1318</v>
      </c>
      <c r="AQ162" s="22" t="s">
        <v>1318</v>
      </c>
      <c r="AR162" s="22" t="s">
        <v>1317</v>
      </c>
      <c r="AS162" s="22" t="s">
        <v>1318</v>
      </c>
      <c r="AT162" s="22" t="s">
        <v>1319</v>
      </c>
      <c r="AU162" s="22" t="s">
        <v>1311</v>
      </c>
      <c r="AV162" s="22" t="s">
        <v>1317</v>
      </c>
      <c r="AW162" s="22" t="s">
        <v>1318</v>
      </c>
      <c r="AX162" s="22" t="s">
        <v>1317</v>
      </c>
      <c r="AY162" s="22" t="s">
        <v>1318</v>
      </c>
      <c r="AZ162" s="22" t="s">
        <v>1309</v>
      </c>
      <c r="BA162" s="22" t="s">
        <v>1309</v>
      </c>
      <c r="BB162" s="22" t="s">
        <v>1309</v>
      </c>
      <c r="BC162" s="22" t="s">
        <v>1309</v>
      </c>
      <c r="BD162" s="22" t="s">
        <v>1317</v>
      </c>
      <c r="BE162" s="22" t="s">
        <v>1318</v>
      </c>
      <c r="BF162" s="22" t="s">
        <v>1317</v>
      </c>
      <c r="BG162" s="22" t="s">
        <v>1318</v>
      </c>
      <c r="BH162" s="22" t="s">
        <v>1309</v>
      </c>
      <c r="BI162" s="22" t="s">
        <v>1309</v>
      </c>
      <c r="BJ162" s="22" t="s">
        <v>1317</v>
      </c>
      <c r="BK162" s="22" t="s">
        <v>1311</v>
      </c>
      <c r="BL162" s="22" t="s">
        <v>1319</v>
      </c>
      <c r="BM162" s="22" t="s">
        <v>1311</v>
      </c>
      <c r="BN162" s="22" t="s">
        <v>1317</v>
      </c>
      <c r="BO162" s="22" t="s">
        <v>1318</v>
      </c>
      <c r="BP162" s="22" t="s">
        <v>1317</v>
      </c>
      <c r="BQ162" s="22" t="s">
        <v>1318</v>
      </c>
      <c r="BR162" s="22" t="s">
        <v>1317</v>
      </c>
      <c r="BS162" s="22" t="s">
        <v>1318</v>
      </c>
      <c r="BT162" s="22" t="s">
        <v>1317</v>
      </c>
      <c r="BU162" s="22" t="s">
        <v>1318</v>
      </c>
      <c r="BV162" s="22" t="s">
        <v>1319</v>
      </c>
      <c r="BW162" s="22" t="s">
        <v>1311</v>
      </c>
      <c r="BX162" s="20">
        <v>0</v>
      </c>
      <c r="BY162" s="20">
        <v>0</v>
      </c>
      <c r="BZ162" s="20">
        <v>26</v>
      </c>
      <c r="CA162" s="20">
        <v>0</v>
      </c>
      <c r="CB162" s="20">
        <v>0</v>
      </c>
      <c r="CC162" s="20">
        <v>260</v>
      </c>
      <c r="CD162" s="22" t="s">
        <v>1317</v>
      </c>
      <c r="CE162" s="22" t="s">
        <v>1318</v>
      </c>
      <c r="CF162" s="22" t="s">
        <v>1317</v>
      </c>
      <c r="CG162" s="22" t="s">
        <v>1318</v>
      </c>
      <c r="CH162" s="22" t="s">
        <v>1317</v>
      </c>
      <c r="CI162" s="22" t="s">
        <v>1318</v>
      </c>
      <c r="CJ162" s="149" t="s">
        <v>1732</v>
      </c>
      <c r="CK162" s="241" t="s">
        <v>1733</v>
      </c>
    </row>
    <row r="163" spans="1:89" ht="15" customHeight="1" x14ac:dyDescent="0.35">
      <c r="A163" s="17"/>
      <c r="B163" s="313">
        <v>49015</v>
      </c>
      <c r="C163" s="8" t="s">
        <v>465</v>
      </c>
      <c r="D163" s="18">
        <v>17</v>
      </c>
      <c r="E163" s="131" t="s">
        <v>1319</v>
      </c>
      <c r="F163" s="22" t="s">
        <v>1310</v>
      </c>
      <c r="G163" s="132" t="s">
        <v>1309</v>
      </c>
      <c r="H163" s="22" t="s">
        <v>1311</v>
      </c>
      <c r="I163" s="22" t="s">
        <v>1327</v>
      </c>
      <c r="J163" s="22" t="s">
        <v>1327</v>
      </c>
      <c r="K163" s="22" t="s">
        <v>1314</v>
      </c>
      <c r="L163" s="22" t="s">
        <v>1311</v>
      </c>
      <c r="M163" s="133" t="s">
        <v>1311</v>
      </c>
      <c r="N163" s="22" t="s">
        <v>1311</v>
      </c>
      <c r="O163" s="22" t="s">
        <v>1315</v>
      </c>
      <c r="P163" s="22" t="s">
        <v>1315</v>
      </c>
      <c r="Q163" s="20">
        <v>6.202</v>
      </c>
      <c r="R163" s="20">
        <v>6.202</v>
      </c>
      <c r="S163" s="20">
        <v>0</v>
      </c>
      <c r="T163" s="20">
        <v>0</v>
      </c>
      <c r="U163" s="20">
        <v>0</v>
      </c>
      <c r="V163" s="20">
        <v>0</v>
      </c>
      <c r="W163" s="20">
        <v>0</v>
      </c>
      <c r="X163" s="20">
        <v>0</v>
      </c>
      <c r="Y163" s="20">
        <v>0</v>
      </c>
      <c r="Z163" s="20">
        <v>0</v>
      </c>
      <c r="AA163" s="20" t="s">
        <v>1315</v>
      </c>
      <c r="AB163" s="22" t="s">
        <v>1315</v>
      </c>
      <c r="AC163" s="20">
        <v>0</v>
      </c>
      <c r="AD163" s="20">
        <v>1</v>
      </c>
      <c r="AE163" s="20">
        <v>1</v>
      </c>
      <c r="AF163" s="20">
        <v>0</v>
      </c>
      <c r="AG163" s="20">
        <v>2</v>
      </c>
      <c r="AH163" s="20">
        <v>3</v>
      </c>
      <c r="AI163" s="328" t="s">
        <v>1328</v>
      </c>
      <c r="AJ163" s="328">
        <v>4.0816326530612246</v>
      </c>
      <c r="AK163" s="328">
        <v>4.0816326530612246</v>
      </c>
      <c r="AL163" s="22" t="s">
        <v>1329</v>
      </c>
      <c r="AM163" s="22" t="s">
        <v>1330</v>
      </c>
      <c r="AN163" s="22" t="s">
        <v>1317</v>
      </c>
      <c r="AO163" s="22" t="s">
        <v>1318</v>
      </c>
      <c r="AP163" s="22" t="s">
        <v>1318</v>
      </c>
      <c r="AQ163" s="22" t="s">
        <v>1318</v>
      </c>
      <c r="AR163" s="22" t="s">
        <v>1317</v>
      </c>
      <c r="AS163" s="22" t="s">
        <v>1318</v>
      </c>
      <c r="AT163" s="22" t="s">
        <v>1309</v>
      </c>
      <c r="AU163" s="22" t="s">
        <v>1309</v>
      </c>
      <c r="AV163" s="22" t="s">
        <v>1317</v>
      </c>
      <c r="AW163" s="22" t="s">
        <v>1318</v>
      </c>
      <c r="AX163" s="22" t="s">
        <v>1317</v>
      </c>
      <c r="AY163" s="22" t="s">
        <v>1318</v>
      </c>
      <c r="AZ163" s="22" t="s">
        <v>1309</v>
      </c>
      <c r="BA163" s="22" t="s">
        <v>1309</v>
      </c>
      <c r="BB163" s="22" t="s">
        <v>1309</v>
      </c>
      <c r="BC163" s="22" t="s">
        <v>1309</v>
      </c>
      <c r="BD163" s="22" t="s">
        <v>1317</v>
      </c>
      <c r="BE163" s="22" t="s">
        <v>1318</v>
      </c>
      <c r="BF163" s="22" t="s">
        <v>1317</v>
      </c>
      <c r="BG163" s="22" t="s">
        <v>1318</v>
      </c>
      <c r="BH163" s="22" t="s">
        <v>1309</v>
      </c>
      <c r="BI163" s="22" t="s">
        <v>1309</v>
      </c>
      <c r="BJ163" s="22" t="s">
        <v>1309</v>
      </c>
      <c r="BK163" s="22" t="s">
        <v>1309</v>
      </c>
      <c r="BL163" s="22" t="s">
        <v>1309</v>
      </c>
      <c r="BM163" s="22" t="s">
        <v>1309</v>
      </c>
      <c r="BN163" s="22" t="s">
        <v>1309</v>
      </c>
      <c r="BO163" s="22" t="s">
        <v>1309</v>
      </c>
      <c r="BP163" s="22" t="s">
        <v>1315</v>
      </c>
      <c r="BQ163" s="22" t="s">
        <v>1315</v>
      </c>
      <c r="BR163" s="22" t="s">
        <v>1309</v>
      </c>
      <c r="BS163" s="22" t="s">
        <v>1309</v>
      </c>
      <c r="BT163" s="22" t="s">
        <v>1309</v>
      </c>
      <c r="BU163" s="22" t="s">
        <v>1309</v>
      </c>
      <c r="BV163" s="22" t="s">
        <v>1317</v>
      </c>
      <c r="BW163" s="22" t="s">
        <v>1318</v>
      </c>
      <c r="BX163" s="20">
        <v>0</v>
      </c>
      <c r="BY163" s="20">
        <v>0</v>
      </c>
      <c r="BZ163" s="20">
        <v>18</v>
      </c>
      <c r="CA163" s="20">
        <v>0</v>
      </c>
      <c r="CB163" s="20">
        <v>0</v>
      </c>
      <c r="CC163" s="20">
        <v>227</v>
      </c>
      <c r="CD163" s="22" t="s">
        <v>1317</v>
      </c>
      <c r="CE163" s="22" t="s">
        <v>1318</v>
      </c>
      <c r="CF163" s="22" t="s">
        <v>1317</v>
      </c>
      <c r="CG163" s="22" t="s">
        <v>1318</v>
      </c>
      <c r="CH163" s="22" t="s">
        <v>1317</v>
      </c>
      <c r="CI163" s="22" t="s">
        <v>1318</v>
      </c>
      <c r="CJ163" s="149" t="s">
        <v>1737</v>
      </c>
      <c r="CK163" s="241" t="s">
        <v>1124</v>
      </c>
    </row>
    <row r="164" spans="1:89" ht="15" customHeight="1" x14ac:dyDescent="0.35">
      <c r="A164" s="17"/>
      <c r="B164" s="313">
        <v>41060</v>
      </c>
      <c r="C164" s="8" t="s">
        <v>371</v>
      </c>
      <c r="D164" s="18">
        <v>5</v>
      </c>
      <c r="E164" s="131"/>
      <c r="F164" s="22"/>
      <c r="G164" s="132"/>
      <c r="H164" s="22"/>
      <c r="I164" s="22"/>
      <c r="J164" s="22"/>
      <c r="K164" s="22"/>
      <c r="L164" s="22"/>
      <c r="M164" s="133"/>
      <c r="N164" s="22"/>
      <c r="O164" s="22"/>
      <c r="P164" s="22"/>
      <c r="Q164" s="20"/>
      <c r="R164" s="20"/>
      <c r="S164" s="20"/>
      <c r="T164" s="20"/>
      <c r="U164" s="20"/>
      <c r="V164" s="20"/>
      <c r="W164" s="20"/>
      <c r="X164" s="20"/>
      <c r="Y164" s="20"/>
      <c r="Z164" s="20"/>
      <c r="AA164" s="20"/>
      <c r="AB164" s="22"/>
      <c r="AC164" s="20"/>
      <c r="AD164" s="20"/>
      <c r="AE164" s="20"/>
      <c r="AF164" s="20" t="s">
        <v>1124</v>
      </c>
      <c r="AG164" s="20" t="s">
        <v>1124</v>
      </c>
      <c r="AH164" s="20" t="s">
        <v>1124</v>
      </c>
      <c r="AI164" s="328"/>
      <c r="AJ164" s="328"/>
      <c r="AK164" s="328"/>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0"/>
      <c r="BY164" s="20"/>
      <c r="BZ164" s="20"/>
      <c r="CA164" s="20"/>
      <c r="CB164" s="20"/>
      <c r="CC164" s="20"/>
      <c r="CD164" s="22"/>
      <c r="CE164" s="22"/>
      <c r="CF164" s="22"/>
      <c r="CG164" s="22"/>
      <c r="CH164" s="22"/>
      <c r="CI164" s="22"/>
      <c r="CJ164" s="149"/>
      <c r="CK164" s="241"/>
    </row>
    <row r="165" spans="1:89" ht="15" customHeight="1" x14ac:dyDescent="0.35">
      <c r="A165" s="17"/>
      <c r="B165" s="313">
        <v>31122</v>
      </c>
      <c r="C165" s="8" t="s">
        <v>252</v>
      </c>
      <c r="D165" s="18">
        <v>12</v>
      </c>
      <c r="E165" s="131"/>
      <c r="F165" s="22"/>
      <c r="G165" s="132"/>
      <c r="H165" s="22"/>
      <c r="I165" s="22"/>
      <c r="J165" s="22"/>
      <c r="K165" s="22"/>
      <c r="L165" s="22"/>
      <c r="M165" s="133"/>
      <c r="N165" s="22"/>
      <c r="O165" s="22"/>
      <c r="P165" s="22"/>
      <c r="Q165" s="20"/>
      <c r="R165" s="20"/>
      <c r="S165" s="20"/>
      <c r="T165" s="20"/>
      <c r="U165" s="20"/>
      <c r="V165" s="20"/>
      <c r="W165" s="20"/>
      <c r="X165" s="20"/>
      <c r="Y165" s="20"/>
      <c r="Z165" s="20"/>
      <c r="AA165" s="20"/>
      <c r="AB165" s="22"/>
      <c r="AC165" s="20"/>
      <c r="AD165" s="20"/>
      <c r="AE165" s="20"/>
      <c r="AF165" s="20" t="s">
        <v>1124</v>
      </c>
      <c r="AG165" s="20" t="s">
        <v>1124</v>
      </c>
      <c r="AH165" s="20" t="s">
        <v>1124</v>
      </c>
      <c r="AI165" s="328"/>
      <c r="AJ165" s="328"/>
      <c r="AK165" s="328"/>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0"/>
      <c r="BY165" s="20"/>
      <c r="BZ165" s="20"/>
      <c r="CA165" s="20"/>
      <c r="CB165" s="20"/>
      <c r="CC165" s="20"/>
      <c r="CD165" s="22"/>
      <c r="CE165" s="22"/>
      <c r="CF165" s="22"/>
      <c r="CG165" s="22"/>
      <c r="CH165" s="22"/>
      <c r="CI165" s="22"/>
      <c r="CJ165" s="149"/>
      <c r="CK165" s="241"/>
    </row>
    <row r="166" spans="1:89" ht="15" customHeight="1" x14ac:dyDescent="0.35">
      <c r="A166" s="17"/>
      <c r="B166" s="313">
        <v>46085</v>
      </c>
      <c r="C166" s="8" t="s">
        <v>442</v>
      </c>
      <c r="D166" s="18">
        <v>5</v>
      </c>
      <c r="E166" s="131"/>
      <c r="F166" s="22"/>
      <c r="G166" s="132"/>
      <c r="H166" s="22"/>
      <c r="I166" s="22"/>
      <c r="J166" s="22"/>
      <c r="K166" s="22"/>
      <c r="L166" s="22"/>
      <c r="M166" s="133"/>
      <c r="N166" s="22"/>
      <c r="O166" s="22"/>
      <c r="P166" s="22"/>
      <c r="Q166" s="20"/>
      <c r="R166" s="20"/>
      <c r="S166" s="20"/>
      <c r="T166" s="20"/>
      <c r="U166" s="20"/>
      <c r="V166" s="20"/>
      <c r="W166" s="20"/>
      <c r="X166" s="20"/>
      <c r="Y166" s="20"/>
      <c r="Z166" s="20"/>
      <c r="AA166" s="20"/>
      <c r="AB166" s="22"/>
      <c r="AC166" s="20"/>
      <c r="AD166" s="20"/>
      <c r="AE166" s="20"/>
      <c r="AF166" s="20" t="s">
        <v>1124</v>
      </c>
      <c r="AG166" s="20" t="s">
        <v>1124</v>
      </c>
      <c r="AH166" s="20" t="s">
        <v>1124</v>
      </c>
      <c r="AI166" s="328"/>
      <c r="AJ166" s="328"/>
      <c r="AK166" s="328"/>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0"/>
      <c r="BY166" s="20"/>
      <c r="BZ166" s="20"/>
      <c r="CA166" s="20"/>
      <c r="CB166" s="20"/>
      <c r="CC166" s="20"/>
      <c r="CD166" s="22"/>
      <c r="CE166" s="22"/>
      <c r="CF166" s="22"/>
      <c r="CG166" s="22"/>
      <c r="CH166" s="22"/>
      <c r="CI166" s="22"/>
      <c r="CJ166" s="149"/>
      <c r="CK166" s="241"/>
    </row>
    <row r="167" spans="1:89" ht="15" customHeight="1" x14ac:dyDescent="0.35">
      <c r="A167" s="17"/>
      <c r="B167" s="313">
        <v>44010</v>
      </c>
      <c r="C167" s="8" t="s">
        <v>400</v>
      </c>
      <c r="D167" s="18">
        <v>5</v>
      </c>
      <c r="E167" s="131" t="s">
        <v>1319</v>
      </c>
      <c r="F167" s="22" t="s">
        <v>1490</v>
      </c>
      <c r="G167" s="132" t="s">
        <v>1309</v>
      </c>
      <c r="H167" s="22" t="s">
        <v>1311</v>
      </c>
      <c r="I167" s="22" t="s">
        <v>1327</v>
      </c>
      <c r="J167" s="22" t="s">
        <v>1327</v>
      </c>
      <c r="K167" s="22" t="s">
        <v>1319</v>
      </c>
      <c r="L167" s="22" t="s">
        <v>1311</v>
      </c>
      <c r="M167" s="133" t="s">
        <v>1311</v>
      </c>
      <c r="N167" s="22" t="s">
        <v>1311</v>
      </c>
      <c r="O167" s="22" t="s">
        <v>1315</v>
      </c>
      <c r="P167" s="22" t="s">
        <v>1315</v>
      </c>
      <c r="Q167" s="20">
        <v>0</v>
      </c>
      <c r="R167" s="20">
        <v>0</v>
      </c>
      <c r="S167" s="20">
        <v>0</v>
      </c>
      <c r="T167" s="20">
        <v>0</v>
      </c>
      <c r="U167" s="20">
        <v>0</v>
      </c>
      <c r="V167" s="20">
        <v>0</v>
      </c>
      <c r="W167" s="20">
        <v>0</v>
      </c>
      <c r="X167" s="20">
        <v>0</v>
      </c>
      <c r="Y167" s="20">
        <v>0</v>
      </c>
      <c r="Z167" s="20">
        <v>0</v>
      </c>
      <c r="AA167" s="20" t="s">
        <v>1317</v>
      </c>
      <c r="AB167" s="22" t="s">
        <v>1318</v>
      </c>
      <c r="AC167" s="20">
        <v>0</v>
      </c>
      <c r="AD167" s="20">
        <v>0</v>
      </c>
      <c r="AE167" s="20">
        <v>0</v>
      </c>
      <c r="AF167" s="20">
        <v>0</v>
      </c>
      <c r="AG167" s="20">
        <v>0</v>
      </c>
      <c r="AH167" s="20">
        <v>0</v>
      </c>
      <c r="AI167" s="328" t="s">
        <v>1328</v>
      </c>
      <c r="AJ167" s="328" t="s">
        <v>1328</v>
      </c>
      <c r="AK167" s="328" t="s">
        <v>1328</v>
      </c>
      <c r="AL167" s="22" t="s">
        <v>1329</v>
      </c>
      <c r="AM167" s="22" t="s">
        <v>1330</v>
      </c>
      <c r="AN167" s="22" t="s">
        <v>1317</v>
      </c>
      <c r="AO167" s="22" t="s">
        <v>1318</v>
      </c>
      <c r="AP167" s="22" t="s">
        <v>1318</v>
      </c>
      <c r="AQ167" s="22" t="s">
        <v>1318</v>
      </c>
      <c r="AR167" s="22" t="s">
        <v>1317</v>
      </c>
      <c r="AS167" s="22" t="s">
        <v>1318</v>
      </c>
      <c r="AT167" s="22" t="s">
        <v>1309</v>
      </c>
      <c r="AU167" s="22" t="s">
        <v>1309</v>
      </c>
      <c r="AV167" s="22" t="s">
        <v>1317</v>
      </c>
      <c r="AW167" s="22" t="s">
        <v>1318</v>
      </c>
      <c r="AX167" s="22" t="s">
        <v>1317</v>
      </c>
      <c r="AY167" s="22" t="s">
        <v>1318</v>
      </c>
      <c r="AZ167" s="22" t="s">
        <v>1319</v>
      </c>
      <c r="BA167" s="22" t="s">
        <v>1311</v>
      </c>
      <c r="BB167" s="22" t="s">
        <v>1309</v>
      </c>
      <c r="BC167" s="22" t="s">
        <v>1309</v>
      </c>
      <c r="BD167" s="22" t="s">
        <v>1317</v>
      </c>
      <c r="BE167" s="22" t="s">
        <v>1318</v>
      </c>
      <c r="BF167" s="22" t="s">
        <v>1317</v>
      </c>
      <c r="BG167" s="22" t="s">
        <v>1318</v>
      </c>
      <c r="BH167" s="22" t="s">
        <v>1317</v>
      </c>
      <c r="BI167" s="22" t="s">
        <v>1318</v>
      </c>
      <c r="BJ167" s="22" t="s">
        <v>1317</v>
      </c>
      <c r="BK167" s="22" t="s">
        <v>1318</v>
      </c>
      <c r="BL167" s="22" t="s">
        <v>1315</v>
      </c>
      <c r="BM167" s="22" t="s">
        <v>1318</v>
      </c>
      <c r="BN167" s="22" t="s">
        <v>1319</v>
      </c>
      <c r="BO167" s="22" t="s">
        <v>1311</v>
      </c>
      <c r="BP167" s="22" t="s">
        <v>1315</v>
      </c>
      <c r="BQ167" s="22" t="s">
        <v>1315</v>
      </c>
      <c r="BR167" s="22" t="s">
        <v>1317</v>
      </c>
      <c r="BS167" s="22" t="s">
        <v>1315</v>
      </c>
      <c r="BT167" s="22" t="s">
        <v>1315</v>
      </c>
      <c r="BU167" s="22" t="s">
        <v>1315</v>
      </c>
      <c r="BV167" s="22" t="s">
        <v>1317</v>
      </c>
      <c r="BW167" s="22" t="s">
        <v>1318</v>
      </c>
      <c r="BX167" s="20">
        <v>0</v>
      </c>
      <c r="BY167" s="20">
        <v>0</v>
      </c>
      <c r="BZ167" s="20">
        <v>2</v>
      </c>
      <c r="CA167" s="20">
        <v>0</v>
      </c>
      <c r="CB167" s="20">
        <v>0</v>
      </c>
      <c r="CC167" s="20">
        <v>40</v>
      </c>
      <c r="CD167" s="22" t="s">
        <v>1317</v>
      </c>
      <c r="CE167" s="22" t="s">
        <v>1318</v>
      </c>
      <c r="CF167" s="22" t="s">
        <v>1317</v>
      </c>
      <c r="CG167" s="22" t="s">
        <v>1318</v>
      </c>
      <c r="CH167" s="22" t="s">
        <v>1317</v>
      </c>
      <c r="CI167" s="22" t="s">
        <v>1318</v>
      </c>
      <c r="CJ167" s="149" t="s">
        <v>1124</v>
      </c>
      <c r="CK167" s="241" t="s">
        <v>1741</v>
      </c>
    </row>
    <row r="168" spans="1:89" ht="15" customHeight="1" x14ac:dyDescent="0.35">
      <c r="A168" s="17"/>
      <c r="B168" s="313">
        <v>45093</v>
      </c>
      <c r="C168" s="8" t="s">
        <v>422</v>
      </c>
      <c r="D168" s="18">
        <v>5</v>
      </c>
      <c r="E168" s="131" t="s">
        <v>1309</v>
      </c>
      <c r="F168" s="22" t="s">
        <v>1309</v>
      </c>
      <c r="G168" s="132" t="s">
        <v>1309</v>
      </c>
      <c r="H168" s="22" t="s">
        <v>1311</v>
      </c>
      <c r="I168" s="22" t="s">
        <v>1327</v>
      </c>
      <c r="J168" s="22" t="s">
        <v>1327</v>
      </c>
      <c r="K168" s="22" t="s">
        <v>1314</v>
      </c>
      <c r="L168" s="22" t="s">
        <v>1311</v>
      </c>
      <c r="M168" s="133" t="s">
        <v>1311</v>
      </c>
      <c r="N168" s="22" t="s">
        <v>1311</v>
      </c>
      <c r="O168" s="22" t="s">
        <v>1314</v>
      </c>
      <c r="P168" s="22" t="s">
        <v>1318</v>
      </c>
      <c r="Q168" s="20">
        <v>13.685</v>
      </c>
      <c r="R168" s="20">
        <v>13.685</v>
      </c>
      <c r="S168" s="20">
        <v>6.8425000000000002</v>
      </c>
      <c r="T168" s="20">
        <v>0</v>
      </c>
      <c r="U168" s="20">
        <v>6.8425000000000002</v>
      </c>
      <c r="V168" s="20">
        <v>13.685</v>
      </c>
      <c r="W168" s="20">
        <v>0</v>
      </c>
      <c r="X168" s="20">
        <v>0</v>
      </c>
      <c r="Y168" s="20">
        <v>0</v>
      </c>
      <c r="Z168" s="20">
        <v>0</v>
      </c>
      <c r="AA168" s="20" t="s">
        <v>1309</v>
      </c>
      <c r="AB168" s="22" t="s">
        <v>1309</v>
      </c>
      <c r="AC168" s="20">
        <v>3</v>
      </c>
      <c r="AD168" s="20">
        <v>0</v>
      </c>
      <c r="AE168" s="20">
        <v>2</v>
      </c>
      <c r="AF168" s="20">
        <v>1</v>
      </c>
      <c r="AG168" s="20">
        <v>0</v>
      </c>
      <c r="AH168" s="20">
        <v>1</v>
      </c>
      <c r="AI168" s="328">
        <v>21.921812203142125</v>
      </c>
      <c r="AJ168" s="328" t="s">
        <v>1328</v>
      </c>
      <c r="AK168" s="328">
        <v>5.4644808743169397</v>
      </c>
      <c r="AL168" s="22" t="s">
        <v>1329</v>
      </c>
      <c r="AM168" s="22" t="s">
        <v>1330</v>
      </c>
      <c r="AN168" s="22" t="s">
        <v>1315</v>
      </c>
      <c r="AO168" s="22" t="s">
        <v>1315</v>
      </c>
      <c r="AP168" s="22" t="s">
        <v>1315</v>
      </c>
      <c r="AQ168" s="22" t="s">
        <v>1315</v>
      </c>
      <c r="AR168" s="22" t="s">
        <v>1317</v>
      </c>
      <c r="AS168" s="22" t="s">
        <v>1318</v>
      </c>
      <c r="AT168" s="22" t="s">
        <v>1317</v>
      </c>
      <c r="AU168" s="22" t="s">
        <v>1311</v>
      </c>
      <c r="AV168" s="22" t="s">
        <v>1317</v>
      </c>
      <c r="AW168" s="22" t="s">
        <v>1318</v>
      </c>
      <c r="AX168" s="22" t="s">
        <v>1317</v>
      </c>
      <c r="AY168" s="22" t="s">
        <v>1318</v>
      </c>
      <c r="AZ168" s="22" t="s">
        <v>1317</v>
      </c>
      <c r="BA168" s="22" t="s">
        <v>1318</v>
      </c>
      <c r="BB168" s="22" t="s">
        <v>1309</v>
      </c>
      <c r="BC168" s="22" t="s">
        <v>1309</v>
      </c>
      <c r="BD168" s="22" t="s">
        <v>1317</v>
      </c>
      <c r="BE168" s="22" t="s">
        <v>1318</v>
      </c>
      <c r="BF168" s="22" t="s">
        <v>1319</v>
      </c>
      <c r="BG168" s="22" t="s">
        <v>1311</v>
      </c>
      <c r="BH168" s="22" t="s">
        <v>1317</v>
      </c>
      <c r="BI168" s="22" t="s">
        <v>1318</v>
      </c>
      <c r="BJ168" s="22" t="s">
        <v>1317</v>
      </c>
      <c r="BK168" s="22" t="s">
        <v>1318</v>
      </c>
      <c r="BL168" s="22" t="s">
        <v>1319</v>
      </c>
      <c r="BM168" s="22" t="s">
        <v>1311</v>
      </c>
      <c r="BN168" s="22" t="s">
        <v>1309</v>
      </c>
      <c r="BO168" s="22" t="s">
        <v>1309</v>
      </c>
      <c r="BP168" s="22" t="s">
        <v>1309</v>
      </c>
      <c r="BQ168" s="22" t="s">
        <v>1309</v>
      </c>
      <c r="BR168" s="22" t="s">
        <v>1309</v>
      </c>
      <c r="BS168" s="22" t="s">
        <v>1309</v>
      </c>
      <c r="BT168" s="22" t="s">
        <v>1319</v>
      </c>
      <c r="BU168" s="22" t="s">
        <v>1311</v>
      </c>
      <c r="BV168" s="22" t="s">
        <v>1309</v>
      </c>
      <c r="BW168" s="22" t="s">
        <v>1309</v>
      </c>
      <c r="BX168" s="20">
        <v>0</v>
      </c>
      <c r="BY168" s="20">
        <v>0</v>
      </c>
      <c r="BZ168" s="20">
        <v>45</v>
      </c>
      <c r="CA168" s="20">
        <v>0</v>
      </c>
      <c r="CB168" s="20">
        <v>0</v>
      </c>
      <c r="CC168" s="20">
        <v>321</v>
      </c>
      <c r="CD168" s="22" t="s">
        <v>1320</v>
      </c>
      <c r="CE168" s="22" t="s">
        <v>1321</v>
      </c>
      <c r="CF168" s="22" t="s">
        <v>1320</v>
      </c>
      <c r="CG168" s="22" t="s">
        <v>1321</v>
      </c>
      <c r="CH168" s="22" t="s">
        <v>1315</v>
      </c>
      <c r="CI168" s="22" t="s">
        <v>1315</v>
      </c>
      <c r="CJ168" s="149" t="s">
        <v>1745</v>
      </c>
      <c r="CK168" s="241" t="s">
        <v>1746</v>
      </c>
    </row>
    <row r="169" spans="1:89" ht="15" customHeight="1" x14ac:dyDescent="0.35">
      <c r="A169" s="17"/>
      <c r="B169" s="313">
        <v>83075</v>
      </c>
      <c r="C169" s="8" t="s">
        <v>847</v>
      </c>
      <c r="D169" s="18">
        <v>7</v>
      </c>
      <c r="E169" s="131"/>
      <c r="F169" s="22"/>
      <c r="G169" s="132"/>
      <c r="H169" s="22"/>
      <c r="I169" s="22"/>
      <c r="J169" s="22"/>
      <c r="K169" s="22"/>
      <c r="L169" s="22"/>
      <c r="M169" s="133"/>
      <c r="N169" s="22"/>
      <c r="O169" s="22"/>
      <c r="P169" s="22"/>
      <c r="Q169" s="20"/>
      <c r="R169" s="20"/>
      <c r="S169" s="20"/>
      <c r="T169" s="20"/>
      <c r="U169" s="20"/>
      <c r="V169" s="20"/>
      <c r="W169" s="20"/>
      <c r="X169" s="20"/>
      <c r="Y169" s="20"/>
      <c r="Z169" s="20"/>
      <c r="AA169" s="20"/>
      <c r="AB169" s="22"/>
      <c r="AC169" s="20"/>
      <c r="AD169" s="20"/>
      <c r="AE169" s="20"/>
      <c r="AF169" s="20" t="s">
        <v>1124</v>
      </c>
      <c r="AG169" s="20" t="s">
        <v>1124</v>
      </c>
      <c r="AH169" s="20" t="s">
        <v>1124</v>
      </c>
      <c r="AI169" s="328"/>
      <c r="AJ169" s="328"/>
      <c r="AK169" s="328"/>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0"/>
      <c r="BY169" s="20"/>
      <c r="BZ169" s="20"/>
      <c r="CA169" s="20"/>
      <c r="CB169" s="20"/>
      <c r="CC169" s="20"/>
      <c r="CD169" s="22"/>
      <c r="CE169" s="22"/>
      <c r="CF169" s="22"/>
      <c r="CG169" s="22"/>
      <c r="CH169" s="22"/>
      <c r="CI169" s="22"/>
      <c r="CJ169" s="149"/>
      <c r="CK169" s="241"/>
    </row>
    <row r="170" spans="1:89" ht="15" customHeight="1" x14ac:dyDescent="0.35">
      <c r="A170" s="17"/>
      <c r="B170" s="313">
        <v>69050</v>
      </c>
      <c r="C170" s="8" t="s">
        <v>691</v>
      </c>
      <c r="D170" s="18">
        <v>16</v>
      </c>
      <c r="E170" s="131"/>
      <c r="F170" s="22"/>
      <c r="G170" s="132"/>
      <c r="H170" s="22"/>
      <c r="I170" s="22"/>
      <c r="J170" s="22"/>
      <c r="K170" s="22"/>
      <c r="L170" s="22"/>
      <c r="M170" s="133"/>
      <c r="N170" s="22"/>
      <c r="O170" s="22"/>
      <c r="P170" s="22"/>
      <c r="Q170" s="20"/>
      <c r="R170" s="20"/>
      <c r="S170" s="20"/>
      <c r="T170" s="20"/>
      <c r="U170" s="20"/>
      <c r="V170" s="20"/>
      <c r="W170" s="20"/>
      <c r="X170" s="20"/>
      <c r="Y170" s="20"/>
      <c r="Z170" s="20"/>
      <c r="AA170" s="20"/>
      <c r="AB170" s="22"/>
      <c r="AC170" s="20"/>
      <c r="AD170" s="20"/>
      <c r="AE170" s="20"/>
      <c r="AF170" s="20" t="s">
        <v>1124</v>
      </c>
      <c r="AG170" s="20" t="s">
        <v>1124</v>
      </c>
      <c r="AH170" s="20" t="s">
        <v>1124</v>
      </c>
      <c r="AI170" s="328"/>
      <c r="AJ170" s="328"/>
      <c r="AK170" s="328"/>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0"/>
      <c r="BY170" s="20"/>
      <c r="BZ170" s="20"/>
      <c r="CA170" s="20"/>
      <c r="CB170" s="20"/>
      <c r="CC170" s="20"/>
      <c r="CD170" s="22"/>
      <c r="CE170" s="22"/>
      <c r="CF170" s="22"/>
      <c r="CG170" s="22"/>
      <c r="CH170" s="22"/>
      <c r="CI170" s="22"/>
      <c r="CJ170" s="149"/>
      <c r="CK170" s="241"/>
    </row>
    <row r="171" spans="1:89" ht="15" customHeight="1" x14ac:dyDescent="0.35">
      <c r="A171" s="17"/>
      <c r="B171" s="313">
        <v>62053</v>
      </c>
      <c r="C171" s="8" t="s">
        <v>626</v>
      </c>
      <c r="D171" s="18">
        <v>14</v>
      </c>
      <c r="E171" s="131"/>
      <c r="F171" s="22"/>
      <c r="G171" s="132"/>
      <c r="H171" s="22"/>
      <c r="I171" s="22"/>
      <c r="J171" s="22"/>
      <c r="K171" s="22"/>
      <c r="L171" s="22"/>
      <c r="M171" s="133"/>
      <c r="N171" s="22"/>
      <c r="O171" s="22"/>
      <c r="P171" s="22"/>
      <c r="Q171" s="20"/>
      <c r="R171" s="20"/>
      <c r="S171" s="20"/>
      <c r="T171" s="20"/>
      <c r="U171" s="20"/>
      <c r="V171" s="20"/>
      <c r="W171" s="20"/>
      <c r="X171" s="20"/>
      <c r="Y171" s="20"/>
      <c r="Z171" s="20"/>
      <c r="AA171" s="20"/>
      <c r="AB171" s="22"/>
      <c r="AC171" s="20"/>
      <c r="AD171" s="20"/>
      <c r="AE171" s="20"/>
      <c r="AF171" s="20" t="s">
        <v>1124</v>
      </c>
      <c r="AG171" s="20" t="s">
        <v>1124</v>
      </c>
      <c r="AH171" s="20" t="s">
        <v>1124</v>
      </c>
      <c r="AI171" s="328"/>
      <c r="AJ171" s="328"/>
      <c r="AK171" s="328"/>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0"/>
      <c r="BY171" s="20"/>
      <c r="BZ171" s="20"/>
      <c r="CA171" s="20"/>
      <c r="CB171" s="20"/>
      <c r="CC171" s="20"/>
      <c r="CD171" s="22"/>
      <c r="CE171" s="22"/>
      <c r="CF171" s="22"/>
      <c r="CG171" s="22"/>
      <c r="CH171" s="22"/>
      <c r="CI171" s="22"/>
      <c r="CJ171" s="149"/>
      <c r="CK171" s="241"/>
    </row>
    <row r="172" spans="1:89" ht="15" customHeight="1" x14ac:dyDescent="0.35">
      <c r="A172" s="17"/>
      <c r="B172" s="313">
        <v>6025</v>
      </c>
      <c r="C172" s="8" t="s">
        <v>1060</v>
      </c>
      <c r="D172" s="18">
        <v>11</v>
      </c>
      <c r="E172" s="131"/>
      <c r="F172" s="22"/>
      <c r="G172" s="132"/>
      <c r="H172" s="22"/>
      <c r="I172" s="22"/>
      <c r="J172" s="22"/>
      <c r="K172" s="22"/>
      <c r="L172" s="22"/>
      <c r="M172" s="133"/>
      <c r="N172" s="22"/>
      <c r="O172" s="22"/>
      <c r="P172" s="22"/>
      <c r="Q172" s="20"/>
      <c r="R172" s="20"/>
      <c r="S172" s="20"/>
      <c r="T172" s="20"/>
      <c r="U172" s="20"/>
      <c r="V172" s="20"/>
      <c r="W172" s="20"/>
      <c r="X172" s="20"/>
      <c r="Y172" s="20"/>
      <c r="Z172" s="20"/>
      <c r="AA172" s="20"/>
      <c r="AB172" s="22"/>
      <c r="AC172" s="20"/>
      <c r="AD172" s="20"/>
      <c r="AE172" s="20"/>
      <c r="AF172" s="20" t="s">
        <v>1124</v>
      </c>
      <c r="AG172" s="20" t="s">
        <v>1124</v>
      </c>
      <c r="AH172" s="20" t="s">
        <v>1124</v>
      </c>
      <c r="AI172" s="328"/>
      <c r="AJ172" s="328"/>
      <c r="AK172" s="328"/>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0"/>
      <c r="BY172" s="20"/>
      <c r="BZ172" s="20"/>
      <c r="CA172" s="20"/>
      <c r="CB172" s="20"/>
      <c r="CC172" s="20"/>
      <c r="CD172" s="22"/>
      <c r="CE172" s="22"/>
      <c r="CF172" s="22"/>
      <c r="CG172" s="22"/>
      <c r="CH172" s="22"/>
      <c r="CI172" s="22"/>
      <c r="CJ172" s="149"/>
      <c r="CK172" s="241"/>
    </row>
    <row r="173" spans="1:89" ht="15" customHeight="1" x14ac:dyDescent="0.35">
      <c r="A173" s="17"/>
      <c r="B173" s="313">
        <v>10005</v>
      </c>
      <c r="C173" s="8" t="s">
        <v>8</v>
      </c>
      <c r="D173" s="18">
        <v>1</v>
      </c>
      <c r="E173" s="131"/>
      <c r="F173" s="22"/>
      <c r="G173" s="132"/>
      <c r="H173" s="22"/>
      <c r="I173" s="22"/>
      <c r="J173" s="22"/>
      <c r="K173" s="22"/>
      <c r="L173" s="22"/>
      <c r="M173" s="133"/>
      <c r="N173" s="22"/>
      <c r="O173" s="22"/>
      <c r="P173" s="22"/>
      <c r="Q173" s="20"/>
      <c r="R173" s="20"/>
      <c r="S173" s="20"/>
      <c r="T173" s="20"/>
      <c r="U173" s="20"/>
      <c r="V173" s="20"/>
      <c r="W173" s="20"/>
      <c r="X173" s="20"/>
      <c r="Y173" s="20"/>
      <c r="Z173" s="20"/>
      <c r="AA173" s="20"/>
      <c r="AB173" s="22"/>
      <c r="AC173" s="20"/>
      <c r="AD173" s="20"/>
      <c r="AE173" s="20"/>
      <c r="AF173" s="20" t="s">
        <v>1124</v>
      </c>
      <c r="AG173" s="20" t="s">
        <v>1124</v>
      </c>
      <c r="AH173" s="20" t="s">
        <v>1124</v>
      </c>
      <c r="AI173" s="328"/>
      <c r="AJ173" s="328"/>
      <c r="AK173" s="328"/>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0"/>
      <c r="BY173" s="20"/>
      <c r="BZ173" s="20"/>
      <c r="CA173" s="20"/>
      <c r="CB173" s="20"/>
      <c r="CC173" s="20"/>
      <c r="CD173" s="22"/>
      <c r="CE173" s="22"/>
      <c r="CF173" s="22"/>
      <c r="CG173" s="22"/>
      <c r="CH173" s="22"/>
      <c r="CI173" s="22"/>
      <c r="CJ173" s="149"/>
      <c r="CK173" s="241"/>
    </row>
    <row r="174" spans="1:89" ht="15" customHeight="1" x14ac:dyDescent="0.35">
      <c r="A174" s="17"/>
      <c r="B174" s="313">
        <v>77011</v>
      </c>
      <c r="C174" s="8" t="s">
        <v>756</v>
      </c>
      <c r="D174" s="18">
        <v>15</v>
      </c>
      <c r="E174" s="131" t="s">
        <v>1309</v>
      </c>
      <c r="F174" s="22" t="s">
        <v>1309</v>
      </c>
      <c r="G174" s="132" t="s">
        <v>1309</v>
      </c>
      <c r="H174" s="22" t="s">
        <v>1311</v>
      </c>
      <c r="I174" s="22" t="s">
        <v>1327</v>
      </c>
      <c r="J174" s="22" t="s">
        <v>1342</v>
      </c>
      <c r="K174" s="22" t="s">
        <v>1314</v>
      </c>
      <c r="L174" s="22" t="s">
        <v>1311</v>
      </c>
      <c r="M174" s="133" t="s">
        <v>1311</v>
      </c>
      <c r="N174" s="22" t="s">
        <v>1311</v>
      </c>
      <c r="O174" s="22" t="s">
        <v>1314</v>
      </c>
      <c r="P174" s="22" t="s">
        <v>1318</v>
      </c>
      <c r="Q174" s="20">
        <v>0</v>
      </c>
      <c r="R174" s="20">
        <v>0</v>
      </c>
      <c r="S174" s="20">
        <v>0</v>
      </c>
      <c r="T174" s="20">
        <v>0</v>
      </c>
      <c r="U174" s="20">
        <v>0</v>
      </c>
      <c r="V174" s="20">
        <v>0</v>
      </c>
      <c r="W174" s="20">
        <v>0</v>
      </c>
      <c r="X174" s="20">
        <v>0</v>
      </c>
      <c r="Y174" s="20">
        <v>0</v>
      </c>
      <c r="Z174" s="20">
        <v>0</v>
      </c>
      <c r="AA174" s="20" t="s">
        <v>1317</v>
      </c>
      <c r="AB174" s="22" t="s">
        <v>1318</v>
      </c>
      <c r="AC174" s="20">
        <v>0</v>
      </c>
      <c r="AD174" s="20">
        <v>0</v>
      </c>
      <c r="AE174" s="20">
        <v>0</v>
      </c>
      <c r="AF174" s="20">
        <v>0</v>
      </c>
      <c r="AG174" s="20">
        <v>0</v>
      </c>
      <c r="AH174" s="20">
        <v>0</v>
      </c>
      <c r="AI174" s="328" t="s">
        <v>1328</v>
      </c>
      <c r="AJ174" s="328" t="s">
        <v>1328</v>
      </c>
      <c r="AK174" s="328" t="s">
        <v>1328</v>
      </c>
      <c r="AL174" s="22" t="s">
        <v>1315</v>
      </c>
      <c r="AM174" s="22" t="s">
        <v>1330</v>
      </c>
      <c r="AN174" s="22" t="s">
        <v>1526</v>
      </c>
      <c r="AO174" s="22" t="s">
        <v>1318</v>
      </c>
      <c r="AP174" s="22" t="s">
        <v>1526</v>
      </c>
      <c r="AQ174" s="22" t="s">
        <v>1318</v>
      </c>
      <c r="AR174" s="22" t="s">
        <v>1317</v>
      </c>
      <c r="AS174" s="22" t="s">
        <v>1318</v>
      </c>
      <c r="AT174" s="22" t="s">
        <v>1317</v>
      </c>
      <c r="AU174" s="22" t="s">
        <v>1318</v>
      </c>
      <c r="AV174" s="22" t="s">
        <v>1317</v>
      </c>
      <c r="AW174" s="22" t="s">
        <v>1318</v>
      </c>
      <c r="AX174" s="22" t="s">
        <v>1317</v>
      </c>
      <c r="AY174" s="22" t="s">
        <v>1318</v>
      </c>
      <c r="AZ174" s="22" t="s">
        <v>1309</v>
      </c>
      <c r="BA174" s="22" t="s">
        <v>1309</v>
      </c>
      <c r="BB174" s="22" t="s">
        <v>1309</v>
      </c>
      <c r="BC174" s="22" t="s">
        <v>1309</v>
      </c>
      <c r="BD174" s="22" t="s">
        <v>1317</v>
      </c>
      <c r="BE174" s="22" t="s">
        <v>1318</v>
      </c>
      <c r="BF174" s="22" t="s">
        <v>1317</v>
      </c>
      <c r="BG174" s="22" t="s">
        <v>1311</v>
      </c>
      <c r="BH174" s="22" t="s">
        <v>1319</v>
      </c>
      <c r="BI174" s="22" t="s">
        <v>1311</v>
      </c>
      <c r="BJ174" s="22" t="s">
        <v>1317</v>
      </c>
      <c r="BK174" s="22" t="s">
        <v>1311</v>
      </c>
      <c r="BL174" s="22" t="s">
        <v>1317</v>
      </c>
      <c r="BM174" s="22" t="s">
        <v>1318</v>
      </c>
      <c r="BN174" s="22" t="s">
        <v>1317</v>
      </c>
      <c r="BO174" s="22" t="s">
        <v>1318</v>
      </c>
      <c r="BP174" s="22" t="s">
        <v>1317</v>
      </c>
      <c r="BQ174" s="22" t="s">
        <v>1318</v>
      </c>
      <c r="BR174" s="22" t="s">
        <v>1317</v>
      </c>
      <c r="BS174" s="22" t="s">
        <v>1318</v>
      </c>
      <c r="BT174" s="22" t="s">
        <v>1309</v>
      </c>
      <c r="BU174" s="22" t="s">
        <v>1309</v>
      </c>
      <c r="BV174" s="22" t="s">
        <v>1317</v>
      </c>
      <c r="BW174" s="22" t="s">
        <v>1318</v>
      </c>
      <c r="BX174" s="20">
        <v>1</v>
      </c>
      <c r="BY174" s="20">
        <v>0</v>
      </c>
      <c r="BZ174" s="20">
        <v>0</v>
      </c>
      <c r="CA174" s="20">
        <v>0</v>
      </c>
      <c r="CB174" s="20">
        <v>0</v>
      </c>
      <c r="CC174" s="20">
        <v>30</v>
      </c>
      <c r="CD174" s="22" t="s">
        <v>1331</v>
      </c>
      <c r="CE174" s="22" t="s">
        <v>1331</v>
      </c>
      <c r="CF174" s="22" t="s">
        <v>1317</v>
      </c>
      <c r="CG174" s="22" t="s">
        <v>1340</v>
      </c>
      <c r="CH174" s="22" t="s">
        <v>1317</v>
      </c>
      <c r="CI174" s="22" t="s">
        <v>1318</v>
      </c>
      <c r="CJ174" s="149" t="s">
        <v>1124</v>
      </c>
      <c r="CK174" s="241" t="s">
        <v>1750</v>
      </c>
    </row>
    <row r="175" spans="1:89" ht="15" customHeight="1" x14ac:dyDescent="0.35">
      <c r="A175" s="17"/>
      <c r="B175" s="313">
        <v>46112</v>
      </c>
      <c r="C175" s="8" t="s">
        <v>447</v>
      </c>
      <c r="D175" s="18">
        <v>5</v>
      </c>
      <c r="E175" s="131" t="s">
        <v>1309</v>
      </c>
      <c r="F175" s="22" t="s">
        <v>1309</v>
      </c>
      <c r="G175" s="132" t="s">
        <v>1309</v>
      </c>
      <c r="H175" s="22" t="s">
        <v>1311</v>
      </c>
      <c r="I175" s="22" t="s">
        <v>1327</v>
      </c>
      <c r="J175" s="22" t="s">
        <v>1327</v>
      </c>
      <c r="K175" s="22" t="s">
        <v>1314</v>
      </c>
      <c r="L175" s="22" t="s">
        <v>1311</v>
      </c>
      <c r="M175" s="133" t="s">
        <v>1311</v>
      </c>
      <c r="N175" s="22" t="s">
        <v>1311</v>
      </c>
      <c r="O175" s="22" t="s">
        <v>1309</v>
      </c>
      <c r="P175" s="22" t="s">
        <v>1309</v>
      </c>
      <c r="Q175" s="20">
        <v>0</v>
      </c>
      <c r="R175" s="20">
        <v>0</v>
      </c>
      <c r="S175" s="20">
        <v>0</v>
      </c>
      <c r="T175" s="20">
        <v>0</v>
      </c>
      <c r="U175" s="20">
        <v>0</v>
      </c>
      <c r="V175" s="20">
        <v>2</v>
      </c>
      <c r="W175" s="20">
        <v>0</v>
      </c>
      <c r="X175" s="20">
        <v>1</v>
      </c>
      <c r="Y175" s="20">
        <v>0</v>
      </c>
      <c r="Z175" s="20">
        <v>0</v>
      </c>
      <c r="AA175" s="20" t="s">
        <v>1315</v>
      </c>
      <c r="AB175" s="22" t="s">
        <v>1315</v>
      </c>
      <c r="AC175" s="20">
        <v>6</v>
      </c>
      <c r="AD175" s="20">
        <v>1</v>
      </c>
      <c r="AE175" s="20">
        <v>0</v>
      </c>
      <c r="AF175" s="20">
        <v>1</v>
      </c>
      <c r="AG175" s="20">
        <v>1</v>
      </c>
      <c r="AH175" s="20">
        <v>0</v>
      </c>
      <c r="AI175" s="328">
        <v>12</v>
      </c>
      <c r="AJ175" s="328">
        <v>0.31328320802005011</v>
      </c>
      <c r="AK175" s="328" t="s">
        <v>1328</v>
      </c>
      <c r="AL175" s="22" t="s">
        <v>1329</v>
      </c>
      <c r="AM175" s="22" t="s">
        <v>1330</v>
      </c>
      <c r="AN175" s="22" t="s">
        <v>1315</v>
      </c>
      <c r="AO175" s="22" t="s">
        <v>1315</v>
      </c>
      <c r="AP175" s="22" t="s">
        <v>1315</v>
      </c>
      <c r="AQ175" s="22" t="s">
        <v>1315</v>
      </c>
      <c r="AR175" s="22" t="s">
        <v>1317</v>
      </c>
      <c r="AS175" s="22" t="s">
        <v>1318</v>
      </c>
      <c r="AT175" s="22" t="s">
        <v>1317</v>
      </c>
      <c r="AU175" s="22" t="s">
        <v>1318</v>
      </c>
      <c r="AV175" s="22" t="s">
        <v>1317</v>
      </c>
      <c r="AW175" s="22" t="s">
        <v>1318</v>
      </c>
      <c r="AX175" s="22" t="s">
        <v>1317</v>
      </c>
      <c r="AY175" s="22" t="s">
        <v>1318</v>
      </c>
      <c r="AZ175" s="22" t="s">
        <v>1319</v>
      </c>
      <c r="BA175" s="22" t="s">
        <v>1311</v>
      </c>
      <c r="BB175" s="22" t="s">
        <v>1317</v>
      </c>
      <c r="BC175" s="22" t="s">
        <v>1318</v>
      </c>
      <c r="BD175" s="22" t="s">
        <v>1309</v>
      </c>
      <c r="BE175" s="22" t="s">
        <v>1309</v>
      </c>
      <c r="BF175" s="22" t="s">
        <v>1319</v>
      </c>
      <c r="BG175" s="22" t="s">
        <v>1311</v>
      </c>
      <c r="BH175" s="22" t="s">
        <v>1317</v>
      </c>
      <c r="BI175" s="22" t="s">
        <v>1318</v>
      </c>
      <c r="BJ175" s="22" t="s">
        <v>1309</v>
      </c>
      <c r="BK175" s="22" t="s">
        <v>1309</v>
      </c>
      <c r="BL175" s="22" t="s">
        <v>1309</v>
      </c>
      <c r="BM175" s="22" t="s">
        <v>1309</v>
      </c>
      <c r="BN175" s="22" t="s">
        <v>1309</v>
      </c>
      <c r="BO175" s="22" t="s">
        <v>1309</v>
      </c>
      <c r="BP175" s="22" t="s">
        <v>1309</v>
      </c>
      <c r="BQ175" s="22" t="s">
        <v>1309</v>
      </c>
      <c r="BR175" s="22" t="s">
        <v>1309</v>
      </c>
      <c r="BS175" s="22" t="s">
        <v>1309</v>
      </c>
      <c r="BT175" s="22" t="s">
        <v>1317</v>
      </c>
      <c r="BU175" s="22" t="s">
        <v>1311</v>
      </c>
      <c r="BV175" s="22" t="s">
        <v>1317</v>
      </c>
      <c r="BW175" s="22" t="s">
        <v>1318</v>
      </c>
      <c r="BX175" s="20">
        <v>160</v>
      </c>
      <c r="BY175" s="20">
        <v>26</v>
      </c>
      <c r="BZ175" s="20">
        <v>0</v>
      </c>
      <c r="CA175" s="20">
        <v>0</v>
      </c>
      <c r="CB175" s="20">
        <v>2</v>
      </c>
      <c r="CC175" s="20">
        <v>3004</v>
      </c>
      <c r="CD175" s="22" t="s">
        <v>1331</v>
      </c>
      <c r="CE175" s="22" t="s">
        <v>1331</v>
      </c>
      <c r="CF175" s="22" t="s">
        <v>1320</v>
      </c>
      <c r="CG175" s="22" t="s">
        <v>1321</v>
      </c>
      <c r="CH175" s="22" t="s">
        <v>1315</v>
      </c>
      <c r="CI175" s="22" t="s">
        <v>1318</v>
      </c>
      <c r="CJ175" s="149" t="s">
        <v>1124</v>
      </c>
      <c r="CK175" s="241" t="s">
        <v>1754</v>
      </c>
    </row>
    <row r="176" spans="1:89" ht="15" customHeight="1" x14ac:dyDescent="0.35">
      <c r="A176" s="17"/>
      <c r="B176" s="313">
        <v>80005</v>
      </c>
      <c r="C176" s="8" t="s">
        <v>803</v>
      </c>
      <c r="D176" s="18">
        <v>7</v>
      </c>
      <c r="E176" s="131" t="s">
        <v>1319</v>
      </c>
      <c r="F176" s="22" t="s">
        <v>1310</v>
      </c>
      <c r="G176" s="132" t="s">
        <v>1309</v>
      </c>
      <c r="H176" s="22" t="s">
        <v>1311</v>
      </c>
      <c r="I176" s="22" t="s">
        <v>1338</v>
      </c>
      <c r="J176" s="22" t="s">
        <v>1327</v>
      </c>
      <c r="K176" s="22" t="s">
        <v>1314</v>
      </c>
      <c r="L176" s="22" t="s">
        <v>1311</v>
      </c>
      <c r="M176" s="133" t="s">
        <v>1311</v>
      </c>
      <c r="N176" s="22" t="s">
        <v>1311</v>
      </c>
      <c r="O176" s="22" t="s">
        <v>1315</v>
      </c>
      <c r="P176" s="22" t="s">
        <v>1318</v>
      </c>
      <c r="Q176" s="20">
        <v>0</v>
      </c>
      <c r="R176" s="20">
        <v>0</v>
      </c>
      <c r="S176" s="20">
        <v>0.7</v>
      </c>
      <c r="T176" s="20">
        <v>9.8450000000000006</v>
      </c>
      <c r="U176" s="20">
        <v>1</v>
      </c>
      <c r="V176" s="20">
        <v>2.5</v>
      </c>
      <c r="W176" s="20">
        <v>0</v>
      </c>
      <c r="X176" s="20">
        <v>0</v>
      </c>
      <c r="Y176" s="20">
        <v>0</v>
      </c>
      <c r="Z176" s="20">
        <v>0</v>
      </c>
      <c r="AA176" s="20" t="s">
        <v>1319</v>
      </c>
      <c r="AB176" s="22" t="s">
        <v>1311</v>
      </c>
      <c r="AC176" s="20">
        <v>1</v>
      </c>
      <c r="AD176" s="20">
        <v>0</v>
      </c>
      <c r="AE176" s="20">
        <v>0</v>
      </c>
      <c r="AF176" s="20">
        <v>1</v>
      </c>
      <c r="AG176" s="20">
        <v>0</v>
      </c>
      <c r="AH176" s="20">
        <v>0</v>
      </c>
      <c r="AI176" s="328">
        <v>9.8434885323358596</v>
      </c>
      <c r="AJ176" s="328" t="s">
        <v>1328</v>
      </c>
      <c r="AK176" s="328" t="s">
        <v>1328</v>
      </c>
      <c r="AL176" s="22" t="s">
        <v>1329</v>
      </c>
      <c r="AM176" s="22" t="s">
        <v>1330</v>
      </c>
      <c r="AN176" s="22" t="s">
        <v>1317</v>
      </c>
      <c r="AO176" s="22" t="s">
        <v>1318</v>
      </c>
      <c r="AP176" s="22" t="s">
        <v>1318</v>
      </c>
      <c r="AQ176" s="22" t="s">
        <v>1318</v>
      </c>
      <c r="AR176" s="22" t="s">
        <v>1315</v>
      </c>
      <c r="AS176" s="22" t="s">
        <v>1315</v>
      </c>
      <c r="AT176" s="22" t="s">
        <v>1317</v>
      </c>
      <c r="AU176" s="22" t="s">
        <v>1318</v>
      </c>
      <c r="AV176" s="22" t="s">
        <v>1315</v>
      </c>
      <c r="AW176" s="22" t="s">
        <v>1315</v>
      </c>
      <c r="AX176" s="22" t="s">
        <v>1315</v>
      </c>
      <c r="AY176" s="22" t="s">
        <v>1315</v>
      </c>
      <c r="AZ176" s="22" t="s">
        <v>1319</v>
      </c>
      <c r="BA176" s="22" t="s">
        <v>1311</v>
      </c>
      <c r="BB176" s="22" t="s">
        <v>1309</v>
      </c>
      <c r="BC176" s="22" t="s">
        <v>1309</v>
      </c>
      <c r="BD176" s="22" t="s">
        <v>1317</v>
      </c>
      <c r="BE176" s="22" t="s">
        <v>1318</v>
      </c>
      <c r="BF176" s="22" t="s">
        <v>1315</v>
      </c>
      <c r="BG176" s="22" t="s">
        <v>1315</v>
      </c>
      <c r="BH176" s="22" t="s">
        <v>1309</v>
      </c>
      <c r="BI176" s="22" t="s">
        <v>1309</v>
      </c>
      <c r="BJ176" s="22" t="s">
        <v>1309</v>
      </c>
      <c r="BK176" s="22" t="s">
        <v>1309</v>
      </c>
      <c r="BL176" s="22" t="s">
        <v>1317</v>
      </c>
      <c r="BM176" s="22" t="s">
        <v>1318</v>
      </c>
      <c r="BN176" s="22" t="s">
        <v>1309</v>
      </c>
      <c r="BO176" s="22" t="s">
        <v>1318</v>
      </c>
      <c r="BP176" s="22" t="s">
        <v>1315</v>
      </c>
      <c r="BQ176" s="22" t="s">
        <v>1318</v>
      </c>
      <c r="BR176" s="22" t="s">
        <v>1309</v>
      </c>
      <c r="BS176" s="22" t="s">
        <v>1309</v>
      </c>
      <c r="BT176" s="22" t="s">
        <v>1315</v>
      </c>
      <c r="BU176" s="22" t="s">
        <v>1315</v>
      </c>
      <c r="BV176" s="22" t="s">
        <v>1319</v>
      </c>
      <c r="BW176" s="22" t="s">
        <v>1311</v>
      </c>
      <c r="BX176" s="20">
        <v>0</v>
      </c>
      <c r="BY176" s="20">
        <v>0</v>
      </c>
      <c r="BZ176" s="20">
        <v>31</v>
      </c>
      <c r="CA176" s="20">
        <v>0</v>
      </c>
      <c r="CB176" s="20">
        <v>0</v>
      </c>
      <c r="CC176" s="20">
        <v>298</v>
      </c>
      <c r="CD176" s="22" t="s">
        <v>1317</v>
      </c>
      <c r="CE176" s="22" t="s">
        <v>1318</v>
      </c>
      <c r="CF176" s="22" t="s">
        <v>1317</v>
      </c>
      <c r="CG176" s="22" t="s">
        <v>1318</v>
      </c>
      <c r="CH176" s="22" t="s">
        <v>1317</v>
      </c>
      <c r="CI176" s="22" t="s">
        <v>1318</v>
      </c>
      <c r="CJ176" s="149" t="s">
        <v>1756</v>
      </c>
      <c r="CK176" s="241" t="s">
        <v>1124</v>
      </c>
    </row>
    <row r="177" spans="1:89" ht="15" customHeight="1" x14ac:dyDescent="0.35">
      <c r="A177" s="17"/>
      <c r="B177" s="313">
        <v>94220</v>
      </c>
      <c r="C177" s="8" t="s">
        <v>976</v>
      </c>
      <c r="D177" s="18">
        <v>2</v>
      </c>
      <c r="E177" s="131" t="s">
        <v>1309</v>
      </c>
      <c r="F177" s="22" t="s">
        <v>1309</v>
      </c>
      <c r="G177" s="132" t="s">
        <v>1309</v>
      </c>
      <c r="H177" s="22" t="s">
        <v>1311</v>
      </c>
      <c r="I177" s="22" t="s">
        <v>1327</v>
      </c>
      <c r="J177" s="22" t="s">
        <v>1327</v>
      </c>
      <c r="K177" s="22" t="s">
        <v>1314</v>
      </c>
      <c r="L177" s="22" t="s">
        <v>1311</v>
      </c>
      <c r="M177" s="133" t="s">
        <v>1311</v>
      </c>
      <c r="N177" s="22" t="s">
        <v>1311</v>
      </c>
      <c r="O177" s="22" t="s">
        <v>1314</v>
      </c>
      <c r="P177" s="22" t="s">
        <v>1318</v>
      </c>
      <c r="Q177" s="20">
        <v>0</v>
      </c>
      <c r="R177" s="20">
        <v>0</v>
      </c>
      <c r="S177" s="20">
        <v>0</v>
      </c>
      <c r="T177" s="20">
        <v>0</v>
      </c>
      <c r="U177" s="20">
        <v>0</v>
      </c>
      <c r="V177" s="20">
        <v>0</v>
      </c>
      <c r="W177" s="20">
        <v>0</v>
      </c>
      <c r="X177" s="20">
        <v>0</v>
      </c>
      <c r="Y177" s="20">
        <v>0</v>
      </c>
      <c r="Z177" s="20">
        <v>0</v>
      </c>
      <c r="AA177" s="20" t="s">
        <v>1317</v>
      </c>
      <c r="AB177" s="22" t="s">
        <v>1318</v>
      </c>
      <c r="AC177" s="20">
        <v>0</v>
      </c>
      <c r="AD177" s="20">
        <v>0</v>
      </c>
      <c r="AE177" s="20">
        <v>0</v>
      </c>
      <c r="AF177" s="20">
        <v>0</v>
      </c>
      <c r="AG177" s="20">
        <v>0</v>
      </c>
      <c r="AH177" s="20">
        <v>0</v>
      </c>
      <c r="AI177" s="328" t="s">
        <v>1328</v>
      </c>
      <c r="AJ177" s="328" t="s">
        <v>1328</v>
      </c>
      <c r="AK177" s="328" t="s">
        <v>1328</v>
      </c>
      <c r="AL177" s="22" t="s">
        <v>1316</v>
      </c>
      <c r="AM177" s="22" t="s">
        <v>1316</v>
      </c>
      <c r="AN177" s="22" t="s">
        <v>1317</v>
      </c>
      <c r="AO177" s="22" t="s">
        <v>1318</v>
      </c>
      <c r="AP177" s="22" t="s">
        <v>1318</v>
      </c>
      <c r="AQ177" s="22" t="s">
        <v>1318</v>
      </c>
      <c r="AR177" s="22" t="s">
        <v>1317</v>
      </c>
      <c r="AS177" s="22" t="s">
        <v>1318</v>
      </c>
      <c r="AT177" s="22" t="s">
        <v>1317</v>
      </c>
      <c r="AU177" s="22" t="s">
        <v>1318</v>
      </c>
      <c r="AV177" s="22" t="s">
        <v>1309</v>
      </c>
      <c r="AW177" s="22" t="s">
        <v>1309</v>
      </c>
      <c r="AX177" s="22" t="s">
        <v>1317</v>
      </c>
      <c r="AY177" s="22" t="s">
        <v>1318</v>
      </c>
      <c r="AZ177" s="22" t="s">
        <v>1309</v>
      </c>
      <c r="BA177" s="22" t="s">
        <v>1309</v>
      </c>
      <c r="BB177" s="22" t="s">
        <v>1309</v>
      </c>
      <c r="BC177" s="22" t="s">
        <v>1309</v>
      </c>
      <c r="BD177" s="22" t="s">
        <v>1317</v>
      </c>
      <c r="BE177" s="22" t="s">
        <v>1318</v>
      </c>
      <c r="BF177" s="22" t="s">
        <v>1317</v>
      </c>
      <c r="BG177" s="22" t="s">
        <v>1318</v>
      </c>
      <c r="BH177" s="22" t="s">
        <v>1309</v>
      </c>
      <c r="BI177" s="22" t="s">
        <v>1309</v>
      </c>
      <c r="BJ177" s="22" t="s">
        <v>1319</v>
      </c>
      <c r="BK177" s="22" t="s">
        <v>1311</v>
      </c>
      <c r="BL177" s="22" t="s">
        <v>1317</v>
      </c>
      <c r="BM177" s="22" t="s">
        <v>1318</v>
      </c>
      <c r="BN177" s="22" t="s">
        <v>1309</v>
      </c>
      <c r="BO177" s="22" t="s">
        <v>1309</v>
      </c>
      <c r="BP177" s="22" t="s">
        <v>1315</v>
      </c>
      <c r="BQ177" s="22" t="s">
        <v>1315</v>
      </c>
      <c r="BR177" s="22" t="s">
        <v>1317</v>
      </c>
      <c r="BS177" s="22" t="s">
        <v>1318</v>
      </c>
      <c r="BT177" s="22" t="s">
        <v>1317</v>
      </c>
      <c r="BU177" s="22" t="s">
        <v>1318</v>
      </c>
      <c r="BV177" s="22" t="s">
        <v>1317</v>
      </c>
      <c r="BW177" s="22" t="s">
        <v>1318</v>
      </c>
      <c r="BX177" s="20">
        <v>0</v>
      </c>
      <c r="BY177" s="20">
        <v>0</v>
      </c>
      <c r="BZ177" s="20">
        <v>1</v>
      </c>
      <c r="CA177" s="20">
        <v>0</v>
      </c>
      <c r="CB177" s="20">
        <v>0</v>
      </c>
      <c r="CC177" s="20">
        <v>37</v>
      </c>
      <c r="CD177" s="22" t="s">
        <v>1317</v>
      </c>
      <c r="CE177" s="22" t="s">
        <v>1318</v>
      </c>
      <c r="CF177" s="22" t="s">
        <v>1317</v>
      </c>
      <c r="CG177" s="22" t="s">
        <v>1318</v>
      </c>
      <c r="CH177" s="22" t="s">
        <v>1317</v>
      </c>
      <c r="CI177" s="22" t="s">
        <v>1318</v>
      </c>
      <c r="CJ177" s="149" t="s">
        <v>1124</v>
      </c>
      <c r="CK177" s="241" t="s">
        <v>1124</v>
      </c>
    </row>
    <row r="178" spans="1:89" ht="15" customHeight="1" x14ac:dyDescent="0.35">
      <c r="A178" s="17"/>
      <c r="B178" s="313">
        <v>79097</v>
      </c>
      <c r="C178" s="8" t="s">
        <v>799</v>
      </c>
      <c r="D178" s="18">
        <v>15</v>
      </c>
      <c r="E178" s="131" t="s">
        <v>1309</v>
      </c>
      <c r="F178" s="22" t="s">
        <v>1309</v>
      </c>
      <c r="G178" s="132" t="s">
        <v>1309</v>
      </c>
      <c r="H178" s="22" t="s">
        <v>1311</v>
      </c>
      <c r="I178" s="22" t="s">
        <v>1327</v>
      </c>
      <c r="J178" s="22" t="s">
        <v>1342</v>
      </c>
      <c r="K178" s="22" t="s">
        <v>1314</v>
      </c>
      <c r="L178" s="22" t="s">
        <v>1311</v>
      </c>
      <c r="M178" s="133" t="s">
        <v>1311</v>
      </c>
      <c r="N178" s="22" t="s">
        <v>1311</v>
      </c>
      <c r="O178" s="22" t="s">
        <v>1309</v>
      </c>
      <c r="P178" s="22" t="s">
        <v>1309</v>
      </c>
      <c r="Q178" s="20">
        <v>22.841000000000001</v>
      </c>
      <c r="R178" s="20">
        <v>22.841000000000001</v>
      </c>
      <c r="S178" s="20">
        <v>11.42</v>
      </c>
      <c r="T178" s="20">
        <v>11.42</v>
      </c>
      <c r="U178" s="20">
        <v>0</v>
      </c>
      <c r="V178" s="20">
        <v>0</v>
      </c>
      <c r="W178" s="20">
        <v>0</v>
      </c>
      <c r="X178" s="20">
        <v>0</v>
      </c>
      <c r="Y178" s="20">
        <v>0</v>
      </c>
      <c r="Z178" s="20">
        <v>0</v>
      </c>
      <c r="AA178" s="20" t="s">
        <v>1317</v>
      </c>
      <c r="AB178" s="22" t="s">
        <v>1318</v>
      </c>
      <c r="AC178" s="20">
        <v>0</v>
      </c>
      <c r="AD178" s="20">
        <v>0</v>
      </c>
      <c r="AE178" s="20">
        <v>1</v>
      </c>
      <c r="AF178" s="20">
        <v>0</v>
      </c>
      <c r="AG178" s="20">
        <v>0</v>
      </c>
      <c r="AH178" s="20">
        <v>30</v>
      </c>
      <c r="AI178" s="328" t="s">
        <v>1328</v>
      </c>
      <c r="AJ178" s="328" t="s">
        <v>1328</v>
      </c>
      <c r="AK178" s="328">
        <v>1.2531328320802004</v>
      </c>
      <c r="AL178" s="22" t="s">
        <v>1316</v>
      </c>
      <c r="AM178" s="22" t="s">
        <v>1330</v>
      </c>
      <c r="AN178" s="22" t="s">
        <v>1317</v>
      </c>
      <c r="AO178" s="22" t="s">
        <v>1318</v>
      </c>
      <c r="AP178" s="22" t="s">
        <v>1318</v>
      </c>
      <c r="AQ178" s="22" t="s">
        <v>1318</v>
      </c>
      <c r="AR178" s="22" t="s">
        <v>1317</v>
      </c>
      <c r="AS178" s="22" t="s">
        <v>1318</v>
      </c>
      <c r="AT178" s="22" t="s">
        <v>1317</v>
      </c>
      <c r="AU178" s="22" t="s">
        <v>1318</v>
      </c>
      <c r="AV178" s="22" t="s">
        <v>1317</v>
      </c>
      <c r="AW178" s="22" t="s">
        <v>1318</v>
      </c>
      <c r="AX178" s="22" t="s">
        <v>1317</v>
      </c>
      <c r="AY178" s="22" t="s">
        <v>1318</v>
      </c>
      <c r="AZ178" s="22" t="s">
        <v>1309</v>
      </c>
      <c r="BA178" s="22" t="s">
        <v>1309</v>
      </c>
      <c r="BB178" s="22" t="s">
        <v>1309</v>
      </c>
      <c r="BC178" s="22" t="s">
        <v>1309</v>
      </c>
      <c r="BD178" s="22" t="s">
        <v>1309</v>
      </c>
      <c r="BE178" s="22" t="s">
        <v>1309</v>
      </c>
      <c r="BF178" s="22" t="s">
        <v>1317</v>
      </c>
      <c r="BG178" s="22" t="s">
        <v>1318</v>
      </c>
      <c r="BH178" s="22" t="s">
        <v>1309</v>
      </c>
      <c r="BI178" s="22" t="s">
        <v>1309</v>
      </c>
      <c r="BJ178" s="22" t="s">
        <v>1309</v>
      </c>
      <c r="BK178" s="22" t="s">
        <v>1309</v>
      </c>
      <c r="BL178" s="22" t="s">
        <v>1317</v>
      </c>
      <c r="BM178" s="22" t="s">
        <v>1318</v>
      </c>
      <c r="BN178" s="22" t="s">
        <v>1309</v>
      </c>
      <c r="BO178" s="22" t="s">
        <v>1309</v>
      </c>
      <c r="BP178" s="22" t="s">
        <v>1309</v>
      </c>
      <c r="BQ178" s="22" t="s">
        <v>1309</v>
      </c>
      <c r="BR178" s="22" t="s">
        <v>1309</v>
      </c>
      <c r="BS178" s="22" t="s">
        <v>1309</v>
      </c>
      <c r="BT178" s="22" t="s">
        <v>1309</v>
      </c>
      <c r="BU178" s="22" t="s">
        <v>1309</v>
      </c>
      <c r="BV178" s="22" t="s">
        <v>1317</v>
      </c>
      <c r="BW178" s="22" t="s">
        <v>1318</v>
      </c>
      <c r="BX178" s="20">
        <v>1</v>
      </c>
      <c r="BY178" s="20">
        <v>0</v>
      </c>
      <c r="BZ178" s="20">
        <v>73</v>
      </c>
      <c r="CA178" s="20">
        <v>0</v>
      </c>
      <c r="CB178" s="20">
        <v>0</v>
      </c>
      <c r="CC178" s="20">
        <v>724</v>
      </c>
      <c r="CD178" s="22" t="s">
        <v>1317</v>
      </c>
      <c r="CE178" s="22" t="s">
        <v>1318</v>
      </c>
      <c r="CF178" s="22" t="s">
        <v>1317</v>
      </c>
      <c r="CG178" s="22" t="s">
        <v>1318</v>
      </c>
      <c r="CH178" s="22" t="s">
        <v>1317</v>
      </c>
      <c r="CI178" s="22" t="s">
        <v>1318</v>
      </c>
      <c r="CJ178" s="149" t="s">
        <v>1124</v>
      </c>
      <c r="CK178" s="241" t="s">
        <v>1357</v>
      </c>
    </row>
    <row r="179" spans="1:89" ht="15" customHeight="1" x14ac:dyDescent="0.35">
      <c r="A179" s="17"/>
      <c r="B179" s="313">
        <v>97035</v>
      </c>
      <c r="C179" s="8" t="s">
        <v>1004</v>
      </c>
      <c r="D179" s="18">
        <v>9</v>
      </c>
      <c r="E179" s="131" t="s">
        <v>1309</v>
      </c>
      <c r="F179" s="22" t="s">
        <v>1310</v>
      </c>
      <c r="G179" s="132" t="s">
        <v>1309</v>
      </c>
      <c r="H179" s="22" t="s">
        <v>1311</v>
      </c>
      <c r="I179" s="22" t="s">
        <v>1327</v>
      </c>
      <c r="J179" s="22" t="s">
        <v>1327</v>
      </c>
      <c r="K179" s="22" t="s">
        <v>1319</v>
      </c>
      <c r="L179" s="22" t="s">
        <v>1311</v>
      </c>
      <c r="M179" s="133" t="s">
        <v>1311</v>
      </c>
      <c r="N179" s="22" t="s">
        <v>1311</v>
      </c>
      <c r="O179" s="22" t="s">
        <v>1314</v>
      </c>
      <c r="P179" s="22" t="s">
        <v>1318</v>
      </c>
      <c r="Q179" s="20">
        <v>0</v>
      </c>
      <c r="R179" s="20">
        <v>23.384999999999998</v>
      </c>
      <c r="S179" s="20">
        <v>0</v>
      </c>
      <c r="T179" s="20">
        <v>0</v>
      </c>
      <c r="U179" s="20">
        <v>0</v>
      </c>
      <c r="V179" s="20">
        <v>23.384999999999998</v>
      </c>
      <c r="W179" s="20">
        <v>0</v>
      </c>
      <c r="X179" s="20">
        <v>0</v>
      </c>
      <c r="Y179" s="20">
        <v>0</v>
      </c>
      <c r="Z179" s="20">
        <v>0</v>
      </c>
      <c r="AA179" s="20" t="s">
        <v>1317</v>
      </c>
      <c r="AB179" s="22" t="s">
        <v>1311</v>
      </c>
      <c r="AC179" s="20">
        <v>0</v>
      </c>
      <c r="AD179" s="20">
        <v>0</v>
      </c>
      <c r="AE179" s="20">
        <v>0</v>
      </c>
      <c r="AF179" s="20">
        <v>0</v>
      </c>
      <c r="AG179" s="20">
        <v>0</v>
      </c>
      <c r="AH179" s="20">
        <v>0</v>
      </c>
      <c r="AI179" s="328" t="s">
        <v>1328</v>
      </c>
      <c r="AJ179" s="328" t="s">
        <v>1328</v>
      </c>
      <c r="AK179" s="328" t="s">
        <v>1328</v>
      </c>
      <c r="AL179" s="22" t="s">
        <v>1329</v>
      </c>
      <c r="AM179" s="22" t="s">
        <v>1330</v>
      </c>
      <c r="AN179" s="22" t="s">
        <v>1315</v>
      </c>
      <c r="AO179" s="22" t="s">
        <v>1318</v>
      </c>
      <c r="AP179" s="22" t="s">
        <v>1315</v>
      </c>
      <c r="AQ179" s="22" t="s">
        <v>1318</v>
      </c>
      <c r="AR179" s="22" t="s">
        <v>1317</v>
      </c>
      <c r="AS179" s="22" t="s">
        <v>1318</v>
      </c>
      <c r="AT179" s="22" t="s">
        <v>1317</v>
      </c>
      <c r="AU179" s="22" t="s">
        <v>1318</v>
      </c>
      <c r="AV179" s="22" t="s">
        <v>1319</v>
      </c>
      <c r="AW179" s="22" t="s">
        <v>1311</v>
      </c>
      <c r="AX179" s="22" t="s">
        <v>1317</v>
      </c>
      <c r="AY179" s="22" t="s">
        <v>1318</v>
      </c>
      <c r="AZ179" s="22" t="s">
        <v>1319</v>
      </c>
      <c r="BA179" s="22" t="s">
        <v>1311</v>
      </c>
      <c r="BB179" s="22" t="s">
        <v>1317</v>
      </c>
      <c r="BC179" s="22" t="s">
        <v>1318</v>
      </c>
      <c r="BD179" s="22" t="s">
        <v>1317</v>
      </c>
      <c r="BE179" s="22" t="s">
        <v>1318</v>
      </c>
      <c r="BF179" s="22" t="s">
        <v>1319</v>
      </c>
      <c r="BG179" s="22" t="s">
        <v>1311</v>
      </c>
      <c r="BH179" s="22" t="s">
        <v>1309</v>
      </c>
      <c r="BI179" s="22" t="s">
        <v>1309</v>
      </c>
      <c r="BJ179" s="22" t="s">
        <v>1309</v>
      </c>
      <c r="BK179" s="22" t="s">
        <v>1309</v>
      </c>
      <c r="BL179" s="22" t="s">
        <v>1319</v>
      </c>
      <c r="BM179" s="22" t="s">
        <v>1311</v>
      </c>
      <c r="BN179" s="22" t="s">
        <v>1309</v>
      </c>
      <c r="BO179" s="22" t="s">
        <v>1309</v>
      </c>
      <c r="BP179" s="22" t="s">
        <v>1309</v>
      </c>
      <c r="BQ179" s="22" t="s">
        <v>1309</v>
      </c>
      <c r="BR179" s="22" t="s">
        <v>1309</v>
      </c>
      <c r="BS179" s="22" t="s">
        <v>1309</v>
      </c>
      <c r="BT179" s="22" t="s">
        <v>1309</v>
      </c>
      <c r="BU179" s="22" t="s">
        <v>1309</v>
      </c>
      <c r="BV179" s="22" t="s">
        <v>1317</v>
      </c>
      <c r="BW179" s="22" t="s">
        <v>1318</v>
      </c>
      <c r="BX179" s="20">
        <v>54</v>
      </c>
      <c r="BY179" s="20">
        <v>0</v>
      </c>
      <c r="BZ179" s="20">
        <v>17</v>
      </c>
      <c r="CA179" s="20">
        <v>37</v>
      </c>
      <c r="CB179" s="20">
        <v>74</v>
      </c>
      <c r="CC179" s="20">
        <v>1305</v>
      </c>
      <c r="CD179" s="22" t="s">
        <v>1320</v>
      </c>
      <c r="CE179" s="22" t="s">
        <v>1321</v>
      </c>
      <c r="CF179" s="22" t="s">
        <v>1320</v>
      </c>
      <c r="CG179" s="22" t="s">
        <v>1321</v>
      </c>
      <c r="CH179" s="22" t="s">
        <v>1317</v>
      </c>
      <c r="CI179" s="22" t="s">
        <v>1318</v>
      </c>
      <c r="CJ179" s="149" t="s">
        <v>1765</v>
      </c>
      <c r="CK179" s="241" t="s">
        <v>1124</v>
      </c>
    </row>
    <row r="180" spans="1:89" ht="15" customHeight="1" x14ac:dyDescent="0.35">
      <c r="A180" s="17"/>
      <c r="B180" s="313">
        <v>95045</v>
      </c>
      <c r="C180" s="8" t="s">
        <v>992</v>
      </c>
      <c r="D180" s="18">
        <v>9</v>
      </c>
      <c r="E180" s="131"/>
      <c r="F180" s="22"/>
      <c r="G180" s="132"/>
      <c r="H180" s="22"/>
      <c r="I180" s="22"/>
      <c r="J180" s="22"/>
      <c r="K180" s="22"/>
      <c r="L180" s="22"/>
      <c r="M180" s="133"/>
      <c r="N180" s="22"/>
      <c r="O180" s="22"/>
      <c r="P180" s="22"/>
      <c r="Q180" s="20"/>
      <c r="R180" s="20"/>
      <c r="S180" s="20"/>
      <c r="T180" s="20"/>
      <c r="U180" s="20"/>
      <c r="V180" s="20"/>
      <c r="W180" s="20"/>
      <c r="X180" s="20"/>
      <c r="Y180" s="20"/>
      <c r="Z180" s="20"/>
      <c r="AA180" s="20"/>
      <c r="AB180" s="22"/>
      <c r="AC180" s="20"/>
      <c r="AD180" s="20"/>
      <c r="AE180" s="20"/>
      <c r="AF180" s="20" t="s">
        <v>1124</v>
      </c>
      <c r="AG180" s="20" t="s">
        <v>1124</v>
      </c>
      <c r="AH180" s="20" t="s">
        <v>1124</v>
      </c>
      <c r="AI180" s="328"/>
      <c r="AJ180" s="328"/>
      <c r="AK180" s="328"/>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0"/>
      <c r="BY180" s="20"/>
      <c r="BZ180" s="20"/>
      <c r="CA180" s="20"/>
      <c r="CB180" s="20"/>
      <c r="CC180" s="20"/>
      <c r="CD180" s="22"/>
      <c r="CE180" s="22"/>
      <c r="CF180" s="22"/>
      <c r="CG180" s="22"/>
      <c r="CH180" s="22"/>
      <c r="CI180" s="22"/>
      <c r="CJ180" s="149"/>
      <c r="CK180" s="241"/>
    </row>
    <row r="181" spans="1:89" ht="15" customHeight="1" x14ac:dyDescent="0.35">
      <c r="A181" s="17"/>
      <c r="B181" s="313">
        <v>84060</v>
      </c>
      <c r="C181" s="8" t="s">
        <v>863</v>
      </c>
      <c r="D181" s="18">
        <v>7</v>
      </c>
      <c r="E181" s="131"/>
      <c r="F181" s="22"/>
      <c r="G181" s="132"/>
      <c r="H181" s="22"/>
      <c r="I181" s="22"/>
      <c r="J181" s="22"/>
      <c r="K181" s="22"/>
      <c r="L181" s="22"/>
      <c r="M181" s="133"/>
      <c r="N181" s="22"/>
      <c r="O181" s="22"/>
      <c r="P181" s="22"/>
      <c r="Q181" s="20"/>
      <c r="R181" s="20"/>
      <c r="S181" s="20"/>
      <c r="T181" s="20"/>
      <c r="U181" s="20"/>
      <c r="V181" s="20"/>
      <c r="W181" s="20"/>
      <c r="X181" s="20"/>
      <c r="Y181" s="20"/>
      <c r="Z181" s="20"/>
      <c r="AA181" s="20"/>
      <c r="AB181" s="22"/>
      <c r="AC181" s="20"/>
      <c r="AD181" s="20"/>
      <c r="AE181" s="20"/>
      <c r="AF181" s="20" t="s">
        <v>1124</v>
      </c>
      <c r="AG181" s="20" t="s">
        <v>1124</v>
      </c>
      <c r="AH181" s="20" t="s">
        <v>1124</v>
      </c>
      <c r="AI181" s="328"/>
      <c r="AJ181" s="328"/>
      <c r="AK181" s="328"/>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0"/>
      <c r="BY181" s="20"/>
      <c r="BZ181" s="20"/>
      <c r="CA181" s="20"/>
      <c r="CB181" s="20"/>
      <c r="CC181" s="20"/>
      <c r="CD181" s="22"/>
      <c r="CE181" s="22"/>
      <c r="CF181" s="22"/>
      <c r="CG181" s="22"/>
      <c r="CH181" s="22"/>
      <c r="CI181" s="22"/>
      <c r="CJ181" s="149"/>
      <c r="CK181" s="241"/>
    </row>
    <row r="182" spans="1:89" ht="15" customHeight="1" x14ac:dyDescent="0.35">
      <c r="A182" s="17"/>
      <c r="B182" s="313">
        <v>38047</v>
      </c>
      <c r="C182" s="8" t="s">
        <v>332</v>
      </c>
      <c r="D182" s="18">
        <v>17</v>
      </c>
      <c r="E182" s="131" t="s">
        <v>1309</v>
      </c>
      <c r="F182" s="22" t="s">
        <v>1309</v>
      </c>
      <c r="G182" s="132" t="s">
        <v>1309</v>
      </c>
      <c r="H182" s="22" t="s">
        <v>1311</v>
      </c>
      <c r="I182" s="22" t="s">
        <v>1327</v>
      </c>
      <c r="J182" s="22" t="s">
        <v>1327</v>
      </c>
      <c r="K182" s="22" t="s">
        <v>1314</v>
      </c>
      <c r="L182" s="22" t="s">
        <v>1311</v>
      </c>
      <c r="M182" s="133" t="s">
        <v>1311</v>
      </c>
      <c r="N182" s="22" t="s">
        <v>1311</v>
      </c>
      <c r="O182" s="22" t="s">
        <v>1314</v>
      </c>
      <c r="P182" s="22" t="s">
        <v>1318</v>
      </c>
      <c r="Q182" s="20">
        <v>4.5659999999999998</v>
      </c>
      <c r="R182" s="20">
        <v>4.5659999999999998</v>
      </c>
      <c r="S182" s="20">
        <v>0</v>
      </c>
      <c r="T182" s="20">
        <v>0</v>
      </c>
      <c r="U182" s="20">
        <v>0</v>
      </c>
      <c r="V182" s="20">
        <v>0</v>
      </c>
      <c r="W182" s="20">
        <v>0</v>
      </c>
      <c r="X182" s="20">
        <v>0</v>
      </c>
      <c r="Y182" s="20">
        <v>0</v>
      </c>
      <c r="Z182" s="20">
        <v>0</v>
      </c>
      <c r="AA182" s="20" t="s">
        <v>1315</v>
      </c>
      <c r="AB182" s="22" t="s">
        <v>1315</v>
      </c>
      <c r="AC182" s="20">
        <v>0</v>
      </c>
      <c r="AD182" s="20">
        <v>0</v>
      </c>
      <c r="AE182" s="20">
        <v>0</v>
      </c>
      <c r="AF182" s="20">
        <v>0</v>
      </c>
      <c r="AG182" s="20">
        <v>0</v>
      </c>
      <c r="AH182" s="20">
        <v>0</v>
      </c>
      <c r="AI182" s="328" t="s">
        <v>1328</v>
      </c>
      <c r="AJ182" s="328" t="s">
        <v>1328</v>
      </c>
      <c r="AK182" s="328" t="s">
        <v>1328</v>
      </c>
      <c r="AL182" s="22" t="s">
        <v>1329</v>
      </c>
      <c r="AM182" s="22" t="s">
        <v>1330</v>
      </c>
      <c r="AN182" s="22" t="s">
        <v>1315</v>
      </c>
      <c r="AO182" s="22" t="s">
        <v>1315</v>
      </c>
      <c r="AP182" s="22" t="s">
        <v>1315</v>
      </c>
      <c r="AQ182" s="22" t="s">
        <v>1315</v>
      </c>
      <c r="AR182" s="22" t="s">
        <v>1315</v>
      </c>
      <c r="AS182" s="22" t="s">
        <v>1315</v>
      </c>
      <c r="AT182" s="22" t="s">
        <v>1317</v>
      </c>
      <c r="AU182" s="22" t="s">
        <v>1318</v>
      </c>
      <c r="AV182" s="22" t="s">
        <v>1317</v>
      </c>
      <c r="AW182" s="22" t="s">
        <v>1318</v>
      </c>
      <c r="AX182" s="22" t="s">
        <v>1317</v>
      </c>
      <c r="AY182" s="22" t="s">
        <v>1318</v>
      </c>
      <c r="AZ182" s="22" t="s">
        <v>1309</v>
      </c>
      <c r="BA182" s="22" t="s">
        <v>1309</v>
      </c>
      <c r="BB182" s="22" t="s">
        <v>1309</v>
      </c>
      <c r="BC182" s="22" t="s">
        <v>1309</v>
      </c>
      <c r="BD182" s="22" t="s">
        <v>1317</v>
      </c>
      <c r="BE182" s="22" t="s">
        <v>1318</v>
      </c>
      <c r="BF182" s="22" t="s">
        <v>1319</v>
      </c>
      <c r="BG182" s="22" t="s">
        <v>1311</v>
      </c>
      <c r="BH182" s="22" t="s">
        <v>1309</v>
      </c>
      <c r="BI182" s="22" t="s">
        <v>1309</v>
      </c>
      <c r="BJ182" s="22" t="s">
        <v>1317</v>
      </c>
      <c r="BK182" s="22" t="s">
        <v>1311</v>
      </c>
      <c r="BL182" s="22" t="s">
        <v>1319</v>
      </c>
      <c r="BM182" s="22" t="s">
        <v>1311</v>
      </c>
      <c r="BN182" s="22" t="s">
        <v>1317</v>
      </c>
      <c r="BO182" s="22" t="s">
        <v>1318</v>
      </c>
      <c r="BP182" s="22" t="s">
        <v>1315</v>
      </c>
      <c r="BQ182" s="22" t="s">
        <v>1315</v>
      </c>
      <c r="BR182" s="22" t="s">
        <v>1317</v>
      </c>
      <c r="BS182" s="22" t="s">
        <v>1318</v>
      </c>
      <c r="BT182" s="22" t="s">
        <v>1317</v>
      </c>
      <c r="BU182" s="22" t="s">
        <v>1318</v>
      </c>
      <c r="BV182" s="22" t="s">
        <v>1317</v>
      </c>
      <c r="BW182" s="22" t="s">
        <v>1318</v>
      </c>
      <c r="BX182" s="20">
        <v>9</v>
      </c>
      <c r="BY182" s="20">
        <v>1</v>
      </c>
      <c r="BZ182" s="20">
        <v>17</v>
      </c>
      <c r="CA182" s="20">
        <v>9</v>
      </c>
      <c r="CB182" s="20">
        <v>5</v>
      </c>
      <c r="CC182" s="20">
        <v>189</v>
      </c>
      <c r="CD182" s="22" t="s">
        <v>1320</v>
      </c>
      <c r="CE182" s="22" t="s">
        <v>1344</v>
      </c>
      <c r="CF182" s="22" t="s">
        <v>1320</v>
      </c>
      <c r="CG182" s="22" t="s">
        <v>1344</v>
      </c>
      <c r="CH182" s="22" t="s">
        <v>1315</v>
      </c>
      <c r="CI182" s="22" t="s">
        <v>1315</v>
      </c>
      <c r="CJ182" s="149" t="s">
        <v>1124</v>
      </c>
      <c r="CK182" s="241" t="s">
        <v>1124</v>
      </c>
    </row>
    <row r="183" spans="1:89" ht="15" customHeight="1" x14ac:dyDescent="0.35">
      <c r="A183" s="17"/>
      <c r="B183" s="314">
        <v>22010</v>
      </c>
      <c r="C183" s="8" t="s">
        <v>154</v>
      </c>
      <c r="D183" s="18">
        <v>3</v>
      </c>
      <c r="E183" s="131" t="s">
        <v>1309</v>
      </c>
      <c r="F183" s="22" t="s">
        <v>1309</v>
      </c>
      <c r="G183" s="132" t="s">
        <v>1309</v>
      </c>
      <c r="H183" s="22" t="s">
        <v>1311</v>
      </c>
      <c r="I183" s="22" t="s">
        <v>1327</v>
      </c>
      <c r="J183" s="22" t="s">
        <v>1327</v>
      </c>
      <c r="K183" s="22" t="s">
        <v>1309</v>
      </c>
      <c r="L183" s="22" t="s">
        <v>1309</v>
      </c>
      <c r="M183" s="133" t="s">
        <v>1311</v>
      </c>
      <c r="N183" s="22" t="s">
        <v>1311</v>
      </c>
      <c r="O183" s="22" t="s">
        <v>1309</v>
      </c>
      <c r="P183" s="22" t="s">
        <v>1309</v>
      </c>
      <c r="Q183" s="20">
        <v>29.428999999999998</v>
      </c>
      <c r="R183" s="20">
        <v>29.428999999999998</v>
      </c>
      <c r="S183" s="20">
        <v>0</v>
      </c>
      <c r="T183" s="20">
        <v>0</v>
      </c>
      <c r="U183" s="20">
        <v>0</v>
      </c>
      <c r="V183" s="20">
        <v>0</v>
      </c>
      <c r="W183" s="20">
        <v>0</v>
      </c>
      <c r="X183" s="20">
        <v>0</v>
      </c>
      <c r="Y183" s="20">
        <v>0</v>
      </c>
      <c r="Z183" s="20">
        <v>0</v>
      </c>
      <c r="AA183" s="20" t="s">
        <v>1317</v>
      </c>
      <c r="AB183" s="22" t="s">
        <v>1318</v>
      </c>
      <c r="AC183" s="20">
        <v>1</v>
      </c>
      <c r="AD183" s="20">
        <v>6</v>
      </c>
      <c r="AE183" s="20">
        <v>0</v>
      </c>
      <c r="AF183" s="20">
        <v>3</v>
      </c>
      <c r="AG183" s="20">
        <v>3</v>
      </c>
      <c r="AH183" s="20">
        <v>0</v>
      </c>
      <c r="AI183" s="328">
        <v>3.3980087668626182</v>
      </c>
      <c r="AJ183" s="328">
        <v>5.7197330791229746</v>
      </c>
      <c r="AK183" s="328" t="s">
        <v>1328</v>
      </c>
      <c r="AL183" s="22" t="s">
        <v>1329</v>
      </c>
      <c r="AM183" s="22" t="s">
        <v>1330</v>
      </c>
      <c r="AN183" s="22" t="s">
        <v>1317</v>
      </c>
      <c r="AO183" s="22" t="s">
        <v>1318</v>
      </c>
      <c r="AP183" s="22" t="s">
        <v>1318</v>
      </c>
      <c r="AQ183" s="22" t="s">
        <v>1318</v>
      </c>
      <c r="AR183" s="22" t="s">
        <v>1317</v>
      </c>
      <c r="AS183" s="22" t="s">
        <v>1318</v>
      </c>
      <c r="AT183" s="22" t="s">
        <v>1317</v>
      </c>
      <c r="AU183" s="22" t="s">
        <v>1318</v>
      </c>
      <c r="AV183" s="22" t="s">
        <v>1317</v>
      </c>
      <c r="AW183" s="22" t="s">
        <v>1318</v>
      </c>
      <c r="AX183" s="22" t="s">
        <v>1317</v>
      </c>
      <c r="AY183" s="22" t="s">
        <v>1318</v>
      </c>
      <c r="AZ183" s="22" t="s">
        <v>1309</v>
      </c>
      <c r="BA183" s="22" t="s">
        <v>1309</v>
      </c>
      <c r="BB183" s="22" t="s">
        <v>1309</v>
      </c>
      <c r="BC183" s="22" t="s">
        <v>1309</v>
      </c>
      <c r="BD183" s="22" t="s">
        <v>1317</v>
      </c>
      <c r="BE183" s="22" t="s">
        <v>1318</v>
      </c>
      <c r="BF183" s="22" t="s">
        <v>1317</v>
      </c>
      <c r="BG183" s="22" t="s">
        <v>1318</v>
      </c>
      <c r="BH183" s="22" t="s">
        <v>1317</v>
      </c>
      <c r="BI183" s="22" t="s">
        <v>1318</v>
      </c>
      <c r="BJ183" s="22" t="s">
        <v>1317</v>
      </c>
      <c r="BK183" s="22" t="s">
        <v>1318</v>
      </c>
      <c r="BL183" s="22" t="s">
        <v>1319</v>
      </c>
      <c r="BM183" s="22" t="s">
        <v>1309</v>
      </c>
      <c r="BN183" s="22" t="s">
        <v>1317</v>
      </c>
      <c r="BO183" s="22" t="s">
        <v>1318</v>
      </c>
      <c r="BP183" s="22" t="s">
        <v>1317</v>
      </c>
      <c r="BQ183" s="22" t="s">
        <v>1318</v>
      </c>
      <c r="BR183" s="22" t="s">
        <v>1309</v>
      </c>
      <c r="BS183" s="22" t="s">
        <v>1309</v>
      </c>
      <c r="BT183" s="22" t="s">
        <v>1317</v>
      </c>
      <c r="BU183" s="22" t="s">
        <v>1318</v>
      </c>
      <c r="BV183" s="22" t="s">
        <v>1309</v>
      </c>
      <c r="BW183" s="22" t="s">
        <v>1309</v>
      </c>
      <c r="BX183" s="20">
        <v>3</v>
      </c>
      <c r="BY183" s="20">
        <v>0</v>
      </c>
      <c r="BZ183" s="20">
        <v>22</v>
      </c>
      <c r="CA183" s="20">
        <v>0</v>
      </c>
      <c r="CB183" s="20">
        <v>0</v>
      </c>
      <c r="CC183" s="20">
        <v>1277</v>
      </c>
      <c r="CD183" s="22" t="s">
        <v>1317</v>
      </c>
      <c r="CE183" s="22" t="s">
        <v>1318</v>
      </c>
      <c r="CF183" s="22" t="s">
        <v>1317</v>
      </c>
      <c r="CG183" s="22" t="s">
        <v>1318</v>
      </c>
      <c r="CH183" s="22" t="s">
        <v>1317</v>
      </c>
      <c r="CI183" s="22" t="s">
        <v>1318</v>
      </c>
      <c r="CJ183" s="149" t="s">
        <v>1772</v>
      </c>
      <c r="CK183" s="241" t="s">
        <v>1124</v>
      </c>
    </row>
    <row r="184" spans="1:89" ht="15" customHeight="1" x14ac:dyDescent="0.35">
      <c r="A184" s="17"/>
      <c r="B184" s="313">
        <v>26005</v>
      </c>
      <c r="C184" s="8" t="s">
        <v>167</v>
      </c>
      <c r="D184" s="18">
        <v>12</v>
      </c>
      <c r="E184" s="131" t="s">
        <v>1309</v>
      </c>
      <c r="F184" s="22" t="s">
        <v>1309</v>
      </c>
      <c r="G184" s="132" t="s">
        <v>1309</v>
      </c>
      <c r="H184" s="22" t="s">
        <v>1311</v>
      </c>
      <c r="I184" s="22" t="s">
        <v>1327</v>
      </c>
      <c r="J184" s="22" t="s">
        <v>1327</v>
      </c>
      <c r="K184" s="22" t="s">
        <v>1314</v>
      </c>
      <c r="L184" s="22" t="s">
        <v>1311</v>
      </c>
      <c r="M184" s="133" t="s">
        <v>1311</v>
      </c>
      <c r="N184" s="22" t="s">
        <v>1311</v>
      </c>
      <c r="O184" s="22" t="s">
        <v>1314</v>
      </c>
      <c r="P184" s="22" t="s">
        <v>1318</v>
      </c>
      <c r="Q184" s="20">
        <v>0</v>
      </c>
      <c r="R184" s="20">
        <v>0</v>
      </c>
      <c r="S184" s="20">
        <v>0</v>
      </c>
      <c r="T184" s="20">
        <v>0</v>
      </c>
      <c r="U184" s="20">
        <v>0</v>
      </c>
      <c r="V184" s="20">
        <v>0</v>
      </c>
      <c r="W184" s="20">
        <v>0</v>
      </c>
      <c r="X184" s="20">
        <v>0</v>
      </c>
      <c r="Y184" s="20">
        <v>0</v>
      </c>
      <c r="Z184" s="20">
        <v>0</v>
      </c>
      <c r="AA184" s="20" t="s">
        <v>1315</v>
      </c>
      <c r="AB184" s="22" t="s">
        <v>1315</v>
      </c>
      <c r="AC184" s="20">
        <v>2</v>
      </c>
      <c r="AD184" s="20">
        <v>0</v>
      </c>
      <c r="AE184" s="20">
        <v>0</v>
      </c>
      <c r="AF184" s="20">
        <v>1</v>
      </c>
      <c r="AG184" s="20">
        <v>0</v>
      </c>
      <c r="AH184" s="20">
        <v>0</v>
      </c>
      <c r="AI184" s="328">
        <v>23.068050749711649</v>
      </c>
      <c r="AJ184" s="328" t="s">
        <v>1328</v>
      </c>
      <c r="AK184" s="328" t="s">
        <v>1328</v>
      </c>
      <c r="AL184" s="22" t="s">
        <v>1329</v>
      </c>
      <c r="AM184" s="22" t="s">
        <v>1330</v>
      </c>
      <c r="AN184" s="22" t="s">
        <v>1317</v>
      </c>
      <c r="AO184" s="22" t="s">
        <v>1318</v>
      </c>
      <c r="AP184" s="22" t="s">
        <v>1318</v>
      </c>
      <c r="AQ184" s="22" t="s">
        <v>1318</v>
      </c>
      <c r="AR184" s="22" t="s">
        <v>1317</v>
      </c>
      <c r="AS184" s="22" t="s">
        <v>1318</v>
      </c>
      <c r="AT184" s="22" t="s">
        <v>1317</v>
      </c>
      <c r="AU184" s="22" t="s">
        <v>1318</v>
      </c>
      <c r="AV184" s="22" t="s">
        <v>1317</v>
      </c>
      <c r="AW184" s="22" t="s">
        <v>1311</v>
      </c>
      <c r="AX184" s="22" t="s">
        <v>1317</v>
      </c>
      <c r="AY184" s="22" t="s">
        <v>1318</v>
      </c>
      <c r="AZ184" s="22" t="s">
        <v>1309</v>
      </c>
      <c r="BA184" s="22" t="s">
        <v>1311</v>
      </c>
      <c r="BB184" s="22" t="s">
        <v>1309</v>
      </c>
      <c r="BC184" s="22" t="s">
        <v>1311</v>
      </c>
      <c r="BD184" s="22" t="s">
        <v>1317</v>
      </c>
      <c r="BE184" s="22" t="s">
        <v>1318</v>
      </c>
      <c r="BF184" s="22" t="s">
        <v>1317</v>
      </c>
      <c r="BG184" s="22" t="s">
        <v>1318</v>
      </c>
      <c r="BH184" s="22" t="s">
        <v>1317</v>
      </c>
      <c r="BI184" s="22" t="s">
        <v>1318</v>
      </c>
      <c r="BJ184" s="22" t="s">
        <v>1317</v>
      </c>
      <c r="BK184" s="22" t="s">
        <v>1318</v>
      </c>
      <c r="BL184" s="22" t="s">
        <v>1317</v>
      </c>
      <c r="BM184" s="22" t="s">
        <v>1311</v>
      </c>
      <c r="BN184" s="22" t="s">
        <v>1309</v>
      </c>
      <c r="BO184" s="22" t="s">
        <v>1309</v>
      </c>
      <c r="BP184" s="22" t="s">
        <v>1317</v>
      </c>
      <c r="BQ184" s="22" t="s">
        <v>1318</v>
      </c>
      <c r="BR184" s="22" t="s">
        <v>1309</v>
      </c>
      <c r="BS184" s="22" t="s">
        <v>1309</v>
      </c>
      <c r="BT184" s="22" t="s">
        <v>1317</v>
      </c>
      <c r="BU184" s="22" t="s">
        <v>1318</v>
      </c>
      <c r="BV184" s="22" t="s">
        <v>1317</v>
      </c>
      <c r="BW184" s="22" t="s">
        <v>1318</v>
      </c>
      <c r="BX184" s="20">
        <v>0</v>
      </c>
      <c r="BY184" s="20">
        <v>0</v>
      </c>
      <c r="BZ184" s="20">
        <v>11</v>
      </c>
      <c r="CA184" s="20">
        <v>0</v>
      </c>
      <c r="CB184" s="20">
        <v>0</v>
      </c>
      <c r="CC184" s="20">
        <v>310</v>
      </c>
      <c r="CD184" s="22" t="s">
        <v>1317</v>
      </c>
      <c r="CE184" s="22" t="s">
        <v>1318</v>
      </c>
      <c r="CF184" s="22" t="s">
        <v>1317</v>
      </c>
      <c r="CG184" s="22" t="s">
        <v>1318</v>
      </c>
      <c r="CH184" s="22" t="s">
        <v>1317</v>
      </c>
      <c r="CI184" s="22" t="s">
        <v>1318</v>
      </c>
      <c r="CJ184" s="149" t="s">
        <v>1124</v>
      </c>
      <c r="CK184" s="241" t="s">
        <v>1776</v>
      </c>
    </row>
    <row r="185" spans="1:89" ht="15" customHeight="1" x14ac:dyDescent="0.35">
      <c r="A185" s="17"/>
      <c r="B185" s="313">
        <v>69010</v>
      </c>
      <c r="C185" s="8" t="s">
        <v>685</v>
      </c>
      <c r="D185" s="18">
        <v>16</v>
      </c>
      <c r="E185" s="131"/>
      <c r="F185" s="22"/>
      <c r="G185" s="132"/>
      <c r="H185" s="22"/>
      <c r="I185" s="22"/>
      <c r="J185" s="22"/>
      <c r="K185" s="22"/>
      <c r="L185" s="22"/>
      <c r="M185" s="133"/>
      <c r="N185" s="22"/>
      <c r="O185" s="22"/>
      <c r="P185" s="22"/>
      <c r="Q185" s="20"/>
      <c r="R185" s="20"/>
      <c r="S185" s="20"/>
      <c r="T185" s="20"/>
      <c r="U185" s="20"/>
      <c r="V185" s="20"/>
      <c r="W185" s="20"/>
      <c r="X185" s="20"/>
      <c r="Y185" s="20"/>
      <c r="Z185" s="20"/>
      <c r="AA185" s="20"/>
      <c r="AB185" s="22"/>
      <c r="AC185" s="20"/>
      <c r="AD185" s="20"/>
      <c r="AE185" s="20"/>
      <c r="AF185" s="20" t="s">
        <v>1124</v>
      </c>
      <c r="AG185" s="20" t="s">
        <v>1124</v>
      </c>
      <c r="AH185" s="20" t="s">
        <v>1124</v>
      </c>
      <c r="AI185" s="328"/>
      <c r="AJ185" s="328"/>
      <c r="AK185" s="328"/>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0"/>
      <c r="BY185" s="20"/>
      <c r="BZ185" s="20"/>
      <c r="CA185" s="20"/>
      <c r="CB185" s="20"/>
      <c r="CC185" s="20"/>
      <c r="CD185" s="22"/>
      <c r="CE185" s="22"/>
      <c r="CF185" s="22"/>
      <c r="CG185" s="22"/>
      <c r="CH185" s="22"/>
      <c r="CI185" s="22"/>
      <c r="CJ185" s="149"/>
      <c r="CK185" s="241"/>
    </row>
    <row r="186" spans="1:89" ht="15" customHeight="1" x14ac:dyDescent="0.35">
      <c r="A186" s="17"/>
      <c r="B186" s="313">
        <v>96015</v>
      </c>
      <c r="C186" s="8" t="s">
        <v>996</v>
      </c>
      <c r="D186" s="18">
        <v>9</v>
      </c>
      <c r="E186" s="131"/>
      <c r="F186" s="22"/>
      <c r="G186" s="132"/>
      <c r="H186" s="22"/>
      <c r="I186" s="22"/>
      <c r="J186" s="22"/>
      <c r="K186" s="22"/>
      <c r="L186" s="22"/>
      <c r="M186" s="133"/>
      <c r="N186" s="22"/>
      <c r="O186" s="22"/>
      <c r="P186" s="22"/>
      <c r="Q186" s="20"/>
      <c r="R186" s="20"/>
      <c r="S186" s="20"/>
      <c r="T186" s="20"/>
      <c r="U186" s="20"/>
      <c r="V186" s="20"/>
      <c r="W186" s="20"/>
      <c r="X186" s="20"/>
      <c r="Y186" s="20"/>
      <c r="Z186" s="20"/>
      <c r="AA186" s="20"/>
      <c r="AB186" s="22"/>
      <c r="AC186" s="20"/>
      <c r="AD186" s="20"/>
      <c r="AE186" s="20"/>
      <c r="AF186" s="20" t="s">
        <v>1124</v>
      </c>
      <c r="AG186" s="20" t="s">
        <v>1124</v>
      </c>
      <c r="AH186" s="20" t="s">
        <v>1124</v>
      </c>
      <c r="AI186" s="328"/>
      <c r="AJ186" s="328"/>
      <c r="AK186" s="328"/>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0"/>
      <c r="BY186" s="20"/>
      <c r="BZ186" s="20"/>
      <c r="CA186" s="20"/>
      <c r="CB186" s="20"/>
      <c r="CC186" s="20"/>
      <c r="CD186" s="22"/>
      <c r="CE186" s="22"/>
      <c r="CF186" s="22"/>
      <c r="CG186" s="22"/>
      <c r="CH186" s="22"/>
      <c r="CI186" s="22"/>
      <c r="CJ186" s="149"/>
      <c r="CK186" s="241"/>
    </row>
    <row r="187" spans="1:89" ht="15" customHeight="1" x14ac:dyDescent="0.35">
      <c r="A187" s="17"/>
      <c r="B187" s="313">
        <v>46010</v>
      </c>
      <c r="C187" s="8" t="s">
        <v>428</v>
      </c>
      <c r="D187" s="18">
        <v>5</v>
      </c>
      <c r="E187" s="131"/>
      <c r="F187" s="22"/>
      <c r="G187" s="132"/>
      <c r="H187" s="22"/>
      <c r="I187" s="22"/>
      <c r="J187" s="22"/>
      <c r="K187" s="22"/>
      <c r="L187" s="22"/>
      <c r="M187" s="133"/>
      <c r="N187" s="22"/>
      <c r="O187" s="22"/>
      <c r="P187" s="22"/>
      <c r="Q187" s="20"/>
      <c r="R187" s="20"/>
      <c r="S187" s="20"/>
      <c r="T187" s="20"/>
      <c r="U187" s="20"/>
      <c r="V187" s="20"/>
      <c r="W187" s="20"/>
      <c r="X187" s="20"/>
      <c r="Y187" s="20"/>
      <c r="Z187" s="20"/>
      <c r="AA187" s="20"/>
      <c r="AB187" s="22"/>
      <c r="AC187" s="20"/>
      <c r="AD187" s="20"/>
      <c r="AE187" s="20"/>
      <c r="AF187" s="20" t="s">
        <v>1124</v>
      </c>
      <c r="AG187" s="20" t="s">
        <v>1124</v>
      </c>
      <c r="AH187" s="20" t="s">
        <v>1124</v>
      </c>
      <c r="AI187" s="328"/>
      <c r="AJ187" s="328"/>
      <c r="AK187" s="328"/>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0"/>
      <c r="BY187" s="20"/>
      <c r="BZ187" s="20"/>
      <c r="CA187" s="20"/>
      <c r="CB187" s="20"/>
      <c r="CC187" s="20"/>
      <c r="CD187" s="22"/>
      <c r="CE187" s="22"/>
      <c r="CF187" s="22"/>
      <c r="CG187" s="22"/>
      <c r="CH187" s="22"/>
      <c r="CI187" s="22"/>
      <c r="CJ187" s="149"/>
      <c r="CK187" s="241"/>
    </row>
    <row r="188" spans="1:89" ht="15" customHeight="1" x14ac:dyDescent="0.35">
      <c r="A188" s="17"/>
      <c r="B188" s="313">
        <v>30025</v>
      </c>
      <c r="C188" s="8" t="s">
        <v>221</v>
      </c>
      <c r="D188" s="18">
        <v>5</v>
      </c>
      <c r="E188" s="131" t="s">
        <v>1309</v>
      </c>
      <c r="F188" s="22" t="s">
        <v>1309</v>
      </c>
      <c r="G188" s="132" t="s">
        <v>1309</v>
      </c>
      <c r="H188" s="22" t="s">
        <v>1311</v>
      </c>
      <c r="I188" s="22" t="s">
        <v>1327</v>
      </c>
      <c r="J188" s="22" t="s">
        <v>1327</v>
      </c>
      <c r="K188" s="22" t="s">
        <v>1319</v>
      </c>
      <c r="L188" s="22" t="s">
        <v>1309</v>
      </c>
      <c r="M188" s="133" t="s">
        <v>1311</v>
      </c>
      <c r="N188" s="22" t="s">
        <v>1311</v>
      </c>
      <c r="O188" s="22" t="s">
        <v>1315</v>
      </c>
      <c r="P188" s="22" t="s">
        <v>1315</v>
      </c>
      <c r="Q188" s="20">
        <v>5.8179999999999996</v>
      </c>
      <c r="R188" s="20">
        <v>5.8179999999999996</v>
      </c>
      <c r="S188" s="20">
        <v>0</v>
      </c>
      <c r="T188" s="20">
        <v>0</v>
      </c>
      <c r="U188" s="20">
        <v>0</v>
      </c>
      <c r="V188" s="20">
        <v>0</v>
      </c>
      <c r="W188" s="20">
        <v>0</v>
      </c>
      <c r="X188" s="20">
        <v>0</v>
      </c>
      <c r="Y188" s="20">
        <v>0</v>
      </c>
      <c r="Z188" s="20">
        <v>0</v>
      </c>
      <c r="AA188" s="20" t="s">
        <v>1317</v>
      </c>
      <c r="AB188" s="22" t="s">
        <v>1318</v>
      </c>
      <c r="AC188" s="20">
        <v>0</v>
      </c>
      <c r="AD188" s="20">
        <v>1</v>
      </c>
      <c r="AE188" s="20">
        <v>0</v>
      </c>
      <c r="AF188" s="20">
        <v>0</v>
      </c>
      <c r="AG188" s="20">
        <v>7</v>
      </c>
      <c r="AH188" s="20">
        <v>0</v>
      </c>
      <c r="AI188" s="328" t="s">
        <v>1328</v>
      </c>
      <c r="AJ188" s="328">
        <v>6.0975609756097562</v>
      </c>
      <c r="AK188" s="328" t="s">
        <v>1328</v>
      </c>
      <c r="AL188" s="22" t="s">
        <v>1338</v>
      </c>
      <c r="AM188" s="22" t="s">
        <v>1339</v>
      </c>
      <c r="AN188" s="22" t="s">
        <v>1315</v>
      </c>
      <c r="AO188" s="22" t="s">
        <v>1315</v>
      </c>
      <c r="AP188" s="22" t="s">
        <v>1315</v>
      </c>
      <c r="AQ188" s="22" t="s">
        <v>1315</v>
      </c>
      <c r="AR188" s="22" t="s">
        <v>1317</v>
      </c>
      <c r="AS188" s="22" t="s">
        <v>1318</v>
      </c>
      <c r="AT188" s="22" t="s">
        <v>1309</v>
      </c>
      <c r="AU188" s="22" t="s">
        <v>1309</v>
      </c>
      <c r="AV188" s="22" t="s">
        <v>1317</v>
      </c>
      <c r="AW188" s="22" t="s">
        <v>1318</v>
      </c>
      <c r="AX188" s="22" t="s">
        <v>1317</v>
      </c>
      <c r="AY188" s="22" t="s">
        <v>1318</v>
      </c>
      <c r="AZ188" s="22" t="s">
        <v>1317</v>
      </c>
      <c r="BA188" s="22" t="s">
        <v>1318</v>
      </c>
      <c r="BB188" s="22" t="s">
        <v>1309</v>
      </c>
      <c r="BC188" s="22" t="s">
        <v>1309</v>
      </c>
      <c r="BD188" s="22" t="s">
        <v>1315</v>
      </c>
      <c r="BE188" s="22" t="s">
        <v>1315</v>
      </c>
      <c r="BF188" s="22" t="s">
        <v>1315</v>
      </c>
      <c r="BG188" s="22" t="s">
        <v>1315</v>
      </c>
      <c r="BH188" s="22" t="s">
        <v>1317</v>
      </c>
      <c r="BI188" s="22" t="s">
        <v>1318</v>
      </c>
      <c r="BJ188" s="22" t="s">
        <v>1315</v>
      </c>
      <c r="BK188" s="22" t="s">
        <v>1315</v>
      </c>
      <c r="BL188" s="22" t="s">
        <v>1317</v>
      </c>
      <c r="BM188" s="22" t="s">
        <v>1311</v>
      </c>
      <c r="BN188" s="22" t="s">
        <v>1309</v>
      </c>
      <c r="BO188" s="22" t="s">
        <v>1309</v>
      </c>
      <c r="BP188" s="22" t="s">
        <v>1309</v>
      </c>
      <c r="BQ188" s="22" t="s">
        <v>1309</v>
      </c>
      <c r="BR188" s="22" t="s">
        <v>1309</v>
      </c>
      <c r="BS188" s="22" t="s">
        <v>1309</v>
      </c>
      <c r="BT188" s="22" t="s">
        <v>1315</v>
      </c>
      <c r="BU188" s="22" t="s">
        <v>1315</v>
      </c>
      <c r="BV188" s="22" t="s">
        <v>1309</v>
      </c>
      <c r="BW188" s="22" t="s">
        <v>1309</v>
      </c>
      <c r="BX188" s="20">
        <v>0</v>
      </c>
      <c r="BY188" s="20">
        <v>0</v>
      </c>
      <c r="BZ188" s="20">
        <v>6</v>
      </c>
      <c r="CA188" s="20">
        <v>0</v>
      </c>
      <c r="CB188" s="20">
        <v>0</v>
      </c>
      <c r="CC188" s="20">
        <v>145</v>
      </c>
      <c r="CD188" s="22" t="s">
        <v>1317</v>
      </c>
      <c r="CE188" s="22" t="s">
        <v>1318</v>
      </c>
      <c r="CF188" s="22" t="s">
        <v>1317</v>
      </c>
      <c r="CG188" s="22" t="s">
        <v>1318</v>
      </c>
      <c r="CH188" s="22" t="s">
        <v>1317</v>
      </c>
      <c r="CI188" s="22" t="s">
        <v>1318</v>
      </c>
      <c r="CJ188" s="149" t="s">
        <v>1414</v>
      </c>
      <c r="CK188" s="241" t="s">
        <v>1124</v>
      </c>
    </row>
    <row r="189" spans="1:89" ht="15" customHeight="1" x14ac:dyDescent="0.35">
      <c r="A189" s="17"/>
      <c r="B189" s="313">
        <v>85055</v>
      </c>
      <c r="C189" s="8" t="s">
        <v>879</v>
      </c>
      <c r="D189" s="18">
        <v>8</v>
      </c>
      <c r="E189" s="131"/>
      <c r="F189" s="22"/>
      <c r="G189" s="132"/>
      <c r="H189" s="22"/>
      <c r="I189" s="22"/>
      <c r="J189" s="22"/>
      <c r="K189" s="22"/>
      <c r="L189" s="22"/>
      <c r="M189" s="133"/>
      <c r="N189" s="22"/>
      <c r="O189" s="22"/>
      <c r="P189" s="22"/>
      <c r="Q189" s="20"/>
      <c r="R189" s="20"/>
      <c r="S189" s="20"/>
      <c r="T189" s="20"/>
      <c r="U189" s="20"/>
      <c r="V189" s="20"/>
      <c r="W189" s="20"/>
      <c r="X189" s="20"/>
      <c r="Y189" s="20"/>
      <c r="Z189" s="20"/>
      <c r="AA189" s="20"/>
      <c r="AB189" s="22"/>
      <c r="AC189" s="20"/>
      <c r="AD189" s="20"/>
      <c r="AE189" s="20"/>
      <c r="AF189" s="20" t="s">
        <v>1124</v>
      </c>
      <c r="AG189" s="20" t="s">
        <v>1124</v>
      </c>
      <c r="AH189" s="20" t="s">
        <v>1124</v>
      </c>
      <c r="AI189" s="328"/>
      <c r="AJ189" s="328"/>
      <c r="AK189" s="328"/>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0"/>
      <c r="BY189" s="20"/>
      <c r="BZ189" s="20"/>
      <c r="CA189" s="20"/>
      <c r="CB189" s="20"/>
      <c r="CC189" s="20"/>
      <c r="CD189" s="22"/>
      <c r="CE189" s="22"/>
      <c r="CF189" s="22"/>
      <c r="CG189" s="22"/>
      <c r="CH189" s="22"/>
      <c r="CI189" s="22"/>
      <c r="CJ189" s="149"/>
      <c r="CK189" s="241"/>
    </row>
    <row r="190" spans="1:89" ht="15" customHeight="1" x14ac:dyDescent="0.35">
      <c r="A190" s="17"/>
      <c r="B190" s="313">
        <v>87020</v>
      </c>
      <c r="C190" s="8" t="s">
        <v>893</v>
      </c>
      <c r="D190" s="18">
        <v>8</v>
      </c>
      <c r="E190" s="131"/>
      <c r="F190" s="22"/>
      <c r="G190" s="132"/>
      <c r="H190" s="22"/>
      <c r="I190" s="22"/>
      <c r="J190" s="22"/>
      <c r="K190" s="22"/>
      <c r="L190" s="22"/>
      <c r="M190" s="133"/>
      <c r="N190" s="22"/>
      <c r="O190" s="22"/>
      <c r="P190" s="22"/>
      <c r="Q190" s="20"/>
      <c r="R190" s="20"/>
      <c r="S190" s="20"/>
      <c r="T190" s="20"/>
      <c r="U190" s="20"/>
      <c r="V190" s="20"/>
      <c r="W190" s="20"/>
      <c r="X190" s="20"/>
      <c r="Y190" s="20"/>
      <c r="Z190" s="20"/>
      <c r="AA190" s="20"/>
      <c r="AB190" s="22"/>
      <c r="AC190" s="20"/>
      <c r="AD190" s="20"/>
      <c r="AE190" s="20"/>
      <c r="AF190" s="20" t="s">
        <v>1124</v>
      </c>
      <c r="AG190" s="20" t="s">
        <v>1124</v>
      </c>
      <c r="AH190" s="20" t="s">
        <v>1124</v>
      </c>
      <c r="AI190" s="328"/>
      <c r="AJ190" s="328"/>
      <c r="AK190" s="328"/>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0"/>
      <c r="BY190" s="20"/>
      <c r="BZ190" s="20"/>
      <c r="CA190" s="20"/>
      <c r="CB190" s="20"/>
      <c r="CC190" s="20"/>
      <c r="CD190" s="22"/>
      <c r="CE190" s="22"/>
      <c r="CF190" s="22"/>
      <c r="CG190" s="22"/>
      <c r="CH190" s="22"/>
      <c r="CI190" s="22"/>
      <c r="CJ190" s="149"/>
      <c r="CK190" s="241"/>
    </row>
    <row r="191" spans="1:89" ht="15" customHeight="1" x14ac:dyDescent="0.35">
      <c r="A191" s="17"/>
      <c r="B191" s="313">
        <v>3005</v>
      </c>
      <c r="C191" s="8" t="s">
        <v>1031</v>
      </c>
      <c r="D191" s="18">
        <v>11</v>
      </c>
      <c r="E191" s="131" t="s">
        <v>1309</v>
      </c>
      <c r="F191" s="22" t="s">
        <v>1309</v>
      </c>
      <c r="G191" s="132" t="s">
        <v>1309</v>
      </c>
      <c r="H191" s="22" t="s">
        <v>1311</v>
      </c>
      <c r="I191" s="22" t="s">
        <v>1327</v>
      </c>
      <c r="J191" s="22" t="s">
        <v>1327</v>
      </c>
      <c r="K191" s="22" t="s">
        <v>1314</v>
      </c>
      <c r="L191" s="22" t="s">
        <v>1311</v>
      </c>
      <c r="M191" s="133" t="s">
        <v>1311</v>
      </c>
      <c r="N191" s="22" t="s">
        <v>1311</v>
      </c>
      <c r="O191" s="22" t="s">
        <v>1314</v>
      </c>
      <c r="P191" s="22" t="s">
        <v>1318</v>
      </c>
      <c r="Q191" s="20">
        <v>7.8500000000000005</v>
      </c>
      <c r="R191" s="20">
        <v>7.85</v>
      </c>
      <c r="S191" s="20">
        <v>0</v>
      </c>
      <c r="T191" s="20">
        <v>0</v>
      </c>
      <c r="U191" s="20">
        <v>109.715</v>
      </c>
      <c r="V191" s="20">
        <v>109.715</v>
      </c>
      <c r="W191" s="20">
        <v>0</v>
      </c>
      <c r="X191" s="20">
        <v>0</v>
      </c>
      <c r="Y191" s="20">
        <v>0</v>
      </c>
      <c r="Z191" s="20">
        <v>0</v>
      </c>
      <c r="AA191" s="20" t="s">
        <v>1309</v>
      </c>
      <c r="AB191" s="22" t="s">
        <v>1318</v>
      </c>
      <c r="AC191" s="20">
        <v>5</v>
      </c>
      <c r="AD191" s="20">
        <v>10</v>
      </c>
      <c r="AE191" s="20">
        <v>5</v>
      </c>
      <c r="AF191" s="20">
        <v>2</v>
      </c>
      <c r="AG191" s="20">
        <v>2</v>
      </c>
      <c r="AH191" s="20">
        <v>15</v>
      </c>
      <c r="AI191" s="328">
        <v>4.5572619969922066</v>
      </c>
      <c r="AJ191" s="328">
        <v>3.4387895460797799</v>
      </c>
      <c r="AK191" s="328">
        <v>1.71939477303989</v>
      </c>
      <c r="AL191" s="22" t="s">
        <v>1329</v>
      </c>
      <c r="AM191" s="22" t="s">
        <v>1330</v>
      </c>
      <c r="AN191" s="22" t="s">
        <v>1317</v>
      </c>
      <c r="AO191" s="22" t="s">
        <v>1318</v>
      </c>
      <c r="AP191" s="22" t="s">
        <v>1318</v>
      </c>
      <c r="AQ191" s="22" t="s">
        <v>1318</v>
      </c>
      <c r="AR191" s="22" t="s">
        <v>1309</v>
      </c>
      <c r="AS191" s="22" t="s">
        <v>1311</v>
      </c>
      <c r="AT191" s="22" t="s">
        <v>1317</v>
      </c>
      <c r="AU191" s="22" t="s">
        <v>1311</v>
      </c>
      <c r="AV191" s="22" t="s">
        <v>1309</v>
      </c>
      <c r="AW191" s="22" t="s">
        <v>1318</v>
      </c>
      <c r="AX191" s="22" t="s">
        <v>1317</v>
      </c>
      <c r="AY191" s="22" t="s">
        <v>1318</v>
      </c>
      <c r="AZ191" s="22" t="s">
        <v>1317</v>
      </c>
      <c r="BA191" s="22" t="s">
        <v>1318</v>
      </c>
      <c r="BB191" s="22" t="s">
        <v>1317</v>
      </c>
      <c r="BC191" s="22" t="s">
        <v>1311</v>
      </c>
      <c r="BD191" s="22" t="s">
        <v>1317</v>
      </c>
      <c r="BE191" s="22" t="s">
        <v>1318</v>
      </c>
      <c r="BF191" s="22" t="s">
        <v>1317</v>
      </c>
      <c r="BG191" s="22" t="s">
        <v>1318</v>
      </c>
      <c r="BH191" s="22" t="s">
        <v>1317</v>
      </c>
      <c r="BI191" s="22" t="s">
        <v>1318</v>
      </c>
      <c r="BJ191" s="22" t="s">
        <v>1317</v>
      </c>
      <c r="BK191" s="22" t="s">
        <v>1318</v>
      </c>
      <c r="BL191" s="22" t="s">
        <v>1309</v>
      </c>
      <c r="BM191" s="22" t="s">
        <v>1311</v>
      </c>
      <c r="BN191" s="22" t="s">
        <v>1309</v>
      </c>
      <c r="BO191" s="22" t="s">
        <v>1309</v>
      </c>
      <c r="BP191" s="22" t="s">
        <v>1315</v>
      </c>
      <c r="BQ191" s="22" t="s">
        <v>1315</v>
      </c>
      <c r="BR191" s="22" t="s">
        <v>1309</v>
      </c>
      <c r="BS191" s="22" t="s">
        <v>1309</v>
      </c>
      <c r="BT191" s="22" t="s">
        <v>1309</v>
      </c>
      <c r="BU191" s="22" t="s">
        <v>1309</v>
      </c>
      <c r="BV191" s="22" t="s">
        <v>1317</v>
      </c>
      <c r="BW191" s="22" t="s">
        <v>1318</v>
      </c>
      <c r="BX191" s="20">
        <v>98</v>
      </c>
      <c r="BY191" s="20">
        <v>0</v>
      </c>
      <c r="BZ191" s="20">
        <v>209</v>
      </c>
      <c r="CA191" s="20">
        <v>0</v>
      </c>
      <c r="CB191" s="20">
        <v>0</v>
      </c>
      <c r="CC191" s="20">
        <v>2601</v>
      </c>
      <c r="CD191" s="22" t="s">
        <v>1317</v>
      </c>
      <c r="CE191" s="22" t="s">
        <v>1340</v>
      </c>
      <c r="CF191" s="22" t="s">
        <v>1317</v>
      </c>
      <c r="CG191" s="22" t="s">
        <v>1340</v>
      </c>
      <c r="CH191" s="22" t="s">
        <v>1413</v>
      </c>
      <c r="CI191" s="22" t="s">
        <v>1413</v>
      </c>
      <c r="CJ191" s="149" t="s">
        <v>1782</v>
      </c>
      <c r="CK191" s="241" t="s">
        <v>1783</v>
      </c>
    </row>
    <row r="192" spans="1:89" ht="15" customHeight="1" x14ac:dyDescent="0.35">
      <c r="A192" s="17"/>
      <c r="B192" s="313">
        <v>81017</v>
      </c>
      <c r="C192" s="8" t="s">
        <v>827</v>
      </c>
      <c r="D192" s="18">
        <v>7</v>
      </c>
      <c r="E192" s="131" t="s">
        <v>1309</v>
      </c>
      <c r="F192" s="22" t="s">
        <v>1309</v>
      </c>
      <c r="G192" s="132" t="s">
        <v>1309</v>
      </c>
      <c r="H192" s="22" t="s">
        <v>1311</v>
      </c>
      <c r="I192" s="22" t="s">
        <v>1327</v>
      </c>
      <c r="J192" s="22" t="s">
        <v>1327</v>
      </c>
      <c r="K192" s="22" t="s">
        <v>1319</v>
      </c>
      <c r="L192" s="22" t="s">
        <v>1311</v>
      </c>
      <c r="M192" s="133" t="s">
        <v>1311</v>
      </c>
      <c r="N192" s="22" t="s">
        <v>1311</v>
      </c>
      <c r="O192" s="22" t="s">
        <v>1319</v>
      </c>
      <c r="P192" s="22" t="s">
        <v>1311</v>
      </c>
      <c r="Q192" s="20">
        <v>0</v>
      </c>
      <c r="R192" s="20">
        <v>0</v>
      </c>
      <c r="S192" s="20">
        <v>1829.482</v>
      </c>
      <c r="T192" s="20">
        <v>1802</v>
      </c>
      <c r="U192" s="20">
        <v>66</v>
      </c>
      <c r="V192" s="20">
        <v>0</v>
      </c>
      <c r="W192" s="20">
        <v>0</v>
      </c>
      <c r="X192" s="20">
        <v>0</v>
      </c>
      <c r="Y192" s="20">
        <v>0</v>
      </c>
      <c r="Z192" s="20">
        <v>0</v>
      </c>
      <c r="AA192" s="20" t="s">
        <v>1317</v>
      </c>
      <c r="AB192" s="22" t="s">
        <v>1318</v>
      </c>
      <c r="AC192" s="20">
        <v>311</v>
      </c>
      <c r="AD192" s="20">
        <v>41</v>
      </c>
      <c r="AE192" s="20">
        <v>41</v>
      </c>
      <c r="AF192" s="20">
        <v>6</v>
      </c>
      <c r="AG192" s="20">
        <v>7</v>
      </c>
      <c r="AH192" s="20">
        <v>38</v>
      </c>
      <c r="AI192" s="328">
        <v>23.043864848844098</v>
      </c>
      <c r="AJ192" s="328">
        <v>0.32790818570800179</v>
      </c>
      <c r="AK192" s="328">
        <v>0.32790818570800179</v>
      </c>
      <c r="AL192" s="22" t="s">
        <v>1316</v>
      </c>
      <c r="AM192" s="22" t="s">
        <v>1316</v>
      </c>
      <c r="AN192" s="22" t="s">
        <v>1317</v>
      </c>
      <c r="AO192" s="22" t="s">
        <v>1318</v>
      </c>
      <c r="AP192" s="22" t="s">
        <v>1318</v>
      </c>
      <c r="AQ192" s="22" t="s">
        <v>1318</v>
      </c>
      <c r="AR192" s="22" t="s">
        <v>1309</v>
      </c>
      <c r="AS192" s="22" t="s">
        <v>1309</v>
      </c>
      <c r="AT192" s="22" t="s">
        <v>1309</v>
      </c>
      <c r="AU192" s="22" t="s">
        <v>1309</v>
      </c>
      <c r="AV192" s="22" t="s">
        <v>1309</v>
      </c>
      <c r="AW192" s="22" t="s">
        <v>1311</v>
      </c>
      <c r="AX192" s="22" t="s">
        <v>1317</v>
      </c>
      <c r="AY192" s="22" t="s">
        <v>1318</v>
      </c>
      <c r="AZ192" s="22" t="s">
        <v>1309</v>
      </c>
      <c r="BA192" s="22" t="s">
        <v>1311</v>
      </c>
      <c r="BB192" s="22" t="s">
        <v>1317</v>
      </c>
      <c r="BC192" s="22" t="s">
        <v>1318</v>
      </c>
      <c r="BD192" s="22" t="s">
        <v>1319</v>
      </c>
      <c r="BE192" s="22" t="s">
        <v>1311</v>
      </c>
      <c r="BF192" s="22" t="s">
        <v>1317</v>
      </c>
      <c r="BG192" s="22" t="s">
        <v>1318</v>
      </c>
      <c r="BH192" s="22" t="s">
        <v>1309</v>
      </c>
      <c r="BI192" s="22" t="s">
        <v>1309</v>
      </c>
      <c r="BJ192" s="22" t="s">
        <v>1317</v>
      </c>
      <c r="BK192" s="22" t="s">
        <v>1318</v>
      </c>
      <c r="BL192" s="22" t="s">
        <v>1317</v>
      </c>
      <c r="BM192" s="22" t="s">
        <v>1318</v>
      </c>
      <c r="BN192" s="22" t="s">
        <v>1309</v>
      </c>
      <c r="BO192" s="22" t="s">
        <v>1309</v>
      </c>
      <c r="BP192" s="22" t="s">
        <v>1309</v>
      </c>
      <c r="BQ192" s="22" t="s">
        <v>1309</v>
      </c>
      <c r="BR192" s="22" t="s">
        <v>1317</v>
      </c>
      <c r="BS192" s="22" t="s">
        <v>1318</v>
      </c>
      <c r="BT192" s="22" t="s">
        <v>1317</v>
      </c>
      <c r="BU192" s="22" t="s">
        <v>1311</v>
      </c>
      <c r="BV192" s="22" t="s">
        <v>1317</v>
      </c>
      <c r="BW192" s="22" t="s">
        <v>1318</v>
      </c>
      <c r="BX192" s="20">
        <v>562</v>
      </c>
      <c r="BY192" s="20">
        <v>100</v>
      </c>
      <c r="BZ192" s="20">
        <v>2492</v>
      </c>
      <c r="CA192" s="20">
        <v>19</v>
      </c>
      <c r="CB192" s="20">
        <v>15</v>
      </c>
      <c r="CC192" s="20">
        <v>89101</v>
      </c>
      <c r="CD192" s="22" t="s">
        <v>1317</v>
      </c>
      <c r="CE192" s="22" t="s">
        <v>1340</v>
      </c>
      <c r="CF192" s="22" t="s">
        <v>1315</v>
      </c>
      <c r="CG192" s="22" t="s">
        <v>1315</v>
      </c>
      <c r="CH192" s="22" t="s">
        <v>1317</v>
      </c>
      <c r="CI192" s="22" t="s">
        <v>1313</v>
      </c>
      <c r="CJ192" s="149" t="s">
        <v>1787</v>
      </c>
      <c r="CK192" s="241" t="s">
        <v>1124</v>
      </c>
    </row>
    <row r="193" spans="1:89" ht="15" customHeight="1" x14ac:dyDescent="0.35">
      <c r="A193" s="17"/>
      <c r="B193" s="313">
        <v>92055</v>
      </c>
      <c r="C193" s="8" t="s">
        <v>954</v>
      </c>
      <c r="D193" s="18">
        <v>2</v>
      </c>
      <c r="E193" s="131" t="s">
        <v>1309</v>
      </c>
      <c r="F193" s="22" t="s">
        <v>1309</v>
      </c>
      <c r="G193" s="132" t="s">
        <v>1309</v>
      </c>
      <c r="H193" s="22" t="s">
        <v>1311</v>
      </c>
      <c r="I193" s="22" t="s">
        <v>1327</v>
      </c>
      <c r="J193" s="22" t="s">
        <v>1327</v>
      </c>
      <c r="K193" s="22" t="s">
        <v>1314</v>
      </c>
      <c r="L193" s="22" t="s">
        <v>1311</v>
      </c>
      <c r="M193" s="133" t="s">
        <v>1311</v>
      </c>
      <c r="N193" s="22" t="s">
        <v>1311</v>
      </c>
      <c r="O193" s="22" t="s">
        <v>1309</v>
      </c>
      <c r="P193" s="22" t="s">
        <v>1309</v>
      </c>
      <c r="Q193" s="20">
        <v>11.298</v>
      </c>
      <c r="R193" s="20">
        <v>11.298</v>
      </c>
      <c r="S193" s="20">
        <v>0</v>
      </c>
      <c r="T193" s="20">
        <v>0</v>
      </c>
      <c r="U193" s="20">
        <v>0</v>
      </c>
      <c r="V193" s="20">
        <v>0</v>
      </c>
      <c r="W193" s="20">
        <v>0</v>
      </c>
      <c r="X193" s="20">
        <v>0</v>
      </c>
      <c r="Y193" s="20">
        <v>0</v>
      </c>
      <c r="Z193" s="20">
        <v>0</v>
      </c>
      <c r="AA193" s="20" t="s">
        <v>1317</v>
      </c>
      <c r="AB193" s="22" t="s">
        <v>1318</v>
      </c>
      <c r="AC193" s="20">
        <v>0</v>
      </c>
      <c r="AD193" s="20">
        <v>0</v>
      </c>
      <c r="AE193" s="20">
        <v>0</v>
      </c>
      <c r="AF193" s="20">
        <v>0</v>
      </c>
      <c r="AG193" s="20">
        <v>0</v>
      </c>
      <c r="AH193" s="20">
        <v>0</v>
      </c>
      <c r="AI193" s="328" t="s">
        <v>1328</v>
      </c>
      <c r="AJ193" s="328" t="s">
        <v>1328</v>
      </c>
      <c r="AK193" s="328" t="s">
        <v>1328</v>
      </c>
      <c r="AL193" s="22" t="s">
        <v>1329</v>
      </c>
      <c r="AM193" s="22" t="s">
        <v>1330</v>
      </c>
      <c r="AN193" s="22" t="s">
        <v>1317</v>
      </c>
      <c r="AO193" s="22" t="s">
        <v>1318</v>
      </c>
      <c r="AP193" s="22" t="s">
        <v>1318</v>
      </c>
      <c r="AQ193" s="22" t="s">
        <v>1318</v>
      </c>
      <c r="AR193" s="22" t="s">
        <v>1317</v>
      </c>
      <c r="AS193" s="22" t="s">
        <v>1318</v>
      </c>
      <c r="AT193" s="22" t="s">
        <v>1317</v>
      </c>
      <c r="AU193" s="22" t="s">
        <v>1311</v>
      </c>
      <c r="AV193" s="22" t="s">
        <v>1317</v>
      </c>
      <c r="AW193" s="22" t="s">
        <v>1318</v>
      </c>
      <c r="AX193" s="22" t="s">
        <v>1317</v>
      </c>
      <c r="AY193" s="22" t="s">
        <v>1318</v>
      </c>
      <c r="AZ193" s="22" t="s">
        <v>1309</v>
      </c>
      <c r="BA193" s="22" t="s">
        <v>1309</v>
      </c>
      <c r="BB193" s="22" t="s">
        <v>1309</v>
      </c>
      <c r="BC193" s="22" t="s">
        <v>1309</v>
      </c>
      <c r="BD193" s="22" t="s">
        <v>1317</v>
      </c>
      <c r="BE193" s="22" t="s">
        <v>1318</v>
      </c>
      <c r="BF193" s="22" t="s">
        <v>1317</v>
      </c>
      <c r="BG193" s="22" t="s">
        <v>1318</v>
      </c>
      <c r="BH193" s="22" t="s">
        <v>1317</v>
      </c>
      <c r="BI193" s="22" t="s">
        <v>1318</v>
      </c>
      <c r="BJ193" s="22" t="s">
        <v>1317</v>
      </c>
      <c r="BK193" s="22" t="s">
        <v>1318</v>
      </c>
      <c r="BL193" s="22" t="s">
        <v>1317</v>
      </c>
      <c r="BM193" s="22" t="s">
        <v>1318</v>
      </c>
      <c r="BN193" s="22" t="s">
        <v>1317</v>
      </c>
      <c r="BO193" s="22" t="s">
        <v>1318</v>
      </c>
      <c r="BP193" s="22" t="s">
        <v>1309</v>
      </c>
      <c r="BQ193" s="22" t="s">
        <v>1309</v>
      </c>
      <c r="BR193" s="22" t="s">
        <v>1319</v>
      </c>
      <c r="BS193" s="22" t="s">
        <v>1311</v>
      </c>
      <c r="BT193" s="22" t="s">
        <v>1315</v>
      </c>
      <c r="BU193" s="22" t="s">
        <v>1315</v>
      </c>
      <c r="BV193" s="22" t="s">
        <v>1309</v>
      </c>
      <c r="BW193" s="22" t="s">
        <v>1309</v>
      </c>
      <c r="BX193" s="20">
        <v>7</v>
      </c>
      <c r="BY193" s="20">
        <v>0</v>
      </c>
      <c r="BZ193" s="20">
        <v>25</v>
      </c>
      <c r="CA193" s="20">
        <v>0</v>
      </c>
      <c r="CB193" s="20">
        <v>0</v>
      </c>
      <c r="CC193" s="20">
        <v>312</v>
      </c>
      <c r="CD193" s="22" t="s">
        <v>1317</v>
      </c>
      <c r="CE193" s="22" t="s">
        <v>1318</v>
      </c>
      <c r="CF193" s="22" t="s">
        <v>1317</v>
      </c>
      <c r="CG193" s="22" t="s">
        <v>1318</v>
      </c>
      <c r="CH193" s="22" t="s">
        <v>1317</v>
      </c>
      <c r="CI193" s="22" t="s">
        <v>1318</v>
      </c>
      <c r="CJ193" s="149" t="s">
        <v>1124</v>
      </c>
      <c r="CK193" s="241" t="s">
        <v>1791</v>
      </c>
    </row>
    <row r="194" spans="1:89" ht="15" customHeight="1" x14ac:dyDescent="0.35">
      <c r="A194" s="17"/>
      <c r="B194" s="313">
        <v>96010</v>
      </c>
      <c r="C194" s="8" t="s">
        <v>995</v>
      </c>
      <c r="D194" s="18">
        <v>9</v>
      </c>
      <c r="E194" s="131"/>
      <c r="F194" s="22"/>
      <c r="G194" s="132"/>
      <c r="H194" s="22"/>
      <c r="I194" s="22"/>
      <c r="J194" s="22"/>
      <c r="K194" s="22"/>
      <c r="L194" s="22"/>
      <c r="M194" s="133"/>
      <c r="N194" s="22"/>
      <c r="O194" s="22"/>
      <c r="P194" s="22"/>
      <c r="Q194" s="20"/>
      <c r="R194" s="20"/>
      <c r="S194" s="20"/>
      <c r="T194" s="20"/>
      <c r="U194" s="20"/>
      <c r="V194" s="20"/>
      <c r="W194" s="20"/>
      <c r="X194" s="20"/>
      <c r="Y194" s="20"/>
      <c r="Z194" s="20"/>
      <c r="AA194" s="20"/>
      <c r="AB194" s="22"/>
      <c r="AC194" s="20"/>
      <c r="AD194" s="20"/>
      <c r="AE194" s="20"/>
      <c r="AF194" s="20" t="s">
        <v>1124</v>
      </c>
      <c r="AG194" s="20" t="s">
        <v>1124</v>
      </c>
      <c r="AH194" s="20" t="s">
        <v>1124</v>
      </c>
      <c r="AI194" s="328"/>
      <c r="AJ194" s="328"/>
      <c r="AK194" s="328"/>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0"/>
      <c r="BY194" s="20"/>
      <c r="BZ194" s="20"/>
      <c r="CA194" s="20"/>
      <c r="CB194" s="20"/>
      <c r="CC194" s="20"/>
      <c r="CD194" s="22"/>
      <c r="CE194" s="22"/>
      <c r="CF194" s="22"/>
      <c r="CG194" s="22"/>
      <c r="CH194" s="22"/>
      <c r="CI194" s="22"/>
      <c r="CJ194" s="149"/>
      <c r="CK194" s="241"/>
    </row>
    <row r="195" spans="1:89" ht="15" customHeight="1" x14ac:dyDescent="0.35">
      <c r="A195" s="17"/>
      <c r="B195" s="313">
        <v>69060</v>
      </c>
      <c r="C195" s="8" t="s">
        <v>693</v>
      </c>
      <c r="D195" s="18">
        <v>16</v>
      </c>
      <c r="E195" s="131"/>
      <c r="F195" s="22"/>
      <c r="G195" s="132"/>
      <c r="H195" s="22"/>
      <c r="I195" s="22"/>
      <c r="J195" s="22"/>
      <c r="K195" s="22"/>
      <c r="L195" s="22"/>
      <c r="M195" s="133"/>
      <c r="N195" s="22"/>
      <c r="O195" s="22"/>
      <c r="P195" s="22"/>
      <c r="Q195" s="20"/>
      <c r="R195" s="20"/>
      <c r="S195" s="20"/>
      <c r="T195" s="20"/>
      <c r="U195" s="20"/>
      <c r="V195" s="20"/>
      <c r="W195" s="20"/>
      <c r="X195" s="20"/>
      <c r="Y195" s="20"/>
      <c r="Z195" s="20"/>
      <c r="AA195" s="20"/>
      <c r="AB195" s="22"/>
      <c r="AC195" s="20"/>
      <c r="AD195" s="20"/>
      <c r="AE195" s="20"/>
      <c r="AF195" s="20" t="s">
        <v>1124</v>
      </c>
      <c r="AG195" s="20" t="s">
        <v>1124</v>
      </c>
      <c r="AH195" s="20" t="s">
        <v>1124</v>
      </c>
      <c r="AI195" s="328"/>
      <c r="AJ195" s="328"/>
      <c r="AK195" s="328"/>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0"/>
      <c r="BY195" s="20"/>
      <c r="BZ195" s="20"/>
      <c r="CA195" s="20"/>
      <c r="CB195" s="20"/>
      <c r="CC195" s="20"/>
      <c r="CD195" s="22"/>
      <c r="CE195" s="22"/>
      <c r="CF195" s="22"/>
      <c r="CG195" s="22"/>
      <c r="CH195" s="22"/>
      <c r="CI195" s="22"/>
      <c r="CJ195" s="149"/>
      <c r="CK195" s="241"/>
    </row>
    <row r="196" spans="1:89" ht="15" customHeight="1" x14ac:dyDescent="0.35">
      <c r="A196" s="17"/>
      <c r="B196" s="313">
        <v>76025</v>
      </c>
      <c r="C196" s="8" t="s">
        <v>749</v>
      </c>
      <c r="D196" s="18">
        <v>15</v>
      </c>
      <c r="E196" s="131"/>
      <c r="F196" s="22"/>
      <c r="G196" s="132"/>
      <c r="H196" s="22"/>
      <c r="I196" s="22"/>
      <c r="J196" s="22"/>
      <c r="K196" s="22"/>
      <c r="L196" s="22"/>
      <c r="M196" s="133"/>
      <c r="N196" s="22"/>
      <c r="O196" s="22"/>
      <c r="P196" s="22"/>
      <c r="Q196" s="20"/>
      <c r="R196" s="20"/>
      <c r="S196" s="20"/>
      <c r="T196" s="20"/>
      <c r="U196" s="20"/>
      <c r="V196" s="20"/>
      <c r="W196" s="20"/>
      <c r="X196" s="20"/>
      <c r="Y196" s="20"/>
      <c r="Z196" s="20"/>
      <c r="AA196" s="20"/>
      <c r="AB196" s="22"/>
      <c r="AC196" s="20"/>
      <c r="AD196" s="20"/>
      <c r="AE196" s="20"/>
      <c r="AF196" s="20" t="s">
        <v>1124</v>
      </c>
      <c r="AG196" s="20" t="s">
        <v>1124</v>
      </c>
      <c r="AH196" s="20" t="s">
        <v>1124</v>
      </c>
      <c r="AI196" s="328"/>
      <c r="AJ196" s="328"/>
      <c r="AK196" s="328"/>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0"/>
      <c r="BY196" s="20"/>
      <c r="BZ196" s="20"/>
      <c r="CA196" s="20"/>
      <c r="CB196" s="20"/>
      <c r="CC196" s="20"/>
      <c r="CD196" s="22"/>
      <c r="CE196" s="22"/>
      <c r="CF196" s="22"/>
      <c r="CG196" s="22"/>
      <c r="CH196" s="22"/>
      <c r="CI196" s="22"/>
      <c r="CJ196" s="149"/>
      <c r="CK196" s="241"/>
    </row>
    <row r="197" spans="1:89" ht="15" customHeight="1" x14ac:dyDescent="0.35">
      <c r="A197" s="17"/>
      <c r="B197" s="313">
        <v>99060</v>
      </c>
      <c r="C197" s="8" t="s">
        <v>1023</v>
      </c>
      <c r="D197" s="18">
        <v>10</v>
      </c>
      <c r="E197" s="131"/>
      <c r="F197" s="22"/>
      <c r="G197" s="132"/>
      <c r="H197" s="22"/>
      <c r="I197" s="22"/>
      <c r="J197" s="22"/>
      <c r="K197" s="22"/>
      <c r="L197" s="22"/>
      <c r="M197" s="133"/>
      <c r="N197" s="22"/>
      <c r="O197" s="22"/>
      <c r="P197" s="22"/>
      <c r="Q197" s="20"/>
      <c r="R197" s="20"/>
      <c r="S197" s="20"/>
      <c r="T197" s="20"/>
      <c r="U197" s="20"/>
      <c r="V197" s="20"/>
      <c r="W197" s="20"/>
      <c r="X197" s="20"/>
      <c r="Y197" s="20"/>
      <c r="Z197" s="20"/>
      <c r="AA197" s="20"/>
      <c r="AB197" s="22"/>
      <c r="AC197" s="20"/>
      <c r="AD197" s="20"/>
      <c r="AE197" s="20"/>
      <c r="AF197" s="20" t="s">
        <v>1124</v>
      </c>
      <c r="AG197" s="20" t="s">
        <v>1124</v>
      </c>
      <c r="AH197" s="20" t="s">
        <v>1124</v>
      </c>
      <c r="AI197" s="328"/>
      <c r="AJ197" s="328"/>
      <c r="AK197" s="328"/>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0"/>
      <c r="BY197" s="20"/>
      <c r="BZ197" s="20"/>
      <c r="CA197" s="20"/>
      <c r="CB197" s="20"/>
      <c r="CC197" s="20"/>
      <c r="CD197" s="22"/>
      <c r="CE197" s="22"/>
      <c r="CF197" s="22"/>
      <c r="CG197" s="22"/>
      <c r="CH197" s="22"/>
      <c r="CI197" s="22"/>
      <c r="CJ197" s="149"/>
      <c r="CK197" s="241"/>
    </row>
    <row r="198" spans="1:89" ht="15" customHeight="1" x14ac:dyDescent="0.35">
      <c r="A198" s="17"/>
      <c r="B198" s="313">
        <v>83032</v>
      </c>
      <c r="C198" s="8" t="s">
        <v>839</v>
      </c>
      <c r="D198" s="18">
        <v>7</v>
      </c>
      <c r="E198" s="131"/>
      <c r="F198" s="22"/>
      <c r="G198" s="132"/>
      <c r="H198" s="22"/>
      <c r="I198" s="22"/>
      <c r="J198" s="22"/>
      <c r="K198" s="22"/>
      <c r="L198" s="22"/>
      <c r="M198" s="133"/>
      <c r="N198" s="22"/>
      <c r="O198" s="22"/>
      <c r="P198" s="22"/>
      <c r="Q198" s="20"/>
      <c r="R198" s="20"/>
      <c r="S198" s="20"/>
      <c r="T198" s="20"/>
      <c r="U198" s="20"/>
      <c r="V198" s="20"/>
      <c r="W198" s="20"/>
      <c r="X198" s="20"/>
      <c r="Y198" s="20"/>
      <c r="Z198" s="20"/>
      <c r="AA198" s="20"/>
      <c r="AB198" s="22"/>
      <c r="AC198" s="20"/>
      <c r="AD198" s="20"/>
      <c r="AE198" s="20"/>
      <c r="AF198" s="20" t="s">
        <v>1124</v>
      </c>
      <c r="AG198" s="20" t="s">
        <v>1124</v>
      </c>
      <c r="AH198" s="20" t="s">
        <v>1124</v>
      </c>
      <c r="AI198" s="328"/>
      <c r="AJ198" s="328"/>
      <c r="AK198" s="328"/>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0"/>
      <c r="BY198" s="20"/>
      <c r="BZ198" s="20"/>
      <c r="CA198" s="20"/>
      <c r="CB198" s="20"/>
      <c r="CC198" s="20"/>
      <c r="CD198" s="22"/>
      <c r="CE198" s="22"/>
      <c r="CF198" s="22"/>
      <c r="CG198" s="22"/>
      <c r="CH198" s="22"/>
      <c r="CI198" s="22"/>
      <c r="CJ198" s="149"/>
      <c r="CK198" s="241"/>
    </row>
    <row r="199" spans="1:89" ht="15" customHeight="1" x14ac:dyDescent="0.35">
      <c r="A199" s="17"/>
      <c r="B199" s="313">
        <v>47017</v>
      </c>
      <c r="C199" s="8" t="s">
        <v>449</v>
      </c>
      <c r="D199" s="18">
        <v>5</v>
      </c>
      <c r="E199" s="131" t="s">
        <v>1309</v>
      </c>
      <c r="F199" s="22" t="s">
        <v>1309</v>
      </c>
      <c r="G199" s="132" t="s">
        <v>1309</v>
      </c>
      <c r="H199" s="22" t="s">
        <v>1311</v>
      </c>
      <c r="I199" s="22" t="s">
        <v>1327</v>
      </c>
      <c r="J199" s="22" t="s">
        <v>1327</v>
      </c>
      <c r="K199" s="22" t="s">
        <v>1309</v>
      </c>
      <c r="L199" s="22" t="s">
        <v>1309</v>
      </c>
      <c r="M199" s="133" t="s">
        <v>1311</v>
      </c>
      <c r="N199" s="22" t="s">
        <v>1311</v>
      </c>
      <c r="O199" s="22" t="s">
        <v>1314</v>
      </c>
      <c r="P199" s="22" t="s">
        <v>1318</v>
      </c>
      <c r="Q199" s="20">
        <v>0</v>
      </c>
      <c r="R199" s="20">
        <v>0</v>
      </c>
      <c r="S199" s="20">
        <v>550.34</v>
      </c>
      <c r="T199" s="20">
        <v>550.34</v>
      </c>
      <c r="U199" s="20">
        <v>0</v>
      </c>
      <c r="V199" s="20">
        <v>0</v>
      </c>
      <c r="W199" s="20">
        <v>0</v>
      </c>
      <c r="X199" s="20">
        <v>0</v>
      </c>
      <c r="Y199" s="20">
        <v>0</v>
      </c>
      <c r="Z199" s="20">
        <v>0</v>
      </c>
      <c r="AA199" s="20" t="s">
        <v>1317</v>
      </c>
      <c r="AB199" s="22" t="s">
        <v>1318</v>
      </c>
      <c r="AC199" s="20">
        <v>38</v>
      </c>
      <c r="AD199" s="20">
        <v>18</v>
      </c>
      <c r="AE199" s="20">
        <v>6</v>
      </c>
      <c r="AF199" s="20">
        <v>3</v>
      </c>
      <c r="AG199" s="20">
        <v>3</v>
      </c>
      <c r="AH199" s="20">
        <v>10</v>
      </c>
      <c r="AI199" s="328">
        <v>13.809644946760184</v>
      </c>
      <c r="AJ199" s="328">
        <v>1.3183915622940012</v>
      </c>
      <c r="AK199" s="328">
        <v>0.43946385409800043</v>
      </c>
      <c r="AL199" s="22" t="s">
        <v>1338</v>
      </c>
      <c r="AM199" s="22" t="s">
        <v>1330</v>
      </c>
      <c r="AN199" s="22" t="s">
        <v>1317</v>
      </c>
      <c r="AO199" s="22" t="s">
        <v>1318</v>
      </c>
      <c r="AP199" s="22" t="s">
        <v>1318</v>
      </c>
      <c r="AQ199" s="22" t="s">
        <v>1318</v>
      </c>
      <c r="AR199" s="22" t="s">
        <v>1317</v>
      </c>
      <c r="AS199" s="22" t="s">
        <v>1318</v>
      </c>
      <c r="AT199" s="22" t="s">
        <v>1317</v>
      </c>
      <c r="AU199" s="22" t="s">
        <v>1318</v>
      </c>
      <c r="AV199" s="22" t="s">
        <v>1309</v>
      </c>
      <c r="AW199" s="22" t="s">
        <v>1309</v>
      </c>
      <c r="AX199" s="22" t="s">
        <v>1317</v>
      </c>
      <c r="AY199" s="22" t="s">
        <v>1318</v>
      </c>
      <c r="AZ199" s="22" t="s">
        <v>1309</v>
      </c>
      <c r="BA199" s="22" t="s">
        <v>1309</v>
      </c>
      <c r="BB199" s="22" t="s">
        <v>1309</v>
      </c>
      <c r="BC199" s="22" t="s">
        <v>1309</v>
      </c>
      <c r="BD199" s="22" t="s">
        <v>1309</v>
      </c>
      <c r="BE199" s="22" t="s">
        <v>1309</v>
      </c>
      <c r="BF199" s="22" t="s">
        <v>1319</v>
      </c>
      <c r="BG199" s="22" t="s">
        <v>1311</v>
      </c>
      <c r="BH199" s="22" t="s">
        <v>1317</v>
      </c>
      <c r="BI199" s="22" t="s">
        <v>1318</v>
      </c>
      <c r="BJ199" s="22" t="s">
        <v>1309</v>
      </c>
      <c r="BK199" s="22" t="s">
        <v>1309</v>
      </c>
      <c r="BL199" s="22" t="s">
        <v>1309</v>
      </c>
      <c r="BM199" s="22" t="s">
        <v>1309</v>
      </c>
      <c r="BN199" s="22" t="s">
        <v>1309</v>
      </c>
      <c r="BO199" s="22" t="s">
        <v>1309</v>
      </c>
      <c r="BP199" s="22" t="s">
        <v>1309</v>
      </c>
      <c r="BQ199" s="22" t="s">
        <v>1309</v>
      </c>
      <c r="BR199" s="22" t="s">
        <v>1309</v>
      </c>
      <c r="BS199" s="22" t="s">
        <v>1309</v>
      </c>
      <c r="BT199" s="22" t="s">
        <v>1317</v>
      </c>
      <c r="BU199" s="22" t="s">
        <v>1311</v>
      </c>
      <c r="BV199" s="22" t="s">
        <v>1317</v>
      </c>
      <c r="BW199" s="22" t="s">
        <v>1318</v>
      </c>
      <c r="BX199" s="20">
        <v>648</v>
      </c>
      <c r="BY199" s="20">
        <v>0</v>
      </c>
      <c r="BZ199" s="20">
        <v>362</v>
      </c>
      <c r="CA199" s="20">
        <v>0</v>
      </c>
      <c r="CB199" s="20">
        <v>0</v>
      </c>
      <c r="CC199" s="20">
        <v>12643</v>
      </c>
      <c r="CD199" s="22" t="s">
        <v>1345</v>
      </c>
      <c r="CE199" s="22" t="s">
        <v>1331</v>
      </c>
      <c r="CF199" s="22" t="s">
        <v>1320</v>
      </c>
      <c r="CG199" s="22" t="s">
        <v>1344</v>
      </c>
      <c r="CH199" s="22" t="s">
        <v>1317</v>
      </c>
      <c r="CI199" s="22" t="s">
        <v>1318</v>
      </c>
      <c r="CJ199" s="149" t="s">
        <v>1124</v>
      </c>
      <c r="CK199" s="241" t="s">
        <v>1795</v>
      </c>
    </row>
    <row r="200" spans="1:89" ht="15" customHeight="1" x14ac:dyDescent="0.35">
      <c r="A200" s="17"/>
      <c r="B200" s="313">
        <v>2015</v>
      </c>
      <c r="C200" s="8" t="s">
        <v>1028</v>
      </c>
      <c r="D200" s="18">
        <v>11</v>
      </c>
      <c r="E200" s="131" t="s">
        <v>1309</v>
      </c>
      <c r="F200" s="22" t="s">
        <v>1309</v>
      </c>
      <c r="G200" s="132" t="s">
        <v>1309</v>
      </c>
      <c r="H200" s="22" t="s">
        <v>1311</v>
      </c>
      <c r="I200" s="22" t="s">
        <v>1349</v>
      </c>
      <c r="J200" s="22" t="s">
        <v>1405</v>
      </c>
      <c r="K200" s="22" t="s">
        <v>1309</v>
      </c>
      <c r="L200" s="22" t="s">
        <v>1309</v>
      </c>
      <c r="M200" s="133" t="s">
        <v>1311</v>
      </c>
      <c r="N200" s="22" t="s">
        <v>1311</v>
      </c>
      <c r="O200" s="22" t="s">
        <v>1309</v>
      </c>
      <c r="P200" s="22" t="s">
        <v>1309</v>
      </c>
      <c r="Q200" s="20">
        <v>0</v>
      </c>
      <c r="R200" s="20">
        <v>0</v>
      </c>
      <c r="S200" s="20">
        <v>0</v>
      </c>
      <c r="T200" s="20">
        <v>57.966000000000001</v>
      </c>
      <c r="U200" s="20">
        <v>28.983000000000001</v>
      </c>
      <c r="V200" s="20">
        <v>0</v>
      </c>
      <c r="W200" s="20">
        <v>0</v>
      </c>
      <c r="X200" s="20">
        <v>0</v>
      </c>
      <c r="Y200" s="20">
        <v>0</v>
      </c>
      <c r="Z200" s="20">
        <v>0</v>
      </c>
      <c r="AA200" s="20" t="s">
        <v>1317</v>
      </c>
      <c r="AB200" s="22" t="s">
        <v>1311</v>
      </c>
      <c r="AC200" s="20">
        <v>2</v>
      </c>
      <c r="AD200" s="20">
        <v>2</v>
      </c>
      <c r="AE200" s="20">
        <v>0</v>
      </c>
      <c r="AF200" s="20">
        <v>2</v>
      </c>
      <c r="AG200" s="20">
        <v>3</v>
      </c>
      <c r="AH200" s="20">
        <v>0</v>
      </c>
      <c r="AI200" s="328">
        <v>6.9005969016319915</v>
      </c>
      <c r="AJ200" s="328">
        <v>1.7636684303350969</v>
      </c>
      <c r="AK200" s="328" t="s">
        <v>1328</v>
      </c>
      <c r="AL200" s="22" t="s">
        <v>1329</v>
      </c>
      <c r="AM200" s="22" t="s">
        <v>1330</v>
      </c>
      <c r="AN200" s="22" t="s">
        <v>1317</v>
      </c>
      <c r="AO200" s="22" t="s">
        <v>1318</v>
      </c>
      <c r="AP200" s="22" t="s">
        <v>1318</v>
      </c>
      <c r="AQ200" s="22" t="s">
        <v>1318</v>
      </c>
      <c r="AR200" s="22" t="s">
        <v>1319</v>
      </c>
      <c r="AS200" s="22" t="s">
        <v>1311</v>
      </c>
      <c r="AT200" s="22" t="s">
        <v>1317</v>
      </c>
      <c r="AU200" s="22" t="s">
        <v>1318</v>
      </c>
      <c r="AV200" s="22" t="s">
        <v>1309</v>
      </c>
      <c r="AW200" s="22" t="s">
        <v>1309</v>
      </c>
      <c r="AX200" s="22" t="s">
        <v>1317</v>
      </c>
      <c r="AY200" s="22" t="s">
        <v>1318</v>
      </c>
      <c r="AZ200" s="22" t="s">
        <v>1309</v>
      </c>
      <c r="BA200" s="22" t="s">
        <v>1309</v>
      </c>
      <c r="BB200" s="22" t="s">
        <v>1309</v>
      </c>
      <c r="BC200" s="22" t="s">
        <v>1309</v>
      </c>
      <c r="BD200" s="22" t="s">
        <v>1309</v>
      </c>
      <c r="BE200" s="22" t="s">
        <v>1309</v>
      </c>
      <c r="BF200" s="22" t="s">
        <v>1317</v>
      </c>
      <c r="BG200" s="22" t="s">
        <v>1311</v>
      </c>
      <c r="BH200" s="22" t="s">
        <v>1309</v>
      </c>
      <c r="BI200" s="22" t="s">
        <v>1309</v>
      </c>
      <c r="BJ200" s="22" t="s">
        <v>1309</v>
      </c>
      <c r="BK200" s="22" t="s">
        <v>1309</v>
      </c>
      <c r="BL200" s="22" t="s">
        <v>1319</v>
      </c>
      <c r="BM200" s="22" t="s">
        <v>1311</v>
      </c>
      <c r="BN200" s="22" t="s">
        <v>1309</v>
      </c>
      <c r="BO200" s="22" t="s">
        <v>1309</v>
      </c>
      <c r="BP200" s="22" t="s">
        <v>1309</v>
      </c>
      <c r="BQ200" s="22" t="s">
        <v>1309</v>
      </c>
      <c r="BR200" s="22" t="s">
        <v>1317</v>
      </c>
      <c r="BS200" s="22" t="s">
        <v>1311</v>
      </c>
      <c r="BT200" s="22" t="s">
        <v>1315</v>
      </c>
      <c r="BU200" s="22" t="s">
        <v>1315</v>
      </c>
      <c r="BV200" s="22" t="s">
        <v>1309</v>
      </c>
      <c r="BW200" s="22" t="s">
        <v>1309</v>
      </c>
      <c r="BX200" s="20">
        <v>3</v>
      </c>
      <c r="BY200" s="20">
        <v>10</v>
      </c>
      <c r="BZ200" s="20">
        <v>94</v>
      </c>
      <c r="CA200" s="20">
        <v>0</v>
      </c>
      <c r="CB200" s="20">
        <v>0</v>
      </c>
      <c r="CC200" s="20">
        <v>1027</v>
      </c>
      <c r="CD200" s="22" t="s">
        <v>1317</v>
      </c>
      <c r="CE200" s="22" t="s">
        <v>1321</v>
      </c>
      <c r="CF200" s="22" t="s">
        <v>1317</v>
      </c>
      <c r="CG200" s="22" t="s">
        <v>1321</v>
      </c>
      <c r="CH200" s="22" t="s">
        <v>1317</v>
      </c>
      <c r="CI200" s="22" t="s">
        <v>1318</v>
      </c>
      <c r="CJ200" s="149" t="s">
        <v>1799</v>
      </c>
      <c r="CK200" s="241" t="s">
        <v>1800</v>
      </c>
    </row>
    <row r="201" spans="1:89" ht="15" customHeight="1" x14ac:dyDescent="0.35">
      <c r="A201" s="17"/>
      <c r="B201" s="313">
        <v>35040</v>
      </c>
      <c r="C201" s="8" t="s">
        <v>309</v>
      </c>
      <c r="D201" s="18">
        <v>4</v>
      </c>
      <c r="E201" s="131"/>
      <c r="F201" s="22"/>
      <c r="G201" s="132"/>
      <c r="H201" s="22"/>
      <c r="I201" s="22"/>
      <c r="J201" s="22"/>
      <c r="K201" s="22"/>
      <c r="L201" s="22"/>
      <c r="M201" s="133"/>
      <c r="N201" s="22"/>
      <c r="O201" s="22"/>
      <c r="P201" s="22"/>
      <c r="Q201" s="20"/>
      <c r="R201" s="20"/>
      <c r="S201" s="20"/>
      <c r="T201" s="20"/>
      <c r="U201" s="20"/>
      <c r="V201" s="20"/>
      <c r="W201" s="20"/>
      <c r="X201" s="20"/>
      <c r="Y201" s="20"/>
      <c r="Z201" s="20"/>
      <c r="AA201" s="20"/>
      <c r="AB201" s="22"/>
      <c r="AC201" s="20"/>
      <c r="AD201" s="20"/>
      <c r="AE201" s="20"/>
      <c r="AF201" s="20" t="s">
        <v>1124</v>
      </c>
      <c r="AG201" s="20" t="s">
        <v>1124</v>
      </c>
      <c r="AH201" s="20" t="s">
        <v>1124</v>
      </c>
      <c r="AI201" s="328"/>
      <c r="AJ201" s="328"/>
      <c r="AK201" s="328"/>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0"/>
      <c r="BY201" s="20"/>
      <c r="BZ201" s="20"/>
      <c r="CA201" s="20"/>
      <c r="CB201" s="20"/>
      <c r="CC201" s="20"/>
      <c r="CD201" s="22"/>
      <c r="CE201" s="22"/>
      <c r="CF201" s="22"/>
      <c r="CG201" s="22"/>
      <c r="CH201" s="22"/>
      <c r="CI201" s="22"/>
      <c r="CJ201" s="149"/>
      <c r="CK201" s="241"/>
    </row>
    <row r="202" spans="1:89" ht="15" customHeight="1" x14ac:dyDescent="0.35">
      <c r="A202" s="17"/>
      <c r="B202" s="313">
        <v>3020</v>
      </c>
      <c r="C202" s="8" t="s">
        <v>1034</v>
      </c>
      <c r="D202" s="18">
        <v>11</v>
      </c>
      <c r="E202" s="131" t="s">
        <v>1319</v>
      </c>
      <c r="F202" s="22" t="s">
        <v>1490</v>
      </c>
      <c r="G202" s="132" t="s">
        <v>1309</v>
      </c>
      <c r="H202" s="22" t="s">
        <v>1311</v>
      </c>
      <c r="I202" s="22" t="s">
        <v>1327</v>
      </c>
      <c r="J202" s="22" t="s">
        <v>1327</v>
      </c>
      <c r="K202" s="22" t="s">
        <v>1309</v>
      </c>
      <c r="L202" s="22" t="s">
        <v>1309</v>
      </c>
      <c r="M202" s="133" t="s">
        <v>1311</v>
      </c>
      <c r="N202" s="22" t="s">
        <v>1311</v>
      </c>
      <c r="O202" s="22" t="s">
        <v>1314</v>
      </c>
      <c r="P202" s="22" t="s">
        <v>1318</v>
      </c>
      <c r="Q202" s="20">
        <v>0</v>
      </c>
      <c r="R202" s="20">
        <v>0</v>
      </c>
      <c r="S202" s="20">
        <v>0</v>
      </c>
      <c r="T202" s="20">
        <v>0</v>
      </c>
      <c r="U202" s="20">
        <v>18.698</v>
      </c>
      <c r="V202" s="20">
        <v>18.698</v>
      </c>
      <c r="W202" s="20">
        <v>0</v>
      </c>
      <c r="X202" s="20">
        <v>0</v>
      </c>
      <c r="Y202" s="20">
        <v>0</v>
      </c>
      <c r="Z202" s="20">
        <v>0</v>
      </c>
      <c r="AA202" s="20" t="s">
        <v>1317</v>
      </c>
      <c r="AB202" s="22" t="s">
        <v>1318</v>
      </c>
      <c r="AC202" s="20">
        <v>5</v>
      </c>
      <c r="AD202" s="20">
        <v>0</v>
      </c>
      <c r="AE202" s="20">
        <v>0</v>
      </c>
      <c r="AF202" s="20">
        <v>5</v>
      </c>
      <c r="AG202" s="20">
        <v>0</v>
      </c>
      <c r="AH202" s="20">
        <v>0</v>
      </c>
      <c r="AI202" s="328">
        <v>26.740827896031661</v>
      </c>
      <c r="AJ202" s="328" t="s">
        <v>1328</v>
      </c>
      <c r="AK202" s="328" t="s">
        <v>1328</v>
      </c>
      <c r="AL202" s="22" t="s">
        <v>1329</v>
      </c>
      <c r="AM202" s="22" t="s">
        <v>1330</v>
      </c>
      <c r="AN202" s="22" t="s">
        <v>1317</v>
      </c>
      <c r="AO202" s="22" t="s">
        <v>1318</v>
      </c>
      <c r="AP202" s="22" t="s">
        <v>1318</v>
      </c>
      <c r="AQ202" s="22" t="s">
        <v>1318</v>
      </c>
      <c r="AR202" s="22" t="s">
        <v>1317</v>
      </c>
      <c r="AS202" s="22" t="s">
        <v>1318</v>
      </c>
      <c r="AT202" s="22" t="s">
        <v>1317</v>
      </c>
      <c r="AU202" s="22" t="s">
        <v>1318</v>
      </c>
      <c r="AV202" s="22" t="s">
        <v>1309</v>
      </c>
      <c r="AW202" s="22" t="s">
        <v>1309</v>
      </c>
      <c r="AX202" s="22" t="s">
        <v>1317</v>
      </c>
      <c r="AY202" s="22" t="s">
        <v>1318</v>
      </c>
      <c r="AZ202" s="22" t="s">
        <v>1309</v>
      </c>
      <c r="BA202" s="22" t="s">
        <v>1309</v>
      </c>
      <c r="BB202" s="22" t="s">
        <v>1309</v>
      </c>
      <c r="BC202" s="22" t="s">
        <v>1309</v>
      </c>
      <c r="BD202" s="22" t="s">
        <v>1317</v>
      </c>
      <c r="BE202" s="22" t="s">
        <v>1318</v>
      </c>
      <c r="BF202" s="22" t="s">
        <v>1317</v>
      </c>
      <c r="BG202" s="22" t="s">
        <v>1318</v>
      </c>
      <c r="BH202" s="22" t="s">
        <v>1309</v>
      </c>
      <c r="BI202" s="22" t="s">
        <v>1309</v>
      </c>
      <c r="BJ202" s="22" t="s">
        <v>1317</v>
      </c>
      <c r="BK202" s="22" t="s">
        <v>1318</v>
      </c>
      <c r="BL202" s="22" t="s">
        <v>1309</v>
      </c>
      <c r="BM202" s="22" t="s">
        <v>1309</v>
      </c>
      <c r="BN202" s="22" t="s">
        <v>1309</v>
      </c>
      <c r="BO202" s="22" t="s">
        <v>1309</v>
      </c>
      <c r="BP202" s="22" t="s">
        <v>1317</v>
      </c>
      <c r="BQ202" s="22" t="s">
        <v>1318</v>
      </c>
      <c r="BR202" s="22" t="s">
        <v>1317</v>
      </c>
      <c r="BS202" s="22" t="s">
        <v>1318</v>
      </c>
      <c r="BT202" s="22" t="s">
        <v>1317</v>
      </c>
      <c r="BU202" s="22" t="s">
        <v>1318</v>
      </c>
      <c r="BV202" s="22" t="s">
        <v>1317</v>
      </c>
      <c r="BW202" s="22" t="s">
        <v>1318</v>
      </c>
      <c r="BX202" s="20">
        <v>0</v>
      </c>
      <c r="BY202" s="20">
        <v>0</v>
      </c>
      <c r="BZ202" s="20">
        <v>24</v>
      </c>
      <c r="CA202" s="20">
        <v>0</v>
      </c>
      <c r="CB202" s="20">
        <v>0</v>
      </c>
      <c r="CC202" s="20">
        <v>461</v>
      </c>
      <c r="CD202" s="22" t="s">
        <v>1317</v>
      </c>
      <c r="CE202" s="22" t="s">
        <v>1340</v>
      </c>
      <c r="CF202" s="22" t="s">
        <v>1317</v>
      </c>
      <c r="CG202" s="22" t="s">
        <v>1340</v>
      </c>
      <c r="CH202" s="22" t="s">
        <v>1317</v>
      </c>
      <c r="CI202" s="22" t="s">
        <v>1318</v>
      </c>
      <c r="CJ202" s="149" t="s">
        <v>1124</v>
      </c>
      <c r="CK202" s="241" t="s">
        <v>1805</v>
      </c>
    </row>
    <row r="203" spans="1:89" ht="15" customHeight="1" x14ac:dyDescent="0.35">
      <c r="A203" s="17"/>
      <c r="B203" s="313">
        <v>9060</v>
      </c>
      <c r="C203" s="8" t="s">
        <v>1107</v>
      </c>
      <c r="D203" s="18">
        <v>1</v>
      </c>
      <c r="E203" s="131" t="s">
        <v>1309</v>
      </c>
      <c r="F203" s="22" t="s">
        <v>1309</v>
      </c>
      <c r="G203" s="132" t="s">
        <v>1309</v>
      </c>
      <c r="H203" s="22" t="s">
        <v>1311</v>
      </c>
      <c r="I203" s="22" t="s">
        <v>1315</v>
      </c>
      <c r="J203" s="22" t="s">
        <v>1315</v>
      </c>
      <c r="K203" s="22" t="s">
        <v>1314</v>
      </c>
      <c r="L203" s="22" t="s">
        <v>1311</v>
      </c>
      <c r="M203" s="133" t="s">
        <v>1311</v>
      </c>
      <c r="N203" s="22" t="s">
        <v>1311</v>
      </c>
      <c r="O203" s="22" t="s">
        <v>1314</v>
      </c>
      <c r="P203" s="22" t="s">
        <v>1318</v>
      </c>
      <c r="Q203" s="20">
        <v>0</v>
      </c>
      <c r="R203" s="20">
        <v>0</v>
      </c>
      <c r="S203" s="20">
        <v>0</v>
      </c>
      <c r="T203" s="20">
        <v>0</v>
      </c>
      <c r="U203" s="20">
        <v>0</v>
      </c>
      <c r="V203" s="20">
        <v>0</v>
      </c>
      <c r="W203" s="20">
        <v>0</v>
      </c>
      <c r="X203" s="20">
        <v>0</v>
      </c>
      <c r="Y203" s="20">
        <v>0</v>
      </c>
      <c r="Z203" s="20">
        <v>0</v>
      </c>
      <c r="AA203" s="20" t="s">
        <v>1317</v>
      </c>
      <c r="AB203" s="22" t="s">
        <v>1318</v>
      </c>
      <c r="AC203" s="20">
        <v>0</v>
      </c>
      <c r="AD203" s="20">
        <v>0</v>
      </c>
      <c r="AE203" s="20">
        <v>0</v>
      </c>
      <c r="AF203" s="20">
        <v>0</v>
      </c>
      <c r="AG203" s="20">
        <v>0</v>
      </c>
      <c r="AH203" s="20">
        <v>0</v>
      </c>
      <c r="AI203" s="328" t="s">
        <v>1328</v>
      </c>
      <c r="AJ203" s="328" t="s">
        <v>1328</v>
      </c>
      <c r="AK203" s="328" t="s">
        <v>1328</v>
      </c>
      <c r="AL203" s="22" t="s">
        <v>1329</v>
      </c>
      <c r="AM203" s="22" t="s">
        <v>1330</v>
      </c>
      <c r="AN203" s="22" t="s">
        <v>1317</v>
      </c>
      <c r="AO203" s="22" t="s">
        <v>1318</v>
      </c>
      <c r="AP203" s="22" t="s">
        <v>1318</v>
      </c>
      <c r="AQ203" s="22" t="s">
        <v>1318</v>
      </c>
      <c r="AR203" s="22" t="s">
        <v>1317</v>
      </c>
      <c r="AS203" s="22" t="s">
        <v>1318</v>
      </c>
      <c r="AT203" s="22" t="s">
        <v>1309</v>
      </c>
      <c r="AU203" s="22" t="s">
        <v>1309</v>
      </c>
      <c r="AV203" s="22" t="s">
        <v>1317</v>
      </c>
      <c r="AW203" s="22" t="s">
        <v>1318</v>
      </c>
      <c r="AX203" s="22" t="s">
        <v>1317</v>
      </c>
      <c r="AY203" s="22" t="s">
        <v>1318</v>
      </c>
      <c r="AZ203" s="22" t="s">
        <v>1317</v>
      </c>
      <c r="BA203" s="22" t="s">
        <v>1318</v>
      </c>
      <c r="BB203" s="22" t="s">
        <v>1309</v>
      </c>
      <c r="BC203" s="22" t="s">
        <v>1309</v>
      </c>
      <c r="BD203" s="22" t="s">
        <v>1317</v>
      </c>
      <c r="BE203" s="22" t="s">
        <v>1318</v>
      </c>
      <c r="BF203" s="22" t="s">
        <v>1317</v>
      </c>
      <c r="BG203" s="22" t="s">
        <v>1318</v>
      </c>
      <c r="BH203" s="22" t="s">
        <v>1317</v>
      </c>
      <c r="BI203" s="22" t="s">
        <v>1318</v>
      </c>
      <c r="BJ203" s="22" t="s">
        <v>1309</v>
      </c>
      <c r="BK203" s="22" t="s">
        <v>1309</v>
      </c>
      <c r="BL203" s="22" t="s">
        <v>1319</v>
      </c>
      <c r="BM203" s="22" t="s">
        <v>1309</v>
      </c>
      <c r="BN203" s="22" t="s">
        <v>1309</v>
      </c>
      <c r="BO203" s="22" t="s">
        <v>1309</v>
      </c>
      <c r="BP203" s="22" t="s">
        <v>1315</v>
      </c>
      <c r="BQ203" s="22" t="s">
        <v>1315</v>
      </c>
      <c r="BR203" s="22" t="s">
        <v>1309</v>
      </c>
      <c r="BS203" s="22" t="s">
        <v>1309</v>
      </c>
      <c r="BT203" s="22" t="s">
        <v>1315</v>
      </c>
      <c r="BU203" s="22" t="s">
        <v>1315</v>
      </c>
      <c r="BV203" s="22" t="s">
        <v>1317</v>
      </c>
      <c r="BW203" s="22" t="s">
        <v>1318</v>
      </c>
      <c r="BX203" s="20">
        <v>1</v>
      </c>
      <c r="BY203" s="20">
        <v>0</v>
      </c>
      <c r="BZ203" s="20">
        <v>0</v>
      </c>
      <c r="CA203" s="20">
        <v>0</v>
      </c>
      <c r="CB203" s="20">
        <v>0</v>
      </c>
      <c r="CC203" s="20">
        <v>15</v>
      </c>
      <c r="CD203" s="22" t="s">
        <v>1331</v>
      </c>
      <c r="CE203" s="22" t="s">
        <v>1331</v>
      </c>
      <c r="CF203" s="22" t="s">
        <v>1317</v>
      </c>
      <c r="CG203" s="22" t="s">
        <v>1318</v>
      </c>
      <c r="CH203" s="22" t="s">
        <v>1317</v>
      </c>
      <c r="CI203" s="22" t="s">
        <v>1318</v>
      </c>
      <c r="CJ203" s="149" t="s">
        <v>1124</v>
      </c>
      <c r="CK203" s="241" t="s">
        <v>1809</v>
      </c>
    </row>
    <row r="204" spans="1:89" ht="15" customHeight="1" x14ac:dyDescent="0.35">
      <c r="A204" s="17"/>
      <c r="B204" s="313">
        <v>83095</v>
      </c>
      <c r="C204" s="8" t="s">
        <v>851</v>
      </c>
      <c r="D204" s="18">
        <v>7</v>
      </c>
      <c r="E204" s="131"/>
      <c r="F204" s="22"/>
      <c r="G204" s="132"/>
      <c r="H204" s="22"/>
      <c r="I204" s="22"/>
      <c r="J204" s="22"/>
      <c r="K204" s="22"/>
      <c r="L204" s="22"/>
      <c r="M204" s="133"/>
      <c r="N204" s="22"/>
      <c r="O204" s="22"/>
      <c r="P204" s="22"/>
      <c r="Q204" s="20"/>
      <c r="R204" s="20"/>
      <c r="S204" s="20"/>
      <c r="T204" s="20"/>
      <c r="U204" s="20"/>
      <c r="V204" s="20"/>
      <c r="W204" s="20"/>
      <c r="X204" s="20"/>
      <c r="Y204" s="20"/>
      <c r="Z204" s="20"/>
      <c r="AA204" s="20"/>
      <c r="AB204" s="22"/>
      <c r="AC204" s="20"/>
      <c r="AD204" s="20"/>
      <c r="AE204" s="20"/>
      <c r="AF204" s="20" t="s">
        <v>1124</v>
      </c>
      <c r="AG204" s="20" t="s">
        <v>1124</v>
      </c>
      <c r="AH204" s="20" t="s">
        <v>1124</v>
      </c>
      <c r="AI204" s="328"/>
      <c r="AJ204" s="328"/>
      <c r="AK204" s="328"/>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0"/>
      <c r="BY204" s="20"/>
      <c r="BZ204" s="20"/>
      <c r="CA204" s="20"/>
      <c r="CB204" s="20"/>
      <c r="CC204" s="20"/>
      <c r="CD204" s="22"/>
      <c r="CE204" s="22"/>
      <c r="CF204" s="22"/>
      <c r="CG204" s="22"/>
      <c r="CH204" s="22"/>
      <c r="CI204" s="22"/>
      <c r="CJ204" s="149"/>
      <c r="CK204" s="241"/>
    </row>
    <row r="205" spans="1:89" ht="15" customHeight="1" x14ac:dyDescent="0.35">
      <c r="A205" s="17"/>
      <c r="B205" s="313">
        <v>50065</v>
      </c>
      <c r="C205" s="8" t="s">
        <v>490</v>
      </c>
      <c r="D205" s="18">
        <v>17</v>
      </c>
      <c r="E205" s="131" t="s">
        <v>1309</v>
      </c>
      <c r="F205" s="22" t="s">
        <v>1309</v>
      </c>
      <c r="G205" s="132" t="s">
        <v>1309</v>
      </c>
      <c r="H205" s="22" t="s">
        <v>1311</v>
      </c>
      <c r="I205" s="22" t="s">
        <v>1327</v>
      </c>
      <c r="J205" s="22" t="s">
        <v>1327</v>
      </c>
      <c r="K205" s="22" t="s">
        <v>1314</v>
      </c>
      <c r="L205" s="22" t="s">
        <v>1311</v>
      </c>
      <c r="M205" s="133" t="s">
        <v>1311</v>
      </c>
      <c r="N205" s="22" t="s">
        <v>1311</v>
      </c>
      <c r="O205" s="22" t="s">
        <v>1309</v>
      </c>
      <c r="P205" s="22" t="s">
        <v>1309</v>
      </c>
      <c r="Q205" s="20">
        <v>0</v>
      </c>
      <c r="R205" s="20">
        <v>0</v>
      </c>
      <c r="S205" s="20">
        <v>0</v>
      </c>
      <c r="T205" s="20">
        <v>0</v>
      </c>
      <c r="U205" s="20">
        <v>0</v>
      </c>
      <c r="V205" s="20">
        <v>0</v>
      </c>
      <c r="W205" s="20">
        <v>0</v>
      </c>
      <c r="X205" s="20">
        <v>0</v>
      </c>
      <c r="Y205" s="20">
        <v>0</v>
      </c>
      <c r="Z205" s="20">
        <v>0</v>
      </c>
      <c r="AA205" s="20" t="s">
        <v>1317</v>
      </c>
      <c r="AB205" s="22" t="s">
        <v>1318</v>
      </c>
      <c r="AC205" s="20">
        <v>0</v>
      </c>
      <c r="AD205" s="20">
        <v>2</v>
      </c>
      <c r="AE205" s="20">
        <v>1</v>
      </c>
      <c r="AF205" s="20">
        <v>0</v>
      </c>
      <c r="AG205" s="20">
        <v>1</v>
      </c>
      <c r="AH205" s="20">
        <v>1</v>
      </c>
      <c r="AI205" s="328" t="s">
        <v>1328</v>
      </c>
      <c r="AJ205" s="328">
        <v>8.2987551867219924</v>
      </c>
      <c r="AK205" s="328">
        <v>4.1493775933609962</v>
      </c>
      <c r="AL205" s="22" t="s">
        <v>1329</v>
      </c>
      <c r="AM205" s="22" t="s">
        <v>1330</v>
      </c>
      <c r="AN205" s="22" t="s">
        <v>1317</v>
      </c>
      <c r="AO205" s="22" t="s">
        <v>1318</v>
      </c>
      <c r="AP205" s="22" t="s">
        <v>1318</v>
      </c>
      <c r="AQ205" s="22" t="s">
        <v>1318</v>
      </c>
      <c r="AR205" s="22" t="s">
        <v>1317</v>
      </c>
      <c r="AS205" s="22" t="s">
        <v>1318</v>
      </c>
      <c r="AT205" s="22" t="s">
        <v>1317</v>
      </c>
      <c r="AU205" s="22" t="s">
        <v>1318</v>
      </c>
      <c r="AV205" s="22" t="s">
        <v>1317</v>
      </c>
      <c r="AW205" s="22" t="s">
        <v>1318</v>
      </c>
      <c r="AX205" s="22" t="s">
        <v>1317</v>
      </c>
      <c r="AY205" s="22" t="s">
        <v>1318</v>
      </c>
      <c r="AZ205" s="22" t="s">
        <v>1309</v>
      </c>
      <c r="BA205" s="22" t="s">
        <v>1309</v>
      </c>
      <c r="BB205" s="22" t="s">
        <v>1309</v>
      </c>
      <c r="BC205" s="22" t="s">
        <v>1309</v>
      </c>
      <c r="BD205" s="22" t="s">
        <v>1309</v>
      </c>
      <c r="BE205" s="22" t="s">
        <v>1309</v>
      </c>
      <c r="BF205" s="22" t="s">
        <v>1309</v>
      </c>
      <c r="BG205" s="22" t="s">
        <v>1309</v>
      </c>
      <c r="BH205" s="22" t="s">
        <v>1309</v>
      </c>
      <c r="BI205" s="22" t="s">
        <v>1309</v>
      </c>
      <c r="BJ205" s="22" t="s">
        <v>1317</v>
      </c>
      <c r="BK205" s="22" t="s">
        <v>1318</v>
      </c>
      <c r="BL205" s="22" t="s">
        <v>1309</v>
      </c>
      <c r="BM205" s="22" t="s">
        <v>1309</v>
      </c>
      <c r="BN205" s="22" t="s">
        <v>1309</v>
      </c>
      <c r="BO205" s="22" t="s">
        <v>1309</v>
      </c>
      <c r="BP205" s="22" t="s">
        <v>1317</v>
      </c>
      <c r="BQ205" s="22" t="s">
        <v>1318</v>
      </c>
      <c r="BR205" s="22" t="s">
        <v>1309</v>
      </c>
      <c r="BS205" s="22" t="s">
        <v>1309</v>
      </c>
      <c r="BT205" s="22" t="s">
        <v>1309</v>
      </c>
      <c r="BU205" s="22" t="s">
        <v>1309</v>
      </c>
      <c r="BV205" s="22" t="s">
        <v>1317</v>
      </c>
      <c r="BW205" s="22" t="s">
        <v>1318</v>
      </c>
      <c r="BX205" s="20">
        <v>0</v>
      </c>
      <c r="BY205" s="20">
        <v>16</v>
      </c>
      <c r="BZ205" s="20">
        <v>0</v>
      </c>
      <c r="CA205" s="20">
        <v>0</v>
      </c>
      <c r="CB205" s="20">
        <v>225</v>
      </c>
      <c r="CC205" s="20">
        <v>0</v>
      </c>
      <c r="CD205" s="22" t="s">
        <v>1331</v>
      </c>
      <c r="CE205" s="22" t="s">
        <v>1331</v>
      </c>
      <c r="CF205" s="22" t="s">
        <v>1331</v>
      </c>
      <c r="CG205" s="22" t="s">
        <v>1331</v>
      </c>
      <c r="CH205" s="22" t="s">
        <v>1317</v>
      </c>
      <c r="CI205" s="22" t="s">
        <v>1318</v>
      </c>
      <c r="CJ205" s="149" t="s">
        <v>1813</v>
      </c>
      <c r="CK205" s="241" t="s">
        <v>1124</v>
      </c>
    </row>
    <row r="206" spans="1:89" ht="15" customHeight="1" x14ac:dyDescent="0.35">
      <c r="A206" s="17"/>
      <c r="B206" s="313">
        <v>76055</v>
      </c>
      <c r="C206" s="8" t="s">
        <v>754</v>
      </c>
      <c r="D206" s="18">
        <v>15</v>
      </c>
      <c r="E206" s="131" t="s">
        <v>1309</v>
      </c>
      <c r="F206" s="22" t="s">
        <v>1309</v>
      </c>
      <c r="G206" s="132" t="s">
        <v>1309</v>
      </c>
      <c r="H206" s="22" t="s">
        <v>1311</v>
      </c>
      <c r="I206" s="22" t="s">
        <v>1315</v>
      </c>
      <c r="J206" s="22" t="s">
        <v>1315</v>
      </c>
      <c r="K206" s="22" t="s">
        <v>1309</v>
      </c>
      <c r="L206" s="22" t="s">
        <v>1309</v>
      </c>
      <c r="M206" s="133" t="s">
        <v>1311</v>
      </c>
      <c r="N206" s="22" t="s">
        <v>1311</v>
      </c>
      <c r="O206" s="22" t="s">
        <v>1309</v>
      </c>
      <c r="P206" s="22" t="s">
        <v>1309</v>
      </c>
      <c r="Q206" s="20">
        <v>0</v>
      </c>
      <c r="R206" s="20">
        <v>0</v>
      </c>
      <c r="S206" s="20">
        <v>0</v>
      </c>
      <c r="T206" s="20">
        <v>0</v>
      </c>
      <c r="U206" s="20">
        <v>18.109000000000002</v>
      </c>
      <c r="V206" s="20">
        <v>18.109000000000002</v>
      </c>
      <c r="W206" s="20">
        <v>0</v>
      </c>
      <c r="X206" s="20">
        <v>0</v>
      </c>
      <c r="Y206" s="20">
        <v>0</v>
      </c>
      <c r="Z206" s="20">
        <v>0</v>
      </c>
      <c r="AA206" s="20" t="s">
        <v>1317</v>
      </c>
      <c r="AB206" s="22" t="s">
        <v>1318</v>
      </c>
      <c r="AC206" s="20">
        <v>1</v>
      </c>
      <c r="AD206" s="20">
        <v>2</v>
      </c>
      <c r="AE206" s="20">
        <v>0</v>
      </c>
      <c r="AF206" s="20">
        <v>5</v>
      </c>
      <c r="AG206" s="20">
        <v>5</v>
      </c>
      <c r="AH206" s="20">
        <v>0</v>
      </c>
      <c r="AI206" s="328">
        <v>5.5221160748798939</v>
      </c>
      <c r="AJ206" s="328">
        <v>2.9411764705882355</v>
      </c>
      <c r="AK206" s="328" t="s">
        <v>1328</v>
      </c>
      <c r="AL206" s="22" t="s">
        <v>1329</v>
      </c>
      <c r="AM206" s="22" t="s">
        <v>1330</v>
      </c>
      <c r="AN206" s="22" t="s">
        <v>1317</v>
      </c>
      <c r="AO206" s="22" t="s">
        <v>1318</v>
      </c>
      <c r="AP206" s="22" t="s">
        <v>1318</v>
      </c>
      <c r="AQ206" s="22" t="s">
        <v>1318</v>
      </c>
      <c r="AR206" s="22" t="s">
        <v>1317</v>
      </c>
      <c r="AS206" s="22" t="s">
        <v>1318</v>
      </c>
      <c r="AT206" s="22" t="s">
        <v>1317</v>
      </c>
      <c r="AU206" s="22" t="s">
        <v>1318</v>
      </c>
      <c r="AV206" s="22" t="s">
        <v>1317</v>
      </c>
      <c r="AW206" s="22" t="s">
        <v>1318</v>
      </c>
      <c r="AX206" s="22" t="s">
        <v>1317</v>
      </c>
      <c r="AY206" s="22" t="s">
        <v>1318</v>
      </c>
      <c r="AZ206" s="22" t="s">
        <v>1309</v>
      </c>
      <c r="BA206" s="22" t="s">
        <v>1309</v>
      </c>
      <c r="BB206" s="22" t="s">
        <v>1317</v>
      </c>
      <c r="BC206" s="22" t="s">
        <v>1311</v>
      </c>
      <c r="BD206" s="22" t="s">
        <v>1309</v>
      </c>
      <c r="BE206" s="22" t="s">
        <v>1309</v>
      </c>
      <c r="BF206" s="22" t="s">
        <v>1317</v>
      </c>
      <c r="BG206" s="22" t="s">
        <v>1318</v>
      </c>
      <c r="BH206" s="22" t="s">
        <v>1309</v>
      </c>
      <c r="BI206" s="22" t="s">
        <v>1309</v>
      </c>
      <c r="BJ206" s="22" t="s">
        <v>1317</v>
      </c>
      <c r="BK206" s="22" t="s">
        <v>1318</v>
      </c>
      <c r="BL206" s="22" t="s">
        <v>1317</v>
      </c>
      <c r="BM206" s="22" t="s">
        <v>1318</v>
      </c>
      <c r="BN206" s="22" t="s">
        <v>1309</v>
      </c>
      <c r="BO206" s="22" t="s">
        <v>1309</v>
      </c>
      <c r="BP206" s="22" t="s">
        <v>1309</v>
      </c>
      <c r="BQ206" s="22" t="s">
        <v>1309</v>
      </c>
      <c r="BR206" s="22" t="s">
        <v>1309</v>
      </c>
      <c r="BS206" s="22" t="s">
        <v>1309</v>
      </c>
      <c r="BT206" s="22" t="s">
        <v>1317</v>
      </c>
      <c r="BU206" s="22" t="s">
        <v>1318</v>
      </c>
      <c r="BV206" s="22" t="s">
        <v>1317</v>
      </c>
      <c r="BW206" s="22" t="s">
        <v>1318</v>
      </c>
      <c r="BX206" s="20">
        <v>4</v>
      </c>
      <c r="BY206" s="20">
        <v>3</v>
      </c>
      <c r="BZ206" s="20">
        <v>32</v>
      </c>
      <c r="CA206" s="20">
        <v>1</v>
      </c>
      <c r="CB206" s="20">
        <v>1</v>
      </c>
      <c r="CC206" s="20">
        <v>639</v>
      </c>
      <c r="CD206" s="22" t="s">
        <v>1320</v>
      </c>
      <c r="CE206" s="22" t="s">
        <v>1321</v>
      </c>
      <c r="CF206" s="22" t="s">
        <v>1320</v>
      </c>
      <c r="CG206" s="22" t="s">
        <v>1321</v>
      </c>
      <c r="CH206" s="22" t="s">
        <v>1317</v>
      </c>
      <c r="CI206" s="22" t="s">
        <v>1318</v>
      </c>
      <c r="CJ206" s="149" t="s">
        <v>1817</v>
      </c>
      <c r="CK206" s="241" t="s">
        <v>1818</v>
      </c>
    </row>
    <row r="207" spans="1:89" ht="15" customHeight="1" x14ac:dyDescent="0.35">
      <c r="A207" s="17"/>
      <c r="B207" s="313">
        <v>76052</v>
      </c>
      <c r="C207" s="8" t="s">
        <v>753</v>
      </c>
      <c r="D207" s="18">
        <v>15</v>
      </c>
      <c r="E207" s="131" t="s">
        <v>1309</v>
      </c>
      <c r="F207" s="22" t="s">
        <v>1309</v>
      </c>
      <c r="G207" s="132" t="s">
        <v>1309</v>
      </c>
      <c r="H207" s="22" t="s">
        <v>1311</v>
      </c>
      <c r="I207" s="22" t="s">
        <v>1327</v>
      </c>
      <c r="J207" s="22" t="s">
        <v>1342</v>
      </c>
      <c r="K207" s="22" t="s">
        <v>1319</v>
      </c>
      <c r="L207" s="22" t="s">
        <v>1311</v>
      </c>
      <c r="M207" s="133" t="s">
        <v>1311</v>
      </c>
      <c r="N207" s="22" t="s">
        <v>1311</v>
      </c>
      <c r="O207" s="22" t="s">
        <v>1314</v>
      </c>
      <c r="P207" s="22" t="s">
        <v>1311</v>
      </c>
      <c r="Q207" s="20">
        <v>0</v>
      </c>
      <c r="R207" s="20">
        <v>0</v>
      </c>
      <c r="S207" s="20">
        <v>0</v>
      </c>
      <c r="T207" s="20">
        <v>0</v>
      </c>
      <c r="U207" s="20">
        <v>0</v>
      </c>
      <c r="V207" s="20">
        <v>9.141</v>
      </c>
      <c r="W207" s="20">
        <v>0</v>
      </c>
      <c r="X207" s="20">
        <v>0</v>
      </c>
      <c r="Y207" s="20">
        <v>0</v>
      </c>
      <c r="Z207" s="20">
        <v>0</v>
      </c>
      <c r="AA207" s="20" t="s">
        <v>1317</v>
      </c>
      <c r="AB207" s="22" t="s">
        <v>1318</v>
      </c>
      <c r="AC207" s="20">
        <v>3</v>
      </c>
      <c r="AD207" s="20">
        <v>1</v>
      </c>
      <c r="AE207" s="20">
        <v>0</v>
      </c>
      <c r="AF207" s="20">
        <v>1</v>
      </c>
      <c r="AG207" s="20">
        <v>1</v>
      </c>
      <c r="AH207" s="20">
        <v>0</v>
      </c>
      <c r="AI207" s="328">
        <v>32.81916639317361</v>
      </c>
      <c r="AJ207" s="328">
        <v>3.7735849056603774</v>
      </c>
      <c r="AK207" s="328" t="s">
        <v>1328</v>
      </c>
      <c r="AL207" s="22" t="s">
        <v>1329</v>
      </c>
      <c r="AM207" s="22" t="s">
        <v>1330</v>
      </c>
      <c r="AN207" s="22" t="s">
        <v>1317</v>
      </c>
      <c r="AO207" s="22" t="s">
        <v>1318</v>
      </c>
      <c r="AP207" s="22" t="s">
        <v>1318</v>
      </c>
      <c r="AQ207" s="22" t="s">
        <v>1318</v>
      </c>
      <c r="AR207" s="22" t="s">
        <v>1317</v>
      </c>
      <c r="AS207" s="22" t="s">
        <v>1318</v>
      </c>
      <c r="AT207" s="22" t="s">
        <v>1319</v>
      </c>
      <c r="AU207" s="22" t="s">
        <v>1311</v>
      </c>
      <c r="AV207" s="22" t="s">
        <v>1317</v>
      </c>
      <c r="AW207" s="22" t="s">
        <v>1311</v>
      </c>
      <c r="AX207" s="22" t="s">
        <v>1317</v>
      </c>
      <c r="AY207" s="22" t="s">
        <v>1318</v>
      </c>
      <c r="AZ207" s="22" t="s">
        <v>1309</v>
      </c>
      <c r="BA207" s="22" t="s">
        <v>1309</v>
      </c>
      <c r="BB207" s="22" t="s">
        <v>1309</v>
      </c>
      <c r="BC207" s="22" t="s">
        <v>1309</v>
      </c>
      <c r="BD207" s="22" t="s">
        <v>1317</v>
      </c>
      <c r="BE207" s="22" t="s">
        <v>1311</v>
      </c>
      <c r="BF207" s="22" t="s">
        <v>1317</v>
      </c>
      <c r="BG207" s="22" t="s">
        <v>1318</v>
      </c>
      <c r="BH207" s="22" t="s">
        <v>1317</v>
      </c>
      <c r="BI207" s="22" t="s">
        <v>1318</v>
      </c>
      <c r="BJ207" s="22" t="s">
        <v>1317</v>
      </c>
      <c r="BK207" s="22" t="s">
        <v>1318</v>
      </c>
      <c r="BL207" s="22" t="s">
        <v>1309</v>
      </c>
      <c r="BM207" s="22" t="s">
        <v>1309</v>
      </c>
      <c r="BN207" s="22" t="s">
        <v>1309</v>
      </c>
      <c r="BO207" s="22" t="s">
        <v>1309</v>
      </c>
      <c r="BP207" s="22" t="s">
        <v>1315</v>
      </c>
      <c r="BQ207" s="22" t="s">
        <v>1315</v>
      </c>
      <c r="BR207" s="22" t="s">
        <v>1309</v>
      </c>
      <c r="BS207" s="22" t="s">
        <v>1309</v>
      </c>
      <c r="BT207" s="22" t="s">
        <v>1317</v>
      </c>
      <c r="BU207" s="22" t="s">
        <v>1311</v>
      </c>
      <c r="BV207" s="22" t="s">
        <v>1317</v>
      </c>
      <c r="BW207" s="22" t="s">
        <v>1318</v>
      </c>
      <c r="BX207" s="20">
        <v>0</v>
      </c>
      <c r="BY207" s="20">
        <v>10</v>
      </c>
      <c r="BZ207" s="20">
        <v>0</v>
      </c>
      <c r="CA207" s="20">
        <v>0</v>
      </c>
      <c r="CB207" s="20">
        <v>0</v>
      </c>
      <c r="CC207" s="20">
        <v>255</v>
      </c>
      <c r="CD207" s="22" t="s">
        <v>1320</v>
      </c>
      <c r="CE207" s="22" t="s">
        <v>1331</v>
      </c>
      <c r="CF207" s="22" t="s">
        <v>1317</v>
      </c>
      <c r="CG207" s="22" t="s">
        <v>1340</v>
      </c>
      <c r="CH207" s="22" t="s">
        <v>1317</v>
      </c>
      <c r="CI207" s="22" t="s">
        <v>1318</v>
      </c>
      <c r="CJ207" s="149" t="s">
        <v>1823</v>
      </c>
      <c r="CK207" s="241" t="s">
        <v>1824</v>
      </c>
    </row>
    <row r="208" spans="1:89" ht="15" customHeight="1" x14ac:dyDescent="0.35">
      <c r="A208" s="17"/>
      <c r="B208" s="313">
        <v>98014</v>
      </c>
      <c r="C208" s="8" t="s">
        <v>1009</v>
      </c>
      <c r="D208" s="18">
        <v>9</v>
      </c>
      <c r="E208" s="131"/>
      <c r="F208" s="22"/>
      <c r="G208" s="132"/>
      <c r="H208" s="22"/>
      <c r="I208" s="22"/>
      <c r="J208" s="22"/>
      <c r="K208" s="22"/>
      <c r="L208" s="22"/>
      <c r="M208" s="133"/>
      <c r="N208" s="22"/>
      <c r="O208" s="22"/>
      <c r="P208" s="22"/>
      <c r="Q208" s="20"/>
      <c r="R208" s="20"/>
      <c r="S208" s="20"/>
      <c r="T208" s="20"/>
      <c r="U208" s="20"/>
      <c r="V208" s="20"/>
      <c r="W208" s="20"/>
      <c r="X208" s="20"/>
      <c r="Y208" s="20"/>
      <c r="Z208" s="20"/>
      <c r="AA208" s="20"/>
      <c r="AB208" s="22"/>
      <c r="AC208" s="20"/>
      <c r="AD208" s="20"/>
      <c r="AE208" s="20"/>
      <c r="AF208" s="20" t="s">
        <v>1124</v>
      </c>
      <c r="AG208" s="20" t="s">
        <v>1124</v>
      </c>
      <c r="AH208" s="20" t="s">
        <v>1124</v>
      </c>
      <c r="AI208" s="328"/>
      <c r="AJ208" s="328"/>
      <c r="AK208" s="328"/>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0"/>
      <c r="BY208" s="20"/>
      <c r="BZ208" s="20"/>
      <c r="CA208" s="20"/>
      <c r="CB208" s="20"/>
      <c r="CC208" s="20"/>
      <c r="CD208" s="22"/>
      <c r="CE208" s="22"/>
      <c r="CF208" s="22"/>
      <c r="CG208" s="22"/>
      <c r="CH208" s="22"/>
      <c r="CI208" s="22"/>
      <c r="CJ208" s="149"/>
      <c r="CK208" s="241"/>
    </row>
    <row r="209" spans="1:89" ht="15" customHeight="1" x14ac:dyDescent="0.35">
      <c r="A209" s="17"/>
      <c r="B209" s="313">
        <v>1042</v>
      </c>
      <c r="C209" s="8" t="s">
        <v>1025</v>
      </c>
      <c r="D209" s="18">
        <v>11</v>
      </c>
      <c r="E209" s="131"/>
      <c r="F209" s="22"/>
      <c r="G209" s="132"/>
      <c r="H209" s="22"/>
      <c r="I209" s="22"/>
      <c r="J209" s="22"/>
      <c r="K209" s="22"/>
      <c r="L209" s="22"/>
      <c r="M209" s="133"/>
      <c r="N209" s="22"/>
      <c r="O209" s="22"/>
      <c r="P209" s="22"/>
      <c r="Q209" s="20"/>
      <c r="R209" s="20"/>
      <c r="S209" s="20"/>
      <c r="T209" s="20"/>
      <c r="U209" s="20"/>
      <c r="V209" s="20"/>
      <c r="W209" s="20"/>
      <c r="X209" s="20"/>
      <c r="Y209" s="20"/>
      <c r="Z209" s="20"/>
      <c r="AA209" s="20"/>
      <c r="AB209" s="22"/>
      <c r="AC209" s="20"/>
      <c r="AD209" s="20"/>
      <c r="AE209" s="20"/>
      <c r="AF209" s="20" t="s">
        <v>1124</v>
      </c>
      <c r="AG209" s="20" t="s">
        <v>1124</v>
      </c>
      <c r="AH209" s="20" t="s">
        <v>1124</v>
      </c>
      <c r="AI209" s="328"/>
      <c r="AJ209" s="328"/>
      <c r="AK209" s="328"/>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0"/>
      <c r="BY209" s="20"/>
      <c r="BZ209" s="20"/>
      <c r="CA209" s="20"/>
      <c r="CB209" s="20"/>
      <c r="CC209" s="20"/>
      <c r="CD209" s="22"/>
      <c r="CE209" s="22"/>
      <c r="CF209" s="22"/>
      <c r="CG209" s="22"/>
      <c r="CH209" s="22"/>
      <c r="CI209" s="22"/>
      <c r="CJ209" s="149"/>
      <c r="CK209" s="241"/>
    </row>
    <row r="210" spans="1:89" ht="15" customHeight="1" x14ac:dyDescent="0.35">
      <c r="A210" s="17"/>
      <c r="B210" s="313">
        <v>8015</v>
      </c>
      <c r="C210" s="8" t="s">
        <v>1088</v>
      </c>
      <c r="D210" s="18">
        <v>1</v>
      </c>
      <c r="E210" s="131" t="s">
        <v>1309</v>
      </c>
      <c r="F210" s="22" t="s">
        <v>1309</v>
      </c>
      <c r="G210" s="132" t="s">
        <v>1309</v>
      </c>
      <c r="H210" s="22" t="s">
        <v>1311</v>
      </c>
      <c r="I210" s="22" t="s">
        <v>1327</v>
      </c>
      <c r="J210" s="22" t="s">
        <v>1327</v>
      </c>
      <c r="K210" s="22" t="s">
        <v>1314</v>
      </c>
      <c r="L210" s="22" t="s">
        <v>1311</v>
      </c>
      <c r="M210" s="133" t="s">
        <v>1311</v>
      </c>
      <c r="N210" s="22" t="s">
        <v>1311</v>
      </c>
      <c r="O210" s="22" t="s">
        <v>1315</v>
      </c>
      <c r="P210" s="22" t="s">
        <v>1318</v>
      </c>
      <c r="Q210" s="20">
        <v>0</v>
      </c>
      <c r="R210" s="20">
        <v>0</v>
      </c>
      <c r="S210" s="20">
        <v>0</v>
      </c>
      <c r="T210" s="20">
        <v>0</v>
      </c>
      <c r="U210" s="20">
        <v>0</v>
      </c>
      <c r="V210" s="20">
        <v>0</v>
      </c>
      <c r="W210" s="20">
        <v>0</v>
      </c>
      <c r="X210" s="20">
        <v>0</v>
      </c>
      <c r="Y210" s="20">
        <v>0</v>
      </c>
      <c r="Z210" s="20">
        <v>0</v>
      </c>
      <c r="AA210" s="20" t="s">
        <v>1317</v>
      </c>
      <c r="AB210" s="22" t="s">
        <v>1318</v>
      </c>
      <c r="AC210" s="20">
        <v>1</v>
      </c>
      <c r="AD210" s="20">
        <v>0</v>
      </c>
      <c r="AE210" s="20">
        <v>1</v>
      </c>
      <c r="AF210" s="20">
        <v>4</v>
      </c>
      <c r="AG210" s="20">
        <v>0</v>
      </c>
      <c r="AH210" s="20">
        <v>2</v>
      </c>
      <c r="AI210" s="328">
        <v>15.862944162436548</v>
      </c>
      <c r="AJ210" s="328" t="s">
        <v>1328</v>
      </c>
      <c r="AK210" s="328">
        <v>5.617977528089888</v>
      </c>
      <c r="AL210" s="22" t="s">
        <v>1329</v>
      </c>
      <c r="AM210" s="22" t="s">
        <v>1330</v>
      </c>
      <c r="AN210" s="22" t="s">
        <v>1317</v>
      </c>
      <c r="AO210" s="22" t="s">
        <v>1318</v>
      </c>
      <c r="AP210" s="22" t="s">
        <v>1318</v>
      </c>
      <c r="AQ210" s="22" t="s">
        <v>1318</v>
      </c>
      <c r="AR210" s="22" t="s">
        <v>1317</v>
      </c>
      <c r="AS210" s="22" t="s">
        <v>1318</v>
      </c>
      <c r="AT210" s="22" t="s">
        <v>1317</v>
      </c>
      <c r="AU210" s="22" t="s">
        <v>1318</v>
      </c>
      <c r="AV210" s="22" t="s">
        <v>1317</v>
      </c>
      <c r="AW210" s="22" t="s">
        <v>1318</v>
      </c>
      <c r="AX210" s="22" t="s">
        <v>1317</v>
      </c>
      <c r="AY210" s="22" t="s">
        <v>1318</v>
      </c>
      <c r="AZ210" s="22" t="s">
        <v>1319</v>
      </c>
      <c r="BA210" s="22" t="s">
        <v>1311</v>
      </c>
      <c r="BB210" s="22" t="s">
        <v>1309</v>
      </c>
      <c r="BC210" s="22" t="s">
        <v>1309</v>
      </c>
      <c r="BD210" s="22" t="s">
        <v>1315</v>
      </c>
      <c r="BE210" s="22" t="s">
        <v>1315</v>
      </c>
      <c r="BF210" s="22" t="s">
        <v>1317</v>
      </c>
      <c r="BG210" s="22" t="s">
        <v>1311</v>
      </c>
      <c r="BH210" s="22" t="s">
        <v>1317</v>
      </c>
      <c r="BI210" s="22" t="s">
        <v>1318</v>
      </c>
      <c r="BJ210" s="22" t="s">
        <v>1317</v>
      </c>
      <c r="BK210" s="22" t="s">
        <v>1318</v>
      </c>
      <c r="BL210" s="22" t="s">
        <v>1317</v>
      </c>
      <c r="BM210" s="22" t="s">
        <v>1311</v>
      </c>
      <c r="BN210" s="22" t="s">
        <v>1309</v>
      </c>
      <c r="BO210" s="22" t="s">
        <v>1309</v>
      </c>
      <c r="BP210" s="22" t="s">
        <v>1317</v>
      </c>
      <c r="BQ210" s="22" t="s">
        <v>1318</v>
      </c>
      <c r="BR210" s="22" t="s">
        <v>1317</v>
      </c>
      <c r="BS210" s="22" t="s">
        <v>1318</v>
      </c>
      <c r="BT210" s="22" t="s">
        <v>1309</v>
      </c>
      <c r="BU210" s="22" t="s">
        <v>1309</v>
      </c>
      <c r="BV210" s="22" t="s">
        <v>1317</v>
      </c>
      <c r="BW210" s="22" t="s">
        <v>1318</v>
      </c>
      <c r="BX210" s="20">
        <v>0</v>
      </c>
      <c r="BY210" s="20">
        <v>0</v>
      </c>
      <c r="BZ210" s="20">
        <v>10</v>
      </c>
      <c r="CA210" s="20">
        <v>0</v>
      </c>
      <c r="CB210" s="20">
        <v>0</v>
      </c>
      <c r="CC210" s="20">
        <v>152</v>
      </c>
      <c r="CD210" s="22" t="s">
        <v>1317</v>
      </c>
      <c r="CE210" s="22" t="s">
        <v>1318</v>
      </c>
      <c r="CF210" s="22" t="s">
        <v>1317</v>
      </c>
      <c r="CG210" s="22" t="s">
        <v>1318</v>
      </c>
      <c r="CH210" s="22" t="s">
        <v>1317</v>
      </c>
      <c r="CI210" s="22" t="s">
        <v>1318</v>
      </c>
      <c r="CJ210" s="149" t="s">
        <v>1827</v>
      </c>
      <c r="CK210" s="241" t="s">
        <v>1791</v>
      </c>
    </row>
    <row r="211" spans="1:89" ht="15" customHeight="1" x14ac:dyDescent="0.35">
      <c r="A211" s="17"/>
      <c r="B211" s="313">
        <v>85095</v>
      </c>
      <c r="C211" s="8" t="s">
        <v>886</v>
      </c>
      <c r="D211" s="18">
        <v>8</v>
      </c>
      <c r="E211" s="131"/>
      <c r="F211" s="22"/>
      <c r="G211" s="132"/>
      <c r="H211" s="22"/>
      <c r="I211" s="22"/>
      <c r="J211" s="22"/>
      <c r="K211" s="22"/>
      <c r="L211" s="22"/>
      <c r="M211" s="133"/>
      <c r="N211" s="22"/>
      <c r="O211" s="22"/>
      <c r="P211" s="22"/>
      <c r="Q211" s="20"/>
      <c r="R211" s="20"/>
      <c r="S211" s="20"/>
      <c r="T211" s="20"/>
      <c r="U211" s="20"/>
      <c r="V211" s="20"/>
      <c r="W211" s="20"/>
      <c r="X211" s="20"/>
      <c r="Y211" s="20"/>
      <c r="Z211" s="20"/>
      <c r="AA211" s="20"/>
      <c r="AB211" s="22"/>
      <c r="AC211" s="20"/>
      <c r="AD211" s="20"/>
      <c r="AE211" s="20"/>
      <c r="AF211" s="20" t="s">
        <v>1124</v>
      </c>
      <c r="AG211" s="20" t="s">
        <v>1124</v>
      </c>
      <c r="AH211" s="20" t="s">
        <v>1124</v>
      </c>
      <c r="AI211" s="328"/>
      <c r="AJ211" s="328"/>
      <c r="AK211" s="328"/>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0"/>
      <c r="BY211" s="20"/>
      <c r="BZ211" s="20"/>
      <c r="CA211" s="20"/>
      <c r="CB211" s="20"/>
      <c r="CC211" s="20"/>
      <c r="CD211" s="22"/>
      <c r="CE211" s="22"/>
      <c r="CF211" s="22"/>
      <c r="CG211" s="22"/>
      <c r="CH211" s="22"/>
      <c r="CI211" s="22"/>
      <c r="CJ211" s="149"/>
      <c r="CK211" s="241"/>
    </row>
    <row r="212" spans="1:89" ht="15" customHeight="1" x14ac:dyDescent="0.35">
      <c r="A212" s="17"/>
      <c r="B212" s="313">
        <v>39010</v>
      </c>
      <c r="C212" s="8" t="s">
        <v>338</v>
      </c>
      <c r="D212" s="18">
        <v>17</v>
      </c>
      <c r="E212" s="131" t="s">
        <v>1309</v>
      </c>
      <c r="F212" s="22" t="s">
        <v>1309</v>
      </c>
      <c r="G212" s="132" t="s">
        <v>1309</v>
      </c>
      <c r="H212" s="22" t="s">
        <v>1311</v>
      </c>
      <c r="I212" s="22" t="s">
        <v>1327</v>
      </c>
      <c r="J212" s="22" t="s">
        <v>1327</v>
      </c>
      <c r="K212" s="22" t="s">
        <v>1309</v>
      </c>
      <c r="L212" s="22" t="s">
        <v>1309</v>
      </c>
      <c r="M212" s="133" t="s">
        <v>1311</v>
      </c>
      <c r="N212" s="22" t="s">
        <v>1311</v>
      </c>
      <c r="O212" s="22" t="s">
        <v>1314</v>
      </c>
      <c r="P212" s="22" t="s">
        <v>1318</v>
      </c>
      <c r="Q212" s="20">
        <v>0</v>
      </c>
      <c r="R212" s="20">
        <v>0</v>
      </c>
      <c r="S212" s="20">
        <v>0</v>
      </c>
      <c r="T212" s="20">
        <v>0</v>
      </c>
      <c r="U212" s="20">
        <v>0</v>
      </c>
      <c r="V212" s="20">
        <v>0</v>
      </c>
      <c r="W212" s="20">
        <v>0</v>
      </c>
      <c r="X212" s="20">
        <v>0</v>
      </c>
      <c r="Y212" s="20">
        <v>0</v>
      </c>
      <c r="Z212" s="20">
        <v>0</v>
      </c>
      <c r="AA212" s="20" t="s">
        <v>1317</v>
      </c>
      <c r="AB212" s="22" t="s">
        <v>1318</v>
      </c>
      <c r="AC212" s="20">
        <v>0</v>
      </c>
      <c r="AD212" s="20">
        <v>0</v>
      </c>
      <c r="AE212" s="20">
        <v>0</v>
      </c>
      <c r="AF212" s="20">
        <v>0</v>
      </c>
      <c r="AG212" s="20">
        <v>0</v>
      </c>
      <c r="AH212" s="20">
        <v>0</v>
      </c>
      <c r="AI212" s="328" t="s">
        <v>1328</v>
      </c>
      <c r="AJ212" s="328" t="s">
        <v>1328</v>
      </c>
      <c r="AK212" s="328" t="s">
        <v>1328</v>
      </c>
      <c r="AL212" s="22" t="s">
        <v>1329</v>
      </c>
      <c r="AM212" s="22" t="s">
        <v>1330</v>
      </c>
      <c r="AN212" s="22" t="s">
        <v>1317</v>
      </c>
      <c r="AO212" s="22" t="s">
        <v>1318</v>
      </c>
      <c r="AP212" s="22" t="s">
        <v>1318</v>
      </c>
      <c r="AQ212" s="22" t="s">
        <v>1318</v>
      </c>
      <c r="AR212" s="22" t="s">
        <v>1317</v>
      </c>
      <c r="AS212" s="22" t="s">
        <v>1318</v>
      </c>
      <c r="AT212" s="22" t="s">
        <v>1317</v>
      </c>
      <c r="AU212" s="22" t="s">
        <v>1318</v>
      </c>
      <c r="AV212" s="22" t="s">
        <v>1309</v>
      </c>
      <c r="AW212" s="22" t="s">
        <v>1309</v>
      </c>
      <c r="AX212" s="22" t="s">
        <v>1317</v>
      </c>
      <c r="AY212" s="22" t="s">
        <v>1318</v>
      </c>
      <c r="AZ212" s="22" t="s">
        <v>1309</v>
      </c>
      <c r="BA212" s="22" t="s">
        <v>1309</v>
      </c>
      <c r="BB212" s="22" t="s">
        <v>1309</v>
      </c>
      <c r="BC212" s="22" t="s">
        <v>1309</v>
      </c>
      <c r="BD212" s="22" t="s">
        <v>1317</v>
      </c>
      <c r="BE212" s="22" t="s">
        <v>1318</v>
      </c>
      <c r="BF212" s="22" t="s">
        <v>1317</v>
      </c>
      <c r="BG212" s="22" t="s">
        <v>1318</v>
      </c>
      <c r="BH212" s="22" t="s">
        <v>1317</v>
      </c>
      <c r="BI212" s="22" t="s">
        <v>1318</v>
      </c>
      <c r="BJ212" s="22" t="s">
        <v>1309</v>
      </c>
      <c r="BK212" s="22" t="s">
        <v>1309</v>
      </c>
      <c r="BL212" s="22" t="s">
        <v>1309</v>
      </c>
      <c r="BM212" s="22" t="s">
        <v>1309</v>
      </c>
      <c r="BN212" s="22" t="s">
        <v>1309</v>
      </c>
      <c r="BO212" s="22" t="s">
        <v>1309</v>
      </c>
      <c r="BP212" s="22" t="s">
        <v>1317</v>
      </c>
      <c r="BQ212" s="22" t="s">
        <v>1311</v>
      </c>
      <c r="BR212" s="22" t="s">
        <v>1317</v>
      </c>
      <c r="BS212" s="22" t="s">
        <v>1318</v>
      </c>
      <c r="BT212" s="22" t="s">
        <v>1315</v>
      </c>
      <c r="BU212" s="22" t="s">
        <v>1315</v>
      </c>
      <c r="BV212" s="22" t="s">
        <v>1317</v>
      </c>
      <c r="BW212" s="22" t="s">
        <v>1318</v>
      </c>
      <c r="BX212" s="20">
        <v>0</v>
      </c>
      <c r="BY212" s="20">
        <v>0</v>
      </c>
      <c r="BZ212" s="20">
        <v>28</v>
      </c>
      <c r="CA212" s="20">
        <v>0</v>
      </c>
      <c r="CB212" s="20">
        <v>0</v>
      </c>
      <c r="CC212" s="20">
        <v>234</v>
      </c>
      <c r="CD212" s="22" t="s">
        <v>1317</v>
      </c>
      <c r="CE212" s="22" t="s">
        <v>1318</v>
      </c>
      <c r="CF212" s="22" t="s">
        <v>1317</v>
      </c>
      <c r="CG212" s="22" t="s">
        <v>1318</v>
      </c>
      <c r="CH212" s="22" t="s">
        <v>1317</v>
      </c>
      <c r="CI212" s="22" t="s">
        <v>1318</v>
      </c>
      <c r="CJ212" s="149" t="s">
        <v>1124</v>
      </c>
      <c r="CK212" s="241" t="s">
        <v>1124</v>
      </c>
    </row>
    <row r="213" spans="1:89" ht="15" customHeight="1" x14ac:dyDescent="0.35">
      <c r="A213" s="17"/>
      <c r="B213" s="313">
        <v>41075</v>
      </c>
      <c r="C213" s="8" t="s">
        <v>374</v>
      </c>
      <c r="D213" s="18">
        <v>5</v>
      </c>
      <c r="E213" s="131"/>
      <c r="F213" s="22"/>
      <c r="G213" s="132"/>
      <c r="H213" s="22"/>
      <c r="I213" s="22"/>
      <c r="J213" s="22"/>
      <c r="K213" s="22"/>
      <c r="L213" s="22"/>
      <c r="M213" s="133"/>
      <c r="N213" s="22"/>
      <c r="O213" s="22"/>
      <c r="P213" s="22"/>
      <c r="Q213" s="20"/>
      <c r="R213" s="20"/>
      <c r="S213" s="20"/>
      <c r="T213" s="20"/>
      <c r="U213" s="20"/>
      <c r="V213" s="20"/>
      <c r="W213" s="20"/>
      <c r="X213" s="20"/>
      <c r="Y213" s="20"/>
      <c r="Z213" s="20"/>
      <c r="AA213" s="20"/>
      <c r="AB213" s="22"/>
      <c r="AC213" s="20"/>
      <c r="AD213" s="20"/>
      <c r="AE213" s="20"/>
      <c r="AF213" s="20" t="s">
        <v>1124</v>
      </c>
      <c r="AG213" s="20" t="s">
        <v>1124</v>
      </c>
      <c r="AH213" s="20" t="s">
        <v>1124</v>
      </c>
      <c r="AI213" s="328"/>
      <c r="AJ213" s="328"/>
      <c r="AK213" s="328"/>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0"/>
      <c r="BY213" s="20"/>
      <c r="BZ213" s="20"/>
      <c r="CA213" s="20"/>
      <c r="CB213" s="20"/>
      <c r="CC213" s="20"/>
      <c r="CD213" s="22"/>
      <c r="CE213" s="22"/>
      <c r="CF213" s="22"/>
      <c r="CG213" s="22"/>
      <c r="CH213" s="22"/>
      <c r="CI213" s="22"/>
      <c r="CJ213" s="149"/>
      <c r="CK213" s="241"/>
    </row>
    <row r="214" spans="1:89" ht="15" customHeight="1" x14ac:dyDescent="0.35">
      <c r="A214" s="17"/>
      <c r="B214" s="313">
        <v>66062</v>
      </c>
      <c r="C214" s="8" t="s">
        <v>652</v>
      </c>
      <c r="D214" s="18">
        <v>6</v>
      </c>
      <c r="E214" s="131" t="s">
        <v>1309</v>
      </c>
      <c r="F214" s="22" t="s">
        <v>1309</v>
      </c>
      <c r="G214" s="132" t="s">
        <v>1309</v>
      </c>
      <c r="H214" s="22" t="s">
        <v>1311</v>
      </c>
      <c r="I214" s="22" t="s">
        <v>1315</v>
      </c>
      <c r="J214" s="22" t="s">
        <v>1315</v>
      </c>
      <c r="K214" s="22" t="s">
        <v>1319</v>
      </c>
      <c r="L214" s="22" t="s">
        <v>1311</v>
      </c>
      <c r="M214" s="133" t="s">
        <v>1311</v>
      </c>
      <c r="N214" s="22" t="s">
        <v>1311</v>
      </c>
      <c r="O214" s="22" t="s">
        <v>1309</v>
      </c>
      <c r="P214" s="22" t="s">
        <v>1309</v>
      </c>
      <c r="Q214" s="20">
        <v>0</v>
      </c>
      <c r="R214" s="20">
        <v>0</v>
      </c>
      <c r="S214" s="20">
        <v>0</v>
      </c>
      <c r="T214" s="20">
        <v>0</v>
      </c>
      <c r="U214" s="20">
        <v>29.171500000000002</v>
      </c>
      <c r="V214" s="20">
        <v>29.171500000000002</v>
      </c>
      <c r="W214" s="20">
        <v>0</v>
      </c>
      <c r="X214" s="20">
        <v>0</v>
      </c>
      <c r="Y214" s="20">
        <v>0</v>
      </c>
      <c r="Z214" s="20">
        <v>0</v>
      </c>
      <c r="AA214" s="20" t="s">
        <v>1317</v>
      </c>
      <c r="AB214" s="22" t="s">
        <v>1311</v>
      </c>
      <c r="AC214" s="20">
        <v>3</v>
      </c>
      <c r="AD214" s="20">
        <v>5</v>
      </c>
      <c r="AE214" s="20">
        <v>0</v>
      </c>
      <c r="AF214" s="20">
        <v>1</v>
      </c>
      <c r="AG214" s="20">
        <v>3</v>
      </c>
      <c r="AH214" s="20">
        <v>0</v>
      </c>
      <c r="AI214" s="328">
        <v>10.284010078329876</v>
      </c>
      <c r="AJ214" s="328">
        <v>2.6260504201680672</v>
      </c>
      <c r="AK214" s="328" t="s">
        <v>1328</v>
      </c>
      <c r="AL214" s="22" t="s">
        <v>1329</v>
      </c>
      <c r="AM214" s="22" t="s">
        <v>1330</v>
      </c>
      <c r="AN214" s="22" t="s">
        <v>1347</v>
      </c>
      <c r="AO214" s="22" t="s">
        <v>1309</v>
      </c>
      <c r="AP214" s="22" t="s">
        <v>1347</v>
      </c>
      <c r="AQ214" s="22" t="s">
        <v>1315</v>
      </c>
      <c r="AR214" s="22" t="s">
        <v>1317</v>
      </c>
      <c r="AS214" s="22" t="s">
        <v>1318</v>
      </c>
      <c r="AT214" s="22" t="s">
        <v>1317</v>
      </c>
      <c r="AU214" s="22" t="s">
        <v>1318</v>
      </c>
      <c r="AV214" s="22" t="s">
        <v>1317</v>
      </c>
      <c r="AW214" s="22" t="s">
        <v>1318</v>
      </c>
      <c r="AX214" s="22" t="s">
        <v>1319</v>
      </c>
      <c r="AY214" s="22" t="s">
        <v>1311</v>
      </c>
      <c r="AZ214" s="22" t="s">
        <v>1319</v>
      </c>
      <c r="BA214" s="22" t="s">
        <v>1311</v>
      </c>
      <c r="BB214" s="22" t="s">
        <v>1309</v>
      </c>
      <c r="BC214" s="22" t="s">
        <v>1309</v>
      </c>
      <c r="BD214" s="22" t="s">
        <v>1309</v>
      </c>
      <c r="BE214" s="22" t="s">
        <v>1309</v>
      </c>
      <c r="BF214" s="22" t="s">
        <v>1309</v>
      </c>
      <c r="BG214" s="22" t="s">
        <v>1309</v>
      </c>
      <c r="BH214" s="22" t="s">
        <v>1317</v>
      </c>
      <c r="BI214" s="22" t="s">
        <v>1318</v>
      </c>
      <c r="BJ214" s="22" t="s">
        <v>1317</v>
      </c>
      <c r="BK214" s="22" t="s">
        <v>1315</v>
      </c>
      <c r="BL214" s="22" t="s">
        <v>1317</v>
      </c>
      <c r="BM214" s="22" t="s">
        <v>1318</v>
      </c>
      <c r="BN214" s="22" t="s">
        <v>1309</v>
      </c>
      <c r="BO214" s="22" t="s">
        <v>1309</v>
      </c>
      <c r="BP214" s="22" t="s">
        <v>1309</v>
      </c>
      <c r="BQ214" s="22" t="s">
        <v>1309</v>
      </c>
      <c r="BR214" s="22" t="s">
        <v>1317</v>
      </c>
      <c r="BS214" s="22" t="s">
        <v>1318</v>
      </c>
      <c r="BT214" s="22" t="s">
        <v>1309</v>
      </c>
      <c r="BU214" s="22" t="s">
        <v>1309</v>
      </c>
      <c r="BV214" s="22" t="s">
        <v>1317</v>
      </c>
      <c r="BW214" s="22" t="s">
        <v>1318</v>
      </c>
      <c r="BX214" s="20">
        <v>11</v>
      </c>
      <c r="BY214" s="20">
        <v>0</v>
      </c>
      <c r="BZ214" s="20">
        <v>0</v>
      </c>
      <c r="CA214" s="20">
        <v>1904</v>
      </c>
      <c r="CB214" s="20">
        <v>0</v>
      </c>
      <c r="CC214" s="20">
        <v>0</v>
      </c>
      <c r="CD214" s="22" t="s">
        <v>1331</v>
      </c>
      <c r="CE214" s="22" t="s">
        <v>1331</v>
      </c>
      <c r="CF214" s="22" t="s">
        <v>1331</v>
      </c>
      <c r="CG214" s="22" t="s">
        <v>1331</v>
      </c>
      <c r="CH214" s="22" t="s">
        <v>1315</v>
      </c>
      <c r="CI214" s="22" t="s">
        <v>1315</v>
      </c>
      <c r="CJ214" s="149" t="s">
        <v>1124</v>
      </c>
      <c r="CK214" s="241" t="s">
        <v>1833</v>
      </c>
    </row>
    <row r="215" spans="1:89" ht="15" customHeight="1" x14ac:dyDescent="0.35">
      <c r="A215" s="17"/>
      <c r="B215" s="313">
        <v>40005</v>
      </c>
      <c r="C215" s="8" t="s">
        <v>358</v>
      </c>
      <c r="D215" s="18">
        <v>5</v>
      </c>
      <c r="E215" s="131"/>
      <c r="F215" s="22"/>
      <c r="G215" s="132"/>
      <c r="H215" s="22"/>
      <c r="I215" s="22"/>
      <c r="J215" s="22"/>
      <c r="K215" s="22"/>
      <c r="L215" s="22"/>
      <c r="M215" s="133"/>
      <c r="N215" s="22"/>
      <c r="O215" s="22"/>
      <c r="P215" s="22"/>
      <c r="Q215" s="20"/>
      <c r="R215" s="20"/>
      <c r="S215" s="20"/>
      <c r="T215" s="20"/>
      <c r="U215" s="20"/>
      <c r="V215" s="20"/>
      <c r="W215" s="20"/>
      <c r="X215" s="20"/>
      <c r="Y215" s="20"/>
      <c r="Z215" s="20"/>
      <c r="AA215" s="20"/>
      <c r="AB215" s="22"/>
      <c r="AC215" s="20"/>
      <c r="AD215" s="20"/>
      <c r="AE215" s="20"/>
      <c r="AF215" s="20" t="s">
        <v>1124</v>
      </c>
      <c r="AG215" s="20" t="s">
        <v>1124</v>
      </c>
      <c r="AH215" s="20" t="s">
        <v>1124</v>
      </c>
      <c r="AI215" s="328"/>
      <c r="AJ215" s="328"/>
      <c r="AK215" s="328"/>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0"/>
      <c r="BY215" s="20"/>
      <c r="BZ215" s="20"/>
      <c r="CA215" s="20"/>
      <c r="CB215" s="20"/>
      <c r="CC215" s="20"/>
      <c r="CD215" s="22"/>
      <c r="CE215" s="22"/>
      <c r="CF215" s="22"/>
      <c r="CG215" s="22"/>
      <c r="CH215" s="22"/>
      <c r="CI215" s="22"/>
      <c r="CJ215" s="149"/>
      <c r="CK215" s="241"/>
    </row>
    <row r="216" spans="1:89" ht="15" customHeight="1" x14ac:dyDescent="0.35">
      <c r="A216" s="17"/>
      <c r="B216" s="313">
        <v>76065</v>
      </c>
      <c r="C216" s="8" t="s">
        <v>755</v>
      </c>
      <c r="D216" s="18">
        <v>15</v>
      </c>
      <c r="E216" s="131"/>
      <c r="F216" s="22"/>
      <c r="G216" s="132"/>
      <c r="H216" s="22"/>
      <c r="I216" s="22"/>
      <c r="J216" s="22"/>
      <c r="K216" s="22"/>
      <c r="L216" s="22"/>
      <c r="M216" s="133"/>
      <c r="N216" s="22"/>
      <c r="O216" s="22"/>
      <c r="P216" s="22"/>
      <c r="Q216" s="20"/>
      <c r="R216" s="20"/>
      <c r="S216" s="20"/>
      <c r="T216" s="20"/>
      <c r="U216" s="20"/>
      <c r="V216" s="20"/>
      <c r="W216" s="20"/>
      <c r="X216" s="20"/>
      <c r="Y216" s="20"/>
      <c r="Z216" s="20"/>
      <c r="AA216" s="20"/>
      <c r="AB216" s="22"/>
      <c r="AC216" s="20"/>
      <c r="AD216" s="20"/>
      <c r="AE216" s="20"/>
      <c r="AF216" s="20" t="s">
        <v>1124</v>
      </c>
      <c r="AG216" s="20" t="s">
        <v>1124</v>
      </c>
      <c r="AH216" s="20" t="s">
        <v>1124</v>
      </c>
      <c r="AI216" s="328"/>
      <c r="AJ216" s="328"/>
      <c r="AK216" s="328"/>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0"/>
      <c r="BY216" s="20"/>
      <c r="BZ216" s="20"/>
      <c r="CA216" s="20"/>
      <c r="CB216" s="20"/>
      <c r="CC216" s="20"/>
      <c r="CD216" s="22"/>
      <c r="CE216" s="22"/>
      <c r="CF216" s="22"/>
      <c r="CG216" s="22"/>
      <c r="CH216" s="22"/>
      <c r="CI216" s="22"/>
      <c r="CJ216" s="149"/>
      <c r="CK216" s="241"/>
    </row>
    <row r="217" spans="1:89" ht="15" customHeight="1" x14ac:dyDescent="0.35">
      <c r="A217" s="17"/>
      <c r="B217" s="313">
        <v>45055</v>
      </c>
      <c r="C217" s="8" t="s">
        <v>417</v>
      </c>
      <c r="D217" s="18">
        <v>5</v>
      </c>
      <c r="E217" s="131" t="s">
        <v>1309</v>
      </c>
      <c r="F217" s="22" t="s">
        <v>1309</v>
      </c>
      <c r="G217" s="132" t="s">
        <v>1309</v>
      </c>
      <c r="H217" s="22" t="s">
        <v>1311</v>
      </c>
      <c r="I217" s="22" t="s">
        <v>1315</v>
      </c>
      <c r="J217" s="22" t="s">
        <v>1315</v>
      </c>
      <c r="K217" s="22" t="s">
        <v>1309</v>
      </c>
      <c r="L217" s="22" t="s">
        <v>1309</v>
      </c>
      <c r="M217" s="133" t="s">
        <v>1311</v>
      </c>
      <c r="N217" s="22" t="s">
        <v>1311</v>
      </c>
      <c r="O217" s="22" t="s">
        <v>1314</v>
      </c>
      <c r="P217" s="22" t="s">
        <v>1318</v>
      </c>
      <c r="Q217" s="20">
        <v>0</v>
      </c>
      <c r="R217" s="20">
        <v>3.4460000000000002</v>
      </c>
      <c r="S217" s="20">
        <v>3.4460000000000002</v>
      </c>
      <c r="T217" s="20">
        <v>0</v>
      </c>
      <c r="U217" s="20">
        <v>0</v>
      </c>
      <c r="V217" s="20">
        <v>0</v>
      </c>
      <c r="W217" s="20">
        <v>0</v>
      </c>
      <c r="X217" s="20">
        <v>0</v>
      </c>
      <c r="Y217" s="20">
        <v>0</v>
      </c>
      <c r="Z217" s="20">
        <v>0</v>
      </c>
      <c r="AA217" s="20" t="s">
        <v>1317</v>
      </c>
      <c r="AB217" s="22" t="s">
        <v>1311</v>
      </c>
      <c r="AC217" s="20">
        <v>1</v>
      </c>
      <c r="AD217" s="20">
        <v>0</v>
      </c>
      <c r="AE217" s="20">
        <v>1</v>
      </c>
      <c r="AF217" s="20">
        <v>2</v>
      </c>
      <c r="AG217" s="20">
        <v>0</v>
      </c>
      <c r="AH217" s="20">
        <v>3</v>
      </c>
      <c r="AI217" s="328">
        <v>29.019152640742888</v>
      </c>
      <c r="AJ217" s="328" t="s">
        <v>1328</v>
      </c>
      <c r="AK217" s="328">
        <v>5.4054054054054053</v>
      </c>
      <c r="AL217" s="22" t="s">
        <v>1329</v>
      </c>
      <c r="AM217" s="22" t="s">
        <v>1330</v>
      </c>
      <c r="AN217" s="22" t="s">
        <v>1317</v>
      </c>
      <c r="AO217" s="22" t="s">
        <v>1318</v>
      </c>
      <c r="AP217" s="22" t="s">
        <v>1318</v>
      </c>
      <c r="AQ217" s="22" t="s">
        <v>1318</v>
      </c>
      <c r="AR217" s="22" t="s">
        <v>1317</v>
      </c>
      <c r="AS217" s="22" t="s">
        <v>1318</v>
      </c>
      <c r="AT217" s="22" t="s">
        <v>1309</v>
      </c>
      <c r="AU217" s="22" t="s">
        <v>1309</v>
      </c>
      <c r="AV217" s="22" t="s">
        <v>1317</v>
      </c>
      <c r="AW217" s="22" t="s">
        <v>1318</v>
      </c>
      <c r="AX217" s="22" t="s">
        <v>1317</v>
      </c>
      <c r="AY217" s="22" t="s">
        <v>1318</v>
      </c>
      <c r="AZ217" s="22" t="s">
        <v>1309</v>
      </c>
      <c r="BA217" s="22" t="s">
        <v>1309</v>
      </c>
      <c r="BB217" s="22" t="s">
        <v>1309</v>
      </c>
      <c r="BC217" s="22" t="s">
        <v>1309</v>
      </c>
      <c r="BD217" s="22" t="s">
        <v>1317</v>
      </c>
      <c r="BE217" s="22" t="s">
        <v>1318</v>
      </c>
      <c r="BF217" s="22" t="s">
        <v>1317</v>
      </c>
      <c r="BG217" s="22" t="s">
        <v>1318</v>
      </c>
      <c r="BH217" s="22" t="s">
        <v>1309</v>
      </c>
      <c r="BI217" s="22" t="s">
        <v>1309</v>
      </c>
      <c r="BJ217" s="22" t="s">
        <v>1317</v>
      </c>
      <c r="BK217" s="22" t="s">
        <v>1318</v>
      </c>
      <c r="BL217" s="22" t="s">
        <v>1309</v>
      </c>
      <c r="BM217" s="22" t="s">
        <v>1309</v>
      </c>
      <c r="BN217" s="22" t="s">
        <v>1309</v>
      </c>
      <c r="BO217" s="22" t="s">
        <v>1309</v>
      </c>
      <c r="BP217" s="22" t="s">
        <v>1317</v>
      </c>
      <c r="BQ217" s="22" t="s">
        <v>1318</v>
      </c>
      <c r="BR217" s="22" t="s">
        <v>1309</v>
      </c>
      <c r="BS217" s="22" t="s">
        <v>1309</v>
      </c>
      <c r="BT217" s="22" t="s">
        <v>1315</v>
      </c>
      <c r="BU217" s="22" t="s">
        <v>1315</v>
      </c>
      <c r="BV217" s="22" t="s">
        <v>1317</v>
      </c>
      <c r="BW217" s="22" t="s">
        <v>1318</v>
      </c>
      <c r="BX217" s="20">
        <v>2</v>
      </c>
      <c r="BY217" s="20">
        <v>0</v>
      </c>
      <c r="BZ217" s="20">
        <v>0</v>
      </c>
      <c r="CA217" s="20">
        <v>8</v>
      </c>
      <c r="CB217" s="20">
        <v>0</v>
      </c>
      <c r="CC217" s="20">
        <v>155</v>
      </c>
      <c r="CD217" s="22" t="s">
        <v>1331</v>
      </c>
      <c r="CE217" s="22" t="s">
        <v>1331</v>
      </c>
      <c r="CF217" s="22" t="s">
        <v>1317</v>
      </c>
      <c r="CG217" s="22" t="s">
        <v>1318</v>
      </c>
      <c r="CH217" s="22" t="s">
        <v>1317</v>
      </c>
      <c r="CI217" s="22" t="s">
        <v>1318</v>
      </c>
      <c r="CJ217" s="149" t="s">
        <v>1124</v>
      </c>
      <c r="CK217" s="241" t="s">
        <v>1124</v>
      </c>
    </row>
    <row r="218" spans="1:89" ht="15" customHeight="1" x14ac:dyDescent="0.35">
      <c r="A218" s="17"/>
      <c r="B218" s="313">
        <v>45043</v>
      </c>
      <c r="C218" s="8" t="s">
        <v>415</v>
      </c>
      <c r="D218" s="18">
        <v>5</v>
      </c>
      <c r="E218" s="131" t="s">
        <v>1309</v>
      </c>
      <c r="F218" s="22" t="s">
        <v>1309</v>
      </c>
      <c r="G218" s="132" t="s">
        <v>1309</v>
      </c>
      <c r="H218" s="22" t="s">
        <v>1311</v>
      </c>
      <c r="I218" s="22" t="s">
        <v>1327</v>
      </c>
      <c r="J218" s="22" t="s">
        <v>1327</v>
      </c>
      <c r="K218" s="22" t="s">
        <v>1314</v>
      </c>
      <c r="L218" s="22" t="s">
        <v>1309</v>
      </c>
      <c r="M218" s="133" t="s">
        <v>1311</v>
      </c>
      <c r="N218" s="22" t="s">
        <v>1311</v>
      </c>
      <c r="O218" s="22" t="s">
        <v>1315</v>
      </c>
      <c r="P218" s="22" t="s">
        <v>1315</v>
      </c>
      <c r="Q218" s="20">
        <v>2.4020000000000001</v>
      </c>
      <c r="R218" s="20">
        <v>2.4020000000000001</v>
      </c>
      <c r="S218" s="20">
        <v>2.4020000000000001</v>
      </c>
      <c r="T218" s="20">
        <v>0</v>
      </c>
      <c r="U218" s="20">
        <v>0</v>
      </c>
      <c r="V218" s="20">
        <v>0</v>
      </c>
      <c r="W218" s="20">
        <v>0</v>
      </c>
      <c r="X218" s="20">
        <v>0</v>
      </c>
      <c r="Y218" s="20">
        <v>0</v>
      </c>
      <c r="Z218" s="20">
        <v>0</v>
      </c>
      <c r="AA218" s="20" t="s">
        <v>1317</v>
      </c>
      <c r="AB218" s="22" t="s">
        <v>1318</v>
      </c>
      <c r="AC218" s="20">
        <v>0</v>
      </c>
      <c r="AD218" s="20">
        <v>0</v>
      </c>
      <c r="AE218" s="20">
        <v>0</v>
      </c>
      <c r="AF218" s="20">
        <v>0</v>
      </c>
      <c r="AG218" s="20">
        <v>0</v>
      </c>
      <c r="AH218" s="20">
        <v>0</v>
      </c>
      <c r="AI218" s="328" t="s">
        <v>1328</v>
      </c>
      <c r="AJ218" s="328" t="s">
        <v>1328</v>
      </c>
      <c r="AK218" s="328" t="s">
        <v>1328</v>
      </c>
      <c r="AL218" s="22" t="s">
        <v>1329</v>
      </c>
      <c r="AM218" s="22" t="s">
        <v>1330</v>
      </c>
      <c r="AN218" s="22" t="s">
        <v>1317</v>
      </c>
      <c r="AO218" s="22" t="s">
        <v>1318</v>
      </c>
      <c r="AP218" s="22" t="s">
        <v>1318</v>
      </c>
      <c r="AQ218" s="22" t="s">
        <v>1318</v>
      </c>
      <c r="AR218" s="22" t="s">
        <v>1317</v>
      </c>
      <c r="AS218" s="22" t="s">
        <v>1318</v>
      </c>
      <c r="AT218" s="22" t="s">
        <v>1317</v>
      </c>
      <c r="AU218" s="22" t="s">
        <v>1311</v>
      </c>
      <c r="AV218" s="22" t="s">
        <v>1309</v>
      </c>
      <c r="AW218" s="22" t="s">
        <v>1309</v>
      </c>
      <c r="AX218" s="22" t="s">
        <v>1317</v>
      </c>
      <c r="AY218" s="22" t="s">
        <v>1318</v>
      </c>
      <c r="AZ218" s="22" t="s">
        <v>1319</v>
      </c>
      <c r="BA218" s="22" t="s">
        <v>1309</v>
      </c>
      <c r="BB218" s="22" t="s">
        <v>1309</v>
      </c>
      <c r="BC218" s="22" t="s">
        <v>1309</v>
      </c>
      <c r="BD218" s="22" t="s">
        <v>1315</v>
      </c>
      <c r="BE218" s="22" t="s">
        <v>1315</v>
      </c>
      <c r="BF218" s="22" t="s">
        <v>1315</v>
      </c>
      <c r="BG218" s="22" t="s">
        <v>1315</v>
      </c>
      <c r="BH218" s="22" t="s">
        <v>1317</v>
      </c>
      <c r="BI218" s="22" t="s">
        <v>1318</v>
      </c>
      <c r="BJ218" s="22" t="s">
        <v>1317</v>
      </c>
      <c r="BK218" s="22" t="s">
        <v>1309</v>
      </c>
      <c r="BL218" s="22" t="s">
        <v>1319</v>
      </c>
      <c r="BM218" s="22" t="s">
        <v>1311</v>
      </c>
      <c r="BN218" s="22" t="s">
        <v>1309</v>
      </c>
      <c r="BO218" s="22" t="s">
        <v>1309</v>
      </c>
      <c r="BP218" s="22" t="s">
        <v>1315</v>
      </c>
      <c r="BQ218" s="22" t="s">
        <v>1315</v>
      </c>
      <c r="BR218" s="22" t="s">
        <v>1317</v>
      </c>
      <c r="BS218" s="22" t="s">
        <v>1318</v>
      </c>
      <c r="BT218" s="22" t="s">
        <v>1315</v>
      </c>
      <c r="BU218" s="22" t="s">
        <v>1315</v>
      </c>
      <c r="BV218" s="22" t="s">
        <v>1317</v>
      </c>
      <c r="BW218" s="22" t="s">
        <v>1318</v>
      </c>
      <c r="BX218" s="20">
        <v>0</v>
      </c>
      <c r="BY218" s="20">
        <v>7</v>
      </c>
      <c r="BZ218" s="20">
        <v>43</v>
      </c>
      <c r="CA218" s="20">
        <v>0</v>
      </c>
      <c r="CB218" s="20">
        <v>0</v>
      </c>
      <c r="CC218" s="20">
        <v>151</v>
      </c>
      <c r="CD218" s="22" t="s">
        <v>1317</v>
      </c>
      <c r="CE218" s="22" t="s">
        <v>1318</v>
      </c>
      <c r="CF218" s="22" t="s">
        <v>1317</v>
      </c>
      <c r="CG218" s="22" t="s">
        <v>1318</v>
      </c>
      <c r="CH218" s="22" t="s">
        <v>1317</v>
      </c>
      <c r="CI218" s="22" t="s">
        <v>1318</v>
      </c>
      <c r="CJ218" s="149" t="s">
        <v>1414</v>
      </c>
      <c r="CK218" s="241" t="s">
        <v>1124</v>
      </c>
    </row>
    <row r="219" spans="1:89" ht="15" customHeight="1" x14ac:dyDescent="0.35">
      <c r="A219" s="17"/>
      <c r="B219" s="313">
        <v>69005</v>
      </c>
      <c r="C219" s="8" t="s">
        <v>684</v>
      </c>
      <c r="D219" s="18">
        <v>16</v>
      </c>
      <c r="E219" s="131"/>
      <c r="F219" s="22"/>
      <c r="G219" s="132"/>
      <c r="H219" s="22"/>
      <c r="I219" s="22"/>
      <c r="J219" s="22"/>
      <c r="K219" s="22"/>
      <c r="L219" s="22"/>
      <c r="M219" s="133"/>
      <c r="N219" s="22"/>
      <c r="O219" s="22"/>
      <c r="P219" s="22"/>
      <c r="Q219" s="20"/>
      <c r="R219" s="20"/>
      <c r="S219" s="20"/>
      <c r="T219" s="20"/>
      <c r="U219" s="20"/>
      <c r="V219" s="20"/>
      <c r="W219" s="20"/>
      <c r="X219" s="20"/>
      <c r="Y219" s="20"/>
      <c r="Z219" s="20"/>
      <c r="AA219" s="20"/>
      <c r="AB219" s="22"/>
      <c r="AC219" s="20"/>
      <c r="AD219" s="20"/>
      <c r="AE219" s="20"/>
      <c r="AF219" s="20" t="s">
        <v>1124</v>
      </c>
      <c r="AG219" s="20" t="s">
        <v>1124</v>
      </c>
      <c r="AH219" s="20" t="s">
        <v>1124</v>
      </c>
      <c r="AI219" s="328"/>
      <c r="AJ219" s="328"/>
      <c r="AK219" s="328"/>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0"/>
      <c r="BY219" s="20"/>
      <c r="BZ219" s="20"/>
      <c r="CA219" s="20"/>
      <c r="CB219" s="20"/>
      <c r="CC219" s="20"/>
      <c r="CD219" s="22"/>
      <c r="CE219" s="22"/>
      <c r="CF219" s="22"/>
      <c r="CG219" s="22"/>
      <c r="CH219" s="22"/>
      <c r="CI219" s="22"/>
      <c r="CJ219" s="149"/>
      <c r="CK219" s="241"/>
    </row>
    <row r="220" spans="1:89" ht="15" customHeight="1" x14ac:dyDescent="0.35">
      <c r="A220" s="17"/>
      <c r="B220" s="313">
        <v>98040</v>
      </c>
      <c r="C220" s="8" t="s">
        <v>1015</v>
      </c>
      <c r="D220" s="18">
        <v>9</v>
      </c>
      <c r="E220" s="131"/>
      <c r="F220" s="22"/>
      <c r="G220" s="132"/>
      <c r="H220" s="22"/>
      <c r="I220" s="22"/>
      <c r="J220" s="22"/>
      <c r="K220" s="22"/>
      <c r="L220" s="22"/>
      <c r="M220" s="133"/>
      <c r="N220" s="22"/>
      <c r="O220" s="22"/>
      <c r="P220" s="22"/>
      <c r="Q220" s="20"/>
      <c r="R220" s="20"/>
      <c r="S220" s="20"/>
      <c r="T220" s="20"/>
      <c r="U220" s="20"/>
      <c r="V220" s="20"/>
      <c r="W220" s="20"/>
      <c r="X220" s="20"/>
      <c r="Y220" s="20"/>
      <c r="Z220" s="20"/>
      <c r="AA220" s="20"/>
      <c r="AB220" s="22"/>
      <c r="AC220" s="20"/>
      <c r="AD220" s="20"/>
      <c r="AE220" s="20"/>
      <c r="AF220" s="20" t="s">
        <v>1124</v>
      </c>
      <c r="AG220" s="20" t="s">
        <v>1124</v>
      </c>
      <c r="AH220" s="20" t="s">
        <v>1124</v>
      </c>
      <c r="AI220" s="328"/>
      <c r="AJ220" s="328"/>
      <c r="AK220" s="328"/>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0"/>
      <c r="BY220" s="20"/>
      <c r="BZ220" s="20"/>
      <c r="CA220" s="20"/>
      <c r="CB220" s="20"/>
      <c r="CC220" s="20"/>
      <c r="CD220" s="22"/>
      <c r="CE220" s="22"/>
      <c r="CF220" s="22"/>
      <c r="CG220" s="22"/>
      <c r="CH220" s="22"/>
      <c r="CI220" s="22"/>
      <c r="CJ220" s="149"/>
      <c r="CK220" s="241"/>
    </row>
    <row r="221" spans="1:89" ht="15" customHeight="1" x14ac:dyDescent="0.35">
      <c r="A221" s="17"/>
      <c r="B221" s="313">
        <v>93020</v>
      </c>
      <c r="C221" s="8" t="s">
        <v>960</v>
      </c>
      <c r="D221" s="18">
        <v>2</v>
      </c>
      <c r="E221" s="131" t="s">
        <v>1309</v>
      </c>
      <c r="F221" s="22" t="s">
        <v>1309</v>
      </c>
      <c r="G221" s="132" t="s">
        <v>1309</v>
      </c>
      <c r="H221" s="22" t="s">
        <v>1311</v>
      </c>
      <c r="I221" s="22" t="s">
        <v>1327</v>
      </c>
      <c r="J221" s="22" t="s">
        <v>1327</v>
      </c>
      <c r="K221" s="22" t="s">
        <v>1309</v>
      </c>
      <c r="L221" s="22" t="s">
        <v>1309</v>
      </c>
      <c r="M221" s="133" t="s">
        <v>1311</v>
      </c>
      <c r="N221" s="22" t="s">
        <v>1311</v>
      </c>
      <c r="O221" s="22" t="s">
        <v>1314</v>
      </c>
      <c r="P221" s="22" t="s">
        <v>1318</v>
      </c>
      <c r="Q221" s="20">
        <v>0</v>
      </c>
      <c r="R221" s="20">
        <v>0</v>
      </c>
      <c r="S221" s="20">
        <v>0</v>
      </c>
      <c r="T221" s="20">
        <v>0</v>
      </c>
      <c r="U221" s="20">
        <v>65.19</v>
      </c>
      <c r="V221" s="20">
        <v>65.19</v>
      </c>
      <c r="W221" s="20">
        <v>0</v>
      </c>
      <c r="X221" s="20">
        <v>0</v>
      </c>
      <c r="Y221" s="20">
        <v>0</v>
      </c>
      <c r="Z221" s="20">
        <v>0</v>
      </c>
      <c r="AA221" s="20" t="s">
        <v>1319</v>
      </c>
      <c r="AB221" s="22" t="s">
        <v>1311</v>
      </c>
      <c r="AC221" s="20">
        <v>1</v>
      </c>
      <c r="AD221" s="20">
        <v>1</v>
      </c>
      <c r="AE221" s="20">
        <v>0</v>
      </c>
      <c r="AF221" s="20">
        <v>1</v>
      </c>
      <c r="AG221" s="20">
        <v>1</v>
      </c>
      <c r="AH221" s="20">
        <v>0</v>
      </c>
      <c r="AI221" s="328">
        <v>1.5339776039269828</v>
      </c>
      <c r="AJ221" s="328">
        <v>0.79176563737133809</v>
      </c>
      <c r="AK221" s="328" t="s">
        <v>1328</v>
      </c>
      <c r="AL221" s="22" t="s">
        <v>1329</v>
      </c>
      <c r="AM221" s="22" t="s">
        <v>1330</v>
      </c>
      <c r="AN221" s="22" t="s">
        <v>1317</v>
      </c>
      <c r="AO221" s="22" t="s">
        <v>1318</v>
      </c>
      <c r="AP221" s="22" t="s">
        <v>1318</v>
      </c>
      <c r="AQ221" s="22" t="s">
        <v>1318</v>
      </c>
      <c r="AR221" s="22" t="s">
        <v>1317</v>
      </c>
      <c r="AS221" s="22" t="s">
        <v>1318</v>
      </c>
      <c r="AT221" s="22" t="s">
        <v>1317</v>
      </c>
      <c r="AU221" s="22" t="s">
        <v>1311</v>
      </c>
      <c r="AV221" s="22" t="s">
        <v>1309</v>
      </c>
      <c r="AW221" s="22" t="s">
        <v>1309</v>
      </c>
      <c r="AX221" s="22" t="s">
        <v>1317</v>
      </c>
      <c r="AY221" s="22" t="s">
        <v>1318</v>
      </c>
      <c r="AZ221" s="22" t="s">
        <v>1309</v>
      </c>
      <c r="BA221" s="22" t="s">
        <v>1309</v>
      </c>
      <c r="BB221" s="22" t="s">
        <v>1309</v>
      </c>
      <c r="BC221" s="22" t="s">
        <v>1309</v>
      </c>
      <c r="BD221" s="22" t="s">
        <v>1317</v>
      </c>
      <c r="BE221" s="22" t="s">
        <v>1318</v>
      </c>
      <c r="BF221" s="22" t="s">
        <v>1319</v>
      </c>
      <c r="BG221" s="22" t="s">
        <v>1311</v>
      </c>
      <c r="BH221" s="22" t="s">
        <v>1309</v>
      </c>
      <c r="BI221" s="22" t="s">
        <v>1309</v>
      </c>
      <c r="BJ221" s="22" t="s">
        <v>1317</v>
      </c>
      <c r="BK221" s="22" t="s">
        <v>1318</v>
      </c>
      <c r="BL221" s="22" t="s">
        <v>1309</v>
      </c>
      <c r="BM221" s="22" t="s">
        <v>1309</v>
      </c>
      <c r="BN221" s="22" t="s">
        <v>1309</v>
      </c>
      <c r="BO221" s="22" t="s">
        <v>1309</v>
      </c>
      <c r="BP221" s="22" t="s">
        <v>1309</v>
      </c>
      <c r="BQ221" s="22" t="s">
        <v>1309</v>
      </c>
      <c r="BR221" s="22" t="s">
        <v>1309</v>
      </c>
      <c r="BS221" s="22" t="s">
        <v>1309</v>
      </c>
      <c r="BT221" s="22" t="s">
        <v>1315</v>
      </c>
      <c r="BU221" s="22" t="s">
        <v>1315</v>
      </c>
      <c r="BV221" s="22" t="s">
        <v>1317</v>
      </c>
      <c r="BW221" s="22" t="s">
        <v>1318</v>
      </c>
      <c r="BX221" s="20">
        <v>0</v>
      </c>
      <c r="BY221" s="20">
        <v>0</v>
      </c>
      <c r="BZ221" s="20">
        <v>152</v>
      </c>
      <c r="CA221" s="20">
        <v>0</v>
      </c>
      <c r="CB221" s="20">
        <v>0</v>
      </c>
      <c r="CC221" s="20">
        <v>1111</v>
      </c>
      <c r="CD221" s="22" t="s">
        <v>1317</v>
      </c>
      <c r="CE221" s="22" t="s">
        <v>1321</v>
      </c>
      <c r="CF221" s="22" t="s">
        <v>1317</v>
      </c>
      <c r="CG221" s="22" t="s">
        <v>1321</v>
      </c>
      <c r="CH221" s="22" t="s">
        <v>1317</v>
      </c>
      <c r="CI221" s="22" t="s">
        <v>1318</v>
      </c>
      <c r="CJ221" s="149" t="s">
        <v>1124</v>
      </c>
      <c r="CK221" s="241" t="s">
        <v>1841</v>
      </c>
    </row>
    <row r="222" spans="1:89" ht="15" customHeight="1" x14ac:dyDescent="0.35">
      <c r="A222" s="17"/>
      <c r="B222" s="313">
        <v>93025</v>
      </c>
      <c r="C222" s="8" t="s">
        <v>961</v>
      </c>
      <c r="D222" s="18">
        <v>2</v>
      </c>
      <c r="E222" s="131" t="s">
        <v>1309</v>
      </c>
      <c r="F222" s="22" t="s">
        <v>1309</v>
      </c>
      <c r="G222" s="132" t="s">
        <v>1309</v>
      </c>
      <c r="H222" s="22" t="s">
        <v>1311</v>
      </c>
      <c r="I222" s="22" t="s">
        <v>1315</v>
      </c>
      <c r="J222" s="22" t="s">
        <v>1315</v>
      </c>
      <c r="K222" s="22" t="s">
        <v>1314</v>
      </c>
      <c r="L222" s="22" t="s">
        <v>1311</v>
      </c>
      <c r="M222" s="133" t="s">
        <v>1311</v>
      </c>
      <c r="N222" s="22" t="s">
        <v>1311</v>
      </c>
      <c r="O222" s="22" t="s">
        <v>1314</v>
      </c>
      <c r="P222" s="22" t="s">
        <v>1318</v>
      </c>
      <c r="Q222" s="20">
        <v>0</v>
      </c>
      <c r="R222" s="20">
        <v>0</v>
      </c>
      <c r="S222" s="20">
        <v>0</v>
      </c>
      <c r="T222" s="20">
        <v>0</v>
      </c>
      <c r="U222" s="20">
        <v>0</v>
      </c>
      <c r="V222" s="20">
        <v>19.8</v>
      </c>
      <c r="W222" s="20">
        <v>0</v>
      </c>
      <c r="X222" s="20">
        <v>0</v>
      </c>
      <c r="Y222" s="20">
        <v>0</v>
      </c>
      <c r="Z222" s="20">
        <v>0</v>
      </c>
      <c r="AA222" s="20" t="s">
        <v>1317</v>
      </c>
      <c r="AB222" s="22" t="s">
        <v>1311</v>
      </c>
      <c r="AC222" s="20">
        <v>0</v>
      </c>
      <c r="AD222" s="20">
        <v>1</v>
      </c>
      <c r="AE222" s="20">
        <v>0</v>
      </c>
      <c r="AF222" s="20">
        <v>0</v>
      </c>
      <c r="AG222" s="20">
        <v>2</v>
      </c>
      <c r="AH222" s="20">
        <v>0</v>
      </c>
      <c r="AI222" s="328" t="s">
        <v>1328</v>
      </c>
      <c r="AJ222" s="328">
        <v>2.0964360587002098</v>
      </c>
      <c r="AK222" s="328" t="s">
        <v>1328</v>
      </c>
      <c r="AL222" s="22" t="s">
        <v>1329</v>
      </c>
      <c r="AM222" s="22" t="s">
        <v>1330</v>
      </c>
      <c r="AN222" s="22" t="s">
        <v>1317</v>
      </c>
      <c r="AO222" s="22" t="s">
        <v>1318</v>
      </c>
      <c r="AP222" s="22" t="s">
        <v>1318</v>
      </c>
      <c r="AQ222" s="22" t="s">
        <v>1318</v>
      </c>
      <c r="AR222" s="22" t="s">
        <v>1317</v>
      </c>
      <c r="AS222" s="22" t="s">
        <v>1318</v>
      </c>
      <c r="AT222" s="22" t="s">
        <v>1317</v>
      </c>
      <c r="AU222" s="22" t="s">
        <v>1318</v>
      </c>
      <c r="AV222" s="22" t="s">
        <v>1317</v>
      </c>
      <c r="AW222" s="22" t="s">
        <v>1318</v>
      </c>
      <c r="AX222" s="22" t="s">
        <v>1317</v>
      </c>
      <c r="AY222" s="22" t="s">
        <v>1318</v>
      </c>
      <c r="AZ222" s="22" t="s">
        <v>1319</v>
      </c>
      <c r="BA222" s="22" t="s">
        <v>1311</v>
      </c>
      <c r="BB222" s="22" t="s">
        <v>1309</v>
      </c>
      <c r="BC222" s="22" t="s">
        <v>1309</v>
      </c>
      <c r="BD222" s="22" t="s">
        <v>1317</v>
      </c>
      <c r="BE222" s="22" t="s">
        <v>1318</v>
      </c>
      <c r="BF222" s="22" t="s">
        <v>1319</v>
      </c>
      <c r="BG222" s="22" t="s">
        <v>1311</v>
      </c>
      <c r="BH222" s="22" t="s">
        <v>1317</v>
      </c>
      <c r="BI222" s="22" t="s">
        <v>1318</v>
      </c>
      <c r="BJ222" s="22" t="s">
        <v>1317</v>
      </c>
      <c r="BK222" s="22" t="s">
        <v>1318</v>
      </c>
      <c r="BL222" s="22" t="s">
        <v>1309</v>
      </c>
      <c r="BM222" s="22" t="s">
        <v>1309</v>
      </c>
      <c r="BN222" s="22" t="s">
        <v>1309</v>
      </c>
      <c r="BO222" s="22" t="s">
        <v>1309</v>
      </c>
      <c r="BP222" s="22" t="s">
        <v>1315</v>
      </c>
      <c r="BQ222" s="22" t="s">
        <v>1315</v>
      </c>
      <c r="BR222" s="22" t="s">
        <v>1309</v>
      </c>
      <c r="BS222" s="22" t="s">
        <v>1309</v>
      </c>
      <c r="BT222" s="22" t="s">
        <v>1315</v>
      </c>
      <c r="BU222" s="22" t="s">
        <v>1315</v>
      </c>
      <c r="BV222" s="22" t="s">
        <v>1317</v>
      </c>
      <c r="BW222" s="22" t="s">
        <v>1318</v>
      </c>
      <c r="BX222" s="20">
        <v>0</v>
      </c>
      <c r="BY222" s="20">
        <v>0</v>
      </c>
      <c r="BZ222" s="20">
        <v>17</v>
      </c>
      <c r="CA222" s="20">
        <v>0</v>
      </c>
      <c r="CB222" s="20">
        <v>0</v>
      </c>
      <c r="CC222" s="20">
        <v>460</v>
      </c>
      <c r="CD222" s="22" t="s">
        <v>1317</v>
      </c>
      <c r="CE222" s="22" t="s">
        <v>1321</v>
      </c>
      <c r="CF222" s="22" t="s">
        <v>1317</v>
      </c>
      <c r="CG222" s="22" t="s">
        <v>1321</v>
      </c>
      <c r="CH222" s="22" t="s">
        <v>1317</v>
      </c>
      <c r="CI222" s="22" t="s">
        <v>1318</v>
      </c>
      <c r="CJ222" s="149" t="s">
        <v>1124</v>
      </c>
      <c r="CK222" s="241" t="s">
        <v>1845</v>
      </c>
    </row>
    <row r="223" spans="1:89" ht="15" customHeight="1" x14ac:dyDescent="0.35">
      <c r="A223" s="17"/>
      <c r="B223" s="313">
        <v>68015</v>
      </c>
      <c r="C223" s="8" t="s">
        <v>675</v>
      </c>
      <c r="D223" s="18">
        <v>16</v>
      </c>
      <c r="E223" s="131"/>
      <c r="F223" s="22"/>
      <c r="G223" s="132"/>
      <c r="H223" s="22"/>
      <c r="I223" s="22"/>
      <c r="J223" s="22"/>
      <c r="K223" s="22"/>
      <c r="L223" s="22"/>
      <c r="M223" s="133"/>
      <c r="N223" s="22"/>
      <c r="O223" s="22"/>
      <c r="P223" s="22"/>
      <c r="Q223" s="20"/>
      <c r="R223" s="20"/>
      <c r="S223" s="20"/>
      <c r="T223" s="20"/>
      <c r="U223" s="20"/>
      <c r="V223" s="20"/>
      <c r="W223" s="20"/>
      <c r="X223" s="20"/>
      <c r="Y223" s="20"/>
      <c r="Z223" s="20"/>
      <c r="AA223" s="20"/>
      <c r="AB223" s="22"/>
      <c r="AC223" s="20"/>
      <c r="AD223" s="20"/>
      <c r="AE223" s="20"/>
      <c r="AF223" s="20" t="s">
        <v>1124</v>
      </c>
      <c r="AG223" s="20" t="s">
        <v>1124</v>
      </c>
      <c r="AH223" s="20" t="s">
        <v>1124</v>
      </c>
      <c r="AI223" s="328"/>
      <c r="AJ223" s="328"/>
      <c r="AK223" s="328"/>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0"/>
      <c r="BY223" s="20"/>
      <c r="BZ223" s="20"/>
      <c r="CA223" s="20"/>
      <c r="CB223" s="20"/>
      <c r="CC223" s="20"/>
      <c r="CD223" s="22"/>
      <c r="CE223" s="22"/>
      <c r="CF223" s="22"/>
      <c r="CG223" s="22"/>
      <c r="CH223" s="22"/>
      <c r="CI223" s="22"/>
      <c r="CJ223" s="149"/>
      <c r="CK223" s="241"/>
    </row>
    <row r="224" spans="1:89" ht="15" customHeight="1" x14ac:dyDescent="0.35">
      <c r="A224" s="17"/>
      <c r="B224" s="313">
        <v>68010</v>
      </c>
      <c r="C224" s="8" t="s">
        <v>674</v>
      </c>
      <c r="D224" s="18">
        <v>16</v>
      </c>
      <c r="E224" s="131" t="s">
        <v>1309</v>
      </c>
      <c r="F224" s="22" t="s">
        <v>1309</v>
      </c>
      <c r="G224" s="132" t="s">
        <v>1309</v>
      </c>
      <c r="H224" s="22" t="s">
        <v>1311</v>
      </c>
      <c r="I224" s="22" t="s">
        <v>1338</v>
      </c>
      <c r="J224" s="22" t="s">
        <v>1327</v>
      </c>
      <c r="K224" s="22" t="s">
        <v>1309</v>
      </c>
      <c r="L224" s="22" t="s">
        <v>1309</v>
      </c>
      <c r="M224" s="133" t="s">
        <v>1311</v>
      </c>
      <c r="N224" s="22" t="s">
        <v>1311</v>
      </c>
      <c r="O224" s="22" t="s">
        <v>1315</v>
      </c>
      <c r="P224" s="22" t="s">
        <v>1315</v>
      </c>
      <c r="Q224" s="20">
        <v>0</v>
      </c>
      <c r="R224" s="20">
        <v>0</v>
      </c>
      <c r="S224" s="20">
        <v>1</v>
      </c>
      <c r="T224" s="20">
        <v>2</v>
      </c>
      <c r="U224" s="20">
        <v>0.5</v>
      </c>
      <c r="V224" s="20">
        <v>0.5</v>
      </c>
      <c r="W224" s="20">
        <v>0</v>
      </c>
      <c r="X224" s="20">
        <v>0</v>
      </c>
      <c r="Y224" s="20">
        <v>0</v>
      </c>
      <c r="Z224" s="20">
        <v>0</v>
      </c>
      <c r="AA224" s="20" t="s">
        <v>1317</v>
      </c>
      <c r="AB224" s="22" t="s">
        <v>1318</v>
      </c>
      <c r="AC224" s="20">
        <v>4</v>
      </c>
      <c r="AD224" s="20">
        <v>0</v>
      </c>
      <c r="AE224" s="20">
        <v>0</v>
      </c>
      <c r="AF224" s="20">
        <v>2</v>
      </c>
      <c r="AG224" s="20">
        <v>0</v>
      </c>
      <c r="AH224" s="20">
        <v>0</v>
      </c>
      <c r="AI224" s="328">
        <v>63.241106719367586</v>
      </c>
      <c r="AJ224" s="328" t="s">
        <v>1328</v>
      </c>
      <c r="AK224" s="328" t="s">
        <v>1328</v>
      </c>
      <c r="AL224" s="22" t="s">
        <v>1329</v>
      </c>
      <c r="AM224" s="22" t="s">
        <v>1330</v>
      </c>
      <c r="AN224" s="22" t="s">
        <v>1315</v>
      </c>
      <c r="AO224" s="22" t="s">
        <v>1315</v>
      </c>
      <c r="AP224" s="22" t="s">
        <v>1315</v>
      </c>
      <c r="AQ224" s="22" t="s">
        <v>1315</v>
      </c>
      <c r="AR224" s="22" t="s">
        <v>1315</v>
      </c>
      <c r="AS224" s="22" t="s">
        <v>1318</v>
      </c>
      <c r="AT224" s="22" t="s">
        <v>1315</v>
      </c>
      <c r="AU224" s="22" t="s">
        <v>1318</v>
      </c>
      <c r="AV224" s="22" t="s">
        <v>1309</v>
      </c>
      <c r="AW224" s="22" t="s">
        <v>1309</v>
      </c>
      <c r="AX224" s="22" t="s">
        <v>1315</v>
      </c>
      <c r="AY224" s="22" t="s">
        <v>1315</v>
      </c>
      <c r="AZ224" s="22" t="s">
        <v>1309</v>
      </c>
      <c r="BA224" s="22" t="s">
        <v>1309</v>
      </c>
      <c r="BB224" s="22" t="s">
        <v>1309</v>
      </c>
      <c r="BC224" s="22" t="s">
        <v>1309</v>
      </c>
      <c r="BD224" s="22" t="s">
        <v>1315</v>
      </c>
      <c r="BE224" s="22" t="s">
        <v>1315</v>
      </c>
      <c r="BF224" s="22" t="s">
        <v>1315</v>
      </c>
      <c r="BG224" s="22" t="s">
        <v>1318</v>
      </c>
      <c r="BH224" s="22" t="s">
        <v>1309</v>
      </c>
      <c r="BI224" s="22" t="s">
        <v>1309</v>
      </c>
      <c r="BJ224" s="22" t="s">
        <v>1309</v>
      </c>
      <c r="BK224" s="22" t="s">
        <v>1309</v>
      </c>
      <c r="BL224" s="22" t="s">
        <v>1309</v>
      </c>
      <c r="BM224" s="22" t="s">
        <v>1309</v>
      </c>
      <c r="BN224" s="22" t="s">
        <v>1309</v>
      </c>
      <c r="BO224" s="22" t="s">
        <v>1309</v>
      </c>
      <c r="BP224" s="22" t="s">
        <v>1309</v>
      </c>
      <c r="BQ224" s="22" t="s">
        <v>1309</v>
      </c>
      <c r="BR224" s="22" t="s">
        <v>1309</v>
      </c>
      <c r="BS224" s="22" t="s">
        <v>1309</v>
      </c>
      <c r="BT224" s="22" t="s">
        <v>1309</v>
      </c>
      <c r="BU224" s="22" t="s">
        <v>1309</v>
      </c>
      <c r="BV224" s="22" t="s">
        <v>1317</v>
      </c>
      <c r="BW224" s="22" t="s">
        <v>1318</v>
      </c>
      <c r="BX224" s="20">
        <v>0</v>
      </c>
      <c r="BY224" s="20">
        <v>0</v>
      </c>
      <c r="BZ224" s="20">
        <v>37</v>
      </c>
      <c r="CA224" s="20">
        <v>0</v>
      </c>
      <c r="CB224" s="20">
        <v>0</v>
      </c>
      <c r="CC224" s="20">
        <v>336</v>
      </c>
      <c r="CD224" s="22" t="s">
        <v>1317</v>
      </c>
      <c r="CE224" s="22" t="s">
        <v>1318</v>
      </c>
      <c r="CF224" s="22" t="s">
        <v>1317</v>
      </c>
      <c r="CG224" s="22" t="s">
        <v>1318</v>
      </c>
      <c r="CH224" s="22" t="s">
        <v>1317</v>
      </c>
      <c r="CI224" s="22" t="s">
        <v>1318</v>
      </c>
      <c r="CJ224" s="149" t="s">
        <v>1124</v>
      </c>
      <c r="CK224" s="241" t="s">
        <v>1358</v>
      </c>
    </row>
    <row r="225" spans="1:89" ht="15" customHeight="1" x14ac:dyDescent="0.35">
      <c r="A225" s="17"/>
      <c r="B225" s="313">
        <v>56042</v>
      </c>
      <c r="C225" s="8" t="s">
        <v>573</v>
      </c>
      <c r="D225" s="18">
        <v>16</v>
      </c>
      <c r="E225" s="131"/>
      <c r="F225" s="22"/>
      <c r="G225" s="132"/>
      <c r="H225" s="22"/>
      <c r="I225" s="22"/>
      <c r="J225" s="22"/>
      <c r="K225" s="22"/>
      <c r="L225" s="22"/>
      <c r="M225" s="133"/>
      <c r="N225" s="22"/>
      <c r="O225" s="22"/>
      <c r="P225" s="22"/>
      <c r="Q225" s="20"/>
      <c r="R225" s="20"/>
      <c r="S225" s="20"/>
      <c r="T225" s="20"/>
      <c r="U225" s="20"/>
      <c r="V225" s="20"/>
      <c r="W225" s="20"/>
      <c r="X225" s="20"/>
      <c r="Y225" s="20"/>
      <c r="Z225" s="20"/>
      <c r="AA225" s="20"/>
      <c r="AB225" s="22"/>
      <c r="AC225" s="20"/>
      <c r="AD225" s="20"/>
      <c r="AE225" s="20"/>
      <c r="AF225" s="20" t="s">
        <v>1124</v>
      </c>
      <c r="AG225" s="20" t="s">
        <v>1124</v>
      </c>
      <c r="AH225" s="20" t="s">
        <v>1124</v>
      </c>
      <c r="AI225" s="328"/>
      <c r="AJ225" s="328"/>
      <c r="AK225" s="328"/>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0"/>
      <c r="BY225" s="20"/>
      <c r="BZ225" s="20"/>
      <c r="CA225" s="20"/>
      <c r="CB225" s="20"/>
      <c r="CC225" s="20"/>
      <c r="CD225" s="22"/>
      <c r="CE225" s="22"/>
      <c r="CF225" s="22"/>
      <c r="CG225" s="22"/>
      <c r="CH225" s="22"/>
      <c r="CI225" s="22"/>
      <c r="CJ225" s="149"/>
      <c r="CK225" s="241"/>
    </row>
    <row r="226" spans="1:89" ht="15" customHeight="1" x14ac:dyDescent="0.35">
      <c r="A226" s="17"/>
      <c r="B226" s="313">
        <v>35035</v>
      </c>
      <c r="C226" s="8" t="s">
        <v>308</v>
      </c>
      <c r="D226" s="18">
        <v>4</v>
      </c>
      <c r="E226" s="131"/>
      <c r="F226" s="22"/>
      <c r="G226" s="132"/>
      <c r="H226" s="22"/>
      <c r="I226" s="22"/>
      <c r="J226" s="22"/>
      <c r="K226" s="22"/>
      <c r="L226" s="22"/>
      <c r="M226" s="133"/>
      <c r="N226" s="22"/>
      <c r="O226" s="22"/>
      <c r="P226" s="22"/>
      <c r="Q226" s="20"/>
      <c r="R226" s="20"/>
      <c r="S226" s="20"/>
      <c r="T226" s="20"/>
      <c r="U226" s="20"/>
      <c r="V226" s="20"/>
      <c r="W226" s="20"/>
      <c r="X226" s="20"/>
      <c r="Y226" s="20"/>
      <c r="Z226" s="20"/>
      <c r="AA226" s="20"/>
      <c r="AB226" s="22"/>
      <c r="AC226" s="20"/>
      <c r="AD226" s="20"/>
      <c r="AE226" s="20"/>
      <c r="AF226" s="20" t="s">
        <v>1124</v>
      </c>
      <c r="AG226" s="20" t="s">
        <v>1124</v>
      </c>
      <c r="AH226" s="20" t="s">
        <v>1124</v>
      </c>
      <c r="AI226" s="328"/>
      <c r="AJ226" s="328"/>
      <c r="AK226" s="328"/>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0"/>
      <c r="BY226" s="20"/>
      <c r="BZ226" s="20"/>
      <c r="CA226" s="20"/>
      <c r="CB226" s="20"/>
      <c r="CC226" s="20"/>
      <c r="CD226" s="22"/>
      <c r="CE226" s="22"/>
      <c r="CF226" s="22"/>
      <c r="CG226" s="22"/>
      <c r="CH226" s="22"/>
      <c r="CI226" s="22"/>
      <c r="CJ226" s="149"/>
      <c r="CK226" s="241"/>
    </row>
    <row r="227" spans="1:89" ht="15" customHeight="1" x14ac:dyDescent="0.35">
      <c r="A227" s="17"/>
      <c r="B227" s="313">
        <v>69045</v>
      </c>
      <c r="C227" s="8" t="s">
        <v>690</v>
      </c>
      <c r="D227" s="18">
        <v>16</v>
      </c>
      <c r="E227" s="131"/>
      <c r="F227" s="22"/>
      <c r="G227" s="132"/>
      <c r="H227" s="22"/>
      <c r="I227" s="22"/>
      <c r="J227" s="22"/>
      <c r="K227" s="22"/>
      <c r="L227" s="22"/>
      <c r="M227" s="133"/>
      <c r="N227" s="22"/>
      <c r="O227" s="22"/>
      <c r="P227" s="22"/>
      <c r="Q227" s="20"/>
      <c r="R227" s="20"/>
      <c r="S227" s="20"/>
      <c r="T227" s="20"/>
      <c r="U227" s="20"/>
      <c r="V227" s="20"/>
      <c r="W227" s="20"/>
      <c r="X227" s="20"/>
      <c r="Y227" s="20"/>
      <c r="Z227" s="20"/>
      <c r="AA227" s="20"/>
      <c r="AB227" s="22"/>
      <c r="AC227" s="20"/>
      <c r="AD227" s="20"/>
      <c r="AE227" s="20"/>
      <c r="AF227" s="20" t="s">
        <v>1124</v>
      </c>
      <c r="AG227" s="20" t="s">
        <v>1124</v>
      </c>
      <c r="AH227" s="20" t="s">
        <v>1124</v>
      </c>
      <c r="AI227" s="328"/>
      <c r="AJ227" s="328"/>
      <c r="AK227" s="328"/>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0"/>
      <c r="BY227" s="20"/>
      <c r="BZ227" s="20"/>
      <c r="CA227" s="20"/>
      <c r="CB227" s="20"/>
      <c r="CC227" s="20"/>
      <c r="CD227" s="22"/>
      <c r="CE227" s="22"/>
      <c r="CF227" s="22"/>
      <c r="CG227" s="22"/>
      <c r="CH227" s="22"/>
      <c r="CI227" s="22"/>
      <c r="CJ227" s="149"/>
      <c r="CK227" s="241"/>
    </row>
    <row r="228" spans="1:89" ht="15" customHeight="1" x14ac:dyDescent="0.35">
      <c r="A228" s="17"/>
      <c r="B228" s="313">
        <v>19070</v>
      </c>
      <c r="C228" s="8" t="s">
        <v>130</v>
      </c>
      <c r="D228" s="18">
        <v>12</v>
      </c>
      <c r="E228" s="131" t="s">
        <v>1309</v>
      </c>
      <c r="F228" s="22" t="s">
        <v>1309</v>
      </c>
      <c r="G228" s="132" t="s">
        <v>1309</v>
      </c>
      <c r="H228" s="22" t="s">
        <v>1311</v>
      </c>
      <c r="I228" s="22" t="s">
        <v>1327</v>
      </c>
      <c r="J228" s="22" t="s">
        <v>1327</v>
      </c>
      <c r="K228" s="22" t="s">
        <v>1319</v>
      </c>
      <c r="L228" s="22" t="s">
        <v>1311</v>
      </c>
      <c r="M228" s="133" t="s">
        <v>1311</v>
      </c>
      <c r="N228" s="22" t="s">
        <v>1311</v>
      </c>
      <c r="O228" s="22" t="s">
        <v>1314</v>
      </c>
      <c r="P228" s="22" t="s">
        <v>1315</v>
      </c>
      <c r="Q228" s="20">
        <v>0</v>
      </c>
      <c r="R228" s="20">
        <v>0</v>
      </c>
      <c r="S228" s="20">
        <v>0</v>
      </c>
      <c r="T228" s="20">
        <v>0</v>
      </c>
      <c r="U228" s="20">
        <v>0</v>
      </c>
      <c r="V228" s="20">
        <v>0</v>
      </c>
      <c r="W228" s="20">
        <v>0</v>
      </c>
      <c r="X228" s="20">
        <v>0</v>
      </c>
      <c r="Y228" s="20">
        <v>0</v>
      </c>
      <c r="Z228" s="20">
        <v>0</v>
      </c>
      <c r="AA228" s="20" t="s">
        <v>1317</v>
      </c>
      <c r="AB228" s="22" t="s">
        <v>1315</v>
      </c>
      <c r="AC228" s="20">
        <v>0</v>
      </c>
      <c r="AD228" s="20">
        <v>0</v>
      </c>
      <c r="AE228" s="20">
        <v>0</v>
      </c>
      <c r="AF228" s="20">
        <v>0</v>
      </c>
      <c r="AG228" s="20">
        <v>0</v>
      </c>
      <c r="AH228" s="20">
        <v>0</v>
      </c>
      <c r="AI228" s="328" t="s">
        <v>1328</v>
      </c>
      <c r="AJ228" s="328" t="s">
        <v>1328</v>
      </c>
      <c r="AK228" s="328" t="s">
        <v>1328</v>
      </c>
      <c r="AL228" s="22" t="s">
        <v>1316</v>
      </c>
      <c r="AM228" s="22" t="s">
        <v>1316</v>
      </c>
      <c r="AN228" s="22" t="s">
        <v>1317</v>
      </c>
      <c r="AO228" s="22" t="s">
        <v>1318</v>
      </c>
      <c r="AP228" s="22" t="s">
        <v>1318</v>
      </c>
      <c r="AQ228" s="22" t="s">
        <v>1318</v>
      </c>
      <c r="AR228" s="22" t="s">
        <v>1317</v>
      </c>
      <c r="AS228" s="22" t="s">
        <v>1318</v>
      </c>
      <c r="AT228" s="22" t="s">
        <v>1317</v>
      </c>
      <c r="AU228" s="22" t="s">
        <v>1318</v>
      </c>
      <c r="AV228" s="22" t="s">
        <v>1317</v>
      </c>
      <c r="AW228" s="22" t="s">
        <v>1318</v>
      </c>
      <c r="AX228" s="22" t="s">
        <v>1317</v>
      </c>
      <c r="AY228" s="22" t="s">
        <v>1318</v>
      </c>
      <c r="AZ228" s="22" t="s">
        <v>1319</v>
      </c>
      <c r="BA228" s="22" t="s">
        <v>1311</v>
      </c>
      <c r="BB228" s="22" t="s">
        <v>1309</v>
      </c>
      <c r="BC228" s="22" t="s">
        <v>1311</v>
      </c>
      <c r="BD228" s="22" t="s">
        <v>1317</v>
      </c>
      <c r="BE228" s="22" t="s">
        <v>1318</v>
      </c>
      <c r="BF228" s="22" t="s">
        <v>1317</v>
      </c>
      <c r="BG228" s="22" t="s">
        <v>1318</v>
      </c>
      <c r="BH228" s="22" t="s">
        <v>1317</v>
      </c>
      <c r="BI228" s="22" t="s">
        <v>1318</v>
      </c>
      <c r="BJ228" s="22" t="s">
        <v>1319</v>
      </c>
      <c r="BK228" s="22" t="s">
        <v>1311</v>
      </c>
      <c r="BL228" s="22" t="s">
        <v>1317</v>
      </c>
      <c r="BM228" s="22" t="s">
        <v>1311</v>
      </c>
      <c r="BN228" s="22" t="s">
        <v>1317</v>
      </c>
      <c r="BO228" s="22" t="s">
        <v>1311</v>
      </c>
      <c r="BP228" s="22" t="s">
        <v>1309</v>
      </c>
      <c r="BQ228" s="22" t="s">
        <v>1309</v>
      </c>
      <c r="BR228" s="22" t="s">
        <v>1309</v>
      </c>
      <c r="BS228" s="22" t="s">
        <v>1309</v>
      </c>
      <c r="BT228" s="22" t="s">
        <v>1309</v>
      </c>
      <c r="BU228" s="22" t="s">
        <v>1309</v>
      </c>
      <c r="BV228" s="22" t="s">
        <v>1317</v>
      </c>
      <c r="BW228" s="22" t="s">
        <v>1318</v>
      </c>
      <c r="BX228" s="20">
        <v>0</v>
      </c>
      <c r="BY228" s="20">
        <v>0</v>
      </c>
      <c r="BZ228" s="20">
        <v>13</v>
      </c>
      <c r="CA228" s="20">
        <v>0</v>
      </c>
      <c r="CB228" s="20">
        <v>0</v>
      </c>
      <c r="CC228" s="20">
        <v>131</v>
      </c>
      <c r="CD228" s="22" t="s">
        <v>1317</v>
      </c>
      <c r="CE228" s="22" t="s">
        <v>1318</v>
      </c>
      <c r="CF228" s="22" t="s">
        <v>1317</v>
      </c>
      <c r="CG228" s="22" t="s">
        <v>1318</v>
      </c>
      <c r="CH228" s="22" t="s">
        <v>1317</v>
      </c>
      <c r="CI228" s="22" t="s">
        <v>1318</v>
      </c>
      <c r="CJ228" s="149" t="s">
        <v>1124</v>
      </c>
      <c r="CK228" s="241" t="s">
        <v>1386</v>
      </c>
    </row>
    <row r="229" spans="1:89" ht="15" customHeight="1" x14ac:dyDescent="0.35">
      <c r="A229" s="17"/>
      <c r="B229" s="313">
        <v>5025</v>
      </c>
      <c r="C229" s="8" t="s">
        <v>1047</v>
      </c>
      <c r="D229" s="18">
        <v>11</v>
      </c>
      <c r="E229" s="131"/>
      <c r="F229" s="22"/>
      <c r="G229" s="132"/>
      <c r="H229" s="22"/>
      <c r="I229" s="22"/>
      <c r="J229" s="22"/>
      <c r="K229" s="22"/>
      <c r="L229" s="22"/>
      <c r="M229" s="133"/>
      <c r="N229" s="22"/>
      <c r="O229" s="22"/>
      <c r="P229" s="22"/>
      <c r="Q229" s="20"/>
      <c r="R229" s="20"/>
      <c r="S229" s="20"/>
      <c r="T229" s="20"/>
      <c r="U229" s="20"/>
      <c r="V229" s="20"/>
      <c r="W229" s="20"/>
      <c r="X229" s="20"/>
      <c r="Y229" s="20"/>
      <c r="Z229" s="20"/>
      <c r="AA229" s="20"/>
      <c r="AB229" s="22"/>
      <c r="AC229" s="20"/>
      <c r="AD229" s="20"/>
      <c r="AE229" s="20"/>
      <c r="AF229" s="20" t="s">
        <v>1124</v>
      </c>
      <c r="AG229" s="20" t="s">
        <v>1124</v>
      </c>
      <c r="AH229" s="20" t="s">
        <v>1124</v>
      </c>
      <c r="AI229" s="328"/>
      <c r="AJ229" s="328"/>
      <c r="AK229" s="328"/>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0"/>
      <c r="BY229" s="20"/>
      <c r="BZ229" s="20"/>
      <c r="CA229" s="20"/>
      <c r="CB229" s="20"/>
      <c r="CC229" s="20"/>
      <c r="CD229" s="22"/>
      <c r="CE229" s="22"/>
      <c r="CF229" s="22"/>
      <c r="CG229" s="22"/>
      <c r="CH229" s="22"/>
      <c r="CI229" s="22"/>
      <c r="CJ229" s="149"/>
      <c r="CK229" s="241"/>
    </row>
    <row r="230" spans="1:89" ht="15" customHeight="1" x14ac:dyDescent="0.35">
      <c r="A230" s="17"/>
      <c r="B230" s="313">
        <v>5020</v>
      </c>
      <c r="C230" s="8" t="s">
        <v>1046</v>
      </c>
      <c r="D230" s="18">
        <v>11</v>
      </c>
      <c r="E230" s="131"/>
      <c r="F230" s="22"/>
      <c r="G230" s="132"/>
      <c r="H230" s="22"/>
      <c r="I230" s="22"/>
      <c r="J230" s="22"/>
      <c r="K230" s="22"/>
      <c r="L230" s="22"/>
      <c r="M230" s="133"/>
      <c r="N230" s="22"/>
      <c r="O230" s="22"/>
      <c r="P230" s="22"/>
      <c r="Q230" s="20"/>
      <c r="R230" s="20"/>
      <c r="S230" s="20"/>
      <c r="T230" s="20"/>
      <c r="U230" s="20"/>
      <c r="V230" s="20"/>
      <c r="W230" s="20"/>
      <c r="X230" s="20"/>
      <c r="Y230" s="20"/>
      <c r="Z230" s="20"/>
      <c r="AA230" s="20"/>
      <c r="AB230" s="22"/>
      <c r="AC230" s="20"/>
      <c r="AD230" s="20"/>
      <c r="AE230" s="20"/>
      <c r="AF230" s="20" t="s">
        <v>1124</v>
      </c>
      <c r="AG230" s="20" t="s">
        <v>1124</v>
      </c>
      <c r="AH230" s="20" t="s">
        <v>1124</v>
      </c>
      <c r="AI230" s="328"/>
      <c r="AJ230" s="328"/>
      <c r="AK230" s="328"/>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0"/>
      <c r="BY230" s="20"/>
      <c r="BZ230" s="20"/>
      <c r="CA230" s="20"/>
      <c r="CB230" s="20"/>
      <c r="CC230" s="20"/>
      <c r="CD230" s="22"/>
      <c r="CE230" s="22"/>
      <c r="CF230" s="22"/>
      <c r="CG230" s="22"/>
      <c r="CH230" s="22"/>
      <c r="CI230" s="22"/>
      <c r="CJ230" s="149"/>
      <c r="CK230" s="241"/>
    </row>
    <row r="231" spans="1:89" ht="15" customHeight="1" x14ac:dyDescent="0.35">
      <c r="A231" s="17"/>
      <c r="B231" s="313">
        <v>69025</v>
      </c>
      <c r="C231" s="8" t="s">
        <v>687</v>
      </c>
      <c r="D231" s="18">
        <v>16</v>
      </c>
      <c r="E231" s="131"/>
      <c r="F231" s="22"/>
      <c r="G231" s="132"/>
      <c r="H231" s="22"/>
      <c r="I231" s="22"/>
      <c r="J231" s="22"/>
      <c r="K231" s="22"/>
      <c r="L231" s="22"/>
      <c r="M231" s="133"/>
      <c r="N231" s="22"/>
      <c r="O231" s="22"/>
      <c r="P231" s="22"/>
      <c r="Q231" s="20"/>
      <c r="R231" s="20"/>
      <c r="S231" s="20"/>
      <c r="T231" s="20"/>
      <c r="U231" s="20"/>
      <c r="V231" s="20"/>
      <c r="W231" s="20"/>
      <c r="X231" s="20"/>
      <c r="Y231" s="20"/>
      <c r="Z231" s="20"/>
      <c r="AA231" s="20"/>
      <c r="AB231" s="22"/>
      <c r="AC231" s="20"/>
      <c r="AD231" s="20"/>
      <c r="AE231" s="20"/>
      <c r="AF231" s="20" t="s">
        <v>1124</v>
      </c>
      <c r="AG231" s="20" t="s">
        <v>1124</v>
      </c>
      <c r="AH231" s="20" t="s">
        <v>1124</v>
      </c>
      <c r="AI231" s="328"/>
      <c r="AJ231" s="328"/>
      <c r="AK231" s="328"/>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0"/>
      <c r="BY231" s="20"/>
      <c r="BZ231" s="20"/>
      <c r="CA231" s="20"/>
      <c r="CB231" s="20"/>
      <c r="CC231" s="20"/>
      <c r="CD231" s="22"/>
      <c r="CE231" s="22"/>
      <c r="CF231" s="22"/>
      <c r="CG231" s="22"/>
      <c r="CH231" s="22"/>
      <c r="CI231" s="22"/>
      <c r="CJ231" s="149"/>
      <c r="CK231" s="241"/>
    </row>
    <row r="232" spans="1:89" ht="15" customHeight="1" x14ac:dyDescent="0.35">
      <c r="A232" s="17"/>
      <c r="B232" s="313">
        <v>78065</v>
      </c>
      <c r="C232" s="8" t="s">
        <v>776</v>
      </c>
      <c r="D232" s="18">
        <v>15</v>
      </c>
      <c r="E232" s="131" t="s">
        <v>1309</v>
      </c>
      <c r="F232" s="22" t="s">
        <v>1309</v>
      </c>
      <c r="G232" s="132" t="s">
        <v>1309</v>
      </c>
      <c r="H232" s="22" t="s">
        <v>1311</v>
      </c>
      <c r="I232" s="22" t="s">
        <v>1327</v>
      </c>
      <c r="J232" s="22" t="s">
        <v>1342</v>
      </c>
      <c r="K232" s="22" t="s">
        <v>1309</v>
      </c>
      <c r="L232" s="22" t="s">
        <v>1309</v>
      </c>
      <c r="M232" s="133" t="s">
        <v>1311</v>
      </c>
      <c r="N232" s="22" t="s">
        <v>1311</v>
      </c>
      <c r="O232" s="22" t="s">
        <v>1314</v>
      </c>
      <c r="P232" s="22" t="s">
        <v>1318</v>
      </c>
      <c r="Q232" s="20">
        <v>8.2799999999999994</v>
      </c>
      <c r="R232" s="20">
        <v>8.2799999999999994</v>
      </c>
      <c r="S232" s="20">
        <v>8.2799999999999994</v>
      </c>
      <c r="T232" s="20">
        <v>8.2799999999999994</v>
      </c>
      <c r="U232" s="20">
        <v>0</v>
      </c>
      <c r="V232" s="20">
        <v>0</v>
      </c>
      <c r="W232" s="20">
        <v>0</v>
      </c>
      <c r="X232" s="20">
        <v>0</v>
      </c>
      <c r="Y232" s="20">
        <v>0</v>
      </c>
      <c r="Z232" s="20">
        <v>0</v>
      </c>
      <c r="AA232" s="20" t="s">
        <v>1317</v>
      </c>
      <c r="AB232" s="22" t="s">
        <v>1318</v>
      </c>
      <c r="AC232" s="20">
        <v>0</v>
      </c>
      <c r="AD232" s="20">
        <v>0</v>
      </c>
      <c r="AE232" s="20">
        <v>0</v>
      </c>
      <c r="AF232" s="20">
        <v>0</v>
      </c>
      <c r="AG232" s="20">
        <v>0</v>
      </c>
      <c r="AH232" s="20">
        <v>0</v>
      </c>
      <c r="AI232" s="328" t="s">
        <v>1328</v>
      </c>
      <c r="AJ232" s="328" t="s">
        <v>1328</v>
      </c>
      <c r="AK232" s="328" t="s">
        <v>1328</v>
      </c>
      <c r="AL232" s="22" t="s">
        <v>1316</v>
      </c>
      <c r="AM232" s="22" t="s">
        <v>1316</v>
      </c>
      <c r="AN232" s="22" t="s">
        <v>1317</v>
      </c>
      <c r="AO232" s="22" t="s">
        <v>1318</v>
      </c>
      <c r="AP232" s="22" t="s">
        <v>1318</v>
      </c>
      <c r="AQ232" s="22" t="s">
        <v>1318</v>
      </c>
      <c r="AR232" s="22" t="s">
        <v>1317</v>
      </c>
      <c r="AS232" s="22" t="s">
        <v>1318</v>
      </c>
      <c r="AT232" s="22" t="s">
        <v>1317</v>
      </c>
      <c r="AU232" s="22" t="s">
        <v>1318</v>
      </c>
      <c r="AV232" s="22" t="s">
        <v>1309</v>
      </c>
      <c r="AW232" s="22" t="s">
        <v>1309</v>
      </c>
      <c r="AX232" s="22" t="s">
        <v>1317</v>
      </c>
      <c r="AY232" s="22" t="s">
        <v>1318</v>
      </c>
      <c r="AZ232" s="22" t="s">
        <v>1317</v>
      </c>
      <c r="BA232" s="22" t="s">
        <v>1318</v>
      </c>
      <c r="BB232" s="22" t="s">
        <v>1309</v>
      </c>
      <c r="BC232" s="22" t="s">
        <v>1309</v>
      </c>
      <c r="BD232" s="22" t="s">
        <v>1317</v>
      </c>
      <c r="BE232" s="22" t="s">
        <v>1318</v>
      </c>
      <c r="BF232" s="22" t="s">
        <v>1309</v>
      </c>
      <c r="BG232" s="22" t="s">
        <v>1309</v>
      </c>
      <c r="BH232" s="22" t="s">
        <v>1309</v>
      </c>
      <c r="BI232" s="22" t="s">
        <v>1309</v>
      </c>
      <c r="BJ232" s="22" t="s">
        <v>1317</v>
      </c>
      <c r="BK232" s="22" t="s">
        <v>1318</v>
      </c>
      <c r="BL232" s="22" t="s">
        <v>1319</v>
      </c>
      <c r="BM232" s="22" t="s">
        <v>1311</v>
      </c>
      <c r="BN232" s="22" t="s">
        <v>1309</v>
      </c>
      <c r="BO232" s="22" t="s">
        <v>1309</v>
      </c>
      <c r="BP232" s="22" t="s">
        <v>1317</v>
      </c>
      <c r="BQ232" s="22" t="s">
        <v>1318</v>
      </c>
      <c r="BR232" s="22" t="s">
        <v>1309</v>
      </c>
      <c r="BS232" s="22" t="s">
        <v>1309</v>
      </c>
      <c r="BT232" s="22" t="s">
        <v>1309</v>
      </c>
      <c r="BU232" s="22" t="s">
        <v>1309</v>
      </c>
      <c r="BV232" s="22" t="s">
        <v>1309</v>
      </c>
      <c r="BW232" s="22" t="s">
        <v>1309</v>
      </c>
      <c r="BX232" s="20">
        <v>24</v>
      </c>
      <c r="BY232" s="20">
        <v>0</v>
      </c>
      <c r="BZ232" s="20">
        <v>0</v>
      </c>
      <c r="CA232" s="20">
        <v>41</v>
      </c>
      <c r="CB232" s="20">
        <v>0</v>
      </c>
      <c r="CC232" s="20">
        <v>160</v>
      </c>
      <c r="CD232" s="22" t="s">
        <v>1331</v>
      </c>
      <c r="CE232" s="22" t="s">
        <v>1331</v>
      </c>
      <c r="CF232" s="22" t="s">
        <v>1331</v>
      </c>
      <c r="CG232" s="22" t="s">
        <v>1331</v>
      </c>
      <c r="CH232" s="22" t="s">
        <v>1317</v>
      </c>
      <c r="CI232" s="22" t="s">
        <v>1318</v>
      </c>
      <c r="CJ232" s="149" t="s">
        <v>1853</v>
      </c>
      <c r="CK232" s="241" t="s">
        <v>1854</v>
      </c>
    </row>
    <row r="233" spans="1:89" ht="15" customHeight="1" x14ac:dyDescent="0.35">
      <c r="A233" s="17"/>
      <c r="B233" s="313">
        <v>71100</v>
      </c>
      <c r="C233" s="8" t="s">
        <v>720</v>
      </c>
      <c r="D233" s="18">
        <v>16</v>
      </c>
      <c r="E233" s="131" t="s">
        <v>1309</v>
      </c>
      <c r="F233" s="22" t="s">
        <v>1309</v>
      </c>
      <c r="G233" s="132" t="s">
        <v>1309</v>
      </c>
      <c r="H233" s="22" t="s">
        <v>1311</v>
      </c>
      <c r="I233" s="22" t="s">
        <v>1327</v>
      </c>
      <c r="J233" s="22" t="s">
        <v>1327</v>
      </c>
      <c r="K233" s="22" t="s">
        <v>1319</v>
      </c>
      <c r="L233" s="22" t="s">
        <v>1311</v>
      </c>
      <c r="M233" s="133" t="s">
        <v>1311</v>
      </c>
      <c r="N233" s="22" t="s">
        <v>1311</v>
      </c>
      <c r="O233" s="22" t="s">
        <v>1314</v>
      </c>
      <c r="P233" s="22" t="s">
        <v>1318</v>
      </c>
      <c r="Q233" s="20">
        <v>0</v>
      </c>
      <c r="R233" s="20">
        <v>0</v>
      </c>
      <c r="S233" s="20">
        <v>0</v>
      </c>
      <c r="T233" s="20">
        <v>0</v>
      </c>
      <c r="U233" s="20">
        <v>0</v>
      </c>
      <c r="V233" s="20">
        <v>63.009</v>
      </c>
      <c r="W233" s="20">
        <v>0</v>
      </c>
      <c r="X233" s="20">
        <v>0</v>
      </c>
      <c r="Y233" s="20">
        <v>0</v>
      </c>
      <c r="Z233" s="20">
        <v>0</v>
      </c>
      <c r="AA233" s="20" t="s">
        <v>1317</v>
      </c>
      <c r="AB233" s="22" t="s">
        <v>1318</v>
      </c>
      <c r="AC233" s="20">
        <v>0</v>
      </c>
      <c r="AD233" s="20">
        <v>0</v>
      </c>
      <c r="AE233" s="20">
        <v>0</v>
      </c>
      <c r="AF233" s="20">
        <v>0</v>
      </c>
      <c r="AG233" s="20">
        <v>0</v>
      </c>
      <c r="AH233" s="20">
        <v>0</v>
      </c>
      <c r="AI233" s="328" t="s">
        <v>1328</v>
      </c>
      <c r="AJ233" s="328" t="s">
        <v>1328</v>
      </c>
      <c r="AK233" s="328" t="s">
        <v>1328</v>
      </c>
      <c r="AL233" s="22" t="s">
        <v>1329</v>
      </c>
      <c r="AM233" s="22" t="s">
        <v>1330</v>
      </c>
      <c r="AN233" s="22" t="s">
        <v>1317</v>
      </c>
      <c r="AO233" s="22" t="s">
        <v>1318</v>
      </c>
      <c r="AP233" s="22" t="s">
        <v>1318</v>
      </c>
      <c r="AQ233" s="22" t="s">
        <v>1318</v>
      </c>
      <c r="AR233" s="22" t="s">
        <v>1317</v>
      </c>
      <c r="AS233" s="22" t="s">
        <v>1318</v>
      </c>
      <c r="AT233" s="22" t="s">
        <v>1317</v>
      </c>
      <c r="AU233" s="22" t="s">
        <v>1311</v>
      </c>
      <c r="AV233" s="22" t="s">
        <v>1317</v>
      </c>
      <c r="AW233" s="22" t="s">
        <v>1318</v>
      </c>
      <c r="AX233" s="22" t="s">
        <v>1317</v>
      </c>
      <c r="AY233" s="22" t="s">
        <v>1318</v>
      </c>
      <c r="AZ233" s="22" t="s">
        <v>1309</v>
      </c>
      <c r="BA233" s="22" t="s">
        <v>1309</v>
      </c>
      <c r="BB233" s="22" t="s">
        <v>1309</v>
      </c>
      <c r="BC233" s="22" t="s">
        <v>1309</v>
      </c>
      <c r="BD233" s="22" t="s">
        <v>1317</v>
      </c>
      <c r="BE233" s="22" t="s">
        <v>1318</v>
      </c>
      <c r="BF233" s="22" t="s">
        <v>1317</v>
      </c>
      <c r="BG233" s="22" t="s">
        <v>1318</v>
      </c>
      <c r="BH233" s="22" t="s">
        <v>1309</v>
      </c>
      <c r="BI233" s="22" t="s">
        <v>1309</v>
      </c>
      <c r="BJ233" s="22" t="s">
        <v>1317</v>
      </c>
      <c r="BK233" s="22" t="s">
        <v>1318</v>
      </c>
      <c r="BL233" s="22" t="s">
        <v>1317</v>
      </c>
      <c r="BM233" s="22" t="s">
        <v>1318</v>
      </c>
      <c r="BN233" s="22" t="s">
        <v>1317</v>
      </c>
      <c r="BO233" s="22" t="s">
        <v>1318</v>
      </c>
      <c r="BP233" s="22" t="s">
        <v>1309</v>
      </c>
      <c r="BQ233" s="22" t="s">
        <v>1309</v>
      </c>
      <c r="BR233" s="22" t="s">
        <v>1309</v>
      </c>
      <c r="BS233" s="22" t="s">
        <v>1309</v>
      </c>
      <c r="BT233" s="22" t="s">
        <v>1317</v>
      </c>
      <c r="BU233" s="22" t="s">
        <v>1318</v>
      </c>
      <c r="BV233" s="22" t="s">
        <v>1317</v>
      </c>
      <c r="BW233" s="22" t="s">
        <v>1318</v>
      </c>
      <c r="BX233" s="20">
        <v>0</v>
      </c>
      <c r="BY233" s="20">
        <v>0</v>
      </c>
      <c r="BZ233" s="20">
        <v>71</v>
      </c>
      <c r="CA233" s="20">
        <v>0</v>
      </c>
      <c r="CB233" s="20">
        <v>0</v>
      </c>
      <c r="CC233" s="20">
        <v>2267</v>
      </c>
      <c r="CD233" s="22" t="s">
        <v>1317</v>
      </c>
      <c r="CE233" s="22" t="s">
        <v>1318</v>
      </c>
      <c r="CF233" s="22" t="s">
        <v>1317</v>
      </c>
      <c r="CG233" s="22" t="s">
        <v>1318</v>
      </c>
      <c r="CH233" s="22" t="s">
        <v>1317</v>
      </c>
      <c r="CI233" s="22" t="s">
        <v>1318</v>
      </c>
      <c r="CJ233" s="149" t="s">
        <v>1124</v>
      </c>
      <c r="CK233" s="241" t="s">
        <v>3722</v>
      </c>
    </row>
    <row r="234" spans="1:89" ht="15" customHeight="1" x14ac:dyDescent="0.35">
      <c r="A234" s="17"/>
      <c r="B234" s="313">
        <v>69055</v>
      </c>
      <c r="C234" s="8" t="s">
        <v>692</v>
      </c>
      <c r="D234" s="18">
        <v>16</v>
      </c>
      <c r="E234" s="131"/>
      <c r="F234" s="22"/>
      <c r="G234" s="132"/>
      <c r="H234" s="22"/>
      <c r="I234" s="22"/>
      <c r="J234" s="22"/>
      <c r="K234" s="22"/>
      <c r="L234" s="22"/>
      <c r="M234" s="133"/>
      <c r="N234" s="22"/>
      <c r="O234" s="22"/>
      <c r="P234" s="22"/>
      <c r="Q234" s="20"/>
      <c r="R234" s="20"/>
      <c r="S234" s="20"/>
      <c r="T234" s="20"/>
      <c r="U234" s="20"/>
      <c r="V234" s="20"/>
      <c r="W234" s="20"/>
      <c r="X234" s="20"/>
      <c r="Y234" s="20"/>
      <c r="Z234" s="20"/>
      <c r="AA234" s="20"/>
      <c r="AB234" s="22"/>
      <c r="AC234" s="20"/>
      <c r="AD234" s="20"/>
      <c r="AE234" s="20"/>
      <c r="AF234" s="20" t="s">
        <v>1124</v>
      </c>
      <c r="AG234" s="20" t="s">
        <v>1124</v>
      </c>
      <c r="AH234" s="20" t="s">
        <v>1124</v>
      </c>
      <c r="AI234" s="328"/>
      <c r="AJ234" s="328"/>
      <c r="AK234" s="328"/>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0"/>
      <c r="BY234" s="20"/>
      <c r="BZ234" s="20"/>
      <c r="CA234" s="20"/>
      <c r="CB234" s="20"/>
      <c r="CC234" s="20"/>
      <c r="CD234" s="22"/>
      <c r="CE234" s="22"/>
      <c r="CF234" s="22"/>
      <c r="CG234" s="22"/>
      <c r="CH234" s="22"/>
      <c r="CI234" s="22"/>
      <c r="CJ234" s="149"/>
      <c r="CK234" s="241"/>
    </row>
    <row r="235" spans="1:89" ht="15" customHeight="1" x14ac:dyDescent="0.35">
      <c r="A235" s="17"/>
      <c r="B235" s="313">
        <v>32058</v>
      </c>
      <c r="C235" s="8" t="s">
        <v>262</v>
      </c>
      <c r="D235" s="18">
        <v>17</v>
      </c>
      <c r="E235" s="131"/>
      <c r="F235" s="22"/>
      <c r="G235" s="132"/>
      <c r="H235" s="22"/>
      <c r="I235" s="22"/>
      <c r="J235" s="22"/>
      <c r="K235" s="22"/>
      <c r="L235" s="22"/>
      <c r="M235" s="133"/>
      <c r="N235" s="22"/>
      <c r="O235" s="22"/>
      <c r="P235" s="22"/>
      <c r="Q235" s="20"/>
      <c r="R235" s="20"/>
      <c r="S235" s="20"/>
      <c r="T235" s="20"/>
      <c r="U235" s="20"/>
      <c r="V235" s="20"/>
      <c r="W235" s="20"/>
      <c r="X235" s="20"/>
      <c r="Y235" s="20"/>
      <c r="Z235" s="20"/>
      <c r="AA235" s="20"/>
      <c r="AB235" s="22"/>
      <c r="AC235" s="20"/>
      <c r="AD235" s="20"/>
      <c r="AE235" s="20"/>
      <c r="AF235" s="20" t="s">
        <v>1124</v>
      </c>
      <c r="AG235" s="20" t="s">
        <v>1124</v>
      </c>
      <c r="AH235" s="20" t="s">
        <v>1124</v>
      </c>
      <c r="AI235" s="328"/>
      <c r="AJ235" s="328"/>
      <c r="AK235" s="328"/>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0"/>
      <c r="BY235" s="20"/>
      <c r="BZ235" s="20"/>
      <c r="CA235" s="20"/>
      <c r="CB235" s="20"/>
      <c r="CC235" s="20"/>
      <c r="CD235" s="22"/>
      <c r="CE235" s="22"/>
      <c r="CF235" s="22"/>
      <c r="CG235" s="22"/>
      <c r="CH235" s="22"/>
      <c r="CI235" s="22"/>
      <c r="CJ235" s="149"/>
      <c r="CK235" s="241"/>
    </row>
    <row r="236" spans="1:89" ht="15" customHeight="1" x14ac:dyDescent="0.35">
      <c r="A236" s="17"/>
      <c r="B236" s="313">
        <v>31040</v>
      </c>
      <c r="C236" s="8" t="s">
        <v>243</v>
      </c>
      <c r="D236" s="18">
        <v>12</v>
      </c>
      <c r="E236" s="131"/>
      <c r="F236" s="22"/>
      <c r="G236" s="132"/>
      <c r="H236" s="22"/>
      <c r="I236" s="22"/>
      <c r="J236" s="22"/>
      <c r="K236" s="22"/>
      <c r="L236" s="22"/>
      <c r="M236" s="133"/>
      <c r="N236" s="22"/>
      <c r="O236" s="22"/>
      <c r="P236" s="22"/>
      <c r="Q236" s="20"/>
      <c r="R236" s="20"/>
      <c r="S236" s="20"/>
      <c r="T236" s="20"/>
      <c r="U236" s="20"/>
      <c r="V236" s="20"/>
      <c r="W236" s="20"/>
      <c r="X236" s="20"/>
      <c r="Y236" s="20"/>
      <c r="Z236" s="20"/>
      <c r="AA236" s="20"/>
      <c r="AB236" s="22"/>
      <c r="AC236" s="20"/>
      <c r="AD236" s="20"/>
      <c r="AE236" s="20"/>
      <c r="AF236" s="20" t="s">
        <v>1124</v>
      </c>
      <c r="AG236" s="20" t="s">
        <v>1124</v>
      </c>
      <c r="AH236" s="20" t="s">
        <v>1124</v>
      </c>
      <c r="AI236" s="328"/>
      <c r="AJ236" s="328"/>
      <c r="AK236" s="328"/>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0"/>
      <c r="BY236" s="20"/>
      <c r="BZ236" s="20"/>
      <c r="CA236" s="20"/>
      <c r="CB236" s="20"/>
      <c r="CC236" s="20"/>
      <c r="CD236" s="22"/>
      <c r="CE236" s="22"/>
      <c r="CF236" s="22"/>
      <c r="CG236" s="22"/>
      <c r="CH236" s="22"/>
      <c r="CI236" s="22"/>
      <c r="CJ236" s="149"/>
      <c r="CK236" s="241"/>
    </row>
    <row r="237" spans="1:89" ht="15" customHeight="1" x14ac:dyDescent="0.35">
      <c r="A237" s="17"/>
      <c r="B237" s="313">
        <v>78042</v>
      </c>
      <c r="C237" s="8" t="s">
        <v>771</v>
      </c>
      <c r="D237" s="18">
        <v>15</v>
      </c>
      <c r="E237" s="131"/>
      <c r="F237" s="22"/>
      <c r="G237" s="132"/>
      <c r="H237" s="22"/>
      <c r="I237" s="22"/>
      <c r="J237" s="22"/>
      <c r="K237" s="22"/>
      <c r="L237" s="22"/>
      <c r="M237" s="133"/>
      <c r="N237" s="22"/>
      <c r="O237" s="22"/>
      <c r="P237" s="22"/>
      <c r="Q237" s="20"/>
      <c r="R237" s="20"/>
      <c r="S237" s="20"/>
      <c r="T237" s="20"/>
      <c r="U237" s="20"/>
      <c r="V237" s="20"/>
      <c r="W237" s="20"/>
      <c r="X237" s="20"/>
      <c r="Y237" s="20"/>
      <c r="Z237" s="20"/>
      <c r="AA237" s="20"/>
      <c r="AB237" s="22"/>
      <c r="AC237" s="20"/>
      <c r="AD237" s="20"/>
      <c r="AE237" s="20"/>
      <c r="AF237" s="20" t="s">
        <v>1124</v>
      </c>
      <c r="AG237" s="20" t="s">
        <v>1124</v>
      </c>
      <c r="AH237" s="20" t="s">
        <v>1124</v>
      </c>
      <c r="AI237" s="328"/>
      <c r="AJ237" s="328"/>
      <c r="AK237" s="328"/>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0"/>
      <c r="BY237" s="20"/>
      <c r="BZ237" s="20"/>
      <c r="CA237" s="20"/>
      <c r="CB237" s="20"/>
      <c r="CC237" s="20"/>
      <c r="CD237" s="22"/>
      <c r="CE237" s="22"/>
      <c r="CF237" s="22"/>
      <c r="CG237" s="22"/>
      <c r="CH237" s="22"/>
      <c r="CI237" s="22"/>
      <c r="CJ237" s="149"/>
      <c r="CK237" s="241"/>
    </row>
    <row r="238" spans="1:89" ht="15" customHeight="1" x14ac:dyDescent="0.35">
      <c r="A238" s="17"/>
      <c r="B238" s="313">
        <v>61025</v>
      </c>
      <c r="C238" s="8" t="s">
        <v>612</v>
      </c>
      <c r="D238" s="18">
        <v>14</v>
      </c>
      <c r="E238" s="131" t="s">
        <v>1309</v>
      </c>
      <c r="F238" s="22" t="s">
        <v>1309</v>
      </c>
      <c r="G238" s="132" t="s">
        <v>1309</v>
      </c>
      <c r="H238" s="22" t="s">
        <v>1311</v>
      </c>
      <c r="I238" s="22" t="s">
        <v>1349</v>
      </c>
      <c r="J238" s="22" t="s">
        <v>1405</v>
      </c>
      <c r="K238" s="22" t="s">
        <v>1309</v>
      </c>
      <c r="L238" s="22" t="s">
        <v>1309</v>
      </c>
      <c r="M238" s="133" t="s">
        <v>1311</v>
      </c>
      <c r="N238" s="22" t="s">
        <v>1311</v>
      </c>
      <c r="O238" s="22" t="s">
        <v>1309</v>
      </c>
      <c r="P238" s="22" t="s">
        <v>1309</v>
      </c>
      <c r="Q238" s="20">
        <v>0</v>
      </c>
      <c r="R238" s="20">
        <v>0</v>
      </c>
      <c r="S238" s="20">
        <v>136.36600000000001</v>
      </c>
      <c r="T238" s="20">
        <v>136.36600000000001</v>
      </c>
      <c r="U238" s="20">
        <v>0</v>
      </c>
      <c r="V238" s="20">
        <v>0</v>
      </c>
      <c r="W238" s="20">
        <v>0</v>
      </c>
      <c r="X238" s="20">
        <v>0</v>
      </c>
      <c r="Y238" s="20">
        <v>0</v>
      </c>
      <c r="Z238" s="20">
        <v>0</v>
      </c>
      <c r="AA238" s="20" t="s">
        <v>1317</v>
      </c>
      <c r="AB238" s="22" t="s">
        <v>1318</v>
      </c>
      <c r="AC238" s="20">
        <v>18</v>
      </c>
      <c r="AD238" s="20">
        <v>0</v>
      </c>
      <c r="AE238" s="20">
        <v>0</v>
      </c>
      <c r="AF238" s="20">
        <v>2</v>
      </c>
      <c r="AG238" s="20">
        <v>0</v>
      </c>
      <c r="AH238" s="20">
        <v>0</v>
      </c>
      <c r="AI238" s="328">
        <v>13.199771203965797</v>
      </c>
      <c r="AJ238" s="328" t="s">
        <v>1328</v>
      </c>
      <c r="AK238" s="328" t="s">
        <v>1328</v>
      </c>
      <c r="AL238" s="22" t="s">
        <v>1329</v>
      </c>
      <c r="AM238" s="22" t="s">
        <v>1330</v>
      </c>
      <c r="AN238" s="22" t="s">
        <v>1317</v>
      </c>
      <c r="AO238" s="22" t="s">
        <v>1318</v>
      </c>
      <c r="AP238" s="22" t="s">
        <v>1318</v>
      </c>
      <c r="AQ238" s="22" t="s">
        <v>1318</v>
      </c>
      <c r="AR238" s="22" t="s">
        <v>1317</v>
      </c>
      <c r="AS238" s="22" t="s">
        <v>1318</v>
      </c>
      <c r="AT238" s="22" t="s">
        <v>1317</v>
      </c>
      <c r="AU238" s="22" t="s">
        <v>1318</v>
      </c>
      <c r="AV238" s="22" t="s">
        <v>1309</v>
      </c>
      <c r="AW238" s="22" t="s">
        <v>1311</v>
      </c>
      <c r="AX238" s="22" t="s">
        <v>1317</v>
      </c>
      <c r="AY238" s="22" t="s">
        <v>1318</v>
      </c>
      <c r="AZ238" s="22" t="s">
        <v>1309</v>
      </c>
      <c r="BA238" s="22" t="s">
        <v>1309</v>
      </c>
      <c r="BB238" s="22" t="s">
        <v>1317</v>
      </c>
      <c r="BC238" s="22" t="s">
        <v>1318</v>
      </c>
      <c r="BD238" s="22" t="s">
        <v>1317</v>
      </c>
      <c r="BE238" s="22" t="s">
        <v>1311</v>
      </c>
      <c r="BF238" s="22" t="s">
        <v>1317</v>
      </c>
      <c r="BG238" s="22" t="s">
        <v>1318</v>
      </c>
      <c r="BH238" s="22" t="s">
        <v>1317</v>
      </c>
      <c r="BI238" s="22" t="s">
        <v>1318</v>
      </c>
      <c r="BJ238" s="22" t="s">
        <v>1317</v>
      </c>
      <c r="BK238" s="22" t="s">
        <v>1318</v>
      </c>
      <c r="BL238" s="22" t="s">
        <v>1317</v>
      </c>
      <c r="BM238" s="22" t="s">
        <v>1318</v>
      </c>
      <c r="BN238" s="22" t="s">
        <v>1309</v>
      </c>
      <c r="BO238" s="22" t="s">
        <v>1309</v>
      </c>
      <c r="BP238" s="22" t="s">
        <v>1309</v>
      </c>
      <c r="BQ238" s="22" t="s">
        <v>1309</v>
      </c>
      <c r="BR238" s="22" t="s">
        <v>1309</v>
      </c>
      <c r="BS238" s="22" t="s">
        <v>1309</v>
      </c>
      <c r="BT238" s="22" t="s">
        <v>1309</v>
      </c>
      <c r="BU238" s="22" t="s">
        <v>1309</v>
      </c>
      <c r="BV238" s="22" t="s">
        <v>1309</v>
      </c>
      <c r="BW238" s="22" t="s">
        <v>1309</v>
      </c>
      <c r="BX238" s="20">
        <v>123</v>
      </c>
      <c r="BY238" s="20">
        <v>32</v>
      </c>
      <c r="BZ238" s="20">
        <v>495</v>
      </c>
      <c r="CA238" s="20">
        <v>0</v>
      </c>
      <c r="CB238" s="20">
        <v>0</v>
      </c>
      <c r="CC238" s="20">
        <v>5802</v>
      </c>
      <c r="CD238" s="22" t="s">
        <v>1320</v>
      </c>
      <c r="CE238" s="22" t="s">
        <v>1321</v>
      </c>
      <c r="CF238" s="22" t="s">
        <v>1320</v>
      </c>
      <c r="CG238" s="22" t="s">
        <v>1321</v>
      </c>
      <c r="CH238" s="22" t="s">
        <v>1317</v>
      </c>
      <c r="CI238" s="22" t="s">
        <v>1318</v>
      </c>
      <c r="CJ238" s="149" t="s">
        <v>1124</v>
      </c>
      <c r="CK238" s="241" t="s">
        <v>1859</v>
      </c>
    </row>
    <row r="239" spans="1:89" ht="15" customHeight="1" x14ac:dyDescent="0.35">
      <c r="A239" s="17"/>
      <c r="B239" s="313">
        <v>14050</v>
      </c>
      <c r="C239" s="8" t="s">
        <v>68</v>
      </c>
      <c r="D239" s="18">
        <v>1</v>
      </c>
      <c r="E239" s="131" t="s">
        <v>1319</v>
      </c>
      <c r="F239" s="22" t="s">
        <v>1490</v>
      </c>
      <c r="G239" s="132" t="s">
        <v>1309</v>
      </c>
      <c r="H239" s="22" t="s">
        <v>1311</v>
      </c>
      <c r="I239" s="22" t="s">
        <v>1327</v>
      </c>
      <c r="J239" s="22" t="s">
        <v>1327</v>
      </c>
      <c r="K239" s="22" t="s">
        <v>1309</v>
      </c>
      <c r="L239" s="22" t="s">
        <v>1309</v>
      </c>
      <c r="M239" s="133" t="s">
        <v>1311</v>
      </c>
      <c r="N239" s="22" t="s">
        <v>1311</v>
      </c>
      <c r="O239" s="22" t="s">
        <v>1309</v>
      </c>
      <c r="P239" s="22" t="s">
        <v>1309</v>
      </c>
      <c r="Q239" s="20">
        <v>0</v>
      </c>
      <c r="R239" s="20">
        <v>0</v>
      </c>
      <c r="S239" s="20">
        <v>0</v>
      </c>
      <c r="T239" s="20">
        <v>0</v>
      </c>
      <c r="U239" s="20">
        <v>0</v>
      </c>
      <c r="V239" s="20">
        <v>5</v>
      </c>
      <c r="W239" s="20">
        <v>0</v>
      </c>
      <c r="X239" s="20">
        <v>0</v>
      </c>
      <c r="Y239" s="20">
        <v>0</v>
      </c>
      <c r="Z239" s="20">
        <v>0</v>
      </c>
      <c r="AA239" s="20" t="s">
        <v>1317</v>
      </c>
      <c r="AB239" s="22" t="s">
        <v>1318</v>
      </c>
      <c r="AC239" s="20">
        <v>0</v>
      </c>
      <c r="AD239" s="20">
        <v>0</v>
      </c>
      <c r="AE239" s="20">
        <v>0</v>
      </c>
      <c r="AF239" s="20">
        <v>0</v>
      </c>
      <c r="AG239" s="20">
        <v>0</v>
      </c>
      <c r="AH239" s="20">
        <v>0</v>
      </c>
      <c r="AI239" s="328" t="s">
        <v>1328</v>
      </c>
      <c r="AJ239" s="328" t="s">
        <v>1328</v>
      </c>
      <c r="AK239" s="328" t="s">
        <v>1328</v>
      </c>
      <c r="AL239" s="22" t="s">
        <v>1329</v>
      </c>
      <c r="AM239" s="22" t="s">
        <v>1330</v>
      </c>
      <c r="AN239" s="22" t="s">
        <v>1317</v>
      </c>
      <c r="AO239" s="22" t="s">
        <v>1318</v>
      </c>
      <c r="AP239" s="22" t="s">
        <v>1318</v>
      </c>
      <c r="AQ239" s="22" t="s">
        <v>1318</v>
      </c>
      <c r="AR239" s="22" t="s">
        <v>1317</v>
      </c>
      <c r="AS239" s="22" t="s">
        <v>1318</v>
      </c>
      <c r="AT239" s="22" t="s">
        <v>1317</v>
      </c>
      <c r="AU239" s="22" t="s">
        <v>1318</v>
      </c>
      <c r="AV239" s="22" t="s">
        <v>1317</v>
      </c>
      <c r="AW239" s="22" t="s">
        <v>1318</v>
      </c>
      <c r="AX239" s="22" t="s">
        <v>1317</v>
      </c>
      <c r="AY239" s="22" t="s">
        <v>1318</v>
      </c>
      <c r="AZ239" s="22" t="s">
        <v>1309</v>
      </c>
      <c r="BA239" s="22" t="s">
        <v>1309</v>
      </c>
      <c r="BB239" s="22" t="s">
        <v>1309</v>
      </c>
      <c r="BC239" s="22" t="s">
        <v>1309</v>
      </c>
      <c r="BD239" s="22" t="s">
        <v>1317</v>
      </c>
      <c r="BE239" s="22" t="s">
        <v>1318</v>
      </c>
      <c r="BF239" s="22" t="s">
        <v>1309</v>
      </c>
      <c r="BG239" s="22" t="s">
        <v>1309</v>
      </c>
      <c r="BH239" s="22" t="s">
        <v>1317</v>
      </c>
      <c r="BI239" s="22" t="s">
        <v>1318</v>
      </c>
      <c r="BJ239" s="22" t="s">
        <v>1309</v>
      </c>
      <c r="BK239" s="22" t="s">
        <v>1309</v>
      </c>
      <c r="BL239" s="22" t="s">
        <v>1309</v>
      </c>
      <c r="BM239" s="22" t="s">
        <v>1309</v>
      </c>
      <c r="BN239" s="22" t="s">
        <v>1317</v>
      </c>
      <c r="BO239" s="22" t="s">
        <v>1318</v>
      </c>
      <c r="BP239" s="22" t="s">
        <v>1315</v>
      </c>
      <c r="BQ239" s="22" t="s">
        <v>1315</v>
      </c>
      <c r="BR239" s="22" t="s">
        <v>1309</v>
      </c>
      <c r="BS239" s="22" t="s">
        <v>1309</v>
      </c>
      <c r="BT239" s="22" t="s">
        <v>1315</v>
      </c>
      <c r="BU239" s="22" t="s">
        <v>1315</v>
      </c>
      <c r="BV239" s="22" t="s">
        <v>1309</v>
      </c>
      <c r="BW239" s="22" t="s">
        <v>1309</v>
      </c>
      <c r="BX239" s="20">
        <v>19</v>
      </c>
      <c r="BY239" s="20">
        <v>4</v>
      </c>
      <c r="BZ239" s="20">
        <v>5</v>
      </c>
      <c r="CA239" s="20">
        <v>142</v>
      </c>
      <c r="CB239" s="20">
        <v>48</v>
      </c>
      <c r="CC239" s="20">
        <v>0</v>
      </c>
      <c r="CD239" s="22" t="s">
        <v>1331</v>
      </c>
      <c r="CE239" s="22" t="s">
        <v>1331</v>
      </c>
      <c r="CF239" s="22" t="s">
        <v>1331</v>
      </c>
      <c r="CG239" s="22" t="s">
        <v>1331</v>
      </c>
      <c r="CH239" s="22" t="s">
        <v>1317</v>
      </c>
      <c r="CI239" s="22" t="s">
        <v>1318</v>
      </c>
      <c r="CJ239" s="149" t="s">
        <v>1864</v>
      </c>
      <c r="CK239" s="241" t="s">
        <v>1865</v>
      </c>
    </row>
    <row r="240" spans="1:89" ht="15" customHeight="1" x14ac:dyDescent="0.35">
      <c r="A240" s="17"/>
      <c r="B240" s="313">
        <v>83015</v>
      </c>
      <c r="C240" s="8" t="s">
        <v>837</v>
      </c>
      <c r="D240" s="18">
        <v>7</v>
      </c>
      <c r="E240" s="131"/>
      <c r="F240" s="22"/>
      <c r="G240" s="132"/>
      <c r="H240" s="22"/>
      <c r="I240" s="22"/>
      <c r="J240" s="22"/>
      <c r="K240" s="22"/>
      <c r="L240" s="22"/>
      <c r="M240" s="133"/>
      <c r="N240" s="22"/>
      <c r="O240" s="22"/>
      <c r="P240" s="22"/>
      <c r="Q240" s="20"/>
      <c r="R240" s="20"/>
      <c r="S240" s="20"/>
      <c r="T240" s="20"/>
      <c r="U240" s="20"/>
      <c r="V240" s="20"/>
      <c r="W240" s="20"/>
      <c r="X240" s="20"/>
      <c r="Y240" s="20"/>
      <c r="Z240" s="20"/>
      <c r="AA240" s="20"/>
      <c r="AB240" s="22"/>
      <c r="AC240" s="20"/>
      <c r="AD240" s="20"/>
      <c r="AE240" s="20"/>
      <c r="AF240" s="20" t="s">
        <v>1124</v>
      </c>
      <c r="AG240" s="20" t="s">
        <v>1124</v>
      </c>
      <c r="AH240" s="20" t="s">
        <v>1124</v>
      </c>
      <c r="AI240" s="328"/>
      <c r="AJ240" s="328"/>
      <c r="AK240" s="328"/>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0"/>
      <c r="BY240" s="20"/>
      <c r="BZ240" s="20"/>
      <c r="CA240" s="20"/>
      <c r="CB240" s="20"/>
      <c r="CC240" s="20"/>
      <c r="CD240" s="22"/>
      <c r="CE240" s="22"/>
      <c r="CF240" s="22"/>
      <c r="CG240" s="22"/>
      <c r="CH240" s="22"/>
      <c r="CI240" s="22"/>
      <c r="CJ240" s="149"/>
      <c r="CK240" s="241"/>
    </row>
    <row r="241" spans="1:89" ht="15" customHeight="1" x14ac:dyDescent="0.35">
      <c r="A241" s="17"/>
      <c r="B241" s="313">
        <v>79025</v>
      </c>
      <c r="C241" s="8" t="s">
        <v>790</v>
      </c>
      <c r="D241" s="18">
        <v>15</v>
      </c>
      <c r="E241" s="131" t="s">
        <v>1319</v>
      </c>
      <c r="F241" s="22" t="s">
        <v>1310</v>
      </c>
      <c r="G241" s="132" t="s">
        <v>1309</v>
      </c>
      <c r="H241" s="22" t="s">
        <v>1311</v>
      </c>
      <c r="I241" s="22" t="s">
        <v>1327</v>
      </c>
      <c r="J241" s="22" t="s">
        <v>1342</v>
      </c>
      <c r="K241" s="22" t="s">
        <v>1314</v>
      </c>
      <c r="L241" s="22" t="s">
        <v>1311</v>
      </c>
      <c r="M241" s="133" t="s">
        <v>1311</v>
      </c>
      <c r="N241" s="22" t="s">
        <v>1311</v>
      </c>
      <c r="O241" s="22" t="s">
        <v>1314</v>
      </c>
      <c r="P241" s="22" t="s">
        <v>1318</v>
      </c>
      <c r="Q241" s="20">
        <v>0</v>
      </c>
      <c r="R241" s="20">
        <v>0</v>
      </c>
      <c r="S241" s="20">
        <v>4.2939999999999996</v>
      </c>
      <c r="T241" s="20">
        <v>0</v>
      </c>
      <c r="U241" s="20">
        <v>0</v>
      </c>
      <c r="V241" s="20">
        <v>4.2939999999999996</v>
      </c>
      <c r="W241" s="20">
        <v>0</v>
      </c>
      <c r="X241" s="20">
        <v>0</v>
      </c>
      <c r="Y241" s="20">
        <v>0</v>
      </c>
      <c r="Z241" s="20">
        <v>0</v>
      </c>
      <c r="AA241" s="20" t="s">
        <v>1317</v>
      </c>
      <c r="AB241" s="22" t="s">
        <v>1311</v>
      </c>
      <c r="AC241" s="20">
        <v>0</v>
      </c>
      <c r="AD241" s="20">
        <v>0</v>
      </c>
      <c r="AE241" s="20">
        <v>0</v>
      </c>
      <c r="AF241" s="20">
        <v>0</v>
      </c>
      <c r="AG241" s="20">
        <v>0</v>
      </c>
      <c r="AH241" s="20">
        <v>0</v>
      </c>
      <c r="AI241" s="328" t="s">
        <v>1328</v>
      </c>
      <c r="AJ241" s="328" t="s">
        <v>1328</v>
      </c>
      <c r="AK241" s="328" t="s">
        <v>1328</v>
      </c>
      <c r="AL241" s="22" t="s">
        <v>1329</v>
      </c>
      <c r="AM241" s="22" t="s">
        <v>1330</v>
      </c>
      <c r="AN241" s="22" t="s">
        <v>1317</v>
      </c>
      <c r="AO241" s="22" t="s">
        <v>1318</v>
      </c>
      <c r="AP241" s="22" t="s">
        <v>1318</v>
      </c>
      <c r="AQ241" s="22" t="s">
        <v>1318</v>
      </c>
      <c r="AR241" s="22" t="s">
        <v>1317</v>
      </c>
      <c r="AS241" s="22" t="s">
        <v>1318</v>
      </c>
      <c r="AT241" s="22" t="s">
        <v>1309</v>
      </c>
      <c r="AU241" s="22" t="s">
        <v>1309</v>
      </c>
      <c r="AV241" s="22" t="s">
        <v>1317</v>
      </c>
      <c r="AW241" s="22" t="s">
        <v>1318</v>
      </c>
      <c r="AX241" s="22" t="s">
        <v>1317</v>
      </c>
      <c r="AY241" s="22" t="s">
        <v>1318</v>
      </c>
      <c r="AZ241" s="22" t="s">
        <v>1317</v>
      </c>
      <c r="BA241" s="22" t="s">
        <v>1311</v>
      </c>
      <c r="BB241" s="22" t="s">
        <v>1309</v>
      </c>
      <c r="BC241" s="22" t="s">
        <v>1309</v>
      </c>
      <c r="BD241" s="22" t="s">
        <v>1317</v>
      </c>
      <c r="BE241" s="22" t="s">
        <v>1318</v>
      </c>
      <c r="BF241" s="22" t="s">
        <v>1317</v>
      </c>
      <c r="BG241" s="22" t="s">
        <v>1318</v>
      </c>
      <c r="BH241" s="22" t="s">
        <v>1309</v>
      </c>
      <c r="BI241" s="22" t="s">
        <v>1309</v>
      </c>
      <c r="BJ241" s="22" t="s">
        <v>1317</v>
      </c>
      <c r="BK241" s="22" t="s">
        <v>1318</v>
      </c>
      <c r="BL241" s="22" t="s">
        <v>1317</v>
      </c>
      <c r="BM241" s="22" t="s">
        <v>1318</v>
      </c>
      <c r="BN241" s="22" t="s">
        <v>1309</v>
      </c>
      <c r="BO241" s="22" t="s">
        <v>1309</v>
      </c>
      <c r="BP241" s="22" t="s">
        <v>1315</v>
      </c>
      <c r="BQ241" s="22" t="s">
        <v>1315</v>
      </c>
      <c r="BR241" s="22" t="s">
        <v>1317</v>
      </c>
      <c r="BS241" s="22" t="s">
        <v>1318</v>
      </c>
      <c r="BT241" s="22" t="s">
        <v>1309</v>
      </c>
      <c r="BU241" s="22" t="s">
        <v>1309</v>
      </c>
      <c r="BV241" s="22" t="s">
        <v>1317</v>
      </c>
      <c r="BW241" s="22" t="s">
        <v>1318</v>
      </c>
      <c r="BX241" s="20">
        <v>0</v>
      </c>
      <c r="BY241" s="20">
        <v>0</v>
      </c>
      <c r="BZ241" s="20">
        <v>14</v>
      </c>
      <c r="CA241" s="20">
        <v>0</v>
      </c>
      <c r="CB241" s="20">
        <v>0</v>
      </c>
      <c r="CC241" s="20">
        <v>75</v>
      </c>
      <c r="CD241" s="22" t="s">
        <v>1317</v>
      </c>
      <c r="CE241" s="22" t="s">
        <v>1340</v>
      </c>
      <c r="CF241" s="22" t="s">
        <v>1317</v>
      </c>
      <c r="CG241" s="22" t="s">
        <v>1340</v>
      </c>
      <c r="CH241" s="22" t="s">
        <v>1317</v>
      </c>
      <c r="CI241" s="22" t="s">
        <v>1318</v>
      </c>
      <c r="CJ241" s="149" t="s">
        <v>1869</v>
      </c>
      <c r="CK241" s="241" t="s">
        <v>1870</v>
      </c>
    </row>
    <row r="242" spans="1:89" ht="15" customHeight="1" x14ac:dyDescent="0.35">
      <c r="A242" s="17"/>
      <c r="B242" s="313">
        <v>42070</v>
      </c>
      <c r="C242" s="8" t="s">
        <v>389</v>
      </c>
      <c r="D242" s="18">
        <v>5</v>
      </c>
      <c r="E242" s="131"/>
      <c r="F242" s="22"/>
      <c r="G242" s="132"/>
      <c r="H242" s="22"/>
      <c r="I242" s="22"/>
      <c r="J242" s="22"/>
      <c r="K242" s="22"/>
      <c r="L242" s="22"/>
      <c r="M242" s="133"/>
      <c r="N242" s="22"/>
      <c r="O242" s="22"/>
      <c r="P242" s="22"/>
      <c r="Q242" s="20"/>
      <c r="R242" s="20"/>
      <c r="S242" s="20"/>
      <c r="T242" s="20"/>
      <c r="U242" s="20"/>
      <c r="V242" s="20"/>
      <c r="W242" s="20"/>
      <c r="X242" s="20"/>
      <c r="Y242" s="20"/>
      <c r="Z242" s="20"/>
      <c r="AA242" s="20"/>
      <c r="AB242" s="22"/>
      <c r="AC242" s="20"/>
      <c r="AD242" s="20"/>
      <c r="AE242" s="20"/>
      <c r="AF242" s="20" t="s">
        <v>1124</v>
      </c>
      <c r="AG242" s="20" t="s">
        <v>1124</v>
      </c>
      <c r="AH242" s="20" t="s">
        <v>1124</v>
      </c>
      <c r="AI242" s="328"/>
      <c r="AJ242" s="328"/>
      <c r="AK242" s="328"/>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0"/>
      <c r="BY242" s="20"/>
      <c r="BZ242" s="20"/>
      <c r="CA242" s="20"/>
      <c r="CB242" s="20"/>
      <c r="CC242" s="20"/>
      <c r="CD242" s="22"/>
      <c r="CE242" s="22"/>
      <c r="CF242" s="22"/>
      <c r="CG242" s="22"/>
      <c r="CH242" s="22"/>
      <c r="CI242" s="22"/>
      <c r="CJ242" s="149"/>
      <c r="CK242" s="241"/>
    </row>
    <row r="243" spans="1:89" ht="15" customHeight="1" x14ac:dyDescent="0.35">
      <c r="A243" s="17"/>
      <c r="B243" s="313">
        <v>39097</v>
      </c>
      <c r="C243" s="8" t="s">
        <v>350</v>
      </c>
      <c r="D243" s="18">
        <v>17</v>
      </c>
      <c r="E243" s="131" t="s">
        <v>1309</v>
      </c>
      <c r="F243" s="22" t="s">
        <v>1309</v>
      </c>
      <c r="G243" s="132" t="s">
        <v>1309</v>
      </c>
      <c r="H243" s="22" t="s">
        <v>1311</v>
      </c>
      <c r="I243" s="22" t="s">
        <v>1327</v>
      </c>
      <c r="J243" s="22" t="s">
        <v>1327</v>
      </c>
      <c r="K243" s="22" t="s">
        <v>1314</v>
      </c>
      <c r="L243" s="22" t="s">
        <v>1311</v>
      </c>
      <c r="M243" s="133" t="s">
        <v>1311</v>
      </c>
      <c r="N243" s="22" t="s">
        <v>1311</v>
      </c>
      <c r="O243" s="22" t="s">
        <v>1309</v>
      </c>
      <c r="P243" s="22" t="s">
        <v>1309</v>
      </c>
      <c r="Q243" s="20">
        <v>0</v>
      </c>
      <c r="R243" s="20">
        <v>0</v>
      </c>
      <c r="S243" s="20">
        <v>0</v>
      </c>
      <c r="T243" s="20">
        <v>0</v>
      </c>
      <c r="U243" s="20">
        <v>13.099</v>
      </c>
      <c r="V243" s="20">
        <v>13.099</v>
      </c>
      <c r="W243" s="20">
        <v>0</v>
      </c>
      <c r="X243" s="20">
        <v>0</v>
      </c>
      <c r="Y243" s="20">
        <v>0</v>
      </c>
      <c r="Z243" s="20">
        <v>0</v>
      </c>
      <c r="AA243" s="20" t="s">
        <v>1309</v>
      </c>
      <c r="AB243" s="22" t="s">
        <v>1311</v>
      </c>
      <c r="AC243" s="20">
        <v>0</v>
      </c>
      <c r="AD243" s="20">
        <v>0</v>
      </c>
      <c r="AE243" s="20">
        <v>0</v>
      </c>
      <c r="AF243" s="20">
        <v>0</v>
      </c>
      <c r="AG243" s="20">
        <v>0</v>
      </c>
      <c r="AH243" s="20">
        <v>0</v>
      </c>
      <c r="AI243" s="328" t="s">
        <v>1328</v>
      </c>
      <c r="AJ243" s="328" t="s">
        <v>1328</v>
      </c>
      <c r="AK243" s="328" t="s">
        <v>1328</v>
      </c>
      <c r="AL243" s="22" t="s">
        <v>1329</v>
      </c>
      <c r="AM243" s="22" t="s">
        <v>1330</v>
      </c>
      <c r="AN243" s="22" t="s">
        <v>1347</v>
      </c>
      <c r="AO243" s="22" t="s">
        <v>1311</v>
      </c>
      <c r="AP243" s="22" t="s">
        <v>1347</v>
      </c>
      <c r="AQ243" s="22" t="s">
        <v>1313</v>
      </c>
      <c r="AR243" s="22" t="s">
        <v>1317</v>
      </c>
      <c r="AS243" s="22" t="s">
        <v>1318</v>
      </c>
      <c r="AT243" s="22" t="s">
        <v>1317</v>
      </c>
      <c r="AU243" s="22" t="s">
        <v>1311</v>
      </c>
      <c r="AV243" s="22" t="s">
        <v>1317</v>
      </c>
      <c r="AW243" s="22" t="s">
        <v>1318</v>
      </c>
      <c r="AX243" s="22" t="s">
        <v>1317</v>
      </c>
      <c r="AY243" s="22" t="s">
        <v>1318</v>
      </c>
      <c r="AZ243" s="22" t="s">
        <v>1317</v>
      </c>
      <c r="BA243" s="22" t="s">
        <v>1311</v>
      </c>
      <c r="BB243" s="22" t="s">
        <v>1309</v>
      </c>
      <c r="BC243" s="22" t="s">
        <v>1311</v>
      </c>
      <c r="BD243" s="22" t="s">
        <v>1317</v>
      </c>
      <c r="BE243" s="22" t="s">
        <v>1318</v>
      </c>
      <c r="BF243" s="22" t="s">
        <v>1317</v>
      </c>
      <c r="BG243" s="22" t="s">
        <v>1318</v>
      </c>
      <c r="BH243" s="22" t="s">
        <v>1317</v>
      </c>
      <c r="BI243" s="22" t="s">
        <v>1318</v>
      </c>
      <c r="BJ243" s="22" t="s">
        <v>1317</v>
      </c>
      <c r="BK243" s="22" t="s">
        <v>1318</v>
      </c>
      <c r="BL243" s="22" t="s">
        <v>1309</v>
      </c>
      <c r="BM243" s="22" t="s">
        <v>1309</v>
      </c>
      <c r="BN243" s="22" t="s">
        <v>1317</v>
      </c>
      <c r="BO243" s="22" t="s">
        <v>1318</v>
      </c>
      <c r="BP243" s="22" t="s">
        <v>1317</v>
      </c>
      <c r="BQ243" s="22" t="s">
        <v>1318</v>
      </c>
      <c r="BR243" s="22" t="s">
        <v>1309</v>
      </c>
      <c r="BS243" s="22" t="s">
        <v>1309</v>
      </c>
      <c r="BT243" s="22" t="s">
        <v>1317</v>
      </c>
      <c r="BU243" s="22" t="s">
        <v>1318</v>
      </c>
      <c r="BV243" s="22" t="s">
        <v>1317</v>
      </c>
      <c r="BW243" s="22" t="s">
        <v>1318</v>
      </c>
      <c r="BX243" s="20">
        <v>3</v>
      </c>
      <c r="BY243" s="20">
        <v>0</v>
      </c>
      <c r="BZ243" s="20">
        <v>46</v>
      </c>
      <c r="CA243" s="20">
        <v>0</v>
      </c>
      <c r="CB243" s="20">
        <v>0</v>
      </c>
      <c r="CC243" s="20">
        <v>475</v>
      </c>
      <c r="CD243" s="22" t="s">
        <v>1317</v>
      </c>
      <c r="CE243" s="22" t="s">
        <v>1318</v>
      </c>
      <c r="CF243" s="22" t="s">
        <v>1317</v>
      </c>
      <c r="CG243" s="22" t="s">
        <v>1318</v>
      </c>
      <c r="CH243" s="22" t="s">
        <v>1317</v>
      </c>
      <c r="CI243" s="22" t="s">
        <v>1318</v>
      </c>
      <c r="CJ243" s="149" t="s">
        <v>1124</v>
      </c>
      <c r="CK243" s="241" t="s">
        <v>1874</v>
      </c>
    </row>
    <row r="244" spans="1:89" ht="15" customHeight="1" x14ac:dyDescent="0.35">
      <c r="A244" s="17"/>
      <c r="B244" s="313">
        <v>31105</v>
      </c>
      <c r="C244" s="8" t="s">
        <v>251</v>
      </c>
      <c r="D244" s="18">
        <v>12</v>
      </c>
      <c r="E244" s="131"/>
      <c r="F244" s="22"/>
      <c r="G244" s="132"/>
      <c r="H244" s="22"/>
      <c r="I244" s="22"/>
      <c r="J244" s="22"/>
      <c r="K244" s="22"/>
      <c r="L244" s="22"/>
      <c r="M244" s="133"/>
      <c r="N244" s="22"/>
      <c r="O244" s="22"/>
      <c r="P244" s="22"/>
      <c r="Q244" s="20"/>
      <c r="R244" s="20"/>
      <c r="S244" s="20"/>
      <c r="T244" s="20"/>
      <c r="U244" s="20"/>
      <c r="V244" s="20"/>
      <c r="W244" s="20"/>
      <c r="X244" s="20"/>
      <c r="Y244" s="20"/>
      <c r="Z244" s="20"/>
      <c r="AA244" s="20"/>
      <c r="AB244" s="22"/>
      <c r="AC244" s="20"/>
      <c r="AD244" s="20"/>
      <c r="AE244" s="20"/>
      <c r="AF244" s="20" t="s">
        <v>1124</v>
      </c>
      <c r="AG244" s="20" t="s">
        <v>1124</v>
      </c>
      <c r="AH244" s="20" t="s">
        <v>1124</v>
      </c>
      <c r="AI244" s="328"/>
      <c r="AJ244" s="328"/>
      <c r="AK244" s="328"/>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0"/>
      <c r="BY244" s="20"/>
      <c r="BZ244" s="20"/>
      <c r="CA244" s="20"/>
      <c r="CB244" s="20"/>
      <c r="CC244" s="20"/>
      <c r="CD244" s="22"/>
      <c r="CE244" s="22"/>
      <c r="CF244" s="22"/>
      <c r="CG244" s="22"/>
      <c r="CH244" s="22"/>
      <c r="CI244" s="22"/>
      <c r="CJ244" s="149"/>
      <c r="CK244" s="241"/>
    </row>
    <row r="245" spans="1:89" ht="15" customHeight="1" x14ac:dyDescent="0.35">
      <c r="A245" s="17"/>
      <c r="B245" s="313">
        <v>85010</v>
      </c>
      <c r="C245" s="8" t="s">
        <v>871</v>
      </c>
      <c r="D245" s="18">
        <v>8</v>
      </c>
      <c r="E245" s="131" t="s">
        <v>1319</v>
      </c>
      <c r="F245" s="22" t="s">
        <v>1310</v>
      </c>
      <c r="G245" s="132" t="s">
        <v>1309</v>
      </c>
      <c r="H245" s="22" t="s">
        <v>1311</v>
      </c>
      <c r="I245" s="22" t="s">
        <v>1327</v>
      </c>
      <c r="J245" s="22" t="s">
        <v>1327</v>
      </c>
      <c r="K245" s="22" t="s">
        <v>1314</v>
      </c>
      <c r="L245" s="22" t="s">
        <v>1311</v>
      </c>
      <c r="M245" s="133" t="s">
        <v>1311</v>
      </c>
      <c r="N245" s="22" t="s">
        <v>1311</v>
      </c>
      <c r="O245" s="22" t="s">
        <v>1314</v>
      </c>
      <c r="P245" s="22" t="s">
        <v>1318</v>
      </c>
      <c r="Q245" s="20">
        <v>0</v>
      </c>
      <c r="R245" s="20">
        <v>0</v>
      </c>
      <c r="S245" s="20">
        <v>0</v>
      </c>
      <c r="T245" s="20">
        <v>0</v>
      </c>
      <c r="U245" s="20">
        <v>0</v>
      </c>
      <c r="V245" s="20">
        <v>0</v>
      </c>
      <c r="W245" s="20">
        <v>0</v>
      </c>
      <c r="X245" s="20">
        <v>0</v>
      </c>
      <c r="Y245" s="20">
        <v>0</v>
      </c>
      <c r="Z245" s="20">
        <v>0</v>
      </c>
      <c r="AA245" s="20" t="s">
        <v>1317</v>
      </c>
      <c r="AB245" s="22" t="s">
        <v>1318</v>
      </c>
      <c r="AC245" s="20">
        <v>0</v>
      </c>
      <c r="AD245" s="20">
        <v>0</v>
      </c>
      <c r="AE245" s="20">
        <v>0</v>
      </c>
      <c r="AF245" s="20">
        <v>0</v>
      </c>
      <c r="AG245" s="20">
        <v>0</v>
      </c>
      <c r="AH245" s="20">
        <v>0</v>
      </c>
      <c r="AI245" s="328" t="s">
        <v>1328</v>
      </c>
      <c r="AJ245" s="328" t="s">
        <v>1328</v>
      </c>
      <c r="AK245" s="328" t="s">
        <v>1328</v>
      </c>
      <c r="AL245" s="22" t="s">
        <v>1316</v>
      </c>
      <c r="AM245" s="22" t="s">
        <v>1316</v>
      </c>
      <c r="AN245" s="22" t="s">
        <v>1317</v>
      </c>
      <c r="AO245" s="22" t="s">
        <v>1318</v>
      </c>
      <c r="AP245" s="22" t="s">
        <v>1318</v>
      </c>
      <c r="AQ245" s="22" t="s">
        <v>1313</v>
      </c>
      <c r="AR245" s="22" t="s">
        <v>1317</v>
      </c>
      <c r="AS245" s="22" t="s">
        <v>1318</v>
      </c>
      <c r="AT245" s="22" t="s">
        <v>1317</v>
      </c>
      <c r="AU245" s="22" t="s">
        <v>1318</v>
      </c>
      <c r="AV245" s="22" t="s">
        <v>1317</v>
      </c>
      <c r="AW245" s="22" t="s">
        <v>1318</v>
      </c>
      <c r="AX245" s="22" t="s">
        <v>1317</v>
      </c>
      <c r="AY245" s="22" t="s">
        <v>1318</v>
      </c>
      <c r="AZ245" s="22" t="s">
        <v>1317</v>
      </c>
      <c r="BA245" s="22" t="s">
        <v>1318</v>
      </c>
      <c r="BB245" s="22" t="s">
        <v>1317</v>
      </c>
      <c r="BC245" s="22" t="s">
        <v>1318</v>
      </c>
      <c r="BD245" s="22" t="s">
        <v>1317</v>
      </c>
      <c r="BE245" s="22" t="s">
        <v>1318</v>
      </c>
      <c r="BF245" s="22" t="s">
        <v>1317</v>
      </c>
      <c r="BG245" s="22" t="s">
        <v>1318</v>
      </c>
      <c r="BH245" s="22" t="s">
        <v>1317</v>
      </c>
      <c r="BI245" s="22" t="s">
        <v>1318</v>
      </c>
      <c r="BJ245" s="22" t="s">
        <v>1317</v>
      </c>
      <c r="BK245" s="22" t="s">
        <v>1318</v>
      </c>
      <c r="BL245" s="22" t="s">
        <v>1317</v>
      </c>
      <c r="BM245" s="22" t="s">
        <v>1318</v>
      </c>
      <c r="BN245" s="22" t="s">
        <v>1317</v>
      </c>
      <c r="BO245" s="22" t="s">
        <v>1318</v>
      </c>
      <c r="BP245" s="22" t="s">
        <v>1317</v>
      </c>
      <c r="BQ245" s="22" t="s">
        <v>1318</v>
      </c>
      <c r="BR245" s="22" t="s">
        <v>1317</v>
      </c>
      <c r="BS245" s="22" t="s">
        <v>1318</v>
      </c>
      <c r="BT245" s="22" t="s">
        <v>1317</v>
      </c>
      <c r="BU245" s="22" t="s">
        <v>1318</v>
      </c>
      <c r="BV245" s="22" t="s">
        <v>1317</v>
      </c>
      <c r="BW245" s="22" t="s">
        <v>1318</v>
      </c>
      <c r="BX245" s="20">
        <v>0</v>
      </c>
      <c r="BY245" s="20">
        <v>0</v>
      </c>
      <c r="BZ245" s="20">
        <v>4</v>
      </c>
      <c r="CA245" s="20">
        <v>0</v>
      </c>
      <c r="CB245" s="20">
        <v>0</v>
      </c>
      <c r="CC245" s="20">
        <v>54</v>
      </c>
      <c r="CD245" s="22" t="s">
        <v>1317</v>
      </c>
      <c r="CE245" s="22" t="s">
        <v>1318</v>
      </c>
      <c r="CF245" s="22" t="s">
        <v>1317</v>
      </c>
      <c r="CG245" s="22" t="s">
        <v>1318</v>
      </c>
      <c r="CH245" s="22" t="s">
        <v>1317</v>
      </c>
      <c r="CI245" s="22" t="s">
        <v>1318</v>
      </c>
      <c r="CJ245" s="149" t="s">
        <v>1124</v>
      </c>
      <c r="CK245" s="241" t="s">
        <v>1124</v>
      </c>
    </row>
    <row r="246" spans="1:89" ht="15" customHeight="1" x14ac:dyDescent="0.35">
      <c r="A246" s="17"/>
      <c r="B246" s="313">
        <v>66102</v>
      </c>
      <c r="C246" s="8" t="s">
        <v>657</v>
      </c>
      <c r="D246" s="18">
        <v>6</v>
      </c>
      <c r="E246" s="131" t="s">
        <v>1309</v>
      </c>
      <c r="F246" s="22" t="s">
        <v>1309</v>
      </c>
      <c r="G246" s="132" t="s">
        <v>1309</v>
      </c>
      <c r="H246" s="22" t="s">
        <v>1311</v>
      </c>
      <c r="I246" s="22" t="s">
        <v>1315</v>
      </c>
      <c r="J246" s="22" t="s">
        <v>1315</v>
      </c>
      <c r="K246" s="22" t="s">
        <v>1309</v>
      </c>
      <c r="L246" s="22" t="s">
        <v>1309</v>
      </c>
      <c r="M246" s="133" t="s">
        <v>1311</v>
      </c>
      <c r="N246" s="22" t="s">
        <v>1311</v>
      </c>
      <c r="O246" s="22" t="s">
        <v>1309</v>
      </c>
      <c r="P246" s="22" t="s">
        <v>1309</v>
      </c>
      <c r="Q246" s="20">
        <v>0</v>
      </c>
      <c r="R246" s="20">
        <v>0</v>
      </c>
      <c r="S246" s="20">
        <v>117</v>
      </c>
      <c r="T246" s="20">
        <v>117</v>
      </c>
      <c r="U246" s="20">
        <v>0</v>
      </c>
      <c r="V246" s="20">
        <v>0</v>
      </c>
      <c r="W246" s="20">
        <v>0</v>
      </c>
      <c r="X246" s="20">
        <v>0</v>
      </c>
      <c r="Y246" s="20">
        <v>0</v>
      </c>
      <c r="Z246" s="20">
        <v>0</v>
      </c>
      <c r="AA246" s="20" t="s">
        <v>1317</v>
      </c>
      <c r="AB246" s="22" t="s">
        <v>1318</v>
      </c>
      <c r="AC246" s="20">
        <v>7</v>
      </c>
      <c r="AD246" s="20">
        <v>0</v>
      </c>
      <c r="AE246" s="20">
        <v>3</v>
      </c>
      <c r="AF246" s="20">
        <v>1</v>
      </c>
      <c r="AG246" s="20">
        <v>0</v>
      </c>
      <c r="AH246" s="20">
        <v>30</v>
      </c>
      <c r="AI246" s="328">
        <v>6.0242000722904008</v>
      </c>
      <c r="AJ246" s="328" t="s">
        <v>1328</v>
      </c>
      <c r="AK246" s="328">
        <v>0.43975373790677219</v>
      </c>
      <c r="AL246" s="22" t="s">
        <v>1316</v>
      </c>
      <c r="AM246" s="22" t="s">
        <v>1343</v>
      </c>
      <c r="AN246" s="22" t="s">
        <v>1317</v>
      </c>
      <c r="AO246" s="22" t="s">
        <v>1318</v>
      </c>
      <c r="AP246" s="22" t="s">
        <v>1318</v>
      </c>
      <c r="AQ246" s="22" t="s">
        <v>1318</v>
      </c>
      <c r="AR246" s="22" t="s">
        <v>1317</v>
      </c>
      <c r="AS246" s="22" t="s">
        <v>1311</v>
      </c>
      <c r="AT246" s="22" t="s">
        <v>1309</v>
      </c>
      <c r="AU246" s="22" t="s">
        <v>1309</v>
      </c>
      <c r="AV246" s="22" t="s">
        <v>1309</v>
      </c>
      <c r="AW246" s="22" t="s">
        <v>1309</v>
      </c>
      <c r="AX246" s="22" t="s">
        <v>1317</v>
      </c>
      <c r="AY246" s="22" t="s">
        <v>1318</v>
      </c>
      <c r="AZ246" s="22" t="s">
        <v>1309</v>
      </c>
      <c r="BA246" s="22" t="s">
        <v>1309</v>
      </c>
      <c r="BB246" s="22" t="s">
        <v>1309</v>
      </c>
      <c r="BC246" s="22" t="s">
        <v>1309</v>
      </c>
      <c r="BD246" s="22" t="s">
        <v>1309</v>
      </c>
      <c r="BE246" s="22" t="s">
        <v>1309</v>
      </c>
      <c r="BF246" s="22" t="s">
        <v>1309</v>
      </c>
      <c r="BG246" s="22" t="s">
        <v>1309</v>
      </c>
      <c r="BH246" s="22" t="s">
        <v>1317</v>
      </c>
      <c r="BI246" s="22" t="s">
        <v>1318</v>
      </c>
      <c r="BJ246" s="22" t="s">
        <v>1317</v>
      </c>
      <c r="BK246" s="22" t="s">
        <v>1318</v>
      </c>
      <c r="BL246" s="22" t="s">
        <v>1317</v>
      </c>
      <c r="BM246" s="22" t="s">
        <v>1311</v>
      </c>
      <c r="BN246" s="22" t="s">
        <v>1309</v>
      </c>
      <c r="BO246" s="22" t="s">
        <v>1309</v>
      </c>
      <c r="BP246" s="22" t="s">
        <v>1317</v>
      </c>
      <c r="BQ246" s="22" t="s">
        <v>1318</v>
      </c>
      <c r="BR246" s="22" t="s">
        <v>1309</v>
      </c>
      <c r="BS246" s="22" t="s">
        <v>1311</v>
      </c>
      <c r="BT246" s="22" t="s">
        <v>1317</v>
      </c>
      <c r="BU246" s="22" t="s">
        <v>1318</v>
      </c>
      <c r="BV246" s="22" t="s">
        <v>1317</v>
      </c>
      <c r="BW246" s="22" t="s">
        <v>1318</v>
      </c>
      <c r="BX246" s="20">
        <v>113</v>
      </c>
      <c r="BY246" s="20">
        <v>9</v>
      </c>
      <c r="BZ246" s="20">
        <v>2</v>
      </c>
      <c r="CA246" s="20">
        <v>6698</v>
      </c>
      <c r="CB246" s="20">
        <v>0</v>
      </c>
      <c r="CC246" s="20">
        <v>0</v>
      </c>
      <c r="CD246" s="22" t="s">
        <v>1331</v>
      </c>
      <c r="CE246" s="22" t="s">
        <v>1331</v>
      </c>
      <c r="CF246" s="22" t="s">
        <v>1331</v>
      </c>
      <c r="CG246" s="22" t="s">
        <v>1331</v>
      </c>
      <c r="CH246" s="22" t="s">
        <v>1315</v>
      </c>
      <c r="CI246" s="22" t="s">
        <v>1315</v>
      </c>
      <c r="CJ246" s="149" t="s">
        <v>1124</v>
      </c>
      <c r="CK246" s="241" t="s">
        <v>1124</v>
      </c>
    </row>
    <row r="247" spans="1:89" ht="15" customHeight="1" x14ac:dyDescent="0.35">
      <c r="A247" s="17"/>
      <c r="B247" s="313">
        <v>90017</v>
      </c>
      <c r="C247" s="8" t="s">
        <v>935</v>
      </c>
      <c r="D247" s="18">
        <v>4</v>
      </c>
      <c r="E247" s="131"/>
      <c r="F247" s="22"/>
      <c r="G247" s="132"/>
      <c r="H247" s="22"/>
      <c r="I247" s="22"/>
      <c r="J247" s="22"/>
      <c r="K247" s="22"/>
      <c r="L247" s="22"/>
      <c r="M247" s="133"/>
      <c r="N247" s="22"/>
      <c r="O247" s="22"/>
      <c r="P247" s="22"/>
      <c r="Q247" s="20"/>
      <c r="R247" s="20"/>
      <c r="S247" s="20"/>
      <c r="T247" s="20"/>
      <c r="U247" s="20"/>
      <c r="V247" s="20"/>
      <c r="W247" s="20"/>
      <c r="X247" s="20"/>
      <c r="Y247" s="20"/>
      <c r="Z247" s="20"/>
      <c r="AA247" s="20"/>
      <c r="AB247" s="22"/>
      <c r="AC247" s="20"/>
      <c r="AD247" s="20"/>
      <c r="AE247" s="20"/>
      <c r="AF247" s="20" t="s">
        <v>1124</v>
      </c>
      <c r="AG247" s="20" t="s">
        <v>1124</v>
      </c>
      <c r="AH247" s="20" t="s">
        <v>1124</v>
      </c>
      <c r="AI247" s="328"/>
      <c r="AJ247" s="328"/>
      <c r="AK247" s="328"/>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0"/>
      <c r="BY247" s="20"/>
      <c r="BZ247" s="20"/>
      <c r="CA247" s="20"/>
      <c r="CB247" s="20"/>
      <c r="CC247" s="20"/>
      <c r="CD247" s="22"/>
      <c r="CE247" s="22"/>
      <c r="CF247" s="22"/>
      <c r="CG247" s="22"/>
      <c r="CH247" s="22"/>
      <c r="CI247" s="22"/>
      <c r="CJ247" s="149"/>
      <c r="CK247" s="241"/>
    </row>
    <row r="248" spans="1:89" ht="15" customHeight="1" x14ac:dyDescent="0.35">
      <c r="A248" s="17"/>
      <c r="B248" s="313">
        <v>78115</v>
      </c>
      <c r="C248" s="8" t="s">
        <v>782</v>
      </c>
      <c r="D248" s="18">
        <v>15</v>
      </c>
      <c r="E248" s="131" t="s">
        <v>1309</v>
      </c>
      <c r="F248" s="22" t="s">
        <v>1309</v>
      </c>
      <c r="G248" s="132" t="s">
        <v>1309</v>
      </c>
      <c r="H248" s="22" t="s">
        <v>1311</v>
      </c>
      <c r="I248" s="22" t="s">
        <v>1327</v>
      </c>
      <c r="J248" s="22" t="s">
        <v>1327</v>
      </c>
      <c r="K248" s="22" t="s">
        <v>1309</v>
      </c>
      <c r="L248" s="22" t="s">
        <v>1309</v>
      </c>
      <c r="M248" s="133" t="s">
        <v>1311</v>
      </c>
      <c r="N248" s="22" t="s">
        <v>1311</v>
      </c>
      <c r="O248" s="22" t="s">
        <v>1314</v>
      </c>
      <c r="P248" s="22" t="s">
        <v>1311</v>
      </c>
      <c r="Q248" s="20">
        <v>0</v>
      </c>
      <c r="R248" s="20">
        <v>0</v>
      </c>
      <c r="S248" s="20">
        <v>0</v>
      </c>
      <c r="T248" s="20">
        <v>0</v>
      </c>
      <c r="U248" s="20">
        <v>0</v>
      </c>
      <c r="V248" s="20">
        <v>0</v>
      </c>
      <c r="W248" s="20">
        <v>0</v>
      </c>
      <c r="X248" s="20">
        <v>0</v>
      </c>
      <c r="Y248" s="20">
        <v>0</v>
      </c>
      <c r="Z248" s="20">
        <v>0</v>
      </c>
      <c r="AA248" s="20" t="s">
        <v>1315</v>
      </c>
      <c r="AB248" s="22" t="s">
        <v>1315</v>
      </c>
      <c r="AC248" s="20">
        <v>0</v>
      </c>
      <c r="AD248" s="20">
        <v>0</v>
      </c>
      <c r="AE248" s="20">
        <v>1</v>
      </c>
      <c r="AF248" s="20">
        <v>0</v>
      </c>
      <c r="AG248" s="20">
        <v>0</v>
      </c>
      <c r="AH248" s="20">
        <v>5</v>
      </c>
      <c r="AI248" s="328" t="s">
        <v>1328</v>
      </c>
      <c r="AJ248" s="328" t="s">
        <v>1328</v>
      </c>
      <c r="AK248" s="328">
        <v>2.8653295128939829</v>
      </c>
      <c r="AL248" s="22" t="s">
        <v>1329</v>
      </c>
      <c r="AM248" s="22" t="s">
        <v>1330</v>
      </c>
      <c r="AN248" s="22" t="s">
        <v>1315</v>
      </c>
      <c r="AO248" s="22" t="s">
        <v>1315</v>
      </c>
      <c r="AP248" s="22" t="s">
        <v>1315</v>
      </c>
      <c r="AQ248" s="22" t="s">
        <v>1315</v>
      </c>
      <c r="AR248" s="22" t="s">
        <v>1309</v>
      </c>
      <c r="AS248" s="22" t="s">
        <v>1311</v>
      </c>
      <c r="AT248" s="22" t="s">
        <v>1309</v>
      </c>
      <c r="AU248" s="22" t="s">
        <v>1311</v>
      </c>
      <c r="AV248" s="22" t="s">
        <v>1309</v>
      </c>
      <c r="AW248" s="22" t="s">
        <v>1311</v>
      </c>
      <c r="AX248" s="22" t="s">
        <v>1317</v>
      </c>
      <c r="AY248" s="22" t="s">
        <v>1318</v>
      </c>
      <c r="AZ248" s="22" t="s">
        <v>1309</v>
      </c>
      <c r="BA248" s="22" t="s">
        <v>1311</v>
      </c>
      <c r="BB248" s="22" t="s">
        <v>1309</v>
      </c>
      <c r="BC248" s="22" t="s">
        <v>1309</v>
      </c>
      <c r="BD248" s="22" t="s">
        <v>1317</v>
      </c>
      <c r="BE248" s="22" t="s">
        <v>1318</v>
      </c>
      <c r="BF248" s="22" t="s">
        <v>1317</v>
      </c>
      <c r="BG248" s="22" t="s">
        <v>1318</v>
      </c>
      <c r="BH248" s="22" t="s">
        <v>1317</v>
      </c>
      <c r="BI248" s="22" t="s">
        <v>1318</v>
      </c>
      <c r="BJ248" s="22" t="s">
        <v>1317</v>
      </c>
      <c r="BK248" s="22" t="s">
        <v>1318</v>
      </c>
      <c r="BL248" s="22" t="s">
        <v>1309</v>
      </c>
      <c r="BM248" s="22" t="s">
        <v>1309</v>
      </c>
      <c r="BN248" s="22" t="s">
        <v>1309</v>
      </c>
      <c r="BO248" s="22" t="s">
        <v>1309</v>
      </c>
      <c r="BP248" s="22" t="s">
        <v>1317</v>
      </c>
      <c r="BQ248" s="22" t="s">
        <v>1318</v>
      </c>
      <c r="BR248" s="22" t="s">
        <v>1309</v>
      </c>
      <c r="BS248" s="22" t="s">
        <v>1309</v>
      </c>
      <c r="BT248" s="22" t="s">
        <v>1309</v>
      </c>
      <c r="BU248" s="22" t="s">
        <v>1309</v>
      </c>
      <c r="BV248" s="22" t="s">
        <v>1309</v>
      </c>
      <c r="BW248" s="22" t="s">
        <v>1309</v>
      </c>
      <c r="BX248" s="20">
        <v>3</v>
      </c>
      <c r="BY248" s="20">
        <v>0</v>
      </c>
      <c r="BZ248" s="20">
        <v>8</v>
      </c>
      <c r="CA248" s="20">
        <v>0</v>
      </c>
      <c r="CB248" s="20">
        <v>0</v>
      </c>
      <c r="CC248" s="20">
        <v>298</v>
      </c>
      <c r="CD248" s="22" t="s">
        <v>1320</v>
      </c>
      <c r="CE248" s="22" t="s">
        <v>1318</v>
      </c>
      <c r="CF248" s="22" t="s">
        <v>1317</v>
      </c>
      <c r="CG248" s="22" t="s">
        <v>1318</v>
      </c>
      <c r="CH248" s="22" t="s">
        <v>1315</v>
      </c>
      <c r="CI248" s="22" t="s">
        <v>1318</v>
      </c>
      <c r="CJ248" s="149" t="s">
        <v>1124</v>
      </c>
      <c r="CK248" s="241" t="s">
        <v>1883</v>
      </c>
    </row>
    <row r="249" spans="1:89" ht="15" customHeight="1" x14ac:dyDescent="0.35">
      <c r="A249" s="17"/>
      <c r="B249" s="313">
        <v>88030</v>
      </c>
      <c r="C249" s="8" t="s">
        <v>915</v>
      </c>
      <c r="D249" s="18">
        <v>8</v>
      </c>
      <c r="E249" s="131"/>
      <c r="F249" s="22"/>
      <c r="G249" s="132"/>
      <c r="H249" s="22"/>
      <c r="I249" s="22"/>
      <c r="J249" s="22"/>
      <c r="K249" s="22"/>
      <c r="L249" s="22"/>
      <c r="M249" s="133"/>
      <c r="N249" s="22"/>
      <c r="O249" s="22"/>
      <c r="P249" s="22"/>
      <c r="Q249" s="20"/>
      <c r="R249" s="20"/>
      <c r="S249" s="20"/>
      <c r="T249" s="20"/>
      <c r="U249" s="20"/>
      <c r="V249" s="20"/>
      <c r="W249" s="20"/>
      <c r="X249" s="20"/>
      <c r="Y249" s="20"/>
      <c r="Z249" s="20"/>
      <c r="AA249" s="20"/>
      <c r="AB249" s="22"/>
      <c r="AC249" s="20"/>
      <c r="AD249" s="20"/>
      <c r="AE249" s="20"/>
      <c r="AF249" s="20" t="s">
        <v>1124</v>
      </c>
      <c r="AG249" s="20" t="s">
        <v>1124</v>
      </c>
      <c r="AH249" s="20" t="s">
        <v>1124</v>
      </c>
      <c r="AI249" s="328"/>
      <c r="AJ249" s="328"/>
      <c r="AK249" s="328"/>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0"/>
      <c r="BY249" s="20"/>
      <c r="BZ249" s="20"/>
      <c r="CA249" s="20"/>
      <c r="CB249" s="20"/>
      <c r="CC249" s="20"/>
      <c r="CD249" s="22"/>
      <c r="CE249" s="22"/>
      <c r="CF249" s="22"/>
      <c r="CG249" s="22"/>
      <c r="CH249" s="22"/>
      <c r="CI249" s="22"/>
      <c r="CJ249" s="149"/>
      <c r="CK249" s="241"/>
    </row>
    <row r="250" spans="1:89" ht="15" customHeight="1" x14ac:dyDescent="0.35">
      <c r="A250" s="17"/>
      <c r="B250" s="313">
        <v>91050</v>
      </c>
      <c r="C250" s="8" t="s">
        <v>945</v>
      </c>
      <c r="D250" s="18">
        <v>2</v>
      </c>
      <c r="E250" s="131" t="s">
        <v>1309</v>
      </c>
      <c r="F250" s="22" t="s">
        <v>1309</v>
      </c>
      <c r="G250" s="132" t="s">
        <v>1309</v>
      </c>
      <c r="H250" s="22" t="s">
        <v>1311</v>
      </c>
      <c r="I250" s="22" t="s">
        <v>1327</v>
      </c>
      <c r="J250" s="22" t="s">
        <v>1327</v>
      </c>
      <c r="K250" s="22" t="s">
        <v>1309</v>
      </c>
      <c r="L250" s="22" t="s">
        <v>1309</v>
      </c>
      <c r="M250" s="133" t="s">
        <v>1311</v>
      </c>
      <c r="N250" s="22" t="s">
        <v>1311</v>
      </c>
      <c r="O250" s="22" t="s">
        <v>1314</v>
      </c>
      <c r="P250" s="22" t="s">
        <v>1318</v>
      </c>
      <c r="Q250" s="20">
        <v>20.86</v>
      </c>
      <c r="R250" s="20">
        <v>20.86</v>
      </c>
      <c r="S250" s="20">
        <v>0</v>
      </c>
      <c r="T250" s="20">
        <v>0</v>
      </c>
      <c r="U250" s="20">
        <v>0</v>
      </c>
      <c r="V250" s="20">
        <v>0</v>
      </c>
      <c r="W250" s="20">
        <v>0</v>
      </c>
      <c r="X250" s="20">
        <v>0</v>
      </c>
      <c r="Y250" s="20">
        <v>0</v>
      </c>
      <c r="Z250" s="20">
        <v>0</v>
      </c>
      <c r="AA250" s="20" t="s">
        <v>1317</v>
      </c>
      <c r="AB250" s="22" t="s">
        <v>1311</v>
      </c>
      <c r="AC250" s="20">
        <v>3</v>
      </c>
      <c r="AD250" s="20">
        <v>3</v>
      </c>
      <c r="AE250" s="20">
        <v>1</v>
      </c>
      <c r="AF250" s="20">
        <v>1</v>
      </c>
      <c r="AG250" s="20">
        <v>1</v>
      </c>
      <c r="AH250" s="20">
        <v>30</v>
      </c>
      <c r="AI250" s="328">
        <v>14.381591562799617</v>
      </c>
      <c r="AJ250" s="328">
        <v>4.3731778425655978</v>
      </c>
      <c r="AK250" s="328">
        <v>1.4577259475218658</v>
      </c>
      <c r="AL250" s="22" t="s">
        <v>1338</v>
      </c>
      <c r="AM250" s="22" t="s">
        <v>1339</v>
      </c>
      <c r="AN250" s="22" t="s">
        <v>1317</v>
      </c>
      <c r="AO250" s="22" t="s">
        <v>1318</v>
      </c>
      <c r="AP250" s="22" t="s">
        <v>1318</v>
      </c>
      <c r="AQ250" s="22" t="s">
        <v>1318</v>
      </c>
      <c r="AR250" s="22" t="s">
        <v>1317</v>
      </c>
      <c r="AS250" s="22" t="s">
        <v>1318</v>
      </c>
      <c r="AT250" s="22" t="s">
        <v>1309</v>
      </c>
      <c r="AU250" s="22" t="s">
        <v>1309</v>
      </c>
      <c r="AV250" s="22" t="s">
        <v>1317</v>
      </c>
      <c r="AW250" s="22" t="s">
        <v>1318</v>
      </c>
      <c r="AX250" s="22" t="s">
        <v>1317</v>
      </c>
      <c r="AY250" s="22" t="s">
        <v>1318</v>
      </c>
      <c r="AZ250" s="22" t="s">
        <v>1309</v>
      </c>
      <c r="BA250" s="22" t="s">
        <v>1309</v>
      </c>
      <c r="BB250" s="22" t="s">
        <v>1309</v>
      </c>
      <c r="BC250" s="22" t="s">
        <v>1309</v>
      </c>
      <c r="BD250" s="22" t="s">
        <v>1317</v>
      </c>
      <c r="BE250" s="22" t="s">
        <v>1318</v>
      </c>
      <c r="BF250" s="22" t="s">
        <v>1317</v>
      </c>
      <c r="BG250" s="22" t="s">
        <v>1318</v>
      </c>
      <c r="BH250" s="22" t="s">
        <v>1309</v>
      </c>
      <c r="BI250" s="22" t="s">
        <v>1309</v>
      </c>
      <c r="BJ250" s="22" t="s">
        <v>1309</v>
      </c>
      <c r="BK250" s="22" t="s">
        <v>1309</v>
      </c>
      <c r="BL250" s="22" t="s">
        <v>1317</v>
      </c>
      <c r="BM250" s="22" t="s">
        <v>1318</v>
      </c>
      <c r="BN250" s="22" t="s">
        <v>1309</v>
      </c>
      <c r="BO250" s="22" t="s">
        <v>1309</v>
      </c>
      <c r="BP250" s="22" t="s">
        <v>1315</v>
      </c>
      <c r="BQ250" s="22" t="s">
        <v>1315</v>
      </c>
      <c r="BR250" s="22" t="s">
        <v>1309</v>
      </c>
      <c r="BS250" s="22" t="s">
        <v>1309</v>
      </c>
      <c r="BT250" s="22" t="s">
        <v>1309</v>
      </c>
      <c r="BU250" s="22" t="s">
        <v>1309</v>
      </c>
      <c r="BV250" s="22" t="s">
        <v>1309</v>
      </c>
      <c r="BW250" s="22" t="s">
        <v>1309</v>
      </c>
      <c r="BX250" s="20">
        <v>1</v>
      </c>
      <c r="BY250" s="20">
        <v>3</v>
      </c>
      <c r="BZ250" s="20">
        <v>74</v>
      </c>
      <c r="CA250" s="20">
        <v>0</v>
      </c>
      <c r="CB250" s="20">
        <v>12</v>
      </c>
      <c r="CC250" s="20">
        <v>596</v>
      </c>
      <c r="CD250" s="22" t="s">
        <v>1317</v>
      </c>
      <c r="CE250" s="22" t="s">
        <v>1340</v>
      </c>
      <c r="CF250" s="22" t="s">
        <v>1317</v>
      </c>
      <c r="CG250" s="22" t="s">
        <v>1340</v>
      </c>
      <c r="CH250" s="22" t="s">
        <v>1317</v>
      </c>
      <c r="CI250" s="22" t="s">
        <v>1318</v>
      </c>
      <c r="CJ250" s="149" t="s">
        <v>1124</v>
      </c>
      <c r="CK250" s="241" t="s">
        <v>1887</v>
      </c>
    </row>
    <row r="251" spans="1:89" ht="15" customHeight="1" x14ac:dyDescent="0.35">
      <c r="A251" s="17"/>
      <c r="B251" s="313">
        <v>19090</v>
      </c>
      <c r="C251" s="8" t="s">
        <v>133</v>
      </c>
      <c r="D251" s="18">
        <v>12</v>
      </c>
      <c r="E251" s="131" t="s">
        <v>1319</v>
      </c>
      <c r="F251" s="22" t="s">
        <v>1310</v>
      </c>
      <c r="G251" s="132" t="s">
        <v>1309</v>
      </c>
      <c r="H251" s="22" t="s">
        <v>1311</v>
      </c>
      <c r="I251" s="22" t="s">
        <v>1327</v>
      </c>
      <c r="J251" s="22" t="s">
        <v>1327</v>
      </c>
      <c r="K251" s="22" t="s">
        <v>1314</v>
      </c>
      <c r="L251" s="22" t="s">
        <v>1311</v>
      </c>
      <c r="M251" s="133" t="s">
        <v>1311</v>
      </c>
      <c r="N251" s="22" t="s">
        <v>1311</v>
      </c>
      <c r="O251" s="22" t="s">
        <v>1314</v>
      </c>
      <c r="P251" s="22" t="s">
        <v>1318</v>
      </c>
      <c r="Q251" s="20">
        <v>0</v>
      </c>
      <c r="R251" s="20">
        <v>0</v>
      </c>
      <c r="S251" s="20">
        <v>0</v>
      </c>
      <c r="T251" s="20">
        <v>0</v>
      </c>
      <c r="U251" s="20">
        <v>0</v>
      </c>
      <c r="V251" s="20">
        <v>0</v>
      </c>
      <c r="W251" s="20">
        <v>0</v>
      </c>
      <c r="X251" s="20">
        <v>0</v>
      </c>
      <c r="Y251" s="20">
        <v>0</v>
      </c>
      <c r="Z251" s="20">
        <v>0</v>
      </c>
      <c r="AA251" s="20" t="s">
        <v>1317</v>
      </c>
      <c r="AB251" s="22" t="s">
        <v>1318</v>
      </c>
      <c r="AC251" s="20">
        <v>0</v>
      </c>
      <c r="AD251" s="20">
        <v>0</v>
      </c>
      <c r="AE251" s="20">
        <v>1</v>
      </c>
      <c r="AF251" s="20">
        <v>0</v>
      </c>
      <c r="AG251" s="20">
        <v>0</v>
      </c>
      <c r="AH251" s="20">
        <v>5</v>
      </c>
      <c r="AI251" s="328" t="s">
        <v>1328</v>
      </c>
      <c r="AJ251" s="328" t="s">
        <v>1328</v>
      </c>
      <c r="AK251" s="328">
        <v>5.0505050505050502</v>
      </c>
      <c r="AL251" s="22" t="s">
        <v>1329</v>
      </c>
      <c r="AM251" s="22" t="s">
        <v>1330</v>
      </c>
      <c r="AN251" s="22" t="s">
        <v>1317</v>
      </c>
      <c r="AO251" s="22" t="s">
        <v>1318</v>
      </c>
      <c r="AP251" s="22" t="s">
        <v>1318</v>
      </c>
      <c r="AQ251" s="22" t="s">
        <v>1318</v>
      </c>
      <c r="AR251" s="22" t="s">
        <v>1317</v>
      </c>
      <c r="AS251" s="22" t="s">
        <v>1318</v>
      </c>
      <c r="AT251" s="22" t="s">
        <v>1309</v>
      </c>
      <c r="AU251" s="22" t="s">
        <v>1309</v>
      </c>
      <c r="AV251" s="22" t="s">
        <v>1317</v>
      </c>
      <c r="AW251" s="22" t="s">
        <v>1318</v>
      </c>
      <c r="AX251" s="22" t="s">
        <v>1317</v>
      </c>
      <c r="AY251" s="22" t="s">
        <v>1318</v>
      </c>
      <c r="AZ251" s="22" t="s">
        <v>1309</v>
      </c>
      <c r="BA251" s="22" t="s">
        <v>1309</v>
      </c>
      <c r="BB251" s="22" t="s">
        <v>1309</v>
      </c>
      <c r="BC251" s="22" t="s">
        <v>1309</v>
      </c>
      <c r="BD251" s="22" t="s">
        <v>1317</v>
      </c>
      <c r="BE251" s="22" t="s">
        <v>1318</v>
      </c>
      <c r="BF251" s="22" t="s">
        <v>1309</v>
      </c>
      <c r="BG251" s="22" t="s">
        <v>1309</v>
      </c>
      <c r="BH251" s="22" t="s">
        <v>1317</v>
      </c>
      <c r="BI251" s="22" t="s">
        <v>1318</v>
      </c>
      <c r="BJ251" s="22" t="s">
        <v>1317</v>
      </c>
      <c r="BK251" s="22" t="s">
        <v>1311</v>
      </c>
      <c r="BL251" s="22" t="s">
        <v>1317</v>
      </c>
      <c r="BM251" s="22" t="s">
        <v>1311</v>
      </c>
      <c r="BN251" s="22" t="s">
        <v>1319</v>
      </c>
      <c r="BO251" s="22" t="s">
        <v>1311</v>
      </c>
      <c r="BP251" s="22" t="s">
        <v>1315</v>
      </c>
      <c r="BQ251" s="22" t="s">
        <v>1315</v>
      </c>
      <c r="BR251" s="22" t="s">
        <v>1319</v>
      </c>
      <c r="BS251" s="22" t="s">
        <v>1311</v>
      </c>
      <c r="BT251" s="22" t="s">
        <v>1317</v>
      </c>
      <c r="BU251" s="22" t="s">
        <v>1311</v>
      </c>
      <c r="BV251" s="22" t="s">
        <v>1317</v>
      </c>
      <c r="BW251" s="22" t="s">
        <v>1318</v>
      </c>
      <c r="BX251" s="20">
        <v>0</v>
      </c>
      <c r="BY251" s="20">
        <v>16</v>
      </c>
      <c r="BZ251" s="20">
        <v>4</v>
      </c>
      <c r="CA251" s="20">
        <v>0</v>
      </c>
      <c r="CB251" s="20">
        <v>178</v>
      </c>
      <c r="CC251" s="20">
        <v>0</v>
      </c>
      <c r="CD251" s="22" t="s">
        <v>1320</v>
      </c>
      <c r="CE251" s="22" t="s">
        <v>1318</v>
      </c>
      <c r="CF251" s="22" t="s">
        <v>1331</v>
      </c>
      <c r="CG251" s="22" t="s">
        <v>1331</v>
      </c>
      <c r="CH251" s="22" t="s">
        <v>1317</v>
      </c>
      <c r="CI251" s="22" t="s">
        <v>1318</v>
      </c>
      <c r="CJ251" s="149" t="s">
        <v>1124</v>
      </c>
      <c r="CK251" s="241" t="s">
        <v>1124</v>
      </c>
    </row>
    <row r="252" spans="1:89" ht="15" customHeight="1" x14ac:dyDescent="0.35">
      <c r="A252" s="17"/>
      <c r="B252" s="313">
        <v>29030</v>
      </c>
      <c r="C252" s="8" t="s">
        <v>205</v>
      </c>
      <c r="D252" s="18">
        <v>12</v>
      </c>
      <c r="E252" s="131" t="s">
        <v>1309</v>
      </c>
      <c r="F252" s="22" t="s">
        <v>1309</v>
      </c>
      <c r="G252" s="132" t="s">
        <v>1309</v>
      </c>
      <c r="H252" s="22" t="s">
        <v>1311</v>
      </c>
      <c r="I252" s="22" t="s">
        <v>1327</v>
      </c>
      <c r="J252" s="22" t="s">
        <v>1327</v>
      </c>
      <c r="K252" s="22" t="s">
        <v>1319</v>
      </c>
      <c r="L252" s="22" t="s">
        <v>1311</v>
      </c>
      <c r="M252" s="133" t="s">
        <v>1311</v>
      </c>
      <c r="N252" s="22" t="s">
        <v>1311</v>
      </c>
      <c r="O252" s="22" t="s">
        <v>1309</v>
      </c>
      <c r="P252" s="22" t="s">
        <v>1309</v>
      </c>
      <c r="Q252" s="20">
        <v>0</v>
      </c>
      <c r="R252" s="20">
        <v>0</v>
      </c>
      <c r="S252" s="20">
        <v>0</v>
      </c>
      <c r="T252" s="20">
        <v>0</v>
      </c>
      <c r="U252" s="20">
        <v>27.102</v>
      </c>
      <c r="V252" s="20">
        <v>27.102</v>
      </c>
      <c r="W252" s="20">
        <v>0</v>
      </c>
      <c r="X252" s="20">
        <v>0</v>
      </c>
      <c r="Y252" s="20">
        <v>0</v>
      </c>
      <c r="Z252" s="20">
        <v>0</v>
      </c>
      <c r="AA252" s="20" t="s">
        <v>1315</v>
      </c>
      <c r="AB252" s="22" t="s">
        <v>1315</v>
      </c>
      <c r="AC252" s="20">
        <v>7</v>
      </c>
      <c r="AD252" s="20">
        <v>0</v>
      </c>
      <c r="AE252" s="20">
        <v>4</v>
      </c>
      <c r="AF252" s="20">
        <v>2</v>
      </c>
      <c r="AG252" s="20">
        <v>0</v>
      </c>
      <c r="AH252" s="20">
        <v>3</v>
      </c>
      <c r="AI252" s="328">
        <v>25.828352151132759</v>
      </c>
      <c r="AJ252" s="328" t="s">
        <v>1328</v>
      </c>
      <c r="AK252" s="328">
        <v>5.882352941176471</v>
      </c>
      <c r="AL252" s="22" t="s">
        <v>1329</v>
      </c>
      <c r="AM252" s="22" t="s">
        <v>1330</v>
      </c>
      <c r="AN252" s="22" t="s">
        <v>1319</v>
      </c>
      <c r="AO252" s="22" t="s">
        <v>1318</v>
      </c>
      <c r="AP252" s="22" t="s">
        <v>1350</v>
      </c>
      <c r="AQ252" s="22" t="s">
        <v>1315</v>
      </c>
      <c r="AR252" s="22" t="s">
        <v>1317</v>
      </c>
      <c r="AS252" s="22" t="s">
        <v>1318</v>
      </c>
      <c r="AT252" s="22" t="s">
        <v>1317</v>
      </c>
      <c r="AU252" s="22" t="s">
        <v>1318</v>
      </c>
      <c r="AV252" s="22" t="s">
        <v>1317</v>
      </c>
      <c r="AW252" s="22" t="s">
        <v>1318</v>
      </c>
      <c r="AX252" s="22" t="s">
        <v>1317</v>
      </c>
      <c r="AY252" s="22" t="s">
        <v>1318</v>
      </c>
      <c r="AZ252" s="22" t="s">
        <v>1309</v>
      </c>
      <c r="BA252" s="22" t="s">
        <v>1309</v>
      </c>
      <c r="BB252" s="22" t="s">
        <v>1309</v>
      </c>
      <c r="BC252" s="22" t="s">
        <v>1309</v>
      </c>
      <c r="BD252" s="22" t="s">
        <v>1309</v>
      </c>
      <c r="BE252" s="22" t="s">
        <v>1309</v>
      </c>
      <c r="BF252" s="22" t="s">
        <v>1309</v>
      </c>
      <c r="BG252" s="22" t="s">
        <v>1309</v>
      </c>
      <c r="BH252" s="22" t="s">
        <v>1309</v>
      </c>
      <c r="BI252" s="22" t="s">
        <v>1309</v>
      </c>
      <c r="BJ252" s="22" t="s">
        <v>1319</v>
      </c>
      <c r="BK252" s="22" t="s">
        <v>1311</v>
      </c>
      <c r="BL252" s="22" t="s">
        <v>1319</v>
      </c>
      <c r="BM252" s="22" t="s">
        <v>1311</v>
      </c>
      <c r="BN252" s="22" t="s">
        <v>1319</v>
      </c>
      <c r="BO252" s="22" t="s">
        <v>1311</v>
      </c>
      <c r="BP252" s="22" t="s">
        <v>1319</v>
      </c>
      <c r="BQ252" s="22" t="s">
        <v>1311</v>
      </c>
      <c r="BR252" s="22" t="s">
        <v>1319</v>
      </c>
      <c r="BS252" s="22" t="s">
        <v>1311</v>
      </c>
      <c r="BT252" s="22" t="s">
        <v>1319</v>
      </c>
      <c r="BU252" s="22" t="s">
        <v>1311</v>
      </c>
      <c r="BV252" s="22" t="s">
        <v>1317</v>
      </c>
      <c r="BW252" s="22" t="s">
        <v>1318</v>
      </c>
      <c r="BX252" s="20">
        <v>99</v>
      </c>
      <c r="BY252" s="20">
        <v>0</v>
      </c>
      <c r="BZ252" s="20">
        <v>48</v>
      </c>
      <c r="CA252" s="20">
        <v>533</v>
      </c>
      <c r="CB252" s="20">
        <v>0</v>
      </c>
      <c r="CC252" s="20">
        <v>0</v>
      </c>
      <c r="CD252" s="22" t="s">
        <v>1331</v>
      </c>
      <c r="CE252" s="22" t="s">
        <v>1315</v>
      </c>
      <c r="CF252" s="22" t="s">
        <v>1331</v>
      </c>
      <c r="CG252" s="22" t="s">
        <v>1315</v>
      </c>
      <c r="CH252" s="22" t="s">
        <v>1317</v>
      </c>
      <c r="CI252" s="22" t="s">
        <v>1318</v>
      </c>
      <c r="CJ252" s="149" t="s">
        <v>1894</v>
      </c>
      <c r="CK252" s="241" t="s">
        <v>1124</v>
      </c>
    </row>
    <row r="253" spans="1:89" ht="15" customHeight="1" x14ac:dyDescent="0.35">
      <c r="A253" s="17"/>
      <c r="B253" s="313">
        <v>79047</v>
      </c>
      <c r="C253" s="8" t="s">
        <v>793</v>
      </c>
      <c r="D253" s="18">
        <v>15</v>
      </c>
      <c r="E253" s="131" t="s">
        <v>1309</v>
      </c>
      <c r="F253" s="22" t="s">
        <v>1309</v>
      </c>
      <c r="G253" s="132" t="s">
        <v>1309</v>
      </c>
      <c r="H253" s="22" t="s">
        <v>1311</v>
      </c>
      <c r="I253" s="22" t="s">
        <v>1349</v>
      </c>
      <c r="J253" s="22" t="s">
        <v>1342</v>
      </c>
      <c r="K253" s="22" t="s">
        <v>1309</v>
      </c>
      <c r="L253" s="22" t="s">
        <v>1309</v>
      </c>
      <c r="M253" s="133" t="s">
        <v>1311</v>
      </c>
      <c r="N253" s="22" t="s">
        <v>1311</v>
      </c>
      <c r="O253" s="22" t="s">
        <v>1314</v>
      </c>
      <c r="P253" s="22" t="s">
        <v>1318</v>
      </c>
      <c r="Q253" s="20">
        <v>2.0939999999999999</v>
      </c>
      <c r="R253" s="20">
        <v>2.0939999999999999</v>
      </c>
      <c r="S253" s="20">
        <v>0</v>
      </c>
      <c r="T253" s="20">
        <v>0</v>
      </c>
      <c r="U253" s="20">
        <v>0</v>
      </c>
      <c r="V253" s="20">
        <v>0</v>
      </c>
      <c r="W253" s="20">
        <v>0</v>
      </c>
      <c r="X253" s="20">
        <v>0</v>
      </c>
      <c r="Y253" s="20">
        <v>0</v>
      </c>
      <c r="Z253" s="20">
        <v>0</v>
      </c>
      <c r="AA253" s="20" t="s">
        <v>1317</v>
      </c>
      <c r="AB253" s="22" t="s">
        <v>1318</v>
      </c>
      <c r="AC253" s="20">
        <v>0</v>
      </c>
      <c r="AD253" s="20">
        <v>0</v>
      </c>
      <c r="AE253" s="20">
        <v>0</v>
      </c>
      <c r="AF253" s="20">
        <v>0</v>
      </c>
      <c r="AG253" s="20">
        <v>0</v>
      </c>
      <c r="AH253" s="20">
        <v>0</v>
      </c>
      <c r="AI253" s="328" t="s">
        <v>1328</v>
      </c>
      <c r="AJ253" s="328" t="s">
        <v>1328</v>
      </c>
      <c r="AK253" s="328" t="s">
        <v>1328</v>
      </c>
      <c r="AL253" s="22" t="s">
        <v>1329</v>
      </c>
      <c r="AM253" s="22" t="s">
        <v>1330</v>
      </c>
      <c r="AN253" s="22" t="s">
        <v>1317</v>
      </c>
      <c r="AO253" s="22" t="s">
        <v>1318</v>
      </c>
      <c r="AP253" s="22" t="s">
        <v>1318</v>
      </c>
      <c r="AQ253" s="22" t="s">
        <v>1318</v>
      </c>
      <c r="AR253" s="22" t="s">
        <v>1317</v>
      </c>
      <c r="AS253" s="22" t="s">
        <v>1318</v>
      </c>
      <c r="AT253" s="22" t="s">
        <v>1317</v>
      </c>
      <c r="AU253" s="22" t="s">
        <v>1318</v>
      </c>
      <c r="AV253" s="22" t="s">
        <v>1309</v>
      </c>
      <c r="AW253" s="22" t="s">
        <v>1309</v>
      </c>
      <c r="AX253" s="22" t="s">
        <v>1317</v>
      </c>
      <c r="AY253" s="22" t="s">
        <v>1318</v>
      </c>
      <c r="AZ253" s="22" t="s">
        <v>1319</v>
      </c>
      <c r="BA253" s="22" t="s">
        <v>1311</v>
      </c>
      <c r="BB253" s="22" t="s">
        <v>1317</v>
      </c>
      <c r="BC253" s="22" t="s">
        <v>1311</v>
      </c>
      <c r="BD253" s="22" t="s">
        <v>1317</v>
      </c>
      <c r="BE253" s="22" t="s">
        <v>1318</v>
      </c>
      <c r="BF253" s="22" t="s">
        <v>1317</v>
      </c>
      <c r="BG253" s="22" t="s">
        <v>1318</v>
      </c>
      <c r="BH253" s="22" t="s">
        <v>1317</v>
      </c>
      <c r="BI253" s="22" t="s">
        <v>1318</v>
      </c>
      <c r="BJ253" s="22" t="s">
        <v>1319</v>
      </c>
      <c r="BK253" s="22" t="s">
        <v>1311</v>
      </c>
      <c r="BL253" s="22" t="s">
        <v>1309</v>
      </c>
      <c r="BM253" s="22" t="s">
        <v>1309</v>
      </c>
      <c r="BN253" s="22" t="s">
        <v>1309</v>
      </c>
      <c r="BO253" s="22" t="s">
        <v>1309</v>
      </c>
      <c r="BP253" s="22" t="s">
        <v>1315</v>
      </c>
      <c r="BQ253" s="22" t="s">
        <v>1315</v>
      </c>
      <c r="BR253" s="22" t="s">
        <v>1317</v>
      </c>
      <c r="BS253" s="22" t="s">
        <v>1311</v>
      </c>
      <c r="BT253" s="22" t="s">
        <v>1315</v>
      </c>
      <c r="BU253" s="22" t="s">
        <v>1315</v>
      </c>
      <c r="BV253" s="22" t="s">
        <v>1317</v>
      </c>
      <c r="BW253" s="22" t="s">
        <v>1318</v>
      </c>
      <c r="BX253" s="20">
        <v>0</v>
      </c>
      <c r="BY253" s="20">
        <v>0</v>
      </c>
      <c r="BZ253" s="20">
        <v>4</v>
      </c>
      <c r="CA253" s="20">
        <v>0</v>
      </c>
      <c r="CB253" s="20">
        <v>0</v>
      </c>
      <c r="CC253" s="20">
        <v>23</v>
      </c>
      <c r="CD253" s="22" t="s">
        <v>1317</v>
      </c>
      <c r="CE253" s="22" t="s">
        <v>1318</v>
      </c>
      <c r="CF253" s="22" t="s">
        <v>1317</v>
      </c>
      <c r="CG253" s="22" t="s">
        <v>1318</v>
      </c>
      <c r="CH253" s="22" t="s">
        <v>1317</v>
      </c>
      <c r="CI253" s="22" t="s">
        <v>1318</v>
      </c>
      <c r="CJ253" s="149" t="s">
        <v>1124</v>
      </c>
      <c r="CK253" s="241" t="s">
        <v>1750</v>
      </c>
    </row>
    <row r="254" spans="1:89" ht="15" customHeight="1" x14ac:dyDescent="0.35">
      <c r="A254" s="17"/>
      <c r="B254" s="313">
        <v>15013</v>
      </c>
      <c r="C254" s="8" t="s">
        <v>78</v>
      </c>
      <c r="D254" s="18">
        <v>3</v>
      </c>
      <c r="E254" s="131" t="s">
        <v>1309</v>
      </c>
      <c r="F254" s="22" t="s">
        <v>1309</v>
      </c>
      <c r="G254" s="132" t="s">
        <v>1309</v>
      </c>
      <c r="H254" s="22" t="s">
        <v>1311</v>
      </c>
      <c r="I254" s="22" t="s">
        <v>1327</v>
      </c>
      <c r="J254" s="22" t="s">
        <v>1315</v>
      </c>
      <c r="K254" s="22" t="s">
        <v>1314</v>
      </c>
      <c r="L254" s="22" t="s">
        <v>1318</v>
      </c>
      <c r="M254" s="133" t="s">
        <v>1311</v>
      </c>
      <c r="N254" s="22" t="s">
        <v>1311</v>
      </c>
      <c r="O254" s="22" t="s">
        <v>1314</v>
      </c>
      <c r="P254" s="22" t="s">
        <v>1318</v>
      </c>
      <c r="Q254" s="20">
        <v>0</v>
      </c>
      <c r="R254" s="20">
        <v>0</v>
      </c>
      <c r="S254" s="20">
        <v>48.298499999999997</v>
      </c>
      <c r="T254" s="20">
        <v>96.596999999999994</v>
      </c>
      <c r="U254" s="20">
        <v>0</v>
      </c>
      <c r="V254" s="20">
        <v>30</v>
      </c>
      <c r="W254" s="20">
        <v>0</v>
      </c>
      <c r="X254" s="20">
        <v>0</v>
      </c>
      <c r="Y254" s="20">
        <v>0</v>
      </c>
      <c r="Z254" s="20">
        <v>0</v>
      </c>
      <c r="AA254" s="20" t="s">
        <v>1317</v>
      </c>
      <c r="AB254" s="22" t="s">
        <v>1318</v>
      </c>
      <c r="AC254" s="20">
        <v>13</v>
      </c>
      <c r="AD254" s="20">
        <v>13</v>
      </c>
      <c r="AE254" s="20">
        <v>0</v>
      </c>
      <c r="AF254" s="20">
        <v>2</v>
      </c>
      <c r="AG254" s="20">
        <v>2</v>
      </c>
      <c r="AH254" s="20">
        <v>0</v>
      </c>
      <c r="AI254" s="328">
        <v>13.37228439763002</v>
      </c>
      <c r="AJ254" s="328">
        <v>3.6609405801182766</v>
      </c>
      <c r="AK254" s="328" t="s">
        <v>1328</v>
      </c>
      <c r="AL254" s="22" t="s">
        <v>1329</v>
      </c>
      <c r="AM254" s="22" t="s">
        <v>1330</v>
      </c>
      <c r="AN254" s="22" t="s">
        <v>1317</v>
      </c>
      <c r="AO254" s="22" t="s">
        <v>1318</v>
      </c>
      <c r="AP254" s="22" t="s">
        <v>1318</v>
      </c>
      <c r="AQ254" s="22" t="s">
        <v>1318</v>
      </c>
      <c r="AR254" s="22" t="s">
        <v>1317</v>
      </c>
      <c r="AS254" s="22" t="s">
        <v>1318</v>
      </c>
      <c r="AT254" s="22" t="s">
        <v>1317</v>
      </c>
      <c r="AU254" s="22" t="s">
        <v>1318</v>
      </c>
      <c r="AV254" s="22" t="s">
        <v>1317</v>
      </c>
      <c r="AW254" s="22" t="s">
        <v>1318</v>
      </c>
      <c r="AX254" s="22" t="s">
        <v>1317</v>
      </c>
      <c r="AY254" s="22" t="s">
        <v>1318</v>
      </c>
      <c r="AZ254" s="22" t="s">
        <v>1309</v>
      </c>
      <c r="BA254" s="22" t="s">
        <v>1311</v>
      </c>
      <c r="BB254" s="22" t="s">
        <v>1309</v>
      </c>
      <c r="BC254" s="22" t="s">
        <v>1309</v>
      </c>
      <c r="BD254" s="22" t="s">
        <v>1317</v>
      </c>
      <c r="BE254" s="22" t="s">
        <v>1318</v>
      </c>
      <c r="BF254" s="22" t="s">
        <v>1319</v>
      </c>
      <c r="BG254" s="22" t="s">
        <v>1311</v>
      </c>
      <c r="BH254" s="22" t="s">
        <v>1309</v>
      </c>
      <c r="BI254" s="22" t="s">
        <v>1309</v>
      </c>
      <c r="BJ254" s="22" t="s">
        <v>1317</v>
      </c>
      <c r="BK254" s="22" t="s">
        <v>1318</v>
      </c>
      <c r="BL254" s="22" t="s">
        <v>1317</v>
      </c>
      <c r="BM254" s="22" t="s">
        <v>1318</v>
      </c>
      <c r="BN254" s="22" t="s">
        <v>1317</v>
      </c>
      <c r="BO254" s="22" t="s">
        <v>1318</v>
      </c>
      <c r="BP254" s="22" t="s">
        <v>1317</v>
      </c>
      <c r="BQ254" s="22" t="s">
        <v>1318</v>
      </c>
      <c r="BR254" s="22" t="s">
        <v>1309</v>
      </c>
      <c r="BS254" s="22" t="s">
        <v>1309</v>
      </c>
      <c r="BT254" s="22" t="s">
        <v>1317</v>
      </c>
      <c r="BU254" s="22" t="s">
        <v>1318</v>
      </c>
      <c r="BV254" s="22" t="s">
        <v>1309</v>
      </c>
      <c r="BW254" s="22" t="s">
        <v>1309</v>
      </c>
      <c r="BX254" s="20">
        <v>3</v>
      </c>
      <c r="BY254" s="20">
        <v>179</v>
      </c>
      <c r="BZ254" s="20">
        <v>54</v>
      </c>
      <c r="CA254" s="20">
        <v>0</v>
      </c>
      <c r="CB254" s="20">
        <v>54</v>
      </c>
      <c r="CC254" s="20">
        <v>3581</v>
      </c>
      <c r="CD254" s="22" t="s">
        <v>1345</v>
      </c>
      <c r="CE254" s="22" t="s">
        <v>1321</v>
      </c>
      <c r="CF254" s="22" t="s">
        <v>1345</v>
      </c>
      <c r="CG254" s="22" t="s">
        <v>1321</v>
      </c>
      <c r="CH254" s="22" t="s">
        <v>1317</v>
      </c>
      <c r="CI254" s="22" t="s">
        <v>1318</v>
      </c>
      <c r="CJ254" s="149" t="s">
        <v>1911</v>
      </c>
      <c r="CK254" s="241" t="s">
        <v>1912</v>
      </c>
    </row>
    <row r="255" spans="1:89" ht="15" customHeight="1" x14ac:dyDescent="0.35">
      <c r="A255" s="17"/>
      <c r="B255" s="313">
        <v>4030</v>
      </c>
      <c r="C255" s="8" t="s">
        <v>1041</v>
      </c>
      <c r="D255" s="18">
        <v>11</v>
      </c>
      <c r="E255" s="131"/>
      <c r="F255" s="22"/>
      <c r="G255" s="132"/>
      <c r="H255" s="22"/>
      <c r="I255" s="22"/>
      <c r="J255" s="22"/>
      <c r="K255" s="22"/>
      <c r="L255" s="22"/>
      <c r="M255" s="133"/>
      <c r="N255" s="22"/>
      <c r="O255" s="22"/>
      <c r="P255" s="22"/>
      <c r="Q255" s="20"/>
      <c r="R255" s="20"/>
      <c r="S255" s="20"/>
      <c r="T255" s="20"/>
      <c r="U255" s="20"/>
      <c r="V255" s="20"/>
      <c r="W255" s="20"/>
      <c r="X255" s="20"/>
      <c r="Y255" s="20"/>
      <c r="Z255" s="20"/>
      <c r="AA255" s="20"/>
      <c r="AB255" s="22"/>
      <c r="AC255" s="20"/>
      <c r="AD255" s="20"/>
      <c r="AE255" s="20"/>
      <c r="AF255" s="20" t="s">
        <v>1124</v>
      </c>
      <c r="AG255" s="20" t="s">
        <v>1124</v>
      </c>
      <c r="AH255" s="20" t="s">
        <v>1124</v>
      </c>
      <c r="AI255" s="328"/>
      <c r="AJ255" s="328"/>
      <c r="AK255" s="328"/>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0"/>
      <c r="BY255" s="20"/>
      <c r="BZ255" s="20"/>
      <c r="CA255" s="20"/>
      <c r="CB255" s="20"/>
      <c r="CC255" s="20"/>
      <c r="CD255" s="22"/>
      <c r="CE255" s="22"/>
      <c r="CF255" s="22"/>
      <c r="CG255" s="22"/>
      <c r="CH255" s="22"/>
      <c r="CI255" s="22"/>
      <c r="CJ255" s="149"/>
      <c r="CK255" s="241"/>
    </row>
    <row r="256" spans="1:89" ht="15" customHeight="1" x14ac:dyDescent="0.35">
      <c r="A256" s="17"/>
      <c r="B256" s="313">
        <v>78130</v>
      </c>
      <c r="C256" s="8" t="s">
        <v>785</v>
      </c>
      <c r="D256" s="18">
        <v>15</v>
      </c>
      <c r="E256" s="131" t="s">
        <v>1309</v>
      </c>
      <c r="F256" s="22" t="s">
        <v>1309</v>
      </c>
      <c r="G256" s="132" t="s">
        <v>1309</v>
      </c>
      <c r="H256" s="22" t="s">
        <v>1311</v>
      </c>
      <c r="I256" s="22" t="s">
        <v>1327</v>
      </c>
      <c r="J256" s="22" t="s">
        <v>1342</v>
      </c>
      <c r="K256" s="22" t="s">
        <v>1319</v>
      </c>
      <c r="L256" s="22" t="s">
        <v>1311</v>
      </c>
      <c r="M256" s="133" t="s">
        <v>1311</v>
      </c>
      <c r="N256" s="22" t="s">
        <v>1311</v>
      </c>
      <c r="O256" s="22" t="s">
        <v>1314</v>
      </c>
      <c r="P256" s="22" t="s">
        <v>1318</v>
      </c>
      <c r="Q256" s="20">
        <v>0</v>
      </c>
      <c r="R256" s="20">
        <v>0</v>
      </c>
      <c r="S256" s="20">
        <v>0</v>
      </c>
      <c r="T256" s="20">
        <v>0</v>
      </c>
      <c r="U256" s="20">
        <v>0</v>
      </c>
      <c r="V256" s="20">
        <v>3.14</v>
      </c>
      <c r="W256" s="20">
        <v>0</v>
      </c>
      <c r="X256" s="20">
        <v>3.14</v>
      </c>
      <c r="Y256" s="20">
        <v>0</v>
      </c>
      <c r="Z256" s="20">
        <v>0</v>
      </c>
      <c r="AA256" s="20" t="s">
        <v>1317</v>
      </c>
      <c r="AB256" s="22" t="s">
        <v>1318</v>
      </c>
      <c r="AC256" s="20">
        <v>0</v>
      </c>
      <c r="AD256" s="20">
        <v>0</v>
      </c>
      <c r="AE256" s="20">
        <v>0</v>
      </c>
      <c r="AF256" s="20">
        <v>0</v>
      </c>
      <c r="AG256" s="20">
        <v>0</v>
      </c>
      <c r="AH256" s="20">
        <v>0</v>
      </c>
      <c r="AI256" s="328" t="s">
        <v>1328</v>
      </c>
      <c r="AJ256" s="328" t="s">
        <v>1328</v>
      </c>
      <c r="AK256" s="328" t="s">
        <v>1328</v>
      </c>
      <c r="AL256" s="22" t="s">
        <v>1329</v>
      </c>
      <c r="AM256" s="22" t="s">
        <v>1330</v>
      </c>
      <c r="AN256" s="22" t="s">
        <v>1317</v>
      </c>
      <c r="AO256" s="22" t="s">
        <v>1318</v>
      </c>
      <c r="AP256" s="22" t="s">
        <v>1318</v>
      </c>
      <c r="AQ256" s="22" t="s">
        <v>1318</v>
      </c>
      <c r="AR256" s="22" t="s">
        <v>1317</v>
      </c>
      <c r="AS256" s="22" t="s">
        <v>1311</v>
      </c>
      <c r="AT256" s="22" t="s">
        <v>1309</v>
      </c>
      <c r="AU256" s="22" t="s">
        <v>1309</v>
      </c>
      <c r="AV256" s="22" t="s">
        <v>1317</v>
      </c>
      <c r="AW256" s="22" t="s">
        <v>1318</v>
      </c>
      <c r="AX256" s="22" t="s">
        <v>1309</v>
      </c>
      <c r="AY256" s="22" t="s">
        <v>1309</v>
      </c>
      <c r="AZ256" s="22" t="s">
        <v>1317</v>
      </c>
      <c r="BA256" s="22" t="s">
        <v>1318</v>
      </c>
      <c r="BB256" s="22" t="s">
        <v>1319</v>
      </c>
      <c r="BC256" s="22" t="s">
        <v>1311</v>
      </c>
      <c r="BD256" s="22" t="s">
        <v>1317</v>
      </c>
      <c r="BE256" s="22" t="s">
        <v>1318</v>
      </c>
      <c r="BF256" s="22" t="s">
        <v>1317</v>
      </c>
      <c r="BG256" s="22" t="s">
        <v>1318</v>
      </c>
      <c r="BH256" s="22" t="s">
        <v>1309</v>
      </c>
      <c r="BI256" s="22" t="s">
        <v>1309</v>
      </c>
      <c r="BJ256" s="22" t="s">
        <v>1317</v>
      </c>
      <c r="BK256" s="22" t="s">
        <v>1311</v>
      </c>
      <c r="BL256" s="22" t="s">
        <v>1317</v>
      </c>
      <c r="BM256" s="22" t="s">
        <v>1318</v>
      </c>
      <c r="BN256" s="22" t="s">
        <v>1319</v>
      </c>
      <c r="BO256" s="22" t="s">
        <v>1311</v>
      </c>
      <c r="BP256" s="22" t="s">
        <v>1315</v>
      </c>
      <c r="BQ256" s="22" t="s">
        <v>1315</v>
      </c>
      <c r="BR256" s="22" t="s">
        <v>1319</v>
      </c>
      <c r="BS256" s="22" t="s">
        <v>1311</v>
      </c>
      <c r="BT256" s="22" t="s">
        <v>1315</v>
      </c>
      <c r="BU256" s="22" t="s">
        <v>1315</v>
      </c>
      <c r="BV256" s="22" t="s">
        <v>1317</v>
      </c>
      <c r="BW256" s="22" t="s">
        <v>1318</v>
      </c>
      <c r="BX256" s="20">
        <v>0</v>
      </c>
      <c r="BY256" s="20">
        <v>0</v>
      </c>
      <c r="BZ256" s="20">
        <v>14</v>
      </c>
      <c r="CA256" s="20">
        <v>0</v>
      </c>
      <c r="CB256" s="20">
        <v>0</v>
      </c>
      <c r="CC256" s="20">
        <v>87</v>
      </c>
      <c r="CD256" s="22" t="s">
        <v>1317</v>
      </c>
      <c r="CE256" s="22" t="s">
        <v>1340</v>
      </c>
      <c r="CF256" s="22" t="s">
        <v>1317</v>
      </c>
      <c r="CG256" s="22" t="s">
        <v>1340</v>
      </c>
      <c r="CH256" s="22" t="s">
        <v>1317</v>
      </c>
      <c r="CI256" s="22" t="s">
        <v>1318</v>
      </c>
      <c r="CJ256" s="149" t="s">
        <v>1124</v>
      </c>
      <c r="CK256" s="241" t="s">
        <v>1916</v>
      </c>
    </row>
    <row r="257" spans="1:89" ht="15" customHeight="1" x14ac:dyDescent="0.35">
      <c r="A257" s="17"/>
      <c r="B257" s="313">
        <v>88015</v>
      </c>
      <c r="C257" s="8" t="s">
        <v>913</v>
      </c>
      <c r="D257" s="18">
        <v>8</v>
      </c>
      <c r="E257" s="131"/>
      <c r="F257" s="22"/>
      <c r="G257" s="132"/>
      <c r="H257" s="22"/>
      <c r="I257" s="22"/>
      <c r="J257" s="22"/>
      <c r="K257" s="22"/>
      <c r="L257" s="22"/>
      <c r="M257" s="133"/>
      <c r="N257" s="22"/>
      <c r="O257" s="22"/>
      <c r="P257" s="22"/>
      <c r="Q257" s="20"/>
      <c r="R257" s="20"/>
      <c r="S257" s="20"/>
      <c r="T257" s="20"/>
      <c r="U257" s="20"/>
      <c r="V257" s="20"/>
      <c r="W257" s="20"/>
      <c r="X257" s="20"/>
      <c r="Y257" s="20"/>
      <c r="Z257" s="20"/>
      <c r="AA257" s="20"/>
      <c r="AB257" s="22"/>
      <c r="AC257" s="20"/>
      <c r="AD257" s="20"/>
      <c r="AE257" s="20"/>
      <c r="AF257" s="20" t="s">
        <v>1124</v>
      </c>
      <c r="AG257" s="20" t="s">
        <v>1124</v>
      </c>
      <c r="AH257" s="20" t="s">
        <v>1124</v>
      </c>
      <c r="AI257" s="328"/>
      <c r="AJ257" s="328"/>
      <c r="AK257" s="328"/>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0"/>
      <c r="BY257" s="20"/>
      <c r="BZ257" s="20"/>
      <c r="CA257" s="20"/>
      <c r="CB257" s="20"/>
      <c r="CC257" s="20"/>
      <c r="CD257" s="22"/>
      <c r="CE257" s="22"/>
      <c r="CF257" s="22"/>
      <c r="CG257" s="22"/>
      <c r="CH257" s="22"/>
      <c r="CI257" s="22"/>
      <c r="CJ257" s="149"/>
      <c r="CK257" s="241"/>
    </row>
    <row r="258" spans="1:89" ht="15" customHeight="1" x14ac:dyDescent="0.35">
      <c r="A258" s="17"/>
      <c r="B258" s="313">
        <v>88045</v>
      </c>
      <c r="C258" s="8" t="s">
        <v>918</v>
      </c>
      <c r="D258" s="18">
        <v>8</v>
      </c>
      <c r="E258" s="131"/>
      <c r="F258" s="22"/>
      <c r="G258" s="132"/>
      <c r="H258" s="22"/>
      <c r="I258" s="22"/>
      <c r="J258" s="22"/>
      <c r="K258" s="22"/>
      <c r="L258" s="22"/>
      <c r="M258" s="133"/>
      <c r="N258" s="22"/>
      <c r="O258" s="22"/>
      <c r="P258" s="22"/>
      <c r="Q258" s="20"/>
      <c r="R258" s="20"/>
      <c r="S258" s="20"/>
      <c r="T258" s="20"/>
      <c r="U258" s="20"/>
      <c r="V258" s="20"/>
      <c r="W258" s="20"/>
      <c r="X258" s="20"/>
      <c r="Y258" s="20"/>
      <c r="Z258" s="20"/>
      <c r="AA258" s="20"/>
      <c r="AB258" s="22"/>
      <c r="AC258" s="20"/>
      <c r="AD258" s="20"/>
      <c r="AE258" s="20"/>
      <c r="AF258" s="20" t="s">
        <v>1124</v>
      </c>
      <c r="AG258" s="20" t="s">
        <v>1124</v>
      </c>
      <c r="AH258" s="20" t="s">
        <v>1124</v>
      </c>
      <c r="AI258" s="328"/>
      <c r="AJ258" s="328"/>
      <c r="AK258" s="328"/>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0"/>
      <c r="BY258" s="20"/>
      <c r="BZ258" s="20"/>
      <c r="CA258" s="20"/>
      <c r="CB258" s="20"/>
      <c r="CC258" s="20"/>
      <c r="CD258" s="22"/>
      <c r="CE258" s="22"/>
      <c r="CF258" s="22"/>
      <c r="CG258" s="22"/>
      <c r="CH258" s="22"/>
      <c r="CI258" s="22"/>
      <c r="CJ258" s="149"/>
      <c r="CK258" s="241"/>
    </row>
    <row r="259" spans="1:89" ht="15" customHeight="1" x14ac:dyDescent="0.35">
      <c r="A259" s="17"/>
      <c r="B259" s="313">
        <v>41027</v>
      </c>
      <c r="C259" s="8" t="s">
        <v>367</v>
      </c>
      <c r="D259" s="18">
        <v>5</v>
      </c>
      <c r="E259" s="131" t="s">
        <v>1309</v>
      </c>
      <c r="F259" s="22" t="s">
        <v>1309</v>
      </c>
      <c r="G259" s="132" t="s">
        <v>1309</v>
      </c>
      <c r="H259" s="22" t="s">
        <v>1311</v>
      </c>
      <c r="I259" s="22" t="s">
        <v>1327</v>
      </c>
      <c r="J259" s="22" t="s">
        <v>1327</v>
      </c>
      <c r="K259" s="22" t="s">
        <v>1319</v>
      </c>
      <c r="L259" s="22" t="s">
        <v>1309</v>
      </c>
      <c r="M259" s="133" t="s">
        <v>1311</v>
      </c>
      <c r="N259" s="22" t="s">
        <v>1311</v>
      </c>
      <c r="O259" s="22" t="s">
        <v>1315</v>
      </c>
      <c r="P259" s="22" t="s">
        <v>1315</v>
      </c>
      <c r="Q259" s="20">
        <v>7.3419999999999996</v>
      </c>
      <c r="R259" s="20">
        <v>7.3419999999999996</v>
      </c>
      <c r="S259" s="20">
        <v>0</v>
      </c>
      <c r="T259" s="20">
        <v>0</v>
      </c>
      <c r="U259" s="20">
        <v>7.3419999999999996</v>
      </c>
      <c r="V259" s="20">
        <v>7.3419999999999996</v>
      </c>
      <c r="W259" s="20">
        <v>0</v>
      </c>
      <c r="X259" s="20">
        <v>0</v>
      </c>
      <c r="Y259" s="20">
        <v>0</v>
      </c>
      <c r="Z259" s="20">
        <v>0</v>
      </c>
      <c r="AA259" s="20" t="s">
        <v>1309</v>
      </c>
      <c r="AB259" s="22" t="s">
        <v>1309</v>
      </c>
      <c r="AC259" s="20">
        <v>1</v>
      </c>
      <c r="AD259" s="20">
        <v>3</v>
      </c>
      <c r="AE259" s="20">
        <v>0</v>
      </c>
      <c r="AF259" s="20">
        <v>2</v>
      </c>
      <c r="AG259" s="20">
        <v>2</v>
      </c>
      <c r="AH259" s="20">
        <v>0</v>
      </c>
      <c r="AI259" s="328">
        <v>13.620266957232362</v>
      </c>
      <c r="AJ259" s="328">
        <v>16.949152542372882</v>
      </c>
      <c r="AK259" s="328" t="s">
        <v>1328</v>
      </c>
      <c r="AL259" s="22" t="s">
        <v>1329</v>
      </c>
      <c r="AM259" s="22" t="s">
        <v>1330</v>
      </c>
      <c r="AN259" s="22" t="s">
        <v>1317</v>
      </c>
      <c r="AO259" s="22" t="s">
        <v>1318</v>
      </c>
      <c r="AP259" s="22" t="s">
        <v>1318</v>
      </c>
      <c r="AQ259" s="22" t="s">
        <v>1318</v>
      </c>
      <c r="AR259" s="22" t="s">
        <v>1317</v>
      </c>
      <c r="AS259" s="22" t="s">
        <v>1318</v>
      </c>
      <c r="AT259" s="22" t="s">
        <v>1317</v>
      </c>
      <c r="AU259" s="22" t="s">
        <v>1318</v>
      </c>
      <c r="AV259" s="22" t="s">
        <v>1309</v>
      </c>
      <c r="AW259" s="22" t="s">
        <v>1309</v>
      </c>
      <c r="AX259" s="22" t="s">
        <v>1317</v>
      </c>
      <c r="AY259" s="22" t="s">
        <v>1318</v>
      </c>
      <c r="AZ259" s="22" t="s">
        <v>1317</v>
      </c>
      <c r="BA259" s="22" t="s">
        <v>1318</v>
      </c>
      <c r="BB259" s="22" t="s">
        <v>1309</v>
      </c>
      <c r="BC259" s="22" t="s">
        <v>1309</v>
      </c>
      <c r="BD259" s="22" t="s">
        <v>1315</v>
      </c>
      <c r="BE259" s="22" t="s">
        <v>1315</v>
      </c>
      <c r="BF259" s="22" t="s">
        <v>1317</v>
      </c>
      <c r="BG259" s="22" t="s">
        <v>1318</v>
      </c>
      <c r="BH259" s="22" t="s">
        <v>1317</v>
      </c>
      <c r="BI259" s="22" t="s">
        <v>1318</v>
      </c>
      <c r="BJ259" s="22" t="s">
        <v>1309</v>
      </c>
      <c r="BK259" s="22" t="s">
        <v>1309</v>
      </c>
      <c r="BL259" s="22" t="s">
        <v>1319</v>
      </c>
      <c r="BM259" s="22" t="s">
        <v>1311</v>
      </c>
      <c r="BN259" s="22" t="s">
        <v>1309</v>
      </c>
      <c r="BO259" s="22" t="s">
        <v>1309</v>
      </c>
      <c r="BP259" s="22" t="s">
        <v>1315</v>
      </c>
      <c r="BQ259" s="22" t="s">
        <v>1315</v>
      </c>
      <c r="BR259" s="22" t="s">
        <v>1309</v>
      </c>
      <c r="BS259" s="22" t="s">
        <v>1309</v>
      </c>
      <c r="BT259" s="22" t="s">
        <v>1315</v>
      </c>
      <c r="BU259" s="22" t="s">
        <v>1315</v>
      </c>
      <c r="BV259" s="22" t="s">
        <v>1309</v>
      </c>
      <c r="BW259" s="22" t="s">
        <v>1309</v>
      </c>
      <c r="BX259" s="20">
        <v>0</v>
      </c>
      <c r="BY259" s="20">
        <v>0</v>
      </c>
      <c r="BZ259" s="20">
        <v>25</v>
      </c>
      <c r="CA259" s="20">
        <v>0</v>
      </c>
      <c r="CB259" s="20">
        <v>0</v>
      </c>
      <c r="CC259" s="20">
        <v>146</v>
      </c>
      <c r="CD259" s="22" t="s">
        <v>1317</v>
      </c>
      <c r="CE259" s="22" t="s">
        <v>1318</v>
      </c>
      <c r="CF259" s="22" t="s">
        <v>1317</v>
      </c>
      <c r="CG259" s="22" t="s">
        <v>1318</v>
      </c>
      <c r="CH259" s="22" t="s">
        <v>1317</v>
      </c>
      <c r="CI259" s="22" t="s">
        <v>1318</v>
      </c>
      <c r="CJ259" s="149" t="s">
        <v>1124</v>
      </c>
      <c r="CK259" s="241" t="s">
        <v>1386</v>
      </c>
    </row>
    <row r="260" spans="1:89" ht="15" customHeight="1" x14ac:dyDescent="0.35">
      <c r="A260" s="17"/>
      <c r="B260" s="313">
        <v>82035</v>
      </c>
      <c r="C260" s="8" t="s">
        <v>834</v>
      </c>
      <c r="D260" s="18">
        <v>7</v>
      </c>
      <c r="E260" s="131"/>
      <c r="F260" s="22"/>
      <c r="G260" s="132"/>
      <c r="H260" s="22"/>
      <c r="I260" s="22"/>
      <c r="J260" s="22"/>
      <c r="K260" s="22"/>
      <c r="L260" s="22"/>
      <c r="M260" s="133"/>
      <c r="N260" s="22"/>
      <c r="O260" s="22"/>
      <c r="P260" s="22"/>
      <c r="Q260" s="20"/>
      <c r="R260" s="20"/>
      <c r="S260" s="20"/>
      <c r="T260" s="20"/>
      <c r="U260" s="20"/>
      <c r="V260" s="20"/>
      <c r="W260" s="20"/>
      <c r="X260" s="20"/>
      <c r="Y260" s="20"/>
      <c r="Z260" s="20"/>
      <c r="AA260" s="20"/>
      <c r="AB260" s="22"/>
      <c r="AC260" s="20"/>
      <c r="AD260" s="20"/>
      <c r="AE260" s="20"/>
      <c r="AF260" s="20" t="s">
        <v>1124</v>
      </c>
      <c r="AG260" s="20" t="s">
        <v>1124</v>
      </c>
      <c r="AH260" s="20" t="s">
        <v>1124</v>
      </c>
      <c r="AI260" s="328"/>
      <c r="AJ260" s="328"/>
      <c r="AK260" s="328"/>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0"/>
      <c r="BY260" s="20"/>
      <c r="BZ260" s="20"/>
      <c r="CA260" s="20"/>
      <c r="CB260" s="20"/>
      <c r="CC260" s="20"/>
      <c r="CD260" s="22"/>
      <c r="CE260" s="22"/>
      <c r="CF260" s="22"/>
      <c r="CG260" s="22"/>
      <c r="CH260" s="22"/>
      <c r="CI260" s="22"/>
      <c r="CJ260" s="149"/>
      <c r="CK260" s="241"/>
    </row>
    <row r="261" spans="1:89" ht="15" customHeight="1" x14ac:dyDescent="0.35">
      <c r="A261" s="17"/>
      <c r="B261" s="313">
        <v>14085</v>
      </c>
      <c r="C261" s="8" t="s">
        <v>75</v>
      </c>
      <c r="D261" s="18">
        <v>1</v>
      </c>
      <c r="E261" s="131" t="s">
        <v>1309</v>
      </c>
      <c r="F261" s="22" t="s">
        <v>1309</v>
      </c>
      <c r="G261" s="132" t="s">
        <v>1309</v>
      </c>
      <c r="H261" s="22" t="s">
        <v>1311</v>
      </c>
      <c r="I261" s="22" t="s">
        <v>1327</v>
      </c>
      <c r="J261" s="22" t="s">
        <v>1327</v>
      </c>
      <c r="K261" s="22" t="s">
        <v>1309</v>
      </c>
      <c r="L261" s="22" t="s">
        <v>1309</v>
      </c>
      <c r="M261" s="133" t="s">
        <v>1311</v>
      </c>
      <c r="N261" s="22" t="s">
        <v>1311</v>
      </c>
      <c r="O261" s="22" t="s">
        <v>1309</v>
      </c>
      <c r="P261" s="22" t="s">
        <v>1309</v>
      </c>
      <c r="Q261" s="20">
        <v>0</v>
      </c>
      <c r="R261" s="20">
        <v>0</v>
      </c>
      <c r="S261" s="20">
        <v>0</v>
      </c>
      <c r="T261" s="20">
        <v>0</v>
      </c>
      <c r="U261" s="20">
        <v>42.561999999999998</v>
      </c>
      <c r="V261" s="20">
        <v>42.561999999999998</v>
      </c>
      <c r="W261" s="20">
        <v>0</v>
      </c>
      <c r="X261" s="20">
        <v>0</v>
      </c>
      <c r="Y261" s="20">
        <v>0</v>
      </c>
      <c r="Z261" s="20">
        <v>0</v>
      </c>
      <c r="AA261" s="20" t="s">
        <v>1317</v>
      </c>
      <c r="AB261" s="22" t="s">
        <v>1318</v>
      </c>
      <c r="AC261" s="20">
        <v>19</v>
      </c>
      <c r="AD261" s="20">
        <v>0</v>
      </c>
      <c r="AE261" s="20">
        <v>0</v>
      </c>
      <c r="AF261" s="20">
        <v>1</v>
      </c>
      <c r="AG261" s="20">
        <v>0</v>
      </c>
      <c r="AH261" s="20">
        <v>0</v>
      </c>
      <c r="AI261" s="328">
        <v>44.640759362811899</v>
      </c>
      <c r="AJ261" s="328" t="s">
        <v>1328</v>
      </c>
      <c r="AK261" s="328" t="s">
        <v>1328</v>
      </c>
      <c r="AL261" s="22" t="s">
        <v>1329</v>
      </c>
      <c r="AM261" s="22" t="s">
        <v>1316</v>
      </c>
      <c r="AN261" s="22" t="s">
        <v>1317</v>
      </c>
      <c r="AO261" s="22" t="s">
        <v>1318</v>
      </c>
      <c r="AP261" s="22" t="s">
        <v>1318</v>
      </c>
      <c r="AQ261" s="22" t="s">
        <v>1318</v>
      </c>
      <c r="AR261" s="22" t="s">
        <v>1317</v>
      </c>
      <c r="AS261" s="22" t="s">
        <v>1318</v>
      </c>
      <c r="AT261" s="22" t="s">
        <v>1309</v>
      </c>
      <c r="AU261" s="22" t="s">
        <v>1309</v>
      </c>
      <c r="AV261" s="22" t="s">
        <v>1309</v>
      </c>
      <c r="AW261" s="22" t="s">
        <v>1309</v>
      </c>
      <c r="AX261" s="22" t="s">
        <v>1317</v>
      </c>
      <c r="AY261" s="22" t="s">
        <v>1318</v>
      </c>
      <c r="AZ261" s="22" t="s">
        <v>1309</v>
      </c>
      <c r="BA261" s="22" t="s">
        <v>1309</v>
      </c>
      <c r="BB261" s="22" t="s">
        <v>1309</v>
      </c>
      <c r="BC261" s="22" t="s">
        <v>1309</v>
      </c>
      <c r="BD261" s="22" t="s">
        <v>1317</v>
      </c>
      <c r="BE261" s="22" t="s">
        <v>1318</v>
      </c>
      <c r="BF261" s="22" t="s">
        <v>1317</v>
      </c>
      <c r="BG261" s="22" t="s">
        <v>1318</v>
      </c>
      <c r="BH261" s="22" t="s">
        <v>1309</v>
      </c>
      <c r="BI261" s="22" t="s">
        <v>1309</v>
      </c>
      <c r="BJ261" s="22" t="s">
        <v>1317</v>
      </c>
      <c r="BK261" s="22" t="s">
        <v>1318</v>
      </c>
      <c r="BL261" s="22" t="s">
        <v>1317</v>
      </c>
      <c r="BM261" s="22" t="s">
        <v>1318</v>
      </c>
      <c r="BN261" s="22" t="s">
        <v>1309</v>
      </c>
      <c r="BO261" s="22" t="s">
        <v>1309</v>
      </c>
      <c r="BP261" s="22" t="s">
        <v>1309</v>
      </c>
      <c r="BQ261" s="22" t="s">
        <v>1309</v>
      </c>
      <c r="BR261" s="22" t="s">
        <v>1309</v>
      </c>
      <c r="BS261" s="22" t="s">
        <v>1309</v>
      </c>
      <c r="BT261" s="22" t="s">
        <v>1315</v>
      </c>
      <c r="BU261" s="22" t="s">
        <v>1315</v>
      </c>
      <c r="BV261" s="22" t="s">
        <v>1317</v>
      </c>
      <c r="BW261" s="22" t="s">
        <v>1318</v>
      </c>
      <c r="BX261" s="20">
        <v>68</v>
      </c>
      <c r="BY261" s="20">
        <v>0</v>
      </c>
      <c r="BZ261" s="20">
        <v>110</v>
      </c>
      <c r="CA261" s="20">
        <v>0</v>
      </c>
      <c r="CB261" s="20">
        <v>0</v>
      </c>
      <c r="CC261" s="20">
        <v>1266</v>
      </c>
      <c r="CD261" s="22" t="s">
        <v>1320</v>
      </c>
      <c r="CE261" s="22" t="s">
        <v>1321</v>
      </c>
      <c r="CF261" s="22" t="s">
        <v>1317</v>
      </c>
      <c r="CG261" s="22" t="s">
        <v>1321</v>
      </c>
      <c r="CH261" s="22" t="s">
        <v>1317</v>
      </c>
      <c r="CI261" s="22" t="s">
        <v>1318</v>
      </c>
      <c r="CJ261" s="149" t="s">
        <v>1922</v>
      </c>
      <c r="CK261" s="241" t="s">
        <v>1923</v>
      </c>
    </row>
    <row r="262" spans="1:89" ht="15" customHeight="1" x14ac:dyDescent="0.35">
      <c r="A262" s="17"/>
      <c r="B262" s="313">
        <v>67015</v>
      </c>
      <c r="C262" s="8" t="s">
        <v>664</v>
      </c>
      <c r="D262" s="18">
        <v>16</v>
      </c>
      <c r="E262" s="131" t="s">
        <v>1309</v>
      </c>
      <c r="F262" s="22" t="s">
        <v>1309</v>
      </c>
      <c r="G262" s="132" t="s">
        <v>1309</v>
      </c>
      <c r="H262" s="22" t="s">
        <v>1311</v>
      </c>
      <c r="I262" s="22" t="s">
        <v>1327</v>
      </c>
      <c r="J262" s="22" t="s">
        <v>1327</v>
      </c>
      <c r="K262" s="22" t="s">
        <v>1309</v>
      </c>
      <c r="L262" s="22" t="s">
        <v>1309</v>
      </c>
      <c r="M262" s="133" t="s">
        <v>1311</v>
      </c>
      <c r="N262" s="22" t="s">
        <v>1311</v>
      </c>
      <c r="O262" s="22" t="s">
        <v>1309</v>
      </c>
      <c r="P262" s="22" t="s">
        <v>1309</v>
      </c>
      <c r="Q262" s="20">
        <v>0</v>
      </c>
      <c r="R262" s="20">
        <v>0</v>
      </c>
      <c r="S262" s="20">
        <v>123.373</v>
      </c>
      <c r="T262" s="20">
        <v>123.373</v>
      </c>
      <c r="U262" s="20">
        <v>0</v>
      </c>
      <c r="V262" s="20">
        <v>0</v>
      </c>
      <c r="W262" s="20">
        <v>0</v>
      </c>
      <c r="X262" s="20">
        <v>0</v>
      </c>
      <c r="Y262" s="20">
        <v>0</v>
      </c>
      <c r="Z262" s="20">
        <v>0</v>
      </c>
      <c r="AA262" s="20" t="s">
        <v>1317</v>
      </c>
      <c r="AB262" s="22" t="s">
        <v>1318</v>
      </c>
      <c r="AC262" s="20">
        <v>3</v>
      </c>
      <c r="AD262" s="20">
        <v>0</v>
      </c>
      <c r="AE262" s="20">
        <v>0</v>
      </c>
      <c r="AF262" s="20">
        <v>1</v>
      </c>
      <c r="AG262" s="20">
        <v>0</v>
      </c>
      <c r="AH262" s="20">
        <v>0</v>
      </c>
      <c r="AI262" s="328">
        <v>2.4316503611000786</v>
      </c>
      <c r="AJ262" s="328" t="s">
        <v>1328</v>
      </c>
      <c r="AK262" s="328" t="s">
        <v>1328</v>
      </c>
      <c r="AL262" s="22" t="s">
        <v>1329</v>
      </c>
      <c r="AM262" s="22" t="s">
        <v>1330</v>
      </c>
      <c r="AN262" s="22" t="s">
        <v>1317</v>
      </c>
      <c r="AO262" s="22" t="s">
        <v>1318</v>
      </c>
      <c r="AP262" s="22" t="s">
        <v>1318</v>
      </c>
      <c r="AQ262" s="22" t="s">
        <v>1318</v>
      </c>
      <c r="AR262" s="22" t="s">
        <v>1317</v>
      </c>
      <c r="AS262" s="22" t="s">
        <v>1318</v>
      </c>
      <c r="AT262" s="22" t="s">
        <v>1317</v>
      </c>
      <c r="AU262" s="22" t="s">
        <v>1318</v>
      </c>
      <c r="AV262" s="22" t="s">
        <v>1317</v>
      </c>
      <c r="AW262" s="22" t="s">
        <v>1318</v>
      </c>
      <c r="AX262" s="22" t="s">
        <v>1317</v>
      </c>
      <c r="AY262" s="22" t="s">
        <v>1318</v>
      </c>
      <c r="AZ262" s="22" t="s">
        <v>1317</v>
      </c>
      <c r="BA262" s="22" t="s">
        <v>1318</v>
      </c>
      <c r="BB262" s="22" t="s">
        <v>1309</v>
      </c>
      <c r="BC262" s="22" t="s">
        <v>1309</v>
      </c>
      <c r="BD262" s="22" t="s">
        <v>1309</v>
      </c>
      <c r="BE262" s="22" t="s">
        <v>1309</v>
      </c>
      <c r="BF262" s="22" t="s">
        <v>1319</v>
      </c>
      <c r="BG262" s="22" t="s">
        <v>1311</v>
      </c>
      <c r="BH262" s="22" t="s">
        <v>1309</v>
      </c>
      <c r="BI262" s="22" t="s">
        <v>1309</v>
      </c>
      <c r="BJ262" s="22" t="s">
        <v>1317</v>
      </c>
      <c r="BK262" s="22" t="s">
        <v>1318</v>
      </c>
      <c r="BL262" s="22" t="s">
        <v>1317</v>
      </c>
      <c r="BM262" s="22" t="s">
        <v>1318</v>
      </c>
      <c r="BN262" s="22" t="s">
        <v>1309</v>
      </c>
      <c r="BO262" s="22" t="s">
        <v>1309</v>
      </c>
      <c r="BP262" s="22" t="s">
        <v>1317</v>
      </c>
      <c r="BQ262" s="22" t="s">
        <v>1318</v>
      </c>
      <c r="BR262" s="22" t="s">
        <v>1309</v>
      </c>
      <c r="BS262" s="22" t="s">
        <v>1309</v>
      </c>
      <c r="BT262" s="22" t="s">
        <v>1317</v>
      </c>
      <c r="BU262" s="22" t="s">
        <v>1318</v>
      </c>
      <c r="BV262" s="22" t="s">
        <v>1317</v>
      </c>
      <c r="BW262" s="22" t="s">
        <v>1318</v>
      </c>
      <c r="BX262" s="20">
        <v>176</v>
      </c>
      <c r="BY262" s="20">
        <v>21</v>
      </c>
      <c r="BZ262" s="20">
        <v>52</v>
      </c>
      <c r="CA262" s="20">
        <v>0</v>
      </c>
      <c r="CB262" s="20">
        <v>58</v>
      </c>
      <c r="CC262" s="20">
        <v>9725</v>
      </c>
      <c r="CD262" s="22" t="s">
        <v>1345</v>
      </c>
      <c r="CE262" s="22" t="s">
        <v>1321</v>
      </c>
      <c r="CF262" s="22" t="s">
        <v>1320</v>
      </c>
      <c r="CG262" s="22" t="s">
        <v>1344</v>
      </c>
      <c r="CH262" s="22" t="s">
        <v>1317</v>
      </c>
      <c r="CI262" s="22" t="s">
        <v>1318</v>
      </c>
      <c r="CJ262" s="149" t="s">
        <v>1124</v>
      </c>
      <c r="CK262" s="241" t="s">
        <v>1927</v>
      </c>
    </row>
    <row r="263" spans="1:89" ht="15" customHeight="1" x14ac:dyDescent="0.35">
      <c r="A263" s="17"/>
      <c r="B263" s="313">
        <v>54035</v>
      </c>
      <c r="C263" s="8" t="s">
        <v>546</v>
      </c>
      <c r="D263" s="18">
        <v>16</v>
      </c>
      <c r="E263" s="131" t="s">
        <v>1309</v>
      </c>
      <c r="F263" s="22" t="s">
        <v>1309</v>
      </c>
      <c r="G263" s="132" t="s">
        <v>1309</v>
      </c>
      <c r="H263" s="22" t="s">
        <v>1311</v>
      </c>
      <c r="I263" s="22" t="s">
        <v>1327</v>
      </c>
      <c r="J263" s="22" t="s">
        <v>1327</v>
      </c>
      <c r="K263" s="22" t="s">
        <v>1309</v>
      </c>
      <c r="L263" s="22" t="s">
        <v>1309</v>
      </c>
      <c r="M263" s="133" t="s">
        <v>1311</v>
      </c>
      <c r="N263" s="22" t="s">
        <v>1311</v>
      </c>
      <c r="O263" s="22" t="s">
        <v>1309</v>
      </c>
      <c r="P263" s="22" t="s">
        <v>1309</v>
      </c>
      <c r="Q263" s="20">
        <v>0</v>
      </c>
      <c r="R263" s="20">
        <v>0</v>
      </c>
      <c r="S263" s="20">
        <v>0</v>
      </c>
      <c r="T263" s="20">
        <v>0</v>
      </c>
      <c r="U263" s="20">
        <v>0</v>
      </c>
      <c r="V263" s="20">
        <v>0</v>
      </c>
      <c r="W263" s="20">
        <v>0</v>
      </c>
      <c r="X263" s="20">
        <v>0</v>
      </c>
      <c r="Y263" s="20">
        <v>0</v>
      </c>
      <c r="Z263" s="20">
        <v>0</v>
      </c>
      <c r="AA263" s="20" t="s">
        <v>1317</v>
      </c>
      <c r="AB263" s="22" t="s">
        <v>1318</v>
      </c>
      <c r="AC263" s="20">
        <v>0</v>
      </c>
      <c r="AD263" s="20">
        <v>1</v>
      </c>
      <c r="AE263" s="20">
        <v>0</v>
      </c>
      <c r="AF263" s="20">
        <v>0</v>
      </c>
      <c r="AG263" s="20">
        <v>5</v>
      </c>
      <c r="AH263" s="20">
        <v>0</v>
      </c>
      <c r="AI263" s="328" t="s">
        <v>1328</v>
      </c>
      <c r="AJ263" s="328">
        <v>0.99800399201596801</v>
      </c>
      <c r="AK263" s="328" t="s">
        <v>1328</v>
      </c>
      <c r="AL263" s="22" t="s">
        <v>1329</v>
      </c>
      <c r="AM263" s="22" t="s">
        <v>1330</v>
      </c>
      <c r="AN263" s="22" t="s">
        <v>1317</v>
      </c>
      <c r="AO263" s="22" t="s">
        <v>1318</v>
      </c>
      <c r="AP263" s="22" t="s">
        <v>1318</v>
      </c>
      <c r="AQ263" s="22" t="s">
        <v>1318</v>
      </c>
      <c r="AR263" s="22" t="s">
        <v>1317</v>
      </c>
      <c r="AS263" s="22" t="s">
        <v>1318</v>
      </c>
      <c r="AT263" s="22" t="s">
        <v>1317</v>
      </c>
      <c r="AU263" s="22" t="s">
        <v>1318</v>
      </c>
      <c r="AV263" s="22" t="s">
        <v>1317</v>
      </c>
      <c r="AW263" s="22" t="s">
        <v>1317</v>
      </c>
      <c r="AX263" s="22" t="s">
        <v>1317</v>
      </c>
      <c r="AY263" s="22" t="s">
        <v>1317</v>
      </c>
      <c r="AZ263" s="22" t="s">
        <v>1309</v>
      </c>
      <c r="BA263" s="22" t="s">
        <v>1309</v>
      </c>
      <c r="BB263" s="22" t="s">
        <v>1309</v>
      </c>
      <c r="BC263" s="22" t="s">
        <v>1309</v>
      </c>
      <c r="BD263" s="22" t="s">
        <v>1309</v>
      </c>
      <c r="BE263" s="22" t="s">
        <v>1309</v>
      </c>
      <c r="BF263" s="22" t="s">
        <v>1309</v>
      </c>
      <c r="BG263" s="22" t="s">
        <v>1309</v>
      </c>
      <c r="BH263" s="22" t="s">
        <v>1309</v>
      </c>
      <c r="BI263" s="22" t="s">
        <v>1309</v>
      </c>
      <c r="BJ263" s="22" t="s">
        <v>1317</v>
      </c>
      <c r="BK263" s="22" t="s">
        <v>1318</v>
      </c>
      <c r="BL263" s="22" t="s">
        <v>1309</v>
      </c>
      <c r="BM263" s="22" t="s">
        <v>1309</v>
      </c>
      <c r="BN263" s="22" t="s">
        <v>1317</v>
      </c>
      <c r="BO263" s="22" t="s">
        <v>1318</v>
      </c>
      <c r="BP263" s="22" t="s">
        <v>1309</v>
      </c>
      <c r="BQ263" s="22" t="s">
        <v>1309</v>
      </c>
      <c r="BR263" s="22" t="s">
        <v>1317</v>
      </c>
      <c r="BS263" s="22" t="s">
        <v>1317</v>
      </c>
      <c r="BT263" s="22" t="s">
        <v>1317</v>
      </c>
      <c r="BU263" s="22" t="s">
        <v>1318</v>
      </c>
      <c r="BV263" s="22" t="s">
        <v>1317</v>
      </c>
      <c r="BW263" s="22" t="s">
        <v>1318</v>
      </c>
      <c r="BX263" s="20">
        <v>101</v>
      </c>
      <c r="BY263" s="20">
        <v>0</v>
      </c>
      <c r="BZ263" s="20">
        <v>0</v>
      </c>
      <c r="CA263" s="20">
        <v>901</v>
      </c>
      <c r="CB263" s="20">
        <v>0</v>
      </c>
      <c r="CC263" s="20">
        <v>0</v>
      </c>
      <c r="CD263" s="22" t="s">
        <v>1331</v>
      </c>
      <c r="CE263" s="22" t="s">
        <v>1331</v>
      </c>
      <c r="CF263" s="22" t="s">
        <v>1331</v>
      </c>
      <c r="CG263" s="22" t="s">
        <v>1331</v>
      </c>
      <c r="CH263" s="22" t="s">
        <v>1317</v>
      </c>
      <c r="CI263" s="22" t="s">
        <v>1318</v>
      </c>
      <c r="CJ263" s="149" t="s">
        <v>1124</v>
      </c>
      <c r="CK263" s="241" t="s">
        <v>1124</v>
      </c>
    </row>
    <row r="264" spans="1:89" ht="15" customHeight="1" x14ac:dyDescent="0.35">
      <c r="A264" s="17"/>
      <c r="B264" s="313">
        <v>9005</v>
      </c>
      <c r="C264" s="8" t="s">
        <v>1097</v>
      </c>
      <c r="D264" s="18">
        <v>1</v>
      </c>
      <c r="E264" s="131"/>
      <c r="F264" s="22"/>
      <c r="G264" s="132"/>
      <c r="H264" s="22"/>
      <c r="I264" s="22"/>
      <c r="J264" s="22"/>
      <c r="K264" s="22"/>
      <c r="L264" s="22"/>
      <c r="M264" s="133"/>
      <c r="N264" s="22"/>
      <c r="O264" s="22"/>
      <c r="P264" s="22"/>
      <c r="Q264" s="20"/>
      <c r="R264" s="20"/>
      <c r="S264" s="20"/>
      <c r="T264" s="20"/>
      <c r="U264" s="20"/>
      <c r="V264" s="20"/>
      <c r="W264" s="20"/>
      <c r="X264" s="20"/>
      <c r="Y264" s="20"/>
      <c r="Z264" s="20"/>
      <c r="AA264" s="20"/>
      <c r="AB264" s="22"/>
      <c r="AC264" s="20"/>
      <c r="AD264" s="20"/>
      <c r="AE264" s="20"/>
      <c r="AF264" s="20" t="s">
        <v>1124</v>
      </c>
      <c r="AG264" s="20" t="s">
        <v>1124</v>
      </c>
      <c r="AH264" s="20" t="s">
        <v>1124</v>
      </c>
      <c r="AI264" s="328"/>
      <c r="AJ264" s="328"/>
      <c r="AK264" s="328"/>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0"/>
      <c r="BY264" s="20"/>
      <c r="BZ264" s="20"/>
      <c r="CA264" s="20"/>
      <c r="CB264" s="20"/>
      <c r="CC264" s="20"/>
      <c r="CD264" s="22"/>
      <c r="CE264" s="22"/>
      <c r="CF264" s="22"/>
      <c r="CG264" s="22"/>
      <c r="CH264" s="22"/>
      <c r="CI264" s="22"/>
      <c r="CJ264" s="149"/>
      <c r="CK264" s="241"/>
    </row>
    <row r="265" spans="1:89" ht="15" customHeight="1" x14ac:dyDescent="0.35">
      <c r="A265" s="17"/>
      <c r="B265" s="313">
        <v>87080</v>
      </c>
      <c r="C265" s="8" t="s">
        <v>902</v>
      </c>
      <c r="D265" s="18">
        <v>8</v>
      </c>
      <c r="E265" s="131" t="s">
        <v>1319</v>
      </c>
      <c r="F265" s="22" t="s">
        <v>1310</v>
      </c>
      <c r="G265" s="132" t="s">
        <v>1309</v>
      </c>
      <c r="H265" s="22" t="s">
        <v>1311</v>
      </c>
      <c r="I265" s="22" t="s">
        <v>1327</v>
      </c>
      <c r="J265" s="22" t="s">
        <v>1327</v>
      </c>
      <c r="K265" s="22" t="s">
        <v>1309</v>
      </c>
      <c r="L265" s="22" t="s">
        <v>1309</v>
      </c>
      <c r="M265" s="133" t="s">
        <v>1311</v>
      </c>
      <c r="N265" s="22" t="s">
        <v>1311</v>
      </c>
      <c r="O265" s="22" t="s">
        <v>1314</v>
      </c>
      <c r="P265" s="22" t="s">
        <v>1318</v>
      </c>
      <c r="Q265" s="20">
        <v>0</v>
      </c>
      <c r="R265" s="20">
        <v>0</v>
      </c>
      <c r="S265" s="20">
        <v>0</v>
      </c>
      <c r="T265" s="20">
        <v>0</v>
      </c>
      <c r="U265" s="20">
        <v>0</v>
      </c>
      <c r="V265" s="20">
        <v>0</v>
      </c>
      <c r="W265" s="20">
        <v>0</v>
      </c>
      <c r="X265" s="20">
        <v>0</v>
      </c>
      <c r="Y265" s="20">
        <v>0</v>
      </c>
      <c r="Z265" s="20">
        <v>0</v>
      </c>
      <c r="AA265" s="20" t="s">
        <v>1317</v>
      </c>
      <c r="AB265" s="22" t="s">
        <v>1318</v>
      </c>
      <c r="AC265" s="20">
        <v>0</v>
      </c>
      <c r="AD265" s="20">
        <v>0</v>
      </c>
      <c r="AE265" s="20">
        <v>0</v>
      </c>
      <c r="AF265" s="20">
        <v>0</v>
      </c>
      <c r="AG265" s="20">
        <v>0</v>
      </c>
      <c r="AH265" s="20">
        <v>0</v>
      </c>
      <c r="AI265" s="328" t="s">
        <v>1328</v>
      </c>
      <c r="AJ265" s="328" t="s">
        <v>1328</v>
      </c>
      <c r="AK265" s="328" t="s">
        <v>1328</v>
      </c>
      <c r="AL265" s="22" t="s">
        <v>1329</v>
      </c>
      <c r="AM265" s="22" t="s">
        <v>1330</v>
      </c>
      <c r="AN265" s="22" t="s">
        <v>1317</v>
      </c>
      <c r="AO265" s="22" t="s">
        <v>1318</v>
      </c>
      <c r="AP265" s="22" t="s">
        <v>1318</v>
      </c>
      <c r="AQ265" s="22" t="s">
        <v>1318</v>
      </c>
      <c r="AR265" s="22" t="s">
        <v>1317</v>
      </c>
      <c r="AS265" s="22" t="s">
        <v>1318</v>
      </c>
      <c r="AT265" s="22" t="s">
        <v>1317</v>
      </c>
      <c r="AU265" s="22" t="s">
        <v>1318</v>
      </c>
      <c r="AV265" s="22" t="s">
        <v>1317</v>
      </c>
      <c r="AW265" s="22" t="s">
        <v>1318</v>
      </c>
      <c r="AX265" s="22" t="s">
        <v>1317</v>
      </c>
      <c r="AY265" s="22" t="s">
        <v>1318</v>
      </c>
      <c r="AZ265" s="22" t="s">
        <v>1317</v>
      </c>
      <c r="BA265" s="22" t="s">
        <v>1318</v>
      </c>
      <c r="BB265" s="22" t="s">
        <v>1309</v>
      </c>
      <c r="BC265" s="22" t="s">
        <v>1309</v>
      </c>
      <c r="BD265" s="22" t="s">
        <v>1317</v>
      </c>
      <c r="BE265" s="22" t="s">
        <v>1318</v>
      </c>
      <c r="BF265" s="22" t="s">
        <v>1317</v>
      </c>
      <c r="BG265" s="22" t="s">
        <v>1318</v>
      </c>
      <c r="BH265" s="22" t="s">
        <v>1317</v>
      </c>
      <c r="BI265" s="22" t="s">
        <v>1318</v>
      </c>
      <c r="BJ265" s="22" t="s">
        <v>1317</v>
      </c>
      <c r="BK265" s="22" t="s">
        <v>1318</v>
      </c>
      <c r="BL265" s="22" t="s">
        <v>1317</v>
      </c>
      <c r="BM265" s="22" t="s">
        <v>1318</v>
      </c>
      <c r="BN265" s="22" t="s">
        <v>1317</v>
      </c>
      <c r="BO265" s="22" t="s">
        <v>1318</v>
      </c>
      <c r="BP265" s="22" t="s">
        <v>1315</v>
      </c>
      <c r="BQ265" s="22" t="s">
        <v>1315</v>
      </c>
      <c r="BR265" s="22" t="s">
        <v>1309</v>
      </c>
      <c r="BS265" s="22" t="s">
        <v>1309</v>
      </c>
      <c r="BT265" s="22" t="s">
        <v>1315</v>
      </c>
      <c r="BU265" s="22" t="s">
        <v>1315</v>
      </c>
      <c r="BV265" s="22" t="s">
        <v>1317</v>
      </c>
      <c r="BW265" s="22" t="s">
        <v>1318</v>
      </c>
      <c r="BX265" s="20">
        <v>0</v>
      </c>
      <c r="BY265" s="20">
        <v>0</v>
      </c>
      <c r="BZ265" s="20">
        <v>1</v>
      </c>
      <c r="CA265" s="20">
        <v>0</v>
      </c>
      <c r="CB265" s="20">
        <v>0</v>
      </c>
      <c r="CC265" s="20">
        <v>115</v>
      </c>
      <c r="CD265" s="22" t="s">
        <v>1317</v>
      </c>
      <c r="CE265" s="22" t="s">
        <v>1318</v>
      </c>
      <c r="CF265" s="22" t="s">
        <v>1317</v>
      </c>
      <c r="CG265" s="22" t="s">
        <v>1318</v>
      </c>
      <c r="CH265" s="22" t="s">
        <v>1317</v>
      </c>
      <c r="CI265" s="22" t="s">
        <v>1318</v>
      </c>
      <c r="CJ265" s="149" t="s">
        <v>1124</v>
      </c>
      <c r="CK265" s="241" t="s">
        <v>1934</v>
      </c>
    </row>
    <row r="266" spans="1:89" ht="15" customHeight="1" x14ac:dyDescent="0.35">
      <c r="A266" s="17"/>
      <c r="B266" s="313">
        <v>87090</v>
      </c>
      <c r="C266" s="8" t="s">
        <v>904</v>
      </c>
      <c r="D266" s="18">
        <v>8</v>
      </c>
      <c r="E266" s="131" t="s">
        <v>1309</v>
      </c>
      <c r="F266" s="22" t="s">
        <v>1309</v>
      </c>
      <c r="G266" s="132" t="s">
        <v>1309</v>
      </c>
      <c r="H266" s="22" t="s">
        <v>1311</v>
      </c>
      <c r="I266" s="22" t="s">
        <v>1327</v>
      </c>
      <c r="J266" s="22" t="s">
        <v>1327</v>
      </c>
      <c r="K266" s="22" t="s">
        <v>1314</v>
      </c>
      <c r="L266" s="22" t="s">
        <v>1311</v>
      </c>
      <c r="M266" s="133" t="s">
        <v>1311</v>
      </c>
      <c r="N266" s="22" t="s">
        <v>1311</v>
      </c>
      <c r="O266" s="22" t="s">
        <v>1315</v>
      </c>
      <c r="P266" s="22" t="s">
        <v>1311</v>
      </c>
      <c r="Q266" s="20">
        <v>0</v>
      </c>
      <c r="R266" s="20">
        <v>0</v>
      </c>
      <c r="S266" s="20">
        <v>0</v>
      </c>
      <c r="T266" s="20">
        <v>0</v>
      </c>
      <c r="U266" s="20">
        <v>0</v>
      </c>
      <c r="V266" s="20">
        <v>101.416</v>
      </c>
      <c r="W266" s="20">
        <v>0</v>
      </c>
      <c r="X266" s="20">
        <v>0</v>
      </c>
      <c r="Y266" s="20">
        <v>0</v>
      </c>
      <c r="Z266" s="20">
        <v>0</v>
      </c>
      <c r="AA266" s="20" t="s">
        <v>1317</v>
      </c>
      <c r="AB266" s="22" t="s">
        <v>1318</v>
      </c>
      <c r="AC266" s="20">
        <v>6</v>
      </c>
      <c r="AD266" s="20">
        <v>0</v>
      </c>
      <c r="AE266" s="20">
        <v>0</v>
      </c>
      <c r="AF266" s="20">
        <v>2</v>
      </c>
      <c r="AG266" s="20">
        <v>0</v>
      </c>
      <c r="AH266" s="20">
        <v>0</v>
      </c>
      <c r="AI266" s="328">
        <v>11.832452472982567</v>
      </c>
      <c r="AJ266" s="328" t="s">
        <v>1328</v>
      </c>
      <c r="AK266" s="328" t="s">
        <v>1328</v>
      </c>
      <c r="AL266" s="22" t="s">
        <v>1329</v>
      </c>
      <c r="AM266" s="22" t="s">
        <v>1330</v>
      </c>
      <c r="AN266" s="22" t="s">
        <v>1317</v>
      </c>
      <c r="AO266" s="22" t="s">
        <v>1318</v>
      </c>
      <c r="AP266" s="22" t="s">
        <v>1318</v>
      </c>
      <c r="AQ266" s="22" t="s">
        <v>1318</v>
      </c>
      <c r="AR266" s="22" t="s">
        <v>1309</v>
      </c>
      <c r="AS266" s="22" t="s">
        <v>1309</v>
      </c>
      <c r="AT266" s="22" t="s">
        <v>1317</v>
      </c>
      <c r="AU266" s="22" t="s">
        <v>1318</v>
      </c>
      <c r="AV266" s="22" t="s">
        <v>1317</v>
      </c>
      <c r="AW266" s="22" t="s">
        <v>1318</v>
      </c>
      <c r="AX266" s="22" t="s">
        <v>1317</v>
      </c>
      <c r="AY266" s="22" t="s">
        <v>1318</v>
      </c>
      <c r="AZ266" s="22" t="s">
        <v>1309</v>
      </c>
      <c r="BA266" s="22" t="s">
        <v>1309</v>
      </c>
      <c r="BB266" s="22" t="s">
        <v>1309</v>
      </c>
      <c r="BC266" s="22" t="s">
        <v>1309</v>
      </c>
      <c r="BD266" s="22" t="s">
        <v>1315</v>
      </c>
      <c r="BE266" s="22" t="s">
        <v>1315</v>
      </c>
      <c r="BF266" s="22" t="s">
        <v>1317</v>
      </c>
      <c r="BG266" s="22" t="s">
        <v>1318</v>
      </c>
      <c r="BH266" s="22" t="s">
        <v>1317</v>
      </c>
      <c r="BI266" s="22" t="s">
        <v>1318</v>
      </c>
      <c r="BJ266" s="22" t="s">
        <v>1317</v>
      </c>
      <c r="BK266" s="22" t="s">
        <v>1318</v>
      </c>
      <c r="BL266" s="22" t="s">
        <v>1317</v>
      </c>
      <c r="BM266" s="22" t="s">
        <v>1318</v>
      </c>
      <c r="BN266" s="22" t="s">
        <v>1309</v>
      </c>
      <c r="BO266" s="22" t="s">
        <v>1309</v>
      </c>
      <c r="BP266" s="22" t="s">
        <v>1309</v>
      </c>
      <c r="BQ266" s="22" t="s">
        <v>1309</v>
      </c>
      <c r="BR266" s="22" t="s">
        <v>1309</v>
      </c>
      <c r="BS266" s="22" t="s">
        <v>1309</v>
      </c>
      <c r="BT266" s="22" t="s">
        <v>1309</v>
      </c>
      <c r="BU266" s="22" t="s">
        <v>1309</v>
      </c>
      <c r="BV266" s="22" t="s">
        <v>1309</v>
      </c>
      <c r="BW266" s="22" t="s">
        <v>1309</v>
      </c>
      <c r="BX266" s="20">
        <v>2</v>
      </c>
      <c r="BY266" s="20">
        <v>0</v>
      </c>
      <c r="BZ266" s="20">
        <v>289</v>
      </c>
      <c r="CA266" s="20">
        <v>0</v>
      </c>
      <c r="CB266" s="20">
        <v>0</v>
      </c>
      <c r="CC266" s="20">
        <v>2130</v>
      </c>
      <c r="CD266" s="22" t="s">
        <v>1320</v>
      </c>
      <c r="CE266" s="22" t="s">
        <v>1344</v>
      </c>
      <c r="CF266" s="22" t="s">
        <v>1317</v>
      </c>
      <c r="CG266" s="22" t="s">
        <v>1318</v>
      </c>
      <c r="CH266" s="22" t="s">
        <v>1317</v>
      </c>
      <c r="CI266" s="22" t="s">
        <v>1318</v>
      </c>
      <c r="CJ266" s="149" t="s">
        <v>1938</v>
      </c>
      <c r="CK266" s="241" t="s">
        <v>1124</v>
      </c>
    </row>
    <row r="267" spans="1:89" ht="15" customHeight="1" x14ac:dyDescent="0.35">
      <c r="A267" s="17"/>
      <c r="B267" s="313">
        <v>10010</v>
      </c>
      <c r="C267" s="8" t="s">
        <v>9</v>
      </c>
      <c r="D267" s="18">
        <v>1</v>
      </c>
      <c r="E267" s="131"/>
      <c r="F267" s="22"/>
      <c r="G267" s="132"/>
      <c r="H267" s="22"/>
      <c r="I267" s="22"/>
      <c r="J267" s="22"/>
      <c r="K267" s="22"/>
      <c r="L267" s="22"/>
      <c r="M267" s="133"/>
      <c r="N267" s="22"/>
      <c r="O267" s="22"/>
      <c r="P267" s="22"/>
      <c r="Q267" s="20"/>
      <c r="R267" s="20"/>
      <c r="S267" s="20"/>
      <c r="T267" s="20"/>
      <c r="U267" s="20"/>
      <c r="V267" s="20"/>
      <c r="W267" s="20"/>
      <c r="X267" s="20"/>
      <c r="Y267" s="20"/>
      <c r="Z267" s="20"/>
      <c r="AA267" s="20"/>
      <c r="AB267" s="22"/>
      <c r="AC267" s="20"/>
      <c r="AD267" s="20"/>
      <c r="AE267" s="20"/>
      <c r="AF267" s="20" t="s">
        <v>1124</v>
      </c>
      <c r="AG267" s="20" t="s">
        <v>1124</v>
      </c>
      <c r="AH267" s="20" t="s">
        <v>1124</v>
      </c>
      <c r="AI267" s="328"/>
      <c r="AJ267" s="328"/>
      <c r="AK267" s="328"/>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0"/>
      <c r="BY267" s="20"/>
      <c r="BZ267" s="20"/>
      <c r="CA267" s="20"/>
      <c r="CB267" s="20"/>
      <c r="CC267" s="20"/>
      <c r="CD267" s="22"/>
      <c r="CE267" s="22"/>
      <c r="CF267" s="22"/>
      <c r="CG267" s="22"/>
      <c r="CH267" s="22"/>
      <c r="CI267" s="22"/>
      <c r="CJ267" s="149"/>
      <c r="CK267" s="241"/>
    </row>
    <row r="268" spans="1:89" ht="15" customHeight="1" x14ac:dyDescent="0.35">
      <c r="A268" s="17"/>
      <c r="B268" s="313">
        <v>90012</v>
      </c>
      <c r="C268" s="8" t="s">
        <v>934</v>
      </c>
      <c r="D268" s="18">
        <v>4</v>
      </c>
      <c r="E268" s="131" t="s">
        <v>1309</v>
      </c>
      <c r="F268" s="22" t="s">
        <v>1309</v>
      </c>
      <c r="G268" s="132" t="s">
        <v>1309</v>
      </c>
      <c r="H268" s="22" t="s">
        <v>1311</v>
      </c>
      <c r="I268" s="22" t="s">
        <v>1315</v>
      </c>
      <c r="J268" s="22" t="s">
        <v>1315</v>
      </c>
      <c r="K268" s="22" t="s">
        <v>1319</v>
      </c>
      <c r="L268" s="22" t="s">
        <v>1309</v>
      </c>
      <c r="M268" s="133" t="s">
        <v>1311</v>
      </c>
      <c r="N268" s="22" t="s">
        <v>1311</v>
      </c>
      <c r="O268" s="22" t="s">
        <v>1314</v>
      </c>
      <c r="P268" s="22" t="s">
        <v>1318</v>
      </c>
      <c r="Q268" s="20">
        <v>0</v>
      </c>
      <c r="R268" s="20">
        <v>0</v>
      </c>
      <c r="S268" s="20">
        <v>134.31170730000002</v>
      </c>
      <c r="T268" s="20">
        <v>161.358</v>
      </c>
      <c r="U268" s="20">
        <v>0</v>
      </c>
      <c r="V268" s="20">
        <v>0</v>
      </c>
      <c r="W268" s="20">
        <v>0</v>
      </c>
      <c r="X268" s="20">
        <v>0</v>
      </c>
      <c r="Y268" s="20">
        <v>0</v>
      </c>
      <c r="Z268" s="20">
        <v>0</v>
      </c>
      <c r="AA268" s="20" t="s">
        <v>1319</v>
      </c>
      <c r="AB268" s="22" t="s">
        <v>1309</v>
      </c>
      <c r="AC268" s="20">
        <v>4</v>
      </c>
      <c r="AD268" s="20">
        <v>9</v>
      </c>
      <c r="AE268" s="20">
        <v>7</v>
      </c>
      <c r="AF268" s="20">
        <v>2</v>
      </c>
      <c r="AG268" s="20">
        <v>4</v>
      </c>
      <c r="AH268" s="20">
        <v>4</v>
      </c>
      <c r="AI268" s="328">
        <v>4.4672204088645362</v>
      </c>
      <c r="AJ268" s="328">
        <v>2.3017902813299234</v>
      </c>
      <c r="AK268" s="328">
        <v>1.7902813299232736</v>
      </c>
      <c r="AL268" s="22" t="s">
        <v>1329</v>
      </c>
      <c r="AM268" s="22" t="s">
        <v>1330</v>
      </c>
      <c r="AN268" s="22" t="s">
        <v>1317</v>
      </c>
      <c r="AO268" s="22" t="s">
        <v>1318</v>
      </c>
      <c r="AP268" s="22" t="s">
        <v>1318</v>
      </c>
      <c r="AQ268" s="22" t="s">
        <v>1318</v>
      </c>
      <c r="AR268" s="22" t="s">
        <v>1317</v>
      </c>
      <c r="AS268" s="22" t="s">
        <v>1311</v>
      </c>
      <c r="AT268" s="22" t="s">
        <v>1309</v>
      </c>
      <c r="AU268" s="22" t="s">
        <v>1309</v>
      </c>
      <c r="AV268" s="22" t="s">
        <v>1317</v>
      </c>
      <c r="AW268" s="22" t="s">
        <v>1311</v>
      </c>
      <c r="AX268" s="22" t="s">
        <v>1317</v>
      </c>
      <c r="AY268" s="22" t="s">
        <v>1318</v>
      </c>
      <c r="AZ268" s="22" t="s">
        <v>1309</v>
      </c>
      <c r="BA268" s="22" t="s">
        <v>1309</v>
      </c>
      <c r="BB268" s="22" t="s">
        <v>1309</v>
      </c>
      <c r="BC268" s="22" t="s">
        <v>1309</v>
      </c>
      <c r="BD268" s="22" t="s">
        <v>1317</v>
      </c>
      <c r="BE268" s="22" t="s">
        <v>1318</v>
      </c>
      <c r="BF268" s="22" t="s">
        <v>1317</v>
      </c>
      <c r="BG268" s="22" t="s">
        <v>1318</v>
      </c>
      <c r="BH268" s="22" t="s">
        <v>1309</v>
      </c>
      <c r="BI268" s="22" t="s">
        <v>1309</v>
      </c>
      <c r="BJ268" s="22" t="s">
        <v>1317</v>
      </c>
      <c r="BK268" s="22" t="s">
        <v>1311</v>
      </c>
      <c r="BL268" s="22" t="s">
        <v>1319</v>
      </c>
      <c r="BM268" s="22" t="s">
        <v>1309</v>
      </c>
      <c r="BN268" s="22" t="s">
        <v>1319</v>
      </c>
      <c r="BO268" s="22" t="s">
        <v>1309</v>
      </c>
      <c r="BP268" s="22" t="s">
        <v>1309</v>
      </c>
      <c r="BQ268" s="22" t="s">
        <v>1309</v>
      </c>
      <c r="BR268" s="22" t="s">
        <v>1319</v>
      </c>
      <c r="BS268" s="22" t="s">
        <v>1311</v>
      </c>
      <c r="BT268" s="22" t="s">
        <v>1309</v>
      </c>
      <c r="BU268" s="22" t="s">
        <v>1309</v>
      </c>
      <c r="BV268" s="22" t="s">
        <v>1317</v>
      </c>
      <c r="BW268" s="22" t="s">
        <v>1311</v>
      </c>
      <c r="BX268" s="20">
        <v>54</v>
      </c>
      <c r="BY268" s="20">
        <v>2</v>
      </c>
      <c r="BZ268" s="20">
        <v>221</v>
      </c>
      <c r="CA268" s="20">
        <v>0</v>
      </c>
      <c r="CB268" s="20">
        <v>0</v>
      </c>
      <c r="CC268" s="20">
        <v>3694</v>
      </c>
      <c r="CD268" s="22" t="s">
        <v>1345</v>
      </c>
      <c r="CE268" s="22" t="s">
        <v>1321</v>
      </c>
      <c r="CF268" s="22" t="s">
        <v>1320</v>
      </c>
      <c r="CG268" s="22" t="s">
        <v>1331</v>
      </c>
      <c r="CH268" s="22" t="s">
        <v>1317</v>
      </c>
      <c r="CI268" s="22" t="s">
        <v>1318</v>
      </c>
      <c r="CJ268" s="149" t="s">
        <v>1946</v>
      </c>
      <c r="CK268" s="241" t="s">
        <v>1124</v>
      </c>
    </row>
    <row r="269" spans="1:89" ht="15" customHeight="1" x14ac:dyDescent="0.35">
      <c r="A269" s="17"/>
      <c r="B269" s="313">
        <v>52050</v>
      </c>
      <c r="C269" s="8" t="s">
        <v>521</v>
      </c>
      <c r="D269" s="18">
        <v>14</v>
      </c>
      <c r="E269" s="131" t="s">
        <v>1309</v>
      </c>
      <c r="F269" s="22" t="s">
        <v>1309</v>
      </c>
      <c r="G269" s="132" t="s">
        <v>1309</v>
      </c>
      <c r="H269" s="22" t="s">
        <v>1311</v>
      </c>
      <c r="I269" s="22" t="s">
        <v>1315</v>
      </c>
      <c r="J269" s="22" t="s">
        <v>1315</v>
      </c>
      <c r="K269" s="22" t="s">
        <v>1314</v>
      </c>
      <c r="L269" s="22" t="s">
        <v>1311</v>
      </c>
      <c r="M269" s="133" t="s">
        <v>1311</v>
      </c>
      <c r="N269" s="22" t="s">
        <v>1311</v>
      </c>
      <c r="O269" s="22" t="s">
        <v>1309</v>
      </c>
      <c r="P269" s="22" t="s">
        <v>1309</v>
      </c>
      <c r="Q269" s="20">
        <v>0</v>
      </c>
      <c r="R269" s="20">
        <v>14.452999999999999</v>
      </c>
      <c r="S269" s="20">
        <v>0</v>
      </c>
      <c r="T269" s="20">
        <v>0</v>
      </c>
      <c r="U269" s="20">
        <v>0</v>
      </c>
      <c r="V269" s="20">
        <v>0</v>
      </c>
      <c r="W269" s="20">
        <v>0</v>
      </c>
      <c r="X269" s="20">
        <v>0</v>
      </c>
      <c r="Y269" s="20">
        <v>0</v>
      </c>
      <c r="Z269" s="20">
        <v>0</v>
      </c>
      <c r="AA269" s="20" t="s">
        <v>1315</v>
      </c>
      <c r="AB269" s="22" t="s">
        <v>1315</v>
      </c>
      <c r="AC269" s="20">
        <v>0</v>
      </c>
      <c r="AD269" s="20">
        <v>0</v>
      </c>
      <c r="AE269" s="20">
        <v>2</v>
      </c>
      <c r="AF269" s="20">
        <v>0</v>
      </c>
      <c r="AG269" s="20">
        <v>0</v>
      </c>
      <c r="AH269" s="20">
        <v>7</v>
      </c>
      <c r="AI269" s="328" t="s">
        <v>1328</v>
      </c>
      <c r="AJ269" s="328" t="s">
        <v>1328</v>
      </c>
      <c r="AK269" s="328">
        <v>6.0790273556231007</v>
      </c>
      <c r="AL269" s="22" t="s">
        <v>1329</v>
      </c>
      <c r="AM269" s="22" t="s">
        <v>1330</v>
      </c>
      <c r="AN269" s="22" t="s">
        <v>1315</v>
      </c>
      <c r="AO269" s="22" t="s">
        <v>1315</v>
      </c>
      <c r="AP269" s="22" t="s">
        <v>1315</v>
      </c>
      <c r="AQ269" s="22" t="s">
        <v>1315</v>
      </c>
      <c r="AR269" s="22" t="s">
        <v>1315</v>
      </c>
      <c r="AS269" s="22" t="s">
        <v>1315</v>
      </c>
      <c r="AT269" s="22" t="s">
        <v>1317</v>
      </c>
      <c r="AU269" s="22" t="s">
        <v>1311</v>
      </c>
      <c r="AV269" s="22" t="s">
        <v>1317</v>
      </c>
      <c r="AW269" s="22" t="s">
        <v>1318</v>
      </c>
      <c r="AX269" s="22" t="s">
        <v>1317</v>
      </c>
      <c r="AY269" s="22" t="s">
        <v>1318</v>
      </c>
      <c r="AZ269" s="22" t="s">
        <v>1317</v>
      </c>
      <c r="BA269" s="22" t="s">
        <v>1318</v>
      </c>
      <c r="BB269" s="22" t="s">
        <v>1309</v>
      </c>
      <c r="BC269" s="22" t="s">
        <v>1311</v>
      </c>
      <c r="BD269" s="22" t="s">
        <v>1309</v>
      </c>
      <c r="BE269" s="22" t="s">
        <v>1309</v>
      </c>
      <c r="BF269" s="22" t="s">
        <v>1309</v>
      </c>
      <c r="BG269" s="22" t="s">
        <v>1309</v>
      </c>
      <c r="BH269" s="22" t="s">
        <v>1317</v>
      </c>
      <c r="BI269" s="22" t="s">
        <v>1318</v>
      </c>
      <c r="BJ269" s="22" t="s">
        <v>1317</v>
      </c>
      <c r="BK269" s="22" t="s">
        <v>1318</v>
      </c>
      <c r="BL269" s="22" t="s">
        <v>1309</v>
      </c>
      <c r="BM269" s="22" t="s">
        <v>1309</v>
      </c>
      <c r="BN269" s="22" t="s">
        <v>1309</v>
      </c>
      <c r="BO269" s="22" t="s">
        <v>1309</v>
      </c>
      <c r="BP269" s="22" t="s">
        <v>1315</v>
      </c>
      <c r="BQ269" s="22" t="s">
        <v>1315</v>
      </c>
      <c r="BR269" s="22" t="s">
        <v>1309</v>
      </c>
      <c r="BS269" s="22" t="s">
        <v>1309</v>
      </c>
      <c r="BT269" s="22" t="s">
        <v>1309</v>
      </c>
      <c r="BU269" s="22" t="s">
        <v>1309</v>
      </c>
      <c r="BV269" s="22" t="s">
        <v>1317</v>
      </c>
      <c r="BW269" s="22" t="s">
        <v>1311</v>
      </c>
      <c r="BX269" s="20">
        <v>7</v>
      </c>
      <c r="BY269" s="20">
        <v>1</v>
      </c>
      <c r="BZ269" s="20">
        <v>2</v>
      </c>
      <c r="CA269" s="20">
        <v>124</v>
      </c>
      <c r="CB269" s="20">
        <v>172</v>
      </c>
      <c r="CC269" s="20">
        <v>0</v>
      </c>
      <c r="CD269" s="22" t="s">
        <v>1345</v>
      </c>
      <c r="CE269" s="22" t="s">
        <v>1318</v>
      </c>
      <c r="CF269" s="22" t="s">
        <v>1331</v>
      </c>
      <c r="CG269" s="22" t="s">
        <v>1331</v>
      </c>
      <c r="CH269" s="22" t="s">
        <v>1315</v>
      </c>
      <c r="CI269" s="22" t="s">
        <v>1315</v>
      </c>
      <c r="CJ269" s="149" t="s">
        <v>1124</v>
      </c>
      <c r="CK269" s="241" t="s">
        <v>1124</v>
      </c>
    </row>
    <row r="270" spans="1:89" ht="15" customHeight="1" x14ac:dyDescent="0.35">
      <c r="A270" s="17"/>
      <c r="B270" s="313">
        <v>50085</v>
      </c>
      <c r="C270" s="8" t="s">
        <v>492</v>
      </c>
      <c r="D270" s="18">
        <v>17</v>
      </c>
      <c r="E270" s="131" t="s">
        <v>1309</v>
      </c>
      <c r="F270" s="22" t="s">
        <v>1309</v>
      </c>
      <c r="G270" s="132" t="s">
        <v>1309</v>
      </c>
      <c r="H270" s="22" t="s">
        <v>1311</v>
      </c>
      <c r="I270" s="22" t="s">
        <v>1327</v>
      </c>
      <c r="J270" s="22" t="s">
        <v>1327</v>
      </c>
      <c r="K270" s="22" t="s">
        <v>1319</v>
      </c>
      <c r="L270" s="22" t="s">
        <v>1311</v>
      </c>
      <c r="M270" s="133" t="s">
        <v>1311</v>
      </c>
      <c r="N270" s="22" t="s">
        <v>1311</v>
      </c>
      <c r="O270" s="22" t="s">
        <v>1309</v>
      </c>
      <c r="P270" s="22" t="s">
        <v>1309</v>
      </c>
      <c r="Q270" s="20">
        <v>0</v>
      </c>
      <c r="R270" s="20">
        <v>0</v>
      </c>
      <c r="S270" s="20">
        <v>0</v>
      </c>
      <c r="T270" s="20">
        <v>0</v>
      </c>
      <c r="U270" s="20">
        <v>0</v>
      </c>
      <c r="V270" s="20">
        <v>0</v>
      </c>
      <c r="W270" s="20">
        <v>0</v>
      </c>
      <c r="X270" s="20">
        <v>0</v>
      </c>
      <c r="Y270" s="20">
        <v>0</v>
      </c>
      <c r="Z270" s="20">
        <v>0</v>
      </c>
      <c r="AA270" s="20" t="s">
        <v>1315</v>
      </c>
      <c r="AB270" s="22" t="s">
        <v>1315</v>
      </c>
      <c r="AC270" s="20">
        <v>1</v>
      </c>
      <c r="AD270" s="20">
        <v>0</v>
      </c>
      <c r="AE270" s="20">
        <v>0</v>
      </c>
      <c r="AF270" s="20">
        <v>1</v>
      </c>
      <c r="AG270" s="20">
        <v>0</v>
      </c>
      <c r="AH270" s="20">
        <v>0</v>
      </c>
      <c r="AI270" s="328">
        <v>5.1631557207765386</v>
      </c>
      <c r="AJ270" s="328" t="s">
        <v>1328</v>
      </c>
      <c r="AK270" s="328" t="s">
        <v>1328</v>
      </c>
      <c r="AL270" s="22" t="s">
        <v>1329</v>
      </c>
      <c r="AM270" s="22" t="s">
        <v>1330</v>
      </c>
      <c r="AN270" s="22" t="s">
        <v>1315</v>
      </c>
      <c r="AO270" s="22" t="s">
        <v>1315</v>
      </c>
      <c r="AP270" s="22" t="s">
        <v>1315</v>
      </c>
      <c r="AQ270" s="22" t="s">
        <v>1315</v>
      </c>
      <c r="AR270" s="22" t="s">
        <v>1315</v>
      </c>
      <c r="AS270" s="22" t="s">
        <v>1315</v>
      </c>
      <c r="AT270" s="22" t="s">
        <v>1317</v>
      </c>
      <c r="AU270" s="22" t="s">
        <v>1311</v>
      </c>
      <c r="AV270" s="22" t="s">
        <v>1317</v>
      </c>
      <c r="AW270" s="22" t="s">
        <v>1318</v>
      </c>
      <c r="AX270" s="22" t="s">
        <v>1317</v>
      </c>
      <c r="AY270" s="22" t="s">
        <v>1318</v>
      </c>
      <c r="AZ270" s="22" t="s">
        <v>1317</v>
      </c>
      <c r="BA270" s="22" t="s">
        <v>1318</v>
      </c>
      <c r="BB270" s="22" t="s">
        <v>1309</v>
      </c>
      <c r="BC270" s="22" t="s">
        <v>1309</v>
      </c>
      <c r="BD270" s="22" t="s">
        <v>1309</v>
      </c>
      <c r="BE270" s="22" t="s">
        <v>1309</v>
      </c>
      <c r="BF270" s="22" t="s">
        <v>1309</v>
      </c>
      <c r="BG270" s="22" t="s">
        <v>1309</v>
      </c>
      <c r="BH270" s="22" t="s">
        <v>1317</v>
      </c>
      <c r="BI270" s="22" t="s">
        <v>1318</v>
      </c>
      <c r="BJ270" s="22" t="s">
        <v>1309</v>
      </c>
      <c r="BK270" s="22" t="s">
        <v>1309</v>
      </c>
      <c r="BL270" s="22" t="s">
        <v>1309</v>
      </c>
      <c r="BM270" s="22" t="s">
        <v>1309</v>
      </c>
      <c r="BN270" s="22" t="s">
        <v>1309</v>
      </c>
      <c r="BO270" s="22" t="s">
        <v>1309</v>
      </c>
      <c r="BP270" s="22" t="s">
        <v>1315</v>
      </c>
      <c r="BQ270" s="22" t="s">
        <v>1315</v>
      </c>
      <c r="BR270" s="22" t="s">
        <v>1309</v>
      </c>
      <c r="BS270" s="22" t="s">
        <v>1309</v>
      </c>
      <c r="BT270" s="22" t="s">
        <v>1309</v>
      </c>
      <c r="BU270" s="22" t="s">
        <v>1309</v>
      </c>
      <c r="BV270" s="22" t="s">
        <v>1317</v>
      </c>
      <c r="BW270" s="22" t="s">
        <v>1318</v>
      </c>
      <c r="BX270" s="20">
        <v>28</v>
      </c>
      <c r="BY270" s="20">
        <v>0</v>
      </c>
      <c r="BZ270" s="20">
        <v>0</v>
      </c>
      <c r="CA270" s="20">
        <v>95</v>
      </c>
      <c r="CB270" s="20">
        <v>0</v>
      </c>
      <c r="CC270" s="20">
        <v>0</v>
      </c>
      <c r="CD270" s="22" t="s">
        <v>1331</v>
      </c>
      <c r="CE270" s="22" t="s">
        <v>1331</v>
      </c>
      <c r="CF270" s="22" t="s">
        <v>1331</v>
      </c>
      <c r="CG270" s="22" t="s">
        <v>1331</v>
      </c>
      <c r="CH270" s="22" t="s">
        <v>1315</v>
      </c>
      <c r="CI270" s="22" t="s">
        <v>1315</v>
      </c>
      <c r="CJ270" s="149" t="s">
        <v>1124</v>
      </c>
      <c r="CK270" s="241" t="s">
        <v>1124</v>
      </c>
    </row>
    <row r="271" spans="1:89" ht="15" customHeight="1" x14ac:dyDescent="0.35">
      <c r="A271" s="17"/>
      <c r="B271" s="313">
        <v>78120</v>
      </c>
      <c r="C271" s="8" t="s">
        <v>783</v>
      </c>
      <c r="D271" s="18">
        <v>15</v>
      </c>
      <c r="E271" s="131" t="s">
        <v>1309</v>
      </c>
      <c r="F271" s="22" t="s">
        <v>1309</v>
      </c>
      <c r="G271" s="132" t="s">
        <v>1309</v>
      </c>
      <c r="H271" s="22" t="s">
        <v>1311</v>
      </c>
      <c r="I271" s="22" t="s">
        <v>1327</v>
      </c>
      <c r="J271" s="22" t="s">
        <v>1342</v>
      </c>
      <c r="K271" s="22" t="s">
        <v>1319</v>
      </c>
      <c r="L271" s="22" t="s">
        <v>1311</v>
      </c>
      <c r="M271" s="133" t="s">
        <v>1311</v>
      </c>
      <c r="N271" s="22" t="s">
        <v>1311</v>
      </c>
      <c r="O271" s="22" t="s">
        <v>1314</v>
      </c>
      <c r="P271" s="22" t="s">
        <v>1311</v>
      </c>
      <c r="Q271" s="20">
        <v>22.206</v>
      </c>
      <c r="R271" s="20">
        <v>22.206</v>
      </c>
      <c r="S271" s="20">
        <v>0</v>
      </c>
      <c r="T271" s="20">
        <v>0</v>
      </c>
      <c r="U271" s="20">
        <v>44.411999999999999</v>
      </c>
      <c r="V271" s="20">
        <v>44.411999999999999</v>
      </c>
      <c r="W271" s="20">
        <v>0</v>
      </c>
      <c r="X271" s="20">
        <v>0</v>
      </c>
      <c r="Y271" s="20">
        <v>0</v>
      </c>
      <c r="Z271" s="20">
        <v>0</v>
      </c>
      <c r="AA271" s="20" t="s">
        <v>1309</v>
      </c>
      <c r="AB271" s="22" t="s">
        <v>1309</v>
      </c>
      <c r="AC271" s="20">
        <v>0</v>
      </c>
      <c r="AD271" s="20">
        <v>3</v>
      </c>
      <c r="AE271" s="20">
        <v>1</v>
      </c>
      <c r="AF271" s="20">
        <v>0</v>
      </c>
      <c r="AG271" s="20">
        <v>2</v>
      </c>
      <c r="AH271" s="20">
        <v>2</v>
      </c>
      <c r="AI271" s="328" t="s">
        <v>1328</v>
      </c>
      <c r="AJ271" s="328">
        <v>3.2930845225027441</v>
      </c>
      <c r="AK271" s="328">
        <v>1.0976948408342482</v>
      </c>
      <c r="AL271" s="22" t="s">
        <v>1329</v>
      </c>
      <c r="AM271" s="22" t="s">
        <v>1330</v>
      </c>
      <c r="AN271" s="22" t="s">
        <v>1317</v>
      </c>
      <c r="AO271" s="22" t="s">
        <v>1318</v>
      </c>
      <c r="AP271" s="22" t="s">
        <v>1318</v>
      </c>
      <c r="AQ271" s="22" t="s">
        <v>1318</v>
      </c>
      <c r="AR271" s="22" t="s">
        <v>1317</v>
      </c>
      <c r="AS271" s="22" t="s">
        <v>1318</v>
      </c>
      <c r="AT271" s="22" t="s">
        <v>1309</v>
      </c>
      <c r="AU271" s="22" t="s">
        <v>1311</v>
      </c>
      <c r="AV271" s="22" t="s">
        <v>1317</v>
      </c>
      <c r="AW271" s="22" t="s">
        <v>1318</v>
      </c>
      <c r="AX271" s="22" t="s">
        <v>1317</v>
      </c>
      <c r="AY271" s="22" t="s">
        <v>1318</v>
      </c>
      <c r="AZ271" s="22" t="s">
        <v>1309</v>
      </c>
      <c r="BA271" s="22" t="s">
        <v>1309</v>
      </c>
      <c r="BB271" s="22" t="s">
        <v>1309</v>
      </c>
      <c r="BC271" s="22" t="s">
        <v>1309</v>
      </c>
      <c r="BD271" s="22" t="s">
        <v>1317</v>
      </c>
      <c r="BE271" s="22" t="s">
        <v>1311</v>
      </c>
      <c r="BF271" s="22" t="s">
        <v>1317</v>
      </c>
      <c r="BG271" s="22" t="s">
        <v>1318</v>
      </c>
      <c r="BH271" s="22" t="s">
        <v>1309</v>
      </c>
      <c r="BI271" s="22" t="s">
        <v>1309</v>
      </c>
      <c r="BJ271" s="22" t="s">
        <v>1317</v>
      </c>
      <c r="BK271" s="22" t="s">
        <v>1318</v>
      </c>
      <c r="BL271" s="22" t="s">
        <v>1317</v>
      </c>
      <c r="BM271" s="22" t="s">
        <v>1311</v>
      </c>
      <c r="BN271" s="22" t="s">
        <v>1309</v>
      </c>
      <c r="BO271" s="22" t="s">
        <v>1309</v>
      </c>
      <c r="BP271" s="22" t="s">
        <v>1309</v>
      </c>
      <c r="BQ271" s="22" t="s">
        <v>1309</v>
      </c>
      <c r="BR271" s="22" t="s">
        <v>1309</v>
      </c>
      <c r="BS271" s="22" t="s">
        <v>1309</v>
      </c>
      <c r="BT271" s="22" t="s">
        <v>1309</v>
      </c>
      <c r="BU271" s="22" t="s">
        <v>1309</v>
      </c>
      <c r="BV271" s="22" t="s">
        <v>1309</v>
      </c>
      <c r="BW271" s="22" t="s">
        <v>1309</v>
      </c>
      <c r="BX271" s="20">
        <v>0</v>
      </c>
      <c r="BY271" s="20">
        <v>30</v>
      </c>
      <c r="BZ271" s="20">
        <v>63</v>
      </c>
      <c r="CA271" s="20">
        <v>0</v>
      </c>
      <c r="CB271" s="20">
        <v>0</v>
      </c>
      <c r="CC271" s="20">
        <v>814</v>
      </c>
      <c r="CD271" s="22" t="s">
        <v>1345</v>
      </c>
      <c r="CE271" s="22" t="s">
        <v>1321</v>
      </c>
      <c r="CF271" s="22" t="s">
        <v>1317</v>
      </c>
      <c r="CG271" s="22" t="s">
        <v>1340</v>
      </c>
      <c r="CH271" s="22" t="s">
        <v>1317</v>
      </c>
      <c r="CI271" s="22" t="s">
        <v>1318</v>
      </c>
      <c r="CJ271" s="149" t="s">
        <v>1955</v>
      </c>
      <c r="CK271" s="241" t="s">
        <v>1356</v>
      </c>
    </row>
    <row r="272" spans="1:89" ht="15" customHeight="1" x14ac:dyDescent="0.35">
      <c r="A272" s="17"/>
      <c r="B272" s="313">
        <v>93055</v>
      </c>
      <c r="C272" s="8" t="s">
        <v>966</v>
      </c>
      <c r="D272" s="18">
        <v>2</v>
      </c>
      <c r="E272" s="131" t="s">
        <v>1319</v>
      </c>
      <c r="F272" s="22" t="s">
        <v>1490</v>
      </c>
      <c r="G272" s="132" t="s">
        <v>1309</v>
      </c>
      <c r="H272" s="22" t="s">
        <v>1311</v>
      </c>
      <c r="I272" s="22" t="s">
        <v>1327</v>
      </c>
      <c r="J272" s="22" t="s">
        <v>1327</v>
      </c>
      <c r="K272" s="22" t="s">
        <v>1319</v>
      </c>
      <c r="L272" s="22" t="s">
        <v>1311</v>
      </c>
      <c r="M272" s="133" t="s">
        <v>1311</v>
      </c>
      <c r="N272" s="22" t="s">
        <v>1311</v>
      </c>
      <c r="O272" s="22" t="s">
        <v>1314</v>
      </c>
      <c r="P272" s="22" t="s">
        <v>1318</v>
      </c>
      <c r="Q272" s="20">
        <v>0</v>
      </c>
      <c r="R272" s="20">
        <v>0</v>
      </c>
      <c r="S272" s="20">
        <v>25.984999999999999</v>
      </c>
      <c r="T272" s="20">
        <v>0</v>
      </c>
      <c r="U272" s="20">
        <v>0</v>
      </c>
      <c r="V272" s="20">
        <v>25.984999999999999</v>
      </c>
      <c r="W272" s="20">
        <v>0</v>
      </c>
      <c r="X272" s="20">
        <v>0</v>
      </c>
      <c r="Y272" s="20">
        <v>0</v>
      </c>
      <c r="Z272" s="20">
        <v>0</v>
      </c>
      <c r="AA272" s="20" t="s">
        <v>1317</v>
      </c>
      <c r="AB272" s="22" t="s">
        <v>1311</v>
      </c>
      <c r="AC272" s="20">
        <v>1</v>
      </c>
      <c r="AD272" s="20">
        <v>2</v>
      </c>
      <c r="AE272" s="20">
        <v>5</v>
      </c>
      <c r="AF272" s="20">
        <v>3</v>
      </c>
      <c r="AG272" s="20">
        <v>1</v>
      </c>
      <c r="AH272" s="20">
        <v>1</v>
      </c>
      <c r="AI272" s="328">
        <v>3.8483740619588227</v>
      </c>
      <c r="AJ272" s="328">
        <v>3.7453183520599249</v>
      </c>
      <c r="AK272" s="328">
        <v>9.3632958801498134</v>
      </c>
      <c r="AL272" s="22" t="s">
        <v>1329</v>
      </c>
      <c r="AM272" s="22" t="s">
        <v>1330</v>
      </c>
      <c r="AN272" s="22" t="s">
        <v>1317</v>
      </c>
      <c r="AO272" s="22" t="s">
        <v>1318</v>
      </c>
      <c r="AP272" s="22" t="s">
        <v>1318</v>
      </c>
      <c r="AQ272" s="22" t="s">
        <v>1318</v>
      </c>
      <c r="AR272" s="22" t="s">
        <v>1317</v>
      </c>
      <c r="AS272" s="22" t="s">
        <v>1318</v>
      </c>
      <c r="AT272" s="22" t="s">
        <v>1309</v>
      </c>
      <c r="AU272" s="22" t="s">
        <v>1309</v>
      </c>
      <c r="AV272" s="22" t="s">
        <v>1309</v>
      </c>
      <c r="AW272" s="22" t="s">
        <v>1309</v>
      </c>
      <c r="AX272" s="22" t="s">
        <v>1317</v>
      </c>
      <c r="AY272" s="22" t="s">
        <v>1318</v>
      </c>
      <c r="AZ272" s="22" t="s">
        <v>1309</v>
      </c>
      <c r="BA272" s="22" t="s">
        <v>1309</v>
      </c>
      <c r="BB272" s="22" t="s">
        <v>1309</v>
      </c>
      <c r="BC272" s="22" t="s">
        <v>1309</v>
      </c>
      <c r="BD272" s="22" t="s">
        <v>1317</v>
      </c>
      <c r="BE272" s="22" t="s">
        <v>1318</v>
      </c>
      <c r="BF272" s="22" t="s">
        <v>1319</v>
      </c>
      <c r="BG272" s="22" t="s">
        <v>1311</v>
      </c>
      <c r="BH272" s="22" t="s">
        <v>1309</v>
      </c>
      <c r="BI272" s="22" t="s">
        <v>1309</v>
      </c>
      <c r="BJ272" s="22" t="s">
        <v>1317</v>
      </c>
      <c r="BK272" s="22" t="s">
        <v>1318</v>
      </c>
      <c r="BL272" s="22" t="s">
        <v>1317</v>
      </c>
      <c r="BM272" s="22" t="s">
        <v>1318</v>
      </c>
      <c r="BN272" s="22" t="s">
        <v>1309</v>
      </c>
      <c r="BO272" s="22" t="s">
        <v>1309</v>
      </c>
      <c r="BP272" s="22" t="s">
        <v>1309</v>
      </c>
      <c r="BQ272" s="22" t="s">
        <v>1309</v>
      </c>
      <c r="BR272" s="22" t="s">
        <v>1309</v>
      </c>
      <c r="BS272" s="22" t="s">
        <v>1309</v>
      </c>
      <c r="BT272" s="22" t="s">
        <v>1309</v>
      </c>
      <c r="BU272" s="22" t="s">
        <v>1309</v>
      </c>
      <c r="BV272" s="22" t="s">
        <v>1317</v>
      </c>
      <c r="BW272" s="22" t="s">
        <v>1318</v>
      </c>
      <c r="BX272" s="20">
        <v>7</v>
      </c>
      <c r="BY272" s="20">
        <v>0</v>
      </c>
      <c r="BZ272" s="20">
        <v>18</v>
      </c>
      <c r="CA272" s="20">
        <v>0</v>
      </c>
      <c r="CB272" s="20">
        <v>0</v>
      </c>
      <c r="CC272" s="20">
        <v>509</v>
      </c>
      <c r="CD272" s="22" t="s">
        <v>1320</v>
      </c>
      <c r="CE272" s="22" t="s">
        <v>1321</v>
      </c>
      <c r="CF272" s="22" t="s">
        <v>1317</v>
      </c>
      <c r="CG272" s="22" t="s">
        <v>1318</v>
      </c>
      <c r="CH272" s="22" t="s">
        <v>1351</v>
      </c>
      <c r="CI272" s="22" t="s">
        <v>1352</v>
      </c>
      <c r="CJ272" s="149" t="s">
        <v>1959</v>
      </c>
      <c r="CK272" s="241" t="s">
        <v>1960</v>
      </c>
    </row>
    <row r="273" spans="1:89" ht="15" customHeight="1" x14ac:dyDescent="0.35">
      <c r="A273" s="17"/>
      <c r="B273" s="313">
        <v>7057</v>
      </c>
      <c r="C273" s="8" t="s">
        <v>1076</v>
      </c>
      <c r="D273" s="18">
        <v>1</v>
      </c>
      <c r="E273" s="131" t="s">
        <v>1319</v>
      </c>
      <c r="F273" s="22" t="s">
        <v>1310</v>
      </c>
      <c r="G273" s="132" t="s">
        <v>1309</v>
      </c>
      <c r="H273" s="22" t="s">
        <v>1311</v>
      </c>
      <c r="I273" s="22" t="s">
        <v>1327</v>
      </c>
      <c r="J273" s="22" t="s">
        <v>1327</v>
      </c>
      <c r="K273" s="22" t="s">
        <v>1309</v>
      </c>
      <c r="L273" s="22" t="s">
        <v>1309</v>
      </c>
      <c r="M273" s="133" t="s">
        <v>1311</v>
      </c>
      <c r="N273" s="22" t="s">
        <v>1311</v>
      </c>
      <c r="O273" s="22" t="s">
        <v>1314</v>
      </c>
      <c r="P273" s="22" t="s">
        <v>1311</v>
      </c>
      <c r="Q273" s="20">
        <v>0</v>
      </c>
      <c r="R273" s="20">
        <v>0</v>
      </c>
      <c r="S273" s="20">
        <v>0</v>
      </c>
      <c r="T273" s="20">
        <v>0</v>
      </c>
      <c r="U273" s="20">
        <v>8.1999999999999993</v>
      </c>
      <c r="V273" s="20">
        <v>10.907999999999999</v>
      </c>
      <c r="W273" s="20">
        <v>0</v>
      </c>
      <c r="X273" s="20">
        <v>0</v>
      </c>
      <c r="Y273" s="20">
        <v>0</v>
      </c>
      <c r="Z273" s="20">
        <v>0</v>
      </c>
      <c r="AA273" s="20" t="s">
        <v>1317</v>
      </c>
      <c r="AB273" s="22" t="s">
        <v>1309</v>
      </c>
      <c r="AC273" s="20">
        <v>3</v>
      </c>
      <c r="AD273" s="20">
        <v>0</v>
      </c>
      <c r="AE273" s="20">
        <v>0</v>
      </c>
      <c r="AF273" s="20">
        <v>7</v>
      </c>
      <c r="AG273" s="20">
        <v>0</v>
      </c>
      <c r="AH273" s="20">
        <v>0</v>
      </c>
      <c r="AI273" s="328">
        <v>27.502750275027505</v>
      </c>
      <c r="AJ273" s="328" t="s">
        <v>1328</v>
      </c>
      <c r="AK273" s="328" t="s">
        <v>1328</v>
      </c>
      <c r="AL273" s="22" t="s">
        <v>1338</v>
      </c>
      <c r="AM273" s="22" t="s">
        <v>1339</v>
      </c>
      <c r="AN273" s="22" t="s">
        <v>1317</v>
      </c>
      <c r="AO273" s="22" t="s">
        <v>1318</v>
      </c>
      <c r="AP273" s="22" t="s">
        <v>1318</v>
      </c>
      <c r="AQ273" s="22" t="s">
        <v>1318</v>
      </c>
      <c r="AR273" s="22" t="s">
        <v>1317</v>
      </c>
      <c r="AS273" s="22" t="s">
        <v>1318</v>
      </c>
      <c r="AT273" s="22" t="s">
        <v>1317</v>
      </c>
      <c r="AU273" s="22" t="s">
        <v>1318</v>
      </c>
      <c r="AV273" s="22" t="s">
        <v>1317</v>
      </c>
      <c r="AW273" s="22" t="s">
        <v>1318</v>
      </c>
      <c r="AX273" s="22" t="s">
        <v>1317</v>
      </c>
      <c r="AY273" s="22" t="s">
        <v>1318</v>
      </c>
      <c r="AZ273" s="22" t="s">
        <v>1309</v>
      </c>
      <c r="BA273" s="22" t="s">
        <v>1311</v>
      </c>
      <c r="BB273" s="22" t="s">
        <v>1319</v>
      </c>
      <c r="BC273" s="22" t="s">
        <v>1311</v>
      </c>
      <c r="BD273" s="22" t="s">
        <v>1317</v>
      </c>
      <c r="BE273" s="22" t="s">
        <v>1318</v>
      </c>
      <c r="BF273" s="22" t="s">
        <v>1317</v>
      </c>
      <c r="BG273" s="22" t="s">
        <v>1311</v>
      </c>
      <c r="BH273" s="22" t="s">
        <v>1319</v>
      </c>
      <c r="BI273" s="22" t="s">
        <v>1311</v>
      </c>
      <c r="BJ273" s="22" t="s">
        <v>1317</v>
      </c>
      <c r="BK273" s="22" t="s">
        <v>1318</v>
      </c>
      <c r="BL273" s="22" t="s">
        <v>1319</v>
      </c>
      <c r="BM273" s="22" t="s">
        <v>1311</v>
      </c>
      <c r="BN273" s="22" t="s">
        <v>1309</v>
      </c>
      <c r="BO273" s="22" t="s">
        <v>1309</v>
      </c>
      <c r="BP273" s="22" t="s">
        <v>1319</v>
      </c>
      <c r="BQ273" s="22" t="s">
        <v>1311</v>
      </c>
      <c r="BR273" s="22" t="s">
        <v>1319</v>
      </c>
      <c r="BS273" s="22" t="s">
        <v>1311</v>
      </c>
      <c r="BT273" s="22" t="s">
        <v>1317</v>
      </c>
      <c r="BU273" s="22" t="s">
        <v>1318</v>
      </c>
      <c r="BV273" s="22" t="s">
        <v>1317</v>
      </c>
      <c r="BW273" s="22" t="s">
        <v>1318</v>
      </c>
      <c r="BX273" s="20">
        <v>0</v>
      </c>
      <c r="BY273" s="20">
        <v>1</v>
      </c>
      <c r="BZ273" s="20">
        <v>25</v>
      </c>
      <c r="CA273" s="20">
        <v>0</v>
      </c>
      <c r="CB273" s="20">
        <v>0</v>
      </c>
      <c r="CC273" s="20">
        <v>328</v>
      </c>
      <c r="CD273" s="22" t="s">
        <v>1320</v>
      </c>
      <c r="CE273" s="22" t="s">
        <v>1321</v>
      </c>
      <c r="CF273" s="22" t="s">
        <v>1317</v>
      </c>
      <c r="CG273" s="22" t="s">
        <v>1321</v>
      </c>
      <c r="CH273" s="22" t="s">
        <v>1317</v>
      </c>
      <c r="CI273" s="22" t="s">
        <v>1318</v>
      </c>
      <c r="CJ273" s="149" t="s">
        <v>1124</v>
      </c>
      <c r="CK273" s="241" t="s">
        <v>1964</v>
      </c>
    </row>
    <row r="274" spans="1:89" ht="15" customHeight="1" x14ac:dyDescent="0.35">
      <c r="A274" s="17"/>
      <c r="B274" s="313">
        <v>35010</v>
      </c>
      <c r="C274" s="8" t="s">
        <v>304</v>
      </c>
      <c r="D274" s="18">
        <v>4</v>
      </c>
      <c r="E274" s="131"/>
      <c r="F274" s="22"/>
      <c r="G274" s="132"/>
      <c r="H274" s="22"/>
      <c r="I274" s="22"/>
      <c r="J274" s="22"/>
      <c r="K274" s="22"/>
      <c r="L274" s="22"/>
      <c r="M274" s="133"/>
      <c r="N274" s="22"/>
      <c r="O274" s="22"/>
      <c r="P274" s="22"/>
      <c r="Q274" s="20"/>
      <c r="R274" s="20"/>
      <c r="S274" s="20"/>
      <c r="T274" s="20"/>
      <c r="U274" s="20"/>
      <c r="V274" s="20"/>
      <c r="W274" s="20"/>
      <c r="X274" s="20"/>
      <c r="Y274" s="20"/>
      <c r="Z274" s="20"/>
      <c r="AA274" s="20"/>
      <c r="AB274" s="22"/>
      <c r="AC274" s="20"/>
      <c r="AD274" s="20"/>
      <c r="AE274" s="20"/>
      <c r="AF274" s="20" t="s">
        <v>1124</v>
      </c>
      <c r="AG274" s="20" t="s">
        <v>1124</v>
      </c>
      <c r="AH274" s="20" t="s">
        <v>1124</v>
      </c>
      <c r="AI274" s="328"/>
      <c r="AJ274" s="328"/>
      <c r="AK274" s="328"/>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0"/>
      <c r="BY274" s="20"/>
      <c r="BZ274" s="20"/>
      <c r="CA274" s="20"/>
      <c r="CB274" s="20"/>
      <c r="CC274" s="20"/>
      <c r="CD274" s="22"/>
      <c r="CE274" s="22"/>
      <c r="CF274" s="22"/>
      <c r="CG274" s="22"/>
      <c r="CH274" s="22"/>
      <c r="CI274" s="22"/>
      <c r="CJ274" s="149"/>
      <c r="CK274" s="241"/>
    </row>
    <row r="275" spans="1:89" ht="15" customHeight="1" x14ac:dyDescent="0.35">
      <c r="A275" s="17"/>
      <c r="B275" s="313">
        <v>22040</v>
      </c>
      <c r="C275" s="8" t="s">
        <v>160</v>
      </c>
      <c r="D275" s="18">
        <v>3</v>
      </c>
      <c r="E275" s="131" t="s">
        <v>1319</v>
      </c>
      <c r="F275" s="22" t="s">
        <v>1490</v>
      </c>
      <c r="G275" s="132" t="s">
        <v>1309</v>
      </c>
      <c r="H275" s="22" t="s">
        <v>1311</v>
      </c>
      <c r="I275" s="22" t="s">
        <v>1327</v>
      </c>
      <c r="J275" s="22" t="s">
        <v>1327</v>
      </c>
      <c r="K275" s="22" t="s">
        <v>1314</v>
      </c>
      <c r="L275" s="22" t="s">
        <v>1309</v>
      </c>
      <c r="M275" s="133" t="s">
        <v>1311</v>
      </c>
      <c r="N275" s="22" t="s">
        <v>1311</v>
      </c>
      <c r="O275" s="22" t="s">
        <v>1309</v>
      </c>
      <c r="P275" s="22" t="s">
        <v>1309</v>
      </c>
      <c r="Q275" s="20">
        <v>0</v>
      </c>
      <c r="R275" s="20">
        <v>0</v>
      </c>
      <c r="S275" s="20">
        <v>0</v>
      </c>
      <c r="T275" s="20">
        <v>0</v>
      </c>
      <c r="U275" s="20">
        <v>2</v>
      </c>
      <c r="V275" s="20">
        <v>0</v>
      </c>
      <c r="W275" s="20">
        <v>0</v>
      </c>
      <c r="X275" s="20">
        <v>0</v>
      </c>
      <c r="Y275" s="20">
        <v>0</v>
      </c>
      <c r="Z275" s="20">
        <v>0</v>
      </c>
      <c r="AA275" s="20" t="s">
        <v>1317</v>
      </c>
      <c r="AB275" s="22" t="s">
        <v>1318</v>
      </c>
      <c r="AC275" s="20">
        <v>1</v>
      </c>
      <c r="AD275" s="20">
        <v>1</v>
      </c>
      <c r="AE275" s="20">
        <v>0</v>
      </c>
      <c r="AF275" s="20">
        <v>1</v>
      </c>
      <c r="AG275" s="20">
        <v>1</v>
      </c>
      <c r="AH275" s="20">
        <v>0</v>
      </c>
      <c r="AI275" s="328">
        <v>3.1387319522912742</v>
      </c>
      <c r="AJ275" s="328">
        <v>0.67476383265856954</v>
      </c>
      <c r="AK275" s="328" t="s">
        <v>1328</v>
      </c>
      <c r="AL275" s="22" t="s">
        <v>1329</v>
      </c>
      <c r="AM275" s="22" t="s">
        <v>1330</v>
      </c>
      <c r="AN275" s="22" t="s">
        <v>1317</v>
      </c>
      <c r="AO275" s="22" t="s">
        <v>1318</v>
      </c>
      <c r="AP275" s="22" t="s">
        <v>1318</v>
      </c>
      <c r="AQ275" s="22" t="s">
        <v>1318</v>
      </c>
      <c r="AR275" s="22" t="s">
        <v>1317</v>
      </c>
      <c r="AS275" s="22" t="s">
        <v>1318</v>
      </c>
      <c r="AT275" s="22" t="s">
        <v>1317</v>
      </c>
      <c r="AU275" s="22" t="s">
        <v>1318</v>
      </c>
      <c r="AV275" s="22" t="s">
        <v>1317</v>
      </c>
      <c r="AW275" s="22" t="s">
        <v>1318</v>
      </c>
      <c r="AX275" s="22" t="s">
        <v>1317</v>
      </c>
      <c r="AY275" s="22" t="s">
        <v>1318</v>
      </c>
      <c r="AZ275" s="22" t="s">
        <v>1309</v>
      </c>
      <c r="BA275" s="22" t="s">
        <v>1309</v>
      </c>
      <c r="BB275" s="22" t="s">
        <v>1309</v>
      </c>
      <c r="BC275" s="22" t="s">
        <v>1309</v>
      </c>
      <c r="BD275" s="22" t="s">
        <v>1309</v>
      </c>
      <c r="BE275" s="22" t="s">
        <v>1309</v>
      </c>
      <c r="BF275" s="22" t="s">
        <v>1317</v>
      </c>
      <c r="BG275" s="22" t="s">
        <v>1318</v>
      </c>
      <c r="BH275" s="22" t="s">
        <v>1309</v>
      </c>
      <c r="BI275" s="22" t="s">
        <v>1309</v>
      </c>
      <c r="BJ275" s="22" t="s">
        <v>1309</v>
      </c>
      <c r="BK275" s="22" t="s">
        <v>1309</v>
      </c>
      <c r="BL275" s="22" t="s">
        <v>1309</v>
      </c>
      <c r="BM275" s="22" t="s">
        <v>1309</v>
      </c>
      <c r="BN275" s="22" t="s">
        <v>1309</v>
      </c>
      <c r="BO275" s="22" t="s">
        <v>1309</v>
      </c>
      <c r="BP275" s="22" t="s">
        <v>1309</v>
      </c>
      <c r="BQ275" s="22" t="s">
        <v>1309</v>
      </c>
      <c r="BR275" s="22" t="s">
        <v>1317</v>
      </c>
      <c r="BS275" s="22" t="s">
        <v>1318</v>
      </c>
      <c r="BT275" s="22" t="s">
        <v>1317</v>
      </c>
      <c r="BU275" s="22" t="s">
        <v>1318</v>
      </c>
      <c r="BV275" s="22" t="s">
        <v>1317</v>
      </c>
      <c r="BW275" s="22" t="s">
        <v>1318</v>
      </c>
      <c r="BX275" s="20">
        <v>31</v>
      </c>
      <c r="BY275" s="20">
        <v>0</v>
      </c>
      <c r="BZ275" s="20">
        <v>0</v>
      </c>
      <c r="CA275" s="20">
        <v>0</v>
      </c>
      <c r="CB275" s="20">
        <v>0</v>
      </c>
      <c r="CC275" s="20">
        <v>1451</v>
      </c>
      <c r="CD275" s="22" t="s">
        <v>1331</v>
      </c>
      <c r="CE275" s="22" t="s">
        <v>1331</v>
      </c>
      <c r="CF275" s="22" t="s">
        <v>1317</v>
      </c>
      <c r="CG275" s="22" t="s">
        <v>1318</v>
      </c>
      <c r="CH275" s="22" t="s">
        <v>1317</v>
      </c>
      <c r="CI275" s="22" t="s">
        <v>1318</v>
      </c>
      <c r="CJ275" s="149" t="s">
        <v>1124</v>
      </c>
      <c r="CK275" s="241" t="s">
        <v>1124</v>
      </c>
    </row>
    <row r="276" spans="1:89" ht="15" customHeight="1" x14ac:dyDescent="0.35">
      <c r="A276" s="17"/>
      <c r="B276" s="313">
        <v>91005</v>
      </c>
      <c r="C276" s="8" t="s">
        <v>937</v>
      </c>
      <c r="D276" s="18">
        <v>2</v>
      </c>
      <c r="E276" s="131" t="s">
        <v>1309</v>
      </c>
      <c r="F276" s="22" t="s">
        <v>1309</v>
      </c>
      <c r="G276" s="132" t="s">
        <v>1309</v>
      </c>
      <c r="H276" s="22" t="s">
        <v>1311</v>
      </c>
      <c r="I276" s="22" t="s">
        <v>1327</v>
      </c>
      <c r="J276" s="22" t="s">
        <v>1327</v>
      </c>
      <c r="K276" s="22" t="s">
        <v>1314</v>
      </c>
      <c r="L276" s="22" t="s">
        <v>1311</v>
      </c>
      <c r="M276" s="133" t="s">
        <v>1311</v>
      </c>
      <c r="N276" s="22" t="s">
        <v>1311</v>
      </c>
      <c r="O276" s="22" t="s">
        <v>1314</v>
      </c>
      <c r="P276" s="22" t="s">
        <v>1318</v>
      </c>
      <c r="Q276" s="20">
        <v>12.77</v>
      </c>
      <c r="R276" s="20">
        <v>12.77</v>
      </c>
      <c r="S276" s="20">
        <v>0</v>
      </c>
      <c r="T276" s="20">
        <v>0</v>
      </c>
      <c r="U276" s="20">
        <v>0</v>
      </c>
      <c r="V276" s="20">
        <v>0</v>
      </c>
      <c r="W276" s="20">
        <v>0</v>
      </c>
      <c r="X276" s="20">
        <v>0</v>
      </c>
      <c r="Y276" s="20">
        <v>0</v>
      </c>
      <c r="Z276" s="20">
        <v>0</v>
      </c>
      <c r="AA276" s="20" t="s">
        <v>1317</v>
      </c>
      <c r="AB276" s="22" t="s">
        <v>1318</v>
      </c>
      <c r="AC276" s="20">
        <v>1</v>
      </c>
      <c r="AD276" s="20">
        <v>0</v>
      </c>
      <c r="AE276" s="20">
        <v>1</v>
      </c>
      <c r="AF276" s="20">
        <v>1</v>
      </c>
      <c r="AG276" s="20">
        <v>0</v>
      </c>
      <c r="AH276" s="20">
        <v>1</v>
      </c>
      <c r="AI276" s="328">
        <v>7.8308535630383718</v>
      </c>
      <c r="AJ276" s="328" t="s">
        <v>1328</v>
      </c>
      <c r="AK276" s="328">
        <v>2.0746887966804981</v>
      </c>
      <c r="AL276" s="22" t="s">
        <v>1329</v>
      </c>
      <c r="AM276" s="22" t="s">
        <v>1330</v>
      </c>
      <c r="AN276" s="22" t="s">
        <v>1317</v>
      </c>
      <c r="AO276" s="22" t="s">
        <v>1318</v>
      </c>
      <c r="AP276" s="22" t="s">
        <v>1318</v>
      </c>
      <c r="AQ276" s="22" t="s">
        <v>1318</v>
      </c>
      <c r="AR276" s="22" t="s">
        <v>1317</v>
      </c>
      <c r="AS276" s="22" t="s">
        <v>1318</v>
      </c>
      <c r="AT276" s="22" t="s">
        <v>1309</v>
      </c>
      <c r="AU276" s="22" t="s">
        <v>1311</v>
      </c>
      <c r="AV276" s="22" t="s">
        <v>1309</v>
      </c>
      <c r="AW276" s="22" t="s">
        <v>1309</v>
      </c>
      <c r="AX276" s="22" t="s">
        <v>1317</v>
      </c>
      <c r="AY276" s="22" t="s">
        <v>1318</v>
      </c>
      <c r="AZ276" s="22" t="s">
        <v>1309</v>
      </c>
      <c r="BA276" s="22" t="s">
        <v>1309</v>
      </c>
      <c r="BB276" s="22" t="s">
        <v>1309</v>
      </c>
      <c r="BC276" s="22" t="s">
        <v>1309</v>
      </c>
      <c r="BD276" s="22" t="s">
        <v>1317</v>
      </c>
      <c r="BE276" s="22" t="s">
        <v>1318</v>
      </c>
      <c r="BF276" s="22" t="s">
        <v>1319</v>
      </c>
      <c r="BG276" s="22" t="s">
        <v>1311</v>
      </c>
      <c r="BH276" s="22" t="s">
        <v>1317</v>
      </c>
      <c r="BI276" s="22" t="s">
        <v>1318</v>
      </c>
      <c r="BJ276" s="22" t="s">
        <v>1309</v>
      </c>
      <c r="BK276" s="22" t="s">
        <v>1309</v>
      </c>
      <c r="BL276" s="22" t="s">
        <v>1317</v>
      </c>
      <c r="BM276" s="22" t="s">
        <v>1318</v>
      </c>
      <c r="BN276" s="22" t="s">
        <v>1309</v>
      </c>
      <c r="BO276" s="22" t="s">
        <v>1309</v>
      </c>
      <c r="BP276" s="22" t="s">
        <v>1315</v>
      </c>
      <c r="BQ276" s="22" t="s">
        <v>1311</v>
      </c>
      <c r="BR276" s="22" t="s">
        <v>1317</v>
      </c>
      <c r="BS276" s="22" t="s">
        <v>1318</v>
      </c>
      <c r="BT276" s="22" t="s">
        <v>1309</v>
      </c>
      <c r="BU276" s="22" t="s">
        <v>1309</v>
      </c>
      <c r="BV276" s="22" t="s">
        <v>1317</v>
      </c>
      <c r="BW276" s="22" t="s">
        <v>1318</v>
      </c>
      <c r="BX276" s="20">
        <v>0</v>
      </c>
      <c r="BY276" s="20">
        <v>3</v>
      </c>
      <c r="BZ276" s="20">
        <v>35</v>
      </c>
      <c r="CA276" s="20">
        <v>0</v>
      </c>
      <c r="CB276" s="20">
        <v>1</v>
      </c>
      <c r="CC276" s="20">
        <v>440</v>
      </c>
      <c r="CD276" s="22" t="s">
        <v>1320</v>
      </c>
      <c r="CE276" s="22" t="s">
        <v>1321</v>
      </c>
      <c r="CF276" s="22" t="s">
        <v>1320</v>
      </c>
      <c r="CG276" s="22" t="s">
        <v>1321</v>
      </c>
      <c r="CH276" s="22" t="s">
        <v>1317</v>
      </c>
      <c r="CI276" s="22" t="s">
        <v>1318</v>
      </c>
      <c r="CJ276" s="149" t="s">
        <v>1124</v>
      </c>
      <c r="CK276" s="241" t="s">
        <v>1970</v>
      </c>
    </row>
    <row r="277" spans="1:89" ht="15" customHeight="1" x14ac:dyDescent="0.35">
      <c r="A277" s="17"/>
      <c r="B277" s="313">
        <v>46075</v>
      </c>
      <c r="C277" s="8" t="s">
        <v>439</v>
      </c>
      <c r="D277" s="18">
        <v>5</v>
      </c>
      <c r="E277" s="135"/>
      <c r="F277" s="22"/>
      <c r="G277" s="132"/>
      <c r="H277" s="22"/>
      <c r="I277" s="22"/>
      <c r="J277" s="22"/>
      <c r="K277" s="22"/>
      <c r="L277" s="22"/>
      <c r="M277" s="133"/>
      <c r="N277" s="22"/>
      <c r="O277" s="22"/>
      <c r="P277" s="22"/>
      <c r="Q277" s="20"/>
      <c r="R277" s="20"/>
      <c r="S277" s="20"/>
      <c r="T277" s="20"/>
      <c r="U277" s="20"/>
      <c r="V277" s="20"/>
      <c r="W277" s="20"/>
      <c r="X277" s="20"/>
      <c r="Y277" s="20"/>
      <c r="Z277" s="20"/>
      <c r="AA277" s="20"/>
      <c r="AB277" s="22"/>
      <c r="AC277" s="20"/>
      <c r="AD277" s="20"/>
      <c r="AE277" s="20"/>
      <c r="AF277" s="20" t="s">
        <v>1124</v>
      </c>
      <c r="AG277" s="20" t="s">
        <v>1124</v>
      </c>
      <c r="AH277" s="20" t="s">
        <v>1124</v>
      </c>
      <c r="AI277" s="328"/>
      <c r="AJ277" s="328"/>
      <c r="AK277" s="328"/>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0"/>
      <c r="BY277" s="20"/>
      <c r="BZ277" s="20"/>
      <c r="CA277" s="20"/>
      <c r="CB277" s="20"/>
      <c r="CC277" s="20"/>
      <c r="CD277" s="22"/>
      <c r="CE277" s="22"/>
      <c r="CF277" s="22"/>
      <c r="CG277" s="22"/>
      <c r="CH277" s="22"/>
      <c r="CI277" s="22"/>
      <c r="CJ277" s="149"/>
      <c r="CK277" s="241"/>
    </row>
    <row r="278" spans="1:89" ht="15" customHeight="1" x14ac:dyDescent="0.35">
      <c r="A278" s="17"/>
      <c r="B278" s="313">
        <v>22030</v>
      </c>
      <c r="C278" s="8" t="s">
        <v>158</v>
      </c>
      <c r="D278" s="18">
        <v>3</v>
      </c>
      <c r="E278" s="131" t="s">
        <v>1309</v>
      </c>
      <c r="F278" s="22" t="s">
        <v>1309</v>
      </c>
      <c r="G278" s="132" t="s">
        <v>1309</v>
      </c>
      <c r="H278" s="22" t="s">
        <v>1311</v>
      </c>
      <c r="I278" s="22" t="s">
        <v>1327</v>
      </c>
      <c r="J278" s="22" t="s">
        <v>1327</v>
      </c>
      <c r="K278" s="22" t="s">
        <v>1314</v>
      </c>
      <c r="L278" s="22" t="s">
        <v>1311</v>
      </c>
      <c r="M278" s="133" t="s">
        <v>1311</v>
      </c>
      <c r="N278" s="22" t="s">
        <v>1311</v>
      </c>
      <c r="O278" s="22" t="s">
        <v>1315</v>
      </c>
      <c r="P278" s="22" t="s">
        <v>1315</v>
      </c>
      <c r="Q278" s="20">
        <v>0</v>
      </c>
      <c r="R278" s="20">
        <v>0</v>
      </c>
      <c r="S278" s="20">
        <v>6.2809999999999997</v>
      </c>
      <c r="T278" s="20">
        <v>6.2809999999999997</v>
      </c>
      <c r="U278" s="20">
        <v>0</v>
      </c>
      <c r="V278" s="20">
        <v>0</v>
      </c>
      <c r="W278" s="20">
        <v>0</v>
      </c>
      <c r="X278" s="20">
        <v>0</v>
      </c>
      <c r="Y278" s="20">
        <v>0</v>
      </c>
      <c r="Z278" s="20">
        <v>0</v>
      </c>
      <c r="AA278" s="20" t="s">
        <v>1317</v>
      </c>
      <c r="AB278" s="22" t="s">
        <v>1318</v>
      </c>
      <c r="AC278" s="20">
        <v>1</v>
      </c>
      <c r="AD278" s="20">
        <v>1</v>
      </c>
      <c r="AE278" s="20">
        <v>1</v>
      </c>
      <c r="AF278" s="20">
        <v>1</v>
      </c>
      <c r="AG278" s="20">
        <v>1</v>
      </c>
      <c r="AH278" s="20">
        <v>1</v>
      </c>
      <c r="AI278" s="328">
        <v>15.92103168285305</v>
      </c>
      <c r="AJ278" s="328">
        <v>4</v>
      </c>
      <c r="AK278" s="328">
        <v>4</v>
      </c>
      <c r="AL278" s="22" t="s">
        <v>1329</v>
      </c>
      <c r="AM278" s="22" t="s">
        <v>1330</v>
      </c>
      <c r="AN278" s="22" t="s">
        <v>1317</v>
      </c>
      <c r="AO278" s="22" t="s">
        <v>1318</v>
      </c>
      <c r="AP278" s="22" t="s">
        <v>1318</v>
      </c>
      <c r="AQ278" s="22" t="s">
        <v>1318</v>
      </c>
      <c r="AR278" s="22" t="s">
        <v>1317</v>
      </c>
      <c r="AS278" s="22" t="s">
        <v>1318</v>
      </c>
      <c r="AT278" s="22" t="s">
        <v>1317</v>
      </c>
      <c r="AU278" s="22" t="s">
        <v>1318</v>
      </c>
      <c r="AV278" s="22" t="s">
        <v>1317</v>
      </c>
      <c r="AW278" s="22" t="s">
        <v>1318</v>
      </c>
      <c r="AX278" s="22" t="s">
        <v>1317</v>
      </c>
      <c r="AY278" s="22" t="s">
        <v>1318</v>
      </c>
      <c r="AZ278" s="22" t="s">
        <v>1309</v>
      </c>
      <c r="BA278" s="22" t="s">
        <v>1309</v>
      </c>
      <c r="BB278" s="22" t="s">
        <v>1309</v>
      </c>
      <c r="BC278" s="22" t="s">
        <v>1309</v>
      </c>
      <c r="BD278" s="22" t="s">
        <v>1317</v>
      </c>
      <c r="BE278" s="22" t="s">
        <v>1311</v>
      </c>
      <c r="BF278" s="22" t="s">
        <v>1317</v>
      </c>
      <c r="BG278" s="22" t="s">
        <v>1318</v>
      </c>
      <c r="BH278" s="22" t="s">
        <v>1317</v>
      </c>
      <c r="BI278" s="22" t="s">
        <v>1318</v>
      </c>
      <c r="BJ278" s="22" t="s">
        <v>1309</v>
      </c>
      <c r="BK278" s="22" t="s">
        <v>1309</v>
      </c>
      <c r="BL278" s="22" t="s">
        <v>1317</v>
      </c>
      <c r="BM278" s="22" t="s">
        <v>1318</v>
      </c>
      <c r="BN278" s="22" t="s">
        <v>1309</v>
      </c>
      <c r="BO278" s="22" t="s">
        <v>1309</v>
      </c>
      <c r="BP278" s="22" t="s">
        <v>1317</v>
      </c>
      <c r="BQ278" s="22" t="s">
        <v>1318</v>
      </c>
      <c r="BR278" s="22" t="s">
        <v>1309</v>
      </c>
      <c r="BS278" s="22" t="s">
        <v>1309</v>
      </c>
      <c r="BT278" s="22" t="s">
        <v>1317</v>
      </c>
      <c r="BU278" s="22" t="s">
        <v>1318</v>
      </c>
      <c r="BV278" s="22" t="s">
        <v>1317</v>
      </c>
      <c r="BW278" s="22" t="s">
        <v>1318</v>
      </c>
      <c r="BX278" s="20">
        <v>0</v>
      </c>
      <c r="BY278" s="20">
        <v>0</v>
      </c>
      <c r="BZ278" s="20">
        <v>2</v>
      </c>
      <c r="CA278" s="20">
        <v>0</v>
      </c>
      <c r="CB278" s="20">
        <v>0</v>
      </c>
      <c r="CC278" s="20">
        <v>236</v>
      </c>
      <c r="CD278" s="22" t="s">
        <v>1317</v>
      </c>
      <c r="CE278" s="22" t="s">
        <v>1318</v>
      </c>
      <c r="CF278" s="22" t="s">
        <v>1317</v>
      </c>
      <c r="CG278" s="22" t="s">
        <v>1318</v>
      </c>
      <c r="CH278" s="22" t="s">
        <v>1317</v>
      </c>
      <c r="CI278" s="22" t="s">
        <v>1318</v>
      </c>
      <c r="CJ278" s="149" t="s">
        <v>1974</v>
      </c>
      <c r="CK278" s="241" t="s">
        <v>1124</v>
      </c>
    </row>
    <row r="279" spans="1:89" ht="15" customHeight="1" x14ac:dyDescent="0.35">
      <c r="A279" s="17"/>
      <c r="B279" s="313">
        <v>13060</v>
      </c>
      <c r="C279" s="8" t="s">
        <v>51</v>
      </c>
      <c r="D279" s="18">
        <v>1</v>
      </c>
      <c r="E279" s="131" t="s">
        <v>1319</v>
      </c>
      <c r="F279" s="22" t="s">
        <v>1310</v>
      </c>
      <c r="G279" s="132" t="s">
        <v>1309</v>
      </c>
      <c r="H279" s="22" t="s">
        <v>1311</v>
      </c>
      <c r="I279" s="22" t="s">
        <v>1327</v>
      </c>
      <c r="J279" s="22" t="s">
        <v>1327</v>
      </c>
      <c r="K279" s="22" t="s">
        <v>1309</v>
      </c>
      <c r="L279" s="22" t="s">
        <v>1309</v>
      </c>
      <c r="M279" s="133" t="s">
        <v>1311</v>
      </c>
      <c r="N279" s="22" t="s">
        <v>1311</v>
      </c>
      <c r="O279" s="22" t="s">
        <v>1314</v>
      </c>
      <c r="P279" s="22" t="s">
        <v>1318</v>
      </c>
      <c r="Q279" s="20">
        <v>0</v>
      </c>
      <c r="R279" s="20">
        <v>0</v>
      </c>
      <c r="S279" s="20">
        <v>0</v>
      </c>
      <c r="T279" s="20">
        <v>0</v>
      </c>
      <c r="U279" s="20">
        <v>0</v>
      </c>
      <c r="V279" s="20">
        <v>0</v>
      </c>
      <c r="W279" s="20">
        <v>0</v>
      </c>
      <c r="X279" s="20">
        <v>0</v>
      </c>
      <c r="Y279" s="20">
        <v>0</v>
      </c>
      <c r="Z279" s="20">
        <v>0</v>
      </c>
      <c r="AA279" s="20" t="s">
        <v>1317</v>
      </c>
      <c r="AB279" s="22" t="s">
        <v>1318</v>
      </c>
      <c r="AC279" s="20">
        <v>0</v>
      </c>
      <c r="AD279" s="20">
        <v>0</v>
      </c>
      <c r="AE279" s="20">
        <v>0</v>
      </c>
      <c r="AF279" s="20">
        <v>0</v>
      </c>
      <c r="AG279" s="20">
        <v>0</v>
      </c>
      <c r="AH279" s="20">
        <v>0</v>
      </c>
      <c r="AI279" s="328" t="s">
        <v>1328</v>
      </c>
      <c r="AJ279" s="328" t="s">
        <v>1328</v>
      </c>
      <c r="AK279" s="328" t="s">
        <v>1328</v>
      </c>
      <c r="AL279" s="22" t="s">
        <v>1329</v>
      </c>
      <c r="AM279" s="22" t="s">
        <v>1330</v>
      </c>
      <c r="AN279" s="22" t="s">
        <v>1317</v>
      </c>
      <c r="AO279" s="22" t="s">
        <v>1318</v>
      </c>
      <c r="AP279" s="22" t="s">
        <v>1318</v>
      </c>
      <c r="AQ279" s="22" t="s">
        <v>1318</v>
      </c>
      <c r="AR279" s="22" t="s">
        <v>1317</v>
      </c>
      <c r="AS279" s="22" t="s">
        <v>1318</v>
      </c>
      <c r="AT279" s="22" t="s">
        <v>1317</v>
      </c>
      <c r="AU279" s="22" t="s">
        <v>1311</v>
      </c>
      <c r="AV279" s="22" t="s">
        <v>1317</v>
      </c>
      <c r="AW279" s="22" t="s">
        <v>1318</v>
      </c>
      <c r="AX279" s="22" t="s">
        <v>1317</v>
      </c>
      <c r="AY279" s="22" t="s">
        <v>1318</v>
      </c>
      <c r="AZ279" s="22" t="s">
        <v>1319</v>
      </c>
      <c r="BA279" s="22" t="s">
        <v>1311</v>
      </c>
      <c r="BB279" s="22" t="s">
        <v>1309</v>
      </c>
      <c r="BC279" s="22" t="s">
        <v>1309</v>
      </c>
      <c r="BD279" s="22" t="s">
        <v>1317</v>
      </c>
      <c r="BE279" s="22" t="s">
        <v>1318</v>
      </c>
      <c r="BF279" s="22" t="s">
        <v>1317</v>
      </c>
      <c r="BG279" s="22" t="s">
        <v>1318</v>
      </c>
      <c r="BH279" s="22" t="s">
        <v>1309</v>
      </c>
      <c r="BI279" s="22" t="s">
        <v>1309</v>
      </c>
      <c r="BJ279" s="22" t="s">
        <v>1317</v>
      </c>
      <c r="BK279" s="22" t="s">
        <v>1318</v>
      </c>
      <c r="BL279" s="22" t="s">
        <v>1317</v>
      </c>
      <c r="BM279" s="22" t="s">
        <v>1318</v>
      </c>
      <c r="BN279" s="22" t="s">
        <v>1317</v>
      </c>
      <c r="BO279" s="22" t="s">
        <v>1318</v>
      </c>
      <c r="BP279" s="22" t="s">
        <v>1315</v>
      </c>
      <c r="BQ279" s="22" t="s">
        <v>1315</v>
      </c>
      <c r="BR279" s="22" t="s">
        <v>1309</v>
      </c>
      <c r="BS279" s="22" t="s">
        <v>1309</v>
      </c>
      <c r="BT279" s="22" t="s">
        <v>1315</v>
      </c>
      <c r="BU279" s="22" t="s">
        <v>1315</v>
      </c>
      <c r="BV279" s="22" t="s">
        <v>1317</v>
      </c>
      <c r="BW279" s="22" t="s">
        <v>1311</v>
      </c>
      <c r="BX279" s="20">
        <v>0</v>
      </c>
      <c r="BY279" s="20">
        <v>0</v>
      </c>
      <c r="BZ279" s="20">
        <v>11</v>
      </c>
      <c r="CA279" s="20">
        <v>0</v>
      </c>
      <c r="CB279" s="20">
        <v>0</v>
      </c>
      <c r="CC279" s="20">
        <v>173</v>
      </c>
      <c r="CD279" s="22" t="s">
        <v>1317</v>
      </c>
      <c r="CE279" s="22" t="s">
        <v>1318</v>
      </c>
      <c r="CF279" s="22" t="s">
        <v>1317</v>
      </c>
      <c r="CG279" s="22" t="s">
        <v>1318</v>
      </c>
      <c r="CH279" s="22" t="s">
        <v>1317</v>
      </c>
      <c r="CI279" s="22" t="s">
        <v>1318</v>
      </c>
      <c r="CJ279" s="149" t="s">
        <v>1124</v>
      </c>
      <c r="CK279" s="241" t="s">
        <v>1358</v>
      </c>
    </row>
    <row r="280" spans="1:89" ht="15" customHeight="1" x14ac:dyDescent="0.35">
      <c r="A280" s="17"/>
      <c r="B280" s="313">
        <v>79078</v>
      </c>
      <c r="C280" s="8" t="s">
        <v>797</v>
      </c>
      <c r="D280" s="18">
        <v>15</v>
      </c>
      <c r="E280" s="131" t="s">
        <v>1309</v>
      </c>
      <c r="F280" s="22" t="s">
        <v>1309</v>
      </c>
      <c r="G280" s="132" t="s">
        <v>1309</v>
      </c>
      <c r="H280" s="22" t="s">
        <v>1311</v>
      </c>
      <c r="I280" s="22" t="s">
        <v>1327</v>
      </c>
      <c r="J280" s="22" t="s">
        <v>1342</v>
      </c>
      <c r="K280" s="22" t="s">
        <v>1319</v>
      </c>
      <c r="L280" s="22" t="s">
        <v>1311</v>
      </c>
      <c r="M280" s="133" t="s">
        <v>1311</v>
      </c>
      <c r="N280" s="22" t="s">
        <v>1311</v>
      </c>
      <c r="O280" s="22" t="s">
        <v>1314</v>
      </c>
      <c r="P280" s="22" t="s">
        <v>1318</v>
      </c>
      <c r="Q280" s="20">
        <v>14.558</v>
      </c>
      <c r="R280" s="20">
        <v>14.558</v>
      </c>
      <c r="S280" s="20">
        <v>14.558</v>
      </c>
      <c r="T280" s="20">
        <v>14.558</v>
      </c>
      <c r="U280" s="20">
        <v>0</v>
      </c>
      <c r="V280" s="20">
        <v>0</v>
      </c>
      <c r="W280" s="20">
        <v>0</v>
      </c>
      <c r="X280" s="20">
        <v>0</v>
      </c>
      <c r="Y280" s="20">
        <v>0</v>
      </c>
      <c r="Z280" s="20">
        <v>0</v>
      </c>
      <c r="AA280" s="20" t="s">
        <v>1317</v>
      </c>
      <c r="AB280" s="22" t="s">
        <v>1311</v>
      </c>
      <c r="AC280" s="20">
        <v>0</v>
      </c>
      <c r="AD280" s="20">
        <v>0</v>
      </c>
      <c r="AE280" s="20">
        <v>5</v>
      </c>
      <c r="AF280" s="20">
        <v>0</v>
      </c>
      <c r="AG280" s="20">
        <v>0</v>
      </c>
      <c r="AH280" s="20">
        <v>1</v>
      </c>
      <c r="AI280" s="328" t="s">
        <v>1328</v>
      </c>
      <c r="AJ280" s="328" t="s">
        <v>1328</v>
      </c>
      <c r="AK280" s="328">
        <v>8.7565674255691768</v>
      </c>
      <c r="AL280" s="22" t="s">
        <v>1329</v>
      </c>
      <c r="AM280" s="22" t="s">
        <v>1330</v>
      </c>
      <c r="AN280" s="22" t="s">
        <v>1315</v>
      </c>
      <c r="AO280" s="22" t="s">
        <v>1315</v>
      </c>
      <c r="AP280" s="22" t="s">
        <v>1318</v>
      </c>
      <c r="AQ280" s="22" t="s">
        <v>1318</v>
      </c>
      <c r="AR280" s="22" t="s">
        <v>1317</v>
      </c>
      <c r="AS280" s="22" t="s">
        <v>1318</v>
      </c>
      <c r="AT280" s="22" t="s">
        <v>1309</v>
      </c>
      <c r="AU280" s="22" t="s">
        <v>1318</v>
      </c>
      <c r="AV280" s="22" t="s">
        <v>1317</v>
      </c>
      <c r="AW280" s="22" t="s">
        <v>1318</v>
      </c>
      <c r="AX280" s="22" t="s">
        <v>1317</v>
      </c>
      <c r="AY280" s="22" t="s">
        <v>1318</v>
      </c>
      <c r="AZ280" s="22" t="s">
        <v>1319</v>
      </c>
      <c r="BA280" s="22" t="s">
        <v>1311</v>
      </c>
      <c r="BB280" s="22" t="s">
        <v>1309</v>
      </c>
      <c r="BC280" s="22" t="s">
        <v>1309</v>
      </c>
      <c r="BD280" s="22" t="s">
        <v>1317</v>
      </c>
      <c r="BE280" s="22" t="s">
        <v>1311</v>
      </c>
      <c r="BF280" s="22" t="s">
        <v>1317</v>
      </c>
      <c r="BG280" s="22" t="s">
        <v>1318</v>
      </c>
      <c r="BH280" s="22" t="s">
        <v>1309</v>
      </c>
      <c r="BI280" s="22" t="s">
        <v>1309</v>
      </c>
      <c r="BJ280" s="22" t="s">
        <v>1317</v>
      </c>
      <c r="BK280" s="22" t="s">
        <v>1318</v>
      </c>
      <c r="BL280" s="22" t="s">
        <v>1317</v>
      </c>
      <c r="BM280" s="22" t="s">
        <v>1311</v>
      </c>
      <c r="BN280" s="22" t="s">
        <v>1319</v>
      </c>
      <c r="BO280" s="22" t="s">
        <v>1311</v>
      </c>
      <c r="BP280" s="22" t="s">
        <v>1315</v>
      </c>
      <c r="BQ280" s="22" t="s">
        <v>1315</v>
      </c>
      <c r="BR280" s="22" t="s">
        <v>1309</v>
      </c>
      <c r="BS280" s="22" t="s">
        <v>1309</v>
      </c>
      <c r="BT280" s="22" t="s">
        <v>1315</v>
      </c>
      <c r="BU280" s="22" t="s">
        <v>1315</v>
      </c>
      <c r="BV280" s="22" t="s">
        <v>1317</v>
      </c>
      <c r="BW280" s="22" t="s">
        <v>1318</v>
      </c>
      <c r="BX280" s="20">
        <v>0</v>
      </c>
      <c r="BY280" s="20">
        <v>0</v>
      </c>
      <c r="BZ280" s="20">
        <v>37</v>
      </c>
      <c r="CA280" s="20">
        <v>0</v>
      </c>
      <c r="CB280" s="20">
        <v>0</v>
      </c>
      <c r="CC280" s="20">
        <v>513</v>
      </c>
      <c r="CD280" s="22" t="s">
        <v>1317</v>
      </c>
      <c r="CE280" s="22" t="s">
        <v>1340</v>
      </c>
      <c r="CF280" s="22" t="s">
        <v>1317</v>
      </c>
      <c r="CG280" s="22" t="s">
        <v>1340</v>
      </c>
      <c r="CH280" s="22" t="s">
        <v>1317</v>
      </c>
      <c r="CI280" s="22" t="s">
        <v>1318</v>
      </c>
      <c r="CJ280" s="149" t="s">
        <v>1983</v>
      </c>
      <c r="CK280" s="241" t="s">
        <v>1984</v>
      </c>
    </row>
    <row r="281" spans="1:89" ht="15" customHeight="1" x14ac:dyDescent="0.35">
      <c r="A281" s="17"/>
      <c r="B281" s="313">
        <v>80130</v>
      </c>
      <c r="C281" s="8" t="s">
        <v>823</v>
      </c>
      <c r="D281" s="18">
        <v>7</v>
      </c>
      <c r="E281" s="131"/>
      <c r="F281" s="22"/>
      <c r="G281" s="132"/>
      <c r="H281" s="22"/>
      <c r="I281" s="22"/>
      <c r="J281" s="22"/>
      <c r="K281" s="22"/>
      <c r="L281" s="22"/>
      <c r="M281" s="133"/>
      <c r="N281" s="22"/>
      <c r="O281" s="22"/>
      <c r="P281" s="22"/>
      <c r="Q281" s="20"/>
      <c r="R281" s="20"/>
      <c r="S281" s="20"/>
      <c r="T281" s="20"/>
      <c r="U281" s="20"/>
      <c r="V281" s="20"/>
      <c r="W281" s="20"/>
      <c r="X281" s="20"/>
      <c r="Y281" s="20"/>
      <c r="Z281" s="20"/>
      <c r="AA281" s="20"/>
      <c r="AB281" s="22"/>
      <c r="AC281" s="20"/>
      <c r="AD281" s="20"/>
      <c r="AE281" s="20"/>
      <c r="AF281" s="20" t="s">
        <v>1124</v>
      </c>
      <c r="AG281" s="20" t="s">
        <v>1124</v>
      </c>
      <c r="AH281" s="20" t="s">
        <v>1124</v>
      </c>
      <c r="AI281" s="328"/>
      <c r="AJ281" s="328"/>
      <c r="AK281" s="328"/>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0"/>
      <c r="BY281" s="20"/>
      <c r="BZ281" s="20"/>
      <c r="CA281" s="20"/>
      <c r="CB281" s="20"/>
      <c r="CC281" s="20"/>
      <c r="CD281" s="22"/>
      <c r="CE281" s="22"/>
      <c r="CF281" s="22"/>
      <c r="CG281" s="22"/>
      <c r="CH281" s="22"/>
      <c r="CI281" s="22"/>
      <c r="CJ281" s="149"/>
      <c r="CK281" s="241"/>
    </row>
    <row r="282" spans="1:89" ht="15" customHeight="1" x14ac:dyDescent="0.35">
      <c r="A282" s="17"/>
      <c r="B282" s="313">
        <v>77055</v>
      </c>
      <c r="C282" s="8" t="s">
        <v>763</v>
      </c>
      <c r="D282" s="18">
        <v>15</v>
      </c>
      <c r="E282" s="131"/>
      <c r="F282" s="22"/>
      <c r="G282" s="132"/>
      <c r="H282" s="22"/>
      <c r="I282" s="22"/>
      <c r="J282" s="22"/>
      <c r="K282" s="22"/>
      <c r="L282" s="22"/>
      <c r="M282" s="133"/>
      <c r="N282" s="22"/>
      <c r="O282" s="22"/>
      <c r="P282" s="22"/>
      <c r="Q282" s="20"/>
      <c r="R282" s="20"/>
      <c r="S282" s="20"/>
      <c r="T282" s="20"/>
      <c r="U282" s="20"/>
      <c r="V282" s="20"/>
      <c r="W282" s="20"/>
      <c r="X282" s="20"/>
      <c r="Y282" s="20"/>
      <c r="Z282" s="20"/>
      <c r="AA282" s="20"/>
      <c r="AB282" s="22"/>
      <c r="AC282" s="20"/>
      <c r="AD282" s="20"/>
      <c r="AE282" s="20"/>
      <c r="AF282" s="20" t="s">
        <v>1124</v>
      </c>
      <c r="AG282" s="20" t="s">
        <v>1124</v>
      </c>
      <c r="AH282" s="20" t="s">
        <v>1124</v>
      </c>
      <c r="AI282" s="328"/>
      <c r="AJ282" s="328"/>
      <c r="AK282" s="328"/>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0"/>
      <c r="BY282" s="20"/>
      <c r="BZ282" s="20"/>
      <c r="CA282" s="20"/>
      <c r="CB282" s="20"/>
      <c r="CC282" s="20"/>
      <c r="CD282" s="22"/>
      <c r="CE282" s="22"/>
      <c r="CF282" s="22"/>
      <c r="CG282" s="22"/>
      <c r="CH282" s="22"/>
      <c r="CI282" s="22"/>
      <c r="CJ282" s="149"/>
      <c r="CK282" s="241"/>
    </row>
    <row r="283" spans="1:89" ht="15" customHeight="1" x14ac:dyDescent="0.35">
      <c r="A283" s="17"/>
      <c r="B283" s="313">
        <v>30080</v>
      </c>
      <c r="C283" s="8" t="s">
        <v>230</v>
      </c>
      <c r="D283" s="18">
        <v>5</v>
      </c>
      <c r="E283" s="131" t="s">
        <v>1309</v>
      </c>
      <c r="F283" s="22" t="s">
        <v>1310</v>
      </c>
      <c r="G283" s="132" t="s">
        <v>1309</v>
      </c>
      <c r="H283" s="22" t="s">
        <v>1311</v>
      </c>
      <c r="I283" s="22" t="s">
        <v>1327</v>
      </c>
      <c r="J283" s="22" t="s">
        <v>1327</v>
      </c>
      <c r="K283" s="22" t="s">
        <v>1319</v>
      </c>
      <c r="L283" s="22" t="s">
        <v>1309</v>
      </c>
      <c r="M283" s="133" t="s">
        <v>1311</v>
      </c>
      <c r="N283" s="22" t="s">
        <v>1311</v>
      </c>
      <c r="O283" s="22" t="s">
        <v>1309</v>
      </c>
      <c r="P283" s="22" t="s">
        <v>1309</v>
      </c>
      <c r="Q283" s="20">
        <v>8.15</v>
      </c>
      <c r="R283" s="20">
        <v>8.15</v>
      </c>
      <c r="S283" s="20">
        <v>8.15</v>
      </c>
      <c r="T283" s="20">
        <v>8.15</v>
      </c>
      <c r="U283" s="20">
        <v>2.5</v>
      </c>
      <c r="V283" s="20">
        <v>2.5</v>
      </c>
      <c r="W283" s="20">
        <v>0</v>
      </c>
      <c r="X283" s="20">
        <v>0</v>
      </c>
      <c r="Y283" s="20">
        <v>0</v>
      </c>
      <c r="Z283" s="20">
        <v>0</v>
      </c>
      <c r="AA283" s="20" t="s">
        <v>1317</v>
      </c>
      <c r="AB283" s="22" t="s">
        <v>1311</v>
      </c>
      <c r="AC283" s="20">
        <v>0</v>
      </c>
      <c r="AD283" s="20">
        <v>4</v>
      </c>
      <c r="AE283" s="20">
        <v>1</v>
      </c>
      <c r="AF283" s="20">
        <v>0</v>
      </c>
      <c r="AG283" s="20">
        <v>2</v>
      </c>
      <c r="AH283" s="20">
        <v>2</v>
      </c>
      <c r="AI283" s="328" t="s">
        <v>1328</v>
      </c>
      <c r="AJ283" s="328">
        <v>14.869888475836431</v>
      </c>
      <c r="AK283" s="328">
        <v>3.7174721189591078</v>
      </c>
      <c r="AL283" s="22" t="s">
        <v>1329</v>
      </c>
      <c r="AM283" s="22" t="s">
        <v>1330</v>
      </c>
      <c r="AN283" s="22" t="s">
        <v>1317</v>
      </c>
      <c r="AO283" s="22" t="s">
        <v>1318</v>
      </c>
      <c r="AP283" s="22" t="s">
        <v>1317</v>
      </c>
      <c r="AQ283" s="22" t="s">
        <v>1318</v>
      </c>
      <c r="AR283" s="22" t="s">
        <v>1317</v>
      </c>
      <c r="AS283" s="22" t="s">
        <v>1311</v>
      </c>
      <c r="AT283" s="22" t="s">
        <v>1317</v>
      </c>
      <c r="AU283" s="22" t="s">
        <v>1318</v>
      </c>
      <c r="AV283" s="22" t="s">
        <v>1317</v>
      </c>
      <c r="AW283" s="22" t="s">
        <v>1318</v>
      </c>
      <c r="AX283" s="22" t="s">
        <v>1317</v>
      </c>
      <c r="AY283" s="22" t="s">
        <v>1318</v>
      </c>
      <c r="AZ283" s="22" t="s">
        <v>1309</v>
      </c>
      <c r="BA283" s="22" t="s">
        <v>1309</v>
      </c>
      <c r="BB283" s="22" t="s">
        <v>1309</v>
      </c>
      <c r="BC283" s="22" t="s">
        <v>1309</v>
      </c>
      <c r="BD283" s="22" t="s">
        <v>1319</v>
      </c>
      <c r="BE283" s="22" t="s">
        <v>1311</v>
      </c>
      <c r="BF283" s="22" t="s">
        <v>1309</v>
      </c>
      <c r="BG283" s="22" t="s">
        <v>1309</v>
      </c>
      <c r="BH283" s="22" t="s">
        <v>1317</v>
      </c>
      <c r="BI283" s="22" t="s">
        <v>1318</v>
      </c>
      <c r="BJ283" s="22" t="s">
        <v>1317</v>
      </c>
      <c r="BK283" s="22" t="s">
        <v>1318</v>
      </c>
      <c r="BL283" s="22" t="s">
        <v>1317</v>
      </c>
      <c r="BM283" s="22" t="s">
        <v>1318</v>
      </c>
      <c r="BN283" s="22" t="s">
        <v>1309</v>
      </c>
      <c r="BO283" s="22" t="s">
        <v>1309</v>
      </c>
      <c r="BP283" s="22" t="s">
        <v>1309</v>
      </c>
      <c r="BQ283" s="22" t="s">
        <v>1309</v>
      </c>
      <c r="BR283" s="22" t="s">
        <v>1309</v>
      </c>
      <c r="BS283" s="22" t="s">
        <v>1309</v>
      </c>
      <c r="BT283" s="22" t="s">
        <v>1315</v>
      </c>
      <c r="BU283" s="22" t="s">
        <v>1315</v>
      </c>
      <c r="BV283" s="22" t="s">
        <v>1309</v>
      </c>
      <c r="BW283" s="22" t="s">
        <v>1309</v>
      </c>
      <c r="BX283" s="20">
        <v>43</v>
      </c>
      <c r="BY283" s="20">
        <v>0</v>
      </c>
      <c r="BZ283" s="20">
        <v>0</v>
      </c>
      <c r="CA283" s="20">
        <v>226</v>
      </c>
      <c r="CB283" s="20">
        <v>0</v>
      </c>
      <c r="CC283" s="20">
        <v>1</v>
      </c>
      <c r="CD283" s="22" t="s">
        <v>1331</v>
      </c>
      <c r="CE283" s="22" t="s">
        <v>1331</v>
      </c>
      <c r="CF283" s="22" t="s">
        <v>1315</v>
      </c>
      <c r="CG283" s="22" t="s">
        <v>1315</v>
      </c>
      <c r="CH283" s="22" t="s">
        <v>1317</v>
      </c>
      <c r="CI283" s="22" t="s">
        <v>1318</v>
      </c>
      <c r="CJ283" s="149" t="s">
        <v>1124</v>
      </c>
      <c r="CK283" s="241" t="s">
        <v>1386</v>
      </c>
    </row>
    <row r="284" spans="1:89" ht="15" customHeight="1" x14ac:dyDescent="0.35">
      <c r="A284" s="17"/>
      <c r="B284" s="313">
        <v>79015</v>
      </c>
      <c r="C284" s="8" t="s">
        <v>788</v>
      </c>
      <c r="D284" s="18">
        <v>15</v>
      </c>
      <c r="E284" s="131"/>
      <c r="F284" s="22"/>
      <c r="G284" s="132"/>
      <c r="H284" s="22"/>
      <c r="I284" s="22"/>
      <c r="J284" s="22"/>
      <c r="K284" s="22"/>
      <c r="L284" s="22"/>
      <c r="M284" s="133"/>
      <c r="N284" s="22"/>
      <c r="O284" s="22"/>
      <c r="P284" s="22"/>
      <c r="Q284" s="20"/>
      <c r="R284" s="20"/>
      <c r="S284" s="20"/>
      <c r="T284" s="20"/>
      <c r="U284" s="20"/>
      <c r="V284" s="20"/>
      <c r="W284" s="20"/>
      <c r="X284" s="20"/>
      <c r="Y284" s="20"/>
      <c r="Z284" s="20"/>
      <c r="AA284" s="20"/>
      <c r="AB284" s="22"/>
      <c r="AC284" s="20"/>
      <c r="AD284" s="20"/>
      <c r="AE284" s="20"/>
      <c r="AF284" s="20" t="s">
        <v>1124</v>
      </c>
      <c r="AG284" s="20" t="s">
        <v>1124</v>
      </c>
      <c r="AH284" s="20" t="s">
        <v>1124</v>
      </c>
      <c r="AI284" s="328"/>
      <c r="AJ284" s="328"/>
      <c r="AK284" s="328"/>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0"/>
      <c r="BY284" s="20"/>
      <c r="BZ284" s="20"/>
      <c r="CA284" s="20"/>
      <c r="CB284" s="20"/>
      <c r="CC284" s="20"/>
      <c r="CD284" s="22"/>
      <c r="CE284" s="22"/>
      <c r="CF284" s="22"/>
      <c r="CG284" s="22"/>
      <c r="CH284" s="22"/>
      <c r="CI284" s="22"/>
      <c r="CJ284" s="149"/>
      <c r="CK284" s="241"/>
    </row>
    <row r="285" spans="1:89" ht="15" customHeight="1" x14ac:dyDescent="0.35">
      <c r="A285" s="17"/>
      <c r="B285" s="313">
        <v>90027</v>
      </c>
      <c r="C285" s="8" t="s">
        <v>936</v>
      </c>
      <c r="D285" s="18">
        <v>4</v>
      </c>
      <c r="E285" s="131"/>
      <c r="F285" s="22"/>
      <c r="G285" s="132"/>
      <c r="H285" s="22"/>
      <c r="I285" s="22"/>
      <c r="J285" s="22"/>
      <c r="K285" s="22"/>
      <c r="L285" s="22"/>
      <c r="M285" s="133"/>
      <c r="N285" s="22"/>
      <c r="O285" s="22"/>
      <c r="P285" s="22"/>
      <c r="Q285" s="20"/>
      <c r="R285" s="20"/>
      <c r="S285" s="20"/>
      <c r="T285" s="20"/>
      <c r="U285" s="20"/>
      <c r="V285" s="20"/>
      <c r="W285" s="20"/>
      <c r="X285" s="20"/>
      <c r="Y285" s="20"/>
      <c r="Z285" s="20"/>
      <c r="AA285" s="20"/>
      <c r="AB285" s="22"/>
      <c r="AC285" s="20"/>
      <c r="AD285" s="20"/>
      <c r="AE285" s="20"/>
      <c r="AF285" s="20" t="s">
        <v>1124</v>
      </c>
      <c r="AG285" s="20" t="s">
        <v>1124</v>
      </c>
      <c r="AH285" s="20" t="s">
        <v>1124</v>
      </c>
      <c r="AI285" s="328"/>
      <c r="AJ285" s="328"/>
      <c r="AK285" s="328"/>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0"/>
      <c r="BY285" s="20"/>
      <c r="BZ285" s="20"/>
      <c r="CA285" s="20"/>
      <c r="CB285" s="20"/>
      <c r="CC285" s="20"/>
      <c r="CD285" s="22"/>
      <c r="CE285" s="22"/>
      <c r="CF285" s="22"/>
      <c r="CG285" s="22"/>
      <c r="CH285" s="22"/>
      <c r="CI285" s="22"/>
      <c r="CJ285" s="149"/>
      <c r="CK285" s="241"/>
    </row>
    <row r="286" spans="1:89" ht="15" customHeight="1" x14ac:dyDescent="0.35">
      <c r="A286" s="17"/>
      <c r="B286" s="313">
        <v>28053</v>
      </c>
      <c r="C286" s="8" t="s">
        <v>196</v>
      </c>
      <c r="D286" s="18">
        <v>12</v>
      </c>
      <c r="E286" s="131" t="s">
        <v>1309</v>
      </c>
      <c r="F286" s="22" t="s">
        <v>1309</v>
      </c>
      <c r="G286" s="132" t="s">
        <v>1309</v>
      </c>
      <c r="H286" s="22" t="s">
        <v>1311</v>
      </c>
      <c r="I286" s="22" t="s">
        <v>1312</v>
      </c>
      <c r="J286" s="22" t="s">
        <v>1342</v>
      </c>
      <c r="K286" s="22" t="s">
        <v>1309</v>
      </c>
      <c r="L286" s="22" t="s">
        <v>1309</v>
      </c>
      <c r="M286" s="133" t="s">
        <v>1311</v>
      </c>
      <c r="N286" s="22" t="s">
        <v>1311</v>
      </c>
      <c r="O286" s="22" t="s">
        <v>1314</v>
      </c>
      <c r="P286" s="22" t="s">
        <v>1318</v>
      </c>
      <c r="Q286" s="20">
        <v>25.616</v>
      </c>
      <c r="R286" s="20">
        <v>25.616</v>
      </c>
      <c r="S286" s="20">
        <v>0</v>
      </c>
      <c r="T286" s="20">
        <v>0</v>
      </c>
      <c r="U286" s="20">
        <v>0</v>
      </c>
      <c r="V286" s="20">
        <v>0</v>
      </c>
      <c r="W286" s="20">
        <v>0</v>
      </c>
      <c r="X286" s="20">
        <v>0</v>
      </c>
      <c r="Y286" s="20">
        <v>0</v>
      </c>
      <c r="Z286" s="20">
        <v>0</v>
      </c>
      <c r="AA286" s="20" t="s">
        <v>1317</v>
      </c>
      <c r="AB286" s="22" t="s">
        <v>1318</v>
      </c>
      <c r="AC286" s="20">
        <v>4</v>
      </c>
      <c r="AD286" s="20">
        <v>0</v>
      </c>
      <c r="AE286" s="20">
        <v>0</v>
      </c>
      <c r="AF286" s="20">
        <v>2</v>
      </c>
      <c r="AG286" s="20">
        <v>0</v>
      </c>
      <c r="AH286" s="20">
        <v>0</v>
      </c>
      <c r="AI286" s="328">
        <v>15.615240474703311</v>
      </c>
      <c r="AJ286" s="328" t="s">
        <v>1328</v>
      </c>
      <c r="AK286" s="328" t="s">
        <v>1328</v>
      </c>
      <c r="AL286" s="22" t="s">
        <v>1329</v>
      </c>
      <c r="AM286" s="22" t="s">
        <v>1330</v>
      </c>
      <c r="AN286" s="22" t="s">
        <v>1317</v>
      </c>
      <c r="AO286" s="22" t="s">
        <v>1318</v>
      </c>
      <c r="AP286" s="22" t="s">
        <v>1318</v>
      </c>
      <c r="AQ286" s="22" t="s">
        <v>1318</v>
      </c>
      <c r="AR286" s="22" t="s">
        <v>1317</v>
      </c>
      <c r="AS286" s="22" t="s">
        <v>1318</v>
      </c>
      <c r="AT286" s="22" t="s">
        <v>1319</v>
      </c>
      <c r="AU286" s="22" t="s">
        <v>1311</v>
      </c>
      <c r="AV286" s="22" t="s">
        <v>1319</v>
      </c>
      <c r="AW286" s="22" t="s">
        <v>1311</v>
      </c>
      <c r="AX286" s="22" t="s">
        <v>1317</v>
      </c>
      <c r="AY286" s="22" t="s">
        <v>1318</v>
      </c>
      <c r="AZ286" s="22" t="s">
        <v>1319</v>
      </c>
      <c r="BA286" s="22" t="s">
        <v>1311</v>
      </c>
      <c r="BB286" s="22" t="s">
        <v>1309</v>
      </c>
      <c r="BC286" s="22" t="s">
        <v>1311</v>
      </c>
      <c r="BD286" s="22" t="s">
        <v>1317</v>
      </c>
      <c r="BE286" s="22" t="s">
        <v>1318</v>
      </c>
      <c r="BF286" s="22" t="s">
        <v>1317</v>
      </c>
      <c r="BG286" s="22" t="s">
        <v>1318</v>
      </c>
      <c r="BH286" s="22" t="s">
        <v>1309</v>
      </c>
      <c r="BI286" s="22" t="s">
        <v>1309</v>
      </c>
      <c r="BJ286" s="22" t="s">
        <v>1317</v>
      </c>
      <c r="BK286" s="22" t="s">
        <v>1318</v>
      </c>
      <c r="BL286" s="22" t="s">
        <v>1317</v>
      </c>
      <c r="BM286" s="22" t="s">
        <v>1318</v>
      </c>
      <c r="BN286" s="22" t="s">
        <v>1317</v>
      </c>
      <c r="BO286" s="22" t="s">
        <v>1318</v>
      </c>
      <c r="BP286" s="22" t="s">
        <v>1317</v>
      </c>
      <c r="BQ286" s="22" t="s">
        <v>1318</v>
      </c>
      <c r="BR286" s="22" t="s">
        <v>1317</v>
      </c>
      <c r="BS286" s="22" t="s">
        <v>1318</v>
      </c>
      <c r="BT286" s="22" t="s">
        <v>1309</v>
      </c>
      <c r="BU286" s="22" t="s">
        <v>1309</v>
      </c>
      <c r="BV286" s="22" t="s">
        <v>1317</v>
      </c>
      <c r="BW286" s="22" t="s">
        <v>1309</v>
      </c>
      <c r="BX286" s="20">
        <v>0</v>
      </c>
      <c r="BY286" s="20">
        <v>8</v>
      </c>
      <c r="BZ286" s="20">
        <v>28</v>
      </c>
      <c r="CA286" s="20">
        <v>0</v>
      </c>
      <c r="CB286" s="20">
        <v>90</v>
      </c>
      <c r="CC286" s="20">
        <v>1172</v>
      </c>
      <c r="CD286" s="22" t="s">
        <v>1320</v>
      </c>
      <c r="CE286" s="22" t="s">
        <v>1344</v>
      </c>
      <c r="CF286" s="22" t="s">
        <v>1331</v>
      </c>
      <c r="CG286" s="22" t="s">
        <v>1331</v>
      </c>
      <c r="CH286" s="22" t="s">
        <v>1317</v>
      </c>
      <c r="CI286" s="22" t="s">
        <v>1318</v>
      </c>
      <c r="CJ286" s="149" t="s">
        <v>1124</v>
      </c>
      <c r="CK286" s="241" t="s">
        <v>1993</v>
      </c>
    </row>
    <row r="287" spans="1:89" ht="15" customHeight="1" x14ac:dyDescent="0.35">
      <c r="A287" s="17"/>
      <c r="B287" s="313">
        <v>18010</v>
      </c>
      <c r="C287" s="8" t="s">
        <v>105</v>
      </c>
      <c r="D287" s="18">
        <v>12</v>
      </c>
      <c r="E287" s="131" t="s">
        <v>1309</v>
      </c>
      <c r="F287" s="22" t="s">
        <v>1309</v>
      </c>
      <c r="G287" s="132" t="s">
        <v>1309</v>
      </c>
      <c r="H287" s="22" t="s">
        <v>1311</v>
      </c>
      <c r="I287" s="22" t="s">
        <v>1327</v>
      </c>
      <c r="J287" s="22" t="s">
        <v>1327</v>
      </c>
      <c r="K287" s="22" t="s">
        <v>1309</v>
      </c>
      <c r="L287" s="22" t="s">
        <v>1309</v>
      </c>
      <c r="M287" s="133" t="s">
        <v>1311</v>
      </c>
      <c r="N287" s="22" t="s">
        <v>1311</v>
      </c>
      <c r="O287" s="22" t="s">
        <v>1314</v>
      </c>
      <c r="P287" s="22" t="s">
        <v>1318</v>
      </c>
      <c r="Q287" s="20">
        <v>0</v>
      </c>
      <c r="R287" s="20">
        <v>0</v>
      </c>
      <c r="S287" s="20">
        <v>0</v>
      </c>
      <c r="T287" s="20">
        <v>0</v>
      </c>
      <c r="U287" s="20">
        <v>3.4550000000000001</v>
      </c>
      <c r="V287" s="20">
        <v>3.4550000000000001</v>
      </c>
      <c r="W287" s="20">
        <v>0</v>
      </c>
      <c r="X287" s="20">
        <v>0</v>
      </c>
      <c r="Y287" s="20">
        <v>0</v>
      </c>
      <c r="Z287" s="20">
        <v>0</v>
      </c>
      <c r="AA287" s="20" t="s">
        <v>1309</v>
      </c>
      <c r="AB287" s="22" t="s">
        <v>1309</v>
      </c>
      <c r="AC287" s="20">
        <v>3</v>
      </c>
      <c r="AD287" s="20">
        <v>2</v>
      </c>
      <c r="AE287" s="20">
        <v>1</v>
      </c>
      <c r="AF287" s="20">
        <v>2</v>
      </c>
      <c r="AG287" s="20">
        <v>2</v>
      </c>
      <c r="AH287" s="20">
        <v>2</v>
      </c>
      <c r="AI287" s="328">
        <v>86.830680173661364</v>
      </c>
      <c r="AJ287" s="328">
        <v>29.411764705882351</v>
      </c>
      <c r="AK287" s="328">
        <v>14.705882352941176</v>
      </c>
      <c r="AL287" s="22" t="s">
        <v>1329</v>
      </c>
      <c r="AM287" s="22" t="s">
        <v>1330</v>
      </c>
      <c r="AN287" s="22" t="s">
        <v>1317</v>
      </c>
      <c r="AO287" s="22" t="s">
        <v>1318</v>
      </c>
      <c r="AP287" s="22" t="s">
        <v>1318</v>
      </c>
      <c r="AQ287" s="22" t="s">
        <v>1318</v>
      </c>
      <c r="AR287" s="22" t="s">
        <v>1317</v>
      </c>
      <c r="AS287" s="22" t="s">
        <v>1318</v>
      </c>
      <c r="AT287" s="22" t="s">
        <v>1317</v>
      </c>
      <c r="AU287" s="22" t="s">
        <v>1318</v>
      </c>
      <c r="AV287" s="22" t="s">
        <v>1317</v>
      </c>
      <c r="AW287" s="22" t="s">
        <v>1318</v>
      </c>
      <c r="AX287" s="22" t="s">
        <v>1317</v>
      </c>
      <c r="AY287" s="22" t="s">
        <v>1318</v>
      </c>
      <c r="AZ287" s="22" t="s">
        <v>1309</v>
      </c>
      <c r="BA287" s="22" t="s">
        <v>1309</v>
      </c>
      <c r="BB287" s="22" t="s">
        <v>1309</v>
      </c>
      <c r="BC287" s="22" t="s">
        <v>1309</v>
      </c>
      <c r="BD287" s="22" t="s">
        <v>1309</v>
      </c>
      <c r="BE287" s="22" t="s">
        <v>1309</v>
      </c>
      <c r="BF287" s="22" t="s">
        <v>1317</v>
      </c>
      <c r="BG287" s="22" t="s">
        <v>1318</v>
      </c>
      <c r="BH287" s="22" t="s">
        <v>1317</v>
      </c>
      <c r="BI287" s="22" t="s">
        <v>1311</v>
      </c>
      <c r="BJ287" s="22" t="s">
        <v>1317</v>
      </c>
      <c r="BK287" s="22" t="s">
        <v>1318</v>
      </c>
      <c r="BL287" s="22" t="s">
        <v>1317</v>
      </c>
      <c r="BM287" s="22" t="s">
        <v>1311</v>
      </c>
      <c r="BN287" s="22" t="s">
        <v>1309</v>
      </c>
      <c r="BO287" s="22" t="s">
        <v>1309</v>
      </c>
      <c r="BP287" s="22" t="s">
        <v>1317</v>
      </c>
      <c r="BQ287" s="22" t="s">
        <v>1311</v>
      </c>
      <c r="BR287" s="22" t="s">
        <v>1317</v>
      </c>
      <c r="BS287" s="22" t="s">
        <v>1318</v>
      </c>
      <c r="BT287" s="22" t="s">
        <v>1309</v>
      </c>
      <c r="BU287" s="22" t="s">
        <v>1309</v>
      </c>
      <c r="BV287" s="22" t="s">
        <v>1319</v>
      </c>
      <c r="BW287" s="22" t="s">
        <v>1311</v>
      </c>
      <c r="BX287" s="20">
        <v>0</v>
      </c>
      <c r="BY287" s="20">
        <v>0</v>
      </c>
      <c r="BZ287" s="20">
        <v>1</v>
      </c>
      <c r="CA287" s="20">
        <v>0</v>
      </c>
      <c r="CB287" s="20">
        <v>0</v>
      </c>
      <c r="CC287" s="20">
        <v>67</v>
      </c>
      <c r="CD287" s="22" t="s">
        <v>1317</v>
      </c>
      <c r="CE287" s="22" t="s">
        <v>1318</v>
      </c>
      <c r="CF287" s="22" t="s">
        <v>1317</v>
      </c>
      <c r="CG287" s="22" t="s">
        <v>1318</v>
      </c>
      <c r="CH287" s="22" t="s">
        <v>1317</v>
      </c>
      <c r="CI287" s="22" t="s">
        <v>1318</v>
      </c>
      <c r="CJ287" s="149" t="s">
        <v>1124</v>
      </c>
      <c r="CK287" s="241" t="s">
        <v>1916</v>
      </c>
    </row>
    <row r="288" spans="1:89" ht="15" customHeight="1" x14ac:dyDescent="0.35">
      <c r="A288" s="17"/>
      <c r="B288" s="313">
        <v>76020</v>
      </c>
      <c r="C288" s="8" t="s">
        <v>748</v>
      </c>
      <c r="D288" s="18">
        <v>15</v>
      </c>
      <c r="E288" s="131" t="s">
        <v>1309</v>
      </c>
      <c r="F288" s="22" t="s">
        <v>1309</v>
      </c>
      <c r="G288" s="132" t="s">
        <v>1309</v>
      </c>
      <c r="H288" s="22" t="s">
        <v>1311</v>
      </c>
      <c r="I288" s="22" t="s">
        <v>1312</v>
      </c>
      <c r="J288" s="22" t="s">
        <v>1342</v>
      </c>
      <c r="K288" s="22" t="s">
        <v>1314</v>
      </c>
      <c r="L288" s="22" t="s">
        <v>1311</v>
      </c>
      <c r="M288" s="133" t="s">
        <v>1311</v>
      </c>
      <c r="N288" s="22" t="s">
        <v>1311</v>
      </c>
      <c r="O288" s="22" t="s">
        <v>1309</v>
      </c>
      <c r="P288" s="22" t="s">
        <v>1309</v>
      </c>
      <c r="Q288" s="20">
        <v>0</v>
      </c>
      <c r="R288" s="20">
        <v>0</v>
      </c>
      <c r="S288" s="20">
        <v>107.50700000000001</v>
      </c>
      <c r="T288" s="20">
        <v>107.50700000000001</v>
      </c>
      <c r="U288" s="20">
        <v>50</v>
      </c>
      <c r="V288" s="20">
        <v>65</v>
      </c>
      <c r="W288" s="20">
        <v>0</v>
      </c>
      <c r="X288" s="20">
        <v>0</v>
      </c>
      <c r="Y288" s="20">
        <v>0</v>
      </c>
      <c r="Z288" s="20">
        <v>0</v>
      </c>
      <c r="AA288" s="20" t="s">
        <v>1317</v>
      </c>
      <c r="AB288" s="22" t="s">
        <v>1311</v>
      </c>
      <c r="AC288" s="20">
        <v>18</v>
      </c>
      <c r="AD288" s="20">
        <v>0</v>
      </c>
      <c r="AE288" s="20">
        <v>0</v>
      </c>
      <c r="AF288" s="20">
        <v>2</v>
      </c>
      <c r="AG288" s="20">
        <v>0</v>
      </c>
      <c r="AH288" s="20">
        <v>0</v>
      </c>
      <c r="AI288" s="328">
        <v>18.046379194529944</v>
      </c>
      <c r="AJ288" s="328" t="s">
        <v>1328</v>
      </c>
      <c r="AK288" s="328" t="s">
        <v>1328</v>
      </c>
      <c r="AL288" s="22" t="s">
        <v>1329</v>
      </c>
      <c r="AM288" s="22" t="s">
        <v>1330</v>
      </c>
      <c r="AN288" s="22" t="s">
        <v>1317</v>
      </c>
      <c r="AO288" s="22" t="s">
        <v>1318</v>
      </c>
      <c r="AP288" s="22" t="s">
        <v>1350</v>
      </c>
      <c r="AQ288" s="22" t="s">
        <v>1318</v>
      </c>
      <c r="AR288" s="22" t="s">
        <v>1317</v>
      </c>
      <c r="AS288" s="22" t="s">
        <v>1318</v>
      </c>
      <c r="AT288" s="22" t="s">
        <v>1309</v>
      </c>
      <c r="AU288" s="22" t="s">
        <v>1309</v>
      </c>
      <c r="AV288" s="22" t="s">
        <v>1309</v>
      </c>
      <c r="AW288" s="22" t="s">
        <v>1309</v>
      </c>
      <c r="AX288" s="22" t="s">
        <v>1317</v>
      </c>
      <c r="AY288" s="22" t="s">
        <v>1318</v>
      </c>
      <c r="AZ288" s="22" t="s">
        <v>1309</v>
      </c>
      <c r="BA288" s="22" t="s">
        <v>1309</v>
      </c>
      <c r="BB288" s="22" t="s">
        <v>1309</v>
      </c>
      <c r="BC288" s="22" t="s">
        <v>1309</v>
      </c>
      <c r="BD288" s="22" t="s">
        <v>1309</v>
      </c>
      <c r="BE288" s="22" t="s">
        <v>1309</v>
      </c>
      <c r="BF288" s="22" t="s">
        <v>1317</v>
      </c>
      <c r="BG288" s="22" t="s">
        <v>1318</v>
      </c>
      <c r="BH288" s="22" t="s">
        <v>1309</v>
      </c>
      <c r="BI288" s="22" t="s">
        <v>1309</v>
      </c>
      <c r="BJ288" s="22" t="s">
        <v>1317</v>
      </c>
      <c r="BK288" s="22" t="s">
        <v>1311</v>
      </c>
      <c r="BL288" s="22" t="s">
        <v>1319</v>
      </c>
      <c r="BM288" s="22" t="s">
        <v>1311</v>
      </c>
      <c r="BN288" s="22" t="s">
        <v>1309</v>
      </c>
      <c r="BO288" s="22" t="s">
        <v>1309</v>
      </c>
      <c r="BP288" s="22" t="s">
        <v>1319</v>
      </c>
      <c r="BQ288" s="22" t="s">
        <v>1311</v>
      </c>
      <c r="BR288" s="22" t="s">
        <v>1309</v>
      </c>
      <c r="BS288" s="22" t="s">
        <v>1309</v>
      </c>
      <c r="BT288" s="22" t="s">
        <v>1319</v>
      </c>
      <c r="BU288" s="22" t="s">
        <v>1311</v>
      </c>
      <c r="BV288" s="22" t="s">
        <v>1317</v>
      </c>
      <c r="BW288" s="22" t="s">
        <v>1318</v>
      </c>
      <c r="BX288" s="20">
        <v>335</v>
      </c>
      <c r="BY288" s="20">
        <v>0</v>
      </c>
      <c r="BZ288" s="20">
        <v>30</v>
      </c>
      <c r="CA288" s="20">
        <v>0</v>
      </c>
      <c r="CB288" s="20">
        <v>16</v>
      </c>
      <c r="CC288" s="20">
        <v>4044</v>
      </c>
      <c r="CD288" s="22" t="s">
        <v>1320</v>
      </c>
      <c r="CE288" s="22" t="s">
        <v>1344</v>
      </c>
      <c r="CF288" s="22" t="s">
        <v>1345</v>
      </c>
      <c r="CG288" s="22" t="s">
        <v>1331</v>
      </c>
      <c r="CH288" s="22" t="s">
        <v>1315</v>
      </c>
      <c r="CI288" s="22" t="s">
        <v>1315</v>
      </c>
      <c r="CJ288" s="149" t="s">
        <v>1999</v>
      </c>
      <c r="CK288" s="241" t="s">
        <v>2000</v>
      </c>
    </row>
    <row r="289" spans="1:89" ht="15" customHeight="1" x14ac:dyDescent="0.35">
      <c r="A289" s="17"/>
      <c r="B289" s="313">
        <v>30030</v>
      </c>
      <c r="C289" s="8" t="s">
        <v>222</v>
      </c>
      <c r="D289" s="18">
        <v>5</v>
      </c>
      <c r="E289" s="131" t="s">
        <v>1309</v>
      </c>
      <c r="F289" s="22" t="s">
        <v>1309</v>
      </c>
      <c r="G289" s="132" t="s">
        <v>1309</v>
      </c>
      <c r="H289" s="22" t="s">
        <v>1311</v>
      </c>
      <c r="I289" s="22" t="s">
        <v>1349</v>
      </c>
      <c r="J289" s="22" t="s">
        <v>1342</v>
      </c>
      <c r="K289" s="22" t="s">
        <v>1309</v>
      </c>
      <c r="L289" s="22" t="s">
        <v>1309</v>
      </c>
      <c r="M289" s="133" t="s">
        <v>1311</v>
      </c>
      <c r="N289" s="22" t="s">
        <v>1311</v>
      </c>
      <c r="O289" s="22" t="s">
        <v>1309</v>
      </c>
      <c r="P289" s="22" t="s">
        <v>1309</v>
      </c>
      <c r="Q289" s="20">
        <v>58.09</v>
      </c>
      <c r="R289" s="20">
        <v>58.09</v>
      </c>
      <c r="S289" s="20">
        <v>58.09</v>
      </c>
      <c r="T289" s="20">
        <v>58.09</v>
      </c>
      <c r="U289" s="20">
        <v>0</v>
      </c>
      <c r="V289" s="20">
        <v>0</v>
      </c>
      <c r="W289" s="20">
        <v>0</v>
      </c>
      <c r="X289" s="20">
        <v>0</v>
      </c>
      <c r="Y289" s="20">
        <v>0</v>
      </c>
      <c r="Z289" s="20">
        <v>0</v>
      </c>
      <c r="AA289" s="20" t="s">
        <v>1319</v>
      </c>
      <c r="AB289" s="22" t="s">
        <v>1311</v>
      </c>
      <c r="AC289" s="20">
        <v>4</v>
      </c>
      <c r="AD289" s="20">
        <v>1</v>
      </c>
      <c r="AE289" s="20">
        <v>2</v>
      </c>
      <c r="AF289" s="20">
        <v>7</v>
      </c>
      <c r="AG289" s="20">
        <v>1</v>
      </c>
      <c r="AH289" s="20">
        <v>7</v>
      </c>
      <c r="AI289" s="328">
        <v>6.7948630835088677</v>
      </c>
      <c r="AJ289" s="328">
        <v>0.36023054755043227</v>
      </c>
      <c r="AK289" s="328">
        <v>0.72046109510086453</v>
      </c>
      <c r="AL289" s="22" t="s">
        <v>1338</v>
      </c>
      <c r="AM289" s="22" t="s">
        <v>1339</v>
      </c>
      <c r="AN289" s="22" t="s">
        <v>1317</v>
      </c>
      <c r="AO289" s="22" t="s">
        <v>1318</v>
      </c>
      <c r="AP289" s="22" t="s">
        <v>1318</v>
      </c>
      <c r="AQ289" s="22" t="s">
        <v>1318</v>
      </c>
      <c r="AR289" s="22" t="s">
        <v>1317</v>
      </c>
      <c r="AS289" s="22" t="s">
        <v>1318</v>
      </c>
      <c r="AT289" s="22" t="s">
        <v>1309</v>
      </c>
      <c r="AU289" s="22" t="s">
        <v>1309</v>
      </c>
      <c r="AV289" s="22" t="s">
        <v>1309</v>
      </c>
      <c r="AW289" s="22" t="s">
        <v>1309</v>
      </c>
      <c r="AX289" s="22" t="s">
        <v>1317</v>
      </c>
      <c r="AY289" s="22" t="s">
        <v>1318</v>
      </c>
      <c r="AZ289" s="22" t="s">
        <v>1317</v>
      </c>
      <c r="BA289" s="22" t="s">
        <v>1318</v>
      </c>
      <c r="BB289" s="22" t="s">
        <v>1309</v>
      </c>
      <c r="BC289" s="22" t="s">
        <v>1309</v>
      </c>
      <c r="BD289" s="22" t="s">
        <v>1309</v>
      </c>
      <c r="BE289" s="22" t="s">
        <v>1309</v>
      </c>
      <c r="BF289" s="22" t="s">
        <v>1319</v>
      </c>
      <c r="BG289" s="22" t="s">
        <v>1311</v>
      </c>
      <c r="BH289" s="22" t="s">
        <v>1309</v>
      </c>
      <c r="BI289" s="22" t="s">
        <v>1309</v>
      </c>
      <c r="BJ289" s="22" t="s">
        <v>1309</v>
      </c>
      <c r="BK289" s="22" t="s">
        <v>1309</v>
      </c>
      <c r="BL289" s="22" t="s">
        <v>1319</v>
      </c>
      <c r="BM289" s="22" t="s">
        <v>1311</v>
      </c>
      <c r="BN289" s="22" t="s">
        <v>1317</v>
      </c>
      <c r="BO289" s="22" t="s">
        <v>1318</v>
      </c>
      <c r="BP289" s="22" t="s">
        <v>1309</v>
      </c>
      <c r="BQ289" s="22" t="s">
        <v>1309</v>
      </c>
      <c r="BR289" s="22" t="s">
        <v>1309</v>
      </c>
      <c r="BS289" s="22" t="s">
        <v>1309</v>
      </c>
      <c r="BT289" s="22" t="s">
        <v>1315</v>
      </c>
      <c r="BU289" s="22" t="s">
        <v>1315</v>
      </c>
      <c r="BV289" s="22" t="s">
        <v>1309</v>
      </c>
      <c r="BW289" s="22" t="s">
        <v>1309</v>
      </c>
      <c r="BX289" s="20">
        <v>272</v>
      </c>
      <c r="BY289" s="20">
        <v>0</v>
      </c>
      <c r="BZ289" s="20">
        <v>0</v>
      </c>
      <c r="CA289" s="20">
        <v>90</v>
      </c>
      <c r="CB289" s="20">
        <v>0</v>
      </c>
      <c r="CC289" s="20">
        <v>2414</v>
      </c>
      <c r="CD289" s="22" t="s">
        <v>1331</v>
      </c>
      <c r="CE289" s="22" t="s">
        <v>1331</v>
      </c>
      <c r="CF289" s="22" t="s">
        <v>1331</v>
      </c>
      <c r="CG289" s="22" t="s">
        <v>1331</v>
      </c>
      <c r="CH289" s="22" t="s">
        <v>1315</v>
      </c>
      <c r="CI289" s="22" t="s">
        <v>1315</v>
      </c>
      <c r="CJ289" s="149" t="s">
        <v>1124</v>
      </c>
      <c r="CK289" s="241" t="s">
        <v>1124</v>
      </c>
    </row>
    <row r="290" spans="1:89" ht="15" customHeight="1" x14ac:dyDescent="0.35">
      <c r="A290" s="17"/>
      <c r="B290" s="313">
        <v>56023</v>
      </c>
      <c r="C290" s="8" t="s">
        <v>570</v>
      </c>
      <c r="D290" s="18">
        <v>16</v>
      </c>
      <c r="E290" s="131"/>
      <c r="F290" s="22"/>
      <c r="G290" s="132"/>
      <c r="H290" s="22"/>
      <c r="I290" s="22"/>
      <c r="J290" s="22"/>
      <c r="K290" s="22"/>
      <c r="L290" s="22"/>
      <c r="M290" s="133"/>
      <c r="N290" s="22"/>
      <c r="O290" s="22"/>
      <c r="P290" s="22"/>
      <c r="Q290" s="20"/>
      <c r="R290" s="20"/>
      <c r="S290" s="20"/>
      <c r="T290" s="20"/>
      <c r="U290" s="20"/>
      <c r="V290" s="20"/>
      <c r="W290" s="20"/>
      <c r="X290" s="20"/>
      <c r="Y290" s="20"/>
      <c r="Z290" s="20"/>
      <c r="AA290" s="20"/>
      <c r="AB290" s="22"/>
      <c r="AC290" s="20"/>
      <c r="AD290" s="20"/>
      <c r="AE290" s="20"/>
      <c r="AF290" s="20" t="s">
        <v>1124</v>
      </c>
      <c r="AG290" s="20" t="s">
        <v>1124</v>
      </c>
      <c r="AH290" s="20" t="s">
        <v>1124</v>
      </c>
      <c r="AI290" s="328"/>
      <c r="AJ290" s="328"/>
      <c r="AK290" s="328"/>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0"/>
      <c r="BY290" s="20"/>
      <c r="BZ290" s="20"/>
      <c r="CA290" s="20"/>
      <c r="CB290" s="20"/>
      <c r="CC290" s="20"/>
      <c r="CD290" s="22"/>
      <c r="CE290" s="22"/>
      <c r="CF290" s="22"/>
      <c r="CG290" s="22"/>
      <c r="CH290" s="22"/>
      <c r="CI290" s="22"/>
      <c r="CJ290" s="149"/>
      <c r="CK290" s="241"/>
    </row>
    <row r="291" spans="1:89" ht="15" customHeight="1" x14ac:dyDescent="0.35">
      <c r="A291" s="17"/>
      <c r="B291" s="313">
        <v>29095</v>
      </c>
      <c r="C291" s="8" t="s">
        <v>212</v>
      </c>
      <c r="D291" s="18">
        <v>12</v>
      </c>
      <c r="E291" s="131"/>
      <c r="F291" s="22"/>
      <c r="G291" s="132"/>
      <c r="H291" s="22"/>
      <c r="I291" s="22"/>
      <c r="J291" s="22"/>
      <c r="K291" s="22"/>
      <c r="L291" s="22"/>
      <c r="M291" s="133"/>
      <c r="N291" s="22"/>
      <c r="O291" s="22"/>
      <c r="P291" s="22"/>
      <c r="Q291" s="20"/>
      <c r="R291" s="20"/>
      <c r="S291" s="20"/>
      <c r="T291" s="20"/>
      <c r="U291" s="20"/>
      <c r="V291" s="20"/>
      <c r="W291" s="20"/>
      <c r="X291" s="20"/>
      <c r="Y291" s="20"/>
      <c r="Z291" s="20"/>
      <c r="AA291" s="20"/>
      <c r="AB291" s="22"/>
      <c r="AC291" s="20"/>
      <c r="AD291" s="20"/>
      <c r="AE291" s="20"/>
      <c r="AF291" s="20" t="s">
        <v>1124</v>
      </c>
      <c r="AG291" s="20" t="s">
        <v>1124</v>
      </c>
      <c r="AH291" s="20" t="s">
        <v>1124</v>
      </c>
      <c r="AI291" s="328"/>
      <c r="AJ291" s="328"/>
      <c r="AK291" s="328"/>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0"/>
      <c r="BY291" s="20"/>
      <c r="BZ291" s="20"/>
      <c r="CA291" s="20"/>
      <c r="CB291" s="20"/>
      <c r="CC291" s="20"/>
      <c r="CD291" s="22"/>
      <c r="CE291" s="22"/>
      <c r="CF291" s="22"/>
      <c r="CG291" s="22"/>
      <c r="CH291" s="22"/>
      <c r="CI291" s="22"/>
      <c r="CJ291" s="149"/>
      <c r="CK291" s="241"/>
    </row>
    <row r="292" spans="1:89" ht="15" customHeight="1" x14ac:dyDescent="0.35">
      <c r="A292" s="17"/>
      <c r="B292" s="313">
        <v>79060</v>
      </c>
      <c r="C292" s="8" t="s">
        <v>795</v>
      </c>
      <c r="D292" s="18">
        <v>15</v>
      </c>
      <c r="E292" s="131"/>
      <c r="F292" s="22"/>
      <c r="G292" s="132"/>
      <c r="H292" s="22"/>
      <c r="I292" s="22"/>
      <c r="J292" s="22"/>
      <c r="K292" s="22"/>
      <c r="L292" s="22"/>
      <c r="M292" s="133"/>
      <c r="N292" s="22"/>
      <c r="O292" s="22"/>
      <c r="P292" s="22"/>
      <c r="Q292" s="20"/>
      <c r="R292" s="20"/>
      <c r="S292" s="20"/>
      <c r="T292" s="20"/>
      <c r="U292" s="20"/>
      <c r="V292" s="20"/>
      <c r="W292" s="20"/>
      <c r="X292" s="20"/>
      <c r="Y292" s="20"/>
      <c r="Z292" s="20"/>
      <c r="AA292" s="20"/>
      <c r="AB292" s="22"/>
      <c r="AC292" s="20"/>
      <c r="AD292" s="20"/>
      <c r="AE292" s="20"/>
      <c r="AF292" s="20" t="s">
        <v>1124</v>
      </c>
      <c r="AG292" s="20" t="s">
        <v>1124</v>
      </c>
      <c r="AH292" s="20" t="s">
        <v>1124</v>
      </c>
      <c r="AI292" s="328"/>
      <c r="AJ292" s="328"/>
      <c r="AK292" s="328"/>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0"/>
      <c r="BY292" s="20"/>
      <c r="BZ292" s="20"/>
      <c r="CA292" s="20"/>
      <c r="CB292" s="20"/>
      <c r="CC292" s="20"/>
      <c r="CD292" s="22"/>
      <c r="CE292" s="22"/>
      <c r="CF292" s="22"/>
      <c r="CG292" s="22"/>
      <c r="CH292" s="22"/>
      <c r="CI292" s="22"/>
      <c r="CJ292" s="149"/>
      <c r="CK292" s="241"/>
    </row>
    <row r="293" spans="1:89" ht="15" customHeight="1" x14ac:dyDescent="0.35">
      <c r="A293" s="17"/>
      <c r="B293" s="313">
        <v>83020</v>
      </c>
      <c r="C293" s="8" t="s">
        <v>838</v>
      </c>
      <c r="D293" s="18">
        <v>7</v>
      </c>
      <c r="E293" s="131"/>
      <c r="F293" s="22"/>
      <c r="G293" s="132"/>
      <c r="H293" s="22"/>
      <c r="I293" s="22"/>
      <c r="J293" s="22"/>
      <c r="K293" s="22"/>
      <c r="L293" s="22"/>
      <c r="M293" s="133"/>
      <c r="N293" s="22"/>
      <c r="O293" s="22"/>
      <c r="P293" s="22"/>
      <c r="Q293" s="20"/>
      <c r="R293" s="20"/>
      <c r="S293" s="20"/>
      <c r="T293" s="20"/>
      <c r="U293" s="20"/>
      <c r="V293" s="20"/>
      <c r="W293" s="20"/>
      <c r="X293" s="20"/>
      <c r="Y293" s="20"/>
      <c r="Z293" s="20"/>
      <c r="AA293" s="20"/>
      <c r="AB293" s="22"/>
      <c r="AC293" s="20"/>
      <c r="AD293" s="20"/>
      <c r="AE293" s="20"/>
      <c r="AF293" s="20" t="s">
        <v>1124</v>
      </c>
      <c r="AG293" s="20" t="s">
        <v>1124</v>
      </c>
      <c r="AH293" s="20" t="s">
        <v>1124</v>
      </c>
      <c r="AI293" s="328"/>
      <c r="AJ293" s="328"/>
      <c r="AK293" s="328"/>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0"/>
      <c r="BY293" s="20"/>
      <c r="BZ293" s="20"/>
      <c r="CA293" s="20"/>
      <c r="CB293" s="20"/>
      <c r="CC293" s="20"/>
      <c r="CD293" s="22"/>
      <c r="CE293" s="22"/>
      <c r="CF293" s="22"/>
      <c r="CG293" s="22"/>
      <c r="CH293" s="22"/>
      <c r="CI293" s="22"/>
      <c r="CJ293" s="149"/>
      <c r="CK293" s="241"/>
    </row>
    <row r="294" spans="1:89" ht="15" customHeight="1" x14ac:dyDescent="0.35">
      <c r="A294" s="17"/>
      <c r="B294" s="314">
        <v>22015</v>
      </c>
      <c r="C294" s="8" t="s">
        <v>155</v>
      </c>
      <c r="D294" s="18">
        <v>3</v>
      </c>
      <c r="E294" s="131"/>
      <c r="F294" s="22"/>
      <c r="G294" s="132"/>
      <c r="H294" s="22"/>
      <c r="I294" s="22"/>
      <c r="J294" s="22"/>
      <c r="K294" s="22"/>
      <c r="L294" s="22"/>
      <c r="M294" s="133"/>
      <c r="N294" s="22"/>
      <c r="O294" s="22"/>
      <c r="P294" s="22"/>
      <c r="Q294" s="20"/>
      <c r="R294" s="20"/>
      <c r="S294" s="20"/>
      <c r="T294" s="20"/>
      <c r="U294" s="20"/>
      <c r="V294" s="20"/>
      <c r="W294" s="20"/>
      <c r="X294" s="20"/>
      <c r="Y294" s="20"/>
      <c r="Z294" s="20"/>
      <c r="AA294" s="20"/>
      <c r="AB294" s="22"/>
      <c r="AC294" s="20"/>
      <c r="AD294" s="20"/>
      <c r="AE294" s="20"/>
      <c r="AF294" s="20" t="s">
        <v>1124</v>
      </c>
      <c r="AG294" s="20" t="s">
        <v>1124</v>
      </c>
      <c r="AH294" s="20" t="s">
        <v>1124</v>
      </c>
      <c r="AI294" s="328"/>
      <c r="AJ294" s="328"/>
      <c r="AK294" s="328"/>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0"/>
      <c r="BY294" s="20"/>
      <c r="BZ294" s="20"/>
      <c r="CA294" s="20"/>
      <c r="CB294" s="20"/>
      <c r="CC294" s="20"/>
      <c r="CD294" s="22"/>
      <c r="CE294" s="22"/>
      <c r="CF294" s="22"/>
      <c r="CG294" s="22"/>
      <c r="CH294" s="22"/>
      <c r="CI294" s="22"/>
      <c r="CJ294" s="149"/>
      <c r="CK294" s="241"/>
    </row>
    <row r="295" spans="1:89" ht="15" customHeight="1" x14ac:dyDescent="0.35">
      <c r="A295" s="17"/>
      <c r="B295" s="313">
        <v>79105</v>
      </c>
      <c r="C295" s="8" t="s">
        <v>800</v>
      </c>
      <c r="D295" s="18">
        <v>15</v>
      </c>
      <c r="E295" s="131"/>
      <c r="F295" s="22"/>
      <c r="G295" s="132"/>
      <c r="H295" s="22"/>
      <c r="I295" s="22"/>
      <c r="J295" s="22"/>
      <c r="K295" s="22"/>
      <c r="L295" s="22"/>
      <c r="M295" s="133"/>
      <c r="N295" s="22"/>
      <c r="O295" s="22"/>
      <c r="P295" s="22"/>
      <c r="Q295" s="20"/>
      <c r="R295" s="20"/>
      <c r="S295" s="20"/>
      <c r="T295" s="20"/>
      <c r="U295" s="20"/>
      <c r="V295" s="20"/>
      <c r="W295" s="20"/>
      <c r="X295" s="20"/>
      <c r="Y295" s="20"/>
      <c r="Z295" s="20"/>
      <c r="AA295" s="20"/>
      <c r="AB295" s="22"/>
      <c r="AC295" s="20"/>
      <c r="AD295" s="20"/>
      <c r="AE295" s="20"/>
      <c r="AF295" s="20" t="s">
        <v>1124</v>
      </c>
      <c r="AG295" s="20" t="s">
        <v>1124</v>
      </c>
      <c r="AH295" s="20" t="s">
        <v>1124</v>
      </c>
      <c r="AI295" s="328"/>
      <c r="AJ295" s="328"/>
      <c r="AK295" s="328"/>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0"/>
      <c r="BY295" s="20"/>
      <c r="BZ295" s="20"/>
      <c r="CA295" s="20"/>
      <c r="CB295" s="20"/>
      <c r="CC295" s="20"/>
      <c r="CD295" s="22"/>
      <c r="CE295" s="22"/>
      <c r="CF295" s="22"/>
      <c r="CG295" s="22"/>
      <c r="CH295" s="22"/>
      <c r="CI295" s="22"/>
      <c r="CJ295" s="149"/>
      <c r="CK295" s="241"/>
    </row>
    <row r="296" spans="1:89" ht="15" customHeight="1" x14ac:dyDescent="0.35">
      <c r="A296" s="17"/>
      <c r="B296" s="313">
        <v>34120</v>
      </c>
      <c r="C296" s="8" t="s">
        <v>300</v>
      </c>
      <c r="D296" s="18">
        <v>3</v>
      </c>
      <c r="E296" s="131"/>
      <c r="F296" s="22"/>
      <c r="G296" s="132"/>
      <c r="H296" s="22"/>
      <c r="I296" s="22"/>
      <c r="J296" s="22"/>
      <c r="K296" s="22"/>
      <c r="L296" s="22"/>
      <c r="M296" s="133"/>
      <c r="N296" s="22"/>
      <c r="O296" s="22"/>
      <c r="P296" s="22"/>
      <c r="Q296" s="20"/>
      <c r="R296" s="20"/>
      <c r="S296" s="20"/>
      <c r="T296" s="20"/>
      <c r="U296" s="20"/>
      <c r="V296" s="20"/>
      <c r="W296" s="20"/>
      <c r="X296" s="20"/>
      <c r="Y296" s="20"/>
      <c r="Z296" s="20"/>
      <c r="AA296" s="20"/>
      <c r="AB296" s="22"/>
      <c r="AC296" s="20"/>
      <c r="AD296" s="20"/>
      <c r="AE296" s="20"/>
      <c r="AF296" s="20" t="s">
        <v>1124</v>
      </c>
      <c r="AG296" s="20" t="s">
        <v>1124</v>
      </c>
      <c r="AH296" s="20" t="s">
        <v>1124</v>
      </c>
      <c r="AI296" s="328"/>
      <c r="AJ296" s="328"/>
      <c r="AK296" s="328"/>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0"/>
      <c r="BY296" s="20"/>
      <c r="BZ296" s="20"/>
      <c r="CA296" s="20"/>
      <c r="CB296" s="20"/>
      <c r="CC296" s="20"/>
      <c r="CD296" s="22"/>
      <c r="CE296" s="22"/>
      <c r="CF296" s="22"/>
      <c r="CG296" s="22"/>
      <c r="CH296" s="22"/>
      <c r="CI296" s="22"/>
      <c r="CJ296" s="149"/>
      <c r="CK296" s="241"/>
    </row>
    <row r="297" spans="1:89" ht="15" customHeight="1" x14ac:dyDescent="0.35">
      <c r="A297" s="17"/>
      <c r="B297" s="313">
        <v>80095</v>
      </c>
      <c r="C297" s="8" t="s">
        <v>818</v>
      </c>
      <c r="D297" s="18">
        <v>7</v>
      </c>
      <c r="E297" s="131"/>
      <c r="F297" s="22"/>
      <c r="G297" s="132"/>
      <c r="H297" s="22"/>
      <c r="I297" s="22"/>
      <c r="J297" s="22"/>
      <c r="K297" s="22"/>
      <c r="L297" s="22"/>
      <c r="M297" s="133"/>
      <c r="N297" s="22"/>
      <c r="O297" s="22"/>
      <c r="P297" s="22"/>
      <c r="Q297" s="20"/>
      <c r="R297" s="20"/>
      <c r="S297" s="20"/>
      <c r="T297" s="20"/>
      <c r="U297" s="20"/>
      <c r="V297" s="20"/>
      <c r="W297" s="20"/>
      <c r="X297" s="20"/>
      <c r="Y297" s="20"/>
      <c r="Z297" s="20"/>
      <c r="AA297" s="20"/>
      <c r="AB297" s="22"/>
      <c r="AC297" s="20"/>
      <c r="AD297" s="20"/>
      <c r="AE297" s="20"/>
      <c r="AF297" s="20" t="s">
        <v>1124</v>
      </c>
      <c r="AG297" s="20" t="s">
        <v>1124</v>
      </c>
      <c r="AH297" s="20" t="s">
        <v>1124</v>
      </c>
      <c r="AI297" s="328"/>
      <c r="AJ297" s="328"/>
      <c r="AK297" s="328"/>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0"/>
      <c r="BY297" s="20"/>
      <c r="BZ297" s="20"/>
      <c r="CA297" s="20"/>
      <c r="CB297" s="20"/>
      <c r="CC297" s="20"/>
      <c r="CD297" s="22"/>
      <c r="CE297" s="22"/>
      <c r="CF297" s="22"/>
      <c r="CG297" s="22"/>
      <c r="CH297" s="22"/>
      <c r="CI297" s="22"/>
      <c r="CJ297" s="149"/>
      <c r="CK297" s="241"/>
    </row>
    <row r="298" spans="1:89" ht="15" customHeight="1" x14ac:dyDescent="0.35">
      <c r="A298" s="17"/>
      <c r="B298" s="313">
        <v>78095</v>
      </c>
      <c r="C298" s="8" t="s">
        <v>779</v>
      </c>
      <c r="D298" s="18">
        <v>15</v>
      </c>
      <c r="E298" s="131"/>
      <c r="F298" s="22"/>
      <c r="G298" s="132"/>
      <c r="H298" s="22"/>
      <c r="I298" s="22"/>
      <c r="J298" s="22"/>
      <c r="K298" s="22"/>
      <c r="L298" s="22"/>
      <c r="M298" s="133"/>
      <c r="N298" s="22"/>
      <c r="O298" s="22"/>
      <c r="P298" s="22"/>
      <c r="Q298" s="20"/>
      <c r="R298" s="20"/>
      <c r="S298" s="20"/>
      <c r="T298" s="20"/>
      <c r="U298" s="20"/>
      <c r="V298" s="20"/>
      <c r="W298" s="20"/>
      <c r="X298" s="20"/>
      <c r="Y298" s="20"/>
      <c r="Z298" s="20"/>
      <c r="AA298" s="20"/>
      <c r="AB298" s="22"/>
      <c r="AC298" s="20"/>
      <c r="AD298" s="20"/>
      <c r="AE298" s="20"/>
      <c r="AF298" s="20" t="s">
        <v>1124</v>
      </c>
      <c r="AG298" s="20" t="s">
        <v>1124</v>
      </c>
      <c r="AH298" s="20" t="s">
        <v>1124</v>
      </c>
      <c r="AI298" s="328"/>
      <c r="AJ298" s="328"/>
      <c r="AK298" s="328"/>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0"/>
      <c r="BY298" s="20"/>
      <c r="BZ298" s="20"/>
      <c r="CA298" s="20"/>
      <c r="CB298" s="20"/>
      <c r="CC298" s="20"/>
      <c r="CD298" s="22"/>
      <c r="CE298" s="22"/>
      <c r="CF298" s="22"/>
      <c r="CG298" s="22"/>
      <c r="CH298" s="22"/>
      <c r="CI298" s="22"/>
      <c r="CJ298" s="149"/>
      <c r="CK298" s="241"/>
    </row>
    <row r="299" spans="1:89" ht="15" customHeight="1" x14ac:dyDescent="0.35">
      <c r="A299" s="17"/>
      <c r="B299" s="313">
        <v>78127</v>
      </c>
      <c r="C299" s="8" t="s">
        <v>784</v>
      </c>
      <c r="D299" s="18">
        <v>15</v>
      </c>
      <c r="E299" s="131"/>
      <c r="F299" s="22"/>
      <c r="G299" s="132"/>
      <c r="H299" s="22"/>
      <c r="I299" s="22"/>
      <c r="J299" s="22"/>
      <c r="K299" s="22"/>
      <c r="L299" s="22"/>
      <c r="M299" s="133"/>
      <c r="N299" s="22"/>
      <c r="O299" s="22"/>
      <c r="P299" s="22"/>
      <c r="Q299" s="20"/>
      <c r="R299" s="20"/>
      <c r="S299" s="20"/>
      <c r="T299" s="20"/>
      <c r="U299" s="20"/>
      <c r="V299" s="20"/>
      <c r="W299" s="20"/>
      <c r="X299" s="20"/>
      <c r="Y299" s="20"/>
      <c r="Z299" s="20"/>
      <c r="AA299" s="20"/>
      <c r="AB299" s="22"/>
      <c r="AC299" s="20"/>
      <c r="AD299" s="20"/>
      <c r="AE299" s="20"/>
      <c r="AF299" s="20" t="s">
        <v>1124</v>
      </c>
      <c r="AG299" s="20" t="s">
        <v>1124</v>
      </c>
      <c r="AH299" s="20" t="s">
        <v>1124</v>
      </c>
      <c r="AI299" s="328"/>
      <c r="AJ299" s="328"/>
      <c r="AK299" s="328"/>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0"/>
      <c r="BY299" s="20"/>
      <c r="BZ299" s="20"/>
      <c r="CA299" s="20"/>
      <c r="CB299" s="20"/>
      <c r="CC299" s="20"/>
      <c r="CD299" s="22"/>
      <c r="CE299" s="22"/>
      <c r="CF299" s="22"/>
      <c r="CG299" s="22"/>
      <c r="CH299" s="22"/>
      <c r="CI299" s="22"/>
      <c r="CJ299" s="149"/>
      <c r="CK299" s="241"/>
    </row>
    <row r="300" spans="1:89" ht="15" customHeight="1" x14ac:dyDescent="0.35">
      <c r="A300" s="17"/>
      <c r="B300" s="313">
        <v>85070</v>
      </c>
      <c r="C300" s="8" t="s">
        <v>882</v>
      </c>
      <c r="D300" s="18">
        <v>8</v>
      </c>
      <c r="E300" s="131"/>
      <c r="F300" s="22"/>
      <c r="G300" s="132"/>
      <c r="H300" s="22"/>
      <c r="I300" s="22"/>
      <c r="J300" s="22"/>
      <c r="K300" s="22"/>
      <c r="L300" s="22"/>
      <c r="M300" s="133"/>
      <c r="N300" s="22"/>
      <c r="O300" s="22"/>
      <c r="P300" s="22"/>
      <c r="Q300" s="20"/>
      <c r="R300" s="20"/>
      <c r="S300" s="20"/>
      <c r="T300" s="20"/>
      <c r="U300" s="20"/>
      <c r="V300" s="20"/>
      <c r="W300" s="20"/>
      <c r="X300" s="20"/>
      <c r="Y300" s="20"/>
      <c r="Z300" s="20"/>
      <c r="AA300" s="20"/>
      <c r="AB300" s="22"/>
      <c r="AC300" s="20"/>
      <c r="AD300" s="20"/>
      <c r="AE300" s="20"/>
      <c r="AF300" s="20" t="s">
        <v>1124</v>
      </c>
      <c r="AG300" s="20" t="s">
        <v>1124</v>
      </c>
      <c r="AH300" s="20" t="s">
        <v>1124</v>
      </c>
      <c r="AI300" s="328"/>
      <c r="AJ300" s="328"/>
      <c r="AK300" s="328"/>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0"/>
      <c r="BY300" s="20"/>
      <c r="BZ300" s="20"/>
      <c r="CA300" s="20"/>
      <c r="CB300" s="20"/>
      <c r="CC300" s="20"/>
      <c r="CD300" s="22"/>
      <c r="CE300" s="22"/>
      <c r="CF300" s="22"/>
      <c r="CG300" s="22"/>
      <c r="CH300" s="22"/>
      <c r="CI300" s="22"/>
      <c r="CJ300" s="149"/>
      <c r="CK300" s="241"/>
    </row>
    <row r="301" spans="1:89" ht="15" customHeight="1" x14ac:dyDescent="0.35">
      <c r="A301" s="17"/>
      <c r="B301" s="313">
        <v>93060</v>
      </c>
      <c r="C301" s="8" t="s">
        <v>967</v>
      </c>
      <c r="D301" s="18">
        <v>2</v>
      </c>
      <c r="E301" s="131" t="s">
        <v>1319</v>
      </c>
      <c r="F301" s="22" t="s">
        <v>1490</v>
      </c>
      <c r="G301" s="132" t="s">
        <v>1309</v>
      </c>
      <c r="H301" s="22" t="s">
        <v>1311</v>
      </c>
      <c r="I301" s="22" t="s">
        <v>1312</v>
      </c>
      <c r="J301" s="22" t="s">
        <v>1342</v>
      </c>
      <c r="K301" s="22" t="s">
        <v>1309</v>
      </c>
      <c r="L301" s="22" t="s">
        <v>1309</v>
      </c>
      <c r="M301" s="133" t="s">
        <v>1311</v>
      </c>
      <c r="N301" s="22" t="s">
        <v>1311</v>
      </c>
      <c r="O301" s="22" t="s">
        <v>1315</v>
      </c>
      <c r="P301" s="22" t="s">
        <v>1315</v>
      </c>
      <c r="Q301" s="20">
        <v>0</v>
      </c>
      <c r="R301" s="20">
        <v>0</v>
      </c>
      <c r="S301" s="20">
        <v>0</v>
      </c>
      <c r="T301" s="20">
        <v>0</v>
      </c>
      <c r="U301" s="20">
        <v>0</v>
      </c>
      <c r="V301" s="20">
        <v>11.201499999999999</v>
      </c>
      <c r="W301" s="20">
        <v>0</v>
      </c>
      <c r="X301" s="20">
        <v>0</v>
      </c>
      <c r="Y301" s="20">
        <v>0</v>
      </c>
      <c r="Z301" s="20">
        <v>0</v>
      </c>
      <c r="AA301" s="20" t="s">
        <v>1317</v>
      </c>
      <c r="AB301" s="22" t="s">
        <v>1311</v>
      </c>
      <c r="AC301" s="20">
        <v>2</v>
      </c>
      <c r="AD301" s="20">
        <v>0</v>
      </c>
      <c r="AE301" s="20">
        <v>0</v>
      </c>
      <c r="AF301" s="20">
        <v>3</v>
      </c>
      <c r="AG301" s="20">
        <v>0</v>
      </c>
      <c r="AH301" s="20">
        <v>0</v>
      </c>
      <c r="AI301" s="328">
        <v>17.854751595768423</v>
      </c>
      <c r="AJ301" s="328" t="s">
        <v>1328</v>
      </c>
      <c r="AK301" s="328" t="s">
        <v>1328</v>
      </c>
      <c r="AL301" s="22" t="s">
        <v>1329</v>
      </c>
      <c r="AM301" s="22" t="s">
        <v>1330</v>
      </c>
      <c r="AN301" s="22" t="s">
        <v>1317</v>
      </c>
      <c r="AO301" s="22" t="s">
        <v>1318</v>
      </c>
      <c r="AP301" s="22" t="s">
        <v>1318</v>
      </c>
      <c r="AQ301" s="22" t="s">
        <v>1318</v>
      </c>
      <c r="AR301" s="22" t="s">
        <v>1317</v>
      </c>
      <c r="AS301" s="22" t="s">
        <v>1318</v>
      </c>
      <c r="AT301" s="22" t="s">
        <v>1317</v>
      </c>
      <c r="AU301" s="22" t="s">
        <v>1318</v>
      </c>
      <c r="AV301" s="22" t="s">
        <v>1317</v>
      </c>
      <c r="AW301" s="22" t="s">
        <v>1318</v>
      </c>
      <c r="AX301" s="22" t="s">
        <v>1317</v>
      </c>
      <c r="AY301" s="22" t="s">
        <v>1318</v>
      </c>
      <c r="AZ301" s="22" t="s">
        <v>1317</v>
      </c>
      <c r="BA301" s="22" t="s">
        <v>1318</v>
      </c>
      <c r="BB301" s="22" t="s">
        <v>1317</v>
      </c>
      <c r="BC301" s="22" t="s">
        <v>1318</v>
      </c>
      <c r="BD301" s="22" t="s">
        <v>1317</v>
      </c>
      <c r="BE301" s="22" t="s">
        <v>1318</v>
      </c>
      <c r="BF301" s="22" t="s">
        <v>1317</v>
      </c>
      <c r="BG301" s="22" t="s">
        <v>1318</v>
      </c>
      <c r="BH301" s="22" t="s">
        <v>1317</v>
      </c>
      <c r="BI301" s="22" t="s">
        <v>1318</v>
      </c>
      <c r="BJ301" s="22" t="s">
        <v>1317</v>
      </c>
      <c r="BK301" s="22" t="s">
        <v>1318</v>
      </c>
      <c r="BL301" s="22" t="s">
        <v>1317</v>
      </c>
      <c r="BM301" s="22" t="s">
        <v>1318</v>
      </c>
      <c r="BN301" s="22" t="s">
        <v>1309</v>
      </c>
      <c r="BO301" s="22" t="s">
        <v>1309</v>
      </c>
      <c r="BP301" s="22" t="s">
        <v>1317</v>
      </c>
      <c r="BQ301" s="22" t="s">
        <v>1318</v>
      </c>
      <c r="BR301" s="22" t="s">
        <v>1309</v>
      </c>
      <c r="BS301" s="22" t="s">
        <v>1311</v>
      </c>
      <c r="BT301" s="22" t="s">
        <v>1317</v>
      </c>
      <c r="BU301" s="22" t="s">
        <v>1318</v>
      </c>
      <c r="BV301" s="22" t="s">
        <v>1317</v>
      </c>
      <c r="BW301" s="22" t="s">
        <v>1318</v>
      </c>
      <c r="BX301" s="20">
        <v>0</v>
      </c>
      <c r="BY301" s="20">
        <v>0</v>
      </c>
      <c r="BZ301" s="20">
        <v>9</v>
      </c>
      <c r="CA301" s="20">
        <v>0</v>
      </c>
      <c r="CB301" s="20">
        <v>0</v>
      </c>
      <c r="CC301" s="20">
        <v>187</v>
      </c>
      <c r="CD301" s="22" t="s">
        <v>1317</v>
      </c>
      <c r="CE301" s="22" t="s">
        <v>1318</v>
      </c>
      <c r="CF301" s="22" t="s">
        <v>1317</v>
      </c>
      <c r="CG301" s="22" t="s">
        <v>1318</v>
      </c>
      <c r="CH301" s="22" t="s">
        <v>1317</v>
      </c>
      <c r="CI301" s="22" t="s">
        <v>1318</v>
      </c>
      <c r="CJ301" s="149" t="s">
        <v>2007</v>
      </c>
      <c r="CK301" s="241" t="s">
        <v>2008</v>
      </c>
    </row>
    <row r="302" spans="1:89" ht="15" customHeight="1" x14ac:dyDescent="0.35">
      <c r="A302" s="17"/>
      <c r="B302" s="313">
        <v>30095</v>
      </c>
      <c r="C302" s="8" t="s">
        <v>233</v>
      </c>
      <c r="D302" s="18">
        <v>5</v>
      </c>
      <c r="E302" s="131" t="s">
        <v>1309</v>
      </c>
      <c r="F302" s="22" t="s">
        <v>1309</v>
      </c>
      <c r="G302" s="132" t="s">
        <v>1309</v>
      </c>
      <c r="H302" s="22" t="s">
        <v>1311</v>
      </c>
      <c r="I302" s="22" t="s">
        <v>1312</v>
      </c>
      <c r="J302" s="22" t="s">
        <v>1327</v>
      </c>
      <c r="K302" s="22" t="s">
        <v>1319</v>
      </c>
      <c r="L302" s="22" t="s">
        <v>1311</v>
      </c>
      <c r="M302" s="133" t="s">
        <v>1311</v>
      </c>
      <c r="N302" s="22" t="s">
        <v>1311</v>
      </c>
      <c r="O302" s="22" t="s">
        <v>1309</v>
      </c>
      <c r="P302" s="22" t="s">
        <v>1309</v>
      </c>
      <c r="Q302" s="20">
        <v>16.972999999999999</v>
      </c>
      <c r="R302" s="20">
        <v>16.972999999999999</v>
      </c>
      <c r="S302" s="20">
        <v>0</v>
      </c>
      <c r="T302" s="20">
        <v>0</v>
      </c>
      <c r="U302" s="20">
        <v>8.4864999999999995</v>
      </c>
      <c r="V302" s="20">
        <v>16.972999999999999</v>
      </c>
      <c r="W302" s="20">
        <v>0</v>
      </c>
      <c r="X302" s="20">
        <v>0</v>
      </c>
      <c r="Y302" s="20">
        <v>0</v>
      </c>
      <c r="Z302" s="20">
        <v>0</v>
      </c>
      <c r="AA302" s="20" t="s">
        <v>1317</v>
      </c>
      <c r="AB302" s="22" t="s">
        <v>1309</v>
      </c>
      <c r="AC302" s="20">
        <v>3</v>
      </c>
      <c r="AD302" s="20">
        <v>0</v>
      </c>
      <c r="AE302" s="20">
        <v>0</v>
      </c>
      <c r="AF302" s="20">
        <v>7</v>
      </c>
      <c r="AG302" s="20">
        <v>0</v>
      </c>
      <c r="AH302" s="20">
        <v>0</v>
      </c>
      <c r="AI302" s="328">
        <v>17.675131090555588</v>
      </c>
      <c r="AJ302" s="328" t="s">
        <v>1328</v>
      </c>
      <c r="AK302" s="328" t="s">
        <v>1328</v>
      </c>
      <c r="AL302" s="22" t="s">
        <v>1316</v>
      </c>
      <c r="AM302" s="22" t="s">
        <v>1343</v>
      </c>
      <c r="AN302" s="22" t="s">
        <v>1317</v>
      </c>
      <c r="AO302" s="22" t="s">
        <v>1318</v>
      </c>
      <c r="AP302" s="22" t="s">
        <v>1318</v>
      </c>
      <c r="AQ302" s="22" t="s">
        <v>1318</v>
      </c>
      <c r="AR302" s="22" t="s">
        <v>1317</v>
      </c>
      <c r="AS302" s="22" t="s">
        <v>1318</v>
      </c>
      <c r="AT302" s="22" t="s">
        <v>1317</v>
      </c>
      <c r="AU302" s="22" t="s">
        <v>1311</v>
      </c>
      <c r="AV302" s="22" t="s">
        <v>1317</v>
      </c>
      <c r="AW302" s="22" t="s">
        <v>1311</v>
      </c>
      <c r="AX302" s="22" t="s">
        <v>1317</v>
      </c>
      <c r="AY302" s="22" t="s">
        <v>1318</v>
      </c>
      <c r="AZ302" s="22" t="s">
        <v>1317</v>
      </c>
      <c r="BA302" s="22" t="s">
        <v>1318</v>
      </c>
      <c r="BB302" s="22" t="s">
        <v>1309</v>
      </c>
      <c r="BC302" s="22" t="s">
        <v>1309</v>
      </c>
      <c r="BD302" s="22" t="s">
        <v>1309</v>
      </c>
      <c r="BE302" s="22" t="s">
        <v>1309</v>
      </c>
      <c r="BF302" s="22" t="s">
        <v>1309</v>
      </c>
      <c r="BG302" s="22" t="s">
        <v>1309</v>
      </c>
      <c r="BH302" s="22" t="s">
        <v>1309</v>
      </c>
      <c r="BI302" s="22" t="s">
        <v>1309</v>
      </c>
      <c r="BJ302" s="22" t="s">
        <v>1317</v>
      </c>
      <c r="BK302" s="22" t="s">
        <v>1318</v>
      </c>
      <c r="BL302" s="22" t="s">
        <v>1317</v>
      </c>
      <c r="BM302" s="22" t="s">
        <v>1311</v>
      </c>
      <c r="BN302" s="22" t="s">
        <v>1309</v>
      </c>
      <c r="BO302" s="22" t="s">
        <v>1309</v>
      </c>
      <c r="BP302" s="22" t="s">
        <v>1317</v>
      </c>
      <c r="BQ302" s="22" t="s">
        <v>1318</v>
      </c>
      <c r="BR302" s="22" t="s">
        <v>1309</v>
      </c>
      <c r="BS302" s="22" t="s">
        <v>1309</v>
      </c>
      <c r="BT302" s="22" t="s">
        <v>1315</v>
      </c>
      <c r="BU302" s="22" t="s">
        <v>1315</v>
      </c>
      <c r="BV302" s="22" t="s">
        <v>1317</v>
      </c>
      <c r="BW302" s="22" t="s">
        <v>1318</v>
      </c>
      <c r="BX302" s="20">
        <v>52</v>
      </c>
      <c r="BY302" s="20">
        <v>0</v>
      </c>
      <c r="BZ302" s="20">
        <v>0</v>
      </c>
      <c r="CA302" s="20">
        <v>306</v>
      </c>
      <c r="CB302" s="20">
        <v>0</v>
      </c>
      <c r="CC302" s="20">
        <v>100</v>
      </c>
      <c r="CD302" s="22" t="s">
        <v>1331</v>
      </c>
      <c r="CE302" s="22" t="s">
        <v>1331</v>
      </c>
      <c r="CF302" s="22" t="s">
        <v>1315</v>
      </c>
      <c r="CG302" s="22" t="s">
        <v>1315</v>
      </c>
      <c r="CH302" s="22" t="s">
        <v>1315</v>
      </c>
      <c r="CI302" s="22" t="s">
        <v>1315</v>
      </c>
      <c r="CJ302" s="149" t="s">
        <v>2012</v>
      </c>
      <c r="CK302" s="241" t="s">
        <v>1124</v>
      </c>
    </row>
    <row r="303" spans="1:89" ht="15" customHeight="1" x14ac:dyDescent="0.35">
      <c r="A303" s="17"/>
      <c r="B303" s="313">
        <v>23057</v>
      </c>
      <c r="C303" s="8" t="s">
        <v>164</v>
      </c>
      <c r="D303" s="18">
        <v>3</v>
      </c>
      <c r="E303" s="131"/>
      <c r="F303" s="22"/>
      <c r="G303" s="132"/>
      <c r="H303" s="22"/>
      <c r="I303" s="22"/>
      <c r="J303" s="22"/>
      <c r="K303" s="22"/>
      <c r="L303" s="22"/>
      <c r="M303" s="133"/>
      <c r="N303" s="22"/>
      <c r="O303" s="22"/>
      <c r="P303" s="22"/>
      <c r="Q303" s="20"/>
      <c r="R303" s="20"/>
      <c r="S303" s="20"/>
      <c r="T303" s="20"/>
      <c r="U303" s="20"/>
      <c r="V303" s="20"/>
      <c r="W303" s="20"/>
      <c r="X303" s="20"/>
      <c r="Y303" s="20"/>
      <c r="Z303" s="20"/>
      <c r="AA303" s="20"/>
      <c r="AB303" s="22"/>
      <c r="AC303" s="20"/>
      <c r="AD303" s="20"/>
      <c r="AE303" s="20"/>
      <c r="AF303" s="20" t="s">
        <v>1124</v>
      </c>
      <c r="AG303" s="20" t="s">
        <v>1124</v>
      </c>
      <c r="AH303" s="20" t="s">
        <v>1124</v>
      </c>
      <c r="AI303" s="328"/>
      <c r="AJ303" s="328"/>
      <c r="AK303" s="328"/>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0"/>
      <c r="BY303" s="20"/>
      <c r="BZ303" s="20"/>
      <c r="CA303" s="20"/>
      <c r="CB303" s="20"/>
      <c r="CC303" s="20"/>
      <c r="CD303" s="22"/>
      <c r="CE303" s="22"/>
      <c r="CF303" s="22"/>
      <c r="CG303" s="22"/>
      <c r="CH303" s="22"/>
      <c r="CI303" s="22"/>
      <c r="CJ303" s="149"/>
      <c r="CK303" s="241"/>
    </row>
    <row r="304" spans="1:89" ht="15" customHeight="1" x14ac:dyDescent="0.35">
      <c r="A304" s="17"/>
      <c r="B304" s="313">
        <v>88035</v>
      </c>
      <c r="C304" s="8" t="s">
        <v>916</v>
      </c>
      <c r="D304" s="18">
        <v>8</v>
      </c>
      <c r="E304" s="131" t="s">
        <v>1309</v>
      </c>
      <c r="F304" s="22" t="s">
        <v>1309</v>
      </c>
      <c r="G304" s="132" t="s">
        <v>1309</v>
      </c>
      <c r="H304" s="22" t="s">
        <v>1311</v>
      </c>
      <c r="I304" s="22" t="s">
        <v>1327</v>
      </c>
      <c r="J304" s="22" t="s">
        <v>1327</v>
      </c>
      <c r="K304" s="22" t="s">
        <v>1319</v>
      </c>
      <c r="L304" s="22" t="s">
        <v>1311</v>
      </c>
      <c r="M304" s="133" t="s">
        <v>1311</v>
      </c>
      <c r="N304" s="22" t="s">
        <v>1311</v>
      </c>
      <c r="O304" s="22" t="s">
        <v>1309</v>
      </c>
      <c r="P304" s="22" t="s">
        <v>1309</v>
      </c>
      <c r="Q304" s="20">
        <v>7.343</v>
      </c>
      <c r="R304" s="20">
        <v>7.343</v>
      </c>
      <c r="S304" s="20">
        <v>0</v>
      </c>
      <c r="T304" s="20">
        <v>0</v>
      </c>
      <c r="U304" s="20">
        <v>7.343</v>
      </c>
      <c r="V304" s="20">
        <v>0</v>
      </c>
      <c r="W304" s="20">
        <v>0</v>
      </c>
      <c r="X304" s="20">
        <v>0</v>
      </c>
      <c r="Y304" s="20">
        <v>0</v>
      </c>
      <c r="Z304" s="20">
        <v>0</v>
      </c>
      <c r="AA304" s="20" t="s">
        <v>1317</v>
      </c>
      <c r="AB304" s="22" t="s">
        <v>1311</v>
      </c>
      <c r="AC304" s="20">
        <v>0</v>
      </c>
      <c r="AD304" s="20">
        <v>0</v>
      </c>
      <c r="AE304" s="20">
        <v>0</v>
      </c>
      <c r="AF304" s="20">
        <v>0</v>
      </c>
      <c r="AG304" s="20">
        <v>0</v>
      </c>
      <c r="AH304" s="20">
        <v>0</v>
      </c>
      <c r="AI304" s="328" t="s">
        <v>1328</v>
      </c>
      <c r="AJ304" s="328" t="s">
        <v>1328</v>
      </c>
      <c r="AK304" s="328" t="s">
        <v>1328</v>
      </c>
      <c r="AL304" s="22" t="s">
        <v>1329</v>
      </c>
      <c r="AM304" s="22" t="s">
        <v>1330</v>
      </c>
      <c r="AN304" s="22" t="s">
        <v>1315</v>
      </c>
      <c r="AO304" s="22" t="s">
        <v>1315</v>
      </c>
      <c r="AP304" s="22" t="s">
        <v>1315</v>
      </c>
      <c r="AQ304" s="22" t="s">
        <v>1315</v>
      </c>
      <c r="AR304" s="22" t="s">
        <v>1317</v>
      </c>
      <c r="AS304" s="22" t="s">
        <v>1311</v>
      </c>
      <c r="AT304" s="22" t="s">
        <v>1317</v>
      </c>
      <c r="AU304" s="22" t="s">
        <v>1318</v>
      </c>
      <c r="AV304" s="22" t="s">
        <v>1317</v>
      </c>
      <c r="AW304" s="22" t="s">
        <v>1318</v>
      </c>
      <c r="AX304" s="22" t="s">
        <v>1317</v>
      </c>
      <c r="AY304" s="22" t="s">
        <v>1318</v>
      </c>
      <c r="AZ304" s="22" t="s">
        <v>1317</v>
      </c>
      <c r="BA304" s="22" t="s">
        <v>1311</v>
      </c>
      <c r="BB304" s="22" t="s">
        <v>1309</v>
      </c>
      <c r="BC304" s="22" t="s">
        <v>1309</v>
      </c>
      <c r="BD304" s="22" t="s">
        <v>1309</v>
      </c>
      <c r="BE304" s="22" t="s">
        <v>1309</v>
      </c>
      <c r="BF304" s="22" t="s">
        <v>1309</v>
      </c>
      <c r="BG304" s="22" t="s">
        <v>1309</v>
      </c>
      <c r="BH304" s="22" t="s">
        <v>1317</v>
      </c>
      <c r="BI304" s="22" t="s">
        <v>1311</v>
      </c>
      <c r="BJ304" s="22" t="s">
        <v>1317</v>
      </c>
      <c r="BK304" s="22" t="s">
        <v>1318</v>
      </c>
      <c r="BL304" s="22" t="s">
        <v>1317</v>
      </c>
      <c r="BM304" s="22" t="s">
        <v>1311</v>
      </c>
      <c r="BN304" s="22" t="s">
        <v>1317</v>
      </c>
      <c r="BO304" s="22" t="s">
        <v>1311</v>
      </c>
      <c r="BP304" s="22" t="s">
        <v>1315</v>
      </c>
      <c r="BQ304" s="22" t="s">
        <v>1315</v>
      </c>
      <c r="BR304" s="22" t="s">
        <v>1309</v>
      </c>
      <c r="BS304" s="22" t="s">
        <v>1309</v>
      </c>
      <c r="BT304" s="22" t="s">
        <v>1309</v>
      </c>
      <c r="BU304" s="22" t="s">
        <v>1309</v>
      </c>
      <c r="BV304" s="22" t="s">
        <v>1317</v>
      </c>
      <c r="BW304" s="22" t="s">
        <v>1318</v>
      </c>
      <c r="BX304" s="20">
        <v>14</v>
      </c>
      <c r="BY304" s="20">
        <v>0</v>
      </c>
      <c r="BZ304" s="20">
        <v>3</v>
      </c>
      <c r="CA304" s="20">
        <v>239</v>
      </c>
      <c r="CB304" s="20">
        <v>0</v>
      </c>
      <c r="CC304" s="20">
        <v>0</v>
      </c>
      <c r="CD304" s="22" t="s">
        <v>1331</v>
      </c>
      <c r="CE304" s="22" t="s">
        <v>1331</v>
      </c>
      <c r="CF304" s="22" t="s">
        <v>1315</v>
      </c>
      <c r="CG304" s="22" t="s">
        <v>1315</v>
      </c>
      <c r="CH304" s="22" t="s">
        <v>1317</v>
      </c>
      <c r="CI304" s="22" t="s">
        <v>1318</v>
      </c>
      <c r="CJ304" s="149" t="s">
        <v>1124</v>
      </c>
      <c r="CK304" s="241" t="s">
        <v>1386</v>
      </c>
    </row>
    <row r="305" spans="1:89" ht="15" customHeight="1" x14ac:dyDescent="0.35">
      <c r="A305" s="17"/>
      <c r="B305" s="313">
        <v>21040</v>
      </c>
      <c r="C305" s="8" t="s">
        <v>151</v>
      </c>
      <c r="D305" s="18">
        <v>3</v>
      </c>
      <c r="E305" s="131" t="s">
        <v>1319</v>
      </c>
      <c r="F305" s="22" t="s">
        <v>1490</v>
      </c>
      <c r="G305" s="132" t="s">
        <v>1309</v>
      </c>
      <c r="H305" s="22" t="s">
        <v>1311</v>
      </c>
      <c r="I305" s="22" t="s">
        <v>1327</v>
      </c>
      <c r="J305" s="22" t="s">
        <v>1327</v>
      </c>
      <c r="K305" s="22" t="s">
        <v>1314</v>
      </c>
      <c r="L305" s="22" t="s">
        <v>1311</v>
      </c>
      <c r="M305" s="133" t="s">
        <v>1311</v>
      </c>
      <c r="N305" s="22" t="s">
        <v>1311</v>
      </c>
      <c r="O305" s="22" t="s">
        <v>1314</v>
      </c>
      <c r="P305" s="22" t="s">
        <v>1318</v>
      </c>
      <c r="Q305" s="20">
        <v>0</v>
      </c>
      <c r="R305" s="20">
        <v>0</v>
      </c>
      <c r="S305" s="20">
        <v>23.677</v>
      </c>
      <c r="T305" s="20">
        <v>23.677</v>
      </c>
      <c r="U305" s="20">
        <v>0</v>
      </c>
      <c r="V305" s="20">
        <v>0</v>
      </c>
      <c r="W305" s="20">
        <v>0</v>
      </c>
      <c r="X305" s="20">
        <v>0</v>
      </c>
      <c r="Y305" s="20">
        <v>0</v>
      </c>
      <c r="Z305" s="20">
        <v>0</v>
      </c>
      <c r="AA305" s="20" t="s">
        <v>1317</v>
      </c>
      <c r="AB305" s="22" t="s">
        <v>1318</v>
      </c>
      <c r="AC305" s="20">
        <v>1</v>
      </c>
      <c r="AD305" s="20">
        <v>1</v>
      </c>
      <c r="AE305" s="20">
        <v>2</v>
      </c>
      <c r="AF305" s="20">
        <v>1</v>
      </c>
      <c r="AG305" s="20">
        <v>1</v>
      </c>
      <c r="AH305" s="20">
        <v>1</v>
      </c>
      <c r="AI305" s="328">
        <v>4.2235080457828262</v>
      </c>
      <c r="AJ305" s="328">
        <v>0.85763293310463118</v>
      </c>
      <c r="AK305" s="328">
        <v>1.7152658662092624</v>
      </c>
      <c r="AL305" s="22" t="s">
        <v>1329</v>
      </c>
      <c r="AM305" s="22" t="s">
        <v>1330</v>
      </c>
      <c r="AN305" s="22" t="s">
        <v>1317</v>
      </c>
      <c r="AO305" s="22" t="s">
        <v>1318</v>
      </c>
      <c r="AP305" s="22" t="s">
        <v>1318</v>
      </c>
      <c r="AQ305" s="22" t="s">
        <v>1318</v>
      </c>
      <c r="AR305" s="22" t="s">
        <v>1309</v>
      </c>
      <c r="AS305" s="22" t="s">
        <v>1309</v>
      </c>
      <c r="AT305" s="22" t="s">
        <v>1309</v>
      </c>
      <c r="AU305" s="22" t="s">
        <v>1309</v>
      </c>
      <c r="AV305" s="22" t="s">
        <v>1317</v>
      </c>
      <c r="AW305" s="22" t="s">
        <v>1318</v>
      </c>
      <c r="AX305" s="22" t="s">
        <v>1317</v>
      </c>
      <c r="AY305" s="22" t="s">
        <v>1318</v>
      </c>
      <c r="AZ305" s="22" t="s">
        <v>1309</v>
      </c>
      <c r="BA305" s="22" t="s">
        <v>1309</v>
      </c>
      <c r="BB305" s="22" t="s">
        <v>1309</v>
      </c>
      <c r="BC305" s="22" t="s">
        <v>1309</v>
      </c>
      <c r="BD305" s="22" t="s">
        <v>1317</v>
      </c>
      <c r="BE305" s="22" t="s">
        <v>1318</v>
      </c>
      <c r="BF305" s="22" t="s">
        <v>1317</v>
      </c>
      <c r="BG305" s="22" t="s">
        <v>1318</v>
      </c>
      <c r="BH305" s="22" t="s">
        <v>1309</v>
      </c>
      <c r="BI305" s="22" t="s">
        <v>1309</v>
      </c>
      <c r="BJ305" s="22" t="s">
        <v>1309</v>
      </c>
      <c r="BK305" s="22" t="s">
        <v>1309</v>
      </c>
      <c r="BL305" s="22" t="s">
        <v>1317</v>
      </c>
      <c r="BM305" s="22" t="s">
        <v>1318</v>
      </c>
      <c r="BN305" s="22" t="s">
        <v>1309</v>
      </c>
      <c r="BO305" s="22" t="s">
        <v>1309</v>
      </c>
      <c r="BP305" s="22" t="s">
        <v>1317</v>
      </c>
      <c r="BQ305" s="22" t="s">
        <v>1318</v>
      </c>
      <c r="BR305" s="22" t="s">
        <v>1309</v>
      </c>
      <c r="BS305" s="22" t="s">
        <v>1309</v>
      </c>
      <c r="BT305" s="22" t="s">
        <v>1309</v>
      </c>
      <c r="BU305" s="22" t="s">
        <v>1318</v>
      </c>
      <c r="BV305" s="22" t="s">
        <v>1317</v>
      </c>
      <c r="BW305" s="22" t="s">
        <v>1318</v>
      </c>
      <c r="BX305" s="20">
        <v>0</v>
      </c>
      <c r="BY305" s="20">
        <v>39</v>
      </c>
      <c r="BZ305" s="20">
        <v>9</v>
      </c>
      <c r="CA305" s="20">
        <v>0</v>
      </c>
      <c r="CB305" s="20">
        <v>0</v>
      </c>
      <c r="CC305" s="20">
        <v>1160</v>
      </c>
      <c r="CD305" s="22" t="s">
        <v>1317</v>
      </c>
      <c r="CE305" s="22" t="s">
        <v>1318</v>
      </c>
      <c r="CF305" s="22" t="s">
        <v>1317</v>
      </c>
      <c r="CG305" s="22" t="s">
        <v>1318</v>
      </c>
      <c r="CH305" s="22" t="s">
        <v>1317</v>
      </c>
      <c r="CI305" s="22" t="s">
        <v>1318</v>
      </c>
      <c r="CJ305" s="149" t="s">
        <v>1124</v>
      </c>
      <c r="CK305" s="241" t="s">
        <v>1357</v>
      </c>
    </row>
    <row r="306" spans="1:89" ht="15" customHeight="1" x14ac:dyDescent="0.35">
      <c r="A306" s="17"/>
      <c r="B306" s="313">
        <v>82005</v>
      </c>
      <c r="C306" s="8" t="s">
        <v>828</v>
      </c>
      <c r="D306" s="18">
        <v>7</v>
      </c>
      <c r="E306" s="131"/>
      <c r="F306" s="22"/>
      <c r="G306" s="132"/>
      <c r="H306" s="22"/>
      <c r="I306" s="22"/>
      <c r="J306" s="22"/>
      <c r="K306" s="22"/>
      <c r="L306" s="22"/>
      <c r="M306" s="133"/>
      <c r="N306" s="22"/>
      <c r="O306" s="22"/>
      <c r="P306" s="22"/>
      <c r="Q306" s="20"/>
      <c r="R306" s="20"/>
      <c r="S306" s="20"/>
      <c r="T306" s="20"/>
      <c r="U306" s="20"/>
      <c r="V306" s="20"/>
      <c r="W306" s="20"/>
      <c r="X306" s="20"/>
      <c r="Y306" s="20"/>
      <c r="Z306" s="20"/>
      <c r="AA306" s="20"/>
      <c r="AB306" s="22"/>
      <c r="AC306" s="20"/>
      <c r="AD306" s="20"/>
      <c r="AE306" s="20"/>
      <c r="AF306" s="20" t="s">
        <v>1124</v>
      </c>
      <c r="AG306" s="20" t="s">
        <v>1124</v>
      </c>
      <c r="AH306" s="20" t="s">
        <v>1124</v>
      </c>
      <c r="AI306" s="328"/>
      <c r="AJ306" s="328"/>
      <c r="AK306" s="328"/>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0"/>
      <c r="BY306" s="20"/>
      <c r="BZ306" s="20"/>
      <c r="CA306" s="20"/>
      <c r="CB306" s="20"/>
      <c r="CC306" s="20"/>
      <c r="CD306" s="22"/>
      <c r="CE306" s="22"/>
      <c r="CF306" s="22"/>
      <c r="CG306" s="22"/>
      <c r="CH306" s="22"/>
      <c r="CI306" s="22"/>
      <c r="CJ306" s="149"/>
      <c r="CK306" s="241"/>
    </row>
    <row r="307" spans="1:89" ht="15" customHeight="1" x14ac:dyDescent="0.35">
      <c r="A307" s="17"/>
      <c r="B307" s="313">
        <v>52017</v>
      </c>
      <c r="C307" s="8" t="s">
        <v>516</v>
      </c>
      <c r="D307" s="18">
        <v>14</v>
      </c>
      <c r="E307" s="131" t="s">
        <v>1309</v>
      </c>
      <c r="F307" s="22" t="s">
        <v>1309</v>
      </c>
      <c r="G307" s="132" t="s">
        <v>1309</v>
      </c>
      <c r="H307" s="22" t="s">
        <v>1311</v>
      </c>
      <c r="I307" s="22" t="s">
        <v>1327</v>
      </c>
      <c r="J307" s="22" t="s">
        <v>1327</v>
      </c>
      <c r="K307" s="22" t="s">
        <v>1309</v>
      </c>
      <c r="L307" s="22" t="s">
        <v>1309</v>
      </c>
      <c r="M307" s="133" t="s">
        <v>1311</v>
      </c>
      <c r="N307" s="22" t="s">
        <v>1311</v>
      </c>
      <c r="O307" s="22" t="s">
        <v>1309</v>
      </c>
      <c r="P307" s="22" t="s">
        <v>1309</v>
      </c>
      <c r="Q307" s="20">
        <v>0</v>
      </c>
      <c r="R307" s="20">
        <v>0</v>
      </c>
      <c r="S307" s="20">
        <v>26.824999999999999</v>
      </c>
      <c r="T307" s="20">
        <v>26.824999999999999</v>
      </c>
      <c r="U307" s="20">
        <v>6.7069999999999999</v>
      </c>
      <c r="V307" s="20">
        <v>14.9</v>
      </c>
      <c r="W307" s="20">
        <v>0</v>
      </c>
      <c r="X307" s="20">
        <v>0</v>
      </c>
      <c r="Y307" s="20">
        <v>0</v>
      </c>
      <c r="Z307" s="20">
        <v>0</v>
      </c>
      <c r="AA307" s="20" t="s">
        <v>1319</v>
      </c>
      <c r="AB307" s="22" t="s">
        <v>1311</v>
      </c>
      <c r="AC307" s="20">
        <v>0</v>
      </c>
      <c r="AD307" s="20">
        <v>0</v>
      </c>
      <c r="AE307" s="20">
        <v>1</v>
      </c>
      <c r="AF307" s="20">
        <v>0</v>
      </c>
      <c r="AG307" s="20">
        <v>0</v>
      </c>
      <c r="AH307" s="20">
        <v>1</v>
      </c>
      <c r="AI307" s="328" t="s">
        <v>1328</v>
      </c>
      <c r="AJ307" s="328" t="s">
        <v>1328</v>
      </c>
      <c r="AK307" s="328">
        <v>0.68870523415977958</v>
      </c>
      <c r="AL307" s="22" t="s">
        <v>1329</v>
      </c>
      <c r="AM307" s="22" t="s">
        <v>1330</v>
      </c>
      <c r="AN307" s="22" t="s">
        <v>1317</v>
      </c>
      <c r="AO307" s="22" t="s">
        <v>1318</v>
      </c>
      <c r="AP307" s="22" t="s">
        <v>1318</v>
      </c>
      <c r="AQ307" s="22" t="s">
        <v>1318</v>
      </c>
      <c r="AR307" s="22" t="s">
        <v>1317</v>
      </c>
      <c r="AS307" s="22" t="s">
        <v>1318</v>
      </c>
      <c r="AT307" s="22" t="s">
        <v>1317</v>
      </c>
      <c r="AU307" s="22" t="s">
        <v>1318</v>
      </c>
      <c r="AV307" s="22" t="s">
        <v>1317</v>
      </c>
      <c r="AW307" s="22" t="s">
        <v>1318</v>
      </c>
      <c r="AX307" s="22" t="s">
        <v>1317</v>
      </c>
      <c r="AY307" s="22" t="s">
        <v>1318</v>
      </c>
      <c r="AZ307" s="22" t="s">
        <v>1309</v>
      </c>
      <c r="BA307" s="22" t="s">
        <v>1309</v>
      </c>
      <c r="BB307" s="22" t="s">
        <v>1309</v>
      </c>
      <c r="BC307" s="22" t="s">
        <v>1309</v>
      </c>
      <c r="BD307" s="22" t="s">
        <v>1309</v>
      </c>
      <c r="BE307" s="22" t="s">
        <v>1309</v>
      </c>
      <c r="BF307" s="22" t="s">
        <v>1309</v>
      </c>
      <c r="BG307" s="22" t="s">
        <v>1309</v>
      </c>
      <c r="BH307" s="22" t="s">
        <v>1317</v>
      </c>
      <c r="BI307" s="22" t="s">
        <v>1318</v>
      </c>
      <c r="BJ307" s="22" t="s">
        <v>1317</v>
      </c>
      <c r="BK307" s="22" t="s">
        <v>1318</v>
      </c>
      <c r="BL307" s="22" t="s">
        <v>1317</v>
      </c>
      <c r="BM307" s="22" t="s">
        <v>1318</v>
      </c>
      <c r="BN307" s="22" t="s">
        <v>1309</v>
      </c>
      <c r="BO307" s="22" t="s">
        <v>1309</v>
      </c>
      <c r="BP307" s="22" t="s">
        <v>1309</v>
      </c>
      <c r="BQ307" s="22" t="s">
        <v>1309</v>
      </c>
      <c r="BR307" s="22" t="s">
        <v>1309</v>
      </c>
      <c r="BS307" s="22" t="s">
        <v>1309</v>
      </c>
      <c r="BT307" s="22" t="s">
        <v>1317</v>
      </c>
      <c r="BU307" s="22" t="s">
        <v>1318</v>
      </c>
      <c r="BV307" s="22" t="s">
        <v>1317</v>
      </c>
      <c r="BW307" s="22" t="s">
        <v>1318</v>
      </c>
      <c r="BX307" s="20">
        <v>51</v>
      </c>
      <c r="BY307" s="20">
        <v>0</v>
      </c>
      <c r="BZ307" s="20">
        <v>7</v>
      </c>
      <c r="CA307" s="20">
        <v>1394</v>
      </c>
      <c r="CB307" s="20">
        <v>0</v>
      </c>
      <c r="CC307" s="20">
        <v>0</v>
      </c>
      <c r="CD307" s="22" t="s">
        <v>1345</v>
      </c>
      <c r="CE307" s="22" t="s">
        <v>1318</v>
      </c>
      <c r="CF307" s="22" t="s">
        <v>1331</v>
      </c>
      <c r="CG307" s="22" t="s">
        <v>1331</v>
      </c>
      <c r="CH307" s="22" t="s">
        <v>1315</v>
      </c>
      <c r="CI307" s="22" t="s">
        <v>1315</v>
      </c>
      <c r="CJ307" s="149" t="s">
        <v>2022</v>
      </c>
      <c r="CK307" s="241" t="s">
        <v>2023</v>
      </c>
    </row>
    <row r="308" spans="1:89" ht="15" customHeight="1" x14ac:dyDescent="0.35">
      <c r="A308" s="17"/>
      <c r="B308" s="313">
        <v>94210</v>
      </c>
      <c r="C308" s="8" t="s">
        <v>974</v>
      </c>
      <c r="D308" s="18">
        <v>2</v>
      </c>
      <c r="E308" s="131"/>
      <c r="F308" s="22"/>
      <c r="G308" s="132"/>
      <c r="H308" s="22"/>
      <c r="I308" s="22"/>
      <c r="J308" s="22"/>
      <c r="K308" s="22"/>
      <c r="L308" s="22"/>
      <c r="M308" s="133"/>
      <c r="N308" s="22"/>
      <c r="O308" s="22"/>
      <c r="P308" s="22"/>
      <c r="Q308" s="20"/>
      <c r="R308" s="20"/>
      <c r="S308" s="20"/>
      <c r="T308" s="20"/>
      <c r="U308" s="20"/>
      <c r="V308" s="20"/>
      <c r="W308" s="20"/>
      <c r="X308" s="20"/>
      <c r="Y308" s="20"/>
      <c r="Z308" s="20"/>
      <c r="AA308" s="20"/>
      <c r="AB308" s="22"/>
      <c r="AC308" s="20"/>
      <c r="AD308" s="20"/>
      <c r="AE308" s="20"/>
      <c r="AF308" s="20" t="s">
        <v>1124</v>
      </c>
      <c r="AG308" s="20" t="s">
        <v>1124</v>
      </c>
      <c r="AH308" s="20" t="s">
        <v>1124</v>
      </c>
      <c r="AI308" s="328"/>
      <c r="AJ308" s="328"/>
      <c r="AK308" s="328"/>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0"/>
      <c r="BY308" s="20"/>
      <c r="BZ308" s="20"/>
      <c r="CA308" s="20"/>
      <c r="CB308" s="20"/>
      <c r="CC308" s="20"/>
      <c r="CD308" s="22"/>
      <c r="CE308" s="22"/>
      <c r="CF308" s="22"/>
      <c r="CG308" s="22"/>
      <c r="CH308" s="22"/>
      <c r="CI308" s="22"/>
      <c r="CJ308" s="149"/>
      <c r="CK308" s="241"/>
    </row>
    <row r="309" spans="1:89" ht="15" customHeight="1" x14ac:dyDescent="0.35">
      <c r="A309" s="17"/>
      <c r="B309" s="313">
        <v>78015</v>
      </c>
      <c r="C309" s="8" t="s">
        <v>768</v>
      </c>
      <c r="D309" s="18">
        <v>15</v>
      </c>
      <c r="E309" s="131"/>
      <c r="F309" s="22"/>
      <c r="G309" s="132"/>
      <c r="H309" s="22"/>
      <c r="I309" s="22"/>
      <c r="J309" s="22"/>
      <c r="K309" s="22"/>
      <c r="L309" s="22"/>
      <c r="M309" s="133"/>
      <c r="N309" s="22"/>
      <c r="O309" s="22"/>
      <c r="P309" s="22"/>
      <c r="Q309" s="20"/>
      <c r="R309" s="20"/>
      <c r="S309" s="20"/>
      <c r="T309" s="20"/>
      <c r="U309" s="20"/>
      <c r="V309" s="20"/>
      <c r="W309" s="20"/>
      <c r="X309" s="20"/>
      <c r="Y309" s="20"/>
      <c r="Z309" s="20"/>
      <c r="AA309" s="20"/>
      <c r="AB309" s="22"/>
      <c r="AC309" s="20"/>
      <c r="AD309" s="20"/>
      <c r="AE309" s="20"/>
      <c r="AF309" s="20" t="s">
        <v>1124</v>
      </c>
      <c r="AG309" s="20" t="s">
        <v>1124</v>
      </c>
      <c r="AH309" s="20" t="s">
        <v>1124</v>
      </c>
      <c r="AI309" s="328"/>
      <c r="AJ309" s="328"/>
      <c r="AK309" s="328"/>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0"/>
      <c r="BY309" s="20"/>
      <c r="BZ309" s="20"/>
      <c r="CA309" s="20"/>
      <c r="CB309" s="20"/>
      <c r="CC309" s="20"/>
      <c r="CD309" s="22"/>
      <c r="CE309" s="22"/>
      <c r="CF309" s="22"/>
      <c r="CG309" s="22"/>
      <c r="CH309" s="22"/>
      <c r="CI309" s="22"/>
      <c r="CJ309" s="149"/>
      <c r="CK309" s="241"/>
    </row>
    <row r="310" spans="1:89" ht="15" customHeight="1" x14ac:dyDescent="0.35">
      <c r="A310" s="17"/>
      <c r="B310" s="313">
        <v>94265</v>
      </c>
      <c r="C310" s="8" t="s">
        <v>985</v>
      </c>
      <c r="D310" s="18">
        <v>2</v>
      </c>
      <c r="E310" s="131" t="s">
        <v>1309</v>
      </c>
      <c r="F310" s="22" t="s">
        <v>1309</v>
      </c>
      <c r="G310" s="132" t="s">
        <v>1309</v>
      </c>
      <c r="H310" s="22" t="s">
        <v>1311</v>
      </c>
      <c r="I310" s="22" t="s">
        <v>1327</v>
      </c>
      <c r="J310" s="22" t="s">
        <v>1327</v>
      </c>
      <c r="K310" s="22" t="s">
        <v>1314</v>
      </c>
      <c r="L310" s="22" t="s">
        <v>1311</v>
      </c>
      <c r="M310" s="133" t="s">
        <v>1311</v>
      </c>
      <c r="N310" s="22" t="s">
        <v>1311</v>
      </c>
      <c r="O310" s="22" t="s">
        <v>1315</v>
      </c>
      <c r="P310" s="22" t="s">
        <v>1315</v>
      </c>
      <c r="Q310" s="20">
        <v>0</v>
      </c>
      <c r="R310" s="20">
        <v>0</v>
      </c>
      <c r="S310" s="20">
        <v>0</v>
      </c>
      <c r="T310" s="20">
        <v>0</v>
      </c>
      <c r="U310" s="20">
        <v>15.054</v>
      </c>
      <c r="V310" s="20">
        <v>15.054</v>
      </c>
      <c r="W310" s="20">
        <v>0</v>
      </c>
      <c r="X310" s="20">
        <v>0</v>
      </c>
      <c r="Y310" s="20">
        <v>0</v>
      </c>
      <c r="Z310" s="20">
        <v>0</v>
      </c>
      <c r="AA310" s="20" t="s">
        <v>1309</v>
      </c>
      <c r="AB310" s="22" t="s">
        <v>1309</v>
      </c>
      <c r="AC310" s="20">
        <v>1</v>
      </c>
      <c r="AD310" s="20">
        <v>2</v>
      </c>
      <c r="AE310" s="20">
        <v>1</v>
      </c>
      <c r="AF310" s="20">
        <v>30</v>
      </c>
      <c r="AG310" s="20">
        <v>30</v>
      </c>
      <c r="AH310" s="20">
        <v>1</v>
      </c>
      <c r="AI310" s="328">
        <v>6.6427527567423938</v>
      </c>
      <c r="AJ310" s="328">
        <v>4.2643923240938166</v>
      </c>
      <c r="AK310" s="328">
        <v>2.1321961620469083</v>
      </c>
      <c r="AL310" s="22" t="s">
        <v>1338</v>
      </c>
      <c r="AM310" s="22" t="s">
        <v>1330</v>
      </c>
      <c r="AN310" s="22" t="s">
        <v>1317</v>
      </c>
      <c r="AO310" s="22" t="s">
        <v>1318</v>
      </c>
      <c r="AP310" s="22" t="s">
        <v>1318</v>
      </c>
      <c r="AQ310" s="22" t="s">
        <v>1318</v>
      </c>
      <c r="AR310" s="22" t="s">
        <v>1317</v>
      </c>
      <c r="AS310" s="22" t="s">
        <v>1318</v>
      </c>
      <c r="AT310" s="22" t="s">
        <v>1317</v>
      </c>
      <c r="AU310" s="22" t="s">
        <v>1311</v>
      </c>
      <c r="AV310" s="22" t="s">
        <v>1317</v>
      </c>
      <c r="AW310" s="22" t="s">
        <v>1318</v>
      </c>
      <c r="AX310" s="22" t="s">
        <v>1317</v>
      </c>
      <c r="AY310" s="22" t="s">
        <v>1318</v>
      </c>
      <c r="AZ310" s="22" t="s">
        <v>1309</v>
      </c>
      <c r="BA310" s="22" t="s">
        <v>1309</v>
      </c>
      <c r="BB310" s="22" t="s">
        <v>1309</v>
      </c>
      <c r="BC310" s="22" t="s">
        <v>1309</v>
      </c>
      <c r="BD310" s="22" t="s">
        <v>1317</v>
      </c>
      <c r="BE310" s="22" t="s">
        <v>1318</v>
      </c>
      <c r="BF310" s="22" t="s">
        <v>1317</v>
      </c>
      <c r="BG310" s="22" t="s">
        <v>1318</v>
      </c>
      <c r="BH310" s="22" t="s">
        <v>1309</v>
      </c>
      <c r="BI310" s="22" t="s">
        <v>1309</v>
      </c>
      <c r="BJ310" s="22" t="s">
        <v>1309</v>
      </c>
      <c r="BK310" s="22" t="s">
        <v>1309</v>
      </c>
      <c r="BL310" s="22" t="s">
        <v>1309</v>
      </c>
      <c r="BM310" s="22" t="s">
        <v>1309</v>
      </c>
      <c r="BN310" s="22" t="s">
        <v>1317</v>
      </c>
      <c r="BO310" s="22" t="s">
        <v>1311</v>
      </c>
      <c r="BP310" s="22" t="s">
        <v>1309</v>
      </c>
      <c r="BQ310" s="22" t="s">
        <v>1309</v>
      </c>
      <c r="BR310" s="22" t="s">
        <v>1309</v>
      </c>
      <c r="BS310" s="22" t="s">
        <v>1309</v>
      </c>
      <c r="BT310" s="22" t="s">
        <v>1309</v>
      </c>
      <c r="BU310" s="22" t="s">
        <v>1309</v>
      </c>
      <c r="BV310" s="22" t="s">
        <v>1317</v>
      </c>
      <c r="BW310" s="22" t="s">
        <v>1318</v>
      </c>
      <c r="BX310" s="20">
        <v>0</v>
      </c>
      <c r="BY310" s="20">
        <v>0</v>
      </c>
      <c r="BZ310" s="20">
        <v>28</v>
      </c>
      <c r="CA310" s="20">
        <v>0</v>
      </c>
      <c r="CB310" s="20">
        <v>0</v>
      </c>
      <c r="CC310" s="20">
        <v>441</v>
      </c>
      <c r="CD310" s="22" t="s">
        <v>1317</v>
      </c>
      <c r="CE310" s="22" t="s">
        <v>1318</v>
      </c>
      <c r="CF310" s="22" t="s">
        <v>1317</v>
      </c>
      <c r="CG310" s="22" t="s">
        <v>1318</v>
      </c>
      <c r="CH310" s="22" t="s">
        <v>1317</v>
      </c>
      <c r="CI310" s="22" t="s">
        <v>1318</v>
      </c>
      <c r="CJ310" s="149" t="s">
        <v>2025</v>
      </c>
      <c r="CK310" s="241" t="s">
        <v>2026</v>
      </c>
    </row>
    <row r="311" spans="1:89" ht="15" customHeight="1" x14ac:dyDescent="0.35">
      <c r="A311" s="17"/>
      <c r="B311" s="314">
        <v>79050</v>
      </c>
      <c r="C311" s="8" t="s">
        <v>794</v>
      </c>
      <c r="D311" s="18">
        <v>15</v>
      </c>
      <c r="E311" s="131" t="s">
        <v>1309</v>
      </c>
      <c r="F311" s="22" t="s">
        <v>1309</v>
      </c>
      <c r="G311" s="132" t="s">
        <v>1309</v>
      </c>
      <c r="H311" s="22" t="s">
        <v>1311</v>
      </c>
      <c r="I311" s="22" t="s">
        <v>1327</v>
      </c>
      <c r="J311" s="22" t="s">
        <v>1342</v>
      </c>
      <c r="K311" s="22" t="s">
        <v>1314</v>
      </c>
      <c r="L311" s="22" t="s">
        <v>1311</v>
      </c>
      <c r="M311" s="133" t="s">
        <v>1311</v>
      </c>
      <c r="N311" s="22" t="s">
        <v>1311</v>
      </c>
      <c r="O311" s="22" t="s">
        <v>1315</v>
      </c>
      <c r="P311" s="22" t="s">
        <v>1315</v>
      </c>
      <c r="Q311" s="20">
        <v>0</v>
      </c>
      <c r="R311" s="20">
        <v>0</v>
      </c>
      <c r="S311" s="20">
        <v>0</v>
      </c>
      <c r="T311" s="20">
        <v>0</v>
      </c>
      <c r="U311" s="20">
        <v>0</v>
      </c>
      <c r="V311" s="20">
        <v>0</v>
      </c>
      <c r="W311" s="20">
        <v>0</v>
      </c>
      <c r="X311" s="20">
        <v>0</v>
      </c>
      <c r="Y311" s="20">
        <v>0</v>
      </c>
      <c r="Z311" s="20">
        <v>0</v>
      </c>
      <c r="AA311" s="20" t="s">
        <v>1317</v>
      </c>
      <c r="AB311" s="22" t="s">
        <v>1318</v>
      </c>
      <c r="AC311" s="20">
        <v>0</v>
      </c>
      <c r="AD311" s="20">
        <v>0</v>
      </c>
      <c r="AE311" s="20">
        <v>0</v>
      </c>
      <c r="AF311" s="20">
        <v>0</v>
      </c>
      <c r="AG311" s="20">
        <v>0</v>
      </c>
      <c r="AH311" s="20">
        <v>0</v>
      </c>
      <c r="AI311" s="328" t="s">
        <v>1328</v>
      </c>
      <c r="AJ311" s="328" t="s">
        <v>1328</v>
      </c>
      <c r="AK311" s="328" t="s">
        <v>1328</v>
      </c>
      <c r="AL311" s="22" t="s">
        <v>1316</v>
      </c>
      <c r="AM311" s="22" t="s">
        <v>1343</v>
      </c>
      <c r="AN311" s="22" t="s">
        <v>1317</v>
      </c>
      <c r="AO311" s="22" t="s">
        <v>1318</v>
      </c>
      <c r="AP311" s="22" t="s">
        <v>1318</v>
      </c>
      <c r="AQ311" s="22" t="s">
        <v>1318</v>
      </c>
      <c r="AR311" s="22" t="s">
        <v>1317</v>
      </c>
      <c r="AS311" s="22" t="s">
        <v>1318</v>
      </c>
      <c r="AT311" s="22" t="s">
        <v>1317</v>
      </c>
      <c r="AU311" s="22" t="s">
        <v>1311</v>
      </c>
      <c r="AV311" s="22" t="s">
        <v>1317</v>
      </c>
      <c r="AW311" s="22" t="s">
        <v>1318</v>
      </c>
      <c r="AX311" s="22" t="s">
        <v>1317</v>
      </c>
      <c r="AY311" s="22" t="s">
        <v>1318</v>
      </c>
      <c r="AZ311" s="22" t="s">
        <v>1317</v>
      </c>
      <c r="BA311" s="22" t="s">
        <v>1318</v>
      </c>
      <c r="BB311" s="22" t="s">
        <v>1309</v>
      </c>
      <c r="BC311" s="22" t="s">
        <v>1309</v>
      </c>
      <c r="BD311" s="22" t="s">
        <v>1317</v>
      </c>
      <c r="BE311" s="22" t="s">
        <v>1318</v>
      </c>
      <c r="BF311" s="22" t="s">
        <v>1317</v>
      </c>
      <c r="BG311" s="22" t="s">
        <v>1318</v>
      </c>
      <c r="BH311" s="22" t="s">
        <v>1317</v>
      </c>
      <c r="BI311" s="22" t="s">
        <v>1318</v>
      </c>
      <c r="BJ311" s="22" t="s">
        <v>1317</v>
      </c>
      <c r="BK311" s="22" t="s">
        <v>1311</v>
      </c>
      <c r="BL311" s="22" t="s">
        <v>1317</v>
      </c>
      <c r="BM311" s="22" t="s">
        <v>1318</v>
      </c>
      <c r="BN311" s="22" t="s">
        <v>1317</v>
      </c>
      <c r="BO311" s="22" t="s">
        <v>1311</v>
      </c>
      <c r="BP311" s="22" t="s">
        <v>1315</v>
      </c>
      <c r="BQ311" s="22" t="s">
        <v>1315</v>
      </c>
      <c r="BR311" s="22" t="s">
        <v>1317</v>
      </c>
      <c r="BS311" s="22" t="s">
        <v>1311</v>
      </c>
      <c r="BT311" s="22" t="s">
        <v>1317</v>
      </c>
      <c r="BU311" s="22" t="s">
        <v>1311</v>
      </c>
      <c r="BV311" s="22" t="s">
        <v>1309</v>
      </c>
      <c r="BW311" s="22" t="s">
        <v>1309</v>
      </c>
      <c r="BX311" s="20">
        <v>0</v>
      </c>
      <c r="BY311" s="20">
        <v>0</v>
      </c>
      <c r="BZ311" s="20">
        <v>19</v>
      </c>
      <c r="CA311" s="20">
        <v>0</v>
      </c>
      <c r="CB311" s="20">
        <v>0</v>
      </c>
      <c r="CC311" s="20">
        <v>148</v>
      </c>
      <c r="CD311" s="22" t="s">
        <v>1317</v>
      </c>
      <c r="CE311" s="22" t="s">
        <v>1318</v>
      </c>
      <c r="CF311" s="22" t="s">
        <v>1317</v>
      </c>
      <c r="CG311" s="22" t="s">
        <v>1318</v>
      </c>
      <c r="CH311" s="22" t="s">
        <v>1317</v>
      </c>
      <c r="CI311" s="22" t="s">
        <v>1318</v>
      </c>
      <c r="CJ311" s="149" t="s">
        <v>1378</v>
      </c>
      <c r="CK311" s="241" t="s">
        <v>2031</v>
      </c>
    </row>
    <row r="312" spans="1:89" ht="15" customHeight="1" x14ac:dyDescent="0.35">
      <c r="A312" s="17"/>
      <c r="B312" s="313">
        <v>93065</v>
      </c>
      <c r="C312" s="8" t="s">
        <v>968</v>
      </c>
      <c r="D312" s="18">
        <v>2</v>
      </c>
      <c r="E312" s="131" t="s">
        <v>1309</v>
      </c>
      <c r="F312" s="22" t="s">
        <v>1309</v>
      </c>
      <c r="G312" s="132" t="s">
        <v>1309</v>
      </c>
      <c r="H312" s="22" t="s">
        <v>1311</v>
      </c>
      <c r="I312" s="22" t="s">
        <v>1315</v>
      </c>
      <c r="J312" s="22" t="s">
        <v>1315</v>
      </c>
      <c r="K312" s="22" t="s">
        <v>1309</v>
      </c>
      <c r="L312" s="22" t="s">
        <v>1309</v>
      </c>
      <c r="M312" s="133" t="s">
        <v>1311</v>
      </c>
      <c r="N312" s="22" t="s">
        <v>1311</v>
      </c>
      <c r="O312" s="22" t="s">
        <v>1314</v>
      </c>
      <c r="P312" s="22" t="s">
        <v>1318</v>
      </c>
      <c r="Q312" s="20">
        <v>21.3</v>
      </c>
      <c r="R312" s="20">
        <v>21.3</v>
      </c>
      <c r="S312" s="20">
        <v>0</v>
      </c>
      <c r="T312" s="20">
        <v>0</v>
      </c>
      <c r="U312" s="20">
        <v>0</v>
      </c>
      <c r="V312" s="20">
        <v>0</v>
      </c>
      <c r="W312" s="20">
        <v>0</v>
      </c>
      <c r="X312" s="20">
        <v>0</v>
      </c>
      <c r="Y312" s="20">
        <v>0</v>
      </c>
      <c r="Z312" s="20">
        <v>0</v>
      </c>
      <c r="AA312" s="20" t="s">
        <v>1315</v>
      </c>
      <c r="AB312" s="22" t="s">
        <v>1315</v>
      </c>
      <c r="AC312" s="20">
        <v>1</v>
      </c>
      <c r="AD312" s="20">
        <v>1</v>
      </c>
      <c r="AE312" s="20">
        <v>1</v>
      </c>
      <c r="AF312" s="20">
        <v>1</v>
      </c>
      <c r="AG312" s="20">
        <v>1</v>
      </c>
      <c r="AH312" s="20">
        <v>1</v>
      </c>
      <c r="AI312" s="328">
        <v>4.5055192610948414</v>
      </c>
      <c r="AJ312" s="328">
        <v>0.94161958568738224</v>
      </c>
      <c r="AK312" s="328">
        <v>0.94161958568738224</v>
      </c>
      <c r="AL312" s="22" t="s">
        <v>1329</v>
      </c>
      <c r="AM312" s="22" t="s">
        <v>1330</v>
      </c>
      <c r="AN312" s="22" t="s">
        <v>1317</v>
      </c>
      <c r="AO312" s="22" t="s">
        <v>1318</v>
      </c>
      <c r="AP312" s="22" t="s">
        <v>1318</v>
      </c>
      <c r="AQ312" s="22" t="s">
        <v>1318</v>
      </c>
      <c r="AR312" s="22" t="s">
        <v>1317</v>
      </c>
      <c r="AS312" s="22" t="s">
        <v>1318</v>
      </c>
      <c r="AT312" s="22" t="s">
        <v>1317</v>
      </c>
      <c r="AU312" s="22" t="s">
        <v>1318</v>
      </c>
      <c r="AV312" s="22" t="s">
        <v>1317</v>
      </c>
      <c r="AW312" s="22" t="s">
        <v>1318</v>
      </c>
      <c r="AX312" s="22" t="s">
        <v>1317</v>
      </c>
      <c r="AY312" s="22" t="s">
        <v>1318</v>
      </c>
      <c r="AZ312" s="22" t="s">
        <v>1319</v>
      </c>
      <c r="BA312" s="22" t="s">
        <v>1311</v>
      </c>
      <c r="BB312" s="22" t="s">
        <v>1317</v>
      </c>
      <c r="BC312" s="22" t="s">
        <v>1318</v>
      </c>
      <c r="BD312" s="22" t="s">
        <v>1317</v>
      </c>
      <c r="BE312" s="22" t="s">
        <v>1318</v>
      </c>
      <c r="BF312" s="22" t="s">
        <v>1309</v>
      </c>
      <c r="BG312" s="22" t="s">
        <v>1309</v>
      </c>
      <c r="BH312" s="22" t="s">
        <v>1309</v>
      </c>
      <c r="BI312" s="22" t="s">
        <v>1309</v>
      </c>
      <c r="BJ312" s="22" t="s">
        <v>1317</v>
      </c>
      <c r="BK312" s="22" t="s">
        <v>1318</v>
      </c>
      <c r="BL312" s="22" t="s">
        <v>1317</v>
      </c>
      <c r="BM312" s="22" t="s">
        <v>1318</v>
      </c>
      <c r="BN312" s="22" t="s">
        <v>1309</v>
      </c>
      <c r="BO312" s="22" t="s">
        <v>1309</v>
      </c>
      <c r="BP312" s="22" t="s">
        <v>1309</v>
      </c>
      <c r="BQ312" s="22" t="s">
        <v>1309</v>
      </c>
      <c r="BR312" s="22" t="s">
        <v>1309</v>
      </c>
      <c r="BS312" s="22" t="s">
        <v>1309</v>
      </c>
      <c r="BT312" s="22" t="s">
        <v>1309</v>
      </c>
      <c r="BU312" s="22" t="s">
        <v>1309</v>
      </c>
      <c r="BV312" s="22" t="s">
        <v>1319</v>
      </c>
      <c r="BW312" s="22" t="s">
        <v>1311</v>
      </c>
      <c r="BX312" s="20">
        <v>26</v>
      </c>
      <c r="BY312" s="20">
        <v>0</v>
      </c>
      <c r="BZ312" s="20">
        <v>0</v>
      </c>
      <c r="CA312" s="20">
        <v>184</v>
      </c>
      <c r="CB312" s="20">
        <v>0</v>
      </c>
      <c r="CC312" s="20">
        <v>852</v>
      </c>
      <c r="CD312" s="22" t="s">
        <v>1331</v>
      </c>
      <c r="CE312" s="22" t="s">
        <v>1331</v>
      </c>
      <c r="CF312" s="22" t="s">
        <v>1331</v>
      </c>
      <c r="CG312" s="22" t="s">
        <v>1331</v>
      </c>
      <c r="CH312" s="22" t="s">
        <v>1413</v>
      </c>
      <c r="CI312" s="22" t="s">
        <v>1413</v>
      </c>
      <c r="CJ312" s="149" t="s">
        <v>1124</v>
      </c>
      <c r="CK312" s="241" t="s">
        <v>1124</v>
      </c>
    </row>
    <row r="313" spans="1:89" ht="15" customHeight="1" x14ac:dyDescent="0.35">
      <c r="A313" s="17"/>
      <c r="B313" s="313">
        <v>6060</v>
      </c>
      <c r="C313" s="8" t="s">
        <v>1067</v>
      </c>
      <c r="D313" s="18">
        <v>11</v>
      </c>
      <c r="E313" s="131"/>
      <c r="F313" s="22"/>
      <c r="G313" s="132"/>
      <c r="H313" s="22"/>
      <c r="I313" s="22"/>
      <c r="J313" s="22"/>
      <c r="K313" s="22"/>
      <c r="L313" s="22"/>
      <c r="M313" s="133"/>
      <c r="N313" s="22"/>
      <c r="O313" s="22"/>
      <c r="P313" s="22"/>
      <c r="Q313" s="20"/>
      <c r="R313" s="20"/>
      <c r="S313" s="20"/>
      <c r="T313" s="20"/>
      <c r="U313" s="20"/>
      <c r="V313" s="20"/>
      <c r="W313" s="20"/>
      <c r="X313" s="20"/>
      <c r="Y313" s="20"/>
      <c r="Z313" s="20"/>
      <c r="AA313" s="20"/>
      <c r="AB313" s="22"/>
      <c r="AC313" s="20"/>
      <c r="AD313" s="20"/>
      <c r="AE313" s="20"/>
      <c r="AF313" s="20" t="s">
        <v>1124</v>
      </c>
      <c r="AG313" s="20" t="s">
        <v>1124</v>
      </c>
      <c r="AH313" s="20" t="s">
        <v>1124</v>
      </c>
      <c r="AI313" s="328"/>
      <c r="AJ313" s="328"/>
      <c r="AK313" s="328"/>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0"/>
      <c r="BY313" s="20"/>
      <c r="BZ313" s="20"/>
      <c r="CA313" s="20"/>
      <c r="CB313" s="20"/>
      <c r="CC313" s="20"/>
      <c r="CD313" s="22"/>
      <c r="CE313" s="22"/>
      <c r="CF313" s="22"/>
      <c r="CG313" s="22"/>
      <c r="CH313" s="22"/>
      <c r="CI313" s="22"/>
      <c r="CJ313" s="149"/>
      <c r="CK313" s="241"/>
    </row>
    <row r="314" spans="1:89" ht="15" customHeight="1" x14ac:dyDescent="0.35">
      <c r="A314" s="17"/>
      <c r="B314" s="313">
        <v>60028</v>
      </c>
      <c r="C314" s="8" t="s">
        <v>608</v>
      </c>
      <c r="D314" s="18">
        <v>14</v>
      </c>
      <c r="E314" s="131" t="s">
        <v>1309</v>
      </c>
      <c r="F314" s="22" t="s">
        <v>1309</v>
      </c>
      <c r="G314" s="132" t="s">
        <v>1309</v>
      </c>
      <c r="H314" s="22" t="s">
        <v>1311</v>
      </c>
      <c r="I314" s="22" t="s">
        <v>1327</v>
      </c>
      <c r="J314" s="22" t="s">
        <v>1327</v>
      </c>
      <c r="K314" s="22" t="s">
        <v>1314</v>
      </c>
      <c r="L314" s="22" t="s">
        <v>1311</v>
      </c>
      <c r="M314" s="133" t="s">
        <v>1311</v>
      </c>
      <c r="N314" s="22" t="s">
        <v>1311</v>
      </c>
      <c r="O314" s="22" t="s">
        <v>1309</v>
      </c>
      <c r="P314" s="22" t="s">
        <v>1309</v>
      </c>
      <c r="Q314" s="20">
        <v>0</v>
      </c>
      <c r="R314" s="20">
        <v>0</v>
      </c>
      <c r="S314" s="20">
        <v>60</v>
      </c>
      <c r="T314" s="20">
        <v>75</v>
      </c>
      <c r="U314" s="20">
        <v>0</v>
      </c>
      <c r="V314" s="20">
        <v>0</v>
      </c>
      <c r="W314" s="20">
        <v>0</v>
      </c>
      <c r="X314" s="20">
        <v>0</v>
      </c>
      <c r="Y314" s="20">
        <v>0</v>
      </c>
      <c r="Z314" s="20">
        <v>0</v>
      </c>
      <c r="AA314" s="20" t="s">
        <v>1317</v>
      </c>
      <c r="AB314" s="22" t="s">
        <v>1311</v>
      </c>
      <c r="AC314" s="20">
        <v>27</v>
      </c>
      <c r="AD314" s="20">
        <v>22</v>
      </c>
      <c r="AE314" s="20">
        <v>5</v>
      </c>
      <c r="AF314" s="20">
        <v>1</v>
      </c>
      <c r="AG314" s="20">
        <v>1</v>
      </c>
      <c r="AH314" s="20">
        <v>4</v>
      </c>
      <c r="AI314" s="328">
        <v>15.957446808510639</v>
      </c>
      <c r="AJ314" s="328">
        <v>2.9494570317736963</v>
      </c>
      <c r="AK314" s="328">
        <v>0.67033114358493096</v>
      </c>
      <c r="AL314" s="22" t="s">
        <v>1329</v>
      </c>
      <c r="AM314" s="22" t="s">
        <v>1330</v>
      </c>
      <c r="AN314" s="22" t="s">
        <v>1317</v>
      </c>
      <c r="AO314" s="22" t="s">
        <v>1318</v>
      </c>
      <c r="AP314" s="22" t="s">
        <v>1318</v>
      </c>
      <c r="AQ314" s="22" t="s">
        <v>1318</v>
      </c>
      <c r="AR314" s="22" t="s">
        <v>1317</v>
      </c>
      <c r="AS314" s="22" t="s">
        <v>1311</v>
      </c>
      <c r="AT314" s="22" t="s">
        <v>1309</v>
      </c>
      <c r="AU314" s="22" t="s">
        <v>1309</v>
      </c>
      <c r="AV314" s="22" t="s">
        <v>1309</v>
      </c>
      <c r="AW314" s="22" t="s">
        <v>1309</v>
      </c>
      <c r="AX314" s="22" t="s">
        <v>1309</v>
      </c>
      <c r="AY314" s="22" t="s">
        <v>1309</v>
      </c>
      <c r="AZ314" s="22" t="s">
        <v>1309</v>
      </c>
      <c r="BA314" s="22" t="s">
        <v>1309</v>
      </c>
      <c r="BB314" s="22" t="s">
        <v>1309</v>
      </c>
      <c r="BC314" s="22" t="s">
        <v>1309</v>
      </c>
      <c r="BD314" s="22" t="s">
        <v>1317</v>
      </c>
      <c r="BE314" s="22" t="s">
        <v>1311</v>
      </c>
      <c r="BF314" s="22" t="s">
        <v>1309</v>
      </c>
      <c r="BG314" s="22" t="s">
        <v>1309</v>
      </c>
      <c r="BH314" s="22" t="s">
        <v>1309</v>
      </c>
      <c r="BI314" s="22" t="s">
        <v>1309</v>
      </c>
      <c r="BJ314" s="22" t="s">
        <v>1309</v>
      </c>
      <c r="BK314" s="22" t="s">
        <v>1309</v>
      </c>
      <c r="BL314" s="22" t="s">
        <v>1309</v>
      </c>
      <c r="BM314" s="22" t="s">
        <v>1309</v>
      </c>
      <c r="BN314" s="22" t="s">
        <v>1309</v>
      </c>
      <c r="BO314" s="22" t="s">
        <v>1309</v>
      </c>
      <c r="BP314" s="22" t="s">
        <v>1309</v>
      </c>
      <c r="BQ314" s="22" t="s">
        <v>1309</v>
      </c>
      <c r="BR314" s="22" t="s">
        <v>1309</v>
      </c>
      <c r="BS314" s="22" t="s">
        <v>1309</v>
      </c>
      <c r="BT314" s="22" t="s">
        <v>1309</v>
      </c>
      <c r="BU314" s="22" t="s">
        <v>1309</v>
      </c>
      <c r="BV314" s="22" t="s">
        <v>1317</v>
      </c>
      <c r="BW314" s="22" t="s">
        <v>1311</v>
      </c>
      <c r="BX314" s="20">
        <v>443</v>
      </c>
      <c r="BY314" s="20">
        <v>5</v>
      </c>
      <c r="BZ314" s="20">
        <v>3</v>
      </c>
      <c r="CA314" s="20">
        <v>7001</v>
      </c>
      <c r="CB314" s="20">
        <v>2</v>
      </c>
      <c r="CC314" s="20">
        <v>5</v>
      </c>
      <c r="CD314" s="22" t="s">
        <v>1345</v>
      </c>
      <c r="CE314" s="22" t="s">
        <v>1331</v>
      </c>
      <c r="CF314" s="22" t="s">
        <v>1331</v>
      </c>
      <c r="CG314" s="22" t="s">
        <v>1331</v>
      </c>
      <c r="CH314" s="22" t="s">
        <v>1317</v>
      </c>
      <c r="CI314" s="22" t="s">
        <v>1318</v>
      </c>
      <c r="CJ314" s="149" t="s">
        <v>1124</v>
      </c>
      <c r="CK314" s="241" t="s">
        <v>1124</v>
      </c>
    </row>
    <row r="315" spans="1:89" ht="15" customHeight="1" x14ac:dyDescent="0.35">
      <c r="A315" s="17"/>
      <c r="B315" s="313">
        <v>85060</v>
      </c>
      <c r="C315" s="8" t="s">
        <v>880</v>
      </c>
      <c r="D315" s="18">
        <v>8</v>
      </c>
      <c r="E315" s="131" t="s">
        <v>1319</v>
      </c>
      <c r="F315" s="22" t="s">
        <v>1310</v>
      </c>
      <c r="G315" s="132" t="s">
        <v>1309</v>
      </c>
      <c r="H315" s="22" t="s">
        <v>1311</v>
      </c>
      <c r="I315" s="22" t="s">
        <v>1327</v>
      </c>
      <c r="J315" s="22" t="s">
        <v>1327</v>
      </c>
      <c r="K315" s="22" t="s">
        <v>1309</v>
      </c>
      <c r="L315" s="22" t="s">
        <v>1309</v>
      </c>
      <c r="M315" s="133" t="s">
        <v>1311</v>
      </c>
      <c r="N315" s="22" t="s">
        <v>1311</v>
      </c>
      <c r="O315" s="22" t="s">
        <v>1315</v>
      </c>
      <c r="P315" s="22" t="s">
        <v>1315</v>
      </c>
      <c r="Q315" s="20">
        <v>0</v>
      </c>
      <c r="R315" s="20">
        <v>0</v>
      </c>
      <c r="S315" s="20">
        <v>0.5</v>
      </c>
      <c r="T315" s="20">
        <v>0.5</v>
      </c>
      <c r="U315" s="20">
        <v>0.5</v>
      </c>
      <c r="V315" s="20">
        <v>0.5</v>
      </c>
      <c r="W315" s="20">
        <v>0</v>
      </c>
      <c r="X315" s="20">
        <v>0</v>
      </c>
      <c r="Y315" s="20">
        <v>0</v>
      </c>
      <c r="Z315" s="20">
        <v>0</v>
      </c>
      <c r="AA315" s="20" t="s">
        <v>1309</v>
      </c>
      <c r="AB315" s="22" t="s">
        <v>1309</v>
      </c>
      <c r="AC315" s="20">
        <v>0</v>
      </c>
      <c r="AD315" s="20">
        <v>1</v>
      </c>
      <c r="AE315" s="20">
        <v>0</v>
      </c>
      <c r="AF315" s="20">
        <v>0</v>
      </c>
      <c r="AG315" s="20">
        <v>2</v>
      </c>
      <c r="AH315" s="20">
        <v>0</v>
      </c>
      <c r="AI315" s="328" t="s">
        <v>1328</v>
      </c>
      <c r="AJ315" s="328">
        <v>11.111111111111111</v>
      </c>
      <c r="AK315" s="328" t="s">
        <v>1328</v>
      </c>
      <c r="AL315" s="22" t="s">
        <v>1329</v>
      </c>
      <c r="AM315" s="22" t="s">
        <v>1330</v>
      </c>
      <c r="AN315" s="22" t="s">
        <v>1317</v>
      </c>
      <c r="AO315" s="22" t="s">
        <v>1318</v>
      </c>
      <c r="AP315" s="22" t="s">
        <v>1318</v>
      </c>
      <c r="AQ315" s="22" t="s">
        <v>1318</v>
      </c>
      <c r="AR315" s="22" t="s">
        <v>1317</v>
      </c>
      <c r="AS315" s="22" t="s">
        <v>1318</v>
      </c>
      <c r="AT315" s="22" t="s">
        <v>1317</v>
      </c>
      <c r="AU315" s="22" t="s">
        <v>1318</v>
      </c>
      <c r="AV315" s="22" t="s">
        <v>1317</v>
      </c>
      <c r="AW315" s="22" t="s">
        <v>1318</v>
      </c>
      <c r="AX315" s="22" t="s">
        <v>1317</v>
      </c>
      <c r="AY315" s="22" t="s">
        <v>1318</v>
      </c>
      <c r="AZ315" s="22" t="s">
        <v>1309</v>
      </c>
      <c r="BA315" s="22" t="s">
        <v>1309</v>
      </c>
      <c r="BB315" s="22" t="s">
        <v>1309</v>
      </c>
      <c r="BC315" s="22" t="s">
        <v>1309</v>
      </c>
      <c r="BD315" s="22" t="s">
        <v>1317</v>
      </c>
      <c r="BE315" s="22" t="s">
        <v>1318</v>
      </c>
      <c r="BF315" s="22" t="s">
        <v>1317</v>
      </c>
      <c r="BG315" s="22" t="s">
        <v>1318</v>
      </c>
      <c r="BH315" s="22" t="s">
        <v>1309</v>
      </c>
      <c r="BI315" s="22" t="s">
        <v>1309</v>
      </c>
      <c r="BJ315" s="22" t="s">
        <v>1317</v>
      </c>
      <c r="BK315" s="22" t="s">
        <v>1318</v>
      </c>
      <c r="BL315" s="22" t="s">
        <v>1317</v>
      </c>
      <c r="BM315" s="22" t="s">
        <v>1318</v>
      </c>
      <c r="BN315" s="22" t="s">
        <v>1309</v>
      </c>
      <c r="BO315" s="22" t="s">
        <v>1309</v>
      </c>
      <c r="BP315" s="22" t="s">
        <v>1315</v>
      </c>
      <c r="BQ315" s="22" t="s">
        <v>1315</v>
      </c>
      <c r="BR315" s="22" t="s">
        <v>1309</v>
      </c>
      <c r="BS315" s="22" t="s">
        <v>1309</v>
      </c>
      <c r="BT315" s="22" t="s">
        <v>1309</v>
      </c>
      <c r="BU315" s="22" t="s">
        <v>1309</v>
      </c>
      <c r="BV315" s="22" t="s">
        <v>1309</v>
      </c>
      <c r="BW315" s="22" t="s">
        <v>1309</v>
      </c>
      <c r="BX315" s="20">
        <v>0</v>
      </c>
      <c r="BY315" s="20">
        <v>0</v>
      </c>
      <c r="BZ315" s="20">
        <v>8</v>
      </c>
      <c r="CA315" s="20">
        <v>0</v>
      </c>
      <c r="CB315" s="20">
        <v>0</v>
      </c>
      <c r="CC315" s="20">
        <v>82</v>
      </c>
      <c r="CD315" s="22" t="s">
        <v>1317</v>
      </c>
      <c r="CE315" s="22" t="s">
        <v>1318</v>
      </c>
      <c r="CF315" s="22" t="s">
        <v>1317</v>
      </c>
      <c r="CG315" s="22" t="s">
        <v>1318</v>
      </c>
      <c r="CH315" s="22" t="s">
        <v>1317</v>
      </c>
      <c r="CI315" s="22" t="s">
        <v>1318</v>
      </c>
      <c r="CJ315" s="149" t="s">
        <v>1124</v>
      </c>
      <c r="CK315" s="241" t="s">
        <v>1124</v>
      </c>
    </row>
    <row r="316" spans="1:89" ht="15" customHeight="1" x14ac:dyDescent="0.35">
      <c r="A316" s="17"/>
      <c r="B316" s="313">
        <v>88080</v>
      </c>
      <c r="C316" s="8" t="s">
        <v>925</v>
      </c>
      <c r="D316" s="18">
        <v>8</v>
      </c>
      <c r="E316" s="131"/>
      <c r="F316" s="22"/>
      <c r="G316" s="132"/>
      <c r="H316" s="22"/>
      <c r="I316" s="22"/>
      <c r="J316" s="22"/>
      <c r="K316" s="22"/>
      <c r="L316" s="22"/>
      <c r="M316" s="133"/>
      <c r="N316" s="22"/>
      <c r="O316" s="22"/>
      <c r="P316" s="22"/>
      <c r="Q316" s="20"/>
      <c r="R316" s="20"/>
      <c r="S316" s="20"/>
      <c r="T316" s="20"/>
      <c r="U316" s="20"/>
      <c r="V316" s="20"/>
      <c r="W316" s="20"/>
      <c r="X316" s="20"/>
      <c r="Y316" s="20"/>
      <c r="Z316" s="20"/>
      <c r="AA316" s="20"/>
      <c r="AB316" s="22"/>
      <c r="AC316" s="20"/>
      <c r="AD316" s="20"/>
      <c r="AE316" s="20"/>
      <c r="AF316" s="20" t="s">
        <v>1124</v>
      </c>
      <c r="AG316" s="20" t="s">
        <v>1124</v>
      </c>
      <c r="AH316" s="20" t="s">
        <v>1124</v>
      </c>
      <c r="AI316" s="328"/>
      <c r="AJ316" s="328"/>
      <c r="AK316" s="328"/>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0"/>
      <c r="BY316" s="20"/>
      <c r="BZ316" s="20"/>
      <c r="CA316" s="20"/>
      <c r="CB316" s="20"/>
      <c r="CC316" s="20"/>
      <c r="CD316" s="22"/>
      <c r="CE316" s="22"/>
      <c r="CF316" s="22"/>
      <c r="CG316" s="22"/>
      <c r="CH316" s="22"/>
      <c r="CI316" s="22"/>
      <c r="CJ316" s="149"/>
      <c r="CK316" s="241"/>
    </row>
    <row r="317" spans="1:89" ht="15" customHeight="1" x14ac:dyDescent="0.35">
      <c r="A317" s="17"/>
      <c r="B317" s="313">
        <v>33060</v>
      </c>
      <c r="C317" s="8" t="s">
        <v>275</v>
      </c>
      <c r="D317" s="18">
        <v>12</v>
      </c>
      <c r="E317" s="131" t="s">
        <v>1309</v>
      </c>
      <c r="F317" s="22" t="s">
        <v>1309</v>
      </c>
      <c r="G317" s="132" t="s">
        <v>1309</v>
      </c>
      <c r="H317" s="22" t="s">
        <v>1311</v>
      </c>
      <c r="I317" s="22" t="s">
        <v>1327</v>
      </c>
      <c r="J317" s="22" t="s">
        <v>1327</v>
      </c>
      <c r="K317" s="22" t="s">
        <v>1314</v>
      </c>
      <c r="L317" s="22" t="s">
        <v>1311</v>
      </c>
      <c r="M317" s="133" t="s">
        <v>1311</v>
      </c>
      <c r="N317" s="22" t="s">
        <v>1311</v>
      </c>
      <c r="O317" s="22" t="s">
        <v>1314</v>
      </c>
      <c r="P317" s="22" t="s">
        <v>1318</v>
      </c>
      <c r="Q317" s="20">
        <v>0</v>
      </c>
      <c r="R317" s="20">
        <v>0</v>
      </c>
      <c r="S317" s="20">
        <v>28.292000000000002</v>
      </c>
      <c r="T317" s="20">
        <v>28.292000000000002</v>
      </c>
      <c r="U317" s="20">
        <v>0</v>
      </c>
      <c r="V317" s="20">
        <v>0</v>
      </c>
      <c r="W317" s="20">
        <v>0</v>
      </c>
      <c r="X317" s="20">
        <v>0</v>
      </c>
      <c r="Y317" s="20">
        <v>0</v>
      </c>
      <c r="Z317" s="20">
        <v>0</v>
      </c>
      <c r="AA317" s="20" t="s">
        <v>1317</v>
      </c>
      <c r="AB317" s="22" t="s">
        <v>1318</v>
      </c>
      <c r="AC317" s="20">
        <v>0</v>
      </c>
      <c r="AD317" s="20">
        <v>0</v>
      </c>
      <c r="AE317" s="20">
        <v>0</v>
      </c>
      <c r="AF317" s="20">
        <v>0</v>
      </c>
      <c r="AG317" s="20">
        <v>0</v>
      </c>
      <c r="AH317" s="20">
        <v>0</v>
      </c>
      <c r="AI317" s="328" t="s">
        <v>1328</v>
      </c>
      <c r="AJ317" s="328" t="s">
        <v>1328</v>
      </c>
      <c r="AK317" s="328" t="s">
        <v>1328</v>
      </c>
      <c r="AL317" s="22" t="s">
        <v>1329</v>
      </c>
      <c r="AM317" s="22" t="s">
        <v>1330</v>
      </c>
      <c r="AN317" s="22" t="s">
        <v>1317</v>
      </c>
      <c r="AO317" s="22" t="s">
        <v>1318</v>
      </c>
      <c r="AP317" s="22" t="s">
        <v>1318</v>
      </c>
      <c r="AQ317" s="22" t="s">
        <v>1318</v>
      </c>
      <c r="AR317" s="22" t="s">
        <v>1317</v>
      </c>
      <c r="AS317" s="22" t="s">
        <v>1318</v>
      </c>
      <c r="AT317" s="22" t="s">
        <v>1317</v>
      </c>
      <c r="AU317" s="22" t="s">
        <v>1318</v>
      </c>
      <c r="AV317" s="22" t="s">
        <v>1309</v>
      </c>
      <c r="AW317" s="22" t="s">
        <v>1309</v>
      </c>
      <c r="AX317" s="22" t="s">
        <v>1317</v>
      </c>
      <c r="AY317" s="22" t="s">
        <v>1318</v>
      </c>
      <c r="AZ317" s="22" t="s">
        <v>1309</v>
      </c>
      <c r="BA317" s="22" t="s">
        <v>1309</v>
      </c>
      <c r="BB317" s="22" t="s">
        <v>1309</v>
      </c>
      <c r="BC317" s="22" t="s">
        <v>1309</v>
      </c>
      <c r="BD317" s="22" t="s">
        <v>1309</v>
      </c>
      <c r="BE317" s="22" t="s">
        <v>1309</v>
      </c>
      <c r="BF317" s="22" t="s">
        <v>1309</v>
      </c>
      <c r="BG317" s="22" t="s">
        <v>1309</v>
      </c>
      <c r="BH317" s="22" t="s">
        <v>1309</v>
      </c>
      <c r="BI317" s="22" t="s">
        <v>1309</v>
      </c>
      <c r="BJ317" s="22" t="s">
        <v>1309</v>
      </c>
      <c r="BK317" s="22" t="s">
        <v>1309</v>
      </c>
      <c r="BL317" s="22" t="s">
        <v>1317</v>
      </c>
      <c r="BM317" s="22" t="s">
        <v>1318</v>
      </c>
      <c r="BN317" s="22" t="s">
        <v>1309</v>
      </c>
      <c r="BO317" s="22" t="s">
        <v>1309</v>
      </c>
      <c r="BP317" s="22" t="s">
        <v>1309</v>
      </c>
      <c r="BQ317" s="22" t="s">
        <v>1309</v>
      </c>
      <c r="BR317" s="22" t="s">
        <v>1309</v>
      </c>
      <c r="BS317" s="22" t="s">
        <v>1309</v>
      </c>
      <c r="BT317" s="22" t="s">
        <v>1309</v>
      </c>
      <c r="BU317" s="22" t="s">
        <v>1309</v>
      </c>
      <c r="BV317" s="22" t="s">
        <v>1317</v>
      </c>
      <c r="BW317" s="22" t="s">
        <v>1318</v>
      </c>
      <c r="BX317" s="20">
        <v>104</v>
      </c>
      <c r="BY317" s="20">
        <v>0</v>
      </c>
      <c r="BZ317" s="20">
        <v>0</v>
      </c>
      <c r="CA317" s="20">
        <v>1182</v>
      </c>
      <c r="CB317" s="20">
        <v>0</v>
      </c>
      <c r="CC317" s="20">
        <v>0</v>
      </c>
      <c r="CD317" s="22" t="s">
        <v>1331</v>
      </c>
      <c r="CE317" s="22" t="s">
        <v>1331</v>
      </c>
      <c r="CF317" s="22" t="s">
        <v>1331</v>
      </c>
      <c r="CG317" s="22" t="s">
        <v>1331</v>
      </c>
      <c r="CH317" s="22" t="s">
        <v>1317</v>
      </c>
      <c r="CI317" s="22" t="s">
        <v>1318</v>
      </c>
      <c r="CJ317" s="149" t="s">
        <v>1124</v>
      </c>
      <c r="CK317" s="241" t="s">
        <v>1386</v>
      </c>
    </row>
    <row r="318" spans="1:89" ht="15" customHeight="1" x14ac:dyDescent="0.35">
      <c r="A318" s="17"/>
      <c r="B318" s="313">
        <v>32072</v>
      </c>
      <c r="C318" s="8" t="s">
        <v>264</v>
      </c>
      <c r="D318" s="18">
        <v>17</v>
      </c>
      <c r="E318" s="131" t="s">
        <v>1309</v>
      </c>
      <c r="F318" s="22" t="s">
        <v>1309</v>
      </c>
      <c r="G318" s="132" t="s">
        <v>1309</v>
      </c>
      <c r="H318" s="22" t="s">
        <v>1311</v>
      </c>
      <c r="I318" s="22" t="s">
        <v>1327</v>
      </c>
      <c r="J318" s="22" t="s">
        <v>1327</v>
      </c>
      <c r="K318" s="22" t="s">
        <v>1319</v>
      </c>
      <c r="L318" s="22" t="s">
        <v>1311</v>
      </c>
      <c r="M318" s="133" t="s">
        <v>1311</v>
      </c>
      <c r="N318" s="22" t="s">
        <v>1311</v>
      </c>
      <c r="O318" s="22" t="s">
        <v>1315</v>
      </c>
      <c r="P318" s="22" t="s">
        <v>1315</v>
      </c>
      <c r="Q318" s="20">
        <v>0</v>
      </c>
      <c r="R318" s="20">
        <v>0</v>
      </c>
      <c r="S318" s="20">
        <v>10.638</v>
      </c>
      <c r="T318" s="20">
        <v>21.276</v>
      </c>
      <c r="U318" s="20">
        <v>0</v>
      </c>
      <c r="V318" s="20">
        <v>0</v>
      </c>
      <c r="W318" s="20">
        <v>0</v>
      </c>
      <c r="X318" s="20">
        <v>0</v>
      </c>
      <c r="Y318" s="20">
        <v>0</v>
      </c>
      <c r="Z318" s="20">
        <v>0</v>
      </c>
      <c r="AA318" s="20" t="s">
        <v>1317</v>
      </c>
      <c r="AB318" s="22" t="s">
        <v>1318</v>
      </c>
      <c r="AC318" s="20">
        <v>2</v>
      </c>
      <c r="AD318" s="20">
        <v>1</v>
      </c>
      <c r="AE318" s="20">
        <v>0</v>
      </c>
      <c r="AF318" s="20">
        <v>1</v>
      </c>
      <c r="AG318" s="20">
        <v>3</v>
      </c>
      <c r="AH318" s="20">
        <v>0</v>
      </c>
      <c r="AI318" s="328">
        <v>18.800526414739611</v>
      </c>
      <c r="AJ318" s="328">
        <v>2.7247956403269753</v>
      </c>
      <c r="AK318" s="328" t="s">
        <v>1328</v>
      </c>
      <c r="AL318" s="22" t="s">
        <v>1329</v>
      </c>
      <c r="AM318" s="22" t="s">
        <v>1330</v>
      </c>
      <c r="AN318" s="22" t="s">
        <v>1317</v>
      </c>
      <c r="AO318" s="22" t="s">
        <v>1318</v>
      </c>
      <c r="AP318" s="22" t="s">
        <v>1318</v>
      </c>
      <c r="AQ318" s="22" t="s">
        <v>1318</v>
      </c>
      <c r="AR318" s="22" t="s">
        <v>1317</v>
      </c>
      <c r="AS318" s="22" t="s">
        <v>1318</v>
      </c>
      <c r="AT318" s="22" t="s">
        <v>1309</v>
      </c>
      <c r="AU318" s="22" t="s">
        <v>1309</v>
      </c>
      <c r="AV318" s="22" t="s">
        <v>1317</v>
      </c>
      <c r="AW318" s="22" t="s">
        <v>1318</v>
      </c>
      <c r="AX318" s="22" t="s">
        <v>1317</v>
      </c>
      <c r="AY318" s="22" t="s">
        <v>1318</v>
      </c>
      <c r="AZ318" s="22" t="s">
        <v>1317</v>
      </c>
      <c r="BA318" s="22" t="s">
        <v>1318</v>
      </c>
      <c r="BB318" s="22" t="s">
        <v>1309</v>
      </c>
      <c r="BC318" s="22" t="s">
        <v>1309</v>
      </c>
      <c r="BD318" s="22" t="s">
        <v>1317</v>
      </c>
      <c r="BE318" s="22" t="s">
        <v>1318</v>
      </c>
      <c r="BF318" s="22" t="s">
        <v>1317</v>
      </c>
      <c r="BG318" s="22" t="s">
        <v>1311</v>
      </c>
      <c r="BH318" s="22" t="s">
        <v>1317</v>
      </c>
      <c r="BI318" s="22" t="s">
        <v>1318</v>
      </c>
      <c r="BJ318" s="22" t="s">
        <v>1317</v>
      </c>
      <c r="BK318" s="22" t="s">
        <v>1311</v>
      </c>
      <c r="BL318" s="22" t="s">
        <v>1319</v>
      </c>
      <c r="BM318" s="22" t="s">
        <v>1311</v>
      </c>
      <c r="BN318" s="22" t="s">
        <v>1309</v>
      </c>
      <c r="BO318" s="22" t="s">
        <v>1309</v>
      </c>
      <c r="BP318" s="22" t="s">
        <v>1315</v>
      </c>
      <c r="BQ318" s="22" t="s">
        <v>1315</v>
      </c>
      <c r="BR318" s="22" t="s">
        <v>1317</v>
      </c>
      <c r="BS318" s="22" t="s">
        <v>1318</v>
      </c>
      <c r="BT318" s="22" t="s">
        <v>1317</v>
      </c>
      <c r="BU318" s="22" t="s">
        <v>1318</v>
      </c>
      <c r="BV318" s="22" t="s">
        <v>1317</v>
      </c>
      <c r="BW318" s="22" t="s">
        <v>1318</v>
      </c>
      <c r="BX318" s="20">
        <v>1</v>
      </c>
      <c r="BY318" s="20">
        <v>0</v>
      </c>
      <c r="BZ318" s="20">
        <v>31</v>
      </c>
      <c r="CA318" s="20">
        <v>0</v>
      </c>
      <c r="CB318" s="20">
        <v>0</v>
      </c>
      <c r="CC318" s="20">
        <v>335</v>
      </c>
      <c r="CD318" s="22" t="s">
        <v>1320</v>
      </c>
      <c r="CE318" s="22" t="s">
        <v>1344</v>
      </c>
      <c r="CF318" s="22" t="s">
        <v>1317</v>
      </c>
      <c r="CG318" s="22" t="s">
        <v>1340</v>
      </c>
      <c r="CH318" s="22" t="s">
        <v>1315</v>
      </c>
      <c r="CI318" s="22" t="s">
        <v>1315</v>
      </c>
      <c r="CJ318" s="149" t="s">
        <v>1124</v>
      </c>
      <c r="CK318" s="241" t="s">
        <v>2045</v>
      </c>
    </row>
    <row r="319" spans="1:89" ht="15" customHeight="1" x14ac:dyDescent="0.35">
      <c r="A319" s="17"/>
      <c r="B319" s="313">
        <v>65005</v>
      </c>
      <c r="C319" s="8" t="s">
        <v>646</v>
      </c>
      <c r="D319" s="18">
        <v>13</v>
      </c>
      <c r="E319" s="131" t="s">
        <v>1309</v>
      </c>
      <c r="F319" s="22" t="s">
        <v>1309</v>
      </c>
      <c r="G319" s="132" t="s">
        <v>1309</v>
      </c>
      <c r="H319" s="22" t="s">
        <v>1311</v>
      </c>
      <c r="I319" s="22" t="s">
        <v>1327</v>
      </c>
      <c r="J319" s="22" t="s">
        <v>1327</v>
      </c>
      <c r="K319" s="22" t="s">
        <v>1319</v>
      </c>
      <c r="L319" s="22" t="s">
        <v>1311</v>
      </c>
      <c r="M319" s="133" t="s">
        <v>1311</v>
      </c>
      <c r="N319" s="22" t="s">
        <v>1311</v>
      </c>
      <c r="O319" s="22" t="s">
        <v>1309</v>
      </c>
      <c r="P319" s="22" t="s">
        <v>1309</v>
      </c>
      <c r="Q319" s="20">
        <v>33.43</v>
      </c>
      <c r="R319" s="20">
        <v>33.43</v>
      </c>
      <c r="S319" s="20">
        <v>1420</v>
      </c>
      <c r="T319" s="20">
        <v>2500</v>
      </c>
      <c r="U319" s="20">
        <v>1</v>
      </c>
      <c r="V319" s="20">
        <v>0</v>
      </c>
      <c r="W319" s="20">
        <v>0</v>
      </c>
      <c r="X319" s="20">
        <v>0</v>
      </c>
      <c r="Y319" s="20">
        <v>0</v>
      </c>
      <c r="Z319" s="20">
        <v>0</v>
      </c>
      <c r="AA319" s="20" t="s">
        <v>1309</v>
      </c>
      <c r="AB319" s="22" t="s">
        <v>1318</v>
      </c>
      <c r="AC319" s="20">
        <v>345</v>
      </c>
      <c r="AD319" s="20">
        <v>40</v>
      </c>
      <c r="AE319" s="20">
        <v>203</v>
      </c>
      <c r="AF319" s="20">
        <v>15</v>
      </c>
      <c r="AG319" s="20">
        <v>16</v>
      </c>
      <c r="AH319" s="20">
        <v>42</v>
      </c>
      <c r="AI319" s="328">
        <v>20.438388625592417</v>
      </c>
      <c r="AJ319" s="328">
        <v>0.35500962963620386</v>
      </c>
      <c r="AK319" s="328">
        <v>1.8016738704037347</v>
      </c>
      <c r="AL319" s="22" t="s">
        <v>1338</v>
      </c>
      <c r="AM319" s="22" t="s">
        <v>1339</v>
      </c>
      <c r="AN319" s="22" t="s">
        <v>1317</v>
      </c>
      <c r="AO319" s="22" t="s">
        <v>1318</v>
      </c>
      <c r="AP319" s="22" t="s">
        <v>1318</v>
      </c>
      <c r="AQ319" s="22" t="s">
        <v>1318</v>
      </c>
      <c r="AR319" s="22" t="s">
        <v>1317</v>
      </c>
      <c r="AS319" s="22" t="s">
        <v>1318</v>
      </c>
      <c r="AT319" s="22" t="s">
        <v>1317</v>
      </c>
      <c r="AU319" s="22" t="s">
        <v>1318</v>
      </c>
      <c r="AV319" s="22" t="s">
        <v>1317</v>
      </c>
      <c r="AW319" s="22" t="s">
        <v>1318</v>
      </c>
      <c r="AX319" s="22" t="s">
        <v>1309</v>
      </c>
      <c r="AY319" s="22" t="s">
        <v>1311</v>
      </c>
      <c r="AZ319" s="22" t="s">
        <v>1309</v>
      </c>
      <c r="BA319" s="22" t="s">
        <v>1311</v>
      </c>
      <c r="BB319" s="22" t="s">
        <v>1317</v>
      </c>
      <c r="BC319" s="22" t="s">
        <v>1318</v>
      </c>
      <c r="BD319" s="22" t="s">
        <v>1309</v>
      </c>
      <c r="BE319" s="22" t="s">
        <v>1309</v>
      </c>
      <c r="BF319" s="22" t="s">
        <v>1319</v>
      </c>
      <c r="BG319" s="22" t="s">
        <v>1311</v>
      </c>
      <c r="BH319" s="22" t="s">
        <v>1309</v>
      </c>
      <c r="BI319" s="22" t="s">
        <v>1309</v>
      </c>
      <c r="BJ319" s="22" t="s">
        <v>1319</v>
      </c>
      <c r="BK319" s="22" t="s">
        <v>1311</v>
      </c>
      <c r="BL319" s="22" t="s">
        <v>1317</v>
      </c>
      <c r="BM319" s="22" t="s">
        <v>1311</v>
      </c>
      <c r="BN319" s="22" t="s">
        <v>1319</v>
      </c>
      <c r="BO319" s="22" t="s">
        <v>1311</v>
      </c>
      <c r="BP319" s="22" t="s">
        <v>1309</v>
      </c>
      <c r="BQ319" s="22" t="s">
        <v>1309</v>
      </c>
      <c r="BR319" s="22" t="s">
        <v>1309</v>
      </c>
      <c r="BS319" s="22" t="s">
        <v>1309</v>
      </c>
      <c r="BT319" s="22" t="s">
        <v>1309</v>
      </c>
      <c r="BU319" s="22" t="s">
        <v>1309</v>
      </c>
      <c r="BV319" s="22" t="s">
        <v>1309</v>
      </c>
      <c r="BW319" s="22" t="s">
        <v>1309</v>
      </c>
      <c r="BX319" s="20">
        <v>4343</v>
      </c>
      <c r="BY319" s="20">
        <v>0</v>
      </c>
      <c r="BZ319" s="20">
        <v>1000</v>
      </c>
      <c r="CA319" s="20">
        <v>861</v>
      </c>
      <c r="CB319" s="20">
        <v>29249</v>
      </c>
      <c r="CC319" s="20">
        <v>79290</v>
      </c>
      <c r="CD319" s="22" t="s">
        <v>1345</v>
      </c>
      <c r="CE319" s="22" t="s">
        <v>1344</v>
      </c>
      <c r="CF319" s="22" t="s">
        <v>1315</v>
      </c>
      <c r="CG319" s="22" t="s">
        <v>1315</v>
      </c>
      <c r="CH319" s="22" t="s">
        <v>1341</v>
      </c>
      <c r="CI319" s="22" t="s">
        <v>1313</v>
      </c>
      <c r="CJ319" s="149" t="s">
        <v>1124</v>
      </c>
      <c r="CK319" s="241" t="s">
        <v>2049</v>
      </c>
    </row>
    <row r="320" spans="1:89" ht="15" customHeight="1" x14ac:dyDescent="0.35">
      <c r="A320" s="17"/>
      <c r="B320" s="313">
        <v>52007</v>
      </c>
      <c r="C320" s="8" t="s">
        <v>515</v>
      </c>
      <c r="D320" s="18">
        <v>14</v>
      </c>
      <c r="E320" s="131" t="s">
        <v>1309</v>
      </c>
      <c r="F320" s="22" t="s">
        <v>1309</v>
      </c>
      <c r="G320" s="132" t="s">
        <v>1309</v>
      </c>
      <c r="H320" s="22" t="s">
        <v>1311</v>
      </c>
      <c r="I320" s="22" t="s">
        <v>1327</v>
      </c>
      <c r="J320" s="22" t="s">
        <v>1327</v>
      </c>
      <c r="K320" s="22" t="s">
        <v>1309</v>
      </c>
      <c r="L320" s="22" t="s">
        <v>1309</v>
      </c>
      <c r="M320" s="133" t="s">
        <v>1311</v>
      </c>
      <c r="N320" s="22" t="s">
        <v>1311</v>
      </c>
      <c r="O320" s="22" t="s">
        <v>1314</v>
      </c>
      <c r="P320" s="22" t="s">
        <v>1318</v>
      </c>
      <c r="Q320" s="20">
        <v>74.599999999999994</v>
      </c>
      <c r="R320" s="20">
        <v>74.599999999999994</v>
      </c>
      <c r="S320" s="20">
        <v>0</v>
      </c>
      <c r="T320" s="20">
        <v>0</v>
      </c>
      <c r="U320" s="20">
        <v>0</v>
      </c>
      <c r="V320" s="20">
        <v>0</v>
      </c>
      <c r="W320" s="20">
        <v>0</v>
      </c>
      <c r="X320" s="20">
        <v>0</v>
      </c>
      <c r="Y320" s="20">
        <v>0</v>
      </c>
      <c r="Z320" s="20">
        <v>0</v>
      </c>
      <c r="AA320" s="20" t="s">
        <v>1317</v>
      </c>
      <c r="AB320" s="22" t="s">
        <v>1318</v>
      </c>
      <c r="AC320" s="20">
        <v>3</v>
      </c>
      <c r="AD320" s="20">
        <v>0</v>
      </c>
      <c r="AE320" s="20">
        <v>3</v>
      </c>
      <c r="AF320" s="20">
        <v>1</v>
      </c>
      <c r="AG320" s="20">
        <v>0</v>
      </c>
      <c r="AH320" s="20">
        <v>1</v>
      </c>
      <c r="AI320" s="328">
        <v>4.0214477211796247</v>
      </c>
      <c r="AJ320" s="328" t="s">
        <v>1328</v>
      </c>
      <c r="AK320" s="328">
        <v>0.57825751734772557</v>
      </c>
      <c r="AL320" s="22" t="s">
        <v>1329</v>
      </c>
      <c r="AM320" s="22" t="s">
        <v>1330</v>
      </c>
      <c r="AN320" s="22" t="s">
        <v>1317</v>
      </c>
      <c r="AO320" s="22" t="s">
        <v>1318</v>
      </c>
      <c r="AP320" s="22" t="s">
        <v>1318</v>
      </c>
      <c r="AQ320" s="22" t="s">
        <v>1318</v>
      </c>
      <c r="AR320" s="22" t="s">
        <v>1317</v>
      </c>
      <c r="AS320" s="22" t="s">
        <v>1311</v>
      </c>
      <c r="AT320" s="22" t="s">
        <v>1317</v>
      </c>
      <c r="AU320" s="22" t="s">
        <v>1318</v>
      </c>
      <c r="AV320" s="22" t="s">
        <v>1309</v>
      </c>
      <c r="AW320" s="22" t="s">
        <v>1309</v>
      </c>
      <c r="AX320" s="22" t="s">
        <v>1317</v>
      </c>
      <c r="AY320" s="22" t="s">
        <v>1318</v>
      </c>
      <c r="AZ320" s="22" t="s">
        <v>1309</v>
      </c>
      <c r="BA320" s="22" t="s">
        <v>1311</v>
      </c>
      <c r="BB320" s="22" t="s">
        <v>1317</v>
      </c>
      <c r="BC320" s="22" t="s">
        <v>1318</v>
      </c>
      <c r="BD320" s="22" t="s">
        <v>1317</v>
      </c>
      <c r="BE320" s="22" t="s">
        <v>1318</v>
      </c>
      <c r="BF320" s="22" t="s">
        <v>1317</v>
      </c>
      <c r="BG320" s="22" t="s">
        <v>1318</v>
      </c>
      <c r="BH320" s="22" t="s">
        <v>1309</v>
      </c>
      <c r="BI320" s="22" t="s">
        <v>1309</v>
      </c>
      <c r="BJ320" s="22" t="s">
        <v>1317</v>
      </c>
      <c r="BK320" s="22" t="s">
        <v>1318</v>
      </c>
      <c r="BL320" s="22" t="s">
        <v>1309</v>
      </c>
      <c r="BM320" s="22" t="s">
        <v>1309</v>
      </c>
      <c r="BN320" s="22" t="s">
        <v>1309</v>
      </c>
      <c r="BO320" s="22" t="s">
        <v>1309</v>
      </c>
      <c r="BP320" s="22" t="s">
        <v>1309</v>
      </c>
      <c r="BQ320" s="22" t="s">
        <v>1309</v>
      </c>
      <c r="BR320" s="22" t="s">
        <v>1317</v>
      </c>
      <c r="BS320" s="22" t="s">
        <v>1318</v>
      </c>
      <c r="BT320" s="22" t="s">
        <v>1317</v>
      </c>
      <c r="BU320" s="22" t="s">
        <v>1318</v>
      </c>
      <c r="BV320" s="22" t="s">
        <v>1309</v>
      </c>
      <c r="BW320" s="22" t="s">
        <v>1309</v>
      </c>
      <c r="BX320" s="20">
        <v>0</v>
      </c>
      <c r="BY320" s="20">
        <v>0</v>
      </c>
      <c r="BZ320" s="20">
        <v>229</v>
      </c>
      <c r="CA320" s="20">
        <v>0</v>
      </c>
      <c r="CB320" s="20">
        <v>0</v>
      </c>
      <c r="CC320" s="20">
        <v>4959</v>
      </c>
      <c r="CD320" s="22" t="s">
        <v>1317</v>
      </c>
      <c r="CE320" s="22" t="s">
        <v>1318</v>
      </c>
      <c r="CF320" s="22" t="s">
        <v>1317</v>
      </c>
      <c r="CG320" s="22" t="s">
        <v>1318</v>
      </c>
      <c r="CH320" s="22" t="s">
        <v>1317</v>
      </c>
      <c r="CI320" s="22" t="s">
        <v>1318</v>
      </c>
      <c r="CJ320" s="149" t="s">
        <v>1124</v>
      </c>
      <c r="CK320" s="241" t="s">
        <v>2053</v>
      </c>
    </row>
    <row r="321" spans="1:89" ht="15" customHeight="1" x14ac:dyDescent="0.35">
      <c r="A321" s="17"/>
      <c r="B321" s="313">
        <v>49025</v>
      </c>
      <c r="C321" s="8" t="s">
        <v>467</v>
      </c>
      <c r="D321" s="18">
        <v>17</v>
      </c>
      <c r="E321" s="131"/>
      <c r="F321" s="22"/>
      <c r="G321" s="132"/>
      <c r="H321" s="22"/>
      <c r="I321" s="22"/>
      <c r="J321" s="22"/>
      <c r="K321" s="22"/>
      <c r="L321" s="22"/>
      <c r="M321" s="133"/>
      <c r="N321" s="22"/>
      <c r="O321" s="22"/>
      <c r="P321" s="22"/>
      <c r="Q321" s="20"/>
      <c r="R321" s="20"/>
      <c r="S321" s="20"/>
      <c r="T321" s="20"/>
      <c r="U321" s="20"/>
      <c r="V321" s="20"/>
      <c r="W321" s="20"/>
      <c r="X321" s="20"/>
      <c r="Y321" s="20"/>
      <c r="Z321" s="20"/>
      <c r="AA321" s="20"/>
      <c r="AB321" s="22"/>
      <c r="AC321" s="20"/>
      <c r="AD321" s="20"/>
      <c r="AE321" s="20"/>
      <c r="AF321" s="20" t="s">
        <v>1124</v>
      </c>
      <c r="AG321" s="20" t="s">
        <v>1124</v>
      </c>
      <c r="AH321" s="20" t="s">
        <v>1124</v>
      </c>
      <c r="AI321" s="328"/>
      <c r="AJ321" s="328"/>
      <c r="AK321" s="328"/>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0"/>
      <c r="BY321" s="20"/>
      <c r="BZ321" s="20"/>
      <c r="CA321" s="20"/>
      <c r="CB321" s="20"/>
      <c r="CC321" s="20"/>
      <c r="CD321" s="22"/>
      <c r="CE321" s="22"/>
      <c r="CF321" s="22"/>
      <c r="CG321" s="22"/>
      <c r="CH321" s="22"/>
      <c r="CI321" s="22"/>
      <c r="CJ321" s="149"/>
      <c r="CK321" s="241"/>
    </row>
    <row r="322" spans="1:89" ht="15" customHeight="1" x14ac:dyDescent="0.35">
      <c r="A322" s="17"/>
      <c r="B322" s="313">
        <v>85052</v>
      </c>
      <c r="C322" s="8" t="s">
        <v>878</v>
      </c>
      <c r="D322" s="18">
        <v>8</v>
      </c>
      <c r="E322" s="131" t="s">
        <v>1309</v>
      </c>
      <c r="F322" s="22" t="s">
        <v>1309</v>
      </c>
      <c r="G322" s="132" t="s">
        <v>1309</v>
      </c>
      <c r="H322" s="22" t="s">
        <v>1311</v>
      </c>
      <c r="I322" s="22" t="s">
        <v>1327</v>
      </c>
      <c r="J322" s="22" t="s">
        <v>1327</v>
      </c>
      <c r="K322" s="22" t="s">
        <v>1309</v>
      </c>
      <c r="L322" s="22" t="s">
        <v>1309</v>
      </c>
      <c r="M322" s="133" t="s">
        <v>1311</v>
      </c>
      <c r="N322" s="22" t="s">
        <v>1311</v>
      </c>
      <c r="O322" s="22" t="s">
        <v>1314</v>
      </c>
      <c r="P322" s="22" t="s">
        <v>1318</v>
      </c>
      <c r="Q322" s="20">
        <v>0</v>
      </c>
      <c r="R322" s="20">
        <v>0</v>
      </c>
      <c r="S322" s="20">
        <v>1</v>
      </c>
      <c r="T322" s="20">
        <v>5</v>
      </c>
      <c r="U322" s="20">
        <v>2</v>
      </c>
      <c r="V322" s="20">
        <v>3.5</v>
      </c>
      <c r="W322" s="20">
        <v>0</v>
      </c>
      <c r="X322" s="20">
        <v>0</v>
      </c>
      <c r="Y322" s="20">
        <v>0</v>
      </c>
      <c r="Z322" s="20">
        <v>0</v>
      </c>
      <c r="AA322" s="20" t="s">
        <v>1319</v>
      </c>
      <c r="AB322" s="22" t="s">
        <v>1311</v>
      </c>
      <c r="AC322" s="20">
        <v>1</v>
      </c>
      <c r="AD322" s="20">
        <v>0</v>
      </c>
      <c r="AE322" s="20">
        <v>0</v>
      </c>
      <c r="AF322" s="20">
        <v>3</v>
      </c>
      <c r="AG322" s="20">
        <v>0</v>
      </c>
      <c r="AH322" s="20">
        <v>0</v>
      </c>
      <c r="AI322" s="328">
        <v>19.868865487780646</v>
      </c>
      <c r="AJ322" s="328" t="s">
        <v>1328</v>
      </c>
      <c r="AK322" s="328" t="s">
        <v>1328</v>
      </c>
      <c r="AL322" s="22" t="s">
        <v>1329</v>
      </c>
      <c r="AM322" s="22" t="s">
        <v>1330</v>
      </c>
      <c r="AN322" s="22" t="s">
        <v>1317</v>
      </c>
      <c r="AO322" s="22" t="s">
        <v>1315</v>
      </c>
      <c r="AP322" s="22" t="s">
        <v>1318</v>
      </c>
      <c r="AQ322" s="22" t="s">
        <v>1318</v>
      </c>
      <c r="AR322" s="22" t="s">
        <v>1317</v>
      </c>
      <c r="AS322" s="22" t="s">
        <v>1311</v>
      </c>
      <c r="AT322" s="22" t="s">
        <v>1317</v>
      </c>
      <c r="AU322" s="22" t="s">
        <v>1318</v>
      </c>
      <c r="AV322" s="22" t="s">
        <v>1317</v>
      </c>
      <c r="AW322" s="22" t="s">
        <v>1318</v>
      </c>
      <c r="AX322" s="22" t="s">
        <v>1317</v>
      </c>
      <c r="AY322" s="22" t="s">
        <v>1318</v>
      </c>
      <c r="AZ322" s="22" t="s">
        <v>1309</v>
      </c>
      <c r="BA322" s="22" t="s">
        <v>1309</v>
      </c>
      <c r="BB322" s="22" t="s">
        <v>1309</v>
      </c>
      <c r="BC322" s="22" t="s">
        <v>1309</v>
      </c>
      <c r="BD322" s="22" t="s">
        <v>1309</v>
      </c>
      <c r="BE322" s="22" t="s">
        <v>1309</v>
      </c>
      <c r="BF322" s="22" t="s">
        <v>1309</v>
      </c>
      <c r="BG322" s="22" t="s">
        <v>1309</v>
      </c>
      <c r="BH322" s="22" t="s">
        <v>1309</v>
      </c>
      <c r="BI322" s="22" t="s">
        <v>1309</v>
      </c>
      <c r="BJ322" s="22" t="s">
        <v>1319</v>
      </c>
      <c r="BK322" s="22" t="s">
        <v>1311</v>
      </c>
      <c r="BL322" s="22" t="s">
        <v>1317</v>
      </c>
      <c r="BM322" s="22" t="s">
        <v>1318</v>
      </c>
      <c r="BN322" s="22" t="s">
        <v>1309</v>
      </c>
      <c r="BO322" s="22" t="s">
        <v>1309</v>
      </c>
      <c r="BP322" s="22" t="s">
        <v>1317</v>
      </c>
      <c r="BQ322" s="22" t="s">
        <v>1318</v>
      </c>
      <c r="BR322" s="22" t="s">
        <v>1309</v>
      </c>
      <c r="BS322" s="22" t="s">
        <v>1309</v>
      </c>
      <c r="BT322" s="22" t="s">
        <v>1309</v>
      </c>
      <c r="BU322" s="22" t="s">
        <v>1309</v>
      </c>
      <c r="BV322" s="22" t="s">
        <v>1317</v>
      </c>
      <c r="BW322" s="22" t="s">
        <v>1318</v>
      </c>
      <c r="BX322" s="20">
        <v>11</v>
      </c>
      <c r="BY322" s="20">
        <v>0</v>
      </c>
      <c r="BZ322" s="20">
        <v>1</v>
      </c>
      <c r="CA322" s="20">
        <v>17</v>
      </c>
      <c r="CB322" s="20">
        <v>2</v>
      </c>
      <c r="CC322" s="20">
        <v>177</v>
      </c>
      <c r="CD322" s="22" t="s">
        <v>1331</v>
      </c>
      <c r="CE322" s="22" t="s">
        <v>1331</v>
      </c>
      <c r="CF322" s="22" t="s">
        <v>1331</v>
      </c>
      <c r="CG322" s="22" t="s">
        <v>1331</v>
      </c>
      <c r="CH322" s="22" t="s">
        <v>1317</v>
      </c>
      <c r="CI322" s="22" t="s">
        <v>1318</v>
      </c>
      <c r="CJ322" s="149" t="s">
        <v>1124</v>
      </c>
      <c r="CK322" s="241" t="s">
        <v>2057</v>
      </c>
    </row>
    <row r="323" spans="1:89" ht="15" customHeight="1" x14ac:dyDescent="0.35">
      <c r="A323" s="17"/>
      <c r="B323" s="313">
        <v>42045</v>
      </c>
      <c r="C323" s="8" t="s">
        <v>384</v>
      </c>
      <c r="D323" s="18">
        <v>5</v>
      </c>
      <c r="E323" s="131"/>
      <c r="F323" s="22"/>
      <c r="G323" s="132"/>
      <c r="H323" s="22"/>
      <c r="I323" s="22"/>
      <c r="J323" s="22"/>
      <c r="K323" s="22"/>
      <c r="L323" s="22"/>
      <c r="M323" s="133"/>
      <c r="N323" s="22"/>
      <c r="O323" s="22"/>
      <c r="P323" s="22"/>
      <c r="Q323" s="20"/>
      <c r="R323" s="20"/>
      <c r="S323" s="20"/>
      <c r="T323" s="20"/>
      <c r="U323" s="20"/>
      <c r="V323" s="20"/>
      <c r="W323" s="20"/>
      <c r="X323" s="20"/>
      <c r="Y323" s="20"/>
      <c r="Z323" s="20"/>
      <c r="AA323" s="20"/>
      <c r="AB323" s="22"/>
      <c r="AC323" s="20"/>
      <c r="AD323" s="20"/>
      <c r="AE323" s="20"/>
      <c r="AF323" s="20" t="s">
        <v>1124</v>
      </c>
      <c r="AG323" s="20" t="s">
        <v>1124</v>
      </c>
      <c r="AH323" s="20" t="s">
        <v>1124</v>
      </c>
      <c r="AI323" s="328"/>
      <c r="AJ323" s="328"/>
      <c r="AK323" s="328"/>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0"/>
      <c r="BY323" s="20"/>
      <c r="BZ323" s="20"/>
      <c r="CA323" s="20"/>
      <c r="CB323" s="20"/>
      <c r="CC323" s="20"/>
      <c r="CD323" s="22"/>
      <c r="CE323" s="22"/>
      <c r="CF323" s="22"/>
      <c r="CG323" s="22"/>
      <c r="CH323" s="22"/>
      <c r="CI323" s="22"/>
      <c r="CJ323" s="149"/>
      <c r="CK323" s="241"/>
    </row>
    <row r="324" spans="1:89" ht="15" customHeight="1" x14ac:dyDescent="0.35">
      <c r="A324" s="17"/>
      <c r="B324" s="313">
        <v>99005</v>
      </c>
      <c r="C324" s="8" t="s">
        <v>1019</v>
      </c>
      <c r="D324" s="18">
        <v>10</v>
      </c>
      <c r="E324" s="131"/>
      <c r="F324" s="22"/>
      <c r="G324" s="132"/>
      <c r="H324" s="22"/>
      <c r="I324" s="22"/>
      <c r="J324" s="22"/>
      <c r="K324" s="22"/>
      <c r="L324" s="22"/>
      <c r="M324" s="133"/>
      <c r="N324" s="22"/>
      <c r="O324" s="22"/>
      <c r="P324" s="22"/>
      <c r="Q324" s="20"/>
      <c r="R324" s="20"/>
      <c r="S324" s="20"/>
      <c r="T324" s="20"/>
      <c r="U324" s="20"/>
      <c r="V324" s="20"/>
      <c r="W324" s="20"/>
      <c r="X324" s="20"/>
      <c r="Y324" s="20"/>
      <c r="Z324" s="20"/>
      <c r="AA324" s="20"/>
      <c r="AB324" s="22"/>
      <c r="AC324" s="20"/>
      <c r="AD324" s="20"/>
      <c r="AE324" s="20"/>
      <c r="AF324" s="20" t="s">
        <v>1124</v>
      </c>
      <c r="AG324" s="20" t="s">
        <v>1124</v>
      </c>
      <c r="AH324" s="20" t="s">
        <v>1124</v>
      </c>
      <c r="AI324" s="328"/>
      <c r="AJ324" s="328"/>
      <c r="AK324" s="328"/>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0"/>
      <c r="BY324" s="20"/>
      <c r="BZ324" s="20"/>
      <c r="CA324" s="20"/>
      <c r="CB324" s="20"/>
      <c r="CC324" s="20"/>
      <c r="CD324" s="22"/>
      <c r="CE324" s="22"/>
      <c r="CF324" s="22"/>
      <c r="CG324" s="22"/>
      <c r="CH324" s="22"/>
      <c r="CI324" s="22"/>
      <c r="CJ324" s="149"/>
      <c r="CK324" s="241"/>
    </row>
    <row r="325" spans="1:89" ht="15" customHeight="1" x14ac:dyDescent="0.35">
      <c r="A325" s="17"/>
      <c r="B325" s="313">
        <v>33123</v>
      </c>
      <c r="C325" s="8" t="s">
        <v>284</v>
      </c>
      <c r="D325" s="18">
        <v>12</v>
      </c>
      <c r="E325" s="131"/>
      <c r="F325" s="22"/>
      <c r="G325" s="132"/>
      <c r="H325" s="22"/>
      <c r="I325" s="22"/>
      <c r="J325" s="22"/>
      <c r="K325" s="22"/>
      <c r="L325" s="22"/>
      <c r="M325" s="133"/>
      <c r="N325" s="22"/>
      <c r="O325" s="22"/>
      <c r="P325" s="22"/>
      <c r="Q325" s="20"/>
      <c r="R325" s="20"/>
      <c r="S325" s="20"/>
      <c r="T325" s="20"/>
      <c r="U325" s="20"/>
      <c r="V325" s="20"/>
      <c r="W325" s="20"/>
      <c r="X325" s="20"/>
      <c r="Y325" s="20"/>
      <c r="Z325" s="20"/>
      <c r="AA325" s="20"/>
      <c r="AB325" s="22"/>
      <c r="AC325" s="20"/>
      <c r="AD325" s="20"/>
      <c r="AE325" s="20"/>
      <c r="AF325" s="20" t="s">
        <v>1124</v>
      </c>
      <c r="AG325" s="20" t="s">
        <v>1124</v>
      </c>
      <c r="AH325" s="20" t="s">
        <v>1124</v>
      </c>
      <c r="AI325" s="328"/>
      <c r="AJ325" s="328"/>
      <c r="AK325" s="328"/>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0"/>
      <c r="BY325" s="20"/>
      <c r="BZ325" s="20"/>
      <c r="CA325" s="20"/>
      <c r="CB325" s="20"/>
      <c r="CC325" s="20"/>
      <c r="CD325" s="22"/>
      <c r="CE325" s="22"/>
      <c r="CF325" s="22"/>
      <c r="CG325" s="22"/>
      <c r="CH325" s="22"/>
      <c r="CI325" s="22"/>
      <c r="CJ325" s="149"/>
      <c r="CK325" s="241"/>
    </row>
    <row r="326" spans="1:89" ht="15" customHeight="1" x14ac:dyDescent="0.35">
      <c r="A326" s="17"/>
      <c r="B326" s="313">
        <v>49020</v>
      </c>
      <c r="C326" s="8" t="s">
        <v>466</v>
      </c>
      <c r="D326" s="18">
        <v>17</v>
      </c>
      <c r="E326" s="131"/>
      <c r="F326" s="22"/>
      <c r="G326" s="132"/>
      <c r="H326" s="22"/>
      <c r="I326" s="22"/>
      <c r="J326" s="22"/>
      <c r="K326" s="22"/>
      <c r="L326" s="22"/>
      <c r="M326" s="133"/>
      <c r="N326" s="22"/>
      <c r="O326" s="22"/>
      <c r="P326" s="22"/>
      <c r="Q326" s="20"/>
      <c r="R326" s="20"/>
      <c r="S326" s="20"/>
      <c r="T326" s="20"/>
      <c r="U326" s="20"/>
      <c r="V326" s="20"/>
      <c r="W326" s="20"/>
      <c r="X326" s="20"/>
      <c r="Y326" s="20"/>
      <c r="Z326" s="20"/>
      <c r="AA326" s="20"/>
      <c r="AB326" s="22"/>
      <c r="AC326" s="20"/>
      <c r="AD326" s="20"/>
      <c r="AE326" s="20"/>
      <c r="AF326" s="20" t="s">
        <v>1124</v>
      </c>
      <c r="AG326" s="20" t="s">
        <v>1124</v>
      </c>
      <c r="AH326" s="20" t="s">
        <v>1124</v>
      </c>
      <c r="AI326" s="328"/>
      <c r="AJ326" s="328"/>
      <c r="AK326" s="328"/>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0"/>
      <c r="BY326" s="20"/>
      <c r="BZ326" s="20"/>
      <c r="CA326" s="20"/>
      <c r="CB326" s="20"/>
      <c r="CC326" s="20"/>
      <c r="CD326" s="22"/>
      <c r="CE326" s="22"/>
      <c r="CF326" s="22"/>
      <c r="CG326" s="22"/>
      <c r="CH326" s="22"/>
      <c r="CI326" s="22"/>
      <c r="CJ326" s="149"/>
      <c r="CK326" s="241"/>
    </row>
    <row r="327" spans="1:89" ht="15" customHeight="1" x14ac:dyDescent="0.35">
      <c r="A327" s="17"/>
      <c r="B327" s="313">
        <v>13050</v>
      </c>
      <c r="C327" s="8" t="s">
        <v>49</v>
      </c>
      <c r="D327" s="18">
        <v>1</v>
      </c>
      <c r="E327" s="131" t="s">
        <v>1309</v>
      </c>
      <c r="F327" s="22" t="s">
        <v>1309</v>
      </c>
      <c r="G327" s="132" t="s">
        <v>1309</v>
      </c>
      <c r="H327" s="22" t="s">
        <v>1311</v>
      </c>
      <c r="I327" s="22" t="s">
        <v>1327</v>
      </c>
      <c r="J327" s="22" t="s">
        <v>1327</v>
      </c>
      <c r="K327" s="22" t="s">
        <v>1314</v>
      </c>
      <c r="L327" s="22" t="s">
        <v>1311</v>
      </c>
      <c r="M327" s="133" t="s">
        <v>1311</v>
      </c>
      <c r="N327" s="22" t="s">
        <v>1311</v>
      </c>
      <c r="O327" s="22" t="s">
        <v>1314</v>
      </c>
      <c r="P327" s="22" t="s">
        <v>1318</v>
      </c>
      <c r="Q327" s="20">
        <v>0</v>
      </c>
      <c r="R327" s="20">
        <v>0</v>
      </c>
      <c r="S327" s="20">
        <v>0</v>
      </c>
      <c r="T327" s="20">
        <v>0</v>
      </c>
      <c r="U327" s="20">
        <v>2.7730000000000001</v>
      </c>
      <c r="V327" s="20">
        <v>2.7730000000000001</v>
      </c>
      <c r="W327" s="20">
        <v>0</v>
      </c>
      <c r="X327" s="20">
        <v>0</v>
      </c>
      <c r="Y327" s="20">
        <v>0</v>
      </c>
      <c r="Z327" s="20">
        <v>0</v>
      </c>
      <c r="AA327" s="20" t="s">
        <v>1309</v>
      </c>
      <c r="AB327" s="22" t="s">
        <v>1309</v>
      </c>
      <c r="AC327" s="20">
        <v>0</v>
      </c>
      <c r="AD327" s="20">
        <v>0</v>
      </c>
      <c r="AE327" s="20">
        <v>1</v>
      </c>
      <c r="AF327" s="20">
        <v>0</v>
      </c>
      <c r="AG327" s="20">
        <v>0</v>
      </c>
      <c r="AH327" s="20">
        <v>3</v>
      </c>
      <c r="AI327" s="328" t="s">
        <v>1328</v>
      </c>
      <c r="AJ327" s="328" t="s">
        <v>1328</v>
      </c>
      <c r="AK327" s="328">
        <v>12.987012987012987</v>
      </c>
      <c r="AL327" s="22" t="s">
        <v>1316</v>
      </c>
      <c r="AM327" s="22" t="s">
        <v>1316</v>
      </c>
      <c r="AN327" s="22" t="s">
        <v>1317</v>
      </c>
      <c r="AO327" s="22" t="s">
        <v>1318</v>
      </c>
      <c r="AP327" s="22" t="s">
        <v>1318</v>
      </c>
      <c r="AQ327" s="22" t="s">
        <v>1318</v>
      </c>
      <c r="AR327" s="22" t="s">
        <v>1317</v>
      </c>
      <c r="AS327" s="22" t="s">
        <v>1318</v>
      </c>
      <c r="AT327" s="22" t="s">
        <v>1317</v>
      </c>
      <c r="AU327" s="22" t="s">
        <v>1318</v>
      </c>
      <c r="AV327" s="22" t="s">
        <v>1309</v>
      </c>
      <c r="AW327" s="22" t="s">
        <v>1309</v>
      </c>
      <c r="AX327" s="22" t="s">
        <v>1317</v>
      </c>
      <c r="AY327" s="22" t="s">
        <v>1318</v>
      </c>
      <c r="AZ327" s="22" t="s">
        <v>1317</v>
      </c>
      <c r="BA327" s="22" t="s">
        <v>1318</v>
      </c>
      <c r="BB327" s="22" t="s">
        <v>1309</v>
      </c>
      <c r="BC327" s="22" t="s">
        <v>1309</v>
      </c>
      <c r="BD327" s="22" t="s">
        <v>1317</v>
      </c>
      <c r="BE327" s="22" t="s">
        <v>1318</v>
      </c>
      <c r="BF327" s="22" t="s">
        <v>1317</v>
      </c>
      <c r="BG327" s="22" t="s">
        <v>1318</v>
      </c>
      <c r="BH327" s="22" t="s">
        <v>1317</v>
      </c>
      <c r="BI327" s="22" t="s">
        <v>1318</v>
      </c>
      <c r="BJ327" s="22" t="s">
        <v>1317</v>
      </c>
      <c r="BK327" s="22" t="s">
        <v>1318</v>
      </c>
      <c r="BL327" s="22" t="s">
        <v>1317</v>
      </c>
      <c r="BM327" s="22" t="s">
        <v>1318</v>
      </c>
      <c r="BN327" s="22" t="s">
        <v>1317</v>
      </c>
      <c r="BO327" s="22" t="s">
        <v>1318</v>
      </c>
      <c r="BP327" s="22" t="s">
        <v>1315</v>
      </c>
      <c r="BQ327" s="22" t="s">
        <v>1315</v>
      </c>
      <c r="BR327" s="22" t="s">
        <v>1317</v>
      </c>
      <c r="BS327" s="22" t="s">
        <v>1318</v>
      </c>
      <c r="BT327" s="22" t="s">
        <v>1317</v>
      </c>
      <c r="BU327" s="22" t="s">
        <v>1318</v>
      </c>
      <c r="BV327" s="22" t="s">
        <v>1317</v>
      </c>
      <c r="BW327" s="22" t="s">
        <v>1318</v>
      </c>
      <c r="BX327" s="20">
        <v>1</v>
      </c>
      <c r="BY327" s="20">
        <v>8</v>
      </c>
      <c r="BZ327" s="20">
        <v>0</v>
      </c>
      <c r="CA327" s="20">
        <v>0</v>
      </c>
      <c r="CB327" s="20">
        <v>0</v>
      </c>
      <c r="CC327" s="20">
        <v>68</v>
      </c>
      <c r="CD327" s="22" t="s">
        <v>1331</v>
      </c>
      <c r="CE327" s="22" t="s">
        <v>1331</v>
      </c>
      <c r="CF327" s="22" t="s">
        <v>1317</v>
      </c>
      <c r="CG327" s="22" t="s">
        <v>1340</v>
      </c>
      <c r="CH327" s="22" t="s">
        <v>1317</v>
      </c>
      <c r="CI327" s="22" t="s">
        <v>1318</v>
      </c>
      <c r="CJ327" s="149" t="s">
        <v>1124</v>
      </c>
      <c r="CK327" s="241" t="s">
        <v>2061</v>
      </c>
    </row>
    <row r="328" spans="1:89" ht="15" customHeight="1" x14ac:dyDescent="0.35">
      <c r="A328" s="17"/>
      <c r="B328" s="313">
        <v>38020</v>
      </c>
      <c r="C328" s="8" t="s">
        <v>328</v>
      </c>
      <c r="D328" s="18">
        <v>17</v>
      </c>
      <c r="E328" s="131"/>
      <c r="F328" s="22"/>
      <c r="G328" s="132"/>
      <c r="H328" s="22"/>
      <c r="I328" s="22"/>
      <c r="J328" s="22"/>
      <c r="K328" s="22"/>
      <c r="L328" s="22"/>
      <c r="M328" s="133"/>
      <c r="N328" s="22"/>
      <c r="O328" s="22"/>
      <c r="P328" s="22"/>
      <c r="Q328" s="20"/>
      <c r="R328" s="20"/>
      <c r="S328" s="20"/>
      <c r="T328" s="20"/>
      <c r="U328" s="20"/>
      <c r="V328" s="20"/>
      <c r="W328" s="20"/>
      <c r="X328" s="20"/>
      <c r="Y328" s="20"/>
      <c r="Z328" s="20"/>
      <c r="AA328" s="20"/>
      <c r="AB328" s="22"/>
      <c r="AC328" s="20"/>
      <c r="AD328" s="20"/>
      <c r="AE328" s="20"/>
      <c r="AF328" s="20" t="s">
        <v>1124</v>
      </c>
      <c r="AG328" s="20" t="s">
        <v>1124</v>
      </c>
      <c r="AH328" s="20" t="s">
        <v>1124</v>
      </c>
      <c r="AI328" s="328"/>
      <c r="AJ328" s="328"/>
      <c r="AK328" s="328"/>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0"/>
      <c r="BY328" s="20"/>
      <c r="BZ328" s="20"/>
      <c r="CA328" s="20"/>
      <c r="CB328" s="20"/>
      <c r="CC328" s="20"/>
      <c r="CD328" s="22"/>
      <c r="CE328" s="22"/>
      <c r="CF328" s="22"/>
      <c r="CG328" s="22"/>
      <c r="CH328" s="22"/>
      <c r="CI328" s="22"/>
      <c r="CJ328" s="149"/>
      <c r="CK328" s="241"/>
    </row>
    <row r="329" spans="1:89" ht="15" customHeight="1" x14ac:dyDescent="0.35">
      <c r="A329" s="17"/>
      <c r="B329" s="313">
        <v>60037</v>
      </c>
      <c r="C329" s="8" t="s">
        <v>1125</v>
      </c>
      <c r="D329" s="18">
        <v>14</v>
      </c>
      <c r="E329" s="131" t="s">
        <v>1309</v>
      </c>
      <c r="F329" s="22" t="s">
        <v>1309</v>
      </c>
      <c r="G329" s="132" t="s">
        <v>1309</v>
      </c>
      <c r="H329" s="22" t="s">
        <v>1311</v>
      </c>
      <c r="I329" s="22" t="s">
        <v>1327</v>
      </c>
      <c r="J329" s="22" t="s">
        <v>1327</v>
      </c>
      <c r="K329" s="22" t="s">
        <v>1314</v>
      </c>
      <c r="L329" s="22" t="s">
        <v>1311</v>
      </c>
      <c r="M329" s="133" t="s">
        <v>1311</v>
      </c>
      <c r="N329" s="22" t="s">
        <v>1311</v>
      </c>
      <c r="O329" s="22" t="s">
        <v>1309</v>
      </c>
      <c r="P329" s="22" t="s">
        <v>1309</v>
      </c>
      <c r="Q329" s="20">
        <v>30.315999999999999</v>
      </c>
      <c r="R329" s="20">
        <v>30.315999999999999</v>
      </c>
      <c r="S329" s="20">
        <v>30.315999999999999</v>
      </c>
      <c r="T329" s="20">
        <v>30.315999999999999</v>
      </c>
      <c r="U329" s="20">
        <v>0</v>
      </c>
      <c r="V329" s="20">
        <v>0</v>
      </c>
      <c r="W329" s="20">
        <v>0</v>
      </c>
      <c r="X329" s="20">
        <v>0</v>
      </c>
      <c r="Y329" s="20">
        <v>0</v>
      </c>
      <c r="Z329" s="20">
        <v>0</v>
      </c>
      <c r="AA329" s="20" t="s">
        <v>1317</v>
      </c>
      <c r="AB329" s="22" t="s">
        <v>1318</v>
      </c>
      <c r="AC329" s="20">
        <v>0</v>
      </c>
      <c r="AD329" s="20">
        <v>7</v>
      </c>
      <c r="AE329" s="20">
        <v>0</v>
      </c>
      <c r="AF329" s="20">
        <v>0</v>
      </c>
      <c r="AG329" s="20">
        <v>1</v>
      </c>
      <c r="AH329" s="20">
        <v>0</v>
      </c>
      <c r="AI329" s="328" t="s">
        <v>1328</v>
      </c>
      <c r="AJ329" s="328">
        <v>3.682272488164124</v>
      </c>
      <c r="AK329" s="328" t="s">
        <v>1328</v>
      </c>
      <c r="AL329" s="22" t="s">
        <v>1329</v>
      </c>
      <c r="AM329" s="22" t="s">
        <v>1330</v>
      </c>
      <c r="AN329" s="22" t="s">
        <v>1317</v>
      </c>
      <c r="AO329" s="22" t="s">
        <v>1318</v>
      </c>
      <c r="AP329" s="22" t="s">
        <v>1318</v>
      </c>
      <c r="AQ329" s="22" t="s">
        <v>1318</v>
      </c>
      <c r="AR329" s="22" t="s">
        <v>1317</v>
      </c>
      <c r="AS329" s="22" t="s">
        <v>1318</v>
      </c>
      <c r="AT329" s="22" t="s">
        <v>1309</v>
      </c>
      <c r="AU329" s="22" t="s">
        <v>1309</v>
      </c>
      <c r="AV329" s="22" t="s">
        <v>1309</v>
      </c>
      <c r="AW329" s="22" t="s">
        <v>1309</v>
      </c>
      <c r="AX329" s="22" t="s">
        <v>1317</v>
      </c>
      <c r="AY329" s="22" t="s">
        <v>1318</v>
      </c>
      <c r="AZ329" s="22" t="s">
        <v>1309</v>
      </c>
      <c r="BA329" s="22" t="s">
        <v>1309</v>
      </c>
      <c r="BB329" s="22" t="s">
        <v>1309</v>
      </c>
      <c r="BC329" s="22" t="s">
        <v>1309</v>
      </c>
      <c r="BD329" s="22" t="s">
        <v>1309</v>
      </c>
      <c r="BE329" s="22" t="s">
        <v>1309</v>
      </c>
      <c r="BF329" s="22" t="s">
        <v>1317</v>
      </c>
      <c r="BG329" s="22" t="s">
        <v>1318</v>
      </c>
      <c r="BH329" s="22" t="s">
        <v>1309</v>
      </c>
      <c r="BI329" s="22" t="s">
        <v>1309</v>
      </c>
      <c r="BJ329" s="22" t="s">
        <v>1309</v>
      </c>
      <c r="BK329" s="22" t="s">
        <v>1309</v>
      </c>
      <c r="BL329" s="22" t="s">
        <v>1317</v>
      </c>
      <c r="BM329" s="22" t="s">
        <v>1311</v>
      </c>
      <c r="BN329" s="22" t="s">
        <v>1309</v>
      </c>
      <c r="BO329" s="22" t="s">
        <v>1309</v>
      </c>
      <c r="BP329" s="22" t="s">
        <v>1309</v>
      </c>
      <c r="BQ329" s="22" t="s">
        <v>1309</v>
      </c>
      <c r="BR329" s="22" t="s">
        <v>1317</v>
      </c>
      <c r="BS329" s="22" t="s">
        <v>1311</v>
      </c>
      <c r="BT329" s="22" t="s">
        <v>1309</v>
      </c>
      <c r="BU329" s="22" t="s">
        <v>1309</v>
      </c>
      <c r="BV329" s="22" t="s">
        <v>1317</v>
      </c>
      <c r="BW329" s="22" t="s">
        <v>1318</v>
      </c>
      <c r="BX329" s="20">
        <v>106</v>
      </c>
      <c r="BY329" s="20">
        <v>0</v>
      </c>
      <c r="BZ329" s="20">
        <v>0</v>
      </c>
      <c r="CA329" s="20">
        <v>0</v>
      </c>
      <c r="CB329" s="20">
        <v>0</v>
      </c>
      <c r="CC329" s="20">
        <v>1795</v>
      </c>
      <c r="CD329" s="22" t="s">
        <v>1331</v>
      </c>
      <c r="CE329" s="22" t="s">
        <v>1331</v>
      </c>
      <c r="CF329" s="22" t="s">
        <v>1317</v>
      </c>
      <c r="CG329" s="22" t="s">
        <v>1318</v>
      </c>
      <c r="CH329" s="22" t="s">
        <v>1317</v>
      </c>
      <c r="CI329" s="22" t="s">
        <v>1318</v>
      </c>
      <c r="CJ329" s="149" t="s">
        <v>1124</v>
      </c>
      <c r="CK329" s="241" t="s">
        <v>2065</v>
      </c>
    </row>
    <row r="330" spans="1:89" ht="15" customHeight="1" x14ac:dyDescent="0.35">
      <c r="A330" s="17"/>
      <c r="B330" s="313">
        <v>67055</v>
      </c>
      <c r="C330" s="8" t="s">
        <v>672</v>
      </c>
      <c r="D330" s="18">
        <v>16</v>
      </c>
      <c r="E330" s="131"/>
      <c r="F330" s="22"/>
      <c r="G330" s="132"/>
      <c r="H330" s="22"/>
      <c r="I330" s="22"/>
      <c r="J330" s="22"/>
      <c r="K330" s="22"/>
      <c r="L330" s="22"/>
      <c r="M330" s="133"/>
      <c r="N330" s="22"/>
      <c r="O330" s="22"/>
      <c r="P330" s="22"/>
      <c r="Q330" s="20"/>
      <c r="R330" s="20"/>
      <c r="S330" s="20"/>
      <c r="T330" s="20"/>
      <c r="U330" s="20"/>
      <c r="V330" s="20"/>
      <c r="W330" s="20"/>
      <c r="X330" s="20"/>
      <c r="Y330" s="20"/>
      <c r="Z330" s="20"/>
      <c r="AA330" s="20"/>
      <c r="AB330" s="22"/>
      <c r="AC330" s="20"/>
      <c r="AD330" s="20"/>
      <c r="AE330" s="20"/>
      <c r="AF330" s="20" t="s">
        <v>1124</v>
      </c>
      <c r="AG330" s="20" t="s">
        <v>1124</v>
      </c>
      <c r="AH330" s="20" t="s">
        <v>1124</v>
      </c>
      <c r="AI330" s="328"/>
      <c r="AJ330" s="328"/>
      <c r="AK330" s="328"/>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0"/>
      <c r="BY330" s="20"/>
      <c r="BZ330" s="20"/>
      <c r="CA330" s="20"/>
      <c r="CB330" s="20"/>
      <c r="CC330" s="20"/>
      <c r="CD330" s="22"/>
      <c r="CE330" s="22"/>
      <c r="CF330" s="22"/>
      <c r="CG330" s="22"/>
      <c r="CH330" s="22"/>
      <c r="CI330" s="22"/>
      <c r="CJ330" s="149"/>
      <c r="CK330" s="241"/>
    </row>
    <row r="331" spans="1:89" ht="15" customHeight="1" x14ac:dyDescent="0.35">
      <c r="A331" s="17"/>
      <c r="B331" s="313">
        <v>95018</v>
      </c>
      <c r="C331" s="8" t="s">
        <v>988</v>
      </c>
      <c r="D331" s="18">
        <v>9</v>
      </c>
      <c r="E331" s="131" t="s">
        <v>1309</v>
      </c>
      <c r="F331" s="22" t="s">
        <v>1309</v>
      </c>
      <c r="G331" s="132" t="s">
        <v>1309</v>
      </c>
      <c r="H331" s="22" t="s">
        <v>1311</v>
      </c>
      <c r="I331" s="22" t="s">
        <v>1315</v>
      </c>
      <c r="J331" s="22" t="s">
        <v>1315</v>
      </c>
      <c r="K331" s="22" t="s">
        <v>1309</v>
      </c>
      <c r="L331" s="22" t="s">
        <v>1309</v>
      </c>
      <c r="M331" s="133" t="s">
        <v>1311</v>
      </c>
      <c r="N331" s="22" t="s">
        <v>1311</v>
      </c>
      <c r="O331" s="22" t="s">
        <v>1314</v>
      </c>
      <c r="P331" s="22" t="s">
        <v>1318</v>
      </c>
      <c r="Q331" s="20">
        <v>0</v>
      </c>
      <c r="R331" s="20">
        <v>0</v>
      </c>
      <c r="S331" s="20">
        <v>0</v>
      </c>
      <c r="T331" s="20">
        <v>7.952</v>
      </c>
      <c r="U331" s="20">
        <v>0</v>
      </c>
      <c r="V331" s="20">
        <v>0</v>
      </c>
      <c r="W331" s="20">
        <v>0</v>
      </c>
      <c r="X331" s="20">
        <v>0</v>
      </c>
      <c r="Y331" s="20">
        <v>0</v>
      </c>
      <c r="Z331" s="20">
        <v>0</v>
      </c>
      <c r="AA331" s="20" t="s">
        <v>1317</v>
      </c>
      <c r="AB331" s="22" t="s">
        <v>1318</v>
      </c>
      <c r="AC331" s="20">
        <v>3</v>
      </c>
      <c r="AD331" s="20">
        <v>0</v>
      </c>
      <c r="AE331" s="20">
        <v>2</v>
      </c>
      <c r="AF331" s="20">
        <v>10</v>
      </c>
      <c r="AG331" s="20">
        <v>0</v>
      </c>
      <c r="AH331" s="20">
        <v>1</v>
      </c>
      <c r="AI331" s="328">
        <v>24.299368216426373</v>
      </c>
      <c r="AJ331" s="328" t="s">
        <v>1328</v>
      </c>
      <c r="AK331" s="328">
        <v>4.7058823529411766</v>
      </c>
      <c r="AL331" s="22" t="s">
        <v>1338</v>
      </c>
      <c r="AM331" s="22" t="s">
        <v>1339</v>
      </c>
      <c r="AN331" s="22" t="s">
        <v>1317</v>
      </c>
      <c r="AO331" s="22" t="s">
        <v>1318</v>
      </c>
      <c r="AP331" s="22" t="s">
        <v>1318</v>
      </c>
      <c r="AQ331" s="22" t="s">
        <v>1318</v>
      </c>
      <c r="AR331" s="22" t="s">
        <v>1317</v>
      </c>
      <c r="AS331" s="22" t="s">
        <v>1318</v>
      </c>
      <c r="AT331" s="22" t="s">
        <v>1317</v>
      </c>
      <c r="AU331" s="22" t="s">
        <v>1311</v>
      </c>
      <c r="AV331" s="22" t="s">
        <v>1309</v>
      </c>
      <c r="AW331" s="22" t="s">
        <v>1309</v>
      </c>
      <c r="AX331" s="22" t="s">
        <v>1317</v>
      </c>
      <c r="AY331" s="22" t="s">
        <v>1318</v>
      </c>
      <c r="AZ331" s="22" t="s">
        <v>1309</v>
      </c>
      <c r="BA331" s="22" t="s">
        <v>1309</v>
      </c>
      <c r="BB331" s="22" t="s">
        <v>1309</v>
      </c>
      <c r="BC331" s="22" t="s">
        <v>1309</v>
      </c>
      <c r="BD331" s="22" t="s">
        <v>1317</v>
      </c>
      <c r="BE331" s="22" t="s">
        <v>1318</v>
      </c>
      <c r="BF331" s="22" t="s">
        <v>1317</v>
      </c>
      <c r="BG331" s="22" t="s">
        <v>1318</v>
      </c>
      <c r="BH331" s="22" t="s">
        <v>1317</v>
      </c>
      <c r="BI331" s="22" t="s">
        <v>1318</v>
      </c>
      <c r="BJ331" s="22" t="s">
        <v>1317</v>
      </c>
      <c r="BK331" s="22" t="s">
        <v>1318</v>
      </c>
      <c r="BL331" s="22" t="s">
        <v>1309</v>
      </c>
      <c r="BM331" s="22" t="s">
        <v>1309</v>
      </c>
      <c r="BN331" s="22" t="s">
        <v>1309</v>
      </c>
      <c r="BO331" s="22" t="s">
        <v>1309</v>
      </c>
      <c r="BP331" s="22" t="s">
        <v>1315</v>
      </c>
      <c r="BQ331" s="22" t="s">
        <v>1315</v>
      </c>
      <c r="BR331" s="22" t="s">
        <v>1317</v>
      </c>
      <c r="BS331" s="22" t="s">
        <v>1311</v>
      </c>
      <c r="BT331" s="22" t="s">
        <v>1315</v>
      </c>
      <c r="BU331" s="22" t="s">
        <v>1315</v>
      </c>
      <c r="BV331" s="22" t="s">
        <v>1317</v>
      </c>
      <c r="BW331" s="22" t="s">
        <v>1318</v>
      </c>
      <c r="BX331" s="20">
        <v>29</v>
      </c>
      <c r="BY331" s="20">
        <v>3</v>
      </c>
      <c r="BZ331" s="20">
        <v>10</v>
      </c>
      <c r="CA331" s="20">
        <v>20</v>
      </c>
      <c r="CB331" s="20">
        <v>0</v>
      </c>
      <c r="CC331" s="20">
        <v>181</v>
      </c>
      <c r="CD331" s="22" t="s">
        <v>1345</v>
      </c>
      <c r="CE331" s="22" t="s">
        <v>1321</v>
      </c>
      <c r="CF331" s="22" t="s">
        <v>1331</v>
      </c>
      <c r="CG331" s="22" t="s">
        <v>1331</v>
      </c>
      <c r="CH331" s="22" t="s">
        <v>1315</v>
      </c>
      <c r="CI331" s="22" t="s">
        <v>1315</v>
      </c>
      <c r="CJ331" s="149" t="s">
        <v>2069</v>
      </c>
      <c r="CK331" s="241" t="s">
        <v>1124</v>
      </c>
    </row>
    <row r="332" spans="1:89" ht="15" customHeight="1" x14ac:dyDescent="0.35">
      <c r="A332" s="17"/>
      <c r="B332" s="313">
        <v>71050</v>
      </c>
      <c r="C332" s="8" t="s">
        <v>711</v>
      </c>
      <c r="D332" s="18">
        <v>16</v>
      </c>
      <c r="E332" s="131"/>
      <c r="F332" s="22"/>
      <c r="G332" s="132"/>
      <c r="H332" s="22"/>
      <c r="I332" s="22"/>
      <c r="J332" s="22"/>
      <c r="K332" s="22"/>
      <c r="L332" s="22"/>
      <c r="M332" s="133"/>
      <c r="N332" s="22"/>
      <c r="O332" s="22"/>
      <c r="P332" s="22"/>
      <c r="Q332" s="20"/>
      <c r="R332" s="20"/>
      <c r="S332" s="20"/>
      <c r="T332" s="20"/>
      <c r="U332" s="20"/>
      <c r="V332" s="20"/>
      <c r="W332" s="20"/>
      <c r="X332" s="20"/>
      <c r="Y332" s="20"/>
      <c r="Z332" s="20"/>
      <c r="AA332" s="20"/>
      <c r="AB332" s="22"/>
      <c r="AC332" s="20"/>
      <c r="AD332" s="20"/>
      <c r="AE332" s="20"/>
      <c r="AF332" s="20" t="s">
        <v>1124</v>
      </c>
      <c r="AG332" s="20" t="s">
        <v>1124</v>
      </c>
      <c r="AH332" s="20" t="s">
        <v>1124</v>
      </c>
      <c r="AI332" s="328"/>
      <c r="AJ332" s="328"/>
      <c r="AK332" s="328"/>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0"/>
      <c r="BY332" s="20"/>
      <c r="BZ332" s="20"/>
      <c r="CA332" s="20"/>
      <c r="CB332" s="20"/>
      <c r="CC332" s="20"/>
      <c r="CD332" s="22"/>
      <c r="CE332" s="22"/>
      <c r="CF332" s="22"/>
      <c r="CG332" s="22"/>
      <c r="CH332" s="22"/>
      <c r="CI332" s="22"/>
      <c r="CJ332" s="149"/>
      <c r="CK332" s="241"/>
    </row>
    <row r="333" spans="1:89" ht="15" customHeight="1" x14ac:dyDescent="0.35">
      <c r="A333" s="17"/>
      <c r="B333" s="313">
        <v>71033</v>
      </c>
      <c r="C333" s="8" t="s">
        <v>708</v>
      </c>
      <c r="D333" s="18">
        <v>16</v>
      </c>
      <c r="E333" s="131" t="s">
        <v>1309</v>
      </c>
      <c r="F333" s="22" t="s">
        <v>1309</v>
      </c>
      <c r="G333" s="132" t="s">
        <v>1309</v>
      </c>
      <c r="H333" s="22" t="s">
        <v>1311</v>
      </c>
      <c r="I333" s="22" t="s">
        <v>1327</v>
      </c>
      <c r="J333" s="22" t="s">
        <v>1327</v>
      </c>
      <c r="K333" s="22" t="s">
        <v>1314</v>
      </c>
      <c r="L333" s="22" t="s">
        <v>1311</v>
      </c>
      <c r="M333" s="133" t="s">
        <v>1311</v>
      </c>
      <c r="N333" s="22" t="s">
        <v>1311</v>
      </c>
      <c r="O333" s="22" t="s">
        <v>1315</v>
      </c>
      <c r="P333" s="22" t="s">
        <v>1318</v>
      </c>
      <c r="Q333" s="20">
        <v>0</v>
      </c>
      <c r="R333" s="20">
        <v>0</v>
      </c>
      <c r="S333" s="20">
        <v>0</v>
      </c>
      <c r="T333" s="20">
        <v>0</v>
      </c>
      <c r="U333" s="20">
        <v>0</v>
      </c>
      <c r="V333" s="20">
        <v>0</v>
      </c>
      <c r="W333" s="20">
        <v>0</v>
      </c>
      <c r="X333" s="20">
        <v>0</v>
      </c>
      <c r="Y333" s="20">
        <v>0</v>
      </c>
      <c r="Z333" s="20">
        <v>0</v>
      </c>
      <c r="AA333" s="20" t="s">
        <v>1317</v>
      </c>
      <c r="AB333" s="22" t="s">
        <v>1318</v>
      </c>
      <c r="AC333" s="20">
        <v>8</v>
      </c>
      <c r="AD333" s="20">
        <v>0</v>
      </c>
      <c r="AE333" s="20">
        <v>0</v>
      </c>
      <c r="AF333" s="20">
        <v>2</v>
      </c>
      <c r="AG333" s="20">
        <v>0</v>
      </c>
      <c r="AH333" s="20">
        <v>0</v>
      </c>
      <c r="AI333" s="328">
        <v>26.119037513467628</v>
      </c>
      <c r="AJ333" s="328" t="s">
        <v>1328</v>
      </c>
      <c r="AK333" s="328" t="s">
        <v>1328</v>
      </c>
      <c r="AL333" s="22" t="s">
        <v>1329</v>
      </c>
      <c r="AM333" s="22" t="s">
        <v>1330</v>
      </c>
      <c r="AN333" s="22" t="s">
        <v>1317</v>
      </c>
      <c r="AO333" s="22" t="s">
        <v>1318</v>
      </c>
      <c r="AP333" s="22" t="s">
        <v>1318</v>
      </c>
      <c r="AQ333" s="22" t="s">
        <v>1318</v>
      </c>
      <c r="AR333" s="22" t="s">
        <v>1317</v>
      </c>
      <c r="AS333" s="22" t="s">
        <v>1318</v>
      </c>
      <c r="AT333" s="22" t="s">
        <v>1317</v>
      </c>
      <c r="AU333" s="22" t="s">
        <v>1318</v>
      </c>
      <c r="AV333" s="22" t="s">
        <v>1309</v>
      </c>
      <c r="AW333" s="22" t="s">
        <v>1309</v>
      </c>
      <c r="AX333" s="22" t="s">
        <v>1309</v>
      </c>
      <c r="AY333" s="22" t="s">
        <v>1309</v>
      </c>
      <c r="AZ333" s="22" t="s">
        <v>1309</v>
      </c>
      <c r="BA333" s="22" t="s">
        <v>1309</v>
      </c>
      <c r="BB333" s="22" t="s">
        <v>1317</v>
      </c>
      <c r="BC333" s="22" t="s">
        <v>1318</v>
      </c>
      <c r="BD333" s="22" t="s">
        <v>1317</v>
      </c>
      <c r="BE333" s="22" t="s">
        <v>1318</v>
      </c>
      <c r="BF333" s="22" t="s">
        <v>1317</v>
      </c>
      <c r="BG333" s="22" t="s">
        <v>1318</v>
      </c>
      <c r="BH333" s="22" t="s">
        <v>1317</v>
      </c>
      <c r="BI333" s="22" t="s">
        <v>1318</v>
      </c>
      <c r="BJ333" s="22" t="s">
        <v>1317</v>
      </c>
      <c r="BK333" s="22" t="s">
        <v>1311</v>
      </c>
      <c r="BL333" s="22" t="s">
        <v>1317</v>
      </c>
      <c r="BM333" s="22" t="s">
        <v>1318</v>
      </c>
      <c r="BN333" s="22" t="s">
        <v>1309</v>
      </c>
      <c r="BO333" s="22" t="s">
        <v>1309</v>
      </c>
      <c r="BP333" s="22" t="s">
        <v>1317</v>
      </c>
      <c r="BQ333" s="22" t="s">
        <v>1318</v>
      </c>
      <c r="BR333" s="22" t="s">
        <v>1317</v>
      </c>
      <c r="BS333" s="22" t="s">
        <v>1318</v>
      </c>
      <c r="BT333" s="22" t="s">
        <v>1309</v>
      </c>
      <c r="BU333" s="22" t="s">
        <v>1311</v>
      </c>
      <c r="BV333" s="22" t="s">
        <v>1317</v>
      </c>
      <c r="BW333" s="22" t="s">
        <v>1318</v>
      </c>
      <c r="BX333" s="20">
        <v>0</v>
      </c>
      <c r="BY333" s="20">
        <v>0</v>
      </c>
      <c r="BZ333" s="20">
        <v>146</v>
      </c>
      <c r="CA333" s="20">
        <v>0</v>
      </c>
      <c r="CB333" s="20">
        <v>0</v>
      </c>
      <c r="CC333" s="20">
        <v>1879</v>
      </c>
      <c r="CD333" s="22" t="s">
        <v>1317</v>
      </c>
      <c r="CE333" s="22" t="s">
        <v>1318</v>
      </c>
      <c r="CF333" s="22" t="s">
        <v>1317</v>
      </c>
      <c r="CG333" s="22" t="s">
        <v>1318</v>
      </c>
      <c r="CH333" s="22" t="s">
        <v>1317</v>
      </c>
      <c r="CI333" s="22" t="s">
        <v>1318</v>
      </c>
      <c r="CJ333" s="149" t="s">
        <v>1124</v>
      </c>
      <c r="CK333" s="241" t="s">
        <v>2073</v>
      </c>
    </row>
    <row r="334" spans="1:89" ht="15" customHeight="1" x14ac:dyDescent="0.35">
      <c r="A334" s="17"/>
      <c r="B334" s="313">
        <v>16048</v>
      </c>
      <c r="C334" s="8" t="s">
        <v>87</v>
      </c>
      <c r="D334" s="18">
        <v>3</v>
      </c>
      <c r="E334" s="131" t="s">
        <v>1319</v>
      </c>
      <c r="F334" s="22" t="s">
        <v>1310</v>
      </c>
      <c r="G334" s="132" t="s">
        <v>1309</v>
      </c>
      <c r="H334" s="22" t="s">
        <v>1311</v>
      </c>
      <c r="I334" s="22" t="s">
        <v>1327</v>
      </c>
      <c r="J334" s="22" t="s">
        <v>1327</v>
      </c>
      <c r="K334" s="22" t="s">
        <v>1314</v>
      </c>
      <c r="L334" s="22" t="s">
        <v>1311</v>
      </c>
      <c r="M334" s="133" t="s">
        <v>1311</v>
      </c>
      <c r="N334" s="22" t="s">
        <v>1311</v>
      </c>
      <c r="O334" s="22" t="s">
        <v>1314</v>
      </c>
      <c r="P334" s="22" t="s">
        <v>1318</v>
      </c>
      <c r="Q334" s="20">
        <v>0</v>
      </c>
      <c r="R334" s="20">
        <v>0</v>
      </c>
      <c r="S334" s="20">
        <v>24.327999999999999</v>
      </c>
      <c r="T334" s="20">
        <v>24.327999999999999</v>
      </c>
      <c r="U334" s="20">
        <v>0</v>
      </c>
      <c r="V334" s="20">
        <v>0</v>
      </c>
      <c r="W334" s="20">
        <v>0</v>
      </c>
      <c r="X334" s="20">
        <v>0</v>
      </c>
      <c r="Y334" s="20">
        <v>0</v>
      </c>
      <c r="Z334" s="20">
        <v>0</v>
      </c>
      <c r="AA334" s="20" t="s">
        <v>1317</v>
      </c>
      <c r="AB334" s="22" t="s">
        <v>1318</v>
      </c>
      <c r="AC334" s="20">
        <v>0</v>
      </c>
      <c r="AD334" s="20">
        <v>0</v>
      </c>
      <c r="AE334" s="20">
        <v>0</v>
      </c>
      <c r="AF334" s="20">
        <v>0</v>
      </c>
      <c r="AG334" s="20">
        <v>0</v>
      </c>
      <c r="AH334" s="20">
        <v>0</v>
      </c>
      <c r="AI334" s="328" t="s">
        <v>1328</v>
      </c>
      <c r="AJ334" s="328" t="s">
        <v>1328</v>
      </c>
      <c r="AK334" s="328" t="s">
        <v>1328</v>
      </c>
      <c r="AL334" s="22" t="s">
        <v>1329</v>
      </c>
      <c r="AM334" s="22" t="s">
        <v>1330</v>
      </c>
      <c r="AN334" s="22" t="s">
        <v>1347</v>
      </c>
      <c r="AO334" s="22" t="s">
        <v>1309</v>
      </c>
      <c r="AP334" s="22" t="s">
        <v>1350</v>
      </c>
      <c r="AQ334" s="22" t="s">
        <v>1348</v>
      </c>
      <c r="AR334" s="22" t="s">
        <v>1317</v>
      </c>
      <c r="AS334" s="22" t="s">
        <v>1318</v>
      </c>
      <c r="AT334" s="22" t="s">
        <v>1309</v>
      </c>
      <c r="AU334" s="22" t="s">
        <v>1309</v>
      </c>
      <c r="AV334" s="22" t="s">
        <v>1317</v>
      </c>
      <c r="AW334" s="22" t="s">
        <v>1318</v>
      </c>
      <c r="AX334" s="22" t="s">
        <v>1317</v>
      </c>
      <c r="AY334" s="22" t="s">
        <v>1318</v>
      </c>
      <c r="AZ334" s="22" t="s">
        <v>1317</v>
      </c>
      <c r="BA334" s="22" t="s">
        <v>1318</v>
      </c>
      <c r="BB334" s="22" t="s">
        <v>1309</v>
      </c>
      <c r="BC334" s="22" t="s">
        <v>1309</v>
      </c>
      <c r="BD334" s="22" t="s">
        <v>1317</v>
      </c>
      <c r="BE334" s="22" t="s">
        <v>1318</v>
      </c>
      <c r="BF334" s="22" t="s">
        <v>1319</v>
      </c>
      <c r="BG334" s="22" t="s">
        <v>1311</v>
      </c>
      <c r="BH334" s="22" t="s">
        <v>1317</v>
      </c>
      <c r="BI334" s="22" t="s">
        <v>1318</v>
      </c>
      <c r="BJ334" s="22" t="s">
        <v>1317</v>
      </c>
      <c r="BK334" s="22" t="s">
        <v>1318</v>
      </c>
      <c r="BL334" s="22" t="s">
        <v>1319</v>
      </c>
      <c r="BM334" s="22" t="s">
        <v>1309</v>
      </c>
      <c r="BN334" s="22" t="s">
        <v>1309</v>
      </c>
      <c r="BO334" s="22" t="s">
        <v>1309</v>
      </c>
      <c r="BP334" s="22" t="s">
        <v>1317</v>
      </c>
      <c r="BQ334" s="22" t="s">
        <v>1318</v>
      </c>
      <c r="BR334" s="22" t="s">
        <v>1309</v>
      </c>
      <c r="BS334" s="22" t="s">
        <v>1309</v>
      </c>
      <c r="BT334" s="22" t="s">
        <v>1317</v>
      </c>
      <c r="BU334" s="22" t="s">
        <v>1318</v>
      </c>
      <c r="BV334" s="22" t="s">
        <v>1317</v>
      </c>
      <c r="BW334" s="22" t="s">
        <v>1318</v>
      </c>
      <c r="BX334" s="20">
        <v>0</v>
      </c>
      <c r="BY334" s="20">
        <v>4</v>
      </c>
      <c r="BZ334" s="20">
        <v>27</v>
      </c>
      <c r="CA334" s="20">
        <v>0</v>
      </c>
      <c r="CB334" s="20">
        <v>2</v>
      </c>
      <c r="CC334" s="20">
        <v>437</v>
      </c>
      <c r="CD334" s="22" t="s">
        <v>1320</v>
      </c>
      <c r="CE334" s="22" t="s">
        <v>1321</v>
      </c>
      <c r="CF334" s="22" t="s">
        <v>1320</v>
      </c>
      <c r="CG334" s="22" t="s">
        <v>1321</v>
      </c>
      <c r="CH334" s="22" t="s">
        <v>1317</v>
      </c>
      <c r="CI334" s="22" t="s">
        <v>1318</v>
      </c>
      <c r="CJ334" s="149" t="s">
        <v>1124</v>
      </c>
      <c r="CK334" s="241" t="s">
        <v>2079</v>
      </c>
    </row>
    <row r="335" spans="1:89" ht="15" customHeight="1" x14ac:dyDescent="0.35">
      <c r="A335" s="17"/>
      <c r="B335" s="313">
        <v>95025</v>
      </c>
      <c r="C335" s="8" t="s">
        <v>989</v>
      </c>
      <c r="D335" s="18">
        <v>9</v>
      </c>
      <c r="E335" s="131"/>
      <c r="F335" s="22"/>
      <c r="G335" s="132"/>
      <c r="H335" s="22"/>
      <c r="I335" s="22"/>
      <c r="J335" s="22"/>
      <c r="K335" s="22"/>
      <c r="L335" s="22"/>
      <c r="M335" s="133"/>
      <c r="N335" s="22"/>
      <c r="O335" s="22"/>
      <c r="P335" s="22"/>
      <c r="Q335" s="20"/>
      <c r="R335" s="20"/>
      <c r="S335" s="20"/>
      <c r="T335" s="20"/>
      <c r="U335" s="20"/>
      <c r="V335" s="20"/>
      <c r="W335" s="20"/>
      <c r="X335" s="20"/>
      <c r="Y335" s="20"/>
      <c r="Z335" s="20"/>
      <c r="AA335" s="20"/>
      <c r="AB335" s="22"/>
      <c r="AC335" s="20"/>
      <c r="AD335" s="20"/>
      <c r="AE335" s="20"/>
      <c r="AF335" s="20" t="s">
        <v>1124</v>
      </c>
      <c r="AG335" s="20" t="s">
        <v>1124</v>
      </c>
      <c r="AH335" s="20" t="s">
        <v>1124</v>
      </c>
      <c r="AI335" s="328"/>
      <c r="AJ335" s="328"/>
      <c r="AK335" s="328"/>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0"/>
      <c r="BY335" s="20"/>
      <c r="BZ335" s="20"/>
      <c r="CA335" s="20"/>
      <c r="CB335" s="20"/>
      <c r="CC335" s="20"/>
      <c r="CD335" s="22"/>
      <c r="CE335" s="22"/>
      <c r="CF335" s="22"/>
      <c r="CG335" s="22"/>
      <c r="CH335" s="22"/>
      <c r="CI335" s="22"/>
      <c r="CJ335" s="149"/>
      <c r="CK335" s="241"/>
    </row>
    <row r="336" spans="1:89" ht="15" customHeight="1" x14ac:dyDescent="0.35">
      <c r="A336" s="17"/>
      <c r="B336" s="313">
        <v>9015</v>
      </c>
      <c r="C336" s="8" t="s">
        <v>1099</v>
      </c>
      <c r="D336" s="18">
        <v>1</v>
      </c>
      <c r="E336" s="131"/>
      <c r="F336" s="22"/>
      <c r="G336" s="132"/>
      <c r="H336" s="22"/>
      <c r="I336" s="22"/>
      <c r="J336" s="22"/>
      <c r="K336" s="22"/>
      <c r="L336" s="22"/>
      <c r="M336" s="133"/>
      <c r="N336" s="22"/>
      <c r="O336" s="22"/>
      <c r="P336" s="22"/>
      <c r="Q336" s="20"/>
      <c r="R336" s="20"/>
      <c r="S336" s="20"/>
      <c r="T336" s="20"/>
      <c r="U336" s="20"/>
      <c r="V336" s="20"/>
      <c r="W336" s="20"/>
      <c r="X336" s="20"/>
      <c r="Y336" s="20"/>
      <c r="Z336" s="20"/>
      <c r="AA336" s="20"/>
      <c r="AB336" s="22"/>
      <c r="AC336" s="20"/>
      <c r="AD336" s="20"/>
      <c r="AE336" s="20"/>
      <c r="AF336" s="20" t="s">
        <v>1124</v>
      </c>
      <c r="AG336" s="20" t="s">
        <v>1124</v>
      </c>
      <c r="AH336" s="20" t="s">
        <v>1124</v>
      </c>
      <c r="AI336" s="328"/>
      <c r="AJ336" s="328"/>
      <c r="AK336" s="328"/>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0"/>
      <c r="BY336" s="20"/>
      <c r="BZ336" s="20"/>
      <c r="CA336" s="20"/>
      <c r="CB336" s="20"/>
      <c r="CC336" s="20"/>
      <c r="CD336" s="22"/>
      <c r="CE336" s="22"/>
      <c r="CF336" s="22"/>
      <c r="CG336" s="22"/>
      <c r="CH336" s="22"/>
      <c r="CI336" s="22"/>
      <c r="CJ336" s="149"/>
      <c r="CK336" s="241"/>
    </row>
    <row r="337" spans="1:89" ht="15" customHeight="1" x14ac:dyDescent="0.35">
      <c r="A337" s="17"/>
      <c r="B337" s="313">
        <v>1023</v>
      </c>
      <c r="C337" s="8" t="s">
        <v>1024</v>
      </c>
      <c r="D337" s="18">
        <v>11</v>
      </c>
      <c r="E337" s="131"/>
      <c r="F337" s="22"/>
      <c r="G337" s="132"/>
      <c r="H337" s="22"/>
      <c r="I337" s="22"/>
      <c r="J337" s="22"/>
      <c r="K337" s="22"/>
      <c r="L337" s="22"/>
      <c r="M337" s="133"/>
      <c r="N337" s="22"/>
      <c r="O337" s="22"/>
      <c r="P337" s="22"/>
      <c r="Q337" s="20"/>
      <c r="R337" s="20"/>
      <c r="S337" s="20"/>
      <c r="T337" s="20"/>
      <c r="U337" s="20"/>
      <c r="V337" s="20"/>
      <c r="W337" s="20"/>
      <c r="X337" s="20"/>
      <c r="Y337" s="20"/>
      <c r="Z337" s="20"/>
      <c r="AA337" s="20"/>
      <c r="AB337" s="22"/>
      <c r="AC337" s="20"/>
      <c r="AD337" s="20"/>
      <c r="AE337" s="20"/>
      <c r="AF337" s="20" t="s">
        <v>1124</v>
      </c>
      <c r="AG337" s="20" t="s">
        <v>1124</v>
      </c>
      <c r="AH337" s="20" t="s">
        <v>1124</v>
      </c>
      <c r="AI337" s="328"/>
      <c r="AJ337" s="328"/>
      <c r="AK337" s="328"/>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0"/>
      <c r="BY337" s="20"/>
      <c r="BZ337" s="20"/>
      <c r="CA337" s="20"/>
      <c r="CB337" s="20"/>
      <c r="CC337" s="20"/>
      <c r="CD337" s="22"/>
      <c r="CE337" s="22"/>
      <c r="CF337" s="22"/>
      <c r="CG337" s="22"/>
      <c r="CH337" s="22"/>
      <c r="CI337" s="22"/>
      <c r="CJ337" s="149"/>
      <c r="CK337" s="241"/>
    </row>
    <row r="338" spans="1:89" ht="15" customHeight="1" x14ac:dyDescent="0.35">
      <c r="A338" s="17"/>
      <c r="B338" s="313">
        <v>8005</v>
      </c>
      <c r="C338" s="8" t="s">
        <v>1086</v>
      </c>
      <c r="D338" s="18">
        <v>1</v>
      </c>
      <c r="E338" s="131" t="s">
        <v>1309</v>
      </c>
      <c r="F338" s="22" t="s">
        <v>1309</v>
      </c>
      <c r="G338" s="132" t="s">
        <v>1309</v>
      </c>
      <c r="H338" s="22" t="s">
        <v>1311</v>
      </c>
      <c r="I338" s="22" t="s">
        <v>1327</v>
      </c>
      <c r="J338" s="22" t="s">
        <v>1327</v>
      </c>
      <c r="K338" s="22" t="s">
        <v>1309</v>
      </c>
      <c r="L338" s="22" t="s">
        <v>1309</v>
      </c>
      <c r="M338" s="133" t="s">
        <v>1311</v>
      </c>
      <c r="N338" s="22" t="s">
        <v>1311</v>
      </c>
      <c r="O338" s="22" t="s">
        <v>1309</v>
      </c>
      <c r="P338" s="22" t="s">
        <v>1309</v>
      </c>
      <c r="Q338" s="20">
        <v>0</v>
      </c>
      <c r="R338" s="20">
        <v>0</v>
      </c>
      <c r="S338" s="20">
        <v>0</v>
      </c>
      <c r="T338" s="20">
        <v>0</v>
      </c>
      <c r="U338" s="20">
        <v>11.877000000000001</v>
      </c>
      <c r="V338" s="20">
        <v>11.877000000000001</v>
      </c>
      <c r="W338" s="20">
        <v>0</v>
      </c>
      <c r="X338" s="20">
        <v>0</v>
      </c>
      <c r="Y338" s="20">
        <v>0</v>
      </c>
      <c r="Z338" s="20">
        <v>0</v>
      </c>
      <c r="AA338" s="20" t="s">
        <v>1309</v>
      </c>
      <c r="AB338" s="22" t="s">
        <v>1309</v>
      </c>
      <c r="AC338" s="20">
        <v>0</v>
      </c>
      <c r="AD338" s="20">
        <v>10</v>
      </c>
      <c r="AE338" s="20">
        <v>6</v>
      </c>
      <c r="AF338" s="20">
        <v>0</v>
      </c>
      <c r="AG338" s="20">
        <v>31</v>
      </c>
      <c r="AH338" s="20">
        <v>31</v>
      </c>
      <c r="AI338" s="328" t="s">
        <v>1328</v>
      </c>
      <c r="AJ338" s="328">
        <v>28.735632183908045</v>
      </c>
      <c r="AK338" s="328">
        <v>17.241379310344829</v>
      </c>
      <c r="AL338" s="22" t="s">
        <v>1338</v>
      </c>
      <c r="AM338" s="22" t="s">
        <v>1330</v>
      </c>
      <c r="AN338" s="22" t="s">
        <v>1317</v>
      </c>
      <c r="AO338" s="22" t="s">
        <v>1318</v>
      </c>
      <c r="AP338" s="22" t="s">
        <v>1318</v>
      </c>
      <c r="AQ338" s="22" t="s">
        <v>1318</v>
      </c>
      <c r="AR338" s="22" t="s">
        <v>1317</v>
      </c>
      <c r="AS338" s="22" t="s">
        <v>1318</v>
      </c>
      <c r="AT338" s="22" t="s">
        <v>1317</v>
      </c>
      <c r="AU338" s="22" t="s">
        <v>1311</v>
      </c>
      <c r="AV338" s="22" t="s">
        <v>1317</v>
      </c>
      <c r="AW338" s="22" t="s">
        <v>1318</v>
      </c>
      <c r="AX338" s="22" t="s">
        <v>1317</v>
      </c>
      <c r="AY338" s="22" t="s">
        <v>1318</v>
      </c>
      <c r="AZ338" s="22" t="s">
        <v>1309</v>
      </c>
      <c r="BA338" s="22" t="s">
        <v>1309</v>
      </c>
      <c r="BB338" s="22" t="s">
        <v>1309</v>
      </c>
      <c r="BC338" s="22" t="s">
        <v>1309</v>
      </c>
      <c r="BD338" s="22" t="s">
        <v>1317</v>
      </c>
      <c r="BE338" s="22" t="s">
        <v>1318</v>
      </c>
      <c r="BF338" s="22" t="s">
        <v>1317</v>
      </c>
      <c r="BG338" s="22" t="s">
        <v>1318</v>
      </c>
      <c r="BH338" s="22" t="s">
        <v>1309</v>
      </c>
      <c r="BI338" s="22" t="s">
        <v>1309</v>
      </c>
      <c r="BJ338" s="22" t="s">
        <v>1317</v>
      </c>
      <c r="BK338" s="22" t="s">
        <v>1311</v>
      </c>
      <c r="BL338" s="22" t="s">
        <v>1317</v>
      </c>
      <c r="BM338" s="22" t="s">
        <v>1318</v>
      </c>
      <c r="BN338" s="22" t="s">
        <v>1309</v>
      </c>
      <c r="BO338" s="22" t="s">
        <v>1309</v>
      </c>
      <c r="BP338" s="22" t="s">
        <v>1317</v>
      </c>
      <c r="BQ338" s="22" t="s">
        <v>1318</v>
      </c>
      <c r="BR338" s="22" t="s">
        <v>1317</v>
      </c>
      <c r="BS338" s="22" t="s">
        <v>1318</v>
      </c>
      <c r="BT338" s="22" t="s">
        <v>1317</v>
      </c>
      <c r="BU338" s="22" t="s">
        <v>1318</v>
      </c>
      <c r="BV338" s="22" t="s">
        <v>1309</v>
      </c>
      <c r="BW338" s="22" t="s">
        <v>1309</v>
      </c>
      <c r="BX338" s="20">
        <v>2</v>
      </c>
      <c r="BY338" s="20">
        <v>0</v>
      </c>
      <c r="BZ338" s="20">
        <v>6</v>
      </c>
      <c r="CA338" s="20">
        <v>0</v>
      </c>
      <c r="CB338" s="20">
        <v>0</v>
      </c>
      <c r="CC338" s="20">
        <v>340</v>
      </c>
      <c r="CD338" s="22" t="s">
        <v>1317</v>
      </c>
      <c r="CE338" s="22" t="s">
        <v>1318</v>
      </c>
      <c r="CF338" s="22" t="s">
        <v>1317</v>
      </c>
      <c r="CG338" s="22" t="s">
        <v>1318</v>
      </c>
      <c r="CH338" s="22" t="s">
        <v>1317</v>
      </c>
      <c r="CI338" s="22" t="s">
        <v>1318</v>
      </c>
      <c r="CJ338" s="149" t="s">
        <v>2083</v>
      </c>
      <c r="CK338" s="241" t="s">
        <v>2084</v>
      </c>
    </row>
    <row r="339" spans="1:89" ht="15" customHeight="1" x14ac:dyDescent="0.35">
      <c r="A339" s="17"/>
      <c r="B339" s="313">
        <v>25213</v>
      </c>
      <c r="C339" s="8" t="s">
        <v>166</v>
      </c>
      <c r="D339" s="18">
        <v>12</v>
      </c>
      <c r="E339" s="131" t="s">
        <v>1309</v>
      </c>
      <c r="F339" s="22" t="s">
        <v>1309</v>
      </c>
      <c r="G339" s="132" t="s">
        <v>1309</v>
      </c>
      <c r="H339" s="22" t="s">
        <v>1311</v>
      </c>
      <c r="I339" s="22" t="s">
        <v>1349</v>
      </c>
      <c r="J339" s="22" t="s">
        <v>1405</v>
      </c>
      <c r="K339" s="22" t="s">
        <v>1314</v>
      </c>
      <c r="L339" s="22" t="s">
        <v>1311</v>
      </c>
      <c r="M339" s="133" t="s">
        <v>1311</v>
      </c>
      <c r="N339" s="22" t="s">
        <v>1311</v>
      </c>
      <c r="O339" s="22" t="s">
        <v>1309</v>
      </c>
      <c r="P339" s="22" t="s">
        <v>1309</v>
      </c>
      <c r="Q339" s="20">
        <v>0</v>
      </c>
      <c r="R339" s="20">
        <v>0</v>
      </c>
      <c r="S339" s="20">
        <v>337.9</v>
      </c>
      <c r="T339" s="20">
        <v>675.8</v>
      </c>
      <c r="U339" s="20">
        <v>0</v>
      </c>
      <c r="V339" s="20">
        <v>0</v>
      </c>
      <c r="W339" s="20">
        <v>0</v>
      </c>
      <c r="X339" s="20">
        <v>0</v>
      </c>
      <c r="Y339" s="20">
        <v>0</v>
      </c>
      <c r="Z339" s="20">
        <v>0</v>
      </c>
      <c r="AA339" s="20" t="s">
        <v>1317</v>
      </c>
      <c r="AB339" s="22" t="s">
        <v>1318</v>
      </c>
      <c r="AC339" s="20">
        <v>108</v>
      </c>
      <c r="AD339" s="20">
        <v>27</v>
      </c>
      <c r="AE339" s="20">
        <v>5</v>
      </c>
      <c r="AF339" s="20">
        <v>3</v>
      </c>
      <c r="AG339" s="20">
        <v>5</v>
      </c>
      <c r="AH339" s="20">
        <v>18</v>
      </c>
      <c r="AI339" s="328">
        <v>12.759924385633271</v>
      </c>
      <c r="AJ339" s="328">
        <v>0.60741040696497262</v>
      </c>
      <c r="AK339" s="328">
        <v>0.11248340869721717</v>
      </c>
      <c r="AL339" s="22" t="s">
        <v>1316</v>
      </c>
      <c r="AM339" s="22" t="s">
        <v>1343</v>
      </c>
      <c r="AN339" s="22" t="s">
        <v>1317</v>
      </c>
      <c r="AO339" s="22" t="s">
        <v>1318</v>
      </c>
      <c r="AP339" s="22" t="s">
        <v>1318</v>
      </c>
      <c r="AQ339" s="22" t="s">
        <v>1318</v>
      </c>
      <c r="AR339" s="22" t="s">
        <v>1309</v>
      </c>
      <c r="AS339" s="22" t="s">
        <v>1309</v>
      </c>
      <c r="AT339" s="22" t="s">
        <v>1319</v>
      </c>
      <c r="AU339" s="22" t="s">
        <v>1309</v>
      </c>
      <c r="AV339" s="22" t="s">
        <v>1317</v>
      </c>
      <c r="AW339" s="22" t="s">
        <v>1318</v>
      </c>
      <c r="AX339" s="22" t="s">
        <v>1317</v>
      </c>
      <c r="AY339" s="22" t="s">
        <v>1318</v>
      </c>
      <c r="AZ339" s="22" t="s">
        <v>1317</v>
      </c>
      <c r="BA339" s="22" t="s">
        <v>1318</v>
      </c>
      <c r="BB339" s="22" t="s">
        <v>1317</v>
      </c>
      <c r="BC339" s="22" t="s">
        <v>1311</v>
      </c>
      <c r="BD339" s="22" t="s">
        <v>1317</v>
      </c>
      <c r="BE339" s="22" t="s">
        <v>1311</v>
      </c>
      <c r="BF339" s="22" t="s">
        <v>1317</v>
      </c>
      <c r="BG339" s="22" t="s">
        <v>1318</v>
      </c>
      <c r="BH339" s="22" t="s">
        <v>1317</v>
      </c>
      <c r="BI339" s="22" t="s">
        <v>1318</v>
      </c>
      <c r="BJ339" s="22" t="s">
        <v>1317</v>
      </c>
      <c r="BK339" s="22" t="s">
        <v>1318</v>
      </c>
      <c r="BL339" s="22" t="s">
        <v>1319</v>
      </c>
      <c r="BM339" s="22" t="s">
        <v>1311</v>
      </c>
      <c r="BN339" s="22" t="s">
        <v>1319</v>
      </c>
      <c r="BO339" s="22" t="s">
        <v>1311</v>
      </c>
      <c r="BP339" s="22" t="s">
        <v>1319</v>
      </c>
      <c r="BQ339" s="22" t="s">
        <v>1311</v>
      </c>
      <c r="BR339" s="22" t="s">
        <v>1317</v>
      </c>
      <c r="BS339" s="22" t="s">
        <v>1318</v>
      </c>
      <c r="BT339" s="22" t="s">
        <v>1317</v>
      </c>
      <c r="BU339" s="22" t="s">
        <v>1318</v>
      </c>
      <c r="BV339" s="22" t="s">
        <v>1317</v>
      </c>
      <c r="BW339" s="22" t="s">
        <v>1318</v>
      </c>
      <c r="BX339" s="20">
        <v>1633</v>
      </c>
      <c r="BY339" s="20">
        <v>20</v>
      </c>
      <c r="BZ339" s="20">
        <v>5</v>
      </c>
      <c r="CA339" s="20">
        <v>320</v>
      </c>
      <c r="CB339" s="20">
        <v>11800</v>
      </c>
      <c r="CC339" s="20">
        <v>30385</v>
      </c>
      <c r="CD339" s="22" t="s">
        <v>1331</v>
      </c>
      <c r="CE339" s="22" t="s">
        <v>1331</v>
      </c>
      <c r="CF339" s="22" t="s">
        <v>1320</v>
      </c>
      <c r="CG339" s="22" t="s">
        <v>1344</v>
      </c>
      <c r="CH339" s="22" t="s">
        <v>1315</v>
      </c>
      <c r="CI339" s="22" t="s">
        <v>1315</v>
      </c>
      <c r="CJ339" s="149" t="s">
        <v>2092</v>
      </c>
      <c r="CK339" s="241" t="s">
        <v>1124</v>
      </c>
    </row>
    <row r="340" spans="1:89" ht="15" customHeight="1" x14ac:dyDescent="0.35">
      <c r="A340" s="17"/>
      <c r="B340" s="313">
        <v>71095</v>
      </c>
      <c r="C340" s="8" t="s">
        <v>719</v>
      </c>
      <c r="D340" s="18">
        <v>16</v>
      </c>
      <c r="E340" s="131"/>
      <c r="F340" s="22"/>
      <c r="G340" s="132"/>
      <c r="H340" s="22"/>
      <c r="I340" s="22"/>
      <c r="J340" s="22"/>
      <c r="K340" s="22"/>
      <c r="L340" s="22"/>
      <c r="M340" s="133"/>
      <c r="N340" s="22"/>
      <c r="O340" s="22"/>
      <c r="P340" s="22"/>
      <c r="Q340" s="20"/>
      <c r="R340" s="20"/>
      <c r="S340" s="20"/>
      <c r="T340" s="20"/>
      <c r="U340" s="20"/>
      <c r="V340" s="20"/>
      <c r="W340" s="20"/>
      <c r="X340" s="20"/>
      <c r="Y340" s="20"/>
      <c r="Z340" s="20"/>
      <c r="AA340" s="20"/>
      <c r="AB340" s="22"/>
      <c r="AC340" s="20"/>
      <c r="AD340" s="20"/>
      <c r="AE340" s="20"/>
      <c r="AF340" s="20" t="s">
        <v>1124</v>
      </c>
      <c r="AG340" s="20" t="s">
        <v>1124</v>
      </c>
      <c r="AH340" s="20" t="s">
        <v>1124</v>
      </c>
      <c r="AI340" s="328"/>
      <c r="AJ340" s="328"/>
      <c r="AK340" s="328"/>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0"/>
      <c r="BY340" s="20"/>
      <c r="BZ340" s="20"/>
      <c r="CA340" s="20"/>
      <c r="CB340" s="20"/>
      <c r="CC340" s="20"/>
      <c r="CD340" s="22"/>
      <c r="CE340" s="22"/>
      <c r="CF340" s="22"/>
      <c r="CG340" s="22"/>
      <c r="CH340" s="22"/>
      <c r="CI340" s="22"/>
      <c r="CJ340" s="149"/>
      <c r="CK340" s="241"/>
    </row>
    <row r="341" spans="1:89" ht="15" customHeight="1" x14ac:dyDescent="0.35">
      <c r="A341" s="17"/>
      <c r="B341" s="313">
        <v>98020</v>
      </c>
      <c r="C341" s="8" t="s">
        <v>1011</v>
      </c>
      <c r="D341" s="18">
        <v>9</v>
      </c>
      <c r="E341" s="131"/>
      <c r="F341" s="22"/>
      <c r="G341" s="132"/>
      <c r="H341" s="22"/>
      <c r="I341" s="22"/>
      <c r="J341" s="22"/>
      <c r="K341" s="22"/>
      <c r="L341" s="22"/>
      <c r="M341" s="133"/>
      <c r="N341" s="22"/>
      <c r="O341" s="22"/>
      <c r="P341" s="22"/>
      <c r="Q341" s="20"/>
      <c r="R341" s="20"/>
      <c r="S341" s="20"/>
      <c r="T341" s="20"/>
      <c r="U341" s="20"/>
      <c r="V341" s="20"/>
      <c r="W341" s="20"/>
      <c r="X341" s="20"/>
      <c r="Y341" s="20"/>
      <c r="Z341" s="20"/>
      <c r="AA341" s="20"/>
      <c r="AB341" s="22"/>
      <c r="AC341" s="20"/>
      <c r="AD341" s="20"/>
      <c r="AE341" s="20"/>
      <c r="AF341" s="20" t="s">
        <v>1124</v>
      </c>
      <c r="AG341" s="20" t="s">
        <v>1124</v>
      </c>
      <c r="AH341" s="20" t="s">
        <v>1124</v>
      </c>
      <c r="AI341" s="328"/>
      <c r="AJ341" s="328"/>
      <c r="AK341" s="328"/>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0"/>
      <c r="BY341" s="20"/>
      <c r="BZ341" s="20"/>
      <c r="CA341" s="20"/>
      <c r="CB341" s="20"/>
      <c r="CC341" s="20"/>
      <c r="CD341" s="22"/>
      <c r="CE341" s="22"/>
      <c r="CF341" s="22"/>
      <c r="CG341" s="22"/>
      <c r="CH341" s="22"/>
      <c r="CI341" s="22"/>
      <c r="CJ341" s="149"/>
      <c r="CK341" s="241"/>
    </row>
    <row r="342" spans="1:89" ht="15" customHeight="1" x14ac:dyDescent="0.35">
      <c r="A342" s="17"/>
      <c r="B342" s="313">
        <v>66092</v>
      </c>
      <c r="C342" s="8" t="s">
        <v>655</v>
      </c>
      <c r="D342" s="18">
        <v>6</v>
      </c>
      <c r="E342" s="131"/>
      <c r="F342" s="22"/>
      <c r="G342" s="132"/>
      <c r="H342" s="22"/>
      <c r="I342" s="22"/>
      <c r="J342" s="22"/>
      <c r="K342" s="22"/>
      <c r="L342" s="22"/>
      <c r="M342" s="133"/>
      <c r="N342" s="22"/>
      <c r="O342" s="22"/>
      <c r="P342" s="22"/>
      <c r="Q342" s="20"/>
      <c r="R342" s="20"/>
      <c r="S342" s="20"/>
      <c r="T342" s="20"/>
      <c r="U342" s="20"/>
      <c r="V342" s="20"/>
      <c r="W342" s="20"/>
      <c r="X342" s="20"/>
      <c r="Y342" s="20"/>
      <c r="Z342" s="20"/>
      <c r="AA342" s="20"/>
      <c r="AB342" s="22"/>
      <c r="AC342" s="20"/>
      <c r="AD342" s="20"/>
      <c r="AE342" s="20"/>
      <c r="AF342" s="20" t="s">
        <v>1124</v>
      </c>
      <c r="AG342" s="20" t="s">
        <v>1124</v>
      </c>
      <c r="AH342" s="20" t="s">
        <v>1124</v>
      </c>
      <c r="AI342" s="328"/>
      <c r="AJ342" s="328"/>
      <c r="AK342" s="328"/>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0"/>
      <c r="BY342" s="20"/>
      <c r="BZ342" s="20"/>
      <c r="CA342" s="20"/>
      <c r="CB342" s="20"/>
      <c r="CC342" s="20"/>
      <c r="CD342" s="22"/>
      <c r="CE342" s="22"/>
      <c r="CF342" s="22"/>
      <c r="CG342" s="22"/>
      <c r="CH342" s="22"/>
      <c r="CI342" s="22"/>
      <c r="CJ342" s="149"/>
      <c r="CK342" s="241"/>
    </row>
    <row r="343" spans="1:89" ht="15" customHeight="1" x14ac:dyDescent="0.35">
      <c r="A343" s="17"/>
      <c r="B343" s="313">
        <v>84035</v>
      </c>
      <c r="C343" s="8" t="s">
        <v>858</v>
      </c>
      <c r="D343" s="18">
        <v>7</v>
      </c>
      <c r="E343" s="131"/>
      <c r="F343" s="22"/>
      <c r="G343" s="132"/>
      <c r="H343" s="22"/>
      <c r="I343" s="22"/>
      <c r="J343" s="22"/>
      <c r="K343" s="22"/>
      <c r="L343" s="22"/>
      <c r="M343" s="133"/>
      <c r="N343" s="22"/>
      <c r="O343" s="22"/>
      <c r="P343" s="22"/>
      <c r="Q343" s="20"/>
      <c r="R343" s="20"/>
      <c r="S343" s="20"/>
      <c r="T343" s="20"/>
      <c r="U343" s="20"/>
      <c r="V343" s="20"/>
      <c r="W343" s="20"/>
      <c r="X343" s="20"/>
      <c r="Y343" s="20"/>
      <c r="Z343" s="20"/>
      <c r="AA343" s="20"/>
      <c r="AB343" s="22"/>
      <c r="AC343" s="20"/>
      <c r="AD343" s="20"/>
      <c r="AE343" s="20"/>
      <c r="AF343" s="20" t="s">
        <v>1124</v>
      </c>
      <c r="AG343" s="20" t="s">
        <v>1124</v>
      </c>
      <c r="AH343" s="20" t="s">
        <v>1124</v>
      </c>
      <c r="AI343" s="328"/>
      <c r="AJ343" s="328"/>
      <c r="AK343" s="328"/>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0"/>
      <c r="BY343" s="20"/>
      <c r="BZ343" s="20"/>
      <c r="CA343" s="20"/>
      <c r="CB343" s="20"/>
      <c r="CC343" s="20"/>
      <c r="CD343" s="22"/>
      <c r="CE343" s="22"/>
      <c r="CF343" s="22"/>
      <c r="CG343" s="22"/>
      <c r="CH343" s="22"/>
      <c r="CI343" s="22"/>
      <c r="CJ343" s="149"/>
      <c r="CK343" s="241"/>
    </row>
    <row r="344" spans="1:89" ht="15" customHeight="1" x14ac:dyDescent="0.35">
      <c r="A344" s="17"/>
      <c r="B344" s="313">
        <v>71060</v>
      </c>
      <c r="C344" s="8" t="s">
        <v>713</v>
      </c>
      <c r="D344" s="18">
        <v>16</v>
      </c>
      <c r="E344" s="131"/>
      <c r="F344" s="22"/>
      <c r="G344" s="132"/>
      <c r="H344" s="22"/>
      <c r="I344" s="22"/>
      <c r="J344" s="22"/>
      <c r="K344" s="22"/>
      <c r="L344" s="22"/>
      <c r="M344" s="133"/>
      <c r="N344" s="22"/>
      <c r="O344" s="22"/>
      <c r="P344" s="22"/>
      <c r="Q344" s="20"/>
      <c r="R344" s="20"/>
      <c r="S344" s="20"/>
      <c r="T344" s="20"/>
      <c r="U344" s="20"/>
      <c r="V344" s="20"/>
      <c r="W344" s="20"/>
      <c r="X344" s="20"/>
      <c r="Y344" s="20"/>
      <c r="Z344" s="20"/>
      <c r="AA344" s="20"/>
      <c r="AB344" s="22"/>
      <c r="AC344" s="20"/>
      <c r="AD344" s="20"/>
      <c r="AE344" s="20"/>
      <c r="AF344" s="20" t="s">
        <v>1124</v>
      </c>
      <c r="AG344" s="20" t="s">
        <v>1124</v>
      </c>
      <c r="AH344" s="20" t="s">
        <v>1124</v>
      </c>
      <c r="AI344" s="328"/>
      <c r="AJ344" s="328"/>
      <c r="AK344" s="328"/>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0"/>
      <c r="BY344" s="20"/>
      <c r="BZ344" s="20"/>
      <c r="CA344" s="20"/>
      <c r="CB344" s="20"/>
      <c r="CC344" s="20"/>
      <c r="CD344" s="22"/>
      <c r="CE344" s="22"/>
      <c r="CF344" s="22"/>
      <c r="CG344" s="22"/>
      <c r="CH344" s="22"/>
      <c r="CI344" s="22"/>
      <c r="CJ344" s="149"/>
      <c r="CK344" s="241"/>
    </row>
    <row r="345" spans="1:89" ht="15" customHeight="1" x14ac:dyDescent="0.35">
      <c r="A345" s="17"/>
      <c r="B345" s="313">
        <v>41085</v>
      </c>
      <c r="C345" s="8" t="s">
        <v>376</v>
      </c>
      <c r="D345" s="18">
        <v>5</v>
      </c>
      <c r="E345" s="131"/>
      <c r="F345" s="22"/>
      <c r="G345" s="132"/>
      <c r="H345" s="22"/>
      <c r="I345" s="22"/>
      <c r="J345" s="22"/>
      <c r="K345" s="22"/>
      <c r="L345" s="22"/>
      <c r="M345" s="133"/>
      <c r="N345" s="22"/>
      <c r="O345" s="22"/>
      <c r="P345" s="22"/>
      <c r="Q345" s="20"/>
      <c r="R345" s="20"/>
      <c r="S345" s="20"/>
      <c r="T345" s="20"/>
      <c r="U345" s="20"/>
      <c r="V345" s="20"/>
      <c r="W345" s="20"/>
      <c r="X345" s="20"/>
      <c r="Y345" s="20"/>
      <c r="Z345" s="20"/>
      <c r="AA345" s="20"/>
      <c r="AB345" s="22"/>
      <c r="AC345" s="20"/>
      <c r="AD345" s="20"/>
      <c r="AE345" s="20"/>
      <c r="AF345" s="20" t="s">
        <v>1124</v>
      </c>
      <c r="AG345" s="20" t="s">
        <v>1124</v>
      </c>
      <c r="AH345" s="20" t="s">
        <v>1124</v>
      </c>
      <c r="AI345" s="328"/>
      <c r="AJ345" s="328"/>
      <c r="AK345" s="328"/>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0"/>
      <c r="BY345" s="20"/>
      <c r="BZ345" s="20"/>
      <c r="CA345" s="20"/>
      <c r="CB345" s="20"/>
      <c r="CC345" s="20"/>
      <c r="CD345" s="22"/>
      <c r="CE345" s="22"/>
      <c r="CF345" s="22"/>
      <c r="CG345" s="22"/>
      <c r="CH345" s="22"/>
      <c r="CI345" s="22"/>
      <c r="CJ345" s="149"/>
      <c r="CK345" s="241"/>
    </row>
    <row r="346" spans="1:89" ht="15" customHeight="1" x14ac:dyDescent="0.35">
      <c r="A346" s="17"/>
      <c r="B346" s="313">
        <v>84082</v>
      </c>
      <c r="C346" s="8" t="s">
        <v>866</v>
      </c>
      <c r="D346" s="18">
        <v>7</v>
      </c>
      <c r="E346" s="131"/>
      <c r="F346" s="22"/>
      <c r="G346" s="132"/>
      <c r="H346" s="22"/>
      <c r="I346" s="22"/>
      <c r="J346" s="22"/>
      <c r="K346" s="22"/>
      <c r="L346" s="22"/>
      <c r="M346" s="133"/>
      <c r="N346" s="22"/>
      <c r="O346" s="22"/>
      <c r="P346" s="22"/>
      <c r="Q346" s="20"/>
      <c r="R346" s="20"/>
      <c r="S346" s="20"/>
      <c r="T346" s="20"/>
      <c r="U346" s="20"/>
      <c r="V346" s="20"/>
      <c r="W346" s="20"/>
      <c r="X346" s="20"/>
      <c r="Y346" s="20"/>
      <c r="Z346" s="20"/>
      <c r="AA346" s="20"/>
      <c r="AB346" s="22"/>
      <c r="AC346" s="20"/>
      <c r="AD346" s="20"/>
      <c r="AE346" s="20"/>
      <c r="AF346" s="20" t="s">
        <v>1124</v>
      </c>
      <c r="AG346" s="20" t="s">
        <v>1124</v>
      </c>
      <c r="AH346" s="20" t="s">
        <v>1124</v>
      </c>
      <c r="AI346" s="328"/>
      <c r="AJ346" s="328"/>
      <c r="AK346" s="328"/>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0"/>
      <c r="BY346" s="20"/>
      <c r="BZ346" s="20"/>
      <c r="CA346" s="20"/>
      <c r="CB346" s="20"/>
      <c r="CC346" s="20"/>
      <c r="CD346" s="22"/>
      <c r="CE346" s="22"/>
      <c r="CF346" s="22"/>
      <c r="CG346" s="22"/>
      <c r="CH346" s="22"/>
      <c r="CI346" s="22"/>
      <c r="CJ346" s="149"/>
      <c r="CK346" s="241"/>
    </row>
    <row r="347" spans="1:89" ht="15" customHeight="1" x14ac:dyDescent="0.35">
      <c r="A347" s="17"/>
      <c r="B347" s="313">
        <v>16023</v>
      </c>
      <c r="C347" s="8" t="s">
        <v>86</v>
      </c>
      <c r="D347" s="18">
        <v>3</v>
      </c>
      <c r="E347" s="131" t="s">
        <v>1309</v>
      </c>
      <c r="F347" s="22" t="s">
        <v>1309</v>
      </c>
      <c r="G347" s="132" t="s">
        <v>1309</v>
      </c>
      <c r="H347" s="22" t="s">
        <v>1311</v>
      </c>
      <c r="I347" s="22" t="s">
        <v>1327</v>
      </c>
      <c r="J347" s="22" t="s">
        <v>1327</v>
      </c>
      <c r="K347" s="22" t="s">
        <v>1319</v>
      </c>
      <c r="L347" s="22" t="s">
        <v>1311</v>
      </c>
      <c r="M347" s="133" t="s">
        <v>1311</v>
      </c>
      <c r="N347" s="22" t="s">
        <v>1311</v>
      </c>
      <c r="O347" s="22" t="s">
        <v>1309</v>
      </c>
      <c r="P347" s="22" t="s">
        <v>1309</v>
      </c>
      <c r="Q347" s="20">
        <v>0</v>
      </c>
      <c r="R347" s="20">
        <v>0</v>
      </c>
      <c r="S347" s="20">
        <v>0</v>
      </c>
      <c r="T347" s="20">
        <v>0</v>
      </c>
      <c r="U347" s="20">
        <v>0</v>
      </c>
      <c r="V347" s="20">
        <v>0</v>
      </c>
      <c r="W347" s="20">
        <v>0</v>
      </c>
      <c r="X347" s="20">
        <v>0</v>
      </c>
      <c r="Y347" s="20">
        <v>0</v>
      </c>
      <c r="Z347" s="20">
        <v>0</v>
      </c>
      <c r="AA347" s="20" t="s">
        <v>1317</v>
      </c>
      <c r="AB347" s="22" t="s">
        <v>1318</v>
      </c>
      <c r="AC347" s="20">
        <v>0</v>
      </c>
      <c r="AD347" s="20">
        <v>0</v>
      </c>
      <c r="AE347" s="20">
        <v>0</v>
      </c>
      <c r="AF347" s="20">
        <v>0</v>
      </c>
      <c r="AG347" s="20">
        <v>0</v>
      </c>
      <c r="AH347" s="20">
        <v>0</v>
      </c>
      <c r="AI347" s="328" t="s">
        <v>1328</v>
      </c>
      <c r="AJ347" s="328" t="s">
        <v>1328</v>
      </c>
      <c r="AK347" s="328" t="s">
        <v>1328</v>
      </c>
      <c r="AL347" s="22" t="s">
        <v>1329</v>
      </c>
      <c r="AM347" s="22" t="s">
        <v>1330</v>
      </c>
      <c r="AN347" s="22" t="s">
        <v>1317</v>
      </c>
      <c r="AO347" s="22" t="s">
        <v>1318</v>
      </c>
      <c r="AP347" s="22" t="s">
        <v>1318</v>
      </c>
      <c r="AQ347" s="22" t="s">
        <v>1318</v>
      </c>
      <c r="AR347" s="22" t="s">
        <v>1317</v>
      </c>
      <c r="AS347" s="22" t="s">
        <v>1318</v>
      </c>
      <c r="AT347" s="22" t="s">
        <v>1309</v>
      </c>
      <c r="AU347" s="22" t="s">
        <v>1309</v>
      </c>
      <c r="AV347" s="22" t="s">
        <v>1317</v>
      </c>
      <c r="AW347" s="22" t="s">
        <v>1318</v>
      </c>
      <c r="AX347" s="22" t="s">
        <v>1317</v>
      </c>
      <c r="AY347" s="22" t="s">
        <v>1318</v>
      </c>
      <c r="AZ347" s="22" t="s">
        <v>1309</v>
      </c>
      <c r="BA347" s="22" t="s">
        <v>1309</v>
      </c>
      <c r="BB347" s="22" t="s">
        <v>1309</v>
      </c>
      <c r="BC347" s="22" t="s">
        <v>1309</v>
      </c>
      <c r="BD347" s="22" t="s">
        <v>1309</v>
      </c>
      <c r="BE347" s="22" t="s">
        <v>1309</v>
      </c>
      <c r="BF347" s="22" t="s">
        <v>1317</v>
      </c>
      <c r="BG347" s="22" t="s">
        <v>1318</v>
      </c>
      <c r="BH347" s="22" t="s">
        <v>1317</v>
      </c>
      <c r="BI347" s="22" t="s">
        <v>1318</v>
      </c>
      <c r="BJ347" s="22" t="s">
        <v>1317</v>
      </c>
      <c r="BK347" s="22" t="s">
        <v>1318</v>
      </c>
      <c r="BL347" s="22" t="s">
        <v>1317</v>
      </c>
      <c r="BM347" s="22" t="s">
        <v>1318</v>
      </c>
      <c r="BN347" s="22" t="s">
        <v>1309</v>
      </c>
      <c r="BO347" s="22" t="s">
        <v>1309</v>
      </c>
      <c r="BP347" s="22" t="s">
        <v>1317</v>
      </c>
      <c r="BQ347" s="22" t="s">
        <v>1318</v>
      </c>
      <c r="BR347" s="22" t="s">
        <v>1309</v>
      </c>
      <c r="BS347" s="22" t="s">
        <v>1309</v>
      </c>
      <c r="BT347" s="22" t="s">
        <v>1309</v>
      </c>
      <c r="BU347" s="22" t="s">
        <v>1309</v>
      </c>
      <c r="BV347" s="22" t="s">
        <v>1317</v>
      </c>
      <c r="BW347" s="22" t="s">
        <v>1318</v>
      </c>
      <c r="BX347" s="20">
        <v>2</v>
      </c>
      <c r="BY347" s="20">
        <v>0</v>
      </c>
      <c r="BZ347" s="20">
        <v>37</v>
      </c>
      <c r="CA347" s="20">
        <v>0</v>
      </c>
      <c r="CB347" s="20">
        <v>0</v>
      </c>
      <c r="CC347" s="20">
        <v>471</v>
      </c>
      <c r="CD347" s="22" t="s">
        <v>1317</v>
      </c>
      <c r="CE347" s="22" t="s">
        <v>1318</v>
      </c>
      <c r="CF347" s="22" t="s">
        <v>1317</v>
      </c>
      <c r="CG347" s="22" t="s">
        <v>1318</v>
      </c>
      <c r="CH347" s="22" t="s">
        <v>1317</v>
      </c>
      <c r="CI347" s="22" t="s">
        <v>1318</v>
      </c>
      <c r="CJ347" s="149" t="s">
        <v>1124</v>
      </c>
      <c r="CK347" s="241" t="s">
        <v>1124</v>
      </c>
    </row>
    <row r="348" spans="1:89" ht="15" customHeight="1" x14ac:dyDescent="0.35">
      <c r="A348" s="17"/>
      <c r="B348" s="313">
        <v>17078</v>
      </c>
      <c r="C348" s="8" t="s">
        <v>103</v>
      </c>
      <c r="D348" s="18">
        <v>12</v>
      </c>
      <c r="E348" s="131" t="s">
        <v>1309</v>
      </c>
      <c r="F348" s="22" t="s">
        <v>1309</v>
      </c>
      <c r="G348" s="132" t="s">
        <v>1309</v>
      </c>
      <c r="H348" s="22" t="s">
        <v>1311</v>
      </c>
      <c r="I348" s="22" t="s">
        <v>1349</v>
      </c>
      <c r="J348" s="22" t="s">
        <v>1318</v>
      </c>
      <c r="K348" s="22" t="s">
        <v>1319</v>
      </c>
      <c r="L348" s="22" t="s">
        <v>1311</v>
      </c>
      <c r="M348" s="133" t="s">
        <v>1311</v>
      </c>
      <c r="N348" s="22" t="s">
        <v>1311</v>
      </c>
      <c r="O348" s="22" t="s">
        <v>1309</v>
      </c>
      <c r="P348" s="22" t="s">
        <v>1309</v>
      </c>
      <c r="Q348" s="20">
        <v>0</v>
      </c>
      <c r="R348" s="20">
        <v>0</v>
      </c>
      <c r="S348" s="20">
        <v>0</v>
      </c>
      <c r="T348" s="20">
        <v>0</v>
      </c>
      <c r="U348" s="20">
        <v>0</v>
      </c>
      <c r="V348" s="20">
        <v>0</v>
      </c>
      <c r="W348" s="20">
        <v>0</v>
      </c>
      <c r="X348" s="20">
        <v>0</v>
      </c>
      <c r="Y348" s="20">
        <v>0</v>
      </c>
      <c r="Z348" s="20">
        <v>0</v>
      </c>
      <c r="AA348" s="20" t="s">
        <v>1317</v>
      </c>
      <c r="AB348" s="22" t="s">
        <v>1318</v>
      </c>
      <c r="AC348" s="20">
        <v>7</v>
      </c>
      <c r="AD348" s="20">
        <v>0</v>
      </c>
      <c r="AE348" s="20">
        <v>1</v>
      </c>
      <c r="AF348" s="20">
        <v>1</v>
      </c>
      <c r="AG348" s="20">
        <v>0</v>
      </c>
      <c r="AH348" s="20">
        <v>1</v>
      </c>
      <c r="AI348" s="328">
        <v>21.478981282602025</v>
      </c>
      <c r="AJ348" s="328" t="s">
        <v>1328</v>
      </c>
      <c r="AK348" s="328">
        <v>0.88652482269503541</v>
      </c>
      <c r="AL348" s="22" t="s">
        <v>1329</v>
      </c>
      <c r="AM348" s="22" t="s">
        <v>1330</v>
      </c>
      <c r="AN348" s="22" t="s">
        <v>1317</v>
      </c>
      <c r="AO348" s="22" t="s">
        <v>1318</v>
      </c>
      <c r="AP348" s="22" t="s">
        <v>1318</v>
      </c>
      <c r="AQ348" s="22" t="s">
        <v>1318</v>
      </c>
      <c r="AR348" s="22" t="s">
        <v>1317</v>
      </c>
      <c r="AS348" s="22" t="s">
        <v>1318</v>
      </c>
      <c r="AT348" s="22" t="s">
        <v>1317</v>
      </c>
      <c r="AU348" s="22" t="s">
        <v>1318</v>
      </c>
      <c r="AV348" s="22" t="s">
        <v>1317</v>
      </c>
      <c r="AW348" s="22" t="s">
        <v>1311</v>
      </c>
      <c r="AX348" s="22" t="s">
        <v>1317</v>
      </c>
      <c r="AY348" s="22" t="s">
        <v>1318</v>
      </c>
      <c r="AZ348" s="22" t="s">
        <v>1309</v>
      </c>
      <c r="BA348" s="22" t="s">
        <v>1309</v>
      </c>
      <c r="BB348" s="22" t="s">
        <v>1309</v>
      </c>
      <c r="BC348" s="22" t="s">
        <v>1309</v>
      </c>
      <c r="BD348" s="22" t="s">
        <v>1317</v>
      </c>
      <c r="BE348" s="22" t="s">
        <v>1318</v>
      </c>
      <c r="BF348" s="22" t="s">
        <v>1309</v>
      </c>
      <c r="BG348" s="22" t="s">
        <v>1309</v>
      </c>
      <c r="BH348" s="22" t="s">
        <v>1317</v>
      </c>
      <c r="BI348" s="22" t="s">
        <v>1318</v>
      </c>
      <c r="BJ348" s="22" t="s">
        <v>1317</v>
      </c>
      <c r="BK348" s="22" t="s">
        <v>1318</v>
      </c>
      <c r="BL348" s="22" t="s">
        <v>1317</v>
      </c>
      <c r="BM348" s="22" t="s">
        <v>1318</v>
      </c>
      <c r="BN348" s="22" t="s">
        <v>1309</v>
      </c>
      <c r="BO348" s="22" t="s">
        <v>1309</v>
      </c>
      <c r="BP348" s="22" t="s">
        <v>1309</v>
      </c>
      <c r="BQ348" s="22" t="s">
        <v>1309</v>
      </c>
      <c r="BR348" s="22" t="s">
        <v>1309</v>
      </c>
      <c r="BS348" s="22" t="s">
        <v>1309</v>
      </c>
      <c r="BT348" s="22" t="s">
        <v>1315</v>
      </c>
      <c r="BU348" s="22" t="s">
        <v>1315</v>
      </c>
      <c r="BV348" s="22" t="s">
        <v>1317</v>
      </c>
      <c r="BW348" s="22" t="s">
        <v>1318</v>
      </c>
      <c r="BX348" s="20">
        <v>83</v>
      </c>
      <c r="BY348" s="20">
        <v>6</v>
      </c>
      <c r="BZ348" s="20">
        <v>11</v>
      </c>
      <c r="CA348" s="20">
        <v>0</v>
      </c>
      <c r="CB348" s="20">
        <v>224</v>
      </c>
      <c r="CC348" s="20">
        <v>804</v>
      </c>
      <c r="CD348" s="22" t="s">
        <v>1345</v>
      </c>
      <c r="CE348" s="22" t="s">
        <v>1318</v>
      </c>
      <c r="CF348" s="22" t="s">
        <v>1331</v>
      </c>
      <c r="CG348" s="22" t="s">
        <v>1331</v>
      </c>
      <c r="CH348" s="22" t="s">
        <v>1317</v>
      </c>
      <c r="CI348" s="22" t="s">
        <v>1318</v>
      </c>
      <c r="CJ348" s="149" t="s">
        <v>2099</v>
      </c>
      <c r="CK348" s="241" t="s">
        <v>2100</v>
      </c>
    </row>
    <row r="349" spans="1:89" ht="15" customHeight="1" x14ac:dyDescent="0.35">
      <c r="A349" s="17"/>
      <c r="B349" s="313">
        <v>12043</v>
      </c>
      <c r="C349" s="8" t="s">
        <v>35</v>
      </c>
      <c r="D349" s="18">
        <v>1</v>
      </c>
      <c r="E349" s="131" t="s">
        <v>1309</v>
      </c>
      <c r="F349" s="22" t="s">
        <v>1309</v>
      </c>
      <c r="G349" s="132" t="s">
        <v>1309</v>
      </c>
      <c r="H349" s="22" t="s">
        <v>1311</v>
      </c>
      <c r="I349" s="22" t="s">
        <v>1327</v>
      </c>
      <c r="J349" s="22" t="s">
        <v>1327</v>
      </c>
      <c r="K349" s="22" t="s">
        <v>1314</v>
      </c>
      <c r="L349" s="22" t="s">
        <v>1311</v>
      </c>
      <c r="M349" s="133" t="s">
        <v>1311</v>
      </c>
      <c r="N349" s="22" t="s">
        <v>1311</v>
      </c>
      <c r="O349" s="22" t="s">
        <v>1314</v>
      </c>
      <c r="P349" s="22" t="s">
        <v>1318</v>
      </c>
      <c r="Q349" s="20">
        <v>0</v>
      </c>
      <c r="R349" s="20">
        <v>0</v>
      </c>
      <c r="S349" s="20">
        <v>0</v>
      </c>
      <c r="T349" s="20">
        <v>0</v>
      </c>
      <c r="U349" s="20">
        <v>0</v>
      </c>
      <c r="V349" s="20">
        <v>0</v>
      </c>
      <c r="W349" s="20">
        <v>0</v>
      </c>
      <c r="X349" s="20">
        <v>0</v>
      </c>
      <c r="Y349" s="20">
        <v>0</v>
      </c>
      <c r="Z349" s="20">
        <v>0</v>
      </c>
      <c r="AA349" s="20" t="s">
        <v>1317</v>
      </c>
      <c r="AB349" s="22" t="s">
        <v>1318</v>
      </c>
      <c r="AC349" s="20">
        <v>1</v>
      </c>
      <c r="AD349" s="20">
        <v>1</v>
      </c>
      <c r="AE349" s="20">
        <v>0</v>
      </c>
      <c r="AF349" s="20">
        <v>2</v>
      </c>
      <c r="AG349" s="20">
        <v>5</v>
      </c>
      <c r="AH349" s="20">
        <v>0</v>
      </c>
      <c r="AI349" s="328">
        <v>7.8155529503712389</v>
      </c>
      <c r="AJ349" s="328">
        <v>1.9455252918287937</v>
      </c>
      <c r="AK349" s="328" t="s">
        <v>1328</v>
      </c>
      <c r="AL349" s="22" t="s">
        <v>1329</v>
      </c>
      <c r="AM349" s="22" t="s">
        <v>1343</v>
      </c>
      <c r="AN349" s="22" t="s">
        <v>1317</v>
      </c>
      <c r="AO349" s="22" t="s">
        <v>1318</v>
      </c>
      <c r="AP349" s="22" t="s">
        <v>1318</v>
      </c>
      <c r="AQ349" s="22" t="s">
        <v>1318</v>
      </c>
      <c r="AR349" s="22" t="s">
        <v>1317</v>
      </c>
      <c r="AS349" s="22" t="s">
        <v>1318</v>
      </c>
      <c r="AT349" s="22" t="s">
        <v>1317</v>
      </c>
      <c r="AU349" s="22" t="s">
        <v>1318</v>
      </c>
      <c r="AV349" s="22" t="s">
        <v>1317</v>
      </c>
      <c r="AW349" s="22" t="s">
        <v>1318</v>
      </c>
      <c r="AX349" s="22" t="s">
        <v>1317</v>
      </c>
      <c r="AY349" s="22" t="s">
        <v>1318</v>
      </c>
      <c r="AZ349" s="22" t="s">
        <v>1309</v>
      </c>
      <c r="BA349" s="22" t="s">
        <v>1309</v>
      </c>
      <c r="BB349" s="22" t="s">
        <v>1309</v>
      </c>
      <c r="BC349" s="22" t="s">
        <v>1311</v>
      </c>
      <c r="BD349" s="22" t="s">
        <v>1317</v>
      </c>
      <c r="BE349" s="22" t="s">
        <v>1318</v>
      </c>
      <c r="BF349" s="22" t="s">
        <v>1317</v>
      </c>
      <c r="BG349" s="22" t="s">
        <v>1318</v>
      </c>
      <c r="BH349" s="22" t="s">
        <v>1317</v>
      </c>
      <c r="BI349" s="22" t="s">
        <v>1311</v>
      </c>
      <c r="BJ349" s="22" t="s">
        <v>1309</v>
      </c>
      <c r="BK349" s="22" t="s">
        <v>1309</v>
      </c>
      <c r="BL349" s="22" t="s">
        <v>1317</v>
      </c>
      <c r="BM349" s="22" t="s">
        <v>1318</v>
      </c>
      <c r="BN349" s="22" t="s">
        <v>1317</v>
      </c>
      <c r="BO349" s="22" t="s">
        <v>1318</v>
      </c>
      <c r="BP349" s="22" t="s">
        <v>1317</v>
      </c>
      <c r="BQ349" s="22" t="s">
        <v>1318</v>
      </c>
      <c r="BR349" s="22" t="s">
        <v>1309</v>
      </c>
      <c r="BS349" s="22" t="s">
        <v>1309</v>
      </c>
      <c r="BT349" s="22" t="s">
        <v>1317</v>
      </c>
      <c r="BU349" s="22" t="s">
        <v>1318</v>
      </c>
      <c r="BV349" s="22" t="s">
        <v>1309</v>
      </c>
      <c r="BW349" s="22" t="s">
        <v>1309</v>
      </c>
      <c r="BX349" s="20">
        <v>0</v>
      </c>
      <c r="BY349" s="20">
        <v>0</v>
      </c>
      <c r="BZ349" s="20">
        <v>41</v>
      </c>
      <c r="CA349" s="20">
        <v>0</v>
      </c>
      <c r="CB349" s="20">
        <v>0</v>
      </c>
      <c r="CC349" s="20">
        <v>474</v>
      </c>
      <c r="CD349" s="22" t="s">
        <v>1317</v>
      </c>
      <c r="CE349" s="22" t="s">
        <v>1318</v>
      </c>
      <c r="CF349" s="22" t="s">
        <v>1317</v>
      </c>
      <c r="CG349" s="22" t="s">
        <v>1318</v>
      </c>
      <c r="CH349" s="22" t="s">
        <v>1317</v>
      </c>
      <c r="CI349" s="22" t="s">
        <v>1318</v>
      </c>
      <c r="CJ349" s="149" t="s">
        <v>1124</v>
      </c>
      <c r="CK349" s="241" t="s">
        <v>1386</v>
      </c>
    </row>
    <row r="350" spans="1:89" ht="15" customHeight="1" x14ac:dyDescent="0.35">
      <c r="A350" s="17"/>
      <c r="B350" s="313">
        <v>84040</v>
      </c>
      <c r="C350" s="8" t="s">
        <v>859</v>
      </c>
      <c r="D350" s="18">
        <v>7</v>
      </c>
      <c r="E350" s="131"/>
      <c r="F350" s="22"/>
      <c r="G350" s="132"/>
      <c r="H350" s="22"/>
      <c r="I350" s="22"/>
      <c r="J350" s="22"/>
      <c r="K350" s="22"/>
      <c r="L350" s="22"/>
      <c r="M350" s="133"/>
      <c r="N350" s="22"/>
      <c r="O350" s="22"/>
      <c r="P350" s="22"/>
      <c r="Q350" s="20"/>
      <c r="R350" s="20"/>
      <c r="S350" s="20"/>
      <c r="T350" s="20"/>
      <c r="U350" s="20"/>
      <c r="V350" s="20"/>
      <c r="W350" s="20"/>
      <c r="X350" s="20"/>
      <c r="Y350" s="20"/>
      <c r="Z350" s="20"/>
      <c r="AA350" s="20"/>
      <c r="AB350" s="22"/>
      <c r="AC350" s="20"/>
      <c r="AD350" s="20"/>
      <c r="AE350" s="20"/>
      <c r="AF350" s="20" t="s">
        <v>1124</v>
      </c>
      <c r="AG350" s="20" t="s">
        <v>1124</v>
      </c>
      <c r="AH350" s="20" t="s">
        <v>1124</v>
      </c>
      <c r="AI350" s="328"/>
      <c r="AJ350" s="328"/>
      <c r="AK350" s="328"/>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0"/>
      <c r="BY350" s="20"/>
      <c r="BZ350" s="20"/>
      <c r="CA350" s="20"/>
      <c r="CB350" s="20"/>
      <c r="CC350" s="20"/>
      <c r="CD350" s="22"/>
      <c r="CE350" s="22"/>
      <c r="CF350" s="22"/>
      <c r="CG350" s="22"/>
      <c r="CH350" s="22"/>
      <c r="CI350" s="22"/>
      <c r="CJ350" s="149"/>
      <c r="CK350" s="241"/>
    </row>
    <row r="351" spans="1:89" ht="15" customHeight="1" x14ac:dyDescent="0.35">
      <c r="A351" s="17"/>
      <c r="B351" s="313">
        <v>80055</v>
      </c>
      <c r="C351" s="8" t="s">
        <v>811</v>
      </c>
      <c r="D351" s="18">
        <v>7</v>
      </c>
      <c r="E351" s="131"/>
      <c r="F351" s="22"/>
      <c r="G351" s="132"/>
      <c r="H351" s="22"/>
      <c r="I351" s="22"/>
      <c r="J351" s="22"/>
      <c r="K351" s="22"/>
      <c r="L351" s="22"/>
      <c r="M351" s="133"/>
      <c r="N351" s="22"/>
      <c r="O351" s="22"/>
      <c r="P351" s="22"/>
      <c r="Q351" s="20"/>
      <c r="R351" s="20"/>
      <c r="S351" s="20"/>
      <c r="T351" s="20"/>
      <c r="U351" s="20"/>
      <c r="V351" s="20"/>
      <c r="W351" s="20"/>
      <c r="X351" s="20"/>
      <c r="Y351" s="20"/>
      <c r="Z351" s="20"/>
      <c r="AA351" s="20"/>
      <c r="AB351" s="22"/>
      <c r="AC351" s="20"/>
      <c r="AD351" s="20"/>
      <c r="AE351" s="20"/>
      <c r="AF351" s="20" t="s">
        <v>1124</v>
      </c>
      <c r="AG351" s="20" t="s">
        <v>1124</v>
      </c>
      <c r="AH351" s="20" t="s">
        <v>1124</v>
      </c>
      <c r="AI351" s="328"/>
      <c r="AJ351" s="328"/>
      <c r="AK351" s="328"/>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0"/>
      <c r="BY351" s="20"/>
      <c r="BZ351" s="20"/>
      <c r="CA351" s="20"/>
      <c r="CB351" s="20"/>
      <c r="CC351" s="20"/>
      <c r="CD351" s="22"/>
      <c r="CE351" s="22"/>
      <c r="CF351" s="22"/>
      <c r="CG351" s="22"/>
      <c r="CH351" s="22"/>
      <c r="CI351" s="22"/>
      <c r="CJ351" s="149"/>
      <c r="CK351" s="241"/>
    </row>
    <row r="352" spans="1:89" ht="15" customHeight="1" x14ac:dyDescent="0.35">
      <c r="A352" s="17"/>
      <c r="B352" s="313">
        <v>80060</v>
      </c>
      <c r="C352" s="8" t="s">
        <v>812</v>
      </c>
      <c r="D352" s="18">
        <v>7</v>
      </c>
      <c r="E352" s="131"/>
      <c r="F352" s="22"/>
      <c r="G352" s="132"/>
      <c r="H352" s="22"/>
      <c r="I352" s="22"/>
      <c r="J352" s="22"/>
      <c r="K352" s="22"/>
      <c r="L352" s="22"/>
      <c r="M352" s="133"/>
      <c r="N352" s="22"/>
      <c r="O352" s="22"/>
      <c r="P352" s="22"/>
      <c r="Q352" s="20"/>
      <c r="R352" s="20"/>
      <c r="S352" s="20"/>
      <c r="T352" s="20"/>
      <c r="U352" s="20"/>
      <c r="V352" s="20"/>
      <c r="W352" s="20"/>
      <c r="X352" s="20"/>
      <c r="Y352" s="20"/>
      <c r="Z352" s="20"/>
      <c r="AA352" s="20"/>
      <c r="AB352" s="22"/>
      <c r="AC352" s="20"/>
      <c r="AD352" s="20"/>
      <c r="AE352" s="20"/>
      <c r="AF352" s="20" t="s">
        <v>1124</v>
      </c>
      <c r="AG352" s="20" t="s">
        <v>1124</v>
      </c>
      <c r="AH352" s="20" t="s">
        <v>1124</v>
      </c>
      <c r="AI352" s="328"/>
      <c r="AJ352" s="328"/>
      <c r="AK352" s="328"/>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0"/>
      <c r="BY352" s="20"/>
      <c r="BZ352" s="20"/>
      <c r="CA352" s="20"/>
      <c r="CB352" s="20"/>
      <c r="CC352" s="20"/>
      <c r="CD352" s="22"/>
      <c r="CE352" s="22"/>
      <c r="CF352" s="22"/>
      <c r="CG352" s="22"/>
      <c r="CH352" s="22"/>
      <c r="CI352" s="22"/>
      <c r="CJ352" s="149"/>
      <c r="CK352" s="241"/>
    </row>
    <row r="353" spans="1:89" ht="15" customHeight="1" x14ac:dyDescent="0.35">
      <c r="A353" s="17"/>
      <c r="B353" s="313">
        <v>98045</v>
      </c>
      <c r="C353" s="8" t="s">
        <v>1016</v>
      </c>
      <c r="D353" s="18">
        <v>9</v>
      </c>
      <c r="E353" s="131" t="s">
        <v>1309</v>
      </c>
      <c r="F353" s="22" t="s">
        <v>1309</v>
      </c>
      <c r="G353" s="132" t="s">
        <v>1309</v>
      </c>
      <c r="H353" s="22" t="s">
        <v>1311</v>
      </c>
      <c r="I353" s="22" t="s">
        <v>1315</v>
      </c>
      <c r="J353" s="22" t="s">
        <v>1315</v>
      </c>
      <c r="K353" s="22" t="s">
        <v>1319</v>
      </c>
      <c r="L353" s="22" t="s">
        <v>1311</v>
      </c>
      <c r="M353" s="133" t="s">
        <v>1311</v>
      </c>
      <c r="N353" s="22" t="s">
        <v>1311</v>
      </c>
      <c r="O353" s="22" t="s">
        <v>1314</v>
      </c>
      <c r="P353" s="22" t="s">
        <v>1311</v>
      </c>
      <c r="Q353" s="20">
        <v>0</v>
      </c>
      <c r="R353" s="20">
        <v>0</v>
      </c>
      <c r="S353" s="20">
        <v>0</v>
      </c>
      <c r="T353" s="20">
        <v>0</v>
      </c>
      <c r="U353" s="20">
        <v>0</v>
      </c>
      <c r="V353" s="20">
        <v>9.8539999999999992</v>
      </c>
      <c r="W353" s="20">
        <v>0</v>
      </c>
      <c r="X353" s="20">
        <v>0</v>
      </c>
      <c r="Y353" s="20">
        <v>0</v>
      </c>
      <c r="Z353" s="20">
        <v>0</v>
      </c>
      <c r="AA353" s="20" t="s">
        <v>1317</v>
      </c>
      <c r="AB353" s="22" t="s">
        <v>1318</v>
      </c>
      <c r="AC353" s="20">
        <v>2</v>
      </c>
      <c r="AD353" s="20">
        <v>0</v>
      </c>
      <c r="AE353" s="20">
        <v>2</v>
      </c>
      <c r="AF353" s="20">
        <v>1</v>
      </c>
      <c r="AG353" s="20">
        <v>0</v>
      </c>
      <c r="AH353" s="20">
        <v>1</v>
      </c>
      <c r="AI353" s="328">
        <v>20.29632636492795</v>
      </c>
      <c r="AJ353" s="328" t="s">
        <v>1328</v>
      </c>
      <c r="AK353" s="328">
        <v>7.5471698113207548</v>
      </c>
      <c r="AL353" s="22" t="s">
        <v>1329</v>
      </c>
      <c r="AM353" s="22" t="s">
        <v>1330</v>
      </c>
      <c r="AN353" s="22" t="s">
        <v>1317</v>
      </c>
      <c r="AO353" s="22" t="s">
        <v>1318</v>
      </c>
      <c r="AP353" s="22" t="s">
        <v>1318</v>
      </c>
      <c r="AQ353" s="22" t="s">
        <v>1318</v>
      </c>
      <c r="AR353" s="22" t="s">
        <v>1317</v>
      </c>
      <c r="AS353" s="22" t="s">
        <v>1318</v>
      </c>
      <c r="AT353" s="22" t="s">
        <v>1309</v>
      </c>
      <c r="AU353" s="22" t="s">
        <v>1309</v>
      </c>
      <c r="AV353" s="22" t="s">
        <v>1317</v>
      </c>
      <c r="AW353" s="22" t="s">
        <v>1318</v>
      </c>
      <c r="AX353" s="22" t="s">
        <v>1317</v>
      </c>
      <c r="AY353" s="22" t="s">
        <v>1318</v>
      </c>
      <c r="AZ353" s="22" t="s">
        <v>1317</v>
      </c>
      <c r="BA353" s="22" t="s">
        <v>1311</v>
      </c>
      <c r="BB353" s="22" t="s">
        <v>1309</v>
      </c>
      <c r="BC353" s="22" t="s">
        <v>1309</v>
      </c>
      <c r="BD353" s="22" t="s">
        <v>1317</v>
      </c>
      <c r="BE353" s="22" t="s">
        <v>1318</v>
      </c>
      <c r="BF353" s="22" t="s">
        <v>1317</v>
      </c>
      <c r="BG353" s="22" t="s">
        <v>1318</v>
      </c>
      <c r="BH353" s="22" t="s">
        <v>1317</v>
      </c>
      <c r="BI353" s="22" t="s">
        <v>1318</v>
      </c>
      <c r="BJ353" s="22" t="s">
        <v>1309</v>
      </c>
      <c r="BK353" s="22" t="s">
        <v>1309</v>
      </c>
      <c r="BL353" s="22" t="s">
        <v>1317</v>
      </c>
      <c r="BM353" s="22" t="s">
        <v>1311</v>
      </c>
      <c r="BN353" s="22" t="s">
        <v>1309</v>
      </c>
      <c r="BO353" s="22" t="s">
        <v>1309</v>
      </c>
      <c r="BP353" s="22" t="s">
        <v>1317</v>
      </c>
      <c r="BQ353" s="22" t="s">
        <v>1318</v>
      </c>
      <c r="BR353" s="22" t="s">
        <v>1317</v>
      </c>
      <c r="BS353" s="22" t="s">
        <v>1318</v>
      </c>
      <c r="BT353" s="22" t="s">
        <v>1317</v>
      </c>
      <c r="BU353" s="22" t="s">
        <v>1318</v>
      </c>
      <c r="BV353" s="22" t="s">
        <v>1317</v>
      </c>
      <c r="BW353" s="22" t="s">
        <v>1318</v>
      </c>
      <c r="BX353" s="20">
        <v>0</v>
      </c>
      <c r="BY353" s="20">
        <v>9</v>
      </c>
      <c r="BZ353" s="20">
        <v>4</v>
      </c>
      <c r="CA353" s="20">
        <v>0</v>
      </c>
      <c r="CB353" s="20">
        <v>20</v>
      </c>
      <c r="CC353" s="20">
        <v>224</v>
      </c>
      <c r="CD353" s="22" t="s">
        <v>1345</v>
      </c>
      <c r="CE353" s="22" t="s">
        <v>1321</v>
      </c>
      <c r="CF353" s="22" t="s">
        <v>1331</v>
      </c>
      <c r="CG353" s="22" t="s">
        <v>1331</v>
      </c>
      <c r="CH353" s="22" t="s">
        <v>1317</v>
      </c>
      <c r="CI353" s="22" t="s">
        <v>1318</v>
      </c>
      <c r="CJ353" s="149" t="s">
        <v>1124</v>
      </c>
      <c r="CK353" s="241" t="s">
        <v>2108</v>
      </c>
    </row>
    <row r="354" spans="1:89" ht="15" customHeight="1" x14ac:dyDescent="0.35">
      <c r="A354" s="17"/>
      <c r="B354" s="313">
        <v>95032</v>
      </c>
      <c r="C354" s="8" t="s">
        <v>990</v>
      </c>
      <c r="D354" s="18">
        <v>9</v>
      </c>
      <c r="E354" s="131" t="s">
        <v>1319</v>
      </c>
      <c r="F354" s="22" t="s">
        <v>1310</v>
      </c>
      <c r="G354" s="132" t="s">
        <v>1309</v>
      </c>
      <c r="H354" s="22" t="s">
        <v>1311</v>
      </c>
      <c r="I354" s="22" t="s">
        <v>1327</v>
      </c>
      <c r="J354" s="22" t="s">
        <v>1327</v>
      </c>
      <c r="K354" s="22" t="s">
        <v>1319</v>
      </c>
      <c r="L354" s="22" t="s">
        <v>1309</v>
      </c>
      <c r="M354" s="133" t="s">
        <v>1311</v>
      </c>
      <c r="N354" s="22" t="s">
        <v>1311</v>
      </c>
      <c r="O354" s="22" t="s">
        <v>1314</v>
      </c>
      <c r="P354" s="22" t="s">
        <v>1318</v>
      </c>
      <c r="Q354" s="20">
        <v>29.084</v>
      </c>
      <c r="R354" s="20">
        <v>29.084</v>
      </c>
      <c r="S354" s="20">
        <v>0</v>
      </c>
      <c r="T354" s="20">
        <v>0</v>
      </c>
      <c r="U354" s="20">
        <v>0</v>
      </c>
      <c r="V354" s="20">
        <v>0</v>
      </c>
      <c r="W354" s="20">
        <v>0</v>
      </c>
      <c r="X354" s="20">
        <v>0</v>
      </c>
      <c r="Y354" s="20">
        <v>0</v>
      </c>
      <c r="Z354" s="20">
        <v>0</v>
      </c>
      <c r="AA354" s="20" t="s">
        <v>1317</v>
      </c>
      <c r="AB354" s="22" t="s">
        <v>1311</v>
      </c>
      <c r="AC354" s="20">
        <v>1</v>
      </c>
      <c r="AD354" s="20">
        <v>1</v>
      </c>
      <c r="AE354" s="20">
        <v>4</v>
      </c>
      <c r="AF354" s="20">
        <v>5</v>
      </c>
      <c r="AG354" s="20">
        <v>8</v>
      </c>
      <c r="AH354" s="20">
        <v>4</v>
      </c>
      <c r="AI354" s="328">
        <v>3.4383166001925458</v>
      </c>
      <c r="AJ354" s="328">
        <v>1.7699115044247788</v>
      </c>
      <c r="AK354" s="328">
        <v>7.0796460176991154</v>
      </c>
      <c r="AL354" s="22" t="s">
        <v>1338</v>
      </c>
      <c r="AM354" s="22" t="s">
        <v>1330</v>
      </c>
      <c r="AN354" s="22" t="s">
        <v>1317</v>
      </c>
      <c r="AO354" s="22" t="s">
        <v>1318</v>
      </c>
      <c r="AP354" s="22" t="s">
        <v>1318</v>
      </c>
      <c r="AQ354" s="22" t="s">
        <v>1318</v>
      </c>
      <c r="AR354" s="22" t="s">
        <v>1317</v>
      </c>
      <c r="AS354" s="22" t="s">
        <v>1318</v>
      </c>
      <c r="AT354" s="22" t="s">
        <v>1319</v>
      </c>
      <c r="AU354" s="22" t="s">
        <v>1311</v>
      </c>
      <c r="AV354" s="22" t="s">
        <v>1317</v>
      </c>
      <c r="AW354" s="22" t="s">
        <v>1318</v>
      </c>
      <c r="AX354" s="22" t="s">
        <v>1317</v>
      </c>
      <c r="AY354" s="22" t="s">
        <v>1318</v>
      </c>
      <c r="AZ354" s="22" t="s">
        <v>1309</v>
      </c>
      <c r="BA354" s="22" t="s">
        <v>1309</v>
      </c>
      <c r="BB354" s="22" t="s">
        <v>1309</v>
      </c>
      <c r="BC354" s="22" t="s">
        <v>1309</v>
      </c>
      <c r="BD354" s="22" t="s">
        <v>1317</v>
      </c>
      <c r="BE354" s="22" t="s">
        <v>1318</v>
      </c>
      <c r="BF354" s="22" t="s">
        <v>1317</v>
      </c>
      <c r="BG354" s="22" t="s">
        <v>1318</v>
      </c>
      <c r="BH354" s="22" t="s">
        <v>1309</v>
      </c>
      <c r="BI354" s="22" t="s">
        <v>1309</v>
      </c>
      <c r="BJ354" s="22" t="s">
        <v>1317</v>
      </c>
      <c r="BK354" s="22" t="s">
        <v>1318</v>
      </c>
      <c r="BL354" s="22" t="s">
        <v>1317</v>
      </c>
      <c r="BM354" s="22" t="s">
        <v>1311</v>
      </c>
      <c r="BN354" s="22" t="s">
        <v>1309</v>
      </c>
      <c r="BO354" s="22" t="s">
        <v>1309</v>
      </c>
      <c r="BP354" s="22" t="s">
        <v>1315</v>
      </c>
      <c r="BQ354" s="22" t="s">
        <v>1315</v>
      </c>
      <c r="BR354" s="22" t="s">
        <v>1309</v>
      </c>
      <c r="BS354" s="22" t="s">
        <v>1309</v>
      </c>
      <c r="BT354" s="22" t="s">
        <v>1317</v>
      </c>
      <c r="BU354" s="22" t="s">
        <v>1318</v>
      </c>
      <c r="BV354" s="22" t="s">
        <v>1317</v>
      </c>
      <c r="BW354" s="22" t="s">
        <v>1318</v>
      </c>
      <c r="BX354" s="20">
        <v>0</v>
      </c>
      <c r="BY354" s="20">
        <v>0</v>
      </c>
      <c r="BZ354" s="20">
        <v>15</v>
      </c>
      <c r="CA354" s="20">
        <v>0</v>
      </c>
      <c r="CB354" s="20">
        <v>0</v>
      </c>
      <c r="CC354" s="20">
        <v>550</v>
      </c>
      <c r="CD354" s="22" t="s">
        <v>1317</v>
      </c>
      <c r="CE354" s="22" t="s">
        <v>1318</v>
      </c>
      <c r="CF354" s="22" t="s">
        <v>1317</v>
      </c>
      <c r="CG354" s="22" t="s">
        <v>1318</v>
      </c>
      <c r="CH354" s="22" t="s">
        <v>1317</v>
      </c>
      <c r="CI354" s="22" t="s">
        <v>1318</v>
      </c>
      <c r="CJ354" s="149" t="s">
        <v>2112</v>
      </c>
      <c r="CK354" s="241" t="s">
        <v>2113</v>
      </c>
    </row>
    <row r="355" spans="1:89" ht="15" customHeight="1" x14ac:dyDescent="0.35">
      <c r="A355" s="17"/>
      <c r="B355" s="313">
        <v>58227</v>
      </c>
      <c r="C355" s="8" t="s">
        <v>598</v>
      </c>
      <c r="D355" s="18">
        <v>16</v>
      </c>
      <c r="E355" s="131" t="s">
        <v>1319</v>
      </c>
      <c r="F355" s="22" t="s">
        <v>1490</v>
      </c>
      <c r="G355" s="132" t="s">
        <v>1309</v>
      </c>
      <c r="H355" s="22" t="s">
        <v>1311</v>
      </c>
      <c r="I355" s="22" t="s">
        <v>1349</v>
      </c>
      <c r="J355" s="22" t="s">
        <v>1313</v>
      </c>
      <c r="K355" s="22" t="s">
        <v>1314</v>
      </c>
      <c r="L355" s="22" t="s">
        <v>1311</v>
      </c>
      <c r="M355" s="133" t="s">
        <v>1311</v>
      </c>
      <c r="N355" s="22" t="s">
        <v>1311</v>
      </c>
      <c r="O355" s="22" t="s">
        <v>1314</v>
      </c>
      <c r="P355" s="22" t="s">
        <v>1318</v>
      </c>
      <c r="Q355" s="20">
        <v>0</v>
      </c>
      <c r="R355" s="20">
        <v>0</v>
      </c>
      <c r="S355" s="20">
        <v>995</v>
      </c>
      <c r="T355" s="20">
        <v>995</v>
      </c>
      <c r="U355" s="20">
        <v>0</v>
      </c>
      <c r="V355" s="20">
        <v>0</v>
      </c>
      <c r="W355" s="20">
        <v>0</v>
      </c>
      <c r="X355" s="20">
        <v>0</v>
      </c>
      <c r="Y355" s="20">
        <v>0</v>
      </c>
      <c r="Z355" s="20">
        <v>0</v>
      </c>
      <c r="AA355" s="20" t="s">
        <v>1317</v>
      </c>
      <c r="AB355" s="22" t="s">
        <v>1318</v>
      </c>
      <c r="AC355" s="20">
        <v>189</v>
      </c>
      <c r="AD355" s="20">
        <v>0</v>
      </c>
      <c r="AE355" s="20">
        <v>0</v>
      </c>
      <c r="AF355" s="20">
        <v>5</v>
      </c>
      <c r="AG355" s="20">
        <v>0</v>
      </c>
      <c r="AH355" s="20">
        <v>0</v>
      </c>
      <c r="AI355" s="328">
        <v>18.994974874371859</v>
      </c>
      <c r="AJ355" s="328" t="s">
        <v>1328</v>
      </c>
      <c r="AK355" s="328" t="s">
        <v>1328</v>
      </c>
      <c r="AL355" s="22" t="s">
        <v>1316</v>
      </c>
      <c r="AM355" s="22" t="s">
        <v>1343</v>
      </c>
      <c r="AN355" s="22" t="s">
        <v>1317</v>
      </c>
      <c r="AO355" s="22" t="s">
        <v>1318</v>
      </c>
      <c r="AP355" s="22" t="s">
        <v>1318</v>
      </c>
      <c r="AQ355" s="22" t="s">
        <v>1318</v>
      </c>
      <c r="AR355" s="22" t="s">
        <v>1317</v>
      </c>
      <c r="AS355" s="22" t="s">
        <v>1318</v>
      </c>
      <c r="AT355" s="22" t="s">
        <v>1317</v>
      </c>
      <c r="AU355" s="22" t="s">
        <v>1318</v>
      </c>
      <c r="AV355" s="22" t="s">
        <v>1317</v>
      </c>
      <c r="AW355" s="22" t="s">
        <v>1318</v>
      </c>
      <c r="AX355" s="22" t="s">
        <v>1317</v>
      </c>
      <c r="AY355" s="22" t="s">
        <v>1318</v>
      </c>
      <c r="AZ355" s="22" t="s">
        <v>1309</v>
      </c>
      <c r="BA355" s="22" t="s">
        <v>1309</v>
      </c>
      <c r="BB355" s="22" t="s">
        <v>1309</v>
      </c>
      <c r="BC355" s="22" t="s">
        <v>1309</v>
      </c>
      <c r="BD355" s="22" t="s">
        <v>1317</v>
      </c>
      <c r="BE355" s="22" t="s">
        <v>1318</v>
      </c>
      <c r="BF355" s="22" t="s">
        <v>1317</v>
      </c>
      <c r="BG355" s="22" t="s">
        <v>1311</v>
      </c>
      <c r="BH355" s="22" t="s">
        <v>1309</v>
      </c>
      <c r="BI355" s="22" t="s">
        <v>1309</v>
      </c>
      <c r="BJ355" s="22" t="s">
        <v>1317</v>
      </c>
      <c r="BK355" s="22" t="s">
        <v>1318</v>
      </c>
      <c r="BL355" s="22" t="s">
        <v>1317</v>
      </c>
      <c r="BM355" s="22" t="s">
        <v>1318</v>
      </c>
      <c r="BN355" s="22" t="s">
        <v>1317</v>
      </c>
      <c r="BO355" s="22" t="s">
        <v>1318</v>
      </c>
      <c r="BP355" s="22" t="s">
        <v>1317</v>
      </c>
      <c r="BQ355" s="22" t="s">
        <v>1318</v>
      </c>
      <c r="BR355" s="22" t="s">
        <v>1319</v>
      </c>
      <c r="BS355" s="22" t="s">
        <v>1311</v>
      </c>
      <c r="BT355" s="22" t="s">
        <v>1309</v>
      </c>
      <c r="BU355" s="22" t="s">
        <v>1309</v>
      </c>
      <c r="BV355" s="22" t="s">
        <v>1319</v>
      </c>
      <c r="BW355" s="22" t="s">
        <v>1311</v>
      </c>
      <c r="BX355" s="20">
        <v>1893</v>
      </c>
      <c r="BY355" s="20">
        <v>771</v>
      </c>
      <c r="BZ355" s="20">
        <v>0</v>
      </c>
      <c r="CA355" s="20">
        <v>1609</v>
      </c>
      <c r="CB355" s="20">
        <v>361</v>
      </c>
      <c r="CC355" s="20">
        <v>54030</v>
      </c>
      <c r="CD355" s="22" t="s">
        <v>1331</v>
      </c>
      <c r="CE355" s="22" t="s">
        <v>1331</v>
      </c>
      <c r="CF355" s="22" t="s">
        <v>1331</v>
      </c>
      <c r="CG355" s="22" t="s">
        <v>1331</v>
      </c>
      <c r="CH355" s="22" t="s">
        <v>1317</v>
      </c>
      <c r="CI355" s="22" t="s">
        <v>1318</v>
      </c>
      <c r="CJ355" s="149" t="s">
        <v>1124</v>
      </c>
      <c r="CK355" s="241" t="s">
        <v>3725</v>
      </c>
    </row>
    <row r="356" spans="1:89" ht="15" customHeight="1" x14ac:dyDescent="0.35">
      <c r="A356" s="17"/>
      <c r="B356" s="313">
        <v>73025</v>
      </c>
      <c r="C356" s="8" t="s">
        <v>738</v>
      </c>
      <c r="D356" s="18">
        <v>15</v>
      </c>
      <c r="E356" s="131" t="s">
        <v>1309</v>
      </c>
      <c r="F356" s="22" t="s">
        <v>1309</v>
      </c>
      <c r="G356" s="132" t="s">
        <v>1309</v>
      </c>
      <c r="H356" s="22" t="s">
        <v>1311</v>
      </c>
      <c r="I356" s="22" t="s">
        <v>1327</v>
      </c>
      <c r="J356" s="22" t="s">
        <v>1327</v>
      </c>
      <c r="K356" s="22" t="s">
        <v>1309</v>
      </c>
      <c r="L356" s="22" t="s">
        <v>1309</v>
      </c>
      <c r="M356" s="133" t="s">
        <v>1311</v>
      </c>
      <c r="N356" s="22" t="s">
        <v>1311</v>
      </c>
      <c r="O356" s="22" t="s">
        <v>1309</v>
      </c>
      <c r="P356" s="22" t="s">
        <v>1309</v>
      </c>
      <c r="Q356" s="20">
        <v>0</v>
      </c>
      <c r="R356" s="20">
        <v>0</v>
      </c>
      <c r="S356" s="20">
        <v>0</v>
      </c>
      <c r="T356" s="20">
        <v>0</v>
      </c>
      <c r="U356" s="20">
        <v>45</v>
      </c>
      <c r="V356" s="20">
        <v>53</v>
      </c>
      <c r="W356" s="20">
        <v>0</v>
      </c>
      <c r="X356" s="20">
        <v>0</v>
      </c>
      <c r="Y356" s="20">
        <v>0</v>
      </c>
      <c r="Z356" s="20">
        <v>0</v>
      </c>
      <c r="AA356" s="20" t="s">
        <v>1317</v>
      </c>
      <c r="AB356" s="22" t="s">
        <v>1311</v>
      </c>
      <c r="AC356" s="20">
        <v>7</v>
      </c>
      <c r="AD356" s="20">
        <v>0</v>
      </c>
      <c r="AE356" s="20">
        <v>0</v>
      </c>
      <c r="AF356" s="20">
        <v>2</v>
      </c>
      <c r="AG356" s="20">
        <v>0</v>
      </c>
      <c r="AH356" s="20">
        <v>0</v>
      </c>
      <c r="AI356" s="328">
        <v>13.324450366422386</v>
      </c>
      <c r="AJ356" s="328" t="s">
        <v>1328</v>
      </c>
      <c r="AK356" s="328" t="s">
        <v>1328</v>
      </c>
      <c r="AL356" s="22" t="s">
        <v>1329</v>
      </c>
      <c r="AM356" s="22" t="s">
        <v>1330</v>
      </c>
      <c r="AN356" s="22" t="s">
        <v>1319</v>
      </c>
      <c r="AO356" s="22" t="s">
        <v>1311</v>
      </c>
      <c r="AP356" s="22" t="s">
        <v>1350</v>
      </c>
      <c r="AQ356" s="22" t="s">
        <v>1313</v>
      </c>
      <c r="AR356" s="22" t="s">
        <v>1317</v>
      </c>
      <c r="AS356" s="22" t="s">
        <v>1318</v>
      </c>
      <c r="AT356" s="22" t="s">
        <v>1309</v>
      </c>
      <c r="AU356" s="22" t="s">
        <v>1311</v>
      </c>
      <c r="AV356" s="22" t="s">
        <v>1319</v>
      </c>
      <c r="AW356" s="22" t="s">
        <v>1311</v>
      </c>
      <c r="AX356" s="22" t="s">
        <v>1309</v>
      </c>
      <c r="AY356" s="22" t="s">
        <v>1309</v>
      </c>
      <c r="AZ356" s="22" t="s">
        <v>1309</v>
      </c>
      <c r="BA356" s="22" t="s">
        <v>1309</v>
      </c>
      <c r="BB356" s="22" t="s">
        <v>1309</v>
      </c>
      <c r="BC356" s="22" t="s">
        <v>1309</v>
      </c>
      <c r="BD356" s="22" t="s">
        <v>1309</v>
      </c>
      <c r="BE356" s="22" t="s">
        <v>1309</v>
      </c>
      <c r="BF356" s="22" t="s">
        <v>1309</v>
      </c>
      <c r="BG356" s="22" t="s">
        <v>1309</v>
      </c>
      <c r="BH356" s="22" t="s">
        <v>1309</v>
      </c>
      <c r="BI356" s="22" t="s">
        <v>1309</v>
      </c>
      <c r="BJ356" s="22" t="s">
        <v>1319</v>
      </c>
      <c r="BK356" s="22" t="s">
        <v>1311</v>
      </c>
      <c r="BL356" s="22" t="s">
        <v>1319</v>
      </c>
      <c r="BM356" s="22" t="s">
        <v>1311</v>
      </c>
      <c r="BN356" s="22" t="s">
        <v>1309</v>
      </c>
      <c r="BO356" s="22" t="s">
        <v>1309</v>
      </c>
      <c r="BP356" s="22" t="s">
        <v>1309</v>
      </c>
      <c r="BQ356" s="22" t="s">
        <v>1309</v>
      </c>
      <c r="BR356" s="22" t="s">
        <v>1309</v>
      </c>
      <c r="BS356" s="22" t="s">
        <v>1309</v>
      </c>
      <c r="BT356" s="22" t="s">
        <v>1317</v>
      </c>
      <c r="BU356" s="22" t="s">
        <v>1311</v>
      </c>
      <c r="BV356" s="22" t="s">
        <v>1309</v>
      </c>
      <c r="BW356" s="22" t="s">
        <v>1309</v>
      </c>
      <c r="BX356" s="20">
        <v>0</v>
      </c>
      <c r="BY356" s="20">
        <v>10</v>
      </c>
      <c r="BZ356" s="20">
        <v>0</v>
      </c>
      <c r="CA356" s="20">
        <v>3233</v>
      </c>
      <c r="CB356" s="20">
        <v>0</v>
      </c>
      <c r="CC356" s="20">
        <v>180</v>
      </c>
      <c r="CD356" s="22" t="s">
        <v>1345</v>
      </c>
      <c r="CE356" s="22" t="s">
        <v>1321</v>
      </c>
      <c r="CF356" s="22" t="s">
        <v>1331</v>
      </c>
      <c r="CG356" s="22" t="s">
        <v>1331</v>
      </c>
      <c r="CH356" s="22" t="s">
        <v>1315</v>
      </c>
      <c r="CI356" s="22" t="s">
        <v>1315</v>
      </c>
      <c r="CJ356" s="149" t="s">
        <v>2117</v>
      </c>
      <c r="CK356" s="241" t="s">
        <v>1124</v>
      </c>
    </row>
    <row r="357" spans="1:89" ht="15" customHeight="1" x14ac:dyDescent="0.35">
      <c r="A357" s="17"/>
      <c r="B357" s="313">
        <v>85037</v>
      </c>
      <c r="C357" s="8" t="s">
        <v>876</v>
      </c>
      <c r="D357" s="18">
        <v>8</v>
      </c>
      <c r="E357" s="131" t="s">
        <v>1309</v>
      </c>
      <c r="F357" s="22" t="s">
        <v>1310</v>
      </c>
      <c r="G357" s="132" t="s">
        <v>1309</v>
      </c>
      <c r="H357" s="22" t="s">
        <v>1311</v>
      </c>
      <c r="I357" s="22" t="s">
        <v>1327</v>
      </c>
      <c r="J357" s="22" t="s">
        <v>1327</v>
      </c>
      <c r="K357" s="22" t="s">
        <v>1309</v>
      </c>
      <c r="L357" s="22" t="s">
        <v>1309</v>
      </c>
      <c r="M357" s="133" t="s">
        <v>1311</v>
      </c>
      <c r="N357" s="22" t="s">
        <v>1311</v>
      </c>
      <c r="O357" s="22" t="s">
        <v>1315</v>
      </c>
      <c r="P357" s="22" t="s">
        <v>1315</v>
      </c>
      <c r="Q357" s="20">
        <v>0</v>
      </c>
      <c r="R357" s="20">
        <v>0</v>
      </c>
      <c r="S357" s="20">
        <v>0.3</v>
      </c>
      <c r="T357" s="20">
        <v>0.3</v>
      </c>
      <c r="U357" s="20">
        <v>0.3</v>
      </c>
      <c r="V357" s="20">
        <v>0.3</v>
      </c>
      <c r="W357" s="20">
        <v>0</v>
      </c>
      <c r="X357" s="20">
        <v>0</v>
      </c>
      <c r="Y357" s="20">
        <v>0</v>
      </c>
      <c r="Z357" s="20">
        <v>0</v>
      </c>
      <c r="AA357" s="20" t="s">
        <v>1317</v>
      </c>
      <c r="AB357" s="22" t="s">
        <v>1318</v>
      </c>
      <c r="AC357" s="20">
        <v>0</v>
      </c>
      <c r="AD357" s="20">
        <v>1</v>
      </c>
      <c r="AE357" s="20">
        <v>0</v>
      </c>
      <c r="AF357" s="20">
        <v>0</v>
      </c>
      <c r="AG357" s="20">
        <v>2</v>
      </c>
      <c r="AH357" s="20">
        <v>0</v>
      </c>
      <c r="AI357" s="328" t="s">
        <v>1328</v>
      </c>
      <c r="AJ357" s="328">
        <v>2.1008403361344539</v>
      </c>
      <c r="AK357" s="328" t="s">
        <v>1328</v>
      </c>
      <c r="AL357" s="22" t="s">
        <v>1329</v>
      </c>
      <c r="AM357" s="22" t="s">
        <v>1330</v>
      </c>
      <c r="AN357" s="22" t="s">
        <v>1317</v>
      </c>
      <c r="AO357" s="22" t="s">
        <v>1318</v>
      </c>
      <c r="AP357" s="22" t="s">
        <v>1318</v>
      </c>
      <c r="AQ357" s="22" t="s">
        <v>1318</v>
      </c>
      <c r="AR357" s="22" t="s">
        <v>1317</v>
      </c>
      <c r="AS357" s="22" t="s">
        <v>1318</v>
      </c>
      <c r="AT357" s="22" t="s">
        <v>1317</v>
      </c>
      <c r="AU357" s="22" t="s">
        <v>1318</v>
      </c>
      <c r="AV357" s="22" t="s">
        <v>1319</v>
      </c>
      <c r="AW357" s="22" t="s">
        <v>1309</v>
      </c>
      <c r="AX357" s="22" t="s">
        <v>1317</v>
      </c>
      <c r="AY357" s="22" t="s">
        <v>1318</v>
      </c>
      <c r="AZ357" s="22" t="s">
        <v>1309</v>
      </c>
      <c r="BA357" s="22" t="s">
        <v>1311</v>
      </c>
      <c r="BB357" s="22" t="s">
        <v>1309</v>
      </c>
      <c r="BC357" s="22" t="s">
        <v>1309</v>
      </c>
      <c r="BD357" s="22" t="s">
        <v>1309</v>
      </c>
      <c r="BE357" s="22" t="s">
        <v>1309</v>
      </c>
      <c r="BF357" s="22" t="s">
        <v>1317</v>
      </c>
      <c r="BG357" s="22" t="s">
        <v>1318</v>
      </c>
      <c r="BH357" s="22" t="s">
        <v>1309</v>
      </c>
      <c r="BI357" s="22" t="s">
        <v>1309</v>
      </c>
      <c r="BJ357" s="22" t="s">
        <v>1317</v>
      </c>
      <c r="BK357" s="22" t="s">
        <v>1318</v>
      </c>
      <c r="BL357" s="22" t="s">
        <v>1317</v>
      </c>
      <c r="BM357" s="22" t="s">
        <v>1311</v>
      </c>
      <c r="BN357" s="22" t="s">
        <v>1309</v>
      </c>
      <c r="BO357" s="22" t="s">
        <v>1309</v>
      </c>
      <c r="BP357" s="22" t="s">
        <v>1309</v>
      </c>
      <c r="BQ357" s="22" t="s">
        <v>1309</v>
      </c>
      <c r="BR357" s="22" t="s">
        <v>1309</v>
      </c>
      <c r="BS357" s="22" t="s">
        <v>1309</v>
      </c>
      <c r="BT357" s="22" t="s">
        <v>1309</v>
      </c>
      <c r="BU357" s="22" t="s">
        <v>1309</v>
      </c>
      <c r="BV357" s="22" t="s">
        <v>1317</v>
      </c>
      <c r="BW357" s="22" t="s">
        <v>1318</v>
      </c>
      <c r="BX357" s="20">
        <v>0</v>
      </c>
      <c r="BY357" s="20">
        <v>0</v>
      </c>
      <c r="BZ357" s="20">
        <v>25</v>
      </c>
      <c r="CA357" s="20">
        <v>0</v>
      </c>
      <c r="CB357" s="20">
        <v>0</v>
      </c>
      <c r="CC357" s="20">
        <v>453</v>
      </c>
      <c r="CD357" s="22" t="s">
        <v>1317</v>
      </c>
      <c r="CE357" s="22" t="s">
        <v>1318</v>
      </c>
      <c r="CF357" s="22" t="s">
        <v>1317</v>
      </c>
      <c r="CG357" s="22" t="s">
        <v>1318</v>
      </c>
      <c r="CH357" s="22" t="s">
        <v>1317</v>
      </c>
      <c r="CI357" s="22" t="s">
        <v>1318</v>
      </c>
      <c r="CJ357" s="149" t="s">
        <v>1124</v>
      </c>
      <c r="CK357" s="241" t="s">
        <v>1358</v>
      </c>
    </row>
    <row r="358" spans="1:89" ht="15" customHeight="1" x14ac:dyDescent="0.35">
      <c r="A358" s="17"/>
      <c r="B358" s="313">
        <v>33115</v>
      </c>
      <c r="C358" s="8" t="s">
        <v>283</v>
      </c>
      <c r="D358" s="18">
        <v>12</v>
      </c>
      <c r="E358" s="131"/>
      <c r="F358" s="22"/>
      <c r="G358" s="132"/>
      <c r="H358" s="22"/>
      <c r="I358" s="22"/>
      <c r="J358" s="22"/>
      <c r="K358" s="22"/>
      <c r="L358" s="22"/>
      <c r="M358" s="133"/>
      <c r="N358" s="22"/>
      <c r="O358" s="22"/>
      <c r="P358" s="22"/>
      <c r="Q358" s="20"/>
      <c r="R358" s="20"/>
      <c r="S358" s="20"/>
      <c r="T358" s="20"/>
      <c r="U358" s="20"/>
      <c r="V358" s="20"/>
      <c r="W358" s="20"/>
      <c r="X358" s="20"/>
      <c r="Y358" s="20"/>
      <c r="Z358" s="20"/>
      <c r="AA358" s="20"/>
      <c r="AB358" s="22"/>
      <c r="AC358" s="20"/>
      <c r="AD358" s="20"/>
      <c r="AE358" s="20"/>
      <c r="AF358" s="20" t="s">
        <v>1124</v>
      </c>
      <c r="AG358" s="20" t="s">
        <v>1124</v>
      </c>
      <c r="AH358" s="20" t="s">
        <v>1124</v>
      </c>
      <c r="AI358" s="328"/>
      <c r="AJ358" s="328"/>
      <c r="AK358" s="328"/>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0"/>
      <c r="BY358" s="20"/>
      <c r="BZ358" s="20"/>
      <c r="CA358" s="20"/>
      <c r="CB358" s="20"/>
      <c r="CC358" s="20"/>
      <c r="CD358" s="22"/>
      <c r="CE358" s="22"/>
      <c r="CF358" s="22"/>
      <c r="CG358" s="22"/>
      <c r="CH358" s="22"/>
      <c r="CI358" s="22"/>
      <c r="CJ358" s="149"/>
      <c r="CK358" s="241"/>
    </row>
    <row r="359" spans="1:89" ht="15" customHeight="1" x14ac:dyDescent="0.35">
      <c r="A359" s="17"/>
      <c r="B359" s="313">
        <v>51015</v>
      </c>
      <c r="C359" s="8" t="s">
        <v>499</v>
      </c>
      <c r="D359" s="18">
        <v>4</v>
      </c>
      <c r="E359" s="131" t="s">
        <v>1309</v>
      </c>
      <c r="F359" s="22" t="s">
        <v>1309</v>
      </c>
      <c r="G359" s="132" t="s">
        <v>1309</v>
      </c>
      <c r="H359" s="22" t="s">
        <v>1311</v>
      </c>
      <c r="I359" s="22" t="s">
        <v>1315</v>
      </c>
      <c r="J359" s="22" t="s">
        <v>1315</v>
      </c>
      <c r="K359" s="22" t="s">
        <v>1309</v>
      </c>
      <c r="L359" s="22" t="s">
        <v>1309</v>
      </c>
      <c r="M359" s="133" t="s">
        <v>1311</v>
      </c>
      <c r="N359" s="22" t="s">
        <v>1311</v>
      </c>
      <c r="O359" s="22" t="s">
        <v>1314</v>
      </c>
      <c r="P359" s="22" t="s">
        <v>1311</v>
      </c>
      <c r="Q359" s="20">
        <v>0</v>
      </c>
      <c r="R359" s="20">
        <v>0</v>
      </c>
      <c r="S359" s="20">
        <v>101</v>
      </c>
      <c r="T359" s="20">
        <v>101</v>
      </c>
      <c r="U359" s="20">
        <v>0</v>
      </c>
      <c r="V359" s="20">
        <v>0</v>
      </c>
      <c r="W359" s="20">
        <v>0</v>
      </c>
      <c r="X359" s="20">
        <v>0</v>
      </c>
      <c r="Y359" s="20">
        <v>0</v>
      </c>
      <c r="Z359" s="20">
        <v>0</v>
      </c>
      <c r="AA359" s="20" t="s">
        <v>1317</v>
      </c>
      <c r="AB359" s="22" t="s">
        <v>1318</v>
      </c>
      <c r="AC359" s="20">
        <v>6</v>
      </c>
      <c r="AD359" s="20">
        <v>5</v>
      </c>
      <c r="AE359" s="20">
        <v>2</v>
      </c>
      <c r="AF359" s="20">
        <v>4</v>
      </c>
      <c r="AG359" s="20">
        <v>4</v>
      </c>
      <c r="AH359" s="20">
        <v>7</v>
      </c>
      <c r="AI359" s="328">
        <v>5.9790732436472354</v>
      </c>
      <c r="AJ359" s="328">
        <v>1.3919821826280623</v>
      </c>
      <c r="AK359" s="328">
        <v>0.55679287305122493</v>
      </c>
      <c r="AL359" s="22" t="s">
        <v>1329</v>
      </c>
      <c r="AM359" s="22" t="s">
        <v>1330</v>
      </c>
      <c r="AN359" s="22" t="s">
        <v>1317</v>
      </c>
      <c r="AO359" s="22" t="s">
        <v>1318</v>
      </c>
      <c r="AP359" s="22" t="s">
        <v>1318</v>
      </c>
      <c r="AQ359" s="22" t="s">
        <v>1318</v>
      </c>
      <c r="AR359" s="22" t="s">
        <v>1317</v>
      </c>
      <c r="AS359" s="22" t="s">
        <v>1318</v>
      </c>
      <c r="AT359" s="22" t="s">
        <v>1309</v>
      </c>
      <c r="AU359" s="22" t="s">
        <v>1311</v>
      </c>
      <c r="AV359" s="22" t="s">
        <v>1317</v>
      </c>
      <c r="AW359" s="22" t="s">
        <v>1318</v>
      </c>
      <c r="AX359" s="22" t="s">
        <v>1317</v>
      </c>
      <c r="AY359" s="22" t="s">
        <v>1318</v>
      </c>
      <c r="AZ359" s="22" t="s">
        <v>1309</v>
      </c>
      <c r="BA359" s="22" t="s">
        <v>1311</v>
      </c>
      <c r="BB359" s="22" t="s">
        <v>1309</v>
      </c>
      <c r="BC359" s="22" t="s">
        <v>1311</v>
      </c>
      <c r="BD359" s="22" t="s">
        <v>1309</v>
      </c>
      <c r="BE359" s="22" t="s">
        <v>1309</v>
      </c>
      <c r="BF359" s="22" t="s">
        <v>1317</v>
      </c>
      <c r="BG359" s="22" t="s">
        <v>1311</v>
      </c>
      <c r="BH359" s="22" t="s">
        <v>1317</v>
      </c>
      <c r="BI359" s="22" t="s">
        <v>1318</v>
      </c>
      <c r="BJ359" s="22" t="s">
        <v>1309</v>
      </c>
      <c r="BK359" s="22" t="s">
        <v>1309</v>
      </c>
      <c r="BL359" s="22" t="s">
        <v>1309</v>
      </c>
      <c r="BM359" s="22" t="s">
        <v>1309</v>
      </c>
      <c r="BN359" s="22" t="s">
        <v>1309</v>
      </c>
      <c r="BO359" s="22" t="s">
        <v>1309</v>
      </c>
      <c r="BP359" s="22" t="s">
        <v>1309</v>
      </c>
      <c r="BQ359" s="22" t="s">
        <v>1309</v>
      </c>
      <c r="BR359" s="22" t="s">
        <v>1317</v>
      </c>
      <c r="BS359" s="22" t="s">
        <v>1318</v>
      </c>
      <c r="BT359" s="22" t="s">
        <v>1315</v>
      </c>
      <c r="BU359" s="22" t="s">
        <v>1315</v>
      </c>
      <c r="BV359" s="22" t="s">
        <v>1309</v>
      </c>
      <c r="BW359" s="22" t="s">
        <v>1309</v>
      </c>
      <c r="BX359" s="20">
        <v>190</v>
      </c>
      <c r="BY359" s="20">
        <v>0</v>
      </c>
      <c r="BZ359" s="20">
        <v>852</v>
      </c>
      <c r="CA359" s="20">
        <v>24</v>
      </c>
      <c r="CB359" s="20">
        <v>0</v>
      </c>
      <c r="CC359" s="20">
        <v>2526</v>
      </c>
      <c r="CD359" s="22" t="s">
        <v>1320</v>
      </c>
      <c r="CE359" s="22" t="s">
        <v>1321</v>
      </c>
      <c r="CF359" s="22" t="s">
        <v>1320</v>
      </c>
      <c r="CG359" s="22" t="s">
        <v>1321</v>
      </c>
      <c r="CH359" s="22" t="s">
        <v>1317</v>
      </c>
      <c r="CI359" s="22" t="s">
        <v>1318</v>
      </c>
      <c r="CJ359" s="149" t="s">
        <v>2122</v>
      </c>
      <c r="CK359" s="241" t="s">
        <v>2123</v>
      </c>
    </row>
    <row r="360" spans="1:89" ht="15" customHeight="1" x14ac:dyDescent="0.35">
      <c r="A360" s="17"/>
      <c r="B360" s="313">
        <v>83010</v>
      </c>
      <c r="C360" s="8" t="s">
        <v>836</v>
      </c>
      <c r="D360" s="18">
        <v>7</v>
      </c>
      <c r="E360" s="131"/>
      <c r="F360" s="22"/>
      <c r="G360" s="132"/>
      <c r="H360" s="22"/>
      <c r="I360" s="22"/>
      <c r="J360" s="22"/>
      <c r="K360" s="22"/>
      <c r="L360" s="22"/>
      <c r="M360" s="133"/>
      <c r="N360" s="22"/>
      <c r="O360" s="22"/>
      <c r="P360" s="22"/>
      <c r="Q360" s="20"/>
      <c r="R360" s="20"/>
      <c r="S360" s="20"/>
      <c r="T360" s="20"/>
      <c r="U360" s="20"/>
      <c r="V360" s="20"/>
      <c r="W360" s="20"/>
      <c r="X360" s="20"/>
      <c r="Y360" s="20"/>
      <c r="Z360" s="20"/>
      <c r="AA360" s="20"/>
      <c r="AB360" s="22"/>
      <c r="AC360" s="20"/>
      <c r="AD360" s="20"/>
      <c r="AE360" s="20"/>
      <c r="AF360" s="20" t="s">
        <v>1124</v>
      </c>
      <c r="AG360" s="20" t="s">
        <v>1124</v>
      </c>
      <c r="AH360" s="20" t="s">
        <v>1124</v>
      </c>
      <c r="AI360" s="328"/>
      <c r="AJ360" s="328"/>
      <c r="AK360" s="328"/>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0"/>
      <c r="BY360" s="20"/>
      <c r="BZ360" s="20"/>
      <c r="CA360" s="20"/>
      <c r="CB360" s="20"/>
      <c r="CC360" s="20"/>
      <c r="CD360" s="22"/>
      <c r="CE360" s="22"/>
      <c r="CF360" s="22"/>
      <c r="CG360" s="22"/>
      <c r="CH360" s="22"/>
      <c r="CI360" s="22"/>
      <c r="CJ360" s="149"/>
      <c r="CK360" s="241"/>
    </row>
    <row r="361" spans="1:89" ht="15" customHeight="1" x14ac:dyDescent="0.35">
      <c r="A361" s="17"/>
      <c r="B361" s="313">
        <v>32065</v>
      </c>
      <c r="C361" s="8" t="s">
        <v>263</v>
      </c>
      <c r="D361" s="18">
        <v>17</v>
      </c>
      <c r="E361" s="131" t="s">
        <v>1309</v>
      </c>
      <c r="F361" s="22" t="s">
        <v>1309</v>
      </c>
      <c r="G361" s="132" t="s">
        <v>1309</v>
      </c>
      <c r="H361" s="22" t="s">
        <v>1311</v>
      </c>
      <c r="I361" s="22" t="s">
        <v>1327</v>
      </c>
      <c r="J361" s="22" t="s">
        <v>1327</v>
      </c>
      <c r="K361" s="22" t="s">
        <v>1314</v>
      </c>
      <c r="L361" s="22" t="s">
        <v>1311</v>
      </c>
      <c r="M361" s="133" t="s">
        <v>1311</v>
      </c>
      <c r="N361" s="22" t="s">
        <v>1311</v>
      </c>
      <c r="O361" s="22" t="s">
        <v>1309</v>
      </c>
      <c r="P361" s="22" t="s">
        <v>1309</v>
      </c>
      <c r="Q361" s="20">
        <v>0</v>
      </c>
      <c r="R361" s="20">
        <v>0</v>
      </c>
      <c r="S361" s="20">
        <v>0</v>
      </c>
      <c r="T361" s="20">
        <v>0</v>
      </c>
      <c r="U361" s="20">
        <v>0</v>
      </c>
      <c r="V361" s="20">
        <v>0</v>
      </c>
      <c r="W361" s="20">
        <v>0</v>
      </c>
      <c r="X361" s="20">
        <v>0</v>
      </c>
      <c r="Y361" s="20">
        <v>0</v>
      </c>
      <c r="Z361" s="20">
        <v>0</v>
      </c>
      <c r="AA361" s="20" t="s">
        <v>1315</v>
      </c>
      <c r="AB361" s="22" t="s">
        <v>1315</v>
      </c>
      <c r="AC361" s="20">
        <v>1</v>
      </c>
      <c r="AD361" s="20">
        <v>0</v>
      </c>
      <c r="AE361" s="20">
        <v>1</v>
      </c>
      <c r="AF361" s="20">
        <v>5</v>
      </c>
      <c r="AG361" s="20">
        <v>0</v>
      </c>
      <c r="AH361" s="20">
        <v>1</v>
      </c>
      <c r="AI361" s="328">
        <v>7.8597814980743532</v>
      </c>
      <c r="AJ361" s="328" t="s">
        <v>1328</v>
      </c>
      <c r="AK361" s="328">
        <v>1.9646365422396856</v>
      </c>
      <c r="AL361" s="22" t="s">
        <v>1329</v>
      </c>
      <c r="AM361" s="22" t="s">
        <v>1330</v>
      </c>
      <c r="AN361" s="22" t="s">
        <v>1315</v>
      </c>
      <c r="AO361" s="22" t="s">
        <v>1315</v>
      </c>
      <c r="AP361" s="22" t="s">
        <v>1315</v>
      </c>
      <c r="AQ361" s="22" t="s">
        <v>1315</v>
      </c>
      <c r="AR361" s="22" t="s">
        <v>1317</v>
      </c>
      <c r="AS361" s="22" t="s">
        <v>1318</v>
      </c>
      <c r="AT361" s="22" t="s">
        <v>1309</v>
      </c>
      <c r="AU361" s="22" t="s">
        <v>1309</v>
      </c>
      <c r="AV361" s="22" t="s">
        <v>1309</v>
      </c>
      <c r="AW361" s="22" t="s">
        <v>1309</v>
      </c>
      <c r="AX361" s="22" t="s">
        <v>1317</v>
      </c>
      <c r="AY361" s="22" t="s">
        <v>1318</v>
      </c>
      <c r="AZ361" s="22" t="s">
        <v>1309</v>
      </c>
      <c r="BA361" s="22" t="s">
        <v>1309</v>
      </c>
      <c r="BB361" s="22" t="s">
        <v>1309</v>
      </c>
      <c r="BC361" s="22" t="s">
        <v>1309</v>
      </c>
      <c r="BD361" s="22" t="s">
        <v>1309</v>
      </c>
      <c r="BE361" s="22" t="s">
        <v>1309</v>
      </c>
      <c r="BF361" s="22" t="s">
        <v>1309</v>
      </c>
      <c r="BG361" s="22" t="s">
        <v>1309</v>
      </c>
      <c r="BH361" s="22" t="s">
        <v>1317</v>
      </c>
      <c r="BI361" s="22" t="s">
        <v>1318</v>
      </c>
      <c r="BJ361" s="22" t="s">
        <v>1309</v>
      </c>
      <c r="BK361" s="22" t="s">
        <v>1309</v>
      </c>
      <c r="BL361" s="22" t="s">
        <v>1319</v>
      </c>
      <c r="BM361" s="22" t="s">
        <v>1311</v>
      </c>
      <c r="BN361" s="22" t="s">
        <v>1319</v>
      </c>
      <c r="BO361" s="22" t="s">
        <v>1311</v>
      </c>
      <c r="BP361" s="22" t="s">
        <v>1319</v>
      </c>
      <c r="BQ361" s="22" t="s">
        <v>1309</v>
      </c>
      <c r="BR361" s="22" t="s">
        <v>1309</v>
      </c>
      <c r="BS361" s="22" t="s">
        <v>1309</v>
      </c>
      <c r="BT361" s="22" t="s">
        <v>1309</v>
      </c>
      <c r="BU361" s="22" t="s">
        <v>1309</v>
      </c>
      <c r="BV361" s="22" t="s">
        <v>1309</v>
      </c>
      <c r="BW361" s="22" t="s">
        <v>1309</v>
      </c>
      <c r="BX361" s="20">
        <v>41</v>
      </c>
      <c r="BY361" s="20">
        <v>0</v>
      </c>
      <c r="BZ361" s="20">
        <v>10</v>
      </c>
      <c r="CA361" s="20">
        <v>458</v>
      </c>
      <c r="CB361" s="20">
        <v>0</v>
      </c>
      <c r="CC361" s="20">
        <v>0</v>
      </c>
      <c r="CD361" s="22" t="s">
        <v>1345</v>
      </c>
      <c r="CE361" s="22" t="s">
        <v>1344</v>
      </c>
      <c r="CF361" s="22" t="s">
        <v>1331</v>
      </c>
      <c r="CG361" s="22" t="s">
        <v>1331</v>
      </c>
      <c r="CH361" s="22" t="s">
        <v>1315</v>
      </c>
      <c r="CI361" s="22" t="s">
        <v>1315</v>
      </c>
      <c r="CJ361" s="149" t="s">
        <v>2128</v>
      </c>
      <c r="CK361" s="241" t="s">
        <v>1124</v>
      </c>
    </row>
    <row r="362" spans="1:89" ht="15" customHeight="1" x14ac:dyDescent="0.35">
      <c r="A362" s="17"/>
      <c r="B362" s="313">
        <v>87058</v>
      </c>
      <c r="C362" s="8" t="s">
        <v>899</v>
      </c>
      <c r="D362" s="18">
        <v>8</v>
      </c>
      <c r="E362" s="131" t="s">
        <v>1309</v>
      </c>
      <c r="F362" s="22" t="s">
        <v>1309</v>
      </c>
      <c r="G362" s="132" t="s">
        <v>1309</v>
      </c>
      <c r="H362" s="22" t="s">
        <v>1311</v>
      </c>
      <c r="I362" s="22" t="s">
        <v>1327</v>
      </c>
      <c r="J362" s="22" t="s">
        <v>1327</v>
      </c>
      <c r="K362" s="22" t="s">
        <v>1314</v>
      </c>
      <c r="L362" s="22" t="s">
        <v>1311</v>
      </c>
      <c r="M362" s="133" t="s">
        <v>1311</v>
      </c>
      <c r="N362" s="22" t="s">
        <v>1311</v>
      </c>
      <c r="O362" s="22" t="s">
        <v>1314</v>
      </c>
      <c r="P362" s="22" t="s">
        <v>1311</v>
      </c>
      <c r="Q362" s="20">
        <v>0</v>
      </c>
      <c r="R362" s="20">
        <v>0</v>
      </c>
      <c r="S362" s="20">
        <v>18.100000000000001</v>
      </c>
      <c r="T362" s="20">
        <v>18.100000000000001</v>
      </c>
      <c r="U362" s="20">
        <v>6</v>
      </c>
      <c r="V362" s="20">
        <v>10</v>
      </c>
      <c r="W362" s="20">
        <v>0</v>
      </c>
      <c r="X362" s="20">
        <v>0</v>
      </c>
      <c r="Y362" s="20">
        <v>0</v>
      </c>
      <c r="Z362" s="20">
        <v>0</v>
      </c>
      <c r="AA362" s="20" t="s">
        <v>1317</v>
      </c>
      <c r="AB362" s="22" t="s">
        <v>1311</v>
      </c>
      <c r="AC362" s="20">
        <v>0</v>
      </c>
      <c r="AD362" s="20">
        <v>1</v>
      </c>
      <c r="AE362" s="20">
        <v>2</v>
      </c>
      <c r="AF362" s="20">
        <v>0</v>
      </c>
      <c r="AG362" s="20">
        <v>1</v>
      </c>
      <c r="AH362" s="20">
        <v>2</v>
      </c>
      <c r="AI362" s="328" t="s">
        <v>1328</v>
      </c>
      <c r="AJ362" s="328">
        <v>1.4513788098693758</v>
      </c>
      <c r="AK362" s="328">
        <v>2.9027576197387517</v>
      </c>
      <c r="AL362" s="22" t="s">
        <v>1329</v>
      </c>
      <c r="AM362" s="22" t="s">
        <v>1330</v>
      </c>
      <c r="AN362" s="22" t="s">
        <v>1317</v>
      </c>
      <c r="AO362" s="22" t="s">
        <v>1318</v>
      </c>
      <c r="AP362" s="22" t="s">
        <v>1318</v>
      </c>
      <c r="AQ362" s="22" t="s">
        <v>1318</v>
      </c>
      <c r="AR362" s="22" t="s">
        <v>1317</v>
      </c>
      <c r="AS362" s="22" t="s">
        <v>1318</v>
      </c>
      <c r="AT362" s="22" t="s">
        <v>1317</v>
      </c>
      <c r="AU362" s="22" t="s">
        <v>1318</v>
      </c>
      <c r="AV362" s="22" t="s">
        <v>1317</v>
      </c>
      <c r="AW362" s="22" t="s">
        <v>1318</v>
      </c>
      <c r="AX362" s="22" t="s">
        <v>1317</v>
      </c>
      <c r="AY362" s="22" t="s">
        <v>1318</v>
      </c>
      <c r="AZ362" s="22" t="s">
        <v>1309</v>
      </c>
      <c r="BA362" s="22" t="s">
        <v>1309</v>
      </c>
      <c r="BB362" s="22" t="s">
        <v>1309</v>
      </c>
      <c r="BC362" s="22" t="s">
        <v>1309</v>
      </c>
      <c r="BD362" s="22" t="s">
        <v>1317</v>
      </c>
      <c r="BE362" s="22" t="s">
        <v>1318</v>
      </c>
      <c r="BF362" s="22" t="s">
        <v>1319</v>
      </c>
      <c r="BG362" s="22" t="s">
        <v>1309</v>
      </c>
      <c r="BH362" s="22" t="s">
        <v>1317</v>
      </c>
      <c r="BI362" s="22" t="s">
        <v>1318</v>
      </c>
      <c r="BJ362" s="22" t="s">
        <v>1317</v>
      </c>
      <c r="BK362" s="22" t="s">
        <v>1318</v>
      </c>
      <c r="BL362" s="22" t="s">
        <v>1317</v>
      </c>
      <c r="BM362" s="22" t="s">
        <v>1318</v>
      </c>
      <c r="BN362" s="22" t="s">
        <v>1309</v>
      </c>
      <c r="BO362" s="22" t="s">
        <v>1309</v>
      </c>
      <c r="BP362" s="22" t="s">
        <v>1317</v>
      </c>
      <c r="BQ362" s="22" t="s">
        <v>1311</v>
      </c>
      <c r="BR362" s="22" t="s">
        <v>1319</v>
      </c>
      <c r="BS362" s="22" t="s">
        <v>1309</v>
      </c>
      <c r="BT362" s="22" t="s">
        <v>1309</v>
      </c>
      <c r="BU362" s="22" t="s">
        <v>1309</v>
      </c>
      <c r="BV362" s="22" t="s">
        <v>1317</v>
      </c>
      <c r="BW362" s="22" t="s">
        <v>1311</v>
      </c>
      <c r="BX362" s="20">
        <v>0</v>
      </c>
      <c r="BY362" s="20">
        <v>14</v>
      </c>
      <c r="BZ362" s="20">
        <v>13</v>
      </c>
      <c r="CA362" s="20">
        <v>0</v>
      </c>
      <c r="CB362" s="20">
        <v>0</v>
      </c>
      <c r="CC362" s="20">
        <v>511</v>
      </c>
      <c r="CD362" s="22" t="s">
        <v>1345</v>
      </c>
      <c r="CE362" s="22" t="s">
        <v>1331</v>
      </c>
      <c r="CF362" s="22" t="s">
        <v>1317</v>
      </c>
      <c r="CG362" s="22" t="s">
        <v>1340</v>
      </c>
      <c r="CH362" s="22" t="s">
        <v>1317</v>
      </c>
      <c r="CI362" s="22" t="s">
        <v>1313</v>
      </c>
      <c r="CJ362" s="149" t="s">
        <v>1124</v>
      </c>
      <c r="CK362" s="241" t="s">
        <v>1845</v>
      </c>
    </row>
    <row r="363" spans="1:89" ht="15" customHeight="1" x14ac:dyDescent="0.35">
      <c r="A363" s="17"/>
      <c r="B363" s="313">
        <v>39165</v>
      </c>
      <c r="C363" s="8" t="s">
        <v>1114</v>
      </c>
      <c r="D363" s="18">
        <v>17</v>
      </c>
      <c r="E363" s="131"/>
      <c r="F363" s="22"/>
      <c r="G363" s="132"/>
      <c r="H363" s="22"/>
      <c r="I363" s="22"/>
      <c r="J363" s="22"/>
      <c r="K363" s="22"/>
      <c r="L363" s="22"/>
      <c r="M363" s="133"/>
      <c r="N363" s="22"/>
      <c r="O363" s="22"/>
      <c r="P363" s="22"/>
      <c r="Q363" s="20"/>
      <c r="R363" s="20"/>
      <c r="S363" s="20"/>
      <c r="T363" s="20"/>
      <c r="U363" s="20"/>
      <c r="V363" s="20"/>
      <c r="W363" s="20"/>
      <c r="X363" s="20"/>
      <c r="Y363" s="20"/>
      <c r="Z363" s="20"/>
      <c r="AA363" s="20"/>
      <c r="AB363" s="22"/>
      <c r="AC363" s="20"/>
      <c r="AD363" s="20"/>
      <c r="AE363" s="20"/>
      <c r="AF363" s="20" t="s">
        <v>1124</v>
      </c>
      <c r="AG363" s="20" t="s">
        <v>1124</v>
      </c>
      <c r="AH363" s="20" t="s">
        <v>1124</v>
      </c>
      <c r="AI363" s="328"/>
      <c r="AJ363" s="328"/>
      <c r="AK363" s="328"/>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0"/>
      <c r="BY363" s="20"/>
      <c r="BZ363" s="20"/>
      <c r="CA363" s="20"/>
      <c r="CB363" s="20"/>
      <c r="CC363" s="20"/>
      <c r="CD363" s="22"/>
      <c r="CE363" s="22"/>
      <c r="CF363" s="22"/>
      <c r="CG363" s="22"/>
      <c r="CH363" s="22"/>
      <c r="CI363" s="22"/>
      <c r="CJ363" s="149"/>
      <c r="CK363" s="241"/>
    </row>
    <row r="364" spans="1:89" ht="15" customHeight="1" x14ac:dyDescent="0.35">
      <c r="A364" s="17"/>
      <c r="B364" s="313">
        <v>45072</v>
      </c>
      <c r="C364" s="8" t="s">
        <v>419</v>
      </c>
      <c r="D364" s="18">
        <v>5</v>
      </c>
      <c r="E364" s="131" t="s">
        <v>1309</v>
      </c>
      <c r="F364" s="22" t="s">
        <v>1309</v>
      </c>
      <c r="G364" s="132" t="s">
        <v>1309</v>
      </c>
      <c r="H364" s="22" t="s">
        <v>1311</v>
      </c>
      <c r="I364" s="22" t="s">
        <v>1312</v>
      </c>
      <c r="J364" s="22" t="s">
        <v>1327</v>
      </c>
      <c r="K364" s="22" t="s">
        <v>1314</v>
      </c>
      <c r="L364" s="22" t="s">
        <v>1311</v>
      </c>
      <c r="M364" s="133" t="s">
        <v>1311</v>
      </c>
      <c r="N364" s="22" t="s">
        <v>1311</v>
      </c>
      <c r="O364" s="22" t="s">
        <v>1319</v>
      </c>
      <c r="P364" s="22" t="s">
        <v>1311</v>
      </c>
      <c r="Q364" s="20">
        <v>0</v>
      </c>
      <c r="R364" s="20">
        <v>0</v>
      </c>
      <c r="S364" s="20">
        <v>0</v>
      </c>
      <c r="T364" s="20">
        <v>0</v>
      </c>
      <c r="U364" s="20">
        <v>0</v>
      </c>
      <c r="V364" s="20">
        <v>0</v>
      </c>
      <c r="W364" s="20">
        <v>0</v>
      </c>
      <c r="X364" s="20">
        <v>0</v>
      </c>
      <c r="Y364" s="20">
        <v>0</v>
      </c>
      <c r="Z364" s="20">
        <v>0</v>
      </c>
      <c r="AA364" s="20" t="s">
        <v>1317</v>
      </c>
      <c r="AB364" s="22" t="s">
        <v>1318</v>
      </c>
      <c r="AC364" s="20">
        <v>15</v>
      </c>
      <c r="AD364" s="20">
        <v>0</v>
      </c>
      <c r="AE364" s="20">
        <v>3</v>
      </c>
      <c r="AF364" s="20">
        <v>1</v>
      </c>
      <c r="AG364" s="20">
        <v>0</v>
      </c>
      <c r="AH364" s="20">
        <v>1</v>
      </c>
      <c r="AI364" s="328">
        <v>9.0601594588064742</v>
      </c>
      <c r="AJ364" s="328" t="s">
        <v>1328</v>
      </c>
      <c r="AK364" s="328">
        <v>0.36859565057132326</v>
      </c>
      <c r="AL364" s="22" t="s">
        <v>1329</v>
      </c>
      <c r="AM364" s="22" t="s">
        <v>1330</v>
      </c>
      <c r="AN364" s="22" t="s">
        <v>1315</v>
      </c>
      <c r="AO364" s="22" t="s">
        <v>1315</v>
      </c>
      <c r="AP364" s="22" t="s">
        <v>1315</v>
      </c>
      <c r="AQ364" s="22" t="s">
        <v>1315</v>
      </c>
      <c r="AR364" s="22" t="s">
        <v>1317</v>
      </c>
      <c r="AS364" s="22" t="s">
        <v>1318</v>
      </c>
      <c r="AT364" s="22" t="s">
        <v>1317</v>
      </c>
      <c r="AU364" s="22" t="s">
        <v>1318</v>
      </c>
      <c r="AV364" s="22" t="s">
        <v>1309</v>
      </c>
      <c r="AW364" s="22" t="s">
        <v>1311</v>
      </c>
      <c r="AX364" s="22" t="s">
        <v>1317</v>
      </c>
      <c r="AY364" s="22" t="s">
        <v>1318</v>
      </c>
      <c r="AZ364" s="22" t="s">
        <v>1319</v>
      </c>
      <c r="BA364" s="22" t="s">
        <v>1311</v>
      </c>
      <c r="BB364" s="22" t="s">
        <v>1309</v>
      </c>
      <c r="BC364" s="22" t="s">
        <v>1309</v>
      </c>
      <c r="BD364" s="22" t="s">
        <v>1309</v>
      </c>
      <c r="BE364" s="22" t="s">
        <v>1311</v>
      </c>
      <c r="BF364" s="22" t="s">
        <v>1317</v>
      </c>
      <c r="BG364" s="22" t="s">
        <v>1318</v>
      </c>
      <c r="BH364" s="22" t="s">
        <v>1309</v>
      </c>
      <c r="BI364" s="22" t="s">
        <v>1309</v>
      </c>
      <c r="BJ364" s="22" t="s">
        <v>1309</v>
      </c>
      <c r="BK364" s="22" t="s">
        <v>1309</v>
      </c>
      <c r="BL364" s="22" t="s">
        <v>1309</v>
      </c>
      <c r="BM364" s="22" t="s">
        <v>1309</v>
      </c>
      <c r="BN364" s="22" t="s">
        <v>1309</v>
      </c>
      <c r="BO364" s="22" t="s">
        <v>1309</v>
      </c>
      <c r="BP364" s="22" t="s">
        <v>1309</v>
      </c>
      <c r="BQ364" s="22" t="s">
        <v>1309</v>
      </c>
      <c r="BR364" s="22" t="s">
        <v>1319</v>
      </c>
      <c r="BS364" s="22" t="s">
        <v>1311</v>
      </c>
      <c r="BT364" s="22" t="s">
        <v>1317</v>
      </c>
      <c r="BU364" s="22" t="s">
        <v>1318</v>
      </c>
      <c r="BV364" s="22" t="s">
        <v>1317</v>
      </c>
      <c r="BW364" s="22" t="s">
        <v>1318</v>
      </c>
      <c r="BX364" s="20">
        <v>61</v>
      </c>
      <c r="BY364" s="20">
        <v>331</v>
      </c>
      <c r="BZ364" s="20">
        <v>226</v>
      </c>
      <c r="CA364" s="20">
        <v>0</v>
      </c>
      <c r="CB364" s="20">
        <v>0</v>
      </c>
      <c r="CC364" s="20">
        <v>8139</v>
      </c>
      <c r="CD364" s="22" t="s">
        <v>1320</v>
      </c>
      <c r="CE364" s="22" t="s">
        <v>1321</v>
      </c>
      <c r="CF364" s="22" t="s">
        <v>1317</v>
      </c>
      <c r="CG364" s="22" t="s">
        <v>1340</v>
      </c>
      <c r="CH364" s="22" t="s">
        <v>1317</v>
      </c>
      <c r="CI364" s="22" t="s">
        <v>1318</v>
      </c>
      <c r="CJ364" s="149" t="s">
        <v>2135</v>
      </c>
      <c r="CK364" s="241" t="s">
        <v>1124</v>
      </c>
    </row>
    <row r="365" spans="1:89" ht="15" customHeight="1" x14ac:dyDescent="0.35">
      <c r="A365" s="17"/>
      <c r="B365" s="313">
        <v>89015</v>
      </c>
      <c r="C365" s="8" t="s">
        <v>930</v>
      </c>
      <c r="D365" s="18">
        <v>8</v>
      </c>
      <c r="E365" s="131"/>
      <c r="F365" s="22"/>
      <c r="G365" s="132"/>
      <c r="H365" s="22"/>
      <c r="I365" s="22"/>
      <c r="J365" s="22"/>
      <c r="K365" s="22"/>
      <c r="L365" s="22"/>
      <c r="M365" s="133"/>
      <c r="N365" s="22"/>
      <c r="O365" s="22"/>
      <c r="P365" s="22"/>
      <c r="Q365" s="20"/>
      <c r="R365" s="20"/>
      <c r="S365" s="20"/>
      <c r="T365" s="20"/>
      <c r="U365" s="20"/>
      <c r="V365" s="20"/>
      <c r="W365" s="20"/>
      <c r="X365" s="20"/>
      <c r="Y365" s="20"/>
      <c r="Z365" s="20"/>
      <c r="AA365" s="20"/>
      <c r="AB365" s="22"/>
      <c r="AC365" s="20"/>
      <c r="AD365" s="20"/>
      <c r="AE365" s="20"/>
      <c r="AF365" s="20" t="s">
        <v>1124</v>
      </c>
      <c r="AG365" s="20" t="s">
        <v>1124</v>
      </c>
      <c r="AH365" s="20" t="s">
        <v>1124</v>
      </c>
      <c r="AI365" s="328"/>
      <c r="AJ365" s="328"/>
      <c r="AK365" s="328"/>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0"/>
      <c r="BY365" s="20"/>
      <c r="BZ365" s="20"/>
      <c r="CA365" s="20"/>
      <c r="CB365" s="20"/>
      <c r="CC365" s="20"/>
      <c r="CD365" s="22"/>
      <c r="CE365" s="22"/>
      <c r="CF365" s="22"/>
      <c r="CG365" s="22"/>
      <c r="CH365" s="22"/>
      <c r="CI365" s="22"/>
      <c r="CJ365" s="149"/>
      <c r="CK365" s="241"/>
    </row>
    <row r="366" spans="1:89" ht="15" customHeight="1" x14ac:dyDescent="0.35">
      <c r="A366" s="17"/>
      <c r="B366" s="313">
        <v>52095</v>
      </c>
      <c r="C366" s="8" t="s">
        <v>529</v>
      </c>
      <c r="D366" s="18">
        <v>14</v>
      </c>
      <c r="E366" s="131" t="s">
        <v>1319</v>
      </c>
      <c r="F366" s="22" t="s">
        <v>1310</v>
      </c>
      <c r="G366" s="132" t="s">
        <v>1309</v>
      </c>
      <c r="H366" s="22" t="s">
        <v>1311</v>
      </c>
      <c r="I366" s="22" t="s">
        <v>1327</v>
      </c>
      <c r="J366" s="22" t="s">
        <v>1327</v>
      </c>
      <c r="K366" s="22" t="s">
        <v>1309</v>
      </c>
      <c r="L366" s="22" t="s">
        <v>1309</v>
      </c>
      <c r="M366" s="133" t="s">
        <v>1311</v>
      </c>
      <c r="N366" s="22" t="s">
        <v>1311</v>
      </c>
      <c r="O366" s="22" t="s">
        <v>1314</v>
      </c>
      <c r="P366" s="22" t="s">
        <v>1318</v>
      </c>
      <c r="Q366" s="20">
        <v>0</v>
      </c>
      <c r="R366" s="20">
        <v>0</v>
      </c>
      <c r="S366" s="20">
        <v>0</v>
      </c>
      <c r="T366" s="20">
        <v>0</v>
      </c>
      <c r="U366" s="20">
        <v>0</v>
      </c>
      <c r="V366" s="20">
        <v>0</v>
      </c>
      <c r="W366" s="20">
        <v>0</v>
      </c>
      <c r="X366" s="20">
        <v>0</v>
      </c>
      <c r="Y366" s="20">
        <v>0</v>
      </c>
      <c r="Z366" s="20">
        <v>0</v>
      </c>
      <c r="AA366" s="20" t="s">
        <v>1317</v>
      </c>
      <c r="AB366" s="22" t="s">
        <v>1318</v>
      </c>
      <c r="AC366" s="20">
        <v>0</v>
      </c>
      <c r="AD366" s="20">
        <v>0</v>
      </c>
      <c r="AE366" s="20">
        <v>0</v>
      </c>
      <c r="AF366" s="20">
        <v>0</v>
      </c>
      <c r="AG366" s="20">
        <v>0</v>
      </c>
      <c r="AH366" s="20">
        <v>0</v>
      </c>
      <c r="AI366" s="328" t="s">
        <v>1328</v>
      </c>
      <c r="AJ366" s="328" t="s">
        <v>1328</v>
      </c>
      <c r="AK366" s="328" t="s">
        <v>1328</v>
      </c>
      <c r="AL366" s="22" t="s">
        <v>1338</v>
      </c>
      <c r="AM366" s="22" t="s">
        <v>1330</v>
      </c>
      <c r="AN366" s="22" t="s">
        <v>1317</v>
      </c>
      <c r="AO366" s="22" t="s">
        <v>1318</v>
      </c>
      <c r="AP366" s="22" t="s">
        <v>1318</v>
      </c>
      <c r="AQ366" s="22" t="s">
        <v>1318</v>
      </c>
      <c r="AR366" s="22" t="s">
        <v>1317</v>
      </c>
      <c r="AS366" s="22" t="s">
        <v>1311</v>
      </c>
      <c r="AT366" s="22" t="s">
        <v>1317</v>
      </c>
      <c r="AU366" s="22" t="s">
        <v>1311</v>
      </c>
      <c r="AV366" s="22" t="s">
        <v>1317</v>
      </c>
      <c r="AW366" s="22" t="s">
        <v>1318</v>
      </c>
      <c r="AX366" s="22" t="s">
        <v>1317</v>
      </c>
      <c r="AY366" s="22" t="s">
        <v>1318</v>
      </c>
      <c r="AZ366" s="22" t="s">
        <v>1309</v>
      </c>
      <c r="BA366" s="22" t="s">
        <v>1309</v>
      </c>
      <c r="BB366" s="22" t="s">
        <v>1317</v>
      </c>
      <c r="BC366" s="22" t="s">
        <v>1311</v>
      </c>
      <c r="BD366" s="22" t="s">
        <v>1317</v>
      </c>
      <c r="BE366" s="22" t="s">
        <v>1318</v>
      </c>
      <c r="BF366" s="22" t="s">
        <v>1317</v>
      </c>
      <c r="BG366" s="22" t="s">
        <v>1318</v>
      </c>
      <c r="BH366" s="22" t="s">
        <v>1309</v>
      </c>
      <c r="BI366" s="22" t="s">
        <v>1309</v>
      </c>
      <c r="BJ366" s="22" t="s">
        <v>1309</v>
      </c>
      <c r="BK366" s="22" t="s">
        <v>1309</v>
      </c>
      <c r="BL366" s="22" t="s">
        <v>1309</v>
      </c>
      <c r="BM366" s="22" t="s">
        <v>1309</v>
      </c>
      <c r="BN366" s="22" t="s">
        <v>1309</v>
      </c>
      <c r="BO366" s="22" t="s">
        <v>1309</v>
      </c>
      <c r="BP366" s="22" t="s">
        <v>1309</v>
      </c>
      <c r="BQ366" s="22" t="s">
        <v>1309</v>
      </c>
      <c r="BR366" s="22" t="s">
        <v>1309</v>
      </c>
      <c r="BS366" s="22" t="s">
        <v>1309</v>
      </c>
      <c r="BT366" s="22" t="s">
        <v>1309</v>
      </c>
      <c r="BU366" s="22" t="s">
        <v>1309</v>
      </c>
      <c r="BV366" s="22" t="s">
        <v>1317</v>
      </c>
      <c r="BW366" s="22" t="s">
        <v>1318</v>
      </c>
      <c r="BX366" s="20">
        <v>1</v>
      </c>
      <c r="BY366" s="20">
        <v>0</v>
      </c>
      <c r="BZ366" s="20">
        <v>14</v>
      </c>
      <c r="CA366" s="20">
        <v>0</v>
      </c>
      <c r="CB366" s="20">
        <v>0</v>
      </c>
      <c r="CC366" s="20">
        <v>427</v>
      </c>
      <c r="CD366" s="22" t="s">
        <v>1317</v>
      </c>
      <c r="CE366" s="22" t="s">
        <v>1318</v>
      </c>
      <c r="CF366" s="22" t="s">
        <v>1317</v>
      </c>
      <c r="CG366" s="22" t="s">
        <v>1318</v>
      </c>
      <c r="CH366" s="22" t="s">
        <v>1317</v>
      </c>
      <c r="CI366" s="22" t="s">
        <v>1318</v>
      </c>
      <c r="CJ366" s="149" t="s">
        <v>1124</v>
      </c>
      <c r="CK366" s="241" t="s">
        <v>1358</v>
      </c>
    </row>
    <row r="367" spans="1:89" ht="15" customHeight="1" x14ac:dyDescent="0.35">
      <c r="A367" s="17"/>
      <c r="B367" s="313">
        <v>83065</v>
      </c>
      <c r="C367" s="8" t="s">
        <v>845</v>
      </c>
      <c r="D367" s="18">
        <v>7</v>
      </c>
      <c r="E367" s="131" t="s">
        <v>1309</v>
      </c>
      <c r="F367" s="22" t="s">
        <v>1309</v>
      </c>
      <c r="G367" s="132" t="s">
        <v>1309</v>
      </c>
      <c r="H367" s="22" t="s">
        <v>1311</v>
      </c>
      <c r="I367" s="22" t="s">
        <v>1327</v>
      </c>
      <c r="J367" s="22" t="s">
        <v>1327</v>
      </c>
      <c r="K367" s="22" t="s">
        <v>1309</v>
      </c>
      <c r="L367" s="22" t="s">
        <v>1309</v>
      </c>
      <c r="M367" s="133" t="s">
        <v>1311</v>
      </c>
      <c r="N367" s="22" t="s">
        <v>1311</v>
      </c>
      <c r="O367" s="22" t="s">
        <v>1309</v>
      </c>
      <c r="P367" s="22" t="s">
        <v>1309</v>
      </c>
      <c r="Q367" s="20">
        <v>0</v>
      </c>
      <c r="R367" s="20">
        <v>0</v>
      </c>
      <c r="S367" s="20">
        <v>55</v>
      </c>
      <c r="T367" s="20">
        <v>55</v>
      </c>
      <c r="U367" s="20">
        <v>0</v>
      </c>
      <c r="V367" s="20">
        <v>0</v>
      </c>
      <c r="W367" s="20">
        <v>0</v>
      </c>
      <c r="X367" s="20">
        <v>0</v>
      </c>
      <c r="Y367" s="20">
        <v>0</v>
      </c>
      <c r="Z367" s="20">
        <v>0</v>
      </c>
      <c r="AA367" s="20" t="s">
        <v>1317</v>
      </c>
      <c r="AB367" s="22" t="s">
        <v>1318</v>
      </c>
      <c r="AC367" s="20">
        <v>4</v>
      </c>
      <c r="AD367" s="20">
        <v>6</v>
      </c>
      <c r="AE367" s="20">
        <v>6</v>
      </c>
      <c r="AF367" s="20">
        <v>1</v>
      </c>
      <c r="AG367" s="20">
        <v>1</v>
      </c>
      <c r="AH367" s="20">
        <v>7</v>
      </c>
      <c r="AI367" s="328">
        <v>10.684902233144566</v>
      </c>
      <c r="AJ367" s="328">
        <v>2.5884383088869716</v>
      </c>
      <c r="AK367" s="328">
        <v>2.5884383088869716</v>
      </c>
      <c r="AL367" s="22" t="s">
        <v>1329</v>
      </c>
      <c r="AM367" s="22" t="s">
        <v>1330</v>
      </c>
      <c r="AN367" s="22" t="s">
        <v>1317</v>
      </c>
      <c r="AO367" s="22" t="s">
        <v>1318</v>
      </c>
      <c r="AP367" s="22" t="s">
        <v>1318</v>
      </c>
      <c r="AQ367" s="22" t="s">
        <v>1318</v>
      </c>
      <c r="AR367" s="22" t="s">
        <v>1317</v>
      </c>
      <c r="AS367" s="22" t="s">
        <v>1318</v>
      </c>
      <c r="AT367" s="22" t="s">
        <v>1309</v>
      </c>
      <c r="AU367" s="22" t="s">
        <v>1309</v>
      </c>
      <c r="AV367" s="22" t="s">
        <v>1309</v>
      </c>
      <c r="AW367" s="22" t="s">
        <v>1309</v>
      </c>
      <c r="AX367" s="22" t="s">
        <v>1317</v>
      </c>
      <c r="AY367" s="22" t="s">
        <v>1318</v>
      </c>
      <c r="AZ367" s="22" t="s">
        <v>1317</v>
      </c>
      <c r="BA367" s="22" t="s">
        <v>1311</v>
      </c>
      <c r="BB367" s="22" t="s">
        <v>1309</v>
      </c>
      <c r="BC367" s="22" t="s">
        <v>1309</v>
      </c>
      <c r="BD367" s="22" t="s">
        <v>1309</v>
      </c>
      <c r="BE367" s="22" t="s">
        <v>1309</v>
      </c>
      <c r="BF367" s="22" t="s">
        <v>1317</v>
      </c>
      <c r="BG367" s="22" t="s">
        <v>1318</v>
      </c>
      <c r="BH367" s="22" t="s">
        <v>1309</v>
      </c>
      <c r="BI367" s="22" t="s">
        <v>1309</v>
      </c>
      <c r="BJ367" s="22" t="s">
        <v>1309</v>
      </c>
      <c r="BK367" s="22" t="s">
        <v>1309</v>
      </c>
      <c r="BL367" s="22" t="s">
        <v>1309</v>
      </c>
      <c r="BM367" s="22" t="s">
        <v>1309</v>
      </c>
      <c r="BN367" s="22" t="s">
        <v>1309</v>
      </c>
      <c r="BO367" s="22" t="s">
        <v>1309</v>
      </c>
      <c r="BP367" s="22" t="s">
        <v>1309</v>
      </c>
      <c r="BQ367" s="22" t="s">
        <v>1309</v>
      </c>
      <c r="BR367" s="22" t="s">
        <v>1317</v>
      </c>
      <c r="BS367" s="22" t="s">
        <v>1318</v>
      </c>
      <c r="BT367" s="22" t="s">
        <v>1309</v>
      </c>
      <c r="BU367" s="22" t="s">
        <v>1309</v>
      </c>
      <c r="BV367" s="22" t="s">
        <v>1317</v>
      </c>
      <c r="BW367" s="22" t="s">
        <v>1318</v>
      </c>
      <c r="BX367" s="20">
        <v>53</v>
      </c>
      <c r="BY367" s="20">
        <v>1</v>
      </c>
      <c r="BZ367" s="20">
        <v>180</v>
      </c>
      <c r="CA367" s="20">
        <v>0</v>
      </c>
      <c r="CB367" s="20">
        <v>0</v>
      </c>
      <c r="CC367" s="20">
        <v>2084</v>
      </c>
      <c r="CD367" s="22" t="s">
        <v>1345</v>
      </c>
      <c r="CE367" s="22" t="s">
        <v>1321</v>
      </c>
      <c r="CF367" s="22" t="s">
        <v>1317</v>
      </c>
      <c r="CG367" s="22" t="s">
        <v>1321</v>
      </c>
      <c r="CH367" s="22" t="s">
        <v>1317</v>
      </c>
      <c r="CI367" s="22" t="s">
        <v>1318</v>
      </c>
      <c r="CJ367" s="149" t="s">
        <v>1124</v>
      </c>
      <c r="CK367" s="241" t="s">
        <v>1503</v>
      </c>
    </row>
    <row r="368" spans="1:89" ht="15" customHeight="1" x14ac:dyDescent="0.35">
      <c r="A368" s="17"/>
      <c r="B368" s="313">
        <v>38028</v>
      </c>
      <c r="C368" s="8" t="s">
        <v>329</v>
      </c>
      <c r="D368" s="18">
        <v>17</v>
      </c>
      <c r="E368" s="131"/>
      <c r="F368" s="22"/>
      <c r="G368" s="132"/>
      <c r="H368" s="22"/>
      <c r="I368" s="22"/>
      <c r="J368" s="22"/>
      <c r="K368" s="22"/>
      <c r="L368" s="22"/>
      <c r="M368" s="133"/>
      <c r="N368" s="22"/>
      <c r="O368" s="22"/>
      <c r="P368" s="22"/>
      <c r="Q368" s="20"/>
      <c r="R368" s="20"/>
      <c r="S368" s="20"/>
      <c r="T368" s="20"/>
      <c r="U368" s="20"/>
      <c r="V368" s="20"/>
      <c r="W368" s="20"/>
      <c r="X368" s="20"/>
      <c r="Y368" s="20"/>
      <c r="Z368" s="20"/>
      <c r="AA368" s="20"/>
      <c r="AB368" s="22"/>
      <c r="AC368" s="20"/>
      <c r="AD368" s="20"/>
      <c r="AE368" s="20"/>
      <c r="AF368" s="20" t="s">
        <v>1124</v>
      </c>
      <c r="AG368" s="20" t="s">
        <v>1124</v>
      </c>
      <c r="AH368" s="20" t="s">
        <v>1124</v>
      </c>
      <c r="AI368" s="328"/>
      <c r="AJ368" s="328"/>
      <c r="AK368" s="328"/>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0"/>
      <c r="BY368" s="20"/>
      <c r="BZ368" s="20"/>
      <c r="CA368" s="20"/>
      <c r="CB368" s="20"/>
      <c r="CC368" s="20"/>
      <c r="CD368" s="22"/>
      <c r="CE368" s="22"/>
      <c r="CF368" s="22"/>
      <c r="CG368" s="22"/>
      <c r="CH368" s="22"/>
      <c r="CI368" s="22"/>
      <c r="CJ368" s="149"/>
      <c r="CK368" s="241"/>
    </row>
    <row r="369" spans="1:89" ht="15" customHeight="1" x14ac:dyDescent="0.35">
      <c r="A369" s="17"/>
      <c r="B369" s="313">
        <v>84065</v>
      </c>
      <c r="C369" s="8" t="s">
        <v>864</v>
      </c>
      <c r="D369" s="18">
        <v>7</v>
      </c>
      <c r="E369" s="131"/>
      <c r="F369" s="22"/>
      <c r="G369" s="132"/>
      <c r="H369" s="22"/>
      <c r="I369" s="22"/>
      <c r="J369" s="22"/>
      <c r="K369" s="22"/>
      <c r="L369" s="22"/>
      <c r="M369" s="133"/>
      <c r="N369" s="22"/>
      <c r="O369" s="22"/>
      <c r="P369" s="22"/>
      <c r="Q369" s="20"/>
      <c r="R369" s="20"/>
      <c r="S369" s="20"/>
      <c r="T369" s="20"/>
      <c r="U369" s="20"/>
      <c r="V369" s="20"/>
      <c r="W369" s="20"/>
      <c r="X369" s="20"/>
      <c r="Y369" s="20"/>
      <c r="Z369" s="20"/>
      <c r="AA369" s="20"/>
      <c r="AB369" s="22"/>
      <c r="AC369" s="20"/>
      <c r="AD369" s="20"/>
      <c r="AE369" s="20"/>
      <c r="AF369" s="20" t="s">
        <v>1124</v>
      </c>
      <c r="AG369" s="20" t="s">
        <v>1124</v>
      </c>
      <c r="AH369" s="20" t="s">
        <v>1124</v>
      </c>
      <c r="AI369" s="328"/>
      <c r="AJ369" s="328"/>
      <c r="AK369" s="328"/>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0"/>
      <c r="BY369" s="20"/>
      <c r="BZ369" s="20"/>
      <c r="CA369" s="20"/>
      <c r="CB369" s="20"/>
      <c r="CC369" s="20"/>
      <c r="CD369" s="22"/>
      <c r="CE369" s="22"/>
      <c r="CF369" s="22"/>
      <c r="CG369" s="22"/>
      <c r="CH369" s="22"/>
      <c r="CI369" s="22"/>
      <c r="CJ369" s="149"/>
      <c r="CK369" s="241"/>
    </row>
    <row r="370" spans="1:89" ht="15" customHeight="1" x14ac:dyDescent="0.35">
      <c r="A370" s="17"/>
      <c r="B370" s="313">
        <v>6005</v>
      </c>
      <c r="C370" s="8" t="s">
        <v>1057</v>
      </c>
      <c r="D370" s="18">
        <v>11</v>
      </c>
      <c r="E370" s="131" t="s">
        <v>1309</v>
      </c>
      <c r="F370" s="22" t="s">
        <v>1309</v>
      </c>
      <c r="G370" s="132" t="s">
        <v>1309</v>
      </c>
      <c r="H370" s="22" t="s">
        <v>1311</v>
      </c>
      <c r="I370" s="22" t="s">
        <v>1327</v>
      </c>
      <c r="J370" s="22" t="s">
        <v>1327</v>
      </c>
      <c r="K370" s="22" t="s">
        <v>1309</v>
      </c>
      <c r="L370" s="22" t="s">
        <v>1309</v>
      </c>
      <c r="M370" s="133" t="s">
        <v>1311</v>
      </c>
      <c r="N370" s="22" t="s">
        <v>1311</v>
      </c>
      <c r="O370" s="22" t="s">
        <v>1314</v>
      </c>
      <c r="P370" s="22" t="s">
        <v>1318</v>
      </c>
      <c r="Q370" s="20">
        <v>0</v>
      </c>
      <c r="R370" s="20">
        <v>0</v>
      </c>
      <c r="S370" s="20">
        <v>24</v>
      </c>
      <c r="T370" s="20">
        <v>0</v>
      </c>
      <c r="U370" s="20">
        <v>24</v>
      </c>
      <c r="V370" s="20">
        <v>25.215</v>
      </c>
      <c r="W370" s="20">
        <v>0</v>
      </c>
      <c r="X370" s="20">
        <v>0</v>
      </c>
      <c r="Y370" s="20">
        <v>0</v>
      </c>
      <c r="Z370" s="20">
        <v>0</v>
      </c>
      <c r="AA370" s="20" t="s">
        <v>1309</v>
      </c>
      <c r="AB370" s="22" t="s">
        <v>1311</v>
      </c>
      <c r="AC370" s="20">
        <v>3</v>
      </c>
      <c r="AD370" s="20">
        <v>2</v>
      </c>
      <c r="AE370" s="20">
        <v>0</v>
      </c>
      <c r="AF370" s="20">
        <v>1</v>
      </c>
      <c r="AG370" s="20">
        <v>7</v>
      </c>
      <c r="AH370" s="20">
        <v>0</v>
      </c>
      <c r="AI370" s="328">
        <v>11.89767995240928</v>
      </c>
      <c r="AJ370" s="328">
        <v>2.4301336573511545</v>
      </c>
      <c r="AK370" s="328" t="s">
        <v>1328</v>
      </c>
      <c r="AL370" s="22" t="s">
        <v>1338</v>
      </c>
      <c r="AM370" s="22" t="s">
        <v>1339</v>
      </c>
      <c r="AN370" s="22" t="s">
        <v>1317</v>
      </c>
      <c r="AO370" s="22" t="s">
        <v>1318</v>
      </c>
      <c r="AP370" s="22" t="s">
        <v>1318</v>
      </c>
      <c r="AQ370" s="22" t="s">
        <v>1318</v>
      </c>
      <c r="AR370" s="22" t="s">
        <v>1317</v>
      </c>
      <c r="AS370" s="22" t="s">
        <v>1311</v>
      </c>
      <c r="AT370" s="22" t="s">
        <v>1317</v>
      </c>
      <c r="AU370" s="22" t="s">
        <v>1311</v>
      </c>
      <c r="AV370" s="22" t="s">
        <v>1309</v>
      </c>
      <c r="AW370" s="22" t="s">
        <v>1309</v>
      </c>
      <c r="AX370" s="22" t="s">
        <v>1317</v>
      </c>
      <c r="AY370" s="22" t="s">
        <v>1318</v>
      </c>
      <c r="AZ370" s="22" t="s">
        <v>1317</v>
      </c>
      <c r="BA370" s="22" t="s">
        <v>1311</v>
      </c>
      <c r="BB370" s="22" t="s">
        <v>1317</v>
      </c>
      <c r="BC370" s="22" t="s">
        <v>1311</v>
      </c>
      <c r="BD370" s="22" t="s">
        <v>1317</v>
      </c>
      <c r="BE370" s="22" t="s">
        <v>1318</v>
      </c>
      <c r="BF370" s="22" t="s">
        <v>1319</v>
      </c>
      <c r="BG370" s="22" t="s">
        <v>1311</v>
      </c>
      <c r="BH370" s="22" t="s">
        <v>1317</v>
      </c>
      <c r="BI370" s="22" t="s">
        <v>1318</v>
      </c>
      <c r="BJ370" s="22" t="s">
        <v>1317</v>
      </c>
      <c r="BK370" s="22" t="s">
        <v>1311</v>
      </c>
      <c r="BL370" s="22" t="s">
        <v>1317</v>
      </c>
      <c r="BM370" s="22" t="s">
        <v>1318</v>
      </c>
      <c r="BN370" s="22" t="s">
        <v>1319</v>
      </c>
      <c r="BO370" s="22" t="s">
        <v>1311</v>
      </c>
      <c r="BP370" s="22" t="s">
        <v>1315</v>
      </c>
      <c r="BQ370" s="22" t="s">
        <v>1315</v>
      </c>
      <c r="BR370" s="22" t="s">
        <v>1319</v>
      </c>
      <c r="BS370" s="22" t="s">
        <v>1311</v>
      </c>
      <c r="BT370" s="22" t="s">
        <v>1317</v>
      </c>
      <c r="BU370" s="22" t="s">
        <v>1318</v>
      </c>
      <c r="BV370" s="22" t="s">
        <v>1317</v>
      </c>
      <c r="BW370" s="22" t="s">
        <v>1318</v>
      </c>
      <c r="BX370" s="20">
        <v>3</v>
      </c>
      <c r="BY370" s="20">
        <v>0</v>
      </c>
      <c r="BZ370" s="20">
        <v>55</v>
      </c>
      <c r="CA370" s="20">
        <v>0</v>
      </c>
      <c r="CB370" s="20">
        <v>0</v>
      </c>
      <c r="CC370" s="20">
        <v>765</v>
      </c>
      <c r="CD370" s="22" t="s">
        <v>1317</v>
      </c>
      <c r="CE370" s="22" t="s">
        <v>1321</v>
      </c>
      <c r="CF370" s="22" t="s">
        <v>1317</v>
      </c>
      <c r="CG370" s="22" t="s">
        <v>1321</v>
      </c>
      <c r="CH370" s="22" t="s">
        <v>1317</v>
      </c>
      <c r="CI370" s="22" t="s">
        <v>1318</v>
      </c>
      <c r="CJ370" s="149" t="s">
        <v>2144</v>
      </c>
      <c r="CK370" s="241" t="s">
        <v>2145</v>
      </c>
    </row>
    <row r="371" spans="1:89" ht="15" customHeight="1" x14ac:dyDescent="0.35">
      <c r="A371" s="17"/>
      <c r="B371" s="313">
        <v>42065</v>
      </c>
      <c r="C371" s="8" t="s">
        <v>388</v>
      </c>
      <c r="D371" s="18">
        <v>5</v>
      </c>
      <c r="E371" s="131"/>
      <c r="F371" s="22"/>
      <c r="G371" s="132"/>
      <c r="H371" s="22"/>
      <c r="I371" s="22"/>
      <c r="J371" s="22"/>
      <c r="K371" s="22"/>
      <c r="L371" s="22"/>
      <c r="M371" s="133"/>
      <c r="N371" s="22"/>
      <c r="O371" s="22"/>
      <c r="P371" s="22"/>
      <c r="Q371" s="20"/>
      <c r="R371" s="20"/>
      <c r="S371" s="20"/>
      <c r="T371" s="20"/>
      <c r="U371" s="20"/>
      <c r="V371" s="20"/>
      <c r="W371" s="20"/>
      <c r="X371" s="20"/>
      <c r="Y371" s="20"/>
      <c r="Z371" s="20"/>
      <c r="AA371" s="20"/>
      <c r="AB371" s="22"/>
      <c r="AC371" s="20"/>
      <c r="AD371" s="20"/>
      <c r="AE371" s="20"/>
      <c r="AF371" s="20" t="s">
        <v>1124</v>
      </c>
      <c r="AG371" s="20" t="s">
        <v>1124</v>
      </c>
      <c r="AH371" s="20" t="s">
        <v>1124</v>
      </c>
      <c r="AI371" s="328"/>
      <c r="AJ371" s="328"/>
      <c r="AK371" s="328"/>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0"/>
      <c r="BY371" s="20"/>
      <c r="BZ371" s="20"/>
      <c r="CA371" s="20"/>
      <c r="CB371" s="20"/>
      <c r="CC371" s="20"/>
      <c r="CD371" s="22"/>
      <c r="CE371" s="22"/>
      <c r="CF371" s="22"/>
      <c r="CG371" s="22"/>
      <c r="CH371" s="22"/>
      <c r="CI371" s="22"/>
      <c r="CJ371" s="149"/>
      <c r="CK371" s="241"/>
    </row>
    <row r="372" spans="1:89" ht="15" customHeight="1" x14ac:dyDescent="0.35">
      <c r="A372" s="17"/>
      <c r="B372" s="313">
        <v>55048</v>
      </c>
      <c r="C372" s="8" t="s">
        <v>564</v>
      </c>
      <c r="D372" s="18">
        <v>16</v>
      </c>
      <c r="E372" s="131" t="s">
        <v>1309</v>
      </c>
      <c r="F372" s="22" t="s">
        <v>1309</v>
      </c>
      <c r="G372" s="132" t="s">
        <v>1309</v>
      </c>
      <c r="H372" s="22" t="s">
        <v>1311</v>
      </c>
      <c r="I372" s="22" t="s">
        <v>1327</v>
      </c>
      <c r="J372" s="22" t="s">
        <v>1327</v>
      </c>
      <c r="K372" s="22" t="s">
        <v>1309</v>
      </c>
      <c r="L372" s="22" t="s">
        <v>1309</v>
      </c>
      <c r="M372" s="133" t="s">
        <v>1311</v>
      </c>
      <c r="N372" s="22" t="s">
        <v>1311</v>
      </c>
      <c r="O372" s="22" t="s">
        <v>1309</v>
      </c>
      <c r="P372" s="22" t="s">
        <v>1309</v>
      </c>
      <c r="Q372" s="20">
        <v>0</v>
      </c>
      <c r="R372" s="20">
        <v>0</v>
      </c>
      <c r="S372" s="20">
        <v>56.7</v>
      </c>
      <c r="T372" s="20">
        <v>0</v>
      </c>
      <c r="U372" s="20">
        <v>0</v>
      </c>
      <c r="V372" s="20">
        <v>0</v>
      </c>
      <c r="W372" s="20">
        <v>0</v>
      </c>
      <c r="X372" s="20">
        <v>0</v>
      </c>
      <c r="Y372" s="20">
        <v>0</v>
      </c>
      <c r="Z372" s="20">
        <v>0</v>
      </c>
      <c r="AA372" s="20" t="s">
        <v>1317</v>
      </c>
      <c r="AB372" s="22" t="s">
        <v>1318</v>
      </c>
      <c r="AC372" s="20">
        <v>6</v>
      </c>
      <c r="AD372" s="20">
        <v>0</v>
      </c>
      <c r="AE372" s="20">
        <v>0</v>
      </c>
      <c r="AF372" s="20">
        <v>3</v>
      </c>
      <c r="AG372" s="20">
        <v>0</v>
      </c>
      <c r="AH372" s="20">
        <v>0</v>
      </c>
      <c r="AI372" s="328">
        <v>10.582010582010582</v>
      </c>
      <c r="AJ372" s="328" t="s">
        <v>1328</v>
      </c>
      <c r="AK372" s="328" t="s">
        <v>1328</v>
      </c>
      <c r="AL372" s="22" t="s">
        <v>1329</v>
      </c>
      <c r="AM372" s="22" t="s">
        <v>1330</v>
      </c>
      <c r="AN372" s="22" t="s">
        <v>1317</v>
      </c>
      <c r="AO372" s="22" t="s">
        <v>1318</v>
      </c>
      <c r="AP372" s="22" t="s">
        <v>1318</v>
      </c>
      <c r="AQ372" s="22" t="s">
        <v>1318</v>
      </c>
      <c r="AR372" s="22" t="s">
        <v>1317</v>
      </c>
      <c r="AS372" s="22" t="s">
        <v>1318</v>
      </c>
      <c r="AT372" s="22" t="s">
        <v>1309</v>
      </c>
      <c r="AU372" s="22" t="s">
        <v>1318</v>
      </c>
      <c r="AV372" s="22" t="s">
        <v>1317</v>
      </c>
      <c r="AW372" s="22" t="s">
        <v>1318</v>
      </c>
      <c r="AX372" s="22" t="s">
        <v>1317</v>
      </c>
      <c r="AY372" s="22" t="s">
        <v>1318</v>
      </c>
      <c r="AZ372" s="22" t="s">
        <v>1309</v>
      </c>
      <c r="BA372" s="22" t="s">
        <v>1311</v>
      </c>
      <c r="BB372" s="22" t="s">
        <v>1309</v>
      </c>
      <c r="BC372" s="22" t="s">
        <v>1309</v>
      </c>
      <c r="BD372" s="22" t="s">
        <v>1317</v>
      </c>
      <c r="BE372" s="22" t="s">
        <v>1318</v>
      </c>
      <c r="BF372" s="22" t="s">
        <v>1309</v>
      </c>
      <c r="BG372" s="22" t="s">
        <v>1309</v>
      </c>
      <c r="BH372" s="22" t="s">
        <v>1309</v>
      </c>
      <c r="BI372" s="22" t="s">
        <v>1309</v>
      </c>
      <c r="BJ372" s="22" t="s">
        <v>1309</v>
      </c>
      <c r="BK372" s="22" t="s">
        <v>1309</v>
      </c>
      <c r="BL372" s="22" t="s">
        <v>1317</v>
      </c>
      <c r="BM372" s="22" t="s">
        <v>1318</v>
      </c>
      <c r="BN372" s="22" t="s">
        <v>1309</v>
      </c>
      <c r="BO372" s="22" t="s">
        <v>1309</v>
      </c>
      <c r="BP372" s="22" t="s">
        <v>1309</v>
      </c>
      <c r="BQ372" s="22" t="s">
        <v>1309</v>
      </c>
      <c r="BR372" s="22" t="s">
        <v>1317</v>
      </c>
      <c r="BS372" s="22" t="s">
        <v>1318</v>
      </c>
      <c r="BT372" s="22" t="s">
        <v>1317</v>
      </c>
      <c r="BU372" s="22" t="s">
        <v>1318</v>
      </c>
      <c r="BV372" s="22" t="s">
        <v>1309</v>
      </c>
      <c r="BW372" s="22" t="s">
        <v>1309</v>
      </c>
      <c r="BX372" s="20">
        <v>58</v>
      </c>
      <c r="BY372" s="20">
        <v>16</v>
      </c>
      <c r="BZ372" s="20">
        <v>85</v>
      </c>
      <c r="CA372" s="20">
        <v>3</v>
      </c>
      <c r="CB372" s="20">
        <v>48</v>
      </c>
      <c r="CC372" s="20">
        <v>2805</v>
      </c>
      <c r="CD372" s="22" t="s">
        <v>1331</v>
      </c>
      <c r="CE372" s="22" t="s">
        <v>1331</v>
      </c>
      <c r="CF372" s="22" t="s">
        <v>1320</v>
      </c>
      <c r="CG372" s="22" t="s">
        <v>1331</v>
      </c>
      <c r="CH372" s="22" t="s">
        <v>1317</v>
      </c>
      <c r="CI372" s="22" t="s">
        <v>1318</v>
      </c>
      <c r="CJ372" s="149" t="s">
        <v>1124</v>
      </c>
      <c r="CK372" s="241" t="s">
        <v>1362</v>
      </c>
    </row>
    <row r="373" spans="1:89" ht="15" customHeight="1" x14ac:dyDescent="0.35">
      <c r="A373" s="17"/>
      <c r="B373" s="313">
        <v>4025</v>
      </c>
      <c r="C373" s="8" t="s">
        <v>1040</v>
      </c>
      <c r="D373" s="18">
        <v>11</v>
      </c>
      <c r="E373" s="131" t="s">
        <v>1309</v>
      </c>
      <c r="F373" s="22" t="s">
        <v>1309</v>
      </c>
      <c r="G373" s="132" t="s">
        <v>1309</v>
      </c>
      <c r="H373" s="22" t="s">
        <v>1311</v>
      </c>
      <c r="I373" s="22" t="s">
        <v>1315</v>
      </c>
      <c r="J373" s="22" t="s">
        <v>1315</v>
      </c>
      <c r="K373" s="22" t="s">
        <v>1314</v>
      </c>
      <c r="L373" s="22" t="s">
        <v>1311</v>
      </c>
      <c r="M373" s="133" t="s">
        <v>1311</v>
      </c>
      <c r="N373" s="22" t="s">
        <v>1311</v>
      </c>
      <c r="O373" s="22" t="s">
        <v>1314</v>
      </c>
      <c r="P373" s="22" t="s">
        <v>1318</v>
      </c>
      <c r="Q373" s="20">
        <v>0</v>
      </c>
      <c r="R373" s="20">
        <v>0</v>
      </c>
      <c r="S373" s="20">
        <v>0</v>
      </c>
      <c r="T373" s="20">
        <v>0</v>
      </c>
      <c r="U373" s="20">
        <v>5.86</v>
      </c>
      <c r="V373" s="20">
        <v>8.68</v>
      </c>
      <c r="W373" s="20">
        <v>0</v>
      </c>
      <c r="X373" s="20">
        <v>0</v>
      </c>
      <c r="Y373" s="20">
        <v>0</v>
      </c>
      <c r="Z373" s="20">
        <v>0</v>
      </c>
      <c r="AA373" s="20" t="s">
        <v>1317</v>
      </c>
      <c r="AB373" s="22" t="s">
        <v>1318</v>
      </c>
      <c r="AC373" s="20">
        <v>0</v>
      </c>
      <c r="AD373" s="20">
        <v>2</v>
      </c>
      <c r="AE373" s="20">
        <v>0</v>
      </c>
      <c r="AF373" s="20">
        <v>0</v>
      </c>
      <c r="AG373" s="20">
        <v>5</v>
      </c>
      <c r="AH373" s="20">
        <v>0</v>
      </c>
      <c r="AI373" s="328" t="s">
        <v>1328</v>
      </c>
      <c r="AJ373" s="328">
        <v>12.345679012345679</v>
      </c>
      <c r="AK373" s="328" t="s">
        <v>1328</v>
      </c>
      <c r="AL373" s="22" t="s">
        <v>1329</v>
      </c>
      <c r="AM373" s="22" t="s">
        <v>1330</v>
      </c>
      <c r="AN373" s="22" t="s">
        <v>1317</v>
      </c>
      <c r="AO373" s="22" t="s">
        <v>1318</v>
      </c>
      <c r="AP373" s="22" t="s">
        <v>1318</v>
      </c>
      <c r="AQ373" s="22" t="s">
        <v>1318</v>
      </c>
      <c r="AR373" s="22" t="s">
        <v>1317</v>
      </c>
      <c r="AS373" s="22" t="s">
        <v>1318</v>
      </c>
      <c r="AT373" s="22" t="s">
        <v>1317</v>
      </c>
      <c r="AU373" s="22" t="s">
        <v>1318</v>
      </c>
      <c r="AV373" s="22" t="s">
        <v>1317</v>
      </c>
      <c r="AW373" s="22" t="s">
        <v>1318</v>
      </c>
      <c r="AX373" s="22" t="s">
        <v>1317</v>
      </c>
      <c r="AY373" s="22" t="s">
        <v>1318</v>
      </c>
      <c r="AZ373" s="22" t="s">
        <v>1309</v>
      </c>
      <c r="BA373" s="22" t="s">
        <v>1309</v>
      </c>
      <c r="BB373" s="22" t="s">
        <v>1309</v>
      </c>
      <c r="BC373" s="22" t="s">
        <v>1309</v>
      </c>
      <c r="BD373" s="22" t="s">
        <v>1317</v>
      </c>
      <c r="BE373" s="22" t="s">
        <v>1318</v>
      </c>
      <c r="BF373" s="22" t="s">
        <v>1317</v>
      </c>
      <c r="BG373" s="22" t="s">
        <v>1311</v>
      </c>
      <c r="BH373" s="22" t="s">
        <v>1317</v>
      </c>
      <c r="BI373" s="22" t="s">
        <v>1318</v>
      </c>
      <c r="BJ373" s="22" t="s">
        <v>1309</v>
      </c>
      <c r="BK373" s="22" t="s">
        <v>1309</v>
      </c>
      <c r="BL373" s="22" t="s">
        <v>1317</v>
      </c>
      <c r="BM373" s="22" t="s">
        <v>1311</v>
      </c>
      <c r="BN373" s="22" t="s">
        <v>1317</v>
      </c>
      <c r="BO373" s="22" t="s">
        <v>1318</v>
      </c>
      <c r="BP373" s="22" t="s">
        <v>1315</v>
      </c>
      <c r="BQ373" s="22" t="s">
        <v>1315</v>
      </c>
      <c r="BR373" s="22" t="s">
        <v>1317</v>
      </c>
      <c r="BS373" s="22" t="s">
        <v>1318</v>
      </c>
      <c r="BT373" s="22" t="s">
        <v>1309</v>
      </c>
      <c r="BU373" s="22" t="s">
        <v>1309</v>
      </c>
      <c r="BV373" s="22" t="s">
        <v>1317</v>
      </c>
      <c r="BW373" s="22" t="s">
        <v>1318</v>
      </c>
      <c r="BX373" s="20">
        <v>0</v>
      </c>
      <c r="BY373" s="20">
        <v>0</v>
      </c>
      <c r="BZ373" s="20">
        <v>14</v>
      </c>
      <c r="CA373" s="20">
        <v>0</v>
      </c>
      <c r="CB373" s="20">
        <v>0</v>
      </c>
      <c r="CC373" s="20">
        <v>148</v>
      </c>
      <c r="CD373" s="22" t="s">
        <v>1317</v>
      </c>
      <c r="CE373" s="22" t="s">
        <v>1321</v>
      </c>
      <c r="CF373" s="22" t="s">
        <v>1317</v>
      </c>
      <c r="CG373" s="22" t="s">
        <v>1321</v>
      </c>
      <c r="CH373" s="22" t="s">
        <v>1317</v>
      </c>
      <c r="CI373" s="22" t="s">
        <v>1318</v>
      </c>
      <c r="CJ373" s="149" t="s">
        <v>1124</v>
      </c>
      <c r="CK373" s="241" t="s">
        <v>2151</v>
      </c>
    </row>
    <row r="374" spans="1:89" ht="15" customHeight="1" x14ac:dyDescent="0.35">
      <c r="A374" s="17"/>
      <c r="B374" s="313">
        <v>30035</v>
      </c>
      <c r="C374" s="8" t="s">
        <v>223</v>
      </c>
      <c r="D374" s="18">
        <v>5</v>
      </c>
      <c r="E374" s="131"/>
      <c r="F374" s="22"/>
      <c r="G374" s="132"/>
      <c r="H374" s="22"/>
      <c r="I374" s="22"/>
      <c r="J374" s="22"/>
      <c r="K374" s="22"/>
      <c r="L374" s="22"/>
      <c r="M374" s="133"/>
      <c r="N374" s="22"/>
      <c r="O374" s="22"/>
      <c r="P374" s="22"/>
      <c r="Q374" s="20"/>
      <c r="R374" s="20"/>
      <c r="S374" s="20"/>
      <c r="T374" s="20"/>
      <c r="U374" s="20"/>
      <c r="V374" s="20"/>
      <c r="W374" s="20"/>
      <c r="X374" s="20"/>
      <c r="Y374" s="20"/>
      <c r="Z374" s="20"/>
      <c r="AA374" s="20"/>
      <c r="AB374" s="22"/>
      <c r="AC374" s="20"/>
      <c r="AD374" s="20"/>
      <c r="AE374" s="20"/>
      <c r="AF374" s="20" t="s">
        <v>1124</v>
      </c>
      <c r="AG374" s="20" t="s">
        <v>1124</v>
      </c>
      <c r="AH374" s="20" t="s">
        <v>1124</v>
      </c>
      <c r="AI374" s="328"/>
      <c r="AJ374" s="328"/>
      <c r="AK374" s="328"/>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0"/>
      <c r="BY374" s="20"/>
      <c r="BZ374" s="20"/>
      <c r="CA374" s="20"/>
      <c r="CB374" s="20"/>
      <c r="CC374" s="20"/>
      <c r="CD374" s="22"/>
      <c r="CE374" s="22"/>
      <c r="CF374" s="22"/>
      <c r="CG374" s="22"/>
      <c r="CH374" s="22"/>
      <c r="CI374" s="22"/>
      <c r="CJ374" s="149"/>
      <c r="CK374" s="241"/>
    </row>
    <row r="375" spans="1:89" ht="15" customHeight="1" x14ac:dyDescent="0.35">
      <c r="A375" s="17"/>
      <c r="B375" s="313">
        <v>44060</v>
      </c>
      <c r="C375" s="8" t="s">
        <v>407</v>
      </c>
      <c r="D375" s="18">
        <v>5</v>
      </c>
      <c r="E375" s="131" t="s">
        <v>1309</v>
      </c>
      <c r="F375" s="22" t="s">
        <v>1309</v>
      </c>
      <c r="G375" s="132" t="s">
        <v>1309</v>
      </c>
      <c r="H375" s="22" t="s">
        <v>1311</v>
      </c>
      <c r="I375" s="22" t="s">
        <v>1327</v>
      </c>
      <c r="J375" s="22" t="s">
        <v>1327</v>
      </c>
      <c r="K375" s="22" t="s">
        <v>1314</v>
      </c>
      <c r="L375" s="22" t="s">
        <v>1311</v>
      </c>
      <c r="M375" s="133" t="s">
        <v>1311</v>
      </c>
      <c r="N375" s="22" t="s">
        <v>1311</v>
      </c>
      <c r="O375" s="22" t="s">
        <v>1315</v>
      </c>
      <c r="P375" s="22" t="s">
        <v>1315</v>
      </c>
      <c r="Q375" s="20">
        <v>0</v>
      </c>
      <c r="R375" s="20">
        <v>0</v>
      </c>
      <c r="S375" s="20">
        <v>0</v>
      </c>
      <c r="T375" s="20">
        <v>0</v>
      </c>
      <c r="U375" s="20">
        <v>0</v>
      </c>
      <c r="V375" s="20">
        <v>0</v>
      </c>
      <c r="W375" s="20">
        <v>0</v>
      </c>
      <c r="X375" s="20">
        <v>0</v>
      </c>
      <c r="Y375" s="20">
        <v>0</v>
      </c>
      <c r="Z375" s="20">
        <v>0</v>
      </c>
      <c r="AA375" s="20" t="s">
        <v>1315</v>
      </c>
      <c r="AB375" s="22" t="s">
        <v>1315</v>
      </c>
      <c r="AC375" s="20">
        <v>0</v>
      </c>
      <c r="AD375" s="20">
        <v>0</v>
      </c>
      <c r="AE375" s="20">
        <v>0</v>
      </c>
      <c r="AF375" s="20">
        <v>0</v>
      </c>
      <c r="AG375" s="20">
        <v>0</v>
      </c>
      <c r="AH375" s="20">
        <v>0</v>
      </c>
      <c r="AI375" s="328" t="s">
        <v>1328</v>
      </c>
      <c r="AJ375" s="328" t="s">
        <v>1328</v>
      </c>
      <c r="AK375" s="328" t="s">
        <v>1328</v>
      </c>
      <c r="AL375" s="22" t="s">
        <v>1315</v>
      </c>
      <c r="AM375" s="22" t="s">
        <v>1315</v>
      </c>
      <c r="AN375" s="22" t="s">
        <v>1315</v>
      </c>
      <c r="AO375" s="22" t="s">
        <v>1315</v>
      </c>
      <c r="AP375" s="22" t="s">
        <v>1315</v>
      </c>
      <c r="AQ375" s="22" t="s">
        <v>1315</v>
      </c>
      <c r="AR375" s="22" t="s">
        <v>1317</v>
      </c>
      <c r="AS375" s="22" t="s">
        <v>1318</v>
      </c>
      <c r="AT375" s="22" t="s">
        <v>1309</v>
      </c>
      <c r="AU375" s="22" t="s">
        <v>1309</v>
      </c>
      <c r="AV375" s="22" t="s">
        <v>1317</v>
      </c>
      <c r="AW375" s="22" t="s">
        <v>1318</v>
      </c>
      <c r="AX375" s="22" t="s">
        <v>1317</v>
      </c>
      <c r="AY375" s="22" t="s">
        <v>1318</v>
      </c>
      <c r="AZ375" s="22" t="s">
        <v>1317</v>
      </c>
      <c r="BA375" s="22" t="s">
        <v>1318</v>
      </c>
      <c r="BB375" s="22" t="s">
        <v>1309</v>
      </c>
      <c r="BC375" s="22" t="s">
        <v>1309</v>
      </c>
      <c r="BD375" s="22" t="s">
        <v>1317</v>
      </c>
      <c r="BE375" s="22" t="s">
        <v>1318</v>
      </c>
      <c r="BF375" s="22" t="s">
        <v>1317</v>
      </c>
      <c r="BG375" s="22" t="s">
        <v>1318</v>
      </c>
      <c r="BH375" s="22" t="s">
        <v>1309</v>
      </c>
      <c r="BI375" s="22" t="s">
        <v>1309</v>
      </c>
      <c r="BJ375" s="22" t="s">
        <v>1317</v>
      </c>
      <c r="BK375" s="22" t="s">
        <v>1318</v>
      </c>
      <c r="BL375" s="22" t="s">
        <v>1317</v>
      </c>
      <c r="BM375" s="22" t="s">
        <v>1318</v>
      </c>
      <c r="BN375" s="22" t="s">
        <v>1309</v>
      </c>
      <c r="BO375" s="22" t="s">
        <v>1309</v>
      </c>
      <c r="BP375" s="22" t="s">
        <v>1315</v>
      </c>
      <c r="BQ375" s="22" t="s">
        <v>1315</v>
      </c>
      <c r="BR375" s="22" t="s">
        <v>1309</v>
      </c>
      <c r="BS375" s="22" t="s">
        <v>1309</v>
      </c>
      <c r="BT375" s="22" t="s">
        <v>1315</v>
      </c>
      <c r="BU375" s="22" t="s">
        <v>1315</v>
      </c>
      <c r="BV375" s="22" t="s">
        <v>1309</v>
      </c>
      <c r="BW375" s="22" t="s">
        <v>1309</v>
      </c>
      <c r="BX375" s="20">
        <v>0</v>
      </c>
      <c r="BY375" s="20">
        <v>0</v>
      </c>
      <c r="BZ375" s="20">
        <v>11</v>
      </c>
      <c r="CA375" s="20">
        <v>0</v>
      </c>
      <c r="CB375" s="20">
        <v>0</v>
      </c>
      <c r="CC375" s="20">
        <v>87</v>
      </c>
      <c r="CD375" s="22" t="s">
        <v>1317</v>
      </c>
      <c r="CE375" s="22" t="s">
        <v>1318</v>
      </c>
      <c r="CF375" s="22" t="s">
        <v>1317</v>
      </c>
      <c r="CG375" s="22" t="s">
        <v>1318</v>
      </c>
      <c r="CH375" s="22" t="s">
        <v>1317</v>
      </c>
      <c r="CI375" s="22" t="s">
        <v>1318</v>
      </c>
      <c r="CJ375" s="149" t="s">
        <v>1124</v>
      </c>
      <c r="CK375" s="241" t="s">
        <v>1124</v>
      </c>
    </row>
    <row r="376" spans="1:89" ht="15" customHeight="1" x14ac:dyDescent="0.35">
      <c r="A376" s="17"/>
      <c r="B376" s="313">
        <v>64015</v>
      </c>
      <c r="C376" s="8" t="s">
        <v>645</v>
      </c>
      <c r="D376" s="18">
        <v>14</v>
      </c>
      <c r="E376" s="131" t="s">
        <v>1309</v>
      </c>
      <c r="F376" s="22" t="s">
        <v>1309</v>
      </c>
      <c r="G376" s="132" t="s">
        <v>1309</v>
      </c>
      <c r="H376" s="22" t="s">
        <v>1311</v>
      </c>
      <c r="I376" s="22" t="s">
        <v>1327</v>
      </c>
      <c r="J376" s="22" t="s">
        <v>1327</v>
      </c>
      <c r="K376" s="22" t="s">
        <v>1319</v>
      </c>
      <c r="L376" s="22" t="s">
        <v>1311</v>
      </c>
      <c r="M376" s="133" t="s">
        <v>1311</v>
      </c>
      <c r="N376" s="22" t="s">
        <v>1311</v>
      </c>
      <c r="O376" s="22" t="s">
        <v>1314</v>
      </c>
      <c r="P376" s="22" t="s">
        <v>1318</v>
      </c>
      <c r="Q376" s="20">
        <v>0</v>
      </c>
      <c r="R376" s="20">
        <v>0</v>
      </c>
      <c r="S376" s="20">
        <v>0</v>
      </c>
      <c r="T376" s="20">
        <v>454.33199999999999</v>
      </c>
      <c r="U376" s="20">
        <v>0</v>
      </c>
      <c r="V376" s="20">
        <v>0</v>
      </c>
      <c r="W376" s="20">
        <v>0</v>
      </c>
      <c r="X376" s="20">
        <v>0</v>
      </c>
      <c r="Y376" s="20">
        <v>0</v>
      </c>
      <c r="Z376" s="20">
        <v>0</v>
      </c>
      <c r="AA376" s="20" t="s">
        <v>1317</v>
      </c>
      <c r="AB376" s="22" t="s">
        <v>1311</v>
      </c>
      <c r="AC376" s="20">
        <v>18</v>
      </c>
      <c r="AD376" s="20">
        <v>0</v>
      </c>
      <c r="AE376" s="20">
        <v>0</v>
      </c>
      <c r="AF376" s="20">
        <v>1</v>
      </c>
      <c r="AG376" s="20">
        <v>0</v>
      </c>
      <c r="AH376" s="20">
        <v>0</v>
      </c>
      <c r="AI376" s="328">
        <v>7.9237209793719128</v>
      </c>
      <c r="AJ376" s="328" t="s">
        <v>1328</v>
      </c>
      <c r="AK376" s="328" t="s">
        <v>1328</v>
      </c>
      <c r="AL376" s="22" t="s">
        <v>1329</v>
      </c>
      <c r="AM376" s="22" t="s">
        <v>1330</v>
      </c>
      <c r="AN376" s="22" t="s">
        <v>1317</v>
      </c>
      <c r="AO376" s="22" t="s">
        <v>1318</v>
      </c>
      <c r="AP376" s="22" t="s">
        <v>1318</v>
      </c>
      <c r="AQ376" s="22" t="s">
        <v>1318</v>
      </c>
      <c r="AR376" s="22" t="s">
        <v>1317</v>
      </c>
      <c r="AS376" s="22" t="s">
        <v>1318</v>
      </c>
      <c r="AT376" s="22" t="s">
        <v>1309</v>
      </c>
      <c r="AU376" s="22" t="s">
        <v>1311</v>
      </c>
      <c r="AV376" s="22" t="s">
        <v>1317</v>
      </c>
      <c r="AW376" s="22" t="s">
        <v>1318</v>
      </c>
      <c r="AX376" s="22" t="s">
        <v>1317</v>
      </c>
      <c r="AY376" s="22" t="s">
        <v>1318</v>
      </c>
      <c r="AZ376" s="22" t="s">
        <v>1309</v>
      </c>
      <c r="BA376" s="22" t="s">
        <v>1309</v>
      </c>
      <c r="BB376" s="22" t="s">
        <v>1309</v>
      </c>
      <c r="BC376" s="22" t="s">
        <v>1309</v>
      </c>
      <c r="BD376" s="22" t="s">
        <v>1317</v>
      </c>
      <c r="BE376" s="22" t="s">
        <v>1318</v>
      </c>
      <c r="BF376" s="22" t="s">
        <v>1317</v>
      </c>
      <c r="BG376" s="22" t="s">
        <v>1318</v>
      </c>
      <c r="BH376" s="22" t="s">
        <v>1309</v>
      </c>
      <c r="BI376" s="22" t="s">
        <v>1309</v>
      </c>
      <c r="BJ376" s="22" t="s">
        <v>1309</v>
      </c>
      <c r="BK376" s="22" t="s">
        <v>1309</v>
      </c>
      <c r="BL376" s="22" t="s">
        <v>1317</v>
      </c>
      <c r="BM376" s="22" t="s">
        <v>1318</v>
      </c>
      <c r="BN376" s="22" t="s">
        <v>1317</v>
      </c>
      <c r="BO376" s="22" t="s">
        <v>1318</v>
      </c>
      <c r="BP376" s="22" t="s">
        <v>1309</v>
      </c>
      <c r="BQ376" s="22" t="s">
        <v>1309</v>
      </c>
      <c r="BR376" s="22" t="s">
        <v>1309</v>
      </c>
      <c r="BS376" s="22" t="s">
        <v>1309</v>
      </c>
      <c r="BT376" s="22" t="s">
        <v>1317</v>
      </c>
      <c r="BU376" s="22" t="s">
        <v>1318</v>
      </c>
      <c r="BV376" s="22" t="s">
        <v>1317</v>
      </c>
      <c r="BW376" s="22" t="s">
        <v>1318</v>
      </c>
      <c r="BX376" s="20">
        <v>0</v>
      </c>
      <c r="BY376" s="20">
        <v>0</v>
      </c>
      <c r="BZ376" s="20">
        <v>778</v>
      </c>
      <c r="CA376" s="20">
        <v>0</v>
      </c>
      <c r="CB376" s="20">
        <v>0</v>
      </c>
      <c r="CC376" s="20">
        <v>15103</v>
      </c>
      <c r="CD376" s="22" t="s">
        <v>1317</v>
      </c>
      <c r="CE376" s="22" t="s">
        <v>1318</v>
      </c>
      <c r="CF376" s="22" t="s">
        <v>1317</v>
      </c>
      <c r="CG376" s="22" t="s">
        <v>1318</v>
      </c>
      <c r="CH376" s="22" t="s">
        <v>1317</v>
      </c>
      <c r="CI376" s="22" t="s">
        <v>1318</v>
      </c>
      <c r="CJ376" s="149" t="s">
        <v>1124</v>
      </c>
      <c r="CK376" s="241" t="s">
        <v>2158</v>
      </c>
    </row>
    <row r="377" spans="1:89" ht="15" customHeight="1" x14ac:dyDescent="0.35">
      <c r="A377" s="17"/>
      <c r="B377" s="314">
        <v>51008</v>
      </c>
      <c r="C377" s="8" t="s">
        <v>498</v>
      </c>
      <c r="D377" s="18">
        <v>4</v>
      </c>
      <c r="E377" s="131" t="s">
        <v>1309</v>
      </c>
      <c r="F377" s="22" t="s">
        <v>1309</v>
      </c>
      <c r="G377" s="132" t="s">
        <v>1309</v>
      </c>
      <c r="H377" s="22" t="s">
        <v>1311</v>
      </c>
      <c r="I377" s="22" t="s">
        <v>1327</v>
      </c>
      <c r="J377" s="22" t="s">
        <v>1327</v>
      </c>
      <c r="K377" s="22" t="s">
        <v>1309</v>
      </c>
      <c r="L377" s="22" t="s">
        <v>1309</v>
      </c>
      <c r="M377" s="133" t="s">
        <v>1311</v>
      </c>
      <c r="N377" s="22" t="s">
        <v>1311</v>
      </c>
      <c r="O377" s="22" t="s">
        <v>1309</v>
      </c>
      <c r="P377" s="22" t="s">
        <v>1309</v>
      </c>
      <c r="Q377" s="20">
        <v>53.15</v>
      </c>
      <c r="R377" s="20">
        <v>53.15</v>
      </c>
      <c r="S377" s="20">
        <v>26.574999999999999</v>
      </c>
      <c r="T377" s="20">
        <v>26.574999999999999</v>
      </c>
      <c r="U377" s="20">
        <v>0</v>
      </c>
      <c r="V377" s="20">
        <v>0</v>
      </c>
      <c r="W377" s="20">
        <v>0</v>
      </c>
      <c r="X377" s="20">
        <v>0</v>
      </c>
      <c r="Y377" s="20">
        <v>0</v>
      </c>
      <c r="Z377" s="20">
        <v>0</v>
      </c>
      <c r="AA377" s="20" t="s">
        <v>1317</v>
      </c>
      <c r="AB377" s="22" t="s">
        <v>1311</v>
      </c>
      <c r="AC377" s="20">
        <v>2</v>
      </c>
      <c r="AD377" s="20">
        <v>2</v>
      </c>
      <c r="AE377" s="20">
        <v>2</v>
      </c>
      <c r="AF377" s="20">
        <v>4</v>
      </c>
      <c r="AG377" s="20">
        <v>2</v>
      </c>
      <c r="AH377" s="20">
        <v>8</v>
      </c>
      <c r="AI377" s="328">
        <v>3.7629350893697087</v>
      </c>
      <c r="AJ377" s="328">
        <v>1.9821605550049555</v>
      </c>
      <c r="AK377" s="328">
        <v>1.9821605550049555</v>
      </c>
      <c r="AL377" s="22" t="s">
        <v>1329</v>
      </c>
      <c r="AM377" s="22" t="s">
        <v>1330</v>
      </c>
      <c r="AN377" s="22" t="s">
        <v>1317</v>
      </c>
      <c r="AO377" s="22" t="s">
        <v>1318</v>
      </c>
      <c r="AP377" s="22" t="s">
        <v>1318</v>
      </c>
      <c r="AQ377" s="22" t="s">
        <v>1318</v>
      </c>
      <c r="AR377" s="22" t="s">
        <v>1317</v>
      </c>
      <c r="AS377" s="22" t="s">
        <v>1318</v>
      </c>
      <c r="AT377" s="22" t="s">
        <v>1317</v>
      </c>
      <c r="AU377" s="22" t="s">
        <v>1318</v>
      </c>
      <c r="AV377" s="22" t="s">
        <v>1317</v>
      </c>
      <c r="AW377" s="22" t="s">
        <v>1318</v>
      </c>
      <c r="AX377" s="22" t="s">
        <v>1317</v>
      </c>
      <c r="AY377" s="22" t="s">
        <v>1318</v>
      </c>
      <c r="AZ377" s="22" t="s">
        <v>1309</v>
      </c>
      <c r="BA377" s="22" t="s">
        <v>1309</v>
      </c>
      <c r="BB377" s="22" t="s">
        <v>1309</v>
      </c>
      <c r="BC377" s="22" t="s">
        <v>1309</v>
      </c>
      <c r="BD377" s="22" t="s">
        <v>1309</v>
      </c>
      <c r="BE377" s="22" t="s">
        <v>1309</v>
      </c>
      <c r="BF377" s="22" t="s">
        <v>1309</v>
      </c>
      <c r="BG377" s="22" t="s">
        <v>1309</v>
      </c>
      <c r="BH377" s="22" t="s">
        <v>1317</v>
      </c>
      <c r="BI377" s="22" t="s">
        <v>1318</v>
      </c>
      <c r="BJ377" s="22" t="s">
        <v>1317</v>
      </c>
      <c r="BK377" s="22" t="s">
        <v>1318</v>
      </c>
      <c r="BL377" s="22" t="s">
        <v>1317</v>
      </c>
      <c r="BM377" s="22" t="s">
        <v>1318</v>
      </c>
      <c r="BN377" s="22" t="s">
        <v>1317</v>
      </c>
      <c r="BO377" s="22" t="s">
        <v>1311</v>
      </c>
      <c r="BP377" s="22" t="s">
        <v>1315</v>
      </c>
      <c r="BQ377" s="22" t="s">
        <v>1315</v>
      </c>
      <c r="BR377" s="22" t="s">
        <v>1309</v>
      </c>
      <c r="BS377" s="22" t="s">
        <v>1309</v>
      </c>
      <c r="BT377" s="22" t="s">
        <v>1309</v>
      </c>
      <c r="BU377" s="22" t="s">
        <v>1309</v>
      </c>
      <c r="BV377" s="22" t="s">
        <v>1317</v>
      </c>
      <c r="BW377" s="22" t="s">
        <v>1318</v>
      </c>
      <c r="BX377" s="20">
        <v>32</v>
      </c>
      <c r="BY377" s="20">
        <v>0</v>
      </c>
      <c r="BZ377" s="20">
        <v>0</v>
      </c>
      <c r="CA377" s="20">
        <v>527</v>
      </c>
      <c r="CB377" s="20">
        <v>0</v>
      </c>
      <c r="CC377" s="20">
        <v>516</v>
      </c>
      <c r="CD377" s="22" t="s">
        <v>1331</v>
      </c>
      <c r="CE377" s="22" t="s">
        <v>1331</v>
      </c>
      <c r="CF377" s="22" t="s">
        <v>1315</v>
      </c>
      <c r="CG377" s="22" t="s">
        <v>1315</v>
      </c>
      <c r="CH377" s="22" t="s">
        <v>1317</v>
      </c>
      <c r="CI377" s="22" t="s">
        <v>1318</v>
      </c>
      <c r="CJ377" s="149" t="s">
        <v>2162</v>
      </c>
      <c r="CK377" s="241" t="s">
        <v>1124</v>
      </c>
    </row>
    <row r="378" spans="1:89" ht="15" customHeight="1" x14ac:dyDescent="0.35">
      <c r="A378" s="17"/>
      <c r="B378" s="313">
        <v>53010</v>
      </c>
      <c r="C378" s="8" t="s">
        <v>531</v>
      </c>
      <c r="D378" s="18">
        <v>16</v>
      </c>
      <c r="E378" s="131"/>
      <c r="F378" s="22"/>
      <c r="G378" s="132"/>
      <c r="H378" s="22"/>
      <c r="I378" s="22"/>
      <c r="J378" s="22"/>
      <c r="K378" s="22"/>
      <c r="L378" s="22"/>
      <c r="M378" s="133"/>
      <c r="N378" s="22"/>
      <c r="O378" s="22"/>
      <c r="P378" s="22"/>
      <c r="Q378" s="20"/>
      <c r="R378" s="20"/>
      <c r="S378" s="20"/>
      <c r="T378" s="20"/>
      <c r="U378" s="20"/>
      <c r="V378" s="20"/>
      <c r="W378" s="20"/>
      <c r="X378" s="20"/>
      <c r="Y378" s="20"/>
      <c r="Z378" s="20"/>
      <c r="AA378" s="20"/>
      <c r="AB378" s="22"/>
      <c r="AC378" s="20"/>
      <c r="AD378" s="20"/>
      <c r="AE378" s="20"/>
      <c r="AF378" s="20" t="s">
        <v>1124</v>
      </c>
      <c r="AG378" s="20" t="s">
        <v>1124</v>
      </c>
      <c r="AH378" s="20" t="s">
        <v>1124</v>
      </c>
      <c r="AI378" s="328"/>
      <c r="AJ378" s="328"/>
      <c r="AK378" s="328"/>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0"/>
      <c r="BY378" s="20"/>
      <c r="BZ378" s="20"/>
      <c r="CA378" s="20"/>
      <c r="CB378" s="20"/>
      <c r="CC378" s="20"/>
      <c r="CD378" s="22"/>
      <c r="CE378" s="22"/>
      <c r="CF378" s="22"/>
      <c r="CG378" s="22"/>
      <c r="CH378" s="22"/>
      <c r="CI378" s="22"/>
      <c r="CJ378" s="149"/>
      <c r="CK378" s="241"/>
    </row>
    <row r="379" spans="1:89" ht="15" customHeight="1" x14ac:dyDescent="0.35">
      <c r="A379" s="17"/>
      <c r="B379" s="313">
        <v>99015</v>
      </c>
      <c r="C379" s="8" t="s">
        <v>1020</v>
      </c>
      <c r="D379" s="18">
        <v>10</v>
      </c>
      <c r="E379" s="131"/>
      <c r="F379" s="22"/>
      <c r="G379" s="132"/>
      <c r="H379" s="22"/>
      <c r="I379" s="22"/>
      <c r="J379" s="22"/>
      <c r="K379" s="22"/>
      <c r="L379" s="22"/>
      <c r="M379" s="133"/>
      <c r="N379" s="22"/>
      <c r="O379" s="22"/>
      <c r="P379" s="22"/>
      <c r="Q379" s="20"/>
      <c r="R379" s="20"/>
      <c r="S379" s="20"/>
      <c r="T379" s="20"/>
      <c r="U379" s="20"/>
      <c r="V379" s="20"/>
      <c r="W379" s="20"/>
      <c r="X379" s="20"/>
      <c r="Y379" s="20"/>
      <c r="Z379" s="20"/>
      <c r="AA379" s="20"/>
      <c r="AB379" s="22"/>
      <c r="AC379" s="20"/>
      <c r="AD379" s="20"/>
      <c r="AE379" s="20"/>
      <c r="AF379" s="20" t="s">
        <v>1124</v>
      </c>
      <c r="AG379" s="20" t="s">
        <v>1124</v>
      </c>
      <c r="AH379" s="20" t="s">
        <v>1124</v>
      </c>
      <c r="AI379" s="328"/>
      <c r="AJ379" s="328"/>
      <c r="AK379" s="328"/>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0"/>
      <c r="BY379" s="20"/>
      <c r="BZ379" s="20"/>
      <c r="CA379" s="20"/>
      <c r="CB379" s="20"/>
      <c r="CC379" s="20"/>
      <c r="CD379" s="22"/>
      <c r="CE379" s="22"/>
      <c r="CF379" s="22"/>
      <c r="CG379" s="22"/>
      <c r="CH379" s="22"/>
      <c r="CI379" s="22"/>
      <c r="CJ379" s="149"/>
      <c r="CK379" s="241"/>
    </row>
    <row r="380" spans="1:89" ht="15" customHeight="1" x14ac:dyDescent="0.35">
      <c r="A380" s="17"/>
      <c r="B380" s="313">
        <v>8053</v>
      </c>
      <c r="C380" s="8" t="s">
        <v>1093</v>
      </c>
      <c r="D380" s="18">
        <v>1</v>
      </c>
      <c r="E380" s="131" t="s">
        <v>1309</v>
      </c>
      <c r="F380" s="22" t="s">
        <v>1309</v>
      </c>
      <c r="G380" s="132" t="s">
        <v>1309</v>
      </c>
      <c r="H380" s="22" t="s">
        <v>1311</v>
      </c>
      <c r="I380" s="22" t="s">
        <v>1327</v>
      </c>
      <c r="J380" s="22" t="s">
        <v>1327</v>
      </c>
      <c r="K380" s="22" t="s">
        <v>1314</v>
      </c>
      <c r="L380" s="22" t="s">
        <v>1311</v>
      </c>
      <c r="M380" s="133" t="s">
        <v>1311</v>
      </c>
      <c r="N380" s="22" t="s">
        <v>1311</v>
      </c>
      <c r="O380" s="22" t="s">
        <v>1309</v>
      </c>
      <c r="P380" s="22" t="s">
        <v>1309</v>
      </c>
      <c r="Q380" s="20">
        <v>0</v>
      </c>
      <c r="R380" s="20">
        <v>0</v>
      </c>
      <c r="S380" s="20">
        <v>0</v>
      </c>
      <c r="T380" s="20">
        <v>0</v>
      </c>
      <c r="U380" s="20">
        <v>0</v>
      </c>
      <c r="V380" s="20">
        <v>0</v>
      </c>
      <c r="W380" s="20">
        <v>0</v>
      </c>
      <c r="X380" s="20">
        <v>0</v>
      </c>
      <c r="Y380" s="20">
        <v>0</v>
      </c>
      <c r="Z380" s="20">
        <v>0</v>
      </c>
      <c r="AA380" s="20" t="s">
        <v>1317</v>
      </c>
      <c r="AB380" s="22" t="s">
        <v>1318</v>
      </c>
      <c r="AC380" s="20">
        <v>13</v>
      </c>
      <c r="AD380" s="20">
        <v>2</v>
      </c>
      <c r="AE380" s="20">
        <v>2</v>
      </c>
      <c r="AF380" s="20">
        <v>1</v>
      </c>
      <c r="AG380" s="20">
        <v>2</v>
      </c>
      <c r="AH380" s="20">
        <v>2</v>
      </c>
      <c r="AI380" s="328">
        <v>9.4114240208499247</v>
      </c>
      <c r="AJ380" s="328">
        <v>0.3830683777054204</v>
      </c>
      <c r="AK380" s="328">
        <v>0.3830683777054204</v>
      </c>
      <c r="AL380" s="22" t="s">
        <v>1329</v>
      </c>
      <c r="AM380" s="22" t="s">
        <v>1330</v>
      </c>
      <c r="AN380" s="22" t="s">
        <v>1317</v>
      </c>
      <c r="AO380" s="22" t="s">
        <v>1318</v>
      </c>
      <c r="AP380" s="22" t="s">
        <v>1318</v>
      </c>
      <c r="AQ380" s="22" t="s">
        <v>1318</v>
      </c>
      <c r="AR380" s="22" t="s">
        <v>1317</v>
      </c>
      <c r="AS380" s="22" t="s">
        <v>1318</v>
      </c>
      <c r="AT380" s="22" t="s">
        <v>1309</v>
      </c>
      <c r="AU380" s="22" t="s">
        <v>1309</v>
      </c>
      <c r="AV380" s="22" t="s">
        <v>1317</v>
      </c>
      <c r="AW380" s="22" t="s">
        <v>1318</v>
      </c>
      <c r="AX380" s="22" t="s">
        <v>1317</v>
      </c>
      <c r="AY380" s="22" t="s">
        <v>1318</v>
      </c>
      <c r="AZ380" s="22" t="s">
        <v>1317</v>
      </c>
      <c r="BA380" s="22" t="s">
        <v>1311</v>
      </c>
      <c r="BB380" s="22" t="s">
        <v>1309</v>
      </c>
      <c r="BC380" s="22" t="s">
        <v>1309</v>
      </c>
      <c r="BD380" s="22" t="s">
        <v>1317</v>
      </c>
      <c r="BE380" s="22" t="s">
        <v>1318</v>
      </c>
      <c r="BF380" s="22" t="s">
        <v>1317</v>
      </c>
      <c r="BG380" s="22" t="s">
        <v>1318</v>
      </c>
      <c r="BH380" s="22" t="s">
        <v>1317</v>
      </c>
      <c r="BI380" s="22" t="s">
        <v>1318</v>
      </c>
      <c r="BJ380" s="22" t="s">
        <v>1317</v>
      </c>
      <c r="BK380" s="22" t="s">
        <v>1318</v>
      </c>
      <c r="BL380" s="22" t="s">
        <v>1317</v>
      </c>
      <c r="BM380" s="22" t="s">
        <v>1318</v>
      </c>
      <c r="BN380" s="22" t="s">
        <v>1309</v>
      </c>
      <c r="BO380" s="22" t="s">
        <v>1309</v>
      </c>
      <c r="BP380" s="22" t="s">
        <v>1317</v>
      </c>
      <c r="BQ380" s="22" t="s">
        <v>1318</v>
      </c>
      <c r="BR380" s="22" t="s">
        <v>1309</v>
      </c>
      <c r="BS380" s="22" t="s">
        <v>1309</v>
      </c>
      <c r="BT380" s="22" t="s">
        <v>1317</v>
      </c>
      <c r="BU380" s="22" t="s">
        <v>1318</v>
      </c>
      <c r="BV380" s="22" t="s">
        <v>1309</v>
      </c>
      <c r="BW380" s="22" t="s">
        <v>1309</v>
      </c>
      <c r="BX380" s="20">
        <v>242</v>
      </c>
      <c r="BY380" s="20">
        <v>0</v>
      </c>
      <c r="BZ380" s="20">
        <v>195</v>
      </c>
      <c r="CA380" s="20">
        <v>0</v>
      </c>
      <c r="CB380" s="20">
        <v>0</v>
      </c>
      <c r="CC380" s="20">
        <v>4784</v>
      </c>
      <c r="CD380" s="22" t="s">
        <v>1345</v>
      </c>
      <c r="CE380" s="22" t="s">
        <v>1340</v>
      </c>
      <c r="CF380" s="22" t="s">
        <v>1317</v>
      </c>
      <c r="CG380" s="22" t="s">
        <v>1340</v>
      </c>
      <c r="CH380" s="22" t="s">
        <v>1317</v>
      </c>
      <c r="CI380" s="22" t="s">
        <v>1313</v>
      </c>
      <c r="CJ380" s="149" t="s">
        <v>1124</v>
      </c>
      <c r="CK380" s="241" t="s">
        <v>2166</v>
      </c>
    </row>
    <row r="381" spans="1:89" ht="15" customHeight="1" x14ac:dyDescent="0.35">
      <c r="A381" s="17"/>
      <c r="B381" s="313">
        <v>6045</v>
      </c>
      <c r="C381" s="8" t="s">
        <v>1064</v>
      </c>
      <c r="D381" s="18">
        <v>11</v>
      </c>
      <c r="E381" s="131"/>
      <c r="F381" s="22"/>
      <c r="G381" s="132"/>
      <c r="H381" s="22"/>
      <c r="I381" s="22"/>
      <c r="J381" s="22"/>
      <c r="K381" s="22"/>
      <c r="L381" s="22"/>
      <c r="M381" s="133"/>
      <c r="N381" s="22"/>
      <c r="O381" s="22"/>
      <c r="P381" s="22"/>
      <c r="Q381" s="20"/>
      <c r="R381" s="20"/>
      <c r="S381" s="20"/>
      <c r="T381" s="20"/>
      <c r="U381" s="20"/>
      <c r="V381" s="20"/>
      <c r="W381" s="20"/>
      <c r="X381" s="20"/>
      <c r="Y381" s="20"/>
      <c r="Z381" s="20"/>
      <c r="AA381" s="20"/>
      <c r="AB381" s="22"/>
      <c r="AC381" s="20"/>
      <c r="AD381" s="20"/>
      <c r="AE381" s="20"/>
      <c r="AF381" s="20" t="s">
        <v>1124</v>
      </c>
      <c r="AG381" s="20" t="s">
        <v>1124</v>
      </c>
      <c r="AH381" s="20" t="s">
        <v>1124</v>
      </c>
      <c r="AI381" s="328"/>
      <c r="AJ381" s="328"/>
      <c r="AK381" s="328"/>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0"/>
      <c r="BY381" s="20"/>
      <c r="BZ381" s="20"/>
      <c r="CA381" s="20"/>
      <c r="CB381" s="20"/>
      <c r="CC381" s="20"/>
      <c r="CD381" s="22"/>
      <c r="CE381" s="22"/>
      <c r="CF381" s="22"/>
      <c r="CG381" s="22"/>
      <c r="CH381" s="22"/>
      <c r="CI381" s="22"/>
      <c r="CJ381" s="149"/>
      <c r="CK381" s="241"/>
    </row>
    <row r="382" spans="1:89" ht="15" customHeight="1" x14ac:dyDescent="0.35">
      <c r="A382" s="17"/>
      <c r="B382" s="313">
        <v>80065</v>
      </c>
      <c r="C382" s="8" t="s">
        <v>813</v>
      </c>
      <c r="D382" s="18">
        <v>7</v>
      </c>
      <c r="E382" s="131"/>
      <c r="F382" s="22"/>
      <c r="G382" s="132"/>
      <c r="H382" s="22"/>
      <c r="I382" s="22"/>
      <c r="J382" s="22"/>
      <c r="K382" s="22"/>
      <c r="L382" s="22"/>
      <c r="M382" s="133"/>
      <c r="N382" s="22"/>
      <c r="O382" s="22"/>
      <c r="P382" s="22"/>
      <c r="Q382" s="20"/>
      <c r="R382" s="20"/>
      <c r="S382" s="20"/>
      <c r="T382" s="20"/>
      <c r="U382" s="20"/>
      <c r="V382" s="20"/>
      <c r="W382" s="20"/>
      <c r="X382" s="20"/>
      <c r="Y382" s="20"/>
      <c r="Z382" s="20"/>
      <c r="AA382" s="20"/>
      <c r="AB382" s="22"/>
      <c r="AC382" s="20"/>
      <c r="AD382" s="20"/>
      <c r="AE382" s="20"/>
      <c r="AF382" s="20" t="s">
        <v>1124</v>
      </c>
      <c r="AG382" s="20" t="s">
        <v>1124</v>
      </c>
      <c r="AH382" s="20" t="s">
        <v>1124</v>
      </c>
      <c r="AI382" s="328"/>
      <c r="AJ382" s="328"/>
      <c r="AK382" s="328"/>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0"/>
      <c r="BY382" s="20"/>
      <c r="BZ382" s="20"/>
      <c r="CA382" s="20"/>
      <c r="CB382" s="20"/>
      <c r="CC382" s="20"/>
      <c r="CD382" s="22"/>
      <c r="CE382" s="22"/>
      <c r="CF382" s="22"/>
      <c r="CG382" s="22"/>
      <c r="CH382" s="22"/>
      <c r="CI382" s="22"/>
      <c r="CJ382" s="149"/>
      <c r="CK382" s="241"/>
    </row>
    <row r="383" spans="1:89" ht="15" customHeight="1" x14ac:dyDescent="0.35">
      <c r="A383" s="17"/>
      <c r="B383" s="313">
        <v>57025</v>
      </c>
      <c r="C383" s="8" t="s">
        <v>584</v>
      </c>
      <c r="D383" s="18">
        <v>16</v>
      </c>
      <c r="E383" s="131"/>
      <c r="F383" s="22"/>
      <c r="G383" s="132"/>
      <c r="H383" s="22"/>
      <c r="I383" s="22"/>
      <c r="J383" s="22"/>
      <c r="K383" s="22"/>
      <c r="L383" s="22"/>
      <c r="M383" s="133"/>
      <c r="N383" s="22"/>
      <c r="O383" s="22"/>
      <c r="P383" s="22"/>
      <c r="Q383" s="20"/>
      <c r="R383" s="20"/>
      <c r="S383" s="20"/>
      <c r="T383" s="20"/>
      <c r="U383" s="20"/>
      <c r="V383" s="20"/>
      <c r="W383" s="20"/>
      <c r="X383" s="20"/>
      <c r="Y383" s="20"/>
      <c r="Z383" s="20"/>
      <c r="AA383" s="20"/>
      <c r="AB383" s="22"/>
      <c r="AC383" s="20"/>
      <c r="AD383" s="20"/>
      <c r="AE383" s="20"/>
      <c r="AF383" s="20" t="s">
        <v>1124</v>
      </c>
      <c r="AG383" s="20" t="s">
        <v>1124</v>
      </c>
      <c r="AH383" s="20" t="s">
        <v>1124</v>
      </c>
      <c r="AI383" s="328"/>
      <c r="AJ383" s="328"/>
      <c r="AK383" s="328"/>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0"/>
      <c r="BY383" s="20"/>
      <c r="BZ383" s="20"/>
      <c r="CA383" s="20"/>
      <c r="CB383" s="20"/>
      <c r="CC383" s="20"/>
      <c r="CD383" s="22"/>
      <c r="CE383" s="22"/>
      <c r="CF383" s="22"/>
      <c r="CG383" s="22"/>
      <c r="CH383" s="22"/>
      <c r="CI383" s="22"/>
      <c r="CJ383" s="149"/>
      <c r="CK383" s="241"/>
    </row>
    <row r="384" spans="1:89" ht="15" customHeight="1" x14ac:dyDescent="0.35">
      <c r="A384" s="17"/>
      <c r="B384" s="313">
        <v>42075</v>
      </c>
      <c r="C384" s="8" t="s">
        <v>390</v>
      </c>
      <c r="D384" s="18">
        <v>5</v>
      </c>
      <c r="E384" s="131" t="s">
        <v>1309</v>
      </c>
      <c r="F384" s="22" t="s">
        <v>1309</v>
      </c>
      <c r="G384" s="132" t="s">
        <v>1309</v>
      </c>
      <c r="H384" s="22" t="s">
        <v>1311</v>
      </c>
      <c r="I384" s="22" t="s">
        <v>1327</v>
      </c>
      <c r="J384" s="22" t="s">
        <v>1327</v>
      </c>
      <c r="K384" s="22" t="s">
        <v>1309</v>
      </c>
      <c r="L384" s="22" t="s">
        <v>1309</v>
      </c>
      <c r="M384" s="133" t="s">
        <v>1311</v>
      </c>
      <c r="N384" s="22" t="s">
        <v>1311</v>
      </c>
      <c r="O384" s="22" t="s">
        <v>1309</v>
      </c>
      <c r="P384" s="22" t="s">
        <v>1309</v>
      </c>
      <c r="Q384" s="20">
        <v>0</v>
      </c>
      <c r="R384" s="20">
        <v>0</v>
      </c>
      <c r="S384" s="20">
        <v>37.356000000000002</v>
      </c>
      <c r="T384" s="20">
        <v>37.356000000000002</v>
      </c>
      <c r="U384" s="20">
        <v>0</v>
      </c>
      <c r="V384" s="20">
        <v>0</v>
      </c>
      <c r="W384" s="20">
        <v>0</v>
      </c>
      <c r="X384" s="20">
        <v>0</v>
      </c>
      <c r="Y384" s="20">
        <v>0</v>
      </c>
      <c r="Z384" s="20">
        <v>0</v>
      </c>
      <c r="AA384" s="20" t="s">
        <v>1315</v>
      </c>
      <c r="AB384" s="22" t="s">
        <v>1315</v>
      </c>
      <c r="AC384" s="20">
        <v>0</v>
      </c>
      <c r="AD384" s="20">
        <v>0</v>
      </c>
      <c r="AE384" s="20">
        <v>1</v>
      </c>
      <c r="AF384" s="20">
        <v>0</v>
      </c>
      <c r="AG384" s="20">
        <v>0</v>
      </c>
      <c r="AH384" s="20">
        <v>4</v>
      </c>
      <c r="AI384" s="328" t="s">
        <v>1328</v>
      </c>
      <c r="AJ384" s="328" t="s">
        <v>1328</v>
      </c>
      <c r="AK384" s="328">
        <v>25.641025641025642</v>
      </c>
      <c r="AL384" s="22" t="s">
        <v>1329</v>
      </c>
      <c r="AM384" s="22" t="s">
        <v>1330</v>
      </c>
      <c r="AN384" s="22" t="s">
        <v>1317</v>
      </c>
      <c r="AO384" s="22" t="s">
        <v>1318</v>
      </c>
      <c r="AP384" s="22" t="s">
        <v>1318</v>
      </c>
      <c r="AQ384" s="22" t="s">
        <v>1318</v>
      </c>
      <c r="AR384" s="22" t="s">
        <v>1317</v>
      </c>
      <c r="AS384" s="22" t="s">
        <v>1318</v>
      </c>
      <c r="AT384" s="22" t="s">
        <v>1317</v>
      </c>
      <c r="AU384" s="22" t="s">
        <v>1318</v>
      </c>
      <c r="AV384" s="22" t="s">
        <v>1317</v>
      </c>
      <c r="AW384" s="22" t="s">
        <v>1318</v>
      </c>
      <c r="AX384" s="22" t="s">
        <v>1317</v>
      </c>
      <c r="AY384" s="22" t="s">
        <v>1318</v>
      </c>
      <c r="AZ384" s="22" t="s">
        <v>1309</v>
      </c>
      <c r="BA384" s="22" t="s">
        <v>1309</v>
      </c>
      <c r="BB384" s="22" t="s">
        <v>1309</v>
      </c>
      <c r="BC384" s="22" t="s">
        <v>1309</v>
      </c>
      <c r="BD384" s="22" t="s">
        <v>1309</v>
      </c>
      <c r="BE384" s="22" t="s">
        <v>1309</v>
      </c>
      <c r="BF384" s="22" t="s">
        <v>1317</v>
      </c>
      <c r="BG384" s="22" t="s">
        <v>1318</v>
      </c>
      <c r="BH384" s="22" t="s">
        <v>1317</v>
      </c>
      <c r="BI384" s="22" t="s">
        <v>1318</v>
      </c>
      <c r="BJ384" s="22" t="s">
        <v>1309</v>
      </c>
      <c r="BK384" s="22" t="s">
        <v>1309</v>
      </c>
      <c r="BL384" s="22" t="s">
        <v>1317</v>
      </c>
      <c r="BM384" s="22" t="s">
        <v>1318</v>
      </c>
      <c r="BN384" s="22" t="s">
        <v>1309</v>
      </c>
      <c r="BO384" s="22" t="s">
        <v>1309</v>
      </c>
      <c r="BP384" s="22" t="s">
        <v>1315</v>
      </c>
      <c r="BQ384" s="22" t="s">
        <v>1315</v>
      </c>
      <c r="BR384" s="22" t="s">
        <v>1309</v>
      </c>
      <c r="BS384" s="22" t="s">
        <v>1309</v>
      </c>
      <c r="BT384" s="22" t="s">
        <v>1309</v>
      </c>
      <c r="BU384" s="22" t="s">
        <v>1309</v>
      </c>
      <c r="BV384" s="22" t="s">
        <v>1317</v>
      </c>
      <c r="BW384" s="22" t="s">
        <v>1318</v>
      </c>
      <c r="BX384" s="20">
        <v>1</v>
      </c>
      <c r="BY384" s="20">
        <v>0</v>
      </c>
      <c r="BZ384" s="20">
        <v>2</v>
      </c>
      <c r="CA384" s="20">
        <v>0</v>
      </c>
      <c r="CB384" s="20">
        <v>0</v>
      </c>
      <c r="CC384" s="20">
        <v>36</v>
      </c>
      <c r="CD384" s="22" t="s">
        <v>1317</v>
      </c>
      <c r="CE384" s="22" t="s">
        <v>1318</v>
      </c>
      <c r="CF384" s="22" t="s">
        <v>1317</v>
      </c>
      <c r="CG384" s="22" t="s">
        <v>1318</v>
      </c>
      <c r="CH384" s="22" t="s">
        <v>1317</v>
      </c>
      <c r="CI384" s="22" t="s">
        <v>1318</v>
      </c>
      <c r="CJ384" s="149" t="s">
        <v>2170</v>
      </c>
      <c r="CK384" s="241" t="s">
        <v>1124</v>
      </c>
    </row>
    <row r="385" spans="1:89" ht="15" customHeight="1" x14ac:dyDescent="0.35">
      <c r="A385" s="17"/>
      <c r="B385" s="313">
        <v>67045</v>
      </c>
      <c r="C385" s="8" t="s">
        <v>670</v>
      </c>
      <c r="D385" s="18">
        <v>16</v>
      </c>
      <c r="E385" s="131" t="s">
        <v>1309</v>
      </c>
      <c r="F385" s="22" t="s">
        <v>1309</v>
      </c>
      <c r="G385" s="132" t="s">
        <v>1309</v>
      </c>
      <c r="H385" s="22" t="s">
        <v>1311</v>
      </c>
      <c r="I385" s="22" t="s">
        <v>1327</v>
      </c>
      <c r="J385" s="22" t="s">
        <v>1327</v>
      </c>
      <c r="K385" s="22" t="s">
        <v>1319</v>
      </c>
      <c r="L385" s="22" t="s">
        <v>1311</v>
      </c>
      <c r="M385" s="133" t="s">
        <v>1311</v>
      </c>
      <c r="N385" s="22" t="s">
        <v>1311</v>
      </c>
      <c r="O385" s="22" t="s">
        <v>1319</v>
      </c>
      <c r="P385" s="22" t="s">
        <v>1311</v>
      </c>
      <c r="Q385" s="20">
        <v>0</v>
      </c>
      <c r="R385" s="20">
        <v>0</v>
      </c>
      <c r="S385" s="20">
        <v>0</v>
      </c>
      <c r="T385" s="20">
        <v>0</v>
      </c>
      <c r="U385" s="20">
        <v>0</v>
      </c>
      <c r="V385" s="20">
        <v>75.084999999999994</v>
      </c>
      <c r="W385" s="20">
        <v>0</v>
      </c>
      <c r="X385" s="20">
        <v>0</v>
      </c>
      <c r="Y385" s="20">
        <v>0</v>
      </c>
      <c r="Z385" s="20">
        <v>0</v>
      </c>
      <c r="AA385" s="20" t="s">
        <v>1317</v>
      </c>
      <c r="AB385" s="22" t="s">
        <v>1318</v>
      </c>
      <c r="AC385" s="20">
        <v>29</v>
      </c>
      <c r="AD385" s="20">
        <v>0</v>
      </c>
      <c r="AE385" s="20">
        <v>0</v>
      </c>
      <c r="AF385" s="20">
        <v>2</v>
      </c>
      <c r="AG385" s="20">
        <v>0</v>
      </c>
      <c r="AH385" s="20">
        <v>0</v>
      </c>
      <c r="AI385" s="328">
        <v>38.622894053406142</v>
      </c>
      <c r="AJ385" s="328" t="s">
        <v>1328</v>
      </c>
      <c r="AK385" s="328" t="s">
        <v>1328</v>
      </c>
      <c r="AL385" s="22" t="s">
        <v>1329</v>
      </c>
      <c r="AM385" s="22" t="s">
        <v>1330</v>
      </c>
      <c r="AN385" s="22" t="s">
        <v>1317</v>
      </c>
      <c r="AO385" s="22" t="s">
        <v>1318</v>
      </c>
      <c r="AP385" s="22" t="s">
        <v>1318</v>
      </c>
      <c r="AQ385" s="22" t="s">
        <v>1318</v>
      </c>
      <c r="AR385" s="22" t="s">
        <v>1317</v>
      </c>
      <c r="AS385" s="22" t="s">
        <v>1318</v>
      </c>
      <c r="AT385" s="22" t="s">
        <v>1309</v>
      </c>
      <c r="AU385" s="22" t="s">
        <v>1309</v>
      </c>
      <c r="AV385" s="22" t="s">
        <v>1317</v>
      </c>
      <c r="AW385" s="22" t="s">
        <v>1318</v>
      </c>
      <c r="AX385" s="22" t="s">
        <v>1317</v>
      </c>
      <c r="AY385" s="22" t="s">
        <v>1318</v>
      </c>
      <c r="AZ385" s="22" t="s">
        <v>1309</v>
      </c>
      <c r="BA385" s="22" t="s">
        <v>1309</v>
      </c>
      <c r="BB385" s="22" t="s">
        <v>1309</v>
      </c>
      <c r="BC385" s="22" t="s">
        <v>1309</v>
      </c>
      <c r="BD385" s="22" t="s">
        <v>1317</v>
      </c>
      <c r="BE385" s="22" t="s">
        <v>1318</v>
      </c>
      <c r="BF385" s="22" t="s">
        <v>1317</v>
      </c>
      <c r="BG385" s="22" t="s">
        <v>1318</v>
      </c>
      <c r="BH385" s="22" t="s">
        <v>1309</v>
      </c>
      <c r="BI385" s="22" t="s">
        <v>1309</v>
      </c>
      <c r="BJ385" s="22" t="s">
        <v>1317</v>
      </c>
      <c r="BK385" s="22" t="s">
        <v>1318</v>
      </c>
      <c r="BL385" s="22" t="s">
        <v>1317</v>
      </c>
      <c r="BM385" s="22" t="s">
        <v>1318</v>
      </c>
      <c r="BN385" s="22" t="s">
        <v>1317</v>
      </c>
      <c r="BO385" s="22" t="s">
        <v>1318</v>
      </c>
      <c r="BP385" s="22" t="s">
        <v>1317</v>
      </c>
      <c r="BQ385" s="22" t="s">
        <v>1318</v>
      </c>
      <c r="BR385" s="22" t="s">
        <v>1309</v>
      </c>
      <c r="BS385" s="22" t="s">
        <v>1309</v>
      </c>
      <c r="BT385" s="22" t="s">
        <v>1317</v>
      </c>
      <c r="BU385" s="22" t="s">
        <v>1318</v>
      </c>
      <c r="BV385" s="22" t="s">
        <v>1319</v>
      </c>
      <c r="BW385" s="22" t="s">
        <v>1311</v>
      </c>
      <c r="BX385" s="20">
        <v>167</v>
      </c>
      <c r="BY385" s="20">
        <v>0</v>
      </c>
      <c r="BZ385" s="20">
        <v>46</v>
      </c>
      <c r="CA385" s="20">
        <v>0</v>
      </c>
      <c r="CB385" s="20">
        <v>0</v>
      </c>
      <c r="CC385" s="20">
        <v>5056</v>
      </c>
      <c r="CD385" s="22" t="s">
        <v>1345</v>
      </c>
      <c r="CE385" s="22" t="s">
        <v>1318</v>
      </c>
      <c r="CF385" s="22" t="s">
        <v>1317</v>
      </c>
      <c r="CG385" s="22" t="s">
        <v>1318</v>
      </c>
      <c r="CH385" s="22" t="s">
        <v>1317</v>
      </c>
      <c r="CI385" s="22" t="s">
        <v>1318</v>
      </c>
      <c r="CJ385" s="149" t="s">
        <v>1124</v>
      </c>
      <c r="CK385" s="241" t="s">
        <v>2174</v>
      </c>
    </row>
    <row r="386" spans="1:89" ht="15" customHeight="1" x14ac:dyDescent="0.35">
      <c r="A386" s="17"/>
      <c r="B386" s="314">
        <v>83060</v>
      </c>
      <c r="C386" s="8" t="s">
        <v>844</v>
      </c>
      <c r="D386" s="18">
        <v>7</v>
      </c>
      <c r="E386" s="131"/>
      <c r="F386" s="22"/>
      <c r="G386" s="132"/>
      <c r="H386" s="22"/>
      <c r="I386" s="22"/>
      <c r="J386" s="22"/>
      <c r="K386" s="22"/>
      <c r="L386" s="22"/>
      <c r="M386" s="133"/>
      <c r="N386" s="22"/>
      <c r="O386" s="22"/>
      <c r="P386" s="22"/>
      <c r="Q386" s="20"/>
      <c r="R386" s="20"/>
      <c r="S386" s="20"/>
      <c r="T386" s="20"/>
      <c r="U386" s="20"/>
      <c r="V386" s="20"/>
      <c r="W386" s="20"/>
      <c r="X386" s="20"/>
      <c r="Y386" s="20"/>
      <c r="Z386" s="20"/>
      <c r="AA386" s="20"/>
      <c r="AB386" s="22"/>
      <c r="AC386" s="20"/>
      <c r="AD386" s="20"/>
      <c r="AE386" s="20"/>
      <c r="AF386" s="20" t="s">
        <v>1124</v>
      </c>
      <c r="AG386" s="20" t="s">
        <v>1124</v>
      </c>
      <c r="AH386" s="20" t="s">
        <v>1124</v>
      </c>
      <c r="AI386" s="328"/>
      <c r="AJ386" s="328"/>
      <c r="AK386" s="328"/>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0"/>
      <c r="BY386" s="20"/>
      <c r="BZ386" s="20"/>
      <c r="CA386" s="20"/>
      <c r="CB386" s="20"/>
      <c r="CC386" s="20"/>
      <c r="CD386" s="22"/>
      <c r="CE386" s="22"/>
      <c r="CF386" s="22"/>
      <c r="CG386" s="22"/>
      <c r="CH386" s="22"/>
      <c r="CI386" s="22"/>
      <c r="CJ386" s="149"/>
      <c r="CK386" s="241"/>
    </row>
    <row r="387" spans="1:89" ht="15" customHeight="1" x14ac:dyDescent="0.35">
      <c r="A387" s="17"/>
      <c r="B387" s="314">
        <v>93012</v>
      </c>
      <c r="C387" s="8" t="s">
        <v>959</v>
      </c>
      <c r="D387" s="18">
        <v>2</v>
      </c>
      <c r="E387" s="131" t="s">
        <v>1309</v>
      </c>
      <c r="F387" s="22" t="s">
        <v>1309</v>
      </c>
      <c r="G387" s="132" t="s">
        <v>1309</v>
      </c>
      <c r="H387" s="22" t="s">
        <v>1311</v>
      </c>
      <c r="I387" s="22" t="s">
        <v>1327</v>
      </c>
      <c r="J387" s="22" t="s">
        <v>1327</v>
      </c>
      <c r="K387" s="22" t="s">
        <v>1309</v>
      </c>
      <c r="L387" s="22" t="s">
        <v>1309</v>
      </c>
      <c r="M387" s="133" t="s">
        <v>1311</v>
      </c>
      <c r="N387" s="22" t="s">
        <v>1311</v>
      </c>
      <c r="O387" s="22" t="s">
        <v>1314</v>
      </c>
      <c r="P387" s="22" t="s">
        <v>1318</v>
      </c>
      <c r="Q387" s="20">
        <v>0</v>
      </c>
      <c r="R387" s="20">
        <v>0</v>
      </c>
      <c r="S387" s="20">
        <v>0</v>
      </c>
      <c r="T387" s="20">
        <v>94.06</v>
      </c>
      <c r="U387" s="20">
        <v>0</v>
      </c>
      <c r="V387" s="20">
        <v>0</v>
      </c>
      <c r="W387" s="20">
        <v>0</v>
      </c>
      <c r="X387" s="20">
        <v>0</v>
      </c>
      <c r="Y387" s="20">
        <v>0</v>
      </c>
      <c r="Z387" s="20">
        <v>0</v>
      </c>
      <c r="AA387" s="20" t="s">
        <v>1317</v>
      </c>
      <c r="AB387" s="22" t="s">
        <v>1311</v>
      </c>
      <c r="AC387" s="20">
        <v>6</v>
      </c>
      <c r="AD387" s="20">
        <v>0</v>
      </c>
      <c r="AE387" s="20">
        <v>1</v>
      </c>
      <c r="AF387" s="20">
        <v>1</v>
      </c>
      <c r="AG387" s="20">
        <v>0</v>
      </c>
      <c r="AH387" s="20">
        <v>2</v>
      </c>
      <c r="AI387" s="328">
        <v>12.757814161173719</v>
      </c>
      <c r="AJ387" s="328" t="s">
        <v>1328</v>
      </c>
      <c r="AK387" s="328">
        <v>0.58892815076560656</v>
      </c>
      <c r="AL387" s="22" t="s">
        <v>1329</v>
      </c>
      <c r="AM387" s="22" t="s">
        <v>1330</v>
      </c>
      <c r="AN387" s="22" t="s">
        <v>1317</v>
      </c>
      <c r="AO387" s="22" t="s">
        <v>1318</v>
      </c>
      <c r="AP387" s="22" t="s">
        <v>1318</v>
      </c>
      <c r="AQ387" s="22" t="s">
        <v>1318</v>
      </c>
      <c r="AR387" s="22" t="s">
        <v>1317</v>
      </c>
      <c r="AS387" s="22" t="s">
        <v>1318</v>
      </c>
      <c r="AT387" s="22" t="s">
        <v>1309</v>
      </c>
      <c r="AU387" s="22" t="s">
        <v>1309</v>
      </c>
      <c r="AV387" s="22" t="s">
        <v>1317</v>
      </c>
      <c r="AW387" s="22" t="s">
        <v>1318</v>
      </c>
      <c r="AX387" s="22" t="s">
        <v>1317</v>
      </c>
      <c r="AY387" s="22" t="s">
        <v>1318</v>
      </c>
      <c r="AZ387" s="22" t="s">
        <v>1309</v>
      </c>
      <c r="BA387" s="22" t="s">
        <v>1309</v>
      </c>
      <c r="BB387" s="22" t="s">
        <v>1309</v>
      </c>
      <c r="BC387" s="22" t="s">
        <v>1309</v>
      </c>
      <c r="BD387" s="22" t="s">
        <v>1317</v>
      </c>
      <c r="BE387" s="22" t="s">
        <v>1318</v>
      </c>
      <c r="BF387" s="22" t="s">
        <v>1317</v>
      </c>
      <c r="BG387" s="22" t="s">
        <v>1318</v>
      </c>
      <c r="BH387" s="22" t="s">
        <v>1317</v>
      </c>
      <c r="BI387" s="22" t="s">
        <v>1318</v>
      </c>
      <c r="BJ387" s="22" t="s">
        <v>1309</v>
      </c>
      <c r="BK387" s="22" t="s">
        <v>1309</v>
      </c>
      <c r="BL387" s="22" t="s">
        <v>1309</v>
      </c>
      <c r="BM387" s="22" t="s">
        <v>1309</v>
      </c>
      <c r="BN387" s="22" t="s">
        <v>1309</v>
      </c>
      <c r="BO387" s="22" t="s">
        <v>1309</v>
      </c>
      <c r="BP387" s="22" t="s">
        <v>1309</v>
      </c>
      <c r="BQ387" s="22" t="s">
        <v>1309</v>
      </c>
      <c r="BR387" s="22" t="s">
        <v>1319</v>
      </c>
      <c r="BS387" s="22" t="s">
        <v>1311</v>
      </c>
      <c r="BT387" s="22" t="s">
        <v>1309</v>
      </c>
      <c r="BU387" s="22" t="s">
        <v>1309</v>
      </c>
      <c r="BV387" s="22" t="s">
        <v>1309</v>
      </c>
      <c r="BW387" s="22" t="s">
        <v>1309</v>
      </c>
      <c r="BX387" s="20">
        <v>0</v>
      </c>
      <c r="BY387" s="20">
        <v>0</v>
      </c>
      <c r="BZ387" s="20">
        <v>395</v>
      </c>
      <c r="CA387" s="20">
        <v>0</v>
      </c>
      <c r="CB387" s="20">
        <v>0</v>
      </c>
      <c r="CC387" s="20">
        <v>1853</v>
      </c>
      <c r="CD387" s="22" t="s">
        <v>1317</v>
      </c>
      <c r="CE387" s="22" t="s">
        <v>1318</v>
      </c>
      <c r="CF387" s="22" t="s">
        <v>1317</v>
      </c>
      <c r="CG387" s="22" t="s">
        <v>1318</v>
      </c>
      <c r="CH387" s="22" t="s">
        <v>1317</v>
      </c>
      <c r="CI387" s="22" t="s">
        <v>1318</v>
      </c>
      <c r="CJ387" s="149" t="s">
        <v>1124</v>
      </c>
      <c r="CK387" s="241" t="s">
        <v>2179</v>
      </c>
    </row>
    <row r="388" spans="1:89" ht="15" customHeight="1" x14ac:dyDescent="0.35">
      <c r="A388" s="17"/>
      <c r="B388" s="313">
        <v>9048</v>
      </c>
      <c r="C388" s="8" t="s">
        <v>1105</v>
      </c>
      <c r="D388" s="18">
        <v>1</v>
      </c>
      <c r="E388" s="131" t="s">
        <v>1309</v>
      </c>
      <c r="F388" s="22" t="s">
        <v>1309</v>
      </c>
      <c r="G388" s="132" t="s">
        <v>1309</v>
      </c>
      <c r="H388" s="22" t="s">
        <v>1311</v>
      </c>
      <c r="I388" s="22" t="s">
        <v>1327</v>
      </c>
      <c r="J388" s="22" t="s">
        <v>1327</v>
      </c>
      <c r="K388" s="22" t="s">
        <v>1309</v>
      </c>
      <c r="L388" s="22" t="s">
        <v>1309</v>
      </c>
      <c r="M388" s="133" t="s">
        <v>1311</v>
      </c>
      <c r="N388" s="22" t="s">
        <v>1311</v>
      </c>
      <c r="O388" s="22" t="s">
        <v>1314</v>
      </c>
      <c r="P388" s="22" t="s">
        <v>1318</v>
      </c>
      <c r="Q388" s="20">
        <v>0</v>
      </c>
      <c r="R388" s="20">
        <v>0</v>
      </c>
      <c r="S388" s="20">
        <v>12.590999999999999</v>
      </c>
      <c r="T388" s="20">
        <v>12.590999999999999</v>
      </c>
      <c r="U388" s="20">
        <v>12.590999999999999</v>
      </c>
      <c r="V388" s="20">
        <v>12.590999999999999</v>
      </c>
      <c r="W388" s="20">
        <v>0</v>
      </c>
      <c r="X388" s="20">
        <v>0</v>
      </c>
      <c r="Y388" s="20">
        <v>0</v>
      </c>
      <c r="Z388" s="20">
        <v>0</v>
      </c>
      <c r="AA388" s="20" t="s">
        <v>1309</v>
      </c>
      <c r="AB388" s="22" t="s">
        <v>1309</v>
      </c>
      <c r="AC388" s="20">
        <v>3</v>
      </c>
      <c r="AD388" s="20">
        <v>0</v>
      </c>
      <c r="AE388" s="20">
        <v>1</v>
      </c>
      <c r="AF388" s="20">
        <v>4</v>
      </c>
      <c r="AG388" s="20">
        <v>0</v>
      </c>
      <c r="AH388" s="20">
        <v>3</v>
      </c>
      <c r="AI388" s="328">
        <v>23.82654276864427</v>
      </c>
      <c r="AJ388" s="328" t="s">
        <v>1328</v>
      </c>
      <c r="AK388" s="328">
        <v>2.7173913043478262</v>
      </c>
      <c r="AL388" s="22" t="s">
        <v>1329</v>
      </c>
      <c r="AM388" s="22" t="s">
        <v>1330</v>
      </c>
      <c r="AN388" s="22" t="s">
        <v>1317</v>
      </c>
      <c r="AO388" s="22" t="s">
        <v>1311</v>
      </c>
      <c r="AP388" s="22" t="s">
        <v>1318</v>
      </c>
      <c r="AQ388" s="22" t="s">
        <v>1318</v>
      </c>
      <c r="AR388" s="22" t="s">
        <v>1317</v>
      </c>
      <c r="AS388" s="22" t="s">
        <v>1318</v>
      </c>
      <c r="AT388" s="22" t="s">
        <v>1317</v>
      </c>
      <c r="AU388" s="22" t="s">
        <v>1318</v>
      </c>
      <c r="AV388" s="22" t="s">
        <v>1317</v>
      </c>
      <c r="AW388" s="22" t="s">
        <v>1318</v>
      </c>
      <c r="AX388" s="22" t="s">
        <v>1317</v>
      </c>
      <c r="AY388" s="22" t="s">
        <v>1318</v>
      </c>
      <c r="AZ388" s="22" t="s">
        <v>1309</v>
      </c>
      <c r="BA388" s="22" t="s">
        <v>1309</v>
      </c>
      <c r="BB388" s="22" t="s">
        <v>1309</v>
      </c>
      <c r="BC388" s="22" t="s">
        <v>1309</v>
      </c>
      <c r="BD388" s="22" t="s">
        <v>1317</v>
      </c>
      <c r="BE388" s="22" t="s">
        <v>1318</v>
      </c>
      <c r="BF388" s="22" t="s">
        <v>1309</v>
      </c>
      <c r="BG388" s="22" t="s">
        <v>1309</v>
      </c>
      <c r="BH388" s="22" t="s">
        <v>1309</v>
      </c>
      <c r="BI388" s="22" t="s">
        <v>1309</v>
      </c>
      <c r="BJ388" s="22" t="s">
        <v>1309</v>
      </c>
      <c r="BK388" s="22" t="s">
        <v>1309</v>
      </c>
      <c r="BL388" s="22" t="s">
        <v>1319</v>
      </c>
      <c r="BM388" s="22" t="s">
        <v>1311</v>
      </c>
      <c r="BN388" s="22" t="s">
        <v>1317</v>
      </c>
      <c r="BO388" s="22" t="s">
        <v>1318</v>
      </c>
      <c r="BP388" s="22" t="s">
        <v>1315</v>
      </c>
      <c r="BQ388" s="22" t="s">
        <v>1315</v>
      </c>
      <c r="BR388" s="22" t="s">
        <v>1317</v>
      </c>
      <c r="BS388" s="22" t="s">
        <v>1318</v>
      </c>
      <c r="BT388" s="22" t="s">
        <v>1309</v>
      </c>
      <c r="BU388" s="22" t="s">
        <v>1309</v>
      </c>
      <c r="BV388" s="22" t="s">
        <v>1317</v>
      </c>
      <c r="BW388" s="22" t="s">
        <v>1318</v>
      </c>
      <c r="BX388" s="20">
        <v>16</v>
      </c>
      <c r="BY388" s="20">
        <v>0</v>
      </c>
      <c r="BZ388" s="20">
        <v>0</v>
      </c>
      <c r="CA388" s="20">
        <v>18</v>
      </c>
      <c r="CB388" s="20">
        <v>0</v>
      </c>
      <c r="CC388" s="20">
        <v>334</v>
      </c>
      <c r="CD388" s="22" t="s">
        <v>1331</v>
      </c>
      <c r="CE388" s="22" t="s">
        <v>1331</v>
      </c>
      <c r="CF388" s="22" t="s">
        <v>1331</v>
      </c>
      <c r="CG388" s="22" t="s">
        <v>1331</v>
      </c>
      <c r="CH388" s="22" t="s">
        <v>1317</v>
      </c>
      <c r="CI388" s="22" t="s">
        <v>1318</v>
      </c>
      <c r="CJ388" s="149" t="s">
        <v>2183</v>
      </c>
      <c r="CK388" s="241" t="s">
        <v>2184</v>
      </c>
    </row>
    <row r="389" spans="1:89" ht="15" customHeight="1" x14ac:dyDescent="0.35">
      <c r="A389" s="17"/>
      <c r="B389" s="313">
        <v>30040</v>
      </c>
      <c r="C389" s="8" t="s">
        <v>224</v>
      </c>
      <c r="D389" s="18">
        <v>5</v>
      </c>
      <c r="E389" s="131"/>
      <c r="F389" s="22"/>
      <c r="G389" s="132"/>
      <c r="H389" s="22"/>
      <c r="I389" s="22"/>
      <c r="J389" s="22"/>
      <c r="K389" s="22"/>
      <c r="L389" s="22"/>
      <c r="M389" s="133"/>
      <c r="N389" s="22"/>
      <c r="O389" s="22"/>
      <c r="P389" s="22"/>
      <c r="Q389" s="20"/>
      <c r="R389" s="20"/>
      <c r="S389" s="20"/>
      <c r="T389" s="20"/>
      <c r="U389" s="20"/>
      <c r="V389" s="20"/>
      <c r="W389" s="20"/>
      <c r="X389" s="20"/>
      <c r="Y389" s="20"/>
      <c r="Z389" s="20"/>
      <c r="AA389" s="20"/>
      <c r="AB389" s="22"/>
      <c r="AC389" s="20"/>
      <c r="AD389" s="20"/>
      <c r="AE389" s="20"/>
      <c r="AF389" s="20" t="s">
        <v>1124</v>
      </c>
      <c r="AG389" s="20" t="s">
        <v>1124</v>
      </c>
      <c r="AH389" s="20" t="s">
        <v>1124</v>
      </c>
      <c r="AI389" s="328"/>
      <c r="AJ389" s="328"/>
      <c r="AK389" s="328"/>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0"/>
      <c r="BY389" s="20"/>
      <c r="BZ389" s="20"/>
      <c r="CA389" s="20"/>
      <c r="CB389" s="20"/>
      <c r="CC389" s="20"/>
      <c r="CD389" s="22"/>
      <c r="CE389" s="22"/>
      <c r="CF389" s="22"/>
      <c r="CG389" s="22"/>
      <c r="CH389" s="22"/>
      <c r="CI389" s="22"/>
      <c r="CJ389" s="149"/>
      <c r="CK389" s="241"/>
    </row>
    <row r="390" spans="1:89" ht="15" customHeight="1" x14ac:dyDescent="0.35">
      <c r="A390" s="17"/>
      <c r="B390" s="313">
        <v>76030</v>
      </c>
      <c r="C390" s="8" t="s">
        <v>750</v>
      </c>
      <c r="D390" s="18">
        <v>15</v>
      </c>
      <c r="E390" s="131"/>
      <c r="F390" s="22"/>
      <c r="G390" s="132"/>
      <c r="H390" s="22"/>
      <c r="I390" s="22"/>
      <c r="J390" s="22"/>
      <c r="K390" s="22"/>
      <c r="L390" s="22"/>
      <c r="M390" s="133"/>
      <c r="N390" s="22"/>
      <c r="O390" s="22"/>
      <c r="P390" s="22"/>
      <c r="Q390" s="20"/>
      <c r="R390" s="20"/>
      <c r="S390" s="20"/>
      <c r="T390" s="20"/>
      <c r="U390" s="20"/>
      <c r="V390" s="20"/>
      <c r="W390" s="20"/>
      <c r="X390" s="20"/>
      <c r="Y390" s="20"/>
      <c r="Z390" s="20"/>
      <c r="AA390" s="20"/>
      <c r="AB390" s="22"/>
      <c r="AC390" s="20"/>
      <c r="AD390" s="20"/>
      <c r="AE390" s="20"/>
      <c r="AF390" s="20" t="s">
        <v>1124</v>
      </c>
      <c r="AG390" s="20" t="s">
        <v>1124</v>
      </c>
      <c r="AH390" s="20" t="s">
        <v>1124</v>
      </c>
      <c r="AI390" s="328"/>
      <c r="AJ390" s="328"/>
      <c r="AK390" s="328"/>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0"/>
      <c r="BY390" s="20"/>
      <c r="BZ390" s="20"/>
      <c r="CA390" s="20"/>
      <c r="CB390" s="20"/>
      <c r="CC390" s="20"/>
      <c r="CD390" s="22"/>
      <c r="CE390" s="22"/>
      <c r="CF390" s="22"/>
      <c r="CG390" s="22"/>
      <c r="CH390" s="22"/>
      <c r="CI390" s="22"/>
      <c r="CJ390" s="149"/>
      <c r="CK390" s="241"/>
    </row>
    <row r="391" spans="1:89" ht="15" customHeight="1" x14ac:dyDescent="0.35">
      <c r="A391" s="17"/>
      <c r="B391" s="313">
        <v>74005</v>
      </c>
      <c r="C391" s="8" t="s">
        <v>741</v>
      </c>
      <c r="D391" s="18">
        <v>15</v>
      </c>
      <c r="E391" s="131" t="s">
        <v>1309</v>
      </c>
      <c r="F391" s="22" t="s">
        <v>1309</v>
      </c>
      <c r="G391" s="132" t="s">
        <v>1309</v>
      </c>
      <c r="H391" s="22" t="s">
        <v>1311</v>
      </c>
      <c r="I391" s="22" t="s">
        <v>1341</v>
      </c>
      <c r="J391" s="22" t="s">
        <v>1348</v>
      </c>
      <c r="K391" s="22" t="s">
        <v>1314</v>
      </c>
      <c r="L391" s="22" t="s">
        <v>1309</v>
      </c>
      <c r="M391" s="133" t="s">
        <v>1311</v>
      </c>
      <c r="N391" s="22" t="s">
        <v>1311</v>
      </c>
      <c r="O391" s="22" t="s">
        <v>1309</v>
      </c>
      <c r="P391" s="22" t="s">
        <v>1309</v>
      </c>
      <c r="Q391" s="20">
        <v>50.222000000000001</v>
      </c>
      <c r="R391" s="20">
        <v>50.222000000000001</v>
      </c>
      <c r="S391" s="20">
        <v>0</v>
      </c>
      <c r="T391" s="20">
        <v>0</v>
      </c>
      <c r="U391" s="20">
        <v>0</v>
      </c>
      <c r="V391" s="20">
        <v>89.787000000000006</v>
      </c>
      <c r="W391" s="20">
        <v>17.146000000000001</v>
      </c>
      <c r="X391" s="20">
        <v>0</v>
      </c>
      <c r="Y391" s="20">
        <v>0</v>
      </c>
      <c r="Z391" s="20">
        <v>0</v>
      </c>
      <c r="AA391" s="20" t="s">
        <v>1317</v>
      </c>
      <c r="AB391" s="22" t="s">
        <v>1311</v>
      </c>
      <c r="AC391" s="20">
        <v>28</v>
      </c>
      <c r="AD391" s="20">
        <v>7</v>
      </c>
      <c r="AE391" s="20">
        <v>0</v>
      </c>
      <c r="AF391" s="20">
        <v>2</v>
      </c>
      <c r="AG391" s="20">
        <v>2</v>
      </c>
      <c r="AH391" s="20">
        <v>0</v>
      </c>
      <c r="AI391" s="328">
        <v>10.468620310618919</v>
      </c>
      <c r="AJ391" s="328">
        <v>0.33652228258256817</v>
      </c>
      <c r="AK391" s="328" t="s">
        <v>1328</v>
      </c>
      <c r="AL391" s="22" t="s">
        <v>1329</v>
      </c>
      <c r="AM391" s="22" t="s">
        <v>1330</v>
      </c>
      <c r="AN391" s="22" t="s">
        <v>1317</v>
      </c>
      <c r="AO391" s="22" t="s">
        <v>1318</v>
      </c>
      <c r="AP391" s="22" t="s">
        <v>1318</v>
      </c>
      <c r="AQ391" s="22" t="s">
        <v>1318</v>
      </c>
      <c r="AR391" s="22" t="s">
        <v>1317</v>
      </c>
      <c r="AS391" s="22" t="s">
        <v>1318</v>
      </c>
      <c r="AT391" s="22" t="s">
        <v>1309</v>
      </c>
      <c r="AU391" s="22" t="s">
        <v>1309</v>
      </c>
      <c r="AV391" s="22" t="s">
        <v>1317</v>
      </c>
      <c r="AW391" s="22" t="s">
        <v>1318</v>
      </c>
      <c r="AX391" s="22" t="s">
        <v>1317</v>
      </c>
      <c r="AY391" s="22" t="s">
        <v>1318</v>
      </c>
      <c r="AZ391" s="22" t="s">
        <v>1309</v>
      </c>
      <c r="BA391" s="22" t="s">
        <v>1309</v>
      </c>
      <c r="BB391" s="22" t="s">
        <v>1309</v>
      </c>
      <c r="BC391" s="22" t="s">
        <v>1309</v>
      </c>
      <c r="BD391" s="22" t="s">
        <v>1317</v>
      </c>
      <c r="BE391" s="22" t="s">
        <v>1318</v>
      </c>
      <c r="BF391" s="22" t="s">
        <v>1317</v>
      </c>
      <c r="BG391" s="22" t="s">
        <v>1311</v>
      </c>
      <c r="BH391" s="22" t="s">
        <v>1309</v>
      </c>
      <c r="BI391" s="22" t="s">
        <v>1309</v>
      </c>
      <c r="BJ391" s="22" t="s">
        <v>1319</v>
      </c>
      <c r="BK391" s="22" t="s">
        <v>1309</v>
      </c>
      <c r="BL391" s="22" t="s">
        <v>1317</v>
      </c>
      <c r="BM391" s="22" t="s">
        <v>1311</v>
      </c>
      <c r="BN391" s="22" t="s">
        <v>1309</v>
      </c>
      <c r="BO391" s="22" t="s">
        <v>1309</v>
      </c>
      <c r="BP391" s="22" t="s">
        <v>1309</v>
      </c>
      <c r="BQ391" s="22" t="s">
        <v>1309</v>
      </c>
      <c r="BR391" s="22" t="s">
        <v>1309</v>
      </c>
      <c r="BS391" s="22" t="s">
        <v>1309</v>
      </c>
      <c r="BT391" s="22" t="s">
        <v>1309</v>
      </c>
      <c r="BU391" s="22" t="s">
        <v>1309</v>
      </c>
      <c r="BV391" s="22" t="s">
        <v>1309</v>
      </c>
      <c r="BW391" s="22" t="s">
        <v>1309</v>
      </c>
      <c r="BX391" s="20">
        <v>400</v>
      </c>
      <c r="BY391" s="20">
        <v>6</v>
      </c>
      <c r="BZ391" s="20">
        <v>1175</v>
      </c>
      <c r="CA391" s="20">
        <v>0</v>
      </c>
      <c r="CB391" s="20">
        <v>20</v>
      </c>
      <c r="CC391" s="20">
        <v>19241</v>
      </c>
      <c r="CD391" s="22" t="s">
        <v>1320</v>
      </c>
      <c r="CE391" s="22" t="s">
        <v>1318</v>
      </c>
      <c r="CF391" s="22" t="s">
        <v>1320</v>
      </c>
      <c r="CG391" s="22" t="s">
        <v>1318</v>
      </c>
      <c r="CH391" s="22" t="s">
        <v>1317</v>
      </c>
      <c r="CI391" s="22" t="s">
        <v>1318</v>
      </c>
      <c r="CJ391" s="149" t="s">
        <v>2204</v>
      </c>
      <c r="CK391" s="241" t="s">
        <v>1124</v>
      </c>
    </row>
    <row r="392" spans="1:89" ht="15" customHeight="1" x14ac:dyDescent="0.35">
      <c r="A392" s="17"/>
      <c r="B392" s="313">
        <v>85075</v>
      </c>
      <c r="C392" s="8" t="s">
        <v>883</v>
      </c>
      <c r="D392" s="18">
        <v>8</v>
      </c>
      <c r="E392" s="131"/>
      <c r="F392" s="22"/>
      <c r="G392" s="132"/>
      <c r="H392" s="22"/>
      <c r="I392" s="22"/>
      <c r="J392" s="22"/>
      <c r="K392" s="22"/>
      <c r="L392" s="22"/>
      <c r="M392" s="133"/>
      <c r="N392" s="22"/>
      <c r="O392" s="22"/>
      <c r="P392" s="22"/>
      <c r="Q392" s="20"/>
      <c r="R392" s="20"/>
      <c r="S392" s="20"/>
      <c r="T392" s="20"/>
      <c r="U392" s="20"/>
      <c r="V392" s="20"/>
      <c r="W392" s="20"/>
      <c r="X392" s="20"/>
      <c r="Y392" s="20"/>
      <c r="Z392" s="20"/>
      <c r="AA392" s="20"/>
      <c r="AB392" s="22"/>
      <c r="AC392" s="20"/>
      <c r="AD392" s="20"/>
      <c r="AE392" s="20"/>
      <c r="AF392" s="20" t="s">
        <v>1124</v>
      </c>
      <c r="AG392" s="20" t="s">
        <v>1124</v>
      </c>
      <c r="AH392" s="20" t="s">
        <v>1124</v>
      </c>
      <c r="AI392" s="328"/>
      <c r="AJ392" s="328"/>
      <c r="AK392" s="328"/>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0"/>
      <c r="BY392" s="20"/>
      <c r="BZ392" s="20"/>
      <c r="CA392" s="20"/>
      <c r="CB392" s="20"/>
      <c r="CC392" s="20"/>
      <c r="CD392" s="22"/>
      <c r="CE392" s="22"/>
      <c r="CF392" s="22"/>
      <c r="CG392" s="22"/>
      <c r="CH392" s="22"/>
      <c r="CI392" s="22"/>
      <c r="CJ392" s="149"/>
      <c r="CK392" s="241"/>
    </row>
    <row r="393" spans="1:89" ht="15" customHeight="1" x14ac:dyDescent="0.35">
      <c r="A393" s="17"/>
      <c r="B393" s="313">
        <v>78055</v>
      </c>
      <c r="C393" s="8" t="s">
        <v>774</v>
      </c>
      <c r="D393" s="18">
        <v>15</v>
      </c>
      <c r="E393" s="131"/>
      <c r="F393" s="22"/>
      <c r="G393" s="132"/>
      <c r="H393" s="22"/>
      <c r="I393" s="22"/>
      <c r="J393" s="22"/>
      <c r="K393" s="22"/>
      <c r="L393" s="22"/>
      <c r="M393" s="133"/>
      <c r="N393" s="22"/>
      <c r="O393" s="22"/>
      <c r="P393" s="22"/>
      <c r="Q393" s="20"/>
      <c r="R393" s="20"/>
      <c r="S393" s="20"/>
      <c r="T393" s="20"/>
      <c r="U393" s="20"/>
      <c r="V393" s="20"/>
      <c r="W393" s="20"/>
      <c r="X393" s="20"/>
      <c r="Y393" s="20"/>
      <c r="Z393" s="20"/>
      <c r="AA393" s="20"/>
      <c r="AB393" s="22"/>
      <c r="AC393" s="20"/>
      <c r="AD393" s="20"/>
      <c r="AE393" s="20"/>
      <c r="AF393" s="20" t="s">
        <v>1124</v>
      </c>
      <c r="AG393" s="20" t="s">
        <v>1124</v>
      </c>
      <c r="AH393" s="20" t="s">
        <v>1124</v>
      </c>
      <c r="AI393" s="328"/>
      <c r="AJ393" s="328"/>
      <c r="AK393" s="328"/>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0"/>
      <c r="BY393" s="20"/>
      <c r="BZ393" s="20"/>
      <c r="CA393" s="20"/>
      <c r="CB393" s="20"/>
      <c r="CC393" s="20"/>
      <c r="CD393" s="22"/>
      <c r="CE393" s="22"/>
      <c r="CF393" s="22"/>
      <c r="CG393" s="22"/>
      <c r="CH393" s="22"/>
      <c r="CI393" s="22"/>
      <c r="CJ393" s="149"/>
      <c r="CK393" s="241"/>
    </row>
    <row r="394" spans="1:89" ht="15" customHeight="1" x14ac:dyDescent="0.35">
      <c r="A394" s="17"/>
      <c r="B394" s="313">
        <v>14005</v>
      </c>
      <c r="C394" s="8" t="s">
        <v>60</v>
      </c>
      <c r="D394" s="18">
        <v>1</v>
      </c>
      <c r="E394" s="131" t="s">
        <v>1309</v>
      </c>
      <c r="F394" s="22" t="s">
        <v>1309</v>
      </c>
      <c r="G394" s="132" t="s">
        <v>1309</v>
      </c>
      <c r="H394" s="22" t="s">
        <v>1311</v>
      </c>
      <c r="I394" s="22" t="s">
        <v>1327</v>
      </c>
      <c r="J394" s="22" t="s">
        <v>1327</v>
      </c>
      <c r="K394" s="22" t="s">
        <v>1309</v>
      </c>
      <c r="L394" s="22" t="s">
        <v>1309</v>
      </c>
      <c r="M394" s="133" t="s">
        <v>1311</v>
      </c>
      <c r="N394" s="22" t="s">
        <v>1311</v>
      </c>
      <c r="O394" s="22" t="s">
        <v>1314</v>
      </c>
      <c r="P394" s="22" t="s">
        <v>1318</v>
      </c>
      <c r="Q394" s="20">
        <v>0</v>
      </c>
      <c r="R394" s="20">
        <v>0</v>
      </c>
      <c r="S394" s="20">
        <v>0</v>
      </c>
      <c r="T394" s="20">
        <v>0</v>
      </c>
      <c r="U394" s="20">
        <v>0</v>
      </c>
      <c r="V394" s="20">
        <v>0</v>
      </c>
      <c r="W394" s="20">
        <v>0</v>
      </c>
      <c r="X394" s="20">
        <v>0</v>
      </c>
      <c r="Y394" s="20">
        <v>0</v>
      </c>
      <c r="Z394" s="20">
        <v>0</v>
      </c>
      <c r="AA394" s="20" t="s">
        <v>1317</v>
      </c>
      <c r="AB394" s="22" t="s">
        <v>1318</v>
      </c>
      <c r="AC394" s="20">
        <v>0</v>
      </c>
      <c r="AD394" s="20">
        <v>0</v>
      </c>
      <c r="AE394" s="20">
        <v>0</v>
      </c>
      <c r="AF394" s="20">
        <v>0</v>
      </c>
      <c r="AG394" s="20">
        <v>0</v>
      </c>
      <c r="AH394" s="20">
        <v>0</v>
      </c>
      <c r="AI394" s="328" t="s">
        <v>1328</v>
      </c>
      <c r="AJ394" s="328" t="s">
        <v>1328</v>
      </c>
      <c r="AK394" s="328" t="s">
        <v>1328</v>
      </c>
      <c r="AL394" s="22" t="s">
        <v>1316</v>
      </c>
      <c r="AM394" s="22" t="s">
        <v>1316</v>
      </c>
      <c r="AN394" s="22" t="s">
        <v>1347</v>
      </c>
      <c r="AO394" s="22" t="s">
        <v>1309</v>
      </c>
      <c r="AP394" s="22" t="s">
        <v>1347</v>
      </c>
      <c r="AQ394" s="22" t="s">
        <v>1348</v>
      </c>
      <c r="AR394" s="22" t="s">
        <v>1317</v>
      </c>
      <c r="AS394" s="22" t="s">
        <v>1311</v>
      </c>
      <c r="AT394" s="22" t="s">
        <v>1317</v>
      </c>
      <c r="AU394" s="22" t="s">
        <v>1318</v>
      </c>
      <c r="AV394" s="22" t="s">
        <v>1317</v>
      </c>
      <c r="AW394" s="22" t="s">
        <v>1318</v>
      </c>
      <c r="AX394" s="22" t="s">
        <v>1317</v>
      </c>
      <c r="AY394" s="22" t="s">
        <v>1318</v>
      </c>
      <c r="AZ394" s="22" t="s">
        <v>1309</v>
      </c>
      <c r="BA394" s="22" t="s">
        <v>1309</v>
      </c>
      <c r="BB394" s="22" t="s">
        <v>1309</v>
      </c>
      <c r="BC394" s="22" t="s">
        <v>1309</v>
      </c>
      <c r="BD394" s="22" t="s">
        <v>1317</v>
      </c>
      <c r="BE394" s="22" t="s">
        <v>1318</v>
      </c>
      <c r="BF394" s="22" t="s">
        <v>1317</v>
      </c>
      <c r="BG394" s="22" t="s">
        <v>1318</v>
      </c>
      <c r="BH394" s="22" t="s">
        <v>1309</v>
      </c>
      <c r="BI394" s="22" t="s">
        <v>1309</v>
      </c>
      <c r="BJ394" s="22" t="s">
        <v>1309</v>
      </c>
      <c r="BK394" s="22" t="s">
        <v>1309</v>
      </c>
      <c r="BL394" s="22" t="s">
        <v>1309</v>
      </c>
      <c r="BM394" s="22" t="s">
        <v>1309</v>
      </c>
      <c r="BN394" s="22" t="s">
        <v>1317</v>
      </c>
      <c r="BO394" s="22" t="s">
        <v>1318</v>
      </c>
      <c r="BP394" s="22" t="s">
        <v>1317</v>
      </c>
      <c r="BQ394" s="22" t="s">
        <v>1318</v>
      </c>
      <c r="BR394" s="22" t="s">
        <v>1309</v>
      </c>
      <c r="BS394" s="22" t="s">
        <v>1309</v>
      </c>
      <c r="BT394" s="22" t="s">
        <v>1315</v>
      </c>
      <c r="BU394" s="22" t="s">
        <v>1315</v>
      </c>
      <c r="BV394" s="22" t="s">
        <v>1309</v>
      </c>
      <c r="BW394" s="22" t="s">
        <v>1309</v>
      </c>
      <c r="BX394" s="20">
        <v>0</v>
      </c>
      <c r="BY394" s="20">
        <v>24</v>
      </c>
      <c r="BZ394" s="20">
        <v>0</v>
      </c>
      <c r="CA394" s="20">
        <v>0</v>
      </c>
      <c r="CB394" s="20">
        <v>0</v>
      </c>
      <c r="CC394" s="20">
        <v>259</v>
      </c>
      <c r="CD394" s="22" t="s">
        <v>1331</v>
      </c>
      <c r="CE394" s="22" t="s">
        <v>1331</v>
      </c>
      <c r="CF394" s="22" t="s">
        <v>1317</v>
      </c>
      <c r="CG394" s="22" t="s">
        <v>1318</v>
      </c>
      <c r="CH394" s="22" t="s">
        <v>1317</v>
      </c>
      <c r="CI394" s="22" t="s">
        <v>1318</v>
      </c>
      <c r="CJ394" s="149" t="s">
        <v>2208</v>
      </c>
      <c r="CK394" s="241" t="s">
        <v>1791</v>
      </c>
    </row>
    <row r="395" spans="1:89" ht="15" customHeight="1" x14ac:dyDescent="0.35">
      <c r="A395" s="17"/>
      <c r="B395" s="313">
        <v>83088</v>
      </c>
      <c r="C395" s="8" t="s">
        <v>849</v>
      </c>
      <c r="D395" s="18">
        <v>7</v>
      </c>
      <c r="E395" s="131"/>
      <c r="F395" s="22"/>
      <c r="G395" s="132"/>
      <c r="H395" s="22"/>
      <c r="I395" s="22"/>
      <c r="J395" s="22"/>
      <c r="K395" s="22"/>
      <c r="L395" s="22"/>
      <c r="M395" s="133"/>
      <c r="N395" s="22"/>
      <c r="O395" s="22"/>
      <c r="P395" s="22"/>
      <c r="Q395" s="20"/>
      <c r="R395" s="20"/>
      <c r="S395" s="20"/>
      <c r="T395" s="20"/>
      <c r="U395" s="20"/>
      <c r="V395" s="20"/>
      <c r="W395" s="20"/>
      <c r="X395" s="20"/>
      <c r="Y395" s="20"/>
      <c r="Z395" s="20"/>
      <c r="AA395" s="20"/>
      <c r="AB395" s="22"/>
      <c r="AC395" s="20"/>
      <c r="AD395" s="20"/>
      <c r="AE395" s="20"/>
      <c r="AF395" s="20" t="s">
        <v>1124</v>
      </c>
      <c r="AG395" s="20" t="s">
        <v>1124</v>
      </c>
      <c r="AH395" s="20" t="s">
        <v>1124</v>
      </c>
      <c r="AI395" s="328"/>
      <c r="AJ395" s="328"/>
      <c r="AK395" s="328"/>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0"/>
      <c r="BY395" s="20"/>
      <c r="BZ395" s="20"/>
      <c r="CA395" s="20"/>
      <c r="CB395" s="20"/>
      <c r="CC395" s="20"/>
      <c r="CD395" s="22"/>
      <c r="CE395" s="22"/>
      <c r="CF395" s="22"/>
      <c r="CG395" s="22"/>
      <c r="CH395" s="22"/>
      <c r="CI395" s="22"/>
      <c r="CJ395" s="149"/>
      <c r="CK395" s="241"/>
    </row>
    <row r="396" spans="1:89" ht="15" customHeight="1" x14ac:dyDescent="0.35">
      <c r="A396" s="17"/>
      <c r="B396" s="313">
        <v>80010</v>
      </c>
      <c r="C396" s="8" t="s">
        <v>804</v>
      </c>
      <c r="D396" s="18">
        <v>7</v>
      </c>
      <c r="E396" s="131"/>
      <c r="F396" s="22"/>
      <c r="G396" s="132"/>
      <c r="H396" s="22"/>
      <c r="I396" s="22"/>
      <c r="J396" s="22"/>
      <c r="K396" s="22"/>
      <c r="L396" s="22"/>
      <c r="M396" s="133"/>
      <c r="N396" s="22"/>
      <c r="O396" s="22"/>
      <c r="P396" s="22"/>
      <c r="Q396" s="20"/>
      <c r="R396" s="20"/>
      <c r="S396" s="20"/>
      <c r="T396" s="20"/>
      <c r="U396" s="20"/>
      <c r="V396" s="20"/>
      <c r="W396" s="20"/>
      <c r="X396" s="20"/>
      <c r="Y396" s="20"/>
      <c r="Z396" s="20"/>
      <c r="AA396" s="20"/>
      <c r="AB396" s="22"/>
      <c r="AC396" s="20"/>
      <c r="AD396" s="20"/>
      <c r="AE396" s="20"/>
      <c r="AF396" s="20" t="s">
        <v>1124</v>
      </c>
      <c r="AG396" s="20" t="s">
        <v>1124</v>
      </c>
      <c r="AH396" s="20" t="s">
        <v>1124</v>
      </c>
      <c r="AI396" s="328"/>
      <c r="AJ396" s="328"/>
      <c r="AK396" s="328"/>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0"/>
      <c r="BY396" s="20"/>
      <c r="BZ396" s="20"/>
      <c r="CA396" s="20"/>
      <c r="CB396" s="20"/>
      <c r="CC396" s="20"/>
      <c r="CD396" s="22"/>
      <c r="CE396" s="22"/>
      <c r="CF396" s="22"/>
      <c r="CG396" s="22"/>
      <c r="CH396" s="22"/>
      <c r="CI396" s="22"/>
      <c r="CJ396" s="149"/>
      <c r="CK396" s="241"/>
    </row>
    <row r="397" spans="1:89" ht="15" customHeight="1" x14ac:dyDescent="0.35">
      <c r="A397" s="17"/>
      <c r="B397" s="313">
        <v>9077</v>
      </c>
      <c r="C397" s="8" t="s">
        <v>1110</v>
      </c>
      <c r="D397" s="18">
        <v>1</v>
      </c>
      <c r="E397" s="131" t="s">
        <v>1309</v>
      </c>
      <c r="F397" s="22" t="s">
        <v>1309</v>
      </c>
      <c r="G397" s="132" t="s">
        <v>1309</v>
      </c>
      <c r="H397" s="22" t="s">
        <v>1311</v>
      </c>
      <c r="I397" s="22" t="s">
        <v>1327</v>
      </c>
      <c r="J397" s="22" t="s">
        <v>1327</v>
      </c>
      <c r="K397" s="22" t="s">
        <v>1309</v>
      </c>
      <c r="L397" s="22" t="s">
        <v>1309</v>
      </c>
      <c r="M397" s="133" t="s">
        <v>1311</v>
      </c>
      <c r="N397" s="22" t="s">
        <v>1311</v>
      </c>
      <c r="O397" s="22" t="s">
        <v>1319</v>
      </c>
      <c r="P397" s="22" t="s">
        <v>1311</v>
      </c>
      <c r="Q397" s="20">
        <v>0</v>
      </c>
      <c r="R397" s="20">
        <v>0</v>
      </c>
      <c r="S397" s="20">
        <v>0</v>
      </c>
      <c r="T397" s="20">
        <v>0</v>
      </c>
      <c r="U397" s="20">
        <v>0</v>
      </c>
      <c r="V397" s="20">
        <v>56.518000000000001</v>
      </c>
      <c r="W397" s="20">
        <v>0</v>
      </c>
      <c r="X397" s="20">
        <v>0</v>
      </c>
      <c r="Y397" s="20">
        <v>0</v>
      </c>
      <c r="Z397" s="20">
        <v>0</v>
      </c>
      <c r="AA397" s="20" t="s">
        <v>1317</v>
      </c>
      <c r="AB397" s="22" t="s">
        <v>1311</v>
      </c>
      <c r="AC397" s="20">
        <v>9</v>
      </c>
      <c r="AD397" s="20">
        <v>1</v>
      </c>
      <c r="AE397" s="20">
        <v>0</v>
      </c>
      <c r="AF397" s="20">
        <v>3</v>
      </c>
      <c r="AG397" s="20">
        <v>1</v>
      </c>
      <c r="AH397" s="20">
        <v>0</v>
      </c>
      <c r="AI397" s="328">
        <v>15.92413036554726</v>
      </c>
      <c r="AJ397" s="328">
        <v>0.45578851412944393</v>
      </c>
      <c r="AK397" s="328" t="s">
        <v>1328</v>
      </c>
      <c r="AL397" s="22" t="s">
        <v>1329</v>
      </c>
      <c r="AM397" s="22" t="s">
        <v>1330</v>
      </c>
      <c r="AN397" s="22" t="s">
        <v>1317</v>
      </c>
      <c r="AO397" s="22" t="s">
        <v>1318</v>
      </c>
      <c r="AP397" s="22" t="s">
        <v>1318</v>
      </c>
      <c r="AQ397" s="22" t="s">
        <v>1318</v>
      </c>
      <c r="AR397" s="22" t="s">
        <v>1317</v>
      </c>
      <c r="AS397" s="22" t="s">
        <v>1318</v>
      </c>
      <c r="AT397" s="22" t="s">
        <v>1309</v>
      </c>
      <c r="AU397" s="22" t="s">
        <v>1309</v>
      </c>
      <c r="AV397" s="22" t="s">
        <v>1317</v>
      </c>
      <c r="AW397" s="22" t="s">
        <v>1318</v>
      </c>
      <c r="AX397" s="22" t="s">
        <v>1317</v>
      </c>
      <c r="AY397" s="22" t="s">
        <v>1318</v>
      </c>
      <c r="AZ397" s="22" t="s">
        <v>1309</v>
      </c>
      <c r="BA397" s="22" t="s">
        <v>1309</v>
      </c>
      <c r="BB397" s="22" t="s">
        <v>1309</v>
      </c>
      <c r="BC397" s="22" t="s">
        <v>1309</v>
      </c>
      <c r="BD397" s="22" t="s">
        <v>1317</v>
      </c>
      <c r="BE397" s="22" t="s">
        <v>1311</v>
      </c>
      <c r="BF397" s="22" t="s">
        <v>1309</v>
      </c>
      <c r="BG397" s="22" t="s">
        <v>1309</v>
      </c>
      <c r="BH397" s="22" t="s">
        <v>1309</v>
      </c>
      <c r="BI397" s="22" t="s">
        <v>1309</v>
      </c>
      <c r="BJ397" s="22" t="s">
        <v>1309</v>
      </c>
      <c r="BK397" s="22" t="s">
        <v>1309</v>
      </c>
      <c r="BL397" s="22" t="s">
        <v>1309</v>
      </c>
      <c r="BM397" s="22" t="s">
        <v>1309</v>
      </c>
      <c r="BN397" s="22" t="s">
        <v>1309</v>
      </c>
      <c r="BO397" s="22" t="s">
        <v>1309</v>
      </c>
      <c r="BP397" s="22" t="s">
        <v>1317</v>
      </c>
      <c r="BQ397" s="22" t="s">
        <v>1311</v>
      </c>
      <c r="BR397" s="22" t="s">
        <v>1309</v>
      </c>
      <c r="BS397" s="22" t="s">
        <v>1309</v>
      </c>
      <c r="BT397" s="22" t="s">
        <v>1309</v>
      </c>
      <c r="BU397" s="22" t="s">
        <v>1309</v>
      </c>
      <c r="BV397" s="22" t="s">
        <v>1317</v>
      </c>
      <c r="BW397" s="22" t="s">
        <v>1318</v>
      </c>
      <c r="BX397" s="20">
        <v>0</v>
      </c>
      <c r="BY397" s="20">
        <v>60</v>
      </c>
      <c r="BZ397" s="20">
        <v>170</v>
      </c>
      <c r="CA397" s="20">
        <v>0</v>
      </c>
      <c r="CB397" s="20">
        <v>60</v>
      </c>
      <c r="CC397" s="20">
        <v>1904</v>
      </c>
      <c r="CD397" s="22" t="s">
        <v>1320</v>
      </c>
      <c r="CE397" s="22" t="s">
        <v>1321</v>
      </c>
      <c r="CF397" s="22" t="s">
        <v>1331</v>
      </c>
      <c r="CG397" s="22" t="s">
        <v>1331</v>
      </c>
      <c r="CH397" s="22" t="s">
        <v>1317</v>
      </c>
      <c r="CI397" s="22" t="s">
        <v>1318</v>
      </c>
      <c r="CJ397" s="149" t="s">
        <v>2213</v>
      </c>
      <c r="CK397" s="241" t="s">
        <v>2214</v>
      </c>
    </row>
    <row r="398" spans="1:89" ht="15" customHeight="1" x14ac:dyDescent="0.35">
      <c r="A398" s="17"/>
      <c r="B398" s="313">
        <v>79088</v>
      </c>
      <c r="C398" s="8" t="s">
        <v>798</v>
      </c>
      <c r="D398" s="18">
        <v>15</v>
      </c>
      <c r="E398" s="131"/>
      <c r="F398" s="22"/>
      <c r="G398" s="132"/>
      <c r="H398" s="22"/>
      <c r="I398" s="22"/>
      <c r="J398" s="22"/>
      <c r="K398" s="22"/>
      <c r="L398" s="22"/>
      <c r="M398" s="133"/>
      <c r="N398" s="22"/>
      <c r="O398" s="22"/>
      <c r="P398" s="22"/>
      <c r="Q398" s="20"/>
      <c r="R398" s="20"/>
      <c r="S398" s="20"/>
      <c r="T398" s="20"/>
      <c r="U398" s="20"/>
      <c r="V398" s="20"/>
      <c r="W398" s="20"/>
      <c r="X398" s="20"/>
      <c r="Y398" s="20"/>
      <c r="Z398" s="20"/>
      <c r="AA398" s="20"/>
      <c r="AB398" s="22"/>
      <c r="AC398" s="20"/>
      <c r="AD398" s="20"/>
      <c r="AE398" s="20"/>
      <c r="AF398" s="20" t="s">
        <v>1124</v>
      </c>
      <c r="AG398" s="20" t="s">
        <v>1124</v>
      </c>
      <c r="AH398" s="20" t="s">
        <v>1124</v>
      </c>
      <c r="AI398" s="328"/>
      <c r="AJ398" s="328"/>
      <c r="AK398" s="328"/>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0"/>
      <c r="BY398" s="20"/>
      <c r="BZ398" s="20"/>
      <c r="CA398" s="20"/>
      <c r="CB398" s="20"/>
      <c r="CC398" s="20"/>
      <c r="CD398" s="22"/>
      <c r="CE398" s="22"/>
      <c r="CF398" s="22"/>
      <c r="CG398" s="22"/>
      <c r="CH398" s="22"/>
      <c r="CI398" s="22"/>
      <c r="CJ398" s="149"/>
      <c r="CK398" s="241"/>
    </row>
    <row r="399" spans="1:89" ht="15" customHeight="1" x14ac:dyDescent="0.35">
      <c r="A399" s="17"/>
      <c r="B399" s="313">
        <v>18050</v>
      </c>
      <c r="C399" s="8" t="s">
        <v>113</v>
      </c>
      <c r="D399" s="18">
        <v>12</v>
      </c>
      <c r="E399" s="131" t="s">
        <v>1309</v>
      </c>
      <c r="F399" s="22" t="s">
        <v>1309</v>
      </c>
      <c r="G399" s="132" t="s">
        <v>1309</v>
      </c>
      <c r="H399" s="22" t="s">
        <v>1311</v>
      </c>
      <c r="I399" s="22" t="s">
        <v>1327</v>
      </c>
      <c r="J399" s="22" t="s">
        <v>1327</v>
      </c>
      <c r="K399" s="22" t="s">
        <v>1309</v>
      </c>
      <c r="L399" s="22" t="s">
        <v>1309</v>
      </c>
      <c r="M399" s="133" t="s">
        <v>1311</v>
      </c>
      <c r="N399" s="22" t="s">
        <v>1311</v>
      </c>
      <c r="O399" s="22" t="s">
        <v>1309</v>
      </c>
      <c r="P399" s="22" t="s">
        <v>1309</v>
      </c>
      <c r="Q399" s="20">
        <v>0</v>
      </c>
      <c r="R399" s="20">
        <v>0</v>
      </c>
      <c r="S399" s="20">
        <v>60.78</v>
      </c>
      <c r="T399" s="20">
        <v>0</v>
      </c>
      <c r="U399" s="20">
        <v>0</v>
      </c>
      <c r="V399" s="20">
        <v>0</v>
      </c>
      <c r="W399" s="20">
        <v>0</v>
      </c>
      <c r="X399" s="20">
        <v>24.32</v>
      </c>
      <c r="Y399" s="20">
        <v>0</v>
      </c>
      <c r="Z399" s="20">
        <v>0</v>
      </c>
      <c r="AA399" s="20" t="s">
        <v>1315</v>
      </c>
      <c r="AB399" s="22" t="s">
        <v>1315</v>
      </c>
      <c r="AC399" s="20">
        <v>6</v>
      </c>
      <c r="AD399" s="20">
        <v>4</v>
      </c>
      <c r="AE399" s="20">
        <v>2</v>
      </c>
      <c r="AF399" s="20">
        <v>1</v>
      </c>
      <c r="AG399" s="20">
        <v>2</v>
      </c>
      <c r="AH399" s="20">
        <v>30</v>
      </c>
      <c r="AI399" s="328">
        <v>7.6645972254158048</v>
      </c>
      <c r="AJ399" s="328">
        <v>1.1454753722794959</v>
      </c>
      <c r="AK399" s="328">
        <v>0.57273768613974796</v>
      </c>
      <c r="AL399" s="22" t="s">
        <v>1315</v>
      </c>
      <c r="AM399" s="22" t="s">
        <v>1315</v>
      </c>
      <c r="AN399" s="22" t="s">
        <v>1315</v>
      </c>
      <c r="AO399" s="22" t="s">
        <v>1315</v>
      </c>
      <c r="AP399" s="22" t="s">
        <v>1315</v>
      </c>
      <c r="AQ399" s="22" t="s">
        <v>1315</v>
      </c>
      <c r="AR399" s="22" t="s">
        <v>1317</v>
      </c>
      <c r="AS399" s="22" t="s">
        <v>1318</v>
      </c>
      <c r="AT399" s="22" t="s">
        <v>1309</v>
      </c>
      <c r="AU399" s="22" t="s">
        <v>1309</v>
      </c>
      <c r="AV399" s="22" t="s">
        <v>1317</v>
      </c>
      <c r="AW399" s="22" t="s">
        <v>1318</v>
      </c>
      <c r="AX399" s="22" t="s">
        <v>1317</v>
      </c>
      <c r="AY399" s="22" t="s">
        <v>1318</v>
      </c>
      <c r="AZ399" s="22" t="s">
        <v>1309</v>
      </c>
      <c r="BA399" s="22" t="s">
        <v>1309</v>
      </c>
      <c r="BB399" s="22" t="s">
        <v>1309</v>
      </c>
      <c r="BC399" s="22" t="s">
        <v>1309</v>
      </c>
      <c r="BD399" s="22" t="s">
        <v>1309</v>
      </c>
      <c r="BE399" s="22" t="s">
        <v>1309</v>
      </c>
      <c r="BF399" s="22" t="s">
        <v>1317</v>
      </c>
      <c r="BG399" s="22" t="s">
        <v>1318</v>
      </c>
      <c r="BH399" s="22" t="s">
        <v>1309</v>
      </c>
      <c r="BI399" s="22" t="s">
        <v>1309</v>
      </c>
      <c r="BJ399" s="22" t="s">
        <v>1317</v>
      </c>
      <c r="BK399" s="22" t="s">
        <v>1318</v>
      </c>
      <c r="BL399" s="22" t="s">
        <v>1319</v>
      </c>
      <c r="BM399" s="22" t="s">
        <v>1311</v>
      </c>
      <c r="BN399" s="22" t="s">
        <v>1319</v>
      </c>
      <c r="BO399" s="22" t="s">
        <v>1311</v>
      </c>
      <c r="BP399" s="22" t="s">
        <v>1317</v>
      </c>
      <c r="BQ399" s="22" t="s">
        <v>1318</v>
      </c>
      <c r="BR399" s="22" t="s">
        <v>1309</v>
      </c>
      <c r="BS399" s="22" t="s">
        <v>1309</v>
      </c>
      <c r="BT399" s="22" t="s">
        <v>1317</v>
      </c>
      <c r="BU399" s="22" t="s">
        <v>1318</v>
      </c>
      <c r="BV399" s="22" t="s">
        <v>1309</v>
      </c>
      <c r="BW399" s="22" t="s">
        <v>1309</v>
      </c>
      <c r="BX399" s="20">
        <v>98</v>
      </c>
      <c r="BY399" s="20">
        <v>27</v>
      </c>
      <c r="BZ399" s="20">
        <v>385</v>
      </c>
      <c r="CA399" s="20">
        <v>20</v>
      </c>
      <c r="CB399" s="20">
        <v>25</v>
      </c>
      <c r="CC399" s="20">
        <v>3236</v>
      </c>
      <c r="CD399" s="22" t="s">
        <v>1315</v>
      </c>
      <c r="CE399" s="22" t="s">
        <v>1344</v>
      </c>
      <c r="CF399" s="22" t="s">
        <v>1320</v>
      </c>
      <c r="CG399" s="22" t="s">
        <v>1344</v>
      </c>
      <c r="CH399" s="22" t="s">
        <v>1317</v>
      </c>
      <c r="CI399" s="22" t="s">
        <v>1318</v>
      </c>
      <c r="CJ399" s="149" t="s">
        <v>2218</v>
      </c>
      <c r="CK399" s="241" t="s">
        <v>1503</v>
      </c>
    </row>
    <row r="400" spans="1:89" ht="15" customHeight="1" x14ac:dyDescent="0.35">
      <c r="A400" s="17"/>
      <c r="B400" s="313">
        <v>80090</v>
      </c>
      <c r="C400" s="8" t="s">
        <v>817</v>
      </c>
      <c r="D400" s="18">
        <v>7</v>
      </c>
      <c r="E400" s="131" t="s">
        <v>1309</v>
      </c>
      <c r="F400" s="22" t="s">
        <v>1309</v>
      </c>
      <c r="G400" s="132" t="s">
        <v>1309</v>
      </c>
      <c r="H400" s="22" t="s">
        <v>1311</v>
      </c>
      <c r="I400" s="22" t="s">
        <v>1327</v>
      </c>
      <c r="J400" s="22" t="s">
        <v>1327</v>
      </c>
      <c r="K400" s="22" t="s">
        <v>1309</v>
      </c>
      <c r="L400" s="22" t="s">
        <v>1309</v>
      </c>
      <c r="M400" s="133" t="s">
        <v>1311</v>
      </c>
      <c r="N400" s="22" t="s">
        <v>1311</v>
      </c>
      <c r="O400" s="22" t="s">
        <v>1314</v>
      </c>
      <c r="P400" s="22" t="s">
        <v>1318</v>
      </c>
      <c r="Q400" s="20">
        <v>0</v>
      </c>
      <c r="R400" s="20">
        <v>0</v>
      </c>
      <c r="S400" s="20">
        <v>0</v>
      </c>
      <c r="T400" s="20">
        <v>0</v>
      </c>
      <c r="U400" s="20">
        <v>0</v>
      </c>
      <c r="V400" s="20">
        <v>0</v>
      </c>
      <c r="W400" s="20">
        <v>0</v>
      </c>
      <c r="X400" s="20">
        <v>0</v>
      </c>
      <c r="Y400" s="20">
        <v>0</v>
      </c>
      <c r="Z400" s="20">
        <v>0</v>
      </c>
      <c r="AA400" s="20" t="s">
        <v>1317</v>
      </c>
      <c r="AB400" s="22" t="s">
        <v>1318</v>
      </c>
      <c r="AC400" s="20">
        <v>0</v>
      </c>
      <c r="AD400" s="20">
        <v>0</v>
      </c>
      <c r="AE400" s="20">
        <v>0</v>
      </c>
      <c r="AF400" s="20">
        <v>0</v>
      </c>
      <c r="AG400" s="20">
        <v>0</v>
      </c>
      <c r="AH400" s="20">
        <v>0</v>
      </c>
      <c r="AI400" s="328" t="s">
        <v>1328</v>
      </c>
      <c r="AJ400" s="328" t="s">
        <v>1328</v>
      </c>
      <c r="AK400" s="328" t="s">
        <v>1328</v>
      </c>
      <c r="AL400" s="22" t="s">
        <v>1316</v>
      </c>
      <c r="AM400" s="22" t="s">
        <v>1316</v>
      </c>
      <c r="AN400" s="22" t="s">
        <v>1317</v>
      </c>
      <c r="AO400" s="22" t="s">
        <v>1318</v>
      </c>
      <c r="AP400" s="22" t="s">
        <v>1318</v>
      </c>
      <c r="AQ400" s="22" t="s">
        <v>1318</v>
      </c>
      <c r="AR400" s="22" t="s">
        <v>1317</v>
      </c>
      <c r="AS400" s="22" t="s">
        <v>1318</v>
      </c>
      <c r="AT400" s="22" t="s">
        <v>1309</v>
      </c>
      <c r="AU400" s="22" t="s">
        <v>1309</v>
      </c>
      <c r="AV400" s="22" t="s">
        <v>1317</v>
      </c>
      <c r="AW400" s="22" t="s">
        <v>1318</v>
      </c>
      <c r="AX400" s="22" t="s">
        <v>1317</v>
      </c>
      <c r="AY400" s="22" t="s">
        <v>1318</v>
      </c>
      <c r="AZ400" s="22" t="s">
        <v>1309</v>
      </c>
      <c r="BA400" s="22" t="s">
        <v>1309</v>
      </c>
      <c r="BB400" s="22" t="s">
        <v>1317</v>
      </c>
      <c r="BC400" s="22" t="s">
        <v>1318</v>
      </c>
      <c r="BD400" s="22" t="s">
        <v>1317</v>
      </c>
      <c r="BE400" s="22" t="s">
        <v>1318</v>
      </c>
      <c r="BF400" s="22" t="s">
        <v>1317</v>
      </c>
      <c r="BG400" s="22" t="s">
        <v>1318</v>
      </c>
      <c r="BH400" s="22" t="s">
        <v>1309</v>
      </c>
      <c r="BI400" s="22" t="s">
        <v>1309</v>
      </c>
      <c r="BJ400" s="22" t="s">
        <v>1317</v>
      </c>
      <c r="BK400" s="22" t="s">
        <v>1318</v>
      </c>
      <c r="BL400" s="22" t="s">
        <v>1309</v>
      </c>
      <c r="BM400" s="22" t="s">
        <v>1309</v>
      </c>
      <c r="BN400" s="22" t="s">
        <v>1317</v>
      </c>
      <c r="BO400" s="22" t="s">
        <v>1318</v>
      </c>
      <c r="BP400" s="22" t="s">
        <v>1309</v>
      </c>
      <c r="BQ400" s="22" t="s">
        <v>1309</v>
      </c>
      <c r="BR400" s="22" t="s">
        <v>1309</v>
      </c>
      <c r="BS400" s="22" t="s">
        <v>1309</v>
      </c>
      <c r="BT400" s="22" t="s">
        <v>1317</v>
      </c>
      <c r="BU400" s="22" t="s">
        <v>1318</v>
      </c>
      <c r="BV400" s="22" t="s">
        <v>1317</v>
      </c>
      <c r="BW400" s="22" t="s">
        <v>1318</v>
      </c>
      <c r="BX400" s="20">
        <v>0</v>
      </c>
      <c r="BY400" s="20">
        <v>0</v>
      </c>
      <c r="BZ400" s="20">
        <v>10</v>
      </c>
      <c r="CA400" s="20">
        <v>0</v>
      </c>
      <c r="CB400" s="20">
        <v>0</v>
      </c>
      <c r="CC400" s="20">
        <v>100</v>
      </c>
      <c r="CD400" s="22" t="s">
        <v>1317</v>
      </c>
      <c r="CE400" s="22" t="s">
        <v>1318</v>
      </c>
      <c r="CF400" s="22" t="s">
        <v>1317</v>
      </c>
      <c r="CG400" s="22" t="s">
        <v>1318</v>
      </c>
      <c r="CH400" s="22" t="s">
        <v>1317</v>
      </c>
      <c r="CI400" s="22" t="s">
        <v>1318</v>
      </c>
      <c r="CJ400" s="149" t="s">
        <v>1124</v>
      </c>
      <c r="CK400" s="241" t="s">
        <v>1124</v>
      </c>
    </row>
    <row r="401" spans="1:89" ht="15" customHeight="1" x14ac:dyDescent="0.35">
      <c r="A401" s="17"/>
      <c r="B401" s="313">
        <v>66023</v>
      </c>
      <c r="C401" s="8" t="s">
        <v>648</v>
      </c>
      <c r="D401" s="18">
        <v>6</v>
      </c>
      <c r="E401" s="131" t="s">
        <v>1319</v>
      </c>
      <c r="F401" s="22" t="s">
        <v>1490</v>
      </c>
      <c r="G401" s="132" t="s">
        <v>1309</v>
      </c>
      <c r="H401" s="22" t="s">
        <v>1311</v>
      </c>
      <c r="I401" s="22" t="s">
        <v>1349</v>
      </c>
      <c r="J401" s="22" t="s">
        <v>1405</v>
      </c>
      <c r="K401" s="22" t="s">
        <v>1309</v>
      </c>
      <c r="L401" s="22" t="s">
        <v>1309</v>
      </c>
      <c r="M401" s="133" t="s">
        <v>1311</v>
      </c>
      <c r="N401" s="22" t="s">
        <v>1311</v>
      </c>
      <c r="O401" s="22" t="s">
        <v>1314</v>
      </c>
      <c r="P401" s="22" t="s">
        <v>1311</v>
      </c>
      <c r="Q401" s="20">
        <v>4.4000000000000004</v>
      </c>
      <c r="R401" s="20">
        <v>44.7</v>
      </c>
      <c r="S401" s="20">
        <v>6605.4113170858873</v>
      </c>
      <c r="T401" s="20">
        <v>8784</v>
      </c>
      <c r="U401" s="20">
        <v>17.920000000000002</v>
      </c>
      <c r="V401" s="20">
        <v>13.8</v>
      </c>
      <c r="W401" s="20">
        <v>4.4429999999999996</v>
      </c>
      <c r="X401" s="20">
        <v>10.193</v>
      </c>
      <c r="Y401" s="20">
        <v>0</v>
      </c>
      <c r="Z401" s="20">
        <v>0</v>
      </c>
      <c r="AA401" s="20" t="s">
        <v>1309</v>
      </c>
      <c r="AB401" s="22" t="s">
        <v>1309</v>
      </c>
      <c r="AC401" s="20">
        <v>731</v>
      </c>
      <c r="AD401" s="20">
        <v>1076</v>
      </c>
      <c r="AE401" s="20">
        <v>26</v>
      </c>
      <c r="AF401" s="20">
        <v>8</v>
      </c>
      <c r="AG401" s="20">
        <v>12</v>
      </c>
      <c r="AH401" s="20">
        <v>5</v>
      </c>
      <c r="AI401" s="328">
        <v>15.442465724486132</v>
      </c>
      <c r="AJ401" s="328">
        <v>3.7091681259738292</v>
      </c>
      <c r="AK401" s="328">
        <v>8.9626739103456837E-2</v>
      </c>
      <c r="AL401" s="22" t="s">
        <v>1338</v>
      </c>
      <c r="AM401" s="22" t="s">
        <v>1343</v>
      </c>
      <c r="AN401" s="22" t="s">
        <v>1347</v>
      </c>
      <c r="AO401" s="22" t="s">
        <v>1309</v>
      </c>
      <c r="AP401" s="22" t="s">
        <v>1351</v>
      </c>
      <c r="AQ401" s="22" t="s">
        <v>1348</v>
      </c>
      <c r="AR401" s="22" t="s">
        <v>1317</v>
      </c>
      <c r="AS401" s="22" t="s">
        <v>1318</v>
      </c>
      <c r="AT401" s="22" t="s">
        <v>1309</v>
      </c>
      <c r="AU401" s="22" t="s">
        <v>1309</v>
      </c>
      <c r="AV401" s="22" t="s">
        <v>1309</v>
      </c>
      <c r="AW401" s="22" t="s">
        <v>1311</v>
      </c>
      <c r="AX401" s="22" t="s">
        <v>1319</v>
      </c>
      <c r="AY401" s="22" t="s">
        <v>1309</v>
      </c>
      <c r="AZ401" s="22" t="s">
        <v>1319</v>
      </c>
      <c r="BA401" s="22" t="s">
        <v>1311</v>
      </c>
      <c r="BB401" s="22" t="s">
        <v>1319</v>
      </c>
      <c r="BC401" s="22" t="s">
        <v>1311</v>
      </c>
      <c r="BD401" s="22" t="s">
        <v>1319</v>
      </c>
      <c r="BE401" s="22" t="s">
        <v>1311</v>
      </c>
      <c r="BF401" s="22" t="s">
        <v>1319</v>
      </c>
      <c r="BG401" s="22" t="s">
        <v>1311</v>
      </c>
      <c r="BH401" s="22" t="s">
        <v>1317</v>
      </c>
      <c r="BI401" s="22" t="s">
        <v>1318</v>
      </c>
      <c r="BJ401" s="22" t="s">
        <v>1317</v>
      </c>
      <c r="BK401" s="22" t="s">
        <v>1318</v>
      </c>
      <c r="BL401" s="22" t="s">
        <v>1309</v>
      </c>
      <c r="BM401" s="22" t="s">
        <v>1309</v>
      </c>
      <c r="BN401" s="22" t="s">
        <v>1317</v>
      </c>
      <c r="BO401" s="22" t="s">
        <v>1318</v>
      </c>
      <c r="BP401" s="22" t="s">
        <v>1317</v>
      </c>
      <c r="BQ401" s="22" t="s">
        <v>1318</v>
      </c>
      <c r="BR401" s="22" t="s">
        <v>1317</v>
      </c>
      <c r="BS401" s="22" t="s">
        <v>1318</v>
      </c>
      <c r="BT401" s="22" t="s">
        <v>1319</v>
      </c>
      <c r="BU401" s="22" t="s">
        <v>1311</v>
      </c>
      <c r="BV401" s="22" t="s">
        <v>1309</v>
      </c>
      <c r="BW401" s="22" t="s">
        <v>1309</v>
      </c>
      <c r="BX401" s="20">
        <v>19463</v>
      </c>
      <c r="BY401" s="20">
        <v>1448</v>
      </c>
      <c r="BZ401" s="20">
        <v>7572</v>
      </c>
      <c r="CA401" s="20">
        <v>12208</v>
      </c>
      <c r="CB401" s="20">
        <v>522</v>
      </c>
      <c r="CC401" s="20">
        <v>236329</v>
      </c>
      <c r="CD401" s="22" t="s">
        <v>1345</v>
      </c>
      <c r="CE401" s="22" t="s">
        <v>1321</v>
      </c>
      <c r="CF401" s="22" t="s">
        <v>1317</v>
      </c>
      <c r="CG401" s="22" t="s">
        <v>1340</v>
      </c>
      <c r="CH401" s="22" t="s">
        <v>1341</v>
      </c>
      <c r="CI401" s="22" t="s">
        <v>1313</v>
      </c>
      <c r="CJ401" s="149" t="s">
        <v>2230</v>
      </c>
      <c r="CK401" s="241" t="s">
        <v>2231</v>
      </c>
    </row>
    <row r="402" spans="1:89" ht="15" customHeight="1" x14ac:dyDescent="0.35">
      <c r="A402" s="17"/>
      <c r="B402" s="313">
        <v>66007</v>
      </c>
      <c r="C402" s="8" t="s">
        <v>647</v>
      </c>
      <c r="D402" s="18">
        <v>6</v>
      </c>
      <c r="E402" s="131"/>
      <c r="F402" s="22"/>
      <c r="G402" s="132"/>
      <c r="H402" s="22"/>
      <c r="I402" s="22"/>
      <c r="J402" s="22"/>
      <c r="K402" s="22"/>
      <c r="L402" s="22"/>
      <c r="M402" s="133"/>
      <c r="N402" s="22"/>
      <c r="O402" s="22"/>
      <c r="P402" s="22"/>
      <c r="Q402" s="20"/>
      <c r="R402" s="20"/>
      <c r="S402" s="20"/>
      <c r="T402" s="20"/>
      <c r="U402" s="20"/>
      <c r="V402" s="20"/>
      <c r="W402" s="20"/>
      <c r="X402" s="20"/>
      <c r="Y402" s="20"/>
      <c r="Z402" s="20"/>
      <c r="AA402" s="20"/>
      <c r="AB402" s="22"/>
      <c r="AC402" s="20"/>
      <c r="AD402" s="20"/>
      <c r="AE402" s="20"/>
      <c r="AF402" s="20" t="s">
        <v>1124</v>
      </c>
      <c r="AG402" s="20" t="s">
        <v>1124</v>
      </c>
      <c r="AH402" s="20" t="s">
        <v>1124</v>
      </c>
      <c r="AI402" s="328"/>
      <c r="AJ402" s="328"/>
      <c r="AK402" s="328"/>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0"/>
      <c r="BY402" s="20"/>
      <c r="BZ402" s="20"/>
      <c r="CA402" s="20"/>
      <c r="CB402" s="20"/>
      <c r="CC402" s="20"/>
      <c r="CD402" s="22"/>
      <c r="CE402" s="22"/>
      <c r="CF402" s="22"/>
      <c r="CG402" s="22"/>
      <c r="CH402" s="22"/>
      <c r="CI402" s="22"/>
      <c r="CJ402" s="149"/>
      <c r="CK402" s="241"/>
    </row>
    <row r="403" spans="1:89" ht="15" customHeight="1" x14ac:dyDescent="0.35">
      <c r="A403" s="17"/>
      <c r="B403" s="313">
        <v>66047</v>
      </c>
      <c r="C403" s="8" t="s">
        <v>650</v>
      </c>
      <c r="D403" s="18">
        <v>6</v>
      </c>
      <c r="E403" s="131" t="s">
        <v>1309</v>
      </c>
      <c r="F403" s="22" t="s">
        <v>1309</v>
      </c>
      <c r="G403" s="132" t="s">
        <v>1309</v>
      </c>
      <c r="H403" s="22" t="s">
        <v>1311</v>
      </c>
      <c r="I403" s="22" t="s">
        <v>1327</v>
      </c>
      <c r="J403" s="22" t="s">
        <v>1327</v>
      </c>
      <c r="K403" s="22" t="s">
        <v>1319</v>
      </c>
      <c r="L403" s="22" t="s">
        <v>1311</v>
      </c>
      <c r="M403" s="133" t="s">
        <v>1311</v>
      </c>
      <c r="N403" s="22" t="s">
        <v>1311</v>
      </c>
      <c r="O403" s="22" t="s">
        <v>1309</v>
      </c>
      <c r="P403" s="22" t="s">
        <v>1309</v>
      </c>
      <c r="Q403" s="20">
        <v>0</v>
      </c>
      <c r="R403" s="20">
        <v>12</v>
      </c>
      <c r="S403" s="20">
        <v>35.156999999999996</v>
      </c>
      <c r="T403" s="20">
        <v>23.437999999999999</v>
      </c>
      <c r="U403" s="20">
        <v>0</v>
      </c>
      <c r="V403" s="20">
        <v>0</v>
      </c>
      <c r="W403" s="20">
        <v>0</v>
      </c>
      <c r="X403" s="20">
        <v>0</v>
      </c>
      <c r="Y403" s="20">
        <v>0</v>
      </c>
      <c r="Z403" s="20">
        <v>0</v>
      </c>
      <c r="AA403" s="20" t="s">
        <v>1317</v>
      </c>
      <c r="AB403" s="22" t="s">
        <v>1318</v>
      </c>
      <c r="AC403" s="20">
        <v>8</v>
      </c>
      <c r="AD403" s="20">
        <v>0</v>
      </c>
      <c r="AE403" s="20">
        <v>0</v>
      </c>
      <c r="AF403" s="20">
        <v>1</v>
      </c>
      <c r="AG403" s="20">
        <v>0</v>
      </c>
      <c r="AH403" s="20">
        <v>0</v>
      </c>
      <c r="AI403" s="328">
        <v>34.132605171089686</v>
      </c>
      <c r="AJ403" s="328" t="s">
        <v>1328</v>
      </c>
      <c r="AK403" s="328" t="s">
        <v>1328</v>
      </c>
      <c r="AL403" s="22" t="s">
        <v>1329</v>
      </c>
      <c r="AM403" s="22" t="s">
        <v>1330</v>
      </c>
      <c r="AN403" s="22" t="s">
        <v>1317</v>
      </c>
      <c r="AO403" s="22" t="s">
        <v>1318</v>
      </c>
      <c r="AP403" s="22" t="s">
        <v>1350</v>
      </c>
      <c r="AQ403" s="22" t="s">
        <v>1315</v>
      </c>
      <c r="AR403" s="22" t="s">
        <v>1317</v>
      </c>
      <c r="AS403" s="22" t="s">
        <v>1318</v>
      </c>
      <c r="AT403" s="22" t="s">
        <v>1317</v>
      </c>
      <c r="AU403" s="22" t="s">
        <v>1318</v>
      </c>
      <c r="AV403" s="22" t="s">
        <v>1309</v>
      </c>
      <c r="AW403" s="22" t="s">
        <v>1309</v>
      </c>
      <c r="AX403" s="22" t="s">
        <v>1317</v>
      </c>
      <c r="AY403" s="22" t="s">
        <v>1318</v>
      </c>
      <c r="AZ403" s="22" t="s">
        <v>1317</v>
      </c>
      <c r="BA403" s="22" t="s">
        <v>1318</v>
      </c>
      <c r="BB403" s="22" t="s">
        <v>1309</v>
      </c>
      <c r="BC403" s="22" t="s">
        <v>1309</v>
      </c>
      <c r="BD403" s="22" t="s">
        <v>1317</v>
      </c>
      <c r="BE403" s="22" t="s">
        <v>1318</v>
      </c>
      <c r="BF403" s="22" t="s">
        <v>1309</v>
      </c>
      <c r="BG403" s="22" t="s">
        <v>1309</v>
      </c>
      <c r="BH403" s="22" t="s">
        <v>1317</v>
      </c>
      <c r="BI403" s="22" t="s">
        <v>1318</v>
      </c>
      <c r="BJ403" s="22" t="s">
        <v>1317</v>
      </c>
      <c r="BK403" s="22" t="s">
        <v>1318</v>
      </c>
      <c r="BL403" s="22" t="s">
        <v>1317</v>
      </c>
      <c r="BM403" s="22" t="s">
        <v>1311</v>
      </c>
      <c r="BN403" s="22" t="s">
        <v>1309</v>
      </c>
      <c r="BO403" s="22" t="s">
        <v>1309</v>
      </c>
      <c r="BP403" s="22" t="s">
        <v>1317</v>
      </c>
      <c r="BQ403" s="22" t="s">
        <v>1318</v>
      </c>
      <c r="BR403" s="22" t="s">
        <v>1317</v>
      </c>
      <c r="BS403" s="22" t="s">
        <v>1318</v>
      </c>
      <c r="BT403" s="22" t="s">
        <v>1315</v>
      </c>
      <c r="BU403" s="22" t="s">
        <v>1315</v>
      </c>
      <c r="BV403" s="22" t="s">
        <v>1317</v>
      </c>
      <c r="BW403" s="22" t="s">
        <v>1318</v>
      </c>
      <c r="BX403" s="20">
        <v>54</v>
      </c>
      <c r="BY403" s="20">
        <v>0</v>
      </c>
      <c r="BZ403" s="20">
        <v>3</v>
      </c>
      <c r="CA403" s="20">
        <v>1551</v>
      </c>
      <c r="CB403" s="20">
        <v>0</v>
      </c>
      <c r="CC403" s="20">
        <v>0</v>
      </c>
      <c r="CD403" s="22" t="s">
        <v>1331</v>
      </c>
      <c r="CE403" s="22" t="s">
        <v>1331</v>
      </c>
      <c r="CF403" s="22" t="s">
        <v>1331</v>
      </c>
      <c r="CG403" s="22" t="s">
        <v>1331</v>
      </c>
      <c r="CH403" s="22" t="s">
        <v>1315</v>
      </c>
      <c r="CI403" s="22" t="s">
        <v>1315</v>
      </c>
      <c r="CJ403" s="149" t="s">
        <v>2238</v>
      </c>
      <c r="CK403" s="241" t="s">
        <v>1124</v>
      </c>
    </row>
    <row r="404" spans="1:89" ht="15" customHeight="1" x14ac:dyDescent="0.35">
      <c r="A404" s="17"/>
      <c r="B404" s="313">
        <v>66072</v>
      </c>
      <c r="C404" s="8" t="s">
        <v>653</v>
      </c>
      <c r="D404" s="18">
        <v>6</v>
      </c>
      <c r="E404" s="131" t="s">
        <v>1309</v>
      </c>
      <c r="F404" s="22" t="s">
        <v>1309</v>
      </c>
      <c r="G404" s="132" t="s">
        <v>1309</v>
      </c>
      <c r="H404" s="22" t="s">
        <v>1311</v>
      </c>
      <c r="I404" s="22" t="s">
        <v>1327</v>
      </c>
      <c r="J404" s="22" t="s">
        <v>1327</v>
      </c>
      <c r="K404" s="22" t="s">
        <v>1309</v>
      </c>
      <c r="L404" s="22" t="s">
        <v>1309</v>
      </c>
      <c r="M404" s="133" t="s">
        <v>1311</v>
      </c>
      <c r="N404" s="22" t="s">
        <v>1311</v>
      </c>
      <c r="O404" s="22" t="s">
        <v>1309</v>
      </c>
      <c r="P404" s="22" t="s">
        <v>1309</v>
      </c>
      <c r="Q404" s="20">
        <v>0</v>
      </c>
      <c r="R404" s="20">
        <v>0</v>
      </c>
      <c r="S404" s="20">
        <v>0</v>
      </c>
      <c r="T404" s="20">
        <v>0</v>
      </c>
      <c r="U404" s="20">
        <v>95.403999999999996</v>
      </c>
      <c r="V404" s="20">
        <v>95.403999999999996</v>
      </c>
      <c r="W404" s="20">
        <v>0</v>
      </c>
      <c r="X404" s="20">
        <v>0</v>
      </c>
      <c r="Y404" s="20">
        <v>0</v>
      </c>
      <c r="Z404" s="20">
        <v>0</v>
      </c>
      <c r="AA404" s="20" t="s">
        <v>1317</v>
      </c>
      <c r="AB404" s="22" t="s">
        <v>1318</v>
      </c>
      <c r="AC404" s="20">
        <v>14</v>
      </c>
      <c r="AD404" s="20">
        <v>0</v>
      </c>
      <c r="AE404" s="20">
        <v>6</v>
      </c>
      <c r="AF404" s="20">
        <v>1</v>
      </c>
      <c r="AG404" s="20">
        <v>0</v>
      </c>
      <c r="AH404" s="20">
        <v>1</v>
      </c>
      <c r="AI404" s="328">
        <v>14.675666204488007</v>
      </c>
      <c r="AJ404" s="328" t="s">
        <v>1328</v>
      </c>
      <c r="AK404" s="328">
        <v>1.1061946902654867</v>
      </c>
      <c r="AL404" s="22" t="s">
        <v>1329</v>
      </c>
      <c r="AM404" s="22" t="s">
        <v>1330</v>
      </c>
      <c r="AN404" s="22" t="s">
        <v>1315</v>
      </c>
      <c r="AO404" s="22" t="s">
        <v>1318</v>
      </c>
      <c r="AP404" s="22" t="s">
        <v>1318</v>
      </c>
      <c r="AQ404" s="22" t="s">
        <v>1318</v>
      </c>
      <c r="AR404" s="22" t="s">
        <v>1317</v>
      </c>
      <c r="AS404" s="22" t="s">
        <v>1318</v>
      </c>
      <c r="AT404" s="22" t="s">
        <v>1317</v>
      </c>
      <c r="AU404" s="22" t="s">
        <v>1318</v>
      </c>
      <c r="AV404" s="22" t="s">
        <v>1309</v>
      </c>
      <c r="AW404" s="22" t="s">
        <v>1309</v>
      </c>
      <c r="AX404" s="22" t="s">
        <v>1309</v>
      </c>
      <c r="AY404" s="22" t="s">
        <v>1311</v>
      </c>
      <c r="AZ404" s="22" t="s">
        <v>1309</v>
      </c>
      <c r="BA404" s="22" t="s">
        <v>1311</v>
      </c>
      <c r="BB404" s="22" t="s">
        <v>1309</v>
      </c>
      <c r="BC404" s="22" t="s">
        <v>1311</v>
      </c>
      <c r="BD404" s="22" t="s">
        <v>1309</v>
      </c>
      <c r="BE404" s="22" t="s">
        <v>1311</v>
      </c>
      <c r="BF404" s="22" t="s">
        <v>1309</v>
      </c>
      <c r="BG404" s="22" t="s">
        <v>1309</v>
      </c>
      <c r="BH404" s="22" t="s">
        <v>1317</v>
      </c>
      <c r="BI404" s="22" t="s">
        <v>1318</v>
      </c>
      <c r="BJ404" s="22" t="s">
        <v>1309</v>
      </c>
      <c r="BK404" s="22" t="s">
        <v>1311</v>
      </c>
      <c r="BL404" s="22" t="s">
        <v>1317</v>
      </c>
      <c r="BM404" s="22" t="s">
        <v>1318</v>
      </c>
      <c r="BN404" s="22" t="s">
        <v>1309</v>
      </c>
      <c r="BO404" s="22" t="s">
        <v>1311</v>
      </c>
      <c r="BP404" s="22" t="s">
        <v>1309</v>
      </c>
      <c r="BQ404" s="22" t="s">
        <v>1309</v>
      </c>
      <c r="BR404" s="22" t="s">
        <v>1309</v>
      </c>
      <c r="BS404" s="22" t="s">
        <v>1309</v>
      </c>
      <c r="BT404" s="22" t="s">
        <v>1317</v>
      </c>
      <c r="BU404" s="22" t="s">
        <v>1318</v>
      </c>
      <c r="BV404" s="22" t="s">
        <v>1317</v>
      </c>
      <c r="BW404" s="22" t="s">
        <v>1318</v>
      </c>
      <c r="BX404" s="20">
        <v>0</v>
      </c>
      <c r="BY404" s="20">
        <v>305</v>
      </c>
      <c r="BZ404" s="20">
        <v>0</v>
      </c>
      <c r="CA404" s="20">
        <v>0</v>
      </c>
      <c r="CB404" s="20">
        <v>5119</v>
      </c>
      <c r="CC404" s="20">
        <v>0</v>
      </c>
      <c r="CD404" s="22" t="s">
        <v>1331</v>
      </c>
      <c r="CE404" s="22" t="s">
        <v>1331</v>
      </c>
      <c r="CF404" s="22" t="s">
        <v>1315</v>
      </c>
      <c r="CG404" s="22" t="s">
        <v>1315</v>
      </c>
      <c r="CH404" s="22" t="s">
        <v>1315</v>
      </c>
      <c r="CI404" s="22" t="s">
        <v>1315</v>
      </c>
      <c r="CJ404" s="149" t="s">
        <v>2241</v>
      </c>
      <c r="CK404" s="241" t="s">
        <v>1124</v>
      </c>
    </row>
    <row r="405" spans="1:89" ht="15" customHeight="1" x14ac:dyDescent="0.35">
      <c r="A405" s="17"/>
      <c r="B405" s="313">
        <v>56097</v>
      </c>
      <c r="C405" s="8" t="s">
        <v>579</v>
      </c>
      <c r="D405" s="18">
        <v>16</v>
      </c>
      <c r="E405" s="131"/>
      <c r="F405" s="22"/>
      <c r="G405" s="132"/>
      <c r="H405" s="22"/>
      <c r="I405" s="22"/>
      <c r="J405" s="22"/>
      <c r="K405" s="22"/>
      <c r="L405" s="22"/>
      <c r="M405" s="133"/>
      <c r="N405" s="22"/>
      <c r="O405" s="22"/>
      <c r="P405" s="22"/>
      <c r="Q405" s="20"/>
      <c r="R405" s="20"/>
      <c r="S405" s="20"/>
      <c r="T405" s="20"/>
      <c r="U405" s="20"/>
      <c r="V405" s="20"/>
      <c r="W405" s="20"/>
      <c r="X405" s="20"/>
      <c r="Y405" s="20"/>
      <c r="Z405" s="20"/>
      <c r="AA405" s="20"/>
      <c r="AB405" s="22"/>
      <c r="AC405" s="20"/>
      <c r="AD405" s="20"/>
      <c r="AE405" s="20"/>
      <c r="AF405" s="20" t="s">
        <v>1124</v>
      </c>
      <c r="AG405" s="20" t="s">
        <v>1124</v>
      </c>
      <c r="AH405" s="20" t="s">
        <v>1124</v>
      </c>
      <c r="AI405" s="328"/>
      <c r="AJ405" s="328"/>
      <c r="AK405" s="328"/>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0"/>
      <c r="BY405" s="20"/>
      <c r="BZ405" s="20"/>
      <c r="CA405" s="20"/>
      <c r="CB405" s="20"/>
      <c r="CC405" s="20"/>
      <c r="CD405" s="22"/>
      <c r="CE405" s="22"/>
      <c r="CF405" s="22"/>
      <c r="CG405" s="22"/>
      <c r="CH405" s="22"/>
      <c r="CI405" s="22"/>
      <c r="CJ405" s="149"/>
      <c r="CK405" s="241"/>
    </row>
    <row r="406" spans="1:89" ht="15" customHeight="1" x14ac:dyDescent="0.35">
      <c r="A406" s="17"/>
      <c r="B406" s="313">
        <v>57035</v>
      </c>
      <c r="C406" s="8" t="s">
        <v>587</v>
      </c>
      <c r="D406" s="18">
        <v>16</v>
      </c>
      <c r="E406" s="131" t="s">
        <v>1309</v>
      </c>
      <c r="F406" s="22" t="s">
        <v>1309</v>
      </c>
      <c r="G406" s="132" t="s">
        <v>1309</v>
      </c>
      <c r="H406" s="22" t="s">
        <v>1311</v>
      </c>
      <c r="I406" s="22" t="s">
        <v>1327</v>
      </c>
      <c r="J406" s="22" t="s">
        <v>1327</v>
      </c>
      <c r="K406" s="22" t="s">
        <v>1309</v>
      </c>
      <c r="L406" s="22" t="s">
        <v>1309</v>
      </c>
      <c r="M406" s="133" t="s">
        <v>1311</v>
      </c>
      <c r="N406" s="22" t="s">
        <v>1311</v>
      </c>
      <c r="O406" s="22" t="s">
        <v>1309</v>
      </c>
      <c r="P406" s="22" t="s">
        <v>1309</v>
      </c>
      <c r="Q406" s="20">
        <v>0</v>
      </c>
      <c r="R406" s="20">
        <v>0</v>
      </c>
      <c r="S406" s="20">
        <v>113.94</v>
      </c>
      <c r="T406" s="20">
        <v>113.94</v>
      </c>
      <c r="U406" s="20">
        <v>82.364999999999995</v>
      </c>
      <c r="V406" s="20">
        <v>82.364999999999995</v>
      </c>
      <c r="W406" s="20">
        <v>0</v>
      </c>
      <c r="X406" s="20">
        <v>0</v>
      </c>
      <c r="Y406" s="20">
        <v>0</v>
      </c>
      <c r="Z406" s="20">
        <v>0</v>
      </c>
      <c r="AA406" s="20" t="s">
        <v>1309</v>
      </c>
      <c r="AB406" s="22" t="s">
        <v>1309</v>
      </c>
      <c r="AC406" s="20">
        <v>7</v>
      </c>
      <c r="AD406" s="20">
        <v>2</v>
      </c>
      <c r="AE406" s="20">
        <v>1</v>
      </c>
      <c r="AF406" s="20">
        <v>1</v>
      </c>
      <c r="AG406" s="20">
        <v>1</v>
      </c>
      <c r="AH406" s="20">
        <v>3</v>
      </c>
      <c r="AI406" s="328">
        <v>4.4454040872315295</v>
      </c>
      <c r="AJ406" s="328">
        <v>0.24333860566978952</v>
      </c>
      <c r="AK406" s="328">
        <v>0.12166930283489476</v>
      </c>
      <c r="AL406" s="22" t="s">
        <v>1329</v>
      </c>
      <c r="AM406" s="22" t="s">
        <v>1330</v>
      </c>
      <c r="AN406" s="22" t="s">
        <v>1317</v>
      </c>
      <c r="AO406" s="22" t="s">
        <v>1318</v>
      </c>
      <c r="AP406" s="22" t="s">
        <v>1318</v>
      </c>
      <c r="AQ406" s="22" t="s">
        <v>1318</v>
      </c>
      <c r="AR406" s="22" t="s">
        <v>1317</v>
      </c>
      <c r="AS406" s="22" t="s">
        <v>1318</v>
      </c>
      <c r="AT406" s="22" t="s">
        <v>1309</v>
      </c>
      <c r="AU406" s="22" t="s">
        <v>1309</v>
      </c>
      <c r="AV406" s="22" t="s">
        <v>1317</v>
      </c>
      <c r="AW406" s="22" t="s">
        <v>1318</v>
      </c>
      <c r="AX406" s="22" t="s">
        <v>1317</v>
      </c>
      <c r="AY406" s="22" t="s">
        <v>1318</v>
      </c>
      <c r="AZ406" s="22" t="s">
        <v>1309</v>
      </c>
      <c r="BA406" s="22" t="s">
        <v>1309</v>
      </c>
      <c r="BB406" s="22" t="s">
        <v>1309</v>
      </c>
      <c r="BC406" s="22" t="s">
        <v>1309</v>
      </c>
      <c r="BD406" s="22" t="s">
        <v>1317</v>
      </c>
      <c r="BE406" s="22" t="s">
        <v>1318</v>
      </c>
      <c r="BF406" s="22" t="s">
        <v>1317</v>
      </c>
      <c r="BG406" s="22" t="s">
        <v>1318</v>
      </c>
      <c r="BH406" s="22" t="s">
        <v>1317</v>
      </c>
      <c r="BI406" s="22" t="s">
        <v>1318</v>
      </c>
      <c r="BJ406" s="22" t="s">
        <v>1317</v>
      </c>
      <c r="BK406" s="22" t="s">
        <v>1318</v>
      </c>
      <c r="BL406" s="22" t="s">
        <v>1317</v>
      </c>
      <c r="BM406" s="22" t="s">
        <v>1318</v>
      </c>
      <c r="BN406" s="22" t="s">
        <v>1309</v>
      </c>
      <c r="BO406" s="22" t="s">
        <v>1309</v>
      </c>
      <c r="BP406" s="22" t="s">
        <v>1309</v>
      </c>
      <c r="BQ406" s="22" t="s">
        <v>1309</v>
      </c>
      <c r="BR406" s="22" t="s">
        <v>1309</v>
      </c>
      <c r="BS406" s="22" t="s">
        <v>1309</v>
      </c>
      <c r="BT406" s="22" t="s">
        <v>1309</v>
      </c>
      <c r="BU406" s="22" t="s">
        <v>1309</v>
      </c>
      <c r="BV406" s="22" t="s">
        <v>1317</v>
      </c>
      <c r="BW406" s="22" t="s">
        <v>1318</v>
      </c>
      <c r="BX406" s="20">
        <v>172</v>
      </c>
      <c r="BY406" s="20">
        <v>0</v>
      </c>
      <c r="BZ406" s="20">
        <v>0</v>
      </c>
      <c r="CA406" s="20">
        <v>0</v>
      </c>
      <c r="CB406" s="20">
        <v>0</v>
      </c>
      <c r="CC406" s="20">
        <v>8498</v>
      </c>
      <c r="CD406" s="22" t="s">
        <v>1331</v>
      </c>
      <c r="CE406" s="22" t="s">
        <v>1331</v>
      </c>
      <c r="CF406" s="22" t="s">
        <v>1317</v>
      </c>
      <c r="CG406" s="22" t="s">
        <v>1340</v>
      </c>
      <c r="CH406" s="22" t="s">
        <v>1317</v>
      </c>
      <c r="CI406" s="22" t="s">
        <v>1318</v>
      </c>
      <c r="CJ406" s="149" t="s">
        <v>1124</v>
      </c>
      <c r="CK406" s="241" t="s">
        <v>2245</v>
      </c>
    </row>
    <row r="407" spans="1:89" ht="15" customHeight="1" x14ac:dyDescent="0.35">
      <c r="A407" s="17"/>
      <c r="B407" s="313">
        <v>79110</v>
      </c>
      <c r="C407" s="8" t="s">
        <v>801</v>
      </c>
      <c r="D407" s="18">
        <v>15</v>
      </c>
      <c r="E407" s="131" t="s">
        <v>1309</v>
      </c>
      <c r="F407" s="22" t="s">
        <v>1309</v>
      </c>
      <c r="G407" s="132" t="s">
        <v>1309</v>
      </c>
      <c r="H407" s="22" t="s">
        <v>1311</v>
      </c>
      <c r="I407" s="22" t="s">
        <v>1327</v>
      </c>
      <c r="J407" s="22" t="s">
        <v>1342</v>
      </c>
      <c r="K407" s="22" t="s">
        <v>1314</v>
      </c>
      <c r="L407" s="22" t="s">
        <v>1311</v>
      </c>
      <c r="M407" s="133" t="s">
        <v>1311</v>
      </c>
      <c r="N407" s="22" t="s">
        <v>1311</v>
      </c>
      <c r="O407" s="22" t="s">
        <v>1314</v>
      </c>
      <c r="P407" s="22" t="s">
        <v>1318</v>
      </c>
      <c r="Q407" s="20">
        <v>0</v>
      </c>
      <c r="R407" s="20">
        <v>0</v>
      </c>
      <c r="S407" s="20">
        <v>3.4249999999999998</v>
      </c>
      <c r="T407" s="20">
        <v>0</v>
      </c>
      <c r="U407" s="20">
        <v>0</v>
      </c>
      <c r="V407" s="20">
        <v>0</v>
      </c>
      <c r="W407" s="20">
        <v>0</v>
      </c>
      <c r="X407" s="20">
        <v>0</v>
      </c>
      <c r="Y407" s="20">
        <v>0</v>
      </c>
      <c r="Z407" s="20">
        <v>0</v>
      </c>
      <c r="AA407" s="20" t="s">
        <v>1317</v>
      </c>
      <c r="AB407" s="22" t="s">
        <v>1318</v>
      </c>
      <c r="AC407" s="20">
        <v>2</v>
      </c>
      <c r="AD407" s="20">
        <v>0</v>
      </c>
      <c r="AE407" s="20">
        <v>0</v>
      </c>
      <c r="AF407" s="20">
        <v>1</v>
      </c>
      <c r="AG407" s="20">
        <v>0</v>
      </c>
      <c r="AH407" s="20">
        <v>0</v>
      </c>
      <c r="AI407" s="328">
        <v>58.394160583941606</v>
      </c>
      <c r="AJ407" s="328" t="s">
        <v>1328</v>
      </c>
      <c r="AK407" s="328" t="s">
        <v>1328</v>
      </c>
      <c r="AL407" s="22" t="s">
        <v>1329</v>
      </c>
      <c r="AM407" s="22" t="s">
        <v>1330</v>
      </c>
      <c r="AN407" s="22" t="s">
        <v>1317</v>
      </c>
      <c r="AO407" s="22" t="s">
        <v>1318</v>
      </c>
      <c r="AP407" s="22" t="s">
        <v>1318</v>
      </c>
      <c r="AQ407" s="22" t="s">
        <v>1318</v>
      </c>
      <c r="AR407" s="22" t="s">
        <v>1315</v>
      </c>
      <c r="AS407" s="22" t="s">
        <v>1315</v>
      </c>
      <c r="AT407" s="22" t="s">
        <v>1317</v>
      </c>
      <c r="AU407" s="22" t="s">
        <v>1311</v>
      </c>
      <c r="AV407" s="22" t="s">
        <v>1317</v>
      </c>
      <c r="AW407" s="22" t="s">
        <v>1318</v>
      </c>
      <c r="AX407" s="22" t="s">
        <v>1317</v>
      </c>
      <c r="AY407" s="22" t="s">
        <v>1318</v>
      </c>
      <c r="AZ407" s="22" t="s">
        <v>1309</v>
      </c>
      <c r="BA407" s="22" t="s">
        <v>1309</v>
      </c>
      <c r="BB407" s="22" t="s">
        <v>1309</v>
      </c>
      <c r="BC407" s="22" t="s">
        <v>1309</v>
      </c>
      <c r="BD407" s="22" t="s">
        <v>1317</v>
      </c>
      <c r="BE407" s="22" t="s">
        <v>1318</v>
      </c>
      <c r="BF407" s="22" t="s">
        <v>1317</v>
      </c>
      <c r="BG407" s="22" t="s">
        <v>1318</v>
      </c>
      <c r="BH407" s="22" t="s">
        <v>1309</v>
      </c>
      <c r="BI407" s="22" t="s">
        <v>1309</v>
      </c>
      <c r="BJ407" s="22" t="s">
        <v>1317</v>
      </c>
      <c r="BK407" s="22" t="s">
        <v>1318</v>
      </c>
      <c r="BL407" s="22" t="s">
        <v>1317</v>
      </c>
      <c r="BM407" s="22" t="s">
        <v>1318</v>
      </c>
      <c r="BN407" s="22" t="s">
        <v>1309</v>
      </c>
      <c r="BO407" s="22" t="s">
        <v>1309</v>
      </c>
      <c r="BP407" s="22" t="s">
        <v>1315</v>
      </c>
      <c r="BQ407" s="22" t="s">
        <v>1315</v>
      </c>
      <c r="BR407" s="22" t="s">
        <v>1309</v>
      </c>
      <c r="BS407" s="22" t="s">
        <v>1309</v>
      </c>
      <c r="BT407" s="22" t="s">
        <v>1315</v>
      </c>
      <c r="BU407" s="22" t="s">
        <v>1315</v>
      </c>
      <c r="BV407" s="22" t="s">
        <v>1317</v>
      </c>
      <c r="BW407" s="22" t="s">
        <v>1318</v>
      </c>
      <c r="BX407" s="20">
        <v>0</v>
      </c>
      <c r="BY407" s="20">
        <v>0</v>
      </c>
      <c r="BZ407" s="20">
        <v>4</v>
      </c>
      <c r="CA407" s="20">
        <v>0</v>
      </c>
      <c r="CB407" s="20">
        <v>0</v>
      </c>
      <c r="CC407" s="20">
        <v>130</v>
      </c>
      <c r="CD407" s="22" t="s">
        <v>1317</v>
      </c>
      <c r="CE407" s="22" t="s">
        <v>1318</v>
      </c>
      <c r="CF407" s="22" t="s">
        <v>1317</v>
      </c>
      <c r="CG407" s="22" t="s">
        <v>1318</v>
      </c>
      <c r="CH407" s="22" t="s">
        <v>1317</v>
      </c>
      <c r="CI407" s="22" t="s">
        <v>1318</v>
      </c>
      <c r="CJ407" s="149" t="s">
        <v>1124</v>
      </c>
      <c r="CK407" s="241" t="s">
        <v>1358</v>
      </c>
    </row>
    <row r="408" spans="1:89" ht="15" customHeight="1" x14ac:dyDescent="0.35">
      <c r="A408" s="17"/>
      <c r="B408" s="313">
        <v>4015</v>
      </c>
      <c r="C408" s="8" t="s">
        <v>1038</v>
      </c>
      <c r="D408" s="18">
        <v>11</v>
      </c>
      <c r="E408" s="131" t="s">
        <v>1309</v>
      </c>
      <c r="F408" s="22" t="s">
        <v>1309</v>
      </c>
      <c r="G408" s="132" t="s">
        <v>1309</v>
      </c>
      <c r="H408" s="22" t="s">
        <v>1311</v>
      </c>
      <c r="I408" s="22" t="s">
        <v>1327</v>
      </c>
      <c r="J408" s="22" t="s">
        <v>1327</v>
      </c>
      <c r="K408" s="22" t="s">
        <v>1319</v>
      </c>
      <c r="L408" s="22" t="s">
        <v>1311</v>
      </c>
      <c r="M408" s="133" t="s">
        <v>1311</v>
      </c>
      <c r="N408" s="22" t="s">
        <v>1311</v>
      </c>
      <c r="O408" s="22" t="s">
        <v>1314</v>
      </c>
      <c r="P408" s="22" t="s">
        <v>1318</v>
      </c>
      <c r="Q408" s="20">
        <v>0</v>
      </c>
      <c r="R408" s="20">
        <v>0</v>
      </c>
      <c r="S408" s="20">
        <v>0</v>
      </c>
      <c r="T408" s="20">
        <v>0</v>
      </c>
      <c r="U408" s="20">
        <v>0</v>
      </c>
      <c r="V408" s="20">
        <v>0</v>
      </c>
      <c r="W408" s="20">
        <v>0</v>
      </c>
      <c r="X408" s="20">
        <v>0</v>
      </c>
      <c r="Y408" s="20">
        <v>0</v>
      </c>
      <c r="Z408" s="20">
        <v>0</v>
      </c>
      <c r="AA408" s="20" t="s">
        <v>1317</v>
      </c>
      <c r="AB408" s="22" t="s">
        <v>1318</v>
      </c>
      <c r="AC408" s="20">
        <v>0</v>
      </c>
      <c r="AD408" s="20">
        <v>0</v>
      </c>
      <c r="AE408" s="20">
        <v>0</v>
      </c>
      <c r="AF408" s="20">
        <v>0</v>
      </c>
      <c r="AG408" s="20">
        <v>0</v>
      </c>
      <c r="AH408" s="20">
        <v>0</v>
      </c>
      <c r="AI408" s="328" t="s">
        <v>1328</v>
      </c>
      <c r="AJ408" s="328" t="s">
        <v>1328</v>
      </c>
      <c r="AK408" s="328" t="s">
        <v>1328</v>
      </c>
      <c r="AL408" s="22" t="s">
        <v>1329</v>
      </c>
      <c r="AM408" s="22" t="s">
        <v>1330</v>
      </c>
      <c r="AN408" s="22" t="s">
        <v>1317</v>
      </c>
      <c r="AO408" s="22" t="s">
        <v>1318</v>
      </c>
      <c r="AP408" s="22" t="s">
        <v>1318</v>
      </c>
      <c r="AQ408" s="22" t="s">
        <v>1318</v>
      </c>
      <c r="AR408" s="22" t="s">
        <v>1315</v>
      </c>
      <c r="AS408" s="22" t="s">
        <v>1315</v>
      </c>
      <c r="AT408" s="22" t="s">
        <v>1319</v>
      </c>
      <c r="AU408" s="22" t="s">
        <v>1311</v>
      </c>
      <c r="AV408" s="22" t="s">
        <v>1317</v>
      </c>
      <c r="AW408" s="22" t="s">
        <v>1311</v>
      </c>
      <c r="AX408" s="22" t="s">
        <v>1317</v>
      </c>
      <c r="AY408" s="22" t="s">
        <v>1318</v>
      </c>
      <c r="AZ408" s="22" t="s">
        <v>1317</v>
      </c>
      <c r="BA408" s="22" t="s">
        <v>1318</v>
      </c>
      <c r="BB408" s="22" t="s">
        <v>1309</v>
      </c>
      <c r="BC408" s="22" t="s">
        <v>1309</v>
      </c>
      <c r="BD408" s="22" t="s">
        <v>1317</v>
      </c>
      <c r="BE408" s="22" t="s">
        <v>1318</v>
      </c>
      <c r="BF408" s="22" t="s">
        <v>1317</v>
      </c>
      <c r="BG408" s="22" t="s">
        <v>1318</v>
      </c>
      <c r="BH408" s="22" t="s">
        <v>1317</v>
      </c>
      <c r="BI408" s="22" t="s">
        <v>1318</v>
      </c>
      <c r="BJ408" s="22" t="s">
        <v>1317</v>
      </c>
      <c r="BK408" s="22" t="s">
        <v>1311</v>
      </c>
      <c r="BL408" s="22" t="s">
        <v>1309</v>
      </c>
      <c r="BM408" s="22" t="s">
        <v>1309</v>
      </c>
      <c r="BN408" s="22" t="s">
        <v>1309</v>
      </c>
      <c r="BO408" s="22" t="s">
        <v>1309</v>
      </c>
      <c r="BP408" s="22" t="s">
        <v>1315</v>
      </c>
      <c r="BQ408" s="22" t="s">
        <v>1315</v>
      </c>
      <c r="BR408" s="22" t="s">
        <v>1317</v>
      </c>
      <c r="BS408" s="22" t="s">
        <v>1318</v>
      </c>
      <c r="BT408" s="22" t="s">
        <v>1315</v>
      </c>
      <c r="BU408" s="22" t="s">
        <v>1315</v>
      </c>
      <c r="BV408" s="22" t="s">
        <v>1317</v>
      </c>
      <c r="BW408" s="22" t="s">
        <v>1318</v>
      </c>
      <c r="BX408" s="20">
        <v>0</v>
      </c>
      <c r="BY408" s="20">
        <v>0</v>
      </c>
      <c r="BZ408" s="20">
        <v>21</v>
      </c>
      <c r="CA408" s="20">
        <v>0</v>
      </c>
      <c r="CB408" s="20">
        <v>0</v>
      </c>
      <c r="CC408" s="20">
        <v>145</v>
      </c>
      <c r="CD408" s="22" t="s">
        <v>1317</v>
      </c>
      <c r="CE408" s="22" t="s">
        <v>1318</v>
      </c>
      <c r="CF408" s="22" t="s">
        <v>1317</v>
      </c>
      <c r="CG408" s="22" t="s">
        <v>1318</v>
      </c>
      <c r="CH408" s="22" t="s">
        <v>1317</v>
      </c>
      <c r="CI408" s="22" t="s">
        <v>1318</v>
      </c>
      <c r="CJ408" s="149" t="s">
        <v>1124</v>
      </c>
      <c r="CK408" s="241" t="s">
        <v>2250</v>
      </c>
    </row>
    <row r="409" spans="1:89" ht="15" customHeight="1" x14ac:dyDescent="0.35">
      <c r="A409" s="17"/>
      <c r="B409" s="314">
        <v>78102</v>
      </c>
      <c r="C409" s="8" t="s">
        <v>781</v>
      </c>
      <c r="D409" s="18">
        <v>15</v>
      </c>
      <c r="E409" s="131" t="s">
        <v>1309</v>
      </c>
      <c r="F409" s="22" t="s">
        <v>1309</v>
      </c>
      <c r="G409" s="132" t="s">
        <v>1309</v>
      </c>
      <c r="H409" s="22" t="s">
        <v>1311</v>
      </c>
      <c r="I409" s="22" t="s">
        <v>1327</v>
      </c>
      <c r="J409" s="22" t="s">
        <v>1327</v>
      </c>
      <c r="K409" s="22" t="s">
        <v>1314</v>
      </c>
      <c r="L409" s="22" t="s">
        <v>1311</v>
      </c>
      <c r="M409" s="133" t="s">
        <v>1311</v>
      </c>
      <c r="N409" s="22" t="s">
        <v>1311</v>
      </c>
      <c r="O409" s="22" t="s">
        <v>1309</v>
      </c>
      <c r="P409" s="22" t="s">
        <v>1309</v>
      </c>
      <c r="Q409" s="20">
        <v>0</v>
      </c>
      <c r="R409" s="20">
        <v>0</v>
      </c>
      <c r="S409" s="20">
        <v>0</v>
      </c>
      <c r="T409" s="20">
        <v>0</v>
      </c>
      <c r="U409" s="20">
        <v>0</v>
      </c>
      <c r="V409" s="20">
        <v>64.971999999999994</v>
      </c>
      <c r="W409" s="20">
        <v>0</v>
      </c>
      <c r="X409" s="20">
        <v>0</v>
      </c>
      <c r="Y409" s="20">
        <v>0</v>
      </c>
      <c r="Z409" s="20">
        <v>0</v>
      </c>
      <c r="AA409" s="20" t="s">
        <v>1317</v>
      </c>
      <c r="AB409" s="22" t="s">
        <v>1311</v>
      </c>
      <c r="AC409" s="20">
        <v>5</v>
      </c>
      <c r="AD409" s="20">
        <v>2</v>
      </c>
      <c r="AE409" s="20">
        <v>0</v>
      </c>
      <c r="AF409" s="20">
        <v>1</v>
      </c>
      <c r="AG409" s="20">
        <v>1</v>
      </c>
      <c r="AH409" s="20">
        <v>0</v>
      </c>
      <c r="AI409" s="328">
        <v>3.6199724013304126</v>
      </c>
      <c r="AJ409" s="328">
        <v>0.41902367483762831</v>
      </c>
      <c r="AK409" s="328" t="s">
        <v>1328</v>
      </c>
      <c r="AL409" s="22" t="s">
        <v>1329</v>
      </c>
      <c r="AM409" s="22" t="s">
        <v>1330</v>
      </c>
      <c r="AN409" s="22" t="s">
        <v>1317</v>
      </c>
      <c r="AO409" s="22" t="s">
        <v>1318</v>
      </c>
      <c r="AP409" s="22" t="s">
        <v>1318</v>
      </c>
      <c r="AQ409" s="22" t="s">
        <v>1318</v>
      </c>
      <c r="AR409" s="22" t="s">
        <v>1317</v>
      </c>
      <c r="AS409" s="22" t="s">
        <v>1318</v>
      </c>
      <c r="AT409" s="22" t="s">
        <v>1309</v>
      </c>
      <c r="AU409" s="22" t="s">
        <v>1309</v>
      </c>
      <c r="AV409" s="22" t="s">
        <v>1309</v>
      </c>
      <c r="AW409" s="22" t="s">
        <v>1309</v>
      </c>
      <c r="AX409" s="22" t="s">
        <v>1317</v>
      </c>
      <c r="AY409" s="22" t="s">
        <v>1318</v>
      </c>
      <c r="AZ409" s="22" t="s">
        <v>1309</v>
      </c>
      <c r="BA409" s="22" t="s">
        <v>1309</v>
      </c>
      <c r="BB409" s="22" t="s">
        <v>1309</v>
      </c>
      <c r="BC409" s="22" t="s">
        <v>1309</v>
      </c>
      <c r="BD409" s="22" t="s">
        <v>1309</v>
      </c>
      <c r="BE409" s="22" t="s">
        <v>1309</v>
      </c>
      <c r="BF409" s="22" t="s">
        <v>1317</v>
      </c>
      <c r="BG409" s="22" t="s">
        <v>1318</v>
      </c>
      <c r="BH409" s="22" t="s">
        <v>1309</v>
      </c>
      <c r="BI409" s="22" t="s">
        <v>1309</v>
      </c>
      <c r="BJ409" s="22" t="s">
        <v>1309</v>
      </c>
      <c r="BK409" s="22" t="s">
        <v>1309</v>
      </c>
      <c r="BL409" s="22" t="s">
        <v>1317</v>
      </c>
      <c r="BM409" s="22" t="s">
        <v>1318</v>
      </c>
      <c r="BN409" s="22" t="s">
        <v>1317</v>
      </c>
      <c r="BO409" s="22" t="s">
        <v>1318</v>
      </c>
      <c r="BP409" s="22" t="s">
        <v>1317</v>
      </c>
      <c r="BQ409" s="22" t="s">
        <v>1318</v>
      </c>
      <c r="BR409" s="22" t="s">
        <v>1317</v>
      </c>
      <c r="BS409" s="22" t="s">
        <v>1318</v>
      </c>
      <c r="BT409" s="22" t="s">
        <v>1319</v>
      </c>
      <c r="BU409" s="22" t="s">
        <v>1311</v>
      </c>
      <c r="BV409" s="22" t="s">
        <v>1309</v>
      </c>
      <c r="BW409" s="22" t="s">
        <v>1309</v>
      </c>
      <c r="BX409" s="20">
        <v>533</v>
      </c>
      <c r="BY409" s="20">
        <v>0</v>
      </c>
      <c r="BZ409" s="20">
        <v>88</v>
      </c>
      <c r="CA409" s="20">
        <v>60</v>
      </c>
      <c r="CB409" s="20">
        <v>0</v>
      </c>
      <c r="CC409" s="20">
        <v>4105</v>
      </c>
      <c r="CD409" s="22" t="s">
        <v>1331</v>
      </c>
      <c r="CE409" s="22" t="s">
        <v>1331</v>
      </c>
      <c r="CF409" s="22" t="s">
        <v>1331</v>
      </c>
      <c r="CG409" s="22" t="s">
        <v>1331</v>
      </c>
      <c r="CH409" s="22" t="s">
        <v>1317</v>
      </c>
      <c r="CI409" s="22" t="s">
        <v>1318</v>
      </c>
      <c r="CJ409" s="149" t="s">
        <v>1124</v>
      </c>
      <c r="CK409" s="241" t="s">
        <v>2256</v>
      </c>
    </row>
    <row r="410" spans="1:89" ht="15" customHeight="1" x14ac:dyDescent="0.35">
      <c r="A410" s="17"/>
      <c r="B410" s="313">
        <v>77050</v>
      </c>
      <c r="C410" s="8" t="s">
        <v>762</v>
      </c>
      <c r="D410" s="18">
        <v>15</v>
      </c>
      <c r="E410" s="131" t="s">
        <v>1309</v>
      </c>
      <c r="F410" s="22" t="s">
        <v>1309</v>
      </c>
      <c r="G410" s="132" t="s">
        <v>1309</v>
      </c>
      <c r="H410" s="22" t="s">
        <v>1311</v>
      </c>
      <c r="I410" s="22" t="s">
        <v>1327</v>
      </c>
      <c r="J410" s="22" t="s">
        <v>1327</v>
      </c>
      <c r="K410" s="22" t="s">
        <v>1319</v>
      </c>
      <c r="L410" s="22" t="s">
        <v>1311</v>
      </c>
      <c r="M410" s="133" t="s">
        <v>1311</v>
      </c>
      <c r="N410" s="22" t="s">
        <v>1311</v>
      </c>
      <c r="O410" s="22" t="s">
        <v>1309</v>
      </c>
      <c r="P410" s="22" t="s">
        <v>1309</v>
      </c>
      <c r="Q410" s="20">
        <v>0</v>
      </c>
      <c r="R410" s="20">
        <v>0</v>
      </c>
      <c r="S410" s="20">
        <v>0</v>
      </c>
      <c r="T410" s="20">
        <v>0</v>
      </c>
      <c r="U410" s="20">
        <v>33</v>
      </c>
      <c r="V410" s="20">
        <v>33</v>
      </c>
      <c r="W410" s="20">
        <v>0</v>
      </c>
      <c r="X410" s="20">
        <v>0</v>
      </c>
      <c r="Y410" s="20">
        <v>0</v>
      </c>
      <c r="Z410" s="20">
        <v>0</v>
      </c>
      <c r="AA410" s="20" t="s">
        <v>1315</v>
      </c>
      <c r="AB410" s="22" t="s">
        <v>1315</v>
      </c>
      <c r="AC410" s="20">
        <v>1</v>
      </c>
      <c r="AD410" s="20">
        <v>9</v>
      </c>
      <c r="AE410" s="20">
        <v>4</v>
      </c>
      <c r="AF410" s="20">
        <v>2</v>
      </c>
      <c r="AG410" s="20">
        <v>5</v>
      </c>
      <c r="AH410" s="20">
        <v>15</v>
      </c>
      <c r="AI410" s="328">
        <v>2.9857876507822767</v>
      </c>
      <c r="AJ410" s="328">
        <v>9.4240837696335085</v>
      </c>
      <c r="AK410" s="328">
        <v>4.1884816753926701</v>
      </c>
      <c r="AL410" s="22" t="s">
        <v>1315</v>
      </c>
      <c r="AM410" s="22" t="s">
        <v>1315</v>
      </c>
      <c r="AN410" s="22" t="s">
        <v>1315</v>
      </c>
      <c r="AO410" s="22" t="s">
        <v>1318</v>
      </c>
      <c r="AP410" s="22" t="s">
        <v>1318</v>
      </c>
      <c r="AQ410" s="22" t="s">
        <v>1318</v>
      </c>
      <c r="AR410" s="22" t="s">
        <v>1315</v>
      </c>
      <c r="AS410" s="22" t="s">
        <v>1315</v>
      </c>
      <c r="AT410" s="22" t="s">
        <v>1309</v>
      </c>
      <c r="AU410" s="22" t="s">
        <v>1309</v>
      </c>
      <c r="AV410" s="22" t="s">
        <v>1315</v>
      </c>
      <c r="AW410" s="22" t="s">
        <v>1315</v>
      </c>
      <c r="AX410" s="22" t="s">
        <v>1315</v>
      </c>
      <c r="AY410" s="22" t="s">
        <v>1315</v>
      </c>
      <c r="AZ410" s="22" t="s">
        <v>1309</v>
      </c>
      <c r="BA410" s="22" t="s">
        <v>1309</v>
      </c>
      <c r="BB410" s="22" t="s">
        <v>1309</v>
      </c>
      <c r="BC410" s="22" t="s">
        <v>1309</v>
      </c>
      <c r="BD410" s="22" t="s">
        <v>1309</v>
      </c>
      <c r="BE410" s="22" t="s">
        <v>1309</v>
      </c>
      <c r="BF410" s="22" t="s">
        <v>1315</v>
      </c>
      <c r="BG410" s="22" t="s">
        <v>1315</v>
      </c>
      <c r="BH410" s="22" t="s">
        <v>1309</v>
      </c>
      <c r="BI410" s="22" t="s">
        <v>1309</v>
      </c>
      <c r="BJ410" s="22" t="s">
        <v>1315</v>
      </c>
      <c r="BK410" s="22" t="s">
        <v>1315</v>
      </c>
      <c r="BL410" s="22" t="s">
        <v>1315</v>
      </c>
      <c r="BM410" s="22" t="s">
        <v>1315</v>
      </c>
      <c r="BN410" s="22" t="s">
        <v>1315</v>
      </c>
      <c r="BO410" s="22" t="s">
        <v>1315</v>
      </c>
      <c r="BP410" s="22" t="s">
        <v>1315</v>
      </c>
      <c r="BQ410" s="22" t="s">
        <v>1315</v>
      </c>
      <c r="BR410" s="22" t="s">
        <v>1309</v>
      </c>
      <c r="BS410" s="22" t="s">
        <v>1309</v>
      </c>
      <c r="BT410" s="22" t="s">
        <v>1309</v>
      </c>
      <c r="BU410" s="22" t="s">
        <v>1309</v>
      </c>
      <c r="BV410" s="22" t="s">
        <v>1309</v>
      </c>
      <c r="BW410" s="22" t="s">
        <v>1309</v>
      </c>
      <c r="BX410" s="20">
        <v>22</v>
      </c>
      <c r="BY410" s="20">
        <v>0</v>
      </c>
      <c r="BZ410" s="20">
        <v>30</v>
      </c>
      <c r="CA410" s="20">
        <v>2</v>
      </c>
      <c r="CB410" s="20">
        <v>1</v>
      </c>
      <c r="CC410" s="20">
        <v>543</v>
      </c>
      <c r="CD410" s="22" t="s">
        <v>1317</v>
      </c>
      <c r="CE410" s="22" t="s">
        <v>1340</v>
      </c>
      <c r="CF410" s="22" t="s">
        <v>1320</v>
      </c>
      <c r="CG410" s="22" t="s">
        <v>1340</v>
      </c>
      <c r="CH410" s="22" t="s">
        <v>1315</v>
      </c>
      <c r="CI410" s="22" t="s">
        <v>1318</v>
      </c>
      <c r="CJ410" s="149" t="s">
        <v>4614</v>
      </c>
      <c r="CK410" s="241" t="s">
        <v>1124</v>
      </c>
    </row>
    <row r="411" spans="1:89" ht="15" customHeight="1" x14ac:dyDescent="0.35">
      <c r="A411" s="17"/>
      <c r="B411" s="313">
        <v>80085</v>
      </c>
      <c r="C411" s="8" t="s">
        <v>816</v>
      </c>
      <c r="D411" s="18">
        <v>7</v>
      </c>
      <c r="E411" s="131"/>
      <c r="F411" s="22"/>
      <c r="G411" s="132"/>
      <c r="H411" s="22"/>
      <c r="I411" s="22"/>
      <c r="J411" s="22"/>
      <c r="K411" s="22"/>
      <c r="L411" s="22"/>
      <c r="M411" s="133"/>
      <c r="N411" s="22"/>
      <c r="O411" s="22"/>
      <c r="P411" s="22"/>
      <c r="Q411" s="20"/>
      <c r="R411" s="20"/>
      <c r="S411" s="20"/>
      <c r="T411" s="20"/>
      <c r="U411" s="20"/>
      <c r="V411" s="20"/>
      <c r="W411" s="20"/>
      <c r="X411" s="20"/>
      <c r="Y411" s="20"/>
      <c r="Z411" s="20"/>
      <c r="AA411" s="20"/>
      <c r="AB411" s="22"/>
      <c r="AC411" s="20"/>
      <c r="AD411" s="20"/>
      <c r="AE411" s="20"/>
      <c r="AF411" s="20" t="s">
        <v>1124</v>
      </c>
      <c r="AG411" s="20" t="s">
        <v>1124</v>
      </c>
      <c r="AH411" s="20" t="s">
        <v>1124</v>
      </c>
      <c r="AI411" s="328"/>
      <c r="AJ411" s="328"/>
      <c r="AK411" s="328"/>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0"/>
      <c r="BY411" s="20"/>
      <c r="BZ411" s="20"/>
      <c r="CA411" s="20"/>
      <c r="CB411" s="20"/>
      <c r="CC411" s="20"/>
      <c r="CD411" s="22"/>
      <c r="CE411" s="22"/>
      <c r="CF411" s="22"/>
      <c r="CG411" s="22"/>
      <c r="CH411" s="22"/>
      <c r="CI411" s="22"/>
      <c r="CJ411" s="149"/>
      <c r="CK411" s="241"/>
    </row>
    <row r="412" spans="1:89" ht="15" customHeight="1" x14ac:dyDescent="0.35">
      <c r="A412" s="17"/>
      <c r="B412" s="313">
        <v>3025</v>
      </c>
      <c r="C412" s="8" t="s">
        <v>1035</v>
      </c>
      <c r="D412" s="18">
        <v>11</v>
      </c>
      <c r="E412" s="131" t="s">
        <v>1309</v>
      </c>
      <c r="F412" s="22" t="s">
        <v>1309</v>
      </c>
      <c r="G412" s="132" t="s">
        <v>1309</v>
      </c>
      <c r="H412" s="22" t="s">
        <v>1311</v>
      </c>
      <c r="I412" s="22" t="s">
        <v>1327</v>
      </c>
      <c r="J412" s="22" t="s">
        <v>1327</v>
      </c>
      <c r="K412" s="22" t="s">
        <v>1309</v>
      </c>
      <c r="L412" s="22" t="s">
        <v>1309</v>
      </c>
      <c r="M412" s="133" t="s">
        <v>1311</v>
      </c>
      <c r="N412" s="22" t="s">
        <v>1311</v>
      </c>
      <c r="O412" s="22" t="s">
        <v>1314</v>
      </c>
      <c r="P412" s="22" t="s">
        <v>1318</v>
      </c>
      <c r="Q412" s="20">
        <v>0</v>
      </c>
      <c r="R412" s="20">
        <v>0</v>
      </c>
      <c r="S412" s="20">
        <v>0</v>
      </c>
      <c r="T412" s="20">
        <v>0</v>
      </c>
      <c r="U412" s="20">
        <v>14.04</v>
      </c>
      <c r="V412" s="20">
        <v>14.04</v>
      </c>
      <c r="W412" s="20">
        <v>0</v>
      </c>
      <c r="X412" s="20">
        <v>0</v>
      </c>
      <c r="Y412" s="20">
        <v>0</v>
      </c>
      <c r="Z412" s="20">
        <v>0</v>
      </c>
      <c r="AA412" s="20" t="s">
        <v>1317</v>
      </c>
      <c r="AB412" s="22" t="s">
        <v>1318</v>
      </c>
      <c r="AC412" s="20">
        <v>2</v>
      </c>
      <c r="AD412" s="20">
        <v>2</v>
      </c>
      <c r="AE412" s="20">
        <v>0</v>
      </c>
      <c r="AF412" s="20">
        <v>14</v>
      </c>
      <c r="AG412" s="20">
        <v>14</v>
      </c>
      <c r="AH412" s="20">
        <v>0</v>
      </c>
      <c r="AI412" s="328">
        <v>14.245014245014247</v>
      </c>
      <c r="AJ412" s="328">
        <v>5.5248618784530388</v>
      </c>
      <c r="AK412" s="328" t="s">
        <v>1328</v>
      </c>
      <c r="AL412" s="22" t="s">
        <v>1338</v>
      </c>
      <c r="AM412" s="22" t="s">
        <v>1339</v>
      </c>
      <c r="AN412" s="22" t="s">
        <v>1317</v>
      </c>
      <c r="AO412" s="22" t="s">
        <v>1318</v>
      </c>
      <c r="AP412" s="22" t="s">
        <v>1318</v>
      </c>
      <c r="AQ412" s="22" t="s">
        <v>1318</v>
      </c>
      <c r="AR412" s="22" t="s">
        <v>1317</v>
      </c>
      <c r="AS412" s="22" t="s">
        <v>1318</v>
      </c>
      <c r="AT412" s="22" t="s">
        <v>1309</v>
      </c>
      <c r="AU412" s="22" t="s">
        <v>1309</v>
      </c>
      <c r="AV412" s="22" t="s">
        <v>1317</v>
      </c>
      <c r="AW412" s="22" t="s">
        <v>1318</v>
      </c>
      <c r="AX412" s="22" t="s">
        <v>1317</v>
      </c>
      <c r="AY412" s="22" t="s">
        <v>1318</v>
      </c>
      <c r="AZ412" s="22" t="s">
        <v>1309</v>
      </c>
      <c r="BA412" s="22" t="s">
        <v>1309</v>
      </c>
      <c r="BB412" s="22" t="s">
        <v>1317</v>
      </c>
      <c r="BC412" s="22" t="s">
        <v>1318</v>
      </c>
      <c r="BD412" s="22" t="s">
        <v>1317</v>
      </c>
      <c r="BE412" s="22" t="s">
        <v>1318</v>
      </c>
      <c r="BF412" s="22" t="s">
        <v>1309</v>
      </c>
      <c r="BG412" s="22" t="s">
        <v>1309</v>
      </c>
      <c r="BH412" s="22" t="s">
        <v>1317</v>
      </c>
      <c r="BI412" s="22" t="s">
        <v>1318</v>
      </c>
      <c r="BJ412" s="22" t="s">
        <v>1309</v>
      </c>
      <c r="BK412" s="22" t="s">
        <v>1309</v>
      </c>
      <c r="BL412" s="22" t="s">
        <v>1317</v>
      </c>
      <c r="BM412" s="22" t="s">
        <v>1318</v>
      </c>
      <c r="BN412" s="22" t="s">
        <v>1309</v>
      </c>
      <c r="BO412" s="22" t="s">
        <v>1309</v>
      </c>
      <c r="BP412" s="22" t="s">
        <v>1309</v>
      </c>
      <c r="BQ412" s="22" t="s">
        <v>1309</v>
      </c>
      <c r="BR412" s="22" t="s">
        <v>1317</v>
      </c>
      <c r="BS412" s="22" t="s">
        <v>1318</v>
      </c>
      <c r="BT412" s="22" t="s">
        <v>1315</v>
      </c>
      <c r="BU412" s="22" t="s">
        <v>1315</v>
      </c>
      <c r="BV412" s="22" t="s">
        <v>1317</v>
      </c>
      <c r="BW412" s="22" t="s">
        <v>1318</v>
      </c>
      <c r="BX412" s="20">
        <v>14</v>
      </c>
      <c r="BY412" s="20">
        <v>9</v>
      </c>
      <c r="BZ412" s="20">
        <v>0</v>
      </c>
      <c r="CA412" s="20">
        <v>8</v>
      </c>
      <c r="CB412" s="20">
        <v>12</v>
      </c>
      <c r="CC412" s="20">
        <v>319</v>
      </c>
      <c r="CD412" s="22" t="s">
        <v>1320</v>
      </c>
      <c r="CE412" s="22" t="s">
        <v>1331</v>
      </c>
      <c r="CF412" s="22" t="s">
        <v>1320</v>
      </c>
      <c r="CG412" s="22" t="s">
        <v>1331</v>
      </c>
      <c r="CH412" s="22" t="s">
        <v>1317</v>
      </c>
      <c r="CI412" s="22" t="s">
        <v>1318</v>
      </c>
      <c r="CJ412" s="149" t="s">
        <v>2260</v>
      </c>
      <c r="CK412" s="241" t="s">
        <v>2261</v>
      </c>
    </row>
    <row r="413" spans="1:89" ht="15" customHeight="1" x14ac:dyDescent="0.35">
      <c r="A413" s="17"/>
      <c r="B413" s="313">
        <v>80110</v>
      </c>
      <c r="C413" s="8" t="s">
        <v>820</v>
      </c>
      <c r="D413" s="18">
        <v>7</v>
      </c>
      <c r="E413" s="131"/>
      <c r="F413" s="22"/>
      <c r="G413" s="132"/>
      <c r="H413" s="22"/>
      <c r="I413" s="22"/>
      <c r="J413" s="22"/>
      <c r="K413" s="22"/>
      <c r="L413" s="22"/>
      <c r="M413" s="133"/>
      <c r="N413" s="22"/>
      <c r="O413" s="22"/>
      <c r="P413" s="22"/>
      <c r="Q413" s="20"/>
      <c r="R413" s="20"/>
      <c r="S413" s="20"/>
      <c r="T413" s="20"/>
      <c r="U413" s="20"/>
      <c r="V413" s="20"/>
      <c r="W413" s="20"/>
      <c r="X413" s="20"/>
      <c r="Y413" s="20"/>
      <c r="Z413" s="20"/>
      <c r="AA413" s="20"/>
      <c r="AB413" s="22"/>
      <c r="AC413" s="20"/>
      <c r="AD413" s="20"/>
      <c r="AE413" s="20"/>
      <c r="AF413" s="20" t="s">
        <v>1124</v>
      </c>
      <c r="AG413" s="20" t="s">
        <v>1124</v>
      </c>
      <c r="AH413" s="20" t="s">
        <v>1124</v>
      </c>
      <c r="AI413" s="328"/>
      <c r="AJ413" s="328"/>
      <c r="AK413" s="328"/>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0"/>
      <c r="BY413" s="20"/>
      <c r="BZ413" s="20"/>
      <c r="CA413" s="20"/>
      <c r="CB413" s="20"/>
      <c r="CC413" s="20"/>
      <c r="CD413" s="22"/>
      <c r="CE413" s="22"/>
      <c r="CF413" s="22"/>
      <c r="CG413" s="22"/>
      <c r="CH413" s="22"/>
      <c r="CI413" s="22"/>
      <c r="CJ413" s="149"/>
      <c r="CK413" s="241"/>
    </row>
    <row r="414" spans="1:89" ht="15" customHeight="1" x14ac:dyDescent="0.35">
      <c r="A414" s="17"/>
      <c r="B414" s="313">
        <v>30045</v>
      </c>
      <c r="C414" s="8" t="s">
        <v>225</v>
      </c>
      <c r="D414" s="18">
        <v>5</v>
      </c>
      <c r="E414" s="131" t="s">
        <v>1309</v>
      </c>
      <c r="F414" s="22" t="s">
        <v>1309</v>
      </c>
      <c r="G414" s="132" t="s">
        <v>1309</v>
      </c>
      <c r="H414" s="22" t="s">
        <v>1311</v>
      </c>
      <c r="I414" s="22" t="s">
        <v>1312</v>
      </c>
      <c r="J414" s="22" t="s">
        <v>1327</v>
      </c>
      <c r="K414" s="22" t="s">
        <v>1319</v>
      </c>
      <c r="L414" s="22" t="s">
        <v>1309</v>
      </c>
      <c r="M414" s="133" t="s">
        <v>1311</v>
      </c>
      <c r="N414" s="22" t="s">
        <v>1311</v>
      </c>
      <c r="O414" s="22" t="s">
        <v>1315</v>
      </c>
      <c r="P414" s="22" t="s">
        <v>1315</v>
      </c>
      <c r="Q414" s="20">
        <v>3.7149999999999999</v>
      </c>
      <c r="R414" s="20">
        <v>3.7149999999999999</v>
      </c>
      <c r="S414" s="20">
        <v>4.375</v>
      </c>
      <c r="T414" s="20">
        <v>4.375</v>
      </c>
      <c r="U414" s="20">
        <v>0</v>
      </c>
      <c r="V414" s="20">
        <v>0</v>
      </c>
      <c r="W414" s="20">
        <v>0</v>
      </c>
      <c r="X414" s="20">
        <v>0</v>
      </c>
      <c r="Y414" s="20">
        <v>0</v>
      </c>
      <c r="Z414" s="20">
        <v>0</v>
      </c>
      <c r="AA414" s="20" t="s">
        <v>1317</v>
      </c>
      <c r="AB414" s="22" t="s">
        <v>1318</v>
      </c>
      <c r="AC414" s="20">
        <v>0</v>
      </c>
      <c r="AD414" s="20">
        <v>0</v>
      </c>
      <c r="AE414" s="20">
        <v>1</v>
      </c>
      <c r="AF414" s="20">
        <v>0</v>
      </c>
      <c r="AG414" s="20">
        <v>0</v>
      </c>
      <c r="AH414" s="20">
        <v>20</v>
      </c>
      <c r="AI414" s="328" t="s">
        <v>1328</v>
      </c>
      <c r="AJ414" s="328" t="s">
        <v>1328</v>
      </c>
      <c r="AK414" s="328">
        <v>3.0303030303030303</v>
      </c>
      <c r="AL414" s="22" t="s">
        <v>1329</v>
      </c>
      <c r="AM414" s="22" t="s">
        <v>1330</v>
      </c>
      <c r="AN414" s="22" t="s">
        <v>1317</v>
      </c>
      <c r="AO414" s="22" t="s">
        <v>1318</v>
      </c>
      <c r="AP414" s="22" t="s">
        <v>1318</v>
      </c>
      <c r="AQ414" s="22" t="s">
        <v>1318</v>
      </c>
      <c r="AR414" s="22" t="s">
        <v>1317</v>
      </c>
      <c r="AS414" s="22" t="s">
        <v>1318</v>
      </c>
      <c r="AT414" s="22" t="s">
        <v>1317</v>
      </c>
      <c r="AU414" s="22" t="s">
        <v>1318</v>
      </c>
      <c r="AV414" s="22" t="s">
        <v>1317</v>
      </c>
      <c r="AW414" s="22" t="s">
        <v>1318</v>
      </c>
      <c r="AX414" s="22" t="s">
        <v>1317</v>
      </c>
      <c r="AY414" s="22" t="s">
        <v>1318</v>
      </c>
      <c r="AZ414" s="22" t="s">
        <v>1317</v>
      </c>
      <c r="BA414" s="22" t="s">
        <v>1318</v>
      </c>
      <c r="BB414" s="22" t="s">
        <v>1309</v>
      </c>
      <c r="BC414" s="22" t="s">
        <v>1309</v>
      </c>
      <c r="BD414" s="22" t="s">
        <v>1317</v>
      </c>
      <c r="BE414" s="22" t="s">
        <v>1318</v>
      </c>
      <c r="BF414" s="22" t="s">
        <v>1317</v>
      </c>
      <c r="BG414" s="22" t="s">
        <v>1318</v>
      </c>
      <c r="BH414" s="22" t="s">
        <v>1317</v>
      </c>
      <c r="BI414" s="22" t="s">
        <v>1318</v>
      </c>
      <c r="BJ414" s="22" t="s">
        <v>1317</v>
      </c>
      <c r="BK414" s="22" t="s">
        <v>1318</v>
      </c>
      <c r="BL414" s="22" t="s">
        <v>1317</v>
      </c>
      <c r="BM414" s="22" t="s">
        <v>1318</v>
      </c>
      <c r="BN414" s="22" t="s">
        <v>1309</v>
      </c>
      <c r="BO414" s="22" t="s">
        <v>1309</v>
      </c>
      <c r="BP414" s="22" t="s">
        <v>1317</v>
      </c>
      <c r="BQ414" s="22" t="s">
        <v>1318</v>
      </c>
      <c r="BR414" s="22" t="s">
        <v>1317</v>
      </c>
      <c r="BS414" s="22" t="s">
        <v>1318</v>
      </c>
      <c r="BT414" s="22" t="s">
        <v>1317</v>
      </c>
      <c r="BU414" s="22" t="s">
        <v>1318</v>
      </c>
      <c r="BV414" s="22" t="s">
        <v>1317</v>
      </c>
      <c r="BW414" s="22" t="s">
        <v>1318</v>
      </c>
      <c r="BX414" s="20">
        <v>0</v>
      </c>
      <c r="BY414" s="20">
        <v>0</v>
      </c>
      <c r="BZ414" s="20">
        <v>53</v>
      </c>
      <c r="CA414" s="20">
        <v>0</v>
      </c>
      <c r="CB414" s="20">
        <v>0</v>
      </c>
      <c r="CC414" s="20">
        <v>268</v>
      </c>
      <c r="CD414" s="22" t="s">
        <v>1317</v>
      </c>
      <c r="CE414" s="22" t="s">
        <v>1318</v>
      </c>
      <c r="CF414" s="22" t="s">
        <v>1317</v>
      </c>
      <c r="CG414" s="22" t="s">
        <v>1318</v>
      </c>
      <c r="CH414" s="22" t="s">
        <v>1317</v>
      </c>
      <c r="CI414" s="22" t="s">
        <v>1318</v>
      </c>
      <c r="CJ414" s="149" t="s">
        <v>2267</v>
      </c>
      <c r="CK414" s="241" t="s">
        <v>1124</v>
      </c>
    </row>
    <row r="415" spans="1:89" ht="15" customHeight="1" x14ac:dyDescent="0.35">
      <c r="A415" s="17"/>
      <c r="B415" s="313">
        <v>68030</v>
      </c>
      <c r="C415" s="8" t="s">
        <v>678</v>
      </c>
      <c r="D415" s="18">
        <v>16</v>
      </c>
      <c r="E415" s="131" t="s">
        <v>1319</v>
      </c>
      <c r="F415" s="22" t="s">
        <v>1490</v>
      </c>
      <c r="G415" s="132" t="s">
        <v>1309</v>
      </c>
      <c r="H415" s="22" t="s">
        <v>1311</v>
      </c>
      <c r="I415" s="22" t="s">
        <v>1327</v>
      </c>
      <c r="J415" s="22" t="s">
        <v>1327</v>
      </c>
      <c r="K415" s="22" t="s">
        <v>1314</v>
      </c>
      <c r="L415" s="22" t="s">
        <v>1311</v>
      </c>
      <c r="M415" s="133" t="s">
        <v>1311</v>
      </c>
      <c r="N415" s="22" t="s">
        <v>1311</v>
      </c>
      <c r="O415" s="22" t="s">
        <v>1314</v>
      </c>
      <c r="P415" s="22" t="s">
        <v>1318</v>
      </c>
      <c r="Q415" s="20">
        <v>0</v>
      </c>
      <c r="R415" s="20">
        <v>0</v>
      </c>
      <c r="S415" s="20">
        <v>46.067999999999998</v>
      </c>
      <c r="T415" s="20">
        <v>61.427999999999997</v>
      </c>
      <c r="U415" s="20">
        <v>0</v>
      </c>
      <c r="V415" s="20">
        <v>0</v>
      </c>
      <c r="W415" s="20">
        <v>0</v>
      </c>
      <c r="X415" s="20">
        <v>0</v>
      </c>
      <c r="Y415" s="20">
        <v>0</v>
      </c>
      <c r="Z415" s="20">
        <v>0</v>
      </c>
      <c r="AA415" s="20" t="s">
        <v>1317</v>
      </c>
      <c r="AB415" s="22" t="s">
        <v>1311</v>
      </c>
      <c r="AC415" s="20">
        <v>5</v>
      </c>
      <c r="AD415" s="20">
        <v>0</v>
      </c>
      <c r="AE415" s="20">
        <v>0</v>
      </c>
      <c r="AF415" s="20">
        <v>1</v>
      </c>
      <c r="AG415" s="20">
        <v>0</v>
      </c>
      <c r="AH415" s="20">
        <v>0</v>
      </c>
      <c r="AI415" s="328">
        <v>16.280281323261267</v>
      </c>
      <c r="AJ415" s="328" t="s">
        <v>1328</v>
      </c>
      <c r="AK415" s="328" t="s">
        <v>1328</v>
      </c>
      <c r="AL415" s="22" t="s">
        <v>1329</v>
      </c>
      <c r="AM415" s="22" t="s">
        <v>1330</v>
      </c>
      <c r="AN415" s="22" t="s">
        <v>1317</v>
      </c>
      <c r="AO415" s="22" t="s">
        <v>1318</v>
      </c>
      <c r="AP415" s="22" t="s">
        <v>1318</v>
      </c>
      <c r="AQ415" s="22" t="s">
        <v>1318</v>
      </c>
      <c r="AR415" s="22" t="s">
        <v>1317</v>
      </c>
      <c r="AS415" s="22" t="s">
        <v>1318</v>
      </c>
      <c r="AT415" s="22" t="s">
        <v>1317</v>
      </c>
      <c r="AU415" s="22" t="s">
        <v>1318</v>
      </c>
      <c r="AV415" s="22" t="s">
        <v>1317</v>
      </c>
      <c r="AW415" s="22" t="s">
        <v>1318</v>
      </c>
      <c r="AX415" s="22" t="s">
        <v>1317</v>
      </c>
      <c r="AY415" s="22" t="s">
        <v>1318</v>
      </c>
      <c r="AZ415" s="22" t="s">
        <v>1309</v>
      </c>
      <c r="BA415" s="22" t="s">
        <v>1309</v>
      </c>
      <c r="BB415" s="22" t="s">
        <v>1309</v>
      </c>
      <c r="BC415" s="22" t="s">
        <v>1309</v>
      </c>
      <c r="BD415" s="22" t="s">
        <v>1317</v>
      </c>
      <c r="BE415" s="22" t="s">
        <v>1318</v>
      </c>
      <c r="BF415" s="22" t="s">
        <v>1317</v>
      </c>
      <c r="BG415" s="22" t="s">
        <v>1318</v>
      </c>
      <c r="BH415" s="22" t="s">
        <v>1309</v>
      </c>
      <c r="BI415" s="22" t="s">
        <v>1309</v>
      </c>
      <c r="BJ415" s="22" t="s">
        <v>1309</v>
      </c>
      <c r="BK415" s="22" t="s">
        <v>1309</v>
      </c>
      <c r="BL415" s="22" t="s">
        <v>1309</v>
      </c>
      <c r="BM415" s="22" t="s">
        <v>1309</v>
      </c>
      <c r="BN415" s="22" t="s">
        <v>1309</v>
      </c>
      <c r="BO415" s="22" t="s">
        <v>1309</v>
      </c>
      <c r="BP415" s="22" t="s">
        <v>1309</v>
      </c>
      <c r="BQ415" s="22" t="s">
        <v>1309</v>
      </c>
      <c r="BR415" s="22" t="s">
        <v>1309</v>
      </c>
      <c r="BS415" s="22" t="s">
        <v>1309</v>
      </c>
      <c r="BT415" s="22" t="s">
        <v>1309</v>
      </c>
      <c r="BU415" s="22" t="s">
        <v>1309</v>
      </c>
      <c r="BV415" s="22" t="s">
        <v>1309</v>
      </c>
      <c r="BW415" s="22" t="s">
        <v>1309</v>
      </c>
      <c r="BX415" s="20">
        <v>3</v>
      </c>
      <c r="BY415" s="20">
        <v>2</v>
      </c>
      <c r="BZ415" s="20">
        <v>87</v>
      </c>
      <c r="CA415" s="20">
        <v>0</v>
      </c>
      <c r="CB415" s="20">
        <v>0</v>
      </c>
      <c r="CC415" s="20">
        <v>1438</v>
      </c>
      <c r="CD415" s="22" t="s">
        <v>1320</v>
      </c>
      <c r="CE415" s="22" t="s">
        <v>1318</v>
      </c>
      <c r="CF415" s="22" t="s">
        <v>1317</v>
      </c>
      <c r="CG415" s="22" t="s">
        <v>1318</v>
      </c>
      <c r="CH415" s="22" t="s">
        <v>1317</v>
      </c>
      <c r="CI415" s="22" t="s">
        <v>1318</v>
      </c>
      <c r="CJ415" s="149" t="s">
        <v>2271</v>
      </c>
      <c r="CK415" s="241" t="s">
        <v>2272</v>
      </c>
    </row>
    <row r="416" spans="1:89" ht="15" customHeight="1" x14ac:dyDescent="0.35">
      <c r="A416" s="17"/>
      <c r="B416" s="313">
        <v>98025</v>
      </c>
      <c r="C416" s="8" t="s">
        <v>1012</v>
      </c>
      <c r="D416" s="18">
        <v>9</v>
      </c>
      <c r="E416" s="131"/>
      <c r="F416" s="22"/>
      <c r="G416" s="132"/>
      <c r="H416" s="22"/>
      <c r="I416" s="22"/>
      <c r="J416" s="22"/>
      <c r="K416" s="22"/>
      <c r="L416" s="22"/>
      <c r="M416" s="133"/>
      <c r="N416" s="22"/>
      <c r="O416" s="22"/>
      <c r="P416" s="22"/>
      <c r="Q416" s="20"/>
      <c r="R416" s="20"/>
      <c r="S416" s="20"/>
      <c r="T416" s="20"/>
      <c r="U416" s="20"/>
      <c r="V416" s="20"/>
      <c r="W416" s="20"/>
      <c r="X416" s="20"/>
      <c r="Y416" s="20"/>
      <c r="Z416" s="20"/>
      <c r="AA416" s="20"/>
      <c r="AB416" s="22"/>
      <c r="AC416" s="20"/>
      <c r="AD416" s="20"/>
      <c r="AE416" s="20"/>
      <c r="AF416" s="20" t="s">
        <v>1124</v>
      </c>
      <c r="AG416" s="20" t="s">
        <v>1124</v>
      </c>
      <c r="AH416" s="20" t="s">
        <v>1124</v>
      </c>
      <c r="AI416" s="328"/>
      <c r="AJ416" s="328"/>
      <c r="AK416" s="328"/>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0"/>
      <c r="BY416" s="20"/>
      <c r="BZ416" s="20"/>
      <c r="CA416" s="20"/>
      <c r="CB416" s="20"/>
      <c r="CC416" s="20"/>
      <c r="CD416" s="22"/>
      <c r="CE416" s="22"/>
      <c r="CF416" s="22"/>
      <c r="CG416" s="22"/>
      <c r="CH416" s="22"/>
      <c r="CI416" s="22"/>
      <c r="CJ416" s="149"/>
      <c r="CK416" s="241"/>
    </row>
    <row r="417" spans="1:89" ht="15" customHeight="1" x14ac:dyDescent="0.35">
      <c r="A417" s="17"/>
      <c r="B417" s="313">
        <v>85100</v>
      </c>
      <c r="C417" s="8" t="s">
        <v>887</v>
      </c>
      <c r="D417" s="18">
        <v>8</v>
      </c>
      <c r="E417" s="131" t="s">
        <v>1319</v>
      </c>
      <c r="F417" s="22" t="s">
        <v>1310</v>
      </c>
      <c r="G417" s="132" t="s">
        <v>1315</v>
      </c>
      <c r="H417" s="22" t="s">
        <v>1311</v>
      </c>
      <c r="I417" s="22" t="s">
        <v>1327</v>
      </c>
      <c r="J417" s="22" t="s">
        <v>1318</v>
      </c>
      <c r="K417" s="22" t="s">
        <v>1309</v>
      </c>
      <c r="L417" s="22" t="s">
        <v>1309</v>
      </c>
      <c r="M417" s="133" t="s">
        <v>1311</v>
      </c>
      <c r="N417" s="22" t="s">
        <v>1311</v>
      </c>
      <c r="O417" s="22" t="s">
        <v>1315</v>
      </c>
      <c r="P417" s="22" t="s">
        <v>1315</v>
      </c>
      <c r="Q417" s="20">
        <v>0</v>
      </c>
      <c r="R417" s="20">
        <v>0</v>
      </c>
      <c r="S417" s="20">
        <v>0</v>
      </c>
      <c r="T417" s="20">
        <v>0</v>
      </c>
      <c r="U417" s="20">
        <v>0</v>
      </c>
      <c r="V417" s="20">
        <v>0</v>
      </c>
      <c r="W417" s="20">
        <v>0</v>
      </c>
      <c r="X417" s="20">
        <v>0</v>
      </c>
      <c r="Y417" s="20">
        <v>0</v>
      </c>
      <c r="Z417" s="20">
        <v>0</v>
      </c>
      <c r="AA417" s="20" t="s">
        <v>1315</v>
      </c>
      <c r="AB417" s="22" t="s">
        <v>1315</v>
      </c>
      <c r="AC417" s="20">
        <v>0</v>
      </c>
      <c r="AD417" s="20">
        <v>0</v>
      </c>
      <c r="AE417" s="20">
        <v>0</v>
      </c>
      <c r="AF417" s="20">
        <v>0</v>
      </c>
      <c r="AG417" s="20">
        <v>0</v>
      </c>
      <c r="AH417" s="20">
        <v>0</v>
      </c>
      <c r="AI417" s="328" t="s">
        <v>1328</v>
      </c>
      <c r="AJ417" s="328" t="s">
        <v>1328</v>
      </c>
      <c r="AK417" s="328" t="s">
        <v>1328</v>
      </c>
      <c r="AL417" s="22" t="s">
        <v>1315</v>
      </c>
      <c r="AM417" s="22" t="s">
        <v>1315</v>
      </c>
      <c r="AN417" s="22" t="s">
        <v>1315</v>
      </c>
      <c r="AO417" s="22" t="s">
        <v>1315</v>
      </c>
      <c r="AP417" s="22" t="s">
        <v>1318</v>
      </c>
      <c r="AQ417" s="22" t="s">
        <v>1318</v>
      </c>
      <c r="AR417" s="22" t="s">
        <v>1317</v>
      </c>
      <c r="AS417" s="22" t="s">
        <v>1318</v>
      </c>
      <c r="AT417" s="22" t="s">
        <v>1309</v>
      </c>
      <c r="AU417" s="22" t="s">
        <v>1309</v>
      </c>
      <c r="AV417" s="22" t="s">
        <v>1317</v>
      </c>
      <c r="AW417" s="22" t="s">
        <v>1318</v>
      </c>
      <c r="AX417" s="22" t="s">
        <v>1317</v>
      </c>
      <c r="AY417" s="22" t="s">
        <v>1318</v>
      </c>
      <c r="AZ417" s="22" t="s">
        <v>1309</v>
      </c>
      <c r="BA417" s="22" t="s">
        <v>1309</v>
      </c>
      <c r="BB417" s="22" t="s">
        <v>1309</v>
      </c>
      <c r="BC417" s="22" t="s">
        <v>1309</v>
      </c>
      <c r="BD417" s="22" t="s">
        <v>1315</v>
      </c>
      <c r="BE417" s="22" t="s">
        <v>1318</v>
      </c>
      <c r="BF417" s="22" t="s">
        <v>1315</v>
      </c>
      <c r="BG417" s="22" t="s">
        <v>1318</v>
      </c>
      <c r="BH417" s="22" t="s">
        <v>1317</v>
      </c>
      <c r="BI417" s="22" t="s">
        <v>1318</v>
      </c>
      <c r="BJ417" s="22" t="s">
        <v>1309</v>
      </c>
      <c r="BK417" s="22" t="s">
        <v>1309</v>
      </c>
      <c r="BL417" s="22" t="s">
        <v>1317</v>
      </c>
      <c r="BM417" s="22" t="s">
        <v>1318</v>
      </c>
      <c r="BN417" s="22" t="s">
        <v>1309</v>
      </c>
      <c r="BO417" s="22" t="s">
        <v>1309</v>
      </c>
      <c r="BP417" s="22" t="s">
        <v>1317</v>
      </c>
      <c r="BQ417" s="22" t="s">
        <v>1318</v>
      </c>
      <c r="BR417" s="22" t="s">
        <v>1309</v>
      </c>
      <c r="BS417" s="22" t="s">
        <v>1309</v>
      </c>
      <c r="BT417" s="22" t="s">
        <v>1309</v>
      </c>
      <c r="BU417" s="22" t="s">
        <v>1309</v>
      </c>
      <c r="BV417" s="22" t="s">
        <v>1317</v>
      </c>
      <c r="BW417" s="22" t="s">
        <v>1318</v>
      </c>
      <c r="BX417" s="20">
        <v>0</v>
      </c>
      <c r="BY417" s="20">
        <v>0</v>
      </c>
      <c r="BZ417" s="20">
        <v>3</v>
      </c>
      <c r="CA417" s="20">
        <v>0</v>
      </c>
      <c r="CB417" s="20">
        <v>0</v>
      </c>
      <c r="CC417" s="20">
        <v>82</v>
      </c>
      <c r="CD417" s="22" t="s">
        <v>1317</v>
      </c>
      <c r="CE417" s="22" t="s">
        <v>1340</v>
      </c>
      <c r="CF417" s="22" t="s">
        <v>1317</v>
      </c>
      <c r="CG417" s="22" t="s">
        <v>1318</v>
      </c>
      <c r="CH417" s="22" t="s">
        <v>1317</v>
      </c>
      <c r="CI417" s="22" t="s">
        <v>1318</v>
      </c>
      <c r="CJ417" s="149" t="s">
        <v>1124</v>
      </c>
      <c r="CK417" s="241" t="s">
        <v>1750</v>
      </c>
    </row>
    <row r="418" spans="1:89" ht="15" customHeight="1" x14ac:dyDescent="0.35">
      <c r="A418" s="17"/>
      <c r="B418" s="313">
        <v>34007</v>
      </c>
      <c r="C418" s="8" t="s">
        <v>285</v>
      </c>
      <c r="D418" s="18">
        <v>3</v>
      </c>
      <c r="E418" s="131" t="s">
        <v>1309</v>
      </c>
      <c r="F418" s="22" t="s">
        <v>1309</v>
      </c>
      <c r="G418" s="132" t="s">
        <v>1309</v>
      </c>
      <c r="H418" s="22" t="s">
        <v>1311</v>
      </c>
      <c r="I418" s="22" t="s">
        <v>1327</v>
      </c>
      <c r="J418" s="22" t="s">
        <v>1327</v>
      </c>
      <c r="K418" s="22" t="s">
        <v>1319</v>
      </c>
      <c r="L418" s="22" t="s">
        <v>1311</v>
      </c>
      <c r="M418" s="133" t="s">
        <v>1311</v>
      </c>
      <c r="N418" s="22" t="s">
        <v>1311</v>
      </c>
      <c r="O418" s="22" t="s">
        <v>1314</v>
      </c>
      <c r="P418" s="22" t="s">
        <v>1318</v>
      </c>
      <c r="Q418" s="20">
        <v>0</v>
      </c>
      <c r="R418" s="20">
        <v>0</v>
      </c>
      <c r="S418" s="20">
        <v>0</v>
      </c>
      <c r="T418" s="20">
        <v>0</v>
      </c>
      <c r="U418" s="20">
        <v>0</v>
      </c>
      <c r="V418" s="20">
        <v>0</v>
      </c>
      <c r="W418" s="20">
        <v>0</v>
      </c>
      <c r="X418" s="20">
        <v>0</v>
      </c>
      <c r="Y418" s="20">
        <v>0</v>
      </c>
      <c r="Z418" s="20">
        <v>0</v>
      </c>
      <c r="AA418" s="20" t="s">
        <v>1317</v>
      </c>
      <c r="AB418" s="22" t="s">
        <v>1318</v>
      </c>
      <c r="AC418" s="20">
        <v>0</v>
      </c>
      <c r="AD418" s="20">
        <v>0</v>
      </c>
      <c r="AE418" s="20">
        <v>0</v>
      </c>
      <c r="AF418" s="20">
        <v>0</v>
      </c>
      <c r="AG418" s="20">
        <v>0</v>
      </c>
      <c r="AH418" s="20">
        <v>0</v>
      </c>
      <c r="AI418" s="328" t="s">
        <v>1328</v>
      </c>
      <c r="AJ418" s="328" t="s">
        <v>1328</v>
      </c>
      <c r="AK418" s="328" t="s">
        <v>1328</v>
      </c>
      <c r="AL418" s="22" t="s">
        <v>1329</v>
      </c>
      <c r="AM418" s="22" t="s">
        <v>1330</v>
      </c>
      <c r="AN418" s="22" t="s">
        <v>1317</v>
      </c>
      <c r="AO418" s="22" t="s">
        <v>1318</v>
      </c>
      <c r="AP418" s="22" t="s">
        <v>1318</v>
      </c>
      <c r="AQ418" s="22" t="s">
        <v>1318</v>
      </c>
      <c r="AR418" s="22" t="s">
        <v>1317</v>
      </c>
      <c r="AS418" s="22" t="s">
        <v>1318</v>
      </c>
      <c r="AT418" s="22" t="s">
        <v>1309</v>
      </c>
      <c r="AU418" s="22" t="s">
        <v>1309</v>
      </c>
      <c r="AV418" s="22" t="s">
        <v>1317</v>
      </c>
      <c r="AW418" s="22" t="s">
        <v>1318</v>
      </c>
      <c r="AX418" s="22" t="s">
        <v>1317</v>
      </c>
      <c r="AY418" s="22" t="s">
        <v>1318</v>
      </c>
      <c r="AZ418" s="22" t="s">
        <v>1309</v>
      </c>
      <c r="BA418" s="22" t="s">
        <v>1309</v>
      </c>
      <c r="BB418" s="22" t="s">
        <v>1309</v>
      </c>
      <c r="BC418" s="22" t="s">
        <v>1309</v>
      </c>
      <c r="BD418" s="22" t="s">
        <v>1317</v>
      </c>
      <c r="BE418" s="22" t="s">
        <v>1318</v>
      </c>
      <c r="BF418" s="22" t="s">
        <v>1317</v>
      </c>
      <c r="BG418" s="22" t="s">
        <v>1318</v>
      </c>
      <c r="BH418" s="22" t="s">
        <v>1309</v>
      </c>
      <c r="BI418" s="22" t="s">
        <v>1309</v>
      </c>
      <c r="BJ418" s="22" t="s">
        <v>1317</v>
      </c>
      <c r="BK418" s="22" t="s">
        <v>1318</v>
      </c>
      <c r="BL418" s="22" t="s">
        <v>1317</v>
      </c>
      <c r="BM418" s="22" t="s">
        <v>1318</v>
      </c>
      <c r="BN418" s="22" t="s">
        <v>1317</v>
      </c>
      <c r="BO418" s="22" t="s">
        <v>1318</v>
      </c>
      <c r="BP418" s="22" t="s">
        <v>1309</v>
      </c>
      <c r="BQ418" s="22" t="s">
        <v>1309</v>
      </c>
      <c r="BR418" s="22" t="s">
        <v>1309</v>
      </c>
      <c r="BS418" s="22" t="s">
        <v>1309</v>
      </c>
      <c r="BT418" s="22" t="s">
        <v>1309</v>
      </c>
      <c r="BU418" s="22" t="s">
        <v>1309</v>
      </c>
      <c r="BV418" s="22" t="s">
        <v>1317</v>
      </c>
      <c r="BW418" s="22" t="s">
        <v>1318</v>
      </c>
      <c r="BX418" s="20">
        <v>0</v>
      </c>
      <c r="BY418" s="20">
        <v>1</v>
      </c>
      <c r="BZ418" s="20">
        <v>94</v>
      </c>
      <c r="CA418" s="20">
        <v>0</v>
      </c>
      <c r="CB418" s="20">
        <v>0</v>
      </c>
      <c r="CC418" s="20">
        <v>1159</v>
      </c>
      <c r="CD418" s="22" t="s">
        <v>1317</v>
      </c>
      <c r="CE418" s="22" t="s">
        <v>1318</v>
      </c>
      <c r="CF418" s="22" t="s">
        <v>1317</v>
      </c>
      <c r="CG418" s="22" t="s">
        <v>1318</v>
      </c>
      <c r="CH418" s="22" t="s">
        <v>1317</v>
      </c>
      <c r="CI418" s="22" t="s">
        <v>1318</v>
      </c>
      <c r="CJ418" s="149" t="s">
        <v>2279</v>
      </c>
      <c r="CK418" s="241" t="s">
        <v>1124</v>
      </c>
    </row>
    <row r="419" spans="1:89" ht="15" customHeight="1" x14ac:dyDescent="0.35">
      <c r="A419" s="17"/>
      <c r="B419" s="313">
        <v>5040</v>
      </c>
      <c r="C419" s="8" t="s">
        <v>1049</v>
      </c>
      <c r="D419" s="18">
        <v>11</v>
      </c>
      <c r="E419" s="131" t="s">
        <v>1319</v>
      </c>
      <c r="F419" s="22" t="s">
        <v>1490</v>
      </c>
      <c r="G419" s="132" t="s">
        <v>1309</v>
      </c>
      <c r="H419" s="22" t="s">
        <v>1311</v>
      </c>
      <c r="I419" s="22" t="s">
        <v>1327</v>
      </c>
      <c r="J419" s="22" t="s">
        <v>1327</v>
      </c>
      <c r="K419" s="22" t="s">
        <v>1309</v>
      </c>
      <c r="L419" s="22" t="s">
        <v>1309</v>
      </c>
      <c r="M419" s="133" t="s">
        <v>1311</v>
      </c>
      <c r="N419" s="22" t="s">
        <v>1311</v>
      </c>
      <c r="O419" s="22" t="s">
        <v>1314</v>
      </c>
      <c r="P419" s="22" t="s">
        <v>1318</v>
      </c>
      <c r="Q419" s="20">
        <v>0</v>
      </c>
      <c r="R419" s="20">
        <v>0</v>
      </c>
      <c r="S419" s="20">
        <v>0</v>
      </c>
      <c r="T419" s="20">
        <v>0</v>
      </c>
      <c r="U419" s="20">
        <v>15</v>
      </c>
      <c r="V419" s="20">
        <v>15</v>
      </c>
      <c r="W419" s="20">
        <v>0</v>
      </c>
      <c r="X419" s="20">
        <v>0</v>
      </c>
      <c r="Y419" s="20">
        <v>0</v>
      </c>
      <c r="Z419" s="20">
        <v>0</v>
      </c>
      <c r="AA419" s="20" t="s">
        <v>1317</v>
      </c>
      <c r="AB419" s="22" t="s">
        <v>1318</v>
      </c>
      <c r="AC419" s="20">
        <v>0</v>
      </c>
      <c r="AD419" s="20">
        <v>2</v>
      </c>
      <c r="AE419" s="20">
        <v>3</v>
      </c>
      <c r="AF419" s="20">
        <v>0</v>
      </c>
      <c r="AG419" s="20">
        <v>1</v>
      </c>
      <c r="AH419" s="20">
        <v>16</v>
      </c>
      <c r="AI419" s="328" t="s">
        <v>1328</v>
      </c>
      <c r="AJ419" s="328">
        <v>3.4305317324185247</v>
      </c>
      <c r="AK419" s="328">
        <v>5.1457975986277873</v>
      </c>
      <c r="AL419" s="22" t="s">
        <v>1329</v>
      </c>
      <c r="AM419" s="22" t="s">
        <v>1330</v>
      </c>
      <c r="AN419" s="22" t="s">
        <v>1317</v>
      </c>
      <c r="AO419" s="22" t="s">
        <v>1318</v>
      </c>
      <c r="AP419" s="22" t="s">
        <v>1318</v>
      </c>
      <c r="AQ419" s="22" t="s">
        <v>1318</v>
      </c>
      <c r="AR419" s="22" t="s">
        <v>1317</v>
      </c>
      <c r="AS419" s="22" t="s">
        <v>1318</v>
      </c>
      <c r="AT419" s="22" t="s">
        <v>1309</v>
      </c>
      <c r="AU419" s="22" t="s">
        <v>1309</v>
      </c>
      <c r="AV419" s="22" t="s">
        <v>1309</v>
      </c>
      <c r="AW419" s="22" t="s">
        <v>1309</v>
      </c>
      <c r="AX419" s="22" t="s">
        <v>1317</v>
      </c>
      <c r="AY419" s="22" t="s">
        <v>1318</v>
      </c>
      <c r="AZ419" s="22" t="s">
        <v>1317</v>
      </c>
      <c r="BA419" s="22" t="s">
        <v>1311</v>
      </c>
      <c r="BB419" s="22" t="s">
        <v>1309</v>
      </c>
      <c r="BC419" s="22" t="s">
        <v>1309</v>
      </c>
      <c r="BD419" s="22" t="s">
        <v>1317</v>
      </c>
      <c r="BE419" s="22" t="s">
        <v>1318</v>
      </c>
      <c r="BF419" s="22" t="s">
        <v>1317</v>
      </c>
      <c r="BG419" s="22" t="s">
        <v>1318</v>
      </c>
      <c r="BH419" s="22" t="s">
        <v>1309</v>
      </c>
      <c r="BI419" s="22" t="s">
        <v>1309</v>
      </c>
      <c r="BJ419" s="22" t="s">
        <v>1317</v>
      </c>
      <c r="BK419" s="22" t="s">
        <v>1318</v>
      </c>
      <c r="BL419" s="22" t="s">
        <v>1309</v>
      </c>
      <c r="BM419" s="22" t="s">
        <v>1309</v>
      </c>
      <c r="BN419" s="22" t="s">
        <v>1309</v>
      </c>
      <c r="BO419" s="22" t="s">
        <v>1309</v>
      </c>
      <c r="BP419" s="22" t="s">
        <v>1315</v>
      </c>
      <c r="BQ419" s="22" t="s">
        <v>1315</v>
      </c>
      <c r="BR419" s="22" t="s">
        <v>1309</v>
      </c>
      <c r="BS419" s="22" t="s">
        <v>1309</v>
      </c>
      <c r="BT419" s="22" t="s">
        <v>1315</v>
      </c>
      <c r="BU419" s="22" t="s">
        <v>1315</v>
      </c>
      <c r="BV419" s="22" t="s">
        <v>1317</v>
      </c>
      <c r="BW419" s="22" t="s">
        <v>1318</v>
      </c>
      <c r="BX419" s="20">
        <v>0</v>
      </c>
      <c r="BY419" s="20">
        <v>3</v>
      </c>
      <c r="BZ419" s="20">
        <v>50</v>
      </c>
      <c r="CA419" s="20">
        <v>0</v>
      </c>
      <c r="CB419" s="20">
        <v>0</v>
      </c>
      <c r="CC419" s="20">
        <v>530</v>
      </c>
      <c r="CD419" s="22" t="s">
        <v>1317</v>
      </c>
      <c r="CE419" s="22" t="s">
        <v>1318</v>
      </c>
      <c r="CF419" s="22" t="s">
        <v>1317</v>
      </c>
      <c r="CG419" s="22" t="s">
        <v>1318</v>
      </c>
      <c r="CH419" s="22" t="s">
        <v>1317</v>
      </c>
      <c r="CI419" s="22" t="s">
        <v>1318</v>
      </c>
      <c r="CJ419" s="149" t="s">
        <v>1124</v>
      </c>
      <c r="CK419" s="241" t="s">
        <v>2282</v>
      </c>
    </row>
    <row r="420" spans="1:89" ht="15" customHeight="1" x14ac:dyDescent="0.35">
      <c r="A420" s="17"/>
      <c r="B420" s="313">
        <v>5070</v>
      </c>
      <c r="C420" s="8" t="s">
        <v>1055</v>
      </c>
      <c r="D420" s="18">
        <v>11</v>
      </c>
      <c r="E420" s="131" t="s">
        <v>1309</v>
      </c>
      <c r="F420" s="22" t="s">
        <v>1309</v>
      </c>
      <c r="G420" s="132" t="s">
        <v>1309</v>
      </c>
      <c r="H420" s="22" t="s">
        <v>1311</v>
      </c>
      <c r="I420" s="22" t="s">
        <v>1327</v>
      </c>
      <c r="J420" s="22" t="s">
        <v>1327</v>
      </c>
      <c r="K420" s="22" t="s">
        <v>1309</v>
      </c>
      <c r="L420" s="22" t="s">
        <v>1309</v>
      </c>
      <c r="M420" s="133" t="s">
        <v>1311</v>
      </c>
      <c r="N420" s="22" t="s">
        <v>1311</v>
      </c>
      <c r="O420" s="22" t="s">
        <v>1314</v>
      </c>
      <c r="P420" s="22" t="s">
        <v>1318</v>
      </c>
      <c r="Q420" s="20">
        <v>0</v>
      </c>
      <c r="R420" s="20">
        <v>0</v>
      </c>
      <c r="S420" s="20">
        <v>0</v>
      </c>
      <c r="T420" s="20">
        <v>0</v>
      </c>
      <c r="U420" s="20">
        <v>32.384999999999998</v>
      </c>
      <c r="V420" s="20">
        <v>32.384999999999998</v>
      </c>
      <c r="W420" s="20">
        <v>0</v>
      </c>
      <c r="X420" s="20">
        <v>0</v>
      </c>
      <c r="Y420" s="20">
        <v>0</v>
      </c>
      <c r="Z420" s="20">
        <v>0</v>
      </c>
      <c r="AA420" s="20" t="s">
        <v>1309</v>
      </c>
      <c r="AB420" s="22" t="s">
        <v>1309</v>
      </c>
      <c r="AC420" s="20">
        <v>6</v>
      </c>
      <c r="AD420" s="20">
        <v>5</v>
      </c>
      <c r="AE420" s="20">
        <v>0</v>
      </c>
      <c r="AF420" s="20">
        <v>2</v>
      </c>
      <c r="AG420" s="20">
        <v>2</v>
      </c>
      <c r="AH420" s="20">
        <v>0</v>
      </c>
      <c r="AI420" s="328">
        <v>18.52709587772117</v>
      </c>
      <c r="AJ420" s="328">
        <v>3.3025099075297226</v>
      </c>
      <c r="AK420" s="328" t="s">
        <v>1328</v>
      </c>
      <c r="AL420" s="22" t="s">
        <v>1329</v>
      </c>
      <c r="AM420" s="22" t="s">
        <v>1330</v>
      </c>
      <c r="AN420" s="22" t="s">
        <v>1317</v>
      </c>
      <c r="AO420" s="22" t="s">
        <v>1318</v>
      </c>
      <c r="AP420" s="22" t="s">
        <v>1318</v>
      </c>
      <c r="AQ420" s="22" t="s">
        <v>1318</v>
      </c>
      <c r="AR420" s="22" t="s">
        <v>1317</v>
      </c>
      <c r="AS420" s="22" t="s">
        <v>1318</v>
      </c>
      <c r="AT420" s="22" t="s">
        <v>1317</v>
      </c>
      <c r="AU420" s="22" t="s">
        <v>1311</v>
      </c>
      <c r="AV420" s="22" t="s">
        <v>1317</v>
      </c>
      <c r="AW420" s="22" t="s">
        <v>1318</v>
      </c>
      <c r="AX420" s="22" t="s">
        <v>1317</v>
      </c>
      <c r="AY420" s="22" t="s">
        <v>1318</v>
      </c>
      <c r="AZ420" s="22" t="s">
        <v>1309</v>
      </c>
      <c r="BA420" s="22" t="s">
        <v>1309</v>
      </c>
      <c r="BB420" s="22" t="s">
        <v>1309</v>
      </c>
      <c r="BC420" s="22" t="s">
        <v>1309</v>
      </c>
      <c r="BD420" s="22" t="s">
        <v>1317</v>
      </c>
      <c r="BE420" s="22" t="s">
        <v>1318</v>
      </c>
      <c r="BF420" s="22" t="s">
        <v>1317</v>
      </c>
      <c r="BG420" s="22" t="s">
        <v>1311</v>
      </c>
      <c r="BH420" s="22" t="s">
        <v>1309</v>
      </c>
      <c r="BI420" s="22" t="s">
        <v>1309</v>
      </c>
      <c r="BJ420" s="22" t="s">
        <v>1309</v>
      </c>
      <c r="BK420" s="22" t="s">
        <v>1309</v>
      </c>
      <c r="BL420" s="22" t="s">
        <v>1319</v>
      </c>
      <c r="BM420" s="22" t="s">
        <v>1311</v>
      </c>
      <c r="BN420" s="22" t="s">
        <v>1309</v>
      </c>
      <c r="BO420" s="22" t="s">
        <v>1309</v>
      </c>
      <c r="BP420" s="22" t="s">
        <v>1309</v>
      </c>
      <c r="BQ420" s="22" t="s">
        <v>1309</v>
      </c>
      <c r="BR420" s="22" t="s">
        <v>1309</v>
      </c>
      <c r="BS420" s="22" t="s">
        <v>1309</v>
      </c>
      <c r="BT420" s="22" t="s">
        <v>1315</v>
      </c>
      <c r="BU420" s="22" t="s">
        <v>1315</v>
      </c>
      <c r="BV420" s="22" t="s">
        <v>1317</v>
      </c>
      <c r="BW420" s="22" t="s">
        <v>1318</v>
      </c>
      <c r="BX420" s="20">
        <v>0</v>
      </c>
      <c r="BY420" s="20">
        <v>3</v>
      </c>
      <c r="BZ420" s="20">
        <v>303</v>
      </c>
      <c r="CA420" s="20">
        <v>0</v>
      </c>
      <c r="CB420" s="20">
        <v>3</v>
      </c>
      <c r="CC420" s="20">
        <v>1205</v>
      </c>
      <c r="CD420" s="22" t="s">
        <v>1320</v>
      </c>
      <c r="CE420" s="22" t="s">
        <v>1321</v>
      </c>
      <c r="CF420" s="22" t="s">
        <v>1320</v>
      </c>
      <c r="CG420" s="22" t="s">
        <v>1331</v>
      </c>
      <c r="CH420" s="22" t="s">
        <v>1317</v>
      </c>
      <c r="CI420" s="22" t="s">
        <v>1318</v>
      </c>
      <c r="CJ420" s="149" t="s">
        <v>2286</v>
      </c>
      <c r="CK420" s="241" t="s">
        <v>1503</v>
      </c>
    </row>
    <row r="421" spans="1:89" ht="15" customHeight="1" x14ac:dyDescent="0.35">
      <c r="A421" s="17"/>
      <c r="B421" s="313">
        <v>41037</v>
      </c>
      <c r="C421" s="8" t="s">
        <v>368</v>
      </c>
      <c r="D421" s="18">
        <v>5</v>
      </c>
      <c r="E421" s="131"/>
      <c r="F421" s="22"/>
      <c r="G421" s="132"/>
      <c r="H421" s="22"/>
      <c r="I421" s="22"/>
      <c r="J421" s="22"/>
      <c r="K421" s="22"/>
      <c r="L421" s="22"/>
      <c r="M421" s="133"/>
      <c r="N421" s="22"/>
      <c r="O421" s="22"/>
      <c r="P421" s="22"/>
      <c r="Q421" s="20"/>
      <c r="R421" s="20"/>
      <c r="S421" s="20"/>
      <c r="T421" s="20"/>
      <c r="U421" s="20"/>
      <c r="V421" s="20"/>
      <c r="W421" s="20"/>
      <c r="X421" s="20"/>
      <c r="Y421" s="20"/>
      <c r="Z421" s="20"/>
      <c r="AA421" s="20"/>
      <c r="AB421" s="22"/>
      <c r="AC421" s="20"/>
      <c r="AD421" s="20"/>
      <c r="AE421" s="20"/>
      <c r="AF421" s="20" t="s">
        <v>1124</v>
      </c>
      <c r="AG421" s="20" t="s">
        <v>1124</v>
      </c>
      <c r="AH421" s="20" t="s">
        <v>1124</v>
      </c>
      <c r="AI421" s="328"/>
      <c r="AJ421" s="328"/>
      <c r="AK421" s="328"/>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0"/>
      <c r="BY421" s="20"/>
      <c r="BZ421" s="20"/>
      <c r="CA421" s="20"/>
      <c r="CB421" s="20"/>
      <c r="CC421" s="20"/>
      <c r="CD421" s="22"/>
      <c r="CE421" s="22"/>
      <c r="CF421" s="22"/>
      <c r="CG421" s="22"/>
      <c r="CH421" s="22"/>
      <c r="CI421" s="22"/>
      <c r="CJ421" s="149"/>
      <c r="CK421" s="241"/>
    </row>
    <row r="422" spans="1:89" ht="15" customHeight="1" x14ac:dyDescent="0.35">
      <c r="A422" s="17"/>
      <c r="B422" s="313">
        <v>50072</v>
      </c>
      <c r="C422" s="8" t="s">
        <v>491</v>
      </c>
      <c r="D422" s="18">
        <v>17</v>
      </c>
      <c r="E422" s="131" t="s">
        <v>1309</v>
      </c>
      <c r="F422" s="22" t="s">
        <v>1309</v>
      </c>
      <c r="G422" s="132" t="s">
        <v>1309</v>
      </c>
      <c r="H422" s="22" t="s">
        <v>1311</v>
      </c>
      <c r="I422" s="22" t="s">
        <v>1327</v>
      </c>
      <c r="J422" s="22" t="s">
        <v>1327</v>
      </c>
      <c r="K422" s="22" t="s">
        <v>1309</v>
      </c>
      <c r="L422" s="22" t="s">
        <v>1309</v>
      </c>
      <c r="M422" s="133" t="s">
        <v>1311</v>
      </c>
      <c r="N422" s="22" t="s">
        <v>1311</v>
      </c>
      <c r="O422" s="22" t="s">
        <v>1309</v>
      </c>
      <c r="P422" s="22" t="s">
        <v>1309</v>
      </c>
      <c r="Q422" s="20">
        <v>0</v>
      </c>
      <c r="R422" s="20">
        <v>110.851</v>
      </c>
      <c r="S422" s="20">
        <v>0</v>
      </c>
      <c r="T422" s="20">
        <v>0</v>
      </c>
      <c r="U422" s="20">
        <v>0</v>
      </c>
      <c r="V422" s="20">
        <v>0</v>
      </c>
      <c r="W422" s="20">
        <v>0</v>
      </c>
      <c r="X422" s="20">
        <v>0</v>
      </c>
      <c r="Y422" s="20">
        <v>0</v>
      </c>
      <c r="Z422" s="20">
        <v>0</v>
      </c>
      <c r="AA422" s="20" t="s">
        <v>1317</v>
      </c>
      <c r="AB422" s="22" t="s">
        <v>1311</v>
      </c>
      <c r="AC422" s="20">
        <v>19</v>
      </c>
      <c r="AD422" s="20">
        <v>0</v>
      </c>
      <c r="AE422" s="20">
        <v>3</v>
      </c>
      <c r="AF422" s="20">
        <v>5</v>
      </c>
      <c r="AG422" s="20">
        <v>0</v>
      </c>
      <c r="AH422" s="20">
        <v>14</v>
      </c>
      <c r="AI422" s="328">
        <v>17.140125032701555</v>
      </c>
      <c r="AJ422" s="328" t="s">
        <v>1328</v>
      </c>
      <c r="AK422" s="328">
        <v>0.62853551225644244</v>
      </c>
      <c r="AL422" s="22" t="s">
        <v>1329</v>
      </c>
      <c r="AM422" s="22" t="s">
        <v>1330</v>
      </c>
      <c r="AN422" s="22" t="s">
        <v>1317</v>
      </c>
      <c r="AO422" s="22" t="s">
        <v>1318</v>
      </c>
      <c r="AP422" s="22" t="s">
        <v>1318</v>
      </c>
      <c r="AQ422" s="22" t="s">
        <v>1318</v>
      </c>
      <c r="AR422" s="22" t="s">
        <v>1317</v>
      </c>
      <c r="AS422" s="22" t="s">
        <v>1318</v>
      </c>
      <c r="AT422" s="22" t="s">
        <v>1317</v>
      </c>
      <c r="AU422" s="22" t="s">
        <v>1318</v>
      </c>
      <c r="AV422" s="22" t="s">
        <v>1309</v>
      </c>
      <c r="AW422" s="22" t="s">
        <v>1309</v>
      </c>
      <c r="AX422" s="22" t="s">
        <v>1317</v>
      </c>
      <c r="AY422" s="22" t="s">
        <v>1318</v>
      </c>
      <c r="AZ422" s="22" t="s">
        <v>1319</v>
      </c>
      <c r="BA422" s="22" t="s">
        <v>1311</v>
      </c>
      <c r="BB422" s="22" t="s">
        <v>1309</v>
      </c>
      <c r="BC422" s="22" t="s">
        <v>1309</v>
      </c>
      <c r="BD422" s="22" t="s">
        <v>1309</v>
      </c>
      <c r="BE422" s="22" t="s">
        <v>1309</v>
      </c>
      <c r="BF422" s="22" t="s">
        <v>1309</v>
      </c>
      <c r="BG422" s="22" t="s">
        <v>1309</v>
      </c>
      <c r="BH422" s="22" t="s">
        <v>1309</v>
      </c>
      <c r="BI422" s="22" t="s">
        <v>1309</v>
      </c>
      <c r="BJ422" s="22" t="s">
        <v>1309</v>
      </c>
      <c r="BK422" s="22" t="s">
        <v>1309</v>
      </c>
      <c r="BL422" s="22" t="s">
        <v>1309</v>
      </c>
      <c r="BM422" s="22" t="s">
        <v>1309</v>
      </c>
      <c r="BN422" s="22" t="s">
        <v>1309</v>
      </c>
      <c r="BO422" s="22" t="s">
        <v>1309</v>
      </c>
      <c r="BP422" s="22" t="s">
        <v>1309</v>
      </c>
      <c r="BQ422" s="22" t="s">
        <v>1309</v>
      </c>
      <c r="BR422" s="22" t="s">
        <v>1309</v>
      </c>
      <c r="BS422" s="22" t="s">
        <v>1309</v>
      </c>
      <c r="BT422" s="22" t="s">
        <v>1309</v>
      </c>
      <c r="BU422" s="22" t="s">
        <v>1309</v>
      </c>
      <c r="BV422" s="22" t="s">
        <v>1309</v>
      </c>
      <c r="BW422" s="22" t="s">
        <v>1309</v>
      </c>
      <c r="BX422" s="20">
        <v>393</v>
      </c>
      <c r="BY422" s="20">
        <v>0</v>
      </c>
      <c r="BZ422" s="20">
        <v>200</v>
      </c>
      <c r="CA422" s="20">
        <v>4154</v>
      </c>
      <c r="CB422" s="20">
        <v>0</v>
      </c>
      <c r="CC422" s="20">
        <v>26</v>
      </c>
      <c r="CD422" s="22" t="s">
        <v>1331</v>
      </c>
      <c r="CE422" s="22" t="s">
        <v>1331</v>
      </c>
      <c r="CF422" s="22" t="s">
        <v>1331</v>
      </c>
      <c r="CG422" s="22" t="s">
        <v>1331</v>
      </c>
      <c r="CH422" s="22" t="s">
        <v>1317</v>
      </c>
      <c r="CI422" s="22" t="s">
        <v>1318</v>
      </c>
      <c r="CJ422" s="149" t="s">
        <v>2290</v>
      </c>
      <c r="CK422" s="241" t="s">
        <v>2291</v>
      </c>
    </row>
    <row r="423" spans="1:89" ht="15" customHeight="1" x14ac:dyDescent="0.35">
      <c r="A423" s="17"/>
      <c r="B423" s="313">
        <v>79030</v>
      </c>
      <c r="C423" s="8" t="s">
        <v>791</v>
      </c>
      <c r="D423" s="18">
        <v>15</v>
      </c>
      <c r="E423" s="131" t="s">
        <v>1309</v>
      </c>
      <c r="F423" s="22" t="s">
        <v>1309</v>
      </c>
      <c r="G423" s="132" t="s">
        <v>1309</v>
      </c>
      <c r="H423" s="22" t="s">
        <v>1311</v>
      </c>
      <c r="I423" s="22" t="s">
        <v>1327</v>
      </c>
      <c r="J423" s="22" t="s">
        <v>1327</v>
      </c>
      <c r="K423" s="22" t="s">
        <v>1314</v>
      </c>
      <c r="L423" s="22" t="s">
        <v>1311</v>
      </c>
      <c r="M423" s="133" t="s">
        <v>1311</v>
      </c>
      <c r="N423" s="22" t="s">
        <v>1311</v>
      </c>
      <c r="O423" s="22" t="s">
        <v>1314</v>
      </c>
      <c r="P423" s="22" t="s">
        <v>1318</v>
      </c>
      <c r="Q423" s="20">
        <v>17.286999999999999</v>
      </c>
      <c r="R423" s="20">
        <v>17.286999999999999</v>
      </c>
      <c r="S423" s="20">
        <v>0</v>
      </c>
      <c r="T423" s="20">
        <v>0</v>
      </c>
      <c r="U423" s="20">
        <v>0</v>
      </c>
      <c r="V423" s="20">
        <v>0</v>
      </c>
      <c r="W423" s="20">
        <v>0</v>
      </c>
      <c r="X423" s="20">
        <v>0</v>
      </c>
      <c r="Y423" s="20">
        <v>0</v>
      </c>
      <c r="Z423" s="20">
        <v>0</v>
      </c>
      <c r="AA423" s="20" t="s">
        <v>1317</v>
      </c>
      <c r="AB423" s="22" t="s">
        <v>1311</v>
      </c>
      <c r="AC423" s="20">
        <v>4</v>
      </c>
      <c r="AD423" s="20">
        <v>0</v>
      </c>
      <c r="AE423" s="20">
        <v>4</v>
      </c>
      <c r="AF423" s="20">
        <v>27</v>
      </c>
      <c r="AG423" s="20">
        <v>0</v>
      </c>
      <c r="AH423" s="20">
        <v>10</v>
      </c>
      <c r="AI423" s="328">
        <v>23.138774801874241</v>
      </c>
      <c r="AJ423" s="328" t="s">
        <v>1328</v>
      </c>
      <c r="AK423" s="328">
        <v>11.111111111111111</v>
      </c>
      <c r="AL423" s="22" t="s">
        <v>1316</v>
      </c>
      <c r="AM423" s="22" t="s">
        <v>1343</v>
      </c>
      <c r="AN423" s="22" t="s">
        <v>1317</v>
      </c>
      <c r="AO423" s="22" t="s">
        <v>1318</v>
      </c>
      <c r="AP423" s="22" t="s">
        <v>1318</v>
      </c>
      <c r="AQ423" s="22" t="s">
        <v>1318</v>
      </c>
      <c r="AR423" s="22" t="s">
        <v>1317</v>
      </c>
      <c r="AS423" s="22" t="s">
        <v>1318</v>
      </c>
      <c r="AT423" s="22" t="s">
        <v>1317</v>
      </c>
      <c r="AU423" s="22" t="s">
        <v>1318</v>
      </c>
      <c r="AV423" s="22" t="s">
        <v>1309</v>
      </c>
      <c r="AW423" s="22" t="s">
        <v>1309</v>
      </c>
      <c r="AX423" s="22" t="s">
        <v>1317</v>
      </c>
      <c r="AY423" s="22" t="s">
        <v>1318</v>
      </c>
      <c r="AZ423" s="22" t="s">
        <v>1309</v>
      </c>
      <c r="BA423" s="22" t="s">
        <v>1309</v>
      </c>
      <c r="BB423" s="22" t="s">
        <v>1309</v>
      </c>
      <c r="BC423" s="22" t="s">
        <v>1309</v>
      </c>
      <c r="BD423" s="22" t="s">
        <v>1317</v>
      </c>
      <c r="BE423" s="22" t="s">
        <v>1318</v>
      </c>
      <c r="BF423" s="22" t="s">
        <v>1317</v>
      </c>
      <c r="BG423" s="22" t="s">
        <v>1318</v>
      </c>
      <c r="BH423" s="22" t="s">
        <v>1309</v>
      </c>
      <c r="BI423" s="22" t="s">
        <v>1309</v>
      </c>
      <c r="BJ423" s="22" t="s">
        <v>1317</v>
      </c>
      <c r="BK423" s="22" t="s">
        <v>1318</v>
      </c>
      <c r="BL423" s="22" t="s">
        <v>1309</v>
      </c>
      <c r="BM423" s="22" t="s">
        <v>1309</v>
      </c>
      <c r="BN423" s="22" t="s">
        <v>1317</v>
      </c>
      <c r="BO423" s="22" t="s">
        <v>1318</v>
      </c>
      <c r="BP423" s="22" t="s">
        <v>1315</v>
      </c>
      <c r="BQ423" s="22" t="s">
        <v>1315</v>
      </c>
      <c r="BR423" s="22" t="s">
        <v>1319</v>
      </c>
      <c r="BS423" s="22" t="s">
        <v>1311</v>
      </c>
      <c r="BT423" s="22" t="s">
        <v>1319</v>
      </c>
      <c r="BU423" s="22" t="s">
        <v>1311</v>
      </c>
      <c r="BV423" s="22" t="s">
        <v>1317</v>
      </c>
      <c r="BW423" s="22" t="s">
        <v>1318</v>
      </c>
      <c r="BX423" s="20">
        <v>0</v>
      </c>
      <c r="BY423" s="20">
        <v>30</v>
      </c>
      <c r="BZ423" s="20">
        <v>53</v>
      </c>
      <c r="CA423" s="20">
        <v>0</v>
      </c>
      <c r="CB423" s="20">
        <v>0</v>
      </c>
      <c r="CC423" s="20">
        <v>355</v>
      </c>
      <c r="CD423" s="22" t="s">
        <v>1331</v>
      </c>
      <c r="CE423" s="22" t="s">
        <v>1331</v>
      </c>
      <c r="CF423" s="22" t="s">
        <v>1317</v>
      </c>
      <c r="CG423" s="22" t="s">
        <v>1318</v>
      </c>
      <c r="CH423" s="22" t="s">
        <v>1413</v>
      </c>
      <c r="CI423" s="22" t="s">
        <v>1413</v>
      </c>
      <c r="CJ423" s="149" t="s">
        <v>2295</v>
      </c>
      <c r="CK423" s="241" t="s">
        <v>1124</v>
      </c>
    </row>
    <row r="424" spans="1:89" ht="15" customHeight="1" x14ac:dyDescent="0.35">
      <c r="A424" s="17"/>
      <c r="B424" s="313">
        <v>92040</v>
      </c>
      <c r="C424" s="8" t="s">
        <v>951</v>
      </c>
      <c r="D424" s="18">
        <v>2</v>
      </c>
      <c r="E424" s="131"/>
      <c r="F424" s="22"/>
      <c r="G424" s="132"/>
      <c r="H424" s="22"/>
      <c r="I424" s="22"/>
      <c r="J424" s="22"/>
      <c r="K424" s="22"/>
      <c r="L424" s="22"/>
      <c r="M424" s="133"/>
      <c r="N424" s="22"/>
      <c r="O424" s="22"/>
      <c r="P424" s="22"/>
      <c r="Q424" s="20"/>
      <c r="R424" s="20"/>
      <c r="S424" s="20"/>
      <c r="T424" s="20"/>
      <c r="U424" s="20"/>
      <c r="V424" s="20"/>
      <c r="W424" s="20"/>
      <c r="X424" s="20"/>
      <c r="Y424" s="20"/>
      <c r="Z424" s="20"/>
      <c r="AA424" s="20"/>
      <c r="AB424" s="22"/>
      <c r="AC424" s="20"/>
      <c r="AD424" s="20"/>
      <c r="AE424" s="20"/>
      <c r="AF424" s="20" t="s">
        <v>1124</v>
      </c>
      <c r="AG424" s="20" t="s">
        <v>1124</v>
      </c>
      <c r="AH424" s="20" t="s">
        <v>1124</v>
      </c>
      <c r="AI424" s="328"/>
      <c r="AJ424" s="328"/>
      <c r="AK424" s="328"/>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0"/>
      <c r="BY424" s="20"/>
      <c r="BZ424" s="20"/>
      <c r="CA424" s="20"/>
      <c r="CB424" s="20"/>
      <c r="CC424" s="20"/>
      <c r="CD424" s="22"/>
      <c r="CE424" s="22"/>
      <c r="CF424" s="22"/>
      <c r="CG424" s="22"/>
      <c r="CH424" s="22"/>
      <c r="CI424" s="22"/>
      <c r="CJ424" s="149"/>
      <c r="CK424" s="241"/>
    </row>
    <row r="425" spans="1:89" ht="15" customHeight="1" x14ac:dyDescent="0.35">
      <c r="A425" s="17"/>
      <c r="B425" s="313">
        <v>87115</v>
      </c>
      <c r="C425" s="8" t="s">
        <v>909</v>
      </c>
      <c r="D425" s="18">
        <v>8</v>
      </c>
      <c r="E425" s="131"/>
      <c r="F425" s="22"/>
      <c r="G425" s="132"/>
      <c r="H425" s="22"/>
      <c r="I425" s="22"/>
      <c r="J425" s="22"/>
      <c r="K425" s="22"/>
      <c r="L425" s="22"/>
      <c r="M425" s="133"/>
      <c r="N425" s="22"/>
      <c r="O425" s="22"/>
      <c r="P425" s="22"/>
      <c r="Q425" s="20"/>
      <c r="R425" s="20"/>
      <c r="S425" s="20"/>
      <c r="T425" s="20"/>
      <c r="U425" s="20"/>
      <c r="V425" s="20"/>
      <c r="W425" s="20"/>
      <c r="X425" s="20"/>
      <c r="Y425" s="20"/>
      <c r="Z425" s="20"/>
      <c r="AA425" s="20"/>
      <c r="AB425" s="22"/>
      <c r="AC425" s="20"/>
      <c r="AD425" s="20"/>
      <c r="AE425" s="20"/>
      <c r="AF425" s="20" t="s">
        <v>1124</v>
      </c>
      <c r="AG425" s="20" t="s">
        <v>1124</v>
      </c>
      <c r="AH425" s="20" t="s">
        <v>1124</v>
      </c>
      <c r="AI425" s="328"/>
      <c r="AJ425" s="328"/>
      <c r="AK425" s="328"/>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0"/>
      <c r="BY425" s="20"/>
      <c r="BZ425" s="20"/>
      <c r="CA425" s="20"/>
      <c r="CB425" s="20"/>
      <c r="CC425" s="20"/>
      <c r="CD425" s="22"/>
      <c r="CE425" s="22"/>
      <c r="CF425" s="22"/>
      <c r="CG425" s="22"/>
      <c r="CH425" s="22"/>
      <c r="CI425" s="22"/>
      <c r="CJ425" s="149"/>
      <c r="CK425" s="241"/>
    </row>
    <row r="426" spans="1:89" ht="15" customHeight="1" x14ac:dyDescent="0.35">
      <c r="A426" s="17"/>
      <c r="B426" s="313">
        <v>45050</v>
      </c>
      <c r="C426" s="8" t="s">
        <v>416</v>
      </c>
      <c r="D426" s="18">
        <v>5</v>
      </c>
      <c r="E426" s="131"/>
      <c r="F426" s="22"/>
      <c r="G426" s="132"/>
      <c r="H426" s="22"/>
      <c r="I426" s="22"/>
      <c r="J426" s="22"/>
      <c r="K426" s="22"/>
      <c r="L426" s="22"/>
      <c r="M426" s="133"/>
      <c r="N426" s="22"/>
      <c r="O426" s="22"/>
      <c r="P426" s="22"/>
      <c r="Q426" s="20"/>
      <c r="R426" s="20"/>
      <c r="S426" s="20"/>
      <c r="T426" s="20"/>
      <c r="U426" s="20"/>
      <c r="V426" s="20"/>
      <c r="W426" s="20"/>
      <c r="X426" s="20"/>
      <c r="Y426" s="20"/>
      <c r="Z426" s="20"/>
      <c r="AA426" s="20"/>
      <c r="AB426" s="22"/>
      <c r="AC426" s="20"/>
      <c r="AD426" s="20"/>
      <c r="AE426" s="20"/>
      <c r="AF426" s="20" t="s">
        <v>1124</v>
      </c>
      <c r="AG426" s="20" t="s">
        <v>1124</v>
      </c>
      <c r="AH426" s="20" t="s">
        <v>1124</v>
      </c>
      <c r="AI426" s="328"/>
      <c r="AJ426" s="328"/>
      <c r="AK426" s="328"/>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0"/>
      <c r="BY426" s="20"/>
      <c r="BZ426" s="20"/>
      <c r="CA426" s="20"/>
      <c r="CB426" s="20"/>
      <c r="CC426" s="20"/>
      <c r="CD426" s="22"/>
      <c r="CE426" s="22"/>
      <c r="CF426" s="22"/>
      <c r="CG426" s="22"/>
      <c r="CH426" s="22"/>
      <c r="CI426" s="22"/>
      <c r="CJ426" s="149"/>
      <c r="CK426" s="241"/>
    </row>
    <row r="427" spans="1:89" ht="15" customHeight="1" x14ac:dyDescent="0.35">
      <c r="A427" s="17"/>
      <c r="B427" s="313">
        <v>19010</v>
      </c>
      <c r="C427" s="8" t="s">
        <v>119</v>
      </c>
      <c r="D427" s="18">
        <v>12</v>
      </c>
      <c r="E427" s="131" t="s">
        <v>1309</v>
      </c>
      <c r="F427" s="22" t="s">
        <v>1309</v>
      </c>
      <c r="G427" s="132" t="s">
        <v>1309</v>
      </c>
      <c r="H427" s="22" t="s">
        <v>1311</v>
      </c>
      <c r="I427" s="22" t="s">
        <v>1327</v>
      </c>
      <c r="J427" s="22" t="s">
        <v>1327</v>
      </c>
      <c r="K427" s="22" t="s">
        <v>1319</v>
      </c>
      <c r="L427" s="22" t="s">
        <v>1311</v>
      </c>
      <c r="M427" s="133" t="s">
        <v>1311</v>
      </c>
      <c r="N427" s="22" t="s">
        <v>1311</v>
      </c>
      <c r="O427" s="22" t="s">
        <v>1315</v>
      </c>
      <c r="P427" s="22" t="s">
        <v>1318</v>
      </c>
      <c r="Q427" s="20">
        <v>0</v>
      </c>
      <c r="R427" s="20">
        <v>0</v>
      </c>
      <c r="S427" s="20">
        <v>0</v>
      </c>
      <c r="T427" s="20">
        <v>0</v>
      </c>
      <c r="U427" s="20">
        <v>0</v>
      </c>
      <c r="V427" s="20">
        <v>0</v>
      </c>
      <c r="W427" s="20">
        <v>0</v>
      </c>
      <c r="X427" s="20">
        <v>0</v>
      </c>
      <c r="Y427" s="20">
        <v>0</v>
      </c>
      <c r="Z427" s="20">
        <v>0</v>
      </c>
      <c r="AA427" s="20" t="s">
        <v>1317</v>
      </c>
      <c r="AB427" s="22" t="s">
        <v>1318</v>
      </c>
      <c r="AC427" s="20">
        <v>0</v>
      </c>
      <c r="AD427" s="20">
        <v>0</v>
      </c>
      <c r="AE427" s="20">
        <v>0</v>
      </c>
      <c r="AF427" s="20">
        <v>0</v>
      </c>
      <c r="AG427" s="20">
        <v>0</v>
      </c>
      <c r="AH427" s="20">
        <v>0</v>
      </c>
      <c r="AI427" s="328" t="s">
        <v>1328</v>
      </c>
      <c r="AJ427" s="328" t="s">
        <v>1328</v>
      </c>
      <c r="AK427" s="328" t="s">
        <v>1328</v>
      </c>
      <c r="AL427" s="22" t="s">
        <v>1329</v>
      </c>
      <c r="AM427" s="22" t="s">
        <v>1330</v>
      </c>
      <c r="AN427" s="22" t="s">
        <v>1317</v>
      </c>
      <c r="AO427" s="22" t="s">
        <v>1318</v>
      </c>
      <c r="AP427" s="22" t="s">
        <v>1318</v>
      </c>
      <c r="AQ427" s="22" t="s">
        <v>1318</v>
      </c>
      <c r="AR427" s="22" t="s">
        <v>1317</v>
      </c>
      <c r="AS427" s="22" t="s">
        <v>1318</v>
      </c>
      <c r="AT427" s="22" t="s">
        <v>1309</v>
      </c>
      <c r="AU427" s="22" t="s">
        <v>1309</v>
      </c>
      <c r="AV427" s="22" t="s">
        <v>1309</v>
      </c>
      <c r="AW427" s="22" t="s">
        <v>1309</v>
      </c>
      <c r="AX427" s="22" t="s">
        <v>1317</v>
      </c>
      <c r="AY427" s="22" t="s">
        <v>1318</v>
      </c>
      <c r="AZ427" s="22" t="s">
        <v>1309</v>
      </c>
      <c r="BA427" s="22" t="s">
        <v>1309</v>
      </c>
      <c r="BB427" s="22" t="s">
        <v>1309</v>
      </c>
      <c r="BC427" s="22" t="s">
        <v>1309</v>
      </c>
      <c r="BD427" s="22" t="s">
        <v>1317</v>
      </c>
      <c r="BE427" s="22" t="s">
        <v>1318</v>
      </c>
      <c r="BF427" s="22" t="s">
        <v>1317</v>
      </c>
      <c r="BG427" s="22" t="s">
        <v>1311</v>
      </c>
      <c r="BH427" s="22" t="s">
        <v>1317</v>
      </c>
      <c r="BI427" s="22" t="s">
        <v>1318</v>
      </c>
      <c r="BJ427" s="22" t="s">
        <v>1317</v>
      </c>
      <c r="BK427" s="22" t="s">
        <v>1318</v>
      </c>
      <c r="BL427" s="22" t="s">
        <v>1309</v>
      </c>
      <c r="BM427" s="22" t="s">
        <v>1309</v>
      </c>
      <c r="BN427" s="22" t="s">
        <v>1309</v>
      </c>
      <c r="BO427" s="22" t="s">
        <v>1309</v>
      </c>
      <c r="BP427" s="22" t="s">
        <v>1309</v>
      </c>
      <c r="BQ427" s="22" t="s">
        <v>1309</v>
      </c>
      <c r="BR427" s="22" t="s">
        <v>1317</v>
      </c>
      <c r="BS427" s="22" t="s">
        <v>1318</v>
      </c>
      <c r="BT427" s="22" t="s">
        <v>1317</v>
      </c>
      <c r="BU427" s="22" t="s">
        <v>1318</v>
      </c>
      <c r="BV427" s="22" t="s">
        <v>1317</v>
      </c>
      <c r="BW427" s="22" t="s">
        <v>1318</v>
      </c>
      <c r="BX427" s="20">
        <v>0</v>
      </c>
      <c r="BY427" s="20">
        <v>0</v>
      </c>
      <c r="BZ427" s="20">
        <v>27</v>
      </c>
      <c r="CA427" s="20">
        <v>0</v>
      </c>
      <c r="CB427" s="20">
        <v>0</v>
      </c>
      <c r="CC427" s="20">
        <v>241</v>
      </c>
      <c r="CD427" s="22" t="s">
        <v>1317</v>
      </c>
      <c r="CE427" s="22" t="s">
        <v>1340</v>
      </c>
      <c r="CF427" s="22" t="s">
        <v>1317</v>
      </c>
      <c r="CG427" s="22" t="s">
        <v>1340</v>
      </c>
      <c r="CH427" s="22" t="s">
        <v>1317</v>
      </c>
      <c r="CI427" s="22" t="s">
        <v>1318</v>
      </c>
      <c r="CJ427" s="149" t="s">
        <v>1124</v>
      </c>
      <c r="CK427" s="241" t="s">
        <v>2299</v>
      </c>
    </row>
    <row r="428" spans="1:89" ht="15" customHeight="1" x14ac:dyDescent="0.35">
      <c r="A428" s="17"/>
      <c r="B428" s="313">
        <v>80015</v>
      </c>
      <c r="C428" s="8" t="s">
        <v>805</v>
      </c>
      <c r="D428" s="18">
        <v>7</v>
      </c>
      <c r="E428" s="131" t="s">
        <v>1309</v>
      </c>
      <c r="F428" s="22" t="s">
        <v>1309</v>
      </c>
      <c r="G428" s="132" t="s">
        <v>1309</v>
      </c>
      <c r="H428" s="22" t="s">
        <v>1311</v>
      </c>
      <c r="I428" s="22" t="s">
        <v>1315</v>
      </c>
      <c r="J428" s="22" t="s">
        <v>1315</v>
      </c>
      <c r="K428" s="22" t="s">
        <v>1309</v>
      </c>
      <c r="L428" s="22" t="s">
        <v>1309</v>
      </c>
      <c r="M428" s="133" t="s">
        <v>1311</v>
      </c>
      <c r="N428" s="22" t="s">
        <v>1311</v>
      </c>
      <c r="O428" s="22" t="s">
        <v>1309</v>
      </c>
      <c r="P428" s="22" t="s">
        <v>1309</v>
      </c>
      <c r="Q428" s="20">
        <v>0</v>
      </c>
      <c r="R428" s="20">
        <v>0</v>
      </c>
      <c r="S428" s="20">
        <v>0</v>
      </c>
      <c r="T428" s="20">
        <v>0</v>
      </c>
      <c r="U428" s="20">
        <v>0</v>
      </c>
      <c r="V428" s="20">
        <v>0</v>
      </c>
      <c r="W428" s="20">
        <v>0</v>
      </c>
      <c r="X428" s="20">
        <v>0</v>
      </c>
      <c r="Y428" s="20">
        <v>0</v>
      </c>
      <c r="Z428" s="20">
        <v>0</v>
      </c>
      <c r="AA428" s="20" t="s">
        <v>1315</v>
      </c>
      <c r="AB428" s="22" t="s">
        <v>1315</v>
      </c>
      <c r="AC428" s="20">
        <v>0</v>
      </c>
      <c r="AD428" s="20">
        <v>0</v>
      </c>
      <c r="AE428" s="20">
        <v>0</v>
      </c>
      <c r="AF428" s="20">
        <v>0</v>
      </c>
      <c r="AG428" s="20">
        <v>0</v>
      </c>
      <c r="AH428" s="20">
        <v>0</v>
      </c>
      <c r="AI428" s="328" t="s">
        <v>1328</v>
      </c>
      <c r="AJ428" s="328" t="s">
        <v>1328</v>
      </c>
      <c r="AK428" s="328" t="s">
        <v>1328</v>
      </c>
      <c r="AL428" s="22" t="s">
        <v>1315</v>
      </c>
      <c r="AM428" s="22" t="s">
        <v>1315</v>
      </c>
      <c r="AN428" s="22" t="s">
        <v>1315</v>
      </c>
      <c r="AO428" s="22" t="s">
        <v>1315</v>
      </c>
      <c r="AP428" s="22" t="s">
        <v>1315</v>
      </c>
      <c r="AQ428" s="22" t="s">
        <v>1315</v>
      </c>
      <c r="AR428" s="22" t="s">
        <v>1317</v>
      </c>
      <c r="AS428" s="22" t="s">
        <v>1318</v>
      </c>
      <c r="AT428" s="22" t="s">
        <v>1317</v>
      </c>
      <c r="AU428" s="22" t="s">
        <v>1318</v>
      </c>
      <c r="AV428" s="22" t="s">
        <v>1317</v>
      </c>
      <c r="AW428" s="22" t="s">
        <v>1318</v>
      </c>
      <c r="AX428" s="22" t="s">
        <v>1309</v>
      </c>
      <c r="AY428" s="22" t="s">
        <v>1309</v>
      </c>
      <c r="AZ428" s="22" t="s">
        <v>1317</v>
      </c>
      <c r="BA428" s="22" t="s">
        <v>1311</v>
      </c>
      <c r="BB428" s="22" t="s">
        <v>1309</v>
      </c>
      <c r="BC428" s="22" t="s">
        <v>1309</v>
      </c>
      <c r="BD428" s="22" t="s">
        <v>1309</v>
      </c>
      <c r="BE428" s="22" t="s">
        <v>1309</v>
      </c>
      <c r="BF428" s="22" t="s">
        <v>1309</v>
      </c>
      <c r="BG428" s="22" t="s">
        <v>1309</v>
      </c>
      <c r="BH428" s="22" t="s">
        <v>1317</v>
      </c>
      <c r="BI428" s="22" t="s">
        <v>1318</v>
      </c>
      <c r="BJ428" s="22" t="s">
        <v>1309</v>
      </c>
      <c r="BK428" s="22" t="s">
        <v>1309</v>
      </c>
      <c r="BL428" s="22" t="s">
        <v>1309</v>
      </c>
      <c r="BM428" s="22" t="s">
        <v>1309</v>
      </c>
      <c r="BN428" s="22" t="s">
        <v>1315</v>
      </c>
      <c r="BO428" s="22" t="s">
        <v>1315</v>
      </c>
      <c r="BP428" s="22" t="s">
        <v>1315</v>
      </c>
      <c r="BQ428" s="22" t="s">
        <v>1315</v>
      </c>
      <c r="BR428" s="22" t="s">
        <v>1309</v>
      </c>
      <c r="BS428" s="22" t="s">
        <v>1309</v>
      </c>
      <c r="BT428" s="22" t="s">
        <v>1317</v>
      </c>
      <c r="BU428" s="22" t="s">
        <v>1318</v>
      </c>
      <c r="BV428" s="22" t="s">
        <v>1309</v>
      </c>
      <c r="BW428" s="22" t="s">
        <v>1309</v>
      </c>
      <c r="BX428" s="20">
        <v>6</v>
      </c>
      <c r="BY428" s="20">
        <v>0</v>
      </c>
      <c r="BZ428" s="20">
        <v>0</v>
      </c>
      <c r="CA428" s="20">
        <v>31</v>
      </c>
      <c r="CB428" s="20">
        <v>0</v>
      </c>
      <c r="CC428" s="20">
        <v>0</v>
      </c>
      <c r="CD428" s="22" t="s">
        <v>1331</v>
      </c>
      <c r="CE428" s="22" t="s">
        <v>1331</v>
      </c>
      <c r="CF428" s="22" t="s">
        <v>1315</v>
      </c>
      <c r="CG428" s="22" t="s">
        <v>1315</v>
      </c>
      <c r="CH428" s="22" t="s">
        <v>1315</v>
      </c>
      <c r="CI428" s="22" t="s">
        <v>1315</v>
      </c>
      <c r="CJ428" s="149" t="s">
        <v>1124</v>
      </c>
      <c r="CK428" s="241" t="s">
        <v>1124</v>
      </c>
    </row>
    <row r="429" spans="1:89" ht="15" customHeight="1" x14ac:dyDescent="0.35">
      <c r="A429" s="17"/>
      <c r="B429" s="313">
        <v>39015</v>
      </c>
      <c r="C429" s="8" t="s">
        <v>339</v>
      </c>
      <c r="D429" s="18">
        <v>17</v>
      </c>
      <c r="E429" s="131" t="s">
        <v>1319</v>
      </c>
      <c r="F429" s="22" t="s">
        <v>1310</v>
      </c>
      <c r="G429" s="132" t="s">
        <v>1309</v>
      </c>
      <c r="H429" s="22" t="s">
        <v>1311</v>
      </c>
      <c r="I429" s="22" t="s">
        <v>1327</v>
      </c>
      <c r="J429" s="22" t="s">
        <v>1327</v>
      </c>
      <c r="K429" s="22" t="s">
        <v>1314</v>
      </c>
      <c r="L429" s="22" t="s">
        <v>1311</v>
      </c>
      <c r="M429" s="133" t="s">
        <v>1311</v>
      </c>
      <c r="N429" s="22" t="s">
        <v>1311</v>
      </c>
      <c r="O429" s="22" t="s">
        <v>1314</v>
      </c>
      <c r="P429" s="22" t="s">
        <v>1318</v>
      </c>
      <c r="Q429" s="20">
        <v>0</v>
      </c>
      <c r="R429" s="20">
        <v>0</v>
      </c>
      <c r="S429" s="20">
        <v>0</v>
      </c>
      <c r="T429" s="20">
        <v>0</v>
      </c>
      <c r="U429" s="20">
        <v>0</v>
      </c>
      <c r="V429" s="20">
        <v>0</v>
      </c>
      <c r="W429" s="20">
        <v>0</v>
      </c>
      <c r="X429" s="20">
        <v>0</v>
      </c>
      <c r="Y429" s="20">
        <v>0</v>
      </c>
      <c r="Z429" s="20">
        <v>0</v>
      </c>
      <c r="AA429" s="20" t="s">
        <v>1317</v>
      </c>
      <c r="AB429" s="22" t="s">
        <v>1318</v>
      </c>
      <c r="AC429" s="20">
        <v>1</v>
      </c>
      <c r="AD429" s="20">
        <v>1</v>
      </c>
      <c r="AE429" s="20">
        <v>0</v>
      </c>
      <c r="AF429" s="20">
        <v>1</v>
      </c>
      <c r="AG429" s="20">
        <v>1</v>
      </c>
      <c r="AH429" s="20">
        <v>0</v>
      </c>
      <c r="AI429" s="328">
        <v>47.505938242280287</v>
      </c>
      <c r="AJ429" s="328">
        <v>14.705882352941176</v>
      </c>
      <c r="AK429" s="328" t="s">
        <v>1328</v>
      </c>
      <c r="AL429" s="22" t="s">
        <v>1329</v>
      </c>
      <c r="AM429" s="22" t="s">
        <v>1330</v>
      </c>
      <c r="AN429" s="22" t="s">
        <v>1317</v>
      </c>
      <c r="AO429" s="22" t="s">
        <v>1318</v>
      </c>
      <c r="AP429" s="22" t="s">
        <v>1318</v>
      </c>
      <c r="AQ429" s="22" t="s">
        <v>1318</v>
      </c>
      <c r="AR429" s="22" t="s">
        <v>1317</v>
      </c>
      <c r="AS429" s="22" t="s">
        <v>1318</v>
      </c>
      <c r="AT429" s="22" t="s">
        <v>1317</v>
      </c>
      <c r="AU429" s="22" t="s">
        <v>1318</v>
      </c>
      <c r="AV429" s="22" t="s">
        <v>1317</v>
      </c>
      <c r="AW429" s="22" t="s">
        <v>1318</v>
      </c>
      <c r="AX429" s="22" t="s">
        <v>1317</v>
      </c>
      <c r="AY429" s="22" t="s">
        <v>1318</v>
      </c>
      <c r="AZ429" s="22" t="s">
        <v>1309</v>
      </c>
      <c r="BA429" s="22" t="s">
        <v>1309</v>
      </c>
      <c r="BB429" s="22" t="s">
        <v>1309</v>
      </c>
      <c r="BC429" s="22" t="s">
        <v>1309</v>
      </c>
      <c r="BD429" s="22" t="s">
        <v>1317</v>
      </c>
      <c r="BE429" s="22" t="s">
        <v>1318</v>
      </c>
      <c r="BF429" s="22" t="s">
        <v>1317</v>
      </c>
      <c r="BG429" s="22" t="s">
        <v>1318</v>
      </c>
      <c r="BH429" s="22" t="s">
        <v>1317</v>
      </c>
      <c r="BI429" s="22" t="s">
        <v>1318</v>
      </c>
      <c r="BJ429" s="22" t="s">
        <v>1317</v>
      </c>
      <c r="BK429" s="22" t="s">
        <v>1318</v>
      </c>
      <c r="BL429" s="22" t="s">
        <v>1317</v>
      </c>
      <c r="BM429" s="22" t="s">
        <v>1318</v>
      </c>
      <c r="BN429" s="22" t="s">
        <v>1317</v>
      </c>
      <c r="BO429" s="22" t="s">
        <v>1318</v>
      </c>
      <c r="BP429" s="22" t="s">
        <v>1309</v>
      </c>
      <c r="BQ429" s="22" t="s">
        <v>1309</v>
      </c>
      <c r="BR429" s="22" t="s">
        <v>1317</v>
      </c>
      <c r="BS429" s="22" t="s">
        <v>1318</v>
      </c>
      <c r="BT429" s="22" t="s">
        <v>1309</v>
      </c>
      <c r="BU429" s="22" t="s">
        <v>1309</v>
      </c>
      <c r="BV429" s="22" t="s">
        <v>1317</v>
      </c>
      <c r="BW429" s="22" t="s">
        <v>1318</v>
      </c>
      <c r="BX429" s="20">
        <v>0</v>
      </c>
      <c r="BY429" s="20">
        <v>0</v>
      </c>
      <c r="BZ429" s="20">
        <v>10</v>
      </c>
      <c r="CA429" s="20">
        <v>0</v>
      </c>
      <c r="CB429" s="20">
        <v>0</v>
      </c>
      <c r="CC429" s="20">
        <v>58</v>
      </c>
      <c r="CD429" s="22" t="s">
        <v>1317</v>
      </c>
      <c r="CE429" s="22" t="s">
        <v>1318</v>
      </c>
      <c r="CF429" s="22" t="s">
        <v>1317</v>
      </c>
      <c r="CG429" s="22" t="s">
        <v>1318</v>
      </c>
      <c r="CH429" s="22" t="s">
        <v>1317</v>
      </c>
      <c r="CI429" s="22" t="s">
        <v>1318</v>
      </c>
      <c r="CJ429" s="149" t="s">
        <v>1124</v>
      </c>
      <c r="CK429" s="241" t="s">
        <v>1124</v>
      </c>
    </row>
    <row r="430" spans="1:89" ht="15" customHeight="1" x14ac:dyDescent="0.35">
      <c r="A430" s="17"/>
      <c r="B430" s="313">
        <v>62055</v>
      </c>
      <c r="C430" s="8" t="s">
        <v>627</v>
      </c>
      <c r="D430" s="18">
        <v>14</v>
      </c>
      <c r="E430" s="131"/>
      <c r="F430" s="22"/>
      <c r="G430" s="132"/>
      <c r="H430" s="22"/>
      <c r="I430" s="22"/>
      <c r="J430" s="22"/>
      <c r="K430" s="22"/>
      <c r="L430" s="22"/>
      <c r="M430" s="133"/>
      <c r="N430" s="22"/>
      <c r="O430" s="22"/>
      <c r="P430" s="22"/>
      <c r="Q430" s="20"/>
      <c r="R430" s="20"/>
      <c r="S430" s="20"/>
      <c r="T430" s="20"/>
      <c r="U430" s="20"/>
      <c r="V430" s="20"/>
      <c r="W430" s="20"/>
      <c r="X430" s="20"/>
      <c r="Y430" s="20"/>
      <c r="Z430" s="20"/>
      <c r="AA430" s="20"/>
      <c r="AB430" s="22"/>
      <c r="AC430" s="20"/>
      <c r="AD430" s="20"/>
      <c r="AE430" s="20"/>
      <c r="AF430" s="20" t="s">
        <v>1124</v>
      </c>
      <c r="AG430" s="20" t="s">
        <v>1124</v>
      </c>
      <c r="AH430" s="20" t="s">
        <v>1124</v>
      </c>
      <c r="AI430" s="328"/>
      <c r="AJ430" s="328"/>
      <c r="AK430" s="328"/>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0"/>
      <c r="BY430" s="20"/>
      <c r="BZ430" s="20"/>
      <c r="CA430" s="20"/>
      <c r="CB430" s="20"/>
      <c r="CC430" s="20"/>
      <c r="CD430" s="22"/>
      <c r="CE430" s="22"/>
      <c r="CF430" s="22"/>
      <c r="CG430" s="22"/>
      <c r="CH430" s="22"/>
      <c r="CI430" s="22"/>
      <c r="CJ430" s="149"/>
      <c r="CK430" s="241"/>
    </row>
    <row r="431" spans="1:89" ht="15" customHeight="1" x14ac:dyDescent="0.35">
      <c r="A431" s="17"/>
      <c r="B431" s="313">
        <v>80020</v>
      </c>
      <c r="C431" s="8" t="s">
        <v>806</v>
      </c>
      <c r="D431" s="18">
        <v>7</v>
      </c>
      <c r="E431" s="131"/>
      <c r="F431" s="22"/>
      <c r="G431" s="132"/>
      <c r="H431" s="22"/>
      <c r="I431" s="22"/>
      <c r="J431" s="22"/>
      <c r="K431" s="22"/>
      <c r="L431" s="22"/>
      <c r="M431" s="133"/>
      <c r="N431" s="22"/>
      <c r="O431" s="22"/>
      <c r="P431" s="22"/>
      <c r="Q431" s="20"/>
      <c r="R431" s="20"/>
      <c r="S431" s="20"/>
      <c r="T431" s="20"/>
      <c r="U431" s="20"/>
      <c r="V431" s="20"/>
      <c r="W431" s="20"/>
      <c r="X431" s="20"/>
      <c r="Y431" s="20"/>
      <c r="Z431" s="20"/>
      <c r="AA431" s="20"/>
      <c r="AB431" s="22"/>
      <c r="AC431" s="20"/>
      <c r="AD431" s="20"/>
      <c r="AE431" s="20"/>
      <c r="AF431" s="20" t="s">
        <v>1124</v>
      </c>
      <c r="AG431" s="20" t="s">
        <v>1124</v>
      </c>
      <c r="AH431" s="20" t="s">
        <v>1124</v>
      </c>
      <c r="AI431" s="328"/>
      <c r="AJ431" s="328"/>
      <c r="AK431" s="328"/>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0"/>
      <c r="BY431" s="20"/>
      <c r="BZ431" s="20"/>
      <c r="CA431" s="20"/>
      <c r="CB431" s="20"/>
      <c r="CC431" s="20"/>
      <c r="CD431" s="22"/>
      <c r="CE431" s="22"/>
      <c r="CF431" s="22"/>
      <c r="CG431" s="22"/>
      <c r="CH431" s="22"/>
      <c r="CI431" s="22"/>
      <c r="CJ431" s="149"/>
      <c r="CK431" s="241"/>
    </row>
    <row r="432" spans="1:89" ht="15" customHeight="1" x14ac:dyDescent="0.35">
      <c r="A432" s="17"/>
      <c r="B432" s="313">
        <v>82010</v>
      </c>
      <c r="C432" s="8" t="s">
        <v>829</v>
      </c>
      <c r="D432" s="18">
        <v>7</v>
      </c>
      <c r="E432" s="131"/>
      <c r="F432" s="22"/>
      <c r="G432" s="132"/>
      <c r="H432" s="22"/>
      <c r="I432" s="22"/>
      <c r="J432" s="22"/>
      <c r="K432" s="22"/>
      <c r="L432" s="22"/>
      <c r="M432" s="133"/>
      <c r="N432" s="22"/>
      <c r="O432" s="22"/>
      <c r="P432" s="22"/>
      <c r="Q432" s="20"/>
      <c r="R432" s="20"/>
      <c r="S432" s="20"/>
      <c r="T432" s="20"/>
      <c r="U432" s="20"/>
      <c r="V432" s="20"/>
      <c r="W432" s="20"/>
      <c r="X432" s="20"/>
      <c r="Y432" s="20"/>
      <c r="Z432" s="20"/>
      <c r="AA432" s="20"/>
      <c r="AB432" s="22"/>
      <c r="AC432" s="20"/>
      <c r="AD432" s="20"/>
      <c r="AE432" s="20"/>
      <c r="AF432" s="20" t="s">
        <v>1124</v>
      </c>
      <c r="AG432" s="20" t="s">
        <v>1124</v>
      </c>
      <c r="AH432" s="20" t="s">
        <v>1124</v>
      </c>
      <c r="AI432" s="328"/>
      <c r="AJ432" s="328"/>
      <c r="AK432" s="328"/>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0"/>
      <c r="BY432" s="20"/>
      <c r="BZ432" s="20"/>
      <c r="CA432" s="20"/>
      <c r="CB432" s="20"/>
      <c r="CC432" s="20"/>
      <c r="CD432" s="22"/>
      <c r="CE432" s="22"/>
      <c r="CF432" s="22"/>
      <c r="CG432" s="22"/>
      <c r="CH432" s="22"/>
      <c r="CI432" s="22"/>
      <c r="CJ432" s="149"/>
      <c r="CK432" s="241"/>
    </row>
    <row r="433" spans="1:89" ht="15" customHeight="1" x14ac:dyDescent="0.35">
      <c r="A433" s="17"/>
      <c r="B433" s="313">
        <v>71065</v>
      </c>
      <c r="C433" s="8" t="s">
        <v>714</v>
      </c>
      <c r="D433" s="18">
        <v>16</v>
      </c>
      <c r="E433" s="131" t="s">
        <v>1309</v>
      </c>
      <c r="F433" s="22" t="s">
        <v>1309</v>
      </c>
      <c r="G433" s="132" t="s">
        <v>1309</v>
      </c>
      <c r="H433" s="22" t="s">
        <v>1311</v>
      </c>
      <c r="I433" s="22" t="s">
        <v>1327</v>
      </c>
      <c r="J433" s="22" t="s">
        <v>1327</v>
      </c>
      <c r="K433" s="22" t="s">
        <v>1319</v>
      </c>
      <c r="L433" s="22" t="s">
        <v>1311</v>
      </c>
      <c r="M433" s="133" t="s">
        <v>1311</v>
      </c>
      <c r="N433" s="22" t="s">
        <v>1311</v>
      </c>
      <c r="O433" s="22" t="s">
        <v>1309</v>
      </c>
      <c r="P433" s="22" t="s">
        <v>1309</v>
      </c>
      <c r="Q433" s="20">
        <v>0</v>
      </c>
      <c r="R433" s="20">
        <v>0</v>
      </c>
      <c r="S433" s="20">
        <v>0</v>
      </c>
      <c r="T433" s="20">
        <v>0</v>
      </c>
      <c r="U433" s="20">
        <v>0</v>
      </c>
      <c r="V433" s="20">
        <v>0</v>
      </c>
      <c r="W433" s="20">
        <v>0</v>
      </c>
      <c r="X433" s="20">
        <v>0</v>
      </c>
      <c r="Y433" s="20">
        <v>0</v>
      </c>
      <c r="Z433" s="20">
        <v>0</v>
      </c>
      <c r="AA433" s="20" t="s">
        <v>1317</v>
      </c>
      <c r="AB433" s="22" t="s">
        <v>1318</v>
      </c>
      <c r="AC433" s="20">
        <v>2</v>
      </c>
      <c r="AD433" s="20">
        <v>0</v>
      </c>
      <c r="AE433" s="20">
        <v>0</v>
      </c>
      <c r="AF433" s="20">
        <v>1</v>
      </c>
      <c r="AG433" s="20">
        <v>0</v>
      </c>
      <c r="AH433" s="20">
        <v>0</v>
      </c>
      <c r="AI433" s="328">
        <v>2.4243305817181229</v>
      </c>
      <c r="AJ433" s="328" t="s">
        <v>1328</v>
      </c>
      <c r="AK433" s="328" t="s">
        <v>1328</v>
      </c>
      <c r="AL433" s="22" t="s">
        <v>1329</v>
      </c>
      <c r="AM433" s="22" t="s">
        <v>1330</v>
      </c>
      <c r="AN433" s="22" t="s">
        <v>1317</v>
      </c>
      <c r="AO433" s="22" t="s">
        <v>1318</v>
      </c>
      <c r="AP433" s="22" t="s">
        <v>1318</v>
      </c>
      <c r="AQ433" s="22" t="s">
        <v>1318</v>
      </c>
      <c r="AR433" s="22" t="s">
        <v>1317</v>
      </c>
      <c r="AS433" s="22" t="s">
        <v>1318</v>
      </c>
      <c r="AT433" s="22" t="s">
        <v>1317</v>
      </c>
      <c r="AU433" s="22" t="s">
        <v>1318</v>
      </c>
      <c r="AV433" s="22" t="s">
        <v>1317</v>
      </c>
      <c r="AW433" s="22" t="s">
        <v>1318</v>
      </c>
      <c r="AX433" s="22" t="s">
        <v>1317</v>
      </c>
      <c r="AY433" s="22" t="s">
        <v>1318</v>
      </c>
      <c r="AZ433" s="22" t="s">
        <v>1309</v>
      </c>
      <c r="BA433" s="22" t="s">
        <v>1309</v>
      </c>
      <c r="BB433" s="22" t="s">
        <v>1309</v>
      </c>
      <c r="BC433" s="22" t="s">
        <v>1309</v>
      </c>
      <c r="BD433" s="22" t="s">
        <v>1309</v>
      </c>
      <c r="BE433" s="22" t="s">
        <v>1309</v>
      </c>
      <c r="BF433" s="22" t="s">
        <v>1309</v>
      </c>
      <c r="BG433" s="22" t="s">
        <v>1309</v>
      </c>
      <c r="BH433" s="22" t="s">
        <v>1309</v>
      </c>
      <c r="BI433" s="22" t="s">
        <v>1309</v>
      </c>
      <c r="BJ433" s="22" t="s">
        <v>1317</v>
      </c>
      <c r="BK433" s="22" t="s">
        <v>1318</v>
      </c>
      <c r="BL433" s="22" t="s">
        <v>1319</v>
      </c>
      <c r="BM433" s="22" t="s">
        <v>1311</v>
      </c>
      <c r="BN433" s="22" t="s">
        <v>1317</v>
      </c>
      <c r="BO433" s="22" t="s">
        <v>1318</v>
      </c>
      <c r="BP433" s="22" t="s">
        <v>1309</v>
      </c>
      <c r="BQ433" s="22" t="s">
        <v>1309</v>
      </c>
      <c r="BR433" s="22" t="s">
        <v>1309</v>
      </c>
      <c r="BS433" s="22" t="s">
        <v>1309</v>
      </c>
      <c r="BT433" s="22" t="s">
        <v>1317</v>
      </c>
      <c r="BU433" s="22" t="s">
        <v>1318</v>
      </c>
      <c r="BV433" s="22" t="s">
        <v>1317</v>
      </c>
      <c r="BW433" s="22" t="s">
        <v>1318</v>
      </c>
      <c r="BX433" s="20">
        <v>152</v>
      </c>
      <c r="BY433" s="20">
        <v>0</v>
      </c>
      <c r="BZ433" s="20">
        <v>22</v>
      </c>
      <c r="CA433" s="20">
        <v>3929</v>
      </c>
      <c r="CB433" s="20">
        <v>0</v>
      </c>
      <c r="CC433" s="20">
        <v>901</v>
      </c>
      <c r="CD433" s="22" t="s">
        <v>1331</v>
      </c>
      <c r="CE433" s="22" t="s">
        <v>1331</v>
      </c>
      <c r="CF433" s="22" t="s">
        <v>1331</v>
      </c>
      <c r="CG433" s="22" t="s">
        <v>1331</v>
      </c>
      <c r="CH433" s="22" t="s">
        <v>1317</v>
      </c>
      <c r="CI433" s="22" t="s">
        <v>1318</v>
      </c>
      <c r="CJ433" s="149" t="s">
        <v>1124</v>
      </c>
      <c r="CK433" s="241" t="s">
        <v>1386</v>
      </c>
    </row>
    <row r="434" spans="1:89" ht="15" customHeight="1" x14ac:dyDescent="0.35">
      <c r="A434" s="17"/>
      <c r="B434" s="313">
        <v>92060</v>
      </c>
      <c r="C434" s="8" t="s">
        <v>955</v>
      </c>
      <c r="D434" s="18">
        <v>2</v>
      </c>
      <c r="E434" s="131"/>
      <c r="F434" s="22"/>
      <c r="G434" s="132"/>
      <c r="H434" s="22"/>
      <c r="I434" s="22"/>
      <c r="J434" s="22"/>
      <c r="K434" s="22"/>
      <c r="L434" s="22"/>
      <c r="M434" s="133"/>
      <c r="N434" s="22"/>
      <c r="O434" s="22"/>
      <c r="P434" s="22"/>
      <c r="Q434" s="20"/>
      <c r="R434" s="20"/>
      <c r="S434" s="20"/>
      <c r="T434" s="20"/>
      <c r="U434" s="20"/>
      <c r="V434" s="20"/>
      <c r="W434" s="20"/>
      <c r="X434" s="20"/>
      <c r="Y434" s="20"/>
      <c r="Z434" s="20"/>
      <c r="AA434" s="20"/>
      <c r="AB434" s="22"/>
      <c r="AC434" s="20"/>
      <c r="AD434" s="20"/>
      <c r="AE434" s="20"/>
      <c r="AF434" s="20" t="s">
        <v>1124</v>
      </c>
      <c r="AG434" s="20" t="s">
        <v>1124</v>
      </c>
      <c r="AH434" s="20" t="s">
        <v>1124</v>
      </c>
      <c r="AI434" s="328"/>
      <c r="AJ434" s="328"/>
      <c r="AK434" s="328"/>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0"/>
      <c r="BY434" s="20"/>
      <c r="BZ434" s="20"/>
      <c r="CA434" s="20"/>
      <c r="CB434" s="20"/>
      <c r="CC434" s="20"/>
      <c r="CD434" s="22"/>
      <c r="CE434" s="22"/>
      <c r="CF434" s="22"/>
      <c r="CG434" s="22"/>
      <c r="CH434" s="22"/>
      <c r="CI434" s="22"/>
      <c r="CJ434" s="149"/>
      <c r="CK434" s="241"/>
    </row>
    <row r="435" spans="1:89" ht="15" customHeight="1" x14ac:dyDescent="0.35">
      <c r="A435" s="17"/>
      <c r="B435" s="313">
        <v>61045</v>
      </c>
      <c r="C435" s="8" t="s">
        <v>617</v>
      </c>
      <c r="D435" s="18">
        <v>14</v>
      </c>
      <c r="E435" s="131" t="s">
        <v>1309</v>
      </c>
      <c r="F435" s="22" t="s">
        <v>1309</v>
      </c>
      <c r="G435" s="132" t="s">
        <v>1309</v>
      </c>
      <c r="H435" s="22" t="s">
        <v>1311</v>
      </c>
      <c r="I435" s="22" t="s">
        <v>1327</v>
      </c>
      <c r="J435" s="22" t="s">
        <v>1327</v>
      </c>
      <c r="K435" s="22" t="s">
        <v>1319</v>
      </c>
      <c r="L435" s="22" t="s">
        <v>1311</v>
      </c>
      <c r="M435" s="133" t="s">
        <v>1311</v>
      </c>
      <c r="N435" s="22" t="s">
        <v>1311</v>
      </c>
      <c r="O435" s="22" t="s">
        <v>1314</v>
      </c>
      <c r="P435" s="22" t="s">
        <v>1311</v>
      </c>
      <c r="Q435" s="20">
        <v>0</v>
      </c>
      <c r="R435" s="20">
        <v>0</v>
      </c>
      <c r="S435" s="20">
        <v>0</v>
      </c>
      <c r="T435" s="20">
        <v>0</v>
      </c>
      <c r="U435" s="20">
        <v>7.7149999999999999</v>
      </c>
      <c r="V435" s="20">
        <v>7.7149999999999999</v>
      </c>
      <c r="W435" s="20">
        <v>0</v>
      </c>
      <c r="X435" s="20">
        <v>0</v>
      </c>
      <c r="Y435" s="20">
        <v>0</v>
      </c>
      <c r="Z435" s="20">
        <v>0</v>
      </c>
      <c r="AA435" s="20" t="s">
        <v>1309</v>
      </c>
      <c r="AB435" s="22" t="s">
        <v>1309</v>
      </c>
      <c r="AC435" s="20">
        <v>0</v>
      </c>
      <c r="AD435" s="20">
        <v>0</v>
      </c>
      <c r="AE435" s="20">
        <v>1</v>
      </c>
      <c r="AF435" s="20">
        <v>0</v>
      </c>
      <c r="AG435" s="20">
        <v>0</v>
      </c>
      <c r="AH435" s="20">
        <v>1</v>
      </c>
      <c r="AI435" s="328" t="s">
        <v>1328</v>
      </c>
      <c r="AJ435" s="328" t="s">
        <v>1328</v>
      </c>
      <c r="AK435" s="328">
        <v>2.3529411764705883</v>
      </c>
      <c r="AL435" s="22" t="s">
        <v>1329</v>
      </c>
      <c r="AM435" s="22" t="s">
        <v>1330</v>
      </c>
      <c r="AN435" s="22" t="s">
        <v>1317</v>
      </c>
      <c r="AO435" s="22" t="s">
        <v>1315</v>
      </c>
      <c r="AP435" s="22" t="s">
        <v>1318</v>
      </c>
      <c r="AQ435" s="22" t="s">
        <v>1315</v>
      </c>
      <c r="AR435" s="22" t="s">
        <v>1317</v>
      </c>
      <c r="AS435" s="22" t="s">
        <v>1318</v>
      </c>
      <c r="AT435" s="22" t="s">
        <v>1309</v>
      </c>
      <c r="AU435" s="22" t="s">
        <v>1309</v>
      </c>
      <c r="AV435" s="22" t="s">
        <v>1309</v>
      </c>
      <c r="AW435" s="22" t="s">
        <v>1309</v>
      </c>
      <c r="AX435" s="22" t="s">
        <v>1317</v>
      </c>
      <c r="AY435" s="22" t="s">
        <v>1318</v>
      </c>
      <c r="AZ435" s="22" t="s">
        <v>1309</v>
      </c>
      <c r="BA435" s="22" t="s">
        <v>1309</v>
      </c>
      <c r="BB435" s="22" t="s">
        <v>1309</v>
      </c>
      <c r="BC435" s="22" t="s">
        <v>1309</v>
      </c>
      <c r="BD435" s="22" t="s">
        <v>1317</v>
      </c>
      <c r="BE435" s="22" t="s">
        <v>1318</v>
      </c>
      <c r="BF435" s="22" t="s">
        <v>1317</v>
      </c>
      <c r="BG435" s="22" t="s">
        <v>1318</v>
      </c>
      <c r="BH435" s="22" t="s">
        <v>1317</v>
      </c>
      <c r="BI435" s="22" t="s">
        <v>1318</v>
      </c>
      <c r="BJ435" s="22" t="s">
        <v>1317</v>
      </c>
      <c r="BK435" s="22" t="s">
        <v>1318</v>
      </c>
      <c r="BL435" s="22" t="s">
        <v>1319</v>
      </c>
      <c r="BM435" s="22" t="s">
        <v>1311</v>
      </c>
      <c r="BN435" s="22" t="s">
        <v>1309</v>
      </c>
      <c r="BO435" s="22" t="s">
        <v>1309</v>
      </c>
      <c r="BP435" s="22" t="s">
        <v>1315</v>
      </c>
      <c r="BQ435" s="22" t="s">
        <v>1315</v>
      </c>
      <c r="BR435" s="22" t="s">
        <v>1315</v>
      </c>
      <c r="BS435" s="22" t="s">
        <v>1315</v>
      </c>
      <c r="BT435" s="22" t="s">
        <v>1309</v>
      </c>
      <c r="BU435" s="22" t="s">
        <v>1309</v>
      </c>
      <c r="BV435" s="22" t="s">
        <v>1309</v>
      </c>
      <c r="BW435" s="22" t="s">
        <v>1309</v>
      </c>
      <c r="BX435" s="20">
        <v>0</v>
      </c>
      <c r="BY435" s="20">
        <v>0</v>
      </c>
      <c r="BZ435" s="20">
        <v>56</v>
      </c>
      <c r="CA435" s="20">
        <v>0</v>
      </c>
      <c r="CB435" s="20">
        <v>0</v>
      </c>
      <c r="CC435" s="20">
        <v>369</v>
      </c>
      <c r="CD435" s="22" t="s">
        <v>1317</v>
      </c>
      <c r="CE435" s="22" t="s">
        <v>1318</v>
      </c>
      <c r="CF435" s="22" t="s">
        <v>1317</v>
      </c>
      <c r="CG435" s="22" t="s">
        <v>1318</v>
      </c>
      <c r="CH435" s="22" t="s">
        <v>1317</v>
      </c>
      <c r="CI435" s="22" t="s">
        <v>1318</v>
      </c>
      <c r="CJ435" s="149" t="s">
        <v>2308</v>
      </c>
      <c r="CK435" s="241" t="s">
        <v>2309</v>
      </c>
    </row>
    <row r="436" spans="1:89" ht="15" customHeight="1" x14ac:dyDescent="0.35">
      <c r="A436" s="17"/>
      <c r="B436" s="313">
        <v>32080</v>
      </c>
      <c r="C436" s="8" t="s">
        <v>265</v>
      </c>
      <c r="D436" s="18">
        <v>17</v>
      </c>
      <c r="E436" s="131"/>
      <c r="F436" s="22"/>
      <c r="G436" s="132"/>
      <c r="H436" s="22"/>
      <c r="I436" s="22"/>
      <c r="J436" s="22"/>
      <c r="K436" s="22"/>
      <c r="L436" s="22"/>
      <c r="M436" s="133"/>
      <c r="N436" s="22"/>
      <c r="O436" s="22"/>
      <c r="P436" s="22"/>
      <c r="Q436" s="20"/>
      <c r="R436" s="20"/>
      <c r="S436" s="20"/>
      <c r="T436" s="20"/>
      <c r="U436" s="20"/>
      <c r="V436" s="20"/>
      <c r="W436" s="20"/>
      <c r="X436" s="20"/>
      <c r="Y436" s="20"/>
      <c r="Z436" s="20"/>
      <c r="AA436" s="20"/>
      <c r="AB436" s="22"/>
      <c r="AC436" s="20"/>
      <c r="AD436" s="20"/>
      <c r="AE436" s="20"/>
      <c r="AF436" s="20" t="s">
        <v>1124</v>
      </c>
      <c r="AG436" s="20" t="s">
        <v>1124</v>
      </c>
      <c r="AH436" s="20" t="s">
        <v>1124</v>
      </c>
      <c r="AI436" s="328"/>
      <c r="AJ436" s="328"/>
      <c r="AK436" s="328"/>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0"/>
      <c r="BY436" s="20"/>
      <c r="BZ436" s="20"/>
      <c r="CA436" s="20"/>
      <c r="CB436" s="20"/>
      <c r="CC436" s="20"/>
      <c r="CD436" s="22"/>
      <c r="CE436" s="22"/>
      <c r="CF436" s="22"/>
      <c r="CG436" s="22"/>
      <c r="CH436" s="22"/>
      <c r="CI436" s="22"/>
      <c r="CJ436" s="149"/>
      <c r="CK436" s="241"/>
    </row>
    <row r="437" spans="1:89" ht="15" customHeight="1" x14ac:dyDescent="0.35">
      <c r="A437" s="17"/>
      <c r="B437" s="313">
        <v>35005</v>
      </c>
      <c r="C437" s="8" t="s">
        <v>303</v>
      </c>
      <c r="D437" s="18">
        <v>4</v>
      </c>
      <c r="E437" s="131"/>
      <c r="F437" s="22"/>
      <c r="G437" s="132"/>
      <c r="H437" s="22"/>
      <c r="I437" s="22"/>
      <c r="J437" s="22"/>
      <c r="K437" s="22"/>
      <c r="L437" s="22"/>
      <c r="M437" s="133"/>
      <c r="N437" s="22"/>
      <c r="O437" s="22"/>
      <c r="P437" s="22"/>
      <c r="Q437" s="20"/>
      <c r="R437" s="20"/>
      <c r="S437" s="20"/>
      <c r="T437" s="20"/>
      <c r="U437" s="20"/>
      <c r="V437" s="20"/>
      <c r="W437" s="20"/>
      <c r="X437" s="20"/>
      <c r="Y437" s="20"/>
      <c r="Z437" s="20"/>
      <c r="AA437" s="20"/>
      <c r="AB437" s="22"/>
      <c r="AC437" s="20"/>
      <c r="AD437" s="20"/>
      <c r="AE437" s="20"/>
      <c r="AF437" s="20" t="s">
        <v>1124</v>
      </c>
      <c r="AG437" s="20" t="s">
        <v>1124</v>
      </c>
      <c r="AH437" s="20" t="s">
        <v>1124</v>
      </c>
      <c r="AI437" s="328"/>
      <c r="AJ437" s="328"/>
      <c r="AK437" s="328"/>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0"/>
      <c r="BY437" s="20"/>
      <c r="BZ437" s="20"/>
      <c r="CA437" s="20"/>
      <c r="CB437" s="20"/>
      <c r="CC437" s="20"/>
      <c r="CD437" s="22"/>
      <c r="CE437" s="22"/>
      <c r="CF437" s="22"/>
      <c r="CG437" s="22"/>
      <c r="CH437" s="22"/>
      <c r="CI437" s="22"/>
      <c r="CJ437" s="149"/>
      <c r="CK437" s="241"/>
    </row>
    <row r="438" spans="1:89" ht="15" customHeight="1" x14ac:dyDescent="0.35">
      <c r="A438" s="17"/>
      <c r="B438" s="313">
        <v>79010</v>
      </c>
      <c r="C438" s="8" t="s">
        <v>787</v>
      </c>
      <c r="D438" s="18">
        <v>15</v>
      </c>
      <c r="E438" s="131" t="s">
        <v>1309</v>
      </c>
      <c r="F438" s="22" t="s">
        <v>1309</v>
      </c>
      <c r="G438" s="132" t="s">
        <v>1309</v>
      </c>
      <c r="H438" s="22" t="s">
        <v>1311</v>
      </c>
      <c r="I438" s="22" t="s">
        <v>1327</v>
      </c>
      <c r="J438" s="22" t="s">
        <v>1342</v>
      </c>
      <c r="K438" s="22" t="s">
        <v>1309</v>
      </c>
      <c r="L438" s="22" t="s">
        <v>1309</v>
      </c>
      <c r="M438" s="133" t="s">
        <v>1311</v>
      </c>
      <c r="N438" s="22" t="s">
        <v>1311</v>
      </c>
      <c r="O438" s="22" t="s">
        <v>1315</v>
      </c>
      <c r="P438" s="22" t="s">
        <v>1315</v>
      </c>
      <c r="Q438" s="20">
        <v>0</v>
      </c>
      <c r="R438" s="20">
        <v>0</v>
      </c>
      <c r="S438" s="20">
        <v>0</v>
      </c>
      <c r="T438" s="20">
        <v>0</v>
      </c>
      <c r="U438" s="20">
        <v>0</v>
      </c>
      <c r="V438" s="20">
        <v>5.343</v>
      </c>
      <c r="W438" s="20">
        <v>0</v>
      </c>
      <c r="X438" s="20">
        <v>0</v>
      </c>
      <c r="Y438" s="20">
        <v>0</v>
      </c>
      <c r="Z438" s="20">
        <v>0</v>
      </c>
      <c r="AA438" s="20" t="s">
        <v>1317</v>
      </c>
      <c r="AB438" s="22" t="s">
        <v>1309</v>
      </c>
      <c r="AC438" s="20">
        <v>0</v>
      </c>
      <c r="AD438" s="20">
        <v>0</v>
      </c>
      <c r="AE438" s="20">
        <v>0</v>
      </c>
      <c r="AF438" s="20">
        <v>0</v>
      </c>
      <c r="AG438" s="20">
        <v>0</v>
      </c>
      <c r="AH438" s="20">
        <v>0</v>
      </c>
      <c r="AI438" s="328" t="s">
        <v>1328</v>
      </c>
      <c r="AJ438" s="328" t="s">
        <v>1328</v>
      </c>
      <c r="AK438" s="328" t="s">
        <v>1328</v>
      </c>
      <c r="AL438" s="22" t="s">
        <v>1315</v>
      </c>
      <c r="AM438" s="22" t="s">
        <v>1330</v>
      </c>
      <c r="AN438" s="22" t="s">
        <v>1315</v>
      </c>
      <c r="AO438" s="22" t="s">
        <v>1315</v>
      </c>
      <c r="AP438" s="22" t="s">
        <v>1315</v>
      </c>
      <c r="AQ438" s="22" t="s">
        <v>1315</v>
      </c>
      <c r="AR438" s="22" t="s">
        <v>1317</v>
      </c>
      <c r="AS438" s="22" t="s">
        <v>1311</v>
      </c>
      <c r="AT438" s="22" t="s">
        <v>1317</v>
      </c>
      <c r="AU438" s="22" t="s">
        <v>1311</v>
      </c>
      <c r="AV438" s="22" t="s">
        <v>1317</v>
      </c>
      <c r="AW438" s="22" t="s">
        <v>1318</v>
      </c>
      <c r="AX438" s="22" t="s">
        <v>1317</v>
      </c>
      <c r="AY438" s="22" t="s">
        <v>1318</v>
      </c>
      <c r="AZ438" s="22" t="s">
        <v>1317</v>
      </c>
      <c r="BA438" s="22" t="s">
        <v>1318</v>
      </c>
      <c r="BB438" s="22" t="s">
        <v>1309</v>
      </c>
      <c r="BC438" s="22" t="s">
        <v>1309</v>
      </c>
      <c r="BD438" s="22" t="s">
        <v>1317</v>
      </c>
      <c r="BE438" s="22" t="s">
        <v>1318</v>
      </c>
      <c r="BF438" s="22" t="s">
        <v>1317</v>
      </c>
      <c r="BG438" s="22" t="s">
        <v>1318</v>
      </c>
      <c r="BH438" s="22" t="s">
        <v>1309</v>
      </c>
      <c r="BI438" s="22" t="s">
        <v>1309</v>
      </c>
      <c r="BJ438" s="22" t="s">
        <v>1317</v>
      </c>
      <c r="BK438" s="22" t="s">
        <v>1318</v>
      </c>
      <c r="BL438" s="22" t="s">
        <v>1317</v>
      </c>
      <c r="BM438" s="22" t="s">
        <v>1318</v>
      </c>
      <c r="BN438" s="22" t="s">
        <v>1309</v>
      </c>
      <c r="BO438" s="22" t="s">
        <v>1309</v>
      </c>
      <c r="BP438" s="22" t="s">
        <v>1315</v>
      </c>
      <c r="BQ438" s="22" t="s">
        <v>1311</v>
      </c>
      <c r="BR438" s="22" t="s">
        <v>1317</v>
      </c>
      <c r="BS438" s="22" t="s">
        <v>1311</v>
      </c>
      <c r="BT438" s="22" t="s">
        <v>1317</v>
      </c>
      <c r="BU438" s="22" t="s">
        <v>1318</v>
      </c>
      <c r="BV438" s="22" t="s">
        <v>1317</v>
      </c>
      <c r="BW438" s="22" t="s">
        <v>1318</v>
      </c>
      <c r="BX438" s="20">
        <v>0</v>
      </c>
      <c r="BY438" s="20">
        <v>0</v>
      </c>
      <c r="BZ438" s="20">
        <v>14</v>
      </c>
      <c r="CA438" s="20">
        <v>0</v>
      </c>
      <c r="CB438" s="20">
        <v>0</v>
      </c>
      <c r="CC438" s="20">
        <v>90</v>
      </c>
      <c r="CD438" s="22" t="s">
        <v>1317</v>
      </c>
      <c r="CE438" s="22" t="s">
        <v>1318</v>
      </c>
      <c r="CF438" s="22" t="s">
        <v>1317</v>
      </c>
      <c r="CG438" s="22" t="s">
        <v>1318</v>
      </c>
      <c r="CH438" s="22" t="s">
        <v>1317</v>
      </c>
      <c r="CI438" s="22" t="s">
        <v>1318</v>
      </c>
      <c r="CJ438" s="149" t="s">
        <v>2313</v>
      </c>
      <c r="CK438" s="241" t="s">
        <v>2314</v>
      </c>
    </row>
    <row r="439" spans="1:89" ht="15" customHeight="1" x14ac:dyDescent="0.35">
      <c r="A439" s="17"/>
      <c r="B439" s="313">
        <v>23015</v>
      </c>
      <c r="C439" s="8" t="s">
        <v>162</v>
      </c>
      <c r="D439" s="18">
        <v>3</v>
      </c>
      <c r="E439" s="131"/>
      <c r="F439" s="22"/>
      <c r="G439" s="132"/>
      <c r="H439" s="22"/>
      <c r="I439" s="22"/>
      <c r="J439" s="22"/>
      <c r="K439" s="22"/>
      <c r="L439" s="22"/>
      <c r="M439" s="133"/>
      <c r="N439" s="22"/>
      <c r="O439" s="22"/>
      <c r="P439" s="22"/>
      <c r="Q439" s="20"/>
      <c r="R439" s="20"/>
      <c r="S439" s="20"/>
      <c r="T439" s="20"/>
      <c r="U439" s="20"/>
      <c r="V439" s="20"/>
      <c r="W439" s="20"/>
      <c r="X439" s="20"/>
      <c r="Y439" s="20"/>
      <c r="Z439" s="20"/>
      <c r="AA439" s="20"/>
      <c r="AB439" s="22"/>
      <c r="AC439" s="20"/>
      <c r="AD439" s="20"/>
      <c r="AE439" s="20"/>
      <c r="AF439" s="20" t="s">
        <v>1124</v>
      </c>
      <c r="AG439" s="20" t="s">
        <v>1124</v>
      </c>
      <c r="AH439" s="20" t="s">
        <v>1124</v>
      </c>
      <c r="AI439" s="328"/>
      <c r="AJ439" s="328"/>
      <c r="AK439" s="328"/>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0"/>
      <c r="BY439" s="20"/>
      <c r="BZ439" s="20"/>
      <c r="CA439" s="20"/>
      <c r="CB439" s="20"/>
      <c r="CC439" s="20"/>
      <c r="CD439" s="22"/>
      <c r="CE439" s="22"/>
      <c r="CF439" s="22"/>
      <c r="CG439" s="22"/>
      <c r="CH439" s="22"/>
      <c r="CI439" s="22"/>
      <c r="CJ439" s="149"/>
      <c r="CK439" s="241"/>
    </row>
    <row r="440" spans="1:89" ht="15" customHeight="1" x14ac:dyDescent="0.35">
      <c r="A440" s="17"/>
      <c r="B440" s="313">
        <v>30010</v>
      </c>
      <c r="C440" s="8" t="s">
        <v>218</v>
      </c>
      <c r="D440" s="18">
        <v>5</v>
      </c>
      <c r="E440" s="131" t="s">
        <v>1309</v>
      </c>
      <c r="F440" s="22" t="s">
        <v>1309</v>
      </c>
      <c r="G440" s="132" t="s">
        <v>1309</v>
      </c>
      <c r="H440" s="22" t="s">
        <v>1311</v>
      </c>
      <c r="I440" s="22" t="s">
        <v>1327</v>
      </c>
      <c r="J440" s="22" t="s">
        <v>1327</v>
      </c>
      <c r="K440" s="22" t="s">
        <v>1319</v>
      </c>
      <c r="L440" s="22" t="s">
        <v>1309</v>
      </c>
      <c r="M440" s="133" t="s">
        <v>1311</v>
      </c>
      <c r="N440" s="22" t="s">
        <v>1311</v>
      </c>
      <c r="O440" s="22" t="s">
        <v>1314</v>
      </c>
      <c r="P440" s="22" t="s">
        <v>1318</v>
      </c>
      <c r="Q440" s="20">
        <v>3.3</v>
      </c>
      <c r="R440" s="20">
        <v>3.3</v>
      </c>
      <c r="S440" s="20">
        <v>0</v>
      </c>
      <c r="T440" s="20">
        <v>0</v>
      </c>
      <c r="U440" s="20">
        <v>0</v>
      </c>
      <c r="V440" s="20">
        <v>0</v>
      </c>
      <c r="W440" s="20">
        <v>0</v>
      </c>
      <c r="X440" s="20">
        <v>0</v>
      </c>
      <c r="Y440" s="20">
        <v>0</v>
      </c>
      <c r="Z440" s="20">
        <v>0</v>
      </c>
      <c r="AA440" s="20" t="s">
        <v>1317</v>
      </c>
      <c r="AB440" s="22" t="s">
        <v>1318</v>
      </c>
      <c r="AC440" s="20">
        <v>0</v>
      </c>
      <c r="AD440" s="20">
        <v>0</v>
      </c>
      <c r="AE440" s="20">
        <v>0</v>
      </c>
      <c r="AF440" s="20">
        <v>0</v>
      </c>
      <c r="AG440" s="20">
        <v>0</v>
      </c>
      <c r="AH440" s="20">
        <v>0</v>
      </c>
      <c r="AI440" s="328" t="s">
        <v>1328</v>
      </c>
      <c r="AJ440" s="328" t="s">
        <v>1328</v>
      </c>
      <c r="AK440" s="328" t="s">
        <v>1328</v>
      </c>
      <c r="AL440" s="22" t="s">
        <v>1329</v>
      </c>
      <c r="AM440" s="22" t="s">
        <v>1330</v>
      </c>
      <c r="AN440" s="22" t="s">
        <v>1317</v>
      </c>
      <c r="AO440" s="22" t="s">
        <v>1318</v>
      </c>
      <c r="AP440" s="22" t="s">
        <v>1318</v>
      </c>
      <c r="AQ440" s="22" t="s">
        <v>1318</v>
      </c>
      <c r="AR440" s="22" t="s">
        <v>1317</v>
      </c>
      <c r="AS440" s="22" t="s">
        <v>1318</v>
      </c>
      <c r="AT440" s="22" t="s">
        <v>1317</v>
      </c>
      <c r="AU440" s="22" t="s">
        <v>1318</v>
      </c>
      <c r="AV440" s="22" t="s">
        <v>1317</v>
      </c>
      <c r="AW440" s="22" t="s">
        <v>1318</v>
      </c>
      <c r="AX440" s="22" t="s">
        <v>1317</v>
      </c>
      <c r="AY440" s="22" t="s">
        <v>1318</v>
      </c>
      <c r="AZ440" s="22" t="s">
        <v>1317</v>
      </c>
      <c r="BA440" s="22" t="s">
        <v>1318</v>
      </c>
      <c r="BB440" s="22" t="s">
        <v>1309</v>
      </c>
      <c r="BC440" s="22" t="s">
        <v>1309</v>
      </c>
      <c r="BD440" s="22" t="s">
        <v>1317</v>
      </c>
      <c r="BE440" s="22" t="s">
        <v>1318</v>
      </c>
      <c r="BF440" s="22" t="s">
        <v>1317</v>
      </c>
      <c r="BG440" s="22" t="s">
        <v>1318</v>
      </c>
      <c r="BH440" s="22" t="s">
        <v>1315</v>
      </c>
      <c r="BI440" s="22" t="s">
        <v>1315</v>
      </c>
      <c r="BJ440" s="22" t="s">
        <v>1317</v>
      </c>
      <c r="BK440" s="22" t="s">
        <v>1318</v>
      </c>
      <c r="BL440" s="22" t="s">
        <v>1317</v>
      </c>
      <c r="BM440" s="22" t="s">
        <v>1311</v>
      </c>
      <c r="BN440" s="22" t="s">
        <v>1317</v>
      </c>
      <c r="BO440" s="22" t="s">
        <v>1318</v>
      </c>
      <c r="BP440" s="22" t="s">
        <v>1315</v>
      </c>
      <c r="BQ440" s="22" t="s">
        <v>1315</v>
      </c>
      <c r="BR440" s="22" t="s">
        <v>1309</v>
      </c>
      <c r="BS440" s="22" t="s">
        <v>1309</v>
      </c>
      <c r="BT440" s="22" t="s">
        <v>1315</v>
      </c>
      <c r="BU440" s="22" t="s">
        <v>1315</v>
      </c>
      <c r="BV440" s="22" t="s">
        <v>1317</v>
      </c>
      <c r="BW440" s="22" t="s">
        <v>1318</v>
      </c>
      <c r="BX440" s="20">
        <v>0</v>
      </c>
      <c r="BY440" s="20">
        <v>7</v>
      </c>
      <c r="BZ440" s="20">
        <v>0</v>
      </c>
      <c r="CA440" s="20">
        <v>0</v>
      </c>
      <c r="CB440" s="20">
        <v>2</v>
      </c>
      <c r="CC440" s="20">
        <v>84</v>
      </c>
      <c r="CD440" s="22" t="s">
        <v>1331</v>
      </c>
      <c r="CE440" s="22" t="s">
        <v>1331</v>
      </c>
      <c r="CF440" s="22" t="s">
        <v>1320</v>
      </c>
      <c r="CG440" s="22" t="s">
        <v>1318</v>
      </c>
      <c r="CH440" s="22" t="s">
        <v>1317</v>
      </c>
      <c r="CI440" s="22" t="s">
        <v>1318</v>
      </c>
      <c r="CJ440" s="149" t="s">
        <v>1124</v>
      </c>
      <c r="CK440" s="241" t="s">
        <v>1386</v>
      </c>
    </row>
    <row r="441" spans="1:89" ht="15" customHeight="1" x14ac:dyDescent="0.35">
      <c r="A441" s="17"/>
      <c r="B441" s="313">
        <v>15025</v>
      </c>
      <c r="C441" s="8" t="s">
        <v>79</v>
      </c>
      <c r="D441" s="18">
        <v>3</v>
      </c>
      <c r="E441" s="131" t="s">
        <v>1309</v>
      </c>
      <c r="F441" s="22" t="s">
        <v>1309</v>
      </c>
      <c r="G441" s="132" t="s">
        <v>1309</v>
      </c>
      <c r="H441" s="22" t="s">
        <v>1311</v>
      </c>
      <c r="I441" s="22" t="s">
        <v>1327</v>
      </c>
      <c r="J441" s="22" t="s">
        <v>1327</v>
      </c>
      <c r="K441" s="22" t="s">
        <v>1319</v>
      </c>
      <c r="L441" s="22" t="s">
        <v>1311</v>
      </c>
      <c r="M441" s="133" t="s">
        <v>1311</v>
      </c>
      <c r="N441" s="22" t="s">
        <v>1311</v>
      </c>
      <c r="O441" s="22" t="s">
        <v>1314</v>
      </c>
      <c r="P441" s="22" t="s">
        <v>1318</v>
      </c>
      <c r="Q441" s="20">
        <v>0</v>
      </c>
      <c r="R441" s="20">
        <v>0</v>
      </c>
      <c r="S441" s="20">
        <v>0</v>
      </c>
      <c r="T441" s="20">
        <v>0</v>
      </c>
      <c r="U441" s="20">
        <v>0</v>
      </c>
      <c r="V441" s="20">
        <v>0</v>
      </c>
      <c r="W441" s="20">
        <v>0</v>
      </c>
      <c r="X441" s="20">
        <v>0</v>
      </c>
      <c r="Y441" s="20">
        <v>0</v>
      </c>
      <c r="Z441" s="20">
        <v>0</v>
      </c>
      <c r="AA441" s="20" t="s">
        <v>1317</v>
      </c>
      <c r="AB441" s="22" t="s">
        <v>1318</v>
      </c>
      <c r="AC441" s="20">
        <v>0</v>
      </c>
      <c r="AD441" s="20">
        <v>0</v>
      </c>
      <c r="AE441" s="20">
        <v>0</v>
      </c>
      <c r="AF441" s="20">
        <v>0</v>
      </c>
      <c r="AG441" s="20">
        <v>0</v>
      </c>
      <c r="AH441" s="20">
        <v>0</v>
      </c>
      <c r="AI441" s="328" t="s">
        <v>1328</v>
      </c>
      <c r="AJ441" s="328" t="s">
        <v>1328</v>
      </c>
      <c r="AK441" s="328" t="s">
        <v>1328</v>
      </c>
      <c r="AL441" s="22" t="s">
        <v>1329</v>
      </c>
      <c r="AM441" s="22" t="s">
        <v>1330</v>
      </c>
      <c r="AN441" s="22" t="s">
        <v>1317</v>
      </c>
      <c r="AO441" s="22" t="s">
        <v>1318</v>
      </c>
      <c r="AP441" s="22" t="s">
        <v>1318</v>
      </c>
      <c r="AQ441" s="22" t="s">
        <v>1318</v>
      </c>
      <c r="AR441" s="22" t="s">
        <v>1317</v>
      </c>
      <c r="AS441" s="22" t="s">
        <v>1318</v>
      </c>
      <c r="AT441" s="22" t="s">
        <v>1309</v>
      </c>
      <c r="AU441" s="22" t="s">
        <v>1309</v>
      </c>
      <c r="AV441" s="22" t="s">
        <v>1317</v>
      </c>
      <c r="AW441" s="22" t="s">
        <v>1318</v>
      </c>
      <c r="AX441" s="22" t="s">
        <v>1317</v>
      </c>
      <c r="AY441" s="22" t="s">
        <v>1318</v>
      </c>
      <c r="AZ441" s="22" t="s">
        <v>1309</v>
      </c>
      <c r="BA441" s="22" t="s">
        <v>1309</v>
      </c>
      <c r="BB441" s="22" t="s">
        <v>1309</v>
      </c>
      <c r="BC441" s="22" t="s">
        <v>1309</v>
      </c>
      <c r="BD441" s="22" t="s">
        <v>1317</v>
      </c>
      <c r="BE441" s="22" t="s">
        <v>1318</v>
      </c>
      <c r="BF441" s="22" t="s">
        <v>1317</v>
      </c>
      <c r="BG441" s="22" t="s">
        <v>1318</v>
      </c>
      <c r="BH441" s="22" t="s">
        <v>1317</v>
      </c>
      <c r="BI441" s="22" t="s">
        <v>1318</v>
      </c>
      <c r="BJ441" s="22" t="s">
        <v>1317</v>
      </c>
      <c r="BK441" s="22" t="s">
        <v>1318</v>
      </c>
      <c r="BL441" s="22" t="s">
        <v>1319</v>
      </c>
      <c r="BM441" s="22" t="s">
        <v>1311</v>
      </c>
      <c r="BN441" s="22" t="s">
        <v>1317</v>
      </c>
      <c r="BO441" s="22" t="s">
        <v>1318</v>
      </c>
      <c r="BP441" s="22" t="s">
        <v>1317</v>
      </c>
      <c r="BQ441" s="22" t="s">
        <v>1318</v>
      </c>
      <c r="BR441" s="22" t="s">
        <v>1309</v>
      </c>
      <c r="BS441" s="22" t="s">
        <v>1309</v>
      </c>
      <c r="BT441" s="22" t="s">
        <v>1317</v>
      </c>
      <c r="BU441" s="22" t="s">
        <v>1318</v>
      </c>
      <c r="BV441" s="22" t="s">
        <v>1317</v>
      </c>
      <c r="BW441" s="22" t="s">
        <v>1318</v>
      </c>
      <c r="BX441" s="20">
        <v>0</v>
      </c>
      <c r="BY441" s="20">
        <v>0</v>
      </c>
      <c r="BZ441" s="20">
        <v>8</v>
      </c>
      <c r="CA441" s="20">
        <v>0</v>
      </c>
      <c r="CB441" s="20">
        <v>0</v>
      </c>
      <c r="CC441" s="20">
        <v>232</v>
      </c>
      <c r="CD441" s="22" t="s">
        <v>1317</v>
      </c>
      <c r="CE441" s="22" t="s">
        <v>1318</v>
      </c>
      <c r="CF441" s="22" t="s">
        <v>1317</v>
      </c>
      <c r="CG441" s="22" t="s">
        <v>1318</v>
      </c>
      <c r="CH441" s="22" t="s">
        <v>1317</v>
      </c>
      <c r="CI441" s="22" t="s">
        <v>1318</v>
      </c>
      <c r="CJ441" s="149" t="s">
        <v>1124</v>
      </c>
      <c r="CK441" s="241" t="s">
        <v>1124</v>
      </c>
    </row>
    <row r="442" spans="1:89" ht="15" customHeight="1" x14ac:dyDescent="0.35">
      <c r="A442" s="17"/>
      <c r="B442" s="313">
        <v>11045</v>
      </c>
      <c r="C442" s="8" t="s">
        <v>25</v>
      </c>
      <c r="D442" s="18">
        <v>1</v>
      </c>
      <c r="E442" s="131" t="s">
        <v>1309</v>
      </c>
      <c r="F442" s="22" t="s">
        <v>1309</v>
      </c>
      <c r="G442" s="132" t="s">
        <v>1309</v>
      </c>
      <c r="H442" s="22" t="s">
        <v>1311</v>
      </c>
      <c r="I442" s="22" t="s">
        <v>1315</v>
      </c>
      <c r="J442" s="22" t="s">
        <v>1315</v>
      </c>
      <c r="K442" s="22" t="s">
        <v>1309</v>
      </c>
      <c r="L442" s="22" t="s">
        <v>1309</v>
      </c>
      <c r="M442" s="133" t="s">
        <v>1311</v>
      </c>
      <c r="N442" s="22" t="s">
        <v>1311</v>
      </c>
      <c r="O442" s="22" t="s">
        <v>1314</v>
      </c>
      <c r="P442" s="22" t="s">
        <v>1318</v>
      </c>
      <c r="Q442" s="20">
        <v>0</v>
      </c>
      <c r="R442" s="20">
        <v>0</v>
      </c>
      <c r="S442" s="20">
        <v>0</v>
      </c>
      <c r="T442" s="20">
        <v>0</v>
      </c>
      <c r="U442" s="20">
        <v>12</v>
      </c>
      <c r="V442" s="20">
        <v>0</v>
      </c>
      <c r="W442" s="20">
        <v>0</v>
      </c>
      <c r="X442" s="20">
        <v>0</v>
      </c>
      <c r="Y442" s="20">
        <v>0</v>
      </c>
      <c r="Z442" s="20">
        <v>0</v>
      </c>
      <c r="AA442" s="20" t="s">
        <v>1317</v>
      </c>
      <c r="AB442" s="22" t="s">
        <v>1318</v>
      </c>
      <c r="AC442" s="20">
        <v>0</v>
      </c>
      <c r="AD442" s="20">
        <v>0</v>
      </c>
      <c r="AE442" s="20">
        <v>1</v>
      </c>
      <c r="AF442" s="20">
        <v>0</v>
      </c>
      <c r="AG442" s="20">
        <v>0</v>
      </c>
      <c r="AH442" s="20">
        <v>2</v>
      </c>
      <c r="AI442" s="328" t="s">
        <v>1328</v>
      </c>
      <c r="AJ442" s="328" t="s">
        <v>1328</v>
      </c>
      <c r="AK442" s="328">
        <v>2.8901734104046244</v>
      </c>
      <c r="AL442" s="22" t="s">
        <v>1329</v>
      </c>
      <c r="AM442" s="22" t="s">
        <v>1330</v>
      </c>
      <c r="AN442" s="22" t="s">
        <v>1317</v>
      </c>
      <c r="AO442" s="22" t="s">
        <v>1318</v>
      </c>
      <c r="AP442" s="22" t="s">
        <v>1318</v>
      </c>
      <c r="AQ442" s="22" t="s">
        <v>1318</v>
      </c>
      <c r="AR442" s="22" t="s">
        <v>1315</v>
      </c>
      <c r="AS442" s="22" t="s">
        <v>1315</v>
      </c>
      <c r="AT442" s="22" t="s">
        <v>1309</v>
      </c>
      <c r="AU442" s="22" t="s">
        <v>1309</v>
      </c>
      <c r="AV442" s="22" t="s">
        <v>1309</v>
      </c>
      <c r="AW442" s="22" t="s">
        <v>1309</v>
      </c>
      <c r="AX442" s="22" t="s">
        <v>1317</v>
      </c>
      <c r="AY442" s="22" t="s">
        <v>1318</v>
      </c>
      <c r="AZ442" s="22" t="s">
        <v>1309</v>
      </c>
      <c r="BA442" s="22" t="s">
        <v>1309</v>
      </c>
      <c r="BB442" s="22" t="s">
        <v>1309</v>
      </c>
      <c r="BC442" s="22" t="s">
        <v>1318</v>
      </c>
      <c r="BD442" s="22" t="s">
        <v>1317</v>
      </c>
      <c r="BE442" s="22" t="s">
        <v>1318</v>
      </c>
      <c r="BF442" s="22" t="s">
        <v>1317</v>
      </c>
      <c r="BG442" s="22" t="s">
        <v>1318</v>
      </c>
      <c r="BH442" s="22" t="s">
        <v>1309</v>
      </c>
      <c r="BI442" s="22" t="s">
        <v>1309</v>
      </c>
      <c r="BJ442" s="22" t="s">
        <v>1309</v>
      </c>
      <c r="BK442" s="22" t="s">
        <v>1309</v>
      </c>
      <c r="BL442" s="22" t="s">
        <v>1317</v>
      </c>
      <c r="BM442" s="22" t="s">
        <v>1318</v>
      </c>
      <c r="BN442" s="22" t="s">
        <v>1317</v>
      </c>
      <c r="BO442" s="22" t="s">
        <v>1318</v>
      </c>
      <c r="BP442" s="22" t="s">
        <v>1315</v>
      </c>
      <c r="BQ442" s="22" t="s">
        <v>1315</v>
      </c>
      <c r="BR442" s="22" t="s">
        <v>1309</v>
      </c>
      <c r="BS442" s="22" t="s">
        <v>1309</v>
      </c>
      <c r="BT442" s="22" t="s">
        <v>1315</v>
      </c>
      <c r="BU442" s="22" t="s">
        <v>1315</v>
      </c>
      <c r="BV442" s="22" t="s">
        <v>1317</v>
      </c>
      <c r="BW442" s="22" t="s">
        <v>1318</v>
      </c>
      <c r="BX442" s="20">
        <v>28</v>
      </c>
      <c r="BY442" s="20">
        <v>0</v>
      </c>
      <c r="BZ442" s="20">
        <v>6</v>
      </c>
      <c r="CA442" s="20">
        <v>20</v>
      </c>
      <c r="CB442" s="20">
        <v>0</v>
      </c>
      <c r="CC442" s="20">
        <v>292</v>
      </c>
      <c r="CD442" s="22" t="s">
        <v>1345</v>
      </c>
      <c r="CE442" s="22" t="s">
        <v>1321</v>
      </c>
      <c r="CF442" s="22" t="s">
        <v>1331</v>
      </c>
      <c r="CG442" s="22" t="s">
        <v>1331</v>
      </c>
      <c r="CH442" s="22" t="s">
        <v>1317</v>
      </c>
      <c r="CI442" s="22" t="s">
        <v>1318</v>
      </c>
      <c r="CJ442" s="149" t="s">
        <v>2323</v>
      </c>
      <c r="CK442" s="241" t="s">
        <v>1124</v>
      </c>
    </row>
    <row r="443" spans="1:89" ht="15" customHeight="1" x14ac:dyDescent="0.35">
      <c r="A443" s="17"/>
      <c r="B443" s="313">
        <v>29120</v>
      </c>
      <c r="C443" s="8" t="s">
        <v>215</v>
      </c>
      <c r="D443" s="18">
        <v>12</v>
      </c>
      <c r="E443" s="131" t="s">
        <v>1309</v>
      </c>
      <c r="F443" s="22" t="s">
        <v>1309</v>
      </c>
      <c r="G443" s="132" t="s">
        <v>1309</v>
      </c>
      <c r="H443" s="22" t="s">
        <v>1311</v>
      </c>
      <c r="I443" s="22" t="s">
        <v>1327</v>
      </c>
      <c r="J443" s="22" t="s">
        <v>1327</v>
      </c>
      <c r="K443" s="22" t="s">
        <v>1309</v>
      </c>
      <c r="L443" s="22" t="s">
        <v>1309</v>
      </c>
      <c r="M443" s="133" t="s">
        <v>1311</v>
      </c>
      <c r="N443" s="22" t="s">
        <v>1311</v>
      </c>
      <c r="O443" s="22" t="s">
        <v>1309</v>
      </c>
      <c r="P443" s="22" t="s">
        <v>1309</v>
      </c>
      <c r="Q443" s="20">
        <v>0</v>
      </c>
      <c r="R443" s="20">
        <v>0</v>
      </c>
      <c r="S443" s="20">
        <v>13.621</v>
      </c>
      <c r="T443" s="20">
        <v>13.621</v>
      </c>
      <c r="U443" s="20">
        <v>0</v>
      </c>
      <c r="V443" s="20">
        <v>0</v>
      </c>
      <c r="W443" s="20">
        <v>0</v>
      </c>
      <c r="X443" s="20">
        <v>0</v>
      </c>
      <c r="Y443" s="20">
        <v>0</v>
      </c>
      <c r="Z443" s="20">
        <v>0</v>
      </c>
      <c r="AA443" s="20" t="s">
        <v>1315</v>
      </c>
      <c r="AB443" s="22" t="s">
        <v>1315</v>
      </c>
      <c r="AC443" s="20">
        <v>3</v>
      </c>
      <c r="AD443" s="20">
        <v>0</v>
      </c>
      <c r="AE443" s="20">
        <v>0</v>
      </c>
      <c r="AF443" s="20">
        <v>1</v>
      </c>
      <c r="AG443" s="20">
        <v>0</v>
      </c>
      <c r="AH443" s="20">
        <v>0</v>
      </c>
      <c r="AI443" s="328">
        <v>22.02481462447691</v>
      </c>
      <c r="AJ443" s="328" t="s">
        <v>1328</v>
      </c>
      <c r="AK443" s="328" t="s">
        <v>1328</v>
      </c>
      <c r="AL443" s="22" t="s">
        <v>1329</v>
      </c>
      <c r="AM443" s="22" t="s">
        <v>1330</v>
      </c>
      <c r="AN443" s="22" t="s">
        <v>1317</v>
      </c>
      <c r="AO443" s="22" t="s">
        <v>1318</v>
      </c>
      <c r="AP443" s="22" t="s">
        <v>1318</v>
      </c>
      <c r="AQ443" s="22" t="s">
        <v>1318</v>
      </c>
      <c r="AR443" s="22" t="s">
        <v>1317</v>
      </c>
      <c r="AS443" s="22" t="s">
        <v>1318</v>
      </c>
      <c r="AT443" s="22" t="s">
        <v>1317</v>
      </c>
      <c r="AU443" s="22" t="s">
        <v>1318</v>
      </c>
      <c r="AV443" s="22" t="s">
        <v>1317</v>
      </c>
      <c r="AW443" s="22" t="s">
        <v>1318</v>
      </c>
      <c r="AX443" s="22" t="s">
        <v>1317</v>
      </c>
      <c r="AY443" s="22" t="s">
        <v>1318</v>
      </c>
      <c r="AZ443" s="22" t="s">
        <v>1309</v>
      </c>
      <c r="BA443" s="22" t="s">
        <v>1309</v>
      </c>
      <c r="BB443" s="22" t="s">
        <v>1309</v>
      </c>
      <c r="BC443" s="22" t="s">
        <v>1309</v>
      </c>
      <c r="BD443" s="22" t="s">
        <v>1309</v>
      </c>
      <c r="BE443" s="22" t="s">
        <v>1309</v>
      </c>
      <c r="BF443" s="22" t="s">
        <v>1309</v>
      </c>
      <c r="BG443" s="22" t="s">
        <v>1309</v>
      </c>
      <c r="BH443" s="22" t="s">
        <v>1317</v>
      </c>
      <c r="BI443" s="22" t="s">
        <v>1318</v>
      </c>
      <c r="BJ443" s="22" t="s">
        <v>1309</v>
      </c>
      <c r="BK443" s="22" t="s">
        <v>1309</v>
      </c>
      <c r="BL443" s="22" t="s">
        <v>1317</v>
      </c>
      <c r="BM443" s="22" t="s">
        <v>1318</v>
      </c>
      <c r="BN443" s="22" t="s">
        <v>1309</v>
      </c>
      <c r="BO443" s="22" t="s">
        <v>1309</v>
      </c>
      <c r="BP443" s="22" t="s">
        <v>1317</v>
      </c>
      <c r="BQ443" s="22" t="s">
        <v>1318</v>
      </c>
      <c r="BR443" s="22" t="s">
        <v>1309</v>
      </c>
      <c r="BS443" s="22" t="s">
        <v>1309</v>
      </c>
      <c r="BT443" s="22" t="s">
        <v>1317</v>
      </c>
      <c r="BU443" s="22" t="s">
        <v>1318</v>
      </c>
      <c r="BV443" s="22" t="s">
        <v>1317</v>
      </c>
      <c r="BW443" s="22" t="s">
        <v>1318</v>
      </c>
      <c r="BX443" s="20">
        <v>44</v>
      </c>
      <c r="BY443" s="20">
        <v>0</v>
      </c>
      <c r="BZ443" s="20">
        <v>0</v>
      </c>
      <c r="CA443" s="20">
        <v>621</v>
      </c>
      <c r="CB443" s="20">
        <v>0</v>
      </c>
      <c r="CC443" s="20">
        <v>0</v>
      </c>
      <c r="CD443" s="22" t="s">
        <v>1331</v>
      </c>
      <c r="CE443" s="22" t="s">
        <v>1331</v>
      </c>
      <c r="CF443" s="22" t="s">
        <v>1331</v>
      </c>
      <c r="CG443" s="22" t="s">
        <v>1331</v>
      </c>
      <c r="CH443" s="22" t="s">
        <v>1317</v>
      </c>
      <c r="CI443" s="22" t="s">
        <v>1318</v>
      </c>
      <c r="CJ443" s="149" t="s">
        <v>1124</v>
      </c>
      <c r="CK443" s="241" t="s">
        <v>1124</v>
      </c>
    </row>
    <row r="444" spans="1:89" ht="15" customHeight="1" x14ac:dyDescent="0.35">
      <c r="A444" s="17"/>
      <c r="B444" s="313">
        <v>61030</v>
      </c>
      <c r="C444" s="8" t="s">
        <v>614</v>
      </c>
      <c r="D444" s="18">
        <v>14</v>
      </c>
      <c r="E444" s="131" t="s">
        <v>1309</v>
      </c>
      <c r="F444" s="22" t="s">
        <v>1309</v>
      </c>
      <c r="G444" s="132" t="s">
        <v>1309</v>
      </c>
      <c r="H444" s="22" t="s">
        <v>1311</v>
      </c>
      <c r="I444" s="22" t="s">
        <v>1315</v>
      </c>
      <c r="J444" s="22" t="s">
        <v>1315</v>
      </c>
      <c r="K444" s="22" t="s">
        <v>1309</v>
      </c>
      <c r="L444" s="22" t="s">
        <v>1309</v>
      </c>
      <c r="M444" s="133" t="s">
        <v>1311</v>
      </c>
      <c r="N444" s="22" t="s">
        <v>1311</v>
      </c>
      <c r="O444" s="22" t="s">
        <v>1309</v>
      </c>
      <c r="P444" s="22" t="s">
        <v>1309</v>
      </c>
      <c r="Q444" s="20">
        <v>0</v>
      </c>
      <c r="R444" s="20">
        <v>0</v>
      </c>
      <c r="S444" s="20">
        <v>0</v>
      </c>
      <c r="T444" s="20">
        <v>0</v>
      </c>
      <c r="U444" s="20">
        <v>0</v>
      </c>
      <c r="V444" s="20">
        <v>0</v>
      </c>
      <c r="W444" s="20">
        <v>0</v>
      </c>
      <c r="X444" s="20">
        <v>0</v>
      </c>
      <c r="Y444" s="20">
        <v>0</v>
      </c>
      <c r="Z444" s="20">
        <v>0</v>
      </c>
      <c r="AA444" s="20" t="s">
        <v>1317</v>
      </c>
      <c r="AB444" s="22" t="s">
        <v>1318</v>
      </c>
      <c r="AC444" s="20">
        <v>4</v>
      </c>
      <c r="AD444" s="20">
        <v>0</v>
      </c>
      <c r="AE444" s="20">
        <v>0</v>
      </c>
      <c r="AF444" s="20">
        <v>1</v>
      </c>
      <c r="AG444" s="20">
        <v>0</v>
      </c>
      <c r="AH444" s="20">
        <v>0</v>
      </c>
      <c r="AI444" s="328">
        <v>6.8407641133514616</v>
      </c>
      <c r="AJ444" s="328" t="s">
        <v>1328</v>
      </c>
      <c r="AK444" s="328" t="s">
        <v>1328</v>
      </c>
      <c r="AL444" s="22" t="s">
        <v>1329</v>
      </c>
      <c r="AM444" s="22" t="s">
        <v>1330</v>
      </c>
      <c r="AN444" s="22" t="s">
        <v>1317</v>
      </c>
      <c r="AO444" s="22" t="s">
        <v>1318</v>
      </c>
      <c r="AP444" s="22" t="s">
        <v>1318</v>
      </c>
      <c r="AQ444" s="22" t="s">
        <v>1318</v>
      </c>
      <c r="AR444" s="22" t="s">
        <v>1317</v>
      </c>
      <c r="AS444" s="22" t="s">
        <v>1318</v>
      </c>
      <c r="AT444" s="22" t="s">
        <v>1309</v>
      </c>
      <c r="AU444" s="22" t="s">
        <v>1309</v>
      </c>
      <c r="AV444" s="22" t="s">
        <v>1317</v>
      </c>
      <c r="AW444" s="22" t="s">
        <v>1318</v>
      </c>
      <c r="AX444" s="22" t="s">
        <v>1317</v>
      </c>
      <c r="AY444" s="22" t="s">
        <v>1318</v>
      </c>
      <c r="AZ444" s="22" t="s">
        <v>1309</v>
      </c>
      <c r="BA444" s="22" t="s">
        <v>1309</v>
      </c>
      <c r="BB444" s="22" t="s">
        <v>1309</v>
      </c>
      <c r="BC444" s="22" t="s">
        <v>1309</v>
      </c>
      <c r="BD444" s="22" t="s">
        <v>1309</v>
      </c>
      <c r="BE444" s="22" t="s">
        <v>1309</v>
      </c>
      <c r="BF444" s="22" t="s">
        <v>1317</v>
      </c>
      <c r="BG444" s="22" t="s">
        <v>1318</v>
      </c>
      <c r="BH444" s="22" t="s">
        <v>1309</v>
      </c>
      <c r="BI444" s="22" t="s">
        <v>1309</v>
      </c>
      <c r="BJ444" s="22" t="s">
        <v>1309</v>
      </c>
      <c r="BK444" s="22" t="s">
        <v>1309</v>
      </c>
      <c r="BL444" s="22" t="s">
        <v>1319</v>
      </c>
      <c r="BM444" s="22" t="s">
        <v>1311</v>
      </c>
      <c r="BN444" s="22" t="s">
        <v>1309</v>
      </c>
      <c r="BO444" s="22" t="s">
        <v>1309</v>
      </c>
      <c r="BP444" s="22" t="s">
        <v>1309</v>
      </c>
      <c r="BQ444" s="22" t="s">
        <v>1309</v>
      </c>
      <c r="BR444" s="22" t="s">
        <v>1309</v>
      </c>
      <c r="BS444" s="22" t="s">
        <v>1309</v>
      </c>
      <c r="BT444" s="22" t="s">
        <v>1309</v>
      </c>
      <c r="BU444" s="22" t="s">
        <v>1309</v>
      </c>
      <c r="BV444" s="22" t="s">
        <v>1317</v>
      </c>
      <c r="BW444" s="22" t="s">
        <v>1318</v>
      </c>
      <c r="BX444" s="20">
        <v>126</v>
      </c>
      <c r="BY444" s="20">
        <v>6</v>
      </c>
      <c r="BZ444" s="20">
        <v>37</v>
      </c>
      <c r="CA444" s="20">
        <v>0</v>
      </c>
      <c r="CB444" s="20">
        <v>9</v>
      </c>
      <c r="CC444" s="20">
        <v>3000</v>
      </c>
      <c r="CD444" s="22" t="s">
        <v>1345</v>
      </c>
      <c r="CE444" s="22" t="s">
        <v>1318</v>
      </c>
      <c r="CF444" s="22" t="s">
        <v>1320</v>
      </c>
      <c r="CG444" s="22" t="s">
        <v>1318</v>
      </c>
      <c r="CH444" s="22" t="s">
        <v>1317</v>
      </c>
      <c r="CI444" s="22" t="s">
        <v>1318</v>
      </c>
      <c r="CJ444" s="149" t="s">
        <v>1124</v>
      </c>
      <c r="CK444" s="241" t="s">
        <v>1357</v>
      </c>
    </row>
    <row r="445" spans="1:89" ht="15" customHeight="1" x14ac:dyDescent="0.35">
      <c r="A445" s="17"/>
      <c r="B445" s="313">
        <v>12045</v>
      </c>
      <c r="C445" s="8" t="s">
        <v>36</v>
      </c>
      <c r="D445" s="18">
        <v>1</v>
      </c>
      <c r="E445" s="131"/>
      <c r="F445" s="22"/>
      <c r="G445" s="132"/>
      <c r="H445" s="22"/>
      <c r="I445" s="22"/>
      <c r="J445" s="22"/>
      <c r="K445" s="22"/>
      <c r="L445" s="22"/>
      <c r="M445" s="133"/>
      <c r="N445" s="22"/>
      <c r="O445" s="22"/>
      <c r="P445" s="22"/>
      <c r="Q445" s="20"/>
      <c r="R445" s="20"/>
      <c r="S445" s="20"/>
      <c r="T445" s="20"/>
      <c r="U445" s="20"/>
      <c r="V445" s="20"/>
      <c r="W445" s="20"/>
      <c r="X445" s="20"/>
      <c r="Y445" s="20"/>
      <c r="Z445" s="20"/>
      <c r="AA445" s="20"/>
      <c r="AB445" s="22"/>
      <c r="AC445" s="20"/>
      <c r="AD445" s="20"/>
      <c r="AE445" s="20"/>
      <c r="AF445" s="20" t="s">
        <v>1124</v>
      </c>
      <c r="AG445" s="20" t="s">
        <v>1124</v>
      </c>
      <c r="AH445" s="20" t="s">
        <v>1124</v>
      </c>
      <c r="AI445" s="328"/>
      <c r="AJ445" s="328"/>
      <c r="AK445" s="328"/>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0"/>
      <c r="BY445" s="20"/>
      <c r="BZ445" s="20"/>
      <c r="CA445" s="20"/>
      <c r="CB445" s="20"/>
      <c r="CC445" s="20"/>
      <c r="CD445" s="22"/>
      <c r="CE445" s="22"/>
      <c r="CF445" s="22"/>
      <c r="CG445" s="22"/>
      <c r="CH445" s="22"/>
      <c r="CI445" s="22"/>
      <c r="CJ445" s="149"/>
      <c r="CK445" s="241"/>
    </row>
    <row r="446" spans="1:89" ht="15" customHeight="1" x14ac:dyDescent="0.35">
      <c r="A446" s="17"/>
      <c r="B446" s="313">
        <v>46100</v>
      </c>
      <c r="C446" s="8" t="s">
        <v>445</v>
      </c>
      <c r="D446" s="18">
        <v>5</v>
      </c>
      <c r="E446" s="131"/>
      <c r="F446" s="22"/>
      <c r="G446" s="132"/>
      <c r="H446" s="22"/>
      <c r="I446" s="22"/>
      <c r="J446" s="22"/>
      <c r="K446" s="22"/>
      <c r="L446" s="22"/>
      <c r="M446" s="133"/>
      <c r="N446" s="22"/>
      <c r="O446" s="22"/>
      <c r="P446" s="22"/>
      <c r="Q446" s="20"/>
      <c r="R446" s="20"/>
      <c r="S446" s="20"/>
      <c r="T446" s="20"/>
      <c r="U446" s="20"/>
      <c r="V446" s="20"/>
      <c r="W446" s="20"/>
      <c r="X446" s="20"/>
      <c r="Y446" s="20"/>
      <c r="Z446" s="20"/>
      <c r="AA446" s="20"/>
      <c r="AB446" s="22"/>
      <c r="AC446" s="20"/>
      <c r="AD446" s="20"/>
      <c r="AE446" s="20"/>
      <c r="AF446" s="20" t="s">
        <v>1124</v>
      </c>
      <c r="AG446" s="20" t="s">
        <v>1124</v>
      </c>
      <c r="AH446" s="20" t="s">
        <v>1124</v>
      </c>
      <c r="AI446" s="328"/>
      <c r="AJ446" s="328"/>
      <c r="AK446" s="328"/>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0"/>
      <c r="BY446" s="20"/>
      <c r="BZ446" s="20"/>
      <c r="CA446" s="20"/>
      <c r="CB446" s="20"/>
      <c r="CC446" s="20"/>
      <c r="CD446" s="22"/>
      <c r="CE446" s="22"/>
      <c r="CF446" s="22"/>
      <c r="CG446" s="22"/>
      <c r="CH446" s="22"/>
      <c r="CI446" s="22"/>
      <c r="CJ446" s="149"/>
      <c r="CK446" s="241"/>
    </row>
    <row r="447" spans="1:89" ht="15" customHeight="1" x14ac:dyDescent="0.35">
      <c r="A447" s="17"/>
      <c r="B447" s="313">
        <v>49080</v>
      </c>
      <c r="C447" s="8" t="s">
        <v>474</v>
      </c>
      <c r="D447" s="18">
        <v>17</v>
      </c>
      <c r="E447" s="131"/>
      <c r="F447" s="22"/>
      <c r="G447" s="132"/>
      <c r="H447" s="22"/>
      <c r="I447" s="22"/>
      <c r="J447" s="22"/>
      <c r="K447" s="22"/>
      <c r="L447" s="22"/>
      <c r="M447" s="133"/>
      <c r="N447" s="22"/>
      <c r="O447" s="22"/>
      <c r="P447" s="22"/>
      <c r="Q447" s="20"/>
      <c r="R447" s="20"/>
      <c r="S447" s="20"/>
      <c r="T447" s="20"/>
      <c r="U447" s="20"/>
      <c r="V447" s="20"/>
      <c r="W447" s="20"/>
      <c r="X447" s="20"/>
      <c r="Y447" s="20"/>
      <c r="Z447" s="20"/>
      <c r="AA447" s="20"/>
      <c r="AB447" s="22"/>
      <c r="AC447" s="20"/>
      <c r="AD447" s="20"/>
      <c r="AE447" s="20"/>
      <c r="AF447" s="20" t="s">
        <v>1124</v>
      </c>
      <c r="AG447" s="20" t="s">
        <v>1124</v>
      </c>
      <c r="AH447" s="20" t="s">
        <v>1124</v>
      </c>
      <c r="AI447" s="328"/>
      <c r="AJ447" s="328"/>
      <c r="AK447" s="328"/>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0"/>
      <c r="BY447" s="20"/>
      <c r="BZ447" s="20"/>
      <c r="CA447" s="20"/>
      <c r="CB447" s="20"/>
      <c r="CC447" s="20"/>
      <c r="CD447" s="22"/>
      <c r="CE447" s="22"/>
      <c r="CF447" s="22"/>
      <c r="CG447" s="22"/>
      <c r="CH447" s="22"/>
      <c r="CI447" s="22"/>
      <c r="CJ447" s="149"/>
      <c r="CK447" s="241"/>
    </row>
    <row r="448" spans="1:89" ht="15" customHeight="1" x14ac:dyDescent="0.35">
      <c r="A448" s="17"/>
      <c r="B448" s="313">
        <v>49075</v>
      </c>
      <c r="C448" s="8" t="s">
        <v>473</v>
      </c>
      <c r="D448" s="18">
        <v>17</v>
      </c>
      <c r="E448" s="131" t="s">
        <v>1319</v>
      </c>
      <c r="F448" s="22" t="s">
        <v>1310</v>
      </c>
      <c r="G448" s="132" t="s">
        <v>1309</v>
      </c>
      <c r="H448" s="22" t="s">
        <v>1311</v>
      </c>
      <c r="I448" s="22" t="s">
        <v>1327</v>
      </c>
      <c r="J448" s="22" t="s">
        <v>1327</v>
      </c>
      <c r="K448" s="22" t="s">
        <v>1309</v>
      </c>
      <c r="L448" s="22" t="s">
        <v>1309</v>
      </c>
      <c r="M448" s="133" t="s">
        <v>1311</v>
      </c>
      <c r="N448" s="22" t="s">
        <v>1311</v>
      </c>
      <c r="O448" s="22" t="s">
        <v>1309</v>
      </c>
      <c r="P448" s="22" t="s">
        <v>1311</v>
      </c>
      <c r="Q448" s="20">
        <v>0</v>
      </c>
      <c r="R448" s="20">
        <v>0</v>
      </c>
      <c r="S448" s="20">
        <v>14.472</v>
      </c>
      <c r="T448" s="20">
        <v>0</v>
      </c>
      <c r="U448" s="20">
        <v>0</v>
      </c>
      <c r="V448" s="20">
        <v>18.472000000000001</v>
      </c>
      <c r="W448" s="20">
        <v>0</v>
      </c>
      <c r="X448" s="20">
        <v>0</v>
      </c>
      <c r="Y448" s="20">
        <v>0</v>
      </c>
      <c r="Z448" s="20">
        <v>0</v>
      </c>
      <c r="AA448" s="20" t="s">
        <v>1317</v>
      </c>
      <c r="AB448" s="22" t="s">
        <v>1318</v>
      </c>
      <c r="AC448" s="20">
        <v>0</v>
      </c>
      <c r="AD448" s="20">
        <v>0</v>
      </c>
      <c r="AE448" s="20">
        <v>0</v>
      </c>
      <c r="AF448" s="20">
        <v>0</v>
      </c>
      <c r="AG448" s="20">
        <v>0</v>
      </c>
      <c r="AH448" s="20">
        <v>0</v>
      </c>
      <c r="AI448" s="328" t="s">
        <v>1328</v>
      </c>
      <c r="AJ448" s="328" t="s">
        <v>1328</v>
      </c>
      <c r="AK448" s="328" t="s">
        <v>1328</v>
      </c>
      <c r="AL448" s="22" t="s">
        <v>1329</v>
      </c>
      <c r="AM448" s="22" t="s">
        <v>1330</v>
      </c>
      <c r="AN448" s="22" t="s">
        <v>1526</v>
      </c>
      <c r="AO448" s="22" t="s">
        <v>1318</v>
      </c>
      <c r="AP448" s="22" t="s">
        <v>1318</v>
      </c>
      <c r="AQ448" s="22" t="s">
        <v>1318</v>
      </c>
      <c r="AR448" s="22" t="s">
        <v>1317</v>
      </c>
      <c r="AS448" s="22" t="s">
        <v>1311</v>
      </c>
      <c r="AT448" s="22" t="s">
        <v>1317</v>
      </c>
      <c r="AU448" s="22" t="s">
        <v>1318</v>
      </c>
      <c r="AV448" s="22" t="s">
        <v>1317</v>
      </c>
      <c r="AW448" s="22" t="s">
        <v>1318</v>
      </c>
      <c r="AX448" s="22" t="s">
        <v>1317</v>
      </c>
      <c r="AY448" s="22" t="s">
        <v>1318</v>
      </c>
      <c r="AZ448" s="22" t="s">
        <v>1319</v>
      </c>
      <c r="BA448" s="22" t="s">
        <v>1311</v>
      </c>
      <c r="BB448" s="22" t="s">
        <v>1309</v>
      </c>
      <c r="BC448" s="22" t="s">
        <v>1309</v>
      </c>
      <c r="BD448" s="22" t="s">
        <v>1317</v>
      </c>
      <c r="BE448" s="22" t="s">
        <v>1318</v>
      </c>
      <c r="BF448" s="22" t="s">
        <v>1317</v>
      </c>
      <c r="BG448" s="22" t="s">
        <v>1318</v>
      </c>
      <c r="BH448" s="22" t="s">
        <v>1317</v>
      </c>
      <c r="BI448" s="22" t="s">
        <v>1318</v>
      </c>
      <c r="BJ448" s="22" t="s">
        <v>1309</v>
      </c>
      <c r="BK448" s="22" t="s">
        <v>1309</v>
      </c>
      <c r="BL448" s="22" t="s">
        <v>1317</v>
      </c>
      <c r="BM448" s="22" t="s">
        <v>1318</v>
      </c>
      <c r="BN448" s="22" t="s">
        <v>1309</v>
      </c>
      <c r="BO448" s="22" t="s">
        <v>1309</v>
      </c>
      <c r="BP448" s="22" t="s">
        <v>1309</v>
      </c>
      <c r="BQ448" s="22" t="s">
        <v>1309</v>
      </c>
      <c r="BR448" s="22" t="s">
        <v>1309</v>
      </c>
      <c r="BS448" s="22" t="s">
        <v>1309</v>
      </c>
      <c r="BT448" s="22" t="s">
        <v>1309</v>
      </c>
      <c r="BU448" s="22" t="s">
        <v>1309</v>
      </c>
      <c r="BV448" s="22" t="s">
        <v>1317</v>
      </c>
      <c r="BW448" s="22" t="s">
        <v>1318</v>
      </c>
      <c r="BX448" s="20">
        <v>1</v>
      </c>
      <c r="BY448" s="20">
        <v>33</v>
      </c>
      <c r="BZ448" s="20">
        <v>0</v>
      </c>
      <c r="CA448" s="20">
        <v>0</v>
      </c>
      <c r="CB448" s="20">
        <v>20</v>
      </c>
      <c r="CC448" s="20">
        <v>547</v>
      </c>
      <c r="CD448" s="22" t="s">
        <v>1320</v>
      </c>
      <c r="CE448" s="22" t="s">
        <v>1331</v>
      </c>
      <c r="CF448" s="22" t="s">
        <v>1320</v>
      </c>
      <c r="CG448" s="22" t="s">
        <v>1331</v>
      </c>
      <c r="CH448" s="22" t="s">
        <v>1315</v>
      </c>
      <c r="CI448" s="22" t="s">
        <v>1315</v>
      </c>
      <c r="CJ448" s="149" t="s">
        <v>1124</v>
      </c>
      <c r="CK448" s="241" t="s">
        <v>2334</v>
      </c>
    </row>
    <row r="449" spans="1:89" ht="15" customHeight="1" x14ac:dyDescent="0.35">
      <c r="A449" s="17"/>
      <c r="B449" s="313">
        <v>79005</v>
      </c>
      <c r="C449" s="8" t="s">
        <v>786</v>
      </c>
      <c r="D449" s="18">
        <v>15</v>
      </c>
      <c r="E449" s="131"/>
      <c r="F449" s="22"/>
      <c r="G449" s="132"/>
      <c r="H449" s="22"/>
      <c r="I449" s="22"/>
      <c r="J449" s="22"/>
      <c r="K449" s="22"/>
      <c r="L449" s="22"/>
      <c r="M449" s="133"/>
      <c r="N449" s="22"/>
      <c r="O449" s="22"/>
      <c r="P449" s="22"/>
      <c r="Q449" s="20"/>
      <c r="R449" s="20"/>
      <c r="S449" s="20"/>
      <c r="T449" s="20"/>
      <c r="U449" s="20"/>
      <c r="V449" s="20"/>
      <c r="W449" s="20"/>
      <c r="X449" s="20"/>
      <c r="Y449" s="20"/>
      <c r="Z449" s="20"/>
      <c r="AA449" s="20"/>
      <c r="AB449" s="22"/>
      <c r="AC449" s="20"/>
      <c r="AD449" s="20"/>
      <c r="AE449" s="20"/>
      <c r="AF449" s="20" t="s">
        <v>1124</v>
      </c>
      <c r="AG449" s="20" t="s">
        <v>1124</v>
      </c>
      <c r="AH449" s="20" t="s">
        <v>1124</v>
      </c>
      <c r="AI449" s="328"/>
      <c r="AJ449" s="328"/>
      <c r="AK449" s="328"/>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0"/>
      <c r="BY449" s="20"/>
      <c r="BZ449" s="20"/>
      <c r="CA449" s="20"/>
      <c r="CB449" s="20"/>
      <c r="CC449" s="20"/>
      <c r="CD449" s="22"/>
      <c r="CE449" s="22"/>
      <c r="CF449" s="22"/>
      <c r="CG449" s="22"/>
      <c r="CH449" s="22"/>
      <c r="CI449" s="22"/>
      <c r="CJ449" s="149"/>
      <c r="CK449" s="241"/>
    </row>
    <row r="450" spans="1:89" ht="15" customHeight="1" x14ac:dyDescent="0.35">
      <c r="A450" s="17"/>
      <c r="B450" s="313">
        <v>37235</v>
      </c>
      <c r="C450" s="8" t="s">
        <v>321</v>
      </c>
      <c r="D450" s="18">
        <v>4</v>
      </c>
      <c r="E450" s="131" t="s">
        <v>1309</v>
      </c>
      <c r="F450" s="22" t="s">
        <v>1309</v>
      </c>
      <c r="G450" s="132" t="s">
        <v>1309</v>
      </c>
      <c r="H450" s="22" t="s">
        <v>1311</v>
      </c>
      <c r="I450" s="22" t="s">
        <v>1327</v>
      </c>
      <c r="J450" s="22" t="s">
        <v>1327</v>
      </c>
      <c r="K450" s="22" t="s">
        <v>1319</v>
      </c>
      <c r="L450" s="22" t="s">
        <v>1309</v>
      </c>
      <c r="M450" s="133" t="s">
        <v>1311</v>
      </c>
      <c r="N450" s="22" t="s">
        <v>1311</v>
      </c>
      <c r="O450" s="22" t="s">
        <v>1309</v>
      </c>
      <c r="P450" s="22" t="s">
        <v>1309</v>
      </c>
      <c r="Q450" s="20">
        <v>96.783000000000001</v>
      </c>
      <c r="R450" s="20">
        <v>96.783000000000001</v>
      </c>
      <c r="S450" s="20">
        <v>0</v>
      </c>
      <c r="T450" s="20">
        <v>0</v>
      </c>
      <c r="U450" s="20">
        <v>0</v>
      </c>
      <c r="V450" s="20">
        <v>96.783000000000001</v>
      </c>
      <c r="W450" s="20">
        <v>0</v>
      </c>
      <c r="X450" s="20">
        <v>0</v>
      </c>
      <c r="Y450" s="20">
        <v>0</v>
      </c>
      <c r="Z450" s="20">
        <v>0</v>
      </c>
      <c r="AA450" s="20" t="s">
        <v>1317</v>
      </c>
      <c r="AB450" s="22" t="s">
        <v>1318</v>
      </c>
      <c r="AC450" s="20">
        <v>0</v>
      </c>
      <c r="AD450" s="20">
        <v>2</v>
      </c>
      <c r="AE450" s="20">
        <v>10</v>
      </c>
      <c r="AF450" s="20">
        <v>0</v>
      </c>
      <c r="AG450" s="20">
        <v>1</v>
      </c>
      <c r="AH450" s="20">
        <v>2</v>
      </c>
      <c r="AI450" s="328" t="s">
        <v>1328</v>
      </c>
      <c r="AJ450" s="328">
        <v>0.73152889539136801</v>
      </c>
      <c r="AK450" s="328">
        <v>3.6576444769568397</v>
      </c>
      <c r="AL450" s="22" t="s">
        <v>1329</v>
      </c>
      <c r="AM450" s="22" t="s">
        <v>1330</v>
      </c>
      <c r="AN450" s="22" t="s">
        <v>1315</v>
      </c>
      <c r="AO450" s="22" t="s">
        <v>1315</v>
      </c>
      <c r="AP450" s="22" t="s">
        <v>1315</v>
      </c>
      <c r="AQ450" s="22" t="s">
        <v>1315</v>
      </c>
      <c r="AR450" s="22" t="s">
        <v>1317</v>
      </c>
      <c r="AS450" s="22" t="s">
        <v>1318</v>
      </c>
      <c r="AT450" s="22" t="s">
        <v>1309</v>
      </c>
      <c r="AU450" s="22" t="s">
        <v>1309</v>
      </c>
      <c r="AV450" s="22" t="s">
        <v>1309</v>
      </c>
      <c r="AW450" s="22" t="s">
        <v>1309</v>
      </c>
      <c r="AX450" s="22" t="s">
        <v>1317</v>
      </c>
      <c r="AY450" s="22" t="s">
        <v>1318</v>
      </c>
      <c r="AZ450" s="22" t="s">
        <v>1309</v>
      </c>
      <c r="BA450" s="22" t="s">
        <v>1309</v>
      </c>
      <c r="BB450" s="22" t="s">
        <v>1309</v>
      </c>
      <c r="BC450" s="22" t="s">
        <v>1309</v>
      </c>
      <c r="BD450" s="22" t="s">
        <v>1317</v>
      </c>
      <c r="BE450" s="22" t="s">
        <v>1318</v>
      </c>
      <c r="BF450" s="22" t="s">
        <v>1317</v>
      </c>
      <c r="BG450" s="22" t="s">
        <v>1318</v>
      </c>
      <c r="BH450" s="22" t="s">
        <v>1317</v>
      </c>
      <c r="BI450" s="22" t="s">
        <v>1318</v>
      </c>
      <c r="BJ450" s="22" t="s">
        <v>1317</v>
      </c>
      <c r="BK450" s="22" t="s">
        <v>1318</v>
      </c>
      <c r="BL450" s="22" t="s">
        <v>1319</v>
      </c>
      <c r="BM450" s="22" t="s">
        <v>1311</v>
      </c>
      <c r="BN450" s="22" t="s">
        <v>1309</v>
      </c>
      <c r="BO450" s="22" t="s">
        <v>1309</v>
      </c>
      <c r="BP450" s="22" t="s">
        <v>1309</v>
      </c>
      <c r="BQ450" s="22" t="s">
        <v>1309</v>
      </c>
      <c r="BR450" s="22" t="s">
        <v>1319</v>
      </c>
      <c r="BS450" s="22" t="s">
        <v>1311</v>
      </c>
      <c r="BT450" s="22" t="s">
        <v>1315</v>
      </c>
      <c r="BU450" s="22" t="s">
        <v>1315</v>
      </c>
      <c r="BV450" s="22" t="s">
        <v>1317</v>
      </c>
      <c r="BW450" s="22" t="s">
        <v>1318</v>
      </c>
      <c r="BX450" s="20">
        <v>4</v>
      </c>
      <c r="BY450" s="20">
        <v>0</v>
      </c>
      <c r="BZ450" s="20">
        <v>80</v>
      </c>
      <c r="CA450" s="20">
        <v>0</v>
      </c>
      <c r="CB450" s="20">
        <v>0</v>
      </c>
      <c r="CC450" s="20">
        <v>2650</v>
      </c>
      <c r="CD450" s="22" t="s">
        <v>1317</v>
      </c>
      <c r="CE450" s="22" t="s">
        <v>1318</v>
      </c>
      <c r="CF450" s="22" t="s">
        <v>1317</v>
      </c>
      <c r="CG450" s="22" t="s">
        <v>1318</v>
      </c>
      <c r="CH450" s="22" t="s">
        <v>1317</v>
      </c>
      <c r="CI450" s="22" t="s">
        <v>1318</v>
      </c>
      <c r="CJ450" s="149" t="s">
        <v>1124</v>
      </c>
      <c r="CK450" s="241" t="s">
        <v>1563</v>
      </c>
    </row>
    <row r="451" spans="1:89" ht="15" customHeight="1" x14ac:dyDescent="0.35">
      <c r="A451" s="17"/>
      <c r="B451" s="313">
        <v>85090</v>
      </c>
      <c r="C451" s="8" t="s">
        <v>885</v>
      </c>
      <c r="D451" s="18">
        <v>8</v>
      </c>
      <c r="E451" s="131" t="s">
        <v>1309</v>
      </c>
      <c r="F451" s="22" t="s">
        <v>1310</v>
      </c>
      <c r="G451" s="132" t="s">
        <v>1309</v>
      </c>
      <c r="H451" s="22" t="s">
        <v>1311</v>
      </c>
      <c r="I451" s="22" t="s">
        <v>1327</v>
      </c>
      <c r="J451" s="22" t="s">
        <v>1327</v>
      </c>
      <c r="K451" s="22" t="s">
        <v>1309</v>
      </c>
      <c r="L451" s="22" t="s">
        <v>1309</v>
      </c>
      <c r="M451" s="133" t="s">
        <v>1311</v>
      </c>
      <c r="N451" s="22" t="s">
        <v>1311</v>
      </c>
      <c r="O451" s="22" t="s">
        <v>1314</v>
      </c>
      <c r="P451" s="22" t="s">
        <v>1318</v>
      </c>
      <c r="Q451" s="20">
        <v>0</v>
      </c>
      <c r="R451" s="20">
        <v>0</v>
      </c>
      <c r="S451" s="20">
        <v>0.6</v>
      </c>
      <c r="T451" s="20">
        <v>28.68</v>
      </c>
      <c r="U451" s="20">
        <v>0.6</v>
      </c>
      <c r="V451" s="20">
        <v>0.6</v>
      </c>
      <c r="W451" s="20">
        <v>0</v>
      </c>
      <c r="X451" s="20">
        <v>0</v>
      </c>
      <c r="Y451" s="20">
        <v>0</v>
      </c>
      <c r="Z451" s="20">
        <v>0</v>
      </c>
      <c r="AA451" s="20" t="s">
        <v>1319</v>
      </c>
      <c r="AB451" s="22" t="s">
        <v>1311</v>
      </c>
      <c r="AC451" s="20">
        <v>1</v>
      </c>
      <c r="AD451" s="20">
        <v>3</v>
      </c>
      <c r="AE451" s="20">
        <v>1</v>
      </c>
      <c r="AF451" s="20">
        <v>2</v>
      </c>
      <c r="AG451" s="20">
        <v>2</v>
      </c>
      <c r="AH451" s="20">
        <v>6</v>
      </c>
      <c r="AI451" s="328">
        <v>6.9735006973500697</v>
      </c>
      <c r="AJ451" s="328">
        <v>5.7803468208092488</v>
      </c>
      <c r="AK451" s="328">
        <v>1.9267822736030829</v>
      </c>
      <c r="AL451" s="22" t="s">
        <v>1329</v>
      </c>
      <c r="AM451" s="22" t="s">
        <v>1330</v>
      </c>
      <c r="AN451" s="22" t="s">
        <v>1317</v>
      </c>
      <c r="AO451" s="22" t="s">
        <v>1318</v>
      </c>
      <c r="AP451" s="22" t="s">
        <v>1318</v>
      </c>
      <c r="AQ451" s="22" t="s">
        <v>1318</v>
      </c>
      <c r="AR451" s="22" t="s">
        <v>1317</v>
      </c>
      <c r="AS451" s="22" t="s">
        <v>1318</v>
      </c>
      <c r="AT451" s="22" t="s">
        <v>1317</v>
      </c>
      <c r="AU451" s="22" t="s">
        <v>1318</v>
      </c>
      <c r="AV451" s="22" t="s">
        <v>1317</v>
      </c>
      <c r="AW451" s="22" t="s">
        <v>1318</v>
      </c>
      <c r="AX451" s="22" t="s">
        <v>1317</v>
      </c>
      <c r="AY451" s="22" t="s">
        <v>1318</v>
      </c>
      <c r="AZ451" s="22" t="s">
        <v>1309</v>
      </c>
      <c r="BA451" s="22" t="s">
        <v>1311</v>
      </c>
      <c r="BB451" s="22" t="s">
        <v>1309</v>
      </c>
      <c r="BC451" s="22" t="s">
        <v>1309</v>
      </c>
      <c r="BD451" s="22" t="s">
        <v>1317</v>
      </c>
      <c r="BE451" s="22" t="s">
        <v>1318</v>
      </c>
      <c r="BF451" s="22" t="s">
        <v>1319</v>
      </c>
      <c r="BG451" s="22" t="s">
        <v>1311</v>
      </c>
      <c r="BH451" s="22" t="s">
        <v>1309</v>
      </c>
      <c r="BI451" s="22" t="s">
        <v>1309</v>
      </c>
      <c r="BJ451" s="22" t="s">
        <v>1317</v>
      </c>
      <c r="BK451" s="22" t="s">
        <v>1318</v>
      </c>
      <c r="BL451" s="22" t="s">
        <v>1317</v>
      </c>
      <c r="BM451" s="22" t="s">
        <v>1318</v>
      </c>
      <c r="BN451" s="22" t="s">
        <v>1309</v>
      </c>
      <c r="BO451" s="22" t="s">
        <v>1309</v>
      </c>
      <c r="BP451" s="22" t="s">
        <v>1309</v>
      </c>
      <c r="BQ451" s="22" t="s">
        <v>1309</v>
      </c>
      <c r="BR451" s="22" t="s">
        <v>1309</v>
      </c>
      <c r="BS451" s="22" t="s">
        <v>1309</v>
      </c>
      <c r="BT451" s="22" t="s">
        <v>1309</v>
      </c>
      <c r="BU451" s="22" t="s">
        <v>1309</v>
      </c>
      <c r="BV451" s="22" t="s">
        <v>1317</v>
      </c>
      <c r="BW451" s="22" t="s">
        <v>1318</v>
      </c>
      <c r="BX451" s="20">
        <v>23</v>
      </c>
      <c r="BY451" s="20">
        <v>6</v>
      </c>
      <c r="BZ451" s="20">
        <v>1</v>
      </c>
      <c r="CA451" s="20">
        <v>18</v>
      </c>
      <c r="CB451" s="20">
        <v>2</v>
      </c>
      <c r="CC451" s="20">
        <v>436</v>
      </c>
      <c r="CD451" s="22" t="s">
        <v>1345</v>
      </c>
      <c r="CE451" s="22" t="s">
        <v>1321</v>
      </c>
      <c r="CF451" s="22" t="s">
        <v>1345</v>
      </c>
      <c r="CG451" s="22" t="s">
        <v>1321</v>
      </c>
      <c r="CH451" s="22" t="s">
        <v>1317</v>
      </c>
      <c r="CI451" s="22" t="s">
        <v>1318</v>
      </c>
      <c r="CJ451" s="149" t="s">
        <v>1124</v>
      </c>
      <c r="CK451" s="241" t="s">
        <v>1124</v>
      </c>
    </row>
    <row r="452" spans="1:89" ht="15" customHeight="1" x14ac:dyDescent="0.35">
      <c r="A452" s="17"/>
      <c r="B452" s="313">
        <v>12080</v>
      </c>
      <c r="C452" s="8" t="s">
        <v>40</v>
      </c>
      <c r="D452" s="18">
        <v>1</v>
      </c>
      <c r="E452" s="131" t="s">
        <v>1309</v>
      </c>
      <c r="F452" s="22" t="s">
        <v>1309</v>
      </c>
      <c r="G452" s="132" t="s">
        <v>1309</v>
      </c>
      <c r="H452" s="22" t="s">
        <v>1311</v>
      </c>
      <c r="I452" s="22" t="s">
        <v>1327</v>
      </c>
      <c r="J452" s="22" t="s">
        <v>1327</v>
      </c>
      <c r="K452" s="22" t="s">
        <v>1309</v>
      </c>
      <c r="L452" s="22" t="s">
        <v>1309</v>
      </c>
      <c r="M452" s="133" t="s">
        <v>1311</v>
      </c>
      <c r="N452" s="22" t="s">
        <v>1311</v>
      </c>
      <c r="O452" s="22" t="s">
        <v>1314</v>
      </c>
      <c r="P452" s="22" t="s">
        <v>1318</v>
      </c>
      <c r="Q452" s="20">
        <v>0</v>
      </c>
      <c r="R452" s="20">
        <v>0</v>
      </c>
      <c r="S452" s="20">
        <v>0</v>
      </c>
      <c r="T452" s="20">
        <v>0</v>
      </c>
      <c r="U452" s="20">
        <v>2.972</v>
      </c>
      <c r="V452" s="20">
        <v>2.972</v>
      </c>
      <c r="W452" s="20">
        <v>0</v>
      </c>
      <c r="X452" s="20">
        <v>0</v>
      </c>
      <c r="Y452" s="20">
        <v>0</v>
      </c>
      <c r="Z452" s="20">
        <v>0</v>
      </c>
      <c r="AA452" s="20" t="s">
        <v>1309</v>
      </c>
      <c r="AB452" s="22" t="s">
        <v>1309</v>
      </c>
      <c r="AC452" s="20">
        <v>0</v>
      </c>
      <c r="AD452" s="20">
        <v>0</v>
      </c>
      <c r="AE452" s="20">
        <v>0</v>
      </c>
      <c r="AF452" s="20">
        <v>0</v>
      </c>
      <c r="AG452" s="20">
        <v>0</v>
      </c>
      <c r="AH452" s="20">
        <v>0</v>
      </c>
      <c r="AI452" s="328" t="s">
        <v>1328</v>
      </c>
      <c r="AJ452" s="328" t="s">
        <v>1328</v>
      </c>
      <c r="AK452" s="328" t="s">
        <v>1328</v>
      </c>
      <c r="AL452" s="22" t="s">
        <v>1329</v>
      </c>
      <c r="AM452" s="22" t="s">
        <v>1330</v>
      </c>
      <c r="AN452" s="22" t="s">
        <v>1317</v>
      </c>
      <c r="AO452" s="22" t="s">
        <v>1318</v>
      </c>
      <c r="AP452" s="22" t="s">
        <v>1318</v>
      </c>
      <c r="AQ452" s="22" t="s">
        <v>1318</v>
      </c>
      <c r="AR452" s="22" t="s">
        <v>1317</v>
      </c>
      <c r="AS452" s="22" t="s">
        <v>1318</v>
      </c>
      <c r="AT452" s="22" t="s">
        <v>1317</v>
      </c>
      <c r="AU452" s="22" t="s">
        <v>1318</v>
      </c>
      <c r="AV452" s="22" t="s">
        <v>1317</v>
      </c>
      <c r="AW452" s="22" t="s">
        <v>1318</v>
      </c>
      <c r="AX452" s="22" t="s">
        <v>1317</v>
      </c>
      <c r="AY452" s="22" t="s">
        <v>1318</v>
      </c>
      <c r="AZ452" s="22" t="s">
        <v>1309</v>
      </c>
      <c r="BA452" s="22" t="s">
        <v>1309</v>
      </c>
      <c r="BB452" s="22" t="s">
        <v>1309</v>
      </c>
      <c r="BC452" s="22" t="s">
        <v>1309</v>
      </c>
      <c r="BD452" s="22" t="s">
        <v>1317</v>
      </c>
      <c r="BE452" s="22" t="s">
        <v>1311</v>
      </c>
      <c r="BF452" s="22" t="s">
        <v>1309</v>
      </c>
      <c r="BG452" s="22" t="s">
        <v>1309</v>
      </c>
      <c r="BH452" s="22" t="s">
        <v>1309</v>
      </c>
      <c r="BI452" s="22" t="s">
        <v>1309</v>
      </c>
      <c r="BJ452" s="22" t="s">
        <v>1317</v>
      </c>
      <c r="BK452" s="22" t="s">
        <v>1318</v>
      </c>
      <c r="BL452" s="22" t="s">
        <v>1309</v>
      </c>
      <c r="BM452" s="22" t="s">
        <v>1309</v>
      </c>
      <c r="BN452" s="22" t="s">
        <v>1317</v>
      </c>
      <c r="BO452" s="22" t="s">
        <v>1318</v>
      </c>
      <c r="BP452" s="22" t="s">
        <v>1309</v>
      </c>
      <c r="BQ452" s="22" t="s">
        <v>1309</v>
      </c>
      <c r="BR452" s="22" t="s">
        <v>1309</v>
      </c>
      <c r="BS452" s="22" t="s">
        <v>1309</v>
      </c>
      <c r="BT452" s="22" t="s">
        <v>1315</v>
      </c>
      <c r="BU452" s="22" t="s">
        <v>1315</v>
      </c>
      <c r="BV452" s="22" t="s">
        <v>1309</v>
      </c>
      <c r="BW452" s="22" t="s">
        <v>1309</v>
      </c>
      <c r="BX452" s="20">
        <v>7</v>
      </c>
      <c r="BY452" s="20">
        <v>0</v>
      </c>
      <c r="BZ452" s="20">
        <v>0</v>
      </c>
      <c r="CA452" s="20">
        <v>130</v>
      </c>
      <c r="CB452" s="20">
        <v>0</v>
      </c>
      <c r="CC452" s="20">
        <v>0</v>
      </c>
      <c r="CD452" s="22" t="s">
        <v>1331</v>
      </c>
      <c r="CE452" s="22" t="s">
        <v>1331</v>
      </c>
      <c r="CF452" s="22" t="s">
        <v>1331</v>
      </c>
      <c r="CG452" s="22" t="s">
        <v>1331</v>
      </c>
      <c r="CH452" s="22" t="s">
        <v>1317</v>
      </c>
      <c r="CI452" s="22" t="s">
        <v>1318</v>
      </c>
      <c r="CJ452" s="149" t="s">
        <v>2344</v>
      </c>
      <c r="CK452" s="241" t="s">
        <v>1124</v>
      </c>
    </row>
    <row r="453" spans="1:89" ht="15" customHeight="1" x14ac:dyDescent="0.35">
      <c r="A453" s="17"/>
      <c r="B453" s="313">
        <v>18040</v>
      </c>
      <c r="C453" s="8" t="s">
        <v>111</v>
      </c>
      <c r="D453" s="18">
        <v>12</v>
      </c>
      <c r="E453" s="131" t="s">
        <v>1309</v>
      </c>
      <c r="F453" s="22" t="s">
        <v>1309</v>
      </c>
      <c r="G453" s="132" t="s">
        <v>1309</v>
      </c>
      <c r="H453" s="22" t="s">
        <v>1311</v>
      </c>
      <c r="I453" s="22" t="s">
        <v>1327</v>
      </c>
      <c r="J453" s="22" t="s">
        <v>1327</v>
      </c>
      <c r="K453" s="22" t="s">
        <v>1309</v>
      </c>
      <c r="L453" s="22" t="s">
        <v>1309</v>
      </c>
      <c r="M453" s="133" t="s">
        <v>1311</v>
      </c>
      <c r="N453" s="22" t="s">
        <v>1311</v>
      </c>
      <c r="O453" s="22" t="s">
        <v>1315</v>
      </c>
      <c r="P453" s="22" t="s">
        <v>1315</v>
      </c>
      <c r="Q453" s="20">
        <v>3.4750000000000001</v>
      </c>
      <c r="R453" s="20">
        <v>3.4750000000000001</v>
      </c>
      <c r="S453" s="20">
        <v>0</v>
      </c>
      <c r="T453" s="20">
        <v>0</v>
      </c>
      <c r="U453" s="20">
        <v>0</v>
      </c>
      <c r="V453" s="20">
        <v>0</v>
      </c>
      <c r="W453" s="20">
        <v>0</v>
      </c>
      <c r="X453" s="20">
        <v>0</v>
      </c>
      <c r="Y453" s="20">
        <v>0</v>
      </c>
      <c r="Z453" s="20">
        <v>0</v>
      </c>
      <c r="AA453" s="20" t="s">
        <v>1317</v>
      </c>
      <c r="AB453" s="22" t="s">
        <v>1318</v>
      </c>
      <c r="AC453" s="20">
        <v>0</v>
      </c>
      <c r="AD453" s="20">
        <v>1</v>
      </c>
      <c r="AE453" s="20">
        <v>0</v>
      </c>
      <c r="AF453" s="20">
        <v>0</v>
      </c>
      <c r="AG453" s="20">
        <v>1</v>
      </c>
      <c r="AH453" s="20">
        <v>0</v>
      </c>
      <c r="AI453" s="328" t="s">
        <v>1328</v>
      </c>
      <c r="AJ453" s="328">
        <v>6.2111801242236027</v>
      </c>
      <c r="AK453" s="328" t="s">
        <v>1328</v>
      </c>
      <c r="AL453" s="22" t="s">
        <v>1338</v>
      </c>
      <c r="AM453" s="22" t="s">
        <v>1330</v>
      </c>
      <c r="AN453" s="22" t="s">
        <v>1317</v>
      </c>
      <c r="AO453" s="22" t="s">
        <v>1318</v>
      </c>
      <c r="AP453" s="22" t="s">
        <v>1318</v>
      </c>
      <c r="AQ453" s="22" t="s">
        <v>1318</v>
      </c>
      <c r="AR453" s="22" t="s">
        <v>1317</v>
      </c>
      <c r="AS453" s="22" t="s">
        <v>1318</v>
      </c>
      <c r="AT453" s="22" t="s">
        <v>1317</v>
      </c>
      <c r="AU453" s="22" t="s">
        <v>1318</v>
      </c>
      <c r="AV453" s="22" t="s">
        <v>1317</v>
      </c>
      <c r="AW453" s="22" t="s">
        <v>1318</v>
      </c>
      <c r="AX453" s="22" t="s">
        <v>1317</v>
      </c>
      <c r="AY453" s="22" t="s">
        <v>1318</v>
      </c>
      <c r="AZ453" s="22" t="s">
        <v>1309</v>
      </c>
      <c r="BA453" s="22" t="s">
        <v>1309</v>
      </c>
      <c r="BB453" s="22" t="s">
        <v>1309</v>
      </c>
      <c r="BC453" s="22" t="s">
        <v>1309</v>
      </c>
      <c r="BD453" s="22" t="s">
        <v>1319</v>
      </c>
      <c r="BE453" s="22" t="s">
        <v>1311</v>
      </c>
      <c r="BF453" s="22" t="s">
        <v>1319</v>
      </c>
      <c r="BG453" s="22" t="s">
        <v>1311</v>
      </c>
      <c r="BH453" s="22" t="s">
        <v>1309</v>
      </c>
      <c r="BI453" s="22" t="s">
        <v>1309</v>
      </c>
      <c r="BJ453" s="22" t="s">
        <v>1317</v>
      </c>
      <c r="BK453" s="22" t="s">
        <v>1318</v>
      </c>
      <c r="BL453" s="22" t="s">
        <v>1319</v>
      </c>
      <c r="BM453" s="22" t="s">
        <v>1311</v>
      </c>
      <c r="BN453" s="22" t="s">
        <v>1309</v>
      </c>
      <c r="BO453" s="22" t="s">
        <v>1309</v>
      </c>
      <c r="BP453" s="22" t="s">
        <v>1315</v>
      </c>
      <c r="BQ453" s="22" t="s">
        <v>1315</v>
      </c>
      <c r="BR453" s="22" t="s">
        <v>1309</v>
      </c>
      <c r="BS453" s="22" t="s">
        <v>1309</v>
      </c>
      <c r="BT453" s="22" t="s">
        <v>1315</v>
      </c>
      <c r="BU453" s="22" t="s">
        <v>1315</v>
      </c>
      <c r="BV453" s="22" t="s">
        <v>1317</v>
      </c>
      <c r="BW453" s="22" t="s">
        <v>1318</v>
      </c>
      <c r="BX453" s="20">
        <v>0</v>
      </c>
      <c r="BY453" s="20">
        <v>0</v>
      </c>
      <c r="BZ453" s="20">
        <v>4</v>
      </c>
      <c r="CA453" s="20">
        <v>0</v>
      </c>
      <c r="CB453" s="20">
        <v>0</v>
      </c>
      <c r="CC453" s="20">
        <v>157</v>
      </c>
      <c r="CD453" s="22" t="s">
        <v>1317</v>
      </c>
      <c r="CE453" s="22" t="s">
        <v>1318</v>
      </c>
      <c r="CF453" s="22" t="s">
        <v>1317</v>
      </c>
      <c r="CG453" s="22" t="s">
        <v>1318</v>
      </c>
      <c r="CH453" s="22" t="s">
        <v>1317</v>
      </c>
      <c r="CI453" s="22" t="s">
        <v>1318</v>
      </c>
      <c r="CJ453" s="149" t="s">
        <v>1124</v>
      </c>
      <c r="CK453" s="241" t="s">
        <v>1124</v>
      </c>
    </row>
    <row r="454" spans="1:89" ht="15" customHeight="1" x14ac:dyDescent="0.35">
      <c r="A454" s="17"/>
      <c r="B454" s="313">
        <v>33085</v>
      </c>
      <c r="C454" s="8" t="s">
        <v>279</v>
      </c>
      <c r="D454" s="18">
        <v>12</v>
      </c>
      <c r="E454" s="131"/>
      <c r="F454" s="22"/>
      <c r="G454" s="132"/>
      <c r="H454" s="22"/>
      <c r="I454" s="22"/>
      <c r="J454" s="22"/>
      <c r="K454" s="22"/>
      <c r="L454" s="22"/>
      <c r="M454" s="133"/>
      <c r="N454" s="22"/>
      <c r="O454" s="22"/>
      <c r="P454" s="22"/>
      <c r="Q454" s="20"/>
      <c r="R454" s="20"/>
      <c r="S454" s="20"/>
      <c r="T454" s="20"/>
      <c r="U454" s="20"/>
      <c r="V454" s="20"/>
      <c r="W454" s="20"/>
      <c r="X454" s="20"/>
      <c r="Y454" s="20"/>
      <c r="Z454" s="20"/>
      <c r="AA454" s="20"/>
      <c r="AB454" s="22"/>
      <c r="AC454" s="20"/>
      <c r="AD454" s="20"/>
      <c r="AE454" s="20"/>
      <c r="AF454" s="20" t="s">
        <v>1124</v>
      </c>
      <c r="AG454" s="20" t="s">
        <v>1124</v>
      </c>
      <c r="AH454" s="20" t="s">
        <v>1124</v>
      </c>
      <c r="AI454" s="328"/>
      <c r="AJ454" s="328"/>
      <c r="AK454" s="328"/>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0"/>
      <c r="BY454" s="20"/>
      <c r="BZ454" s="20"/>
      <c r="CA454" s="20"/>
      <c r="CB454" s="20"/>
      <c r="CC454" s="20"/>
      <c r="CD454" s="22"/>
      <c r="CE454" s="22"/>
      <c r="CF454" s="22"/>
      <c r="CG454" s="22"/>
      <c r="CH454" s="22"/>
      <c r="CI454" s="22"/>
      <c r="CJ454" s="149"/>
      <c r="CK454" s="241"/>
    </row>
    <row r="455" spans="1:89" ht="15" customHeight="1" x14ac:dyDescent="0.35">
      <c r="A455" s="17"/>
      <c r="B455" s="313">
        <v>6020</v>
      </c>
      <c r="C455" s="8" t="s">
        <v>1059</v>
      </c>
      <c r="D455" s="18">
        <v>11</v>
      </c>
      <c r="E455" s="131"/>
      <c r="F455" s="22"/>
      <c r="G455" s="132"/>
      <c r="H455" s="22"/>
      <c r="I455" s="22"/>
      <c r="J455" s="22"/>
      <c r="K455" s="22"/>
      <c r="L455" s="22"/>
      <c r="M455" s="133"/>
      <c r="N455" s="22"/>
      <c r="O455" s="22"/>
      <c r="P455" s="22"/>
      <c r="Q455" s="20"/>
      <c r="R455" s="20"/>
      <c r="S455" s="20"/>
      <c r="T455" s="20"/>
      <c r="U455" s="20"/>
      <c r="V455" s="20"/>
      <c r="W455" s="20"/>
      <c r="X455" s="20"/>
      <c r="Y455" s="20"/>
      <c r="Z455" s="20"/>
      <c r="AA455" s="20"/>
      <c r="AB455" s="22"/>
      <c r="AC455" s="20"/>
      <c r="AD455" s="20"/>
      <c r="AE455" s="20"/>
      <c r="AF455" s="20" t="s">
        <v>1124</v>
      </c>
      <c r="AG455" s="20" t="s">
        <v>1124</v>
      </c>
      <c r="AH455" s="20" t="s">
        <v>1124</v>
      </c>
      <c r="AI455" s="328"/>
      <c r="AJ455" s="328"/>
      <c r="AK455" s="328"/>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0"/>
      <c r="BY455" s="20"/>
      <c r="BZ455" s="20"/>
      <c r="CA455" s="20"/>
      <c r="CB455" s="20"/>
      <c r="CC455" s="20"/>
      <c r="CD455" s="22"/>
      <c r="CE455" s="22"/>
      <c r="CF455" s="22"/>
      <c r="CG455" s="22"/>
      <c r="CH455" s="22"/>
      <c r="CI455" s="22"/>
      <c r="CJ455" s="149"/>
      <c r="CK455" s="241"/>
    </row>
    <row r="456" spans="1:89" ht="15" customHeight="1" x14ac:dyDescent="0.35">
      <c r="A456" s="17"/>
      <c r="B456" s="313">
        <v>56015</v>
      </c>
      <c r="C456" s="8" t="s">
        <v>569</v>
      </c>
      <c r="D456" s="18">
        <v>16</v>
      </c>
      <c r="E456" s="131"/>
      <c r="F456" s="22"/>
      <c r="G456" s="132"/>
      <c r="H456" s="22"/>
      <c r="I456" s="22"/>
      <c r="J456" s="22"/>
      <c r="K456" s="22"/>
      <c r="L456" s="22"/>
      <c r="M456" s="133"/>
      <c r="N456" s="22"/>
      <c r="O456" s="22"/>
      <c r="P456" s="22"/>
      <c r="Q456" s="20"/>
      <c r="R456" s="20"/>
      <c r="S456" s="20"/>
      <c r="T456" s="20"/>
      <c r="U456" s="20"/>
      <c r="V456" s="20"/>
      <c r="W456" s="20"/>
      <c r="X456" s="20"/>
      <c r="Y456" s="20"/>
      <c r="Z456" s="20"/>
      <c r="AA456" s="20"/>
      <c r="AB456" s="22"/>
      <c r="AC456" s="20"/>
      <c r="AD456" s="20"/>
      <c r="AE456" s="20"/>
      <c r="AF456" s="20" t="s">
        <v>1124</v>
      </c>
      <c r="AG456" s="20" t="s">
        <v>1124</v>
      </c>
      <c r="AH456" s="20" t="s">
        <v>1124</v>
      </c>
      <c r="AI456" s="328"/>
      <c r="AJ456" s="328"/>
      <c r="AK456" s="328"/>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0"/>
      <c r="BY456" s="20"/>
      <c r="BZ456" s="20"/>
      <c r="CA456" s="20"/>
      <c r="CB456" s="20"/>
      <c r="CC456" s="20"/>
      <c r="CD456" s="22"/>
      <c r="CE456" s="22"/>
      <c r="CF456" s="22"/>
      <c r="CG456" s="22"/>
      <c r="CH456" s="22"/>
      <c r="CI456" s="22"/>
      <c r="CJ456" s="149"/>
      <c r="CK456" s="241"/>
    </row>
    <row r="457" spans="1:89" ht="15" customHeight="1" x14ac:dyDescent="0.35">
      <c r="A457" s="17"/>
      <c r="B457" s="313">
        <v>45020</v>
      </c>
      <c r="C457" s="8" t="s">
        <v>411</v>
      </c>
      <c r="D457" s="18">
        <v>5</v>
      </c>
      <c r="E457" s="131"/>
      <c r="F457" s="22"/>
      <c r="G457" s="132"/>
      <c r="H457" s="22"/>
      <c r="I457" s="22"/>
      <c r="J457" s="22"/>
      <c r="K457" s="22"/>
      <c r="L457" s="22"/>
      <c r="M457" s="133"/>
      <c r="N457" s="22"/>
      <c r="O457" s="22"/>
      <c r="P457" s="22"/>
      <c r="Q457" s="20"/>
      <c r="R457" s="20"/>
      <c r="S457" s="20"/>
      <c r="T457" s="20"/>
      <c r="U457" s="20"/>
      <c r="V457" s="20"/>
      <c r="W457" s="20"/>
      <c r="X457" s="20"/>
      <c r="Y457" s="20"/>
      <c r="Z457" s="20"/>
      <c r="AA457" s="20"/>
      <c r="AB457" s="22"/>
      <c r="AC457" s="20"/>
      <c r="AD457" s="20"/>
      <c r="AE457" s="20"/>
      <c r="AF457" s="20" t="s">
        <v>1124</v>
      </c>
      <c r="AG457" s="20" t="s">
        <v>1124</v>
      </c>
      <c r="AH457" s="20" t="s">
        <v>1124</v>
      </c>
      <c r="AI457" s="328"/>
      <c r="AJ457" s="328"/>
      <c r="AK457" s="328"/>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0"/>
      <c r="BY457" s="20"/>
      <c r="BZ457" s="20"/>
      <c r="CA457" s="20"/>
      <c r="CB457" s="20"/>
      <c r="CC457" s="20"/>
      <c r="CD457" s="22"/>
      <c r="CE457" s="22"/>
      <c r="CF457" s="22"/>
      <c r="CG457" s="22"/>
      <c r="CH457" s="22"/>
      <c r="CI457" s="22"/>
      <c r="CJ457" s="149"/>
      <c r="CK457" s="241"/>
    </row>
    <row r="458" spans="1:89" ht="15" customHeight="1" x14ac:dyDescent="0.35">
      <c r="A458" s="17"/>
      <c r="B458" s="313">
        <v>72032</v>
      </c>
      <c r="C458" s="8" t="s">
        <v>732</v>
      </c>
      <c r="D458" s="18">
        <v>15</v>
      </c>
      <c r="E458" s="131" t="s">
        <v>1309</v>
      </c>
      <c r="F458" s="22" t="s">
        <v>1309</v>
      </c>
      <c r="G458" s="132" t="s">
        <v>1309</v>
      </c>
      <c r="H458" s="22" t="s">
        <v>1311</v>
      </c>
      <c r="I458" s="22" t="s">
        <v>1327</v>
      </c>
      <c r="J458" s="22" t="s">
        <v>1342</v>
      </c>
      <c r="K458" s="22" t="s">
        <v>1314</v>
      </c>
      <c r="L458" s="22" t="s">
        <v>1311</v>
      </c>
      <c r="M458" s="133" t="s">
        <v>1311</v>
      </c>
      <c r="N458" s="22" t="s">
        <v>1311</v>
      </c>
      <c r="O458" s="22" t="s">
        <v>1309</v>
      </c>
      <c r="P458" s="22" t="s">
        <v>1309</v>
      </c>
      <c r="Q458" s="20">
        <v>0</v>
      </c>
      <c r="R458" s="20">
        <v>0</v>
      </c>
      <c r="S458" s="20">
        <v>0</v>
      </c>
      <c r="T458" s="20">
        <v>0.5</v>
      </c>
      <c r="U458" s="20">
        <v>2</v>
      </c>
      <c r="V458" s="20">
        <v>0</v>
      </c>
      <c r="W458" s="20">
        <v>0</v>
      </c>
      <c r="X458" s="20">
        <v>0</v>
      </c>
      <c r="Y458" s="20">
        <v>0</v>
      </c>
      <c r="Z458" s="20">
        <v>0</v>
      </c>
      <c r="AA458" s="20" t="s">
        <v>1317</v>
      </c>
      <c r="AB458" s="22" t="s">
        <v>1318</v>
      </c>
      <c r="AC458" s="20">
        <v>1</v>
      </c>
      <c r="AD458" s="20">
        <v>7</v>
      </c>
      <c r="AE458" s="20">
        <v>0</v>
      </c>
      <c r="AF458" s="20">
        <v>3</v>
      </c>
      <c r="AG458" s="20">
        <v>3</v>
      </c>
      <c r="AH458" s="20">
        <v>0</v>
      </c>
      <c r="AI458" s="328">
        <v>2.7366519799677076</v>
      </c>
      <c r="AJ458" s="328">
        <v>5.094614264919942</v>
      </c>
      <c r="AK458" s="328" t="s">
        <v>1328</v>
      </c>
      <c r="AL458" s="22" t="s">
        <v>1329</v>
      </c>
      <c r="AM458" s="22" t="s">
        <v>1330</v>
      </c>
      <c r="AN458" s="22" t="s">
        <v>1317</v>
      </c>
      <c r="AO458" s="22" t="s">
        <v>1318</v>
      </c>
      <c r="AP458" s="22" t="s">
        <v>1318</v>
      </c>
      <c r="AQ458" s="22" t="s">
        <v>1318</v>
      </c>
      <c r="AR458" s="22" t="s">
        <v>1317</v>
      </c>
      <c r="AS458" s="22" t="s">
        <v>1318</v>
      </c>
      <c r="AT458" s="22" t="s">
        <v>1309</v>
      </c>
      <c r="AU458" s="22" t="s">
        <v>1309</v>
      </c>
      <c r="AV458" s="22" t="s">
        <v>1317</v>
      </c>
      <c r="AW458" s="22" t="s">
        <v>1318</v>
      </c>
      <c r="AX458" s="22" t="s">
        <v>1317</v>
      </c>
      <c r="AY458" s="22" t="s">
        <v>1318</v>
      </c>
      <c r="AZ458" s="22" t="s">
        <v>1317</v>
      </c>
      <c r="BA458" s="22" t="s">
        <v>1318</v>
      </c>
      <c r="BB458" s="22" t="s">
        <v>1309</v>
      </c>
      <c r="BC458" s="22" t="s">
        <v>1309</v>
      </c>
      <c r="BD458" s="22" t="s">
        <v>1309</v>
      </c>
      <c r="BE458" s="22" t="s">
        <v>1309</v>
      </c>
      <c r="BF458" s="22" t="s">
        <v>1317</v>
      </c>
      <c r="BG458" s="22" t="s">
        <v>1318</v>
      </c>
      <c r="BH458" s="22" t="s">
        <v>1309</v>
      </c>
      <c r="BI458" s="22" t="s">
        <v>1309</v>
      </c>
      <c r="BJ458" s="22" t="s">
        <v>1309</v>
      </c>
      <c r="BK458" s="22" t="s">
        <v>1309</v>
      </c>
      <c r="BL458" s="22" t="s">
        <v>1319</v>
      </c>
      <c r="BM458" s="22" t="s">
        <v>1311</v>
      </c>
      <c r="BN458" s="22" t="s">
        <v>1309</v>
      </c>
      <c r="BO458" s="22" t="s">
        <v>1309</v>
      </c>
      <c r="BP458" s="22" t="s">
        <v>1319</v>
      </c>
      <c r="BQ458" s="22" t="s">
        <v>1311</v>
      </c>
      <c r="BR458" s="22" t="s">
        <v>1309</v>
      </c>
      <c r="BS458" s="22" t="s">
        <v>1309</v>
      </c>
      <c r="BT458" s="22" t="s">
        <v>1309</v>
      </c>
      <c r="BU458" s="22" t="s">
        <v>1309</v>
      </c>
      <c r="BV458" s="22" t="s">
        <v>1317</v>
      </c>
      <c r="BW458" s="22" t="s">
        <v>1318</v>
      </c>
      <c r="BX458" s="20">
        <v>4</v>
      </c>
      <c r="BY458" s="20">
        <v>0</v>
      </c>
      <c r="BZ458" s="20">
        <v>74</v>
      </c>
      <c r="CA458" s="20">
        <v>0</v>
      </c>
      <c r="CB458" s="20">
        <v>0</v>
      </c>
      <c r="CC458" s="20">
        <v>1300</v>
      </c>
      <c r="CD458" s="22" t="s">
        <v>1317</v>
      </c>
      <c r="CE458" s="22" t="s">
        <v>1318</v>
      </c>
      <c r="CF458" s="22" t="s">
        <v>1317</v>
      </c>
      <c r="CG458" s="22" t="s">
        <v>1318</v>
      </c>
      <c r="CH458" s="22" t="s">
        <v>1317</v>
      </c>
      <c r="CI458" s="22" t="s">
        <v>1318</v>
      </c>
      <c r="CJ458" s="149" t="s">
        <v>1124</v>
      </c>
      <c r="CK458" s="241" t="s">
        <v>1357</v>
      </c>
    </row>
    <row r="459" spans="1:89" ht="15" customHeight="1" x14ac:dyDescent="0.35">
      <c r="A459" s="17"/>
      <c r="B459" s="313">
        <v>45115</v>
      </c>
      <c r="C459" s="8" t="s">
        <v>426</v>
      </c>
      <c r="D459" s="18">
        <v>5</v>
      </c>
      <c r="E459" s="131" t="s">
        <v>1319</v>
      </c>
      <c r="F459" s="22" t="s">
        <v>1310</v>
      </c>
      <c r="G459" s="132" t="s">
        <v>1309</v>
      </c>
      <c r="H459" s="22" t="s">
        <v>1311</v>
      </c>
      <c r="I459" s="22" t="s">
        <v>1327</v>
      </c>
      <c r="J459" s="22" t="s">
        <v>1327</v>
      </c>
      <c r="K459" s="22" t="s">
        <v>1319</v>
      </c>
      <c r="L459" s="22" t="s">
        <v>1311</v>
      </c>
      <c r="M459" s="133" t="s">
        <v>1311</v>
      </c>
      <c r="N459" s="22" t="s">
        <v>1311</v>
      </c>
      <c r="O459" s="22" t="s">
        <v>1314</v>
      </c>
      <c r="P459" s="22" t="s">
        <v>1318</v>
      </c>
      <c r="Q459" s="20">
        <v>0</v>
      </c>
      <c r="R459" s="20">
        <v>0</v>
      </c>
      <c r="S459" s="20">
        <v>0</v>
      </c>
      <c r="T459" s="20">
        <v>0</v>
      </c>
      <c r="U459" s="20">
        <v>0.5</v>
      </c>
      <c r="V459" s="20">
        <v>0</v>
      </c>
      <c r="W459" s="20">
        <v>0</v>
      </c>
      <c r="X459" s="20">
        <v>0</v>
      </c>
      <c r="Y459" s="20">
        <v>0</v>
      </c>
      <c r="Z459" s="20">
        <v>0</v>
      </c>
      <c r="AA459" s="20" t="s">
        <v>1317</v>
      </c>
      <c r="AB459" s="22" t="s">
        <v>1318</v>
      </c>
      <c r="AC459" s="20">
        <v>1</v>
      </c>
      <c r="AD459" s="20">
        <v>0</v>
      </c>
      <c r="AE459" s="20">
        <v>3</v>
      </c>
      <c r="AF459" s="20">
        <v>2</v>
      </c>
      <c r="AG459" s="20">
        <v>0</v>
      </c>
      <c r="AH459" s="20">
        <v>30</v>
      </c>
      <c r="AI459" s="328">
        <v>2.7082656266926661</v>
      </c>
      <c r="AJ459" s="328" t="s">
        <v>1328</v>
      </c>
      <c r="AK459" s="328">
        <v>2.3183925811437405</v>
      </c>
      <c r="AL459" s="22" t="s">
        <v>1316</v>
      </c>
      <c r="AM459" s="22" t="s">
        <v>1343</v>
      </c>
      <c r="AN459" s="22" t="s">
        <v>1317</v>
      </c>
      <c r="AO459" s="22" t="s">
        <v>1311</v>
      </c>
      <c r="AP459" s="22" t="s">
        <v>1318</v>
      </c>
      <c r="AQ459" s="22" t="s">
        <v>1318</v>
      </c>
      <c r="AR459" s="22" t="s">
        <v>1315</v>
      </c>
      <c r="AS459" s="22" t="s">
        <v>1315</v>
      </c>
      <c r="AT459" s="22" t="s">
        <v>1317</v>
      </c>
      <c r="AU459" s="22" t="s">
        <v>1318</v>
      </c>
      <c r="AV459" s="22" t="s">
        <v>1317</v>
      </c>
      <c r="AW459" s="22" t="s">
        <v>1318</v>
      </c>
      <c r="AX459" s="22" t="s">
        <v>1317</v>
      </c>
      <c r="AY459" s="22" t="s">
        <v>1318</v>
      </c>
      <c r="AZ459" s="22" t="s">
        <v>1309</v>
      </c>
      <c r="BA459" s="22" t="s">
        <v>1309</v>
      </c>
      <c r="BB459" s="22" t="s">
        <v>1309</v>
      </c>
      <c r="BC459" s="22" t="s">
        <v>1309</v>
      </c>
      <c r="BD459" s="22" t="s">
        <v>1317</v>
      </c>
      <c r="BE459" s="22" t="s">
        <v>1311</v>
      </c>
      <c r="BF459" s="22" t="s">
        <v>1317</v>
      </c>
      <c r="BG459" s="22" t="s">
        <v>1318</v>
      </c>
      <c r="BH459" s="22" t="s">
        <v>1309</v>
      </c>
      <c r="BI459" s="22" t="s">
        <v>1309</v>
      </c>
      <c r="BJ459" s="22" t="s">
        <v>1309</v>
      </c>
      <c r="BK459" s="22" t="s">
        <v>1309</v>
      </c>
      <c r="BL459" s="22" t="s">
        <v>1317</v>
      </c>
      <c r="BM459" s="22" t="s">
        <v>1318</v>
      </c>
      <c r="BN459" s="22" t="s">
        <v>1309</v>
      </c>
      <c r="BO459" s="22" t="s">
        <v>1309</v>
      </c>
      <c r="BP459" s="22" t="s">
        <v>1315</v>
      </c>
      <c r="BQ459" s="22" t="s">
        <v>1315</v>
      </c>
      <c r="BR459" s="22" t="s">
        <v>1309</v>
      </c>
      <c r="BS459" s="22" t="s">
        <v>1309</v>
      </c>
      <c r="BT459" s="22" t="s">
        <v>1315</v>
      </c>
      <c r="BU459" s="22" t="s">
        <v>1315</v>
      </c>
      <c r="BV459" s="22" t="s">
        <v>1309</v>
      </c>
      <c r="BW459" s="22" t="s">
        <v>1309</v>
      </c>
      <c r="BX459" s="20">
        <v>0</v>
      </c>
      <c r="BY459" s="20">
        <v>6</v>
      </c>
      <c r="BZ459" s="20">
        <v>4</v>
      </c>
      <c r="CA459" s="20">
        <v>0</v>
      </c>
      <c r="CB459" s="20">
        <v>0</v>
      </c>
      <c r="CC459" s="20">
        <v>1284</v>
      </c>
      <c r="CD459" s="22" t="s">
        <v>1345</v>
      </c>
      <c r="CE459" s="22" t="s">
        <v>1321</v>
      </c>
      <c r="CF459" s="22" t="s">
        <v>1317</v>
      </c>
      <c r="CG459" s="22" t="s">
        <v>1321</v>
      </c>
      <c r="CH459" s="22" t="s">
        <v>1317</v>
      </c>
      <c r="CI459" s="22" t="s">
        <v>1318</v>
      </c>
      <c r="CJ459" s="149" t="s">
        <v>2357</v>
      </c>
      <c r="CK459" s="241" t="s">
        <v>1356</v>
      </c>
    </row>
    <row r="460" spans="1:89" ht="15" customHeight="1" x14ac:dyDescent="0.35">
      <c r="A460" s="17"/>
      <c r="B460" s="313">
        <v>69037</v>
      </c>
      <c r="C460" s="8" t="s">
        <v>689</v>
      </c>
      <c r="D460" s="18">
        <v>16</v>
      </c>
      <c r="E460" s="131"/>
      <c r="F460" s="22"/>
      <c r="G460" s="132"/>
      <c r="H460" s="22"/>
      <c r="I460" s="22"/>
      <c r="J460" s="22"/>
      <c r="K460" s="22"/>
      <c r="L460" s="22"/>
      <c r="M460" s="133"/>
      <c r="N460" s="22"/>
      <c r="O460" s="22"/>
      <c r="P460" s="22"/>
      <c r="Q460" s="20"/>
      <c r="R460" s="20"/>
      <c r="S460" s="20"/>
      <c r="T460" s="20"/>
      <c r="U460" s="20"/>
      <c r="V460" s="20"/>
      <c r="W460" s="20"/>
      <c r="X460" s="20"/>
      <c r="Y460" s="20"/>
      <c r="Z460" s="20"/>
      <c r="AA460" s="20"/>
      <c r="AB460" s="22"/>
      <c r="AC460" s="20"/>
      <c r="AD460" s="20"/>
      <c r="AE460" s="20"/>
      <c r="AF460" s="20" t="s">
        <v>1124</v>
      </c>
      <c r="AG460" s="20" t="s">
        <v>1124</v>
      </c>
      <c r="AH460" s="20" t="s">
        <v>1124</v>
      </c>
      <c r="AI460" s="328"/>
      <c r="AJ460" s="328"/>
      <c r="AK460" s="328"/>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0"/>
      <c r="BY460" s="20"/>
      <c r="BZ460" s="20"/>
      <c r="CA460" s="20"/>
      <c r="CB460" s="20"/>
      <c r="CC460" s="20"/>
      <c r="CD460" s="22"/>
      <c r="CE460" s="22"/>
      <c r="CF460" s="22"/>
      <c r="CG460" s="22"/>
      <c r="CH460" s="22"/>
      <c r="CI460" s="22"/>
      <c r="CJ460" s="149"/>
      <c r="CK460" s="241"/>
    </row>
    <row r="461" spans="1:89" ht="15" customHeight="1" x14ac:dyDescent="0.35">
      <c r="A461" s="17"/>
      <c r="B461" s="313">
        <v>84055</v>
      </c>
      <c r="C461" s="8" t="s">
        <v>862</v>
      </c>
      <c r="D461" s="18">
        <v>7</v>
      </c>
      <c r="E461" s="131"/>
      <c r="F461" s="22"/>
      <c r="G461" s="132"/>
      <c r="H461" s="22"/>
      <c r="I461" s="22"/>
      <c r="J461" s="22"/>
      <c r="K461" s="22"/>
      <c r="L461" s="22"/>
      <c r="M461" s="133"/>
      <c r="N461" s="22"/>
      <c r="O461" s="22"/>
      <c r="P461" s="22"/>
      <c r="Q461" s="20"/>
      <c r="R461" s="20"/>
      <c r="S461" s="20"/>
      <c r="T461" s="20"/>
      <c r="U461" s="20"/>
      <c r="V461" s="20"/>
      <c r="W461" s="20"/>
      <c r="X461" s="20"/>
      <c r="Y461" s="20"/>
      <c r="Z461" s="20"/>
      <c r="AA461" s="20"/>
      <c r="AB461" s="22"/>
      <c r="AC461" s="20"/>
      <c r="AD461" s="20"/>
      <c r="AE461" s="20"/>
      <c r="AF461" s="20" t="s">
        <v>1124</v>
      </c>
      <c r="AG461" s="20" t="s">
        <v>1124</v>
      </c>
      <c r="AH461" s="20" t="s">
        <v>1124</v>
      </c>
      <c r="AI461" s="328"/>
      <c r="AJ461" s="328"/>
      <c r="AK461" s="328"/>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0"/>
      <c r="BY461" s="20"/>
      <c r="BZ461" s="20"/>
      <c r="CA461" s="20"/>
      <c r="CB461" s="20"/>
      <c r="CC461" s="20"/>
      <c r="CD461" s="22"/>
      <c r="CE461" s="22"/>
      <c r="CF461" s="22"/>
      <c r="CG461" s="22"/>
      <c r="CH461" s="22"/>
      <c r="CI461" s="22"/>
      <c r="CJ461" s="149"/>
      <c r="CK461" s="241"/>
    </row>
    <row r="462" spans="1:89" ht="15" customHeight="1" x14ac:dyDescent="0.35">
      <c r="A462" s="17"/>
      <c r="B462" s="313">
        <v>57030</v>
      </c>
      <c r="C462" s="8" t="s">
        <v>585</v>
      </c>
      <c r="D462" s="18">
        <v>16</v>
      </c>
      <c r="E462" s="131"/>
      <c r="F462" s="22"/>
      <c r="G462" s="132"/>
      <c r="H462" s="22"/>
      <c r="I462" s="22"/>
      <c r="J462" s="22"/>
      <c r="K462" s="22"/>
      <c r="L462" s="22"/>
      <c r="M462" s="133"/>
      <c r="N462" s="22"/>
      <c r="O462" s="22"/>
      <c r="P462" s="22"/>
      <c r="Q462" s="20"/>
      <c r="R462" s="20"/>
      <c r="S462" s="20"/>
      <c r="T462" s="20"/>
      <c r="U462" s="20"/>
      <c r="V462" s="20"/>
      <c r="W462" s="20"/>
      <c r="X462" s="20"/>
      <c r="Y462" s="20"/>
      <c r="Z462" s="20"/>
      <c r="AA462" s="20"/>
      <c r="AB462" s="22"/>
      <c r="AC462" s="20"/>
      <c r="AD462" s="20"/>
      <c r="AE462" s="20"/>
      <c r="AF462" s="20" t="s">
        <v>1124</v>
      </c>
      <c r="AG462" s="20" t="s">
        <v>1124</v>
      </c>
      <c r="AH462" s="20" t="s">
        <v>1124</v>
      </c>
      <c r="AI462" s="328"/>
      <c r="AJ462" s="328"/>
      <c r="AK462" s="328"/>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0"/>
      <c r="BY462" s="20"/>
      <c r="BZ462" s="20"/>
      <c r="CA462" s="20"/>
      <c r="CB462" s="20"/>
      <c r="CC462" s="20"/>
      <c r="CD462" s="22"/>
      <c r="CE462" s="22"/>
      <c r="CF462" s="22"/>
      <c r="CG462" s="22"/>
      <c r="CH462" s="22"/>
      <c r="CI462" s="22"/>
      <c r="CJ462" s="149"/>
      <c r="CK462" s="241"/>
    </row>
    <row r="463" spans="1:89" ht="15" customHeight="1" x14ac:dyDescent="0.35">
      <c r="A463" s="17"/>
      <c r="B463" s="313">
        <v>13015</v>
      </c>
      <c r="C463" s="8" t="s">
        <v>43</v>
      </c>
      <c r="D463" s="18">
        <v>1</v>
      </c>
      <c r="E463" s="131"/>
      <c r="F463" s="22"/>
      <c r="G463" s="132"/>
      <c r="H463" s="22"/>
      <c r="I463" s="22"/>
      <c r="J463" s="22"/>
      <c r="K463" s="22"/>
      <c r="L463" s="22"/>
      <c r="M463" s="133"/>
      <c r="N463" s="22"/>
      <c r="O463" s="22"/>
      <c r="P463" s="22"/>
      <c r="Q463" s="20"/>
      <c r="R463" s="20"/>
      <c r="S463" s="20"/>
      <c r="T463" s="20"/>
      <c r="U463" s="20"/>
      <c r="V463" s="20"/>
      <c r="W463" s="20"/>
      <c r="X463" s="20"/>
      <c r="Y463" s="20"/>
      <c r="Z463" s="20"/>
      <c r="AA463" s="20"/>
      <c r="AB463" s="22"/>
      <c r="AC463" s="20"/>
      <c r="AD463" s="20"/>
      <c r="AE463" s="20"/>
      <c r="AF463" s="20" t="s">
        <v>1124</v>
      </c>
      <c r="AG463" s="20" t="s">
        <v>1124</v>
      </c>
      <c r="AH463" s="20" t="s">
        <v>1124</v>
      </c>
      <c r="AI463" s="328"/>
      <c r="AJ463" s="328"/>
      <c r="AK463" s="328"/>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0"/>
      <c r="BY463" s="20"/>
      <c r="BZ463" s="20"/>
      <c r="CA463" s="20"/>
      <c r="CB463" s="20"/>
      <c r="CC463" s="20"/>
      <c r="CD463" s="22"/>
      <c r="CE463" s="22"/>
      <c r="CF463" s="22"/>
      <c r="CG463" s="22"/>
      <c r="CH463" s="22"/>
      <c r="CI463" s="22"/>
      <c r="CJ463" s="149"/>
      <c r="CK463" s="241"/>
    </row>
    <row r="464" spans="1:89" ht="15" customHeight="1" x14ac:dyDescent="0.35">
      <c r="A464" s="17"/>
      <c r="B464" s="313">
        <v>9040</v>
      </c>
      <c r="C464" s="8" t="s">
        <v>1104</v>
      </c>
      <c r="D464" s="18">
        <v>1</v>
      </c>
      <c r="E464" s="131"/>
      <c r="F464" s="22"/>
      <c r="G464" s="132"/>
      <c r="H464" s="22"/>
      <c r="I464" s="22"/>
      <c r="J464" s="22"/>
      <c r="K464" s="22"/>
      <c r="L464" s="22"/>
      <c r="M464" s="133"/>
      <c r="N464" s="22"/>
      <c r="O464" s="22"/>
      <c r="P464" s="22"/>
      <c r="Q464" s="20"/>
      <c r="R464" s="20"/>
      <c r="S464" s="20"/>
      <c r="T464" s="20"/>
      <c r="U464" s="20"/>
      <c r="V464" s="20"/>
      <c r="W464" s="20"/>
      <c r="X464" s="20"/>
      <c r="Y464" s="20"/>
      <c r="Z464" s="20"/>
      <c r="AA464" s="20"/>
      <c r="AB464" s="22"/>
      <c r="AC464" s="20"/>
      <c r="AD464" s="20"/>
      <c r="AE464" s="20"/>
      <c r="AF464" s="20" t="s">
        <v>1124</v>
      </c>
      <c r="AG464" s="20" t="s">
        <v>1124</v>
      </c>
      <c r="AH464" s="20" t="s">
        <v>1124</v>
      </c>
      <c r="AI464" s="328"/>
      <c r="AJ464" s="328"/>
      <c r="AK464" s="328"/>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0"/>
      <c r="BY464" s="20"/>
      <c r="BZ464" s="20"/>
      <c r="CA464" s="20"/>
      <c r="CB464" s="20"/>
      <c r="CC464" s="20"/>
      <c r="CD464" s="22"/>
      <c r="CE464" s="22"/>
      <c r="CF464" s="22"/>
      <c r="CG464" s="22"/>
      <c r="CH464" s="22"/>
      <c r="CI464" s="22"/>
      <c r="CJ464" s="149"/>
      <c r="CK464" s="241"/>
    </row>
    <row r="465" spans="1:89" ht="15" customHeight="1" x14ac:dyDescent="0.35">
      <c r="A465" s="17"/>
      <c r="B465" s="313">
        <v>87025</v>
      </c>
      <c r="C465" s="8" t="s">
        <v>894</v>
      </c>
      <c r="D465" s="18">
        <v>8</v>
      </c>
      <c r="E465" s="131"/>
      <c r="F465" s="22"/>
      <c r="G465" s="132"/>
      <c r="H465" s="22"/>
      <c r="I465" s="22"/>
      <c r="J465" s="22"/>
      <c r="K465" s="22"/>
      <c r="L465" s="22"/>
      <c r="M465" s="133"/>
      <c r="N465" s="22"/>
      <c r="O465" s="22"/>
      <c r="P465" s="22"/>
      <c r="Q465" s="20"/>
      <c r="R465" s="20"/>
      <c r="S465" s="20"/>
      <c r="T465" s="20"/>
      <c r="U465" s="20"/>
      <c r="V465" s="20"/>
      <c r="W465" s="20"/>
      <c r="X465" s="20"/>
      <c r="Y465" s="20"/>
      <c r="Z465" s="20"/>
      <c r="AA465" s="20"/>
      <c r="AB465" s="22"/>
      <c r="AC465" s="20"/>
      <c r="AD465" s="20"/>
      <c r="AE465" s="20"/>
      <c r="AF465" s="20" t="s">
        <v>1124</v>
      </c>
      <c r="AG465" s="20" t="s">
        <v>1124</v>
      </c>
      <c r="AH465" s="20" t="s">
        <v>1124</v>
      </c>
      <c r="AI465" s="328"/>
      <c r="AJ465" s="328"/>
      <c r="AK465" s="328"/>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0"/>
      <c r="BY465" s="20"/>
      <c r="BZ465" s="20"/>
      <c r="CA465" s="20"/>
      <c r="CB465" s="20"/>
      <c r="CC465" s="20"/>
      <c r="CD465" s="22"/>
      <c r="CE465" s="22"/>
      <c r="CF465" s="22"/>
      <c r="CG465" s="22"/>
      <c r="CH465" s="22"/>
      <c r="CI465" s="22"/>
      <c r="CJ465" s="149"/>
      <c r="CK465" s="241"/>
    </row>
    <row r="466" spans="1:89" ht="15" customHeight="1" x14ac:dyDescent="0.35">
      <c r="A466" s="17"/>
      <c r="B466" s="313">
        <v>80037</v>
      </c>
      <c r="C466" s="8" t="s">
        <v>808</v>
      </c>
      <c r="D466" s="18">
        <v>7</v>
      </c>
      <c r="E466" s="131" t="s">
        <v>1309</v>
      </c>
      <c r="F466" s="22" t="s">
        <v>1309</v>
      </c>
      <c r="G466" s="132" t="s">
        <v>1309</v>
      </c>
      <c r="H466" s="22" t="s">
        <v>1311</v>
      </c>
      <c r="I466" s="22" t="s">
        <v>1327</v>
      </c>
      <c r="J466" s="22" t="s">
        <v>1327</v>
      </c>
      <c r="K466" s="22" t="s">
        <v>1309</v>
      </c>
      <c r="L466" s="22" t="s">
        <v>1309</v>
      </c>
      <c r="M466" s="133" t="s">
        <v>1311</v>
      </c>
      <c r="N466" s="22" t="s">
        <v>1311</v>
      </c>
      <c r="O466" s="22" t="s">
        <v>1314</v>
      </c>
      <c r="P466" s="22" t="s">
        <v>1311</v>
      </c>
      <c r="Q466" s="20">
        <v>0</v>
      </c>
      <c r="R466" s="20">
        <v>29.05</v>
      </c>
      <c r="S466" s="20">
        <v>29</v>
      </c>
      <c r="T466" s="20">
        <v>0</v>
      </c>
      <c r="U466" s="20">
        <v>0</v>
      </c>
      <c r="V466" s="20">
        <v>0</v>
      </c>
      <c r="W466" s="20">
        <v>0</v>
      </c>
      <c r="X466" s="20">
        <v>0</v>
      </c>
      <c r="Y466" s="20">
        <v>0</v>
      </c>
      <c r="Z466" s="20">
        <v>0</v>
      </c>
      <c r="AA466" s="20" t="s">
        <v>1315</v>
      </c>
      <c r="AB466" s="22" t="s">
        <v>1315</v>
      </c>
      <c r="AC466" s="20">
        <v>4</v>
      </c>
      <c r="AD466" s="20">
        <v>1</v>
      </c>
      <c r="AE466" s="20">
        <v>3</v>
      </c>
      <c r="AF466" s="20">
        <v>1</v>
      </c>
      <c r="AG466" s="20">
        <v>1</v>
      </c>
      <c r="AH466" s="20">
        <v>1</v>
      </c>
      <c r="AI466" s="328">
        <v>13.769363166953529</v>
      </c>
      <c r="AJ466" s="328">
        <v>1.1086474501108647</v>
      </c>
      <c r="AK466" s="328">
        <v>3.3259423503325944</v>
      </c>
      <c r="AL466" s="22" t="s">
        <v>1329</v>
      </c>
      <c r="AM466" s="22" t="s">
        <v>1330</v>
      </c>
      <c r="AN466" s="22" t="s">
        <v>1317</v>
      </c>
      <c r="AO466" s="22" t="s">
        <v>1318</v>
      </c>
      <c r="AP466" s="22" t="s">
        <v>1318</v>
      </c>
      <c r="AQ466" s="22" t="s">
        <v>1318</v>
      </c>
      <c r="AR466" s="22" t="s">
        <v>1317</v>
      </c>
      <c r="AS466" s="22" t="s">
        <v>1318</v>
      </c>
      <c r="AT466" s="22" t="s">
        <v>1317</v>
      </c>
      <c r="AU466" s="22" t="s">
        <v>1318</v>
      </c>
      <c r="AV466" s="22" t="s">
        <v>1315</v>
      </c>
      <c r="AW466" s="22" t="s">
        <v>1315</v>
      </c>
      <c r="AX466" s="22" t="s">
        <v>1317</v>
      </c>
      <c r="AY466" s="22" t="s">
        <v>1318</v>
      </c>
      <c r="AZ466" s="22" t="s">
        <v>1309</v>
      </c>
      <c r="BA466" s="22" t="s">
        <v>1309</v>
      </c>
      <c r="BB466" s="22" t="s">
        <v>1309</v>
      </c>
      <c r="BC466" s="22" t="s">
        <v>1309</v>
      </c>
      <c r="BD466" s="22" t="s">
        <v>1317</v>
      </c>
      <c r="BE466" s="22" t="s">
        <v>1318</v>
      </c>
      <c r="BF466" s="22" t="s">
        <v>1319</v>
      </c>
      <c r="BG466" s="22" t="s">
        <v>1311</v>
      </c>
      <c r="BH466" s="22" t="s">
        <v>1309</v>
      </c>
      <c r="BI466" s="22" t="s">
        <v>1309</v>
      </c>
      <c r="BJ466" s="22" t="s">
        <v>1317</v>
      </c>
      <c r="BK466" s="22" t="s">
        <v>1318</v>
      </c>
      <c r="BL466" s="22" t="s">
        <v>1317</v>
      </c>
      <c r="BM466" s="22" t="s">
        <v>1318</v>
      </c>
      <c r="BN466" s="22" t="s">
        <v>1309</v>
      </c>
      <c r="BO466" s="22" t="s">
        <v>1309</v>
      </c>
      <c r="BP466" s="22" t="s">
        <v>1315</v>
      </c>
      <c r="BQ466" s="22" t="s">
        <v>1315</v>
      </c>
      <c r="BR466" s="22" t="s">
        <v>1319</v>
      </c>
      <c r="BS466" s="22" t="s">
        <v>1311</v>
      </c>
      <c r="BT466" s="22" t="s">
        <v>1319</v>
      </c>
      <c r="BU466" s="22" t="s">
        <v>1311</v>
      </c>
      <c r="BV466" s="22" t="s">
        <v>1309</v>
      </c>
      <c r="BW466" s="22" t="s">
        <v>1309</v>
      </c>
      <c r="BX466" s="20">
        <v>92</v>
      </c>
      <c r="BY466" s="20">
        <v>9</v>
      </c>
      <c r="BZ466" s="20">
        <v>7</v>
      </c>
      <c r="CA466" s="20">
        <v>25</v>
      </c>
      <c r="CB466" s="20">
        <v>9</v>
      </c>
      <c r="CC466" s="20">
        <v>760</v>
      </c>
      <c r="CD466" s="22" t="s">
        <v>1331</v>
      </c>
      <c r="CE466" s="22" t="s">
        <v>1331</v>
      </c>
      <c r="CF466" s="22" t="s">
        <v>1331</v>
      </c>
      <c r="CG466" s="22" t="s">
        <v>1321</v>
      </c>
      <c r="CH466" s="22" t="s">
        <v>1317</v>
      </c>
      <c r="CI466" s="22" t="s">
        <v>1318</v>
      </c>
      <c r="CJ466" s="149" t="s">
        <v>4594</v>
      </c>
      <c r="CK466" s="241" t="s">
        <v>1124</v>
      </c>
    </row>
    <row r="467" spans="1:89" ht="15" customHeight="1" x14ac:dyDescent="0.35">
      <c r="A467" s="17"/>
      <c r="B467" s="313">
        <v>38055</v>
      </c>
      <c r="C467" s="8" t="s">
        <v>333</v>
      </c>
      <c r="D467" s="18">
        <v>17</v>
      </c>
      <c r="E467" s="131" t="s">
        <v>1309</v>
      </c>
      <c r="F467" s="22" t="s">
        <v>1309</v>
      </c>
      <c r="G467" s="132" t="s">
        <v>1309</v>
      </c>
      <c r="H467" s="22" t="s">
        <v>1311</v>
      </c>
      <c r="I467" s="22" t="s">
        <v>1327</v>
      </c>
      <c r="J467" s="22" t="s">
        <v>1327</v>
      </c>
      <c r="K467" s="22" t="s">
        <v>1314</v>
      </c>
      <c r="L467" s="22" t="s">
        <v>1311</v>
      </c>
      <c r="M467" s="133" t="s">
        <v>1311</v>
      </c>
      <c r="N467" s="22" t="s">
        <v>1311</v>
      </c>
      <c r="O467" s="22" t="s">
        <v>1314</v>
      </c>
      <c r="P467" s="22" t="s">
        <v>1318</v>
      </c>
      <c r="Q467" s="20">
        <v>19.573</v>
      </c>
      <c r="R467" s="20">
        <v>19.573</v>
      </c>
      <c r="S467" s="20">
        <v>0</v>
      </c>
      <c r="T467" s="20">
        <v>19.573</v>
      </c>
      <c r="U467" s="20">
        <v>0</v>
      </c>
      <c r="V467" s="20">
        <v>0</v>
      </c>
      <c r="W467" s="20">
        <v>0</v>
      </c>
      <c r="X467" s="20">
        <v>0</v>
      </c>
      <c r="Y467" s="20">
        <v>0</v>
      </c>
      <c r="Z467" s="20">
        <v>0</v>
      </c>
      <c r="AA467" s="22" t="s">
        <v>1317</v>
      </c>
      <c r="AB467" s="22" t="s">
        <v>1318</v>
      </c>
      <c r="AC467" s="20">
        <v>0</v>
      </c>
      <c r="AD467" s="20">
        <v>2</v>
      </c>
      <c r="AE467" s="20">
        <v>0</v>
      </c>
      <c r="AF467" s="20">
        <v>0</v>
      </c>
      <c r="AG467" s="20">
        <v>5</v>
      </c>
      <c r="AH467" s="20">
        <v>0</v>
      </c>
      <c r="AI467" s="328" t="s">
        <v>1328</v>
      </c>
      <c r="AJ467" s="328">
        <v>6.1728395061728394</v>
      </c>
      <c r="AK467" s="328" t="s">
        <v>1328</v>
      </c>
      <c r="AL467" s="22" t="s">
        <v>1329</v>
      </c>
      <c r="AM467" s="22" t="s">
        <v>1330</v>
      </c>
      <c r="AN467" s="22" t="s">
        <v>1315</v>
      </c>
      <c r="AO467" s="22" t="s">
        <v>1315</v>
      </c>
      <c r="AP467" s="22" t="s">
        <v>1315</v>
      </c>
      <c r="AQ467" s="22" t="s">
        <v>1315</v>
      </c>
      <c r="AR467" s="22" t="s">
        <v>1317</v>
      </c>
      <c r="AS467" s="22" t="s">
        <v>1318</v>
      </c>
      <c r="AT467" s="22" t="s">
        <v>1309</v>
      </c>
      <c r="AU467" s="22" t="s">
        <v>1309</v>
      </c>
      <c r="AV467" s="22" t="s">
        <v>1317</v>
      </c>
      <c r="AW467" s="22" t="s">
        <v>1318</v>
      </c>
      <c r="AX467" s="22" t="s">
        <v>1317</v>
      </c>
      <c r="AY467" s="22" t="s">
        <v>1318</v>
      </c>
      <c r="AZ467" s="22" t="s">
        <v>1309</v>
      </c>
      <c r="BA467" s="22" t="s">
        <v>1309</v>
      </c>
      <c r="BB467" s="22" t="s">
        <v>1309</v>
      </c>
      <c r="BC467" s="22" t="s">
        <v>1309</v>
      </c>
      <c r="BD467" s="22" t="s">
        <v>1317</v>
      </c>
      <c r="BE467" s="22" t="s">
        <v>1318</v>
      </c>
      <c r="BF467" s="22" t="s">
        <v>1319</v>
      </c>
      <c r="BG467" s="22" t="s">
        <v>1311</v>
      </c>
      <c r="BH467" s="22" t="s">
        <v>1309</v>
      </c>
      <c r="BI467" s="22" t="s">
        <v>1309</v>
      </c>
      <c r="BJ467" s="22" t="s">
        <v>1309</v>
      </c>
      <c r="BK467" s="22" t="s">
        <v>1309</v>
      </c>
      <c r="BL467" s="22" t="s">
        <v>1319</v>
      </c>
      <c r="BM467" s="22" t="s">
        <v>1311</v>
      </c>
      <c r="BN467" s="22" t="s">
        <v>1309</v>
      </c>
      <c r="BO467" s="22" t="s">
        <v>1309</v>
      </c>
      <c r="BP467" s="22" t="s">
        <v>1309</v>
      </c>
      <c r="BQ467" s="22" t="s">
        <v>1309</v>
      </c>
      <c r="BR467" s="22" t="s">
        <v>1309</v>
      </c>
      <c r="BS467" s="22" t="s">
        <v>1309</v>
      </c>
      <c r="BT467" s="22" t="s">
        <v>1309</v>
      </c>
      <c r="BU467" s="22" t="s">
        <v>1309</v>
      </c>
      <c r="BV467" s="22" t="s">
        <v>1317</v>
      </c>
      <c r="BW467" s="22" t="s">
        <v>1318</v>
      </c>
      <c r="BX467" s="22">
        <v>0</v>
      </c>
      <c r="BY467" s="22">
        <v>19</v>
      </c>
      <c r="BZ467" s="22">
        <v>42</v>
      </c>
      <c r="CA467" s="22">
        <v>0</v>
      </c>
      <c r="CB467" s="22">
        <v>26</v>
      </c>
      <c r="CC467" s="22">
        <v>237</v>
      </c>
      <c r="CD467" s="22" t="s">
        <v>1320</v>
      </c>
      <c r="CE467" s="22" t="s">
        <v>1321</v>
      </c>
      <c r="CF467" s="22" t="s">
        <v>1320</v>
      </c>
      <c r="CG467" s="22" t="s">
        <v>1321</v>
      </c>
      <c r="CH467" s="22" t="s">
        <v>1315</v>
      </c>
      <c r="CI467" s="22" t="s">
        <v>1315</v>
      </c>
      <c r="CJ467" s="149" t="s">
        <v>1124</v>
      </c>
      <c r="CK467" s="241" t="s">
        <v>1359</v>
      </c>
    </row>
    <row r="468" spans="1:89" ht="15" customHeight="1" x14ac:dyDescent="0.35">
      <c r="A468" s="17"/>
      <c r="B468" s="313">
        <v>5032</v>
      </c>
      <c r="C468" s="8" t="s">
        <v>1048</v>
      </c>
      <c r="D468" s="18">
        <v>11</v>
      </c>
      <c r="E468" s="131" t="s">
        <v>1309</v>
      </c>
      <c r="F468" s="22" t="s">
        <v>1309</v>
      </c>
      <c r="G468" s="132" t="s">
        <v>1309</v>
      </c>
      <c r="H468" s="22" t="s">
        <v>1311</v>
      </c>
      <c r="I468" s="22" t="s">
        <v>1327</v>
      </c>
      <c r="J468" s="22" t="s">
        <v>1327</v>
      </c>
      <c r="K468" s="22" t="s">
        <v>1314</v>
      </c>
      <c r="L468" s="22" t="s">
        <v>1311</v>
      </c>
      <c r="M468" s="133" t="s">
        <v>1311</v>
      </c>
      <c r="N468" s="22" t="s">
        <v>1311</v>
      </c>
      <c r="O468" s="22" t="s">
        <v>1309</v>
      </c>
      <c r="P468" s="22" t="s">
        <v>1309</v>
      </c>
      <c r="Q468" s="20">
        <v>5.5</v>
      </c>
      <c r="R468" s="20">
        <v>5.5</v>
      </c>
      <c r="S468" s="20">
        <v>48.385000000000005</v>
      </c>
      <c r="T468" s="20">
        <v>57.18</v>
      </c>
      <c r="U468" s="20">
        <v>0</v>
      </c>
      <c r="V468" s="20">
        <v>5.5</v>
      </c>
      <c r="W468" s="20">
        <v>0</v>
      </c>
      <c r="X468" s="20">
        <v>0</v>
      </c>
      <c r="Y468" s="20">
        <v>0</v>
      </c>
      <c r="Z468" s="20">
        <v>0</v>
      </c>
      <c r="AA468" s="20" t="s">
        <v>1317</v>
      </c>
      <c r="AB468" s="22" t="s">
        <v>1311</v>
      </c>
      <c r="AC468" s="20">
        <v>2</v>
      </c>
      <c r="AD468" s="20">
        <v>0</v>
      </c>
      <c r="AE468" s="20">
        <v>0</v>
      </c>
      <c r="AF468" s="20">
        <v>2</v>
      </c>
      <c r="AG468" s="20">
        <v>0</v>
      </c>
      <c r="AH468" s="20">
        <v>0</v>
      </c>
      <c r="AI468" s="328">
        <v>5.0517807527153318</v>
      </c>
      <c r="AJ468" s="328" t="s">
        <v>1328</v>
      </c>
      <c r="AK468" s="328" t="s">
        <v>1328</v>
      </c>
      <c r="AL468" s="22" t="s">
        <v>1329</v>
      </c>
      <c r="AM468" s="22" t="s">
        <v>1330</v>
      </c>
      <c r="AN468" s="22" t="s">
        <v>1317</v>
      </c>
      <c r="AO468" s="22" t="s">
        <v>1318</v>
      </c>
      <c r="AP468" s="22" t="s">
        <v>1318</v>
      </c>
      <c r="AQ468" s="22" t="s">
        <v>1318</v>
      </c>
      <c r="AR468" s="22" t="s">
        <v>1317</v>
      </c>
      <c r="AS468" s="22" t="s">
        <v>1318</v>
      </c>
      <c r="AT468" s="22" t="s">
        <v>1317</v>
      </c>
      <c r="AU468" s="22" t="s">
        <v>1311</v>
      </c>
      <c r="AV468" s="22" t="s">
        <v>1309</v>
      </c>
      <c r="AW468" s="22" t="s">
        <v>1309</v>
      </c>
      <c r="AX468" s="22" t="s">
        <v>1317</v>
      </c>
      <c r="AY468" s="22" t="s">
        <v>1318</v>
      </c>
      <c r="AZ468" s="22" t="s">
        <v>1317</v>
      </c>
      <c r="BA468" s="22" t="s">
        <v>1311</v>
      </c>
      <c r="BB468" s="22" t="s">
        <v>1309</v>
      </c>
      <c r="BC468" s="22" t="s">
        <v>1309</v>
      </c>
      <c r="BD468" s="22" t="s">
        <v>1317</v>
      </c>
      <c r="BE468" s="22" t="s">
        <v>1311</v>
      </c>
      <c r="BF468" s="22" t="s">
        <v>1309</v>
      </c>
      <c r="BG468" s="22" t="s">
        <v>1309</v>
      </c>
      <c r="BH468" s="22" t="s">
        <v>1317</v>
      </c>
      <c r="BI468" s="22" t="s">
        <v>1318</v>
      </c>
      <c r="BJ468" s="22" t="s">
        <v>1309</v>
      </c>
      <c r="BK468" s="22" t="s">
        <v>1309</v>
      </c>
      <c r="BL468" s="22" t="s">
        <v>1319</v>
      </c>
      <c r="BM468" s="22" t="s">
        <v>1311</v>
      </c>
      <c r="BN468" s="22" t="s">
        <v>1309</v>
      </c>
      <c r="BO468" s="22" t="s">
        <v>1309</v>
      </c>
      <c r="BP468" s="22" t="s">
        <v>1315</v>
      </c>
      <c r="BQ468" s="22" t="s">
        <v>1315</v>
      </c>
      <c r="BR468" s="22" t="s">
        <v>1317</v>
      </c>
      <c r="BS468" s="22" t="s">
        <v>1318</v>
      </c>
      <c r="BT468" s="22" t="s">
        <v>1309</v>
      </c>
      <c r="BU468" s="22" t="s">
        <v>1309</v>
      </c>
      <c r="BV468" s="22" t="s">
        <v>1317</v>
      </c>
      <c r="BW468" s="22" t="s">
        <v>1311</v>
      </c>
      <c r="BX468" s="20">
        <v>2</v>
      </c>
      <c r="BY468" s="20">
        <v>11</v>
      </c>
      <c r="BZ468" s="20">
        <v>46</v>
      </c>
      <c r="CA468" s="20">
        <v>0</v>
      </c>
      <c r="CB468" s="20">
        <v>0</v>
      </c>
      <c r="CC468" s="20">
        <v>1444</v>
      </c>
      <c r="CD468" s="22" t="s">
        <v>1320</v>
      </c>
      <c r="CE468" s="22" t="s">
        <v>1321</v>
      </c>
      <c r="CF468" s="22" t="s">
        <v>1317</v>
      </c>
      <c r="CG468" s="22" t="s">
        <v>1318</v>
      </c>
      <c r="CH468" s="22" t="s">
        <v>1413</v>
      </c>
      <c r="CI468" s="22" t="s">
        <v>1413</v>
      </c>
      <c r="CJ468" s="149" t="s">
        <v>2364</v>
      </c>
      <c r="CK468" s="241" t="s">
        <v>2365</v>
      </c>
    </row>
    <row r="469" spans="1:89" ht="15" customHeight="1" x14ac:dyDescent="0.35">
      <c r="A469" s="17"/>
      <c r="B469" s="313">
        <v>2005</v>
      </c>
      <c r="C469" s="8" t="s">
        <v>1026</v>
      </c>
      <c r="D469" s="18">
        <v>11</v>
      </c>
      <c r="E469" s="131" t="s">
        <v>1309</v>
      </c>
      <c r="F469" s="22" t="s">
        <v>1309</v>
      </c>
      <c r="G469" s="132" t="s">
        <v>1309</v>
      </c>
      <c r="H469" s="22" t="s">
        <v>1311</v>
      </c>
      <c r="I469" s="22" t="s">
        <v>1327</v>
      </c>
      <c r="J469" s="22" t="s">
        <v>1327</v>
      </c>
      <c r="K469" s="22" t="s">
        <v>1314</v>
      </c>
      <c r="L469" s="22" t="s">
        <v>1311</v>
      </c>
      <c r="M469" s="133" t="s">
        <v>1311</v>
      </c>
      <c r="N469" s="22" t="s">
        <v>1311</v>
      </c>
      <c r="O469" s="22" t="s">
        <v>1314</v>
      </c>
      <c r="P469" s="22" t="s">
        <v>1318</v>
      </c>
      <c r="Q469" s="20">
        <v>0</v>
      </c>
      <c r="R469" s="20">
        <v>0</v>
      </c>
      <c r="S469" s="20">
        <v>0</v>
      </c>
      <c r="T469" s="20">
        <v>0</v>
      </c>
      <c r="U469" s="20">
        <v>20</v>
      </c>
      <c r="V469" s="20">
        <v>20</v>
      </c>
      <c r="W469" s="20">
        <v>0</v>
      </c>
      <c r="X469" s="20">
        <v>0</v>
      </c>
      <c r="Y469" s="20">
        <v>0</v>
      </c>
      <c r="Z469" s="20">
        <v>0</v>
      </c>
      <c r="AA469" s="20" t="s">
        <v>1309</v>
      </c>
      <c r="AB469" s="22" t="s">
        <v>1309</v>
      </c>
      <c r="AC469" s="20">
        <v>2</v>
      </c>
      <c r="AD469" s="20">
        <v>0</v>
      </c>
      <c r="AE469" s="20">
        <v>1</v>
      </c>
      <c r="AF469" s="20">
        <v>1</v>
      </c>
      <c r="AG469" s="20">
        <v>0</v>
      </c>
      <c r="AH469" s="20">
        <v>3</v>
      </c>
      <c r="AI469" s="328">
        <v>10.425897930459261</v>
      </c>
      <c r="AJ469" s="328" t="s">
        <v>1328</v>
      </c>
      <c r="AK469" s="328">
        <v>2.2573363431151243</v>
      </c>
      <c r="AL469" s="22" t="s">
        <v>1329</v>
      </c>
      <c r="AM469" s="22" t="s">
        <v>1330</v>
      </c>
      <c r="AN469" s="22" t="s">
        <v>1317</v>
      </c>
      <c r="AO469" s="22" t="s">
        <v>1318</v>
      </c>
      <c r="AP469" s="22" t="s">
        <v>1318</v>
      </c>
      <c r="AQ469" s="22" t="s">
        <v>1318</v>
      </c>
      <c r="AR469" s="22" t="s">
        <v>1317</v>
      </c>
      <c r="AS469" s="22" t="s">
        <v>1318</v>
      </c>
      <c r="AT469" s="22" t="s">
        <v>1309</v>
      </c>
      <c r="AU469" s="22" t="s">
        <v>1309</v>
      </c>
      <c r="AV469" s="22" t="s">
        <v>1317</v>
      </c>
      <c r="AW469" s="22" t="s">
        <v>1318</v>
      </c>
      <c r="AX469" s="22" t="s">
        <v>1317</v>
      </c>
      <c r="AY469" s="22" t="s">
        <v>1318</v>
      </c>
      <c r="AZ469" s="22" t="s">
        <v>1309</v>
      </c>
      <c r="BA469" s="22" t="s">
        <v>1309</v>
      </c>
      <c r="BB469" s="22" t="s">
        <v>1309</v>
      </c>
      <c r="BC469" s="22" t="s">
        <v>1309</v>
      </c>
      <c r="BD469" s="22" t="s">
        <v>1317</v>
      </c>
      <c r="BE469" s="22" t="s">
        <v>1318</v>
      </c>
      <c r="BF469" s="22" t="s">
        <v>1317</v>
      </c>
      <c r="BG469" s="22" t="s">
        <v>1318</v>
      </c>
      <c r="BH469" s="22" t="s">
        <v>1317</v>
      </c>
      <c r="BI469" s="22" t="s">
        <v>1318</v>
      </c>
      <c r="BJ469" s="22" t="s">
        <v>1309</v>
      </c>
      <c r="BK469" s="22" t="s">
        <v>1309</v>
      </c>
      <c r="BL469" s="22" t="s">
        <v>1317</v>
      </c>
      <c r="BM469" s="22" t="s">
        <v>1318</v>
      </c>
      <c r="BN469" s="22" t="s">
        <v>1309</v>
      </c>
      <c r="BO469" s="22" t="s">
        <v>1309</v>
      </c>
      <c r="BP469" s="22" t="s">
        <v>1315</v>
      </c>
      <c r="BQ469" s="22" t="s">
        <v>1315</v>
      </c>
      <c r="BR469" s="22" t="s">
        <v>1309</v>
      </c>
      <c r="BS469" s="22" t="s">
        <v>1309</v>
      </c>
      <c r="BT469" s="22" t="s">
        <v>1315</v>
      </c>
      <c r="BU469" s="22" t="s">
        <v>1315</v>
      </c>
      <c r="BV469" s="22" t="s">
        <v>1317</v>
      </c>
      <c r="BW469" s="22" t="s">
        <v>1318</v>
      </c>
      <c r="BX469" s="20">
        <v>1</v>
      </c>
      <c r="BY469" s="20">
        <v>0</v>
      </c>
      <c r="BZ469" s="20">
        <v>29</v>
      </c>
      <c r="CA469" s="20">
        <v>0</v>
      </c>
      <c r="CB469" s="20">
        <v>0</v>
      </c>
      <c r="CC469" s="20">
        <v>413</v>
      </c>
      <c r="CD469" s="22" t="s">
        <v>1317</v>
      </c>
      <c r="CE469" s="22" t="s">
        <v>1318</v>
      </c>
      <c r="CF469" s="22" t="s">
        <v>1317</v>
      </c>
      <c r="CG469" s="22" t="s">
        <v>1318</v>
      </c>
      <c r="CH469" s="22" t="s">
        <v>1317</v>
      </c>
      <c r="CI469" s="22" t="s">
        <v>1318</v>
      </c>
      <c r="CJ469" s="149" t="s">
        <v>1124</v>
      </c>
      <c r="CK469" s="241" t="s">
        <v>2370</v>
      </c>
    </row>
    <row r="470" spans="1:89" ht="15" customHeight="1" x14ac:dyDescent="0.35">
      <c r="A470" s="17"/>
      <c r="B470" s="313">
        <v>92010</v>
      </c>
      <c r="C470" s="8" t="s">
        <v>947</v>
      </c>
      <c r="D470" s="18">
        <v>2</v>
      </c>
      <c r="E470" s="131"/>
      <c r="F470" s="22"/>
      <c r="G470" s="132"/>
      <c r="H470" s="22"/>
      <c r="I470" s="22"/>
      <c r="J470" s="22"/>
      <c r="K470" s="22"/>
      <c r="L470" s="22"/>
      <c r="M470" s="133"/>
      <c r="N470" s="22"/>
      <c r="O470" s="22"/>
      <c r="P470" s="22"/>
      <c r="Q470" s="20"/>
      <c r="R470" s="20"/>
      <c r="S470" s="20"/>
      <c r="T470" s="20"/>
      <c r="U470" s="20"/>
      <c r="V470" s="20"/>
      <c r="W470" s="20"/>
      <c r="X470" s="20"/>
      <c r="Y470" s="20"/>
      <c r="Z470" s="20"/>
      <c r="AA470" s="20"/>
      <c r="AB470" s="22"/>
      <c r="AC470" s="20"/>
      <c r="AD470" s="20"/>
      <c r="AE470" s="20"/>
      <c r="AF470" s="20" t="s">
        <v>1124</v>
      </c>
      <c r="AG470" s="20" t="s">
        <v>1124</v>
      </c>
      <c r="AH470" s="20" t="s">
        <v>1124</v>
      </c>
      <c r="AI470" s="328"/>
      <c r="AJ470" s="328"/>
      <c r="AK470" s="328"/>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0"/>
      <c r="BY470" s="20"/>
      <c r="BZ470" s="20"/>
      <c r="CA470" s="20"/>
      <c r="CB470" s="20"/>
      <c r="CC470" s="20"/>
      <c r="CD470" s="22"/>
      <c r="CE470" s="22"/>
      <c r="CF470" s="22"/>
      <c r="CG470" s="22"/>
      <c r="CH470" s="22"/>
      <c r="CI470" s="22"/>
      <c r="CJ470" s="149"/>
      <c r="CK470" s="241"/>
    </row>
    <row r="471" spans="1:89" ht="15" customHeight="1" x14ac:dyDescent="0.35">
      <c r="A471" s="17"/>
      <c r="B471" s="313">
        <v>16005</v>
      </c>
      <c r="C471" s="8" t="s">
        <v>84</v>
      </c>
      <c r="D471" s="18">
        <v>3</v>
      </c>
      <c r="E471" s="131" t="s">
        <v>1309</v>
      </c>
      <c r="F471" s="22" t="s">
        <v>1309</v>
      </c>
      <c r="G471" s="132" t="s">
        <v>1309</v>
      </c>
      <c r="H471" s="22" t="s">
        <v>1311</v>
      </c>
      <c r="I471" s="22" t="s">
        <v>1327</v>
      </c>
      <c r="J471" s="22" t="s">
        <v>1327</v>
      </c>
      <c r="K471" s="22" t="s">
        <v>1319</v>
      </c>
      <c r="L471" s="22" t="s">
        <v>1311</v>
      </c>
      <c r="M471" s="133" t="s">
        <v>1311</v>
      </c>
      <c r="N471" s="22" t="s">
        <v>1311</v>
      </c>
      <c r="O471" s="22" t="s">
        <v>1314</v>
      </c>
      <c r="P471" s="22" t="s">
        <v>1311</v>
      </c>
      <c r="Q471" s="20">
        <v>0</v>
      </c>
      <c r="R471" s="20">
        <v>0</v>
      </c>
      <c r="S471" s="20">
        <v>0</v>
      </c>
      <c r="T471" s="20">
        <v>0</v>
      </c>
      <c r="U471" s="20">
        <v>0</v>
      </c>
      <c r="V471" s="20">
        <v>0</v>
      </c>
      <c r="W471" s="20">
        <v>0</v>
      </c>
      <c r="X471" s="20">
        <v>0</v>
      </c>
      <c r="Y471" s="20">
        <v>0</v>
      </c>
      <c r="Z471" s="20">
        <v>0</v>
      </c>
      <c r="AA471" s="20" t="s">
        <v>1317</v>
      </c>
      <c r="AB471" s="22" t="s">
        <v>1318</v>
      </c>
      <c r="AC471" s="20">
        <v>0</v>
      </c>
      <c r="AD471" s="20">
        <v>0</v>
      </c>
      <c r="AE471" s="20">
        <v>0</v>
      </c>
      <c r="AF471" s="20">
        <v>0</v>
      </c>
      <c r="AG471" s="20">
        <v>0</v>
      </c>
      <c r="AH471" s="20">
        <v>0</v>
      </c>
      <c r="AI471" s="328" t="s">
        <v>1328</v>
      </c>
      <c r="AJ471" s="328" t="s">
        <v>1328</v>
      </c>
      <c r="AK471" s="328" t="s">
        <v>1328</v>
      </c>
      <c r="AL471" s="22" t="s">
        <v>1329</v>
      </c>
      <c r="AM471" s="22" t="s">
        <v>1330</v>
      </c>
      <c r="AN471" s="22" t="s">
        <v>1317</v>
      </c>
      <c r="AO471" s="22" t="s">
        <v>1318</v>
      </c>
      <c r="AP471" s="22" t="s">
        <v>1318</v>
      </c>
      <c r="AQ471" s="22" t="s">
        <v>1318</v>
      </c>
      <c r="AR471" s="22" t="s">
        <v>1317</v>
      </c>
      <c r="AS471" s="22" t="s">
        <v>1318</v>
      </c>
      <c r="AT471" s="22" t="s">
        <v>1317</v>
      </c>
      <c r="AU471" s="22" t="s">
        <v>1311</v>
      </c>
      <c r="AV471" s="22" t="s">
        <v>1317</v>
      </c>
      <c r="AW471" s="22" t="s">
        <v>1318</v>
      </c>
      <c r="AX471" s="22" t="s">
        <v>1317</v>
      </c>
      <c r="AY471" s="22" t="s">
        <v>1318</v>
      </c>
      <c r="AZ471" s="22" t="s">
        <v>1309</v>
      </c>
      <c r="BA471" s="22" t="s">
        <v>1309</v>
      </c>
      <c r="BB471" s="22" t="s">
        <v>1309</v>
      </c>
      <c r="BC471" s="22" t="s">
        <v>1309</v>
      </c>
      <c r="BD471" s="22" t="s">
        <v>1317</v>
      </c>
      <c r="BE471" s="22" t="s">
        <v>1318</v>
      </c>
      <c r="BF471" s="22" t="s">
        <v>1317</v>
      </c>
      <c r="BG471" s="22" t="s">
        <v>1318</v>
      </c>
      <c r="BH471" s="22" t="s">
        <v>1317</v>
      </c>
      <c r="BI471" s="22" t="s">
        <v>1318</v>
      </c>
      <c r="BJ471" s="22" t="s">
        <v>1309</v>
      </c>
      <c r="BK471" s="22" t="s">
        <v>1309</v>
      </c>
      <c r="BL471" s="22" t="s">
        <v>1317</v>
      </c>
      <c r="BM471" s="22" t="s">
        <v>1318</v>
      </c>
      <c r="BN471" s="22" t="s">
        <v>1317</v>
      </c>
      <c r="BO471" s="22" t="s">
        <v>1311</v>
      </c>
      <c r="BP471" s="22" t="s">
        <v>1309</v>
      </c>
      <c r="BQ471" s="22" t="s">
        <v>1309</v>
      </c>
      <c r="BR471" s="22" t="s">
        <v>1317</v>
      </c>
      <c r="BS471" s="22" t="s">
        <v>1318</v>
      </c>
      <c r="BT471" s="22" t="s">
        <v>1317</v>
      </c>
      <c r="BU471" s="22" t="s">
        <v>1318</v>
      </c>
      <c r="BV471" s="22" t="s">
        <v>1317</v>
      </c>
      <c r="BW471" s="22" t="s">
        <v>1318</v>
      </c>
      <c r="BX471" s="20">
        <v>0</v>
      </c>
      <c r="BY471" s="20">
        <v>0</v>
      </c>
      <c r="BZ471" s="20">
        <v>20</v>
      </c>
      <c r="CA471" s="20">
        <v>1</v>
      </c>
      <c r="CB471" s="20">
        <v>1</v>
      </c>
      <c r="CC471" s="20">
        <v>511</v>
      </c>
      <c r="CD471" s="22" t="s">
        <v>1317</v>
      </c>
      <c r="CE471" s="22" t="s">
        <v>1318</v>
      </c>
      <c r="CF471" s="22" t="s">
        <v>1317</v>
      </c>
      <c r="CG471" s="22" t="s">
        <v>1318</v>
      </c>
      <c r="CH471" s="22" t="s">
        <v>1317</v>
      </c>
      <c r="CI471" s="22" t="s">
        <v>1318</v>
      </c>
      <c r="CJ471" s="149" t="s">
        <v>1124</v>
      </c>
      <c r="CK471" s="241" t="s">
        <v>2373</v>
      </c>
    </row>
    <row r="472" spans="1:89" ht="15" customHeight="1" x14ac:dyDescent="0.35">
      <c r="A472" s="17"/>
      <c r="B472" s="313">
        <v>3015</v>
      </c>
      <c r="C472" s="8" t="s">
        <v>1033</v>
      </c>
      <c r="D472" s="18">
        <v>11</v>
      </c>
      <c r="E472" s="131" t="s">
        <v>1319</v>
      </c>
      <c r="F472" s="22" t="s">
        <v>1310</v>
      </c>
      <c r="G472" s="132" t="s">
        <v>1309</v>
      </c>
      <c r="H472" s="22" t="s">
        <v>1311</v>
      </c>
      <c r="I472" s="22" t="s">
        <v>1327</v>
      </c>
      <c r="J472" s="22" t="s">
        <v>1327</v>
      </c>
      <c r="K472" s="22" t="s">
        <v>1309</v>
      </c>
      <c r="L472" s="22" t="s">
        <v>1309</v>
      </c>
      <c r="M472" s="133" t="s">
        <v>1311</v>
      </c>
      <c r="N472" s="22" t="s">
        <v>1311</v>
      </c>
      <c r="O472" s="22" t="s">
        <v>1314</v>
      </c>
      <c r="P472" s="22" t="s">
        <v>1318</v>
      </c>
      <c r="Q472" s="20">
        <v>0</v>
      </c>
      <c r="R472" s="20">
        <v>0</v>
      </c>
      <c r="S472" s="20">
        <v>0</v>
      </c>
      <c r="T472" s="20">
        <v>0</v>
      </c>
      <c r="U472" s="20">
        <v>0</v>
      </c>
      <c r="V472" s="20">
        <v>0</v>
      </c>
      <c r="W472" s="20">
        <v>0</v>
      </c>
      <c r="X472" s="20">
        <v>0</v>
      </c>
      <c r="Y472" s="20">
        <v>0</v>
      </c>
      <c r="Z472" s="20">
        <v>0</v>
      </c>
      <c r="AA472" s="20" t="s">
        <v>1317</v>
      </c>
      <c r="AB472" s="22" t="s">
        <v>1318</v>
      </c>
      <c r="AC472" s="20">
        <v>2</v>
      </c>
      <c r="AD472" s="20">
        <v>0</v>
      </c>
      <c r="AE472" s="20">
        <v>0</v>
      </c>
      <c r="AF472" s="20">
        <v>12</v>
      </c>
      <c r="AG472" s="20">
        <v>0</v>
      </c>
      <c r="AH472" s="20">
        <v>0</v>
      </c>
      <c r="AI472" s="328">
        <v>35.398230088495573</v>
      </c>
      <c r="AJ472" s="328" t="s">
        <v>1328</v>
      </c>
      <c r="AK472" s="328" t="s">
        <v>1328</v>
      </c>
      <c r="AL472" s="22" t="s">
        <v>1338</v>
      </c>
      <c r="AM472" s="22" t="s">
        <v>1330</v>
      </c>
      <c r="AN472" s="22" t="s">
        <v>1317</v>
      </c>
      <c r="AO472" s="22" t="s">
        <v>1318</v>
      </c>
      <c r="AP472" s="22" t="s">
        <v>1318</v>
      </c>
      <c r="AQ472" s="22" t="s">
        <v>1318</v>
      </c>
      <c r="AR472" s="22" t="s">
        <v>1317</v>
      </c>
      <c r="AS472" s="22" t="s">
        <v>1318</v>
      </c>
      <c r="AT472" s="22" t="s">
        <v>1309</v>
      </c>
      <c r="AU472" s="22" t="s">
        <v>1309</v>
      </c>
      <c r="AV472" s="22" t="s">
        <v>1317</v>
      </c>
      <c r="AW472" s="22" t="s">
        <v>1318</v>
      </c>
      <c r="AX472" s="22" t="s">
        <v>1317</v>
      </c>
      <c r="AY472" s="22" t="s">
        <v>1318</v>
      </c>
      <c r="AZ472" s="22" t="s">
        <v>1309</v>
      </c>
      <c r="BA472" s="22" t="s">
        <v>1309</v>
      </c>
      <c r="BB472" s="22" t="s">
        <v>1309</v>
      </c>
      <c r="BC472" s="22" t="s">
        <v>1309</v>
      </c>
      <c r="BD472" s="22" t="s">
        <v>1317</v>
      </c>
      <c r="BE472" s="22" t="s">
        <v>1318</v>
      </c>
      <c r="BF472" s="22" t="s">
        <v>1317</v>
      </c>
      <c r="BG472" s="22" t="s">
        <v>1318</v>
      </c>
      <c r="BH472" s="22" t="s">
        <v>1309</v>
      </c>
      <c r="BI472" s="22" t="s">
        <v>1309</v>
      </c>
      <c r="BJ472" s="22" t="s">
        <v>1309</v>
      </c>
      <c r="BK472" s="22" t="s">
        <v>1309</v>
      </c>
      <c r="BL472" s="22" t="s">
        <v>1309</v>
      </c>
      <c r="BM472" s="22" t="s">
        <v>1309</v>
      </c>
      <c r="BN472" s="22" t="s">
        <v>1309</v>
      </c>
      <c r="BO472" s="22" t="s">
        <v>1309</v>
      </c>
      <c r="BP472" s="22" t="s">
        <v>1315</v>
      </c>
      <c r="BQ472" s="22" t="s">
        <v>1315</v>
      </c>
      <c r="BR472" s="22" t="s">
        <v>1317</v>
      </c>
      <c r="BS472" s="22" t="s">
        <v>1318</v>
      </c>
      <c r="BT472" s="22" t="s">
        <v>1315</v>
      </c>
      <c r="BU472" s="22" t="s">
        <v>1315</v>
      </c>
      <c r="BV472" s="22" t="s">
        <v>1317</v>
      </c>
      <c r="BW472" s="22" t="s">
        <v>1318</v>
      </c>
      <c r="BX472" s="20">
        <v>0</v>
      </c>
      <c r="BY472" s="20">
        <v>0</v>
      </c>
      <c r="BZ472" s="20">
        <v>5</v>
      </c>
      <c r="CA472" s="20">
        <v>0</v>
      </c>
      <c r="CB472" s="20">
        <v>0</v>
      </c>
      <c r="CC472" s="20">
        <v>87</v>
      </c>
      <c r="CD472" s="22" t="s">
        <v>1317</v>
      </c>
      <c r="CE472" s="22" t="s">
        <v>1318</v>
      </c>
      <c r="CF472" s="22" t="s">
        <v>1317</v>
      </c>
      <c r="CG472" s="22" t="s">
        <v>1318</v>
      </c>
      <c r="CH472" s="22" t="s">
        <v>1317</v>
      </c>
      <c r="CI472" s="22" t="s">
        <v>1318</v>
      </c>
      <c r="CJ472" s="149" t="s">
        <v>1124</v>
      </c>
      <c r="CK472" s="241" t="s">
        <v>1750</v>
      </c>
    </row>
    <row r="473" spans="1:89" ht="15" customHeight="1" x14ac:dyDescent="0.35">
      <c r="A473" s="17"/>
      <c r="B473" s="313">
        <v>94205</v>
      </c>
      <c r="C473" s="8" t="s">
        <v>973</v>
      </c>
      <c r="D473" s="18">
        <v>2</v>
      </c>
      <c r="E473" s="131" t="s">
        <v>1309</v>
      </c>
      <c r="F473" s="22" t="s">
        <v>1309</v>
      </c>
      <c r="G473" s="132" t="s">
        <v>1309</v>
      </c>
      <c r="H473" s="22" t="s">
        <v>1311</v>
      </c>
      <c r="I473" s="22" t="s">
        <v>1327</v>
      </c>
      <c r="J473" s="22" t="s">
        <v>1327</v>
      </c>
      <c r="K473" s="22" t="s">
        <v>1314</v>
      </c>
      <c r="L473" s="22" t="s">
        <v>1311</v>
      </c>
      <c r="M473" s="133" t="s">
        <v>1311</v>
      </c>
      <c r="N473" s="22" t="s">
        <v>1311</v>
      </c>
      <c r="O473" s="22" t="s">
        <v>1314</v>
      </c>
      <c r="P473" s="22" t="s">
        <v>1318</v>
      </c>
      <c r="Q473" s="20">
        <v>0</v>
      </c>
      <c r="R473" s="20">
        <v>0</v>
      </c>
      <c r="S473" s="20">
        <v>0</v>
      </c>
      <c r="T473" s="20">
        <v>11.198</v>
      </c>
      <c r="U473" s="20">
        <v>0</v>
      </c>
      <c r="V473" s="20">
        <v>0</v>
      </c>
      <c r="W473" s="20">
        <v>0</v>
      </c>
      <c r="X473" s="20">
        <v>0</v>
      </c>
      <c r="Y473" s="20">
        <v>0</v>
      </c>
      <c r="Z473" s="20">
        <v>0</v>
      </c>
      <c r="AA473" s="20" t="s">
        <v>1317</v>
      </c>
      <c r="AB473" s="22" t="s">
        <v>1318</v>
      </c>
      <c r="AC473" s="20">
        <v>1</v>
      </c>
      <c r="AD473" s="20">
        <v>0</v>
      </c>
      <c r="AE473" s="20">
        <v>0</v>
      </c>
      <c r="AF473" s="20">
        <v>1</v>
      </c>
      <c r="AG473" s="20">
        <v>0</v>
      </c>
      <c r="AH473" s="20">
        <v>0</v>
      </c>
      <c r="AI473" s="328">
        <v>17.860332202178959</v>
      </c>
      <c r="AJ473" s="328" t="s">
        <v>1328</v>
      </c>
      <c r="AK473" s="328" t="s">
        <v>1328</v>
      </c>
      <c r="AL473" s="22" t="s">
        <v>1329</v>
      </c>
      <c r="AM473" s="22" t="s">
        <v>1330</v>
      </c>
      <c r="AN473" s="22" t="s">
        <v>1317</v>
      </c>
      <c r="AO473" s="22" t="s">
        <v>1318</v>
      </c>
      <c r="AP473" s="22" t="s">
        <v>1318</v>
      </c>
      <c r="AQ473" s="22" t="s">
        <v>1318</v>
      </c>
      <c r="AR473" s="22" t="s">
        <v>1317</v>
      </c>
      <c r="AS473" s="22" t="s">
        <v>1318</v>
      </c>
      <c r="AT473" s="22" t="s">
        <v>1317</v>
      </c>
      <c r="AU473" s="22" t="s">
        <v>1311</v>
      </c>
      <c r="AV473" s="22" t="s">
        <v>1317</v>
      </c>
      <c r="AW473" s="22" t="s">
        <v>1318</v>
      </c>
      <c r="AX473" s="22" t="s">
        <v>1317</v>
      </c>
      <c r="AY473" s="22" t="s">
        <v>1318</v>
      </c>
      <c r="AZ473" s="22" t="s">
        <v>1319</v>
      </c>
      <c r="BA473" s="22" t="s">
        <v>1311</v>
      </c>
      <c r="BB473" s="22" t="s">
        <v>1309</v>
      </c>
      <c r="BC473" s="22" t="s">
        <v>1309</v>
      </c>
      <c r="BD473" s="22" t="s">
        <v>1317</v>
      </c>
      <c r="BE473" s="22" t="s">
        <v>1318</v>
      </c>
      <c r="BF473" s="22" t="s">
        <v>1317</v>
      </c>
      <c r="BG473" s="22" t="s">
        <v>1318</v>
      </c>
      <c r="BH473" s="22" t="s">
        <v>1317</v>
      </c>
      <c r="BI473" s="22" t="s">
        <v>1318</v>
      </c>
      <c r="BJ473" s="22" t="s">
        <v>1317</v>
      </c>
      <c r="BK473" s="22" t="s">
        <v>1311</v>
      </c>
      <c r="BL473" s="22" t="s">
        <v>1317</v>
      </c>
      <c r="BM473" s="22" t="s">
        <v>1318</v>
      </c>
      <c r="BN473" s="22" t="s">
        <v>1309</v>
      </c>
      <c r="BO473" s="22" t="s">
        <v>1309</v>
      </c>
      <c r="BP473" s="22" t="s">
        <v>1315</v>
      </c>
      <c r="BQ473" s="22" t="s">
        <v>1315</v>
      </c>
      <c r="BR473" s="22" t="s">
        <v>1317</v>
      </c>
      <c r="BS473" s="22" t="s">
        <v>1318</v>
      </c>
      <c r="BT473" s="22" t="s">
        <v>1317</v>
      </c>
      <c r="BU473" s="22" t="s">
        <v>1318</v>
      </c>
      <c r="BV473" s="22" t="s">
        <v>1319</v>
      </c>
      <c r="BW473" s="22" t="s">
        <v>1311</v>
      </c>
      <c r="BX473" s="20">
        <v>0</v>
      </c>
      <c r="BY473" s="20">
        <v>0</v>
      </c>
      <c r="BZ473" s="20">
        <v>14</v>
      </c>
      <c r="CA473" s="20">
        <v>0</v>
      </c>
      <c r="CB473" s="20">
        <v>0</v>
      </c>
      <c r="CC473" s="20">
        <v>231</v>
      </c>
      <c r="CD473" s="22" t="s">
        <v>1320</v>
      </c>
      <c r="CE473" s="22" t="s">
        <v>1321</v>
      </c>
      <c r="CF473" s="22" t="s">
        <v>1320</v>
      </c>
      <c r="CG473" s="22" t="s">
        <v>1321</v>
      </c>
      <c r="CH473" s="22" t="s">
        <v>1317</v>
      </c>
      <c r="CI473" s="22" t="s">
        <v>1318</v>
      </c>
      <c r="CJ473" s="149" t="s">
        <v>1124</v>
      </c>
      <c r="CK473" s="241" t="s">
        <v>2380</v>
      </c>
    </row>
    <row r="474" spans="1:89" ht="15" customHeight="1" x14ac:dyDescent="0.35">
      <c r="A474" s="17"/>
      <c r="B474" s="313">
        <v>77030</v>
      </c>
      <c r="C474" s="8" t="s">
        <v>759</v>
      </c>
      <c r="D474" s="18">
        <v>15</v>
      </c>
      <c r="E474" s="131" t="s">
        <v>1309</v>
      </c>
      <c r="F474" s="22" t="s">
        <v>1309</v>
      </c>
      <c r="G474" s="132" t="s">
        <v>1309</v>
      </c>
      <c r="H474" s="22" t="s">
        <v>1311</v>
      </c>
      <c r="I474" s="22" t="s">
        <v>1327</v>
      </c>
      <c r="J474" s="22" t="s">
        <v>1342</v>
      </c>
      <c r="K474" s="22" t="s">
        <v>1319</v>
      </c>
      <c r="L474" s="22" t="s">
        <v>1311</v>
      </c>
      <c r="M474" s="133" t="s">
        <v>1311</v>
      </c>
      <c r="N474" s="22" t="s">
        <v>1311</v>
      </c>
      <c r="O474" s="22" t="s">
        <v>1319</v>
      </c>
      <c r="P474" s="22" t="s">
        <v>1311</v>
      </c>
      <c r="Q474" s="20">
        <v>0</v>
      </c>
      <c r="R474" s="20">
        <v>0</v>
      </c>
      <c r="S474" s="20">
        <v>0</v>
      </c>
      <c r="T474" s="20">
        <v>0</v>
      </c>
      <c r="U474" s="20">
        <v>42.207999999999998</v>
      </c>
      <c r="V474" s="20">
        <v>42.207999999999998</v>
      </c>
      <c r="W474" s="20">
        <v>0</v>
      </c>
      <c r="X474" s="20">
        <v>0</v>
      </c>
      <c r="Y474" s="20">
        <v>0</v>
      </c>
      <c r="Z474" s="20">
        <v>0</v>
      </c>
      <c r="AA474" s="20" t="s">
        <v>1319</v>
      </c>
      <c r="AB474" s="22" t="s">
        <v>1311</v>
      </c>
      <c r="AC474" s="20">
        <v>19</v>
      </c>
      <c r="AD474" s="20">
        <v>6</v>
      </c>
      <c r="AE474" s="20">
        <v>12</v>
      </c>
      <c r="AF474" s="20">
        <v>5</v>
      </c>
      <c r="AG474" s="20">
        <v>5</v>
      </c>
      <c r="AH474" s="20">
        <v>14</v>
      </c>
      <c r="AI474" s="328">
        <v>45.015163002274456</v>
      </c>
      <c r="AJ474" s="328">
        <v>2.7210884353741496</v>
      </c>
      <c r="AK474" s="328">
        <v>5.4421768707482991</v>
      </c>
      <c r="AL474" s="22" t="s">
        <v>1329</v>
      </c>
      <c r="AM474" s="22" t="s">
        <v>1343</v>
      </c>
      <c r="AN474" s="22" t="s">
        <v>1317</v>
      </c>
      <c r="AO474" s="22" t="s">
        <v>1318</v>
      </c>
      <c r="AP474" s="22" t="s">
        <v>1318</v>
      </c>
      <c r="AQ474" s="22" t="s">
        <v>1318</v>
      </c>
      <c r="AR474" s="22" t="s">
        <v>1317</v>
      </c>
      <c r="AS474" s="22" t="s">
        <v>1318</v>
      </c>
      <c r="AT474" s="22" t="s">
        <v>1317</v>
      </c>
      <c r="AU474" s="22" t="s">
        <v>1311</v>
      </c>
      <c r="AV474" s="22" t="s">
        <v>1317</v>
      </c>
      <c r="AW474" s="22" t="s">
        <v>1318</v>
      </c>
      <c r="AX474" s="22" t="s">
        <v>1317</v>
      </c>
      <c r="AY474" s="22" t="s">
        <v>1311</v>
      </c>
      <c r="AZ474" s="22" t="s">
        <v>1319</v>
      </c>
      <c r="BA474" s="22" t="s">
        <v>1311</v>
      </c>
      <c r="BB474" s="22" t="s">
        <v>1309</v>
      </c>
      <c r="BC474" s="22" t="s">
        <v>1309</v>
      </c>
      <c r="BD474" s="22" t="s">
        <v>1319</v>
      </c>
      <c r="BE474" s="22" t="s">
        <v>1311</v>
      </c>
      <c r="BF474" s="22" t="s">
        <v>1317</v>
      </c>
      <c r="BG474" s="22" t="s">
        <v>1318</v>
      </c>
      <c r="BH474" s="22" t="s">
        <v>1309</v>
      </c>
      <c r="BI474" s="22" t="s">
        <v>1309</v>
      </c>
      <c r="BJ474" s="22" t="s">
        <v>1317</v>
      </c>
      <c r="BK474" s="22" t="s">
        <v>1318</v>
      </c>
      <c r="BL474" s="22" t="s">
        <v>1319</v>
      </c>
      <c r="BM474" s="22" t="s">
        <v>1311</v>
      </c>
      <c r="BN474" s="22" t="s">
        <v>1309</v>
      </c>
      <c r="BO474" s="22" t="s">
        <v>1309</v>
      </c>
      <c r="BP474" s="22" t="s">
        <v>1315</v>
      </c>
      <c r="BQ474" s="22" t="s">
        <v>1315</v>
      </c>
      <c r="BR474" s="22" t="s">
        <v>1309</v>
      </c>
      <c r="BS474" s="22" t="s">
        <v>1309</v>
      </c>
      <c r="BT474" s="22" t="s">
        <v>1319</v>
      </c>
      <c r="BU474" s="22" t="s">
        <v>1311</v>
      </c>
      <c r="BV474" s="22" t="s">
        <v>1317</v>
      </c>
      <c r="BW474" s="22" t="s">
        <v>1318</v>
      </c>
      <c r="BX474" s="20">
        <v>65</v>
      </c>
      <c r="BY474" s="20">
        <v>0</v>
      </c>
      <c r="BZ474" s="20">
        <v>58</v>
      </c>
      <c r="CA474" s="20">
        <v>0</v>
      </c>
      <c r="CB474" s="20">
        <v>50</v>
      </c>
      <c r="CC474" s="20">
        <v>2032</v>
      </c>
      <c r="CD474" s="22" t="s">
        <v>1317</v>
      </c>
      <c r="CE474" s="22" t="s">
        <v>1321</v>
      </c>
      <c r="CF474" s="22" t="s">
        <v>1317</v>
      </c>
      <c r="CG474" s="22" t="s">
        <v>1321</v>
      </c>
      <c r="CH474" s="22" t="s">
        <v>1317</v>
      </c>
      <c r="CI474" s="22" t="s">
        <v>1318</v>
      </c>
      <c r="CJ474" s="149" t="s">
        <v>2384</v>
      </c>
      <c r="CK474" s="241" t="s">
        <v>2385</v>
      </c>
    </row>
    <row r="475" spans="1:89" ht="15" customHeight="1" x14ac:dyDescent="0.35">
      <c r="A475" s="17"/>
      <c r="B475" s="313">
        <v>50113</v>
      </c>
      <c r="C475" s="8" t="s">
        <v>496</v>
      </c>
      <c r="D475" s="18">
        <v>17</v>
      </c>
      <c r="E475" s="131"/>
      <c r="F475" s="22"/>
      <c r="G475" s="132"/>
      <c r="H475" s="22"/>
      <c r="I475" s="22"/>
      <c r="J475" s="22"/>
      <c r="K475" s="22"/>
      <c r="L475" s="22"/>
      <c r="M475" s="133"/>
      <c r="N475" s="22"/>
      <c r="O475" s="22"/>
      <c r="P475" s="22"/>
      <c r="Q475" s="20"/>
      <c r="R475" s="20"/>
      <c r="S475" s="20"/>
      <c r="T475" s="20"/>
      <c r="U475" s="20"/>
      <c r="V475" s="20"/>
      <c r="W475" s="20"/>
      <c r="X475" s="20"/>
      <c r="Y475" s="20"/>
      <c r="Z475" s="20"/>
      <c r="AA475" s="20"/>
      <c r="AB475" s="22"/>
      <c r="AC475" s="20"/>
      <c r="AD475" s="20"/>
      <c r="AE475" s="20"/>
      <c r="AF475" s="20" t="s">
        <v>1124</v>
      </c>
      <c r="AG475" s="20" t="s">
        <v>1124</v>
      </c>
      <c r="AH475" s="20" t="s">
        <v>1124</v>
      </c>
      <c r="AI475" s="328"/>
      <c r="AJ475" s="328"/>
      <c r="AK475" s="328"/>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0"/>
      <c r="BY475" s="20"/>
      <c r="BZ475" s="20"/>
      <c r="CA475" s="20"/>
      <c r="CB475" s="20"/>
      <c r="CC475" s="20"/>
      <c r="CD475" s="22"/>
      <c r="CE475" s="22"/>
      <c r="CF475" s="22"/>
      <c r="CG475" s="22"/>
      <c r="CH475" s="22"/>
      <c r="CI475" s="22"/>
      <c r="CJ475" s="149"/>
      <c r="CK475" s="241"/>
    </row>
    <row r="476" spans="1:89" ht="15" customHeight="1" x14ac:dyDescent="0.35">
      <c r="A476" s="17"/>
      <c r="B476" s="313">
        <v>46025</v>
      </c>
      <c r="C476" s="8" t="s">
        <v>430</v>
      </c>
      <c r="D476" s="18">
        <v>5</v>
      </c>
      <c r="E476" s="131"/>
      <c r="F476" s="22"/>
      <c r="G476" s="132"/>
      <c r="H476" s="22"/>
      <c r="I476" s="22"/>
      <c r="J476" s="22"/>
      <c r="K476" s="22"/>
      <c r="L476" s="22"/>
      <c r="M476" s="133"/>
      <c r="N476" s="22"/>
      <c r="O476" s="22"/>
      <c r="P476" s="22"/>
      <c r="Q476" s="20"/>
      <c r="R476" s="20"/>
      <c r="S476" s="20"/>
      <c r="T476" s="20"/>
      <c r="U476" s="20"/>
      <c r="V476" s="20"/>
      <c r="W476" s="20"/>
      <c r="X476" s="20"/>
      <c r="Y476" s="20"/>
      <c r="Z476" s="20"/>
      <c r="AA476" s="20"/>
      <c r="AB476" s="22"/>
      <c r="AC476" s="20"/>
      <c r="AD476" s="20"/>
      <c r="AE476" s="20"/>
      <c r="AF476" s="20" t="s">
        <v>1124</v>
      </c>
      <c r="AG476" s="20" t="s">
        <v>1124</v>
      </c>
      <c r="AH476" s="20" t="s">
        <v>1124</v>
      </c>
      <c r="AI476" s="328"/>
      <c r="AJ476" s="328"/>
      <c r="AK476" s="328"/>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0"/>
      <c r="BY476" s="20"/>
      <c r="BZ476" s="20"/>
      <c r="CA476" s="20"/>
      <c r="CB476" s="20"/>
      <c r="CC476" s="20"/>
      <c r="CD476" s="22"/>
      <c r="CE476" s="22"/>
      <c r="CF476" s="22"/>
      <c r="CG476" s="22"/>
      <c r="CH476" s="22"/>
      <c r="CI476" s="22"/>
      <c r="CJ476" s="149"/>
      <c r="CK476" s="241"/>
    </row>
    <row r="477" spans="1:89" ht="15" customHeight="1" x14ac:dyDescent="0.35">
      <c r="A477" s="17"/>
      <c r="B477" s="313">
        <v>71070</v>
      </c>
      <c r="C477" s="8" t="s">
        <v>715</v>
      </c>
      <c r="D477" s="18">
        <v>16</v>
      </c>
      <c r="E477" s="131" t="s">
        <v>1309</v>
      </c>
      <c r="F477" s="22" t="s">
        <v>1309</v>
      </c>
      <c r="G477" s="132" t="s">
        <v>1309</v>
      </c>
      <c r="H477" s="22" t="s">
        <v>1311</v>
      </c>
      <c r="I477" s="22" t="s">
        <v>1327</v>
      </c>
      <c r="J477" s="22" t="s">
        <v>1327</v>
      </c>
      <c r="K477" s="22" t="s">
        <v>1309</v>
      </c>
      <c r="L477" s="22" t="s">
        <v>1309</v>
      </c>
      <c r="M477" s="133" t="s">
        <v>1311</v>
      </c>
      <c r="N477" s="22" t="s">
        <v>1311</v>
      </c>
      <c r="O477" s="22" t="s">
        <v>1314</v>
      </c>
      <c r="P477" s="22" t="s">
        <v>1318</v>
      </c>
      <c r="Q477" s="20">
        <v>0</v>
      </c>
      <c r="R477" s="20">
        <v>0</v>
      </c>
      <c r="S477" s="20">
        <v>74.671000000000006</v>
      </c>
      <c r="T477" s="20">
        <v>74.671000000000006</v>
      </c>
      <c r="U477" s="20">
        <v>74.671000000000006</v>
      </c>
      <c r="V477" s="20">
        <v>74.671000000000006</v>
      </c>
      <c r="W477" s="20">
        <v>0</v>
      </c>
      <c r="X477" s="20">
        <v>0</v>
      </c>
      <c r="Y477" s="20">
        <v>0</v>
      </c>
      <c r="Z477" s="20">
        <v>0</v>
      </c>
      <c r="AA477" s="20" t="s">
        <v>1309</v>
      </c>
      <c r="AB477" s="22" t="s">
        <v>1309</v>
      </c>
      <c r="AC477" s="20">
        <v>26</v>
      </c>
      <c r="AD477" s="20">
        <v>0</v>
      </c>
      <c r="AE477" s="20">
        <v>0</v>
      </c>
      <c r="AF477" s="20">
        <v>1</v>
      </c>
      <c r="AG477" s="20">
        <v>0</v>
      </c>
      <c r="AH477" s="20">
        <v>0</v>
      </c>
      <c r="AI477" s="328">
        <v>34.819407802225761</v>
      </c>
      <c r="AJ477" s="328" t="s">
        <v>1328</v>
      </c>
      <c r="AK477" s="328" t="s">
        <v>1328</v>
      </c>
      <c r="AL477" s="22" t="s">
        <v>1329</v>
      </c>
      <c r="AM477" s="22" t="s">
        <v>1330</v>
      </c>
      <c r="AN477" s="22" t="s">
        <v>1317</v>
      </c>
      <c r="AO477" s="22" t="s">
        <v>1318</v>
      </c>
      <c r="AP477" s="22" t="s">
        <v>1318</v>
      </c>
      <c r="AQ477" s="22" t="s">
        <v>1318</v>
      </c>
      <c r="AR477" s="22" t="s">
        <v>1317</v>
      </c>
      <c r="AS477" s="22" t="s">
        <v>1318</v>
      </c>
      <c r="AT477" s="22" t="s">
        <v>1309</v>
      </c>
      <c r="AU477" s="22" t="s">
        <v>1309</v>
      </c>
      <c r="AV477" s="22" t="s">
        <v>1309</v>
      </c>
      <c r="AW477" s="22" t="s">
        <v>1309</v>
      </c>
      <c r="AX477" s="22" t="s">
        <v>1317</v>
      </c>
      <c r="AY477" s="22" t="s">
        <v>1318</v>
      </c>
      <c r="AZ477" s="22" t="s">
        <v>1309</v>
      </c>
      <c r="BA477" s="22" t="s">
        <v>1309</v>
      </c>
      <c r="BB477" s="22" t="s">
        <v>1309</v>
      </c>
      <c r="BC477" s="22" t="s">
        <v>1309</v>
      </c>
      <c r="BD477" s="22" t="s">
        <v>1317</v>
      </c>
      <c r="BE477" s="22" t="s">
        <v>1318</v>
      </c>
      <c r="BF477" s="22" t="s">
        <v>1317</v>
      </c>
      <c r="BG477" s="22" t="s">
        <v>1318</v>
      </c>
      <c r="BH477" s="22" t="s">
        <v>1309</v>
      </c>
      <c r="BI477" s="22" t="s">
        <v>1309</v>
      </c>
      <c r="BJ477" s="22" t="s">
        <v>1317</v>
      </c>
      <c r="BK477" s="22" t="s">
        <v>1318</v>
      </c>
      <c r="BL477" s="22" t="s">
        <v>1317</v>
      </c>
      <c r="BM477" s="22" t="s">
        <v>1318</v>
      </c>
      <c r="BN477" s="22" t="s">
        <v>1309</v>
      </c>
      <c r="BO477" s="22" t="s">
        <v>1309</v>
      </c>
      <c r="BP477" s="22" t="s">
        <v>1309</v>
      </c>
      <c r="BQ477" s="22" t="s">
        <v>1309</v>
      </c>
      <c r="BR477" s="22" t="s">
        <v>1309</v>
      </c>
      <c r="BS477" s="22" t="s">
        <v>1309</v>
      </c>
      <c r="BT477" s="22" t="s">
        <v>1309</v>
      </c>
      <c r="BU477" s="22" t="s">
        <v>1309</v>
      </c>
      <c r="BV477" s="22" t="s">
        <v>1317</v>
      </c>
      <c r="BW477" s="22" t="s">
        <v>1318</v>
      </c>
      <c r="BX477" s="20">
        <v>0</v>
      </c>
      <c r="BY477" s="20">
        <v>0</v>
      </c>
      <c r="BZ477" s="20">
        <v>177</v>
      </c>
      <c r="CA477" s="20">
        <v>0</v>
      </c>
      <c r="CB477" s="20">
        <v>0</v>
      </c>
      <c r="CC477" s="20">
        <v>5110</v>
      </c>
      <c r="CD477" s="22" t="s">
        <v>1317</v>
      </c>
      <c r="CE477" s="22" t="s">
        <v>1318</v>
      </c>
      <c r="CF477" s="22" t="s">
        <v>1317</v>
      </c>
      <c r="CG477" s="22" t="s">
        <v>1318</v>
      </c>
      <c r="CH477" s="22" t="s">
        <v>1317</v>
      </c>
      <c r="CI477" s="22" t="s">
        <v>1318</v>
      </c>
      <c r="CJ477" s="149" t="s">
        <v>2388</v>
      </c>
      <c r="CK477" s="241" t="s">
        <v>1357</v>
      </c>
    </row>
    <row r="478" spans="1:89" ht="15" customHeight="1" x14ac:dyDescent="0.35">
      <c r="A478" s="17"/>
      <c r="B478" s="313">
        <v>30020</v>
      </c>
      <c r="C478" s="8" t="s">
        <v>220</v>
      </c>
      <c r="D478" s="18">
        <v>5</v>
      </c>
      <c r="E478" s="131" t="s">
        <v>1319</v>
      </c>
      <c r="F478" s="22" t="s">
        <v>1310</v>
      </c>
      <c r="G478" s="132" t="s">
        <v>1309</v>
      </c>
      <c r="H478" s="22" t="s">
        <v>1311</v>
      </c>
      <c r="I478" s="22" t="s">
        <v>1327</v>
      </c>
      <c r="J478" s="22" t="s">
        <v>1327</v>
      </c>
      <c r="K478" s="22" t="s">
        <v>1319</v>
      </c>
      <c r="L478" s="22" t="s">
        <v>1311</v>
      </c>
      <c r="M478" s="133" t="s">
        <v>1311</v>
      </c>
      <c r="N478" s="22" t="s">
        <v>1311</v>
      </c>
      <c r="O478" s="22" t="s">
        <v>1314</v>
      </c>
      <c r="P478" s="22" t="s">
        <v>1318</v>
      </c>
      <c r="Q478" s="20">
        <v>0</v>
      </c>
      <c r="R478" s="20">
        <v>0</v>
      </c>
      <c r="S478" s="20">
        <v>0</v>
      </c>
      <c r="T478" s="20">
        <v>0</v>
      </c>
      <c r="U478" s="20">
        <v>0</v>
      </c>
      <c r="V478" s="20">
        <v>0</v>
      </c>
      <c r="W478" s="20">
        <v>0</v>
      </c>
      <c r="X478" s="20">
        <v>0</v>
      </c>
      <c r="Y478" s="20">
        <v>0</v>
      </c>
      <c r="Z478" s="20">
        <v>0</v>
      </c>
      <c r="AA478" s="20" t="s">
        <v>1317</v>
      </c>
      <c r="AB478" s="22" t="s">
        <v>1318</v>
      </c>
      <c r="AC478" s="20">
        <v>0</v>
      </c>
      <c r="AD478" s="20">
        <v>0</v>
      </c>
      <c r="AE478" s="20">
        <v>0</v>
      </c>
      <c r="AF478" s="20">
        <v>0</v>
      </c>
      <c r="AG478" s="20">
        <v>0</v>
      </c>
      <c r="AH478" s="20">
        <v>0</v>
      </c>
      <c r="AI478" s="328" t="s">
        <v>1328</v>
      </c>
      <c r="AJ478" s="328" t="s">
        <v>1328</v>
      </c>
      <c r="AK478" s="328" t="s">
        <v>1328</v>
      </c>
      <c r="AL478" s="22" t="s">
        <v>1329</v>
      </c>
      <c r="AM478" s="22" t="s">
        <v>1330</v>
      </c>
      <c r="AN478" s="22" t="s">
        <v>1317</v>
      </c>
      <c r="AO478" s="22" t="s">
        <v>1318</v>
      </c>
      <c r="AP478" s="22" t="s">
        <v>1318</v>
      </c>
      <c r="AQ478" s="22" t="s">
        <v>1318</v>
      </c>
      <c r="AR478" s="22" t="s">
        <v>1317</v>
      </c>
      <c r="AS478" s="22" t="s">
        <v>1318</v>
      </c>
      <c r="AT478" s="22" t="s">
        <v>1317</v>
      </c>
      <c r="AU478" s="22" t="s">
        <v>1318</v>
      </c>
      <c r="AV478" s="22" t="s">
        <v>1317</v>
      </c>
      <c r="AW478" s="22" t="s">
        <v>1311</v>
      </c>
      <c r="AX478" s="22" t="s">
        <v>1317</v>
      </c>
      <c r="AY478" s="22" t="s">
        <v>1318</v>
      </c>
      <c r="AZ478" s="22" t="s">
        <v>1309</v>
      </c>
      <c r="BA478" s="22" t="s">
        <v>1309</v>
      </c>
      <c r="BB478" s="22" t="s">
        <v>1309</v>
      </c>
      <c r="BC478" s="22" t="s">
        <v>1309</v>
      </c>
      <c r="BD478" s="22" t="s">
        <v>1317</v>
      </c>
      <c r="BE478" s="22" t="s">
        <v>1318</v>
      </c>
      <c r="BF478" s="22" t="s">
        <v>1317</v>
      </c>
      <c r="BG478" s="22" t="s">
        <v>1318</v>
      </c>
      <c r="BH478" s="22" t="s">
        <v>1317</v>
      </c>
      <c r="BI478" s="22" t="s">
        <v>1318</v>
      </c>
      <c r="BJ478" s="22" t="s">
        <v>1309</v>
      </c>
      <c r="BK478" s="22" t="s">
        <v>1309</v>
      </c>
      <c r="BL478" s="22" t="s">
        <v>1317</v>
      </c>
      <c r="BM478" s="22" t="s">
        <v>1311</v>
      </c>
      <c r="BN478" s="22" t="s">
        <v>1317</v>
      </c>
      <c r="BO478" s="22" t="s">
        <v>1311</v>
      </c>
      <c r="BP478" s="22" t="s">
        <v>1315</v>
      </c>
      <c r="BQ478" s="22" t="s">
        <v>1315</v>
      </c>
      <c r="BR478" s="22" t="s">
        <v>1309</v>
      </c>
      <c r="BS478" s="22" t="s">
        <v>1309</v>
      </c>
      <c r="BT478" s="22" t="s">
        <v>1317</v>
      </c>
      <c r="BU478" s="22" t="s">
        <v>1318</v>
      </c>
      <c r="BV478" s="22" t="s">
        <v>1319</v>
      </c>
      <c r="BW478" s="22" t="s">
        <v>1309</v>
      </c>
      <c r="BX478" s="20">
        <v>0</v>
      </c>
      <c r="BY478" s="20">
        <v>7</v>
      </c>
      <c r="BZ478" s="20">
        <v>0</v>
      </c>
      <c r="CA478" s="20">
        <v>0</v>
      </c>
      <c r="CB478" s="20">
        <v>64</v>
      </c>
      <c r="CC478" s="20">
        <v>0</v>
      </c>
      <c r="CD478" s="22" t="s">
        <v>1317</v>
      </c>
      <c r="CE478" s="22" t="s">
        <v>1318</v>
      </c>
      <c r="CF478" s="22" t="s">
        <v>1317</v>
      </c>
      <c r="CG478" s="22" t="s">
        <v>1318</v>
      </c>
      <c r="CH478" s="22" t="s">
        <v>1317</v>
      </c>
      <c r="CI478" s="22" t="s">
        <v>1318</v>
      </c>
      <c r="CJ478" s="149" t="s">
        <v>2393</v>
      </c>
      <c r="CK478" s="241" t="s">
        <v>1124</v>
      </c>
    </row>
    <row r="479" spans="1:89" ht="15" customHeight="1" x14ac:dyDescent="0.35">
      <c r="A479" s="17"/>
      <c r="B479" s="313">
        <v>80045</v>
      </c>
      <c r="C479" s="8" t="s">
        <v>809</v>
      </c>
      <c r="D479" s="18">
        <v>7</v>
      </c>
      <c r="E479" s="131"/>
      <c r="F479" s="22"/>
      <c r="G479" s="132"/>
      <c r="H479" s="22"/>
      <c r="I479" s="22"/>
      <c r="J479" s="22"/>
      <c r="K479" s="22"/>
      <c r="L479" s="22"/>
      <c r="M479" s="133"/>
      <c r="N479" s="22"/>
      <c r="O479" s="22"/>
      <c r="P479" s="22"/>
      <c r="Q479" s="20"/>
      <c r="R479" s="20"/>
      <c r="S479" s="20"/>
      <c r="T479" s="20"/>
      <c r="U479" s="20"/>
      <c r="V479" s="20"/>
      <c r="W479" s="20"/>
      <c r="X479" s="20"/>
      <c r="Y479" s="20"/>
      <c r="Z479" s="20"/>
      <c r="AA479" s="20"/>
      <c r="AB479" s="22"/>
      <c r="AC479" s="20"/>
      <c r="AD479" s="20"/>
      <c r="AE479" s="20"/>
      <c r="AF479" s="20" t="s">
        <v>1124</v>
      </c>
      <c r="AG479" s="20" t="s">
        <v>1124</v>
      </c>
      <c r="AH479" s="20" t="s">
        <v>1124</v>
      </c>
      <c r="AI479" s="328"/>
      <c r="AJ479" s="328"/>
      <c r="AK479" s="328"/>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0"/>
      <c r="BY479" s="20"/>
      <c r="BZ479" s="20"/>
      <c r="CA479" s="20"/>
      <c r="CB479" s="20"/>
      <c r="CC479" s="20"/>
      <c r="CD479" s="22"/>
      <c r="CE479" s="22"/>
      <c r="CF479" s="22"/>
      <c r="CG479" s="22"/>
      <c r="CH479" s="22"/>
      <c r="CI479" s="22"/>
      <c r="CJ479" s="149"/>
      <c r="CK479" s="241"/>
    </row>
    <row r="480" spans="1:89" ht="15" customHeight="1" x14ac:dyDescent="0.35">
      <c r="A480" s="17"/>
      <c r="B480" s="313">
        <v>32045</v>
      </c>
      <c r="C480" s="8" t="s">
        <v>260</v>
      </c>
      <c r="D480" s="18">
        <v>17</v>
      </c>
      <c r="E480" s="131"/>
      <c r="F480" s="22"/>
      <c r="G480" s="132"/>
      <c r="H480" s="22"/>
      <c r="I480" s="22"/>
      <c r="J480" s="22"/>
      <c r="K480" s="22"/>
      <c r="L480" s="22"/>
      <c r="M480" s="133"/>
      <c r="N480" s="22"/>
      <c r="O480" s="22"/>
      <c r="P480" s="22"/>
      <c r="Q480" s="20"/>
      <c r="R480" s="20"/>
      <c r="S480" s="20"/>
      <c r="T480" s="20"/>
      <c r="U480" s="20"/>
      <c r="V480" s="20"/>
      <c r="W480" s="20"/>
      <c r="X480" s="20"/>
      <c r="Y480" s="20"/>
      <c r="Z480" s="20"/>
      <c r="AA480" s="20"/>
      <c r="AB480" s="22"/>
      <c r="AC480" s="20"/>
      <c r="AD480" s="20"/>
      <c r="AE480" s="20"/>
      <c r="AF480" s="20" t="s">
        <v>1124</v>
      </c>
      <c r="AG480" s="20" t="s">
        <v>1124</v>
      </c>
      <c r="AH480" s="20" t="s">
        <v>1124</v>
      </c>
      <c r="AI480" s="328"/>
      <c r="AJ480" s="328"/>
      <c r="AK480" s="328"/>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0"/>
      <c r="BY480" s="20"/>
      <c r="BZ480" s="20"/>
      <c r="CA480" s="20"/>
      <c r="CB480" s="20"/>
      <c r="CC480" s="20"/>
      <c r="CD480" s="22"/>
      <c r="CE480" s="22"/>
      <c r="CF480" s="22"/>
      <c r="CG480" s="22"/>
      <c r="CH480" s="22"/>
      <c r="CI480" s="22"/>
      <c r="CJ480" s="149"/>
      <c r="CK480" s="241"/>
    </row>
    <row r="481" spans="1:89" ht="15" customHeight="1" x14ac:dyDescent="0.35">
      <c r="A481" s="17"/>
      <c r="B481" s="313">
        <v>32040</v>
      </c>
      <c r="C481" s="8" t="s">
        <v>259</v>
      </c>
      <c r="D481" s="18">
        <v>17</v>
      </c>
      <c r="E481" s="131" t="s">
        <v>1309</v>
      </c>
      <c r="F481" s="22" t="s">
        <v>1309</v>
      </c>
      <c r="G481" s="132" t="s">
        <v>1309</v>
      </c>
      <c r="H481" s="22" t="s">
        <v>1311</v>
      </c>
      <c r="I481" s="22" t="s">
        <v>1327</v>
      </c>
      <c r="J481" s="22" t="s">
        <v>1327</v>
      </c>
      <c r="K481" s="22" t="s">
        <v>1309</v>
      </c>
      <c r="L481" s="22" t="s">
        <v>1309</v>
      </c>
      <c r="M481" s="133" t="s">
        <v>1311</v>
      </c>
      <c r="N481" s="22" t="s">
        <v>1311</v>
      </c>
      <c r="O481" s="22" t="s">
        <v>1309</v>
      </c>
      <c r="P481" s="22" t="s">
        <v>1309</v>
      </c>
      <c r="Q481" s="20">
        <v>0</v>
      </c>
      <c r="R481" s="20">
        <v>0</v>
      </c>
      <c r="S481" s="20">
        <v>108.878</v>
      </c>
      <c r="T481" s="20">
        <v>108.878</v>
      </c>
      <c r="U481" s="20">
        <v>0</v>
      </c>
      <c r="V481" s="20">
        <v>0</v>
      </c>
      <c r="W481" s="20">
        <v>0</v>
      </c>
      <c r="X481" s="20">
        <v>0</v>
      </c>
      <c r="Y481" s="20">
        <v>0</v>
      </c>
      <c r="Z481" s="20">
        <v>0</v>
      </c>
      <c r="AA481" s="20" t="s">
        <v>1309</v>
      </c>
      <c r="AB481" s="22" t="s">
        <v>1309</v>
      </c>
      <c r="AC481" s="20">
        <v>11</v>
      </c>
      <c r="AD481" s="20">
        <v>1</v>
      </c>
      <c r="AE481" s="20">
        <v>0</v>
      </c>
      <c r="AF481" s="20">
        <v>2</v>
      </c>
      <c r="AG481" s="20">
        <v>2</v>
      </c>
      <c r="AH481" s="20">
        <v>0</v>
      </c>
      <c r="AI481" s="328">
        <v>21.151405607045341</v>
      </c>
      <c r="AJ481" s="328">
        <v>0.38226299694189603</v>
      </c>
      <c r="AK481" s="328" t="s">
        <v>1328</v>
      </c>
      <c r="AL481" s="22" t="s">
        <v>1329</v>
      </c>
      <c r="AM481" s="22" t="s">
        <v>1330</v>
      </c>
      <c r="AN481" s="22" t="s">
        <v>1317</v>
      </c>
      <c r="AO481" s="22" t="s">
        <v>1318</v>
      </c>
      <c r="AP481" s="22" t="s">
        <v>1318</v>
      </c>
      <c r="AQ481" s="22" t="s">
        <v>1318</v>
      </c>
      <c r="AR481" s="22" t="s">
        <v>1317</v>
      </c>
      <c r="AS481" s="22" t="s">
        <v>1318</v>
      </c>
      <c r="AT481" s="22" t="s">
        <v>1309</v>
      </c>
      <c r="AU481" s="22" t="s">
        <v>1309</v>
      </c>
      <c r="AV481" s="22" t="s">
        <v>1317</v>
      </c>
      <c r="AW481" s="22" t="s">
        <v>1318</v>
      </c>
      <c r="AX481" s="22" t="s">
        <v>1317</v>
      </c>
      <c r="AY481" s="22" t="s">
        <v>1318</v>
      </c>
      <c r="AZ481" s="22" t="s">
        <v>1309</v>
      </c>
      <c r="BA481" s="22" t="s">
        <v>1309</v>
      </c>
      <c r="BB481" s="22" t="s">
        <v>1317</v>
      </c>
      <c r="BC481" s="22" t="s">
        <v>1311</v>
      </c>
      <c r="BD481" s="22" t="s">
        <v>1309</v>
      </c>
      <c r="BE481" s="22" t="s">
        <v>1309</v>
      </c>
      <c r="BF481" s="22" t="s">
        <v>1319</v>
      </c>
      <c r="BG481" s="22" t="s">
        <v>1311</v>
      </c>
      <c r="BH481" s="22" t="s">
        <v>1309</v>
      </c>
      <c r="BI481" s="22" t="s">
        <v>1309</v>
      </c>
      <c r="BJ481" s="22" t="s">
        <v>1309</v>
      </c>
      <c r="BK481" s="22" t="s">
        <v>1309</v>
      </c>
      <c r="BL481" s="22" t="s">
        <v>1317</v>
      </c>
      <c r="BM481" s="22" t="s">
        <v>1318</v>
      </c>
      <c r="BN481" s="22" t="s">
        <v>1309</v>
      </c>
      <c r="BO481" s="22" t="s">
        <v>1309</v>
      </c>
      <c r="BP481" s="22" t="s">
        <v>1309</v>
      </c>
      <c r="BQ481" s="22" t="s">
        <v>1309</v>
      </c>
      <c r="BR481" s="22" t="s">
        <v>1309</v>
      </c>
      <c r="BS481" s="22" t="s">
        <v>1309</v>
      </c>
      <c r="BT481" s="22" t="s">
        <v>1317</v>
      </c>
      <c r="BU481" s="22" t="s">
        <v>1318</v>
      </c>
      <c r="BV481" s="22" t="s">
        <v>1317</v>
      </c>
      <c r="BW481" s="22" t="s">
        <v>1318</v>
      </c>
      <c r="BX481" s="20">
        <v>59</v>
      </c>
      <c r="BY481" s="20">
        <v>0</v>
      </c>
      <c r="BZ481" s="20">
        <v>386</v>
      </c>
      <c r="CA481" s="20">
        <v>18</v>
      </c>
      <c r="CB481" s="20">
        <v>0</v>
      </c>
      <c r="CC481" s="20">
        <v>2153</v>
      </c>
      <c r="CD481" s="22" t="s">
        <v>1320</v>
      </c>
      <c r="CE481" s="22" t="s">
        <v>1321</v>
      </c>
      <c r="CF481" s="22" t="s">
        <v>1320</v>
      </c>
      <c r="CG481" s="22" t="s">
        <v>1321</v>
      </c>
      <c r="CH481" s="22" t="s">
        <v>1317</v>
      </c>
      <c r="CI481" s="22" t="s">
        <v>1318</v>
      </c>
      <c r="CJ481" s="149" t="s">
        <v>2396</v>
      </c>
      <c r="CK481" s="241" t="s">
        <v>2397</v>
      </c>
    </row>
    <row r="482" spans="1:89" ht="15" customHeight="1" x14ac:dyDescent="0.35">
      <c r="A482" s="17"/>
      <c r="B482" s="313">
        <v>13095</v>
      </c>
      <c r="C482" s="8" t="s">
        <v>58</v>
      </c>
      <c r="D482" s="18">
        <v>1</v>
      </c>
      <c r="E482" s="131" t="s">
        <v>1309</v>
      </c>
      <c r="F482" s="22" t="s">
        <v>1309</v>
      </c>
      <c r="G482" s="132" t="s">
        <v>1309</v>
      </c>
      <c r="H482" s="22" t="s">
        <v>1311</v>
      </c>
      <c r="I482" s="22" t="s">
        <v>1338</v>
      </c>
      <c r="J482" s="22" t="s">
        <v>1342</v>
      </c>
      <c r="K482" s="22" t="s">
        <v>1309</v>
      </c>
      <c r="L482" s="22" t="s">
        <v>1309</v>
      </c>
      <c r="M482" s="133" t="s">
        <v>1311</v>
      </c>
      <c r="N482" s="22" t="s">
        <v>1311</v>
      </c>
      <c r="O482" s="22" t="s">
        <v>1314</v>
      </c>
      <c r="P482" s="22" t="s">
        <v>1318</v>
      </c>
      <c r="Q482" s="20">
        <v>0</v>
      </c>
      <c r="R482" s="20">
        <v>0</v>
      </c>
      <c r="S482" s="20">
        <v>85</v>
      </c>
      <c r="T482" s="20">
        <v>100</v>
      </c>
      <c r="U482" s="20">
        <v>0</v>
      </c>
      <c r="V482" s="20">
        <v>0</v>
      </c>
      <c r="W482" s="20">
        <v>0</v>
      </c>
      <c r="X482" s="20">
        <v>0</v>
      </c>
      <c r="Y482" s="20">
        <v>0</v>
      </c>
      <c r="Z482" s="20">
        <v>0</v>
      </c>
      <c r="AA482" s="20" t="s">
        <v>1317</v>
      </c>
      <c r="AB482" s="22" t="s">
        <v>1318</v>
      </c>
      <c r="AC482" s="20">
        <v>1</v>
      </c>
      <c r="AD482" s="20">
        <v>2</v>
      </c>
      <c r="AE482" s="20">
        <v>2</v>
      </c>
      <c r="AF482" s="20">
        <v>1</v>
      </c>
      <c r="AG482" s="20">
        <v>3</v>
      </c>
      <c r="AH482" s="20">
        <v>90</v>
      </c>
      <c r="AI482" s="328">
        <v>2.3776689333777159</v>
      </c>
      <c r="AJ482" s="328">
        <v>1.8365472910927456</v>
      </c>
      <c r="AK482" s="328">
        <v>1.8365472910927456</v>
      </c>
      <c r="AL482" s="22" t="s">
        <v>1338</v>
      </c>
      <c r="AM482" s="22" t="s">
        <v>1330</v>
      </c>
      <c r="AN482" s="22" t="s">
        <v>1317</v>
      </c>
      <c r="AO482" s="22" t="s">
        <v>1318</v>
      </c>
      <c r="AP482" s="22" t="s">
        <v>1318</v>
      </c>
      <c r="AQ482" s="22" t="s">
        <v>1318</v>
      </c>
      <c r="AR482" s="22" t="s">
        <v>1317</v>
      </c>
      <c r="AS482" s="22" t="s">
        <v>1318</v>
      </c>
      <c r="AT482" s="22" t="s">
        <v>1317</v>
      </c>
      <c r="AU482" s="22" t="s">
        <v>1318</v>
      </c>
      <c r="AV482" s="22" t="s">
        <v>1317</v>
      </c>
      <c r="AW482" s="22" t="s">
        <v>1318</v>
      </c>
      <c r="AX482" s="22" t="s">
        <v>1317</v>
      </c>
      <c r="AY482" s="22" t="s">
        <v>1318</v>
      </c>
      <c r="AZ482" s="22" t="s">
        <v>1309</v>
      </c>
      <c r="BA482" s="22" t="s">
        <v>1309</v>
      </c>
      <c r="BB482" s="22" t="s">
        <v>1309</v>
      </c>
      <c r="BC482" s="22" t="s">
        <v>1309</v>
      </c>
      <c r="BD482" s="22" t="s">
        <v>1319</v>
      </c>
      <c r="BE482" s="22" t="s">
        <v>1311</v>
      </c>
      <c r="BF482" s="22" t="s">
        <v>1317</v>
      </c>
      <c r="BG482" s="22" t="s">
        <v>1318</v>
      </c>
      <c r="BH482" s="22" t="s">
        <v>1317</v>
      </c>
      <c r="BI482" s="22" t="s">
        <v>1318</v>
      </c>
      <c r="BJ482" s="22" t="s">
        <v>1309</v>
      </c>
      <c r="BK482" s="22" t="s">
        <v>1309</v>
      </c>
      <c r="BL482" s="22" t="s">
        <v>1309</v>
      </c>
      <c r="BM482" s="22" t="s">
        <v>1309</v>
      </c>
      <c r="BN482" s="22" t="s">
        <v>1309</v>
      </c>
      <c r="BO482" s="22" t="s">
        <v>1309</v>
      </c>
      <c r="BP482" s="22" t="s">
        <v>1317</v>
      </c>
      <c r="BQ482" s="22" t="s">
        <v>1318</v>
      </c>
      <c r="BR482" s="22" t="s">
        <v>1309</v>
      </c>
      <c r="BS482" s="22" t="s">
        <v>1309</v>
      </c>
      <c r="BT482" s="22" t="s">
        <v>1317</v>
      </c>
      <c r="BU482" s="22" t="s">
        <v>1318</v>
      </c>
      <c r="BV482" s="22" t="s">
        <v>1309</v>
      </c>
      <c r="BW482" s="22" t="s">
        <v>1309</v>
      </c>
      <c r="BX482" s="20">
        <v>0</v>
      </c>
      <c r="BY482" s="20">
        <v>65</v>
      </c>
      <c r="BZ482" s="20">
        <v>0</v>
      </c>
      <c r="CA482" s="20">
        <v>0</v>
      </c>
      <c r="CB482" s="20">
        <v>60</v>
      </c>
      <c r="CC482" s="20">
        <v>964</v>
      </c>
      <c r="CD482" s="22" t="s">
        <v>1331</v>
      </c>
      <c r="CE482" s="22" t="s">
        <v>1331</v>
      </c>
      <c r="CF482" s="22" t="s">
        <v>1331</v>
      </c>
      <c r="CG482" s="22" t="s">
        <v>1331</v>
      </c>
      <c r="CH482" s="22" t="s">
        <v>1317</v>
      </c>
      <c r="CI482" s="22" t="s">
        <v>1318</v>
      </c>
      <c r="CJ482" s="149" t="s">
        <v>2402</v>
      </c>
      <c r="CK482" s="241" t="s">
        <v>2403</v>
      </c>
    </row>
    <row r="483" spans="1:89" ht="15" customHeight="1" x14ac:dyDescent="0.35">
      <c r="A483" s="17"/>
      <c r="B483" s="313">
        <v>6030</v>
      </c>
      <c r="C483" s="8" t="s">
        <v>1061</v>
      </c>
      <c r="D483" s="18">
        <v>11</v>
      </c>
      <c r="E483" s="131"/>
      <c r="F483" s="22"/>
      <c r="G483" s="132"/>
      <c r="H483" s="22"/>
      <c r="I483" s="22"/>
      <c r="J483" s="22"/>
      <c r="K483" s="22"/>
      <c r="L483" s="22"/>
      <c r="M483" s="133"/>
      <c r="N483" s="22"/>
      <c r="O483" s="22"/>
      <c r="P483" s="22"/>
      <c r="Q483" s="20"/>
      <c r="R483" s="20"/>
      <c r="S483" s="20"/>
      <c r="T483" s="20"/>
      <c r="U483" s="20"/>
      <c r="V483" s="20"/>
      <c r="W483" s="20"/>
      <c r="X483" s="20"/>
      <c r="Y483" s="20"/>
      <c r="Z483" s="20"/>
      <c r="AA483" s="20"/>
      <c r="AB483" s="22"/>
      <c r="AC483" s="20"/>
      <c r="AD483" s="20"/>
      <c r="AE483" s="20"/>
      <c r="AF483" s="20" t="s">
        <v>1124</v>
      </c>
      <c r="AG483" s="20" t="s">
        <v>1124</v>
      </c>
      <c r="AH483" s="20" t="s">
        <v>1124</v>
      </c>
      <c r="AI483" s="328"/>
      <c r="AJ483" s="328"/>
      <c r="AK483" s="328"/>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0"/>
      <c r="BY483" s="20"/>
      <c r="BZ483" s="20"/>
      <c r="CA483" s="20"/>
      <c r="CB483" s="20"/>
      <c r="CC483" s="20"/>
      <c r="CD483" s="22"/>
      <c r="CE483" s="22"/>
      <c r="CF483" s="22"/>
      <c r="CG483" s="22"/>
      <c r="CH483" s="22"/>
      <c r="CI483" s="22"/>
      <c r="CJ483" s="149"/>
      <c r="CK483" s="241"/>
    </row>
    <row r="484" spans="1:89" ht="15" customHeight="1" x14ac:dyDescent="0.35">
      <c r="A484" s="17"/>
      <c r="B484" s="314">
        <v>96030</v>
      </c>
      <c r="C484" s="8" t="s">
        <v>999</v>
      </c>
      <c r="D484" s="18">
        <v>9</v>
      </c>
      <c r="E484" s="131" t="s">
        <v>1309</v>
      </c>
      <c r="F484" s="22" t="s">
        <v>1309</v>
      </c>
      <c r="G484" s="132" t="s">
        <v>1309</v>
      </c>
      <c r="H484" s="22" t="s">
        <v>1311</v>
      </c>
      <c r="I484" s="22" t="s">
        <v>1327</v>
      </c>
      <c r="J484" s="22" t="s">
        <v>1327</v>
      </c>
      <c r="K484" s="22" t="s">
        <v>1319</v>
      </c>
      <c r="L484" s="22" t="s">
        <v>1309</v>
      </c>
      <c r="M484" s="133" t="s">
        <v>1311</v>
      </c>
      <c r="N484" s="22" t="s">
        <v>1311</v>
      </c>
      <c r="O484" s="22" t="s">
        <v>1314</v>
      </c>
      <c r="P484" s="22" t="s">
        <v>1318</v>
      </c>
      <c r="Q484" s="20">
        <v>17.814</v>
      </c>
      <c r="R484" s="20">
        <v>17.814</v>
      </c>
      <c r="S484" s="20">
        <v>0</v>
      </c>
      <c r="T484" s="20">
        <v>0</v>
      </c>
      <c r="U484" s="20">
        <v>0</v>
      </c>
      <c r="V484" s="20">
        <v>0</v>
      </c>
      <c r="W484" s="20">
        <v>0</v>
      </c>
      <c r="X484" s="20">
        <v>0</v>
      </c>
      <c r="Y484" s="20">
        <v>0</v>
      </c>
      <c r="Z484" s="20">
        <v>0</v>
      </c>
      <c r="AA484" s="20" t="s">
        <v>1317</v>
      </c>
      <c r="AB484" s="22" t="s">
        <v>1318</v>
      </c>
      <c r="AC484" s="20">
        <v>0</v>
      </c>
      <c r="AD484" s="20">
        <v>0</v>
      </c>
      <c r="AE484" s="20">
        <v>1</v>
      </c>
      <c r="AF484" s="20">
        <v>0</v>
      </c>
      <c r="AG484" s="20">
        <v>0</v>
      </c>
      <c r="AH484" s="20">
        <v>10</v>
      </c>
      <c r="AI484" s="328" t="s">
        <v>1328</v>
      </c>
      <c r="AJ484" s="328" t="s">
        <v>1328</v>
      </c>
      <c r="AK484" s="328">
        <v>1.6025641025641026</v>
      </c>
      <c r="AL484" s="22" t="s">
        <v>1329</v>
      </c>
      <c r="AM484" s="22" t="s">
        <v>1330</v>
      </c>
      <c r="AN484" s="22" t="s">
        <v>1317</v>
      </c>
      <c r="AO484" s="22" t="s">
        <v>1318</v>
      </c>
      <c r="AP484" s="22" t="s">
        <v>1318</v>
      </c>
      <c r="AQ484" s="22" t="s">
        <v>1318</v>
      </c>
      <c r="AR484" s="22" t="s">
        <v>1317</v>
      </c>
      <c r="AS484" s="22" t="s">
        <v>1318</v>
      </c>
      <c r="AT484" s="22" t="s">
        <v>1309</v>
      </c>
      <c r="AU484" s="22" t="s">
        <v>1309</v>
      </c>
      <c r="AV484" s="22" t="s">
        <v>1317</v>
      </c>
      <c r="AW484" s="22" t="s">
        <v>1318</v>
      </c>
      <c r="AX484" s="22" t="s">
        <v>1317</v>
      </c>
      <c r="AY484" s="22" t="s">
        <v>1318</v>
      </c>
      <c r="AZ484" s="22" t="s">
        <v>1309</v>
      </c>
      <c r="BA484" s="22" t="s">
        <v>1309</v>
      </c>
      <c r="BB484" s="22" t="s">
        <v>1309</v>
      </c>
      <c r="BC484" s="22" t="s">
        <v>1309</v>
      </c>
      <c r="BD484" s="22" t="s">
        <v>1315</v>
      </c>
      <c r="BE484" s="22" t="s">
        <v>1315</v>
      </c>
      <c r="BF484" s="22" t="s">
        <v>1317</v>
      </c>
      <c r="BG484" s="22" t="s">
        <v>1318</v>
      </c>
      <c r="BH484" s="22" t="s">
        <v>1309</v>
      </c>
      <c r="BI484" s="22" t="s">
        <v>1309</v>
      </c>
      <c r="BJ484" s="22" t="s">
        <v>1309</v>
      </c>
      <c r="BK484" s="22" t="s">
        <v>1309</v>
      </c>
      <c r="BL484" s="22" t="s">
        <v>1309</v>
      </c>
      <c r="BM484" s="22" t="s">
        <v>1309</v>
      </c>
      <c r="BN484" s="22" t="s">
        <v>1309</v>
      </c>
      <c r="BO484" s="22" t="s">
        <v>1309</v>
      </c>
      <c r="BP484" s="22" t="s">
        <v>1315</v>
      </c>
      <c r="BQ484" s="22" t="s">
        <v>1315</v>
      </c>
      <c r="BR484" s="22" t="s">
        <v>1309</v>
      </c>
      <c r="BS484" s="22" t="s">
        <v>1309</v>
      </c>
      <c r="BT484" s="22" t="s">
        <v>1315</v>
      </c>
      <c r="BU484" s="22" t="s">
        <v>1315</v>
      </c>
      <c r="BV484" s="22" t="s">
        <v>1317</v>
      </c>
      <c r="BW484" s="22" t="s">
        <v>1318</v>
      </c>
      <c r="BX484" s="20">
        <v>0</v>
      </c>
      <c r="BY484" s="20">
        <v>4</v>
      </c>
      <c r="BZ484" s="20">
        <v>24</v>
      </c>
      <c r="CA484" s="20">
        <v>0</v>
      </c>
      <c r="CB484" s="20">
        <v>0</v>
      </c>
      <c r="CC484" s="20">
        <v>630</v>
      </c>
      <c r="CD484" s="22" t="s">
        <v>1317</v>
      </c>
      <c r="CE484" s="22" t="s">
        <v>1318</v>
      </c>
      <c r="CF484" s="22" t="s">
        <v>1317</v>
      </c>
      <c r="CG484" s="22" t="s">
        <v>1318</v>
      </c>
      <c r="CH484" s="22" t="s">
        <v>1317</v>
      </c>
      <c r="CI484" s="22" t="s">
        <v>1318</v>
      </c>
      <c r="CJ484" s="149" t="s">
        <v>1414</v>
      </c>
      <c r="CK484" s="241" t="s">
        <v>1124</v>
      </c>
    </row>
    <row r="485" spans="1:89" ht="15" customHeight="1" x14ac:dyDescent="0.35">
      <c r="A485" s="17"/>
      <c r="B485" s="313">
        <v>72020</v>
      </c>
      <c r="C485" s="8" t="s">
        <v>730</v>
      </c>
      <c r="D485" s="18">
        <v>15</v>
      </c>
      <c r="E485" s="131" t="s">
        <v>1309</v>
      </c>
      <c r="F485" s="22" t="s">
        <v>1309</v>
      </c>
      <c r="G485" s="132" t="s">
        <v>1309</v>
      </c>
      <c r="H485" s="22" t="s">
        <v>1311</v>
      </c>
      <c r="I485" s="22" t="s">
        <v>1327</v>
      </c>
      <c r="J485" s="22" t="s">
        <v>1342</v>
      </c>
      <c r="K485" s="22" t="s">
        <v>1314</v>
      </c>
      <c r="L485" s="22" t="s">
        <v>1311</v>
      </c>
      <c r="M485" s="133" t="s">
        <v>1311</v>
      </c>
      <c r="N485" s="22" t="s">
        <v>1311</v>
      </c>
      <c r="O485" s="22" t="s">
        <v>1314</v>
      </c>
      <c r="P485" s="22" t="s">
        <v>1318</v>
      </c>
      <c r="Q485" s="20">
        <v>0</v>
      </c>
      <c r="R485" s="20">
        <v>0</v>
      </c>
      <c r="S485" s="20">
        <v>0</v>
      </c>
      <c r="T485" s="20">
        <v>0</v>
      </c>
      <c r="U485" s="20">
        <v>0</v>
      </c>
      <c r="V485" s="20">
        <v>0</v>
      </c>
      <c r="W485" s="20">
        <v>0</v>
      </c>
      <c r="X485" s="20">
        <v>0</v>
      </c>
      <c r="Y485" s="20">
        <v>0</v>
      </c>
      <c r="Z485" s="20">
        <v>0</v>
      </c>
      <c r="AA485" s="20" t="s">
        <v>1317</v>
      </c>
      <c r="AB485" s="22" t="s">
        <v>1311</v>
      </c>
      <c r="AC485" s="20">
        <v>1</v>
      </c>
      <c r="AD485" s="20">
        <v>0</v>
      </c>
      <c r="AE485" s="20">
        <v>0</v>
      </c>
      <c r="AF485" s="20">
        <v>5</v>
      </c>
      <c r="AG485" s="20">
        <v>0</v>
      </c>
      <c r="AH485" s="20">
        <v>0</v>
      </c>
      <c r="AI485" s="328">
        <v>2.3739999525200011</v>
      </c>
      <c r="AJ485" s="328" t="s">
        <v>1328</v>
      </c>
      <c r="AK485" s="328" t="s">
        <v>1328</v>
      </c>
      <c r="AL485" s="22" t="s">
        <v>1329</v>
      </c>
      <c r="AM485" s="22" t="s">
        <v>1330</v>
      </c>
      <c r="AN485" s="22" t="s">
        <v>1315</v>
      </c>
      <c r="AO485" s="22" t="s">
        <v>1315</v>
      </c>
      <c r="AP485" s="22" t="s">
        <v>1315</v>
      </c>
      <c r="AQ485" s="22" t="s">
        <v>1315</v>
      </c>
      <c r="AR485" s="22" t="s">
        <v>1317</v>
      </c>
      <c r="AS485" s="22" t="s">
        <v>1318</v>
      </c>
      <c r="AT485" s="22" t="s">
        <v>1317</v>
      </c>
      <c r="AU485" s="22" t="s">
        <v>1318</v>
      </c>
      <c r="AV485" s="22" t="s">
        <v>1309</v>
      </c>
      <c r="AW485" s="22" t="s">
        <v>1309</v>
      </c>
      <c r="AX485" s="22" t="s">
        <v>1317</v>
      </c>
      <c r="AY485" s="22" t="s">
        <v>1318</v>
      </c>
      <c r="AZ485" s="22" t="s">
        <v>1309</v>
      </c>
      <c r="BA485" s="22" t="s">
        <v>1309</v>
      </c>
      <c r="BB485" s="22" t="s">
        <v>1309</v>
      </c>
      <c r="BC485" s="22" t="s">
        <v>1309</v>
      </c>
      <c r="BD485" s="22" t="s">
        <v>1317</v>
      </c>
      <c r="BE485" s="22" t="s">
        <v>1318</v>
      </c>
      <c r="BF485" s="22" t="s">
        <v>1317</v>
      </c>
      <c r="BG485" s="22" t="s">
        <v>1318</v>
      </c>
      <c r="BH485" s="22" t="s">
        <v>1317</v>
      </c>
      <c r="BI485" s="22" t="s">
        <v>1318</v>
      </c>
      <c r="BJ485" s="22" t="s">
        <v>1317</v>
      </c>
      <c r="BK485" s="22" t="s">
        <v>1318</v>
      </c>
      <c r="BL485" s="22" t="s">
        <v>1319</v>
      </c>
      <c r="BM485" s="22" t="s">
        <v>1311</v>
      </c>
      <c r="BN485" s="22" t="s">
        <v>1309</v>
      </c>
      <c r="BO485" s="22" t="s">
        <v>1309</v>
      </c>
      <c r="BP485" s="22" t="s">
        <v>1319</v>
      </c>
      <c r="BQ485" s="22" t="s">
        <v>1311</v>
      </c>
      <c r="BR485" s="22" t="s">
        <v>1309</v>
      </c>
      <c r="BS485" s="22" t="s">
        <v>1309</v>
      </c>
      <c r="BT485" s="22" t="s">
        <v>1317</v>
      </c>
      <c r="BU485" s="22" t="s">
        <v>1311</v>
      </c>
      <c r="BV485" s="22" t="s">
        <v>1317</v>
      </c>
      <c r="BW485" s="22" t="s">
        <v>1318</v>
      </c>
      <c r="BX485" s="20">
        <v>3</v>
      </c>
      <c r="BY485" s="20">
        <v>0</v>
      </c>
      <c r="BZ485" s="20">
        <v>29</v>
      </c>
      <c r="CA485" s="20">
        <v>0</v>
      </c>
      <c r="CB485" s="20">
        <v>0</v>
      </c>
      <c r="CC485" s="20">
        <v>2742</v>
      </c>
      <c r="CD485" s="22" t="s">
        <v>1317</v>
      </c>
      <c r="CE485" s="22" t="s">
        <v>1318</v>
      </c>
      <c r="CF485" s="22" t="s">
        <v>1317</v>
      </c>
      <c r="CG485" s="22" t="s">
        <v>1318</v>
      </c>
      <c r="CH485" s="22" t="s">
        <v>1317</v>
      </c>
      <c r="CI485" s="22" t="s">
        <v>1318</v>
      </c>
      <c r="CJ485" s="149" t="s">
        <v>2412</v>
      </c>
      <c r="CK485" s="241" t="s">
        <v>1357</v>
      </c>
    </row>
    <row r="486" spans="1:89" ht="15" customHeight="1" x14ac:dyDescent="0.35">
      <c r="A486" s="17"/>
      <c r="B486" s="313">
        <v>66097</v>
      </c>
      <c r="C486" s="8" t="s">
        <v>656</v>
      </c>
      <c r="D486" s="18">
        <v>6</v>
      </c>
      <c r="E486" s="131" t="s">
        <v>1309</v>
      </c>
      <c r="F486" s="22" t="s">
        <v>1309</v>
      </c>
      <c r="G486" s="132" t="s">
        <v>1309</v>
      </c>
      <c r="H486" s="22" t="s">
        <v>1311</v>
      </c>
      <c r="I486" s="22" t="s">
        <v>1327</v>
      </c>
      <c r="J486" s="22" t="s">
        <v>1327</v>
      </c>
      <c r="K486" s="22" t="s">
        <v>1314</v>
      </c>
      <c r="L486" s="22" t="s">
        <v>1311</v>
      </c>
      <c r="M486" s="133" t="s">
        <v>1311</v>
      </c>
      <c r="N486" s="22" t="s">
        <v>1311</v>
      </c>
      <c r="O486" s="22" t="s">
        <v>1309</v>
      </c>
      <c r="P486" s="22" t="s">
        <v>1309</v>
      </c>
      <c r="Q486" s="20">
        <v>0</v>
      </c>
      <c r="R486" s="20">
        <v>0</v>
      </c>
      <c r="S486" s="20">
        <v>565.03800000000001</v>
      </c>
      <c r="T486" s="20">
        <v>565.03800000000001</v>
      </c>
      <c r="U486" s="20">
        <v>0</v>
      </c>
      <c r="V486" s="20">
        <v>0</v>
      </c>
      <c r="W486" s="20">
        <v>0</v>
      </c>
      <c r="X486" s="20">
        <v>0</v>
      </c>
      <c r="Y486" s="20">
        <v>0</v>
      </c>
      <c r="Z486" s="20">
        <v>0</v>
      </c>
      <c r="AA486" s="20" t="s">
        <v>1315</v>
      </c>
      <c r="AB486" s="22" t="s">
        <v>1315</v>
      </c>
      <c r="AC486" s="20">
        <v>66</v>
      </c>
      <c r="AD486" s="20">
        <v>3</v>
      </c>
      <c r="AE486" s="20">
        <v>2</v>
      </c>
      <c r="AF486" s="20">
        <v>1</v>
      </c>
      <c r="AG486" s="20">
        <v>7</v>
      </c>
      <c r="AH486" s="20">
        <v>30</v>
      </c>
      <c r="AI486" s="328">
        <v>33.63880082771837</v>
      </c>
      <c r="AJ486" s="328">
        <v>0.30184123151222458</v>
      </c>
      <c r="AK486" s="328">
        <v>0.20122748767481638</v>
      </c>
      <c r="AL486" s="22" t="s">
        <v>1338</v>
      </c>
      <c r="AM486" s="22" t="s">
        <v>1330</v>
      </c>
      <c r="AN486" s="22" t="s">
        <v>1317</v>
      </c>
      <c r="AO486" s="22" t="s">
        <v>1318</v>
      </c>
      <c r="AP486" s="22" t="s">
        <v>1318</v>
      </c>
      <c r="AQ486" s="22" t="s">
        <v>1318</v>
      </c>
      <c r="AR486" s="22" t="s">
        <v>1317</v>
      </c>
      <c r="AS486" s="22" t="s">
        <v>1311</v>
      </c>
      <c r="AT486" s="22" t="s">
        <v>1317</v>
      </c>
      <c r="AU486" s="22" t="s">
        <v>1311</v>
      </c>
      <c r="AV486" s="22" t="s">
        <v>1317</v>
      </c>
      <c r="AW486" s="22" t="s">
        <v>1318</v>
      </c>
      <c r="AX486" s="22" t="s">
        <v>1317</v>
      </c>
      <c r="AY486" s="22" t="s">
        <v>1318</v>
      </c>
      <c r="AZ486" s="22" t="s">
        <v>1317</v>
      </c>
      <c r="BA486" s="22" t="s">
        <v>1318</v>
      </c>
      <c r="BB486" s="22" t="s">
        <v>1309</v>
      </c>
      <c r="BC486" s="22" t="s">
        <v>1309</v>
      </c>
      <c r="BD486" s="22" t="s">
        <v>1317</v>
      </c>
      <c r="BE486" s="22" t="s">
        <v>1318</v>
      </c>
      <c r="BF486" s="22" t="s">
        <v>1309</v>
      </c>
      <c r="BG486" s="22" t="s">
        <v>1309</v>
      </c>
      <c r="BH486" s="22" t="s">
        <v>1317</v>
      </c>
      <c r="BI486" s="22" t="s">
        <v>1318</v>
      </c>
      <c r="BJ486" s="22" t="s">
        <v>1317</v>
      </c>
      <c r="BK486" s="22" t="s">
        <v>1318</v>
      </c>
      <c r="BL486" s="22" t="s">
        <v>1317</v>
      </c>
      <c r="BM486" s="22" t="s">
        <v>1311</v>
      </c>
      <c r="BN486" s="22" t="s">
        <v>1317</v>
      </c>
      <c r="BO486" s="22" t="s">
        <v>1311</v>
      </c>
      <c r="BP486" s="22" t="s">
        <v>1317</v>
      </c>
      <c r="BQ486" s="22" t="s">
        <v>1311</v>
      </c>
      <c r="BR486" s="22" t="s">
        <v>1309</v>
      </c>
      <c r="BS486" s="22" t="s">
        <v>1309</v>
      </c>
      <c r="BT486" s="22" t="s">
        <v>1309</v>
      </c>
      <c r="BU486" s="22" t="s">
        <v>1309</v>
      </c>
      <c r="BV486" s="22" t="s">
        <v>1317</v>
      </c>
      <c r="BW486" s="22" t="s">
        <v>1311</v>
      </c>
      <c r="BX486" s="20">
        <v>602</v>
      </c>
      <c r="BY486" s="20">
        <v>0</v>
      </c>
      <c r="BZ486" s="20">
        <v>319</v>
      </c>
      <c r="CA486" s="20">
        <v>8918</v>
      </c>
      <c r="CB486" s="20">
        <v>0</v>
      </c>
      <c r="CC486" s="20">
        <v>100</v>
      </c>
      <c r="CD486" s="22" t="s">
        <v>1331</v>
      </c>
      <c r="CE486" s="22" t="s">
        <v>1331</v>
      </c>
      <c r="CF486" s="22" t="s">
        <v>1315</v>
      </c>
      <c r="CG486" s="22" t="s">
        <v>1315</v>
      </c>
      <c r="CH486" s="22" t="s">
        <v>1315</v>
      </c>
      <c r="CI486" s="22" t="s">
        <v>1315</v>
      </c>
      <c r="CJ486" s="149" t="s">
        <v>2414</v>
      </c>
      <c r="CK486" s="241" t="s">
        <v>2415</v>
      </c>
    </row>
    <row r="487" spans="1:89" ht="15" customHeight="1" x14ac:dyDescent="0.35">
      <c r="A487" s="17"/>
      <c r="B487" s="313">
        <v>71055</v>
      </c>
      <c r="C487" s="8" t="s">
        <v>712</v>
      </c>
      <c r="D487" s="18">
        <v>16</v>
      </c>
      <c r="E487" s="131" t="s">
        <v>1309</v>
      </c>
      <c r="F487" s="22" t="s">
        <v>1309</v>
      </c>
      <c r="G487" s="132" t="s">
        <v>1309</v>
      </c>
      <c r="H487" s="22" t="s">
        <v>1311</v>
      </c>
      <c r="I487" s="22" t="s">
        <v>1327</v>
      </c>
      <c r="J487" s="22" t="s">
        <v>1327</v>
      </c>
      <c r="K487" s="22" t="s">
        <v>1314</v>
      </c>
      <c r="L487" s="22" t="s">
        <v>1311</v>
      </c>
      <c r="M487" s="133" t="s">
        <v>1311</v>
      </c>
      <c r="N487" s="22" t="s">
        <v>1311</v>
      </c>
      <c r="O487" s="22" t="s">
        <v>1314</v>
      </c>
      <c r="P487" s="22" t="s">
        <v>1318</v>
      </c>
      <c r="Q487" s="20">
        <v>0</v>
      </c>
      <c r="R487" s="20">
        <v>0</v>
      </c>
      <c r="S487" s="20">
        <v>0</v>
      </c>
      <c r="T487" s="20">
        <v>0</v>
      </c>
      <c r="U487" s="20">
        <v>11.714</v>
      </c>
      <c r="V487" s="20">
        <v>11.714</v>
      </c>
      <c r="W487" s="20">
        <v>0</v>
      </c>
      <c r="X487" s="20">
        <v>0</v>
      </c>
      <c r="Y487" s="20">
        <v>0</v>
      </c>
      <c r="Z487" s="20">
        <v>0</v>
      </c>
      <c r="AA487" s="20" t="s">
        <v>1317</v>
      </c>
      <c r="AB487" s="22" t="s">
        <v>1318</v>
      </c>
      <c r="AC487" s="20">
        <v>2</v>
      </c>
      <c r="AD487" s="20">
        <v>0</v>
      </c>
      <c r="AE487" s="20">
        <v>1</v>
      </c>
      <c r="AF487" s="20">
        <v>1</v>
      </c>
      <c r="AG487" s="20">
        <v>0</v>
      </c>
      <c r="AH487" s="20">
        <v>1</v>
      </c>
      <c r="AI487" s="328">
        <v>17.073587160662456</v>
      </c>
      <c r="AJ487" s="328" t="s">
        <v>1328</v>
      </c>
      <c r="AK487" s="328">
        <v>1.51285930408472</v>
      </c>
      <c r="AL487" s="22" t="s">
        <v>1329</v>
      </c>
      <c r="AM487" s="22" t="s">
        <v>1330</v>
      </c>
      <c r="AN487" s="22" t="s">
        <v>1317</v>
      </c>
      <c r="AO487" s="22" t="s">
        <v>1318</v>
      </c>
      <c r="AP487" s="22" t="s">
        <v>1318</v>
      </c>
      <c r="AQ487" s="22" t="s">
        <v>1318</v>
      </c>
      <c r="AR487" s="22" t="s">
        <v>1317</v>
      </c>
      <c r="AS487" s="22" t="s">
        <v>1318</v>
      </c>
      <c r="AT487" s="22" t="s">
        <v>1317</v>
      </c>
      <c r="AU487" s="22" t="s">
        <v>1318</v>
      </c>
      <c r="AV487" s="22" t="s">
        <v>1317</v>
      </c>
      <c r="AW487" s="22" t="s">
        <v>1318</v>
      </c>
      <c r="AX487" s="22" t="s">
        <v>1317</v>
      </c>
      <c r="AY487" s="22" t="s">
        <v>1318</v>
      </c>
      <c r="AZ487" s="22" t="s">
        <v>1309</v>
      </c>
      <c r="BA487" s="22" t="s">
        <v>1309</v>
      </c>
      <c r="BB487" s="22" t="s">
        <v>1309</v>
      </c>
      <c r="BC487" s="22" t="s">
        <v>1309</v>
      </c>
      <c r="BD487" s="22" t="s">
        <v>1317</v>
      </c>
      <c r="BE487" s="22" t="s">
        <v>1318</v>
      </c>
      <c r="BF487" s="22" t="s">
        <v>1317</v>
      </c>
      <c r="BG487" s="22" t="s">
        <v>1318</v>
      </c>
      <c r="BH487" s="22" t="s">
        <v>1317</v>
      </c>
      <c r="BI487" s="22" t="s">
        <v>1318</v>
      </c>
      <c r="BJ487" s="22" t="s">
        <v>1317</v>
      </c>
      <c r="BK487" s="22" t="s">
        <v>1318</v>
      </c>
      <c r="BL487" s="22" t="s">
        <v>1317</v>
      </c>
      <c r="BM487" s="22" t="s">
        <v>1318</v>
      </c>
      <c r="BN487" s="22" t="s">
        <v>1317</v>
      </c>
      <c r="BO487" s="22" t="s">
        <v>1318</v>
      </c>
      <c r="BP487" s="22" t="s">
        <v>1317</v>
      </c>
      <c r="BQ487" s="22" t="s">
        <v>1318</v>
      </c>
      <c r="BR487" s="22" t="s">
        <v>1309</v>
      </c>
      <c r="BS487" s="22" t="s">
        <v>1309</v>
      </c>
      <c r="BT487" s="22" t="s">
        <v>1309</v>
      </c>
      <c r="BU487" s="22" t="s">
        <v>1309</v>
      </c>
      <c r="BV487" s="22" t="s">
        <v>1317</v>
      </c>
      <c r="BW487" s="22" t="s">
        <v>1318</v>
      </c>
      <c r="BX487" s="20">
        <v>0</v>
      </c>
      <c r="BY487" s="20">
        <v>0</v>
      </c>
      <c r="BZ487" s="20">
        <v>15</v>
      </c>
      <c r="CA487" s="20">
        <v>0</v>
      </c>
      <c r="CB487" s="20">
        <v>0</v>
      </c>
      <c r="CC487" s="20">
        <v>646</v>
      </c>
      <c r="CD487" s="22" t="s">
        <v>1317</v>
      </c>
      <c r="CE487" s="22" t="s">
        <v>1318</v>
      </c>
      <c r="CF487" s="22" t="s">
        <v>1317</v>
      </c>
      <c r="CG487" s="22" t="s">
        <v>1318</v>
      </c>
      <c r="CH487" s="22" t="s">
        <v>1317</v>
      </c>
      <c r="CI487" s="22" t="s">
        <v>1318</v>
      </c>
      <c r="CJ487" s="149" t="s">
        <v>1124</v>
      </c>
      <c r="CK487" s="241" t="s">
        <v>2419</v>
      </c>
    </row>
    <row r="488" spans="1:89" ht="15" customHeight="1" x14ac:dyDescent="0.35">
      <c r="A488" s="17"/>
      <c r="B488" s="313">
        <v>71140</v>
      </c>
      <c r="C488" s="8" t="s">
        <v>726</v>
      </c>
      <c r="D488" s="18">
        <v>16</v>
      </c>
      <c r="E488" s="131"/>
      <c r="F488" s="22"/>
      <c r="G488" s="132"/>
      <c r="H488" s="22"/>
      <c r="I488" s="22"/>
      <c r="J488" s="22"/>
      <c r="K488" s="22"/>
      <c r="L488" s="22"/>
      <c r="M488" s="133"/>
      <c r="N488" s="22"/>
      <c r="O488" s="22"/>
      <c r="P488" s="22"/>
      <c r="Q488" s="20"/>
      <c r="R488" s="20"/>
      <c r="S488" s="20"/>
      <c r="T488" s="20"/>
      <c r="U488" s="20"/>
      <c r="V488" s="20"/>
      <c r="W488" s="20"/>
      <c r="X488" s="20"/>
      <c r="Y488" s="20"/>
      <c r="Z488" s="20"/>
      <c r="AA488" s="20"/>
      <c r="AB488" s="22"/>
      <c r="AC488" s="20"/>
      <c r="AD488" s="20"/>
      <c r="AE488" s="20"/>
      <c r="AF488" s="20" t="s">
        <v>1124</v>
      </c>
      <c r="AG488" s="20" t="s">
        <v>1124</v>
      </c>
      <c r="AH488" s="20" t="s">
        <v>1124</v>
      </c>
      <c r="AI488" s="328"/>
      <c r="AJ488" s="328"/>
      <c r="AK488" s="328"/>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0"/>
      <c r="BY488" s="20"/>
      <c r="BZ488" s="20"/>
      <c r="CA488" s="20"/>
      <c r="CB488" s="20"/>
      <c r="CC488" s="20"/>
      <c r="CD488" s="22"/>
      <c r="CE488" s="22"/>
      <c r="CF488" s="22"/>
      <c r="CG488" s="22"/>
      <c r="CH488" s="22"/>
      <c r="CI488" s="22"/>
      <c r="CJ488" s="149"/>
      <c r="CK488" s="241"/>
    </row>
    <row r="489" spans="1:89" ht="15" customHeight="1" x14ac:dyDescent="0.35">
      <c r="A489" s="17"/>
      <c r="B489" s="313">
        <v>96025</v>
      </c>
      <c r="C489" s="8" t="s">
        <v>998</v>
      </c>
      <c r="D489" s="18">
        <v>9</v>
      </c>
      <c r="E489" s="131"/>
      <c r="F489" s="22"/>
      <c r="G489" s="132"/>
      <c r="H489" s="22"/>
      <c r="I489" s="22"/>
      <c r="J489" s="22"/>
      <c r="K489" s="22"/>
      <c r="L489" s="22"/>
      <c r="M489" s="133"/>
      <c r="N489" s="22"/>
      <c r="O489" s="22"/>
      <c r="P489" s="22"/>
      <c r="Q489" s="20"/>
      <c r="R489" s="20"/>
      <c r="S489" s="20"/>
      <c r="T489" s="20"/>
      <c r="U489" s="20"/>
      <c r="V489" s="20"/>
      <c r="W489" s="20"/>
      <c r="X489" s="20"/>
      <c r="Y489" s="20"/>
      <c r="Z489" s="20"/>
      <c r="AA489" s="20"/>
      <c r="AB489" s="22"/>
      <c r="AC489" s="20"/>
      <c r="AD489" s="20"/>
      <c r="AE489" s="20"/>
      <c r="AF489" s="20" t="s">
        <v>1124</v>
      </c>
      <c r="AG489" s="20" t="s">
        <v>1124</v>
      </c>
      <c r="AH489" s="20" t="s">
        <v>1124</v>
      </c>
      <c r="AI489" s="328"/>
      <c r="AJ489" s="328"/>
      <c r="AK489" s="328"/>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0"/>
      <c r="BY489" s="20"/>
      <c r="BZ489" s="20"/>
      <c r="CA489" s="20"/>
      <c r="CB489" s="20"/>
      <c r="CC489" s="20"/>
      <c r="CD489" s="22"/>
      <c r="CE489" s="22"/>
      <c r="CF489" s="22"/>
      <c r="CG489" s="22"/>
      <c r="CH489" s="22"/>
      <c r="CI489" s="22"/>
      <c r="CJ489" s="149"/>
      <c r="CK489" s="241"/>
    </row>
    <row r="490" spans="1:89" ht="15" customHeight="1" x14ac:dyDescent="0.35">
      <c r="A490" s="17"/>
      <c r="B490" s="313">
        <v>82030</v>
      </c>
      <c r="C490" s="8" t="s">
        <v>833</v>
      </c>
      <c r="D490" s="18">
        <v>7</v>
      </c>
      <c r="E490" s="131" t="s">
        <v>1309</v>
      </c>
      <c r="F490" s="22" t="s">
        <v>1310</v>
      </c>
      <c r="G490" s="132" t="s">
        <v>1309</v>
      </c>
      <c r="H490" s="22" t="s">
        <v>1311</v>
      </c>
      <c r="I490" s="22" t="s">
        <v>1327</v>
      </c>
      <c r="J490" s="22" t="s">
        <v>1327</v>
      </c>
      <c r="K490" s="22" t="s">
        <v>1314</v>
      </c>
      <c r="L490" s="22" t="s">
        <v>1311</v>
      </c>
      <c r="M490" s="133" t="s">
        <v>1311</v>
      </c>
      <c r="N490" s="22" t="s">
        <v>1311</v>
      </c>
      <c r="O490" s="22" t="s">
        <v>1315</v>
      </c>
      <c r="P490" s="22" t="s">
        <v>1311</v>
      </c>
      <c r="Q490" s="20">
        <v>8.9109999999999996</v>
      </c>
      <c r="R490" s="20">
        <v>8.9109999999999996</v>
      </c>
      <c r="S490" s="20">
        <v>0</v>
      </c>
      <c r="T490" s="20">
        <v>8.9109999999999996</v>
      </c>
      <c r="U490" s="20">
        <v>0</v>
      </c>
      <c r="V490" s="20">
        <v>8.9109999999999996</v>
      </c>
      <c r="W490" s="20">
        <v>0</v>
      </c>
      <c r="X490" s="20">
        <v>8.9109999999999996</v>
      </c>
      <c r="Y490" s="20">
        <v>0</v>
      </c>
      <c r="Z490" s="20">
        <v>0</v>
      </c>
      <c r="AA490" s="20" t="s">
        <v>1317</v>
      </c>
      <c r="AB490" s="22" t="s">
        <v>1309</v>
      </c>
      <c r="AC490" s="20">
        <v>5</v>
      </c>
      <c r="AD490" s="20">
        <v>3</v>
      </c>
      <c r="AE490" s="20">
        <v>1</v>
      </c>
      <c r="AF490" s="20">
        <v>1</v>
      </c>
      <c r="AG490" s="20">
        <v>2</v>
      </c>
      <c r="AH490" s="20">
        <v>2</v>
      </c>
      <c r="AI490" s="328">
        <v>56.110425317023903</v>
      </c>
      <c r="AJ490" s="328">
        <v>7.8740157480314963</v>
      </c>
      <c r="AK490" s="328">
        <v>2.6246719160104988</v>
      </c>
      <c r="AL490" s="22" t="s">
        <v>1329</v>
      </c>
      <c r="AM490" s="22" t="s">
        <v>1330</v>
      </c>
      <c r="AN490" s="22" t="s">
        <v>1526</v>
      </c>
      <c r="AO490" s="22" t="s">
        <v>1318</v>
      </c>
      <c r="AP490" s="22" t="s">
        <v>1318</v>
      </c>
      <c r="AQ490" s="22" t="s">
        <v>1318</v>
      </c>
      <c r="AR490" s="22" t="s">
        <v>1315</v>
      </c>
      <c r="AS490" s="22" t="s">
        <v>1318</v>
      </c>
      <c r="AT490" s="22" t="s">
        <v>1315</v>
      </c>
      <c r="AU490" s="22" t="s">
        <v>1318</v>
      </c>
      <c r="AV490" s="22" t="s">
        <v>1315</v>
      </c>
      <c r="AW490" s="22" t="s">
        <v>1318</v>
      </c>
      <c r="AX490" s="22" t="s">
        <v>1315</v>
      </c>
      <c r="AY490" s="22" t="s">
        <v>1318</v>
      </c>
      <c r="AZ490" s="22" t="s">
        <v>1309</v>
      </c>
      <c r="BA490" s="22" t="s">
        <v>1309</v>
      </c>
      <c r="BB490" s="22" t="s">
        <v>1309</v>
      </c>
      <c r="BC490" s="22" t="s">
        <v>1309</v>
      </c>
      <c r="BD490" s="22" t="s">
        <v>1315</v>
      </c>
      <c r="BE490" s="22" t="s">
        <v>1315</v>
      </c>
      <c r="BF490" s="22" t="s">
        <v>1315</v>
      </c>
      <c r="BG490" s="22" t="s">
        <v>1311</v>
      </c>
      <c r="BH490" s="22" t="s">
        <v>1317</v>
      </c>
      <c r="BI490" s="22" t="s">
        <v>1318</v>
      </c>
      <c r="BJ490" s="22" t="s">
        <v>1319</v>
      </c>
      <c r="BK490" s="22" t="s">
        <v>1311</v>
      </c>
      <c r="BL490" s="22" t="s">
        <v>1315</v>
      </c>
      <c r="BM490" s="22" t="s">
        <v>1315</v>
      </c>
      <c r="BN490" s="22" t="s">
        <v>1309</v>
      </c>
      <c r="BO490" s="22" t="s">
        <v>1309</v>
      </c>
      <c r="BP490" s="22" t="s">
        <v>1315</v>
      </c>
      <c r="BQ490" s="22" t="s">
        <v>1311</v>
      </c>
      <c r="BR490" s="22" t="s">
        <v>1317</v>
      </c>
      <c r="BS490" s="22" t="s">
        <v>1311</v>
      </c>
      <c r="BT490" s="22" t="s">
        <v>1309</v>
      </c>
      <c r="BU490" s="22" t="s">
        <v>1309</v>
      </c>
      <c r="BV490" s="22" t="s">
        <v>1309</v>
      </c>
      <c r="BW490" s="22" t="s">
        <v>1309</v>
      </c>
      <c r="BX490" s="20">
        <v>0</v>
      </c>
      <c r="BY490" s="20">
        <v>0</v>
      </c>
      <c r="BZ490" s="20">
        <v>26</v>
      </c>
      <c r="CA490" s="20">
        <v>0</v>
      </c>
      <c r="CB490" s="20">
        <v>0</v>
      </c>
      <c r="CC490" s="20">
        <v>351</v>
      </c>
      <c r="CD490" s="22" t="s">
        <v>1317</v>
      </c>
      <c r="CE490" s="22" t="s">
        <v>1340</v>
      </c>
      <c r="CF490" s="22" t="s">
        <v>1317</v>
      </c>
      <c r="CG490" s="22" t="s">
        <v>1318</v>
      </c>
      <c r="CH490" s="22" t="s">
        <v>1317</v>
      </c>
      <c r="CI490" s="22" t="s">
        <v>1318</v>
      </c>
      <c r="CJ490" s="149" t="s">
        <v>2423</v>
      </c>
      <c r="CK490" s="241" t="s">
        <v>1124</v>
      </c>
    </row>
    <row r="491" spans="1:89" ht="15" customHeight="1" x14ac:dyDescent="0.35">
      <c r="A491" s="17"/>
      <c r="B491" s="313">
        <v>34017</v>
      </c>
      <c r="C491" s="8" t="s">
        <v>286</v>
      </c>
      <c r="D491" s="18">
        <v>3</v>
      </c>
      <c r="E491" s="131" t="s">
        <v>1309</v>
      </c>
      <c r="F491" s="22" t="s">
        <v>1309</v>
      </c>
      <c r="G491" s="132" t="s">
        <v>1309</v>
      </c>
      <c r="H491" s="22" t="s">
        <v>1311</v>
      </c>
      <c r="I491" s="22" t="s">
        <v>1327</v>
      </c>
      <c r="J491" s="22" t="s">
        <v>1327</v>
      </c>
      <c r="K491" s="22" t="s">
        <v>1314</v>
      </c>
      <c r="L491" s="22" t="s">
        <v>1311</v>
      </c>
      <c r="M491" s="133" t="s">
        <v>1311</v>
      </c>
      <c r="N491" s="22" t="s">
        <v>1311</v>
      </c>
      <c r="O491" s="22" t="s">
        <v>1309</v>
      </c>
      <c r="P491" s="22" t="s">
        <v>1309</v>
      </c>
      <c r="Q491" s="20">
        <v>0</v>
      </c>
      <c r="R491" s="20">
        <v>0</v>
      </c>
      <c r="S491" s="20">
        <v>62.9</v>
      </c>
      <c r="T491" s="20">
        <v>62.9</v>
      </c>
      <c r="U491" s="20">
        <v>0</v>
      </c>
      <c r="V491" s="20">
        <v>0</v>
      </c>
      <c r="W491" s="20">
        <v>0</v>
      </c>
      <c r="X491" s="20">
        <v>0</v>
      </c>
      <c r="Y491" s="20">
        <v>0</v>
      </c>
      <c r="Z491" s="20">
        <v>0</v>
      </c>
      <c r="AA491" s="20" t="s">
        <v>1317</v>
      </c>
      <c r="AB491" s="22" t="s">
        <v>1318</v>
      </c>
      <c r="AC491" s="20">
        <v>4</v>
      </c>
      <c r="AD491" s="20">
        <v>2</v>
      </c>
      <c r="AE491" s="20">
        <v>7</v>
      </c>
      <c r="AF491" s="20">
        <v>4</v>
      </c>
      <c r="AG491" s="20">
        <v>3</v>
      </c>
      <c r="AH491" s="20">
        <v>6</v>
      </c>
      <c r="AI491" s="328">
        <v>6.3593004769475359</v>
      </c>
      <c r="AJ491" s="328">
        <v>0.52938062466913716</v>
      </c>
      <c r="AK491" s="328">
        <v>1.8528321863419799</v>
      </c>
      <c r="AL491" s="22" t="s">
        <v>1316</v>
      </c>
      <c r="AM491" s="22" t="s">
        <v>1339</v>
      </c>
      <c r="AN491" s="22" t="s">
        <v>1347</v>
      </c>
      <c r="AO491" s="22" t="s">
        <v>1309</v>
      </c>
      <c r="AP491" s="22" t="s">
        <v>1350</v>
      </c>
      <c r="AQ491" s="22" t="s">
        <v>1318</v>
      </c>
      <c r="AR491" s="22" t="s">
        <v>1317</v>
      </c>
      <c r="AS491" s="22" t="s">
        <v>1318</v>
      </c>
      <c r="AT491" s="22" t="s">
        <v>1317</v>
      </c>
      <c r="AU491" s="22" t="s">
        <v>1318</v>
      </c>
      <c r="AV491" s="22" t="s">
        <v>1317</v>
      </c>
      <c r="AW491" s="22" t="s">
        <v>1311</v>
      </c>
      <c r="AX491" s="22" t="s">
        <v>1317</v>
      </c>
      <c r="AY491" s="22" t="s">
        <v>1318</v>
      </c>
      <c r="AZ491" s="22" t="s">
        <v>1309</v>
      </c>
      <c r="BA491" s="22" t="s">
        <v>1309</v>
      </c>
      <c r="BB491" s="22" t="s">
        <v>1309</v>
      </c>
      <c r="BC491" s="22" t="s">
        <v>1309</v>
      </c>
      <c r="BD491" s="22" t="s">
        <v>1317</v>
      </c>
      <c r="BE491" s="22" t="s">
        <v>1318</v>
      </c>
      <c r="BF491" s="22" t="s">
        <v>1317</v>
      </c>
      <c r="BG491" s="22" t="s">
        <v>1318</v>
      </c>
      <c r="BH491" s="22" t="s">
        <v>1309</v>
      </c>
      <c r="BI491" s="22" t="s">
        <v>1309</v>
      </c>
      <c r="BJ491" s="22" t="s">
        <v>1317</v>
      </c>
      <c r="BK491" s="22" t="s">
        <v>1311</v>
      </c>
      <c r="BL491" s="22" t="s">
        <v>1319</v>
      </c>
      <c r="BM491" s="22" t="s">
        <v>1311</v>
      </c>
      <c r="BN491" s="22" t="s">
        <v>1317</v>
      </c>
      <c r="BO491" s="22" t="s">
        <v>1318</v>
      </c>
      <c r="BP491" s="22" t="s">
        <v>1317</v>
      </c>
      <c r="BQ491" s="22" t="s">
        <v>1318</v>
      </c>
      <c r="BR491" s="22" t="s">
        <v>1317</v>
      </c>
      <c r="BS491" s="22" t="s">
        <v>1318</v>
      </c>
      <c r="BT491" s="22" t="s">
        <v>1317</v>
      </c>
      <c r="BU491" s="22" t="s">
        <v>1318</v>
      </c>
      <c r="BV491" s="22" t="s">
        <v>1317</v>
      </c>
      <c r="BW491" s="22" t="s">
        <v>1318</v>
      </c>
      <c r="BX491" s="20">
        <v>51</v>
      </c>
      <c r="BY491" s="20">
        <v>0</v>
      </c>
      <c r="BZ491" s="20">
        <v>171</v>
      </c>
      <c r="CA491" s="20">
        <v>0</v>
      </c>
      <c r="CB491" s="20">
        <v>0</v>
      </c>
      <c r="CC491" s="20">
        <v>3517</v>
      </c>
      <c r="CD491" s="22" t="s">
        <v>1320</v>
      </c>
      <c r="CE491" s="22" t="s">
        <v>1344</v>
      </c>
      <c r="CF491" s="22" t="s">
        <v>1320</v>
      </c>
      <c r="CG491" s="22" t="s">
        <v>1318</v>
      </c>
      <c r="CH491" s="22" t="s">
        <v>1317</v>
      </c>
      <c r="CI491" s="22" t="s">
        <v>1318</v>
      </c>
      <c r="CJ491" s="149" t="s">
        <v>1124</v>
      </c>
      <c r="CK491" s="241" t="s">
        <v>1357</v>
      </c>
    </row>
    <row r="492" spans="1:89" ht="15" customHeight="1" x14ac:dyDescent="0.35">
      <c r="A492" s="17"/>
      <c r="B492" s="313">
        <v>84020</v>
      </c>
      <c r="C492" s="8" t="s">
        <v>855</v>
      </c>
      <c r="D492" s="18">
        <v>7</v>
      </c>
      <c r="E492" s="131"/>
      <c r="F492" s="22"/>
      <c r="G492" s="132"/>
      <c r="H492" s="22"/>
      <c r="I492" s="22"/>
      <c r="J492" s="22"/>
      <c r="K492" s="22"/>
      <c r="L492" s="22"/>
      <c r="M492" s="133"/>
      <c r="N492" s="22"/>
      <c r="O492" s="22"/>
      <c r="P492" s="22"/>
      <c r="Q492" s="20"/>
      <c r="R492" s="20"/>
      <c r="S492" s="20"/>
      <c r="T492" s="20"/>
      <c r="U492" s="20"/>
      <c r="V492" s="20"/>
      <c r="W492" s="20"/>
      <c r="X492" s="20"/>
      <c r="Y492" s="20"/>
      <c r="Z492" s="20"/>
      <c r="AA492" s="20"/>
      <c r="AB492" s="22"/>
      <c r="AC492" s="20"/>
      <c r="AD492" s="20"/>
      <c r="AE492" s="20"/>
      <c r="AF492" s="20" t="s">
        <v>1124</v>
      </c>
      <c r="AG492" s="20" t="s">
        <v>1124</v>
      </c>
      <c r="AH492" s="20" t="s">
        <v>1124</v>
      </c>
      <c r="AI492" s="328"/>
      <c r="AJ492" s="328"/>
      <c r="AK492" s="328"/>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0"/>
      <c r="BY492" s="20"/>
      <c r="BZ492" s="20"/>
      <c r="CA492" s="20"/>
      <c r="CB492" s="20"/>
      <c r="CC492" s="20"/>
      <c r="CD492" s="22"/>
      <c r="CE492" s="22"/>
      <c r="CF492" s="22"/>
      <c r="CG492" s="22"/>
      <c r="CH492" s="22"/>
      <c r="CI492" s="22"/>
      <c r="CJ492" s="149"/>
      <c r="CK492" s="241"/>
    </row>
    <row r="493" spans="1:89" ht="15" customHeight="1" x14ac:dyDescent="0.35">
      <c r="A493" s="17"/>
      <c r="B493" s="313">
        <v>97022</v>
      </c>
      <c r="C493" s="8" t="s">
        <v>1003</v>
      </c>
      <c r="D493" s="18">
        <v>9</v>
      </c>
      <c r="E493" s="131" t="s">
        <v>1309</v>
      </c>
      <c r="F493" s="22" t="s">
        <v>1309</v>
      </c>
      <c r="G493" s="132" t="s">
        <v>1309</v>
      </c>
      <c r="H493" s="22" t="s">
        <v>1311</v>
      </c>
      <c r="I493" s="22" t="s">
        <v>1327</v>
      </c>
      <c r="J493" s="22" t="s">
        <v>1327</v>
      </c>
      <c r="K493" s="22" t="s">
        <v>1314</v>
      </c>
      <c r="L493" s="22" t="s">
        <v>1311</v>
      </c>
      <c r="M493" s="133" t="s">
        <v>1311</v>
      </c>
      <c r="N493" s="22" t="s">
        <v>1311</v>
      </c>
      <c r="O493" s="22" t="s">
        <v>1314</v>
      </c>
      <c r="P493" s="22" t="s">
        <v>1318</v>
      </c>
      <c r="Q493" s="20">
        <v>0</v>
      </c>
      <c r="R493" s="20">
        <v>0</v>
      </c>
      <c r="S493" s="20">
        <v>58.024000000000001</v>
      </c>
      <c r="T493" s="20">
        <v>109.616</v>
      </c>
      <c r="U493" s="20">
        <v>0</v>
      </c>
      <c r="V493" s="20">
        <v>0</v>
      </c>
      <c r="W493" s="20">
        <v>0</v>
      </c>
      <c r="X493" s="20">
        <v>0</v>
      </c>
      <c r="Y493" s="20">
        <v>0</v>
      </c>
      <c r="Z493" s="20">
        <v>0</v>
      </c>
      <c r="AA493" s="20" t="s">
        <v>1317</v>
      </c>
      <c r="AB493" s="22" t="s">
        <v>1311</v>
      </c>
      <c r="AC493" s="20">
        <v>3</v>
      </c>
      <c r="AD493" s="20">
        <v>2</v>
      </c>
      <c r="AE493" s="20">
        <v>1</v>
      </c>
      <c r="AF493" s="20">
        <v>1</v>
      </c>
      <c r="AG493" s="20">
        <v>1</v>
      </c>
      <c r="AH493" s="20">
        <v>1</v>
      </c>
      <c r="AI493" s="328">
        <v>5.4736534812436144</v>
      </c>
      <c r="AJ493" s="328">
        <v>0.70200070200070197</v>
      </c>
      <c r="AK493" s="328">
        <v>0.35100035100035099</v>
      </c>
      <c r="AL493" s="22" t="s">
        <v>1329</v>
      </c>
      <c r="AM493" s="22" t="s">
        <v>1330</v>
      </c>
      <c r="AN493" s="22" t="s">
        <v>1315</v>
      </c>
      <c r="AO493" s="22" t="s">
        <v>1315</v>
      </c>
      <c r="AP493" s="22" t="s">
        <v>1315</v>
      </c>
      <c r="AQ493" s="22" t="s">
        <v>1315</v>
      </c>
      <c r="AR493" s="22" t="s">
        <v>1317</v>
      </c>
      <c r="AS493" s="22" t="s">
        <v>1311</v>
      </c>
      <c r="AT493" s="22" t="s">
        <v>1317</v>
      </c>
      <c r="AU493" s="22" t="s">
        <v>1311</v>
      </c>
      <c r="AV493" s="22" t="s">
        <v>1317</v>
      </c>
      <c r="AW493" s="22" t="s">
        <v>1311</v>
      </c>
      <c r="AX493" s="22" t="s">
        <v>1317</v>
      </c>
      <c r="AY493" s="22" t="s">
        <v>1318</v>
      </c>
      <c r="AZ493" s="22" t="s">
        <v>1317</v>
      </c>
      <c r="BA493" s="22" t="s">
        <v>1318</v>
      </c>
      <c r="BB493" s="22" t="s">
        <v>1317</v>
      </c>
      <c r="BC493" s="22" t="s">
        <v>1311</v>
      </c>
      <c r="BD493" s="22" t="s">
        <v>1315</v>
      </c>
      <c r="BE493" s="22" t="s">
        <v>1315</v>
      </c>
      <c r="BF493" s="22" t="s">
        <v>1317</v>
      </c>
      <c r="BG493" s="22" t="s">
        <v>1318</v>
      </c>
      <c r="BH493" s="22" t="s">
        <v>1317</v>
      </c>
      <c r="BI493" s="22" t="s">
        <v>1318</v>
      </c>
      <c r="BJ493" s="22" t="s">
        <v>1317</v>
      </c>
      <c r="BK493" s="22" t="s">
        <v>1311</v>
      </c>
      <c r="BL493" s="22" t="s">
        <v>1317</v>
      </c>
      <c r="BM493" s="22" t="s">
        <v>1311</v>
      </c>
      <c r="BN493" s="22" t="s">
        <v>1317</v>
      </c>
      <c r="BO493" s="22" t="s">
        <v>1311</v>
      </c>
      <c r="BP493" s="22" t="s">
        <v>1309</v>
      </c>
      <c r="BQ493" s="22" t="s">
        <v>1309</v>
      </c>
      <c r="BR493" s="22" t="s">
        <v>1309</v>
      </c>
      <c r="BS493" s="22" t="s">
        <v>1309</v>
      </c>
      <c r="BT493" s="22" t="s">
        <v>1315</v>
      </c>
      <c r="BU493" s="22" t="s">
        <v>1315</v>
      </c>
      <c r="BV493" s="22" t="s">
        <v>1317</v>
      </c>
      <c r="BW493" s="22" t="s">
        <v>1318</v>
      </c>
      <c r="BX493" s="20">
        <v>0</v>
      </c>
      <c r="BY493" s="20">
        <v>4</v>
      </c>
      <c r="BZ493" s="20">
        <v>123</v>
      </c>
      <c r="CA493" s="20">
        <v>0</v>
      </c>
      <c r="CB493" s="20">
        <v>0</v>
      </c>
      <c r="CC493" s="20">
        <v>2697</v>
      </c>
      <c r="CD493" s="22" t="s">
        <v>1320</v>
      </c>
      <c r="CE493" s="22" t="s">
        <v>1321</v>
      </c>
      <c r="CF493" s="22" t="s">
        <v>1317</v>
      </c>
      <c r="CG493" s="22" t="s">
        <v>1321</v>
      </c>
      <c r="CH493" s="22" t="s">
        <v>1317</v>
      </c>
      <c r="CI493" s="22" t="s">
        <v>1318</v>
      </c>
      <c r="CJ493" s="149" t="s">
        <v>3729</v>
      </c>
      <c r="CK493" s="241" t="s">
        <v>1124</v>
      </c>
    </row>
    <row r="494" spans="1:89" ht="15" customHeight="1" x14ac:dyDescent="0.35">
      <c r="A494" s="17"/>
      <c r="B494" s="313">
        <v>2047</v>
      </c>
      <c r="C494" s="8" t="s">
        <v>1030</v>
      </c>
      <c r="D494" s="18">
        <v>11</v>
      </c>
      <c r="E494" s="131" t="s">
        <v>1309</v>
      </c>
      <c r="F494" s="22" t="s">
        <v>1309</v>
      </c>
      <c r="G494" s="132" t="s">
        <v>1309</v>
      </c>
      <c r="H494" s="22" t="s">
        <v>1311</v>
      </c>
      <c r="I494" s="22" t="s">
        <v>1327</v>
      </c>
      <c r="J494" s="22" t="s">
        <v>1327</v>
      </c>
      <c r="K494" s="22" t="s">
        <v>1309</v>
      </c>
      <c r="L494" s="22" t="s">
        <v>1309</v>
      </c>
      <c r="M494" s="133" t="s">
        <v>1311</v>
      </c>
      <c r="N494" s="22" t="s">
        <v>1311</v>
      </c>
      <c r="O494" s="22" t="s">
        <v>1314</v>
      </c>
      <c r="P494" s="22" t="s">
        <v>1311</v>
      </c>
      <c r="Q494" s="20">
        <v>0</v>
      </c>
      <c r="R494" s="20">
        <v>0</v>
      </c>
      <c r="S494" s="20">
        <v>14.012</v>
      </c>
      <c r="T494" s="20">
        <v>14.012</v>
      </c>
      <c r="U494" s="20">
        <v>0</v>
      </c>
      <c r="V494" s="20">
        <v>0</v>
      </c>
      <c r="W494" s="20">
        <v>0</v>
      </c>
      <c r="X494" s="20">
        <v>0</v>
      </c>
      <c r="Y494" s="20">
        <v>0</v>
      </c>
      <c r="Z494" s="20">
        <v>0</v>
      </c>
      <c r="AA494" s="20" t="s">
        <v>1319</v>
      </c>
      <c r="AB494" s="22" t="s">
        <v>1311</v>
      </c>
      <c r="AC494" s="20">
        <v>2</v>
      </c>
      <c r="AD494" s="20">
        <v>0</v>
      </c>
      <c r="AE494" s="20">
        <v>1</v>
      </c>
      <c r="AF494" s="20">
        <v>1</v>
      </c>
      <c r="AG494" s="20">
        <v>0</v>
      </c>
      <c r="AH494" s="20">
        <v>1</v>
      </c>
      <c r="AI494" s="328">
        <v>14.273479874393379</v>
      </c>
      <c r="AJ494" s="328" t="s">
        <v>1328</v>
      </c>
      <c r="AK494" s="328">
        <v>1.953125</v>
      </c>
      <c r="AL494" s="22" t="s">
        <v>1329</v>
      </c>
      <c r="AM494" s="22" t="s">
        <v>1330</v>
      </c>
      <c r="AN494" s="22" t="s">
        <v>1317</v>
      </c>
      <c r="AO494" s="22" t="s">
        <v>1318</v>
      </c>
      <c r="AP494" s="22" t="s">
        <v>1318</v>
      </c>
      <c r="AQ494" s="22" t="s">
        <v>1318</v>
      </c>
      <c r="AR494" s="22" t="s">
        <v>1317</v>
      </c>
      <c r="AS494" s="22" t="s">
        <v>1318</v>
      </c>
      <c r="AT494" s="22" t="s">
        <v>1309</v>
      </c>
      <c r="AU494" s="22" t="s">
        <v>1309</v>
      </c>
      <c r="AV494" s="22" t="s">
        <v>1309</v>
      </c>
      <c r="AW494" s="22" t="s">
        <v>1309</v>
      </c>
      <c r="AX494" s="22" t="s">
        <v>1317</v>
      </c>
      <c r="AY494" s="22" t="s">
        <v>1318</v>
      </c>
      <c r="AZ494" s="22" t="s">
        <v>1309</v>
      </c>
      <c r="BA494" s="22" t="s">
        <v>1309</v>
      </c>
      <c r="BB494" s="22" t="s">
        <v>1309</v>
      </c>
      <c r="BC494" s="22" t="s">
        <v>1309</v>
      </c>
      <c r="BD494" s="22" t="s">
        <v>1317</v>
      </c>
      <c r="BE494" s="22" t="s">
        <v>1318</v>
      </c>
      <c r="BF494" s="22" t="s">
        <v>1319</v>
      </c>
      <c r="BG494" s="22" t="s">
        <v>1311</v>
      </c>
      <c r="BH494" s="22" t="s">
        <v>1317</v>
      </c>
      <c r="BI494" s="22" t="s">
        <v>1318</v>
      </c>
      <c r="BJ494" s="22" t="s">
        <v>1317</v>
      </c>
      <c r="BK494" s="22" t="s">
        <v>1318</v>
      </c>
      <c r="BL494" s="22" t="s">
        <v>1319</v>
      </c>
      <c r="BM494" s="22" t="s">
        <v>1311</v>
      </c>
      <c r="BN494" s="22" t="s">
        <v>1309</v>
      </c>
      <c r="BO494" s="22" t="s">
        <v>1309</v>
      </c>
      <c r="BP494" s="22" t="s">
        <v>1317</v>
      </c>
      <c r="BQ494" s="22" t="s">
        <v>1318</v>
      </c>
      <c r="BR494" s="22" t="s">
        <v>1309</v>
      </c>
      <c r="BS494" s="22" t="s">
        <v>1309</v>
      </c>
      <c r="BT494" s="22" t="s">
        <v>1309</v>
      </c>
      <c r="BU494" s="22" t="s">
        <v>1309</v>
      </c>
      <c r="BV494" s="22" t="s">
        <v>1319</v>
      </c>
      <c r="BW494" s="22" t="s">
        <v>1311</v>
      </c>
      <c r="BX494" s="20">
        <v>11</v>
      </c>
      <c r="BY494" s="20">
        <v>1</v>
      </c>
      <c r="BZ494" s="20">
        <v>13</v>
      </c>
      <c r="CA494" s="20">
        <v>9</v>
      </c>
      <c r="CB494" s="20">
        <v>0</v>
      </c>
      <c r="CC494" s="20">
        <v>478</v>
      </c>
      <c r="CD494" s="22" t="s">
        <v>1320</v>
      </c>
      <c r="CE494" s="22" t="s">
        <v>1321</v>
      </c>
      <c r="CF494" s="22" t="s">
        <v>1320</v>
      </c>
      <c r="CG494" s="22" t="s">
        <v>1321</v>
      </c>
      <c r="CH494" s="22" t="s">
        <v>1317</v>
      </c>
      <c r="CI494" s="22" t="s">
        <v>1318</v>
      </c>
      <c r="CJ494" s="149" t="s">
        <v>1124</v>
      </c>
      <c r="CK494" s="241" t="s">
        <v>2432</v>
      </c>
    </row>
    <row r="495" spans="1:89" ht="15" customHeight="1" x14ac:dyDescent="0.35">
      <c r="A495" s="17"/>
      <c r="B495" s="313">
        <v>34048</v>
      </c>
      <c r="C495" s="8" t="s">
        <v>290</v>
      </c>
      <c r="D495" s="18">
        <v>3</v>
      </c>
      <c r="E495" s="131" t="s">
        <v>1309</v>
      </c>
      <c r="F495" s="22" t="s">
        <v>1309</v>
      </c>
      <c r="G495" s="132" t="s">
        <v>1309</v>
      </c>
      <c r="H495" s="22" t="s">
        <v>1311</v>
      </c>
      <c r="I495" s="22" t="s">
        <v>1327</v>
      </c>
      <c r="J495" s="22" t="s">
        <v>1327</v>
      </c>
      <c r="K495" s="22" t="s">
        <v>1309</v>
      </c>
      <c r="L495" s="22" t="s">
        <v>1309</v>
      </c>
      <c r="M495" s="133" t="s">
        <v>1311</v>
      </c>
      <c r="N495" s="22" t="s">
        <v>1311</v>
      </c>
      <c r="O495" s="22" t="s">
        <v>1309</v>
      </c>
      <c r="P495" s="22" t="s">
        <v>1309</v>
      </c>
      <c r="Q495" s="20">
        <v>0</v>
      </c>
      <c r="R495" s="20">
        <v>0</v>
      </c>
      <c r="S495" s="20">
        <v>0</v>
      </c>
      <c r="T495" s="20">
        <v>0</v>
      </c>
      <c r="U495" s="20">
        <v>0</v>
      </c>
      <c r="V495" s="20">
        <v>0</v>
      </c>
      <c r="W495" s="20">
        <v>0</v>
      </c>
      <c r="X495" s="20">
        <v>0</v>
      </c>
      <c r="Y495" s="20">
        <v>0</v>
      </c>
      <c r="Z495" s="20">
        <v>0</v>
      </c>
      <c r="AA495" s="20" t="s">
        <v>1317</v>
      </c>
      <c r="AB495" s="22" t="s">
        <v>1318</v>
      </c>
      <c r="AC495" s="20">
        <v>0</v>
      </c>
      <c r="AD495" s="20">
        <v>0</v>
      </c>
      <c r="AE495" s="20">
        <v>0</v>
      </c>
      <c r="AF495" s="20">
        <v>0</v>
      </c>
      <c r="AG495" s="20">
        <v>0</v>
      </c>
      <c r="AH495" s="20">
        <v>0</v>
      </c>
      <c r="AI495" s="328" t="s">
        <v>1328</v>
      </c>
      <c r="AJ495" s="328" t="s">
        <v>1328</v>
      </c>
      <c r="AK495" s="328" t="s">
        <v>1328</v>
      </c>
      <c r="AL495" s="22" t="s">
        <v>1329</v>
      </c>
      <c r="AM495" s="22" t="s">
        <v>1330</v>
      </c>
      <c r="AN495" s="22" t="s">
        <v>1317</v>
      </c>
      <c r="AO495" s="22" t="s">
        <v>1318</v>
      </c>
      <c r="AP495" s="22" t="s">
        <v>1318</v>
      </c>
      <c r="AQ495" s="22" t="s">
        <v>1318</v>
      </c>
      <c r="AR495" s="22" t="s">
        <v>1317</v>
      </c>
      <c r="AS495" s="22" t="s">
        <v>1318</v>
      </c>
      <c r="AT495" s="22" t="s">
        <v>1309</v>
      </c>
      <c r="AU495" s="22" t="s">
        <v>1309</v>
      </c>
      <c r="AV495" s="22" t="s">
        <v>1309</v>
      </c>
      <c r="AW495" s="22" t="s">
        <v>1309</v>
      </c>
      <c r="AX495" s="22" t="s">
        <v>1317</v>
      </c>
      <c r="AY495" s="22" t="s">
        <v>1318</v>
      </c>
      <c r="AZ495" s="22" t="s">
        <v>1309</v>
      </c>
      <c r="BA495" s="22" t="s">
        <v>1309</v>
      </c>
      <c r="BB495" s="22" t="s">
        <v>1309</v>
      </c>
      <c r="BC495" s="22" t="s">
        <v>1309</v>
      </c>
      <c r="BD495" s="22" t="s">
        <v>1317</v>
      </c>
      <c r="BE495" s="22" t="s">
        <v>1318</v>
      </c>
      <c r="BF495" s="22" t="s">
        <v>1317</v>
      </c>
      <c r="BG495" s="22" t="s">
        <v>1318</v>
      </c>
      <c r="BH495" s="22" t="s">
        <v>1309</v>
      </c>
      <c r="BI495" s="22" t="s">
        <v>1309</v>
      </c>
      <c r="BJ495" s="22" t="s">
        <v>1309</v>
      </c>
      <c r="BK495" s="22" t="s">
        <v>1309</v>
      </c>
      <c r="BL495" s="22" t="s">
        <v>1319</v>
      </c>
      <c r="BM495" s="22" t="s">
        <v>1311</v>
      </c>
      <c r="BN495" s="22" t="s">
        <v>1309</v>
      </c>
      <c r="BO495" s="22" t="s">
        <v>1309</v>
      </c>
      <c r="BP495" s="22" t="s">
        <v>1309</v>
      </c>
      <c r="BQ495" s="22" t="s">
        <v>1309</v>
      </c>
      <c r="BR495" s="22" t="s">
        <v>1317</v>
      </c>
      <c r="BS495" s="22" t="s">
        <v>1318</v>
      </c>
      <c r="BT495" s="22" t="s">
        <v>1315</v>
      </c>
      <c r="BU495" s="22" t="s">
        <v>1315</v>
      </c>
      <c r="BV495" s="22" t="s">
        <v>1309</v>
      </c>
      <c r="BW495" s="22" t="s">
        <v>1309</v>
      </c>
      <c r="BX495" s="20">
        <v>42</v>
      </c>
      <c r="BY495" s="20">
        <v>0</v>
      </c>
      <c r="BZ495" s="20">
        <v>90</v>
      </c>
      <c r="CA495" s="20">
        <v>0</v>
      </c>
      <c r="CB495" s="20">
        <v>0</v>
      </c>
      <c r="CC495" s="20">
        <v>1371</v>
      </c>
      <c r="CD495" s="22" t="s">
        <v>1331</v>
      </c>
      <c r="CE495" s="22" t="s">
        <v>1331</v>
      </c>
      <c r="CF495" s="22" t="s">
        <v>1317</v>
      </c>
      <c r="CG495" s="22" t="s">
        <v>1318</v>
      </c>
      <c r="CH495" s="22" t="s">
        <v>1317</v>
      </c>
      <c r="CI495" s="22" t="s">
        <v>1318</v>
      </c>
      <c r="CJ495" s="149" t="s">
        <v>2438</v>
      </c>
      <c r="CK495" s="241" t="s">
        <v>1357</v>
      </c>
    </row>
    <row r="496" spans="1:89" ht="15" customHeight="1" x14ac:dyDescent="0.35">
      <c r="A496" s="17"/>
      <c r="B496" s="313">
        <v>95040</v>
      </c>
      <c r="C496" s="8" t="s">
        <v>991</v>
      </c>
      <c r="D496" s="18">
        <v>9</v>
      </c>
      <c r="E496" s="131" t="s">
        <v>1309</v>
      </c>
      <c r="F496" s="22" t="s">
        <v>1309</v>
      </c>
      <c r="G496" s="132" t="s">
        <v>1309</v>
      </c>
      <c r="H496" s="22" t="s">
        <v>1311</v>
      </c>
      <c r="I496" s="22" t="s">
        <v>1327</v>
      </c>
      <c r="J496" s="22" t="s">
        <v>1327</v>
      </c>
      <c r="K496" s="22" t="s">
        <v>1319</v>
      </c>
      <c r="L496" s="22" t="s">
        <v>1309</v>
      </c>
      <c r="M496" s="133" t="s">
        <v>1311</v>
      </c>
      <c r="N496" s="22" t="s">
        <v>1311</v>
      </c>
      <c r="O496" s="22" t="s">
        <v>1315</v>
      </c>
      <c r="P496" s="22" t="s">
        <v>1315</v>
      </c>
      <c r="Q496" s="20">
        <v>8.2159999999999993</v>
      </c>
      <c r="R496" s="20">
        <v>8.2159999999999993</v>
      </c>
      <c r="S496" s="20">
        <v>0</v>
      </c>
      <c r="T496" s="20">
        <v>0</v>
      </c>
      <c r="U496" s="20">
        <v>0</v>
      </c>
      <c r="V496" s="20">
        <v>0</v>
      </c>
      <c r="W496" s="20">
        <v>0</v>
      </c>
      <c r="X496" s="20">
        <v>0</v>
      </c>
      <c r="Y496" s="20">
        <v>0</v>
      </c>
      <c r="Z496" s="20">
        <v>0</v>
      </c>
      <c r="AA496" s="20" t="s">
        <v>1317</v>
      </c>
      <c r="AB496" s="22" t="s">
        <v>1311</v>
      </c>
      <c r="AC496" s="20">
        <v>0</v>
      </c>
      <c r="AD496" s="20">
        <v>0</v>
      </c>
      <c r="AE496" s="20">
        <v>0</v>
      </c>
      <c r="AF496" s="20">
        <v>0</v>
      </c>
      <c r="AG496" s="20">
        <v>0</v>
      </c>
      <c r="AH496" s="20">
        <v>0</v>
      </c>
      <c r="AI496" s="328" t="s">
        <v>1328</v>
      </c>
      <c r="AJ496" s="328" t="s">
        <v>1328</v>
      </c>
      <c r="AK496" s="328" t="s">
        <v>1328</v>
      </c>
      <c r="AL496" s="22" t="s">
        <v>1329</v>
      </c>
      <c r="AM496" s="22" t="s">
        <v>1330</v>
      </c>
      <c r="AN496" s="22" t="s">
        <v>1315</v>
      </c>
      <c r="AO496" s="22" t="s">
        <v>1315</v>
      </c>
      <c r="AP496" s="22" t="s">
        <v>1315</v>
      </c>
      <c r="AQ496" s="22" t="s">
        <v>1315</v>
      </c>
      <c r="AR496" s="22" t="s">
        <v>1317</v>
      </c>
      <c r="AS496" s="22" t="s">
        <v>1311</v>
      </c>
      <c r="AT496" s="22" t="s">
        <v>1317</v>
      </c>
      <c r="AU496" s="22" t="s">
        <v>1318</v>
      </c>
      <c r="AV496" s="22" t="s">
        <v>1317</v>
      </c>
      <c r="AW496" s="22" t="s">
        <v>1318</v>
      </c>
      <c r="AX496" s="22" t="s">
        <v>1317</v>
      </c>
      <c r="AY496" s="22" t="s">
        <v>1318</v>
      </c>
      <c r="AZ496" s="22" t="s">
        <v>1309</v>
      </c>
      <c r="BA496" s="22" t="s">
        <v>1309</v>
      </c>
      <c r="BB496" s="22" t="s">
        <v>1309</v>
      </c>
      <c r="BC496" s="22" t="s">
        <v>1309</v>
      </c>
      <c r="BD496" s="22" t="s">
        <v>1315</v>
      </c>
      <c r="BE496" s="22" t="s">
        <v>1315</v>
      </c>
      <c r="BF496" s="22" t="s">
        <v>1317</v>
      </c>
      <c r="BG496" s="22" t="s">
        <v>1318</v>
      </c>
      <c r="BH496" s="22" t="s">
        <v>1317</v>
      </c>
      <c r="BI496" s="22" t="s">
        <v>1318</v>
      </c>
      <c r="BJ496" s="22" t="s">
        <v>1319</v>
      </c>
      <c r="BK496" s="22" t="s">
        <v>1309</v>
      </c>
      <c r="BL496" s="22" t="s">
        <v>1317</v>
      </c>
      <c r="BM496" s="22" t="s">
        <v>1318</v>
      </c>
      <c r="BN496" s="22" t="s">
        <v>1309</v>
      </c>
      <c r="BO496" s="22" t="s">
        <v>1309</v>
      </c>
      <c r="BP496" s="22" t="s">
        <v>1315</v>
      </c>
      <c r="BQ496" s="22" t="s">
        <v>1318</v>
      </c>
      <c r="BR496" s="22" t="s">
        <v>1317</v>
      </c>
      <c r="BS496" s="22" t="s">
        <v>1318</v>
      </c>
      <c r="BT496" s="22" t="s">
        <v>1315</v>
      </c>
      <c r="BU496" s="22" t="s">
        <v>1315</v>
      </c>
      <c r="BV496" s="22" t="s">
        <v>1309</v>
      </c>
      <c r="BW496" s="22" t="s">
        <v>1309</v>
      </c>
      <c r="BX496" s="20">
        <v>1</v>
      </c>
      <c r="BY496" s="20">
        <v>0</v>
      </c>
      <c r="BZ496" s="20">
        <v>9</v>
      </c>
      <c r="CA496" s="20">
        <v>0</v>
      </c>
      <c r="CB496" s="20">
        <v>0</v>
      </c>
      <c r="CC496" s="20">
        <v>369</v>
      </c>
      <c r="CD496" s="22" t="s">
        <v>1317</v>
      </c>
      <c r="CE496" s="22" t="s">
        <v>1331</v>
      </c>
      <c r="CF496" s="22" t="s">
        <v>1317</v>
      </c>
      <c r="CG496" s="22" t="s">
        <v>1331</v>
      </c>
      <c r="CH496" s="22" t="s">
        <v>1317</v>
      </c>
      <c r="CI496" s="22" t="s">
        <v>1318</v>
      </c>
      <c r="CJ496" s="149" t="s">
        <v>1124</v>
      </c>
      <c r="CK496" s="241" t="s">
        <v>2443</v>
      </c>
    </row>
    <row r="497" spans="1:89" ht="15" customHeight="1" x14ac:dyDescent="0.35">
      <c r="A497" s="17"/>
      <c r="B497" s="313">
        <v>45030</v>
      </c>
      <c r="C497" s="8" t="s">
        <v>413</v>
      </c>
      <c r="D497" s="18">
        <v>5</v>
      </c>
      <c r="E497" s="131" t="s">
        <v>1319</v>
      </c>
      <c r="F497" s="22" t="s">
        <v>1490</v>
      </c>
      <c r="G497" s="132" t="s">
        <v>1309</v>
      </c>
      <c r="H497" s="22" t="s">
        <v>1311</v>
      </c>
      <c r="I497" s="22" t="s">
        <v>1327</v>
      </c>
      <c r="J497" s="22" t="s">
        <v>1327</v>
      </c>
      <c r="K497" s="22" t="s">
        <v>1314</v>
      </c>
      <c r="L497" s="22" t="s">
        <v>1311</v>
      </c>
      <c r="M497" s="133" t="s">
        <v>1311</v>
      </c>
      <c r="N497" s="22" t="s">
        <v>1311</v>
      </c>
      <c r="O497" s="22" t="s">
        <v>1314</v>
      </c>
      <c r="P497" s="22" t="s">
        <v>1318</v>
      </c>
      <c r="Q497" s="20">
        <v>0</v>
      </c>
      <c r="R497" s="20">
        <v>0</v>
      </c>
      <c r="S497" s="20">
        <v>0</v>
      </c>
      <c r="T497" s="20">
        <v>0</v>
      </c>
      <c r="U497" s="20">
        <v>10.189</v>
      </c>
      <c r="V497" s="20">
        <v>0</v>
      </c>
      <c r="W497" s="20">
        <v>0</v>
      </c>
      <c r="X497" s="20">
        <v>0</v>
      </c>
      <c r="Y497" s="20">
        <v>0</v>
      </c>
      <c r="Z497" s="20">
        <v>0</v>
      </c>
      <c r="AA497" s="20" t="s">
        <v>1315</v>
      </c>
      <c r="AB497" s="22" t="s">
        <v>1315</v>
      </c>
      <c r="AC497" s="20">
        <v>1</v>
      </c>
      <c r="AD497" s="20">
        <v>0</v>
      </c>
      <c r="AE497" s="20">
        <v>0</v>
      </c>
      <c r="AF497" s="20">
        <v>1</v>
      </c>
      <c r="AG497" s="20">
        <v>0</v>
      </c>
      <c r="AH497" s="20">
        <v>0</v>
      </c>
      <c r="AI497" s="328">
        <v>6.1800877572461523</v>
      </c>
      <c r="AJ497" s="328" t="s">
        <v>1328</v>
      </c>
      <c r="AK497" s="328" t="s">
        <v>1328</v>
      </c>
      <c r="AL497" s="22" t="s">
        <v>1329</v>
      </c>
      <c r="AM497" s="22" t="s">
        <v>1330</v>
      </c>
      <c r="AN497" s="22" t="s">
        <v>1317</v>
      </c>
      <c r="AO497" s="22" t="s">
        <v>1318</v>
      </c>
      <c r="AP497" s="22" t="s">
        <v>1318</v>
      </c>
      <c r="AQ497" s="22" t="s">
        <v>1318</v>
      </c>
      <c r="AR497" s="22" t="s">
        <v>1317</v>
      </c>
      <c r="AS497" s="22" t="s">
        <v>1318</v>
      </c>
      <c r="AT497" s="22" t="s">
        <v>1317</v>
      </c>
      <c r="AU497" s="22" t="s">
        <v>1318</v>
      </c>
      <c r="AV497" s="22" t="s">
        <v>1309</v>
      </c>
      <c r="AW497" s="22" t="s">
        <v>1309</v>
      </c>
      <c r="AX497" s="22" t="s">
        <v>1317</v>
      </c>
      <c r="AY497" s="22" t="s">
        <v>1318</v>
      </c>
      <c r="AZ497" s="22" t="s">
        <v>1317</v>
      </c>
      <c r="BA497" s="22" t="s">
        <v>1318</v>
      </c>
      <c r="BB497" s="22" t="s">
        <v>1309</v>
      </c>
      <c r="BC497" s="22" t="s">
        <v>1309</v>
      </c>
      <c r="BD497" s="22" t="s">
        <v>1309</v>
      </c>
      <c r="BE497" s="22" t="s">
        <v>1309</v>
      </c>
      <c r="BF497" s="22" t="s">
        <v>1317</v>
      </c>
      <c r="BG497" s="22" t="s">
        <v>1318</v>
      </c>
      <c r="BH497" s="22" t="s">
        <v>1317</v>
      </c>
      <c r="BI497" s="22" t="s">
        <v>1318</v>
      </c>
      <c r="BJ497" s="22" t="s">
        <v>1317</v>
      </c>
      <c r="BK497" s="22" t="s">
        <v>1318</v>
      </c>
      <c r="BL497" s="22" t="s">
        <v>1317</v>
      </c>
      <c r="BM497" s="22" t="s">
        <v>1311</v>
      </c>
      <c r="BN497" s="22" t="s">
        <v>1309</v>
      </c>
      <c r="BO497" s="22" t="s">
        <v>1309</v>
      </c>
      <c r="BP497" s="22" t="s">
        <v>1315</v>
      </c>
      <c r="BQ497" s="22" t="s">
        <v>1315</v>
      </c>
      <c r="BR497" s="22" t="s">
        <v>1309</v>
      </c>
      <c r="BS497" s="22" t="s">
        <v>1309</v>
      </c>
      <c r="BT497" s="22" t="s">
        <v>1315</v>
      </c>
      <c r="BU497" s="22" t="s">
        <v>1315</v>
      </c>
      <c r="BV497" s="22" t="s">
        <v>1317</v>
      </c>
      <c r="BW497" s="22" t="s">
        <v>1318</v>
      </c>
      <c r="BX497" s="20">
        <v>1</v>
      </c>
      <c r="BY497" s="20">
        <v>12</v>
      </c>
      <c r="BZ497" s="20">
        <v>32</v>
      </c>
      <c r="CA497" s="20">
        <v>0</v>
      </c>
      <c r="CB497" s="20">
        <v>0</v>
      </c>
      <c r="CC497" s="20">
        <v>271</v>
      </c>
      <c r="CD497" s="22" t="s">
        <v>1320</v>
      </c>
      <c r="CE497" s="22" t="s">
        <v>1318</v>
      </c>
      <c r="CF497" s="22" t="s">
        <v>1317</v>
      </c>
      <c r="CG497" s="22" t="s">
        <v>1318</v>
      </c>
      <c r="CH497" s="22" t="s">
        <v>1317</v>
      </c>
      <c r="CI497" s="22" t="s">
        <v>1318</v>
      </c>
      <c r="CJ497" s="149" t="s">
        <v>1124</v>
      </c>
      <c r="CK497" s="241" t="s">
        <v>1124</v>
      </c>
    </row>
    <row r="498" spans="1:89" ht="15" customHeight="1" x14ac:dyDescent="0.35">
      <c r="A498" s="17"/>
      <c r="B498" s="313">
        <v>87035</v>
      </c>
      <c r="C498" s="8" t="s">
        <v>896</v>
      </c>
      <c r="D498" s="18">
        <v>8</v>
      </c>
      <c r="E498" s="131"/>
      <c r="F498" s="22"/>
      <c r="G498" s="132"/>
      <c r="H498" s="22"/>
      <c r="I498" s="22"/>
      <c r="J498" s="22"/>
      <c r="K498" s="22"/>
      <c r="L498" s="22"/>
      <c r="M498" s="133"/>
      <c r="N498" s="22"/>
      <c r="O498" s="22"/>
      <c r="P498" s="22"/>
      <c r="Q498" s="20"/>
      <c r="R498" s="20"/>
      <c r="S498" s="20"/>
      <c r="T498" s="20"/>
      <c r="U498" s="20"/>
      <c r="V498" s="20"/>
      <c r="W498" s="20"/>
      <c r="X498" s="20"/>
      <c r="Y498" s="20"/>
      <c r="Z498" s="20"/>
      <c r="AA498" s="20"/>
      <c r="AB498" s="22"/>
      <c r="AC498" s="20"/>
      <c r="AD498" s="20"/>
      <c r="AE498" s="20"/>
      <c r="AF498" s="20" t="s">
        <v>1124</v>
      </c>
      <c r="AG498" s="20" t="s">
        <v>1124</v>
      </c>
      <c r="AH498" s="20" t="s">
        <v>1124</v>
      </c>
      <c r="AI498" s="328"/>
      <c r="AJ498" s="328"/>
      <c r="AK498" s="328"/>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0"/>
      <c r="BY498" s="20"/>
      <c r="BZ498" s="20"/>
      <c r="CA498" s="20"/>
      <c r="CB498" s="20"/>
      <c r="CC498" s="20"/>
      <c r="CD498" s="22"/>
      <c r="CE498" s="22"/>
      <c r="CF498" s="22"/>
      <c r="CG498" s="22"/>
      <c r="CH498" s="22"/>
      <c r="CI498" s="22"/>
      <c r="CJ498" s="149"/>
      <c r="CK498" s="241"/>
    </row>
    <row r="499" spans="1:89" ht="15" customHeight="1" x14ac:dyDescent="0.35">
      <c r="A499" s="17"/>
      <c r="B499" s="313">
        <v>88090</v>
      </c>
      <c r="C499" s="8" t="s">
        <v>927</v>
      </c>
      <c r="D499" s="18">
        <v>8</v>
      </c>
      <c r="E499" s="131"/>
      <c r="F499" s="22"/>
      <c r="G499" s="132"/>
      <c r="H499" s="22"/>
      <c r="I499" s="22"/>
      <c r="J499" s="22"/>
      <c r="K499" s="22"/>
      <c r="L499" s="22"/>
      <c r="M499" s="133"/>
      <c r="N499" s="22"/>
      <c r="O499" s="22"/>
      <c r="P499" s="22"/>
      <c r="Q499" s="20"/>
      <c r="R499" s="20"/>
      <c r="S499" s="20"/>
      <c r="T499" s="20"/>
      <c r="U499" s="20"/>
      <c r="V499" s="20"/>
      <c r="W499" s="20"/>
      <c r="X499" s="20"/>
      <c r="Y499" s="20"/>
      <c r="Z499" s="20"/>
      <c r="AA499" s="20"/>
      <c r="AB499" s="22"/>
      <c r="AC499" s="20"/>
      <c r="AD499" s="20"/>
      <c r="AE499" s="20"/>
      <c r="AF499" s="20" t="s">
        <v>1124</v>
      </c>
      <c r="AG499" s="20" t="s">
        <v>1124</v>
      </c>
      <c r="AH499" s="20" t="s">
        <v>1124</v>
      </c>
      <c r="AI499" s="328"/>
      <c r="AJ499" s="328"/>
      <c r="AK499" s="328"/>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0"/>
      <c r="BY499" s="20"/>
      <c r="BZ499" s="20"/>
      <c r="CA499" s="20"/>
      <c r="CB499" s="20"/>
      <c r="CC499" s="20"/>
      <c r="CD499" s="22"/>
      <c r="CE499" s="22"/>
      <c r="CF499" s="22"/>
      <c r="CG499" s="22"/>
      <c r="CH499" s="22"/>
      <c r="CI499" s="22"/>
      <c r="CJ499" s="149"/>
      <c r="CK499" s="241"/>
    </row>
    <row r="500" spans="1:89" ht="15" customHeight="1" x14ac:dyDescent="0.35">
      <c r="A500" s="17"/>
      <c r="B500" s="313">
        <v>75040</v>
      </c>
      <c r="C500" s="8" t="s">
        <v>745</v>
      </c>
      <c r="D500" s="18">
        <v>15</v>
      </c>
      <c r="E500" s="131" t="s">
        <v>1309</v>
      </c>
      <c r="F500" s="22" t="s">
        <v>1309</v>
      </c>
      <c r="G500" s="132" t="s">
        <v>1309</v>
      </c>
      <c r="H500" s="22" t="s">
        <v>1311</v>
      </c>
      <c r="I500" s="22" t="s">
        <v>1327</v>
      </c>
      <c r="J500" s="22" t="s">
        <v>1342</v>
      </c>
      <c r="K500" s="22" t="s">
        <v>1314</v>
      </c>
      <c r="L500" s="22" t="s">
        <v>1311</v>
      </c>
      <c r="M500" s="133" t="s">
        <v>1311</v>
      </c>
      <c r="N500" s="22" t="s">
        <v>1311</v>
      </c>
      <c r="O500" s="22" t="s">
        <v>1314</v>
      </c>
      <c r="P500" s="22" t="s">
        <v>1311</v>
      </c>
      <c r="Q500" s="20">
        <v>0</v>
      </c>
      <c r="R500" s="20">
        <v>0</v>
      </c>
      <c r="S500" s="20">
        <v>0</v>
      </c>
      <c r="T500" s="20">
        <v>0</v>
      </c>
      <c r="U500" s="20">
        <v>64.584999999999994</v>
      </c>
      <c r="V500" s="20">
        <v>64.584999999999994</v>
      </c>
      <c r="W500" s="20">
        <v>0</v>
      </c>
      <c r="X500" s="20">
        <v>0</v>
      </c>
      <c r="Y500" s="20">
        <v>0</v>
      </c>
      <c r="Z500" s="20">
        <v>0</v>
      </c>
      <c r="AA500" s="20" t="s">
        <v>1309</v>
      </c>
      <c r="AB500" s="22" t="s">
        <v>1309</v>
      </c>
      <c r="AC500" s="20">
        <v>30</v>
      </c>
      <c r="AD500" s="20">
        <v>0</v>
      </c>
      <c r="AE500" s="20">
        <v>0</v>
      </c>
      <c r="AF500" s="20">
        <v>10</v>
      </c>
      <c r="AG500" s="20">
        <v>0</v>
      </c>
      <c r="AH500" s="20">
        <v>0</v>
      </c>
      <c r="AI500" s="328">
        <v>46.450414182859788</v>
      </c>
      <c r="AJ500" s="328" t="s">
        <v>1328</v>
      </c>
      <c r="AK500" s="328" t="s">
        <v>1328</v>
      </c>
      <c r="AL500" s="22" t="s">
        <v>1316</v>
      </c>
      <c r="AM500" s="22" t="s">
        <v>1343</v>
      </c>
      <c r="AN500" s="22" t="s">
        <v>1317</v>
      </c>
      <c r="AO500" s="22" t="s">
        <v>1318</v>
      </c>
      <c r="AP500" s="22" t="s">
        <v>1318</v>
      </c>
      <c r="AQ500" s="22" t="s">
        <v>1318</v>
      </c>
      <c r="AR500" s="22" t="s">
        <v>1317</v>
      </c>
      <c r="AS500" s="22" t="s">
        <v>1318</v>
      </c>
      <c r="AT500" s="22" t="s">
        <v>1317</v>
      </c>
      <c r="AU500" s="22" t="s">
        <v>1318</v>
      </c>
      <c r="AV500" s="22" t="s">
        <v>1309</v>
      </c>
      <c r="AW500" s="22" t="s">
        <v>1309</v>
      </c>
      <c r="AX500" s="22" t="s">
        <v>1317</v>
      </c>
      <c r="AY500" s="22" t="s">
        <v>1318</v>
      </c>
      <c r="AZ500" s="22" t="s">
        <v>1309</v>
      </c>
      <c r="BA500" s="22" t="s">
        <v>1309</v>
      </c>
      <c r="BB500" s="22" t="s">
        <v>1309</v>
      </c>
      <c r="BC500" s="22" t="s">
        <v>1309</v>
      </c>
      <c r="BD500" s="22" t="s">
        <v>1317</v>
      </c>
      <c r="BE500" s="22" t="s">
        <v>1318</v>
      </c>
      <c r="BF500" s="22" t="s">
        <v>1317</v>
      </c>
      <c r="BG500" s="22" t="s">
        <v>1318</v>
      </c>
      <c r="BH500" s="22" t="s">
        <v>1309</v>
      </c>
      <c r="BI500" s="22" t="s">
        <v>1309</v>
      </c>
      <c r="BJ500" s="22" t="s">
        <v>1317</v>
      </c>
      <c r="BK500" s="22" t="s">
        <v>1318</v>
      </c>
      <c r="BL500" s="22" t="s">
        <v>1319</v>
      </c>
      <c r="BM500" s="22" t="s">
        <v>1311</v>
      </c>
      <c r="BN500" s="22" t="s">
        <v>1309</v>
      </c>
      <c r="BO500" s="22" t="s">
        <v>1309</v>
      </c>
      <c r="BP500" s="22" t="s">
        <v>1317</v>
      </c>
      <c r="BQ500" s="22" t="s">
        <v>1318</v>
      </c>
      <c r="BR500" s="22" t="s">
        <v>1309</v>
      </c>
      <c r="BS500" s="22" t="s">
        <v>1309</v>
      </c>
      <c r="BT500" s="22" t="s">
        <v>1317</v>
      </c>
      <c r="BU500" s="22" t="s">
        <v>1311</v>
      </c>
      <c r="BV500" s="22" t="s">
        <v>1309</v>
      </c>
      <c r="BW500" s="22" t="s">
        <v>1309</v>
      </c>
      <c r="BX500" s="20">
        <v>0</v>
      </c>
      <c r="BY500" s="20">
        <v>88</v>
      </c>
      <c r="BZ500" s="20">
        <v>17</v>
      </c>
      <c r="CA500" s="20">
        <v>0</v>
      </c>
      <c r="CB500" s="20">
        <v>0</v>
      </c>
      <c r="CC500" s="20">
        <v>2986</v>
      </c>
      <c r="CD500" s="22" t="s">
        <v>1331</v>
      </c>
      <c r="CE500" s="22" t="s">
        <v>1318</v>
      </c>
      <c r="CF500" s="22" t="s">
        <v>1317</v>
      </c>
      <c r="CG500" s="22" t="s">
        <v>1318</v>
      </c>
      <c r="CH500" s="22" t="s">
        <v>1341</v>
      </c>
      <c r="CI500" s="22" t="s">
        <v>1413</v>
      </c>
      <c r="CJ500" s="149" t="s">
        <v>2456</v>
      </c>
      <c r="CK500" s="241" t="s">
        <v>2457</v>
      </c>
    </row>
    <row r="501" spans="1:89" ht="15" customHeight="1" x14ac:dyDescent="0.35">
      <c r="A501" s="17"/>
      <c r="B501" s="313">
        <v>9065</v>
      </c>
      <c r="C501" s="8" t="s">
        <v>1108</v>
      </c>
      <c r="D501" s="18">
        <v>1</v>
      </c>
      <c r="E501" s="131" t="s">
        <v>1309</v>
      </c>
      <c r="F501" s="22" t="s">
        <v>1309</v>
      </c>
      <c r="G501" s="132" t="s">
        <v>1309</v>
      </c>
      <c r="H501" s="22" t="s">
        <v>1311</v>
      </c>
      <c r="I501" s="22" t="s">
        <v>1327</v>
      </c>
      <c r="J501" s="22" t="s">
        <v>1327</v>
      </c>
      <c r="K501" s="22" t="s">
        <v>1309</v>
      </c>
      <c r="L501" s="22" t="s">
        <v>1309</v>
      </c>
      <c r="M501" s="133" t="s">
        <v>1311</v>
      </c>
      <c r="N501" s="22" t="s">
        <v>1311</v>
      </c>
      <c r="O501" s="22" t="s">
        <v>1309</v>
      </c>
      <c r="P501" s="22" t="s">
        <v>1309</v>
      </c>
      <c r="Q501" s="20">
        <v>0</v>
      </c>
      <c r="R501" s="20">
        <v>0</v>
      </c>
      <c r="S501" s="20">
        <v>0</v>
      </c>
      <c r="T501" s="20">
        <v>0</v>
      </c>
      <c r="U501" s="20">
        <v>0</v>
      </c>
      <c r="V501" s="20">
        <v>0</v>
      </c>
      <c r="W501" s="20">
        <v>0</v>
      </c>
      <c r="X501" s="20">
        <v>0</v>
      </c>
      <c r="Y501" s="20">
        <v>0</v>
      </c>
      <c r="Z501" s="20">
        <v>0</v>
      </c>
      <c r="AA501" s="20" t="s">
        <v>1317</v>
      </c>
      <c r="AB501" s="22" t="s">
        <v>1318</v>
      </c>
      <c r="AC501" s="20">
        <v>0</v>
      </c>
      <c r="AD501" s="20">
        <v>0</v>
      </c>
      <c r="AE501" s="20">
        <v>2</v>
      </c>
      <c r="AF501" s="20">
        <v>0</v>
      </c>
      <c r="AG501" s="20">
        <v>0</v>
      </c>
      <c r="AH501" s="20">
        <v>1</v>
      </c>
      <c r="AI501" s="328" t="s">
        <v>1328</v>
      </c>
      <c r="AJ501" s="328" t="s">
        <v>1328</v>
      </c>
      <c r="AK501" s="328">
        <v>2.7397260273972601</v>
      </c>
      <c r="AL501" s="22" t="s">
        <v>1329</v>
      </c>
      <c r="AM501" s="22" t="s">
        <v>1330</v>
      </c>
      <c r="AN501" s="22" t="s">
        <v>1317</v>
      </c>
      <c r="AO501" s="22" t="s">
        <v>1318</v>
      </c>
      <c r="AP501" s="22" t="s">
        <v>1318</v>
      </c>
      <c r="AQ501" s="22" t="s">
        <v>1318</v>
      </c>
      <c r="AR501" s="22" t="s">
        <v>1317</v>
      </c>
      <c r="AS501" s="22" t="s">
        <v>1311</v>
      </c>
      <c r="AT501" s="22" t="s">
        <v>1317</v>
      </c>
      <c r="AU501" s="22" t="s">
        <v>1318</v>
      </c>
      <c r="AV501" s="22" t="s">
        <v>1317</v>
      </c>
      <c r="AW501" s="22" t="s">
        <v>1318</v>
      </c>
      <c r="AX501" s="22" t="s">
        <v>1317</v>
      </c>
      <c r="AY501" s="22" t="s">
        <v>1318</v>
      </c>
      <c r="AZ501" s="22" t="s">
        <v>1309</v>
      </c>
      <c r="BA501" s="22" t="s">
        <v>1309</v>
      </c>
      <c r="BB501" s="22" t="s">
        <v>1309</v>
      </c>
      <c r="BC501" s="22" t="s">
        <v>1309</v>
      </c>
      <c r="BD501" s="22" t="s">
        <v>1317</v>
      </c>
      <c r="BE501" s="22" t="s">
        <v>1318</v>
      </c>
      <c r="BF501" s="22" t="s">
        <v>1317</v>
      </c>
      <c r="BG501" s="22" t="s">
        <v>1318</v>
      </c>
      <c r="BH501" s="22" t="s">
        <v>1317</v>
      </c>
      <c r="BI501" s="22" t="s">
        <v>1318</v>
      </c>
      <c r="BJ501" s="22" t="s">
        <v>1317</v>
      </c>
      <c r="BK501" s="22" t="s">
        <v>1309</v>
      </c>
      <c r="BL501" s="22" t="s">
        <v>1319</v>
      </c>
      <c r="BM501" s="22" t="s">
        <v>1311</v>
      </c>
      <c r="BN501" s="22" t="s">
        <v>1309</v>
      </c>
      <c r="BO501" s="22" t="s">
        <v>1309</v>
      </c>
      <c r="BP501" s="22" t="s">
        <v>1315</v>
      </c>
      <c r="BQ501" s="22" t="s">
        <v>1315</v>
      </c>
      <c r="BR501" s="22" t="s">
        <v>1309</v>
      </c>
      <c r="BS501" s="22" t="s">
        <v>1309</v>
      </c>
      <c r="BT501" s="22" t="s">
        <v>1317</v>
      </c>
      <c r="BU501" s="22" t="s">
        <v>1318</v>
      </c>
      <c r="BV501" s="22" t="s">
        <v>1317</v>
      </c>
      <c r="BW501" s="22" t="s">
        <v>1318</v>
      </c>
      <c r="BX501" s="20">
        <v>26</v>
      </c>
      <c r="BY501" s="20">
        <v>0</v>
      </c>
      <c r="BZ501" s="20">
        <v>0</v>
      </c>
      <c r="CA501" s="20">
        <v>0</v>
      </c>
      <c r="CB501" s="20">
        <v>0</v>
      </c>
      <c r="CC501" s="20">
        <v>704</v>
      </c>
      <c r="CD501" s="22" t="s">
        <v>1331</v>
      </c>
      <c r="CE501" s="22" t="s">
        <v>1331</v>
      </c>
      <c r="CF501" s="22" t="s">
        <v>1317</v>
      </c>
      <c r="CG501" s="22" t="s">
        <v>1318</v>
      </c>
      <c r="CH501" s="22" t="s">
        <v>1317</v>
      </c>
      <c r="CI501" s="22" t="s">
        <v>1318</v>
      </c>
      <c r="CJ501" s="149" t="s">
        <v>1124</v>
      </c>
      <c r="CK501" s="241" t="s">
        <v>1124</v>
      </c>
    </row>
    <row r="502" spans="1:89" ht="15" customHeight="1" x14ac:dyDescent="0.35">
      <c r="A502" s="17"/>
      <c r="B502" s="313">
        <v>32033</v>
      </c>
      <c r="C502" s="8" t="s">
        <v>258</v>
      </c>
      <c r="D502" s="18">
        <v>17</v>
      </c>
      <c r="E502" s="131" t="s">
        <v>1309</v>
      </c>
      <c r="F502" s="22" t="s">
        <v>1309</v>
      </c>
      <c r="G502" s="132" t="s">
        <v>1309</v>
      </c>
      <c r="H502" s="22" t="s">
        <v>1311</v>
      </c>
      <c r="I502" s="22" t="s">
        <v>1327</v>
      </c>
      <c r="J502" s="22" t="s">
        <v>1327</v>
      </c>
      <c r="K502" s="22" t="s">
        <v>1314</v>
      </c>
      <c r="L502" s="22" t="s">
        <v>1311</v>
      </c>
      <c r="M502" s="133" t="s">
        <v>1311</v>
      </c>
      <c r="N502" s="22" t="s">
        <v>1311</v>
      </c>
      <c r="O502" s="22" t="s">
        <v>1309</v>
      </c>
      <c r="P502" s="22" t="s">
        <v>1309</v>
      </c>
      <c r="Q502" s="20">
        <v>0</v>
      </c>
      <c r="R502" s="20">
        <v>0</v>
      </c>
      <c r="S502" s="20">
        <v>42.667000000000002</v>
      </c>
      <c r="T502" s="20">
        <v>42.667000000000002</v>
      </c>
      <c r="U502" s="20">
        <v>0</v>
      </c>
      <c r="V502" s="20">
        <v>42.667000000000002</v>
      </c>
      <c r="W502" s="20">
        <v>0</v>
      </c>
      <c r="X502" s="20">
        <v>42.667000000000002</v>
      </c>
      <c r="Y502" s="20">
        <v>0</v>
      </c>
      <c r="Z502" s="20">
        <v>0</v>
      </c>
      <c r="AA502" s="20" t="s">
        <v>1309</v>
      </c>
      <c r="AB502" s="22" t="s">
        <v>1309</v>
      </c>
      <c r="AC502" s="20">
        <v>8</v>
      </c>
      <c r="AD502" s="20">
        <v>5</v>
      </c>
      <c r="AE502" s="20">
        <v>11</v>
      </c>
      <c r="AF502" s="20">
        <v>1</v>
      </c>
      <c r="AG502" s="20">
        <v>2</v>
      </c>
      <c r="AH502" s="20">
        <v>7</v>
      </c>
      <c r="AI502" s="328">
        <v>18.745460083885934</v>
      </c>
      <c r="AJ502" s="328">
        <v>2.9481132075471699</v>
      </c>
      <c r="AK502" s="328">
        <v>6.4858490566037732</v>
      </c>
      <c r="AL502" s="22" t="s">
        <v>1329</v>
      </c>
      <c r="AM502" s="22" t="s">
        <v>1330</v>
      </c>
      <c r="AN502" s="22" t="s">
        <v>1317</v>
      </c>
      <c r="AO502" s="22" t="s">
        <v>1318</v>
      </c>
      <c r="AP502" s="22" t="s">
        <v>1318</v>
      </c>
      <c r="AQ502" s="22" t="s">
        <v>1318</v>
      </c>
      <c r="AR502" s="22" t="s">
        <v>1317</v>
      </c>
      <c r="AS502" s="22" t="s">
        <v>1311</v>
      </c>
      <c r="AT502" s="22" t="s">
        <v>1309</v>
      </c>
      <c r="AU502" s="22" t="s">
        <v>1309</v>
      </c>
      <c r="AV502" s="22" t="s">
        <v>1317</v>
      </c>
      <c r="AW502" s="22" t="s">
        <v>1318</v>
      </c>
      <c r="AX502" s="22" t="s">
        <v>1317</v>
      </c>
      <c r="AY502" s="22" t="s">
        <v>1318</v>
      </c>
      <c r="AZ502" s="22" t="s">
        <v>1309</v>
      </c>
      <c r="BA502" s="22" t="s">
        <v>1309</v>
      </c>
      <c r="BB502" s="22" t="s">
        <v>1309</v>
      </c>
      <c r="BC502" s="22" t="s">
        <v>1309</v>
      </c>
      <c r="BD502" s="22" t="s">
        <v>1309</v>
      </c>
      <c r="BE502" s="22" t="s">
        <v>1309</v>
      </c>
      <c r="BF502" s="22" t="s">
        <v>1317</v>
      </c>
      <c r="BG502" s="22" t="s">
        <v>1311</v>
      </c>
      <c r="BH502" s="22" t="s">
        <v>1317</v>
      </c>
      <c r="BI502" s="22" t="s">
        <v>1318</v>
      </c>
      <c r="BJ502" s="22" t="s">
        <v>1317</v>
      </c>
      <c r="BK502" s="22" t="s">
        <v>1311</v>
      </c>
      <c r="BL502" s="22" t="s">
        <v>1319</v>
      </c>
      <c r="BM502" s="22" t="s">
        <v>1311</v>
      </c>
      <c r="BN502" s="22" t="s">
        <v>1309</v>
      </c>
      <c r="BO502" s="22" t="s">
        <v>1309</v>
      </c>
      <c r="BP502" s="22" t="s">
        <v>1309</v>
      </c>
      <c r="BQ502" s="22" t="s">
        <v>1309</v>
      </c>
      <c r="BR502" s="22" t="s">
        <v>1309</v>
      </c>
      <c r="BS502" s="22" t="s">
        <v>1309</v>
      </c>
      <c r="BT502" s="22" t="s">
        <v>1309</v>
      </c>
      <c r="BU502" s="22" t="s">
        <v>1309</v>
      </c>
      <c r="BV502" s="22" t="s">
        <v>1309</v>
      </c>
      <c r="BW502" s="22" t="s">
        <v>1309</v>
      </c>
      <c r="BX502" s="20">
        <v>20</v>
      </c>
      <c r="BY502" s="20">
        <v>0</v>
      </c>
      <c r="BZ502" s="20">
        <v>173</v>
      </c>
      <c r="CA502" s="20">
        <v>0</v>
      </c>
      <c r="CB502" s="20">
        <v>0</v>
      </c>
      <c r="CC502" s="20">
        <v>1503</v>
      </c>
      <c r="CD502" s="22" t="s">
        <v>1317</v>
      </c>
      <c r="CE502" s="22" t="s">
        <v>1331</v>
      </c>
      <c r="CF502" s="22" t="s">
        <v>1317</v>
      </c>
      <c r="CG502" s="22" t="s">
        <v>1331</v>
      </c>
      <c r="CH502" s="22" t="s">
        <v>1317</v>
      </c>
      <c r="CI502" s="22" t="s">
        <v>1318</v>
      </c>
      <c r="CJ502" s="149" t="s">
        <v>1124</v>
      </c>
      <c r="CK502" s="241" t="s">
        <v>2464</v>
      </c>
    </row>
    <row r="503" spans="1:89" ht="15" customHeight="1" x14ac:dyDescent="0.35">
      <c r="A503" s="17"/>
      <c r="B503" s="313">
        <v>23027</v>
      </c>
      <c r="C503" s="8" t="s">
        <v>163</v>
      </c>
      <c r="D503" s="18">
        <v>3</v>
      </c>
      <c r="E503" s="131" t="s">
        <v>1309</v>
      </c>
      <c r="F503" s="22" t="s">
        <v>1309</v>
      </c>
      <c r="G503" s="132" t="s">
        <v>1309</v>
      </c>
      <c r="H503" s="22" t="s">
        <v>1311</v>
      </c>
      <c r="I503" s="22" t="s">
        <v>1349</v>
      </c>
      <c r="J503" s="22" t="s">
        <v>1405</v>
      </c>
      <c r="K503" s="22" t="s">
        <v>1314</v>
      </c>
      <c r="L503" s="22" t="s">
        <v>1311</v>
      </c>
      <c r="M503" s="133" t="s">
        <v>1311</v>
      </c>
      <c r="N503" s="22" t="s">
        <v>1311</v>
      </c>
      <c r="O503" s="22" t="s">
        <v>1309</v>
      </c>
      <c r="P503" s="22" t="s">
        <v>1309</v>
      </c>
      <c r="Q503" s="20">
        <v>0</v>
      </c>
      <c r="R503" s="20">
        <v>0</v>
      </c>
      <c r="S503" s="20">
        <v>6171.3369600000005</v>
      </c>
      <c r="T503" s="20">
        <v>5822.0160000000005</v>
      </c>
      <c r="U503" s="20">
        <v>0</v>
      </c>
      <c r="V503" s="20">
        <v>0</v>
      </c>
      <c r="W503" s="20">
        <v>0</v>
      </c>
      <c r="X503" s="20">
        <v>0</v>
      </c>
      <c r="Y503" s="20">
        <v>0</v>
      </c>
      <c r="Z503" s="20">
        <v>0</v>
      </c>
      <c r="AA503" s="20" t="s">
        <v>1309</v>
      </c>
      <c r="AB503" s="22" t="s">
        <v>1311</v>
      </c>
      <c r="AC503" s="20">
        <v>426</v>
      </c>
      <c r="AD503" s="20">
        <v>133</v>
      </c>
      <c r="AE503" s="20">
        <v>170</v>
      </c>
      <c r="AF503" s="20">
        <v>3.7612293144208038</v>
      </c>
      <c r="AG503" s="20">
        <v>11.590909090909092</v>
      </c>
      <c r="AH503" s="20">
        <v>17.928571428571427</v>
      </c>
      <c r="AI503" s="328">
        <v>14.634106124064241</v>
      </c>
      <c r="AJ503" s="328">
        <v>0.76</v>
      </c>
      <c r="AK503" s="328">
        <v>0.97142857142857142</v>
      </c>
      <c r="AL503" s="22" t="s">
        <v>1316</v>
      </c>
      <c r="AM503" s="22" t="s">
        <v>1343</v>
      </c>
      <c r="AN503" s="22" t="s">
        <v>1319</v>
      </c>
      <c r="AO503" s="22" t="s">
        <v>1311</v>
      </c>
      <c r="AP503" s="22" t="s">
        <v>1318</v>
      </c>
      <c r="AQ503" s="22" t="s">
        <v>1318</v>
      </c>
      <c r="AR503" s="22" t="s">
        <v>1309</v>
      </c>
      <c r="AS503" s="22" t="s">
        <v>1309</v>
      </c>
      <c r="AT503" s="22" t="s">
        <v>1317</v>
      </c>
      <c r="AU503" s="22" t="s">
        <v>1311</v>
      </c>
      <c r="AV503" s="22" t="s">
        <v>1309</v>
      </c>
      <c r="AW503" s="22" t="s">
        <v>1309</v>
      </c>
      <c r="AX503" s="22" t="s">
        <v>1317</v>
      </c>
      <c r="AY503" s="22" t="s">
        <v>1318</v>
      </c>
      <c r="AZ503" s="22" t="s">
        <v>1309</v>
      </c>
      <c r="BA503" s="22" t="s">
        <v>1309</v>
      </c>
      <c r="BB503" s="22" t="s">
        <v>1317</v>
      </c>
      <c r="BC503" s="22" t="s">
        <v>1318</v>
      </c>
      <c r="BD503" s="22" t="s">
        <v>1309</v>
      </c>
      <c r="BE503" s="22" t="s">
        <v>1309</v>
      </c>
      <c r="BF503" s="22" t="s">
        <v>1317</v>
      </c>
      <c r="BG503" s="22" t="s">
        <v>1318</v>
      </c>
      <c r="BH503" s="22" t="s">
        <v>1309</v>
      </c>
      <c r="BI503" s="22" t="s">
        <v>1309</v>
      </c>
      <c r="BJ503" s="22" t="s">
        <v>1317</v>
      </c>
      <c r="BK503" s="22" t="s">
        <v>1318</v>
      </c>
      <c r="BL503" s="22" t="s">
        <v>1317</v>
      </c>
      <c r="BM503" s="22" t="s">
        <v>1318</v>
      </c>
      <c r="BN503" s="22" t="s">
        <v>1319</v>
      </c>
      <c r="BO503" s="22" t="s">
        <v>1311</v>
      </c>
      <c r="BP503" s="22" t="s">
        <v>1317</v>
      </c>
      <c r="BQ503" s="22" t="s">
        <v>1318</v>
      </c>
      <c r="BR503" s="22" t="s">
        <v>1319</v>
      </c>
      <c r="BS503" s="22" t="s">
        <v>1311</v>
      </c>
      <c r="BT503" s="22" t="s">
        <v>1319</v>
      </c>
      <c r="BU503" s="22" t="s">
        <v>1311</v>
      </c>
      <c r="BV503" s="22" t="s">
        <v>1317</v>
      </c>
      <c r="BW503" s="22" t="s">
        <v>1318</v>
      </c>
      <c r="BX503" s="20">
        <v>5690</v>
      </c>
      <c r="BY503" s="20">
        <v>0</v>
      </c>
      <c r="BZ503" s="20">
        <v>200</v>
      </c>
      <c r="CA503" s="20">
        <v>380</v>
      </c>
      <c r="CB503" s="20">
        <v>0</v>
      </c>
      <c r="CC503" s="20">
        <v>133092</v>
      </c>
      <c r="CD503" s="22" t="s">
        <v>1331</v>
      </c>
      <c r="CE503" s="22" t="s">
        <v>1331</v>
      </c>
      <c r="CF503" s="22" t="s">
        <v>1331</v>
      </c>
      <c r="CG503" s="22" t="s">
        <v>1331</v>
      </c>
      <c r="CH503" s="22" t="s">
        <v>1317</v>
      </c>
      <c r="CI503" s="22" t="s">
        <v>1318</v>
      </c>
      <c r="CJ503" s="149" t="s">
        <v>2469</v>
      </c>
      <c r="CK503" s="241" t="s">
        <v>1124</v>
      </c>
    </row>
    <row r="504" spans="1:89" ht="15" customHeight="1" x14ac:dyDescent="0.35">
      <c r="A504" s="17"/>
      <c r="B504" s="313">
        <v>42032</v>
      </c>
      <c r="C504" s="8" t="s">
        <v>382</v>
      </c>
      <c r="D504" s="18">
        <v>5</v>
      </c>
      <c r="E504" s="131" t="s">
        <v>1309</v>
      </c>
      <c r="F504" s="22" t="s">
        <v>1309</v>
      </c>
      <c r="G504" s="132" t="s">
        <v>1309</v>
      </c>
      <c r="H504" s="22" t="s">
        <v>1311</v>
      </c>
      <c r="I504" s="22" t="s">
        <v>1327</v>
      </c>
      <c r="J504" s="22" t="s">
        <v>1327</v>
      </c>
      <c r="K504" s="22" t="s">
        <v>1319</v>
      </c>
      <c r="L504" s="22" t="s">
        <v>1309</v>
      </c>
      <c r="M504" s="133" t="s">
        <v>1311</v>
      </c>
      <c r="N504" s="22" t="s">
        <v>1311</v>
      </c>
      <c r="O504" s="22" t="s">
        <v>1314</v>
      </c>
      <c r="P504" s="22" t="s">
        <v>1318</v>
      </c>
      <c r="Q504" s="20">
        <v>13.234999999999999</v>
      </c>
      <c r="R504" s="20">
        <v>13.234999999999999</v>
      </c>
      <c r="S504" s="20">
        <v>0</v>
      </c>
      <c r="T504" s="20">
        <v>0</v>
      </c>
      <c r="U504" s="20">
        <v>0</v>
      </c>
      <c r="V504" s="20">
        <v>13.234999999999999</v>
      </c>
      <c r="W504" s="20">
        <v>0</v>
      </c>
      <c r="X504" s="20">
        <v>0</v>
      </c>
      <c r="Y504" s="20">
        <v>0</v>
      </c>
      <c r="Z504" s="20">
        <v>0</v>
      </c>
      <c r="AA504" s="20" t="s">
        <v>1317</v>
      </c>
      <c r="AB504" s="22" t="s">
        <v>1311</v>
      </c>
      <c r="AC504" s="20">
        <v>0</v>
      </c>
      <c r="AD504" s="20">
        <v>0</v>
      </c>
      <c r="AE504" s="20">
        <v>0</v>
      </c>
      <c r="AF504" s="20">
        <v>0</v>
      </c>
      <c r="AG504" s="20">
        <v>0</v>
      </c>
      <c r="AH504" s="20">
        <v>0</v>
      </c>
      <c r="AI504" s="328" t="s">
        <v>1328</v>
      </c>
      <c r="AJ504" s="328" t="s">
        <v>1328</v>
      </c>
      <c r="AK504" s="328" t="s">
        <v>1328</v>
      </c>
      <c r="AL504" s="22" t="s">
        <v>1329</v>
      </c>
      <c r="AM504" s="22" t="s">
        <v>1330</v>
      </c>
      <c r="AN504" s="22" t="s">
        <v>1315</v>
      </c>
      <c r="AO504" s="22" t="s">
        <v>1315</v>
      </c>
      <c r="AP504" s="22" t="s">
        <v>1315</v>
      </c>
      <c r="AQ504" s="22" t="s">
        <v>1315</v>
      </c>
      <c r="AR504" s="22" t="s">
        <v>1317</v>
      </c>
      <c r="AS504" s="22" t="s">
        <v>1311</v>
      </c>
      <c r="AT504" s="22" t="s">
        <v>1317</v>
      </c>
      <c r="AU504" s="22" t="s">
        <v>1311</v>
      </c>
      <c r="AV504" s="22" t="s">
        <v>1317</v>
      </c>
      <c r="AW504" s="22" t="s">
        <v>1318</v>
      </c>
      <c r="AX504" s="22" t="s">
        <v>1317</v>
      </c>
      <c r="AY504" s="22" t="s">
        <v>1318</v>
      </c>
      <c r="AZ504" s="22" t="s">
        <v>1317</v>
      </c>
      <c r="BA504" s="22" t="s">
        <v>1318</v>
      </c>
      <c r="BB504" s="22" t="s">
        <v>1309</v>
      </c>
      <c r="BC504" s="22" t="s">
        <v>1309</v>
      </c>
      <c r="BD504" s="22" t="s">
        <v>1317</v>
      </c>
      <c r="BE504" s="22" t="s">
        <v>1318</v>
      </c>
      <c r="BF504" s="22" t="s">
        <v>1309</v>
      </c>
      <c r="BG504" s="22" t="s">
        <v>1309</v>
      </c>
      <c r="BH504" s="22" t="s">
        <v>1317</v>
      </c>
      <c r="BI504" s="22" t="s">
        <v>1318</v>
      </c>
      <c r="BJ504" s="22" t="s">
        <v>1317</v>
      </c>
      <c r="BK504" s="22" t="s">
        <v>1318</v>
      </c>
      <c r="BL504" s="22" t="s">
        <v>1309</v>
      </c>
      <c r="BM504" s="22" t="s">
        <v>1309</v>
      </c>
      <c r="BN504" s="22" t="s">
        <v>1319</v>
      </c>
      <c r="BO504" s="22" t="s">
        <v>1309</v>
      </c>
      <c r="BP504" s="22" t="s">
        <v>1315</v>
      </c>
      <c r="BQ504" s="22" t="s">
        <v>1315</v>
      </c>
      <c r="BR504" s="22" t="s">
        <v>1309</v>
      </c>
      <c r="BS504" s="22" t="s">
        <v>1309</v>
      </c>
      <c r="BT504" s="22" t="s">
        <v>1315</v>
      </c>
      <c r="BU504" s="22" t="s">
        <v>1315</v>
      </c>
      <c r="BV504" s="22" t="s">
        <v>1317</v>
      </c>
      <c r="BW504" s="22" t="s">
        <v>1318</v>
      </c>
      <c r="BX504" s="20">
        <v>0</v>
      </c>
      <c r="BY504" s="20">
        <v>10</v>
      </c>
      <c r="BZ504" s="20">
        <v>5</v>
      </c>
      <c r="CA504" s="20">
        <v>0</v>
      </c>
      <c r="CB504" s="20">
        <v>45</v>
      </c>
      <c r="CC504" s="20">
        <v>193</v>
      </c>
      <c r="CD504" s="22" t="s">
        <v>1317</v>
      </c>
      <c r="CE504" s="22" t="s">
        <v>1318</v>
      </c>
      <c r="CF504" s="22" t="s">
        <v>1315</v>
      </c>
      <c r="CG504" s="22" t="s">
        <v>1315</v>
      </c>
      <c r="CH504" s="22" t="s">
        <v>1317</v>
      </c>
      <c r="CI504" s="22" t="s">
        <v>1318</v>
      </c>
      <c r="CJ504" s="149" t="s">
        <v>1124</v>
      </c>
      <c r="CK504" s="241" t="s">
        <v>1386</v>
      </c>
    </row>
    <row r="505" spans="1:89" ht="15" customHeight="1" x14ac:dyDescent="0.35">
      <c r="A505" s="17"/>
      <c r="B505" s="313">
        <v>96040</v>
      </c>
      <c r="C505" s="8" t="s">
        <v>1001</v>
      </c>
      <c r="D505" s="18">
        <v>9</v>
      </c>
      <c r="E505" s="131" t="s">
        <v>1309</v>
      </c>
      <c r="F505" s="22" t="s">
        <v>1309</v>
      </c>
      <c r="G505" s="132" t="s">
        <v>1309</v>
      </c>
      <c r="H505" s="22" t="s">
        <v>1311</v>
      </c>
      <c r="I505" s="22" t="s">
        <v>1315</v>
      </c>
      <c r="J505" s="22" t="s">
        <v>1315</v>
      </c>
      <c r="K505" s="22" t="s">
        <v>1314</v>
      </c>
      <c r="L505" s="22" t="s">
        <v>1309</v>
      </c>
      <c r="M505" s="133" t="s">
        <v>1311</v>
      </c>
      <c r="N505" s="22" t="s">
        <v>1311</v>
      </c>
      <c r="O505" s="22" t="s">
        <v>1314</v>
      </c>
      <c r="P505" s="22" t="s">
        <v>1318</v>
      </c>
      <c r="Q505" s="20">
        <v>0</v>
      </c>
      <c r="R505" s="20">
        <v>0</v>
      </c>
      <c r="S505" s="20">
        <v>0</v>
      </c>
      <c r="T505" s="20">
        <v>0</v>
      </c>
      <c r="U505" s="20">
        <v>0</v>
      </c>
      <c r="V505" s="20">
        <v>0</v>
      </c>
      <c r="W505" s="20">
        <v>0</v>
      </c>
      <c r="X505" s="20">
        <v>0</v>
      </c>
      <c r="Y505" s="20">
        <v>0</v>
      </c>
      <c r="Z505" s="20">
        <v>0</v>
      </c>
      <c r="AA505" s="20" t="s">
        <v>1317</v>
      </c>
      <c r="AB505" s="22" t="s">
        <v>1311</v>
      </c>
      <c r="AC505" s="20">
        <v>0</v>
      </c>
      <c r="AD505" s="20">
        <v>2</v>
      </c>
      <c r="AE505" s="20">
        <v>1</v>
      </c>
      <c r="AF505" s="20">
        <v>0</v>
      </c>
      <c r="AG505" s="20">
        <v>2</v>
      </c>
      <c r="AH505" s="20">
        <v>6</v>
      </c>
      <c r="AI505" s="328" t="s">
        <v>1328</v>
      </c>
      <c r="AJ505" s="328">
        <v>3.1847133757961785</v>
      </c>
      <c r="AK505" s="328">
        <v>1.5923566878980893</v>
      </c>
      <c r="AL505" s="22" t="s">
        <v>1329</v>
      </c>
      <c r="AM505" s="22" t="s">
        <v>1330</v>
      </c>
      <c r="AN505" s="22" t="s">
        <v>1315</v>
      </c>
      <c r="AO505" s="22" t="s">
        <v>1315</v>
      </c>
      <c r="AP505" s="22" t="s">
        <v>1315</v>
      </c>
      <c r="AQ505" s="22" t="s">
        <v>1315</v>
      </c>
      <c r="AR505" s="22" t="s">
        <v>1317</v>
      </c>
      <c r="AS505" s="22" t="s">
        <v>1318</v>
      </c>
      <c r="AT505" s="22" t="s">
        <v>1317</v>
      </c>
      <c r="AU505" s="22" t="s">
        <v>1318</v>
      </c>
      <c r="AV505" s="22" t="s">
        <v>1317</v>
      </c>
      <c r="AW505" s="22" t="s">
        <v>1318</v>
      </c>
      <c r="AX505" s="22" t="s">
        <v>1317</v>
      </c>
      <c r="AY505" s="22" t="s">
        <v>1318</v>
      </c>
      <c r="AZ505" s="22" t="s">
        <v>1309</v>
      </c>
      <c r="BA505" s="22" t="s">
        <v>1309</v>
      </c>
      <c r="BB505" s="22" t="s">
        <v>1309</v>
      </c>
      <c r="BC505" s="22" t="s">
        <v>1309</v>
      </c>
      <c r="BD505" s="22" t="s">
        <v>1317</v>
      </c>
      <c r="BE505" s="22" t="s">
        <v>1318</v>
      </c>
      <c r="BF505" s="22" t="s">
        <v>1319</v>
      </c>
      <c r="BG505" s="22" t="s">
        <v>1311</v>
      </c>
      <c r="BH505" s="22" t="s">
        <v>1315</v>
      </c>
      <c r="BI505" s="22" t="s">
        <v>1315</v>
      </c>
      <c r="BJ505" s="22" t="s">
        <v>1317</v>
      </c>
      <c r="BK505" s="22" t="s">
        <v>1318</v>
      </c>
      <c r="BL505" s="22" t="s">
        <v>1309</v>
      </c>
      <c r="BM505" s="22" t="s">
        <v>1309</v>
      </c>
      <c r="BN505" s="22" t="s">
        <v>1309</v>
      </c>
      <c r="BO505" s="22" t="s">
        <v>1309</v>
      </c>
      <c r="BP505" s="22" t="s">
        <v>1315</v>
      </c>
      <c r="BQ505" s="22" t="s">
        <v>1315</v>
      </c>
      <c r="BR505" s="22" t="s">
        <v>1309</v>
      </c>
      <c r="BS505" s="22" t="s">
        <v>1309</v>
      </c>
      <c r="BT505" s="22" t="s">
        <v>1319</v>
      </c>
      <c r="BU505" s="22" t="s">
        <v>1311</v>
      </c>
      <c r="BV505" s="22" t="s">
        <v>1317</v>
      </c>
      <c r="BW505" s="22" t="s">
        <v>1318</v>
      </c>
      <c r="BX505" s="20">
        <v>0</v>
      </c>
      <c r="BY505" s="20">
        <v>22</v>
      </c>
      <c r="BZ505" s="20">
        <v>0</v>
      </c>
      <c r="CA505" s="20">
        <v>0</v>
      </c>
      <c r="CB505" s="20">
        <v>17</v>
      </c>
      <c r="CC505" s="20">
        <v>604</v>
      </c>
      <c r="CD505" s="22" t="s">
        <v>1331</v>
      </c>
      <c r="CE505" s="22" t="s">
        <v>1331</v>
      </c>
      <c r="CF505" s="22" t="s">
        <v>1345</v>
      </c>
      <c r="CG505" s="22" t="s">
        <v>1331</v>
      </c>
      <c r="CH505" s="22" t="s">
        <v>1315</v>
      </c>
      <c r="CI505" s="22" t="s">
        <v>1315</v>
      </c>
      <c r="CJ505" s="149" t="s">
        <v>2477</v>
      </c>
      <c r="CK505" s="241" t="s">
        <v>1124</v>
      </c>
    </row>
    <row r="506" spans="1:89" ht="15" customHeight="1" x14ac:dyDescent="0.35">
      <c r="A506" s="17"/>
      <c r="B506" s="313">
        <v>87010</v>
      </c>
      <c r="C506" s="8" t="s">
        <v>891</v>
      </c>
      <c r="D506" s="18">
        <v>8</v>
      </c>
      <c r="E506" s="131"/>
      <c r="F506" s="22"/>
      <c r="G506" s="132"/>
      <c r="H506" s="22"/>
      <c r="I506" s="22"/>
      <c r="J506" s="22"/>
      <c r="K506" s="22"/>
      <c r="L506" s="22"/>
      <c r="M506" s="133"/>
      <c r="N506" s="22"/>
      <c r="O506" s="22"/>
      <c r="P506" s="22"/>
      <c r="Q506" s="20"/>
      <c r="R506" s="20"/>
      <c r="S506" s="20"/>
      <c r="T506" s="20"/>
      <c r="U506" s="20"/>
      <c r="V506" s="20"/>
      <c r="W506" s="20"/>
      <c r="X506" s="20"/>
      <c r="Y506" s="20"/>
      <c r="Z506" s="20"/>
      <c r="AA506" s="20"/>
      <c r="AB506" s="22"/>
      <c r="AC506" s="20"/>
      <c r="AD506" s="20"/>
      <c r="AE506" s="20"/>
      <c r="AF506" s="20" t="s">
        <v>1124</v>
      </c>
      <c r="AG506" s="20" t="s">
        <v>1124</v>
      </c>
      <c r="AH506" s="20" t="s">
        <v>1124</v>
      </c>
      <c r="AI506" s="328"/>
      <c r="AJ506" s="328"/>
      <c r="AK506" s="328"/>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0"/>
      <c r="BY506" s="20"/>
      <c r="BZ506" s="20"/>
      <c r="CA506" s="20"/>
      <c r="CB506" s="20"/>
      <c r="CC506" s="20"/>
      <c r="CD506" s="22"/>
      <c r="CE506" s="22"/>
      <c r="CF506" s="22"/>
      <c r="CG506" s="22"/>
      <c r="CH506" s="22"/>
      <c r="CI506" s="22"/>
      <c r="CJ506" s="149"/>
      <c r="CK506" s="241"/>
    </row>
    <row r="507" spans="1:89" ht="15" customHeight="1" x14ac:dyDescent="0.35">
      <c r="A507" s="17"/>
      <c r="B507" s="313">
        <v>84100</v>
      </c>
      <c r="C507" s="8" t="s">
        <v>869</v>
      </c>
      <c r="D507" s="18">
        <v>7</v>
      </c>
      <c r="E507" s="131"/>
      <c r="F507" s="22"/>
      <c r="G507" s="132"/>
      <c r="H507" s="22"/>
      <c r="I507" s="22"/>
      <c r="J507" s="22"/>
      <c r="K507" s="22"/>
      <c r="L507" s="22"/>
      <c r="M507" s="133"/>
      <c r="N507" s="22"/>
      <c r="O507" s="22"/>
      <c r="P507" s="22"/>
      <c r="Q507" s="20"/>
      <c r="R507" s="20"/>
      <c r="S507" s="20"/>
      <c r="T507" s="20"/>
      <c r="U507" s="20"/>
      <c r="V507" s="20"/>
      <c r="W507" s="20"/>
      <c r="X507" s="20"/>
      <c r="Y507" s="20"/>
      <c r="Z507" s="20"/>
      <c r="AA507" s="20"/>
      <c r="AB507" s="22"/>
      <c r="AC507" s="20"/>
      <c r="AD507" s="20"/>
      <c r="AE507" s="20"/>
      <c r="AF507" s="20" t="s">
        <v>1124</v>
      </c>
      <c r="AG507" s="20" t="s">
        <v>1124</v>
      </c>
      <c r="AH507" s="20" t="s">
        <v>1124</v>
      </c>
      <c r="AI507" s="328"/>
      <c r="AJ507" s="328"/>
      <c r="AK507" s="328"/>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0"/>
      <c r="BY507" s="20"/>
      <c r="BZ507" s="20"/>
      <c r="CA507" s="20"/>
      <c r="CB507" s="20"/>
      <c r="CC507" s="20"/>
      <c r="CD507" s="22"/>
      <c r="CE507" s="22"/>
      <c r="CF507" s="22"/>
      <c r="CG507" s="22"/>
      <c r="CH507" s="22"/>
      <c r="CI507" s="22"/>
      <c r="CJ507" s="149"/>
      <c r="CK507" s="241"/>
    </row>
    <row r="508" spans="1:89" ht="15" customHeight="1" x14ac:dyDescent="0.35">
      <c r="A508" s="17"/>
      <c r="B508" s="313">
        <v>62037</v>
      </c>
      <c r="C508" s="8" t="s">
        <v>624</v>
      </c>
      <c r="D508" s="18">
        <v>14</v>
      </c>
      <c r="E508" s="131" t="s">
        <v>1309</v>
      </c>
      <c r="F508" s="22" t="s">
        <v>1309</v>
      </c>
      <c r="G508" s="132" t="s">
        <v>1309</v>
      </c>
      <c r="H508" s="22" t="s">
        <v>1311</v>
      </c>
      <c r="I508" s="22" t="s">
        <v>1327</v>
      </c>
      <c r="J508" s="22" t="s">
        <v>1327</v>
      </c>
      <c r="K508" s="22" t="s">
        <v>1314</v>
      </c>
      <c r="L508" s="22" t="s">
        <v>1311</v>
      </c>
      <c r="M508" s="133" t="s">
        <v>1311</v>
      </c>
      <c r="N508" s="22" t="s">
        <v>1311</v>
      </c>
      <c r="O508" s="22" t="s">
        <v>1314</v>
      </c>
      <c r="P508" s="22" t="s">
        <v>1311</v>
      </c>
      <c r="Q508" s="20">
        <v>0</v>
      </c>
      <c r="R508" s="20">
        <v>0</v>
      </c>
      <c r="S508" s="20">
        <v>91.78</v>
      </c>
      <c r="T508" s="20">
        <v>91.78</v>
      </c>
      <c r="U508" s="20">
        <v>91.78</v>
      </c>
      <c r="V508" s="20">
        <v>91.78</v>
      </c>
      <c r="W508" s="20">
        <v>0</v>
      </c>
      <c r="X508" s="20">
        <v>0</v>
      </c>
      <c r="Y508" s="20">
        <v>0</v>
      </c>
      <c r="Z508" s="20">
        <v>0</v>
      </c>
      <c r="AA508" s="20" t="s">
        <v>1309</v>
      </c>
      <c r="AB508" s="22" t="s">
        <v>1311</v>
      </c>
      <c r="AC508" s="20">
        <v>6</v>
      </c>
      <c r="AD508" s="20">
        <v>1</v>
      </c>
      <c r="AE508" s="20">
        <v>4</v>
      </c>
      <c r="AF508" s="20">
        <v>1</v>
      </c>
      <c r="AG508" s="20">
        <v>1</v>
      </c>
      <c r="AH508" s="20">
        <v>7</v>
      </c>
      <c r="AI508" s="328">
        <v>6.3271116735210375</v>
      </c>
      <c r="AJ508" s="328">
        <v>0.31545741324921134</v>
      </c>
      <c r="AK508" s="328">
        <v>1.2618296529968454</v>
      </c>
      <c r="AL508" s="22" t="s">
        <v>1329</v>
      </c>
      <c r="AM508" s="22" t="s">
        <v>1330</v>
      </c>
      <c r="AN508" s="22" t="s">
        <v>1317</v>
      </c>
      <c r="AO508" s="22" t="s">
        <v>1318</v>
      </c>
      <c r="AP508" s="22" t="s">
        <v>1318</v>
      </c>
      <c r="AQ508" s="22" t="s">
        <v>1318</v>
      </c>
      <c r="AR508" s="22" t="s">
        <v>1317</v>
      </c>
      <c r="AS508" s="22" t="s">
        <v>1318</v>
      </c>
      <c r="AT508" s="22" t="s">
        <v>1317</v>
      </c>
      <c r="AU508" s="22" t="s">
        <v>1318</v>
      </c>
      <c r="AV508" s="22" t="s">
        <v>1317</v>
      </c>
      <c r="AW508" s="22" t="s">
        <v>1318</v>
      </c>
      <c r="AX508" s="22" t="s">
        <v>1317</v>
      </c>
      <c r="AY508" s="22" t="s">
        <v>1311</v>
      </c>
      <c r="AZ508" s="22" t="s">
        <v>1317</v>
      </c>
      <c r="BA508" s="22" t="s">
        <v>1311</v>
      </c>
      <c r="BB508" s="22" t="s">
        <v>1309</v>
      </c>
      <c r="BC508" s="22" t="s">
        <v>1309</v>
      </c>
      <c r="BD508" s="22" t="s">
        <v>1317</v>
      </c>
      <c r="BE508" s="22" t="s">
        <v>1311</v>
      </c>
      <c r="BF508" s="22" t="s">
        <v>1319</v>
      </c>
      <c r="BG508" s="22" t="s">
        <v>1311</v>
      </c>
      <c r="BH508" s="22" t="s">
        <v>1309</v>
      </c>
      <c r="BI508" s="22" t="s">
        <v>1309</v>
      </c>
      <c r="BJ508" s="22" t="s">
        <v>1317</v>
      </c>
      <c r="BK508" s="22" t="s">
        <v>1318</v>
      </c>
      <c r="BL508" s="22" t="s">
        <v>1317</v>
      </c>
      <c r="BM508" s="22" t="s">
        <v>1318</v>
      </c>
      <c r="BN508" s="22" t="s">
        <v>1309</v>
      </c>
      <c r="BO508" s="22" t="s">
        <v>1309</v>
      </c>
      <c r="BP508" s="22" t="s">
        <v>1319</v>
      </c>
      <c r="BQ508" s="22" t="s">
        <v>1311</v>
      </c>
      <c r="BR508" s="22" t="s">
        <v>1309</v>
      </c>
      <c r="BS508" s="22" t="s">
        <v>1309</v>
      </c>
      <c r="BT508" s="22" t="s">
        <v>1309</v>
      </c>
      <c r="BU508" s="22" t="s">
        <v>1309</v>
      </c>
      <c r="BV508" s="22" t="s">
        <v>1317</v>
      </c>
      <c r="BW508" s="22" t="s">
        <v>1311</v>
      </c>
      <c r="BX508" s="20">
        <v>204</v>
      </c>
      <c r="BY508" s="20">
        <v>0</v>
      </c>
      <c r="BZ508" s="20">
        <v>27</v>
      </c>
      <c r="CA508" s="20">
        <v>42</v>
      </c>
      <c r="CB508" s="20">
        <v>60</v>
      </c>
      <c r="CC508" s="20">
        <v>2837</v>
      </c>
      <c r="CD508" s="22" t="s">
        <v>1331</v>
      </c>
      <c r="CE508" s="22" t="s">
        <v>1331</v>
      </c>
      <c r="CF508" s="22" t="s">
        <v>1331</v>
      </c>
      <c r="CG508" s="22" t="s">
        <v>1331</v>
      </c>
      <c r="CH508" s="22" t="s">
        <v>1317</v>
      </c>
      <c r="CI508" s="22" t="s">
        <v>1318</v>
      </c>
      <c r="CJ508" s="149" t="s">
        <v>1124</v>
      </c>
      <c r="CK508" s="241" t="s">
        <v>2483</v>
      </c>
    </row>
    <row r="509" spans="1:89" ht="15" customHeight="1" x14ac:dyDescent="0.35">
      <c r="A509" s="14"/>
      <c r="B509" s="313">
        <v>85105</v>
      </c>
      <c r="C509" s="8" t="s">
        <v>888</v>
      </c>
      <c r="D509" s="18">
        <v>8</v>
      </c>
      <c r="E509" s="131"/>
      <c r="F509" s="22"/>
      <c r="G509" s="132"/>
      <c r="H509" s="22"/>
      <c r="I509" s="22"/>
      <c r="J509" s="22"/>
      <c r="K509" s="22"/>
      <c r="L509" s="22"/>
      <c r="M509" s="133"/>
      <c r="N509" s="22"/>
      <c r="O509" s="22"/>
      <c r="P509" s="22"/>
      <c r="Q509" s="20"/>
      <c r="R509" s="20"/>
      <c r="S509" s="20"/>
      <c r="T509" s="20"/>
      <c r="U509" s="20"/>
      <c r="V509" s="20"/>
      <c r="W509" s="20"/>
      <c r="X509" s="20"/>
      <c r="Y509" s="20"/>
      <c r="Z509" s="20"/>
      <c r="AA509" s="20"/>
      <c r="AB509" s="22"/>
      <c r="AC509" s="20"/>
      <c r="AD509" s="20"/>
      <c r="AE509" s="20"/>
      <c r="AF509" s="20" t="s">
        <v>1124</v>
      </c>
      <c r="AG509" s="20" t="s">
        <v>1124</v>
      </c>
      <c r="AH509" s="20" t="s">
        <v>1124</v>
      </c>
      <c r="AI509" s="328"/>
      <c r="AJ509" s="328"/>
      <c r="AK509" s="328"/>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0"/>
      <c r="BY509" s="20"/>
      <c r="BZ509" s="20"/>
      <c r="CA509" s="20"/>
      <c r="CB509" s="20"/>
      <c r="CC509" s="20"/>
      <c r="CD509" s="22"/>
      <c r="CE509" s="22"/>
      <c r="CF509" s="22"/>
      <c r="CG509" s="22"/>
      <c r="CH509" s="22"/>
      <c r="CI509" s="22"/>
      <c r="CJ509" s="149"/>
      <c r="CK509" s="241"/>
    </row>
    <row r="510" spans="1:89" ht="15" customHeight="1" x14ac:dyDescent="0.35">
      <c r="A510" s="17"/>
      <c r="B510" s="313">
        <v>60013</v>
      </c>
      <c r="C510" s="8" t="s">
        <v>606</v>
      </c>
      <c r="D510" s="18">
        <v>14</v>
      </c>
      <c r="E510" s="131" t="s">
        <v>1309</v>
      </c>
      <c r="F510" s="22" t="s">
        <v>1309</v>
      </c>
      <c r="G510" s="132" t="s">
        <v>1309</v>
      </c>
      <c r="H510" s="22" t="s">
        <v>1311</v>
      </c>
      <c r="I510" s="22" t="s">
        <v>1327</v>
      </c>
      <c r="J510" s="22" t="s">
        <v>1327</v>
      </c>
      <c r="K510" s="22" t="s">
        <v>1309</v>
      </c>
      <c r="L510" s="22" t="s">
        <v>1309</v>
      </c>
      <c r="M510" s="133" t="s">
        <v>1311</v>
      </c>
      <c r="N510" s="22" t="s">
        <v>1311</v>
      </c>
      <c r="O510" s="22" t="s">
        <v>1309</v>
      </c>
      <c r="P510" s="22" t="s">
        <v>1309</v>
      </c>
      <c r="Q510" s="20">
        <v>0</v>
      </c>
      <c r="R510" s="20">
        <v>0</v>
      </c>
      <c r="S510" s="20">
        <v>0</v>
      </c>
      <c r="T510" s="20">
        <v>0</v>
      </c>
      <c r="U510" s="20">
        <v>0</v>
      </c>
      <c r="V510" s="20">
        <v>0</v>
      </c>
      <c r="W510" s="20">
        <v>0</v>
      </c>
      <c r="X510" s="20">
        <v>0</v>
      </c>
      <c r="Y510" s="20">
        <v>0</v>
      </c>
      <c r="Z510" s="20">
        <v>0</v>
      </c>
      <c r="AA510" s="20" t="s">
        <v>1317</v>
      </c>
      <c r="AB510" s="22" t="s">
        <v>1318</v>
      </c>
      <c r="AC510" s="20">
        <v>98</v>
      </c>
      <c r="AD510" s="20">
        <v>0</v>
      </c>
      <c r="AE510" s="20">
        <v>0</v>
      </c>
      <c r="AF510" s="20">
        <v>1</v>
      </c>
      <c r="AG510" s="20">
        <v>0</v>
      </c>
      <c r="AH510" s="20">
        <v>0</v>
      </c>
      <c r="AI510" s="328">
        <v>24.643796552886091</v>
      </c>
      <c r="AJ510" s="328" t="s">
        <v>1328</v>
      </c>
      <c r="AK510" s="328" t="s">
        <v>1328</v>
      </c>
      <c r="AL510" s="22" t="s">
        <v>1329</v>
      </c>
      <c r="AM510" s="22" t="s">
        <v>1330</v>
      </c>
      <c r="AN510" s="22" t="s">
        <v>1317</v>
      </c>
      <c r="AO510" s="22" t="s">
        <v>1318</v>
      </c>
      <c r="AP510" s="22" t="s">
        <v>1318</v>
      </c>
      <c r="AQ510" s="22" t="s">
        <v>1318</v>
      </c>
      <c r="AR510" s="22" t="s">
        <v>1317</v>
      </c>
      <c r="AS510" s="22" t="s">
        <v>1318</v>
      </c>
      <c r="AT510" s="22" t="s">
        <v>1317</v>
      </c>
      <c r="AU510" s="22" t="s">
        <v>1318</v>
      </c>
      <c r="AV510" s="22" t="s">
        <v>1317</v>
      </c>
      <c r="AW510" s="22" t="s">
        <v>1318</v>
      </c>
      <c r="AX510" s="22" t="s">
        <v>1317</v>
      </c>
      <c r="AY510" s="22" t="s">
        <v>1318</v>
      </c>
      <c r="AZ510" s="22" t="s">
        <v>1309</v>
      </c>
      <c r="BA510" s="22" t="s">
        <v>1309</v>
      </c>
      <c r="BB510" s="22" t="s">
        <v>1309</v>
      </c>
      <c r="BC510" s="22" t="s">
        <v>1309</v>
      </c>
      <c r="BD510" s="22" t="s">
        <v>1309</v>
      </c>
      <c r="BE510" s="22" t="s">
        <v>1309</v>
      </c>
      <c r="BF510" s="22" t="s">
        <v>1309</v>
      </c>
      <c r="BG510" s="22" t="s">
        <v>1309</v>
      </c>
      <c r="BH510" s="22" t="s">
        <v>1309</v>
      </c>
      <c r="BI510" s="22" t="s">
        <v>1309</v>
      </c>
      <c r="BJ510" s="22" t="s">
        <v>1309</v>
      </c>
      <c r="BK510" s="22" t="s">
        <v>1309</v>
      </c>
      <c r="BL510" s="22" t="s">
        <v>1309</v>
      </c>
      <c r="BM510" s="22" t="s">
        <v>1309</v>
      </c>
      <c r="BN510" s="22" t="s">
        <v>1317</v>
      </c>
      <c r="BO510" s="22" t="s">
        <v>1318</v>
      </c>
      <c r="BP510" s="22" t="s">
        <v>1309</v>
      </c>
      <c r="BQ510" s="22" t="s">
        <v>1309</v>
      </c>
      <c r="BR510" s="22" t="s">
        <v>1309</v>
      </c>
      <c r="BS510" s="22" t="s">
        <v>1309</v>
      </c>
      <c r="BT510" s="22" t="s">
        <v>1309</v>
      </c>
      <c r="BU510" s="22" t="s">
        <v>1309</v>
      </c>
      <c r="BV510" s="22" t="s">
        <v>1317</v>
      </c>
      <c r="BW510" s="22" t="s">
        <v>1318</v>
      </c>
      <c r="BX510" s="20">
        <v>920</v>
      </c>
      <c r="BY510" s="20">
        <v>0</v>
      </c>
      <c r="BZ510" s="20">
        <v>77</v>
      </c>
      <c r="CA510" s="20">
        <v>24513</v>
      </c>
      <c r="CB510" s="20">
        <v>89</v>
      </c>
      <c r="CC510" s="20">
        <v>8</v>
      </c>
      <c r="CD510" s="22" t="s">
        <v>1345</v>
      </c>
      <c r="CE510" s="22" t="s">
        <v>1318</v>
      </c>
      <c r="CF510" s="22" t="s">
        <v>1331</v>
      </c>
      <c r="CG510" s="22" t="s">
        <v>1331</v>
      </c>
      <c r="CH510" s="22" t="s">
        <v>1317</v>
      </c>
      <c r="CI510" s="22" t="s">
        <v>1318</v>
      </c>
      <c r="CJ510" s="149" t="s">
        <v>1124</v>
      </c>
      <c r="CK510" s="241" t="s">
        <v>1124</v>
      </c>
    </row>
    <row r="511" spans="1:89" ht="15" customHeight="1" x14ac:dyDescent="0.35">
      <c r="A511" s="17"/>
      <c r="B511" s="313">
        <v>55057</v>
      </c>
      <c r="C511" s="8" t="s">
        <v>565</v>
      </c>
      <c r="D511" s="18">
        <v>16</v>
      </c>
      <c r="E511" s="131"/>
      <c r="F511" s="22"/>
      <c r="G511" s="132"/>
      <c r="H511" s="22"/>
      <c r="I511" s="22"/>
      <c r="J511" s="22"/>
      <c r="K511" s="22"/>
      <c r="L511" s="22"/>
      <c r="M511" s="133"/>
      <c r="N511" s="22"/>
      <c r="O511" s="22"/>
      <c r="P511" s="22"/>
      <c r="Q511" s="20"/>
      <c r="R511" s="20"/>
      <c r="S511" s="20"/>
      <c r="T511" s="20"/>
      <c r="U511" s="20"/>
      <c r="V511" s="20"/>
      <c r="W511" s="20"/>
      <c r="X511" s="20"/>
      <c r="Y511" s="20"/>
      <c r="Z511" s="20"/>
      <c r="AA511" s="20"/>
      <c r="AB511" s="22"/>
      <c r="AC511" s="20"/>
      <c r="AD511" s="20"/>
      <c r="AE511" s="20"/>
      <c r="AF511" s="20" t="s">
        <v>1124</v>
      </c>
      <c r="AG511" s="20" t="s">
        <v>1124</v>
      </c>
      <c r="AH511" s="20" t="s">
        <v>1124</v>
      </c>
      <c r="AI511" s="328"/>
      <c r="AJ511" s="328"/>
      <c r="AK511" s="328"/>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0"/>
      <c r="BY511" s="20"/>
      <c r="BZ511" s="20"/>
      <c r="CA511" s="20"/>
      <c r="CB511" s="20"/>
      <c r="CC511" s="20"/>
      <c r="CD511" s="22"/>
      <c r="CE511" s="22"/>
      <c r="CF511" s="22"/>
      <c r="CG511" s="22"/>
      <c r="CH511" s="22"/>
      <c r="CI511" s="22"/>
      <c r="CJ511" s="149"/>
      <c r="CK511" s="241"/>
    </row>
    <row r="512" spans="1:89" ht="15" customHeight="1" x14ac:dyDescent="0.35">
      <c r="A512" s="17"/>
      <c r="B512" s="313">
        <v>42098</v>
      </c>
      <c r="C512" s="8" t="s">
        <v>394</v>
      </c>
      <c r="D512" s="18">
        <v>5</v>
      </c>
      <c r="E512" s="131" t="s">
        <v>1319</v>
      </c>
      <c r="F512" s="22" t="s">
        <v>1490</v>
      </c>
      <c r="G512" s="132" t="s">
        <v>1309</v>
      </c>
      <c r="H512" s="22" t="s">
        <v>1311</v>
      </c>
      <c r="I512" s="22" t="s">
        <v>1327</v>
      </c>
      <c r="J512" s="22" t="s">
        <v>1327</v>
      </c>
      <c r="K512" s="22" t="s">
        <v>1314</v>
      </c>
      <c r="L512" s="22" t="s">
        <v>1311</v>
      </c>
      <c r="M512" s="133" t="s">
        <v>1311</v>
      </c>
      <c r="N512" s="22" t="s">
        <v>1311</v>
      </c>
      <c r="O512" s="22" t="s">
        <v>1309</v>
      </c>
      <c r="P512" s="22" t="s">
        <v>1309</v>
      </c>
      <c r="Q512" s="20">
        <v>0</v>
      </c>
      <c r="R512" s="20">
        <v>0</v>
      </c>
      <c r="S512" s="20">
        <v>34.898000000000003</v>
      </c>
      <c r="T512" s="20">
        <v>0</v>
      </c>
      <c r="U512" s="20">
        <v>0</v>
      </c>
      <c r="V512" s="20">
        <v>34.898000000000003</v>
      </c>
      <c r="W512" s="20">
        <v>0</v>
      </c>
      <c r="X512" s="20">
        <v>0</v>
      </c>
      <c r="Y512" s="20">
        <v>0</v>
      </c>
      <c r="Z512" s="20">
        <v>0</v>
      </c>
      <c r="AA512" s="20" t="s">
        <v>1317</v>
      </c>
      <c r="AB512" s="22" t="s">
        <v>1311</v>
      </c>
      <c r="AC512" s="20">
        <v>10</v>
      </c>
      <c r="AD512" s="20">
        <v>0</v>
      </c>
      <c r="AE512" s="20">
        <v>0</v>
      </c>
      <c r="AF512" s="20">
        <v>2</v>
      </c>
      <c r="AG512" s="20">
        <v>0</v>
      </c>
      <c r="AH512" s="20">
        <v>0</v>
      </c>
      <c r="AI512" s="328">
        <v>28.654937245687428</v>
      </c>
      <c r="AJ512" s="328" t="s">
        <v>1328</v>
      </c>
      <c r="AK512" s="328" t="s">
        <v>1328</v>
      </c>
      <c r="AL512" s="22" t="s">
        <v>1329</v>
      </c>
      <c r="AM512" s="22" t="s">
        <v>1330</v>
      </c>
      <c r="AN512" s="22" t="s">
        <v>1317</v>
      </c>
      <c r="AO512" s="22" t="s">
        <v>1311</v>
      </c>
      <c r="AP512" s="22" t="s">
        <v>1318</v>
      </c>
      <c r="AQ512" s="22" t="s">
        <v>1318</v>
      </c>
      <c r="AR512" s="22" t="s">
        <v>1317</v>
      </c>
      <c r="AS512" s="22" t="s">
        <v>1318</v>
      </c>
      <c r="AT512" s="22" t="s">
        <v>1309</v>
      </c>
      <c r="AU512" s="22" t="s">
        <v>1309</v>
      </c>
      <c r="AV512" s="22" t="s">
        <v>1317</v>
      </c>
      <c r="AW512" s="22" t="s">
        <v>1318</v>
      </c>
      <c r="AX512" s="22" t="s">
        <v>1317</v>
      </c>
      <c r="AY512" s="22" t="s">
        <v>1318</v>
      </c>
      <c r="AZ512" s="22" t="s">
        <v>1309</v>
      </c>
      <c r="BA512" s="22" t="s">
        <v>1309</v>
      </c>
      <c r="BB512" s="22" t="s">
        <v>1309</v>
      </c>
      <c r="BC512" s="22" t="s">
        <v>1309</v>
      </c>
      <c r="BD512" s="22" t="s">
        <v>1309</v>
      </c>
      <c r="BE512" s="22" t="s">
        <v>1309</v>
      </c>
      <c r="BF512" s="22" t="s">
        <v>1317</v>
      </c>
      <c r="BG512" s="22" t="s">
        <v>1318</v>
      </c>
      <c r="BH512" s="22" t="s">
        <v>1317</v>
      </c>
      <c r="BI512" s="22" t="s">
        <v>1318</v>
      </c>
      <c r="BJ512" s="22" t="s">
        <v>1317</v>
      </c>
      <c r="BK512" s="22" t="s">
        <v>1318</v>
      </c>
      <c r="BL512" s="22" t="s">
        <v>1317</v>
      </c>
      <c r="BM512" s="22" t="s">
        <v>1311</v>
      </c>
      <c r="BN512" s="22" t="s">
        <v>1309</v>
      </c>
      <c r="BO512" s="22" t="s">
        <v>1309</v>
      </c>
      <c r="BP512" s="22" t="s">
        <v>1309</v>
      </c>
      <c r="BQ512" s="22" t="s">
        <v>1309</v>
      </c>
      <c r="BR512" s="22" t="s">
        <v>1317</v>
      </c>
      <c r="BS512" s="22" t="s">
        <v>1318</v>
      </c>
      <c r="BT512" s="22" t="s">
        <v>1309</v>
      </c>
      <c r="BU512" s="22" t="s">
        <v>1309</v>
      </c>
      <c r="BV512" s="22" t="s">
        <v>1317</v>
      </c>
      <c r="BW512" s="22" t="s">
        <v>1318</v>
      </c>
      <c r="BX512" s="20">
        <v>0</v>
      </c>
      <c r="BY512" s="20">
        <v>92</v>
      </c>
      <c r="BZ512" s="20">
        <v>164</v>
      </c>
      <c r="CA512" s="20">
        <v>0</v>
      </c>
      <c r="CB512" s="20">
        <v>21</v>
      </c>
      <c r="CC512" s="20">
        <v>946</v>
      </c>
      <c r="CD512" s="22" t="s">
        <v>1320</v>
      </c>
      <c r="CE512" s="22" t="s">
        <v>1321</v>
      </c>
      <c r="CF512" s="22" t="s">
        <v>1320</v>
      </c>
      <c r="CG512" s="22" t="s">
        <v>1321</v>
      </c>
      <c r="CH512" s="22" t="s">
        <v>1317</v>
      </c>
      <c r="CI512" s="22" t="s">
        <v>1318</v>
      </c>
      <c r="CJ512" s="149" t="s">
        <v>2490</v>
      </c>
      <c r="CK512" s="241" t="s">
        <v>2464</v>
      </c>
    </row>
    <row r="513" spans="1:89" ht="15" customHeight="1" x14ac:dyDescent="0.35">
      <c r="A513" s="17"/>
      <c r="B513" s="313">
        <v>71133</v>
      </c>
      <c r="C513" s="8" t="s">
        <v>725</v>
      </c>
      <c r="D513" s="18">
        <v>16</v>
      </c>
      <c r="E513" s="131"/>
      <c r="F513" s="22"/>
      <c r="G513" s="132"/>
      <c r="H513" s="22"/>
      <c r="I513" s="22"/>
      <c r="J513" s="22"/>
      <c r="K513" s="22"/>
      <c r="L513" s="22"/>
      <c r="M513" s="133"/>
      <c r="N513" s="22"/>
      <c r="O513" s="22"/>
      <c r="P513" s="22"/>
      <c r="Q513" s="20"/>
      <c r="R513" s="20"/>
      <c r="S513" s="20"/>
      <c r="T513" s="20"/>
      <c r="U513" s="20"/>
      <c r="V513" s="20"/>
      <c r="W513" s="20"/>
      <c r="X513" s="20"/>
      <c r="Y513" s="20"/>
      <c r="Z513" s="20"/>
      <c r="AA513" s="20"/>
      <c r="AB513" s="22"/>
      <c r="AC513" s="20"/>
      <c r="AD513" s="20"/>
      <c r="AE513" s="20"/>
      <c r="AF513" s="20" t="s">
        <v>1124</v>
      </c>
      <c r="AG513" s="20" t="s">
        <v>1124</v>
      </c>
      <c r="AH513" s="20" t="s">
        <v>1124</v>
      </c>
      <c r="AI513" s="328"/>
      <c r="AJ513" s="328"/>
      <c r="AK513" s="328"/>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0"/>
      <c r="BY513" s="20"/>
      <c r="BZ513" s="20"/>
      <c r="CA513" s="20"/>
      <c r="CB513" s="20"/>
      <c r="CC513" s="20"/>
      <c r="CD513" s="22"/>
      <c r="CE513" s="22"/>
      <c r="CF513" s="22"/>
      <c r="CG513" s="22"/>
      <c r="CH513" s="22"/>
      <c r="CI513" s="22"/>
      <c r="CJ513" s="149"/>
      <c r="CK513" s="241"/>
    </row>
    <row r="514" spans="1:89" ht="15" customHeight="1" x14ac:dyDescent="0.35">
      <c r="A514" s="17"/>
      <c r="B514" s="313">
        <v>10043</v>
      </c>
      <c r="C514" s="8" t="s">
        <v>13</v>
      </c>
      <c r="D514" s="18">
        <v>1</v>
      </c>
      <c r="E514" s="131" t="s">
        <v>1319</v>
      </c>
      <c r="F514" s="22" t="s">
        <v>1310</v>
      </c>
      <c r="G514" s="132" t="s">
        <v>1309</v>
      </c>
      <c r="H514" s="22" t="s">
        <v>1311</v>
      </c>
      <c r="I514" s="22" t="s">
        <v>1327</v>
      </c>
      <c r="J514" s="22" t="s">
        <v>1315</v>
      </c>
      <c r="K514" s="22" t="s">
        <v>1314</v>
      </c>
      <c r="L514" s="22" t="s">
        <v>1311</v>
      </c>
      <c r="M514" s="133" t="s">
        <v>1311</v>
      </c>
      <c r="N514" s="22" t="s">
        <v>1311</v>
      </c>
      <c r="O514" s="22" t="s">
        <v>1309</v>
      </c>
      <c r="P514" s="22" t="s">
        <v>1309</v>
      </c>
      <c r="Q514" s="20">
        <v>0</v>
      </c>
      <c r="R514" s="20">
        <v>0</v>
      </c>
      <c r="S514" s="20">
        <v>664.51800000000003</v>
      </c>
      <c r="T514" s="20">
        <v>664.51800000000003</v>
      </c>
      <c r="U514" s="20">
        <v>0</v>
      </c>
      <c r="V514" s="20">
        <v>0</v>
      </c>
      <c r="W514" s="20">
        <v>10</v>
      </c>
      <c r="X514" s="20">
        <v>0</v>
      </c>
      <c r="Y514" s="20">
        <v>0</v>
      </c>
      <c r="Z514" s="20">
        <v>0</v>
      </c>
      <c r="AA514" s="20" t="s">
        <v>1317</v>
      </c>
      <c r="AB514" s="22" t="s">
        <v>1318</v>
      </c>
      <c r="AC514" s="20">
        <v>34</v>
      </c>
      <c r="AD514" s="20">
        <v>56</v>
      </c>
      <c r="AE514" s="20">
        <v>10</v>
      </c>
      <c r="AF514" s="20">
        <v>5</v>
      </c>
      <c r="AG514" s="20">
        <v>5</v>
      </c>
      <c r="AH514" s="20">
        <v>5</v>
      </c>
      <c r="AI514" s="328">
        <v>10.232980897432427</v>
      </c>
      <c r="AJ514" s="328">
        <v>3.5508211273857078</v>
      </c>
      <c r="AK514" s="328">
        <v>0.6340752013188764</v>
      </c>
      <c r="AL514" s="22" t="s">
        <v>1329</v>
      </c>
      <c r="AM514" s="22" t="s">
        <v>1330</v>
      </c>
      <c r="AN514" s="22" t="s">
        <v>1317</v>
      </c>
      <c r="AO514" s="22" t="s">
        <v>1318</v>
      </c>
      <c r="AP514" s="22" t="s">
        <v>1318</v>
      </c>
      <c r="AQ514" s="22" t="s">
        <v>1318</v>
      </c>
      <c r="AR514" s="22" t="s">
        <v>1317</v>
      </c>
      <c r="AS514" s="22" t="s">
        <v>1318</v>
      </c>
      <c r="AT514" s="22" t="s">
        <v>1317</v>
      </c>
      <c r="AU514" s="22" t="s">
        <v>1311</v>
      </c>
      <c r="AV514" s="22" t="s">
        <v>1317</v>
      </c>
      <c r="AW514" s="22" t="s">
        <v>1318</v>
      </c>
      <c r="AX514" s="22" t="s">
        <v>1317</v>
      </c>
      <c r="AY514" s="22" t="s">
        <v>1318</v>
      </c>
      <c r="AZ514" s="22" t="s">
        <v>1309</v>
      </c>
      <c r="BA514" s="22" t="s">
        <v>1309</v>
      </c>
      <c r="BB514" s="22" t="s">
        <v>1309</v>
      </c>
      <c r="BC514" s="22" t="s">
        <v>1309</v>
      </c>
      <c r="BD514" s="22" t="s">
        <v>1309</v>
      </c>
      <c r="BE514" s="22" t="s">
        <v>1309</v>
      </c>
      <c r="BF514" s="22" t="s">
        <v>1317</v>
      </c>
      <c r="BG514" s="22" t="s">
        <v>1318</v>
      </c>
      <c r="BH514" s="22" t="s">
        <v>1309</v>
      </c>
      <c r="BI514" s="22" t="s">
        <v>1309</v>
      </c>
      <c r="BJ514" s="22" t="s">
        <v>1317</v>
      </c>
      <c r="BK514" s="22" t="s">
        <v>1311</v>
      </c>
      <c r="BL514" s="22" t="s">
        <v>1317</v>
      </c>
      <c r="BM514" s="22" t="s">
        <v>1318</v>
      </c>
      <c r="BN514" s="22" t="s">
        <v>1309</v>
      </c>
      <c r="BO514" s="22" t="s">
        <v>1309</v>
      </c>
      <c r="BP514" s="22" t="s">
        <v>1309</v>
      </c>
      <c r="BQ514" s="22" t="s">
        <v>1309</v>
      </c>
      <c r="BR514" s="22" t="s">
        <v>1309</v>
      </c>
      <c r="BS514" s="22" t="s">
        <v>1309</v>
      </c>
      <c r="BT514" s="22" t="s">
        <v>1309</v>
      </c>
      <c r="BU514" s="22" t="s">
        <v>1309</v>
      </c>
      <c r="BV514" s="22" t="s">
        <v>1309</v>
      </c>
      <c r="BW514" s="22" t="s">
        <v>1309</v>
      </c>
      <c r="BX514" s="20">
        <v>567</v>
      </c>
      <c r="BY514" s="20">
        <v>0</v>
      </c>
      <c r="BZ514" s="20">
        <v>342</v>
      </c>
      <c r="CA514" s="20">
        <v>108</v>
      </c>
      <c r="CB514" s="20">
        <v>0</v>
      </c>
      <c r="CC514" s="20">
        <v>14415</v>
      </c>
      <c r="CD514" s="22" t="s">
        <v>1345</v>
      </c>
      <c r="CE514" s="22" t="s">
        <v>1344</v>
      </c>
      <c r="CF514" s="22" t="s">
        <v>1331</v>
      </c>
      <c r="CG514" s="22" t="s">
        <v>1331</v>
      </c>
      <c r="CH514" s="22" t="s">
        <v>1413</v>
      </c>
      <c r="CI514" s="22" t="s">
        <v>1413</v>
      </c>
      <c r="CJ514" s="149" t="s">
        <v>1124</v>
      </c>
      <c r="CK514" s="241" t="s">
        <v>1124</v>
      </c>
    </row>
    <row r="515" spans="1:89" ht="15" customHeight="1" x14ac:dyDescent="0.35">
      <c r="A515" s="17"/>
      <c r="B515" s="313">
        <v>80078</v>
      </c>
      <c r="C515" s="8" t="s">
        <v>815</v>
      </c>
      <c r="D515" s="18">
        <v>7</v>
      </c>
      <c r="E515" s="131"/>
      <c r="F515" s="22"/>
      <c r="G515" s="132"/>
      <c r="H515" s="22"/>
      <c r="I515" s="22"/>
      <c r="J515" s="22"/>
      <c r="K515" s="22"/>
      <c r="L515" s="22"/>
      <c r="M515" s="133"/>
      <c r="N515" s="22"/>
      <c r="O515" s="22"/>
      <c r="P515" s="22"/>
      <c r="Q515" s="20"/>
      <c r="R515" s="20"/>
      <c r="S515" s="20"/>
      <c r="T515" s="20"/>
      <c r="U515" s="20"/>
      <c r="V515" s="20"/>
      <c r="W515" s="20"/>
      <c r="X515" s="20"/>
      <c r="Y515" s="20"/>
      <c r="Z515" s="20"/>
      <c r="AA515" s="20"/>
      <c r="AB515" s="22"/>
      <c r="AC515" s="20"/>
      <c r="AD515" s="20"/>
      <c r="AE515" s="20"/>
      <c r="AF515" s="20" t="s">
        <v>1124</v>
      </c>
      <c r="AG515" s="20" t="s">
        <v>1124</v>
      </c>
      <c r="AH515" s="20" t="s">
        <v>1124</v>
      </c>
      <c r="AI515" s="328"/>
      <c r="AJ515" s="328"/>
      <c r="AK515" s="328"/>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0"/>
      <c r="BY515" s="20"/>
      <c r="BZ515" s="20"/>
      <c r="CA515" s="20"/>
      <c r="CB515" s="20"/>
      <c r="CC515" s="20"/>
      <c r="CD515" s="22"/>
      <c r="CE515" s="22"/>
      <c r="CF515" s="22"/>
      <c r="CG515" s="22"/>
      <c r="CH515" s="22"/>
      <c r="CI515" s="22"/>
      <c r="CJ515" s="149"/>
      <c r="CK515" s="241"/>
    </row>
    <row r="516" spans="1:89" ht="15" customHeight="1" x14ac:dyDescent="0.35">
      <c r="A516" s="17"/>
      <c r="B516" s="313">
        <v>6035</v>
      </c>
      <c r="C516" s="8" t="s">
        <v>1062</v>
      </c>
      <c r="D516" s="18">
        <v>11</v>
      </c>
      <c r="E516" s="131"/>
      <c r="F516" s="22"/>
      <c r="G516" s="132"/>
      <c r="H516" s="22"/>
      <c r="I516" s="22"/>
      <c r="J516" s="22"/>
      <c r="K516" s="22"/>
      <c r="L516" s="22"/>
      <c r="M516" s="133"/>
      <c r="N516" s="22"/>
      <c r="O516" s="22"/>
      <c r="P516" s="22"/>
      <c r="Q516" s="20"/>
      <c r="R516" s="20"/>
      <c r="S516" s="20"/>
      <c r="T516" s="20"/>
      <c r="U516" s="20"/>
      <c r="V516" s="20"/>
      <c r="W516" s="20"/>
      <c r="X516" s="20"/>
      <c r="Y516" s="20"/>
      <c r="Z516" s="20"/>
      <c r="AA516" s="20"/>
      <c r="AB516" s="22"/>
      <c r="AC516" s="20"/>
      <c r="AD516" s="20"/>
      <c r="AE516" s="20"/>
      <c r="AF516" s="20" t="s">
        <v>1124</v>
      </c>
      <c r="AG516" s="20" t="s">
        <v>1124</v>
      </c>
      <c r="AH516" s="20" t="s">
        <v>1124</v>
      </c>
      <c r="AI516" s="328"/>
      <c r="AJ516" s="328"/>
      <c r="AK516" s="328"/>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0"/>
      <c r="BY516" s="20"/>
      <c r="BZ516" s="20"/>
      <c r="CA516" s="20"/>
      <c r="CB516" s="20"/>
      <c r="CC516" s="20"/>
      <c r="CD516" s="22"/>
      <c r="CE516" s="22"/>
      <c r="CF516" s="22"/>
      <c r="CG516" s="22"/>
      <c r="CH516" s="22"/>
      <c r="CI516" s="22"/>
      <c r="CJ516" s="149"/>
      <c r="CK516" s="241"/>
    </row>
    <row r="517" spans="1:89" ht="15" customHeight="1" x14ac:dyDescent="0.35">
      <c r="A517" s="17"/>
      <c r="B517" s="313">
        <v>4020</v>
      </c>
      <c r="C517" s="8" t="s">
        <v>1039</v>
      </c>
      <c r="D517" s="18">
        <v>11</v>
      </c>
      <c r="E517" s="131"/>
      <c r="F517" s="22"/>
      <c r="G517" s="132"/>
      <c r="H517" s="22"/>
      <c r="I517" s="22"/>
      <c r="J517" s="22"/>
      <c r="K517" s="22"/>
      <c r="L517" s="22"/>
      <c r="M517" s="133"/>
      <c r="N517" s="22"/>
      <c r="O517" s="22"/>
      <c r="P517" s="22"/>
      <c r="Q517" s="20"/>
      <c r="R517" s="20"/>
      <c r="S517" s="20"/>
      <c r="T517" s="20"/>
      <c r="U517" s="20"/>
      <c r="V517" s="20"/>
      <c r="W517" s="20"/>
      <c r="X517" s="20"/>
      <c r="Y517" s="20"/>
      <c r="Z517" s="20"/>
      <c r="AA517" s="20"/>
      <c r="AB517" s="22"/>
      <c r="AC517" s="20"/>
      <c r="AD517" s="20"/>
      <c r="AE517" s="20"/>
      <c r="AF517" s="20" t="s">
        <v>1124</v>
      </c>
      <c r="AG517" s="20" t="s">
        <v>1124</v>
      </c>
      <c r="AH517" s="20" t="s">
        <v>1124</v>
      </c>
      <c r="AI517" s="328"/>
      <c r="AJ517" s="328"/>
      <c r="AK517" s="328"/>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0"/>
      <c r="BY517" s="20"/>
      <c r="BZ517" s="20"/>
      <c r="CA517" s="20"/>
      <c r="CB517" s="20"/>
      <c r="CC517" s="20"/>
      <c r="CD517" s="22"/>
      <c r="CE517" s="22"/>
      <c r="CF517" s="22"/>
      <c r="CG517" s="22"/>
      <c r="CH517" s="22"/>
      <c r="CI517" s="22"/>
      <c r="CJ517" s="149"/>
      <c r="CK517" s="241"/>
    </row>
    <row r="518" spans="1:89" ht="15" customHeight="1" x14ac:dyDescent="0.35">
      <c r="A518" s="17"/>
      <c r="B518" s="313">
        <v>34135</v>
      </c>
      <c r="C518" s="8" t="s">
        <v>302</v>
      </c>
      <c r="D518" s="18">
        <v>3</v>
      </c>
      <c r="E518" s="131" t="s">
        <v>1309</v>
      </c>
      <c r="F518" s="22" t="s">
        <v>1309</v>
      </c>
      <c r="G518" s="132" t="s">
        <v>1309</v>
      </c>
      <c r="H518" s="22" t="s">
        <v>1311</v>
      </c>
      <c r="I518" s="22" t="s">
        <v>1327</v>
      </c>
      <c r="J518" s="22" t="s">
        <v>1327</v>
      </c>
      <c r="K518" s="22" t="s">
        <v>1319</v>
      </c>
      <c r="L518" s="22" t="s">
        <v>1311</v>
      </c>
      <c r="M518" s="133" t="s">
        <v>1311</v>
      </c>
      <c r="N518" s="22" t="s">
        <v>1311</v>
      </c>
      <c r="O518" s="22" t="s">
        <v>1314</v>
      </c>
      <c r="P518" s="22" t="s">
        <v>1318</v>
      </c>
      <c r="Q518" s="20">
        <v>0</v>
      </c>
      <c r="R518" s="20">
        <v>0</v>
      </c>
      <c r="S518" s="20">
        <v>0</v>
      </c>
      <c r="T518" s="20">
        <v>0</v>
      </c>
      <c r="U518" s="20">
        <v>6.41</v>
      </c>
      <c r="V518" s="20">
        <v>6.41</v>
      </c>
      <c r="W518" s="20">
        <v>0</v>
      </c>
      <c r="X518" s="20">
        <v>0</v>
      </c>
      <c r="Y518" s="20">
        <v>0</v>
      </c>
      <c r="Z518" s="20">
        <v>0</v>
      </c>
      <c r="AA518" s="20" t="s">
        <v>1309</v>
      </c>
      <c r="AB518" s="22" t="s">
        <v>1309</v>
      </c>
      <c r="AC518" s="20">
        <v>1</v>
      </c>
      <c r="AD518" s="20">
        <v>1</v>
      </c>
      <c r="AE518" s="20">
        <v>2</v>
      </c>
      <c r="AF518" s="20">
        <v>1</v>
      </c>
      <c r="AG518" s="20">
        <v>2</v>
      </c>
      <c r="AH518" s="20">
        <v>10</v>
      </c>
      <c r="AI518" s="328">
        <v>15.600624024960998</v>
      </c>
      <c r="AJ518" s="328">
        <v>5.0505050505050502</v>
      </c>
      <c r="AK518" s="328">
        <v>10.1010101010101</v>
      </c>
      <c r="AL518" s="22" t="s">
        <v>1329</v>
      </c>
      <c r="AM518" s="22" t="s">
        <v>1330</v>
      </c>
      <c r="AN518" s="22" t="s">
        <v>1317</v>
      </c>
      <c r="AO518" s="22" t="s">
        <v>1318</v>
      </c>
      <c r="AP518" s="22" t="s">
        <v>1318</v>
      </c>
      <c r="AQ518" s="22" t="s">
        <v>1318</v>
      </c>
      <c r="AR518" s="22" t="s">
        <v>1317</v>
      </c>
      <c r="AS518" s="22" t="s">
        <v>1318</v>
      </c>
      <c r="AT518" s="22" t="s">
        <v>1309</v>
      </c>
      <c r="AU518" s="22" t="s">
        <v>1309</v>
      </c>
      <c r="AV518" s="22" t="s">
        <v>1317</v>
      </c>
      <c r="AW518" s="22" t="s">
        <v>1318</v>
      </c>
      <c r="AX518" s="22" t="s">
        <v>1317</v>
      </c>
      <c r="AY518" s="22" t="s">
        <v>1318</v>
      </c>
      <c r="AZ518" s="22" t="s">
        <v>1309</v>
      </c>
      <c r="BA518" s="22" t="s">
        <v>1309</v>
      </c>
      <c r="BB518" s="22" t="s">
        <v>1309</v>
      </c>
      <c r="BC518" s="22" t="s">
        <v>1309</v>
      </c>
      <c r="BD518" s="22" t="s">
        <v>1317</v>
      </c>
      <c r="BE518" s="22" t="s">
        <v>1318</v>
      </c>
      <c r="BF518" s="22" t="s">
        <v>1317</v>
      </c>
      <c r="BG518" s="22" t="s">
        <v>1318</v>
      </c>
      <c r="BH518" s="22" t="s">
        <v>1309</v>
      </c>
      <c r="BI518" s="22" t="s">
        <v>1309</v>
      </c>
      <c r="BJ518" s="22" t="s">
        <v>1309</v>
      </c>
      <c r="BK518" s="22" t="s">
        <v>1309</v>
      </c>
      <c r="BL518" s="22" t="s">
        <v>1317</v>
      </c>
      <c r="BM518" s="22" t="s">
        <v>1318</v>
      </c>
      <c r="BN518" s="22" t="s">
        <v>1309</v>
      </c>
      <c r="BO518" s="22" t="s">
        <v>1309</v>
      </c>
      <c r="BP518" s="22" t="s">
        <v>1315</v>
      </c>
      <c r="BQ518" s="22" t="s">
        <v>1315</v>
      </c>
      <c r="BR518" s="22" t="s">
        <v>1317</v>
      </c>
      <c r="BS518" s="22" t="s">
        <v>1318</v>
      </c>
      <c r="BT518" s="22" t="s">
        <v>1309</v>
      </c>
      <c r="BU518" s="22" t="s">
        <v>1309</v>
      </c>
      <c r="BV518" s="22" t="s">
        <v>1317</v>
      </c>
      <c r="BW518" s="22" t="s">
        <v>1318</v>
      </c>
      <c r="BX518" s="20">
        <v>0</v>
      </c>
      <c r="BY518" s="20">
        <v>11</v>
      </c>
      <c r="BZ518" s="20">
        <v>0</v>
      </c>
      <c r="CA518" s="20">
        <v>0</v>
      </c>
      <c r="CB518" s="20">
        <v>0</v>
      </c>
      <c r="CC518" s="20">
        <v>187</v>
      </c>
      <c r="CD518" s="22" t="s">
        <v>1331</v>
      </c>
      <c r="CE518" s="22" t="s">
        <v>1331</v>
      </c>
      <c r="CF518" s="22" t="s">
        <v>1317</v>
      </c>
      <c r="CG518" s="22" t="s">
        <v>1340</v>
      </c>
      <c r="CH518" s="22" t="s">
        <v>1317</v>
      </c>
      <c r="CI518" s="22" t="s">
        <v>1318</v>
      </c>
      <c r="CJ518" s="149" t="s">
        <v>1124</v>
      </c>
      <c r="CK518" s="241" t="s">
        <v>2502</v>
      </c>
    </row>
    <row r="519" spans="1:89" ht="15" customHeight="1" x14ac:dyDescent="0.35">
      <c r="A519" s="17"/>
      <c r="B519" s="313">
        <v>98055</v>
      </c>
      <c r="C519" s="8" t="s">
        <v>1018</v>
      </c>
      <c r="D519" s="18">
        <v>9</v>
      </c>
      <c r="E519" s="131" t="s">
        <v>1309</v>
      </c>
      <c r="F519" s="22" t="s">
        <v>1309</v>
      </c>
      <c r="G519" s="132" t="s">
        <v>1309</v>
      </c>
      <c r="H519" s="22" t="s">
        <v>1311</v>
      </c>
      <c r="I519" s="22" t="s">
        <v>1327</v>
      </c>
      <c r="J519" s="22" t="s">
        <v>1327</v>
      </c>
      <c r="K519" s="22" t="s">
        <v>1319</v>
      </c>
      <c r="L519" s="22" t="s">
        <v>1311</v>
      </c>
      <c r="M519" s="133" t="s">
        <v>1311</v>
      </c>
      <c r="N519" s="22" t="s">
        <v>1311</v>
      </c>
      <c r="O519" s="22" t="s">
        <v>1314</v>
      </c>
      <c r="P519" s="22" t="s">
        <v>1318</v>
      </c>
      <c r="Q519" s="20">
        <v>0</v>
      </c>
      <c r="R519" s="20">
        <v>0</v>
      </c>
      <c r="S519" s="20">
        <v>0</v>
      </c>
      <c r="T519" s="20">
        <v>12.3</v>
      </c>
      <c r="U519" s="20">
        <v>0</v>
      </c>
      <c r="V519" s="20">
        <v>0</v>
      </c>
      <c r="W519" s="20">
        <v>0</v>
      </c>
      <c r="X519" s="20">
        <v>0</v>
      </c>
      <c r="Y519" s="20">
        <v>0</v>
      </c>
      <c r="Z519" s="20">
        <v>0</v>
      </c>
      <c r="AA519" s="20" t="s">
        <v>1317</v>
      </c>
      <c r="AB519" s="22" t="s">
        <v>1318</v>
      </c>
      <c r="AC519" s="20">
        <v>0</v>
      </c>
      <c r="AD519" s="20">
        <v>1</v>
      </c>
      <c r="AE519" s="20">
        <v>0</v>
      </c>
      <c r="AF519" s="20">
        <v>0</v>
      </c>
      <c r="AG519" s="20">
        <v>7</v>
      </c>
      <c r="AH519" s="20">
        <v>0</v>
      </c>
      <c r="AI519" s="328" t="s">
        <v>1328</v>
      </c>
      <c r="AJ519" s="328">
        <v>3.7037037037037037</v>
      </c>
      <c r="AK519" s="328" t="s">
        <v>1328</v>
      </c>
      <c r="AL519" s="22" t="s">
        <v>1329</v>
      </c>
      <c r="AM519" s="22" t="s">
        <v>1330</v>
      </c>
      <c r="AN519" s="22" t="s">
        <v>1317</v>
      </c>
      <c r="AO519" s="22" t="s">
        <v>1318</v>
      </c>
      <c r="AP519" s="22" t="s">
        <v>1318</v>
      </c>
      <c r="AQ519" s="22" t="s">
        <v>1318</v>
      </c>
      <c r="AR519" s="22" t="s">
        <v>1317</v>
      </c>
      <c r="AS519" s="22" t="s">
        <v>1318</v>
      </c>
      <c r="AT519" s="22" t="s">
        <v>1309</v>
      </c>
      <c r="AU519" s="22" t="s">
        <v>1309</v>
      </c>
      <c r="AV519" s="22" t="s">
        <v>1317</v>
      </c>
      <c r="AW519" s="22" t="s">
        <v>1318</v>
      </c>
      <c r="AX519" s="22" t="s">
        <v>1317</v>
      </c>
      <c r="AY519" s="22" t="s">
        <v>1318</v>
      </c>
      <c r="AZ519" s="22" t="s">
        <v>1309</v>
      </c>
      <c r="BA519" s="22" t="s">
        <v>1309</v>
      </c>
      <c r="BB519" s="22" t="s">
        <v>1309</v>
      </c>
      <c r="BC519" s="22" t="s">
        <v>1309</v>
      </c>
      <c r="BD519" s="22" t="s">
        <v>1317</v>
      </c>
      <c r="BE519" s="22" t="s">
        <v>1318</v>
      </c>
      <c r="BF519" s="22" t="s">
        <v>1317</v>
      </c>
      <c r="BG519" s="22" t="s">
        <v>1318</v>
      </c>
      <c r="BH519" s="22" t="s">
        <v>1317</v>
      </c>
      <c r="BI519" s="22" t="s">
        <v>1318</v>
      </c>
      <c r="BJ519" s="22" t="s">
        <v>1317</v>
      </c>
      <c r="BK519" s="22" t="s">
        <v>1311</v>
      </c>
      <c r="BL519" s="22" t="s">
        <v>1317</v>
      </c>
      <c r="BM519" s="22" t="s">
        <v>1318</v>
      </c>
      <c r="BN519" s="22" t="s">
        <v>1309</v>
      </c>
      <c r="BO519" s="22" t="s">
        <v>1309</v>
      </c>
      <c r="BP519" s="22" t="s">
        <v>1317</v>
      </c>
      <c r="BQ519" s="22" t="s">
        <v>1318</v>
      </c>
      <c r="BR519" s="22" t="s">
        <v>1317</v>
      </c>
      <c r="BS519" s="22" t="s">
        <v>1318</v>
      </c>
      <c r="BT519" s="22" t="s">
        <v>1309</v>
      </c>
      <c r="BU519" s="22" t="s">
        <v>1309</v>
      </c>
      <c r="BV519" s="22" t="s">
        <v>1317</v>
      </c>
      <c r="BW519" s="22" t="s">
        <v>1318</v>
      </c>
      <c r="BX519" s="20">
        <v>0</v>
      </c>
      <c r="BY519" s="20">
        <v>0</v>
      </c>
      <c r="BZ519" s="20">
        <v>24</v>
      </c>
      <c r="CA519" s="20">
        <v>0</v>
      </c>
      <c r="CB519" s="20">
        <v>0</v>
      </c>
      <c r="CC519" s="20">
        <v>248</v>
      </c>
      <c r="CD519" s="22" t="s">
        <v>1317</v>
      </c>
      <c r="CE519" s="22" t="s">
        <v>1331</v>
      </c>
      <c r="CF519" s="22" t="s">
        <v>1317</v>
      </c>
      <c r="CG519" s="22" t="s">
        <v>1331</v>
      </c>
      <c r="CH519" s="22" t="s">
        <v>1317</v>
      </c>
      <c r="CI519" s="22" t="s">
        <v>1318</v>
      </c>
      <c r="CJ519" s="149" t="s">
        <v>1124</v>
      </c>
      <c r="CK519" s="241" t="s">
        <v>2507</v>
      </c>
    </row>
    <row r="520" spans="1:89" ht="15" customHeight="1" x14ac:dyDescent="0.35">
      <c r="A520" s="17"/>
      <c r="B520" s="313">
        <v>71005</v>
      </c>
      <c r="C520" s="8" t="s">
        <v>704</v>
      </c>
      <c r="D520" s="18">
        <v>16</v>
      </c>
      <c r="E520" s="131"/>
      <c r="F520" s="22"/>
      <c r="G520" s="132"/>
      <c r="H520" s="22"/>
      <c r="I520" s="22"/>
      <c r="J520" s="22"/>
      <c r="K520" s="22"/>
      <c r="L520" s="22"/>
      <c r="M520" s="133"/>
      <c r="N520" s="22"/>
      <c r="O520" s="22"/>
      <c r="P520" s="22"/>
      <c r="Q520" s="20"/>
      <c r="R520" s="20"/>
      <c r="S520" s="20"/>
      <c r="T520" s="20"/>
      <c r="U520" s="20"/>
      <c r="V520" s="20"/>
      <c r="W520" s="20"/>
      <c r="X520" s="20"/>
      <c r="Y520" s="20"/>
      <c r="Z520" s="20"/>
      <c r="AA520" s="20"/>
      <c r="AB520" s="22"/>
      <c r="AC520" s="20"/>
      <c r="AD520" s="20"/>
      <c r="AE520" s="20"/>
      <c r="AF520" s="20" t="s">
        <v>1124</v>
      </c>
      <c r="AG520" s="20" t="s">
        <v>1124</v>
      </c>
      <c r="AH520" s="20" t="s">
        <v>1124</v>
      </c>
      <c r="AI520" s="328"/>
      <c r="AJ520" s="328"/>
      <c r="AK520" s="328"/>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0"/>
      <c r="BY520" s="20"/>
      <c r="BZ520" s="20"/>
      <c r="CA520" s="20"/>
      <c r="CB520" s="20"/>
      <c r="CC520" s="20"/>
      <c r="CD520" s="22"/>
      <c r="CE520" s="22"/>
      <c r="CF520" s="22"/>
      <c r="CG520" s="22"/>
      <c r="CH520" s="22"/>
      <c r="CI520" s="22"/>
      <c r="CJ520" s="149"/>
      <c r="CK520" s="241"/>
    </row>
    <row r="521" spans="1:89" ht="15" customHeight="1" x14ac:dyDescent="0.35">
      <c r="A521" s="17"/>
      <c r="B521" s="313">
        <v>13025</v>
      </c>
      <c r="C521" s="8" t="s">
        <v>45</v>
      </c>
      <c r="D521" s="18">
        <v>1</v>
      </c>
      <c r="E521" s="131" t="s">
        <v>1309</v>
      </c>
      <c r="F521" s="22" t="s">
        <v>1309</v>
      </c>
      <c r="G521" s="132" t="s">
        <v>1309</v>
      </c>
      <c r="H521" s="22" t="s">
        <v>1311</v>
      </c>
      <c r="I521" s="22" t="s">
        <v>1327</v>
      </c>
      <c r="J521" s="22" t="s">
        <v>1327</v>
      </c>
      <c r="K521" s="22" t="s">
        <v>1314</v>
      </c>
      <c r="L521" s="22" t="s">
        <v>1311</v>
      </c>
      <c r="M521" s="133" t="s">
        <v>1311</v>
      </c>
      <c r="N521" s="22" t="s">
        <v>1311</v>
      </c>
      <c r="O521" s="22" t="s">
        <v>1314</v>
      </c>
      <c r="P521" s="22" t="s">
        <v>1318</v>
      </c>
      <c r="Q521" s="20">
        <v>0</v>
      </c>
      <c r="R521" s="20">
        <v>0</v>
      </c>
      <c r="S521" s="20">
        <v>0.3</v>
      </c>
      <c r="T521" s="20">
        <v>2.5</v>
      </c>
      <c r="U521" s="20">
        <v>0.3</v>
      </c>
      <c r="V521" s="20">
        <v>2.5</v>
      </c>
      <c r="W521" s="20">
        <v>0</v>
      </c>
      <c r="X521" s="20">
        <v>0</v>
      </c>
      <c r="Y521" s="20">
        <v>0</v>
      </c>
      <c r="Z521" s="20">
        <v>0</v>
      </c>
      <c r="AA521" s="20" t="s">
        <v>1319</v>
      </c>
      <c r="AB521" s="22" t="s">
        <v>1311</v>
      </c>
      <c r="AC521" s="20">
        <v>0</v>
      </c>
      <c r="AD521" s="20">
        <v>0</v>
      </c>
      <c r="AE521" s="20">
        <v>0</v>
      </c>
      <c r="AF521" s="20">
        <v>0</v>
      </c>
      <c r="AG521" s="20">
        <v>0</v>
      </c>
      <c r="AH521" s="20">
        <v>0</v>
      </c>
      <c r="AI521" s="328" t="s">
        <v>1328</v>
      </c>
      <c r="AJ521" s="328" t="s">
        <v>1328</v>
      </c>
      <c r="AK521" s="328" t="s">
        <v>1328</v>
      </c>
      <c r="AL521" s="22" t="s">
        <v>1329</v>
      </c>
      <c r="AM521" s="22" t="s">
        <v>1330</v>
      </c>
      <c r="AN521" s="22" t="s">
        <v>1317</v>
      </c>
      <c r="AO521" s="22" t="s">
        <v>1311</v>
      </c>
      <c r="AP521" s="22" t="s">
        <v>1318</v>
      </c>
      <c r="AQ521" s="22" t="s">
        <v>1318</v>
      </c>
      <c r="AR521" s="22" t="s">
        <v>1317</v>
      </c>
      <c r="AS521" s="22" t="s">
        <v>1318</v>
      </c>
      <c r="AT521" s="22" t="s">
        <v>1317</v>
      </c>
      <c r="AU521" s="22" t="s">
        <v>1311</v>
      </c>
      <c r="AV521" s="22" t="s">
        <v>1317</v>
      </c>
      <c r="AW521" s="22" t="s">
        <v>1318</v>
      </c>
      <c r="AX521" s="22" t="s">
        <v>1317</v>
      </c>
      <c r="AY521" s="22" t="s">
        <v>1318</v>
      </c>
      <c r="AZ521" s="22" t="s">
        <v>1309</v>
      </c>
      <c r="BA521" s="22" t="s">
        <v>1311</v>
      </c>
      <c r="BB521" s="22" t="s">
        <v>1309</v>
      </c>
      <c r="BC521" s="22" t="s">
        <v>1309</v>
      </c>
      <c r="BD521" s="22" t="s">
        <v>1317</v>
      </c>
      <c r="BE521" s="22" t="s">
        <v>1318</v>
      </c>
      <c r="BF521" s="22" t="s">
        <v>1317</v>
      </c>
      <c r="BG521" s="22" t="s">
        <v>1318</v>
      </c>
      <c r="BH521" s="22" t="s">
        <v>1317</v>
      </c>
      <c r="BI521" s="22" t="s">
        <v>1318</v>
      </c>
      <c r="BJ521" s="22" t="s">
        <v>1317</v>
      </c>
      <c r="BK521" s="22" t="s">
        <v>1311</v>
      </c>
      <c r="BL521" s="22" t="s">
        <v>1309</v>
      </c>
      <c r="BM521" s="22" t="s">
        <v>1309</v>
      </c>
      <c r="BN521" s="22" t="s">
        <v>1309</v>
      </c>
      <c r="BO521" s="22" t="s">
        <v>1309</v>
      </c>
      <c r="BP521" s="22" t="s">
        <v>1317</v>
      </c>
      <c r="BQ521" s="22" t="s">
        <v>1311</v>
      </c>
      <c r="BR521" s="22" t="s">
        <v>1309</v>
      </c>
      <c r="BS521" s="22" t="s">
        <v>1309</v>
      </c>
      <c r="BT521" s="22" t="s">
        <v>1309</v>
      </c>
      <c r="BU521" s="22" t="s">
        <v>1309</v>
      </c>
      <c r="BV521" s="22" t="s">
        <v>1309</v>
      </c>
      <c r="BW521" s="22" t="s">
        <v>1309</v>
      </c>
      <c r="BX521" s="20">
        <v>0</v>
      </c>
      <c r="BY521" s="20">
        <v>0</v>
      </c>
      <c r="BZ521" s="20">
        <v>35</v>
      </c>
      <c r="CA521" s="20">
        <v>0</v>
      </c>
      <c r="CB521" s="20">
        <v>0</v>
      </c>
      <c r="CC521" s="20">
        <v>333</v>
      </c>
      <c r="CD521" s="22" t="s">
        <v>1317</v>
      </c>
      <c r="CE521" s="22" t="s">
        <v>1318</v>
      </c>
      <c r="CF521" s="22" t="s">
        <v>1317</v>
      </c>
      <c r="CG521" s="22" t="s">
        <v>1318</v>
      </c>
      <c r="CH521" s="22" t="s">
        <v>1317</v>
      </c>
      <c r="CI521" s="22" t="s">
        <v>1318</v>
      </c>
      <c r="CJ521" s="149" t="s">
        <v>1124</v>
      </c>
      <c r="CK521" s="241" t="s">
        <v>1502</v>
      </c>
    </row>
    <row r="522" spans="1:89" ht="15" customHeight="1" x14ac:dyDescent="0.35">
      <c r="A522" s="17"/>
      <c r="B522" s="313">
        <v>12072</v>
      </c>
      <c r="C522" s="8" t="s">
        <v>39</v>
      </c>
      <c r="D522" s="18">
        <v>1</v>
      </c>
      <c r="E522" s="131" t="s">
        <v>1309</v>
      </c>
      <c r="F522" s="22" t="s">
        <v>1309</v>
      </c>
      <c r="G522" s="132" t="s">
        <v>1309</v>
      </c>
      <c r="H522" s="22" t="s">
        <v>1311</v>
      </c>
      <c r="I522" s="22" t="s">
        <v>1349</v>
      </c>
      <c r="J522" s="22" t="s">
        <v>1313</v>
      </c>
      <c r="K522" s="22" t="s">
        <v>1309</v>
      </c>
      <c r="L522" s="22" t="s">
        <v>1309</v>
      </c>
      <c r="M522" s="133" t="s">
        <v>1311</v>
      </c>
      <c r="N522" s="22" t="s">
        <v>1311</v>
      </c>
      <c r="O522" s="22" t="s">
        <v>1319</v>
      </c>
      <c r="P522" s="22" t="s">
        <v>1311</v>
      </c>
      <c r="Q522" s="20">
        <v>0</v>
      </c>
      <c r="R522" s="20">
        <v>0</v>
      </c>
      <c r="S522" s="20">
        <v>0</v>
      </c>
      <c r="T522" s="20">
        <v>0</v>
      </c>
      <c r="U522" s="20">
        <v>75</v>
      </c>
      <c r="V522" s="20">
        <v>100</v>
      </c>
      <c r="W522" s="20">
        <v>30</v>
      </c>
      <c r="X522" s="20">
        <v>50</v>
      </c>
      <c r="Y522" s="20">
        <v>0</v>
      </c>
      <c r="Z522" s="20">
        <v>0</v>
      </c>
      <c r="AA522" s="20" t="s">
        <v>1309</v>
      </c>
      <c r="AB522" s="22" t="s">
        <v>1309</v>
      </c>
      <c r="AC522" s="20">
        <v>5</v>
      </c>
      <c r="AD522" s="20">
        <v>0</v>
      </c>
      <c r="AE522" s="20">
        <v>0</v>
      </c>
      <c r="AF522" s="20">
        <v>2</v>
      </c>
      <c r="AG522" s="20">
        <v>0</v>
      </c>
      <c r="AH522" s="20">
        <v>0</v>
      </c>
      <c r="AI522" s="328">
        <v>3.7450378248820315</v>
      </c>
      <c r="AJ522" s="328" t="s">
        <v>1328</v>
      </c>
      <c r="AK522" s="328" t="s">
        <v>1328</v>
      </c>
      <c r="AL522" s="22" t="s">
        <v>1329</v>
      </c>
      <c r="AM522" s="22" t="s">
        <v>1316</v>
      </c>
      <c r="AN522" s="22" t="s">
        <v>1317</v>
      </c>
      <c r="AO522" s="22" t="s">
        <v>1318</v>
      </c>
      <c r="AP522" s="22" t="s">
        <v>1318</v>
      </c>
      <c r="AQ522" s="22" t="s">
        <v>1318</v>
      </c>
      <c r="AR522" s="22" t="s">
        <v>1309</v>
      </c>
      <c r="AS522" s="22" t="s">
        <v>1309</v>
      </c>
      <c r="AT522" s="22" t="s">
        <v>1317</v>
      </c>
      <c r="AU522" s="22" t="s">
        <v>1311</v>
      </c>
      <c r="AV522" s="22" t="s">
        <v>1309</v>
      </c>
      <c r="AW522" s="22" t="s">
        <v>1309</v>
      </c>
      <c r="AX522" s="22" t="s">
        <v>1317</v>
      </c>
      <c r="AY522" s="22" t="s">
        <v>1318</v>
      </c>
      <c r="AZ522" s="22" t="s">
        <v>1309</v>
      </c>
      <c r="BA522" s="22" t="s">
        <v>1309</v>
      </c>
      <c r="BB522" s="22" t="s">
        <v>1309</v>
      </c>
      <c r="BC522" s="22" t="s">
        <v>1309</v>
      </c>
      <c r="BD522" s="22" t="s">
        <v>1317</v>
      </c>
      <c r="BE522" s="22" t="s">
        <v>1318</v>
      </c>
      <c r="BF522" s="22" t="s">
        <v>1317</v>
      </c>
      <c r="BG522" s="22" t="s">
        <v>1318</v>
      </c>
      <c r="BH522" s="22" t="s">
        <v>1309</v>
      </c>
      <c r="BI522" s="22" t="s">
        <v>1309</v>
      </c>
      <c r="BJ522" s="22" t="s">
        <v>1317</v>
      </c>
      <c r="BK522" s="22" t="s">
        <v>1318</v>
      </c>
      <c r="BL522" s="22" t="s">
        <v>1317</v>
      </c>
      <c r="BM522" s="22" t="s">
        <v>1318</v>
      </c>
      <c r="BN522" s="22" t="s">
        <v>1317</v>
      </c>
      <c r="BO522" s="22" t="s">
        <v>1311</v>
      </c>
      <c r="BP522" s="22" t="s">
        <v>1317</v>
      </c>
      <c r="BQ522" s="22" t="s">
        <v>1311</v>
      </c>
      <c r="BR522" s="22" t="s">
        <v>1319</v>
      </c>
      <c r="BS522" s="22" t="s">
        <v>1311</v>
      </c>
      <c r="BT522" s="22" t="s">
        <v>1319</v>
      </c>
      <c r="BU522" s="22" t="s">
        <v>1311</v>
      </c>
      <c r="BV522" s="22" t="s">
        <v>1317</v>
      </c>
      <c r="BW522" s="22" t="s">
        <v>1318</v>
      </c>
      <c r="BX522" s="20">
        <v>414</v>
      </c>
      <c r="BY522" s="20">
        <v>0</v>
      </c>
      <c r="BZ522" s="20">
        <v>95</v>
      </c>
      <c r="CA522" s="20">
        <v>66</v>
      </c>
      <c r="CB522" s="20">
        <v>0</v>
      </c>
      <c r="CC522" s="20">
        <v>5958</v>
      </c>
      <c r="CD522" s="22" t="s">
        <v>1345</v>
      </c>
      <c r="CE522" s="22" t="s">
        <v>1321</v>
      </c>
      <c r="CF522" s="22" t="s">
        <v>1331</v>
      </c>
      <c r="CG522" s="22" t="s">
        <v>1331</v>
      </c>
      <c r="CH522" s="22" t="s">
        <v>1317</v>
      </c>
      <c r="CI522" s="22" t="s">
        <v>1318</v>
      </c>
      <c r="CJ522" s="149" t="s">
        <v>1124</v>
      </c>
      <c r="CK522" s="241" t="s">
        <v>1124</v>
      </c>
    </row>
    <row r="523" spans="1:89" ht="15" customHeight="1" x14ac:dyDescent="0.35">
      <c r="A523" s="17"/>
      <c r="B523" s="313">
        <v>94215</v>
      </c>
      <c r="C523" s="8" t="s">
        <v>975</v>
      </c>
      <c r="D523" s="18">
        <v>2</v>
      </c>
      <c r="E523" s="131"/>
      <c r="F523" s="22"/>
      <c r="G523" s="132"/>
      <c r="H523" s="22"/>
      <c r="I523" s="22"/>
      <c r="J523" s="22"/>
      <c r="K523" s="22"/>
      <c r="L523" s="22"/>
      <c r="M523" s="133"/>
      <c r="N523" s="22"/>
      <c r="O523" s="22"/>
      <c r="P523" s="22"/>
      <c r="Q523" s="20"/>
      <c r="R523" s="20"/>
      <c r="S523" s="20"/>
      <c r="T523" s="20"/>
      <c r="U523" s="20"/>
      <c r="V523" s="20"/>
      <c r="W523" s="20"/>
      <c r="X523" s="20"/>
      <c r="Y523" s="20"/>
      <c r="Z523" s="20"/>
      <c r="AA523" s="20"/>
      <c r="AB523" s="22"/>
      <c r="AC523" s="20"/>
      <c r="AD523" s="20"/>
      <c r="AE523" s="20"/>
      <c r="AF523" s="20" t="s">
        <v>1124</v>
      </c>
      <c r="AG523" s="20" t="s">
        <v>1124</v>
      </c>
      <c r="AH523" s="20" t="s">
        <v>1124</v>
      </c>
      <c r="AI523" s="328"/>
      <c r="AJ523" s="328"/>
      <c r="AK523" s="328"/>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0"/>
      <c r="BY523" s="20"/>
      <c r="BZ523" s="20"/>
      <c r="CA523" s="20"/>
      <c r="CB523" s="20"/>
      <c r="CC523" s="20"/>
      <c r="CD523" s="22"/>
      <c r="CE523" s="22"/>
      <c r="CF523" s="22"/>
      <c r="CG523" s="22"/>
      <c r="CH523" s="22"/>
      <c r="CI523" s="22"/>
      <c r="CJ523" s="149"/>
      <c r="CK523" s="241"/>
    </row>
    <row r="524" spans="1:89" ht="15" customHeight="1" x14ac:dyDescent="0.35">
      <c r="A524" s="17"/>
      <c r="B524" s="313">
        <v>89010</v>
      </c>
      <c r="C524" s="8" t="s">
        <v>929</v>
      </c>
      <c r="D524" s="18">
        <v>8</v>
      </c>
      <c r="E524" s="131" t="s">
        <v>1309</v>
      </c>
      <c r="F524" s="22" t="s">
        <v>1309</v>
      </c>
      <c r="G524" s="132" t="s">
        <v>1309</v>
      </c>
      <c r="H524" s="22" t="s">
        <v>1311</v>
      </c>
      <c r="I524" s="22" t="s">
        <v>1315</v>
      </c>
      <c r="J524" s="22" t="s">
        <v>1315</v>
      </c>
      <c r="K524" s="22" t="s">
        <v>1314</v>
      </c>
      <c r="L524" s="22" t="s">
        <v>1311</v>
      </c>
      <c r="M524" s="133" t="s">
        <v>1311</v>
      </c>
      <c r="N524" s="22" t="s">
        <v>1311</v>
      </c>
      <c r="O524" s="22" t="s">
        <v>1314</v>
      </c>
      <c r="P524" s="22" t="s">
        <v>1318</v>
      </c>
      <c r="Q524" s="20">
        <v>3.15</v>
      </c>
      <c r="R524" s="20">
        <v>3.15</v>
      </c>
      <c r="S524" s="20">
        <v>0</v>
      </c>
      <c r="T524" s="20">
        <v>0</v>
      </c>
      <c r="U524" s="20">
        <v>0</v>
      </c>
      <c r="V524" s="20">
        <v>0</v>
      </c>
      <c r="W524" s="20">
        <v>0</v>
      </c>
      <c r="X524" s="20">
        <v>0</v>
      </c>
      <c r="Y524" s="20">
        <v>0</v>
      </c>
      <c r="Z524" s="20">
        <v>0</v>
      </c>
      <c r="AA524" s="20" t="s">
        <v>1317</v>
      </c>
      <c r="AB524" s="22" t="s">
        <v>1318</v>
      </c>
      <c r="AC524" s="20">
        <v>1</v>
      </c>
      <c r="AD524" s="20">
        <v>0</v>
      </c>
      <c r="AE524" s="20">
        <v>0</v>
      </c>
      <c r="AF524" s="20">
        <v>2</v>
      </c>
      <c r="AG524" s="20">
        <v>0</v>
      </c>
      <c r="AH524" s="20">
        <v>0</v>
      </c>
      <c r="AI524" s="328">
        <v>28.968713789107763</v>
      </c>
      <c r="AJ524" s="328" t="s">
        <v>1328</v>
      </c>
      <c r="AK524" s="328" t="s">
        <v>1328</v>
      </c>
      <c r="AL524" s="22" t="s">
        <v>1329</v>
      </c>
      <c r="AM524" s="22" t="s">
        <v>1330</v>
      </c>
      <c r="AN524" s="22" t="s">
        <v>1317</v>
      </c>
      <c r="AO524" s="22" t="s">
        <v>1318</v>
      </c>
      <c r="AP524" s="22" t="s">
        <v>1318</v>
      </c>
      <c r="AQ524" s="22" t="s">
        <v>1318</v>
      </c>
      <c r="AR524" s="22" t="s">
        <v>1317</v>
      </c>
      <c r="AS524" s="22" t="s">
        <v>1311</v>
      </c>
      <c r="AT524" s="22" t="s">
        <v>1319</v>
      </c>
      <c r="AU524" s="22" t="s">
        <v>1311</v>
      </c>
      <c r="AV524" s="22" t="s">
        <v>1317</v>
      </c>
      <c r="AW524" s="22" t="s">
        <v>1318</v>
      </c>
      <c r="AX524" s="22" t="s">
        <v>1317</v>
      </c>
      <c r="AY524" s="22" t="s">
        <v>1318</v>
      </c>
      <c r="AZ524" s="22" t="s">
        <v>1317</v>
      </c>
      <c r="BA524" s="22" t="s">
        <v>1318</v>
      </c>
      <c r="BB524" s="22" t="s">
        <v>1309</v>
      </c>
      <c r="BC524" s="22" t="s">
        <v>1309</v>
      </c>
      <c r="BD524" s="22" t="s">
        <v>1317</v>
      </c>
      <c r="BE524" s="22" t="s">
        <v>1318</v>
      </c>
      <c r="BF524" s="22" t="s">
        <v>1317</v>
      </c>
      <c r="BG524" s="22" t="s">
        <v>1318</v>
      </c>
      <c r="BH524" s="22" t="s">
        <v>1317</v>
      </c>
      <c r="BI524" s="22" t="s">
        <v>1318</v>
      </c>
      <c r="BJ524" s="22" t="s">
        <v>1309</v>
      </c>
      <c r="BK524" s="22" t="s">
        <v>1309</v>
      </c>
      <c r="BL524" s="22" t="s">
        <v>1319</v>
      </c>
      <c r="BM524" s="22" t="s">
        <v>1311</v>
      </c>
      <c r="BN524" s="22" t="s">
        <v>1309</v>
      </c>
      <c r="BO524" s="22" t="s">
        <v>1309</v>
      </c>
      <c r="BP524" s="22" t="s">
        <v>1317</v>
      </c>
      <c r="BQ524" s="22" t="s">
        <v>1318</v>
      </c>
      <c r="BR524" s="22" t="s">
        <v>1317</v>
      </c>
      <c r="BS524" s="22" t="s">
        <v>1318</v>
      </c>
      <c r="BT524" s="22" t="s">
        <v>1309</v>
      </c>
      <c r="BU524" s="22" t="s">
        <v>1309</v>
      </c>
      <c r="BV524" s="22" t="s">
        <v>1317</v>
      </c>
      <c r="BW524" s="22" t="s">
        <v>1318</v>
      </c>
      <c r="BX524" s="20">
        <v>0</v>
      </c>
      <c r="BY524" s="20">
        <v>0</v>
      </c>
      <c r="BZ524" s="20">
        <v>5</v>
      </c>
      <c r="CA524" s="20">
        <v>0</v>
      </c>
      <c r="CB524" s="20">
        <v>0</v>
      </c>
      <c r="CC524" s="20">
        <v>42</v>
      </c>
      <c r="CD524" s="22" t="s">
        <v>1317</v>
      </c>
      <c r="CE524" s="22" t="s">
        <v>1318</v>
      </c>
      <c r="CF524" s="22" t="s">
        <v>1317</v>
      </c>
      <c r="CG524" s="22" t="s">
        <v>1318</v>
      </c>
      <c r="CH524" s="22" t="s">
        <v>1317</v>
      </c>
      <c r="CI524" s="22" t="s">
        <v>1318</v>
      </c>
      <c r="CJ524" s="149" t="s">
        <v>1124</v>
      </c>
      <c r="CK524" s="241" t="s">
        <v>2517</v>
      </c>
    </row>
    <row r="525" spans="1:89" ht="15" customHeight="1" x14ac:dyDescent="0.35">
      <c r="A525" s="17"/>
      <c r="B525" s="313">
        <v>14065</v>
      </c>
      <c r="C525" s="8" t="s">
        <v>71</v>
      </c>
      <c r="D525" s="18">
        <v>1</v>
      </c>
      <c r="E525" s="131" t="s">
        <v>1309</v>
      </c>
      <c r="F525" s="22" t="s">
        <v>1309</v>
      </c>
      <c r="G525" s="132" t="s">
        <v>1309</v>
      </c>
      <c r="H525" s="22" t="s">
        <v>1311</v>
      </c>
      <c r="I525" s="22" t="s">
        <v>1327</v>
      </c>
      <c r="J525" s="22" t="s">
        <v>1327</v>
      </c>
      <c r="K525" s="22" t="s">
        <v>1309</v>
      </c>
      <c r="L525" s="22" t="s">
        <v>1309</v>
      </c>
      <c r="M525" s="133" t="s">
        <v>1311</v>
      </c>
      <c r="N525" s="22" t="s">
        <v>1311</v>
      </c>
      <c r="O525" s="22" t="s">
        <v>1314</v>
      </c>
      <c r="P525" s="22" t="s">
        <v>1311</v>
      </c>
      <c r="Q525" s="20">
        <v>0</v>
      </c>
      <c r="R525" s="20">
        <v>0</v>
      </c>
      <c r="S525" s="20">
        <v>0</v>
      </c>
      <c r="T525" s="20">
        <v>0</v>
      </c>
      <c r="U525" s="20">
        <v>0</v>
      </c>
      <c r="V525" s="20">
        <v>0</v>
      </c>
      <c r="W525" s="20">
        <v>0</v>
      </c>
      <c r="X525" s="20">
        <v>0</v>
      </c>
      <c r="Y525" s="20">
        <v>0</v>
      </c>
      <c r="Z525" s="20">
        <v>0</v>
      </c>
      <c r="AA525" s="20" t="s">
        <v>1317</v>
      </c>
      <c r="AB525" s="22" t="s">
        <v>1318</v>
      </c>
      <c r="AC525" s="20">
        <v>0</v>
      </c>
      <c r="AD525" s="20">
        <v>0</v>
      </c>
      <c r="AE525" s="20">
        <v>0</v>
      </c>
      <c r="AF525" s="20">
        <v>0</v>
      </c>
      <c r="AG525" s="20">
        <v>0</v>
      </c>
      <c r="AH525" s="20">
        <v>0</v>
      </c>
      <c r="AI525" s="328" t="s">
        <v>1328</v>
      </c>
      <c r="AJ525" s="328" t="s">
        <v>1328</v>
      </c>
      <c r="AK525" s="328" t="s">
        <v>1328</v>
      </c>
      <c r="AL525" s="22" t="s">
        <v>1329</v>
      </c>
      <c r="AM525" s="22" t="s">
        <v>1330</v>
      </c>
      <c r="AN525" s="22" t="s">
        <v>1317</v>
      </c>
      <c r="AO525" s="22" t="s">
        <v>1318</v>
      </c>
      <c r="AP525" s="22" t="s">
        <v>1318</v>
      </c>
      <c r="AQ525" s="22" t="s">
        <v>1318</v>
      </c>
      <c r="AR525" s="22" t="s">
        <v>1317</v>
      </c>
      <c r="AS525" s="22" t="s">
        <v>1318</v>
      </c>
      <c r="AT525" s="22" t="s">
        <v>1317</v>
      </c>
      <c r="AU525" s="22" t="s">
        <v>1318</v>
      </c>
      <c r="AV525" s="22" t="s">
        <v>1319</v>
      </c>
      <c r="AW525" s="22" t="s">
        <v>1311</v>
      </c>
      <c r="AX525" s="22" t="s">
        <v>1317</v>
      </c>
      <c r="AY525" s="22" t="s">
        <v>1318</v>
      </c>
      <c r="AZ525" s="22" t="s">
        <v>1317</v>
      </c>
      <c r="BA525" s="22" t="s">
        <v>1318</v>
      </c>
      <c r="BB525" s="22" t="s">
        <v>1309</v>
      </c>
      <c r="BC525" s="22" t="s">
        <v>1309</v>
      </c>
      <c r="BD525" s="22" t="s">
        <v>1317</v>
      </c>
      <c r="BE525" s="22" t="s">
        <v>1318</v>
      </c>
      <c r="BF525" s="22" t="s">
        <v>1309</v>
      </c>
      <c r="BG525" s="22" t="s">
        <v>1309</v>
      </c>
      <c r="BH525" s="22" t="s">
        <v>1317</v>
      </c>
      <c r="BI525" s="22" t="s">
        <v>1318</v>
      </c>
      <c r="BJ525" s="22" t="s">
        <v>1309</v>
      </c>
      <c r="BK525" s="22" t="s">
        <v>1309</v>
      </c>
      <c r="BL525" s="22" t="s">
        <v>1317</v>
      </c>
      <c r="BM525" s="22" t="s">
        <v>1318</v>
      </c>
      <c r="BN525" s="22" t="s">
        <v>1309</v>
      </c>
      <c r="BO525" s="22" t="s">
        <v>1309</v>
      </c>
      <c r="BP525" s="22" t="s">
        <v>1317</v>
      </c>
      <c r="BQ525" s="22" t="s">
        <v>1318</v>
      </c>
      <c r="BR525" s="22" t="s">
        <v>1309</v>
      </c>
      <c r="BS525" s="22" t="s">
        <v>1309</v>
      </c>
      <c r="BT525" s="22" t="s">
        <v>1315</v>
      </c>
      <c r="BU525" s="22" t="s">
        <v>1315</v>
      </c>
      <c r="BV525" s="22" t="s">
        <v>1309</v>
      </c>
      <c r="BW525" s="22" t="s">
        <v>1309</v>
      </c>
      <c r="BX525" s="20">
        <v>38</v>
      </c>
      <c r="BY525" s="20">
        <v>5</v>
      </c>
      <c r="BZ525" s="20">
        <v>5</v>
      </c>
      <c r="CA525" s="20">
        <v>23</v>
      </c>
      <c r="CB525" s="20">
        <v>0</v>
      </c>
      <c r="CC525" s="20">
        <v>231</v>
      </c>
      <c r="CD525" s="22" t="s">
        <v>1331</v>
      </c>
      <c r="CE525" s="22" t="s">
        <v>1331</v>
      </c>
      <c r="CF525" s="22" t="s">
        <v>1331</v>
      </c>
      <c r="CG525" s="22" t="s">
        <v>1331</v>
      </c>
      <c r="CH525" s="22" t="s">
        <v>1317</v>
      </c>
      <c r="CI525" s="22" t="s">
        <v>1318</v>
      </c>
      <c r="CJ525" s="149" t="s">
        <v>2520</v>
      </c>
      <c r="CK525" s="241" t="s">
        <v>1124</v>
      </c>
    </row>
    <row r="526" spans="1:89" ht="15" customHeight="1" x14ac:dyDescent="0.35">
      <c r="A526" s="17"/>
      <c r="B526" s="313">
        <v>79037</v>
      </c>
      <c r="C526" s="8" t="s">
        <v>792</v>
      </c>
      <c r="D526" s="18">
        <v>15</v>
      </c>
      <c r="E526" s="131" t="s">
        <v>1309</v>
      </c>
      <c r="F526" s="22" t="s">
        <v>1309</v>
      </c>
      <c r="G526" s="132" t="s">
        <v>1309</v>
      </c>
      <c r="H526" s="22" t="s">
        <v>1311</v>
      </c>
      <c r="I526" s="22" t="s">
        <v>1327</v>
      </c>
      <c r="J526" s="22" t="s">
        <v>1327</v>
      </c>
      <c r="K526" s="22" t="s">
        <v>1314</v>
      </c>
      <c r="L526" s="22" t="s">
        <v>1311</v>
      </c>
      <c r="M526" s="133" t="s">
        <v>1311</v>
      </c>
      <c r="N526" s="22" t="s">
        <v>1311</v>
      </c>
      <c r="O526" s="22" t="s">
        <v>1314</v>
      </c>
      <c r="P526" s="22" t="s">
        <v>1318</v>
      </c>
      <c r="Q526" s="20">
        <v>0</v>
      </c>
      <c r="R526" s="20">
        <v>0</v>
      </c>
      <c r="S526" s="20">
        <v>32.768999999999998</v>
      </c>
      <c r="T526" s="20">
        <v>65.537999999999997</v>
      </c>
      <c r="U526" s="20">
        <v>0</v>
      </c>
      <c r="V526" s="20">
        <v>0</v>
      </c>
      <c r="W526" s="20">
        <v>0</v>
      </c>
      <c r="X526" s="20">
        <v>0</v>
      </c>
      <c r="Y526" s="20">
        <v>0</v>
      </c>
      <c r="Z526" s="20">
        <v>0</v>
      </c>
      <c r="AA526" s="20" t="s">
        <v>1317</v>
      </c>
      <c r="AB526" s="22" t="s">
        <v>1318</v>
      </c>
      <c r="AC526" s="20">
        <v>6</v>
      </c>
      <c r="AD526" s="20">
        <v>1</v>
      </c>
      <c r="AE526" s="20">
        <v>2</v>
      </c>
      <c r="AF526" s="20">
        <v>3</v>
      </c>
      <c r="AG526" s="20">
        <v>1</v>
      </c>
      <c r="AH526" s="20">
        <v>3</v>
      </c>
      <c r="AI526" s="328">
        <v>18.309988098507734</v>
      </c>
      <c r="AJ526" s="328">
        <v>0.7142857142857143</v>
      </c>
      <c r="AK526" s="328">
        <v>1.4285714285714286</v>
      </c>
      <c r="AL526" s="22" t="s">
        <v>1329</v>
      </c>
      <c r="AM526" s="22" t="s">
        <v>1330</v>
      </c>
      <c r="AN526" s="22" t="s">
        <v>1315</v>
      </c>
      <c r="AO526" s="22" t="s">
        <v>1315</v>
      </c>
      <c r="AP526" s="22" t="s">
        <v>1350</v>
      </c>
      <c r="AQ526" s="22" t="s">
        <v>1350</v>
      </c>
      <c r="AR526" s="22" t="s">
        <v>1317</v>
      </c>
      <c r="AS526" s="22" t="s">
        <v>1318</v>
      </c>
      <c r="AT526" s="22" t="s">
        <v>1309</v>
      </c>
      <c r="AU526" s="22" t="s">
        <v>1309</v>
      </c>
      <c r="AV526" s="22" t="s">
        <v>1309</v>
      </c>
      <c r="AW526" s="22" t="s">
        <v>1309</v>
      </c>
      <c r="AX526" s="22" t="s">
        <v>1317</v>
      </c>
      <c r="AY526" s="22" t="s">
        <v>1318</v>
      </c>
      <c r="AZ526" s="22" t="s">
        <v>1309</v>
      </c>
      <c r="BA526" s="22" t="s">
        <v>1309</v>
      </c>
      <c r="BB526" s="22" t="s">
        <v>1309</v>
      </c>
      <c r="BC526" s="22" t="s">
        <v>1309</v>
      </c>
      <c r="BD526" s="22" t="s">
        <v>1317</v>
      </c>
      <c r="BE526" s="22" t="s">
        <v>1318</v>
      </c>
      <c r="BF526" s="22" t="s">
        <v>1319</v>
      </c>
      <c r="BG526" s="22" t="s">
        <v>1311</v>
      </c>
      <c r="BH526" s="22" t="s">
        <v>1309</v>
      </c>
      <c r="BI526" s="22" t="s">
        <v>1309</v>
      </c>
      <c r="BJ526" s="22" t="s">
        <v>1309</v>
      </c>
      <c r="BK526" s="22" t="s">
        <v>1309</v>
      </c>
      <c r="BL526" s="22" t="s">
        <v>1309</v>
      </c>
      <c r="BM526" s="22" t="s">
        <v>1309</v>
      </c>
      <c r="BN526" s="22" t="s">
        <v>1309</v>
      </c>
      <c r="BO526" s="22" t="s">
        <v>1309</v>
      </c>
      <c r="BP526" s="22" t="s">
        <v>1309</v>
      </c>
      <c r="BQ526" s="22" t="s">
        <v>1309</v>
      </c>
      <c r="BR526" s="22" t="s">
        <v>1309</v>
      </c>
      <c r="BS526" s="22" t="s">
        <v>1309</v>
      </c>
      <c r="BT526" s="22" t="s">
        <v>1309</v>
      </c>
      <c r="BU526" s="22" t="s">
        <v>1309</v>
      </c>
      <c r="BV526" s="22" t="s">
        <v>1317</v>
      </c>
      <c r="BW526" s="22" t="s">
        <v>1311</v>
      </c>
      <c r="BX526" s="20">
        <v>0</v>
      </c>
      <c r="BY526" s="20">
        <v>0</v>
      </c>
      <c r="BZ526" s="20">
        <v>131</v>
      </c>
      <c r="CA526" s="20">
        <v>0</v>
      </c>
      <c r="CB526" s="20">
        <v>0</v>
      </c>
      <c r="CC526" s="20">
        <v>1269</v>
      </c>
      <c r="CD526" s="22" t="s">
        <v>1317</v>
      </c>
      <c r="CE526" s="22" t="s">
        <v>1340</v>
      </c>
      <c r="CF526" s="22" t="s">
        <v>1317</v>
      </c>
      <c r="CG526" s="22" t="s">
        <v>1340</v>
      </c>
      <c r="CH526" s="22" t="s">
        <v>1317</v>
      </c>
      <c r="CI526" s="22" t="s">
        <v>1318</v>
      </c>
      <c r="CJ526" s="149" t="s">
        <v>3688</v>
      </c>
      <c r="CK526" s="241" t="s">
        <v>3689</v>
      </c>
    </row>
    <row r="527" spans="1:89" ht="15" customHeight="1" x14ac:dyDescent="0.35">
      <c r="A527" s="17"/>
      <c r="B527" s="313">
        <v>98050</v>
      </c>
      <c r="C527" s="8" t="s">
        <v>1017</v>
      </c>
      <c r="D527" s="18">
        <v>9</v>
      </c>
      <c r="E527" s="131" t="s">
        <v>1319</v>
      </c>
      <c r="F527" s="22" t="s">
        <v>1310</v>
      </c>
      <c r="G527" s="132" t="s">
        <v>1309</v>
      </c>
      <c r="H527" s="22" t="s">
        <v>1311</v>
      </c>
      <c r="I527" s="22" t="s">
        <v>1327</v>
      </c>
      <c r="J527" s="22" t="s">
        <v>1327</v>
      </c>
      <c r="K527" s="22" t="s">
        <v>1314</v>
      </c>
      <c r="L527" s="22" t="s">
        <v>1311</v>
      </c>
      <c r="M527" s="133" t="s">
        <v>1311</v>
      </c>
      <c r="N527" s="22" t="s">
        <v>1311</v>
      </c>
      <c r="O527" s="22" t="s">
        <v>1314</v>
      </c>
      <c r="P527" s="22" t="s">
        <v>1318</v>
      </c>
      <c r="Q527" s="20">
        <v>0</v>
      </c>
      <c r="R527" s="20">
        <v>0</v>
      </c>
      <c r="S527" s="20">
        <v>0</v>
      </c>
      <c r="T527" s="20">
        <v>0</v>
      </c>
      <c r="U527" s="20">
        <v>0</v>
      </c>
      <c r="V527" s="20">
        <v>0</v>
      </c>
      <c r="W527" s="20">
        <v>0</v>
      </c>
      <c r="X527" s="20">
        <v>0</v>
      </c>
      <c r="Y527" s="20">
        <v>0</v>
      </c>
      <c r="Z527" s="20">
        <v>0</v>
      </c>
      <c r="AA527" s="20" t="s">
        <v>1317</v>
      </c>
      <c r="AB527" s="22" t="s">
        <v>1318</v>
      </c>
      <c r="AC527" s="20">
        <v>0</v>
      </c>
      <c r="AD527" s="20">
        <v>0</v>
      </c>
      <c r="AE527" s="20">
        <v>0</v>
      </c>
      <c r="AF527" s="20">
        <v>0</v>
      </c>
      <c r="AG527" s="20">
        <v>0</v>
      </c>
      <c r="AH527" s="20">
        <v>0</v>
      </c>
      <c r="AI527" s="328" t="s">
        <v>1328</v>
      </c>
      <c r="AJ527" s="328" t="s">
        <v>1328</v>
      </c>
      <c r="AK527" s="328" t="s">
        <v>1328</v>
      </c>
      <c r="AL527" s="22" t="s">
        <v>1316</v>
      </c>
      <c r="AM527" s="22" t="s">
        <v>1316</v>
      </c>
      <c r="AN527" s="22" t="s">
        <v>1317</v>
      </c>
      <c r="AO527" s="22" t="s">
        <v>1318</v>
      </c>
      <c r="AP527" s="22" t="s">
        <v>1318</v>
      </c>
      <c r="AQ527" s="22" t="s">
        <v>1318</v>
      </c>
      <c r="AR527" s="22" t="s">
        <v>1317</v>
      </c>
      <c r="AS527" s="22" t="s">
        <v>1318</v>
      </c>
      <c r="AT527" s="22" t="s">
        <v>1309</v>
      </c>
      <c r="AU527" s="22" t="s">
        <v>1309</v>
      </c>
      <c r="AV527" s="22" t="s">
        <v>1317</v>
      </c>
      <c r="AW527" s="22" t="s">
        <v>1318</v>
      </c>
      <c r="AX527" s="22" t="s">
        <v>1317</v>
      </c>
      <c r="AY527" s="22" t="s">
        <v>1318</v>
      </c>
      <c r="AZ527" s="22" t="s">
        <v>1317</v>
      </c>
      <c r="BA527" s="22" t="s">
        <v>1318</v>
      </c>
      <c r="BB527" s="22" t="s">
        <v>1309</v>
      </c>
      <c r="BC527" s="22" t="s">
        <v>1309</v>
      </c>
      <c r="BD527" s="22" t="s">
        <v>1317</v>
      </c>
      <c r="BE527" s="22" t="s">
        <v>1318</v>
      </c>
      <c r="BF527" s="22" t="s">
        <v>1317</v>
      </c>
      <c r="BG527" s="22" t="s">
        <v>1318</v>
      </c>
      <c r="BH527" s="22" t="s">
        <v>1317</v>
      </c>
      <c r="BI527" s="22" t="s">
        <v>1318</v>
      </c>
      <c r="BJ527" s="22" t="s">
        <v>1317</v>
      </c>
      <c r="BK527" s="22" t="s">
        <v>1318</v>
      </c>
      <c r="BL527" s="22" t="s">
        <v>1317</v>
      </c>
      <c r="BM527" s="22" t="s">
        <v>1318</v>
      </c>
      <c r="BN527" s="22" t="s">
        <v>1317</v>
      </c>
      <c r="BO527" s="22" t="s">
        <v>1318</v>
      </c>
      <c r="BP527" s="22" t="s">
        <v>1315</v>
      </c>
      <c r="BQ527" s="22" t="s">
        <v>1315</v>
      </c>
      <c r="BR527" s="22" t="s">
        <v>1317</v>
      </c>
      <c r="BS527" s="22" t="s">
        <v>1318</v>
      </c>
      <c r="BT527" s="22" t="s">
        <v>1309</v>
      </c>
      <c r="BU527" s="22" t="s">
        <v>1309</v>
      </c>
      <c r="BV527" s="22" t="s">
        <v>1317</v>
      </c>
      <c r="BW527" s="22" t="s">
        <v>1318</v>
      </c>
      <c r="BX527" s="20">
        <v>0</v>
      </c>
      <c r="BY527" s="20">
        <v>0</v>
      </c>
      <c r="BZ527" s="20">
        <v>4</v>
      </c>
      <c r="CA527" s="20">
        <v>0</v>
      </c>
      <c r="CB527" s="20">
        <v>0</v>
      </c>
      <c r="CC527" s="20">
        <v>105</v>
      </c>
      <c r="CD527" s="22" t="s">
        <v>1317</v>
      </c>
      <c r="CE527" s="22" t="s">
        <v>1318</v>
      </c>
      <c r="CF527" s="22" t="s">
        <v>1317</v>
      </c>
      <c r="CG527" s="22" t="s">
        <v>1318</v>
      </c>
      <c r="CH527" s="22" t="s">
        <v>1317</v>
      </c>
      <c r="CI527" s="22" t="s">
        <v>1318</v>
      </c>
      <c r="CJ527" s="149" t="s">
        <v>1124</v>
      </c>
      <c r="CK527" s="241" t="s">
        <v>1386</v>
      </c>
    </row>
    <row r="528" spans="1:89" ht="15" customHeight="1" x14ac:dyDescent="0.35">
      <c r="A528" s="17"/>
      <c r="B528" s="313">
        <v>91025</v>
      </c>
      <c r="C528" s="8" t="s">
        <v>941</v>
      </c>
      <c r="D528" s="18">
        <v>2</v>
      </c>
      <c r="E528" s="131" t="s">
        <v>1309</v>
      </c>
      <c r="F528" s="22" t="s">
        <v>1309</v>
      </c>
      <c r="G528" s="132" t="s">
        <v>1309</v>
      </c>
      <c r="H528" s="22" t="s">
        <v>1311</v>
      </c>
      <c r="I528" s="22" t="s">
        <v>1327</v>
      </c>
      <c r="J528" s="22" t="s">
        <v>1327</v>
      </c>
      <c r="K528" s="22" t="s">
        <v>1309</v>
      </c>
      <c r="L528" s="22" t="s">
        <v>1309</v>
      </c>
      <c r="M528" s="133" t="s">
        <v>1311</v>
      </c>
      <c r="N528" s="22" t="s">
        <v>1311</v>
      </c>
      <c r="O528" s="22" t="s">
        <v>1309</v>
      </c>
      <c r="P528" s="22" t="s">
        <v>1309</v>
      </c>
      <c r="Q528" s="20">
        <v>20</v>
      </c>
      <c r="R528" s="20">
        <v>30</v>
      </c>
      <c r="S528" s="20">
        <v>0</v>
      </c>
      <c r="T528" s="20">
        <v>0</v>
      </c>
      <c r="U528" s="20">
        <v>47</v>
      </c>
      <c r="V528" s="20">
        <v>65</v>
      </c>
      <c r="W528" s="20">
        <v>0</v>
      </c>
      <c r="X528" s="20">
        <v>0</v>
      </c>
      <c r="Y528" s="20">
        <v>0</v>
      </c>
      <c r="Z528" s="20">
        <v>0</v>
      </c>
      <c r="AA528" s="20" t="s">
        <v>1319</v>
      </c>
      <c r="AB528" s="22" t="s">
        <v>1311</v>
      </c>
      <c r="AC528" s="20">
        <v>14</v>
      </c>
      <c r="AD528" s="20">
        <v>2</v>
      </c>
      <c r="AE528" s="20">
        <v>0</v>
      </c>
      <c r="AF528" s="20">
        <v>5</v>
      </c>
      <c r="AG528" s="20">
        <v>5</v>
      </c>
      <c r="AH528" s="20">
        <v>0</v>
      </c>
      <c r="AI528" s="328">
        <v>15.905640469584498</v>
      </c>
      <c r="AJ528" s="328">
        <v>0.56353902507748665</v>
      </c>
      <c r="AK528" s="328" t="s">
        <v>1328</v>
      </c>
      <c r="AL528" s="22" t="s">
        <v>1329</v>
      </c>
      <c r="AM528" s="22" t="s">
        <v>1330</v>
      </c>
      <c r="AN528" s="22" t="s">
        <v>1526</v>
      </c>
      <c r="AO528" s="22" t="s">
        <v>1318</v>
      </c>
      <c r="AP528" s="22" t="s">
        <v>1318</v>
      </c>
      <c r="AQ528" s="22" t="s">
        <v>1318</v>
      </c>
      <c r="AR528" s="22" t="s">
        <v>1317</v>
      </c>
      <c r="AS528" s="22" t="s">
        <v>1318</v>
      </c>
      <c r="AT528" s="22" t="s">
        <v>1317</v>
      </c>
      <c r="AU528" s="22" t="s">
        <v>1309</v>
      </c>
      <c r="AV528" s="22" t="s">
        <v>1309</v>
      </c>
      <c r="AW528" s="22" t="s">
        <v>1309</v>
      </c>
      <c r="AX528" s="22" t="s">
        <v>1317</v>
      </c>
      <c r="AY528" s="22" t="s">
        <v>1318</v>
      </c>
      <c r="AZ528" s="22" t="s">
        <v>1309</v>
      </c>
      <c r="BA528" s="22" t="s">
        <v>1311</v>
      </c>
      <c r="BB528" s="22" t="s">
        <v>1309</v>
      </c>
      <c r="BC528" s="22" t="s">
        <v>1309</v>
      </c>
      <c r="BD528" s="22" t="s">
        <v>1309</v>
      </c>
      <c r="BE528" s="22" t="s">
        <v>1309</v>
      </c>
      <c r="BF528" s="22" t="s">
        <v>1319</v>
      </c>
      <c r="BG528" s="22" t="s">
        <v>1311</v>
      </c>
      <c r="BH528" s="22" t="s">
        <v>1317</v>
      </c>
      <c r="BI528" s="22" t="s">
        <v>1318</v>
      </c>
      <c r="BJ528" s="22" t="s">
        <v>1309</v>
      </c>
      <c r="BK528" s="22" t="s">
        <v>1311</v>
      </c>
      <c r="BL528" s="22" t="s">
        <v>1309</v>
      </c>
      <c r="BM528" s="22" t="s">
        <v>1309</v>
      </c>
      <c r="BN528" s="22" t="s">
        <v>1309</v>
      </c>
      <c r="BO528" s="22" t="s">
        <v>1309</v>
      </c>
      <c r="BP528" s="22" t="s">
        <v>1309</v>
      </c>
      <c r="BQ528" s="22" t="s">
        <v>1309</v>
      </c>
      <c r="BR528" s="22" t="s">
        <v>1309</v>
      </c>
      <c r="BS528" s="22" t="s">
        <v>1309</v>
      </c>
      <c r="BT528" s="22" t="s">
        <v>1309</v>
      </c>
      <c r="BU528" s="22" t="s">
        <v>1309</v>
      </c>
      <c r="BV528" s="22" t="s">
        <v>1317</v>
      </c>
      <c r="BW528" s="22" t="s">
        <v>1318</v>
      </c>
      <c r="BX528" s="20">
        <v>220</v>
      </c>
      <c r="BY528" s="20">
        <v>0</v>
      </c>
      <c r="BZ528" s="20">
        <v>88</v>
      </c>
      <c r="CA528" s="20">
        <v>48</v>
      </c>
      <c r="CB528" s="20">
        <v>6</v>
      </c>
      <c r="CC528" s="20">
        <v>3187</v>
      </c>
      <c r="CD528" s="22" t="s">
        <v>1331</v>
      </c>
      <c r="CE528" s="22" t="s">
        <v>1331</v>
      </c>
      <c r="CF528" s="22" t="s">
        <v>1331</v>
      </c>
      <c r="CG528" s="22" t="s">
        <v>1321</v>
      </c>
      <c r="CH528" s="22" t="s">
        <v>1413</v>
      </c>
      <c r="CI528" s="22" t="s">
        <v>1413</v>
      </c>
      <c r="CJ528" s="149" t="s">
        <v>2527</v>
      </c>
      <c r="CK528" s="241" t="s">
        <v>2464</v>
      </c>
    </row>
    <row r="529" spans="1:89" ht="15" customHeight="1" x14ac:dyDescent="0.35">
      <c r="A529" s="17"/>
      <c r="B529" s="313">
        <v>88010</v>
      </c>
      <c r="C529" s="8" t="s">
        <v>912</v>
      </c>
      <c r="D529" s="18">
        <v>8</v>
      </c>
      <c r="E529" s="131"/>
      <c r="F529" s="22"/>
      <c r="G529" s="132"/>
      <c r="H529" s="22"/>
      <c r="I529" s="22"/>
      <c r="J529" s="22"/>
      <c r="K529" s="22"/>
      <c r="L529" s="22"/>
      <c r="M529" s="133"/>
      <c r="N529" s="22"/>
      <c r="O529" s="22"/>
      <c r="P529" s="22"/>
      <c r="Q529" s="20"/>
      <c r="R529" s="20"/>
      <c r="S529" s="20"/>
      <c r="T529" s="20"/>
      <c r="U529" s="20"/>
      <c r="V529" s="20"/>
      <c r="W529" s="20"/>
      <c r="X529" s="20"/>
      <c r="Y529" s="20"/>
      <c r="Z529" s="20"/>
      <c r="AA529" s="20"/>
      <c r="AB529" s="22"/>
      <c r="AC529" s="20"/>
      <c r="AD529" s="20"/>
      <c r="AE529" s="20"/>
      <c r="AF529" s="20" t="s">
        <v>1124</v>
      </c>
      <c r="AG529" s="20" t="s">
        <v>1124</v>
      </c>
      <c r="AH529" s="20" t="s">
        <v>1124</v>
      </c>
      <c r="AI529" s="328"/>
      <c r="AJ529" s="328"/>
      <c r="AK529" s="328"/>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0"/>
      <c r="BY529" s="20"/>
      <c r="BZ529" s="20"/>
      <c r="CA529" s="20"/>
      <c r="CB529" s="20"/>
      <c r="CC529" s="20"/>
      <c r="CD529" s="22"/>
      <c r="CE529" s="22"/>
      <c r="CF529" s="22"/>
      <c r="CG529" s="22"/>
      <c r="CH529" s="22"/>
      <c r="CI529" s="22"/>
      <c r="CJ529" s="149"/>
      <c r="CK529" s="241"/>
    </row>
    <row r="530" spans="1:89" ht="15" customHeight="1" x14ac:dyDescent="0.35">
      <c r="A530" s="17"/>
      <c r="B530" s="313">
        <v>87015</v>
      </c>
      <c r="C530" s="8" t="s">
        <v>892</v>
      </c>
      <c r="D530" s="18">
        <v>8</v>
      </c>
      <c r="E530" s="131"/>
      <c r="F530" s="22"/>
      <c r="G530" s="132"/>
      <c r="H530" s="22"/>
      <c r="I530" s="22"/>
      <c r="J530" s="22"/>
      <c r="K530" s="22"/>
      <c r="L530" s="22"/>
      <c r="M530" s="133"/>
      <c r="N530" s="22"/>
      <c r="O530" s="22"/>
      <c r="P530" s="22"/>
      <c r="Q530" s="20"/>
      <c r="R530" s="20"/>
      <c r="S530" s="20"/>
      <c r="T530" s="20"/>
      <c r="U530" s="20"/>
      <c r="V530" s="20"/>
      <c r="W530" s="20"/>
      <c r="X530" s="20"/>
      <c r="Y530" s="20"/>
      <c r="Z530" s="20"/>
      <c r="AA530" s="20"/>
      <c r="AB530" s="22"/>
      <c r="AC530" s="20"/>
      <c r="AD530" s="20"/>
      <c r="AE530" s="20"/>
      <c r="AF530" s="20" t="s">
        <v>1124</v>
      </c>
      <c r="AG530" s="20" t="s">
        <v>1124</v>
      </c>
      <c r="AH530" s="20" t="s">
        <v>1124</v>
      </c>
      <c r="AI530" s="328"/>
      <c r="AJ530" s="328"/>
      <c r="AK530" s="328"/>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0"/>
      <c r="BY530" s="20"/>
      <c r="BZ530" s="20"/>
      <c r="CA530" s="20"/>
      <c r="CB530" s="20"/>
      <c r="CC530" s="20"/>
      <c r="CD530" s="22"/>
      <c r="CE530" s="22"/>
      <c r="CF530" s="22"/>
      <c r="CG530" s="22"/>
      <c r="CH530" s="22"/>
      <c r="CI530" s="22"/>
      <c r="CJ530" s="149"/>
      <c r="CK530" s="241"/>
    </row>
    <row r="531" spans="1:89" ht="15" customHeight="1" x14ac:dyDescent="0.35">
      <c r="A531" s="17"/>
      <c r="B531" s="313">
        <v>73020</v>
      </c>
      <c r="C531" s="8" t="s">
        <v>737</v>
      </c>
      <c r="D531" s="18">
        <v>15</v>
      </c>
      <c r="E531" s="131" t="s">
        <v>1309</v>
      </c>
      <c r="F531" s="22" t="s">
        <v>1309</v>
      </c>
      <c r="G531" s="132" t="s">
        <v>1309</v>
      </c>
      <c r="H531" s="22" t="s">
        <v>1311</v>
      </c>
      <c r="I531" s="22" t="s">
        <v>1327</v>
      </c>
      <c r="J531" s="22" t="s">
        <v>1327</v>
      </c>
      <c r="K531" s="22" t="s">
        <v>1319</v>
      </c>
      <c r="L531" s="22" t="s">
        <v>1309</v>
      </c>
      <c r="M531" s="133" t="s">
        <v>1311</v>
      </c>
      <c r="N531" s="22" t="s">
        <v>1311</v>
      </c>
      <c r="O531" s="22" t="s">
        <v>1309</v>
      </c>
      <c r="P531" s="22" t="s">
        <v>1309</v>
      </c>
      <c r="Q531" s="20">
        <v>0</v>
      </c>
      <c r="R531" s="20">
        <v>0</v>
      </c>
      <c r="S531" s="20">
        <v>0</v>
      </c>
      <c r="T531" s="20">
        <v>0</v>
      </c>
      <c r="U531" s="20">
        <v>104.10499999999999</v>
      </c>
      <c r="V531" s="20">
        <v>104.10499999999999</v>
      </c>
      <c r="W531" s="20">
        <v>0</v>
      </c>
      <c r="X531" s="20">
        <v>0</v>
      </c>
      <c r="Y531" s="20">
        <v>0</v>
      </c>
      <c r="Z531" s="20">
        <v>0</v>
      </c>
      <c r="AA531" s="20" t="s">
        <v>1309</v>
      </c>
      <c r="AB531" s="22" t="s">
        <v>1309</v>
      </c>
      <c r="AC531" s="20">
        <v>14</v>
      </c>
      <c r="AD531" s="20">
        <v>0</v>
      </c>
      <c r="AE531" s="20">
        <v>0</v>
      </c>
      <c r="AF531" s="20">
        <v>1</v>
      </c>
      <c r="AG531" s="20">
        <v>0</v>
      </c>
      <c r="AH531" s="20">
        <v>0</v>
      </c>
      <c r="AI531" s="328">
        <v>13.447961193026273</v>
      </c>
      <c r="AJ531" s="328" t="s">
        <v>1328</v>
      </c>
      <c r="AK531" s="328" t="s">
        <v>1328</v>
      </c>
      <c r="AL531" s="22" t="s">
        <v>1329</v>
      </c>
      <c r="AM531" s="22" t="s">
        <v>1330</v>
      </c>
      <c r="AN531" s="22" t="s">
        <v>1317</v>
      </c>
      <c r="AO531" s="22" t="s">
        <v>1318</v>
      </c>
      <c r="AP531" s="22" t="s">
        <v>1318</v>
      </c>
      <c r="AQ531" s="22" t="s">
        <v>1318</v>
      </c>
      <c r="AR531" s="22" t="s">
        <v>1317</v>
      </c>
      <c r="AS531" s="22" t="s">
        <v>1318</v>
      </c>
      <c r="AT531" s="22" t="s">
        <v>1309</v>
      </c>
      <c r="AU531" s="22" t="s">
        <v>1309</v>
      </c>
      <c r="AV531" s="22" t="s">
        <v>1309</v>
      </c>
      <c r="AW531" s="22" t="s">
        <v>1309</v>
      </c>
      <c r="AX531" s="22" t="s">
        <v>1317</v>
      </c>
      <c r="AY531" s="22" t="s">
        <v>1318</v>
      </c>
      <c r="AZ531" s="22" t="s">
        <v>1309</v>
      </c>
      <c r="BA531" s="22" t="s">
        <v>1309</v>
      </c>
      <c r="BB531" s="22" t="s">
        <v>1309</v>
      </c>
      <c r="BC531" s="22" t="s">
        <v>1309</v>
      </c>
      <c r="BD531" s="22" t="s">
        <v>1309</v>
      </c>
      <c r="BE531" s="22" t="s">
        <v>1309</v>
      </c>
      <c r="BF531" s="22" t="s">
        <v>1309</v>
      </c>
      <c r="BG531" s="22" t="s">
        <v>1309</v>
      </c>
      <c r="BH531" s="22" t="s">
        <v>1309</v>
      </c>
      <c r="BI531" s="22" t="s">
        <v>1309</v>
      </c>
      <c r="BJ531" s="22" t="s">
        <v>1317</v>
      </c>
      <c r="BK531" s="22" t="s">
        <v>1318</v>
      </c>
      <c r="BL531" s="22" t="s">
        <v>1317</v>
      </c>
      <c r="BM531" s="22" t="s">
        <v>1311</v>
      </c>
      <c r="BN531" s="22" t="s">
        <v>1309</v>
      </c>
      <c r="BO531" s="22" t="s">
        <v>1309</v>
      </c>
      <c r="BP531" s="22" t="s">
        <v>1309</v>
      </c>
      <c r="BQ531" s="22" t="s">
        <v>1309</v>
      </c>
      <c r="BR531" s="22" t="s">
        <v>1309</v>
      </c>
      <c r="BS531" s="22" t="s">
        <v>1309</v>
      </c>
      <c r="BT531" s="22" t="s">
        <v>1317</v>
      </c>
      <c r="BU531" s="22" t="s">
        <v>1318</v>
      </c>
      <c r="BV531" s="22" t="s">
        <v>1309</v>
      </c>
      <c r="BW531" s="22" t="s">
        <v>1309</v>
      </c>
      <c r="BX531" s="20">
        <v>369</v>
      </c>
      <c r="BY531" s="20">
        <v>0</v>
      </c>
      <c r="BZ531" s="20">
        <v>0</v>
      </c>
      <c r="CA531" s="20">
        <v>4853</v>
      </c>
      <c r="CB531" s="20">
        <v>0</v>
      </c>
      <c r="CC531" s="20">
        <v>6</v>
      </c>
      <c r="CD531" s="22" t="s">
        <v>1331</v>
      </c>
      <c r="CE531" s="22" t="s">
        <v>1331</v>
      </c>
      <c r="CF531" s="22" t="s">
        <v>1315</v>
      </c>
      <c r="CG531" s="22" t="s">
        <v>1315</v>
      </c>
      <c r="CH531" s="22" t="s">
        <v>1317</v>
      </c>
      <c r="CI531" s="22" t="s">
        <v>1318</v>
      </c>
      <c r="CJ531" s="149" t="s">
        <v>2533</v>
      </c>
      <c r="CK531" s="241" t="s">
        <v>1124</v>
      </c>
    </row>
    <row r="532" spans="1:89" ht="15" customHeight="1" x14ac:dyDescent="0.35">
      <c r="A532" s="17"/>
      <c r="B532" s="313">
        <v>55037</v>
      </c>
      <c r="C532" s="8" t="s">
        <v>563</v>
      </c>
      <c r="D532" s="18">
        <v>16</v>
      </c>
      <c r="E532" s="131"/>
      <c r="F532" s="22"/>
      <c r="G532" s="132"/>
      <c r="H532" s="22"/>
      <c r="I532" s="22"/>
      <c r="J532" s="22"/>
      <c r="K532" s="22"/>
      <c r="L532" s="22"/>
      <c r="M532" s="133"/>
      <c r="N532" s="22"/>
      <c r="O532" s="22"/>
      <c r="P532" s="22"/>
      <c r="Q532" s="20"/>
      <c r="R532" s="20"/>
      <c r="S532" s="20"/>
      <c r="T532" s="20"/>
      <c r="U532" s="20"/>
      <c r="V532" s="20"/>
      <c r="W532" s="20"/>
      <c r="X532" s="20"/>
      <c r="Y532" s="20"/>
      <c r="Z532" s="20"/>
      <c r="AA532" s="20"/>
      <c r="AB532" s="22"/>
      <c r="AC532" s="20"/>
      <c r="AD532" s="20"/>
      <c r="AE532" s="20"/>
      <c r="AF532" s="20" t="s">
        <v>1124</v>
      </c>
      <c r="AG532" s="20" t="s">
        <v>1124</v>
      </c>
      <c r="AH532" s="20" t="s">
        <v>1124</v>
      </c>
      <c r="AI532" s="328"/>
      <c r="AJ532" s="328"/>
      <c r="AK532" s="328"/>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0"/>
      <c r="BY532" s="20"/>
      <c r="BZ532" s="20"/>
      <c r="CA532" s="20"/>
      <c r="CB532" s="20"/>
      <c r="CC532" s="20"/>
      <c r="CD532" s="22"/>
      <c r="CE532" s="22"/>
      <c r="CF532" s="22"/>
      <c r="CG532" s="22"/>
      <c r="CH532" s="22"/>
      <c r="CI532" s="22"/>
      <c r="CJ532" s="149"/>
      <c r="CK532" s="241"/>
    </row>
    <row r="533" spans="1:89" ht="15" customHeight="1" x14ac:dyDescent="0.35">
      <c r="A533" s="17"/>
      <c r="B533" s="313">
        <v>86042</v>
      </c>
      <c r="C533" s="8" t="s">
        <v>889</v>
      </c>
      <c r="D533" s="18">
        <v>8</v>
      </c>
      <c r="E533" s="131" t="s">
        <v>1319</v>
      </c>
      <c r="F533" s="22" t="s">
        <v>1310</v>
      </c>
      <c r="G533" s="132" t="s">
        <v>1309</v>
      </c>
      <c r="H533" s="22" t="s">
        <v>1311</v>
      </c>
      <c r="I533" s="22" t="s">
        <v>1349</v>
      </c>
      <c r="J533" s="22" t="s">
        <v>1405</v>
      </c>
      <c r="K533" s="22" t="s">
        <v>1319</v>
      </c>
      <c r="L533" s="22" t="s">
        <v>1311</v>
      </c>
      <c r="M533" s="133" t="s">
        <v>1311</v>
      </c>
      <c r="N533" s="22" t="s">
        <v>1311</v>
      </c>
      <c r="O533" s="22" t="s">
        <v>1309</v>
      </c>
      <c r="P533" s="22" t="s">
        <v>1309</v>
      </c>
      <c r="Q533" s="20">
        <v>0</v>
      </c>
      <c r="R533" s="20">
        <v>0</v>
      </c>
      <c r="S533" s="20">
        <v>199.595</v>
      </c>
      <c r="T533" s="20">
        <v>339.40199999999999</v>
      </c>
      <c r="U533" s="20">
        <v>0</v>
      </c>
      <c r="V533" s="20">
        <v>0</v>
      </c>
      <c r="W533" s="20">
        <v>0</v>
      </c>
      <c r="X533" s="20">
        <v>0</v>
      </c>
      <c r="Y533" s="20">
        <v>0</v>
      </c>
      <c r="Z533" s="20">
        <v>0</v>
      </c>
      <c r="AA533" s="20" t="s">
        <v>1319</v>
      </c>
      <c r="AB533" s="22" t="s">
        <v>1311</v>
      </c>
      <c r="AC533" s="20">
        <v>39</v>
      </c>
      <c r="AD533" s="20">
        <v>0</v>
      </c>
      <c r="AE533" s="20">
        <v>0</v>
      </c>
      <c r="AF533" s="20">
        <v>1</v>
      </c>
      <c r="AG533" s="20">
        <v>0</v>
      </c>
      <c r="AH533" s="20">
        <v>0</v>
      </c>
      <c r="AI533" s="328">
        <v>19.539567624439488</v>
      </c>
      <c r="AJ533" s="328" t="s">
        <v>1328</v>
      </c>
      <c r="AK533" s="328" t="s">
        <v>1328</v>
      </c>
      <c r="AL533" s="22" t="s">
        <v>1329</v>
      </c>
      <c r="AM533" s="22" t="s">
        <v>1316</v>
      </c>
      <c r="AN533" s="22" t="s">
        <v>1319</v>
      </c>
      <c r="AO533" s="22" t="s">
        <v>1311</v>
      </c>
      <c r="AP533" s="22" t="s">
        <v>1315</v>
      </c>
      <c r="AQ533" s="22" t="s">
        <v>1315</v>
      </c>
      <c r="AR533" s="22" t="s">
        <v>1317</v>
      </c>
      <c r="AS533" s="22" t="s">
        <v>1318</v>
      </c>
      <c r="AT533" s="22" t="s">
        <v>1319</v>
      </c>
      <c r="AU533" s="22" t="s">
        <v>1311</v>
      </c>
      <c r="AV533" s="22" t="s">
        <v>1317</v>
      </c>
      <c r="AW533" s="22" t="s">
        <v>1318</v>
      </c>
      <c r="AX533" s="22" t="s">
        <v>1317</v>
      </c>
      <c r="AY533" s="22" t="s">
        <v>1318</v>
      </c>
      <c r="AZ533" s="22" t="s">
        <v>1309</v>
      </c>
      <c r="BA533" s="22" t="s">
        <v>1311</v>
      </c>
      <c r="BB533" s="22" t="s">
        <v>1315</v>
      </c>
      <c r="BC533" s="22" t="s">
        <v>1315</v>
      </c>
      <c r="BD533" s="22" t="s">
        <v>1309</v>
      </c>
      <c r="BE533" s="22" t="s">
        <v>1311</v>
      </c>
      <c r="BF533" s="22" t="s">
        <v>1309</v>
      </c>
      <c r="BG533" s="22" t="s">
        <v>1309</v>
      </c>
      <c r="BH533" s="22" t="s">
        <v>1309</v>
      </c>
      <c r="BI533" s="22" t="s">
        <v>1309</v>
      </c>
      <c r="BJ533" s="22" t="s">
        <v>1309</v>
      </c>
      <c r="BK533" s="22" t="s">
        <v>1309</v>
      </c>
      <c r="BL533" s="22" t="s">
        <v>1319</v>
      </c>
      <c r="BM533" s="22" t="s">
        <v>1311</v>
      </c>
      <c r="BN533" s="22" t="s">
        <v>1309</v>
      </c>
      <c r="BO533" s="22" t="s">
        <v>1309</v>
      </c>
      <c r="BP533" s="22" t="s">
        <v>1317</v>
      </c>
      <c r="BQ533" s="22" t="s">
        <v>1318</v>
      </c>
      <c r="BR533" s="22" t="s">
        <v>1309</v>
      </c>
      <c r="BS533" s="22" t="s">
        <v>1309</v>
      </c>
      <c r="BT533" s="22" t="s">
        <v>1319</v>
      </c>
      <c r="BU533" s="22" t="s">
        <v>1311</v>
      </c>
      <c r="BV533" s="22" t="s">
        <v>1309</v>
      </c>
      <c r="BW533" s="22" t="s">
        <v>1309</v>
      </c>
      <c r="BX533" s="20">
        <v>504</v>
      </c>
      <c r="BY533" s="20">
        <v>0</v>
      </c>
      <c r="BZ533" s="20">
        <v>91</v>
      </c>
      <c r="CA533" s="20">
        <v>7597</v>
      </c>
      <c r="CB533" s="20">
        <v>0</v>
      </c>
      <c r="CC533" s="20">
        <v>1263</v>
      </c>
      <c r="CD533" s="22" t="s">
        <v>1331</v>
      </c>
      <c r="CE533" s="22" t="s">
        <v>1331</v>
      </c>
      <c r="CF533" s="22" t="s">
        <v>1320</v>
      </c>
      <c r="CG533" s="22" t="s">
        <v>1344</v>
      </c>
      <c r="CH533" s="22" t="s">
        <v>1317</v>
      </c>
      <c r="CI533" s="22" t="s">
        <v>1318</v>
      </c>
      <c r="CJ533" s="149" t="s">
        <v>1124</v>
      </c>
      <c r="CK533" s="241" t="s">
        <v>3739</v>
      </c>
    </row>
    <row r="534" spans="1:89" ht="15" customHeight="1" x14ac:dyDescent="0.35">
      <c r="A534" s="17"/>
      <c r="B534" s="313">
        <v>48015</v>
      </c>
      <c r="C534" s="8" t="s">
        <v>458</v>
      </c>
      <c r="D534" s="18">
        <v>16</v>
      </c>
      <c r="E534" s="131"/>
      <c r="F534" s="22"/>
      <c r="G534" s="132"/>
      <c r="H534" s="22"/>
      <c r="I534" s="22"/>
      <c r="J534" s="22"/>
      <c r="K534" s="22"/>
      <c r="L534" s="22"/>
      <c r="M534" s="133"/>
      <c r="N534" s="22"/>
      <c r="O534" s="22"/>
      <c r="P534" s="22"/>
      <c r="Q534" s="20"/>
      <c r="R534" s="20"/>
      <c r="S534" s="20"/>
      <c r="T534" s="20"/>
      <c r="U534" s="20"/>
      <c r="V534" s="20"/>
      <c r="W534" s="20"/>
      <c r="X534" s="20"/>
      <c r="Y534" s="20"/>
      <c r="Z534" s="20"/>
      <c r="AA534" s="20"/>
      <c r="AB534" s="22"/>
      <c r="AC534" s="20"/>
      <c r="AD534" s="20"/>
      <c r="AE534" s="20"/>
      <c r="AF534" s="20" t="s">
        <v>1124</v>
      </c>
      <c r="AG534" s="20" t="s">
        <v>1124</v>
      </c>
      <c r="AH534" s="20" t="s">
        <v>1124</v>
      </c>
      <c r="AI534" s="328"/>
      <c r="AJ534" s="328"/>
      <c r="AK534" s="328"/>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0"/>
      <c r="BY534" s="20"/>
      <c r="BZ534" s="20"/>
      <c r="CA534" s="20"/>
      <c r="CB534" s="20"/>
      <c r="CC534" s="20"/>
      <c r="CD534" s="22"/>
      <c r="CE534" s="22"/>
      <c r="CF534" s="22"/>
      <c r="CG534" s="22"/>
      <c r="CH534" s="22"/>
      <c r="CI534" s="22"/>
      <c r="CJ534" s="149"/>
      <c r="CK534" s="241"/>
    </row>
    <row r="535" spans="1:89" ht="15" customHeight="1" x14ac:dyDescent="0.35">
      <c r="A535" s="17"/>
      <c r="B535" s="313">
        <v>48010</v>
      </c>
      <c r="C535" s="8" t="s">
        <v>457</v>
      </c>
      <c r="D535" s="18">
        <v>16</v>
      </c>
      <c r="E535" s="131"/>
      <c r="F535" s="22"/>
      <c r="G535" s="132"/>
      <c r="H535" s="22"/>
      <c r="I535" s="22"/>
      <c r="J535" s="22"/>
      <c r="K535" s="22"/>
      <c r="L535" s="22"/>
      <c r="M535" s="133"/>
      <c r="N535" s="22"/>
      <c r="O535" s="22"/>
      <c r="P535" s="22"/>
      <c r="Q535" s="20"/>
      <c r="R535" s="20"/>
      <c r="S535" s="20"/>
      <c r="T535" s="20"/>
      <c r="U535" s="20"/>
      <c r="V535" s="20"/>
      <c r="W535" s="20"/>
      <c r="X535" s="20"/>
      <c r="Y535" s="20"/>
      <c r="Z535" s="20"/>
      <c r="AA535" s="20"/>
      <c r="AB535" s="22"/>
      <c r="AC535" s="20"/>
      <c r="AD535" s="20"/>
      <c r="AE535" s="20"/>
      <c r="AF535" s="20" t="s">
        <v>1124</v>
      </c>
      <c r="AG535" s="20" t="s">
        <v>1124</v>
      </c>
      <c r="AH535" s="20" t="s">
        <v>1124</v>
      </c>
      <c r="AI535" s="328"/>
      <c r="AJ535" s="328"/>
      <c r="AK535" s="328"/>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0"/>
      <c r="BY535" s="20"/>
      <c r="BZ535" s="20"/>
      <c r="CA535" s="20"/>
      <c r="CB535" s="20"/>
      <c r="CC535" s="20"/>
      <c r="CD535" s="22"/>
      <c r="CE535" s="22"/>
      <c r="CF535" s="22"/>
      <c r="CG535" s="22"/>
      <c r="CH535" s="22"/>
      <c r="CI535" s="22"/>
      <c r="CJ535" s="149"/>
      <c r="CK535" s="241"/>
    </row>
    <row r="536" spans="1:89" ht="15" customHeight="1" x14ac:dyDescent="0.35">
      <c r="A536" s="17"/>
      <c r="B536" s="313">
        <v>47047</v>
      </c>
      <c r="C536" s="8" t="s">
        <v>454</v>
      </c>
      <c r="D536" s="18">
        <v>5</v>
      </c>
      <c r="E536" s="131" t="s">
        <v>1309</v>
      </c>
      <c r="F536" s="22" t="s">
        <v>1309</v>
      </c>
      <c r="G536" s="132" t="s">
        <v>1309</v>
      </c>
      <c r="H536" s="22" t="s">
        <v>1311</v>
      </c>
      <c r="I536" s="22" t="s">
        <v>1327</v>
      </c>
      <c r="J536" s="22" t="s">
        <v>1327</v>
      </c>
      <c r="K536" s="22" t="s">
        <v>1314</v>
      </c>
      <c r="L536" s="22" t="s">
        <v>1311</v>
      </c>
      <c r="M536" s="133" t="s">
        <v>1311</v>
      </c>
      <c r="N536" s="22" t="s">
        <v>1311</v>
      </c>
      <c r="O536" s="22" t="s">
        <v>1309</v>
      </c>
      <c r="P536" s="22" t="s">
        <v>1309</v>
      </c>
      <c r="Q536" s="20">
        <v>0</v>
      </c>
      <c r="R536" s="20">
        <v>0</v>
      </c>
      <c r="S536" s="20">
        <v>0</v>
      </c>
      <c r="T536" s="20">
        <v>0</v>
      </c>
      <c r="U536" s="20">
        <v>0</v>
      </c>
      <c r="V536" s="20">
        <v>0</v>
      </c>
      <c r="W536" s="20">
        <v>0</v>
      </c>
      <c r="X536" s="20">
        <v>0</v>
      </c>
      <c r="Y536" s="20">
        <v>0</v>
      </c>
      <c r="Z536" s="20">
        <v>0</v>
      </c>
      <c r="AA536" s="20" t="s">
        <v>1317</v>
      </c>
      <c r="AB536" s="22" t="s">
        <v>1318</v>
      </c>
      <c r="AC536" s="20">
        <v>0</v>
      </c>
      <c r="AD536" s="20">
        <v>0</v>
      </c>
      <c r="AE536" s="20">
        <v>1</v>
      </c>
      <c r="AF536" s="20">
        <v>0</v>
      </c>
      <c r="AG536" s="20">
        <v>0</v>
      </c>
      <c r="AH536" s="20">
        <v>1</v>
      </c>
      <c r="AI536" s="328" t="s">
        <v>1328</v>
      </c>
      <c r="AJ536" s="328" t="s">
        <v>1328</v>
      </c>
      <c r="AK536" s="328">
        <v>0.81433224755700329</v>
      </c>
      <c r="AL536" s="22" t="s">
        <v>1329</v>
      </c>
      <c r="AM536" s="22" t="s">
        <v>1330</v>
      </c>
      <c r="AN536" s="22" t="s">
        <v>1317</v>
      </c>
      <c r="AO536" s="22" t="s">
        <v>1318</v>
      </c>
      <c r="AP536" s="22" t="s">
        <v>1318</v>
      </c>
      <c r="AQ536" s="22" t="s">
        <v>1318</v>
      </c>
      <c r="AR536" s="22" t="s">
        <v>1317</v>
      </c>
      <c r="AS536" s="22" t="s">
        <v>1318</v>
      </c>
      <c r="AT536" s="22" t="s">
        <v>1317</v>
      </c>
      <c r="AU536" s="22" t="s">
        <v>1318</v>
      </c>
      <c r="AV536" s="22" t="s">
        <v>1317</v>
      </c>
      <c r="AW536" s="22" t="s">
        <v>1318</v>
      </c>
      <c r="AX536" s="22" t="s">
        <v>1317</v>
      </c>
      <c r="AY536" s="22" t="s">
        <v>1318</v>
      </c>
      <c r="AZ536" s="22" t="s">
        <v>1309</v>
      </c>
      <c r="BA536" s="22" t="s">
        <v>1309</v>
      </c>
      <c r="BB536" s="22" t="s">
        <v>1309</v>
      </c>
      <c r="BC536" s="22" t="s">
        <v>1309</v>
      </c>
      <c r="BD536" s="22" t="s">
        <v>1309</v>
      </c>
      <c r="BE536" s="22" t="s">
        <v>1309</v>
      </c>
      <c r="BF536" s="22" t="s">
        <v>1309</v>
      </c>
      <c r="BG536" s="22" t="s">
        <v>1309</v>
      </c>
      <c r="BH536" s="22" t="s">
        <v>1317</v>
      </c>
      <c r="BI536" s="22" t="s">
        <v>1318</v>
      </c>
      <c r="BJ536" s="22" t="s">
        <v>1317</v>
      </c>
      <c r="BK536" s="22" t="s">
        <v>1318</v>
      </c>
      <c r="BL536" s="22" t="s">
        <v>1317</v>
      </c>
      <c r="BM536" s="22" t="s">
        <v>1318</v>
      </c>
      <c r="BN536" s="22" t="s">
        <v>1309</v>
      </c>
      <c r="BO536" s="22" t="s">
        <v>1309</v>
      </c>
      <c r="BP536" s="22" t="s">
        <v>1317</v>
      </c>
      <c r="BQ536" s="22" t="s">
        <v>1318</v>
      </c>
      <c r="BR536" s="22" t="s">
        <v>1309</v>
      </c>
      <c r="BS536" s="22" t="s">
        <v>1309</v>
      </c>
      <c r="BT536" s="22" t="s">
        <v>1317</v>
      </c>
      <c r="BU536" s="22" t="s">
        <v>1318</v>
      </c>
      <c r="BV536" s="22" t="s">
        <v>1309</v>
      </c>
      <c r="BW536" s="22" t="s">
        <v>1309</v>
      </c>
      <c r="BX536" s="20">
        <v>34</v>
      </c>
      <c r="BY536" s="20">
        <v>4</v>
      </c>
      <c r="BZ536" s="20">
        <v>155</v>
      </c>
      <c r="CA536" s="20">
        <v>1035</v>
      </c>
      <c r="CB536" s="20">
        <v>0</v>
      </c>
      <c r="CC536" s="20">
        <v>0</v>
      </c>
      <c r="CD536" s="22" t="s">
        <v>1331</v>
      </c>
      <c r="CE536" s="22" t="s">
        <v>1331</v>
      </c>
      <c r="CF536" s="22" t="s">
        <v>1331</v>
      </c>
      <c r="CG536" s="22" t="s">
        <v>1331</v>
      </c>
      <c r="CH536" s="22" t="s">
        <v>1317</v>
      </c>
      <c r="CI536" s="22" t="s">
        <v>1318</v>
      </c>
      <c r="CJ536" s="149" t="s">
        <v>2537</v>
      </c>
      <c r="CK536" s="241" t="s">
        <v>1124</v>
      </c>
    </row>
    <row r="537" spans="1:89" ht="15" customHeight="1" x14ac:dyDescent="0.35">
      <c r="A537" s="17"/>
      <c r="B537" s="313">
        <v>95010</v>
      </c>
      <c r="C537" s="8" t="s">
        <v>987</v>
      </c>
      <c r="D537" s="18">
        <v>9</v>
      </c>
      <c r="E537" s="131"/>
      <c r="F537" s="22"/>
      <c r="G537" s="132"/>
      <c r="H537" s="22"/>
      <c r="I537" s="22"/>
      <c r="J537" s="22"/>
      <c r="K537" s="22"/>
      <c r="L537" s="22"/>
      <c r="M537" s="133"/>
      <c r="N537" s="22"/>
      <c r="O537" s="22"/>
      <c r="P537" s="22"/>
      <c r="Q537" s="20"/>
      <c r="R537" s="20"/>
      <c r="S537" s="20"/>
      <c r="T537" s="20"/>
      <c r="U537" s="20"/>
      <c r="V537" s="20"/>
      <c r="W537" s="20"/>
      <c r="X537" s="20"/>
      <c r="Y537" s="20"/>
      <c r="Z537" s="20"/>
      <c r="AA537" s="20"/>
      <c r="AB537" s="22"/>
      <c r="AC537" s="20"/>
      <c r="AD537" s="20"/>
      <c r="AE537" s="20"/>
      <c r="AF537" s="20" t="s">
        <v>1124</v>
      </c>
      <c r="AG537" s="20" t="s">
        <v>1124</v>
      </c>
      <c r="AH537" s="20" t="s">
        <v>1124</v>
      </c>
      <c r="AI537" s="328"/>
      <c r="AJ537" s="328"/>
      <c r="AK537" s="328"/>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0"/>
      <c r="BY537" s="20"/>
      <c r="BZ537" s="20"/>
      <c r="CA537" s="20"/>
      <c r="CB537" s="20"/>
      <c r="CC537" s="20"/>
      <c r="CD537" s="22"/>
      <c r="CE537" s="22"/>
      <c r="CF537" s="22"/>
      <c r="CG537" s="22"/>
      <c r="CH537" s="22"/>
      <c r="CI537" s="22"/>
      <c r="CJ537" s="149"/>
      <c r="CK537" s="241"/>
    </row>
    <row r="538" spans="1:89" ht="15" customHeight="1" x14ac:dyDescent="0.35">
      <c r="A538" s="17"/>
      <c r="B538" s="313">
        <v>31130</v>
      </c>
      <c r="C538" s="8" t="s">
        <v>253</v>
      </c>
      <c r="D538" s="18">
        <v>12</v>
      </c>
      <c r="E538" s="131"/>
      <c r="F538" s="22"/>
      <c r="G538" s="132"/>
      <c r="H538" s="22"/>
      <c r="I538" s="22"/>
      <c r="J538" s="22"/>
      <c r="K538" s="22"/>
      <c r="L538" s="22"/>
      <c r="M538" s="133"/>
      <c r="N538" s="22"/>
      <c r="O538" s="22"/>
      <c r="P538" s="22"/>
      <c r="Q538" s="20"/>
      <c r="R538" s="20"/>
      <c r="S538" s="20"/>
      <c r="T538" s="20"/>
      <c r="U538" s="20"/>
      <c r="V538" s="20"/>
      <c r="W538" s="20"/>
      <c r="X538" s="20"/>
      <c r="Y538" s="20"/>
      <c r="Z538" s="20"/>
      <c r="AA538" s="20"/>
      <c r="AB538" s="22"/>
      <c r="AC538" s="20"/>
      <c r="AD538" s="20"/>
      <c r="AE538" s="20"/>
      <c r="AF538" s="20" t="s">
        <v>1124</v>
      </c>
      <c r="AG538" s="20" t="s">
        <v>1124</v>
      </c>
      <c r="AH538" s="20" t="s">
        <v>1124</v>
      </c>
      <c r="AI538" s="328"/>
      <c r="AJ538" s="328"/>
      <c r="AK538" s="328"/>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0"/>
      <c r="BY538" s="20"/>
      <c r="BZ538" s="20"/>
      <c r="CA538" s="20"/>
      <c r="CB538" s="20"/>
      <c r="CC538" s="20"/>
      <c r="CD538" s="22"/>
      <c r="CE538" s="22"/>
      <c r="CF538" s="22"/>
      <c r="CG538" s="22"/>
      <c r="CH538" s="22"/>
      <c r="CI538" s="22"/>
      <c r="CJ538" s="149"/>
      <c r="CK538" s="241"/>
    </row>
    <row r="539" spans="1:89" ht="15" customHeight="1" x14ac:dyDescent="0.35">
      <c r="A539" s="17"/>
      <c r="B539" s="313">
        <v>94068</v>
      </c>
      <c r="C539" s="8" t="s">
        <v>972</v>
      </c>
      <c r="D539" s="18">
        <v>2</v>
      </c>
      <c r="E539" s="131" t="s">
        <v>1309</v>
      </c>
      <c r="F539" s="22" t="s">
        <v>1309</v>
      </c>
      <c r="G539" s="132" t="s">
        <v>1309</v>
      </c>
      <c r="H539" s="22" t="s">
        <v>1311</v>
      </c>
      <c r="I539" s="22" t="s">
        <v>1327</v>
      </c>
      <c r="J539" s="22" t="s">
        <v>1327</v>
      </c>
      <c r="K539" s="22" t="s">
        <v>1309</v>
      </c>
      <c r="L539" s="22" t="s">
        <v>1309</v>
      </c>
      <c r="M539" s="133" t="s">
        <v>1311</v>
      </c>
      <c r="N539" s="22" t="s">
        <v>1311</v>
      </c>
      <c r="O539" s="22" t="s">
        <v>1314</v>
      </c>
      <c r="P539" s="22" t="s">
        <v>1311</v>
      </c>
      <c r="Q539" s="20">
        <v>0</v>
      </c>
      <c r="R539" s="20">
        <v>0</v>
      </c>
      <c r="S539" s="20">
        <v>1789.3969999999999</v>
      </c>
      <c r="T539" s="20">
        <v>2385.8359999999998</v>
      </c>
      <c r="U539" s="20">
        <v>19.440000000000001</v>
      </c>
      <c r="V539" s="20">
        <v>20</v>
      </c>
      <c r="W539" s="20">
        <v>0</v>
      </c>
      <c r="X539" s="20">
        <v>0</v>
      </c>
      <c r="Y539" s="20">
        <v>0</v>
      </c>
      <c r="Z539" s="20">
        <v>0</v>
      </c>
      <c r="AA539" s="20" t="s">
        <v>1309</v>
      </c>
      <c r="AB539" s="22" t="s">
        <v>1311</v>
      </c>
      <c r="AC539" s="20">
        <v>225</v>
      </c>
      <c r="AD539" s="20">
        <v>54</v>
      </c>
      <c r="AE539" s="20">
        <v>0</v>
      </c>
      <c r="AF539" s="20">
        <v>1</v>
      </c>
      <c r="AG539" s="20">
        <v>1</v>
      </c>
      <c r="AH539" s="20">
        <v>0</v>
      </c>
      <c r="AI539" s="328">
        <v>18.861313183303462</v>
      </c>
      <c r="AJ539" s="328">
        <v>1.1506989430617116</v>
      </c>
      <c r="AK539" s="328" t="s">
        <v>1328</v>
      </c>
      <c r="AL539" s="22" t="s">
        <v>1329</v>
      </c>
      <c r="AM539" s="22" t="s">
        <v>1330</v>
      </c>
      <c r="AN539" s="22" t="s">
        <v>1317</v>
      </c>
      <c r="AO539" s="22" t="s">
        <v>1318</v>
      </c>
      <c r="AP539" s="22" t="s">
        <v>1318</v>
      </c>
      <c r="AQ539" s="22" t="s">
        <v>1318</v>
      </c>
      <c r="AR539" s="22" t="s">
        <v>1317</v>
      </c>
      <c r="AS539" s="22" t="s">
        <v>1318</v>
      </c>
      <c r="AT539" s="22" t="s">
        <v>1309</v>
      </c>
      <c r="AU539" s="22" t="s">
        <v>1311</v>
      </c>
      <c r="AV539" s="22" t="s">
        <v>1317</v>
      </c>
      <c r="AW539" s="22" t="s">
        <v>1318</v>
      </c>
      <c r="AX539" s="22" t="s">
        <v>1317</v>
      </c>
      <c r="AY539" s="22" t="s">
        <v>1318</v>
      </c>
      <c r="AZ539" s="22" t="s">
        <v>1309</v>
      </c>
      <c r="BA539" s="22" t="s">
        <v>1311</v>
      </c>
      <c r="BB539" s="22" t="s">
        <v>1309</v>
      </c>
      <c r="BC539" s="22" t="s">
        <v>1309</v>
      </c>
      <c r="BD539" s="22" t="s">
        <v>1309</v>
      </c>
      <c r="BE539" s="22" t="s">
        <v>1309</v>
      </c>
      <c r="BF539" s="22" t="s">
        <v>1317</v>
      </c>
      <c r="BG539" s="22" t="s">
        <v>1311</v>
      </c>
      <c r="BH539" s="22" t="s">
        <v>1319</v>
      </c>
      <c r="BI539" s="22" t="s">
        <v>1311</v>
      </c>
      <c r="BJ539" s="22" t="s">
        <v>1317</v>
      </c>
      <c r="BK539" s="22" t="s">
        <v>1311</v>
      </c>
      <c r="BL539" s="22" t="s">
        <v>1317</v>
      </c>
      <c r="BM539" s="22" t="s">
        <v>1311</v>
      </c>
      <c r="BN539" s="22" t="s">
        <v>1309</v>
      </c>
      <c r="BO539" s="22" t="s">
        <v>1309</v>
      </c>
      <c r="BP539" s="22" t="s">
        <v>1317</v>
      </c>
      <c r="BQ539" s="22" t="s">
        <v>1318</v>
      </c>
      <c r="BR539" s="22" t="s">
        <v>1309</v>
      </c>
      <c r="BS539" s="22" t="s">
        <v>1309</v>
      </c>
      <c r="BT539" s="22" t="s">
        <v>1309</v>
      </c>
      <c r="BU539" s="22" t="s">
        <v>1309</v>
      </c>
      <c r="BV539" s="22" t="s">
        <v>1317</v>
      </c>
      <c r="BW539" s="22" t="s">
        <v>1318</v>
      </c>
      <c r="BX539" s="20">
        <v>739</v>
      </c>
      <c r="BY539" s="20">
        <v>183</v>
      </c>
      <c r="BZ539" s="20">
        <v>1567</v>
      </c>
      <c r="CA539" s="20">
        <v>0</v>
      </c>
      <c r="CB539" s="20">
        <v>13</v>
      </c>
      <c r="CC539" s="20">
        <v>48046</v>
      </c>
      <c r="CD539" s="22" t="s">
        <v>1320</v>
      </c>
      <c r="CE539" s="22" t="s">
        <v>1344</v>
      </c>
      <c r="CF539" s="22" t="s">
        <v>1317</v>
      </c>
      <c r="CG539" s="22" t="s">
        <v>1340</v>
      </c>
      <c r="CH539" s="22" t="s">
        <v>1317</v>
      </c>
      <c r="CI539" s="22" t="s">
        <v>1318</v>
      </c>
      <c r="CJ539" s="149" t="s">
        <v>1124</v>
      </c>
      <c r="CK539" s="241" t="s">
        <v>2552</v>
      </c>
    </row>
    <row r="540" spans="1:89" ht="15" customHeight="1" x14ac:dyDescent="0.35">
      <c r="A540" s="17"/>
      <c r="B540" s="313">
        <v>17015</v>
      </c>
      <c r="C540" s="8" t="s">
        <v>92</v>
      </c>
      <c r="D540" s="18">
        <v>12</v>
      </c>
      <c r="E540" s="131"/>
      <c r="F540" s="22"/>
      <c r="G540" s="132"/>
      <c r="H540" s="22"/>
      <c r="I540" s="22"/>
      <c r="J540" s="22"/>
      <c r="K540" s="22"/>
      <c r="L540" s="22"/>
      <c r="M540" s="133"/>
      <c r="N540" s="22"/>
      <c r="O540" s="22"/>
      <c r="P540" s="22"/>
      <c r="Q540" s="20"/>
      <c r="R540" s="20"/>
      <c r="S540" s="20"/>
      <c r="T540" s="20"/>
      <c r="U540" s="20"/>
      <c r="V540" s="20"/>
      <c r="W540" s="20"/>
      <c r="X540" s="20"/>
      <c r="Y540" s="20"/>
      <c r="Z540" s="20"/>
      <c r="AA540" s="20"/>
      <c r="AB540" s="22"/>
      <c r="AC540" s="20"/>
      <c r="AD540" s="20"/>
      <c r="AE540" s="20"/>
      <c r="AF540" s="20" t="s">
        <v>1124</v>
      </c>
      <c r="AG540" s="20" t="s">
        <v>1124</v>
      </c>
      <c r="AH540" s="20" t="s">
        <v>1124</v>
      </c>
      <c r="AI540" s="328"/>
      <c r="AJ540" s="328"/>
      <c r="AK540" s="328"/>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0"/>
      <c r="BY540" s="20"/>
      <c r="BZ540" s="20"/>
      <c r="CA540" s="20"/>
      <c r="CB540" s="20"/>
      <c r="CC540" s="20"/>
      <c r="CD540" s="22"/>
      <c r="CE540" s="22"/>
      <c r="CF540" s="22"/>
      <c r="CG540" s="22"/>
      <c r="CH540" s="22"/>
      <c r="CI540" s="22"/>
      <c r="CJ540" s="149"/>
      <c r="CK540" s="241"/>
    </row>
    <row r="541" spans="1:89" ht="15" customHeight="1" x14ac:dyDescent="0.35">
      <c r="A541" s="17"/>
      <c r="B541" s="313">
        <v>8030</v>
      </c>
      <c r="C541" s="8" t="s">
        <v>1090</v>
      </c>
      <c r="D541" s="18">
        <v>1</v>
      </c>
      <c r="E541" s="131" t="s">
        <v>1319</v>
      </c>
      <c r="F541" s="22" t="s">
        <v>1490</v>
      </c>
      <c r="G541" s="132" t="s">
        <v>1309</v>
      </c>
      <c r="H541" s="22" t="s">
        <v>1311</v>
      </c>
      <c r="I541" s="22" t="s">
        <v>1327</v>
      </c>
      <c r="J541" s="22" t="s">
        <v>1327</v>
      </c>
      <c r="K541" s="22" t="s">
        <v>1314</v>
      </c>
      <c r="L541" s="22" t="s">
        <v>1311</v>
      </c>
      <c r="M541" s="133" t="s">
        <v>1311</v>
      </c>
      <c r="N541" s="22" t="s">
        <v>1311</v>
      </c>
      <c r="O541" s="22" t="s">
        <v>1315</v>
      </c>
      <c r="P541" s="22" t="s">
        <v>1315</v>
      </c>
      <c r="Q541" s="20">
        <v>0</v>
      </c>
      <c r="R541" s="20">
        <v>0</v>
      </c>
      <c r="S541" s="20">
        <v>0</v>
      </c>
      <c r="T541" s="20">
        <v>0</v>
      </c>
      <c r="U541" s="20">
        <v>0</v>
      </c>
      <c r="V541" s="20">
        <v>2.2000000000000002</v>
      </c>
      <c r="W541" s="20">
        <v>0</v>
      </c>
      <c r="X541" s="20">
        <v>0</v>
      </c>
      <c r="Y541" s="20">
        <v>0</v>
      </c>
      <c r="Z541" s="20">
        <v>0</v>
      </c>
      <c r="AA541" s="20" t="s">
        <v>1317</v>
      </c>
      <c r="AB541" s="22" t="s">
        <v>1309</v>
      </c>
      <c r="AC541" s="20">
        <v>0</v>
      </c>
      <c r="AD541" s="20">
        <v>0</v>
      </c>
      <c r="AE541" s="20">
        <v>0</v>
      </c>
      <c r="AF541" s="20">
        <v>0</v>
      </c>
      <c r="AG541" s="20">
        <v>0</v>
      </c>
      <c r="AH541" s="20">
        <v>0</v>
      </c>
      <c r="AI541" s="328" t="s">
        <v>1328</v>
      </c>
      <c r="AJ541" s="328" t="s">
        <v>1328</v>
      </c>
      <c r="AK541" s="328" t="s">
        <v>1328</v>
      </c>
      <c r="AL541" s="22" t="s">
        <v>1315</v>
      </c>
      <c r="AM541" s="22" t="s">
        <v>1315</v>
      </c>
      <c r="AN541" s="22" t="s">
        <v>1317</v>
      </c>
      <c r="AO541" s="22" t="s">
        <v>1318</v>
      </c>
      <c r="AP541" s="22" t="s">
        <v>1318</v>
      </c>
      <c r="AQ541" s="22" t="s">
        <v>1318</v>
      </c>
      <c r="AR541" s="22" t="s">
        <v>1317</v>
      </c>
      <c r="AS541" s="22" t="s">
        <v>1311</v>
      </c>
      <c r="AT541" s="22" t="s">
        <v>1317</v>
      </c>
      <c r="AU541" s="22" t="s">
        <v>1311</v>
      </c>
      <c r="AV541" s="22" t="s">
        <v>1317</v>
      </c>
      <c r="AW541" s="22" t="s">
        <v>1311</v>
      </c>
      <c r="AX541" s="22" t="s">
        <v>1317</v>
      </c>
      <c r="AY541" s="22" t="s">
        <v>1318</v>
      </c>
      <c r="AZ541" s="22" t="s">
        <v>1317</v>
      </c>
      <c r="BA541" s="22" t="s">
        <v>1311</v>
      </c>
      <c r="BB541" s="22" t="s">
        <v>1309</v>
      </c>
      <c r="BC541" s="22" t="s">
        <v>1309</v>
      </c>
      <c r="BD541" s="22" t="s">
        <v>1317</v>
      </c>
      <c r="BE541" s="22" t="s">
        <v>1318</v>
      </c>
      <c r="BF541" s="22" t="s">
        <v>1317</v>
      </c>
      <c r="BG541" s="22" t="s">
        <v>1318</v>
      </c>
      <c r="BH541" s="22" t="s">
        <v>1317</v>
      </c>
      <c r="BI541" s="22" t="s">
        <v>1318</v>
      </c>
      <c r="BJ541" s="22" t="s">
        <v>1317</v>
      </c>
      <c r="BK541" s="22" t="s">
        <v>1311</v>
      </c>
      <c r="BL541" s="22" t="s">
        <v>1317</v>
      </c>
      <c r="BM541" s="22" t="s">
        <v>1311</v>
      </c>
      <c r="BN541" s="22" t="s">
        <v>1309</v>
      </c>
      <c r="BO541" s="22" t="s">
        <v>1309</v>
      </c>
      <c r="BP541" s="22" t="s">
        <v>1315</v>
      </c>
      <c r="BQ541" s="22" t="s">
        <v>1315</v>
      </c>
      <c r="BR541" s="22" t="s">
        <v>1317</v>
      </c>
      <c r="BS541" s="22" t="s">
        <v>1311</v>
      </c>
      <c r="BT541" s="22" t="s">
        <v>1317</v>
      </c>
      <c r="BU541" s="22" t="s">
        <v>1311</v>
      </c>
      <c r="BV541" s="22" t="s">
        <v>1317</v>
      </c>
      <c r="BW541" s="22" t="s">
        <v>1311</v>
      </c>
      <c r="BX541" s="20">
        <v>0</v>
      </c>
      <c r="BY541" s="20">
        <v>0</v>
      </c>
      <c r="BZ541" s="20">
        <v>7</v>
      </c>
      <c r="CA541" s="20">
        <v>0</v>
      </c>
      <c r="CB541" s="20">
        <v>0</v>
      </c>
      <c r="CC541" s="20">
        <v>74</v>
      </c>
      <c r="CD541" s="22" t="s">
        <v>1317</v>
      </c>
      <c r="CE541" s="22" t="s">
        <v>1318</v>
      </c>
      <c r="CF541" s="22" t="s">
        <v>1317</v>
      </c>
      <c r="CG541" s="22" t="s">
        <v>1318</v>
      </c>
      <c r="CH541" s="22" t="s">
        <v>1317</v>
      </c>
      <c r="CI541" s="22" t="s">
        <v>1318</v>
      </c>
      <c r="CJ541" s="149" t="s">
        <v>2554</v>
      </c>
      <c r="CK541" s="241" t="s">
        <v>1750</v>
      </c>
    </row>
    <row r="542" spans="1:89" ht="15" customHeight="1" x14ac:dyDescent="0.35">
      <c r="A542" s="17"/>
      <c r="B542" s="313">
        <v>35015</v>
      </c>
      <c r="C542" s="8" t="s">
        <v>305</v>
      </c>
      <c r="D542" s="18">
        <v>4</v>
      </c>
      <c r="E542" s="131" t="s">
        <v>1309</v>
      </c>
      <c r="F542" s="22" t="s">
        <v>1309</v>
      </c>
      <c r="G542" s="132" t="s">
        <v>1309</v>
      </c>
      <c r="H542" s="22" t="s">
        <v>1311</v>
      </c>
      <c r="I542" s="22" t="s">
        <v>1327</v>
      </c>
      <c r="J542" s="22" t="s">
        <v>1327</v>
      </c>
      <c r="K542" s="22" t="s">
        <v>1314</v>
      </c>
      <c r="L542" s="22" t="s">
        <v>1309</v>
      </c>
      <c r="M542" s="133" t="s">
        <v>1311</v>
      </c>
      <c r="N542" s="22" t="s">
        <v>1311</v>
      </c>
      <c r="O542" s="22" t="s">
        <v>1314</v>
      </c>
      <c r="P542" s="22" t="s">
        <v>1318</v>
      </c>
      <c r="Q542" s="20">
        <v>0</v>
      </c>
      <c r="R542" s="20">
        <v>0</v>
      </c>
      <c r="S542" s="20">
        <v>0</v>
      </c>
      <c r="T542" s="20">
        <v>0</v>
      </c>
      <c r="U542" s="20">
        <v>0</v>
      </c>
      <c r="V542" s="20">
        <v>0</v>
      </c>
      <c r="W542" s="20">
        <v>0</v>
      </c>
      <c r="X542" s="20">
        <v>0</v>
      </c>
      <c r="Y542" s="20">
        <v>0</v>
      </c>
      <c r="Z542" s="20">
        <v>0</v>
      </c>
      <c r="AA542" s="20" t="s">
        <v>1315</v>
      </c>
      <c r="AB542" s="22" t="s">
        <v>1318</v>
      </c>
      <c r="AC542" s="20">
        <v>0</v>
      </c>
      <c r="AD542" s="20">
        <v>0</v>
      </c>
      <c r="AE542" s="20">
        <v>0</v>
      </c>
      <c r="AF542" s="20">
        <v>0</v>
      </c>
      <c r="AG542" s="20">
        <v>0</v>
      </c>
      <c r="AH542" s="20">
        <v>0</v>
      </c>
      <c r="AI542" s="328" t="s">
        <v>1328</v>
      </c>
      <c r="AJ542" s="328" t="s">
        <v>1328</v>
      </c>
      <c r="AK542" s="328" t="s">
        <v>1328</v>
      </c>
      <c r="AL542" s="22" t="s">
        <v>1316</v>
      </c>
      <c r="AM542" s="22" t="s">
        <v>1316</v>
      </c>
      <c r="AN542" s="22" t="s">
        <v>1315</v>
      </c>
      <c r="AO542" s="22" t="s">
        <v>1315</v>
      </c>
      <c r="AP542" s="22" t="s">
        <v>1315</v>
      </c>
      <c r="AQ542" s="22" t="s">
        <v>1315</v>
      </c>
      <c r="AR542" s="22" t="s">
        <v>1317</v>
      </c>
      <c r="AS542" s="22" t="s">
        <v>1315</v>
      </c>
      <c r="AT542" s="22" t="s">
        <v>1309</v>
      </c>
      <c r="AU542" s="22" t="s">
        <v>1309</v>
      </c>
      <c r="AV542" s="22" t="s">
        <v>1317</v>
      </c>
      <c r="AW542" s="22" t="s">
        <v>1309</v>
      </c>
      <c r="AX542" s="22" t="s">
        <v>1317</v>
      </c>
      <c r="AY542" s="22" t="s">
        <v>1318</v>
      </c>
      <c r="AZ542" s="22" t="s">
        <v>1317</v>
      </c>
      <c r="BA542" s="22" t="s">
        <v>1318</v>
      </c>
      <c r="BB542" s="22" t="s">
        <v>1317</v>
      </c>
      <c r="BC542" s="22" t="s">
        <v>1318</v>
      </c>
      <c r="BD542" s="22" t="s">
        <v>1317</v>
      </c>
      <c r="BE542" s="22" t="s">
        <v>1318</v>
      </c>
      <c r="BF542" s="22" t="s">
        <v>1317</v>
      </c>
      <c r="BG542" s="22" t="s">
        <v>1318</v>
      </c>
      <c r="BH542" s="22" t="s">
        <v>1317</v>
      </c>
      <c r="BI542" s="22" t="s">
        <v>1318</v>
      </c>
      <c r="BJ542" s="22" t="s">
        <v>1317</v>
      </c>
      <c r="BK542" s="22" t="s">
        <v>1318</v>
      </c>
      <c r="BL542" s="22" t="s">
        <v>1317</v>
      </c>
      <c r="BM542" s="22" t="s">
        <v>1318</v>
      </c>
      <c r="BN542" s="22" t="s">
        <v>1317</v>
      </c>
      <c r="BO542" s="22" t="s">
        <v>1311</v>
      </c>
      <c r="BP542" s="22" t="s">
        <v>1309</v>
      </c>
      <c r="BQ542" s="22" t="s">
        <v>1309</v>
      </c>
      <c r="BR542" s="22" t="s">
        <v>1309</v>
      </c>
      <c r="BS542" s="22" t="s">
        <v>1309</v>
      </c>
      <c r="BT542" s="22" t="s">
        <v>1315</v>
      </c>
      <c r="BU542" s="22" t="s">
        <v>1315</v>
      </c>
      <c r="BV542" s="22" t="s">
        <v>1317</v>
      </c>
      <c r="BW542" s="22" t="s">
        <v>1318</v>
      </c>
      <c r="BX542" s="20">
        <v>4</v>
      </c>
      <c r="BY542" s="20">
        <v>1</v>
      </c>
      <c r="BZ542" s="20">
        <v>3</v>
      </c>
      <c r="CA542" s="20">
        <v>0</v>
      </c>
      <c r="CB542" s="20">
        <v>0</v>
      </c>
      <c r="CC542" s="20">
        <v>330</v>
      </c>
      <c r="CD542" s="22" t="s">
        <v>1345</v>
      </c>
      <c r="CE542" s="22" t="s">
        <v>1318</v>
      </c>
      <c r="CF542" s="22" t="s">
        <v>1317</v>
      </c>
      <c r="CG542" s="22" t="s">
        <v>1318</v>
      </c>
      <c r="CH542" s="22" t="s">
        <v>1317</v>
      </c>
      <c r="CI542" s="22" t="s">
        <v>1318</v>
      </c>
      <c r="CJ542" s="149" t="s">
        <v>2558</v>
      </c>
      <c r="CK542" s="241" t="s">
        <v>1124</v>
      </c>
    </row>
    <row r="543" spans="1:89" ht="15" customHeight="1" x14ac:dyDescent="0.35">
      <c r="A543" s="17"/>
      <c r="B543" s="315">
        <v>77065</v>
      </c>
      <c r="C543" s="9" t="s">
        <v>765</v>
      </c>
      <c r="D543" s="23">
        <v>15</v>
      </c>
      <c r="E543" s="131" t="s">
        <v>1319</v>
      </c>
      <c r="F543" s="22" t="s">
        <v>1490</v>
      </c>
      <c r="G543" s="132" t="s">
        <v>1309</v>
      </c>
      <c r="H543" s="22" t="s">
        <v>1311</v>
      </c>
      <c r="I543" s="22" t="s">
        <v>1312</v>
      </c>
      <c r="J543" s="22" t="s">
        <v>1327</v>
      </c>
      <c r="K543" s="22" t="s">
        <v>1319</v>
      </c>
      <c r="L543" s="22" t="s">
        <v>1311</v>
      </c>
      <c r="M543" s="133" t="s">
        <v>1311</v>
      </c>
      <c r="N543" s="22" t="s">
        <v>1311</v>
      </c>
      <c r="O543" s="22" t="s">
        <v>1314</v>
      </c>
      <c r="P543" s="22" t="s">
        <v>1311</v>
      </c>
      <c r="Q543" s="20">
        <v>0</v>
      </c>
      <c r="R543" s="20">
        <v>0</v>
      </c>
      <c r="S543" s="20">
        <v>28.480499999999999</v>
      </c>
      <c r="T543" s="20">
        <v>0</v>
      </c>
      <c r="U543" s="20">
        <v>0</v>
      </c>
      <c r="V543" s="20">
        <v>3.2240000000000002</v>
      </c>
      <c r="W543" s="20">
        <v>0</v>
      </c>
      <c r="X543" s="20">
        <v>0</v>
      </c>
      <c r="Y543" s="20">
        <v>0</v>
      </c>
      <c r="Z543" s="20">
        <v>0</v>
      </c>
      <c r="AA543" s="20" t="s">
        <v>1317</v>
      </c>
      <c r="AB543" s="22" t="s">
        <v>1311</v>
      </c>
      <c r="AC543" s="20">
        <v>1</v>
      </c>
      <c r="AD543" s="20">
        <v>0</v>
      </c>
      <c r="AE543" s="20">
        <v>0</v>
      </c>
      <c r="AF543" s="20">
        <v>2</v>
      </c>
      <c r="AG543" s="20">
        <v>0</v>
      </c>
      <c r="AH543" s="20">
        <v>0</v>
      </c>
      <c r="AI543" s="328">
        <v>5.2750962705069364</v>
      </c>
      <c r="AJ543" s="328" t="s">
        <v>1328</v>
      </c>
      <c r="AK543" s="328" t="s">
        <v>1328</v>
      </c>
      <c r="AL543" s="22" t="s">
        <v>1329</v>
      </c>
      <c r="AM543" s="22" t="s">
        <v>1330</v>
      </c>
      <c r="AN543" s="22" t="s">
        <v>1317</v>
      </c>
      <c r="AO543" s="22" t="s">
        <v>1318</v>
      </c>
      <c r="AP543" s="22" t="s">
        <v>1318</v>
      </c>
      <c r="AQ543" s="22" t="s">
        <v>1318</v>
      </c>
      <c r="AR543" s="22" t="s">
        <v>1317</v>
      </c>
      <c r="AS543" s="22" t="s">
        <v>1311</v>
      </c>
      <c r="AT543" s="22" t="s">
        <v>1319</v>
      </c>
      <c r="AU543" s="22" t="s">
        <v>1311</v>
      </c>
      <c r="AV543" s="22" t="s">
        <v>1317</v>
      </c>
      <c r="AW543" s="22" t="s">
        <v>1311</v>
      </c>
      <c r="AX543" s="22" t="s">
        <v>1317</v>
      </c>
      <c r="AY543" s="22" t="s">
        <v>1318</v>
      </c>
      <c r="AZ543" s="22" t="s">
        <v>1317</v>
      </c>
      <c r="BA543" s="22" t="s">
        <v>1318</v>
      </c>
      <c r="BB543" s="22" t="s">
        <v>1309</v>
      </c>
      <c r="BC543" s="22" t="s">
        <v>1309</v>
      </c>
      <c r="BD543" s="22" t="s">
        <v>1317</v>
      </c>
      <c r="BE543" s="22" t="s">
        <v>1318</v>
      </c>
      <c r="BF543" s="22" t="s">
        <v>1317</v>
      </c>
      <c r="BG543" s="22" t="s">
        <v>1318</v>
      </c>
      <c r="BH543" s="22" t="s">
        <v>1309</v>
      </c>
      <c r="BI543" s="22" t="s">
        <v>1309</v>
      </c>
      <c r="BJ543" s="22" t="s">
        <v>1309</v>
      </c>
      <c r="BK543" s="22" t="s">
        <v>1309</v>
      </c>
      <c r="BL543" s="22" t="s">
        <v>1317</v>
      </c>
      <c r="BM543" s="22" t="s">
        <v>1311</v>
      </c>
      <c r="BN543" s="22" t="s">
        <v>1317</v>
      </c>
      <c r="BO543" s="22" t="s">
        <v>1311</v>
      </c>
      <c r="BP543" s="22" t="s">
        <v>1315</v>
      </c>
      <c r="BQ543" s="22" t="s">
        <v>1315</v>
      </c>
      <c r="BR543" s="22" t="s">
        <v>1309</v>
      </c>
      <c r="BS543" s="22" t="s">
        <v>1309</v>
      </c>
      <c r="BT543" s="22" t="s">
        <v>1309</v>
      </c>
      <c r="BU543" s="22" t="s">
        <v>1309</v>
      </c>
      <c r="BV543" s="22" t="s">
        <v>1309</v>
      </c>
      <c r="BW543" s="22" t="s">
        <v>1309</v>
      </c>
      <c r="BX543" s="20">
        <v>0</v>
      </c>
      <c r="BY543" s="20">
        <v>0</v>
      </c>
      <c r="BZ543" s="20">
        <v>41</v>
      </c>
      <c r="CA543" s="20">
        <v>0</v>
      </c>
      <c r="CB543" s="20">
        <v>0</v>
      </c>
      <c r="CC543" s="20">
        <v>516</v>
      </c>
      <c r="CD543" s="22" t="s">
        <v>1317</v>
      </c>
      <c r="CE543" s="22" t="s">
        <v>1340</v>
      </c>
      <c r="CF543" s="22" t="s">
        <v>1317</v>
      </c>
      <c r="CG543" s="22" t="s">
        <v>1318</v>
      </c>
      <c r="CH543" s="22" t="s">
        <v>1317</v>
      </c>
      <c r="CI543" s="22" t="s">
        <v>1318</v>
      </c>
      <c r="CJ543" s="149" t="s">
        <v>1124</v>
      </c>
      <c r="CK543" s="241" t="s">
        <v>2564</v>
      </c>
    </row>
    <row r="544" spans="1:89" ht="15" customHeight="1" x14ac:dyDescent="0.35">
      <c r="A544" s="17"/>
      <c r="B544" s="313">
        <v>40010</v>
      </c>
      <c r="C544" s="8" t="s">
        <v>359</v>
      </c>
      <c r="D544" s="18">
        <v>5</v>
      </c>
      <c r="E544" s="131"/>
      <c r="F544" s="22"/>
      <c r="G544" s="132"/>
      <c r="H544" s="22"/>
      <c r="I544" s="22"/>
      <c r="J544" s="22"/>
      <c r="K544" s="22"/>
      <c r="L544" s="22"/>
      <c r="M544" s="133"/>
      <c r="N544" s="22"/>
      <c r="O544" s="22"/>
      <c r="P544" s="22"/>
      <c r="Q544" s="20"/>
      <c r="R544" s="20"/>
      <c r="S544" s="20"/>
      <c r="T544" s="20"/>
      <c r="U544" s="20"/>
      <c r="V544" s="20"/>
      <c r="W544" s="20"/>
      <c r="X544" s="20"/>
      <c r="Y544" s="20"/>
      <c r="Z544" s="20"/>
      <c r="AA544" s="20"/>
      <c r="AB544" s="22"/>
      <c r="AC544" s="20"/>
      <c r="AD544" s="20"/>
      <c r="AE544" s="20"/>
      <c r="AF544" s="20" t="s">
        <v>1124</v>
      </c>
      <c r="AG544" s="20" t="s">
        <v>1124</v>
      </c>
      <c r="AH544" s="20" t="s">
        <v>1124</v>
      </c>
      <c r="AI544" s="328"/>
      <c r="AJ544" s="328"/>
      <c r="AK544" s="328"/>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0"/>
      <c r="BY544" s="20"/>
      <c r="BZ544" s="20"/>
      <c r="CA544" s="20"/>
      <c r="CB544" s="20"/>
      <c r="CC544" s="20"/>
      <c r="CD544" s="22"/>
      <c r="CE544" s="22"/>
      <c r="CF544" s="22"/>
      <c r="CG544" s="22"/>
      <c r="CH544" s="22"/>
      <c r="CI544" s="22"/>
      <c r="CJ544" s="149"/>
      <c r="CK544" s="241"/>
    </row>
    <row r="545" spans="1:89" ht="15" customHeight="1" x14ac:dyDescent="0.35">
      <c r="A545" s="17"/>
      <c r="B545" s="313">
        <v>31095</v>
      </c>
      <c r="C545" s="8" t="s">
        <v>249</v>
      </c>
      <c r="D545" s="18">
        <v>12</v>
      </c>
      <c r="E545" s="131" t="s">
        <v>1309</v>
      </c>
      <c r="F545" s="22" t="s">
        <v>1309</v>
      </c>
      <c r="G545" s="132" t="s">
        <v>1309</v>
      </c>
      <c r="H545" s="22" t="s">
        <v>1311</v>
      </c>
      <c r="I545" s="22" t="s">
        <v>1327</v>
      </c>
      <c r="J545" s="22" t="s">
        <v>1327</v>
      </c>
      <c r="K545" s="22" t="s">
        <v>1314</v>
      </c>
      <c r="L545" s="22" t="s">
        <v>1311</v>
      </c>
      <c r="M545" s="133" t="s">
        <v>1311</v>
      </c>
      <c r="N545" s="22" t="s">
        <v>1311</v>
      </c>
      <c r="O545" s="22" t="s">
        <v>1314</v>
      </c>
      <c r="P545" s="22" t="s">
        <v>1318</v>
      </c>
      <c r="Q545" s="20">
        <v>0</v>
      </c>
      <c r="R545" s="20">
        <v>0</v>
      </c>
      <c r="S545" s="20">
        <v>0</v>
      </c>
      <c r="T545" s="20">
        <v>0</v>
      </c>
      <c r="U545" s="20">
        <v>0</v>
      </c>
      <c r="V545" s="20">
        <v>0</v>
      </c>
      <c r="W545" s="20">
        <v>0</v>
      </c>
      <c r="X545" s="20">
        <v>0</v>
      </c>
      <c r="Y545" s="20">
        <v>0</v>
      </c>
      <c r="Z545" s="20">
        <v>0</v>
      </c>
      <c r="AA545" s="20" t="s">
        <v>1315</v>
      </c>
      <c r="AB545" s="22" t="s">
        <v>1315</v>
      </c>
      <c r="AC545" s="20">
        <v>0</v>
      </c>
      <c r="AD545" s="20">
        <v>0</v>
      </c>
      <c r="AE545" s="20">
        <v>0</v>
      </c>
      <c r="AF545" s="20">
        <v>0</v>
      </c>
      <c r="AG545" s="20">
        <v>0</v>
      </c>
      <c r="AH545" s="20">
        <v>0</v>
      </c>
      <c r="AI545" s="328" t="s">
        <v>1328</v>
      </c>
      <c r="AJ545" s="328" t="s">
        <v>1328</v>
      </c>
      <c r="AK545" s="328" t="s">
        <v>1328</v>
      </c>
      <c r="AL545" s="22" t="s">
        <v>1329</v>
      </c>
      <c r="AM545" s="22" t="s">
        <v>1330</v>
      </c>
      <c r="AN545" s="22" t="s">
        <v>1317</v>
      </c>
      <c r="AO545" s="22" t="s">
        <v>1318</v>
      </c>
      <c r="AP545" s="22" t="s">
        <v>1318</v>
      </c>
      <c r="AQ545" s="22" t="s">
        <v>1318</v>
      </c>
      <c r="AR545" s="22" t="s">
        <v>1317</v>
      </c>
      <c r="AS545" s="22" t="s">
        <v>1318</v>
      </c>
      <c r="AT545" s="22" t="s">
        <v>1317</v>
      </c>
      <c r="AU545" s="22" t="s">
        <v>1318</v>
      </c>
      <c r="AV545" s="22" t="s">
        <v>1317</v>
      </c>
      <c r="AW545" s="22" t="s">
        <v>1318</v>
      </c>
      <c r="AX545" s="22" t="s">
        <v>1317</v>
      </c>
      <c r="AY545" s="22" t="s">
        <v>1318</v>
      </c>
      <c r="AZ545" s="22" t="s">
        <v>1317</v>
      </c>
      <c r="BA545" s="22" t="s">
        <v>1318</v>
      </c>
      <c r="BB545" s="22" t="s">
        <v>1317</v>
      </c>
      <c r="BC545" s="22" t="s">
        <v>1318</v>
      </c>
      <c r="BD545" s="22" t="s">
        <v>1317</v>
      </c>
      <c r="BE545" s="22" t="s">
        <v>1318</v>
      </c>
      <c r="BF545" s="22" t="s">
        <v>1317</v>
      </c>
      <c r="BG545" s="22" t="s">
        <v>1318</v>
      </c>
      <c r="BH545" s="22" t="s">
        <v>1317</v>
      </c>
      <c r="BI545" s="22" t="s">
        <v>1318</v>
      </c>
      <c r="BJ545" s="22" t="s">
        <v>1317</v>
      </c>
      <c r="BK545" s="22" t="s">
        <v>1318</v>
      </c>
      <c r="BL545" s="22" t="s">
        <v>1317</v>
      </c>
      <c r="BM545" s="22" t="s">
        <v>1318</v>
      </c>
      <c r="BN545" s="22" t="s">
        <v>1309</v>
      </c>
      <c r="BO545" s="22" t="s">
        <v>1309</v>
      </c>
      <c r="BP545" s="22" t="s">
        <v>1317</v>
      </c>
      <c r="BQ545" s="22" t="s">
        <v>1318</v>
      </c>
      <c r="BR545" s="22" t="s">
        <v>1317</v>
      </c>
      <c r="BS545" s="22" t="s">
        <v>1318</v>
      </c>
      <c r="BT545" s="22" t="s">
        <v>1309</v>
      </c>
      <c r="BU545" s="22" t="s">
        <v>1309</v>
      </c>
      <c r="BV545" s="22" t="s">
        <v>1317</v>
      </c>
      <c r="BW545" s="22" t="s">
        <v>1318</v>
      </c>
      <c r="BX545" s="20">
        <v>0</v>
      </c>
      <c r="BY545" s="20">
        <v>0</v>
      </c>
      <c r="BZ545" s="20">
        <v>4</v>
      </c>
      <c r="CA545" s="20">
        <v>0</v>
      </c>
      <c r="CB545" s="20">
        <v>0</v>
      </c>
      <c r="CC545" s="20">
        <v>25</v>
      </c>
      <c r="CD545" s="22" t="s">
        <v>1317</v>
      </c>
      <c r="CE545" s="22" t="s">
        <v>1318</v>
      </c>
      <c r="CF545" s="22" t="s">
        <v>1317</v>
      </c>
      <c r="CG545" s="22" t="s">
        <v>1318</v>
      </c>
      <c r="CH545" s="22" t="s">
        <v>1317</v>
      </c>
      <c r="CI545" s="22" t="s">
        <v>1318</v>
      </c>
      <c r="CJ545" s="149" t="s">
        <v>1124</v>
      </c>
      <c r="CK545" s="241" t="s">
        <v>1386</v>
      </c>
    </row>
    <row r="546" spans="1:89" ht="15" customHeight="1" x14ac:dyDescent="0.35">
      <c r="A546" s="17"/>
      <c r="B546" s="313">
        <v>33045</v>
      </c>
      <c r="C546" s="8" t="s">
        <v>273</v>
      </c>
      <c r="D546" s="18">
        <v>12</v>
      </c>
      <c r="E546" s="131" t="s">
        <v>1309</v>
      </c>
      <c r="F546" s="22" t="s">
        <v>1309</v>
      </c>
      <c r="G546" s="132" t="s">
        <v>1309</v>
      </c>
      <c r="H546" s="22" t="s">
        <v>1311</v>
      </c>
      <c r="I546" s="22" t="s">
        <v>1327</v>
      </c>
      <c r="J546" s="22" t="s">
        <v>1327</v>
      </c>
      <c r="K546" s="22" t="s">
        <v>1309</v>
      </c>
      <c r="L546" s="22" t="s">
        <v>1309</v>
      </c>
      <c r="M546" s="133" t="s">
        <v>1311</v>
      </c>
      <c r="N546" s="22" t="s">
        <v>1311</v>
      </c>
      <c r="O546" s="22" t="s">
        <v>1309</v>
      </c>
      <c r="P546" s="22" t="s">
        <v>1309</v>
      </c>
      <c r="Q546" s="20">
        <v>24.423999999999999</v>
      </c>
      <c r="R546" s="20">
        <v>24.423999999999999</v>
      </c>
      <c r="S546" s="20">
        <v>0</v>
      </c>
      <c r="T546" s="20">
        <v>0</v>
      </c>
      <c r="U546" s="20">
        <v>2</v>
      </c>
      <c r="V546" s="20">
        <v>10</v>
      </c>
      <c r="W546" s="20">
        <v>0</v>
      </c>
      <c r="X546" s="20">
        <v>0</v>
      </c>
      <c r="Y546" s="20">
        <v>0</v>
      </c>
      <c r="Z546" s="20">
        <v>0</v>
      </c>
      <c r="AA546" s="20" t="s">
        <v>1309</v>
      </c>
      <c r="AB546" s="22" t="s">
        <v>1309</v>
      </c>
      <c r="AC546" s="20">
        <v>4</v>
      </c>
      <c r="AD546" s="20">
        <v>0</v>
      </c>
      <c r="AE546" s="20">
        <v>0</v>
      </c>
      <c r="AF546" s="20">
        <v>1</v>
      </c>
      <c r="AG546" s="20">
        <v>0</v>
      </c>
      <c r="AH546" s="20">
        <v>0</v>
      </c>
      <c r="AI546" s="328">
        <v>16.377333770062233</v>
      </c>
      <c r="AJ546" s="328" t="s">
        <v>1328</v>
      </c>
      <c r="AK546" s="328" t="s">
        <v>1328</v>
      </c>
      <c r="AL546" s="22" t="s">
        <v>1329</v>
      </c>
      <c r="AM546" s="22" t="s">
        <v>1330</v>
      </c>
      <c r="AN546" s="22" t="s">
        <v>1317</v>
      </c>
      <c r="AO546" s="22" t="s">
        <v>1318</v>
      </c>
      <c r="AP546" s="22" t="s">
        <v>1318</v>
      </c>
      <c r="AQ546" s="22" t="s">
        <v>1318</v>
      </c>
      <c r="AR546" s="22" t="s">
        <v>1317</v>
      </c>
      <c r="AS546" s="22" t="s">
        <v>1318</v>
      </c>
      <c r="AT546" s="22" t="s">
        <v>1317</v>
      </c>
      <c r="AU546" s="22" t="s">
        <v>1318</v>
      </c>
      <c r="AV546" s="22" t="s">
        <v>1309</v>
      </c>
      <c r="AW546" s="22" t="s">
        <v>1309</v>
      </c>
      <c r="AX546" s="22" t="s">
        <v>1317</v>
      </c>
      <c r="AY546" s="22" t="s">
        <v>1318</v>
      </c>
      <c r="AZ546" s="22" t="s">
        <v>1309</v>
      </c>
      <c r="BA546" s="22" t="s">
        <v>1309</v>
      </c>
      <c r="BB546" s="22" t="s">
        <v>1309</v>
      </c>
      <c r="BC546" s="22" t="s">
        <v>1309</v>
      </c>
      <c r="BD546" s="22" t="s">
        <v>1309</v>
      </c>
      <c r="BE546" s="22" t="s">
        <v>1309</v>
      </c>
      <c r="BF546" s="22" t="s">
        <v>1309</v>
      </c>
      <c r="BG546" s="22" t="s">
        <v>1309</v>
      </c>
      <c r="BH546" s="22" t="s">
        <v>1309</v>
      </c>
      <c r="BI546" s="22" t="s">
        <v>1309</v>
      </c>
      <c r="BJ546" s="22" t="s">
        <v>1317</v>
      </c>
      <c r="BK546" s="22" t="s">
        <v>1318</v>
      </c>
      <c r="BL546" s="22" t="s">
        <v>1309</v>
      </c>
      <c r="BM546" s="22" t="s">
        <v>1309</v>
      </c>
      <c r="BN546" s="22" t="s">
        <v>1309</v>
      </c>
      <c r="BO546" s="22" t="s">
        <v>1309</v>
      </c>
      <c r="BP546" s="22" t="s">
        <v>1315</v>
      </c>
      <c r="BQ546" s="22" t="s">
        <v>1311</v>
      </c>
      <c r="BR546" s="22" t="s">
        <v>1309</v>
      </c>
      <c r="BS546" s="22" t="s">
        <v>1309</v>
      </c>
      <c r="BT546" s="22" t="s">
        <v>1317</v>
      </c>
      <c r="BU546" s="22" t="s">
        <v>1318</v>
      </c>
      <c r="BV546" s="22" t="s">
        <v>1317</v>
      </c>
      <c r="BW546" s="22" t="s">
        <v>1318</v>
      </c>
      <c r="BX546" s="20">
        <v>112</v>
      </c>
      <c r="BY546" s="20">
        <v>0</v>
      </c>
      <c r="BZ546" s="20">
        <v>0</v>
      </c>
      <c r="CA546" s="20">
        <v>1147</v>
      </c>
      <c r="CB546" s="20">
        <v>130</v>
      </c>
      <c r="CC546" s="20">
        <v>0</v>
      </c>
      <c r="CD546" s="22" t="s">
        <v>1331</v>
      </c>
      <c r="CE546" s="22" t="s">
        <v>1331</v>
      </c>
      <c r="CF546" s="22" t="s">
        <v>1331</v>
      </c>
      <c r="CG546" s="22" t="s">
        <v>1331</v>
      </c>
      <c r="CH546" s="22" t="s">
        <v>1317</v>
      </c>
      <c r="CI546" s="22" t="s">
        <v>1318</v>
      </c>
      <c r="CJ546" s="149" t="s">
        <v>1124</v>
      </c>
      <c r="CK546" s="241" t="s">
        <v>1124</v>
      </c>
    </row>
    <row r="547" spans="1:89" ht="15" customHeight="1" x14ac:dyDescent="0.35">
      <c r="A547" s="17"/>
      <c r="B547" s="313">
        <v>53015</v>
      </c>
      <c r="C547" s="8" t="s">
        <v>532</v>
      </c>
      <c r="D547" s="18">
        <v>16</v>
      </c>
      <c r="E547" s="131" t="s">
        <v>1309</v>
      </c>
      <c r="F547" s="22" t="s">
        <v>1309</v>
      </c>
      <c r="G547" s="132" t="s">
        <v>1309</v>
      </c>
      <c r="H547" s="22" t="s">
        <v>1311</v>
      </c>
      <c r="I547" s="22" t="s">
        <v>1315</v>
      </c>
      <c r="J547" s="22" t="s">
        <v>1315</v>
      </c>
      <c r="K547" s="22" t="s">
        <v>1309</v>
      </c>
      <c r="L547" s="22" t="s">
        <v>1309</v>
      </c>
      <c r="M547" s="133" t="s">
        <v>1311</v>
      </c>
      <c r="N547" s="22" t="s">
        <v>1311</v>
      </c>
      <c r="O547" s="22" t="s">
        <v>1309</v>
      </c>
      <c r="P547" s="22" t="s">
        <v>1309</v>
      </c>
      <c r="Q547" s="20">
        <v>0</v>
      </c>
      <c r="R547" s="20">
        <v>0</v>
      </c>
      <c r="S547" s="20">
        <v>0</v>
      </c>
      <c r="T547" s="20">
        <v>0</v>
      </c>
      <c r="U547" s="20">
        <v>0</v>
      </c>
      <c r="V547" s="20">
        <v>0</v>
      </c>
      <c r="W547" s="20">
        <v>0</v>
      </c>
      <c r="X547" s="20">
        <v>0</v>
      </c>
      <c r="Y547" s="20">
        <v>0</v>
      </c>
      <c r="Z547" s="20">
        <v>0</v>
      </c>
      <c r="AA547" s="20" t="s">
        <v>1317</v>
      </c>
      <c r="AB547" s="22" t="s">
        <v>1318</v>
      </c>
      <c r="AC547" s="20">
        <v>0</v>
      </c>
      <c r="AD547" s="20">
        <v>0</v>
      </c>
      <c r="AE547" s="20">
        <v>0</v>
      </c>
      <c r="AF547" s="20">
        <v>0</v>
      </c>
      <c r="AG547" s="20">
        <v>0</v>
      </c>
      <c r="AH547" s="20">
        <v>0</v>
      </c>
      <c r="AI547" s="328" t="s">
        <v>1328</v>
      </c>
      <c r="AJ547" s="328" t="s">
        <v>1328</v>
      </c>
      <c r="AK547" s="328" t="s">
        <v>1328</v>
      </c>
      <c r="AL547" s="22" t="s">
        <v>1316</v>
      </c>
      <c r="AM547" s="22" t="s">
        <v>1316</v>
      </c>
      <c r="AN547" s="22" t="s">
        <v>1317</v>
      </c>
      <c r="AO547" s="22" t="s">
        <v>1318</v>
      </c>
      <c r="AP547" s="22" t="s">
        <v>1318</v>
      </c>
      <c r="AQ547" s="22" t="s">
        <v>1318</v>
      </c>
      <c r="AR547" s="22" t="s">
        <v>1317</v>
      </c>
      <c r="AS547" s="22" t="s">
        <v>1318</v>
      </c>
      <c r="AT547" s="22" t="s">
        <v>1317</v>
      </c>
      <c r="AU547" s="22" t="s">
        <v>1318</v>
      </c>
      <c r="AV547" s="22" t="s">
        <v>1317</v>
      </c>
      <c r="AW547" s="22" t="s">
        <v>1318</v>
      </c>
      <c r="AX547" s="22" t="s">
        <v>1317</v>
      </c>
      <c r="AY547" s="22" t="s">
        <v>1318</v>
      </c>
      <c r="AZ547" s="22" t="s">
        <v>1317</v>
      </c>
      <c r="BA547" s="22" t="s">
        <v>1318</v>
      </c>
      <c r="BB547" s="22" t="s">
        <v>1309</v>
      </c>
      <c r="BC547" s="22" t="s">
        <v>1309</v>
      </c>
      <c r="BD547" s="22" t="s">
        <v>1309</v>
      </c>
      <c r="BE547" s="22" t="s">
        <v>1309</v>
      </c>
      <c r="BF547" s="22" t="s">
        <v>1309</v>
      </c>
      <c r="BG547" s="22" t="s">
        <v>1309</v>
      </c>
      <c r="BH547" s="22" t="s">
        <v>1317</v>
      </c>
      <c r="BI547" s="22" t="s">
        <v>1318</v>
      </c>
      <c r="BJ547" s="22" t="s">
        <v>1317</v>
      </c>
      <c r="BK547" s="22" t="s">
        <v>1318</v>
      </c>
      <c r="BL547" s="22" t="s">
        <v>1317</v>
      </c>
      <c r="BM547" s="22" t="s">
        <v>1318</v>
      </c>
      <c r="BN547" s="22" t="s">
        <v>1317</v>
      </c>
      <c r="BO547" s="22" t="s">
        <v>1311</v>
      </c>
      <c r="BP547" s="22" t="s">
        <v>1315</v>
      </c>
      <c r="BQ547" s="22" t="s">
        <v>1315</v>
      </c>
      <c r="BR547" s="22" t="s">
        <v>1309</v>
      </c>
      <c r="BS547" s="22" t="s">
        <v>1309</v>
      </c>
      <c r="BT547" s="22" t="s">
        <v>1309</v>
      </c>
      <c r="BU547" s="22" t="s">
        <v>1309</v>
      </c>
      <c r="BV547" s="22" t="s">
        <v>1317</v>
      </c>
      <c r="BW547" s="22" t="s">
        <v>1318</v>
      </c>
      <c r="BX547" s="20">
        <v>50</v>
      </c>
      <c r="BY547" s="20">
        <v>0</v>
      </c>
      <c r="BZ547" s="20">
        <v>0</v>
      </c>
      <c r="CA547" s="20">
        <v>221</v>
      </c>
      <c r="CB547" s="20">
        <v>0</v>
      </c>
      <c r="CC547" s="20">
        <v>27</v>
      </c>
      <c r="CD547" s="22" t="s">
        <v>1331</v>
      </c>
      <c r="CE547" s="22" t="s">
        <v>1331</v>
      </c>
      <c r="CF547" s="22" t="s">
        <v>1315</v>
      </c>
      <c r="CG547" s="22" t="s">
        <v>1315</v>
      </c>
      <c r="CH547" s="22" t="s">
        <v>1317</v>
      </c>
      <c r="CI547" s="22" t="s">
        <v>1318</v>
      </c>
      <c r="CJ547" s="149" t="s">
        <v>1124</v>
      </c>
      <c r="CK547" s="241" t="s">
        <v>1124</v>
      </c>
    </row>
    <row r="548" spans="1:89" ht="15" customHeight="1" x14ac:dyDescent="0.35">
      <c r="A548" s="17"/>
      <c r="B548" s="313">
        <v>15030</v>
      </c>
      <c r="C548" s="8" t="s">
        <v>80</v>
      </c>
      <c r="D548" s="18">
        <v>3</v>
      </c>
      <c r="E548" s="131"/>
      <c r="F548" s="22"/>
      <c r="G548" s="132"/>
      <c r="H548" s="22"/>
      <c r="I548" s="22"/>
      <c r="J548" s="22"/>
      <c r="K548" s="22"/>
      <c r="L548" s="22"/>
      <c r="M548" s="133"/>
      <c r="N548" s="22"/>
      <c r="O548" s="22"/>
      <c r="P548" s="22"/>
      <c r="Q548" s="20"/>
      <c r="R548" s="20"/>
      <c r="S548" s="20"/>
      <c r="T548" s="20"/>
      <c r="U548" s="20"/>
      <c r="V548" s="20"/>
      <c r="W548" s="20"/>
      <c r="X548" s="20"/>
      <c r="Y548" s="20"/>
      <c r="Z548" s="20"/>
      <c r="AA548" s="20"/>
      <c r="AB548" s="22"/>
      <c r="AC548" s="20"/>
      <c r="AD548" s="20"/>
      <c r="AE548" s="20"/>
      <c r="AF548" s="20" t="s">
        <v>1124</v>
      </c>
      <c r="AG548" s="20" t="s">
        <v>1124</v>
      </c>
      <c r="AH548" s="20" t="s">
        <v>1124</v>
      </c>
      <c r="AI548" s="328"/>
      <c r="AJ548" s="328"/>
      <c r="AK548" s="328"/>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0"/>
      <c r="BY548" s="20"/>
      <c r="BZ548" s="20"/>
      <c r="CA548" s="20"/>
      <c r="CB548" s="20"/>
      <c r="CC548" s="20"/>
      <c r="CD548" s="22"/>
      <c r="CE548" s="22"/>
      <c r="CF548" s="22"/>
      <c r="CG548" s="22"/>
      <c r="CH548" s="22"/>
      <c r="CI548" s="22"/>
      <c r="CJ548" s="149"/>
      <c r="CK548" s="241"/>
    </row>
    <row r="549" spans="1:89" ht="15" customHeight="1" x14ac:dyDescent="0.35">
      <c r="A549" s="17"/>
      <c r="B549" s="313">
        <v>79022</v>
      </c>
      <c r="C549" s="8" t="s">
        <v>789</v>
      </c>
      <c r="D549" s="18">
        <v>15</v>
      </c>
      <c r="E549" s="131" t="s">
        <v>1309</v>
      </c>
      <c r="F549" s="22" t="s">
        <v>1309</v>
      </c>
      <c r="G549" s="132" t="s">
        <v>1309</v>
      </c>
      <c r="H549" s="22" t="s">
        <v>1311</v>
      </c>
      <c r="I549" s="22" t="s">
        <v>1327</v>
      </c>
      <c r="J549" s="22" t="s">
        <v>1342</v>
      </c>
      <c r="K549" s="22" t="s">
        <v>1314</v>
      </c>
      <c r="L549" s="22" t="s">
        <v>1311</v>
      </c>
      <c r="M549" s="133" t="s">
        <v>1311</v>
      </c>
      <c r="N549" s="22" t="s">
        <v>1311</v>
      </c>
      <c r="O549" s="22" t="s">
        <v>1314</v>
      </c>
      <c r="P549" s="22" t="s">
        <v>1318</v>
      </c>
      <c r="Q549" s="20">
        <v>0</v>
      </c>
      <c r="R549" s="20">
        <v>0</v>
      </c>
      <c r="S549" s="20">
        <v>0</v>
      </c>
      <c r="T549" s="20">
        <v>0</v>
      </c>
      <c r="U549" s="20">
        <v>0.8</v>
      </c>
      <c r="V549" s="20">
        <v>0</v>
      </c>
      <c r="W549" s="20">
        <v>0</v>
      </c>
      <c r="X549" s="20">
        <v>0</v>
      </c>
      <c r="Y549" s="20">
        <v>0</v>
      </c>
      <c r="Z549" s="20">
        <v>0</v>
      </c>
      <c r="AA549" s="20" t="s">
        <v>1317</v>
      </c>
      <c r="AB549" s="22" t="s">
        <v>1318</v>
      </c>
      <c r="AC549" s="20">
        <v>0</v>
      </c>
      <c r="AD549" s="20">
        <v>0</v>
      </c>
      <c r="AE549" s="20">
        <v>0</v>
      </c>
      <c r="AF549" s="20">
        <v>0</v>
      </c>
      <c r="AG549" s="20">
        <v>0</v>
      </c>
      <c r="AH549" s="20">
        <v>0</v>
      </c>
      <c r="AI549" s="328" t="s">
        <v>1328</v>
      </c>
      <c r="AJ549" s="328" t="s">
        <v>1328</v>
      </c>
      <c r="AK549" s="328" t="s">
        <v>1328</v>
      </c>
      <c r="AL549" s="22" t="s">
        <v>1329</v>
      </c>
      <c r="AM549" s="22" t="s">
        <v>1330</v>
      </c>
      <c r="AN549" s="22" t="s">
        <v>1317</v>
      </c>
      <c r="AO549" s="22" t="s">
        <v>1318</v>
      </c>
      <c r="AP549" s="22" t="s">
        <v>1318</v>
      </c>
      <c r="AQ549" s="22" t="s">
        <v>1318</v>
      </c>
      <c r="AR549" s="22" t="s">
        <v>1317</v>
      </c>
      <c r="AS549" s="22" t="s">
        <v>1318</v>
      </c>
      <c r="AT549" s="22" t="s">
        <v>1309</v>
      </c>
      <c r="AU549" s="22" t="s">
        <v>1311</v>
      </c>
      <c r="AV549" s="22" t="s">
        <v>1317</v>
      </c>
      <c r="AW549" s="22" t="s">
        <v>1318</v>
      </c>
      <c r="AX549" s="22" t="s">
        <v>1317</v>
      </c>
      <c r="AY549" s="22" t="s">
        <v>1318</v>
      </c>
      <c r="AZ549" s="22" t="s">
        <v>1309</v>
      </c>
      <c r="BA549" s="22" t="s">
        <v>1311</v>
      </c>
      <c r="BB549" s="22" t="s">
        <v>1317</v>
      </c>
      <c r="BC549" s="22" t="s">
        <v>1318</v>
      </c>
      <c r="BD549" s="22" t="s">
        <v>1317</v>
      </c>
      <c r="BE549" s="22" t="s">
        <v>1318</v>
      </c>
      <c r="BF549" s="22" t="s">
        <v>1317</v>
      </c>
      <c r="BG549" s="22" t="s">
        <v>1318</v>
      </c>
      <c r="BH549" s="22" t="s">
        <v>1309</v>
      </c>
      <c r="BI549" s="22" t="s">
        <v>1309</v>
      </c>
      <c r="BJ549" s="22" t="s">
        <v>1317</v>
      </c>
      <c r="BK549" s="22" t="s">
        <v>1318</v>
      </c>
      <c r="BL549" s="22" t="s">
        <v>1317</v>
      </c>
      <c r="BM549" s="22" t="s">
        <v>1318</v>
      </c>
      <c r="BN549" s="22" t="s">
        <v>1309</v>
      </c>
      <c r="BO549" s="22" t="s">
        <v>1309</v>
      </c>
      <c r="BP549" s="22" t="s">
        <v>1315</v>
      </c>
      <c r="BQ549" s="22" t="s">
        <v>1315</v>
      </c>
      <c r="BR549" s="22" t="s">
        <v>1309</v>
      </c>
      <c r="BS549" s="22" t="s">
        <v>1311</v>
      </c>
      <c r="BT549" s="22" t="s">
        <v>1315</v>
      </c>
      <c r="BU549" s="22" t="s">
        <v>1315</v>
      </c>
      <c r="BV549" s="22" t="s">
        <v>1317</v>
      </c>
      <c r="BW549" s="22" t="s">
        <v>1318</v>
      </c>
      <c r="BX549" s="20">
        <v>0</v>
      </c>
      <c r="BY549" s="20">
        <v>0</v>
      </c>
      <c r="BZ549" s="20">
        <v>2</v>
      </c>
      <c r="CA549" s="20">
        <v>0</v>
      </c>
      <c r="CB549" s="20">
        <v>0</v>
      </c>
      <c r="CC549" s="20">
        <v>46</v>
      </c>
      <c r="CD549" s="22" t="s">
        <v>1317</v>
      </c>
      <c r="CE549" s="22" t="s">
        <v>1318</v>
      </c>
      <c r="CF549" s="22" t="s">
        <v>1317</v>
      </c>
      <c r="CG549" s="22" t="s">
        <v>1318</v>
      </c>
      <c r="CH549" s="22" t="s">
        <v>1317</v>
      </c>
      <c r="CI549" s="22" t="s">
        <v>1318</v>
      </c>
      <c r="CJ549" s="149" t="s">
        <v>1124</v>
      </c>
      <c r="CK549" s="241" t="s">
        <v>1124</v>
      </c>
    </row>
    <row r="550" spans="1:89" ht="15" customHeight="1" x14ac:dyDescent="0.35">
      <c r="A550" s="17"/>
      <c r="B550" s="313">
        <v>34097</v>
      </c>
      <c r="C550" s="8" t="s">
        <v>297</v>
      </c>
      <c r="D550" s="18">
        <v>3</v>
      </c>
      <c r="E550" s="131" t="s">
        <v>1309</v>
      </c>
      <c r="F550" s="22" t="s">
        <v>1309</v>
      </c>
      <c r="G550" s="132" t="s">
        <v>1309</v>
      </c>
      <c r="H550" s="22" t="s">
        <v>1311</v>
      </c>
      <c r="I550" s="22" t="s">
        <v>1327</v>
      </c>
      <c r="J550" s="22" t="s">
        <v>1327</v>
      </c>
      <c r="K550" s="22" t="s">
        <v>1309</v>
      </c>
      <c r="L550" s="22" t="s">
        <v>1309</v>
      </c>
      <c r="M550" s="133" t="s">
        <v>1311</v>
      </c>
      <c r="N550" s="22" t="s">
        <v>1311</v>
      </c>
      <c r="O550" s="22" t="s">
        <v>1314</v>
      </c>
      <c r="P550" s="22" t="s">
        <v>1318</v>
      </c>
      <c r="Q550" s="20">
        <v>0</v>
      </c>
      <c r="R550" s="20">
        <v>0</v>
      </c>
      <c r="S550" s="20">
        <v>0</v>
      </c>
      <c r="T550" s="20">
        <v>0</v>
      </c>
      <c r="U550" s="20">
        <v>0</v>
      </c>
      <c r="V550" s="20">
        <v>7.24</v>
      </c>
      <c r="W550" s="20">
        <v>0</v>
      </c>
      <c r="X550" s="20">
        <v>0</v>
      </c>
      <c r="Y550" s="20">
        <v>0</v>
      </c>
      <c r="Z550" s="20">
        <v>0</v>
      </c>
      <c r="AA550" s="20" t="s">
        <v>1317</v>
      </c>
      <c r="AB550" s="22" t="s">
        <v>1318</v>
      </c>
      <c r="AC550" s="20">
        <v>0</v>
      </c>
      <c r="AD550" s="20">
        <v>1</v>
      </c>
      <c r="AE550" s="20">
        <v>2</v>
      </c>
      <c r="AF550" s="20">
        <v>0</v>
      </c>
      <c r="AG550" s="20">
        <v>4</v>
      </c>
      <c r="AH550" s="20">
        <v>4</v>
      </c>
      <c r="AI550" s="328" t="s">
        <v>1328</v>
      </c>
      <c r="AJ550" s="328">
        <v>2.0746887966804981</v>
      </c>
      <c r="AK550" s="328">
        <v>4.1493775933609962</v>
      </c>
      <c r="AL550" s="22" t="s">
        <v>1316</v>
      </c>
      <c r="AM550" s="22" t="s">
        <v>1316</v>
      </c>
      <c r="AN550" s="22" t="s">
        <v>1317</v>
      </c>
      <c r="AO550" s="22" t="s">
        <v>1318</v>
      </c>
      <c r="AP550" s="22" t="s">
        <v>1318</v>
      </c>
      <c r="AQ550" s="22" t="s">
        <v>1318</v>
      </c>
      <c r="AR550" s="22" t="s">
        <v>1317</v>
      </c>
      <c r="AS550" s="22" t="s">
        <v>1318</v>
      </c>
      <c r="AT550" s="22" t="s">
        <v>1317</v>
      </c>
      <c r="AU550" s="22" t="s">
        <v>1309</v>
      </c>
      <c r="AV550" s="22" t="s">
        <v>1317</v>
      </c>
      <c r="AW550" s="22" t="s">
        <v>1318</v>
      </c>
      <c r="AX550" s="22" t="s">
        <v>1317</v>
      </c>
      <c r="AY550" s="22" t="s">
        <v>1318</v>
      </c>
      <c r="AZ550" s="22" t="s">
        <v>1309</v>
      </c>
      <c r="BA550" s="22" t="s">
        <v>1309</v>
      </c>
      <c r="BB550" s="22" t="s">
        <v>1309</v>
      </c>
      <c r="BC550" s="22" t="s">
        <v>1309</v>
      </c>
      <c r="BD550" s="22" t="s">
        <v>1317</v>
      </c>
      <c r="BE550" s="22" t="s">
        <v>1318</v>
      </c>
      <c r="BF550" s="22" t="s">
        <v>1317</v>
      </c>
      <c r="BG550" s="22" t="s">
        <v>1318</v>
      </c>
      <c r="BH550" s="22" t="s">
        <v>1317</v>
      </c>
      <c r="BI550" s="22" t="s">
        <v>1318</v>
      </c>
      <c r="BJ550" s="22" t="s">
        <v>1317</v>
      </c>
      <c r="BK550" s="22" t="s">
        <v>1318</v>
      </c>
      <c r="BL550" s="22" t="s">
        <v>1317</v>
      </c>
      <c r="BM550" s="22" t="s">
        <v>1318</v>
      </c>
      <c r="BN550" s="22" t="s">
        <v>1309</v>
      </c>
      <c r="BO550" s="22" t="s">
        <v>1309</v>
      </c>
      <c r="BP550" s="22" t="s">
        <v>1309</v>
      </c>
      <c r="BQ550" s="22" t="s">
        <v>1309</v>
      </c>
      <c r="BR550" s="22" t="s">
        <v>1317</v>
      </c>
      <c r="BS550" s="22" t="s">
        <v>1318</v>
      </c>
      <c r="BT550" s="22" t="s">
        <v>1317</v>
      </c>
      <c r="BU550" s="22" t="s">
        <v>1318</v>
      </c>
      <c r="BV550" s="22" t="s">
        <v>1309</v>
      </c>
      <c r="BW550" s="22" t="s">
        <v>1309</v>
      </c>
      <c r="BX550" s="20">
        <v>0</v>
      </c>
      <c r="BY550" s="20">
        <v>0</v>
      </c>
      <c r="BZ550" s="20">
        <v>18</v>
      </c>
      <c r="CA550" s="20">
        <v>0</v>
      </c>
      <c r="CB550" s="20">
        <v>0</v>
      </c>
      <c r="CC550" s="20">
        <v>455</v>
      </c>
      <c r="CD550" s="22" t="s">
        <v>1317</v>
      </c>
      <c r="CE550" s="22" t="s">
        <v>1318</v>
      </c>
      <c r="CF550" s="22" t="s">
        <v>1317</v>
      </c>
      <c r="CG550" s="22" t="s">
        <v>1318</v>
      </c>
      <c r="CH550" s="22" t="s">
        <v>1317</v>
      </c>
      <c r="CI550" s="22" t="s">
        <v>1318</v>
      </c>
      <c r="CJ550" s="149" t="s">
        <v>2582</v>
      </c>
      <c r="CK550" s="241" t="s">
        <v>2583</v>
      </c>
    </row>
    <row r="551" spans="1:89" ht="15" customHeight="1" x14ac:dyDescent="0.35">
      <c r="A551" s="17"/>
      <c r="B551" s="313">
        <v>39085</v>
      </c>
      <c r="C551" s="8" t="s">
        <v>348</v>
      </c>
      <c r="D551" s="18">
        <v>17</v>
      </c>
      <c r="E551" s="131"/>
      <c r="F551" s="22"/>
      <c r="G551" s="132"/>
      <c r="H551" s="22"/>
      <c r="I551" s="22"/>
      <c r="J551" s="22"/>
      <c r="K551" s="22"/>
      <c r="L551" s="22"/>
      <c r="M551" s="133"/>
      <c r="N551" s="22"/>
      <c r="O551" s="22"/>
      <c r="P551" s="22"/>
      <c r="Q551" s="20"/>
      <c r="R551" s="20"/>
      <c r="S551" s="20"/>
      <c r="T551" s="20"/>
      <c r="U551" s="20"/>
      <c r="V551" s="20"/>
      <c r="W551" s="20"/>
      <c r="X551" s="20"/>
      <c r="Y551" s="20"/>
      <c r="Z551" s="20"/>
      <c r="AA551" s="20"/>
      <c r="AB551" s="22"/>
      <c r="AC551" s="20"/>
      <c r="AD551" s="20"/>
      <c r="AE551" s="20"/>
      <c r="AF551" s="20" t="s">
        <v>1124</v>
      </c>
      <c r="AG551" s="20" t="s">
        <v>1124</v>
      </c>
      <c r="AH551" s="20" t="s">
        <v>1124</v>
      </c>
      <c r="AI551" s="328"/>
      <c r="AJ551" s="328"/>
      <c r="AK551" s="328"/>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0"/>
      <c r="BY551" s="20"/>
      <c r="BZ551" s="20"/>
      <c r="CA551" s="20"/>
      <c r="CB551" s="20"/>
      <c r="CC551" s="20"/>
      <c r="CD551" s="22"/>
      <c r="CE551" s="22"/>
      <c r="CF551" s="22"/>
      <c r="CG551" s="22"/>
      <c r="CH551" s="22"/>
      <c r="CI551" s="22"/>
      <c r="CJ551" s="149"/>
      <c r="CK551" s="241"/>
    </row>
    <row r="552" spans="1:89" ht="15" customHeight="1" x14ac:dyDescent="0.35">
      <c r="A552" s="17"/>
      <c r="B552" s="313">
        <v>56055</v>
      </c>
      <c r="C552" s="8" t="s">
        <v>575</v>
      </c>
      <c r="D552" s="18">
        <v>16</v>
      </c>
      <c r="E552" s="131" t="s">
        <v>1309</v>
      </c>
      <c r="F552" s="22" t="s">
        <v>1309</v>
      </c>
      <c r="G552" s="132" t="s">
        <v>1309</v>
      </c>
      <c r="H552" s="22" t="s">
        <v>1311</v>
      </c>
      <c r="I552" s="22" t="s">
        <v>1327</v>
      </c>
      <c r="J552" s="22" t="s">
        <v>1327</v>
      </c>
      <c r="K552" s="22" t="s">
        <v>1309</v>
      </c>
      <c r="L552" s="22" t="s">
        <v>1309</v>
      </c>
      <c r="M552" s="133" t="s">
        <v>1311</v>
      </c>
      <c r="N552" s="22" t="s">
        <v>1311</v>
      </c>
      <c r="O552" s="22" t="s">
        <v>1309</v>
      </c>
      <c r="P552" s="22" t="s">
        <v>1309</v>
      </c>
      <c r="Q552" s="20">
        <v>0</v>
      </c>
      <c r="R552" s="20">
        <v>0</v>
      </c>
      <c r="S552" s="20">
        <v>0</v>
      </c>
      <c r="T552" s="20">
        <v>0</v>
      </c>
      <c r="U552" s="20">
        <v>0</v>
      </c>
      <c r="V552" s="20">
        <v>0</v>
      </c>
      <c r="W552" s="20">
        <v>0</v>
      </c>
      <c r="X552" s="20">
        <v>0</v>
      </c>
      <c r="Y552" s="20">
        <v>0</v>
      </c>
      <c r="Z552" s="20">
        <v>0</v>
      </c>
      <c r="AA552" s="20" t="s">
        <v>1317</v>
      </c>
      <c r="AB552" s="22" t="s">
        <v>1318</v>
      </c>
      <c r="AC552" s="20">
        <v>0</v>
      </c>
      <c r="AD552" s="20">
        <v>0</v>
      </c>
      <c r="AE552" s="20">
        <v>0</v>
      </c>
      <c r="AF552" s="20">
        <v>0</v>
      </c>
      <c r="AG552" s="20">
        <v>0</v>
      </c>
      <c r="AH552" s="20">
        <v>0</v>
      </c>
      <c r="AI552" s="328" t="s">
        <v>1328</v>
      </c>
      <c r="AJ552" s="328" t="s">
        <v>1328</v>
      </c>
      <c r="AK552" s="328" t="s">
        <v>1328</v>
      </c>
      <c r="AL552" s="22" t="s">
        <v>1315</v>
      </c>
      <c r="AM552" s="22" t="s">
        <v>1315</v>
      </c>
      <c r="AN552" s="22" t="s">
        <v>1317</v>
      </c>
      <c r="AO552" s="22" t="s">
        <v>1318</v>
      </c>
      <c r="AP552" s="22" t="s">
        <v>1318</v>
      </c>
      <c r="AQ552" s="22" t="s">
        <v>1318</v>
      </c>
      <c r="AR552" s="22" t="s">
        <v>1317</v>
      </c>
      <c r="AS552" s="22" t="s">
        <v>1317</v>
      </c>
      <c r="AT552" s="22" t="s">
        <v>1317</v>
      </c>
      <c r="AU552" s="22" t="s">
        <v>1317</v>
      </c>
      <c r="AV552" s="22" t="s">
        <v>1309</v>
      </c>
      <c r="AW552" s="22" t="s">
        <v>1309</v>
      </c>
      <c r="AX552" s="22" t="s">
        <v>1317</v>
      </c>
      <c r="AY552" s="22" t="s">
        <v>1317</v>
      </c>
      <c r="AZ552" s="22" t="s">
        <v>1309</v>
      </c>
      <c r="BA552" s="22" t="s">
        <v>1309</v>
      </c>
      <c r="BB552" s="22" t="s">
        <v>1309</v>
      </c>
      <c r="BC552" s="22" t="s">
        <v>1309</v>
      </c>
      <c r="BD552" s="22" t="s">
        <v>1309</v>
      </c>
      <c r="BE552" s="22" t="s">
        <v>1309</v>
      </c>
      <c r="BF552" s="22" t="s">
        <v>1309</v>
      </c>
      <c r="BG552" s="22" t="s">
        <v>1309</v>
      </c>
      <c r="BH552" s="22" t="s">
        <v>1309</v>
      </c>
      <c r="BI552" s="22" t="s">
        <v>1309</v>
      </c>
      <c r="BJ552" s="22" t="s">
        <v>1317</v>
      </c>
      <c r="BK552" s="22" t="s">
        <v>1318</v>
      </c>
      <c r="BL552" s="22" t="s">
        <v>1309</v>
      </c>
      <c r="BM552" s="22" t="s">
        <v>1309</v>
      </c>
      <c r="BN552" s="22" t="s">
        <v>1317</v>
      </c>
      <c r="BO552" s="22" t="s">
        <v>1318</v>
      </c>
      <c r="BP552" s="22" t="s">
        <v>1317</v>
      </c>
      <c r="BQ552" s="22" t="s">
        <v>1318</v>
      </c>
      <c r="BR552" s="22" t="s">
        <v>1309</v>
      </c>
      <c r="BS552" s="22" t="s">
        <v>1309</v>
      </c>
      <c r="BT552" s="22" t="s">
        <v>1317</v>
      </c>
      <c r="BU552" s="22" t="s">
        <v>1318</v>
      </c>
      <c r="BV552" s="22" t="s">
        <v>1309</v>
      </c>
      <c r="BW552" s="22" t="s">
        <v>1309</v>
      </c>
      <c r="BX552" s="20">
        <v>26</v>
      </c>
      <c r="BY552" s="20">
        <v>0</v>
      </c>
      <c r="BZ552" s="20">
        <v>1</v>
      </c>
      <c r="CA552" s="20">
        <v>613</v>
      </c>
      <c r="CB552" s="20">
        <v>0</v>
      </c>
      <c r="CC552" s="20">
        <v>9</v>
      </c>
      <c r="CD552" s="22" t="s">
        <v>1331</v>
      </c>
      <c r="CE552" s="22" t="s">
        <v>1331</v>
      </c>
      <c r="CF552" s="22" t="s">
        <v>1315</v>
      </c>
      <c r="CG552" s="22" t="s">
        <v>1315</v>
      </c>
      <c r="CH552" s="22" t="s">
        <v>1315</v>
      </c>
      <c r="CI552" s="22" t="s">
        <v>1315</v>
      </c>
      <c r="CJ552" s="149" t="s">
        <v>1124</v>
      </c>
      <c r="CK552" s="241" t="s">
        <v>1533</v>
      </c>
    </row>
    <row r="553" spans="1:89" ht="15" customHeight="1" x14ac:dyDescent="0.35">
      <c r="A553" s="17"/>
      <c r="B553" s="313">
        <v>14035</v>
      </c>
      <c r="C553" s="8" t="s">
        <v>65</v>
      </c>
      <c r="D553" s="18">
        <v>1</v>
      </c>
      <c r="E553" s="131" t="s">
        <v>1309</v>
      </c>
      <c r="F553" s="22" t="s">
        <v>1309</v>
      </c>
      <c r="G553" s="132" t="s">
        <v>1309</v>
      </c>
      <c r="H553" s="22" t="s">
        <v>1311</v>
      </c>
      <c r="I553" s="22" t="s">
        <v>1327</v>
      </c>
      <c r="J553" s="22" t="s">
        <v>1327</v>
      </c>
      <c r="K553" s="22" t="s">
        <v>1309</v>
      </c>
      <c r="L553" s="22" t="s">
        <v>1309</v>
      </c>
      <c r="M553" s="133" t="s">
        <v>1311</v>
      </c>
      <c r="N553" s="22" t="s">
        <v>1311</v>
      </c>
      <c r="O553" s="22" t="s">
        <v>1314</v>
      </c>
      <c r="P553" s="22" t="s">
        <v>1318</v>
      </c>
      <c r="Q553" s="20">
        <v>0</v>
      </c>
      <c r="R553" s="20">
        <v>0</v>
      </c>
      <c r="S553" s="20">
        <v>0</v>
      </c>
      <c r="T553" s="20">
        <v>0</v>
      </c>
      <c r="U553" s="20">
        <v>0</v>
      </c>
      <c r="V553" s="20">
        <v>15.234</v>
      </c>
      <c r="W553" s="20">
        <v>0</v>
      </c>
      <c r="X553" s="20">
        <v>0</v>
      </c>
      <c r="Y553" s="20">
        <v>0</v>
      </c>
      <c r="Z553" s="20">
        <v>0</v>
      </c>
      <c r="AA553" s="20" t="s">
        <v>1317</v>
      </c>
      <c r="AB553" s="22" t="s">
        <v>1318</v>
      </c>
      <c r="AC553" s="20">
        <v>1</v>
      </c>
      <c r="AD553" s="20">
        <v>0</v>
      </c>
      <c r="AE553" s="20">
        <v>0</v>
      </c>
      <c r="AF553" s="20">
        <v>1</v>
      </c>
      <c r="AG553" s="20">
        <v>0</v>
      </c>
      <c r="AH553" s="20">
        <v>0</v>
      </c>
      <c r="AI553" s="328">
        <v>6.5642641459892346</v>
      </c>
      <c r="AJ553" s="328" t="s">
        <v>1328</v>
      </c>
      <c r="AK553" s="328" t="s">
        <v>1328</v>
      </c>
      <c r="AL553" s="22" t="s">
        <v>1329</v>
      </c>
      <c r="AM553" s="22" t="s">
        <v>1330</v>
      </c>
      <c r="AN553" s="22" t="s">
        <v>1317</v>
      </c>
      <c r="AO553" s="22" t="s">
        <v>1318</v>
      </c>
      <c r="AP553" s="22" t="s">
        <v>1318</v>
      </c>
      <c r="AQ553" s="22" t="s">
        <v>1318</v>
      </c>
      <c r="AR553" s="22" t="s">
        <v>1317</v>
      </c>
      <c r="AS553" s="22" t="s">
        <v>1318</v>
      </c>
      <c r="AT553" s="22" t="s">
        <v>1309</v>
      </c>
      <c r="AU553" s="22" t="s">
        <v>1309</v>
      </c>
      <c r="AV553" s="22" t="s">
        <v>1309</v>
      </c>
      <c r="AW553" s="22" t="s">
        <v>1309</v>
      </c>
      <c r="AX553" s="22" t="s">
        <v>1317</v>
      </c>
      <c r="AY553" s="22" t="s">
        <v>1318</v>
      </c>
      <c r="AZ553" s="22" t="s">
        <v>1317</v>
      </c>
      <c r="BA553" s="22" t="s">
        <v>1318</v>
      </c>
      <c r="BB553" s="22" t="s">
        <v>1317</v>
      </c>
      <c r="BC553" s="22" t="s">
        <v>1318</v>
      </c>
      <c r="BD553" s="22" t="s">
        <v>1317</v>
      </c>
      <c r="BE553" s="22" t="s">
        <v>1318</v>
      </c>
      <c r="BF553" s="22" t="s">
        <v>1309</v>
      </c>
      <c r="BG553" s="22" t="s">
        <v>1309</v>
      </c>
      <c r="BH553" s="22" t="s">
        <v>1317</v>
      </c>
      <c r="BI553" s="22" t="s">
        <v>1318</v>
      </c>
      <c r="BJ553" s="22" t="s">
        <v>1309</v>
      </c>
      <c r="BK553" s="22" t="s">
        <v>1309</v>
      </c>
      <c r="BL553" s="22" t="s">
        <v>1319</v>
      </c>
      <c r="BM553" s="22" t="s">
        <v>1311</v>
      </c>
      <c r="BN553" s="22" t="s">
        <v>1309</v>
      </c>
      <c r="BO553" s="22" t="s">
        <v>1309</v>
      </c>
      <c r="BP553" s="22" t="s">
        <v>1315</v>
      </c>
      <c r="BQ553" s="22" t="s">
        <v>1311</v>
      </c>
      <c r="BR553" s="22" t="s">
        <v>1309</v>
      </c>
      <c r="BS553" s="22" t="s">
        <v>1309</v>
      </c>
      <c r="BT553" s="22" t="s">
        <v>1315</v>
      </c>
      <c r="BU553" s="22" t="s">
        <v>1315</v>
      </c>
      <c r="BV553" s="22" t="s">
        <v>1309</v>
      </c>
      <c r="BW553" s="22" t="s">
        <v>1309</v>
      </c>
      <c r="BX553" s="20">
        <v>15</v>
      </c>
      <c r="BY553" s="20">
        <v>7</v>
      </c>
      <c r="BZ553" s="20">
        <v>0</v>
      </c>
      <c r="CA553" s="20">
        <v>18</v>
      </c>
      <c r="CB553" s="20">
        <v>2</v>
      </c>
      <c r="CC553" s="20">
        <v>583</v>
      </c>
      <c r="CD553" s="22" t="s">
        <v>1331</v>
      </c>
      <c r="CE553" s="22" t="s">
        <v>1331</v>
      </c>
      <c r="CF553" s="22" t="s">
        <v>1331</v>
      </c>
      <c r="CG553" s="22" t="s">
        <v>1331</v>
      </c>
      <c r="CH553" s="22" t="s">
        <v>1317</v>
      </c>
      <c r="CI553" s="22" t="s">
        <v>1318</v>
      </c>
      <c r="CJ553" s="149" t="s">
        <v>2588</v>
      </c>
      <c r="CK553" s="241" t="s">
        <v>2589</v>
      </c>
    </row>
    <row r="554" spans="1:89" ht="15" customHeight="1" x14ac:dyDescent="0.35">
      <c r="A554" s="17"/>
      <c r="B554" s="313">
        <v>7065</v>
      </c>
      <c r="C554" s="8" t="s">
        <v>1077</v>
      </c>
      <c r="D554" s="18">
        <v>1</v>
      </c>
      <c r="E554" s="131" t="s">
        <v>1319</v>
      </c>
      <c r="F554" s="22" t="s">
        <v>1310</v>
      </c>
      <c r="G554" s="132" t="s">
        <v>1309</v>
      </c>
      <c r="H554" s="22" t="s">
        <v>1311</v>
      </c>
      <c r="I554" s="22" t="s">
        <v>1327</v>
      </c>
      <c r="J554" s="22" t="s">
        <v>1327</v>
      </c>
      <c r="K554" s="22" t="s">
        <v>1309</v>
      </c>
      <c r="L554" s="22" t="s">
        <v>1309</v>
      </c>
      <c r="M554" s="133" t="s">
        <v>1311</v>
      </c>
      <c r="N554" s="22" t="s">
        <v>1311</v>
      </c>
      <c r="O554" s="22" t="s">
        <v>1314</v>
      </c>
      <c r="P554" s="22" t="s">
        <v>1318</v>
      </c>
      <c r="Q554" s="20">
        <v>0</v>
      </c>
      <c r="R554" s="20">
        <v>3.0529999999999999</v>
      </c>
      <c r="S554" s="20">
        <v>0</v>
      </c>
      <c r="T554" s="20">
        <v>0</v>
      </c>
      <c r="U554" s="20">
        <v>0</v>
      </c>
      <c r="V554" s="20">
        <v>3.0529999999999999</v>
      </c>
      <c r="W554" s="20">
        <v>0</v>
      </c>
      <c r="X554" s="20">
        <v>0</v>
      </c>
      <c r="Y554" s="20">
        <v>0</v>
      </c>
      <c r="Z554" s="20">
        <v>0</v>
      </c>
      <c r="AA554" s="20" t="s">
        <v>1317</v>
      </c>
      <c r="AB554" s="22" t="s">
        <v>1309</v>
      </c>
      <c r="AC554" s="20">
        <v>0</v>
      </c>
      <c r="AD554" s="20">
        <v>0</v>
      </c>
      <c r="AE554" s="20">
        <v>1</v>
      </c>
      <c r="AF554" s="20">
        <v>0</v>
      </c>
      <c r="AG554" s="20">
        <v>0</v>
      </c>
      <c r="AH554" s="20">
        <v>1</v>
      </c>
      <c r="AI554" s="328" t="s">
        <v>1328</v>
      </c>
      <c r="AJ554" s="328" t="s">
        <v>1328</v>
      </c>
      <c r="AK554" s="328">
        <v>13.333333333333334</v>
      </c>
      <c r="AL554" s="22" t="s">
        <v>1329</v>
      </c>
      <c r="AM554" s="22" t="s">
        <v>1330</v>
      </c>
      <c r="AN554" s="22" t="s">
        <v>1317</v>
      </c>
      <c r="AO554" s="22" t="s">
        <v>1318</v>
      </c>
      <c r="AP554" s="22" t="s">
        <v>1318</v>
      </c>
      <c r="AQ554" s="22" t="s">
        <v>1318</v>
      </c>
      <c r="AR554" s="22" t="s">
        <v>1317</v>
      </c>
      <c r="AS554" s="22" t="s">
        <v>1318</v>
      </c>
      <c r="AT554" s="22" t="s">
        <v>1317</v>
      </c>
      <c r="AU554" s="22" t="s">
        <v>1318</v>
      </c>
      <c r="AV554" s="22" t="s">
        <v>1317</v>
      </c>
      <c r="AW554" s="22" t="s">
        <v>1318</v>
      </c>
      <c r="AX554" s="22" t="s">
        <v>1317</v>
      </c>
      <c r="AY554" s="22" t="s">
        <v>1318</v>
      </c>
      <c r="AZ554" s="22" t="s">
        <v>1319</v>
      </c>
      <c r="BA554" s="22" t="s">
        <v>1311</v>
      </c>
      <c r="BB554" s="22" t="s">
        <v>1309</v>
      </c>
      <c r="BC554" s="22" t="s">
        <v>1311</v>
      </c>
      <c r="BD554" s="22" t="s">
        <v>1317</v>
      </c>
      <c r="BE554" s="22" t="s">
        <v>1318</v>
      </c>
      <c r="BF554" s="22" t="s">
        <v>1317</v>
      </c>
      <c r="BG554" s="22" t="s">
        <v>1311</v>
      </c>
      <c r="BH554" s="22" t="s">
        <v>1317</v>
      </c>
      <c r="BI554" s="22" t="s">
        <v>1318</v>
      </c>
      <c r="BJ554" s="22" t="s">
        <v>1317</v>
      </c>
      <c r="BK554" s="22" t="s">
        <v>1318</v>
      </c>
      <c r="BL554" s="22" t="s">
        <v>1317</v>
      </c>
      <c r="BM554" s="22" t="s">
        <v>1318</v>
      </c>
      <c r="BN554" s="22" t="s">
        <v>1317</v>
      </c>
      <c r="BO554" s="22" t="s">
        <v>1318</v>
      </c>
      <c r="BP554" s="22" t="s">
        <v>1309</v>
      </c>
      <c r="BQ554" s="22" t="s">
        <v>1309</v>
      </c>
      <c r="BR554" s="22" t="s">
        <v>1317</v>
      </c>
      <c r="BS554" s="22" t="s">
        <v>1318</v>
      </c>
      <c r="BT554" s="22" t="s">
        <v>1315</v>
      </c>
      <c r="BU554" s="22" t="s">
        <v>1318</v>
      </c>
      <c r="BV554" s="22" t="s">
        <v>1317</v>
      </c>
      <c r="BW554" s="22" t="s">
        <v>1318</v>
      </c>
      <c r="BX554" s="20">
        <v>0</v>
      </c>
      <c r="BY554" s="20">
        <v>0</v>
      </c>
      <c r="BZ554" s="20">
        <v>2</v>
      </c>
      <c r="CA554" s="20">
        <v>0</v>
      </c>
      <c r="CB554" s="20">
        <v>0</v>
      </c>
      <c r="CC554" s="20">
        <v>73</v>
      </c>
      <c r="CD554" s="22" t="s">
        <v>1317</v>
      </c>
      <c r="CE554" s="22" t="s">
        <v>1340</v>
      </c>
      <c r="CF554" s="22" t="s">
        <v>1317</v>
      </c>
      <c r="CG554" s="22" t="s">
        <v>1340</v>
      </c>
      <c r="CH554" s="22" t="s">
        <v>1317</v>
      </c>
      <c r="CI554" s="22" t="s">
        <v>1318</v>
      </c>
      <c r="CJ554" s="149" t="s">
        <v>2593</v>
      </c>
      <c r="CK554" s="241" t="s">
        <v>1124</v>
      </c>
    </row>
    <row r="555" spans="1:89" ht="15" customHeight="1" x14ac:dyDescent="0.35">
      <c r="A555" s="17"/>
      <c r="B555" s="313">
        <v>63023</v>
      </c>
      <c r="C555" s="8" t="s">
        <v>636</v>
      </c>
      <c r="D555" s="18">
        <v>14</v>
      </c>
      <c r="E555" s="131" t="s">
        <v>1309</v>
      </c>
      <c r="F555" s="22" t="s">
        <v>1309</v>
      </c>
      <c r="G555" s="132" t="s">
        <v>1309</v>
      </c>
      <c r="H555" s="22" t="s">
        <v>1311</v>
      </c>
      <c r="I555" s="22" t="s">
        <v>1327</v>
      </c>
      <c r="J555" s="22" t="s">
        <v>1327</v>
      </c>
      <c r="K555" s="22" t="s">
        <v>1314</v>
      </c>
      <c r="L555" s="22" t="s">
        <v>1311</v>
      </c>
      <c r="M555" s="133" t="s">
        <v>1311</v>
      </c>
      <c r="N555" s="22" t="s">
        <v>1311</v>
      </c>
      <c r="O555" s="22" t="s">
        <v>1315</v>
      </c>
      <c r="P555" s="22" t="s">
        <v>1315</v>
      </c>
      <c r="Q555" s="20">
        <v>0</v>
      </c>
      <c r="R555" s="20">
        <v>0</v>
      </c>
      <c r="S555" s="20">
        <v>0</v>
      </c>
      <c r="T555" s="20">
        <v>0</v>
      </c>
      <c r="U555" s="20">
        <v>0</v>
      </c>
      <c r="V555" s="20">
        <v>3.806</v>
      </c>
      <c r="W555" s="20">
        <v>0</v>
      </c>
      <c r="X555" s="20">
        <v>0</v>
      </c>
      <c r="Y555" s="20">
        <v>0</v>
      </c>
      <c r="Z555" s="20">
        <v>0</v>
      </c>
      <c r="AA555" s="20" t="s">
        <v>1317</v>
      </c>
      <c r="AB555" s="22" t="s">
        <v>1311</v>
      </c>
      <c r="AC555" s="20">
        <v>1</v>
      </c>
      <c r="AD555" s="20">
        <v>0</v>
      </c>
      <c r="AE555" s="20">
        <v>2</v>
      </c>
      <c r="AF555" s="20">
        <v>10</v>
      </c>
      <c r="AG555" s="20">
        <v>0</v>
      </c>
      <c r="AH555" s="20">
        <v>15</v>
      </c>
      <c r="AI555" s="328">
        <v>26.274303730951129</v>
      </c>
      <c r="AJ555" s="328" t="s">
        <v>1328</v>
      </c>
      <c r="AK555" s="328">
        <v>10.471204188481675</v>
      </c>
      <c r="AL555" s="22" t="s">
        <v>1338</v>
      </c>
      <c r="AM555" s="22" t="s">
        <v>1330</v>
      </c>
      <c r="AN555" s="22" t="s">
        <v>1317</v>
      </c>
      <c r="AO555" s="22" t="s">
        <v>1318</v>
      </c>
      <c r="AP555" s="22" t="s">
        <v>1318</v>
      </c>
      <c r="AQ555" s="22" t="s">
        <v>1318</v>
      </c>
      <c r="AR555" s="22" t="s">
        <v>1317</v>
      </c>
      <c r="AS555" s="22" t="s">
        <v>1311</v>
      </c>
      <c r="AT555" s="22" t="s">
        <v>1317</v>
      </c>
      <c r="AU555" s="22" t="s">
        <v>1311</v>
      </c>
      <c r="AV555" s="22" t="s">
        <v>1317</v>
      </c>
      <c r="AW555" s="22" t="s">
        <v>1318</v>
      </c>
      <c r="AX555" s="22" t="s">
        <v>1317</v>
      </c>
      <c r="AY555" s="22" t="s">
        <v>1318</v>
      </c>
      <c r="AZ555" s="22" t="s">
        <v>1309</v>
      </c>
      <c r="BA555" s="22" t="s">
        <v>1309</v>
      </c>
      <c r="BB555" s="22" t="s">
        <v>1309</v>
      </c>
      <c r="BC555" s="22" t="s">
        <v>1309</v>
      </c>
      <c r="BD555" s="22" t="s">
        <v>1317</v>
      </c>
      <c r="BE555" s="22" t="s">
        <v>1318</v>
      </c>
      <c r="BF555" s="22" t="s">
        <v>1317</v>
      </c>
      <c r="BG555" s="22" t="s">
        <v>1318</v>
      </c>
      <c r="BH555" s="22" t="s">
        <v>1317</v>
      </c>
      <c r="BI555" s="22" t="s">
        <v>1318</v>
      </c>
      <c r="BJ555" s="22" t="s">
        <v>1309</v>
      </c>
      <c r="BK555" s="22" t="s">
        <v>1309</v>
      </c>
      <c r="BL555" s="22" t="s">
        <v>1309</v>
      </c>
      <c r="BM555" s="22" t="s">
        <v>1309</v>
      </c>
      <c r="BN555" s="22" t="s">
        <v>1309</v>
      </c>
      <c r="BO555" s="22" t="s">
        <v>1309</v>
      </c>
      <c r="BP555" s="22" t="s">
        <v>1315</v>
      </c>
      <c r="BQ555" s="22" t="s">
        <v>1315</v>
      </c>
      <c r="BR555" s="22" t="s">
        <v>1309</v>
      </c>
      <c r="BS555" s="22" t="s">
        <v>1309</v>
      </c>
      <c r="BT555" s="22" t="s">
        <v>1317</v>
      </c>
      <c r="BU555" s="22" t="s">
        <v>1311</v>
      </c>
      <c r="BV555" s="22" t="s">
        <v>1317</v>
      </c>
      <c r="BW555" s="22" t="s">
        <v>1318</v>
      </c>
      <c r="BX555" s="20">
        <v>0</v>
      </c>
      <c r="BY555" s="20">
        <v>0</v>
      </c>
      <c r="BZ555" s="20">
        <v>11</v>
      </c>
      <c r="CA555" s="20">
        <v>0</v>
      </c>
      <c r="CB555" s="20">
        <v>0</v>
      </c>
      <c r="CC555" s="20">
        <v>180</v>
      </c>
      <c r="CD555" s="22" t="s">
        <v>1317</v>
      </c>
      <c r="CE555" s="22" t="s">
        <v>1318</v>
      </c>
      <c r="CF555" s="22" t="s">
        <v>1317</v>
      </c>
      <c r="CG555" s="22" t="s">
        <v>1318</v>
      </c>
      <c r="CH555" s="22" t="s">
        <v>1317</v>
      </c>
      <c r="CI555" s="22" t="s">
        <v>1318</v>
      </c>
      <c r="CJ555" s="149" t="s">
        <v>2597</v>
      </c>
      <c r="CK555" s="241" t="s">
        <v>2598</v>
      </c>
    </row>
    <row r="556" spans="1:89" ht="15" customHeight="1" x14ac:dyDescent="0.35">
      <c r="A556" s="17"/>
      <c r="B556" s="313">
        <v>6050</v>
      </c>
      <c r="C556" s="8" t="s">
        <v>1065</v>
      </c>
      <c r="D556" s="18">
        <v>11</v>
      </c>
      <c r="E556" s="131" t="s">
        <v>1309</v>
      </c>
      <c r="F556" s="22" t="s">
        <v>1309</v>
      </c>
      <c r="G556" s="132" t="s">
        <v>1309</v>
      </c>
      <c r="H556" s="22" t="s">
        <v>1311</v>
      </c>
      <c r="I556" s="22" t="s">
        <v>1338</v>
      </c>
      <c r="J556" s="22" t="s">
        <v>1348</v>
      </c>
      <c r="K556" s="22" t="s">
        <v>1314</v>
      </c>
      <c r="L556" s="22" t="s">
        <v>1311</v>
      </c>
      <c r="M556" s="133" t="s">
        <v>1311</v>
      </c>
      <c r="N556" s="22" t="s">
        <v>1311</v>
      </c>
      <c r="O556" s="22" t="s">
        <v>1314</v>
      </c>
      <c r="P556" s="22" t="s">
        <v>1318</v>
      </c>
      <c r="Q556" s="20">
        <v>0</v>
      </c>
      <c r="R556" s="20">
        <v>0</v>
      </c>
      <c r="S556" s="20">
        <v>0</v>
      </c>
      <c r="T556" s="20">
        <v>0</v>
      </c>
      <c r="U556" s="20">
        <v>0.25</v>
      </c>
      <c r="V556" s="20">
        <v>0.25</v>
      </c>
      <c r="W556" s="20">
        <v>0.1</v>
      </c>
      <c r="X556" s="20">
        <v>0.1</v>
      </c>
      <c r="Y556" s="20">
        <v>0</v>
      </c>
      <c r="Z556" s="20">
        <v>0</v>
      </c>
      <c r="AA556" s="20" t="s">
        <v>1319</v>
      </c>
      <c r="AB556" s="22" t="s">
        <v>1311</v>
      </c>
      <c r="AC556" s="20">
        <v>2</v>
      </c>
      <c r="AD556" s="20">
        <v>0</v>
      </c>
      <c r="AE556" s="20">
        <v>0</v>
      </c>
      <c r="AF556" s="20">
        <v>2</v>
      </c>
      <c r="AG556" s="20">
        <v>0</v>
      </c>
      <c r="AH556" s="20">
        <v>0</v>
      </c>
      <c r="AI556" s="328">
        <v>57.720057720057724</v>
      </c>
      <c r="AJ556" s="328" t="s">
        <v>1328</v>
      </c>
      <c r="AK556" s="328" t="s">
        <v>1328</v>
      </c>
      <c r="AL556" s="22" t="s">
        <v>1329</v>
      </c>
      <c r="AM556" s="22" t="s">
        <v>1330</v>
      </c>
      <c r="AN556" s="22" t="s">
        <v>1317</v>
      </c>
      <c r="AO556" s="22" t="s">
        <v>1318</v>
      </c>
      <c r="AP556" s="22" t="s">
        <v>1318</v>
      </c>
      <c r="AQ556" s="22" t="s">
        <v>1318</v>
      </c>
      <c r="AR556" s="22" t="s">
        <v>1317</v>
      </c>
      <c r="AS556" s="22" t="s">
        <v>1318</v>
      </c>
      <c r="AT556" s="22" t="s">
        <v>1317</v>
      </c>
      <c r="AU556" s="22" t="s">
        <v>1318</v>
      </c>
      <c r="AV556" s="22" t="s">
        <v>1317</v>
      </c>
      <c r="AW556" s="22" t="s">
        <v>1318</v>
      </c>
      <c r="AX556" s="22" t="s">
        <v>1317</v>
      </c>
      <c r="AY556" s="22" t="s">
        <v>1318</v>
      </c>
      <c r="AZ556" s="22" t="s">
        <v>1309</v>
      </c>
      <c r="BA556" s="22" t="s">
        <v>1309</v>
      </c>
      <c r="BB556" s="22" t="s">
        <v>1309</v>
      </c>
      <c r="BC556" s="22" t="s">
        <v>1311</v>
      </c>
      <c r="BD556" s="22" t="s">
        <v>1317</v>
      </c>
      <c r="BE556" s="22" t="s">
        <v>1318</v>
      </c>
      <c r="BF556" s="22" t="s">
        <v>1317</v>
      </c>
      <c r="BG556" s="22" t="s">
        <v>1318</v>
      </c>
      <c r="BH556" s="22" t="s">
        <v>1319</v>
      </c>
      <c r="BI556" s="22" t="s">
        <v>1311</v>
      </c>
      <c r="BJ556" s="22" t="s">
        <v>1319</v>
      </c>
      <c r="BK556" s="22" t="s">
        <v>1311</v>
      </c>
      <c r="BL556" s="22" t="s">
        <v>1319</v>
      </c>
      <c r="BM556" s="22" t="s">
        <v>1311</v>
      </c>
      <c r="BN556" s="22" t="s">
        <v>1309</v>
      </c>
      <c r="BO556" s="22" t="s">
        <v>1309</v>
      </c>
      <c r="BP556" s="22" t="s">
        <v>1309</v>
      </c>
      <c r="BQ556" s="22" t="s">
        <v>1309</v>
      </c>
      <c r="BR556" s="22" t="s">
        <v>1319</v>
      </c>
      <c r="BS556" s="22" t="s">
        <v>1311</v>
      </c>
      <c r="BT556" s="22" t="s">
        <v>1319</v>
      </c>
      <c r="BU556" s="22" t="s">
        <v>1311</v>
      </c>
      <c r="BV556" s="22" t="s">
        <v>1317</v>
      </c>
      <c r="BW556" s="22" t="s">
        <v>1318</v>
      </c>
      <c r="BX556" s="20">
        <v>0</v>
      </c>
      <c r="BY556" s="20">
        <v>0</v>
      </c>
      <c r="BZ556" s="20">
        <v>12</v>
      </c>
      <c r="CA556" s="20">
        <v>0</v>
      </c>
      <c r="CB556" s="20">
        <v>0</v>
      </c>
      <c r="CC556" s="20">
        <v>143</v>
      </c>
      <c r="CD556" s="22" t="s">
        <v>1317</v>
      </c>
      <c r="CE556" s="22" t="s">
        <v>1318</v>
      </c>
      <c r="CF556" s="22" t="s">
        <v>1317</v>
      </c>
      <c r="CG556" s="22" t="s">
        <v>1318</v>
      </c>
      <c r="CH556" s="22" t="s">
        <v>1317</v>
      </c>
      <c r="CI556" s="22" t="s">
        <v>1318</v>
      </c>
      <c r="CJ556" s="149" t="s">
        <v>1124</v>
      </c>
      <c r="CK556" s="241" t="s">
        <v>1386</v>
      </c>
    </row>
    <row r="557" spans="1:89" ht="15" customHeight="1" x14ac:dyDescent="0.35">
      <c r="A557" s="17"/>
      <c r="B557" s="313">
        <v>51065</v>
      </c>
      <c r="C557" s="8" t="s">
        <v>509</v>
      </c>
      <c r="D557" s="18">
        <v>4</v>
      </c>
      <c r="E557" s="131"/>
      <c r="F557" s="22"/>
      <c r="G557" s="132"/>
      <c r="H557" s="22"/>
      <c r="I557" s="22"/>
      <c r="J557" s="22"/>
      <c r="K557" s="22"/>
      <c r="L557" s="22"/>
      <c r="M557" s="133"/>
      <c r="N557" s="22"/>
      <c r="O557" s="22"/>
      <c r="P557" s="22"/>
      <c r="Q557" s="20"/>
      <c r="R557" s="20"/>
      <c r="S557" s="20"/>
      <c r="T557" s="20"/>
      <c r="U557" s="20"/>
      <c r="V557" s="20"/>
      <c r="W557" s="20"/>
      <c r="X557" s="20"/>
      <c r="Y557" s="20"/>
      <c r="Z557" s="20"/>
      <c r="AA557" s="20"/>
      <c r="AB557" s="22"/>
      <c r="AC557" s="20"/>
      <c r="AD557" s="20"/>
      <c r="AE557" s="20"/>
      <c r="AF557" s="20" t="s">
        <v>1124</v>
      </c>
      <c r="AG557" s="20" t="s">
        <v>1124</v>
      </c>
      <c r="AH557" s="20" t="s">
        <v>1124</v>
      </c>
      <c r="AI557" s="328"/>
      <c r="AJ557" s="328"/>
      <c r="AK557" s="328"/>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0"/>
      <c r="BY557" s="20"/>
      <c r="BZ557" s="20"/>
      <c r="CA557" s="20"/>
      <c r="CB557" s="20"/>
      <c r="CC557" s="20"/>
      <c r="CD557" s="22"/>
      <c r="CE557" s="22"/>
      <c r="CF557" s="22"/>
      <c r="CG557" s="22"/>
      <c r="CH557" s="22"/>
      <c r="CI557" s="22"/>
      <c r="CJ557" s="149"/>
      <c r="CK557" s="241"/>
    </row>
    <row r="558" spans="1:89" ht="15" customHeight="1" x14ac:dyDescent="0.35">
      <c r="A558" s="17"/>
      <c r="B558" s="313">
        <v>27015</v>
      </c>
      <c r="C558" s="8" t="s">
        <v>179</v>
      </c>
      <c r="D558" s="18">
        <v>12</v>
      </c>
      <c r="E558" s="131"/>
      <c r="F558" s="22"/>
      <c r="G558" s="132"/>
      <c r="H558" s="22"/>
      <c r="I558" s="22"/>
      <c r="J558" s="22"/>
      <c r="K558" s="22"/>
      <c r="L558" s="22"/>
      <c r="M558" s="133"/>
      <c r="N558" s="22"/>
      <c r="O558" s="22"/>
      <c r="P558" s="22"/>
      <c r="Q558" s="20"/>
      <c r="R558" s="20"/>
      <c r="S558" s="20"/>
      <c r="T558" s="20"/>
      <c r="U558" s="20"/>
      <c r="V558" s="20"/>
      <c r="W558" s="20"/>
      <c r="X558" s="20"/>
      <c r="Y558" s="20"/>
      <c r="Z558" s="20"/>
      <c r="AA558" s="20"/>
      <c r="AB558" s="22"/>
      <c r="AC558" s="20"/>
      <c r="AD558" s="20"/>
      <c r="AE558" s="20"/>
      <c r="AF558" s="20" t="s">
        <v>1124</v>
      </c>
      <c r="AG558" s="20" t="s">
        <v>1124</v>
      </c>
      <c r="AH558" s="20" t="s">
        <v>1124</v>
      </c>
      <c r="AI558" s="328"/>
      <c r="AJ558" s="328"/>
      <c r="AK558" s="328"/>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0"/>
      <c r="BY558" s="20"/>
      <c r="BZ558" s="20"/>
      <c r="CA558" s="20"/>
      <c r="CB558" s="20"/>
      <c r="CC558" s="20"/>
      <c r="CD558" s="22"/>
      <c r="CE558" s="22"/>
      <c r="CF558" s="22"/>
      <c r="CG558" s="22"/>
      <c r="CH558" s="22"/>
      <c r="CI558" s="22"/>
      <c r="CJ558" s="149"/>
      <c r="CK558" s="241"/>
    </row>
    <row r="559" spans="1:89" ht="15" customHeight="1" x14ac:dyDescent="0.35">
      <c r="A559" s="17"/>
      <c r="B559" s="313">
        <v>5065</v>
      </c>
      <c r="C559" s="8" t="s">
        <v>1054</v>
      </c>
      <c r="D559" s="18">
        <v>11</v>
      </c>
      <c r="E559" s="131" t="s">
        <v>1319</v>
      </c>
      <c r="F559" s="22" t="s">
        <v>1490</v>
      </c>
      <c r="G559" s="132" t="s">
        <v>1309</v>
      </c>
      <c r="H559" s="22" t="s">
        <v>1311</v>
      </c>
      <c r="I559" s="22" t="s">
        <v>1327</v>
      </c>
      <c r="J559" s="22" t="s">
        <v>1327</v>
      </c>
      <c r="K559" s="22" t="s">
        <v>1314</v>
      </c>
      <c r="L559" s="22" t="s">
        <v>1311</v>
      </c>
      <c r="M559" s="133" t="s">
        <v>1311</v>
      </c>
      <c r="N559" s="22" t="s">
        <v>1311</v>
      </c>
      <c r="O559" s="22" t="s">
        <v>1314</v>
      </c>
      <c r="P559" s="22" t="s">
        <v>1318</v>
      </c>
      <c r="Q559" s="20">
        <v>0</v>
      </c>
      <c r="R559" s="20">
        <v>0</v>
      </c>
      <c r="S559" s="20">
        <v>0</v>
      </c>
      <c r="T559" s="20">
        <v>0</v>
      </c>
      <c r="U559" s="20">
        <v>7.5709999999999997</v>
      </c>
      <c r="V559" s="20">
        <v>0</v>
      </c>
      <c r="W559" s="20">
        <v>0</v>
      </c>
      <c r="X559" s="20">
        <v>0</v>
      </c>
      <c r="Y559" s="20">
        <v>0</v>
      </c>
      <c r="Z559" s="20">
        <v>0</v>
      </c>
      <c r="AA559" s="20" t="s">
        <v>1309</v>
      </c>
      <c r="AB559" s="22" t="s">
        <v>1318</v>
      </c>
      <c r="AC559" s="20">
        <v>1</v>
      </c>
      <c r="AD559" s="20">
        <v>1</v>
      </c>
      <c r="AE559" s="20">
        <v>0</v>
      </c>
      <c r="AF559" s="20">
        <v>2</v>
      </c>
      <c r="AG559" s="20">
        <v>1</v>
      </c>
      <c r="AH559" s="20">
        <v>0</v>
      </c>
      <c r="AI559" s="328">
        <v>13.20829480914014</v>
      </c>
      <c r="AJ559" s="328">
        <v>4.329004329004329</v>
      </c>
      <c r="AK559" s="328" t="s">
        <v>1328</v>
      </c>
      <c r="AL559" s="22" t="s">
        <v>1329</v>
      </c>
      <c r="AM559" s="22" t="s">
        <v>1330</v>
      </c>
      <c r="AN559" s="22" t="s">
        <v>1317</v>
      </c>
      <c r="AO559" s="22" t="s">
        <v>1318</v>
      </c>
      <c r="AP559" s="22" t="s">
        <v>1318</v>
      </c>
      <c r="AQ559" s="22" t="s">
        <v>1318</v>
      </c>
      <c r="AR559" s="22" t="s">
        <v>1317</v>
      </c>
      <c r="AS559" s="22" t="s">
        <v>1318</v>
      </c>
      <c r="AT559" s="22" t="s">
        <v>1309</v>
      </c>
      <c r="AU559" s="22" t="s">
        <v>1309</v>
      </c>
      <c r="AV559" s="22" t="s">
        <v>1317</v>
      </c>
      <c r="AW559" s="22" t="s">
        <v>1318</v>
      </c>
      <c r="AX559" s="22" t="s">
        <v>1317</v>
      </c>
      <c r="AY559" s="22" t="s">
        <v>1318</v>
      </c>
      <c r="AZ559" s="22" t="s">
        <v>1317</v>
      </c>
      <c r="BA559" s="22" t="s">
        <v>1311</v>
      </c>
      <c r="BB559" s="22" t="s">
        <v>1309</v>
      </c>
      <c r="BC559" s="22" t="s">
        <v>1309</v>
      </c>
      <c r="BD559" s="22" t="s">
        <v>1317</v>
      </c>
      <c r="BE559" s="22" t="s">
        <v>1318</v>
      </c>
      <c r="BF559" s="22" t="s">
        <v>1317</v>
      </c>
      <c r="BG559" s="22" t="s">
        <v>1318</v>
      </c>
      <c r="BH559" s="22" t="s">
        <v>1309</v>
      </c>
      <c r="BI559" s="22" t="s">
        <v>1309</v>
      </c>
      <c r="BJ559" s="22" t="s">
        <v>1309</v>
      </c>
      <c r="BK559" s="22" t="s">
        <v>1309</v>
      </c>
      <c r="BL559" s="22" t="s">
        <v>1317</v>
      </c>
      <c r="BM559" s="22" t="s">
        <v>1318</v>
      </c>
      <c r="BN559" s="22" t="s">
        <v>1309</v>
      </c>
      <c r="BO559" s="22" t="s">
        <v>1309</v>
      </c>
      <c r="BP559" s="22" t="s">
        <v>1317</v>
      </c>
      <c r="BQ559" s="22" t="s">
        <v>1318</v>
      </c>
      <c r="BR559" s="22" t="s">
        <v>1309</v>
      </c>
      <c r="BS559" s="22" t="s">
        <v>1309</v>
      </c>
      <c r="BT559" s="22" t="s">
        <v>1315</v>
      </c>
      <c r="BU559" s="22" t="s">
        <v>1315</v>
      </c>
      <c r="BV559" s="22" t="s">
        <v>1317</v>
      </c>
      <c r="BW559" s="22" t="s">
        <v>1309</v>
      </c>
      <c r="BX559" s="20">
        <v>0</v>
      </c>
      <c r="BY559" s="20">
        <v>0</v>
      </c>
      <c r="BZ559" s="20">
        <v>14</v>
      </c>
      <c r="CA559" s="20">
        <v>0</v>
      </c>
      <c r="CB559" s="20">
        <v>0</v>
      </c>
      <c r="CC559" s="20">
        <v>217</v>
      </c>
      <c r="CD559" s="22" t="s">
        <v>1317</v>
      </c>
      <c r="CE559" s="22" t="s">
        <v>1318</v>
      </c>
      <c r="CF559" s="22" t="s">
        <v>1317</v>
      </c>
      <c r="CG559" s="22" t="s">
        <v>1318</v>
      </c>
      <c r="CH559" s="22" t="s">
        <v>1317</v>
      </c>
      <c r="CI559" s="22" t="s">
        <v>1318</v>
      </c>
      <c r="CJ559" s="149" t="s">
        <v>1124</v>
      </c>
      <c r="CK559" s="241" t="s">
        <v>2606</v>
      </c>
    </row>
    <row r="560" spans="1:89" ht="15" customHeight="1" x14ac:dyDescent="0.35">
      <c r="A560" s="17"/>
      <c r="B560" s="313">
        <v>47010</v>
      </c>
      <c r="C560" s="8" t="s">
        <v>448</v>
      </c>
      <c r="D560" s="18">
        <v>5</v>
      </c>
      <c r="E560" s="131"/>
      <c r="F560" s="22"/>
      <c r="G560" s="132"/>
      <c r="H560" s="22"/>
      <c r="I560" s="22"/>
      <c r="J560" s="22"/>
      <c r="K560" s="22"/>
      <c r="L560" s="22"/>
      <c r="M560" s="133"/>
      <c r="N560" s="22"/>
      <c r="O560" s="22"/>
      <c r="P560" s="22"/>
      <c r="Q560" s="20"/>
      <c r="R560" s="20"/>
      <c r="S560" s="20"/>
      <c r="T560" s="20"/>
      <c r="U560" s="20"/>
      <c r="V560" s="20"/>
      <c r="W560" s="20"/>
      <c r="X560" s="20"/>
      <c r="Y560" s="20"/>
      <c r="Z560" s="20"/>
      <c r="AA560" s="20"/>
      <c r="AB560" s="22"/>
      <c r="AC560" s="20"/>
      <c r="AD560" s="20"/>
      <c r="AE560" s="20"/>
      <c r="AF560" s="20" t="s">
        <v>1124</v>
      </c>
      <c r="AG560" s="20" t="s">
        <v>1124</v>
      </c>
      <c r="AH560" s="20" t="s">
        <v>1124</v>
      </c>
      <c r="AI560" s="328"/>
      <c r="AJ560" s="328"/>
      <c r="AK560" s="328"/>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0"/>
      <c r="BY560" s="20"/>
      <c r="BZ560" s="20"/>
      <c r="CA560" s="20"/>
      <c r="CB560" s="20"/>
      <c r="CC560" s="20"/>
      <c r="CD560" s="22"/>
      <c r="CE560" s="22"/>
      <c r="CF560" s="22"/>
      <c r="CG560" s="22"/>
      <c r="CH560" s="22"/>
      <c r="CI560" s="22"/>
      <c r="CJ560" s="149"/>
      <c r="CK560" s="241"/>
    </row>
    <row r="561" spans="1:89" ht="15" customHeight="1" x14ac:dyDescent="0.35">
      <c r="A561" s="17"/>
      <c r="B561" s="313">
        <v>62025</v>
      </c>
      <c r="C561" s="8" t="s">
        <v>622</v>
      </c>
      <c r="D561" s="18">
        <v>14</v>
      </c>
      <c r="E561" s="131" t="s">
        <v>1319</v>
      </c>
      <c r="F561" s="22" t="s">
        <v>1310</v>
      </c>
      <c r="G561" s="132" t="s">
        <v>1309</v>
      </c>
      <c r="H561" s="22" t="s">
        <v>1311</v>
      </c>
      <c r="I561" s="22" t="s">
        <v>1341</v>
      </c>
      <c r="J561" s="22" t="s">
        <v>1342</v>
      </c>
      <c r="K561" s="22" t="s">
        <v>1309</v>
      </c>
      <c r="L561" s="22" t="s">
        <v>1311</v>
      </c>
      <c r="M561" s="133" t="s">
        <v>1311</v>
      </c>
      <c r="N561" s="22" t="s">
        <v>1311</v>
      </c>
      <c r="O561" s="22" t="s">
        <v>1314</v>
      </c>
      <c r="P561" s="22" t="s">
        <v>1318</v>
      </c>
      <c r="Q561" s="20">
        <v>0</v>
      </c>
      <c r="R561" s="20">
        <v>0</v>
      </c>
      <c r="S561" s="20">
        <v>0</v>
      </c>
      <c r="T561" s="20">
        <v>0</v>
      </c>
      <c r="U561" s="20">
        <v>0</v>
      </c>
      <c r="V561" s="20">
        <v>0</v>
      </c>
      <c r="W561" s="20">
        <v>0</v>
      </c>
      <c r="X561" s="20">
        <v>0</v>
      </c>
      <c r="Y561" s="20">
        <v>0</v>
      </c>
      <c r="Z561" s="20">
        <v>0</v>
      </c>
      <c r="AA561" s="20" t="s">
        <v>1317</v>
      </c>
      <c r="AB561" s="22" t="s">
        <v>1318</v>
      </c>
      <c r="AC561" s="20">
        <v>0</v>
      </c>
      <c r="AD561" s="20">
        <v>0</v>
      </c>
      <c r="AE561" s="20">
        <v>1</v>
      </c>
      <c r="AF561" s="20">
        <v>0</v>
      </c>
      <c r="AG561" s="20">
        <v>0</v>
      </c>
      <c r="AH561" s="20">
        <v>7</v>
      </c>
      <c r="AI561" s="328" t="s">
        <v>1328</v>
      </c>
      <c r="AJ561" s="328" t="s">
        <v>1328</v>
      </c>
      <c r="AK561" s="328">
        <v>1.7953321364452424</v>
      </c>
      <c r="AL561" s="22" t="s">
        <v>1329</v>
      </c>
      <c r="AM561" s="22" t="s">
        <v>1330</v>
      </c>
      <c r="AN561" s="22" t="s">
        <v>1317</v>
      </c>
      <c r="AO561" s="22" t="s">
        <v>1318</v>
      </c>
      <c r="AP561" s="22" t="s">
        <v>1318</v>
      </c>
      <c r="AQ561" s="22" t="s">
        <v>1318</v>
      </c>
      <c r="AR561" s="22" t="s">
        <v>1317</v>
      </c>
      <c r="AS561" s="22" t="s">
        <v>1318</v>
      </c>
      <c r="AT561" s="22" t="s">
        <v>1317</v>
      </c>
      <c r="AU561" s="22" t="s">
        <v>1318</v>
      </c>
      <c r="AV561" s="22" t="s">
        <v>1317</v>
      </c>
      <c r="AW561" s="22" t="s">
        <v>1318</v>
      </c>
      <c r="AX561" s="22" t="s">
        <v>1317</v>
      </c>
      <c r="AY561" s="22" t="s">
        <v>1318</v>
      </c>
      <c r="AZ561" s="22" t="s">
        <v>1309</v>
      </c>
      <c r="BA561" s="22" t="s">
        <v>1311</v>
      </c>
      <c r="BB561" s="22" t="s">
        <v>1309</v>
      </c>
      <c r="BC561" s="22" t="s">
        <v>1309</v>
      </c>
      <c r="BD561" s="22" t="s">
        <v>1317</v>
      </c>
      <c r="BE561" s="22" t="s">
        <v>1311</v>
      </c>
      <c r="BF561" s="22" t="s">
        <v>1317</v>
      </c>
      <c r="BG561" s="22" t="s">
        <v>1311</v>
      </c>
      <c r="BH561" s="22" t="s">
        <v>1309</v>
      </c>
      <c r="BI561" s="22" t="s">
        <v>1309</v>
      </c>
      <c r="BJ561" s="22" t="s">
        <v>1317</v>
      </c>
      <c r="BK561" s="22" t="s">
        <v>1318</v>
      </c>
      <c r="BL561" s="22" t="s">
        <v>1317</v>
      </c>
      <c r="BM561" s="22" t="s">
        <v>1318</v>
      </c>
      <c r="BN561" s="22" t="s">
        <v>1309</v>
      </c>
      <c r="BO561" s="22" t="s">
        <v>1309</v>
      </c>
      <c r="BP561" s="22" t="s">
        <v>1309</v>
      </c>
      <c r="BQ561" s="22" t="s">
        <v>1309</v>
      </c>
      <c r="BR561" s="22" t="s">
        <v>1309</v>
      </c>
      <c r="BS561" s="22" t="s">
        <v>1309</v>
      </c>
      <c r="BT561" s="22" t="s">
        <v>1309</v>
      </c>
      <c r="BU561" s="22" t="s">
        <v>1309</v>
      </c>
      <c r="BV561" s="22" t="s">
        <v>1317</v>
      </c>
      <c r="BW561" s="22" t="s">
        <v>1318</v>
      </c>
      <c r="BX561" s="20">
        <v>0</v>
      </c>
      <c r="BY561" s="20">
        <v>0</v>
      </c>
      <c r="BZ561" s="20">
        <v>33</v>
      </c>
      <c r="CA561" s="20">
        <v>0</v>
      </c>
      <c r="CB561" s="20">
        <v>0</v>
      </c>
      <c r="CC561" s="20">
        <v>524</v>
      </c>
      <c r="CD561" s="22" t="s">
        <v>1317</v>
      </c>
      <c r="CE561" s="22" t="s">
        <v>1318</v>
      </c>
      <c r="CF561" s="22" t="s">
        <v>1317</v>
      </c>
      <c r="CG561" s="22" t="s">
        <v>1318</v>
      </c>
      <c r="CH561" s="22" t="s">
        <v>1317</v>
      </c>
      <c r="CI561" s="22" t="s">
        <v>1318</v>
      </c>
      <c r="CJ561" s="149" t="s">
        <v>1124</v>
      </c>
      <c r="CK561" s="241" t="s">
        <v>1358</v>
      </c>
    </row>
    <row r="562" spans="1:89" ht="15" customHeight="1" x14ac:dyDescent="0.35">
      <c r="A562" s="17"/>
      <c r="B562" s="313">
        <v>59015</v>
      </c>
      <c r="C562" s="8" t="s">
        <v>600</v>
      </c>
      <c r="D562" s="18">
        <v>16</v>
      </c>
      <c r="E562" s="131"/>
      <c r="F562" s="22"/>
      <c r="G562" s="132"/>
      <c r="H562" s="22"/>
      <c r="I562" s="22"/>
      <c r="J562" s="22"/>
      <c r="K562" s="22"/>
      <c r="L562" s="22"/>
      <c r="M562" s="133"/>
      <c r="N562" s="22"/>
      <c r="O562" s="22"/>
      <c r="P562" s="22"/>
      <c r="Q562" s="20"/>
      <c r="R562" s="20"/>
      <c r="S562" s="20"/>
      <c r="T562" s="20"/>
      <c r="U562" s="20"/>
      <c r="V562" s="20"/>
      <c r="W562" s="20"/>
      <c r="X562" s="20"/>
      <c r="Y562" s="20"/>
      <c r="Z562" s="20"/>
      <c r="AA562" s="20"/>
      <c r="AB562" s="22"/>
      <c r="AC562" s="20"/>
      <c r="AD562" s="20"/>
      <c r="AE562" s="20"/>
      <c r="AF562" s="20" t="s">
        <v>1124</v>
      </c>
      <c r="AG562" s="20" t="s">
        <v>1124</v>
      </c>
      <c r="AH562" s="20" t="s">
        <v>1124</v>
      </c>
      <c r="AI562" s="328"/>
      <c r="AJ562" s="328"/>
      <c r="AK562" s="328"/>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0"/>
      <c r="BY562" s="20"/>
      <c r="BZ562" s="20"/>
      <c r="CA562" s="20"/>
      <c r="CB562" s="20"/>
      <c r="CC562" s="20"/>
      <c r="CD562" s="22"/>
      <c r="CE562" s="22"/>
      <c r="CF562" s="22"/>
      <c r="CG562" s="22"/>
      <c r="CH562" s="22"/>
      <c r="CI562" s="22"/>
      <c r="CJ562" s="149"/>
      <c r="CK562" s="241"/>
    </row>
    <row r="563" spans="1:89" ht="15" customHeight="1" x14ac:dyDescent="0.35">
      <c r="A563" s="17"/>
      <c r="B563" s="313">
        <v>94255</v>
      </c>
      <c r="C563" s="8" t="s">
        <v>983</v>
      </c>
      <c r="D563" s="18">
        <v>2</v>
      </c>
      <c r="E563" s="131"/>
      <c r="F563" s="22"/>
      <c r="G563" s="132"/>
      <c r="H563" s="22"/>
      <c r="I563" s="22"/>
      <c r="J563" s="22"/>
      <c r="K563" s="22"/>
      <c r="L563" s="22"/>
      <c r="M563" s="133"/>
      <c r="N563" s="22"/>
      <c r="O563" s="22"/>
      <c r="P563" s="22"/>
      <c r="Q563" s="20"/>
      <c r="R563" s="20"/>
      <c r="S563" s="20"/>
      <c r="T563" s="20"/>
      <c r="U563" s="20"/>
      <c r="V563" s="20"/>
      <c r="W563" s="20"/>
      <c r="X563" s="20"/>
      <c r="Y563" s="20"/>
      <c r="Z563" s="20"/>
      <c r="AA563" s="20"/>
      <c r="AB563" s="22"/>
      <c r="AC563" s="20"/>
      <c r="AD563" s="20"/>
      <c r="AE563" s="20"/>
      <c r="AF563" s="20" t="s">
        <v>1124</v>
      </c>
      <c r="AG563" s="20" t="s">
        <v>1124</v>
      </c>
      <c r="AH563" s="20" t="s">
        <v>1124</v>
      </c>
      <c r="AI563" s="328"/>
      <c r="AJ563" s="328"/>
      <c r="AK563" s="328"/>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0"/>
      <c r="BY563" s="20"/>
      <c r="BZ563" s="20"/>
      <c r="CA563" s="20"/>
      <c r="CB563" s="20"/>
      <c r="CC563" s="20"/>
      <c r="CD563" s="22"/>
      <c r="CE563" s="22"/>
      <c r="CF563" s="22"/>
      <c r="CG563" s="22"/>
      <c r="CH563" s="22"/>
      <c r="CI563" s="22"/>
      <c r="CJ563" s="149"/>
      <c r="CK563" s="241"/>
    </row>
    <row r="564" spans="1:89" ht="15" customHeight="1" x14ac:dyDescent="0.35">
      <c r="A564" s="17"/>
      <c r="B564" s="313">
        <v>61040</v>
      </c>
      <c r="C564" s="8" t="s">
        <v>616</v>
      </c>
      <c r="D564" s="18">
        <v>14</v>
      </c>
      <c r="E564" s="131" t="s">
        <v>1309</v>
      </c>
      <c r="F564" s="22" t="s">
        <v>1309</v>
      </c>
      <c r="G564" s="132" t="s">
        <v>1309</v>
      </c>
      <c r="H564" s="22" t="s">
        <v>1311</v>
      </c>
      <c r="I564" s="22" t="s">
        <v>1327</v>
      </c>
      <c r="J564" s="22" t="s">
        <v>1327</v>
      </c>
      <c r="K564" s="22" t="s">
        <v>1314</v>
      </c>
      <c r="L564" s="22" t="s">
        <v>1311</v>
      </c>
      <c r="M564" s="133" t="s">
        <v>1311</v>
      </c>
      <c r="N564" s="22" t="s">
        <v>1311</v>
      </c>
      <c r="O564" s="22" t="s">
        <v>1314</v>
      </c>
      <c r="P564" s="22" t="s">
        <v>1318</v>
      </c>
      <c r="Q564" s="20">
        <v>0</v>
      </c>
      <c r="R564" s="20">
        <v>0</v>
      </c>
      <c r="S564" s="20">
        <v>0</v>
      </c>
      <c r="T564" s="20">
        <v>0</v>
      </c>
      <c r="U564" s="20">
        <v>28.218</v>
      </c>
      <c r="V564" s="20">
        <v>28.218</v>
      </c>
      <c r="W564" s="20">
        <v>0</v>
      </c>
      <c r="X564" s="20">
        <v>0</v>
      </c>
      <c r="Y564" s="20">
        <v>0</v>
      </c>
      <c r="Z564" s="20">
        <v>0</v>
      </c>
      <c r="AA564" s="20" t="s">
        <v>1309</v>
      </c>
      <c r="AB564" s="22" t="s">
        <v>1309</v>
      </c>
      <c r="AC564" s="20">
        <v>0</v>
      </c>
      <c r="AD564" s="20">
        <v>1</v>
      </c>
      <c r="AE564" s="20">
        <v>1</v>
      </c>
      <c r="AF564" s="20">
        <v>0</v>
      </c>
      <c r="AG564" s="20">
        <v>60</v>
      </c>
      <c r="AH564" s="20">
        <v>7</v>
      </c>
      <c r="AI564" s="328" t="s">
        <v>1328</v>
      </c>
      <c r="AJ564" s="328">
        <v>0.81833060556464809</v>
      </c>
      <c r="AK564" s="328">
        <v>0.81833060556464809</v>
      </c>
      <c r="AL564" s="22" t="s">
        <v>1338</v>
      </c>
      <c r="AM564" s="22" t="s">
        <v>1339</v>
      </c>
      <c r="AN564" s="22" t="s">
        <v>1315</v>
      </c>
      <c r="AO564" s="22" t="s">
        <v>1315</v>
      </c>
      <c r="AP564" s="22" t="s">
        <v>1315</v>
      </c>
      <c r="AQ564" s="22" t="s">
        <v>1315</v>
      </c>
      <c r="AR564" s="22" t="s">
        <v>1317</v>
      </c>
      <c r="AS564" s="22" t="s">
        <v>1318</v>
      </c>
      <c r="AT564" s="22" t="s">
        <v>1317</v>
      </c>
      <c r="AU564" s="22" t="s">
        <v>1318</v>
      </c>
      <c r="AV564" s="22" t="s">
        <v>1317</v>
      </c>
      <c r="AW564" s="22" t="s">
        <v>1318</v>
      </c>
      <c r="AX564" s="22" t="s">
        <v>1317</v>
      </c>
      <c r="AY564" s="22" t="s">
        <v>1318</v>
      </c>
      <c r="AZ564" s="22" t="s">
        <v>1309</v>
      </c>
      <c r="BA564" s="22" t="s">
        <v>1309</v>
      </c>
      <c r="BB564" s="22" t="s">
        <v>1309</v>
      </c>
      <c r="BC564" s="22" t="s">
        <v>1309</v>
      </c>
      <c r="BD564" s="22" t="s">
        <v>1317</v>
      </c>
      <c r="BE564" s="22" t="s">
        <v>1318</v>
      </c>
      <c r="BF564" s="22" t="s">
        <v>1319</v>
      </c>
      <c r="BG564" s="22" t="s">
        <v>1311</v>
      </c>
      <c r="BH564" s="22" t="s">
        <v>1309</v>
      </c>
      <c r="BI564" s="22" t="s">
        <v>1309</v>
      </c>
      <c r="BJ564" s="22" t="s">
        <v>1309</v>
      </c>
      <c r="BK564" s="22" t="s">
        <v>1309</v>
      </c>
      <c r="BL564" s="22" t="s">
        <v>1309</v>
      </c>
      <c r="BM564" s="22" t="s">
        <v>1309</v>
      </c>
      <c r="BN564" s="22" t="s">
        <v>1309</v>
      </c>
      <c r="BO564" s="22" t="s">
        <v>1309</v>
      </c>
      <c r="BP564" s="22" t="s">
        <v>1309</v>
      </c>
      <c r="BQ564" s="22" t="s">
        <v>1309</v>
      </c>
      <c r="BR564" s="22" t="s">
        <v>1309</v>
      </c>
      <c r="BS564" s="22" t="s">
        <v>1309</v>
      </c>
      <c r="BT564" s="22" t="s">
        <v>1309</v>
      </c>
      <c r="BU564" s="22" t="s">
        <v>1309</v>
      </c>
      <c r="BV564" s="22" t="s">
        <v>1309</v>
      </c>
      <c r="BW564" s="22" t="s">
        <v>1309</v>
      </c>
      <c r="BX564" s="20">
        <v>11</v>
      </c>
      <c r="BY564" s="20">
        <v>0</v>
      </c>
      <c r="BZ564" s="20">
        <v>12</v>
      </c>
      <c r="CA564" s="20">
        <v>0</v>
      </c>
      <c r="CB564" s="20">
        <v>4</v>
      </c>
      <c r="CC564" s="20">
        <v>1179</v>
      </c>
      <c r="CD564" s="22" t="s">
        <v>1320</v>
      </c>
      <c r="CE564" s="22" t="s">
        <v>1315</v>
      </c>
      <c r="CF564" s="22" t="s">
        <v>1320</v>
      </c>
      <c r="CG564" s="22" t="s">
        <v>1315</v>
      </c>
      <c r="CH564" s="22" t="s">
        <v>1315</v>
      </c>
      <c r="CI564" s="22" t="s">
        <v>1315</v>
      </c>
      <c r="CJ564" s="149" t="s">
        <v>2616</v>
      </c>
      <c r="CK564" s="241" t="s">
        <v>1357</v>
      </c>
    </row>
    <row r="565" spans="1:89" ht="15" customHeight="1" x14ac:dyDescent="0.35">
      <c r="A565" s="17"/>
      <c r="B565" s="313">
        <v>10030</v>
      </c>
      <c r="C565" s="8" t="s">
        <v>12</v>
      </c>
      <c r="D565" s="18">
        <v>1</v>
      </c>
      <c r="E565" s="131" t="s">
        <v>1319</v>
      </c>
      <c r="F565" s="22" t="s">
        <v>1490</v>
      </c>
      <c r="G565" s="132" t="s">
        <v>1309</v>
      </c>
      <c r="H565" s="22" t="s">
        <v>1311</v>
      </c>
      <c r="I565" s="22" t="s">
        <v>1315</v>
      </c>
      <c r="J565" s="22" t="s">
        <v>1315</v>
      </c>
      <c r="K565" s="22" t="s">
        <v>1314</v>
      </c>
      <c r="L565" s="22" t="s">
        <v>1311</v>
      </c>
      <c r="M565" s="133" t="s">
        <v>1311</v>
      </c>
      <c r="N565" s="22" t="s">
        <v>1311</v>
      </c>
      <c r="O565" s="22" t="s">
        <v>1315</v>
      </c>
      <c r="P565" s="22" t="s">
        <v>1315</v>
      </c>
      <c r="Q565" s="20">
        <v>0</v>
      </c>
      <c r="R565" s="20">
        <v>0</v>
      </c>
      <c r="S565" s="20">
        <v>0</v>
      </c>
      <c r="T565" s="20">
        <v>0</v>
      </c>
      <c r="U565" s="20">
        <v>0</v>
      </c>
      <c r="V565" s="20">
        <v>0</v>
      </c>
      <c r="W565" s="20">
        <v>0</v>
      </c>
      <c r="X565" s="20">
        <v>0</v>
      </c>
      <c r="Y565" s="20">
        <v>0</v>
      </c>
      <c r="Z565" s="20">
        <v>0</v>
      </c>
      <c r="AA565" s="20" t="s">
        <v>1317</v>
      </c>
      <c r="AB565" s="22" t="s">
        <v>1318</v>
      </c>
      <c r="AC565" s="20">
        <v>1</v>
      </c>
      <c r="AD565" s="20">
        <v>0</v>
      </c>
      <c r="AE565" s="20">
        <v>0</v>
      </c>
      <c r="AF565" s="20">
        <v>1</v>
      </c>
      <c r="AG565" s="20">
        <v>0</v>
      </c>
      <c r="AH565" s="20">
        <v>0</v>
      </c>
      <c r="AI565" s="328">
        <v>4.9610557126556527</v>
      </c>
      <c r="AJ565" s="328" t="s">
        <v>1328</v>
      </c>
      <c r="AK565" s="328" t="s">
        <v>1328</v>
      </c>
      <c r="AL565" s="22" t="s">
        <v>1329</v>
      </c>
      <c r="AM565" s="22" t="s">
        <v>1330</v>
      </c>
      <c r="AN565" s="22" t="s">
        <v>1317</v>
      </c>
      <c r="AO565" s="22" t="s">
        <v>1318</v>
      </c>
      <c r="AP565" s="22" t="s">
        <v>1318</v>
      </c>
      <c r="AQ565" s="22" t="s">
        <v>1318</v>
      </c>
      <c r="AR565" s="22" t="s">
        <v>1317</v>
      </c>
      <c r="AS565" s="22" t="s">
        <v>1318</v>
      </c>
      <c r="AT565" s="22" t="s">
        <v>1317</v>
      </c>
      <c r="AU565" s="22" t="s">
        <v>1318</v>
      </c>
      <c r="AV565" s="22" t="s">
        <v>1309</v>
      </c>
      <c r="AW565" s="22" t="s">
        <v>1309</v>
      </c>
      <c r="AX565" s="22" t="s">
        <v>1317</v>
      </c>
      <c r="AY565" s="22" t="s">
        <v>1318</v>
      </c>
      <c r="AZ565" s="22" t="s">
        <v>1309</v>
      </c>
      <c r="BA565" s="22" t="s">
        <v>1309</v>
      </c>
      <c r="BB565" s="22" t="s">
        <v>1309</v>
      </c>
      <c r="BC565" s="22" t="s">
        <v>1309</v>
      </c>
      <c r="BD565" s="22" t="s">
        <v>1317</v>
      </c>
      <c r="BE565" s="22" t="s">
        <v>1318</v>
      </c>
      <c r="BF565" s="22" t="s">
        <v>1317</v>
      </c>
      <c r="BG565" s="22" t="s">
        <v>1318</v>
      </c>
      <c r="BH565" s="22" t="s">
        <v>1317</v>
      </c>
      <c r="BI565" s="22" t="s">
        <v>1318</v>
      </c>
      <c r="BJ565" s="22" t="s">
        <v>1309</v>
      </c>
      <c r="BK565" s="22" t="s">
        <v>1309</v>
      </c>
      <c r="BL565" s="22" t="s">
        <v>1309</v>
      </c>
      <c r="BM565" s="22" t="s">
        <v>1309</v>
      </c>
      <c r="BN565" s="22" t="s">
        <v>1309</v>
      </c>
      <c r="BO565" s="22" t="s">
        <v>1309</v>
      </c>
      <c r="BP565" s="22" t="s">
        <v>1315</v>
      </c>
      <c r="BQ565" s="22" t="s">
        <v>1315</v>
      </c>
      <c r="BR565" s="22" t="s">
        <v>1317</v>
      </c>
      <c r="BS565" s="22" t="s">
        <v>1318</v>
      </c>
      <c r="BT565" s="22" t="s">
        <v>1315</v>
      </c>
      <c r="BU565" s="22" t="s">
        <v>1315</v>
      </c>
      <c r="BV565" s="22" t="s">
        <v>1309</v>
      </c>
      <c r="BW565" s="22" t="s">
        <v>1309</v>
      </c>
      <c r="BX565" s="20">
        <v>0</v>
      </c>
      <c r="BY565" s="20">
        <v>0</v>
      </c>
      <c r="BZ565" s="20">
        <v>22</v>
      </c>
      <c r="CA565" s="20">
        <v>0</v>
      </c>
      <c r="CB565" s="20">
        <v>0</v>
      </c>
      <c r="CC565" s="20">
        <v>596</v>
      </c>
      <c r="CD565" s="22" t="s">
        <v>1317</v>
      </c>
      <c r="CE565" s="22" t="s">
        <v>1318</v>
      </c>
      <c r="CF565" s="22" t="s">
        <v>1317</v>
      </c>
      <c r="CG565" s="22" t="s">
        <v>1318</v>
      </c>
      <c r="CH565" s="22" t="s">
        <v>1317</v>
      </c>
      <c r="CI565" s="22" t="s">
        <v>1318</v>
      </c>
      <c r="CJ565" s="149" t="s">
        <v>1124</v>
      </c>
      <c r="CK565" s="241" t="s">
        <v>2620</v>
      </c>
    </row>
    <row r="566" spans="1:89" ht="15" customHeight="1" x14ac:dyDescent="0.35">
      <c r="A566" s="17"/>
      <c r="B566" s="313">
        <v>14040</v>
      </c>
      <c r="C566" s="8" t="s">
        <v>66</v>
      </c>
      <c r="D566" s="18">
        <v>1</v>
      </c>
      <c r="E566" s="131" t="s">
        <v>1309</v>
      </c>
      <c r="F566" s="22" t="s">
        <v>1309</v>
      </c>
      <c r="G566" s="132" t="s">
        <v>1309</v>
      </c>
      <c r="H566" s="22" t="s">
        <v>1311</v>
      </c>
      <c r="I566" s="22" t="s">
        <v>1327</v>
      </c>
      <c r="J566" s="22" t="s">
        <v>1327</v>
      </c>
      <c r="K566" s="22" t="s">
        <v>1314</v>
      </c>
      <c r="L566" s="22" t="s">
        <v>1311</v>
      </c>
      <c r="M566" s="133" t="s">
        <v>1311</v>
      </c>
      <c r="N566" s="22" t="s">
        <v>1311</v>
      </c>
      <c r="O566" s="22" t="s">
        <v>1309</v>
      </c>
      <c r="P566" s="22" t="s">
        <v>1309</v>
      </c>
      <c r="Q566" s="20">
        <v>0</v>
      </c>
      <c r="R566" s="20">
        <v>0</v>
      </c>
      <c r="S566" s="20">
        <v>0</v>
      </c>
      <c r="T566" s="20">
        <v>0</v>
      </c>
      <c r="U566" s="20">
        <v>0</v>
      </c>
      <c r="V566" s="20">
        <v>0</v>
      </c>
      <c r="W566" s="20">
        <v>0</v>
      </c>
      <c r="X566" s="20">
        <v>0</v>
      </c>
      <c r="Y566" s="20">
        <v>0</v>
      </c>
      <c r="Z566" s="20">
        <v>0</v>
      </c>
      <c r="AA566" s="20" t="s">
        <v>1317</v>
      </c>
      <c r="AB566" s="22" t="s">
        <v>1318</v>
      </c>
      <c r="AC566" s="20">
        <v>0</v>
      </c>
      <c r="AD566" s="20">
        <v>0</v>
      </c>
      <c r="AE566" s="20">
        <v>1</v>
      </c>
      <c r="AF566" s="20">
        <v>0</v>
      </c>
      <c r="AG566" s="20">
        <v>0</v>
      </c>
      <c r="AH566" s="20">
        <v>1</v>
      </c>
      <c r="AI566" s="328" t="s">
        <v>1328</v>
      </c>
      <c r="AJ566" s="328" t="s">
        <v>1328</v>
      </c>
      <c r="AK566" s="328">
        <v>6.8027210884353737</v>
      </c>
      <c r="AL566" s="22" t="s">
        <v>1329</v>
      </c>
      <c r="AM566" s="22" t="s">
        <v>1330</v>
      </c>
      <c r="AN566" s="22" t="s">
        <v>1317</v>
      </c>
      <c r="AO566" s="22" t="s">
        <v>1318</v>
      </c>
      <c r="AP566" s="22" t="s">
        <v>1318</v>
      </c>
      <c r="AQ566" s="22" t="s">
        <v>1318</v>
      </c>
      <c r="AR566" s="22" t="s">
        <v>1317</v>
      </c>
      <c r="AS566" s="22" t="s">
        <v>1318</v>
      </c>
      <c r="AT566" s="22" t="s">
        <v>1317</v>
      </c>
      <c r="AU566" s="22" t="s">
        <v>1318</v>
      </c>
      <c r="AV566" s="22" t="s">
        <v>1317</v>
      </c>
      <c r="AW566" s="22" t="s">
        <v>1311</v>
      </c>
      <c r="AX566" s="22" t="s">
        <v>1317</v>
      </c>
      <c r="AY566" s="22" t="s">
        <v>1318</v>
      </c>
      <c r="AZ566" s="22" t="s">
        <v>1309</v>
      </c>
      <c r="BA566" s="22" t="s">
        <v>1309</v>
      </c>
      <c r="BB566" s="22" t="s">
        <v>1309</v>
      </c>
      <c r="BC566" s="22" t="s">
        <v>1309</v>
      </c>
      <c r="BD566" s="22" t="s">
        <v>1309</v>
      </c>
      <c r="BE566" s="22" t="s">
        <v>1309</v>
      </c>
      <c r="BF566" s="22" t="s">
        <v>1317</v>
      </c>
      <c r="BG566" s="22" t="s">
        <v>1318</v>
      </c>
      <c r="BH566" s="22" t="s">
        <v>1309</v>
      </c>
      <c r="BI566" s="22" t="s">
        <v>1309</v>
      </c>
      <c r="BJ566" s="22" t="s">
        <v>1309</v>
      </c>
      <c r="BK566" s="22" t="s">
        <v>1309</v>
      </c>
      <c r="BL566" s="22" t="s">
        <v>1317</v>
      </c>
      <c r="BM566" s="22" t="s">
        <v>1318</v>
      </c>
      <c r="BN566" s="22" t="s">
        <v>1309</v>
      </c>
      <c r="BO566" s="22" t="s">
        <v>1309</v>
      </c>
      <c r="BP566" s="22" t="s">
        <v>1315</v>
      </c>
      <c r="BQ566" s="22" t="s">
        <v>1315</v>
      </c>
      <c r="BR566" s="22" t="s">
        <v>1309</v>
      </c>
      <c r="BS566" s="22" t="s">
        <v>1309</v>
      </c>
      <c r="BT566" s="22" t="s">
        <v>1317</v>
      </c>
      <c r="BU566" s="22" t="s">
        <v>1318</v>
      </c>
      <c r="BV566" s="22" t="s">
        <v>1309</v>
      </c>
      <c r="BW566" s="22" t="s">
        <v>1309</v>
      </c>
      <c r="BX566" s="20">
        <v>19</v>
      </c>
      <c r="BY566" s="20">
        <v>0</v>
      </c>
      <c r="BZ566" s="20">
        <v>0</v>
      </c>
      <c r="CA566" s="20">
        <v>0</v>
      </c>
      <c r="CB566" s="20">
        <v>0</v>
      </c>
      <c r="CC566" s="20">
        <v>128</v>
      </c>
      <c r="CD566" s="22" t="s">
        <v>1331</v>
      </c>
      <c r="CE566" s="22" t="s">
        <v>1331</v>
      </c>
      <c r="CF566" s="22" t="s">
        <v>1317</v>
      </c>
      <c r="CG566" s="22" t="s">
        <v>1318</v>
      </c>
      <c r="CH566" s="22" t="s">
        <v>1317</v>
      </c>
      <c r="CI566" s="22" t="s">
        <v>1318</v>
      </c>
      <c r="CJ566" s="149" t="s">
        <v>1124</v>
      </c>
      <c r="CK566" s="241" t="s">
        <v>1124</v>
      </c>
    </row>
    <row r="567" spans="1:89" ht="15" customHeight="1" x14ac:dyDescent="0.35">
      <c r="A567" s="17"/>
      <c r="B567" s="313">
        <v>80027</v>
      </c>
      <c r="C567" s="8" t="s">
        <v>807</v>
      </c>
      <c r="D567" s="18">
        <v>7</v>
      </c>
      <c r="E567" s="131"/>
      <c r="F567" s="22"/>
      <c r="G567" s="132"/>
      <c r="H567" s="22"/>
      <c r="I567" s="22"/>
      <c r="J567" s="22"/>
      <c r="K567" s="22"/>
      <c r="L567" s="22"/>
      <c r="M567" s="133"/>
      <c r="N567" s="22"/>
      <c r="O567" s="22"/>
      <c r="P567" s="22"/>
      <c r="Q567" s="20"/>
      <c r="R567" s="20"/>
      <c r="S567" s="20"/>
      <c r="T567" s="20"/>
      <c r="U567" s="20"/>
      <c r="V567" s="20"/>
      <c r="W567" s="20"/>
      <c r="X567" s="20"/>
      <c r="Y567" s="20"/>
      <c r="Z567" s="20"/>
      <c r="AA567" s="20"/>
      <c r="AB567" s="22"/>
      <c r="AC567" s="20"/>
      <c r="AD567" s="20"/>
      <c r="AE567" s="20"/>
      <c r="AF567" s="20" t="s">
        <v>1124</v>
      </c>
      <c r="AG567" s="20" t="s">
        <v>1124</v>
      </c>
      <c r="AH567" s="20" t="s">
        <v>1124</v>
      </c>
      <c r="AI567" s="328"/>
      <c r="AJ567" s="328"/>
      <c r="AK567" s="328"/>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0"/>
      <c r="BY567" s="20"/>
      <c r="BZ567" s="20"/>
      <c r="CA567" s="20"/>
      <c r="CB567" s="20"/>
      <c r="CC567" s="20"/>
      <c r="CD567" s="22"/>
      <c r="CE567" s="22"/>
      <c r="CF567" s="22"/>
      <c r="CG567" s="22"/>
      <c r="CH567" s="22"/>
      <c r="CI567" s="22"/>
      <c r="CJ567" s="149"/>
      <c r="CK567" s="241"/>
    </row>
    <row r="568" spans="1:89" ht="15" customHeight="1" x14ac:dyDescent="0.35">
      <c r="A568" s="17"/>
      <c r="B568" s="313">
        <v>76008</v>
      </c>
      <c r="C568" s="8" t="s">
        <v>747</v>
      </c>
      <c r="D568" s="18">
        <v>15</v>
      </c>
      <c r="E568" s="131"/>
      <c r="F568" s="22"/>
      <c r="G568" s="132"/>
      <c r="H568" s="22"/>
      <c r="I568" s="22"/>
      <c r="J568" s="22"/>
      <c r="K568" s="22"/>
      <c r="L568" s="22"/>
      <c r="M568" s="133"/>
      <c r="N568" s="22"/>
      <c r="O568" s="22"/>
      <c r="P568" s="22"/>
      <c r="Q568" s="20"/>
      <c r="R568" s="20"/>
      <c r="S568" s="20"/>
      <c r="T568" s="20"/>
      <c r="U568" s="20"/>
      <c r="V568" s="20"/>
      <c r="W568" s="20"/>
      <c r="X568" s="20"/>
      <c r="Y568" s="20"/>
      <c r="Z568" s="20"/>
      <c r="AA568" s="20"/>
      <c r="AB568" s="22"/>
      <c r="AC568" s="20"/>
      <c r="AD568" s="20"/>
      <c r="AE568" s="20"/>
      <c r="AF568" s="20" t="s">
        <v>1124</v>
      </c>
      <c r="AG568" s="20" t="s">
        <v>1124</v>
      </c>
      <c r="AH568" s="20" t="s">
        <v>1124</v>
      </c>
      <c r="AI568" s="328"/>
      <c r="AJ568" s="328"/>
      <c r="AK568" s="328"/>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0"/>
      <c r="BY568" s="20"/>
      <c r="BZ568" s="20"/>
      <c r="CA568" s="20"/>
      <c r="CB568" s="20"/>
      <c r="CC568" s="20"/>
      <c r="CD568" s="22"/>
      <c r="CE568" s="22"/>
      <c r="CF568" s="22"/>
      <c r="CG568" s="22"/>
      <c r="CH568" s="22"/>
      <c r="CI568" s="22"/>
      <c r="CJ568" s="149"/>
      <c r="CK568" s="241"/>
    </row>
    <row r="569" spans="1:89" ht="15" customHeight="1" x14ac:dyDescent="0.35">
      <c r="A569" s="17"/>
      <c r="B569" s="313">
        <v>6040</v>
      </c>
      <c r="C569" s="8" t="s">
        <v>1063</v>
      </c>
      <c r="D569" s="18">
        <v>11</v>
      </c>
      <c r="E569" s="131"/>
      <c r="F569" s="22"/>
      <c r="G569" s="132"/>
      <c r="H569" s="22"/>
      <c r="I569" s="22"/>
      <c r="J569" s="22"/>
      <c r="K569" s="22"/>
      <c r="L569" s="22"/>
      <c r="M569" s="133"/>
      <c r="N569" s="22"/>
      <c r="O569" s="22"/>
      <c r="P569" s="22"/>
      <c r="Q569" s="20"/>
      <c r="R569" s="20"/>
      <c r="S569" s="20"/>
      <c r="T569" s="20"/>
      <c r="U569" s="20"/>
      <c r="V569" s="20"/>
      <c r="W569" s="20"/>
      <c r="X569" s="20"/>
      <c r="Y569" s="20"/>
      <c r="Z569" s="20"/>
      <c r="AA569" s="20"/>
      <c r="AB569" s="22"/>
      <c r="AC569" s="20"/>
      <c r="AD569" s="20"/>
      <c r="AE569" s="20"/>
      <c r="AF569" s="20" t="s">
        <v>1124</v>
      </c>
      <c r="AG569" s="20" t="s">
        <v>1124</v>
      </c>
      <c r="AH569" s="20" t="s">
        <v>1124</v>
      </c>
      <c r="AI569" s="328"/>
      <c r="AJ569" s="328"/>
      <c r="AK569" s="328"/>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0"/>
      <c r="BY569" s="20"/>
      <c r="BZ569" s="20"/>
      <c r="CA569" s="20"/>
      <c r="CB569" s="20"/>
      <c r="CC569" s="20"/>
      <c r="CD569" s="22"/>
      <c r="CE569" s="22"/>
      <c r="CF569" s="22"/>
      <c r="CG569" s="22"/>
      <c r="CH569" s="22"/>
      <c r="CI569" s="22"/>
      <c r="CJ569" s="149"/>
      <c r="CK569" s="241"/>
    </row>
    <row r="570" spans="1:89" ht="15" customHeight="1" x14ac:dyDescent="0.35">
      <c r="A570" s="17"/>
      <c r="B570" s="313">
        <v>91010</v>
      </c>
      <c r="C570" s="8" t="s">
        <v>938</v>
      </c>
      <c r="D570" s="18">
        <v>2</v>
      </c>
      <c r="E570" s="131" t="s">
        <v>1309</v>
      </c>
      <c r="F570" s="22" t="s">
        <v>1310</v>
      </c>
      <c r="G570" s="132" t="s">
        <v>1309</v>
      </c>
      <c r="H570" s="22" t="s">
        <v>1311</v>
      </c>
      <c r="I570" s="22" t="s">
        <v>1349</v>
      </c>
      <c r="J570" s="22" t="s">
        <v>1327</v>
      </c>
      <c r="K570" s="22" t="s">
        <v>1309</v>
      </c>
      <c r="L570" s="22" t="s">
        <v>1309</v>
      </c>
      <c r="M570" s="133" t="s">
        <v>1311</v>
      </c>
      <c r="N570" s="22" t="s">
        <v>1311</v>
      </c>
      <c r="O570" s="22" t="s">
        <v>1314</v>
      </c>
      <c r="P570" s="22" t="s">
        <v>1318</v>
      </c>
      <c r="Q570" s="20">
        <v>2.7959999999999998</v>
      </c>
      <c r="R570" s="20">
        <v>2.7959999999999998</v>
      </c>
      <c r="S570" s="20">
        <v>0</v>
      </c>
      <c r="T570" s="20">
        <v>0</v>
      </c>
      <c r="U570" s="20">
        <v>2.7959999999999998</v>
      </c>
      <c r="V570" s="20">
        <v>2.7959999999999998</v>
      </c>
      <c r="W570" s="20">
        <v>0</v>
      </c>
      <c r="X570" s="20">
        <v>0</v>
      </c>
      <c r="Y570" s="20">
        <v>0</v>
      </c>
      <c r="Z570" s="20">
        <v>0</v>
      </c>
      <c r="AA570" s="20" t="s">
        <v>1319</v>
      </c>
      <c r="AB570" s="22" t="s">
        <v>1311</v>
      </c>
      <c r="AC570" s="20">
        <v>1</v>
      </c>
      <c r="AD570" s="20">
        <v>1</v>
      </c>
      <c r="AE570" s="20">
        <v>0</v>
      </c>
      <c r="AF570" s="20">
        <v>1</v>
      </c>
      <c r="AG570" s="20">
        <v>1</v>
      </c>
      <c r="AH570" s="20">
        <v>0</v>
      </c>
      <c r="AI570" s="328">
        <v>35.765379113018604</v>
      </c>
      <c r="AJ570" s="328">
        <v>8.4745762711864412</v>
      </c>
      <c r="AK570" s="328" t="s">
        <v>1328</v>
      </c>
      <c r="AL570" s="22" t="s">
        <v>1329</v>
      </c>
      <c r="AM570" s="22" t="s">
        <v>1330</v>
      </c>
      <c r="AN570" s="22" t="s">
        <v>1317</v>
      </c>
      <c r="AO570" s="22" t="s">
        <v>1318</v>
      </c>
      <c r="AP570" s="22" t="s">
        <v>1318</v>
      </c>
      <c r="AQ570" s="22" t="s">
        <v>1318</v>
      </c>
      <c r="AR570" s="22" t="s">
        <v>1317</v>
      </c>
      <c r="AS570" s="22" t="s">
        <v>1318</v>
      </c>
      <c r="AT570" s="22" t="s">
        <v>1309</v>
      </c>
      <c r="AU570" s="22" t="s">
        <v>1311</v>
      </c>
      <c r="AV570" s="22" t="s">
        <v>1317</v>
      </c>
      <c r="AW570" s="22" t="s">
        <v>1318</v>
      </c>
      <c r="AX570" s="22" t="s">
        <v>1317</v>
      </c>
      <c r="AY570" s="22" t="s">
        <v>1318</v>
      </c>
      <c r="AZ570" s="22" t="s">
        <v>1309</v>
      </c>
      <c r="BA570" s="22" t="s">
        <v>1311</v>
      </c>
      <c r="BB570" s="22" t="s">
        <v>1309</v>
      </c>
      <c r="BC570" s="22" t="s">
        <v>1311</v>
      </c>
      <c r="BD570" s="22" t="s">
        <v>1317</v>
      </c>
      <c r="BE570" s="22" t="s">
        <v>1318</v>
      </c>
      <c r="BF570" s="22" t="s">
        <v>1317</v>
      </c>
      <c r="BG570" s="22" t="s">
        <v>1318</v>
      </c>
      <c r="BH570" s="22" t="s">
        <v>1309</v>
      </c>
      <c r="BI570" s="22" t="s">
        <v>1311</v>
      </c>
      <c r="BJ570" s="22" t="s">
        <v>1309</v>
      </c>
      <c r="BK570" s="22" t="s">
        <v>1311</v>
      </c>
      <c r="BL570" s="22" t="s">
        <v>1309</v>
      </c>
      <c r="BM570" s="22" t="s">
        <v>1309</v>
      </c>
      <c r="BN570" s="22" t="s">
        <v>1309</v>
      </c>
      <c r="BO570" s="22" t="s">
        <v>1311</v>
      </c>
      <c r="BP570" s="22" t="s">
        <v>1309</v>
      </c>
      <c r="BQ570" s="22" t="s">
        <v>1311</v>
      </c>
      <c r="BR570" s="22" t="s">
        <v>1309</v>
      </c>
      <c r="BS570" s="22" t="s">
        <v>1309</v>
      </c>
      <c r="BT570" s="22" t="s">
        <v>1309</v>
      </c>
      <c r="BU570" s="22" t="s">
        <v>1311</v>
      </c>
      <c r="BV570" s="22" t="s">
        <v>1317</v>
      </c>
      <c r="BW570" s="22" t="s">
        <v>1311</v>
      </c>
      <c r="BX570" s="20">
        <v>0</v>
      </c>
      <c r="BY570" s="20">
        <v>0</v>
      </c>
      <c r="BZ570" s="20">
        <v>6</v>
      </c>
      <c r="CA570" s="20">
        <v>0</v>
      </c>
      <c r="CB570" s="20">
        <v>0</v>
      </c>
      <c r="CC570" s="20">
        <v>112</v>
      </c>
      <c r="CD570" s="22" t="s">
        <v>1317</v>
      </c>
      <c r="CE570" s="22" t="s">
        <v>1318</v>
      </c>
      <c r="CF570" s="22" t="s">
        <v>1317</v>
      </c>
      <c r="CG570" s="22" t="s">
        <v>1318</v>
      </c>
      <c r="CH570" s="22" t="s">
        <v>1317</v>
      </c>
      <c r="CI570" s="22" t="s">
        <v>1318</v>
      </c>
      <c r="CJ570" s="149" t="s">
        <v>1124</v>
      </c>
      <c r="CK570" s="241" t="s">
        <v>1358</v>
      </c>
    </row>
    <row r="571" spans="1:89" ht="15" customHeight="1" x14ac:dyDescent="0.35">
      <c r="A571" s="17"/>
      <c r="B571" s="313">
        <v>69070</v>
      </c>
      <c r="C571" s="8" t="s">
        <v>695</v>
      </c>
      <c r="D571" s="18">
        <v>16</v>
      </c>
      <c r="E571" s="131"/>
      <c r="F571" s="22"/>
      <c r="G571" s="132"/>
      <c r="H571" s="22"/>
      <c r="I571" s="22"/>
      <c r="J571" s="22"/>
      <c r="K571" s="22"/>
      <c r="L571" s="22"/>
      <c r="M571" s="133"/>
      <c r="N571" s="22"/>
      <c r="O571" s="22"/>
      <c r="P571" s="22"/>
      <c r="Q571" s="20"/>
      <c r="R571" s="20"/>
      <c r="S571" s="20"/>
      <c r="T571" s="20"/>
      <c r="U571" s="20"/>
      <c r="V571" s="20"/>
      <c r="W571" s="20"/>
      <c r="X571" s="20"/>
      <c r="Y571" s="20"/>
      <c r="Z571" s="20"/>
      <c r="AA571" s="20"/>
      <c r="AB571" s="22"/>
      <c r="AC571" s="20"/>
      <c r="AD571" s="20"/>
      <c r="AE571" s="20"/>
      <c r="AF571" s="20" t="s">
        <v>1124</v>
      </c>
      <c r="AG571" s="20" t="s">
        <v>1124</v>
      </c>
      <c r="AH571" s="20" t="s">
        <v>1124</v>
      </c>
      <c r="AI571" s="328"/>
      <c r="AJ571" s="328"/>
      <c r="AK571" s="328"/>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0"/>
      <c r="BY571" s="20"/>
      <c r="BZ571" s="20"/>
      <c r="CA571" s="20"/>
      <c r="CB571" s="20"/>
      <c r="CC571" s="20"/>
      <c r="CD571" s="22"/>
      <c r="CE571" s="22"/>
      <c r="CF571" s="22"/>
      <c r="CG571" s="22"/>
      <c r="CH571" s="22"/>
      <c r="CI571" s="22"/>
      <c r="CJ571" s="149"/>
      <c r="CK571" s="241"/>
    </row>
    <row r="572" spans="1:89" ht="15" customHeight="1" x14ac:dyDescent="0.35">
      <c r="A572" s="17"/>
      <c r="B572" s="313">
        <v>19062</v>
      </c>
      <c r="C572" s="8" t="s">
        <v>128</v>
      </c>
      <c r="D572" s="18">
        <v>12</v>
      </c>
      <c r="E572" s="131" t="s">
        <v>1309</v>
      </c>
      <c r="F572" s="22" t="s">
        <v>1309</v>
      </c>
      <c r="G572" s="132" t="s">
        <v>1309</v>
      </c>
      <c r="H572" s="22" t="s">
        <v>1311</v>
      </c>
      <c r="I572" s="22" t="s">
        <v>1327</v>
      </c>
      <c r="J572" s="22" t="s">
        <v>1327</v>
      </c>
      <c r="K572" s="22" t="s">
        <v>1314</v>
      </c>
      <c r="L572" s="22" t="s">
        <v>1311</v>
      </c>
      <c r="M572" s="133" t="s">
        <v>1311</v>
      </c>
      <c r="N572" s="22" t="s">
        <v>1311</v>
      </c>
      <c r="O572" s="22" t="s">
        <v>1309</v>
      </c>
      <c r="P572" s="22" t="s">
        <v>1309</v>
      </c>
      <c r="Q572" s="20">
        <v>0</v>
      </c>
      <c r="R572" s="20">
        <v>0</v>
      </c>
      <c r="S572" s="20">
        <v>55.716000000000001</v>
      </c>
      <c r="T572" s="20">
        <v>55.716000000000001</v>
      </c>
      <c r="U572" s="20">
        <v>0</v>
      </c>
      <c r="V572" s="20">
        <v>0</v>
      </c>
      <c r="W572" s="20">
        <v>0</v>
      </c>
      <c r="X572" s="20">
        <v>0</v>
      </c>
      <c r="Y572" s="20">
        <v>0</v>
      </c>
      <c r="Z572" s="20">
        <v>0</v>
      </c>
      <c r="AA572" s="20" t="s">
        <v>1315</v>
      </c>
      <c r="AB572" s="22" t="s">
        <v>1315</v>
      </c>
      <c r="AC572" s="20">
        <v>0</v>
      </c>
      <c r="AD572" s="20">
        <v>1</v>
      </c>
      <c r="AE572" s="20">
        <v>0</v>
      </c>
      <c r="AF572" s="20">
        <v>0</v>
      </c>
      <c r="AG572" s="20">
        <v>2</v>
      </c>
      <c r="AH572" s="20">
        <v>0</v>
      </c>
      <c r="AI572" s="328" t="s">
        <v>1328</v>
      </c>
      <c r="AJ572" s="328">
        <v>0.84961767204757854</v>
      </c>
      <c r="AK572" s="328" t="s">
        <v>1328</v>
      </c>
      <c r="AL572" s="22" t="s">
        <v>1329</v>
      </c>
      <c r="AM572" s="22" t="s">
        <v>1330</v>
      </c>
      <c r="AN572" s="22" t="s">
        <v>1317</v>
      </c>
      <c r="AO572" s="22" t="s">
        <v>1318</v>
      </c>
      <c r="AP572" s="22" t="s">
        <v>1318</v>
      </c>
      <c r="AQ572" s="22" t="s">
        <v>1318</v>
      </c>
      <c r="AR572" s="22" t="s">
        <v>1317</v>
      </c>
      <c r="AS572" s="22" t="s">
        <v>1318</v>
      </c>
      <c r="AT572" s="22" t="s">
        <v>1317</v>
      </c>
      <c r="AU572" s="22" t="s">
        <v>1318</v>
      </c>
      <c r="AV572" s="22" t="s">
        <v>1317</v>
      </c>
      <c r="AW572" s="22" t="s">
        <v>1318</v>
      </c>
      <c r="AX572" s="22" t="s">
        <v>1317</v>
      </c>
      <c r="AY572" s="22" t="s">
        <v>1318</v>
      </c>
      <c r="AZ572" s="22" t="s">
        <v>1317</v>
      </c>
      <c r="BA572" s="22" t="s">
        <v>1318</v>
      </c>
      <c r="BB572" s="22" t="s">
        <v>1309</v>
      </c>
      <c r="BC572" s="22" t="s">
        <v>1309</v>
      </c>
      <c r="BD572" s="22" t="s">
        <v>1309</v>
      </c>
      <c r="BE572" s="22" t="s">
        <v>1309</v>
      </c>
      <c r="BF572" s="22" t="s">
        <v>1309</v>
      </c>
      <c r="BG572" s="22" t="s">
        <v>1309</v>
      </c>
      <c r="BH572" s="22" t="s">
        <v>1317</v>
      </c>
      <c r="BI572" s="22" t="s">
        <v>1318</v>
      </c>
      <c r="BJ572" s="22" t="s">
        <v>1317</v>
      </c>
      <c r="BK572" s="22" t="s">
        <v>1318</v>
      </c>
      <c r="BL572" s="22" t="s">
        <v>1309</v>
      </c>
      <c r="BM572" s="22" t="s">
        <v>1309</v>
      </c>
      <c r="BN572" s="22" t="s">
        <v>1309</v>
      </c>
      <c r="BO572" s="22" t="s">
        <v>1309</v>
      </c>
      <c r="BP572" s="22" t="s">
        <v>1309</v>
      </c>
      <c r="BQ572" s="22" t="s">
        <v>1309</v>
      </c>
      <c r="BR572" s="22" t="s">
        <v>1309</v>
      </c>
      <c r="BS572" s="22" t="s">
        <v>1309</v>
      </c>
      <c r="BT572" s="22" t="s">
        <v>1319</v>
      </c>
      <c r="BU572" s="22" t="s">
        <v>1311</v>
      </c>
      <c r="BV572" s="22" t="s">
        <v>1309</v>
      </c>
      <c r="BW572" s="22" t="s">
        <v>1309</v>
      </c>
      <c r="BX572" s="20">
        <v>106</v>
      </c>
      <c r="BY572" s="20">
        <v>0</v>
      </c>
      <c r="BZ572" s="20">
        <v>0</v>
      </c>
      <c r="CA572" s="20">
        <v>1071</v>
      </c>
      <c r="CB572" s="20">
        <v>0</v>
      </c>
      <c r="CC572" s="20">
        <v>0</v>
      </c>
      <c r="CD572" s="22" t="s">
        <v>1331</v>
      </c>
      <c r="CE572" s="22" t="s">
        <v>1331</v>
      </c>
      <c r="CF572" s="22" t="s">
        <v>1331</v>
      </c>
      <c r="CG572" s="22" t="s">
        <v>1331</v>
      </c>
      <c r="CH572" s="22" t="s">
        <v>1317</v>
      </c>
      <c r="CI572" s="22" t="s">
        <v>1318</v>
      </c>
      <c r="CJ572" s="149" t="s">
        <v>1124</v>
      </c>
      <c r="CK572" s="241" t="s">
        <v>1124</v>
      </c>
    </row>
    <row r="573" spans="1:89" ht="15" customHeight="1" x14ac:dyDescent="0.35">
      <c r="A573" s="17"/>
      <c r="B573" s="313">
        <v>18070</v>
      </c>
      <c r="C573" s="8" t="s">
        <v>117</v>
      </c>
      <c r="D573" s="18">
        <v>12</v>
      </c>
      <c r="E573" s="131"/>
      <c r="F573" s="22"/>
      <c r="G573" s="132"/>
      <c r="H573" s="22"/>
      <c r="I573" s="22"/>
      <c r="J573" s="22"/>
      <c r="K573" s="22"/>
      <c r="L573" s="22"/>
      <c r="M573" s="133"/>
      <c r="N573" s="22"/>
      <c r="O573" s="22"/>
      <c r="P573" s="22"/>
      <c r="Q573" s="20"/>
      <c r="R573" s="20"/>
      <c r="S573" s="20"/>
      <c r="T573" s="20"/>
      <c r="U573" s="20"/>
      <c r="V573" s="20"/>
      <c r="W573" s="20"/>
      <c r="X573" s="20"/>
      <c r="Y573" s="20"/>
      <c r="Z573" s="20"/>
      <c r="AA573" s="20"/>
      <c r="AB573" s="22"/>
      <c r="AC573" s="20"/>
      <c r="AD573" s="20"/>
      <c r="AE573" s="20"/>
      <c r="AF573" s="20" t="s">
        <v>1124</v>
      </c>
      <c r="AG573" s="20" t="s">
        <v>1124</v>
      </c>
      <c r="AH573" s="20" t="s">
        <v>1124</v>
      </c>
      <c r="AI573" s="328"/>
      <c r="AJ573" s="328"/>
      <c r="AK573" s="328"/>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0"/>
      <c r="BY573" s="20"/>
      <c r="BZ573" s="20"/>
      <c r="CA573" s="20"/>
      <c r="CB573" s="20"/>
      <c r="CC573" s="20"/>
      <c r="CD573" s="22"/>
      <c r="CE573" s="22"/>
      <c r="CF573" s="22"/>
      <c r="CG573" s="22"/>
      <c r="CH573" s="22"/>
      <c r="CI573" s="22"/>
      <c r="CJ573" s="149"/>
      <c r="CK573" s="241"/>
    </row>
    <row r="574" spans="1:89" ht="15" customHeight="1" x14ac:dyDescent="0.35">
      <c r="A574" s="17"/>
      <c r="B574" s="313">
        <v>33095</v>
      </c>
      <c r="C574" s="8" t="s">
        <v>281</v>
      </c>
      <c r="D574" s="18">
        <v>12</v>
      </c>
      <c r="E574" s="131"/>
      <c r="F574" s="22"/>
      <c r="G574" s="132"/>
      <c r="H574" s="22"/>
      <c r="I574" s="22"/>
      <c r="J574" s="22"/>
      <c r="K574" s="22"/>
      <c r="L574" s="22"/>
      <c r="M574" s="133"/>
      <c r="N574" s="22"/>
      <c r="O574" s="22"/>
      <c r="P574" s="22"/>
      <c r="Q574" s="20"/>
      <c r="R574" s="20"/>
      <c r="S574" s="20"/>
      <c r="T574" s="20"/>
      <c r="U574" s="20"/>
      <c r="V574" s="20"/>
      <c r="W574" s="20"/>
      <c r="X574" s="20"/>
      <c r="Y574" s="20"/>
      <c r="Z574" s="20"/>
      <c r="AA574" s="20"/>
      <c r="AB574" s="22"/>
      <c r="AC574" s="20"/>
      <c r="AD574" s="20"/>
      <c r="AE574" s="20"/>
      <c r="AF574" s="20" t="s">
        <v>1124</v>
      </c>
      <c r="AG574" s="20" t="s">
        <v>1124</v>
      </c>
      <c r="AH574" s="20" t="s">
        <v>1124</v>
      </c>
      <c r="AI574" s="328"/>
      <c r="AJ574" s="328"/>
      <c r="AK574" s="328"/>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0"/>
      <c r="BY574" s="20"/>
      <c r="BZ574" s="20"/>
      <c r="CA574" s="20"/>
      <c r="CB574" s="20"/>
      <c r="CC574" s="20"/>
      <c r="CD574" s="22"/>
      <c r="CE574" s="22"/>
      <c r="CF574" s="22"/>
      <c r="CG574" s="22"/>
      <c r="CH574" s="22"/>
      <c r="CI574" s="22"/>
      <c r="CJ574" s="149"/>
      <c r="CK574" s="241"/>
    </row>
    <row r="575" spans="1:89" ht="15" customHeight="1" x14ac:dyDescent="0.35">
      <c r="A575" s="17"/>
      <c r="B575" s="313">
        <v>57075</v>
      </c>
      <c r="C575" s="8" t="s">
        <v>593</v>
      </c>
      <c r="D575" s="18">
        <v>16</v>
      </c>
      <c r="E575" s="131" t="s">
        <v>1309</v>
      </c>
      <c r="F575" s="22" t="s">
        <v>1309</v>
      </c>
      <c r="G575" s="132" t="s">
        <v>1309</v>
      </c>
      <c r="H575" s="22" t="s">
        <v>1311</v>
      </c>
      <c r="I575" s="22" t="s">
        <v>1327</v>
      </c>
      <c r="J575" s="22" t="s">
        <v>1327</v>
      </c>
      <c r="K575" s="22" t="s">
        <v>1314</v>
      </c>
      <c r="L575" s="22" t="s">
        <v>1311</v>
      </c>
      <c r="M575" s="133" t="s">
        <v>1311</v>
      </c>
      <c r="N575" s="22" t="s">
        <v>1311</v>
      </c>
      <c r="O575" s="22" t="s">
        <v>1309</v>
      </c>
      <c r="P575" s="22" t="s">
        <v>1309</v>
      </c>
      <c r="Q575" s="20">
        <v>0</v>
      </c>
      <c r="R575" s="20">
        <v>0</v>
      </c>
      <c r="S575" s="20">
        <v>0</v>
      </c>
      <c r="T575" s="20">
        <v>0</v>
      </c>
      <c r="U575" s="20">
        <v>0</v>
      </c>
      <c r="V575" s="20">
        <v>0</v>
      </c>
      <c r="W575" s="20">
        <v>0</v>
      </c>
      <c r="X575" s="20">
        <v>0</v>
      </c>
      <c r="Y575" s="20">
        <v>0</v>
      </c>
      <c r="Z575" s="20">
        <v>0</v>
      </c>
      <c r="AA575" s="20" t="s">
        <v>1317</v>
      </c>
      <c r="AB575" s="22" t="s">
        <v>1318</v>
      </c>
      <c r="AC575" s="20">
        <v>0</v>
      </c>
      <c r="AD575" s="20">
        <v>0</v>
      </c>
      <c r="AE575" s="20">
        <v>0</v>
      </c>
      <c r="AF575" s="20">
        <v>0</v>
      </c>
      <c r="AG575" s="20">
        <v>0</v>
      </c>
      <c r="AH575" s="20">
        <v>0</v>
      </c>
      <c r="AI575" s="328" t="s">
        <v>1328</v>
      </c>
      <c r="AJ575" s="328" t="s">
        <v>1328</v>
      </c>
      <c r="AK575" s="328" t="s">
        <v>1328</v>
      </c>
      <c r="AL575" s="22" t="s">
        <v>1316</v>
      </c>
      <c r="AM575" s="22" t="s">
        <v>1316</v>
      </c>
      <c r="AN575" s="22" t="s">
        <v>1317</v>
      </c>
      <c r="AO575" s="22" t="s">
        <v>1318</v>
      </c>
      <c r="AP575" s="22" t="s">
        <v>1318</v>
      </c>
      <c r="AQ575" s="22" t="s">
        <v>1318</v>
      </c>
      <c r="AR575" s="22" t="s">
        <v>1317</v>
      </c>
      <c r="AS575" s="22" t="s">
        <v>1318</v>
      </c>
      <c r="AT575" s="22" t="s">
        <v>1317</v>
      </c>
      <c r="AU575" s="22" t="s">
        <v>1318</v>
      </c>
      <c r="AV575" s="22" t="s">
        <v>1317</v>
      </c>
      <c r="AW575" s="22" t="s">
        <v>1318</v>
      </c>
      <c r="AX575" s="22" t="s">
        <v>1317</v>
      </c>
      <c r="AY575" s="22" t="s">
        <v>1318</v>
      </c>
      <c r="AZ575" s="22" t="s">
        <v>1317</v>
      </c>
      <c r="BA575" s="22" t="s">
        <v>1318</v>
      </c>
      <c r="BB575" s="22" t="s">
        <v>1309</v>
      </c>
      <c r="BC575" s="22" t="s">
        <v>1309</v>
      </c>
      <c r="BD575" s="22" t="s">
        <v>1309</v>
      </c>
      <c r="BE575" s="22" t="s">
        <v>1309</v>
      </c>
      <c r="BF575" s="22" t="s">
        <v>1309</v>
      </c>
      <c r="BG575" s="22" t="s">
        <v>1309</v>
      </c>
      <c r="BH575" s="22" t="s">
        <v>1309</v>
      </c>
      <c r="BI575" s="22" t="s">
        <v>1309</v>
      </c>
      <c r="BJ575" s="22" t="s">
        <v>1317</v>
      </c>
      <c r="BK575" s="22" t="s">
        <v>1318</v>
      </c>
      <c r="BL575" s="22" t="s">
        <v>1317</v>
      </c>
      <c r="BM575" s="22" t="s">
        <v>1318</v>
      </c>
      <c r="BN575" s="22" t="s">
        <v>1317</v>
      </c>
      <c r="BO575" s="22" t="s">
        <v>1318</v>
      </c>
      <c r="BP575" s="22" t="s">
        <v>1317</v>
      </c>
      <c r="BQ575" s="22" t="s">
        <v>1318</v>
      </c>
      <c r="BR575" s="22" t="s">
        <v>1317</v>
      </c>
      <c r="BS575" s="22" t="s">
        <v>1318</v>
      </c>
      <c r="BT575" s="22" t="s">
        <v>1317</v>
      </c>
      <c r="BU575" s="22" t="s">
        <v>1318</v>
      </c>
      <c r="BV575" s="22" t="s">
        <v>1317</v>
      </c>
      <c r="BW575" s="22" t="s">
        <v>1318</v>
      </c>
      <c r="BX575" s="20">
        <v>39</v>
      </c>
      <c r="BY575" s="20">
        <v>0</v>
      </c>
      <c r="BZ575" s="20">
        <v>6</v>
      </c>
      <c r="CA575" s="20">
        <v>712</v>
      </c>
      <c r="CB575" s="20">
        <v>0</v>
      </c>
      <c r="CC575" s="20">
        <v>0</v>
      </c>
      <c r="CD575" s="22" t="s">
        <v>1331</v>
      </c>
      <c r="CE575" s="22" t="s">
        <v>1331</v>
      </c>
      <c r="CF575" s="22" t="s">
        <v>1331</v>
      </c>
      <c r="CG575" s="22" t="s">
        <v>1331</v>
      </c>
      <c r="CH575" s="22" t="s">
        <v>1317</v>
      </c>
      <c r="CI575" s="22" t="s">
        <v>1318</v>
      </c>
      <c r="CJ575" s="149" t="s">
        <v>1124</v>
      </c>
      <c r="CK575" s="241" t="s">
        <v>1124</v>
      </c>
    </row>
    <row r="576" spans="1:89" ht="15" customHeight="1" x14ac:dyDescent="0.35">
      <c r="A576" s="17"/>
      <c r="B576" s="313">
        <v>12015</v>
      </c>
      <c r="C576" s="8" t="s">
        <v>30</v>
      </c>
      <c r="D576" s="18">
        <v>1</v>
      </c>
      <c r="E576" s="131" t="s">
        <v>1309</v>
      </c>
      <c r="F576" s="22" t="s">
        <v>1309</v>
      </c>
      <c r="G576" s="132" t="s">
        <v>1309</v>
      </c>
      <c r="H576" s="22" t="s">
        <v>1311</v>
      </c>
      <c r="I576" s="22" t="s">
        <v>1327</v>
      </c>
      <c r="J576" s="22" t="s">
        <v>1327</v>
      </c>
      <c r="K576" s="22" t="s">
        <v>1309</v>
      </c>
      <c r="L576" s="22" t="s">
        <v>1309</v>
      </c>
      <c r="M576" s="133" t="s">
        <v>1311</v>
      </c>
      <c r="N576" s="22" t="s">
        <v>1311</v>
      </c>
      <c r="O576" s="22" t="s">
        <v>1314</v>
      </c>
      <c r="P576" s="22" t="s">
        <v>1318</v>
      </c>
      <c r="Q576" s="20">
        <v>0</v>
      </c>
      <c r="R576" s="20">
        <v>0</v>
      </c>
      <c r="S576" s="20">
        <v>0</v>
      </c>
      <c r="T576" s="20">
        <v>0</v>
      </c>
      <c r="U576" s="20">
        <v>2</v>
      </c>
      <c r="V576" s="20">
        <v>5</v>
      </c>
      <c r="W576" s="20">
        <v>0</v>
      </c>
      <c r="X576" s="20">
        <v>0</v>
      </c>
      <c r="Y576" s="20">
        <v>0</v>
      </c>
      <c r="Z576" s="20">
        <v>0</v>
      </c>
      <c r="AA576" s="20" t="s">
        <v>1309</v>
      </c>
      <c r="AB576" s="22" t="s">
        <v>1309</v>
      </c>
      <c r="AC576" s="20">
        <v>0</v>
      </c>
      <c r="AD576" s="20">
        <v>0</v>
      </c>
      <c r="AE576" s="20">
        <v>0</v>
      </c>
      <c r="AF576" s="20">
        <v>0</v>
      </c>
      <c r="AG576" s="20">
        <v>0</v>
      </c>
      <c r="AH576" s="20">
        <v>0</v>
      </c>
      <c r="AI576" s="328" t="s">
        <v>1328</v>
      </c>
      <c r="AJ576" s="328" t="s">
        <v>1328</v>
      </c>
      <c r="AK576" s="328" t="s">
        <v>1328</v>
      </c>
      <c r="AL576" s="22" t="s">
        <v>1329</v>
      </c>
      <c r="AM576" s="22" t="s">
        <v>1330</v>
      </c>
      <c r="AN576" s="22" t="s">
        <v>1317</v>
      </c>
      <c r="AO576" s="22" t="s">
        <v>1318</v>
      </c>
      <c r="AP576" s="22" t="s">
        <v>1318</v>
      </c>
      <c r="AQ576" s="22" t="s">
        <v>1318</v>
      </c>
      <c r="AR576" s="22" t="s">
        <v>1317</v>
      </c>
      <c r="AS576" s="22" t="s">
        <v>1318</v>
      </c>
      <c r="AT576" s="22" t="s">
        <v>1309</v>
      </c>
      <c r="AU576" s="22" t="s">
        <v>1309</v>
      </c>
      <c r="AV576" s="22" t="s">
        <v>1317</v>
      </c>
      <c r="AW576" s="22" t="s">
        <v>1318</v>
      </c>
      <c r="AX576" s="22" t="s">
        <v>1317</v>
      </c>
      <c r="AY576" s="22" t="s">
        <v>1318</v>
      </c>
      <c r="AZ576" s="22" t="s">
        <v>1309</v>
      </c>
      <c r="BA576" s="22" t="s">
        <v>1309</v>
      </c>
      <c r="BB576" s="22" t="s">
        <v>1309</v>
      </c>
      <c r="BC576" s="22" t="s">
        <v>1309</v>
      </c>
      <c r="BD576" s="22" t="s">
        <v>1317</v>
      </c>
      <c r="BE576" s="22" t="s">
        <v>1318</v>
      </c>
      <c r="BF576" s="22" t="s">
        <v>1317</v>
      </c>
      <c r="BG576" s="22" t="s">
        <v>1318</v>
      </c>
      <c r="BH576" s="22" t="s">
        <v>1309</v>
      </c>
      <c r="BI576" s="22" t="s">
        <v>1309</v>
      </c>
      <c r="BJ576" s="22" t="s">
        <v>1309</v>
      </c>
      <c r="BK576" s="22" t="s">
        <v>1309</v>
      </c>
      <c r="BL576" s="22" t="s">
        <v>1309</v>
      </c>
      <c r="BM576" s="22" t="s">
        <v>1309</v>
      </c>
      <c r="BN576" s="22" t="s">
        <v>1309</v>
      </c>
      <c r="BO576" s="22" t="s">
        <v>1309</v>
      </c>
      <c r="BP576" s="22" t="s">
        <v>1309</v>
      </c>
      <c r="BQ576" s="22" t="s">
        <v>1309</v>
      </c>
      <c r="BR576" s="22" t="s">
        <v>1309</v>
      </c>
      <c r="BS576" s="22" t="s">
        <v>1309</v>
      </c>
      <c r="BT576" s="22" t="s">
        <v>1315</v>
      </c>
      <c r="BU576" s="22" t="s">
        <v>1315</v>
      </c>
      <c r="BV576" s="22" t="s">
        <v>1309</v>
      </c>
      <c r="BW576" s="22" t="s">
        <v>1309</v>
      </c>
      <c r="BX576" s="20">
        <v>0</v>
      </c>
      <c r="BY576" s="20">
        <v>14</v>
      </c>
      <c r="BZ576" s="20">
        <v>61</v>
      </c>
      <c r="CA576" s="20">
        <v>0</v>
      </c>
      <c r="CB576" s="20">
        <v>268</v>
      </c>
      <c r="CC576" s="20">
        <v>752</v>
      </c>
      <c r="CD576" s="22" t="s">
        <v>1320</v>
      </c>
      <c r="CE576" s="22" t="s">
        <v>1318</v>
      </c>
      <c r="CF576" s="22" t="s">
        <v>1331</v>
      </c>
      <c r="CG576" s="22" t="s">
        <v>1331</v>
      </c>
      <c r="CH576" s="22" t="s">
        <v>1317</v>
      </c>
      <c r="CI576" s="22" t="s">
        <v>1318</v>
      </c>
      <c r="CJ576" s="149" t="s">
        <v>1124</v>
      </c>
      <c r="CK576" s="241" t="s">
        <v>2634</v>
      </c>
    </row>
    <row r="577" spans="1:89" ht="15" customHeight="1" x14ac:dyDescent="0.35">
      <c r="A577" s="17"/>
      <c r="B577" s="313">
        <v>33090</v>
      </c>
      <c r="C577" s="8" t="s">
        <v>280</v>
      </c>
      <c r="D577" s="18">
        <v>12</v>
      </c>
      <c r="E577" s="131" t="s">
        <v>1309</v>
      </c>
      <c r="F577" s="22" t="s">
        <v>1309</v>
      </c>
      <c r="G577" s="132" t="s">
        <v>1309</v>
      </c>
      <c r="H577" s="22" t="s">
        <v>1311</v>
      </c>
      <c r="I577" s="22" t="s">
        <v>1338</v>
      </c>
      <c r="J577" s="22" t="s">
        <v>1342</v>
      </c>
      <c r="K577" s="22" t="s">
        <v>1309</v>
      </c>
      <c r="L577" s="22" t="s">
        <v>1309</v>
      </c>
      <c r="M577" s="133" t="s">
        <v>1311</v>
      </c>
      <c r="N577" s="22" t="s">
        <v>1311</v>
      </c>
      <c r="O577" s="22" t="s">
        <v>1309</v>
      </c>
      <c r="P577" s="22" t="s">
        <v>1309</v>
      </c>
      <c r="Q577" s="20">
        <v>31.8</v>
      </c>
      <c r="R577" s="20">
        <v>32.5</v>
      </c>
      <c r="S577" s="20">
        <v>13</v>
      </c>
      <c r="T577" s="20">
        <v>13</v>
      </c>
      <c r="U577" s="20">
        <v>13</v>
      </c>
      <c r="V577" s="20">
        <v>13</v>
      </c>
      <c r="W577" s="20">
        <v>0</v>
      </c>
      <c r="X577" s="20">
        <v>0</v>
      </c>
      <c r="Y577" s="20">
        <v>0</v>
      </c>
      <c r="Z577" s="20">
        <v>0</v>
      </c>
      <c r="AA577" s="20" t="s">
        <v>1315</v>
      </c>
      <c r="AB577" s="22" t="s">
        <v>1315</v>
      </c>
      <c r="AC577" s="20">
        <v>5</v>
      </c>
      <c r="AD577" s="20">
        <v>4</v>
      </c>
      <c r="AE577" s="20">
        <v>6</v>
      </c>
      <c r="AF577" s="20">
        <v>1</v>
      </c>
      <c r="AG577" s="20">
        <v>1</v>
      </c>
      <c r="AH577" s="20">
        <v>4</v>
      </c>
      <c r="AI577" s="328">
        <v>15.723270440251572</v>
      </c>
      <c r="AJ577" s="328">
        <v>1.6214025131738954</v>
      </c>
      <c r="AK577" s="328">
        <v>2.4321037697608432</v>
      </c>
      <c r="AL577" s="22" t="s">
        <v>1329</v>
      </c>
      <c r="AM577" s="22" t="s">
        <v>1330</v>
      </c>
      <c r="AN577" s="22" t="s">
        <v>1347</v>
      </c>
      <c r="AO577" s="22" t="s">
        <v>1311</v>
      </c>
      <c r="AP577" s="22" t="s">
        <v>1347</v>
      </c>
      <c r="AQ577" s="22" t="s">
        <v>1348</v>
      </c>
      <c r="AR577" s="22" t="s">
        <v>1309</v>
      </c>
      <c r="AS577" s="22" t="s">
        <v>1309</v>
      </c>
      <c r="AT577" s="22" t="s">
        <v>1309</v>
      </c>
      <c r="AU577" s="22" t="s">
        <v>1309</v>
      </c>
      <c r="AV577" s="22" t="s">
        <v>1309</v>
      </c>
      <c r="AW577" s="22" t="s">
        <v>1309</v>
      </c>
      <c r="AX577" s="22" t="s">
        <v>1309</v>
      </c>
      <c r="AY577" s="22" t="s">
        <v>1309</v>
      </c>
      <c r="AZ577" s="22" t="s">
        <v>1319</v>
      </c>
      <c r="BA577" s="22" t="s">
        <v>1311</v>
      </c>
      <c r="BB577" s="22" t="s">
        <v>1309</v>
      </c>
      <c r="BC577" s="22" t="s">
        <v>1309</v>
      </c>
      <c r="BD577" s="22" t="s">
        <v>1309</v>
      </c>
      <c r="BE577" s="22" t="s">
        <v>1309</v>
      </c>
      <c r="BF577" s="22" t="s">
        <v>1309</v>
      </c>
      <c r="BG577" s="22" t="s">
        <v>1309</v>
      </c>
      <c r="BH577" s="22" t="s">
        <v>1309</v>
      </c>
      <c r="BI577" s="22" t="s">
        <v>1309</v>
      </c>
      <c r="BJ577" s="22" t="s">
        <v>1309</v>
      </c>
      <c r="BK577" s="22" t="s">
        <v>1309</v>
      </c>
      <c r="BL577" s="22" t="s">
        <v>1309</v>
      </c>
      <c r="BM577" s="22" t="s">
        <v>1309</v>
      </c>
      <c r="BN577" s="22" t="s">
        <v>1309</v>
      </c>
      <c r="BO577" s="22" t="s">
        <v>1309</v>
      </c>
      <c r="BP577" s="22" t="s">
        <v>1309</v>
      </c>
      <c r="BQ577" s="22" t="s">
        <v>1309</v>
      </c>
      <c r="BR577" s="22" t="s">
        <v>1309</v>
      </c>
      <c r="BS577" s="22" t="s">
        <v>1309</v>
      </c>
      <c r="BT577" s="22" t="s">
        <v>1309</v>
      </c>
      <c r="BU577" s="22" t="s">
        <v>1309</v>
      </c>
      <c r="BV577" s="22" t="s">
        <v>1319</v>
      </c>
      <c r="BW577" s="22" t="s">
        <v>1311</v>
      </c>
      <c r="BX577" s="20">
        <v>101</v>
      </c>
      <c r="BY577" s="20">
        <v>0</v>
      </c>
      <c r="BZ577" s="20">
        <v>0</v>
      </c>
      <c r="CA577" s="20">
        <v>2366</v>
      </c>
      <c r="CB577" s="20">
        <v>0</v>
      </c>
      <c r="CC577" s="20">
        <v>0</v>
      </c>
      <c r="CD577" s="22" t="s">
        <v>1331</v>
      </c>
      <c r="CE577" s="22" t="s">
        <v>1331</v>
      </c>
      <c r="CF577" s="22" t="s">
        <v>1317</v>
      </c>
      <c r="CG577" s="22" t="s">
        <v>1318</v>
      </c>
      <c r="CH577" s="22" t="s">
        <v>1317</v>
      </c>
      <c r="CI577" s="22" t="s">
        <v>1318</v>
      </c>
      <c r="CJ577" s="149" t="s">
        <v>1124</v>
      </c>
      <c r="CK577" s="241" t="s">
        <v>1124</v>
      </c>
    </row>
    <row r="578" spans="1:89" ht="15" customHeight="1" x14ac:dyDescent="0.35">
      <c r="A578" s="17"/>
      <c r="B578" s="313">
        <v>46017</v>
      </c>
      <c r="C578" s="8" t="s">
        <v>429</v>
      </c>
      <c r="D578" s="18">
        <v>5</v>
      </c>
      <c r="E578" s="131"/>
      <c r="F578" s="22"/>
      <c r="G578" s="132"/>
      <c r="H578" s="22"/>
      <c r="I578" s="22"/>
      <c r="J578" s="22"/>
      <c r="K578" s="22"/>
      <c r="L578" s="22"/>
      <c r="M578" s="133"/>
      <c r="N578" s="22"/>
      <c r="O578" s="22"/>
      <c r="P578" s="22"/>
      <c r="Q578" s="20"/>
      <c r="R578" s="20"/>
      <c r="S578" s="20"/>
      <c r="T578" s="20"/>
      <c r="U578" s="20"/>
      <c r="V578" s="20"/>
      <c r="W578" s="20"/>
      <c r="X578" s="20"/>
      <c r="Y578" s="20"/>
      <c r="Z578" s="20"/>
      <c r="AA578" s="20"/>
      <c r="AB578" s="22"/>
      <c r="AC578" s="20"/>
      <c r="AD578" s="20"/>
      <c r="AE578" s="20"/>
      <c r="AF578" s="20" t="s">
        <v>1124</v>
      </c>
      <c r="AG578" s="20" t="s">
        <v>1124</v>
      </c>
      <c r="AH578" s="20" t="s">
        <v>1124</v>
      </c>
      <c r="AI578" s="328"/>
      <c r="AJ578" s="328"/>
      <c r="AK578" s="328"/>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0"/>
      <c r="BY578" s="20"/>
      <c r="BZ578" s="20"/>
      <c r="CA578" s="20"/>
      <c r="CB578" s="20"/>
      <c r="CC578" s="20"/>
      <c r="CD578" s="22"/>
      <c r="CE578" s="22"/>
      <c r="CF578" s="22"/>
      <c r="CG578" s="22"/>
      <c r="CH578" s="22"/>
      <c r="CI578" s="22"/>
      <c r="CJ578" s="149"/>
      <c r="CK578" s="241"/>
    </row>
    <row r="579" spans="1:89" ht="15" customHeight="1" x14ac:dyDescent="0.35">
      <c r="A579" s="17"/>
      <c r="B579" s="313">
        <v>12065</v>
      </c>
      <c r="C579" s="8" t="s">
        <v>38</v>
      </c>
      <c r="D579" s="18">
        <v>1</v>
      </c>
      <c r="E579" s="131" t="s">
        <v>1309</v>
      </c>
      <c r="F579" s="22" t="s">
        <v>1310</v>
      </c>
      <c r="G579" s="132" t="s">
        <v>1309</v>
      </c>
      <c r="H579" s="22" t="s">
        <v>1311</v>
      </c>
      <c r="I579" s="22" t="s">
        <v>1327</v>
      </c>
      <c r="J579" s="22" t="s">
        <v>1327</v>
      </c>
      <c r="K579" s="22" t="s">
        <v>1314</v>
      </c>
      <c r="L579" s="22" t="s">
        <v>1311</v>
      </c>
      <c r="M579" s="133" t="s">
        <v>1311</v>
      </c>
      <c r="N579" s="22" t="s">
        <v>1311</v>
      </c>
      <c r="O579" s="22" t="s">
        <v>1314</v>
      </c>
      <c r="P579" s="22" t="s">
        <v>1318</v>
      </c>
      <c r="Q579" s="20">
        <v>0</v>
      </c>
      <c r="R579" s="20">
        <v>0</v>
      </c>
      <c r="S579" s="20">
        <v>0</v>
      </c>
      <c r="T579" s="20">
        <v>0</v>
      </c>
      <c r="U579" s="20">
        <v>0</v>
      </c>
      <c r="V579" s="20">
        <v>0</v>
      </c>
      <c r="W579" s="20">
        <v>0</v>
      </c>
      <c r="X579" s="20">
        <v>0</v>
      </c>
      <c r="Y579" s="20">
        <v>0</v>
      </c>
      <c r="Z579" s="20">
        <v>0</v>
      </c>
      <c r="AA579" s="20" t="s">
        <v>1317</v>
      </c>
      <c r="AB579" s="22" t="s">
        <v>1318</v>
      </c>
      <c r="AC579" s="20">
        <v>0</v>
      </c>
      <c r="AD579" s="20">
        <v>0</v>
      </c>
      <c r="AE579" s="20">
        <v>0</v>
      </c>
      <c r="AF579" s="20">
        <v>0</v>
      </c>
      <c r="AG579" s="20">
        <v>0</v>
      </c>
      <c r="AH579" s="20">
        <v>0</v>
      </c>
      <c r="AI579" s="328" t="s">
        <v>1328</v>
      </c>
      <c r="AJ579" s="328" t="s">
        <v>1328</v>
      </c>
      <c r="AK579" s="328" t="s">
        <v>1328</v>
      </c>
      <c r="AL579" s="22" t="s">
        <v>1329</v>
      </c>
      <c r="AM579" s="22" t="s">
        <v>1330</v>
      </c>
      <c r="AN579" s="22" t="s">
        <v>1317</v>
      </c>
      <c r="AO579" s="22" t="s">
        <v>1318</v>
      </c>
      <c r="AP579" s="22" t="s">
        <v>1318</v>
      </c>
      <c r="AQ579" s="22" t="s">
        <v>1318</v>
      </c>
      <c r="AR579" s="22" t="s">
        <v>1317</v>
      </c>
      <c r="AS579" s="22" t="s">
        <v>1318</v>
      </c>
      <c r="AT579" s="22" t="s">
        <v>1317</v>
      </c>
      <c r="AU579" s="22" t="s">
        <v>1318</v>
      </c>
      <c r="AV579" s="22" t="s">
        <v>1317</v>
      </c>
      <c r="AW579" s="22" t="s">
        <v>1318</v>
      </c>
      <c r="AX579" s="22" t="s">
        <v>1317</v>
      </c>
      <c r="AY579" s="22" t="s">
        <v>1318</v>
      </c>
      <c r="AZ579" s="22" t="s">
        <v>1317</v>
      </c>
      <c r="BA579" s="22" t="s">
        <v>1318</v>
      </c>
      <c r="BB579" s="22" t="s">
        <v>1317</v>
      </c>
      <c r="BC579" s="22" t="s">
        <v>1318</v>
      </c>
      <c r="BD579" s="22" t="s">
        <v>1309</v>
      </c>
      <c r="BE579" s="22" t="s">
        <v>1309</v>
      </c>
      <c r="BF579" s="22" t="s">
        <v>1309</v>
      </c>
      <c r="BG579" s="22" t="s">
        <v>1309</v>
      </c>
      <c r="BH579" s="22" t="s">
        <v>1317</v>
      </c>
      <c r="BI579" s="22" t="s">
        <v>1318</v>
      </c>
      <c r="BJ579" s="22" t="s">
        <v>1317</v>
      </c>
      <c r="BK579" s="22" t="s">
        <v>1318</v>
      </c>
      <c r="BL579" s="22" t="s">
        <v>1317</v>
      </c>
      <c r="BM579" s="22" t="s">
        <v>1318</v>
      </c>
      <c r="BN579" s="22" t="s">
        <v>1317</v>
      </c>
      <c r="BO579" s="22" t="s">
        <v>1318</v>
      </c>
      <c r="BP579" s="22" t="s">
        <v>1317</v>
      </c>
      <c r="BQ579" s="22" t="s">
        <v>1318</v>
      </c>
      <c r="BR579" s="22" t="s">
        <v>1317</v>
      </c>
      <c r="BS579" s="22" t="s">
        <v>1318</v>
      </c>
      <c r="BT579" s="22" t="s">
        <v>1317</v>
      </c>
      <c r="BU579" s="22" t="s">
        <v>1318</v>
      </c>
      <c r="BV579" s="22" t="s">
        <v>1309</v>
      </c>
      <c r="BW579" s="22" t="s">
        <v>1309</v>
      </c>
      <c r="BX579" s="20">
        <v>9</v>
      </c>
      <c r="BY579" s="20">
        <v>0</v>
      </c>
      <c r="BZ579" s="20">
        <v>0</v>
      </c>
      <c r="CA579" s="20">
        <v>283</v>
      </c>
      <c r="CB579" s="20">
        <v>0</v>
      </c>
      <c r="CC579" s="20">
        <v>0</v>
      </c>
      <c r="CD579" s="22" t="s">
        <v>1331</v>
      </c>
      <c r="CE579" s="22" t="s">
        <v>1331</v>
      </c>
      <c r="CF579" s="22" t="s">
        <v>1331</v>
      </c>
      <c r="CG579" s="22" t="s">
        <v>1331</v>
      </c>
      <c r="CH579" s="22" t="s">
        <v>1317</v>
      </c>
      <c r="CI579" s="22" t="s">
        <v>1318</v>
      </c>
      <c r="CJ579" s="149" t="s">
        <v>1124</v>
      </c>
      <c r="CK579" s="241" t="s">
        <v>1124</v>
      </c>
    </row>
    <row r="580" spans="1:89" ht="15" customHeight="1" x14ac:dyDescent="0.35">
      <c r="A580" s="17"/>
      <c r="B580" s="313">
        <v>13100</v>
      </c>
      <c r="C580" s="8" t="s">
        <v>59</v>
      </c>
      <c r="D580" s="18">
        <v>1</v>
      </c>
      <c r="E580" s="131"/>
      <c r="F580" s="22"/>
      <c r="G580" s="132"/>
      <c r="H580" s="22"/>
      <c r="I580" s="22"/>
      <c r="J580" s="22"/>
      <c r="K580" s="22"/>
      <c r="L580" s="22"/>
      <c r="M580" s="133"/>
      <c r="N580" s="22"/>
      <c r="O580" s="22"/>
      <c r="P580" s="22"/>
      <c r="Q580" s="20"/>
      <c r="R580" s="20"/>
      <c r="S580" s="20"/>
      <c r="T580" s="20"/>
      <c r="U580" s="20"/>
      <c r="V580" s="20"/>
      <c r="W580" s="20"/>
      <c r="X580" s="20"/>
      <c r="Y580" s="20"/>
      <c r="Z580" s="20"/>
      <c r="AA580" s="20"/>
      <c r="AB580" s="22"/>
      <c r="AC580" s="20"/>
      <c r="AD580" s="20"/>
      <c r="AE580" s="20"/>
      <c r="AF580" s="20" t="s">
        <v>1124</v>
      </c>
      <c r="AG580" s="20" t="s">
        <v>1124</v>
      </c>
      <c r="AH580" s="20" t="s">
        <v>1124</v>
      </c>
      <c r="AI580" s="328"/>
      <c r="AJ580" s="328"/>
      <c r="AK580" s="328"/>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0"/>
      <c r="BY580" s="20"/>
      <c r="BZ580" s="20"/>
      <c r="CA580" s="20"/>
      <c r="CB580" s="20"/>
      <c r="CC580" s="20"/>
      <c r="CD580" s="22"/>
      <c r="CE580" s="22"/>
      <c r="CF580" s="22"/>
      <c r="CG580" s="22"/>
      <c r="CH580" s="22"/>
      <c r="CI580" s="22"/>
      <c r="CJ580" s="149"/>
      <c r="CK580" s="241"/>
    </row>
    <row r="581" spans="1:89" ht="15" customHeight="1" x14ac:dyDescent="0.35">
      <c r="A581" s="17"/>
      <c r="B581" s="313">
        <v>17055</v>
      </c>
      <c r="C581" s="8" t="s">
        <v>99</v>
      </c>
      <c r="D581" s="18">
        <v>12</v>
      </c>
      <c r="E581" s="131"/>
      <c r="F581" s="22"/>
      <c r="G581" s="132"/>
      <c r="H581" s="22"/>
      <c r="I581" s="22"/>
      <c r="J581" s="22"/>
      <c r="K581" s="22"/>
      <c r="L581" s="22"/>
      <c r="M581" s="133"/>
      <c r="N581" s="22"/>
      <c r="O581" s="22"/>
      <c r="P581" s="22"/>
      <c r="Q581" s="20"/>
      <c r="R581" s="20"/>
      <c r="S581" s="20"/>
      <c r="T581" s="20"/>
      <c r="U581" s="20"/>
      <c r="V581" s="20"/>
      <c r="W581" s="20"/>
      <c r="X581" s="20"/>
      <c r="Y581" s="20"/>
      <c r="Z581" s="20"/>
      <c r="AA581" s="20"/>
      <c r="AB581" s="22"/>
      <c r="AC581" s="20"/>
      <c r="AD581" s="20"/>
      <c r="AE581" s="20"/>
      <c r="AF581" s="20" t="s">
        <v>1124</v>
      </c>
      <c r="AG581" s="20" t="s">
        <v>1124</v>
      </c>
      <c r="AH581" s="20" t="s">
        <v>1124</v>
      </c>
      <c r="AI581" s="328"/>
      <c r="AJ581" s="328"/>
      <c r="AK581" s="328"/>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0"/>
      <c r="BY581" s="20"/>
      <c r="BZ581" s="20"/>
      <c r="CA581" s="20"/>
      <c r="CB581" s="20"/>
      <c r="CC581" s="20"/>
      <c r="CD581" s="22"/>
      <c r="CE581" s="22"/>
      <c r="CF581" s="22"/>
      <c r="CG581" s="22"/>
      <c r="CH581" s="22"/>
      <c r="CI581" s="22"/>
      <c r="CJ581" s="149"/>
      <c r="CK581" s="241"/>
    </row>
    <row r="582" spans="1:89" ht="15" customHeight="1" x14ac:dyDescent="0.35">
      <c r="A582" s="17"/>
      <c r="B582" s="313">
        <v>92005</v>
      </c>
      <c r="C582" s="8" t="s">
        <v>946</v>
      </c>
      <c r="D582" s="18">
        <v>2</v>
      </c>
      <c r="E582" s="131" t="s">
        <v>1319</v>
      </c>
      <c r="F582" s="22" t="s">
        <v>1310</v>
      </c>
      <c r="G582" s="132" t="s">
        <v>1309</v>
      </c>
      <c r="H582" s="22" t="s">
        <v>1311</v>
      </c>
      <c r="I582" s="22" t="s">
        <v>1327</v>
      </c>
      <c r="J582" s="22" t="s">
        <v>1327</v>
      </c>
      <c r="K582" s="22" t="s">
        <v>1314</v>
      </c>
      <c r="L582" s="22" t="s">
        <v>1311</v>
      </c>
      <c r="M582" s="133" t="s">
        <v>1311</v>
      </c>
      <c r="N582" s="22" t="s">
        <v>1311</v>
      </c>
      <c r="O582" s="22" t="s">
        <v>1314</v>
      </c>
      <c r="P582" s="22" t="s">
        <v>1318</v>
      </c>
      <c r="Q582" s="20">
        <v>0</v>
      </c>
      <c r="R582" s="20">
        <v>0</v>
      </c>
      <c r="S582" s="20">
        <v>0</v>
      </c>
      <c r="T582" s="20">
        <v>0</v>
      </c>
      <c r="U582" s="20">
        <v>0</v>
      </c>
      <c r="V582" s="20">
        <v>0</v>
      </c>
      <c r="W582" s="20">
        <v>0</v>
      </c>
      <c r="X582" s="20">
        <v>0</v>
      </c>
      <c r="Y582" s="20">
        <v>0</v>
      </c>
      <c r="Z582" s="20">
        <v>0</v>
      </c>
      <c r="AA582" s="20" t="s">
        <v>1317</v>
      </c>
      <c r="AB582" s="22" t="s">
        <v>1318</v>
      </c>
      <c r="AC582" s="20">
        <v>0</v>
      </c>
      <c r="AD582" s="20">
        <v>0</v>
      </c>
      <c r="AE582" s="20">
        <v>1</v>
      </c>
      <c r="AF582" s="20">
        <v>0</v>
      </c>
      <c r="AG582" s="20">
        <v>0</v>
      </c>
      <c r="AH582" s="20">
        <v>1</v>
      </c>
      <c r="AI582" s="328" t="s">
        <v>1328</v>
      </c>
      <c r="AJ582" s="328" t="s">
        <v>1328</v>
      </c>
      <c r="AK582" s="328">
        <v>7.518796992481203</v>
      </c>
      <c r="AL582" s="22" t="s">
        <v>1329</v>
      </c>
      <c r="AM582" s="22" t="s">
        <v>1330</v>
      </c>
      <c r="AN582" s="22" t="s">
        <v>1317</v>
      </c>
      <c r="AO582" s="22" t="s">
        <v>1318</v>
      </c>
      <c r="AP582" s="22" t="s">
        <v>1318</v>
      </c>
      <c r="AQ582" s="22" t="s">
        <v>1318</v>
      </c>
      <c r="AR582" s="22" t="s">
        <v>1317</v>
      </c>
      <c r="AS582" s="22" t="s">
        <v>1318</v>
      </c>
      <c r="AT582" s="22" t="s">
        <v>1317</v>
      </c>
      <c r="AU582" s="22" t="s">
        <v>1318</v>
      </c>
      <c r="AV582" s="22" t="s">
        <v>1317</v>
      </c>
      <c r="AW582" s="22" t="s">
        <v>1318</v>
      </c>
      <c r="AX582" s="22" t="s">
        <v>1317</v>
      </c>
      <c r="AY582" s="22" t="s">
        <v>1318</v>
      </c>
      <c r="AZ582" s="22" t="s">
        <v>1319</v>
      </c>
      <c r="BA582" s="22" t="s">
        <v>1311</v>
      </c>
      <c r="BB582" s="22" t="s">
        <v>1309</v>
      </c>
      <c r="BC582" s="22" t="s">
        <v>1309</v>
      </c>
      <c r="BD582" s="22" t="s">
        <v>1317</v>
      </c>
      <c r="BE582" s="22" t="s">
        <v>1318</v>
      </c>
      <c r="BF582" s="22" t="s">
        <v>1317</v>
      </c>
      <c r="BG582" s="22" t="s">
        <v>1311</v>
      </c>
      <c r="BH582" s="22" t="s">
        <v>1315</v>
      </c>
      <c r="BI582" s="22" t="s">
        <v>1315</v>
      </c>
      <c r="BJ582" s="22" t="s">
        <v>1315</v>
      </c>
      <c r="BK582" s="22" t="s">
        <v>1315</v>
      </c>
      <c r="BL582" s="22" t="s">
        <v>1317</v>
      </c>
      <c r="BM582" s="22" t="s">
        <v>1318</v>
      </c>
      <c r="BN582" s="22" t="s">
        <v>1309</v>
      </c>
      <c r="BO582" s="22" t="s">
        <v>1309</v>
      </c>
      <c r="BP582" s="22" t="s">
        <v>1317</v>
      </c>
      <c r="BQ582" s="22" t="s">
        <v>1318</v>
      </c>
      <c r="BR582" s="22" t="s">
        <v>1309</v>
      </c>
      <c r="BS582" s="22" t="s">
        <v>1309</v>
      </c>
      <c r="BT582" s="22" t="s">
        <v>1309</v>
      </c>
      <c r="BU582" s="22" t="s">
        <v>1309</v>
      </c>
      <c r="BV582" s="22" t="s">
        <v>1317</v>
      </c>
      <c r="BW582" s="22" t="s">
        <v>1318</v>
      </c>
      <c r="BX582" s="20">
        <v>0</v>
      </c>
      <c r="BY582" s="20">
        <v>0</v>
      </c>
      <c r="BZ582" s="20">
        <v>7</v>
      </c>
      <c r="CA582" s="20">
        <v>0</v>
      </c>
      <c r="CB582" s="20">
        <v>3</v>
      </c>
      <c r="CC582" s="20">
        <v>123</v>
      </c>
      <c r="CD582" s="22" t="s">
        <v>1320</v>
      </c>
      <c r="CE582" s="22" t="s">
        <v>1321</v>
      </c>
      <c r="CF582" s="22" t="s">
        <v>1320</v>
      </c>
      <c r="CG582" s="22" t="s">
        <v>1321</v>
      </c>
      <c r="CH582" s="22" t="s">
        <v>1317</v>
      </c>
      <c r="CI582" s="22" t="s">
        <v>1318</v>
      </c>
      <c r="CJ582" s="149" t="s">
        <v>1124</v>
      </c>
      <c r="CK582" s="241" t="s">
        <v>1359</v>
      </c>
    </row>
    <row r="583" spans="1:89" ht="15" customHeight="1" x14ac:dyDescent="0.35">
      <c r="A583" s="17"/>
      <c r="B583" s="313">
        <v>98012</v>
      </c>
      <c r="C583" s="8" t="s">
        <v>1008</v>
      </c>
      <c r="D583" s="18">
        <v>9</v>
      </c>
      <c r="E583" s="131" t="s">
        <v>1319</v>
      </c>
      <c r="F583" s="22" t="s">
        <v>1310</v>
      </c>
      <c r="G583" s="132" t="s">
        <v>1309</v>
      </c>
      <c r="H583" s="22" t="s">
        <v>1311</v>
      </c>
      <c r="I583" s="22" t="s">
        <v>1327</v>
      </c>
      <c r="J583" s="22" t="s">
        <v>1327</v>
      </c>
      <c r="K583" s="22" t="s">
        <v>1314</v>
      </c>
      <c r="L583" s="22" t="s">
        <v>1318</v>
      </c>
      <c r="M583" s="133" t="s">
        <v>1311</v>
      </c>
      <c r="N583" s="22" t="s">
        <v>1311</v>
      </c>
      <c r="O583" s="22" t="s">
        <v>1314</v>
      </c>
      <c r="P583" s="22" t="s">
        <v>1311</v>
      </c>
      <c r="Q583" s="20">
        <v>0</v>
      </c>
      <c r="R583" s="20">
        <v>0</v>
      </c>
      <c r="S583" s="20">
        <v>0</v>
      </c>
      <c r="T583" s="20">
        <v>0</v>
      </c>
      <c r="U583" s="20">
        <v>0</v>
      </c>
      <c r="V583" s="20">
        <v>0</v>
      </c>
      <c r="W583" s="20">
        <v>0</v>
      </c>
      <c r="X583" s="20">
        <v>0</v>
      </c>
      <c r="Y583" s="20">
        <v>0</v>
      </c>
      <c r="Z583" s="20">
        <v>0</v>
      </c>
      <c r="AA583" s="20" t="s">
        <v>1317</v>
      </c>
      <c r="AB583" s="22" t="s">
        <v>1318</v>
      </c>
      <c r="AC583" s="20">
        <v>6</v>
      </c>
      <c r="AD583" s="20">
        <v>0</v>
      </c>
      <c r="AE583" s="20">
        <v>0</v>
      </c>
      <c r="AF583" s="20">
        <v>3</v>
      </c>
      <c r="AG583" s="20">
        <v>0</v>
      </c>
      <c r="AH583" s="20">
        <v>0</v>
      </c>
      <c r="AI583" s="328">
        <v>93.75</v>
      </c>
      <c r="AJ583" s="328" t="s">
        <v>1328</v>
      </c>
      <c r="AK583" s="328" t="s">
        <v>1328</v>
      </c>
      <c r="AL583" s="22" t="s">
        <v>1329</v>
      </c>
      <c r="AM583" s="22" t="s">
        <v>1330</v>
      </c>
      <c r="AN583" s="22" t="s">
        <v>1317</v>
      </c>
      <c r="AO583" s="22" t="s">
        <v>1318</v>
      </c>
      <c r="AP583" s="22" t="s">
        <v>1318</v>
      </c>
      <c r="AQ583" s="22" t="s">
        <v>1318</v>
      </c>
      <c r="AR583" s="22" t="s">
        <v>1317</v>
      </c>
      <c r="AS583" s="22" t="s">
        <v>1318</v>
      </c>
      <c r="AT583" s="22" t="s">
        <v>1317</v>
      </c>
      <c r="AU583" s="22" t="s">
        <v>1318</v>
      </c>
      <c r="AV583" s="22" t="s">
        <v>1317</v>
      </c>
      <c r="AW583" s="22" t="s">
        <v>1318</v>
      </c>
      <c r="AX583" s="22" t="s">
        <v>1319</v>
      </c>
      <c r="AY583" s="22" t="s">
        <v>1311</v>
      </c>
      <c r="AZ583" s="22" t="s">
        <v>1319</v>
      </c>
      <c r="BA583" s="22" t="s">
        <v>1311</v>
      </c>
      <c r="BB583" s="22" t="s">
        <v>1309</v>
      </c>
      <c r="BC583" s="22" t="s">
        <v>1309</v>
      </c>
      <c r="BD583" s="22" t="s">
        <v>1317</v>
      </c>
      <c r="BE583" s="22" t="s">
        <v>1311</v>
      </c>
      <c r="BF583" s="22" t="s">
        <v>1317</v>
      </c>
      <c r="BG583" s="22" t="s">
        <v>1311</v>
      </c>
      <c r="BH583" s="22" t="s">
        <v>1317</v>
      </c>
      <c r="BI583" s="22" t="s">
        <v>1318</v>
      </c>
      <c r="BJ583" s="22" t="s">
        <v>1317</v>
      </c>
      <c r="BK583" s="22" t="s">
        <v>1311</v>
      </c>
      <c r="BL583" s="22" t="s">
        <v>1317</v>
      </c>
      <c r="BM583" s="22" t="s">
        <v>1318</v>
      </c>
      <c r="BN583" s="22" t="s">
        <v>1309</v>
      </c>
      <c r="BO583" s="22" t="s">
        <v>1309</v>
      </c>
      <c r="BP583" s="22" t="s">
        <v>1319</v>
      </c>
      <c r="BQ583" s="22" t="s">
        <v>1311</v>
      </c>
      <c r="BR583" s="22" t="s">
        <v>1319</v>
      </c>
      <c r="BS583" s="22" t="s">
        <v>1309</v>
      </c>
      <c r="BT583" s="22" t="s">
        <v>1317</v>
      </c>
      <c r="BU583" s="22" t="s">
        <v>1318</v>
      </c>
      <c r="BV583" s="22" t="s">
        <v>1317</v>
      </c>
      <c r="BW583" s="22" t="s">
        <v>1318</v>
      </c>
      <c r="BX583" s="20">
        <v>0</v>
      </c>
      <c r="BY583" s="20">
        <v>0</v>
      </c>
      <c r="BZ583" s="20">
        <v>10</v>
      </c>
      <c r="CA583" s="20">
        <v>0</v>
      </c>
      <c r="CB583" s="20">
        <v>0</v>
      </c>
      <c r="CC583" s="20">
        <v>247</v>
      </c>
      <c r="CD583" s="22" t="s">
        <v>1317</v>
      </c>
      <c r="CE583" s="22" t="s">
        <v>1340</v>
      </c>
      <c r="CF583" s="22" t="s">
        <v>1317</v>
      </c>
      <c r="CG583" s="22" t="s">
        <v>1340</v>
      </c>
      <c r="CH583" s="22" t="s">
        <v>1317</v>
      </c>
      <c r="CI583" s="22" t="s">
        <v>1318</v>
      </c>
      <c r="CJ583" s="149" t="s">
        <v>1124</v>
      </c>
      <c r="CK583" s="241" t="s">
        <v>1750</v>
      </c>
    </row>
    <row r="584" spans="1:89" ht="15" customHeight="1" x14ac:dyDescent="0.35">
      <c r="A584" s="17"/>
      <c r="B584" s="313">
        <v>23072</v>
      </c>
      <c r="C584" s="8" t="s">
        <v>165</v>
      </c>
      <c r="D584" s="18">
        <v>3</v>
      </c>
      <c r="E584" s="131"/>
      <c r="F584" s="22"/>
      <c r="G584" s="132"/>
      <c r="H584" s="22"/>
      <c r="I584" s="22"/>
      <c r="J584" s="22"/>
      <c r="K584" s="22"/>
      <c r="L584" s="22"/>
      <c r="M584" s="133"/>
      <c r="N584" s="22"/>
      <c r="O584" s="22"/>
      <c r="P584" s="22"/>
      <c r="Q584" s="20"/>
      <c r="R584" s="20"/>
      <c r="S584" s="20"/>
      <c r="T584" s="20"/>
      <c r="U584" s="20"/>
      <c r="V584" s="20"/>
      <c r="W584" s="20"/>
      <c r="X584" s="20"/>
      <c r="Y584" s="20"/>
      <c r="Z584" s="20"/>
      <c r="AA584" s="20"/>
      <c r="AB584" s="22"/>
      <c r="AC584" s="20"/>
      <c r="AD584" s="20"/>
      <c r="AE584" s="20"/>
      <c r="AF584" s="20" t="s">
        <v>1124</v>
      </c>
      <c r="AG584" s="20" t="s">
        <v>1124</v>
      </c>
      <c r="AH584" s="20" t="s">
        <v>1124</v>
      </c>
      <c r="AI584" s="328"/>
      <c r="AJ584" s="328"/>
      <c r="AK584" s="328"/>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0"/>
      <c r="BY584" s="20"/>
      <c r="BZ584" s="20"/>
      <c r="CA584" s="20"/>
      <c r="CB584" s="20"/>
      <c r="CC584" s="20"/>
      <c r="CD584" s="22"/>
      <c r="CE584" s="22"/>
      <c r="CF584" s="22"/>
      <c r="CG584" s="22"/>
      <c r="CH584" s="22"/>
      <c r="CI584" s="22"/>
      <c r="CJ584" s="149"/>
      <c r="CK584" s="241"/>
    </row>
    <row r="585" spans="1:89" ht="15" customHeight="1" x14ac:dyDescent="0.35">
      <c r="A585" s="17"/>
      <c r="B585" s="313">
        <v>30005</v>
      </c>
      <c r="C585" s="8" t="s">
        <v>217</v>
      </c>
      <c r="D585" s="18">
        <v>5</v>
      </c>
      <c r="E585" s="131"/>
      <c r="F585" s="22"/>
      <c r="G585" s="132"/>
      <c r="H585" s="22"/>
      <c r="I585" s="22"/>
      <c r="J585" s="22"/>
      <c r="K585" s="22"/>
      <c r="L585" s="22"/>
      <c r="M585" s="133"/>
      <c r="N585" s="22"/>
      <c r="O585" s="22"/>
      <c r="P585" s="22"/>
      <c r="Q585" s="20"/>
      <c r="R585" s="20"/>
      <c r="S585" s="20"/>
      <c r="T585" s="20"/>
      <c r="U585" s="20"/>
      <c r="V585" s="20"/>
      <c r="W585" s="20"/>
      <c r="X585" s="20"/>
      <c r="Y585" s="20"/>
      <c r="Z585" s="20"/>
      <c r="AA585" s="20"/>
      <c r="AB585" s="22"/>
      <c r="AC585" s="20"/>
      <c r="AD585" s="20"/>
      <c r="AE585" s="20"/>
      <c r="AF585" s="20" t="s">
        <v>1124</v>
      </c>
      <c r="AG585" s="20" t="s">
        <v>1124</v>
      </c>
      <c r="AH585" s="20" t="s">
        <v>1124</v>
      </c>
      <c r="AI585" s="328"/>
      <c r="AJ585" s="328"/>
      <c r="AK585" s="328"/>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0"/>
      <c r="BY585" s="20"/>
      <c r="BZ585" s="20"/>
      <c r="CA585" s="20"/>
      <c r="CB585" s="20"/>
      <c r="CC585" s="20"/>
      <c r="CD585" s="22"/>
      <c r="CE585" s="22"/>
      <c r="CF585" s="22"/>
      <c r="CG585" s="22"/>
      <c r="CH585" s="22"/>
      <c r="CI585" s="22"/>
      <c r="CJ585" s="149"/>
      <c r="CK585" s="241"/>
    </row>
    <row r="586" spans="1:89" ht="15" customHeight="1" x14ac:dyDescent="0.35">
      <c r="A586" s="17"/>
      <c r="B586" s="313">
        <v>51025</v>
      </c>
      <c r="C586" s="8" t="s">
        <v>501</v>
      </c>
      <c r="D586" s="18">
        <v>4</v>
      </c>
      <c r="E586" s="131"/>
      <c r="F586" s="22"/>
      <c r="G586" s="132"/>
      <c r="H586" s="22"/>
      <c r="I586" s="22"/>
      <c r="J586" s="22"/>
      <c r="K586" s="22"/>
      <c r="L586" s="22"/>
      <c r="M586" s="133"/>
      <c r="N586" s="22"/>
      <c r="O586" s="22"/>
      <c r="P586" s="22"/>
      <c r="Q586" s="20"/>
      <c r="R586" s="20"/>
      <c r="S586" s="20"/>
      <c r="T586" s="20"/>
      <c r="U586" s="20"/>
      <c r="V586" s="20"/>
      <c r="W586" s="20"/>
      <c r="X586" s="20"/>
      <c r="Y586" s="20"/>
      <c r="Z586" s="20"/>
      <c r="AA586" s="20"/>
      <c r="AB586" s="22"/>
      <c r="AC586" s="20"/>
      <c r="AD586" s="20"/>
      <c r="AE586" s="20"/>
      <c r="AF586" s="20" t="s">
        <v>1124</v>
      </c>
      <c r="AG586" s="20" t="s">
        <v>1124</v>
      </c>
      <c r="AH586" s="20" t="s">
        <v>1124</v>
      </c>
      <c r="AI586" s="328"/>
      <c r="AJ586" s="328"/>
      <c r="AK586" s="328"/>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0"/>
      <c r="BY586" s="20"/>
      <c r="BZ586" s="20"/>
      <c r="CA586" s="20"/>
      <c r="CB586" s="20"/>
      <c r="CC586" s="20"/>
      <c r="CD586" s="22"/>
      <c r="CE586" s="22"/>
      <c r="CF586" s="22"/>
      <c r="CG586" s="22"/>
      <c r="CH586" s="22"/>
      <c r="CI586" s="22"/>
      <c r="CJ586" s="149"/>
      <c r="CK586" s="241"/>
    </row>
    <row r="587" spans="1:89" ht="15" customHeight="1" x14ac:dyDescent="0.35">
      <c r="A587" s="17"/>
      <c r="B587" s="313">
        <v>54105</v>
      </c>
      <c r="C587" s="8" t="s">
        <v>554</v>
      </c>
      <c r="D587" s="18">
        <v>16</v>
      </c>
      <c r="E587" s="131"/>
      <c r="F587" s="22"/>
      <c r="G587" s="132"/>
      <c r="H587" s="22"/>
      <c r="I587" s="22"/>
      <c r="J587" s="22"/>
      <c r="K587" s="22"/>
      <c r="L587" s="22"/>
      <c r="M587" s="133"/>
      <c r="N587" s="22"/>
      <c r="O587" s="22"/>
      <c r="P587" s="22"/>
      <c r="Q587" s="20"/>
      <c r="R587" s="20"/>
      <c r="S587" s="20"/>
      <c r="T587" s="20"/>
      <c r="U587" s="20"/>
      <c r="V587" s="20"/>
      <c r="W587" s="20"/>
      <c r="X587" s="20"/>
      <c r="Y587" s="20"/>
      <c r="Z587" s="20"/>
      <c r="AA587" s="20"/>
      <c r="AB587" s="22"/>
      <c r="AC587" s="20"/>
      <c r="AD587" s="20"/>
      <c r="AE587" s="20"/>
      <c r="AF587" s="20" t="s">
        <v>1124</v>
      </c>
      <c r="AG587" s="20" t="s">
        <v>1124</v>
      </c>
      <c r="AH587" s="20" t="s">
        <v>1124</v>
      </c>
      <c r="AI587" s="328"/>
      <c r="AJ587" s="328"/>
      <c r="AK587" s="328"/>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0"/>
      <c r="BY587" s="20"/>
      <c r="BZ587" s="20"/>
      <c r="CA587" s="20"/>
      <c r="CB587" s="20"/>
      <c r="CC587" s="20"/>
      <c r="CD587" s="22"/>
      <c r="CE587" s="22"/>
      <c r="CF587" s="22"/>
      <c r="CG587" s="22"/>
      <c r="CH587" s="22"/>
      <c r="CI587" s="22"/>
      <c r="CJ587" s="149"/>
      <c r="CK587" s="241"/>
    </row>
    <row r="588" spans="1:89" ht="15" customHeight="1" x14ac:dyDescent="0.35">
      <c r="A588" s="17"/>
      <c r="B588" s="313">
        <v>52055</v>
      </c>
      <c r="C588" s="8" t="s">
        <v>522</v>
      </c>
      <c r="D588" s="18">
        <v>14</v>
      </c>
      <c r="E588" s="136" t="s">
        <v>1309</v>
      </c>
      <c r="F588" s="22" t="s">
        <v>1309</v>
      </c>
      <c r="G588" s="8" t="s">
        <v>1309</v>
      </c>
      <c r="H588" s="22" t="s">
        <v>1311</v>
      </c>
      <c r="I588" s="22" t="s">
        <v>1327</v>
      </c>
      <c r="J588" s="22" t="s">
        <v>1327</v>
      </c>
      <c r="K588" s="22" t="s">
        <v>1309</v>
      </c>
      <c r="L588" s="22" t="s">
        <v>1309</v>
      </c>
      <c r="M588" s="133" t="s">
        <v>1311</v>
      </c>
      <c r="N588" s="22" t="s">
        <v>1311</v>
      </c>
      <c r="O588" s="22" t="s">
        <v>1309</v>
      </c>
      <c r="P588" s="22" t="s">
        <v>1309</v>
      </c>
      <c r="Q588" s="20">
        <v>47.728000000000002</v>
      </c>
      <c r="R588" s="20">
        <v>47.728000000000002</v>
      </c>
      <c r="S588" s="20">
        <v>0</v>
      </c>
      <c r="T588" s="20">
        <v>0</v>
      </c>
      <c r="U588" s="20">
        <v>0</v>
      </c>
      <c r="V588" s="20">
        <v>0</v>
      </c>
      <c r="W588" s="20">
        <v>0</v>
      </c>
      <c r="X588" s="20">
        <v>0</v>
      </c>
      <c r="Y588" s="20">
        <v>0</v>
      </c>
      <c r="Z588" s="20">
        <v>0</v>
      </c>
      <c r="AA588" s="20" t="s">
        <v>1319</v>
      </c>
      <c r="AB588" s="22" t="s">
        <v>1311</v>
      </c>
      <c r="AC588" s="20">
        <v>4</v>
      </c>
      <c r="AD588" s="20">
        <v>0</v>
      </c>
      <c r="AE588" s="20">
        <v>7</v>
      </c>
      <c r="AF588" s="20">
        <v>2</v>
      </c>
      <c r="AG588" s="20">
        <v>0</v>
      </c>
      <c r="AH588" s="20">
        <v>2</v>
      </c>
      <c r="AI588" s="328">
        <v>8.3808246731478366</v>
      </c>
      <c r="AJ588" s="328" t="s">
        <v>1328</v>
      </c>
      <c r="AK588" s="328">
        <v>7.9455164585698066</v>
      </c>
      <c r="AL588" s="22" t="s">
        <v>1329</v>
      </c>
      <c r="AM588" s="22" t="s">
        <v>1330</v>
      </c>
      <c r="AN588" s="22" t="s">
        <v>1317</v>
      </c>
      <c r="AO588" s="22" t="s">
        <v>1318</v>
      </c>
      <c r="AP588" s="22" t="s">
        <v>1318</v>
      </c>
      <c r="AQ588" s="22" t="s">
        <v>1318</v>
      </c>
      <c r="AR588" s="22" t="s">
        <v>1317</v>
      </c>
      <c r="AS588" s="22" t="s">
        <v>1311</v>
      </c>
      <c r="AT588" s="22" t="s">
        <v>1309</v>
      </c>
      <c r="AU588" s="22" t="s">
        <v>1309</v>
      </c>
      <c r="AV588" s="22" t="s">
        <v>1317</v>
      </c>
      <c r="AW588" s="22" t="s">
        <v>1318</v>
      </c>
      <c r="AX588" s="22" t="s">
        <v>1317</v>
      </c>
      <c r="AY588" s="22" t="s">
        <v>1318</v>
      </c>
      <c r="AZ588" s="22" t="s">
        <v>1309</v>
      </c>
      <c r="BA588" s="22" t="s">
        <v>1309</v>
      </c>
      <c r="BB588" s="22" t="s">
        <v>1309</v>
      </c>
      <c r="BC588" s="22" t="s">
        <v>1309</v>
      </c>
      <c r="BD588" s="22" t="s">
        <v>1309</v>
      </c>
      <c r="BE588" s="22" t="s">
        <v>1309</v>
      </c>
      <c r="BF588" s="22" t="s">
        <v>1309</v>
      </c>
      <c r="BG588" s="22" t="s">
        <v>1309</v>
      </c>
      <c r="BH588" s="22" t="s">
        <v>1309</v>
      </c>
      <c r="BI588" s="22" t="s">
        <v>1309</v>
      </c>
      <c r="BJ588" s="22" t="s">
        <v>1309</v>
      </c>
      <c r="BK588" s="22" t="s">
        <v>1309</v>
      </c>
      <c r="BL588" s="22" t="s">
        <v>1317</v>
      </c>
      <c r="BM588" s="22" t="s">
        <v>1311</v>
      </c>
      <c r="BN588" s="22" t="s">
        <v>1309</v>
      </c>
      <c r="BO588" s="22" t="s">
        <v>1309</v>
      </c>
      <c r="BP588" s="22" t="s">
        <v>1315</v>
      </c>
      <c r="BQ588" s="22" t="s">
        <v>1315</v>
      </c>
      <c r="BR588" s="22" t="s">
        <v>1309</v>
      </c>
      <c r="BS588" s="22" t="s">
        <v>1309</v>
      </c>
      <c r="BT588" s="22" t="s">
        <v>1309</v>
      </c>
      <c r="BU588" s="22" t="s">
        <v>1309</v>
      </c>
      <c r="BV588" s="22" t="s">
        <v>1309</v>
      </c>
      <c r="BW588" s="22" t="s">
        <v>1309</v>
      </c>
      <c r="BX588" s="20">
        <v>78</v>
      </c>
      <c r="BY588" s="20">
        <v>0</v>
      </c>
      <c r="BZ588" s="20">
        <v>0</v>
      </c>
      <c r="CA588" s="20">
        <v>723</v>
      </c>
      <c r="CB588" s="20">
        <v>0</v>
      </c>
      <c r="CC588" s="20">
        <v>80</v>
      </c>
      <c r="CD588" s="22" t="s">
        <v>1331</v>
      </c>
      <c r="CE588" s="22" t="s">
        <v>1331</v>
      </c>
      <c r="CF588" s="22" t="s">
        <v>1331</v>
      </c>
      <c r="CG588" s="22" t="s">
        <v>1331</v>
      </c>
      <c r="CH588" s="22" t="s">
        <v>1317</v>
      </c>
      <c r="CI588" s="22" t="s">
        <v>1318</v>
      </c>
      <c r="CJ588" s="149" t="s">
        <v>2648</v>
      </c>
      <c r="CK588" s="241" t="s">
        <v>2649</v>
      </c>
    </row>
    <row r="589" spans="1:89" ht="15" customHeight="1" x14ac:dyDescent="0.35">
      <c r="A589" s="17"/>
      <c r="B589" s="313">
        <v>34038</v>
      </c>
      <c r="C589" s="8" t="s">
        <v>289</v>
      </c>
      <c r="D589" s="18">
        <v>3</v>
      </c>
      <c r="E589" s="131"/>
      <c r="F589" s="22"/>
      <c r="G589" s="132"/>
      <c r="H589" s="22"/>
      <c r="I589" s="22"/>
      <c r="J589" s="22"/>
      <c r="K589" s="22"/>
      <c r="L589" s="22"/>
      <c r="M589" s="133"/>
      <c r="N589" s="22"/>
      <c r="O589" s="22"/>
      <c r="P589" s="22"/>
      <c r="Q589" s="20"/>
      <c r="R589" s="20"/>
      <c r="S589" s="20"/>
      <c r="T589" s="20"/>
      <c r="U589" s="20"/>
      <c r="V589" s="20"/>
      <c r="W589" s="20"/>
      <c r="X589" s="20"/>
      <c r="Y589" s="20"/>
      <c r="Z589" s="20"/>
      <c r="AA589" s="20"/>
      <c r="AB589" s="22"/>
      <c r="AC589" s="20"/>
      <c r="AD589" s="20"/>
      <c r="AE589" s="20"/>
      <c r="AF589" s="20" t="s">
        <v>1124</v>
      </c>
      <c r="AG589" s="20" t="s">
        <v>1124</v>
      </c>
      <c r="AH589" s="20" t="s">
        <v>1124</v>
      </c>
      <c r="AI589" s="328"/>
      <c r="AJ589" s="328"/>
      <c r="AK589" s="328"/>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0"/>
      <c r="BY589" s="20"/>
      <c r="BZ589" s="20"/>
      <c r="CA589" s="20"/>
      <c r="CB589" s="20"/>
      <c r="CC589" s="20"/>
      <c r="CD589" s="22"/>
      <c r="CE589" s="22"/>
      <c r="CF589" s="22"/>
      <c r="CG589" s="22"/>
      <c r="CH589" s="22"/>
      <c r="CI589" s="22"/>
      <c r="CJ589" s="149"/>
      <c r="CK589" s="241"/>
    </row>
    <row r="590" spans="1:89" ht="15" customHeight="1" x14ac:dyDescent="0.35">
      <c r="A590" s="17"/>
      <c r="B590" s="313">
        <v>57020</v>
      </c>
      <c r="C590" s="8" t="s">
        <v>583</v>
      </c>
      <c r="D590" s="18">
        <v>16</v>
      </c>
      <c r="E590" s="131" t="s">
        <v>1309</v>
      </c>
      <c r="F590" s="22" t="s">
        <v>1309</v>
      </c>
      <c r="G590" s="132" t="s">
        <v>1309</v>
      </c>
      <c r="H590" s="22" t="s">
        <v>1311</v>
      </c>
      <c r="I590" s="22" t="s">
        <v>1315</v>
      </c>
      <c r="J590" s="22" t="s">
        <v>1315</v>
      </c>
      <c r="K590" s="22" t="s">
        <v>1309</v>
      </c>
      <c r="L590" s="22" t="s">
        <v>1309</v>
      </c>
      <c r="M590" s="133" t="s">
        <v>1311</v>
      </c>
      <c r="N590" s="22" t="s">
        <v>1311</v>
      </c>
      <c r="O590" s="22" t="s">
        <v>1314</v>
      </c>
      <c r="P590" s="22" t="s">
        <v>1318</v>
      </c>
      <c r="Q590" s="20">
        <v>0</v>
      </c>
      <c r="R590" s="20">
        <v>0</v>
      </c>
      <c r="S590" s="20">
        <v>0</v>
      </c>
      <c r="T590" s="20">
        <v>97.58</v>
      </c>
      <c r="U590" s="20">
        <v>97.58</v>
      </c>
      <c r="V590" s="20">
        <v>0</v>
      </c>
      <c r="W590" s="20">
        <v>0</v>
      </c>
      <c r="X590" s="20">
        <v>0</v>
      </c>
      <c r="Y590" s="20">
        <v>0</v>
      </c>
      <c r="Z590" s="20">
        <v>0</v>
      </c>
      <c r="AA590" s="20" t="s">
        <v>1317</v>
      </c>
      <c r="AB590" s="22" t="s">
        <v>1318</v>
      </c>
      <c r="AC590" s="20">
        <v>30</v>
      </c>
      <c r="AD590" s="20">
        <v>0</v>
      </c>
      <c r="AE590" s="20">
        <v>0</v>
      </c>
      <c r="AF590" s="20">
        <v>1</v>
      </c>
      <c r="AG590" s="20">
        <v>0</v>
      </c>
      <c r="AH590" s="20">
        <v>0</v>
      </c>
      <c r="AI590" s="328">
        <v>30.744004919040787</v>
      </c>
      <c r="AJ590" s="328" t="s">
        <v>1328</v>
      </c>
      <c r="AK590" s="328" t="s">
        <v>1328</v>
      </c>
      <c r="AL590" s="22" t="s">
        <v>1329</v>
      </c>
      <c r="AM590" s="22" t="s">
        <v>1330</v>
      </c>
      <c r="AN590" s="22" t="s">
        <v>1317</v>
      </c>
      <c r="AO590" s="22" t="s">
        <v>1318</v>
      </c>
      <c r="AP590" s="22" t="s">
        <v>1318</v>
      </c>
      <c r="AQ590" s="22" t="s">
        <v>1318</v>
      </c>
      <c r="AR590" s="22" t="s">
        <v>1317</v>
      </c>
      <c r="AS590" s="22" t="s">
        <v>1318</v>
      </c>
      <c r="AT590" s="22" t="s">
        <v>1309</v>
      </c>
      <c r="AU590" s="22" t="s">
        <v>1309</v>
      </c>
      <c r="AV590" s="22" t="s">
        <v>1317</v>
      </c>
      <c r="AW590" s="22" t="s">
        <v>1318</v>
      </c>
      <c r="AX590" s="22" t="s">
        <v>1317</v>
      </c>
      <c r="AY590" s="22" t="s">
        <v>1318</v>
      </c>
      <c r="AZ590" s="22" t="s">
        <v>1317</v>
      </c>
      <c r="BA590" s="22" t="s">
        <v>1311</v>
      </c>
      <c r="BB590" s="22" t="s">
        <v>1309</v>
      </c>
      <c r="BC590" s="22" t="s">
        <v>1309</v>
      </c>
      <c r="BD590" s="22" t="s">
        <v>1317</v>
      </c>
      <c r="BE590" s="22" t="s">
        <v>1318</v>
      </c>
      <c r="BF590" s="22" t="s">
        <v>1317</v>
      </c>
      <c r="BG590" s="22" t="s">
        <v>1318</v>
      </c>
      <c r="BH590" s="22" t="s">
        <v>1309</v>
      </c>
      <c r="BI590" s="22" t="s">
        <v>1309</v>
      </c>
      <c r="BJ590" s="22" t="s">
        <v>1317</v>
      </c>
      <c r="BK590" s="22" t="s">
        <v>1318</v>
      </c>
      <c r="BL590" s="22" t="s">
        <v>1309</v>
      </c>
      <c r="BM590" s="22" t="s">
        <v>1309</v>
      </c>
      <c r="BN590" s="22" t="s">
        <v>1309</v>
      </c>
      <c r="BO590" s="22" t="s">
        <v>1309</v>
      </c>
      <c r="BP590" s="22" t="s">
        <v>1317</v>
      </c>
      <c r="BQ590" s="22" t="s">
        <v>1318</v>
      </c>
      <c r="BR590" s="22" t="s">
        <v>1309</v>
      </c>
      <c r="BS590" s="22" t="s">
        <v>1309</v>
      </c>
      <c r="BT590" s="22" t="s">
        <v>1317</v>
      </c>
      <c r="BU590" s="22" t="s">
        <v>1318</v>
      </c>
      <c r="BV590" s="22" t="s">
        <v>1317</v>
      </c>
      <c r="BW590" s="22" t="s">
        <v>1318</v>
      </c>
      <c r="BX590" s="20">
        <v>2</v>
      </c>
      <c r="BY590" s="20">
        <v>1</v>
      </c>
      <c r="BZ590" s="20">
        <v>182</v>
      </c>
      <c r="CA590" s="20">
        <v>0</v>
      </c>
      <c r="CB590" s="20">
        <v>0</v>
      </c>
      <c r="CC590" s="20">
        <v>6002</v>
      </c>
      <c r="CD590" s="22" t="s">
        <v>1317</v>
      </c>
      <c r="CE590" s="22" t="s">
        <v>1318</v>
      </c>
      <c r="CF590" s="22" t="s">
        <v>1317</v>
      </c>
      <c r="CG590" s="22" t="s">
        <v>1318</v>
      </c>
      <c r="CH590" s="22" t="s">
        <v>1317</v>
      </c>
      <c r="CI590" s="22" t="s">
        <v>1318</v>
      </c>
      <c r="CJ590" s="149" t="s">
        <v>1124</v>
      </c>
      <c r="CK590" s="241" t="s">
        <v>1563</v>
      </c>
    </row>
    <row r="591" spans="1:89" ht="15" customHeight="1" x14ac:dyDescent="0.35">
      <c r="A591" s="17"/>
      <c r="B591" s="313">
        <v>28025</v>
      </c>
      <c r="C591" s="8" t="s">
        <v>191</v>
      </c>
      <c r="D591" s="18">
        <v>12</v>
      </c>
      <c r="E591" s="131"/>
      <c r="F591" s="22"/>
      <c r="G591" s="132"/>
      <c r="H591" s="22"/>
      <c r="I591" s="22"/>
      <c r="J591" s="22"/>
      <c r="K591" s="22"/>
      <c r="L591" s="22"/>
      <c r="M591" s="133"/>
      <c r="N591" s="22"/>
      <c r="O591" s="22"/>
      <c r="P591" s="22"/>
      <c r="Q591" s="20"/>
      <c r="R591" s="20"/>
      <c r="S591" s="20"/>
      <c r="T591" s="20"/>
      <c r="U591" s="20"/>
      <c r="V591" s="20"/>
      <c r="W591" s="20"/>
      <c r="X591" s="20"/>
      <c r="Y591" s="20"/>
      <c r="Z591" s="20"/>
      <c r="AA591" s="20"/>
      <c r="AB591" s="22"/>
      <c r="AC591" s="20"/>
      <c r="AD591" s="20"/>
      <c r="AE591" s="20"/>
      <c r="AF591" s="20" t="s">
        <v>1124</v>
      </c>
      <c r="AG591" s="20" t="s">
        <v>1124</v>
      </c>
      <c r="AH591" s="20" t="s">
        <v>1124</v>
      </c>
      <c r="AI591" s="328"/>
      <c r="AJ591" s="328"/>
      <c r="AK591" s="328"/>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0"/>
      <c r="BY591" s="20"/>
      <c r="BZ591" s="20"/>
      <c r="CA591" s="20"/>
      <c r="CB591" s="20"/>
      <c r="CC591" s="20"/>
      <c r="CD591" s="22"/>
      <c r="CE591" s="22"/>
      <c r="CF591" s="22"/>
      <c r="CG591" s="22"/>
      <c r="CH591" s="22"/>
      <c r="CI591" s="22"/>
      <c r="CJ591" s="149"/>
      <c r="CK591" s="241"/>
    </row>
    <row r="592" spans="1:89" ht="15" customHeight="1" x14ac:dyDescent="0.35">
      <c r="A592" s="17"/>
      <c r="B592" s="313">
        <v>45080</v>
      </c>
      <c r="C592" s="8" t="s">
        <v>420</v>
      </c>
      <c r="D592" s="18">
        <v>5</v>
      </c>
      <c r="E592" s="131"/>
      <c r="F592" s="22"/>
      <c r="G592" s="132"/>
      <c r="H592" s="22"/>
      <c r="I592" s="22"/>
      <c r="J592" s="22"/>
      <c r="K592" s="22"/>
      <c r="L592" s="22"/>
      <c r="M592" s="133"/>
      <c r="N592" s="22"/>
      <c r="O592" s="22"/>
      <c r="P592" s="22"/>
      <c r="Q592" s="20"/>
      <c r="R592" s="20"/>
      <c r="S592" s="20"/>
      <c r="T592" s="20"/>
      <c r="U592" s="20"/>
      <c r="V592" s="20"/>
      <c r="W592" s="20"/>
      <c r="X592" s="20"/>
      <c r="Y592" s="20"/>
      <c r="Z592" s="20"/>
      <c r="AA592" s="20"/>
      <c r="AB592" s="22"/>
      <c r="AC592" s="20"/>
      <c r="AD592" s="20"/>
      <c r="AE592" s="20"/>
      <c r="AF592" s="20" t="s">
        <v>1124</v>
      </c>
      <c r="AG592" s="20" t="s">
        <v>1124</v>
      </c>
      <c r="AH592" s="20" t="s">
        <v>1124</v>
      </c>
      <c r="AI592" s="328"/>
      <c r="AJ592" s="328"/>
      <c r="AK592" s="328"/>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0"/>
      <c r="BY592" s="20"/>
      <c r="BZ592" s="20"/>
      <c r="CA592" s="20"/>
      <c r="CB592" s="20"/>
      <c r="CC592" s="20"/>
      <c r="CD592" s="22"/>
      <c r="CE592" s="22"/>
      <c r="CF592" s="22"/>
      <c r="CG592" s="22"/>
      <c r="CH592" s="22"/>
      <c r="CI592" s="22"/>
      <c r="CJ592" s="149"/>
      <c r="CK592" s="241"/>
    </row>
    <row r="593" spans="1:89" ht="15" customHeight="1" x14ac:dyDescent="0.35">
      <c r="A593" s="17"/>
      <c r="B593" s="313">
        <v>29100</v>
      </c>
      <c r="C593" s="8" t="s">
        <v>213</v>
      </c>
      <c r="D593" s="18">
        <v>12</v>
      </c>
      <c r="E593" s="131" t="s">
        <v>1309</v>
      </c>
      <c r="F593" s="22" t="s">
        <v>1309</v>
      </c>
      <c r="G593" s="132" t="s">
        <v>1309</v>
      </c>
      <c r="H593" s="22" t="s">
        <v>1311</v>
      </c>
      <c r="I593" s="22" t="s">
        <v>1327</v>
      </c>
      <c r="J593" s="22" t="s">
        <v>1327</v>
      </c>
      <c r="K593" s="22" t="s">
        <v>1314</v>
      </c>
      <c r="L593" s="22" t="s">
        <v>1311</v>
      </c>
      <c r="M593" s="133" t="s">
        <v>1311</v>
      </c>
      <c r="N593" s="22" t="s">
        <v>1311</v>
      </c>
      <c r="O593" s="22" t="s">
        <v>1309</v>
      </c>
      <c r="P593" s="22" t="s">
        <v>1309</v>
      </c>
      <c r="Q593" s="20">
        <v>0</v>
      </c>
      <c r="R593" s="20">
        <v>0</v>
      </c>
      <c r="S593" s="20">
        <v>8.4559999999999995</v>
      </c>
      <c r="T593" s="20">
        <v>0</v>
      </c>
      <c r="U593" s="20">
        <v>0</v>
      </c>
      <c r="V593" s="20">
        <v>8.4559999999999995</v>
      </c>
      <c r="W593" s="20">
        <v>0</v>
      </c>
      <c r="X593" s="20">
        <v>0</v>
      </c>
      <c r="Y593" s="20">
        <v>0</v>
      </c>
      <c r="Z593" s="20">
        <v>0</v>
      </c>
      <c r="AA593" s="20" t="s">
        <v>1317</v>
      </c>
      <c r="AB593" s="22" t="s">
        <v>1311</v>
      </c>
      <c r="AC593" s="20">
        <v>0</v>
      </c>
      <c r="AD593" s="20">
        <v>0</v>
      </c>
      <c r="AE593" s="20">
        <v>0</v>
      </c>
      <c r="AF593" s="20">
        <v>0</v>
      </c>
      <c r="AG593" s="20">
        <v>0</v>
      </c>
      <c r="AH593" s="20">
        <v>0</v>
      </c>
      <c r="AI593" s="328" t="s">
        <v>1328</v>
      </c>
      <c r="AJ593" s="328" t="s">
        <v>1328</v>
      </c>
      <c r="AK593" s="328" t="s">
        <v>1328</v>
      </c>
      <c r="AL593" s="22" t="s">
        <v>1316</v>
      </c>
      <c r="AM593" s="22" t="s">
        <v>1316</v>
      </c>
      <c r="AN593" s="22" t="s">
        <v>1317</v>
      </c>
      <c r="AO593" s="22" t="s">
        <v>1318</v>
      </c>
      <c r="AP593" s="22" t="s">
        <v>1318</v>
      </c>
      <c r="AQ593" s="22" t="s">
        <v>1318</v>
      </c>
      <c r="AR593" s="22" t="s">
        <v>1317</v>
      </c>
      <c r="AS593" s="22" t="s">
        <v>1318</v>
      </c>
      <c r="AT593" s="22" t="s">
        <v>1317</v>
      </c>
      <c r="AU593" s="22" t="s">
        <v>1318</v>
      </c>
      <c r="AV593" s="22" t="s">
        <v>1317</v>
      </c>
      <c r="AW593" s="22" t="s">
        <v>1318</v>
      </c>
      <c r="AX593" s="22" t="s">
        <v>1317</v>
      </c>
      <c r="AY593" s="22" t="s">
        <v>1318</v>
      </c>
      <c r="AZ593" s="22" t="s">
        <v>1317</v>
      </c>
      <c r="BA593" s="22" t="s">
        <v>1318</v>
      </c>
      <c r="BB593" s="22" t="s">
        <v>1309</v>
      </c>
      <c r="BC593" s="22" t="s">
        <v>1309</v>
      </c>
      <c r="BD593" s="22" t="s">
        <v>1309</v>
      </c>
      <c r="BE593" s="22" t="s">
        <v>1309</v>
      </c>
      <c r="BF593" s="22" t="s">
        <v>1309</v>
      </c>
      <c r="BG593" s="22" t="s">
        <v>1309</v>
      </c>
      <c r="BH593" s="22" t="s">
        <v>1317</v>
      </c>
      <c r="BI593" s="22" t="s">
        <v>1318</v>
      </c>
      <c r="BJ593" s="22" t="s">
        <v>1317</v>
      </c>
      <c r="BK593" s="22" t="s">
        <v>1318</v>
      </c>
      <c r="BL593" s="22" t="s">
        <v>1317</v>
      </c>
      <c r="BM593" s="22" t="s">
        <v>1318</v>
      </c>
      <c r="BN593" s="22" t="s">
        <v>1317</v>
      </c>
      <c r="BO593" s="22" t="s">
        <v>1318</v>
      </c>
      <c r="BP593" s="22" t="s">
        <v>1317</v>
      </c>
      <c r="BQ593" s="22" t="s">
        <v>1318</v>
      </c>
      <c r="BR593" s="22" t="s">
        <v>1309</v>
      </c>
      <c r="BS593" s="22" t="s">
        <v>1309</v>
      </c>
      <c r="BT593" s="22" t="s">
        <v>1317</v>
      </c>
      <c r="BU593" s="22" t="s">
        <v>1318</v>
      </c>
      <c r="BV593" s="22" t="s">
        <v>1317</v>
      </c>
      <c r="BW593" s="22" t="s">
        <v>1318</v>
      </c>
      <c r="BX593" s="20">
        <v>27</v>
      </c>
      <c r="BY593" s="20">
        <v>0</v>
      </c>
      <c r="BZ593" s="20">
        <v>0</v>
      </c>
      <c r="CA593" s="20">
        <v>260</v>
      </c>
      <c r="CB593" s="20">
        <v>0</v>
      </c>
      <c r="CC593" s="20">
        <v>35</v>
      </c>
      <c r="CD593" s="22" t="s">
        <v>1331</v>
      </c>
      <c r="CE593" s="22" t="s">
        <v>1331</v>
      </c>
      <c r="CF593" s="22" t="s">
        <v>1317</v>
      </c>
      <c r="CG593" s="22" t="s">
        <v>1318</v>
      </c>
      <c r="CH593" s="22" t="s">
        <v>1317</v>
      </c>
      <c r="CI593" s="22" t="s">
        <v>1318</v>
      </c>
      <c r="CJ593" s="149" t="s">
        <v>1124</v>
      </c>
      <c r="CK593" s="241" t="s">
        <v>2655</v>
      </c>
    </row>
    <row r="594" spans="1:89" ht="15" customHeight="1" x14ac:dyDescent="0.35">
      <c r="A594" s="17"/>
      <c r="B594" s="313">
        <v>26055</v>
      </c>
      <c r="C594" s="8" t="s">
        <v>175</v>
      </c>
      <c r="D594" s="18">
        <v>12</v>
      </c>
      <c r="E594" s="131" t="s">
        <v>1309</v>
      </c>
      <c r="F594" s="22" t="s">
        <v>1309</v>
      </c>
      <c r="G594" s="132" t="s">
        <v>1309</v>
      </c>
      <c r="H594" s="22" t="s">
        <v>1311</v>
      </c>
      <c r="I594" s="22" t="s">
        <v>1327</v>
      </c>
      <c r="J594" s="22" t="s">
        <v>1327</v>
      </c>
      <c r="K594" s="22" t="s">
        <v>1314</v>
      </c>
      <c r="L594" s="22" t="s">
        <v>1311</v>
      </c>
      <c r="M594" s="133" t="s">
        <v>1311</v>
      </c>
      <c r="N594" s="22" t="s">
        <v>1311</v>
      </c>
      <c r="O594" s="22" t="s">
        <v>1314</v>
      </c>
      <c r="P594" s="22" t="s">
        <v>1318</v>
      </c>
      <c r="Q594" s="20">
        <v>0</v>
      </c>
      <c r="R594" s="20">
        <v>0</v>
      </c>
      <c r="S594" s="20">
        <v>0</v>
      </c>
      <c r="T594" s="20">
        <v>0</v>
      </c>
      <c r="U594" s="20">
        <v>12.805</v>
      </c>
      <c r="V594" s="20">
        <v>12.805</v>
      </c>
      <c r="W594" s="20">
        <v>0</v>
      </c>
      <c r="X594" s="20">
        <v>0</v>
      </c>
      <c r="Y594" s="20">
        <v>0</v>
      </c>
      <c r="Z594" s="20">
        <v>0</v>
      </c>
      <c r="AA594" s="20" t="s">
        <v>1309</v>
      </c>
      <c r="AB594" s="22" t="s">
        <v>1309</v>
      </c>
      <c r="AC594" s="20">
        <v>0</v>
      </c>
      <c r="AD594" s="20">
        <v>0</v>
      </c>
      <c r="AE594" s="20">
        <v>0</v>
      </c>
      <c r="AF594" s="20">
        <v>0</v>
      </c>
      <c r="AG594" s="20">
        <v>0</v>
      </c>
      <c r="AH594" s="20">
        <v>0</v>
      </c>
      <c r="AI594" s="328" t="s">
        <v>1328</v>
      </c>
      <c r="AJ594" s="328" t="s">
        <v>1328</v>
      </c>
      <c r="AK594" s="328" t="s">
        <v>1328</v>
      </c>
      <c r="AL594" s="22" t="s">
        <v>1329</v>
      </c>
      <c r="AM594" s="22" t="s">
        <v>1330</v>
      </c>
      <c r="AN594" s="22" t="s">
        <v>1317</v>
      </c>
      <c r="AO594" s="22" t="s">
        <v>1318</v>
      </c>
      <c r="AP594" s="22" t="s">
        <v>1318</v>
      </c>
      <c r="AQ594" s="22" t="s">
        <v>1318</v>
      </c>
      <c r="AR594" s="22" t="s">
        <v>1317</v>
      </c>
      <c r="AS594" s="22" t="s">
        <v>1318</v>
      </c>
      <c r="AT594" s="22" t="s">
        <v>1317</v>
      </c>
      <c r="AU594" s="22" t="s">
        <v>1318</v>
      </c>
      <c r="AV594" s="22" t="s">
        <v>1317</v>
      </c>
      <c r="AW594" s="22" t="s">
        <v>1318</v>
      </c>
      <c r="AX594" s="22" t="s">
        <v>1317</v>
      </c>
      <c r="AY594" s="22" t="s">
        <v>1318</v>
      </c>
      <c r="AZ594" s="22" t="s">
        <v>1309</v>
      </c>
      <c r="BA594" s="22" t="s">
        <v>1311</v>
      </c>
      <c r="BB594" s="22" t="s">
        <v>1309</v>
      </c>
      <c r="BC594" s="22" t="s">
        <v>1309</v>
      </c>
      <c r="BD594" s="22" t="s">
        <v>1309</v>
      </c>
      <c r="BE594" s="22" t="s">
        <v>1311</v>
      </c>
      <c r="BF594" s="22" t="s">
        <v>1309</v>
      </c>
      <c r="BG594" s="22" t="s">
        <v>1309</v>
      </c>
      <c r="BH594" s="22" t="s">
        <v>1317</v>
      </c>
      <c r="BI594" s="22" t="s">
        <v>1318</v>
      </c>
      <c r="BJ594" s="22" t="s">
        <v>1317</v>
      </c>
      <c r="BK594" s="22" t="s">
        <v>1318</v>
      </c>
      <c r="BL594" s="22" t="s">
        <v>1317</v>
      </c>
      <c r="BM594" s="22" t="s">
        <v>1318</v>
      </c>
      <c r="BN594" s="22" t="s">
        <v>1317</v>
      </c>
      <c r="BO594" s="22" t="s">
        <v>1318</v>
      </c>
      <c r="BP594" s="22" t="s">
        <v>1317</v>
      </c>
      <c r="BQ594" s="22" t="s">
        <v>1318</v>
      </c>
      <c r="BR594" s="22" t="s">
        <v>1309</v>
      </c>
      <c r="BS594" s="22" t="s">
        <v>1309</v>
      </c>
      <c r="BT594" s="22" t="s">
        <v>1309</v>
      </c>
      <c r="BU594" s="22" t="s">
        <v>1309</v>
      </c>
      <c r="BV594" s="22" t="s">
        <v>1317</v>
      </c>
      <c r="BW594" s="22" t="s">
        <v>1318</v>
      </c>
      <c r="BX594" s="20">
        <v>33</v>
      </c>
      <c r="BY594" s="20">
        <v>3</v>
      </c>
      <c r="BZ594" s="20">
        <v>0</v>
      </c>
      <c r="CA594" s="20">
        <v>549</v>
      </c>
      <c r="CB594" s="20">
        <v>20</v>
      </c>
      <c r="CC594" s="20">
        <v>22</v>
      </c>
      <c r="CD594" s="22" t="s">
        <v>1331</v>
      </c>
      <c r="CE594" s="22" t="s">
        <v>1331</v>
      </c>
      <c r="CF594" s="22" t="s">
        <v>1317</v>
      </c>
      <c r="CG594" s="22" t="s">
        <v>1318</v>
      </c>
      <c r="CH594" s="22" t="s">
        <v>1317</v>
      </c>
      <c r="CI594" s="22" t="s">
        <v>1318</v>
      </c>
      <c r="CJ594" s="149" t="s">
        <v>2659</v>
      </c>
      <c r="CK594" s="241" t="s">
        <v>1124</v>
      </c>
    </row>
    <row r="595" spans="1:89" ht="15" customHeight="1" x14ac:dyDescent="0.35">
      <c r="A595" s="17"/>
      <c r="B595" s="313">
        <v>68005</v>
      </c>
      <c r="C595" s="8" t="s">
        <v>673</v>
      </c>
      <c r="D595" s="18">
        <v>16</v>
      </c>
      <c r="E595" s="131"/>
      <c r="F595" s="22"/>
      <c r="G595" s="132"/>
      <c r="H595" s="22"/>
      <c r="I595" s="22"/>
      <c r="J595" s="22"/>
      <c r="K595" s="22"/>
      <c r="L595" s="22"/>
      <c r="M595" s="133"/>
      <c r="N595" s="22"/>
      <c r="O595" s="22"/>
      <c r="P595" s="22"/>
      <c r="Q595" s="20"/>
      <c r="R595" s="20"/>
      <c r="S595" s="20"/>
      <c r="T595" s="20"/>
      <c r="U595" s="20"/>
      <c r="V595" s="20"/>
      <c r="W595" s="20"/>
      <c r="X595" s="20"/>
      <c r="Y595" s="20"/>
      <c r="Z595" s="20"/>
      <c r="AA595" s="20"/>
      <c r="AB595" s="22"/>
      <c r="AC595" s="20"/>
      <c r="AD595" s="20"/>
      <c r="AE595" s="20"/>
      <c r="AF595" s="20" t="s">
        <v>1124</v>
      </c>
      <c r="AG595" s="20" t="s">
        <v>1124</v>
      </c>
      <c r="AH595" s="20" t="s">
        <v>1124</v>
      </c>
      <c r="AI595" s="328"/>
      <c r="AJ595" s="328"/>
      <c r="AK595" s="328"/>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0"/>
      <c r="BY595" s="20"/>
      <c r="BZ595" s="20"/>
      <c r="CA595" s="20"/>
      <c r="CB595" s="20"/>
      <c r="CC595" s="20"/>
      <c r="CD595" s="22"/>
      <c r="CE595" s="22"/>
      <c r="CF595" s="22"/>
      <c r="CG595" s="22"/>
      <c r="CH595" s="22"/>
      <c r="CI595" s="22"/>
      <c r="CJ595" s="149"/>
      <c r="CK595" s="241"/>
    </row>
    <row r="596" spans="1:89" ht="15" customHeight="1" x14ac:dyDescent="0.35">
      <c r="A596" s="17"/>
      <c r="B596" s="313">
        <v>54115</v>
      </c>
      <c r="C596" s="8" t="s">
        <v>556</v>
      </c>
      <c r="D596" s="18">
        <v>16</v>
      </c>
      <c r="E596" s="131" t="s">
        <v>1309</v>
      </c>
      <c r="F596" s="22" t="s">
        <v>1309</v>
      </c>
      <c r="G596" s="132" t="s">
        <v>1309</v>
      </c>
      <c r="H596" s="22" t="s">
        <v>1311</v>
      </c>
      <c r="I596" s="22" t="s">
        <v>1327</v>
      </c>
      <c r="J596" s="22" t="s">
        <v>1327</v>
      </c>
      <c r="K596" s="22" t="s">
        <v>1309</v>
      </c>
      <c r="L596" s="22" t="s">
        <v>1309</v>
      </c>
      <c r="M596" s="133" t="s">
        <v>1311</v>
      </c>
      <c r="N596" s="22" t="s">
        <v>1311</v>
      </c>
      <c r="O596" s="22" t="s">
        <v>1309</v>
      </c>
      <c r="P596" s="22" t="s">
        <v>1309</v>
      </c>
      <c r="Q596" s="20">
        <v>0</v>
      </c>
      <c r="R596" s="20">
        <v>0</v>
      </c>
      <c r="S596" s="20">
        <v>0</v>
      </c>
      <c r="T596" s="20">
        <v>0</v>
      </c>
      <c r="U596" s="20">
        <v>0</v>
      </c>
      <c r="V596" s="20">
        <v>36.22</v>
      </c>
      <c r="W596" s="20">
        <v>0</v>
      </c>
      <c r="X596" s="20">
        <v>0</v>
      </c>
      <c r="Y596" s="20">
        <v>0</v>
      </c>
      <c r="Z596" s="20">
        <v>0</v>
      </c>
      <c r="AA596" s="20" t="s">
        <v>1317</v>
      </c>
      <c r="AB596" s="22" t="s">
        <v>1318</v>
      </c>
      <c r="AC596" s="20">
        <v>0</v>
      </c>
      <c r="AD596" s="20">
        <v>0</v>
      </c>
      <c r="AE596" s="20">
        <v>3</v>
      </c>
      <c r="AF596" s="20">
        <v>0</v>
      </c>
      <c r="AG596" s="20">
        <v>0</v>
      </c>
      <c r="AH596" s="20">
        <v>4</v>
      </c>
      <c r="AI596" s="328" t="s">
        <v>1328</v>
      </c>
      <c r="AJ596" s="328" t="s">
        <v>1328</v>
      </c>
      <c r="AK596" s="328">
        <v>10.416666666666666</v>
      </c>
      <c r="AL596" s="22" t="s">
        <v>1316</v>
      </c>
      <c r="AM596" s="22" t="s">
        <v>1316</v>
      </c>
      <c r="AN596" s="22" t="s">
        <v>1317</v>
      </c>
      <c r="AO596" s="22" t="s">
        <v>1318</v>
      </c>
      <c r="AP596" s="22" t="s">
        <v>1318</v>
      </c>
      <c r="AQ596" s="22" t="s">
        <v>1318</v>
      </c>
      <c r="AR596" s="22" t="s">
        <v>1317</v>
      </c>
      <c r="AS596" s="22" t="s">
        <v>1318</v>
      </c>
      <c r="AT596" s="22" t="s">
        <v>1309</v>
      </c>
      <c r="AU596" s="22" t="s">
        <v>1309</v>
      </c>
      <c r="AV596" s="22" t="s">
        <v>1317</v>
      </c>
      <c r="AW596" s="22" t="s">
        <v>1318</v>
      </c>
      <c r="AX596" s="22" t="s">
        <v>1317</v>
      </c>
      <c r="AY596" s="22" t="s">
        <v>1318</v>
      </c>
      <c r="AZ596" s="22" t="s">
        <v>1309</v>
      </c>
      <c r="BA596" s="22" t="s">
        <v>1309</v>
      </c>
      <c r="BB596" s="22" t="s">
        <v>1309</v>
      </c>
      <c r="BC596" s="22" t="s">
        <v>1309</v>
      </c>
      <c r="BD596" s="22" t="s">
        <v>1317</v>
      </c>
      <c r="BE596" s="22" t="s">
        <v>1318</v>
      </c>
      <c r="BF596" s="22" t="s">
        <v>1309</v>
      </c>
      <c r="BG596" s="22" t="s">
        <v>1309</v>
      </c>
      <c r="BH596" s="22" t="s">
        <v>1309</v>
      </c>
      <c r="BI596" s="22" t="s">
        <v>1309</v>
      </c>
      <c r="BJ596" s="22" t="s">
        <v>1317</v>
      </c>
      <c r="BK596" s="22" t="s">
        <v>1311</v>
      </c>
      <c r="BL596" s="22" t="s">
        <v>1317</v>
      </c>
      <c r="BM596" s="22" t="s">
        <v>1318</v>
      </c>
      <c r="BN596" s="22" t="s">
        <v>1317</v>
      </c>
      <c r="BO596" s="22" t="s">
        <v>1318</v>
      </c>
      <c r="BP596" s="22" t="s">
        <v>1317</v>
      </c>
      <c r="BQ596" s="22" t="s">
        <v>1318</v>
      </c>
      <c r="BR596" s="22" t="s">
        <v>1315</v>
      </c>
      <c r="BS596" s="22" t="s">
        <v>1315</v>
      </c>
      <c r="BT596" s="22" t="s">
        <v>1315</v>
      </c>
      <c r="BU596" s="22" t="s">
        <v>1315</v>
      </c>
      <c r="BV596" s="22" t="s">
        <v>1317</v>
      </c>
      <c r="BW596" s="22" t="s">
        <v>1318</v>
      </c>
      <c r="BX596" s="20">
        <v>40</v>
      </c>
      <c r="BY596" s="20">
        <v>0</v>
      </c>
      <c r="BZ596" s="20">
        <v>0</v>
      </c>
      <c r="CA596" s="20">
        <v>240</v>
      </c>
      <c r="CB596" s="20">
        <v>0</v>
      </c>
      <c r="CC596" s="20">
        <v>0</v>
      </c>
      <c r="CD596" s="22" t="s">
        <v>1331</v>
      </c>
      <c r="CE596" s="22" t="s">
        <v>1331</v>
      </c>
      <c r="CF596" s="22" t="s">
        <v>1331</v>
      </c>
      <c r="CG596" s="22" t="s">
        <v>1331</v>
      </c>
      <c r="CH596" s="22" t="s">
        <v>1317</v>
      </c>
      <c r="CI596" s="22" t="s">
        <v>1318</v>
      </c>
      <c r="CJ596" s="149" t="s">
        <v>1124</v>
      </c>
      <c r="CK596" s="241" t="s">
        <v>2661</v>
      </c>
    </row>
    <row r="597" spans="1:89" ht="15" customHeight="1" x14ac:dyDescent="0.35">
      <c r="A597" s="17"/>
      <c r="B597" s="313">
        <v>56065</v>
      </c>
      <c r="C597" s="8" t="s">
        <v>577</v>
      </c>
      <c r="D597" s="18">
        <v>16</v>
      </c>
      <c r="E597" s="131"/>
      <c r="F597" s="22"/>
      <c r="G597" s="132"/>
      <c r="H597" s="22"/>
      <c r="I597" s="22"/>
      <c r="J597" s="22"/>
      <c r="K597" s="22"/>
      <c r="L597" s="22"/>
      <c r="M597" s="133"/>
      <c r="N597" s="22"/>
      <c r="O597" s="22"/>
      <c r="P597" s="22"/>
      <c r="Q597" s="20"/>
      <c r="R597" s="20"/>
      <c r="S597" s="20"/>
      <c r="T597" s="20"/>
      <c r="U597" s="20"/>
      <c r="V597" s="20"/>
      <c r="W597" s="20"/>
      <c r="X597" s="20"/>
      <c r="Y597" s="20"/>
      <c r="Z597" s="20"/>
      <c r="AA597" s="20"/>
      <c r="AB597" s="22"/>
      <c r="AC597" s="20"/>
      <c r="AD597" s="20"/>
      <c r="AE597" s="20"/>
      <c r="AF597" s="20" t="s">
        <v>1124</v>
      </c>
      <c r="AG597" s="20" t="s">
        <v>1124</v>
      </c>
      <c r="AH597" s="20" t="s">
        <v>1124</v>
      </c>
      <c r="AI597" s="328"/>
      <c r="AJ597" s="328"/>
      <c r="AK597" s="328"/>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0"/>
      <c r="BY597" s="20"/>
      <c r="BZ597" s="20"/>
      <c r="CA597" s="20"/>
      <c r="CB597" s="20"/>
      <c r="CC597" s="20"/>
      <c r="CD597" s="22"/>
      <c r="CE597" s="22"/>
      <c r="CF597" s="22"/>
      <c r="CG597" s="22"/>
      <c r="CH597" s="22"/>
      <c r="CI597" s="22"/>
      <c r="CJ597" s="149"/>
      <c r="CK597" s="241"/>
    </row>
    <row r="598" spans="1:89" ht="15" customHeight="1" x14ac:dyDescent="0.35">
      <c r="A598" s="17"/>
      <c r="B598" s="313">
        <v>49125</v>
      </c>
      <c r="C598" s="8" t="s">
        <v>480</v>
      </c>
      <c r="D598" s="18">
        <v>17</v>
      </c>
      <c r="E598" s="131"/>
      <c r="F598" s="22"/>
      <c r="G598" s="132"/>
      <c r="H598" s="22"/>
      <c r="I598" s="22"/>
      <c r="J598" s="22"/>
      <c r="K598" s="22"/>
      <c r="L598" s="22"/>
      <c r="M598" s="133"/>
      <c r="N598" s="22"/>
      <c r="O598" s="22"/>
      <c r="P598" s="22"/>
      <c r="Q598" s="20"/>
      <c r="R598" s="20"/>
      <c r="S598" s="20"/>
      <c r="T598" s="20"/>
      <c r="U598" s="20"/>
      <c r="V598" s="20"/>
      <c r="W598" s="20"/>
      <c r="X598" s="20"/>
      <c r="Y598" s="20"/>
      <c r="Z598" s="20"/>
      <c r="AA598" s="20"/>
      <c r="AB598" s="22"/>
      <c r="AC598" s="20"/>
      <c r="AD598" s="20"/>
      <c r="AE598" s="20"/>
      <c r="AF598" s="20" t="s">
        <v>1124</v>
      </c>
      <c r="AG598" s="20" t="s">
        <v>1124</v>
      </c>
      <c r="AH598" s="20" t="s">
        <v>1124</v>
      </c>
      <c r="AI598" s="328"/>
      <c r="AJ598" s="328"/>
      <c r="AK598" s="328"/>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0"/>
      <c r="BY598" s="20"/>
      <c r="BZ598" s="20"/>
      <c r="CA598" s="20"/>
      <c r="CB598" s="20"/>
      <c r="CC598" s="20"/>
      <c r="CD598" s="22"/>
      <c r="CE598" s="22"/>
      <c r="CF598" s="22"/>
      <c r="CG598" s="22"/>
      <c r="CH598" s="22"/>
      <c r="CI598" s="22"/>
      <c r="CJ598" s="149"/>
      <c r="CK598" s="241"/>
    </row>
    <row r="599" spans="1:89" ht="15" customHeight="1" x14ac:dyDescent="0.35">
      <c r="A599" s="17"/>
      <c r="B599" s="313">
        <v>51085</v>
      </c>
      <c r="C599" s="8" t="s">
        <v>513</v>
      </c>
      <c r="D599" s="18">
        <v>4</v>
      </c>
      <c r="E599" s="131"/>
      <c r="F599" s="22"/>
      <c r="G599" s="132"/>
      <c r="H599" s="22"/>
      <c r="I599" s="22"/>
      <c r="J599" s="22"/>
      <c r="K599" s="22"/>
      <c r="L599" s="22"/>
      <c r="M599" s="133"/>
      <c r="N599" s="22"/>
      <c r="O599" s="22"/>
      <c r="P599" s="22"/>
      <c r="Q599" s="20"/>
      <c r="R599" s="20"/>
      <c r="S599" s="20"/>
      <c r="T599" s="20"/>
      <c r="U599" s="20"/>
      <c r="V599" s="20"/>
      <c r="W599" s="20"/>
      <c r="X599" s="20"/>
      <c r="Y599" s="20"/>
      <c r="Z599" s="20"/>
      <c r="AA599" s="20"/>
      <c r="AB599" s="22"/>
      <c r="AC599" s="20"/>
      <c r="AD599" s="20"/>
      <c r="AE599" s="20"/>
      <c r="AF599" s="20" t="s">
        <v>1124</v>
      </c>
      <c r="AG599" s="20" t="s">
        <v>1124</v>
      </c>
      <c r="AH599" s="20" t="s">
        <v>1124</v>
      </c>
      <c r="AI599" s="328"/>
      <c r="AJ599" s="328"/>
      <c r="AK599" s="328"/>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0"/>
      <c r="BY599" s="20"/>
      <c r="BZ599" s="20"/>
      <c r="CA599" s="20"/>
      <c r="CB599" s="20"/>
      <c r="CC599" s="20"/>
      <c r="CD599" s="22"/>
      <c r="CE599" s="22"/>
      <c r="CF599" s="22"/>
      <c r="CG599" s="22"/>
      <c r="CH599" s="22"/>
      <c r="CI599" s="22"/>
      <c r="CJ599" s="149"/>
      <c r="CK599" s="241"/>
    </row>
    <row r="600" spans="1:89" ht="15" customHeight="1" x14ac:dyDescent="0.35">
      <c r="A600" s="17"/>
      <c r="B600" s="313">
        <v>93030</v>
      </c>
      <c r="C600" s="8" t="s">
        <v>962</v>
      </c>
      <c r="D600" s="18">
        <v>2</v>
      </c>
      <c r="E600" s="131" t="s">
        <v>1309</v>
      </c>
      <c r="F600" s="22" t="s">
        <v>1309</v>
      </c>
      <c r="G600" s="132" t="s">
        <v>1309</v>
      </c>
      <c r="H600" s="22" t="s">
        <v>1311</v>
      </c>
      <c r="I600" s="22" t="s">
        <v>1327</v>
      </c>
      <c r="J600" s="22" t="s">
        <v>1327</v>
      </c>
      <c r="K600" s="22" t="s">
        <v>1319</v>
      </c>
      <c r="L600" s="22" t="s">
        <v>1311</v>
      </c>
      <c r="M600" s="133" t="s">
        <v>1311</v>
      </c>
      <c r="N600" s="22" t="s">
        <v>1311</v>
      </c>
      <c r="O600" s="22" t="s">
        <v>1309</v>
      </c>
      <c r="P600" s="22" t="s">
        <v>1309</v>
      </c>
      <c r="Q600" s="20">
        <v>0</v>
      </c>
      <c r="R600" s="20">
        <v>0</v>
      </c>
      <c r="S600" s="20">
        <v>0.5</v>
      </c>
      <c r="T600" s="20">
        <v>50.267000000000003</v>
      </c>
      <c r="U600" s="20">
        <v>0</v>
      </c>
      <c r="V600" s="20">
        <v>0</v>
      </c>
      <c r="W600" s="20">
        <v>0</v>
      </c>
      <c r="X600" s="20">
        <v>50.267000000000003</v>
      </c>
      <c r="Y600" s="20">
        <v>0</v>
      </c>
      <c r="Z600" s="20">
        <v>0</v>
      </c>
      <c r="AA600" s="20" t="s">
        <v>1317</v>
      </c>
      <c r="AB600" s="22" t="s">
        <v>1311</v>
      </c>
      <c r="AC600" s="20">
        <v>6</v>
      </c>
      <c r="AD600" s="20">
        <v>8</v>
      </c>
      <c r="AE600" s="20">
        <v>7</v>
      </c>
      <c r="AF600" s="20">
        <v>2</v>
      </c>
      <c r="AG600" s="20">
        <v>3</v>
      </c>
      <c r="AH600" s="20">
        <v>3</v>
      </c>
      <c r="AI600" s="328">
        <v>8.3603884793846763</v>
      </c>
      <c r="AJ600" s="328">
        <v>7.0671378091872787</v>
      </c>
      <c r="AK600" s="328">
        <v>6.1837455830388697</v>
      </c>
      <c r="AL600" s="22" t="s">
        <v>1329</v>
      </c>
      <c r="AM600" s="22" t="s">
        <v>1330</v>
      </c>
      <c r="AN600" s="22" t="s">
        <v>1317</v>
      </c>
      <c r="AO600" s="22" t="s">
        <v>1318</v>
      </c>
      <c r="AP600" s="22" t="s">
        <v>1318</v>
      </c>
      <c r="AQ600" s="22" t="s">
        <v>1318</v>
      </c>
      <c r="AR600" s="22" t="s">
        <v>1317</v>
      </c>
      <c r="AS600" s="22" t="s">
        <v>1318</v>
      </c>
      <c r="AT600" s="22" t="s">
        <v>1309</v>
      </c>
      <c r="AU600" s="22" t="s">
        <v>1309</v>
      </c>
      <c r="AV600" s="22" t="s">
        <v>1317</v>
      </c>
      <c r="AW600" s="22" t="s">
        <v>1318</v>
      </c>
      <c r="AX600" s="22" t="s">
        <v>1317</v>
      </c>
      <c r="AY600" s="22" t="s">
        <v>1318</v>
      </c>
      <c r="AZ600" s="22" t="s">
        <v>1317</v>
      </c>
      <c r="BA600" s="22" t="s">
        <v>1318</v>
      </c>
      <c r="BB600" s="22" t="s">
        <v>1309</v>
      </c>
      <c r="BC600" s="22" t="s">
        <v>1309</v>
      </c>
      <c r="BD600" s="22" t="s">
        <v>1317</v>
      </c>
      <c r="BE600" s="22" t="s">
        <v>1318</v>
      </c>
      <c r="BF600" s="22" t="s">
        <v>1319</v>
      </c>
      <c r="BG600" s="22" t="s">
        <v>1311</v>
      </c>
      <c r="BH600" s="22" t="s">
        <v>1317</v>
      </c>
      <c r="BI600" s="22" t="s">
        <v>1318</v>
      </c>
      <c r="BJ600" s="22" t="s">
        <v>1317</v>
      </c>
      <c r="BK600" s="22" t="s">
        <v>1318</v>
      </c>
      <c r="BL600" s="22" t="s">
        <v>1309</v>
      </c>
      <c r="BM600" s="22" t="s">
        <v>1309</v>
      </c>
      <c r="BN600" s="22" t="s">
        <v>1317</v>
      </c>
      <c r="BO600" s="22" t="s">
        <v>1318</v>
      </c>
      <c r="BP600" s="22" t="s">
        <v>1309</v>
      </c>
      <c r="BQ600" s="22" t="s">
        <v>1309</v>
      </c>
      <c r="BR600" s="22" t="s">
        <v>1309</v>
      </c>
      <c r="BS600" s="22" t="s">
        <v>1309</v>
      </c>
      <c r="BT600" s="22" t="s">
        <v>1319</v>
      </c>
      <c r="BU600" s="22" t="s">
        <v>1311</v>
      </c>
      <c r="BV600" s="22" t="s">
        <v>1317</v>
      </c>
      <c r="BW600" s="22" t="s">
        <v>1318</v>
      </c>
      <c r="BX600" s="20">
        <v>8</v>
      </c>
      <c r="BY600" s="20">
        <v>0</v>
      </c>
      <c r="BZ600" s="20">
        <v>110</v>
      </c>
      <c r="CA600" s="20">
        <v>0</v>
      </c>
      <c r="CB600" s="20">
        <v>0</v>
      </c>
      <c r="CC600" s="20">
        <v>1009</v>
      </c>
      <c r="CD600" s="22" t="s">
        <v>1320</v>
      </c>
      <c r="CE600" s="22" t="s">
        <v>1321</v>
      </c>
      <c r="CF600" s="22" t="s">
        <v>1317</v>
      </c>
      <c r="CG600" s="22" t="s">
        <v>1321</v>
      </c>
      <c r="CH600" s="22" t="s">
        <v>1317</v>
      </c>
      <c r="CI600" s="22" t="s">
        <v>1318</v>
      </c>
      <c r="CJ600" s="149" t="s">
        <v>1124</v>
      </c>
      <c r="CK600" s="241" t="s">
        <v>2666</v>
      </c>
    </row>
    <row r="601" spans="1:89" ht="15" customHeight="1" x14ac:dyDescent="0.35">
      <c r="A601" s="17"/>
      <c r="B601" s="313">
        <v>85045</v>
      </c>
      <c r="C601" s="8" t="s">
        <v>877</v>
      </c>
      <c r="D601" s="18">
        <v>8</v>
      </c>
      <c r="E601" s="131" t="s">
        <v>1309</v>
      </c>
      <c r="F601" s="22" t="s">
        <v>1309</v>
      </c>
      <c r="G601" s="132" t="s">
        <v>1309</v>
      </c>
      <c r="H601" s="22" t="s">
        <v>1311</v>
      </c>
      <c r="I601" s="22" t="s">
        <v>1327</v>
      </c>
      <c r="J601" s="22" t="s">
        <v>1327</v>
      </c>
      <c r="K601" s="22" t="s">
        <v>1309</v>
      </c>
      <c r="L601" s="22" t="s">
        <v>1309</v>
      </c>
      <c r="M601" s="133" t="s">
        <v>1311</v>
      </c>
      <c r="N601" s="22" t="s">
        <v>1311</v>
      </c>
      <c r="O601" s="22" t="s">
        <v>1309</v>
      </c>
      <c r="P601" s="22" t="s">
        <v>1309</v>
      </c>
      <c r="Q601" s="20">
        <v>0</v>
      </c>
      <c r="R601" s="20">
        <v>0</v>
      </c>
      <c r="S601" s="20">
        <v>0.1</v>
      </c>
      <c r="T601" s="20">
        <v>15.465999999999999</v>
      </c>
      <c r="U601" s="20">
        <v>0.1</v>
      </c>
      <c r="V601" s="20">
        <v>0.1</v>
      </c>
      <c r="W601" s="20">
        <v>0</v>
      </c>
      <c r="X601" s="20">
        <v>0</v>
      </c>
      <c r="Y601" s="20">
        <v>0</v>
      </c>
      <c r="Z601" s="20">
        <v>0</v>
      </c>
      <c r="AA601" s="20" t="s">
        <v>1317</v>
      </c>
      <c r="AB601" s="22" t="s">
        <v>1318</v>
      </c>
      <c r="AC601" s="20">
        <v>0</v>
      </c>
      <c r="AD601" s="20">
        <v>1</v>
      </c>
      <c r="AE601" s="20">
        <v>1</v>
      </c>
      <c r="AF601" s="20">
        <v>0</v>
      </c>
      <c r="AG601" s="20">
        <v>2</v>
      </c>
      <c r="AH601" s="20">
        <v>6</v>
      </c>
      <c r="AI601" s="328" t="s">
        <v>1328</v>
      </c>
      <c r="AJ601" s="328">
        <v>4.1841004184100417</v>
      </c>
      <c r="AK601" s="328">
        <v>4.1841004184100417</v>
      </c>
      <c r="AL601" s="22" t="s">
        <v>1329</v>
      </c>
      <c r="AM601" s="22" t="s">
        <v>1330</v>
      </c>
      <c r="AN601" s="22" t="s">
        <v>1317</v>
      </c>
      <c r="AO601" s="22" t="s">
        <v>1318</v>
      </c>
      <c r="AP601" s="22" t="s">
        <v>1318</v>
      </c>
      <c r="AQ601" s="22" t="s">
        <v>1318</v>
      </c>
      <c r="AR601" s="22" t="s">
        <v>1317</v>
      </c>
      <c r="AS601" s="22" t="s">
        <v>1318</v>
      </c>
      <c r="AT601" s="22" t="s">
        <v>1317</v>
      </c>
      <c r="AU601" s="22" t="s">
        <v>1318</v>
      </c>
      <c r="AV601" s="22" t="s">
        <v>1317</v>
      </c>
      <c r="AW601" s="22" t="s">
        <v>1318</v>
      </c>
      <c r="AX601" s="22" t="s">
        <v>1309</v>
      </c>
      <c r="AY601" s="22" t="s">
        <v>1309</v>
      </c>
      <c r="AZ601" s="22" t="s">
        <v>1309</v>
      </c>
      <c r="BA601" s="22" t="s">
        <v>1309</v>
      </c>
      <c r="BB601" s="22" t="s">
        <v>1309</v>
      </c>
      <c r="BC601" s="22" t="s">
        <v>1309</v>
      </c>
      <c r="BD601" s="22" t="s">
        <v>1309</v>
      </c>
      <c r="BE601" s="22" t="s">
        <v>1309</v>
      </c>
      <c r="BF601" s="22" t="s">
        <v>1309</v>
      </c>
      <c r="BG601" s="22" t="s">
        <v>1309</v>
      </c>
      <c r="BH601" s="22" t="s">
        <v>1309</v>
      </c>
      <c r="BI601" s="22" t="s">
        <v>1309</v>
      </c>
      <c r="BJ601" s="22" t="s">
        <v>1317</v>
      </c>
      <c r="BK601" s="22" t="s">
        <v>1318</v>
      </c>
      <c r="BL601" s="22" t="s">
        <v>1317</v>
      </c>
      <c r="BM601" s="22" t="s">
        <v>1318</v>
      </c>
      <c r="BN601" s="22" t="s">
        <v>1309</v>
      </c>
      <c r="BO601" s="22" t="s">
        <v>1309</v>
      </c>
      <c r="BP601" s="22" t="s">
        <v>1309</v>
      </c>
      <c r="BQ601" s="22" t="s">
        <v>1309</v>
      </c>
      <c r="BR601" s="22" t="s">
        <v>1309</v>
      </c>
      <c r="BS601" s="22" t="s">
        <v>1309</v>
      </c>
      <c r="BT601" s="22" t="s">
        <v>1309</v>
      </c>
      <c r="BU601" s="22" t="s">
        <v>1309</v>
      </c>
      <c r="BV601" s="22" t="s">
        <v>1317</v>
      </c>
      <c r="BW601" s="22" t="s">
        <v>1318</v>
      </c>
      <c r="BX601" s="20">
        <v>18</v>
      </c>
      <c r="BY601" s="20">
        <v>3</v>
      </c>
      <c r="BZ601" s="20">
        <v>1</v>
      </c>
      <c r="CA601" s="20">
        <v>208</v>
      </c>
      <c r="CB601" s="20">
        <v>6</v>
      </c>
      <c r="CC601" s="20">
        <v>0</v>
      </c>
      <c r="CD601" s="22" t="s">
        <v>1331</v>
      </c>
      <c r="CE601" s="22" t="s">
        <v>1331</v>
      </c>
      <c r="CF601" s="22" t="s">
        <v>1331</v>
      </c>
      <c r="CG601" s="22" t="s">
        <v>1331</v>
      </c>
      <c r="CH601" s="22" t="s">
        <v>1317</v>
      </c>
      <c r="CI601" s="22" t="s">
        <v>1318</v>
      </c>
      <c r="CJ601" s="149" t="s">
        <v>2671</v>
      </c>
      <c r="CK601" s="241" t="s">
        <v>1533</v>
      </c>
    </row>
    <row r="602" spans="1:89" ht="15" customHeight="1" x14ac:dyDescent="0.35">
      <c r="A602" s="17"/>
      <c r="B602" s="313">
        <v>14010</v>
      </c>
      <c r="C602" s="8" t="s">
        <v>61</v>
      </c>
      <c r="D602" s="18">
        <v>1</v>
      </c>
      <c r="E602" s="131"/>
      <c r="F602" s="22"/>
      <c r="G602" s="132"/>
      <c r="H602" s="22"/>
      <c r="I602" s="22"/>
      <c r="J602" s="22"/>
      <c r="K602" s="22"/>
      <c r="L602" s="22"/>
      <c r="M602" s="133"/>
      <c r="N602" s="22"/>
      <c r="O602" s="22"/>
      <c r="P602" s="22"/>
      <c r="Q602" s="20"/>
      <c r="R602" s="20"/>
      <c r="S602" s="20"/>
      <c r="T602" s="20"/>
      <c r="U602" s="20"/>
      <c r="V602" s="20"/>
      <c r="W602" s="20"/>
      <c r="X602" s="20"/>
      <c r="Y602" s="20"/>
      <c r="Z602" s="20"/>
      <c r="AA602" s="20"/>
      <c r="AB602" s="22"/>
      <c r="AC602" s="20"/>
      <c r="AD602" s="20"/>
      <c r="AE602" s="20"/>
      <c r="AF602" s="20" t="s">
        <v>1124</v>
      </c>
      <c r="AG602" s="20" t="s">
        <v>1124</v>
      </c>
      <c r="AH602" s="20" t="s">
        <v>1124</v>
      </c>
      <c r="AI602" s="328"/>
      <c r="AJ602" s="328"/>
      <c r="AK602" s="328"/>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0"/>
      <c r="BY602" s="20"/>
      <c r="BZ602" s="20"/>
      <c r="CA602" s="20"/>
      <c r="CB602" s="20"/>
      <c r="CC602" s="20"/>
      <c r="CD602" s="22"/>
      <c r="CE602" s="22"/>
      <c r="CF602" s="22"/>
      <c r="CG602" s="22"/>
      <c r="CH602" s="22"/>
      <c r="CI602" s="22"/>
      <c r="CJ602" s="149"/>
      <c r="CK602" s="241"/>
    </row>
    <row r="603" spans="1:89" ht="15" customHeight="1" x14ac:dyDescent="0.35">
      <c r="A603" s="17"/>
      <c r="B603" s="313">
        <v>58037</v>
      </c>
      <c r="C603" s="8" t="s">
        <v>597</v>
      </c>
      <c r="D603" s="18">
        <v>16</v>
      </c>
      <c r="E603" s="131"/>
      <c r="F603" s="22"/>
      <c r="G603" s="132"/>
      <c r="H603" s="22"/>
      <c r="I603" s="22"/>
      <c r="J603" s="22"/>
      <c r="K603" s="22"/>
      <c r="L603" s="22"/>
      <c r="M603" s="133"/>
      <c r="N603" s="22"/>
      <c r="O603" s="22"/>
      <c r="P603" s="22"/>
      <c r="Q603" s="20"/>
      <c r="R603" s="20"/>
      <c r="S603" s="20"/>
      <c r="T603" s="20"/>
      <c r="U603" s="20"/>
      <c r="V603" s="20"/>
      <c r="W603" s="20"/>
      <c r="X603" s="20"/>
      <c r="Y603" s="20"/>
      <c r="Z603" s="20"/>
      <c r="AA603" s="20"/>
      <c r="AB603" s="22"/>
      <c r="AC603" s="20"/>
      <c r="AD603" s="20"/>
      <c r="AE603" s="20"/>
      <c r="AF603" s="20" t="s">
        <v>1124</v>
      </c>
      <c r="AG603" s="20" t="s">
        <v>1124</v>
      </c>
      <c r="AH603" s="20" t="s">
        <v>1124</v>
      </c>
      <c r="AI603" s="328"/>
      <c r="AJ603" s="328"/>
      <c r="AK603" s="328"/>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0"/>
      <c r="BY603" s="20"/>
      <c r="BZ603" s="20"/>
      <c r="CA603" s="20"/>
      <c r="CB603" s="20"/>
      <c r="CC603" s="20"/>
      <c r="CD603" s="22"/>
      <c r="CE603" s="22"/>
      <c r="CF603" s="22"/>
      <c r="CG603" s="22"/>
      <c r="CH603" s="22"/>
      <c r="CI603" s="22"/>
      <c r="CJ603" s="149"/>
      <c r="CK603" s="241"/>
    </row>
    <row r="604" spans="1:89" ht="15" customHeight="1" x14ac:dyDescent="0.35">
      <c r="A604" s="17"/>
      <c r="B604" s="313">
        <v>63055</v>
      </c>
      <c r="C604" s="8" t="s">
        <v>641</v>
      </c>
      <c r="D604" s="18">
        <v>14</v>
      </c>
      <c r="E604" s="131" t="s">
        <v>1309</v>
      </c>
      <c r="F604" s="22" t="s">
        <v>1309</v>
      </c>
      <c r="G604" s="132" t="s">
        <v>1309</v>
      </c>
      <c r="H604" s="22" t="s">
        <v>1311</v>
      </c>
      <c r="I604" s="22" t="s">
        <v>1327</v>
      </c>
      <c r="J604" s="22" t="s">
        <v>1327</v>
      </c>
      <c r="K604" s="22" t="s">
        <v>1314</v>
      </c>
      <c r="L604" s="22" t="s">
        <v>1311</v>
      </c>
      <c r="M604" s="133" t="s">
        <v>1311</v>
      </c>
      <c r="N604" s="22" t="s">
        <v>1311</v>
      </c>
      <c r="O604" s="22" t="s">
        <v>1314</v>
      </c>
      <c r="P604" s="22" t="s">
        <v>1318</v>
      </c>
      <c r="Q604" s="20">
        <v>10.989000000000001</v>
      </c>
      <c r="R604" s="20">
        <v>10.989000000000001</v>
      </c>
      <c r="S604" s="20">
        <v>8.4619999999999997</v>
      </c>
      <c r="T604" s="20">
        <v>8.4619999999999997</v>
      </c>
      <c r="U604" s="20">
        <v>3.6259999999999999</v>
      </c>
      <c r="V604" s="20">
        <v>3.6259999999999999</v>
      </c>
      <c r="W604" s="20">
        <v>0</v>
      </c>
      <c r="X604" s="20">
        <v>0</v>
      </c>
      <c r="Y604" s="20">
        <v>0</v>
      </c>
      <c r="Z604" s="20">
        <v>0</v>
      </c>
      <c r="AA604" s="20" t="s">
        <v>1309</v>
      </c>
      <c r="AB604" s="22" t="s">
        <v>1309</v>
      </c>
      <c r="AC604" s="20">
        <v>4</v>
      </c>
      <c r="AD604" s="20">
        <v>0</v>
      </c>
      <c r="AE604" s="20">
        <v>0</v>
      </c>
      <c r="AF604" s="20">
        <v>1</v>
      </c>
      <c r="AG604" s="20">
        <v>0</v>
      </c>
      <c r="AH604" s="20">
        <v>0</v>
      </c>
      <c r="AI604" s="328">
        <v>36.400036400036399</v>
      </c>
      <c r="AJ604" s="328" t="s">
        <v>1328</v>
      </c>
      <c r="AK604" s="328" t="s">
        <v>1328</v>
      </c>
      <c r="AL604" s="22" t="s">
        <v>1329</v>
      </c>
      <c r="AM604" s="22" t="s">
        <v>1330</v>
      </c>
      <c r="AN604" s="22" t="s">
        <v>1317</v>
      </c>
      <c r="AO604" s="22" t="s">
        <v>1318</v>
      </c>
      <c r="AP604" s="22" t="s">
        <v>1318</v>
      </c>
      <c r="AQ604" s="22" t="s">
        <v>1318</v>
      </c>
      <c r="AR604" s="22" t="s">
        <v>1317</v>
      </c>
      <c r="AS604" s="22" t="s">
        <v>1318</v>
      </c>
      <c r="AT604" s="22" t="s">
        <v>1309</v>
      </c>
      <c r="AU604" s="22" t="s">
        <v>1309</v>
      </c>
      <c r="AV604" s="22" t="s">
        <v>1309</v>
      </c>
      <c r="AW604" s="22" t="s">
        <v>1318</v>
      </c>
      <c r="AX604" s="22" t="s">
        <v>1317</v>
      </c>
      <c r="AY604" s="22" t="s">
        <v>1318</v>
      </c>
      <c r="AZ604" s="22" t="s">
        <v>1309</v>
      </c>
      <c r="BA604" s="22" t="s">
        <v>1309</v>
      </c>
      <c r="BB604" s="22" t="s">
        <v>1309</v>
      </c>
      <c r="BC604" s="22" t="s">
        <v>1309</v>
      </c>
      <c r="BD604" s="22" t="s">
        <v>1317</v>
      </c>
      <c r="BE604" s="22" t="s">
        <v>1318</v>
      </c>
      <c r="BF604" s="22" t="s">
        <v>1319</v>
      </c>
      <c r="BG604" s="22" t="s">
        <v>1309</v>
      </c>
      <c r="BH604" s="22" t="s">
        <v>1309</v>
      </c>
      <c r="BI604" s="22" t="s">
        <v>1309</v>
      </c>
      <c r="BJ604" s="22" t="s">
        <v>1309</v>
      </c>
      <c r="BK604" s="22" t="s">
        <v>1309</v>
      </c>
      <c r="BL604" s="22" t="s">
        <v>1309</v>
      </c>
      <c r="BM604" s="22" t="s">
        <v>1309</v>
      </c>
      <c r="BN604" s="22" t="s">
        <v>1309</v>
      </c>
      <c r="BO604" s="22" t="s">
        <v>1309</v>
      </c>
      <c r="BP604" s="22" t="s">
        <v>1309</v>
      </c>
      <c r="BQ604" s="22" t="s">
        <v>1309</v>
      </c>
      <c r="BR604" s="22" t="s">
        <v>1309</v>
      </c>
      <c r="BS604" s="22" t="s">
        <v>1309</v>
      </c>
      <c r="BT604" s="22" t="s">
        <v>1309</v>
      </c>
      <c r="BU604" s="22" t="s">
        <v>1309</v>
      </c>
      <c r="BV604" s="22" t="s">
        <v>1317</v>
      </c>
      <c r="BW604" s="22" t="s">
        <v>1311</v>
      </c>
      <c r="BX604" s="20">
        <v>0</v>
      </c>
      <c r="BY604" s="20">
        <v>30</v>
      </c>
      <c r="BZ604" s="20">
        <v>33</v>
      </c>
      <c r="CA604" s="20">
        <v>0</v>
      </c>
      <c r="CB604" s="20">
        <v>30</v>
      </c>
      <c r="CC604" s="20">
        <v>376</v>
      </c>
      <c r="CD604" s="22" t="s">
        <v>1320</v>
      </c>
      <c r="CE604" s="22" t="s">
        <v>1321</v>
      </c>
      <c r="CF604" s="22" t="s">
        <v>1320</v>
      </c>
      <c r="CG604" s="22" t="s">
        <v>1321</v>
      </c>
      <c r="CH604" s="22" t="s">
        <v>1317</v>
      </c>
      <c r="CI604" s="22" t="s">
        <v>1318</v>
      </c>
      <c r="CJ604" s="149" t="s">
        <v>1124</v>
      </c>
      <c r="CK604" s="241" t="s">
        <v>2674</v>
      </c>
    </row>
    <row r="605" spans="1:89" ht="15" customHeight="1" x14ac:dyDescent="0.35">
      <c r="A605" s="17"/>
      <c r="B605" s="313">
        <v>40025</v>
      </c>
      <c r="C605" s="8" t="s">
        <v>361</v>
      </c>
      <c r="D605" s="18">
        <v>5</v>
      </c>
      <c r="E605" s="131"/>
      <c r="F605" s="22"/>
      <c r="G605" s="132"/>
      <c r="H605" s="22"/>
      <c r="I605" s="22"/>
      <c r="J605" s="22"/>
      <c r="K605" s="22"/>
      <c r="L605" s="22"/>
      <c r="M605" s="133"/>
      <c r="N605" s="22"/>
      <c r="O605" s="22"/>
      <c r="P605" s="22"/>
      <c r="Q605" s="20"/>
      <c r="R605" s="20"/>
      <c r="S605" s="20"/>
      <c r="T605" s="20"/>
      <c r="U605" s="20"/>
      <c r="V605" s="20"/>
      <c r="W605" s="20"/>
      <c r="X605" s="20"/>
      <c r="Y605" s="20"/>
      <c r="Z605" s="20"/>
      <c r="AA605" s="20"/>
      <c r="AB605" s="22"/>
      <c r="AC605" s="20"/>
      <c r="AD605" s="20"/>
      <c r="AE605" s="20"/>
      <c r="AF605" s="20" t="s">
        <v>1124</v>
      </c>
      <c r="AG605" s="20" t="s">
        <v>1124</v>
      </c>
      <c r="AH605" s="20" t="s">
        <v>1124</v>
      </c>
      <c r="AI605" s="328"/>
      <c r="AJ605" s="328"/>
      <c r="AK605" s="328"/>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0"/>
      <c r="BY605" s="20"/>
      <c r="BZ605" s="20"/>
      <c r="CA605" s="20"/>
      <c r="CB605" s="20"/>
      <c r="CC605" s="20"/>
      <c r="CD605" s="22"/>
      <c r="CE605" s="22"/>
      <c r="CF605" s="22"/>
      <c r="CG605" s="22"/>
      <c r="CH605" s="22"/>
      <c r="CI605" s="22"/>
      <c r="CJ605" s="149"/>
      <c r="CK605" s="241"/>
    </row>
    <row r="606" spans="1:89" ht="15" customHeight="1" x14ac:dyDescent="0.35">
      <c r="A606" s="17"/>
      <c r="B606" s="313">
        <v>28070</v>
      </c>
      <c r="C606" s="8" t="s">
        <v>199</v>
      </c>
      <c r="D606" s="18">
        <v>12</v>
      </c>
      <c r="E606" s="131"/>
      <c r="F606" s="22"/>
      <c r="G606" s="132"/>
      <c r="H606" s="22"/>
      <c r="I606" s="22"/>
      <c r="J606" s="22"/>
      <c r="K606" s="22"/>
      <c r="L606" s="22"/>
      <c r="M606" s="133"/>
      <c r="N606" s="22"/>
      <c r="O606" s="22"/>
      <c r="P606" s="22"/>
      <c r="Q606" s="20"/>
      <c r="R606" s="20"/>
      <c r="S606" s="20"/>
      <c r="T606" s="20"/>
      <c r="U606" s="20"/>
      <c r="V606" s="20"/>
      <c r="W606" s="20"/>
      <c r="X606" s="20"/>
      <c r="Y606" s="20"/>
      <c r="Z606" s="20"/>
      <c r="AA606" s="20"/>
      <c r="AB606" s="22"/>
      <c r="AC606" s="20"/>
      <c r="AD606" s="20"/>
      <c r="AE606" s="20"/>
      <c r="AF606" s="20" t="s">
        <v>1124</v>
      </c>
      <c r="AG606" s="20" t="s">
        <v>1124</v>
      </c>
      <c r="AH606" s="20" t="s">
        <v>1124</v>
      </c>
      <c r="AI606" s="328"/>
      <c r="AJ606" s="328"/>
      <c r="AK606" s="328"/>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0"/>
      <c r="BY606" s="20"/>
      <c r="BZ606" s="20"/>
      <c r="CA606" s="20"/>
      <c r="CB606" s="20"/>
      <c r="CC606" s="20"/>
      <c r="CD606" s="22"/>
      <c r="CE606" s="22"/>
      <c r="CF606" s="22"/>
      <c r="CG606" s="22"/>
      <c r="CH606" s="22"/>
      <c r="CI606" s="22"/>
      <c r="CJ606" s="149"/>
      <c r="CK606" s="241"/>
    </row>
    <row r="607" spans="1:89" ht="15" customHeight="1" x14ac:dyDescent="0.35">
      <c r="A607" s="17"/>
      <c r="B607" s="313">
        <v>34078</v>
      </c>
      <c r="C607" s="8" t="s">
        <v>294</v>
      </c>
      <c r="D607" s="18">
        <v>3</v>
      </c>
      <c r="E607" s="131" t="s">
        <v>1309</v>
      </c>
      <c r="F607" s="22" t="s">
        <v>1309</v>
      </c>
      <c r="G607" s="132" t="s">
        <v>1309</v>
      </c>
      <c r="H607" s="22" t="s">
        <v>1311</v>
      </c>
      <c r="I607" s="22" t="s">
        <v>1327</v>
      </c>
      <c r="J607" s="22" t="s">
        <v>1327</v>
      </c>
      <c r="K607" s="22" t="s">
        <v>1314</v>
      </c>
      <c r="L607" s="22" t="s">
        <v>1311</v>
      </c>
      <c r="M607" s="133" t="s">
        <v>1311</v>
      </c>
      <c r="N607" s="22" t="s">
        <v>1311</v>
      </c>
      <c r="O607" s="22" t="s">
        <v>1309</v>
      </c>
      <c r="P607" s="22" t="s">
        <v>1309</v>
      </c>
      <c r="Q607" s="20">
        <v>0</v>
      </c>
      <c r="R607" s="20">
        <v>0</v>
      </c>
      <c r="S607" s="20">
        <v>54.551000000000002</v>
      </c>
      <c r="T607" s="20">
        <v>72.733999999999995</v>
      </c>
      <c r="U607" s="20">
        <v>0</v>
      </c>
      <c r="V607" s="20">
        <v>0</v>
      </c>
      <c r="W607" s="20">
        <v>0</v>
      </c>
      <c r="X607" s="20">
        <v>0</v>
      </c>
      <c r="Y607" s="20">
        <v>0</v>
      </c>
      <c r="Z607" s="20">
        <v>0</v>
      </c>
      <c r="AA607" s="20" t="s">
        <v>1317</v>
      </c>
      <c r="AB607" s="22" t="s">
        <v>1318</v>
      </c>
      <c r="AC607" s="20">
        <v>6</v>
      </c>
      <c r="AD607" s="20">
        <v>0</v>
      </c>
      <c r="AE607" s="20">
        <v>2</v>
      </c>
      <c r="AF607" s="20">
        <v>1</v>
      </c>
      <c r="AG607" s="20">
        <v>0</v>
      </c>
      <c r="AH607" s="20">
        <v>1</v>
      </c>
      <c r="AI607" s="328">
        <v>16.498473891165066</v>
      </c>
      <c r="AJ607" s="328" t="s">
        <v>1328</v>
      </c>
      <c r="AK607" s="328">
        <v>2.8368794326241136</v>
      </c>
      <c r="AL607" s="22" t="s">
        <v>1329</v>
      </c>
      <c r="AM607" s="22" t="s">
        <v>1330</v>
      </c>
      <c r="AN607" s="22" t="s">
        <v>1317</v>
      </c>
      <c r="AO607" s="22" t="s">
        <v>1318</v>
      </c>
      <c r="AP607" s="22" t="s">
        <v>1318</v>
      </c>
      <c r="AQ607" s="22" t="s">
        <v>1318</v>
      </c>
      <c r="AR607" s="22" t="s">
        <v>1317</v>
      </c>
      <c r="AS607" s="22" t="s">
        <v>1318</v>
      </c>
      <c r="AT607" s="22" t="s">
        <v>1317</v>
      </c>
      <c r="AU607" s="22" t="s">
        <v>1318</v>
      </c>
      <c r="AV607" s="22" t="s">
        <v>1317</v>
      </c>
      <c r="AW607" s="22" t="s">
        <v>1318</v>
      </c>
      <c r="AX607" s="22" t="s">
        <v>1317</v>
      </c>
      <c r="AY607" s="22" t="s">
        <v>1318</v>
      </c>
      <c r="AZ607" s="22" t="s">
        <v>1309</v>
      </c>
      <c r="BA607" s="22" t="s">
        <v>1309</v>
      </c>
      <c r="BB607" s="22" t="s">
        <v>1309</v>
      </c>
      <c r="BC607" s="22" t="s">
        <v>1309</v>
      </c>
      <c r="BD607" s="22" t="s">
        <v>1319</v>
      </c>
      <c r="BE607" s="22" t="s">
        <v>1309</v>
      </c>
      <c r="BF607" s="22" t="s">
        <v>1317</v>
      </c>
      <c r="BG607" s="22" t="s">
        <v>1318</v>
      </c>
      <c r="BH607" s="22" t="s">
        <v>1309</v>
      </c>
      <c r="BI607" s="22" t="s">
        <v>1309</v>
      </c>
      <c r="BJ607" s="22" t="s">
        <v>1317</v>
      </c>
      <c r="BK607" s="22" t="s">
        <v>1318</v>
      </c>
      <c r="BL607" s="22" t="s">
        <v>1317</v>
      </c>
      <c r="BM607" s="22" t="s">
        <v>1318</v>
      </c>
      <c r="BN607" s="22" t="s">
        <v>1309</v>
      </c>
      <c r="BO607" s="22" t="s">
        <v>1309</v>
      </c>
      <c r="BP607" s="22" t="s">
        <v>1317</v>
      </c>
      <c r="BQ607" s="22" t="s">
        <v>1318</v>
      </c>
      <c r="BR607" s="22" t="s">
        <v>1309</v>
      </c>
      <c r="BS607" s="22" t="s">
        <v>1309</v>
      </c>
      <c r="BT607" s="22" t="s">
        <v>1309</v>
      </c>
      <c r="BU607" s="22" t="s">
        <v>1309</v>
      </c>
      <c r="BV607" s="22" t="s">
        <v>1317</v>
      </c>
      <c r="BW607" s="22" t="s">
        <v>1318</v>
      </c>
      <c r="BX607" s="20">
        <v>42</v>
      </c>
      <c r="BY607" s="20">
        <v>24</v>
      </c>
      <c r="BZ607" s="20">
        <v>1</v>
      </c>
      <c r="CA607" s="20">
        <v>38</v>
      </c>
      <c r="CB607" s="20">
        <v>20</v>
      </c>
      <c r="CC607" s="20">
        <v>688</v>
      </c>
      <c r="CD607" s="22" t="s">
        <v>1331</v>
      </c>
      <c r="CE607" s="22" t="s">
        <v>1331</v>
      </c>
      <c r="CF607" s="22" t="s">
        <v>1331</v>
      </c>
      <c r="CG607" s="22" t="s">
        <v>1331</v>
      </c>
      <c r="CH607" s="22" t="s">
        <v>1317</v>
      </c>
      <c r="CI607" s="22" t="s">
        <v>1318</v>
      </c>
      <c r="CJ607" s="149" t="s">
        <v>1124</v>
      </c>
      <c r="CK607" s="241" t="s">
        <v>1124</v>
      </c>
    </row>
    <row r="608" spans="1:89" ht="15" customHeight="1" x14ac:dyDescent="0.35">
      <c r="A608" s="17"/>
      <c r="B608" s="313">
        <v>50035</v>
      </c>
      <c r="C608" s="8" t="s">
        <v>486</v>
      </c>
      <c r="D608" s="18">
        <v>17</v>
      </c>
      <c r="E608" s="131"/>
      <c r="F608" s="22"/>
      <c r="G608" s="132"/>
      <c r="H608" s="22"/>
      <c r="I608" s="22"/>
      <c r="J608" s="22"/>
      <c r="K608" s="22"/>
      <c r="L608" s="22"/>
      <c r="M608" s="133"/>
      <c r="N608" s="22"/>
      <c r="O608" s="22"/>
      <c r="P608" s="22"/>
      <c r="Q608" s="20"/>
      <c r="R608" s="20"/>
      <c r="S608" s="20"/>
      <c r="T608" s="20"/>
      <c r="U608" s="20"/>
      <c r="V608" s="20"/>
      <c r="W608" s="20"/>
      <c r="X608" s="20"/>
      <c r="Y608" s="20"/>
      <c r="Z608" s="20"/>
      <c r="AA608" s="20"/>
      <c r="AB608" s="22"/>
      <c r="AC608" s="20"/>
      <c r="AD608" s="20"/>
      <c r="AE608" s="20"/>
      <c r="AF608" s="20" t="s">
        <v>1124</v>
      </c>
      <c r="AG608" s="20" t="s">
        <v>1124</v>
      </c>
      <c r="AH608" s="20" t="s">
        <v>1124</v>
      </c>
      <c r="AI608" s="328"/>
      <c r="AJ608" s="328"/>
      <c r="AK608" s="328"/>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0"/>
      <c r="BY608" s="20"/>
      <c r="BZ608" s="20"/>
      <c r="CA608" s="20"/>
      <c r="CB608" s="20"/>
      <c r="CC608" s="20"/>
      <c r="CD608" s="22"/>
      <c r="CE608" s="22"/>
      <c r="CF608" s="22"/>
      <c r="CG608" s="22"/>
      <c r="CH608" s="22"/>
      <c r="CI608" s="22"/>
      <c r="CJ608" s="149"/>
      <c r="CK608" s="241"/>
    </row>
    <row r="609" spans="1:89" ht="15" customHeight="1" x14ac:dyDescent="0.35">
      <c r="A609" s="17"/>
      <c r="B609" s="313">
        <v>50030</v>
      </c>
      <c r="C609" s="8" t="s">
        <v>485</v>
      </c>
      <c r="D609" s="18">
        <v>17</v>
      </c>
      <c r="E609" s="131" t="s">
        <v>1309</v>
      </c>
      <c r="F609" s="22" t="s">
        <v>1309</v>
      </c>
      <c r="G609" s="132" t="s">
        <v>1309</v>
      </c>
      <c r="H609" s="22" t="s">
        <v>1311</v>
      </c>
      <c r="I609" s="22" t="s">
        <v>1327</v>
      </c>
      <c r="J609" s="22" t="s">
        <v>1327</v>
      </c>
      <c r="K609" s="22" t="s">
        <v>1309</v>
      </c>
      <c r="L609" s="22" t="s">
        <v>1309</v>
      </c>
      <c r="M609" s="133" t="s">
        <v>1311</v>
      </c>
      <c r="N609" s="22" t="s">
        <v>1311</v>
      </c>
      <c r="O609" s="22" t="s">
        <v>1314</v>
      </c>
      <c r="P609" s="22" t="s">
        <v>1318</v>
      </c>
      <c r="Q609" s="20">
        <v>0</v>
      </c>
      <c r="R609" s="20">
        <v>0</v>
      </c>
      <c r="S609" s="20">
        <v>0</v>
      </c>
      <c r="T609" s="20">
        <v>0</v>
      </c>
      <c r="U609" s="20">
        <v>0</v>
      </c>
      <c r="V609" s="20">
        <v>0</v>
      </c>
      <c r="W609" s="20">
        <v>0</v>
      </c>
      <c r="X609" s="20">
        <v>0</v>
      </c>
      <c r="Y609" s="20">
        <v>0</v>
      </c>
      <c r="Z609" s="20">
        <v>0</v>
      </c>
      <c r="AA609" s="20" t="s">
        <v>1317</v>
      </c>
      <c r="AB609" s="22" t="s">
        <v>1318</v>
      </c>
      <c r="AC609" s="20">
        <v>0</v>
      </c>
      <c r="AD609" s="20">
        <v>1</v>
      </c>
      <c r="AE609" s="20">
        <v>0</v>
      </c>
      <c r="AF609" s="20">
        <v>0</v>
      </c>
      <c r="AG609" s="20">
        <v>1</v>
      </c>
      <c r="AH609" s="20">
        <v>0</v>
      </c>
      <c r="AI609" s="328" t="s">
        <v>1328</v>
      </c>
      <c r="AJ609" s="328">
        <v>3.0581039755351682</v>
      </c>
      <c r="AK609" s="328" t="s">
        <v>1328</v>
      </c>
      <c r="AL609" s="22" t="s">
        <v>1329</v>
      </c>
      <c r="AM609" s="22" t="s">
        <v>1330</v>
      </c>
      <c r="AN609" s="22" t="s">
        <v>1317</v>
      </c>
      <c r="AO609" s="22" t="s">
        <v>1318</v>
      </c>
      <c r="AP609" s="22" t="s">
        <v>1318</v>
      </c>
      <c r="AQ609" s="22" t="s">
        <v>1318</v>
      </c>
      <c r="AR609" s="22" t="s">
        <v>1317</v>
      </c>
      <c r="AS609" s="22" t="s">
        <v>1318</v>
      </c>
      <c r="AT609" s="22" t="s">
        <v>1317</v>
      </c>
      <c r="AU609" s="22" t="s">
        <v>1318</v>
      </c>
      <c r="AV609" s="22" t="s">
        <v>1317</v>
      </c>
      <c r="AW609" s="22" t="s">
        <v>1318</v>
      </c>
      <c r="AX609" s="22" t="s">
        <v>1317</v>
      </c>
      <c r="AY609" s="22" t="s">
        <v>1318</v>
      </c>
      <c r="AZ609" s="22" t="s">
        <v>1309</v>
      </c>
      <c r="BA609" s="22" t="s">
        <v>1311</v>
      </c>
      <c r="BB609" s="22" t="s">
        <v>1309</v>
      </c>
      <c r="BC609" s="22" t="s">
        <v>1309</v>
      </c>
      <c r="BD609" s="22" t="s">
        <v>1317</v>
      </c>
      <c r="BE609" s="22" t="s">
        <v>1318</v>
      </c>
      <c r="BF609" s="22" t="s">
        <v>1317</v>
      </c>
      <c r="BG609" s="22" t="s">
        <v>1318</v>
      </c>
      <c r="BH609" s="22" t="s">
        <v>1317</v>
      </c>
      <c r="BI609" s="22" t="s">
        <v>1318</v>
      </c>
      <c r="BJ609" s="22" t="s">
        <v>1317</v>
      </c>
      <c r="BK609" s="22" t="s">
        <v>1318</v>
      </c>
      <c r="BL609" s="22" t="s">
        <v>1317</v>
      </c>
      <c r="BM609" s="22" t="s">
        <v>1318</v>
      </c>
      <c r="BN609" s="22" t="s">
        <v>1309</v>
      </c>
      <c r="BO609" s="22" t="s">
        <v>1311</v>
      </c>
      <c r="BP609" s="22" t="s">
        <v>1317</v>
      </c>
      <c r="BQ609" s="22" t="s">
        <v>1318</v>
      </c>
      <c r="BR609" s="22" t="s">
        <v>1309</v>
      </c>
      <c r="BS609" s="22" t="s">
        <v>1311</v>
      </c>
      <c r="BT609" s="22" t="s">
        <v>1317</v>
      </c>
      <c r="BU609" s="22" t="s">
        <v>1318</v>
      </c>
      <c r="BV609" s="22" t="s">
        <v>1309</v>
      </c>
      <c r="BW609" s="22" t="s">
        <v>1309</v>
      </c>
      <c r="BX609" s="20">
        <v>0</v>
      </c>
      <c r="BY609" s="20">
        <v>0</v>
      </c>
      <c r="BZ609" s="20">
        <v>29</v>
      </c>
      <c r="CA609" s="20">
        <v>0</v>
      </c>
      <c r="CB609" s="20">
        <v>0</v>
      </c>
      <c r="CC609" s="20">
        <v>298</v>
      </c>
      <c r="CD609" s="22" t="s">
        <v>1317</v>
      </c>
      <c r="CE609" s="22" t="s">
        <v>1318</v>
      </c>
      <c r="CF609" s="22" t="s">
        <v>1317</v>
      </c>
      <c r="CG609" s="22" t="s">
        <v>1318</v>
      </c>
      <c r="CH609" s="22" t="s">
        <v>1317</v>
      </c>
      <c r="CI609" s="22" t="s">
        <v>1318</v>
      </c>
      <c r="CJ609" s="149" t="s">
        <v>1124</v>
      </c>
      <c r="CK609" s="241" t="s">
        <v>1124</v>
      </c>
    </row>
    <row r="610" spans="1:89" ht="15" customHeight="1" x14ac:dyDescent="0.35">
      <c r="A610" s="17"/>
      <c r="B610" s="313">
        <v>55023</v>
      </c>
      <c r="C610" s="8" t="s">
        <v>561</v>
      </c>
      <c r="D610" s="18">
        <v>16</v>
      </c>
      <c r="E610" s="131" t="s">
        <v>1309</v>
      </c>
      <c r="F610" s="22" t="s">
        <v>1309</v>
      </c>
      <c r="G610" s="132" t="s">
        <v>1309</v>
      </c>
      <c r="H610" s="22" t="s">
        <v>1311</v>
      </c>
      <c r="I610" s="22" t="s">
        <v>1327</v>
      </c>
      <c r="J610" s="22" t="s">
        <v>1327</v>
      </c>
      <c r="K610" s="22" t="s">
        <v>1309</v>
      </c>
      <c r="L610" s="22" t="s">
        <v>1309</v>
      </c>
      <c r="M610" s="133" t="s">
        <v>1311</v>
      </c>
      <c r="N610" s="22" t="s">
        <v>1311</v>
      </c>
      <c r="O610" s="22" t="s">
        <v>1309</v>
      </c>
      <c r="P610" s="22" t="s">
        <v>1309</v>
      </c>
      <c r="Q610" s="20">
        <v>0</v>
      </c>
      <c r="R610" s="20">
        <v>0</v>
      </c>
      <c r="S610" s="20">
        <v>0</v>
      </c>
      <c r="T610" s="20">
        <v>0</v>
      </c>
      <c r="U610" s="20">
        <v>111.9</v>
      </c>
      <c r="V610" s="20">
        <v>111.9</v>
      </c>
      <c r="W610" s="20">
        <v>0</v>
      </c>
      <c r="X610" s="20">
        <v>0</v>
      </c>
      <c r="Y610" s="20">
        <v>0</v>
      </c>
      <c r="Z610" s="20">
        <v>0</v>
      </c>
      <c r="AA610" s="20" t="s">
        <v>1319</v>
      </c>
      <c r="AB610" s="22" t="s">
        <v>1311</v>
      </c>
      <c r="AC610" s="20">
        <v>11</v>
      </c>
      <c r="AD610" s="20">
        <v>1</v>
      </c>
      <c r="AE610" s="20">
        <v>2</v>
      </c>
      <c r="AF610" s="20">
        <v>1</v>
      </c>
      <c r="AG610" s="20">
        <v>1</v>
      </c>
      <c r="AH610" s="20">
        <v>2</v>
      </c>
      <c r="AI610" s="328">
        <v>19.677996422182471</v>
      </c>
      <c r="AJ610" s="328">
        <v>0.56785917092561045</v>
      </c>
      <c r="AK610" s="328">
        <v>1.1357183418512209</v>
      </c>
      <c r="AL610" s="22" t="s">
        <v>1329</v>
      </c>
      <c r="AM610" s="22" t="s">
        <v>1330</v>
      </c>
      <c r="AN610" s="22" t="s">
        <v>1317</v>
      </c>
      <c r="AO610" s="22" t="s">
        <v>1318</v>
      </c>
      <c r="AP610" s="22" t="s">
        <v>1318</v>
      </c>
      <c r="AQ610" s="22" t="s">
        <v>1318</v>
      </c>
      <c r="AR610" s="22" t="s">
        <v>1317</v>
      </c>
      <c r="AS610" s="22" t="s">
        <v>1318</v>
      </c>
      <c r="AT610" s="22" t="s">
        <v>1309</v>
      </c>
      <c r="AU610" s="22" t="s">
        <v>1309</v>
      </c>
      <c r="AV610" s="22" t="s">
        <v>1309</v>
      </c>
      <c r="AW610" s="22" t="s">
        <v>1309</v>
      </c>
      <c r="AX610" s="22" t="s">
        <v>1317</v>
      </c>
      <c r="AY610" s="22" t="s">
        <v>1318</v>
      </c>
      <c r="AZ610" s="22" t="s">
        <v>1309</v>
      </c>
      <c r="BA610" s="22" t="s">
        <v>1309</v>
      </c>
      <c r="BB610" s="22" t="s">
        <v>1309</v>
      </c>
      <c r="BC610" s="22" t="s">
        <v>1309</v>
      </c>
      <c r="BD610" s="22" t="s">
        <v>1317</v>
      </c>
      <c r="BE610" s="22" t="s">
        <v>1318</v>
      </c>
      <c r="BF610" s="22" t="s">
        <v>1309</v>
      </c>
      <c r="BG610" s="22" t="s">
        <v>1309</v>
      </c>
      <c r="BH610" s="22" t="s">
        <v>1309</v>
      </c>
      <c r="BI610" s="22" t="s">
        <v>1309</v>
      </c>
      <c r="BJ610" s="22" t="s">
        <v>1309</v>
      </c>
      <c r="BK610" s="22" t="s">
        <v>1309</v>
      </c>
      <c r="BL610" s="22" t="s">
        <v>1309</v>
      </c>
      <c r="BM610" s="22" t="s">
        <v>1309</v>
      </c>
      <c r="BN610" s="22" t="s">
        <v>1317</v>
      </c>
      <c r="BO610" s="22" t="s">
        <v>1317</v>
      </c>
      <c r="BP610" s="22" t="s">
        <v>1309</v>
      </c>
      <c r="BQ610" s="22" t="s">
        <v>1309</v>
      </c>
      <c r="BR610" s="22" t="s">
        <v>1309</v>
      </c>
      <c r="BS610" s="22" t="s">
        <v>1309</v>
      </c>
      <c r="BT610" s="22" t="s">
        <v>1317</v>
      </c>
      <c r="BU610" s="22" t="s">
        <v>1317</v>
      </c>
      <c r="BV610" s="22" t="s">
        <v>1317</v>
      </c>
      <c r="BW610" s="22" t="s">
        <v>1318</v>
      </c>
      <c r="BX610" s="20">
        <v>120</v>
      </c>
      <c r="BY610" s="20">
        <v>0</v>
      </c>
      <c r="BZ610" s="20">
        <v>0</v>
      </c>
      <c r="CA610" s="20">
        <v>1629</v>
      </c>
      <c r="CB610" s="20">
        <v>0</v>
      </c>
      <c r="CC610" s="20">
        <v>0</v>
      </c>
      <c r="CD610" s="22" t="s">
        <v>1331</v>
      </c>
      <c r="CE610" s="22" t="s">
        <v>1331</v>
      </c>
      <c r="CF610" s="22" t="s">
        <v>1315</v>
      </c>
      <c r="CG610" s="22" t="s">
        <v>1315</v>
      </c>
      <c r="CH610" s="22" t="s">
        <v>1317</v>
      </c>
      <c r="CI610" s="22" t="s">
        <v>1318</v>
      </c>
      <c r="CJ610" s="149" t="s">
        <v>1124</v>
      </c>
      <c r="CK610" s="241" t="s">
        <v>1124</v>
      </c>
    </row>
    <row r="611" spans="1:89" ht="15" customHeight="1" x14ac:dyDescent="0.35">
      <c r="A611" s="17"/>
      <c r="B611" s="313">
        <v>61035</v>
      </c>
      <c r="C611" s="8" t="s">
        <v>615</v>
      </c>
      <c r="D611" s="18">
        <v>14</v>
      </c>
      <c r="E611" s="131" t="s">
        <v>1309</v>
      </c>
      <c r="F611" s="22" t="s">
        <v>1309</v>
      </c>
      <c r="G611" s="132" t="s">
        <v>1309</v>
      </c>
      <c r="H611" s="22" t="s">
        <v>1311</v>
      </c>
      <c r="I611" s="22" t="s">
        <v>1327</v>
      </c>
      <c r="J611" s="22" t="s">
        <v>1327</v>
      </c>
      <c r="K611" s="22" t="s">
        <v>1314</v>
      </c>
      <c r="L611" s="22" t="s">
        <v>1311</v>
      </c>
      <c r="M611" s="133" t="s">
        <v>1311</v>
      </c>
      <c r="N611" s="22" t="s">
        <v>1311</v>
      </c>
      <c r="O611" s="22" t="s">
        <v>1309</v>
      </c>
      <c r="P611" s="22" t="s">
        <v>1309</v>
      </c>
      <c r="Q611" s="20">
        <v>0</v>
      </c>
      <c r="R611" s="20">
        <v>0</v>
      </c>
      <c r="S611" s="20">
        <v>0</v>
      </c>
      <c r="T611" s="20">
        <v>0</v>
      </c>
      <c r="U611" s="20">
        <v>0</v>
      </c>
      <c r="V611" s="20">
        <v>0</v>
      </c>
      <c r="W611" s="20">
        <v>0</v>
      </c>
      <c r="X611" s="20">
        <v>0</v>
      </c>
      <c r="Y611" s="20">
        <v>0</v>
      </c>
      <c r="Z611" s="20">
        <v>0</v>
      </c>
      <c r="AA611" s="20" t="s">
        <v>1317</v>
      </c>
      <c r="AB611" s="22" t="s">
        <v>1318</v>
      </c>
      <c r="AC611" s="20">
        <v>8</v>
      </c>
      <c r="AD611" s="20">
        <v>4</v>
      </c>
      <c r="AE611" s="20">
        <v>0</v>
      </c>
      <c r="AF611" s="20">
        <v>2</v>
      </c>
      <c r="AG611" s="20">
        <v>2</v>
      </c>
      <c r="AH611" s="20">
        <v>0</v>
      </c>
      <c r="AI611" s="328">
        <v>10.675206832132373</v>
      </c>
      <c r="AJ611" s="328">
        <v>0.5477201150212242</v>
      </c>
      <c r="AK611" s="328" t="s">
        <v>1328</v>
      </c>
      <c r="AL611" s="22" t="s">
        <v>1329</v>
      </c>
      <c r="AM611" s="22" t="s">
        <v>1330</v>
      </c>
      <c r="AN611" s="22" t="s">
        <v>1317</v>
      </c>
      <c r="AO611" s="22" t="s">
        <v>1318</v>
      </c>
      <c r="AP611" s="22" t="s">
        <v>1318</v>
      </c>
      <c r="AQ611" s="22" t="s">
        <v>1318</v>
      </c>
      <c r="AR611" s="22" t="s">
        <v>1317</v>
      </c>
      <c r="AS611" s="22" t="s">
        <v>1318</v>
      </c>
      <c r="AT611" s="22" t="s">
        <v>1317</v>
      </c>
      <c r="AU611" s="22" t="s">
        <v>1318</v>
      </c>
      <c r="AV611" s="22" t="s">
        <v>1309</v>
      </c>
      <c r="AW611" s="22" t="s">
        <v>1309</v>
      </c>
      <c r="AX611" s="22" t="s">
        <v>1317</v>
      </c>
      <c r="AY611" s="22" t="s">
        <v>1318</v>
      </c>
      <c r="AZ611" s="22" t="s">
        <v>1309</v>
      </c>
      <c r="BA611" s="22" t="s">
        <v>1309</v>
      </c>
      <c r="BB611" s="22" t="s">
        <v>1317</v>
      </c>
      <c r="BC611" s="22" t="s">
        <v>1311</v>
      </c>
      <c r="BD611" s="22" t="s">
        <v>1309</v>
      </c>
      <c r="BE611" s="22" t="s">
        <v>1309</v>
      </c>
      <c r="BF611" s="22" t="s">
        <v>1317</v>
      </c>
      <c r="BG611" s="22" t="s">
        <v>1318</v>
      </c>
      <c r="BH611" s="22" t="s">
        <v>1309</v>
      </c>
      <c r="BI611" s="22" t="s">
        <v>1309</v>
      </c>
      <c r="BJ611" s="22" t="s">
        <v>1317</v>
      </c>
      <c r="BK611" s="22" t="s">
        <v>1311</v>
      </c>
      <c r="BL611" s="22" t="s">
        <v>1317</v>
      </c>
      <c r="BM611" s="22" t="s">
        <v>1318</v>
      </c>
      <c r="BN611" s="22" t="s">
        <v>1317</v>
      </c>
      <c r="BO611" s="22" t="s">
        <v>1311</v>
      </c>
      <c r="BP611" s="22" t="s">
        <v>1317</v>
      </c>
      <c r="BQ611" s="22" t="s">
        <v>1318</v>
      </c>
      <c r="BR611" s="22" t="s">
        <v>1309</v>
      </c>
      <c r="BS611" s="22" t="s">
        <v>1309</v>
      </c>
      <c r="BT611" s="22" t="s">
        <v>1317</v>
      </c>
      <c r="BU611" s="22" t="s">
        <v>1318</v>
      </c>
      <c r="BV611" s="22" t="s">
        <v>1309</v>
      </c>
      <c r="BW611" s="22" t="s">
        <v>1309</v>
      </c>
      <c r="BX611" s="20">
        <v>74</v>
      </c>
      <c r="BY611" s="20">
        <v>0</v>
      </c>
      <c r="BZ611" s="20">
        <v>166</v>
      </c>
      <c r="CA611" s="20">
        <v>0</v>
      </c>
      <c r="CB611" s="20">
        <v>0</v>
      </c>
      <c r="CC611" s="20">
        <v>7063</v>
      </c>
      <c r="CD611" s="22" t="s">
        <v>1320</v>
      </c>
      <c r="CE611" s="22" t="s">
        <v>1318</v>
      </c>
      <c r="CF611" s="22" t="s">
        <v>1317</v>
      </c>
      <c r="CG611" s="22" t="s">
        <v>1318</v>
      </c>
      <c r="CH611" s="22" t="s">
        <v>1317</v>
      </c>
      <c r="CI611" s="22" t="s">
        <v>1318</v>
      </c>
      <c r="CJ611" s="149" t="s">
        <v>1124</v>
      </c>
      <c r="CK611" s="241" t="s">
        <v>1124</v>
      </c>
    </row>
    <row r="612" spans="1:89" ht="15" customHeight="1" x14ac:dyDescent="0.35">
      <c r="A612" s="17"/>
      <c r="B612" s="313">
        <v>19097</v>
      </c>
      <c r="C612" s="8" t="s">
        <v>134</v>
      </c>
      <c r="D612" s="18">
        <v>12</v>
      </c>
      <c r="E612" s="131" t="s">
        <v>1309</v>
      </c>
      <c r="F612" s="22" t="s">
        <v>1309</v>
      </c>
      <c r="G612" s="132" t="s">
        <v>1309</v>
      </c>
      <c r="H612" s="22" t="s">
        <v>1311</v>
      </c>
      <c r="I612" s="22" t="s">
        <v>1327</v>
      </c>
      <c r="J612" s="22" t="s">
        <v>1327</v>
      </c>
      <c r="K612" s="22" t="s">
        <v>1314</v>
      </c>
      <c r="L612" s="22" t="s">
        <v>1311</v>
      </c>
      <c r="M612" s="133" t="s">
        <v>1311</v>
      </c>
      <c r="N612" s="22" t="s">
        <v>1311</v>
      </c>
      <c r="O612" s="22" t="s">
        <v>1309</v>
      </c>
      <c r="P612" s="22" t="s">
        <v>1309</v>
      </c>
      <c r="Q612" s="20">
        <v>0</v>
      </c>
      <c r="R612" s="20">
        <v>0</v>
      </c>
      <c r="S612" s="20">
        <v>0</v>
      </c>
      <c r="T612" s="20">
        <v>0</v>
      </c>
      <c r="U612" s="20">
        <v>16.547000000000001</v>
      </c>
      <c r="V612" s="20">
        <v>16.547000000000001</v>
      </c>
      <c r="W612" s="20">
        <v>0</v>
      </c>
      <c r="X612" s="20">
        <v>0</v>
      </c>
      <c r="Y612" s="20">
        <v>0</v>
      </c>
      <c r="Z612" s="20">
        <v>0</v>
      </c>
      <c r="AA612" s="20" t="s">
        <v>1309</v>
      </c>
      <c r="AB612" s="22" t="s">
        <v>1309</v>
      </c>
      <c r="AC612" s="20">
        <v>5</v>
      </c>
      <c r="AD612" s="20">
        <v>3</v>
      </c>
      <c r="AE612" s="20">
        <v>0</v>
      </c>
      <c r="AF612" s="20">
        <v>2</v>
      </c>
      <c r="AG612" s="20">
        <v>2</v>
      </c>
      <c r="AH612" s="20">
        <v>0</v>
      </c>
      <c r="AI612" s="328">
        <v>30.216957756693056</v>
      </c>
      <c r="AJ612" s="328">
        <v>4.5731707317073171</v>
      </c>
      <c r="AK612" s="328" t="s">
        <v>1328</v>
      </c>
      <c r="AL612" s="22" t="s">
        <v>1329</v>
      </c>
      <c r="AM612" s="22" t="s">
        <v>1330</v>
      </c>
      <c r="AN612" s="22" t="s">
        <v>1317</v>
      </c>
      <c r="AO612" s="22" t="s">
        <v>1318</v>
      </c>
      <c r="AP612" s="22" t="s">
        <v>1318</v>
      </c>
      <c r="AQ612" s="22" t="s">
        <v>1318</v>
      </c>
      <c r="AR612" s="22" t="s">
        <v>1317</v>
      </c>
      <c r="AS612" s="22" t="s">
        <v>1318</v>
      </c>
      <c r="AT612" s="22" t="s">
        <v>1317</v>
      </c>
      <c r="AU612" s="22" t="s">
        <v>1318</v>
      </c>
      <c r="AV612" s="22" t="s">
        <v>1317</v>
      </c>
      <c r="AW612" s="22" t="s">
        <v>1318</v>
      </c>
      <c r="AX612" s="22" t="s">
        <v>1317</v>
      </c>
      <c r="AY612" s="22" t="s">
        <v>1318</v>
      </c>
      <c r="AZ612" s="22" t="s">
        <v>1309</v>
      </c>
      <c r="BA612" s="22" t="s">
        <v>1309</v>
      </c>
      <c r="BB612" s="22" t="s">
        <v>1319</v>
      </c>
      <c r="BC612" s="22" t="s">
        <v>1311</v>
      </c>
      <c r="BD612" s="22" t="s">
        <v>1309</v>
      </c>
      <c r="BE612" s="22" t="s">
        <v>1309</v>
      </c>
      <c r="BF612" s="22" t="s">
        <v>1309</v>
      </c>
      <c r="BG612" s="22" t="s">
        <v>1309</v>
      </c>
      <c r="BH612" s="22" t="s">
        <v>1309</v>
      </c>
      <c r="BI612" s="22" t="s">
        <v>1309</v>
      </c>
      <c r="BJ612" s="22" t="s">
        <v>1319</v>
      </c>
      <c r="BK612" s="22" t="s">
        <v>1311</v>
      </c>
      <c r="BL612" s="22" t="s">
        <v>1317</v>
      </c>
      <c r="BM612" s="22" t="s">
        <v>1318</v>
      </c>
      <c r="BN612" s="22" t="s">
        <v>1309</v>
      </c>
      <c r="BO612" s="22" t="s">
        <v>1309</v>
      </c>
      <c r="BP612" s="22" t="s">
        <v>1309</v>
      </c>
      <c r="BQ612" s="22" t="s">
        <v>1309</v>
      </c>
      <c r="BR612" s="22" t="s">
        <v>1309</v>
      </c>
      <c r="BS612" s="22" t="s">
        <v>1309</v>
      </c>
      <c r="BT612" s="22" t="s">
        <v>1309</v>
      </c>
      <c r="BU612" s="22" t="s">
        <v>1309</v>
      </c>
      <c r="BV612" s="22" t="s">
        <v>1317</v>
      </c>
      <c r="BW612" s="22" t="s">
        <v>1311</v>
      </c>
      <c r="BX612" s="20">
        <v>35</v>
      </c>
      <c r="BY612" s="20">
        <v>0</v>
      </c>
      <c r="BZ612" s="20">
        <v>0</v>
      </c>
      <c r="CA612" s="20">
        <v>621</v>
      </c>
      <c r="CB612" s="20">
        <v>0</v>
      </c>
      <c r="CC612" s="20">
        <v>0</v>
      </c>
      <c r="CD612" s="22" t="s">
        <v>1331</v>
      </c>
      <c r="CE612" s="22" t="s">
        <v>1331</v>
      </c>
      <c r="CF612" s="22" t="s">
        <v>1331</v>
      </c>
      <c r="CG612" s="22" t="s">
        <v>1331</v>
      </c>
      <c r="CH612" s="22" t="s">
        <v>1317</v>
      </c>
      <c r="CI612" s="22" t="s">
        <v>1318</v>
      </c>
      <c r="CJ612" s="149" t="s">
        <v>2691</v>
      </c>
      <c r="CK612" s="241" t="s">
        <v>1124</v>
      </c>
    </row>
    <row r="613" spans="1:89" ht="15" customHeight="1" x14ac:dyDescent="0.35">
      <c r="A613" s="17"/>
      <c r="B613" s="313">
        <v>94260</v>
      </c>
      <c r="C613" s="8" t="s">
        <v>984</v>
      </c>
      <c r="D613" s="18">
        <v>2</v>
      </c>
      <c r="E613" s="131" t="s">
        <v>1309</v>
      </c>
      <c r="F613" s="22" t="s">
        <v>1309</v>
      </c>
      <c r="G613" s="132" t="s">
        <v>1309</v>
      </c>
      <c r="H613" s="22" t="s">
        <v>1311</v>
      </c>
      <c r="I613" s="22" t="s">
        <v>1327</v>
      </c>
      <c r="J613" s="22" t="s">
        <v>1327</v>
      </c>
      <c r="K613" s="22" t="s">
        <v>1309</v>
      </c>
      <c r="L613" s="22" t="s">
        <v>1309</v>
      </c>
      <c r="M613" s="133" t="s">
        <v>1311</v>
      </c>
      <c r="N613" s="22" t="s">
        <v>1311</v>
      </c>
      <c r="O613" s="22" t="s">
        <v>1314</v>
      </c>
      <c r="P613" s="22" t="s">
        <v>1318</v>
      </c>
      <c r="Q613" s="20">
        <v>0</v>
      </c>
      <c r="R613" s="20">
        <v>0</v>
      </c>
      <c r="S613" s="20">
        <v>0</v>
      </c>
      <c r="T613" s="20">
        <v>0</v>
      </c>
      <c r="U613" s="20">
        <v>0</v>
      </c>
      <c r="V613" s="20">
        <v>0</v>
      </c>
      <c r="W613" s="20">
        <v>0</v>
      </c>
      <c r="X613" s="20">
        <v>0</v>
      </c>
      <c r="Y613" s="20">
        <v>0</v>
      </c>
      <c r="Z613" s="20">
        <v>0</v>
      </c>
      <c r="AA613" s="20" t="s">
        <v>1317</v>
      </c>
      <c r="AB613" s="22" t="s">
        <v>1318</v>
      </c>
      <c r="AC613" s="20">
        <v>0</v>
      </c>
      <c r="AD613" s="20">
        <v>0</v>
      </c>
      <c r="AE613" s="20">
        <v>0</v>
      </c>
      <c r="AF613" s="20">
        <v>0</v>
      </c>
      <c r="AG613" s="20">
        <v>0</v>
      </c>
      <c r="AH613" s="20">
        <v>0</v>
      </c>
      <c r="AI613" s="328" t="s">
        <v>1328</v>
      </c>
      <c r="AJ613" s="328" t="s">
        <v>1328</v>
      </c>
      <c r="AK613" s="328" t="s">
        <v>1328</v>
      </c>
      <c r="AL613" s="22" t="s">
        <v>1329</v>
      </c>
      <c r="AM613" s="22" t="s">
        <v>1330</v>
      </c>
      <c r="AN613" s="22" t="s">
        <v>1317</v>
      </c>
      <c r="AO613" s="22" t="s">
        <v>1318</v>
      </c>
      <c r="AP613" s="22" t="s">
        <v>1318</v>
      </c>
      <c r="AQ613" s="22" t="s">
        <v>1318</v>
      </c>
      <c r="AR613" s="22" t="s">
        <v>1317</v>
      </c>
      <c r="AS613" s="22" t="s">
        <v>1318</v>
      </c>
      <c r="AT613" s="22" t="s">
        <v>1309</v>
      </c>
      <c r="AU613" s="22" t="s">
        <v>1311</v>
      </c>
      <c r="AV613" s="22" t="s">
        <v>1317</v>
      </c>
      <c r="AW613" s="22" t="s">
        <v>1318</v>
      </c>
      <c r="AX613" s="22" t="s">
        <v>1317</v>
      </c>
      <c r="AY613" s="22" t="s">
        <v>1318</v>
      </c>
      <c r="AZ613" s="22" t="s">
        <v>1309</v>
      </c>
      <c r="BA613" s="22" t="s">
        <v>1309</v>
      </c>
      <c r="BB613" s="22" t="s">
        <v>1309</v>
      </c>
      <c r="BC613" s="22" t="s">
        <v>1309</v>
      </c>
      <c r="BD613" s="22" t="s">
        <v>1317</v>
      </c>
      <c r="BE613" s="22" t="s">
        <v>1318</v>
      </c>
      <c r="BF613" s="22" t="s">
        <v>1317</v>
      </c>
      <c r="BG613" s="22" t="s">
        <v>1318</v>
      </c>
      <c r="BH613" s="22" t="s">
        <v>1315</v>
      </c>
      <c r="BI613" s="22" t="s">
        <v>1315</v>
      </c>
      <c r="BJ613" s="22" t="s">
        <v>1315</v>
      </c>
      <c r="BK613" s="22" t="s">
        <v>1315</v>
      </c>
      <c r="BL613" s="22" t="s">
        <v>1309</v>
      </c>
      <c r="BM613" s="22" t="s">
        <v>1309</v>
      </c>
      <c r="BN613" s="22" t="s">
        <v>1309</v>
      </c>
      <c r="BO613" s="22" t="s">
        <v>1309</v>
      </c>
      <c r="BP613" s="22" t="s">
        <v>1315</v>
      </c>
      <c r="BQ613" s="22" t="s">
        <v>1315</v>
      </c>
      <c r="BR613" s="22" t="s">
        <v>1309</v>
      </c>
      <c r="BS613" s="22" t="s">
        <v>1309</v>
      </c>
      <c r="BT613" s="22" t="s">
        <v>1315</v>
      </c>
      <c r="BU613" s="22" t="s">
        <v>1315</v>
      </c>
      <c r="BV613" s="22" t="s">
        <v>1317</v>
      </c>
      <c r="BW613" s="22" t="s">
        <v>1318</v>
      </c>
      <c r="BX613" s="20">
        <v>0</v>
      </c>
      <c r="BY613" s="20">
        <v>0</v>
      </c>
      <c r="BZ613" s="20">
        <v>37</v>
      </c>
      <c r="CA613" s="20">
        <v>0</v>
      </c>
      <c r="CB613" s="20">
        <v>0</v>
      </c>
      <c r="CC613" s="20">
        <v>294</v>
      </c>
      <c r="CD613" s="22" t="s">
        <v>1320</v>
      </c>
      <c r="CE613" s="22" t="s">
        <v>1321</v>
      </c>
      <c r="CF613" s="22" t="s">
        <v>1320</v>
      </c>
      <c r="CG613" s="22" t="s">
        <v>1321</v>
      </c>
      <c r="CH613" s="22" t="s">
        <v>1317</v>
      </c>
      <c r="CI613" s="22" t="s">
        <v>1318</v>
      </c>
      <c r="CJ613" s="149" t="s">
        <v>1124</v>
      </c>
      <c r="CK613" s="241" t="s">
        <v>1359</v>
      </c>
    </row>
    <row r="614" spans="1:89" ht="15" customHeight="1" x14ac:dyDescent="0.35">
      <c r="A614" s="17"/>
      <c r="B614" s="313">
        <v>9010</v>
      </c>
      <c r="C614" s="8" t="s">
        <v>1098</v>
      </c>
      <c r="D614" s="18">
        <v>1</v>
      </c>
      <c r="E614" s="131"/>
      <c r="F614" s="22"/>
      <c r="G614" s="132"/>
      <c r="H614" s="22"/>
      <c r="I614" s="22"/>
      <c r="J614" s="22"/>
      <c r="K614" s="22"/>
      <c r="L614" s="22"/>
      <c r="M614" s="133"/>
      <c r="N614" s="22"/>
      <c r="O614" s="22"/>
      <c r="P614" s="22"/>
      <c r="Q614" s="20"/>
      <c r="R614" s="20"/>
      <c r="S614" s="20"/>
      <c r="T614" s="20"/>
      <c r="U614" s="20"/>
      <c r="V614" s="20"/>
      <c r="W614" s="20"/>
      <c r="X614" s="20"/>
      <c r="Y614" s="20"/>
      <c r="Z614" s="20"/>
      <c r="AA614" s="20"/>
      <c r="AB614" s="22"/>
      <c r="AC614" s="20"/>
      <c r="AD614" s="20"/>
      <c r="AE614" s="20"/>
      <c r="AF614" s="20" t="s">
        <v>1124</v>
      </c>
      <c r="AG614" s="20" t="s">
        <v>1124</v>
      </c>
      <c r="AH614" s="20" t="s">
        <v>1124</v>
      </c>
      <c r="AI614" s="328"/>
      <c r="AJ614" s="328"/>
      <c r="AK614" s="328"/>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0"/>
      <c r="BY614" s="20"/>
      <c r="BZ614" s="20"/>
      <c r="CA614" s="20"/>
      <c r="CB614" s="20"/>
      <c r="CC614" s="20"/>
      <c r="CD614" s="22"/>
      <c r="CE614" s="22"/>
      <c r="CF614" s="22"/>
      <c r="CG614" s="22"/>
      <c r="CH614" s="22"/>
      <c r="CI614" s="22"/>
      <c r="CJ614" s="149"/>
      <c r="CK614" s="241"/>
    </row>
    <row r="615" spans="1:89" ht="15" customHeight="1" x14ac:dyDescent="0.35">
      <c r="A615" s="17"/>
      <c r="B615" s="313">
        <v>57057</v>
      </c>
      <c r="C615" s="8" t="s">
        <v>591</v>
      </c>
      <c r="D615" s="18">
        <v>16</v>
      </c>
      <c r="E615" s="131" t="s">
        <v>1309</v>
      </c>
      <c r="F615" s="22" t="s">
        <v>1309</v>
      </c>
      <c r="G615" s="132" t="s">
        <v>1309</v>
      </c>
      <c r="H615" s="22" t="s">
        <v>1311</v>
      </c>
      <c r="I615" s="22" t="s">
        <v>1327</v>
      </c>
      <c r="J615" s="22" t="s">
        <v>1327</v>
      </c>
      <c r="K615" s="22" t="s">
        <v>1314</v>
      </c>
      <c r="L615" s="22" t="s">
        <v>1311</v>
      </c>
      <c r="M615" s="133" t="s">
        <v>1311</v>
      </c>
      <c r="N615" s="22" t="s">
        <v>1311</v>
      </c>
      <c r="O615" s="22" t="s">
        <v>1309</v>
      </c>
      <c r="P615" s="22" t="s">
        <v>1309</v>
      </c>
      <c r="Q615" s="20">
        <v>0</v>
      </c>
      <c r="R615" s="20">
        <v>0</v>
      </c>
      <c r="S615" s="20">
        <v>0</v>
      </c>
      <c r="T615" s="20">
        <v>0</v>
      </c>
      <c r="U615" s="20">
        <v>0</v>
      </c>
      <c r="V615" s="20">
        <v>0</v>
      </c>
      <c r="W615" s="20">
        <v>0</v>
      </c>
      <c r="X615" s="20">
        <v>0</v>
      </c>
      <c r="Y615" s="20">
        <v>0</v>
      </c>
      <c r="Z615" s="20">
        <v>0</v>
      </c>
      <c r="AA615" s="20" t="s">
        <v>1317</v>
      </c>
      <c r="AB615" s="22" t="s">
        <v>1318</v>
      </c>
      <c r="AC615" s="20">
        <v>0</v>
      </c>
      <c r="AD615" s="20">
        <v>0</v>
      </c>
      <c r="AE615" s="20">
        <v>0</v>
      </c>
      <c r="AF615" s="20">
        <v>0</v>
      </c>
      <c r="AG615" s="20">
        <v>0</v>
      </c>
      <c r="AH615" s="20">
        <v>0</v>
      </c>
      <c r="AI615" s="328" t="s">
        <v>1328</v>
      </c>
      <c r="AJ615" s="328" t="s">
        <v>1328</v>
      </c>
      <c r="AK615" s="328" t="s">
        <v>1328</v>
      </c>
      <c r="AL615" s="22" t="s">
        <v>1329</v>
      </c>
      <c r="AM615" s="22" t="s">
        <v>1330</v>
      </c>
      <c r="AN615" s="22" t="s">
        <v>1317</v>
      </c>
      <c r="AO615" s="22" t="s">
        <v>1318</v>
      </c>
      <c r="AP615" s="22" t="s">
        <v>1318</v>
      </c>
      <c r="AQ615" s="22" t="s">
        <v>1318</v>
      </c>
      <c r="AR615" s="22" t="s">
        <v>1317</v>
      </c>
      <c r="AS615" s="22" t="s">
        <v>1318</v>
      </c>
      <c r="AT615" s="22" t="s">
        <v>1317</v>
      </c>
      <c r="AU615" s="22" t="s">
        <v>1318</v>
      </c>
      <c r="AV615" s="22" t="s">
        <v>1317</v>
      </c>
      <c r="AW615" s="22" t="s">
        <v>1318</v>
      </c>
      <c r="AX615" s="22" t="s">
        <v>1317</v>
      </c>
      <c r="AY615" s="22" t="s">
        <v>1318</v>
      </c>
      <c r="AZ615" s="22" t="s">
        <v>1317</v>
      </c>
      <c r="BA615" s="22" t="s">
        <v>1318</v>
      </c>
      <c r="BB615" s="22" t="s">
        <v>1309</v>
      </c>
      <c r="BC615" s="22" t="s">
        <v>1309</v>
      </c>
      <c r="BD615" s="22" t="s">
        <v>1309</v>
      </c>
      <c r="BE615" s="22" t="s">
        <v>1309</v>
      </c>
      <c r="BF615" s="22" t="s">
        <v>1309</v>
      </c>
      <c r="BG615" s="22" t="s">
        <v>1309</v>
      </c>
      <c r="BH615" s="22" t="s">
        <v>1309</v>
      </c>
      <c r="BI615" s="22" t="s">
        <v>1309</v>
      </c>
      <c r="BJ615" s="22" t="s">
        <v>1317</v>
      </c>
      <c r="BK615" s="22" t="s">
        <v>1318</v>
      </c>
      <c r="BL615" s="22" t="s">
        <v>1317</v>
      </c>
      <c r="BM615" s="22" t="s">
        <v>1318</v>
      </c>
      <c r="BN615" s="22" t="s">
        <v>1317</v>
      </c>
      <c r="BO615" s="22" t="s">
        <v>1318</v>
      </c>
      <c r="BP615" s="22" t="s">
        <v>1317</v>
      </c>
      <c r="BQ615" s="22" t="s">
        <v>1318</v>
      </c>
      <c r="BR615" s="22" t="s">
        <v>1317</v>
      </c>
      <c r="BS615" s="22" t="s">
        <v>1318</v>
      </c>
      <c r="BT615" s="22" t="s">
        <v>1317</v>
      </c>
      <c r="BU615" s="22" t="s">
        <v>1318</v>
      </c>
      <c r="BV615" s="22" t="s">
        <v>1317</v>
      </c>
      <c r="BW615" s="22" t="s">
        <v>1318</v>
      </c>
      <c r="BX615" s="20">
        <v>48</v>
      </c>
      <c r="BY615" s="20">
        <v>0</v>
      </c>
      <c r="BZ615" s="20">
        <v>0</v>
      </c>
      <c r="CA615" s="20">
        <v>716</v>
      </c>
      <c r="CB615" s="20">
        <v>0</v>
      </c>
      <c r="CC615" s="20">
        <v>0</v>
      </c>
      <c r="CD615" s="22" t="s">
        <v>1331</v>
      </c>
      <c r="CE615" s="22" t="s">
        <v>1331</v>
      </c>
      <c r="CF615" s="22" t="s">
        <v>1331</v>
      </c>
      <c r="CG615" s="22" t="s">
        <v>1331</v>
      </c>
      <c r="CH615" s="22" t="s">
        <v>1317</v>
      </c>
      <c r="CI615" s="22" t="s">
        <v>1318</v>
      </c>
      <c r="CJ615" s="149" t="s">
        <v>1124</v>
      </c>
      <c r="CK615" s="241" t="s">
        <v>1124</v>
      </c>
    </row>
    <row r="616" spans="1:89" ht="15" customHeight="1" x14ac:dyDescent="0.35">
      <c r="A616" s="17"/>
      <c r="B616" s="313">
        <v>39060</v>
      </c>
      <c r="C616" s="8" t="s">
        <v>345</v>
      </c>
      <c r="D616" s="18">
        <v>17</v>
      </c>
      <c r="E616" s="131" t="s">
        <v>1309</v>
      </c>
      <c r="F616" s="22" t="s">
        <v>1309</v>
      </c>
      <c r="G616" s="132" t="s">
        <v>1315</v>
      </c>
      <c r="H616" s="22" t="s">
        <v>1315</v>
      </c>
      <c r="I616" s="22" t="s">
        <v>1315</v>
      </c>
      <c r="J616" s="22" t="s">
        <v>1315</v>
      </c>
      <c r="K616" s="22" t="s">
        <v>1319</v>
      </c>
      <c r="L616" s="22" t="s">
        <v>1309</v>
      </c>
      <c r="M616" s="133" t="s">
        <v>1311</v>
      </c>
      <c r="N616" s="22" t="s">
        <v>1311</v>
      </c>
      <c r="O616" s="22" t="s">
        <v>1314</v>
      </c>
      <c r="P616" s="22" t="s">
        <v>1318</v>
      </c>
      <c r="Q616" s="20">
        <v>0</v>
      </c>
      <c r="R616" s="20">
        <v>0</v>
      </c>
      <c r="S616" s="20">
        <v>14.986000000000001</v>
      </c>
      <c r="T616" s="20">
        <v>14.986000000000001</v>
      </c>
      <c r="U616" s="20">
        <v>0</v>
      </c>
      <c r="V616" s="20">
        <v>0</v>
      </c>
      <c r="W616" s="20">
        <v>0</v>
      </c>
      <c r="X616" s="20">
        <v>0</v>
      </c>
      <c r="Y616" s="20">
        <v>0</v>
      </c>
      <c r="Z616" s="20">
        <v>0</v>
      </c>
      <c r="AA616" s="20" t="s">
        <v>1317</v>
      </c>
      <c r="AB616" s="22" t="s">
        <v>1311</v>
      </c>
      <c r="AC616" s="20">
        <v>0</v>
      </c>
      <c r="AD616" s="20">
        <v>0</v>
      </c>
      <c r="AE616" s="20">
        <v>0</v>
      </c>
      <c r="AF616" s="20">
        <v>0</v>
      </c>
      <c r="AG616" s="20">
        <v>0</v>
      </c>
      <c r="AH616" s="20">
        <v>0</v>
      </c>
      <c r="AI616" s="328" t="s">
        <v>1328</v>
      </c>
      <c r="AJ616" s="328" t="s">
        <v>1328</v>
      </c>
      <c r="AK616" s="328" t="s">
        <v>1328</v>
      </c>
      <c r="AL616" s="22" t="s">
        <v>1329</v>
      </c>
      <c r="AM616" s="22" t="s">
        <v>1330</v>
      </c>
      <c r="AN616" s="22" t="s">
        <v>1315</v>
      </c>
      <c r="AO616" s="22" t="s">
        <v>1315</v>
      </c>
      <c r="AP616" s="22" t="s">
        <v>1315</v>
      </c>
      <c r="AQ616" s="22" t="s">
        <v>1315</v>
      </c>
      <c r="AR616" s="22" t="s">
        <v>1317</v>
      </c>
      <c r="AS616" s="22" t="s">
        <v>1318</v>
      </c>
      <c r="AT616" s="22" t="s">
        <v>1309</v>
      </c>
      <c r="AU616" s="22" t="s">
        <v>1309</v>
      </c>
      <c r="AV616" s="22" t="s">
        <v>1317</v>
      </c>
      <c r="AW616" s="22" t="s">
        <v>1318</v>
      </c>
      <c r="AX616" s="22" t="s">
        <v>1317</v>
      </c>
      <c r="AY616" s="22" t="s">
        <v>1318</v>
      </c>
      <c r="AZ616" s="22" t="s">
        <v>1309</v>
      </c>
      <c r="BA616" s="22" t="s">
        <v>1309</v>
      </c>
      <c r="BB616" s="22" t="s">
        <v>1309</v>
      </c>
      <c r="BC616" s="22" t="s">
        <v>1309</v>
      </c>
      <c r="BD616" s="22" t="s">
        <v>1317</v>
      </c>
      <c r="BE616" s="22" t="s">
        <v>1318</v>
      </c>
      <c r="BF616" s="22" t="s">
        <v>1309</v>
      </c>
      <c r="BG616" s="22" t="s">
        <v>1309</v>
      </c>
      <c r="BH616" s="22" t="s">
        <v>1317</v>
      </c>
      <c r="BI616" s="22" t="s">
        <v>1318</v>
      </c>
      <c r="BJ616" s="22" t="s">
        <v>1317</v>
      </c>
      <c r="BK616" s="22" t="s">
        <v>1318</v>
      </c>
      <c r="BL616" s="22" t="s">
        <v>1315</v>
      </c>
      <c r="BM616" s="22" t="s">
        <v>1315</v>
      </c>
      <c r="BN616" s="22" t="s">
        <v>1315</v>
      </c>
      <c r="BO616" s="22" t="s">
        <v>1315</v>
      </c>
      <c r="BP616" s="22" t="s">
        <v>1315</v>
      </c>
      <c r="BQ616" s="22" t="s">
        <v>1315</v>
      </c>
      <c r="BR616" s="22" t="s">
        <v>1309</v>
      </c>
      <c r="BS616" s="22" t="s">
        <v>1309</v>
      </c>
      <c r="BT616" s="22" t="s">
        <v>1309</v>
      </c>
      <c r="BU616" s="22" t="s">
        <v>1309</v>
      </c>
      <c r="BV616" s="22" t="s">
        <v>1317</v>
      </c>
      <c r="BW616" s="22" t="s">
        <v>1318</v>
      </c>
      <c r="BX616" s="20">
        <v>7</v>
      </c>
      <c r="BY616" s="20">
        <v>0</v>
      </c>
      <c r="BZ616" s="20">
        <v>0</v>
      </c>
      <c r="CA616" s="20">
        <v>221</v>
      </c>
      <c r="CB616" s="20">
        <v>78</v>
      </c>
      <c r="CC616" s="20">
        <v>0</v>
      </c>
      <c r="CD616" s="22" t="s">
        <v>1331</v>
      </c>
      <c r="CE616" s="22" t="s">
        <v>1331</v>
      </c>
      <c r="CF616" s="22" t="s">
        <v>1315</v>
      </c>
      <c r="CG616" s="22" t="s">
        <v>1315</v>
      </c>
      <c r="CH616" s="22" t="s">
        <v>1315</v>
      </c>
      <c r="CI616" s="22" t="s">
        <v>1315</v>
      </c>
      <c r="CJ616" s="149" t="s">
        <v>1124</v>
      </c>
      <c r="CK616" s="241" t="s">
        <v>1124</v>
      </c>
    </row>
    <row r="617" spans="1:89" ht="15" customHeight="1" x14ac:dyDescent="0.35">
      <c r="A617" s="17"/>
      <c r="B617" s="313">
        <v>69017</v>
      </c>
      <c r="C617" s="8" t="s">
        <v>686</v>
      </c>
      <c r="D617" s="18">
        <v>16</v>
      </c>
      <c r="E617" s="131" t="s">
        <v>1309</v>
      </c>
      <c r="F617" s="22" t="s">
        <v>1309</v>
      </c>
      <c r="G617" s="132" t="s">
        <v>1309</v>
      </c>
      <c r="H617" s="22" t="s">
        <v>1311</v>
      </c>
      <c r="I617" s="22" t="s">
        <v>1327</v>
      </c>
      <c r="J617" s="22" t="s">
        <v>1327</v>
      </c>
      <c r="K617" s="22" t="s">
        <v>1309</v>
      </c>
      <c r="L617" s="22" t="s">
        <v>1309</v>
      </c>
      <c r="M617" s="133" t="s">
        <v>1311</v>
      </c>
      <c r="N617" s="22" t="s">
        <v>1311</v>
      </c>
      <c r="O617" s="22" t="s">
        <v>1314</v>
      </c>
      <c r="P617" s="22" t="s">
        <v>1318</v>
      </c>
      <c r="Q617" s="20">
        <v>0</v>
      </c>
      <c r="R617" s="20">
        <v>0</v>
      </c>
      <c r="S617" s="20">
        <v>0</v>
      </c>
      <c r="T617" s="20">
        <v>0</v>
      </c>
      <c r="U617" s="20">
        <v>0</v>
      </c>
      <c r="V617" s="20">
        <v>0</v>
      </c>
      <c r="W617" s="20">
        <v>0</v>
      </c>
      <c r="X617" s="20">
        <v>0</v>
      </c>
      <c r="Y617" s="20">
        <v>0</v>
      </c>
      <c r="Z617" s="20">
        <v>0</v>
      </c>
      <c r="AA617" s="20" t="s">
        <v>1317</v>
      </c>
      <c r="AB617" s="22" t="s">
        <v>1318</v>
      </c>
      <c r="AC617" s="20">
        <v>1</v>
      </c>
      <c r="AD617" s="20">
        <v>3</v>
      </c>
      <c r="AE617" s="20">
        <v>0</v>
      </c>
      <c r="AF617" s="20">
        <v>1</v>
      </c>
      <c r="AG617" s="20">
        <v>1</v>
      </c>
      <c r="AH617" s="20">
        <v>0</v>
      </c>
      <c r="AI617" s="328">
        <v>9.2089511004696565</v>
      </c>
      <c r="AJ617" s="328">
        <v>4.8543689320388346</v>
      </c>
      <c r="AK617" s="328" t="s">
        <v>1328</v>
      </c>
      <c r="AL617" s="22" t="s">
        <v>1329</v>
      </c>
      <c r="AM617" s="22" t="s">
        <v>1330</v>
      </c>
      <c r="AN617" s="22" t="s">
        <v>1317</v>
      </c>
      <c r="AO617" s="22" t="s">
        <v>1318</v>
      </c>
      <c r="AP617" s="22" t="s">
        <v>1318</v>
      </c>
      <c r="AQ617" s="22" t="s">
        <v>1318</v>
      </c>
      <c r="AR617" s="22" t="s">
        <v>1317</v>
      </c>
      <c r="AS617" s="22" t="s">
        <v>1318</v>
      </c>
      <c r="AT617" s="22" t="s">
        <v>1309</v>
      </c>
      <c r="AU617" s="22" t="s">
        <v>1309</v>
      </c>
      <c r="AV617" s="22" t="s">
        <v>1317</v>
      </c>
      <c r="AW617" s="22" t="s">
        <v>1318</v>
      </c>
      <c r="AX617" s="22" t="s">
        <v>1317</v>
      </c>
      <c r="AY617" s="22" t="s">
        <v>1318</v>
      </c>
      <c r="AZ617" s="22" t="s">
        <v>1309</v>
      </c>
      <c r="BA617" s="22" t="s">
        <v>1309</v>
      </c>
      <c r="BB617" s="22" t="s">
        <v>1309</v>
      </c>
      <c r="BC617" s="22" t="s">
        <v>1309</v>
      </c>
      <c r="BD617" s="22" t="s">
        <v>1317</v>
      </c>
      <c r="BE617" s="22" t="s">
        <v>1318</v>
      </c>
      <c r="BF617" s="22" t="s">
        <v>1317</v>
      </c>
      <c r="BG617" s="22" t="s">
        <v>1318</v>
      </c>
      <c r="BH617" s="22" t="s">
        <v>1317</v>
      </c>
      <c r="BI617" s="22" t="s">
        <v>1318</v>
      </c>
      <c r="BJ617" s="22" t="s">
        <v>1309</v>
      </c>
      <c r="BK617" s="22" t="s">
        <v>1309</v>
      </c>
      <c r="BL617" s="22" t="s">
        <v>1317</v>
      </c>
      <c r="BM617" s="22" t="s">
        <v>1318</v>
      </c>
      <c r="BN617" s="22" t="s">
        <v>1317</v>
      </c>
      <c r="BO617" s="22" t="s">
        <v>1318</v>
      </c>
      <c r="BP617" s="22" t="s">
        <v>1317</v>
      </c>
      <c r="BQ617" s="22" t="s">
        <v>1318</v>
      </c>
      <c r="BR617" s="22" t="s">
        <v>1317</v>
      </c>
      <c r="BS617" s="22" t="s">
        <v>1318</v>
      </c>
      <c r="BT617" s="22" t="s">
        <v>1309</v>
      </c>
      <c r="BU617" s="22" t="s">
        <v>1309</v>
      </c>
      <c r="BV617" s="22" t="s">
        <v>1309</v>
      </c>
      <c r="BW617" s="22" t="s">
        <v>1309</v>
      </c>
      <c r="BX617" s="20">
        <v>0</v>
      </c>
      <c r="BY617" s="20">
        <v>0</v>
      </c>
      <c r="BZ617" s="20">
        <v>65</v>
      </c>
      <c r="CA617" s="20">
        <v>0</v>
      </c>
      <c r="CB617" s="20">
        <v>0</v>
      </c>
      <c r="CC617" s="20">
        <v>553</v>
      </c>
      <c r="CD617" s="22" t="s">
        <v>1317</v>
      </c>
      <c r="CE617" s="22" t="s">
        <v>1318</v>
      </c>
      <c r="CF617" s="22" t="s">
        <v>1317</v>
      </c>
      <c r="CG617" s="22" t="s">
        <v>1318</v>
      </c>
      <c r="CH617" s="22" t="s">
        <v>1317</v>
      </c>
      <c r="CI617" s="22" t="s">
        <v>1318</v>
      </c>
      <c r="CJ617" s="149" t="s">
        <v>1124</v>
      </c>
      <c r="CK617" s="241" t="s">
        <v>1679</v>
      </c>
    </row>
    <row r="618" spans="1:89" ht="15" customHeight="1" x14ac:dyDescent="0.35">
      <c r="A618" s="17"/>
      <c r="B618" s="313">
        <v>42100</v>
      </c>
      <c r="C618" s="8" t="s">
        <v>395</v>
      </c>
      <c r="D618" s="18">
        <v>5</v>
      </c>
      <c r="E618" s="131"/>
      <c r="F618" s="22"/>
      <c r="G618" s="132"/>
      <c r="H618" s="22"/>
      <c r="I618" s="22"/>
      <c r="J618" s="22"/>
      <c r="K618" s="22"/>
      <c r="L618" s="22"/>
      <c r="M618" s="133"/>
      <c r="N618" s="22"/>
      <c r="O618" s="22"/>
      <c r="P618" s="22"/>
      <c r="Q618" s="20"/>
      <c r="R618" s="20"/>
      <c r="S618" s="20"/>
      <c r="T618" s="20"/>
      <c r="U618" s="20"/>
      <c r="V618" s="20"/>
      <c r="W618" s="20"/>
      <c r="X618" s="20"/>
      <c r="Y618" s="20"/>
      <c r="Z618" s="20"/>
      <c r="AA618" s="20"/>
      <c r="AB618" s="22"/>
      <c r="AC618" s="20"/>
      <c r="AD618" s="20"/>
      <c r="AE618" s="20"/>
      <c r="AF618" s="20" t="s">
        <v>1124</v>
      </c>
      <c r="AG618" s="20" t="s">
        <v>1124</v>
      </c>
      <c r="AH618" s="20" t="s">
        <v>1124</v>
      </c>
      <c r="AI618" s="328"/>
      <c r="AJ618" s="328"/>
      <c r="AK618" s="328"/>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0"/>
      <c r="BY618" s="20"/>
      <c r="BZ618" s="20"/>
      <c r="CA618" s="20"/>
      <c r="CB618" s="20"/>
      <c r="CC618" s="20"/>
      <c r="CD618" s="22"/>
      <c r="CE618" s="22"/>
      <c r="CF618" s="22"/>
      <c r="CG618" s="22"/>
      <c r="CH618" s="22"/>
      <c r="CI618" s="22"/>
      <c r="CJ618" s="149"/>
      <c r="CK618" s="241"/>
    </row>
    <row r="619" spans="1:89" ht="15" customHeight="1" x14ac:dyDescent="0.35">
      <c r="A619" s="17"/>
      <c r="B619" s="313">
        <v>11005</v>
      </c>
      <c r="C619" s="8" t="s">
        <v>17</v>
      </c>
      <c r="D619" s="18">
        <v>1</v>
      </c>
      <c r="E619" s="131" t="s">
        <v>1319</v>
      </c>
      <c r="F619" s="22" t="s">
        <v>1490</v>
      </c>
      <c r="G619" s="132" t="s">
        <v>1309</v>
      </c>
      <c r="H619" s="22" t="s">
        <v>1311</v>
      </c>
      <c r="I619" s="22" t="s">
        <v>1327</v>
      </c>
      <c r="J619" s="22" t="s">
        <v>1327</v>
      </c>
      <c r="K619" s="22" t="s">
        <v>1314</v>
      </c>
      <c r="L619" s="22" t="s">
        <v>1311</v>
      </c>
      <c r="M619" s="133" t="s">
        <v>1311</v>
      </c>
      <c r="N619" s="22" t="s">
        <v>1311</v>
      </c>
      <c r="O619" s="22" t="s">
        <v>1314</v>
      </c>
      <c r="P619" s="22" t="s">
        <v>1318</v>
      </c>
      <c r="Q619" s="20">
        <v>0</v>
      </c>
      <c r="R619" s="20">
        <v>0</v>
      </c>
      <c r="S619" s="20">
        <v>0</v>
      </c>
      <c r="T619" s="20">
        <v>0</v>
      </c>
      <c r="U619" s="20">
        <v>0</v>
      </c>
      <c r="V619" s="20">
        <v>0</v>
      </c>
      <c r="W619" s="20">
        <v>0</v>
      </c>
      <c r="X619" s="20">
        <v>0</v>
      </c>
      <c r="Y619" s="20">
        <v>0</v>
      </c>
      <c r="Z619" s="20">
        <v>0</v>
      </c>
      <c r="AA619" s="20" t="s">
        <v>1317</v>
      </c>
      <c r="AB619" s="22" t="s">
        <v>1318</v>
      </c>
      <c r="AC619" s="20">
        <v>0</v>
      </c>
      <c r="AD619" s="20">
        <v>0</v>
      </c>
      <c r="AE619" s="20">
        <v>0</v>
      </c>
      <c r="AF619" s="20">
        <v>0</v>
      </c>
      <c r="AG619" s="20">
        <v>0</v>
      </c>
      <c r="AH619" s="20">
        <v>0</v>
      </c>
      <c r="AI619" s="328" t="s">
        <v>1328</v>
      </c>
      <c r="AJ619" s="328" t="s">
        <v>1328</v>
      </c>
      <c r="AK619" s="328" t="s">
        <v>1328</v>
      </c>
      <c r="AL619" s="22" t="s">
        <v>1329</v>
      </c>
      <c r="AM619" s="22" t="s">
        <v>1330</v>
      </c>
      <c r="AN619" s="22" t="s">
        <v>1317</v>
      </c>
      <c r="AO619" s="22" t="s">
        <v>1318</v>
      </c>
      <c r="AP619" s="22" t="s">
        <v>1318</v>
      </c>
      <c r="AQ619" s="22" t="s">
        <v>1318</v>
      </c>
      <c r="AR619" s="22" t="s">
        <v>1317</v>
      </c>
      <c r="AS619" s="22" t="s">
        <v>1318</v>
      </c>
      <c r="AT619" s="22" t="s">
        <v>1309</v>
      </c>
      <c r="AU619" s="22" t="s">
        <v>1309</v>
      </c>
      <c r="AV619" s="22" t="s">
        <v>1317</v>
      </c>
      <c r="AW619" s="22" t="s">
        <v>1318</v>
      </c>
      <c r="AX619" s="22" t="s">
        <v>1317</v>
      </c>
      <c r="AY619" s="22" t="s">
        <v>1318</v>
      </c>
      <c r="AZ619" s="22" t="s">
        <v>1317</v>
      </c>
      <c r="BA619" s="22" t="s">
        <v>1318</v>
      </c>
      <c r="BB619" s="22" t="s">
        <v>1309</v>
      </c>
      <c r="BC619" s="22" t="s">
        <v>1309</v>
      </c>
      <c r="BD619" s="22" t="s">
        <v>1317</v>
      </c>
      <c r="BE619" s="22" t="s">
        <v>1318</v>
      </c>
      <c r="BF619" s="22" t="s">
        <v>1317</v>
      </c>
      <c r="BG619" s="22" t="s">
        <v>1311</v>
      </c>
      <c r="BH619" s="22" t="s">
        <v>1319</v>
      </c>
      <c r="BI619" s="22" t="s">
        <v>1309</v>
      </c>
      <c r="BJ619" s="22" t="s">
        <v>1309</v>
      </c>
      <c r="BK619" s="22" t="s">
        <v>1309</v>
      </c>
      <c r="BL619" s="22" t="s">
        <v>1317</v>
      </c>
      <c r="BM619" s="22" t="s">
        <v>1318</v>
      </c>
      <c r="BN619" s="22" t="s">
        <v>1309</v>
      </c>
      <c r="BO619" s="22" t="s">
        <v>1309</v>
      </c>
      <c r="BP619" s="22" t="s">
        <v>1315</v>
      </c>
      <c r="BQ619" s="22" t="s">
        <v>1315</v>
      </c>
      <c r="BR619" s="22" t="s">
        <v>1317</v>
      </c>
      <c r="BS619" s="22" t="s">
        <v>1318</v>
      </c>
      <c r="BT619" s="22" t="s">
        <v>1315</v>
      </c>
      <c r="BU619" s="22" t="s">
        <v>1315</v>
      </c>
      <c r="BV619" s="22" t="s">
        <v>1317</v>
      </c>
      <c r="BW619" s="22" t="s">
        <v>1318</v>
      </c>
      <c r="BX619" s="20">
        <v>0</v>
      </c>
      <c r="BY619" s="20">
        <v>15</v>
      </c>
      <c r="BZ619" s="20">
        <v>0</v>
      </c>
      <c r="CA619" s="20">
        <v>0</v>
      </c>
      <c r="CB619" s="20">
        <v>100</v>
      </c>
      <c r="CC619" s="20">
        <v>0</v>
      </c>
      <c r="CD619" s="22" t="s">
        <v>1331</v>
      </c>
      <c r="CE619" s="22" t="s">
        <v>1331</v>
      </c>
      <c r="CF619" s="22" t="s">
        <v>1331</v>
      </c>
      <c r="CG619" s="22" t="s">
        <v>1331</v>
      </c>
      <c r="CH619" s="22" t="s">
        <v>1317</v>
      </c>
      <c r="CI619" s="22" t="s">
        <v>1318</v>
      </c>
      <c r="CJ619" s="149" t="s">
        <v>1124</v>
      </c>
      <c r="CK619" s="241" t="s">
        <v>2705</v>
      </c>
    </row>
    <row r="620" spans="1:89" ht="15" customHeight="1" x14ac:dyDescent="0.35">
      <c r="A620" s="17"/>
      <c r="B620" s="313">
        <v>7090</v>
      </c>
      <c r="C620" s="8" t="s">
        <v>1082</v>
      </c>
      <c r="D620" s="18">
        <v>1</v>
      </c>
      <c r="E620" s="131" t="s">
        <v>1309</v>
      </c>
      <c r="F620" s="22" t="s">
        <v>1309</v>
      </c>
      <c r="G620" s="132" t="s">
        <v>1309</v>
      </c>
      <c r="H620" s="22" t="s">
        <v>1311</v>
      </c>
      <c r="I620" s="22" t="s">
        <v>1341</v>
      </c>
      <c r="J620" s="22" t="s">
        <v>1348</v>
      </c>
      <c r="K620" s="22" t="s">
        <v>1319</v>
      </c>
      <c r="L620" s="22" t="s">
        <v>1311</v>
      </c>
      <c r="M620" s="133" t="s">
        <v>1311</v>
      </c>
      <c r="N620" s="22" t="s">
        <v>1311</v>
      </c>
      <c r="O620" s="22" t="s">
        <v>1314</v>
      </c>
      <c r="P620" s="22" t="s">
        <v>1318</v>
      </c>
      <c r="Q620" s="20">
        <v>0</v>
      </c>
      <c r="R620" s="20">
        <v>0</v>
      </c>
      <c r="S620" s="20">
        <v>5</v>
      </c>
      <c r="T620" s="20">
        <v>0</v>
      </c>
      <c r="U620" s="20">
        <v>0</v>
      </c>
      <c r="V620" s="20">
        <v>3.1160000000000001</v>
      </c>
      <c r="W620" s="20">
        <v>0</v>
      </c>
      <c r="X620" s="20">
        <v>0</v>
      </c>
      <c r="Y620" s="20">
        <v>0</v>
      </c>
      <c r="Z620" s="20">
        <v>0</v>
      </c>
      <c r="AA620" s="20" t="s">
        <v>1317</v>
      </c>
      <c r="AB620" s="22" t="s">
        <v>1318</v>
      </c>
      <c r="AC620" s="20">
        <v>0</v>
      </c>
      <c r="AD620" s="20">
        <v>0</v>
      </c>
      <c r="AE620" s="20">
        <v>1</v>
      </c>
      <c r="AF620" s="20">
        <v>0</v>
      </c>
      <c r="AG620" s="20">
        <v>0</v>
      </c>
      <c r="AH620" s="20">
        <v>2</v>
      </c>
      <c r="AI620" s="328" t="s">
        <v>1328</v>
      </c>
      <c r="AJ620" s="328" t="s">
        <v>1328</v>
      </c>
      <c r="AK620" s="328">
        <v>12.5</v>
      </c>
      <c r="AL620" s="22" t="s">
        <v>1316</v>
      </c>
      <c r="AM620" s="22" t="s">
        <v>1316</v>
      </c>
      <c r="AN620" s="22" t="s">
        <v>1317</v>
      </c>
      <c r="AO620" s="22" t="s">
        <v>1318</v>
      </c>
      <c r="AP620" s="22" t="s">
        <v>1318</v>
      </c>
      <c r="AQ620" s="22" t="s">
        <v>1318</v>
      </c>
      <c r="AR620" s="22" t="s">
        <v>1317</v>
      </c>
      <c r="AS620" s="22" t="s">
        <v>1318</v>
      </c>
      <c r="AT620" s="22" t="s">
        <v>1317</v>
      </c>
      <c r="AU620" s="22" t="s">
        <v>1318</v>
      </c>
      <c r="AV620" s="22" t="s">
        <v>1317</v>
      </c>
      <c r="AW620" s="22" t="s">
        <v>1318</v>
      </c>
      <c r="AX620" s="22" t="s">
        <v>1317</v>
      </c>
      <c r="AY620" s="22" t="s">
        <v>1318</v>
      </c>
      <c r="AZ620" s="22" t="s">
        <v>1309</v>
      </c>
      <c r="BA620" s="22" t="s">
        <v>1311</v>
      </c>
      <c r="BB620" s="22" t="s">
        <v>1309</v>
      </c>
      <c r="BC620" s="22" t="s">
        <v>1311</v>
      </c>
      <c r="BD620" s="22" t="s">
        <v>1317</v>
      </c>
      <c r="BE620" s="22" t="s">
        <v>1318</v>
      </c>
      <c r="BF620" s="22" t="s">
        <v>1317</v>
      </c>
      <c r="BG620" s="22" t="s">
        <v>1311</v>
      </c>
      <c r="BH620" s="22" t="s">
        <v>1317</v>
      </c>
      <c r="BI620" s="22" t="s">
        <v>1318</v>
      </c>
      <c r="BJ620" s="22" t="s">
        <v>1317</v>
      </c>
      <c r="BK620" s="22" t="s">
        <v>1318</v>
      </c>
      <c r="BL620" s="22" t="s">
        <v>1319</v>
      </c>
      <c r="BM620" s="22" t="s">
        <v>1311</v>
      </c>
      <c r="BN620" s="22" t="s">
        <v>1319</v>
      </c>
      <c r="BO620" s="22" t="s">
        <v>1311</v>
      </c>
      <c r="BP620" s="22" t="s">
        <v>1315</v>
      </c>
      <c r="BQ620" s="22" t="s">
        <v>1315</v>
      </c>
      <c r="BR620" s="22" t="s">
        <v>1317</v>
      </c>
      <c r="BS620" s="22" t="s">
        <v>1311</v>
      </c>
      <c r="BT620" s="22" t="s">
        <v>1317</v>
      </c>
      <c r="BU620" s="22" t="s">
        <v>1318</v>
      </c>
      <c r="BV620" s="22" t="s">
        <v>1317</v>
      </c>
      <c r="BW620" s="22" t="s">
        <v>1318</v>
      </c>
      <c r="BX620" s="20">
        <v>0</v>
      </c>
      <c r="BY620" s="20">
        <v>0</v>
      </c>
      <c r="BZ620" s="20">
        <v>10</v>
      </c>
      <c r="CA620" s="20">
        <v>0</v>
      </c>
      <c r="CB620" s="20">
        <v>0</v>
      </c>
      <c r="CC620" s="20">
        <v>70</v>
      </c>
      <c r="CD620" s="22" t="s">
        <v>1317</v>
      </c>
      <c r="CE620" s="22" t="s">
        <v>1340</v>
      </c>
      <c r="CF620" s="22" t="s">
        <v>1317</v>
      </c>
      <c r="CG620" s="22" t="s">
        <v>1340</v>
      </c>
      <c r="CH620" s="22" t="s">
        <v>1317</v>
      </c>
      <c r="CI620" s="22" t="s">
        <v>1318</v>
      </c>
      <c r="CJ620" s="149" t="s">
        <v>2708</v>
      </c>
      <c r="CK620" s="241" t="s">
        <v>2709</v>
      </c>
    </row>
    <row r="621" spans="1:89" ht="15" customHeight="1" x14ac:dyDescent="0.35">
      <c r="A621" s="17"/>
      <c r="B621" s="313">
        <v>52075</v>
      </c>
      <c r="C621" s="8" t="s">
        <v>525</v>
      </c>
      <c r="D621" s="18">
        <v>14</v>
      </c>
      <c r="E621" s="131"/>
      <c r="F621" s="22"/>
      <c r="G621" s="132"/>
      <c r="H621" s="22"/>
      <c r="I621" s="22"/>
      <c r="J621" s="22"/>
      <c r="K621" s="22"/>
      <c r="L621" s="22"/>
      <c r="M621" s="133"/>
      <c r="N621" s="22"/>
      <c r="O621" s="22"/>
      <c r="P621" s="22"/>
      <c r="Q621" s="20"/>
      <c r="R621" s="20"/>
      <c r="S621" s="20"/>
      <c r="T621" s="20"/>
      <c r="U621" s="20"/>
      <c r="V621" s="20"/>
      <c r="W621" s="20"/>
      <c r="X621" s="20"/>
      <c r="Y621" s="20"/>
      <c r="Z621" s="20"/>
      <c r="AA621" s="20"/>
      <c r="AB621" s="22"/>
      <c r="AC621" s="20"/>
      <c r="AD621" s="20"/>
      <c r="AE621" s="20"/>
      <c r="AF621" s="20" t="s">
        <v>1124</v>
      </c>
      <c r="AG621" s="20" t="s">
        <v>1124</v>
      </c>
      <c r="AH621" s="20" t="s">
        <v>1124</v>
      </c>
      <c r="AI621" s="328"/>
      <c r="AJ621" s="328"/>
      <c r="AK621" s="328"/>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0"/>
      <c r="BY621" s="20"/>
      <c r="BZ621" s="20"/>
      <c r="CA621" s="20"/>
      <c r="CB621" s="20"/>
      <c r="CC621" s="20"/>
      <c r="CD621" s="22"/>
      <c r="CE621" s="22"/>
      <c r="CF621" s="22"/>
      <c r="CG621" s="22"/>
      <c r="CH621" s="22"/>
      <c r="CI621" s="22"/>
      <c r="CJ621" s="149"/>
      <c r="CK621" s="241"/>
    </row>
    <row r="622" spans="1:89" ht="15" customHeight="1" x14ac:dyDescent="0.35">
      <c r="A622" s="17"/>
      <c r="B622" s="313">
        <v>71045</v>
      </c>
      <c r="C622" s="8" t="s">
        <v>710</v>
      </c>
      <c r="D622" s="18">
        <v>16</v>
      </c>
      <c r="E622" s="131"/>
      <c r="F622" s="22"/>
      <c r="G622" s="132"/>
      <c r="H622" s="22"/>
      <c r="I622" s="22"/>
      <c r="J622" s="22"/>
      <c r="K622" s="22"/>
      <c r="L622" s="22"/>
      <c r="M622" s="133"/>
      <c r="N622" s="22"/>
      <c r="O622" s="22"/>
      <c r="P622" s="22"/>
      <c r="Q622" s="20"/>
      <c r="R622" s="20"/>
      <c r="S622" s="20"/>
      <c r="T622" s="20"/>
      <c r="U622" s="20"/>
      <c r="V622" s="20"/>
      <c r="W622" s="20"/>
      <c r="X622" s="20"/>
      <c r="Y622" s="20"/>
      <c r="Z622" s="20"/>
      <c r="AA622" s="20"/>
      <c r="AB622" s="22"/>
      <c r="AC622" s="20"/>
      <c r="AD622" s="20"/>
      <c r="AE622" s="20"/>
      <c r="AF622" s="20" t="s">
        <v>1124</v>
      </c>
      <c r="AG622" s="20" t="s">
        <v>1124</v>
      </c>
      <c r="AH622" s="20" t="s">
        <v>1124</v>
      </c>
      <c r="AI622" s="328"/>
      <c r="AJ622" s="328"/>
      <c r="AK622" s="328"/>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0"/>
      <c r="BY622" s="20"/>
      <c r="BZ622" s="20"/>
      <c r="CA622" s="20"/>
      <c r="CB622" s="20"/>
      <c r="CC622" s="20"/>
      <c r="CD622" s="22"/>
      <c r="CE622" s="22"/>
      <c r="CF622" s="22"/>
      <c r="CG622" s="22"/>
      <c r="CH622" s="22"/>
      <c r="CI622" s="22"/>
      <c r="CJ622" s="149"/>
      <c r="CK622" s="241"/>
    </row>
    <row r="623" spans="1:89" ht="15" customHeight="1" x14ac:dyDescent="0.35">
      <c r="A623" s="17"/>
      <c r="B623" s="313">
        <v>75005</v>
      </c>
      <c r="C623" s="8" t="s">
        <v>742</v>
      </c>
      <c r="D623" s="18">
        <v>15</v>
      </c>
      <c r="E623" s="131"/>
      <c r="F623" s="22"/>
      <c r="G623" s="132"/>
      <c r="H623" s="22"/>
      <c r="I623" s="22"/>
      <c r="J623" s="22"/>
      <c r="K623" s="22"/>
      <c r="L623" s="22"/>
      <c r="M623" s="133"/>
      <c r="N623" s="22"/>
      <c r="O623" s="22"/>
      <c r="P623" s="22"/>
      <c r="Q623" s="20"/>
      <c r="R623" s="20"/>
      <c r="S623" s="20"/>
      <c r="T623" s="20"/>
      <c r="U623" s="20"/>
      <c r="V623" s="20"/>
      <c r="W623" s="20"/>
      <c r="X623" s="20"/>
      <c r="Y623" s="20"/>
      <c r="Z623" s="20"/>
      <c r="AA623" s="20"/>
      <c r="AB623" s="22"/>
      <c r="AC623" s="20"/>
      <c r="AD623" s="20"/>
      <c r="AE623" s="20"/>
      <c r="AF623" s="20" t="s">
        <v>1124</v>
      </c>
      <c r="AG623" s="20" t="s">
        <v>1124</v>
      </c>
      <c r="AH623" s="20" t="s">
        <v>1124</v>
      </c>
      <c r="AI623" s="328"/>
      <c r="AJ623" s="328"/>
      <c r="AK623" s="328"/>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0"/>
      <c r="BY623" s="20"/>
      <c r="BZ623" s="20"/>
      <c r="CA623" s="20"/>
      <c r="CB623" s="20"/>
      <c r="CC623" s="20"/>
      <c r="CD623" s="22"/>
      <c r="CE623" s="22"/>
      <c r="CF623" s="22"/>
      <c r="CG623" s="22"/>
      <c r="CH623" s="22"/>
      <c r="CI623" s="22"/>
      <c r="CJ623" s="149"/>
      <c r="CK623" s="241"/>
    </row>
    <row r="624" spans="1:89" ht="15" customHeight="1" x14ac:dyDescent="0.35">
      <c r="A624" s="17"/>
      <c r="B624" s="313">
        <v>62065</v>
      </c>
      <c r="C624" s="8" t="s">
        <v>629</v>
      </c>
      <c r="D624" s="18">
        <v>14</v>
      </c>
      <c r="E624" s="131" t="s">
        <v>1309</v>
      </c>
      <c r="F624" s="22" t="s">
        <v>1309</v>
      </c>
      <c r="G624" s="132" t="s">
        <v>1309</v>
      </c>
      <c r="H624" s="22" t="s">
        <v>1311</v>
      </c>
      <c r="I624" s="22" t="s">
        <v>1327</v>
      </c>
      <c r="J624" s="22" t="s">
        <v>1327</v>
      </c>
      <c r="K624" s="22" t="s">
        <v>1314</v>
      </c>
      <c r="L624" s="22" t="s">
        <v>1311</v>
      </c>
      <c r="M624" s="133" t="s">
        <v>1311</v>
      </c>
      <c r="N624" s="22" t="s">
        <v>1311</v>
      </c>
      <c r="O624" s="22" t="s">
        <v>1315</v>
      </c>
      <c r="P624" s="22" t="s">
        <v>1318</v>
      </c>
      <c r="Q624" s="20">
        <v>0</v>
      </c>
      <c r="R624" s="20">
        <v>0</v>
      </c>
      <c r="S624" s="20">
        <v>0</v>
      </c>
      <c r="T624" s="20">
        <v>0</v>
      </c>
      <c r="U624" s="20">
        <v>26.263000000000002</v>
      </c>
      <c r="V624" s="20">
        <v>26.263000000000002</v>
      </c>
      <c r="W624" s="20">
        <v>0</v>
      </c>
      <c r="X624" s="20">
        <v>0</v>
      </c>
      <c r="Y624" s="20">
        <v>0</v>
      </c>
      <c r="Z624" s="20">
        <v>0</v>
      </c>
      <c r="AA624" s="20" t="s">
        <v>1319</v>
      </c>
      <c r="AB624" s="22" t="s">
        <v>1311</v>
      </c>
      <c r="AC624" s="20">
        <v>1</v>
      </c>
      <c r="AD624" s="20">
        <v>1</v>
      </c>
      <c r="AE624" s="20">
        <v>0</v>
      </c>
      <c r="AF624" s="20">
        <v>1</v>
      </c>
      <c r="AG624" s="20">
        <v>1</v>
      </c>
      <c r="AH624" s="20">
        <v>0</v>
      </c>
      <c r="AI624" s="328">
        <v>3.8595137012736394</v>
      </c>
      <c r="AJ624" s="328">
        <v>1.7123287671232876</v>
      </c>
      <c r="AK624" s="328" t="s">
        <v>1328</v>
      </c>
      <c r="AL624" s="22" t="s">
        <v>1329</v>
      </c>
      <c r="AM624" s="22" t="s">
        <v>1330</v>
      </c>
      <c r="AN624" s="22" t="s">
        <v>1315</v>
      </c>
      <c r="AO624" s="22" t="s">
        <v>1315</v>
      </c>
      <c r="AP624" s="22" t="s">
        <v>1315</v>
      </c>
      <c r="AQ624" s="22" t="s">
        <v>1315</v>
      </c>
      <c r="AR624" s="22" t="s">
        <v>1317</v>
      </c>
      <c r="AS624" s="22" t="s">
        <v>1318</v>
      </c>
      <c r="AT624" s="22" t="s">
        <v>1309</v>
      </c>
      <c r="AU624" s="22" t="s">
        <v>1309</v>
      </c>
      <c r="AV624" s="22" t="s">
        <v>1317</v>
      </c>
      <c r="AW624" s="22" t="s">
        <v>1318</v>
      </c>
      <c r="AX624" s="22" t="s">
        <v>1317</v>
      </c>
      <c r="AY624" s="22" t="s">
        <v>1318</v>
      </c>
      <c r="AZ624" s="22" t="s">
        <v>1317</v>
      </c>
      <c r="BA624" s="22" t="s">
        <v>1318</v>
      </c>
      <c r="BB624" s="22" t="s">
        <v>1309</v>
      </c>
      <c r="BC624" s="22" t="s">
        <v>1309</v>
      </c>
      <c r="BD624" s="22" t="s">
        <v>1317</v>
      </c>
      <c r="BE624" s="22" t="s">
        <v>1318</v>
      </c>
      <c r="BF624" s="22" t="s">
        <v>1317</v>
      </c>
      <c r="BG624" s="22" t="s">
        <v>1311</v>
      </c>
      <c r="BH624" s="22" t="s">
        <v>1317</v>
      </c>
      <c r="BI624" s="22" t="s">
        <v>1318</v>
      </c>
      <c r="BJ624" s="22" t="s">
        <v>1309</v>
      </c>
      <c r="BK624" s="22" t="s">
        <v>1309</v>
      </c>
      <c r="BL624" s="22" t="s">
        <v>1317</v>
      </c>
      <c r="BM624" s="22" t="s">
        <v>1318</v>
      </c>
      <c r="BN624" s="22" t="s">
        <v>1309</v>
      </c>
      <c r="BO624" s="22" t="s">
        <v>1309</v>
      </c>
      <c r="BP624" s="22" t="s">
        <v>1319</v>
      </c>
      <c r="BQ624" s="22" t="s">
        <v>1309</v>
      </c>
      <c r="BR624" s="22" t="s">
        <v>1309</v>
      </c>
      <c r="BS624" s="22" t="s">
        <v>1309</v>
      </c>
      <c r="BT624" s="22" t="s">
        <v>1317</v>
      </c>
      <c r="BU624" s="22" t="s">
        <v>1311</v>
      </c>
      <c r="BV624" s="22" t="s">
        <v>1317</v>
      </c>
      <c r="BW624" s="22" t="s">
        <v>1318</v>
      </c>
      <c r="BX624" s="20">
        <v>0</v>
      </c>
      <c r="BY624" s="20">
        <v>0</v>
      </c>
      <c r="BZ624" s="20">
        <v>43</v>
      </c>
      <c r="CA624" s="20">
        <v>0</v>
      </c>
      <c r="CB624" s="20">
        <v>0</v>
      </c>
      <c r="CC624" s="20">
        <v>541</v>
      </c>
      <c r="CD624" s="22" t="s">
        <v>1317</v>
      </c>
      <c r="CE624" s="22" t="s">
        <v>1321</v>
      </c>
      <c r="CF624" s="22" t="s">
        <v>1317</v>
      </c>
      <c r="CG624" s="22" t="s">
        <v>1321</v>
      </c>
      <c r="CH624" s="22" t="s">
        <v>1317</v>
      </c>
      <c r="CI624" s="22" t="s">
        <v>1318</v>
      </c>
      <c r="CJ624" s="149" t="s">
        <v>2713</v>
      </c>
      <c r="CK624" s="241" t="s">
        <v>2714</v>
      </c>
    </row>
    <row r="625" spans="1:89" ht="15" customHeight="1" x14ac:dyDescent="0.35">
      <c r="A625" s="17"/>
      <c r="B625" s="313">
        <v>29057</v>
      </c>
      <c r="C625" s="8" t="s">
        <v>209</v>
      </c>
      <c r="D625" s="18">
        <v>12</v>
      </c>
      <c r="E625" s="131" t="s">
        <v>1309</v>
      </c>
      <c r="F625" s="22" t="s">
        <v>1309</v>
      </c>
      <c r="G625" s="132" t="s">
        <v>1309</v>
      </c>
      <c r="H625" s="22" t="s">
        <v>1311</v>
      </c>
      <c r="I625" s="22" t="s">
        <v>1327</v>
      </c>
      <c r="J625" s="22" t="s">
        <v>1327</v>
      </c>
      <c r="K625" s="22" t="s">
        <v>1314</v>
      </c>
      <c r="L625" s="22" t="s">
        <v>1311</v>
      </c>
      <c r="M625" s="133" t="s">
        <v>1311</v>
      </c>
      <c r="N625" s="22" t="s">
        <v>1311</v>
      </c>
      <c r="O625" s="22" t="s">
        <v>1309</v>
      </c>
      <c r="P625" s="22" t="s">
        <v>1309</v>
      </c>
      <c r="Q625" s="20">
        <v>0</v>
      </c>
      <c r="R625" s="20">
        <v>0</v>
      </c>
      <c r="S625" s="20">
        <v>116.6</v>
      </c>
      <c r="T625" s="20">
        <v>116.6</v>
      </c>
      <c r="U625" s="20">
        <v>0</v>
      </c>
      <c r="V625" s="20">
        <v>0</v>
      </c>
      <c r="W625" s="20">
        <v>0</v>
      </c>
      <c r="X625" s="20">
        <v>0</v>
      </c>
      <c r="Y625" s="20">
        <v>0</v>
      </c>
      <c r="Z625" s="20">
        <v>0</v>
      </c>
      <c r="AA625" s="20" t="s">
        <v>1309</v>
      </c>
      <c r="AB625" s="22" t="s">
        <v>1309</v>
      </c>
      <c r="AC625" s="20">
        <v>26</v>
      </c>
      <c r="AD625" s="20">
        <v>0</v>
      </c>
      <c r="AE625" s="20">
        <v>3</v>
      </c>
      <c r="AF625" s="20">
        <v>5</v>
      </c>
      <c r="AG625" s="20">
        <v>0</v>
      </c>
      <c r="AH625" s="20">
        <v>15</v>
      </c>
      <c r="AI625" s="328">
        <v>89.193825042881656</v>
      </c>
      <c r="AJ625" s="328" t="s">
        <v>1328</v>
      </c>
      <c r="AK625" s="328">
        <v>3.1914893617021276</v>
      </c>
      <c r="AL625" s="22" t="s">
        <v>1329</v>
      </c>
      <c r="AM625" s="22" t="s">
        <v>1330</v>
      </c>
      <c r="AN625" s="22" t="s">
        <v>1347</v>
      </c>
      <c r="AO625" s="22" t="s">
        <v>1309</v>
      </c>
      <c r="AP625" s="22" t="s">
        <v>1350</v>
      </c>
      <c r="AQ625" s="22" t="s">
        <v>1318</v>
      </c>
      <c r="AR625" s="22" t="s">
        <v>1317</v>
      </c>
      <c r="AS625" s="22" t="s">
        <v>1318</v>
      </c>
      <c r="AT625" s="22" t="s">
        <v>1317</v>
      </c>
      <c r="AU625" s="22" t="s">
        <v>1318</v>
      </c>
      <c r="AV625" s="22" t="s">
        <v>1317</v>
      </c>
      <c r="AW625" s="22" t="s">
        <v>1318</v>
      </c>
      <c r="AX625" s="22" t="s">
        <v>1317</v>
      </c>
      <c r="AY625" s="22" t="s">
        <v>1318</v>
      </c>
      <c r="AZ625" s="22" t="s">
        <v>1317</v>
      </c>
      <c r="BA625" s="22" t="s">
        <v>1318</v>
      </c>
      <c r="BB625" s="22" t="s">
        <v>1309</v>
      </c>
      <c r="BC625" s="22" t="s">
        <v>1309</v>
      </c>
      <c r="BD625" s="22" t="s">
        <v>1309</v>
      </c>
      <c r="BE625" s="22" t="s">
        <v>1309</v>
      </c>
      <c r="BF625" s="22" t="s">
        <v>1309</v>
      </c>
      <c r="BG625" s="22" t="s">
        <v>1309</v>
      </c>
      <c r="BH625" s="22" t="s">
        <v>1317</v>
      </c>
      <c r="BI625" s="22" t="s">
        <v>1311</v>
      </c>
      <c r="BJ625" s="22" t="s">
        <v>1317</v>
      </c>
      <c r="BK625" s="22" t="s">
        <v>1318</v>
      </c>
      <c r="BL625" s="22" t="s">
        <v>1317</v>
      </c>
      <c r="BM625" s="22" t="s">
        <v>1318</v>
      </c>
      <c r="BN625" s="22" t="s">
        <v>1317</v>
      </c>
      <c r="BO625" s="22" t="s">
        <v>1318</v>
      </c>
      <c r="BP625" s="22" t="s">
        <v>1317</v>
      </c>
      <c r="BQ625" s="22" t="s">
        <v>1318</v>
      </c>
      <c r="BR625" s="22" t="s">
        <v>1317</v>
      </c>
      <c r="BS625" s="22" t="s">
        <v>1318</v>
      </c>
      <c r="BT625" s="22" t="s">
        <v>1315</v>
      </c>
      <c r="BU625" s="22" t="s">
        <v>1315</v>
      </c>
      <c r="BV625" s="22" t="s">
        <v>1317</v>
      </c>
      <c r="BW625" s="22" t="s">
        <v>1311</v>
      </c>
      <c r="BX625" s="20">
        <v>40</v>
      </c>
      <c r="BY625" s="20">
        <v>10</v>
      </c>
      <c r="BZ625" s="20">
        <v>0</v>
      </c>
      <c r="CA625" s="20">
        <v>890</v>
      </c>
      <c r="CB625" s="20">
        <v>0</v>
      </c>
      <c r="CC625" s="20">
        <v>0</v>
      </c>
      <c r="CD625" s="22" t="s">
        <v>1331</v>
      </c>
      <c r="CE625" s="22" t="s">
        <v>1331</v>
      </c>
      <c r="CF625" s="22" t="s">
        <v>1331</v>
      </c>
      <c r="CG625" s="22" t="s">
        <v>1331</v>
      </c>
      <c r="CH625" s="22" t="s">
        <v>1317</v>
      </c>
      <c r="CI625" s="22" t="s">
        <v>1318</v>
      </c>
      <c r="CJ625" s="149" t="s">
        <v>2718</v>
      </c>
      <c r="CK625" s="241" t="s">
        <v>2719</v>
      </c>
    </row>
    <row r="626" spans="1:89" ht="15" customHeight="1" x14ac:dyDescent="0.35">
      <c r="A626" s="17"/>
      <c r="B626" s="313">
        <v>67035</v>
      </c>
      <c r="C626" s="8" t="s">
        <v>668</v>
      </c>
      <c r="D626" s="18">
        <v>16</v>
      </c>
      <c r="E626" s="131"/>
      <c r="F626" s="22"/>
      <c r="G626" s="132"/>
      <c r="H626" s="22"/>
      <c r="I626" s="22"/>
      <c r="J626" s="22"/>
      <c r="K626" s="22"/>
      <c r="L626" s="22"/>
      <c r="M626" s="133"/>
      <c r="N626" s="22"/>
      <c r="O626" s="22"/>
      <c r="P626" s="22"/>
      <c r="Q626" s="20"/>
      <c r="R626" s="20"/>
      <c r="S626" s="20"/>
      <c r="T626" s="20"/>
      <c r="U626" s="20"/>
      <c r="V626" s="20"/>
      <c r="W626" s="20"/>
      <c r="X626" s="20"/>
      <c r="Y626" s="20"/>
      <c r="Z626" s="20"/>
      <c r="AA626" s="20"/>
      <c r="AB626" s="22"/>
      <c r="AC626" s="20"/>
      <c r="AD626" s="20"/>
      <c r="AE626" s="20"/>
      <c r="AF626" s="20" t="s">
        <v>1124</v>
      </c>
      <c r="AG626" s="20" t="s">
        <v>1124</v>
      </c>
      <c r="AH626" s="20" t="s">
        <v>1124</v>
      </c>
      <c r="AI626" s="328"/>
      <c r="AJ626" s="328"/>
      <c r="AK626" s="328"/>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0"/>
      <c r="BY626" s="20"/>
      <c r="BZ626" s="20"/>
      <c r="CA626" s="20"/>
      <c r="CB626" s="20"/>
      <c r="CC626" s="20"/>
      <c r="CD626" s="22"/>
      <c r="CE626" s="22"/>
      <c r="CF626" s="22"/>
      <c r="CG626" s="22"/>
      <c r="CH626" s="22"/>
      <c r="CI626" s="22"/>
      <c r="CJ626" s="149"/>
      <c r="CK626" s="241"/>
    </row>
    <row r="627" spans="1:89" ht="15" customHeight="1" x14ac:dyDescent="0.35">
      <c r="A627" s="17"/>
      <c r="B627" s="313">
        <v>52062</v>
      </c>
      <c r="C627" s="8" t="s">
        <v>523</v>
      </c>
      <c r="D627" s="18">
        <v>14</v>
      </c>
      <c r="E627" s="131"/>
      <c r="F627" s="22"/>
      <c r="G627" s="132"/>
      <c r="H627" s="22"/>
      <c r="I627" s="22"/>
      <c r="J627" s="22"/>
      <c r="K627" s="22"/>
      <c r="L627" s="22"/>
      <c r="M627" s="133"/>
      <c r="N627" s="22"/>
      <c r="O627" s="22"/>
      <c r="P627" s="22"/>
      <c r="Q627" s="20"/>
      <c r="R627" s="20"/>
      <c r="S627" s="20"/>
      <c r="T627" s="20"/>
      <c r="U627" s="20"/>
      <c r="V627" s="20"/>
      <c r="W627" s="20"/>
      <c r="X627" s="20"/>
      <c r="Y627" s="20"/>
      <c r="Z627" s="20"/>
      <c r="AA627" s="20"/>
      <c r="AB627" s="22"/>
      <c r="AC627" s="20"/>
      <c r="AD627" s="20"/>
      <c r="AE627" s="20"/>
      <c r="AF627" s="20" t="s">
        <v>1124</v>
      </c>
      <c r="AG627" s="20" t="s">
        <v>1124</v>
      </c>
      <c r="AH627" s="20" t="s">
        <v>1124</v>
      </c>
      <c r="AI627" s="328"/>
      <c r="AJ627" s="328"/>
      <c r="AK627" s="328"/>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0"/>
      <c r="BY627" s="20"/>
      <c r="BZ627" s="20"/>
      <c r="CA627" s="20"/>
      <c r="CB627" s="20"/>
      <c r="CC627" s="20"/>
      <c r="CD627" s="22"/>
      <c r="CE627" s="22"/>
      <c r="CF627" s="22"/>
      <c r="CG627" s="22"/>
      <c r="CH627" s="22"/>
      <c r="CI627" s="22"/>
      <c r="CJ627" s="149"/>
      <c r="CK627" s="241"/>
    </row>
    <row r="628" spans="1:89" ht="15" customHeight="1" x14ac:dyDescent="0.35">
      <c r="A628" s="17"/>
      <c r="B628" s="313">
        <v>12005</v>
      </c>
      <c r="C628" s="8" t="s">
        <v>28</v>
      </c>
      <c r="D628" s="18">
        <v>1</v>
      </c>
      <c r="E628" s="131" t="s">
        <v>1309</v>
      </c>
      <c r="F628" s="22" t="s">
        <v>1309</v>
      </c>
      <c r="G628" s="132" t="s">
        <v>1309</v>
      </c>
      <c r="H628" s="22" t="s">
        <v>1311</v>
      </c>
      <c r="I628" s="22" t="s">
        <v>1327</v>
      </c>
      <c r="J628" s="22" t="s">
        <v>1327</v>
      </c>
      <c r="K628" s="22" t="s">
        <v>1319</v>
      </c>
      <c r="L628" s="22" t="s">
        <v>1311</v>
      </c>
      <c r="M628" s="133" t="s">
        <v>1311</v>
      </c>
      <c r="N628" s="22" t="s">
        <v>1311</v>
      </c>
      <c r="O628" s="22" t="s">
        <v>1309</v>
      </c>
      <c r="P628" s="22" t="s">
        <v>1309</v>
      </c>
      <c r="Q628" s="20">
        <v>10.739000000000001</v>
      </c>
      <c r="R628" s="20">
        <v>10.739000000000001</v>
      </c>
      <c r="S628" s="20">
        <v>0</v>
      </c>
      <c r="T628" s="20">
        <v>0</v>
      </c>
      <c r="U628" s="20">
        <v>0</v>
      </c>
      <c r="V628" s="20">
        <v>0</v>
      </c>
      <c r="W628" s="20">
        <v>0</v>
      </c>
      <c r="X628" s="20">
        <v>0</v>
      </c>
      <c r="Y628" s="20">
        <v>0</v>
      </c>
      <c r="Z628" s="20">
        <v>0</v>
      </c>
      <c r="AA628" s="20" t="s">
        <v>1317</v>
      </c>
      <c r="AB628" s="22" t="s">
        <v>1318</v>
      </c>
      <c r="AC628" s="20">
        <v>0</v>
      </c>
      <c r="AD628" s="20">
        <v>0</v>
      </c>
      <c r="AE628" s="20">
        <v>0</v>
      </c>
      <c r="AF628" s="20">
        <v>0</v>
      </c>
      <c r="AG628" s="20">
        <v>0</v>
      </c>
      <c r="AH628" s="20">
        <v>0</v>
      </c>
      <c r="AI628" s="328" t="s">
        <v>1328</v>
      </c>
      <c r="AJ628" s="328" t="s">
        <v>1328</v>
      </c>
      <c r="AK628" s="328" t="s">
        <v>1328</v>
      </c>
      <c r="AL628" s="22" t="s">
        <v>1316</v>
      </c>
      <c r="AM628" s="22" t="s">
        <v>1316</v>
      </c>
      <c r="AN628" s="22" t="s">
        <v>1347</v>
      </c>
      <c r="AO628" s="22" t="s">
        <v>1309</v>
      </c>
      <c r="AP628" s="22" t="s">
        <v>1350</v>
      </c>
      <c r="AQ628" s="22" t="s">
        <v>1348</v>
      </c>
      <c r="AR628" s="22" t="s">
        <v>1317</v>
      </c>
      <c r="AS628" s="22" t="s">
        <v>1318</v>
      </c>
      <c r="AT628" s="22" t="s">
        <v>1317</v>
      </c>
      <c r="AU628" s="22" t="s">
        <v>1318</v>
      </c>
      <c r="AV628" s="22" t="s">
        <v>1317</v>
      </c>
      <c r="AW628" s="22" t="s">
        <v>1318</v>
      </c>
      <c r="AX628" s="22" t="s">
        <v>1317</v>
      </c>
      <c r="AY628" s="22" t="s">
        <v>1318</v>
      </c>
      <c r="AZ628" s="22" t="s">
        <v>1309</v>
      </c>
      <c r="BA628" s="22" t="s">
        <v>1309</v>
      </c>
      <c r="BB628" s="22" t="s">
        <v>1309</v>
      </c>
      <c r="BC628" s="22" t="s">
        <v>1309</v>
      </c>
      <c r="BD628" s="22" t="s">
        <v>1319</v>
      </c>
      <c r="BE628" s="22" t="s">
        <v>1311</v>
      </c>
      <c r="BF628" s="22" t="s">
        <v>1317</v>
      </c>
      <c r="BG628" s="22" t="s">
        <v>1318</v>
      </c>
      <c r="BH628" s="22" t="s">
        <v>1309</v>
      </c>
      <c r="BI628" s="22" t="s">
        <v>1309</v>
      </c>
      <c r="BJ628" s="22" t="s">
        <v>1309</v>
      </c>
      <c r="BK628" s="22" t="s">
        <v>1309</v>
      </c>
      <c r="BL628" s="22" t="s">
        <v>1317</v>
      </c>
      <c r="BM628" s="22" t="s">
        <v>1318</v>
      </c>
      <c r="BN628" s="22" t="s">
        <v>1317</v>
      </c>
      <c r="BO628" s="22" t="s">
        <v>1318</v>
      </c>
      <c r="BP628" s="22" t="s">
        <v>1315</v>
      </c>
      <c r="BQ628" s="22" t="s">
        <v>1315</v>
      </c>
      <c r="BR628" s="22" t="s">
        <v>1317</v>
      </c>
      <c r="BS628" s="22" t="s">
        <v>1318</v>
      </c>
      <c r="BT628" s="22" t="s">
        <v>1317</v>
      </c>
      <c r="BU628" s="22" t="s">
        <v>1318</v>
      </c>
      <c r="BV628" s="22" t="s">
        <v>1309</v>
      </c>
      <c r="BW628" s="22" t="s">
        <v>1309</v>
      </c>
      <c r="BX628" s="20">
        <v>2</v>
      </c>
      <c r="BY628" s="20">
        <v>1</v>
      </c>
      <c r="BZ628" s="20">
        <v>35</v>
      </c>
      <c r="CA628" s="20">
        <v>0</v>
      </c>
      <c r="CB628" s="20">
        <v>0</v>
      </c>
      <c r="CC628" s="20">
        <v>301</v>
      </c>
      <c r="CD628" s="22" t="s">
        <v>1320</v>
      </c>
      <c r="CE628" s="22" t="s">
        <v>1318</v>
      </c>
      <c r="CF628" s="22" t="s">
        <v>1317</v>
      </c>
      <c r="CG628" s="22" t="s">
        <v>1318</v>
      </c>
      <c r="CH628" s="22" t="s">
        <v>1317</v>
      </c>
      <c r="CI628" s="22" t="s">
        <v>1318</v>
      </c>
      <c r="CJ628" s="149" t="s">
        <v>1124</v>
      </c>
      <c r="CK628" s="241" t="s">
        <v>1358</v>
      </c>
    </row>
    <row r="629" spans="1:89" ht="15" customHeight="1" x14ac:dyDescent="0.35">
      <c r="A629" s="17"/>
      <c r="B629" s="313">
        <v>28040</v>
      </c>
      <c r="C629" s="8" t="s">
        <v>194</v>
      </c>
      <c r="D629" s="18">
        <v>12</v>
      </c>
      <c r="E629" s="131"/>
      <c r="F629" s="22"/>
      <c r="G629" s="132"/>
      <c r="H629" s="22"/>
      <c r="I629" s="22"/>
      <c r="J629" s="22"/>
      <c r="K629" s="22"/>
      <c r="L629" s="22"/>
      <c r="M629" s="133"/>
      <c r="N629" s="22"/>
      <c r="O629" s="22"/>
      <c r="P629" s="22"/>
      <c r="Q629" s="20"/>
      <c r="R629" s="20"/>
      <c r="S629" s="20"/>
      <c r="T629" s="20"/>
      <c r="U629" s="20"/>
      <c r="V629" s="20"/>
      <c r="W629" s="20"/>
      <c r="X629" s="20"/>
      <c r="Y629" s="20"/>
      <c r="Z629" s="20"/>
      <c r="AA629" s="20"/>
      <c r="AB629" s="22"/>
      <c r="AC629" s="20"/>
      <c r="AD629" s="20"/>
      <c r="AE629" s="20"/>
      <c r="AF629" s="20" t="s">
        <v>1124</v>
      </c>
      <c r="AG629" s="20" t="s">
        <v>1124</v>
      </c>
      <c r="AH629" s="20" t="s">
        <v>1124</v>
      </c>
      <c r="AI629" s="328"/>
      <c r="AJ629" s="328"/>
      <c r="AK629" s="328"/>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0"/>
      <c r="BY629" s="20"/>
      <c r="BZ629" s="20"/>
      <c r="CA629" s="20"/>
      <c r="CB629" s="20"/>
      <c r="CC629" s="20"/>
      <c r="CD629" s="22"/>
      <c r="CE629" s="22"/>
      <c r="CF629" s="22"/>
      <c r="CG629" s="22"/>
      <c r="CH629" s="22"/>
      <c r="CI629" s="22"/>
      <c r="CJ629" s="149"/>
      <c r="CK629" s="241"/>
    </row>
    <row r="630" spans="1:89" ht="15" customHeight="1" x14ac:dyDescent="0.35">
      <c r="A630" s="17"/>
      <c r="B630" s="313">
        <v>68035</v>
      </c>
      <c r="C630" s="8" t="s">
        <v>679</v>
      </c>
      <c r="D630" s="18">
        <v>16</v>
      </c>
      <c r="E630" s="131" t="s">
        <v>1309</v>
      </c>
      <c r="F630" s="22" t="s">
        <v>1310</v>
      </c>
      <c r="G630" s="132" t="s">
        <v>1309</v>
      </c>
      <c r="H630" s="22" t="s">
        <v>1311</v>
      </c>
      <c r="I630" s="22" t="s">
        <v>1312</v>
      </c>
      <c r="J630" s="22" t="s">
        <v>1315</v>
      </c>
      <c r="K630" s="22" t="s">
        <v>1314</v>
      </c>
      <c r="L630" s="22" t="s">
        <v>1311</v>
      </c>
      <c r="M630" s="133" t="s">
        <v>1311</v>
      </c>
      <c r="N630" s="22" t="s">
        <v>1311</v>
      </c>
      <c r="O630" s="22" t="s">
        <v>1315</v>
      </c>
      <c r="P630" s="22" t="s">
        <v>1318</v>
      </c>
      <c r="Q630" s="20">
        <v>0</v>
      </c>
      <c r="R630" s="20">
        <v>0</v>
      </c>
      <c r="S630" s="20">
        <v>4.3760000000000003</v>
      </c>
      <c r="T630" s="20">
        <v>4.3760000000000003</v>
      </c>
      <c r="U630" s="20">
        <v>0</v>
      </c>
      <c r="V630" s="20">
        <v>0</v>
      </c>
      <c r="W630" s="20">
        <v>0</v>
      </c>
      <c r="X630" s="20">
        <v>0</v>
      </c>
      <c r="Y630" s="20">
        <v>0</v>
      </c>
      <c r="Z630" s="20">
        <v>0</v>
      </c>
      <c r="AA630" s="20" t="s">
        <v>1317</v>
      </c>
      <c r="AB630" s="22" t="s">
        <v>1318</v>
      </c>
      <c r="AC630" s="20">
        <v>0</v>
      </c>
      <c r="AD630" s="20">
        <v>0</v>
      </c>
      <c r="AE630" s="20">
        <v>2</v>
      </c>
      <c r="AF630" s="20">
        <v>0</v>
      </c>
      <c r="AG630" s="20">
        <v>0</v>
      </c>
      <c r="AH630" s="20">
        <v>7</v>
      </c>
      <c r="AI630" s="328" t="s">
        <v>1328</v>
      </c>
      <c r="AJ630" s="328" t="s">
        <v>1328</v>
      </c>
      <c r="AK630" s="328">
        <v>9.5693779904306222</v>
      </c>
      <c r="AL630" s="22" t="s">
        <v>1329</v>
      </c>
      <c r="AM630" s="22" t="s">
        <v>1330</v>
      </c>
      <c r="AN630" s="22" t="s">
        <v>1526</v>
      </c>
      <c r="AO630" s="22" t="s">
        <v>1318</v>
      </c>
      <c r="AP630" s="22" t="s">
        <v>1526</v>
      </c>
      <c r="AQ630" s="22" t="s">
        <v>1318</v>
      </c>
      <c r="AR630" s="22" t="s">
        <v>1317</v>
      </c>
      <c r="AS630" s="22" t="s">
        <v>1311</v>
      </c>
      <c r="AT630" s="22" t="s">
        <v>1317</v>
      </c>
      <c r="AU630" s="22" t="s">
        <v>1318</v>
      </c>
      <c r="AV630" s="22" t="s">
        <v>1317</v>
      </c>
      <c r="AW630" s="22" t="s">
        <v>1318</v>
      </c>
      <c r="AX630" s="22" t="s">
        <v>1317</v>
      </c>
      <c r="AY630" s="22" t="s">
        <v>1318</v>
      </c>
      <c r="AZ630" s="22" t="s">
        <v>1309</v>
      </c>
      <c r="BA630" s="22" t="s">
        <v>1311</v>
      </c>
      <c r="BB630" s="22" t="s">
        <v>1309</v>
      </c>
      <c r="BC630" s="22" t="s">
        <v>1311</v>
      </c>
      <c r="BD630" s="22" t="s">
        <v>1317</v>
      </c>
      <c r="BE630" s="22" t="s">
        <v>1318</v>
      </c>
      <c r="BF630" s="22" t="s">
        <v>1317</v>
      </c>
      <c r="BG630" s="22" t="s">
        <v>1318</v>
      </c>
      <c r="BH630" s="22" t="s">
        <v>1309</v>
      </c>
      <c r="BI630" s="22" t="s">
        <v>1309</v>
      </c>
      <c r="BJ630" s="22" t="s">
        <v>1317</v>
      </c>
      <c r="BK630" s="22" t="s">
        <v>1318</v>
      </c>
      <c r="BL630" s="22" t="s">
        <v>1317</v>
      </c>
      <c r="BM630" s="22" t="s">
        <v>1318</v>
      </c>
      <c r="BN630" s="22" t="s">
        <v>1317</v>
      </c>
      <c r="BO630" s="22" t="s">
        <v>1318</v>
      </c>
      <c r="BP630" s="22" t="s">
        <v>1315</v>
      </c>
      <c r="BQ630" s="22" t="s">
        <v>1315</v>
      </c>
      <c r="BR630" s="22" t="s">
        <v>1309</v>
      </c>
      <c r="BS630" s="22" t="s">
        <v>1311</v>
      </c>
      <c r="BT630" s="22" t="s">
        <v>1309</v>
      </c>
      <c r="BU630" s="22" t="s">
        <v>1311</v>
      </c>
      <c r="BV630" s="22" t="s">
        <v>1309</v>
      </c>
      <c r="BW630" s="22" t="s">
        <v>1311</v>
      </c>
      <c r="BX630" s="20">
        <v>0</v>
      </c>
      <c r="BY630" s="20">
        <v>0</v>
      </c>
      <c r="BZ630" s="20">
        <v>18</v>
      </c>
      <c r="CA630" s="20">
        <v>0</v>
      </c>
      <c r="CB630" s="20">
        <v>0</v>
      </c>
      <c r="CC630" s="20">
        <v>191</v>
      </c>
      <c r="CD630" s="22" t="s">
        <v>1317</v>
      </c>
      <c r="CE630" s="22" t="s">
        <v>1318</v>
      </c>
      <c r="CF630" s="22" t="s">
        <v>1317</v>
      </c>
      <c r="CG630" s="22" t="s">
        <v>1318</v>
      </c>
      <c r="CH630" s="22" t="s">
        <v>1317</v>
      </c>
      <c r="CI630" s="22" t="s">
        <v>1318</v>
      </c>
      <c r="CJ630" s="149" t="s">
        <v>1124</v>
      </c>
      <c r="CK630" s="241" t="s">
        <v>2727</v>
      </c>
    </row>
    <row r="631" spans="1:89" ht="15" customHeight="1" x14ac:dyDescent="0.35">
      <c r="A631" s="17"/>
      <c r="B631" s="313">
        <v>17045</v>
      </c>
      <c r="C631" s="8" t="s">
        <v>98</v>
      </c>
      <c r="D631" s="18">
        <v>12</v>
      </c>
      <c r="E631" s="131"/>
      <c r="F631" s="22"/>
      <c r="G631" s="132"/>
      <c r="H631" s="22"/>
      <c r="I631" s="22"/>
      <c r="J631" s="22"/>
      <c r="K631" s="22"/>
      <c r="L631" s="22"/>
      <c r="M631" s="133"/>
      <c r="N631" s="22"/>
      <c r="O631" s="22"/>
      <c r="P631" s="22"/>
      <c r="Q631" s="20"/>
      <c r="R631" s="20"/>
      <c r="S631" s="20"/>
      <c r="T631" s="20"/>
      <c r="U631" s="20"/>
      <c r="V631" s="20"/>
      <c r="W631" s="20"/>
      <c r="X631" s="20"/>
      <c r="Y631" s="20"/>
      <c r="Z631" s="20"/>
      <c r="AA631" s="20"/>
      <c r="AB631" s="22"/>
      <c r="AC631" s="20"/>
      <c r="AD631" s="20"/>
      <c r="AE631" s="20"/>
      <c r="AF631" s="20" t="s">
        <v>1124</v>
      </c>
      <c r="AG631" s="20" t="s">
        <v>1124</v>
      </c>
      <c r="AH631" s="20" t="s">
        <v>1124</v>
      </c>
      <c r="AI631" s="328"/>
      <c r="AJ631" s="328"/>
      <c r="AK631" s="328"/>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0"/>
      <c r="BY631" s="20"/>
      <c r="BZ631" s="20"/>
      <c r="CA631" s="20"/>
      <c r="CB631" s="20"/>
      <c r="CC631" s="20"/>
      <c r="CD631" s="22"/>
      <c r="CE631" s="22"/>
      <c r="CF631" s="22"/>
      <c r="CG631" s="22"/>
      <c r="CH631" s="22"/>
      <c r="CI631" s="22"/>
      <c r="CJ631" s="149"/>
      <c r="CK631" s="241"/>
    </row>
    <row r="632" spans="1:89" ht="15" customHeight="1" x14ac:dyDescent="0.35">
      <c r="A632" s="17"/>
      <c r="B632" s="313">
        <v>49070</v>
      </c>
      <c r="C632" s="8" t="s">
        <v>472</v>
      </c>
      <c r="D632" s="18">
        <v>17</v>
      </c>
      <c r="E632" s="131" t="s">
        <v>1309</v>
      </c>
      <c r="F632" s="22" t="s">
        <v>1309</v>
      </c>
      <c r="G632" s="132" t="s">
        <v>1309</v>
      </c>
      <c r="H632" s="22" t="s">
        <v>1311</v>
      </c>
      <c r="I632" s="22" t="s">
        <v>1327</v>
      </c>
      <c r="J632" s="22" t="s">
        <v>1327</v>
      </c>
      <c r="K632" s="22" t="s">
        <v>1309</v>
      </c>
      <c r="L632" s="22" t="s">
        <v>1309</v>
      </c>
      <c r="M632" s="133" t="s">
        <v>1311</v>
      </c>
      <c r="N632" s="22" t="s">
        <v>1311</v>
      </c>
      <c r="O632" s="22" t="s">
        <v>1309</v>
      </c>
      <c r="P632" s="22" t="s">
        <v>1309</v>
      </c>
      <c r="Q632" s="20">
        <v>24.986000000000001</v>
      </c>
      <c r="R632" s="20">
        <v>24.986000000000001</v>
      </c>
      <c r="S632" s="20">
        <v>0</v>
      </c>
      <c r="T632" s="20">
        <v>0</v>
      </c>
      <c r="U632" s="20">
        <v>0</v>
      </c>
      <c r="V632" s="20">
        <v>0</v>
      </c>
      <c r="W632" s="20">
        <v>0</v>
      </c>
      <c r="X632" s="20">
        <v>0</v>
      </c>
      <c r="Y632" s="20">
        <v>0</v>
      </c>
      <c r="Z632" s="20">
        <v>0</v>
      </c>
      <c r="AA632" s="20" t="s">
        <v>1317</v>
      </c>
      <c r="AB632" s="22" t="s">
        <v>1318</v>
      </c>
      <c r="AC632" s="20">
        <v>4</v>
      </c>
      <c r="AD632" s="20">
        <v>1</v>
      </c>
      <c r="AE632" s="20">
        <v>1</v>
      </c>
      <c r="AF632" s="20">
        <v>1</v>
      </c>
      <c r="AG632" s="20">
        <v>1</v>
      </c>
      <c r="AH632" s="20">
        <v>4</v>
      </c>
      <c r="AI632" s="328">
        <v>16.008965020411431</v>
      </c>
      <c r="AJ632" s="328">
        <v>1.1834319526627219</v>
      </c>
      <c r="AK632" s="328">
        <v>1.1834319526627219</v>
      </c>
      <c r="AL632" s="22" t="s">
        <v>1329</v>
      </c>
      <c r="AM632" s="22" t="s">
        <v>1330</v>
      </c>
      <c r="AN632" s="22" t="s">
        <v>1315</v>
      </c>
      <c r="AO632" s="22" t="s">
        <v>1315</v>
      </c>
      <c r="AP632" s="22" t="s">
        <v>1315</v>
      </c>
      <c r="AQ632" s="22" t="s">
        <v>1315</v>
      </c>
      <c r="AR632" s="22" t="s">
        <v>1317</v>
      </c>
      <c r="AS632" s="22" t="s">
        <v>1318</v>
      </c>
      <c r="AT632" s="22" t="s">
        <v>1309</v>
      </c>
      <c r="AU632" s="22" t="s">
        <v>1311</v>
      </c>
      <c r="AV632" s="22" t="s">
        <v>1317</v>
      </c>
      <c r="AW632" s="22" t="s">
        <v>1318</v>
      </c>
      <c r="AX632" s="22" t="s">
        <v>1317</v>
      </c>
      <c r="AY632" s="22" t="s">
        <v>1318</v>
      </c>
      <c r="AZ632" s="22" t="s">
        <v>1309</v>
      </c>
      <c r="BA632" s="22" t="s">
        <v>1309</v>
      </c>
      <c r="BB632" s="22" t="s">
        <v>1309</v>
      </c>
      <c r="BC632" s="22" t="s">
        <v>1309</v>
      </c>
      <c r="BD632" s="22" t="s">
        <v>1309</v>
      </c>
      <c r="BE632" s="22" t="s">
        <v>1309</v>
      </c>
      <c r="BF632" s="22" t="s">
        <v>1309</v>
      </c>
      <c r="BG632" s="22" t="s">
        <v>1309</v>
      </c>
      <c r="BH632" s="22" t="s">
        <v>1317</v>
      </c>
      <c r="BI632" s="22" t="s">
        <v>1311</v>
      </c>
      <c r="BJ632" s="22" t="s">
        <v>1317</v>
      </c>
      <c r="BK632" s="22" t="s">
        <v>1318</v>
      </c>
      <c r="BL632" s="22" t="s">
        <v>1319</v>
      </c>
      <c r="BM632" s="22" t="s">
        <v>1311</v>
      </c>
      <c r="BN632" s="22" t="s">
        <v>1309</v>
      </c>
      <c r="BO632" s="22" t="s">
        <v>1309</v>
      </c>
      <c r="BP632" s="22" t="s">
        <v>1315</v>
      </c>
      <c r="BQ632" s="22" t="s">
        <v>1315</v>
      </c>
      <c r="BR632" s="22" t="s">
        <v>1309</v>
      </c>
      <c r="BS632" s="22" t="s">
        <v>1309</v>
      </c>
      <c r="BT632" s="22" t="s">
        <v>1309</v>
      </c>
      <c r="BU632" s="22" t="s">
        <v>1309</v>
      </c>
      <c r="BV632" s="22" t="s">
        <v>1309</v>
      </c>
      <c r="BW632" s="22" t="s">
        <v>1309</v>
      </c>
      <c r="BX632" s="20">
        <v>39</v>
      </c>
      <c r="BY632" s="20">
        <v>0</v>
      </c>
      <c r="BZ632" s="20">
        <v>0</v>
      </c>
      <c r="CA632" s="20">
        <v>760</v>
      </c>
      <c r="CB632" s="20">
        <v>1</v>
      </c>
      <c r="CC632" s="20">
        <v>45</v>
      </c>
      <c r="CD632" s="22" t="s">
        <v>1331</v>
      </c>
      <c r="CE632" s="22" t="s">
        <v>1331</v>
      </c>
      <c r="CF632" s="22" t="s">
        <v>1331</v>
      </c>
      <c r="CG632" s="22" t="s">
        <v>1331</v>
      </c>
      <c r="CH632" s="22" t="s">
        <v>1315</v>
      </c>
      <c r="CI632" s="22" t="s">
        <v>1315</v>
      </c>
      <c r="CJ632" s="149" t="s">
        <v>2731</v>
      </c>
      <c r="CK632" s="241" t="s">
        <v>2732</v>
      </c>
    </row>
    <row r="633" spans="1:89" ht="15" customHeight="1" x14ac:dyDescent="0.35">
      <c r="A633" s="17"/>
      <c r="B633" s="313">
        <v>7105</v>
      </c>
      <c r="C633" s="8" t="s">
        <v>1085</v>
      </c>
      <c r="D633" s="18">
        <v>1</v>
      </c>
      <c r="E633" s="131" t="s">
        <v>1309</v>
      </c>
      <c r="F633" s="22" t="s">
        <v>1309</v>
      </c>
      <c r="G633" s="132" t="s">
        <v>1309</v>
      </c>
      <c r="H633" s="22" t="s">
        <v>1311</v>
      </c>
      <c r="I633" s="22" t="s">
        <v>1327</v>
      </c>
      <c r="J633" s="22" t="s">
        <v>1327</v>
      </c>
      <c r="K633" s="22" t="s">
        <v>1309</v>
      </c>
      <c r="L633" s="22" t="s">
        <v>1309</v>
      </c>
      <c r="M633" s="133" t="s">
        <v>1311</v>
      </c>
      <c r="N633" s="22" t="s">
        <v>1311</v>
      </c>
      <c r="O633" s="22" t="s">
        <v>1314</v>
      </c>
      <c r="P633" s="22" t="s">
        <v>1318</v>
      </c>
      <c r="Q633" s="20">
        <v>0</v>
      </c>
      <c r="R633" s="20">
        <v>0</v>
      </c>
      <c r="S633" s="20">
        <v>0</v>
      </c>
      <c r="T633" s="20">
        <v>0</v>
      </c>
      <c r="U633" s="20">
        <v>0</v>
      </c>
      <c r="V633" s="20">
        <v>0</v>
      </c>
      <c r="W633" s="20">
        <v>0</v>
      </c>
      <c r="X633" s="20">
        <v>0</v>
      </c>
      <c r="Y633" s="20">
        <v>0</v>
      </c>
      <c r="Z633" s="20">
        <v>0</v>
      </c>
      <c r="AA633" s="20" t="s">
        <v>1317</v>
      </c>
      <c r="AB633" s="22" t="s">
        <v>1318</v>
      </c>
      <c r="AC633" s="20">
        <v>0</v>
      </c>
      <c r="AD633" s="20">
        <v>0</v>
      </c>
      <c r="AE633" s="20">
        <v>0</v>
      </c>
      <c r="AF633" s="20">
        <v>0</v>
      </c>
      <c r="AG633" s="20">
        <v>0</v>
      </c>
      <c r="AH633" s="20">
        <v>0</v>
      </c>
      <c r="AI633" s="328" t="s">
        <v>1328</v>
      </c>
      <c r="AJ633" s="328" t="s">
        <v>1328</v>
      </c>
      <c r="AK633" s="328" t="s">
        <v>1328</v>
      </c>
      <c r="AL633" s="22" t="s">
        <v>1329</v>
      </c>
      <c r="AM633" s="22" t="s">
        <v>1330</v>
      </c>
      <c r="AN633" s="22" t="s">
        <v>1317</v>
      </c>
      <c r="AO633" s="22" t="s">
        <v>1318</v>
      </c>
      <c r="AP633" s="22" t="s">
        <v>1318</v>
      </c>
      <c r="AQ633" s="22" t="s">
        <v>1318</v>
      </c>
      <c r="AR633" s="22" t="s">
        <v>1317</v>
      </c>
      <c r="AS633" s="22" t="s">
        <v>1318</v>
      </c>
      <c r="AT633" s="22" t="s">
        <v>1317</v>
      </c>
      <c r="AU633" s="22" t="s">
        <v>1318</v>
      </c>
      <c r="AV633" s="22" t="s">
        <v>1317</v>
      </c>
      <c r="AW633" s="22" t="s">
        <v>1318</v>
      </c>
      <c r="AX633" s="22" t="s">
        <v>1317</v>
      </c>
      <c r="AY633" s="22" t="s">
        <v>1318</v>
      </c>
      <c r="AZ633" s="22" t="s">
        <v>1309</v>
      </c>
      <c r="BA633" s="22" t="s">
        <v>1309</v>
      </c>
      <c r="BB633" s="22" t="s">
        <v>1309</v>
      </c>
      <c r="BC633" s="22" t="s">
        <v>1309</v>
      </c>
      <c r="BD633" s="22" t="s">
        <v>1317</v>
      </c>
      <c r="BE633" s="22" t="s">
        <v>1318</v>
      </c>
      <c r="BF633" s="22" t="s">
        <v>1317</v>
      </c>
      <c r="BG633" s="22" t="s">
        <v>1318</v>
      </c>
      <c r="BH633" s="22" t="s">
        <v>1317</v>
      </c>
      <c r="BI633" s="22" t="s">
        <v>1318</v>
      </c>
      <c r="BJ633" s="22" t="s">
        <v>1317</v>
      </c>
      <c r="BK633" s="22" t="s">
        <v>1318</v>
      </c>
      <c r="BL633" s="22" t="s">
        <v>1309</v>
      </c>
      <c r="BM633" s="22" t="s">
        <v>1309</v>
      </c>
      <c r="BN633" s="22" t="s">
        <v>1317</v>
      </c>
      <c r="BO633" s="22" t="s">
        <v>1318</v>
      </c>
      <c r="BP633" s="22" t="s">
        <v>1315</v>
      </c>
      <c r="BQ633" s="22" t="s">
        <v>1315</v>
      </c>
      <c r="BR633" s="22" t="s">
        <v>1317</v>
      </c>
      <c r="BS633" s="22" t="s">
        <v>1318</v>
      </c>
      <c r="BT633" s="22" t="s">
        <v>1315</v>
      </c>
      <c r="BU633" s="22" t="s">
        <v>1315</v>
      </c>
      <c r="BV633" s="22" t="s">
        <v>1317</v>
      </c>
      <c r="BW633" s="22" t="s">
        <v>1318</v>
      </c>
      <c r="BX633" s="20">
        <v>0</v>
      </c>
      <c r="BY633" s="20">
        <v>0</v>
      </c>
      <c r="BZ633" s="20">
        <v>13</v>
      </c>
      <c r="CA633" s="20">
        <v>0</v>
      </c>
      <c r="CB633" s="20">
        <v>0</v>
      </c>
      <c r="CC633" s="20">
        <v>83</v>
      </c>
      <c r="CD633" s="22" t="s">
        <v>1317</v>
      </c>
      <c r="CE633" s="22" t="s">
        <v>1318</v>
      </c>
      <c r="CF633" s="22" t="s">
        <v>1317</v>
      </c>
      <c r="CG633" s="22" t="s">
        <v>1318</v>
      </c>
      <c r="CH633" s="22" t="s">
        <v>1317</v>
      </c>
      <c r="CI633" s="22" t="s">
        <v>1318</v>
      </c>
      <c r="CJ633" s="149" t="s">
        <v>1124</v>
      </c>
      <c r="CK633" s="241" t="s">
        <v>1750</v>
      </c>
    </row>
    <row r="634" spans="1:89" ht="15" customHeight="1" x14ac:dyDescent="0.35">
      <c r="A634" s="17"/>
      <c r="B634" s="313">
        <v>54017</v>
      </c>
      <c r="C634" s="8" t="s">
        <v>543</v>
      </c>
      <c r="D634" s="18">
        <v>16</v>
      </c>
      <c r="E634" s="131" t="s">
        <v>1309</v>
      </c>
      <c r="F634" s="22" t="s">
        <v>1309</v>
      </c>
      <c r="G634" s="132" t="s">
        <v>1309</v>
      </c>
      <c r="H634" s="22" t="s">
        <v>1311</v>
      </c>
      <c r="I634" s="22" t="s">
        <v>1327</v>
      </c>
      <c r="J634" s="22" t="s">
        <v>1327</v>
      </c>
      <c r="K634" s="22" t="s">
        <v>1309</v>
      </c>
      <c r="L634" s="22" t="s">
        <v>1309</v>
      </c>
      <c r="M634" s="133" t="s">
        <v>1311</v>
      </c>
      <c r="N634" s="22" t="s">
        <v>1311</v>
      </c>
      <c r="O634" s="22" t="s">
        <v>1309</v>
      </c>
      <c r="P634" s="22" t="s">
        <v>1309</v>
      </c>
      <c r="Q634" s="20">
        <v>0</v>
      </c>
      <c r="R634" s="20">
        <v>0</v>
      </c>
      <c r="S634" s="20">
        <v>0</v>
      </c>
      <c r="T634" s="20">
        <v>0</v>
      </c>
      <c r="U634" s="20">
        <v>0</v>
      </c>
      <c r="V634" s="20">
        <v>0</v>
      </c>
      <c r="W634" s="20">
        <v>0</v>
      </c>
      <c r="X634" s="20">
        <v>0</v>
      </c>
      <c r="Y634" s="20">
        <v>0</v>
      </c>
      <c r="Z634" s="20">
        <v>0</v>
      </c>
      <c r="AA634" s="20" t="s">
        <v>1317</v>
      </c>
      <c r="AB634" s="22" t="s">
        <v>1318</v>
      </c>
      <c r="AC634" s="20">
        <v>0</v>
      </c>
      <c r="AD634" s="20">
        <v>1</v>
      </c>
      <c r="AE634" s="20">
        <v>0</v>
      </c>
      <c r="AF634" s="20">
        <v>0</v>
      </c>
      <c r="AG634" s="20">
        <v>1</v>
      </c>
      <c r="AH634" s="20">
        <v>0</v>
      </c>
      <c r="AI634" s="328" t="s">
        <v>1328</v>
      </c>
      <c r="AJ634" s="328">
        <v>1.0141987829614605</v>
      </c>
      <c r="AK634" s="328" t="s">
        <v>1328</v>
      </c>
      <c r="AL634" s="22" t="s">
        <v>1329</v>
      </c>
      <c r="AM634" s="22" t="s">
        <v>1330</v>
      </c>
      <c r="AN634" s="22" t="s">
        <v>1317</v>
      </c>
      <c r="AO634" s="22" t="s">
        <v>1318</v>
      </c>
      <c r="AP634" s="22" t="s">
        <v>1318</v>
      </c>
      <c r="AQ634" s="22" t="s">
        <v>1318</v>
      </c>
      <c r="AR634" s="22" t="s">
        <v>1317</v>
      </c>
      <c r="AS634" s="22" t="s">
        <v>1318</v>
      </c>
      <c r="AT634" s="22" t="s">
        <v>1317</v>
      </c>
      <c r="AU634" s="22" t="s">
        <v>1318</v>
      </c>
      <c r="AV634" s="22" t="s">
        <v>1317</v>
      </c>
      <c r="AW634" s="22" t="s">
        <v>1318</v>
      </c>
      <c r="AX634" s="22" t="s">
        <v>1317</v>
      </c>
      <c r="AY634" s="22" t="s">
        <v>1318</v>
      </c>
      <c r="AZ634" s="22" t="s">
        <v>1309</v>
      </c>
      <c r="BA634" s="22" t="s">
        <v>1309</v>
      </c>
      <c r="BB634" s="22" t="s">
        <v>1309</v>
      </c>
      <c r="BC634" s="22" t="s">
        <v>1309</v>
      </c>
      <c r="BD634" s="22" t="s">
        <v>1309</v>
      </c>
      <c r="BE634" s="22" t="s">
        <v>1309</v>
      </c>
      <c r="BF634" s="22" t="s">
        <v>1309</v>
      </c>
      <c r="BG634" s="22" t="s">
        <v>1309</v>
      </c>
      <c r="BH634" s="22" t="s">
        <v>1309</v>
      </c>
      <c r="BI634" s="22" t="s">
        <v>1309</v>
      </c>
      <c r="BJ634" s="22" t="s">
        <v>1317</v>
      </c>
      <c r="BK634" s="22" t="s">
        <v>1318</v>
      </c>
      <c r="BL634" s="22" t="s">
        <v>1317</v>
      </c>
      <c r="BM634" s="22" t="s">
        <v>1318</v>
      </c>
      <c r="BN634" s="22" t="s">
        <v>1309</v>
      </c>
      <c r="BO634" s="22" t="s">
        <v>1309</v>
      </c>
      <c r="BP634" s="22" t="s">
        <v>1309</v>
      </c>
      <c r="BQ634" s="22" t="s">
        <v>1309</v>
      </c>
      <c r="BR634" s="22" t="s">
        <v>1309</v>
      </c>
      <c r="BS634" s="22" t="s">
        <v>1309</v>
      </c>
      <c r="BT634" s="22" t="s">
        <v>1309</v>
      </c>
      <c r="BU634" s="22" t="s">
        <v>1309</v>
      </c>
      <c r="BV634" s="22" t="s">
        <v>1317</v>
      </c>
      <c r="BW634" s="22" t="s">
        <v>1318</v>
      </c>
      <c r="BX634" s="20">
        <v>105</v>
      </c>
      <c r="BY634" s="20">
        <v>0</v>
      </c>
      <c r="BZ634" s="20">
        <v>6</v>
      </c>
      <c r="CA634" s="20">
        <v>863</v>
      </c>
      <c r="CB634" s="20">
        <v>0</v>
      </c>
      <c r="CC634" s="20">
        <v>13</v>
      </c>
      <c r="CD634" s="22" t="s">
        <v>1331</v>
      </c>
      <c r="CE634" s="22" t="s">
        <v>1331</v>
      </c>
      <c r="CF634" s="22" t="s">
        <v>1331</v>
      </c>
      <c r="CG634" s="22" t="s">
        <v>1331</v>
      </c>
      <c r="CH634" s="22" t="s">
        <v>1317</v>
      </c>
      <c r="CI634" s="22" t="s">
        <v>1318</v>
      </c>
      <c r="CJ634" s="149" t="s">
        <v>1124</v>
      </c>
      <c r="CK634" s="241" t="s">
        <v>1124</v>
      </c>
    </row>
    <row r="635" spans="1:89" ht="15" customHeight="1" x14ac:dyDescent="0.35">
      <c r="A635" s="17"/>
      <c r="B635" s="313">
        <v>17040</v>
      </c>
      <c r="C635" s="8" t="s">
        <v>97</v>
      </c>
      <c r="D635" s="18">
        <v>12</v>
      </c>
      <c r="E635" s="131"/>
      <c r="F635" s="22"/>
      <c r="G635" s="132"/>
      <c r="H635" s="22"/>
      <c r="I635" s="22"/>
      <c r="J635" s="22"/>
      <c r="K635" s="22"/>
      <c r="L635" s="22"/>
      <c r="M635" s="133"/>
      <c r="N635" s="22"/>
      <c r="O635" s="22"/>
      <c r="P635" s="22"/>
      <c r="Q635" s="20"/>
      <c r="R635" s="20"/>
      <c r="S635" s="20"/>
      <c r="T635" s="20"/>
      <c r="U635" s="20"/>
      <c r="V635" s="20"/>
      <c r="W635" s="20"/>
      <c r="X635" s="20"/>
      <c r="Y635" s="20"/>
      <c r="Z635" s="20"/>
      <c r="AA635" s="20"/>
      <c r="AB635" s="22"/>
      <c r="AC635" s="20"/>
      <c r="AD635" s="20"/>
      <c r="AE635" s="20"/>
      <c r="AF635" s="20" t="s">
        <v>1124</v>
      </c>
      <c r="AG635" s="20" t="s">
        <v>1124</v>
      </c>
      <c r="AH635" s="20" t="s">
        <v>1124</v>
      </c>
      <c r="AI635" s="328"/>
      <c r="AJ635" s="328"/>
      <c r="AK635" s="328"/>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0"/>
      <c r="BY635" s="20"/>
      <c r="BZ635" s="20"/>
      <c r="CA635" s="20"/>
      <c r="CB635" s="20"/>
      <c r="CC635" s="20"/>
      <c r="CD635" s="22"/>
      <c r="CE635" s="22"/>
      <c r="CF635" s="22"/>
      <c r="CG635" s="22"/>
      <c r="CH635" s="22"/>
      <c r="CI635" s="22"/>
      <c r="CJ635" s="149"/>
      <c r="CK635" s="241"/>
    </row>
    <row r="636" spans="1:89" ht="15" customHeight="1" x14ac:dyDescent="0.35">
      <c r="A636" s="17"/>
      <c r="B636" s="313">
        <v>62075</v>
      </c>
      <c r="C636" s="8" t="s">
        <v>631</v>
      </c>
      <c r="D636" s="18">
        <v>14</v>
      </c>
      <c r="E636" s="131"/>
      <c r="F636" s="22"/>
      <c r="G636" s="132"/>
      <c r="H636" s="22"/>
      <c r="I636" s="22"/>
      <c r="J636" s="22"/>
      <c r="K636" s="22"/>
      <c r="L636" s="22"/>
      <c r="M636" s="133"/>
      <c r="N636" s="22"/>
      <c r="O636" s="22"/>
      <c r="P636" s="22"/>
      <c r="Q636" s="20"/>
      <c r="R636" s="20"/>
      <c r="S636" s="20"/>
      <c r="T636" s="20"/>
      <c r="U636" s="20"/>
      <c r="V636" s="20"/>
      <c r="W636" s="20"/>
      <c r="X636" s="20"/>
      <c r="Y636" s="20"/>
      <c r="Z636" s="20"/>
      <c r="AA636" s="20"/>
      <c r="AB636" s="22"/>
      <c r="AC636" s="20"/>
      <c r="AD636" s="20"/>
      <c r="AE636" s="20"/>
      <c r="AF636" s="20" t="s">
        <v>1124</v>
      </c>
      <c r="AG636" s="20" t="s">
        <v>1124</v>
      </c>
      <c r="AH636" s="20" t="s">
        <v>1124</v>
      </c>
      <c r="AI636" s="328"/>
      <c r="AJ636" s="328"/>
      <c r="AK636" s="328"/>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0"/>
      <c r="BY636" s="20"/>
      <c r="BZ636" s="20"/>
      <c r="CA636" s="20"/>
      <c r="CB636" s="20"/>
      <c r="CC636" s="20"/>
      <c r="CD636" s="22"/>
      <c r="CE636" s="22"/>
      <c r="CF636" s="22"/>
      <c r="CG636" s="22"/>
      <c r="CH636" s="22"/>
      <c r="CI636" s="22"/>
      <c r="CJ636" s="149"/>
      <c r="CK636" s="241"/>
    </row>
    <row r="637" spans="1:89" ht="15" customHeight="1" x14ac:dyDescent="0.35">
      <c r="A637" s="17"/>
      <c r="B637" s="313">
        <v>19030</v>
      </c>
      <c r="C637" s="8" t="s">
        <v>123</v>
      </c>
      <c r="D637" s="18">
        <v>12</v>
      </c>
      <c r="E637" s="131" t="s">
        <v>1309</v>
      </c>
      <c r="F637" s="22" t="s">
        <v>1309</v>
      </c>
      <c r="G637" s="132" t="s">
        <v>1309</v>
      </c>
      <c r="H637" s="22" t="s">
        <v>1311</v>
      </c>
      <c r="I637" s="22" t="s">
        <v>1327</v>
      </c>
      <c r="J637" s="22" t="s">
        <v>1327</v>
      </c>
      <c r="K637" s="22" t="s">
        <v>1309</v>
      </c>
      <c r="L637" s="22" t="s">
        <v>1311</v>
      </c>
      <c r="M637" s="133" t="s">
        <v>1311</v>
      </c>
      <c r="N637" s="22" t="s">
        <v>1311</v>
      </c>
      <c r="O637" s="22" t="s">
        <v>1314</v>
      </c>
      <c r="P637" s="22" t="s">
        <v>1318</v>
      </c>
      <c r="Q637" s="20">
        <v>0</v>
      </c>
      <c r="R637" s="20">
        <v>0</v>
      </c>
      <c r="S637" s="20">
        <v>27.157499999999999</v>
      </c>
      <c r="T637" s="20">
        <v>0</v>
      </c>
      <c r="U637" s="20">
        <v>0</v>
      </c>
      <c r="V637" s="20">
        <v>18.105</v>
      </c>
      <c r="W637" s="20">
        <v>0</v>
      </c>
      <c r="X637" s="20">
        <v>0</v>
      </c>
      <c r="Y637" s="20">
        <v>0</v>
      </c>
      <c r="Z637" s="20">
        <v>0</v>
      </c>
      <c r="AA637" s="20" t="s">
        <v>1317</v>
      </c>
      <c r="AB637" s="22" t="s">
        <v>1311</v>
      </c>
      <c r="AC637" s="20">
        <v>0</v>
      </c>
      <c r="AD637" s="20">
        <v>5</v>
      </c>
      <c r="AE637" s="20">
        <v>0</v>
      </c>
      <c r="AF637" s="20">
        <v>0</v>
      </c>
      <c r="AG637" s="20">
        <v>7</v>
      </c>
      <c r="AH637" s="20">
        <v>0</v>
      </c>
      <c r="AI637" s="328" t="s">
        <v>1328</v>
      </c>
      <c r="AJ637" s="328">
        <v>8.9766606822262123</v>
      </c>
      <c r="AK637" s="328" t="s">
        <v>1328</v>
      </c>
      <c r="AL637" s="22" t="s">
        <v>1338</v>
      </c>
      <c r="AM637" s="22" t="s">
        <v>1343</v>
      </c>
      <c r="AN637" s="22" t="s">
        <v>1317</v>
      </c>
      <c r="AO637" s="22" t="s">
        <v>1318</v>
      </c>
      <c r="AP637" s="22" t="s">
        <v>1350</v>
      </c>
      <c r="AQ637" s="22" t="s">
        <v>1318</v>
      </c>
      <c r="AR637" s="22" t="s">
        <v>1317</v>
      </c>
      <c r="AS637" s="22" t="s">
        <v>1318</v>
      </c>
      <c r="AT637" s="22" t="s">
        <v>1317</v>
      </c>
      <c r="AU637" s="22" t="s">
        <v>1318</v>
      </c>
      <c r="AV637" s="22" t="s">
        <v>1317</v>
      </c>
      <c r="AW637" s="22" t="s">
        <v>1318</v>
      </c>
      <c r="AX637" s="22" t="s">
        <v>1317</v>
      </c>
      <c r="AY637" s="22" t="s">
        <v>1318</v>
      </c>
      <c r="AZ637" s="22" t="s">
        <v>1309</v>
      </c>
      <c r="BA637" s="22" t="s">
        <v>1309</v>
      </c>
      <c r="BB637" s="22" t="s">
        <v>1309</v>
      </c>
      <c r="BC637" s="22" t="s">
        <v>1309</v>
      </c>
      <c r="BD637" s="22" t="s">
        <v>1309</v>
      </c>
      <c r="BE637" s="22" t="s">
        <v>1309</v>
      </c>
      <c r="BF637" s="22" t="s">
        <v>1309</v>
      </c>
      <c r="BG637" s="22" t="s">
        <v>1309</v>
      </c>
      <c r="BH637" s="22" t="s">
        <v>1317</v>
      </c>
      <c r="BI637" s="22" t="s">
        <v>1318</v>
      </c>
      <c r="BJ637" s="22" t="s">
        <v>1317</v>
      </c>
      <c r="BK637" s="22" t="s">
        <v>1318</v>
      </c>
      <c r="BL637" s="22" t="s">
        <v>1317</v>
      </c>
      <c r="BM637" s="22" t="s">
        <v>1311</v>
      </c>
      <c r="BN637" s="22" t="s">
        <v>1309</v>
      </c>
      <c r="BO637" s="22" t="s">
        <v>1309</v>
      </c>
      <c r="BP637" s="22" t="s">
        <v>1317</v>
      </c>
      <c r="BQ637" s="22" t="s">
        <v>1318</v>
      </c>
      <c r="BR637" s="22" t="s">
        <v>1309</v>
      </c>
      <c r="BS637" s="22" t="s">
        <v>1309</v>
      </c>
      <c r="BT637" s="22" t="s">
        <v>1317</v>
      </c>
      <c r="BU637" s="22" t="s">
        <v>1318</v>
      </c>
      <c r="BV637" s="22" t="s">
        <v>1317</v>
      </c>
      <c r="BW637" s="22" t="s">
        <v>1318</v>
      </c>
      <c r="BX637" s="20">
        <v>42</v>
      </c>
      <c r="BY637" s="20">
        <v>0</v>
      </c>
      <c r="BZ637" s="20">
        <v>0</v>
      </c>
      <c r="CA637" s="20">
        <v>515</v>
      </c>
      <c r="CB637" s="20">
        <v>0</v>
      </c>
      <c r="CC637" s="20">
        <v>0</v>
      </c>
      <c r="CD637" s="22" t="s">
        <v>1331</v>
      </c>
      <c r="CE637" s="22" t="s">
        <v>1331</v>
      </c>
      <c r="CF637" s="22" t="s">
        <v>1331</v>
      </c>
      <c r="CG637" s="22" t="s">
        <v>1331</v>
      </c>
      <c r="CH637" s="22" t="s">
        <v>1317</v>
      </c>
      <c r="CI637" s="22" t="s">
        <v>1318</v>
      </c>
      <c r="CJ637" s="149" t="s">
        <v>1124</v>
      </c>
      <c r="CK637" s="241" t="s">
        <v>2740</v>
      </c>
    </row>
    <row r="638" spans="1:89" ht="15" customHeight="1" x14ac:dyDescent="0.35">
      <c r="A638" s="17"/>
      <c r="B638" s="313">
        <v>53005</v>
      </c>
      <c r="C638" s="8" t="s">
        <v>530</v>
      </c>
      <c r="D638" s="18">
        <v>16</v>
      </c>
      <c r="E638" s="131" t="s">
        <v>1309</v>
      </c>
      <c r="F638" s="22" t="s">
        <v>1309</v>
      </c>
      <c r="G638" s="132" t="s">
        <v>1309</v>
      </c>
      <c r="H638" s="22" t="s">
        <v>1311</v>
      </c>
      <c r="I638" s="22" t="s">
        <v>1327</v>
      </c>
      <c r="J638" s="22" t="s">
        <v>1327</v>
      </c>
      <c r="K638" s="22" t="s">
        <v>1319</v>
      </c>
      <c r="L638" s="22" t="s">
        <v>1311</v>
      </c>
      <c r="M638" s="133" t="s">
        <v>1311</v>
      </c>
      <c r="N638" s="22" t="s">
        <v>1311</v>
      </c>
      <c r="O638" s="22" t="s">
        <v>1309</v>
      </c>
      <c r="P638" s="22" t="s">
        <v>1309</v>
      </c>
      <c r="Q638" s="20">
        <v>0</v>
      </c>
      <c r="R638" s="20">
        <v>0</v>
      </c>
      <c r="S638" s="20">
        <v>0</v>
      </c>
      <c r="T638" s="20">
        <v>0</v>
      </c>
      <c r="U638" s="20">
        <v>0</v>
      </c>
      <c r="V638" s="20">
        <v>0</v>
      </c>
      <c r="W638" s="20">
        <v>0</v>
      </c>
      <c r="X638" s="20">
        <v>0</v>
      </c>
      <c r="Y638" s="20">
        <v>0</v>
      </c>
      <c r="Z638" s="20">
        <v>0</v>
      </c>
      <c r="AA638" s="20" t="s">
        <v>1317</v>
      </c>
      <c r="AB638" s="22" t="s">
        <v>1318</v>
      </c>
      <c r="AC638" s="20">
        <v>0</v>
      </c>
      <c r="AD638" s="20">
        <v>0</v>
      </c>
      <c r="AE638" s="20">
        <v>0</v>
      </c>
      <c r="AF638" s="20">
        <v>0</v>
      </c>
      <c r="AG638" s="20">
        <v>0</v>
      </c>
      <c r="AH638" s="20">
        <v>0</v>
      </c>
      <c r="AI638" s="328" t="s">
        <v>1328</v>
      </c>
      <c r="AJ638" s="328" t="s">
        <v>1328</v>
      </c>
      <c r="AK638" s="328" t="s">
        <v>1328</v>
      </c>
      <c r="AL638" s="22" t="s">
        <v>1316</v>
      </c>
      <c r="AM638" s="22" t="s">
        <v>1316</v>
      </c>
      <c r="AN638" s="22" t="s">
        <v>1317</v>
      </c>
      <c r="AO638" s="22" t="s">
        <v>1318</v>
      </c>
      <c r="AP638" s="22" t="s">
        <v>1318</v>
      </c>
      <c r="AQ638" s="22" t="s">
        <v>1318</v>
      </c>
      <c r="AR638" s="22" t="s">
        <v>1317</v>
      </c>
      <c r="AS638" s="22" t="s">
        <v>1318</v>
      </c>
      <c r="AT638" s="22" t="s">
        <v>1309</v>
      </c>
      <c r="AU638" s="22" t="s">
        <v>1309</v>
      </c>
      <c r="AV638" s="22" t="s">
        <v>1317</v>
      </c>
      <c r="AW638" s="22" t="s">
        <v>1318</v>
      </c>
      <c r="AX638" s="22" t="s">
        <v>1317</v>
      </c>
      <c r="AY638" s="22" t="s">
        <v>1318</v>
      </c>
      <c r="AZ638" s="22" t="s">
        <v>1309</v>
      </c>
      <c r="BA638" s="22" t="s">
        <v>1309</v>
      </c>
      <c r="BB638" s="22" t="s">
        <v>1309</v>
      </c>
      <c r="BC638" s="22" t="s">
        <v>1309</v>
      </c>
      <c r="BD638" s="22" t="s">
        <v>1317</v>
      </c>
      <c r="BE638" s="22" t="s">
        <v>1318</v>
      </c>
      <c r="BF638" s="22" t="s">
        <v>1309</v>
      </c>
      <c r="BG638" s="22" t="s">
        <v>1309</v>
      </c>
      <c r="BH638" s="22" t="s">
        <v>1317</v>
      </c>
      <c r="BI638" s="22" t="s">
        <v>1318</v>
      </c>
      <c r="BJ638" s="22" t="s">
        <v>1317</v>
      </c>
      <c r="BK638" s="22" t="s">
        <v>1318</v>
      </c>
      <c r="BL638" s="22" t="s">
        <v>1317</v>
      </c>
      <c r="BM638" s="22" t="s">
        <v>1318</v>
      </c>
      <c r="BN638" s="22" t="s">
        <v>1317</v>
      </c>
      <c r="BO638" s="22" t="s">
        <v>1318</v>
      </c>
      <c r="BP638" s="22" t="s">
        <v>1315</v>
      </c>
      <c r="BQ638" s="22" t="s">
        <v>1315</v>
      </c>
      <c r="BR638" s="22" t="s">
        <v>1317</v>
      </c>
      <c r="BS638" s="22" t="s">
        <v>1318</v>
      </c>
      <c r="BT638" s="22" t="s">
        <v>1317</v>
      </c>
      <c r="BU638" s="22" t="s">
        <v>1318</v>
      </c>
      <c r="BV638" s="22" t="s">
        <v>1309</v>
      </c>
      <c r="BW638" s="22" t="s">
        <v>1309</v>
      </c>
      <c r="BX638" s="20">
        <v>47</v>
      </c>
      <c r="BY638" s="20">
        <v>0</v>
      </c>
      <c r="BZ638" s="20">
        <v>0</v>
      </c>
      <c r="CA638" s="20">
        <v>375</v>
      </c>
      <c r="CB638" s="20">
        <v>0</v>
      </c>
      <c r="CC638" s="20">
        <v>0</v>
      </c>
      <c r="CD638" s="22" t="s">
        <v>1331</v>
      </c>
      <c r="CE638" s="22" t="s">
        <v>1331</v>
      </c>
      <c r="CF638" s="22" t="s">
        <v>1331</v>
      </c>
      <c r="CG638" s="22" t="s">
        <v>1331</v>
      </c>
      <c r="CH638" s="22" t="s">
        <v>1317</v>
      </c>
      <c r="CI638" s="22" t="s">
        <v>1318</v>
      </c>
      <c r="CJ638" s="149" t="s">
        <v>1124</v>
      </c>
      <c r="CK638" s="241" t="s">
        <v>1124</v>
      </c>
    </row>
    <row r="639" spans="1:89" ht="15" customHeight="1" x14ac:dyDescent="0.35">
      <c r="A639" s="17"/>
      <c r="B639" s="313">
        <v>94245</v>
      </c>
      <c r="C639" s="8" t="s">
        <v>981</v>
      </c>
      <c r="D639" s="18">
        <v>2</v>
      </c>
      <c r="E639" s="131" t="s">
        <v>1309</v>
      </c>
      <c r="F639" s="22" t="s">
        <v>1309</v>
      </c>
      <c r="G639" s="132" t="s">
        <v>1309</v>
      </c>
      <c r="H639" s="22" t="s">
        <v>1311</v>
      </c>
      <c r="I639" s="22" t="s">
        <v>1315</v>
      </c>
      <c r="J639" s="22" t="s">
        <v>1315</v>
      </c>
      <c r="K639" s="22" t="s">
        <v>1314</v>
      </c>
      <c r="L639" s="22" t="s">
        <v>1311</v>
      </c>
      <c r="M639" s="133" t="s">
        <v>1311</v>
      </c>
      <c r="N639" s="22" t="s">
        <v>1311</v>
      </c>
      <c r="O639" s="22" t="s">
        <v>1314</v>
      </c>
      <c r="P639" s="22" t="s">
        <v>1311</v>
      </c>
      <c r="Q639" s="20">
        <v>0</v>
      </c>
      <c r="R639" s="20">
        <v>0</v>
      </c>
      <c r="S639" s="20">
        <v>36.983750000000001</v>
      </c>
      <c r="T639" s="20">
        <v>0</v>
      </c>
      <c r="U639" s="20">
        <v>0</v>
      </c>
      <c r="V639" s="20">
        <v>36.905000000000001</v>
      </c>
      <c r="W639" s="20">
        <v>0</v>
      </c>
      <c r="X639" s="20">
        <v>0</v>
      </c>
      <c r="Y639" s="20">
        <v>0</v>
      </c>
      <c r="Z639" s="20">
        <v>0</v>
      </c>
      <c r="AA639" s="20" t="s">
        <v>1317</v>
      </c>
      <c r="AB639" s="22" t="s">
        <v>1318</v>
      </c>
      <c r="AC639" s="20">
        <v>0</v>
      </c>
      <c r="AD639" s="20">
        <v>0</v>
      </c>
      <c r="AE639" s="20">
        <v>0</v>
      </c>
      <c r="AF639" s="20">
        <v>0</v>
      </c>
      <c r="AG639" s="20">
        <v>0</v>
      </c>
      <c r="AH639" s="20">
        <v>0</v>
      </c>
      <c r="AI639" s="328" t="s">
        <v>1328</v>
      </c>
      <c r="AJ639" s="328" t="s">
        <v>1328</v>
      </c>
      <c r="AK639" s="328" t="s">
        <v>1328</v>
      </c>
      <c r="AL639" s="22" t="s">
        <v>1316</v>
      </c>
      <c r="AM639" s="22" t="s">
        <v>1316</v>
      </c>
      <c r="AN639" s="22" t="s">
        <v>1317</v>
      </c>
      <c r="AO639" s="22" t="s">
        <v>1318</v>
      </c>
      <c r="AP639" s="22" t="s">
        <v>1318</v>
      </c>
      <c r="AQ639" s="22" t="s">
        <v>1318</v>
      </c>
      <c r="AR639" s="22" t="s">
        <v>1309</v>
      </c>
      <c r="AS639" s="22" t="s">
        <v>1309</v>
      </c>
      <c r="AT639" s="22" t="s">
        <v>1317</v>
      </c>
      <c r="AU639" s="22" t="s">
        <v>1318</v>
      </c>
      <c r="AV639" s="22" t="s">
        <v>1317</v>
      </c>
      <c r="AW639" s="22" t="s">
        <v>1318</v>
      </c>
      <c r="AX639" s="22" t="s">
        <v>1317</v>
      </c>
      <c r="AY639" s="22" t="s">
        <v>1318</v>
      </c>
      <c r="AZ639" s="22" t="s">
        <v>1319</v>
      </c>
      <c r="BA639" s="22" t="s">
        <v>1311</v>
      </c>
      <c r="BB639" s="22" t="s">
        <v>1317</v>
      </c>
      <c r="BC639" s="22" t="s">
        <v>1318</v>
      </c>
      <c r="BD639" s="22" t="s">
        <v>1317</v>
      </c>
      <c r="BE639" s="22" t="s">
        <v>1318</v>
      </c>
      <c r="BF639" s="22" t="s">
        <v>1317</v>
      </c>
      <c r="BG639" s="22" t="s">
        <v>1311</v>
      </c>
      <c r="BH639" s="22" t="s">
        <v>1317</v>
      </c>
      <c r="BI639" s="22" t="s">
        <v>1318</v>
      </c>
      <c r="BJ639" s="22" t="s">
        <v>1317</v>
      </c>
      <c r="BK639" s="22" t="s">
        <v>1318</v>
      </c>
      <c r="BL639" s="22" t="s">
        <v>1317</v>
      </c>
      <c r="BM639" s="22" t="s">
        <v>1318</v>
      </c>
      <c r="BN639" s="22" t="s">
        <v>1309</v>
      </c>
      <c r="BO639" s="22" t="s">
        <v>1309</v>
      </c>
      <c r="BP639" s="22" t="s">
        <v>1309</v>
      </c>
      <c r="BQ639" s="22" t="s">
        <v>1309</v>
      </c>
      <c r="BR639" s="22" t="s">
        <v>1317</v>
      </c>
      <c r="BS639" s="22" t="s">
        <v>1318</v>
      </c>
      <c r="BT639" s="22" t="s">
        <v>1317</v>
      </c>
      <c r="BU639" s="22" t="s">
        <v>1311</v>
      </c>
      <c r="BV639" s="22" t="s">
        <v>1309</v>
      </c>
      <c r="BW639" s="22" t="s">
        <v>1309</v>
      </c>
      <c r="BX639" s="20">
        <v>7</v>
      </c>
      <c r="BY639" s="20">
        <v>0</v>
      </c>
      <c r="BZ639" s="20">
        <v>5</v>
      </c>
      <c r="CA639" s="20">
        <v>0</v>
      </c>
      <c r="CB639" s="20">
        <v>0</v>
      </c>
      <c r="CC639" s="20">
        <v>1408</v>
      </c>
      <c r="CD639" s="22" t="s">
        <v>1320</v>
      </c>
      <c r="CE639" s="22" t="s">
        <v>1344</v>
      </c>
      <c r="CF639" s="22" t="s">
        <v>1317</v>
      </c>
      <c r="CG639" s="22" t="s">
        <v>1318</v>
      </c>
      <c r="CH639" s="22" t="s">
        <v>1315</v>
      </c>
      <c r="CI639" s="22" t="s">
        <v>1315</v>
      </c>
      <c r="CJ639" s="149" t="s">
        <v>1124</v>
      </c>
      <c r="CK639" s="241" t="s">
        <v>2747</v>
      </c>
    </row>
    <row r="640" spans="1:89" ht="15" customHeight="1" x14ac:dyDescent="0.35">
      <c r="A640" s="17"/>
      <c r="B640" s="314">
        <v>14055</v>
      </c>
      <c r="C640" s="8" t="s">
        <v>69</v>
      </c>
      <c r="D640" s="18">
        <v>1</v>
      </c>
      <c r="E640" s="131"/>
      <c r="F640" s="22"/>
      <c r="G640" s="132"/>
      <c r="H640" s="22"/>
      <c r="I640" s="22"/>
      <c r="J640" s="22"/>
      <c r="K640" s="22"/>
      <c r="L640" s="22"/>
      <c r="M640" s="133"/>
      <c r="N640" s="22"/>
      <c r="O640" s="22"/>
      <c r="P640" s="22"/>
      <c r="Q640" s="20"/>
      <c r="R640" s="20"/>
      <c r="S640" s="20"/>
      <c r="T640" s="20"/>
      <c r="U640" s="20"/>
      <c r="V640" s="20"/>
      <c r="W640" s="20"/>
      <c r="X640" s="20"/>
      <c r="Y640" s="20"/>
      <c r="Z640" s="20"/>
      <c r="AA640" s="20"/>
      <c r="AB640" s="22"/>
      <c r="AC640" s="20"/>
      <c r="AD640" s="20"/>
      <c r="AE640" s="20"/>
      <c r="AF640" s="20" t="s">
        <v>1124</v>
      </c>
      <c r="AG640" s="20" t="s">
        <v>1124</v>
      </c>
      <c r="AH640" s="20" t="s">
        <v>1124</v>
      </c>
      <c r="AI640" s="328"/>
      <c r="AJ640" s="328"/>
      <c r="AK640" s="328"/>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0"/>
      <c r="BY640" s="20"/>
      <c r="BZ640" s="20"/>
      <c r="CA640" s="20"/>
      <c r="CB640" s="20"/>
      <c r="CC640" s="20"/>
      <c r="CD640" s="22"/>
      <c r="CE640" s="22"/>
      <c r="CF640" s="22"/>
      <c r="CG640" s="22"/>
      <c r="CH640" s="22"/>
      <c r="CI640" s="22"/>
      <c r="CJ640" s="149"/>
      <c r="CK640" s="241"/>
    </row>
    <row r="641" spans="1:89" ht="15" customHeight="1" x14ac:dyDescent="0.35">
      <c r="A641" s="17"/>
      <c r="B641" s="313">
        <v>42025</v>
      </c>
      <c r="C641" s="8" t="s">
        <v>381</v>
      </c>
      <c r="D641" s="18">
        <v>5</v>
      </c>
      <c r="E641" s="131" t="s">
        <v>1309</v>
      </c>
      <c r="F641" s="22" t="s">
        <v>1309</v>
      </c>
      <c r="G641" s="132" t="s">
        <v>1309</v>
      </c>
      <c r="H641" s="22" t="s">
        <v>1311</v>
      </c>
      <c r="I641" s="22" t="s">
        <v>1327</v>
      </c>
      <c r="J641" s="22" t="s">
        <v>1327</v>
      </c>
      <c r="K641" s="22" t="s">
        <v>1319</v>
      </c>
      <c r="L641" s="22" t="s">
        <v>1309</v>
      </c>
      <c r="M641" s="133" t="s">
        <v>1311</v>
      </c>
      <c r="N641" s="22" t="s">
        <v>1311</v>
      </c>
      <c r="O641" s="22" t="s">
        <v>1315</v>
      </c>
      <c r="P641" s="22" t="s">
        <v>1315</v>
      </c>
      <c r="Q641" s="20">
        <v>2.5990000000000002</v>
      </c>
      <c r="R641" s="20">
        <v>2.5990000000000002</v>
      </c>
      <c r="S641" s="20">
        <v>0</v>
      </c>
      <c r="T641" s="20">
        <v>0</v>
      </c>
      <c r="U641" s="20">
        <v>0</v>
      </c>
      <c r="V641" s="20">
        <v>0</v>
      </c>
      <c r="W641" s="20">
        <v>0</v>
      </c>
      <c r="X641" s="20">
        <v>0</v>
      </c>
      <c r="Y641" s="20">
        <v>0</v>
      </c>
      <c r="Z641" s="20">
        <v>0</v>
      </c>
      <c r="AA641" s="20" t="s">
        <v>1317</v>
      </c>
      <c r="AB641" s="22" t="s">
        <v>1318</v>
      </c>
      <c r="AC641" s="20">
        <v>0</v>
      </c>
      <c r="AD641" s="20">
        <v>0</v>
      </c>
      <c r="AE641" s="20">
        <v>0</v>
      </c>
      <c r="AF641" s="20">
        <v>0</v>
      </c>
      <c r="AG641" s="20">
        <v>0</v>
      </c>
      <c r="AH641" s="20">
        <v>0</v>
      </c>
      <c r="AI641" s="328" t="s">
        <v>1328</v>
      </c>
      <c r="AJ641" s="328" t="s">
        <v>1328</v>
      </c>
      <c r="AK641" s="328" t="s">
        <v>1328</v>
      </c>
      <c r="AL641" s="22" t="s">
        <v>1329</v>
      </c>
      <c r="AM641" s="22" t="s">
        <v>1330</v>
      </c>
      <c r="AN641" s="22" t="s">
        <v>1315</v>
      </c>
      <c r="AO641" s="22" t="s">
        <v>1315</v>
      </c>
      <c r="AP641" s="22" t="s">
        <v>1315</v>
      </c>
      <c r="AQ641" s="22" t="s">
        <v>1315</v>
      </c>
      <c r="AR641" s="22" t="s">
        <v>1315</v>
      </c>
      <c r="AS641" s="22" t="s">
        <v>1315</v>
      </c>
      <c r="AT641" s="22" t="s">
        <v>1317</v>
      </c>
      <c r="AU641" s="22" t="s">
        <v>1311</v>
      </c>
      <c r="AV641" s="22" t="s">
        <v>1317</v>
      </c>
      <c r="AW641" s="22" t="s">
        <v>1311</v>
      </c>
      <c r="AX641" s="22" t="s">
        <v>1317</v>
      </c>
      <c r="AY641" s="22" t="s">
        <v>1318</v>
      </c>
      <c r="AZ641" s="22" t="s">
        <v>1317</v>
      </c>
      <c r="BA641" s="22" t="s">
        <v>1311</v>
      </c>
      <c r="BB641" s="22" t="s">
        <v>1317</v>
      </c>
      <c r="BC641" s="22" t="s">
        <v>1318</v>
      </c>
      <c r="BD641" s="22" t="s">
        <v>1317</v>
      </c>
      <c r="BE641" s="22" t="s">
        <v>1318</v>
      </c>
      <c r="BF641" s="22" t="s">
        <v>1317</v>
      </c>
      <c r="BG641" s="22" t="s">
        <v>1318</v>
      </c>
      <c r="BH641" s="22" t="s">
        <v>1309</v>
      </c>
      <c r="BI641" s="22" t="s">
        <v>1309</v>
      </c>
      <c r="BJ641" s="22" t="s">
        <v>1317</v>
      </c>
      <c r="BK641" s="22" t="s">
        <v>1311</v>
      </c>
      <c r="BL641" s="22" t="s">
        <v>1317</v>
      </c>
      <c r="BM641" s="22" t="s">
        <v>1311</v>
      </c>
      <c r="BN641" s="22" t="s">
        <v>1317</v>
      </c>
      <c r="BO641" s="22" t="s">
        <v>1311</v>
      </c>
      <c r="BP641" s="22" t="s">
        <v>1309</v>
      </c>
      <c r="BQ641" s="22" t="s">
        <v>1309</v>
      </c>
      <c r="BR641" s="22" t="s">
        <v>1309</v>
      </c>
      <c r="BS641" s="22" t="s">
        <v>1309</v>
      </c>
      <c r="BT641" s="22" t="s">
        <v>1315</v>
      </c>
      <c r="BU641" s="22" t="s">
        <v>1315</v>
      </c>
      <c r="BV641" s="22" t="s">
        <v>1309</v>
      </c>
      <c r="BW641" s="22" t="s">
        <v>1309</v>
      </c>
      <c r="BX641" s="20">
        <v>0</v>
      </c>
      <c r="BY641" s="20">
        <v>0</v>
      </c>
      <c r="BZ641" s="20">
        <v>1</v>
      </c>
      <c r="CA641" s="20">
        <v>0</v>
      </c>
      <c r="CB641" s="20">
        <v>0</v>
      </c>
      <c r="CC641" s="20">
        <v>96</v>
      </c>
      <c r="CD641" s="22" t="s">
        <v>1317</v>
      </c>
      <c r="CE641" s="22" t="s">
        <v>1318</v>
      </c>
      <c r="CF641" s="22" t="s">
        <v>1317</v>
      </c>
      <c r="CG641" s="22" t="s">
        <v>1318</v>
      </c>
      <c r="CH641" s="22" t="s">
        <v>1317</v>
      </c>
      <c r="CI641" s="22" t="s">
        <v>1318</v>
      </c>
      <c r="CJ641" s="149" t="s">
        <v>2751</v>
      </c>
      <c r="CK641" s="241" t="s">
        <v>1124</v>
      </c>
    </row>
    <row r="642" spans="1:89" ht="15" customHeight="1" x14ac:dyDescent="0.35">
      <c r="A642" s="17"/>
      <c r="B642" s="313">
        <v>57068</v>
      </c>
      <c r="C642" s="8" t="s">
        <v>592</v>
      </c>
      <c r="D642" s="18">
        <v>16</v>
      </c>
      <c r="E642" s="131" t="s">
        <v>1309</v>
      </c>
      <c r="F642" s="22" t="s">
        <v>1309</v>
      </c>
      <c r="G642" s="132" t="s">
        <v>1309</v>
      </c>
      <c r="H642" s="22" t="s">
        <v>1315</v>
      </c>
      <c r="I642" s="22" t="s">
        <v>1312</v>
      </c>
      <c r="J642" s="22" t="s">
        <v>1327</v>
      </c>
      <c r="K642" s="22" t="s">
        <v>1319</v>
      </c>
      <c r="L642" s="22" t="s">
        <v>1311</v>
      </c>
      <c r="M642" s="133" t="s">
        <v>1311</v>
      </c>
      <c r="N642" s="22" t="s">
        <v>1311</v>
      </c>
      <c r="O642" s="22" t="s">
        <v>1314</v>
      </c>
      <c r="P642" s="22" t="s">
        <v>1318</v>
      </c>
      <c r="Q642" s="20">
        <v>0</v>
      </c>
      <c r="R642" s="20">
        <v>0</v>
      </c>
      <c r="S642" s="20">
        <v>0</v>
      </c>
      <c r="T642" s="20">
        <v>0</v>
      </c>
      <c r="U642" s="20">
        <v>0</v>
      </c>
      <c r="V642" s="20">
        <v>0</v>
      </c>
      <c r="W642" s="20">
        <v>0</v>
      </c>
      <c r="X642" s="20">
        <v>0</v>
      </c>
      <c r="Y642" s="20">
        <v>0</v>
      </c>
      <c r="Z642" s="20">
        <v>0</v>
      </c>
      <c r="AA642" s="20" t="s">
        <v>1315</v>
      </c>
      <c r="AB642" s="22" t="s">
        <v>1318</v>
      </c>
      <c r="AC642" s="20">
        <v>7</v>
      </c>
      <c r="AD642" s="20">
        <v>0</v>
      </c>
      <c r="AE642" s="20">
        <v>0</v>
      </c>
      <c r="AF642" s="20">
        <v>2</v>
      </c>
      <c r="AG642" s="20">
        <v>0</v>
      </c>
      <c r="AH642" s="20">
        <v>0</v>
      </c>
      <c r="AI642" s="328">
        <v>2.766798418972332</v>
      </c>
      <c r="AJ642" s="328" t="s">
        <v>1328</v>
      </c>
      <c r="AK642" s="328" t="s">
        <v>1328</v>
      </c>
      <c r="AL642" s="22" t="s">
        <v>1329</v>
      </c>
      <c r="AM642" s="22" t="s">
        <v>1315</v>
      </c>
      <c r="AN642" s="22" t="s">
        <v>1315</v>
      </c>
      <c r="AO642" s="22" t="s">
        <v>1315</v>
      </c>
      <c r="AP642" s="22" t="s">
        <v>1315</v>
      </c>
      <c r="AQ642" s="22" t="s">
        <v>1315</v>
      </c>
      <c r="AR642" s="22" t="s">
        <v>1317</v>
      </c>
      <c r="AS642" s="22" t="s">
        <v>1318</v>
      </c>
      <c r="AT642" s="22" t="s">
        <v>1317</v>
      </c>
      <c r="AU642" s="22" t="s">
        <v>1318</v>
      </c>
      <c r="AV642" s="22" t="s">
        <v>1317</v>
      </c>
      <c r="AW642" s="22" t="s">
        <v>1318</v>
      </c>
      <c r="AX642" s="22" t="s">
        <v>1317</v>
      </c>
      <c r="AY642" s="22" t="s">
        <v>1318</v>
      </c>
      <c r="AZ642" s="22" t="s">
        <v>1319</v>
      </c>
      <c r="BA642" s="22" t="s">
        <v>1311</v>
      </c>
      <c r="BB642" s="22" t="s">
        <v>1309</v>
      </c>
      <c r="BC642" s="22" t="s">
        <v>1309</v>
      </c>
      <c r="BD642" s="22" t="s">
        <v>1319</v>
      </c>
      <c r="BE642" s="22" t="s">
        <v>1311</v>
      </c>
      <c r="BF642" s="22" t="s">
        <v>1309</v>
      </c>
      <c r="BG642" s="22" t="s">
        <v>1309</v>
      </c>
      <c r="BH642" s="22" t="s">
        <v>1317</v>
      </c>
      <c r="BI642" s="22" t="s">
        <v>1318</v>
      </c>
      <c r="BJ642" s="22" t="s">
        <v>1317</v>
      </c>
      <c r="BK642" s="22" t="s">
        <v>1318</v>
      </c>
      <c r="BL642" s="22" t="s">
        <v>1317</v>
      </c>
      <c r="BM642" s="22" t="s">
        <v>1318</v>
      </c>
      <c r="BN642" s="22" t="s">
        <v>1317</v>
      </c>
      <c r="BO642" s="22" t="s">
        <v>1318</v>
      </c>
      <c r="BP642" s="22" t="s">
        <v>1317</v>
      </c>
      <c r="BQ642" s="22" t="s">
        <v>1318</v>
      </c>
      <c r="BR642" s="22" t="s">
        <v>1317</v>
      </c>
      <c r="BS642" s="22" t="s">
        <v>1318</v>
      </c>
      <c r="BT642" s="22" t="s">
        <v>1317</v>
      </c>
      <c r="BU642" s="22" t="s">
        <v>1318</v>
      </c>
      <c r="BV642" s="22" t="s">
        <v>1317</v>
      </c>
      <c r="BW642" s="22" t="s">
        <v>1318</v>
      </c>
      <c r="BX642" s="20">
        <v>35</v>
      </c>
      <c r="BY642" s="20">
        <v>0</v>
      </c>
      <c r="BZ642" s="20">
        <v>0</v>
      </c>
      <c r="CA642" s="20">
        <v>974</v>
      </c>
      <c r="CB642" s="20">
        <v>0</v>
      </c>
      <c r="CC642" s="20">
        <v>0</v>
      </c>
      <c r="CD642" s="22" t="s">
        <v>1331</v>
      </c>
      <c r="CE642" s="22" t="s">
        <v>1331</v>
      </c>
      <c r="CF642" s="22" t="s">
        <v>1331</v>
      </c>
      <c r="CG642" s="22" t="s">
        <v>1331</v>
      </c>
      <c r="CH642" s="22" t="s">
        <v>1317</v>
      </c>
      <c r="CI642" s="22" t="s">
        <v>1318</v>
      </c>
      <c r="CJ642" s="149" t="s">
        <v>1124</v>
      </c>
      <c r="CK642" s="241" t="s">
        <v>1124</v>
      </c>
    </row>
    <row r="643" spans="1:89" ht="15" customHeight="1" x14ac:dyDescent="0.35">
      <c r="A643" s="17"/>
      <c r="B643" s="313">
        <v>52090</v>
      </c>
      <c r="C643" s="8" t="s">
        <v>528</v>
      </c>
      <c r="D643" s="18">
        <v>14</v>
      </c>
      <c r="E643" s="131" t="s">
        <v>1319</v>
      </c>
      <c r="F643" s="22" t="s">
        <v>1310</v>
      </c>
      <c r="G643" s="132" t="s">
        <v>1309</v>
      </c>
      <c r="H643" s="22" t="s">
        <v>1311</v>
      </c>
      <c r="I643" s="22" t="s">
        <v>1327</v>
      </c>
      <c r="J643" s="22" t="s">
        <v>1327</v>
      </c>
      <c r="K643" s="22" t="s">
        <v>1314</v>
      </c>
      <c r="L643" s="22" t="s">
        <v>1311</v>
      </c>
      <c r="M643" s="133" t="s">
        <v>1311</v>
      </c>
      <c r="N643" s="22" t="s">
        <v>1311</v>
      </c>
      <c r="O643" s="22" t="s">
        <v>1314</v>
      </c>
      <c r="P643" s="22" t="s">
        <v>1318</v>
      </c>
      <c r="Q643" s="20">
        <v>0</v>
      </c>
      <c r="R643" s="20">
        <v>0</v>
      </c>
      <c r="S643" s="20">
        <v>0</v>
      </c>
      <c r="T643" s="20">
        <v>0</v>
      </c>
      <c r="U643" s="20">
        <v>0</v>
      </c>
      <c r="V643" s="20">
        <v>0</v>
      </c>
      <c r="W643" s="20">
        <v>0</v>
      </c>
      <c r="X643" s="20">
        <v>0</v>
      </c>
      <c r="Y643" s="20">
        <v>0</v>
      </c>
      <c r="Z643" s="20">
        <v>0</v>
      </c>
      <c r="AA643" s="20" t="s">
        <v>1317</v>
      </c>
      <c r="AB643" s="22" t="s">
        <v>1318</v>
      </c>
      <c r="AC643" s="20">
        <v>0</v>
      </c>
      <c r="AD643" s="20">
        <v>0</v>
      </c>
      <c r="AE643" s="20">
        <v>0</v>
      </c>
      <c r="AF643" s="20">
        <v>0</v>
      </c>
      <c r="AG643" s="20">
        <v>0</v>
      </c>
      <c r="AH643" s="20">
        <v>0</v>
      </c>
      <c r="AI643" s="328" t="s">
        <v>1328</v>
      </c>
      <c r="AJ643" s="328" t="s">
        <v>1328</v>
      </c>
      <c r="AK643" s="328" t="s">
        <v>1328</v>
      </c>
      <c r="AL643" s="22" t="s">
        <v>1329</v>
      </c>
      <c r="AM643" s="22" t="s">
        <v>1330</v>
      </c>
      <c r="AN643" s="22" t="s">
        <v>1317</v>
      </c>
      <c r="AO643" s="22" t="s">
        <v>1318</v>
      </c>
      <c r="AP643" s="22" t="s">
        <v>1318</v>
      </c>
      <c r="AQ643" s="22" t="s">
        <v>1318</v>
      </c>
      <c r="AR643" s="22" t="s">
        <v>1317</v>
      </c>
      <c r="AS643" s="22" t="s">
        <v>1318</v>
      </c>
      <c r="AT643" s="22" t="s">
        <v>1317</v>
      </c>
      <c r="AU643" s="22" t="s">
        <v>1318</v>
      </c>
      <c r="AV643" s="22" t="s">
        <v>1317</v>
      </c>
      <c r="AW643" s="22" t="s">
        <v>1318</v>
      </c>
      <c r="AX643" s="22" t="s">
        <v>1317</v>
      </c>
      <c r="AY643" s="22" t="s">
        <v>1318</v>
      </c>
      <c r="AZ643" s="22" t="s">
        <v>1317</v>
      </c>
      <c r="BA643" s="22" t="s">
        <v>1311</v>
      </c>
      <c r="BB643" s="22" t="s">
        <v>1309</v>
      </c>
      <c r="BC643" s="22" t="s">
        <v>1309</v>
      </c>
      <c r="BD643" s="22" t="s">
        <v>1317</v>
      </c>
      <c r="BE643" s="22" t="s">
        <v>1318</v>
      </c>
      <c r="BF643" s="22" t="s">
        <v>1319</v>
      </c>
      <c r="BG643" s="22" t="s">
        <v>1318</v>
      </c>
      <c r="BH643" s="22" t="s">
        <v>1317</v>
      </c>
      <c r="BI643" s="22" t="s">
        <v>1318</v>
      </c>
      <c r="BJ643" s="22" t="s">
        <v>1317</v>
      </c>
      <c r="BK643" s="22" t="s">
        <v>1318</v>
      </c>
      <c r="BL643" s="22" t="s">
        <v>1319</v>
      </c>
      <c r="BM643" s="22" t="s">
        <v>1318</v>
      </c>
      <c r="BN643" s="22" t="s">
        <v>1309</v>
      </c>
      <c r="BO643" s="22" t="s">
        <v>1309</v>
      </c>
      <c r="BP643" s="22" t="s">
        <v>1317</v>
      </c>
      <c r="BQ643" s="22" t="s">
        <v>1318</v>
      </c>
      <c r="BR643" s="22" t="s">
        <v>1309</v>
      </c>
      <c r="BS643" s="22" t="s">
        <v>1309</v>
      </c>
      <c r="BT643" s="22" t="s">
        <v>1309</v>
      </c>
      <c r="BU643" s="22" t="s">
        <v>1309</v>
      </c>
      <c r="BV643" s="22" t="s">
        <v>1309</v>
      </c>
      <c r="BW643" s="22" t="s">
        <v>1311</v>
      </c>
      <c r="BX643" s="20">
        <v>0</v>
      </c>
      <c r="BY643" s="20">
        <v>5</v>
      </c>
      <c r="BZ643" s="20">
        <v>6</v>
      </c>
      <c r="CA643" s="20">
        <v>0</v>
      </c>
      <c r="CB643" s="20">
        <v>4</v>
      </c>
      <c r="CC643" s="20">
        <v>34</v>
      </c>
      <c r="CD643" s="22" t="s">
        <v>1345</v>
      </c>
      <c r="CE643" s="22" t="s">
        <v>1318</v>
      </c>
      <c r="CF643" s="22" t="s">
        <v>1317</v>
      </c>
      <c r="CG643" s="22" t="s">
        <v>1318</v>
      </c>
      <c r="CH643" s="22" t="s">
        <v>1317</v>
      </c>
      <c r="CI643" s="22" t="s">
        <v>1318</v>
      </c>
      <c r="CJ643" s="149" t="s">
        <v>1124</v>
      </c>
      <c r="CK643" s="241" t="s">
        <v>1124</v>
      </c>
    </row>
    <row r="644" spans="1:89" ht="15" customHeight="1" x14ac:dyDescent="0.35">
      <c r="A644" s="17"/>
      <c r="B644" s="313">
        <v>54060</v>
      </c>
      <c r="C644" s="8" t="s">
        <v>548</v>
      </c>
      <c r="D644" s="18">
        <v>16</v>
      </c>
      <c r="E644" s="131" t="s">
        <v>1309</v>
      </c>
      <c r="F644" s="22" t="s">
        <v>1309</v>
      </c>
      <c r="G644" s="132" t="s">
        <v>1309</v>
      </c>
      <c r="H644" s="22" t="s">
        <v>1311</v>
      </c>
      <c r="I644" s="22" t="s">
        <v>1327</v>
      </c>
      <c r="J644" s="22" t="s">
        <v>1327</v>
      </c>
      <c r="K644" s="22" t="s">
        <v>1309</v>
      </c>
      <c r="L644" s="22" t="s">
        <v>1309</v>
      </c>
      <c r="M644" s="133" t="s">
        <v>1311</v>
      </c>
      <c r="N644" s="22" t="s">
        <v>1311</v>
      </c>
      <c r="O644" s="22" t="s">
        <v>1309</v>
      </c>
      <c r="P644" s="22" t="s">
        <v>1309</v>
      </c>
      <c r="Q644" s="20">
        <v>0</v>
      </c>
      <c r="R644" s="20">
        <v>0</v>
      </c>
      <c r="S644" s="20">
        <v>14.403</v>
      </c>
      <c r="T644" s="20">
        <v>14.403</v>
      </c>
      <c r="U644" s="20">
        <v>0</v>
      </c>
      <c r="V644" s="20">
        <v>0</v>
      </c>
      <c r="W644" s="20">
        <v>0</v>
      </c>
      <c r="X644" s="20">
        <v>0</v>
      </c>
      <c r="Y644" s="20">
        <v>0</v>
      </c>
      <c r="Z644" s="20">
        <v>0</v>
      </c>
      <c r="AA644" s="20" t="s">
        <v>1319</v>
      </c>
      <c r="AB644" s="22" t="s">
        <v>1311</v>
      </c>
      <c r="AC644" s="20">
        <v>0</v>
      </c>
      <c r="AD644" s="20">
        <v>1</v>
      </c>
      <c r="AE644" s="20">
        <v>2</v>
      </c>
      <c r="AF644" s="20">
        <v>0</v>
      </c>
      <c r="AG644" s="20">
        <v>2</v>
      </c>
      <c r="AH644" s="20">
        <v>2</v>
      </c>
      <c r="AI644" s="328" t="s">
        <v>1328</v>
      </c>
      <c r="AJ644" s="328">
        <v>1.3368983957219251</v>
      </c>
      <c r="AK644" s="328">
        <v>2.6737967914438503</v>
      </c>
      <c r="AL644" s="22" t="s">
        <v>1329</v>
      </c>
      <c r="AM644" s="22" t="s">
        <v>1330</v>
      </c>
      <c r="AN644" s="22" t="s">
        <v>1317</v>
      </c>
      <c r="AO644" s="22" t="s">
        <v>1318</v>
      </c>
      <c r="AP644" s="22" t="s">
        <v>1318</v>
      </c>
      <c r="AQ644" s="22" t="s">
        <v>1318</v>
      </c>
      <c r="AR644" s="22" t="s">
        <v>1317</v>
      </c>
      <c r="AS644" s="22" t="s">
        <v>1318</v>
      </c>
      <c r="AT644" s="22" t="s">
        <v>1317</v>
      </c>
      <c r="AU644" s="22" t="s">
        <v>1318</v>
      </c>
      <c r="AV644" s="22" t="s">
        <v>1317</v>
      </c>
      <c r="AW644" s="22" t="s">
        <v>1318</v>
      </c>
      <c r="AX644" s="22" t="s">
        <v>1317</v>
      </c>
      <c r="AY644" s="22" t="s">
        <v>1318</v>
      </c>
      <c r="AZ644" s="22" t="s">
        <v>1309</v>
      </c>
      <c r="BA644" s="22" t="s">
        <v>1309</v>
      </c>
      <c r="BB644" s="22" t="s">
        <v>1309</v>
      </c>
      <c r="BC644" s="22" t="s">
        <v>1309</v>
      </c>
      <c r="BD644" s="22" t="s">
        <v>1317</v>
      </c>
      <c r="BE644" s="22" t="s">
        <v>1318</v>
      </c>
      <c r="BF644" s="22" t="s">
        <v>1309</v>
      </c>
      <c r="BG644" s="22" t="s">
        <v>1309</v>
      </c>
      <c r="BH644" s="22" t="s">
        <v>1317</v>
      </c>
      <c r="BI644" s="22" t="s">
        <v>1318</v>
      </c>
      <c r="BJ644" s="22" t="s">
        <v>1317</v>
      </c>
      <c r="BK644" s="22" t="s">
        <v>1318</v>
      </c>
      <c r="BL644" s="22" t="s">
        <v>1317</v>
      </c>
      <c r="BM644" s="22" t="s">
        <v>1318</v>
      </c>
      <c r="BN644" s="22" t="s">
        <v>1309</v>
      </c>
      <c r="BO644" s="22" t="s">
        <v>1309</v>
      </c>
      <c r="BP644" s="22" t="s">
        <v>1309</v>
      </c>
      <c r="BQ644" s="22" t="s">
        <v>1309</v>
      </c>
      <c r="BR644" s="22" t="s">
        <v>1309</v>
      </c>
      <c r="BS644" s="22" t="s">
        <v>1309</v>
      </c>
      <c r="BT644" s="22" t="s">
        <v>1317</v>
      </c>
      <c r="BU644" s="22" t="s">
        <v>1318</v>
      </c>
      <c r="BV644" s="22" t="s">
        <v>1317</v>
      </c>
      <c r="BW644" s="22" t="s">
        <v>1318</v>
      </c>
      <c r="BX644" s="20">
        <v>53</v>
      </c>
      <c r="BY644" s="20">
        <v>0</v>
      </c>
      <c r="BZ644" s="20">
        <v>0</v>
      </c>
      <c r="CA644" s="20">
        <v>695</v>
      </c>
      <c r="CB644" s="20">
        <v>0</v>
      </c>
      <c r="CC644" s="20">
        <v>0</v>
      </c>
      <c r="CD644" s="22" t="s">
        <v>1331</v>
      </c>
      <c r="CE644" s="22" t="s">
        <v>1331</v>
      </c>
      <c r="CF644" s="22" t="s">
        <v>1331</v>
      </c>
      <c r="CG644" s="22" t="s">
        <v>1331</v>
      </c>
      <c r="CH644" s="22" t="s">
        <v>1317</v>
      </c>
      <c r="CI644" s="22" t="s">
        <v>1318</v>
      </c>
      <c r="CJ644" s="149" t="s">
        <v>1124</v>
      </c>
      <c r="CK644" s="241" t="s">
        <v>1124</v>
      </c>
    </row>
    <row r="645" spans="1:89" ht="15" customHeight="1" x14ac:dyDescent="0.35">
      <c r="A645" s="17"/>
      <c r="B645" s="313">
        <v>88065</v>
      </c>
      <c r="C645" s="8" t="s">
        <v>922</v>
      </c>
      <c r="D645" s="18">
        <v>8</v>
      </c>
      <c r="E645" s="131"/>
      <c r="F645" s="22"/>
      <c r="G645" s="132"/>
      <c r="H645" s="22"/>
      <c r="I645" s="22"/>
      <c r="J645" s="22"/>
      <c r="K645" s="22"/>
      <c r="L645" s="22"/>
      <c r="M645" s="133"/>
      <c r="N645" s="22"/>
      <c r="O645" s="22"/>
      <c r="P645" s="22"/>
      <c r="Q645" s="20"/>
      <c r="R645" s="20"/>
      <c r="S645" s="20"/>
      <c r="T645" s="20"/>
      <c r="U645" s="20"/>
      <c r="V645" s="20"/>
      <c r="W645" s="20"/>
      <c r="X645" s="20"/>
      <c r="Y645" s="20"/>
      <c r="Z645" s="20"/>
      <c r="AA645" s="20"/>
      <c r="AB645" s="22"/>
      <c r="AC645" s="20"/>
      <c r="AD645" s="20"/>
      <c r="AE645" s="20"/>
      <c r="AF645" s="20" t="s">
        <v>1124</v>
      </c>
      <c r="AG645" s="20" t="s">
        <v>1124</v>
      </c>
      <c r="AH645" s="20" t="s">
        <v>1124</v>
      </c>
      <c r="AI645" s="328"/>
      <c r="AJ645" s="328"/>
      <c r="AK645" s="328"/>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0"/>
      <c r="BY645" s="20"/>
      <c r="BZ645" s="20"/>
      <c r="CA645" s="20"/>
      <c r="CB645" s="20"/>
      <c r="CC645" s="20"/>
      <c r="CD645" s="22"/>
      <c r="CE645" s="22"/>
      <c r="CF645" s="22"/>
      <c r="CG645" s="22"/>
      <c r="CH645" s="22"/>
      <c r="CI645" s="22"/>
      <c r="CJ645" s="149"/>
      <c r="CK645" s="241"/>
    </row>
    <row r="646" spans="1:89" ht="15" customHeight="1" x14ac:dyDescent="0.35">
      <c r="A646" s="17"/>
      <c r="B646" s="313">
        <v>9030</v>
      </c>
      <c r="C646" s="8" t="s">
        <v>1102</v>
      </c>
      <c r="D646" s="18">
        <v>1</v>
      </c>
      <c r="E646" s="131"/>
      <c r="F646" s="22"/>
      <c r="G646" s="132"/>
      <c r="H646" s="22"/>
      <c r="I646" s="22"/>
      <c r="J646" s="22"/>
      <c r="K646" s="22"/>
      <c r="L646" s="22"/>
      <c r="M646" s="133"/>
      <c r="N646" s="22"/>
      <c r="O646" s="22"/>
      <c r="P646" s="22"/>
      <c r="Q646" s="20"/>
      <c r="R646" s="20"/>
      <c r="S646" s="20"/>
      <c r="T646" s="20"/>
      <c r="U646" s="20"/>
      <c r="V646" s="20"/>
      <c r="W646" s="20"/>
      <c r="X646" s="20"/>
      <c r="Y646" s="20"/>
      <c r="Z646" s="20"/>
      <c r="AA646" s="20"/>
      <c r="AB646" s="22"/>
      <c r="AC646" s="20"/>
      <c r="AD646" s="20"/>
      <c r="AE646" s="20"/>
      <c r="AF646" s="20" t="s">
        <v>1124</v>
      </c>
      <c r="AG646" s="20" t="s">
        <v>1124</v>
      </c>
      <c r="AH646" s="20" t="s">
        <v>1124</v>
      </c>
      <c r="AI646" s="328"/>
      <c r="AJ646" s="328"/>
      <c r="AK646" s="328"/>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0"/>
      <c r="BY646" s="20"/>
      <c r="BZ646" s="20"/>
      <c r="CA646" s="20"/>
      <c r="CB646" s="20"/>
      <c r="CC646" s="20"/>
      <c r="CD646" s="22"/>
      <c r="CE646" s="22"/>
      <c r="CF646" s="22"/>
      <c r="CG646" s="22"/>
      <c r="CH646" s="22"/>
      <c r="CI646" s="22"/>
      <c r="CJ646" s="149"/>
      <c r="CK646" s="241"/>
    </row>
    <row r="647" spans="1:89" ht="15" customHeight="1" x14ac:dyDescent="0.35">
      <c r="A647" s="17"/>
      <c r="B647" s="313">
        <v>62060</v>
      </c>
      <c r="C647" s="8" t="s">
        <v>628</v>
      </c>
      <c r="D647" s="18">
        <v>14</v>
      </c>
      <c r="E647" s="131"/>
      <c r="F647" s="22"/>
      <c r="G647" s="132"/>
      <c r="H647" s="22"/>
      <c r="I647" s="22"/>
      <c r="J647" s="22"/>
      <c r="K647" s="22"/>
      <c r="L647" s="22"/>
      <c r="M647" s="133"/>
      <c r="N647" s="22"/>
      <c r="O647" s="22"/>
      <c r="P647" s="22"/>
      <c r="Q647" s="20"/>
      <c r="R647" s="20"/>
      <c r="S647" s="20"/>
      <c r="T647" s="20"/>
      <c r="U647" s="20"/>
      <c r="V647" s="20"/>
      <c r="W647" s="20"/>
      <c r="X647" s="20"/>
      <c r="Y647" s="20"/>
      <c r="Z647" s="20"/>
      <c r="AA647" s="20"/>
      <c r="AB647" s="22"/>
      <c r="AC647" s="20"/>
      <c r="AD647" s="20"/>
      <c r="AE647" s="20"/>
      <c r="AF647" s="20" t="s">
        <v>1124</v>
      </c>
      <c r="AG647" s="20" t="s">
        <v>1124</v>
      </c>
      <c r="AH647" s="20" t="s">
        <v>1124</v>
      </c>
      <c r="AI647" s="328"/>
      <c r="AJ647" s="328"/>
      <c r="AK647" s="328"/>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0"/>
      <c r="BY647" s="20"/>
      <c r="BZ647" s="20"/>
      <c r="CA647" s="20"/>
      <c r="CB647" s="20"/>
      <c r="CC647" s="20"/>
      <c r="CD647" s="22"/>
      <c r="CE647" s="22"/>
      <c r="CF647" s="22"/>
      <c r="CG647" s="22"/>
      <c r="CH647" s="22"/>
      <c r="CI647" s="22"/>
      <c r="CJ647" s="149"/>
      <c r="CK647" s="241"/>
    </row>
    <row r="648" spans="1:89" ht="15" customHeight="1" x14ac:dyDescent="0.35">
      <c r="A648" s="17"/>
      <c r="B648" s="313">
        <v>77022</v>
      </c>
      <c r="C648" s="8" t="s">
        <v>758</v>
      </c>
      <c r="D648" s="18">
        <v>15</v>
      </c>
      <c r="E648" s="131" t="s">
        <v>1309</v>
      </c>
      <c r="F648" s="22" t="s">
        <v>1309</v>
      </c>
      <c r="G648" s="132" t="s">
        <v>1309</v>
      </c>
      <c r="H648" s="22" t="s">
        <v>1311</v>
      </c>
      <c r="I648" s="22" t="s">
        <v>1327</v>
      </c>
      <c r="J648" s="22" t="s">
        <v>1327</v>
      </c>
      <c r="K648" s="22" t="s">
        <v>1309</v>
      </c>
      <c r="L648" s="22" t="s">
        <v>1309</v>
      </c>
      <c r="M648" s="133" t="s">
        <v>1311</v>
      </c>
      <c r="N648" s="22" t="s">
        <v>1311</v>
      </c>
      <c r="O648" s="22" t="s">
        <v>1319</v>
      </c>
      <c r="P648" s="22" t="s">
        <v>1311</v>
      </c>
      <c r="Q648" s="20">
        <v>112</v>
      </c>
      <c r="R648" s="20">
        <v>112</v>
      </c>
      <c r="S648" s="20">
        <v>82.765000000000001</v>
      </c>
      <c r="T648" s="20">
        <v>82.765000000000001</v>
      </c>
      <c r="U648" s="20">
        <v>82.765000000000001</v>
      </c>
      <c r="V648" s="20">
        <v>82.765000000000001</v>
      </c>
      <c r="W648" s="20">
        <v>0</v>
      </c>
      <c r="X648" s="20">
        <v>0</v>
      </c>
      <c r="Y648" s="20">
        <v>0</v>
      </c>
      <c r="Z648" s="20">
        <v>0</v>
      </c>
      <c r="AA648" s="20" t="s">
        <v>1319</v>
      </c>
      <c r="AB648" s="22" t="s">
        <v>1311</v>
      </c>
      <c r="AC648" s="20">
        <v>24</v>
      </c>
      <c r="AD648" s="20">
        <v>6</v>
      </c>
      <c r="AE648" s="20">
        <v>10</v>
      </c>
      <c r="AF648" s="20">
        <v>1</v>
      </c>
      <c r="AG648" s="20">
        <v>3</v>
      </c>
      <c r="AH648" s="20">
        <v>24</v>
      </c>
      <c r="AI648" s="328">
        <v>14.687882496940027</v>
      </c>
      <c r="AJ648" s="328">
        <v>0.82667401488013226</v>
      </c>
      <c r="AK648" s="328">
        <v>1.3777900248002204</v>
      </c>
      <c r="AL648" s="22" t="s">
        <v>1338</v>
      </c>
      <c r="AM648" s="22" t="s">
        <v>1330</v>
      </c>
      <c r="AN648" s="22" t="s">
        <v>1317</v>
      </c>
      <c r="AO648" s="22" t="s">
        <v>1318</v>
      </c>
      <c r="AP648" s="22" t="s">
        <v>1318</v>
      </c>
      <c r="AQ648" s="22" t="s">
        <v>1318</v>
      </c>
      <c r="AR648" s="22" t="s">
        <v>1317</v>
      </c>
      <c r="AS648" s="22" t="s">
        <v>1318</v>
      </c>
      <c r="AT648" s="22" t="s">
        <v>1309</v>
      </c>
      <c r="AU648" s="22" t="s">
        <v>1309</v>
      </c>
      <c r="AV648" s="22" t="s">
        <v>1309</v>
      </c>
      <c r="AW648" s="22" t="s">
        <v>1309</v>
      </c>
      <c r="AX648" s="22" t="s">
        <v>1317</v>
      </c>
      <c r="AY648" s="22" t="s">
        <v>1318</v>
      </c>
      <c r="AZ648" s="22" t="s">
        <v>1309</v>
      </c>
      <c r="BA648" s="22" t="s">
        <v>1309</v>
      </c>
      <c r="BB648" s="22" t="s">
        <v>1309</v>
      </c>
      <c r="BC648" s="22" t="s">
        <v>1309</v>
      </c>
      <c r="BD648" s="22" t="s">
        <v>1319</v>
      </c>
      <c r="BE648" s="22" t="s">
        <v>1311</v>
      </c>
      <c r="BF648" s="22" t="s">
        <v>1317</v>
      </c>
      <c r="BG648" s="22" t="s">
        <v>1318</v>
      </c>
      <c r="BH648" s="22" t="s">
        <v>1309</v>
      </c>
      <c r="BI648" s="22" t="s">
        <v>1309</v>
      </c>
      <c r="BJ648" s="22" t="s">
        <v>1309</v>
      </c>
      <c r="BK648" s="22" t="s">
        <v>1309</v>
      </c>
      <c r="BL648" s="22" t="s">
        <v>1319</v>
      </c>
      <c r="BM648" s="22" t="s">
        <v>1311</v>
      </c>
      <c r="BN648" s="22" t="s">
        <v>1309</v>
      </c>
      <c r="BO648" s="22" t="s">
        <v>1309</v>
      </c>
      <c r="BP648" s="22" t="s">
        <v>1309</v>
      </c>
      <c r="BQ648" s="22" t="s">
        <v>1309</v>
      </c>
      <c r="BR648" s="22" t="s">
        <v>1319</v>
      </c>
      <c r="BS648" s="22" t="s">
        <v>1311</v>
      </c>
      <c r="BT648" s="22" t="s">
        <v>1317</v>
      </c>
      <c r="BU648" s="22" t="s">
        <v>1318</v>
      </c>
      <c r="BV648" s="22" t="s">
        <v>1317</v>
      </c>
      <c r="BW648" s="22" t="s">
        <v>1318</v>
      </c>
      <c r="BX648" s="20">
        <v>295</v>
      </c>
      <c r="BY648" s="20">
        <v>0</v>
      </c>
      <c r="BZ648" s="20">
        <v>124</v>
      </c>
      <c r="CA648" s="20">
        <v>0</v>
      </c>
      <c r="CB648" s="20">
        <v>4</v>
      </c>
      <c r="CC648" s="20">
        <v>6497</v>
      </c>
      <c r="CD648" s="22" t="s">
        <v>1320</v>
      </c>
      <c r="CE648" s="22" t="s">
        <v>1321</v>
      </c>
      <c r="CF648" s="22" t="s">
        <v>1317</v>
      </c>
      <c r="CG648" s="22" t="s">
        <v>1318</v>
      </c>
      <c r="CH648" s="22" t="s">
        <v>1413</v>
      </c>
      <c r="CI648" s="22" t="s">
        <v>1413</v>
      </c>
      <c r="CJ648" s="149" t="s">
        <v>1124</v>
      </c>
      <c r="CK648" s="241" t="s">
        <v>1124</v>
      </c>
    </row>
    <row r="649" spans="1:89" ht="15" customHeight="1" x14ac:dyDescent="0.35">
      <c r="A649" s="17"/>
      <c r="B649" s="313">
        <v>33017</v>
      </c>
      <c r="C649" s="8" t="s">
        <v>268</v>
      </c>
      <c r="D649" s="18">
        <v>12</v>
      </c>
      <c r="E649" s="131" t="s">
        <v>1319</v>
      </c>
      <c r="F649" s="22" t="s">
        <v>1490</v>
      </c>
      <c r="G649" s="132" t="s">
        <v>1309</v>
      </c>
      <c r="H649" s="22" t="s">
        <v>1311</v>
      </c>
      <c r="I649" s="22" t="s">
        <v>1327</v>
      </c>
      <c r="J649" s="22" t="s">
        <v>1327</v>
      </c>
      <c r="K649" s="22" t="s">
        <v>1314</v>
      </c>
      <c r="L649" s="22" t="s">
        <v>1311</v>
      </c>
      <c r="M649" s="133" t="s">
        <v>1311</v>
      </c>
      <c r="N649" s="22" t="s">
        <v>1311</v>
      </c>
      <c r="O649" s="22" t="s">
        <v>1314</v>
      </c>
      <c r="P649" s="22" t="s">
        <v>1318</v>
      </c>
      <c r="Q649" s="20">
        <v>7.1349999999999998</v>
      </c>
      <c r="R649" s="20">
        <v>7.1349999999999998</v>
      </c>
      <c r="S649" s="20">
        <v>0</v>
      </c>
      <c r="T649" s="20">
        <v>0</v>
      </c>
      <c r="U649" s="20">
        <v>0</v>
      </c>
      <c r="V649" s="20">
        <v>0</v>
      </c>
      <c r="W649" s="20">
        <v>0</v>
      </c>
      <c r="X649" s="20">
        <v>0</v>
      </c>
      <c r="Y649" s="20">
        <v>0</v>
      </c>
      <c r="Z649" s="20">
        <v>0</v>
      </c>
      <c r="AA649" s="20" t="s">
        <v>1317</v>
      </c>
      <c r="AB649" s="22" t="s">
        <v>1318</v>
      </c>
      <c r="AC649" s="20">
        <v>0</v>
      </c>
      <c r="AD649" s="20">
        <v>0</v>
      </c>
      <c r="AE649" s="20">
        <v>0</v>
      </c>
      <c r="AF649" s="20">
        <v>0</v>
      </c>
      <c r="AG649" s="20">
        <v>0</v>
      </c>
      <c r="AH649" s="20">
        <v>0</v>
      </c>
      <c r="AI649" s="328" t="s">
        <v>1328</v>
      </c>
      <c r="AJ649" s="328" t="s">
        <v>1328</v>
      </c>
      <c r="AK649" s="328" t="s">
        <v>1328</v>
      </c>
      <c r="AL649" s="22" t="s">
        <v>1329</v>
      </c>
      <c r="AM649" s="22" t="s">
        <v>1330</v>
      </c>
      <c r="AN649" s="22" t="s">
        <v>1317</v>
      </c>
      <c r="AO649" s="22" t="s">
        <v>1318</v>
      </c>
      <c r="AP649" s="22" t="s">
        <v>1318</v>
      </c>
      <c r="AQ649" s="22" t="s">
        <v>1318</v>
      </c>
      <c r="AR649" s="22" t="s">
        <v>1317</v>
      </c>
      <c r="AS649" s="22" t="s">
        <v>1311</v>
      </c>
      <c r="AT649" s="22" t="s">
        <v>1309</v>
      </c>
      <c r="AU649" s="22" t="s">
        <v>1309</v>
      </c>
      <c r="AV649" s="22" t="s">
        <v>1317</v>
      </c>
      <c r="AW649" s="22" t="s">
        <v>1318</v>
      </c>
      <c r="AX649" s="22" t="s">
        <v>1317</v>
      </c>
      <c r="AY649" s="22" t="s">
        <v>1318</v>
      </c>
      <c r="AZ649" s="22" t="s">
        <v>1309</v>
      </c>
      <c r="BA649" s="22" t="s">
        <v>1309</v>
      </c>
      <c r="BB649" s="22" t="s">
        <v>1309</v>
      </c>
      <c r="BC649" s="22" t="s">
        <v>1309</v>
      </c>
      <c r="BD649" s="22" t="s">
        <v>1317</v>
      </c>
      <c r="BE649" s="22" t="s">
        <v>1318</v>
      </c>
      <c r="BF649" s="22" t="s">
        <v>1317</v>
      </c>
      <c r="BG649" s="22" t="s">
        <v>1318</v>
      </c>
      <c r="BH649" s="22" t="s">
        <v>1309</v>
      </c>
      <c r="BI649" s="22" t="s">
        <v>1309</v>
      </c>
      <c r="BJ649" s="22" t="s">
        <v>1309</v>
      </c>
      <c r="BK649" s="22" t="s">
        <v>1309</v>
      </c>
      <c r="BL649" s="22" t="s">
        <v>1317</v>
      </c>
      <c r="BM649" s="22" t="s">
        <v>1318</v>
      </c>
      <c r="BN649" s="22" t="s">
        <v>1309</v>
      </c>
      <c r="BO649" s="22" t="s">
        <v>1309</v>
      </c>
      <c r="BP649" s="22" t="s">
        <v>1315</v>
      </c>
      <c r="BQ649" s="22" t="s">
        <v>1315</v>
      </c>
      <c r="BR649" s="22" t="s">
        <v>1309</v>
      </c>
      <c r="BS649" s="22" t="s">
        <v>1309</v>
      </c>
      <c r="BT649" s="22" t="s">
        <v>1309</v>
      </c>
      <c r="BU649" s="22" t="s">
        <v>1309</v>
      </c>
      <c r="BV649" s="22" t="s">
        <v>1317</v>
      </c>
      <c r="BW649" s="22" t="s">
        <v>1318</v>
      </c>
      <c r="BX649" s="20">
        <v>1</v>
      </c>
      <c r="BY649" s="20">
        <v>1</v>
      </c>
      <c r="BZ649" s="20">
        <v>28</v>
      </c>
      <c r="CA649" s="20">
        <v>0</v>
      </c>
      <c r="CB649" s="20">
        <v>0</v>
      </c>
      <c r="CC649" s="20">
        <v>272</v>
      </c>
      <c r="CD649" s="22" t="s">
        <v>1317</v>
      </c>
      <c r="CE649" s="22" t="s">
        <v>1318</v>
      </c>
      <c r="CF649" s="22" t="s">
        <v>1317</v>
      </c>
      <c r="CG649" s="22" t="s">
        <v>1318</v>
      </c>
      <c r="CH649" s="22" t="s">
        <v>1317</v>
      </c>
      <c r="CI649" s="22" t="s">
        <v>1318</v>
      </c>
      <c r="CJ649" s="149" t="s">
        <v>1124</v>
      </c>
      <c r="CK649" s="241" t="s">
        <v>1124</v>
      </c>
    </row>
    <row r="650" spans="1:89" ht="15" customHeight="1" x14ac:dyDescent="0.35">
      <c r="A650" s="17"/>
      <c r="B650" s="313">
        <v>78032</v>
      </c>
      <c r="C650" s="8" t="s">
        <v>770</v>
      </c>
      <c r="D650" s="18">
        <v>15</v>
      </c>
      <c r="E650" s="131" t="s">
        <v>1309</v>
      </c>
      <c r="F650" s="22" t="s">
        <v>1309</v>
      </c>
      <c r="G650" s="132" t="s">
        <v>1309</v>
      </c>
      <c r="H650" s="22" t="s">
        <v>1311</v>
      </c>
      <c r="I650" s="22" t="s">
        <v>1351</v>
      </c>
      <c r="J650" s="22" t="s">
        <v>1342</v>
      </c>
      <c r="K650" s="22" t="s">
        <v>1314</v>
      </c>
      <c r="L650" s="22" t="s">
        <v>1311</v>
      </c>
      <c r="M650" s="133" t="s">
        <v>1311</v>
      </c>
      <c r="N650" s="22" t="s">
        <v>1311</v>
      </c>
      <c r="O650" s="22" t="s">
        <v>1309</v>
      </c>
      <c r="P650" s="22" t="s">
        <v>1309</v>
      </c>
      <c r="Q650" s="20">
        <v>0</v>
      </c>
      <c r="R650" s="20">
        <v>0</v>
      </c>
      <c r="S650" s="20">
        <v>0</v>
      </c>
      <c r="T650" s="20">
        <v>0</v>
      </c>
      <c r="U650" s="20">
        <v>72.191000000000003</v>
      </c>
      <c r="V650" s="20">
        <v>112.05800000000001</v>
      </c>
      <c r="W650" s="20">
        <v>0</v>
      </c>
      <c r="X650" s="20">
        <v>0</v>
      </c>
      <c r="Y650" s="20">
        <v>0</v>
      </c>
      <c r="Z650" s="20">
        <v>0</v>
      </c>
      <c r="AA650" s="20" t="s">
        <v>1309</v>
      </c>
      <c r="AB650" s="22" t="s">
        <v>1311</v>
      </c>
      <c r="AC650" s="20">
        <v>10</v>
      </c>
      <c r="AD650" s="20">
        <v>0</v>
      </c>
      <c r="AE650" s="20">
        <v>0</v>
      </c>
      <c r="AF650" s="20">
        <v>5</v>
      </c>
      <c r="AG650" s="20">
        <v>0</v>
      </c>
      <c r="AH650" s="20">
        <v>0</v>
      </c>
      <c r="AI650" s="328">
        <v>8.9239500972710548</v>
      </c>
      <c r="AJ650" s="328" t="s">
        <v>1328</v>
      </c>
      <c r="AK650" s="328" t="s">
        <v>1328</v>
      </c>
      <c r="AL650" s="22" t="s">
        <v>1329</v>
      </c>
      <c r="AM650" s="22" t="s">
        <v>1330</v>
      </c>
      <c r="AN650" s="22" t="s">
        <v>1317</v>
      </c>
      <c r="AO650" s="22" t="s">
        <v>1318</v>
      </c>
      <c r="AP650" s="22" t="s">
        <v>1318</v>
      </c>
      <c r="AQ650" s="22" t="s">
        <v>1318</v>
      </c>
      <c r="AR650" s="22" t="s">
        <v>1317</v>
      </c>
      <c r="AS650" s="22" t="s">
        <v>1318</v>
      </c>
      <c r="AT650" s="22" t="s">
        <v>1309</v>
      </c>
      <c r="AU650" s="22" t="s">
        <v>1311</v>
      </c>
      <c r="AV650" s="22" t="s">
        <v>1309</v>
      </c>
      <c r="AW650" s="22" t="s">
        <v>1311</v>
      </c>
      <c r="AX650" s="22" t="s">
        <v>1317</v>
      </c>
      <c r="AY650" s="22" t="s">
        <v>1318</v>
      </c>
      <c r="AZ650" s="22" t="s">
        <v>1309</v>
      </c>
      <c r="BA650" s="22" t="s">
        <v>1311</v>
      </c>
      <c r="BB650" s="22" t="s">
        <v>1309</v>
      </c>
      <c r="BC650" s="22" t="s">
        <v>1311</v>
      </c>
      <c r="BD650" s="22" t="s">
        <v>1309</v>
      </c>
      <c r="BE650" s="22" t="s">
        <v>1311</v>
      </c>
      <c r="BF650" s="22" t="s">
        <v>1317</v>
      </c>
      <c r="BG650" s="22" t="s">
        <v>1318</v>
      </c>
      <c r="BH650" s="22" t="s">
        <v>1309</v>
      </c>
      <c r="BI650" s="22" t="s">
        <v>1311</v>
      </c>
      <c r="BJ650" s="22" t="s">
        <v>1317</v>
      </c>
      <c r="BK650" s="22" t="s">
        <v>1318</v>
      </c>
      <c r="BL650" s="22" t="s">
        <v>1319</v>
      </c>
      <c r="BM650" s="22" t="s">
        <v>1311</v>
      </c>
      <c r="BN650" s="22" t="s">
        <v>1317</v>
      </c>
      <c r="BO650" s="22" t="s">
        <v>1318</v>
      </c>
      <c r="BP650" s="22" t="s">
        <v>1317</v>
      </c>
      <c r="BQ650" s="22" t="s">
        <v>1318</v>
      </c>
      <c r="BR650" s="22" t="s">
        <v>1309</v>
      </c>
      <c r="BS650" s="22" t="s">
        <v>1311</v>
      </c>
      <c r="BT650" s="22" t="s">
        <v>1317</v>
      </c>
      <c r="BU650" s="22" t="s">
        <v>1318</v>
      </c>
      <c r="BV650" s="22" t="s">
        <v>1309</v>
      </c>
      <c r="BW650" s="22" t="s">
        <v>1311</v>
      </c>
      <c r="BX650" s="20">
        <v>0</v>
      </c>
      <c r="BY650" s="20">
        <v>196</v>
      </c>
      <c r="BZ650" s="20">
        <v>1420</v>
      </c>
      <c r="CA650" s="20">
        <v>0</v>
      </c>
      <c r="CB650" s="20">
        <v>60</v>
      </c>
      <c r="CC650" s="20">
        <v>3713</v>
      </c>
      <c r="CD650" s="22" t="s">
        <v>1345</v>
      </c>
      <c r="CE650" s="22" t="s">
        <v>1321</v>
      </c>
      <c r="CF650" s="22" t="s">
        <v>1345</v>
      </c>
      <c r="CG650" s="22" t="s">
        <v>1331</v>
      </c>
      <c r="CH650" s="22" t="s">
        <v>1317</v>
      </c>
      <c r="CI650" s="22" t="s">
        <v>1318</v>
      </c>
      <c r="CJ650" s="149" t="s">
        <v>3693</v>
      </c>
      <c r="CK650" s="241" t="s">
        <v>1503</v>
      </c>
    </row>
    <row r="651" spans="1:89" ht="15" customHeight="1" x14ac:dyDescent="0.35">
      <c r="A651" s="17"/>
      <c r="B651" s="314">
        <v>9035</v>
      </c>
      <c r="C651" s="8" t="s">
        <v>1103</v>
      </c>
      <c r="D651" s="18">
        <v>1</v>
      </c>
      <c r="E651" s="131" t="s">
        <v>1309</v>
      </c>
      <c r="F651" s="22" t="s">
        <v>1309</v>
      </c>
      <c r="G651" s="132" t="s">
        <v>1309</v>
      </c>
      <c r="H651" s="22" t="s">
        <v>1311</v>
      </c>
      <c r="I651" s="22" t="s">
        <v>1312</v>
      </c>
      <c r="J651" s="22" t="s">
        <v>1327</v>
      </c>
      <c r="K651" s="22" t="s">
        <v>1314</v>
      </c>
      <c r="L651" s="22" t="s">
        <v>1311</v>
      </c>
      <c r="M651" s="133" t="s">
        <v>1311</v>
      </c>
      <c r="N651" s="22" t="s">
        <v>1311</v>
      </c>
      <c r="O651" s="22" t="s">
        <v>1314</v>
      </c>
      <c r="P651" s="22" t="s">
        <v>1318</v>
      </c>
      <c r="Q651" s="20">
        <v>0</v>
      </c>
      <c r="R651" s="20">
        <v>0</v>
      </c>
      <c r="S651" s="20">
        <v>0</v>
      </c>
      <c r="T651" s="20">
        <v>0</v>
      </c>
      <c r="U651" s="20">
        <v>4.1150000000000002</v>
      </c>
      <c r="V651" s="20">
        <v>4.25</v>
      </c>
      <c r="W651" s="20">
        <v>0</v>
      </c>
      <c r="X651" s="20">
        <v>0</v>
      </c>
      <c r="Y651" s="20">
        <v>0</v>
      </c>
      <c r="Z651" s="20">
        <v>0</v>
      </c>
      <c r="AA651" s="20" t="s">
        <v>1309</v>
      </c>
      <c r="AB651" s="22" t="s">
        <v>1309</v>
      </c>
      <c r="AC651" s="20">
        <v>0</v>
      </c>
      <c r="AD651" s="20">
        <v>0</v>
      </c>
      <c r="AE651" s="20">
        <v>0</v>
      </c>
      <c r="AF651" s="20">
        <v>0</v>
      </c>
      <c r="AG651" s="20">
        <v>0</v>
      </c>
      <c r="AH651" s="20">
        <v>0</v>
      </c>
      <c r="AI651" s="328" t="s">
        <v>1328</v>
      </c>
      <c r="AJ651" s="328" t="s">
        <v>1328</v>
      </c>
      <c r="AK651" s="328" t="s">
        <v>1328</v>
      </c>
      <c r="AL651" s="22" t="s">
        <v>1329</v>
      </c>
      <c r="AM651" s="22" t="s">
        <v>1330</v>
      </c>
      <c r="AN651" s="22" t="s">
        <v>1317</v>
      </c>
      <c r="AO651" s="22" t="s">
        <v>1318</v>
      </c>
      <c r="AP651" s="22" t="s">
        <v>1318</v>
      </c>
      <c r="AQ651" s="22" t="s">
        <v>1318</v>
      </c>
      <c r="AR651" s="22" t="s">
        <v>1317</v>
      </c>
      <c r="AS651" s="22" t="s">
        <v>1318</v>
      </c>
      <c r="AT651" s="22" t="s">
        <v>1317</v>
      </c>
      <c r="AU651" s="22" t="s">
        <v>1318</v>
      </c>
      <c r="AV651" s="22" t="s">
        <v>1319</v>
      </c>
      <c r="AW651" s="22" t="s">
        <v>1311</v>
      </c>
      <c r="AX651" s="22" t="s">
        <v>1317</v>
      </c>
      <c r="AY651" s="22" t="s">
        <v>1318</v>
      </c>
      <c r="AZ651" s="22" t="s">
        <v>1309</v>
      </c>
      <c r="BA651" s="22" t="s">
        <v>1309</v>
      </c>
      <c r="BB651" s="22" t="s">
        <v>1317</v>
      </c>
      <c r="BC651" s="22" t="s">
        <v>1311</v>
      </c>
      <c r="BD651" s="22" t="s">
        <v>1317</v>
      </c>
      <c r="BE651" s="22" t="s">
        <v>1318</v>
      </c>
      <c r="BF651" s="22" t="s">
        <v>1317</v>
      </c>
      <c r="BG651" s="22" t="s">
        <v>1318</v>
      </c>
      <c r="BH651" s="22" t="s">
        <v>1317</v>
      </c>
      <c r="BI651" s="22" t="s">
        <v>1311</v>
      </c>
      <c r="BJ651" s="22" t="s">
        <v>1317</v>
      </c>
      <c r="BK651" s="22" t="s">
        <v>1318</v>
      </c>
      <c r="BL651" s="22" t="s">
        <v>1309</v>
      </c>
      <c r="BM651" s="22" t="s">
        <v>1309</v>
      </c>
      <c r="BN651" s="22" t="s">
        <v>1309</v>
      </c>
      <c r="BO651" s="22" t="s">
        <v>1309</v>
      </c>
      <c r="BP651" s="22" t="s">
        <v>1317</v>
      </c>
      <c r="BQ651" s="22" t="s">
        <v>1318</v>
      </c>
      <c r="BR651" s="22" t="s">
        <v>1317</v>
      </c>
      <c r="BS651" s="22" t="s">
        <v>1318</v>
      </c>
      <c r="BT651" s="22" t="s">
        <v>1317</v>
      </c>
      <c r="BU651" s="22" t="s">
        <v>1318</v>
      </c>
      <c r="BV651" s="22" t="s">
        <v>1309</v>
      </c>
      <c r="BW651" s="22" t="s">
        <v>1309</v>
      </c>
      <c r="BX651" s="20">
        <v>0</v>
      </c>
      <c r="BY651" s="20">
        <v>0</v>
      </c>
      <c r="BZ651" s="20">
        <v>7</v>
      </c>
      <c r="CA651" s="20">
        <v>0</v>
      </c>
      <c r="CB651" s="20">
        <v>0</v>
      </c>
      <c r="CC651" s="20">
        <v>283</v>
      </c>
      <c r="CD651" s="22" t="s">
        <v>1317</v>
      </c>
      <c r="CE651" s="22" t="s">
        <v>1318</v>
      </c>
      <c r="CF651" s="22" t="s">
        <v>1317</v>
      </c>
      <c r="CG651" s="22" t="s">
        <v>1318</v>
      </c>
      <c r="CH651" s="22" t="s">
        <v>1317</v>
      </c>
      <c r="CI651" s="22" t="s">
        <v>1318</v>
      </c>
      <c r="CJ651" s="149" t="s">
        <v>1124</v>
      </c>
      <c r="CK651" s="241" t="s">
        <v>2767</v>
      </c>
    </row>
    <row r="652" spans="1:89" ht="15" customHeight="1" x14ac:dyDescent="0.35">
      <c r="A652" s="17"/>
      <c r="B652" s="313">
        <v>55030</v>
      </c>
      <c r="C652" s="8" t="s">
        <v>562</v>
      </c>
      <c r="D652" s="18">
        <v>16</v>
      </c>
      <c r="E652" s="131" t="s">
        <v>1309</v>
      </c>
      <c r="F652" s="22" t="s">
        <v>1309</v>
      </c>
      <c r="G652" s="132" t="s">
        <v>1309</v>
      </c>
      <c r="H652" s="22" t="s">
        <v>1311</v>
      </c>
      <c r="I652" s="22" t="s">
        <v>1327</v>
      </c>
      <c r="J652" s="22" t="s">
        <v>1327</v>
      </c>
      <c r="K652" s="22" t="s">
        <v>1314</v>
      </c>
      <c r="L652" s="22" t="s">
        <v>1311</v>
      </c>
      <c r="M652" s="133" t="s">
        <v>1311</v>
      </c>
      <c r="N652" s="22" t="s">
        <v>1311</v>
      </c>
      <c r="O652" s="22" t="s">
        <v>1309</v>
      </c>
      <c r="P652" s="22" t="s">
        <v>1309</v>
      </c>
      <c r="Q652" s="20">
        <v>8.1639999999999997</v>
      </c>
      <c r="R652" s="20">
        <v>8.1639999999999997</v>
      </c>
      <c r="S652" s="20">
        <v>8.1639999999999997</v>
      </c>
      <c r="T652" s="20">
        <v>8.1639999999999997</v>
      </c>
      <c r="U652" s="20">
        <v>0</v>
      </c>
      <c r="V652" s="20">
        <v>0</v>
      </c>
      <c r="W652" s="20">
        <v>0</v>
      </c>
      <c r="X652" s="20">
        <v>0</v>
      </c>
      <c r="Y652" s="20">
        <v>0</v>
      </c>
      <c r="Z652" s="20">
        <v>0</v>
      </c>
      <c r="AA652" s="20" t="s">
        <v>1317</v>
      </c>
      <c r="AB652" s="22" t="s">
        <v>1318</v>
      </c>
      <c r="AC652" s="20">
        <v>1</v>
      </c>
      <c r="AD652" s="20">
        <v>1</v>
      </c>
      <c r="AE652" s="20">
        <v>0</v>
      </c>
      <c r="AF652" s="20">
        <v>1</v>
      </c>
      <c r="AG652" s="20">
        <v>1</v>
      </c>
      <c r="AH652" s="20">
        <v>0</v>
      </c>
      <c r="AI652" s="328">
        <v>9.9364069952305254</v>
      </c>
      <c r="AJ652" s="328">
        <v>2.5062656641604009</v>
      </c>
      <c r="AK652" s="328" t="s">
        <v>1328</v>
      </c>
      <c r="AL652" s="22" t="s">
        <v>1329</v>
      </c>
      <c r="AM652" s="22" t="s">
        <v>1330</v>
      </c>
      <c r="AN652" s="22" t="s">
        <v>1317</v>
      </c>
      <c r="AO652" s="22" t="s">
        <v>1318</v>
      </c>
      <c r="AP652" s="22" t="s">
        <v>1318</v>
      </c>
      <c r="AQ652" s="22" t="s">
        <v>1318</v>
      </c>
      <c r="AR652" s="22" t="s">
        <v>1317</v>
      </c>
      <c r="AS652" s="22" t="s">
        <v>1318</v>
      </c>
      <c r="AT652" s="22" t="s">
        <v>1317</v>
      </c>
      <c r="AU652" s="22" t="s">
        <v>1318</v>
      </c>
      <c r="AV652" s="22" t="s">
        <v>1317</v>
      </c>
      <c r="AW652" s="22" t="s">
        <v>1318</v>
      </c>
      <c r="AX652" s="22" t="s">
        <v>1317</v>
      </c>
      <c r="AY652" s="22" t="s">
        <v>1318</v>
      </c>
      <c r="AZ652" s="22" t="s">
        <v>1309</v>
      </c>
      <c r="BA652" s="22" t="s">
        <v>1309</v>
      </c>
      <c r="BB652" s="22" t="s">
        <v>1309</v>
      </c>
      <c r="BC652" s="22" t="s">
        <v>1309</v>
      </c>
      <c r="BD652" s="22" t="s">
        <v>1309</v>
      </c>
      <c r="BE652" s="22" t="s">
        <v>1309</v>
      </c>
      <c r="BF652" s="22" t="s">
        <v>1309</v>
      </c>
      <c r="BG652" s="22" t="s">
        <v>1309</v>
      </c>
      <c r="BH652" s="22" t="s">
        <v>1317</v>
      </c>
      <c r="BI652" s="22" t="s">
        <v>1318</v>
      </c>
      <c r="BJ652" s="22" t="s">
        <v>1317</v>
      </c>
      <c r="BK652" s="22" t="s">
        <v>1318</v>
      </c>
      <c r="BL652" s="22" t="s">
        <v>1317</v>
      </c>
      <c r="BM652" s="22" t="s">
        <v>1318</v>
      </c>
      <c r="BN652" s="22" t="s">
        <v>1317</v>
      </c>
      <c r="BO652" s="22" t="s">
        <v>1318</v>
      </c>
      <c r="BP652" s="22" t="s">
        <v>1317</v>
      </c>
      <c r="BQ652" s="22" t="s">
        <v>1318</v>
      </c>
      <c r="BR652" s="22" t="s">
        <v>1309</v>
      </c>
      <c r="BS652" s="22" t="s">
        <v>1309</v>
      </c>
      <c r="BT652" s="22" t="s">
        <v>1317</v>
      </c>
      <c r="BU652" s="22" t="s">
        <v>1318</v>
      </c>
      <c r="BV652" s="22" t="s">
        <v>1319</v>
      </c>
      <c r="BW652" s="22" t="s">
        <v>1311</v>
      </c>
      <c r="BX652" s="20">
        <v>13</v>
      </c>
      <c r="BY652" s="20">
        <v>0</v>
      </c>
      <c r="BZ652" s="20">
        <v>1</v>
      </c>
      <c r="CA652" s="20">
        <v>385</v>
      </c>
      <c r="CB652" s="20">
        <v>0</v>
      </c>
      <c r="CC652" s="20">
        <v>0</v>
      </c>
      <c r="CD652" s="22" t="s">
        <v>1331</v>
      </c>
      <c r="CE652" s="22" t="s">
        <v>1331</v>
      </c>
      <c r="CF652" s="22" t="s">
        <v>1315</v>
      </c>
      <c r="CG652" s="22" t="s">
        <v>1315</v>
      </c>
      <c r="CH652" s="22" t="s">
        <v>1317</v>
      </c>
      <c r="CI652" s="22" t="s">
        <v>1318</v>
      </c>
      <c r="CJ652" s="149" t="s">
        <v>1124</v>
      </c>
      <c r="CK652" s="241" t="s">
        <v>2771</v>
      </c>
    </row>
    <row r="653" spans="1:89" ht="15" customHeight="1" x14ac:dyDescent="0.35">
      <c r="A653" s="17"/>
      <c r="B653" s="313">
        <v>51055</v>
      </c>
      <c r="C653" s="8" t="s">
        <v>507</v>
      </c>
      <c r="D653" s="18">
        <v>4</v>
      </c>
      <c r="E653" s="131" t="s">
        <v>1309</v>
      </c>
      <c r="F653" s="22" t="s">
        <v>1309</v>
      </c>
      <c r="G653" s="132" t="s">
        <v>1309</v>
      </c>
      <c r="H653" s="22" t="s">
        <v>1311</v>
      </c>
      <c r="I653" s="22" t="s">
        <v>1327</v>
      </c>
      <c r="J653" s="22" t="s">
        <v>1327</v>
      </c>
      <c r="K653" s="22" t="s">
        <v>1314</v>
      </c>
      <c r="L653" s="22" t="s">
        <v>1311</v>
      </c>
      <c r="M653" s="133" t="s">
        <v>1311</v>
      </c>
      <c r="N653" s="22" t="s">
        <v>1311</v>
      </c>
      <c r="O653" s="22" t="s">
        <v>1309</v>
      </c>
      <c r="P653" s="22" t="s">
        <v>1309</v>
      </c>
      <c r="Q653" s="20">
        <v>0</v>
      </c>
      <c r="R653" s="20">
        <v>0</v>
      </c>
      <c r="S653" s="20">
        <v>17.698499999999999</v>
      </c>
      <c r="T653" s="20">
        <v>0</v>
      </c>
      <c r="U653" s="20">
        <v>0</v>
      </c>
      <c r="V653" s="20">
        <v>11.798999999999999</v>
      </c>
      <c r="W653" s="20">
        <v>0</v>
      </c>
      <c r="X653" s="20">
        <v>0</v>
      </c>
      <c r="Y653" s="20">
        <v>0</v>
      </c>
      <c r="Z653" s="20">
        <v>0</v>
      </c>
      <c r="AA653" s="20" t="s">
        <v>1317</v>
      </c>
      <c r="AB653" s="22" t="s">
        <v>1311</v>
      </c>
      <c r="AC653" s="20">
        <v>0</v>
      </c>
      <c r="AD653" s="20">
        <v>3</v>
      </c>
      <c r="AE653" s="20">
        <v>0</v>
      </c>
      <c r="AF653" s="20">
        <v>0</v>
      </c>
      <c r="AG653" s="20">
        <v>1</v>
      </c>
      <c r="AH653" s="20">
        <v>0</v>
      </c>
      <c r="AI653" s="328" t="s">
        <v>1328</v>
      </c>
      <c r="AJ653" s="328">
        <v>11.764705882352942</v>
      </c>
      <c r="AK653" s="328" t="s">
        <v>1328</v>
      </c>
      <c r="AL653" s="22" t="s">
        <v>1329</v>
      </c>
      <c r="AM653" s="22" t="s">
        <v>1330</v>
      </c>
      <c r="AN653" s="22" t="s">
        <v>1317</v>
      </c>
      <c r="AO653" s="22" t="s">
        <v>1318</v>
      </c>
      <c r="AP653" s="22" t="s">
        <v>1318</v>
      </c>
      <c r="AQ653" s="22" t="s">
        <v>1318</v>
      </c>
      <c r="AR653" s="22" t="s">
        <v>1315</v>
      </c>
      <c r="AS653" s="22" t="s">
        <v>1315</v>
      </c>
      <c r="AT653" s="22" t="s">
        <v>1309</v>
      </c>
      <c r="AU653" s="22" t="s">
        <v>1309</v>
      </c>
      <c r="AV653" s="22" t="s">
        <v>1317</v>
      </c>
      <c r="AW653" s="22" t="s">
        <v>1318</v>
      </c>
      <c r="AX653" s="22" t="s">
        <v>1317</v>
      </c>
      <c r="AY653" s="22" t="s">
        <v>1318</v>
      </c>
      <c r="AZ653" s="22" t="s">
        <v>1309</v>
      </c>
      <c r="BA653" s="22" t="s">
        <v>1309</v>
      </c>
      <c r="BB653" s="22" t="s">
        <v>1309</v>
      </c>
      <c r="BC653" s="22" t="s">
        <v>1309</v>
      </c>
      <c r="BD653" s="22" t="s">
        <v>1309</v>
      </c>
      <c r="BE653" s="22" t="s">
        <v>1309</v>
      </c>
      <c r="BF653" s="22" t="s">
        <v>1317</v>
      </c>
      <c r="BG653" s="22" t="s">
        <v>1318</v>
      </c>
      <c r="BH653" s="22" t="s">
        <v>1317</v>
      </c>
      <c r="BI653" s="22" t="s">
        <v>1318</v>
      </c>
      <c r="BJ653" s="22" t="s">
        <v>1317</v>
      </c>
      <c r="BK653" s="22" t="s">
        <v>1318</v>
      </c>
      <c r="BL653" s="22" t="s">
        <v>1309</v>
      </c>
      <c r="BM653" s="22" t="s">
        <v>1309</v>
      </c>
      <c r="BN653" s="22" t="s">
        <v>1309</v>
      </c>
      <c r="BO653" s="22" t="s">
        <v>1309</v>
      </c>
      <c r="BP653" s="22" t="s">
        <v>1315</v>
      </c>
      <c r="BQ653" s="22" t="s">
        <v>1315</v>
      </c>
      <c r="BR653" s="22" t="s">
        <v>1317</v>
      </c>
      <c r="BS653" s="22" t="s">
        <v>1311</v>
      </c>
      <c r="BT653" s="22" t="s">
        <v>1309</v>
      </c>
      <c r="BU653" s="22" t="s">
        <v>1309</v>
      </c>
      <c r="BV653" s="22" t="s">
        <v>1309</v>
      </c>
      <c r="BW653" s="22" t="s">
        <v>1309</v>
      </c>
      <c r="BX653" s="20">
        <v>3</v>
      </c>
      <c r="BY653" s="20">
        <v>13</v>
      </c>
      <c r="BZ653" s="20">
        <v>2</v>
      </c>
      <c r="CA653" s="20">
        <v>0</v>
      </c>
      <c r="CB653" s="20">
        <v>20</v>
      </c>
      <c r="CC653" s="20">
        <v>217</v>
      </c>
      <c r="CD653" s="22" t="s">
        <v>1345</v>
      </c>
      <c r="CE653" s="22" t="s">
        <v>1321</v>
      </c>
      <c r="CF653" s="22" t="s">
        <v>1331</v>
      </c>
      <c r="CG653" s="22" t="s">
        <v>1331</v>
      </c>
      <c r="CH653" s="22" t="s">
        <v>1317</v>
      </c>
      <c r="CI653" s="22" t="s">
        <v>1318</v>
      </c>
      <c r="CJ653" s="149" t="s">
        <v>2775</v>
      </c>
      <c r="CK653" s="241" t="s">
        <v>1356</v>
      </c>
    </row>
    <row r="654" spans="1:89" ht="15" customHeight="1" x14ac:dyDescent="0.35">
      <c r="A654" s="17"/>
      <c r="B654" s="313">
        <v>21030</v>
      </c>
      <c r="C654" s="8" t="s">
        <v>149</v>
      </c>
      <c r="D654" s="18">
        <v>3</v>
      </c>
      <c r="E654" s="131" t="s">
        <v>1319</v>
      </c>
      <c r="F654" s="22" t="s">
        <v>1310</v>
      </c>
      <c r="G654" s="132" t="s">
        <v>1309</v>
      </c>
      <c r="H654" s="22" t="s">
        <v>1311</v>
      </c>
      <c r="I654" s="22" t="s">
        <v>1349</v>
      </c>
      <c r="J654" s="22" t="s">
        <v>1313</v>
      </c>
      <c r="K654" s="22" t="s">
        <v>1314</v>
      </c>
      <c r="L654" s="22" t="s">
        <v>1311</v>
      </c>
      <c r="M654" s="133" t="s">
        <v>1311</v>
      </c>
      <c r="N654" s="22" t="s">
        <v>1311</v>
      </c>
      <c r="O654" s="22" t="s">
        <v>1314</v>
      </c>
      <c r="P654" s="22" t="s">
        <v>1318</v>
      </c>
      <c r="Q654" s="20">
        <v>0</v>
      </c>
      <c r="R654" s="20">
        <v>0</v>
      </c>
      <c r="S654" s="20">
        <v>0</v>
      </c>
      <c r="T654" s="20">
        <v>0</v>
      </c>
      <c r="U654" s="20">
        <v>0</v>
      </c>
      <c r="V654" s="20">
        <v>27.995999999999999</v>
      </c>
      <c r="W654" s="20">
        <v>0</v>
      </c>
      <c r="X654" s="20">
        <v>0</v>
      </c>
      <c r="Y654" s="20">
        <v>0</v>
      </c>
      <c r="Z654" s="20">
        <v>0</v>
      </c>
      <c r="AA654" s="20" t="s">
        <v>1317</v>
      </c>
      <c r="AB654" s="22" t="s">
        <v>1311</v>
      </c>
      <c r="AC654" s="20">
        <v>7</v>
      </c>
      <c r="AD654" s="20">
        <v>7</v>
      </c>
      <c r="AE654" s="20">
        <v>0</v>
      </c>
      <c r="AF654" s="20">
        <v>1</v>
      </c>
      <c r="AG654" s="20">
        <v>1</v>
      </c>
      <c r="AH654" s="20">
        <v>0</v>
      </c>
      <c r="AI654" s="328">
        <v>25.00357193884841</v>
      </c>
      <c r="AJ654" s="328">
        <v>4.7781569965870307</v>
      </c>
      <c r="AK654" s="328" t="s">
        <v>1328</v>
      </c>
      <c r="AL654" s="22" t="s">
        <v>1329</v>
      </c>
      <c r="AM654" s="22" t="s">
        <v>1330</v>
      </c>
      <c r="AN654" s="22" t="s">
        <v>1317</v>
      </c>
      <c r="AO654" s="22" t="s">
        <v>1318</v>
      </c>
      <c r="AP654" s="22" t="s">
        <v>1318</v>
      </c>
      <c r="AQ654" s="22" t="s">
        <v>1313</v>
      </c>
      <c r="AR654" s="22" t="s">
        <v>1317</v>
      </c>
      <c r="AS654" s="22" t="s">
        <v>1318</v>
      </c>
      <c r="AT654" s="22" t="s">
        <v>1317</v>
      </c>
      <c r="AU654" s="22" t="s">
        <v>1318</v>
      </c>
      <c r="AV654" s="22" t="s">
        <v>1317</v>
      </c>
      <c r="AW654" s="22" t="s">
        <v>1311</v>
      </c>
      <c r="AX654" s="22" t="s">
        <v>1317</v>
      </c>
      <c r="AY654" s="22" t="s">
        <v>1318</v>
      </c>
      <c r="AZ654" s="22" t="s">
        <v>1309</v>
      </c>
      <c r="BA654" s="22" t="s">
        <v>1309</v>
      </c>
      <c r="BB654" s="22" t="s">
        <v>1309</v>
      </c>
      <c r="BC654" s="22" t="s">
        <v>1309</v>
      </c>
      <c r="BD654" s="22" t="s">
        <v>1317</v>
      </c>
      <c r="BE654" s="22" t="s">
        <v>1318</v>
      </c>
      <c r="BF654" s="22" t="s">
        <v>1317</v>
      </c>
      <c r="BG654" s="22" t="s">
        <v>1318</v>
      </c>
      <c r="BH654" s="22" t="s">
        <v>1317</v>
      </c>
      <c r="BI654" s="22" t="s">
        <v>1318</v>
      </c>
      <c r="BJ654" s="22" t="s">
        <v>1317</v>
      </c>
      <c r="BK654" s="22" t="s">
        <v>1318</v>
      </c>
      <c r="BL654" s="22" t="s">
        <v>1317</v>
      </c>
      <c r="BM654" s="22" t="s">
        <v>1318</v>
      </c>
      <c r="BN654" s="22" t="s">
        <v>1317</v>
      </c>
      <c r="BO654" s="22" t="s">
        <v>1311</v>
      </c>
      <c r="BP654" s="22" t="s">
        <v>1317</v>
      </c>
      <c r="BQ654" s="22" t="s">
        <v>1311</v>
      </c>
      <c r="BR654" s="22" t="s">
        <v>1309</v>
      </c>
      <c r="BS654" s="22" t="s">
        <v>1309</v>
      </c>
      <c r="BT654" s="22" t="s">
        <v>1309</v>
      </c>
      <c r="BU654" s="22" t="s">
        <v>1309</v>
      </c>
      <c r="BV654" s="22" t="s">
        <v>1317</v>
      </c>
      <c r="BW654" s="22" t="s">
        <v>1318</v>
      </c>
      <c r="BX654" s="20">
        <v>0</v>
      </c>
      <c r="BY654" s="20">
        <v>0</v>
      </c>
      <c r="BZ654" s="20">
        <v>159</v>
      </c>
      <c r="CA654" s="20">
        <v>0</v>
      </c>
      <c r="CB654" s="20">
        <v>0</v>
      </c>
      <c r="CC654" s="20">
        <v>1306</v>
      </c>
      <c r="CD654" s="22" t="s">
        <v>1317</v>
      </c>
      <c r="CE654" s="22" t="s">
        <v>1318</v>
      </c>
      <c r="CF654" s="22" t="s">
        <v>1317</v>
      </c>
      <c r="CG654" s="22" t="s">
        <v>1318</v>
      </c>
      <c r="CH654" s="22" t="s">
        <v>1317</v>
      </c>
      <c r="CI654" s="22" t="s">
        <v>1318</v>
      </c>
      <c r="CJ654" s="149" t="s">
        <v>4597</v>
      </c>
      <c r="CK654" s="241" t="s">
        <v>4598</v>
      </c>
    </row>
    <row r="655" spans="1:89" ht="15" customHeight="1" x14ac:dyDescent="0.35">
      <c r="A655" s="17"/>
      <c r="B655" s="313">
        <v>66117</v>
      </c>
      <c r="C655" s="8" t="s">
        <v>660</v>
      </c>
      <c r="D655" s="18">
        <v>6</v>
      </c>
      <c r="E655" s="131" t="s">
        <v>1309</v>
      </c>
      <c r="F655" s="22" t="s">
        <v>1309</v>
      </c>
      <c r="G655" s="132" t="s">
        <v>1309</v>
      </c>
      <c r="H655" s="22" t="s">
        <v>1311</v>
      </c>
      <c r="I655" s="22" t="s">
        <v>1315</v>
      </c>
      <c r="J655" s="22" t="s">
        <v>1315</v>
      </c>
      <c r="K655" s="22" t="s">
        <v>1309</v>
      </c>
      <c r="L655" s="22" t="s">
        <v>1309</v>
      </c>
      <c r="M655" s="133" t="s">
        <v>1311</v>
      </c>
      <c r="N655" s="22" t="s">
        <v>1311</v>
      </c>
      <c r="O655" s="22" t="s">
        <v>1309</v>
      </c>
      <c r="P655" s="22" t="s">
        <v>1309</v>
      </c>
      <c r="Q655" s="20">
        <v>0</v>
      </c>
      <c r="R655" s="20">
        <v>0</v>
      </c>
      <c r="S655" s="20">
        <v>0</v>
      </c>
      <c r="T655" s="20">
        <v>0</v>
      </c>
      <c r="U655" s="20">
        <v>30.731000000000002</v>
      </c>
      <c r="V655" s="20">
        <v>30.731000000000002</v>
      </c>
      <c r="W655" s="20">
        <v>0</v>
      </c>
      <c r="X655" s="20">
        <v>0</v>
      </c>
      <c r="Y655" s="20">
        <v>0</v>
      </c>
      <c r="Z655" s="20">
        <v>0</v>
      </c>
      <c r="AA655" s="20" t="s">
        <v>1309</v>
      </c>
      <c r="AB655" s="22" t="s">
        <v>1311</v>
      </c>
      <c r="AC655" s="20">
        <v>1</v>
      </c>
      <c r="AD655" s="20">
        <v>1</v>
      </c>
      <c r="AE655" s="20">
        <v>1</v>
      </c>
      <c r="AF655" s="20">
        <v>3</v>
      </c>
      <c r="AG655" s="20">
        <v>3</v>
      </c>
      <c r="AH655" s="20">
        <v>3</v>
      </c>
      <c r="AI655" s="328">
        <v>3.2540431486121504</v>
      </c>
      <c r="AJ655" s="328">
        <v>0.63011972274732198</v>
      </c>
      <c r="AK655" s="328">
        <v>0.63011972274732198</v>
      </c>
      <c r="AL655" s="22" t="s">
        <v>1338</v>
      </c>
      <c r="AM655" s="22" t="s">
        <v>1330</v>
      </c>
      <c r="AN655" s="22" t="s">
        <v>1315</v>
      </c>
      <c r="AO655" s="22" t="s">
        <v>1315</v>
      </c>
      <c r="AP655" s="22" t="s">
        <v>1315</v>
      </c>
      <c r="AQ655" s="22" t="s">
        <v>1315</v>
      </c>
      <c r="AR655" s="22" t="s">
        <v>1309</v>
      </c>
      <c r="AS655" s="22" t="s">
        <v>1311</v>
      </c>
      <c r="AT655" s="22" t="s">
        <v>1309</v>
      </c>
      <c r="AU655" s="22" t="s">
        <v>1311</v>
      </c>
      <c r="AV655" s="22" t="s">
        <v>1317</v>
      </c>
      <c r="AW655" s="22" t="s">
        <v>1318</v>
      </c>
      <c r="AX655" s="22" t="s">
        <v>1317</v>
      </c>
      <c r="AY655" s="22" t="s">
        <v>1318</v>
      </c>
      <c r="AZ655" s="22" t="s">
        <v>1309</v>
      </c>
      <c r="BA655" s="22" t="s">
        <v>1311</v>
      </c>
      <c r="BB655" s="22" t="s">
        <v>1309</v>
      </c>
      <c r="BC655" s="22" t="s">
        <v>1309</v>
      </c>
      <c r="BD655" s="22" t="s">
        <v>1309</v>
      </c>
      <c r="BE655" s="22" t="s">
        <v>1311</v>
      </c>
      <c r="BF655" s="22" t="s">
        <v>1309</v>
      </c>
      <c r="BG655" s="22" t="s">
        <v>1309</v>
      </c>
      <c r="BH655" s="22" t="s">
        <v>1317</v>
      </c>
      <c r="BI655" s="22" t="s">
        <v>1318</v>
      </c>
      <c r="BJ655" s="22" t="s">
        <v>1309</v>
      </c>
      <c r="BK655" s="22" t="s">
        <v>1309</v>
      </c>
      <c r="BL655" s="22" t="s">
        <v>1317</v>
      </c>
      <c r="BM655" s="22" t="s">
        <v>1311</v>
      </c>
      <c r="BN655" s="22" t="s">
        <v>1309</v>
      </c>
      <c r="BO655" s="22" t="s">
        <v>1309</v>
      </c>
      <c r="BP655" s="22" t="s">
        <v>1317</v>
      </c>
      <c r="BQ655" s="22" t="s">
        <v>1318</v>
      </c>
      <c r="BR655" s="22" t="s">
        <v>1309</v>
      </c>
      <c r="BS655" s="22" t="s">
        <v>1309</v>
      </c>
      <c r="BT655" s="22" t="s">
        <v>1309</v>
      </c>
      <c r="BU655" s="22" t="s">
        <v>1309</v>
      </c>
      <c r="BV655" s="22" t="s">
        <v>1309</v>
      </c>
      <c r="BW655" s="22" t="s">
        <v>1311</v>
      </c>
      <c r="BX655" s="20">
        <v>112</v>
      </c>
      <c r="BY655" s="20">
        <v>0</v>
      </c>
      <c r="BZ655" s="20">
        <v>8</v>
      </c>
      <c r="CA655" s="20">
        <v>1467</v>
      </c>
      <c r="CB655" s="20">
        <v>0</v>
      </c>
      <c r="CC655" s="20">
        <v>0</v>
      </c>
      <c r="CD655" s="22" t="s">
        <v>1331</v>
      </c>
      <c r="CE655" s="22" t="s">
        <v>1331</v>
      </c>
      <c r="CF655" s="22" t="s">
        <v>1331</v>
      </c>
      <c r="CG655" s="22" t="s">
        <v>1331</v>
      </c>
      <c r="CH655" s="22" t="s">
        <v>1317</v>
      </c>
      <c r="CI655" s="22" t="s">
        <v>1318</v>
      </c>
      <c r="CJ655" s="149" t="s">
        <v>1124</v>
      </c>
      <c r="CK655" s="241" t="s">
        <v>2779</v>
      </c>
    </row>
    <row r="656" spans="1:89" ht="15" customHeight="1" x14ac:dyDescent="0.35">
      <c r="A656" s="17"/>
      <c r="B656" s="313">
        <v>37205</v>
      </c>
      <c r="C656" s="8" t="s">
        <v>315</v>
      </c>
      <c r="D656" s="18">
        <v>4</v>
      </c>
      <c r="E656" s="131"/>
      <c r="F656" s="22"/>
      <c r="G656" s="132"/>
      <c r="H656" s="22"/>
      <c r="I656" s="22"/>
      <c r="J656" s="22"/>
      <c r="K656" s="22"/>
      <c r="L656" s="22"/>
      <c r="M656" s="133"/>
      <c r="N656" s="22"/>
      <c r="O656" s="22"/>
      <c r="P656" s="22"/>
      <c r="Q656" s="20"/>
      <c r="R656" s="20"/>
      <c r="S656" s="20"/>
      <c r="T656" s="20"/>
      <c r="U656" s="20"/>
      <c r="V656" s="20"/>
      <c r="W656" s="20"/>
      <c r="X656" s="20"/>
      <c r="Y656" s="20"/>
      <c r="Z656" s="20"/>
      <c r="AA656" s="20"/>
      <c r="AB656" s="22"/>
      <c r="AC656" s="20"/>
      <c r="AD656" s="20"/>
      <c r="AE656" s="20"/>
      <c r="AF656" s="20" t="s">
        <v>1124</v>
      </c>
      <c r="AG656" s="20" t="s">
        <v>1124</v>
      </c>
      <c r="AH656" s="20" t="s">
        <v>1124</v>
      </c>
      <c r="AI656" s="328"/>
      <c r="AJ656" s="328"/>
      <c r="AK656" s="328"/>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0"/>
      <c r="BY656" s="20"/>
      <c r="BZ656" s="20"/>
      <c r="CA656" s="20"/>
      <c r="CB656" s="20"/>
      <c r="CC656" s="20"/>
      <c r="CD656" s="22"/>
      <c r="CE656" s="22"/>
      <c r="CF656" s="22"/>
      <c r="CG656" s="22"/>
      <c r="CH656" s="22"/>
      <c r="CI656" s="22"/>
      <c r="CJ656" s="149"/>
      <c r="CK656" s="241"/>
    </row>
    <row r="657" spans="1:89" ht="15" customHeight="1" x14ac:dyDescent="0.35">
      <c r="A657" s="17"/>
      <c r="B657" s="313">
        <v>14090</v>
      </c>
      <c r="C657" s="8" t="s">
        <v>76</v>
      </c>
      <c r="D657" s="18">
        <v>1</v>
      </c>
      <c r="E657" s="131" t="s">
        <v>1309</v>
      </c>
      <c r="F657" s="22" t="s">
        <v>1309</v>
      </c>
      <c r="G657" s="132" t="s">
        <v>1309</v>
      </c>
      <c r="H657" s="22" t="s">
        <v>1311</v>
      </c>
      <c r="I657" s="22" t="s">
        <v>1327</v>
      </c>
      <c r="J657" s="22" t="s">
        <v>1327</v>
      </c>
      <c r="K657" s="22" t="s">
        <v>1309</v>
      </c>
      <c r="L657" s="22" t="s">
        <v>1309</v>
      </c>
      <c r="M657" s="133" t="s">
        <v>1311</v>
      </c>
      <c r="N657" s="22" t="s">
        <v>1311</v>
      </c>
      <c r="O657" s="22" t="s">
        <v>1309</v>
      </c>
      <c r="P657" s="22" t="s">
        <v>1309</v>
      </c>
      <c r="Q657" s="20">
        <v>0</v>
      </c>
      <c r="R657" s="20">
        <v>0</v>
      </c>
      <c r="S657" s="20">
        <v>7.556</v>
      </c>
      <c r="T657" s="20">
        <v>7.556</v>
      </c>
      <c r="U657" s="20">
        <v>0</v>
      </c>
      <c r="V657" s="20">
        <v>0</v>
      </c>
      <c r="W657" s="20">
        <v>0</v>
      </c>
      <c r="X657" s="20">
        <v>0</v>
      </c>
      <c r="Y657" s="20">
        <v>0</v>
      </c>
      <c r="Z657" s="20">
        <v>0</v>
      </c>
      <c r="AA657" s="20" t="s">
        <v>1309</v>
      </c>
      <c r="AB657" s="22" t="s">
        <v>1311</v>
      </c>
      <c r="AC657" s="20">
        <v>1</v>
      </c>
      <c r="AD657" s="20">
        <v>0</v>
      </c>
      <c r="AE657" s="20">
        <v>0</v>
      </c>
      <c r="AF657" s="20">
        <v>14</v>
      </c>
      <c r="AG657" s="20">
        <v>0</v>
      </c>
      <c r="AH657" s="20">
        <v>0</v>
      </c>
      <c r="AI657" s="328">
        <v>13.234515616728428</v>
      </c>
      <c r="AJ657" s="328" t="s">
        <v>1328</v>
      </c>
      <c r="AK657" s="328" t="s">
        <v>1328</v>
      </c>
      <c r="AL657" s="22" t="s">
        <v>1316</v>
      </c>
      <c r="AM657" s="22" t="s">
        <v>1343</v>
      </c>
      <c r="AN657" s="22" t="s">
        <v>1317</v>
      </c>
      <c r="AO657" s="22" t="s">
        <v>1318</v>
      </c>
      <c r="AP657" s="22" t="s">
        <v>1318</v>
      </c>
      <c r="AQ657" s="22" t="s">
        <v>1318</v>
      </c>
      <c r="AR657" s="22" t="s">
        <v>1317</v>
      </c>
      <c r="AS657" s="22" t="s">
        <v>1318</v>
      </c>
      <c r="AT657" s="22" t="s">
        <v>1317</v>
      </c>
      <c r="AU657" s="22" t="s">
        <v>1318</v>
      </c>
      <c r="AV657" s="22" t="s">
        <v>1309</v>
      </c>
      <c r="AW657" s="22" t="s">
        <v>1309</v>
      </c>
      <c r="AX657" s="22" t="s">
        <v>1317</v>
      </c>
      <c r="AY657" s="22" t="s">
        <v>1318</v>
      </c>
      <c r="AZ657" s="22" t="s">
        <v>1309</v>
      </c>
      <c r="BA657" s="22" t="s">
        <v>1309</v>
      </c>
      <c r="BB657" s="22" t="s">
        <v>1309</v>
      </c>
      <c r="BC657" s="22" t="s">
        <v>1309</v>
      </c>
      <c r="BD657" s="22" t="s">
        <v>1309</v>
      </c>
      <c r="BE657" s="22" t="s">
        <v>1309</v>
      </c>
      <c r="BF657" s="22" t="s">
        <v>1309</v>
      </c>
      <c r="BG657" s="22" t="s">
        <v>1309</v>
      </c>
      <c r="BH657" s="22" t="s">
        <v>1309</v>
      </c>
      <c r="BI657" s="22" t="s">
        <v>1309</v>
      </c>
      <c r="BJ657" s="22" t="s">
        <v>1309</v>
      </c>
      <c r="BK657" s="22" t="s">
        <v>1309</v>
      </c>
      <c r="BL657" s="22" t="s">
        <v>1309</v>
      </c>
      <c r="BM657" s="22" t="s">
        <v>1309</v>
      </c>
      <c r="BN657" s="22" t="s">
        <v>1309</v>
      </c>
      <c r="BO657" s="22" t="s">
        <v>1309</v>
      </c>
      <c r="BP657" s="22" t="s">
        <v>1315</v>
      </c>
      <c r="BQ657" s="22" t="s">
        <v>1315</v>
      </c>
      <c r="BR657" s="22" t="s">
        <v>1317</v>
      </c>
      <c r="BS657" s="22" t="s">
        <v>1318</v>
      </c>
      <c r="BT657" s="22" t="s">
        <v>1309</v>
      </c>
      <c r="BU657" s="22" t="s">
        <v>1309</v>
      </c>
      <c r="BV657" s="22" t="s">
        <v>1309</v>
      </c>
      <c r="BW657" s="22" t="s">
        <v>1309</v>
      </c>
      <c r="BX657" s="20">
        <v>11</v>
      </c>
      <c r="BY657" s="20">
        <v>0</v>
      </c>
      <c r="BZ657" s="20">
        <v>0</v>
      </c>
      <c r="CA657" s="20">
        <v>166</v>
      </c>
      <c r="CB657" s="20">
        <v>0</v>
      </c>
      <c r="CC657" s="20">
        <v>0</v>
      </c>
      <c r="CD657" s="22" t="s">
        <v>1331</v>
      </c>
      <c r="CE657" s="22" t="s">
        <v>1331</v>
      </c>
      <c r="CF657" s="22" t="s">
        <v>1331</v>
      </c>
      <c r="CG657" s="22" t="s">
        <v>1331</v>
      </c>
      <c r="CH657" s="22" t="s">
        <v>1317</v>
      </c>
      <c r="CI657" s="22" t="s">
        <v>1318</v>
      </c>
      <c r="CJ657" s="149" t="s">
        <v>1124</v>
      </c>
      <c r="CK657" s="241" t="s">
        <v>1124</v>
      </c>
    </row>
    <row r="658" spans="1:89" ht="15" customHeight="1" x14ac:dyDescent="0.35">
      <c r="A658" s="17"/>
      <c r="B658" s="313">
        <v>42050</v>
      </c>
      <c r="C658" s="8" t="s">
        <v>385</v>
      </c>
      <c r="D658" s="18">
        <v>5</v>
      </c>
      <c r="E658" s="131"/>
      <c r="F658" s="22"/>
      <c r="G658" s="132"/>
      <c r="H658" s="22"/>
      <c r="I658" s="22"/>
      <c r="J658" s="22"/>
      <c r="K658" s="22"/>
      <c r="L658" s="22"/>
      <c r="M658" s="133"/>
      <c r="N658" s="22"/>
      <c r="O658" s="22"/>
      <c r="P658" s="22"/>
      <c r="Q658" s="20"/>
      <c r="R658" s="20"/>
      <c r="S658" s="20"/>
      <c r="T658" s="20"/>
      <c r="U658" s="20"/>
      <c r="V658" s="20"/>
      <c r="W658" s="20"/>
      <c r="X658" s="20"/>
      <c r="Y658" s="20"/>
      <c r="Z658" s="20"/>
      <c r="AA658" s="20"/>
      <c r="AB658" s="22"/>
      <c r="AC658" s="20"/>
      <c r="AD658" s="20"/>
      <c r="AE658" s="20"/>
      <c r="AF658" s="20" t="s">
        <v>1124</v>
      </c>
      <c r="AG658" s="20" t="s">
        <v>1124</v>
      </c>
      <c r="AH658" s="20" t="s">
        <v>1124</v>
      </c>
      <c r="AI658" s="328"/>
      <c r="AJ658" s="328"/>
      <c r="AK658" s="328"/>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0"/>
      <c r="BY658" s="20"/>
      <c r="BZ658" s="20"/>
      <c r="CA658" s="20"/>
      <c r="CB658" s="20"/>
      <c r="CC658" s="20"/>
      <c r="CD658" s="22"/>
      <c r="CE658" s="22"/>
      <c r="CF658" s="22"/>
      <c r="CG658" s="22"/>
      <c r="CH658" s="22"/>
      <c r="CI658" s="22"/>
      <c r="CJ658" s="149"/>
      <c r="CK658" s="241"/>
    </row>
    <row r="659" spans="1:89" ht="15" customHeight="1" x14ac:dyDescent="0.35">
      <c r="A659" s="17"/>
      <c r="B659" s="313">
        <v>56060</v>
      </c>
      <c r="C659" s="8" t="s">
        <v>576</v>
      </c>
      <c r="D659" s="18">
        <v>16</v>
      </c>
      <c r="E659" s="131"/>
      <c r="F659" s="22"/>
      <c r="G659" s="132"/>
      <c r="H659" s="22"/>
      <c r="I659" s="22"/>
      <c r="J659" s="22"/>
      <c r="K659" s="22"/>
      <c r="L659" s="22"/>
      <c r="M659" s="133"/>
      <c r="N659" s="22"/>
      <c r="O659" s="22"/>
      <c r="P659" s="22"/>
      <c r="Q659" s="20"/>
      <c r="R659" s="20"/>
      <c r="S659" s="20"/>
      <c r="T659" s="20"/>
      <c r="U659" s="20"/>
      <c r="V659" s="20"/>
      <c r="W659" s="20"/>
      <c r="X659" s="20"/>
      <c r="Y659" s="20"/>
      <c r="Z659" s="20"/>
      <c r="AA659" s="20"/>
      <c r="AB659" s="22"/>
      <c r="AC659" s="20"/>
      <c r="AD659" s="20"/>
      <c r="AE659" s="20"/>
      <c r="AF659" s="20" t="s">
        <v>1124</v>
      </c>
      <c r="AG659" s="20" t="s">
        <v>1124</v>
      </c>
      <c r="AH659" s="20" t="s">
        <v>1124</v>
      </c>
      <c r="AI659" s="328"/>
      <c r="AJ659" s="328"/>
      <c r="AK659" s="328"/>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0"/>
      <c r="BY659" s="20"/>
      <c r="BZ659" s="20"/>
      <c r="CA659" s="20"/>
      <c r="CB659" s="20"/>
      <c r="CC659" s="20"/>
      <c r="CD659" s="22"/>
      <c r="CE659" s="22"/>
      <c r="CF659" s="22"/>
      <c r="CG659" s="22"/>
      <c r="CH659" s="22"/>
      <c r="CI659" s="22"/>
      <c r="CJ659" s="149"/>
      <c r="CK659" s="241"/>
    </row>
    <row r="660" spans="1:89" ht="15" customHeight="1" x14ac:dyDescent="0.35">
      <c r="A660" s="17"/>
      <c r="B660" s="313">
        <v>77035</v>
      </c>
      <c r="C660" s="8" t="s">
        <v>760</v>
      </c>
      <c r="D660" s="18">
        <v>15</v>
      </c>
      <c r="E660" s="131"/>
      <c r="F660" s="22"/>
      <c r="G660" s="132"/>
      <c r="H660" s="22"/>
      <c r="I660" s="22"/>
      <c r="J660" s="22"/>
      <c r="K660" s="22"/>
      <c r="L660" s="22"/>
      <c r="M660" s="133"/>
      <c r="N660" s="22"/>
      <c r="O660" s="22"/>
      <c r="P660" s="22"/>
      <c r="Q660" s="20"/>
      <c r="R660" s="20"/>
      <c r="S660" s="20"/>
      <c r="T660" s="20"/>
      <c r="U660" s="20"/>
      <c r="V660" s="20"/>
      <c r="W660" s="20"/>
      <c r="X660" s="20"/>
      <c r="Y660" s="20"/>
      <c r="Z660" s="20"/>
      <c r="AA660" s="20"/>
      <c r="AB660" s="22"/>
      <c r="AC660" s="20"/>
      <c r="AD660" s="20"/>
      <c r="AE660" s="20"/>
      <c r="AF660" s="20" t="s">
        <v>1124</v>
      </c>
      <c r="AG660" s="20" t="s">
        <v>1124</v>
      </c>
      <c r="AH660" s="20" t="s">
        <v>1124</v>
      </c>
      <c r="AI660" s="328"/>
      <c r="AJ660" s="328"/>
      <c r="AK660" s="328"/>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0"/>
      <c r="BY660" s="20"/>
      <c r="BZ660" s="20"/>
      <c r="CA660" s="20"/>
      <c r="CB660" s="20"/>
      <c r="CC660" s="20"/>
      <c r="CD660" s="22"/>
      <c r="CE660" s="22"/>
      <c r="CF660" s="22"/>
      <c r="CG660" s="22"/>
      <c r="CH660" s="22"/>
      <c r="CI660" s="22"/>
      <c r="CJ660" s="149"/>
      <c r="CK660" s="241"/>
    </row>
    <row r="661" spans="1:89" ht="15" customHeight="1" x14ac:dyDescent="0.35">
      <c r="A661" s="17"/>
      <c r="B661" s="313">
        <v>4037</v>
      </c>
      <c r="C661" s="8" t="s">
        <v>1042</v>
      </c>
      <c r="D661" s="18">
        <v>11</v>
      </c>
      <c r="E661" s="131" t="s">
        <v>1309</v>
      </c>
      <c r="F661" s="22" t="s">
        <v>1309</v>
      </c>
      <c r="G661" s="132" t="s">
        <v>1309</v>
      </c>
      <c r="H661" s="22" t="s">
        <v>1311</v>
      </c>
      <c r="I661" s="22" t="s">
        <v>1327</v>
      </c>
      <c r="J661" s="22" t="s">
        <v>1327</v>
      </c>
      <c r="K661" s="22" t="s">
        <v>1314</v>
      </c>
      <c r="L661" s="22" t="s">
        <v>1311</v>
      </c>
      <c r="M661" s="133" t="s">
        <v>1311</v>
      </c>
      <c r="N661" s="22" t="s">
        <v>1311</v>
      </c>
      <c r="O661" s="22" t="s">
        <v>1314</v>
      </c>
      <c r="P661" s="22" t="s">
        <v>1318</v>
      </c>
      <c r="Q661" s="20">
        <v>0</v>
      </c>
      <c r="R661" s="20">
        <v>0</v>
      </c>
      <c r="S661" s="20">
        <v>0</v>
      </c>
      <c r="T661" s="20">
        <v>70</v>
      </c>
      <c r="U661" s="20">
        <v>70</v>
      </c>
      <c r="V661" s="20">
        <v>0</v>
      </c>
      <c r="W661" s="20">
        <v>0</v>
      </c>
      <c r="X661" s="20">
        <v>0</v>
      </c>
      <c r="Y661" s="20">
        <v>0</v>
      </c>
      <c r="Z661" s="20">
        <v>0</v>
      </c>
      <c r="AA661" s="20" t="s">
        <v>1309</v>
      </c>
      <c r="AB661" s="22" t="s">
        <v>1309</v>
      </c>
      <c r="AC661" s="20">
        <v>2</v>
      </c>
      <c r="AD661" s="20">
        <v>3</v>
      </c>
      <c r="AE661" s="20">
        <v>4</v>
      </c>
      <c r="AF661" s="20">
        <v>4</v>
      </c>
      <c r="AG661" s="20">
        <v>3</v>
      </c>
      <c r="AH661" s="20">
        <v>3</v>
      </c>
      <c r="AI661" s="328">
        <v>2.8613121977738993</v>
      </c>
      <c r="AJ661" s="328">
        <v>1.4381591562799616</v>
      </c>
      <c r="AK661" s="328">
        <v>1.9175455417066156</v>
      </c>
      <c r="AL661" s="22" t="s">
        <v>1329</v>
      </c>
      <c r="AM661" s="22" t="s">
        <v>1330</v>
      </c>
      <c r="AN661" s="22" t="s">
        <v>1317</v>
      </c>
      <c r="AO661" s="22" t="s">
        <v>1318</v>
      </c>
      <c r="AP661" s="22" t="s">
        <v>1318</v>
      </c>
      <c r="AQ661" s="22" t="s">
        <v>1318</v>
      </c>
      <c r="AR661" s="22" t="s">
        <v>1317</v>
      </c>
      <c r="AS661" s="22" t="s">
        <v>1318</v>
      </c>
      <c r="AT661" s="22" t="s">
        <v>1317</v>
      </c>
      <c r="AU661" s="22" t="s">
        <v>1311</v>
      </c>
      <c r="AV661" s="22" t="s">
        <v>1317</v>
      </c>
      <c r="AW661" s="22" t="s">
        <v>1318</v>
      </c>
      <c r="AX661" s="22" t="s">
        <v>1317</v>
      </c>
      <c r="AY661" s="22" t="s">
        <v>1318</v>
      </c>
      <c r="AZ661" s="22" t="s">
        <v>1317</v>
      </c>
      <c r="BA661" s="22" t="s">
        <v>1318</v>
      </c>
      <c r="BB661" s="22" t="s">
        <v>1309</v>
      </c>
      <c r="BC661" s="22" t="s">
        <v>1309</v>
      </c>
      <c r="BD661" s="22" t="s">
        <v>1317</v>
      </c>
      <c r="BE661" s="22" t="s">
        <v>1318</v>
      </c>
      <c r="BF661" s="22" t="s">
        <v>1319</v>
      </c>
      <c r="BG661" s="22" t="s">
        <v>1311</v>
      </c>
      <c r="BH661" s="22" t="s">
        <v>1309</v>
      </c>
      <c r="BI661" s="22" t="s">
        <v>1309</v>
      </c>
      <c r="BJ661" s="22" t="s">
        <v>1309</v>
      </c>
      <c r="BK661" s="22" t="s">
        <v>1309</v>
      </c>
      <c r="BL661" s="22" t="s">
        <v>1319</v>
      </c>
      <c r="BM661" s="22" t="s">
        <v>1311</v>
      </c>
      <c r="BN661" s="22" t="s">
        <v>1317</v>
      </c>
      <c r="BO661" s="22" t="s">
        <v>1318</v>
      </c>
      <c r="BP661" s="22" t="s">
        <v>1317</v>
      </c>
      <c r="BQ661" s="22" t="s">
        <v>1318</v>
      </c>
      <c r="BR661" s="22" t="s">
        <v>1309</v>
      </c>
      <c r="BS661" s="22" t="s">
        <v>1309</v>
      </c>
      <c r="BT661" s="22" t="s">
        <v>1319</v>
      </c>
      <c r="BU661" s="22" t="s">
        <v>1311</v>
      </c>
      <c r="BV661" s="22" t="s">
        <v>1309</v>
      </c>
      <c r="BW661" s="22" t="s">
        <v>1309</v>
      </c>
      <c r="BX661" s="20">
        <v>0</v>
      </c>
      <c r="BY661" s="20">
        <v>0</v>
      </c>
      <c r="BZ661" s="20">
        <v>225</v>
      </c>
      <c r="CA661" s="20">
        <v>0</v>
      </c>
      <c r="CB661" s="20">
        <v>0</v>
      </c>
      <c r="CC661" s="20">
        <v>1861</v>
      </c>
      <c r="CD661" s="22" t="s">
        <v>1317</v>
      </c>
      <c r="CE661" s="22" t="s">
        <v>1321</v>
      </c>
      <c r="CF661" s="22" t="s">
        <v>1317</v>
      </c>
      <c r="CG661" s="22" t="s">
        <v>1321</v>
      </c>
      <c r="CH661" s="22" t="s">
        <v>1317</v>
      </c>
      <c r="CI661" s="22" t="s">
        <v>1318</v>
      </c>
      <c r="CJ661" s="149" t="s">
        <v>2789</v>
      </c>
      <c r="CK661" s="241" t="s">
        <v>2790</v>
      </c>
    </row>
    <row r="662" spans="1:89" ht="15" customHeight="1" x14ac:dyDescent="0.35">
      <c r="A662" s="17"/>
      <c r="B662" s="313">
        <v>53065</v>
      </c>
      <c r="C662" s="8" t="s">
        <v>539</v>
      </c>
      <c r="D662" s="18">
        <v>16</v>
      </c>
      <c r="E662" s="131" t="s">
        <v>1309</v>
      </c>
      <c r="F662" s="22" t="s">
        <v>1309</v>
      </c>
      <c r="G662" s="132" t="s">
        <v>1309</v>
      </c>
      <c r="H662" s="22" t="s">
        <v>1311</v>
      </c>
      <c r="I662" s="22" t="s">
        <v>1315</v>
      </c>
      <c r="J662" s="22" t="s">
        <v>1315</v>
      </c>
      <c r="K662" s="22" t="s">
        <v>1309</v>
      </c>
      <c r="L662" s="22" t="s">
        <v>1309</v>
      </c>
      <c r="M662" s="133" t="s">
        <v>1311</v>
      </c>
      <c r="N662" s="22" t="s">
        <v>1311</v>
      </c>
      <c r="O662" s="22" t="s">
        <v>1309</v>
      </c>
      <c r="P662" s="22" t="s">
        <v>1309</v>
      </c>
      <c r="Q662" s="20">
        <v>0</v>
      </c>
      <c r="R662" s="20">
        <v>0</v>
      </c>
      <c r="S662" s="20">
        <v>0</v>
      </c>
      <c r="T662" s="20">
        <v>0</v>
      </c>
      <c r="U662" s="20">
        <v>0</v>
      </c>
      <c r="V662" s="20">
        <v>0</v>
      </c>
      <c r="W662" s="20">
        <v>0</v>
      </c>
      <c r="X662" s="20">
        <v>0</v>
      </c>
      <c r="Y662" s="20">
        <v>0</v>
      </c>
      <c r="Z662" s="20">
        <v>0</v>
      </c>
      <c r="AA662" s="20" t="s">
        <v>1317</v>
      </c>
      <c r="AB662" s="22" t="s">
        <v>1318</v>
      </c>
      <c r="AC662" s="20">
        <v>0</v>
      </c>
      <c r="AD662" s="20">
        <v>0</v>
      </c>
      <c r="AE662" s="20">
        <v>0</v>
      </c>
      <c r="AF662" s="20">
        <v>0</v>
      </c>
      <c r="AG662" s="20">
        <v>0</v>
      </c>
      <c r="AH662" s="20">
        <v>0</v>
      </c>
      <c r="AI662" s="328" t="s">
        <v>1328</v>
      </c>
      <c r="AJ662" s="328" t="s">
        <v>1328</v>
      </c>
      <c r="AK662" s="328" t="s">
        <v>1328</v>
      </c>
      <c r="AL662" s="22" t="s">
        <v>1316</v>
      </c>
      <c r="AM662" s="22" t="s">
        <v>1316</v>
      </c>
      <c r="AN662" s="22" t="s">
        <v>1317</v>
      </c>
      <c r="AO662" s="22" t="s">
        <v>1318</v>
      </c>
      <c r="AP662" s="22" t="s">
        <v>1318</v>
      </c>
      <c r="AQ662" s="22" t="s">
        <v>1318</v>
      </c>
      <c r="AR662" s="22" t="s">
        <v>1317</v>
      </c>
      <c r="AS662" s="22" t="s">
        <v>1318</v>
      </c>
      <c r="AT662" s="22" t="s">
        <v>1317</v>
      </c>
      <c r="AU662" s="22" t="s">
        <v>1318</v>
      </c>
      <c r="AV662" s="22" t="s">
        <v>1317</v>
      </c>
      <c r="AW662" s="22" t="s">
        <v>1318</v>
      </c>
      <c r="AX662" s="22" t="s">
        <v>1317</v>
      </c>
      <c r="AY662" s="22" t="s">
        <v>1318</v>
      </c>
      <c r="AZ662" s="22" t="s">
        <v>1309</v>
      </c>
      <c r="BA662" s="22" t="s">
        <v>1309</v>
      </c>
      <c r="BB662" s="22" t="s">
        <v>1309</v>
      </c>
      <c r="BC662" s="22" t="s">
        <v>1309</v>
      </c>
      <c r="BD662" s="22" t="s">
        <v>1309</v>
      </c>
      <c r="BE662" s="22" t="s">
        <v>1309</v>
      </c>
      <c r="BF662" s="22" t="s">
        <v>1309</v>
      </c>
      <c r="BG662" s="22" t="s">
        <v>1309</v>
      </c>
      <c r="BH662" s="22" t="s">
        <v>1309</v>
      </c>
      <c r="BI662" s="22" t="s">
        <v>1309</v>
      </c>
      <c r="BJ662" s="22" t="s">
        <v>1309</v>
      </c>
      <c r="BK662" s="22" t="s">
        <v>1309</v>
      </c>
      <c r="BL662" s="22" t="s">
        <v>1309</v>
      </c>
      <c r="BM662" s="22" t="s">
        <v>1309</v>
      </c>
      <c r="BN662" s="22" t="s">
        <v>1309</v>
      </c>
      <c r="BO662" s="22" t="s">
        <v>1309</v>
      </c>
      <c r="BP662" s="22" t="s">
        <v>1309</v>
      </c>
      <c r="BQ662" s="22" t="s">
        <v>1309</v>
      </c>
      <c r="BR662" s="22" t="s">
        <v>1317</v>
      </c>
      <c r="BS662" s="22" t="s">
        <v>1318</v>
      </c>
      <c r="BT662" s="22" t="s">
        <v>1317</v>
      </c>
      <c r="BU662" s="22" t="s">
        <v>1318</v>
      </c>
      <c r="BV662" s="22" t="s">
        <v>1317</v>
      </c>
      <c r="BW662" s="22" t="s">
        <v>1318</v>
      </c>
      <c r="BX662" s="20">
        <v>19</v>
      </c>
      <c r="BY662" s="20">
        <v>0</v>
      </c>
      <c r="BZ662" s="20">
        <v>0</v>
      </c>
      <c r="CA662" s="20">
        <v>1321</v>
      </c>
      <c r="CB662" s="20">
        <v>0</v>
      </c>
      <c r="CC662" s="20">
        <v>0</v>
      </c>
      <c r="CD662" s="22" t="s">
        <v>1331</v>
      </c>
      <c r="CE662" s="22" t="s">
        <v>1331</v>
      </c>
      <c r="CF662" s="22" t="s">
        <v>1331</v>
      </c>
      <c r="CG662" s="22" t="s">
        <v>1331</v>
      </c>
      <c r="CH662" s="22" t="s">
        <v>1317</v>
      </c>
      <c r="CI662" s="22" t="s">
        <v>1318</v>
      </c>
      <c r="CJ662" s="149" t="s">
        <v>1124</v>
      </c>
      <c r="CK662" s="241" t="s">
        <v>1124</v>
      </c>
    </row>
    <row r="663" spans="1:89" ht="15" customHeight="1" x14ac:dyDescent="0.35">
      <c r="A663" s="17"/>
      <c r="B663" s="313">
        <v>73035</v>
      </c>
      <c r="C663" s="8" t="s">
        <v>740</v>
      </c>
      <c r="D663" s="18">
        <v>15</v>
      </c>
      <c r="E663" s="131" t="s">
        <v>1309</v>
      </c>
      <c r="F663" s="22" t="s">
        <v>1309</v>
      </c>
      <c r="G663" s="132" t="s">
        <v>1309</v>
      </c>
      <c r="H663" s="22" t="s">
        <v>1311</v>
      </c>
      <c r="I663" s="22" t="s">
        <v>1327</v>
      </c>
      <c r="J663" s="22" t="s">
        <v>1327</v>
      </c>
      <c r="K663" s="22" t="s">
        <v>1309</v>
      </c>
      <c r="L663" s="22" t="s">
        <v>1309</v>
      </c>
      <c r="M663" s="133" t="s">
        <v>1311</v>
      </c>
      <c r="N663" s="22" t="s">
        <v>1311</v>
      </c>
      <c r="O663" s="22" t="s">
        <v>1309</v>
      </c>
      <c r="P663" s="22" t="s">
        <v>1309</v>
      </c>
      <c r="Q663" s="20">
        <v>0</v>
      </c>
      <c r="R663" s="20">
        <v>0</v>
      </c>
      <c r="S663" s="20">
        <v>0</v>
      </c>
      <c r="T663" s="20">
        <v>0</v>
      </c>
      <c r="U663" s="20">
        <v>185.39999999999998</v>
      </c>
      <c r="V663" s="20">
        <v>123.6</v>
      </c>
      <c r="W663" s="20">
        <v>61.8</v>
      </c>
      <c r="X663" s="20">
        <v>61.8</v>
      </c>
      <c r="Y663" s="20">
        <v>0</v>
      </c>
      <c r="Z663" s="20">
        <v>0</v>
      </c>
      <c r="AA663" s="20" t="s">
        <v>1309</v>
      </c>
      <c r="AB663" s="22" t="s">
        <v>1311</v>
      </c>
      <c r="AC663" s="20">
        <v>15</v>
      </c>
      <c r="AD663" s="20">
        <v>2</v>
      </c>
      <c r="AE663" s="20">
        <v>2</v>
      </c>
      <c r="AF663" s="20">
        <v>1</v>
      </c>
      <c r="AG663" s="20">
        <v>2</v>
      </c>
      <c r="AH663" s="20">
        <v>10</v>
      </c>
      <c r="AI663" s="328">
        <v>24.271844660194176</v>
      </c>
      <c r="AJ663" s="328">
        <v>0.54421768707482998</v>
      </c>
      <c r="AK663" s="328">
        <v>0.54421768707482998</v>
      </c>
      <c r="AL663" s="22" t="s">
        <v>1329</v>
      </c>
      <c r="AM663" s="22" t="s">
        <v>1330</v>
      </c>
      <c r="AN663" s="22" t="s">
        <v>1526</v>
      </c>
      <c r="AO663" s="22" t="s">
        <v>1318</v>
      </c>
      <c r="AP663" s="22" t="s">
        <v>1318</v>
      </c>
      <c r="AQ663" s="22" t="s">
        <v>1318</v>
      </c>
      <c r="AR663" s="22" t="s">
        <v>1317</v>
      </c>
      <c r="AS663" s="22" t="s">
        <v>1318</v>
      </c>
      <c r="AT663" s="22" t="s">
        <v>1317</v>
      </c>
      <c r="AU663" s="22" t="s">
        <v>1318</v>
      </c>
      <c r="AV663" s="22" t="s">
        <v>1317</v>
      </c>
      <c r="AW663" s="22" t="s">
        <v>1318</v>
      </c>
      <c r="AX663" s="22" t="s">
        <v>1317</v>
      </c>
      <c r="AY663" s="22" t="s">
        <v>1318</v>
      </c>
      <c r="AZ663" s="22" t="s">
        <v>1309</v>
      </c>
      <c r="BA663" s="22" t="s">
        <v>1309</v>
      </c>
      <c r="BB663" s="22" t="s">
        <v>1309</v>
      </c>
      <c r="BC663" s="22" t="s">
        <v>1309</v>
      </c>
      <c r="BD663" s="22" t="s">
        <v>1309</v>
      </c>
      <c r="BE663" s="22" t="s">
        <v>1309</v>
      </c>
      <c r="BF663" s="22" t="s">
        <v>1309</v>
      </c>
      <c r="BG663" s="22" t="s">
        <v>1309</v>
      </c>
      <c r="BH663" s="22" t="s">
        <v>1309</v>
      </c>
      <c r="BI663" s="22" t="s">
        <v>1309</v>
      </c>
      <c r="BJ663" s="22" t="s">
        <v>1309</v>
      </c>
      <c r="BK663" s="22" t="s">
        <v>1309</v>
      </c>
      <c r="BL663" s="22" t="s">
        <v>1309</v>
      </c>
      <c r="BM663" s="22" t="s">
        <v>1309</v>
      </c>
      <c r="BN663" s="22" t="s">
        <v>1309</v>
      </c>
      <c r="BO663" s="22" t="s">
        <v>1309</v>
      </c>
      <c r="BP663" s="22" t="s">
        <v>1317</v>
      </c>
      <c r="BQ663" s="22" t="s">
        <v>1311</v>
      </c>
      <c r="BR663" s="22" t="s">
        <v>1309</v>
      </c>
      <c r="BS663" s="22" t="s">
        <v>1309</v>
      </c>
      <c r="BT663" s="22" t="s">
        <v>1309</v>
      </c>
      <c r="BU663" s="22" t="s">
        <v>1309</v>
      </c>
      <c r="BV663" s="22" t="s">
        <v>1317</v>
      </c>
      <c r="BW663" s="22" t="s">
        <v>1318</v>
      </c>
      <c r="BX663" s="20">
        <v>133</v>
      </c>
      <c r="BY663" s="20">
        <v>0</v>
      </c>
      <c r="BZ663" s="20">
        <v>39</v>
      </c>
      <c r="CA663" s="20">
        <v>0</v>
      </c>
      <c r="CB663" s="20">
        <v>500</v>
      </c>
      <c r="CC663" s="20">
        <v>3175</v>
      </c>
      <c r="CD663" s="22" t="s">
        <v>1317</v>
      </c>
      <c r="CE663" s="22" t="s">
        <v>1318</v>
      </c>
      <c r="CF663" s="22" t="s">
        <v>1315</v>
      </c>
      <c r="CG663" s="22" t="s">
        <v>1315</v>
      </c>
      <c r="CH663" s="22" t="s">
        <v>1317</v>
      </c>
      <c r="CI663" s="22" t="s">
        <v>1318</v>
      </c>
      <c r="CJ663" s="149" t="s">
        <v>2796</v>
      </c>
      <c r="CK663" s="241" t="s">
        <v>2797</v>
      </c>
    </row>
    <row r="664" spans="1:89" ht="15" customHeight="1" x14ac:dyDescent="0.35">
      <c r="A664" s="17"/>
      <c r="B664" s="313">
        <v>79115</v>
      </c>
      <c r="C664" s="8" t="s">
        <v>802</v>
      </c>
      <c r="D664" s="18">
        <v>15</v>
      </c>
      <c r="E664" s="131" t="s">
        <v>1319</v>
      </c>
      <c r="F664" s="22" t="s">
        <v>1490</v>
      </c>
      <c r="G664" s="132" t="s">
        <v>1309</v>
      </c>
      <c r="H664" s="22" t="s">
        <v>1311</v>
      </c>
      <c r="I664" s="22" t="s">
        <v>1327</v>
      </c>
      <c r="J664" s="22" t="s">
        <v>1342</v>
      </c>
      <c r="K664" s="22" t="s">
        <v>1319</v>
      </c>
      <c r="L664" s="22" t="s">
        <v>1311</v>
      </c>
      <c r="M664" s="133" t="s">
        <v>1311</v>
      </c>
      <c r="N664" s="22" t="s">
        <v>1311</v>
      </c>
      <c r="O664" s="22" t="s">
        <v>1315</v>
      </c>
      <c r="P664" s="22" t="s">
        <v>1315</v>
      </c>
      <c r="Q664" s="20">
        <v>0</v>
      </c>
      <c r="R664" s="20">
        <v>0</v>
      </c>
      <c r="S664" s="20">
        <v>2</v>
      </c>
      <c r="T664" s="20">
        <v>0</v>
      </c>
      <c r="U664" s="20">
        <v>2</v>
      </c>
      <c r="V664" s="20">
        <v>6.23</v>
      </c>
      <c r="W664" s="20">
        <v>0</v>
      </c>
      <c r="X664" s="20">
        <v>0</v>
      </c>
      <c r="Y664" s="20">
        <v>0</v>
      </c>
      <c r="Z664" s="20">
        <v>0</v>
      </c>
      <c r="AA664" s="20" t="s">
        <v>1309</v>
      </c>
      <c r="AB664" s="22" t="s">
        <v>1311</v>
      </c>
      <c r="AC664" s="20">
        <v>5</v>
      </c>
      <c r="AD664" s="20">
        <v>0</v>
      </c>
      <c r="AE664" s="20">
        <v>0</v>
      </c>
      <c r="AF664" s="20">
        <v>1</v>
      </c>
      <c r="AG664" s="20">
        <v>0</v>
      </c>
      <c r="AH664" s="20">
        <v>0</v>
      </c>
      <c r="AI664" s="328">
        <v>80.256821829855525</v>
      </c>
      <c r="AJ664" s="328" t="s">
        <v>1328</v>
      </c>
      <c r="AK664" s="328" t="s">
        <v>1328</v>
      </c>
      <c r="AL664" s="22" t="s">
        <v>1329</v>
      </c>
      <c r="AM664" s="22" t="s">
        <v>1330</v>
      </c>
      <c r="AN664" s="22" t="s">
        <v>1317</v>
      </c>
      <c r="AO664" s="22" t="s">
        <v>1318</v>
      </c>
      <c r="AP664" s="22" t="s">
        <v>1318</v>
      </c>
      <c r="AQ664" s="22" t="s">
        <v>1318</v>
      </c>
      <c r="AR664" s="22" t="s">
        <v>1317</v>
      </c>
      <c r="AS664" s="22" t="s">
        <v>1318</v>
      </c>
      <c r="AT664" s="22" t="s">
        <v>1309</v>
      </c>
      <c r="AU664" s="22" t="s">
        <v>1311</v>
      </c>
      <c r="AV664" s="22" t="s">
        <v>1317</v>
      </c>
      <c r="AW664" s="22" t="s">
        <v>1318</v>
      </c>
      <c r="AX664" s="22" t="s">
        <v>1317</v>
      </c>
      <c r="AY664" s="22" t="s">
        <v>1318</v>
      </c>
      <c r="AZ664" s="22" t="s">
        <v>1309</v>
      </c>
      <c r="BA664" s="22" t="s">
        <v>1309</v>
      </c>
      <c r="BB664" s="22" t="s">
        <v>1309</v>
      </c>
      <c r="BC664" s="22" t="s">
        <v>1309</v>
      </c>
      <c r="BD664" s="22" t="s">
        <v>1317</v>
      </c>
      <c r="BE664" s="22" t="s">
        <v>1318</v>
      </c>
      <c r="BF664" s="22" t="s">
        <v>1317</v>
      </c>
      <c r="BG664" s="22" t="s">
        <v>1318</v>
      </c>
      <c r="BH664" s="22" t="s">
        <v>1309</v>
      </c>
      <c r="BI664" s="22" t="s">
        <v>1309</v>
      </c>
      <c r="BJ664" s="22" t="s">
        <v>1317</v>
      </c>
      <c r="BK664" s="22" t="s">
        <v>1318</v>
      </c>
      <c r="BL664" s="22" t="s">
        <v>1309</v>
      </c>
      <c r="BM664" s="22" t="s">
        <v>1309</v>
      </c>
      <c r="BN664" s="22" t="s">
        <v>1309</v>
      </c>
      <c r="BO664" s="22" t="s">
        <v>1309</v>
      </c>
      <c r="BP664" s="22" t="s">
        <v>1315</v>
      </c>
      <c r="BQ664" s="22" t="s">
        <v>1315</v>
      </c>
      <c r="BR664" s="22" t="s">
        <v>1309</v>
      </c>
      <c r="BS664" s="22" t="s">
        <v>1311</v>
      </c>
      <c r="BT664" s="22" t="s">
        <v>1315</v>
      </c>
      <c r="BU664" s="22" t="s">
        <v>1315</v>
      </c>
      <c r="BV664" s="22" t="s">
        <v>1319</v>
      </c>
      <c r="BW664" s="22" t="s">
        <v>1311</v>
      </c>
      <c r="BX664" s="20">
        <v>0</v>
      </c>
      <c r="BY664" s="20">
        <v>0</v>
      </c>
      <c r="BZ664" s="20">
        <v>31</v>
      </c>
      <c r="CA664" s="20">
        <v>0</v>
      </c>
      <c r="CB664" s="20">
        <v>0</v>
      </c>
      <c r="CC664" s="20">
        <v>174</v>
      </c>
      <c r="CD664" s="22" t="s">
        <v>1317</v>
      </c>
      <c r="CE664" s="22" t="s">
        <v>1318</v>
      </c>
      <c r="CF664" s="22" t="s">
        <v>1317</v>
      </c>
      <c r="CG664" s="22" t="s">
        <v>1318</v>
      </c>
      <c r="CH664" s="22" t="s">
        <v>1317</v>
      </c>
      <c r="CI664" s="22" t="s">
        <v>1318</v>
      </c>
      <c r="CJ664" s="149" t="s">
        <v>1124</v>
      </c>
      <c r="CK664" s="241" t="s">
        <v>2801</v>
      </c>
    </row>
    <row r="665" spans="1:89" ht="15" customHeight="1" x14ac:dyDescent="0.35">
      <c r="A665" s="17"/>
      <c r="B665" s="313">
        <v>18025</v>
      </c>
      <c r="C665" s="8" t="s">
        <v>108</v>
      </c>
      <c r="D665" s="18">
        <v>12</v>
      </c>
      <c r="E665" s="131"/>
      <c r="F665" s="22"/>
      <c r="G665" s="132"/>
      <c r="H665" s="22"/>
      <c r="I665" s="22"/>
      <c r="J665" s="22"/>
      <c r="K665" s="22"/>
      <c r="L665" s="22"/>
      <c r="M665" s="133"/>
      <c r="N665" s="22"/>
      <c r="O665" s="22"/>
      <c r="P665" s="22"/>
      <c r="Q665" s="20"/>
      <c r="R665" s="20"/>
      <c r="S665" s="20"/>
      <c r="T665" s="20"/>
      <c r="U665" s="20"/>
      <c r="V665" s="20"/>
      <c r="W665" s="20"/>
      <c r="X665" s="20"/>
      <c r="Y665" s="20"/>
      <c r="Z665" s="20"/>
      <c r="AA665" s="20"/>
      <c r="AB665" s="22"/>
      <c r="AC665" s="20"/>
      <c r="AD665" s="20"/>
      <c r="AE665" s="20"/>
      <c r="AF665" s="20" t="s">
        <v>1124</v>
      </c>
      <c r="AG665" s="20" t="s">
        <v>1124</v>
      </c>
      <c r="AH665" s="20" t="s">
        <v>1124</v>
      </c>
      <c r="AI665" s="328"/>
      <c r="AJ665" s="328"/>
      <c r="AK665" s="328"/>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0"/>
      <c r="BY665" s="20"/>
      <c r="BZ665" s="20"/>
      <c r="CA665" s="20"/>
      <c r="CB665" s="20"/>
      <c r="CC665" s="20"/>
      <c r="CD665" s="22"/>
      <c r="CE665" s="22"/>
      <c r="CF665" s="22"/>
      <c r="CG665" s="22"/>
      <c r="CH665" s="22"/>
      <c r="CI665" s="22"/>
      <c r="CJ665" s="149"/>
      <c r="CK665" s="241"/>
    </row>
    <row r="666" spans="1:89" ht="15" customHeight="1" x14ac:dyDescent="0.35">
      <c r="A666" s="17"/>
      <c r="B666" s="313">
        <v>28015</v>
      </c>
      <c r="C666" s="8" t="s">
        <v>189</v>
      </c>
      <c r="D666" s="18">
        <v>12</v>
      </c>
      <c r="E666" s="131" t="s">
        <v>1309</v>
      </c>
      <c r="F666" s="22" t="s">
        <v>1309</v>
      </c>
      <c r="G666" s="132" t="s">
        <v>1309</v>
      </c>
      <c r="H666" s="22" t="s">
        <v>1311</v>
      </c>
      <c r="I666" s="22" t="s">
        <v>1312</v>
      </c>
      <c r="J666" s="22" t="s">
        <v>1327</v>
      </c>
      <c r="K666" s="22" t="s">
        <v>1314</v>
      </c>
      <c r="L666" s="22" t="s">
        <v>1311</v>
      </c>
      <c r="M666" s="133" t="s">
        <v>1311</v>
      </c>
      <c r="N666" s="22" t="s">
        <v>1311</v>
      </c>
      <c r="O666" s="22" t="s">
        <v>1309</v>
      </c>
      <c r="P666" s="22" t="s">
        <v>1309</v>
      </c>
      <c r="Q666" s="20">
        <v>0</v>
      </c>
      <c r="R666" s="20">
        <v>0</v>
      </c>
      <c r="S666" s="20">
        <v>10.494999999999999</v>
      </c>
      <c r="T666" s="20">
        <v>10.494999999999999</v>
      </c>
      <c r="U666" s="20">
        <v>0</v>
      </c>
      <c r="V666" s="20">
        <v>0</v>
      </c>
      <c r="W666" s="20">
        <v>0</v>
      </c>
      <c r="X666" s="20">
        <v>0</v>
      </c>
      <c r="Y666" s="20">
        <v>0</v>
      </c>
      <c r="Z666" s="20">
        <v>0</v>
      </c>
      <c r="AA666" s="20" t="s">
        <v>1317</v>
      </c>
      <c r="AB666" s="22" t="s">
        <v>1318</v>
      </c>
      <c r="AC666" s="20">
        <v>0</v>
      </c>
      <c r="AD666" s="20">
        <v>0</v>
      </c>
      <c r="AE666" s="20">
        <v>0</v>
      </c>
      <c r="AF666" s="20">
        <v>0</v>
      </c>
      <c r="AG666" s="20">
        <v>0</v>
      </c>
      <c r="AH666" s="20">
        <v>0</v>
      </c>
      <c r="AI666" s="328" t="s">
        <v>1328</v>
      </c>
      <c r="AJ666" s="328" t="s">
        <v>1328</v>
      </c>
      <c r="AK666" s="328" t="s">
        <v>1328</v>
      </c>
      <c r="AL666" s="22" t="s">
        <v>1316</v>
      </c>
      <c r="AM666" s="22" t="s">
        <v>1316</v>
      </c>
      <c r="AN666" s="22" t="s">
        <v>1317</v>
      </c>
      <c r="AO666" s="22" t="s">
        <v>1318</v>
      </c>
      <c r="AP666" s="22" t="s">
        <v>1318</v>
      </c>
      <c r="AQ666" s="22" t="s">
        <v>1318</v>
      </c>
      <c r="AR666" s="22" t="s">
        <v>1317</v>
      </c>
      <c r="AS666" s="22" t="s">
        <v>1318</v>
      </c>
      <c r="AT666" s="22" t="s">
        <v>1317</v>
      </c>
      <c r="AU666" s="22" t="s">
        <v>1318</v>
      </c>
      <c r="AV666" s="22" t="s">
        <v>1317</v>
      </c>
      <c r="AW666" s="22" t="s">
        <v>1318</v>
      </c>
      <c r="AX666" s="22" t="s">
        <v>1317</v>
      </c>
      <c r="AY666" s="22" t="s">
        <v>1318</v>
      </c>
      <c r="AZ666" s="22" t="s">
        <v>1309</v>
      </c>
      <c r="BA666" s="22" t="s">
        <v>1309</v>
      </c>
      <c r="BB666" s="22" t="s">
        <v>1309</v>
      </c>
      <c r="BC666" s="22" t="s">
        <v>1309</v>
      </c>
      <c r="BD666" s="22" t="s">
        <v>1309</v>
      </c>
      <c r="BE666" s="22" t="s">
        <v>1309</v>
      </c>
      <c r="BF666" s="22" t="s">
        <v>1309</v>
      </c>
      <c r="BG666" s="22" t="s">
        <v>1309</v>
      </c>
      <c r="BH666" s="22" t="s">
        <v>1309</v>
      </c>
      <c r="BI666" s="22" t="s">
        <v>1309</v>
      </c>
      <c r="BJ666" s="22" t="s">
        <v>1317</v>
      </c>
      <c r="BK666" s="22" t="s">
        <v>1318</v>
      </c>
      <c r="BL666" s="22" t="s">
        <v>1317</v>
      </c>
      <c r="BM666" s="22" t="s">
        <v>1318</v>
      </c>
      <c r="BN666" s="22" t="s">
        <v>1309</v>
      </c>
      <c r="BO666" s="22" t="s">
        <v>1309</v>
      </c>
      <c r="BP666" s="22" t="s">
        <v>1315</v>
      </c>
      <c r="BQ666" s="22" t="s">
        <v>1315</v>
      </c>
      <c r="BR666" s="22" t="s">
        <v>1315</v>
      </c>
      <c r="BS666" s="22" t="s">
        <v>1315</v>
      </c>
      <c r="BT666" s="22" t="s">
        <v>1315</v>
      </c>
      <c r="BU666" s="22" t="s">
        <v>1315</v>
      </c>
      <c r="BV666" s="22" t="s">
        <v>1317</v>
      </c>
      <c r="BW666" s="22" t="s">
        <v>1318</v>
      </c>
      <c r="BX666" s="20">
        <v>17</v>
      </c>
      <c r="BY666" s="20">
        <v>0</v>
      </c>
      <c r="BZ666" s="20">
        <v>0</v>
      </c>
      <c r="CA666" s="20">
        <v>354</v>
      </c>
      <c r="CB666" s="20">
        <v>0</v>
      </c>
      <c r="CC666" s="20">
        <v>0</v>
      </c>
      <c r="CD666" s="22" t="s">
        <v>1331</v>
      </c>
      <c r="CE666" s="22" t="s">
        <v>1331</v>
      </c>
      <c r="CF666" s="22" t="s">
        <v>1331</v>
      </c>
      <c r="CG666" s="22" t="s">
        <v>1331</v>
      </c>
      <c r="CH666" s="22" t="s">
        <v>1317</v>
      </c>
      <c r="CI666" s="22" t="s">
        <v>1318</v>
      </c>
      <c r="CJ666" s="149" t="s">
        <v>1124</v>
      </c>
      <c r="CK666" s="241" t="s">
        <v>1124</v>
      </c>
    </row>
    <row r="667" spans="1:89" ht="15" customHeight="1" x14ac:dyDescent="0.35">
      <c r="A667" s="17"/>
      <c r="B667" s="313">
        <v>69065</v>
      </c>
      <c r="C667" s="8" t="s">
        <v>694</v>
      </c>
      <c r="D667" s="18">
        <v>16</v>
      </c>
      <c r="E667" s="131"/>
      <c r="F667" s="22"/>
      <c r="G667" s="132"/>
      <c r="H667" s="22"/>
      <c r="I667" s="22"/>
      <c r="J667" s="22"/>
      <c r="K667" s="22"/>
      <c r="L667" s="22"/>
      <c r="M667" s="133"/>
      <c r="N667" s="22"/>
      <c r="O667" s="22"/>
      <c r="P667" s="22"/>
      <c r="Q667" s="20"/>
      <c r="R667" s="20"/>
      <c r="S667" s="20"/>
      <c r="T667" s="20"/>
      <c r="U667" s="20"/>
      <c r="V667" s="20"/>
      <c r="W667" s="20"/>
      <c r="X667" s="20"/>
      <c r="Y667" s="20"/>
      <c r="Z667" s="20"/>
      <c r="AA667" s="20"/>
      <c r="AB667" s="22"/>
      <c r="AC667" s="20"/>
      <c r="AD667" s="20"/>
      <c r="AE667" s="20"/>
      <c r="AF667" s="20" t="s">
        <v>1124</v>
      </c>
      <c r="AG667" s="20" t="s">
        <v>1124</v>
      </c>
      <c r="AH667" s="20" t="s">
        <v>1124</v>
      </c>
      <c r="AI667" s="328"/>
      <c r="AJ667" s="328"/>
      <c r="AK667" s="328"/>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0"/>
      <c r="BY667" s="20"/>
      <c r="BZ667" s="20"/>
      <c r="CA667" s="20"/>
      <c r="CB667" s="20"/>
      <c r="CC667" s="20"/>
      <c r="CD667" s="22"/>
      <c r="CE667" s="22"/>
      <c r="CF667" s="22"/>
      <c r="CG667" s="22"/>
      <c r="CH667" s="22"/>
      <c r="CI667" s="22"/>
      <c r="CJ667" s="149"/>
      <c r="CK667" s="241"/>
    </row>
    <row r="668" spans="1:89" ht="15" customHeight="1" x14ac:dyDescent="0.35">
      <c r="A668" s="17"/>
      <c r="B668" s="313">
        <v>62020</v>
      </c>
      <c r="C668" s="8" t="s">
        <v>621</v>
      </c>
      <c r="D668" s="18">
        <v>14</v>
      </c>
      <c r="E668" s="131" t="s">
        <v>1309</v>
      </c>
      <c r="F668" s="22" t="s">
        <v>1309</v>
      </c>
      <c r="G668" s="132" t="s">
        <v>1309</v>
      </c>
      <c r="H668" s="22" t="s">
        <v>1311</v>
      </c>
      <c r="I668" s="22" t="s">
        <v>1315</v>
      </c>
      <c r="J668" s="22" t="s">
        <v>1315</v>
      </c>
      <c r="K668" s="22" t="s">
        <v>1314</v>
      </c>
      <c r="L668" s="22" t="s">
        <v>1311</v>
      </c>
      <c r="M668" s="133" t="s">
        <v>1311</v>
      </c>
      <c r="N668" s="22" t="s">
        <v>1311</v>
      </c>
      <c r="O668" s="22" t="s">
        <v>1315</v>
      </c>
      <c r="P668" s="22" t="s">
        <v>1315</v>
      </c>
      <c r="Q668" s="20">
        <v>0</v>
      </c>
      <c r="R668" s="20">
        <v>0</v>
      </c>
      <c r="S668" s="20">
        <v>0</v>
      </c>
      <c r="T668" s="20">
        <v>0</v>
      </c>
      <c r="U668" s="20">
        <v>4.6139999999999999</v>
      </c>
      <c r="V668" s="20">
        <v>4.6139999999999999</v>
      </c>
      <c r="W668" s="20">
        <v>0</v>
      </c>
      <c r="X668" s="20">
        <v>0</v>
      </c>
      <c r="Y668" s="20">
        <v>0</v>
      </c>
      <c r="Z668" s="20">
        <v>0</v>
      </c>
      <c r="AA668" s="20" t="s">
        <v>1317</v>
      </c>
      <c r="AB668" s="22" t="s">
        <v>1318</v>
      </c>
      <c r="AC668" s="20">
        <v>0</v>
      </c>
      <c r="AD668" s="20">
        <v>0</v>
      </c>
      <c r="AE668" s="20">
        <v>3</v>
      </c>
      <c r="AF668" s="20">
        <v>0</v>
      </c>
      <c r="AG668" s="20">
        <v>0</v>
      </c>
      <c r="AH668" s="20">
        <v>2</v>
      </c>
      <c r="AI668" s="328" t="s">
        <v>1328</v>
      </c>
      <c r="AJ668" s="328" t="s">
        <v>1328</v>
      </c>
      <c r="AK668" s="328">
        <v>24.193548387096776</v>
      </c>
      <c r="AL668" s="22" t="s">
        <v>1316</v>
      </c>
      <c r="AM668" s="22" t="s">
        <v>1343</v>
      </c>
      <c r="AN668" s="22" t="s">
        <v>1315</v>
      </c>
      <c r="AO668" s="22" t="s">
        <v>1315</v>
      </c>
      <c r="AP668" s="22" t="s">
        <v>1315</v>
      </c>
      <c r="AQ668" s="22" t="s">
        <v>1315</v>
      </c>
      <c r="AR668" s="22" t="s">
        <v>1317</v>
      </c>
      <c r="AS668" s="22" t="s">
        <v>1318</v>
      </c>
      <c r="AT668" s="22" t="s">
        <v>1317</v>
      </c>
      <c r="AU668" s="22" t="s">
        <v>1318</v>
      </c>
      <c r="AV668" s="22" t="s">
        <v>1317</v>
      </c>
      <c r="AW668" s="22" t="s">
        <v>1318</v>
      </c>
      <c r="AX668" s="22" t="s">
        <v>1317</v>
      </c>
      <c r="AY668" s="22" t="s">
        <v>1318</v>
      </c>
      <c r="AZ668" s="22" t="s">
        <v>1317</v>
      </c>
      <c r="BA668" s="22" t="s">
        <v>1318</v>
      </c>
      <c r="BB668" s="22" t="s">
        <v>1317</v>
      </c>
      <c r="BC668" s="22" t="s">
        <v>1318</v>
      </c>
      <c r="BD668" s="22" t="s">
        <v>1317</v>
      </c>
      <c r="BE668" s="22" t="s">
        <v>1318</v>
      </c>
      <c r="BF668" s="22" t="s">
        <v>1315</v>
      </c>
      <c r="BG668" s="22" t="s">
        <v>1318</v>
      </c>
      <c r="BH668" s="22" t="s">
        <v>1317</v>
      </c>
      <c r="BI668" s="22" t="s">
        <v>1318</v>
      </c>
      <c r="BJ668" s="22" t="s">
        <v>1317</v>
      </c>
      <c r="BK668" s="22" t="s">
        <v>1318</v>
      </c>
      <c r="BL668" s="22" t="s">
        <v>1317</v>
      </c>
      <c r="BM668" s="22" t="s">
        <v>1318</v>
      </c>
      <c r="BN668" s="22" t="s">
        <v>1317</v>
      </c>
      <c r="BO668" s="22" t="s">
        <v>1318</v>
      </c>
      <c r="BP668" s="22" t="s">
        <v>1315</v>
      </c>
      <c r="BQ668" s="22" t="s">
        <v>1315</v>
      </c>
      <c r="BR668" s="22" t="s">
        <v>1315</v>
      </c>
      <c r="BS668" s="22" t="s">
        <v>1318</v>
      </c>
      <c r="BT668" s="22" t="s">
        <v>1315</v>
      </c>
      <c r="BU668" s="22" t="s">
        <v>1315</v>
      </c>
      <c r="BV668" s="22" t="s">
        <v>1317</v>
      </c>
      <c r="BW668" s="22" t="s">
        <v>1318</v>
      </c>
      <c r="BX668" s="20">
        <v>0</v>
      </c>
      <c r="BY668" s="20">
        <v>0</v>
      </c>
      <c r="BZ668" s="20">
        <v>20</v>
      </c>
      <c r="CA668" s="20">
        <v>0</v>
      </c>
      <c r="CB668" s="20">
        <v>0</v>
      </c>
      <c r="CC668" s="20">
        <v>100</v>
      </c>
      <c r="CD668" s="22" t="s">
        <v>1317</v>
      </c>
      <c r="CE668" s="22" t="s">
        <v>1318</v>
      </c>
      <c r="CF668" s="22" t="s">
        <v>1317</v>
      </c>
      <c r="CG668" s="22" t="s">
        <v>1318</v>
      </c>
      <c r="CH668" s="22" t="s">
        <v>1317</v>
      </c>
      <c r="CI668" s="22" t="s">
        <v>1318</v>
      </c>
      <c r="CJ668" s="149" t="s">
        <v>1124</v>
      </c>
      <c r="CK668" s="241" t="s">
        <v>2808</v>
      </c>
    </row>
    <row r="669" spans="1:89" ht="15" customHeight="1" x14ac:dyDescent="0.35">
      <c r="A669" s="17"/>
      <c r="B669" s="313">
        <v>56105</v>
      </c>
      <c r="C669" s="8" t="s">
        <v>580</v>
      </c>
      <c r="D669" s="18">
        <v>16</v>
      </c>
      <c r="E669" s="131"/>
      <c r="F669" s="22"/>
      <c r="G669" s="132"/>
      <c r="H669" s="22"/>
      <c r="I669" s="22"/>
      <c r="J669" s="22"/>
      <c r="K669" s="22"/>
      <c r="L669" s="22"/>
      <c r="M669" s="133"/>
      <c r="N669" s="22"/>
      <c r="O669" s="22"/>
      <c r="P669" s="22"/>
      <c r="Q669" s="20"/>
      <c r="R669" s="20"/>
      <c r="S669" s="20"/>
      <c r="T669" s="20"/>
      <c r="U669" s="20"/>
      <c r="V669" s="20"/>
      <c r="W669" s="20"/>
      <c r="X669" s="20"/>
      <c r="Y669" s="20"/>
      <c r="Z669" s="20"/>
      <c r="AA669" s="20"/>
      <c r="AB669" s="22"/>
      <c r="AC669" s="20"/>
      <c r="AD669" s="20"/>
      <c r="AE669" s="20"/>
      <c r="AF669" s="20" t="s">
        <v>1124</v>
      </c>
      <c r="AG669" s="20" t="s">
        <v>1124</v>
      </c>
      <c r="AH669" s="20" t="s">
        <v>1124</v>
      </c>
      <c r="AI669" s="328"/>
      <c r="AJ669" s="328"/>
      <c r="AK669" s="328"/>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0"/>
      <c r="BY669" s="20"/>
      <c r="BZ669" s="20"/>
      <c r="CA669" s="20"/>
      <c r="CB669" s="20"/>
      <c r="CC669" s="20"/>
      <c r="CD669" s="22"/>
      <c r="CE669" s="22"/>
      <c r="CF669" s="22"/>
      <c r="CG669" s="22"/>
      <c r="CH669" s="22"/>
      <c r="CI669" s="22"/>
      <c r="CJ669" s="149"/>
      <c r="CK669" s="241"/>
    </row>
    <row r="670" spans="1:89" ht="15" customHeight="1" x14ac:dyDescent="0.35">
      <c r="A670" s="17"/>
      <c r="B670" s="313">
        <v>22045</v>
      </c>
      <c r="C670" s="8" t="s">
        <v>161</v>
      </c>
      <c r="D670" s="18">
        <v>3</v>
      </c>
      <c r="E670" s="131" t="s">
        <v>1309</v>
      </c>
      <c r="F670" s="22" t="s">
        <v>1309</v>
      </c>
      <c r="G670" s="132" t="s">
        <v>1309</v>
      </c>
      <c r="H670" s="22" t="s">
        <v>1311</v>
      </c>
      <c r="I670" s="22" t="s">
        <v>1349</v>
      </c>
      <c r="J670" s="22" t="s">
        <v>1405</v>
      </c>
      <c r="K670" s="22" t="s">
        <v>1309</v>
      </c>
      <c r="L670" s="22" t="s">
        <v>1309</v>
      </c>
      <c r="M670" s="133" t="s">
        <v>1311</v>
      </c>
      <c r="N670" s="22" t="s">
        <v>1311</v>
      </c>
      <c r="O670" s="22" t="s">
        <v>1314</v>
      </c>
      <c r="P670" s="22" t="s">
        <v>1318</v>
      </c>
      <c r="Q670" s="20">
        <v>0</v>
      </c>
      <c r="R670" s="20">
        <v>0</v>
      </c>
      <c r="S670" s="20">
        <v>0</v>
      </c>
      <c r="T670" s="20">
        <v>0</v>
      </c>
      <c r="U670" s="20">
        <v>38.241</v>
      </c>
      <c r="V670" s="20">
        <v>38.241</v>
      </c>
      <c r="W670" s="20">
        <v>0</v>
      </c>
      <c r="X670" s="20">
        <v>0</v>
      </c>
      <c r="Y670" s="20">
        <v>0</v>
      </c>
      <c r="Z670" s="20">
        <v>0</v>
      </c>
      <c r="AA670" s="20" t="s">
        <v>1309</v>
      </c>
      <c r="AB670" s="22" t="s">
        <v>1309</v>
      </c>
      <c r="AC670" s="20">
        <v>3</v>
      </c>
      <c r="AD670" s="20">
        <v>3</v>
      </c>
      <c r="AE670" s="20">
        <v>0</v>
      </c>
      <c r="AF670" s="20">
        <v>1</v>
      </c>
      <c r="AG670" s="20">
        <v>3</v>
      </c>
      <c r="AH670" s="20">
        <v>0</v>
      </c>
      <c r="AI670" s="328">
        <v>7.8449831332862638</v>
      </c>
      <c r="AJ670" s="328">
        <v>1.803968731208659</v>
      </c>
      <c r="AK670" s="328" t="s">
        <v>1328</v>
      </c>
      <c r="AL670" s="22" t="s">
        <v>1329</v>
      </c>
      <c r="AM670" s="22" t="s">
        <v>1330</v>
      </c>
      <c r="AN670" s="22" t="s">
        <v>1317</v>
      </c>
      <c r="AO670" s="22" t="s">
        <v>1318</v>
      </c>
      <c r="AP670" s="22" t="s">
        <v>1318</v>
      </c>
      <c r="AQ670" s="22" t="s">
        <v>1318</v>
      </c>
      <c r="AR670" s="22" t="s">
        <v>1317</v>
      </c>
      <c r="AS670" s="22" t="s">
        <v>1318</v>
      </c>
      <c r="AT670" s="22" t="s">
        <v>1317</v>
      </c>
      <c r="AU670" s="22" t="s">
        <v>1311</v>
      </c>
      <c r="AV670" s="22" t="s">
        <v>1317</v>
      </c>
      <c r="AW670" s="22" t="s">
        <v>1318</v>
      </c>
      <c r="AX670" s="22" t="s">
        <v>1317</v>
      </c>
      <c r="AY670" s="22" t="s">
        <v>1318</v>
      </c>
      <c r="AZ670" s="22" t="s">
        <v>1309</v>
      </c>
      <c r="BA670" s="22" t="s">
        <v>1309</v>
      </c>
      <c r="BB670" s="22" t="s">
        <v>1309</v>
      </c>
      <c r="BC670" s="22" t="s">
        <v>1309</v>
      </c>
      <c r="BD670" s="22" t="s">
        <v>1317</v>
      </c>
      <c r="BE670" s="22" t="s">
        <v>1318</v>
      </c>
      <c r="BF670" s="22" t="s">
        <v>1317</v>
      </c>
      <c r="BG670" s="22" t="s">
        <v>1318</v>
      </c>
      <c r="BH670" s="22" t="s">
        <v>1309</v>
      </c>
      <c r="BI670" s="22" t="s">
        <v>1309</v>
      </c>
      <c r="BJ670" s="22" t="s">
        <v>1317</v>
      </c>
      <c r="BK670" s="22" t="s">
        <v>1318</v>
      </c>
      <c r="BL670" s="22" t="s">
        <v>1309</v>
      </c>
      <c r="BM670" s="22" t="s">
        <v>1309</v>
      </c>
      <c r="BN670" s="22" t="s">
        <v>1317</v>
      </c>
      <c r="BO670" s="22" t="s">
        <v>1318</v>
      </c>
      <c r="BP670" s="22" t="s">
        <v>1309</v>
      </c>
      <c r="BQ670" s="22" t="s">
        <v>1309</v>
      </c>
      <c r="BR670" s="22" t="s">
        <v>1309</v>
      </c>
      <c r="BS670" s="22" t="s">
        <v>1309</v>
      </c>
      <c r="BT670" s="22" t="s">
        <v>1317</v>
      </c>
      <c r="BU670" s="22" t="s">
        <v>1318</v>
      </c>
      <c r="BV670" s="22" t="s">
        <v>1309</v>
      </c>
      <c r="BW670" s="22" t="s">
        <v>1309</v>
      </c>
      <c r="BX670" s="20">
        <v>1</v>
      </c>
      <c r="BY670" s="20">
        <v>1</v>
      </c>
      <c r="BZ670" s="20">
        <v>46</v>
      </c>
      <c r="CA670" s="20">
        <v>0</v>
      </c>
      <c r="CB670" s="20">
        <v>0</v>
      </c>
      <c r="CC670" s="20">
        <v>1615</v>
      </c>
      <c r="CD670" s="22" t="s">
        <v>1317</v>
      </c>
      <c r="CE670" s="22" t="s">
        <v>1318</v>
      </c>
      <c r="CF670" s="22" t="s">
        <v>1317</v>
      </c>
      <c r="CG670" s="22" t="s">
        <v>1318</v>
      </c>
      <c r="CH670" s="22" t="s">
        <v>1317</v>
      </c>
      <c r="CI670" s="22" t="s">
        <v>1318</v>
      </c>
      <c r="CJ670" s="149" t="s">
        <v>1124</v>
      </c>
      <c r="CK670" s="241" t="s">
        <v>2812</v>
      </c>
    </row>
    <row r="671" spans="1:89" ht="15" customHeight="1" x14ac:dyDescent="0.35">
      <c r="A671" s="17"/>
      <c r="B671" s="313">
        <v>49085</v>
      </c>
      <c r="C671" s="8" t="s">
        <v>475</v>
      </c>
      <c r="D671" s="18">
        <v>17</v>
      </c>
      <c r="E671" s="131" t="s">
        <v>1309</v>
      </c>
      <c r="F671" s="22" t="s">
        <v>1309</v>
      </c>
      <c r="G671" s="132" t="s">
        <v>1309</v>
      </c>
      <c r="H671" s="22" t="s">
        <v>1311</v>
      </c>
      <c r="I671" s="22" t="s">
        <v>1327</v>
      </c>
      <c r="J671" s="22" t="s">
        <v>1327</v>
      </c>
      <c r="K671" s="22" t="s">
        <v>1314</v>
      </c>
      <c r="L671" s="22" t="s">
        <v>1311</v>
      </c>
      <c r="M671" s="133" t="s">
        <v>1311</v>
      </c>
      <c r="N671" s="22" t="s">
        <v>1311</v>
      </c>
      <c r="O671" s="22" t="s">
        <v>1309</v>
      </c>
      <c r="P671" s="22" t="s">
        <v>1309</v>
      </c>
      <c r="Q671" s="20">
        <v>0</v>
      </c>
      <c r="R671" s="20">
        <v>0</v>
      </c>
      <c r="S671" s="20">
        <v>0</v>
      </c>
      <c r="T671" s="20">
        <v>0</v>
      </c>
      <c r="U671" s="20">
        <v>0</v>
      </c>
      <c r="V671" s="20">
        <v>0</v>
      </c>
      <c r="W671" s="20">
        <v>0</v>
      </c>
      <c r="X671" s="20">
        <v>0</v>
      </c>
      <c r="Y671" s="20">
        <v>0</v>
      </c>
      <c r="Z671" s="20">
        <v>0</v>
      </c>
      <c r="AA671" s="20" t="s">
        <v>1317</v>
      </c>
      <c r="AB671" s="22" t="s">
        <v>1318</v>
      </c>
      <c r="AC671" s="20">
        <v>0</v>
      </c>
      <c r="AD671" s="20">
        <v>0</v>
      </c>
      <c r="AE671" s="20">
        <v>0</v>
      </c>
      <c r="AF671" s="20">
        <v>0</v>
      </c>
      <c r="AG671" s="20">
        <v>0</v>
      </c>
      <c r="AH671" s="20">
        <v>0</v>
      </c>
      <c r="AI671" s="328" t="s">
        <v>1328</v>
      </c>
      <c r="AJ671" s="328" t="s">
        <v>1328</v>
      </c>
      <c r="AK671" s="328" t="s">
        <v>1328</v>
      </c>
      <c r="AL671" s="22" t="s">
        <v>1329</v>
      </c>
      <c r="AM671" s="22" t="s">
        <v>1330</v>
      </c>
      <c r="AN671" s="22" t="s">
        <v>1317</v>
      </c>
      <c r="AO671" s="22" t="s">
        <v>1318</v>
      </c>
      <c r="AP671" s="22" t="s">
        <v>1318</v>
      </c>
      <c r="AQ671" s="22" t="s">
        <v>1318</v>
      </c>
      <c r="AR671" s="22" t="s">
        <v>1317</v>
      </c>
      <c r="AS671" s="22" t="s">
        <v>1318</v>
      </c>
      <c r="AT671" s="22" t="s">
        <v>1317</v>
      </c>
      <c r="AU671" s="22" t="s">
        <v>1318</v>
      </c>
      <c r="AV671" s="22" t="s">
        <v>1317</v>
      </c>
      <c r="AW671" s="22" t="s">
        <v>1318</v>
      </c>
      <c r="AX671" s="22" t="s">
        <v>1317</v>
      </c>
      <c r="AY671" s="22" t="s">
        <v>1318</v>
      </c>
      <c r="AZ671" s="22" t="s">
        <v>1317</v>
      </c>
      <c r="BA671" s="22" t="s">
        <v>1318</v>
      </c>
      <c r="BB671" s="22" t="s">
        <v>1317</v>
      </c>
      <c r="BC671" s="22" t="s">
        <v>1318</v>
      </c>
      <c r="BD671" s="22" t="s">
        <v>1309</v>
      </c>
      <c r="BE671" s="22" t="s">
        <v>1309</v>
      </c>
      <c r="BF671" s="22" t="s">
        <v>1309</v>
      </c>
      <c r="BG671" s="22" t="s">
        <v>1309</v>
      </c>
      <c r="BH671" s="22" t="s">
        <v>1309</v>
      </c>
      <c r="BI671" s="22" t="s">
        <v>1309</v>
      </c>
      <c r="BJ671" s="22" t="s">
        <v>1317</v>
      </c>
      <c r="BK671" s="22" t="s">
        <v>1318</v>
      </c>
      <c r="BL671" s="22" t="s">
        <v>1317</v>
      </c>
      <c r="BM671" s="22" t="s">
        <v>1318</v>
      </c>
      <c r="BN671" s="22" t="s">
        <v>1309</v>
      </c>
      <c r="BO671" s="22" t="s">
        <v>1309</v>
      </c>
      <c r="BP671" s="22" t="s">
        <v>1317</v>
      </c>
      <c r="BQ671" s="22" t="s">
        <v>1318</v>
      </c>
      <c r="BR671" s="22" t="s">
        <v>1317</v>
      </c>
      <c r="BS671" s="22" t="s">
        <v>1318</v>
      </c>
      <c r="BT671" s="22" t="s">
        <v>1317</v>
      </c>
      <c r="BU671" s="22" t="s">
        <v>1318</v>
      </c>
      <c r="BV671" s="22" t="s">
        <v>1317</v>
      </c>
      <c r="BW671" s="22" t="s">
        <v>1318</v>
      </c>
      <c r="BX671" s="20">
        <v>14</v>
      </c>
      <c r="BY671" s="20">
        <v>0</v>
      </c>
      <c r="BZ671" s="20">
        <v>0</v>
      </c>
      <c r="CA671" s="20">
        <v>83</v>
      </c>
      <c r="CB671" s="20">
        <v>0</v>
      </c>
      <c r="CC671" s="20">
        <v>0</v>
      </c>
      <c r="CD671" s="22" t="s">
        <v>1331</v>
      </c>
      <c r="CE671" s="22" t="s">
        <v>1331</v>
      </c>
      <c r="CF671" s="22" t="s">
        <v>1331</v>
      </c>
      <c r="CG671" s="22" t="s">
        <v>1331</v>
      </c>
      <c r="CH671" s="22" t="s">
        <v>1317</v>
      </c>
      <c r="CI671" s="22" t="s">
        <v>1318</v>
      </c>
      <c r="CJ671" s="149" t="s">
        <v>1124</v>
      </c>
      <c r="CK671" s="241" t="s">
        <v>1386</v>
      </c>
    </row>
    <row r="672" spans="1:89" ht="15" customHeight="1" x14ac:dyDescent="0.35">
      <c r="A672" s="17"/>
      <c r="B672" s="313">
        <v>67030</v>
      </c>
      <c r="C672" s="8" t="s">
        <v>667</v>
      </c>
      <c r="D672" s="18">
        <v>16</v>
      </c>
      <c r="E672" s="131"/>
      <c r="F672" s="22"/>
      <c r="G672" s="132"/>
      <c r="H672" s="22"/>
      <c r="I672" s="22"/>
      <c r="J672" s="22"/>
      <c r="K672" s="22"/>
      <c r="L672" s="22"/>
      <c r="M672" s="133"/>
      <c r="N672" s="22"/>
      <c r="O672" s="22"/>
      <c r="P672" s="22"/>
      <c r="Q672" s="20"/>
      <c r="R672" s="20"/>
      <c r="S672" s="20"/>
      <c r="T672" s="20"/>
      <c r="U672" s="20"/>
      <c r="V672" s="20"/>
      <c r="W672" s="20"/>
      <c r="X672" s="20"/>
      <c r="Y672" s="20"/>
      <c r="Z672" s="20"/>
      <c r="AA672" s="20"/>
      <c r="AB672" s="22"/>
      <c r="AC672" s="20"/>
      <c r="AD672" s="20"/>
      <c r="AE672" s="20"/>
      <c r="AF672" s="20" t="s">
        <v>1124</v>
      </c>
      <c r="AG672" s="20" t="s">
        <v>1124</v>
      </c>
      <c r="AH672" s="20" t="s">
        <v>1124</v>
      </c>
      <c r="AI672" s="328"/>
      <c r="AJ672" s="328"/>
      <c r="AK672" s="328"/>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0"/>
      <c r="BY672" s="20"/>
      <c r="BZ672" s="20"/>
      <c r="CA672" s="20"/>
      <c r="CB672" s="20"/>
      <c r="CC672" s="20"/>
      <c r="CD672" s="22"/>
      <c r="CE672" s="22"/>
      <c r="CF672" s="22"/>
      <c r="CG672" s="22"/>
      <c r="CH672" s="22"/>
      <c r="CI672" s="22"/>
      <c r="CJ672" s="149"/>
      <c r="CK672" s="241"/>
    </row>
    <row r="673" spans="1:89" ht="15" customHeight="1" x14ac:dyDescent="0.35">
      <c r="A673" s="17"/>
      <c r="B673" s="313">
        <v>45060</v>
      </c>
      <c r="C673" s="8" t="s">
        <v>418</v>
      </c>
      <c r="D673" s="18">
        <v>5</v>
      </c>
      <c r="E673" s="131"/>
      <c r="F673" s="22"/>
      <c r="G673" s="132"/>
      <c r="H673" s="22"/>
      <c r="I673" s="22"/>
      <c r="J673" s="22"/>
      <c r="K673" s="22"/>
      <c r="L673" s="22"/>
      <c r="M673" s="133"/>
      <c r="N673" s="22"/>
      <c r="O673" s="22"/>
      <c r="P673" s="22"/>
      <c r="Q673" s="20"/>
      <c r="R673" s="20"/>
      <c r="S673" s="20"/>
      <c r="T673" s="20"/>
      <c r="U673" s="20"/>
      <c r="V673" s="20"/>
      <c r="W673" s="20"/>
      <c r="X673" s="20"/>
      <c r="Y673" s="20"/>
      <c r="Z673" s="20"/>
      <c r="AA673" s="20"/>
      <c r="AB673" s="22"/>
      <c r="AC673" s="20"/>
      <c r="AD673" s="20"/>
      <c r="AE673" s="20"/>
      <c r="AF673" s="20" t="s">
        <v>1124</v>
      </c>
      <c r="AG673" s="20" t="s">
        <v>1124</v>
      </c>
      <c r="AH673" s="20" t="s">
        <v>1124</v>
      </c>
      <c r="AI673" s="328"/>
      <c r="AJ673" s="328"/>
      <c r="AK673" s="328"/>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0"/>
      <c r="BY673" s="20"/>
      <c r="BZ673" s="20"/>
      <c r="CA673" s="20"/>
      <c r="CB673" s="20"/>
      <c r="CC673" s="20"/>
      <c r="CD673" s="22"/>
      <c r="CE673" s="22"/>
      <c r="CF673" s="22"/>
      <c r="CG673" s="22"/>
      <c r="CH673" s="22"/>
      <c r="CI673" s="22"/>
      <c r="CJ673" s="149"/>
      <c r="CK673" s="241"/>
    </row>
    <row r="674" spans="1:89" ht="15" customHeight="1" x14ac:dyDescent="0.35">
      <c r="A674" s="17"/>
      <c r="B674" s="313">
        <v>22005</v>
      </c>
      <c r="C674" s="8" t="s">
        <v>153</v>
      </c>
      <c r="D674" s="18">
        <v>3</v>
      </c>
      <c r="E674" s="131" t="s">
        <v>1309</v>
      </c>
      <c r="F674" s="22" t="s">
        <v>1309</v>
      </c>
      <c r="G674" s="132" t="s">
        <v>1309</v>
      </c>
      <c r="H674" s="22" t="s">
        <v>1311</v>
      </c>
      <c r="I674" s="22" t="s">
        <v>1327</v>
      </c>
      <c r="J674" s="22" t="s">
        <v>1327</v>
      </c>
      <c r="K674" s="22" t="s">
        <v>1309</v>
      </c>
      <c r="L674" s="22" t="s">
        <v>1309</v>
      </c>
      <c r="M674" s="133" t="s">
        <v>1311</v>
      </c>
      <c r="N674" s="22" t="s">
        <v>1311</v>
      </c>
      <c r="O674" s="22" t="s">
        <v>1309</v>
      </c>
      <c r="P674" s="22" t="s">
        <v>1309</v>
      </c>
      <c r="Q674" s="20">
        <v>35.546999999999997</v>
      </c>
      <c r="R674" s="20">
        <v>35.546999999999997</v>
      </c>
      <c r="S674" s="20">
        <v>0</v>
      </c>
      <c r="T674" s="20">
        <v>0</v>
      </c>
      <c r="U674" s="20">
        <v>0</v>
      </c>
      <c r="V674" s="20">
        <v>0</v>
      </c>
      <c r="W674" s="20">
        <v>0</v>
      </c>
      <c r="X674" s="20">
        <v>0</v>
      </c>
      <c r="Y674" s="20">
        <v>0</v>
      </c>
      <c r="Z674" s="20">
        <v>0</v>
      </c>
      <c r="AA674" s="20" t="s">
        <v>1309</v>
      </c>
      <c r="AB674" s="22" t="s">
        <v>1309</v>
      </c>
      <c r="AC674" s="20">
        <v>3</v>
      </c>
      <c r="AD674" s="20">
        <v>0</v>
      </c>
      <c r="AE674" s="20">
        <v>0</v>
      </c>
      <c r="AF674" s="20">
        <v>1</v>
      </c>
      <c r="AG674" s="20">
        <v>0</v>
      </c>
      <c r="AH674" s="20">
        <v>0</v>
      </c>
      <c r="AI674" s="328">
        <v>8.4395307620896283</v>
      </c>
      <c r="AJ674" s="328" t="s">
        <v>1328</v>
      </c>
      <c r="AK674" s="328" t="s">
        <v>1328</v>
      </c>
      <c r="AL674" s="22" t="s">
        <v>1329</v>
      </c>
      <c r="AM674" s="22" t="s">
        <v>1316</v>
      </c>
      <c r="AN674" s="22" t="s">
        <v>1317</v>
      </c>
      <c r="AO674" s="22" t="s">
        <v>1318</v>
      </c>
      <c r="AP674" s="22" t="s">
        <v>1318</v>
      </c>
      <c r="AQ674" s="22" t="s">
        <v>1318</v>
      </c>
      <c r="AR674" s="22" t="s">
        <v>1317</v>
      </c>
      <c r="AS674" s="22" t="s">
        <v>1318</v>
      </c>
      <c r="AT674" s="22" t="s">
        <v>1317</v>
      </c>
      <c r="AU674" s="22" t="s">
        <v>1318</v>
      </c>
      <c r="AV674" s="22" t="s">
        <v>1317</v>
      </c>
      <c r="AW674" s="22" t="s">
        <v>1311</v>
      </c>
      <c r="AX674" s="22" t="s">
        <v>1317</v>
      </c>
      <c r="AY674" s="22" t="s">
        <v>1318</v>
      </c>
      <c r="AZ674" s="22" t="s">
        <v>1309</v>
      </c>
      <c r="BA674" s="22" t="s">
        <v>1309</v>
      </c>
      <c r="BB674" s="22" t="s">
        <v>1317</v>
      </c>
      <c r="BC674" s="22" t="s">
        <v>1318</v>
      </c>
      <c r="BD674" s="22" t="s">
        <v>1309</v>
      </c>
      <c r="BE674" s="22" t="s">
        <v>1309</v>
      </c>
      <c r="BF674" s="22" t="s">
        <v>1317</v>
      </c>
      <c r="BG674" s="22" t="s">
        <v>1318</v>
      </c>
      <c r="BH674" s="22" t="s">
        <v>1309</v>
      </c>
      <c r="BI674" s="22" t="s">
        <v>1309</v>
      </c>
      <c r="BJ674" s="22" t="s">
        <v>1317</v>
      </c>
      <c r="BK674" s="22" t="s">
        <v>1318</v>
      </c>
      <c r="BL674" s="22" t="s">
        <v>1317</v>
      </c>
      <c r="BM674" s="22" t="s">
        <v>1311</v>
      </c>
      <c r="BN674" s="22" t="s">
        <v>1317</v>
      </c>
      <c r="BO674" s="22" t="s">
        <v>1318</v>
      </c>
      <c r="BP674" s="22" t="s">
        <v>1309</v>
      </c>
      <c r="BQ674" s="22" t="s">
        <v>1309</v>
      </c>
      <c r="BR674" s="22" t="s">
        <v>1309</v>
      </c>
      <c r="BS674" s="22" t="s">
        <v>1309</v>
      </c>
      <c r="BT674" s="22" t="s">
        <v>1317</v>
      </c>
      <c r="BU674" s="22" t="s">
        <v>1318</v>
      </c>
      <c r="BV674" s="22" t="s">
        <v>1317</v>
      </c>
      <c r="BW674" s="22" t="s">
        <v>1318</v>
      </c>
      <c r="BX674" s="20">
        <v>68</v>
      </c>
      <c r="BY674" s="20">
        <v>12</v>
      </c>
      <c r="BZ674" s="20">
        <v>11</v>
      </c>
      <c r="CA674" s="20">
        <v>0</v>
      </c>
      <c r="CB674" s="20">
        <v>0</v>
      </c>
      <c r="CC674" s="20">
        <v>1704</v>
      </c>
      <c r="CD674" s="22" t="s">
        <v>1345</v>
      </c>
      <c r="CE674" s="22" t="s">
        <v>1318</v>
      </c>
      <c r="CF674" s="22" t="s">
        <v>1317</v>
      </c>
      <c r="CG674" s="22" t="s">
        <v>1318</v>
      </c>
      <c r="CH674" s="22" t="s">
        <v>1317</v>
      </c>
      <c r="CI674" s="22" t="s">
        <v>1318</v>
      </c>
      <c r="CJ674" s="149" t="s">
        <v>1124</v>
      </c>
      <c r="CK674" s="241" t="s">
        <v>1124</v>
      </c>
    </row>
    <row r="675" spans="1:89" ht="15" customHeight="1" x14ac:dyDescent="0.35">
      <c r="A675" s="17"/>
      <c r="B675" s="313">
        <v>38060</v>
      </c>
      <c r="C675" s="8" t="s">
        <v>334</v>
      </c>
      <c r="D675" s="18">
        <v>17</v>
      </c>
      <c r="E675" s="131" t="s">
        <v>1309</v>
      </c>
      <c r="F675" s="22" t="s">
        <v>1309</v>
      </c>
      <c r="G675" s="132" t="s">
        <v>1309</v>
      </c>
      <c r="H675" s="22" t="s">
        <v>1311</v>
      </c>
      <c r="I675" s="22" t="s">
        <v>1312</v>
      </c>
      <c r="J675" s="22" t="s">
        <v>1405</v>
      </c>
      <c r="K675" s="22" t="s">
        <v>1309</v>
      </c>
      <c r="L675" s="22" t="s">
        <v>1309</v>
      </c>
      <c r="M675" s="133" t="s">
        <v>1311</v>
      </c>
      <c r="N675" s="22" t="s">
        <v>1311</v>
      </c>
      <c r="O675" s="22" t="s">
        <v>1314</v>
      </c>
      <c r="P675" s="22" t="s">
        <v>1318</v>
      </c>
      <c r="Q675" s="20">
        <v>0</v>
      </c>
      <c r="R675" s="20">
        <v>0</v>
      </c>
      <c r="S675" s="20">
        <v>0</v>
      </c>
      <c r="T675" s="20">
        <v>0</v>
      </c>
      <c r="U675" s="20">
        <v>0</v>
      </c>
      <c r="V675" s="20">
        <v>0</v>
      </c>
      <c r="W675" s="20">
        <v>0</v>
      </c>
      <c r="X675" s="20">
        <v>0</v>
      </c>
      <c r="Y675" s="20">
        <v>0</v>
      </c>
      <c r="Z675" s="20">
        <v>0</v>
      </c>
      <c r="AA675" s="20" t="s">
        <v>1315</v>
      </c>
      <c r="AB675" s="22" t="s">
        <v>1318</v>
      </c>
      <c r="AC675" s="20">
        <v>0</v>
      </c>
      <c r="AD675" s="20">
        <v>0</v>
      </c>
      <c r="AE675" s="20">
        <v>3</v>
      </c>
      <c r="AF675" s="20">
        <v>0</v>
      </c>
      <c r="AG675" s="20">
        <v>0</v>
      </c>
      <c r="AH675" s="20">
        <v>1</v>
      </c>
      <c r="AI675" s="328" t="s">
        <v>1328</v>
      </c>
      <c r="AJ675" s="328" t="s">
        <v>1328</v>
      </c>
      <c r="AK675" s="328">
        <v>15.228426395939087</v>
      </c>
      <c r="AL675" s="22" t="s">
        <v>1329</v>
      </c>
      <c r="AM675" s="22" t="s">
        <v>1330</v>
      </c>
      <c r="AN675" s="22" t="s">
        <v>1317</v>
      </c>
      <c r="AO675" s="22" t="s">
        <v>1318</v>
      </c>
      <c r="AP675" s="22" t="s">
        <v>1318</v>
      </c>
      <c r="AQ675" s="22" t="s">
        <v>1318</v>
      </c>
      <c r="AR675" s="22" t="s">
        <v>1317</v>
      </c>
      <c r="AS675" s="22" t="s">
        <v>1318</v>
      </c>
      <c r="AT675" s="22" t="s">
        <v>1309</v>
      </c>
      <c r="AU675" s="22" t="s">
        <v>1311</v>
      </c>
      <c r="AV675" s="22" t="s">
        <v>1309</v>
      </c>
      <c r="AW675" s="22" t="s">
        <v>1311</v>
      </c>
      <c r="AX675" s="22" t="s">
        <v>1317</v>
      </c>
      <c r="AY675" s="22" t="s">
        <v>1318</v>
      </c>
      <c r="AZ675" s="22" t="s">
        <v>1317</v>
      </c>
      <c r="BA675" s="22" t="s">
        <v>1318</v>
      </c>
      <c r="BB675" s="22" t="s">
        <v>1317</v>
      </c>
      <c r="BC675" s="22" t="s">
        <v>1318</v>
      </c>
      <c r="BD675" s="22" t="s">
        <v>1317</v>
      </c>
      <c r="BE675" s="22" t="s">
        <v>1318</v>
      </c>
      <c r="BF675" s="22" t="s">
        <v>1317</v>
      </c>
      <c r="BG675" s="22" t="s">
        <v>1311</v>
      </c>
      <c r="BH675" s="22" t="s">
        <v>1317</v>
      </c>
      <c r="BI675" s="22" t="s">
        <v>1318</v>
      </c>
      <c r="BJ675" s="22" t="s">
        <v>1315</v>
      </c>
      <c r="BK675" s="22" t="s">
        <v>1315</v>
      </c>
      <c r="BL675" s="22" t="s">
        <v>1317</v>
      </c>
      <c r="BM675" s="22" t="s">
        <v>1311</v>
      </c>
      <c r="BN675" s="22" t="s">
        <v>1317</v>
      </c>
      <c r="BO675" s="22" t="s">
        <v>1318</v>
      </c>
      <c r="BP675" s="22" t="s">
        <v>1315</v>
      </c>
      <c r="BQ675" s="22" t="s">
        <v>1315</v>
      </c>
      <c r="BR675" s="22" t="s">
        <v>1309</v>
      </c>
      <c r="BS675" s="22" t="s">
        <v>1309</v>
      </c>
      <c r="BT675" s="22" t="s">
        <v>1309</v>
      </c>
      <c r="BU675" s="22" t="s">
        <v>1309</v>
      </c>
      <c r="BV675" s="22" t="s">
        <v>1309</v>
      </c>
      <c r="BW675" s="22" t="s">
        <v>1309</v>
      </c>
      <c r="BX675" s="20">
        <v>0</v>
      </c>
      <c r="BY675" s="20">
        <v>17</v>
      </c>
      <c r="BZ675" s="20">
        <v>4</v>
      </c>
      <c r="CA675" s="20">
        <v>0</v>
      </c>
      <c r="CB675" s="20">
        <v>0</v>
      </c>
      <c r="CC675" s="20">
        <v>176</v>
      </c>
      <c r="CD675" s="22" t="s">
        <v>1331</v>
      </c>
      <c r="CE675" s="22" t="s">
        <v>1331</v>
      </c>
      <c r="CF675" s="22" t="s">
        <v>1317</v>
      </c>
      <c r="CG675" s="22" t="s">
        <v>1340</v>
      </c>
      <c r="CH675" s="22" t="s">
        <v>1317</v>
      </c>
      <c r="CI675" s="22" t="s">
        <v>1318</v>
      </c>
      <c r="CJ675" s="149" t="s">
        <v>1124</v>
      </c>
      <c r="CK675" s="241" t="s">
        <v>1356</v>
      </c>
    </row>
    <row r="676" spans="1:89" ht="15" customHeight="1" x14ac:dyDescent="0.35">
      <c r="A676" s="17"/>
      <c r="B676" s="313">
        <v>47055</v>
      </c>
      <c r="C676" s="8" t="s">
        <v>455</v>
      </c>
      <c r="D676" s="18">
        <v>5</v>
      </c>
      <c r="E676" s="131"/>
      <c r="F676" s="22"/>
      <c r="G676" s="132"/>
      <c r="H676" s="22"/>
      <c r="I676" s="22"/>
      <c r="J676" s="22"/>
      <c r="K676" s="22"/>
      <c r="L676" s="22"/>
      <c r="M676" s="133"/>
      <c r="N676" s="22"/>
      <c r="O676" s="22"/>
      <c r="P676" s="22"/>
      <c r="Q676" s="20"/>
      <c r="R676" s="20"/>
      <c r="S676" s="20"/>
      <c r="T676" s="20"/>
      <c r="U676" s="20"/>
      <c r="V676" s="20"/>
      <c r="W676" s="20"/>
      <c r="X676" s="20"/>
      <c r="Y676" s="20"/>
      <c r="Z676" s="20"/>
      <c r="AA676" s="20"/>
      <c r="AB676" s="22"/>
      <c r="AC676" s="20"/>
      <c r="AD676" s="20"/>
      <c r="AE676" s="20"/>
      <c r="AF676" s="20" t="s">
        <v>1124</v>
      </c>
      <c r="AG676" s="20" t="s">
        <v>1124</v>
      </c>
      <c r="AH676" s="20" t="s">
        <v>1124</v>
      </c>
      <c r="AI676" s="328"/>
      <c r="AJ676" s="328"/>
      <c r="AK676" s="328"/>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0"/>
      <c r="BY676" s="20"/>
      <c r="BZ676" s="20"/>
      <c r="CA676" s="20"/>
      <c r="CB676" s="20"/>
      <c r="CC676" s="20"/>
      <c r="CD676" s="22"/>
      <c r="CE676" s="22"/>
      <c r="CF676" s="22"/>
      <c r="CG676" s="22"/>
      <c r="CH676" s="22"/>
      <c r="CI676" s="22"/>
      <c r="CJ676" s="149"/>
      <c r="CK676" s="241"/>
    </row>
    <row r="677" spans="1:89" ht="15" customHeight="1" x14ac:dyDescent="0.35">
      <c r="A677" s="17"/>
      <c r="B677" s="313">
        <v>30050</v>
      </c>
      <c r="C677" s="8" t="s">
        <v>226</v>
      </c>
      <c r="D677" s="18">
        <v>5</v>
      </c>
      <c r="E677" s="131" t="s">
        <v>1319</v>
      </c>
      <c r="F677" s="22" t="s">
        <v>1309</v>
      </c>
      <c r="G677" s="132" t="s">
        <v>1309</v>
      </c>
      <c r="H677" s="22" t="s">
        <v>1311</v>
      </c>
      <c r="I677" s="22" t="s">
        <v>1327</v>
      </c>
      <c r="J677" s="22" t="s">
        <v>1327</v>
      </c>
      <c r="K677" s="22" t="s">
        <v>1319</v>
      </c>
      <c r="L677" s="22" t="s">
        <v>1309</v>
      </c>
      <c r="M677" s="133" t="s">
        <v>1311</v>
      </c>
      <c r="N677" s="22" t="s">
        <v>1311</v>
      </c>
      <c r="O677" s="22" t="s">
        <v>1309</v>
      </c>
      <c r="P677" s="22" t="s">
        <v>1309</v>
      </c>
      <c r="Q677" s="20">
        <v>0</v>
      </c>
      <c r="R677" s="20">
        <v>0</v>
      </c>
      <c r="S677" s="20">
        <v>7.55</v>
      </c>
      <c r="T677" s="20">
        <v>7.55</v>
      </c>
      <c r="U677" s="20">
        <v>0</v>
      </c>
      <c r="V677" s="20">
        <v>0</v>
      </c>
      <c r="W677" s="20">
        <v>0</v>
      </c>
      <c r="X677" s="20">
        <v>0</v>
      </c>
      <c r="Y677" s="20">
        <v>0</v>
      </c>
      <c r="Z677" s="20">
        <v>0</v>
      </c>
      <c r="AA677" s="20" t="s">
        <v>1317</v>
      </c>
      <c r="AB677" s="22" t="s">
        <v>1318</v>
      </c>
      <c r="AC677" s="20">
        <v>0</v>
      </c>
      <c r="AD677" s="20">
        <v>0</v>
      </c>
      <c r="AE677" s="20">
        <v>0</v>
      </c>
      <c r="AF677" s="20">
        <v>0</v>
      </c>
      <c r="AG677" s="20">
        <v>0</v>
      </c>
      <c r="AH677" s="20">
        <v>0</v>
      </c>
      <c r="AI677" s="328" t="s">
        <v>1328</v>
      </c>
      <c r="AJ677" s="328" t="s">
        <v>1328</v>
      </c>
      <c r="AK677" s="328" t="s">
        <v>1328</v>
      </c>
      <c r="AL677" s="22" t="s">
        <v>1329</v>
      </c>
      <c r="AM677" s="22" t="s">
        <v>1330</v>
      </c>
      <c r="AN677" s="22" t="s">
        <v>1317</v>
      </c>
      <c r="AO677" s="22" t="s">
        <v>1318</v>
      </c>
      <c r="AP677" s="22" t="s">
        <v>1318</v>
      </c>
      <c r="AQ677" s="22" t="s">
        <v>1318</v>
      </c>
      <c r="AR677" s="22" t="s">
        <v>1317</v>
      </c>
      <c r="AS677" s="22" t="s">
        <v>1318</v>
      </c>
      <c r="AT677" s="22" t="s">
        <v>1309</v>
      </c>
      <c r="AU677" s="22" t="s">
        <v>1309</v>
      </c>
      <c r="AV677" s="22" t="s">
        <v>1309</v>
      </c>
      <c r="AW677" s="22" t="s">
        <v>1309</v>
      </c>
      <c r="AX677" s="22" t="s">
        <v>1317</v>
      </c>
      <c r="AY677" s="22" t="s">
        <v>1318</v>
      </c>
      <c r="AZ677" s="22" t="s">
        <v>1317</v>
      </c>
      <c r="BA677" s="22" t="s">
        <v>1318</v>
      </c>
      <c r="BB677" s="22" t="s">
        <v>1309</v>
      </c>
      <c r="BC677" s="22" t="s">
        <v>1309</v>
      </c>
      <c r="BD677" s="22" t="s">
        <v>1309</v>
      </c>
      <c r="BE677" s="22" t="s">
        <v>1309</v>
      </c>
      <c r="BF677" s="22" t="s">
        <v>1309</v>
      </c>
      <c r="BG677" s="22" t="s">
        <v>1309</v>
      </c>
      <c r="BH677" s="22" t="s">
        <v>1315</v>
      </c>
      <c r="BI677" s="22" t="s">
        <v>1315</v>
      </c>
      <c r="BJ677" s="22" t="s">
        <v>1317</v>
      </c>
      <c r="BK677" s="22" t="s">
        <v>1318</v>
      </c>
      <c r="BL677" s="22" t="s">
        <v>1309</v>
      </c>
      <c r="BM677" s="22" t="s">
        <v>1309</v>
      </c>
      <c r="BN677" s="22" t="s">
        <v>1309</v>
      </c>
      <c r="BO677" s="22" t="s">
        <v>1309</v>
      </c>
      <c r="BP677" s="22" t="s">
        <v>1309</v>
      </c>
      <c r="BQ677" s="22" t="s">
        <v>1309</v>
      </c>
      <c r="BR677" s="22" t="s">
        <v>1309</v>
      </c>
      <c r="BS677" s="22" t="s">
        <v>1309</v>
      </c>
      <c r="BT677" s="22" t="s">
        <v>1315</v>
      </c>
      <c r="BU677" s="22" t="s">
        <v>1315</v>
      </c>
      <c r="BV677" s="22" t="s">
        <v>1317</v>
      </c>
      <c r="BW677" s="22" t="s">
        <v>1318</v>
      </c>
      <c r="BX677" s="20">
        <v>10</v>
      </c>
      <c r="BY677" s="20">
        <v>0</v>
      </c>
      <c r="BZ677" s="20">
        <v>0</v>
      </c>
      <c r="CA677" s="20">
        <v>77</v>
      </c>
      <c r="CB677" s="20">
        <v>10</v>
      </c>
      <c r="CC677" s="20">
        <v>0</v>
      </c>
      <c r="CD677" s="22" t="s">
        <v>1331</v>
      </c>
      <c r="CE677" s="22" t="s">
        <v>1331</v>
      </c>
      <c r="CF677" s="22" t="s">
        <v>1315</v>
      </c>
      <c r="CG677" s="22" t="s">
        <v>1315</v>
      </c>
      <c r="CH677" s="22" t="s">
        <v>1317</v>
      </c>
      <c r="CI677" s="22" t="s">
        <v>1318</v>
      </c>
      <c r="CJ677" s="149" t="s">
        <v>4283</v>
      </c>
      <c r="CK677" s="241" t="s">
        <v>1124</v>
      </c>
    </row>
    <row r="678" spans="1:89" ht="15" customHeight="1" x14ac:dyDescent="0.35">
      <c r="A678" s="17"/>
      <c r="B678" s="313">
        <v>48020</v>
      </c>
      <c r="C678" s="8" t="s">
        <v>459</v>
      </c>
      <c r="D678" s="18">
        <v>16</v>
      </c>
      <c r="E678" s="131"/>
      <c r="F678" s="22"/>
      <c r="G678" s="132"/>
      <c r="H678" s="22"/>
      <c r="I678" s="22"/>
      <c r="J678" s="22"/>
      <c r="K678" s="22"/>
      <c r="L678" s="22"/>
      <c r="M678" s="133"/>
      <c r="N678" s="22"/>
      <c r="O678" s="22"/>
      <c r="P678" s="22"/>
      <c r="Q678" s="20"/>
      <c r="R678" s="20"/>
      <c r="S678" s="20"/>
      <c r="T678" s="20"/>
      <c r="U678" s="20"/>
      <c r="V678" s="20"/>
      <c r="W678" s="20"/>
      <c r="X678" s="20"/>
      <c r="Y678" s="20"/>
      <c r="Z678" s="20"/>
      <c r="AA678" s="20"/>
      <c r="AB678" s="22"/>
      <c r="AC678" s="20"/>
      <c r="AD678" s="20"/>
      <c r="AE678" s="20"/>
      <c r="AF678" s="20" t="s">
        <v>1124</v>
      </c>
      <c r="AG678" s="20" t="s">
        <v>1124</v>
      </c>
      <c r="AH678" s="20" t="s">
        <v>1124</v>
      </c>
      <c r="AI678" s="328"/>
      <c r="AJ678" s="328"/>
      <c r="AK678" s="328"/>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0"/>
      <c r="BY678" s="20"/>
      <c r="BZ678" s="20"/>
      <c r="CA678" s="20"/>
      <c r="CB678" s="20"/>
      <c r="CC678" s="20"/>
      <c r="CD678" s="22"/>
      <c r="CE678" s="22"/>
      <c r="CF678" s="22"/>
      <c r="CG678" s="22"/>
      <c r="CH678" s="22"/>
      <c r="CI678" s="22"/>
      <c r="CJ678" s="149"/>
      <c r="CK678" s="241"/>
    </row>
    <row r="679" spans="1:89" ht="15" customHeight="1" x14ac:dyDescent="0.35">
      <c r="A679" s="17"/>
      <c r="B679" s="313">
        <v>34105</v>
      </c>
      <c r="C679" s="8" t="s">
        <v>298</v>
      </c>
      <c r="D679" s="18">
        <v>3</v>
      </c>
      <c r="E679" s="131"/>
      <c r="F679" s="22"/>
      <c r="G679" s="132"/>
      <c r="H679" s="22"/>
      <c r="I679" s="22"/>
      <c r="J679" s="22"/>
      <c r="K679" s="22"/>
      <c r="L679" s="22"/>
      <c r="M679" s="133"/>
      <c r="N679" s="22"/>
      <c r="O679" s="22"/>
      <c r="P679" s="22"/>
      <c r="Q679" s="20"/>
      <c r="R679" s="20"/>
      <c r="S679" s="20"/>
      <c r="T679" s="20"/>
      <c r="U679" s="20"/>
      <c r="V679" s="20"/>
      <c r="W679" s="20"/>
      <c r="X679" s="20"/>
      <c r="Y679" s="20"/>
      <c r="Z679" s="20"/>
      <c r="AA679" s="20"/>
      <c r="AB679" s="22"/>
      <c r="AC679" s="20"/>
      <c r="AD679" s="20"/>
      <c r="AE679" s="20"/>
      <c r="AF679" s="20" t="s">
        <v>1124</v>
      </c>
      <c r="AG679" s="20" t="s">
        <v>1124</v>
      </c>
      <c r="AH679" s="20" t="s">
        <v>1124</v>
      </c>
      <c r="AI679" s="328"/>
      <c r="AJ679" s="328"/>
      <c r="AK679" s="328"/>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0"/>
      <c r="BY679" s="20"/>
      <c r="BZ679" s="20"/>
      <c r="CA679" s="20"/>
      <c r="CB679" s="20"/>
      <c r="CC679" s="20"/>
      <c r="CD679" s="22"/>
      <c r="CE679" s="22"/>
      <c r="CF679" s="22"/>
      <c r="CG679" s="22"/>
      <c r="CH679" s="22"/>
      <c r="CI679" s="22"/>
      <c r="CJ679" s="149"/>
      <c r="CK679" s="241"/>
    </row>
    <row r="680" spans="1:89" ht="15" customHeight="1" x14ac:dyDescent="0.35">
      <c r="A680" s="17"/>
      <c r="B680" s="313">
        <v>19055</v>
      </c>
      <c r="C680" s="8" t="s">
        <v>127</v>
      </c>
      <c r="D680" s="18">
        <v>12</v>
      </c>
      <c r="E680" s="131" t="s">
        <v>1309</v>
      </c>
      <c r="F680" s="22" t="s">
        <v>1309</v>
      </c>
      <c r="G680" s="132" t="s">
        <v>1309</v>
      </c>
      <c r="H680" s="22" t="s">
        <v>1311</v>
      </c>
      <c r="I680" s="22" t="s">
        <v>1327</v>
      </c>
      <c r="J680" s="22" t="s">
        <v>1327</v>
      </c>
      <c r="K680" s="22" t="s">
        <v>1309</v>
      </c>
      <c r="L680" s="22" t="s">
        <v>1309</v>
      </c>
      <c r="M680" s="133" t="s">
        <v>1311</v>
      </c>
      <c r="N680" s="22" t="s">
        <v>1311</v>
      </c>
      <c r="O680" s="22" t="s">
        <v>1309</v>
      </c>
      <c r="P680" s="22" t="s">
        <v>1309</v>
      </c>
      <c r="Q680" s="20">
        <v>24.831</v>
      </c>
      <c r="R680" s="20">
        <v>24.831</v>
      </c>
      <c r="S680" s="20">
        <v>0</v>
      </c>
      <c r="T680" s="20">
        <v>0</v>
      </c>
      <c r="U680" s="20">
        <v>0</v>
      </c>
      <c r="V680" s="20">
        <v>0</v>
      </c>
      <c r="W680" s="20">
        <v>0</v>
      </c>
      <c r="X680" s="20">
        <v>0</v>
      </c>
      <c r="Y680" s="20">
        <v>0</v>
      </c>
      <c r="Z680" s="20">
        <v>0</v>
      </c>
      <c r="AA680" s="20" t="s">
        <v>1317</v>
      </c>
      <c r="AB680" s="22" t="s">
        <v>1318</v>
      </c>
      <c r="AC680" s="20">
        <v>4</v>
      </c>
      <c r="AD680" s="20">
        <v>0</v>
      </c>
      <c r="AE680" s="20">
        <v>0</v>
      </c>
      <c r="AF680" s="20">
        <v>1</v>
      </c>
      <c r="AG680" s="20">
        <v>0</v>
      </c>
      <c r="AH680" s="20">
        <v>0</v>
      </c>
      <c r="AI680" s="328">
        <v>16.101115002213902</v>
      </c>
      <c r="AJ680" s="328" t="s">
        <v>1328</v>
      </c>
      <c r="AK680" s="328" t="s">
        <v>1328</v>
      </c>
      <c r="AL680" s="22" t="s">
        <v>1329</v>
      </c>
      <c r="AM680" s="22" t="s">
        <v>1330</v>
      </c>
      <c r="AN680" s="22" t="s">
        <v>1317</v>
      </c>
      <c r="AO680" s="22" t="s">
        <v>1318</v>
      </c>
      <c r="AP680" s="22" t="s">
        <v>1318</v>
      </c>
      <c r="AQ680" s="22" t="s">
        <v>1318</v>
      </c>
      <c r="AR680" s="22" t="s">
        <v>1317</v>
      </c>
      <c r="AS680" s="22" t="s">
        <v>1318</v>
      </c>
      <c r="AT680" s="22" t="s">
        <v>1317</v>
      </c>
      <c r="AU680" s="22" t="s">
        <v>1318</v>
      </c>
      <c r="AV680" s="22" t="s">
        <v>1317</v>
      </c>
      <c r="AW680" s="22" t="s">
        <v>1318</v>
      </c>
      <c r="AX680" s="22" t="s">
        <v>1317</v>
      </c>
      <c r="AY680" s="22" t="s">
        <v>1318</v>
      </c>
      <c r="AZ680" s="22" t="s">
        <v>1317</v>
      </c>
      <c r="BA680" s="22" t="s">
        <v>1318</v>
      </c>
      <c r="BB680" s="22" t="s">
        <v>1309</v>
      </c>
      <c r="BC680" s="22" t="s">
        <v>1309</v>
      </c>
      <c r="BD680" s="22" t="s">
        <v>1309</v>
      </c>
      <c r="BE680" s="22" t="s">
        <v>1309</v>
      </c>
      <c r="BF680" s="22" t="s">
        <v>1309</v>
      </c>
      <c r="BG680" s="22" t="s">
        <v>1309</v>
      </c>
      <c r="BH680" s="22" t="s">
        <v>1317</v>
      </c>
      <c r="BI680" s="22" t="s">
        <v>1318</v>
      </c>
      <c r="BJ680" s="22" t="s">
        <v>1317</v>
      </c>
      <c r="BK680" s="22" t="s">
        <v>1318</v>
      </c>
      <c r="BL680" s="22" t="s">
        <v>1317</v>
      </c>
      <c r="BM680" s="22" t="s">
        <v>1318</v>
      </c>
      <c r="BN680" s="22" t="s">
        <v>1309</v>
      </c>
      <c r="BO680" s="22" t="s">
        <v>1309</v>
      </c>
      <c r="BP680" s="22" t="s">
        <v>1317</v>
      </c>
      <c r="BQ680" s="22" t="s">
        <v>1318</v>
      </c>
      <c r="BR680" s="22" t="s">
        <v>1309</v>
      </c>
      <c r="BS680" s="22" t="s">
        <v>1309</v>
      </c>
      <c r="BT680" s="22" t="s">
        <v>1317</v>
      </c>
      <c r="BU680" s="22" t="s">
        <v>1318</v>
      </c>
      <c r="BV680" s="22" t="s">
        <v>1309</v>
      </c>
      <c r="BW680" s="22" t="s">
        <v>1309</v>
      </c>
      <c r="BX680" s="20">
        <v>100</v>
      </c>
      <c r="BY680" s="20">
        <v>14</v>
      </c>
      <c r="BZ680" s="20">
        <v>6</v>
      </c>
      <c r="CA680" s="20">
        <v>1050</v>
      </c>
      <c r="CB680" s="20">
        <v>0</v>
      </c>
      <c r="CC680" s="20">
        <v>0</v>
      </c>
      <c r="CD680" s="22" t="s">
        <v>1331</v>
      </c>
      <c r="CE680" s="22" t="s">
        <v>1331</v>
      </c>
      <c r="CF680" s="22" t="s">
        <v>1315</v>
      </c>
      <c r="CG680" s="22" t="s">
        <v>1315</v>
      </c>
      <c r="CH680" s="22" t="s">
        <v>1315</v>
      </c>
      <c r="CI680" s="22" t="s">
        <v>1315</v>
      </c>
      <c r="CJ680" s="149" t="s">
        <v>2824</v>
      </c>
      <c r="CK680" s="241" t="s">
        <v>2825</v>
      </c>
    </row>
    <row r="681" spans="1:89" ht="15" customHeight="1" x14ac:dyDescent="0.35">
      <c r="A681" s="17"/>
      <c r="B681" s="313">
        <v>68020</v>
      </c>
      <c r="C681" s="8" t="s">
        <v>676</v>
      </c>
      <c r="D681" s="18">
        <v>16</v>
      </c>
      <c r="E681" s="131"/>
      <c r="F681" s="22"/>
      <c r="G681" s="132"/>
      <c r="H681" s="22"/>
      <c r="I681" s="22"/>
      <c r="J681" s="22"/>
      <c r="K681" s="22"/>
      <c r="L681" s="22"/>
      <c r="M681" s="133"/>
      <c r="N681" s="22"/>
      <c r="O681" s="22"/>
      <c r="P681" s="22"/>
      <c r="Q681" s="20"/>
      <c r="R681" s="20"/>
      <c r="S681" s="20"/>
      <c r="T681" s="20"/>
      <c r="U681" s="20"/>
      <c r="V681" s="20"/>
      <c r="W681" s="20"/>
      <c r="X681" s="20"/>
      <c r="Y681" s="20"/>
      <c r="Z681" s="20"/>
      <c r="AA681" s="20"/>
      <c r="AB681" s="22"/>
      <c r="AC681" s="20"/>
      <c r="AD681" s="20"/>
      <c r="AE681" s="20"/>
      <c r="AF681" s="20" t="s">
        <v>1124</v>
      </c>
      <c r="AG681" s="20" t="s">
        <v>1124</v>
      </c>
      <c r="AH681" s="20" t="s">
        <v>1124</v>
      </c>
      <c r="AI681" s="328"/>
      <c r="AJ681" s="328"/>
      <c r="AK681" s="328"/>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0"/>
      <c r="BY681" s="20"/>
      <c r="BZ681" s="20"/>
      <c r="CA681" s="20"/>
      <c r="CB681" s="20"/>
      <c r="CC681" s="20"/>
      <c r="CD681" s="22"/>
      <c r="CE681" s="22"/>
      <c r="CF681" s="22"/>
      <c r="CG681" s="22"/>
      <c r="CH681" s="22"/>
      <c r="CI681" s="22"/>
      <c r="CJ681" s="149"/>
      <c r="CK681" s="241"/>
    </row>
    <row r="682" spans="1:89" ht="15" customHeight="1" x14ac:dyDescent="0.35">
      <c r="A682" s="17"/>
      <c r="B682" s="313">
        <v>31060</v>
      </c>
      <c r="C682" s="8" t="s">
        <v>247</v>
      </c>
      <c r="D682" s="18">
        <v>12</v>
      </c>
      <c r="E682" s="131"/>
      <c r="F682" s="22"/>
      <c r="G682" s="132"/>
      <c r="H682" s="22"/>
      <c r="I682" s="22"/>
      <c r="J682" s="22"/>
      <c r="K682" s="22"/>
      <c r="L682" s="22"/>
      <c r="M682" s="133"/>
      <c r="N682" s="22"/>
      <c r="O682" s="22"/>
      <c r="P682" s="22"/>
      <c r="Q682" s="20"/>
      <c r="R682" s="20"/>
      <c r="S682" s="20"/>
      <c r="T682" s="20"/>
      <c r="U682" s="20"/>
      <c r="V682" s="20"/>
      <c r="W682" s="20"/>
      <c r="X682" s="20"/>
      <c r="Y682" s="20"/>
      <c r="Z682" s="20"/>
      <c r="AA682" s="20"/>
      <c r="AB682" s="22"/>
      <c r="AC682" s="20"/>
      <c r="AD682" s="20"/>
      <c r="AE682" s="20"/>
      <c r="AF682" s="20" t="s">
        <v>1124</v>
      </c>
      <c r="AG682" s="20" t="s">
        <v>1124</v>
      </c>
      <c r="AH682" s="20" t="s">
        <v>1124</v>
      </c>
      <c r="AI682" s="328"/>
      <c r="AJ682" s="328"/>
      <c r="AK682" s="328"/>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0"/>
      <c r="BY682" s="20"/>
      <c r="BZ682" s="20"/>
      <c r="CA682" s="20"/>
      <c r="CB682" s="20"/>
      <c r="CC682" s="20"/>
      <c r="CD682" s="22"/>
      <c r="CE682" s="22"/>
      <c r="CF682" s="22"/>
      <c r="CG682" s="22"/>
      <c r="CH682" s="22"/>
      <c r="CI682" s="22"/>
      <c r="CJ682" s="149"/>
      <c r="CK682" s="241"/>
    </row>
    <row r="683" spans="1:89" ht="15" customHeight="1" x14ac:dyDescent="0.35">
      <c r="A683" s="17"/>
      <c r="B683" s="313">
        <v>39117</v>
      </c>
      <c r="C683" s="8" t="s">
        <v>352</v>
      </c>
      <c r="D683" s="18">
        <v>17</v>
      </c>
      <c r="E683" s="131" t="s">
        <v>1309</v>
      </c>
      <c r="F683" s="22" t="s">
        <v>1309</v>
      </c>
      <c r="G683" s="132" t="s">
        <v>1309</v>
      </c>
      <c r="H683" s="22" t="s">
        <v>1311</v>
      </c>
      <c r="I683" s="22" t="s">
        <v>1327</v>
      </c>
      <c r="J683" s="22" t="s">
        <v>1327</v>
      </c>
      <c r="K683" s="22" t="s">
        <v>1309</v>
      </c>
      <c r="L683" s="22" t="s">
        <v>1309</v>
      </c>
      <c r="M683" s="133" t="s">
        <v>1311</v>
      </c>
      <c r="N683" s="22" t="s">
        <v>1311</v>
      </c>
      <c r="O683" s="22" t="s">
        <v>1314</v>
      </c>
      <c r="P683" s="22" t="s">
        <v>1318</v>
      </c>
      <c r="Q683" s="20">
        <v>0</v>
      </c>
      <c r="R683" s="20">
        <v>0</v>
      </c>
      <c r="S683" s="20">
        <v>4.6319999999999997</v>
      </c>
      <c r="T683" s="20">
        <v>4.6319999999999997</v>
      </c>
      <c r="U683" s="20">
        <v>0</v>
      </c>
      <c r="V683" s="20">
        <v>0</v>
      </c>
      <c r="W683" s="20">
        <v>0</v>
      </c>
      <c r="X683" s="20">
        <v>0</v>
      </c>
      <c r="Y683" s="20">
        <v>0</v>
      </c>
      <c r="Z683" s="20">
        <v>0</v>
      </c>
      <c r="AA683" s="20" t="s">
        <v>1317</v>
      </c>
      <c r="AB683" s="22" t="s">
        <v>1318</v>
      </c>
      <c r="AC683" s="20">
        <v>0</v>
      </c>
      <c r="AD683" s="20">
        <v>0</v>
      </c>
      <c r="AE683" s="20">
        <v>0</v>
      </c>
      <c r="AF683" s="20">
        <v>0</v>
      </c>
      <c r="AG683" s="20">
        <v>0</v>
      </c>
      <c r="AH683" s="20">
        <v>0</v>
      </c>
      <c r="AI683" s="328" t="s">
        <v>1328</v>
      </c>
      <c r="AJ683" s="328" t="s">
        <v>1328</v>
      </c>
      <c r="AK683" s="328" t="s">
        <v>1328</v>
      </c>
      <c r="AL683" s="22" t="s">
        <v>1329</v>
      </c>
      <c r="AM683" s="22" t="s">
        <v>1330</v>
      </c>
      <c r="AN683" s="22" t="s">
        <v>1315</v>
      </c>
      <c r="AO683" s="22" t="s">
        <v>1315</v>
      </c>
      <c r="AP683" s="22" t="s">
        <v>1315</v>
      </c>
      <c r="AQ683" s="22" t="s">
        <v>1315</v>
      </c>
      <c r="AR683" s="22" t="s">
        <v>1317</v>
      </c>
      <c r="AS683" s="22" t="s">
        <v>1318</v>
      </c>
      <c r="AT683" s="22" t="s">
        <v>1309</v>
      </c>
      <c r="AU683" s="22" t="s">
        <v>1309</v>
      </c>
      <c r="AV683" s="22" t="s">
        <v>1317</v>
      </c>
      <c r="AW683" s="22" t="s">
        <v>1318</v>
      </c>
      <c r="AX683" s="22" t="s">
        <v>1317</v>
      </c>
      <c r="AY683" s="22" t="s">
        <v>1318</v>
      </c>
      <c r="AZ683" s="22" t="s">
        <v>1317</v>
      </c>
      <c r="BA683" s="22" t="s">
        <v>1311</v>
      </c>
      <c r="BB683" s="22" t="s">
        <v>1309</v>
      </c>
      <c r="BC683" s="22" t="s">
        <v>1309</v>
      </c>
      <c r="BD683" s="22" t="s">
        <v>1317</v>
      </c>
      <c r="BE683" s="22" t="s">
        <v>1318</v>
      </c>
      <c r="BF683" s="22" t="s">
        <v>1317</v>
      </c>
      <c r="BG683" s="22" t="s">
        <v>1318</v>
      </c>
      <c r="BH683" s="22" t="s">
        <v>1309</v>
      </c>
      <c r="BI683" s="22" t="s">
        <v>1309</v>
      </c>
      <c r="BJ683" s="22" t="s">
        <v>1309</v>
      </c>
      <c r="BK683" s="22" t="s">
        <v>1309</v>
      </c>
      <c r="BL683" s="22" t="s">
        <v>1317</v>
      </c>
      <c r="BM683" s="22" t="s">
        <v>1318</v>
      </c>
      <c r="BN683" s="22" t="s">
        <v>1309</v>
      </c>
      <c r="BO683" s="22" t="s">
        <v>1309</v>
      </c>
      <c r="BP683" s="22" t="s">
        <v>1309</v>
      </c>
      <c r="BQ683" s="22" t="s">
        <v>1309</v>
      </c>
      <c r="BR683" s="22" t="s">
        <v>1309</v>
      </c>
      <c r="BS683" s="22" t="s">
        <v>1309</v>
      </c>
      <c r="BT683" s="22" t="s">
        <v>1309</v>
      </c>
      <c r="BU683" s="22" t="s">
        <v>1309</v>
      </c>
      <c r="BV683" s="22" t="s">
        <v>1317</v>
      </c>
      <c r="BW683" s="22" t="s">
        <v>1318</v>
      </c>
      <c r="BX683" s="20">
        <v>0</v>
      </c>
      <c r="BY683" s="20">
        <v>0</v>
      </c>
      <c r="BZ683" s="20">
        <v>16</v>
      </c>
      <c r="CA683" s="20">
        <v>0</v>
      </c>
      <c r="CB683" s="20">
        <v>0</v>
      </c>
      <c r="CC683" s="20">
        <v>143</v>
      </c>
      <c r="CD683" s="22" t="s">
        <v>1317</v>
      </c>
      <c r="CE683" s="22" t="s">
        <v>1318</v>
      </c>
      <c r="CF683" s="22" t="s">
        <v>1317</v>
      </c>
      <c r="CG683" s="22" t="s">
        <v>1318</v>
      </c>
      <c r="CH683" s="22" t="s">
        <v>1317</v>
      </c>
      <c r="CI683" s="22" t="s">
        <v>1318</v>
      </c>
      <c r="CJ683" s="149" t="s">
        <v>2829</v>
      </c>
      <c r="CK683" s="241" t="s">
        <v>1358</v>
      </c>
    </row>
    <row r="684" spans="1:89" ht="15" customHeight="1" x14ac:dyDescent="0.35">
      <c r="A684" s="17"/>
      <c r="B684" s="313">
        <v>33102</v>
      </c>
      <c r="C684" s="8" t="s">
        <v>282</v>
      </c>
      <c r="D684" s="18">
        <v>12</v>
      </c>
      <c r="E684" s="131" t="s">
        <v>1309</v>
      </c>
      <c r="F684" s="22" t="s">
        <v>1309</v>
      </c>
      <c r="G684" s="132" t="s">
        <v>1309</v>
      </c>
      <c r="H684" s="22" t="s">
        <v>1311</v>
      </c>
      <c r="I684" s="22" t="s">
        <v>1327</v>
      </c>
      <c r="J684" s="22" t="s">
        <v>1327</v>
      </c>
      <c r="K684" s="22" t="s">
        <v>1314</v>
      </c>
      <c r="L684" s="22" t="s">
        <v>1311</v>
      </c>
      <c r="M684" s="133" t="s">
        <v>1311</v>
      </c>
      <c r="N684" s="22" t="s">
        <v>1311</v>
      </c>
      <c r="O684" s="22" t="s">
        <v>1309</v>
      </c>
      <c r="P684" s="22" t="s">
        <v>1309</v>
      </c>
      <c r="Q684" s="20">
        <v>0</v>
      </c>
      <c r="R684" s="20">
        <v>0</v>
      </c>
      <c r="S684" s="20">
        <v>0</v>
      </c>
      <c r="T684" s="20">
        <v>0</v>
      </c>
      <c r="U684" s="20">
        <v>30.163</v>
      </c>
      <c r="V684" s="20">
        <v>30.163</v>
      </c>
      <c r="W684" s="20">
        <v>0</v>
      </c>
      <c r="X684" s="20">
        <v>0</v>
      </c>
      <c r="Y684" s="20">
        <v>0</v>
      </c>
      <c r="Z684" s="20">
        <v>0</v>
      </c>
      <c r="AA684" s="20" t="s">
        <v>1317</v>
      </c>
      <c r="AB684" s="22" t="s">
        <v>1318</v>
      </c>
      <c r="AC684" s="20">
        <v>6</v>
      </c>
      <c r="AD684" s="20">
        <v>0</v>
      </c>
      <c r="AE684" s="20">
        <v>0</v>
      </c>
      <c r="AF684" s="20">
        <v>2</v>
      </c>
      <c r="AG684" s="20">
        <v>0</v>
      </c>
      <c r="AH684" s="20">
        <v>0</v>
      </c>
      <c r="AI684" s="328">
        <v>19.891920564930544</v>
      </c>
      <c r="AJ684" s="328" t="s">
        <v>1328</v>
      </c>
      <c r="AK684" s="328" t="s">
        <v>1328</v>
      </c>
      <c r="AL684" s="22" t="s">
        <v>1329</v>
      </c>
      <c r="AM684" s="22" t="s">
        <v>1330</v>
      </c>
      <c r="AN684" s="22" t="s">
        <v>1317</v>
      </c>
      <c r="AO684" s="22" t="s">
        <v>1318</v>
      </c>
      <c r="AP684" s="22" t="s">
        <v>1318</v>
      </c>
      <c r="AQ684" s="22" t="s">
        <v>1318</v>
      </c>
      <c r="AR684" s="22" t="s">
        <v>1317</v>
      </c>
      <c r="AS684" s="22" t="s">
        <v>1318</v>
      </c>
      <c r="AT684" s="22" t="s">
        <v>1309</v>
      </c>
      <c r="AU684" s="22" t="s">
        <v>1318</v>
      </c>
      <c r="AV684" s="22" t="s">
        <v>1317</v>
      </c>
      <c r="AW684" s="22" t="s">
        <v>1318</v>
      </c>
      <c r="AX684" s="22" t="s">
        <v>1317</v>
      </c>
      <c r="AY684" s="22" t="s">
        <v>1318</v>
      </c>
      <c r="AZ684" s="22" t="s">
        <v>1309</v>
      </c>
      <c r="BA684" s="22" t="s">
        <v>1309</v>
      </c>
      <c r="BB684" s="22" t="s">
        <v>1319</v>
      </c>
      <c r="BC684" s="22" t="s">
        <v>1309</v>
      </c>
      <c r="BD684" s="22" t="s">
        <v>1317</v>
      </c>
      <c r="BE684" s="22" t="s">
        <v>1311</v>
      </c>
      <c r="BF684" s="22" t="s">
        <v>1317</v>
      </c>
      <c r="BG684" s="22" t="s">
        <v>1318</v>
      </c>
      <c r="BH684" s="22" t="s">
        <v>1309</v>
      </c>
      <c r="BI684" s="22" t="s">
        <v>1309</v>
      </c>
      <c r="BJ684" s="22" t="s">
        <v>1317</v>
      </c>
      <c r="BK684" s="22" t="s">
        <v>1318</v>
      </c>
      <c r="BL684" s="22" t="s">
        <v>1317</v>
      </c>
      <c r="BM684" s="22" t="s">
        <v>1318</v>
      </c>
      <c r="BN684" s="22" t="s">
        <v>1309</v>
      </c>
      <c r="BO684" s="22" t="s">
        <v>1309</v>
      </c>
      <c r="BP684" s="22" t="s">
        <v>1317</v>
      </c>
      <c r="BQ684" s="22" t="s">
        <v>1318</v>
      </c>
      <c r="BR684" s="22" t="s">
        <v>1309</v>
      </c>
      <c r="BS684" s="22" t="s">
        <v>1309</v>
      </c>
      <c r="BT684" s="22" t="s">
        <v>1315</v>
      </c>
      <c r="BU684" s="22" t="s">
        <v>1315</v>
      </c>
      <c r="BV684" s="22" t="s">
        <v>1309</v>
      </c>
      <c r="BW684" s="22" t="s">
        <v>1309</v>
      </c>
      <c r="BX684" s="20">
        <v>4</v>
      </c>
      <c r="BY684" s="20">
        <v>0</v>
      </c>
      <c r="BZ684" s="20">
        <v>109</v>
      </c>
      <c r="CA684" s="20">
        <v>29</v>
      </c>
      <c r="CB684" s="20">
        <v>3</v>
      </c>
      <c r="CC684" s="20">
        <v>649</v>
      </c>
      <c r="CD684" s="22" t="s">
        <v>1317</v>
      </c>
      <c r="CE684" s="22" t="s">
        <v>1318</v>
      </c>
      <c r="CF684" s="22" t="s">
        <v>1331</v>
      </c>
      <c r="CG684" s="22" t="s">
        <v>1331</v>
      </c>
      <c r="CH684" s="22" t="s">
        <v>1317</v>
      </c>
      <c r="CI684" s="22" t="s">
        <v>1318</v>
      </c>
      <c r="CJ684" s="149" t="s">
        <v>1124</v>
      </c>
      <c r="CK684" s="241" t="s">
        <v>2833</v>
      </c>
    </row>
    <row r="685" spans="1:89" ht="15" customHeight="1" x14ac:dyDescent="0.35">
      <c r="A685" s="17"/>
      <c r="B685" s="313">
        <v>49100</v>
      </c>
      <c r="C685" s="8" t="s">
        <v>477</v>
      </c>
      <c r="D685" s="18">
        <v>17</v>
      </c>
      <c r="E685" s="131"/>
      <c r="F685" s="22"/>
      <c r="G685" s="132"/>
      <c r="H685" s="22"/>
      <c r="I685" s="22"/>
      <c r="J685" s="22"/>
      <c r="K685" s="22"/>
      <c r="L685" s="22"/>
      <c r="M685" s="133"/>
      <c r="N685" s="22"/>
      <c r="O685" s="22"/>
      <c r="P685" s="22"/>
      <c r="Q685" s="20"/>
      <c r="R685" s="20"/>
      <c r="S685" s="20"/>
      <c r="T685" s="20"/>
      <c r="U685" s="20"/>
      <c r="V685" s="20"/>
      <c r="W685" s="20"/>
      <c r="X685" s="20"/>
      <c r="Y685" s="20"/>
      <c r="Z685" s="20"/>
      <c r="AA685" s="20"/>
      <c r="AB685" s="22"/>
      <c r="AC685" s="20"/>
      <c r="AD685" s="20"/>
      <c r="AE685" s="20"/>
      <c r="AF685" s="20" t="s">
        <v>1124</v>
      </c>
      <c r="AG685" s="20" t="s">
        <v>1124</v>
      </c>
      <c r="AH685" s="20" t="s">
        <v>1124</v>
      </c>
      <c r="AI685" s="328"/>
      <c r="AJ685" s="328"/>
      <c r="AK685" s="328"/>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0"/>
      <c r="BY685" s="20"/>
      <c r="BZ685" s="20"/>
      <c r="CA685" s="20"/>
      <c r="CB685" s="20"/>
      <c r="CC685" s="20"/>
      <c r="CD685" s="22"/>
      <c r="CE685" s="22"/>
      <c r="CF685" s="22"/>
      <c r="CG685" s="22"/>
      <c r="CH685" s="22"/>
      <c r="CI685" s="22"/>
      <c r="CJ685" s="149"/>
      <c r="CK685" s="241"/>
    </row>
    <row r="686" spans="1:89" ht="15" customHeight="1" x14ac:dyDescent="0.35">
      <c r="A686" s="17"/>
      <c r="B686" s="314">
        <v>92050</v>
      </c>
      <c r="C686" s="8" t="s">
        <v>953</v>
      </c>
      <c r="D686" s="18">
        <v>2</v>
      </c>
      <c r="E686" s="131" t="s">
        <v>1319</v>
      </c>
      <c r="F686" s="22" t="s">
        <v>1490</v>
      </c>
      <c r="G686" s="132" t="s">
        <v>1309</v>
      </c>
      <c r="H686" s="22" t="s">
        <v>1311</v>
      </c>
      <c r="I686" s="22" t="s">
        <v>1327</v>
      </c>
      <c r="J686" s="22" t="s">
        <v>1327</v>
      </c>
      <c r="K686" s="22" t="s">
        <v>1314</v>
      </c>
      <c r="L686" s="22" t="s">
        <v>1311</v>
      </c>
      <c r="M686" s="133" t="s">
        <v>1311</v>
      </c>
      <c r="N686" s="22" t="s">
        <v>1311</v>
      </c>
      <c r="O686" s="22" t="s">
        <v>1315</v>
      </c>
      <c r="P686" s="22" t="s">
        <v>1315</v>
      </c>
      <c r="Q686" s="20">
        <v>5.5819999999999999</v>
      </c>
      <c r="R686" s="20">
        <v>5.5819999999999999</v>
      </c>
      <c r="S686" s="20">
        <v>0</v>
      </c>
      <c r="T686" s="20">
        <v>0</v>
      </c>
      <c r="U686" s="20">
        <v>0</v>
      </c>
      <c r="V686" s="20">
        <v>0</v>
      </c>
      <c r="W686" s="20">
        <v>0</v>
      </c>
      <c r="X686" s="20">
        <v>0</v>
      </c>
      <c r="Y686" s="20">
        <v>0</v>
      </c>
      <c r="Z686" s="20">
        <v>0</v>
      </c>
      <c r="AA686" s="20" t="s">
        <v>1317</v>
      </c>
      <c r="AB686" s="22" t="s">
        <v>1318</v>
      </c>
      <c r="AC686" s="20">
        <v>0</v>
      </c>
      <c r="AD686" s="20">
        <v>0</v>
      </c>
      <c r="AE686" s="20">
        <v>0</v>
      </c>
      <c r="AF686" s="20">
        <v>0</v>
      </c>
      <c r="AG686" s="20">
        <v>0</v>
      </c>
      <c r="AH686" s="20">
        <v>0</v>
      </c>
      <c r="AI686" s="328" t="s">
        <v>1328</v>
      </c>
      <c r="AJ686" s="328" t="s">
        <v>1328</v>
      </c>
      <c r="AK686" s="328" t="s">
        <v>1328</v>
      </c>
      <c r="AL686" s="22" t="s">
        <v>1315</v>
      </c>
      <c r="AM686" s="22" t="s">
        <v>1315</v>
      </c>
      <c r="AN686" s="22" t="s">
        <v>1317</v>
      </c>
      <c r="AO686" s="22" t="s">
        <v>1318</v>
      </c>
      <c r="AP686" s="22" t="s">
        <v>1318</v>
      </c>
      <c r="AQ686" s="22" t="s">
        <v>1318</v>
      </c>
      <c r="AR686" s="22" t="s">
        <v>1309</v>
      </c>
      <c r="AS686" s="22" t="s">
        <v>1309</v>
      </c>
      <c r="AT686" s="22" t="s">
        <v>1317</v>
      </c>
      <c r="AU686" s="22" t="s">
        <v>1318</v>
      </c>
      <c r="AV686" s="22" t="s">
        <v>1317</v>
      </c>
      <c r="AW686" s="22" t="s">
        <v>1318</v>
      </c>
      <c r="AX686" s="22" t="s">
        <v>1317</v>
      </c>
      <c r="AY686" s="22" t="s">
        <v>1318</v>
      </c>
      <c r="AZ686" s="22" t="s">
        <v>1309</v>
      </c>
      <c r="BA686" s="22" t="s">
        <v>1309</v>
      </c>
      <c r="BB686" s="22" t="s">
        <v>1309</v>
      </c>
      <c r="BC686" s="22" t="s">
        <v>1309</v>
      </c>
      <c r="BD686" s="22" t="s">
        <v>1317</v>
      </c>
      <c r="BE686" s="22" t="s">
        <v>1318</v>
      </c>
      <c r="BF686" s="22" t="s">
        <v>1317</v>
      </c>
      <c r="BG686" s="22" t="s">
        <v>1318</v>
      </c>
      <c r="BH686" s="22" t="s">
        <v>1309</v>
      </c>
      <c r="BI686" s="22" t="s">
        <v>1309</v>
      </c>
      <c r="BJ686" s="22" t="s">
        <v>1309</v>
      </c>
      <c r="BK686" s="22" t="s">
        <v>1309</v>
      </c>
      <c r="BL686" s="22" t="s">
        <v>1317</v>
      </c>
      <c r="BM686" s="22" t="s">
        <v>1318</v>
      </c>
      <c r="BN686" s="22" t="s">
        <v>1309</v>
      </c>
      <c r="BO686" s="22" t="s">
        <v>1309</v>
      </c>
      <c r="BP686" s="22" t="s">
        <v>1315</v>
      </c>
      <c r="BQ686" s="22" t="s">
        <v>1315</v>
      </c>
      <c r="BR686" s="22" t="s">
        <v>1309</v>
      </c>
      <c r="BS686" s="22" t="s">
        <v>1309</v>
      </c>
      <c r="BT686" s="22" t="s">
        <v>1309</v>
      </c>
      <c r="BU686" s="22" t="s">
        <v>1309</v>
      </c>
      <c r="BV686" s="22" t="s">
        <v>1317</v>
      </c>
      <c r="BW686" s="22" t="s">
        <v>1318</v>
      </c>
      <c r="BX686" s="20">
        <v>0</v>
      </c>
      <c r="BY686" s="20">
        <v>0</v>
      </c>
      <c r="BZ686" s="20">
        <v>24</v>
      </c>
      <c r="CA686" s="20">
        <v>0</v>
      </c>
      <c r="CB686" s="20">
        <v>0</v>
      </c>
      <c r="CC686" s="20">
        <v>121</v>
      </c>
      <c r="CD686" s="22" t="s">
        <v>1317</v>
      </c>
      <c r="CE686" s="22" t="s">
        <v>1318</v>
      </c>
      <c r="CF686" s="22" t="s">
        <v>1317</v>
      </c>
      <c r="CG686" s="22" t="s">
        <v>1318</v>
      </c>
      <c r="CH686" s="22" t="s">
        <v>1317</v>
      </c>
      <c r="CI686" s="22" t="s">
        <v>1318</v>
      </c>
      <c r="CJ686" s="149" t="s">
        <v>1124</v>
      </c>
      <c r="CK686" s="241" t="s">
        <v>1124</v>
      </c>
    </row>
    <row r="687" spans="1:89" ht="15" customHeight="1" x14ac:dyDescent="0.35">
      <c r="A687" s="17"/>
      <c r="B687" s="313">
        <v>68045</v>
      </c>
      <c r="C687" s="8" t="s">
        <v>681</v>
      </c>
      <c r="D687" s="18">
        <v>16</v>
      </c>
      <c r="E687" s="131"/>
      <c r="F687" s="22"/>
      <c r="G687" s="132"/>
      <c r="H687" s="22"/>
      <c r="I687" s="22"/>
      <c r="J687" s="22"/>
      <c r="K687" s="22"/>
      <c r="L687" s="22"/>
      <c r="M687" s="133"/>
      <c r="N687" s="22"/>
      <c r="O687" s="22"/>
      <c r="P687" s="22"/>
      <c r="Q687" s="20"/>
      <c r="R687" s="20"/>
      <c r="S687" s="20"/>
      <c r="T687" s="20"/>
      <c r="U687" s="20"/>
      <c r="V687" s="20"/>
      <c r="W687" s="20"/>
      <c r="X687" s="20"/>
      <c r="Y687" s="20"/>
      <c r="Z687" s="20"/>
      <c r="AA687" s="20"/>
      <c r="AB687" s="22"/>
      <c r="AC687" s="20"/>
      <c r="AD687" s="20"/>
      <c r="AE687" s="20"/>
      <c r="AF687" s="20" t="s">
        <v>1124</v>
      </c>
      <c r="AG687" s="20" t="s">
        <v>1124</v>
      </c>
      <c r="AH687" s="20" t="s">
        <v>1124</v>
      </c>
      <c r="AI687" s="328"/>
      <c r="AJ687" s="328"/>
      <c r="AK687" s="328"/>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0"/>
      <c r="BY687" s="20"/>
      <c r="BZ687" s="20"/>
      <c r="CA687" s="20"/>
      <c r="CB687" s="20"/>
      <c r="CC687" s="20"/>
      <c r="CD687" s="22"/>
      <c r="CE687" s="22"/>
      <c r="CF687" s="22"/>
      <c r="CG687" s="22"/>
      <c r="CH687" s="22"/>
      <c r="CI687" s="22"/>
      <c r="CJ687" s="149"/>
      <c r="CK687" s="241"/>
    </row>
    <row r="688" spans="1:89" ht="15" customHeight="1" x14ac:dyDescent="0.35">
      <c r="A688" s="17"/>
      <c r="B688" s="313">
        <v>85015</v>
      </c>
      <c r="C688" s="8" t="s">
        <v>872</v>
      </c>
      <c r="D688" s="18">
        <v>8</v>
      </c>
      <c r="E688" s="131" t="s">
        <v>1309</v>
      </c>
      <c r="F688" s="22" t="s">
        <v>1309</v>
      </c>
      <c r="G688" s="132" t="s">
        <v>1309</v>
      </c>
      <c r="H688" s="22" t="s">
        <v>1311</v>
      </c>
      <c r="I688" s="22" t="s">
        <v>1327</v>
      </c>
      <c r="J688" s="22" t="s">
        <v>1327</v>
      </c>
      <c r="K688" s="22" t="s">
        <v>1309</v>
      </c>
      <c r="L688" s="22" t="s">
        <v>1311</v>
      </c>
      <c r="M688" s="133" t="s">
        <v>1311</v>
      </c>
      <c r="N688" s="22" t="s">
        <v>1311</v>
      </c>
      <c r="O688" s="22" t="s">
        <v>1314</v>
      </c>
      <c r="P688" s="22" t="s">
        <v>1318</v>
      </c>
      <c r="Q688" s="20">
        <v>0</v>
      </c>
      <c r="R688" s="20">
        <v>0</v>
      </c>
      <c r="S688" s="20">
        <v>0.5</v>
      </c>
      <c r="T688" s="20">
        <v>0.5</v>
      </c>
      <c r="U688" s="20">
        <v>0.4</v>
      </c>
      <c r="V688" s="20">
        <v>0.4</v>
      </c>
      <c r="W688" s="20">
        <v>0</v>
      </c>
      <c r="X688" s="20">
        <v>0</v>
      </c>
      <c r="Y688" s="20">
        <v>0</v>
      </c>
      <c r="Z688" s="20">
        <v>0</v>
      </c>
      <c r="AA688" s="20" t="s">
        <v>1309</v>
      </c>
      <c r="AB688" s="22" t="s">
        <v>1311</v>
      </c>
      <c r="AC688" s="20">
        <v>2</v>
      </c>
      <c r="AD688" s="20">
        <v>4</v>
      </c>
      <c r="AE688" s="20">
        <v>2</v>
      </c>
      <c r="AF688" s="20">
        <v>1</v>
      </c>
      <c r="AG688" s="20">
        <v>6</v>
      </c>
      <c r="AH688" s="20">
        <v>3</v>
      </c>
      <c r="AI688" s="328">
        <v>24.926777590826944</v>
      </c>
      <c r="AJ688" s="328">
        <v>19.607843137254903</v>
      </c>
      <c r="AK688" s="328">
        <v>9.8039215686274517</v>
      </c>
      <c r="AL688" s="22" t="s">
        <v>1329</v>
      </c>
      <c r="AM688" s="22" t="s">
        <v>1330</v>
      </c>
      <c r="AN688" s="22" t="s">
        <v>1317</v>
      </c>
      <c r="AO688" s="22" t="s">
        <v>1318</v>
      </c>
      <c r="AP688" s="22" t="s">
        <v>1318</v>
      </c>
      <c r="AQ688" s="22" t="s">
        <v>1318</v>
      </c>
      <c r="AR688" s="22" t="s">
        <v>1317</v>
      </c>
      <c r="AS688" s="22" t="s">
        <v>1318</v>
      </c>
      <c r="AT688" s="22" t="s">
        <v>1317</v>
      </c>
      <c r="AU688" s="22" t="s">
        <v>1318</v>
      </c>
      <c r="AV688" s="22" t="s">
        <v>1317</v>
      </c>
      <c r="AW688" s="22" t="s">
        <v>1311</v>
      </c>
      <c r="AX688" s="22" t="s">
        <v>1317</v>
      </c>
      <c r="AY688" s="22" t="s">
        <v>1318</v>
      </c>
      <c r="AZ688" s="22" t="s">
        <v>1309</v>
      </c>
      <c r="BA688" s="22" t="s">
        <v>1311</v>
      </c>
      <c r="BB688" s="22" t="s">
        <v>1309</v>
      </c>
      <c r="BC688" s="22" t="s">
        <v>1311</v>
      </c>
      <c r="BD688" s="22" t="s">
        <v>1309</v>
      </c>
      <c r="BE688" s="22" t="s">
        <v>1311</v>
      </c>
      <c r="BF688" s="22" t="s">
        <v>1317</v>
      </c>
      <c r="BG688" s="22" t="s">
        <v>1318</v>
      </c>
      <c r="BH688" s="22" t="s">
        <v>1309</v>
      </c>
      <c r="BI688" s="22" t="s">
        <v>1309</v>
      </c>
      <c r="BJ688" s="22" t="s">
        <v>1317</v>
      </c>
      <c r="BK688" s="22" t="s">
        <v>1318</v>
      </c>
      <c r="BL688" s="22" t="s">
        <v>1317</v>
      </c>
      <c r="BM688" s="22" t="s">
        <v>1318</v>
      </c>
      <c r="BN688" s="22" t="s">
        <v>1309</v>
      </c>
      <c r="BO688" s="22" t="s">
        <v>1309</v>
      </c>
      <c r="BP688" s="22" t="s">
        <v>1315</v>
      </c>
      <c r="BQ688" s="22" t="s">
        <v>1315</v>
      </c>
      <c r="BR688" s="22" t="s">
        <v>1309</v>
      </c>
      <c r="BS688" s="22" t="s">
        <v>1309</v>
      </c>
      <c r="BT688" s="22" t="s">
        <v>1309</v>
      </c>
      <c r="BU688" s="22" t="s">
        <v>1309</v>
      </c>
      <c r="BV688" s="22" t="s">
        <v>1317</v>
      </c>
      <c r="BW688" s="22" t="s">
        <v>1318</v>
      </c>
      <c r="BX688" s="20">
        <v>7</v>
      </c>
      <c r="BY688" s="20">
        <v>0</v>
      </c>
      <c r="BZ688" s="20">
        <v>8</v>
      </c>
      <c r="CA688" s="20">
        <v>0</v>
      </c>
      <c r="CB688" s="20">
        <v>0</v>
      </c>
      <c r="CC688" s="20">
        <v>188</v>
      </c>
      <c r="CD688" s="22" t="s">
        <v>1345</v>
      </c>
      <c r="CE688" s="22" t="s">
        <v>1344</v>
      </c>
      <c r="CF688" s="22" t="s">
        <v>1317</v>
      </c>
      <c r="CG688" s="22" t="s">
        <v>1318</v>
      </c>
      <c r="CH688" s="22" t="s">
        <v>1317</v>
      </c>
      <c r="CI688" s="22" t="s">
        <v>1318</v>
      </c>
      <c r="CJ688" s="149" t="s">
        <v>1124</v>
      </c>
      <c r="CK688" s="241" t="s">
        <v>1358</v>
      </c>
    </row>
    <row r="689" spans="1:89" ht="15" customHeight="1" x14ac:dyDescent="0.35">
      <c r="A689" s="17"/>
      <c r="B689" s="313">
        <v>33080</v>
      </c>
      <c r="C689" s="8" t="s">
        <v>278</v>
      </c>
      <c r="D689" s="18">
        <v>12</v>
      </c>
      <c r="E689" s="131" t="s">
        <v>1309</v>
      </c>
      <c r="F689" s="22" t="s">
        <v>1309</v>
      </c>
      <c r="G689" s="132" t="s">
        <v>1309</v>
      </c>
      <c r="H689" s="22" t="s">
        <v>1311</v>
      </c>
      <c r="I689" s="22" t="s">
        <v>1327</v>
      </c>
      <c r="J689" s="22" t="s">
        <v>1327</v>
      </c>
      <c r="K689" s="22" t="s">
        <v>1319</v>
      </c>
      <c r="L689" s="22" t="s">
        <v>1311</v>
      </c>
      <c r="M689" s="133" t="s">
        <v>1311</v>
      </c>
      <c r="N689" s="22" t="s">
        <v>1311</v>
      </c>
      <c r="O689" s="22" t="s">
        <v>1314</v>
      </c>
      <c r="P689" s="22" t="s">
        <v>1318</v>
      </c>
      <c r="Q689" s="20">
        <v>0</v>
      </c>
      <c r="R689" s="20">
        <v>0</v>
      </c>
      <c r="S689" s="20">
        <v>0</v>
      </c>
      <c r="T689" s="20">
        <v>0</v>
      </c>
      <c r="U689" s="20">
        <v>0</v>
      </c>
      <c r="V689" s="20">
        <v>0</v>
      </c>
      <c r="W689" s="20">
        <v>0</v>
      </c>
      <c r="X689" s="20">
        <v>0</v>
      </c>
      <c r="Y689" s="20">
        <v>0</v>
      </c>
      <c r="Z689" s="20">
        <v>0</v>
      </c>
      <c r="AA689" s="20" t="s">
        <v>1317</v>
      </c>
      <c r="AB689" s="22" t="s">
        <v>1318</v>
      </c>
      <c r="AC689" s="20">
        <v>0</v>
      </c>
      <c r="AD689" s="20">
        <v>0</v>
      </c>
      <c r="AE689" s="20">
        <v>0</v>
      </c>
      <c r="AF689" s="20">
        <v>0</v>
      </c>
      <c r="AG689" s="20">
        <v>0</v>
      </c>
      <c r="AH689" s="20">
        <v>0</v>
      </c>
      <c r="AI689" s="328" t="s">
        <v>1328</v>
      </c>
      <c r="AJ689" s="328" t="s">
        <v>1328</v>
      </c>
      <c r="AK689" s="328" t="s">
        <v>1328</v>
      </c>
      <c r="AL689" s="22" t="s">
        <v>1316</v>
      </c>
      <c r="AM689" s="22" t="s">
        <v>1316</v>
      </c>
      <c r="AN689" s="22" t="s">
        <v>1317</v>
      </c>
      <c r="AO689" s="22" t="s">
        <v>1318</v>
      </c>
      <c r="AP689" s="22" t="s">
        <v>1318</v>
      </c>
      <c r="AQ689" s="22" t="s">
        <v>1318</v>
      </c>
      <c r="AR689" s="22" t="s">
        <v>1317</v>
      </c>
      <c r="AS689" s="22" t="s">
        <v>1318</v>
      </c>
      <c r="AT689" s="22" t="s">
        <v>1317</v>
      </c>
      <c r="AU689" s="22" t="s">
        <v>1318</v>
      </c>
      <c r="AV689" s="22" t="s">
        <v>1317</v>
      </c>
      <c r="AW689" s="22" t="s">
        <v>1318</v>
      </c>
      <c r="AX689" s="22" t="s">
        <v>1317</v>
      </c>
      <c r="AY689" s="22" t="s">
        <v>1318</v>
      </c>
      <c r="AZ689" s="22" t="s">
        <v>1309</v>
      </c>
      <c r="BA689" s="22" t="s">
        <v>1309</v>
      </c>
      <c r="BB689" s="22" t="s">
        <v>1309</v>
      </c>
      <c r="BC689" s="22" t="s">
        <v>1309</v>
      </c>
      <c r="BD689" s="22" t="s">
        <v>1317</v>
      </c>
      <c r="BE689" s="22" t="s">
        <v>1318</v>
      </c>
      <c r="BF689" s="22" t="s">
        <v>1317</v>
      </c>
      <c r="BG689" s="22" t="s">
        <v>1318</v>
      </c>
      <c r="BH689" s="22" t="s">
        <v>1309</v>
      </c>
      <c r="BI689" s="22" t="s">
        <v>1309</v>
      </c>
      <c r="BJ689" s="22" t="s">
        <v>1317</v>
      </c>
      <c r="BK689" s="22" t="s">
        <v>1318</v>
      </c>
      <c r="BL689" s="22" t="s">
        <v>1309</v>
      </c>
      <c r="BM689" s="22" t="s">
        <v>1309</v>
      </c>
      <c r="BN689" s="22" t="s">
        <v>1309</v>
      </c>
      <c r="BO689" s="22" t="s">
        <v>1309</v>
      </c>
      <c r="BP689" s="22" t="s">
        <v>1317</v>
      </c>
      <c r="BQ689" s="22" t="s">
        <v>1318</v>
      </c>
      <c r="BR689" s="22" t="s">
        <v>1309</v>
      </c>
      <c r="BS689" s="22" t="s">
        <v>1309</v>
      </c>
      <c r="BT689" s="22" t="s">
        <v>1315</v>
      </c>
      <c r="BU689" s="22" t="s">
        <v>1315</v>
      </c>
      <c r="BV689" s="22" t="s">
        <v>1317</v>
      </c>
      <c r="BW689" s="22" t="s">
        <v>1318</v>
      </c>
      <c r="BX689" s="20">
        <v>0</v>
      </c>
      <c r="BY689" s="20">
        <v>0</v>
      </c>
      <c r="BZ689" s="20">
        <v>25</v>
      </c>
      <c r="CA689" s="20">
        <v>0</v>
      </c>
      <c r="CB689" s="20">
        <v>0</v>
      </c>
      <c r="CC689" s="20">
        <v>248</v>
      </c>
      <c r="CD689" s="22" t="s">
        <v>1317</v>
      </c>
      <c r="CE689" s="22" t="s">
        <v>1318</v>
      </c>
      <c r="CF689" s="22" t="s">
        <v>1317</v>
      </c>
      <c r="CG689" s="22" t="s">
        <v>1318</v>
      </c>
      <c r="CH689" s="22" t="s">
        <v>1317</v>
      </c>
      <c r="CI689" s="22" t="s">
        <v>1318</v>
      </c>
      <c r="CJ689" s="149" t="s">
        <v>1124</v>
      </c>
      <c r="CK689" s="241" t="s">
        <v>1124</v>
      </c>
    </row>
    <row r="690" spans="1:89" ht="15" customHeight="1" x14ac:dyDescent="0.35">
      <c r="A690" s="17"/>
      <c r="B690" s="313">
        <v>51050</v>
      </c>
      <c r="C690" s="8" t="s">
        <v>506</v>
      </c>
      <c r="D690" s="18">
        <v>4</v>
      </c>
      <c r="E690" s="131" t="s">
        <v>1309</v>
      </c>
      <c r="F690" s="22" t="s">
        <v>1309</v>
      </c>
      <c r="G690" s="132" t="s">
        <v>1309</v>
      </c>
      <c r="H690" s="22" t="s">
        <v>1311</v>
      </c>
      <c r="I690" s="22" t="s">
        <v>1327</v>
      </c>
      <c r="J690" s="22" t="s">
        <v>1327</v>
      </c>
      <c r="K690" s="22" t="s">
        <v>1314</v>
      </c>
      <c r="L690" s="22" t="s">
        <v>1311</v>
      </c>
      <c r="M690" s="133" t="s">
        <v>1311</v>
      </c>
      <c r="N690" s="22" t="s">
        <v>1311</v>
      </c>
      <c r="O690" s="22" t="s">
        <v>1309</v>
      </c>
      <c r="P690" s="22" t="s">
        <v>1309</v>
      </c>
      <c r="Q690" s="20">
        <v>0</v>
      </c>
      <c r="R690" s="20">
        <v>0</v>
      </c>
      <c r="S690" s="20">
        <v>5.0049999999999999</v>
      </c>
      <c r="T690" s="20">
        <v>0</v>
      </c>
      <c r="U690" s="20">
        <v>0</v>
      </c>
      <c r="V690" s="20">
        <v>5.0049999999999999</v>
      </c>
      <c r="W690" s="20">
        <v>0</v>
      </c>
      <c r="X690" s="20">
        <v>0</v>
      </c>
      <c r="Y690" s="20">
        <v>0</v>
      </c>
      <c r="Z690" s="20">
        <v>0</v>
      </c>
      <c r="AA690" s="20" t="s">
        <v>1317</v>
      </c>
      <c r="AB690" s="22" t="s">
        <v>1318</v>
      </c>
      <c r="AC690" s="20">
        <v>0</v>
      </c>
      <c r="AD690" s="20">
        <v>0</v>
      </c>
      <c r="AE690" s="20">
        <v>0</v>
      </c>
      <c r="AF690" s="20">
        <v>0</v>
      </c>
      <c r="AG690" s="20">
        <v>0</v>
      </c>
      <c r="AH690" s="20">
        <v>0</v>
      </c>
      <c r="AI690" s="328" t="s">
        <v>1328</v>
      </c>
      <c r="AJ690" s="328" t="s">
        <v>1328</v>
      </c>
      <c r="AK690" s="328" t="s">
        <v>1328</v>
      </c>
      <c r="AL690" s="22" t="s">
        <v>1315</v>
      </c>
      <c r="AM690" s="22" t="s">
        <v>1315</v>
      </c>
      <c r="AN690" s="22" t="s">
        <v>1315</v>
      </c>
      <c r="AO690" s="22" t="s">
        <v>1315</v>
      </c>
      <c r="AP690" s="22" t="s">
        <v>1315</v>
      </c>
      <c r="AQ690" s="22" t="s">
        <v>1315</v>
      </c>
      <c r="AR690" s="22" t="s">
        <v>1317</v>
      </c>
      <c r="AS690" s="22" t="s">
        <v>1318</v>
      </c>
      <c r="AT690" s="22" t="s">
        <v>1309</v>
      </c>
      <c r="AU690" s="22" t="s">
        <v>1309</v>
      </c>
      <c r="AV690" s="22" t="s">
        <v>1317</v>
      </c>
      <c r="AW690" s="22" t="s">
        <v>1318</v>
      </c>
      <c r="AX690" s="22" t="s">
        <v>1317</v>
      </c>
      <c r="AY690" s="22" t="s">
        <v>1318</v>
      </c>
      <c r="AZ690" s="22" t="s">
        <v>1317</v>
      </c>
      <c r="BA690" s="22" t="s">
        <v>1318</v>
      </c>
      <c r="BB690" s="22" t="s">
        <v>1309</v>
      </c>
      <c r="BC690" s="22" t="s">
        <v>1309</v>
      </c>
      <c r="BD690" s="22" t="s">
        <v>1309</v>
      </c>
      <c r="BE690" s="22" t="s">
        <v>1309</v>
      </c>
      <c r="BF690" s="22" t="s">
        <v>1317</v>
      </c>
      <c r="BG690" s="22" t="s">
        <v>1318</v>
      </c>
      <c r="BH690" s="22" t="s">
        <v>1309</v>
      </c>
      <c r="BI690" s="22" t="s">
        <v>1309</v>
      </c>
      <c r="BJ690" s="22" t="s">
        <v>1317</v>
      </c>
      <c r="BK690" s="22" t="s">
        <v>1311</v>
      </c>
      <c r="BL690" s="22" t="s">
        <v>1309</v>
      </c>
      <c r="BM690" s="22" t="s">
        <v>1309</v>
      </c>
      <c r="BN690" s="22" t="s">
        <v>1309</v>
      </c>
      <c r="BO690" s="22" t="s">
        <v>1309</v>
      </c>
      <c r="BP690" s="22" t="s">
        <v>1315</v>
      </c>
      <c r="BQ690" s="22" t="s">
        <v>1315</v>
      </c>
      <c r="BR690" s="22" t="s">
        <v>1317</v>
      </c>
      <c r="BS690" s="22" t="s">
        <v>1318</v>
      </c>
      <c r="BT690" s="22" t="s">
        <v>1317</v>
      </c>
      <c r="BU690" s="22" t="s">
        <v>1318</v>
      </c>
      <c r="BV690" s="22" t="s">
        <v>1309</v>
      </c>
      <c r="BW690" s="22" t="s">
        <v>1309</v>
      </c>
      <c r="BX690" s="20">
        <v>2</v>
      </c>
      <c r="BY690" s="20">
        <v>0</v>
      </c>
      <c r="BZ690" s="20">
        <v>15</v>
      </c>
      <c r="CA690" s="20">
        <v>0</v>
      </c>
      <c r="CB690" s="20">
        <v>0</v>
      </c>
      <c r="CC690" s="20">
        <v>160</v>
      </c>
      <c r="CD690" s="22" t="s">
        <v>1317</v>
      </c>
      <c r="CE690" s="22" t="s">
        <v>1318</v>
      </c>
      <c r="CF690" s="22" t="s">
        <v>1317</v>
      </c>
      <c r="CG690" s="22" t="s">
        <v>1318</v>
      </c>
      <c r="CH690" s="22" t="s">
        <v>1317</v>
      </c>
      <c r="CI690" s="22" t="s">
        <v>1318</v>
      </c>
      <c r="CJ690" s="149" t="s">
        <v>1124</v>
      </c>
      <c r="CK690" s="241" t="s">
        <v>1124</v>
      </c>
    </row>
    <row r="691" spans="1:89" ht="15" customHeight="1" x14ac:dyDescent="0.35">
      <c r="A691" s="17"/>
      <c r="B691" s="313">
        <v>44055</v>
      </c>
      <c r="C691" s="8" t="s">
        <v>406</v>
      </c>
      <c r="D691" s="18">
        <v>5</v>
      </c>
      <c r="E691" s="131"/>
      <c r="F691" s="22"/>
      <c r="G691" s="132"/>
      <c r="H691" s="22"/>
      <c r="I691" s="22"/>
      <c r="J691" s="22"/>
      <c r="K691" s="22"/>
      <c r="L691" s="22"/>
      <c r="M691" s="133"/>
      <c r="N691" s="22"/>
      <c r="O691" s="22"/>
      <c r="P691" s="22"/>
      <c r="Q691" s="20"/>
      <c r="R691" s="20"/>
      <c r="S691" s="20"/>
      <c r="T691" s="20"/>
      <c r="U691" s="20"/>
      <c r="V691" s="20"/>
      <c r="W691" s="20"/>
      <c r="X691" s="20"/>
      <c r="Y691" s="20"/>
      <c r="Z691" s="20"/>
      <c r="AA691" s="20"/>
      <c r="AB691" s="22"/>
      <c r="AC691" s="20"/>
      <c r="AD691" s="20"/>
      <c r="AE691" s="20"/>
      <c r="AF691" s="20" t="s">
        <v>1124</v>
      </c>
      <c r="AG691" s="20" t="s">
        <v>1124</v>
      </c>
      <c r="AH691" s="20" t="s">
        <v>1124</v>
      </c>
      <c r="AI691" s="328"/>
      <c r="AJ691" s="328"/>
      <c r="AK691" s="328"/>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0"/>
      <c r="BY691" s="20"/>
      <c r="BZ691" s="20"/>
      <c r="CA691" s="20"/>
      <c r="CB691" s="20"/>
      <c r="CC691" s="20"/>
      <c r="CD691" s="22"/>
      <c r="CE691" s="22"/>
      <c r="CF691" s="22"/>
      <c r="CG691" s="22"/>
      <c r="CH691" s="22"/>
      <c r="CI691" s="22"/>
      <c r="CJ691" s="149"/>
      <c r="CK691" s="241"/>
    </row>
    <row r="692" spans="1:89" ht="15" customHeight="1" x14ac:dyDescent="0.35">
      <c r="A692" s="17"/>
      <c r="B692" s="313">
        <v>52030</v>
      </c>
      <c r="C692" s="8" t="s">
        <v>517</v>
      </c>
      <c r="D692" s="18">
        <v>14</v>
      </c>
      <c r="E692" s="131" t="s">
        <v>1309</v>
      </c>
      <c r="F692" s="22" t="s">
        <v>1309</v>
      </c>
      <c r="G692" s="132" t="s">
        <v>1309</v>
      </c>
      <c r="H692" s="22" t="s">
        <v>1311</v>
      </c>
      <c r="I692" s="22" t="s">
        <v>1327</v>
      </c>
      <c r="J692" s="22" t="s">
        <v>1327</v>
      </c>
      <c r="K692" s="22" t="s">
        <v>1319</v>
      </c>
      <c r="L692" s="22" t="s">
        <v>1309</v>
      </c>
      <c r="M692" s="133" t="s">
        <v>1311</v>
      </c>
      <c r="N692" s="22" t="s">
        <v>1311</v>
      </c>
      <c r="O692" s="22" t="s">
        <v>1314</v>
      </c>
      <c r="P692" s="22" t="s">
        <v>1318</v>
      </c>
      <c r="Q692" s="20">
        <v>45.081000000000003</v>
      </c>
      <c r="R692" s="20">
        <v>45.081000000000003</v>
      </c>
      <c r="S692" s="20">
        <v>0</v>
      </c>
      <c r="T692" s="20">
        <v>0</v>
      </c>
      <c r="U692" s="20">
        <v>0</v>
      </c>
      <c r="V692" s="20">
        <v>0</v>
      </c>
      <c r="W692" s="20">
        <v>0</v>
      </c>
      <c r="X692" s="20">
        <v>0</v>
      </c>
      <c r="Y692" s="20">
        <v>0</v>
      </c>
      <c r="Z692" s="20">
        <v>0</v>
      </c>
      <c r="AA692" s="20" t="s">
        <v>1317</v>
      </c>
      <c r="AB692" s="22" t="s">
        <v>1318</v>
      </c>
      <c r="AC692" s="20">
        <v>0</v>
      </c>
      <c r="AD692" s="20">
        <v>5</v>
      </c>
      <c r="AE692" s="20">
        <v>0</v>
      </c>
      <c r="AF692" s="20">
        <v>0</v>
      </c>
      <c r="AG692" s="20">
        <v>1</v>
      </c>
      <c r="AH692" s="20">
        <v>0</v>
      </c>
      <c r="AI692" s="328" t="s">
        <v>1328</v>
      </c>
      <c r="AJ692" s="328">
        <v>8.3752093802345051</v>
      </c>
      <c r="AK692" s="328" t="s">
        <v>1328</v>
      </c>
      <c r="AL692" s="22" t="s">
        <v>1329</v>
      </c>
      <c r="AM692" s="22" t="s">
        <v>1330</v>
      </c>
      <c r="AN692" s="22" t="s">
        <v>1317</v>
      </c>
      <c r="AO692" s="22" t="s">
        <v>1318</v>
      </c>
      <c r="AP692" s="22" t="s">
        <v>1318</v>
      </c>
      <c r="AQ692" s="22" t="s">
        <v>1318</v>
      </c>
      <c r="AR692" s="22" t="s">
        <v>1317</v>
      </c>
      <c r="AS692" s="22" t="s">
        <v>1318</v>
      </c>
      <c r="AT692" s="22" t="s">
        <v>1309</v>
      </c>
      <c r="AU692" s="22" t="s">
        <v>1309</v>
      </c>
      <c r="AV692" s="22" t="s">
        <v>1317</v>
      </c>
      <c r="AW692" s="22" t="s">
        <v>1318</v>
      </c>
      <c r="AX692" s="22" t="s">
        <v>1317</v>
      </c>
      <c r="AY692" s="22" t="s">
        <v>1318</v>
      </c>
      <c r="AZ692" s="22" t="s">
        <v>1309</v>
      </c>
      <c r="BA692" s="22" t="s">
        <v>1309</v>
      </c>
      <c r="BB692" s="22" t="s">
        <v>1317</v>
      </c>
      <c r="BC692" s="22" t="s">
        <v>1309</v>
      </c>
      <c r="BD692" s="22" t="s">
        <v>1317</v>
      </c>
      <c r="BE692" s="22" t="s">
        <v>1318</v>
      </c>
      <c r="BF692" s="22" t="s">
        <v>1309</v>
      </c>
      <c r="BG692" s="22" t="s">
        <v>1309</v>
      </c>
      <c r="BH692" s="22" t="s">
        <v>1309</v>
      </c>
      <c r="BI692" s="22" t="s">
        <v>1309</v>
      </c>
      <c r="BJ692" s="22" t="s">
        <v>1309</v>
      </c>
      <c r="BK692" s="22" t="s">
        <v>1309</v>
      </c>
      <c r="BL692" s="22" t="s">
        <v>1317</v>
      </c>
      <c r="BM692" s="22" t="s">
        <v>1309</v>
      </c>
      <c r="BN692" s="22" t="s">
        <v>1317</v>
      </c>
      <c r="BO692" s="22" t="s">
        <v>1309</v>
      </c>
      <c r="BP692" s="22" t="s">
        <v>1317</v>
      </c>
      <c r="BQ692" s="22" t="s">
        <v>1309</v>
      </c>
      <c r="BR692" s="22" t="s">
        <v>1317</v>
      </c>
      <c r="BS692" s="22" t="s">
        <v>1309</v>
      </c>
      <c r="BT692" s="22" t="s">
        <v>1309</v>
      </c>
      <c r="BU692" s="22" t="s">
        <v>1309</v>
      </c>
      <c r="BV692" s="22" t="s">
        <v>1317</v>
      </c>
      <c r="BW692" s="22" t="s">
        <v>1309</v>
      </c>
      <c r="BX692" s="20">
        <v>1</v>
      </c>
      <c r="BY692" s="20">
        <v>31</v>
      </c>
      <c r="BZ692" s="20">
        <v>16</v>
      </c>
      <c r="CA692" s="20">
        <v>0</v>
      </c>
      <c r="CB692" s="20">
        <v>25</v>
      </c>
      <c r="CC692" s="20">
        <v>524</v>
      </c>
      <c r="CD692" s="22" t="s">
        <v>1345</v>
      </c>
      <c r="CE692" s="22" t="s">
        <v>1331</v>
      </c>
      <c r="CF692" s="22" t="s">
        <v>1331</v>
      </c>
      <c r="CG692" s="22" t="s">
        <v>1331</v>
      </c>
      <c r="CH692" s="22" t="s">
        <v>1317</v>
      </c>
      <c r="CI692" s="22" t="s">
        <v>1318</v>
      </c>
      <c r="CJ692" s="149" t="s">
        <v>2851</v>
      </c>
      <c r="CK692" s="241" t="s">
        <v>2852</v>
      </c>
    </row>
    <row r="693" spans="1:89" ht="15" customHeight="1" x14ac:dyDescent="0.35">
      <c r="A693" s="17"/>
      <c r="B693" s="313">
        <v>39090</v>
      </c>
      <c r="C693" s="8" t="s">
        <v>349</v>
      </c>
      <c r="D693" s="18">
        <v>17</v>
      </c>
      <c r="E693" s="131"/>
      <c r="F693" s="22"/>
      <c r="G693" s="132"/>
      <c r="H693" s="22"/>
      <c r="I693" s="22"/>
      <c r="J693" s="22"/>
      <c r="K693" s="22"/>
      <c r="L693" s="22"/>
      <c r="M693" s="133"/>
      <c r="N693" s="22"/>
      <c r="O693" s="22"/>
      <c r="P693" s="22"/>
      <c r="Q693" s="20"/>
      <c r="R693" s="20"/>
      <c r="S693" s="20"/>
      <c r="T693" s="20"/>
      <c r="U693" s="20"/>
      <c r="V693" s="20"/>
      <c r="W693" s="20"/>
      <c r="X693" s="20"/>
      <c r="Y693" s="20"/>
      <c r="Z693" s="20"/>
      <c r="AA693" s="20"/>
      <c r="AB693" s="22"/>
      <c r="AC693" s="20"/>
      <c r="AD693" s="20"/>
      <c r="AE693" s="20"/>
      <c r="AF693" s="20" t="s">
        <v>1124</v>
      </c>
      <c r="AG693" s="20" t="s">
        <v>1124</v>
      </c>
      <c r="AH693" s="20" t="s">
        <v>1124</v>
      </c>
      <c r="AI693" s="328"/>
      <c r="AJ693" s="328"/>
      <c r="AK693" s="328"/>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0"/>
      <c r="BY693" s="20"/>
      <c r="BZ693" s="20"/>
      <c r="CA693" s="20"/>
      <c r="CB693" s="20"/>
      <c r="CC693" s="20"/>
      <c r="CD693" s="22"/>
      <c r="CE693" s="22"/>
      <c r="CF693" s="22"/>
      <c r="CG693" s="22"/>
      <c r="CH693" s="22"/>
      <c r="CI693" s="22"/>
      <c r="CJ693" s="149"/>
      <c r="CK693" s="241"/>
    </row>
    <row r="694" spans="1:89" ht="15" customHeight="1" x14ac:dyDescent="0.35">
      <c r="A694" s="17"/>
      <c r="B694" s="313">
        <v>62070</v>
      </c>
      <c r="C694" s="8" t="s">
        <v>630</v>
      </c>
      <c r="D694" s="18">
        <v>14</v>
      </c>
      <c r="E694" s="131" t="s">
        <v>1309</v>
      </c>
      <c r="F694" s="22" t="s">
        <v>1309</v>
      </c>
      <c r="G694" s="132" t="s">
        <v>1309</v>
      </c>
      <c r="H694" s="22" t="s">
        <v>1311</v>
      </c>
      <c r="I694" s="22" t="s">
        <v>1315</v>
      </c>
      <c r="J694" s="22" t="s">
        <v>1315</v>
      </c>
      <c r="K694" s="22" t="s">
        <v>1309</v>
      </c>
      <c r="L694" s="22" t="s">
        <v>1309</v>
      </c>
      <c r="M694" s="133" t="s">
        <v>1311</v>
      </c>
      <c r="N694" s="22" t="s">
        <v>1311</v>
      </c>
      <c r="O694" s="22" t="s">
        <v>1314</v>
      </c>
      <c r="P694" s="22" t="s">
        <v>1318</v>
      </c>
      <c r="Q694" s="20">
        <v>0</v>
      </c>
      <c r="R694" s="20">
        <v>0</v>
      </c>
      <c r="S694" s="20">
        <v>0</v>
      </c>
      <c r="T694" s="20">
        <v>0</v>
      </c>
      <c r="U694" s="20">
        <v>0</v>
      </c>
      <c r="V694" s="20">
        <v>5.8520000000000003</v>
      </c>
      <c r="W694" s="20">
        <v>0</v>
      </c>
      <c r="X694" s="20">
        <v>0</v>
      </c>
      <c r="Y694" s="20">
        <v>0</v>
      </c>
      <c r="Z694" s="20">
        <v>0</v>
      </c>
      <c r="AA694" s="20" t="s">
        <v>1317</v>
      </c>
      <c r="AB694" s="22" t="s">
        <v>1311</v>
      </c>
      <c r="AC694" s="20">
        <v>1</v>
      </c>
      <c r="AD694" s="20">
        <v>0</v>
      </c>
      <c r="AE694" s="20">
        <v>0</v>
      </c>
      <c r="AF694" s="20">
        <v>3</v>
      </c>
      <c r="AG694" s="20">
        <v>0</v>
      </c>
      <c r="AH694" s="20">
        <v>0</v>
      </c>
      <c r="AI694" s="328">
        <v>17.088174982911827</v>
      </c>
      <c r="AJ694" s="328" t="s">
        <v>1328</v>
      </c>
      <c r="AK694" s="328" t="s">
        <v>1328</v>
      </c>
      <c r="AL694" s="22" t="s">
        <v>1329</v>
      </c>
      <c r="AM694" s="22" t="s">
        <v>1330</v>
      </c>
      <c r="AN694" s="22" t="s">
        <v>1315</v>
      </c>
      <c r="AO694" s="22" t="s">
        <v>1315</v>
      </c>
      <c r="AP694" s="22" t="s">
        <v>1315</v>
      </c>
      <c r="AQ694" s="22" t="s">
        <v>1315</v>
      </c>
      <c r="AR694" s="22" t="s">
        <v>1317</v>
      </c>
      <c r="AS694" s="22" t="s">
        <v>1318</v>
      </c>
      <c r="AT694" s="22" t="s">
        <v>1309</v>
      </c>
      <c r="AU694" s="22" t="s">
        <v>1309</v>
      </c>
      <c r="AV694" s="22" t="s">
        <v>1317</v>
      </c>
      <c r="AW694" s="22" t="s">
        <v>1318</v>
      </c>
      <c r="AX694" s="22" t="s">
        <v>1317</v>
      </c>
      <c r="AY694" s="22" t="s">
        <v>1318</v>
      </c>
      <c r="AZ694" s="22" t="s">
        <v>1317</v>
      </c>
      <c r="BA694" s="22" t="s">
        <v>1318</v>
      </c>
      <c r="BB694" s="22" t="s">
        <v>1309</v>
      </c>
      <c r="BC694" s="22" t="s">
        <v>1309</v>
      </c>
      <c r="BD694" s="22" t="s">
        <v>1317</v>
      </c>
      <c r="BE694" s="22" t="s">
        <v>1318</v>
      </c>
      <c r="BF694" s="22" t="s">
        <v>1317</v>
      </c>
      <c r="BG694" s="22" t="s">
        <v>1309</v>
      </c>
      <c r="BH694" s="22" t="s">
        <v>1317</v>
      </c>
      <c r="BI694" s="22" t="s">
        <v>1318</v>
      </c>
      <c r="BJ694" s="22" t="s">
        <v>1317</v>
      </c>
      <c r="BK694" s="22" t="s">
        <v>1318</v>
      </c>
      <c r="BL694" s="22" t="s">
        <v>1317</v>
      </c>
      <c r="BM694" s="22" t="s">
        <v>1318</v>
      </c>
      <c r="BN694" s="22" t="s">
        <v>1317</v>
      </c>
      <c r="BO694" s="22" t="s">
        <v>1311</v>
      </c>
      <c r="BP694" s="22" t="s">
        <v>1315</v>
      </c>
      <c r="BQ694" s="22" t="s">
        <v>1315</v>
      </c>
      <c r="BR694" s="22" t="s">
        <v>1309</v>
      </c>
      <c r="BS694" s="22" t="s">
        <v>1309</v>
      </c>
      <c r="BT694" s="22" t="s">
        <v>1309</v>
      </c>
      <c r="BU694" s="22" t="s">
        <v>1309</v>
      </c>
      <c r="BV694" s="22" t="s">
        <v>1317</v>
      </c>
      <c r="BW694" s="22" t="s">
        <v>1318</v>
      </c>
      <c r="BX694" s="20">
        <v>1</v>
      </c>
      <c r="BY694" s="20">
        <v>1</v>
      </c>
      <c r="BZ694" s="20">
        <v>21</v>
      </c>
      <c r="CA694" s="20">
        <v>2</v>
      </c>
      <c r="CB694" s="20">
        <v>0</v>
      </c>
      <c r="CC694" s="20">
        <v>197</v>
      </c>
      <c r="CD694" s="22" t="s">
        <v>1320</v>
      </c>
      <c r="CE694" s="22" t="s">
        <v>1321</v>
      </c>
      <c r="CF694" s="22" t="s">
        <v>1320</v>
      </c>
      <c r="CG694" s="22" t="s">
        <v>1321</v>
      </c>
      <c r="CH694" s="22" t="s">
        <v>1315</v>
      </c>
      <c r="CI694" s="22" t="s">
        <v>1315</v>
      </c>
      <c r="CJ694" s="149" t="s">
        <v>1124</v>
      </c>
      <c r="CK694" s="241" t="s">
        <v>2856</v>
      </c>
    </row>
    <row r="695" spans="1:89" ht="15" customHeight="1" x14ac:dyDescent="0.35">
      <c r="A695" s="17"/>
      <c r="B695" s="313">
        <v>50005</v>
      </c>
      <c r="C695" s="8" t="s">
        <v>482</v>
      </c>
      <c r="D695" s="18">
        <v>17</v>
      </c>
      <c r="E695" s="131" t="s">
        <v>1309</v>
      </c>
      <c r="F695" s="22" t="s">
        <v>1309</v>
      </c>
      <c r="G695" s="132" t="s">
        <v>1309</v>
      </c>
      <c r="H695" s="22" t="s">
        <v>1311</v>
      </c>
      <c r="I695" s="22" t="s">
        <v>1327</v>
      </c>
      <c r="J695" s="22" t="s">
        <v>1327</v>
      </c>
      <c r="K695" s="22" t="s">
        <v>1319</v>
      </c>
      <c r="L695" s="22" t="s">
        <v>1311</v>
      </c>
      <c r="M695" s="133" t="s">
        <v>1311</v>
      </c>
      <c r="N695" s="22" t="s">
        <v>1311</v>
      </c>
      <c r="O695" s="22" t="s">
        <v>1309</v>
      </c>
      <c r="P695" s="22" t="s">
        <v>1309</v>
      </c>
      <c r="Q695" s="20">
        <v>0</v>
      </c>
      <c r="R695" s="20">
        <v>0</v>
      </c>
      <c r="S695" s="20">
        <v>7.4829999999999997</v>
      </c>
      <c r="T695" s="20">
        <v>7.4829999999999997</v>
      </c>
      <c r="U695" s="20">
        <v>0</v>
      </c>
      <c r="V695" s="20">
        <v>0</v>
      </c>
      <c r="W695" s="20">
        <v>0</v>
      </c>
      <c r="X695" s="20">
        <v>0</v>
      </c>
      <c r="Y695" s="20">
        <v>0</v>
      </c>
      <c r="Z695" s="20">
        <v>0</v>
      </c>
      <c r="AA695" s="20" t="s">
        <v>1317</v>
      </c>
      <c r="AB695" s="22" t="s">
        <v>1318</v>
      </c>
      <c r="AC695" s="20">
        <v>0</v>
      </c>
      <c r="AD695" s="20">
        <v>0</v>
      </c>
      <c r="AE695" s="20">
        <v>0</v>
      </c>
      <c r="AF695" s="20">
        <v>0</v>
      </c>
      <c r="AG695" s="20">
        <v>0</v>
      </c>
      <c r="AH695" s="20">
        <v>0</v>
      </c>
      <c r="AI695" s="328" t="s">
        <v>1328</v>
      </c>
      <c r="AJ695" s="328" t="s">
        <v>1328</v>
      </c>
      <c r="AK695" s="328" t="s">
        <v>1328</v>
      </c>
      <c r="AL695" s="22" t="s">
        <v>1338</v>
      </c>
      <c r="AM695" s="22" t="s">
        <v>1330</v>
      </c>
      <c r="AN695" s="22" t="s">
        <v>1526</v>
      </c>
      <c r="AO695" s="22" t="s">
        <v>1318</v>
      </c>
      <c r="AP695" s="22" t="s">
        <v>1318</v>
      </c>
      <c r="AQ695" s="22" t="s">
        <v>1318</v>
      </c>
      <c r="AR695" s="22" t="s">
        <v>1317</v>
      </c>
      <c r="AS695" s="22" t="s">
        <v>1311</v>
      </c>
      <c r="AT695" s="22" t="s">
        <v>1317</v>
      </c>
      <c r="AU695" s="22" t="s">
        <v>1311</v>
      </c>
      <c r="AV695" s="22" t="s">
        <v>1317</v>
      </c>
      <c r="AW695" s="22" t="s">
        <v>1318</v>
      </c>
      <c r="AX695" s="22" t="s">
        <v>1317</v>
      </c>
      <c r="AY695" s="22" t="s">
        <v>1318</v>
      </c>
      <c r="AZ695" s="22" t="s">
        <v>1317</v>
      </c>
      <c r="BA695" s="22" t="s">
        <v>1318</v>
      </c>
      <c r="BB695" s="22" t="s">
        <v>1309</v>
      </c>
      <c r="BC695" s="22" t="s">
        <v>1311</v>
      </c>
      <c r="BD695" s="22" t="s">
        <v>1317</v>
      </c>
      <c r="BE695" s="22" t="s">
        <v>1318</v>
      </c>
      <c r="BF695" s="22" t="s">
        <v>1317</v>
      </c>
      <c r="BG695" s="22" t="s">
        <v>1311</v>
      </c>
      <c r="BH695" s="22" t="s">
        <v>1317</v>
      </c>
      <c r="BI695" s="22" t="s">
        <v>1318</v>
      </c>
      <c r="BJ695" s="22" t="s">
        <v>1317</v>
      </c>
      <c r="BK695" s="22" t="s">
        <v>1318</v>
      </c>
      <c r="BL695" s="22" t="s">
        <v>1319</v>
      </c>
      <c r="BM695" s="22" t="s">
        <v>1311</v>
      </c>
      <c r="BN695" s="22" t="s">
        <v>1309</v>
      </c>
      <c r="BO695" s="22" t="s">
        <v>1311</v>
      </c>
      <c r="BP695" s="22" t="s">
        <v>1309</v>
      </c>
      <c r="BQ695" s="22" t="s">
        <v>1311</v>
      </c>
      <c r="BR695" s="22" t="s">
        <v>1309</v>
      </c>
      <c r="BS695" s="22" t="s">
        <v>1311</v>
      </c>
      <c r="BT695" s="22" t="s">
        <v>1309</v>
      </c>
      <c r="BU695" s="22" t="s">
        <v>1311</v>
      </c>
      <c r="BV695" s="22" t="s">
        <v>1317</v>
      </c>
      <c r="BW695" s="22" t="s">
        <v>1311</v>
      </c>
      <c r="BX695" s="20">
        <v>0</v>
      </c>
      <c r="BY695" s="20">
        <v>0</v>
      </c>
      <c r="BZ695" s="20">
        <v>34</v>
      </c>
      <c r="CA695" s="20">
        <v>0</v>
      </c>
      <c r="CB695" s="20">
        <v>0</v>
      </c>
      <c r="CC695" s="20">
        <v>206</v>
      </c>
      <c r="CD695" s="22" t="s">
        <v>1317</v>
      </c>
      <c r="CE695" s="22" t="s">
        <v>1318</v>
      </c>
      <c r="CF695" s="22" t="s">
        <v>1317</v>
      </c>
      <c r="CG695" s="22" t="s">
        <v>1340</v>
      </c>
      <c r="CH695" s="22" t="s">
        <v>1317</v>
      </c>
      <c r="CI695" s="22" t="s">
        <v>1318</v>
      </c>
      <c r="CJ695" s="149" t="s">
        <v>1124</v>
      </c>
      <c r="CK695" s="241" t="s">
        <v>1386</v>
      </c>
    </row>
    <row r="696" spans="1:89" ht="15" customHeight="1" x14ac:dyDescent="0.35">
      <c r="A696" s="17"/>
      <c r="B696" s="313">
        <v>18035</v>
      </c>
      <c r="C696" s="8" t="s">
        <v>110</v>
      </c>
      <c r="D696" s="18">
        <v>12</v>
      </c>
      <c r="E696" s="131"/>
      <c r="F696" s="22"/>
      <c r="G696" s="132"/>
      <c r="H696" s="22"/>
      <c r="I696" s="22"/>
      <c r="J696" s="22"/>
      <c r="K696" s="22"/>
      <c r="L696" s="22"/>
      <c r="M696" s="133"/>
      <c r="N696" s="22"/>
      <c r="O696" s="22"/>
      <c r="P696" s="22"/>
      <c r="Q696" s="20"/>
      <c r="R696" s="20"/>
      <c r="S696" s="20"/>
      <c r="T696" s="20"/>
      <c r="U696" s="20"/>
      <c r="V696" s="20"/>
      <c r="W696" s="20"/>
      <c r="X696" s="20"/>
      <c r="Y696" s="20"/>
      <c r="Z696" s="20"/>
      <c r="AA696" s="20"/>
      <c r="AB696" s="22"/>
      <c r="AC696" s="20"/>
      <c r="AD696" s="20"/>
      <c r="AE696" s="20"/>
      <c r="AF696" s="20" t="s">
        <v>1124</v>
      </c>
      <c r="AG696" s="20" t="s">
        <v>1124</v>
      </c>
      <c r="AH696" s="20" t="s">
        <v>1124</v>
      </c>
      <c r="AI696" s="328"/>
      <c r="AJ696" s="328"/>
      <c r="AK696" s="328"/>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0"/>
      <c r="BY696" s="20"/>
      <c r="BZ696" s="20"/>
      <c r="CA696" s="20"/>
      <c r="CB696" s="20"/>
      <c r="CC696" s="20"/>
      <c r="CD696" s="22"/>
      <c r="CE696" s="22"/>
      <c r="CF696" s="22"/>
      <c r="CG696" s="22"/>
      <c r="CH696" s="22"/>
      <c r="CI696" s="22"/>
      <c r="CJ696" s="149"/>
      <c r="CK696" s="241"/>
    </row>
    <row r="697" spans="1:89" ht="15" customHeight="1" x14ac:dyDescent="0.35">
      <c r="A697" s="17"/>
      <c r="B697" s="316">
        <v>20010</v>
      </c>
      <c r="C697" s="10" t="s">
        <v>139</v>
      </c>
      <c r="D697" s="24">
        <v>3</v>
      </c>
      <c r="E697" s="131"/>
      <c r="F697" s="22"/>
      <c r="G697" s="132"/>
      <c r="H697" s="22"/>
      <c r="I697" s="22"/>
      <c r="J697" s="22"/>
      <c r="K697" s="22"/>
      <c r="L697" s="22"/>
      <c r="M697" s="133"/>
      <c r="N697" s="22"/>
      <c r="O697" s="22"/>
      <c r="P697" s="22"/>
      <c r="Q697" s="20"/>
      <c r="R697" s="20"/>
      <c r="S697" s="20"/>
      <c r="T697" s="20"/>
      <c r="U697" s="20"/>
      <c r="V697" s="20"/>
      <c r="W697" s="20"/>
      <c r="X697" s="20"/>
      <c r="Y697" s="20"/>
      <c r="Z697" s="20"/>
      <c r="AA697" s="20"/>
      <c r="AB697" s="22"/>
      <c r="AC697" s="20"/>
      <c r="AD697" s="20"/>
      <c r="AE697" s="20"/>
      <c r="AF697" s="20" t="s">
        <v>1124</v>
      </c>
      <c r="AG697" s="20" t="s">
        <v>1124</v>
      </c>
      <c r="AH697" s="20" t="s">
        <v>1124</v>
      </c>
      <c r="AI697" s="328"/>
      <c r="AJ697" s="328"/>
      <c r="AK697" s="328"/>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0"/>
      <c r="BY697" s="20"/>
      <c r="BZ697" s="20"/>
      <c r="CA697" s="20"/>
      <c r="CB697" s="20"/>
      <c r="CC697" s="20"/>
      <c r="CD697" s="22"/>
      <c r="CE697" s="22"/>
      <c r="CF697" s="22"/>
      <c r="CG697" s="22"/>
      <c r="CH697" s="22"/>
      <c r="CI697" s="22"/>
      <c r="CJ697" s="149"/>
      <c r="CK697" s="241"/>
    </row>
    <row r="698" spans="1:89" ht="15" customHeight="1" x14ac:dyDescent="0.35">
      <c r="A698" s="17"/>
      <c r="B698" s="313">
        <v>8023</v>
      </c>
      <c r="C698" s="8" t="s">
        <v>1089</v>
      </c>
      <c r="D698" s="18">
        <v>1</v>
      </c>
      <c r="E698" s="131" t="s">
        <v>1309</v>
      </c>
      <c r="F698" s="22" t="s">
        <v>1309</v>
      </c>
      <c r="G698" s="132" t="s">
        <v>1309</v>
      </c>
      <c r="H698" s="22" t="s">
        <v>1311</v>
      </c>
      <c r="I698" s="22" t="s">
        <v>1327</v>
      </c>
      <c r="J698" s="22" t="s">
        <v>1327</v>
      </c>
      <c r="K698" s="22" t="s">
        <v>1319</v>
      </c>
      <c r="L698" s="22" t="s">
        <v>1311</v>
      </c>
      <c r="M698" s="133" t="s">
        <v>1311</v>
      </c>
      <c r="N698" s="22" t="s">
        <v>1311</v>
      </c>
      <c r="O698" s="22" t="s">
        <v>1314</v>
      </c>
      <c r="P698" s="22" t="s">
        <v>1318</v>
      </c>
      <c r="Q698" s="20">
        <v>0</v>
      </c>
      <c r="R698" s="20">
        <v>0</v>
      </c>
      <c r="S698" s="20">
        <v>0</v>
      </c>
      <c r="T698" s="20">
        <v>16.352</v>
      </c>
      <c r="U698" s="20">
        <v>0</v>
      </c>
      <c r="V698" s="20">
        <v>0</v>
      </c>
      <c r="W698" s="20">
        <v>0</v>
      </c>
      <c r="X698" s="20">
        <v>0</v>
      </c>
      <c r="Y698" s="20">
        <v>0</v>
      </c>
      <c r="Z698" s="20">
        <v>0</v>
      </c>
      <c r="AA698" s="20" t="s">
        <v>1317</v>
      </c>
      <c r="AB698" s="22" t="s">
        <v>1318</v>
      </c>
      <c r="AC698" s="20">
        <v>1</v>
      </c>
      <c r="AD698" s="20">
        <v>2</v>
      </c>
      <c r="AE698" s="20">
        <v>2</v>
      </c>
      <c r="AF698" s="20">
        <v>11</v>
      </c>
      <c r="AG698" s="20">
        <v>1</v>
      </c>
      <c r="AH698" s="20">
        <v>5</v>
      </c>
      <c r="AI698" s="328">
        <v>12.230919765166341</v>
      </c>
      <c r="AJ698" s="328">
        <v>9.8522167487684733</v>
      </c>
      <c r="AK698" s="328">
        <v>9.8522167487684733</v>
      </c>
      <c r="AL698" s="22" t="s">
        <v>1338</v>
      </c>
      <c r="AM698" s="22" t="s">
        <v>1330</v>
      </c>
      <c r="AN698" s="22" t="s">
        <v>1317</v>
      </c>
      <c r="AO698" s="22" t="s">
        <v>1318</v>
      </c>
      <c r="AP698" s="22" t="s">
        <v>1318</v>
      </c>
      <c r="AQ698" s="22" t="s">
        <v>1318</v>
      </c>
      <c r="AR698" s="22" t="s">
        <v>1317</v>
      </c>
      <c r="AS698" s="22" t="s">
        <v>1318</v>
      </c>
      <c r="AT698" s="22" t="s">
        <v>1317</v>
      </c>
      <c r="AU698" s="22" t="s">
        <v>1318</v>
      </c>
      <c r="AV698" s="22" t="s">
        <v>1317</v>
      </c>
      <c r="AW698" s="22" t="s">
        <v>1318</v>
      </c>
      <c r="AX698" s="22" t="s">
        <v>1317</v>
      </c>
      <c r="AY698" s="22" t="s">
        <v>1318</v>
      </c>
      <c r="AZ698" s="22" t="s">
        <v>1317</v>
      </c>
      <c r="BA698" s="22" t="s">
        <v>1318</v>
      </c>
      <c r="BB698" s="22" t="s">
        <v>1309</v>
      </c>
      <c r="BC698" s="22" t="s">
        <v>1309</v>
      </c>
      <c r="BD698" s="22" t="s">
        <v>1317</v>
      </c>
      <c r="BE698" s="22" t="s">
        <v>1318</v>
      </c>
      <c r="BF698" s="22" t="s">
        <v>1317</v>
      </c>
      <c r="BG698" s="22" t="s">
        <v>1318</v>
      </c>
      <c r="BH698" s="22" t="s">
        <v>1317</v>
      </c>
      <c r="BI698" s="22" t="s">
        <v>1318</v>
      </c>
      <c r="BJ698" s="22" t="s">
        <v>1309</v>
      </c>
      <c r="BK698" s="22" t="s">
        <v>1309</v>
      </c>
      <c r="BL698" s="22" t="s">
        <v>1309</v>
      </c>
      <c r="BM698" s="22" t="s">
        <v>1309</v>
      </c>
      <c r="BN698" s="22" t="s">
        <v>1309</v>
      </c>
      <c r="BO698" s="22" t="s">
        <v>1309</v>
      </c>
      <c r="BP698" s="22" t="s">
        <v>1315</v>
      </c>
      <c r="BQ698" s="22" t="s">
        <v>1315</v>
      </c>
      <c r="BR698" s="22" t="s">
        <v>1309</v>
      </c>
      <c r="BS698" s="22" t="s">
        <v>1309</v>
      </c>
      <c r="BT698" s="22" t="s">
        <v>1309</v>
      </c>
      <c r="BU698" s="22" t="s">
        <v>1309</v>
      </c>
      <c r="BV698" s="22" t="s">
        <v>1317</v>
      </c>
      <c r="BW698" s="22" t="s">
        <v>1318</v>
      </c>
      <c r="BX698" s="20">
        <v>0</v>
      </c>
      <c r="BY698" s="20">
        <v>0</v>
      </c>
      <c r="BZ698" s="20">
        <v>11</v>
      </c>
      <c r="CA698" s="20">
        <v>0</v>
      </c>
      <c r="CB698" s="20">
        <v>0</v>
      </c>
      <c r="CC698" s="20">
        <v>192</v>
      </c>
      <c r="CD698" s="22" t="s">
        <v>1317</v>
      </c>
      <c r="CE698" s="22" t="s">
        <v>1318</v>
      </c>
      <c r="CF698" s="22" t="s">
        <v>1317</v>
      </c>
      <c r="CG698" s="22" t="s">
        <v>1318</v>
      </c>
      <c r="CH698" s="22" t="s">
        <v>1317</v>
      </c>
      <c r="CI698" s="22" t="s">
        <v>1318</v>
      </c>
      <c r="CJ698" s="149" t="s">
        <v>2863</v>
      </c>
      <c r="CK698" s="241" t="s">
        <v>2864</v>
      </c>
    </row>
    <row r="699" spans="1:89" ht="15" customHeight="1" x14ac:dyDescent="0.35">
      <c r="A699" s="17"/>
      <c r="B699" s="313">
        <v>17025</v>
      </c>
      <c r="C699" s="8" t="s">
        <v>94</v>
      </c>
      <c r="D699" s="18">
        <v>12</v>
      </c>
      <c r="E699" s="131"/>
      <c r="F699" s="22"/>
      <c r="G699" s="132"/>
      <c r="H699" s="22"/>
      <c r="I699" s="22"/>
      <c r="J699" s="22"/>
      <c r="K699" s="22"/>
      <c r="L699" s="22"/>
      <c r="M699" s="133"/>
      <c r="N699" s="22"/>
      <c r="O699" s="22"/>
      <c r="P699" s="22"/>
      <c r="Q699" s="20"/>
      <c r="R699" s="20"/>
      <c r="S699" s="20"/>
      <c r="T699" s="20"/>
      <c r="U699" s="20"/>
      <c r="V699" s="20"/>
      <c r="W699" s="20"/>
      <c r="X699" s="20"/>
      <c r="Y699" s="20"/>
      <c r="Z699" s="20"/>
      <c r="AA699" s="20"/>
      <c r="AB699" s="22"/>
      <c r="AC699" s="20"/>
      <c r="AD699" s="20"/>
      <c r="AE699" s="20"/>
      <c r="AF699" s="20" t="s">
        <v>1124</v>
      </c>
      <c r="AG699" s="20" t="s">
        <v>1124</v>
      </c>
      <c r="AH699" s="20" t="s">
        <v>1124</v>
      </c>
      <c r="AI699" s="328"/>
      <c r="AJ699" s="328"/>
      <c r="AK699" s="328"/>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0"/>
      <c r="BY699" s="20"/>
      <c r="BZ699" s="20"/>
      <c r="CA699" s="20"/>
      <c r="CB699" s="20"/>
      <c r="CC699" s="20"/>
      <c r="CD699" s="22"/>
      <c r="CE699" s="22"/>
      <c r="CF699" s="22"/>
      <c r="CG699" s="22"/>
      <c r="CH699" s="22"/>
      <c r="CI699" s="22"/>
      <c r="CJ699" s="149"/>
      <c r="CK699" s="241"/>
    </row>
    <row r="700" spans="1:89" ht="15" customHeight="1" x14ac:dyDescent="0.35">
      <c r="A700" s="17"/>
      <c r="B700" s="313">
        <v>9085</v>
      </c>
      <c r="C700" s="8" t="s">
        <v>1111</v>
      </c>
      <c r="D700" s="18">
        <v>1</v>
      </c>
      <c r="E700" s="131" t="s">
        <v>1309</v>
      </c>
      <c r="F700" s="22" t="s">
        <v>1309</v>
      </c>
      <c r="G700" s="132" t="s">
        <v>1309</v>
      </c>
      <c r="H700" s="22" t="s">
        <v>1311</v>
      </c>
      <c r="I700" s="22" t="s">
        <v>1327</v>
      </c>
      <c r="J700" s="22" t="s">
        <v>1327</v>
      </c>
      <c r="K700" s="22" t="s">
        <v>1314</v>
      </c>
      <c r="L700" s="22" t="s">
        <v>1311</v>
      </c>
      <c r="M700" s="133" t="s">
        <v>1311</v>
      </c>
      <c r="N700" s="22" t="s">
        <v>1311</v>
      </c>
      <c r="O700" s="22" t="s">
        <v>1319</v>
      </c>
      <c r="P700" s="22" t="s">
        <v>1311</v>
      </c>
      <c r="Q700" s="20">
        <v>0</v>
      </c>
      <c r="R700" s="20">
        <v>0</v>
      </c>
      <c r="S700" s="20">
        <v>0</v>
      </c>
      <c r="T700" s="20">
        <v>0</v>
      </c>
      <c r="U700" s="20">
        <v>18.298999999999999</v>
      </c>
      <c r="V700" s="20">
        <v>18.298999999999999</v>
      </c>
      <c r="W700" s="20">
        <v>0</v>
      </c>
      <c r="X700" s="20">
        <v>0</v>
      </c>
      <c r="Y700" s="20">
        <v>0</v>
      </c>
      <c r="Z700" s="20">
        <v>0</v>
      </c>
      <c r="AA700" s="20" t="s">
        <v>1309</v>
      </c>
      <c r="AB700" s="22" t="s">
        <v>1309</v>
      </c>
      <c r="AC700" s="20">
        <v>0</v>
      </c>
      <c r="AD700" s="20">
        <v>3</v>
      </c>
      <c r="AE700" s="20">
        <v>0</v>
      </c>
      <c r="AF700" s="20">
        <v>0</v>
      </c>
      <c r="AG700" s="20">
        <v>1</v>
      </c>
      <c r="AH700" s="20">
        <v>0</v>
      </c>
      <c r="AI700" s="328" t="s">
        <v>1328</v>
      </c>
      <c r="AJ700" s="328">
        <v>6.1099796334012222</v>
      </c>
      <c r="AK700" s="328" t="s">
        <v>1328</v>
      </c>
      <c r="AL700" s="22" t="s">
        <v>1338</v>
      </c>
      <c r="AM700" s="22" t="s">
        <v>1330</v>
      </c>
      <c r="AN700" s="22" t="s">
        <v>1317</v>
      </c>
      <c r="AO700" s="22" t="s">
        <v>1318</v>
      </c>
      <c r="AP700" s="22" t="s">
        <v>1318</v>
      </c>
      <c r="AQ700" s="22" t="s">
        <v>1318</v>
      </c>
      <c r="AR700" s="22" t="s">
        <v>1317</v>
      </c>
      <c r="AS700" s="22" t="s">
        <v>1318</v>
      </c>
      <c r="AT700" s="22" t="s">
        <v>1309</v>
      </c>
      <c r="AU700" s="22" t="s">
        <v>1311</v>
      </c>
      <c r="AV700" s="22" t="s">
        <v>1317</v>
      </c>
      <c r="AW700" s="22" t="s">
        <v>1318</v>
      </c>
      <c r="AX700" s="22" t="s">
        <v>1309</v>
      </c>
      <c r="AY700" s="22" t="s">
        <v>1309</v>
      </c>
      <c r="AZ700" s="22" t="s">
        <v>1309</v>
      </c>
      <c r="BA700" s="22" t="s">
        <v>1309</v>
      </c>
      <c r="BB700" s="22" t="s">
        <v>1309</v>
      </c>
      <c r="BC700" s="22" t="s">
        <v>1309</v>
      </c>
      <c r="BD700" s="22" t="s">
        <v>1309</v>
      </c>
      <c r="BE700" s="22" t="s">
        <v>1309</v>
      </c>
      <c r="BF700" s="22" t="s">
        <v>1317</v>
      </c>
      <c r="BG700" s="22" t="s">
        <v>1318</v>
      </c>
      <c r="BH700" s="22" t="s">
        <v>1309</v>
      </c>
      <c r="BI700" s="22" t="s">
        <v>1309</v>
      </c>
      <c r="BJ700" s="22" t="s">
        <v>1309</v>
      </c>
      <c r="BK700" s="22" t="s">
        <v>1309</v>
      </c>
      <c r="BL700" s="22" t="s">
        <v>1319</v>
      </c>
      <c r="BM700" s="22" t="s">
        <v>1311</v>
      </c>
      <c r="BN700" s="22" t="s">
        <v>1309</v>
      </c>
      <c r="BO700" s="22" t="s">
        <v>1309</v>
      </c>
      <c r="BP700" s="22" t="s">
        <v>1315</v>
      </c>
      <c r="BQ700" s="22" t="s">
        <v>1315</v>
      </c>
      <c r="BR700" s="22" t="s">
        <v>1309</v>
      </c>
      <c r="BS700" s="22" t="s">
        <v>1309</v>
      </c>
      <c r="BT700" s="22" t="s">
        <v>1309</v>
      </c>
      <c r="BU700" s="22" t="s">
        <v>1309</v>
      </c>
      <c r="BV700" s="22" t="s">
        <v>1309</v>
      </c>
      <c r="BW700" s="22" t="s">
        <v>1309</v>
      </c>
      <c r="BX700" s="20">
        <v>50</v>
      </c>
      <c r="BY700" s="20">
        <v>0</v>
      </c>
      <c r="BZ700" s="20">
        <v>3</v>
      </c>
      <c r="CA700" s="20">
        <v>12</v>
      </c>
      <c r="CB700" s="20">
        <v>0</v>
      </c>
      <c r="CC700" s="20">
        <v>426</v>
      </c>
      <c r="CD700" s="22" t="s">
        <v>1345</v>
      </c>
      <c r="CE700" s="22" t="s">
        <v>1331</v>
      </c>
      <c r="CF700" s="22" t="s">
        <v>1320</v>
      </c>
      <c r="CG700" s="22" t="s">
        <v>1344</v>
      </c>
      <c r="CH700" s="22" t="s">
        <v>1317</v>
      </c>
      <c r="CI700" s="22" t="s">
        <v>1318</v>
      </c>
      <c r="CJ700" s="149" t="s">
        <v>1124</v>
      </c>
      <c r="CK700" s="241" t="s">
        <v>1386</v>
      </c>
    </row>
    <row r="701" spans="1:89" ht="15" customHeight="1" x14ac:dyDescent="0.35">
      <c r="A701" s="17"/>
      <c r="B701" s="313">
        <v>7010</v>
      </c>
      <c r="C701" s="8" t="s">
        <v>1069</v>
      </c>
      <c r="D701" s="18">
        <v>1</v>
      </c>
      <c r="E701" s="131"/>
      <c r="F701" s="22"/>
      <c r="G701" s="132"/>
      <c r="H701" s="22"/>
      <c r="I701" s="22"/>
      <c r="J701" s="22"/>
      <c r="K701" s="22"/>
      <c r="L701" s="22"/>
      <c r="M701" s="133"/>
      <c r="N701" s="22"/>
      <c r="O701" s="22"/>
      <c r="P701" s="22"/>
      <c r="Q701" s="20"/>
      <c r="R701" s="20"/>
      <c r="S701" s="20"/>
      <c r="T701" s="20"/>
      <c r="U701" s="20"/>
      <c r="V701" s="20"/>
      <c r="W701" s="20"/>
      <c r="X701" s="20"/>
      <c r="Y701" s="20"/>
      <c r="Z701" s="20"/>
      <c r="AA701" s="20"/>
      <c r="AB701" s="22"/>
      <c r="AC701" s="20"/>
      <c r="AD701" s="20"/>
      <c r="AE701" s="20"/>
      <c r="AF701" s="20" t="s">
        <v>1124</v>
      </c>
      <c r="AG701" s="20" t="s">
        <v>1124</v>
      </c>
      <c r="AH701" s="20" t="s">
        <v>1124</v>
      </c>
      <c r="AI701" s="328"/>
      <c r="AJ701" s="328"/>
      <c r="AK701" s="328"/>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0"/>
      <c r="BY701" s="20"/>
      <c r="BZ701" s="20"/>
      <c r="CA701" s="20"/>
      <c r="CB701" s="20"/>
      <c r="CC701" s="20"/>
      <c r="CD701" s="22"/>
      <c r="CE701" s="22"/>
      <c r="CF701" s="22"/>
      <c r="CG701" s="22"/>
      <c r="CH701" s="22"/>
      <c r="CI701" s="22"/>
      <c r="CJ701" s="149"/>
      <c r="CK701" s="241"/>
    </row>
    <row r="702" spans="1:89" ht="15" customHeight="1" x14ac:dyDescent="0.35">
      <c r="A702" s="17"/>
      <c r="B702" s="313">
        <v>11030</v>
      </c>
      <c r="C702" s="8" t="s">
        <v>22</v>
      </c>
      <c r="D702" s="18">
        <v>1</v>
      </c>
      <c r="E702" s="131" t="s">
        <v>1319</v>
      </c>
      <c r="F702" s="22" t="s">
        <v>1310</v>
      </c>
      <c r="G702" s="132" t="s">
        <v>1309</v>
      </c>
      <c r="H702" s="22" t="s">
        <v>1311</v>
      </c>
      <c r="I702" s="22" t="s">
        <v>1327</v>
      </c>
      <c r="J702" s="22" t="s">
        <v>1327</v>
      </c>
      <c r="K702" s="22" t="s">
        <v>1314</v>
      </c>
      <c r="L702" s="22" t="s">
        <v>1311</v>
      </c>
      <c r="M702" s="133" t="s">
        <v>1311</v>
      </c>
      <c r="N702" s="22" t="s">
        <v>1311</v>
      </c>
      <c r="O702" s="22" t="s">
        <v>1314</v>
      </c>
      <c r="P702" s="22" t="s">
        <v>1318</v>
      </c>
      <c r="Q702" s="20">
        <v>0</v>
      </c>
      <c r="R702" s="20">
        <v>0</v>
      </c>
      <c r="S702" s="20">
        <v>0</v>
      </c>
      <c r="T702" s="20">
        <v>0</v>
      </c>
      <c r="U702" s="20">
        <v>0</v>
      </c>
      <c r="V702" s="20">
        <v>0</v>
      </c>
      <c r="W702" s="20">
        <v>0</v>
      </c>
      <c r="X702" s="20">
        <v>0</v>
      </c>
      <c r="Y702" s="20">
        <v>0</v>
      </c>
      <c r="Z702" s="20">
        <v>0</v>
      </c>
      <c r="AA702" s="20" t="s">
        <v>1317</v>
      </c>
      <c r="AB702" s="22" t="s">
        <v>1318</v>
      </c>
      <c r="AC702" s="20">
        <v>0</v>
      </c>
      <c r="AD702" s="20">
        <v>0</v>
      </c>
      <c r="AE702" s="20">
        <v>0</v>
      </c>
      <c r="AF702" s="20">
        <v>0</v>
      </c>
      <c r="AG702" s="20">
        <v>0</v>
      </c>
      <c r="AH702" s="20">
        <v>0</v>
      </c>
      <c r="AI702" s="328" t="s">
        <v>1328</v>
      </c>
      <c r="AJ702" s="328" t="s">
        <v>1328</v>
      </c>
      <c r="AK702" s="328" t="s">
        <v>1328</v>
      </c>
      <c r="AL702" s="22" t="s">
        <v>1329</v>
      </c>
      <c r="AM702" s="22" t="s">
        <v>1330</v>
      </c>
      <c r="AN702" s="22" t="s">
        <v>1317</v>
      </c>
      <c r="AO702" s="22" t="s">
        <v>1318</v>
      </c>
      <c r="AP702" s="22" t="s">
        <v>1318</v>
      </c>
      <c r="AQ702" s="22" t="s">
        <v>1318</v>
      </c>
      <c r="AR702" s="22" t="s">
        <v>1317</v>
      </c>
      <c r="AS702" s="22" t="s">
        <v>1318</v>
      </c>
      <c r="AT702" s="22" t="s">
        <v>1317</v>
      </c>
      <c r="AU702" s="22" t="s">
        <v>1311</v>
      </c>
      <c r="AV702" s="22" t="s">
        <v>1317</v>
      </c>
      <c r="AW702" s="22" t="s">
        <v>1318</v>
      </c>
      <c r="AX702" s="22" t="s">
        <v>1317</v>
      </c>
      <c r="AY702" s="22" t="s">
        <v>1318</v>
      </c>
      <c r="AZ702" s="22" t="s">
        <v>1309</v>
      </c>
      <c r="BA702" s="22" t="s">
        <v>1309</v>
      </c>
      <c r="BB702" s="22" t="s">
        <v>1309</v>
      </c>
      <c r="BC702" s="22" t="s">
        <v>1309</v>
      </c>
      <c r="BD702" s="22" t="s">
        <v>1317</v>
      </c>
      <c r="BE702" s="22" t="s">
        <v>1318</v>
      </c>
      <c r="BF702" s="22" t="s">
        <v>1317</v>
      </c>
      <c r="BG702" s="22" t="s">
        <v>1318</v>
      </c>
      <c r="BH702" s="22" t="s">
        <v>1309</v>
      </c>
      <c r="BI702" s="22" t="s">
        <v>1309</v>
      </c>
      <c r="BJ702" s="22" t="s">
        <v>1317</v>
      </c>
      <c r="BK702" s="22" t="s">
        <v>1318</v>
      </c>
      <c r="BL702" s="22" t="s">
        <v>1319</v>
      </c>
      <c r="BM702" s="22" t="s">
        <v>1311</v>
      </c>
      <c r="BN702" s="22" t="s">
        <v>1309</v>
      </c>
      <c r="BO702" s="22" t="s">
        <v>1309</v>
      </c>
      <c r="BP702" s="22" t="s">
        <v>1315</v>
      </c>
      <c r="BQ702" s="22" t="s">
        <v>1315</v>
      </c>
      <c r="BR702" s="22" t="s">
        <v>1309</v>
      </c>
      <c r="BS702" s="22" t="s">
        <v>1309</v>
      </c>
      <c r="BT702" s="22" t="s">
        <v>1315</v>
      </c>
      <c r="BU702" s="22" t="s">
        <v>1315</v>
      </c>
      <c r="BV702" s="22" t="s">
        <v>1317</v>
      </c>
      <c r="BW702" s="22" t="s">
        <v>1318</v>
      </c>
      <c r="BX702" s="20">
        <v>0</v>
      </c>
      <c r="BY702" s="20">
        <v>0</v>
      </c>
      <c r="BZ702" s="20">
        <v>1</v>
      </c>
      <c r="CA702" s="20">
        <v>0</v>
      </c>
      <c r="CB702" s="20">
        <v>0</v>
      </c>
      <c r="CC702" s="20">
        <v>92</v>
      </c>
      <c r="CD702" s="22" t="s">
        <v>1317</v>
      </c>
      <c r="CE702" s="22" t="s">
        <v>1318</v>
      </c>
      <c r="CF702" s="22" t="s">
        <v>1317</v>
      </c>
      <c r="CG702" s="22" t="s">
        <v>1318</v>
      </c>
      <c r="CH702" s="22" t="s">
        <v>1317</v>
      </c>
      <c r="CI702" s="22" t="s">
        <v>1318</v>
      </c>
      <c r="CJ702" s="149" t="s">
        <v>1124</v>
      </c>
      <c r="CK702" s="241" t="s">
        <v>2873</v>
      </c>
    </row>
    <row r="703" spans="1:89" ht="15" customHeight="1" x14ac:dyDescent="0.35">
      <c r="A703" s="17"/>
      <c r="B703" s="313">
        <v>38035</v>
      </c>
      <c r="C703" s="8" t="s">
        <v>330</v>
      </c>
      <c r="D703" s="18">
        <v>17</v>
      </c>
      <c r="E703" s="131"/>
      <c r="F703" s="22"/>
      <c r="G703" s="132"/>
      <c r="H703" s="22"/>
      <c r="I703" s="22"/>
      <c r="J703" s="22"/>
      <c r="K703" s="22"/>
      <c r="L703" s="22"/>
      <c r="M703" s="133"/>
      <c r="N703" s="22"/>
      <c r="O703" s="22"/>
      <c r="P703" s="22"/>
      <c r="Q703" s="20"/>
      <c r="R703" s="20"/>
      <c r="S703" s="20"/>
      <c r="T703" s="20"/>
      <c r="U703" s="20"/>
      <c r="V703" s="20"/>
      <c r="W703" s="20"/>
      <c r="X703" s="20"/>
      <c r="Y703" s="20"/>
      <c r="Z703" s="20"/>
      <c r="AA703" s="20"/>
      <c r="AB703" s="22"/>
      <c r="AC703" s="20"/>
      <c r="AD703" s="20"/>
      <c r="AE703" s="20"/>
      <c r="AF703" s="20" t="s">
        <v>1124</v>
      </c>
      <c r="AG703" s="20" t="s">
        <v>1124</v>
      </c>
      <c r="AH703" s="20" t="s">
        <v>1124</v>
      </c>
      <c r="AI703" s="328"/>
      <c r="AJ703" s="328"/>
      <c r="AK703" s="328"/>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0"/>
      <c r="BY703" s="20"/>
      <c r="BZ703" s="20"/>
      <c r="CA703" s="20"/>
      <c r="CB703" s="20"/>
      <c r="CC703" s="20"/>
      <c r="CD703" s="22"/>
      <c r="CE703" s="22"/>
      <c r="CF703" s="22"/>
      <c r="CG703" s="22"/>
      <c r="CH703" s="22"/>
      <c r="CI703" s="22"/>
      <c r="CJ703" s="149"/>
      <c r="CK703" s="241"/>
    </row>
    <row r="704" spans="1:89" ht="15" customHeight="1" x14ac:dyDescent="0.35">
      <c r="A704" s="17"/>
      <c r="B704" s="313">
        <v>37215</v>
      </c>
      <c r="C704" s="8" t="s">
        <v>317</v>
      </c>
      <c r="D704" s="18">
        <v>4</v>
      </c>
      <c r="E704" s="131" t="s">
        <v>1309</v>
      </c>
      <c r="F704" s="22" t="s">
        <v>1309</v>
      </c>
      <c r="G704" s="132" t="s">
        <v>1309</v>
      </c>
      <c r="H704" s="22" t="s">
        <v>1311</v>
      </c>
      <c r="I704" s="22" t="s">
        <v>1327</v>
      </c>
      <c r="J704" s="22" t="s">
        <v>1313</v>
      </c>
      <c r="K704" s="22" t="s">
        <v>1319</v>
      </c>
      <c r="L704" s="22" t="s">
        <v>1309</v>
      </c>
      <c r="M704" s="133" t="s">
        <v>1311</v>
      </c>
      <c r="N704" s="22" t="s">
        <v>1311</v>
      </c>
      <c r="O704" s="22" t="s">
        <v>1309</v>
      </c>
      <c r="P704" s="22" t="s">
        <v>1309</v>
      </c>
      <c r="Q704" s="20">
        <v>0</v>
      </c>
      <c r="R704" s="20">
        <v>0</v>
      </c>
      <c r="S704" s="20">
        <v>0</v>
      </c>
      <c r="T704" s="20">
        <v>30.082000000000001</v>
      </c>
      <c r="U704" s="20">
        <v>0</v>
      </c>
      <c r="V704" s="20">
        <v>0</v>
      </c>
      <c r="W704" s="20">
        <v>0</v>
      </c>
      <c r="X704" s="20">
        <v>0</v>
      </c>
      <c r="Y704" s="20">
        <v>0</v>
      </c>
      <c r="Z704" s="20">
        <v>0</v>
      </c>
      <c r="AA704" s="20" t="s">
        <v>1317</v>
      </c>
      <c r="AB704" s="22" t="s">
        <v>1318</v>
      </c>
      <c r="AC704" s="20">
        <v>0</v>
      </c>
      <c r="AD704" s="20">
        <v>0</v>
      </c>
      <c r="AE704" s="20">
        <v>0</v>
      </c>
      <c r="AF704" s="20">
        <v>0</v>
      </c>
      <c r="AG704" s="20">
        <v>0</v>
      </c>
      <c r="AH704" s="20">
        <v>0</v>
      </c>
      <c r="AI704" s="328" t="s">
        <v>1328</v>
      </c>
      <c r="AJ704" s="328" t="s">
        <v>1328</v>
      </c>
      <c r="AK704" s="328" t="s">
        <v>1328</v>
      </c>
      <c r="AL704" s="22" t="s">
        <v>1329</v>
      </c>
      <c r="AM704" s="22" t="s">
        <v>1330</v>
      </c>
      <c r="AN704" s="22" t="s">
        <v>1317</v>
      </c>
      <c r="AO704" s="22" t="s">
        <v>1318</v>
      </c>
      <c r="AP704" s="22" t="s">
        <v>1318</v>
      </c>
      <c r="AQ704" s="22" t="s">
        <v>1318</v>
      </c>
      <c r="AR704" s="22" t="s">
        <v>1317</v>
      </c>
      <c r="AS704" s="22" t="s">
        <v>1318</v>
      </c>
      <c r="AT704" s="22" t="s">
        <v>1309</v>
      </c>
      <c r="AU704" s="22" t="s">
        <v>1309</v>
      </c>
      <c r="AV704" s="22" t="s">
        <v>1309</v>
      </c>
      <c r="AW704" s="22" t="s">
        <v>1309</v>
      </c>
      <c r="AX704" s="22" t="s">
        <v>1317</v>
      </c>
      <c r="AY704" s="22" t="s">
        <v>1318</v>
      </c>
      <c r="AZ704" s="22" t="s">
        <v>1309</v>
      </c>
      <c r="BA704" s="22" t="s">
        <v>1309</v>
      </c>
      <c r="BB704" s="22" t="s">
        <v>1309</v>
      </c>
      <c r="BC704" s="22" t="s">
        <v>1309</v>
      </c>
      <c r="BD704" s="22" t="s">
        <v>1309</v>
      </c>
      <c r="BE704" s="22" t="s">
        <v>1309</v>
      </c>
      <c r="BF704" s="22" t="s">
        <v>1309</v>
      </c>
      <c r="BG704" s="22" t="s">
        <v>1309</v>
      </c>
      <c r="BH704" s="22" t="s">
        <v>1309</v>
      </c>
      <c r="BI704" s="22" t="s">
        <v>1309</v>
      </c>
      <c r="BJ704" s="22" t="s">
        <v>1309</v>
      </c>
      <c r="BK704" s="22" t="s">
        <v>1309</v>
      </c>
      <c r="BL704" s="22" t="s">
        <v>1309</v>
      </c>
      <c r="BM704" s="22" t="s">
        <v>1309</v>
      </c>
      <c r="BN704" s="22" t="s">
        <v>1309</v>
      </c>
      <c r="BO704" s="22" t="s">
        <v>1309</v>
      </c>
      <c r="BP704" s="22" t="s">
        <v>1315</v>
      </c>
      <c r="BQ704" s="22" t="s">
        <v>1315</v>
      </c>
      <c r="BR704" s="22" t="s">
        <v>1309</v>
      </c>
      <c r="BS704" s="22" t="s">
        <v>1309</v>
      </c>
      <c r="BT704" s="22" t="s">
        <v>1315</v>
      </c>
      <c r="BU704" s="22" t="s">
        <v>1315</v>
      </c>
      <c r="BV704" s="22" t="s">
        <v>1309</v>
      </c>
      <c r="BW704" s="22" t="s">
        <v>1309</v>
      </c>
      <c r="BX704" s="20">
        <v>52</v>
      </c>
      <c r="BY704" s="20">
        <v>0</v>
      </c>
      <c r="BZ704" s="20">
        <v>0</v>
      </c>
      <c r="CA704" s="20">
        <v>375</v>
      </c>
      <c r="CB704" s="20">
        <v>0</v>
      </c>
      <c r="CC704" s="20">
        <v>0</v>
      </c>
      <c r="CD704" s="22" t="s">
        <v>1331</v>
      </c>
      <c r="CE704" s="22" t="s">
        <v>1331</v>
      </c>
      <c r="CF704" s="22" t="s">
        <v>1315</v>
      </c>
      <c r="CG704" s="22" t="s">
        <v>1315</v>
      </c>
      <c r="CH704" s="22" t="s">
        <v>1315</v>
      </c>
      <c r="CI704" s="22" t="s">
        <v>1315</v>
      </c>
      <c r="CJ704" s="149" t="s">
        <v>1124</v>
      </c>
      <c r="CK704" s="241" t="s">
        <v>1386</v>
      </c>
    </row>
    <row r="705" spans="1:89" ht="15" customHeight="1" x14ac:dyDescent="0.35">
      <c r="A705" s="17"/>
      <c r="B705" s="313">
        <v>52040</v>
      </c>
      <c r="C705" s="8" t="s">
        <v>519</v>
      </c>
      <c r="D705" s="18">
        <v>14</v>
      </c>
      <c r="E705" s="131" t="s">
        <v>1309</v>
      </c>
      <c r="F705" s="22" t="s">
        <v>1309</v>
      </c>
      <c r="G705" s="132" t="s">
        <v>1309</v>
      </c>
      <c r="H705" s="22" t="s">
        <v>1311</v>
      </c>
      <c r="I705" s="22" t="s">
        <v>1327</v>
      </c>
      <c r="J705" s="22" t="s">
        <v>1327</v>
      </c>
      <c r="K705" s="22" t="s">
        <v>1314</v>
      </c>
      <c r="L705" s="22" t="s">
        <v>1311</v>
      </c>
      <c r="M705" s="133" t="s">
        <v>1311</v>
      </c>
      <c r="N705" s="22" t="s">
        <v>1311</v>
      </c>
      <c r="O705" s="22" t="s">
        <v>1309</v>
      </c>
      <c r="P705" s="22" t="s">
        <v>1309</v>
      </c>
      <c r="Q705" s="20">
        <v>44.87</v>
      </c>
      <c r="R705" s="20">
        <v>44.87</v>
      </c>
      <c r="S705" s="20">
        <v>0</v>
      </c>
      <c r="T705" s="20">
        <v>44.87</v>
      </c>
      <c r="U705" s="20">
        <v>0</v>
      </c>
      <c r="V705" s="20">
        <v>0</v>
      </c>
      <c r="W705" s="20">
        <v>0</v>
      </c>
      <c r="X705" s="20">
        <v>0</v>
      </c>
      <c r="Y705" s="20">
        <v>0</v>
      </c>
      <c r="Z705" s="20">
        <v>0</v>
      </c>
      <c r="AA705" s="20" t="s">
        <v>1317</v>
      </c>
      <c r="AB705" s="22" t="s">
        <v>1311</v>
      </c>
      <c r="AC705" s="20">
        <v>6</v>
      </c>
      <c r="AD705" s="20">
        <v>0</v>
      </c>
      <c r="AE705" s="20">
        <v>0</v>
      </c>
      <c r="AF705" s="20">
        <v>5</v>
      </c>
      <c r="AG705" s="20">
        <v>0</v>
      </c>
      <c r="AH705" s="20">
        <v>0</v>
      </c>
      <c r="AI705" s="328">
        <v>13.371963449966572</v>
      </c>
      <c r="AJ705" s="328" t="s">
        <v>1328</v>
      </c>
      <c r="AK705" s="328" t="s">
        <v>1328</v>
      </c>
      <c r="AL705" s="22" t="s">
        <v>1329</v>
      </c>
      <c r="AM705" s="22" t="s">
        <v>1330</v>
      </c>
      <c r="AN705" s="22" t="s">
        <v>1315</v>
      </c>
      <c r="AO705" s="22" t="s">
        <v>1315</v>
      </c>
      <c r="AP705" s="22" t="s">
        <v>1315</v>
      </c>
      <c r="AQ705" s="22" t="s">
        <v>1315</v>
      </c>
      <c r="AR705" s="22" t="s">
        <v>1317</v>
      </c>
      <c r="AS705" s="22" t="s">
        <v>1318</v>
      </c>
      <c r="AT705" s="22" t="s">
        <v>1317</v>
      </c>
      <c r="AU705" s="22" t="s">
        <v>1311</v>
      </c>
      <c r="AV705" s="22" t="s">
        <v>1317</v>
      </c>
      <c r="AW705" s="22" t="s">
        <v>1311</v>
      </c>
      <c r="AX705" s="22" t="s">
        <v>1317</v>
      </c>
      <c r="AY705" s="22" t="s">
        <v>1318</v>
      </c>
      <c r="AZ705" s="22" t="s">
        <v>1309</v>
      </c>
      <c r="BA705" s="22" t="s">
        <v>1309</v>
      </c>
      <c r="BB705" s="22" t="s">
        <v>1309</v>
      </c>
      <c r="BC705" s="22" t="s">
        <v>1309</v>
      </c>
      <c r="BD705" s="22" t="s">
        <v>1309</v>
      </c>
      <c r="BE705" s="22" t="s">
        <v>1309</v>
      </c>
      <c r="BF705" s="22" t="s">
        <v>1309</v>
      </c>
      <c r="BG705" s="22" t="s">
        <v>1309</v>
      </c>
      <c r="BH705" s="22" t="s">
        <v>1317</v>
      </c>
      <c r="BI705" s="22" t="s">
        <v>1318</v>
      </c>
      <c r="BJ705" s="22" t="s">
        <v>1317</v>
      </c>
      <c r="BK705" s="22" t="s">
        <v>1318</v>
      </c>
      <c r="BL705" s="22" t="s">
        <v>1317</v>
      </c>
      <c r="BM705" s="22" t="s">
        <v>1311</v>
      </c>
      <c r="BN705" s="22" t="s">
        <v>1309</v>
      </c>
      <c r="BO705" s="22" t="s">
        <v>1309</v>
      </c>
      <c r="BP705" s="22" t="s">
        <v>1315</v>
      </c>
      <c r="BQ705" s="22" t="s">
        <v>1315</v>
      </c>
      <c r="BR705" s="22" t="s">
        <v>1309</v>
      </c>
      <c r="BS705" s="22" t="s">
        <v>1309</v>
      </c>
      <c r="BT705" s="22" t="s">
        <v>1309</v>
      </c>
      <c r="BU705" s="22" t="s">
        <v>1309</v>
      </c>
      <c r="BV705" s="22" t="s">
        <v>1309</v>
      </c>
      <c r="BW705" s="22" t="s">
        <v>1309</v>
      </c>
      <c r="BX705" s="20">
        <v>70</v>
      </c>
      <c r="BY705" s="20">
        <v>0</v>
      </c>
      <c r="BZ705" s="20">
        <v>0</v>
      </c>
      <c r="CA705" s="20">
        <v>908</v>
      </c>
      <c r="CB705" s="20">
        <v>1</v>
      </c>
      <c r="CC705" s="20">
        <v>23</v>
      </c>
      <c r="CD705" s="22" t="s">
        <v>1331</v>
      </c>
      <c r="CE705" s="22" t="s">
        <v>1331</v>
      </c>
      <c r="CF705" s="22" t="s">
        <v>1331</v>
      </c>
      <c r="CG705" s="22" t="s">
        <v>1331</v>
      </c>
      <c r="CH705" s="22" t="s">
        <v>1317</v>
      </c>
      <c r="CI705" s="22" t="s">
        <v>1318</v>
      </c>
      <c r="CJ705" s="149" t="s">
        <v>1124</v>
      </c>
      <c r="CK705" s="241" t="s">
        <v>2883</v>
      </c>
    </row>
    <row r="706" spans="1:89" ht="15" customHeight="1" x14ac:dyDescent="0.35">
      <c r="A706" s="17"/>
      <c r="B706" s="313">
        <v>87030</v>
      </c>
      <c r="C706" s="8" t="s">
        <v>895</v>
      </c>
      <c r="D706" s="18">
        <v>8</v>
      </c>
      <c r="E706" s="131"/>
      <c r="F706" s="22"/>
      <c r="G706" s="132"/>
      <c r="H706" s="22"/>
      <c r="I706" s="22"/>
      <c r="J706" s="22"/>
      <c r="K706" s="22"/>
      <c r="L706" s="22"/>
      <c r="M706" s="133"/>
      <c r="N706" s="22"/>
      <c r="O706" s="22"/>
      <c r="P706" s="22"/>
      <c r="Q706" s="20"/>
      <c r="R706" s="20"/>
      <c r="S706" s="20"/>
      <c r="T706" s="20"/>
      <c r="U706" s="20"/>
      <c r="V706" s="20"/>
      <c r="W706" s="20"/>
      <c r="X706" s="20"/>
      <c r="Y706" s="20"/>
      <c r="Z706" s="20"/>
      <c r="AA706" s="20"/>
      <c r="AB706" s="22"/>
      <c r="AC706" s="20"/>
      <c r="AD706" s="20"/>
      <c r="AE706" s="20"/>
      <c r="AF706" s="20" t="s">
        <v>1124</v>
      </c>
      <c r="AG706" s="20" t="s">
        <v>1124</v>
      </c>
      <c r="AH706" s="20" t="s">
        <v>1124</v>
      </c>
      <c r="AI706" s="328"/>
      <c r="AJ706" s="328"/>
      <c r="AK706" s="328"/>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0"/>
      <c r="BY706" s="20"/>
      <c r="BZ706" s="20"/>
      <c r="CA706" s="20"/>
      <c r="CB706" s="20"/>
      <c r="CC706" s="20"/>
      <c r="CD706" s="22"/>
      <c r="CE706" s="22"/>
      <c r="CF706" s="22"/>
      <c r="CG706" s="22"/>
      <c r="CH706" s="22"/>
      <c r="CI706" s="22"/>
      <c r="CJ706" s="149"/>
      <c r="CK706" s="241"/>
    </row>
    <row r="707" spans="1:89" ht="15" customHeight="1" x14ac:dyDescent="0.35">
      <c r="A707" s="17"/>
      <c r="B707" s="313">
        <v>88085</v>
      </c>
      <c r="C707" s="8" t="s">
        <v>926</v>
      </c>
      <c r="D707" s="18">
        <v>8</v>
      </c>
      <c r="E707" s="131"/>
      <c r="F707" s="22"/>
      <c r="G707" s="132"/>
      <c r="H707" s="22"/>
      <c r="I707" s="22"/>
      <c r="J707" s="22"/>
      <c r="K707" s="22"/>
      <c r="L707" s="22"/>
      <c r="M707" s="133"/>
      <c r="N707" s="22"/>
      <c r="O707" s="22"/>
      <c r="P707" s="22"/>
      <c r="Q707" s="20"/>
      <c r="R707" s="20"/>
      <c r="S707" s="20"/>
      <c r="T707" s="20"/>
      <c r="U707" s="20"/>
      <c r="V707" s="20"/>
      <c r="W707" s="20"/>
      <c r="X707" s="20"/>
      <c r="Y707" s="20"/>
      <c r="Z707" s="20"/>
      <c r="AA707" s="20"/>
      <c r="AB707" s="22"/>
      <c r="AC707" s="20"/>
      <c r="AD707" s="20"/>
      <c r="AE707" s="20"/>
      <c r="AF707" s="20" t="s">
        <v>1124</v>
      </c>
      <c r="AG707" s="20" t="s">
        <v>1124</v>
      </c>
      <c r="AH707" s="20" t="s">
        <v>1124</v>
      </c>
      <c r="AI707" s="328"/>
      <c r="AJ707" s="328"/>
      <c r="AK707" s="328"/>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0"/>
      <c r="BY707" s="20"/>
      <c r="BZ707" s="20"/>
      <c r="CA707" s="20"/>
      <c r="CB707" s="20"/>
      <c r="CC707" s="20"/>
      <c r="CD707" s="22"/>
      <c r="CE707" s="22"/>
      <c r="CF707" s="22"/>
      <c r="CG707" s="22"/>
      <c r="CH707" s="22"/>
      <c r="CI707" s="22"/>
      <c r="CJ707" s="149"/>
      <c r="CK707" s="241"/>
    </row>
    <row r="708" spans="1:89" ht="15" customHeight="1" x14ac:dyDescent="0.35">
      <c r="A708" s="17"/>
      <c r="B708" s="313">
        <v>91030</v>
      </c>
      <c r="C708" s="8" t="s">
        <v>942</v>
      </c>
      <c r="D708" s="18">
        <v>2</v>
      </c>
      <c r="E708" s="131" t="s">
        <v>1309</v>
      </c>
      <c r="F708" s="22" t="s">
        <v>1309</v>
      </c>
      <c r="G708" s="132" t="s">
        <v>1309</v>
      </c>
      <c r="H708" s="22" t="s">
        <v>1311</v>
      </c>
      <c r="I708" s="22" t="s">
        <v>1315</v>
      </c>
      <c r="J708" s="22" t="s">
        <v>1315</v>
      </c>
      <c r="K708" s="22" t="s">
        <v>1314</v>
      </c>
      <c r="L708" s="22" t="s">
        <v>1311</v>
      </c>
      <c r="M708" s="133" t="s">
        <v>1311</v>
      </c>
      <c r="N708" s="22" t="s">
        <v>1311</v>
      </c>
      <c r="O708" s="22" t="s">
        <v>1314</v>
      </c>
      <c r="P708" s="22" t="s">
        <v>1318</v>
      </c>
      <c r="Q708" s="20">
        <v>5.492</v>
      </c>
      <c r="R708" s="20">
        <v>5.492</v>
      </c>
      <c r="S708" s="20">
        <v>0</v>
      </c>
      <c r="T708" s="20">
        <v>0</v>
      </c>
      <c r="U708" s="20">
        <v>0</v>
      </c>
      <c r="V708" s="20">
        <v>0</v>
      </c>
      <c r="W708" s="20">
        <v>0</v>
      </c>
      <c r="X708" s="20">
        <v>0</v>
      </c>
      <c r="Y708" s="20">
        <v>0</v>
      </c>
      <c r="Z708" s="20">
        <v>0</v>
      </c>
      <c r="AA708" s="20" t="s">
        <v>1317</v>
      </c>
      <c r="AB708" s="22" t="s">
        <v>1318</v>
      </c>
      <c r="AC708" s="20">
        <v>1</v>
      </c>
      <c r="AD708" s="20">
        <v>1</v>
      </c>
      <c r="AE708" s="20">
        <v>1</v>
      </c>
      <c r="AF708" s="20">
        <v>1</v>
      </c>
      <c r="AG708" s="20">
        <v>1</v>
      </c>
      <c r="AH708" s="20">
        <v>1</v>
      </c>
      <c r="AI708" s="328">
        <v>18.208302986161691</v>
      </c>
      <c r="AJ708" s="328">
        <v>4.6728971962616823</v>
      </c>
      <c r="AK708" s="328">
        <v>4.6728971962616823</v>
      </c>
      <c r="AL708" s="22" t="s">
        <v>1329</v>
      </c>
      <c r="AM708" s="22" t="s">
        <v>1330</v>
      </c>
      <c r="AN708" s="22" t="s">
        <v>1317</v>
      </c>
      <c r="AO708" s="22" t="s">
        <v>1318</v>
      </c>
      <c r="AP708" s="22" t="s">
        <v>1318</v>
      </c>
      <c r="AQ708" s="22" t="s">
        <v>1318</v>
      </c>
      <c r="AR708" s="22" t="s">
        <v>1317</v>
      </c>
      <c r="AS708" s="22" t="s">
        <v>1318</v>
      </c>
      <c r="AT708" s="22" t="s">
        <v>1317</v>
      </c>
      <c r="AU708" s="22" t="s">
        <v>1311</v>
      </c>
      <c r="AV708" s="22" t="s">
        <v>1317</v>
      </c>
      <c r="AW708" s="22" t="s">
        <v>1318</v>
      </c>
      <c r="AX708" s="22" t="s">
        <v>1317</v>
      </c>
      <c r="AY708" s="22" t="s">
        <v>1318</v>
      </c>
      <c r="AZ708" s="22" t="s">
        <v>1309</v>
      </c>
      <c r="BA708" s="22" t="s">
        <v>1309</v>
      </c>
      <c r="BB708" s="22" t="s">
        <v>1309</v>
      </c>
      <c r="BC708" s="22" t="s">
        <v>1309</v>
      </c>
      <c r="BD708" s="22" t="s">
        <v>1317</v>
      </c>
      <c r="BE708" s="22" t="s">
        <v>1318</v>
      </c>
      <c r="BF708" s="22" t="s">
        <v>1317</v>
      </c>
      <c r="BG708" s="22" t="s">
        <v>1318</v>
      </c>
      <c r="BH708" s="22" t="s">
        <v>1317</v>
      </c>
      <c r="BI708" s="22" t="s">
        <v>1318</v>
      </c>
      <c r="BJ708" s="22" t="s">
        <v>1309</v>
      </c>
      <c r="BK708" s="22" t="s">
        <v>1309</v>
      </c>
      <c r="BL708" s="22" t="s">
        <v>1317</v>
      </c>
      <c r="BM708" s="22" t="s">
        <v>1318</v>
      </c>
      <c r="BN708" s="22" t="s">
        <v>1309</v>
      </c>
      <c r="BO708" s="22" t="s">
        <v>1309</v>
      </c>
      <c r="BP708" s="22" t="s">
        <v>1309</v>
      </c>
      <c r="BQ708" s="22" t="s">
        <v>1309</v>
      </c>
      <c r="BR708" s="22" t="s">
        <v>1309</v>
      </c>
      <c r="BS708" s="22" t="s">
        <v>1309</v>
      </c>
      <c r="BT708" s="22" t="s">
        <v>1309</v>
      </c>
      <c r="BU708" s="22" t="s">
        <v>1309</v>
      </c>
      <c r="BV708" s="22" t="s">
        <v>1317</v>
      </c>
      <c r="BW708" s="22" t="s">
        <v>1318</v>
      </c>
      <c r="BX708" s="20">
        <v>0</v>
      </c>
      <c r="BY708" s="20">
        <v>0</v>
      </c>
      <c r="BZ708" s="20">
        <v>12</v>
      </c>
      <c r="CA708" s="20">
        <v>0</v>
      </c>
      <c r="CB708" s="20">
        <v>0</v>
      </c>
      <c r="CC708" s="20">
        <v>202</v>
      </c>
      <c r="CD708" s="22" t="s">
        <v>1317</v>
      </c>
      <c r="CE708" s="22" t="s">
        <v>1318</v>
      </c>
      <c r="CF708" s="22" t="s">
        <v>1317</v>
      </c>
      <c r="CG708" s="22" t="s">
        <v>1318</v>
      </c>
      <c r="CH708" s="22" t="s">
        <v>1317</v>
      </c>
      <c r="CI708" s="22" t="s">
        <v>1318</v>
      </c>
      <c r="CJ708" s="149" t="s">
        <v>1124</v>
      </c>
      <c r="CK708" s="241" t="s">
        <v>1358</v>
      </c>
    </row>
    <row r="709" spans="1:89" ht="15" customHeight="1" x14ac:dyDescent="0.35">
      <c r="A709" s="17"/>
      <c r="B709" s="313">
        <v>54095</v>
      </c>
      <c r="C709" s="8" t="s">
        <v>552</v>
      </c>
      <c r="D709" s="18">
        <v>16</v>
      </c>
      <c r="E709" s="131" t="s">
        <v>1309</v>
      </c>
      <c r="F709" s="22" t="s">
        <v>1309</v>
      </c>
      <c r="G709" s="132" t="s">
        <v>1309</v>
      </c>
      <c r="H709" s="22" t="s">
        <v>1311</v>
      </c>
      <c r="I709" s="22" t="s">
        <v>1327</v>
      </c>
      <c r="J709" s="22" t="s">
        <v>1315</v>
      </c>
      <c r="K709" s="22" t="s">
        <v>1314</v>
      </c>
      <c r="L709" s="22" t="s">
        <v>1311</v>
      </c>
      <c r="M709" s="133" t="s">
        <v>1311</v>
      </c>
      <c r="N709" s="22" t="s">
        <v>1311</v>
      </c>
      <c r="O709" s="22" t="s">
        <v>1309</v>
      </c>
      <c r="P709" s="22" t="s">
        <v>1309</v>
      </c>
      <c r="Q709" s="20">
        <v>0</v>
      </c>
      <c r="R709" s="20">
        <v>0</v>
      </c>
      <c r="S709" s="20">
        <v>0</v>
      </c>
      <c r="T709" s="20">
        <v>0</v>
      </c>
      <c r="U709" s="20">
        <v>0</v>
      </c>
      <c r="V709" s="20">
        <v>0</v>
      </c>
      <c r="W709" s="20">
        <v>0</v>
      </c>
      <c r="X709" s="20">
        <v>0</v>
      </c>
      <c r="Y709" s="20">
        <v>0</v>
      </c>
      <c r="Z709" s="20">
        <v>0</v>
      </c>
      <c r="AA709" s="20" t="s">
        <v>1315</v>
      </c>
      <c r="AB709" s="22" t="s">
        <v>1315</v>
      </c>
      <c r="AC709" s="20">
        <v>0</v>
      </c>
      <c r="AD709" s="20">
        <v>0</v>
      </c>
      <c r="AE709" s="20">
        <v>2</v>
      </c>
      <c r="AF709" s="20">
        <v>0</v>
      </c>
      <c r="AG709" s="20">
        <v>0</v>
      </c>
      <c r="AH709" s="20">
        <v>1</v>
      </c>
      <c r="AI709" s="328" t="s">
        <v>1328</v>
      </c>
      <c r="AJ709" s="328" t="s">
        <v>1328</v>
      </c>
      <c r="AK709" s="328">
        <v>4.2016806722689077</v>
      </c>
      <c r="AL709" s="22" t="s">
        <v>1329</v>
      </c>
      <c r="AM709" s="22" t="s">
        <v>1330</v>
      </c>
      <c r="AN709" s="22" t="s">
        <v>1317</v>
      </c>
      <c r="AO709" s="22" t="s">
        <v>1318</v>
      </c>
      <c r="AP709" s="22" t="s">
        <v>1318</v>
      </c>
      <c r="AQ709" s="22" t="s">
        <v>1318</v>
      </c>
      <c r="AR709" s="22" t="s">
        <v>1317</v>
      </c>
      <c r="AS709" s="22" t="s">
        <v>1318</v>
      </c>
      <c r="AT709" s="22" t="s">
        <v>1317</v>
      </c>
      <c r="AU709" s="22" t="s">
        <v>1318</v>
      </c>
      <c r="AV709" s="22" t="s">
        <v>1317</v>
      </c>
      <c r="AW709" s="22" t="s">
        <v>1318</v>
      </c>
      <c r="AX709" s="22" t="s">
        <v>1317</v>
      </c>
      <c r="AY709" s="22" t="s">
        <v>1318</v>
      </c>
      <c r="AZ709" s="22" t="s">
        <v>1309</v>
      </c>
      <c r="BA709" s="22" t="s">
        <v>1311</v>
      </c>
      <c r="BB709" s="22" t="s">
        <v>1317</v>
      </c>
      <c r="BC709" s="22" t="s">
        <v>1318</v>
      </c>
      <c r="BD709" s="22" t="s">
        <v>1309</v>
      </c>
      <c r="BE709" s="22" t="s">
        <v>1309</v>
      </c>
      <c r="BF709" s="22" t="s">
        <v>1309</v>
      </c>
      <c r="BG709" s="22" t="s">
        <v>1309</v>
      </c>
      <c r="BH709" s="22" t="s">
        <v>1309</v>
      </c>
      <c r="BI709" s="22" t="s">
        <v>1309</v>
      </c>
      <c r="BJ709" s="22" t="s">
        <v>1309</v>
      </c>
      <c r="BK709" s="22" t="s">
        <v>1309</v>
      </c>
      <c r="BL709" s="22" t="s">
        <v>1309</v>
      </c>
      <c r="BM709" s="22" t="s">
        <v>1309</v>
      </c>
      <c r="BN709" s="22" t="s">
        <v>1309</v>
      </c>
      <c r="BO709" s="22" t="s">
        <v>1309</v>
      </c>
      <c r="BP709" s="22" t="s">
        <v>1315</v>
      </c>
      <c r="BQ709" s="22" t="s">
        <v>1315</v>
      </c>
      <c r="BR709" s="22" t="s">
        <v>1309</v>
      </c>
      <c r="BS709" s="22" t="s">
        <v>1309</v>
      </c>
      <c r="BT709" s="22" t="s">
        <v>1309</v>
      </c>
      <c r="BU709" s="22" t="s">
        <v>1309</v>
      </c>
      <c r="BV709" s="22" t="s">
        <v>1309</v>
      </c>
      <c r="BW709" s="22" t="s">
        <v>1309</v>
      </c>
      <c r="BX709" s="20">
        <v>47</v>
      </c>
      <c r="BY709" s="20">
        <v>0</v>
      </c>
      <c r="BZ709" s="20">
        <v>10</v>
      </c>
      <c r="CA709" s="20">
        <v>0</v>
      </c>
      <c r="CB709" s="20">
        <v>0</v>
      </c>
      <c r="CC709" s="20">
        <v>419</v>
      </c>
      <c r="CD709" s="22" t="s">
        <v>1345</v>
      </c>
      <c r="CE709" s="22" t="s">
        <v>1318</v>
      </c>
      <c r="CF709" s="22" t="s">
        <v>1317</v>
      </c>
      <c r="CG709" s="22" t="s">
        <v>1318</v>
      </c>
      <c r="CH709" s="22" t="s">
        <v>1317</v>
      </c>
      <c r="CI709" s="22" t="s">
        <v>1318</v>
      </c>
      <c r="CJ709" s="149" t="s">
        <v>1124</v>
      </c>
      <c r="CK709" s="241" t="s">
        <v>2890</v>
      </c>
    </row>
    <row r="710" spans="1:89" ht="15" customHeight="1" x14ac:dyDescent="0.35">
      <c r="A710" s="17"/>
      <c r="B710" s="313">
        <v>39035</v>
      </c>
      <c r="C710" s="8" t="s">
        <v>343</v>
      </c>
      <c r="D710" s="18">
        <v>17</v>
      </c>
      <c r="E710" s="131"/>
      <c r="F710" s="22"/>
      <c r="G710" s="132"/>
      <c r="H710" s="22"/>
      <c r="I710" s="22"/>
      <c r="J710" s="22"/>
      <c r="K710" s="22"/>
      <c r="L710" s="22"/>
      <c r="M710" s="133"/>
      <c r="N710" s="22"/>
      <c r="O710" s="22"/>
      <c r="P710" s="22"/>
      <c r="Q710" s="20"/>
      <c r="R710" s="20"/>
      <c r="S710" s="20"/>
      <c r="T710" s="20"/>
      <c r="U710" s="20"/>
      <c r="V710" s="20"/>
      <c r="W710" s="20"/>
      <c r="X710" s="20"/>
      <c r="Y710" s="20"/>
      <c r="Z710" s="20"/>
      <c r="AA710" s="20"/>
      <c r="AB710" s="22"/>
      <c r="AC710" s="20"/>
      <c r="AD710" s="20"/>
      <c r="AE710" s="20"/>
      <c r="AF710" s="20" t="s">
        <v>1124</v>
      </c>
      <c r="AG710" s="20" t="s">
        <v>1124</v>
      </c>
      <c r="AH710" s="20" t="s">
        <v>1124</v>
      </c>
      <c r="AI710" s="328"/>
      <c r="AJ710" s="328"/>
      <c r="AK710" s="328"/>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0"/>
      <c r="BY710" s="20"/>
      <c r="BZ710" s="20"/>
      <c r="CA710" s="20"/>
      <c r="CB710" s="20"/>
      <c r="CC710" s="20"/>
      <c r="CD710" s="22"/>
      <c r="CE710" s="22"/>
      <c r="CF710" s="22"/>
      <c r="CG710" s="22"/>
      <c r="CH710" s="22"/>
      <c r="CI710" s="22"/>
      <c r="CJ710" s="149"/>
      <c r="CK710" s="241"/>
    </row>
    <row r="711" spans="1:89" ht="15" customHeight="1" x14ac:dyDescent="0.35">
      <c r="A711" s="17"/>
      <c r="B711" s="313">
        <v>14025</v>
      </c>
      <c r="C711" s="8" t="s">
        <v>63</v>
      </c>
      <c r="D711" s="18">
        <v>1</v>
      </c>
      <c r="E711" s="131" t="s">
        <v>1309</v>
      </c>
      <c r="F711" s="22" t="s">
        <v>1309</v>
      </c>
      <c r="G711" s="132" t="s">
        <v>1309</v>
      </c>
      <c r="H711" s="22" t="s">
        <v>1311</v>
      </c>
      <c r="I711" s="22" t="s">
        <v>1327</v>
      </c>
      <c r="J711" s="22" t="s">
        <v>1327</v>
      </c>
      <c r="K711" s="22" t="s">
        <v>1314</v>
      </c>
      <c r="L711" s="22" t="s">
        <v>1311</v>
      </c>
      <c r="M711" s="133" t="s">
        <v>1311</v>
      </c>
      <c r="N711" s="22" t="s">
        <v>1311</v>
      </c>
      <c r="O711" s="22" t="s">
        <v>1309</v>
      </c>
      <c r="P711" s="22" t="s">
        <v>1309</v>
      </c>
      <c r="Q711" s="20">
        <v>0</v>
      </c>
      <c r="R711" s="20">
        <v>0</v>
      </c>
      <c r="S711" s="20">
        <v>0</v>
      </c>
      <c r="T711" s="20">
        <v>3.5</v>
      </c>
      <c r="U711" s="20">
        <v>0</v>
      </c>
      <c r="V711" s="20">
        <v>0</v>
      </c>
      <c r="W711" s="20">
        <v>0</v>
      </c>
      <c r="X711" s="20">
        <v>0</v>
      </c>
      <c r="Y711" s="20">
        <v>0</v>
      </c>
      <c r="Z711" s="20">
        <v>0</v>
      </c>
      <c r="AA711" s="20" t="s">
        <v>1317</v>
      </c>
      <c r="AB711" s="22" t="s">
        <v>1318</v>
      </c>
      <c r="AC711" s="20">
        <v>0</v>
      </c>
      <c r="AD711" s="20">
        <v>0</v>
      </c>
      <c r="AE711" s="20">
        <v>0</v>
      </c>
      <c r="AF711" s="20">
        <v>0</v>
      </c>
      <c r="AG711" s="20">
        <v>0</v>
      </c>
      <c r="AH711" s="20">
        <v>0</v>
      </c>
      <c r="AI711" s="328" t="s">
        <v>1328</v>
      </c>
      <c r="AJ711" s="328" t="s">
        <v>1328</v>
      </c>
      <c r="AK711" s="328" t="s">
        <v>1328</v>
      </c>
      <c r="AL711" s="22" t="s">
        <v>1329</v>
      </c>
      <c r="AM711" s="22" t="s">
        <v>1330</v>
      </c>
      <c r="AN711" s="22" t="s">
        <v>1317</v>
      </c>
      <c r="AO711" s="22" t="s">
        <v>1318</v>
      </c>
      <c r="AP711" s="22" t="s">
        <v>1318</v>
      </c>
      <c r="AQ711" s="22" t="s">
        <v>1318</v>
      </c>
      <c r="AR711" s="22" t="s">
        <v>1317</v>
      </c>
      <c r="AS711" s="22" t="s">
        <v>1318</v>
      </c>
      <c r="AT711" s="22" t="s">
        <v>1317</v>
      </c>
      <c r="AU711" s="22" t="s">
        <v>1318</v>
      </c>
      <c r="AV711" s="22" t="s">
        <v>1317</v>
      </c>
      <c r="AW711" s="22" t="s">
        <v>1311</v>
      </c>
      <c r="AX711" s="22" t="s">
        <v>1317</v>
      </c>
      <c r="AY711" s="22" t="s">
        <v>1318</v>
      </c>
      <c r="AZ711" s="22" t="s">
        <v>1317</v>
      </c>
      <c r="BA711" s="22" t="s">
        <v>1318</v>
      </c>
      <c r="BB711" s="22" t="s">
        <v>1309</v>
      </c>
      <c r="BC711" s="22" t="s">
        <v>1309</v>
      </c>
      <c r="BD711" s="22" t="s">
        <v>1309</v>
      </c>
      <c r="BE711" s="22" t="s">
        <v>1309</v>
      </c>
      <c r="BF711" s="22" t="s">
        <v>1317</v>
      </c>
      <c r="BG711" s="22" t="s">
        <v>1318</v>
      </c>
      <c r="BH711" s="22" t="s">
        <v>1309</v>
      </c>
      <c r="BI711" s="22" t="s">
        <v>1309</v>
      </c>
      <c r="BJ711" s="22" t="s">
        <v>1317</v>
      </c>
      <c r="BK711" s="22" t="s">
        <v>1318</v>
      </c>
      <c r="BL711" s="22" t="s">
        <v>1317</v>
      </c>
      <c r="BM711" s="22" t="s">
        <v>1318</v>
      </c>
      <c r="BN711" s="22" t="s">
        <v>1317</v>
      </c>
      <c r="BO711" s="22" t="s">
        <v>1318</v>
      </c>
      <c r="BP711" s="22" t="s">
        <v>1309</v>
      </c>
      <c r="BQ711" s="22" t="s">
        <v>1309</v>
      </c>
      <c r="BR711" s="22" t="s">
        <v>1317</v>
      </c>
      <c r="BS711" s="22" t="s">
        <v>1318</v>
      </c>
      <c r="BT711" s="22" t="s">
        <v>1317</v>
      </c>
      <c r="BU711" s="22" t="s">
        <v>1318</v>
      </c>
      <c r="BV711" s="22" t="s">
        <v>1317</v>
      </c>
      <c r="BW711" s="22" t="s">
        <v>1318</v>
      </c>
      <c r="BX711" s="20">
        <v>1</v>
      </c>
      <c r="BY711" s="20">
        <v>0</v>
      </c>
      <c r="BZ711" s="20">
        <v>12</v>
      </c>
      <c r="CA711" s="20">
        <v>0</v>
      </c>
      <c r="CB711" s="20">
        <v>0</v>
      </c>
      <c r="CC711" s="20">
        <v>227</v>
      </c>
      <c r="CD711" s="22" t="s">
        <v>1317</v>
      </c>
      <c r="CE711" s="22" t="s">
        <v>1318</v>
      </c>
      <c r="CF711" s="22" t="s">
        <v>1317</v>
      </c>
      <c r="CG711" s="22" t="s">
        <v>1318</v>
      </c>
      <c r="CH711" s="22" t="s">
        <v>1317</v>
      </c>
      <c r="CI711" s="22" t="s">
        <v>1318</v>
      </c>
      <c r="CJ711" s="149" t="s">
        <v>1124</v>
      </c>
      <c r="CK711" s="241" t="s">
        <v>1124</v>
      </c>
    </row>
    <row r="712" spans="1:89" ht="15" customHeight="1" x14ac:dyDescent="0.35">
      <c r="A712" s="17"/>
      <c r="B712" s="313">
        <v>87070</v>
      </c>
      <c r="C712" s="8" t="s">
        <v>900</v>
      </c>
      <c r="D712" s="18">
        <v>8</v>
      </c>
      <c r="E712" s="131"/>
      <c r="F712" s="22"/>
      <c r="G712" s="132"/>
      <c r="H712" s="22"/>
      <c r="I712" s="22"/>
      <c r="J712" s="22"/>
      <c r="K712" s="22"/>
      <c r="L712" s="22"/>
      <c r="M712" s="133"/>
      <c r="N712" s="22"/>
      <c r="O712" s="22"/>
      <c r="P712" s="22"/>
      <c r="Q712" s="20"/>
      <c r="R712" s="20"/>
      <c r="S712" s="20"/>
      <c r="T712" s="20"/>
      <c r="U712" s="20"/>
      <c r="V712" s="20"/>
      <c r="W712" s="20"/>
      <c r="X712" s="20"/>
      <c r="Y712" s="20"/>
      <c r="Z712" s="20"/>
      <c r="AA712" s="20"/>
      <c r="AB712" s="22"/>
      <c r="AC712" s="20"/>
      <c r="AD712" s="20"/>
      <c r="AE712" s="20"/>
      <c r="AF712" s="20" t="s">
        <v>1124</v>
      </c>
      <c r="AG712" s="20" t="s">
        <v>1124</v>
      </c>
      <c r="AH712" s="20" t="s">
        <v>1124</v>
      </c>
      <c r="AI712" s="328"/>
      <c r="AJ712" s="328"/>
      <c r="AK712" s="328"/>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0"/>
      <c r="BY712" s="20"/>
      <c r="BZ712" s="20"/>
      <c r="CA712" s="20"/>
      <c r="CB712" s="20"/>
      <c r="CC712" s="20"/>
      <c r="CD712" s="22"/>
      <c r="CE712" s="22"/>
      <c r="CF712" s="22"/>
      <c r="CG712" s="22"/>
      <c r="CH712" s="22"/>
      <c r="CI712" s="22"/>
      <c r="CJ712" s="149"/>
      <c r="CK712" s="241"/>
    </row>
    <row r="713" spans="1:89" ht="15" customHeight="1" x14ac:dyDescent="0.35">
      <c r="A713" s="17"/>
      <c r="B713" s="313">
        <v>26040</v>
      </c>
      <c r="C713" s="8" t="s">
        <v>173</v>
      </c>
      <c r="D713" s="18">
        <v>12</v>
      </c>
      <c r="E713" s="131" t="s">
        <v>1309</v>
      </c>
      <c r="F713" s="22" t="s">
        <v>1309</v>
      </c>
      <c r="G713" s="132" t="s">
        <v>1309</v>
      </c>
      <c r="H713" s="22" t="s">
        <v>1311</v>
      </c>
      <c r="I713" s="22" t="s">
        <v>1327</v>
      </c>
      <c r="J713" s="22" t="s">
        <v>1327</v>
      </c>
      <c r="K713" s="22" t="s">
        <v>1309</v>
      </c>
      <c r="L713" s="22" t="s">
        <v>1309</v>
      </c>
      <c r="M713" s="133" t="s">
        <v>1311</v>
      </c>
      <c r="N713" s="22" t="s">
        <v>1311</v>
      </c>
      <c r="O713" s="22" t="s">
        <v>1314</v>
      </c>
      <c r="P713" s="22" t="s">
        <v>1318</v>
      </c>
      <c r="Q713" s="20">
        <v>0</v>
      </c>
      <c r="R713" s="20">
        <v>0</v>
      </c>
      <c r="S713" s="20">
        <v>6.915</v>
      </c>
      <c r="T713" s="20">
        <v>6.915</v>
      </c>
      <c r="U713" s="20">
        <v>3</v>
      </c>
      <c r="V713" s="20">
        <v>3</v>
      </c>
      <c r="W713" s="20">
        <v>0</v>
      </c>
      <c r="X713" s="20">
        <v>0</v>
      </c>
      <c r="Y713" s="20">
        <v>0</v>
      </c>
      <c r="Z713" s="20">
        <v>0</v>
      </c>
      <c r="AA713" s="20" t="s">
        <v>1317</v>
      </c>
      <c r="AB713" s="22" t="s">
        <v>1318</v>
      </c>
      <c r="AC713" s="20">
        <v>4</v>
      </c>
      <c r="AD713" s="20">
        <v>4</v>
      </c>
      <c r="AE713" s="20">
        <v>1</v>
      </c>
      <c r="AF713" s="20">
        <v>2</v>
      </c>
      <c r="AG713" s="20">
        <v>2</v>
      </c>
      <c r="AH713" s="20">
        <v>2</v>
      </c>
      <c r="AI713" s="328">
        <v>57.273768613974802</v>
      </c>
      <c r="AJ713" s="328">
        <v>11.976047904191617</v>
      </c>
      <c r="AK713" s="328">
        <v>2.9940119760479043</v>
      </c>
      <c r="AL713" s="22" t="s">
        <v>1329</v>
      </c>
      <c r="AM713" s="22" t="s">
        <v>1330</v>
      </c>
      <c r="AN713" s="22" t="s">
        <v>1317</v>
      </c>
      <c r="AO713" s="22" t="s">
        <v>1318</v>
      </c>
      <c r="AP713" s="22" t="s">
        <v>1318</v>
      </c>
      <c r="AQ713" s="22" t="s">
        <v>1318</v>
      </c>
      <c r="AR713" s="22" t="s">
        <v>1317</v>
      </c>
      <c r="AS713" s="22" t="s">
        <v>1318</v>
      </c>
      <c r="AT713" s="22" t="s">
        <v>1317</v>
      </c>
      <c r="AU713" s="22" t="s">
        <v>1318</v>
      </c>
      <c r="AV713" s="22" t="s">
        <v>1317</v>
      </c>
      <c r="AW713" s="22" t="s">
        <v>1318</v>
      </c>
      <c r="AX713" s="22" t="s">
        <v>1317</v>
      </c>
      <c r="AY713" s="22" t="s">
        <v>1318</v>
      </c>
      <c r="AZ713" s="22" t="s">
        <v>1309</v>
      </c>
      <c r="BA713" s="22" t="s">
        <v>1309</v>
      </c>
      <c r="BB713" s="22" t="s">
        <v>1309</v>
      </c>
      <c r="BC713" s="22" t="s">
        <v>1309</v>
      </c>
      <c r="BD713" s="22" t="s">
        <v>1309</v>
      </c>
      <c r="BE713" s="22" t="s">
        <v>1309</v>
      </c>
      <c r="BF713" s="22" t="s">
        <v>1317</v>
      </c>
      <c r="BG713" s="22" t="s">
        <v>1318</v>
      </c>
      <c r="BH713" s="22" t="s">
        <v>1309</v>
      </c>
      <c r="BI713" s="22" t="s">
        <v>1309</v>
      </c>
      <c r="BJ713" s="22" t="s">
        <v>1309</v>
      </c>
      <c r="BK713" s="22" t="s">
        <v>1309</v>
      </c>
      <c r="BL713" s="22" t="s">
        <v>1317</v>
      </c>
      <c r="BM713" s="22" t="s">
        <v>1318</v>
      </c>
      <c r="BN713" s="22" t="s">
        <v>1309</v>
      </c>
      <c r="BO713" s="22" t="s">
        <v>1309</v>
      </c>
      <c r="BP713" s="22" t="s">
        <v>1309</v>
      </c>
      <c r="BQ713" s="22" t="s">
        <v>1309</v>
      </c>
      <c r="BR713" s="22" t="s">
        <v>1309</v>
      </c>
      <c r="BS713" s="22" t="s">
        <v>1309</v>
      </c>
      <c r="BT713" s="22" t="s">
        <v>1309</v>
      </c>
      <c r="BU713" s="22" t="s">
        <v>1309</v>
      </c>
      <c r="BV713" s="22" t="s">
        <v>1309</v>
      </c>
      <c r="BW713" s="22" t="s">
        <v>1309</v>
      </c>
      <c r="BX713" s="20">
        <v>4</v>
      </c>
      <c r="BY713" s="20">
        <v>0</v>
      </c>
      <c r="BZ713" s="20">
        <v>30</v>
      </c>
      <c r="CA713" s="20">
        <v>0</v>
      </c>
      <c r="CB713" s="20">
        <v>0</v>
      </c>
      <c r="CC713" s="20">
        <v>300</v>
      </c>
      <c r="CD713" s="22" t="s">
        <v>1317</v>
      </c>
      <c r="CE713" s="22" t="s">
        <v>1318</v>
      </c>
      <c r="CF713" s="22" t="s">
        <v>1317</v>
      </c>
      <c r="CG713" s="22" t="s">
        <v>1318</v>
      </c>
      <c r="CH713" s="22" t="s">
        <v>1317</v>
      </c>
      <c r="CI713" s="22" t="s">
        <v>1318</v>
      </c>
      <c r="CJ713" s="149" t="s">
        <v>1124</v>
      </c>
      <c r="CK713" s="241" t="s">
        <v>1679</v>
      </c>
    </row>
    <row r="714" spans="1:89" ht="15" customHeight="1" x14ac:dyDescent="0.35">
      <c r="A714" s="17"/>
      <c r="B714" s="313">
        <v>7040</v>
      </c>
      <c r="C714" s="8" t="s">
        <v>1074</v>
      </c>
      <c r="D714" s="18">
        <v>1</v>
      </c>
      <c r="E714" s="131" t="s">
        <v>1309</v>
      </c>
      <c r="F714" s="22" t="s">
        <v>1309</v>
      </c>
      <c r="G714" s="132" t="s">
        <v>1309</v>
      </c>
      <c r="H714" s="22" t="s">
        <v>1311</v>
      </c>
      <c r="I714" s="22" t="s">
        <v>1312</v>
      </c>
      <c r="J714" s="22" t="s">
        <v>1327</v>
      </c>
      <c r="K714" s="22" t="s">
        <v>1314</v>
      </c>
      <c r="L714" s="22" t="s">
        <v>1311</v>
      </c>
      <c r="M714" s="133" t="s">
        <v>1311</v>
      </c>
      <c r="N714" s="22" t="s">
        <v>1311</v>
      </c>
      <c r="O714" s="22" t="s">
        <v>1314</v>
      </c>
      <c r="P714" s="22" t="s">
        <v>1318</v>
      </c>
      <c r="Q714" s="20">
        <v>0</v>
      </c>
      <c r="R714" s="20">
        <v>0</v>
      </c>
      <c r="S714" s="20">
        <v>0</v>
      </c>
      <c r="T714" s="20">
        <v>0</v>
      </c>
      <c r="U714" s="20">
        <v>10.050000000000001</v>
      </c>
      <c r="V714" s="20">
        <v>8.0250000000000004</v>
      </c>
      <c r="W714" s="20">
        <v>0</v>
      </c>
      <c r="X714" s="20">
        <v>0</v>
      </c>
      <c r="Y714" s="20">
        <v>0</v>
      </c>
      <c r="Z714" s="20">
        <v>0</v>
      </c>
      <c r="AA714" s="20" t="s">
        <v>1309</v>
      </c>
      <c r="AB714" s="22" t="s">
        <v>1309</v>
      </c>
      <c r="AC714" s="20">
        <v>0</v>
      </c>
      <c r="AD714" s="20">
        <v>5</v>
      </c>
      <c r="AE714" s="20">
        <v>1</v>
      </c>
      <c r="AF714" s="20">
        <v>0</v>
      </c>
      <c r="AG714" s="20">
        <v>3</v>
      </c>
      <c r="AH714" s="20">
        <v>3</v>
      </c>
      <c r="AI714" s="328" t="s">
        <v>1328</v>
      </c>
      <c r="AJ714" s="328">
        <v>27.027027027027028</v>
      </c>
      <c r="AK714" s="328">
        <v>5.4054054054054053</v>
      </c>
      <c r="AL714" s="22" t="s">
        <v>1329</v>
      </c>
      <c r="AM714" s="22" t="s">
        <v>1330</v>
      </c>
      <c r="AN714" s="22" t="s">
        <v>1317</v>
      </c>
      <c r="AO714" s="22" t="s">
        <v>1318</v>
      </c>
      <c r="AP714" s="22" t="s">
        <v>1318</v>
      </c>
      <c r="AQ714" s="22" t="s">
        <v>1318</v>
      </c>
      <c r="AR714" s="22" t="s">
        <v>1317</v>
      </c>
      <c r="AS714" s="22" t="s">
        <v>1318</v>
      </c>
      <c r="AT714" s="22" t="s">
        <v>1309</v>
      </c>
      <c r="AU714" s="22" t="s">
        <v>1309</v>
      </c>
      <c r="AV714" s="22" t="s">
        <v>1317</v>
      </c>
      <c r="AW714" s="22" t="s">
        <v>1318</v>
      </c>
      <c r="AX714" s="22" t="s">
        <v>1317</v>
      </c>
      <c r="AY714" s="22" t="s">
        <v>1318</v>
      </c>
      <c r="AZ714" s="22" t="s">
        <v>1317</v>
      </c>
      <c r="BA714" s="22" t="s">
        <v>1311</v>
      </c>
      <c r="BB714" s="22" t="s">
        <v>1309</v>
      </c>
      <c r="BC714" s="22" t="s">
        <v>1309</v>
      </c>
      <c r="BD714" s="22" t="s">
        <v>1317</v>
      </c>
      <c r="BE714" s="22" t="s">
        <v>1318</v>
      </c>
      <c r="BF714" s="22" t="s">
        <v>1317</v>
      </c>
      <c r="BG714" s="22" t="s">
        <v>1318</v>
      </c>
      <c r="BH714" s="22" t="s">
        <v>1309</v>
      </c>
      <c r="BI714" s="22" t="s">
        <v>1309</v>
      </c>
      <c r="BJ714" s="22" t="s">
        <v>1317</v>
      </c>
      <c r="BK714" s="22" t="s">
        <v>1318</v>
      </c>
      <c r="BL714" s="22" t="s">
        <v>1317</v>
      </c>
      <c r="BM714" s="22" t="s">
        <v>1318</v>
      </c>
      <c r="BN714" s="22" t="s">
        <v>1309</v>
      </c>
      <c r="BO714" s="22" t="s">
        <v>1309</v>
      </c>
      <c r="BP714" s="22" t="s">
        <v>1315</v>
      </c>
      <c r="BQ714" s="22" t="s">
        <v>1315</v>
      </c>
      <c r="BR714" s="22" t="s">
        <v>1309</v>
      </c>
      <c r="BS714" s="22" t="s">
        <v>1309</v>
      </c>
      <c r="BT714" s="22" t="s">
        <v>1315</v>
      </c>
      <c r="BU714" s="22" t="s">
        <v>1315</v>
      </c>
      <c r="BV714" s="22" t="s">
        <v>1309</v>
      </c>
      <c r="BW714" s="22" t="s">
        <v>1309</v>
      </c>
      <c r="BX714" s="20">
        <v>0</v>
      </c>
      <c r="BY714" s="20">
        <v>0</v>
      </c>
      <c r="BZ714" s="20">
        <v>8</v>
      </c>
      <c r="CA714" s="20">
        <v>0</v>
      </c>
      <c r="CB714" s="20">
        <v>0</v>
      </c>
      <c r="CC714" s="20">
        <v>177</v>
      </c>
      <c r="CD714" s="22" t="s">
        <v>1317</v>
      </c>
      <c r="CE714" s="22" t="s">
        <v>1318</v>
      </c>
      <c r="CF714" s="22" t="s">
        <v>1317</v>
      </c>
      <c r="CG714" s="22" t="s">
        <v>1318</v>
      </c>
      <c r="CH714" s="22" t="s">
        <v>1317</v>
      </c>
      <c r="CI714" s="22" t="s">
        <v>1318</v>
      </c>
      <c r="CJ714" s="149" t="s">
        <v>1124</v>
      </c>
      <c r="CK714" s="241" t="s">
        <v>2901</v>
      </c>
    </row>
    <row r="715" spans="1:89" ht="15" customHeight="1" x14ac:dyDescent="0.35">
      <c r="A715" s="17"/>
      <c r="B715" s="313">
        <v>9020</v>
      </c>
      <c r="C715" s="8" t="s">
        <v>1100</v>
      </c>
      <c r="D715" s="18">
        <v>1</v>
      </c>
      <c r="E715" s="131"/>
      <c r="F715" s="22"/>
      <c r="G715" s="132"/>
      <c r="H715" s="22"/>
      <c r="I715" s="22"/>
      <c r="J715" s="22"/>
      <c r="K715" s="22"/>
      <c r="L715" s="22"/>
      <c r="M715" s="133"/>
      <c r="N715" s="22"/>
      <c r="O715" s="22"/>
      <c r="P715" s="22"/>
      <c r="Q715" s="20"/>
      <c r="R715" s="20"/>
      <c r="S715" s="20"/>
      <c r="T715" s="20"/>
      <c r="U715" s="20"/>
      <c r="V715" s="20"/>
      <c r="W715" s="20"/>
      <c r="X715" s="20"/>
      <c r="Y715" s="20"/>
      <c r="Z715" s="20"/>
      <c r="AA715" s="20"/>
      <c r="AB715" s="22"/>
      <c r="AC715" s="20"/>
      <c r="AD715" s="20"/>
      <c r="AE715" s="20"/>
      <c r="AF715" s="20" t="s">
        <v>1124</v>
      </c>
      <c r="AG715" s="20" t="s">
        <v>1124</v>
      </c>
      <c r="AH715" s="20" t="s">
        <v>1124</v>
      </c>
      <c r="AI715" s="328"/>
      <c r="AJ715" s="328"/>
      <c r="AK715" s="328"/>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0"/>
      <c r="BY715" s="20"/>
      <c r="BZ715" s="20"/>
      <c r="CA715" s="20"/>
      <c r="CB715" s="20"/>
      <c r="CC715" s="20"/>
      <c r="CD715" s="22"/>
      <c r="CE715" s="22"/>
      <c r="CF715" s="22"/>
      <c r="CG715" s="22"/>
      <c r="CH715" s="22"/>
      <c r="CI715" s="22"/>
      <c r="CJ715" s="149"/>
      <c r="CK715" s="241"/>
    </row>
    <row r="716" spans="1:89" ht="15" customHeight="1" x14ac:dyDescent="0.35">
      <c r="A716" s="17"/>
      <c r="B716" s="313">
        <v>92015</v>
      </c>
      <c r="C716" s="8" t="s">
        <v>948</v>
      </c>
      <c r="D716" s="18">
        <v>2</v>
      </c>
      <c r="E716" s="131"/>
      <c r="F716" s="22"/>
      <c r="G716" s="132"/>
      <c r="H716" s="22"/>
      <c r="I716" s="22"/>
      <c r="J716" s="22"/>
      <c r="K716" s="22"/>
      <c r="L716" s="22"/>
      <c r="M716" s="133"/>
      <c r="N716" s="22"/>
      <c r="O716" s="22"/>
      <c r="P716" s="22"/>
      <c r="Q716" s="20"/>
      <c r="R716" s="20"/>
      <c r="S716" s="20"/>
      <c r="T716" s="20"/>
      <c r="U716" s="20"/>
      <c r="V716" s="20"/>
      <c r="W716" s="20"/>
      <c r="X716" s="20"/>
      <c r="Y716" s="20"/>
      <c r="Z716" s="20"/>
      <c r="AA716" s="20"/>
      <c r="AB716" s="22"/>
      <c r="AC716" s="20"/>
      <c r="AD716" s="20"/>
      <c r="AE716" s="20"/>
      <c r="AF716" s="20" t="s">
        <v>1124</v>
      </c>
      <c r="AG716" s="20" t="s">
        <v>1124</v>
      </c>
      <c r="AH716" s="20" t="s">
        <v>1124</v>
      </c>
      <c r="AI716" s="328"/>
      <c r="AJ716" s="328"/>
      <c r="AK716" s="328"/>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0"/>
      <c r="BY716" s="20"/>
      <c r="BZ716" s="20"/>
      <c r="CA716" s="20"/>
      <c r="CB716" s="20"/>
      <c r="CC716" s="20"/>
      <c r="CD716" s="22"/>
      <c r="CE716" s="22"/>
      <c r="CF716" s="22"/>
      <c r="CG716" s="22"/>
      <c r="CH716" s="22"/>
      <c r="CI716" s="22"/>
      <c r="CJ716" s="149"/>
      <c r="CK716" s="241"/>
    </row>
    <row r="717" spans="1:89" ht="15" customHeight="1" x14ac:dyDescent="0.35">
      <c r="A717" s="17"/>
      <c r="B717" s="313">
        <v>59010</v>
      </c>
      <c r="C717" s="8" t="s">
        <v>599</v>
      </c>
      <c r="D717" s="18">
        <v>16</v>
      </c>
      <c r="E717" s="131" t="s">
        <v>1309</v>
      </c>
      <c r="F717" s="22" t="s">
        <v>1309</v>
      </c>
      <c r="G717" s="132" t="s">
        <v>1309</v>
      </c>
      <c r="H717" s="22" t="s">
        <v>1311</v>
      </c>
      <c r="I717" s="22" t="s">
        <v>1327</v>
      </c>
      <c r="J717" s="22" t="s">
        <v>1327</v>
      </c>
      <c r="K717" s="22" t="s">
        <v>1309</v>
      </c>
      <c r="L717" s="22" t="s">
        <v>1309</v>
      </c>
      <c r="M717" s="133" t="s">
        <v>1311</v>
      </c>
      <c r="N717" s="22" t="s">
        <v>1311</v>
      </c>
      <c r="O717" s="22" t="s">
        <v>1309</v>
      </c>
      <c r="P717" s="22" t="s">
        <v>1309</v>
      </c>
      <c r="Q717" s="20">
        <v>0</v>
      </c>
      <c r="R717" s="20">
        <v>0</v>
      </c>
      <c r="S717" s="20">
        <v>35</v>
      </c>
      <c r="T717" s="20">
        <v>35</v>
      </c>
      <c r="U717" s="20">
        <v>0</v>
      </c>
      <c r="V717" s="20">
        <v>0</v>
      </c>
      <c r="W717" s="20">
        <v>0</v>
      </c>
      <c r="X717" s="20">
        <v>0</v>
      </c>
      <c r="Y717" s="20">
        <v>0</v>
      </c>
      <c r="Z717" s="20">
        <v>0</v>
      </c>
      <c r="AA717" s="20" t="s">
        <v>1315</v>
      </c>
      <c r="AB717" s="22" t="s">
        <v>1315</v>
      </c>
      <c r="AC717" s="20">
        <v>14</v>
      </c>
      <c r="AD717" s="20">
        <v>0</v>
      </c>
      <c r="AE717" s="20">
        <v>2</v>
      </c>
      <c r="AF717" s="20">
        <v>1</v>
      </c>
      <c r="AG717" s="20">
        <v>0</v>
      </c>
      <c r="AH717" s="20">
        <v>1</v>
      </c>
      <c r="AI717" s="328">
        <v>8.5168511984426338</v>
      </c>
      <c r="AJ717" s="328" t="s">
        <v>1328</v>
      </c>
      <c r="AK717" s="328">
        <v>0.16576875259013676</v>
      </c>
      <c r="AL717" s="22" t="s">
        <v>1329</v>
      </c>
      <c r="AM717" s="22" t="s">
        <v>1330</v>
      </c>
      <c r="AN717" s="22" t="s">
        <v>1317</v>
      </c>
      <c r="AO717" s="22" t="s">
        <v>1318</v>
      </c>
      <c r="AP717" s="22" t="s">
        <v>1318</v>
      </c>
      <c r="AQ717" s="22" t="s">
        <v>1318</v>
      </c>
      <c r="AR717" s="22" t="s">
        <v>1317</v>
      </c>
      <c r="AS717" s="22" t="s">
        <v>1318</v>
      </c>
      <c r="AT717" s="22" t="s">
        <v>1317</v>
      </c>
      <c r="AU717" s="22" t="s">
        <v>1318</v>
      </c>
      <c r="AV717" s="22" t="s">
        <v>1309</v>
      </c>
      <c r="AW717" s="22" t="s">
        <v>1309</v>
      </c>
      <c r="AX717" s="22" t="s">
        <v>1317</v>
      </c>
      <c r="AY717" s="22" t="s">
        <v>1318</v>
      </c>
      <c r="AZ717" s="22" t="s">
        <v>1309</v>
      </c>
      <c r="BA717" s="22" t="s">
        <v>1309</v>
      </c>
      <c r="BB717" s="22" t="s">
        <v>1309</v>
      </c>
      <c r="BC717" s="22" t="s">
        <v>1309</v>
      </c>
      <c r="BD717" s="22" t="s">
        <v>1309</v>
      </c>
      <c r="BE717" s="22" t="s">
        <v>1309</v>
      </c>
      <c r="BF717" s="22" t="s">
        <v>1317</v>
      </c>
      <c r="BG717" s="22" t="s">
        <v>1318</v>
      </c>
      <c r="BH717" s="22" t="s">
        <v>1315</v>
      </c>
      <c r="BI717" s="22" t="s">
        <v>1315</v>
      </c>
      <c r="BJ717" s="22" t="s">
        <v>1317</v>
      </c>
      <c r="BK717" s="22" t="s">
        <v>1318</v>
      </c>
      <c r="BL717" s="22" t="s">
        <v>1319</v>
      </c>
      <c r="BM717" s="22" t="s">
        <v>1311</v>
      </c>
      <c r="BN717" s="22" t="s">
        <v>1309</v>
      </c>
      <c r="BO717" s="22" t="s">
        <v>1309</v>
      </c>
      <c r="BP717" s="22" t="s">
        <v>1317</v>
      </c>
      <c r="BQ717" s="22" t="s">
        <v>1318</v>
      </c>
      <c r="BR717" s="22" t="s">
        <v>1309</v>
      </c>
      <c r="BS717" s="22" t="s">
        <v>1309</v>
      </c>
      <c r="BT717" s="22" t="s">
        <v>1309</v>
      </c>
      <c r="BU717" s="22" t="s">
        <v>1309</v>
      </c>
      <c r="BV717" s="22" t="s">
        <v>1317</v>
      </c>
      <c r="BW717" s="22" t="s">
        <v>1318</v>
      </c>
      <c r="BX717" s="20">
        <v>292</v>
      </c>
      <c r="BY717" s="20">
        <v>0</v>
      </c>
      <c r="BZ717" s="20">
        <v>2</v>
      </c>
      <c r="CA717" s="20">
        <v>3</v>
      </c>
      <c r="CB717" s="20">
        <v>0</v>
      </c>
      <c r="CC717" s="20">
        <v>11633</v>
      </c>
      <c r="CD717" s="22" t="s">
        <v>1345</v>
      </c>
      <c r="CE717" s="22" t="s">
        <v>1321</v>
      </c>
      <c r="CF717" s="22" t="s">
        <v>1317</v>
      </c>
      <c r="CG717" s="22" t="s">
        <v>1318</v>
      </c>
      <c r="CH717" s="22" t="s">
        <v>1317</v>
      </c>
      <c r="CI717" s="22" t="s">
        <v>1318</v>
      </c>
      <c r="CJ717" s="149" t="s">
        <v>1124</v>
      </c>
      <c r="CK717" s="241" t="s">
        <v>2905</v>
      </c>
    </row>
    <row r="718" spans="1:89" ht="15" customHeight="1" x14ac:dyDescent="0.35">
      <c r="A718" s="17"/>
      <c r="B718" s="313">
        <v>63060</v>
      </c>
      <c r="C718" s="8" t="s">
        <v>642</v>
      </c>
      <c r="D718" s="18">
        <v>14</v>
      </c>
      <c r="E718" s="131"/>
      <c r="F718" s="22"/>
      <c r="G718" s="132"/>
      <c r="H718" s="22"/>
      <c r="I718" s="22"/>
      <c r="J718" s="22"/>
      <c r="K718" s="22"/>
      <c r="L718" s="22"/>
      <c r="M718" s="133"/>
      <c r="N718" s="22"/>
      <c r="O718" s="22"/>
      <c r="P718" s="22"/>
      <c r="Q718" s="20"/>
      <c r="R718" s="20"/>
      <c r="S718" s="20"/>
      <c r="T718" s="20"/>
      <c r="U718" s="20"/>
      <c r="V718" s="20"/>
      <c r="W718" s="20"/>
      <c r="X718" s="20"/>
      <c r="Y718" s="20"/>
      <c r="Z718" s="20"/>
      <c r="AA718" s="20"/>
      <c r="AB718" s="22"/>
      <c r="AC718" s="20"/>
      <c r="AD718" s="20"/>
      <c r="AE718" s="20"/>
      <c r="AF718" s="20" t="s">
        <v>1124</v>
      </c>
      <c r="AG718" s="20" t="s">
        <v>1124</v>
      </c>
      <c r="AH718" s="20" t="s">
        <v>1124</v>
      </c>
      <c r="AI718" s="328"/>
      <c r="AJ718" s="328"/>
      <c r="AK718" s="328"/>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0"/>
      <c r="BY718" s="20"/>
      <c r="BZ718" s="20"/>
      <c r="CA718" s="20"/>
      <c r="CB718" s="20"/>
      <c r="CC718" s="20"/>
      <c r="CD718" s="22"/>
      <c r="CE718" s="22"/>
      <c r="CF718" s="22"/>
      <c r="CG718" s="22"/>
      <c r="CH718" s="22"/>
      <c r="CI718" s="22"/>
      <c r="CJ718" s="149"/>
      <c r="CK718" s="241"/>
    </row>
    <row r="719" spans="1:89" ht="15" customHeight="1" x14ac:dyDescent="0.35">
      <c r="A719" s="17"/>
      <c r="B719" s="313">
        <v>28045</v>
      </c>
      <c r="C719" s="8" t="s">
        <v>195</v>
      </c>
      <c r="D719" s="18">
        <v>12</v>
      </c>
      <c r="E719" s="131" t="s">
        <v>1309</v>
      </c>
      <c r="F719" s="22" t="s">
        <v>1309</v>
      </c>
      <c r="G719" s="132" t="s">
        <v>1309</v>
      </c>
      <c r="H719" s="22" t="s">
        <v>1311</v>
      </c>
      <c r="I719" s="22" t="s">
        <v>1327</v>
      </c>
      <c r="J719" s="22" t="s">
        <v>1327</v>
      </c>
      <c r="K719" s="22" t="s">
        <v>1314</v>
      </c>
      <c r="L719" s="22" t="s">
        <v>1311</v>
      </c>
      <c r="M719" s="133" t="s">
        <v>1311</v>
      </c>
      <c r="N719" s="22" t="s">
        <v>1311</v>
      </c>
      <c r="O719" s="22" t="s">
        <v>1314</v>
      </c>
      <c r="P719" s="22" t="s">
        <v>1318</v>
      </c>
      <c r="Q719" s="20">
        <v>0</v>
      </c>
      <c r="R719" s="20">
        <v>0</v>
      </c>
      <c r="S719" s="20">
        <v>0</v>
      </c>
      <c r="T719" s="20">
        <v>14.141999999999999</v>
      </c>
      <c r="U719" s="20">
        <v>0</v>
      </c>
      <c r="V719" s="20">
        <v>0</v>
      </c>
      <c r="W719" s="20">
        <v>0</v>
      </c>
      <c r="X719" s="20">
        <v>0</v>
      </c>
      <c r="Y719" s="20">
        <v>0</v>
      </c>
      <c r="Z719" s="20">
        <v>0</v>
      </c>
      <c r="AA719" s="20" t="s">
        <v>1317</v>
      </c>
      <c r="AB719" s="22" t="s">
        <v>1318</v>
      </c>
      <c r="AC719" s="20">
        <v>0</v>
      </c>
      <c r="AD719" s="20">
        <v>5</v>
      </c>
      <c r="AE719" s="20">
        <v>1</v>
      </c>
      <c r="AF719" s="20">
        <v>0</v>
      </c>
      <c r="AG719" s="20">
        <v>1</v>
      </c>
      <c r="AH719" s="20">
        <v>1</v>
      </c>
      <c r="AI719" s="328" t="s">
        <v>1328</v>
      </c>
      <c r="AJ719" s="328">
        <v>9.2421441774491679</v>
      </c>
      <c r="AK719" s="328">
        <v>1.8484288354898337</v>
      </c>
      <c r="AL719" s="22" t="s">
        <v>1329</v>
      </c>
      <c r="AM719" s="22" t="s">
        <v>1330</v>
      </c>
      <c r="AN719" s="22" t="s">
        <v>1317</v>
      </c>
      <c r="AO719" s="22" t="s">
        <v>1318</v>
      </c>
      <c r="AP719" s="22" t="s">
        <v>1318</v>
      </c>
      <c r="AQ719" s="22" t="s">
        <v>1318</v>
      </c>
      <c r="AR719" s="22" t="s">
        <v>1317</v>
      </c>
      <c r="AS719" s="22" t="s">
        <v>1318</v>
      </c>
      <c r="AT719" s="22" t="s">
        <v>1317</v>
      </c>
      <c r="AU719" s="22" t="s">
        <v>1318</v>
      </c>
      <c r="AV719" s="22" t="s">
        <v>1317</v>
      </c>
      <c r="AW719" s="22" t="s">
        <v>1318</v>
      </c>
      <c r="AX719" s="22" t="s">
        <v>1317</v>
      </c>
      <c r="AY719" s="22" t="s">
        <v>1318</v>
      </c>
      <c r="AZ719" s="22" t="s">
        <v>1309</v>
      </c>
      <c r="BA719" s="22" t="s">
        <v>1309</v>
      </c>
      <c r="BB719" s="22" t="s">
        <v>1309</v>
      </c>
      <c r="BC719" s="22" t="s">
        <v>1309</v>
      </c>
      <c r="BD719" s="22" t="s">
        <v>1317</v>
      </c>
      <c r="BE719" s="22" t="s">
        <v>1318</v>
      </c>
      <c r="BF719" s="22" t="s">
        <v>1317</v>
      </c>
      <c r="BG719" s="22" t="s">
        <v>1318</v>
      </c>
      <c r="BH719" s="22" t="s">
        <v>1317</v>
      </c>
      <c r="BI719" s="22" t="s">
        <v>1318</v>
      </c>
      <c r="BJ719" s="22" t="s">
        <v>1317</v>
      </c>
      <c r="BK719" s="22" t="s">
        <v>1318</v>
      </c>
      <c r="BL719" s="22" t="s">
        <v>1309</v>
      </c>
      <c r="BM719" s="22" t="s">
        <v>1309</v>
      </c>
      <c r="BN719" s="22" t="s">
        <v>1309</v>
      </c>
      <c r="BO719" s="22" t="s">
        <v>1309</v>
      </c>
      <c r="BP719" s="22" t="s">
        <v>1319</v>
      </c>
      <c r="BQ719" s="22" t="s">
        <v>1311</v>
      </c>
      <c r="BR719" s="22" t="s">
        <v>1309</v>
      </c>
      <c r="BS719" s="22" t="s">
        <v>1309</v>
      </c>
      <c r="BT719" s="22" t="s">
        <v>1317</v>
      </c>
      <c r="BU719" s="22" t="s">
        <v>1318</v>
      </c>
      <c r="BV719" s="22" t="s">
        <v>1317</v>
      </c>
      <c r="BW719" s="22" t="s">
        <v>1318</v>
      </c>
      <c r="BX719" s="20">
        <v>0</v>
      </c>
      <c r="BY719" s="20">
        <v>0</v>
      </c>
      <c r="BZ719" s="20">
        <v>51</v>
      </c>
      <c r="CA719" s="20">
        <v>0</v>
      </c>
      <c r="CB719" s="20">
        <v>0</v>
      </c>
      <c r="CC719" s="20">
        <v>490</v>
      </c>
      <c r="CD719" s="22" t="s">
        <v>1317</v>
      </c>
      <c r="CE719" s="22" t="s">
        <v>1318</v>
      </c>
      <c r="CF719" s="22" t="s">
        <v>1317</v>
      </c>
      <c r="CG719" s="22" t="s">
        <v>1318</v>
      </c>
      <c r="CH719" s="22" t="s">
        <v>1317</v>
      </c>
      <c r="CI719" s="22" t="s">
        <v>1318</v>
      </c>
      <c r="CJ719" s="149" t="s">
        <v>1124</v>
      </c>
      <c r="CK719" s="241" t="s">
        <v>2908</v>
      </c>
    </row>
    <row r="720" spans="1:89" ht="15" customHeight="1" x14ac:dyDescent="0.35">
      <c r="A720" s="17"/>
      <c r="B720" s="313">
        <v>71115</v>
      </c>
      <c r="C720" s="8" t="s">
        <v>723</v>
      </c>
      <c r="D720" s="18">
        <v>16</v>
      </c>
      <c r="E720" s="135"/>
      <c r="F720" s="22"/>
      <c r="G720" s="132"/>
      <c r="H720" s="22"/>
      <c r="I720" s="22"/>
      <c r="J720" s="22"/>
      <c r="K720" s="22"/>
      <c r="L720" s="22"/>
      <c r="M720" s="133"/>
      <c r="N720" s="22"/>
      <c r="O720" s="22"/>
      <c r="P720" s="22"/>
      <c r="Q720" s="20"/>
      <c r="R720" s="20"/>
      <c r="S720" s="20"/>
      <c r="T720" s="20"/>
      <c r="U720" s="20"/>
      <c r="V720" s="20"/>
      <c r="W720" s="20"/>
      <c r="X720" s="20"/>
      <c r="Y720" s="20"/>
      <c r="Z720" s="20"/>
      <c r="AA720" s="20"/>
      <c r="AB720" s="22"/>
      <c r="AC720" s="20"/>
      <c r="AD720" s="20"/>
      <c r="AE720" s="20"/>
      <c r="AF720" s="20" t="s">
        <v>1124</v>
      </c>
      <c r="AG720" s="20" t="s">
        <v>1124</v>
      </c>
      <c r="AH720" s="20" t="s">
        <v>1124</v>
      </c>
      <c r="AI720" s="328"/>
      <c r="AJ720" s="328"/>
      <c r="AK720" s="328"/>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0"/>
      <c r="BY720" s="20"/>
      <c r="BZ720" s="20"/>
      <c r="CA720" s="20"/>
      <c r="CB720" s="20"/>
      <c r="CC720" s="20"/>
      <c r="CD720" s="22"/>
      <c r="CE720" s="22"/>
      <c r="CF720" s="22"/>
      <c r="CG720" s="22"/>
      <c r="CH720" s="22"/>
      <c r="CI720" s="22"/>
      <c r="CJ720" s="149"/>
      <c r="CK720" s="241"/>
    </row>
    <row r="721" spans="1:89" ht="15" customHeight="1" x14ac:dyDescent="0.35">
      <c r="A721" s="17"/>
      <c r="B721" s="313">
        <v>51075</v>
      </c>
      <c r="C721" s="8" t="s">
        <v>511</v>
      </c>
      <c r="D721" s="18">
        <v>4</v>
      </c>
      <c r="E721" s="131"/>
      <c r="F721" s="22"/>
      <c r="G721" s="132"/>
      <c r="H721" s="22"/>
      <c r="I721" s="22"/>
      <c r="J721" s="22"/>
      <c r="K721" s="22"/>
      <c r="L721" s="22"/>
      <c r="M721" s="133"/>
      <c r="N721" s="22"/>
      <c r="O721" s="22"/>
      <c r="P721" s="22"/>
      <c r="Q721" s="20"/>
      <c r="R721" s="20"/>
      <c r="S721" s="20"/>
      <c r="T721" s="20"/>
      <c r="U721" s="20"/>
      <c r="V721" s="20"/>
      <c r="W721" s="20"/>
      <c r="X721" s="20"/>
      <c r="Y721" s="20"/>
      <c r="Z721" s="20"/>
      <c r="AA721" s="20"/>
      <c r="AB721" s="22"/>
      <c r="AC721" s="20"/>
      <c r="AD721" s="20"/>
      <c r="AE721" s="20"/>
      <c r="AF721" s="20" t="s">
        <v>1124</v>
      </c>
      <c r="AG721" s="20" t="s">
        <v>1124</v>
      </c>
      <c r="AH721" s="20" t="s">
        <v>1124</v>
      </c>
      <c r="AI721" s="328"/>
      <c r="AJ721" s="328"/>
      <c r="AK721" s="328"/>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0"/>
      <c r="BY721" s="20"/>
      <c r="BZ721" s="20"/>
      <c r="CA721" s="20"/>
      <c r="CB721" s="20"/>
      <c r="CC721" s="20"/>
      <c r="CD721" s="22"/>
      <c r="CE721" s="22"/>
      <c r="CF721" s="22"/>
      <c r="CG721" s="22"/>
      <c r="CH721" s="22"/>
      <c r="CI721" s="22"/>
      <c r="CJ721" s="149"/>
      <c r="CK721" s="241"/>
    </row>
    <row r="722" spans="1:89" ht="15" customHeight="1" x14ac:dyDescent="0.35">
      <c r="A722" s="17"/>
      <c r="B722" s="313">
        <v>11035</v>
      </c>
      <c r="C722" s="8" t="s">
        <v>23</v>
      </c>
      <c r="D722" s="18">
        <v>1</v>
      </c>
      <c r="E722" s="131"/>
      <c r="F722" s="22"/>
      <c r="G722" s="132"/>
      <c r="H722" s="22"/>
      <c r="I722" s="22"/>
      <c r="J722" s="22"/>
      <c r="K722" s="22"/>
      <c r="L722" s="22"/>
      <c r="M722" s="133"/>
      <c r="N722" s="22"/>
      <c r="O722" s="22"/>
      <c r="P722" s="22"/>
      <c r="Q722" s="20"/>
      <c r="R722" s="20"/>
      <c r="S722" s="20"/>
      <c r="T722" s="20"/>
      <c r="U722" s="20"/>
      <c r="V722" s="20"/>
      <c r="W722" s="20"/>
      <c r="X722" s="20"/>
      <c r="Y722" s="20"/>
      <c r="Z722" s="20"/>
      <c r="AA722" s="20"/>
      <c r="AB722" s="22"/>
      <c r="AC722" s="20"/>
      <c r="AD722" s="20"/>
      <c r="AE722" s="20"/>
      <c r="AF722" s="20" t="s">
        <v>1124</v>
      </c>
      <c r="AG722" s="20" t="s">
        <v>1124</v>
      </c>
      <c r="AH722" s="20" t="s">
        <v>1124</v>
      </c>
      <c r="AI722" s="328"/>
      <c r="AJ722" s="328"/>
      <c r="AK722" s="328"/>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0"/>
      <c r="BY722" s="20"/>
      <c r="BZ722" s="20"/>
      <c r="CA722" s="20"/>
      <c r="CB722" s="20"/>
      <c r="CC722" s="20"/>
      <c r="CD722" s="22"/>
      <c r="CE722" s="22"/>
      <c r="CF722" s="22"/>
      <c r="CG722" s="22"/>
      <c r="CH722" s="22"/>
      <c r="CI722" s="22"/>
      <c r="CJ722" s="149"/>
      <c r="CK722" s="241"/>
    </row>
    <row r="723" spans="1:89" ht="15" customHeight="1" x14ac:dyDescent="0.35">
      <c r="A723" s="17"/>
      <c r="B723" s="313">
        <v>17060</v>
      </c>
      <c r="C723" s="8" t="s">
        <v>100</v>
      </c>
      <c r="D723" s="18">
        <v>12</v>
      </c>
      <c r="E723" s="131" t="s">
        <v>1309</v>
      </c>
      <c r="F723" s="22" t="s">
        <v>1309</v>
      </c>
      <c r="G723" s="132" t="s">
        <v>1309</v>
      </c>
      <c r="H723" s="22" t="s">
        <v>1311</v>
      </c>
      <c r="I723" s="22" t="s">
        <v>1349</v>
      </c>
      <c r="J723" s="22" t="s">
        <v>1342</v>
      </c>
      <c r="K723" s="22" t="s">
        <v>1309</v>
      </c>
      <c r="L723" s="22" t="s">
        <v>1309</v>
      </c>
      <c r="M723" s="133" t="s">
        <v>1311</v>
      </c>
      <c r="N723" s="22" t="s">
        <v>1311</v>
      </c>
      <c r="O723" s="22" t="s">
        <v>1314</v>
      </c>
      <c r="P723" s="22" t="s">
        <v>1318</v>
      </c>
      <c r="Q723" s="20">
        <v>0</v>
      </c>
      <c r="R723" s="20">
        <v>0</v>
      </c>
      <c r="S723" s="20">
        <v>0</v>
      </c>
      <c r="T723" s="20">
        <v>0</v>
      </c>
      <c r="U723" s="20">
        <v>0</v>
      </c>
      <c r="V723" s="20">
        <v>4.4340000000000002</v>
      </c>
      <c r="W723" s="20">
        <v>0</v>
      </c>
      <c r="X723" s="20">
        <v>0</v>
      </c>
      <c r="Y723" s="20">
        <v>0</v>
      </c>
      <c r="Z723" s="20">
        <v>0</v>
      </c>
      <c r="AA723" s="20" t="s">
        <v>1317</v>
      </c>
      <c r="AB723" s="22" t="s">
        <v>1318</v>
      </c>
      <c r="AC723" s="20">
        <v>0</v>
      </c>
      <c r="AD723" s="20">
        <v>0</v>
      </c>
      <c r="AE723" s="20">
        <v>0</v>
      </c>
      <c r="AF723" s="20">
        <v>0</v>
      </c>
      <c r="AG723" s="20">
        <v>0</v>
      </c>
      <c r="AH723" s="20">
        <v>0</v>
      </c>
      <c r="AI723" s="328" t="s">
        <v>1328</v>
      </c>
      <c r="AJ723" s="328" t="s">
        <v>1328</v>
      </c>
      <c r="AK723" s="328" t="s">
        <v>1328</v>
      </c>
      <c r="AL723" s="22" t="s">
        <v>1329</v>
      </c>
      <c r="AM723" s="22" t="s">
        <v>1330</v>
      </c>
      <c r="AN723" s="22" t="s">
        <v>1317</v>
      </c>
      <c r="AO723" s="22" t="s">
        <v>1318</v>
      </c>
      <c r="AP723" s="22" t="s">
        <v>1318</v>
      </c>
      <c r="AQ723" s="22" t="s">
        <v>1318</v>
      </c>
      <c r="AR723" s="22" t="s">
        <v>1317</v>
      </c>
      <c r="AS723" s="22" t="s">
        <v>1318</v>
      </c>
      <c r="AT723" s="22" t="s">
        <v>1319</v>
      </c>
      <c r="AU723" s="22" t="s">
        <v>1311</v>
      </c>
      <c r="AV723" s="22" t="s">
        <v>1317</v>
      </c>
      <c r="AW723" s="22" t="s">
        <v>1318</v>
      </c>
      <c r="AX723" s="22" t="s">
        <v>1317</v>
      </c>
      <c r="AY723" s="22" t="s">
        <v>1318</v>
      </c>
      <c r="AZ723" s="22" t="s">
        <v>1317</v>
      </c>
      <c r="BA723" s="22" t="s">
        <v>1311</v>
      </c>
      <c r="BB723" s="22" t="s">
        <v>1309</v>
      </c>
      <c r="BC723" s="22" t="s">
        <v>1309</v>
      </c>
      <c r="BD723" s="22" t="s">
        <v>1317</v>
      </c>
      <c r="BE723" s="22" t="s">
        <v>1318</v>
      </c>
      <c r="BF723" s="22" t="s">
        <v>1317</v>
      </c>
      <c r="BG723" s="22" t="s">
        <v>1318</v>
      </c>
      <c r="BH723" s="22" t="s">
        <v>1317</v>
      </c>
      <c r="BI723" s="22" t="s">
        <v>1318</v>
      </c>
      <c r="BJ723" s="22" t="s">
        <v>1309</v>
      </c>
      <c r="BK723" s="22" t="s">
        <v>1309</v>
      </c>
      <c r="BL723" s="22" t="s">
        <v>1319</v>
      </c>
      <c r="BM723" s="22" t="s">
        <v>1311</v>
      </c>
      <c r="BN723" s="22" t="s">
        <v>1309</v>
      </c>
      <c r="BO723" s="22" t="s">
        <v>1309</v>
      </c>
      <c r="BP723" s="22" t="s">
        <v>1315</v>
      </c>
      <c r="BQ723" s="22" t="s">
        <v>1315</v>
      </c>
      <c r="BR723" s="22" t="s">
        <v>1309</v>
      </c>
      <c r="BS723" s="22" t="s">
        <v>1309</v>
      </c>
      <c r="BT723" s="22" t="s">
        <v>1309</v>
      </c>
      <c r="BU723" s="22" t="s">
        <v>1309</v>
      </c>
      <c r="BV723" s="22" t="s">
        <v>1317</v>
      </c>
      <c r="BW723" s="22" t="s">
        <v>1311</v>
      </c>
      <c r="BX723" s="20">
        <v>0</v>
      </c>
      <c r="BY723" s="20">
        <v>0</v>
      </c>
      <c r="BZ723" s="20">
        <v>5</v>
      </c>
      <c r="CA723" s="20">
        <v>0</v>
      </c>
      <c r="CB723" s="20">
        <v>0</v>
      </c>
      <c r="CC723" s="20">
        <v>140</v>
      </c>
      <c r="CD723" s="22" t="s">
        <v>1317</v>
      </c>
      <c r="CE723" s="22" t="s">
        <v>1318</v>
      </c>
      <c r="CF723" s="22" t="s">
        <v>1317</v>
      </c>
      <c r="CG723" s="22" t="s">
        <v>1318</v>
      </c>
      <c r="CH723" s="22" t="s">
        <v>1317</v>
      </c>
      <c r="CI723" s="22" t="s">
        <v>1318</v>
      </c>
      <c r="CJ723" s="149" t="s">
        <v>2912</v>
      </c>
      <c r="CK723" s="241" t="s">
        <v>2913</v>
      </c>
    </row>
    <row r="724" spans="1:89" ht="15" customHeight="1" x14ac:dyDescent="0.35">
      <c r="A724" s="17"/>
      <c r="B724" s="313">
        <v>50095</v>
      </c>
      <c r="C724" s="8" t="s">
        <v>494</v>
      </c>
      <c r="D724" s="18">
        <v>17</v>
      </c>
      <c r="E724" s="131"/>
      <c r="F724" s="22"/>
      <c r="G724" s="132"/>
      <c r="H724" s="22"/>
      <c r="I724" s="22"/>
      <c r="J724" s="22"/>
      <c r="K724" s="22"/>
      <c r="L724" s="22"/>
      <c r="M724" s="133"/>
      <c r="N724" s="22"/>
      <c r="O724" s="22"/>
      <c r="P724" s="22"/>
      <c r="Q724" s="20"/>
      <c r="R724" s="20"/>
      <c r="S724" s="20"/>
      <c r="T724" s="20"/>
      <c r="U724" s="20"/>
      <c r="V724" s="20"/>
      <c r="W724" s="20"/>
      <c r="X724" s="20"/>
      <c r="Y724" s="20"/>
      <c r="Z724" s="20"/>
      <c r="AA724" s="20"/>
      <c r="AB724" s="22"/>
      <c r="AC724" s="20"/>
      <c r="AD724" s="20"/>
      <c r="AE724" s="20"/>
      <c r="AF724" s="20" t="s">
        <v>1124</v>
      </c>
      <c r="AG724" s="20" t="s">
        <v>1124</v>
      </c>
      <c r="AH724" s="20" t="s">
        <v>1124</v>
      </c>
      <c r="AI724" s="328"/>
      <c r="AJ724" s="328"/>
      <c r="AK724" s="328"/>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0"/>
      <c r="BY724" s="20"/>
      <c r="BZ724" s="20"/>
      <c r="CA724" s="20"/>
      <c r="CB724" s="20"/>
      <c r="CC724" s="20"/>
      <c r="CD724" s="22"/>
      <c r="CE724" s="22"/>
      <c r="CF724" s="22"/>
      <c r="CG724" s="22"/>
      <c r="CH724" s="22"/>
      <c r="CI724" s="22"/>
      <c r="CJ724" s="149"/>
      <c r="CK724" s="241"/>
    </row>
    <row r="725" spans="1:89" ht="15" customHeight="1" x14ac:dyDescent="0.35">
      <c r="A725" s="17"/>
      <c r="B725" s="313">
        <v>9092</v>
      </c>
      <c r="C725" s="8" t="s">
        <v>1112</v>
      </c>
      <c r="D725" s="18">
        <v>1</v>
      </c>
      <c r="E725" s="131" t="s">
        <v>1319</v>
      </c>
      <c r="F725" s="22" t="s">
        <v>1490</v>
      </c>
      <c r="G725" s="132" t="s">
        <v>1309</v>
      </c>
      <c r="H725" s="22" t="s">
        <v>1311</v>
      </c>
      <c r="I725" s="22" t="s">
        <v>1327</v>
      </c>
      <c r="J725" s="22" t="s">
        <v>1327</v>
      </c>
      <c r="K725" s="22" t="s">
        <v>1309</v>
      </c>
      <c r="L725" s="22" t="s">
        <v>1309</v>
      </c>
      <c r="M725" s="133" t="s">
        <v>1311</v>
      </c>
      <c r="N725" s="22" t="s">
        <v>1311</v>
      </c>
      <c r="O725" s="22" t="s">
        <v>1314</v>
      </c>
      <c r="P725" s="22" t="s">
        <v>1318</v>
      </c>
      <c r="Q725" s="20">
        <v>0</v>
      </c>
      <c r="R725" s="20">
        <v>0</v>
      </c>
      <c r="S725" s="20">
        <v>0</v>
      </c>
      <c r="T725" s="20">
        <v>0</v>
      </c>
      <c r="U725" s="20">
        <v>0</v>
      </c>
      <c r="V725" s="20">
        <v>33.435000000000002</v>
      </c>
      <c r="W725" s="20">
        <v>0</v>
      </c>
      <c r="X725" s="20">
        <v>0</v>
      </c>
      <c r="Y725" s="20">
        <v>0</v>
      </c>
      <c r="Z725" s="20">
        <v>0</v>
      </c>
      <c r="AA725" s="20" t="s">
        <v>1317</v>
      </c>
      <c r="AB725" s="22" t="s">
        <v>1318</v>
      </c>
      <c r="AC725" s="20">
        <v>0</v>
      </c>
      <c r="AD725" s="20">
        <v>0</v>
      </c>
      <c r="AE725" s="20">
        <v>3</v>
      </c>
      <c r="AF725" s="20">
        <v>0</v>
      </c>
      <c r="AG725" s="20">
        <v>0</v>
      </c>
      <c r="AH725" s="20">
        <v>4</v>
      </c>
      <c r="AI725" s="328" t="s">
        <v>1328</v>
      </c>
      <c r="AJ725" s="328" t="s">
        <v>1328</v>
      </c>
      <c r="AK725" s="328">
        <v>2.3547880690737832</v>
      </c>
      <c r="AL725" s="22" t="s">
        <v>1329</v>
      </c>
      <c r="AM725" s="22" t="s">
        <v>1330</v>
      </c>
      <c r="AN725" s="22" t="s">
        <v>1317</v>
      </c>
      <c r="AO725" s="22" t="s">
        <v>1318</v>
      </c>
      <c r="AP725" s="22" t="s">
        <v>1318</v>
      </c>
      <c r="AQ725" s="22" t="s">
        <v>1318</v>
      </c>
      <c r="AR725" s="22" t="s">
        <v>1317</v>
      </c>
      <c r="AS725" s="22" t="s">
        <v>1318</v>
      </c>
      <c r="AT725" s="22" t="s">
        <v>1309</v>
      </c>
      <c r="AU725" s="22" t="s">
        <v>1309</v>
      </c>
      <c r="AV725" s="22" t="s">
        <v>1309</v>
      </c>
      <c r="AW725" s="22" t="s">
        <v>1309</v>
      </c>
      <c r="AX725" s="22" t="s">
        <v>1317</v>
      </c>
      <c r="AY725" s="22" t="s">
        <v>1318</v>
      </c>
      <c r="AZ725" s="22" t="s">
        <v>1309</v>
      </c>
      <c r="BA725" s="22" t="s">
        <v>1309</v>
      </c>
      <c r="BB725" s="22" t="s">
        <v>1309</v>
      </c>
      <c r="BC725" s="22" t="s">
        <v>1309</v>
      </c>
      <c r="BD725" s="22" t="s">
        <v>1317</v>
      </c>
      <c r="BE725" s="22" t="s">
        <v>1318</v>
      </c>
      <c r="BF725" s="22" t="s">
        <v>1317</v>
      </c>
      <c r="BG725" s="22" t="s">
        <v>1318</v>
      </c>
      <c r="BH725" s="22" t="s">
        <v>1309</v>
      </c>
      <c r="BI725" s="22" t="s">
        <v>1309</v>
      </c>
      <c r="BJ725" s="22" t="s">
        <v>1309</v>
      </c>
      <c r="BK725" s="22" t="s">
        <v>1309</v>
      </c>
      <c r="BL725" s="22" t="s">
        <v>1317</v>
      </c>
      <c r="BM725" s="22" t="s">
        <v>1311</v>
      </c>
      <c r="BN725" s="22" t="s">
        <v>1309</v>
      </c>
      <c r="BO725" s="22" t="s">
        <v>1309</v>
      </c>
      <c r="BP725" s="22" t="s">
        <v>1317</v>
      </c>
      <c r="BQ725" s="22" t="s">
        <v>1318</v>
      </c>
      <c r="BR725" s="22" t="s">
        <v>1309</v>
      </c>
      <c r="BS725" s="22" t="s">
        <v>1309</v>
      </c>
      <c r="BT725" s="22" t="s">
        <v>1309</v>
      </c>
      <c r="BU725" s="22" t="s">
        <v>1309</v>
      </c>
      <c r="BV725" s="22" t="s">
        <v>1317</v>
      </c>
      <c r="BW725" s="22" t="s">
        <v>1318</v>
      </c>
      <c r="BX725" s="20">
        <v>10</v>
      </c>
      <c r="BY725" s="20">
        <v>0</v>
      </c>
      <c r="BZ725" s="20">
        <v>63</v>
      </c>
      <c r="CA725" s="20">
        <v>4</v>
      </c>
      <c r="CB725" s="20">
        <v>0</v>
      </c>
      <c r="CC725" s="20">
        <v>1197</v>
      </c>
      <c r="CD725" s="22" t="s">
        <v>1320</v>
      </c>
      <c r="CE725" s="22" t="s">
        <v>1344</v>
      </c>
      <c r="CF725" s="22" t="s">
        <v>1320</v>
      </c>
      <c r="CG725" s="22" t="s">
        <v>1344</v>
      </c>
      <c r="CH725" s="22" t="s">
        <v>1317</v>
      </c>
      <c r="CI725" s="22" t="s">
        <v>1318</v>
      </c>
      <c r="CJ725" s="149" t="s">
        <v>2919</v>
      </c>
      <c r="CK725" s="241" t="s">
        <v>3741</v>
      </c>
    </row>
    <row r="726" spans="1:89" ht="15" customHeight="1" x14ac:dyDescent="0.35">
      <c r="A726" s="17"/>
      <c r="B726" s="313">
        <v>18020</v>
      </c>
      <c r="C726" s="8" t="s">
        <v>107</v>
      </c>
      <c r="D726" s="18">
        <v>12</v>
      </c>
      <c r="E726" s="131"/>
      <c r="F726" s="22"/>
      <c r="G726" s="132"/>
      <c r="H726" s="22"/>
      <c r="I726" s="22"/>
      <c r="J726" s="22"/>
      <c r="K726" s="22"/>
      <c r="L726" s="22"/>
      <c r="M726" s="133"/>
      <c r="N726" s="22"/>
      <c r="O726" s="22"/>
      <c r="P726" s="22"/>
      <c r="Q726" s="20"/>
      <c r="R726" s="20"/>
      <c r="S726" s="20"/>
      <c r="T726" s="20"/>
      <c r="U726" s="20"/>
      <c r="V726" s="20"/>
      <c r="W726" s="20"/>
      <c r="X726" s="20"/>
      <c r="Y726" s="20"/>
      <c r="Z726" s="20"/>
      <c r="AA726" s="20"/>
      <c r="AB726" s="22"/>
      <c r="AC726" s="20"/>
      <c r="AD726" s="20"/>
      <c r="AE726" s="20"/>
      <c r="AF726" s="20" t="s">
        <v>1124</v>
      </c>
      <c r="AG726" s="20" t="s">
        <v>1124</v>
      </c>
      <c r="AH726" s="20" t="s">
        <v>1124</v>
      </c>
      <c r="AI726" s="328"/>
      <c r="AJ726" s="328"/>
      <c r="AK726" s="328"/>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0"/>
      <c r="BY726" s="20"/>
      <c r="BZ726" s="20"/>
      <c r="CA726" s="20"/>
      <c r="CB726" s="20"/>
      <c r="CC726" s="20"/>
      <c r="CD726" s="22"/>
      <c r="CE726" s="22"/>
      <c r="CF726" s="22"/>
      <c r="CG726" s="22"/>
      <c r="CH726" s="22"/>
      <c r="CI726" s="22"/>
      <c r="CJ726" s="149"/>
      <c r="CK726" s="241"/>
    </row>
    <row r="727" spans="1:89" ht="15" customHeight="1" x14ac:dyDescent="0.35">
      <c r="A727" s="17"/>
      <c r="B727" s="313">
        <v>78020</v>
      </c>
      <c r="C727" s="8" t="s">
        <v>769</v>
      </c>
      <c r="D727" s="18">
        <v>15</v>
      </c>
      <c r="E727" s="131" t="s">
        <v>1309</v>
      </c>
      <c r="F727" s="22" t="s">
        <v>1309</v>
      </c>
      <c r="G727" s="132" t="s">
        <v>1309</v>
      </c>
      <c r="H727" s="22" t="s">
        <v>1311</v>
      </c>
      <c r="I727" s="22" t="s">
        <v>1327</v>
      </c>
      <c r="J727" s="22" t="s">
        <v>1327</v>
      </c>
      <c r="K727" s="22" t="s">
        <v>1314</v>
      </c>
      <c r="L727" s="22" t="s">
        <v>1311</v>
      </c>
      <c r="M727" s="133" t="s">
        <v>1311</v>
      </c>
      <c r="N727" s="22" t="s">
        <v>1311</v>
      </c>
      <c r="O727" s="22" t="s">
        <v>1314</v>
      </c>
      <c r="P727" s="22" t="s">
        <v>1318</v>
      </c>
      <c r="Q727" s="20">
        <v>0</v>
      </c>
      <c r="R727" s="20">
        <v>0</v>
      </c>
      <c r="S727" s="20">
        <v>0</v>
      </c>
      <c r="T727" s="20">
        <v>0</v>
      </c>
      <c r="U727" s="20">
        <v>0</v>
      </c>
      <c r="V727" s="20">
        <v>4.9020000000000001</v>
      </c>
      <c r="W727" s="20">
        <v>0</v>
      </c>
      <c r="X727" s="20">
        <v>0</v>
      </c>
      <c r="Y727" s="20">
        <v>0</v>
      </c>
      <c r="Z727" s="20">
        <v>0</v>
      </c>
      <c r="AA727" s="20" t="s">
        <v>1317</v>
      </c>
      <c r="AB727" s="22" t="s">
        <v>1311</v>
      </c>
      <c r="AC727" s="20">
        <v>3</v>
      </c>
      <c r="AD727" s="20">
        <v>4</v>
      </c>
      <c r="AE727" s="20">
        <v>6</v>
      </c>
      <c r="AF727" s="20">
        <v>1</v>
      </c>
      <c r="AG727" s="20">
        <v>30</v>
      </c>
      <c r="AH727" s="20">
        <v>30</v>
      </c>
      <c r="AI727" s="328">
        <v>23.32996344972393</v>
      </c>
      <c r="AJ727" s="328">
        <v>11.363636363636363</v>
      </c>
      <c r="AK727" s="328">
        <v>17.045454545454547</v>
      </c>
      <c r="AL727" s="22" t="s">
        <v>1338</v>
      </c>
      <c r="AM727" s="22" t="s">
        <v>1339</v>
      </c>
      <c r="AN727" s="22" t="s">
        <v>1315</v>
      </c>
      <c r="AO727" s="22" t="s">
        <v>1315</v>
      </c>
      <c r="AP727" s="22" t="s">
        <v>1315</v>
      </c>
      <c r="AQ727" s="22" t="s">
        <v>1315</v>
      </c>
      <c r="AR727" s="22" t="s">
        <v>1317</v>
      </c>
      <c r="AS727" s="22" t="s">
        <v>1318</v>
      </c>
      <c r="AT727" s="22" t="s">
        <v>1317</v>
      </c>
      <c r="AU727" s="22" t="s">
        <v>1311</v>
      </c>
      <c r="AV727" s="22" t="s">
        <v>1317</v>
      </c>
      <c r="AW727" s="22" t="s">
        <v>1318</v>
      </c>
      <c r="AX727" s="22" t="s">
        <v>1317</v>
      </c>
      <c r="AY727" s="22" t="s">
        <v>1318</v>
      </c>
      <c r="AZ727" s="22" t="s">
        <v>1317</v>
      </c>
      <c r="BA727" s="22" t="s">
        <v>1318</v>
      </c>
      <c r="BB727" s="22" t="s">
        <v>1309</v>
      </c>
      <c r="BC727" s="22" t="s">
        <v>1309</v>
      </c>
      <c r="BD727" s="22" t="s">
        <v>1317</v>
      </c>
      <c r="BE727" s="22" t="s">
        <v>1318</v>
      </c>
      <c r="BF727" s="22" t="s">
        <v>1319</v>
      </c>
      <c r="BG727" s="22" t="s">
        <v>1311</v>
      </c>
      <c r="BH727" s="22" t="s">
        <v>1309</v>
      </c>
      <c r="BI727" s="22" t="s">
        <v>1309</v>
      </c>
      <c r="BJ727" s="22" t="s">
        <v>1317</v>
      </c>
      <c r="BK727" s="22" t="s">
        <v>1318</v>
      </c>
      <c r="BL727" s="22" t="s">
        <v>1309</v>
      </c>
      <c r="BM727" s="22" t="s">
        <v>1309</v>
      </c>
      <c r="BN727" s="22" t="s">
        <v>1309</v>
      </c>
      <c r="BO727" s="22" t="s">
        <v>1309</v>
      </c>
      <c r="BP727" s="22" t="s">
        <v>1315</v>
      </c>
      <c r="BQ727" s="22" t="s">
        <v>1315</v>
      </c>
      <c r="BR727" s="22" t="s">
        <v>1309</v>
      </c>
      <c r="BS727" s="22" t="s">
        <v>1309</v>
      </c>
      <c r="BT727" s="22" t="s">
        <v>1317</v>
      </c>
      <c r="BU727" s="22" t="s">
        <v>1318</v>
      </c>
      <c r="BV727" s="22" t="s">
        <v>1309</v>
      </c>
      <c r="BW727" s="22" t="s">
        <v>1309</v>
      </c>
      <c r="BX727" s="20">
        <v>0</v>
      </c>
      <c r="BY727" s="20">
        <v>2</v>
      </c>
      <c r="BZ727" s="20">
        <v>0</v>
      </c>
      <c r="CA727" s="20">
        <v>0</v>
      </c>
      <c r="CB727" s="20">
        <v>0</v>
      </c>
      <c r="CC727" s="20">
        <v>350</v>
      </c>
      <c r="CD727" s="22" t="s">
        <v>1331</v>
      </c>
      <c r="CE727" s="22" t="s">
        <v>1331</v>
      </c>
      <c r="CF727" s="22" t="s">
        <v>1317</v>
      </c>
      <c r="CG727" s="22" t="s">
        <v>1321</v>
      </c>
      <c r="CH727" s="22" t="s">
        <v>1317</v>
      </c>
      <c r="CI727" s="22" t="s">
        <v>1318</v>
      </c>
      <c r="CJ727" s="149" t="s">
        <v>4605</v>
      </c>
      <c r="CK727" s="241" t="s">
        <v>4606</v>
      </c>
    </row>
    <row r="728" spans="1:89" ht="15" customHeight="1" x14ac:dyDescent="0.35">
      <c r="A728" s="17"/>
      <c r="B728" s="313">
        <v>5050</v>
      </c>
      <c r="C728" s="8" t="s">
        <v>1051</v>
      </c>
      <c r="D728" s="18">
        <v>11</v>
      </c>
      <c r="E728" s="131" t="s">
        <v>1309</v>
      </c>
      <c r="F728" s="22" t="s">
        <v>1309</v>
      </c>
      <c r="G728" s="132" t="s">
        <v>1309</v>
      </c>
      <c r="H728" s="22" t="s">
        <v>1311</v>
      </c>
      <c r="I728" s="22" t="s">
        <v>1327</v>
      </c>
      <c r="J728" s="22" t="s">
        <v>1327</v>
      </c>
      <c r="K728" s="22" t="s">
        <v>1309</v>
      </c>
      <c r="L728" s="22" t="s">
        <v>1309</v>
      </c>
      <c r="M728" s="133" t="s">
        <v>1311</v>
      </c>
      <c r="N728" s="22" t="s">
        <v>1311</v>
      </c>
      <c r="O728" s="22" t="s">
        <v>1314</v>
      </c>
      <c r="P728" s="22" t="s">
        <v>1318</v>
      </c>
      <c r="Q728" s="20">
        <v>0</v>
      </c>
      <c r="R728" s="20">
        <v>0</v>
      </c>
      <c r="S728" s="20">
        <v>0</v>
      </c>
      <c r="T728" s="20">
        <v>0</v>
      </c>
      <c r="U728" s="20">
        <v>0</v>
      </c>
      <c r="V728" s="20">
        <v>0</v>
      </c>
      <c r="W728" s="20">
        <v>0</v>
      </c>
      <c r="X728" s="20">
        <v>0</v>
      </c>
      <c r="Y728" s="20">
        <v>0</v>
      </c>
      <c r="Z728" s="20">
        <v>0</v>
      </c>
      <c r="AA728" s="20" t="s">
        <v>1317</v>
      </c>
      <c r="AB728" s="22" t="s">
        <v>1318</v>
      </c>
      <c r="AC728" s="20">
        <v>0</v>
      </c>
      <c r="AD728" s="20">
        <v>0</v>
      </c>
      <c r="AE728" s="20">
        <v>0</v>
      </c>
      <c r="AF728" s="20">
        <v>0</v>
      </c>
      <c r="AG728" s="20">
        <v>0</v>
      </c>
      <c r="AH728" s="20">
        <v>0</v>
      </c>
      <c r="AI728" s="328" t="s">
        <v>1328</v>
      </c>
      <c r="AJ728" s="328" t="s">
        <v>1328</v>
      </c>
      <c r="AK728" s="328" t="s">
        <v>1328</v>
      </c>
      <c r="AL728" s="22" t="s">
        <v>1329</v>
      </c>
      <c r="AM728" s="22" t="s">
        <v>1330</v>
      </c>
      <c r="AN728" s="22" t="s">
        <v>1317</v>
      </c>
      <c r="AO728" s="22" t="s">
        <v>1318</v>
      </c>
      <c r="AP728" s="22" t="s">
        <v>1318</v>
      </c>
      <c r="AQ728" s="22" t="s">
        <v>1318</v>
      </c>
      <c r="AR728" s="22" t="s">
        <v>1315</v>
      </c>
      <c r="AS728" s="22" t="s">
        <v>1315</v>
      </c>
      <c r="AT728" s="22" t="s">
        <v>1309</v>
      </c>
      <c r="AU728" s="22" t="s">
        <v>1309</v>
      </c>
      <c r="AV728" s="22" t="s">
        <v>1309</v>
      </c>
      <c r="AW728" s="22" t="s">
        <v>1309</v>
      </c>
      <c r="AX728" s="22" t="s">
        <v>1317</v>
      </c>
      <c r="AY728" s="22" t="s">
        <v>1318</v>
      </c>
      <c r="AZ728" s="22" t="s">
        <v>1317</v>
      </c>
      <c r="BA728" s="22" t="s">
        <v>1318</v>
      </c>
      <c r="BB728" s="22" t="s">
        <v>1309</v>
      </c>
      <c r="BC728" s="22" t="s">
        <v>1309</v>
      </c>
      <c r="BD728" s="22" t="s">
        <v>1317</v>
      </c>
      <c r="BE728" s="22" t="s">
        <v>1318</v>
      </c>
      <c r="BF728" s="22" t="s">
        <v>1317</v>
      </c>
      <c r="BG728" s="22" t="s">
        <v>1318</v>
      </c>
      <c r="BH728" s="22" t="s">
        <v>1317</v>
      </c>
      <c r="BI728" s="22" t="s">
        <v>1318</v>
      </c>
      <c r="BJ728" s="22" t="s">
        <v>1317</v>
      </c>
      <c r="BK728" s="22" t="s">
        <v>1318</v>
      </c>
      <c r="BL728" s="22" t="s">
        <v>1309</v>
      </c>
      <c r="BM728" s="22" t="s">
        <v>1309</v>
      </c>
      <c r="BN728" s="22" t="s">
        <v>1317</v>
      </c>
      <c r="BO728" s="22" t="s">
        <v>1318</v>
      </c>
      <c r="BP728" s="22" t="s">
        <v>1315</v>
      </c>
      <c r="BQ728" s="22" t="s">
        <v>1315</v>
      </c>
      <c r="BR728" s="22" t="s">
        <v>1317</v>
      </c>
      <c r="BS728" s="22" t="s">
        <v>1311</v>
      </c>
      <c r="BT728" s="22" t="s">
        <v>1315</v>
      </c>
      <c r="BU728" s="22" t="s">
        <v>1315</v>
      </c>
      <c r="BV728" s="22" t="s">
        <v>1317</v>
      </c>
      <c r="BW728" s="22" t="s">
        <v>1318</v>
      </c>
      <c r="BX728" s="20">
        <v>0</v>
      </c>
      <c r="BY728" s="20">
        <v>1</v>
      </c>
      <c r="BZ728" s="20">
        <v>12</v>
      </c>
      <c r="CA728" s="20">
        <v>0</v>
      </c>
      <c r="CB728" s="20">
        <v>0</v>
      </c>
      <c r="CC728" s="20">
        <v>115</v>
      </c>
      <c r="CD728" s="22" t="s">
        <v>1317</v>
      </c>
      <c r="CE728" s="22" t="s">
        <v>1318</v>
      </c>
      <c r="CF728" s="22" t="s">
        <v>1317</v>
      </c>
      <c r="CG728" s="22" t="s">
        <v>1318</v>
      </c>
      <c r="CH728" s="22" t="s">
        <v>1317</v>
      </c>
      <c r="CI728" s="22" t="s">
        <v>1318</v>
      </c>
      <c r="CJ728" s="149" t="s">
        <v>1124</v>
      </c>
      <c r="CK728" s="241" t="s">
        <v>1124</v>
      </c>
    </row>
    <row r="729" spans="1:89" ht="15" customHeight="1" x14ac:dyDescent="0.35">
      <c r="A729" s="17"/>
      <c r="B729" s="313">
        <v>26022</v>
      </c>
      <c r="C729" s="8" t="s">
        <v>170</v>
      </c>
      <c r="D729" s="18">
        <v>12</v>
      </c>
      <c r="E729" s="131" t="s">
        <v>1309</v>
      </c>
      <c r="F729" s="22" t="s">
        <v>1309</v>
      </c>
      <c r="G729" s="132" t="s">
        <v>1309</v>
      </c>
      <c r="H729" s="22" t="s">
        <v>1311</v>
      </c>
      <c r="I729" s="22" t="s">
        <v>1327</v>
      </c>
      <c r="J729" s="22" t="s">
        <v>1327</v>
      </c>
      <c r="K729" s="22" t="s">
        <v>1309</v>
      </c>
      <c r="L729" s="22" t="s">
        <v>1309</v>
      </c>
      <c r="M729" s="133" t="s">
        <v>1311</v>
      </c>
      <c r="N729" s="22" t="s">
        <v>1311</v>
      </c>
      <c r="O729" s="22" t="s">
        <v>1315</v>
      </c>
      <c r="P729" s="22" t="s">
        <v>1315</v>
      </c>
      <c r="Q729" s="20">
        <v>0</v>
      </c>
      <c r="R729" s="20">
        <v>0</v>
      </c>
      <c r="S729" s="20">
        <v>15.224</v>
      </c>
      <c r="T729" s="20">
        <v>15.224</v>
      </c>
      <c r="U729" s="20">
        <v>1</v>
      </c>
      <c r="V729" s="20">
        <v>1</v>
      </c>
      <c r="W729" s="20">
        <v>0</v>
      </c>
      <c r="X729" s="20">
        <v>0</v>
      </c>
      <c r="Y729" s="20">
        <v>0</v>
      </c>
      <c r="Z729" s="20">
        <v>0</v>
      </c>
      <c r="AA729" s="20" t="s">
        <v>1309</v>
      </c>
      <c r="AB729" s="22" t="s">
        <v>1309</v>
      </c>
      <c r="AC729" s="20">
        <v>3</v>
      </c>
      <c r="AD729" s="20">
        <v>2</v>
      </c>
      <c r="AE729" s="20">
        <v>2</v>
      </c>
      <c r="AF729" s="20">
        <v>1</v>
      </c>
      <c r="AG729" s="20">
        <v>2</v>
      </c>
      <c r="AH729" s="20">
        <v>10</v>
      </c>
      <c r="AI729" s="328">
        <v>19.705727798213346</v>
      </c>
      <c r="AJ729" s="328">
        <v>2.3557126030624262</v>
      </c>
      <c r="AK729" s="328">
        <v>2.3557126030624262</v>
      </c>
      <c r="AL729" s="22" t="s">
        <v>1329</v>
      </c>
      <c r="AM729" s="22" t="s">
        <v>1330</v>
      </c>
      <c r="AN729" s="22" t="s">
        <v>1317</v>
      </c>
      <c r="AO729" s="22" t="s">
        <v>1318</v>
      </c>
      <c r="AP729" s="22" t="s">
        <v>1318</v>
      </c>
      <c r="AQ729" s="22" t="s">
        <v>1318</v>
      </c>
      <c r="AR729" s="22" t="s">
        <v>1317</v>
      </c>
      <c r="AS729" s="22" t="s">
        <v>1318</v>
      </c>
      <c r="AT729" s="22" t="s">
        <v>1317</v>
      </c>
      <c r="AU729" s="22" t="s">
        <v>1318</v>
      </c>
      <c r="AV729" s="22" t="s">
        <v>1317</v>
      </c>
      <c r="AW729" s="22" t="s">
        <v>1318</v>
      </c>
      <c r="AX729" s="22" t="s">
        <v>1317</v>
      </c>
      <c r="AY729" s="22" t="s">
        <v>1318</v>
      </c>
      <c r="AZ729" s="22" t="s">
        <v>1309</v>
      </c>
      <c r="BA729" s="22" t="s">
        <v>1309</v>
      </c>
      <c r="BB729" s="22" t="s">
        <v>1309</v>
      </c>
      <c r="BC729" s="22" t="s">
        <v>1309</v>
      </c>
      <c r="BD729" s="22" t="s">
        <v>1317</v>
      </c>
      <c r="BE729" s="22" t="s">
        <v>1318</v>
      </c>
      <c r="BF729" s="22" t="s">
        <v>1317</v>
      </c>
      <c r="BG729" s="22" t="s">
        <v>1318</v>
      </c>
      <c r="BH729" s="22" t="s">
        <v>1309</v>
      </c>
      <c r="BI729" s="22" t="s">
        <v>1309</v>
      </c>
      <c r="BJ729" s="22" t="s">
        <v>1315</v>
      </c>
      <c r="BK729" s="22" t="s">
        <v>1315</v>
      </c>
      <c r="BL729" s="22" t="s">
        <v>1317</v>
      </c>
      <c r="BM729" s="22" t="s">
        <v>1318</v>
      </c>
      <c r="BN729" s="22" t="s">
        <v>1309</v>
      </c>
      <c r="BO729" s="22" t="s">
        <v>1309</v>
      </c>
      <c r="BP729" s="22" t="s">
        <v>1309</v>
      </c>
      <c r="BQ729" s="22" t="s">
        <v>1309</v>
      </c>
      <c r="BR729" s="22" t="s">
        <v>1317</v>
      </c>
      <c r="BS729" s="22" t="s">
        <v>1311</v>
      </c>
      <c r="BT729" s="22" t="s">
        <v>1309</v>
      </c>
      <c r="BU729" s="22" t="s">
        <v>1309</v>
      </c>
      <c r="BV729" s="22" t="s">
        <v>1309</v>
      </c>
      <c r="BW729" s="22" t="s">
        <v>1309</v>
      </c>
      <c r="BX729" s="20">
        <v>0</v>
      </c>
      <c r="BY729" s="20">
        <v>0</v>
      </c>
      <c r="BZ729" s="20">
        <v>81</v>
      </c>
      <c r="CA729" s="20">
        <v>0</v>
      </c>
      <c r="CB729" s="20">
        <v>0</v>
      </c>
      <c r="CC729" s="20">
        <v>768</v>
      </c>
      <c r="CD729" s="22" t="s">
        <v>1317</v>
      </c>
      <c r="CE729" s="22" t="s">
        <v>1318</v>
      </c>
      <c r="CF729" s="22" t="s">
        <v>1317</v>
      </c>
      <c r="CG729" s="22" t="s">
        <v>1318</v>
      </c>
      <c r="CH729" s="22" t="s">
        <v>1317</v>
      </c>
      <c r="CI729" s="22" t="s">
        <v>1318</v>
      </c>
      <c r="CJ729" s="149" t="s">
        <v>1124</v>
      </c>
      <c r="CK729" s="241" t="s">
        <v>1124</v>
      </c>
    </row>
    <row r="730" spans="1:89" ht="15" customHeight="1" x14ac:dyDescent="0.35">
      <c r="A730" s="17"/>
      <c r="B730" s="313">
        <v>13085</v>
      </c>
      <c r="C730" s="8" t="s">
        <v>56</v>
      </c>
      <c r="D730" s="18">
        <v>1</v>
      </c>
      <c r="E730" s="131"/>
      <c r="F730" s="22"/>
      <c r="G730" s="132"/>
      <c r="H730" s="22"/>
      <c r="I730" s="22"/>
      <c r="J730" s="22"/>
      <c r="K730" s="22"/>
      <c r="L730" s="22"/>
      <c r="M730" s="133"/>
      <c r="N730" s="22"/>
      <c r="O730" s="22"/>
      <c r="P730" s="22"/>
      <c r="Q730" s="20"/>
      <c r="R730" s="20"/>
      <c r="S730" s="20"/>
      <c r="T730" s="20"/>
      <c r="U730" s="20"/>
      <c r="V730" s="20"/>
      <c r="W730" s="20"/>
      <c r="X730" s="20"/>
      <c r="Y730" s="20"/>
      <c r="Z730" s="20"/>
      <c r="AA730" s="20"/>
      <c r="AB730" s="22"/>
      <c r="AC730" s="20"/>
      <c r="AD730" s="20"/>
      <c r="AE730" s="20"/>
      <c r="AF730" s="20" t="s">
        <v>1124</v>
      </c>
      <c r="AG730" s="20" t="s">
        <v>1124</v>
      </c>
      <c r="AH730" s="20" t="s">
        <v>1124</v>
      </c>
      <c r="AI730" s="328"/>
      <c r="AJ730" s="328"/>
      <c r="AK730" s="328"/>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0"/>
      <c r="BY730" s="20"/>
      <c r="BZ730" s="20"/>
      <c r="CA730" s="20"/>
      <c r="CB730" s="20"/>
      <c r="CC730" s="20"/>
      <c r="CD730" s="22"/>
      <c r="CE730" s="22"/>
      <c r="CF730" s="22"/>
      <c r="CG730" s="22"/>
      <c r="CH730" s="22"/>
      <c r="CI730" s="22"/>
      <c r="CJ730" s="149"/>
      <c r="CK730" s="241"/>
    </row>
    <row r="731" spans="1:89" ht="15" customHeight="1" x14ac:dyDescent="0.35">
      <c r="A731" s="17"/>
      <c r="B731" s="313">
        <v>54025</v>
      </c>
      <c r="C731" s="8" t="s">
        <v>544</v>
      </c>
      <c r="D731" s="18">
        <v>16</v>
      </c>
      <c r="E731" s="131"/>
      <c r="F731" s="22"/>
      <c r="G731" s="132"/>
      <c r="H731" s="22"/>
      <c r="I731" s="22"/>
      <c r="J731" s="22"/>
      <c r="K731" s="22"/>
      <c r="L731" s="22"/>
      <c r="M731" s="133"/>
      <c r="N731" s="22"/>
      <c r="O731" s="22"/>
      <c r="P731" s="22"/>
      <c r="Q731" s="20"/>
      <c r="R731" s="20"/>
      <c r="S731" s="20"/>
      <c r="T731" s="20"/>
      <c r="U731" s="20"/>
      <c r="V731" s="20"/>
      <c r="W731" s="20"/>
      <c r="X731" s="20"/>
      <c r="Y731" s="20"/>
      <c r="Z731" s="20"/>
      <c r="AA731" s="20"/>
      <c r="AB731" s="22"/>
      <c r="AC731" s="20"/>
      <c r="AD731" s="20"/>
      <c r="AE731" s="20"/>
      <c r="AF731" s="20" t="s">
        <v>1124</v>
      </c>
      <c r="AG731" s="20" t="s">
        <v>1124</v>
      </c>
      <c r="AH731" s="20" t="s">
        <v>1124</v>
      </c>
      <c r="AI731" s="328"/>
      <c r="AJ731" s="328"/>
      <c r="AK731" s="328"/>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0"/>
      <c r="BY731" s="20"/>
      <c r="BZ731" s="20"/>
      <c r="CA731" s="20"/>
      <c r="CB731" s="20"/>
      <c r="CC731" s="20"/>
      <c r="CD731" s="22"/>
      <c r="CE731" s="22"/>
      <c r="CF731" s="22"/>
      <c r="CG731" s="22"/>
      <c r="CH731" s="22"/>
      <c r="CI731" s="22"/>
      <c r="CJ731" s="149"/>
      <c r="CK731" s="241"/>
    </row>
    <row r="732" spans="1:89" ht="15" customHeight="1" x14ac:dyDescent="0.35">
      <c r="A732" s="17"/>
      <c r="B732" s="313">
        <v>4005</v>
      </c>
      <c r="C732" s="8" t="s">
        <v>1036</v>
      </c>
      <c r="D732" s="18">
        <v>11</v>
      </c>
      <c r="E732" s="131" t="s">
        <v>1309</v>
      </c>
      <c r="F732" s="22" t="s">
        <v>1309</v>
      </c>
      <c r="G732" s="132" t="s">
        <v>1309</v>
      </c>
      <c r="H732" s="22" t="s">
        <v>1311</v>
      </c>
      <c r="I732" s="22" t="s">
        <v>1327</v>
      </c>
      <c r="J732" s="22" t="s">
        <v>1327</v>
      </c>
      <c r="K732" s="22" t="s">
        <v>1314</v>
      </c>
      <c r="L732" s="22" t="s">
        <v>1311</v>
      </c>
      <c r="M732" s="133" t="s">
        <v>1311</v>
      </c>
      <c r="N732" s="22" t="s">
        <v>1311</v>
      </c>
      <c r="O732" s="22" t="s">
        <v>1309</v>
      </c>
      <c r="P732" s="22" t="s">
        <v>1309</v>
      </c>
      <c r="Q732" s="20">
        <v>0</v>
      </c>
      <c r="R732" s="20">
        <v>0</v>
      </c>
      <c r="S732" s="20">
        <v>0</v>
      </c>
      <c r="T732" s="20">
        <v>0</v>
      </c>
      <c r="U732" s="20">
        <v>13.661</v>
      </c>
      <c r="V732" s="20">
        <v>13.661</v>
      </c>
      <c r="W732" s="20">
        <v>0</v>
      </c>
      <c r="X732" s="20">
        <v>0</v>
      </c>
      <c r="Y732" s="20">
        <v>0</v>
      </c>
      <c r="Z732" s="20">
        <v>0</v>
      </c>
      <c r="AA732" s="20" t="s">
        <v>1309</v>
      </c>
      <c r="AB732" s="22" t="s">
        <v>1309</v>
      </c>
      <c r="AC732" s="20">
        <v>0</v>
      </c>
      <c r="AD732" s="20">
        <v>2</v>
      </c>
      <c r="AE732" s="20">
        <v>0</v>
      </c>
      <c r="AF732" s="20">
        <v>0</v>
      </c>
      <c r="AG732" s="20">
        <v>4</v>
      </c>
      <c r="AH732" s="20">
        <v>0</v>
      </c>
      <c r="AI732" s="328" t="s">
        <v>1328</v>
      </c>
      <c r="AJ732" s="328">
        <v>7.2463768115942031</v>
      </c>
      <c r="AK732" s="328" t="s">
        <v>1328</v>
      </c>
      <c r="AL732" s="22" t="s">
        <v>1329</v>
      </c>
      <c r="AM732" s="22" t="s">
        <v>1330</v>
      </c>
      <c r="AN732" s="22" t="s">
        <v>1317</v>
      </c>
      <c r="AO732" s="22" t="s">
        <v>1318</v>
      </c>
      <c r="AP732" s="22" t="s">
        <v>1318</v>
      </c>
      <c r="AQ732" s="22" t="s">
        <v>1318</v>
      </c>
      <c r="AR732" s="22" t="s">
        <v>1317</v>
      </c>
      <c r="AS732" s="22" t="s">
        <v>1318</v>
      </c>
      <c r="AT732" s="22" t="s">
        <v>1317</v>
      </c>
      <c r="AU732" s="22" t="s">
        <v>1318</v>
      </c>
      <c r="AV732" s="22" t="s">
        <v>1317</v>
      </c>
      <c r="AW732" s="22" t="s">
        <v>1311</v>
      </c>
      <c r="AX732" s="22" t="s">
        <v>1317</v>
      </c>
      <c r="AY732" s="22" t="s">
        <v>1318</v>
      </c>
      <c r="AZ732" s="22" t="s">
        <v>1317</v>
      </c>
      <c r="BA732" s="22" t="s">
        <v>1318</v>
      </c>
      <c r="BB732" s="22" t="s">
        <v>1309</v>
      </c>
      <c r="BC732" s="22" t="s">
        <v>1309</v>
      </c>
      <c r="BD732" s="22" t="s">
        <v>1317</v>
      </c>
      <c r="BE732" s="22" t="s">
        <v>1318</v>
      </c>
      <c r="BF732" s="22" t="s">
        <v>1319</v>
      </c>
      <c r="BG732" s="22" t="s">
        <v>1311</v>
      </c>
      <c r="BH732" s="22" t="s">
        <v>1309</v>
      </c>
      <c r="BI732" s="22" t="s">
        <v>1309</v>
      </c>
      <c r="BJ732" s="22" t="s">
        <v>1317</v>
      </c>
      <c r="BK732" s="22" t="s">
        <v>1318</v>
      </c>
      <c r="BL732" s="22" t="s">
        <v>1317</v>
      </c>
      <c r="BM732" s="22" t="s">
        <v>1311</v>
      </c>
      <c r="BN732" s="22" t="s">
        <v>1309</v>
      </c>
      <c r="BO732" s="22" t="s">
        <v>1309</v>
      </c>
      <c r="BP732" s="22" t="s">
        <v>1317</v>
      </c>
      <c r="BQ732" s="22" t="s">
        <v>1318</v>
      </c>
      <c r="BR732" s="22" t="s">
        <v>1309</v>
      </c>
      <c r="BS732" s="22" t="s">
        <v>1309</v>
      </c>
      <c r="BT732" s="22" t="s">
        <v>1317</v>
      </c>
      <c r="BU732" s="22" t="s">
        <v>1318</v>
      </c>
      <c r="BV732" s="22" t="s">
        <v>1309</v>
      </c>
      <c r="BW732" s="22" t="s">
        <v>1309</v>
      </c>
      <c r="BX732" s="20">
        <v>11</v>
      </c>
      <c r="BY732" s="20">
        <v>0</v>
      </c>
      <c r="BZ732" s="20">
        <v>16</v>
      </c>
      <c r="CA732" s="20">
        <v>13</v>
      </c>
      <c r="CB732" s="20">
        <v>0</v>
      </c>
      <c r="CC732" s="20">
        <v>236</v>
      </c>
      <c r="CD732" s="22" t="s">
        <v>1331</v>
      </c>
      <c r="CE732" s="22" t="s">
        <v>1331</v>
      </c>
      <c r="CF732" s="22" t="s">
        <v>1320</v>
      </c>
      <c r="CG732" s="22" t="s">
        <v>1321</v>
      </c>
      <c r="CH732" s="22" t="s">
        <v>1317</v>
      </c>
      <c r="CI732" s="22" t="s">
        <v>1318</v>
      </c>
      <c r="CJ732" s="149" t="s">
        <v>2930</v>
      </c>
      <c r="CK732" s="241" t="s">
        <v>2931</v>
      </c>
    </row>
    <row r="733" spans="1:89" ht="15" customHeight="1" x14ac:dyDescent="0.35">
      <c r="A733" s="17"/>
      <c r="B733" s="313">
        <v>62030</v>
      </c>
      <c r="C733" s="8" t="s">
        <v>623</v>
      </c>
      <c r="D733" s="18">
        <v>14</v>
      </c>
      <c r="E733" s="131"/>
      <c r="F733" s="22"/>
      <c r="G733" s="132"/>
      <c r="H733" s="22"/>
      <c r="I733" s="22"/>
      <c r="J733" s="22"/>
      <c r="K733" s="22"/>
      <c r="L733" s="22"/>
      <c r="M733" s="133"/>
      <c r="N733" s="22"/>
      <c r="O733" s="22"/>
      <c r="P733" s="22"/>
      <c r="Q733" s="20"/>
      <c r="R733" s="20"/>
      <c r="S733" s="20"/>
      <c r="T733" s="20"/>
      <c r="U733" s="20"/>
      <c r="V733" s="20"/>
      <c r="W733" s="20"/>
      <c r="X733" s="20"/>
      <c r="Y733" s="20"/>
      <c r="Z733" s="20"/>
      <c r="AA733" s="20"/>
      <c r="AB733" s="22"/>
      <c r="AC733" s="20"/>
      <c r="AD733" s="20"/>
      <c r="AE733" s="20"/>
      <c r="AF733" s="20" t="s">
        <v>1124</v>
      </c>
      <c r="AG733" s="20" t="s">
        <v>1124</v>
      </c>
      <c r="AH733" s="20" t="s">
        <v>1124</v>
      </c>
      <c r="AI733" s="328"/>
      <c r="AJ733" s="328"/>
      <c r="AK733" s="328"/>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0"/>
      <c r="BY733" s="20"/>
      <c r="BZ733" s="20"/>
      <c r="CA733" s="20"/>
      <c r="CB733" s="20"/>
      <c r="CC733" s="20"/>
      <c r="CD733" s="22"/>
      <c r="CE733" s="22"/>
      <c r="CF733" s="22"/>
      <c r="CG733" s="22"/>
      <c r="CH733" s="22"/>
      <c r="CI733" s="22"/>
      <c r="CJ733" s="149"/>
      <c r="CK733" s="241"/>
    </row>
    <row r="734" spans="1:89" ht="15" customHeight="1" x14ac:dyDescent="0.35">
      <c r="A734" s="17"/>
      <c r="B734" s="313">
        <v>26035</v>
      </c>
      <c r="C734" s="8" t="s">
        <v>172</v>
      </c>
      <c r="D734" s="18">
        <v>12</v>
      </c>
      <c r="E734" s="131" t="s">
        <v>1309</v>
      </c>
      <c r="F734" s="22" t="s">
        <v>1309</v>
      </c>
      <c r="G734" s="132" t="s">
        <v>1309</v>
      </c>
      <c r="H734" s="22" t="s">
        <v>1311</v>
      </c>
      <c r="I734" s="22" t="s">
        <v>1327</v>
      </c>
      <c r="J734" s="22" t="s">
        <v>1327</v>
      </c>
      <c r="K734" s="22" t="s">
        <v>1314</v>
      </c>
      <c r="L734" s="22" t="s">
        <v>1311</v>
      </c>
      <c r="M734" s="133" t="s">
        <v>1311</v>
      </c>
      <c r="N734" s="22" t="s">
        <v>1311</v>
      </c>
      <c r="O734" s="22" t="s">
        <v>1314</v>
      </c>
      <c r="P734" s="22" t="s">
        <v>1311</v>
      </c>
      <c r="Q734" s="20">
        <v>5.6449999999999996</v>
      </c>
      <c r="R734" s="20">
        <v>5.6449999999999996</v>
      </c>
      <c r="S734" s="20">
        <v>0</v>
      </c>
      <c r="T734" s="20">
        <v>0</v>
      </c>
      <c r="U734" s="20">
        <v>0</v>
      </c>
      <c r="V734" s="20">
        <v>0</v>
      </c>
      <c r="W734" s="20">
        <v>0</v>
      </c>
      <c r="X734" s="20">
        <v>0</v>
      </c>
      <c r="Y734" s="20">
        <v>0</v>
      </c>
      <c r="Z734" s="20">
        <v>0</v>
      </c>
      <c r="AA734" s="20" t="s">
        <v>1309</v>
      </c>
      <c r="AB734" s="22" t="s">
        <v>1309</v>
      </c>
      <c r="AC734" s="20">
        <v>0</v>
      </c>
      <c r="AD734" s="20">
        <v>0</v>
      </c>
      <c r="AE734" s="20">
        <v>1</v>
      </c>
      <c r="AF734" s="20">
        <v>0</v>
      </c>
      <c r="AG734" s="20">
        <v>0</v>
      </c>
      <c r="AH734" s="20">
        <v>1</v>
      </c>
      <c r="AI734" s="328" t="s">
        <v>1328</v>
      </c>
      <c r="AJ734" s="328" t="s">
        <v>1328</v>
      </c>
      <c r="AK734" s="328">
        <v>3.4965034965034967</v>
      </c>
      <c r="AL734" s="22" t="s">
        <v>1329</v>
      </c>
      <c r="AM734" s="22" t="s">
        <v>1330</v>
      </c>
      <c r="AN734" s="22" t="s">
        <v>1317</v>
      </c>
      <c r="AO734" s="22" t="s">
        <v>1318</v>
      </c>
      <c r="AP734" s="22" t="s">
        <v>1318</v>
      </c>
      <c r="AQ734" s="22" t="s">
        <v>1318</v>
      </c>
      <c r="AR734" s="22" t="s">
        <v>1317</v>
      </c>
      <c r="AS734" s="22" t="s">
        <v>1311</v>
      </c>
      <c r="AT734" s="22" t="s">
        <v>1309</v>
      </c>
      <c r="AU734" s="22" t="s">
        <v>1309</v>
      </c>
      <c r="AV734" s="22" t="s">
        <v>1309</v>
      </c>
      <c r="AW734" s="22" t="s">
        <v>1309</v>
      </c>
      <c r="AX734" s="22" t="s">
        <v>1317</v>
      </c>
      <c r="AY734" s="22" t="s">
        <v>1318</v>
      </c>
      <c r="AZ734" s="22" t="s">
        <v>1309</v>
      </c>
      <c r="BA734" s="22" t="s">
        <v>1309</v>
      </c>
      <c r="BB734" s="22" t="s">
        <v>1309</v>
      </c>
      <c r="BC734" s="22" t="s">
        <v>1309</v>
      </c>
      <c r="BD734" s="22" t="s">
        <v>1317</v>
      </c>
      <c r="BE734" s="22" t="s">
        <v>1311</v>
      </c>
      <c r="BF734" s="22" t="s">
        <v>1319</v>
      </c>
      <c r="BG734" s="22" t="s">
        <v>1311</v>
      </c>
      <c r="BH734" s="22" t="s">
        <v>1309</v>
      </c>
      <c r="BI734" s="22" t="s">
        <v>1309</v>
      </c>
      <c r="BJ734" s="22" t="s">
        <v>1309</v>
      </c>
      <c r="BK734" s="22" t="s">
        <v>1309</v>
      </c>
      <c r="BL734" s="22" t="s">
        <v>1319</v>
      </c>
      <c r="BM734" s="22" t="s">
        <v>1311</v>
      </c>
      <c r="BN734" s="22" t="s">
        <v>1309</v>
      </c>
      <c r="BO734" s="22" t="s">
        <v>1309</v>
      </c>
      <c r="BP734" s="22" t="s">
        <v>1309</v>
      </c>
      <c r="BQ734" s="22" t="s">
        <v>1309</v>
      </c>
      <c r="BR734" s="22" t="s">
        <v>1317</v>
      </c>
      <c r="BS734" s="22" t="s">
        <v>1318</v>
      </c>
      <c r="BT734" s="22" t="s">
        <v>1317</v>
      </c>
      <c r="BU734" s="22" t="s">
        <v>1318</v>
      </c>
      <c r="BV734" s="22" t="s">
        <v>1317</v>
      </c>
      <c r="BW734" s="22" t="s">
        <v>1318</v>
      </c>
      <c r="BX734" s="20">
        <v>0</v>
      </c>
      <c r="BY734" s="20">
        <v>22</v>
      </c>
      <c r="BZ734" s="20">
        <v>15</v>
      </c>
      <c r="CA734" s="20">
        <v>0</v>
      </c>
      <c r="CB734" s="20">
        <v>0</v>
      </c>
      <c r="CC734" s="20">
        <v>249</v>
      </c>
      <c r="CD734" s="22" t="s">
        <v>1345</v>
      </c>
      <c r="CE734" s="22" t="s">
        <v>1321</v>
      </c>
      <c r="CF734" s="22" t="s">
        <v>1320</v>
      </c>
      <c r="CG734" s="22" t="s">
        <v>1344</v>
      </c>
      <c r="CH734" s="22" t="s">
        <v>1317</v>
      </c>
      <c r="CI734" s="22" t="s">
        <v>1318</v>
      </c>
      <c r="CJ734" s="149" t="s">
        <v>1124</v>
      </c>
      <c r="CK734" s="241" t="s">
        <v>1124</v>
      </c>
    </row>
    <row r="735" spans="1:89" ht="15" customHeight="1" x14ac:dyDescent="0.35">
      <c r="A735" s="17"/>
      <c r="B735" s="313">
        <v>77012</v>
      </c>
      <c r="C735" s="8" t="s">
        <v>757</v>
      </c>
      <c r="D735" s="18">
        <v>15</v>
      </c>
      <c r="E735" s="131" t="s">
        <v>1309</v>
      </c>
      <c r="F735" s="22" t="s">
        <v>1309</v>
      </c>
      <c r="G735" s="132" t="s">
        <v>1309</v>
      </c>
      <c r="H735" s="22" t="s">
        <v>1311</v>
      </c>
      <c r="I735" s="22" t="s">
        <v>1312</v>
      </c>
      <c r="J735" s="22" t="s">
        <v>1327</v>
      </c>
      <c r="K735" s="22" t="s">
        <v>1309</v>
      </c>
      <c r="L735" s="22" t="s">
        <v>1309</v>
      </c>
      <c r="M735" s="133" t="s">
        <v>1311</v>
      </c>
      <c r="N735" s="22" t="s">
        <v>1311</v>
      </c>
      <c r="O735" s="22" t="s">
        <v>1314</v>
      </c>
      <c r="P735" s="22" t="s">
        <v>1311</v>
      </c>
      <c r="Q735" s="20">
        <v>24</v>
      </c>
      <c r="R735" s="20">
        <v>24</v>
      </c>
      <c r="S735" s="20">
        <v>0</v>
      </c>
      <c r="T735" s="20">
        <v>0</v>
      </c>
      <c r="U735" s="20">
        <v>0</v>
      </c>
      <c r="V735" s="20">
        <v>0</v>
      </c>
      <c r="W735" s="20">
        <v>0</v>
      </c>
      <c r="X735" s="20">
        <v>0</v>
      </c>
      <c r="Y735" s="20">
        <v>0</v>
      </c>
      <c r="Z735" s="20">
        <v>0</v>
      </c>
      <c r="AA735" s="20" t="s">
        <v>1317</v>
      </c>
      <c r="AB735" s="22" t="s">
        <v>1318</v>
      </c>
      <c r="AC735" s="20">
        <v>3</v>
      </c>
      <c r="AD735" s="20">
        <v>0</v>
      </c>
      <c r="AE735" s="20">
        <v>0</v>
      </c>
      <c r="AF735" s="20">
        <v>1</v>
      </c>
      <c r="AG735" s="20">
        <v>0</v>
      </c>
      <c r="AH735" s="20">
        <v>0</v>
      </c>
      <c r="AI735" s="328">
        <v>12.19413055849118</v>
      </c>
      <c r="AJ735" s="328" t="s">
        <v>1328</v>
      </c>
      <c r="AK735" s="328" t="s">
        <v>1328</v>
      </c>
      <c r="AL735" s="22" t="s">
        <v>1329</v>
      </c>
      <c r="AM735" s="22" t="s">
        <v>1315</v>
      </c>
      <c r="AN735" s="22" t="s">
        <v>1317</v>
      </c>
      <c r="AO735" s="22" t="s">
        <v>1318</v>
      </c>
      <c r="AP735" s="22" t="s">
        <v>1318</v>
      </c>
      <c r="AQ735" s="22" t="s">
        <v>1318</v>
      </c>
      <c r="AR735" s="22" t="s">
        <v>1317</v>
      </c>
      <c r="AS735" s="22" t="s">
        <v>1311</v>
      </c>
      <c r="AT735" s="22" t="s">
        <v>1317</v>
      </c>
      <c r="AU735" s="22" t="s">
        <v>1311</v>
      </c>
      <c r="AV735" s="22" t="s">
        <v>1319</v>
      </c>
      <c r="AW735" s="22" t="s">
        <v>1309</v>
      </c>
      <c r="AX735" s="22" t="s">
        <v>1317</v>
      </c>
      <c r="AY735" s="22" t="s">
        <v>1318</v>
      </c>
      <c r="AZ735" s="22" t="s">
        <v>1309</v>
      </c>
      <c r="BA735" s="22" t="s">
        <v>1309</v>
      </c>
      <c r="BB735" s="22" t="s">
        <v>1317</v>
      </c>
      <c r="BC735" s="22" t="s">
        <v>1311</v>
      </c>
      <c r="BD735" s="22" t="s">
        <v>1317</v>
      </c>
      <c r="BE735" s="22" t="s">
        <v>1318</v>
      </c>
      <c r="BF735" s="22" t="s">
        <v>1317</v>
      </c>
      <c r="BG735" s="22" t="s">
        <v>1318</v>
      </c>
      <c r="BH735" s="22" t="s">
        <v>1309</v>
      </c>
      <c r="BI735" s="22" t="s">
        <v>1309</v>
      </c>
      <c r="BJ735" s="22" t="s">
        <v>1317</v>
      </c>
      <c r="BK735" s="22" t="s">
        <v>1318</v>
      </c>
      <c r="BL735" s="22" t="s">
        <v>1317</v>
      </c>
      <c r="BM735" s="22" t="s">
        <v>1318</v>
      </c>
      <c r="BN735" s="22" t="s">
        <v>1309</v>
      </c>
      <c r="BO735" s="22" t="s">
        <v>1309</v>
      </c>
      <c r="BP735" s="22" t="s">
        <v>1317</v>
      </c>
      <c r="BQ735" s="22" t="s">
        <v>1318</v>
      </c>
      <c r="BR735" s="22" t="s">
        <v>1309</v>
      </c>
      <c r="BS735" s="22" t="s">
        <v>1309</v>
      </c>
      <c r="BT735" s="22" t="s">
        <v>1309</v>
      </c>
      <c r="BU735" s="22" t="s">
        <v>1309</v>
      </c>
      <c r="BV735" s="22" t="s">
        <v>1317</v>
      </c>
      <c r="BW735" s="22" t="s">
        <v>1318</v>
      </c>
      <c r="BX735" s="20">
        <v>0</v>
      </c>
      <c r="BY735" s="20">
        <v>0</v>
      </c>
      <c r="BZ735" s="20">
        <v>41</v>
      </c>
      <c r="CA735" s="20">
        <v>0</v>
      </c>
      <c r="CB735" s="20">
        <v>0</v>
      </c>
      <c r="CC735" s="20">
        <v>551</v>
      </c>
      <c r="CD735" s="22" t="s">
        <v>1317</v>
      </c>
      <c r="CE735" s="22" t="s">
        <v>1340</v>
      </c>
      <c r="CF735" s="22" t="s">
        <v>1317</v>
      </c>
      <c r="CG735" s="22" t="s">
        <v>1318</v>
      </c>
      <c r="CH735" s="22" t="s">
        <v>1317</v>
      </c>
      <c r="CI735" s="22" t="s">
        <v>1318</v>
      </c>
      <c r="CJ735" s="149" t="s">
        <v>2938</v>
      </c>
      <c r="CK735" s="241" t="s">
        <v>1791</v>
      </c>
    </row>
    <row r="736" spans="1:89" ht="15" customHeight="1" x14ac:dyDescent="0.35">
      <c r="A736" s="17"/>
      <c r="B736" s="313">
        <v>7005</v>
      </c>
      <c r="C736" s="8" t="s">
        <v>1068</v>
      </c>
      <c r="D736" s="18">
        <v>1</v>
      </c>
      <c r="E736" s="131"/>
      <c r="F736" s="22"/>
      <c r="G736" s="132"/>
      <c r="H736" s="22"/>
      <c r="I736" s="22"/>
      <c r="J736" s="22"/>
      <c r="K736" s="22"/>
      <c r="L736" s="22"/>
      <c r="M736" s="133"/>
      <c r="N736" s="22"/>
      <c r="O736" s="22"/>
      <c r="P736" s="22"/>
      <c r="Q736" s="20"/>
      <c r="R736" s="20"/>
      <c r="S736" s="20"/>
      <c r="T736" s="20"/>
      <c r="U736" s="20"/>
      <c r="V736" s="20"/>
      <c r="W736" s="20"/>
      <c r="X736" s="20"/>
      <c r="Y736" s="20"/>
      <c r="Z736" s="20"/>
      <c r="AA736" s="20"/>
      <c r="AB736" s="22"/>
      <c r="AC736" s="20"/>
      <c r="AD736" s="20"/>
      <c r="AE736" s="20"/>
      <c r="AF736" s="20" t="s">
        <v>1124</v>
      </c>
      <c r="AG736" s="20" t="s">
        <v>1124</v>
      </c>
      <c r="AH736" s="20" t="s">
        <v>1124</v>
      </c>
      <c r="AI736" s="328"/>
      <c r="AJ736" s="328"/>
      <c r="AK736" s="328"/>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0"/>
      <c r="BY736" s="20"/>
      <c r="BZ736" s="20"/>
      <c r="CA736" s="20"/>
      <c r="CB736" s="20"/>
      <c r="CC736" s="20"/>
      <c r="CD736" s="22"/>
      <c r="CE736" s="22"/>
      <c r="CF736" s="22"/>
      <c r="CG736" s="22"/>
      <c r="CH736" s="22"/>
      <c r="CI736" s="22"/>
      <c r="CJ736" s="149"/>
      <c r="CK736" s="241"/>
    </row>
    <row r="737" spans="1:89" ht="15" customHeight="1" x14ac:dyDescent="0.35">
      <c r="A737" s="17"/>
      <c r="B737" s="313">
        <v>26030</v>
      </c>
      <c r="C737" s="8" t="s">
        <v>171</v>
      </c>
      <c r="D737" s="18">
        <v>12</v>
      </c>
      <c r="E737" s="131" t="s">
        <v>1309</v>
      </c>
      <c r="F737" s="22" t="s">
        <v>1309</v>
      </c>
      <c r="G737" s="132" t="s">
        <v>1309</v>
      </c>
      <c r="H737" s="22" t="s">
        <v>1311</v>
      </c>
      <c r="I737" s="22" t="s">
        <v>1327</v>
      </c>
      <c r="J737" s="22" t="s">
        <v>1327</v>
      </c>
      <c r="K737" s="22" t="s">
        <v>1309</v>
      </c>
      <c r="L737" s="22" t="s">
        <v>1309</v>
      </c>
      <c r="M737" s="133" t="s">
        <v>1311</v>
      </c>
      <c r="N737" s="22" t="s">
        <v>1311</v>
      </c>
      <c r="O737" s="22" t="s">
        <v>1309</v>
      </c>
      <c r="P737" s="22" t="s">
        <v>1309</v>
      </c>
      <c r="Q737" s="20">
        <v>0</v>
      </c>
      <c r="R737" s="20">
        <v>0</v>
      </c>
      <c r="S737" s="20">
        <v>0</v>
      </c>
      <c r="T737" s="20">
        <v>0</v>
      </c>
      <c r="U737" s="20">
        <v>0</v>
      </c>
      <c r="V737" s="20">
        <v>80.625</v>
      </c>
      <c r="W737" s="20">
        <v>0</v>
      </c>
      <c r="X737" s="20">
        <v>0</v>
      </c>
      <c r="Y737" s="20">
        <v>0</v>
      </c>
      <c r="Z737" s="20">
        <v>0</v>
      </c>
      <c r="AA737" s="20" t="s">
        <v>1317</v>
      </c>
      <c r="AB737" s="22" t="s">
        <v>1318</v>
      </c>
      <c r="AC737" s="20">
        <v>15</v>
      </c>
      <c r="AD737" s="20">
        <v>0</v>
      </c>
      <c r="AE737" s="20">
        <v>0</v>
      </c>
      <c r="AF737" s="20">
        <v>1</v>
      </c>
      <c r="AG737" s="20">
        <v>0</v>
      </c>
      <c r="AH737" s="20">
        <v>0</v>
      </c>
      <c r="AI737" s="328">
        <v>18.604651162790699</v>
      </c>
      <c r="AJ737" s="328" t="s">
        <v>1328</v>
      </c>
      <c r="AK737" s="328" t="s">
        <v>1328</v>
      </c>
      <c r="AL737" s="22" t="s">
        <v>1329</v>
      </c>
      <c r="AM737" s="22" t="s">
        <v>1330</v>
      </c>
      <c r="AN737" s="22" t="s">
        <v>1317</v>
      </c>
      <c r="AO737" s="22" t="s">
        <v>1318</v>
      </c>
      <c r="AP737" s="22" t="s">
        <v>1318</v>
      </c>
      <c r="AQ737" s="22" t="s">
        <v>1318</v>
      </c>
      <c r="AR737" s="22" t="s">
        <v>1317</v>
      </c>
      <c r="AS737" s="22" t="s">
        <v>1318</v>
      </c>
      <c r="AT737" s="22" t="s">
        <v>1309</v>
      </c>
      <c r="AU737" s="22" t="s">
        <v>1309</v>
      </c>
      <c r="AV737" s="22" t="s">
        <v>1317</v>
      </c>
      <c r="AW737" s="22" t="s">
        <v>1318</v>
      </c>
      <c r="AX737" s="22" t="s">
        <v>1317</v>
      </c>
      <c r="AY737" s="22" t="s">
        <v>1318</v>
      </c>
      <c r="AZ737" s="22" t="s">
        <v>1309</v>
      </c>
      <c r="BA737" s="22" t="s">
        <v>1309</v>
      </c>
      <c r="BB737" s="22" t="s">
        <v>1309</v>
      </c>
      <c r="BC737" s="22" t="s">
        <v>1309</v>
      </c>
      <c r="BD737" s="22" t="s">
        <v>1309</v>
      </c>
      <c r="BE737" s="22" t="s">
        <v>1309</v>
      </c>
      <c r="BF737" s="22" t="s">
        <v>1317</v>
      </c>
      <c r="BG737" s="22" t="s">
        <v>1318</v>
      </c>
      <c r="BH737" s="22" t="s">
        <v>1309</v>
      </c>
      <c r="BI737" s="22" t="s">
        <v>1309</v>
      </c>
      <c r="BJ737" s="22" t="s">
        <v>1317</v>
      </c>
      <c r="BK737" s="22" t="s">
        <v>1318</v>
      </c>
      <c r="BL737" s="22" t="s">
        <v>1309</v>
      </c>
      <c r="BM737" s="22" t="s">
        <v>1309</v>
      </c>
      <c r="BN737" s="22" t="s">
        <v>1317</v>
      </c>
      <c r="BO737" s="22" t="s">
        <v>1318</v>
      </c>
      <c r="BP737" s="22" t="s">
        <v>1317</v>
      </c>
      <c r="BQ737" s="22" t="s">
        <v>1318</v>
      </c>
      <c r="BR737" s="22" t="s">
        <v>1309</v>
      </c>
      <c r="BS737" s="22" t="s">
        <v>1309</v>
      </c>
      <c r="BT737" s="22" t="s">
        <v>1309</v>
      </c>
      <c r="BU737" s="22" t="s">
        <v>1309</v>
      </c>
      <c r="BV737" s="22" t="s">
        <v>1309</v>
      </c>
      <c r="BW737" s="22" t="s">
        <v>1309</v>
      </c>
      <c r="BX737" s="20">
        <v>560</v>
      </c>
      <c r="BY737" s="20">
        <v>0</v>
      </c>
      <c r="BZ737" s="20">
        <v>0</v>
      </c>
      <c r="CA737" s="20">
        <v>0</v>
      </c>
      <c r="CB737" s="20">
        <v>0</v>
      </c>
      <c r="CC737" s="20">
        <v>4500</v>
      </c>
      <c r="CD737" s="22" t="s">
        <v>1331</v>
      </c>
      <c r="CE737" s="22" t="s">
        <v>1331</v>
      </c>
      <c r="CF737" s="22" t="s">
        <v>1317</v>
      </c>
      <c r="CG737" s="22" t="s">
        <v>1318</v>
      </c>
      <c r="CH737" s="22" t="s">
        <v>1317</v>
      </c>
      <c r="CI737" s="22" t="s">
        <v>1318</v>
      </c>
      <c r="CJ737" s="149" t="s">
        <v>1124</v>
      </c>
      <c r="CK737" s="241" t="s">
        <v>2942</v>
      </c>
    </row>
    <row r="738" spans="1:89" ht="15" customHeight="1" x14ac:dyDescent="0.35">
      <c r="A738" s="17"/>
      <c r="B738" s="313">
        <v>38015</v>
      </c>
      <c r="C738" s="8" t="s">
        <v>327</v>
      </c>
      <c r="D738" s="18">
        <v>17</v>
      </c>
      <c r="E738" s="131" t="s">
        <v>1319</v>
      </c>
      <c r="F738" s="22" t="s">
        <v>1310</v>
      </c>
      <c r="G738" s="132" t="s">
        <v>1309</v>
      </c>
      <c r="H738" s="22" t="s">
        <v>1311</v>
      </c>
      <c r="I738" s="22" t="s">
        <v>1327</v>
      </c>
      <c r="J738" s="22" t="s">
        <v>1327</v>
      </c>
      <c r="K738" s="22" t="s">
        <v>1309</v>
      </c>
      <c r="L738" s="22" t="s">
        <v>1309</v>
      </c>
      <c r="M738" s="133" t="s">
        <v>1311</v>
      </c>
      <c r="N738" s="22" t="s">
        <v>1311</v>
      </c>
      <c r="O738" s="22" t="s">
        <v>1315</v>
      </c>
      <c r="P738" s="22" t="s">
        <v>1315</v>
      </c>
      <c r="Q738" s="20">
        <v>0</v>
      </c>
      <c r="R738" s="20">
        <v>0</v>
      </c>
      <c r="S738" s="20">
        <v>0</v>
      </c>
      <c r="T738" s="20">
        <v>4.0999999999999996</v>
      </c>
      <c r="U738" s="20">
        <v>0</v>
      </c>
      <c r="V738" s="20">
        <v>4.0999999999999996</v>
      </c>
      <c r="W738" s="20">
        <v>0</v>
      </c>
      <c r="X738" s="20">
        <v>0</v>
      </c>
      <c r="Y738" s="20">
        <v>0</v>
      </c>
      <c r="Z738" s="20">
        <v>0</v>
      </c>
      <c r="AA738" s="20" t="s">
        <v>1317</v>
      </c>
      <c r="AB738" s="22" t="s">
        <v>1309</v>
      </c>
      <c r="AC738" s="20">
        <v>0</v>
      </c>
      <c r="AD738" s="20">
        <v>1</v>
      </c>
      <c r="AE738" s="20">
        <v>1</v>
      </c>
      <c r="AF738" s="20">
        <v>0</v>
      </c>
      <c r="AG738" s="20">
        <v>2</v>
      </c>
      <c r="AH738" s="20">
        <v>60</v>
      </c>
      <c r="AI738" s="328" t="s">
        <v>1328</v>
      </c>
      <c r="AJ738" s="328">
        <v>4.6511627906976747</v>
      </c>
      <c r="AK738" s="328">
        <v>4.6511627906976747</v>
      </c>
      <c r="AL738" s="22" t="s">
        <v>1338</v>
      </c>
      <c r="AM738" s="22" t="s">
        <v>1339</v>
      </c>
      <c r="AN738" s="22" t="s">
        <v>1317</v>
      </c>
      <c r="AO738" s="22" t="s">
        <v>1318</v>
      </c>
      <c r="AP738" s="22" t="s">
        <v>1318</v>
      </c>
      <c r="AQ738" s="22" t="s">
        <v>1318</v>
      </c>
      <c r="AR738" s="22" t="s">
        <v>1317</v>
      </c>
      <c r="AS738" s="22" t="s">
        <v>1318</v>
      </c>
      <c r="AT738" s="22" t="s">
        <v>1317</v>
      </c>
      <c r="AU738" s="22" t="s">
        <v>1311</v>
      </c>
      <c r="AV738" s="22" t="s">
        <v>1317</v>
      </c>
      <c r="AW738" s="22" t="s">
        <v>1318</v>
      </c>
      <c r="AX738" s="22" t="s">
        <v>1317</v>
      </c>
      <c r="AY738" s="22" t="s">
        <v>1318</v>
      </c>
      <c r="AZ738" s="22" t="s">
        <v>1309</v>
      </c>
      <c r="BA738" s="22" t="s">
        <v>1311</v>
      </c>
      <c r="BB738" s="22" t="s">
        <v>1309</v>
      </c>
      <c r="BC738" s="22" t="s">
        <v>1311</v>
      </c>
      <c r="BD738" s="22" t="s">
        <v>1317</v>
      </c>
      <c r="BE738" s="22" t="s">
        <v>1318</v>
      </c>
      <c r="BF738" s="22" t="s">
        <v>1317</v>
      </c>
      <c r="BG738" s="22" t="s">
        <v>1311</v>
      </c>
      <c r="BH738" s="22" t="s">
        <v>1317</v>
      </c>
      <c r="BI738" s="22" t="s">
        <v>1318</v>
      </c>
      <c r="BJ738" s="22" t="s">
        <v>1309</v>
      </c>
      <c r="BK738" s="22" t="s">
        <v>1309</v>
      </c>
      <c r="BL738" s="22" t="s">
        <v>1317</v>
      </c>
      <c r="BM738" s="22" t="s">
        <v>1318</v>
      </c>
      <c r="BN738" s="22" t="s">
        <v>1309</v>
      </c>
      <c r="BO738" s="22" t="s">
        <v>1309</v>
      </c>
      <c r="BP738" s="22" t="s">
        <v>1317</v>
      </c>
      <c r="BQ738" s="22" t="s">
        <v>1318</v>
      </c>
      <c r="BR738" s="22" t="s">
        <v>1309</v>
      </c>
      <c r="BS738" s="22" t="s">
        <v>1309</v>
      </c>
      <c r="BT738" s="22" t="s">
        <v>1317</v>
      </c>
      <c r="BU738" s="22" t="s">
        <v>1318</v>
      </c>
      <c r="BV738" s="22" t="s">
        <v>1317</v>
      </c>
      <c r="BW738" s="22" t="s">
        <v>1318</v>
      </c>
      <c r="BX738" s="20">
        <v>0</v>
      </c>
      <c r="BY738" s="20">
        <v>0</v>
      </c>
      <c r="BZ738" s="20">
        <v>9</v>
      </c>
      <c r="CA738" s="20">
        <v>0</v>
      </c>
      <c r="CB738" s="20">
        <v>0</v>
      </c>
      <c r="CC738" s="20">
        <v>204</v>
      </c>
      <c r="CD738" s="22" t="s">
        <v>1317</v>
      </c>
      <c r="CE738" s="22" t="s">
        <v>1340</v>
      </c>
      <c r="CF738" s="22" t="s">
        <v>1317</v>
      </c>
      <c r="CG738" s="22" t="s">
        <v>1340</v>
      </c>
      <c r="CH738" s="22" t="s">
        <v>1317</v>
      </c>
      <c r="CI738" s="22" t="s">
        <v>1318</v>
      </c>
      <c r="CJ738" s="149" t="s">
        <v>1124</v>
      </c>
      <c r="CK738" s="241" t="s">
        <v>2947</v>
      </c>
    </row>
    <row r="739" spans="1:89" ht="15" customHeight="1" x14ac:dyDescent="0.35">
      <c r="A739" s="17"/>
      <c r="B739" s="313">
        <v>54030</v>
      </c>
      <c r="C739" s="8" t="s">
        <v>545</v>
      </c>
      <c r="D739" s="18">
        <v>16</v>
      </c>
      <c r="E739" s="131" t="s">
        <v>1309</v>
      </c>
      <c r="F739" s="22" t="s">
        <v>1309</v>
      </c>
      <c r="G739" s="132" t="s">
        <v>1309</v>
      </c>
      <c r="H739" s="22" t="s">
        <v>1311</v>
      </c>
      <c r="I739" s="22" t="s">
        <v>1327</v>
      </c>
      <c r="J739" s="22" t="s">
        <v>1327</v>
      </c>
      <c r="K739" s="22" t="s">
        <v>1314</v>
      </c>
      <c r="L739" s="22" t="s">
        <v>1311</v>
      </c>
      <c r="M739" s="133" t="s">
        <v>1311</v>
      </c>
      <c r="N739" s="22" t="s">
        <v>1311</v>
      </c>
      <c r="O739" s="22" t="s">
        <v>1314</v>
      </c>
      <c r="P739" s="22" t="s">
        <v>1318</v>
      </c>
      <c r="Q739" s="20">
        <v>0</v>
      </c>
      <c r="R739" s="20">
        <v>0</v>
      </c>
      <c r="S739" s="20">
        <v>0</v>
      </c>
      <c r="T739" s="20">
        <v>0</v>
      </c>
      <c r="U739" s="20">
        <v>0</v>
      </c>
      <c r="V739" s="20">
        <v>0</v>
      </c>
      <c r="W739" s="20">
        <v>0</v>
      </c>
      <c r="X739" s="20">
        <v>0</v>
      </c>
      <c r="Y739" s="20">
        <v>0</v>
      </c>
      <c r="Z739" s="20">
        <v>0</v>
      </c>
      <c r="AA739" s="20" t="s">
        <v>1317</v>
      </c>
      <c r="AB739" s="22" t="s">
        <v>1318</v>
      </c>
      <c r="AC739" s="20">
        <v>3</v>
      </c>
      <c r="AD739" s="20">
        <v>0</v>
      </c>
      <c r="AE739" s="20">
        <v>0</v>
      </c>
      <c r="AF739" s="20">
        <v>2</v>
      </c>
      <c r="AG739" s="20">
        <v>0</v>
      </c>
      <c r="AH739" s="20">
        <v>0</v>
      </c>
      <c r="AI739" s="328">
        <v>6.7013648446400254</v>
      </c>
      <c r="AJ739" s="328" t="s">
        <v>1328</v>
      </c>
      <c r="AK739" s="328" t="s">
        <v>1328</v>
      </c>
      <c r="AL739" s="22" t="s">
        <v>1329</v>
      </c>
      <c r="AM739" s="22" t="s">
        <v>1330</v>
      </c>
      <c r="AN739" s="22" t="s">
        <v>1317</v>
      </c>
      <c r="AO739" s="22" t="s">
        <v>1318</v>
      </c>
      <c r="AP739" s="22" t="s">
        <v>1318</v>
      </c>
      <c r="AQ739" s="22" t="s">
        <v>1318</v>
      </c>
      <c r="AR739" s="22" t="s">
        <v>1317</v>
      </c>
      <c r="AS739" s="22" t="s">
        <v>1318</v>
      </c>
      <c r="AT739" s="22" t="s">
        <v>1309</v>
      </c>
      <c r="AU739" s="22" t="s">
        <v>1309</v>
      </c>
      <c r="AV739" s="22" t="s">
        <v>1317</v>
      </c>
      <c r="AW739" s="22" t="s">
        <v>1318</v>
      </c>
      <c r="AX739" s="22" t="s">
        <v>1317</v>
      </c>
      <c r="AY739" s="22" t="s">
        <v>1318</v>
      </c>
      <c r="AZ739" s="22" t="s">
        <v>1317</v>
      </c>
      <c r="BA739" s="22" t="s">
        <v>1318</v>
      </c>
      <c r="BB739" s="22" t="s">
        <v>1309</v>
      </c>
      <c r="BC739" s="22" t="s">
        <v>1309</v>
      </c>
      <c r="BD739" s="22" t="s">
        <v>1317</v>
      </c>
      <c r="BE739" s="22" t="s">
        <v>1318</v>
      </c>
      <c r="BF739" s="22" t="s">
        <v>1309</v>
      </c>
      <c r="BG739" s="22" t="s">
        <v>1309</v>
      </c>
      <c r="BH739" s="22" t="s">
        <v>1317</v>
      </c>
      <c r="BI739" s="22" t="s">
        <v>1318</v>
      </c>
      <c r="BJ739" s="22" t="s">
        <v>1317</v>
      </c>
      <c r="BK739" s="22" t="s">
        <v>1318</v>
      </c>
      <c r="BL739" s="22" t="s">
        <v>1317</v>
      </c>
      <c r="BM739" s="22" t="s">
        <v>1318</v>
      </c>
      <c r="BN739" s="22" t="s">
        <v>1317</v>
      </c>
      <c r="BO739" s="22" t="s">
        <v>1318</v>
      </c>
      <c r="BP739" s="22" t="s">
        <v>1317</v>
      </c>
      <c r="BQ739" s="22" t="s">
        <v>1318</v>
      </c>
      <c r="BR739" s="22" t="s">
        <v>1317</v>
      </c>
      <c r="BS739" s="22" t="s">
        <v>1318</v>
      </c>
      <c r="BT739" s="22" t="s">
        <v>1317</v>
      </c>
      <c r="BU739" s="22" t="s">
        <v>1318</v>
      </c>
      <c r="BV739" s="22" t="s">
        <v>1317</v>
      </c>
      <c r="BW739" s="22" t="s">
        <v>1318</v>
      </c>
      <c r="BX739" s="20">
        <v>0</v>
      </c>
      <c r="BY739" s="20">
        <v>0</v>
      </c>
      <c r="BZ739" s="20">
        <v>67</v>
      </c>
      <c r="CA739" s="20">
        <v>0</v>
      </c>
      <c r="CB739" s="20">
        <v>0</v>
      </c>
      <c r="CC739" s="20">
        <v>1083</v>
      </c>
      <c r="CD739" s="22" t="s">
        <v>1317</v>
      </c>
      <c r="CE739" s="22" t="s">
        <v>1318</v>
      </c>
      <c r="CF739" s="22" t="s">
        <v>1317</v>
      </c>
      <c r="CG739" s="22" t="s">
        <v>1318</v>
      </c>
      <c r="CH739" s="22" t="s">
        <v>1317</v>
      </c>
      <c r="CI739" s="22" t="s">
        <v>1318</v>
      </c>
      <c r="CJ739" s="149" t="s">
        <v>1124</v>
      </c>
      <c r="CK739" s="241" t="s">
        <v>1124</v>
      </c>
    </row>
    <row r="740" spans="1:89" ht="15" customHeight="1" x14ac:dyDescent="0.35">
      <c r="A740" s="17"/>
      <c r="B740" s="313">
        <v>63005</v>
      </c>
      <c r="C740" s="8" t="s">
        <v>634</v>
      </c>
      <c r="D740" s="18">
        <v>14</v>
      </c>
      <c r="E740" s="131"/>
      <c r="F740" s="22"/>
      <c r="G740" s="132"/>
      <c r="H740" s="22"/>
      <c r="I740" s="22"/>
      <c r="J740" s="22"/>
      <c r="K740" s="22"/>
      <c r="L740" s="22"/>
      <c r="M740" s="133"/>
      <c r="N740" s="22"/>
      <c r="O740" s="22"/>
      <c r="P740" s="22"/>
      <c r="Q740" s="20"/>
      <c r="R740" s="20"/>
      <c r="S740" s="20"/>
      <c r="T740" s="20"/>
      <c r="U740" s="20"/>
      <c r="V740" s="20"/>
      <c r="W740" s="20"/>
      <c r="X740" s="20"/>
      <c r="Y740" s="20"/>
      <c r="Z740" s="20"/>
      <c r="AA740" s="20"/>
      <c r="AB740" s="22"/>
      <c r="AC740" s="20"/>
      <c r="AD740" s="20"/>
      <c r="AE740" s="20"/>
      <c r="AF740" s="20" t="s">
        <v>1124</v>
      </c>
      <c r="AG740" s="20" t="s">
        <v>1124</v>
      </c>
      <c r="AH740" s="20" t="s">
        <v>1124</v>
      </c>
      <c r="AI740" s="328"/>
      <c r="AJ740" s="328"/>
      <c r="AK740" s="328"/>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0"/>
      <c r="BY740" s="20"/>
      <c r="BZ740" s="20"/>
      <c r="CA740" s="20"/>
      <c r="CB740" s="20"/>
      <c r="CC740" s="20"/>
      <c r="CD740" s="22"/>
      <c r="CE740" s="22"/>
      <c r="CF740" s="22"/>
      <c r="CG740" s="22"/>
      <c r="CH740" s="22"/>
      <c r="CI740" s="22"/>
      <c r="CJ740" s="149"/>
      <c r="CK740" s="241"/>
    </row>
    <row r="741" spans="1:89" ht="15" customHeight="1" x14ac:dyDescent="0.35">
      <c r="A741" s="17"/>
      <c r="B741" s="313">
        <v>71110</v>
      </c>
      <c r="C741" s="8" t="s">
        <v>722</v>
      </c>
      <c r="D741" s="18">
        <v>16</v>
      </c>
      <c r="E741" s="131"/>
      <c r="F741" s="22"/>
      <c r="G741" s="132"/>
      <c r="H741" s="22"/>
      <c r="I741" s="22"/>
      <c r="J741" s="22"/>
      <c r="K741" s="22"/>
      <c r="L741" s="22"/>
      <c r="M741" s="133"/>
      <c r="N741" s="22"/>
      <c r="O741" s="22"/>
      <c r="P741" s="22"/>
      <c r="Q741" s="20"/>
      <c r="R741" s="20"/>
      <c r="S741" s="20"/>
      <c r="T741" s="20"/>
      <c r="U741" s="20"/>
      <c r="V741" s="20"/>
      <c r="W741" s="20"/>
      <c r="X741" s="20"/>
      <c r="Y741" s="20"/>
      <c r="Z741" s="20"/>
      <c r="AA741" s="20"/>
      <c r="AB741" s="22"/>
      <c r="AC741" s="20"/>
      <c r="AD741" s="20"/>
      <c r="AE741" s="20"/>
      <c r="AF741" s="20" t="s">
        <v>1124</v>
      </c>
      <c r="AG741" s="20" t="s">
        <v>1124</v>
      </c>
      <c r="AH741" s="20" t="s">
        <v>1124</v>
      </c>
      <c r="AI741" s="328"/>
      <c r="AJ741" s="328"/>
      <c r="AK741" s="328"/>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0"/>
      <c r="BY741" s="20"/>
      <c r="BZ741" s="20"/>
      <c r="CA741" s="20"/>
      <c r="CB741" s="20"/>
      <c r="CC741" s="20"/>
      <c r="CD741" s="22"/>
      <c r="CE741" s="22"/>
      <c r="CF741" s="22"/>
      <c r="CG741" s="22"/>
      <c r="CH741" s="22"/>
      <c r="CI741" s="22"/>
      <c r="CJ741" s="149"/>
      <c r="CK741" s="241"/>
    </row>
    <row r="742" spans="1:89" ht="15" customHeight="1" x14ac:dyDescent="0.35">
      <c r="A742" s="17"/>
      <c r="B742" s="313">
        <v>72015</v>
      </c>
      <c r="C742" s="8" t="s">
        <v>729</v>
      </c>
      <c r="D742" s="18">
        <v>15</v>
      </c>
      <c r="E742" s="131" t="s">
        <v>1309</v>
      </c>
      <c r="F742" s="22" t="s">
        <v>1309</v>
      </c>
      <c r="G742" s="132" t="s">
        <v>1309</v>
      </c>
      <c r="H742" s="22" t="s">
        <v>1311</v>
      </c>
      <c r="I742" s="22" t="s">
        <v>1315</v>
      </c>
      <c r="J742" s="22" t="s">
        <v>1315</v>
      </c>
      <c r="K742" s="22" t="s">
        <v>1314</v>
      </c>
      <c r="L742" s="22" t="s">
        <v>1309</v>
      </c>
      <c r="M742" s="133" t="s">
        <v>1311</v>
      </c>
      <c r="N742" s="22" t="s">
        <v>1311</v>
      </c>
      <c r="O742" s="22" t="s">
        <v>1309</v>
      </c>
      <c r="P742" s="22" t="s">
        <v>1309</v>
      </c>
      <c r="Q742" s="20">
        <v>0</v>
      </c>
      <c r="R742" s="20">
        <v>0</v>
      </c>
      <c r="S742" s="20">
        <v>0</v>
      </c>
      <c r="T742" s="20">
        <v>0</v>
      </c>
      <c r="U742" s="20">
        <v>0</v>
      </c>
      <c r="V742" s="20">
        <v>97.84</v>
      </c>
      <c r="W742" s="20">
        <v>0</v>
      </c>
      <c r="X742" s="20">
        <v>0</v>
      </c>
      <c r="Y742" s="20">
        <v>0</v>
      </c>
      <c r="Z742" s="20">
        <v>0</v>
      </c>
      <c r="AA742" s="20" t="s">
        <v>1317</v>
      </c>
      <c r="AB742" s="22" t="s">
        <v>1309</v>
      </c>
      <c r="AC742" s="20">
        <v>5</v>
      </c>
      <c r="AD742" s="20">
        <v>0</v>
      </c>
      <c r="AE742" s="20">
        <v>0</v>
      </c>
      <c r="AF742" s="20">
        <v>1</v>
      </c>
      <c r="AG742" s="20">
        <v>0</v>
      </c>
      <c r="AH742" s="20">
        <v>0</v>
      </c>
      <c r="AI742" s="328">
        <v>5.1103843008994279</v>
      </c>
      <c r="AJ742" s="328" t="s">
        <v>1328</v>
      </c>
      <c r="AK742" s="328" t="s">
        <v>1328</v>
      </c>
      <c r="AL742" s="22" t="s">
        <v>1329</v>
      </c>
      <c r="AM742" s="22" t="s">
        <v>1330</v>
      </c>
      <c r="AN742" s="22" t="s">
        <v>1317</v>
      </c>
      <c r="AO742" s="22" t="s">
        <v>1318</v>
      </c>
      <c r="AP742" s="22" t="s">
        <v>1318</v>
      </c>
      <c r="AQ742" s="22" t="s">
        <v>1318</v>
      </c>
      <c r="AR742" s="22" t="s">
        <v>1317</v>
      </c>
      <c r="AS742" s="22" t="s">
        <v>1318</v>
      </c>
      <c r="AT742" s="22" t="s">
        <v>1317</v>
      </c>
      <c r="AU742" s="22" t="s">
        <v>1318</v>
      </c>
      <c r="AV742" s="22" t="s">
        <v>1317</v>
      </c>
      <c r="AW742" s="22" t="s">
        <v>1318</v>
      </c>
      <c r="AX742" s="22" t="s">
        <v>1317</v>
      </c>
      <c r="AY742" s="22" t="s">
        <v>1318</v>
      </c>
      <c r="AZ742" s="22" t="s">
        <v>1309</v>
      </c>
      <c r="BA742" s="22" t="s">
        <v>1309</v>
      </c>
      <c r="BB742" s="22" t="s">
        <v>1309</v>
      </c>
      <c r="BC742" s="22" t="s">
        <v>1309</v>
      </c>
      <c r="BD742" s="22" t="s">
        <v>1317</v>
      </c>
      <c r="BE742" s="22" t="s">
        <v>1318</v>
      </c>
      <c r="BF742" s="22" t="s">
        <v>1317</v>
      </c>
      <c r="BG742" s="22" t="s">
        <v>1318</v>
      </c>
      <c r="BH742" s="22" t="s">
        <v>1317</v>
      </c>
      <c r="BI742" s="22" t="s">
        <v>1318</v>
      </c>
      <c r="BJ742" s="22" t="s">
        <v>1309</v>
      </c>
      <c r="BK742" s="22" t="s">
        <v>1309</v>
      </c>
      <c r="BL742" s="22" t="s">
        <v>1317</v>
      </c>
      <c r="BM742" s="22" t="s">
        <v>1318</v>
      </c>
      <c r="BN742" s="22" t="s">
        <v>1317</v>
      </c>
      <c r="BO742" s="22" t="s">
        <v>1318</v>
      </c>
      <c r="BP742" s="22" t="s">
        <v>1309</v>
      </c>
      <c r="BQ742" s="22" t="s">
        <v>1309</v>
      </c>
      <c r="BR742" s="22" t="s">
        <v>1309</v>
      </c>
      <c r="BS742" s="22" t="s">
        <v>1309</v>
      </c>
      <c r="BT742" s="22" t="s">
        <v>1317</v>
      </c>
      <c r="BU742" s="22" t="s">
        <v>1311</v>
      </c>
      <c r="BV742" s="22" t="s">
        <v>1309</v>
      </c>
      <c r="BW742" s="22" t="s">
        <v>1309</v>
      </c>
      <c r="BX742" s="20">
        <v>30</v>
      </c>
      <c r="BY742" s="20">
        <v>2</v>
      </c>
      <c r="BZ742" s="20">
        <v>62</v>
      </c>
      <c r="CA742" s="20">
        <v>0</v>
      </c>
      <c r="CB742" s="20">
        <v>22</v>
      </c>
      <c r="CC742" s="20">
        <v>7446</v>
      </c>
      <c r="CD742" s="22" t="s">
        <v>1320</v>
      </c>
      <c r="CE742" s="22" t="s">
        <v>1318</v>
      </c>
      <c r="CF742" s="22" t="s">
        <v>1320</v>
      </c>
      <c r="CG742" s="22" t="s">
        <v>1318</v>
      </c>
      <c r="CH742" s="22" t="s">
        <v>1317</v>
      </c>
      <c r="CI742" s="22" t="s">
        <v>1318</v>
      </c>
      <c r="CJ742" s="149" t="s">
        <v>1124</v>
      </c>
      <c r="CK742" s="241" t="s">
        <v>2951</v>
      </c>
    </row>
    <row r="743" spans="1:89" ht="15" customHeight="1" x14ac:dyDescent="0.35">
      <c r="A743" s="17"/>
      <c r="B743" s="313">
        <v>70012</v>
      </c>
      <c r="C743" s="8" t="s">
        <v>698</v>
      </c>
      <c r="D743" s="18">
        <v>16</v>
      </c>
      <c r="E743" s="131"/>
      <c r="F743" s="22"/>
      <c r="G743" s="132"/>
      <c r="H743" s="22"/>
      <c r="I743" s="22"/>
      <c r="J743" s="22"/>
      <c r="K743" s="22"/>
      <c r="L743" s="22"/>
      <c r="M743" s="133"/>
      <c r="N743" s="22"/>
      <c r="O743" s="22"/>
      <c r="P743" s="22"/>
      <c r="Q743" s="20"/>
      <c r="R743" s="20"/>
      <c r="S743" s="20"/>
      <c r="T743" s="20"/>
      <c r="U743" s="20"/>
      <c r="V743" s="20"/>
      <c r="W743" s="20"/>
      <c r="X743" s="20"/>
      <c r="Y743" s="20"/>
      <c r="Z743" s="20"/>
      <c r="AA743" s="20"/>
      <c r="AB743" s="22"/>
      <c r="AC743" s="20"/>
      <c r="AD743" s="20"/>
      <c r="AE743" s="20"/>
      <c r="AF743" s="20" t="s">
        <v>1124</v>
      </c>
      <c r="AG743" s="20" t="s">
        <v>1124</v>
      </c>
      <c r="AH743" s="20" t="s">
        <v>1124</v>
      </c>
      <c r="AI743" s="328"/>
      <c r="AJ743" s="328"/>
      <c r="AK743" s="328"/>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0"/>
      <c r="BY743" s="20"/>
      <c r="BZ743" s="20"/>
      <c r="CA743" s="20"/>
      <c r="CB743" s="20"/>
      <c r="CC743" s="20"/>
      <c r="CD743" s="22"/>
      <c r="CE743" s="22"/>
      <c r="CF743" s="22"/>
      <c r="CG743" s="22"/>
      <c r="CH743" s="22"/>
      <c r="CI743" s="22"/>
      <c r="CJ743" s="149"/>
      <c r="CK743" s="241"/>
    </row>
    <row r="744" spans="1:89" ht="15" customHeight="1" x14ac:dyDescent="0.35">
      <c r="A744" s="17"/>
      <c r="B744" s="313">
        <v>61050</v>
      </c>
      <c r="C744" s="8" t="s">
        <v>618</v>
      </c>
      <c r="D744" s="18">
        <v>14</v>
      </c>
      <c r="E744" s="131"/>
      <c r="F744" s="22"/>
      <c r="G744" s="132"/>
      <c r="H744" s="22"/>
      <c r="I744" s="22"/>
      <c r="J744" s="22"/>
      <c r="K744" s="22"/>
      <c r="L744" s="22"/>
      <c r="M744" s="133"/>
      <c r="N744" s="22"/>
      <c r="O744" s="22"/>
      <c r="P744" s="22"/>
      <c r="Q744" s="20"/>
      <c r="R744" s="20"/>
      <c r="S744" s="20"/>
      <c r="T744" s="20"/>
      <c r="U744" s="20"/>
      <c r="V744" s="20"/>
      <c r="W744" s="20"/>
      <c r="X744" s="20"/>
      <c r="Y744" s="20"/>
      <c r="Z744" s="20"/>
      <c r="AA744" s="20"/>
      <c r="AB744" s="22"/>
      <c r="AC744" s="20"/>
      <c r="AD744" s="20"/>
      <c r="AE744" s="20"/>
      <c r="AF744" s="20" t="s">
        <v>1124</v>
      </c>
      <c r="AG744" s="20" t="s">
        <v>1124</v>
      </c>
      <c r="AH744" s="20" t="s">
        <v>1124</v>
      </c>
      <c r="AI744" s="328"/>
      <c r="AJ744" s="328"/>
      <c r="AK744" s="328"/>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0"/>
      <c r="BY744" s="20"/>
      <c r="BZ744" s="20"/>
      <c r="CA744" s="20"/>
      <c r="CB744" s="20"/>
      <c r="CC744" s="20"/>
      <c r="CD744" s="22"/>
      <c r="CE744" s="22"/>
      <c r="CF744" s="22"/>
      <c r="CG744" s="22"/>
      <c r="CH744" s="22"/>
      <c r="CI744" s="22"/>
      <c r="CJ744" s="149"/>
      <c r="CK744" s="241"/>
    </row>
    <row r="745" spans="1:89" ht="15" customHeight="1" x14ac:dyDescent="0.35">
      <c r="A745" s="17"/>
      <c r="B745" s="313">
        <v>80125</v>
      </c>
      <c r="C745" s="8" t="s">
        <v>822</v>
      </c>
      <c r="D745" s="18">
        <v>7</v>
      </c>
      <c r="E745" s="131"/>
      <c r="F745" s="22"/>
      <c r="G745" s="132"/>
      <c r="H745" s="22"/>
      <c r="I745" s="22"/>
      <c r="J745" s="22"/>
      <c r="K745" s="22"/>
      <c r="L745" s="22"/>
      <c r="M745" s="133"/>
      <c r="N745" s="22"/>
      <c r="O745" s="22"/>
      <c r="P745" s="22"/>
      <c r="Q745" s="20"/>
      <c r="R745" s="20"/>
      <c r="S745" s="20"/>
      <c r="T745" s="20"/>
      <c r="U745" s="20"/>
      <c r="V745" s="20"/>
      <c r="W745" s="20"/>
      <c r="X745" s="20"/>
      <c r="Y745" s="20"/>
      <c r="Z745" s="20"/>
      <c r="AA745" s="20"/>
      <c r="AB745" s="22"/>
      <c r="AC745" s="20"/>
      <c r="AD745" s="20"/>
      <c r="AE745" s="20"/>
      <c r="AF745" s="20" t="s">
        <v>1124</v>
      </c>
      <c r="AG745" s="20" t="s">
        <v>1124</v>
      </c>
      <c r="AH745" s="20" t="s">
        <v>1124</v>
      </c>
      <c r="AI745" s="328"/>
      <c r="AJ745" s="328"/>
      <c r="AK745" s="328"/>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0"/>
      <c r="BY745" s="20"/>
      <c r="BZ745" s="20"/>
      <c r="CA745" s="20"/>
      <c r="CB745" s="20"/>
      <c r="CC745" s="20"/>
      <c r="CD745" s="22"/>
      <c r="CE745" s="22"/>
      <c r="CF745" s="22"/>
      <c r="CG745" s="22"/>
      <c r="CH745" s="22"/>
      <c r="CI745" s="22"/>
      <c r="CJ745" s="149"/>
      <c r="CK745" s="241"/>
    </row>
    <row r="746" spans="1:89" ht="15" customHeight="1" x14ac:dyDescent="0.35">
      <c r="A746" s="17"/>
      <c r="B746" s="313">
        <v>93075</v>
      </c>
      <c r="C746" s="8" t="s">
        <v>970</v>
      </c>
      <c r="D746" s="18">
        <v>2</v>
      </c>
      <c r="E746" s="131" t="s">
        <v>1309</v>
      </c>
      <c r="F746" s="22" t="s">
        <v>1309</v>
      </c>
      <c r="G746" s="132" t="s">
        <v>1309</v>
      </c>
      <c r="H746" s="22" t="s">
        <v>1311</v>
      </c>
      <c r="I746" s="22" t="s">
        <v>1349</v>
      </c>
      <c r="J746" s="22" t="s">
        <v>1342</v>
      </c>
      <c r="K746" s="22" t="s">
        <v>1314</v>
      </c>
      <c r="L746" s="22" t="s">
        <v>1311</v>
      </c>
      <c r="M746" s="133" t="s">
        <v>1311</v>
      </c>
      <c r="N746" s="22" t="s">
        <v>1311</v>
      </c>
      <c r="O746" s="22" t="s">
        <v>1314</v>
      </c>
      <c r="P746" s="22" t="s">
        <v>1318</v>
      </c>
      <c r="Q746" s="20">
        <v>28.216999999999999</v>
      </c>
      <c r="R746" s="20">
        <v>28.216999999999999</v>
      </c>
      <c r="S746" s="20">
        <v>0</v>
      </c>
      <c r="T746" s="20">
        <v>0</v>
      </c>
      <c r="U746" s="20">
        <v>0</v>
      </c>
      <c r="V746" s="20">
        <v>0</v>
      </c>
      <c r="W746" s="20">
        <v>0</v>
      </c>
      <c r="X746" s="20">
        <v>0</v>
      </c>
      <c r="Y746" s="20">
        <v>0</v>
      </c>
      <c r="Z746" s="20">
        <v>0</v>
      </c>
      <c r="AA746" s="20" t="s">
        <v>1317</v>
      </c>
      <c r="AB746" s="22" t="s">
        <v>1318</v>
      </c>
      <c r="AC746" s="20">
        <v>0</v>
      </c>
      <c r="AD746" s="20">
        <v>1</v>
      </c>
      <c r="AE746" s="20">
        <v>4</v>
      </c>
      <c r="AF746" s="20">
        <v>0</v>
      </c>
      <c r="AG746" s="20">
        <v>2</v>
      </c>
      <c r="AH746" s="20">
        <v>2</v>
      </c>
      <c r="AI746" s="328" t="s">
        <v>1328</v>
      </c>
      <c r="AJ746" s="328">
        <v>2.4691358024691357</v>
      </c>
      <c r="AK746" s="328">
        <v>9.8765432098765427</v>
      </c>
      <c r="AL746" s="22" t="s">
        <v>1329</v>
      </c>
      <c r="AM746" s="22" t="s">
        <v>1330</v>
      </c>
      <c r="AN746" s="22" t="s">
        <v>1317</v>
      </c>
      <c r="AO746" s="22" t="s">
        <v>1318</v>
      </c>
      <c r="AP746" s="22" t="s">
        <v>1318</v>
      </c>
      <c r="AQ746" s="22" t="s">
        <v>1318</v>
      </c>
      <c r="AR746" s="22" t="s">
        <v>1317</v>
      </c>
      <c r="AS746" s="22" t="s">
        <v>1318</v>
      </c>
      <c r="AT746" s="22" t="s">
        <v>1309</v>
      </c>
      <c r="AU746" s="22" t="s">
        <v>1309</v>
      </c>
      <c r="AV746" s="22" t="s">
        <v>1317</v>
      </c>
      <c r="AW746" s="22" t="s">
        <v>1318</v>
      </c>
      <c r="AX746" s="22" t="s">
        <v>1317</v>
      </c>
      <c r="AY746" s="22" t="s">
        <v>1318</v>
      </c>
      <c r="AZ746" s="22" t="s">
        <v>1309</v>
      </c>
      <c r="BA746" s="22" t="s">
        <v>1309</v>
      </c>
      <c r="BB746" s="22" t="s">
        <v>1309</v>
      </c>
      <c r="BC746" s="22" t="s">
        <v>1309</v>
      </c>
      <c r="BD746" s="22" t="s">
        <v>1317</v>
      </c>
      <c r="BE746" s="22" t="s">
        <v>1318</v>
      </c>
      <c r="BF746" s="22" t="s">
        <v>1317</v>
      </c>
      <c r="BG746" s="22" t="s">
        <v>1318</v>
      </c>
      <c r="BH746" s="22" t="s">
        <v>1317</v>
      </c>
      <c r="BI746" s="22" t="s">
        <v>1311</v>
      </c>
      <c r="BJ746" s="22" t="s">
        <v>1317</v>
      </c>
      <c r="BK746" s="22" t="s">
        <v>1318</v>
      </c>
      <c r="BL746" s="22" t="s">
        <v>1309</v>
      </c>
      <c r="BM746" s="22" t="s">
        <v>1309</v>
      </c>
      <c r="BN746" s="22" t="s">
        <v>1309</v>
      </c>
      <c r="BO746" s="22" t="s">
        <v>1309</v>
      </c>
      <c r="BP746" s="22" t="s">
        <v>1315</v>
      </c>
      <c r="BQ746" s="22" t="s">
        <v>1315</v>
      </c>
      <c r="BR746" s="22" t="s">
        <v>1309</v>
      </c>
      <c r="BS746" s="22" t="s">
        <v>1309</v>
      </c>
      <c r="BT746" s="22" t="s">
        <v>1309</v>
      </c>
      <c r="BU746" s="22" t="s">
        <v>1309</v>
      </c>
      <c r="BV746" s="22" t="s">
        <v>1317</v>
      </c>
      <c r="BW746" s="22" t="s">
        <v>1318</v>
      </c>
      <c r="BX746" s="20">
        <v>0</v>
      </c>
      <c r="BY746" s="20">
        <v>16</v>
      </c>
      <c r="BZ746" s="20">
        <v>0</v>
      </c>
      <c r="CA746" s="20">
        <v>0</v>
      </c>
      <c r="CB746" s="20">
        <v>0</v>
      </c>
      <c r="CC746" s="20">
        <v>389</v>
      </c>
      <c r="CD746" s="22" t="s">
        <v>1331</v>
      </c>
      <c r="CE746" s="22" t="s">
        <v>1321</v>
      </c>
      <c r="CF746" s="22" t="s">
        <v>1317</v>
      </c>
      <c r="CG746" s="22" t="s">
        <v>1321</v>
      </c>
      <c r="CH746" s="22" t="s">
        <v>1317</v>
      </c>
      <c r="CI746" s="22" t="s">
        <v>1318</v>
      </c>
      <c r="CJ746" s="149" t="s">
        <v>1124</v>
      </c>
      <c r="CK746" s="241" t="s">
        <v>1356</v>
      </c>
    </row>
    <row r="747" spans="1:89" ht="15" customHeight="1" x14ac:dyDescent="0.35">
      <c r="A747" s="17"/>
      <c r="B747" s="313">
        <v>50057</v>
      </c>
      <c r="C747" s="8" t="s">
        <v>489</v>
      </c>
      <c r="D747" s="18">
        <v>17</v>
      </c>
      <c r="E747" s="131"/>
      <c r="F747" s="22"/>
      <c r="G747" s="132"/>
      <c r="H747" s="22"/>
      <c r="I747" s="22"/>
      <c r="J747" s="22"/>
      <c r="K747" s="22"/>
      <c r="L747" s="22"/>
      <c r="M747" s="133"/>
      <c r="N747" s="22"/>
      <c r="O747" s="22"/>
      <c r="P747" s="22"/>
      <c r="Q747" s="20"/>
      <c r="R747" s="20"/>
      <c r="S747" s="20"/>
      <c r="T747" s="20"/>
      <c r="U747" s="20"/>
      <c r="V747" s="20"/>
      <c r="W747" s="20"/>
      <c r="X747" s="20"/>
      <c r="Y747" s="20"/>
      <c r="Z747" s="20"/>
      <c r="AA747" s="20"/>
      <c r="AB747" s="22"/>
      <c r="AC747" s="20"/>
      <c r="AD747" s="20"/>
      <c r="AE747" s="20"/>
      <c r="AF747" s="20" t="s">
        <v>1124</v>
      </c>
      <c r="AG747" s="20" t="s">
        <v>1124</v>
      </c>
      <c r="AH747" s="20" t="s">
        <v>1124</v>
      </c>
      <c r="AI747" s="328"/>
      <c r="AJ747" s="328"/>
      <c r="AK747" s="328"/>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0"/>
      <c r="BY747" s="20"/>
      <c r="BZ747" s="20"/>
      <c r="CA747" s="20"/>
      <c r="CB747" s="20"/>
      <c r="CC747" s="20"/>
      <c r="CD747" s="22"/>
      <c r="CE747" s="22"/>
      <c r="CF747" s="22"/>
      <c r="CG747" s="22"/>
      <c r="CH747" s="22"/>
      <c r="CI747" s="22"/>
      <c r="CJ747" s="149"/>
      <c r="CK747" s="241"/>
    </row>
    <row r="748" spans="1:89" ht="15" customHeight="1" x14ac:dyDescent="0.35">
      <c r="A748" s="17"/>
      <c r="B748" s="313">
        <v>8040</v>
      </c>
      <c r="C748" s="8" t="s">
        <v>1092</v>
      </c>
      <c r="D748" s="18">
        <v>1</v>
      </c>
      <c r="E748" s="131"/>
      <c r="F748" s="22"/>
      <c r="G748" s="132"/>
      <c r="H748" s="22"/>
      <c r="I748" s="22"/>
      <c r="J748" s="22"/>
      <c r="K748" s="22"/>
      <c r="L748" s="22"/>
      <c r="M748" s="133"/>
      <c r="N748" s="22"/>
      <c r="O748" s="22"/>
      <c r="P748" s="22"/>
      <c r="Q748" s="20"/>
      <c r="R748" s="20"/>
      <c r="S748" s="20"/>
      <c r="T748" s="20"/>
      <c r="U748" s="20"/>
      <c r="V748" s="20"/>
      <c r="W748" s="20"/>
      <c r="X748" s="20"/>
      <c r="Y748" s="20"/>
      <c r="Z748" s="20"/>
      <c r="AA748" s="20"/>
      <c r="AB748" s="22"/>
      <c r="AC748" s="20"/>
      <c r="AD748" s="20"/>
      <c r="AE748" s="20"/>
      <c r="AF748" s="20" t="s">
        <v>1124</v>
      </c>
      <c r="AG748" s="20" t="s">
        <v>1124</v>
      </c>
      <c r="AH748" s="20" t="s">
        <v>1124</v>
      </c>
      <c r="AI748" s="328"/>
      <c r="AJ748" s="328"/>
      <c r="AK748" s="328"/>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0"/>
      <c r="BY748" s="20"/>
      <c r="BZ748" s="20"/>
      <c r="CA748" s="20"/>
      <c r="CB748" s="20"/>
      <c r="CC748" s="20"/>
      <c r="CD748" s="22"/>
      <c r="CE748" s="22"/>
      <c r="CF748" s="22"/>
      <c r="CG748" s="22"/>
      <c r="CH748" s="22"/>
      <c r="CI748" s="22"/>
      <c r="CJ748" s="149"/>
      <c r="CK748" s="241"/>
    </row>
    <row r="749" spans="1:89" ht="15" customHeight="1" x14ac:dyDescent="0.35">
      <c r="A749" s="17"/>
      <c r="B749" s="313">
        <v>17030</v>
      </c>
      <c r="C749" s="8" t="s">
        <v>95</v>
      </c>
      <c r="D749" s="18">
        <v>12</v>
      </c>
      <c r="E749" s="131" t="s">
        <v>1309</v>
      </c>
      <c r="F749" s="22" t="s">
        <v>1309</v>
      </c>
      <c r="G749" s="132" t="s">
        <v>1309</v>
      </c>
      <c r="H749" s="22" t="s">
        <v>1311</v>
      </c>
      <c r="I749" s="22" t="s">
        <v>1327</v>
      </c>
      <c r="J749" s="22" t="s">
        <v>1327</v>
      </c>
      <c r="K749" s="22" t="s">
        <v>1314</v>
      </c>
      <c r="L749" s="22" t="s">
        <v>1311</v>
      </c>
      <c r="M749" s="133" t="s">
        <v>1311</v>
      </c>
      <c r="N749" s="22" t="s">
        <v>1311</v>
      </c>
      <c r="O749" s="22" t="s">
        <v>1315</v>
      </c>
      <c r="P749" s="22" t="s">
        <v>1315</v>
      </c>
      <c r="Q749" s="20">
        <v>0</v>
      </c>
      <c r="R749" s="20">
        <v>0</v>
      </c>
      <c r="S749" s="20">
        <v>31.094000000000001</v>
      </c>
      <c r="T749" s="20">
        <v>31.094000000000001</v>
      </c>
      <c r="U749" s="20">
        <v>0</v>
      </c>
      <c r="V749" s="20">
        <v>0</v>
      </c>
      <c r="W749" s="20">
        <v>0</v>
      </c>
      <c r="X749" s="20">
        <v>0</v>
      </c>
      <c r="Y749" s="20">
        <v>0</v>
      </c>
      <c r="Z749" s="20">
        <v>0</v>
      </c>
      <c r="AA749" s="20" t="s">
        <v>1309</v>
      </c>
      <c r="AB749" s="22" t="s">
        <v>1309</v>
      </c>
      <c r="AC749" s="20">
        <v>3</v>
      </c>
      <c r="AD749" s="20">
        <v>0</v>
      </c>
      <c r="AE749" s="20">
        <v>0</v>
      </c>
      <c r="AF749" s="20">
        <v>1</v>
      </c>
      <c r="AG749" s="20">
        <v>0</v>
      </c>
      <c r="AH749" s="20">
        <v>0</v>
      </c>
      <c r="AI749" s="328">
        <v>19.296327265710424</v>
      </c>
      <c r="AJ749" s="328" t="s">
        <v>1328</v>
      </c>
      <c r="AK749" s="328" t="s">
        <v>1328</v>
      </c>
      <c r="AL749" s="22" t="s">
        <v>1329</v>
      </c>
      <c r="AM749" s="22" t="s">
        <v>1330</v>
      </c>
      <c r="AN749" s="22" t="s">
        <v>1317</v>
      </c>
      <c r="AO749" s="22" t="s">
        <v>1318</v>
      </c>
      <c r="AP749" s="22" t="s">
        <v>1318</v>
      </c>
      <c r="AQ749" s="22" t="s">
        <v>1318</v>
      </c>
      <c r="AR749" s="22" t="s">
        <v>1317</v>
      </c>
      <c r="AS749" s="22" t="s">
        <v>1318</v>
      </c>
      <c r="AT749" s="22" t="s">
        <v>1317</v>
      </c>
      <c r="AU749" s="22" t="s">
        <v>1318</v>
      </c>
      <c r="AV749" s="22" t="s">
        <v>1317</v>
      </c>
      <c r="AW749" s="22" t="s">
        <v>1318</v>
      </c>
      <c r="AX749" s="22" t="s">
        <v>1317</v>
      </c>
      <c r="AY749" s="22" t="s">
        <v>1318</v>
      </c>
      <c r="AZ749" s="22" t="s">
        <v>1309</v>
      </c>
      <c r="BA749" s="22" t="s">
        <v>1309</v>
      </c>
      <c r="BB749" s="22" t="s">
        <v>1309</v>
      </c>
      <c r="BC749" s="22" t="s">
        <v>1309</v>
      </c>
      <c r="BD749" s="22" t="s">
        <v>1315</v>
      </c>
      <c r="BE749" s="22" t="s">
        <v>1315</v>
      </c>
      <c r="BF749" s="22" t="s">
        <v>1317</v>
      </c>
      <c r="BG749" s="22" t="s">
        <v>1311</v>
      </c>
      <c r="BH749" s="22" t="s">
        <v>1317</v>
      </c>
      <c r="BI749" s="22" t="s">
        <v>1318</v>
      </c>
      <c r="BJ749" s="22" t="s">
        <v>1317</v>
      </c>
      <c r="BK749" s="22" t="s">
        <v>1318</v>
      </c>
      <c r="BL749" s="22" t="s">
        <v>1317</v>
      </c>
      <c r="BM749" s="22" t="s">
        <v>1318</v>
      </c>
      <c r="BN749" s="22" t="s">
        <v>1317</v>
      </c>
      <c r="BO749" s="22" t="s">
        <v>1311</v>
      </c>
      <c r="BP749" s="22" t="s">
        <v>1317</v>
      </c>
      <c r="BQ749" s="22" t="s">
        <v>1318</v>
      </c>
      <c r="BR749" s="22" t="s">
        <v>1309</v>
      </c>
      <c r="BS749" s="22" t="s">
        <v>1309</v>
      </c>
      <c r="BT749" s="22" t="s">
        <v>1309</v>
      </c>
      <c r="BU749" s="22" t="s">
        <v>1309</v>
      </c>
      <c r="BV749" s="22" t="s">
        <v>1317</v>
      </c>
      <c r="BW749" s="22" t="s">
        <v>1318</v>
      </c>
      <c r="BX749" s="20">
        <v>0</v>
      </c>
      <c r="BY749" s="20">
        <v>0</v>
      </c>
      <c r="BZ749" s="20">
        <v>28</v>
      </c>
      <c r="CA749" s="20">
        <v>0</v>
      </c>
      <c r="CB749" s="20">
        <v>0</v>
      </c>
      <c r="CC749" s="20">
        <v>569</v>
      </c>
      <c r="CD749" s="22" t="s">
        <v>1317</v>
      </c>
      <c r="CE749" s="22" t="s">
        <v>1340</v>
      </c>
      <c r="CF749" s="22" t="s">
        <v>1317</v>
      </c>
      <c r="CG749" s="22" t="s">
        <v>1340</v>
      </c>
      <c r="CH749" s="22" t="s">
        <v>1315</v>
      </c>
      <c r="CI749" s="22" t="s">
        <v>1315</v>
      </c>
      <c r="CJ749" s="149" t="s">
        <v>1124</v>
      </c>
      <c r="CK749" s="241" t="s">
        <v>1356</v>
      </c>
    </row>
    <row r="750" spans="1:89" ht="15" customHeight="1" x14ac:dyDescent="0.35">
      <c r="A750" s="17"/>
      <c r="B750" s="313">
        <v>50050</v>
      </c>
      <c r="C750" s="8" t="s">
        <v>488</v>
      </c>
      <c r="D750" s="18">
        <v>17</v>
      </c>
      <c r="E750" s="131" t="s">
        <v>1309</v>
      </c>
      <c r="F750" s="22" t="s">
        <v>1309</v>
      </c>
      <c r="G750" s="132" t="s">
        <v>1309</v>
      </c>
      <c r="H750" s="22" t="s">
        <v>1311</v>
      </c>
      <c r="I750" s="22" t="s">
        <v>1327</v>
      </c>
      <c r="J750" s="22" t="s">
        <v>1327</v>
      </c>
      <c r="K750" s="22" t="s">
        <v>1319</v>
      </c>
      <c r="L750" s="22" t="s">
        <v>1311</v>
      </c>
      <c r="M750" s="133" t="s">
        <v>1311</v>
      </c>
      <c r="N750" s="22" t="s">
        <v>1311</v>
      </c>
      <c r="O750" s="22" t="s">
        <v>1309</v>
      </c>
      <c r="P750" s="22" t="s">
        <v>1309</v>
      </c>
      <c r="Q750" s="20">
        <v>7.4720000000000004</v>
      </c>
      <c r="R750" s="20">
        <v>7.4720000000000004</v>
      </c>
      <c r="S750" s="20">
        <v>6.4</v>
      </c>
      <c r="T750" s="20">
        <v>6.4</v>
      </c>
      <c r="U750" s="20">
        <v>1</v>
      </c>
      <c r="V750" s="20">
        <v>1</v>
      </c>
      <c r="W750" s="20">
        <v>0</v>
      </c>
      <c r="X750" s="20">
        <v>0</v>
      </c>
      <c r="Y750" s="20">
        <v>0</v>
      </c>
      <c r="Z750" s="20">
        <v>0</v>
      </c>
      <c r="AA750" s="20" t="s">
        <v>1309</v>
      </c>
      <c r="AB750" s="22" t="s">
        <v>1309</v>
      </c>
      <c r="AC750" s="20">
        <v>3</v>
      </c>
      <c r="AD750" s="20">
        <v>0</v>
      </c>
      <c r="AE750" s="20">
        <v>0</v>
      </c>
      <c r="AF750" s="20">
        <v>1</v>
      </c>
      <c r="AG750" s="20">
        <v>0</v>
      </c>
      <c r="AH750" s="20">
        <v>0</v>
      </c>
      <c r="AI750" s="328">
        <v>40.149892933618844</v>
      </c>
      <c r="AJ750" s="328" t="s">
        <v>1328</v>
      </c>
      <c r="AK750" s="328" t="s">
        <v>1328</v>
      </c>
      <c r="AL750" s="22" t="s">
        <v>1329</v>
      </c>
      <c r="AM750" s="22" t="s">
        <v>1330</v>
      </c>
      <c r="AN750" s="22" t="s">
        <v>1315</v>
      </c>
      <c r="AO750" s="22" t="s">
        <v>1315</v>
      </c>
      <c r="AP750" s="22" t="s">
        <v>1315</v>
      </c>
      <c r="AQ750" s="22" t="s">
        <v>1315</v>
      </c>
      <c r="AR750" s="22" t="s">
        <v>1317</v>
      </c>
      <c r="AS750" s="22" t="s">
        <v>1318</v>
      </c>
      <c r="AT750" s="22" t="s">
        <v>1309</v>
      </c>
      <c r="AU750" s="22" t="s">
        <v>1309</v>
      </c>
      <c r="AV750" s="22" t="s">
        <v>1317</v>
      </c>
      <c r="AW750" s="22" t="s">
        <v>1318</v>
      </c>
      <c r="AX750" s="22" t="s">
        <v>1317</v>
      </c>
      <c r="AY750" s="22" t="s">
        <v>1318</v>
      </c>
      <c r="AZ750" s="22" t="s">
        <v>1309</v>
      </c>
      <c r="BA750" s="22" t="s">
        <v>1309</v>
      </c>
      <c r="BB750" s="22" t="s">
        <v>1309</v>
      </c>
      <c r="BC750" s="22" t="s">
        <v>1309</v>
      </c>
      <c r="BD750" s="22" t="s">
        <v>1309</v>
      </c>
      <c r="BE750" s="22" t="s">
        <v>1309</v>
      </c>
      <c r="BF750" s="22" t="s">
        <v>1309</v>
      </c>
      <c r="BG750" s="22" t="s">
        <v>1309</v>
      </c>
      <c r="BH750" s="22" t="s">
        <v>1317</v>
      </c>
      <c r="BI750" s="22" t="s">
        <v>1318</v>
      </c>
      <c r="BJ750" s="22" t="s">
        <v>1317</v>
      </c>
      <c r="BK750" s="22" t="s">
        <v>1318</v>
      </c>
      <c r="BL750" s="22" t="s">
        <v>1309</v>
      </c>
      <c r="BM750" s="22" t="s">
        <v>1309</v>
      </c>
      <c r="BN750" s="22" t="s">
        <v>1309</v>
      </c>
      <c r="BO750" s="22" t="s">
        <v>1309</v>
      </c>
      <c r="BP750" s="22" t="s">
        <v>1315</v>
      </c>
      <c r="BQ750" s="22" t="s">
        <v>1315</v>
      </c>
      <c r="BR750" s="22" t="s">
        <v>1309</v>
      </c>
      <c r="BS750" s="22" t="s">
        <v>1309</v>
      </c>
      <c r="BT750" s="22" t="s">
        <v>1309</v>
      </c>
      <c r="BU750" s="22" t="s">
        <v>1309</v>
      </c>
      <c r="BV750" s="22" t="s">
        <v>1309</v>
      </c>
      <c r="BW750" s="22" t="s">
        <v>1309</v>
      </c>
      <c r="BX750" s="20">
        <v>22</v>
      </c>
      <c r="BY750" s="20">
        <v>0</v>
      </c>
      <c r="BZ750" s="20">
        <v>4</v>
      </c>
      <c r="CA750" s="20">
        <v>208</v>
      </c>
      <c r="CB750" s="20">
        <v>0</v>
      </c>
      <c r="CC750" s="20">
        <v>0</v>
      </c>
      <c r="CD750" s="22" t="s">
        <v>1345</v>
      </c>
      <c r="CE750" s="22" t="s">
        <v>1315</v>
      </c>
      <c r="CF750" s="22" t="s">
        <v>1331</v>
      </c>
      <c r="CG750" s="22" t="s">
        <v>1331</v>
      </c>
      <c r="CH750" s="22" t="s">
        <v>1315</v>
      </c>
      <c r="CI750" s="22" t="s">
        <v>1315</v>
      </c>
      <c r="CJ750" s="149" t="s">
        <v>1124</v>
      </c>
      <c r="CK750" s="241" t="s">
        <v>2961</v>
      </c>
    </row>
    <row r="751" spans="1:89" ht="15" customHeight="1" x14ac:dyDescent="0.35">
      <c r="A751" s="17"/>
      <c r="B751" s="313">
        <v>20030</v>
      </c>
      <c r="C751" s="8" t="s">
        <v>143</v>
      </c>
      <c r="D751" s="18">
        <v>3</v>
      </c>
      <c r="E751" s="131"/>
      <c r="F751" s="22"/>
      <c r="G751" s="132"/>
      <c r="H751" s="22"/>
      <c r="I751" s="22"/>
      <c r="J751" s="22"/>
      <c r="K751" s="22"/>
      <c r="L751" s="22"/>
      <c r="M751" s="133"/>
      <c r="N751" s="22"/>
      <c r="O751" s="22"/>
      <c r="P751" s="22"/>
      <c r="Q751" s="20"/>
      <c r="R751" s="20"/>
      <c r="S751" s="20"/>
      <c r="T751" s="20"/>
      <c r="U751" s="20"/>
      <c r="V751" s="20"/>
      <c r="W751" s="20"/>
      <c r="X751" s="20"/>
      <c r="Y751" s="20"/>
      <c r="Z751" s="20"/>
      <c r="AA751" s="20"/>
      <c r="AB751" s="22"/>
      <c r="AC751" s="20"/>
      <c r="AD751" s="20"/>
      <c r="AE751" s="20"/>
      <c r="AF751" s="20" t="s">
        <v>1124</v>
      </c>
      <c r="AG751" s="20" t="s">
        <v>1124</v>
      </c>
      <c r="AH751" s="20" t="s">
        <v>1124</v>
      </c>
      <c r="AI751" s="328"/>
      <c r="AJ751" s="328"/>
      <c r="AK751" s="328"/>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0"/>
      <c r="BY751" s="20"/>
      <c r="BZ751" s="20"/>
      <c r="CA751" s="20"/>
      <c r="CB751" s="20"/>
      <c r="CC751" s="20"/>
      <c r="CD751" s="22"/>
      <c r="CE751" s="22"/>
      <c r="CF751" s="22"/>
      <c r="CG751" s="22"/>
      <c r="CH751" s="22"/>
      <c r="CI751" s="22"/>
      <c r="CJ751" s="149"/>
      <c r="CK751" s="241"/>
    </row>
    <row r="752" spans="1:89" ht="15" customHeight="1" x14ac:dyDescent="0.35">
      <c r="A752" s="17"/>
      <c r="B752" s="313">
        <v>29112</v>
      </c>
      <c r="C752" s="8" t="s">
        <v>214</v>
      </c>
      <c r="D752" s="18">
        <v>12</v>
      </c>
      <c r="E752" s="131" t="s">
        <v>1309</v>
      </c>
      <c r="F752" s="22" t="s">
        <v>1309</v>
      </c>
      <c r="G752" s="132" t="s">
        <v>1309</v>
      </c>
      <c r="H752" s="22" t="s">
        <v>1311</v>
      </c>
      <c r="I752" s="22" t="s">
        <v>1327</v>
      </c>
      <c r="J752" s="22" t="s">
        <v>1327</v>
      </c>
      <c r="K752" s="22" t="s">
        <v>1314</v>
      </c>
      <c r="L752" s="22" t="s">
        <v>1311</v>
      </c>
      <c r="M752" s="133" t="s">
        <v>1311</v>
      </c>
      <c r="N752" s="22" t="s">
        <v>1311</v>
      </c>
      <c r="O752" s="22" t="s">
        <v>1309</v>
      </c>
      <c r="P752" s="22" t="s">
        <v>1309</v>
      </c>
      <c r="Q752" s="20">
        <v>0</v>
      </c>
      <c r="R752" s="20">
        <v>0</v>
      </c>
      <c r="S752" s="20">
        <v>0</v>
      </c>
      <c r="T752" s="20">
        <v>0</v>
      </c>
      <c r="U752" s="20">
        <v>3</v>
      </c>
      <c r="V752" s="20">
        <v>3</v>
      </c>
      <c r="W752" s="20">
        <v>0</v>
      </c>
      <c r="X752" s="20">
        <v>0</v>
      </c>
      <c r="Y752" s="20">
        <v>0</v>
      </c>
      <c r="Z752" s="20">
        <v>0</v>
      </c>
      <c r="AA752" s="20" t="s">
        <v>1317</v>
      </c>
      <c r="AB752" s="22" t="s">
        <v>1318</v>
      </c>
      <c r="AC752" s="20">
        <v>7</v>
      </c>
      <c r="AD752" s="20">
        <v>0</v>
      </c>
      <c r="AE752" s="20">
        <v>0</v>
      </c>
      <c r="AF752" s="20">
        <v>1</v>
      </c>
      <c r="AG752" s="20">
        <v>0</v>
      </c>
      <c r="AH752" s="20">
        <v>0</v>
      </c>
      <c r="AI752" s="328">
        <v>36.151422816712284</v>
      </c>
      <c r="AJ752" s="328" t="s">
        <v>1328</v>
      </c>
      <c r="AK752" s="328" t="s">
        <v>1328</v>
      </c>
      <c r="AL752" s="22" t="s">
        <v>1329</v>
      </c>
      <c r="AM752" s="22" t="s">
        <v>1330</v>
      </c>
      <c r="AN752" s="22" t="s">
        <v>1317</v>
      </c>
      <c r="AO752" s="22" t="s">
        <v>1318</v>
      </c>
      <c r="AP752" s="22" t="s">
        <v>1318</v>
      </c>
      <c r="AQ752" s="22" t="s">
        <v>1318</v>
      </c>
      <c r="AR752" s="22" t="s">
        <v>1317</v>
      </c>
      <c r="AS752" s="22" t="s">
        <v>1318</v>
      </c>
      <c r="AT752" s="22" t="s">
        <v>1317</v>
      </c>
      <c r="AU752" s="22" t="s">
        <v>1318</v>
      </c>
      <c r="AV752" s="22" t="s">
        <v>1317</v>
      </c>
      <c r="AW752" s="22" t="s">
        <v>1318</v>
      </c>
      <c r="AX752" s="22" t="s">
        <v>1317</v>
      </c>
      <c r="AY752" s="22" t="s">
        <v>1318</v>
      </c>
      <c r="AZ752" s="22" t="s">
        <v>1309</v>
      </c>
      <c r="BA752" s="22" t="s">
        <v>1309</v>
      </c>
      <c r="BB752" s="22" t="s">
        <v>1309</v>
      </c>
      <c r="BC752" s="22" t="s">
        <v>1309</v>
      </c>
      <c r="BD752" s="22" t="s">
        <v>1309</v>
      </c>
      <c r="BE752" s="22" t="s">
        <v>1309</v>
      </c>
      <c r="BF752" s="22" t="s">
        <v>1309</v>
      </c>
      <c r="BG752" s="22" t="s">
        <v>1309</v>
      </c>
      <c r="BH752" s="22" t="s">
        <v>1309</v>
      </c>
      <c r="BI752" s="22" t="s">
        <v>1309</v>
      </c>
      <c r="BJ752" s="22" t="s">
        <v>1317</v>
      </c>
      <c r="BK752" s="22" t="s">
        <v>1318</v>
      </c>
      <c r="BL752" s="22" t="s">
        <v>1317</v>
      </c>
      <c r="BM752" s="22" t="s">
        <v>1318</v>
      </c>
      <c r="BN752" s="22" t="s">
        <v>1309</v>
      </c>
      <c r="BO752" s="22" t="s">
        <v>1309</v>
      </c>
      <c r="BP752" s="22" t="s">
        <v>1309</v>
      </c>
      <c r="BQ752" s="22" t="s">
        <v>1309</v>
      </c>
      <c r="BR752" s="22" t="s">
        <v>1317</v>
      </c>
      <c r="BS752" s="22" t="s">
        <v>1318</v>
      </c>
      <c r="BT752" s="22" t="s">
        <v>1317</v>
      </c>
      <c r="BU752" s="22" t="s">
        <v>1318</v>
      </c>
      <c r="BV752" s="22" t="s">
        <v>1317</v>
      </c>
      <c r="BW752" s="22" t="s">
        <v>1318</v>
      </c>
      <c r="BX752" s="20">
        <v>63</v>
      </c>
      <c r="BY752" s="20">
        <v>0</v>
      </c>
      <c r="BZ752" s="20">
        <v>0</v>
      </c>
      <c r="CA752" s="20">
        <v>543</v>
      </c>
      <c r="CB752" s="20">
        <v>0</v>
      </c>
      <c r="CC752" s="20">
        <v>0</v>
      </c>
      <c r="CD752" s="22" t="s">
        <v>1331</v>
      </c>
      <c r="CE752" s="22" t="s">
        <v>1331</v>
      </c>
      <c r="CF752" s="22" t="s">
        <v>1331</v>
      </c>
      <c r="CG752" s="22" t="s">
        <v>1331</v>
      </c>
      <c r="CH752" s="22" t="s">
        <v>1317</v>
      </c>
      <c r="CI752" s="22" t="s">
        <v>1318</v>
      </c>
      <c r="CJ752" s="149" t="s">
        <v>1124</v>
      </c>
      <c r="CK752" s="241" t="s">
        <v>1124</v>
      </c>
    </row>
    <row r="753" spans="1:89" ht="15" customHeight="1" x14ac:dyDescent="0.35">
      <c r="A753" s="17"/>
      <c r="B753" s="313">
        <v>12030</v>
      </c>
      <c r="C753" s="8" t="s">
        <v>33</v>
      </c>
      <c r="D753" s="18">
        <v>1</v>
      </c>
      <c r="E753" s="131" t="s">
        <v>1309</v>
      </c>
      <c r="F753" s="22" t="s">
        <v>1309</v>
      </c>
      <c r="G753" s="132" t="s">
        <v>1309</v>
      </c>
      <c r="H753" s="22" t="s">
        <v>1311</v>
      </c>
      <c r="I753" s="22" t="s">
        <v>1327</v>
      </c>
      <c r="J753" s="22" t="s">
        <v>1327</v>
      </c>
      <c r="K753" s="22" t="s">
        <v>1319</v>
      </c>
      <c r="L753" s="22" t="s">
        <v>1311</v>
      </c>
      <c r="M753" s="133" t="s">
        <v>1311</v>
      </c>
      <c r="N753" s="22" t="s">
        <v>1311</v>
      </c>
      <c r="O753" s="22" t="s">
        <v>1309</v>
      </c>
      <c r="P753" s="22" t="s">
        <v>1309</v>
      </c>
      <c r="Q753" s="20">
        <v>0</v>
      </c>
      <c r="R753" s="20">
        <v>0</v>
      </c>
      <c r="S753" s="20">
        <v>0</v>
      </c>
      <c r="T753" s="20">
        <v>0</v>
      </c>
      <c r="U753" s="20">
        <v>0</v>
      </c>
      <c r="V753" s="20">
        <v>5.5069999999999997</v>
      </c>
      <c r="W753" s="20">
        <v>0</v>
      </c>
      <c r="X753" s="20">
        <v>0</v>
      </c>
      <c r="Y753" s="20">
        <v>0</v>
      </c>
      <c r="Z753" s="20">
        <v>0</v>
      </c>
      <c r="AA753" s="20" t="s">
        <v>1317</v>
      </c>
      <c r="AB753" s="22" t="s">
        <v>1311</v>
      </c>
      <c r="AC753" s="20">
        <v>0</v>
      </c>
      <c r="AD753" s="20">
        <v>0</v>
      </c>
      <c r="AE753" s="20">
        <v>21</v>
      </c>
      <c r="AF753" s="20">
        <v>0</v>
      </c>
      <c r="AG753" s="20">
        <v>0</v>
      </c>
      <c r="AH753" s="20">
        <v>1</v>
      </c>
      <c r="AI753" s="328" t="s">
        <v>1328</v>
      </c>
      <c r="AJ753" s="328" t="s">
        <v>1328</v>
      </c>
      <c r="AK753" s="328">
        <v>84</v>
      </c>
      <c r="AL753" s="22" t="s">
        <v>1329</v>
      </c>
      <c r="AM753" s="22" t="s">
        <v>1330</v>
      </c>
      <c r="AN753" s="22" t="s">
        <v>1317</v>
      </c>
      <c r="AO753" s="22" t="s">
        <v>1311</v>
      </c>
      <c r="AP753" s="22" t="s">
        <v>1318</v>
      </c>
      <c r="AQ753" s="22" t="s">
        <v>1318</v>
      </c>
      <c r="AR753" s="22" t="s">
        <v>1317</v>
      </c>
      <c r="AS753" s="22" t="s">
        <v>1318</v>
      </c>
      <c r="AT753" s="22" t="s">
        <v>1309</v>
      </c>
      <c r="AU753" s="22" t="s">
        <v>1309</v>
      </c>
      <c r="AV753" s="22" t="s">
        <v>1317</v>
      </c>
      <c r="AW753" s="22" t="s">
        <v>1318</v>
      </c>
      <c r="AX753" s="22" t="s">
        <v>1317</v>
      </c>
      <c r="AY753" s="22" t="s">
        <v>1318</v>
      </c>
      <c r="AZ753" s="22" t="s">
        <v>1309</v>
      </c>
      <c r="BA753" s="22" t="s">
        <v>1309</v>
      </c>
      <c r="BB753" s="22" t="s">
        <v>1309</v>
      </c>
      <c r="BC753" s="22" t="s">
        <v>1309</v>
      </c>
      <c r="BD753" s="22" t="s">
        <v>1309</v>
      </c>
      <c r="BE753" s="22" t="s">
        <v>1309</v>
      </c>
      <c r="BF753" s="22" t="s">
        <v>1309</v>
      </c>
      <c r="BG753" s="22" t="s">
        <v>1309</v>
      </c>
      <c r="BH753" s="22" t="s">
        <v>1317</v>
      </c>
      <c r="BI753" s="22" t="s">
        <v>1318</v>
      </c>
      <c r="BJ753" s="22" t="s">
        <v>1317</v>
      </c>
      <c r="BK753" s="22" t="s">
        <v>1318</v>
      </c>
      <c r="BL753" s="22" t="s">
        <v>1309</v>
      </c>
      <c r="BM753" s="22" t="s">
        <v>1309</v>
      </c>
      <c r="BN753" s="22" t="s">
        <v>1317</v>
      </c>
      <c r="BO753" s="22" t="s">
        <v>1318</v>
      </c>
      <c r="BP753" s="22" t="s">
        <v>1315</v>
      </c>
      <c r="BQ753" s="22" t="s">
        <v>1315</v>
      </c>
      <c r="BR753" s="22" t="s">
        <v>1309</v>
      </c>
      <c r="BS753" s="22" t="s">
        <v>1309</v>
      </c>
      <c r="BT753" s="22" t="s">
        <v>1317</v>
      </c>
      <c r="BU753" s="22" t="s">
        <v>1318</v>
      </c>
      <c r="BV753" s="22" t="s">
        <v>1317</v>
      </c>
      <c r="BW753" s="22" t="s">
        <v>1318</v>
      </c>
      <c r="BX753" s="20">
        <v>24</v>
      </c>
      <c r="BY753" s="20">
        <v>0</v>
      </c>
      <c r="BZ753" s="20">
        <v>0</v>
      </c>
      <c r="CA753" s="20">
        <v>226</v>
      </c>
      <c r="CB753" s="20">
        <v>0</v>
      </c>
      <c r="CC753" s="20">
        <v>0</v>
      </c>
      <c r="CD753" s="22" t="s">
        <v>1331</v>
      </c>
      <c r="CE753" s="22" t="s">
        <v>1331</v>
      </c>
      <c r="CF753" s="22" t="s">
        <v>1331</v>
      </c>
      <c r="CG753" s="22" t="s">
        <v>1331</v>
      </c>
      <c r="CH753" s="22" t="s">
        <v>1317</v>
      </c>
      <c r="CI753" s="22" t="s">
        <v>1318</v>
      </c>
      <c r="CJ753" s="149" t="s">
        <v>2968</v>
      </c>
      <c r="CK753" s="241" t="s">
        <v>1124</v>
      </c>
    </row>
    <row r="754" spans="1:89" ht="15" customHeight="1" x14ac:dyDescent="0.35">
      <c r="A754" s="17"/>
      <c r="B754" s="313">
        <v>31050</v>
      </c>
      <c r="C754" s="8" t="s">
        <v>245</v>
      </c>
      <c r="D754" s="18">
        <v>12</v>
      </c>
      <c r="E754" s="131"/>
      <c r="F754" s="22"/>
      <c r="G754" s="132"/>
      <c r="H754" s="22"/>
      <c r="I754" s="22"/>
      <c r="J754" s="22"/>
      <c r="K754" s="22"/>
      <c r="L754" s="22"/>
      <c r="M754" s="133"/>
      <c r="N754" s="22"/>
      <c r="O754" s="22"/>
      <c r="P754" s="22"/>
      <c r="Q754" s="20"/>
      <c r="R754" s="20"/>
      <c r="S754" s="20"/>
      <c r="T754" s="20"/>
      <c r="U754" s="20"/>
      <c r="V754" s="20"/>
      <c r="W754" s="20"/>
      <c r="X754" s="20"/>
      <c r="Y754" s="20"/>
      <c r="Z754" s="20"/>
      <c r="AA754" s="20"/>
      <c r="AB754" s="22"/>
      <c r="AC754" s="20"/>
      <c r="AD754" s="20"/>
      <c r="AE754" s="20"/>
      <c r="AF754" s="20" t="s">
        <v>1124</v>
      </c>
      <c r="AG754" s="20" t="s">
        <v>1124</v>
      </c>
      <c r="AH754" s="20" t="s">
        <v>1124</v>
      </c>
      <c r="AI754" s="328"/>
      <c r="AJ754" s="328"/>
      <c r="AK754" s="328"/>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0"/>
      <c r="BY754" s="20"/>
      <c r="BZ754" s="20"/>
      <c r="CA754" s="20"/>
      <c r="CB754" s="20"/>
      <c r="CC754" s="20"/>
      <c r="CD754" s="22"/>
      <c r="CE754" s="22"/>
      <c r="CF754" s="22"/>
      <c r="CG754" s="22"/>
      <c r="CH754" s="22"/>
      <c r="CI754" s="22"/>
      <c r="CJ754" s="149"/>
      <c r="CK754" s="241"/>
    </row>
    <row r="755" spans="1:89" ht="15" customHeight="1" x14ac:dyDescent="0.35">
      <c r="A755" s="17"/>
      <c r="B755" s="313">
        <v>11015</v>
      </c>
      <c r="C755" s="8" t="s">
        <v>19</v>
      </c>
      <c r="D755" s="18">
        <v>1</v>
      </c>
      <c r="E755" s="131"/>
      <c r="F755" s="22"/>
      <c r="G755" s="132"/>
      <c r="H755" s="22"/>
      <c r="I755" s="22"/>
      <c r="J755" s="22"/>
      <c r="K755" s="22"/>
      <c r="L755" s="22"/>
      <c r="M755" s="133"/>
      <c r="N755" s="22"/>
      <c r="O755" s="22"/>
      <c r="P755" s="22"/>
      <c r="Q755" s="20"/>
      <c r="R755" s="20"/>
      <c r="S755" s="20"/>
      <c r="T755" s="20"/>
      <c r="U755" s="20"/>
      <c r="V755" s="20"/>
      <c r="W755" s="20"/>
      <c r="X755" s="20"/>
      <c r="Y755" s="20"/>
      <c r="Z755" s="20"/>
      <c r="AA755" s="20"/>
      <c r="AB755" s="22"/>
      <c r="AC755" s="20"/>
      <c r="AD755" s="20"/>
      <c r="AE755" s="20"/>
      <c r="AF755" s="20" t="s">
        <v>1124</v>
      </c>
      <c r="AG755" s="20" t="s">
        <v>1124</v>
      </c>
      <c r="AH755" s="20" t="s">
        <v>1124</v>
      </c>
      <c r="AI755" s="328"/>
      <c r="AJ755" s="328"/>
      <c r="AK755" s="328"/>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0"/>
      <c r="BY755" s="20"/>
      <c r="BZ755" s="20"/>
      <c r="CA755" s="20"/>
      <c r="CB755" s="20"/>
      <c r="CC755" s="20"/>
      <c r="CD755" s="22"/>
      <c r="CE755" s="22"/>
      <c r="CF755" s="22"/>
      <c r="CG755" s="22"/>
      <c r="CH755" s="22"/>
      <c r="CI755" s="22"/>
      <c r="CJ755" s="149"/>
      <c r="CK755" s="241"/>
    </row>
    <row r="756" spans="1:89" ht="15" customHeight="1" x14ac:dyDescent="0.35">
      <c r="A756" s="17"/>
      <c r="B756" s="313">
        <v>28030</v>
      </c>
      <c r="C756" s="8" t="s">
        <v>192</v>
      </c>
      <c r="D756" s="18">
        <v>12</v>
      </c>
      <c r="E756" s="131"/>
      <c r="F756" s="22"/>
      <c r="G756" s="132"/>
      <c r="H756" s="22"/>
      <c r="I756" s="22"/>
      <c r="J756" s="22"/>
      <c r="K756" s="22"/>
      <c r="L756" s="22"/>
      <c r="M756" s="133"/>
      <c r="N756" s="22"/>
      <c r="O756" s="22"/>
      <c r="P756" s="22"/>
      <c r="Q756" s="20"/>
      <c r="R756" s="20"/>
      <c r="S756" s="20"/>
      <c r="T756" s="20"/>
      <c r="U756" s="20"/>
      <c r="V756" s="20"/>
      <c r="W756" s="20"/>
      <c r="X756" s="20"/>
      <c r="Y756" s="20"/>
      <c r="Z756" s="20"/>
      <c r="AA756" s="20"/>
      <c r="AB756" s="22"/>
      <c r="AC756" s="20"/>
      <c r="AD756" s="20"/>
      <c r="AE756" s="20"/>
      <c r="AF756" s="20" t="s">
        <v>1124</v>
      </c>
      <c r="AG756" s="20" t="s">
        <v>1124</v>
      </c>
      <c r="AH756" s="20" t="s">
        <v>1124</v>
      </c>
      <c r="AI756" s="328"/>
      <c r="AJ756" s="328"/>
      <c r="AK756" s="328"/>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0"/>
      <c r="BY756" s="20"/>
      <c r="BZ756" s="20"/>
      <c r="CA756" s="20"/>
      <c r="CB756" s="20"/>
      <c r="CC756" s="20"/>
      <c r="CD756" s="22"/>
      <c r="CE756" s="22"/>
      <c r="CF756" s="22"/>
      <c r="CG756" s="22"/>
      <c r="CH756" s="22"/>
      <c r="CI756" s="22"/>
      <c r="CJ756" s="149"/>
      <c r="CK756" s="241"/>
    </row>
    <row r="757" spans="1:89" ht="15" customHeight="1" x14ac:dyDescent="0.35">
      <c r="A757" s="17"/>
      <c r="B757" s="313">
        <v>94230</v>
      </c>
      <c r="C757" s="8" t="s">
        <v>978</v>
      </c>
      <c r="D757" s="18">
        <v>2</v>
      </c>
      <c r="E757" s="131" t="s">
        <v>1309</v>
      </c>
      <c r="F757" s="22" t="s">
        <v>1309</v>
      </c>
      <c r="G757" s="132" t="s">
        <v>1309</v>
      </c>
      <c r="H757" s="22" t="s">
        <v>1311</v>
      </c>
      <c r="I757" s="22" t="s">
        <v>1327</v>
      </c>
      <c r="J757" s="22" t="s">
        <v>1327</v>
      </c>
      <c r="K757" s="22" t="s">
        <v>1319</v>
      </c>
      <c r="L757" s="22" t="s">
        <v>1311</v>
      </c>
      <c r="M757" s="133" t="s">
        <v>1311</v>
      </c>
      <c r="N757" s="22" t="s">
        <v>1311</v>
      </c>
      <c r="O757" s="22" t="s">
        <v>1314</v>
      </c>
      <c r="P757" s="22" t="s">
        <v>1318</v>
      </c>
      <c r="Q757" s="20">
        <v>0</v>
      </c>
      <c r="R757" s="20">
        <v>0</v>
      </c>
      <c r="S757" s="20">
        <v>0</v>
      </c>
      <c r="T757" s="20">
        <v>0</v>
      </c>
      <c r="U757" s="20">
        <v>0</v>
      </c>
      <c r="V757" s="20">
        <v>6.1470000000000002</v>
      </c>
      <c r="W757" s="20">
        <v>0</v>
      </c>
      <c r="X757" s="20">
        <v>0</v>
      </c>
      <c r="Y757" s="20">
        <v>0</v>
      </c>
      <c r="Z757" s="20">
        <v>0</v>
      </c>
      <c r="AA757" s="20" t="s">
        <v>1317</v>
      </c>
      <c r="AB757" s="22" t="s">
        <v>1318</v>
      </c>
      <c r="AC757" s="20">
        <v>3</v>
      </c>
      <c r="AD757" s="20">
        <v>1</v>
      </c>
      <c r="AE757" s="20">
        <v>0</v>
      </c>
      <c r="AF757" s="20">
        <v>1</v>
      </c>
      <c r="AG757" s="20">
        <v>1</v>
      </c>
      <c r="AH757" s="20">
        <v>0</v>
      </c>
      <c r="AI757" s="328">
        <v>48.804294777940456</v>
      </c>
      <c r="AJ757" s="328">
        <v>7.7519379844961236</v>
      </c>
      <c r="AK757" s="328" t="s">
        <v>1328</v>
      </c>
      <c r="AL757" s="22" t="s">
        <v>1329</v>
      </c>
      <c r="AM757" s="22" t="s">
        <v>1330</v>
      </c>
      <c r="AN757" s="22" t="s">
        <v>1317</v>
      </c>
      <c r="AO757" s="22" t="s">
        <v>1318</v>
      </c>
      <c r="AP757" s="22" t="s">
        <v>1318</v>
      </c>
      <c r="AQ757" s="22" t="s">
        <v>1318</v>
      </c>
      <c r="AR757" s="22" t="s">
        <v>1317</v>
      </c>
      <c r="AS757" s="22" t="s">
        <v>1318</v>
      </c>
      <c r="AT757" s="22" t="s">
        <v>1317</v>
      </c>
      <c r="AU757" s="22" t="s">
        <v>1311</v>
      </c>
      <c r="AV757" s="22" t="s">
        <v>1317</v>
      </c>
      <c r="AW757" s="22" t="s">
        <v>1318</v>
      </c>
      <c r="AX757" s="22" t="s">
        <v>1317</v>
      </c>
      <c r="AY757" s="22" t="s">
        <v>1318</v>
      </c>
      <c r="AZ757" s="22" t="s">
        <v>1309</v>
      </c>
      <c r="BA757" s="22" t="s">
        <v>1309</v>
      </c>
      <c r="BB757" s="22" t="s">
        <v>1309</v>
      </c>
      <c r="BC757" s="22" t="s">
        <v>1309</v>
      </c>
      <c r="BD757" s="22" t="s">
        <v>1317</v>
      </c>
      <c r="BE757" s="22" t="s">
        <v>1318</v>
      </c>
      <c r="BF757" s="22" t="s">
        <v>1317</v>
      </c>
      <c r="BG757" s="22" t="s">
        <v>1318</v>
      </c>
      <c r="BH757" s="22" t="s">
        <v>1309</v>
      </c>
      <c r="BI757" s="22" t="s">
        <v>1309</v>
      </c>
      <c r="BJ757" s="22" t="s">
        <v>1309</v>
      </c>
      <c r="BK757" s="22" t="s">
        <v>1309</v>
      </c>
      <c r="BL757" s="22" t="s">
        <v>1317</v>
      </c>
      <c r="BM757" s="22" t="s">
        <v>1311</v>
      </c>
      <c r="BN757" s="22" t="s">
        <v>1317</v>
      </c>
      <c r="BO757" s="22" t="s">
        <v>1311</v>
      </c>
      <c r="BP757" s="22" t="s">
        <v>1309</v>
      </c>
      <c r="BQ757" s="22" t="s">
        <v>1309</v>
      </c>
      <c r="BR757" s="22" t="s">
        <v>1317</v>
      </c>
      <c r="BS757" s="22" t="s">
        <v>1318</v>
      </c>
      <c r="BT757" s="22" t="s">
        <v>1309</v>
      </c>
      <c r="BU757" s="22" t="s">
        <v>1309</v>
      </c>
      <c r="BV757" s="22" t="s">
        <v>1317</v>
      </c>
      <c r="BW757" s="22" t="s">
        <v>1318</v>
      </c>
      <c r="BX757" s="20">
        <v>0</v>
      </c>
      <c r="BY757" s="20">
        <v>1</v>
      </c>
      <c r="BZ757" s="20">
        <v>21</v>
      </c>
      <c r="CA757" s="20">
        <v>0</v>
      </c>
      <c r="CB757" s="20">
        <v>0</v>
      </c>
      <c r="CC757" s="20">
        <v>108</v>
      </c>
      <c r="CD757" s="22" t="s">
        <v>1317</v>
      </c>
      <c r="CE757" s="22" t="s">
        <v>1340</v>
      </c>
      <c r="CF757" s="22" t="s">
        <v>1317</v>
      </c>
      <c r="CG757" s="22" t="s">
        <v>1340</v>
      </c>
      <c r="CH757" s="22" t="s">
        <v>1317</v>
      </c>
      <c r="CI757" s="22" t="s">
        <v>1318</v>
      </c>
      <c r="CJ757" s="149" t="s">
        <v>1124</v>
      </c>
      <c r="CK757" s="241" t="s">
        <v>1791</v>
      </c>
    </row>
    <row r="758" spans="1:89" ht="15" customHeight="1" x14ac:dyDescent="0.35">
      <c r="A758" s="17"/>
      <c r="B758" s="313">
        <v>28065</v>
      </c>
      <c r="C758" s="8" t="s">
        <v>198</v>
      </c>
      <c r="D758" s="18">
        <v>12</v>
      </c>
      <c r="E758" s="131" t="s">
        <v>1319</v>
      </c>
      <c r="F758" s="22" t="s">
        <v>1490</v>
      </c>
      <c r="G758" s="132" t="s">
        <v>1309</v>
      </c>
      <c r="H758" s="22" t="s">
        <v>1311</v>
      </c>
      <c r="I758" s="22" t="s">
        <v>1327</v>
      </c>
      <c r="J758" s="22" t="s">
        <v>1327</v>
      </c>
      <c r="K758" s="22" t="s">
        <v>1314</v>
      </c>
      <c r="L758" s="22" t="s">
        <v>1311</v>
      </c>
      <c r="M758" s="133" t="s">
        <v>1311</v>
      </c>
      <c r="N758" s="22" t="s">
        <v>1311</v>
      </c>
      <c r="O758" s="22" t="s">
        <v>1314</v>
      </c>
      <c r="P758" s="22" t="s">
        <v>1318</v>
      </c>
      <c r="Q758" s="20">
        <v>3.5430000000000001</v>
      </c>
      <c r="R758" s="20">
        <v>3.5430000000000001</v>
      </c>
      <c r="S758" s="20">
        <v>0</v>
      </c>
      <c r="T758" s="20">
        <v>0</v>
      </c>
      <c r="U758" s="20">
        <v>0</v>
      </c>
      <c r="V758" s="20">
        <v>0</v>
      </c>
      <c r="W758" s="20">
        <v>0</v>
      </c>
      <c r="X758" s="20">
        <v>0</v>
      </c>
      <c r="Y758" s="20">
        <v>0</v>
      </c>
      <c r="Z758" s="20">
        <v>0</v>
      </c>
      <c r="AA758" s="20" t="s">
        <v>1317</v>
      </c>
      <c r="AB758" s="22" t="s">
        <v>1318</v>
      </c>
      <c r="AC758" s="20">
        <v>0</v>
      </c>
      <c r="AD758" s="20">
        <v>0</v>
      </c>
      <c r="AE758" s="20">
        <v>1</v>
      </c>
      <c r="AF758" s="20">
        <v>0</v>
      </c>
      <c r="AG758" s="20">
        <v>0</v>
      </c>
      <c r="AH758" s="20">
        <v>1</v>
      </c>
      <c r="AI758" s="328" t="s">
        <v>1328</v>
      </c>
      <c r="AJ758" s="328" t="s">
        <v>1328</v>
      </c>
      <c r="AK758" s="328">
        <v>7.1428571428571432</v>
      </c>
      <c r="AL758" s="22" t="s">
        <v>1329</v>
      </c>
      <c r="AM758" s="22" t="s">
        <v>1330</v>
      </c>
      <c r="AN758" s="22" t="s">
        <v>1317</v>
      </c>
      <c r="AO758" s="22" t="s">
        <v>1318</v>
      </c>
      <c r="AP758" s="22" t="s">
        <v>1318</v>
      </c>
      <c r="AQ758" s="22" t="s">
        <v>1318</v>
      </c>
      <c r="AR758" s="22" t="s">
        <v>1317</v>
      </c>
      <c r="AS758" s="22" t="s">
        <v>1318</v>
      </c>
      <c r="AT758" s="22" t="s">
        <v>1317</v>
      </c>
      <c r="AU758" s="22" t="s">
        <v>1311</v>
      </c>
      <c r="AV758" s="22" t="s">
        <v>1317</v>
      </c>
      <c r="AW758" s="22" t="s">
        <v>1318</v>
      </c>
      <c r="AX758" s="22" t="s">
        <v>1317</v>
      </c>
      <c r="AY758" s="22" t="s">
        <v>1318</v>
      </c>
      <c r="AZ758" s="22" t="s">
        <v>1309</v>
      </c>
      <c r="BA758" s="22" t="s">
        <v>1309</v>
      </c>
      <c r="BB758" s="22" t="s">
        <v>1309</v>
      </c>
      <c r="BC758" s="22" t="s">
        <v>1309</v>
      </c>
      <c r="BD758" s="22" t="s">
        <v>1317</v>
      </c>
      <c r="BE758" s="22" t="s">
        <v>1318</v>
      </c>
      <c r="BF758" s="22" t="s">
        <v>1317</v>
      </c>
      <c r="BG758" s="22" t="s">
        <v>1318</v>
      </c>
      <c r="BH758" s="22" t="s">
        <v>1317</v>
      </c>
      <c r="BI758" s="22" t="s">
        <v>1318</v>
      </c>
      <c r="BJ758" s="22" t="s">
        <v>1317</v>
      </c>
      <c r="BK758" s="22" t="s">
        <v>1311</v>
      </c>
      <c r="BL758" s="22" t="s">
        <v>1317</v>
      </c>
      <c r="BM758" s="22" t="s">
        <v>1318</v>
      </c>
      <c r="BN758" s="22" t="s">
        <v>1309</v>
      </c>
      <c r="BO758" s="22" t="s">
        <v>1309</v>
      </c>
      <c r="BP758" s="22" t="s">
        <v>1315</v>
      </c>
      <c r="BQ758" s="22" t="s">
        <v>1315</v>
      </c>
      <c r="BR758" s="22" t="s">
        <v>1319</v>
      </c>
      <c r="BS758" s="22" t="s">
        <v>1311</v>
      </c>
      <c r="BT758" s="22" t="s">
        <v>1317</v>
      </c>
      <c r="BU758" s="22" t="s">
        <v>1318</v>
      </c>
      <c r="BV758" s="22" t="s">
        <v>1317</v>
      </c>
      <c r="BW758" s="22" t="s">
        <v>1318</v>
      </c>
      <c r="BX758" s="20">
        <v>0</v>
      </c>
      <c r="BY758" s="20">
        <v>0</v>
      </c>
      <c r="BZ758" s="20">
        <v>11</v>
      </c>
      <c r="CA758" s="20">
        <v>0</v>
      </c>
      <c r="CB758" s="20">
        <v>0</v>
      </c>
      <c r="CC758" s="20">
        <v>129</v>
      </c>
      <c r="CD758" s="22" t="s">
        <v>1317</v>
      </c>
      <c r="CE758" s="22" t="s">
        <v>1318</v>
      </c>
      <c r="CF758" s="22" t="s">
        <v>1317</v>
      </c>
      <c r="CG758" s="22" t="s">
        <v>1318</v>
      </c>
      <c r="CH758" s="22" t="s">
        <v>1317</v>
      </c>
      <c r="CI758" s="22" t="s">
        <v>1318</v>
      </c>
      <c r="CJ758" s="149" t="s">
        <v>1124</v>
      </c>
      <c r="CK758" s="241" t="s">
        <v>1358</v>
      </c>
    </row>
    <row r="759" spans="1:89" ht="15" customHeight="1" x14ac:dyDescent="0.35">
      <c r="A759" s="17"/>
      <c r="B759" s="313">
        <v>46105</v>
      </c>
      <c r="C759" s="8" t="s">
        <v>446</v>
      </c>
      <c r="D759" s="18">
        <v>5</v>
      </c>
      <c r="E759" s="131"/>
      <c r="F759" s="22"/>
      <c r="G759" s="132"/>
      <c r="H759" s="22"/>
      <c r="I759" s="22"/>
      <c r="J759" s="22"/>
      <c r="K759" s="22"/>
      <c r="L759" s="22"/>
      <c r="M759" s="133"/>
      <c r="N759" s="22"/>
      <c r="O759" s="22"/>
      <c r="P759" s="22"/>
      <c r="Q759" s="20"/>
      <c r="R759" s="20"/>
      <c r="S759" s="20"/>
      <c r="T759" s="20"/>
      <c r="U759" s="20"/>
      <c r="V759" s="20"/>
      <c r="W759" s="20"/>
      <c r="X759" s="20"/>
      <c r="Y759" s="20"/>
      <c r="Z759" s="20"/>
      <c r="AA759" s="20"/>
      <c r="AB759" s="22"/>
      <c r="AC759" s="20"/>
      <c r="AD759" s="20"/>
      <c r="AE759" s="20"/>
      <c r="AF759" s="20" t="s">
        <v>1124</v>
      </c>
      <c r="AG759" s="20" t="s">
        <v>1124</v>
      </c>
      <c r="AH759" s="20" t="s">
        <v>1124</v>
      </c>
      <c r="AI759" s="328"/>
      <c r="AJ759" s="328"/>
      <c r="AK759" s="328"/>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0"/>
      <c r="BY759" s="20"/>
      <c r="BZ759" s="20"/>
      <c r="CA759" s="20"/>
      <c r="CB759" s="20"/>
      <c r="CC759" s="20"/>
      <c r="CD759" s="22"/>
      <c r="CE759" s="22"/>
      <c r="CF759" s="22"/>
      <c r="CG759" s="22"/>
      <c r="CH759" s="22"/>
      <c r="CI759" s="22"/>
      <c r="CJ759" s="149"/>
      <c r="CK759" s="241"/>
    </row>
    <row r="760" spans="1:89" ht="15" customHeight="1" x14ac:dyDescent="0.35">
      <c r="A760" s="17"/>
      <c r="B760" s="313">
        <v>39105</v>
      </c>
      <c r="C760" s="8" t="s">
        <v>351</v>
      </c>
      <c r="D760" s="18">
        <v>17</v>
      </c>
      <c r="E760" s="131"/>
      <c r="F760" s="22"/>
      <c r="G760" s="132"/>
      <c r="H760" s="22"/>
      <c r="I760" s="22"/>
      <c r="J760" s="22"/>
      <c r="K760" s="22"/>
      <c r="L760" s="22"/>
      <c r="M760" s="133"/>
      <c r="N760" s="22"/>
      <c r="O760" s="22"/>
      <c r="P760" s="22"/>
      <c r="Q760" s="20"/>
      <c r="R760" s="20"/>
      <c r="S760" s="20"/>
      <c r="T760" s="20"/>
      <c r="U760" s="20"/>
      <c r="V760" s="20"/>
      <c r="W760" s="20"/>
      <c r="X760" s="20"/>
      <c r="Y760" s="20"/>
      <c r="Z760" s="20"/>
      <c r="AA760" s="20"/>
      <c r="AB760" s="22"/>
      <c r="AC760" s="20"/>
      <c r="AD760" s="20"/>
      <c r="AE760" s="20"/>
      <c r="AF760" s="20" t="s">
        <v>1124</v>
      </c>
      <c r="AG760" s="20" t="s">
        <v>1124</v>
      </c>
      <c r="AH760" s="20" t="s">
        <v>1124</v>
      </c>
      <c r="AI760" s="328"/>
      <c r="AJ760" s="328"/>
      <c r="AK760" s="328"/>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0"/>
      <c r="BY760" s="20"/>
      <c r="BZ760" s="20"/>
      <c r="CA760" s="20"/>
      <c r="CB760" s="20"/>
      <c r="CC760" s="20"/>
      <c r="CD760" s="22"/>
      <c r="CE760" s="22"/>
      <c r="CF760" s="22"/>
      <c r="CG760" s="22"/>
      <c r="CH760" s="22"/>
      <c r="CI760" s="22"/>
      <c r="CJ760" s="149"/>
      <c r="CK760" s="241"/>
    </row>
    <row r="761" spans="1:89" ht="15" customHeight="1" x14ac:dyDescent="0.35">
      <c r="A761" s="17"/>
      <c r="B761" s="313">
        <v>75028</v>
      </c>
      <c r="C761" s="8" t="s">
        <v>744</v>
      </c>
      <c r="D761" s="18">
        <v>15</v>
      </c>
      <c r="E761" s="131" t="s">
        <v>1309</v>
      </c>
      <c r="F761" s="22" t="s">
        <v>1309</v>
      </c>
      <c r="G761" s="132" t="s">
        <v>1309</v>
      </c>
      <c r="H761" s="22" t="s">
        <v>1311</v>
      </c>
      <c r="I761" s="22" t="s">
        <v>1327</v>
      </c>
      <c r="J761" s="22" t="s">
        <v>1327</v>
      </c>
      <c r="K761" s="22" t="s">
        <v>1309</v>
      </c>
      <c r="L761" s="22" t="s">
        <v>1309</v>
      </c>
      <c r="M761" s="133" t="s">
        <v>1311</v>
      </c>
      <c r="N761" s="22" t="s">
        <v>1311</v>
      </c>
      <c r="O761" s="22" t="s">
        <v>1314</v>
      </c>
      <c r="P761" s="22" t="s">
        <v>1318</v>
      </c>
      <c r="Q761" s="20">
        <v>14.4</v>
      </c>
      <c r="R761" s="20">
        <v>14.4</v>
      </c>
      <c r="S761" s="20">
        <v>0</v>
      </c>
      <c r="T761" s="20">
        <v>13.414999999999999</v>
      </c>
      <c r="U761" s="20">
        <v>0</v>
      </c>
      <c r="V761" s="20">
        <v>0.98499999999999999</v>
      </c>
      <c r="W761" s="20">
        <v>0</v>
      </c>
      <c r="X761" s="20">
        <v>0</v>
      </c>
      <c r="Y761" s="20">
        <v>0</v>
      </c>
      <c r="Z761" s="20">
        <v>0</v>
      </c>
      <c r="AA761" s="20" t="s">
        <v>1317</v>
      </c>
      <c r="AB761" s="22" t="s">
        <v>1309</v>
      </c>
      <c r="AC761" s="20">
        <v>1</v>
      </c>
      <c r="AD761" s="20">
        <v>0</v>
      </c>
      <c r="AE761" s="20">
        <v>0</v>
      </c>
      <c r="AF761" s="20">
        <v>1</v>
      </c>
      <c r="AG761" s="20">
        <v>0</v>
      </c>
      <c r="AH761" s="20">
        <v>0</v>
      </c>
      <c r="AI761" s="328">
        <v>6.9444444444444446</v>
      </c>
      <c r="AJ761" s="328" t="s">
        <v>1328</v>
      </c>
      <c r="AK761" s="328" t="s">
        <v>1328</v>
      </c>
      <c r="AL761" s="22" t="s">
        <v>1329</v>
      </c>
      <c r="AM761" s="22" t="s">
        <v>1330</v>
      </c>
      <c r="AN761" s="22" t="s">
        <v>1317</v>
      </c>
      <c r="AO761" s="22" t="s">
        <v>1318</v>
      </c>
      <c r="AP761" s="22" t="s">
        <v>1318</v>
      </c>
      <c r="AQ761" s="22" t="s">
        <v>1318</v>
      </c>
      <c r="AR761" s="22" t="s">
        <v>1317</v>
      </c>
      <c r="AS761" s="22" t="s">
        <v>1318</v>
      </c>
      <c r="AT761" s="22" t="s">
        <v>1309</v>
      </c>
      <c r="AU761" s="22" t="s">
        <v>1309</v>
      </c>
      <c r="AV761" s="22" t="s">
        <v>1317</v>
      </c>
      <c r="AW761" s="22" t="s">
        <v>1318</v>
      </c>
      <c r="AX761" s="22" t="s">
        <v>1317</v>
      </c>
      <c r="AY761" s="22" t="s">
        <v>1318</v>
      </c>
      <c r="AZ761" s="22" t="s">
        <v>1309</v>
      </c>
      <c r="BA761" s="22" t="s">
        <v>1309</v>
      </c>
      <c r="BB761" s="22" t="s">
        <v>1309</v>
      </c>
      <c r="BC761" s="22" t="s">
        <v>1309</v>
      </c>
      <c r="BD761" s="22" t="s">
        <v>1317</v>
      </c>
      <c r="BE761" s="22" t="s">
        <v>1318</v>
      </c>
      <c r="BF761" s="22" t="s">
        <v>1317</v>
      </c>
      <c r="BG761" s="22" t="s">
        <v>1318</v>
      </c>
      <c r="BH761" s="22" t="s">
        <v>1309</v>
      </c>
      <c r="BI761" s="22" t="s">
        <v>1309</v>
      </c>
      <c r="BJ761" s="22" t="s">
        <v>1309</v>
      </c>
      <c r="BK761" s="22" t="s">
        <v>1309</v>
      </c>
      <c r="BL761" s="22" t="s">
        <v>1319</v>
      </c>
      <c r="BM761" s="22" t="s">
        <v>1311</v>
      </c>
      <c r="BN761" s="22" t="s">
        <v>1309</v>
      </c>
      <c r="BO761" s="22" t="s">
        <v>1309</v>
      </c>
      <c r="BP761" s="22" t="s">
        <v>1309</v>
      </c>
      <c r="BQ761" s="22" t="s">
        <v>1309</v>
      </c>
      <c r="BR761" s="22" t="s">
        <v>1317</v>
      </c>
      <c r="BS761" s="22" t="s">
        <v>1311</v>
      </c>
      <c r="BT761" s="22" t="s">
        <v>1309</v>
      </c>
      <c r="BU761" s="22" t="s">
        <v>1309</v>
      </c>
      <c r="BV761" s="22" t="s">
        <v>1309</v>
      </c>
      <c r="BW761" s="22" t="s">
        <v>1309</v>
      </c>
      <c r="BX761" s="20">
        <v>1</v>
      </c>
      <c r="BY761" s="20">
        <v>0</v>
      </c>
      <c r="BZ761" s="20">
        <v>44</v>
      </c>
      <c r="CA761" s="20">
        <v>0</v>
      </c>
      <c r="CB761" s="20">
        <v>0</v>
      </c>
      <c r="CC761" s="20">
        <v>652</v>
      </c>
      <c r="CD761" s="22" t="s">
        <v>1317</v>
      </c>
      <c r="CE761" s="22" t="s">
        <v>1318</v>
      </c>
      <c r="CF761" s="22" t="s">
        <v>1317</v>
      </c>
      <c r="CG761" s="22" t="s">
        <v>1318</v>
      </c>
      <c r="CH761" s="22" t="s">
        <v>1317</v>
      </c>
      <c r="CI761" s="22" t="s">
        <v>1318</v>
      </c>
      <c r="CJ761" s="149" t="s">
        <v>1124</v>
      </c>
      <c r="CK761" s="241" t="s">
        <v>2980</v>
      </c>
    </row>
    <row r="762" spans="1:89" ht="15" customHeight="1" x14ac:dyDescent="0.35">
      <c r="A762" s="17"/>
      <c r="B762" s="313">
        <v>38040</v>
      </c>
      <c r="C762" s="8" t="s">
        <v>331</v>
      </c>
      <c r="D762" s="18">
        <v>17</v>
      </c>
      <c r="E762" s="131"/>
      <c r="F762" s="22"/>
      <c r="G762" s="132"/>
      <c r="H762" s="22"/>
      <c r="I762" s="22"/>
      <c r="J762" s="22"/>
      <c r="K762" s="22"/>
      <c r="L762" s="22"/>
      <c r="M762" s="133"/>
      <c r="N762" s="22"/>
      <c r="O762" s="22"/>
      <c r="P762" s="22"/>
      <c r="Q762" s="20"/>
      <c r="R762" s="20"/>
      <c r="S762" s="20"/>
      <c r="T762" s="20"/>
      <c r="U762" s="20"/>
      <c r="V762" s="20"/>
      <c r="W762" s="20"/>
      <c r="X762" s="20"/>
      <c r="Y762" s="20"/>
      <c r="Z762" s="20"/>
      <c r="AA762" s="20"/>
      <c r="AB762" s="22"/>
      <c r="AC762" s="20"/>
      <c r="AD762" s="20"/>
      <c r="AE762" s="20"/>
      <c r="AF762" s="20" t="s">
        <v>1124</v>
      </c>
      <c r="AG762" s="20" t="s">
        <v>1124</v>
      </c>
      <c r="AH762" s="20" t="s">
        <v>1124</v>
      </c>
      <c r="AI762" s="328"/>
      <c r="AJ762" s="328"/>
      <c r="AK762" s="328"/>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0"/>
      <c r="BY762" s="20"/>
      <c r="BZ762" s="20"/>
      <c r="CA762" s="20"/>
      <c r="CB762" s="20"/>
      <c r="CC762" s="20"/>
      <c r="CD762" s="22"/>
      <c r="CE762" s="22"/>
      <c r="CF762" s="22"/>
      <c r="CG762" s="22"/>
      <c r="CH762" s="22"/>
      <c r="CI762" s="22"/>
      <c r="CJ762" s="149"/>
      <c r="CK762" s="241"/>
    </row>
    <row r="763" spans="1:89" ht="15" customHeight="1" x14ac:dyDescent="0.35">
      <c r="A763" s="17"/>
      <c r="B763" s="313">
        <v>32023</v>
      </c>
      <c r="C763" s="8" t="s">
        <v>257</v>
      </c>
      <c r="D763" s="18">
        <v>17</v>
      </c>
      <c r="E763" s="131"/>
      <c r="F763" s="22"/>
      <c r="G763" s="132"/>
      <c r="H763" s="22"/>
      <c r="I763" s="22"/>
      <c r="J763" s="22"/>
      <c r="K763" s="22"/>
      <c r="L763" s="22"/>
      <c r="M763" s="133"/>
      <c r="N763" s="22"/>
      <c r="O763" s="22"/>
      <c r="P763" s="22"/>
      <c r="Q763" s="20"/>
      <c r="R763" s="20"/>
      <c r="S763" s="20"/>
      <c r="T763" s="20"/>
      <c r="U763" s="20"/>
      <c r="V763" s="20"/>
      <c r="W763" s="20"/>
      <c r="X763" s="20"/>
      <c r="Y763" s="20"/>
      <c r="Z763" s="20"/>
      <c r="AA763" s="20"/>
      <c r="AB763" s="22"/>
      <c r="AC763" s="20"/>
      <c r="AD763" s="20"/>
      <c r="AE763" s="20"/>
      <c r="AF763" s="20" t="s">
        <v>1124</v>
      </c>
      <c r="AG763" s="20" t="s">
        <v>1124</v>
      </c>
      <c r="AH763" s="20" t="s">
        <v>1124</v>
      </c>
      <c r="AI763" s="328"/>
      <c r="AJ763" s="328"/>
      <c r="AK763" s="328"/>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0"/>
      <c r="BY763" s="20"/>
      <c r="BZ763" s="20"/>
      <c r="CA763" s="20"/>
      <c r="CB763" s="20"/>
      <c r="CC763" s="20"/>
      <c r="CD763" s="22"/>
      <c r="CE763" s="22"/>
      <c r="CF763" s="22"/>
      <c r="CG763" s="22"/>
      <c r="CH763" s="22"/>
      <c r="CI763" s="22"/>
      <c r="CJ763" s="149"/>
      <c r="CK763" s="241"/>
    </row>
    <row r="764" spans="1:89" ht="15" customHeight="1" x14ac:dyDescent="0.35">
      <c r="A764" s="17"/>
      <c r="B764" s="313">
        <v>63030</v>
      </c>
      <c r="C764" s="8" t="s">
        <v>637</v>
      </c>
      <c r="D764" s="18">
        <v>14</v>
      </c>
      <c r="E764" s="131" t="s">
        <v>1309</v>
      </c>
      <c r="F764" s="22" t="s">
        <v>1309</v>
      </c>
      <c r="G764" s="132" t="s">
        <v>1309</v>
      </c>
      <c r="H764" s="22" t="s">
        <v>1311</v>
      </c>
      <c r="I764" s="22" t="s">
        <v>1327</v>
      </c>
      <c r="J764" s="22" t="s">
        <v>1327</v>
      </c>
      <c r="K764" s="22" t="s">
        <v>1314</v>
      </c>
      <c r="L764" s="22" t="s">
        <v>1311</v>
      </c>
      <c r="M764" s="133" t="s">
        <v>1311</v>
      </c>
      <c r="N764" s="22" t="s">
        <v>1311</v>
      </c>
      <c r="O764" s="22" t="s">
        <v>1309</v>
      </c>
      <c r="P764" s="22" t="s">
        <v>1309</v>
      </c>
      <c r="Q764" s="20">
        <v>0</v>
      </c>
      <c r="R764" s="20">
        <v>0</v>
      </c>
      <c r="S764" s="20">
        <v>0</v>
      </c>
      <c r="T764" s="20">
        <v>0</v>
      </c>
      <c r="U764" s="20">
        <v>0</v>
      </c>
      <c r="V764" s="20">
        <v>14.59</v>
      </c>
      <c r="W764" s="20">
        <v>0</v>
      </c>
      <c r="X764" s="20">
        <v>0</v>
      </c>
      <c r="Y764" s="20">
        <v>0</v>
      </c>
      <c r="Z764" s="20">
        <v>0</v>
      </c>
      <c r="AA764" s="20" t="s">
        <v>1317</v>
      </c>
      <c r="AB764" s="22" t="s">
        <v>1309</v>
      </c>
      <c r="AC764" s="20">
        <v>1</v>
      </c>
      <c r="AD764" s="20">
        <v>3</v>
      </c>
      <c r="AE764" s="20">
        <v>4</v>
      </c>
      <c r="AF764" s="20">
        <v>1</v>
      </c>
      <c r="AG764" s="20">
        <v>4</v>
      </c>
      <c r="AH764" s="20">
        <v>4</v>
      </c>
      <c r="AI764" s="328">
        <v>6.8540095956134337</v>
      </c>
      <c r="AJ764" s="328">
        <v>6.1224489795918364</v>
      </c>
      <c r="AK764" s="328">
        <v>8.1632653061224492</v>
      </c>
      <c r="AL764" s="22" t="s">
        <v>1329</v>
      </c>
      <c r="AM764" s="22" t="s">
        <v>1330</v>
      </c>
      <c r="AN764" s="22" t="s">
        <v>1317</v>
      </c>
      <c r="AO764" s="22" t="s">
        <v>1318</v>
      </c>
      <c r="AP764" s="22" t="s">
        <v>1318</v>
      </c>
      <c r="AQ764" s="22" t="s">
        <v>1318</v>
      </c>
      <c r="AR764" s="22" t="s">
        <v>1309</v>
      </c>
      <c r="AS764" s="22" t="s">
        <v>1309</v>
      </c>
      <c r="AT764" s="22" t="s">
        <v>1317</v>
      </c>
      <c r="AU764" s="22" t="s">
        <v>1318</v>
      </c>
      <c r="AV764" s="22" t="s">
        <v>1317</v>
      </c>
      <c r="AW764" s="22" t="s">
        <v>1318</v>
      </c>
      <c r="AX764" s="22" t="s">
        <v>1317</v>
      </c>
      <c r="AY764" s="22" t="s">
        <v>1318</v>
      </c>
      <c r="AZ764" s="22" t="s">
        <v>1309</v>
      </c>
      <c r="BA764" s="22" t="s">
        <v>1309</v>
      </c>
      <c r="BB764" s="22" t="s">
        <v>1309</v>
      </c>
      <c r="BC764" s="22" t="s">
        <v>1309</v>
      </c>
      <c r="BD764" s="22" t="s">
        <v>1309</v>
      </c>
      <c r="BE764" s="22" t="s">
        <v>1309</v>
      </c>
      <c r="BF764" s="22" t="s">
        <v>1309</v>
      </c>
      <c r="BG764" s="22" t="s">
        <v>1309</v>
      </c>
      <c r="BH764" s="22" t="s">
        <v>1309</v>
      </c>
      <c r="BI764" s="22" t="s">
        <v>1309</v>
      </c>
      <c r="BJ764" s="22" t="s">
        <v>1309</v>
      </c>
      <c r="BK764" s="22" t="s">
        <v>1309</v>
      </c>
      <c r="BL764" s="22" t="s">
        <v>1317</v>
      </c>
      <c r="BM764" s="22" t="s">
        <v>1318</v>
      </c>
      <c r="BN764" s="22" t="s">
        <v>1309</v>
      </c>
      <c r="BO764" s="22" t="s">
        <v>1309</v>
      </c>
      <c r="BP764" s="22" t="s">
        <v>1309</v>
      </c>
      <c r="BQ764" s="22" t="s">
        <v>1309</v>
      </c>
      <c r="BR764" s="22" t="s">
        <v>1309</v>
      </c>
      <c r="BS764" s="22" t="s">
        <v>1309</v>
      </c>
      <c r="BT764" s="22" t="s">
        <v>1317</v>
      </c>
      <c r="BU764" s="22" t="s">
        <v>1318</v>
      </c>
      <c r="BV764" s="22" t="s">
        <v>1317</v>
      </c>
      <c r="BW764" s="22" t="s">
        <v>1318</v>
      </c>
      <c r="BX764" s="20">
        <v>37</v>
      </c>
      <c r="BY764" s="20">
        <v>6</v>
      </c>
      <c r="BZ764" s="20">
        <v>0</v>
      </c>
      <c r="CA764" s="20">
        <v>447</v>
      </c>
      <c r="CB764" s="20">
        <v>0</v>
      </c>
      <c r="CC764" s="20">
        <v>0</v>
      </c>
      <c r="CD764" s="22" t="s">
        <v>1331</v>
      </c>
      <c r="CE764" s="22" t="s">
        <v>1331</v>
      </c>
      <c r="CF764" s="22" t="s">
        <v>1331</v>
      </c>
      <c r="CG764" s="22" t="s">
        <v>1331</v>
      </c>
      <c r="CH764" s="22" t="s">
        <v>1317</v>
      </c>
      <c r="CI764" s="22" t="s">
        <v>1318</v>
      </c>
      <c r="CJ764" s="149" t="s">
        <v>2984</v>
      </c>
      <c r="CK764" s="241" t="s">
        <v>2985</v>
      </c>
    </row>
    <row r="765" spans="1:89" ht="15" customHeight="1" x14ac:dyDescent="0.35">
      <c r="A765" s="17"/>
      <c r="B765" s="313">
        <v>35050</v>
      </c>
      <c r="C765" s="8" t="s">
        <v>311</v>
      </c>
      <c r="D765" s="18">
        <v>4</v>
      </c>
      <c r="E765" s="131" t="s">
        <v>1309</v>
      </c>
      <c r="F765" s="22" t="s">
        <v>1309</v>
      </c>
      <c r="G765" s="132" t="s">
        <v>1309</v>
      </c>
      <c r="H765" s="22" t="s">
        <v>1311</v>
      </c>
      <c r="I765" s="22" t="s">
        <v>1327</v>
      </c>
      <c r="J765" s="22" t="s">
        <v>1327</v>
      </c>
      <c r="K765" s="22" t="s">
        <v>1309</v>
      </c>
      <c r="L765" s="22" t="s">
        <v>1309</v>
      </c>
      <c r="M765" s="133" t="s">
        <v>1311</v>
      </c>
      <c r="N765" s="22" t="s">
        <v>1311</v>
      </c>
      <c r="O765" s="22" t="s">
        <v>1314</v>
      </c>
      <c r="P765" s="22" t="s">
        <v>1318</v>
      </c>
      <c r="Q765" s="20">
        <v>3.8479999999999999</v>
      </c>
      <c r="R765" s="20">
        <v>3.8479999999999999</v>
      </c>
      <c r="S765" s="20">
        <v>5</v>
      </c>
      <c r="T765" s="20">
        <v>5</v>
      </c>
      <c r="U765" s="20">
        <v>0</v>
      </c>
      <c r="V765" s="20">
        <v>0</v>
      </c>
      <c r="W765" s="20">
        <v>0</v>
      </c>
      <c r="X765" s="20">
        <v>0</v>
      </c>
      <c r="Y765" s="20">
        <v>0</v>
      </c>
      <c r="Z765" s="20">
        <v>0</v>
      </c>
      <c r="AA765" s="20" t="s">
        <v>1317</v>
      </c>
      <c r="AB765" s="22" t="s">
        <v>1318</v>
      </c>
      <c r="AC765" s="20">
        <v>0</v>
      </c>
      <c r="AD765" s="20">
        <v>2</v>
      </c>
      <c r="AE765" s="20">
        <v>4</v>
      </c>
      <c r="AF765" s="20">
        <v>0</v>
      </c>
      <c r="AG765" s="20">
        <v>1</v>
      </c>
      <c r="AH765" s="20">
        <v>2</v>
      </c>
      <c r="AI765" s="328" t="s">
        <v>1328</v>
      </c>
      <c r="AJ765" s="328">
        <v>2.190580503833516</v>
      </c>
      <c r="AK765" s="328">
        <v>4.381161007667032</v>
      </c>
      <c r="AL765" s="22" t="s">
        <v>1329</v>
      </c>
      <c r="AM765" s="22" t="s">
        <v>1330</v>
      </c>
      <c r="AN765" s="22" t="s">
        <v>1315</v>
      </c>
      <c r="AO765" s="22" t="s">
        <v>1315</v>
      </c>
      <c r="AP765" s="22" t="s">
        <v>1315</v>
      </c>
      <c r="AQ765" s="22" t="s">
        <v>1315</v>
      </c>
      <c r="AR765" s="22" t="s">
        <v>1317</v>
      </c>
      <c r="AS765" s="22" t="s">
        <v>1311</v>
      </c>
      <c r="AT765" s="22" t="s">
        <v>1317</v>
      </c>
      <c r="AU765" s="22" t="s">
        <v>1311</v>
      </c>
      <c r="AV765" s="22" t="s">
        <v>1317</v>
      </c>
      <c r="AW765" s="22" t="s">
        <v>1318</v>
      </c>
      <c r="AX765" s="22" t="s">
        <v>1317</v>
      </c>
      <c r="AY765" s="22" t="s">
        <v>1318</v>
      </c>
      <c r="AZ765" s="22" t="s">
        <v>1309</v>
      </c>
      <c r="BA765" s="22" t="s">
        <v>1309</v>
      </c>
      <c r="BB765" s="22" t="s">
        <v>1309</v>
      </c>
      <c r="BC765" s="22" t="s">
        <v>1309</v>
      </c>
      <c r="BD765" s="22" t="s">
        <v>1317</v>
      </c>
      <c r="BE765" s="22" t="s">
        <v>1318</v>
      </c>
      <c r="BF765" s="22" t="s">
        <v>1317</v>
      </c>
      <c r="BG765" s="22" t="s">
        <v>1318</v>
      </c>
      <c r="BH765" s="22" t="s">
        <v>1309</v>
      </c>
      <c r="BI765" s="22" t="s">
        <v>1309</v>
      </c>
      <c r="BJ765" s="22" t="s">
        <v>1317</v>
      </c>
      <c r="BK765" s="22" t="s">
        <v>1311</v>
      </c>
      <c r="BL765" s="22" t="s">
        <v>1317</v>
      </c>
      <c r="BM765" s="22" t="s">
        <v>1318</v>
      </c>
      <c r="BN765" s="22" t="s">
        <v>1309</v>
      </c>
      <c r="BO765" s="22" t="s">
        <v>1309</v>
      </c>
      <c r="BP765" s="22" t="s">
        <v>1309</v>
      </c>
      <c r="BQ765" s="22" t="s">
        <v>1309</v>
      </c>
      <c r="BR765" s="22" t="s">
        <v>1309</v>
      </c>
      <c r="BS765" s="22" t="s">
        <v>1309</v>
      </c>
      <c r="BT765" s="22" t="s">
        <v>1317</v>
      </c>
      <c r="BU765" s="22" t="s">
        <v>1318</v>
      </c>
      <c r="BV765" s="22" t="s">
        <v>1319</v>
      </c>
      <c r="BW765" s="22" t="s">
        <v>1309</v>
      </c>
      <c r="BX765" s="20">
        <v>1</v>
      </c>
      <c r="BY765" s="20">
        <v>0</v>
      </c>
      <c r="BZ765" s="20">
        <v>74</v>
      </c>
      <c r="CA765" s="20">
        <v>0</v>
      </c>
      <c r="CB765" s="20">
        <v>0</v>
      </c>
      <c r="CC765" s="20">
        <v>838</v>
      </c>
      <c r="CD765" s="22" t="s">
        <v>1317</v>
      </c>
      <c r="CE765" s="22" t="s">
        <v>1318</v>
      </c>
      <c r="CF765" s="22" t="s">
        <v>1317</v>
      </c>
      <c r="CG765" s="22" t="s">
        <v>1318</v>
      </c>
      <c r="CH765" s="22" t="s">
        <v>1413</v>
      </c>
      <c r="CI765" s="22" t="s">
        <v>1413</v>
      </c>
      <c r="CJ765" s="149" t="s">
        <v>1124</v>
      </c>
      <c r="CK765" s="241" t="s">
        <v>2989</v>
      </c>
    </row>
    <row r="766" spans="1:89" ht="15" customHeight="1" x14ac:dyDescent="0.35">
      <c r="A766" s="17"/>
      <c r="B766" s="313">
        <v>73010</v>
      </c>
      <c r="C766" s="8" t="s">
        <v>735</v>
      </c>
      <c r="D766" s="18">
        <v>15</v>
      </c>
      <c r="E766" s="131" t="s">
        <v>1309</v>
      </c>
      <c r="F766" s="22" t="s">
        <v>1309</v>
      </c>
      <c r="G766" s="132" t="s">
        <v>1309</v>
      </c>
      <c r="H766" s="22" t="s">
        <v>1311</v>
      </c>
      <c r="I766" s="22" t="s">
        <v>1327</v>
      </c>
      <c r="J766" s="22" t="s">
        <v>1327</v>
      </c>
      <c r="K766" s="22" t="s">
        <v>1319</v>
      </c>
      <c r="L766" s="22" t="s">
        <v>1311</v>
      </c>
      <c r="M766" s="133" t="s">
        <v>1311</v>
      </c>
      <c r="N766" s="22" t="s">
        <v>1311</v>
      </c>
      <c r="O766" s="22" t="s">
        <v>1309</v>
      </c>
      <c r="P766" s="22" t="s">
        <v>1309</v>
      </c>
      <c r="Q766" s="20">
        <v>0</v>
      </c>
      <c r="R766" s="20">
        <v>43.082000000000001</v>
      </c>
      <c r="S766" s="20">
        <v>0</v>
      </c>
      <c r="T766" s="20">
        <v>0</v>
      </c>
      <c r="U766" s="20">
        <v>120.488</v>
      </c>
      <c r="V766" s="20">
        <v>120.488</v>
      </c>
      <c r="W766" s="20">
        <v>0</v>
      </c>
      <c r="X766" s="20">
        <v>0</v>
      </c>
      <c r="Y766" s="20">
        <v>0</v>
      </c>
      <c r="Z766" s="20">
        <v>0</v>
      </c>
      <c r="AA766" s="20" t="s">
        <v>1309</v>
      </c>
      <c r="AB766" s="22" t="s">
        <v>1309</v>
      </c>
      <c r="AC766" s="20">
        <v>20</v>
      </c>
      <c r="AD766" s="20">
        <v>0</v>
      </c>
      <c r="AE766" s="20">
        <v>0</v>
      </c>
      <c r="AF766" s="20">
        <v>1</v>
      </c>
      <c r="AG766" s="20">
        <v>0</v>
      </c>
      <c r="AH766" s="20">
        <v>0</v>
      </c>
      <c r="AI766" s="328">
        <v>16.599163402164532</v>
      </c>
      <c r="AJ766" s="328" t="s">
        <v>1328</v>
      </c>
      <c r="AK766" s="328" t="s">
        <v>1328</v>
      </c>
      <c r="AL766" s="22" t="s">
        <v>1329</v>
      </c>
      <c r="AM766" s="22" t="s">
        <v>1330</v>
      </c>
      <c r="AN766" s="22" t="s">
        <v>1526</v>
      </c>
      <c r="AO766" s="22" t="s">
        <v>1318</v>
      </c>
      <c r="AP766" s="22" t="s">
        <v>1526</v>
      </c>
      <c r="AQ766" s="22" t="s">
        <v>1318</v>
      </c>
      <c r="AR766" s="22" t="s">
        <v>1317</v>
      </c>
      <c r="AS766" s="22" t="s">
        <v>1311</v>
      </c>
      <c r="AT766" s="22" t="s">
        <v>1309</v>
      </c>
      <c r="AU766" s="22" t="s">
        <v>1309</v>
      </c>
      <c r="AV766" s="22" t="s">
        <v>1317</v>
      </c>
      <c r="AW766" s="22" t="s">
        <v>1318</v>
      </c>
      <c r="AX766" s="22" t="s">
        <v>1317</v>
      </c>
      <c r="AY766" s="22" t="s">
        <v>1318</v>
      </c>
      <c r="AZ766" s="22" t="s">
        <v>1319</v>
      </c>
      <c r="BA766" s="22" t="s">
        <v>1311</v>
      </c>
      <c r="BB766" s="22" t="s">
        <v>1309</v>
      </c>
      <c r="BC766" s="22" t="s">
        <v>1309</v>
      </c>
      <c r="BD766" s="22" t="s">
        <v>1309</v>
      </c>
      <c r="BE766" s="22" t="s">
        <v>1309</v>
      </c>
      <c r="BF766" s="22" t="s">
        <v>1317</v>
      </c>
      <c r="BG766" s="22" t="s">
        <v>1318</v>
      </c>
      <c r="BH766" s="22" t="s">
        <v>1317</v>
      </c>
      <c r="BI766" s="22" t="s">
        <v>1318</v>
      </c>
      <c r="BJ766" s="22" t="s">
        <v>1317</v>
      </c>
      <c r="BK766" s="22" t="s">
        <v>1318</v>
      </c>
      <c r="BL766" s="22" t="s">
        <v>1317</v>
      </c>
      <c r="BM766" s="22" t="s">
        <v>1318</v>
      </c>
      <c r="BN766" s="22" t="s">
        <v>1309</v>
      </c>
      <c r="BO766" s="22" t="s">
        <v>1309</v>
      </c>
      <c r="BP766" s="22" t="s">
        <v>1309</v>
      </c>
      <c r="BQ766" s="22" t="s">
        <v>1309</v>
      </c>
      <c r="BR766" s="22" t="s">
        <v>1309</v>
      </c>
      <c r="BS766" s="22" t="s">
        <v>1309</v>
      </c>
      <c r="BT766" s="22" t="s">
        <v>1309</v>
      </c>
      <c r="BU766" s="22" t="s">
        <v>1309</v>
      </c>
      <c r="BV766" s="22" t="s">
        <v>1317</v>
      </c>
      <c r="BW766" s="22" t="s">
        <v>1318</v>
      </c>
      <c r="BX766" s="20">
        <v>152</v>
      </c>
      <c r="BY766" s="20">
        <v>15</v>
      </c>
      <c r="BZ766" s="20">
        <v>63</v>
      </c>
      <c r="CA766" s="20">
        <v>0</v>
      </c>
      <c r="CB766" s="20">
        <v>0</v>
      </c>
      <c r="CC766" s="20">
        <v>5704</v>
      </c>
      <c r="CD766" s="22" t="s">
        <v>1345</v>
      </c>
      <c r="CE766" s="22" t="s">
        <v>1321</v>
      </c>
      <c r="CF766" s="22" t="s">
        <v>1317</v>
      </c>
      <c r="CG766" s="22" t="s">
        <v>1318</v>
      </c>
      <c r="CH766" s="22" t="s">
        <v>1413</v>
      </c>
      <c r="CI766" s="22" t="s">
        <v>1413</v>
      </c>
      <c r="CJ766" s="149" t="s">
        <v>1124</v>
      </c>
      <c r="CK766" s="241" t="s">
        <v>2993</v>
      </c>
    </row>
    <row r="767" spans="1:89" ht="15" customHeight="1" x14ac:dyDescent="0.35">
      <c r="A767" s="17"/>
      <c r="B767" s="313">
        <v>2010</v>
      </c>
      <c r="C767" s="8" t="s">
        <v>1027</v>
      </c>
      <c r="D767" s="18">
        <v>11</v>
      </c>
      <c r="E767" s="131" t="s">
        <v>1319</v>
      </c>
      <c r="F767" s="22" t="s">
        <v>1310</v>
      </c>
      <c r="G767" s="132" t="s">
        <v>1309</v>
      </c>
      <c r="H767" s="22" t="s">
        <v>1311</v>
      </c>
      <c r="I767" s="22" t="s">
        <v>1327</v>
      </c>
      <c r="J767" s="22" t="s">
        <v>1327</v>
      </c>
      <c r="K767" s="22" t="s">
        <v>1309</v>
      </c>
      <c r="L767" s="22" t="s">
        <v>1309</v>
      </c>
      <c r="M767" s="133" t="s">
        <v>1311</v>
      </c>
      <c r="N767" s="22" t="s">
        <v>1311</v>
      </c>
      <c r="O767" s="22" t="s">
        <v>1309</v>
      </c>
      <c r="P767" s="22" t="s">
        <v>1309</v>
      </c>
      <c r="Q767" s="20">
        <v>0</v>
      </c>
      <c r="R767" s="20">
        <v>0</v>
      </c>
      <c r="S767" s="20">
        <v>16.21</v>
      </c>
      <c r="T767" s="20">
        <v>16.21</v>
      </c>
      <c r="U767" s="20">
        <v>0</v>
      </c>
      <c r="V767" s="20">
        <v>0</v>
      </c>
      <c r="W767" s="20">
        <v>0</v>
      </c>
      <c r="X767" s="20">
        <v>0</v>
      </c>
      <c r="Y767" s="20">
        <v>0</v>
      </c>
      <c r="Z767" s="20">
        <v>0</v>
      </c>
      <c r="AA767" s="20" t="s">
        <v>1317</v>
      </c>
      <c r="AB767" s="22" t="s">
        <v>1311</v>
      </c>
      <c r="AC767" s="20">
        <v>1</v>
      </c>
      <c r="AD767" s="20">
        <v>0</v>
      </c>
      <c r="AE767" s="20">
        <v>0</v>
      </c>
      <c r="AF767" s="20">
        <v>30</v>
      </c>
      <c r="AG767" s="20">
        <v>0</v>
      </c>
      <c r="AH767" s="20">
        <v>0</v>
      </c>
      <c r="AI767" s="328">
        <v>13.651877133105801</v>
      </c>
      <c r="AJ767" s="328" t="s">
        <v>1328</v>
      </c>
      <c r="AK767" s="328" t="s">
        <v>1328</v>
      </c>
      <c r="AL767" s="22" t="s">
        <v>1338</v>
      </c>
      <c r="AM767" s="22" t="s">
        <v>1339</v>
      </c>
      <c r="AN767" s="22" t="s">
        <v>1317</v>
      </c>
      <c r="AO767" s="22" t="s">
        <v>1318</v>
      </c>
      <c r="AP767" s="22" t="s">
        <v>1318</v>
      </c>
      <c r="AQ767" s="22" t="s">
        <v>1318</v>
      </c>
      <c r="AR767" s="22" t="s">
        <v>1317</v>
      </c>
      <c r="AS767" s="22" t="s">
        <v>1318</v>
      </c>
      <c r="AT767" s="22" t="s">
        <v>1317</v>
      </c>
      <c r="AU767" s="22" t="s">
        <v>1318</v>
      </c>
      <c r="AV767" s="22" t="s">
        <v>1317</v>
      </c>
      <c r="AW767" s="22" t="s">
        <v>1318</v>
      </c>
      <c r="AX767" s="22" t="s">
        <v>1317</v>
      </c>
      <c r="AY767" s="22" t="s">
        <v>1318</v>
      </c>
      <c r="AZ767" s="22" t="s">
        <v>1317</v>
      </c>
      <c r="BA767" s="22" t="s">
        <v>1318</v>
      </c>
      <c r="BB767" s="22" t="s">
        <v>1309</v>
      </c>
      <c r="BC767" s="22" t="s">
        <v>1309</v>
      </c>
      <c r="BD767" s="22" t="s">
        <v>1309</v>
      </c>
      <c r="BE767" s="22" t="s">
        <v>1309</v>
      </c>
      <c r="BF767" s="22" t="s">
        <v>1317</v>
      </c>
      <c r="BG767" s="22" t="s">
        <v>1311</v>
      </c>
      <c r="BH767" s="22" t="s">
        <v>1317</v>
      </c>
      <c r="BI767" s="22" t="s">
        <v>1318</v>
      </c>
      <c r="BJ767" s="22" t="s">
        <v>1317</v>
      </c>
      <c r="BK767" s="22" t="s">
        <v>1318</v>
      </c>
      <c r="BL767" s="22" t="s">
        <v>1317</v>
      </c>
      <c r="BM767" s="22" t="s">
        <v>1318</v>
      </c>
      <c r="BN767" s="22" t="s">
        <v>1317</v>
      </c>
      <c r="BO767" s="22" t="s">
        <v>1311</v>
      </c>
      <c r="BP767" s="22" t="s">
        <v>1315</v>
      </c>
      <c r="BQ767" s="22" t="s">
        <v>1315</v>
      </c>
      <c r="BR767" s="22" t="s">
        <v>1309</v>
      </c>
      <c r="BS767" s="22" t="s">
        <v>1309</v>
      </c>
      <c r="BT767" s="22" t="s">
        <v>1315</v>
      </c>
      <c r="BU767" s="22" t="s">
        <v>1315</v>
      </c>
      <c r="BV767" s="22" t="s">
        <v>1309</v>
      </c>
      <c r="BW767" s="22" t="s">
        <v>1309</v>
      </c>
      <c r="BX767" s="20">
        <v>9</v>
      </c>
      <c r="BY767" s="20">
        <v>0</v>
      </c>
      <c r="BZ767" s="20">
        <v>13</v>
      </c>
      <c r="CA767" s="20">
        <v>0</v>
      </c>
      <c r="CB767" s="20">
        <v>0</v>
      </c>
      <c r="CC767" s="20">
        <v>212</v>
      </c>
      <c r="CD767" s="22" t="s">
        <v>1320</v>
      </c>
      <c r="CE767" s="22" t="s">
        <v>1321</v>
      </c>
      <c r="CF767" s="22" t="s">
        <v>1317</v>
      </c>
      <c r="CG767" s="22" t="s">
        <v>1321</v>
      </c>
      <c r="CH767" s="22" t="s">
        <v>1317</v>
      </c>
      <c r="CI767" s="22" t="s">
        <v>1318</v>
      </c>
      <c r="CJ767" s="149" t="s">
        <v>1124</v>
      </c>
      <c r="CK767" s="241" t="s">
        <v>2996</v>
      </c>
    </row>
    <row r="768" spans="1:89" ht="15" customHeight="1" x14ac:dyDescent="0.35">
      <c r="A768" s="17"/>
      <c r="B768" s="313">
        <v>83055</v>
      </c>
      <c r="C768" s="8" t="s">
        <v>843</v>
      </c>
      <c r="D768" s="18">
        <v>7</v>
      </c>
      <c r="E768" s="131"/>
      <c r="F768" s="22"/>
      <c r="G768" s="132"/>
      <c r="H768" s="22"/>
      <c r="I768" s="22"/>
      <c r="J768" s="22"/>
      <c r="K768" s="22"/>
      <c r="L768" s="22"/>
      <c r="M768" s="133"/>
      <c r="N768" s="22"/>
      <c r="O768" s="22"/>
      <c r="P768" s="22"/>
      <c r="Q768" s="20"/>
      <c r="R768" s="20"/>
      <c r="S768" s="20"/>
      <c r="T768" s="20"/>
      <c r="U768" s="20"/>
      <c r="V768" s="20"/>
      <c r="W768" s="20"/>
      <c r="X768" s="20"/>
      <c r="Y768" s="20"/>
      <c r="Z768" s="20"/>
      <c r="AA768" s="20"/>
      <c r="AB768" s="22"/>
      <c r="AC768" s="20"/>
      <c r="AD768" s="20"/>
      <c r="AE768" s="20"/>
      <c r="AF768" s="20" t="s">
        <v>1124</v>
      </c>
      <c r="AG768" s="20" t="s">
        <v>1124</v>
      </c>
      <c r="AH768" s="20" t="s">
        <v>1124</v>
      </c>
      <c r="AI768" s="328"/>
      <c r="AJ768" s="328"/>
      <c r="AK768" s="328"/>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0"/>
      <c r="BY768" s="20"/>
      <c r="BZ768" s="20"/>
      <c r="CA768" s="20"/>
      <c r="CB768" s="20"/>
      <c r="CC768" s="20"/>
      <c r="CD768" s="22"/>
      <c r="CE768" s="22"/>
      <c r="CF768" s="22"/>
      <c r="CG768" s="22"/>
      <c r="CH768" s="22"/>
      <c r="CI768" s="22"/>
      <c r="CJ768" s="149"/>
      <c r="CK768" s="241"/>
    </row>
    <row r="769" spans="1:89" ht="15" customHeight="1" x14ac:dyDescent="0.35">
      <c r="A769" s="17"/>
      <c r="B769" s="313">
        <v>70030</v>
      </c>
      <c r="C769" s="8" t="s">
        <v>700</v>
      </c>
      <c r="D769" s="18">
        <v>16</v>
      </c>
      <c r="E769" s="131"/>
      <c r="F769" s="22"/>
      <c r="G769" s="132"/>
      <c r="H769" s="22"/>
      <c r="I769" s="22"/>
      <c r="J769" s="22"/>
      <c r="K769" s="22"/>
      <c r="L769" s="22"/>
      <c r="M769" s="133"/>
      <c r="N769" s="22"/>
      <c r="O769" s="22"/>
      <c r="P769" s="22"/>
      <c r="Q769" s="20"/>
      <c r="R769" s="20"/>
      <c r="S769" s="20"/>
      <c r="T769" s="20"/>
      <c r="U769" s="20"/>
      <c r="V769" s="20"/>
      <c r="W769" s="20"/>
      <c r="X769" s="20"/>
      <c r="Y769" s="20"/>
      <c r="Z769" s="20"/>
      <c r="AA769" s="20"/>
      <c r="AB769" s="22"/>
      <c r="AC769" s="20"/>
      <c r="AD769" s="20"/>
      <c r="AE769" s="20"/>
      <c r="AF769" s="20" t="s">
        <v>1124</v>
      </c>
      <c r="AG769" s="20" t="s">
        <v>1124</v>
      </c>
      <c r="AH769" s="20" t="s">
        <v>1124</v>
      </c>
      <c r="AI769" s="328"/>
      <c r="AJ769" s="328"/>
      <c r="AK769" s="328"/>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0"/>
      <c r="BY769" s="20"/>
      <c r="BZ769" s="20"/>
      <c r="CA769" s="20"/>
      <c r="CB769" s="20"/>
      <c r="CC769" s="20"/>
      <c r="CD769" s="22"/>
      <c r="CE769" s="22"/>
      <c r="CF769" s="22"/>
      <c r="CG769" s="22"/>
      <c r="CH769" s="22"/>
      <c r="CI769" s="22"/>
      <c r="CJ769" s="149"/>
      <c r="CK769" s="241"/>
    </row>
    <row r="770" spans="1:89" ht="15" customHeight="1" x14ac:dyDescent="0.35">
      <c r="A770" s="17"/>
      <c r="B770" s="313">
        <v>45100</v>
      </c>
      <c r="C770" s="8" t="s">
        <v>424</v>
      </c>
      <c r="D770" s="18">
        <v>5</v>
      </c>
      <c r="E770" s="131"/>
      <c r="F770" s="22"/>
      <c r="G770" s="132"/>
      <c r="H770" s="22"/>
      <c r="I770" s="22"/>
      <c r="J770" s="22"/>
      <c r="K770" s="22"/>
      <c r="L770" s="22"/>
      <c r="M770" s="133"/>
      <c r="N770" s="22"/>
      <c r="O770" s="22"/>
      <c r="P770" s="22"/>
      <c r="Q770" s="20"/>
      <c r="R770" s="20"/>
      <c r="S770" s="20"/>
      <c r="T770" s="20"/>
      <c r="U770" s="20"/>
      <c r="V770" s="20"/>
      <c r="W770" s="20"/>
      <c r="X770" s="20"/>
      <c r="Y770" s="20"/>
      <c r="Z770" s="20"/>
      <c r="AA770" s="20"/>
      <c r="AB770" s="22"/>
      <c r="AC770" s="20"/>
      <c r="AD770" s="20"/>
      <c r="AE770" s="20"/>
      <c r="AF770" s="20" t="s">
        <v>1124</v>
      </c>
      <c r="AG770" s="20" t="s">
        <v>1124</v>
      </c>
      <c r="AH770" s="20" t="s">
        <v>1124</v>
      </c>
      <c r="AI770" s="328"/>
      <c r="AJ770" s="328"/>
      <c r="AK770" s="328"/>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0"/>
      <c r="BY770" s="20"/>
      <c r="BZ770" s="20"/>
      <c r="CA770" s="20"/>
      <c r="CB770" s="20"/>
      <c r="CC770" s="20"/>
      <c r="CD770" s="22"/>
      <c r="CE770" s="22"/>
      <c r="CF770" s="22"/>
      <c r="CG770" s="22"/>
      <c r="CH770" s="22"/>
      <c r="CI770" s="22"/>
      <c r="CJ770" s="149"/>
      <c r="CK770" s="241"/>
    </row>
    <row r="771" spans="1:89" ht="15" customHeight="1" x14ac:dyDescent="0.35">
      <c r="A771" s="17"/>
      <c r="B771" s="313">
        <v>51090</v>
      </c>
      <c r="C771" s="8" t="s">
        <v>514</v>
      </c>
      <c r="D771" s="18">
        <v>4</v>
      </c>
      <c r="E771" s="131" t="s">
        <v>1319</v>
      </c>
      <c r="F771" s="22" t="s">
        <v>1490</v>
      </c>
      <c r="G771" s="132" t="s">
        <v>1309</v>
      </c>
      <c r="H771" s="22" t="s">
        <v>1311</v>
      </c>
      <c r="I771" s="22" t="s">
        <v>1327</v>
      </c>
      <c r="J771" s="22" t="s">
        <v>1327</v>
      </c>
      <c r="K771" s="22" t="s">
        <v>1309</v>
      </c>
      <c r="L771" s="22" t="s">
        <v>1309</v>
      </c>
      <c r="M771" s="133" t="s">
        <v>1311</v>
      </c>
      <c r="N771" s="22" t="s">
        <v>1311</v>
      </c>
      <c r="O771" s="22" t="s">
        <v>1314</v>
      </c>
      <c r="P771" s="22" t="s">
        <v>1318</v>
      </c>
      <c r="Q771" s="20">
        <v>0</v>
      </c>
      <c r="R771" s="20">
        <v>0</v>
      </c>
      <c r="S771" s="20">
        <v>61.2</v>
      </c>
      <c r="T771" s="20">
        <v>61.2</v>
      </c>
      <c r="U771" s="20">
        <v>0</v>
      </c>
      <c r="V771" s="20">
        <v>0</v>
      </c>
      <c r="W771" s="20">
        <v>0</v>
      </c>
      <c r="X771" s="20">
        <v>0</v>
      </c>
      <c r="Y771" s="20">
        <v>0</v>
      </c>
      <c r="Z771" s="20">
        <v>0</v>
      </c>
      <c r="AA771" s="20" t="s">
        <v>1317</v>
      </c>
      <c r="AB771" s="22" t="s">
        <v>1318</v>
      </c>
      <c r="AC771" s="20">
        <v>0</v>
      </c>
      <c r="AD771" s="20">
        <v>0</v>
      </c>
      <c r="AE771" s="20">
        <v>2</v>
      </c>
      <c r="AF771" s="20">
        <v>0</v>
      </c>
      <c r="AG771" s="20">
        <v>0</v>
      </c>
      <c r="AH771" s="20">
        <v>1</v>
      </c>
      <c r="AI771" s="328" t="s">
        <v>1328</v>
      </c>
      <c r="AJ771" s="328" t="s">
        <v>1328</v>
      </c>
      <c r="AK771" s="328">
        <v>1.7513134851138354</v>
      </c>
      <c r="AL771" s="22" t="s">
        <v>1329</v>
      </c>
      <c r="AM771" s="22" t="s">
        <v>1330</v>
      </c>
      <c r="AN771" s="22" t="s">
        <v>1317</v>
      </c>
      <c r="AO771" s="22" t="s">
        <v>1318</v>
      </c>
      <c r="AP771" s="22" t="s">
        <v>1318</v>
      </c>
      <c r="AQ771" s="22" t="s">
        <v>1318</v>
      </c>
      <c r="AR771" s="22" t="s">
        <v>1317</v>
      </c>
      <c r="AS771" s="22" t="s">
        <v>1318</v>
      </c>
      <c r="AT771" s="22" t="s">
        <v>1309</v>
      </c>
      <c r="AU771" s="22" t="s">
        <v>1309</v>
      </c>
      <c r="AV771" s="22" t="s">
        <v>1309</v>
      </c>
      <c r="AW771" s="22" t="s">
        <v>1309</v>
      </c>
      <c r="AX771" s="22" t="s">
        <v>1317</v>
      </c>
      <c r="AY771" s="22" t="s">
        <v>1318</v>
      </c>
      <c r="AZ771" s="22" t="s">
        <v>1309</v>
      </c>
      <c r="BA771" s="22" t="s">
        <v>1311</v>
      </c>
      <c r="BB771" s="22" t="s">
        <v>1309</v>
      </c>
      <c r="BC771" s="22" t="s">
        <v>1309</v>
      </c>
      <c r="BD771" s="22" t="s">
        <v>1317</v>
      </c>
      <c r="BE771" s="22" t="s">
        <v>1318</v>
      </c>
      <c r="BF771" s="22" t="s">
        <v>1317</v>
      </c>
      <c r="BG771" s="22" t="s">
        <v>1318</v>
      </c>
      <c r="BH771" s="22" t="s">
        <v>1309</v>
      </c>
      <c r="BI771" s="22" t="s">
        <v>1309</v>
      </c>
      <c r="BJ771" s="22" t="s">
        <v>1309</v>
      </c>
      <c r="BK771" s="22" t="s">
        <v>1309</v>
      </c>
      <c r="BL771" s="22" t="s">
        <v>1309</v>
      </c>
      <c r="BM771" s="22" t="s">
        <v>1309</v>
      </c>
      <c r="BN771" s="22" t="s">
        <v>1309</v>
      </c>
      <c r="BO771" s="22" t="s">
        <v>1309</v>
      </c>
      <c r="BP771" s="22" t="s">
        <v>1315</v>
      </c>
      <c r="BQ771" s="22" t="s">
        <v>1315</v>
      </c>
      <c r="BR771" s="22" t="s">
        <v>1309</v>
      </c>
      <c r="BS771" s="22" t="s">
        <v>1309</v>
      </c>
      <c r="BT771" s="22" t="s">
        <v>1315</v>
      </c>
      <c r="BU771" s="22" t="s">
        <v>1315</v>
      </c>
      <c r="BV771" s="22" t="s">
        <v>1309</v>
      </c>
      <c r="BW771" s="22" t="s">
        <v>1309</v>
      </c>
      <c r="BX771" s="20">
        <v>0</v>
      </c>
      <c r="BY771" s="20">
        <v>6</v>
      </c>
      <c r="BZ771" s="20">
        <v>39</v>
      </c>
      <c r="CA771" s="20">
        <v>0</v>
      </c>
      <c r="CB771" s="20">
        <v>0</v>
      </c>
      <c r="CC771" s="20">
        <v>1097</v>
      </c>
      <c r="CD771" s="22" t="s">
        <v>1317</v>
      </c>
      <c r="CE771" s="22" t="s">
        <v>1318</v>
      </c>
      <c r="CF771" s="22" t="s">
        <v>1317</v>
      </c>
      <c r="CG771" s="22" t="s">
        <v>1318</v>
      </c>
      <c r="CH771" s="22" t="s">
        <v>1317</v>
      </c>
      <c r="CI771" s="22" t="s">
        <v>1318</v>
      </c>
      <c r="CJ771" s="149" t="s">
        <v>1124</v>
      </c>
      <c r="CK771" s="241" t="s">
        <v>1357</v>
      </c>
    </row>
    <row r="772" spans="1:89" ht="15" customHeight="1" x14ac:dyDescent="0.35">
      <c r="A772" s="17"/>
      <c r="B772" s="313">
        <v>49105</v>
      </c>
      <c r="C772" s="8" t="s">
        <v>478</v>
      </c>
      <c r="D772" s="18">
        <v>17</v>
      </c>
      <c r="E772" s="131"/>
      <c r="F772" s="22"/>
      <c r="G772" s="132"/>
      <c r="H772" s="22"/>
      <c r="I772" s="22"/>
      <c r="J772" s="22"/>
      <c r="K772" s="22"/>
      <c r="L772" s="22"/>
      <c r="M772" s="133"/>
      <c r="N772" s="22"/>
      <c r="O772" s="22"/>
      <c r="P772" s="22"/>
      <c r="Q772" s="20"/>
      <c r="R772" s="20"/>
      <c r="S772" s="20"/>
      <c r="T772" s="20"/>
      <c r="U772" s="20"/>
      <c r="V772" s="20"/>
      <c r="W772" s="20"/>
      <c r="X772" s="20"/>
      <c r="Y772" s="20"/>
      <c r="Z772" s="20"/>
      <c r="AA772" s="20"/>
      <c r="AB772" s="22"/>
      <c r="AC772" s="20"/>
      <c r="AD772" s="20"/>
      <c r="AE772" s="20"/>
      <c r="AF772" s="20" t="s">
        <v>1124</v>
      </c>
      <c r="AG772" s="20" t="s">
        <v>1124</v>
      </c>
      <c r="AH772" s="20" t="s">
        <v>1124</v>
      </c>
      <c r="AI772" s="328"/>
      <c r="AJ772" s="328"/>
      <c r="AK772" s="328"/>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0"/>
      <c r="BY772" s="20"/>
      <c r="BZ772" s="20"/>
      <c r="CA772" s="20"/>
      <c r="CB772" s="20"/>
      <c r="CC772" s="20"/>
      <c r="CD772" s="22"/>
      <c r="CE772" s="22"/>
      <c r="CF772" s="22"/>
      <c r="CG772" s="22"/>
      <c r="CH772" s="22"/>
      <c r="CI772" s="22"/>
      <c r="CJ772" s="149"/>
      <c r="CK772" s="241"/>
    </row>
    <row r="773" spans="1:89" ht="15" customHeight="1" x14ac:dyDescent="0.35">
      <c r="A773" s="17"/>
      <c r="B773" s="313">
        <v>92065</v>
      </c>
      <c r="C773" s="8" t="s">
        <v>956</v>
      </c>
      <c r="D773" s="18">
        <v>2</v>
      </c>
      <c r="E773" s="131" t="s">
        <v>1319</v>
      </c>
      <c r="F773" s="22" t="s">
        <v>1490</v>
      </c>
      <c r="G773" s="132" t="s">
        <v>1309</v>
      </c>
      <c r="H773" s="22" t="s">
        <v>1311</v>
      </c>
      <c r="I773" s="22" t="s">
        <v>1327</v>
      </c>
      <c r="J773" s="22" t="s">
        <v>1327</v>
      </c>
      <c r="K773" s="22" t="s">
        <v>1314</v>
      </c>
      <c r="L773" s="22" t="s">
        <v>1311</v>
      </c>
      <c r="M773" s="133" t="s">
        <v>1311</v>
      </c>
      <c r="N773" s="22" t="s">
        <v>1311</v>
      </c>
      <c r="O773" s="22" t="s">
        <v>1314</v>
      </c>
      <c r="P773" s="22" t="s">
        <v>1318</v>
      </c>
      <c r="Q773" s="20">
        <v>0</v>
      </c>
      <c r="R773" s="20">
        <v>0</v>
      </c>
      <c r="S773" s="20">
        <v>0</v>
      </c>
      <c r="T773" s="20">
        <v>0</v>
      </c>
      <c r="U773" s="20">
        <v>0</v>
      </c>
      <c r="V773" s="20">
        <v>0</v>
      </c>
      <c r="W773" s="20">
        <v>0</v>
      </c>
      <c r="X773" s="20">
        <v>0</v>
      </c>
      <c r="Y773" s="20">
        <v>0</v>
      </c>
      <c r="Z773" s="20">
        <v>0</v>
      </c>
      <c r="AA773" s="20" t="s">
        <v>1317</v>
      </c>
      <c r="AB773" s="22" t="s">
        <v>1318</v>
      </c>
      <c r="AC773" s="20">
        <v>0</v>
      </c>
      <c r="AD773" s="20">
        <v>0</v>
      </c>
      <c r="AE773" s="20">
        <v>0</v>
      </c>
      <c r="AF773" s="20">
        <v>0</v>
      </c>
      <c r="AG773" s="20">
        <v>0</v>
      </c>
      <c r="AH773" s="20">
        <v>0</v>
      </c>
      <c r="AI773" s="328" t="s">
        <v>1328</v>
      </c>
      <c r="AJ773" s="328" t="s">
        <v>1328</v>
      </c>
      <c r="AK773" s="328" t="s">
        <v>1328</v>
      </c>
      <c r="AL773" s="22" t="s">
        <v>1329</v>
      </c>
      <c r="AM773" s="22" t="s">
        <v>1330</v>
      </c>
      <c r="AN773" s="22" t="s">
        <v>1317</v>
      </c>
      <c r="AO773" s="22" t="s">
        <v>1318</v>
      </c>
      <c r="AP773" s="22" t="s">
        <v>1318</v>
      </c>
      <c r="AQ773" s="22" t="s">
        <v>1318</v>
      </c>
      <c r="AR773" s="22" t="s">
        <v>1317</v>
      </c>
      <c r="AS773" s="22" t="s">
        <v>1318</v>
      </c>
      <c r="AT773" s="22" t="s">
        <v>1317</v>
      </c>
      <c r="AU773" s="22" t="s">
        <v>1311</v>
      </c>
      <c r="AV773" s="22" t="s">
        <v>1317</v>
      </c>
      <c r="AW773" s="22" t="s">
        <v>1318</v>
      </c>
      <c r="AX773" s="22" t="s">
        <v>1317</v>
      </c>
      <c r="AY773" s="22" t="s">
        <v>1318</v>
      </c>
      <c r="AZ773" s="22" t="s">
        <v>1309</v>
      </c>
      <c r="BA773" s="22" t="s">
        <v>1309</v>
      </c>
      <c r="BB773" s="22" t="s">
        <v>1309</v>
      </c>
      <c r="BC773" s="22" t="s">
        <v>1309</v>
      </c>
      <c r="BD773" s="22" t="s">
        <v>1317</v>
      </c>
      <c r="BE773" s="22" t="s">
        <v>1318</v>
      </c>
      <c r="BF773" s="22" t="s">
        <v>1317</v>
      </c>
      <c r="BG773" s="22" t="s">
        <v>1318</v>
      </c>
      <c r="BH773" s="22" t="s">
        <v>1317</v>
      </c>
      <c r="BI773" s="22" t="s">
        <v>1318</v>
      </c>
      <c r="BJ773" s="22" t="s">
        <v>1315</v>
      </c>
      <c r="BK773" s="22" t="s">
        <v>1315</v>
      </c>
      <c r="BL773" s="22" t="s">
        <v>1309</v>
      </c>
      <c r="BM773" s="22" t="s">
        <v>1309</v>
      </c>
      <c r="BN773" s="22" t="s">
        <v>1309</v>
      </c>
      <c r="BO773" s="22" t="s">
        <v>1309</v>
      </c>
      <c r="BP773" s="22" t="s">
        <v>1309</v>
      </c>
      <c r="BQ773" s="22" t="s">
        <v>1309</v>
      </c>
      <c r="BR773" s="22" t="s">
        <v>1317</v>
      </c>
      <c r="BS773" s="22" t="s">
        <v>1318</v>
      </c>
      <c r="BT773" s="22" t="s">
        <v>1309</v>
      </c>
      <c r="BU773" s="22" t="s">
        <v>1309</v>
      </c>
      <c r="BV773" s="22" t="s">
        <v>1317</v>
      </c>
      <c r="BW773" s="22" t="s">
        <v>1318</v>
      </c>
      <c r="BX773" s="20">
        <v>0</v>
      </c>
      <c r="BY773" s="20">
        <v>0</v>
      </c>
      <c r="BZ773" s="20">
        <v>5</v>
      </c>
      <c r="CA773" s="20">
        <v>0</v>
      </c>
      <c r="CB773" s="20">
        <v>0</v>
      </c>
      <c r="CC773" s="20">
        <v>198</v>
      </c>
      <c r="CD773" s="22" t="s">
        <v>1317</v>
      </c>
      <c r="CE773" s="22" t="s">
        <v>1318</v>
      </c>
      <c r="CF773" s="22" t="s">
        <v>1317</v>
      </c>
      <c r="CG773" s="22" t="s">
        <v>1318</v>
      </c>
      <c r="CH773" s="22" t="s">
        <v>1317</v>
      </c>
      <c r="CI773" s="22" t="s">
        <v>1318</v>
      </c>
      <c r="CJ773" s="149" t="s">
        <v>1124</v>
      </c>
      <c r="CK773" s="241" t="s">
        <v>2620</v>
      </c>
    </row>
    <row r="774" spans="1:89" ht="15" customHeight="1" x14ac:dyDescent="0.35">
      <c r="A774" s="17"/>
      <c r="B774" s="313">
        <v>85085</v>
      </c>
      <c r="C774" s="8" t="s">
        <v>884</v>
      </c>
      <c r="D774" s="18">
        <v>8</v>
      </c>
      <c r="E774" s="131" t="s">
        <v>1309</v>
      </c>
      <c r="F774" s="22" t="s">
        <v>1309</v>
      </c>
      <c r="G774" s="132" t="s">
        <v>1309</v>
      </c>
      <c r="H774" s="22" t="s">
        <v>1311</v>
      </c>
      <c r="I774" s="22" t="s">
        <v>1327</v>
      </c>
      <c r="J774" s="22" t="s">
        <v>1327</v>
      </c>
      <c r="K774" s="22" t="s">
        <v>1309</v>
      </c>
      <c r="L774" s="22" t="s">
        <v>1309</v>
      </c>
      <c r="M774" s="133" t="s">
        <v>1311</v>
      </c>
      <c r="N774" s="22" t="s">
        <v>1311</v>
      </c>
      <c r="O774" s="22" t="s">
        <v>1315</v>
      </c>
      <c r="P774" s="22" t="s">
        <v>1315</v>
      </c>
      <c r="Q774" s="20">
        <v>0</v>
      </c>
      <c r="R774" s="20">
        <v>0</v>
      </c>
      <c r="S774" s="20">
        <v>0.5</v>
      </c>
      <c r="T774" s="20">
        <v>0.5</v>
      </c>
      <c r="U774" s="20">
        <v>0.5</v>
      </c>
      <c r="V774" s="20">
        <v>0.5</v>
      </c>
      <c r="W774" s="20">
        <v>0</v>
      </c>
      <c r="X774" s="20">
        <v>0</v>
      </c>
      <c r="Y774" s="20">
        <v>0</v>
      </c>
      <c r="Z774" s="20">
        <v>0</v>
      </c>
      <c r="AA774" s="20" t="s">
        <v>1317</v>
      </c>
      <c r="AB774" s="22" t="s">
        <v>1318</v>
      </c>
      <c r="AC774" s="20">
        <v>1</v>
      </c>
      <c r="AD774" s="20">
        <v>0</v>
      </c>
      <c r="AE774" s="20">
        <v>0</v>
      </c>
      <c r="AF774" s="20">
        <v>2</v>
      </c>
      <c r="AG774" s="20">
        <v>0</v>
      </c>
      <c r="AH774" s="20">
        <v>0</v>
      </c>
      <c r="AI774" s="328">
        <v>20.533880903490758</v>
      </c>
      <c r="AJ774" s="328" t="s">
        <v>1328</v>
      </c>
      <c r="AK774" s="328" t="s">
        <v>1328</v>
      </c>
      <c r="AL774" s="22" t="s">
        <v>1329</v>
      </c>
      <c r="AM774" s="22" t="s">
        <v>1330</v>
      </c>
      <c r="AN774" s="22" t="s">
        <v>1317</v>
      </c>
      <c r="AO774" s="22" t="s">
        <v>1318</v>
      </c>
      <c r="AP774" s="22" t="s">
        <v>1318</v>
      </c>
      <c r="AQ774" s="22" t="s">
        <v>1318</v>
      </c>
      <c r="AR774" s="22" t="s">
        <v>1317</v>
      </c>
      <c r="AS774" s="22" t="s">
        <v>1311</v>
      </c>
      <c r="AT774" s="22" t="s">
        <v>1317</v>
      </c>
      <c r="AU774" s="22" t="s">
        <v>1318</v>
      </c>
      <c r="AV774" s="22" t="s">
        <v>1317</v>
      </c>
      <c r="AW774" s="22" t="s">
        <v>1318</v>
      </c>
      <c r="AX774" s="22" t="s">
        <v>1317</v>
      </c>
      <c r="AY774" s="22" t="s">
        <v>1318</v>
      </c>
      <c r="AZ774" s="22" t="s">
        <v>1309</v>
      </c>
      <c r="BA774" s="22" t="s">
        <v>1309</v>
      </c>
      <c r="BB774" s="22" t="s">
        <v>1309</v>
      </c>
      <c r="BC774" s="22" t="s">
        <v>1309</v>
      </c>
      <c r="BD774" s="22" t="s">
        <v>1317</v>
      </c>
      <c r="BE774" s="22" t="s">
        <v>1318</v>
      </c>
      <c r="BF774" s="22" t="s">
        <v>1317</v>
      </c>
      <c r="BG774" s="22" t="s">
        <v>1318</v>
      </c>
      <c r="BH774" s="22" t="s">
        <v>1309</v>
      </c>
      <c r="BI774" s="22" t="s">
        <v>1309</v>
      </c>
      <c r="BJ774" s="22" t="s">
        <v>1317</v>
      </c>
      <c r="BK774" s="22" t="s">
        <v>1318</v>
      </c>
      <c r="BL774" s="22" t="s">
        <v>1317</v>
      </c>
      <c r="BM774" s="22" t="s">
        <v>1318</v>
      </c>
      <c r="BN774" s="22" t="s">
        <v>1309</v>
      </c>
      <c r="BO774" s="22" t="s">
        <v>1309</v>
      </c>
      <c r="BP774" s="22" t="s">
        <v>1309</v>
      </c>
      <c r="BQ774" s="22" t="s">
        <v>1309</v>
      </c>
      <c r="BR774" s="22" t="s">
        <v>1309</v>
      </c>
      <c r="BS774" s="22" t="s">
        <v>1309</v>
      </c>
      <c r="BT774" s="22" t="s">
        <v>1309</v>
      </c>
      <c r="BU774" s="22" t="s">
        <v>1309</v>
      </c>
      <c r="BV774" s="22" t="s">
        <v>1317</v>
      </c>
      <c r="BW774" s="22" t="s">
        <v>1318</v>
      </c>
      <c r="BX774" s="20">
        <v>0</v>
      </c>
      <c r="BY774" s="20">
        <v>0</v>
      </c>
      <c r="BZ774" s="20">
        <v>10</v>
      </c>
      <c r="CA774" s="20">
        <v>0</v>
      </c>
      <c r="CB774" s="20">
        <v>0</v>
      </c>
      <c r="CC774" s="20">
        <v>66</v>
      </c>
      <c r="CD774" s="22" t="s">
        <v>1317</v>
      </c>
      <c r="CE774" s="22" t="s">
        <v>1318</v>
      </c>
      <c r="CF774" s="22" t="s">
        <v>1317</v>
      </c>
      <c r="CG774" s="22" t="s">
        <v>1318</v>
      </c>
      <c r="CH774" s="22" t="s">
        <v>1317</v>
      </c>
      <c r="CI774" s="22" t="s">
        <v>1318</v>
      </c>
      <c r="CJ774" s="149" t="s">
        <v>3006</v>
      </c>
      <c r="CK774" s="241" t="s">
        <v>1124</v>
      </c>
    </row>
    <row r="775" spans="1:89" ht="15" customHeight="1" x14ac:dyDescent="0.35">
      <c r="A775" s="17"/>
      <c r="B775" s="313">
        <v>10075</v>
      </c>
      <c r="C775" s="8" t="s">
        <v>16</v>
      </c>
      <c r="D775" s="18">
        <v>1</v>
      </c>
      <c r="E775" s="131"/>
      <c r="F775" s="22"/>
      <c r="G775" s="132"/>
      <c r="H775" s="22"/>
      <c r="I775" s="22"/>
      <c r="J775" s="22"/>
      <c r="K775" s="22"/>
      <c r="L775" s="22"/>
      <c r="M775" s="133"/>
      <c r="N775" s="22"/>
      <c r="O775" s="22"/>
      <c r="P775" s="22"/>
      <c r="Q775" s="20"/>
      <c r="R775" s="20"/>
      <c r="S775" s="20"/>
      <c r="T775" s="20"/>
      <c r="U775" s="20"/>
      <c r="V775" s="20"/>
      <c r="W775" s="20"/>
      <c r="X775" s="20"/>
      <c r="Y775" s="20"/>
      <c r="Z775" s="20"/>
      <c r="AA775" s="20"/>
      <c r="AB775" s="22"/>
      <c r="AC775" s="20"/>
      <c r="AD775" s="20"/>
      <c r="AE775" s="20"/>
      <c r="AF775" s="20" t="s">
        <v>1124</v>
      </c>
      <c r="AG775" s="20" t="s">
        <v>1124</v>
      </c>
      <c r="AH775" s="20" t="s">
        <v>1124</v>
      </c>
      <c r="AI775" s="328"/>
      <c r="AJ775" s="328"/>
      <c r="AK775" s="328"/>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0"/>
      <c r="BY775" s="20"/>
      <c r="BZ775" s="20"/>
      <c r="CA775" s="20"/>
      <c r="CB775" s="20"/>
      <c r="CC775" s="20"/>
      <c r="CD775" s="22"/>
      <c r="CE775" s="22"/>
      <c r="CF775" s="22"/>
      <c r="CG775" s="22"/>
      <c r="CH775" s="22"/>
      <c r="CI775" s="22"/>
      <c r="CJ775" s="149"/>
      <c r="CK775" s="241"/>
    </row>
    <row r="776" spans="1:89" ht="15" customHeight="1" x14ac:dyDescent="0.35">
      <c r="A776" s="17"/>
      <c r="B776" s="313">
        <v>51040</v>
      </c>
      <c r="C776" s="8" t="s">
        <v>504</v>
      </c>
      <c r="D776" s="18">
        <v>4</v>
      </c>
      <c r="E776" s="131" t="s">
        <v>1309</v>
      </c>
      <c r="F776" s="22" t="s">
        <v>1309</v>
      </c>
      <c r="G776" s="132" t="s">
        <v>1309</v>
      </c>
      <c r="H776" s="22" t="s">
        <v>1311</v>
      </c>
      <c r="I776" s="22" t="s">
        <v>1327</v>
      </c>
      <c r="J776" s="22" t="s">
        <v>1327</v>
      </c>
      <c r="K776" s="22" t="s">
        <v>1319</v>
      </c>
      <c r="L776" s="22" t="s">
        <v>1309</v>
      </c>
      <c r="M776" s="133" t="s">
        <v>1311</v>
      </c>
      <c r="N776" s="22" t="s">
        <v>1311</v>
      </c>
      <c r="O776" s="22" t="s">
        <v>1314</v>
      </c>
      <c r="P776" s="22" t="s">
        <v>1318</v>
      </c>
      <c r="Q776" s="20">
        <v>0</v>
      </c>
      <c r="R776" s="20">
        <v>21.975999999999999</v>
      </c>
      <c r="S776" s="20">
        <v>0</v>
      </c>
      <c r="T776" s="20">
        <v>0</v>
      </c>
      <c r="U776" s="20">
        <v>21.975999999999999</v>
      </c>
      <c r="V776" s="20">
        <v>21.975999999999999</v>
      </c>
      <c r="W776" s="20">
        <v>0</v>
      </c>
      <c r="X776" s="20">
        <v>0</v>
      </c>
      <c r="Y776" s="20">
        <v>0</v>
      </c>
      <c r="Z776" s="20">
        <v>0</v>
      </c>
      <c r="AA776" s="20" t="s">
        <v>1309</v>
      </c>
      <c r="AB776" s="22" t="s">
        <v>1311</v>
      </c>
      <c r="AC776" s="20">
        <v>1</v>
      </c>
      <c r="AD776" s="20">
        <v>10</v>
      </c>
      <c r="AE776" s="20">
        <v>2</v>
      </c>
      <c r="AF776" s="20">
        <v>2</v>
      </c>
      <c r="AG776" s="20">
        <v>2</v>
      </c>
      <c r="AH776" s="20">
        <v>2</v>
      </c>
      <c r="AI776" s="328">
        <v>4.5504186385147438</v>
      </c>
      <c r="AJ776" s="328">
        <v>17.921146953405017</v>
      </c>
      <c r="AK776" s="328">
        <v>3.5842293906810037</v>
      </c>
      <c r="AL776" s="22" t="s">
        <v>1329</v>
      </c>
      <c r="AM776" s="22" t="s">
        <v>1330</v>
      </c>
      <c r="AN776" s="22" t="s">
        <v>1317</v>
      </c>
      <c r="AO776" s="22" t="s">
        <v>1318</v>
      </c>
      <c r="AP776" s="22" t="s">
        <v>1318</v>
      </c>
      <c r="AQ776" s="22" t="s">
        <v>1318</v>
      </c>
      <c r="AR776" s="22" t="s">
        <v>1317</v>
      </c>
      <c r="AS776" s="22" t="s">
        <v>1318</v>
      </c>
      <c r="AT776" s="22" t="s">
        <v>1309</v>
      </c>
      <c r="AU776" s="22" t="s">
        <v>1309</v>
      </c>
      <c r="AV776" s="22" t="s">
        <v>1317</v>
      </c>
      <c r="AW776" s="22" t="s">
        <v>1318</v>
      </c>
      <c r="AX776" s="22" t="s">
        <v>1317</v>
      </c>
      <c r="AY776" s="22" t="s">
        <v>1311</v>
      </c>
      <c r="AZ776" s="22" t="s">
        <v>1309</v>
      </c>
      <c r="BA776" s="22" t="s">
        <v>1309</v>
      </c>
      <c r="BB776" s="22" t="s">
        <v>1309</v>
      </c>
      <c r="BC776" s="22" t="s">
        <v>1309</v>
      </c>
      <c r="BD776" s="22" t="s">
        <v>1317</v>
      </c>
      <c r="BE776" s="22" t="s">
        <v>1318</v>
      </c>
      <c r="BF776" s="22" t="s">
        <v>1317</v>
      </c>
      <c r="BG776" s="22" t="s">
        <v>1318</v>
      </c>
      <c r="BH776" s="22" t="s">
        <v>1315</v>
      </c>
      <c r="BI776" s="22" t="s">
        <v>1315</v>
      </c>
      <c r="BJ776" s="22" t="s">
        <v>1309</v>
      </c>
      <c r="BK776" s="22" t="s">
        <v>1309</v>
      </c>
      <c r="BL776" s="22" t="s">
        <v>1319</v>
      </c>
      <c r="BM776" s="22" t="s">
        <v>1309</v>
      </c>
      <c r="BN776" s="22" t="s">
        <v>1309</v>
      </c>
      <c r="BO776" s="22" t="s">
        <v>1309</v>
      </c>
      <c r="BP776" s="22" t="s">
        <v>1315</v>
      </c>
      <c r="BQ776" s="22" t="s">
        <v>1315</v>
      </c>
      <c r="BR776" s="22" t="s">
        <v>1317</v>
      </c>
      <c r="BS776" s="22" t="s">
        <v>1318</v>
      </c>
      <c r="BT776" s="22" t="s">
        <v>1315</v>
      </c>
      <c r="BU776" s="22" t="s">
        <v>1315</v>
      </c>
      <c r="BV776" s="22" t="s">
        <v>1309</v>
      </c>
      <c r="BW776" s="22" t="s">
        <v>1309</v>
      </c>
      <c r="BX776" s="20">
        <v>0</v>
      </c>
      <c r="BY776" s="20">
        <v>33</v>
      </c>
      <c r="BZ776" s="20">
        <v>41</v>
      </c>
      <c r="CA776" s="20">
        <v>0</v>
      </c>
      <c r="CB776" s="20">
        <v>0</v>
      </c>
      <c r="CC776" s="20">
        <v>449</v>
      </c>
      <c r="CD776" s="22" t="s">
        <v>1320</v>
      </c>
      <c r="CE776" s="22" t="s">
        <v>1321</v>
      </c>
      <c r="CF776" s="22" t="s">
        <v>1317</v>
      </c>
      <c r="CG776" s="22" t="s">
        <v>1321</v>
      </c>
      <c r="CH776" s="22" t="s">
        <v>1317</v>
      </c>
      <c r="CI776" s="22" t="s">
        <v>1318</v>
      </c>
      <c r="CJ776" s="149" t="s">
        <v>3012</v>
      </c>
      <c r="CK776" s="241" t="s">
        <v>1124</v>
      </c>
    </row>
    <row r="777" spans="1:89" ht="15" customHeight="1" x14ac:dyDescent="0.35">
      <c r="A777" s="17"/>
      <c r="B777" s="313">
        <v>13030</v>
      </c>
      <c r="C777" s="8" t="s">
        <v>46</v>
      </c>
      <c r="D777" s="18">
        <v>1</v>
      </c>
      <c r="E777" s="131"/>
      <c r="F777" s="22"/>
      <c r="G777" s="132"/>
      <c r="H777" s="22"/>
      <c r="I777" s="22"/>
      <c r="J777" s="22"/>
      <c r="K777" s="22"/>
      <c r="L777" s="22"/>
      <c r="M777" s="133"/>
      <c r="N777" s="22"/>
      <c r="O777" s="22"/>
      <c r="P777" s="22"/>
      <c r="Q777" s="20"/>
      <c r="R777" s="20"/>
      <c r="S777" s="20"/>
      <c r="T777" s="20"/>
      <c r="U777" s="20"/>
      <c r="V777" s="20"/>
      <c r="W777" s="20"/>
      <c r="X777" s="20"/>
      <c r="Y777" s="20"/>
      <c r="Z777" s="20"/>
      <c r="AA777" s="20"/>
      <c r="AB777" s="22"/>
      <c r="AC777" s="20"/>
      <c r="AD777" s="20"/>
      <c r="AE777" s="20"/>
      <c r="AF777" s="20" t="s">
        <v>1124</v>
      </c>
      <c r="AG777" s="20" t="s">
        <v>1124</v>
      </c>
      <c r="AH777" s="20" t="s">
        <v>1124</v>
      </c>
      <c r="AI777" s="328"/>
      <c r="AJ777" s="328"/>
      <c r="AK777" s="328"/>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0"/>
      <c r="BY777" s="20"/>
      <c r="BZ777" s="20"/>
      <c r="CA777" s="20"/>
      <c r="CB777" s="20"/>
      <c r="CC777" s="20"/>
      <c r="CD777" s="22"/>
      <c r="CE777" s="22"/>
      <c r="CF777" s="22"/>
      <c r="CG777" s="22"/>
      <c r="CH777" s="22"/>
      <c r="CI777" s="22"/>
      <c r="CJ777" s="149"/>
      <c r="CK777" s="241"/>
    </row>
    <row r="778" spans="1:89" ht="15" customHeight="1" x14ac:dyDescent="0.35">
      <c r="A778" s="17"/>
      <c r="B778" s="313">
        <v>72005</v>
      </c>
      <c r="C778" s="8" t="s">
        <v>727</v>
      </c>
      <c r="D778" s="18">
        <v>15</v>
      </c>
      <c r="E778" s="131" t="s">
        <v>1309</v>
      </c>
      <c r="F778" s="22" t="s">
        <v>1309</v>
      </c>
      <c r="G778" s="132" t="s">
        <v>1309</v>
      </c>
      <c r="H778" s="22" t="s">
        <v>1311</v>
      </c>
      <c r="I778" s="22" t="s">
        <v>1327</v>
      </c>
      <c r="J778" s="22" t="s">
        <v>1327</v>
      </c>
      <c r="K778" s="22" t="s">
        <v>1309</v>
      </c>
      <c r="L778" s="22" t="s">
        <v>1309</v>
      </c>
      <c r="M778" s="133" t="s">
        <v>1311</v>
      </c>
      <c r="N778" s="22" t="s">
        <v>1311</v>
      </c>
      <c r="O778" s="22" t="s">
        <v>1319</v>
      </c>
      <c r="P778" s="22" t="s">
        <v>1311</v>
      </c>
      <c r="Q778" s="20">
        <v>0</v>
      </c>
      <c r="R778" s="20">
        <v>0</v>
      </c>
      <c r="S778" s="20">
        <v>193.5</v>
      </c>
      <c r="T778" s="20">
        <v>193.5</v>
      </c>
      <c r="U778" s="20">
        <v>290.25</v>
      </c>
      <c r="V778" s="20">
        <v>290.25</v>
      </c>
      <c r="W778" s="20">
        <v>1.5</v>
      </c>
      <c r="X778" s="20">
        <v>1.5</v>
      </c>
      <c r="Y778" s="20">
        <v>0</v>
      </c>
      <c r="Z778" s="20">
        <v>0</v>
      </c>
      <c r="AA778" s="20" t="s">
        <v>1317</v>
      </c>
      <c r="AB778" s="22" t="s">
        <v>1318</v>
      </c>
      <c r="AC778" s="20">
        <v>23</v>
      </c>
      <c r="AD778" s="20">
        <v>4</v>
      </c>
      <c r="AE778" s="20">
        <v>18</v>
      </c>
      <c r="AF778" s="20">
        <v>7</v>
      </c>
      <c r="AG778" s="20">
        <v>7</v>
      </c>
      <c r="AH778" s="20">
        <v>30</v>
      </c>
      <c r="AI778" s="328">
        <v>11.266722510421719</v>
      </c>
      <c r="AJ778" s="328">
        <v>0.21817388458601505</v>
      </c>
      <c r="AK778" s="328">
        <v>0.98178248063706774</v>
      </c>
      <c r="AL778" s="22" t="s">
        <v>1316</v>
      </c>
      <c r="AM778" s="22" t="s">
        <v>1316</v>
      </c>
      <c r="AN778" s="22" t="s">
        <v>1526</v>
      </c>
      <c r="AO778" s="22" t="s">
        <v>1318</v>
      </c>
      <c r="AP778" s="22" t="s">
        <v>1526</v>
      </c>
      <c r="AQ778" s="22" t="s">
        <v>1318</v>
      </c>
      <c r="AR778" s="22" t="s">
        <v>1317</v>
      </c>
      <c r="AS778" s="22" t="s">
        <v>1318</v>
      </c>
      <c r="AT778" s="22" t="s">
        <v>1309</v>
      </c>
      <c r="AU778" s="22" t="s">
        <v>1309</v>
      </c>
      <c r="AV778" s="22" t="s">
        <v>1317</v>
      </c>
      <c r="AW778" s="22" t="s">
        <v>1318</v>
      </c>
      <c r="AX778" s="22" t="s">
        <v>1317</v>
      </c>
      <c r="AY778" s="22" t="s">
        <v>1318</v>
      </c>
      <c r="AZ778" s="22" t="s">
        <v>1309</v>
      </c>
      <c r="BA778" s="22" t="s">
        <v>1309</v>
      </c>
      <c r="BB778" s="22" t="s">
        <v>1319</v>
      </c>
      <c r="BC778" s="22" t="s">
        <v>1311</v>
      </c>
      <c r="BD778" s="22" t="s">
        <v>1319</v>
      </c>
      <c r="BE778" s="22" t="s">
        <v>1311</v>
      </c>
      <c r="BF778" s="22" t="s">
        <v>1319</v>
      </c>
      <c r="BG778" s="22" t="s">
        <v>1311</v>
      </c>
      <c r="BH778" s="22" t="s">
        <v>1309</v>
      </c>
      <c r="BI778" s="22" t="s">
        <v>1309</v>
      </c>
      <c r="BJ778" s="22" t="s">
        <v>1317</v>
      </c>
      <c r="BK778" s="22" t="s">
        <v>1318</v>
      </c>
      <c r="BL778" s="22" t="s">
        <v>1317</v>
      </c>
      <c r="BM778" s="22" t="s">
        <v>1318</v>
      </c>
      <c r="BN778" s="22" t="s">
        <v>1317</v>
      </c>
      <c r="BO778" s="22" t="s">
        <v>1318</v>
      </c>
      <c r="BP778" s="22" t="s">
        <v>1309</v>
      </c>
      <c r="BQ778" s="22" t="s">
        <v>1309</v>
      </c>
      <c r="BR778" s="22" t="s">
        <v>1309</v>
      </c>
      <c r="BS778" s="22" t="s">
        <v>1309</v>
      </c>
      <c r="BT778" s="22" t="s">
        <v>1317</v>
      </c>
      <c r="BU778" s="22" t="s">
        <v>1318</v>
      </c>
      <c r="BV778" s="22" t="s">
        <v>1317</v>
      </c>
      <c r="BW778" s="22" t="s">
        <v>1318</v>
      </c>
      <c r="BX778" s="20">
        <v>548</v>
      </c>
      <c r="BY778" s="20">
        <v>50</v>
      </c>
      <c r="BZ778" s="20">
        <v>0</v>
      </c>
      <c r="CA778" s="20">
        <v>128</v>
      </c>
      <c r="CB778" s="20">
        <v>0</v>
      </c>
      <c r="CC778" s="20">
        <v>17608</v>
      </c>
      <c r="CD778" s="22" t="s">
        <v>1331</v>
      </c>
      <c r="CE778" s="22" t="s">
        <v>1331</v>
      </c>
      <c r="CF778" s="22" t="s">
        <v>1320</v>
      </c>
      <c r="CG778" s="22" t="s">
        <v>1344</v>
      </c>
      <c r="CH778" s="22" t="s">
        <v>1315</v>
      </c>
      <c r="CI778" s="22" t="s">
        <v>1315</v>
      </c>
      <c r="CJ778" s="149" t="s">
        <v>1124</v>
      </c>
      <c r="CK778" s="241" t="s">
        <v>1124</v>
      </c>
    </row>
    <row r="779" spans="1:89" ht="15" customHeight="1" x14ac:dyDescent="0.35">
      <c r="A779" s="17"/>
      <c r="B779" s="313">
        <v>29025</v>
      </c>
      <c r="C779" s="8" t="s">
        <v>204</v>
      </c>
      <c r="D779" s="18">
        <v>12</v>
      </c>
      <c r="E779" s="131"/>
      <c r="F779" s="22"/>
      <c r="G779" s="132"/>
      <c r="H779" s="22"/>
      <c r="I779" s="22"/>
      <c r="J779" s="22"/>
      <c r="K779" s="22"/>
      <c r="L779" s="22"/>
      <c r="M779" s="133"/>
      <c r="N779" s="22"/>
      <c r="O779" s="22"/>
      <c r="P779" s="22"/>
      <c r="Q779" s="20"/>
      <c r="R779" s="20"/>
      <c r="S779" s="20"/>
      <c r="T779" s="20"/>
      <c r="U779" s="20"/>
      <c r="V779" s="20"/>
      <c r="W779" s="20"/>
      <c r="X779" s="20"/>
      <c r="Y779" s="20"/>
      <c r="Z779" s="20"/>
      <c r="AA779" s="20"/>
      <c r="AB779" s="22"/>
      <c r="AC779" s="20"/>
      <c r="AD779" s="20"/>
      <c r="AE779" s="20"/>
      <c r="AF779" s="20" t="s">
        <v>1124</v>
      </c>
      <c r="AG779" s="20" t="s">
        <v>1124</v>
      </c>
      <c r="AH779" s="20" t="s">
        <v>1124</v>
      </c>
      <c r="AI779" s="328"/>
      <c r="AJ779" s="328"/>
      <c r="AK779" s="328"/>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0"/>
      <c r="BY779" s="20"/>
      <c r="BZ779" s="20"/>
      <c r="CA779" s="20"/>
      <c r="CB779" s="20"/>
      <c r="CC779" s="20"/>
      <c r="CD779" s="22"/>
      <c r="CE779" s="22"/>
      <c r="CF779" s="22"/>
      <c r="CG779" s="22"/>
      <c r="CH779" s="22"/>
      <c r="CI779" s="22"/>
      <c r="CJ779" s="149"/>
      <c r="CK779" s="241"/>
    </row>
    <row r="780" spans="1:89" ht="15" customHeight="1" x14ac:dyDescent="0.35">
      <c r="A780" s="17"/>
      <c r="B780" s="313">
        <v>53025</v>
      </c>
      <c r="C780" s="8" t="s">
        <v>534</v>
      </c>
      <c r="D780" s="18">
        <v>16</v>
      </c>
      <c r="E780" s="131"/>
      <c r="F780" s="22"/>
      <c r="G780" s="132"/>
      <c r="H780" s="22"/>
      <c r="I780" s="22"/>
      <c r="J780" s="22"/>
      <c r="K780" s="22"/>
      <c r="L780" s="22"/>
      <c r="M780" s="133"/>
      <c r="N780" s="22"/>
      <c r="O780" s="22"/>
      <c r="P780" s="22"/>
      <c r="Q780" s="20"/>
      <c r="R780" s="20"/>
      <c r="S780" s="20"/>
      <c r="T780" s="20"/>
      <c r="U780" s="20"/>
      <c r="V780" s="20"/>
      <c r="W780" s="20"/>
      <c r="X780" s="20"/>
      <c r="Y780" s="20"/>
      <c r="Z780" s="20"/>
      <c r="AA780" s="20"/>
      <c r="AB780" s="22"/>
      <c r="AC780" s="20"/>
      <c r="AD780" s="20"/>
      <c r="AE780" s="20"/>
      <c r="AF780" s="20" t="s">
        <v>1124</v>
      </c>
      <c r="AG780" s="20" t="s">
        <v>1124</v>
      </c>
      <c r="AH780" s="20" t="s">
        <v>1124</v>
      </c>
      <c r="AI780" s="328"/>
      <c r="AJ780" s="328"/>
      <c r="AK780" s="328"/>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0"/>
      <c r="BY780" s="20"/>
      <c r="BZ780" s="20"/>
      <c r="CA780" s="20"/>
      <c r="CB780" s="20"/>
      <c r="CC780" s="20"/>
      <c r="CD780" s="22"/>
      <c r="CE780" s="22"/>
      <c r="CF780" s="22"/>
      <c r="CG780" s="22"/>
      <c r="CH780" s="22"/>
      <c r="CI780" s="22"/>
      <c r="CJ780" s="149"/>
      <c r="CK780" s="241"/>
    </row>
    <row r="781" spans="1:89" ht="15" customHeight="1" x14ac:dyDescent="0.35">
      <c r="A781" s="17"/>
      <c r="B781" s="313">
        <v>10070</v>
      </c>
      <c r="C781" s="8" t="s">
        <v>15</v>
      </c>
      <c r="D781" s="18">
        <v>1</v>
      </c>
      <c r="E781" s="131" t="s">
        <v>1309</v>
      </c>
      <c r="F781" s="22" t="s">
        <v>1309</v>
      </c>
      <c r="G781" s="132" t="s">
        <v>1309</v>
      </c>
      <c r="H781" s="22" t="s">
        <v>1311</v>
      </c>
      <c r="I781" s="22" t="s">
        <v>1327</v>
      </c>
      <c r="J781" s="22" t="s">
        <v>1327</v>
      </c>
      <c r="K781" s="22" t="s">
        <v>1309</v>
      </c>
      <c r="L781" s="22" t="s">
        <v>1309</v>
      </c>
      <c r="M781" s="133" t="s">
        <v>1311</v>
      </c>
      <c r="N781" s="22" t="s">
        <v>1311</v>
      </c>
      <c r="O781" s="22" t="s">
        <v>1314</v>
      </c>
      <c r="P781" s="22" t="s">
        <v>1318</v>
      </c>
      <c r="Q781" s="20">
        <v>0</v>
      </c>
      <c r="R781" s="20">
        <v>0</v>
      </c>
      <c r="S781" s="20">
        <v>0</v>
      </c>
      <c r="T781" s="20">
        <v>0</v>
      </c>
      <c r="U781" s="20">
        <v>11.926</v>
      </c>
      <c r="V781" s="20">
        <v>11.926</v>
      </c>
      <c r="W781" s="20">
        <v>0</v>
      </c>
      <c r="X781" s="20">
        <v>0</v>
      </c>
      <c r="Y781" s="20">
        <v>0</v>
      </c>
      <c r="Z781" s="20">
        <v>0</v>
      </c>
      <c r="AA781" s="20" t="s">
        <v>1319</v>
      </c>
      <c r="AB781" s="22" t="s">
        <v>1311</v>
      </c>
      <c r="AC781" s="20">
        <v>0</v>
      </c>
      <c r="AD781" s="20">
        <v>0</v>
      </c>
      <c r="AE781" s="20">
        <v>0</v>
      </c>
      <c r="AF781" s="20">
        <v>0</v>
      </c>
      <c r="AG781" s="20">
        <v>0</v>
      </c>
      <c r="AH781" s="20">
        <v>0</v>
      </c>
      <c r="AI781" s="328" t="s">
        <v>1328</v>
      </c>
      <c r="AJ781" s="328" t="s">
        <v>1328</v>
      </c>
      <c r="AK781" s="328" t="s">
        <v>1328</v>
      </c>
      <c r="AL781" s="22" t="s">
        <v>1338</v>
      </c>
      <c r="AM781" s="22" t="s">
        <v>1330</v>
      </c>
      <c r="AN781" s="22" t="s">
        <v>1317</v>
      </c>
      <c r="AO781" s="22" t="s">
        <v>1318</v>
      </c>
      <c r="AP781" s="22" t="s">
        <v>1318</v>
      </c>
      <c r="AQ781" s="22" t="s">
        <v>1318</v>
      </c>
      <c r="AR781" s="22" t="s">
        <v>1317</v>
      </c>
      <c r="AS781" s="22" t="s">
        <v>1318</v>
      </c>
      <c r="AT781" s="22" t="s">
        <v>1309</v>
      </c>
      <c r="AU781" s="22" t="s">
        <v>1309</v>
      </c>
      <c r="AV781" s="22" t="s">
        <v>1317</v>
      </c>
      <c r="AW781" s="22" t="s">
        <v>1311</v>
      </c>
      <c r="AX781" s="22" t="s">
        <v>1317</v>
      </c>
      <c r="AY781" s="22" t="s">
        <v>1318</v>
      </c>
      <c r="AZ781" s="22" t="s">
        <v>1309</v>
      </c>
      <c r="BA781" s="22" t="s">
        <v>1309</v>
      </c>
      <c r="BB781" s="22" t="s">
        <v>1309</v>
      </c>
      <c r="BC781" s="22" t="s">
        <v>1309</v>
      </c>
      <c r="BD781" s="22" t="s">
        <v>1317</v>
      </c>
      <c r="BE781" s="22" t="s">
        <v>1318</v>
      </c>
      <c r="BF781" s="22" t="s">
        <v>1317</v>
      </c>
      <c r="BG781" s="22" t="s">
        <v>1318</v>
      </c>
      <c r="BH781" s="22" t="s">
        <v>1309</v>
      </c>
      <c r="BI781" s="22" t="s">
        <v>1309</v>
      </c>
      <c r="BJ781" s="22" t="s">
        <v>1309</v>
      </c>
      <c r="BK781" s="22" t="s">
        <v>1309</v>
      </c>
      <c r="BL781" s="22" t="s">
        <v>1309</v>
      </c>
      <c r="BM781" s="22" t="s">
        <v>1309</v>
      </c>
      <c r="BN781" s="22" t="s">
        <v>1309</v>
      </c>
      <c r="BO781" s="22" t="s">
        <v>1309</v>
      </c>
      <c r="BP781" s="22" t="s">
        <v>1315</v>
      </c>
      <c r="BQ781" s="22" t="s">
        <v>1315</v>
      </c>
      <c r="BR781" s="22" t="s">
        <v>1309</v>
      </c>
      <c r="BS781" s="22" t="s">
        <v>1309</v>
      </c>
      <c r="BT781" s="22" t="s">
        <v>1317</v>
      </c>
      <c r="BU781" s="22" t="s">
        <v>1318</v>
      </c>
      <c r="BV781" s="22" t="s">
        <v>1309</v>
      </c>
      <c r="BW781" s="22" t="s">
        <v>1309</v>
      </c>
      <c r="BX781" s="20">
        <v>0</v>
      </c>
      <c r="BY781" s="20">
        <v>0</v>
      </c>
      <c r="BZ781" s="20">
        <v>45</v>
      </c>
      <c r="CA781" s="20">
        <v>0</v>
      </c>
      <c r="CB781" s="20">
        <v>0</v>
      </c>
      <c r="CC781" s="20">
        <v>515</v>
      </c>
      <c r="CD781" s="22" t="s">
        <v>1317</v>
      </c>
      <c r="CE781" s="22" t="s">
        <v>1321</v>
      </c>
      <c r="CF781" s="22" t="s">
        <v>1317</v>
      </c>
      <c r="CG781" s="22" t="s">
        <v>1321</v>
      </c>
      <c r="CH781" s="22" t="s">
        <v>1317</v>
      </c>
      <c r="CI781" s="22" t="s">
        <v>1318</v>
      </c>
      <c r="CJ781" s="149" t="s">
        <v>3019</v>
      </c>
      <c r="CK781" s="241" t="s">
        <v>3020</v>
      </c>
    </row>
    <row r="782" spans="1:89" ht="15" customHeight="1" x14ac:dyDescent="0.35">
      <c r="A782" s="17"/>
      <c r="B782" s="313">
        <v>18015</v>
      </c>
      <c r="C782" s="8" t="s">
        <v>106</v>
      </c>
      <c r="D782" s="18">
        <v>12</v>
      </c>
      <c r="E782" s="131" t="s">
        <v>1309</v>
      </c>
      <c r="F782" s="22" t="s">
        <v>1309</v>
      </c>
      <c r="G782" s="132" t="s">
        <v>1309</v>
      </c>
      <c r="H782" s="22" t="s">
        <v>1311</v>
      </c>
      <c r="I782" s="22" t="s">
        <v>1327</v>
      </c>
      <c r="J782" s="22" t="s">
        <v>1327</v>
      </c>
      <c r="K782" s="22" t="s">
        <v>1314</v>
      </c>
      <c r="L782" s="22" t="s">
        <v>1311</v>
      </c>
      <c r="M782" s="133" t="s">
        <v>1311</v>
      </c>
      <c r="N782" s="22" t="s">
        <v>1311</v>
      </c>
      <c r="O782" s="22" t="s">
        <v>1314</v>
      </c>
      <c r="P782" s="22" t="s">
        <v>1311</v>
      </c>
      <c r="Q782" s="20">
        <v>0</v>
      </c>
      <c r="R782" s="20">
        <v>0</v>
      </c>
      <c r="S782" s="20">
        <v>0</v>
      </c>
      <c r="T782" s="20">
        <v>0</v>
      </c>
      <c r="U782" s="20">
        <v>0</v>
      </c>
      <c r="V782" s="20">
        <v>4.3380000000000001</v>
      </c>
      <c r="W782" s="20">
        <v>0</v>
      </c>
      <c r="X782" s="20">
        <v>0</v>
      </c>
      <c r="Y782" s="20">
        <v>0</v>
      </c>
      <c r="Z782" s="20">
        <v>0</v>
      </c>
      <c r="AA782" s="20" t="s">
        <v>1315</v>
      </c>
      <c r="AB782" s="22" t="s">
        <v>1315</v>
      </c>
      <c r="AC782" s="20">
        <v>0</v>
      </c>
      <c r="AD782" s="20">
        <v>0</v>
      </c>
      <c r="AE782" s="20">
        <v>0</v>
      </c>
      <c r="AF782" s="20">
        <v>0</v>
      </c>
      <c r="AG782" s="20">
        <v>0</v>
      </c>
      <c r="AH782" s="20">
        <v>0</v>
      </c>
      <c r="AI782" s="328" t="s">
        <v>1328</v>
      </c>
      <c r="AJ782" s="328" t="s">
        <v>1328</v>
      </c>
      <c r="AK782" s="328" t="s">
        <v>1328</v>
      </c>
      <c r="AL782" s="22" t="s">
        <v>1329</v>
      </c>
      <c r="AM782" s="22" t="s">
        <v>1330</v>
      </c>
      <c r="AN782" s="22" t="s">
        <v>1317</v>
      </c>
      <c r="AO782" s="22" t="s">
        <v>1318</v>
      </c>
      <c r="AP782" s="22" t="s">
        <v>1318</v>
      </c>
      <c r="AQ782" s="22" t="s">
        <v>1318</v>
      </c>
      <c r="AR782" s="22" t="s">
        <v>1317</v>
      </c>
      <c r="AS782" s="22" t="s">
        <v>1318</v>
      </c>
      <c r="AT782" s="22" t="s">
        <v>1317</v>
      </c>
      <c r="AU782" s="22" t="s">
        <v>1311</v>
      </c>
      <c r="AV782" s="22" t="s">
        <v>1317</v>
      </c>
      <c r="AW782" s="22" t="s">
        <v>1318</v>
      </c>
      <c r="AX782" s="22" t="s">
        <v>1317</v>
      </c>
      <c r="AY782" s="22" t="s">
        <v>1318</v>
      </c>
      <c r="AZ782" s="22" t="s">
        <v>1317</v>
      </c>
      <c r="BA782" s="22" t="s">
        <v>1318</v>
      </c>
      <c r="BB782" s="22" t="s">
        <v>1309</v>
      </c>
      <c r="BC782" s="22" t="s">
        <v>1309</v>
      </c>
      <c r="BD782" s="22" t="s">
        <v>1317</v>
      </c>
      <c r="BE782" s="22" t="s">
        <v>1318</v>
      </c>
      <c r="BF782" s="22" t="s">
        <v>1317</v>
      </c>
      <c r="BG782" s="22" t="s">
        <v>1318</v>
      </c>
      <c r="BH782" s="22" t="s">
        <v>1309</v>
      </c>
      <c r="BI782" s="22" t="s">
        <v>1309</v>
      </c>
      <c r="BJ782" s="22" t="s">
        <v>1317</v>
      </c>
      <c r="BK782" s="22" t="s">
        <v>1318</v>
      </c>
      <c r="BL782" s="22" t="s">
        <v>1317</v>
      </c>
      <c r="BM782" s="22" t="s">
        <v>1318</v>
      </c>
      <c r="BN782" s="22" t="s">
        <v>1309</v>
      </c>
      <c r="BO782" s="22" t="s">
        <v>1309</v>
      </c>
      <c r="BP782" s="22" t="s">
        <v>1317</v>
      </c>
      <c r="BQ782" s="22" t="s">
        <v>1318</v>
      </c>
      <c r="BR782" s="22" t="s">
        <v>1309</v>
      </c>
      <c r="BS782" s="22" t="s">
        <v>1309</v>
      </c>
      <c r="BT782" s="22" t="s">
        <v>1317</v>
      </c>
      <c r="BU782" s="22" t="s">
        <v>1318</v>
      </c>
      <c r="BV782" s="22" t="s">
        <v>1309</v>
      </c>
      <c r="BW782" s="22" t="s">
        <v>1311</v>
      </c>
      <c r="BX782" s="20">
        <v>0</v>
      </c>
      <c r="BY782" s="20">
        <v>0</v>
      </c>
      <c r="BZ782" s="20">
        <v>12</v>
      </c>
      <c r="CA782" s="20">
        <v>0</v>
      </c>
      <c r="CB782" s="20">
        <v>0</v>
      </c>
      <c r="CC782" s="20">
        <v>240</v>
      </c>
      <c r="CD782" s="22" t="s">
        <v>1317</v>
      </c>
      <c r="CE782" s="22" t="s">
        <v>1318</v>
      </c>
      <c r="CF782" s="22" t="s">
        <v>1317</v>
      </c>
      <c r="CG782" s="22" t="s">
        <v>1318</v>
      </c>
      <c r="CH782" s="22" t="s">
        <v>1317</v>
      </c>
      <c r="CI782" s="22" t="s">
        <v>1318</v>
      </c>
      <c r="CJ782" s="149" t="s">
        <v>1124</v>
      </c>
      <c r="CK782" s="241" t="s">
        <v>1386</v>
      </c>
    </row>
    <row r="783" spans="1:89" ht="15" customHeight="1" x14ac:dyDescent="0.35">
      <c r="A783" s="17"/>
      <c r="B783" s="313">
        <v>78047</v>
      </c>
      <c r="C783" s="8" t="s">
        <v>772</v>
      </c>
      <c r="D783" s="18">
        <v>15</v>
      </c>
      <c r="E783" s="131" t="s">
        <v>1319</v>
      </c>
      <c r="F783" s="22" t="s">
        <v>1490</v>
      </c>
      <c r="G783" s="132" t="s">
        <v>1309</v>
      </c>
      <c r="H783" s="22" t="s">
        <v>1311</v>
      </c>
      <c r="I783" s="22" t="s">
        <v>1327</v>
      </c>
      <c r="J783" s="22" t="s">
        <v>1327</v>
      </c>
      <c r="K783" s="22" t="s">
        <v>1314</v>
      </c>
      <c r="L783" s="22" t="s">
        <v>1311</v>
      </c>
      <c r="M783" s="133" t="s">
        <v>1311</v>
      </c>
      <c r="N783" s="22" t="s">
        <v>1311</v>
      </c>
      <c r="O783" s="22" t="s">
        <v>1309</v>
      </c>
      <c r="P783" s="22" t="s">
        <v>1309</v>
      </c>
      <c r="Q783" s="20">
        <v>0</v>
      </c>
      <c r="R783" s="20">
        <v>0</v>
      </c>
      <c r="S783" s="20">
        <v>0</v>
      </c>
      <c r="T783" s="20">
        <v>67.686000000000007</v>
      </c>
      <c r="U783" s="20">
        <v>0</v>
      </c>
      <c r="V783" s="20">
        <v>0</v>
      </c>
      <c r="W783" s="20">
        <v>0</v>
      </c>
      <c r="X783" s="20">
        <v>0</v>
      </c>
      <c r="Y783" s="20">
        <v>0</v>
      </c>
      <c r="Z783" s="20">
        <v>0</v>
      </c>
      <c r="AA783" s="20" t="s">
        <v>1317</v>
      </c>
      <c r="AB783" s="22" t="s">
        <v>1318</v>
      </c>
      <c r="AC783" s="20">
        <v>2</v>
      </c>
      <c r="AD783" s="20">
        <v>1</v>
      </c>
      <c r="AE783" s="20">
        <v>0</v>
      </c>
      <c r="AF783" s="20">
        <v>1</v>
      </c>
      <c r="AG783" s="20">
        <v>1</v>
      </c>
      <c r="AH783" s="20">
        <v>0</v>
      </c>
      <c r="AI783" s="328">
        <v>5.9096415802381577</v>
      </c>
      <c r="AJ783" s="328">
        <v>0.78247261345852892</v>
      </c>
      <c r="AK783" s="328" t="s">
        <v>1328</v>
      </c>
      <c r="AL783" s="22" t="s">
        <v>1329</v>
      </c>
      <c r="AM783" s="22" t="s">
        <v>1330</v>
      </c>
      <c r="AN783" s="22" t="s">
        <v>1315</v>
      </c>
      <c r="AO783" s="22" t="s">
        <v>1315</v>
      </c>
      <c r="AP783" s="22" t="s">
        <v>1315</v>
      </c>
      <c r="AQ783" s="22" t="s">
        <v>1315</v>
      </c>
      <c r="AR783" s="22" t="s">
        <v>1315</v>
      </c>
      <c r="AS783" s="22" t="s">
        <v>1315</v>
      </c>
      <c r="AT783" s="22" t="s">
        <v>1309</v>
      </c>
      <c r="AU783" s="22" t="s">
        <v>1309</v>
      </c>
      <c r="AV783" s="22" t="s">
        <v>1317</v>
      </c>
      <c r="AW783" s="22" t="s">
        <v>1318</v>
      </c>
      <c r="AX783" s="22" t="s">
        <v>1317</v>
      </c>
      <c r="AY783" s="22" t="s">
        <v>1318</v>
      </c>
      <c r="AZ783" s="22" t="s">
        <v>1309</v>
      </c>
      <c r="BA783" s="22" t="s">
        <v>1309</v>
      </c>
      <c r="BB783" s="22" t="s">
        <v>1309</v>
      </c>
      <c r="BC783" s="22" t="s">
        <v>1309</v>
      </c>
      <c r="BD783" s="22" t="s">
        <v>1309</v>
      </c>
      <c r="BE783" s="22" t="s">
        <v>1309</v>
      </c>
      <c r="BF783" s="22" t="s">
        <v>1317</v>
      </c>
      <c r="BG783" s="22" t="s">
        <v>1318</v>
      </c>
      <c r="BH783" s="22" t="s">
        <v>1309</v>
      </c>
      <c r="BI783" s="22" t="s">
        <v>1309</v>
      </c>
      <c r="BJ783" s="22" t="s">
        <v>1317</v>
      </c>
      <c r="BK783" s="22" t="s">
        <v>1318</v>
      </c>
      <c r="BL783" s="22" t="s">
        <v>1317</v>
      </c>
      <c r="BM783" s="22" t="s">
        <v>1318</v>
      </c>
      <c r="BN783" s="22" t="s">
        <v>1309</v>
      </c>
      <c r="BO783" s="22" t="s">
        <v>1309</v>
      </c>
      <c r="BP783" s="22" t="s">
        <v>1315</v>
      </c>
      <c r="BQ783" s="22" t="s">
        <v>1315</v>
      </c>
      <c r="BR783" s="22" t="s">
        <v>1315</v>
      </c>
      <c r="BS783" s="22" t="s">
        <v>1315</v>
      </c>
      <c r="BT783" s="22" t="s">
        <v>1317</v>
      </c>
      <c r="BU783" s="22" t="s">
        <v>1318</v>
      </c>
      <c r="BV783" s="22" t="s">
        <v>1309</v>
      </c>
      <c r="BW783" s="22" t="s">
        <v>1309</v>
      </c>
      <c r="BX783" s="20">
        <v>41</v>
      </c>
      <c r="BY783" s="20">
        <v>0</v>
      </c>
      <c r="BZ783" s="20">
        <v>34</v>
      </c>
      <c r="CA783" s="20">
        <v>0</v>
      </c>
      <c r="CB783" s="20">
        <v>0</v>
      </c>
      <c r="CC783" s="20">
        <v>1203</v>
      </c>
      <c r="CD783" s="22" t="s">
        <v>1331</v>
      </c>
      <c r="CE783" s="22" t="s">
        <v>1321</v>
      </c>
      <c r="CF783" s="22" t="s">
        <v>1317</v>
      </c>
      <c r="CG783" s="22" t="s">
        <v>1340</v>
      </c>
      <c r="CH783" s="22" t="s">
        <v>1317</v>
      </c>
      <c r="CI783" s="22" t="s">
        <v>1318</v>
      </c>
      <c r="CJ783" s="149" t="s">
        <v>3744</v>
      </c>
      <c r="CK783" s="241" t="s">
        <v>3745</v>
      </c>
    </row>
    <row r="784" spans="1:89" ht="15" customHeight="1" x14ac:dyDescent="0.35">
      <c r="A784" s="17"/>
      <c r="B784" s="313">
        <v>91042</v>
      </c>
      <c r="C784" s="8" t="s">
        <v>944</v>
      </c>
      <c r="D784" s="18">
        <v>2</v>
      </c>
      <c r="E784" s="131" t="s">
        <v>1309</v>
      </c>
      <c r="F784" s="22" t="s">
        <v>1309</v>
      </c>
      <c r="G784" s="132" t="s">
        <v>1309</v>
      </c>
      <c r="H784" s="22" t="s">
        <v>1311</v>
      </c>
      <c r="I784" s="22" t="s">
        <v>1327</v>
      </c>
      <c r="J784" s="22" t="s">
        <v>1327</v>
      </c>
      <c r="K784" s="22" t="s">
        <v>1309</v>
      </c>
      <c r="L784" s="22" t="s">
        <v>1309</v>
      </c>
      <c r="M784" s="133" t="s">
        <v>1311</v>
      </c>
      <c r="N784" s="22" t="s">
        <v>1311</v>
      </c>
      <c r="O784" s="22" t="s">
        <v>1309</v>
      </c>
      <c r="P784" s="22" t="s">
        <v>1309</v>
      </c>
      <c r="Q784" s="20">
        <v>0</v>
      </c>
      <c r="R784" s="20">
        <v>0</v>
      </c>
      <c r="S784" s="20">
        <v>0</v>
      </c>
      <c r="T784" s="20">
        <v>0</v>
      </c>
      <c r="U784" s="20">
        <v>0</v>
      </c>
      <c r="V784" s="20">
        <v>0</v>
      </c>
      <c r="W784" s="20">
        <v>157.33500000000001</v>
      </c>
      <c r="X784" s="20">
        <v>0</v>
      </c>
      <c r="Y784" s="20">
        <v>0</v>
      </c>
      <c r="Z784" s="20">
        <v>157.33500000000001</v>
      </c>
      <c r="AA784" s="20" t="s">
        <v>1317</v>
      </c>
      <c r="AB784" s="22" t="s">
        <v>1318</v>
      </c>
      <c r="AC784" s="20">
        <v>1</v>
      </c>
      <c r="AD784" s="20">
        <v>7</v>
      </c>
      <c r="AE784" s="20">
        <v>4</v>
      </c>
      <c r="AF784" s="20">
        <v>1</v>
      </c>
      <c r="AG784" s="20">
        <v>1</v>
      </c>
      <c r="AH784" s="20">
        <v>1</v>
      </c>
      <c r="AI784" s="328">
        <v>0.63558648743127721</v>
      </c>
      <c r="AJ784" s="328">
        <v>2.0097616996841805</v>
      </c>
      <c r="AK784" s="328">
        <v>1.1484352569623888</v>
      </c>
      <c r="AL784" s="22" t="s">
        <v>1329</v>
      </c>
      <c r="AM784" s="22" t="s">
        <v>1330</v>
      </c>
      <c r="AN784" s="22" t="s">
        <v>1317</v>
      </c>
      <c r="AO784" s="22" t="s">
        <v>1318</v>
      </c>
      <c r="AP784" s="22" t="s">
        <v>1318</v>
      </c>
      <c r="AQ784" s="22" t="s">
        <v>1318</v>
      </c>
      <c r="AR784" s="22" t="s">
        <v>1317</v>
      </c>
      <c r="AS784" s="22" t="s">
        <v>1318</v>
      </c>
      <c r="AT784" s="22" t="s">
        <v>1317</v>
      </c>
      <c r="AU784" s="22" t="s">
        <v>1318</v>
      </c>
      <c r="AV784" s="22" t="s">
        <v>1317</v>
      </c>
      <c r="AW784" s="22" t="s">
        <v>1311</v>
      </c>
      <c r="AX784" s="22" t="s">
        <v>1317</v>
      </c>
      <c r="AY784" s="22" t="s">
        <v>1318</v>
      </c>
      <c r="AZ784" s="22" t="s">
        <v>1309</v>
      </c>
      <c r="BA784" s="22" t="s">
        <v>1309</v>
      </c>
      <c r="BB784" s="22" t="s">
        <v>1309</v>
      </c>
      <c r="BC784" s="22" t="s">
        <v>1309</v>
      </c>
      <c r="BD784" s="22" t="s">
        <v>1317</v>
      </c>
      <c r="BE784" s="22" t="s">
        <v>1318</v>
      </c>
      <c r="BF784" s="22" t="s">
        <v>1319</v>
      </c>
      <c r="BG784" s="22" t="s">
        <v>1311</v>
      </c>
      <c r="BH784" s="22" t="s">
        <v>1309</v>
      </c>
      <c r="BI784" s="22" t="s">
        <v>1309</v>
      </c>
      <c r="BJ784" s="22" t="s">
        <v>1309</v>
      </c>
      <c r="BK784" s="22" t="s">
        <v>1309</v>
      </c>
      <c r="BL784" s="22" t="s">
        <v>1319</v>
      </c>
      <c r="BM784" s="22" t="s">
        <v>1311</v>
      </c>
      <c r="BN784" s="22" t="s">
        <v>1319</v>
      </c>
      <c r="BO784" s="22" t="s">
        <v>1311</v>
      </c>
      <c r="BP784" s="22" t="s">
        <v>1315</v>
      </c>
      <c r="BQ784" s="22" t="s">
        <v>1315</v>
      </c>
      <c r="BR784" s="22" t="s">
        <v>1309</v>
      </c>
      <c r="BS784" s="22" t="s">
        <v>1309</v>
      </c>
      <c r="BT784" s="22" t="s">
        <v>1315</v>
      </c>
      <c r="BU784" s="22" t="s">
        <v>1315</v>
      </c>
      <c r="BV784" s="22" t="s">
        <v>1317</v>
      </c>
      <c r="BW784" s="22" t="s">
        <v>1318</v>
      </c>
      <c r="BX784" s="20">
        <v>5</v>
      </c>
      <c r="BY784" s="20">
        <v>0</v>
      </c>
      <c r="BZ784" s="20">
        <v>269</v>
      </c>
      <c r="CA784" s="20">
        <v>0</v>
      </c>
      <c r="CB784" s="20">
        <v>20</v>
      </c>
      <c r="CC784" s="20">
        <v>3189</v>
      </c>
      <c r="CD784" s="22" t="s">
        <v>1320</v>
      </c>
      <c r="CE784" s="22" t="s">
        <v>1321</v>
      </c>
      <c r="CF784" s="22" t="s">
        <v>1320</v>
      </c>
      <c r="CG784" s="22" t="s">
        <v>1321</v>
      </c>
      <c r="CH784" s="22" t="s">
        <v>1317</v>
      </c>
      <c r="CI784" s="22" t="s">
        <v>1318</v>
      </c>
      <c r="CJ784" s="149" t="s">
        <v>1124</v>
      </c>
      <c r="CK784" s="241" t="s">
        <v>3027</v>
      </c>
    </row>
    <row r="785" spans="1:89" ht="15" customHeight="1" x14ac:dyDescent="0.35">
      <c r="A785" s="17"/>
      <c r="B785" s="313">
        <v>88060</v>
      </c>
      <c r="C785" s="8" t="s">
        <v>921</v>
      </c>
      <c r="D785" s="18">
        <v>8</v>
      </c>
      <c r="E785" s="131" t="s">
        <v>1309</v>
      </c>
      <c r="F785" s="22" t="s">
        <v>1310</v>
      </c>
      <c r="G785" s="132" t="s">
        <v>1309</v>
      </c>
      <c r="H785" s="22" t="s">
        <v>1311</v>
      </c>
      <c r="I785" s="22" t="s">
        <v>1327</v>
      </c>
      <c r="J785" s="22" t="s">
        <v>1327</v>
      </c>
      <c r="K785" s="22" t="s">
        <v>1314</v>
      </c>
      <c r="L785" s="22" t="s">
        <v>1311</v>
      </c>
      <c r="M785" s="133" t="s">
        <v>1311</v>
      </c>
      <c r="N785" s="22" t="s">
        <v>1311</v>
      </c>
      <c r="O785" s="22" t="s">
        <v>1315</v>
      </c>
      <c r="P785" s="22" t="s">
        <v>1315</v>
      </c>
      <c r="Q785" s="20">
        <v>0</v>
      </c>
      <c r="R785" s="20">
        <v>0</v>
      </c>
      <c r="S785" s="20">
        <v>0</v>
      </c>
      <c r="T785" s="20">
        <v>0</v>
      </c>
      <c r="U785" s="20">
        <v>5.8849999999999998</v>
      </c>
      <c r="V785" s="20">
        <v>5.8849999999999998</v>
      </c>
      <c r="W785" s="20">
        <v>0</v>
      </c>
      <c r="X785" s="20">
        <v>0</v>
      </c>
      <c r="Y785" s="20">
        <v>0</v>
      </c>
      <c r="Z785" s="20">
        <v>0</v>
      </c>
      <c r="AA785" s="20" t="s">
        <v>1319</v>
      </c>
      <c r="AB785" s="22" t="s">
        <v>1311</v>
      </c>
      <c r="AC785" s="20">
        <v>1</v>
      </c>
      <c r="AD785" s="20">
        <v>1</v>
      </c>
      <c r="AE785" s="20">
        <v>0</v>
      </c>
      <c r="AF785" s="20">
        <v>3</v>
      </c>
      <c r="AG785" s="20">
        <v>5</v>
      </c>
      <c r="AH785" s="20">
        <v>0</v>
      </c>
      <c r="AI785" s="328">
        <v>16.753224995811692</v>
      </c>
      <c r="AJ785" s="328">
        <v>4.032258064516129</v>
      </c>
      <c r="AK785" s="328" t="s">
        <v>1328</v>
      </c>
      <c r="AL785" s="22" t="s">
        <v>1329</v>
      </c>
      <c r="AM785" s="22" t="s">
        <v>1330</v>
      </c>
      <c r="AN785" s="22" t="s">
        <v>1317</v>
      </c>
      <c r="AO785" s="22" t="s">
        <v>1318</v>
      </c>
      <c r="AP785" s="22" t="s">
        <v>1318</v>
      </c>
      <c r="AQ785" s="22" t="s">
        <v>1318</v>
      </c>
      <c r="AR785" s="22" t="s">
        <v>1317</v>
      </c>
      <c r="AS785" s="22" t="s">
        <v>1318</v>
      </c>
      <c r="AT785" s="22" t="s">
        <v>1317</v>
      </c>
      <c r="AU785" s="22" t="s">
        <v>1311</v>
      </c>
      <c r="AV785" s="22" t="s">
        <v>1317</v>
      </c>
      <c r="AW785" s="22" t="s">
        <v>1318</v>
      </c>
      <c r="AX785" s="22" t="s">
        <v>1317</v>
      </c>
      <c r="AY785" s="22" t="s">
        <v>1318</v>
      </c>
      <c r="AZ785" s="22" t="s">
        <v>1319</v>
      </c>
      <c r="BA785" s="22" t="s">
        <v>1311</v>
      </c>
      <c r="BB785" s="22" t="s">
        <v>1309</v>
      </c>
      <c r="BC785" s="22" t="s">
        <v>1309</v>
      </c>
      <c r="BD785" s="22" t="s">
        <v>1317</v>
      </c>
      <c r="BE785" s="22" t="s">
        <v>1318</v>
      </c>
      <c r="BF785" s="22" t="s">
        <v>1317</v>
      </c>
      <c r="BG785" s="22" t="s">
        <v>1318</v>
      </c>
      <c r="BH785" s="22" t="s">
        <v>1317</v>
      </c>
      <c r="BI785" s="22" t="s">
        <v>1318</v>
      </c>
      <c r="BJ785" s="22" t="s">
        <v>1319</v>
      </c>
      <c r="BK785" s="22" t="s">
        <v>1311</v>
      </c>
      <c r="BL785" s="22" t="s">
        <v>1317</v>
      </c>
      <c r="BM785" s="22" t="s">
        <v>1311</v>
      </c>
      <c r="BN785" s="22" t="s">
        <v>1317</v>
      </c>
      <c r="BO785" s="22" t="s">
        <v>1311</v>
      </c>
      <c r="BP785" s="22" t="s">
        <v>1309</v>
      </c>
      <c r="BQ785" s="22" t="s">
        <v>1309</v>
      </c>
      <c r="BR785" s="22" t="s">
        <v>1317</v>
      </c>
      <c r="BS785" s="22" t="s">
        <v>1318</v>
      </c>
      <c r="BT785" s="22" t="s">
        <v>1317</v>
      </c>
      <c r="BU785" s="22" t="s">
        <v>1318</v>
      </c>
      <c r="BV785" s="22" t="s">
        <v>1317</v>
      </c>
      <c r="BW785" s="22" t="s">
        <v>1311</v>
      </c>
      <c r="BX785" s="20">
        <v>0</v>
      </c>
      <c r="BY785" s="20">
        <v>0</v>
      </c>
      <c r="BZ785" s="20">
        <v>9</v>
      </c>
      <c r="CA785" s="20">
        <v>0</v>
      </c>
      <c r="CB785" s="20">
        <v>0</v>
      </c>
      <c r="CC785" s="20">
        <v>197</v>
      </c>
      <c r="CD785" s="22" t="s">
        <v>1317</v>
      </c>
      <c r="CE785" s="22" t="s">
        <v>1340</v>
      </c>
      <c r="CF785" s="22" t="s">
        <v>1317</v>
      </c>
      <c r="CG785" s="22" t="s">
        <v>1318</v>
      </c>
      <c r="CH785" s="22" t="s">
        <v>1315</v>
      </c>
      <c r="CI785" s="22" t="s">
        <v>1315</v>
      </c>
      <c r="CJ785" s="149" t="s">
        <v>3032</v>
      </c>
      <c r="CK785" s="241" t="s">
        <v>1124</v>
      </c>
    </row>
    <row r="786" spans="1:89" ht="15" customHeight="1" x14ac:dyDescent="0.35">
      <c r="A786" s="17"/>
      <c r="B786" s="313">
        <v>49005</v>
      </c>
      <c r="C786" s="8" t="s">
        <v>464</v>
      </c>
      <c r="D786" s="18">
        <v>17</v>
      </c>
      <c r="E786" s="131"/>
      <c r="F786" s="22"/>
      <c r="G786" s="132"/>
      <c r="H786" s="22"/>
      <c r="I786" s="22"/>
      <c r="J786" s="22"/>
      <c r="K786" s="22"/>
      <c r="L786" s="22"/>
      <c r="M786" s="133"/>
      <c r="N786" s="22"/>
      <c r="O786" s="22"/>
      <c r="P786" s="22"/>
      <c r="Q786" s="20"/>
      <c r="R786" s="20"/>
      <c r="S786" s="20"/>
      <c r="T786" s="20"/>
      <c r="U786" s="20"/>
      <c r="V786" s="20"/>
      <c r="W786" s="20"/>
      <c r="X786" s="20"/>
      <c r="Y786" s="20"/>
      <c r="Z786" s="20"/>
      <c r="AA786" s="20"/>
      <c r="AB786" s="22"/>
      <c r="AC786" s="20"/>
      <c r="AD786" s="20"/>
      <c r="AE786" s="20"/>
      <c r="AF786" s="20" t="s">
        <v>1124</v>
      </c>
      <c r="AG786" s="20" t="s">
        <v>1124</v>
      </c>
      <c r="AH786" s="20" t="s">
        <v>1124</v>
      </c>
      <c r="AI786" s="328"/>
      <c r="AJ786" s="328"/>
      <c r="AK786" s="328"/>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0"/>
      <c r="BY786" s="20"/>
      <c r="BZ786" s="20"/>
      <c r="CA786" s="20"/>
      <c r="CB786" s="20"/>
      <c r="CC786" s="20"/>
      <c r="CD786" s="22"/>
      <c r="CE786" s="22"/>
      <c r="CF786" s="22"/>
      <c r="CG786" s="22"/>
      <c r="CH786" s="22"/>
      <c r="CI786" s="22"/>
      <c r="CJ786" s="149"/>
      <c r="CK786" s="241"/>
    </row>
    <row r="787" spans="1:89" ht="15" customHeight="1" x14ac:dyDescent="0.35">
      <c r="A787" s="17"/>
      <c r="B787" s="313">
        <v>62007</v>
      </c>
      <c r="C787" s="8" t="s">
        <v>619</v>
      </c>
      <c r="D787" s="18">
        <v>14</v>
      </c>
      <c r="E787" s="131" t="s">
        <v>1319</v>
      </c>
      <c r="F787" s="22" t="s">
        <v>1310</v>
      </c>
      <c r="G787" s="132" t="s">
        <v>1309</v>
      </c>
      <c r="H787" s="22" t="s">
        <v>1311</v>
      </c>
      <c r="I787" s="22" t="s">
        <v>1327</v>
      </c>
      <c r="J787" s="22" t="s">
        <v>1327</v>
      </c>
      <c r="K787" s="22" t="s">
        <v>1314</v>
      </c>
      <c r="L787" s="22" t="s">
        <v>1311</v>
      </c>
      <c r="M787" s="133" t="s">
        <v>1311</v>
      </c>
      <c r="N787" s="22" t="s">
        <v>1311</v>
      </c>
      <c r="O787" s="22" t="s">
        <v>1309</v>
      </c>
      <c r="P787" s="22" t="s">
        <v>1309</v>
      </c>
      <c r="Q787" s="20">
        <v>57.75</v>
      </c>
      <c r="R787" s="20">
        <v>57.75</v>
      </c>
      <c r="S787" s="20">
        <v>0</v>
      </c>
      <c r="T787" s="20">
        <v>0</v>
      </c>
      <c r="U787" s="20">
        <v>0</v>
      </c>
      <c r="V787" s="20">
        <v>0</v>
      </c>
      <c r="W787" s="20">
        <v>0</v>
      </c>
      <c r="X787" s="20">
        <v>0</v>
      </c>
      <c r="Y787" s="20">
        <v>0</v>
      </c>
      <c r="Z787" s="20">
        <v>0</v>
      </c>
      <c r="AA787" s="20" t="s">
        <v>1317</v>
      </c>
      <c r="AB787" s="22" t="s">
        <v>1318</v>
      </c>
      <c r="AC787" s="20">
        <v>2</v>
      </c>
      <c r="AD787" s="20">
        <v>10</v>
      </c>
      <c r="AE787" s="20">
        <v>2</v>
      </c>
      <c r="AF787" s="20">
        <v>10</v>
      </c>
      <c r="AG787" s="20">
        <v>3</v>
      </c>
      <c r="AH787" s="20">
        <v>6</v>
      </c>
      <c r="AI787" s="328">
        <v>3.4632034632034632</v>
      </c>
      <c r="AJ787" s="328">
        <v>4.329004329004329</v>
      </c>
      <c r="AK787" s="328">
        <v>0.86580086580086579</v>
      </c>
      <c r="AL787" s="22" t="s">
        <v>1338</v>
      </c>
      <c r="AM787" s="22" t="s">
        <v>1330</v>
      </c>
      <c r="AN787" s="22" t="s">
        <v>1317</v>
      </c>
      <c r="AO787" s="22" t="s">
        <v>1318</v>
      </c>
      <c r="AP787" s="22" t="s">
        <v>1318</v>
      </c>
      <c r="AQ787" s="22" t="s">
        <v>1318</v>
      </c>
      <c r="AR787" s="22" t="s">
        <v>1317</v>
      </c>
      <c r="AS787" s="22" t="s">
        <v>1318</v>
      </c>
      <c r="AT787" s="22" t="s">
        <v>1309</v>
      </c>
      <c r="AU787" s="22" t="s">
        <v>1309</v>
      </c>
      <c r="AV787" s="22" t="s">
        <v>1309</v>
      </c>
      <c r="AW787" s="22" t="s">
        <v>1309</v>
      </c>
      <c r="AX787" s="22" t="s">
        <v>1317</v>
      </c>
      <c r="AY787" s="22" t="s">
        <v>1318</v>
      </c>
      <c r="AZ787" s="22" t="s">
        <v>1309</v>
      </c>
      <c r="BA787" s="22" t="s">
        <v>1309</v>
      </c>
      <c r="BB787" s="22" t="s">
        <v>1309</v>
      </c>
      <c r="BC787" s="22" t="s">
        <v>1309</v>
      </c>
      <c r="BD787" s="22" t="s">
        <v>1309</v>
      </c>
      <c r="BE787" s="22" t="s">
        <v>1309</v>
      </c>
      <c r="BF787" s="22" t="s">
        <v>1317</v>
      </c>
      <c r="BG787" s="22" t="s">
        <v>1311</v>
      </c>
      <c r="BH787" s="22" t="s">
        <v>1317</v>
      </c>
      <c r="BI787" s="22" t="s">
        <v>1318</v>
      </c>
      <c r="BJ787" s="22" t="s">
        <v>1309</v>
      </c>
      <c r="BK787" s="22" t="s">
        <v>1309</v>
      </c>
      <c r="BL787" s="22" t="s">
        <v>1317</v>
      </c>
      <c r="BM787" s="22" t="s">
        <v>1311</v>
      </c>
      <c r="BN787" s="22" t="s">
        <v>1309</v>
      </c>
      <c r="BO787" s="22" t="s">
        <v>1309</v>
      </c>
      <c r="BP787" s="22" t="s">
        <v>1317</v>
      </c>
      <c r="BQ787" s="22" t="s">
        <v>1318</v>
      </c>
      <c r="BR787" s="22" t="s">
        <v>1309</v>
      </c>
      <c r="BS787" s="22" t="s">
        <v>1309</v>
      </c>
      <c r="BT787" s="22" t="s">
        <v>1309</v>
      </c>
      <c r="BU787" s="22" t="s">
        <v>1309</v>
      </c>
      <c r="BV787" s="22" t="s">
        <v>1309</v>
      </c>
      <c r="BW787" s="22" t="s">
        <v>1309</v>
      </c>
      <c r="BX787" s="20">
        <v>135</v>
      </c>
      <c r="BY787" s="20">
        <v>0</v>
      </c>
      <c r="BZ787" s="20">
        <v>98</v>
      </c>
      <c r="CA787" s="20">
        <v>0</v>
      </c>
      <c r="CB787" s="20">
        <v>7</v>
      </c>
      <c r="CC787" s="20">
        <v>2070</v>
      </c>
      <c r="CD787" s="22" t="s">
        <v>1320</v>
      </c>
      <c r="CE787" s="22" t="s">
        <v>1321</v>
      </c>
      <c r="CF787" s="22" t="s">
        <v>1320</v>
      </c>
      <c r="CG787" s="22" t="s">
        <v>1321</v>
      </c>
      <c r="CH787" s="22" t="s">
        <v>1317</v>
      </c>
      <c r="CI787" s="22" t="s">
        <v>1318</v>
      </c>
      <c r="CJ787" s="149" t="s">
        <v>3038</v>
      </c>
      <c r="CK787" s="241" t="s">
        <v>3039</v>
      </c>
    </row>
    <row r="788" spans="1:89" ht="15" customHeight="1" x14ac:dyDescent="0.35">
      <c r="A788" s="17"/>
      <c r="B788" s="313">
        <v>94225</v>
      </c>
      <c r="C788" s="8" t="s">
        <v>977</v>
      </c>
      <c r="D788" s="18">
        <v>2</v>
      </c>
      <c r="E788" s="131" t="s">
        <v>1309</v>
      </c>
      <c r="F788" s="22" t="s">
        <v>1309</v>
      </c>
      <c r="G788" s="132" t="s">
        <v>1309</v>
      </c>
      <c r="H788" s="22" t="s">
        <v>1311</v>
      </c>
      <c r="I788" s="22" t="s">
        <v>1327</v>
      </c>
      <c r="J788" s="22" t="s">
        <v>1327</v>
      </c>
      <c r="K788" s="22" t="s">
        <v>1319</v>
      </c>
      <c r="L788" s="22" t="s">
        <v>1311</v>
      </c>
      <c r="M788" s="133" t="s">
        <v>1311</v>
      </c>
      <c r="N788" s="22" t="s">
        <v>1311</v>
      </c>
      <c r="O788" s="22" t="s">
        <v>1314</v>
      </c>
      <c r="P788" s="22" t="s">
        <v>1318</v>
      </c>
      <c r="Q788" s="20">
        <v>0</v>
      </c>
      <c r="R788" s="20">
        <v>0</v>
      </c>
      <c r="S788" s="20">
        <v>0</v>
      </c>
      <c r="T788" s="20">
        <v>0</v>
      </c>
      <c r="U788" s="20">
        <v>0</v>
      </c>
      <c r="V788" s="20">
        <v>0</v>
      </c>
      <c r="W788" s="20">
        <v>0</v>
      </c>
      <c r="X788" s="20">
        <v>0</v>
      </c>
      <c r="Y788" s="20">
        <v>0</v>
      </c>
      <c r="Z788" s="20">
        <v>0</v>
      </c>
      <c r="AA788" s="20" t="s">
        <v>1317</v>
      </c>
      <c r="AB788" s="22" t="s">
        <v>1318</v>
      </c>
      <c r="AC788" s="20">
        <v>1</v>
      </c>
      <c r="AD788" s="20">
        <v>1</v>
      </c>
      <c r="AE788" s="20">
        <v>0</v>
      </c>
      <c r="AF788" s="20">
        <v>1</v>
      </c>
      <c r="AG788" s="20">
        <v>1</v>
      </c>
      <c r="AH788" s="20">
        <v>0</v>
      </c>
      <c r="AI788" s="328">
        <v>16.661112962345886</v>
      </c>
      <c r="AJ788" s="328">
        <v>6.756756756756757</v>
      </c>
      <c r="AK788" s="328" t="s">
        <v>1328</v>
      </c>
      <c r="AL788" s="22" t="s">
        <v>1329</v>
      </c>
      <c r="AM788" s="22" t="s">
        <v>1330</v>
      </c>
      <c r="AN788" s="22" t="s">
        <v>1317</v>
      </c>
      <c r="AO788" s="22" t="s">
        <v>1318</v>
      </c>
      <c r="AP788" s="22" t="s">
        <v>1318</v>
      </c>
      <c r="AQ788" s="22" t="s">
        <v>1318</v>
      </c>
      <c r="AR788" s="22" t="s">
        <v>1317</v>
      </c>
      <c r="AS788" s="22" t="s">
        <v>1318</v>
      </c>
      <c r="AT788" s="22" t="s">
        <v>1309</v>
      </c>
      <c r="AU788" s="22" t="s">
        <v>1311</v>
      </c>
      <c r="AV788" s="22" t="s">
        <v>1317</v>
      </c>
      <c r="AW788" s="22" t="s">
        <v>1318</v>
      </c>
      <c r="AX788" s="22" t="s">
        <v>1317</v>
      </c>
      <c r="AY788" s="22" t="s">
        <v>1318</v>
      </c>
      <c r="AZ788" s="22" t="s">
        <v>1309</v>
      </c>
      <c r="BA788" s="22" t="s">
        <v>1309</v>
      </c>
      <c r="BB788" s="22" t="s">
        <v>1309</v>
      </c>
      <c r="BC788" s="22" t="s">
        <v>1309</v>
      </c>
      <c r="BD788" s="22" t="s">
        <v>1317</v>
      </c>
      <c r="BE788" s="22" t="s">
        <v>1318</v>
      </c>
      <c r="BF788" s="22" t="s">
        <v>1317</v>
      </c>
      <c r="BG788" s="22" t="s">
        <v>1318</v>
      </c>
      <c r="BH788" s="22" t="s">
        <v>1309</v>
      </c>
      <c r="BI788" s="22" t="s">
        <v>1309</v>
      </c>
      <c r="BJ788" s="22" t="s">
        <v>1317</v>
      </c>
      <c r="BK788" s="22" t="s">
        <v>1318</v>
      </c>
      <c r="BL788" s="22" t="s">
        <v>1309</v>
      </c>
      <c r="BM788" s="22" t="s">
        <v>1309</v>
      </c>
      <c r="BN788" s="22" t="s">
        <v>1309</v>
      </c>
      <c r="BO788" s="22" t="s">
        <v>1309</v>
      </c>
      <c r="BP788" s="22" t="s">
        <v>1309</v>
      </c>
      <c r="BQ788" s="22" t="s">
        <v>1309</v>
      </c>
      <c r="BR788" s="22" t="s">
        <v>1309</v>
      </c>
      <c r="BS788" s="22" t="s">
        <v>1309</v>
      </c>
      <c r="BT788" s="22" t="s">
        <v>1309</v>
      </c>
      <c r="BU788" s="22" t="s">
        <v>1309</v>
      </c>
      <c r="BV788" s="22" t="s">
        <v>1317</v>
      </c>
      <c r="BW788" s="22" t="s">
        <v>1318</v>
      </c>
      <c r="BX788" s="20">
        <v>0</v>
      </c>
      <c r="BY788" s="20">
        <v>0</v>
      </c>
      <c r="BZ788" s="20">
        <v>16</v>
      </c>
      <c r="CA788" s="20">
        <v>0</v>
      </c>
      <c r="CB788" s="20">
        <v>0</v>
      </c>
      <c r="CC788" s="20">
        <v>132</v>
      </c>
      <c r="CD788" s="22" t="s">
        <v>1317</v>
      </c>
      <c r="CE788" s="22" t="s">
        <v>1318</v>
      </c>
      <c r="CF788" s="22" t="s">
        <v>1317</v>
      </c>
      <c r="CG788" s="22" t="s">
        <v>1318</v>
      </c>
      <c r="CH788" s="22" t="s">
        <v>1317</v>
      </c>
      <c r="CI788" s="22" t="s">
        <v>1318</v>
      </c>
      <c r="CJ788" s="149" t="s">
        <v>1124</v>
      </c>
      <c r="CK788" s="241" t="s">
        <v>3043</v>
      </c>
    </row>
    <row r="789" spans="1:89" ht="15" customHeight="1" x14ac:dyDescent="0.35">
      <c r="A789" s="17"/>
      <c r="B789" s="313">
        <v>32013</v>
      </c>
      <c r="C789" s="8" t="s">
        <v>256</v>
      </c>
      <c r="D789" s="18">
        <v>17</v>
      </c>
      <c r="E789" s="131" t="s">
        <v>1309</v>
      </c>
      <c r="F789" s="22" t="s">
        <v>1309</v>
      </c>
      <c r="G789" s="132" t="s">
        <v>1309</v>
      </c>
      <c r="H789" s="22" t="s">
        <v>1311</v>
      </c>
      <c r="I789" s="22" t="s">
        <v>1327</v>
      </c>
      <c r="J789" s="22" t="s">
        <v>1327</v>
      </c>
      <c r="K789" s="22" t="s">
        <v>1314</v>
      </c>
      <c r="L789" s="22" t="s">
        <v>1309</v>
      </c>
      <c r="M789" s="133" t="s">
        <v>1311</v>
      </c>
      <c r="N789" s="22" t="s">
        <v>1311</v>
      </c>
      <c r="O789" s="22" t="s">
        <v>1309</v>
      </c>
      <c r="P789" s="22" t="s">
        <v>1309</v>
      </c>
      <c r="Q789" s="20">
        <v>10.840999999999999</v>
      </c>
      <c r="R789" s="20">
        <v>10.840999999999999</v>
      </c>
      <c r="S789" s="20">
        <v>0</v>
      </c>
      <c r="T789" s="20">
        <v>0</v>
      </c>
      <c r="U789" s="20">
        <v>0</v>
      </c>
      <c r="V789" s="20">
        <v>0</v>
      </c>
      <c r="W789" s="20">
        <v>0</v>
      </c>
      <c r="X789" s="20">
        <v>0</v>
      </c>
      <c r="Y789" s="20">
        <v>0</v>
      </c>
      <c r="Z789" s="20">
        <v>0</v>
      </c>
      <c r="AA789" s="20" t="s">
        <v>1315</v>
      </c>
      <c r="AB789" s="22" t="s">
        <v>1315</v>
      </c>
      <c r="AC789" s="20">
        <v>0</v>
      </c>
      <c r="AD789" s="20">
        <v>0</v>
      </c>
      <c r="AE789" s="20">
        <v>7</v>
      </c>
      <c r="AF789" s="20">
        <v>0</v>
      </c>
      <c r="AG789" s="20">
        <v>0</v>
      </c>
      <c r="AH789" s="20">
        <v>3</v>
      </c>
      <c r="AI789" s="328" t="s">
        <v>1328</v>
      </c>
      <c r="AJ789" s="328" t="s">
        <v>1328</v>
      </c>
      <c r="AK789" s="328">
        <v>13.539651837524177</v>
      </c>
      <c r="AL789" s="22" t="s">
        <v>1329</v>
      </c>
      <c r="AM789" s="22" t="s">
        <v>1330</v>
      </c>
      <c r="AN789" s="22" t="s">
        <v>1315</v>
      </c>
      <c r="AO789" s="22" t="s">
        <v>1315</v>
      </c>
      <c r="AP789" s="22" t="s">
        <v>1315</v>
      </c>
      <c r="AQ789" s="22" t="s">
        <v>1315</v>
      </c>
      <c r="AR789" s="22" t="s">
        <v>1317</v>
      </c>
      <c r="AS789" s="22" t="s">
        <v>1318</v>
      </c>
      <c r="AT789" s="22" t="s">
        <v>1317</v>
      </c>
      <c r="AU789" s="22" t="s">
        <v>1318</v>
      </c>
      <c r="AV789" s="22" t="s">
        <v>1317</v>
      </c>
      <c r="AW789" s="22" t="s">
        <v>1318</v>
      </c>
      <c r="AX789" s="22" t="s">
        <v>1317</v>
      </c>
      <c r="AY789" s="22" t="s">
        <v>1318</v>
      </c>
      <c r="AZ789" s="22" t="s">
        <v>1317</v>
      </c>
      <c r="BA789" s="22" t="s">
        <v>1318</v>
      </c>
      <c r="BB789" s="22" t="s">
        <v>1309</v>
      </c>
      <c r="BC789" s="22" t="s">
        <v>1309</v>
      </c>
      <c r="BD789" s="22" t="s">
        <v>1309</v>
      </c>
      <c r="BE789" s="22" t="s">
        <v>1309</v>
      </c>
      <c r="BF789" s="22" t="s">
        <v>1309</v>
      </c>
      <c r="BG789" s="22" t="s">
        <v>1309</v>
      </c>
      <c r="BH789" s="22" t="s">
        <v>1317</v>
      </c>
      <c r="BI789" s="22" t="s">
        <v>1318</v>
      </c>
      <c r="BJ789" s="22" t="s">
        <v>1317</v>
      </c>
      <c r="BK789" s="22" t="s">
        <v>1318</v>
      </c>
      <c r="BL789" s="22" t="s">
        <v>1317</v>
      </c>
      <c r="BM789" s="22" t="s">
        <v>1318</v>
      </c>
      <c r="BN789" s="22" t="s">
        <v>1309</v>
      </c>
      <c r="BO789" s="22" t="s">
        <v>1309</v>
      </c>
      <c r="BP789" s="22" t="s">
        <v>1315</v>
      </c>
      <c r="BQ789" s="22" t="s">
        <v>1315</v>
      </c>
      <c r="BR789" s="22" t="s">
        <v>1309</v>
      </c>
      <c r="BS789" s="22" t="s">
        <v>1309</v>
      </c>
      <c r="BT789" s="22" t="s">
        <v>1309</v>
      </c>
      <c r="BU789" s="22" t="s">
        <v>1309</v>
      </c>
      <c r="BV789" s="22" t="s">
        <v>1317</v>
      </c>
      <c r="BW789" s="22" t="s">
        <v>1318</v>
      </c>
      <c r="BX789" s="20">
        <v>21</v>
      </c>
      <c r="BY789" s="20">
        <v>0</v>
      </c>
      <c r="BZ789" s="20">
        <v>25</v>
      </c>
      <c r="CA789" s="20">
        <v>471</v>
      </c>
      <c r="CB789" s="20">
        <v>0</v>
      </c>
      <c r="CC789" s="20">
        <v>0</v>
      </c>
      <c r="CD789" s="22" t="s">
        <v>1345</v>
      </c>
      <c r="CE789" s="22" t="s">
        <v>1315</v>
      </c>
      <c r="CF789" s="22" t="s">
        <v>1331</v>
      </c>
      <c r="CG789" s="22" t="s">
        <v>1331</v>
      </c>
      <c r="CH789" s="22" t="s">
        <v>1315</v>
      </c>
      <c r="CI789" s="22" t="s">
        <v>1315</v>
      </c>
      <c r="CJ789" s="149" t="s">
        <v>3047</v>
      </c>
      <c r="CK789" s="241" t="s">
        <v>1124</v>
      </c>
    </row>
    <row r="790" spans="1:89" ht="15" customHeight="1" x14ac:dyDescent="0.35">
      <c r="A790" s="17"/>
      <c r="B790" s="313">
        <v>21010</v>
      </c>
      <c r="C790" s="8" t="s">
        <v>145</v>
      </c>
      <c r="D790" s="18">
        <v>3</v>
      </c>
      <c r="E790" s="131"/>
      <c r="F790" s="22"/>
      <c r="G790" s="132"/>
      <c r="H790" s="22"/>
      <c r="I790" s="22"/>
      <c r="J790" s="22"/>
      <c r="K790" s="22"/>
      <c r="L790" s="22"/>
      <c r="M790" s="133"/>
      <c r="N790" s="22"/>
      <c r="O790" s="22"/>
      <c r="P790" s="22"/>
      <c r="Q790" s="20"/>
      <c r="R790" s="20"/>
      <c r="S790" s="20"/>
      <c r="T790" s="20"/>
      <c r="U790" s="20"/>
      <c r="V790" s="20"/>
      <c r="W790" s="20"/>
      <c r="X790" s="20"/>
      <c r="Y790" s="20"/>
      <c r="Z790" s="20"/>
      <c r="AA790" s="20"/>
      <c r="AB790" s="22"/>
      <c r="AC790" s="20"/>
      <c r="AD790" s="20"/>
      <c r="AE790" s="20"/>
      <c r="AF790" s="20" t="s">
        <v>1124</v>
      </c>
      <c r="AG790" s="20" t="s">
        <v>1124</v>
      </c>
      <c r="AH790" s="20" t="s">
        <v>1124</v>
      </c>
      <c r="AI790" s="328"/>
      <c r="AJ790" s="328"/>
      <c r="AK790" s="328"/>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0"/>
      <c r="BY790" s="20"/>
      <c r="BZ790" s="20"/>
      <c r="CA790" s="20"/>
      <c r="CB790" s="20"/>
      <c r="CC790" s="20"/>
      <c r="CD790" s="22"/>
      <c r="CE790" s="22"/>
      <c r="CF790" s="22"/>
      <c r="CG790" s="22"/>
      <c r="CH790" s="22"/>
      <c r="CI790" s="22"/>
      <c r="CJ790" s="149"/>
      <c r="CK790" s="241"/>
    </row>
    <row r="791" spans="1:89" ht="15" customHeight="1" x14ac:dyDescent="0.35">
      <c r="A791" s="17"/>
      <c r="B791" s="313">
        <v>33052</v>
      </c>
      <c r="C791" s="8" t="s">
        <v>274</v>
      </c>
      <c r="D791" s="18">
        <v>12</v>
      </c>
      <c r="E791" s="131" t="s">
        <v>1309</v>
      </c>
      <c r="F791" s="22" t="s">
        <v>1309</v>
      </c>
      <c r="G791" s="132" t="s">
        <v>1309</v>
      </c>
      <c r="H791" s="22" t="s">
        <v>1311</v>
      </c>
      <c r="I791" s="22" t="s">
        <v>1315</v>
      </c>
      <c r="J791" s="22" t="s">
        <v>1315</v>
      </c>
      <c r="K791" s="22" t="s">
        <v>1314</v>
      </c>
      <c r="L791" s="22" t="s">
        <v>1311</v>
      </c>
      <c r="M791" s="133" t="s">
        <v>1311</v>
      </c>
      <c r="N791" s="22" t="s">
        <v>1311</v>
      </c>
      <c r="O791" s="22" t="s">
        <v>1314</v>
      </c>
      <c r="P791" s="22" t="s">
        <v>1318</v>
      </c>
      <c r="Q791" s="20">
        <v>6.38</v>
      </c>
      <c r="R791" s="20">
        <v>6.38</v>
      </c>
      <c r="S791" s="20">
        <v>0</v>
      </c>
      <c r="T791" s="20">
        <v>0</v>
      </c>
      <c r="U791" s="20">
        <v>0</v>
      </c>
      <c r="V791" s="20">
        <v>0</v>
      </c>
      <c r="W791" s="20">
        <v>0</v>
      </c>
      <c r="X791" s="20">
        <v>0</v>
      </c>
      <c r="Y791" s="20">
        <v>0</v>
      </c>
      <c r="Z791" s="20">
        <v>0</v>
      </c>
      <c r="AA791" s="20" t="s">
        <v>1309</v>
      </c>
      <c r="AB791" s="22" t="s">
        <v>1309</v>
      </c>
      <c r="AC791" s="20">
        <v>3</v>
      </c>
      <c r="AD791" s="20">
        <v>0</v>
      </c>
      <c r="AE791" s="20">
        <v>0</v>
      </c>
      <c r="AF791" s="20">
        <v>1</v>
      </c>
      <c r="AG791" s="20">
        <v>0</v>
      </c>
      <c r="AH791" s="20">
        <v>0</v>
      </c>
      <c r="AI791" s="328">
        <v>47.021943573667713</v>
      </c>
      <c r="AJ791" s="328" t="s">
        <v>1328</v>
      </c>
      <c r="AK791" s="328" t="s">
        <v>1328</v>
      </c>
      <c r="AL791" s="22" t="s">
        <v>1329</v>
      </c>
      <c r="AM791" s="22" t="s">
        <v>1330</v>
      </c>
      <c r="AN791" s="22" t="s">
        <v>1317</v>
      </c>
      <c r="AO791" s="22" t="s">
        <v>1318</v>
      </c>
      <c r="AP791" s="22" t="s">
        <v>1318</v>
      </c>
      <c r="AQ791" s="22" t="s">
        <v>1318</v>
      </c>
      <c r="AR791" s="22" t="s">
        <v>1317</v>
      </c>
      <c r="AS791" s="22" t="s">
        <v>1318</v>
      </c>
      <c r="AT791" s="22" t="s">
        <v>1317</v>
      </c>
      <c r="AU791" s="22" t="s">
        <v>1318</v>
      </c>
      <c r="AV791" s="22" t="s">
        <v>1317</v>
      </c>
      <c r="AW791" s="22" t="s">
        <v>1318</v>
      </c>
      <c r="AX791" s="22" t="s">
        <v>1317</v>
      </c>
      <c r="AY791" s="22" t="s">
        <v>1318</v>
      </c>
      <c r="AZ791" s="22" t="s">
        <v>1309</v>
      </c>
      <c r="BA791" s="22" t="s">
        <v>1309</v>
      </c>
      <c r="BB791" s="22" t="s">
        <v>1309</v>
      </c>
      <c r="BC791" s="22" t="s">
        <v>1309</v>
      </c>
      <c r="BD791" s="22" t="s">
        <v>1309</v>
      </c>
      <c r="BE791" s="22" t="s">
        <v>1309</v>
      </c>
      <c r="BF791" s="22" t="s">
        <v>1309</v>
      </c>
      <c r="BG791" s="22" t="s">
        <v>1309</v>
      </c>
      <c r="BH791" s="22" t="s">
        <v>1309</v>
      </c>
      <c r="BI791" s="22" t="s">
        <v>1309</v>
      </c>
      <c r="BJ791" s="22" t="s">
        <v>1317</v>
      </c>
      <c r="BK791" s="22" t="s">
        <v>1318</v>
      </c>
      <c r="BL791" s="22" t="s">
        <v>1317</v>
      </c>
      <c r="BM791" s="22" t="s">
        <v>1318</v>
      </c>
      <c r="BN791" s="22" t="s">
        <v>1309</v>
      </c>
      <c r="BO791" s="22" t="s">
        <v>1309</v>
      </c>
      <c r="BP791" s="22" t="s">
        <v>1317</v>
      </c>
      <c r="BQ791" s="22" t="s">
        <v>1318</v>
      </c>
      <c r="BR791" s="22" t="s">
        <v>1309</v>
      </c>
      <c r="BS791" s="22" t="s">
        <v>1309</v>
      </c>
      <c r="BT791" s="22" t="s">
        <v>1309</v>
      </c>
      <c r="BU791" s="22" t="s">
        <v>1309</v>
      </c>
      <c r="BV791" s="22" t="s">
        <v>1309</v>
      </c>
      <c r="BW791" s="22" t="s">
        <v>1309</v>
      </c>
      <c r="BX791" s="20">
        <v>62</v>
      </c>
      <c r="BY791" s="20">
        <v>0</v>
      </c>
      <c r="BZ791" s="20">
        <v>0</v>
      </c>
      <c r="CA791" s="20">
        <v>423</v>
      </c>
      <c r="CB791" s="20">
        <v>0</v>
      </c>
      <c r="CC791" s="20">
        <v>0</v>
      </c>
      <c r="CD791" s="22" t="s">
        <v>1331</v>
      </c>
      <c r="CE791" s="22" t="s">
        <v>1331</v>
      </c>
      <c r="CF791" s="22" t="s">
        <v>1331</v>
      </c>
      <c r="CG791" s="22" t="s">
        <v>1331</v>
      </c>
      <c r="CH791" s="22" t="s">
        <v>1317</v>
      </c>
      <c r="CI791" s="22" t="s">
        <v>1318</v>
      </c>
      <c r="CJ791" s="149" t="s">
        <v>1124</v>
      </c>
      <c r="CK791" s="241" t="s">
        <v>1386</v>
      </c>
    </row>
    <row r="792" spans="1:89" ht="15" customHeight="1" x14ac:dyDescent="0.35">
      <c r="A792" s="17"/>
      <c r="B792" s="313">
        <v>31030</v>
      </c>
      <c r="C792" s="8" t="s">
        <v>241</v>
      </c>
      <c r="D792" s="18">
        <v>12</v>
      </c>
      <c r="E792" s="131"/>
      <c r="F792" s="22"/>
      <c r="G792" s="132"/>
      <c r="H792" s="22"/>
      <c r="I792" s="22"/>
      <c r="J792" s="22"/>
      <c r="K792" s="22"/>
      <c r="L792" s="22"/>
      <c r="M792" s="133"/>
      <c r="N792" s="22"/>
      <c r="O792" s="22"/>
      <c r="P792" s="22"/>
      <c r="Q792" s="20"/>
      <c r="R792" s="20"/>
      <c r="S792" s="20"/>
      <c r="T792" s="20"/>
      <c r="U792" s="20"/>
      <c r="V792" s="20"/>
      <c r="W792" s="20"/>
      <c r="X792" s="20"/>
      <c r="Y792" s="20"/>
      <c r="Z792" s="20"/>
      <c r="AA792" s="20"/>
      <c r="AB792" s="22"/>
      <c r="AC792" s="20"/>
      <c r="AD792" s="20"/>
      <c r="AE792" s="20"/>
      <c r="AF792" s="20" t="s">
        <v>1124</v>
      </c>
      <c r="AG792" s="20" t="s">
        <v>1124</v>
      </c>
      <c r="AH792" s="20" t="s">
        <v>1124</v>
      </c>
      <c r="AI792" s="328"/>
      <c r="AJ792" s="328"/>
      <c r="AK792" s="328"/>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0"/>
      <c r="BY792" s="20"/>
      <c r="BZ792" s="20"/>
      <c r="CA792" s="20"/>
      <c r="CB792" s="20"/>
      <c r="CC792" s="20"/>
      <c r="CD792" s="22"/>
      <c r="CE792" s="22"/>
      <c r="CF792" s="22"/>
      <c r="CG792" s="22"/>
      <c r="CH792" s="22"/>
      <c r="CI792" s="22"/>
      <c r="CJ792" s="149"/>
      <c r="CK792" s="241"/>
    </row>
    <row r="793" spans="1:89" ht="15" customHeight="1" x14ac:dyDescent="0.35">
      <c r="A793" s="17"/>
      <c r="B793" s="313">
        <v>6055</v>
      </c>
      <c r="C793" s="8" t="s">
        <v>1066</v>
      </c>
      <c r="D793" s="18">
        <v>11</v>
      </c>
      <c r="E793" s="131" t="s">
        <v>1309</v>
      </c>
      <c r="F793" s="22" t="s">
        <v>1309</v>
      </c>
      <c r="G793" s="132" t="s">
        <v>1309</v>
      </c>
      <c r="H793" s="22" t="s">
        <v>1311</v>
      </c>
      <c r="I793" s="22" t="s">
        <v>1327</v>
      </c>
      <c r="J793" s="22" t="s">
        <v>1327</v>
      </c>
      <c r="K793" s="22" t="s">
        <v>1314</v>
      </c>
      <c r="L793" s="22" t="s">
        <v>1311</v>
      </c>
      <c r="M793" s="133" t="s">
        <v>1311</v>
      </c>
      <c r="N793" s="22" t="s">
        <v>1311</v>
      </c>
      <c r="O793" s="22" t="s">
        <v>1314</v>
      </c>
      <c r="P793" s="22" t="s">
        <v>1318</v>
      </c>
      <c r="Q793" s="20">
        <v>0</v>
      </c>
      <c r="R793" s="20">
        <v>0</v>
      </c>
      <c r="S793" s="20">
        <v>0</v>
      </c>
      <c r="T793" s="20">
        <v>0</v>
      </c>
      <c r="U793" s="20">
        <v>5.2210000000000001</v>
      </c>
      <c r="V793" s="20">
        <v>2</v>
      </c>
      <c r="W793" s="20">
        <v>0</v>
      </c>
      <c r="X793" s="20">
        <v>0</v>
      </c>
      <c r="Y793" s="20">
        <v>0</v>
      </c>
      <c r="Z793" s="20">
        <v>0</v>
      </c>
      <c r="AA793" s="20" t="s">
        <v>1309</v>
      </c>
      <c r="AB793" s="22" t="s">
        <v>1311</v>
      </c>
      <c r="AC793" s="20">
        <v>0</v>
      </c>
      <c r="AD793" s="20">
        <v>0</v>
      </c>
      <c r="AE793" s="20">
        <v>0</v>
      </c>
      <c r="AF793" s="20">
        <v>0</v>
      </c>
      <c r="AG793" s="20">
        <v>0</v>
      </c>
      <c r="AH793" s="20">
        <v>0</v>
      </c>
      <c r="AI793" s="328" t="s">
        <v>1328</v>
      </c>
      <c r="AJ793" s="328" t="s">
        <v>1328</v>
      </c>
      <c r="AK793" s="328" t="s">
        <v>1328</v>
      </c>
      <c r="AL793" s="22" t="s">
        <v>1329</v>
      </c>
      <c r="AM793" s="22" t="s">
        <v>1330</v>
      </c>
      <c r="AN793" s="22" t="s">
        <v>1317</v>
      </c>
      <c r="AO793" s="22" t="s">
        <v>1318</v>
      </c>
      <c r="AP793" s="22" t="s">
        <v>1318</v>
      </c>
      <c r="AQ793" s="22" t="s">
        <v>1318</v>
      </c>
      <c r="AR793" s="22" t="s">
        <v>1317</v>
      </c>
      <c r="AS793" s="22" t="s">
        <v>1311</v>
      </c>
      <c r="AT793" s="22" t="s">
        <v>1309</v>
      </c>
      <c r="AU793" s="22" t="s">
        <v>1309</v>
      </c>
      <c r="AV793" s="22" t="s">
        <v>1309</v>
      </c>
      <c r="AW793" s="22" t="s">
        <v>1318</v>
      </c>
      <c r="AX793" s="22" t="s">
        <v>1317</v>
      </c>
      <c r="AY793" s="22" t="s">
        <v>1318</v>
      </c>
      <c r="AZ793" s="22" t="s">
        <v>1317</v>
      </c>
      <c r="BA793" s="22" t="s">
        <v>1311</v>
      </c>
      <c r="BB793" s="22" t="s">
        <v>1309</v>
      </c>
      <c r="BC793" s="22" t="s">
        <v>1309</v>
      </c>
      <c r="BD793" s="22" t="s">
        <v>1317</v>
      </c>
      <c r="BE793" s="22" t="s">
        <v>1318</v>
      </c>
      <c r="BF793" s="22" t="s">
        <v>1317</v>
      </c>
      <c r="BG793" s="22" t="s">
        <v>1318</v>
      </c>
      <c r="BH793" s="22" t="s">
        <v>1317</v>
      </c>
      <c r="BI793" s="22" t="s">
        <v>1318</v>
      </c>
      <c r="BJ793" s="22" t="s">
        <v>1309</v>
      </c>
      <c r="BK793" s="22" t="s">
        <v>1309</v>
      </c>
      <c r="BL793" s="22" t="s">
        <v>1317</v>
      </c>
      <c r="BM793" s="22" t="s">
        <v>1311</v>
      </c>
      <c r="BN793" s="22" t="s">
        <v>1317</v>
      </c>
      <c r="BO793" s="22" t="s">
        <v>1318</v>
      </c>
      <c r="BP793" s="22" t="s">
        <v>1315</v>
      </c>
      <c r="BQ793" s="22" t="s">
        <v>1315</v>
      </c>
      <c r="BR793" s="22" t="s">
        <v>1309</v>
      </c>
      <c r="BS793" s="22" t="s">
        <v>1309</v>
      </c>
      <c r="BT793" s="22" t="s">
        <v>1315</v>
      </c>
      <c r="BU793" s="22" t="s">
        <v>1315</v>
      </c>
      <c r="BV793" s="22" t="s">
        <v>1317</v>
      </c>
      <c r="BW793" s="22" t="s">
        <v>1318</v>
      </c>
      <c r="BX793" s="20">
        <v>0</v>
      </c>
      <c r="BY793" s="20">
        <v>0</v>
      </c>
      <c r="BZ793" s="20">
        <v>16</v>
      </c>
      <c r="CA793" s="20">
        <v>0</v>
      </c>
      <c r="CB793" s="20">
        <v>0</v>
      </c>
      <c r="CC793" s="20">
        <v>230</v>
      </c>
      <c r="CD793" s="22" t="s">
        <v>1317</v>
      </c>
      <c r="CE793" s="22" t="s">
        <v>1318</v>
      </c>
      <c r="CF793" s="22" t="s">
        <v>1317</v>
      </c>
      <c r="CG793" s="22" t="s">
        <v>1318</v>
      </c>
      <c r="CH793" s="22" t="s">
        <v>1317</v>
      </c>
      <c r="CI793" s="22" t="s">
        <v>1318</v>
      </c>
      <c r="CJ793" s="149" t="s">
        <v>1124</v>
      </c>
      <c r="CK793" s="241" t="s">
        <v>3054</v>
      </c>
    </row>
    <row r="794" spans="1:89" ht="15" customHeight="1" x14ac:dyDescent="0.35">
      <c r="A794" s="17"/>
      <c r="B794" s="313">
        <v>18060</v>
      </c>
      <c r="C794" s="8" t="s">
        <v>115</v>
      </c>
      <c r="D794" s="18">
        <v>12</v>
      </c>
      <c r="E794" s="131"/>
      <c r="F794" s="22"/>
      <c r="G794" s="132"/>
      <c r="H794" s="22"/>
      <c r="I794" s="22"/>
      <c r="J794" s="22"/>
      <c r="K794" s="22"/>
      <c r="L794" s="22"/>
      <c r="M794" s="133"/>
      <c r="N794" s="22"/>
      <c r="O794" s="22"/>
      <c r="P794" s="22"/>
      <c r="Q794" s="20"/>
      <c r="R794" s="20"/>
      <c r="S794" s="20"/>
      <c r="T794" s="20"/>
      <c r="U794" s="20"/>
      <c r="V794" s="20"/>
      <c r="W794" s="20"/>
      <c r="X794" s="20"/>
      <c r="Y794" s="20"/>
      <c r="Z794" s="20"/>
      <c r="AA794" s="20"/>
      <c r="AB794" s="22"/>
      <c r="AC794" s="20"/>
      <c r="AD794" s="20"/>
      <c r="AE794" s="20"/>
      <c r="AF794" s="20" t="s">
        <v>1124</v>
      </c>
      <c r="AG794" s="20" t="s">
        <v>1124</v>
      </c>
      <c r="AH794" s="20" t="s">
        <v>1124</v>
      </c>
      <c r="AI794" s="328"/>
      <c r="AJ794" s="328"/>
      <c r="AK794" s="328"/>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0"/>
      <c r="BY794" s="20"/>
      <c r="BZ794" s="20"/>
      <c r="CA794" s="20"/>
      <c r="CB794" s="20"/>
      <c r="CC794" s="20"/>
      <c r="CD794" s="22"/>
      <c r="CE794" s="22"/>
      <c r="CF794" s="22"/>
      <c r="CG794" s="22"/>
      <c r="CH794" s="22"/>
      <c r="CI794" s="22"/>
      <c r="CJ794" s="149"/>
      <c r="CK794" s="241"/>
    </row>
    <row r="795" spans="1:89" ht="15" customHeight="1" x14ac:dyDescent="0.35">
      <c r="A795" s="17"/>
      <c r="B795" s="313">
        <v>20005</v>
      </c>
      <c r="C795" s="8" t="s">
        <v>138</v>
      </c>
      <c r="D795" s="18">
        <v>3</v>
      </c>
      <c r="E795" s="131"/>
      <c r="F795" s="22"/>
      <c r="G795" s="132"/>
      <c r="H795" s="22"/>
      <c r="I795" s="22"/>
      <c r="J795" s="22"/>
      <c r="K795" s="22"/>
      <c r="L795" s="22"/>
      <c r="M795" s="133"/>
      <c r="N795" s="22"/>
      <c r="O795" s="22"/>
      <c r="P795" s="22"/>
      <c r="Q795" s="20"/>
      <c r="R795" s="20"/>
      <c r="S795" s="20"/>
      <c r="T795" s="20"/>
      <c r="U795" s="20"/>
      <c r="V795" s="20"/>
      <c r="W795" s="20"/>
      <c r="X795" s="20"/>
      <c r="Y795" s="20"/>
      <c r="Z795" s="20"/>
      <c r="AA795" s="20"/>
      <c r="AB795" s="22"/>
      <c r="AC795" s="20"/>
      <c r="AD795" s="20"/>
      <c r="AE795" s="20"/>
      <c r="AF795" s="20" t="s">
        <v>1124</v>
      </c>
      <c r="AG795" s="20" t="s">
        <v>1124</v>
      </c>
      <c r="AH795" s="20" t="s">
        <v>1124</v>
      </c>
      <c r="AI795" s="328"/>
      <c r="AJ795" s="328"/>
      <c r="AK795" s="328"/>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0"/>
      <c r="BY795" s="20"/>
      <c r="BZ795" s="20"/>
      <c r="CA795" s="20"/>
      <c r="CB795" s="20"/>
      <c r="CC795" s="20"/>
      <c r="CD795" s="22"/>
      <c r="CE795" s="22"/>
      <c r="CF795" s="22"/>
      <c r="CG795" s="22"/>
      <c r="CH795" s="22"/>
      <c r="CI795" s="22"/>
      <c r="CJ795" s="149"/>
      <c r="CK795" s="241"/>
    </row>
    <row r="796" spans="1:89" ht="15" customHeight="1" x14ac:dyDescent="0.35">
      <c r="A796" s="17"/>
      <c r="B796" s="313">
        <v>91015</v>
      </c>
      <c r="C796" s="8" t="s">
        <v>939</v>
      </c>
      <c r="D796" s="18">
        <v>2</v>
      </c>
      <c r="E796" s="131" t="s">
        <v>1309</v>
      </c>
      <c r="F796" s="22" t="s">
        <v>1309</v>
      </c>
      <c r="G796" s="132" t="s">
        <v>1309</v>
      </c>
      <c r="H796" s="22" t="s">
        <v>1311</v>
      </c>
      <c r="I796" s="22" t="s">
        <v>1327</v>
      </c>
      <c r="J796" s="22" t="s">
        <v>1327</v>
      </c>
      <c r="K796" s="22" t="s">
        <v>1309</v>
      </c>
      <c r="L796" s="22" t="s">
        <v>1309</v>
      </c>
      <c r="M796" s="133" t="s">
        <v>1311</v>
      </c>
      <c r="N796" s="22" t="s">
        <v>1311</v>
      </c>
      <c r="O796" s="22" t="s">
        <v>1314</v>
      </c>
      <c r="P796" s="22" t="s">
        <v>1318</v>
      </c>
      <c r="Q796" s="20">
        <v>0</v>
      </c>
      <c r="R796" s="20">
        <v>0</v>
      </c>
      <c r="S796" s="20">
        <v>0</v>
      </c>
      <c r="T796" s="20">
        <v>0</v>
      </c>
      <c r="U796" s="20">
        <v>0</v>
      </c>
      <c r="V796" s="20">
        <v>16.667999999999999</v>
      </c>
      <c r="W796" s="20">
        <v>0</v>
      </c>
      <c r="X796" s="20">
        <v>0</v>
      </c>
      <c r="Y796" s="20">
        <v>0</v>
      </c>
      <c r="Z796" s="20">
        <v>0</v>
      </c>
      <c r="AA796" s="20" t="s">
        <v>1317</v>
      </c>
      <c r="AB796" s="22" t="s">
        <v>1311</v>
      </c>
      <c r="AC796" s="20">
        <v>2</v>
      </c>
      <c r="AD796" s="20">
        <v>0</v>
      </c>
      <c r="AE796" s="20">
        <v>3</v>
      </c>
      <c r="AF796" s="20">
        <v>2</v>
      </c>
      <c r="AG796" s="20">
        <v>0</v>
      </c>
      <c r="AH796" s="20">
        <v>5</v>
      </c>
      <c r="AI796" s="328">
        <v>11.999040076793857</v>
      </c>
      <c r="AJ796" s="328" t="s">
        <v>1328</v>
      </c>
      <c r="AK796" s="328">
        <v>10.869565217391305</v>
      </c>
      <c r="AL796" s="22" t="s">
        <v>1329</v>
      </c>
      <c r="AM796" s="22" t="s">
        <v>1330</v>
      </c>
      <c r="AN796" s="22" t="s">
        <v>1317</v>
      </c>
      <c r="AO796" s="22" t="s">
        <v>1318</v>
      </c>
      <c r="AP796" s="22" t="s">
        <v>1318</v>
      </c>
      <c r="AQ796" s="22" t="s">
        <v>1318</v>
      </c>
      <c r="AR796" s="22" t="s">
        <v>1317</v>
      </c>
      <c r="AS796" s="22" t="s">
        <v>1318</v>
      </c>
      <c r="AT796" s="22" t="s">
        <v>1309</v>
      </c>
      <c r="AU796" s="22" t="s">
        <v>1309</v>
      </c>
      <c r="AV796" s="22" t="s">
        <v>1317</v>
      </c>
      <c r="AW796" s="22" t="s">
        <v>1318</v>
      </c>
      <c r="AX796" s="22" t="s">
        <v>1317</v>
      </c>
      <c r="AY796" s="22" t="s">
        <v>1318</v>
      </c>
      <c r="AZ796" s="22" t="s">
        <v>1309</v>
      </c>
      <c r="BA796" s="22" t="s">
        <v>1309</v>
      </c>
      <c r="BB796" s="22" t="s">
        <v>1309</v>
      </c>
      <c r="BC796" s="22" t="s">
        <v>1309</v>
      </c>
      <c r="BD796" s="22" t="s">
        <v>1317</v>
      </c>
      <c r="BE796" s="22" t="s">
        <v>1318</v>
      </c>
      <c r="BF796" s="22" t="s">
        <v>1319</v>
      </c>
      <c r="BG796" s="22" t="s">
        <v>1311</v>
      </c>
      <c r="BH796" s="22" t="s">
        <v>1317</v>
      </c>
      <c r="BI796" s="22" t="s">
        <v>1318</v>
      </c>
      <c r="BJ796" s="22" t="s">
        <v>1309</v>
      </c>
      <c r="BK796" s="22" t="s">
        <v>1309</v>
      </c>
      <c r="BL796" s="22" t="s">
        <v>1309</v>
      </c>
      <c r="BM796" s="22" t="s">
        <v>1309</v>
      </c>
      <c r="BN796" s="22" t="s">
        <v>1309</v>
      </c>
      <c r="BO796" s="22" t="s">
        <v>1309</v>
      </c>
      <c r="BP796" s="22" t="s">
        <v>1309</v>
      </c>
      <c r="BQ796" s="22" t="s">
        <v>1309</v>
      </c>
      <c r="BR796" s="22" t="s">
        <v>1309</v>
      </c>
      <c r="BS796" s="22" t="s">
        <v>1309</v>
      </c>
      <c r="BT796" s="22" t="s">
        <v>1319</v>
      </c>
      <c r="BU796" s="22" t="s">
        <v>1311</v>
      </c>
      <c r="BV796" s="22" t="s">
        <v>1317</v>
      </c>
      <c r="BW796" s="22" t="s">
        <v>1318</v>
      </c>
      <c r="BX796" s="20">
        <v>0</v>
      </c>
      <c r="BY796" s="20">
        <v>6</v>
      </c>
      <c r="BZ796" s="20">
        <v>20</v>
      </c>
      <c r="CA796" s="20">
        <v>0</v>
      </c>
      <c r="CB796" s="20">
        <v>0</v>
      </c>
      <c r="CC796" s="20">
        <v>250</v>
      </c>
      <c r="CD796" s="22" t="s">
        <v>1320</v>
      </c>
      <c r="CE796" s="22" t="s">
        <v>1321</v>
      </c>
      <c r="CF796" s="22" t="s">
        <v>1320</v>
      </c>
      <c r="CG796" s="22" t="s">
        <v>1321</v>
      </c>
      <c r="CH796" s="22" t="s">
        <v>1317</v>
      </c>
      <c r="CI796" s="22" t="s">
        <v>1318</v>
      </c>
      <c r="CJ796" s="149" t="s">
        <v>1124</v>
      </c>
      <c r="CK796" s="241" t="s">
        <v>3058</v>
      </c>
    </row>
    <row r="797" spans="1:89" ht="15" customHeight="1" x14ac:dyDescent="0.35">
      <c r="A797" s="17"/>
      <c r="B797" s="313">
        <v>50128</v>
      </c>
      <c r="C797" s="8" t="s">
        <v>497</v>
      </c>
      <c r="D797" s="18">
        <v>17</v>
      </c>
      <c r="E797" s="131" t="s">
        <v>1309</v>
      </c>
      <c r="F797" s="22" t="s">
        <v>1309</v>
      </c>
      <c r="G797" s="132" t="s">
        <v>1309</v>
      </c>
      <c r="H797" s="22" t="s">
        <v>1311</v>
      </c>
      <c r="I797" s="22" t="s">
        <v>1327</v>
      </c>
      <c r="J797" s="22" t="s">
        <v>1405</v>
      </c>
      <c r="K797" s="22" t="s">
        <v>1314</v>
      </c>
      <c r="L797" s="22" t="s">
        <v>1311</v>
      </c>
      <c r="M797" s="133" t="s">
        <v>1311</v>
      </c>
      <c r="N797" s="22" t="s">
        <v>1311</v>
      </c>
      <c r="O797" s="22" t="s">
        <v>1309</v>
      </c>
      <c r="P797" s="22" t="s">
        <v>1309</v>
      </c>
      <c r="Q797" s="20">
        <v>0</v>
      </c>
      <c r="R797" s="20">
        <v>0</v>
      </c>
      <c r="S797" s="20">
        <v>20</v>
      </c>
      <c r="T797" s="20">
        <v>20</v>
      </c>
      <c r="U797" s="20">
        <v>0</v>
      </c>
      <c r="V797" s="20">
        <v>0</v>
      </c>
      <c r="W797" s="20">
        <v>0</v>
      </c>
      <c r="X797" s="20">
        <v>0</v>
      </c>
      <c r="Y797" s="20">
        <v>0</v>
      </c>
      <c r="Z797" s="20">
        <v>0</v>
      </c>
      <c r="AA797" s="20" t="s">
        <v>1317</v>
      </c>
      <c r="AB797" s="22" t="s">
        <v>1311</v>
      </c>
      <c r="AC797" s="20">
        <v>0</v>
      </c>
      <c r="AD797" s="20">
        <v>0</v>
      </c>
      <c r="AE797" s="20">
        <v>0</v>
      </c>
      <c r="AF797" s="20">
        <v>0</v>
      </c>
      <c r="AG797" s="20">
        <v>0</v>
      </c>
      <c r="AH797" s="20">
        <v>0</v>
      </c>
      <c r="AI797" s="328" t="s">
        <v>1328</v>
      </c>
      <c r="AJ797" s="328" t="s">
        <v>1328</v>
      </c>
      <c r="AK797" s="328" t="s">
        <v>1328</v>
      </c>
      <c r="AL797" s="22" t="s">
        <v>1315</v>
      </c>
      <c r="AM797" s="22" t="s">
        <v>1315</v>
      </c>
      <c r="AN797" s="22" t="s">
        <v>1317</v>
      </c>
      <c r="AO797" s="22" t="s">
        <v>1318</v>
      </c>
      <c r="AP797" s="22" t="s">
        <v>1318</v>
      </c>
      <c r="AQ797" s="22" t="s">
        <v>1318</v>
      </c>
      <c r="AR797" s="22" t="s">
        <v>1317</v>
      </c>
      <c r="AS797" s="22" t="s">
        <v>1318</v>
      </c>
      <c r="AT797" s="22" t="s">
        <v>1317</v>
      </c>
      <c r="AU797" s="22" t="s">
        <v>1311</v>
      </c>
      <c r="AV797" s="22" t="s">
        <v>1315</v>
      </c>
      <c r="AW797" s="22" t="s">
        <v>1315</v>
      </c>
      <c r="AX797" s="22" t="s">
        <v>1317</v>
      </c>
      <c r="AY797" s="22" t="s">
        <v>1318</v>
      </c>
      <c r="AZ797" s="22" t="s">
        <v>1319</v>
      </c>
      <c r="BA797" s="22" t="s">
        <v>1311</v>
      </c>
      <c r="BB797" s="22" t="s">
        <v>1319</v>
      </c>
      <c r="BC797" s="22" t="s">
        <v>1311</v>
      </c>
      <c r="BD797" s="22" t="s">
        <v>1309</v>
      </c>
      <c r="BE797" s="22" t="s">
        <v>1309</v>
      </c>
      <c r="BF797" s="22" t="s">
        <v>1309</v>
      </c>
      <c r="BG797" s="22" t="s">
        <v>1309</v>
      </c>
      <c r="BH797" s="22" t="s">
        <v>1317</v>
      </c>
      <c r="BI797" s="22" t="s">
        <v>1318</v>
      </c>
      <c r="BJ797" s="22" t="s">
        <v>1317</v>
      </c>
      <c r="BK797" s="22" t="s">
        <v>1311</v>
      </c>
      <c r="BL797" s="22" t="s">
        <v>1317</v>
      </c>
      <c r="BM797" s="22" t="s">
        <v>1318</v>
      </c>
      <c r="BN797" s="22" t="s">
        <v>1317</v>
      </c>
      <c r="BO797" s="22" t="s">
        <v>1311</v>
      </c>
      <c r="BP797" s="22" t="s">
        <v>1317</v>
      </c>
      <c r="BQ797" s="22" t="s">
        <v>1311</v>
      </c>
      <c r="BR797" s="22" t="s">
        <v>1317</v>
      </c>
      <c r="BS797" s="22" t="s">
        <v>1311</v>
      </c>
      <c r="BT797" s="22" t="s">
        <v>1317</v>
      </c>
      <c r="BU797" s="22" t="s">
        <v>1318</v>
      </c>
      <c r="BV797" s="22" t="s">
        <v>1309</v>
      </c>
      <c r="BW797" s="22" t="s">
        <v>1309</v>
      </c>
      <c r="BX797" s="20">
        <v>98</v>
      </c>
      <c r="BY797" s="20">
        <v>0</v>
      </c>
      <c r="BZ797" s="20">
        <v>0</v>
      </c>
      <c r="CA797" s="20">
        <v>898</v>
      </c>
      <c r="CB797" s="20">
        <v>0</v>
      </c>
      <c r="CC797" s="20">
        <v>0</v>
      </c>
      <c r="CD797" s="22" t="s">
        <v>1331</v>
      </c>
      <c r="CE797" s="22" t="s">
        <v>1331</v>
      </c>
      <c r="CF797" s="22" t="s">
        <v>1331</v>
      </c>
      <c r="CG797" s="22" t="s">
        <v>1331</v>
      </c>
      <c r="CH797" s="22" t="s">
        <v>1317</v>
      </c>
      <c r="CI797" s="22" t="s">
        <v>1318</v>
      </c>
      <c r="CJ797" s="149" t="s">
        <v>1124</v>
      </c>
      <c r="CK797" s="241" t="s">
        <v>1124</v>
      </c>
    </row>
    <row r="798" spans="1:89" ht="15" customHeight="1" x14ac:dyDescent="0.35">
      <c r="A798" s="17"/>
      <c r="B798" s="313">
        <v>42020</v>
      </c>
      <c r="C798" s="8" t="s">
        <v>380</v>
      </c>
      <c r="D798" s="18">
        <v>5</v>
      </c>
      <c r="E798" s="131"/>
      <c r="F798" s="22"/>
      <c r="G798" s="132"/>
      <c r="H798" s="22"/>
      <c r="I798" s="22"/>
      <c r="J798" s="22"/>
      <c r="K798" s="22"/>
      <c r="L798" s="22"/>
      <c r="M798" s="133"/>
      <c r="N798" s="22"/>
      <c r="O798" s="22"/>
      <c r="P798" s="22"/>
      <c r="Q798" s="20"/>
      <c r="R798" s="20"/>
      <c r="S798" s="20"/>
      <c r="T798" s="20"/>
      <c r="U798" s="20"/>
      <c r="V798" s="20"/>
      <c r="W798" s="20"/>
      <c r="X798" s="20"/>
      <c r="Y798" s="20"/>
      <c r="Z798" s="20"/>
      <c r="AA798" s="20"/>
      <c r="AB798" s="22"/>
      <c r="AC798" s="20"/>
      <c r="AD798" s="20"/>
      <c r="AE798" s="20"/>
      <c r="AF798" s="20" t="s">
        <v>1124</v>
      </c>
      <c r="AG798" s="20" t="s">
        <v>1124</v>
      </c>
      <c r="AH798" s="20" t="s">
        <v>1124</v>
      </c>
      <c r="AI798" s="328"/>
      <c r="AJ798" s="328"/>
      <c r="AK798" s="328"/>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0"/>
      <c r="BY798" s="20"/>
      <c r="BZ798" s="20"/>
      <c r="CA798" s="20"/>
      <c r="CB798" s="20"/>
      <c r="CC798" s="20"/>
      <c r="CD798" s="22"/>
      <c r="CE798" s="22"/>
      <c r="CF798" s="22"/>
      <c r="CG798" s="22"/>
      <c r="CH798" s="22"/>
      <c r="CI798" s="22"/>
      <c r="CJ798" s="149"/>
      <c r="CK798" s="241"/>
    </row>
    <row r="799" spans="1:89" ht="15" customHeight="1" x14ac:dyDescent="0.35">
      <c r="A799" s="17"/>
      <c r="B799" s="313">
        <v>12025</v>
      </c>
      <c r="C799" s="8" t="s">
        <v>32</v>
      </c>
      <c r="D799" s="18">
        <v>1</v>
      </c>
      <c r="E799" s="131"/>
      <c r="F799" s="22"/>
      <c r="G799" s="132"/>
      <c r="H799" s="22"/>
      <c r="I799" s="22"/>
      <c r="J799" s="22"/>
      <c r="K799" s="22"/>
      <c r="L799" s="22"/>
      <c r="M799" s="133"/>
      <c r="N799" s="22"/>
      <c r="O799" s="22"/>
      <c r="P799" s="22"/>
      <c r="Q799" s="20"/>
      <c r="R799" s="20"/>
      <c r="S799" s="20"/>
      <c r="T799" s="20"/>
      <c r="U799" s="20"/>
      <c r="V799" s="20"/>
      <c r="W799" s="20"/>
      <c r="X799" s="20"/>
      <c r="Y799" s="20"/>
      <c r="Z799" s="20"/>
      <c r="AA799" s="20"/>
      <c r="AB799" s="22"/>
      <c r="AC799" s="20"/>
      <c r="AD799" s="20"/>
      <c r="AE799" s="20"/>
      <c r="AF799" s="20" t="s">
        <v>1124</v>
      </c>
      <c r="AG799" s="20" t="s">
        <v>1124</v>
      </c>
      <c r="AH799" s="20" t="s">
        <v>1124</v>
      </c>
      <c r="AI799" s="328"/>
      <c r="AJ799" s="328"/>
      <c r="AK799" s="328"/>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0"/>
      <c r="BY799" s="20"/>
      <c r="BZ799" s="20"/>
      <c r="CA799" s="20"/>
      <c r="CB799" s="20"/>
      <c r="CC799" s="20"/>
      <c r="CD799" s="22"/>
      <c r="CE799" s="22"/>
      <c r="CF799" s="22"/>
      <c r="CG799" s="22"/>
      <c r="CH799" s="22"/>
      <c r="CI799" s="22"/>
      <c r="CJ799" s="149"/>
      <c r="CK799" s="241"/>
    </row>
    <row r="800" spans="1:89" ht="15" customHeight="1" x14ac:dyDescent="0.35">
      <c r="A800" s="17"/>
      <c r="B800" s="313">
        <v>27065</v>
      </c>
      <c r="C800" s="8" t="s">
        <v>186</v>
      </c>
      <c r="D800" s="18">
        <v>12</v>
      </c>
      <c r="E800" s="131" t="s">
        <v>1309</v>
      </c>
      <c r="F800" s="22" t="s">
        <v>1309</v>
      </c>
      <c r="G800" s="132" t="s">
        <v>1309</v>
      </c>
      <c r="H800" s="22" t="s">
        <v>1311</v>
      </c>
      <c r="I800" s="22" t="s">
        <v>1327</v>
      </c>
      <c r="J800" s="22" t="s">
        <v>1327</v>
      </c>
      <c r="K800" s="22" t="s">
        <v>1319</v>
      </c>
      <c r="L800" s="22" t="s">
        <v>1311</v>
      </c>
      <c r="M800" s="133" t="s">
        <v>1311</v>
      </c>
      <c r="N800" s="22" t="s">
        <v>1311</v>
      </c>
      <c r="O800" s="22" t="s">
        <v>1314</v>
      </c>
      <c r="P800" s="22" t="s">
        <v>1311</v>
      </c>
      <c r="Q800" s="20">
        <v>0</v>
      </c>
      <c r="R800" s="20">
        <v>0</v>
      </c>
      <c r="S800" s="20">
        <v>0</v>
      </c>
      <c r="T800" s="20">
        <v>0</v>
      </c>
      <c r="U800" s="20">
        <v>14</v>
      </c>
      <c r="V800" s="20">
        <v>14</v>
      </c>
      <c r="W800" s="20">
        <v>0</v>
      </c>
      <c r="X800" s="20">
        <v>0</v>
      </c>
      <c r="Y800" s="20">
        <v>0</v>
      </c>
      <c r="Z800" s="20">
        <v>0</v>
      </c>
      <c r="AA800" s="20" t="s">
        <v>1309</v>
      </c>
      <c r="AB800" s="22" t="s">
        <v>1311</v>
      </c>
      <c r="AC800" s="20">
        <v>3</v>
      </c>
      <c r="AD800" s="20">
        <v>3</v>
      </c>
      <c r="AE800" s="20">
        <v>0</v>
      </c>
      <c r="AF800" s="20">
        <v>1</v>
      </c>
      <c r="AG800" s="20">
        <v>1</v>
      </c>
      <c r="AH800" s="20">
        <v>0</v>
      </c>
      <c r="AI800" s="328">
        <v>21.428571428571427</v>
      </c>
      <c r="AJ800" s="328">
        <v>7.1942446043165464</v>
      </c>
      <c r="AK800" s="328" t="s">
        <v>1328</v>
      </c>
      <c r="AL800" s="22" t="s">
        <v>1329</v>
      </c>
      <c r="AM800" s="22" t="s">
        <v>1330</v>
      </c>
      <c r="AN800" s="22" t="s">
        <v>1317</v>
      </c>
      <c r="AO800" s="22" t="s">
        <v>1318</v>
      </c>
      <c r="AP800" s="22" t="s">
        <v>1318</v>
      </c>
      <c r="AQ800" s="22" t="s">
        <v>1318</v>
      </c>
      <c r="AR800" s="22" t="s">
        <v>1317</v>
      </c>
      <c r="AS800" s="22" t="s">
        <v>1311</v>
      </c>
      <c r="AT800" s="22" t="s">
        <v>1309</v>
      </c>
      <c r="AU800" s="22" t="s">
        <v>1309</v>
      </c>
      <c r="AV800" s="22" t="s">
        <v>1317</v>
      </c>
      <c r="AW800" s="22" t="s">
        <v>1318</v>
      </c>
      <c r="AX800" s="22" t="s">
        <v>1317</v>
      </c>
      <c r="AY800" s="22" t="s">
        <v>1318</v>
      </c>
      <c r="AZ800" s="22" t="s">
        <v>1309</v>
      </c>
      <c r="BA800" s="22" t="s">
        <v>1309</v>
      </c>
      <c r="BB800" s="22" t="s">
        <v>1309</v>
      </c>
      <c r="BC800" s="22" t="s">
        <v>1309</v>
      </c>
      <c r="BD800" s="22" t="s">
        <v>1317</v>
      </c>
      <c r="BE800" s="22" t="s">
        <v>1318</v>
      </c>
      <c r="BF800" s="22" t="s">
        <v>1309</v>
      </c>
      <c r="BG800" s="22" t="s">
        <v>1309</v>
      </c>
      <c r="BH800" s="22" t="s">
        <v>1309</v>
      </c>
      <c r="BI800" s="22" t="s">
        <v>1309</v>
      </c>
      <c r="BJ800" s="22" t="s">
        <v>1309</v>
      </c>
      <c r="BK800" s="22" t="s">
        <v>1309</v>
      </c>
      <c r="BL800" s="22" t="s">
        <v>1309</v>
      </c>
      <c r="BM800" s="22" t="s">
        <v>1309</v>
      </c>
      <c r="BN800" s="22" t="s">
        <v>1309</v>
      </c>
      <c r="BO800" s="22" t="s">
        <v>1309</v>
      </c>
      <c r="BP800" s="22" t="s">
        <v>1317</v>
      </c>
      <c r="BQ800" s="22" t="s">
        <v>1318</v>
      </c>
      <c r="BR800" s="22" t="s">
        <v>1317</v>
      </c>
      <c r="BS800" s="22" t="s">
        <v>1318</v>
      </c>
      <c r="BT800" s="22" t="s">
        <v>1317</v>
      </c>
      <c r="BU800" s="22" t="s">
        <v>1318</v>
      </c>
      <c r="BV800" s="22" t="s">
        <v>1309</v>
      </c>
      <c r="BW800" s="22" t="s">
        <v>1309</v>
      </c>
      <c r="BX800" s="20">
        <v>0</v>
      </c>
      <c r="BY800" s="20">
        <v>82</v>
      </c>
      <c r="BZ800" s="20">
        <v>0</v>
      </c>
      <c r="CA800" s="20">
        <v>0</v>
      </c>
      <c r="CB800" s="20">
        <v>20</v>
      </c>
      <c r="CC800" s="20">
        <v>315</v>
      </c>
      <c r="CD800" s="22" t="s">
        <v>1331</v>
      </c>
      <c r="CE800" s="22" t="s">
        <v>1331</v>
      </c>
      <c r="CF800" s="22" t="s">
        <v>1331</v>
      </c>
      <c r="CG800" s="22" t="s">
        <v>1331</v>
      </c>
      <c r="CH800" s="22" t="s">
        <v>1317</v>
      </c>
      <c r="CI800" s="22" t="s">
        <v>1318</v>
      </c>
      <c r="CJ800" s="149" t="s">
        <v>1124</v>
      </c>
      <c r="CK800" s="241" t="s">
        <v>3062</v>
      </c>
    </row>
    <row r="801" spans="1:89" ht="15" customHeight="1" x14ac:dyDescent="0.35">
      <c r="A801" s="17"/>
      <c r="B801" s="313">
        <v>94235</v>
      </c>
      <c r="C801" s="8" t="s">
        <v>979</v>
      </c>
      <c r="D801" s="18">
        <v>2</v>
      </c>
      <c r="E801" s="131" t="s">
        <v>1309</v>
      </c>
      <c r="F801" s="22" t="s">
        <v>1309</v>
      </c>
      <c r="G801" s="132" t="s">
        <v>1309</v>
      </c>
      <c r="H801" s="22" t="s">
        <v>1311</v>
      </c>
      <c r="I801" s="22" t="s">
        <v>1327</v>
      </c>
      <c r="J801" s="22" t="s">
        <v>1327</v>
      </c>
      <c r="K801" s="22" t="s">
        <v>1314</v>
      </c>
      <c r="L801" s="22" t="s">
        <v>1311</v>
      </c>
      <c r="M801" s="133" t="s">
        <v>1311</v>
      </c>
      <c r="N801" s="22" t="s">
        <v>1311</v>
      </c>
      <c r="O801" s="22" t="s">
        <v>1314</v>
      </c>
      <c r="P801" s="22" t="s">
        <v>1318</v>
      </c>
      <c r="Q801" s="20">
        <v>0</v>
      </c>
      <c r="R801" s="20">
        <v>0</v>
      </c>
      <c r="S801" s="20">
        <v>0</v>
      </c>
      <c r="T801" s="20">
        <v>0</v>
      </c>
      <c r="U801" s="20">
        <v>25.709</v>
      </c>
      <c r="V801" s="20">
        <v>25.709</v>
      </c>
      <c r="W801" s="20">
        <v>0</v>
      </c>
      <c r="X801" s="20">
        <v>0</v>
      </c>
      <c r="Y801" s="20">
        <v>0</v>
      </c>
      <c r="Z801" s="20">
        <v>0</v>
      </c>
      <c r="AA801" s="20" t="s">
        <v>1317</v>
      </c>
      <c r="AB801" s="22" t="s">
        <v>1311</v>
      </c>
      <c r="AC801" s="20">
        <v>5</v>
      </c>
      <c r="AD801" s="20">
        <v>0</v>
      </c>
      <c r="AE801" s="20">
        <v>0</v>
      </c>
      <c r="AF801" s="20">
        <v>1</v>
      </c>
      <c r="AG801" s="20">
        <v>0</v>
      </c>
      <c r="AH801" s="20">
        <v>0</v>
      </c>
      <c r="AI801" s="328">
        <v>19.448442179781399</v>
      </c>
      <c r="AJ801" s="328" t="s">
        <v>1328</v>
      </c>
      <c r="AK801" s="328" t="s">
        <v>1328</v>
      </c>
      <c r="AL801" s="22" t="s">
        <v>1329</v>
      </c>
      <c r="AM801" s="22" t="s">
        <v>1330</v>
      </c>
      <c r="AN801" s="22" t="s">
        <v>1317</v>
      </c>
      <c r="AO801" s="22" t="s">
        <v>1318</v>
      </c>
      <c r="AP801" s="22" t="s">
        <v>1318</v>
      </c>
      <c r="AQ801" s="22" t="s">
        <v>1318</v>
      </c>
      <c r="AR801" s="22" t="s">
        <v>1317</v>
      </c>
      <c r="AS801" s="22" t="s">
        <v>1318</v>
      </c>
      <c r="AT801" s="22" t="s">
        <v>1309</v>
      </c>
      <c r="AU801" s="22" t="s">
        <v>1309</v>
      </c>
      <c r="AV801" s="22" t="s">
        <v>1309</v>
      </c>
      <c r="AW801" s="22" t="s">
        <v>1309</v>
      </c>
      <c r="AX801" s="22" t="s">
        <v>1317</v>
      </c>
      <c r="AY801" s="22" t="s">
        <v>1318</v>
      </c>
      <c r="AZ801" s="22" t="s">
        <v>1317</v>
      </c>
      <c r="BA801" s="22" t="s">
        <v>1318</v>
      </c>
      <c r="BB801" s="22" t="s">
        <v>1309</v>
      </c>
      <c r="BC801" s="22" t="s">
        <v>1309</v>
      </c>
      <c r="BD801" s="22" t="s">
        <v>1317</v>
      </c>
      <c r="BE801" s="22" t="s">
        <v>1318</v>
      </c>
      <c r="BF801" s="22" t="s">
        <v>1319</v>
      </c>
      <c r="BG801" s="22" t="s">
        <v>1311</v>
      </c>
      <c r="BH801" s="22" t="s">
        <v>1309</v>
      </c>
      <c r="BI801" s="22" t="s">
        <v>1309</v>
      </c>
      <c r="BJ801" s="22" t="s">
        <v>1317</v>
      </c>
      <c r="BK801" s="22" t="s">
        <v>1318</v>
      </c>
      <c r="BL801" s="22" t="s">
        <v>1317</v>
      </c>
      <c r="BM801" s="22" t="s">
        <v>1318</v>
      </c>
      <c r="BN801" s="22" t="s">
        <v>1309</v>
      </c>
      <c r="BO801" s="22" t="s">
        <v>1309</v>
      </c>
      <c r="BP801" s="22" t="s">
        <v>1317</v>
      </c>
      <c r="BQ801" s="22" t="s">
        <v>1318</v>
      </c>
      <c r="BR801" s="22" t="s">
        <v>1309</v>
      </c>
      <c r="BS801" s="22" t="s">
        <v>1309</v>
      </c>
      <c r="BT801" s="22" t="s">
        <v>1309</v>
      </c>
      <c r="BU801" s="22" t="s">
        <v>1309</v>
      </c>
      <c r="BV801" s="22" t="s">
        <v>1317</v>
      </c>
      <c r="BW801" s="22" t="s">
        <v>1318</v>
      </c>
      <c r="BX801" s="20">
        <v>0</v>
      </c>
      <c r="BY801" s="20">
        <v>0</v>
      </c>
      <c r="BZ801" s="20">
        <v>29</v>
      </c>
      <c r="CA801" s="20">
        <v>0</v>
      </c>
      <c r="CB801" s="20">
        <v>0</v>
      </c>
      <c r="CC801" s="20">
        <v>540</v>
      </c>
      <c r="CD801" s="22" t="s">
        <v>1317</v>
      </c>
      <c r="CE801" s="22" t="s">
        <v>1321</v>
      </c>
      <c r="CF801" s="22" t="s">
        <v>1317</v>
      </c>
      <c r="CG801" s="22" t="s">
        <v>1321</v>
      </c>
      <c r="CH801" s="22" t="s">
        <v>1317</v>
      </c>
      <c r="CI801" s="22" t="s">
        <v>1318</v>
      </c>
      <c r="CJ801" s="149" t="s">
        <v>1124</v>
      </c>
      <c r="CK801" s="241" t="s">
        <v>3066</v>
      </c>
    </row>
    <row r="802" spans="1:89" ht="15" customHeight="1" x14ac:dyDescent="0.35">
      <c r="A802" s="17"/>
      <c r="B802" s="313">
        <v>52080</v>
      </c>
      <c r="C802" s="8" t="s">
        <v>526</v>
      </c>
      <c r="D802" s="18">
        <v>14</v>
      </c>
      <c r="E802" s="131" t="s">
        <v>1309</v>
      </c>
      <c r="F802" s="22" t="s">
        <v>1309</v>
      </c>
      <c r="G802" s="132" t="s">
        <v>1309</v>
      </c>
      <c r="H802" s="22" t="s">
        <v>1311</v>
      </c>
      <c r="I802" s="22" t="s">
        <v>1327</v>
      </c>
      <c r="J802" s="22" t="s">
        <v>1327</v>
      </c>
      <c r="K802" s="22" t="s">
        <v>1314</v>
      </c>
      <c r="L802" s="22" t="s">
        <v>1311</v>
      </c>
      <c r="M802" s="133" t="s">
        <v>1311</v>
      </c>
      <c r="N802" s="22" t="s">
        <v>1311</v>
      </c>
      <c r="O802" s="22" t="s">
        <v>1314</v>
      </c>
      <c r="P802" s="22" t="s">
        <v>1318</v>
      </c>
      <c r="Q802" s="20">
        <v>0</v>
      </c>
      <c r="R802" s="20">
        <v>0</v>
      </c>
      <c r="S802" s="20">
        <v>30.303999999999998</v>
      </c>
      <c r="T802" s="20">
        <v>30.303999999999998</v>
      </c>
      <c r="U802" s="20">
        <v>0</v>
      </c>
      <c r="V802" s="20">
        <v>0</v>
      </c>
      <c r="W802" s="20">
        <v>0</v>
      </c>
      <c r="X802" s="20">
        <v>0</v>
      </c>
      <c r="Y802" s="20">
        <v>0</v>
      </c>
      <c r="Z802" s="20">
        <v>0</v>
      </c>
      <c r="AA802" s="20" t="s">
        <v>1317</v>
      </c>
      <c r="AB802" s="22" t="s">
        <v>1318</v>
      </c>
      <c r="AC802" s="20">
        <v>9</v>
      </c>
      <c r="AD802" s="20">
        <v>0</v>
      </c>
      <c r="AE802" s="20">
        <v>0</v>
      </c>
      <c r="AF802" s="20">
        <v>1</v>
      </c>
      <c r="AG802" s="20">
        <v>0</v>
      </c>
      <c r="AH802" s="20">
        <v>0</v>
      </c>
      <c r="AI802" s="328">
        <v>29.699049630411828</v>
      </c>
      <c r="AJ802" s="328" t="s">
        <v>1328</v>
      </c>
      <c r="AK802" s="328" t="s">
        <v>1328</v>
      </c>
      <c r="AL802" s="22" t="s">
        <v>1329</v>
      </c>
      <c r="AM802" s="22" t="s">
        <v>1330</v>
      </c>
      <c r="AN802" s="22" t="s">
        <v>1317</v>
      </c>
      <c r="AO802" s="22" t="s">
        <v>1318</v>
      </c>
      <c r="AP802" s="22" t="s">
        <v>1318</v>
      </c>
      <c r="AQ802" s="22" t="s">
        <v>1318</v>
      </c>
      <c r="AR802" s="22" t="s">
        <v>1317</v>
      </c>
      <c r="AS802" s="22" t="s">
        <v>1318</v>
      </c>
      <c r="AT802" s="22" t="s">
        <v>1309</v>
      </c>
      <c r="AU802" s="22" t="s">
        <v>1309</v>
      </c>
      <c r="AV802" s="22" t="s">
        <v>1317</v>
      </c>
      <c r="AW802" s="22" t="s">
        <v>1318</v>
      </c>
      <c r="AX802" s="22" t="s">
        <v>1317</v>
      </c>
      <c r="AY802" s="22" t="s">
        <v>1318</v>
      </c>
      <c r="AZ802" s="22" t="s">
        <v>1317</v>
      </c>
      <c r="BA802" s="22" t="s">
        <v>1311</v>
      </c>
      <c r="BB802" s="22" t="s">
        <v>1309</v>
      </c>
      <c r="BC802" s="22" t="s">
        <v>1309</v>
      </c>
      <c r="BD802" s="22" t="s">
        <v>1317</v>
      </c>
      <c r="BE802" s="22" t="s">
        <v>1318</v>
      </c>
      <c r="BF802" s="22" t="s">
        <v>1317</v>
      </c>
      <c r="BG802" s="22" t="s">
        <v>1318</v>
      </c>
      <c r="BH802" s="22" t="s">
        <v>1309</v>
      </c>
      <c r="BI802" s="22" t="s">
        <v>1309</v>
      </c>
      <c r="BJ802" s="22" t="s">
        <v>1317</v>
      </c>
      <c r="BK802" s="22" t="s">
        <v>1318</v>
      </c>
      <c r="BL802" s="22" t="s">
        <v>1317</v>
      </c>
      <c r="BM802" s="22" t="s">
        <v>1318</v>
      </c>
      <c r="BN802" s="22" t="s">
        <v>1317</v>
      </c>
      <c r="BO802" s="22" t="s">
        <v>1318</v>
      </c>
      <c r="BP802" s="22" t="s">
        <v>1317</v>
      </c>
      <c r="BQ802" s="22" t="s">
        <v>1318</v>
      </c>
      <c r="BR802" s="22" t="s">
        <v>1309</v>
      </c>
      <c r="BS802" s="22" t="s">
        <v>1309</v>
      </c>
      <c r="BT802" s="22" t="s">
        <v>1309</v>
      </c>
      <c r="BU802" s="22" t="s">
        <v>1309</v>
      </c>
      <c r="BV802" s="22" t="s">
        <v>1317</v>
      </c>
      <c r="BW802" s="22" t="s">
        <v>1318</v>
      </c>
      <c r="BX802" s="20">
        <v>0</v>
      </c>
      <c r="BY802" s="20">
        <v>29</v>
      </c>
      <c r="BZ802" s="20">
        <v>100</v>
      </c>
      <c r="CA802" s="20">
        <v>0</v>
      </c>
      <c r="CB802" s="20">
        <v>59</v>
      </c>
      <c r="CC802" s="20">
        <v>1393</v>
      </c>
      <c r="CD802" s="22" t="s">
        <v>1345</v>
      </c>
      <c r="CE802" s="22" t="s">
        <v>1331</v>
      </c>
      <c r="CF802" s="22" t="s">
        <v>1331</v>
      </c>
      <c r="CG802" s="22" t="s">
        <v>1331</v>
      </c>
      <c r="CH802" s="22" t="s">
        <v>1317</v>
      </c>
      <c r="CI802" s="22" t="s">
        <v>1318</v>
      </c>
      <c r="CJ802" s="149" t="s">
        <v>1124</v>
      </c>
      <c r="CK802" s="241" t="s">
        <v>3069</v>
      </c>
    </row>
    <row r="803" spans="1:89" ht="15" customHeight="1" x14ac:dyDescent="0.35">
      <c r="A803" s="17"/>
      <c r="B803" s="313">
        <v>52085</v>
      </c>
      <c r="C803" s="8" t="s">
        <v>527</v>
      </c>
      <c r="D803" s="18">
        <v>14</v>
      </c>
      <c r="E803" s="131" t="s">
        <v>1319</v>
      </c>
      <c r="F803" s="22" t="s">
        <v>1310</v>
      </c>
      <c r="G803" s="132" t="s">
        <v>1309</v>
      </c>
      <c r="H803" s="22" t="s">
        <v>1311</v>
      </c>
      <c r="I803" s="22" t="s">
        <v>1315</v>
      </c>
      <c r="J803" s="22" t="s">
        <v>1315</v>
      </c>
      <c r="K803" s="22" t="s">
        <v>1314</v>
      </c>
      <c r="L803" s="22" t="s">
        <v>1309</v>
      </c>
      <c r="M803" s="133" t="s">
        <v>1311</v>
      </c>
      <c r="N803" s="22" t="s">
        <v>1311</v>
      </c>
      <c r="O803" s="22" t="s">
        <v>1314</v>
      </c>
      <c r="P803" s="22" t="s">
        <v>1318</v>
      </c>
      <c r="Q803" s="20">
        <v>0</v>
      </c>
      <c r="R803" s="20">
        <v>0</v>
      </c>
      <c r="S803" s="20">
        <v>0</v>
      </c>
      <c r="T803" s="20">
        <v>0</v>
      </c>
      <c r="U803" s="20">
        <v>22.03</v>
      </c>
      <c r="V803" s="20">
        <v>22.03</v>
      </c>
      <c r="W803" s="20">
        <v>0</v>
      </c>
      <c r="X803" s="20">
        <v>0</v>
      </c>
      <c r="Y803" s="20">
        <v>0</v>
      </c>
      <c r="Z803" s="20">
        <v>0</v>
      </c>
      <c r="AA803" s="20" t="s">
        <v>1309</v>
      </c>
      <c r="AB803" s="22" t="s">
        <v>1309</v>
      </c>
      <c r="AC803" s="20">
        <v>3</v>
      </c>
      <c r="AD803" s="20">
        <v>0</v>
      </c>
      <c r="AE803" s="20">
        <v>0</v>
      </c>
      <c r="AF803" s="20">
        <v>2</v>
      </c>
      <c r="AG803" s="20">
        <v>0</v>
      </c>
      <c r="AH803" s="20">
        <v>0</v>
      </c>
      <c r="AI803" s="328">
        <v>14.750712951125971</v>
      </c>
      <c r="AJ803" s="328" t="s">
        <v>1328</v>
      </c>
      <c r="AK803" s="328" t="s">
        <v>1328</v>
      </c>
      <c r="AL803" s="22" t="s">
        <v>1329</v>
      </c>
      <c r="AM803" s="22" t="s">
        <v>1330</v>
      </c>
      <c r="AN803" s="22" t="s">
        <v>1317</v>
      </c>
      <c r="AO803" s="22" t="s">
        <v>1318</v>
      </c>
      <c r="AP803" s="22" t="s">
        <v>1318</v>
      </c>
      <c r="AQ803" s="22" t="s">
        <v>1318</v>
      </c>
      <c r="AR803" s="22" t="s">
        <v>1317</v>
      </c>
      <c r="AS803" s="22" t="s">
        <v>1318</v>
      </c>
      <c r="AT803" s="22" t="s">
        <v>1309</v>
      </c>
      <c r="AU803" s="22" t="s">
        <v>1309</v>
      </c>
      <c r="AV803" s="22" t="s">
        <v>1309</v>
      </c>
      <c r="AW803" s="22" t="s">
        <v>1309</v>
      </c>
      <c r="AX803" s="22" t="s">
        <v>1317</v>
      </c>
      <c r="AY803" s="22" t="s">
        <v>1318</v>
      </c>
      <c r="AZ803" s="22" t="s">
        <v>1309</v>
      </c>
      <c r="BA803" s="22" t="s">
        <v>1309</v>
      </c>
      <c r="BB803" s="22" t="s">
        <v>1309</v>
      </c>
      <c r="BC803" s="22" t="s">
        <v>1309</v>
      </c>
      <c r="BD803" s="22" t="s">
        <v>1317</v>
      </c>
      <c r="BE803" s="22" t="s">
        <v>1318</v>
      </c>
      <c r="BF803" s="22" t="s">
        <v>1317</v>
      </c>
      <c r="BG803" s="22" t="s">
        <v>1311</v>
      </c>
      <c r="BH803" s="22" t="s">
        <v>1309</v>
      </c>
      <c r="BI803" s="22" t="s">
        <v>1309</v>
      </c>
      <c r="BJ803" s="22" t="s">
        <v>1317</v>
      </c>
      <c r="BK803" s="22" t="s">
        <v>1318</v>
      </c>
      <c r="BL803" s="22" t="s">
        <v>1319</v>
      </c>
      <c r="BM803" s="22" t="s">
        <v>1311</v>
      </c>
      <c r="BN803" s="22" t="s">
        <v>1309</v>
      </c>
      <c r="BO803" s="22" t="s">
        <v>1309</v>
      </c>
      <c r="BP803" s="22" t="s">
        <v>1315</v>
      </c>
      <c r="BQ803" s="22" t="s">
        <v>1315</v>
      </c>
      <c r="BR803" s="22" t="s">
        <v>1309</v>
      </c>
      <c r="BS803" s="22" t="s">
        <v>1309</v>
      </c>
      <c r="BT803" s="22" t="s">
        <v>1309</v>
      </c>
      <c r="BU803" s="22" t="s">
        <v>1309</v>
      </c>
      <c r="BV803" s="22" t="s">
        <v>1309</v>
      </c>
      <c r="BW803" s="22" t="s">
        <v>1309</v>
      </c>
      <c r="BX803" s="20">
        <v>0</v>
      </c>
      <c r="BY803" s="20">
        <v>0</v>
      </c>
      <c r="BZ803" s="20">
        <v>36</v>
      </c>
      <c r="CA803" s="20">
        <v>0</v>
      </c>
      <c r="CB803" s="20">
        <v>0</v>
      </c>
      <c r="CC803" s="20">
        <v>421</v>
      </c>
      <c r="CD803" s="22" t="s">
        <v>1317</v>
      </c>
      <c r="CE803" s="22" t="s">
        <v>1331</v>
      </c>
      <c r="CF803" s="22" t="s">
        <v>1317</v>
      </c>
      <c r="CG803" s="22" t="s">
        <v>1331</v>
      </c>
      <c r="CH803" s="22" t="s">
        <v>1317</v>
      </c>
      <c r="CI803" s="22" t="s">
        <v>1318</v>
      </c>
      <c r="CJ803" s="149" t="s">
        <v>1124</v>
      </c>
      <c r="CK803" s="241" t="s">
        <v>3073</v>
      </c>
    </row>
    <row r="804" spans="1:89" ht="15" customHeight="1" x14ac:dyDescent="0.35">
      <c r="A804" s="17"/>
      <c r="B804" s="313">
        <v>9025</v>
      </c>
      <c r="C804" s="8" t="s">
        <v>1101</v>
      </c>
      <c r="D804" s="18">
        <v>1</v>
      </c>
      <c r="E804" s="131" t="s">
        <v>1319</v>
      </c>
      <c r="F804" s="22" t="s">
        <v>1310</v>
      </c>
      <c r="G804" s="132" t="s">
        <v>1309</v>
      </c>
      <c r="H804" s="22" t="s">
        <v>1311</v>
      </c>
      <c r="I804" s="22" t="s">
        <v>1327</v>
      </c>
      <c r="J804" s="22" t="s">
        <v>1327</v>
      </c>
      <c r="K804" s="22" t="s">
        <v>1309</v>
      </c>
      <c r="L804" s="22" t="s">
        <v>1309</v>
      </c>
      <c r="M804" s="133" t="s">
        <v>1311</v>
      </c>
      <c r="N804" s="22" t="s">
        <v>1311</v>
      </c>
      <c r="O804" s="22" t="s">
        <v>1314</v>
      </c>
      <c r="P804" s="22" t="s">
        <v>1318</v>
      </c>
      <c r="Q804" s="20">
        <v>0</v>
      </c>
      <c r="R804" s="20">
        <v>0</v>
      </c>
      <c r="S804" s="20">
        <v>0</v>
      </c>
      <c r="T804" s="20">
        <v>0</v>
      </c>
      <c r="U804" s="20">
        <v>0</v>
      </c>
      <c r="V804" s="20">
        <v>8.9339999999999993</v>
      </c>
      <c r="W804" s="20">
        <v>0</v>
      </c>
      <c r="X804" s="20">
        <v>0</v>
      </c>
      <c r="Y804" s="20">
        <v>0</v>
      </c>
      <c r="Z804" s="20">
        <v>0</v>
      </c>
      <c r="AA804" s="20" t="s">
        <v>1317</v>
      </c>
      <c r="AB804" s="22" t="s">
        <v>1318</v>
      </c>
      <c r="AC804" s="20">
        <v>3</v>
      </c>
      <c r="AD804" s="20">
        <v>0</v>
      </c>
      <c r="AE804" s="20">
        <v>0</v>
      </c>
      <c r="AF804" s="20">
        <v>1</v>
      </c>
      <c r="AG804" s="20">
        <v>0</v>
      </c>
      <c r="AH804" s="20">
        <v>0</v>
      </c>
      <c r="AI804" s="328">
        <v>33.579583613163202</v>
      </c>
      <c r="AJ804" s="328" t="s">
        <v>1328</v>
      </c>
      <c r="AK804" s="328" t="s">
        <v>1328</v>
      </c>
      <c r="AL804" s="22" t="s">
        <v>1329</v>
      </c>
      <c r="AM804" s="22" t="s">
        <v>1330</v>
      </c>
      <c r="AN804" s="22" t="s">
        <v>1317</v>
      </c>
      <c r="AO804" s="22" t="s">
        <v>1318</v>
      </c>
      <c r="AP804" s="22" t="s">
        <v>1318</v>
      </c>
      <c r="AQ804" s="22" t="s">
        <v>1318</v>
      </c>
      <c r="AR804" s="22" t="s">
        <v>1317</v>
      </c>
      <c r="AS804" s="22" t="s">
        <v>1318</v>
      </c>
      <c r="AT804" s="22" t="s">
        <v>1317</v>
      </c>
      <c r="AU804" s="22" t="s">
        <v>1318</v>
      </c>
      <c r="AV804" s="22" t="s">
        <v>1317</v>
      </c>
      <c r="AW804" s="22" t="s">
        <v>1318</v>
      </c>
      <c r="AX804" s="22" t="s">
        <v>1317</v>
      </c>
      <c r="AY804" s="22" t="s">
        <v>1318</v>
      </c>
      <c r="AZ804" s="22" t="s">
        <v>1309</v>
      </c>
      <c r="BA804" s="22" t="s">
        <v>1309</v>
      </c>
      <c r="BB804" s="22" t="s">
        <v>1309</v>
      </c>
      <c r="BC804" s="22" t="s">
        <v>1309</v>
      </c>
      <c r="BD804" s="22" t="s">
        <v>1317</v>
      </c>
      <c r="BE804" s="22" t="s">
        <v>1318</v>
      </c>
      <c r="BF804" s="22" t="s">
        <v>1317</v>
      </c>
      <c r="BG804" s="22" t="s">
        <v>1318</v>
      </c>
      <c r="BH804" s="22" t="s">
        <v>1309</v>
      </c>
      <c r="BI804" s="22" t="s">
        <v>1309</v>
      </c>
      <c r="BJ804" s="22" t="s">
        <v>1317</v>
      </c>
      <c r="BK804" s="22" t="s">
        <v>1318</v>
      </c>
      <c r="BL804" s="22" t="s">
        <v>1317</v>
      </c>
      <c r="BM804" s="22" t="s">
        <v>1318</v>
      </c>
      <c r="BN804" s="22" t="s">
        <v>1309</v>
      </c>
      <c r="BO804" s="22" t="s">
        <v>1309</v>
      </c>
      <c r="BP804" s="22" t="s">
        <v>1315</v>
      </c>
      <c r="BQ804" s="22" t="s">
        <v>1315</v>
      </c>
      <c r="BR804" s="22" t="s">
        <v>1317</v>
      </c>
      <c r="BS804" s="22" t="s">
        <v>1318</v>
      </c>
      <c r="BT804" s="22" t="s">
        <v>1315</v>
      </c>
      <c r="BU804" s="22" t="s">
        <v>1315</v>
      </c>
      <c r="BV804" s="22" t="s">
        <v>1309</v>
      </c>
      <c r="BW804" s="22" t="s">
        <v>1309</v>
      </c>
      <c r="BX804" s="20">
        <v>0</v>
      </c>
      <c r="BY804" s="20">
        <v>0</v>
      </c>
      <c r="BZ804" s="20">
        <v>29</v>
      </c>
      <c r="CA804" s="20">
        <v>0</v>
      </c>
      <c r="CB804" s="20">
        <v>0</v>
      </c>
      <c r="CC804" s="20">
        <v>295</v>
      </c>
      <c r="CD804" s="22" t="s">
        <v>1317</v>
      </c>
      <c r="CE804" s="22" t="s">
        <v>1318</v>
      </c>
      <c r="CF804" s="22" t="s">
        <v>1317</v>
      </c>
      <c r="CG804" s="22" t="s">
        <v>1318</v>
      </c>
      <c r="CH804" s="22" t="s">
        <v>1317</v>
      </c>
      <c r="CI804" s="22" t="s">
        <v>1318</v>
      </c>
      <c r="CJ804" s="149" t="s">
        <v>1124</v>
      </c>
      <c r="CK804" s="241" t="s">
        <v>3076</v>
      </c>
    </row>
    <row r="805" spans="1:89" ht="15" customHeight="1" x14ac:dyDescent="0.35">
      <c r="A805" s="17"/>
      <c r="B805" s="313">
        <v>22025</v>
      </c>
      <c r="C805" s="8" t="s">
        <v>157</v>
      </c>
      <c r="D805" s="18">
        <v>3</v>
      </c>
      <c r="E805" s="131"/>
      <c r="F805" s="22"/>
      <c r="G805" s="132"/>
      <c r="H805" s="22"/>
      <c r="I805" s="22"/>
      <c r="J805" s="22"/>
      <c r="K805" s="22"/>
      <c r="L805" s="22"/>
      <c r="M805" s="133"/>
      <c r="N805" s="22"/>
      <c r="O805" s="22"/>
      <c r="P805" s="22"/>
      <c r="Q805" s="20"/>
      <c r="R805" s="20"/>
      <c r="S805" s="20"/>
      <c r="T805" s="20"/>
      <c r="U805" s="20"/>
      <c r="V805" s="20"/>
      <c r="W805" s="20"/>
      <c r="X805" s="20"/>
      <c r="Y805" s="20"/>
      <c r="Z805" s="20"/>
      <c r="AA805" s="20"/>
      <c r="AB805" s="22"/>
      <c r="AC805" s="20"/>
      <c r="AD805" s="20"/>
      <c r="AE805" s="20"/>
      <c r="AF805" s="20" t="s">
        <v>1124</v>
      </c>
      <c r="AG805" s="20" t="s">
        <v>1124</v>
      </c>
      <c r="AH805" s="20" t="s">
        <v>1124</v>
      </c>
      <c r="AI805" s="328"/>
      <c r="AJ805" s="328"/>
      <c r="AK805" s="328"/>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0"/>
      <c r="BY805" s="20"/>
      <c r="BZ805" s="20"/>
      <c r="CA805" s="20"/>
      <c r="CB805" s="20"/>
      <c r="CC805" s="20"/>
      <c r="CD805" s="22"/>
      <c r="CE805" s="22"/>
      <c r="CF805" s="22"/>
      <c r="CG805" s="22"/>
      <c r="CH805" s="22"/>
      <c r="CI805" s="22"/>
      <c r="CJ805" s="149"/>
      <c r="CK805" s="241"/>
    </row>
    <row r="806" spans="1:89" ht="15" customHeight="1" x14ac:dyDescent="0.35">
      <c r="A806" s="17"/>
      <c r="B806" s="313">
        <v>14075</v>
      </c>
      <c r="C806" s="8" t="s">
        <v>73</v>
      </c>
      <c r="D806" s="18">
        <v>1</v>
      </c>
      <c r="E806" s="131"/>
      <c r="F806" s="22"/>
      <c r="G806" s="132"/>
      <c r="H806" s="22"/>
      <c r="I806" s="22"/>
      <c r="J806" s="22"/>
      <c r="K806" s="22"/>
      <c r="L806" s="22"/>
      <c r="M806" s="133"/>
      <c r="N806" s="22"/>
      <c r="O806" s="22"/>
      <c r="P806" s="22"/>
      <c r="Q806" s="20"/>
      <c r="R806" s="20"/>
      <c r="S806" s="20"/>
      <c r="T806" s="20"/>
      <c r="U806" s="20"/>
      <c r="V806" s="20"/>
      <c r="W806" s="20"/>
      <c r="X806" s="20"/>
      <c r="Y806" s="20"/>
      <c r="Z806" s="20"/>
      <c r="AA806" s="20"/>
      <c r="AB806" s="22"/>
      <c r="AC806" s="20"/>
      <c r="AD806" s="20"/>
      <c r="AE806" s="20"/>
      <c r="AF806" s="20" t="s">
        <v>1124</v>
      </c>
      <c r="AG806" s="20" t="s">
        <v>1124</v>
      </c>
      <c r="AH806" s="20" t="s">
        <v>1124</v>
      </c>
      <c r="AI806" s="328"/>
      <c r="AJ806" s="328"/>
      <c r="AK806" s="328"/>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0"/>
      <c r="BY806" s="20"/>
      <c r="BZ806" s="20"/>
      <c r="CA806" s="20"/>
      <c r="CB806" s="20"/>
      <c r="CC806" s="20"/>
      <c r="CD806" s="22"/>
      <c r="CE806" s="22"/>
      <c r="CF806" s="22"/>
      <c r="CG806" s="22"/>
      <c r="CH806" s="22"/>
      <c r="CI806" s="22"/>
      <c r="CJ806" s="149"/>
      <c r="CK806" s="241"/>
    </row>
    <row r="807" spans="1:89" ht="15" customHeight="1" x14ac:dyDescent="0.35">
      <c r="A807" s="17"/>
      <c r="B807" s="313">
        <v>93035</v>
      </c>
      <c r="C807" s="8" t="s">
        <v>963</v>
      </c>
      <c r="D807" s="18">
        <v>2</v>
      </c>
      <c r="E807" s="131" t="s">
        <v>1309</v>
      </c>
      <c r="F807" s="22" t="s">
        <v>1490</v>
      </c>
      <c r="G807" s="132" t="s">
        <v>1309</v>
      </c>
      <c r="H807" s="22" t="s">
        <v>1311</v>
      </c>
      <c r="I807" s="22" t="s">
        <v>1327</v>
      </c>
      <c r="J807" s="22" t="s">
        <v>1327</v>
      </c>
      <c r="K807" s="22" t="s">
        <v>1314</v>
      </c>
      <c r="L807" s="22" t="s">
        <v>1311</v>
      </c>
      <c r="M807" s="133" t="s">
        <v>1311</v>
      </c>
      <c r="N807" s="22" t="s">
        <v>1311</v>
      </c>
      <c r="O807" s="22" t="s">
        <v>1314</v>
      </c>
      <c r="P807" s="22" t="s">
        <v>1318</v>
      </c>
      <c r="Q807" s="20">
        <v>0</v>
      </c>
      <c r="R807" s="20">
        <v>0</v>
      </c>
      <c r="S807" s="20">
        <v>0</v>
      </c>
      <c r="T807" s="20">
        <v>0</v>
      </c>
      <c r="U807" s="20">
        <v>0</v>
      </c>
      <c r="V807" s="20">
        <v>63.53</v>
      </c>
      <c r="W807" s="20">
        <v>0</v>
      </c>
      <c r="X807" s="20">
        <v>0</v>
      </c>
      <c r="Y807" s="20">
        <v>0</v>
      </c>
      <c r="Z807" s="20">
        <v>0</v>
      </c>
      <c r="AA807" s="20" t="s">
        <v>1317</v>
      </c>
      <c r="AB807" s="22" t="s">
        <v>1311</v>
      </c>
      <c r="AC807" s="20">
        <v>3</v>
      </c>
      <c r="AD807" s="20">
        <v>15</v>
      </c>
      <c r="AE807" s="20">
        <v>7</v>
      </c>
      <c r="AF807" s="20">
        <v>2</v>
      </c>
      <c r="AG807" s="20">
        <v>2</v>
      </c>
      <c r="AH807" s="20">
        <v>10</v>
      </c>
      <c r="AI807" s="328">
        <v>4.7221784983472377</v>
      </c>
      <c r="AJ807" s="328">
        <v>9.1240875912408761</v>
      </c>
      <c r="AK807" s="328">
        <v>4.2579075425790753</v>
      </c>
      <c r="AL807" s="22" t="s">
        <v>1329</v>
      </c>
      <c r="AM807" s="22" t="s">
        <v>1330</v>
      </c>
      <c r="AN807" s="22" t="s">
        <v>1347</v>
      </c>
      <c r="AO807" s="22" t="s">
        <v>1309</v>
      </c>
      <c r="AP807" s="22" t="s">
        <v>1350</v>
      </c>
      <c r="AQ807" s="22" t="s">
        <v>1318</v>
      </c>
      <c r="AR807" s="22" t="s">
        <v>1317</v>
      </c>
      <c r="AS807" s="22" t="s">
        <v>1318</v>
      </c>
      <c r="AT807" s="22" t="s">
        <v>1317</v>
      </c>
      <c r="AU807" s="22" t="s">
        <v>1318</v>
      </c>
      <c r="AV807" s="22" t="s">
        <v>1317</v>
      </c>
      <c r="AW807" s="22" t="s">
        <v>1318</v>
      </c>
      <c r="AX807" s="22" t="s">
        <v>1317</v>
      </c>
      <c r="AY807" s="22" t="s">
        <v>1318</v>
      </c>
      <c r="AZ807" s="22" t="s">
        <v>1309</v>
      </c>
      <c r="BA807" s="22" t="s">
        <v>1309</v>
      </c>
      <c r="BB807" s="22" t="s">
        <v>1309</v>
      </c>
      <c r="BC807" s="22" t="s">
        <v>1309</v>
      </c>
      <c r="BD807" s="22" t="s">
        <v>1309</v>
      </c>
      <c r="BE807" s="22" t="s">
        <v>1309</v>
      </c>
      <c r="BF807" s="22" t="s">
        <v>1317</v>
      </c>
      <c r="BG807" s="22" t="s">
        <v>1318</v>
      </c>
      <c r="BH807" s="22" t="s">
        <v>1309</v>
      </c>
      <c r="BI807" s="22" t="s">
        <v>1309</v>
      </c>
      <c r="BJ807" s="22" t="s">
        <v>1309</v>
      </c>
      <c r="BK807" s="22" t="s">
        <v>1309</v>
      </c>
      <c r="BL807" s="22" t="s">
        <v>1317</v>
      </c>
      <c r="BM807" s="22" t="s">
        <v>1318</v>
      </c>
      <c r="BN807" s="22" t="s">
        <v>1309</v>
      </c>
      <c r="BO807" s="22" t="s">
        <v>1309</v>
      </c>
      <c r="BP807" s="22" t="s">
        <v>1317</v>
      </c>
      <c r="BQ807" s="22" t="s">
        <v>1318</v>
      </c>
      <c r="BR807" s="22" t="s">
        <v>1317</v>
      </c>
      <c r="BS807" s="22" t="s">
        <v>1318</v>
      </c>
      <c r="BT807" s="22" t="s">
        <v>1309</v>
      </c>
      <c r="BU807" s="22" t="s">
        <v>1309</v>
      </c>
      <c r="BV807" s="22" t="s">
        <v>1317</v>
      </c>
      <c r="BW807" s="22" t="s">
        <v>1318</v>
      </c>
      <c r="BX807" s="20">
        <v>0</v>
      </c>
      <c r="BY807" s="20">
        <v>3</v>
      </c>
      <c r="BZ807" s="20">
        <v>45</v>
      </c>
      <c r="CA807" s="20">
        <v>0</v>
      </c>
      <c r="CB807" s="20">
        <v>0</v>
      </c>
      <c r="CC807" s="20">
        <v>1045</v>
      </c>
      <c r="CD807" s="22" t="s">
        <v>1317</v>
      </c>
      <c r="CE807" s="22" t="s">
        <v>1318</v>
      </c>
      <c r="CF807" s="22" t="s">
        <v>1317</v>
      </c>
      <c r="CG807" s="22" t="s">
        <v>1318</v>
      </c>
      <c r="CH807" s="22" t="s">
        <v>1317</v>
      </c>
      <c r="CI807" s="22" t="s">
        <v>1318</v>
      </c>
      <c r="CJ807" s="149" t="s">
        <v>1124</v>
      </c>
      <c r="CK807" s="241" t="s">
        <v>3081</v>
      </c>
    </row>
    <row r="808" spans="1:89" ht="15" customHeight="1" x14ac:dyDescent="0.35">
      <c r="A808" s="17"/>
      <c r="B808" s="313">
        <v>29013</v>
      </c>
      <c r="C808" s="8" t="s">
        <v>202</v>
      </c>
      <c r="D808" s="18">
        <v>12</v>
      </c>
      <c r="E808" s="131" t="s">
        <v>1309</v>
      </c>
      <c r="F808" s="22" t="s">
        <v>1310</v>
      </c>
      <c r="G808" s="132" t="s">
        <v>1309</v>
      </c>
      <c r="H808" s="22" t="s">
        <v>1311</v>
      </c>
      <c r="I808" s="22" t="s">
        <v>1327</v>
      </c>
      <c r="J808" s="22" t="s">
        <v>1327</v>
      </c>
      <c r="K808" s="22" t="s">
        <v>1314</v>
      </c>
      <c r="L808" s="22" t="s">
        <v>1311</v>
      </c>
      <c r="M808" s="133" t="s">
        <v>1311</v>
      </c>
      <c r="N808" s="22" t="s">
        <v>1311</v>
      </c>
      <c r="O808" s="22" t="s">
        <v>1309</v>
      </c>
      <c r="P808" s="22" t="s">
        <v>1309</v>
      </c>
      <c r="Q808" s="20">
        <v>0</v>
      </c>
      <c r="R808" s="20">
        <v>0</v>
      </c>
      <c r="S808" s="20">
        <v>0</v>
      </c>
      <c r="T808" s="20">
        <v>0</v>
      </c>
      <c r="U808" s="20">
        <v>0</v>
      </c>
      <c r="V808" s="20">
        <v>0</v>
      </c>
      <c r="W808" s="20">
        <v>0</v>
      </c>
      <c r="X808" s="20">
        <v>0</v>
      </c>
      <c r="Y808" s="20">
        <v>0</v>
      </c>
      <c r="Z808" s="20">
        <v>0</v>
      </c>
      <c r="AA808" s="20" t="s">
        <v>1317</v>
      </c>
      <c r="AB808" s="22" t="s">
        <v>1318</v>
      </c>
      <c r="AC808" s="20">
        <v>5</v>
      </c>
      <c r="AD808" s="20">
        <v>1</v>
      </c>
      <c r="AE808" s="20">
        <v>0</v>
      </c>
      <c r="AF808" s="20">
        <v>4</v>
      </c>
      <c r="AG808" s="20">
        <v>4</v>
      </c>
      <c r="AH808" s="20">
        <v>0</v>
      </c>
      <c r="AI808" s="328">
        <v>18.684603886397607</v>
      </c>
      <c r="AJ808" s="328">
        <v>1.2886597938144331</v>
      </c>
      <c r="AK808" s="328" t="s">
        <v>1328</v>
      </c>
      <c r="AL808" s="22" t="s">
        <v>1329</v>
      </c>
      <c r="AM808" s="22" t="s">
        <v>1330</v>
      </c>
      <c r="AN808" s="22" t="s">
        <v>1317</v>
      </c>
      <c r="AO808" s="22" t="s">
        <v>1318</v>
      </c>
      <c r="AP808" s="22" t="s">
        <v>1318</v>
      </c>
      <c r="AQ808" s="22" t="s">
        <v>1318</v>
      </c>
      <c r="AR808" s="22" t="s">
        <v>1317</v>
      </c>
      <c r="AS808" s="22" t="s">
        <v>1318</v>
      </c>
      <c r="AT808" s="22" t="s">
        <v>1317</v>
      </c>
      <c r="AU808" s="22" t="s">
        <v>1318</v>
      </c>
      <c r="AV808" s="22" t="s">
        <v>1319</v>
      </c>
      <c r="AW808" s="22" t="s">
        <v>1311</v>
      </c>
      <c r="AX808" s="22" t="s">
        <v>1317</v>
      </c>
      <c r="AY808" s="22" t="s">
        <v>1318</v>
      </c>
      <c r="AZ808" s="22" t="s">
        <v>1317</v>
      </c>
      <c r="BA808" s="22" t="s">
        <v>1318</v>
      </c>
      <c r="BB808" s="22" t="s">
        <v>1309</v>
      </c>
      <c r="BC808" s="22" t="s">
        <v>1309</v>
      </c>
      <c r="BD808" s="22" t="s">
        <v>1309</v>
      </c>
      <c r="BE808" s="22" t="s">
        <v>1309</v>
      </c>
      <c r="BF808" s="22" t="s">
        <v>1309</v>
      </c>
      <c r="BG808" s="22" t="s">
        <v>1309</v>
      </c>
      <c r="BH808" s="22" t="s">
        <v>1317</v>
      </c>
      <c r="BI808" s="22" t="s">
        <v>1318</v>
      </c>
      <c r="BJ808" s="22" t="s">
        <v>1317</v>
      </c>
      <c r="BK808" s="22" t="s">
        <v>1318</v>
      </c>
      <c r="BL808" s="22" t="s">
        <v>1317</v>
      </c>
      <c r="BM808" s="22" t="s">
        <v>1318</v>
      </c>
      <c r="BN808" s="22" t="s">
        <v>1317</v>
      </c>
      <c r="BO808" s="22" t="s">
        <v>1318</v>
      </c>
      <c r="BP808" s="22" t="s">
        <v>1317</v>
      </c>
      <c r="BQ808" s="22" t="s">
        <v>1318</v>
      </c>
      <c r="BR808" s="22" t="s">
        <v>1317</v>
      </c>
      <c r="BS808" s="22" t="s">
        <v>1311</v>
      </c>
      <c r="BT808" s="22" t="s">
        <v>1315</v>
      </c>
      <c r="BU808" s="22" t="s">
        <v>1315</v>
      </c>
      <c r="BV808" s="22" t="s">
        <v>1319</v>
      </c>
      <c r="BW808" s="22" t="s">
        <v>1311</v>
      </c>
      <c r="BX808" s="20">
        <v>25</v>
      </c>
      <c r="BY808" s="20">
        <v>0</v>
      </c>
      <c r="BZ808" s="20">
        <v>5</v>
      </c>
      <c r="CA808" s="20">
        <v>741</v>
      </c>
      <c r="CB808" s="20">
        <v>0</v>
      </c>
      <c r="CC808" s="20">
        <v>0</v>
      </c>
      <c r="CD808" s="22" t="s">
        <v>1345</v>
      </c>
      <c r="CE808" s="22" t="s">
        <v>1331</v>
      </c>
      <c r="CF808" s="22" t="s">
        <v>1331</v>
      </c>
      <c r="CG808" s="22" t="s">
        <v>1331</v>
      </c>
      <c r="CH808" s="22" t="s">
        <v>1317</v>
      </c>
      <c r="CI808" s="22" t="s">
        <v>1318</v>
      </c>
      <c r="CJ808" s="149" t="s">
        <v>3085</v>
      </c>
      <c r="CK808" s="241" t="s">
        <v>1386</v>
      </c>
    </row>
    <row r="809" spans="1:89" ht="15" customHeight="1" x14ac:dyDescent="0.35">
      <c r="A809" s="17"/>
      <c r="B809" s="313">
        <v>29073</v>
      </c>
      <c r="C809" s="8" t="s">
        <v>211</v>
      </c>
      <c r="D809" s="18">
        <v>12</v>
      </c>
      <c r="E809" s="131" t="s">
        <v>1309</v>
      </c>
      <c r="F809" s="22" t="s">
        <v>1309</v>
      </c>
      <c r="G809" s="132" t="s">
        <v>1309</v>
      </c>
      <c r="H809" s="22" t="s">
        <v>1311</v>
      </c>
      <c r="I809" s="22" t="s">
        <v>1312</v>
      </c>
      <c r="J809" s="22" t="s">
        <v>1342</v>
      </c>
      <c r="K809" s="22" t="s">
        <v>1319</v>
      </c>
      <c r="L809" s="22" t="s">
        <v>1309</v>
      </c>
      <c r="M809" s="133" t="s">
        <v>1311</v>
      </c>
      <c r="N809" s="22" t="s">
        <v>1311</v>
      </c>
      <c r="O809" s="22" t="s">
        <v>1309</v>
      </c>
      <c r="P809" s="22" t="s">
        <v>1309</v>
      </c>
      <c r="Q809" s="20">
        <v>0</v>
      </c>
      <c r="R809" s="20">
        <v>0</v>
      </c>
      <c r="S809" s="20">
        <v>0</v>
      </c>
      <c r="T809" s="20">
        <v>0</v>
      </c>
      <c r="U809" s="20">
        <v>899.024</v>
      </c>
      <c r="V809" s="20">
        <v>899.024</v>
      </c>
      <c r="W809" s="20">
        <v>0</v>
      </c>
      <c r="X809" s="20">
        <v>0</v>
      </c>
      <c r="Y809" s="20">
        <v>0</v>
      </c>
      <c r="Z809" s="20">
        <v>0</v>
      </c>
      <c r="AA809" s="20" t="s">
        <v>1309</v>
      </c>
      <c r="AB809" s="22" t="s">
        <v>1309</v>
      </c>
      <c r="AC809" s="20">
        <v>27</v>
      </c>
      <c r="AD809" s="20">
        <v>8</v>
      </c>
      <c r="AE809" s="20">
        <v>5</v>
      </c>
      <c r="AF809" s="20">
        <v>2</v>
      </c>
      <c r="AG809" s="20">
        <v>5</v>
      </c>
      <c r="AH809" s="20">
        <v>15</v>
      </c>
      <c r="AI809" s="328">
        <v>12.013039754218545</v>
      </c>
      <c r="AJ809" s="328">
        <v>0.83090984628167841</v>
      </c>
      <c r="AK809" s="328">
        <v>0.51931865392604903</v>
      </c>
      <c r="AL809" s="22" t="s">
        <v>1329</v>
      </c>
      <c r="AM809" s="22" t="s">
        <v>1330</v>
      </c>
      <c r="AN809" s="22" t="s">
        <v>1317</v>
      </c>
      <c r="AO809" s="22" t="s">
        <v>1318</v>
      </c>
      <c r="AP809" s="22" t="s">
        <v>1318</v>
      </c>
      <c r="AQ809" s="22" t="s">
        <v>1318</v>
      </c>
      <c r="AR809" s="22" t="s">
        <v>1317</v>
      </c>
      <c r="AS809" s="22" t="s">
        <v>1318</v>
      </c>
      <c r="AT809" s="22" t="s">
        <v>1317</v>
      </c>
      <c r="AU809" s="22" t="s">
        <v>1318</v>
      </c>
      <c r="AV809" s="22" t="s">
        <v>1317</v>
      </c>
      <c r="AW809" s="22" t="s">
        <v>1318</v>
      </c>
      <c r="AX809" s="22" t="s">
        <v>1317</v>
      </c>
      <c r="AY809" s="22" t="s">
        <v>1318</v>
      </c>
      <c r="AZ809" s="22" t="s">
        <v>1317</v>
      </c>
      <c r="BA809" s="22" t="s">
        <v>1318</v>
      </c>
      <c r="BB809" s="22" t="s">
        <v>1317</v>
      </c>
      <c r="BC809" s="22" t="s">
        <v>1318</v>
      </c>
      <c r="BD809" s="22" t="s">
        <v>1317</v>
      </c>
      <c r="BE809" s="22" t="s">
        <v>1318</v>
      </c>
      <c r="BF809" s="22" t="s">
        <v>1317</v>
      </c>
      <c r="BG809" s="22" t="s">
        <v>1318</v>
      </c>
      <c r="BH809" s="22" t="s">
        <v>1309</v>
      </c>
      <c r="BI809" s="22" t="s">
        <v>1309</v>
      </c>
      <c r="BJ809" s="22" t="s">
        <v>1317</v>
      </c>
      <c r="BK809" s="22" t="s">
        <v>1318</v>
      </c>
      <c r="BL809" s="22" t="s">
        <v>1317</v>
      </c>
      <c r="BM809" s="22" t="s">
        <v>1318</v>
      </c>
      <c r="BN809" s="22" t="s">
        <v>1317</v>
      </c>
      <c r="BO809" s="22" t="s">
        <v>1318</v>
      </c>
      <c r="BP809" s="22" t="s">
        <v>1317</v>
      </c>
      <c r="BQ809" s="22" t="s">
        <v>1318</v>
      </c>
      <c r="BR809" s="22" t="s">
        <v>1317</v>
      </c>
      <c r="BS809" s="22" t="s">
        <v>1318</v>
      </c>
      <c r="BT809" s="22" t="s">
        <v>1317</v>
      </c>
      <c r="BU809" s="22" t="s">
        <v>1318</v>
      </c>
      <c r="BV809" s="22" t="s">
        <v>1309</v>
      </c>
      <c r="BW809" s="22" t="s">
        <v>1309</v>
      </c>
      <c r="BX809" s="20">
        <v>588</v>
      </c>
      <c r="BY809" s="20">
        <v>0</v>
      </c>
      <c r="BZ809" s="20">
        <v>48</v>
      </c>
      <c r="CA809" s="20">
        <v>0</v>
      </c>
      <c r="CB809" s="20">
        <v>111</v>
      </c>
      <c r="CC809" s="20">
        <v>8881</v>
      </c>
      <c r="CD809" s="22" t="s">
        <v>1317</v>
      </c>
      <c r="CE809" s="22" t="s">
        <v>1318</v>
      </c>
      <c r="CF809" s="22" t="s">
        <v>1317</v>
      </c>
      <c r="CG809" s="22" t="s">
        <v>1318</v>
      </c>
      <c r="CH809" s="22" t="s">
        <v>1317</v>
      </c>
      <c r="CI809" s="22" t="s">
        <v>1318</v>
      </c>
      <c r="CJ809" s="149" t="s">
        <v>3089</v>
      </c>
      <c r="CK809" s="241" t="s">
        <v>1124</v>
      </c>
    </row>
    <row r="810" spans="1:89" ht="15" customHeight="1" x14ac:dyDescent="0.35">
      <c r="A810" s="17"/>
      <c r="B810" s="313">
        <v>56010</v>
      </c>
      <c r="C810" s="8" t="s">
        <v>568</v>
      </c>
      <c r="D810" s="18">
        <v>16</v>
      </c>
      <c r="E810" s="131"/>
      <c r="F810" s="22"/>
      <c r="G810" s="132"/>
      <c r="H810" s="22"/>
      <c r="I810" s="22"/>
      <c r="J810" s="22"/>
      <c r="K810" s="22"/>
      <c r="L810" s="22"/>
      <c r="M810" s="133"/>
      <c r="N810" s="22"/>
      <c r="O810" s="22"/>
      <c r="P810" s="22"/>
      <c r="Q810" s="20"/>
      <c r="R810" s="20"/>
      <c r="S810" s="20"/>
      <c r="T810" s="20"/>
      <c r="U810" s="20"/>
      <c r="V810" s="20"/>
      <c r="W810" s="20"/>
      <c r="X810" s="20"/>
      <c r="Y810" s="20"/>
      <c r="Z810" s="20"/>
      <c r="AA810" s="20"/>
      <c r="AB810" s="22"/>
      <c r="AC810" s="20"/>
      <c r="AD810" s="20"/>
      <c r="AE810" s="20"/>
      <c r="AF810" s="20" t="s">
        <v>1124</v>
      </c>
      <c r="AG810" s="20" t="s">
        <v>1124</v>
      </c>
      <c r="AH810" s="20" t="s">
        <v>1124</v>
      </c>
      <c r="AI810" s="328"/>
      <c r="AJ810" s="328"/>
      <c r="AK810" s="328"/>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0"/>
      <c r="BY810" s="20"/>
      <c r="BZ810" s="20"/>
      <c r="CA810" s="20"/>
      <c r="CB810" s="20"/>
      <c r="CC810" s="20"/>
      <c r="CD810" s="22"/>
      <c r="CE810" s="22"/>
      <c r="CF810" s="22"/>
      <c r="CG810" s="22"/>
      <c r="CH810" s="22"/>
      <c r="CI810" s="22"/>
      <c r="CJ810" s="149"/>
      <c r="CK810" s="241"/>
    </row>
    <row r="811" spans="1:89" ht="15" customHeight="1" x14ac:dyDescent="0.35">
      <c r="A811" s="17"/>
      <c r="B811" s="313">
        <v>40032</v>
      </c>
      <c r="C811" s="8" t="s">
        <v>362</v>
      </c>
      <c r="D811" s="18">
        <v>5</v>
      </c>
      <c r="E811" s="131"/>
      <c r="F811" s="22"/>
      <c r="G811" s="132"/>
      <c r="H811" s="22"/>
      <c r="I811" s="22"/>
      <c r="J811" s="22"/>
      <c r="K811" s="22"/>
      <c r="L811" s="22"/>
      <c r="M811" s="133"/>
      <c r="N811" s="22"/>
      <c r="O811" s="22"/>
      <c r="P811" s="22"/>
      <c r="Q811" s="20"/>
      <c r="R811" s="20"/>
      <c r="S811" s="20"/>
      <c r="T811" s="20"/>
      <c r="U811" s="20"/>
      <c r="V811" s="20"/>
      <c r="W811" s="20"/>
      <c r="X811" s="20"/>
      <c r="Y811" s="20"/>
      <c r="Z811" s="20"/>
      <c r="AA811" s="20"/>
      <c r="AB811" s="22"/>
      <c r="AC811" s="20"/>
      <c r="AD811" s="20"/>
      <c r="AE811" s="20"/>
      <c r="AF811" s="20" t="s">
        <v>1124</v>
      </c>
      <c r="AG811" s="20" t="s">
        <v>1124</v>
      </c>
      <c r="AH811" s="20" t="s">
        <v>1124</v>
      </c>
      <c r="AI811" s="328"/>
      <c r="AJ811" s="328"/>
      <c r="AK811" s="328"/>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0"/>
      <c r="BY811" s="20"/>
      <c r="BZ811" s="20"/>
      <c r="CA811" s="20"/>
      <c r="CB811" s="20"/>
      <c r="CC811" s="20"/>
      <c r="CD811" s="22"/>
      <c r="CE811" s="22"/>
      <c r="CF811" s="22"/>
      <c r="CG811" s="22"/>
      <c r="CH811" s="22"/>
      <c r="CI811" s="22"/>
      <c r="CJ811" s="149"/>
      <c r="CK811" s="241"/>
    </row>
    <row r="812" spans="1:89" ht="15" customHeight="1" x14ac:dyDescent="0.35">
      <c r="A812" s="17"/>
      <c r="B812" s="313">
        <v>53085</v>
      </c>
      <c r="C812" s="8" t="s">
        <v>541</v>
      </c>
      <c r="D812" s="18">
        <v>16</v>
      </c>
      <c r="E812" s="131"/>
      <c r="F812" s="22"/>
      <c r="G812" s="132"/>
      <c r="H812" s="22"/>
      <c r="I812" s="22"/>
      <c r="J812" s="22"/>
      <c r="K812" s="22"/>
      <c r="L812" s="22"/>
      <c r="M812" s="133"/>
      <c r="N812" s="22"/>
      <c r="O812" s="22"/>
      <c r="P812" s="22"/>
      <c r="Q812" s="20"/>
      <c r="R812" s="20"/>
      <c r="S812" s="20"/>
      <c r="T812" s="20"/>
      <c r="U812" s="20"/>
      <c r="V812" s="20"/>
      <c r="W812" s="20"/>
      <c r="X812" s="20"/>
      <c r="Y812" s="20"/>
      <c r="Z812" s="20"/>
      <c r="AA812" s="20"/>
      <c r="AB812" s="22"/>
      <c r="AC812" s="20"/>
      <c r="AD812" s="20"/>
      <c r="AE812" s="20"/>
      <c r="AF812" s="20" t="s">
        <v>1124</v>
      </c>
      <c r="AG812" s="20" t="s">
        <v>1124</v>
      </c>
      <c r="AH812" s="20" t="s">
        <v>1124</v>
      </c>
      <c r="AI812" s="328"/>
      <c r="AJ812" s="328"/>
      <c r="AK812" s="328"/>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0"/>
      <c r="BY812" s="20"/>
      <c r="BZ812" s="20"/>
      <c r="CA812" s="20"/>
      <c r="CB812" s="20"/>
      <c r="CC812" s="20"/>
      <c r="CD812" s="22"/>
      <c r="CE812" s="22"/>
      <c r="CF812" s="22"/>
      <c r="CG812" s="22"/>
      <c r="CH812" s="22"/>
      <c r="CI812" s="22"/>
      <c r="CJ812" s="149"/>
      <c r="CK812" s="241"/>
    </row>
    <row r="813" spans="1:89" ht="15" customHeight="1" x14ac:dyDescent="0.35">
      <c r="A813" s="17"/>
      <c r="B813" s="313">
        <v>14045</v>
      </c>
      <c r="C813" s="8" t="s">
        <v>67</v>
      </c>
      <c r="D813" s="18">
        <v>1</v>
      </c>
      <c r="E813" s="131"/>
      <c r="F813" s="22"/>
      <c r="G813" s="132"/>
      <c r="H813" s="22"/>
      <c r="I813" s="22"/>
      <c r="J813" s="22"/>
      <c r="K813" s="22"/>
      <c r="L813" s="22"/>
      <c r="M813" s="133"/>
      <c r="N813" s="22"/>
      <c r="O813" s="22"/>
      <c r="P813" s="22"/>
      <c r="Q813" s="20"/>
      <c r="R813" s="20"/>
      <c r="S813" s="20"/>
      <c r="T813" s="20"/>
      <c r="U813" s="20"/>
      <c r="V813" s="20"/>
      <c r="W813" s="20"/>
      <c r="X813" s="20"/>
      <c r="Y813" s="20"/>
      <c r="Z813" s="20"/>
      <c r="AA813" s="20"/>
      <c r="AB813" s="22"/>
      <c r="AC813" s="20"/>
      <c r="AD813" s="20"/>
      <c r="AE813" s="20"/>
      <c r="AF813" s="20" t="s">
        <v>1124</v>
      </c>
      <c r="AG813" s="20" t="s">
        <v>1124</v>
      </c>
      <c r="AH813" s="20" t="s">
        <v>1124</v>
      </c>
      <c r="AI813" s="328"/>
      <c r="AJ813" s="328"/>
      <c r="AK813" s="328"/>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0"/>
      <c r="BY813" s="20"/>
      <c r="BZ813" s="20"/>
      <c r="CA813" s="20"/>
      <c r="CB813" s="20"/>
      <c r="CC813" s="20"/>
      <c r="CD813" s="22"/>
      <c r="CE813" s="22"/>
      <c r="CF813" s="22"/>
      <c r="CG813" s="22"/>
      <c r="CH813" s="22"/>
      <c r="CI813" s="22"/>
      <c r="CJ813" s="149"/>
      <c r="CK813" s="241"/>
    </row>
    <row r="814" spans="1:89" ht="15" customHeight="1" x14ac:dyDescent="0.35">
      <c r="A814" s="17"/>
      <c r="B814" s="313">
        <v>49048</v>
      </c>
      <c r="C814" s="8" t="s">
        <v>470</v>
      </c>
      <c r="D814" s="18">
        <v>17</v>
      </c>
      <c r="E814" s="131" t="s">
        <v>1309</v>
      </c>
      <c r="F814" s="22" t="s">
        <v>1309</v>
      </c>
      <c r="G814" s="132" t="s">
        <v>1309</v>
      </c>
      <c r="H814" s="22" t="s">
        <v>1311</v>
      </c>
      <c r="I814" s="22" t="s">
        <v>1327</v>
      </c>
      <c r="J814" s="22" t="s">
        <v>1327</v>
      </c>
      <c r="K814" s="22" t="s">
        <v>1314</v>
      </c>
      <c r="L814" s="22" t="s">
        <v>1311</v>
      </c>
      <c r="M814" s="133" t="s">
        <v>1311</v>
      </c>
      <c r="N814" s="22" t="s">
        <v>1311</v>
      </c>
      <c r="O814" s="22" t="s">
        <v>1309</v>
      </c>
      <c r="P814" s="22" t="s">
        <v>1309</v>
      </c>
      <c r="Q814" s="20">
        <v>0</v>
      </c>
      <c r="R814" s="20">
        <v>0</v>
      </c>
      <c r="S814" s="20">
        <v>35.561999999999998</v>
      </c>
      <c r="T814" s="20">
        <v>0</v>
      </c>
      <c r="U814" s="20">
        <v>0</v>
      </c>
      <c r="V814" s="20">
        <v>44.453000000000003</v>
      </c>
      <c r="W814" s="20">
        <v>0</v>
      </c>
      <c r="X814" s="20">
        <v>0</v>
      </c>
      <c r="Y814" s="20">
        <v>0</v>
      </c>
      <c r="Z814" s="20">
        <v>0</v>
      </c>
      <c r="AA814" s="20" t="s">
        <v>1315</v>
      </c>
      <c r="AB814" s="22" t="s">
        <v>1311</v>
      </c>
      <c r="AC814" s="20">
        <v>1</v>
      </c>
      <c r="AD814" s="20">
        <v>0</v>
      </c>
      <c r="AE814" s="20">
        <v>0</v>
      </c>
      <c r="AF814" s="20">
        <v>1</v>
      </c>
      <c r="AG814" s="20">
        <v>0</v>
      </c>
      <c r="AH814" s="20">
        <v>0</v>
      </c>
      <c r="AI814" s="328">
        <v>2.249566958360516</v>
      </c>
      <c r="AJ814" s="328" t="s">
        <v>1328</v>
      </c>
      <c r="AK814" s="328" t="s">
        <v>1328</v>
      </c>
      <c r="AL814" s="22" t="s">
        <v>1329</v>
      </c>
      <c r="AM814" s="22" t="s">
        <v>1330</v>
      </c>
      <c r="AN814" s="22" t="s">
        <v>1315</v>
      </c>
      <c r="AO814" s="22" t="s">
        <v>1315</v>
      </c>
      <c r="AP814" s="22" t="s">
        <v>1315</v>
      </c>
      <c r="AQ814" s="22" t="s">
        <v>1315</v>
      </c>
      <c r="AR814" s="22" t="s">
        <v>1317</v>
      </c>
      <c r="AS814" s="22" t="s">
        <v>1318</v>
      </c>
      <c r="AT814" s="22" t="s">
        <v>1317</v>
      </c>
      <c r="AU814" s="22" t="s">
        <v>1318</v>
      </c>
      <c r="AV814" s="22" t="s">
        <v>1317</v>
      </c>
      <c r="AW814" s="22" t="s">
        <v>1318</v>
      </c>
      <c r="AX814" s="22" t="s">
        <v>1317</v>
      </c>
      <c r="AY814" s="22" t="s">
        <v>1318</v>
      </c>
      <c r="AZ814" s="22" t="s">
        <v>1317</v>
      </c>
      <c r="BA814" s="22" t="s">
        <v>1318</v>
      </c>
      <c r="BB814" s="22" t="s">
        <v>1309</v>
      </c>
      <c r="BC814" s="22" t="s">
        <v>1309</v>
      </c>
      <c r="BD814" s="22" t="s">
        <v>1309</v>
      </c>
      <c r="BE814" s="22" t="s">
        <v>1309</v>
      </c>
      <c r="BF814" s="22" t="s">
        <v>1309</v>
      </c>
      <c r="BG814" s="22" t="s">
        <v>1309</v>
      </c>
      <c r="BH814" s="22" t="s">
        <v>1317</v>
      </c>
      <c r="BI814" s="22" t="s">
        <v>1318</v>
      </c>
      <c r="BJ814" s="22" t="s">
        <v>1317</v>
      </c>
      <c r="BK814" s="22" t="s">
        <v>1318</v>
      </c>
      <c r="BL814" s="22" t="s">
        <v>1317</v>
      </c>
      <c r="BM814" s="22" t="s">
        <v>1318</v>
      </c>
      <c r="BN814" s="22" t="s">
        <v>1317</v>
      </c>
      <c r="BO814" s="22" t="s">
        <v>1318</v>
      </c>
      <c r="BP814" s="22" t="s">
        <v>1309</v>
      </c>
      <c r="BQ814" s="22" t="s">
        <v>1309</v>
      </c>
      <c r="BR814" s="22" t="s">
        <v>1309</v>
      </c>
      <c r="BS814" s="22" t="s">
        <v>1309</v>
      </c>
      <c r="BT814" s="22" t="s">
        <v>1309</v>
      </c>
      <c r="BU814" s="22" t="s">
        <v>1309</v>
      </c>
      <c r="BV814" s="22" t="s">
        <v>1317</v>
      </c>
      <c r="BW814" s="22" t="s">
        <v>1318</v>
      </c>
      <c r="BX814" s="20">
        <v>180</v>
      </c>
      <c r="BY814" s="20">
        <v>0</v>
      </c>
      <c r="BZ814" s="20">
        <v>0</v>
      </c>
      <c r="CA814" s="20">
        <v>1411</v>
      </c>
      <c r="CB814" s="20">
        <v>0</v>
      </c>
      <c r="CC814" s="20">
        <v>0</v>
      </c>
      <c r="CD814" s="22" t="s">
        <v>1331</v>
      </c>
      <c r="CE814" s="22" t="s">
        <v>1331</v>
      </c>
      <c r="CF814" s="22" t="s">
        <v>1331</v>
      </c>
      <c r="CG814" s="22" t="s">
        <v>1331</v>
      </c>
      <c r="CH814" s="22" t="s">
        <v>1315</v>
      </c>
      <c r="CI814" s="22" t="s">
        <v>1315</v>
      </c>
      <c r="CJ814" s="149" t="s">
        <v>1124</v>
      </c>
      <c r="CK814" s="241" t="s">
        <v>1124</v>
      </c>
    </row>
    <row r="815" spans="1:89" ht="15" customHeight="1" x14ac:dyDescent="0.35">
      <c r="A815" s="17"/>
      <c r="B815" s="313">
        <v>19075</v>
      </c>
      <c r="C815" s="8" t="s">
        <v>131</v>
      </c>
      <c r="D815" s="18">
        <v>12</v>
      </c>
      <c r="E815" s="131" t="s">
        <v>1309</v>
      </c>
      <c r="F815" s="22" t="s">
        <v>1309</v>
      </c>
      <c r="G815" s="132" t="s">
        <v>1309</v>
      </c>
      <c r="H815" s="22" t="s">
        <v>1311</v>
      </c>
      <c r="I815" s="22" t="s">
        <v>1327</v>
      </c>
      <c r="J815" s="22" t="s">
        <v>1327</v>
      </c>
      <c r="K815" s="22" t="s">
        <v>1309</v>
      </c>
      <c r="L815" s="22" t="s">
        <v>1309</v>
      </c>
      <c r="M815" s="133" t="s">
        <v>1311</v>
      </c>
      <c r="N815" s="22" t="s">
        <v>1311</v>
      </c>
      <c r="O815" s="22" t="s">
        <v>1309</v>
      </c>
      <c r="P815" s="22" t="s">
        <v>1309</v>
      </c>
      <c r="Q815" s="20">
        <v>0</v>
      </c>
      <c r="R815" s="20">
        <v>0</v>
      </c>
      <c r="S815" s="20">
        <v>0</v>
      </c>
      <c r="T815" s="20">
        <v>0</v>
      </c>
      <c r="U815" s="20">
        <v>12.47</v>
      </c>
      <c r="V815" s="20">
        <v>12.47</v>
      </c>
      <c r="W815" s="20">
        <v>0</v>
      </c>
      <c r="X815" s="20">
        <v>0</v>
      </c>
      <c r="Y815" s="20">
        <v>0</v>
      </c>
      <c r="Z815" s="20">
        <v>0</v>
      </c>
      <c r="AA815" s="20" t="s">
        <v>1317</v>
      </c>
      <c r="AB815" s="22" t="s">
        <v>1318</v>
      </c>
      <c r="AC815" s="20">
        <v>0</v>
      </c>
      <c r="AD815" s="20">
        <v>0</v>
      </c>
      <c r="AE815" s="20">
        <v>0</v>
      </c>
      <c r="AF815" s="20">
        <v>0</v>
      </c>
      <c r="AG815" s="20">
        <v>0</v>
      </c>
      <c r="AH815" s="20">
        <v>0</v>
      </c>
      <c r="AI815" s="328" t="s">
        <v>1328</v>
      </c>
      <c r="AJ815" s="328" t="s">
        <v>1328</v>
      </c>
      <c r="AK815" s="328" t="s">
        <v>1328</v>
      </c>
      <c r="AL815" s="22" t="s">
        <v>1329</v>
      </c>
      <c r="AM815" s="22" t="s">
        <v>1330</v>
      </c>
      <c r="AN815" s="22" t="s">
        <v>1317</v>
      </c>
      <c r="AO815" s="22" t="s">
        <v>1318</v>
      </c>
      <c r="AP815" s="22" t="s">
        <v>1318</v>
      </c>
      <c r="AQ815" s="22" t="s">
        <v>1318</v>
      </c>
      <c r="AR815" s="22" t="s">
        <v>1317</v>
      </c>
      <c r="AS815" s="22" t="s">
        <v>1318</v>
      </c>
      <c r="AT815" s="22" t="s">
        <v>1317</v>
      </c>
      <c r="AU815" s="22" t="s">
        <v>1318</v>
      </c>
      <c r="AV815" s="22" t="s">
        <v>1317</v>
      </c>
      <c r="AW815" s="22" t="s">
        <v>1318</v>
      </c>
      <c r="AX815" s="22" t="s">
        <v>1317</v>
      </c>
      <c r="AY815" s="22" t="s">
        <v>1318</v>
      </c>
      <c r="AZ815" s="22" t="s">
        <v>1319</v>
      </c>
      <c r="BA815" s="22" t="s">
        <v>1311</v>
      </c>
      <c r="BB815" s="22" t="s">
        <v>1309</v>
      </c>
      <c r="BC815" s="22" t="s">
        <v>1309</v>
      </c>
      <c r="BD815" s="22" t="s">
        <v>1309</v>
      </c>
      <c r="BE815" s="22" t="s">
        <v>1309</v>
      </c>
      <c r="BF815" s="22" t="s">
        <v>1309</v>
      </c>
      <c r="BG815" s="22" t="s">
        <v>1309</v>
      </c>
      <c r="BH815" s="22" t="s">
        <v>1317</v>
      </c>
      <c r="BI815" s="22" t="s">
        <v>1318</v>
      </c>
      <c r="BJ815" s="22" t="s">
        <v>1317</v>
      </c>
      <c r="BK815" s="22" t="s">
        <v>1318</v>
      </c>
      <c r="BL815" s="22" t="s">
        <v>1309</v>
      </c>
      <c r="BM815" s="22" t="s">
        <v>1309</v>
      </c>
      <c r="BN815" s="22" t="s">
        <v>1309</v>
      </c>
      <c r="BO815" s="22" t="s">
        <v>1309</v>
      </c>
      <c r="BP815" s="22" t="s">
        <v>1317</v>
      </c>
      <c r="BQ815" s="22" t="s">
        <v>1318</v>
      </c>
      <c r="BR815" s="22" t="s">
        <v>1309</v>
      </c>
      <c r="BS815" s="22" t="s">
        <v>1309</v>
      </c>
      <c r="BT815" s="22" t="s">
        <v>1309</v>
      </c>
      <c r="BU815" s="22" t="s">
        <v>1309</v>
      </c>
      <c r="BV815" s="22" t="s">
        <v>1317</v>
      </c>
      <c r="BW815" s="22" t="s">
        <v>1318</v>
      </c>
      <c r="BX815" s="20">
        <v>26</v>
      </c>
      <c r="BY815" s="20">
        <v>0</v>
      </c>
      <c r="BZ815" s="20">
        <v>0</v>
      </c>
      <c r="CA815" s="20">
        <v>602</v>
      </c>
      <c r="CB815" s="20">
        <v>0</v>
      </c>
      <c r="CC815" s="20">
        <v>0</v>
      </c>
      <c r="CD815" s="22" t="s">
        <v>1331</v>
      </c>
      <c r="CE815" s="22" t="s">
        <v>1331</v>
      </c>
      <c r="CF815" s="22" t="s">
        <v>1317</v>
      </c>
      <c r="CG815" s="22" t="s">
        <v>1318</v>
      </c>
      <c r="CH815" s="22" t="s">
        <v>1317</v>
      </c>
      <c r="CI815" s="22" t="s">
        <v>1318</v>
      </c>
      <c r="CJ815" s="149" t="s">
        <v>1124</v>
      </c>
      <c r="CK815" s="241" t="s">
        <v>1124</v>
      </c>
    </row>
    <row r="816" spans="1:89" ht="15" customHeight="1" x14ac:dyDescent="0.35">
      <c r="A816" s="17"/>
      <c r="B816" s="313">
        <v>34060</v>
      </c>
      <c r="C816" s="8" t="s">
        <v>292</v>
      </c>
      <c r="D816" s="18">
        <v>3</v>
      </c>
      <c r="E816" s="131"/>
      <c r="F816" s="22"/>
      <c r="G816" s="132"/>
      <c r="H816" s="22"/>
      <c r="I816" s="22"/>
      <c r="J816" s="22"/>
      <c r="K816" s="22"/>
      <c r="L816" s="22"/>
      <c r="M816" s="133"/>
      <c r="N816" s="22"/>
      <c r="O816" s="22"/>
      <c r="P816" s="22"/>
      <c r="Q816" s="20"/>
      <c r="R816" s="20"/>
      <c r="S816" s="20"/>
      <c r="T816" s="20"/>
      <c r="U816" s="20"/>
      <c r="V816" s="20"/>
      <c r="W816" s="20"/>
      <c r="X816" s="20"/>
      <c r="Y816" s="20"/>
      <c r="Z816" s="20"/>
      <c r="AA816" s="20"/>
      <c r="AB816" s="22"/>
      <c r="AC816" s="20"/>
      <c r="AD816" s="20"/>
      <c r="AE816" s="20"/>
      <c r="AF816" s="20" t="s">
        <v>1124</v>
      </c>
      <c r="AG816" s="20" t="s">
        <v>1124</v>
      </c>
      <c r="AH816" s="20" t="s">
        <v>1124</v>
      </c>
      <c r="AI816" s="328"/>
      <c r="AJ816" s="328"/>
      <c r="AK816" s="328"/>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0"/>
      <c r="BY816" s="20"/>
      <c r="BZ816" s="20"/>
      <c r="CA816" s="20"/>
      <c r="CB816" s="20"/>
      <c r="CC816" s="20"/>
      <c r="CD816" s="22"/>
      <c r="CE816" s="22"/>
      <c r="CF816" s="22"/>
      <c r="CG816" s="22"/>
      <c r="CH816" s="22"/>
      <c r="CI816" s="22"/>
      <c r="CJ816" s="149"/>
      <c r="CK816" s="241"/>
    </row>
    <row r="817" spans="1:89" ht="15" customHeight="1" x14ac:dyDescent="0.35">
      <c r="A817" s="17"/>
      <c r="B817" s="313">
        <v>33035</v>
      </c>
      <c r="C817" s="8" t="s">
        <v>271</v>
      </c>
      <c r="D817" s="18">
        <v>12</v>
      </c>
      <c r="E817" s="131" t="s">
        <v>1309</v>
      </c>
      <c r="F817" s="22" t="s">
        <v>1309</v>
      </c>
      <c r="G817" s="132" t="s">
        <v>1309</v>
      </c>
      <c r="H817" s="22" t="s">
        <v>1311</v>
      </c>
      <c r="I817" s="22" t="s">
        <v>1327</v>
      </c>
      <c r="J817" s="22" t="s">
        <v>1327</v>
      </c>
      <c r="K817" s="22" t="s">
        <v>1314</v>
      </c>
      <c r="L817" s="22" t="s">
        <v>1311</v>
      </c>
      <c r="M817" s="133" t="s">
        <v>1311</v>
      </c>
      <c r="N817" s="22" t="s">
        <v>1311</v>
      </c>
      <c r="O817" s="22" t="s">
        <v>1314</v>
      </c>
      <c r="P817" s="22" t="s">
        <v>1318</v>
      </c>
      <c r="Q817" s="20">
        <v>0</v>
      </c>
      <c r="R817" s="20">
        <v>0</v>
      </c>
      <c r="S817" s="20">
        <v>0</v>
      </c>
      <c r="T817" s="20">
        <v>0</v>
      </c>
      <c r="U817" s="20">
        <v>0</v>
      </c>
      <c r="V817" s="20">
        <v>0</v>
      </c>
      <c r="W817" s="20">
        <v>0</v>
      </c>
      <c r="X817" s="20">
        <v>0</v>
      </c>
      <c r="Y817" s="20">
        <v>0</v>
      </c>
      <c r="Z817" s="20">
        <v>0</v>
      </c>
      <c r="AA817" s="20" t="s">
        <v>1317</v>
      </c>
      <c r="AB817" s="22" t="s">
        <v>1318</v>
      </c>
      <c r="AC817" s="20">
        <v>0</v>
      </c>
      <c r="AD817" s="20">
        <v>0</v>
      </c>
      <c r="AE817" s="20">
        <v>0</v>
      </c>
      <c r="AF817" s="20">
        <v>0</v>
      </c>
      <c r="AG817" s="20">
        <v>0</v>
      </c>
      <c r="AH817" s="20">
        <v>0</v>
      </c>
      <c r="AI817" s="328" t="s">
        <v>1328</v>
      </c>
      <c r="AJ817" s="328" t="s">
        <v>1328</v>
      </c>
      <c r="AK817" s="328" t="s">
        <v>1328</v>
      </c>
      <c r="AL817" s="22" t="s">
        <v>1329</v>
      </c>
      <c r="AM817" s="22" t="s">
        <v>1330</v>
      </c>
      <c r="AN817" s="22" t="s">
        <v>1317</v>
      </c>
      <c r="AO817" s="22" t="s">
        <v>1318</v>
      </c>
      <c r="AP817" s="22" t="s">
        <v>1318</v>
      </c>
      <c r="AQ817" s="22" t="s">
        <v>1318</v>
      </c>
      <c r="AR817" s="22" t="s">
        <v>1317</v>
      </c>
      <c r="AS817" s="22" t="s">
        <v>1318</v>
      </c>
      <c r="AT817" s="22" t="s">
        <v>1319</v>
      </c>
      <c r="AU817" s="22" t="s">
        <v>1311</v>
      </c>
      <c r="AV817" s="22" t="s">
        <v>1317</v>
      </c>
      <c r="AW817" s="22" t="s">
        <v>1318</v>
      </c>
      <c r="AX817" s="22" t="s">
        <v>1317</v>
      </c>
      <c r="AY817" s="22" t="s">
        <v>1318</v>
      </c>
      <c r="AZ817" s="22" t="s">
        <v>1309</v>
      </c>
      <c r="BA817" s="22" t="s">
        <v>1309</v>
      </c>
      <c r="BB817" s="22" t="s">
        <v>1309</v>
      </c>
      <c r="BC817" s="22" t="s">
        <v>1309</v>
      </c>
      <c r="BD817" s="22" t="s">
        <v>1317</v>
      </c>
      <c r="BE817" s="22" t="s">
        <v>1318</v>
      </c>
      <c r="BF817" s="22" t="s">
        <v>1317</v>
      </c>
      <c r="BG817" s="22" t="s">
        <v>1318</v>
      </c>
      <c r="BH817" s="22" t="s">
        <v>1317</v>
      </c>
      <c r="BI817" s="22" t="s">
        <v>1318</v>
      </c>
      <c r="BJ817" s="22" t="s">
        <v>1317</v>
      </c>
      <c r="BK817" s="22" t="s">
        <v>1318</v>
      </c>
      <c r="BL817" s="22" t="s">
        <v>1317</v>
      </c>
      <c r="BM817" s="22" t="s">
        <v>1318</v>
      </c>
      <c r="BN817" s="22" t="s">
        <v>1317</v>
      </c>
      <c r="BO817" s="22" t="s">
        <v>1318</v>
      </c>
      <c r="BP817" s="22" t="s">
        <v>1309</v>
      </c>
      <c r="BQ817" s="22" t="s">
        <v>1309</v>
      </c>
      <c r="BR817" s="22" t="s">
        <v>1309</v>
      </c>
      <c r="BS817" s="22" t="s">
        <v>1309</v>
      </c>
      <c r="BT817" s="22" t="s">
        <v>1309</v>
      </c>
      <c r="BU817" s="22" t="s">
        <v>1309</v>
      </c>
      <c r="BV817" s="22" t="s">
        <v>1317</v>
      </c>
      <c r="BW817" s="22" t="s">
        <v>1311</v>
      </c>
      <c r="BX817" s="20">
        <v>0</v>
      </c>
      <c r="BY817" s="20">
        <v>0</v>
      </c>
      <c r="BZ817" s="20">
        <v>32</v>
      </c>
      <c r="CA817" s="20">
        <v>0</v>
      </c>
      <c r="CB817" s="20">
        <v>0</v>
      </c>
      <c r="CC817" s="20">
        <v>653</v>
      </c>
      <c r="CD817" s="22" t="s">
        <v>1317</v>
      </c>
      <c r="CE817" s="22" t="s">
        <v>1318</v>
      </c>
      <c r="CF817" s="22" t="s">
        <v>1317</v>
      </c>
      <c r="CG817" s="22" t="s">
        <v>1318</v>
      </c>
      <c r="CH817" s="22" t="s">
        <v>1317</v>
      </c>
      <c r="CI817" s="22" t="s">
        <v>1318</v>
      </c>
      <c r="CJ817" s="149" t="s">
        <v>1124</v>
      </c>
      <c r="CK817" s="241" t="s">
        <v>3098</v>
      </c>
    </row>
    <row r="818" spans="1:89" ht="15" customHeight="1" x14ac:dyDescent="0.35">
      <c r="A818" s="17"/>
      <c r="B818" s="313">
        <v>5015</v>
      </c>
      <c r="C818" s="8" t="s">
        <v>1045</v>
      </c>
      <c r="D818" s="18">
        <v>11</v>
      </c>
      <c r="E818" s="131"/>
      <c r="F818" s="22"/>
      <c r="G818" s="132"/>
      <c r="H818" s="22"/>
      <c r="I818" s="22"/>
      <c r="J818" s="22"/>
      <c r="K818" s="22"/>
      <c r="L818" s="22"/>
      <c r="M818" s="133"/>
      <c r="N818" s="22"/>
      <c r="O818" s="22"/>
      <c r="P818" s="22"/>
      <c r="Q818" s="20"/>
      <c r="R818" s="20"/>
      <c r="S818" s="20"/>
      <c r="T818" s="20"/>
      <c r="U818" s="20"/>
      <c r="V818" s="20"/>
      <c r="W818" s="20"/>
      <c r="X818" s="20"/>
      <c r="Y818" s="20"/>
      <c r="Z818" s="20"/>
      <c r="AA818" s="20"/>
      <c r="AB818" s="22"/>
      <c r="AC818" s="20"/>
      <c r="AD818" s="20"/>
      <c r="AE818" s="20"/>
      <c r="AF818" s="20" t="s">
        <v>1124</v>
      </c>
      <c r="AG818" s="20" t="s">
        <v>1124</v>
      </c>
      <c r="AH818" s="20" t="s">
        <v>1124</v>
      </c>
      <c r="AI818" s="328"/>
      <c r="AJ818" s="328"/>
      <c r="AK818" s="328"/>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0"/>
      <c r="BY818" s="20"/>
      <c r="BZ818" s="20"/>
      <c r="CA818" s="20"/>
      <c r="CB818" s="20"/>
      <c r="CC818" s="20"/>
      <c r="CD818" s="22"/>
      <c r="CE818" s="22"/>
      <c r="CF818" s="22"/>
      <c r="CG818" s="22"/>
      <c r="CH818" s="22"/>
      <c r="CI818" s="22"/>
      <c r="CJ818" s="149"/>
      <c r="CK818" s="241"/>
    </row>
    <row r="819" spans="1:89" ht="15" customHeight="1" x14ac:dyDescent="0.35">
      <c r="A819" s="17"/>
      <c r="B819" s="313">
        <v>49113</v>
      </c>
      <c r="C819" s="8" t="s">
        <v>479</v>
      </c>
      <c r="D819" s="18">
        <v>17</v>
      </c>
      <c r="E819" s="131" t="s">
        <v>1309</v>
      </c>
      <c r="F819" s="22" t="s">
        <v>1309</v>
      </c>
      <c r="G819" s="132" t="s">
        <v>1309</v>
      </c>
      <c r="H819" s="22" t="s">
        <v>1311</v>
      </c>
      <c r="I819" s="22" t="s">
        <v>1349</v>
      </c>
      <c r="J819" s="22" t="s">
        <v>1342</v>
      </c>
      <c r="K819" s="22" t="s">
        <v>1309</v>
      </c>
      <c r="L819" s="22" t="s">
        <v>1309</v>
      </c>
      <c r="M819" s="133" t="s">
        <v>1311</v>
      </c>
      <c r="N819" s="22" t="s">
        <v>1311</v>
      </c>
      <c r="O819" s="22" t="s">
        <v>1309</v>
      </c>
      <c r="P819" s="22" t="s">
        <v>1309</v>
      </c>
      <c r="Q819" s="20">
        <v>0</v>
      </c>
      <c r="R819" s="20">
        <v>0</v>
      </c>
      <c r="S819" s="20">
        <v>0</v>
      </c>
      <c r="T819" s="20">
        <v>0</v>
      </c>
      <c r="U819" s="20">
        <v>11.071999999999999</v>
      </c>
      <c r="V819" s="20">
        <v>0</v>
      </c>
      <c r="W819" s="20">
        <v>0</v>
      </c>
      <c r="X819" s="20">
        <v>0</v>
      </c>
      <c r="Y819" s="20">
        <v>0</v>
      </c>
      <c r="Z819" s="20">
        <v>11.071999999999999</v>
      </c>
      <c r="AA819" s="20" t="s">
        <v>1309</v>
      </c>
      <c r="AB819" s="22" t="s">
        <v>1318</v>
      </c>
      <c r="AC819" s="20">
        <v>0</v>
      </c>
      <c r="AD819" s="20">
        <v>0</v>
      </c>
      <c r="AE819" s="20">
        <v>0</v>
      </c>
      <c r="AF819" s="20">
        <v>0</v>
      </c>
      <c r="AG819" s="20">
        <v>0</v>
      </c>
      <c r="AH819" s="20">
        <v>0</v>
      </c>
      <c r="AI819" s="328" t="s">
        <v>1328</v>
      </c>
      <c r="AJ819" s="328" t="s">
        <v>1328</v>
      </c>
      <c r="AK819" s="328" t="s">
        <v>1328</v>
      </c>
      <c r="AL819" s="22" t="s">
        <v>1329</v>
      </c>
      <c r="AM819" s="22" t="s">
        <v>1343</v>
      </c>
      <c r="AN819" s="22" t="s">
        <v>1317</v>
      </c>
      <c r="AO819" s="22" t="s">
        <v>1318</v>
      </c>
      <c r="AP819" s="22" t="s">
        <v>1318</v>
      </c>
      <c r="AQ819" s="22" t="s">
        <v>1318</v>
      </c>
      <c r="AR819" s="22" t="s">
        <v>1317</v>
      </c>
      <c r="AS819" s="22" t="s">
        <v>1318</v>
      </c>
      <c r="AT819" s="22" t="s">
        <v>1317</v>
      </c>
      <c r="AU819" s="22" t="s">
        <v>1318</v>
      </c>
      <c r="AV819" s="22" t="s">
        <v>1317</v>
      </c>
      <c r="AW819" s="22" t="s">
        <v>1318</v>
      </c>
      <c r="AX819" s="22" t="s">
        <v>1317</v>
      </c>
      <c r="AY819" s="22" t="s">
        <v>1318</v>
      </c>
      <c r="AZ819" s="22" t="s">
        <v>1309</v>
      </c>
      <c r="BA819" s="22" t="s">
        <v>1309</v>
      </c>
      <c r="BB819" s="22" t="s">
        <v>1309</v>
      </c>
      <c r="BC819" s="22" t="s">
        <v>1309</v>
      </c>
      <c r="BD819" s="22" t="s">
        <v>1309</v>
      </c>
      <c r="BE819" s="22" t="s">
        <v>1309</v>
      </c>
      <c r="BF819" s="22" t="s">
        <v>1309</v>
      </c>
      <c r="BG819" s="22" t="s">
        <v>1309</v>
      </c>
      <c r="BH819" s="22" t="s">
        <v>1317</v>
      </c>
      <c r="BI819" s="22" t="s">
        <v>1318</v>
      </c>
      <c r="BJ819" s="22" t="s">
        <v>1309</v>
      </c>
      <c r="BK819" s="22" t="s">
        <v>1309</v>
      </c>
      <c r="BL819" s="22" t="s">
        <v>1317</v>
      </c>
      <c r="BM819" s="22" t="s">
        <v>1318</v>
      </c>
      <c r="BN819" s="22" t="s">
        <v>1319</v>
      </c>
      <c r="BO819" s="22" t="s">
        <v>1311</v>
      </c>
      <c r="BP819" s="22" t="s">
        <v>1315</v>
      </c>
      <c r="BQ819" s="22" t="s">
        <v>1315</v>
      </c>
      <c r="BR819" s="22" t="s">
        <v>1317</v>
      </c>
      <c r="BS819" s="22" t="s">
        <v>1318</v>
      </c>
      <c r="BT819" s="22" t="s">
        <v>1317</v>
      </c>
      <c r="BU819" s="22" t="s">
        <v>1318</v>
      </c>
      <c r="BV819" s="22" t="s">
        <v>1309</v>
      </c>
      <c r="BW819" s="22" t="s">
        <v>1309</v>
      </c>
      <c r="BX819" s="20">
        <v>22</v>
      </c>
      <c r="BY819" s="20">
        <v>0</v>
      </c>
      <c r="BZ819" s="20">
        <v>1</v>
      </c>
      <c r="CA819" s="20">
        <v>428</v>
      </c>
      <c r="CB819" s="20">
        <v>0</v>
      </c>
      <c r="CC819" s="20">
        <v>0</v>
      </c>
      <c r="CD819" s="22" t="s">
        <v>1345</v>
      </c>
      <c r="CE819" s="22" t="s">
        <v>1321</v>
      </c>
      <c r="CF819" s="22" t="s">
        <v>1331</v>
      </c>
      <c r="CG819" s="22" t="s">
        <v>1331</v>
      </c>
      <c r="CH819" s="22" t="s">
        <v>1317</v>
      </c>
      <c r="CI819" s="22" t="s">
        <v>1318</v>
      </c>
      <c r="CJ819" s="149" t="s">
        <v>3104</v>
      </c>
      <c r="CK819" s="241" t="s">
        <v>3105</v>
      </c>
    </row>
    <row r="820" spans="1:89" ht="15" customHeight="1" x14ac:dyDescent="0.35">
      <c r="A820" s="17"/>
      <c r="B820" s="313">
        <v>11020</v>
      </c>
      <c r="C820" s="8" t="s">
        <v>20</v>
      </c>
      <c r="D820" s="18">
        <v>1</v>
      </c>
      <c r="E820" s="131"/>
      <c r="F820" s="22"/>
      <c r="G820" s="132"/>
      <c r="H820" s="22"/>
      <c r="I820" s="22"/>
      <c r="J820" s="22"/>
      <c r="K820" s="22"/>
      <c r="L820" s="22"/>
      <c r="M820" s="133"/>
      <c r="N820" s="22"/>
      <c r="O820" s="22"/>
      <c r="P820" s="22"/>
      <c r="Q820" s="20"/>
      <c r="R820" s="20"/>
      <c r="S820" s="20"/>
      <c r="T820" s="20"/>
      <c r="U820" s="20"/>
      <c r="V820" s="20"/>
      <c r="W820" s="20"/>
      <c r="X820" s="20"/>
      <c r="Y820" s="20"/>
      <c r="Z820" s="20"/>
      <c r="AA820" s="20"/>
      <c r="AB820" s="22"/>
      <c r="AC820" s="20"/>
      <c r="AD820" s="20"/>
      <c r="AE820" s="20"/>
      <c r="AF820" s="20" t="s">
        <v>1124</v>
      </c>
      <c r="AG820" s="20" t="s">
        <v>1124</v>
      </c>
      <c r="AH820" s="20" t="s">
        <v>1124</v>
      </c>
      <c r="AI820" s="328"/>
      <c r="AJ820" s="328"/>
      <c r="AK820" s="328"/>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0"/>
      <c r="BY820" s="20"/>
      <c r="BZ820" s="20"/>
      <c r="CA820" s="20"/>
      <c r="CB820" s="20"/>
      <c r="CC820" s="20"/>
      <c r="CD820" s="22"/>
      <c r="CE820" s="22"/>
      <c r="CF820" s="22"/>
      <c r="CG820" s="22"/>
      <c r="CH820" s="22"/>
      <c r="CI820" s="22"/>
      <c r="CJ820" s="149"/>
      <c r="CK820" s="241"/>
    </row>
    <row r="821" spans="1:89" ht="15" customHeight="1" x14ac:dyDescent="0.35">
      <c r="A821" s="17"/>
      <c r="B821" s="313">
        <v>19068</v>
      </c>
      <c r="C821" s="8" t="s">
        <v>129</v>
      </c>
      <c r="D821" s="18">
        <v>12</v>
      </c>
      <c r="E821" s="131" t="s">
        <v>1309</v>
      </c>
      <c r="F821" s="22" t="s">
        <v>1309</v>
      </c>
      <c r="G821" s="132" t="s">
        <v>1309</v>
      </c>
      <c r="H821" s="22" t="s">
        <v>1311</v>
      </c>
      <c r="I821" s="22" t="s">
        <v>1327</v>
      </c>
      <c r="J821" s="22" t="s">
        <v>1327</v>
      </c>
      <c r="K821" s="22" t="s">
        <v>1309</v>
      </c>
      <c r="L821" s="22" t="s">
        <v>1309</v>
      </c>
      <c r="M821" s="133" t="s">
        <v>1311</v>
      </c>
      <c r="N821" s="22" t="s">
        <v>1311</v>
      </c>
      <c r="O821" s="22" t="s">
        <v>1309</v>
      </c>
      <c r="P821" s="22" t="s">
        <v>1309</v>
      </c>
      <c r="Q821" s="20">
        <v>34.924999999999997</v>
      </c>
      <c r="R821" s="20">
        <v>35.15</v>
      </c>
      <c r="S821" s="20">
        <v>34.924999999999997</v>
      </c>
      <c r="T821" s="20">
        <v>35.15</v>
      </c>
      <c r="U821" s="20">
        <v>0</v>
      </c>
      <c r="V821" s="20">
        <v>0</v>
      </c>
      <c r="W821" s="20">
        <v>0</v>
      </c>
      <c r="X821" s="20">
        <v>0</v>
      </c>
      <c r="Y821" s="20">
        <v>0</v>
      </c>
      <c r="Z821" s="20">
        <v>0</v>
      </c>
      <c r="AA821" s="20" t="s">
        <v>1317</v>
      </c>
      <c r="AB821" s="22" t="s">
        <v>1318</v>
      </c>
      <c r="AC821" s="20">
        <v>5</v>
      </c>
      <c r="AD821" s="20">
        <v>0</v>
      </c>
      <c r="AE821" s="20">
        <v>0</v>
      </c>
      <c r="AF821" s="20">
        <v>1</v>
      </c>
      <c r="AG821" s="20">
        <v>0</v>
      </c>
      <c r="AH821" s="20">
        <v>0</v>
      </c>
      <c r="AI821" s="328">
        <v>14.550534004597969</v>
      </c>
      <c r="AJ821" s="328" t="s">
        <v>1328</v>
      </c>
      <c r="AK821" s="328" t="s">
        <v>1328</v>
      </c>
      <c r="AL821" s="22" t="s">
        <v>1329</v>
      </c>
      <c r="AM821" s="22" t="s">
        <v>1330</v>
      </c>
      <c r="AN821" s="22" t="s">
        <v>1317</v>
      </c>
      <c r="AO821" s="22" t="s">
        <v>1318</v>
      </c>
      <c r="AP821" s="22" t="s">
        <v>1318</v>
      </c>
      <c r="AQ821" s="22" t="s">
        <v>1318</v>
      </c>
      <c r="AR821" s="22" t="s">
        <v>1317</v>
      </c>
      <c r="AS821" s="22" t="s">
        <v>1318</v>
      </c>
      <c r="AT821" s="22" t="s">
        <v>1309</v>
      </c>
      <c r="AU821" s="22" t="s">
        <v>1311</v>
      </c>
      <c r="AV821" s="22" t="s">
        <v>1317</v>
      </c>
      <c r="AW821" s="22" t="s">
        <v>1318</v>
      </c>
      <c r="AX821" s="22" t="s">
        <v>1317</v>
      </c>
      <c r="AY821" s="22" t="s">
        <v>1318</v>
      </c>
      <c r="AZ821" s="22" t="s">
        <v>1309</v>
      </c>
      <c r="BA821" s="22" t="s">
        <v>1309</v>
      </c>
      <c r="BB821" s="22" t="s">
        <v>1309</v>
      </c>
      <c r="BC821" s="22" t="s">
        <v>1309</v>
      </c>
      <c r="BD821" s="22" t="s">
        <v>1309</v>
      </c>
      <c r="BE821" s="22" t="s">
        <v>1309</v>
      </c>
      <c r="BF821" s="22" t="s">
        <v>1309</v>
      </c>
      <c r="BG821" s="22" t="s">
        <v>1309</v>
      </c>
      <c r="BH821" s="22" t="s">
        <v>1309</v>
      </c>
      <c r="BI821" s="22" t="s">
        <v>1309</v>
      </c>
      <c r="BJ821" s="22" t="s">
        <v>1317</v>
      </c>
      <c r="BK821" s="22" t="s">
        <v>1318</v>
      </c>
      <c r="BL821" s="22" t="s">
        <v>1317</v>
      </c>
      <c r="BM821" s="22" t="s">
        <v>1318</v>
      </c>
      <c r="BN821" s="22" t="s">
        <v>1309</v>
      </c>
      <c r="BO821" s="22" t="s">
        <v>1309</v>
      </c>
      <c r="BP821" s="22" t="s">
        <v>1317</v>
      </c>
      <c r="BQ821" s="22" t="s">
        <v>1318</v>
      </c>
      <c r="BR821" s="22" t="s">
        <v>1309</v>
      </c>
      <c r="BS821" s="22" t="s">
        <v>1309</v>
      </c>
      <c r="BT821" s="22" t="s">
        <v>1309</v>
      </c>
      <c r="BU821" s="22" t="s">
        <v>1309</v>
      </c>
      <c r="BV821" s="22" t="s">
        <v>1317</v>
      </c>
      <c r="BW821" s="22" t="s">
        <v>1318</v>
      </c>
      <c r="BX821" s="20">
        <v>106</v>
      </c>
      <c r="BY821" s="20">
        <v>0</v>
      </c>
      <c r="BZ821" s="20">
        <v>0</v>
      </c>
      <c r="CA821" s="20">
        <v>1683</v>
      </c>
      <c r="CB821" s="20">
        <v>0</v>
      </c>
      <c r="CC821" s="20">
        <v>0</v>
      </c>
      <c r="CD821" s="22" t="s">
        <v>1331</v>
      </c>
      <c r="CE821" s="22" t="s">
        <v>1331</v>
      </c>
      <c r="CF821" s="22" t="s">
        <v>1331</v>
      </c>
      <c r="CG821" s="22" t="s">
        <v>1331</v>
      </c>
      <c r="CH821" s="22" t="s">
        <v>1315</v>
      </c>
      <c r="CI821" s="22" t="s">
        <v>1315</v>
      </c>
      <c r="CJ821" s="149" t="s">
        <v>1124</v>
      </c>
      <c r="CK821" s="241" t="s">
        <v>1124</v>
      </c>
    </row>
    <row r="822" spans="1:89" ht="15" customHeight="1" x14ac:dyDescent="0.35">
      <c r="A822" s="17"/>
      <c r="B822" s="313">
        <v>93070</v>
      </c>
      <c r="C822" s="8" t="s">
        <v>969</v>
      </c>
      <c r="D822" s="18">
        <v>2</v>
      </c>
      <c r="E822" s="131" t="s">
        <v>1309</v>
      </c>
      <c r="F822" s="22" t="s">
        <v>1309</v>
      </c>
      <c r="G822" s="132" t="s">
        <v>1309</v>
      </c>
      <c r="H822" s="22" t="s">
        <v>1311</v>
      </c>
      <c r="I822" s="22" t="s">
        <v>1327</v>
      </c>
      <c r="J822" s="22" t="s">
        <v>1327</v>
      </c>
      <c r="K822" s="22" t="s">
        <v>1314</v>
      </c>
      <c r="L822" s="22" t="s">
        <v>1311</v>
      </c>
      <c r="M822" s="133" t="s">
        <v>1311</v>
      </c>
      <c r="N822" s="22" t="s">
        <v>1311</v>
      </c>
      <c r="O822" s="22" t="s">
        <v>1314</v>
      </c>
      <c r="P822" s="22" t="s">
        <v>1318</v>
      </c>
      <c r="Q822" s="20">
        <v>38.542999999999999</v>
      </c>
      <c r="R822" s="20">
        <v>38.542999999999999</v>
      </c>
      <c r="S822" s="20">
        <v>0</v>
      </c>
      <c r="T822" s="20">
        <v>0</v>
      </c>
      <c r="U822" s="20">
        <v>38.542999999999999</v>
      </c>
      <c r="V822" s="20">
        <v>38.542999999999999</v>
      </c>
      <c r="W822" s="20">
        <v>0</v>
      </c>
      <c r="X822" s="20">
        <v>0</v>
      </c>
      <c r="Y822" s="20">
        <v>0</v>
      </c>
      <c r="Z822" s="20">
        <v>0</v>
      </c>
      <c r="AA822" s="20" t="s">
        <v>1309</v>
      </c>
      <c r="AB822" s="22" t="s">
        <v>1309</v>
      </c>
      <c r="AC822" s="20">
        <v>2</v>
      </c>
      <c r="AD822" s="20">
        <v>6</v>
      </c>
      <c r="AE822" s="20">
        <v>3</v>
      </c>
      <c r="AF822" s="20">
        <v>1</v>
      </c>
      <c r="AG822" s="20">
        <v>3</v>
      </c>
      <c r="AH822" s="20">
        <v>10</v>
      </c>
      <c r="AI822" s="328">
        <v>5.1890096775030488</v>
      </c>
      <c r="AJ822" s="328">
        <v>9.0634441087613293</v>
      </c>
      <c r="AK822" s="328">
        <v>4.5317220543806647</v>
      </c>
      <c r="AL822" s="22" t="s">
        <v>1329</v>
      </c>
      <c r="AM822" s="22" t="s">
        <v>1330</v>
      </c>
      <c r="AN822" s="22" t="s">
        <v>1317</v>
      </c>
      <c r="AO822" s="22" t="s">
        <v>1318</v>
      </c>
      <c r="AP822" s="22" t="s">
        <v>1318</v>
      </c>
      <c r="AQ822" s="22" t="s">
        <v>1318</v>
      </c>
      <c r="AR822" s="22" t="s">
        <v>1317</v>
      </c>
      <c r="AS822" s="22" t="s">
        <v>1318</v>
      </c>
      <c r="AT822" s="22" t="s">
        <v>1317</v>
      </c>
      <c r="AU822" s="22" t="s">
        <v>1318</v>
      </c>
      <c r="AV822" s="22" t="s">
        <v>1309</v>
      </c>
      <c r="AW822" s="22" t="s">
        <v>1309</v>
      </c>
      <c r="AX822" s="22" t="s">
        <v>1317</v>
      </c>
      <c r="AY822" s="22" t="s">
        <v>1318</v>
      </c>
      <c r="AZ822" s="22" t="s">
        <v>1309</v>
      </c>
      <c r="BA822" s="22" t="s">
        <v>1309</v>
      </c>
      <c r="BB822" s="22" t="s">
        <v>1309</v>
      </c>
      <c r="BC822" s="22" t="s">
        <v>1309</v>
      </c>
      <c r="BD822" s="22" t="s">
        <v>1317</v>
      </c>
      <c r="BE822" s="22" t="s">
        <v>1318</v>
      </c>
      <c r="BF822" s="22" t="s">
        <v>1317</v>
      </c>
      <c r="BG822" s="22" t="s">
        <v>1318</v>
      </c>
      <c r="BH822" s="22" t="s">
        <v>1309</v>
      </c>
      <c r="BI822" s="22" t="s">
        <v>1309</v>
      </c>
      <c r="BJ822" s="22" t="s">
        <v>1309</v>
      </c>
      <c r="BK822" s="22" t="s">
        <v>1309</v>
      </c>
      <c r="BL822" s="22" t="s">
        <v>1309</v>
      </c>
      <c r="BM822" s="22" t="s">
        <v>1309</v>
      </c>
      <c r="BN822" s="22" t="s">
        <v>1309</v>
      </c>
      <c r="BO822" s="22" t="s">
        <v>1309</v>
      </c>
      <c r="BP822" s="22" t="s">
        <v>1309</v>
      </c>
      <c r="BQ822" s="22" t="s">
        <v>1309</v>
      </c>
      <c r="BR822" s="22" t="s">
        <v>1317</v>
      </c>
      <c r="BS822" s="22" t="s">
        <v>1318</v>
      </c>
      <c r="BT822" s="22" t="s">
        <v>1309</v>
      </c>
      <c r="BU822" s="22" t="s">
        <v>1309</v>
      </c>
      <c r="BV822" s="22" t="s">
        <v>1317</v>
      </c>
      <c r="BW822" s="22" t="s">
        <v>1318</v>
      </c>
      <c r="BX822" s="20">
        <v>20</v>
      </c>
      <c r="BY822" s="20">
        <v>0</v>
      </c>
      <c r="BZ822" s="20">
        <v>22</v>
      </c>
      <c r="CA822" s="20">
        <v>2</v>
      </c>
      <c r="CB822" s="20">
        <v>0</v>
      </c>
      <c r="CC822" s="20">
        <v>618</v>
      </c>
      <c r="CD822" s="22" t="s">
        <v>1345</v>
      </c>
      <c r="CE822" s="22" t="s">
        <v>1321</v>
      </c>
      <c r="CF822" s="22" t="s">
        <v>1320</v>
      </c>
      <c r="CG822" s="22" t="s">
        <v>1318</v>
      </c>
      <c r="CH822" s="22" t="s">
        <v>1351</v>
      </c>
      <c r="CI822" s="22" t="s">
        <v>1352</v>
      </c>
      <c r="CJ822" s="149" t="s">
        <v>1124</v>
      </c>
      <c r="CK822" s="241" t="s">
        <v>1124</v>
      </c>
    </row>
    <row r="823" spans="1:89" ht="15" customHeight="1" x14ac:dyDescent="0.35">
      <c r="A823" s="17"/>
      <c r="B823" s="313">
        <v>44015</v>
      </c>
      <c r="C823" s="8" t="s">
        <v>401</v>
      </c>
      <c r="D823" s="18">
        <v>5</v>
      </c>
      <c r="E823" s="131" t="s">
        <v>1309</v>
      </c>
      <c r="F823" s="22" t="s">
        <v>1309</v>
      </c>
      <c r="G823" s="132" t="s">
        <v>1309</v>
      </c>
      <c r="H823" s="22" t="s">
        <v>1311</v>
      </c>
      <c r="I823" s="22" t="s">
        <v>1327</v>
      </c>
      <c r="J823" s="22" t="s">
        <v>1327</v>
      </c>
      <c r="K823" s="22" t="s">
        <v>1314</v>
      </c>
      <c r="L823" s="22" t="s">
        <v>1311</v>
      </c>
      <c r="M823" s="133" t="s">
        <v>1311</v>
      </c>
      <c r="N823" s="22" t="s">
        <v>1311</v>
      </c>
      <c r="O823" s="22" t="s">
        <v>1314</v>
      </c>
      <c r="P823" s="22" t="s">
        <v>1318</v>
      </c>
      <c r="Q823" s="20">
        <v>0</v>
      </c>
      <c r="R823" s="20">
        <v>0</v>
      </c>
      <c r="S823" s="20">
        <v>0</v>
      </c>
      <c r="T823" s="20">
        <v>0</v>
      </c>
      <c r="U823" s="20">
        <v>0</v>
      </c>
      <c r="V823" s="20">
        <v>0</v>
      </c>
      <c r="W823" s="20">
        <v>0</v>
      </c>
      <c r="X823" s="20">
        <v>0</v>
      </c>
      <c r="Y823" s="20">
        <v>0</v>
      </c>
      <c r="Z823" s="20">
        <v>0</v>
      </c>
      <c r="AA823" s="20" t="s">
        <v>1315</v>
      </c>
      <c r="AB823" s="22" t="s">
        <v>1315</v>
      </c>
      <c r="AC823" s="20">
        <v>0</v>
      </c>
      <c r="AD823" s="20">
        <v>0</v>
      </c>
      <c r="AE823" s="20">
        <v>0</v>
      </c>
      <c r="AF823" s="20">
        <v>0</v>
      </c>
      <c r="AG823" s="20">
        <v>0</v>
      </c>
      <c r="AH823" s="20">
        <v>0</v>
      </c>
      <c r="AI823" s="328" t="s">
        <v>1328</v>
      </c>
      <c r="AJ823" s="328" t="s">
        <v>1328</v>
      </c>
      <c r="AK823" s="328" t="s">
        <v>1328</v>
      </c>
      <c r="AL823" s="22" t="s">
        <v>1315</v>
      </c>
      <c r="AM823" s="22" t="s">
        <v>1315</v>
      </c>
      <c r="AN823" s="22" t="s">
        <v>1315</v>
      </c>
      <c r="AO823" s="22" t="s">
        <v>1315</v>
      </c>
      <c r="AP823" s="22" t="s">
        <v>1315</v>
      </c>
      <c r="AQ823" s="22" t="s">
        <v>1315</v>
      </c>
      <c r="AR823" s="22" t="s">
        <v>1317</v>
      </c>
      <c r="AS823" s="22" t="s">
        <v>1318</v>
      </c>
      <c r="AT823" s="22" t="s">
        <v>1309</v>
      </c>
      <c r="AU823" s="22" t="s">
        <v>1309</v>
      </c>
      <c r="AV823" s="22" t="s">
        <v>1317</v>
      </c>
      <c r="AW823" s="22" t="s">
        <v>1318</v>
      </c>
      <c r="AX823" s="22" t="s">
        <v>1317</v>
      </c>
      <c r="AY823" s="22" t="s">
        <v>1318</v>
      </c>
      <c r="AZ823" s="22" t="s">
        <v>1309</v>
      </c>
      <c r="BA823" s="22" t="s">
        <v>1309</v>
      </c>
      <c r="BB823" s="22" t="s">
        <v>1309</v>
      </c>
      <c r="BC823" s="22" t="s">
        <v>1309</v>
      </c>
      <c r="BD823" s="22" t="s">
        <v>1317</v>
      </c>
      <c r="BE823" s="22" t="s">
        <v>1318</v>
      </c>
      <c r="BF823" s="22" t="s">
        <v>1317</v>
      </c>
      <c r="BG823" s="22" t="s">
        <v>1318</v>
      </c>
      <c r="BH823" s="22" t="s">
        <v>1317</v>
      </c>
      <c r="BI823" s="22" t="s">
        <v>1318</v>
      </c>
      <c r="BJ823" s="22" t="s">
        <v>1309</v>
      </c>
      <c r="BK823" s="22" t="s">
        <v>1309</v>
      </c>
      <c r="BL823" s="22" t="s">
        <v>1317</v>
      </c>
      <c r="BM823" s="22" t="s">
        <v>1318</v>
      </c>
      <c r="BN823" s="22" t="s">
        <v>1309</v>
      </c>
      <c r="BO823" s="22" t="s">
        <v>1309</v>
      </c>
      <c r="BP823" s="22" t="s">
        <v>1317</v>
      </c>
      <c r="BQ823" s="22" t="s">
        <v>1318</v>
      </c>
      <c r="BR823" s="22" t="s">
        <v>1317</v>
      </c>
      <c r="BS823" s="22" t="s">
        <v>1318</v>
      </c>
      <c r="BT823" s="22" t="s">
        <v>1317</v>
      </c>
      <c r="BU823" s="22" t="s">
        <v>1318</v>
      </c>
      <c r="BV823" s="22" t="s">
        <v>1317</v>
      </c>
      <c r="BW823" s="22" t="s">
        <v>1311</v>
      </c>
      <c r="BX823" s="20">
        <v>0</v>
      </c>
      <c r="BY823" s="20">
        <v>5</v>
      </c>
      <c r="BZ823" s="20">
        <v>1</v>
      </c>
      <c r="CA823" s="20">
        <v>0</v>
      </c>
      <c r="CB823" s="20">
        <v>0</v>
      </c>
      <c r="CC823" s="20">
        <v>27</v>
      </c>
      <c r="CD823" s="22" t="s">
        <v>1345</v>
      </c>
      <c r="CE823" s="22" t="s">
        <v>1344</v>
      </c>
      <c r="CF823" s="22" t="s">
        <v>1317</v>
      </c>
      <c r="CG823" s="22" t="s">
        <v>1318</v>
      </c>
      <c r="CH823" s="22" t="s">
        <v>1317</v>
      </c>
      <c r="CI823" s="22" t="s">
        <v>1318</v>
      </c>
      <c r="CJ823" s="149" t="s">
        <v>1124</v>
      </c>
      <c r="CK823" s="241" t="s">
        <v>2517</v>
      </c>
    </row>
    <row r="824" spans="1:89" ht="15" customHeight="1" x14ac:dyDescent="0.35">
      <c r="A824" s="17"/>
      <c r="B824" s="313">
        <v>29020</v>
      </c>
      <c r="C824" s="8" t="s">
        <v>203</v>
      </c>
      <c r="D824" s="18">
        <v>12</v>
      </c>
      <c r="E824" s="131"/>
      <c r="F824" s="22"/>
      <c r="G824" s="132"/>
      <c r="H824" s="22"/>
      <c r="I824" s="22"/>
      <c r="J824" s="22"/>
      <c r="K824" s="22"/>
      <c r="L824" s="22"/>
      <c r="M824" s="133"/>
      <c r="N824" s="22"/>
      <c r="O824" s="22"/>
      <c r="P824" s="22"/>
      <c r="Q824" s="20"/>
      <c r="R824" s="20"/>
      <c r="S824" s="20"/>
      <c r="T824" s="20"/>
      <c r="U824" s="20"/>
      <c r="V824" s="20"/>
      <c r="W824" s="20"/>
      <c r="X824" s="20"/>
      <c r="Y824" s="20"/>
      <c r="Z824" s="20"/>
      <c r="AA824" s="20"/>
      <c r="AB824" s="22"/>
      <c r="AC824" s="20"/>
      <c r="AD824" s="20"/>
      <c r="AE824" s="20"/>
      <c r="AF824" s="20" t="s">
        <v>1124</v>
      </c>
      <c r="AG824" s="20" t="s">
        <v>1124</v>
      </c>
      <c r="AH824" s="20" t="s">
        <v>1124</v>
      </c>
      <c r="AI824" s="328"/>
      <c r="AJ824" s="328"/>
      <c r="AK824" s="328"/>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0"/>
      <c r="BY824" s="20"/>
      <c r="BZ824" s="20"/>
      <c r="CA824" s="20"/>
      <c r="CB824" s="20"/>
      <c r="CC824" s="20"/>
      <c r="CD824" s="22"/>
      <c r="CE824" s="22"/>
      <c r="CF824" s="22"/>
      <c r="CG824" s="22"/>
      <c r="CH824" s="22"/>
      <c r="CI824" s="22"/>
      <c r="CJ824" s="149"/>
      <c r="CK824" s="241"/>
    </row>
    <row r="825" spans="1:89" ht="15" customHeight="1" x14ac:dyDescent="0.35">
      <c r="A825" s="17"/>
      <c r="B825" s="313">
        <v>16050</v>
      </c>
      <c r="C825" s="8" t="s">
        <v>88</v>
      </c>
      <c r="D825" s="18">
        <v>3</v>
      </c>
      <c r="E825" s="131" t="s">
        <v>1309</v>
      </c>
      <c r="F825" s="22" t="s">
        <v>1309</v>
      </c>
      <c r="G825" s="132" t="s">
        <v>1309</v>
      </c>
      <c r="H825" s="22" t="s">
        <v>1311</v>
      </c>
      <c r="I825" s="22" t="s">
        <v>1327</v>
      </c>
      <c r="J825" s="22" t="s">
        <v>1327</v>
      </c>
      <c r="K825" s="22" t="s">
        <v>1314</v>
      </c>
      <c r="L825" s="22" t="s">
        <v>1311</v>
      </c>
      <c r="M825" s="133" t="s">
        <v>1311</v>
      </c>
      <c r="N825" s="22" t="s">
        <v>1311</v>
      </c>
      <c r="O825" s="22" t="s">
        <v>1314</v>
      </c>
      <c r="P825" s="22" t="s">
        <v>1318</v>
      </c>
      <c r="Q825" s="20">
        <v>0</v>
      </c>
      <c r="R825" s="20">
        <v>0</v>
      </c>
      <c r="S825" s="20">
        <v>0</v>
      </c>
      <c r="T825" s="20">
        <v>0</v>
      </c>
      <c r="U825" s="20">
        <v>5.9249999999999998</v>
      </c>
      <c r="V825" s="20">
        <v>5.9249999999999998</v>
      </c>
      <c r="W825" s="20">
        <v>0</v>
      </c>
      <c r="X825" s="20">
        <v>0</v>
      </c>
      <c r="Y825" s="20">
        <v>0</v>
      </c>
      <c r="Z825" s="20">
        <v>0</v>
      </c>
      <c r="AA825" s="20" t="s">
        <v>1309</v>
      </c>
      <c r="AB825" s="22" t="s">
        <v>1309</v>
      </c>
      <c r="AC825" s="20">
        <v>0</v>
      </c>
      <c r="AD825" s="20">
        <v>1</v>
      </c>
      <c r="AE825" s="20">
        <v>0</v>
      </c>
      <c r="AF825" s="20">
        <v>0</v>
      </c>
      <c r="AG825" s="20">
        <v>5</v>
      </c>
      <c r="AH825" s="20">
        <v>0</v>
      </c>
      <c r="AI825" s="328" t="s">
        <v>1328</v>
      </c>
      <c r="AJ825" s="328">
        <v>4.1152263374485596</v>
      </c>
      <c r="AK825" s="328" t="s">
        <v>1328</v>
      </c>
      <c r="AL825" s="22" t="s">
        <v>1329</v>
      </c>
      <c r="AM825" s="22" t="s">
        <v>1330</v>
      </c>
      <c r="AN825" s="22" t="s">
        <v>1317</v>
      </c>
      <c r="AO825" s="22" t="s">
        <v>1318</v>
      </c>
      <c r="AP825" s="22" t="s">
        <v>1318</v>
      </c>
      <c r="AQ825" s="22" t="s">
        <v>1318</v>
      </c>
      <c r="AR825" s="22" t="s">
        <v>1317</v>
      </c>
      <c r="AS825" s="22" t="s">
        <v>1318</v>
      </c>
      <c r="AT825" s="22" t="s">
        <v>1317</v>
      </c>
      <c r="AU825" s="22" t="s">
        <v>1318</v>
      </c>
      <c r="AV825" s="22" t="s">
        <v>1317</v>
      </c>
      <c r="AW825" s="22" t="s">
        <v>1318</v>
      </c>
      <c r="AX825" s="22" t="s">
        <v>1317</v>
      </c>
      <c r="AY825" s="22" t="s">
        <v>1318</v>
      </c>
      <c r="AZ825" s="22" t="s">
        <v>1319</v>
      </c>
      <c r="BA825" s="22" t="s">
        <v>1311</v>
      </c>
      <c r="BB825" s="22" t="s">
        <v>1309</v>
      </c>
      <c r="BC825" s="22" t="s">
        <v>1311</v>
      </c>
      <c r="BD825" s="22" t="s">
        <v>1319</v>
      </c>
      <c r="BE825" s="22" t="s">
        <v>1311</v>
      </c>
      <c r="BF825" s="22" t="s">
        <v>1317</v>
      </c>
      <c r="BG825" s="22" t="s">
        <v>1318</v>
      </c>
      <c r="BH825" s="22" t="s">
        <v>1317</v>
      </c>
      <c r="BI825" s="22" t="s">
        <v>1318</v>
      </c>
      <c r="BJ825" s="22" t="s">
        <v>1309</v>
      </c>
      <c r="BK825" s="22" t="s">
        <v>1311</v>
      </c>
      <c r="BL825" s="22" t="s">
        <v>1319</v>
      </c>
      <c r="BM825" s="22" t="s">
        <v>1311</v>
      </c>
      <c r="BN825" s="22" t="s">
        <v>1317</v>
      </c>
      <c r="BO825" s="22" t="s">
        <v>1318</v>
      </c>
      <c r="BP825" s="22" t="s">
        <v>1317</v>
      </c>
      <c r="BQ825" s="22" t="s">
        <v>1318</v>
      </c>
      <c r="BR825" s="22" t="s">
        <v>1309</v>
      </c>
      <c r="BS825" s="22" t="s">
        <v>1311</v>
      </c>
      <c r="BT825" s="22" t="s">
        <v>1319</v>
      </c>
      <c r="BU825" s="22" t="s">
        <v>1311</v>
      </c>
      <c r="BV825" s="22" t="s">
        <v>1319</v>
      </c>
      <c r="BW825" s="22" t="s">
        <v>1311</v>
      </c>
      <c r="BX825" s="20">
        <v>0</v>
      </c>
      <c r="BY825" s="20">
        <v>0</v>
      </c>
      <c r="BZ825" s="20">
        <v>43</v>
      </c>
      <c r="CA825" s="20">
        <v>0</v>
      </c>
      <c r="CB825" s="20">
        <v>0</v>
      </c>
      <c r="CC825" s="20">
        <v>201</v>
      </c>
      <c r="CD825" s="22" t="s">
        <v>1317</v>
      </c>
      <c r="CE825" s="22" t="s">
        <v>1318</v>
      </c>
      <c r="CF825" s="22" t="s">
        <v>1317</v>
      </c>
      <c r="CG825" s="22" t="s">
        <v>1318</v>
      </c>
      <c r="CH825" s="22" t="s">
        <v>1317</v>
      </c>
      <c r="CI825" s="22" t="s">
        <v>1318</v>
      </c>
      <c r="CJ825" s="149" t="s">
        <v>1124</v>
      </c>
      <c r="CK825" s="241" t="s">
        <v>3117</v>
      </c>
    </row>
    <row r="826" spans="1:89" ht="15" customHeight="1" x14ac:dyDescent="0.35">
      <c r="A826" s="17"/>
      <c r="B826" s="313">
        <v>75045</v>
      </c>
      <c r="C826" s="8" t="s">
        <v>746</v>
      </c>
      <c r="D826" s="18">
        <v>15</v>
      </c>
      <c r="E826" s="131" t="s">
        <v>1309</v>
      </c>
      <c r="F826" s="22" t="s">
        <v>1309</v>
      </c>
      <c r="G826" s="132" t="s">
        <v>1309</v>
      </c>
      <c r="H826" s="22" t="s">
        <v>1311</v>
      </c>
      <c r="I826" s="22" t="s">
        <v>1327</v>
      </c>
      <c r="J826" s="22" t="s">
        <v>1327</v>
      </c>
      <c r="K826" s="22" t="s">
        <v>1309</v>
      </c>
      <c r="L826" s="22" t="s">
        <v>1309</v>
      </c>
      <c r="M826" s="133" t="s">
        <v>1311</v>
      </c>
      <c r="N826" s="22" t="s">
        <v>1311</v>
      </c>
      <c r="O826" s="22" t="s">
        <v>1315</v>
      </c>
      <c r="P826" s="22" t="s">
        <v>1318</v>
      </c>
      <c r="Q826" s="20">
        <v>3.8149999999999999</v>
      </c>
      <c r="R826" s="20">
        <v>3.8149999999999999</v>
      </c>
      <c r="S826" s="20">
        <v>0</v>
      </c>
      <c r="T826" s="20">
        <v>0</v>
      </c>
      <c r="U826" s="20">
        <v>3.8149999999999999</v>
      </c>
      <c r="V826" s="20">
        <v>3.8149999999999999</v>
      </c>
      <c r="W826" s="20">
        <v>0</v>
      </c>
      <c r="X826" s="20">
        <v>0</v>
      </c>
      <c r="Y826" s="20">
        <v>0</v>
      </c>
      <c r="Z826" s="20">
        <v>0</v>
      </c>
      <c r="AA826" s="20" t="s">
        <v>1309</v>
      </c>
      <c r="AB826" s="22" t="s">
        <v>1309</v>
      </c>
      <c r="AC826" s="20">
        <v>1</v>
      </c>
      <c r="AD826" s="20">
        <v>0</v>
      </c>
      <c r="AE826" s="20">
        <v>0</v>
      </c>
      <c r="AF826" s="20">
        <v>2</v>
      </c>
      <c r="AG826" s="20">
        <v>0</v>
      </c>
      <c r="AH826" s="20">
        <v>0</v>
      </c>
      <c r="AI826" s="328">
        <v>26.212319790301443</v>
      </c>
      <c r="AJ826" s="328" t="s">
        <v>1328</v>
      </c>
      <c r="AK826" s="328" t="s">
        <v>1328</v>
      </c>
      <c r="AL826" s="22" t="s">
        <v>1329</v>
      </c>
      <c r="AM826" s="22" t="s">
        <v>1316</v>
      </c>
      <c r="AN826" s="22" t="s">
        <v>1315</v>
      </c>
      <c r="AO826" s="22" t="s">
        <v>1315</v>
      </c>
      <c r="AP826" s="22" t="s">
        <v>1315</v>
      </c>
      <c r="AQ826" s="22" t="s">
        <v>1315</v>
      </c>
      <c r="AR826" s="22" t="s">
        <v>1317</v>
      </c>
      <c r="AS826" s="22" t="s">
        <v>1318</v>
      </c>
      <c r="AT826" s="22" t="s">
        <v>1317</v>
      </c>
      <c r="AU826" s="22" t="s">
        <v>1311</v>
      </c>
      <c r="AV826" s="22" t="s">
        <v>1317</v>
      </c>
      <c r="AW826" s="22" t="s">
        <v>1318</v>
      </c>
      <c r="AX826" s="22" t="s">
        <v>1317</v>
      </c>
      <c r="AY826" s="22" t="s">
        <v>1318</v>
      </c>
      <c r="AZ826" s="22" t="s">
        <v>1317</v>
      </c>
      <c r="BA826" s="22" t="s">
        <v>1318</v>
      </c>
      <c r="BB826" s="22" t="s">
        <v>1309</v>
      </c>
      <c r="BC826" s="22" t="s">
        <v>1309</v>
      </c>
      <c r="BD826" s="22" t="s">
        <v>1317</v>
      </c>
      <c r="BE826" s="22" t="s">
        <v>1318</v>
      </c>
      <c r="BF826" s="22" t="s">
        <v>1319</v>
      </c>
      <c r="BG826" s="22" t="s">
        <v>1311</v>
      </c>
      <c r="BH826" s="22" t="s">
        <v>1309</v>
      </c>
      <c r="BI826" s="22" t="s">
        <v>1309</v>
      </c>
      <c r="BJ826" s="22" t="s">
        <v>1317</v>
      </c>
      <c r="BK826" s="22" t="s">
        <v>1318</v>
      </c>
      <c r="BL826" s="22" t="s">
        <v>1317</v>
      </c>
      <c r="BM826" s="22" t="s">
        <v>1318</v>
      </c>
      <c r="BN826" s="22" t="s">
        <v>1309</v>
      </c>
      <c r="BO826" s="22" t="s">
        <v>1309</v>
      </c>
      <c r="BP826" s="22" t="s">
        <v>1315</v>
      </c>
      <c r="BQ826" s="22" t="s">
        <v>1315</v>
      </c>
      <c r="BR826" s="22" t="s">
        <v>1317</v>
      </c>
      <c r="BS826" s="22" t="s">
        <v>1311</v>
      </c>
      <c r="BT826" s="22" t="s">
        <v>1317</v>
      </c>
      <c r="BU826" s="22" t="s">
        <v>1311</v>
      </c>
      <c r="BV826" s="22" t="s">
        <v>1317</v>
      </c>
      <c r="BW826" s="22" t="s">
        <v>1318</v>
      </c>
      <c r="BX826" s="20">
        <v>0</v>
      </c>
      <c r="BY826" s="20">
        <v>6</v>
      </c>
      <c r="BZ826" s="20">
        <v>8</v>
      </c>
      <c r="CA826" s="20">
        <v>0</v>
      </c>
      <c r="CB826" s="20">
        <v>0</v>
      </c>
      <c r="CC826" s="20">
        <v>69</v>
      </c>
      <c r="CD826" s="22" t="s">
        <v>1320</v>
      </c>
      <c r="CE826" s="22" t="s">
        <v>1321</v>
      </c>
      <c r="CF826" s="22" t="s">
        <v>1320</v>
      </c>
      <c r="CG826" s="22" t="s">
        <v>1321</v>
      </c>
      <c r="CH826" s="22" t="s">
        <v>1315</v>
      </c>
      <c r="CI826" s="22" t="s">
        <v>1315</v>
      </c>
      <c r="CJ826" s="149" t="s">
        <v>3121</v>
      </c>
      <c r="CK826" s="241" t="s">
        <v>3122</v>
      </c>
    </row>
    <row r="827" spans="1:89" ht="15" customHeight="1" x14ac:dyDescent="0.35">
      <c r="A827" s="17"/>
      <c r="B827" s="313">
        <v>94240</v>
      </c>
      <c r="C827" s="8" t="s">
        <v>980</v>
      </c>
      <c r="D827" s="18">
        <v>2</v>
      </c>
      <c r="E827" s="131" t="s">
        <v>1309</v>
      </c>
      <c r="F827" s="22" t="s">
        <v>1309</v>
      </c>
      <c r="G827" s="132" t="s">
        <v>1309</v>
      </c>
      <c r="H827" s="22" t="s">
        <v>1311</v>
      </c>
      <c r="I827" s="22" t="s">
        <v>1315</v>
      </c>
      <c r="J827" s="22" t="s">
        <v>1315</v>
      </c>
      <c r="K827" s="22" t="s">
        <v>1309</v>
      </c>
      <c r="L827" s="22" t="s">
        <v>1309</v>
      </c>
      <c r="M827" s="133" t="s">
        <v>1311</v>
      </c>
      <c r="N827" s="22" t="s">
        <v>1311</v>
      </c>
      <c r="O827" s="22" t="s">
        <v>1314</v>
      </c>
      <c r="P827" s="22" t="s">
        <v>1318</v>
      </c>
      <c r="Q827" s="20">
        <v>104.33499999999999</v>
      </c>
      <c r="R827" s="20">
        <v>104.33499999999999</v>
      </c>
      <c r="S827" s="20">
        <v>0</v>
      </c>
      <c r="T827" s="20">
        <v>0</v>
      </c>
      <c r="U827" s="20">
        <v>104.33499999999999</v>
      </c>
      <c r="V827" s="20">
        <v>104.33499999999999</v>
      </c>
      <c r="W827" s="20">
        <v>0</v>
      </c>
      <c r="X827" s="20">
        <v>0</v>
      </c>
      <c r="Y827" s="20">
        <v>0</v>
      </c>
      <c r="Z827" s="20">
        <v>0</v>
      </c>
      <c r="AA827" s="20" t="s">
        <v>1309</v>
      </c>
      <c r="AB827" s="22" t="s">
        <v>1311</v>
      </c>
      <c r="AC827" s="20">
        <v>6</v>
      </c>
      <c r="AD827" s="20">
        <v>5</v>
      </c>
      <c r="AE827" s="20">
        <v>4</v>
      </c>
      <c r="AF827" s="20">
        <v>2</v>
      </c>
      <c r="AG827" s="20">
        <v>2</v>
      </c>
      <c r="AH827" s="20">
        <v>10</v>
      </c>
      <c r="AI827" s="328">
        <v>5.7506820548528808</v>
      </c>
      <c r="AJ827" s="328">
        <v>1.926040061633282</v>
      </c>
      <c r="AK827" s="328">
        <v>1.5408320493066257</v>
      </c>
      <c r="AL827" s="22" t="s">
        <v>1338</v>
      </c>
      <c r="AM827" s="22" t="s">
        <v>1330</v>
      </c>
      <c r="AN827" s="22" t="s">
        <v>1317</v>
      </c>
      <c r="AO827" s="22" t="s">
        <v>1318</v>
      </c>
      <c r="AP827" s="22" t="s">
        <v>1318</v>
      </c>
      <c r="AQ827" s="22" t="s">
        <v>1318</v>
      </c>
      <c r="AR827" s="22" t="s">
        <v>1317</v>
      </c>
      <c r="AS827" s="22" t="s">
        <v>1318</v>
      </c>
      <c r="AT827" s="22" t="s">
        <v>1309</v>
      </c>
      <c r="AU827" s="22" t="s">
        <v>1309</v>
      </c>
      <c r="AV827" s="22" t="s">
        <v>1317</v>
      </c>
      <c r="AW827" s="22" t="s">
        <v>1318</v>
      </c>
      <c r="AX827" s="22" t="s">
        <v>1317</v>
      </c>
      <c r="AY827" s="22" t="s">
        <v>1318</v>
      </c>
      <c r="AZ827" s="22" t="s">
        <v>1309</v>
      </c>
      <c r="BA827" s="22" t="s">
        <v>1309</v>
      </c>
      <c r="BB827" s="22" t="s">
        <v>1309</v>
      </c>
      <c r="BC827" s="22" t="s">
        <v>1309</v>
      </c>
      <c r="BD827" s="22" t="s">
        <v>1317</v>
      </c>
      <c r="BE827" s="22" t="s">
        <v>1318</v>
      </c>
      <c r="BF827" s="22" t="s">
        <v>1317</v>
      </c>
      <c r="BG827" s="22" t="s">
        <v>1318</v>
      </c>
      <c r="BH827" s="22" t="s">
        <v>1317</v>
      </c>
      <c r="BI827" s="22" t="s">
        <v>1318</v>
      </c>
      <c r="BJ827" s="22" t="s">
        <v>1309</v>
      </c>
      <c r="BK827" s="22" t="s">
        <v>1309</v>
      </c>
      <c r="BL827" s="22" t="s">
        <v>1317</v>
      </c>
      <c r="BM827" s="22" t="s">
        <v>1318</v>
      </c>
      <c r="BN827" s="22" t="s">
        <v>1309</v>
      </c>
      <c r="BO827" s="22" t="s">
        <v>1309</v>
      </c>
      <c r="BP827" s="22" t="s">
        <v>1309</v>
      </c>
      <c r="BQ827" s="22" t="s">
        <v>1309</v>
      </c>
      <c r="BR827" s="22" t="s">
        <v>1309</v>
      </c>
      <c r="BS827" s="22" t="s">
        <v>1309</v>
      </c>
      <c r="BT827" s="22" t="s">
        <v>1309</v>
      </c>
      <c r="BU827" s="22" t="s">
        <v>1309</v>
      </c>
      <c r="BV827" s="22" t="s">
        <v>1317</v>
      </c>
      <c r="BW827" s="22" t="s">
        <v>1318</v>
      </c>
      <c r="BX827" s="20">
        <v>7</v>
      </c>
      <c r="BY827" s="20">
        <v>0</v>
      </c>
      <c r="BZ827" s="20">
        <v>119</v>
      </c>
      <c r="CA827" s="20">
        <v>0</v>
      </c>
      <c r="CB827" s="20">
        <v>0</v>
      </c>
      <c r="CC827" s="20">
        <v>2470</v>
      </c>
      <c r="CD827" s="22" t="s">
        <v>1317</v>
      </c>
      <c r="CE827" s="22" t="s">
        <v>1318</v>
      </c>
      <c r="CF827" s="22" t="s">
        <v>1317</v>
      </c>
      <c r="CG827" s="22" t="s">
        <v>1318</v>
      </c>
      <c r="CH827" s="22" t="s">
        <v>1317</v>
      </c>
      <c r="CI827" s="22" t="s">
        <v>1318</v>
      </c>
      <c r="CJ827" s="149" t="s">
        <v>1124</v>
      </c>
      <c r="CK827" s="241" t="s">
        <v>1124</v>
      </c>
    </row>
    <row r="828" spans="1:89" ht="15" customHeight="1" x14ac:dyDescent="0.35">
      <c r="A828" s="17"/>
      <c r="B828" s="313">
        <v>29038</v>
      </c>
      <c r="C828" s="8" t="s">
        <v>206</v>
      </c>
      <c r="D828" s="18">
        <v>12</v>
      </c>
      <c r="E828" s="131" t="s">
        <v>1309</v>
      </c>
      <c r="F828" s="22" t="s">
        <v>1309</v>
      </c>
      <c r="G828" s="132" t="s">
        <v>1309</v>
      </c>
      <c r="H828" s="22" t="s">
        <v>1311</v>
      </c>
      <c r="I828" s="22" t="s">
        <v>1351</v>
      </c>
      <c r="J828" s="22" t="s">
        <v>1342</v>
      </c>
      <c r="K828" s="22" t="s">
        <v>1314</v>
      </c>
      <c r="L828" s="22" t="s">
        <v>1311</v>
      </c>
      <c r="M828" s="133" t="s">
        <v>1311</v>
      </c>
      <c r="N828" s="22" t="s">
        <v>1311</v>
      </c>
      <c r="O828" s="22" t="s">
        <v>1319</v>
      </c>
      <c r="P828" s="22" t="s">
        <v>1311</v>
      </c>
      <c r="Q828" s="20">
        <v>11.734999999999999</v>
      </c>
      <c r="R828" s="20">
        <v>11.734999999999999</v>
      </c>
      <c r="S828" s="20">
        <v>0</v>
      </c>
      <c r="T828" s="20">
        <v>0</v>
      </c>
      <c r="U828" s="20">
        <v>0</v>
      </c>
      <c r="V828" s="20">
        <v>0</v>
      </c>
      <c r="W828" s="20">
        <v>0</v>
      </c>
      <c r="X828" s="20">
        <v>0</v>
      </c>
      <c r="Y828" s="20">
        <v>0</v>
      </c>
      <c r="Z828" s="20">
        <v>0</v>
      </c>
      <c r="AA828" s="20" t="s">
        <v>1309</v>
      </c>
      <c r="AB828" s="22" t="s">
        <v>1311</v>
      </c>
      <c r="AC828" s="20">
        <v>0</v>
      </c>
      <c r="AD828" s="20">
        <v>0</v>
      </c>
      <c r="AE828" s="20">
        <v>0</v>
      </c>
      <c r="AF828" s="20">
        <v>0</v>
      </c>
      <c r="AG828" s="20">
        <v>0</v>
      </c>
      <c r="AH828" s="20">
        <v>0</v>
      </c>
      <c r="AI828" s="328" t="s">
        <v>1328</v>
      </c>
      <c r="AJ828" s="328" t="s">
        <v>1328</v>
      </c>
      <c r="AK828" s="328" t="s">
        <v>1328</v>
      </c>
      <c r="AL828" s="22" t="s">
        <v>1329</v>
      </c>
      <c r="AM828" s="22" t="s">
        <v>1330</v>
      </c>
      <c r="AN828" s="22" t="s">
        <v>1317</v>
      </c>
      <c r="AO828" s="22" t="s">
        <v>1318</v>
      </c>
      <c r="AP828" s="22" t="s">
        <v>1318</v>
      </c>
      <c r="AQ828" s="22" t="s">
        <v>1318</v>
      </c>
      <c r="AR828" s="22" t="s">
        <v>1317</v>
      </c>
      <c r="AS828" s="22" t="s">
        <v>1318</v>
      </c>
      <c r="AT828" s="22" t="s">
        <v>1317</v>
      </c>
      <c r="AU828" s="22" t="s">
        <v>1318</v>
      </c>
      <c r="AV828" s="22" t="s">
        <v>1317</v>
      </c>
      <c r="AW828" s="22" t="s">
        <v>1318</v>
      </c>
      <c r="AX828" s="22" t="s">
        <v>1317</v>
      </c>
      <c r="AY828" s="22" t="s">
        <v>1318</v>
      </c>
      <c r="AZ828" s="22" t="s">
        <v>1309</v>
      </c>
      <c r="BA828" s="22" t="s">
        <v>1309</v>
      </c>
      <c r="BB828" s="22" t="s">
        <v>1309</v>
      </c>
      <c r="BC828" s="22" t="s">
        <v>1311</v>
      </c>
      <c r="BD828" s="22" t="s">
        <v>1317</v>
      </c>
      <c r="BE828" s="22" t="s">
        <v>1318</v>
      </c>
      <c r="BF828" s="22" t="s">
        <v>1317</v>
      </c>
      <c r="BG828" s="22" t="s">
        <v>1318</v>
      </c>
      <c r="BH828" s="22" t="s">
        <v>1317</v>
      </c>
      <c r="BI828" s="22" t="s">
        <v>1318</v>
      </c>
      <c r="BJ828" s="22" t="s">
        <v>1317</v>
      </c>
      <c r="BK828" s="22" t="s">
        <v>1318</v>
      </c>
      <c r="BL828" s="22" t="s">
        <v>1317</v>
      </c>
      <c r="BM828" s="22" t="s">
        <v>1318</v>
      </c>
      <c r="BN828" s="22" t="s">
        <v>1319</v>
      </c>
      <c r="BO828" s="22" t="s">
        <v>1311</v>
      </c>
      <c r="BP828" s="22" t="s">
        <v>1309</v>
      </c>
      <c r="BQ828" s="22" t="s">
        <v>1309</v>
      </c>
      <c r="BR828" s="22" t="s">
        <v>1309</v>
      </c>
      <c r="BS828" s="22" t="s">
        <v>1309</v>
      </c>
      <c r="BT828" s="22" t="s">
        <v>1319</v>
      </c>
      <c r="BU828" s="22" t="s">
        <v>1311</v>
      </c>
      <c r="BV828" s="22" t="s">
        <v>1317</v>
      </c>
      <c r="BW828" s="22" t="s">
        <v>1311</v>
      </c>
      <c r="BX828" s="20">
        <v>36</v>
      </c>
      <c r="BY828" s="20">
        <v>0</v>
      </c>
      <c r="BZ828" s="20">
        <v>0</v>
      </c>
      <c r="CA828" s="20">
        <v>383</v>
      </c>
      <c r="CB828" s="20">
        <v>0</v>
      </c>
      <c r="CC828" s="20">
        <v>0</v>
      </c>
      <c r="CD828" s="22" t="s">
        <v>1317</v>
      </c>
      <c r="CE828" s="22" t="s">
        <v>1340</v>
      </c>
      <c r="CF828" s="22" t="s">
        <v>1317</v>
      </c>
      <c r="CG828" s="22" t="s">
        <v>1318</v>
      </c>
      <c r="CH828" s="22" t="s">
        <v>1317</v>
      </c>
      <c r="CI828" s="22" t="s">
        <v>1318</v>
      </c>
      <c r="CJ828" s="149" t="s">
        <v>1124</v>
      </c>
      <c r="CK828" s="241" t="s">
        <v>1386</v>
      </c>
    </row>
    <row r="829" spans="1:89" ht="15" customHeight="1" x14ac:dyDescent="0.35">
      <c r="A829" s="17"/>
      <c r="B829" s="313">
        <v>13090</v>
      </c>
      <c r="C829" s="8" t="s">
        <v>57</v>
      </c>
      <c r="D829" s="18">
        <v>1</v>
      </c>
      <c r="E829" s="131"/>
      <c r="F829" s="22"/>
      <c r="G829" s="132"/>
      <c r="H829" s="22"/>
      <c r="I829" s="22"/>
      <c r="J829" s="22"/>
      <c r="K829" s="22"/>
      <c r="L829" s="22"/>
      <c r="M829" s="133"/>
      <c r="N829" s="22"/>
      <c r="O829" s="22"/>
      <c r="P829" s="22"/>
      <c r="Q829" s="20"/>
      <c r="R829" s="20"/>
      <c r="S829" s="20"/>
      <c r="T829" s="20"/>
      <c r="U829" s="20"/>
      <c r="V829" s="20"/>
      <c r="W829" s="20"/>
      <c r="X829" s="20"/>
      <c r="Y829" s="20"/>
      <c r="Z829" s="20"/>
      <c r="AA829" s="20"/>
      <c r="AB829" s="22"/>
      <c r="AC829" s="20"/>
      <c r="AD829" s="20"/>
      <c r="AE829" s="20"/>
      <c r="AF829" s="20" t="s">
        <v>1124</v>
      </c>
      <c r="AG829" s="20" t="s">
        <v>1124</v>
      </c>
      <c r="AH829" s="20" t="s">
        <v>1124</v>
      </c>
      <c r="AI829" s="328"/>
      <c r="AJ829" s="328"/>
      <c r="AK829" s="328"/>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0"/>
      <c r="BY829" s="20"/>
      <c r="BZ829" s="20"/>
      <c r="CA829" s="20"/>
      <c r="CB829" s="20"/>
      <c r="CC829" s="20"/>
      <c r="CD829" s="22"/>
      <c r="CE829" s="22"/>
      <c r="CF829" s="22"/>
      <c r="CG829" s="22"/>
      <c r="CH829" s="22"/>
      <c r="CI829" s="22"/>
      <c r="CJ829" s="149"/>
      <c r="CK829" s="241"/>
    </row>
    <row r="830" spans="1:89" ht="15" customHeight="1" x14ac:dyDescent="0.35">
      <c r="A830" s="17"/>
      <c r="B830" s="313">
        <v>12010</v>
      </c>
      <c r="C830" s="8" t="s">
        <v>29</v>
      </c>
      <c r="D830" s="18">
        <v>1</v>
      </c>
      <c r="E830" s="131" t="s">
        <v>1309</v>
      </c>
      <c r="F830" s="22" t="s">
        <v>1309</v>
      </c>
      <c r="G830" s="132" t="s">
        <v>1309</v>
      </c>
      <c r="H830" s="22" t="s">
        <v>1311</v>
      </c>
      <c r="I830" s="22" t="s">
        <v>1327</v>
      </c>
      <c r="J830" s="22" t="s">
        <v>1327</v>
      </c>
      <c r="K830" s="22" t="s">
        <v>1319</v>
      </c>
      <c r="L830" s="22" t="s">
        <v>1311</v>
      </c>
      <c r="M830" s="133" t="s">
        <v>1311</v>
      </c>
      <c r="N830" s="22" t="s">
        <v>1311</v>
      </c>
      <c r="O830" s="22" t="s">
        <v>1314</v>
      </c>
      <c r="P830" s="22" t="s">
        <v>1318</v>
      </c>
      <c r="Q830" s="20">
        <v>0</v>
      </c>
      <c r="R830" s="20">
        <v>0</v>
      </c>
      <c r="S830" s="20">
        <v>0</v>
      </c>
      <c r="T830" s="20">
        <v>0</v>
      </c>
      <c r="U830" s="20">
        <v>10</v>
      </c>
      <c r="V830" s="20">
        <v>10</v>
      </c>
      <c r="W830" s="20">
        <v>0</v>
      </c>
      <c r="X830" s="20">
        <v>0</v>
      </c>
      <c r="Y830" s="20">
        <v>0</v>
      </c>
      <c r="Z830" s="20">
        <v>0</v>
      </c>
      <c r="AA830" s="20" t="s">
        <v>1309</v>
      </c>
      <c r="AB830" s="22" t="s">
        <v>1311</v>
      </c>
      <c r="AC830" s="20">
        <v>3</v>
      </c>
      <c r="AD830" s="20">
        <v>0</v>
      </c>
      <c r="AE830" s="20">
        <v>1</v>
      </c>
      <c r="AF830" s="20">
        <v>1</v>
      </c>
      <c r="AG830" s="20">
        <v>0</v>
      </c>
      <c r="AH830" s="20">
        <v>1</v>
      </c>
      <c r="AI830" s="328">
        <v>29.282576866764277</v>
      </c>
      <c r="AJ830" s="328" t="s">
        <v>1328</v>
      </c>
      <c r="AK830" s="328">
        <v>2.5706940874035991</v>
      </c>
      <c r="AL830" s="22" t="s">
        <v>1329</v>
      </c>
      <c r="AM830" s="22" t="s">
        <v>1330</v>
      </c>
      <c r="AN830" s="22" t="s">
        <v>1317</v>
      </c>
      <c r="AO830" s="22" t="s">
        <v>1318</v>
      </c>
      <c r="AP830" s="22" t="s">
        <v>1318</v>
      </c>
      <c r="AQ830" s="22" t="s">
        <v>1318</v>
      </c>
      <c r="AR830" s="22" t="s">
        <v>1317</v>
      </c>
      <c r="AS830" s="22" t="s">
        <v>1318</v>
      </c>
      <c r="AT830" s="22" t="s">
        <v>1309</v>
      </c>
      <c r="AU830" s="22" t="s">
        <v>1311</v>
      </c>
      <c r="AV830" s="22" t="s">
        <v>1317</v>
      </c>
      <c r="AW830" s="22" t="s">
        <v>1318</v>
      </c>
      <c r="AX830" s="22" t="s">
        <v>1317</v>
      </c>
      <c r="AY830" s="22" t="s">
        <v>1318</v>
      </c>
      <c r="AZ830" s="22" t="s">
        <v>1309</v>
      </c>
      <c r="BA830" s="22" t="s">
        <v>1309</v>
      </c>
      <c r="BB830" s="22" t="s">
        <v>1309</v>
      </c>
      <c r="BC830" s="22" t="s">
        <v>1309</v>
      </c>
      <c r="BD830" s="22" t="s">
        <v>1317</v>
      </c>
      <c r="BE830" s="22" t="s">
        <v>1318</v>
      </c>
      <c r="BF830" s="22" t="s">
        <v>1317</v>
      </c>
      <c r="BG830" s="22" t="s">
        <v>1318</v>
      </c>
      <c r="BH830" s="22" t="s">
        <v>1309</v>
      </c>
      <c r="BI830" s="22" t="s">
        <v>1311</v>
      </c>
      <c r="BJ830" s="22" t="s">
        <v>1317</v>
      </c>
      <c r="BK830" s="22" t="s">
        <v>1318</v>
      </c>
      <c r="BL830" s="22" t="s">
        <v>1309</v>
      </c>
      <c r="BM830" s="22" t="s">
        <v>1309</v>
      </c>
      <c r="BN830" s="22" t="s">
        <v>1309</v>
      </c>
      <c r="BO830" s="22" t="s">
        <v>1309</v>
      </c>
      <c r="BP830" s="22" t="s">
        <v>1315</v>
      </c>
      <c r="BQ830" s="22" t="s">
        <v>1315</v>
      </c>
      <c r="BR830" s="22" t="s">
        <v>1309</v>
      </c>
      <c r="BS830" s="22" t="s">
        <v>1309</v>
      </c>
      <c r="BT830" s="22" t="s">
        <v>1315</v>
      </c>
      <c r="BU830" s="22" t="s">
        <v>1315</v>
      </c>
      <c r="BV830" s="22" t="s">
        <v>1309</v>
      </c>
      <c r="BW830" s="22" t="s">
        <v>1309</v>
      </c>
      <c r="BX830" s="20">
        <v>0</v>
      </c>
      <c r="BY830" s="20">
        <v>5</v>
      </c>
      <c r="BZ830" s="20">
        <v>37</v>
      </c>
      <c r="CA830" s="20">
        <v>0</v>
      </c>
      <c r="CB830" s="20">
        <v>2</v>
      </c>
      <c r="CC830" s="20">
        <v>345</v>
      </c>
      <c r="CD830" s="22" t="s">
        <v>1317</v>
      </c>
      <c r="CE830" s="22" t="s">
        <v>1318</v>
      </c>
      <c r="CF830" s="22" t="s">
        <v>1317</v>
      </c>
      <c r="CG830" s="22" t="s">
        <v>1318</v>
      </c>
      <c r="CH830" s="22" t="s">
        <v>1317</v>
      </c>
      <c r="CI830" s="22" t="s">
        <v>1318</v>
      </c>
      <c r="CJ830" s="149" t="s">
        <v>3132</v>
      </c>
      <c r="CK830" s="241" t="s">
        <v>2250</v>
      </c>
    </row>
    <row r="831" spans="1:89" ht="15" customHeight="1" x14ac:dyDescent="0.35">
      <c r="A831" s="17"/>
      <c r="B831" s="313">
        <v>54100</v>
      </c>
      <c r="C831" s="8" t="s">
        <v>553</v>
      </c>
      <c r="D831" s="18">
        <v>16</v>
      </c>
      <c r="E831" s="131"/>
      <c r="F831" s="22"/>
      <c r="G831" s="132"/>
      <c r="H831" s="22"/>
      <c r="I831" s="22"/>
      <c r="J831" s="22"/>
      <c r="K831" s="22"/>
      <c r="L831" s="22"/>
      <c r="M831" s="133"/>
      <c r="N831" s="22"/>
      <c r="O831" s="22"/>
      <c r="P831" s="22"/>
      <c r="Q831" s="20"/>
      <c r="R831" s="20"/>
      <c r="S831" s="20"/>
      <c r="T831" s="20"/>
      <c r="U831" s="20"/>
      <c r="V831" s="20"/>
      <c r="W831" s="20"/>
      <c r="X831" s="20"/>
      <c r="Y831" s="20"/>
      <c r="Z831" s="20"/>
      <c r="AA831" s="20"/>
      <c r="AB831" s="22"/>
      <c r="AC831" s="20"/>
      <c r="AD831" s="20"/>
      <c r="AE831" s="20"/>
      <c r="AF831" s="20" t="s">
        <v>1124</v>
      </c>
      <c r="AG831" s="20" t="s">
        <v>1124</v>
      </c>
      <c r="AH831" s="20" t="s">
        <v>1124</v>
      </c>
      <c r="AI831" s="328"/>
      <c r="AJ831" s="328"/>
      <c r="AK831" s="328"/>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0"/>
      <c r="BY831" s="20"/>
      <c r="BZ831" s="20"/>
      <c r="CA831" s="20"/>
      <c r="CB831" s="20"/>
      <c r="CC831" s="20"/>
      <c r="CD831" s="22"/>
      <c r="CE831" s="22"/>
      <c r="CF831" s="22"/>
      <c r="CG831" s="22"/>
      <c r="CH831" s="22"/>
      <c r="CI831" s="22"/>
      <c r="CJ831" s="149"/>
      <c r="CK831" s="241"/>
    </row>
    <row r="832" spans="1:89" ht="15" customHeight="1" x14ac:dyDescent="0.35">
      <c r="A832" s="17"/>
      <c r="B832" s="313">
        <v>54048</v>
      </c>
      <c r="C832" s="8" t="s">
        <v>547</v>
      </c>
      <c r="D832" s="18">
        <v>16</v>
      </c>
      <c r="E832" s="131"/>
      <c r="F832" s="22"/>
      <c r="G832" s="132"/>
      <c r="H832" s="22"/>
      <c r="I832" s="22"/>
      <c r="J832" s="22"/>
      <c r="K832" s="22"/>
      <c r="L832" s="22"/>
      <c r="M832" s="133"/>
      <c r="N832" s="22"/>
      <c r="O832" s="22"/>
      <c r="P832" s="22"/>
      <c r="Q832" s="20"/>
      <c r="R832" s="20"/>
      <c r="S832" s="20"/>
      <c r="T832" s="20"/>
      <c r="U832" s="20"/>
      <c r="V832" s="20"/>
      <c r="W832" s="20"/>
      <c r="X832" s="20"/>
      <c r="Y832" s="20"/>
      <c r="Z832" s="20"/>
      <c r="AA832" s="20"/>
      <c r="AB832" s="22"/>
      <c r="AC832" s="20"/>
      <c r="AD832" s="20"/>
      <c r="AE832" s="20"/>
      <c r="AF832" s="20" t="s">
        <v>1124</v>
      </c>
      <c r="AG832" s="20" t="s">
        <v>1124</v>
      </c>
      <c r="AH832" s="20" t="s">
        <v>1124</v>
      </c>
      <c r="AI832" s="328"/>
      <c r="AJ832" s="328"/>
      <c r="AK832" s="328"/>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0"/>
      <c r="BY832" s="20"/>
      <c r="BZ832" s="20"/>
      <c r="CA832" s="20"/>
      <c r="CB832" s="20"/>
      <c r="CC832" s="20"/>
      <c r="CD832" s="22"/>
      <c r="CE832" s="22"/>
      <c r="CF832" s="22"/>
      <c r="CG832" s="22"/>
      <c r="CH832" s="22"/>
      <c r="CI832" s="22"/>
      <c r="CJ832" s="149"/>
      <c r="CK832" s="241"/>
    </row>
    <row r="833" spans="1:89" ht="15" customHeight="1" x14ac:dyDescent="0.35">
      <c r="A833" s="17"/>
      <c r="B833" s="313">
        <v>52045</v>
      </c>
      <c r="C833" s="8" t="s">
        <v>520</v>
      </c>
      <c r="D833" s="18">
        <v>14</v>
      </c>
      <c r="E833" s="131" t="s">
        <v>1309</v>
      </c>
      <c r="F833" s="22" t="s">
        <v>1309</v>
      </c>
      <c r="G833" s="132" t="s">
        <v>1309</v>
      </c>
      <c r="H833" s="22" t="s">
        <v>1311</v>
      </c>
      <c r="I833" s="22" t="s">
        <v>1315</v>
      </c>
      <c r="J833" s="22" t="s">
        <v>1315</v>
      </c>
      <c r="K833" s="22" t="s">
        <v>1314</v>
      </c>
      <c r="L833" s="22" t="s">
        <v>1311</v>
      </c>
      <c r="M833" s="133" t="s">
        <v>1311</v>
      </c>
      <c r="N833" s="22" t="s">
        <v>1311</v>
      </c>
      <c r="O833" s="22" t="s">
        <v>1309</v>
      </c>
      <c r="P833" s="22" t="s">
        <v>1309</v>
      </c>
      <c r="Q833" s="20">
        <v>31.36</v>
      </c>
      <c r="R833" s="20">
        <v>31.36</v>
      </c>
      <c r="S833" s="20">
        <v>0</v>
      </c>
      <c r="T833" s="20">
        <v>0</v>
      </c>
      <c r="U833" s="20">
        <v>31.36</v>
      </c>
      <c r="V833" s="20">
        <v>31.36</v>
      </c>
      <c r="W833" s="20">
        <v>0</v>
      </c>
      <c r="X833" s="20">
        <v>0</v>
      </c>
      <c r="Y833" s="20">
        <v>0</v>
      </c>
      <c r="Z833" s="20">
        <v>0</v>
      </c>
      <c r="AA833" s="20" t="s">
        <v>1309</v>
      </c>
      <c r="AB833" s="22" t="s">
        <v>1309</v>
      </c>
      <c r="AC833" s="20">
        <v>0</v>
      </c>
      <c r="AD833" s="20">
        <v>0</v>
      </c>
      <c r="AE833" s="20">
        <v>3</v>
      </c>
      <c r="AF833" s="20">
        <v>0</v>
      </c>
      <c r="AG833" s="20">
        <v>0</v>
      </c>
      <c r="AH833" s="20">
        <v>2</v>
      </c>
      <c r="AI833" s="328" t="s">
        <v>1328</v>
      </c>
      <c r="AJ833" s="328" t="s">
        <v>1328</v>
      </c>
      <c r="AK833" s="328">
        <v>2.982107355864811</v>
      </c>
      <c r="AL833" s="22" t="s">
        <v>1329</v>
      </c>
      <c r="AM833" s="22" t="s">
        <v>1330</v>
      </c>
      <c r="AN833" s="22" t="s">
        <v>1315</v>
      </c>
      <c r="AO833" s="22" t="s">
        <v>1315</v>
      </c>
      <c r="AP833" s="22" t="s">
        <v>1315</v>
      </c>
      <c r="AQ833" s="22" t="s">
        <v>1315</v>
      </c>
      <c r="AR833" s="22" t="s">
        <v>1317</v>
      </c>
      <c r="AS833" s="22" t="s">
        <v>1318</v>
      </c>
      <c r="AT833" s="22" t="s">
        <v>1309</v>
      </c>
      <c r="AU833" s="22" t="s">
        <v>1309</v>
      </c>
      <c r="AV833" s="22" t="s">
        <v>1317</v>
      </c>
      <c r="AW833" s="22" t="s">
        <v>1318</v>
      </c>
      <c r="AX833" s="22" t="s">
        <v>1317</v>
      </c>
      <c r="AY833" s="22" t="s">
        <v>1318</v>
      </c>
      <c r="AZ833" s="22" t="s">
        <v>1317</v>
      </c>
      <c r="BA833" s="22" t="s">
        <v>1311</v>
      </c>
      <c r="BB833" s="22" t="s">
        <v>1309</v>
      </c>
      <c r="BC833" s="22" t="s">
        <v>1309</v>
      </c>
      <c r="BD833" s="22" t="s">
        <v>1309</v>
      </c>
      <c r="BE833" s="22" t="s">
        <v>1309</v>
      </c>
      <c r="BF833" s="22" t="s">
        <v>1309</v>
      </c>
      <c r="BG833" s="22" t="s">
        <v>1309</v>
      </c>
      <c r="BH833" s="22" t="s">
        <v>1317</v>
      </c>
      <c r="BI833" s="22" t="s">
        <v>1318</v>
      </c>
      <c r="BJ833" s="22" t="s">
        <v>1317</v>
      </c>
      <c r="BK833" s="22" t="s">
        <v>1311</v>
      </c>
      <c r="BL833" s="22" t="s">
        <v>1317</v>
      </c>
      <c r="BM833" s="22" t="s">
        <v>1318</v>
      </c>
      <c r="BN833" s="22" t="s">
        <v>1309</v>
      </c>
      <c r="BO833" s="22" t="s">
        <v>1309</v>
      </c>
      <c r="BP833" s="22" t="s">
        <v>1309</v>
      </c>
      <c r="BQ833" s="22" t="s">
        <v>1309</v>
      </c>
      <c r="BR833" s="22" t="s">
        <v>1309</v>
      </c>
      <c r="BS833" s="22" t="s">
        <v>1309</v>
      </c>
      <c r="BT833" s="22" t="s">
        <v>1317</v>
      </c>
      <c r="BU833" s="22" t="s">
        <v>1318</v>
      </c>
      <c r="BV833" s="22" t="s">
        <v>1317</v>
      </c>
      <c r="BW833" s="22" t="s">
        <v>1318</v>
      </c>
      <c r="BX833" s="20">
        <v>31</v>
      </c>
      <c r="BY833" s="20">
        <v>0</v>
      </c>
      <c r="BZ833" s="20">
        <v>0</v>
      </c>
      <c r="CA833" s="20">
        <v>902</v>
      </c>
      <c r="CB833" s="20">
        <v>73</v>
      </c>
      <c r="CC833" s="20">
        <v>0</v>
      </c>
      <c r="CD833" s="22" t="s">
        <v>1331</v>
      </c>
      <c r="CE833" s="22" t="s">
        <v>1331</v>
      </c>
      <c r="CF833" s="22" t="s">
        <v>1331</v>
      </c>
      <c r="CG833" s="22" t="s">
        <v>1331</v>
      </c>
      <c r="CH833" s="22" t="s">
        <v>1315</v>
      </c>
      <c r="CI833" s="22" t="s">
        <v>1315</v>
      </c>
      <c r="CJ833" s="149" t="s">
        <v>3134</v>
      </c>
      <c r="CK833" s="241" t="s">
        <v>3135</v>
      </c>
    </row>
    <row r="834" spans="1:89" ht="15" customHeight="1" x14ac:dyDescent="0.35">
      <c r="A834" s="17"/>
      <c r="B834" s="313">
        <v>46095</v>
      </c>
      <c r="C834" s="8" t="s">
        <v>444</v>
      </c>
      <c r="D834" s="18">
        <v>5</v>
      </c>
      <c r="E834" s="131"/>
      <c r="F834" s="22"/>
      <c r="G834" s="132"/>
      <c r="H834" s="22"/>
      <c r="I834" s="22"/>
      <c r="J834" s="22"/>
      <c r="K834" s="22"/>
      <c r="L834" s="22"/>
      <c r="M834" s="133"/>
      <c r="N834" s="22"/>
      <c r="O834" s="22"/>
      <c r="P834" s="22"/>
      <c r="Q834" s="20"/>
      <c r="R834" s="20"/>
      <c r="S834" s="20"/>
      <c r="T834" s="20"/>
      <c r="U834" s="20"/>
      <c r="V834" s="20"/>
      <c r="W834" s="20"/>
      <c r="X834" s="20"/>
      <c r="Y834" s="20"/>
      <c r="Z834" s="20"/>
      <c r="AA834" s="20"/>
      <c r="AB834" s="22"/>
      <c r="AC834" s="20"/>
      <c r="AD834" s="20"/>
      <c r="AE834" s="20"/>
      <c r="AF834" s="20" t="s">
        <v>1124</v>
      </c>
      <c r="AG834" s="20" t="s">
        <v>1124</v>
      </c>
      <c r="AH834" s="20" t="s">
        <v>1124</v>
      </c>
      <c r="AI834" s="328"/>
      <c r="AJ834" s="328"/>
      <c r="AK834" s="328"/>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0"/>
      <c r="BY834" s="20"/>
      <c r="BZ834" s="20"/>
      <c r="CA834" s="20"/>
      <c r="CB834" s="20"/>
      <c r="CC834" s="20"/>
      <c r="CD834" s="22"/>
      <c r="CE834" s="22"/>
      <c r="CF834" s="22"/>
      <c r="CG834" s="22"/>
      <c r="CH834" s="22"/>
      <c r="CI834" s="22"/>
      <c r="CJ834" s="149"/>
      <c r="CK834" s="241"/>
    </row>
    <row r="835" spans="1:89" ht="15" customHeight="1" x14ac:dyDescent="0.35">
      <c r="A835" s="17"/>
      <c r="B835" s="313">
        <v>15005</v>
      </c>
      <c r="C835" s="8" t="s">
        <v>77</v>
      </c>
      <c r="D835" s="18">
        <v>3</v>
      </c>
      <c r="E835" s="131" t="s">
        <v>1309</v>
      </c>
      <c r="F835" s="22" t="s">
        <v>1309</v>
      </c>
      <c r="G835" s="132" t="s">
        <v>1309</v>
      </c>
      <c r="H835" s="22" t="s">
        <v>1311</v>
      </c>
      <c r="I835" s="22" t="s">
        <v>1327</v>
      </c>
      <c r="J835" s="22" t="s">
        <v>1327</v>
      </c>
      <c r="K835" s="22" t="s">
        <v>1309</v>
      </c>
      <c r="L835" s="22" t="s">
        <v>1309</v>
      </c>
      <c r="M835" s="133" t="s">
        <v>1311</v>
      </c>
      <c r="N835" s="22" t="s">
        <v>1311</v>
      </c>
      <c r="O835" s="22" t="s">
        <v>1314</v>
      </c>
      <c r="P835" s="22" t="s">
        <v>1318</v>
      </c>
      <c r="Q835" s="20">
        <v>0</v>
      </c>
      <c r="R835" s="20">
        <v>0</v>
      </c>
      <c r="S835" s="20">
        <v>5.96</v>
      </c>
      <c r="T835" s="20">
        <v>5.96</v>
      </c>
      <c r="U835" s="20">
        <v>0</v>
      </c>
      <c r="V835" s="20">
        <v>0</v>
      </c>
      <c r="W835" s="20">
        <v>0</v>
      </c>
      <c r="X835" s="20">
        <v>0</v>
      </c>
      <c r="Y835" s="20">
        <v>0</v>
      </c>
      <c r="Z835" s="20">
        <v>0</v>
      </c>
      <c r="AA835" s="20" t="s">
        <v>1317</v>
      </c>
      <c r="AB835" s="22" t="s">
        <v>1318</v>
      </c>
      <c r="AC835" s="20">
        <v>0</v>
      </c>
      <c r="AD835" s="20">
        <v>1</v>
      </c>
      <c r="AE835" s="20">
        <v>0</v>
      </c>
      <c r="AF835" s="20">
        <v>0</v>
      </c>
      <c r="AG835" s="20">
        <v>5</v>
      </c>
      <c r="AH835" s="20">
        <v>0</v>
      </c>
      <c r="AI835" s="328" t="s">
        <v>1328</v>
      </c>
      <c r="AJ835" s="328">
        <v>5.882352941176471</v>
      </c>
      <c r="AK835" s="328" t="s">
        <v>1328</v>
      </c>
      <c r="AL835" s="22" t="s">
        <v>1329</v>
      </c>
      <c r="AM835" s="22" t="s">
        <v>1330</v>
      </c>
      <c r="AN835" s="22" t="s">
        <v>1317</v>
      </c>
      <c r="AO835" s="22" t="s">
        <v>1318</v>
      </c>
      <c r="AP835" s="22" t="s">
        <v>1318</v>
      </c>
      <c r="AQ835" s="22" t="s">
        <v>1318</v>
      </c>
      <c r="AR835" s="22" t="s">
        <v>1317</v>
      </c>
      <c r="AS835" s="22" t="s">
        <v>1318</v>
      </c>
      <c r="AT835" s="22" t="s">
        <v>1319</v>
      </c>
      <c r="AU835" s="22" t="s">
        <v>1311</v>
      </c>
      <c r="AV835" s="22" t="s">
        <v>1317</v>
      </c>
      <c r="AW835" s="22" t="s">
        <v>1318</v>
      </c>
      <c r="AX835" s="22" t="s">
        <v>1317</v>
      </c>
      <c r="AY835" s="22" t="s">
        <v>1318</v>
      </c>
      <c r="AZ835" s="22" t="s">
        <v>1309</v>
      </c>
      <c r="BA835" s="22" t="s">
        <v>1309</v>
      </c>
      <c r="BB835" s="22" t="s">
        <v>1309</v>
      </c>
      <c r="BC835" s="22" t="s">
        <v>1309</v>
      </c>
      <c r="BD835" s="22" t="s">
        <v>1317</v>
      </c>
      <c r="BE835" s="22" t="s">
        <v>1318</v>
      </c>
      <c r="BF835" s="22" t="s">
        <v>1309</v>
      </c>
      <c r="BG835" s="22" t="s">
        <v>1309</v>
      </c>
      <c r="BH835" s="22" t="s">
        <v>1309</v>
      </c>
      <c r="BI835" s="22" t="s">
        <v>1309</v>
      </c>
      <c r="BJ835" s="22" t="s">
        <v>1317</v>
      </c>
      <c r="BK835" s="22" t="s">
        <v>1318</v>
      </c>
      <c r="BL835" s="22" t="s">
        <v>1309</v>
      </c>
      <c r="BM835" s="22" t="s">
        <v>1309</v>
      </c>
      <c r="BN835" s="22" t="s">
        <v>1309</v>
      </c>
      <c r="BO835" s="22" t="s">
        <v>1309</v>
      </c>
      <c r="BP835" s="22" t="s">
        <v>1317</v>
      </c>
      <c r="BQ835" s="22" t="s">
        <v>1318</v>
      </c>
      <c r="BR835" s="22" t="s">
        <v>1319</v>
      </c>
      <c r="BS835" s="22" t="s">
        <v>1311</v>
      </c>
      <c r="BT835" s="22" t="s">
        <v>1319</v>
      </c>
      <c r="BU835" s="22" t="s">
        <v>1311</v>
      </c>
      <c r="BV835" s="22" t="s">
        <v>1319</v>
      </c>
      <c r="BW835" s="22" t="s">
        <v>1311</v>
      </c>
      <c r="BX835" s="20">
        <v>18</v>
      </c>
      <c r="BY835" s="20">
        <v>2</v>
      </c>
      <c r="BZ835" s="20">
        <v>0</v>
      </c>
      <c r="CA835" s="20">
        <v>20</v>
      </c>
      <c r="CB835" s="20">
        <v>0</v>
      </c>
      <c r="CC835" s="20">
        <v>135</v>
      </c>
      <c r="CD835" s="22" t="s">
        <v>1331</v>
      </c>
      <c r="CE835" s="22" t="s">
        <v>1331</v>
      </c>
      <c r="CF835" s="22" t="s">
        <v>1331</v>
      </c>
      <c r="CG835" s="22" t="s">
        <v>1331</v>
      </c>
      <c r="CH835" s="22" t="s">
        <v>1317</v>
      </c>
      <c r="CI835" s="22" t="s">
        <v>1318</v>
      </c>
      <c r="CJ835" s="149" t="s">
        <v>3138</v>
      </c>
      <c r="CK835" s="241" t="s">
        <v>1124</v>
      </c>
    </row>
    <row r="836" spans="1:89" ht="15" customHeight="1" x14ac:dyDescent="0.35">
      <c r="A836" s="17"/>
      <c r="B836" s="313">
        <v>26063</v>
      </c>
      <c r="C836" s="8" t="s">
        <v>176</v>
      </c>
      <c r="D836" s="18">
        <v>12</v>
      </c>
      <c r="E836" s="131"/>
      <c r="F836" s="22"/>
      <c r="G836" s="132"/>
      <c r="H836" s="22"/>
      <c r="I836" s="22"/>
      <c r="J836" s="22"/>
      <c r="K836" s="22"/>
      <c r="L836" s="22"/>
      <c r="M836" s="133"/>
      <c r="N836" s="22"/>
      <c r="O836" s="22"/>
      <c r="P836" s="22"/>
      <c r="Q836" s="20"/>
      <c r="R836" s="20"/>
      <c r="S836" s="20"/>
      <c r="T836" s="20"/>
      <c r="U836" s="20"/>
      <c r="V836" s="20"/>
      <c r="W836" s="20"/>
      <c r="X836" s="20"/>
      <c r="Y836" s="20"/>
      <c r="Z836" s="20"/>
      <c r="AA836" s="20"/>
      <c r="AB836" s="22"/>
      <c r="AC836" s="20"/>
      <c r="AD836" s="20"/>
      <c r="AE836" s="20"/>
      <c r="AF836" s="20" t="s">
        <v>1124</v>
      </c>
      <c r="AG836" s="20" t="s">
        <v>1124</v>
      </c>
      <c r="AH836" s="20" t="s">
        <v>1124</v>
      </c>
      <c r="AI836" s="328"/>
      <c r="AJ836" s="328"/>
      <c r="AK836" s="328"/>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0"/>
      <c r="BY836" s="20"/>
      <c r="BZ836" s="20"/>
      <c r="CA836" s="20"/>
      <c r="CB836" s="20"/>
      <c r="CC836" s="20"/>
      <c r="CD836" s="22"/>
      <c r="CE836" s="22"/>
      <c r="CF836" s="22"/>
      <c r="CG836" s="22"/>
      <c r="CH836" s="22"/>
      <c r="CI836" s="22"/>
      <c r="CJ836" s="149"/>
      <c r="CK836" s="241"/>
    </row>
    <row r="837" spans="1:89" ht="15" customHeight="1" x14ac:dyDescent="0.35">
      <c r="A837" s="17"/>
      <c r="B837" s="313">
        <v>67040</v>
      </c>
      <c r="C837" s="8" t="s">
        <v>669</v>
      </c>
      <c r="D837" s="18">
        <v>16</v>
      </c>
      <c r="E837" s="131" t="s">
        <v>1309</v>
      </c>
      <c r="F837" s="22" t="s">
        <v>1309</v>
      </c>
      <c r="G837" s="132" t="s">
        <v>1309</v>
      </c>
      <c r="H837" s="22" t="s">
        <v>1311</v>
      </c>
      <c r="I837" s="22" t="s">
        <v>1312</v>
      </c>
      <c r="J837" s="22" t="s">
        <v>1342</v>
      </c>
      <c r="K837" s="22" t="s">
        <v>1319</v>
      </c>
      <c r="L837" s="22" t="s">
        <v>1311</v>
      </c>
      <c r="M837" s="133" t="s">
        <v>1311</v>
      </c>
      <c r="N837" s="22" t="s">
        <v>1311</v>
      </c>
      <c r="O837" s="22" t="s">
        <v>1309</v>
      </c>
      <c r="P837" s="22" t="s">
        <v>1309</v>
      </c>
      <c r="Q837" s="20">
        <v>8</v>
      </c>
      <c r="R837" s="20">
        <v>12</v>
      </c>
      <c r="S837" s="20">
        <v>0</v>
      </c>
      <c r="T837" s="20">
        <v>0</v>
      </c>
      <c r="U837" s="20">
        <v>12</v>
      </c>
      <c r="V837" s="20">
        <v>12</v>
      </c>
      <c r="W837" s="20">
        <v>0</v>
      </c>
      <c r="X837" s="20">
        <v>0</v>
      </c>
      <c r="Y837" s="20">
        <v>0</v>
      </c>
      <c r="Z837" s="20">
        <v>0</v>
      </c>
      <c r="AA837" s="20" t="s">
        <v>1309</v>
      </c>
      <c r="AB837" s="22" t="s">
        <v>1309</v>
      </c>
      <c r="AC837" s="20">
        <v>0</v>
      </c>
      <c r="AD837" s="20">
        <v>4</v>
      </c>
      <c r="AE837" s="20">
        <v>1</v>
      </c>
      <c r="AF837" s="20">
        <v>0</v>
      </c>
      <c r="AG837" s="20">
        <v>3</v>
      </c>
      <c r="AH837" s="20">
        <v>3</v>
      </c>
      <c r="AI837" s="328" t="s">
        <v>1328</v>
      </c>
      <c r="AJ837" s="328">
        <v>5.7636887608069163</v>
      </c>
      <c r="AK837" s="328">
        <v>1.4409221902017291</v>
      </c>
      <c r="AL837" s="22" t="s">
        <v>1329</v>
      </c>
      <c r="AM837" s="22" t="s">
        <v>1330</v>
      </c>
      <c r="AN837" s="22" t="s">
        <v>1315</v>
      </c>
      <c r="AO837" s="22" t="s">
        <v>1315</v>
      </c>
      <c r="AP837" s="22" t="s">
        <v>1341</v>
      </c>
      <c r="AQ837" s="22" t="s">
        <v>1313</v>
      </c>
      <c r="AR837" s="22" t="s">
        <v>1317</v>
      </c>
      <c r="AS837" s="22" t="s">
        <v>1318</v>
      </c>
      <c r="AT837" s="22" t="s">
        <v>1317</v>
      </c>
      <c r="AU837" s="22" t="s">
        <v>1318</v>
      </c>
      <c r="AV837" s="22" t="s">
        <v>1317</v>
      </c>
      <c r="AW837" s="22" t="s">
        <v>1318</v>
      </c>
      <c r="AX837" s="22" t="s">
        <v>1317</v>
      </c>
      <c r="AY837" s="22" t="s">
        <v>1318</v>
      </c>
      <c r="AZ837" s="22" t="s">
        <v>1309</v>
      </c>
      <c r="BA837" s="22" t="s">
        <v>1309</v>
      </c>
      <c r="BB837" s="22" t="s">
        <v>1309</v>
      </c>
      <c r="BC837" s="22" t="s">
        <v>1309</v>
      </c>
      <c r="BD837" s="22" t="s">
        <v>1309</v>
      </c>
      <c r="BE837" s="22" t="s">
        <v>1309</v>
      </c>
      <c r="BF837" s="22" t="s">
        <v>1309</v>
      </c>
      <c r="BG837" s="22" t="s">
        <v>1309</v>
      </c>
      <c r="BH837" s="22" t="s">
        <v>1309</v>
      </c>
      <c r="BI837" s="22" t="s">
        <v>1309</v>
      </c>
      <c r="BJ837" s="22" t="s">
        <v>1309</v>
      </c>
      <c r="BK837" s="22" t="s">
        <v>1309</v>
      </c>
      <c r="BL837" s="22" t="s">
        <v>1319</v>
      </c>
      <c r="BM837" s="22" t="s">
        <v>1311</v>
      </c>
      <c r="BN837" s="22" t="s">
        <v>1309</v>
      </c>
      <c r="BO837" s="22" t="s">
        <v>1309</v>
      </c>
      <c r="BP837" s="22" t="s">
        <v>1309</v>
      </c>
      <c r="BQ837" s="22" t="s">
        <v>1309</v>
      </c>
      <c r="BR837" s="22" t="s">
        <v>1309</v>
      </c>
      <c r="BS837" s="22" t="s">
        <v>1309</v>
      </c>
      <c r="BT837" s="22" t="s">
        <v>1309</v>
      </c>
      <c r="BU837" s="22" t="s">
        <v>1309</v>
      </c>
      <c r="BV837" s="22" t="s">
        <v>1319</v>
      </c>
      <c r="BW837" s="22" t="s">
        <v>1311</v>
      </c>
      <c r="BX837" s="20">
        <v>41</v>
      </c>
      <c r="BY837" s="20">
        <v>0</v>
      </c>
      <c r="BZ837" s="20">
        <v>2</v>
      </c>
      <c r="CA837" s="20">
        <v>651</v>
      </c>
      <c r="CB837" s="20">
        <v>0</v>
      </c>
      <c r="CC837" s="20">
        <v>0</v>
      </c>
      <c r="CD837" s="22" t="s">
        <v>1331</v>
      </c>
      <c r="CE837" s="22" t="s">
        <v>1321</v>
      </c>
      <c r="CF837" s="22" t="s">
        <v>1331</v>
      </c>
      <c r="CG837" s="22" t="s">
        <v>1331</v>
      </c>
      <c r="CH837" s="22" t="s">
        <v>1317</v>
      </c>
      <c r="CI837" s="22" t="s">
        <v>1318</v>
      </c>
      <c r="CJ837" s="149" t="s">
        <v>1124</v>
      </c>
      <c r="CK837" s="241" t="s">
        <v>3142</v>
      </c>
    </row>
    <row r="838" spans="1:89" ht="15" customHeight="1" x14ac:dyDescent="0.35">
      <c r="A838" s="17"/>
      <c r="B838" s="313">
        <v>41012</v>
      </c>
      <c r="C838" s="8" t="s">
        <v>365</v>
      </c>
      <c r="D838" s="18">
        <v>5</v>
      </c>
      <c r="E838" s="131" t="s">
        <v>1309</v>
      </c>
      <c r="F838" s="22" t="s">
        <v>1309</v>
      </c>
      <c r="G838" s="132" t="s">
        <v>1309</v>
      </c>
      <c r="H838" s="22" t="s">
        <v>1311</v>
      </c>
      <c r="I838" s="22" t="s">
        <v>1327</v>
      </c>
      <c r="J838" s="22" t="s">
        <v>1327</v>
      </c>
      <c r="K838" s="22" t="s">
        <v>1314</v>
      </c>
      <c r="L838" s="22" t="s">
        <v>1311</v>
      </c>
      <c r="M838" s="133" t="s">
        <v>1311</v>
      </c>
      <c r="N838" s="22" t="s">
        <v>1311</v>
      </c>
      <c r="O838" s="22" t="s">
        <v>1309</v>
      </c>
      <c r="P838" s="22" t="s">
        <v>1309</v>
      </c>
      <c r="Q838" s="20">
        <v>0</v>
      </c>
      <c r="R838" s="20">
        <v>0</v>
      </c>
      <c r="S838" s="20">
        <v>0</v>
      </c>
      <c r="T838" s="20">
        <v>0</v>
      </c>
      <c r="U838" s="20">
        <v>6.0060000000000002</v>
      </c>
      <c r="V838" s="20">
        <v>6.0060000000000002</v>
      </c>
      <c r="W838" s="20">
        <v>0</v>
      </c>
      <c r="X838" s="20">
        <v>0</v>
      </c>
      <c r="Y838" s="20">
        <v>0</v>
      </c>
      <c r="Z838" s="20">
        <v>0</v>
      </c>
      <c r="AA838" s="20" t="s">
        <v>1309</v>
      </c>
      <c r="AB838" s="22" t="s">
        <v>1309</v>
      </c>
      <c r="AC838" s="20">
        <v>1</v>
      </c>
      <c r="AD838" s="20">
        <v>1</v>
      </c>
      <c r="AE838" s="20">
        <v>0</v>
      </c>
      <c r="AF838" s="20">
        <v>1</v>
      </c>
      <c r="AG838" s="20">
        <v>1</v>
      </c>
      <c r="AH838" s="20">
        <v>0</v>
      </c>
      <c r="AI838" s="328">
        <v>16.650016650016649</v>
      </c>
      <c r="AJ838" s="328">
        <v>6.024096385542169</v>
      </c>
      <c r="AK838" s="328" t="s">
        <v>1328</v>
      </c>
      <c r="AL838" s="22" t="s">
        <v>1329</v>
      </c>
      <c r="AM838" s="22" t="s">
        <v>1330</v>
      </c>
      <c r="AN838" s="22" t="s">
        <v>1317</v>
      </c>
      <c r="AO838" s="22" t="s">
        <v>1318</v>
      </c>
      <c r="AP838" s="22" t="s">
        <v>1318</v>
      </c>
      <c r="AQ838" s="22" t="s">
        <v>1318</v>
      </c>
      <c r="AR838" s="22" t="s">
        <v>1317</v>
      </c>
      <c r="AS838" s="22" t="s">
        <v>1318</v>
      </c>
      <c r="AT838" s="22" t="s">
        <v>1317</v>
      </c>
      <c r="AU838" s="22" t="s">
        <v>1318</v>
      </c>
      <c r="AV838" s="22" t="s">
        <v>1317</v>
      </c>
      <c r="AW838" s="22" t="s">
        <v>1318</v>
      </c>
      <c r="AX838" s="22" t="s">
        <v>1317</v>
      </c>
      <c r="AY838" s="22" t="s">
        <v>1318</v>
      </c>
      <c r="AZ838" s="22" t="s">
        <v>1317</v>
      </c>
      <c r="BA838" s="22" t="s">
        <v>1318</v>
      </c>
      <c r="BB838" s="22" t="s">
        <v>1309</v>
      </c>
      <c r="BC838" s="22" t="s">
        <v>1309</v>
      </c>
      <c r="BD838" s="22" t="s">
        <v>1309</v>
      </c>
      <c r="BE838" s="22" t="s">
        <v>1309</v>
      </c>
      <c r="BF838" s="22" t="s">
        <v>1309</v>
      </c>
      <c r="BG838" s="22" t="s">
        <v>1309</v>
      </c>
      <c r="BH838" s="22" t="s">
        <v>1315</v>
      </c>
      <c r="BI838" s="22" t="s">
        <v>1315</v>
      </c>
      <c r="BJ838" s="22" t="s">
        <v>1317</v>
      </c>
      <c r="BK838" s="22" t="s">
        <v>1318</v>
      </c>
      <c r="BL838" s="22" t="s">
        <v>1317</v>
      </c>
      <c r="BM838" s="22" t="s">
        <v>1318</v>
      </c>
      <c r="BN838" s="22" t="s">
        <v>1309</v>
      </c>
      <c r="BO838" s="22" t="s">
        <v>1309</v>
      </c>
      <c r="BP838" s="22" t="s">
        <v>1309</v>
      </c>
      <c r="BQ838" s="22" t="s">
        <v>1309</v>
      </c>
      <c r="BR838" s="22" t="s">
        <v>1309</v>
      </c>
      <c r="BS838" s="22" t="s">
        <v>1309</v>
      </c>
      <c r="BT838" s="22" t="s">
        <v>1315</v>
      </c>
      <c r="BU838" s="22" t="s">
        <v>1315</v>
      </c>
      <c r="BV838" s="22" t="s">
        <v>1317</v>
      </c>
      <c r="BW838" s="22" t="s">
        <v>1318</v>
      </c>
      <c r="BX838" s="20">
        <v>14</v>
      </c>
      <c r="BY838" s="20">
        <v>0</v>
      </c>
      <c r="BZ838" s="20">
        <v>2</v>
      </c>
      <c r="CA838" s="20">
        <v>150</v>
      </c>
      <c r="CB838" s="20">
        <v>0</v>
      </c>
      <c r="CC838" s="20">
        <v>0</v>
      </c>
      <c r="CD838" s="22" t="s">
        <v>1331</v>
      </c>
      <c r="CE838" s="22" t="s">
        <v>1331</v>
      </c>
      <c r="CF838" s="22" t="s">
        <v>1315</v>
      </c>
      <c r="CG838" s="22" t="s">
        <v>1315</v>
      </c>
      <c r="CH838" s="22" t="s">
        <v>1315</v>
      </c>
      <c r="CI838" s="22" t="s">
        <v>1315</v>
      </c>
      <c r="CJ838" s="149" t="s">
        <v>3146</v>
      </c>
      <c r="CK838" s="241" t="s">
        <v>1124</v>
      </c>
    </row>
    <row r="839" spans="1:89" ht="15" customHeight="1" x14ac:dyDescent="0.35">
      <c r="A839" s="17"/>
      <c r="B839" s="313">
        <v>63013</v>
      </c>
      <c r="C839" s="8" t="s">
        <v>635</v>
      </c>
      <c r="D839" s="18">
        <v>14</v>
      </c>
      <c r="E839" s="131" t="s">
        <v>1309</v>
      </c>
      <c r="F839" s="22" t="s">
        <v>1309</v>
      </c>
      <c r="G839" s="132" t="s">
        <v>1309</v>
      </c>
      <c r="H839" s="22" t="s">
        <v>1311</v>
      </c>
      <c r="I839" s="22" t="s">
        <v>1327</v>
      </c>
      <c r="J839" s="22" t="s">
        <v>1327</v>
      </c>
      <c r="K839" s="22" t="s">
        <v>1309</v>
      </c>
      <c r="L839" s="22" t="s">
        <v>1309</v>
      </c>
      <c r="M839" s="133" t="s">
        <v>1311</v>
      </c>
      <c r="N839" s="22" t="s">
        <v>1311</v>
      </c>
      <c r="O839" s="22" t="s">
        <v>1319</v>
      </c>
      <c r="P839" s="22" t="s">
        <v>1311</v>
      </c>
      <c r="Q839" s="20">
        <v>0</v>
      </c>
      <c r="R839" s="20">
        <v>0</v>
      </c>
      <c r="S839" s="20">
        <v>52.223999999999997</v>
      </c>
      <c r="T839" s="20">
        <v>52.223999999999997</v>
      </c>
      <c r="U839" s="20">
        <v>0</v>
      </c>
      <c r="V839" s="20">
        <v>0</v>
      </c>
      <c r="W839" s="20">
        <v>0</v>
      </c>
      <c r="X839" s="20">
        <v>0</v>
      </c>
      <c r="Y839" s="20">
        <v>0</v>
      </c>
      <c r="Z839" s="20">
        <v>0</v>
      </c>
      <c r="AA839" s="20" t="s">
        <v>1317</v>
      </c>
      <c r="AB839" s="22" t="s">
        <v>1318</v>
      </c>
      <c r="AC839" s="20">
        <v>5</v>
      </c>
      <c r="AD839" s="20">
        <v>0</v>
      </c>
      <c r="AE839" s="20">
        <v>0</v>
      </c>
      <c r="AF839" s="20">
        <v>1</v>
      </c>
      <c r="AG839" s="20">
        <v>0</v>
      </c>
      <c r="AH839" s="20">
        <v>0</v>
      </c>
      <c r="AI839" s="328">
        <v>19.14828431372549</v>
      </c>
      <c r="AJ839" s="328" t="s">
        <v>1328</v>
      </c>
      <c r="AK839" s="328" t="s">
        <v>1328</v>
      </c>
      <c r="AL839" s="22" t="s">
        <v>1316</v>
      </c>
      <c r="AM839" s="22" t="s">
        <v>1316</v>
      </c>
      <c r="AN839" s="22" t="s">
        <v>1317</v>
      </c>
      <c r="AO839" s="22" t="s">
        <v>1318</v>
      </c>
      <c r="AP839" s="22" t="s">
        <v>1318</v>
      </c>
      <c r="AQ839" s="22" t="s">
        <v>1318</v>
      </c>
      <c r="AR839" s="22" t="s">
        <v>1315</v>
      </c>
      <c r="AS839" s="22" t="s">
        <v>1315</v>
      </c>
      <c r="AT839" s="22" t="s">
        <v>1309</v>
      </c>
      <c r="AU839" s="22" t="s">
        <v>1309</v>
      </c>
      <c r="AV839" s="22" t="s">
        <v>1315</v>
      </c>
      <c r="AW839" s="22" t="s">
        <v>1315</v>
      </c>
      <c r="AX839" s="22" t="s">
        <v>1317</v>
      </c>
      <c r="AY839" s="22" t="s">
        <v>1318</v>
      </c>
      <c r="AZ839" s="22" t="s">
        <v>1317</v>
      </c>
      <c r="BA839" s="22" t="s">
        <v>1318</v>
      </c>
      <c r="BB839" s="22" t="s">
        <v>1309</v>
      </c>
      <c r="BC839" s="22" t="s">
        <v>1309</v>
      </c>
      <c r="BD839" s="22" t="s">
        <v>1317</v>
      </c>
      <c r="BE839" s="22" t="s">
        <v>1318</v>
      </c>
      <c r="BF839" s="22" t="s">
        <v>1319</v>
      </c>
      <c r="BG839" s="22" t="s">
        <v>1311</v>
      </c>
      <c r="BH839" s="22" t="s">
        <v>1317</v>
      </c>
      <c r="BI839" s="22" t="s">
        <v>1318</v>
      </c>
      <c r="BJ839" s="22" t="s">
        <v>1317</v>
      </c>
      <c r="BK839" s="22" t="s">
        <v>1318</v>
      </c>
      <c r="BL839" s="22" t="s">
        <v>1317</v>
      </c>
      <c r="BM839" s="22" t="s">
        <v>1318</v>
      </c>
      <c r="BN839" s="22" t="s">
        <v>1309</v>
      </c>
      <c r="BO839" s="22" t="s">
        <v>1309</v>
      </c>
      <c r="BP839" s="22" t="s">
        <v>1309</v>
      </c>
      <c r="BQ839" s="22" t="s">
        <v>1309</v>
      </c>
      <c r="BR839" s="22" t="s">
        <v>1309</v>
      </c>
      <c r="BS839" s="22" t="s">
        <v>1309</v>
      </c>
      <c r="BT839" s="22" t="s">
        <v>1309</v>
      </c>
      <c r="BU839" s="22" t="s">
        <v>1309</v>
      </c>
      <c r="BV839" s="22" t="s">
        <v>1317</v>
      </c>
      <c r="BW839" s="22" t="s">
        <v>1318</v>
      </c>
      <c r="BX839" s="20">
        <v>0</v>
      </c>
      <c r="BY839" s="20">
        <v>38</v>
      </c>
      <c r="BZ839" s="20">
        <v>0</v>
      </c>
      <c r="CA839" s="20">
        <v>0</v>
      </c>
      <c r="CB839" s="20">
        <v>224</v>
      </c>
      <c r="CC839" s="20">
        <v>893</v>
      </c>
      <c r="CD839" s="22" t="s">
        <v>1320</v>
      </c>
      <c r="CE839" s="22" t="s">
        <v>1321</v>
      </c>
      <c r="CF839" s="22" t="s">
        <v>1320</v>
      </c>
      <c r="CG839" s="22" t="s">
        <v>1321</v>
      </c>
      <c r="CH839" s="22" t="s">
        <v>1341</v>
      </c>
      <c r="CI839" s="22" t="s">
        <v>1352</v>
      </c>
      <c r="CJ839" s="149" t="s">
        <v>3149</v>
      </c>
      <c r="CK839" s="241" t="s">
        <v>3150</v>
      </c>
    </row>
    <row r="840" spans="1:89" ht="15" customHeight="1" x14ac:dyDescent="0.35">
      <c r="A840" s="17"/>
      <c r="B840" s="313">
        <v>31140</v>
      </c>
      <c r="C840" s="8" t="s">
        <v>255</v>
      </c>
      <c r="D840" s="18">
        <v>12</v>
      </c>
      <c r="E840" s="131" t="s">
        <v>1309</v>
      </c>
      <c r="F840" s="22" t="s">
        <v>1309</v>
      </c>
      <c r="G840" s="132" t="s">
        <v>1309</v>
      </c>
      <c r="H840" s="22" t="s">
        <v>1311</v>
      </c>
      <c r="I840" s="22" t="s">
        <v>1327</v>
      </c>
      <c r="J840" s="22" t="s">
        <v>1327</v>
      </c>
      <c r="K840" s="22" t="s">
        <v>1309</v>
      </c>
      <c r="L840" s="22" t="s">
        <v>1309</v>
      </c>
      <c r="M840" s="133" t="s">
        <v>1311</v>
      </c>
      <c r="N840" s="22" t="s">
        <v>1311</v>
      </c>
      <c r="O840" s="22" t="s">
        <v>1314</v>
      </c>
      <c r="P840" s="22" t="s">
        <v>1318</v>
      </c>
      <c r="Q840" s="20">
        <v>6.6109999999999998</v>
      </c>
      <c r="R840" s="20">
        <v>6.6109999999999998</v>
      </c>
      <c r="S840" s="20">
        <v>0</v>
      </c>
      <c r="T840" s="20">
        <v>0</v>
      </c>
      <c r="U840" s="20">
        <v>0</v>
      </c>
      <c r="V840" s="20">
        <v>0</v>
      </c>
      <c r="W840" s="20">
        <v>0</v>
      </c>
      <c r="X840" s="20">
        <v>0</v>
      </c>
      <c r="Y840" s="20">
        <v>0</v>
      </c>
      <c r="Z840" s="20">
        <v>0</v>
      </c>
      <c r="AA840" s="20" t="s">
        <v>1317</v>
      </c>
      <c r="AB840" s="22" t="s">
        <v>1318</v>
      </c>
      <c r="AC840" s="20">
        <v>0</v>
      </c>
      <c r="AD840" s="20">
        <v>0</v>
      </c>
      <c r="AE840" s="20">
        <v>0</v>
      </c>
      <c r="AF840" s="20">
        <v>0</v>
      </c>
      <c r="AG840" s="20">
        <v>0</v>
      </c>
      <c r="AH840" s="20">
        <v>0</v>
      </c>
      <c r="AI840" s="328" t="s">
        <v>1328</v>
      </c>
      <c r="AJ840" s="328" t="s">
        <v>1328</v>
      </c>
      <c r="AK840" s="328" t="s">
        <v>1328</v>
      </c>
      <c r="AL840" s="22" t="s">
        <v>1329</v>
      </c>
      <c r="AM840" s="22" t="s">
        <v>1330</v>
      </c>
      <c r="AN840" s="22" t="s">
        <v>1317</v>
      </c>
      <c r="AO840" s="22" t="s">
        <v>1318</v>
      </c>
      <c r="AP840" s="22" t="s">
        <v>1318</v>
      </c>
      <c r="AQ840" s="22" t="s">
        <v>1318</v>
      </c>
      <c r="AR840" s="22" t="s">
        <v>1317</v>
      </c>
      <c r="AS840" s="22" t="s">
        <v>1318</v>
      </c>
      <c r="AT840" s="22" t="s">
        <v>1309</v>
      </c>
      <c r="AU840" s="22" t="s">
        <v>1309</v>
      </c>
      <c r="AV840" s="22" t="s">
        <v>1317</v>
      </c>
      <c r="AW840" s="22" t="s">
        <v>1318</v>
      </c>
      <c r="AX840" s="22" t="s">
        <v>1317</v>
      </c>
      <c r="AY840" s="22" t="s">
        <v>1318</v>
      </c>
      <c r="AZ840" s="22" t="s">
        <v>1309</v>
      </c>
      <c r="BA840" s="22" t="s">
        <v>1309</v>
      </c>
      <c r="BB840" s="22" t="s">
        <v>1309</v>
      </c>
      <c r="BC840" s="22" t="s">
        <v>1309</v>
      </c>
      <c r="BD840" s="22" t="s">
        <v>1317</v>
      </c>
      <c r="BE840" s="22" t="s">
        <v>1318</v>
      </c>
      <c r="BF840" s="22" t="s">
        <v>1317</v>
      </c>
      <c r="BG840" s="22" t="s">
        <v>1318</v>
      </c>
      <c r="BH840" s="22" t="s">
        <v>1309</v>
      </c>
      <c r="BI840" s="22" t="s">
        <v>1309</v>
      </c>
      <c r="BJ840" s="22" t="s">
        <v>1309</v>
      </c>
      <c r="BK840" s="22" t="s">
        <v>1309</v>
      </c>
      <c r="BL840" s="22" t="s">
        <v>1309</v>
      </c>
      <c r="BM840" s="22" t="s">
        <v>1309</v>
      </c>
      <c r="BN840" s="22" t="s">
        <v>1309</v>
      </c>
      <c r="BO840" s="22" t="s">
        <v>1309</v>
      </c>
      <c r="BP840" s="22" t="s">
        <v>1315</v>
      </c>
      <c r="BQ840" s="22" t="s">
        <v>1315</v>
      </c>
      <c r="BR840" s="22" t="s">
        <v>1309</v>
      </c>
      <c r="BS840" s="22" t="s">
        <v>1309</v>
      </c>
      <c r="BT840" s="22" t="s">
        <v>1317</v>
      </c>
      <c r="BU840" s="22" t="s">
        <v>1318</v>
      </c>
      <c r="BV840" s="22" t="s">
        <v>1309</v>
      </c>
      <c r="BW840" s="22" t="s">
        <v>1309</v>
      </c>
      <c r="BX840" s="20">
        <v>0</v>
      </c>
      <c r="BY840" s="20">
        <v>0</v>
      </c>
      <c r="BZ840" s="20">
        <v>18</v>
      </c>
      <c r="CA840" s="20">
        <v>0</v>
      </c>
      <c r="CB840" s="20">
        <v>0</v>
      </c>
      <c r="CC840" s="20">
        <v>176</v>
      </c>
      <c r="CD840" s="22" t="s">
        <v>1317</v>
      </c>
      <c r="CE840" s="22" t="s">
        <v>1318</v>
      </c>
      <c r="CF840" s="22" t="s">
        <v>1317</v>
      </c>
      <c r="CG840" s="22" t="s">
        <v>1318</v>
      </c>
      <c r="CH840" s="22" t="s">
        <v>1317</v>
      </c>
      <c r="CI840" s="22" t="s">
        <v>1318</v>
      </c>
      <c r="CJ840" s="149" t="s">
        <v>1124</v>
      </c>
      <c r="CK840" s="241" t="s">
        <v>1358</v>
      </c>
    </row>
    <row r="841" spans="1:89" ht="15" customHeight="1" x14ac:dyDescent="0.35">
      <c r="A841" s="17"/>
      <c r="B841" s="313">
        <v>31025</v>
      </c>
      <c r="C841" s="8" t="s">
        <v>240</v>
      </c>
      <c r="D841" s="18">
        <v>12</v>
      </c>
      <c r="E841" s="131"/>
      <c r="F841" s="22"/>
      <c r="G841" s="132"/>
      <c r="H841" s="22"/>
      <c r="I841" s="22"/>
      <c r="J841" s="22"/>
      <c r="K841" s="22"/>
      <c r="L841" s="22"/>
      <c r="M841" s="133"/>
      <c r="N841" s="22"/>
      <c r="O841" s="22"/>
      <c r="P841" s="22"/>
      <c r="Q841" s="20"/>
      <c r="R841" s="20"/>
      <c r="S841" s="20"/>
      <c r="T841" s="20"/>
      <c r="U841" s="20"/>
      <c r="V841" s="20"/>
      <c r="W841" s="20"/>
      <c r="X841" s="20"/>
      <c r="Y841" s="20"/>
      <c r="Z841" s="20"/>
      <c r="AA841" s="20"/>
      <c r="AB841" s="22"/>
      <c r="AC841" s="20"/>
      <c r="AD841" s="20"/>
      <c r="AE841" s="20"/>
      <c r="AF841" s="20" t="s">
        <v>1124</v>
      </c>
      <c r="AG841" s="20" t="s">
        <v>1124</v>
      </c>
      <c r="AH841" s="20" t="s">
        <v>1124</v>
      </c>
      <c r="AI841" s="328"/>
      <c r="AJ841" s="328"/>
      <c r="AK841" s="328"/>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0"/>
      <c r="BY841" s="20"/>
      <c r="BZ841" s="20"/>
      <c r="CA841" s="20"/>
      <c r="CB841" s="20"/>
      <c r="CC841" s="20"/>
      <c r="CD841" s="22"/>
      <c r="CE841" s="22"/>
      <c r="CF841" s="22"/>
      <c r="CG841" s="22"/>
      <c r="CH841" s="22"/>
      <c r="CI841" s="22"/>
      <c r="CJ841" s="149"/>
      <c r="CK841" s="241"/>
    </row>
    <row r="842" spans="1:89" ht="15" customHeight="1" x14ac:dyDescent="0.35">
      <c r="A842" s="17"/>
      <c r="B842" s="313">
        <v>68040</v>
      </c>
      <c r="C842" s="8" t="s">
        <v>680</v>
      </c>
      <c r="D842" s="18">
        <v>16</v>
      </c>
      <c r="E842" s="131"/>
      <c r="F842" s="22"/>
      <c r="G842" s="132"/>
      <c r="H842" s="22"/>
      <c r="I842" s="22"/>
      <c r="J842" s="22"/>
      <c r="K842" s="22"/>
      <c r="L842" s="22"/>
      <c r="M842" s="133"/>
      <c r="N842" s="22"/>
      <c r="O842" s="22"/>
      <c r="P842" s="22"/>
      <c r="Q842" s="20"/>
      <c r="R842" s="20"/>
      <c r="S842" s="20"/>
      <c r="T842" s="20"/>
      <c r="U842" s="20"/>
      <c r="V842" s="20"/>
      <c r="W842" s="20"/>
      <c r="X842" s="20"/>
      <c r="Y842" s="20"/>
      <c r="Z842" s="20"/>
      <c r="AA842" s="20"/>
      <c r="AB842" s="22"/>
      <c r="AC842" s="20"/>
      <c r="AD842" s="20"/>
      <c r="AE842" s="20"/>
      <c r="AF842" s="20" t="s">
        <v>1124</v>
      </c>
      <c r="AG842" s="20" t="s">
        <v>1124</v>
      </c>
      <c r="AH842" s="20" t="s">
        <v>1124</v>
      </c>
      <c r="AI842" s="328"/>
      <c r="AJ842" s="328"/>
      <c r="AK842" s="328"/>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0"/>
      <c r="BY842" s="20"/>
      <c r="BZ842" s="20"/>
      <c r="CA842" s="20"/>
      <c r="CB842" s="20"/>
      <c r="CC842" s="20"/>
      <c r="CD842" s="22"/>
      <c r="CE842" s="22"/>
      <c r="CF842" s="22"/>
      <c r="CG842" s="22"/>
      <c r="CH842" s="22"/>
      <c r="CI842" s="22"/>
      <c r="CJ842" s="149"/>
      <c r="CK842" s="241"/>
    </row>
    <row r="843" spans="1:89" ht="15" customHeight="1" x14ac:dyDescent="0.35">
      <c r="A843" s="17"/>
      <c r="B843" s="313">
        <v>33065</v>
      </c>
      <c r="C843" s="8" t="s">
        <v>276</v>
      </c>
      <c r="D843" s="18">
        <v>12</v>
      </c>
      <c r="E843" s="131"/>
      <c r="F843" s="22"/>
      <c r="G843" s="132"/>
      <c r="H843" s="22"/>
      <c r="I843" s="22"/>
      <c r="J843" s="22"/>
      <c r="K843" s="22"/>
      <c r="L843" s="22"/>
      <c r="M843" s="133"/>
      <c r="N843" s="22"/>
      <c r="O843" s="22"/>
      <c r="P843" s="22"/>
      <c r="Q843" s="20"/>
      <c r="R843" s="20"/>
      <c r="S843" s="20"/>
      <c r="T843" s="20"/>
      <c r="U843" s="20"/>
      <c r="V843" s="20"/>
      <c r="W843" s="20"/>
      <c r="X843" s="20"/>
      <c r="Y843" s="20"/>
      <c r="Z843" s="20"/>
      <c r="AA843" s="20"/>
      <c r="AB843" s="22"/>
      <c r="AC843" s="20"/>
      <c r="AD843" s="20"/>
      <c r="AE843" s="20"/>
      <c r="AF843" s="20" t="s">
        <v>1124</v>
      </c>
      <c r="AG843" s="20" t="s">
        <v>1124</v>
      </c>
      <c r="AH843" s="20" t="s">
        <v>1124</v>
      </c>
      <c r="AI843" s="328"/>
      <c r="AJ843" s="328"/>
      <c r="AK843" s="328"/>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0"/>
      <c r="BY843" s="20"/>
      <c r="BZ843" s="20"/>
      <c r="CA843" s="20"/>
      <c r="CB843" s="20"/>
      <c r="CC843" s="20"/>
      <c r="CD843" s="22"/>
      <c r="CE843" s="22"/>
      <c r="CF843" s="22"/>
      <c r="CG843" s="22"/>
      <c r="CH843" s="22"/>
      <c r="CI843" s="22"/>
      <c r="CJ843" s="149"/>
      <c r="CK843" s="241"/>
    </row>
    <row r="844" spans="1:89" ht="15" customHeight="1" x14ac:dyDescent="0.35">
      <c r="A844" s="17"/>
      <c r="B844" s="313">
        <v>57033</v>
      </c>
      <c r="C844" s="8" t="s">
        <v>586</v>
      </c>
      <c r="D844" s="18">
        <v>16</v>
      </c>
      <c r="E844" s="131" t="s">
        <v>1309</v>
      </c>
      <c r="F844" s="22" t="s">
        <v>1309</v>
      </c>
      <c r="G844" s="132" t="s">
        <v>1309</v>
      </c>
      <c r="H844" s="22" t="s">
        <v>1311</v>
      </c>
      <c r="I844" s="22" t="s">
        <v>1327</v>
      </c>
      <c r="J844" s="22" t="s">
        <v>1327</v>
      </c>
      <c r="K844" s="22" t="s">
        <v>1309</v>
      </c>
      <c r="L844" s="22" t="s">
        <v>1309</v>
      </c>
      <c r="M844" s="133" t="s">
        <v>1311</v>
      </c>
      <c r="N844" s="22" t="s">
        <v>1311</v>
      </c>
      <c r="O844" s="22" t="s">
        <v>1309</v>
      </c>
      <c r="P844" s="22" t="s">
        <v>1309</v>
      </c>
      <c r="Q844" s="20">
        <v>6</v>
      </c>
      <c r="R844" s="20">
        <v>6</v>
      </c>
      <c r="S844" s="20">
        <v>0</v>
      </c>
      <c r="T844" s="20">
        <v>0</v>
      </c>
      <c r="U844" s="20">
        <v>0</v>
      </c>
      <c r="V844" s="20">
        <v>0</v>
      </c>
      <c r="W844" s="20">
        <v>0</v>
      </c>
      <c r="X844" s="20">
        <v>0</v>
      </c>
      <c r="Y844" s="20">
        <v>0</v>
      </c>
      <c r="Z844" s="20">
        <v>0</v>
      </c>
      <c r="AA844" s="20" t="s">
        <v>1317</v>
      </c>
      <c r="AB844" s="22" t="s">
        <v>1318</v>
      </c>
      <c r="AC844" s="20">
        <v>1</v>
      </c>
      <c r="AD844" s="20">
        <v>4</v>
      </c>
      <c r="AE844" s="20">
        <v>0</v>
      </c>
      <c r="AF844" s="20">
        <v>5</v>
      </c>
      <c r="AG844" s="20">
        <v>5</v>
      </c>
      <c r="AH844" s="20">
        <v>0</v>
      </c>
      <c r="AI844" s="328">
        <v>2.2799817601459189</v>
      </c>
      <c r="AJ844" s="328">
        <v>3.9525691699604741</v>
      </c>
      <c r="AK844" s="328" t="s">
        <v>1328</v>
      </c>
      <c r="AL844" s="22" t="s">
        <v>1316</v>
      </c>
      <c r="AM844" s="22" t="s">
        <v>1316</v>
      </c>
      <c r="AN844" s="22" t="s">
        <v>1317</v>
      </c>
      <c r="AO844" s="22" t="s">
        <v>1318</v>
      </c>
      <c r="AP844" s="22" t="s">
        <v>1318</v>
      </c>
      <c r="AQ844" s="22" t="s">
        <v>1318</v>
      </c>
      <c r="AR844" s="22" t="s">
        <v>1317</v>
      </c>
      <c r="AS844" s="22" t="s">
        <v>1318</v>
      </c>
      <c r="AT844" s="22" t="s">
        <v>1309</v>
      </c>
      <c r="AU844" s="22" t="s">
        <v>1311</v>
      </c>
      <c r="AV844" s="22" t="s">
        <v>1317</v>
      </c>
      <c r="AW844" s="22" t="s">
        <v>1318</v>
      </c>
      <c r="AX844" s="22" t="s">
        <v>1317</v>
      </c>
      <c r="AY844" s="22" t="s">
        <v>1318</v>
      </c>
      <c r="AZ844" s="22" t="s">
        <v>1309</v>
      </c>
      <c r="BA844" s="22" t="s">
        <v>1309</v>
      </c>
      <c r="BB844" s="22" t="s">
        <v>1309</v>
      </c>
      <c r="BC844" s="22" t="s">
        <v>1309</v>
      </c>
      <c r="BD844" s="22" t="s">
        <v>1309</v>
      </c>
      <c r="BE844" s="22" t="s">
        <v>1309</v>
      </c>
      <c r="BF844" s="22" t="s">
        <v>1309</v>
      </c>
      <c r="BG844" s="22" t="s">
        <v>1309</v>
      </c>
      <c r="BH844" s="22" t="s">
        <v>1317</v>
      </c>
      <c r="BI844" s="22" t="s">
        <v>1318</v>
      </c>
      <c r="BJ844" s="22" t="s">
        <v>1309</v>
      </c>
      <c r="BK844" s="22" t="s">
        <v>1309</v>
      </c>
      <c r="BL844" s="22" t="s">
        <v>1317</v>
      </c>
      <c r="BM844" s="22" t="s">
        <v>1311</v>
      </c>
      <c r="BN844" s="22" t="s">
        <v>1309</v>
      </c>
      <c r="BO844" s="22" t="s">
        <v>1309</v>
      </c>
      <c r="BP844" s="22" t="s">
        <v>1309</v>
      </c>
      <c r="BQ844" s="22" t="s">
        <v>1309</v>
      </c>
      <c r="BR844" s="22" t="s">
        <v>1309</v>
      </c>
      <c r="BS844" s="22" t="s">
        <v>1309</v>
      </c>
      <c r="BT844" s="22" t="s">
        <v>1309</v>
      </c>
      <c r="BU844" s="22" t="s">
        <v>1309</v>
      </c>
      <c r="BV844" s="22" t="s">
        <v>1309</v>
      </c>
      <c r="BW844" s="22" t="s">
        <v>1309</v>
      </c>
      <c r="BX844" s="20">
        <v>41</v>
      </c>
      <c r="BY844" s="20">
        <v>0</v>
      </c>
      <c r="BZ844" s="20">
        <v>0</v>
      </c>
      <c r="CA844" s="20">
        <v>971</v>
      </c>
      <c r="CB844" s="20">
        <v>0</v>
      </c>
      <c r="CC844" s="20">
        <v>0</v>
      </c>
      <c r="CD844" s="22" t="s">
        <v>1331</v>
      </c>
      <c r="CE844" s="22" t="s">
        <v>1331</v>
      </c>
      <c r="CF844" s="22" t="s">
        <v>1331</v>
      </c>
      <c r="CG844" s="22" t="s">
        <v>1331</v>
      </c>
      <c r="CH844" s="22" t="s">
        <v>1317</v>
      </c>
      <c r="CI844" s="22" t="s">
        <v>1318</v>
      </c>
      <c r="CJ844" s="149" t="s">
        <v>1124</v>
      </c>
      <c r="CK844" s="241" t="s">
        <v>1124</v>
      </c>
    </row>
    <row r="845" spans="1:89" ht="15" customHeight="1" x14ac:dyDescent="0.35">
      <c r="A845" s="17"/>
      <c r="B845" s="313">
        <v>31100</v>
      </c>
      <c r="C845" s="8" t="s">
        <v>250</v>
      </c>
      <c r="D845" s="18">
        <v>12</v>
      </c>
      <c r="E845" s="131"/>
      <c r="F845" s="22"/>
      <c r="G845" s="132"/>
      <c r="H845" s="22"/>
      <c r="I845" s="22"/>
      <c r="J845" s="22"/>
      <c r="K845" s="22"/>
      <c r="L845" s="22"/>
      <c r="M845" s="133"/>
      <c r="N845" s="22"/>
      <c r="O845" s="22"/>
      <c r="P845" s="22"/>
      <c r="Q845" s="20"/>
      <c r="R845" s="20"/>
      <c r="S845" s="20"/>
      <c r="T845" s="20"/>
      <c r="U845" s="20"/>
      <c r="V845" s="20"/>
      <c r="W845" s="20"/>
      <c r="X845" s="20"/>
      <c r="Y845" s="20"/>
      <c r="Z845" s="20"/>
      <c r="AA845" s="20"/>
      <c r="AB845" s="22"/>
      <c r="AC845" s="20"/>
      <c r="AD845" s="20"/>
      <c r="AE845" s="20"/>
      <c r="AF845" s="20" t="s">
        <v>1124</v>
      </c>
      <c r="AG845" s="20" t="s">
        <v>1124</v>
      </c>
      <c r="AH845" s="20" t="s">
        <v>1124</v>
      </c>
      <c r="AI845" s="328"/>
      <c r="AJ845" s="328"/>
      <c r="AK845" s="328"/>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0"/>
      <c r="BY845" s="20"/>
      <c r="BZ845" s="20"/>
      <c r="CA845" s="20"/>
      <c r="CB845" s="20"/>
      <c r="CC845" s="20"/>
      <c r="CD845" s="22"/>
      <c r="CE845" s="22"/>
      <c r="CF845" s="22"/>
      <c r="CG845" s="22"/>
      <c r="CH845" s="22"/>
      <c r="CI845" s="22"/>
      <c r="CJ845" s="149"/>
      <c r="CK845" s="241"/>
    </row>
    <row r="846" spans="1:89" ht="15" customHeight="1" x14ac:dyDescent="0.35">
      <c r="A846" s="17"/>
      <c r="B846" s="313">
        <v>8010</v>
      </c>
      <c r="C846" s="8" t="s">
        <v>1087</v>
      </c>
      <c r="D846" s="18">
        <v>1</v>
      </c>
      <c r="E846" s="131"/>
      <c r="F846" s="22"/>
      <c r="G846" s="132"/>
      <c r="H846" s="22"/>
      <c r="I846" s="22"/>
      <c r="J846" s="22"/>
      <c r="K846" s="22"/>
      <c r="L846" s="22"/>
      <c r="M846" s="133"/>
      <c r="N846" s="22"/>
      <c r="O846" s="22"/>
      <c r="P846" s="22"/>
      <c r="Q846" s="20"/>
      <c r="R846" s="20"/>
      <c r="S846" s="20"/>
      <c r="T846" s="20"/>
      <c r="U846" s="20"/>
      <c r="V846" s="20"/>
      <c r="W846" s="20"/>
      <c r="X846" s="20"/>
      <c r="Y846" s="20"/>
      <c r="Z846" s="20"/>
      <c r="AA846" s="20"/>
      <c r="AB846" s="22"/>
      <c r="AC846" s="20"/>
      <c r="AD846" s="20"/>
      <c r="AE846" s="20"/>
      <c r="AF846" s="20" t="s">
        <v>1124</v>
      </c>
      <c r="AG846" s="20" t="s">
        <v>1124</v>
      </c>
      <c r="AH846" s="20" t="s">
        <v>1124</v>
      </c>
      <c r="AI846" s="328"/>
      <c r="AJ846" s="328"/>
      <c r="AK846" s="328"/>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0"/>
      <c r="BY846" s="20"/>
      <c r="BZ846" s="20"/>
      <c r="CA846" s="20"/>
      <c r="CB846" s="20"/>
      <c r="CC846" s="20"/>
      <c r="CD846" s="22"/>
      <c r="CE846" s="22"/>
      <c r="CF846" s="22"/>
      <c r="CG846" s="22"/>
      <c r="CH846" s="22"/>
      <c r="CI846" s="22"/>
      <c r="CJ846" s="149"/>
      <c r="CK846" s="241"/>
    </row>
    <row r="847" spans="1:89" ht="15" customHeight="1" x14ac:dyDescent="0.35">
      <c r="A847" s="17"/>
      <c r="B847" s="313">
        <v>11010</v>
      </c>
      <c r="C847" s="8" t="s">
        <v>18</v>
      </c>
      <c r="D847" s="18">
        <v>1</v>
      </c>
      <c r="E847" s="131" t="s">
        <v>1309</v>
      </c>
      <c r="F847" s="22" t="s">
        <v>1309</v>
      </c>
      <c r="G847" s="132" t="s">
        <v>1309</v>
      </c>
      <c r="H847" s="22" t="s">
        <v>1311</v>
      </c>
      <c r="I847" s="22" t="s">
        <v>1327</v>
      </c>
      <c r="J847" s="22" t="s">
        <v>1327</v>
      </c>
      <c r="K847" s="22" t="s">
        <v>1309</v>
      </c>
      <c r="L847" s="22" t="s">
        <v>1309</v>
      </c>
      <c r="M847" s="133" t="s">
        <v>1311</v>
      </c>
      <c r="N847" s="22" t="s">
        <v>1311</v>
      </c>
      <c r="O847" s="22" t="s">
        <v>1314</v>
      </c>
      <c r="P847" s="22" t="s">
        <v>1318</v>
      </c>
      <c r="Q847" s="20">
        <v>0</v>
      </c>
      <c r="R847" s="20">
        <v>0</v>
      </c>
      <c r="S847" s="20">
        <v>0</v>
      </c>
      <c r="T847" s="20">
        <v>0</v>
      </c>
      <c r="U847" s="20">
        <v>0</v>
      </c>
      <c r="V847" s="20">
        <v>0</v>
      </c>
      <c r="W847" s="20">
        <v>0</v>
      </c>
      <c r="X847" s="20">
        <v>0</v>
      </c>
      <c r="Y847" s="20">
        <v>0</v>
      </c>
      <c r="Z847" s="20">
        <v>0</v>
      </c>
      <c r="AA847" s="20" t="s">
        <v>1317</v>
      </c>
      <c r="AB847" s="22" t="s">
        <v>1318</v>
      </c>
      <c r="AC847" s="20">
        <v>0</v>
      </c>
      <c r="AD847" s="20">
        <v>0</v>
      </c>
      <c r="AE847" s="20">
        <v>0</v>
      </c>
      <c r="AF847" s="20">
        <v>0</v>
      </c>
      <c r="AG847" s="20">
        <v>0</v>
      </c>
      <c r="AH847" s="20">
        <v>0</v>
      </c>
      <c r="AI847" s="328" t="s">
        <v>1328</v>
      </c>
      <c r="AJ847" s="328" t="s">
        <v>1328</v>
      </c>
      <c r="AK847" s="328" t="s">
        <v>1328</v>
      </c>
      <c r="AL847" s="22" t="s">
        <v>1316</v>
      </c>
      <c r="AM847" s="22" t="s">
        <v>1316</v>
      </c>
      <c r="AN847" s="22" t="s">
        <v>1317</v>
      </c>
      <c r="AO847" s="22" t="s">
        <v>1318</v>
      </c>
      <c r="AP847" s="22" t="s">
        <v>1318</v>
      </c>
      <c r="AQ847" s="22" t="s">
        <v>1318</v>
      </c>
      <c r="AR847" s="22" t="s">
        <v>1317</v>
      </c>
      <c r="AS847" s="22" t="s">
        <v>1318</v>
      </c>
      <c r="AT847" s="22" t="s">
        <v>1317</v>
      </c>
      <c r="AU847" s="22" t="s">
        <v>1318</v>
      </c>
      <c r="AV847" s="22" t="s">
        <v>1317</v>
      </c>
      <c r="AW847" s="22" t="s">
        <v>1318</v>
      </c>
      <c r="AX847" s="22" t="s">
        <v>1317</v>
      </c>
      <c r="AY847" s="22" t="s">
        <v>1318</v>
      </c>
      <c r="AZ847" s="22" t="s">
        <v>1309</v>
      </c>
      <c r="BA847" s="22" t="s">
        <v>1309</v>
      </c>
      <c r="BB847" s="22" t="s">
        <v>1309</v>
      </c>
      <c r="BC847" s="22" t="s">
        <v>1309</v>
      </c>
      <c r="BD847" s="22" t="s">
        <v>1317</v>
      </c>
      <c r="BE847" s="22" t="s">
        <v>1318</v>
      </c>
      <c r="BF847" s="22" t="s">
        <v>1317</v>
      </c>
      <c r="BG847" s="22" t="s">
        <v>1318</v>
      </c>
      <c r="BH847" s="22" t="s">
        <v>1309</v>
      </c>
      <c r="BI847" s="22" t="s">
        <v>1309</v>
      </c>
      <c r="BJ847" s="22" t="s">
        <v>1309</v>
      </c>
      <c r="BK847" s="22" t="s">
        <v>1309</v>
      </c>
      <c r="BL847" s="22" t="s">
        <v>1317</v>
      </c>
      <c r="BM847" s="22" t="s">
        <v>1318</v>
      </c>
      <c r="BN847" s="22" t="s">
        <v>1317</v>
      </c>
      <c r="BO847" s="22" t="s">
        <v>1318</v>
      </c>
      <c r="BP847" s="22" t="s">
        <v>1309</v>
      </c>
      <c r="BQ847" s="22" t="s">
        <v>1309</v>
      </c>
      <c r="BR847" s="22" t="s">
        <v>1309</v>
      </c>
      <c r="BS847" s="22" t="s">
        <v>1309</v>
      </c>
      <c r="BT847" s="22" t="s">
        <v>1315</v>
      </c>
      <c r="BU847" s="22" t="s">
        <v>1315</v>
      </c>
      <c r="BV847" s="22" t="s">
        <v>1309</v>
      </c>
      <c r="BW847" s="22" t="s">
        <v>1309</v>
      </c>
      <c r="BX847" s="20">
        <v>0</v>
      </c>
      <c r="BY847" s="20">
        <v>0</v>
      </c>
      <c r="BZ847" s="20">
        <v>58</v>
      </c>
      <c r="CA847" s="20">
        <v>0</v>
      </c>
      <c r="CB847" s="20">
        <v>0</v>
      </c>
      <c r="CC847" s="20">
        <v>530</v>
      </c>
      <c r="CD847" s="22" t="s">
        <v>1317</v>
      </c>
      <c r="CE847" s="22" t="s">
        <v>1318</v>
      </c>
      <c r="CF847" s="22" t="s">
        <v>1317</v>
      </c>
      <c r="CG847" s="22" t="s">
        <v>1318</v>
      </c>
      <c r="CH847" s="22" t="s">
        <v>1317</v>
      </c>
      <c r="CI847" s="22" t="s">
        <v>1318</v>
      </c>
      <c r="CJ847" s="149" t="s">
        <v>1124</v>
      </c>
      <c r="CK847" s="241" t="s">
        <v>1124</v>
      </c>
    </row>
    <row r="848" spans="1:89" ht="15" customHeight="1" x14ac:dyDescent="0.35">
      <c r="A848" s="17"/>
      <c r="B848" s="313">
        <v>13010</v>
      </c>
      <c r="C848" s="8" t="s">
        <v>42</v>
      </c>
      <c r="D848" s="18">
        <v>1</v>
      </c>
      <c r="E848" s="131"/>
      <c r="F848" s="22"/>
      <c r="G848" s="132"/>
      <c r="H848" s="22"/>
      <c r="I848" s="22"/>
      <c r="J848" s="22"/>
      <c r="K848" s="22"/>
      <c r="L848" s="22"/>
      <c r="M848" s="133"/>
      <c r="N848" s="22"/>
      <c r="O848" s="22"/>
      <c r="P848" s="22"/>
      <c r="Q848" s="20"/>
      <c r="R848" s="20"/>
      <c r="S848" s="20"/>
      <c r="T848" s="20"/>
      <c r="U848" s="20"/>
      <c r="V848" s="20"/>
      <c r="W848" s="20"/>
      <c r="X848" s="20"/>
      <c r="Y848" s="20"/>
      <c r="Z848" s="20"/>
      <c r="AA848" s="20"/>
      <c r="AB848" s="22"/>
      <c r="AC848" s="20"/>
      <c r="AD848" s="20"/>
      <c r="AE848" s="20"/>
      <c r="AF848" s="20" t="s">
        <v>1124</v>
      </c>
      <c r="AG848" s="20" t="s">
        <v>1124</v>
      </c>
      <c r="AH848" s="20" t="s">
        <v>1124</v>
      </c>
      <c r="AI848" s="328"/>
      <c r="AJ848" s="328"/>
      <c r="AK848" s="328"/>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0"/>
      <c r="BY848" s="20"/>
      <c r="BZ848" s="20"/>
      <c r="CA848" s="20"/>
      <c r="CB848" s="20"/>
      <c r="CC848" s="20"/>
      <c r="CD848" s="22"/>
      <c r="CE848" s="22"/>
      <c r="CF848" s="22"/>
      <c r="CG848" s="22"/>
      <c r="CH848" s="22"/>
      <c r="CI848" s="22"/>
      <c r="CJ848" s="149"/>
      <c r="CK848" s="241"/>
    </row>
    <row r="849" spans="1:89" ht="15" customHeight="1" x14ac:dyDescent="0.35">
      <c r="A849" s="17"/>
      <c r="B849" s="313">
        <v>20015</v>
      </c>
      <c r="C849" s="8" t="s">
        <v>140</v>
      </c>
      <c r="D849" s="18">
        <v>3</v>
      </c>
      <c r="E849" s="131"/>
      <c r="F849" s="22"/>
      <c r="G849" s="132"/>
      <c r="H849" s="22"/>
      <c r="I849" s="22"/>
      <c r="J849" s="22"/>
      <c r="K849" s="22"/>
      <c r="L849" s="22"/>
      <c r="M849" s="133"/>
      <c r="N849" s="22"/>
      <c r="O849" s="22"/>
      <c r="P849" s="22"/>
      <c r="Q849" s="20"/>
      <c r="R849" s="20"/>
      <c r="S849" s="20"/>
      <c r="T849" s="20"/>
      <c r="U849" s="20"/>
      <c r="V849" s="20"/>
      <c r="W849" s="20"/>
      <c r="X849" s="20"/>
      <c r="Y849" s="20"/>
      <c r="Z849" s="20"/>
      <c r="AA849" s="20"/>
      <c r="AB849" s="22"/>
      <c r="AC849" s="20"/>
      <c r="AD849" s="20"/>
      <c r="AE849" s="20"/>
      <c r="AF849" s="20" t="s">
        <v>1124</v>
      </c>
      <c r="AG849" s="20" t="s">
        <v>1124</v>
      </c>
      <c r="AH849" s="20" t="s">
        <v>1124</v>
      </c>
      <c r="AI849" s="328"/>
      <c r="AJ849" s="328"/>
      <c r="AK849" s="328"/>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0"/>
      <c r="BY849" s="20"/>
      <c r="BZ849" s="20"/>
      <c r="CA849" s="20"/>
      <c r="CB849" s="20"/>
      <c r="CC849" s="20"/>
      <c r="CD849" s="22"/>
      <c r="CE849" s="22"/>
      <c r="CF849" s="22"/>
      <c r="CG849" s="22"/>
      <c r="CH849" s="22"/>
      <c r="CI849" s="22"/>
      <c r="CJ849" s="149"/>
      <c r="CK849" s="241"/>
    </row>
    <row r="850" spans="1:89" ht="15" customHeight="1" x14ac:dyDescent="0.35">
      <c r="A850" s="17"/>
      <c r="B850" s="313">
        <v>62015</v>
      </c>
      <c r="C850" s="8" t="s">
        <v>620</v>
      </c>
      <c r="D850" s="18">
        <v>14</v>
      </c>
      <c r="E850" s="131" t="s">
        <v>1309</v>
      </c>
      <c r="F850" s="22" t="s">
        <v>1309</v>
      </c>
      <c r="G850" s="132" t="s">
        <v>1309</v>
      </c>
      <c r="H850" s="22" t="s">
        <v>1311</v>
      </c>
      <c r="I850" s="22" t="s">
        <v>1327</v>
      </c>
      <c r="J850" s="22" t="s">
        <v>1327</v>
      </c>
      <c r="K850" s="22" t="s">
        <v>1314</v>
      </c>
      <c r="L850" s="22" t="s">
        <v>1311</v>
      </c>
      <c r="M850" s="133" t="s">
        <v>1311</v>
      </c>
      <c r="N850" s="22" t="s">
        <v>1311</v>
      </c>
      <c r="O850" s="22" t="s">
        <v>1314</v>
      </c>
      <c r="P850" s="22" t="s">
        <v>1318</v>
      </c>
      <c r="Q850" s="20">
        <v>0</v>
      </c>
      <c r="R850" s="20">
        <v>0</v>
      </c>
      <c r="S850" s="20">
        <v>14.611499999999999</v>
      </c>
      <c r="T850" s="20">
        <v>0</v>
      </c>
      <c r="U850" s="20">
        <v>0</v>
      </c>
      <c r="V850" s="20">
        <v>9.7409999999999997</v>
      </c>
      <c r="W850" s="20">
        <v>0</v>
      </c>
      <c r="X850" s="20">
        <v>0</v>
      </c>
      <c r="Y850" s="20">
        <v>0</v>
      </c>
      <c r="Z850" s="20">
        <v>0</v>
      </c>
      <c r="AA850" s="20" t="s">
        <v>1317</v>
      </c>
      <c r="AB850" s="22" t="s">
        <v>1309</v>
      </c>
      <c r="AC850" s="20">
        <v>1</v>
      </c>
      <c r="AD850" s="20">
        <v>0</v>
      </c>
      <c r="AE850" s="20">
        <v>0</v>
      </c>
      <c r="AF850" s="20">
        <v>1</v>
      </c>
      <c r="AG850" s="20">
        <v>0</v>
      </c>
      <c r="AH850" s="20">
        <v>0</v>
      </c>
      <c r="AI850" s="328">
        <v>10.265886459295761</v>
      </c>
      <c r="AJ850" s="328" t="s">
        <v>1328</v>
      </c>
      <c r="AK850" s="328" t="s">
        <v>1328</v>
      </c>
      <c r="AL850" s="22" t="s">
        <v>1329</v>
      </c>
      <c r="AM850" s="22" t="s">
        <v>1330</v>
      </c>
      <c r="AN850" s="22" t="s">
        <v>1317</v>
      </c>
      <c r="AO850" s="22" t="s">
        <v>1318</v>
      </c>
      <c r="AP850" s="22" t="s">
        <v>1318</v>
      </c>
      <c r="AQ850" s="22" t="s">
        <v>1318</v>
      </c>
      <c r="AR850" s="22" t="s">
        <v>1317</v>
      </c>
      <c r="AS850" s="22" t="s">
        <v>1318</v>
      </c>
      <c r="AT850" s="22" t="s">
        <v>1309</v>
      </c>
      <c r="AU850" s="22" t="s">
        <v>1309</v>
      </c>
      <c r="AV850" s="22" t="s">
        <v>1317</v>
      </c>
      <c r="AW850" s="22" t="s">
        <v>1318</v>
      </c>
      <c r="AX850" s="22" t="s">
        <v>1317</v>
      </c>
      <c r="AY850" s="22" t="s">
        <v>1318</v>
      </c>
      <c r="AZ850" s="22" t="s">
        <v>1309</v>
      </c>
      <c r="BA850" s="22" t="s">
        <v>1309</v>
      </c>
      <c r="BB850" s="22" t="s">
        <v>1309</v>
      </c>
      <c r="BC850" s="22" t="s">
        <v>1309</v>
      </c>
      <c r="BD850" s="22" t="s">
        <v>1317</v>
      </c>
      <c r="BE850" s="22" t="s">
        <v>1318</v>
      </c>
      <c r="BF850" s="22" t="s">
        <v>1317</v>
      </c>
      <c r="BG850" s="22" t="s">
        <v>1311</v>
      </c>
      <c r="BH850" s="22" t="s">
        <v>1317</v>
      </c>
      <c r="BI850" s="22" t="s">
        <v>1318</v>
      </c>
      <c r="BJ850" s="22" t="s">
        <v>1309</v>
      </c>
      <c r="BK850" s="22" t="s">
        <v>1309</v>
      </c>
      <c r="BL850" s="22" t="s">
        <v>1319</v>
      </c>
      <c r="BM850" s="22" t="s">
        <v>1311</v>
      </c>
      <c r="BN850" s="22" t="s">
        <v>1309</v>
      </c>
      <c r="BO850" s="22" t="s">
        <v>1309</v>
      </c>
      <c r="BP850" s="22" t="s">
        <v>1309</v>
      </c>
      <c r="BQ850" s="22" t="s">
        <v>1309</v>
      </c>
      <c r="BR850" s="22" t="s">
        <v>1309</v>
      </c>
      <c r="BS850" s="22" t="s">
        <v>1309</v>
      </c>
      <c r="BT850" s="22" t="s">
        <v>1309</v>
      </c>
      <c r="BU850" s="22" t="s">
        <v>1309</v>
      </c>
      <c r="BV850" s="22" t="s">
        <v>1309</v>
      </c>
      <c r="BW850" s="22" t="s">
        <v>1309</v>
      </c>
      <c r="BX850" s="20">
        <v>0</v>
      </c>
      <c r="BY850" s="20">
        <v>1</v>
      </c>
      <c r="BZ850" s="20">
        <v>76</v>
      </c>
      <c r="CA850" s="20">
        <v>0</v>
      </c>
      <c r="CB850" s="20">
        <v>0</v>
      </c>
      <c r="CC850" s="20">
        <v>481</v>
      </c>
      <c r="CD850" s="22" t="s">
        <v>1320</v>
      </c>
      <c r="CE850" s="22" t="s">
        <v>1344</v>
      </c>
      <c r="CF850" s="22" t="s">
        <v>1317</v>
      </c>
      <c r="CG850" s="22" t="s">
        <v>1340</v>
      </c>
      <c r="CH850" s="22" t="s">
        <v>1317</v>
      </c>
      <c r="CI850" s="22" t="s">
        <v>1318</v>
      </c>
      <c r="CJ850" s="149" t="s">
        <v>3162</v>
      </c>
      <c r="CK850" s="241" t="s">
        <v>3163</v>
      </c>
    </row>
    <row r="851" spans="1:89" ht="15" customHeight="1" x14ac:dyDescent="0.35">
      <c r="A851" s="17"/>
      <c r="B851" s="313">
        <v>17070</v>
      </c>
      <c r="C851" s="8" t="s">
        <v>102</v>
      </c>
      <c r="D851" s="18">
        <v>12</v>
      </c>
      <c r="E851" s="131"/>
      <c r="F851" s="22"/>
      <c r="G851" s="132"/>
      <c r="H851" s="22"/>
      <c r="I851" s="22"/>
      <c r="J851" s="22"/>
      <c r="K851" s="22"/>
      <c r="L851" s="22"/>
      <c r="M851" s="133"/>
      <c r="N851" s="22"/>
      <c r="O851" s="22"/>
      <c r="P851" s="22"/>
      <c r="Q851" s="20"/>
      <c r="R851" s="20"/>
      <c r="S851" s="20"/>
      <c r="T851" s="20"/>
      <c r="U851" s="20"/>
      <c r="V851" s="20"/>
      <c r="W851" s="20"/>
      <c r="X851" s="20"/>
      <c r="Y851" s="20"/>
      <c r="Z851" s="20"/>
      <c r="AA851" s="20"/>
      <c r="AB851" s="22"/>
      <c r="AC851" s="20"/>
      <c r="AD851" s="20"/>
      <c r="AE851" s="20"/>
      <c r="AF851" s="20" t="s">
        <v>1124</v>
      </c>
      <c r="AG851" s="20" t="s">
        <v>1124</v>
      </c>
      <c r="AH851" s="20" t="s">
        <v>1124</v>
      </c>
      <c r="AI851" s="328"/>
      <c r="AJ851" s="328"/>
      <c r="AK851" s="328"/>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0"/>
      <c r="BY851" s="20"/>
      <c r="BZ851" s="20"/>
      <c r="CA851" s="20"/>
      <c r="CB851" s="20"/>
      <c r="CC851" s="20"/>
      <c r="CD851" s="22"/>
      <c r="CE851" s="22"/>
      <c r="CF851" s="22"/>
      <c r="CG851" s="22"/>
      <c r="CH851" s="22"/>
      <c r="CI851" s="22"/>
      <c r="CJ851" s="149"/>
      <c r="CK851" s="241"/>
    </row>
    <row r="852" spans="1:89" ht="15" customHeight="1" x14ac:dyDescent="0.35">
      <c r="A852" s="17"/>
      <c r="B852" s="313">
        <v>56083</v>
      </c>
      <c r="C852" s="8" t="s">
        <v>578</v>
      </c>
      <c r="D852" s="18">
        <v>16</v>
      </c>
      <c r="E852" s="131" t="s">
        <v>1309</v>
      </c>
      <c r="F852" s="22" t="s">
        <v>1309</v>
      </c>
      <c r="G852" s="132" t="s">
        <v>1309</v>
      </c>
      <c r="H852" s="22" t="s">
        <v>1311</v>
      </c>
      <c r="I852" s="22" t="s">
        <v>1327</v>
      </c>
      <c r="J852" s="22" t="s">
        <v>1327</v>
      </c>
      <c r="K852" s="22" t="s">
        <v>1319</v>
      </c>
      <c r="L852" s="22" t="s">
        <v>1311</v>
      </c>
      <c r="M852" s="133" t="s">
        <v>1311</v>
      </c>
      <c r="N852" s="22" t="s">
        <v>1311</v>
      </c>
      <c r="O852" s="22" t="s">
        <v>1309</v>
      </c>
      <c r="P852" s="22" t="s">
        <v>1309</v>
      </c>
      <c r="Q852" s="20">
        <v>0</v>
      </c>
      <c r="R852" s="20">
        <v>0</v>
      </c>
      <c r="S852" s="20">
        <v>497.54</v>
      </c>
      <c r="T852" s="20">
        <v>497.54</v>
      </c>
      <c r="U852" s="20">
        <v>0</v>
      </c>
      <c r="V852" s="20">
        <v>85</v>
      </c>
      <c r="W852" s="20">
        <v>0</v>
      </c>
      <c r="X852" s="20">
        <v>0</v>
      </c>
      <c r="Y852" s="20">
        <v>0</v>
      </c>
      <c r="Z852" s="20">
        <v>55</v>
      </c>
      <c r="AA852" s="20" t="s">
        <v>1309</v>
      </c>
      <c r="AB852" s="22" t="s">
        <v>1309</v>
      </c>
      <c r="AC852" s="20">
        <v>118</v>
      </c>
      <c r="AD852" s="20">
        <v>42</v>
      </c>
      <c r="AE852" s="20">
        <v>13</v>
      </c>
      <c r="AF852" s="20">
        <v>3</v>
      </c>
      <c r="AG852" s="20">
        <v>4</v>
      </c>
      <c r="AH852" s="20">
        <v>15</v>
      </c>
      <c r="AI852" s="328">
        <v>23.716686095590305</v>
      </c>
      <c r="AJ852" s="328">
        <v>1.3274336283185841</v>
      </c>
      <c r="AK852" s="328">
        <v>0.41087231352718079</v>
      </c>
      <c r="AL852" s="22" t="s">
        <v>1329</v>
      </c>
      <c r="AM852" s="22" t="s">
        <v>1330</v>
      </c>
      <c r="AN852" s="22" t="s">
        <v>1319</v>
      </c>
      <c r="AO852" s="22" t="s">
        <v>1311</v>
      </c>
      <c r="AP852" s="22" t="s">
        <v>1318</v>
      </c>
      <c r="AQ852" s="22" t="s">
        <v>1318</v>
      </c>
      <c r="AR852" s="22" t="s">
        <v>1317</v>
      </c>
      <c r="AS852" s="22" t="s">
        <v>1318</v>
      </c>
      <c r="AT852" s="22" t="s">
        <v>1317</v>
      </c>
      <c r="AU852" s="22" t="s">
        <v>1318</v>
      </c>
      <c r="AV852" s="22" t="s">
        <v>1319</v>
      </c>
      <c r="AW852" s="22" t="s">
        <v>1311</v>
      </c>
      <c r="AX852" s="22" t="s">
        <v>1317</v>
      </c>
      <c r="AY852" s="22" t="s">
        <v>1318</v>
      </c>
      <c r="AZ852" s="22" t="s">
        <v>1309</v>
      </c>
      <c r="BA852" s="22" t="s">
        <v>1311</v>
      </c>
      <c r="BB852" s="22" t="s">
        <v>1309</v>
      </c>
      <c r="BC852" s="22" t="s">
        <v>1311</v>
      </c>
      <c r="BD852" s="22" t="s">
        <v>1309</v>
      </c>
      <c r="BE852" s="22" t="s">
        <v>1311</v>
      </c>
      <c r="BF852" s="22" t="s">
        <v>1317</v>
      </c>
      <c r="BG852" s="22" t="s">
        <v>1318</v>
      </c>
      <c r="BH852" s="22" t="s">
        <v>1309</v>
      </c>
      <c r="BI852" s="22" t="s">
        <v>1309</v>
      </c>
      <c r="BJ852" s="22" t="s">
        <v>1309</v>
      </c>
      <c r="BK852" s="22" t="s">
        <v>1311</v>
      </c>
      <c r="BL852" s="22" t="s">
        <v>1317</v>
      </c>
      <c r="BM852" s="22" t="s">
        <v>1318</v>
      </c>
      <c r="BN852" s="22" t="s">
        <v>1317</v>
      </c>
      <c r="BO852" s="22" t="s">
        <v>1318</v>
      </c>
      <c r="BP852" s="22" t="s">
        <v>1317</v>
      </c>
      <c r="BQ852" s="22" t="s">
        <v>1311</v>
      </c>
      <c r="BR852" s="22" t="s">
        <v>1319</v>
      </c>
      <c r="BS852" s="22" t="s">
        <v>1311</v>
      </c>
      <c r="BT852" s="22" t="s">
        <v>1319</v>
      </c>
      <c r="BU852" s="22" t="s">
        <v>1311</v>
      </c>
      <c r="BV852" s="22" t="s">
        <v>1317</v>
      </c>
      <c r="BW852" s="22" t="s">
        <v>1318</v>
      </c>
      <c r="BX852" s="20">
        <v>420</v>
      </c>
      <c r="BY852" s="20">
        <v>200</v>
      </c>
      <c r="BZ852" s="20">
        <v>744</v>
      </c>
      <c r="CA852" s="20">
        <v>0</v>
      </c>
      <c r="CB852" s="20">
        <v>0</v>
      </c>
      <c r="CC852" s="20">
        <v>30276</v>
      </c>
      <c r="CD852" s="22" t="s">
        <v>1317</v>
      </c>
      <c r="CE852" s="22" t="s">
        <v>1318</v>
      </c>
      <c r="CF852" s="22" t="s">
        <v>1317</v>
      </c>
      <c r="CG852" s="22" t="s">
        <v>1318</v>
      </c>
      <c r="CH852" s="22" t="s">
        <v>1317</v>
      </c>
      <c r="CI852" s="22" t="s">
        <v>1313</v>
      </c>
      <c r="CJ852" s="149" t="s">
        <v>1124</v>
      </c>
      <c r="CK852" s="241" t="s">
        <v>3169</v>
      </c>
    </row>
    <row r="853" spans="1:89" ht="15" customHeight="1" x14ac:dyDescent="0.35">
      <c r="A853" s="17"/>
      <c r="B853" s="313">
        <v>75017</v>
      </c>
      <c r="C853" s="8" t="s">
        <v>743</v>
      </c>
      <c r="D853" s="18">
        <v>15</v>
      </c>
      <c r="E853" s="131"/>
      <c r="F853" s="22"/>
      <c r="G853" s="132"/>
      <c r="H853" s="22"/>
      <c r="I853" s="22"/>
      <c r="J853" s="22"/>
      <c r="K853" s="22"/>
      <c r="L853" s="22"/>
      <c r="M853" s="133"/>
      <c r="N853" s="22"/>
      <c r="O853" s="22"/>
      <c r="P853" s="22"/>
      <c r="Q853" s="20"/>
      <c r="R853" s="20"/>
      <c r="S853" s="20"/>
      <c r="T853" s="20"/>
      <c r="U853" s="20"/>
      <c r="V853" s="20"/>
      <c r="W853" s="20"/>
      <c r="X853" s="20"/>
      <c r="Y853" s="20"/>
      <c r="Z853" s="20"/>
      <c r="AA853" s="20"/>
      <c r="AB853" s="22"/>
      <c r="AC853" s="20"/>
      <c r="AD853" s="20"/>
      <c r="AE853" s="20"/>
      <c r="AF853" s="20" t="s">
        <v>1124</v>
      </c>
      <c r="AG853" s="20" t="s">
        <v>1124</v>
      </c>
      <c r="AH853" s="20" t="s">
        <v>1124</v>
      </c>
      <c r="AI853" s="328"/>
      <c r="AJ853" s="328"/>
      <c r="AK853" s="328"/>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0"/>
      <c r="BY853" s="20"/>
      <c r="BZ853" s="20"/>
      <c r="CA853" s="20"/>
      <c r="CB853" s="20"/>
      <c r="CC853" s="20"/>
      <c r="CD853" s="22"/>
      <c r="CE853" s="22"/>
      <c r="CF853" s="22"/>
      <c r="CG853" s="22"/>
      <c r="CH853" s="22"/>
      <c r="CI853" s="22"/>
      <c r="CJ853" s="149"/>
      <c r="CK853" s="241"/>
    </row>
    <row r="854" spans="1:89" ht="15" customHeight="1" x14ac:dyDescent="0.35">
      <c r="A854" s="17"/>
      <c r="B854" s="313">
        <v>21020</v>
      </c>
      <c r="C854" s="8" t="s">
        <v>147</v>
      </c>
      <c r="D854" s="18">
        <v>3</v>
      </c>
      <c r="E854" s="131" t="s">
        <v>1309</v>
      </c>
      <c r="F854" s="22" t="s">
        <v>1309</v>
      </c>
      <c r="G854" s="132" t="s">
        <v>1309</v>
      </c>
      <c r="H854" s="22" t="s">
        <v>1311</v>
      </c>
      <c r="I854" s="22" t="s">
        <v>1327</v>
      </c>
      <c r="J854" s="22" t="s">
        <v>1327</v>
      </c>
      <c r="K854" s="22" t="s">
        <v>1309</v>
      </c>
      <c r="L854" s="22" t="s">
        <v>1309</v>
      </c>
      <c r="M854" s="133" t="s">
        <v>1311</v>
      </c>
      <c r="N854" s="22" t="s">
        <v>1311</v>
      </c>
      <c r="O854" s="22" t="s">
        <v>1314</v>
      </c>
      <c r="P854" s="22" t="s">
        <v>1318</v>
      </c>
      <c r="Q854" s="20">
        <v>0</v>
      </c>
      <c r="R854" s="20">
        <v>0</v>
      </c>
      <c r="S854" s="20">
        <v>21.204999999999998</v>
      </c>
      <c r="T854" s="20">
        <v>21.204999999999998</v>
      </c>
      <c r="U854" s="20">
        <v>10</v>
      </c>
      <c r="V854" s="20">
        <v>10</v>
      </c>
      <c r="W854" s="20">
        <v>0</v>
      </c>
      <c r="X854" s="20">
        <v>0</v>
      </c>
      <c r="Y854" s="20">
        <v>0</v>
      </c>
      <c r="Z854" s="20">
        <v>0</v>
      </c>
      <c r="AA854" s="20" t="s">
        <v>1317</v>
      </c>
      <c r="AB854" s="22" t="s">
        <v>1318</v>
      </c>
      <c r="AC854" s="20">
        <v>3</v>
      </c>
      <c r="AD854" s="20">
        <v>0</v>
      </c>
      <c r="AE854" s="20">
        <v>0</v>
      </c>
      <c r="AF854" s="20">
        <v>1</v>
      </c>
      <c r="AG854" s="20">
        <v>0</v>
      </c>
      <c r="AH854" s="20">
        <v>0</v>
      </c>
      <c r="AI854" s="328">
        <v>14.147606696533835</v>
      </c>
      <c r="AJ854" s="328" t="s">
        <v>1328</v>
      </c>
      <c r="AK854" s="328" t="s">
        <v>1328</v>
      </c>
      <c r="AL854" s="22" t="s">
        <v>1329</v>
      </c>
      <c r="AM854" s="22" t="s">
        <v>1316</v>
      </c>
      <c r="AN854" s="22" t="s">
        <v>1317</v>
      </c>
      <c r="AO854" s="22" t="s">
        <v>1318</v>
      </c>
      <c r="AP854" s="22" t="s">
        <v>1318</v>
      </c>
      <c r="AQ854" s="22" t="s">
        <v>1318</v>
      </c>
      <c r="AR854" s="22" t="s">
        <v>1317</v>
      </c>
      <c r="AS854" s="22" t="s">
        <v>1318</v>
      </c>
      <c r="AT854" s="22" t="s">
        <v>1317</v>
      </c>
      <c r="AU854" s="22" t="s">
        <v>1318</v>
      </c>
      <c r="AV854" s="22" t="s">
        <v>1317</v>
      </c>
      <c r="AW854" s="22" t="s">
        <v>1311</v>
      </c>
      <c r="AX854" s="22" t="s">
        <v>1317</v>
      </c>
      <c r="AY854" s="22" t="s">
        <v>1318</v>
      </c>
      <c r="AZ854" s="22" t="s">
        <v>1309</v>
      </c>
      <c r="BA854" s="22" t="s">
        <v>1309</v>
      </c>
      <c r="BB854" s="22" t="s">
        <v>1309</v>
      </c>
      <c r="BC854" s="22" t="s">
        <v>1309</v>
      </c>
      <c r="BD854" s="22" t="s">
        <v>1317</v>
      </c>
      <c r="BE854" s="22" t="s">
        <v>1318</v>
      </c>
      <c r="BF854" s="22" t="s">
        <v>1317</v>
      </c>
      <c r="BG854" s="22" t="s">
        <v>1318</v>
      </c>
      <c r="BH854" s="22" t="s">
        <v>1317</v>
      </c>
      <c r="BI854" s="22" t="s">
        <v>1318</v>
      </c>
      <c r="BJ854" s="22" t="s">
        <v>1317</v>
      </c>
      <c r="BK854" s="22" t="s">
        <v>1318</v>
      </c>
      <c r="BL854" s="22" t="s">
        <v>1317</v>
      </c>
      <c r="BM854" s="22" t="s">
        <v>1318</v>
      </c>
      <c r="BN854" s="22" t="s">
        <v>1309</v>
      </c>
      <c r="BO854" s="22" t="s">
        <v>1309</v>
      </c>
      <c r="BP854" s="22" t="s">
        <v>1317</v>
      </c>
      <c r="BQ854" s="22" t="s">
        <v>1318</v>
      </c>
      <c r="BR854" s="22" t="s">
        <v>1309</v>
      </c>
      <c r="BS854" s="22" t="s">
        <v>1309</v>
      </c>
      <c r="BT854" s="22" t="s">
        <v>1309</v>
      </c>
      <c r="BU854" s="22" t="s">
        <v>1309</v>
      </c>
      <c r="BV854" s="22" t="s">
        <v>1317</v>
      </c>
      <c r="BW854" s="22" t="s">
        <v>1318</v>
      </c>
      <c r="BX854" s="20">
        <v>0</v>
      </c>
      <c r="BY854" s="20">
        <v>23</v>
      </c>
      <c r="BZ854" s="20">
        <v>0</v>
      </c>
      <c r="CA854" s="20">
        <v>0</v>
      </c>
      <c r="CB854" s="20">
        <v>20</v>
      </c>
      <c r="CC854" s="20">
        <v>565</v>
      </c>
      <c r="CD854" s="22" t="s">
        <v>1331</v>
      </c>
      <c r="CE854" s="22" t="s">
        <v>1331</v>
      </c>
      <c r="CF854" s="22" t="s">
        <v>1331</v>
      </c>
      <c r="CG854" s="22" t="s">
        <v>1331</v>
      </c>
      <c r="CH854" s="22" t="s">
        <v>1317</v>
      </c>
      <c r="CI854" s="22" t="s">
        <v>1318</v>
      </c>
      <c r="CJ854" s="149" t="s">
        <v>3174</v>
      </c>
      <c r="CK854" s="241" t="s">
        <v>3175</v>
      </c>
    </row>
    <row r="855" spans="1:89" ht="15" customHeight="1" x14ac:dyDescent="0.35">
      <c r="A855" s="17"/>
      <c r="B855" s="313">
        <v>47040</v>
      </c>
      <c r="C855" s="8" t="s">
        <v>453</v>
      </c>
      <c r="D855" s="18">
        <v>5</v>
      </c>
      <c r="E855" s="131"/>
      <c r="F855" s="22"/>
      <c r="G855" s="132"/>
      <c r="H855" s="22"/>
      <c r="I855" s="22"/>
      <c r="J855" s="22"/>
      <c r="K855" s="22"/>
      <c r="L855" s="22"/>
      <c r="M855" s="133"/>
      <c r="N855" s="22"/>
      <c r="O855" s="22"/>
      <c r="P855" s="22"/>
      <c r="Q855" s="20"/>
      <c r="R855" s="20"/>
      <c r="S855" s="20"/>
      <c r="T855" s="20"/>
      <c r="U855" s="20"/>
      <c r="V855" s="20"/>
      <c r="W855" s="20"/>
      <c r="X855" s="20"/>
      <c r="Y855" s="20"/>
      <c r="Z855" s="20"/>
      <c r="AA855" s="20"/>
      <c r="AB855" s="22"/>
      <c r="AC855" s="20"/>
      <c r="AD855" s="20"/>
      <c r="AE855" s="20"/>
      <c r="AF855" s="20" t="s">
        <v>1124</v>
      </c>
      <c r="AG855" s="20" t="s">
        <v>1124</v>
      </c>
      <c r="AH855" s="20" t="s">
        <v>1124</v>
      </c>
      <c r="AI855" s="328"/>
      <c r="AJ855" s="328"/>
      <c r="AK855" s="328"/>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0"/>
      <c r="BY855" s="20"/>
      <c r="BZ855" s="20"/>
      <c r="CA855" s="20"/>
      <c r="CB855" s="20"/>
      <c r="CC855" s="20"/>
      <c r="CD855" s="22"/>
      <c r="CE855" s="22"/>
      <c r="CF855" s="22"/>
      <c r="CG855" s="22"/>
      <c r="CH855" s="22"/>
      <c r="CI855" s="22"/>
      <c r="CJ855" s="149"/>
      <c r="CK855" s="241"/>
    </row>
    <row r="856" spans="1:89" ht="15" customHeight="1" x14ac:dyDescent="0.35">
      <c r="A856" s="17"/>
      <c r="B856" s="313">
        <v>27043</v>
      </c>
      <c r="C856" s="8" t="s">
        <v>182</v>
      </c>
      <c r="D856" s="18">
        <v>12</v>
      </c>
      <c r="E856" s="131" t="s">
        <v>1309</v>
      </c>
      <c r="F856" s="22" t="s">
        <v>1309</v>
      </c>
      <c r="G856" s="132" t="s">
        <v>1309</v>
      </c>
      <c r="H856" s="22" t="s">
        <v>1311</v>
      </c>
      <c r="I856" s="22" t="s">
        <v>1327</v>
      </c>
      <c r="J856" s="22" t="s">
        <v>1327</v>
      </c>
      <c r="K856" s="22" t="s">
        <v>1309</v>
      </c>
      <c r="L856" s="22" t="s">
        <v>1309</v>
      </c>
      <c r="M856" s="133" t="s">
        <v>1311</v>
      </c>
      <c r="N856" s="22" t="s">
        <v>1311</v>
      </c>
      <c r="O856" s="22" t="s">
        <v>1314</v>
      </c>
      <c r="P856" s="22" t="s">
        <v>1318</v>
      </c>
      <c r="Q856" s="20">
        <v>23.297000000000001</v>
      </c>
      <c r="R856" s="20">
        <v>34.979999999999997</v>
      </c>
      <c r="S856" s="20">
        <v>34.979999999999997</v>
      </c>
      <c r="T856" s="20">
        <v>34.979999999999997</v>
      </c>
      <c r="U856" s="20">
        <v>0</v>
      </c>
      <c r="V856" s="20">
        <v>0</v>
      </c>
      <c r="W856" s="20">
        <v>0</v>
      </c>
      <c r="X856" s="20">
        <v>0</v>
      </c>
      <c r="Y856" s="20">
        <v>0</v>
      </c>
      <c r="Z856" s="20">
        <v>0</v>
      </c>
      <c r="AA856" s="20" t="s">
        <v>1317</v>
      </c>
      <c r="AB856" s="22" t="s">
        <v>1318</v>
      </c>
      <c r="AC856" s="20">
        <v>20</v>
      </c>
      <c r="AD856" s="20">
        <v>1</v>
      </c>
      <c r="AE856" s="20">
        <v>0</v>
      </c>
      <c r="AF856" s="20">
        <v>1</v>
      </c>
      <c r="AG856" s="20">
        <v>1</v>
      </c>
      <c r="AH856" s="20">
        <v>0</v>
      </c>
      <c r="AI856" s="328">
        <v>57.175528873642087</v>
      </c>
      <c r="AJ856" s="328">
        <v>0.51203277009728621</v>
      </c>
      <c r="AK856" s="328" t="s">
        <v>1328</v>
      </c>
      <c r="AL856" s="22" t="s">
        <v>1329</v>
      </c>
      <c r="AM856" s="22" t="s">
        <v>1330</v>
      </c>
      <c r="AN856" s="22" t="s">
        <v>1315</v>
      </c>
      <c r="AO856" s="22" t="s">
        <v>1315</v>
      </c>
      <c r="AP856" s="22" t="s">
        <v>1318</v>
      </c>
      <c r="AQ856" s="22" t="s">
        <v>1318</v>
      </c>
      <c r="AR856" s="22" t="s">
        <v>1317</v>
      </c>
      <c r="AS856" s="22" t="s">
        <v>1318</v>
      </c>
      <c r="AT856" s="22" t="s">
        <v>1317</v>
      </c>
      <c r="AU856" s="22" t="s">
        <v>1318</v>
      </c>
      <c r="AV856" s="22" t="s">
        <v>1317</v>
      </c>
      <c r="AW856" s="22" t="s">
        <v>1318</v>
      </c>
      <c r="AX856" s="22" t="s">
        <v>1317</v>
      </c>
      <c r="AY856" s="22" t="s">
        <v>1318</v>
      </c>
      <c r="AZ856" s="22" t="s">
        <v>1309</v>
      </c>
      <c r="BA856" s="22" t="s">
        <v>1309</v>
      </c>
      <c r="BB856" s="22" t="s">
        <v>1309</v>
      </c>
      <c r="BC856" s="22" t="s">
        <v>1309</v>
      </c>
      <c r="BD856" s="22" t="s">
        <v>1309</v>
      </c>
      <c r="BE856" s="22" t="s">
        <v>1309</v>
      </c>
      <c r="BF856" s="22" t="s">
        <v>1317</v>
      </c>
      <c r="BG856" s="22" t="s">
        <v>1318</v>
      </c>
      <c r="BH856" s="22" t="s">
        <v>1317</v>
      </c>
      <c r="BI856" s="22" t="s">
        <v>1318</v>
      </c>
      <c r="BJ856" s="22" t="s">
        <v>1317</v>
      </c>
      <c r="BK856" s="22" t="s">
        <v>1318</v>
      </c>
      <c r="BL856" s="22" t="s">
        <v>1309</v>
      </c>
      <c r="BM856" s="22" t="s">
        <v>1309</v>
      </c>
      <c r="BN856" s="22" t="s">
        <v>1309</v>
      </c>
      <c r="BO856" s="22" t="s">
        <v>1309</v>
      </c>
      <c r="BP856" s="22" t="s">
        <v>1309</v>
      </c>
      <c r="BQ856" s="22" t="s">
        <v>1309</v>
      </c>
      <c r="BR856" s="22" t="s">
        <v>1309</v>
      </c>
      <c r="BS856" s="22" t="s">
        <v>1309</v>
      </c>
      <c r="BT856" s="22" t="s">
        <v>1317</v>
      </c>
      <c r="BU856" s="22" t="s">
        <v>1318</v>
      </c>
      <c r="BV856" s="22" t="s">
        <v>1309</v>
      </c>
      <c r="BW856" s="22" t="s">
        <v>1309</v>
      </c>
      <c r="BX856" s="20">
        <v>2</v>
      </c>
      <c r="BY856" s="20">
        <v>1</v>
      </c>
      <c r="BZ856" s="20">
        <v>200</v>
      </c>
      <c r="CA856" s="20">
        <v>0</v>
      </c>
      <c r="CB856" s="20">
        <v>0</v>
      </c>
      <c r="CC856" s="20">
        <v>1753</v>
      </c>
      <c r="CD856" s="22" t="s">
        <v>1317</v>
      </c>
      <c r="CE856" s="22" t="s">
        <v>1318</v>
      </c>
      <c r="CF856" s="22" t="s">
        <v>1317</v>
      </c>
      <c r="CG856" s="22" t="s">
        <v>1318</v>
      </c>
      <c r="CH856" s="22" t="s">
        <v>1413</v>
      </c>
      <c r="CI856" s="22" t="s">
        <v>1413</v>
      </c>
      <c r="CJ856" s="149" t="s">
        <v>1124</v>
      </c>
      <c r="CK856" s="241" t="s">
        <v>1124</v>
      </c>
    </row>
    <row r="857" spans="1:89" ht="15" customHeight="1" x14ac:dyDescent="0.35">
      <c r="A857" s="17"/>
      <c r="B857" s="313">
        <v>31045</v>
      </c>
      <c r="C857" s="8" t="s">
        <v>244</v>
      </c>
      <c r="D857" s="18">
        <v>12</v>
      </c>
      <c r="E857" s="131" t="s">
        <v>1309</v>
      </c>
      <c r="F857" s="22" t="s">
        <v>1309</v>
      </c>
      <c r="G857" s="132" t="s">
        <v>1309</v>
      </c>
      <c r="H857" s="22" t="s">
        <v>1311</v>
      </c>
      <c r="I857" s="22" t="s">
        <v>1327</v>
      </c>
      <c r="J857" s="22" t="s">
        <v>1327</v>
      </c>
      <c r="K857" s="22" t="s">
        <v>1309</v>
      </c>
      <c r="L857" s="22" t="s">
        <v>1309</v>
      </c>
      <c r="M857" s="133" t="s">
        <v>1311</v>
      </c>
      <c r="N857" s="22" t="s">
        <v>1311</v>
      </c>
      <c r="O857" s="22" t="s">
        <v>1315</v>
      </c>
      <c r="P857" s="22" t="s">
        <v>1315</v>
      </c>
      <c r="Q857" s="20">
        <v>14.149000000000001</v>
      </c>
      <c r="R857" s="20">
        <v>14.149000000000001</v>
      </c>
      <c r="S857" s="20">
        <v>12.83</v>
      </c>
      <c r="T857" s="20">
        <v>6.415</v>
      </c>
      <c r="U857" s="20">
        <v>0</v>
      </c>
      <c r="V857" s="20">
        <v>0</v>
      </c>
      <c r="W857" s="20">
        <v>0</v>
      </c>
      <c r="X857" s="20">
        <v>0</v>
      </c>
      <c r="Y857" s="20">
        <v>0</v>
      </c>
      <c r="Z857" s="20">
        <v>0</v>
      </c>
      <c r="AA857" s="20" t="s">
        <v>1309</v>
      </c>
      <c r="AB857" s="22" t="s">
        <v>1309</v>
      </c>
      <c r="AC857" s="20">
        <v>0</v>
      </c>
      <c r="AD857" s="20">
        <v>2</v>
      </c>
      <c r="AE857" s="20">
        <v>2</v>
      </c>
      <c r="AF857" s="20">
        <v>0</v>
      </c>
      <c r="AG857" s="20">
        <v>3</v>
      </c>
      <c r="AH857" s="20">
        <v>3</v>
      </c>
      <c r="AI857" s="328" t="s">
        <v>1328</v>
      </c>
      <c r="AJ857" s="328">
        <v>3.2310177705977381</v>
      </c>
      <c r="AK857" s="328">
        <v>3.2310177705977381</v>
      </c>
      <c r="AL857" s="22" t="s">
        <v>1329</v>
      </c>
      <c r="AM857" s="22" t="s">
        <v>1330</v>
      </c>
      <c r="AN857" s="22" t="s">
        <v>1317</v>
      </c>
      <c r="AO857" s="22" t="s">
        <v>1318</v>
      </c>
      <c r="AP857" s="22" t="s">
        <v>1318</v>
      </c>
      <c r="AQ857" s="22" t="s">
        <v>1318</v>
      </c>
      <c r="AR857" s="22" t="s">
        <v>1317</v>
      </c>
      <c r="AS857" s="22" t="s">
        <v>1318</v>
      </c>
      <c r="AT857" s="22" t="s">
        <v>1317</v>
      </c>
      <c r="AU857" s="22" t="s">
        <v>1311</v>
      </c>
      <c r="AV857" s="22" t="s">
        <v>1317</v>
      </c>
      <c r="AW857" s="22" t="s">
        <v>1311</v>
      </c>
      <c r="AX857" s="22" t="s">
        <v>1317</v>
      </c>
      <c r="AY857" s="22" t="s">
        <v>1318</v>
      </c>
      <c r="AZ857" s="22" t="s">
        <v>1309</v>
      </c>
      <c r="BA857" s="22" t="s">
        <v>1309</v>
      </c>
      <c r="BB857" s="22" t="s">
        <v>1309</v>
      </c>
      <c r="BC857" s="22" t="s">
        <v>1309</v>
      </c>
      <c r="BD857" s="22" t="s">
        <v>1315</v>
      </c>
      <c r="BE857" s="22" t="s">
        <v>1315</v>
      </c>
      <c r="BF857" s="22" t="s">
        <v>1317</v>
      </c>
      <c r="BG857" s="22" t="s">
        <v>1318</v>
      </c>
      <c r="BH857" s="22" t="s">
        <v>1309</v>
      </c>
      <c r="BI857" s="22" t="s">
        <v>1309</v>
      </c>
      <c r="BJ857" s="22" t="s">
        <v>1317</v>
      </c>
      <c r="BK857" s="22" t="s">
        <v>1311</v>
      </c>
      <c r="BL857" s="22" t="s">
        <v>1309</v>
      </c>
      <c r="BM857" s="22" t="s">
        <v>1309</v>
      </c>
      <c r="BN857" s="22" t="s">
        <v>1309</v>
      </c>
      <c r="BO857" s="22" t="s">
        <v>1309</v>
      </c>
      <c r="BP857" s="22" t="s">
        <v>1309</v>
      </c>
      <c r="BQ857" s="22" t="s">
        <v>1309</v>
      </c>
      <c r="BR857" s="22" t="s">
        <v>1309</v>
      </c>
      <c r="BS857" s="22" t="s">
        <v>1309</v>
      </c>
      <c r="BT857" s="22" t="s">
        <v>1309</v>
      </c>
      <c r="BU857" s="22" t="s">
        <v>1309</v>
      </c>
      <c r="BV857" s="22" t="s">
        <v>1317</v>
      </c>
      <c r="BW857" s="22" t="s">
        <v>1318</v>
      </c>
      <c r="BX857" s="20">
        <v>1</v>
      </c>
      <c r="BY857" s="20">
        <v>0</v>
      </c>
      <c r="BZ857" s="20">
        <v>53</v>
      </c>
      <c r="CA857" s="20">
        <v>0</v>
      </c>
      <c r="CB857" s="20">
        <v>0</v>
      </c>
      <c r="CC857" s="20">
        <v>565</v>
      </c>
      <c r="CD857" s="22" t="s">
        <v>1317</v>
      </c>
      <c r="CE857" s="22" t="s">
        <v>1318</v>
      </c>
      <c r="CF857" s="22" t="s">
        <v>1317</v>
      </c>
      <c r="CG857" s="22" t="s">
        <v>1318</v>
      </c>
      <c r="CH857" s="22" t="s">
        <v>1317</v>
      </c>
      <c r="CI857" s="22" t="s">
        <v>1318</v>
      </c>
      <c r="CJ857" s="149" t="s">
        <v>1124</v>
      </c>
      <c r="CK857" s="241" t="s">
        <v>3698</v>
      </c>
    </row>
    <row r="858" spans="1:89" ht="15" customHeight="1" x14ac:dyDescent="0.35">
      <c r="A858" s="17"/>
      <c r="B858" s="313">
        <v>14030</v>
      </c>
      <c r="C858" s="8" t="s">
        <v>64</v>
      </c>
      <c r="D858" s="18">
        <v>1</v>
      </c>
      <c r="E858" s="131"/>
      <c r="F858" s="22"/>
      <c r="G858" s="132"/>
      <c r="H858" s="22"/>
      <c r="I858" s="22"/>
      <c r="J858" s="22"/>
      <c r="K858" s="22"/>
      <c r="L858" s="22"/>
      <c r="M858" s="133"/>
      <c r="N858" s="22"/>
      <c r="O858" s="22"/>
      <c r="P858" s="22"/>
      <c r="Q858" s="20"/>
      <c r="R858" s="20"/>
      <c r="S858" s="20"/>
      <c r="T858" s="20"/>
      <c r="U858" s="20"/>
      <c r="V858" s="20"/>
      <c r="W858" s="20"/>
      <c r="X858" s="20"/>
      <c r="Y858" s="20"/>
      <c r="Z858" s="20"/>
      <c r="AA858" s="20"/>
      <c r="AB858" s="22"/>
      <c r="AC858" s="20"/>
      <c r="AD858" s="20"/>
      <c r="AE858" s="20"/>
      <c r="AF858" s="20" t="s">
        <v>1124</v>
      </c>
      <c r="AG858" s="20" t="s">
        <v>1124</v>
      </c>
      <c r="AH858" s="20" t="s">
        <v>1124</v>
      </c>
      <c r="AI858" s="328"/>
      <c r="AJ858" s="328"/>
      <c r="AK858" s="328"/>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0"/>
      <c r="BY858" s="20"/>
      <c r="BZ858" s="20"/>
      <c r="CA858" s="20"/>
      <c r="CB858" s="20"/>
      <c r="CC858" s="20"/>
      <c r="CD858" s="22"/>
      <c r="CE858" s="22"/>
      <c r="CF858" s="22"/>
      <c r="CG858" s="22"/>
      <c r="CH858" s="22"/>
      <c r="CI858" s="22"/>
      <c r="CJ858" s="149"/>
      <c r="CK858" s="241"/>
    </row>
    <row r="859" spans="1:89" ht="15" customHeight="1" x14ac:dyDescent="0.35">
      <c r="A859" s="17"/>
      <c r="B859" s="313">
        <v>9070</v>
      </c>
      <c r="C859" s="8" t="s">
        <v>1109</v>
      </c>
      <c r="D859" s="18">
        <v>1</v>
      </c>
      <c r="E859" s="131"/>
      <c r="F859" s="22"/>
      <c r="G859" s="132"/>
      <c r="H859" s="22"/>
      <c r="I859" s="22"/>
      <c r="J859" s="22"/>
      <c r="K859" s="22"/>
      <c r="L859" s="22"/>
      <c r="M859" s="133"/>
      <c r="N859" s="22"/>
      <c r="O859" s="22"/>
      <c r="P859" s="22"/>
      <c r="Q859" s="20"/>
      <c r="R859" s="20"/>
      <c r="S859" s="20"/>
      <c r="T859" s="20"/>
      <c r="U859" s="20"/>
      <c r="V859" s="20"/>
      <c r="W859" s="20"/>
      <c r="X859" s="20"/>
      <c r="Y859" s="20"/>
      <c r="Z859" s="20"/>
      <c r="AA859" s="20"/>
      <c r="AB859" s="22"/>
      <c r="AC859" s="20"/>
      <c r="AD859" s="20"/>
      <c r="AE859" s="20"/>
      <c r="AF859" s="20" t="s">
        <v>1124</v>
      </c>
      <c r="AG859" s="20" t="s">
        <v>1124</v>
      </c>
      <c r="AH859" s="20" t="s">
        <v>1124</v>
      </c>
      <c r="AI859" s="328"/>
      <c r="AJ859" s="328"/>
      <c r="AK859" s="328"/>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0"/>
      <c r="BY859" s="20"/>
      <c r="BZ859" s="20"/>
      <c r="CA859" s="20"/>
      <c r="CB859" s="20"/>
      <c r="CC859" s="20"/>
      <c r="CD859" s="22"/>
      <c r="CE859" s="22"/>
      <c r="CF859" s="22"/>
      <c r="CG859" s="22"/>
      <c r="CH859" s="22"/>
      <c r="CI859" s="22"/>
      <c r="CJ859" s="149"/>
      <c r="CK859" s="241"/>
    </row>
    <row r="860" spans="1:89" ht="15" customHeight="1" x14ac:dyDescent="0.35">
      <c r="A860" s="17"/>
      <c r="B860" s="313">
        <v>27050</v>
      </c>
      <c r="C860" s="8" t="s">
        <v>183</v>
      </c>
      <c r="D860" s="18">
        <v>12</v>
      </c>
      <c r="E860" s="131"/>
      <c r="F860" s="22"/>
      <c r="G860" s="132"/>
      <c r="H860" s="22"/>
      <c r="I860" s="22"/>
      <c r="J860" s="22"/>
      <c r="K860" s="22"/>
      <c r="L860" s="22"/>
      <c r="M860" s="133"/>
      <c r="N860" s="22"/>
      <c r="O860" s="22"/>
      <c r="P860" s="22"/>
      <c r="Q860" s="20"/>
      <c r="R860" s="20"/>
      <c r="S860" s="20"/>
      <c r="T860" s="20"/>
      <c r="U860" s="20"/>
      <c r="V860" s="20"/>
      <c r="W860" s="20"/>
      <c r="X860" s="20"/>
      <c r="Y860" s="20"/>
      <c r="Z860" s="20"/>
      <c r="AA860" s="20"/>
      <c r="AB860" s="22"/>
      <c r="AC860" s="20"/>
      <c r="AD860" s="20"/>
      <c r="AE860" s="20"/>
      <c r="AF860" s="20" t="s">
        <v>1124</v>
      </c>
      <c r="AG860" s="20" t="s">
        <v>1124</v>
      </c>
      <c r="AH860" s="20" t="s">
        <v>1124</v>
      </c>
      <c r="AI860" s="328"/>
      <c r="AJ860" s="328"/>
      <c r="AK860" s="328"/>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0"/>
      <c r="BY860" s="20"/>
      <c r="BZ860" s="20"/>
      <c r="CA860" s="20"/>
      <c r="CB860" s="20"/>
      <c r="CC860" s="20"/>
      <c r="CD860" s="22"/>
      <c r="CE860" s="22"/>
      <c r="CF860" s="22"/>
      <c r="CG860" s="22"/>
      <c r="CH860" s="22"/>
      <c r="CI860" s="22"/>
      <c r="CJ860" s="149"/>
      <c r="CK860" s="241"/>
    </row>
    <row r="861" spans="1:89" ht="15" customHeight="1" x14ac:dyDescent="0.35">
      <c r="A861" s="17"/>
      <c r="B861" s="313">
        <v>53050</v>
      </c>
      <c r="C861" s="8" t="s">
        <v>537</v>
      </c>
      <c r="D861" s="18">
        <v>16</v>
      </c>
      <c r="E861" s="131"/>
      <c r="F861" s="22"/>
      <c r="G861" s="132"/>
      <c r="H861" s="22"/>
      <c r="I861" s="22"/>
      <c r="J861" s="22"/>
      <c r="K861" s="22"/>
      <c r="L861" s="22"/>
      <c r="M861" s="133"/>
      <c r="N861" s="22"/>
      <c r="O861" s="22"/>
      <c r="P861" s="22"/>
      <c r="Q861" s="20"/>
      <c r="R861" s="20"/>
      <c r="S861" s="20"/>
      <c r="T861" s="20"/>
      <c r="U861" s="20"/>
      <c r="V861" s="20"/>
      <c r="W861" s="20"/>
      <c r="X861" s="20"/>
      <c r="Y861" s="20"/>
      <c r="Z861" s="20"/>
      <c r="AA861" s="20"/>
      <c r="AB861" s="22"/>
      <c r="AC861" s="20"/>
      <c r="AD861" s="20"/>
      <c r="AE861" s="20"/>
      <c r="AF861" s="20" t="s">
        <v>1124</v>
      </c>
      <c r="AG861" s="20" t="s">
        <v>1124</v>
      </c>
      <c r="AH861" s="20" t="s">
        <v>1124</v>
      </c>
      <c r="AI861" s="328"/>
      <c r="AJ861" s="328"/>
      <c r="AK861" s="328"/>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0"/>
      <c r="BY861" s="20"/>
      <c r="BZ861" s="20"/>
      <c r="CA861" s="20"/>
      <c r="CB861" s="20"/>
      <c r="CC861" s="20"/>
      <c r="CD861" s="22"/>
      <c r="CE861" s="22"/>
      <c r="CF861" s="22"/>
      <c r="CG861" s="22"/>
      <c r="CH861" s="22"/>
      <c r="CI861" s="22"/>
      <c r="CJ861" s="149"/>
      <c r="CK861" s="241"/>
    </row>
    <row r="862" spans="1:89" ht="15" customHeight="1" x14ac:dyDescent="0.35">
      <c r="A862" s="17"/>
      <c r="B862" s="313">
        <v>72025</v>
      </c>
      <c r="C862" s="8" t="s">
        <v>731</v>
      </c>
      <c r="D862" s="18">
        <v>15</v>
      </c>
      <c r="E862" s="131" t="s">
        <v>1309</v>
      </c>
      <c r="F862" s="22" t="s">
        <v>1309</v>
      </c>
      <c r="G862" s="132" t="s">
        <v>1309</v>
      </c>
      <c r="H862" s="22" t="s">
        <v>1311</v>
      </c>
      <c r="I862" s="22" t="s">
        <v>1315</v>
      </c>
      <c r="J862" s="22" t="s">
        <v>1315</v>
      </c>
      <c r="K862" s="22" t="s">
        <v>1314</v>
      </c>
      <c r="L862" s="22" t="s">
        <v>1311</v>
      </c>
      <c r="M862" s="133" t="s">
        <v>1311</v>
      </c>
      <c r="N862" s="22" t="s">
        <v>1311</v>
      </c>
      <c r="O862" s="22" t="s">
        <v>1309</v>
      </c>
      <c r="P862" s="22" t="s">
        <v>1309</v>
      </c>
      <c r="Q862" s="20">
        <v>0</v>
      </c>
      <c r="R862" s="20">
        <v>0</v>
      </c>
      <c r="S862" s="20">
        <v>0</v>
      </c>
      <c r="T862" s="20">
        <v>0</v>
      </c>
      <c r="U862" s="20">
        <v>46.1</v>
      </c>
      <c r="V862" s="20">
        <v>46.1</v>
      </c>
      <c r="W862" s="20">
        <v>0</v>
      </c>
      <c r="X862" s="20">
        <v>0</v>
      </c>
      <c r="Y862" s="20">
        <v>0</v>
      </c>
      <c r="Z862" s="20">
        <v>0</v>
      </c>
      <c r="AA862" s="20" t="s">
        <v>1309</v>
      </c>
      <c r="AB862" s="22" t="s">
        <v>1309</v>
      </c>
      <c r="AC862" s="20">
        <v>7</v>
      </c>
      <c r="AD862" s="20">
        <v>10</v>
      </c>
      <c r="AE862" s="20">
        <v>1</v>
      </c>
      <c r="AF862" s="20">
        <v>71</v>
      </c>
      <c r="AG862" s="20">
        <v>137</v>
      </c>
      <c r="AH862" s="20">
        <v>1</v>
      </c>
      <c r="AI862" s="328">
        <v>7.934438865148544</v>
      </c>
      <c r="AJ862" s="328">
        <v>1.7155601303825698</v>
      </c>
      <c r="AK862" s="328">
        <v>0.17155601303825699</v>
      </c>
      <c r="AL862" s="22" t="s">
        <v>1316</v>
      </c>
      <c r="AM862" s="22" t="s">
        <v>1343</v>
      </c>
      <c r="AN862" s="22" t="s">
        <v>1317</v>
      </c>
      <c r="AO862" s="22" t="s">
        <v>1318</v>
      </c>
      <c r="AP862" s="22" t="s">
        <v>1318</v>
      </c>
      <c r="AQ862" s="22" t="s">
        <v>1318</v>
      </c>
      <c r="AR862" s="22" t="s">
        <v>1309</v>
      </c>
      <c r="AS862" s="22" t="s">
        <v>1309</v>
      </c>
      <c r="AT862" s="22" t="s">
        <v>1317</v>
      </c>
      <c r="AU862" s="22" t="s">
        <v>1318</v>
      </c>
      <c r="AV862" s="22" t="s">
        <v>1317</v>
      </c>
      <c r="AW862" s="22" t="s">
        <v>1318</v>
      </c>
      <c r="AX862" s="22" t="s">
        <v>1317</v>
      </c>
      <c r="AY862" s="22" t="s">
        <v>1318</v>
      </c>
      <c r="AZ862" s="22" t="s">
        <v>1309</v>
      </c>
      <c r="BA862" s="22" t="s">
        <v>1309</v>
      </c>
      <c r="BB862" s="22" t="s">
        <v>1309</v>
      </c>
      <c r="BC862" s="22" t="s">
        <v>1309</v>
      </c>
      <c r="BD862" s="22" t="s">
        <v>1309</v>
      </c>
      <c r="BE862" s="22" t="s">
        <v>1309</v>
      </c>
      <c r="BF862" s="22" t="s">
        <v>1317</v>
      </c>
      <c r="BG862" s="22" t="s">
        <v>1318</v>
      </c>
      <c r="BH862" s="22" t="s">
        <v>1317</v>
      </c>
      <c r="BI862" s="22" t="s">
        <v>1318</v>
      </c>
      <c r="BJ862" s="22" t="s">
        <v>1309</v>
      </c>
      <c r="BK862" s="22" t="s">
        <v>1309</v>
      </c>
      <c r="BL862" s="22" t="s">
        <v>1309</v>
      </c>
      <c r="BM862" s="22" t="s">
        <v>1309</v>
      </c>
      <c r="BN862" s="22" t="s">
        <v>1317</v>
      </c>
      <c r="BO862" s="22" t="s">
        <v>1318</v>
      </c>
      <c r="BP862" s="22" t="s">
        <v>1309</v>
      </c>
      <c r="BQ862" s="22" t="s">
        <v>1309</v>
      </c>
      <c r="BR862" s="22" t="s">
        <v>1309</v>
      </c>
      <c r="BS862" s="22" t="s">
        <v>1309</v>
      </c>
      <c r="BT862" s="22" t="s">
        <v>1315</v>
      </c>
      <c r="BU862" s="22" t="s">
        <v>1315</v>
      </c>
      <c r="BV862" s="22" t="s">
        <v>1317</v>
      </c>
      <c r="BW862" s="22" t="s">
        <v>1318</v>
      </c>
      <c r="BX862" s="20">
        <v>88</v>
      </c>
      <c r="BY862" s="20">
        <v>5</v>
      </c>
      <c r="BZ862" s="20">
        <v>0</v>
      </c>
      <c r="CA862" s="20">
        <v>0</v>
      </c>
      <c r="CB862" s="20">
        <v>0</v>
      </c>
      <c r="CC862" s="20">
        <v>2294</v>
      </c>
      <c r="CD862" s="22" t="s">
        <v>1331</v>
      </c>
      <c r="CE862" s="22" t="s">
        <v>1331</v>
      </c>
      <c r="CF862" s="22" t="s">
        <v>1317</v>
      </c>
      <c r="CG862" s="22" t="s">
        <v>1318</v>
      </c>
      <c r="CH862" s="22" t="s">
        <v>1317</v>
      </c>
      <c r="CI862" s="22" t="s">
        <v>1318</v>
      </c>
      <c r="CJ862" s="149" t="s">
        <v>3181</v>
      </c>
      <c r="CK862" s="241" t="s">
        <v>1357</v>
      </c>
    </row>
    <row r="863" spans="1:89" ht="15" customHeight="1" x14ac:dyDescent="0.35">
      <c r="A863" s="17"/>
      <c r="B863" s="313">
        <v>54110</v>
      </c>
      <c r="C863" s="8" t="s">
        <v>555</v>
      </c>
      <c r="D863" s="18">
        <v>16</v>
      </c>
      <c r="E863" s="131"/>
      <c r="F863" s="22"/>
      <c r="G863" s="132"/>
      <c r="H863" s="22"/>
      <c r="I863" s="22"/>
      <c r="J863" s="22"/>
      <c r="K863" s="22"/>
      <c r="L863" s="22"/>
      <c r="M863" s="133"/>
      <c r="N863" s="22"/>
      <c r="O863" s="22"/>
      <c r="P863" s="22"/>
      <c r="Q863" s="20"/>
      <c r="R863" s="20"/>
      <c r="S863" s="20"/>
      <c r="T863" s="20"/>
      <c r="U863" s="20"/>
      <c r="V863" s="20"/>
      <c r="W863" s="20"/>
      <c r="X863" s="20"/>
      <c r="Y863" s="20"/>
      <c r="Z863" s="20"/>
      <c r="AA863" s="20"/>
      <c r="AB863" s="22"/>
      <c r="AC863" s="20"/>
      <c r="AD863" s="20"/>
      <c r="AE863" s="20"/>
      <c r="AF863" s="20" t="s">
        <v>1124</v>
      </c>
      <c r="AG863" s="20" t="s">
        <v>1124</v>
      </c>
      <c r="AH863" s="20" t="s">
        <v>1124</v>
      </c>
      <c r="AI863" s="328"/>
      <c r="AJ863" s="328"/>
      <c r="AK863" s="328"/>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0"/>
      <c r="BY863" s="20"/>
      <c r="BZ863" s="20"/>
      <c r="CA863" s="20"/>
      <c r="CB863" s="20"/>
      <c r="CC863" s="20"/>
      <c r="CD863" s="22"/>
      <c r="CE863" s="22"/>
      <c r="CF863" s="22"/>
      <c r="CG863" s="22"/>
      <c r="CH863" s="22"/>
      <c r="CI863" s="22"/>
      <c r="CJ863" s="149"/>
      <c r="CK863" s="241"/>
    </row>
    <row r="864" spans="1:89" ht="15" customHeight="1" x14ac:dyDescent="0.35">
      <c r="A864" s="17"/>
      <c r="B864" s="313">
        <v>27055</v>
      </c>
      <c r="C864" s="8" t="s">
        <v>184</v>
      </c>
      <c r="D864" s="18">
        <v>12</v>
      </c>
      <c r="E864" s="131" t="s">
        <v>1309</v>
      </c>
      <c r="F864" s="22" t="s">
        <v>1309</v>
      </c>
      <c r="G864" s="132" t="s">
        <v>1309</v>
      </c>
      <c r="H864" s="22" t="s">
        <v>1311</v>
      </c>
      <c r="I864" s="22" t="s">
        <v>1327</v>
      </c>
      <c r="J864" s="22" t="s">
        <v>1327</v>
      </c>
      <c r="K864" s="22" t="s">
        <v>1309</v>
      </c>
      <c r="L864" s="22" t="s">
        <v>1309</v>
      </c>
      <c r="M864" s="133" t="s">
        <v>1311</v>
      </c>
      <c r="N864" s="22" t="s">
        <v>1311</v>
      </c>
      <c r="O864" s="22" t="s">
        <v>1314</v>
      </c>
      <c r="P864" s="22" t="s">
        <v>1318</v>
      </c>
      <c r="Q864" s="20">
        <v>2.9649999999999999</v>
      </c>
      <c r="R864" s="20">
        <v>2.9649999999999999</v>
      </c>
      <c r="S864" s="20">
        <v>2.9649999999999999</v>
      </c>
      <c r="T864" s="20">
        <v>0</v>
      </c>
      <c r="U864" s="20">
        <v>0</v>
      </c>
      <c r="V864" s="20">
        <v>0</v>
      </c>
      <c r="W864" s="20">
        <v>0</v>
      </c>
      <c r="X864" s="20">
        <v>0</v>
      </c>
      <c r="Y864" s="20">
        <v>0</v>
      </c>
      <c r="Z864" s="20">
        <v>0</v>
      </c>
      <c r="AA864" s="20" t="s">
        <v>1317</v>
      </c>
      <c r="AB864" s="22" t="s">
        <v>1318</v>
      </c>
      <c r="AC864" s="20">
        <v>0</v>
      </c>
      <c r="AD864" s="20">
        <v>0</v>
      </c>
      <c r="AE864" s="20">
        <v>1</v>
      </c>
      <c r="AF864" s="20">
        <v>0</v>
      </c>
      <c r="AG864" s="20">
        <v>0</v>
      </c>
      <c r="AH864" s="20">
        <v>6</v>
      </c>
      <c r="AI864" s="328" t="s">
        <v>1328</v>
      </c>
      <c r="AJ864" s="328" t="s">
        <v>1328</v>
      </c>
      <c r="AK864" s="328">
        <v>12.987012987012987</v>
      </c>
      <c r="AL864" s="22" t="s">
        <v>1338</v>
      </c>
      <c r="AM864" s="22" t="s">
        <v>1330</v>
      </c>
      <c r="AN864" s="22" t="s">
        <v>1317</v>
      </c>
      <c r="AO864" s="22" t="s">
        <v>1318</v>
      </c>
      <c r="AP864" s="22" t="s">
        <v>1318</v>
      </c>
      <c r="AQ864" s="22" t="s">
        <v>1318</v>
      </c>
      <c r="AR864" s="22" t="s">
        <v>1317</v>
      </c>
      <c r="AS864" s="22" t="s">
        <v>1318</v>
      </c>
      <c r="AT864" s="22" t="s">
        <v>1317</v>
      </c>
      <c r="AU864" s="22" t="s">
        <v>1311</v>
      </c>
      <c r="AV864" s="22" t="s">
        <v>1317</v>
      </c>
      <c r="AW864" s="22" t="s">
        <v>1318</v>
      </c>
      <c r="AX864" s="22" t="s">
        <v>1317</v>
      </c>
      <c r="AY864" s="22" t="s">
        <v>1318</v>
      </c>
      <c r="AZ864" s="22" t="s">
        <v>1309</v>
      </c>
      <c r="BA864" s="22" t="s">
        <v>1311</v>
      </c>
      <c r="BB864" s="22" t="s">
        <v>1309</v>
      </c>
      <c r="BC864" s="22" t="s">
        <v>1309</v>
      </c>
      <c r="BD864" s="22" t="s">
        <v>1317</v>
      </c>
      <c r="BE864" s="22" t="s">
        <v>1318</v>
      </c>
      <c r="BF864" s="22" t="s">
        <v>1317</v>
      </c>
      <c r="BG864" s="22" t="s">
        <v>1318</v>
      </c>
      <c r="BH864" s="22" t="s">
        <v>1317</v>
      </c>
      <c r="BI864" s="22" t="s">
        <v>1318</v>
      </c>
      <c r="BJ864" s="22" t="s">
        <v>1309</v>
      </c>
      <c r="BK864" s="22" t="s">
        <v>1311</v>
      </c>
      <c r="BL864" s="22" t="s">
        <v>1317</v>
      </c>
      <c r="BM864" s="22" t="s">
        <v>1318</v>
      </c>
      <c r="BN864" s="22" t="s">
        <v>1309</v>
      </c>
      <c r="BO864" s="22" t="s">
        <v>1309</v>
      </c>
      <c r="BP864" s="22" t="s">
        <v>1317</v>
      </c>
      <c r="BQ864" s="22" t="s">
        <v>1311</v>
      </c>
      <c r="BR864" s="22" t="s">
        <v>1317</v>
      </c>
      <c r="BS864" s="22" t="s">
        <v>1318</v>
      </c>
      <c r="BT864" s="22" t="s">
        <v>1317</v>
      </c>
      <c r="BU864" s="22" t="s">
        <v>1318</v>
      </c>
      <c r="BV864" s="22" t="s">
        <v>1317</v>
      </c>
      <c r="BW864" s="22" t="s">
        <v>1311</v>
      </c>
      <c r="BX864" s="20">
        <v>0</v>
      </c>
      <c r="BY864" s="20">
        <v>0</v>
      </c>
      <c r="BZ864" s="20">
        <v>12</v>
      </c>
      <c r="CA864" s="20">
        <v>0</v>
      </c>
      <c r="CB864" s="20">
        <v>0</v>
      </c>
      <c r="CC864" s="20">
        <v>66</v>
      </c>
      <c r="CD864" s="22" t="s">
        <v>1317</v>
      </c>
      <c r="CE864" s="22" t="s">
        <v>1318</v>
      </c>
      <c r="CF864" s="22" t="s">
        <v>1317</v>
      </c>
      <c r="CG864" s="22" t="s">
        <v>1318</v>
      </c>
      <c r="CH864" s="22" t="s">
        <v>1317</v>
      </c>
      <c r="CI864" s="22" t="s">
        <v>1318</v>
      </c>
      <c r="CJ864" s="149" t="s">
        <v>1124</v>
      </c>
      <c r="CK864" s="241" t="s">
        <v>3185</v>
      </c>
    </row>
    <row r="865" spans="1:89" ht="15" customHeight="1" x14ac:dyDescent="0.35">
      <c r="A865" s="17"/>
      <c r="B865" s="313">
        <v>31035</v>
      </c>
      <c r="C865" s="8" t="s">
        <v>242</v>
      </c>
      <c r="D865" s="18">
        <v>12</v>
      </c>
      <c r="E865" s="131"/>
      <c r="F865" s="22"/>
      <c r="G865" s="132"/>
      <c r="H865" s="22"/>
      <c r="I865" s="22"/>
      <c r="J865" s="22"/>
      <c r="K865" s="22"/>
      <c r="L865" s="22"/>
      <c r="M865" s="133"/>
      <c r="N865" s="22"/>
      <c r="O865" s="22"/>
      <c r="P865" s="22"/>
      <c r="Q865" s="20"/>
      <c r="R865" s="20"/>
      <c r="S865" s="20"/>
      <c r="T865" s="20"/>
      <c r="U865" s="20"/>
      <c r="V865" s="20"/>
      <c r="W865" s="20"/>
      <c r="X865" s="20"/>
      <c r="Y865" s="20"/>
      <c r="Z865" s="20"/>
      <c r="AA865" s="20"/>
      <c r="AB865" s="22"/>
      <c r="AC865" s="20"/>
      <c r="AD865" s="20"/>
      <c r="AE865" s="20"/>
      <c r="AF865" s="20" t="s">
        <v>1124</v>
      </c>
      <c r="AG865" s="20" t="s">
        <v>1124</v>
      </c>
      <c r="AH865" s="20" t="s">
        <v>1124</v>
      </c>
      <c r="AI865" s="328"/>
      <c r="AJ865" s="328"/>
      <c r="AK865" s="328"/>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0"/>
      <c r="BY865" s="20"/>
      <c r="BZ865" s="20"/>
      <c r="CA865" s="20"/>
      <c r="CB865" s="20"/>
      <c r="CC865" s="20"/>
      <c r="CD865" s="22"/>
      <c r="CE865" s="22"/>
      <c r="CF865" s="22"/>
      <c r="CG865" s="22"/>
      <c r="CH865" s="22"/>
      <c r="CI865" s="22"/>
      <c r="CJ865" s="149"/>
      <c r="CK865" s="241"/>
    </row>
    <row r="866" spans="1:89" ht="15" customHeight="1" x14ac:dyDescent="0.35">
      <c r="A866" s="17"/>
      <c r="B866" s="313">
        <v>18005</v>
      </c>
      <c r="C866" s="8" t="s">
        <v>104</v>
      </c>
      <c r="D866" s="18">
        <v>12</v>
      </c>
      <c r="E866" s="131" t="s">
        <v>1309</v>
      </c>
      <c r="F866" s="22" t="s">
        <v>1309</v>
      </c>
      <c r="G866" s="132" t="s">
        <v>1309</v>
      </c>
      <c r="H866" s="22" t="s">
        <v>1311</v>
      </c>
      <c r="I866" s="22" t="s">
        <v>1327</v>
      </c>
      <c r="J866" s="22" t="s">
        <v>1327</v>
      </c>
      <c r="K866" s="22" t="s">
        <v>1314</v>
      </c>
      <c r="L866" s="22" t="s">
        <v>1311</v>
      </c>
      <c r="M866" s="133" t="s">
        <v>1311</v>
      </c>
      <c r="N866" s="22" t="s">
        <v>1311</v>
      </c>
      <c r="O866" s="22" t="s">
        <v>1314</v>
      </c>
      <c r="P866" s="22" t="s">
        <v>1318</v>
      </c>
      <c r="Q866" s="20">
        <v>0</v>
      </c>
      <c r="R866" s="20">
        <v>0</v>
      </c>
      <c r="S866" s="20">
        <v>3.7890000000000001</v>
      </c>
      <c r="T866" s="20">
        <v>3.7890000000000001</v>
      </c>
      <c r="U866" s="20">
        <v>0</v>
      </c>
      <c r="V866" s="20">
        <v>0</v>
      </c>
      <c r="W866" s="20">
        <v>0</v>
      </c>
      <c r="X866" s="20">
        <v>0</v>
      </c>
      <c r="Y866" s="20">
        <v>0</v>
      </c>
      <c r="Z866" s="20">
        <v>0</v>
      </c>
      <c r="AA866" s="20" t="s">
        <v>1317</v>
      </c>
      <c r="AB866" s="22" t="s">
        <v>1318</v>
      </c>
      <c r="AC866" s="20">
        <v>0</v>
      </c>
      <c r="AD866" s="20">
        <v>0</v>
      </c>
      <c r="AE866" s="20">
        <v>0</v>
      </c>
      <c r="AF866" s="20">
        <v>0</v>
      </c>
      <c r="AG866" s="20">
        <v>0</v>
      </c>
      <c r="AH866" s="20">
        <v>0</v>
      </c>
      <c r="AI866" s="328" t="s">
        <v>1328</v>
      </c>
      <c r="AJ866" s="328" t="s">
        <v>1328</v>
      </c>
      <c r="AK866" s="328" t="s">
        <v>1328</v>
      </c>
      <c r="AL866" s="22" t="s">
        <v>1316</v>
      </c>
      <c r="AM866" s="22" t="s">
        <v>1316</v>
      </c>
      <c r="AN866" s="22" t="s">
        <v>1317</v>
      </c>
      <c r="AO866" s="22" t="s">
        <v>1318</v>
      </c>
      <c r="AP866" s="22" t="s">
        <v>1318</v>
      </c>
      <c r="AQ866" s="22" t="s">
        <v>1318</v>
      </c>
      <c r="AR866" s="22" t="s">
        <v>1317</v>
      </c>
      <c r="AS866" s="22" t="s">
        <v>1318</v>
      </c>
      <c r="AT866" s="22" t="s">
        <v>1317</v>
      </c>
      <c r="AU866" s="22" t="s">
        <v>1318</v>
      </c>
      <c r="AV866" s="22" t="s">
        <v>1309</v>
      </c>
      <c r="AW866" s="22" t="s">
        <v>1309</v>
      </c>
      <c r="AX866" s="22" t="s">
        <v>1317</v>
      </c>
      <c r="AY866" s="22" t="s">
        <v>1318</v>
      </c>
      <c r="AZ866" s="22" t="s">
        <v>1309</v>
      </c>
      <c r="BA866" s="22" t="s">
        <v>1309</v>
      </c>
      <c r="BB866" s="22" t="s">
        <v>1309</v>
      </c>
      <c r="BC866" s="22" t="s">
        <v>1309</v>
      </c>
      <c r="BD866" s="22" t="s">
        <v>1317</v>
      </c>
      <c r="BE866" s="22" t="s">
        <v>1318</v>
      </c>
      <c r="BF866" s="22" t="s">
        <v>1317</v>
      </c>
      <c r="BG866" s="22" t="s">
        <v>1318</v>
      </c>
      <c r="BH866" s="22" t="s">
        <v>1317</v>
      </c>
      <c r="BI866" s="22" t="s">
        <v>1318</v>
      </c>
      <c r="BJ866" s="22" t="s">
        <v>1317</v>
      </c>
      <c r="BK866" s="22" t="s">
        <v>1318</v>
      </c>
      <c r="BL866" s="22" t="s">
        <v>1317</v>
      </c>
      <c r="BM866" s="22" t="s">
        <v>1318</v>
      </c>
      <c r="BN866" s="22" t="s">
        <v>1309</v>
      </c>
      <c r="BO866" s="22" t="s">
        <v>1309</v>
      </c>
      <c r="BP866" s="22" t="s">
        <v>1309</v>
      </c>
      <c r="BQ866" s="22" t="s">
        <v>1309</v>
      </c>
      <c r="BR866" s="22" t="s">
        <v>1309</v>
      </c>
      <c r="BS866" s="22" t="s">
        <v>1309</v>
      </c>
      <c r="BT866" s="22" t="s">
        <v>1309</v>
      </c>
      <c r="BU866" s="22" t="s">
        <v>1309</v>
      </c>
      <c r="BV866" s="22" t="s">
        <v>1317</v>
      </c>
      <c r="BW866" s="22" t="s">
        <v>1318</v>
      </c>
      <c r="BX866" s="20">
        <v>0</v>
      </c>
      <c r="BY866" s="20">
        <v>0</v>
      </c>
      <c r="BZ866" s="20">
        <v>9</v>
      </c>
      <c r="CA866" s="20">
        <v>0</v>
      </c>
      <c r="CB866" s="20">
        <v>0</v>
      </c>
      <c r="CC866" s="20">
        <v>160</v>
      </c>
      <c r="CD866" s="22" t="s">
        <v>1317</v>
      </c>
      <c r="CE866" s="22" t="s">
        <v>1318</v>
      </c>
      <c r="CF866" s="22" t="s">
        <v>1317</v>
      </c>
      <c r="CG866" s="22" t="s">
        <v>1318</v>
      </c>
      <c r="CH866" s="22" t="s">
        <v>1317</v>
      </c>
      <c r="CI866" s="22" t="s">
        <v>1318</v>
      </c>
      <c r="CJ866" s="149" t="s">
        <v>1124</v>
      </c>
      <c r="CK866" s="241" t="s">
        <v>1358</v>
      </c>
    </row>
    <row r="867" spans="1:89" ht="15" customHeight="1" x14ac:dyDescent="0.35">
      <c r="A867" s="17"/>
      <c r="B867" s="313">
        <v>13040</v>
      </c>
      <c r="C867" s="8" t="s">
        <v>47</v>
      </c>
      <c r="D867" s="18">
        <v>1</v>
      </c>
      <c r="E867" s="131" t="s">
        <v>1309</v>
      </c>
      <c r="F867" s="22" t="s">
        <v>1309</v>
      </c>
      <c r="G867" s="132" t="s">
        <v>1309</v>
      </c>
      <c r="H867" s="22" t="s">
        <v>1311</v>
      </c>
      <c r="I867" s="22" t="s">
        <v>1327</v>
      </c>
      <c r="J867" s="22" t="s">
        <v>1327</v>
      </c>
      <c r="K867" s="22" t="s">
        <v>1309</v>
      </c>
      <c r="L867" s="22" t="s">
        <v>1309</v>
      </c>
      <c r="M867" s="133" t="s">
        <v>1311</v>
      </c>
      <c r="N867" s="22" t="s">
        <v>1311</v>
      </c>
      <c r="O867" s="22" t="s">
        <v>1314</v>
      </c>
      <c r="P867" s="22" t="s">
        <v>1318</v>
      </c>
      <c r="Q867" s="20">
        <v>4.2560000000000002</v>
      </c>
      <c r="R867" s="20">
        <v>4.2560000000000002</v>
      </c>
      <c r="S867" s="20">
        <v>0</v>
      </c>
      <c r="T867" s="20">
        <v>0</v>
      </c>
      <c r="U867" s="20">
        <v>0</v>
      </c>
      <c r="V867" s="20">
        <v>0</v>
      </c>
      <c r="W867" s="20">
        <v>0</v>
      </c>
      <c r="X867" s="20">
        <v>0</v>
      </c>
      <c r="Y867" s="20">
        <v>0</v>
      </c>
      <c r="Z867" s="20">
        <v>0</v>
      </c>
      <c r="AA867" s="20" t="s">
        <v>1317</v>
      </c>
      <c r="AB867" s="22" t="s">
        <v>1318</v>
      </c>
      <c r="AC867" s="20">
        <v>0</v>
      </c>
      <c r="AD867" s="20">
        <v>0</v>
      </c>
      <c r="AE867" s="20">
        <v>0</v>
      </c>
      <c r="AF867" s="20">
        <v>0</v>
      </c>
      <c r="AG867" s="20">
        <v>0</v>
      </c>
      <c r="AH867" s="20">
        <v>0</v>
      </c>
      <c r="AI867" s="328" t="s">
        <v>1328</v>
      </c>
      <c r="AJ867" s="328" t="s">
        <v>1328</v>
      </c>
      <c r="AK867" s="328" t="s">
        <v>1328</v>
      </c>
      <c r="AL867" s="22" t="s">
        <v>1329</v>
      </c>
      <c r="AM867" s="22" t="s">
        <v>1330</v>
      </c>
      <c r="AN867" s="22" t="s">
        <v>1317</v>
      </c>
      <c r="AO867" s="22" t="s">
        <v>1318</v>
      </c>
      <c r="AP867" s="22" t="s">
        <v>1318</v>
      </c>
      <c r="AQ867" s="22" t="s">
        <v>1318</v>
      </c>
      <c r="AR867" s="22" t="s">
        <v>1317</v>
      </c>
      <c r="AS867" s="22" t="s">
        <v>1318</v>
      </c>
      <c r="AT867" s="22" t="s">
        <v>1317</v>
      </c>
      <c r="AU867" s="22" t="s">
        <v>1318</v>
      </c>
      <c r="AV867" s="22" t="s">
        <v>1317</v>
      </c>
      <c r="AW867" s="22" t="s">
        <v>1318</v>
      </c>
      <c r="AX867" s="22" t="s">
        <v>1317</v>
      </c>
      <c r="AY867" s="22" t="s">
        <v>1318</v>
      </c>
      <c r="AZ867" s="22" t="s">
        <v>1317</v>
      </c>
      <c r="BA867" s="22" t="s">
        <v>1311</v>
      </c>
      <c r="BB867" s="22" t="s">
        <v>1309</v>
      </c>
      <c r="BC867" s="22" t="s">
        <v>1309</v>
      </c>
      <c r="BD867" s="22" t="s">
        <v>1317</v>
      </c>
      <c r="BE867" s="22" t="s">
        <v>1318</v>
      </c>
      <c r="BF867" s="22" t="s">
        <v>1317</v>
      </c>
      <c r="BG867" s="22" t="s">
        <v>1318</v>
      </c>
      <c r="BH867" s="22" t="s">
        <v>1309</v>
      </c>
      <c r="BI867" s="22" t="s">
        <v>1309</v>
      </c>
      <c r="BJ867" s="22" t="s">
        <v>1315</v>
      </c>
      <c r="BK867" s="22" t="s">
        <v>1315</v>
      </c>
      <c r="BL867" s="22" t="s">
        <v>1317</v>
      </c>
      <c r="BM867" s="22" t="s">
        <v>1318</v>
      </c>
      <c r="BN867" s="22" t="s">
        <v>1317</v>
      </c>
      <c r="BO867" s="22" t="s">
        <v>1318</v>
      </c>
      <c r="BP867" s="22" t="s">
        <v>1315</v>
      </c>
      <c r="BQ867" s="22" t="s">
        <v>1315</v>
      </c>
      <c r="BR867" s="22" t="s">
        <v>1309</v>
      </c>
      <c r="BS867" s="22" t="s">
        <v>1309</v>
      </c>
      <c r="BT867" s="22" t="s">
        <v>1315</v>
      </c>
      <c r="BU867" s="22" t="s">
        <v>1315</v>
      </c>
      <c r="BV867" s="22" t="s">
        <v>1317</v>
      </c>
      <c r="BW867" s="22" t="s">
        <v>1318</v>
      </c>
      <c r="BX867" s="20">
        <v>0</v>
      </c>
      <c r="BY867" s="20">
        <v>0</v>
      </c>
      <c r="BZ867" s="20">
        <v>4</v>
      </c>
      <c r="CA867" s="20">
        <v>0</v>
      </c>
      <c r="CB867" s="20">
        <v>0</v>
      </c>
      <c r="CC867" s="20">
        <v>74</v>
      </c>
      <c r="CD867" s="22" t="s">
        <v>1317</v>
      </c>
      <c r="CE867" s="22" t="s">
        <v>1318</v>
      </c>
      <c r="CF867" s="22" t="s">
        <v>1317</v>
      </c>
      <c r="CG867" s="22" t="s">
        <v>1318</v>
      </c>
      <c r="CH867" s="22" t="s">
        <v>1317</v>
      </c>
      <c r="CI867" s="22" t="s">
        <v>1318</v>
      </c>
      <c r="CJ867" s="149" t="s">
        <v>3192</v>
      </c>
      <c r="CK867" s="241" t="s">
        <v>1124</v>
      </c>
    </row>
    <row r="868" spans="1:89" ht="15" customHeight="1" x14ac:dyDescent="0.35">
      <c r="A868" s="17"/>
      <c r="B868" s="313">
        <v>51045</v>
      </c>
      <c r="C868" s="8" t="s">
        <v>505</v>
      </c>
      <c r="D868" s="18">
        <v>4</v>
      </c>
      <c r="E868" s="131"/>
      <c r="F868" s="22"/>
      <c r="G868" s="132"/>
      <c r="H868" s="22"/>
      <c r="I868" s="22"/>
      <c r="J868" s="22"/>
      <c r="K868" s="22"/>
      <c r="L868" s="22"/>
      <c r="M868" s="133"/>
      <c r="N868" s="22"/>
      <c r="O868" s="22"/>
      <c r="P868" s="22"/>
      <c r="Q868" s="20"/>
      <c r="R868" s="20"/>
      <c r="S868" s="20"/>
      <c r="T868" s="20"/>
      <c r="U868" s="20"/>
      <c r="V868" s="20"/>
      <c r="W868" s="20"/>
      <c r="X868" s="20"/>
      <c r="Y868" s="20"/>
      <c r="Z868" s="20"/>
      <c r="AA868" s="20"/>
      <c r="AB868" s="22"/>
      <c r="AC868" s="20"/>
      <c r="AD868" s="20"/>
      <c r="AE868" s="20"/>
      <c r="AF868" s="20" t="s">
        <v>1124</v>
      </c>
      <c r="AG868" s="20" t="s">
        <v>1124</v>
      </c>
      <c r="AH868" s="20" t="s">
        <v>1124</v>
      </c>
      <c r="AI868" s="328"/>
      <c r="AJ868" s="328"/>
      <c r="AK868" s="328"/>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0"/>
      <c r="BY868" s="20"/>
      <c r="BZ868" s="20"/>
      <c r="CA868" s="20"/>
      <c r="CB868" s="20"/>
      <c r="CC868" s="20"/>
      <c r="CD868" s="22"/>
      <c r="CE868" s="22"/>
      <c r="CF868" s="22"/>
      <c r="CG868" s="22"/>
      <c r="CH868" s="22"/>
      <c r="CI868" s="22"/>
      <c r="CJ868" s="149"/>
      <c r="CK868" s="241"/>
    </row>
    <row r="869" spans="1:89" ht="15" customHeight="1" x14ac:dyDescent="0.35">
      <c r="A869" s="17"/>
      <c r="B869" s="313">
        <v>87120</v>
      </c>
      <c r="C869" s="8" t="s">
        <v>910</v>
      </c>
      <c r="D869" s="18">
        <v>8</v>
      </c>
      <c r="E869" s="131"/>
      <c r="F869" s="22"/>
      <c r="G869" s="132"/>
      <c r="H869" s="22"/>
      <c r="I869" s="22"/>
      <c r="J869" s="22"/>
      <c r="K869" s="22"/>
      <c r="L869" s="22"/>
      <c r="M869" s="133"/>
      <c r="N869" s="22"/>
      <c r="O869" s="22"/>
      <c r="P869" s="22"/>
      <c r="Q869" s="20"/>
      <c r="R869" s="20"/>
      <c r="S869" s="20"/>
      <c r="T869" s="20"/>
      <c r="U869" s="20"/>
      <c r="V869" s="20"/>
      <c r="W869" s="20"/>
      <c r="X869" s="20"/>
      <c r="Y869" s="20"/>
      <c r="Z869" s="20"/>
      <c r="AA869" s="20"/>
      <c r="AB869" s="22"/>
      <c r="AC869" s="20"/>
      <c r="AD869" s="20"/>
      <c r="AE869" s="20"/>
      <c r="AF869" s="20" t="s">
        <v>1124</v>
      </c>
      <c r="AG869" s="20" t="s">
        <v>1124</v>
      </c>
      <c r="AH869" s="20" t="s">
        <v>1124</v>
      </c>
      <c r="AI869" s="328"/>
      <c r="AJ869" s="328"/>
      <c r="AK869" s="328"/>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0"/>
      <c r="BY869" s="20"/>
      <c r="BZ869" s="20"/>
      <c r="CA869" s="20"/>
      <c r="CB869" s="20"/>
      <c r="CC869" s="20"/>
      <c r="CD869" s="22"/>
      <c r="CE869" s="22"/>
      <c r="CF869" s="22"/>
      <c r="CG869" s="22"/>
      <c r="CH869" s="22"/>
      <c r="CI869" s="22"/>
      <c r="CJ869" s="149"/>
      <c r="CK869" s="241"/>
    </row>
    <row r="870" spans="1:89" ht="15" customHeight="1" x14ac:dyDescent="0.35">
      <c r="A870" s="17"/>
      <c r="B870" s="313">
        <v>58012</v>
      </c>
      <c r="C870" s="8" t="s">
        <v>595</v>
      </c>
      <c r="D870" s="18">
        <v>16</v>
      </c>
      <c r="E870" s="131"/>
      <c r="F870" s="22"/>
      <c r="G870" s="132"/>
      <c r="H870" s="22"/>
      <c r="I870" s="22"/>
      <c r="J870" s="22"/>
      <c r="K870" s="22"/>
      <c r="L870" s="22"/>
      <c r="M870" s="133"/>
      <c r="N870" s="22"/>
      <c r="O870" s="22"/>
      <c r="P870" s="22"/>
      <c r="Q870" s="20"/>
      <c r="R870" s="20"/>
      <c r="S870" s="20"/>
      <c r="T870" s="20"/>
      <c r="U870" s="20"/>
      <c r="V870" s="20"/>
      <c r="W870" s="20"/>
      <c r="X870" s="20"/>
      <c r="Y870" s="20"/>
      <c r="Z870" s="20"/>
      <c r="AA870" s="20"/>
      <c r="AB870" s="22"/>
      <c r="AC870" s="20"/>
      <c r="AD870" s="20"/>
      <c r="AE870" s="20"/>
      <c r="AF870" s="20" t="s">
        <v>1124</v>
      </c>
      <c r="AG870" s="20" t="s">
        <v>1124</v>
      </c>
      <c r="AH870" s="20" t="s">
        <v>1124</v>
      </c>
      <c r="AI870" s="328"/>
      <c r="AJ870" s="328"/>
      <c r="AK870" s="328"/>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0"/>
      <c r="BY870" s="20"/>
      <c r="BZ870" s="20"/>
      <c r="CA870" s="20"/>
      <c r="CB870" s="20"/>
      <c r="CC870" s="20"/>
      <c r="CD870" s="22"/>
      <c r="CE870" s="22"/>
      <c r="CF870" s="22"/>
      <c r="CG870" s="22"/>
      <c r="CH870" s="22"/>
      <c r="CI870" s="22"/>
      <c r="CJ870" s="149"/>
      <c r="CK870" s="241"/>
    </row>
    <row r="871" spans="1:89" ht="15" customHeight="1" x14ac:dyDescent="0.35">
      <c r="A871" s="17"/>
      <c r="B871" s="313">
        <v>26070</v>
      </c>
      <c r="C871" s="8" t="s">
        <v>177</v>
      </c>
      <c r="D871" s="18">
        <v>12</v>
      </c>
      <c r="E871" s="131" t="s">
        <v>1319</v>
      </c>
      <c r="F871" s="22" t="s">
        <v>1490</v>
      </c>
      <c r="G871" s="132" t="s">
        <v>1309</v>
      </c>
      <c r="H871" s="22" t="s">
        <v>1311</v>
      </c>
      <c r="I871" s="22" t="s">
        <v>1349</v>
      </c>
      <c r="J871" s="22" t="s">
        <v>1405</v>
      </c>
      <c r="K871" s="22" t="s">
        <v>1309</v>
      </c>
      <c r="L871" s="22" t="s">
        <v>1309</v>
      </c>
      <c r="M871" s="133" t="s">
        <v>1311</v>
      </c>
      <c r="N871" s="22" t="s">
        <v>1311</v>
      </c>
      <c r="O871" s="22" t="s">
        <v>1314</v>
      </c>
      <c r="P871" s="22" t="s">
        <v>1318</v>
      </c>
      <c r="Q871" s="20">
        <v>21.431999999999999</v>
      </c>
      <c r="R871" s="20">
        <v>21.431999999999999</v>
      </c>
      <c r="S871" s="20">
        <v>21.431999999999999</v>
      </c>
      <c r="T871" s="20">
        <v>21.431999999999999</v>
      </c>
      <c r="U871" s="20">
        <v>0</v>
      </c>
      <c r="V871" s="20">
        <v>0</v>
      </c>
      <c r="W871" s="20">
        <v>0</v>
      </c>
      <c r="X871" s="20">
        <v>0</v>
      </c>
      <c r="Y871" s="20">
        <v>0</v>
      </c>
      <c r="Z871" s="20">
        <v>0</v>
      </c>
      <c r="AA871" s="20" t="s">
        <v>1317</v>
      </c>
      <c r="AB871" s="22" t="s">
        <v>1318</v>
      </c>
      <c r="AC871" s="20">
        <v>1</v>
      </c>
      <c r="AD871" s="20">
        <v>0</v>
      </c>
      <c r="AE871" s="20">
        <v>0</v>
      </c>
      <c r="AF871" s="20">
        <v>1</v>
      </c>
      <c r="AG871" s="20">
        <v>0</v>
      </c>
      <c r="AH871" s="20">
        <v>0</v>
      </c>
      <c r="AI871" s="328">
        <v>4.6659201194475557</v>
      </c>
      <c r="AJ871" s="328" t="s">
        <v>1328</v>
      </c>
      <c r="AK871" s="328" t="s">
        <v>1328</v>
      </c>
      <c r="AL871" s="22" t="s">
        <v>1329</v>
      </c>
      <c r="AM871" s="22" t="s">
        <v>1330</v>
      </c>
      <c r="AN871" s="22" t="s">
        <v>1315</v>
      </c>
      <c r="AO871" s="22" t="s">
        <v>1315</v>
      </c>
      <c r="AP871" s="22" t="s">
        <v>1318</v>
      </c>
      <c r="AQ871" s="22" t="s">
        <v>1318</v>
      </c>
      <c r="AR871" s="22" t="s">
        <v>1317</v>
      </c>
      <c r="AS871" s="22" t="s">
        <v>1318</v>
      </c>
      <c r="AT871" s="22" t="s">
        <v>1317</v>
      </c>
      <c r="AU871" s="22" t="s">
        <v>1318</v>
      </c>
      <c r="AV871" s="22" t="s">
        <v>1317</v>
      </c>
      <c r="AW871" s="22" t="s">
        <v>1318</v>
      </c>
      <c r="AX871" s="22" t="s">
        <v>1317</v>
      </c>
      <c r="AY871" s="22" t="s">
        <v>1318</v>
      </c>
      <c r="AZ871" s="22" t="s">
        <v>1309</v>
      </c>
      <c r="BA871" s="22" t="s">
        <v>1309</v>
      </c>
      <c r="BB871" s="22" t="s">
        <v>1309</v>
      </c>
      <c r="BC871" s="22" t="s">
        <v>1309</v>
      </c>
      <c r="BD871" s="22" t="s">
        <v>1317</v>
      </c>
      <c r="BE871" s="22" t="s">
        <v>1318</v>
      </c>
      <c r="BF871" s="22" t="s">
        <v>1317</v>
      </c>
      <c r="BG871" s="22" t="s">
        <v>1318</v>
      </c>
      <c r="BH871" s="22" t="s">
        <v>1309</v>
      </c>
      <c r="BI871" s="22" t="s">
        <v>1309</v>
      </c>
      <c r="BJ871" s="22" t="s">
        <v>1317</v>
      </c>
      <c r="BK871" s="22" t="s">
        <v>1318</v>
      </c>
      <c r="BL871" s="22" t="s">
        <v>1317</v>
      </c>
      <c r="BM871" s="22" t="s">
        <v>1318</v>
      </c>
      <c r="BN871" s="22" t="s">
        <v>1317</v>
      </c>
      <c r="BO871" s="22" t="s">
        <v>1309</v>
      </c>
      <c r="BP871" s="22" t="s">
        <v>1309</v>
      </c>
      <c r="BQ871" s="22" t="s">
        <v>1309</v>
      </c>
      <c r="BR871" s="22" t="s">
        <v>1309</v>
      </c>
      <c r="BS871" s="22" t="s">
        <v>1309</v>
      </c>
      <c r="BT871" s="22" t="s">
        <v>1309</v>
      </c>
      <c r="BU871" s="22" t="s">
        <v>1309</v>
      </c>
      <c r="BV871" s="22" t="s">
        <v>1317</v>
      </c>
      <c r="BW871" s="22" t="s">
        <v>1318</v>
      </c>
      <c r="BX871" s="20">
        <v>9</v>
      </c>
      <c r="BY871" s="20">
        <v>0</v>
      </c>
      <c r="BZ871" s="20">
        <v>46</v>
      </c>
      <c r="CA871" s="20">
        <v>0</v>
      </c>
      <c r="CB871" s="20">
        <v>0</v>
      </c>
      <c r="CC871" s="20">
        <v>888</v>
      </c>
      <c r="CD871" s="22" t="s">
        <v>1317</v>
      </c>
      <c r="CE871" s="22" t="s">
        <v>1318</v>
      </c>
      <c r="CF871" s="22" t="s">
        <v>1317</v>
      </c>
      <c r="CG871" s="22" t="s">
        <v>1318</v>
      </c>
      <c r="CH871" s="22" t="s">
        <v>1317</v>
      </c>
      <c r="CI871" s="22" t="s">
        <v>1318</v>
      </c>
      <c r="CJ871" s="149" t="s">
        <v>1124</v>
      </c>
      <c r="CK871" s="241" t="s">
        <v>1124</v>
      </c>
    </row>
    <row r="872" spans="1:89" ht="15" customHeight="1" x14ac:dyDescent="0.35">
      <c r="A872" s="17"/>
      <c r="B872" s="313">
        <v>20020</v>
      </c>
      <c r="C872" s="8" t="s">
        <v>141</v>
      </c>
      <c r="D872" s="18">
        <v>3</v>
      </c>
      <c r="E872" s="131"/>
      <c r="F872" s="22"/>
      <c r="G872" s="132"/>
      <c r="H872" s="22"/>
      <c r="I872" s="22"/>
      <c r="J872" s="22"/>
      <c r="K872" s="22"/>
      <c r="L872" s="22"/>
      <c r="M872" s="133"/>
      <c r="N872" s="22"/>
      <c r="O872" s="22"/>
      <c r="P872" s="22"/>
      <c r="Q872" s="20"/>
      <c r="R872" s="20"/>
      <c r="S872" s="20"/>
      <c r="T872" s="20"/>
      <c r="U872" s="20"/>
      <c r="V872" s="20"/>
      <c r="W872" s="20"/>
      <c r="X872" s="20"/>
      <c r="Y872" s="20"/>
      <c r="Z872" s="20"/>
      <c r="AA872" s="20"/>
      <c r="AB872" s="22"/>
      <c r="AC872" s="20"/>
      <c r="AD872" s="20"/>
      <c r="AE872" s="20"/>
      <c r="AF872" s="20" t="s">
        <v>1124</v>
      </c>
      <c r="AG872" s="20" t="s">
        <v>1124</v>
      </c>
      <c r="AH872" s="20" t="s">
        <v>1124</v>
      </c>
      <c r="AI872" s="328"/>
      <c r="AJ872" s="328"/>
      <c r="AK872" s="328"/>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0"/>
      <c r="BY872" s="20"/>
      <c r="BZ872" s="20"/>
      <c r="CA872" s="20"/>
      <c r="CB872" s="20"/>
      <c r="CC872" s="20"/>
      <c r="CD872" s="22"/>
      <c r="CE872" s="22"/>
      <c r="CF872" s="22"/>
      <c r="CG872" s="22"/>
      <c r="CH872" s="22"/>
      <c r="CI872" s="22"/>
      <c r="CJ872" s="149"/>
      <c r="CK872" s="241"/>
    </row>
    <row r="873" spans="1:89" ht="15" customHeight="1" x14ac:dyDescent="0.35">
      <c r="A873" s="17"/>
      <c r="B873" s="314">
        <v>71105</v>
      </c>
      <c r="C873" s="8" t="s">
        <v>721</v>
      </c>
      <c r="D873" s="18">
        <v>16</v>
      </c>
      <c r="E873" s="131" t="s">
        <v>1309</v>
      </c>
      <c r="F873" s="22" t="s">
        <v>1309</v>
      </c>
      <c r="G873" s="132" t="s">
        <v>1309</v>
      </c>
      <c r="H873" s="22" t="s">
        <v>1311</v>
      </c>
      <c r="I873" s="22" t="s">
        <v>1327</v>
      </c>
      <c r="J873" s="22" t="s">
        <v>1327</v>
      </c>
      <c r="K873" s="22" t="s">
        <v>1314</v>
      </c>
      <c r="L873" s="22" t="s">
        <v>1309</v>
      </c>
      <c r="M873" s="133" t="s">
        <v>1311</v>
      </c>
      <c r="N873" s="22" t="s">
        <v>1311</v>
      </c>
      <c r="O873" s="22" t="s">
        <v>1315</v>
      </c>
      <c r="P873" s="22" t="s">
        <v>1315</v>
      </c>
      <c r="Q873" s="20">
        <v>0</v>
      </c>
      <c r="R873" s="20">
        <v>0</v>
      </c>
      <c r="S873" s="20">
        <v>0</v>
      </c>
      <c r="T873" s="20">
        <v>0</v>
      </c>
      <c r="U873" s="20">
        <v>0</v>
      </c>
      <c r="V873" s="20">
        <v>0</v>
      </c>
      <c r="W873" s="20">
        <v>0</v>
      </c>
      <c r="X873" s="20">
        <v>0</v>
      </c>
      <c r="Y873" s="20">
        <v>0</v>
      </c>
      <c r="Z873" s="20">
        <v>0</v>
      </c>
      <c r="AA873" s="20" t="s">
        <v>1317</v>
      </c>
      <c r="AB873" s="22" t="s">
        <v>1318</v>
      </c>
      <c r="AC873" s="20">
        <v>9</v>
      </c>
      <c r="AD873" s="20">
        <v>11</v>
      </c>
      <c r="AE873" s="20">
        <v>20</v>
      </c>
      <c r="AF873" s="20">
        <v>2</v>
      </c>
      <c r="AG873" s="20">
        <v>5</v>
      </c>
      <c r="AH873" s="20">
        <v>7</v>
      </c>
      <c r="AI873" s="328">
        <v>4.8447004360230386</v>
      </c>
      <c r="AJ873" s="328">
        <v>1.5567506368525332</v>
      </c>
      <c r="AK873" s="328">
        <v>2.8304557033682425</v>
      </c>
      <c r="AL873" s="22" t="s">
        <v>1329</v>
      </c>
      <c r="AM873" s="22" t="s">
        <v>1330</v>
      </c>
      <c r="AN873" s="22" t="s">
        <v>1317</v>
      </c>
      <c r="AO873" s="22" t="s">
        <v>1311</v>
      </c>
      <c r="AP873" s="22" t="s">
        <v>1318</v>
      </c>
      <c r="AQ873" s="22" t="s">
        <v>1313</v>
      </c>
      <c r="AR873" s="22" t="s">
        <v>1317</v>
      </c>
      <c r="AS873" s="22" t="s">
        <v>1318</v>
      </c>
      <c r="AT873" s="22" t="s">
        <v>1317</v>
      </c>
      <c r="AU873" s="22" t="s">
        <v>1318</v>
      </c>
      <c r="AV873" s="22" t="s">
        <v>1309</v>
      </c>
      <c r="AW873" s="22" t="s">
        <v>1309</v>
      </c>
      <c r="AX873" s="22" t="s">
        <v>1317</v>
      </c>
      <c r="AY873" s="22" t="s">
        <v>1318</v>
      </c>
      <c r="AZ873" s="22" t="s">
        <v>1309</v>
      </c>
      <c r="BA873" s="22" t="s">
        <v>1309</v>
      </c>
      <c r="BB873" s="22" t="s">
        <v>1317</v>
      </c>
      <c r="BC873" s="22" t="s">
        <v>1311</v>
      </c>
      <c r="BD873" s="22" t="s">
        <v>1317</v>
      </c>
      <c r="BE873" s="22" t="s">
        <v>1318</v>
      </c>
      <c r="BF873" s="22" t="s">
        <v>1317</v>
      </c>
      <c r="BG873" s="22" t="s">
        <v>1318</v>
      </c>
      <c r="BH873" s="22" t="s">
        <v>1317</v>
      </c>
      <c r="BI873" s="22" t="s">
        <v>1309</v>
      </c>
      <c r="BJ873" s="22" t="s">
        <v>1317</v>
      </c>
      <c r="BK873" s="22" t="s">
        <v>1318</v>
      </c>
      <c r="BL873" s="22" t="s">
        <v>1317</v>
      </c>
      <c r="BM873" s="22" t="s">
        <v>1311</v>
      </c>
      <c r="BN873" s="22" t="s">
        <v>1317</v>
      </c>
      <c r="BO873" s="22" t="s">
        <v>1311</v>
      </c>
      <c r="BP873" s="22" t="s">
        <v>1309</v>
      </c>
      <c r="BQ873" s="22" t="s">
        <v>1309</v>
      </c>
      <c r="BR873" s="22" t="s">
        <v>1309</v>
      </c>
      <c r="BS873" s="22" t="s">
        <v>1309</v>
      </c>
      <c r="BT873" s="22" t="s">
        <v>1315</v>
      </c>
      <c r="BU873" s="22" t="s">
        <v>1315</v>
      </c>
      <c r="BV873" s="22" t="s">
        <v>1317</v>
      </c>
      <c r="BW873" s="22" t="s">
        <v>1318</v>
      </c>
      <c r="BX873" s="20">
        <v>0</v>
      </c>
      <c r="BY873" s="20">
        <v>1</v>
      </c>
      <c r="BZ873" s="20">
        <v>241</v>
      </c>
      <c r="CA873" s="20">
        <v>0</v>
      </c>
      <c r="CB873" s="20">
        <v>0</v>
      </c>
      <c r="CC873" s="20">
        <v>6824</v>
      </c>
      <c r="CD873" s="22" t="s">
        <v>1317</v>
      </c>
      <c r="CE873" s="22" t="s">
        <v>1318</v>
      </c>
      <c r="CF873" s="22" t="s">
        <v>1317</v>
      </c>
      <c r="CG873" s="22" t="s">
        <v>1318</v>
      </c>
      <c r="CH873" s="22" t="s">
        <v>1317</v>
      </c>
      <c r="CI873" s="22" t="s">
        <v>1318</v>
      </c>
      <c r="CJ873" s="149" t="s">
        <v>1124</v>
      </c>
      <c r="CK873" s="241" t="s">
        <v>3199</v>
      </c>
    </row>
    <row r="874" spans="1:89" ht="15" customHeight="1" x14ac:dyDescent="0.35">
      <c r="A874" s="17"/>
      <c r="B874" s="313">
        <v>19050</v>
      </c>
      <c r="C874" s="8" t="s">
        <v>126</v>
      </c>
      <c r="D874" s="18">
        <v>12</v>
      </c>
      <c r="E874" s="131" t="s">
        <v>1309</v>
      </c>
      <c r="F874" s="22" t="s">
        <v>1309</v>
      </c>
      <c r="G874" s="132" t="s">
        <v>1315</v>
      </c>
      <c r="H874" s="22" t="s">
        <v>1315</v>
      </c>
      <c r="I874" s="22" t="s">
        <v>1327</v>
      </c>
      <c r="J874" s="22" t="s">
        <v>1327</v>
      </c>
      <c r="K874" s="22" t="s">
        <v>1309</v>
      </c>
      <c r="L874" s="22" t="s">
        <v>1309</v>
      </c>
      <c r="M874" s="133" t="s">
        <v>1311</v>
      </c>
      <c r="N874" s="22" t="s">
        <v>1311</v>
      </c>
      <c r="O874" s="22" t="s">
        <v>1309</v>
      </c>
      <c r="P874" s="22" t="s">
        <v>1309</v>
      </c>
      <c r="Q874" s="20">
        <v>0</v>
      </c>
      <c r="R874" s="20">
        <v>0</v>
      </c>
      <c r="S874" s="20">
        <v>0</v>
      </c>
      <c r="T874" s="20">
        <v>0</v>
      </c>
      <c r="U874" s="20">
        <v>0</v>
      </c>
      <c r="V874" s="20">
        <v>0</v>
      </c>
      <c r="W874" s="20">
        <v>0</v>
      </c>
      <c r="X874" s="20">
        <v>0</v>
      </c>
      <c r="Y874" s="20">
        <v>0</v>
      </c>
      <c r="Z874" s="20">
        <v>0</v>
      </c>
      <c r="AA874" s="20" t="s">
        <v>1315</v>
      </c>
      <c r="AB874" s="22" t="s">
        <v>1315</v>
      </c>
      <c r="AC874" s="20">
        <v>0</v>
      </c>
      <c r="AD874" s="20">
        <v>2</v>
      </c>
      <c r="AE874" s="20">
        <v>0</v>
      </c>
      <c r="AF874" s="20">
        <v>0</v>
      </c>
      <c r="AG874" s="20">
        <v>3</v>
      </c>
      <c r="AH874" s="20">
        <v>0</v>
      </c>
      <c r="AI874" s="328" t="s">
        <v>1328</v>
      </c>
      <c r="AJ874" s="328">
        <v>6.7796610169491522</v>
      </c>
      <c r="AK874" s="328" t="s">
        <v>1328</v>
      </c>
      <c r="AL874" s="22" t="s">
        <v>1316</v>
      </c>
      <c r="AM874" s="22" t="s">
        <v>1316</v>
      </c>
      <c r="AN874" s="22" t="s">
        <v>1317</v>
      </c>
      <c r="AO874" s="22" t="s">
        <v>1318</v>
      </c>
      <c r="AP874" s="22" t="s">
        <v>1318</v>
      </c>
      <c r="AQ874" s="22" t="s">
        <v>1318</v>
      </c>
      <c r="AR874" s="22" t="s">
        <v>1317</v>
      </c>
      <c r="AS874" s="22" t="s">
        <v>1318</v>
      </c>
      <c r="AT874" s="22" t="s">
        <v>1317</v>
      </c>
      <c r="AU874" s="22" t="s">
        <v>1318</v>
      </c>
      <c r="AV874" s="22" t="s">
        <v>1317</v>
      </c>
      <c r="AW874" s="22" t="s">
        <v>1318</v>
      </c>
      <c r="AX874" s="22" t="s">
        <v>1317</v>
      </c>
      <c r="AY874" s="22" t="s">
        <v>1318</v>
      </c>
      <c r="AZ874" s="22" t="s">
        <v>1317</v>
      </c>
      <c r="BA874" s="22" t="s">
        <v>1318</v>
      </c>
      <c r="BB874" s="22" t="s">
        <v>1309</v>
      </c>
      <c r="BC874" s="22" t="s">
        <v>1309</v>
      </c>
      <c r="BD874" s="22" t="s">
        <v>1309</v>
      </c>
      <c r="BE874" s="22" t="s">
        <v>1309</v>
      </c>
      <c r="BF874" s="22" t="s">
        <v>1309</v>
      </c>
      <c r="BG874" s="22" t="s">
        <v>1309</v>
      </c>
      <c r="BH874" s="22" t="s">
        <v>1309</v>
      </c>
      <c r="BI874" s="22" t="s">
        <v>1309</v>
      </c>
      <c r="BJ874" s="22" t="s">
        <v>1317</v>
      </c>
      <c r="BK874" s="22" t="s">
        <v>1318</v>
      </c>
      <c r="BL874" s="22" t="s">
        <v>1319</v>
      </c>
      <c r="BM874" s="22" t="s">
        <v>1318</v>
      </c>
      <c r="BN874" s="22" t="s">
        <v>1309</v>
      </c>
      <c r="BO874" s="22" t="s">
        <v>1318</v>
      </c>
      <c r="BP874" s="22" t="s">
        <v>1309</v>
      </c>
      <c r="BQ874" s="22" t="s">
        <v>1318</v>
      </c>
      <c r="BR874" s="22" t="s">
        <v>1309</v>
      </c>
      <c r="BS874" s="22" t="s">
        <v>1318</v>
      </c>
      <c r="BT874" s="22" t="s">
        <v>1317</v>
      </c>
      <c r="BU874" s="22" t="s">
        <v>1318</v>
      </c>
      <c r="BV874" s="22" t="s">
        <v>1317</v>
      </c>
      <c r="BW874" s="22" t="s">
        <v>1318</v>
      </c>
      <c r="BX874" s="20">
        <v>29</v>
      </c>
      <c r="BY874" s="20">
        <v>1</v>
      </c>
      <c r="BZ874" s="20">
        <v>2</v>
      </c>
      <c r="CA874" s="20">
        <v>264</v>
      </c>
      <c r="CB874" s="20">
        <v>0</v>
      </c>
      <c r="CC874" s="20">
        <v>0</v>
      </c>
      <c r="CD874" s="22" t="s">
        <v>1331</v>
      </c>
      <c r="CE874" s="22" t="s">
        <v>1331</v>
      </c>
      <c r="CF874" s="22" t="s">
        <v>1315</v>
      </c>
      <c r="CG874" s="22" t="s">
        <v>1315</v>
      </c>
      <c r="CH874" s="22" t="s">
        <v>1315</v>
      </c>
      <c r="CI874" s="22" t="s">
        <v>1315</v>
      </c>
      <c r="CJ874" s="149" t="s">
        <v>3202</v>
      </c>
      <c r="CK874" s="241" t="s">
        <v>1124</v>
      </c>
    </row>
    <row r="875" spans="1:89" ht="15" customHeight="1" x14ac:dyDescent="0.35">
      <c r="A875" s="17"/>
      <c r="B875" s="313">
        <v>8065</v>
      </c>
      <c r="C875" s="8" t="s">
        <v>1094</v>
      </c>
      <c r="D875" s="18">
        <v>1</v>
      </c>
      <c r="E875" s="131"/>
      <c r="F875" s="22"/>
      <c r="G875" s="132"/>
      <c r="H875" s="22"/>
      <c r="I875" s="22"/>
      <c r="J875" s="22"/>
      <c r="K875" s="22"/>
      <c r="L875" s="22"/>
      <c r="M875" s="133"/>
      <c r="N875" s="22"/>
      <c r="O875" s="22"/>
      <c r="P875" s="22"/>
      <c r="Q875" s="20"/>
      <c r="R875" s="20"/>
      <c r="S875" s="20"/>
      <c r="T875" s="20"/>
      <c r="U875" s="20"/>
      <c r="V875" s="20"/>
      <c r="W875" s="20"/>
      <c r="X875" s="20"/>
      <c r="Y875" s="20"/>
      <c r="Z875" s="20"/>
      <c r="AA875" s="20"/>
      <c r="AB875" s="22"/>
      <c r="AC875" s="20"/>
      <c r="AD875" s="20"/>
      <c r="AE875" s="20"/>
      <c r="AF875" s="20" t="s">
        <v>1124</v>
      </c>
      <c r="AG875" s="20" t="s">
        <v>1124</v>
      </c>
      <c r="AH875" s="20" t="s">
        <v>1124</v>
      </c>
      <c r="AI875" s="328"/>
      <c r="AJ875" s="328"/>
      <c r="AK875" s="328"/>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0"/>
      <c r="BY875" s="20"/>
      <c r="BZ875" s="20"/>
      <c r="CA875" s="20"/>
      <c r="CB875" s="20"/>
      <c r="CC875" s="20"/>
      <c r="CD875" s="22"/>
      <c r="CE875" s="22"/>
      <c r="CF875" s="22"/>
      <c r="CG875" s="22"/>
      <c r="CH875" s="22"/>
      <c r="CI875" s="22"/>
      <c r="CJ875" s="149"/>
      <c r="CK875" s="241"/>
    </row>
    <row r="876" spans="1:89" ht="15" customHeight="1" x14ac:dyDescent="0.35">
      <c r="A876" s="17"/>
      <c r="B876" s="313">
        <v>50042</v>
      </c>
      <c r="C876" s="8" t="s">
        <v>487</v>
      </c>
      <c r="D876" s="18">
        <v>17</v>
      </c>
      <c r="E876" s="131" t="s">
        <v>1309</v>
      </c>
      <c r="F876" s="22" t="s">
        <v>1309</v>
      </c>
      <c r="G876" s="132" t="s">
        <v>1309</v>
      </c>
      <c r="H876" s="22" t="s">
        <v>1311</v>
      </c>
      <c r="I876" s="22" t="s">
        <v>1327</v>
      </c>
      <c r="J876" s="22" t="s">
        <v>1327</v>
      </c>
      <c r="K876" s="22" t="s">
        <v>1309</v>
      </c>
      <c r="L876" s="22" t="s">
        <v>1309</v>
      </c>
      <c r="M876" s="133" t="s">
        <v>1311</v>
      </c>
      <c r="N876" s="22" t="s">
        <v>1311</v>
      </c>
      <c r="O876" s="22" t="s">
        <v>1315</v>
      </c>
      <c r="P876" s="22" t="s">
        <v>1315</v>
      </c>
      <c r="Q876" s="20">
        <v>0</v>
      </c>
      <c r="R876" s="20">
        <v>0</v>
      </c>
      <c r="S876" s="20">
        <v>0</v>
      </c>
      <c r="T876" s="20">
        <v>0</v>
      </c>
      <c r="U876" s="20">
        <v>0</v>
      </c>
      <c r="V876" s="20">
        <v>0</v>
      </c>
      <c r="W876" s="20">
        <v>0</v>
      </c>
      <c r="X876" s="20">
        <v>0</v>
      </c>
      <c r="Y876" s="20">
        <v>0</v>
      </c>
      <c r="Z876" s="20">
        <v>0</v>
      </c>
      <c r="AA876" s="20" t="s">
        <v>1317</v>
      </c>
      <c r="AB876" s="22" t="s">
        <v>1318</v>
      </c>
      <c r="AC876" s="20">
        <v>0</v>
      </c>
      <c r="AD876" s="20">
        <v>1</v>
      </c>
      <c r="AE876" s="20">
        <v>0</v>
      </c>
      <c r="AF876" s="20">
        <v>0</v>
      </c>
      <c r="AG876" s="20">
        <v>1</v>
      </c>
      <c r="AH876" s="20">
        <v>0</v>
      </c>
      <c r="AI876" s="328" t="s">
        <v>1328</v>
      </c>
      <c r="AJ876" s="328">
        <v>1.3458950201884252</v>
      </c>
      <c r="AK876" s="328" t="s">
        <v>1328</v>
      </c>
      <c r="AL876" s="22" t="s">
        <v>1329</v>
      </c>
      <c r="AM876" s="22" t="s">
        <v>1330</v>
      </c>
      <c r="AN876" s="22" t="s">
        <v>1317</v>
      </c>
      <c r="AO876" s="22" t="s">
        <v>1318</v>
      </c>
      <c r="AP876" s="22" t="s">
        <v>1318</v>
      </c>
      <c r="AQ876" s="22" t="s">
        <v>1318</v>
      </c>
      <c r="AR876" s="22" t="s">
        <v>1317</v>
      </c>
      <c r="AS876" s="22" t="s">
        <v>1318</v>
      </c>
      <c r="AT876" s="22" t="s">
        <v>1317</v>
      </c>
      <c r="AU876" s="22" t="s">
        <v>1318</v>
      </c>
      <c r="AV876" s="22" t="s">
        <v>1317</v>
      </c>
      <c r="AW876" s="22" t="s">
        <v>1318</v>
      </c>
      <c r="AX876" s="22" t="s">
        <v>1317</v>
      </c>
      <c r="AY876" s="22" t="s">
        <v>1318</v>
      </c>
      <c r="AZ876" s="22" t="s">
        <v>1309</v>
      </c>
      <c r="BA876" s="22" t="s">
        <v>1311</v>
      </c>
      <c r="BB876" s="22" t="s">
        <v>1317</v>
      </c>
      <c r="BC876" s="22" t="s">
        <v>1318</v>
      </c>
      <c r="BD876" s="22" t="s">
        <v>1317</v>
      </c>
      <c r="BE876" s="22" t="s">
        <v>1318</v>
      </c>
      <c r="BF876" s="22" t="s">
        <v>1317</v>
      </c>
      <c r="BG876" s="22" t="s">
        <v>1318</v>
      </c>
      <c r="BH876" s="22" t="s">
        <v>1317</v>
      </c>
      <c r="BI876" s="22" t="s">
        <v>1318</v>
      </c>
      <c r="BJ876" s="22" t="s">
        <v>1317</v>
      </c>
      <c r="BK876" s="22" t="s">
        <v>1318</v>
      </c>
      <c r="BL876" s="22" t="s">
        <v>1317</v>
      </c>
      <c r="BM876" s="22" t="s">
        <v>1318</v>
      </c>
      <c r="BN876" s="22" t="s">
        <v>1317</v>
      </c>
      <c r="BO876" s="22" t="s">
        <v>1318</v>
      </c>
      <c r="BP876" s="22" t="s">
        <v>1317</v>
      </c>
      <c r="BQ876" s="22" t="s">
        <v>1318</v>
      </c>
      <c r="BR876" s="22" t="s">
        <v>1309</v>
      </c>
      <c r="BS876" s="22" t="s">
        <v>1311</v>
      </c>
      <c r="BT876" s="22" t="s">
        <v>1315</v>
      </c>
      <c r="BU876" s="22" t="s">
        <v>1315</v>
      </c>
      <c r="BV876" s="22" t="s">
        <v>1317</v>
      </c>
      <c r="BW876" s="22" t="s">
        <v>1318</v>
      </c>
      <c r="BX876" s="20">
        <v>0</v>
      </c>
      <c r="BY876" s="20">
        <v>0</v>
      </c>
      <c r="BZ876" s="20">
        <v>47</v>
      </c>
      <c r="CA876" s="20">
        <v>0</v>
      </c>
      <c r="CB876" s="20">
        <v>0</v>
      </c>
      <c r="CC876" s="20">
        <v>696</v>
      </c>
      <c r="CD876" s="22" t="s">
        <v>1317</v>
      </c>
      <c r="CE876" s="22" t="s">
        <v>1318</v>
      </c>
      <c r="CF876" s="22" t="s">
        <v>1317</v>
      </c>
      <c r="CG876" s="22" t="s">
        <v>1318</v>
      </c>
      <c r="CH876" s="22" t="s">
        <v>1317</v>
      </c>
      <c r="CI876" s="22" t="s">
        <v>1318</v>
      </c>
      <c r="CJ876" s="149" t="s">
        <v>1124</v>
      </c>
      <c r="CK876" s="241" t="s">
        <v>1124</v>
      </c>
    </row>
    <row r="877" spans="1:89" ht="15" customHeight="1" x14ac:dyDescent="0.35">
      <c r="A877" s="17"/>
      <c r="B877" s="313">
        <v>34115</v>
      </c>
      <c r="C877" s="8" t="s">
        <v>299</v>
      </c>
      <c r="D877" s="18">
        <v>3</v>
      </c>
      <c r="E877" s="131" t="s">
        <v>1309</v>
      </c>
      <c r="F877" s="22" t="s">
        <v>1309</v>
      </c>
      <c r="G877" s="132" t="s">
        <v>1309</v>
      </c>
      <c r="H877" s="22" t="s">
        <v>1311</v>
      </c>
      <c r="I877" s="22" t="s">
        <v>1349</v>
      </c>
      <c r="J877" s="22" t="s">
        <v>1348</v>
      </c>
      <c r="K877" s="22" t="s">
        <v>1314</v>
      </c>
      <c r="L877" s="22" t="s">
        <v>1311</v>
      </c>
      <c r="M877" s="133" t="s">
        <v>1311</v>
      </c>
      <c r="N877" s="22" t="s">
        <v>1311</v>
      </c>
      <c r="O877" s="22" t="s">
        <v>1315</v>
      </c>
      <c r="P877" s="22" t="s">
        <v>1315</v>
      </c>
      <c r="Q877" s="20">
        <v>0</v>
      </c>
      <c r="R877" s="20">
        <v>0</v>
      </c>
      <c r="S877" s="20">
        <v>0</v>
      </c>
      <c r="T877" s="20">
        <v>0</v>
      </c>
      <c r="U877" s="20">
        <v>0</v>
      </c>
      <c r="V877" s="20">
        <v>0</v>
      </c>
      <c r="W877" s="20">
        <v>0</v>
      </c>
      <c r="X877" s="20">
        <v>0</v>
      </c>
      <c r="Y877" s="20">
        <v>0</v>
      </c>
      <c r="Z877" s="20">
        <v>0</v>
      </c>
      <c r="AA877" s="20" t="s">
        <v>1317</v>
      </c>
      <c r="AB877" s="22" t="s">
        <v>1318</v>
      </c>
      <c r="AC877" s="20">
        <v>3</v>
      </c>
      <c r="AD877" s="20">
        <v>0</v>
      </c>
      <c r="AE877" s="20">
        <v>0</v>
      </c>
      <c r="AF877" s="20">
        <v>2</v>
      </c>
      <c r="AG877" s="20">
        <v>0</v>
      </c>
      <c r="AH877" s="20">
        <v>0</v>
      </c>
      <c r="AI877" s="328">
        <v>64.697002372223423</v>
      </c>
      <c r="AJ877" s="328" t="s">
        <v>1328</v>
      </c>
      <c r="AK877" s="328" t="s">
        <v>1328</v>
      </c>
      <c r="AL877" s="22" t="s">
        <v>1329</v>
      </c>
      <c r="AM877" s="22" t="s">
        <v>1330</v>
      </c>
      <c r="AN877" s="22" t="s">
        <v>1317</v>
      </c>
      <c r="AO877" s="22" t="s">
        <v>1318</v>
      </c>
      <c r="AP877" s="22" t="s">
        <v>1318</v>
      </c>
      <c r="AQ877" s="22" t="s">
        <v>1318</v>
      </c>
      <c r="AR877" s="22" t="s">
        <v>1317</v>
      </c>
      <c r="AS877" s="22" t="s">
        <v>1318</v>
      </c>
      <c r="AT877" s="22" t="s">
        <v>1317</v>
      </c>
      <c r="AU877" s="22" t="s">
        <v>1318</v>
      </c>
      <c r="AV877" s="22" t="s">
        <v>1317</v>
      </c>
      <c r="AW877" s="22" t="s">
        <v>1318</v>
      </c>
      <c r="AX877" s="22" t="s">
        <v>1317</v>
      </c>
      <c r="AY877" s="22" t="s">
        <v>1318</v>
      </c>
      <c r="AZ877" s="22" t="s">
        <v>1309</v>
      </c>
      <c r="BA877" s="22" t="s">
        <v>1309</v>
      </c>
      <c r="BB877" s="22" t="s">
        <v>1309</v>
      </c>
      <c r="BC877" s="22" t="s">
        <v>1309</v>
      </c>
      <c r="BD877" s="22" t="s">
        <v>1317</v>
      </c>
      <c r="BE877" s="22" t="s">
        <v>1318</v>
      </c>
      <c r="BF877" s="22" t="s">
        <v>1317</v>
      </c>
      <c r="BG877" s="22" t="s">
        <v>1318</v>
      </c>
      <c r="BH877" s="22" t="s">
        <v>1317</v>
      </c>
      <c r="BI877" s="22" t="s">
        <v>1318</v>
      </c>
      <c r="BJ877" s="22" t="s">
        <v>1317</v>
      </c>
      <c r="BK877" s="22" t="s">
        <v>1318</v>
      </c>
      <c r="BL877" s="22" t="s">
        <v>1317</v>
      </c>
      <c r="BM877" s="22" t="s">
        <v>1318</v>
      </c>
      <c r="BN877" s="22" t="s">
        <v>1317</v>
      </c>
      <c r="BO877" s="22" t="s">
        <v>1318</v>
      </c>
      <c r="BP877" s="22" t="s">
        <v>1317</v>
      </c>
      <c r="BQ877" s="22" t="s">
        <v>1318</v>
      </c>
      <c r="BR877" s="22" t="s">
        <v>1309</v>
      </c>
      <c r="BS877" s="22" t="s">
        <v>1309</v>
      </c>
      <c r="BT877" s="22" t="s">
        <v>1309</v>
      </c>
      <c r="BU877" s="22" t="s">
        <v>1309</v>
      </c>
      <c r="BV877" s="22" t="s">
        <v>1317</v>
      </c>
      <c r="BW877" s="22" t="s">
        <v>1311</v>
      </c>
      <c r="BX877" s="20">
        <v>0</v>
      </c>
      <c r="BY877" s="20">
        <v>0</v>
      </c>
      <c r="BZ877" s="20">
        <v>7</v>
      </c>
      <c r="CA877" s="20">
        <v>0</v>
      </c>
      <c r="CB877" s="20">
        <v>0</v>
      </c>
      <c r="CC877" s="20">
        <v>231</v>
      </c>
      <c r="CD877" s="22" t="s">
        <v>1317</v>
      </c>
      <c r="CE877" s="22" t="s">
        <v>1318</v>
      </c>
      <c r="CF877" s="22" t="s">
        <v>1317</v>
      </c>
      <c r="CG877" s="22" t="s">
        <v>1318</v>
      </c>
      <c r="CH877" s="22" t="s">
        <v>1317</v>
      </c>
      <c r="CI877" s="22" t="s">
        <v>1318</v>
      </c>
      <c r="CJ877" s="149" t="s">
        <v>1124</v>
      </c>
      <c r="CK877" s="241" t="s">
        <v>1124</v>
      </c>
    </row>
    <row r="878" spans="1:89" ht="15" customHeight="1" x14ac:dyDescent="0.35">
      <c r="A878" s="17"/>
      <c r="B878" s="313">
        <v>19020</v>
      </c>
      <c r="C878" s="8" t="s">
        <v>121</v>
      </c>
      <c r="D878" s="18">
        <v>12</v>
      </c>
      <c r="E878" s="131" t="s">
        <v>1309</v>
      </c>
      <c r="F878" s="22" t="s">
        <v>1309</v>
      </c>
      <c r="G878" s="132" t="s">
        <v>1309</v>
      </c>
      <c r="H878" s="22" t="s">
        <v>1311</v>
      </c>
      <c r="I878" s="22" t="s">
        <v>1327</v>
      </c>
      <c r="J878" s="22" t="s">
        <v>1327</v>
      </c>
      <c r="K878" s="22" t="s">
        <v>1314</v>
      </c>
      <c r="L878" s="22" t="s">
        <v>1311</v>
      </c>
      <c r="M878" s="133" t="s">
        <v>1311</v>
      </c>
      <c r="N878" s="22" t="s">
        <v>1311</v>
      </c>
      <c r="O878" s="22" t="s">
        <v>1314</v>
      </c>
      <c r="P878" s="22" t="s">
        <v>1311</v>
      </c>
      <c r="Q878" s="20">
        <v>0</v>
      </c>
      <c r="R878" s="20">
        <v>0</v>
      </c>
      <c r="S878" s="20">
        <v>4.3624999999999998</v>
      </c>
      <c r="T878" s="20">
        <v>4.3624999999999998</v>
      </c>
      <c r="U878" s="20">
        <v>0</v>
      </c>
      <c r="V878" s="20">
        <v>0</v>
      </c>
      <c r="W878" s="20">
        <v>0</v>
      </c>
      <c r="X878" s="20">
        <v>0</v>
      </c>
      <c r="Y878" s="20">
        <v>0</v>
      </c>
      <c r="Z878" s="20">
        <v>0</v>
      </c>
      <c r="AA878" s="20" t="s">
        <v>1315</v>
      </c>
      <c r="AB878" s="22" t="s">
        <v>1315</v>
      </c>
      <c r="AC878" s="20">
        <v>0</v>
      </c>
      <c r="AD878" s="20">
        <v>0</v>
      </c>
      <c r="AE878" s="20">
        <v>1</v>
      </c>
      <c r="AF878" s="20">
        <v>0</v>
      </c>
      <c r="AG878" s="20">
        <v>0</v>
      </c>
      <c r="AH878" s="20">
        <v>2</v>
      </c>
      <c r="AI878" s="328" t="s">
        <v>1328</v>
      </c>
      <c r="AJ878" s="328" t="s">
        <v>1328</v>
      </c>
      <c r="AK878" s="328">
        <v>2.6178010471204187</v>
      </c>
      <c r="AL878" s="22" t="s">
        <v>1329</v>
      </c>
      <c r="AM878" s="22" t="s">
        <v>1330</v>
      </c>
      <c r="AN878" s="22" t="s">
        <v>1317</v>
      </c>
      <c r="AO878" s="22" t="s">
        <v>1318</v>
      </c>
      <c r="AP878" s="22" t="s">
        <v>1318</v>
      </c>
      <c r="AQ878" s="22" t="s">
        <v>1318</v>
      </c>
      <c r="AR878" s="22" t="s">
        <v>1317</v>
      </c>
      <c r="AS878" s="22" t="s">
        <v>1318</v>
      </c>
      <c r="AT878" s="22" t="s">
        <v>1317</v>
      </c>
      <c r="AU878" s="22" t="s">
        <v>1318</v>
      </c>
      <c r="AV878" s="22" t="s">
        <v>1317</v>
      </c>
      <c r="AW878" s="22" t="s">
        <v>1318</v>
      </c>
      <c r="AX878" s="22" t="s">
        <v>1317</v>
      </c>
      <c r="AY878" s="22" t="s">
        <v>1318</v>
      </c>
      <c r="AZ878" s="22" t="s">
        <v>1309</v>
      </c>
      <c r="BA878" s="22" t="s">
        <v>1309</v>
      </c>
      <c r="BB878" s="22" t="s">
        <v>1317</v>
      </c>
      <c r="BC878" s="22" t="s">
        <v>1311</v>
      </c>
      <c r="BD878" s="22" t="s">
        <v>1317</v>
      </c>
      <c r="BE878" s="22" t="s">
        <v>1318</v>
      </c>
      <c r="BF878" s="22" t="s">
        <v>1309</v>
      </c>
      <c r="BG878" s="22" t="s">
        <v>1309</v>
      </c>
      <c r="BH878" s="22" t="s">
        <v>1309</v>
      </c>
      <c r="BI878" s="22" t="s">
        <v>1309</v>
      </c>
      <c r="BJ878" s="22" t="s">
        <v>1317</v>
      </c>
      <c r="BK878" s="22" t="s">
        <v>1318</v>
      </c>
      <c r="BL878" s="22" t="s">
        <v>1317</v>
      </c>
      <c r="BM878" s="22" t="s">
        <v>1318</v>
      </c>
      <c r="BN878" s="22" t="s">
        <v>1317</v>
      </c>
      <c r="BO878" s="22" t="s">
        <v>1318</v>
      </c>
      <c r="BP878" s="22" t="s">
        <v>1309</v>
      </c>
      <c r="BQ878" s="22" t="s">
        <v>1309</v>
      </c>
      <c r="BR878" s="22" t="s">
        <v>1317</v>
      </c>
      <c r="BS878" s="22" t="s">
        <v>1318</v>
      </c>
      <c r="BT878" s="22" t="s">
        <v>1309</v>
      </c>
      <c r="BU878" s="22" t="s">
        <v>1309</v>
      </c>
      <c r="BV878" s="22" t="s">
        <v>1317</v>
      </c>
      <c r="BW878" s="22" t="s">
        <v>1318</v>
      </c>
      <c r="BX878" s="20">
        <v>33</v>
      </c>
      <c r="BY878" s="20">
        <v>0</v>
      </c>
      <c r="BZ878" s="20">
        <v>0</v>
      </c>
      <c r="CA878" s="20">
        <v>349</v>
      </c>
      <c r="CB878" s="20">
        <v>0</v>
      </c>
      <c r="CC878" s="20">
        <v>0</v>
      </c>
      <c r="CD878" s="22" t="s">
        <v>1331</v>
      </c>
      <c r="CE878" s="22" t="s">
        <v>1331</v>
      </c>
      <c r="CF878" s="22" t="s">
        <v>1317</v>
      </c>
      <c r="CG878" s="22" t="s">
        <v>1318</v>
      </c>
      <c r="CH878" s="22" t="s">
        <v>1317</v>
      </c>
      <c r="CI878" s="22" t="s">
        <v>1318</v>
      </c>
      <c r="CJ878" s="149" t="s">
        <v>1124</v>
      </c>
      <c r="CK878" s="241" t="s">
        <v>3214</v>
      </c>
    </row>
    <row r="879" spans="1:89" ht="15" customHeight="1" x14ac:dyDescent="0.35">
      <c r="A879" s="17"/>
      <c r="B879" s="313">
        <v>7030</v>
      </c>
      <c r="C879" s="8" t="s">
        <v>1072</v>
      </c>
      <c r="D879" s="18">
        <v>1</v>
      </c>
      <c r="E879" s="131"/>
      <c r="F879" s="22"/>
      <c r="G879" s="132"/>
      <c r="H879" s="22"/>
      <c r="I879" s="22"/>
      <c r="J879" s="22"/>
      <c r="K879" s="22"/>
      <c r="L879" s="22"/>
      <c r="M879" s="133"/>
      <c r="N879" s="22"/>
      <c r="O879" s="22"/>
      <c r="P879" s="22"/>
      <c r="Q879" s="20"/>
      <c r="R879" s="20"/>
      <c r="S879" s="20"/>
      <c r="T879" s="20"/>
      <c r="U879" s="20"/>
      <c r="V879" s="20"/>
      <c r="W879" s="20"/>
      <c r="X879" s="20"/>
      <c r="Y879" s="20"/>
      <c r="Z879" s="20"/>
      <c r="AA879" s="20"/>
      <c r="AB879" s="22"/>
      <c r="AC879" s="20"/>
      <c r="AD879" s="20"/>
      <c r="AE879" s="20"/>
      <c r="AF879" s="20" t="s">
        <v>1124</v>
      </c>
      <c r="AG879" s="20" t="s">
        <v>1124</v>
      </c>
      <c r="AH879" s="20" t="s">
        <v>1124</v>
      </c>
      <c r="AI879" s="328"/>
      <c r="AJ879" s="328"/>
      <c r="AK879" s="328"/>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0"/>
      <c r="BY879" s="20"/>
      <c r="BZ879" s="20"/>
      <c r="CA879" s="20"/>
      <c r="CB879" s="20"/>
      <c r="CC879" s="20"/>
      <c r="CD879" s="22"/>
      <c r="CE879" s="22"/>
      <c r="CF879" s="22"/>
      <c r="CG879" s="22"/>
      <c r="CH879" s="22"/>
      <c r="CI879" s="22"/>
      <c r="CJ879" s="149"/>
      <c r="CK879" s="241"/>
    </row>
    <row r="880" spans="1:89" ht="15" customHeight="1" x14ac:dyDescent="0.35">
      <c r="A880" s="17"/>
      <c r="B880" s="313">
        <v>51035</v>
      </c>
      <c r="C880" s="8" t="s">
        <v>503</v>
      </c>
      <c r="D880" s="18">
        <v>4</v>
      </c>
      <c r="E880" s="131" t="s">
        <v>1309</v>
      </c>
      <c r="F880" s="22" t="s">
        <v>1309</v>
      </c>
      <c r="G880" s="132" t="s">
        <v>1309</v>
      </c>
      <c r="H880" s="22" t="s">
        <v>1311</v>
      </c>
      <c r="I880" s="22" t="s">
        <v>1327</v>
      </c>
      <c r="J880" s="22" t="s">
        <v>1327</v>
      </c>
      <c r="K880" s="22" t="s">
        <v>1314</v>
      </c>
      <c r="L880" s="22" t="s">
        <v>1311</v>
      </c>
      <c r="M880" s="133" t="s">
        <v>1311</v>
      </c>
      <c r="N880" s="22" t="s">
        <v>1311</v>
      </c>
      <c r="O880" s="22" t="s">
        <v>1309</v>
      </c>
      <c r="P880" s="22" t="s">
        <v>1309</v>
      </c>
      <c r="Q880" s="20">
        <v>0</v>
      </c>
      <c r="R880" s="20">
        <v>21.512</v>
      </c>
      <c r="S880" s="20">
        <v>0</v>
      </c>
      <c r="T880" s="20">
        <v>0</v>
      </c>
      <c r="U880" s="20">
        <v>0</v>
      </c>
      <c r="V880" s="20">
        <v>0</v>
      </c>
      <c r="W880" s="20">
        <v>0</v>
      </c>
      <c r="X880" s="20">
        <v>0</v>
      </c>
      <c r="Y880" s="20">
        <v>0</v>
      </c>
      <c r="Z880" s="20">
        <v>0</v>
      </c>
      <c r="AA880" s="20" t="s">
        <v>1317</v>
      </c>
      <c r="AB880" s="22" t="s">
        <v>1318</v>
      </c>
      <c r="AC880" s="20">
        <v>1</v>
      </c>
      <c r="AD880" s="20">
        <v>0</v>
      </c>
      <c r="AE880" s="20">
        <v>0</v>
      </c>
      <c r="AF880" s="20">
        <v>1</v>
      </c>
      <c r="AG880" s="20">
        <v>0</v>
      </c>
      <c r="AH880" s="20">
        <v>0</v>
      </c>
      <c r="AI880" s="328">
        <v>2.9469837621194706</v>
      </c>
      <c r="AJ880" s="328" t="s">
        <v>1328</v>
      </c>
      <c r="AK880" s="328" t="s">
        <v>1328</v>
      </c>
      <c r="AL880" s="22" t="s">
        <v>1329</v>
      </c>
      <c r="AM880" s="22" t="s">
        <v>1330</v>
      </c>
      <c r="AN880" s="22" t="s">
        <v>1317</v>
      </c>
      <c r="AO880" s="22" t="s">
        <v>1318</v>
      </c>
      <c r="AP880" s="22" t="s">
        <v>1318</v>
      </c>
      <c r="AQ880" s="22" t="s">
        <v>1318</v>
      </c>
      <c r="AR880" s="22" t="s">
        <v>1317</v>
      </c>
      <c r="AS880" s="22" t="s">
        <v>1318</v>
      </c>
      <c r="AT880" s="22" t="s">
        <v>1317</v>
      </c>
      <c r="AU880" s="22" t="s">
        <v>1318</v>
      </c>
      <c r="AV880" s="22" t="s">
        <v>1317</v>
      </c>
      <c r="AW880" s="22" t="s">
        <v>1318</v>
      </c>
      <c r="AX880" s="22" t="s">
        <v>1317</v>
      </c>
      <c r="AY880" s="22" t="s">
        <v>1318</v>
      </c>
      <c r="AZ880" s="22" t="s">
        <v>1309</v>
      </c>
      <c r="BA880" s="22" t="s">
        <v>1309</v>
      </c>
      <c r="BB880" s="22" t="s">
        <v>1309</v>
      </c>
      <c r="BC880" s="22" t="s">
        <v>1309</v>
      </c>
      <c r="BD880" s="22" t="s">
        <v>1309</v>
      </c>
      <c r="BE880" s="22" t="s">
        <v>1309</v>
      </c>
      <c r="BF880" s="22" t="s">
        <v>1309</v>
      </c>
      <c r="BG880" s="22" t="s">
        <v>1309</v>
      </c>
      <c r="BH880" s="22" t="s">
        <v>1317</v>
      </c>
      <c r="BI880" s="22" t="s">
        <v>1318</v>
      </c>
      <c r="BJ880" s="22" t="s">
        <v>1309</v>
      </c>
      <c r="BK880" s="22" t="s">
        <v>1309</v>
      </c>
      <c r="BL880" s="22" t="s">
        <v>1317</v>
      </c>
      <c r="BM880" s="22" t="s">
        <v>1311</v>
      </c>
      <c r="BN880" s="22" t="s">
        <v>1309</v>
      </c>
      <c r="BO880" s="22" t="s">
        <v>1309</v>
      </c>
      <c r="BP880" s="22" t="s">
        <v>1309</v>
      </c>
      <c r="BQ880" s="22" t="s">
        <v>1309</v>
      </c>
      <c r="BR880" s="22" t="s">
        <v>1309</v>
      </c>
      <c r="BS880" s="22" t="s">
        <v>1309</v>
      </c>
      <c r="BT880" s="22" t="s">
        <v>1309</v>
      </c>
      <c r="BU880" s="22" t="s">
        <v>1309</v>
      </c>
      <c r="BV880" s="22" t="s">
        <v>1309</v>
      </c>
      <c r="BW880" s="22" t="s">
        <v>1309</v>
      </c>
      <c r="BX880" s="20">
        <v>56</v>
      </c>
      <c r="BY880" s="20">
        <v>2</v>
      </c>
      <c r="BZ880" s="20">
        <v>2</v>
      </c>
      <c r="CA880" s="20">
        <v>353</v>
      </c>
      <c r="CB880" s="20">
        <v>0</v>
      </c>
      <c r="CC880" s="20">
        <v>0</v>
      </c>
      <c r="CD880" s="22" t="s">
        <v>1331</v>
      </c>
      <c r="CE880" s="22" t="s">
        <v>1340</v>
      </c>
      <c r="CF880" s="22" t="s">
        <v>1331</v>
      </c>
      <c r="CG880" s="22" t="s">
        <v>1331</v>
      </c>
      <c r="CH880" s="22" t="s">
        <v>1315</v>
      </c>
      <c r="CI880" s="22" t="s">
        <v>1315</v>
      </c>
      <c r="CJ880" s="149" t="s">
        <v>1124</v>
      </c>
      <c r="CK880" s="241" t="s">
        <v>3219</v>
      </c>
    </row>
    <row r="881" spans="1:89" ht="15" customHeight="1" x14ac:dyDescent="0.35">
      <c r="A881" s="17"/>
      <c r="B881" s="313">
        <v>54072</v>
      </c>
      <c r="C881" s="8" t="s">
        <v>550</v>
      </c>
      <c r="D881" s="18">
        <v>16</v>
      </c>
      <c r="E881" s="131"/>
      <c r="F881" s="22"/>
      <c r="G881" s="132"/>
      <c r="H881" s="22"/>
      <c r="I881" s="22"/>
      <c r="J881" s="22"/>
      <c r="K881" s="22"/>
      <c r="L881" s="22"/>
      <c r="M881" s="133"/>
      <c r="N881" s="22"/>
      <c r="O881" s="22"/>
      <c r="P881" s="22"/>
      <c r="Q881" s="20"/>
      <c r="R881" s="20"/>
      <c r="S881" s="20"/>
      <c r="T881" s="20"/>
      <c r="U881" s="20"/>
      <c r="V881" s="20"/>
      <c r="W881" s="20"/>
      <c r="X881" s="20"/>
      <c r="Y881" s="20"/>
      <c r="Z881" s="20"/>
      <c r="AA881" s="20"/>
      <c r="AB881" s="22"/>
      <c r="AC881" s="20"/>
      <c r="AD881" s="20"/>
      <c r="AE881" s="20"/>
      <c r="AF881" s="20" t="s">
        <v>1124</v>
      </c>
      <c r="AG881" s="20" t="s">
        <v>1124</v>
      </c>
      <c r="AH881" s="20" t="s">
        <v>1124</v>
      </c>
      <c r="AI881" s="328"/>
      <c r="AJ881" s="328"/>
      <c r="AK881" s="328"/>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0"/>
      <c r="BY881" s="20"/>
      <c r="BZ881" s="20"/>
      <c r="CA881" s="20"/>
      <c r="CB881" s="20"/>
      <c r="CC881" s="20"/>
      <c r="CD881" s="22"/>
      <c r="CE881" s="22"/>
      <c r="CF881" s="22"/>
      <c r="CG881" s="22"/>
      <c r="CH881" s="22"/>
      <c r="CI881" s="22"/>
      <c r="CJ881" s="149"/>
      <c r="CK881" s="241"/>
    </row>
    <row r="882" spans="1:89" ht="15" customHeight="1" x14ac:dyDescent="0.35">
      <c r="A882" s="17"/>
      <c r="B882" s="313">
        <v>63065</v>
      </c>
      <c r="C882" s="8" t="s">
        <v>643</v>
      </c>
      <c r="D882" s="18">
        <v>14</v>
      </c>
      <c r="E882" s="131" t="s">
        <v>1319</v>
      </c>
      <c r="F882" s="22" t="s">
        <v>1310</v>
      </c>
      <c r="G882" s="132" t="s">
        <v>1309</v>
      </c>
      <c r="H882" s="22" t="s">
        <v>1311</v>
      </c>
      <c r="I882" s="22" t="s">
        <v>1327</v>
      </c>
      <c r="J882" s="22" t="s">
        <v>1327</v>
      </c>
      <c r="K882" s="22" t="s">
        <v>1314</v>
      </c>
      <c r="L882" s="22" t="s">
        <v>1311</v>
      </c>
      <c r="M882" s="133" t="s">
        <v>1311</v>
      </c>
      <c r="N882" s="22" t="s">
        <v>1311</v>
      </c>
      <c r="O882" s="22" t="s">
        <v>1314</v>
      </c>
      <c r="P882" s="22" t="s">
        <v>1318</v>
      </c>
      <c r="Q882" s="20">
        <v>1</v>
      </c>
      <c r="R882" s="20">
        <v>1</v>
      </c>
      <c r="S882" s="20">
        <v>0</v>
      </c>
      <c r="T882" s="20">
        <v>0</v>
      </c>
      <c r="U882" s="20">
        <v>0</v>
      </c>
      <c r="V882" s="20">
        <v>0</v>
      </c>
      <c r="W882" s="20">
        <v>0</v>
      </c>
      <c r="X882" s="20">
        <v>0</v>
      </c>
      <c r="Y882" s="20">
        <v>0</v>
      </c>
      <c r="Z882" s="20">
        <v>0</v>
      </c>
      <c r="AA882" s="20" t="s">
        <v>1317</v>
      </c>
      <c r="AB882" s="22" t="s">
        <v>1318</v>
      </c>
      <c r="AC882" s="20">
        <v>0</v>
      </c>
      <c r="AD882" s="20">
        <v>0</v>
      </c>
      <c r="AE882" s="20">
        <v>0</v>
      </c>
      <c r="AF882" s="20">
        <v>0</v>
      </c>
      <c r="AG882" s="20">
        <v>0</v>
      </c>
      <c r="AH882" s="20">
        <v>0</v>
      </c>
      <c r="AI882" s="328" t="s">
        <v>1328</v>
      </c>
      <c r="AJ882" s="328" t="s">
        <v>1328</v>
      </c>
      <c r="AK882" s="328" t="s">
        <v>1328</v>
      </c>
      <c r="AL882" s="22" t="s">
        <v>1316</v>
      </c>
      <c r="AM882" s="22" t="s">
        <v>1316</v>
      </c>
      <c r="AN882" s="22" t="s">
        <v>1317</v>
      </c>
      <c r="AO882" s="22" t="s">
        <v>1318</v>
      </c>
      <c r="AP882" s="22" t="s">
        <v>1318</v>
      </c>
      <c r="AQ882" s="22" t="s">
        <v>1318</v>
      </c>
      <c r="AR882" s="22" t="s">
        <v>1317</v>
      </c>
      <c r="AS882" s="22" t="s">
        <v>1318</v>
      </c>
      <c r="AT882" s="22" t="s">
        <v>1309</v>
      </c>
      <c r="AU882" s="22" t="s">
        <v>1309</v>
      </c>
      <c r="AV882" s="22" t="s">
        <v>1309</v>
      </c>
      <c r="AW882" s="22" t="s">
        <v>1309</v>
      </c>
      <c r="AX882" s="22" t="s">
        <v>1317</v>
      </c>
      <c r="AY882" s="22" t="s">
        <v>1318</v>
      </c>
      <c r="AZ882" s="22" t="s">
        <v>1317</v>
      </c>
      <c r="BA882" s="22" t="s">
        <v>1311</v>
      </c>
      <c r="BB882" s="22" t="s">
        <v>1317</v>
      </c>
      <c r="BC882" s="22" t="s">
        <v>1318</v>
      </c>
      <c r="BD882" s="22" t="s">
        <v>1317</v>
      </c>
      <c r="BE882" s="22" t="s">
        <v>1318</v>
      </c>
      <c r="BF882" s="22" t="s">
        <v>1317</v>
      </c>
      <c r="BG882" s="22" t="s">
        <v>1318</v>
      </c>
      <c r="BH882" s="22" t="s">
        <v>1317</v>
      </c>
      <c r="BI882" s="22" t="s">
        <v>1318</v>
      </c>
      <c r="BJ882" s="22" t="s">
        <v>1309</v>
      </c>
      <c r="BK882" s="22" t="s">
        <v>1309</v>
      </c>
      <c r="BL882" s="22" t="s">
        <v>1319</v>
      </c>
      <c r="BM882" s="22" t="s">
        <v>1311</v>
      </c>
      <c r="BN882" s="22" t="s">
        <v>1317</v>
      </c>
      <c r="BO882" s="22" t="s">
        <v>1318</v>
      </c>
      <c r="BP882" s="22" t="s">
        <v>1309</v>
      </c>
      <c r="BQ882" s="22" t="s">
        <v>1309</v>
      </c>
      <c r="BR882" s="22" t="s">
        <v>1319</v>
      </c>
      <c r="BS882" s="22" t="s">
        <v>1311</v>
      </c>
      <c r="BT882" s="22" t="s">
        <v>1315</v>
      </c>
      <c r="BU882" s="22" t="s">
        <v>1315</v>
      </c>
      <c r="BV882" s="22" t="s">
        <v>1309</v>
      </c>
      <c r="BW882" s="22" t="s">
        <v>1311</v>
      </c>
      <c r="BX882" s="20">
        <v>0</v>
      </c>
      <c r="BY882" s="20">
        <v>0</v>
      </c>
      <c r="BZ882" s="20">
        <v>15</v>
      </c>
      <c r="CA882" s="20">
        <v>0</v>
      </c>
      <c r="CB882" s="20">
        <v>0</v>
      </c>
      <c r="CC882" s="20">
        <v>347</v>
      </c>
      <c r="CD882" s="22" t="s">
        <v>1317</v>
      </c>
      <c r="CE882" s="22" t="s">
        <v>1318</v>
      </c>
      <c r="CF882" s="22" t="s">
        <v>1317</v>
      </c>
      <c r="CG882" s="22" t="s">
        <v>1318</v>
      </c>
      <c r="CH882" s="22" t="s">
        <v>1317</v>
      </c>
      <c r="CI882" s="22" t="s">
        <v>1318</v>
      </c>
      <c r="CJ882" s="149" t="s">
        <v>1124</v>
      </c>
      <c r="CK882" s="241" t="s">
        <v>1358</v>
      </c>
    </row>
    <row r="883" spans="1:89" ht="15" customHeight="1" x14ac:dyDescent="0.35">
      <c r="A883" s="17"/>
      <c r="B883" s="313">
        <v>63048</v>
      </c>
      <c r="C883" s="8" t="s">
        <v>640</v>
      </c>
      <c r="D883" s="18">
        <v>14</v>
      </c>
      <c r="E883" s="131" t="s">
        <v>1309</v>
      </c>
      <c r="F883" s="22" t="s">
        <v>1309</v>
      </c>
      <c r="G883" s="132" t="s">
        <v>1309</v>
      </c>
      <c r="H883" s="22" t="s">
        <v>1311</v>
      </c>
      <c r="I883" s="22" t="s">
        <v>1349</v>
      </c>
      <c r="J883" s="22" t="s">
        <v>1342</v>
      </c>
      <c r="K883" s="22" t="s">
        <v>1314</v>
      </c>
      <c r="L883" s="22" t="s">
        <v>1311</v>
      </c>
      <c r="M883" s="133" t="s">
        <v>1311</v>
      </c>
      <c r="N883" s="22" t="s">
        <v>1311</v>
      </c>
      <c r="O883" s="22" t="s">
        <v>1309</v>
      </c>
      <c r="P883" s="22" t="s">
        <v>1309</v>
      </c>
      <c r="Q883" s="20">
        <v>0</v>
      </c>
      <c r="R883" s="20">
        <v>0</v>
      </c>
      <c r="S883" s="20">
        <v>0</v>
      </c>
      <c r="T883" s="20">
        <v>0</v>
      </c>
      <c r="U883" s="20">
        <v>48.633000000000003</v>
      </c>
      <c r="V883" s="20">
        <v>48.633000000000003</v>
      </c>
      <c r="W883" s="20">
        <v>0</v>
      </c>
      <c r="X883" s="20">
        <v>0</v>
      </c>
      <c r="Y883" s="20">
        <v>0</v>
      </c>
      <c r="Z883" s="20">
        <v>0</v>
      </c>
      <c r="AA883" s="20" t="s">
        <v>1309</v>
      </c>
      <c r="AB883" s="22" t="s">
        <v>1309</v>
      </c>
      <c r="AC883" s="20">
        <v>2</v>
      </c>
      <c r="AD883" s="20">
        <v>2</v>
      </c>
      <c r="AE883" s="20">
        <v>0</v>
      </c>
      <c r="AF883" s="20">
        <v>1</v>
      </c>
      <c r="AG883" s="20">
        <v>1</v>
      </c>
      <c r="AH883" s="20">
        <v>0</v>
      </c>
      <c r="AI883" s="328">
        <v>4.1124339440297737</v>
      </c>
      <c r="AJ883" s="328">
        <v>0.87680841736080661</v>
      </c>
      <c r="AK883" s="328" t="s">
        <v>1328</v>
      </c>
      <c r="AL883" s="22" t="s">
        <v>1329</v>
      </c>
      <c r="AM883" s="22" t="s">
        <v>1330</v>
      </c>
      <c r="AN883" s="22" t="s">
        <v>1317</v>
      </c>
      <c r="AO883" s="22" t="s">
        <v>1318</v>
      </c>
      <c r="AP883" s="22" t="s">
        <v>1318</v>
      </c>
      <c r="AQ883" s="22" t="s">
        <v>1318</v>
      </c>
      <c r="AR883" s="22" t="s">
        <v>1317</v>
      </c>
      <c r="AS883" s="22" t="s">
        <v>1318</v>
      </c>
      <c r="AT883" s="22" t="s">
        <v>1317</v>
      </c>
      <c r="AU883" s="22" t="s">
        <v>1318</v>
      </c>
      <c r="AV883" s="22" t="s">
        <v>1309</v>
      </c>
      <c r="AW883" s="22" t="s">
        <v>1309</v>
      </c>
      <c r="AX883" s="22" t="s">
        <v>1317</v>
      </c>
      <c r="AY883" s="22" t="s">
        <v>1318</v>
      </c>
      <c r="AZ883" s="22" t="s">
        <v>1309</v>
      </c>
      <c r="BA883" s="22" t="s">
        <v>1309</v>
      </c>
      <c r="BB883" s="22" t="s">
        <v>1309</v>
      </c>
      <c r="BC883" s="22" t="s">
        <v>1309</v>
      </c>
      <c r="BD883" s="22" t="s">
        <v>1317</v>
      </c>
      <c r="BE883" s="22" t="s">
        <v>1318</v>
      </c>
      <c r="BF883" s="22" t="s">
        <v>1317</v>
      </c>
      <c r="BG883" s="22" t="s">
        <v>1318</v>
      </c>
      <c r="BH883" s="22" t="s">
        <v>1309</v>
      </c>
      <c r="BI883" s="22" t="s">
        <v>1309</v>
      </c>
      <c r="BJ883" s="22" t="s">
        <v>1317</v>
      </c>
      <c r="BK883" s="22" t="s">
        <v>1318</v>
      </c>
      <c r="BL883" s="22" t="s">
        <v>1319</v>
      </c>
      <c r="BM883" s="22" t="s">
        <v>1311</v>
      </c>
      <c r="BN883" s="22" t="s">
        <v>1309</v>
      </c>
      <c r="BO883" s="22" t="s">
        <v>1309</v>
      </c>
      <c r="BP883" s="22" t="s">
        <v>1309</v>
      </c>
      <c r="BQ883" s="22" t="s">
        <v>1309</v>
      </c>
      <c r="BR883" s="22" t="s">
        <v>1309</v>
      </c>
      <c r="BS883" s="22" t="s">
        <v>1309</v>
      </c>
      <c r="BT883" s="22" t="s">
        <v>1309</v>
      </c>
      <c r="BU883" s="22" t="s">
        <v>1309</v>
      </c>
      <c r="BV883" s="22" t="s">
        <v>1317</v>
      </c>
      <c r="BW883" s="22" t="s">
        <v>1318</v>
      </c>
      <c r="BX883" s="20">
        <v>21</v>
      </c>
      <c r="BY883" s="20">
        <v>0</v>
      </c>
      <c r="BZ883" s="20">
        <v>140</v>
      </c>
      <c r="CA883" s="20">
        <v>0</v>
      </c>
      <c r="CB883" s="20">
        <v>4</v>
      </c>
      <c r="CC883" s="20">
        <v>2116</v>
      </c>
      <c r="CD883" s="22" t="s">
        <v>1320</v>
      </c>
      <c r="CE883" s="22" t="s">
        <v>1344</v>
      </c>
      <c r="CF883" s="22" t="s">
        <v>1317</v>
      </c>
      <c r="CG883" s="22" t="s">
        <v>1318</v>
      </c>
      <c r="CH883" s="22" t="s">
        <v>1317</v>
      </c>
      <c r="CI883" s="22" t="s">
        <v>1318</v>
      </c>
      <c r="CJ883" s="149" t="s">
        <v>1124</v>
      </c>
      <c r="CK883" s="241" t="s">
        <v>3222</v>
      </c>
    </row>
    <row r="884" spans="1:89" ht="15" customHeight="1" x14ac:dyDescent="0.35">
      <c r="A884" s="17"/>
      <c r="B884" s="313">
        <v>54120</v>
      </c>
      <c r="C884" s="8" t="s">
        <v>557</v>
      </c>
      <c r="D884" s="18">
        <v>16</v>
      </c>
      <c r="E884" s="131" t="s">
        <v>1309</v>
      </c>
      <c r="F884" s="22" t="s">
        <v>1309</v>
      </c>
      <c r="G884" s="132" t="s">
        <v>1309</v>
      </c>
      <c r="H884" s="22" t="s">
        <v>1311</v>
      </c>
      <c r="I884" s="22" t="s">
        <v>1315</v>
      </c>
      <c r="J884" s="22" t="s">
        <v>1315</v>
      </c>
      <c r="K884" s="22" t="s">
        <v>1319</v>
      </c>
      <c r="L884" s="22" t="s">
        <v>1311</v>
      </c>
      <c r="M884" s="133" t="s">
        <v>1311</v>
      </c>
      <c r="N884" s="22" t="s">
        <v>1311</v>
      </c>
      <c r="O884" s="22" t="s">
        <v>1309</v>
      </c>
      <c r="P884" s="22" t="s">
        <v>1309</v>
      </c>
      <c r="Q884" s="20">
        <v>0</v>
      </c>
      <c r="R884" s="20">
        <v>0</v>
      </c>
      <c r="S884" s="20">
        <v>0</v>
      </c>
      <c r="T884" s="20">
        <v>0</v>
      </c>
      <c r="U884" s="20">
        <v>0</v>
      </c>
      <c r="V884" s="20">
        <v>0</v>
      </c>
      <c r="W884" s="20">
        <v>0</v>
      </c>
      <c r="X884" s="20">
        <v>0</v>
      </c>
      <c r="Y884" s="20">
        <v>0</v>
      </c>
      <c r="Z884" s="20">
        <v>0</v>
      </c>
      <c r="AA884" s="20" t="s">
        <v>1317</v>
      </c>
      <c r="AB884" s="22" t="s">
        <v>1311</v>
      </c>
      <c r="AC884" s="20">
        <v>0</v>
      </c>
      <c r="AD884" s="20">
        <v>0</v>
      </c>
      <c r="AE884" s="20">
        <v>2</v>
      </c>
      <c r="AF884" s="20">
        <v>0</v>
      </c>
      <c r="AG884" s="20">
        <v>0</v>
      </c>
      <c r="AH884" s="20">
        <v>2</v>
      </c>
      <c r="AI884" s="328" t="s">
        <v>1328</v>
      </c>
      <c r="AJ884" s="328" t="s">
        <v>1328</v>
      </c>
      <c r="AK884" s="328">
        <v>4.9751243781094523</v>
      </c>
      <c r="AL884" s="22" t="s">
        <v>1329</v>
      </c>
      <c r="AM884" s="22" t="s">
        <v>1330</v>
      </c>
      <c r="AN884" s="22" t="s">
        <v>1317</v>
      </c>
      <c r="AO884" s="22" t="s">
        <v>1318</v>
      </c>
      <c r="AP884" s="22" t="s">
        <v>1318</v>
      </c>
      <c r="AQ884" s="22" t="s">
        <v>1318</v>
      </c>
      <c r="AR884" s="22" t="s">
        <v>1317</v>
      </c>
      <c r="AS884" s="22" t="s">
        <v>1318</v>
      </c>
      <c r="AT884" s="22" t="s">
        <v>1309</v>
      </c>
      <c r="AU884" s="22" t="s">
        <v>1309</v>
      </c>
      <c r="AV884" s="22" t="s">
        <v>1309</v>
      </c>
      <c r="AW884" s="22" t="s">
        <v>1309</v>
      </c>
      <c r="AX884" s="22" t="s">
        <v>1317</v>
      </c>
      <c r="AY884" s="22" t="s">
        <v>1311</v>
      </c>
      <c r="AZ884" s="22" t="s">
        <v>1309</v>
      </c>
      <c r="BA884" s="22" t="s">
        <v>1309</v>
      </c>
      <c r="BB884" s="22" t="s">
        <v>1309</v>
      </c>
      <c r="BC884" s="22" t="s">
        <v>1309</v>
      </c>
      <c r="BD884" s="22" t="s">
        <v>1309</v>
      </c>
      <c r="BE884" s="22" t="s">
        <v>1309</v>
      </c>
      <c r="BF884" s="22" t="s">
        <v>1309</v>
      </c>
      <c r="BG884" s="22" t="s">
        <v>1309</v>
      </c>
      <c r="BH884" s="22" t="s">
        <v>1315</v>
      </c>
      <c r="BI884" s="22" t="s">
        <v>1315</v>
      </c>
      <c r="BJ884" s="22" t="s">
        <v>1317</v>
      </c>
      <c r="BK884" s="22" t="s">
        <v>1311</v>
      </c>
      <c r="BL884" s="22" t="s">
        <v>1309</v>
      </c>
      <c r="BM884" s="22" t="s">
        <v>1309</v>
      </c>
      <c r="BN884" s="22" t="s">
        <v>1309</v>
      </c>
      <c r="BO884" s="22" t="s">
        <v>1309</v>
      </c>
      <c r="BP884" s="22" t="s">
        <v>1315</v>
      </c>
      <c r="BQ884" s="22" t="s">
        <v>1315</v>
      </c>
      <c r="BR884" s="22" t="s">
        <v>1315</v>
      </c>
      <c r="BS884" s="22" t="s">
        <v>1315</v>
      </c>
      <c r="BT884" s="22" t="s">
        <v>1315</v>
      </c>
      <c r="BU884" s="22" t="s">
        <v>1315</v>
      </c>
      <c r="BV884" s="22" t="s">
        <v>1317</v>
      </c>
      <c r="BW884" s="22" t="s">
        <v>1311</v>
      </c>
      <c r="BX884" s="20">
        <v>41</v>
      </c>
      <c r="BY884" s="20">
        <v>0</v>
      </c>
      <c r="BZ884" s="20">
        <v>0</v>
      </c>
      <c r="CA884" s="20">
        <v>345</v>
      </c>
      <c r="CB884" s="20">
        <v>0</v>
      </c>
      <c r="CC884" s="20">
        <v>0</v>
      </c>
      <c r="CD884" s="22" t="s">
        <v>1331</v>
      </c>
      <c r="CE884" s="22" t="s">
        <v>1331</v>
      </c>
      <c r="CF884" s="22" t="s">
        <v>1331</v>
      </c>
      <c r="CG884" s="22" t="s">
        <v>1331</v>
      </c>
      <c r="CH884" s="22" t="s">
        <v>1317</v>
      </c>
      <c r="CI884" s="22" t="s">
        <v>1318</v>
      </c>
      <c r="CJ884" s="149" t="s">
        <v>1124</v>
      </c>
      <c r="CK884" s="241" t="s">
        <v>1386</v>
      </c>
    </row>
    <row r="885" spans="1:89" ht="15" customHeight="1" x14ac:dyDescent="0.35">
      <c r="A885" s="17"/>
      <c r="B885" s="313">
        <v>39170</v>
      </c>
      <c r="C885" s="8" t="s">
        <v>357</v>
      </c>
      <c r="D885" s="18">
        <v>17</v>
      </c>
      <c r="E885" s="131"/>
      <c r="F885" s="22"/>
      <c r="G885" s="132"/>
      <c r="H885" s="22"/>
      <c r="I885" s="22"/>
      <c r="J885" s="22"/>
      <c r="K885" s="22"/>
      <c r="L885" s="22"/>
      <c r="M885" s="133"/>
      <c r="N885" s="22"/>
      <c r="O885" s="22"/>
      <c r="P885" s="22"/>
      <c r="Q885" s="20"/>
      <c r="R885" s="20"/>
      <c r="S885" s="20"/>
      <c r="T885" s="20"/>
      <c r="U885" s="20"/>
      <c r="V885" s="20"/>
      <c r="W885" s="20"/>
      <c r="X885" s="20"/>
      <c r="Y885" s="20"/>
      <c r="Z885" s="20"/>
      <c r="AA885" s="20"/>
      <c r="AB885" s="22"/>
      <c r="AC885" s="20"/>
      <c r="AD885" s="20"/>
      <c r="AE885" s="20"/>
      <c r="AF885" s="20" t="s">
        <v>1124</v>
      </c>
      <c r="AG885" s="20" t="s">
        <v>1124</v>
      </c>
      <c r="AH885" s="20" t="s">
        <v>1124</v>
      </c>
      <c r="AI885" s="328"/>
      <c r="AJ885" s="328"/>
      <c r="AK885" s="328"/>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0"/>
      <c r="BY885" s="20"/>
      <c r="BZ885" s="20"/>
      <c r="CA885" s="20"/>
      <c r="CB885" s="20"/>
      <c r="CC885" s="20"/>
      <c r="CD885" s="22"/>
      <c r="CE885" s="22"/>
      <c r="CF885" s="22"/>
      <c r="CG885" s="22"/>
      <c r="CH885" s="22"/>
      <c r="CI885" s="22"/>
      <c r="CJ885" s="149"/>
      <c r="CK885" s="241"/>
    </row>
    <row r="886" spans="1:89" ht="15" customHeight="1" x14ac:dyDescent="0.35">
      <c r="A886" s="17"/>
      <c r="B886" s="313">
        <v>28035</v>
      </c>
      <c r="C886" s="8" t="s">
        <v>193</v>
      </c>
      <c r="D886" s="18">
        <v>12</v>
      </c>
      <c r="E886" s="131"/>
      <c r="F886" s="22"/>
      <c r="G886" s="132"/>
      <c r="H886" s="22"/>
      <c r="I886" s="22"/>
      <c r="J886" s="22"/>
      <c r="K886" s="22"/>
      <c r="L886" s="22"/>
      <c r="M886" s="133"/>
      <c r="N886" s="22"/>
      <c r="O886" s="22"/>
      <c r="P886" s="22"/>
      <c r="Q886" s="20"/>
      <c r="R886" s="20"/>
      <c r="S886" s="20"/>
      <c r="T886" s="20"/>
      <c r="U886" s="20"/>
      <c r="V886" s="20"/>
      <c r="W886" s="20"/>
      <c r="X886" s="20"/>
      <c r="Y886" s="20"/>
      <c r="Z886" s="20"/>
      <c r="AA886" s="20"/>
      <c r="AB886" s="22"/>
      <c r="AC886" s="20"/>
      <c r="AD886" s="20"/>
      <c r="AE886" s="20"/>
      <c r="AF886" s="20" t="s">
        <v>1124</v>
      </c>
      <c r="AG886" s="20" t="s">
        <v>1124</v>
      </c>
      <c r="AH886" s="20" t="s">
        <v>1124</v>
      </c>
      <c r="AI886" s="328"/>
      <c r="AJ886" s="328"/>
      <c r="AK886" s="328"/>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0"/>
      <c r="BY886" s="20"/>
      <c r="BZ886" s="20"/>
      <c r="CA886" s="20"/>
      <c r="CB886" s="20"/>
      <c r="CC886" s="20"/>
      <c r="CD886" s="22"/>
      <c r="CE886" s="22"/>
      <c r="CF886" s="22"/>
      <c r="CG886" s="22"/>
      <c r="CH886" s="22"/>
      <c r="CI886" s="22"/>
      <c r="CJ886" s="149"/>
      <c r="CK886" s="241"/>
    </row>
    <row r="887" spans="1:89" ht="15" customHeight="1" x14ac:dyDescent="0.35">
      <c r="A887" s="17"/>
      <c r="B887" s="313">
        <v>70035</v>
      </c>
      <c r="C887" s="8" t="s">
        <v>701</v>
      </c>
      <c r="D887" s="18">
        <v>16</v>
      </c>
      <c r="E887" s="131"/>
      <c r="F887" s="22"/>
      <c r="G887" s="132"/>
      <c r="H887" s="22"/>
      <c r="I887" s="22"/>
      <c r="J887" s="22"/>
      <c r="K887" s="22"/>
      <c r="L887" s="22"/>
      <c r="M887" s="133"/>
      <c r="N887" s="22"/>
      <c r="O887" s="22"/>
      <c r="P887" s="22"/>
      <c r="Q887" s="20"/>
      <c r="R887" s="20"/>
      <c r="S887" s="20"/>
      <c r="T887" s="20"/>
      <c r="U887" s="20"/>
      <c r="V887" s="20"/>
      <c r="W887" s="20"/>
      <c r="X887" s="20"/>
      <c r="Y887" s="20"/>
      <c r="Z887" s="20"/>
      <c r="AA887" s="20"/>
      <c r="AB887" s="22"/>
      <c r="AC887" s="20"/>
      <c r="AD887" s="20"/>
      <c r="AE887" s="20"/>
      <c r="AF887" s="20" t="s">
        <v>1124</v>
      </c>
      <c r="AG887" s="20" t="s">
        <v>1124</v>
      </c>
      <c r="AH887" s="20" t="s">
        <v>1124</v>
      </c>
      <c r="AI887" s="328"/>
      <c r="AJ887" s="328"/>
      <c r="AK887" s="328"/>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0"/>
      <c r="BY887" s="20"/>
      <c r="BZ887" s="20"/>
      <c r="CA887" s="20"/>
      <c r="CB887" s="20"/>
      <c r="CC887" s="20"/>
      <c r="CD887" s="22"/>
      <c r="CE887" s="22"/>
      <c r="CF887" s="22"/>
      <c r="CG887" s="22"/>
      <c r="CH887" s="22"/>
      <c r="CI887" s="22"/>
      <c r="CJ887" s="149"/>
      <c r="CK887" s="241"/>
    </row>
    <row r="888" spans="1:89" ht="15" customHeight="1" x14ac:dyDescent="0.35">
      <c r="A888" s="17"/>
      <c r="B888" s="313">
        <v>21015</v>
      </c>
      <c r="C888" s="8" t="s">
        <v>146</v>
      </c>
      <c r="D888" s="18">
        <v>3</v>
      </c>
      <c r="E888" s="131"/>
      <c r="F888" s="22"/>
      <c r="G888" s="132"/>
      <c r="H888" s="22"/>
      <c r="I888" s="22"/>
      <c r="J888" s="22"/>
      <c r="K888" s="22"/>
      <c r="L888" s="22"/>
      <c r="M888" s="133"/>
      <c r="N888" s="22"/>
      <c r="O888" s="22"/>
      <c r="P888" s="22"/>
      <c r="Q888" s="20"/>
      <c r="R888" s="20"/>
      <c r="S888" s="20"/>
      <c r="T888" s="20"/>
      <c r="U888" s="20"/>
      <c r="V888" s="20"/>
      <c r="W888" s="20"/>
      <c r="X888" s="20"/>
      <c r="Y888" s="20"/>
      <c r="Z888" s="20"/>
      <c r="AA888" s="20"/>
      <c r="AB888" s="22"/>
      <c r="AC888" s="20"/>
      <c r="AD888" s="20"/>
      <c r="AE888" s="20"/>
      <c r="AF888" s="20" t="s">
        <v>1124</v>
      </c>
      <c r="AG888" s="20" t="s">
        <v>1124</v>
      </c>
      <c r="AH888" s="20" t="s">
        <v>1124</v>
      </c>
      <c r="AI888" s="328"/>
      <c r="AJ888" s="328"/>
      <c r="AK888" s="328"/>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0"/>
      <c r="BY888" s="20"/>
      <c r="BZ888" s="20"/>
      <c r="CA888" s="20"/>
      <c r="CB888" s="20"/>
      <c r="CC888" s="20"/>
      <c r="CD888" s="22"/>
      <c r="CE888" s="22"/>
      <c r="CF888" s="22"/>
      <c r="CG888" s="22"/>
      <c r="CH888" s="22"/>
      <c r="CI888" s="22"/>
      <c r="CJ888" s="149"/>
      <c r="CK888" s="241"/>
    </row>
    <row r="889" spans="1:89" ht="15" customHeight="1" x14ac:dyDescent="0.35">
      <c r="A889" s="17"/>
      <c r="B889" s="313">
        <v>13080</v>
      </c>
      <c r="C889" s="8" t="s">
        <v>55</v>
      </c>
      <c r="D889" s="18">
        <v>1</v>
      </c>
      <c r="E889" s="131"/>
      <c r="F889" s="22"/>
      <c r="G889" s="132"/>
      <c r="H889" s="22"/>
      <c r="I889" s="22"/>
      <c r="J889" s="22"/>
      <c r="K889" s="22"/>
      <c r="L889" s="22"/>
      <c r="M889" s="133"/>
      <c r="N889" s="22"/>
      <c r="O889" s="22"/>
      <c r="P889" s="22"/>
      <c r="Q889" s="20"/>
      <c r="R889" s="20"/>
      <c r="S889" s="20"/>
      <c r="T889" s="20"/>
      <c r="U889" s="20"/>
      <c r="V889" s="20"/>
      <c r="W889" s="20"/>
      <c r="X889" s="20"/>
      <c r="Y889" s="20"/>
      <c r="Z889" s="20"/>
      <c r="AA889" s="20"/>
      <c r="AB889" s="22"/>
      <c r="AC889" s="20"/>
      <c r="AD889" s="20"/>
      <c r="AE889" s="20"/>
      <c r="AF889" s="20" t="s">
        <v>1124</v>
      </c>
      <c r="AG889" s="20" t="s">
        <v>1124</v>
      </c>
      <c r="AH889" s="20" t="s">
        <v>1124</v>
      </c>
      <c r="AI889" s="328"/>
      <c r="AJ889" s="328"/>
      <c r="AK889" s="328"/>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0"/>
      <c r="BY889" s="20"/>
      <c r="BZ889" s="20"/>
      <c r="CA889" s="20"/>
      <c r="CB889" s="20"/>
      <c r="CC889" s="20"/>
      <c r="CD889" s="22"/>
      <c r="CE889" s="22"/>
      <c r="CF889" s="22"/>
      <c r="CG889" s="22"/>
      <c r="CH889" s="22"/>
      <c r="CI889" s="22"/>
      <c r="CJ889" s="149"/>
      <c r="CK889" s="241"/>
    </row>
    <row r="890" spans="1:89" ht="15" customHeight="1" x14ac:dyDescent="0.35">
      <c r="A890" s="17"/>
      <c r="B890" s="313">
        <v>28060</v>
      </c>
      <c r="C890" s="8" t="s">
        <v>197</v>
      </c>
      <c r="D890" s="18">
        <v>12</v>
      </c>
      <c r="E890" s="131" t="s">
        <v>1309</v>
      </c>
      <c r="F890" s="22" t="s">
        <v>1309</v>
      </c>
      <c r="G890" s="132" t="s">
        <v>1309</v>
      </c>
      <c r="H890" s="22" t="s">
        <v>1311</v>
      </c>
      <c r="I890" s="22" t="s">
        <v>1327</v>
      </c>
      <c r="J890" s="22" t="s">
        <v>1327</v>
      </c>
      <c r="K890" s="22" t="s">
        <v>1319</v>
      </c>
      <c r="L890" s="22" t="s">
        <v>1311</v>
      </c>
      <c r="M890" s="133" t="s">
        <v>1311</v>
      </c>
      <c r="N890" s="22" t="s">
        <v>1311</v>
      </c>
      <c r="O890" s="22" t="s">
        <v>1314</v>
      </c>
      <c r="P890" s="22" t="s">
        <v>1318</v>
      </c>
      <c r="Q890" s="20">
        <v>0</v>
      </c>
      <c r="R890" s="20">
        <v>0</v>
      </c>
      <c r="S890" s="20">
        <v>0</v>
      </c>
      <c r="T890" s="20">
        <v>0</v>
      </c>
      <c r="U890" s="20">
        <v>0</v>
      </c>
      <c r="V890" s="20">
        <v>0</v>
      </c>
      <c r="W890" s="20">
        <v>0</v>
      </c>
      <c r="X890" s="20">
        <v>0</v>
      </c>
      <c r="Y890" s="20">
        <v>0</v>
      </c>
      <c r="Z890" s="20">
        <v>0</v>
      </c>
      <c r="AA890" s="20" t="s">
        <v>1317</v>
      </c>
      <c r="AB890" s="22" t="s">
        <v>1318</v>
      </c>
      <c r="AC890" s="20">
        <v>1</v>
      </c>
      <c r="AD890" s="20">
        <v>0</v>
      </c>
      <c r="AE890" s="20">
        <v>0</v>
      </c>
      <c r="AF890" s="20">
        <v>1</v>
      </c>
      <c r="AG890" s="20">
        <v>0</v>
      </c>
      <c r="AH890" s="20">
        <v>0</v>
      </c>
      <c r="AI890" s="328">
        <v>49.140049140049136</v>
      </c>
      <c r="AJ890" s="328" t="s">
        <v>1328</v>
      </c>
      <c r="AK890" s="328" t="s">
        <v>1328</v>
      </c>
      <c r="AL890" s="22" t="s">
        <v>1329</v>
      </c>
      <c r="AM890" s="22" t="s">
        <v>1330</v>
      </c>
      <c r="AN890" s="22" t="s">
        <v>1317</v>
      </c>
      <c r="AO890" s="22" t="s">
        <v>1318</v>
      </c>
      <c r="AP890" s="22" t="s">
        <v>1318</v>
      </c>
      <c r="AQ890" s="22" t="s">
        <v>1318</v>
      </c>
      <c r="AR890" s="22" t="s">
        <v>1317</v>
      </c>
      <c r="AS890" s="22" t="s">
        <v>1318</v>
      </c>
      <c r="AT890" s="22" t="s">
        <v>1309</v>
      </c>
      <c r="AU890" s="22" t="s">
        <v>1311</v>
      </c>
      <c r="AV890" s="22" t="s">
        <v>1317</v>
      </c>
      <c r="AW890" s="22" t="s">
        <v>1318</v>
      </c>
      <c r="AX890" s="22" t="s">
        <v>1317</v>
      </c>
      <c r="AY890" s="22" t="s">
        <v>1318</v>
      </c>
      <c r="AZ890" s="22" t="s">
        <v>1309</v>
      </c>
      <c r="BA890" s="22" t="s">
        <v>1309</v>
      </c>
      <c r="BB890" s="22" t="s">
        <v>1309</v>
      </c>
      <c r="BC890" s="22" t="s">
        <v>1309</v>
      </c>
      <c r="BD890" s="22" t="s">
        <v>1317</v>
      </c>
      <c r="BE890" s="22" t="s">
        <v>1318</v>
      </c>
      <c r="BF890" s="22" t="s">
        <v>1317</v>
      </c>
      <c r="BG890" s="22" t="s">
        <v>1318</v>
      </c>
      <c r="BH890" s="22" t="s">
        <v>1309</v>
      </c>
      <c r="BI890" s="22" t="s">
        <v>1309</v>
      </c>
      <c r="BJ890" s="22" t="s">
        <v>1317</v>
      </c>
      <c r="BK890" s="22" t="s">
        <v>1318</v>
      </c>
      <c r="BL890" s="22" t="s">
        <v>1317</v>
      </c>
      <c r="BM890" s="22" t="s">
        <v>1318</v>
      </c>
      <c r="BN890" s="22" t="s">
        <v>1309</v>
      </c>
      <c r="BO890" s="22" t="s">
        <v>1309</v>
      </c>
      <c r="BP890" s="22" t="s">
        <v>1309</v>
      </c>
      <c r="BQ890" s="22" t="s">
        <v>1309</v>
      </c>
      <c r="BR890" s="22" t="s">
        <v>1317</v>
      </c>
      <c r="BS890" s="22" t="s">
        <v>1318</v>
      </c>
      <c r="BT890" s="22" t="s">
        <v>1317</v>
      </c>
      <c r="BU890" s="22" t="s">
        <v>1318</v>
      </c>
      <c r="BV890" s="22" t="s">
        <v>1309</v>
      </c>
      <c r="BW890" s="22" t="s">
        <v>1309</v>
      </c>
      <c r="BX890" s="20">
        <v>0</v>
      </c>
      <c r="BY890" s="20">
        <v>0</v>
      </c>
      <c r="BZ890" s="20">
        <v>5</v>
      </c>
      <c r="CA890" s="20">
        <v>0</v>
      </c>
      <c r="CB890" s="20">
        <v>0</v>
      </c>
      <c r="CC890" s="20">
        <v>129</v>
      </c>
      <c r="CD890" s="22" t="s">
        <v>1317</v>
      </c>
      <c r="CE890" s="22" t="s">
        <v>1318</v>
      </c>
      <c r="CF890" s="22" t="s">
        <v>1317</v>
      </c>
      <c r="CG890" s="22" t="s">
        <v>1318</v>
      </c>
      <c r="CH890" s="22" t="s">
        <v>1317</v>
      </c>
      <c r="CI890" s="22" t="s">
        <v>1318</v>
      </c>
      <c r="CJ890" s="149" t="s">
        <v>1124</v>
      </c>
      <c r="CK890" s="241" t="s">
        <v>3043</v>
      </c>
    </row>
    <row r="891" spans="1:89" ht="15" customHeight="1" x14ac:dyDescent="0.35">
      <c r="A891" s="17"/>
      <c r="B891" s="313">
        <v>37225</v>
      </c>
      <c r="C891" s="8" t="s">
        <v>319</v>
      </c>
      <c r="D891" s="18">
        <v>4</v>
      </c>
      <c r="E891" s="131" t="s">
        <v>1309</v>
      </c>
      <c r="F891" s="22" t="s">
        <v>1309</v>
      </c>
      <c r="G891" s="132" t="s">
        <v>1309</v>
      </c>
      <c r="H891" s="22" t="s">
        <v>1311</v>
      </c>
      <c r="I891" s="22" t="s">
        <v>1327</v>
      </c>
      <c r="J891" s="22" t="s">
        <v>1327</v>
      </c>
      <c r="K891" s="22" t="s">
        <v>1319</v>
      </c>
      <c r="L891" s="22" t="s">
        <v>1311</v>
      </c>
      <c r="M891" s="133" t="s">
        <v>1311</v>
      </c>
      <c r="N891" s="22" t="s">
        <v>1311</v>
      </c>
      <c r="O891" s="22" t="s">
        <v>1309</v>
      </c>
      <c r="P891" s="22" t="s">
        <v>1309</v>
      </c>
      <c r="Q891" s="20">
        <v>15.260999999999999</v>
      </c>
      <c r="R891" s="20">
        <v>15.260999999999999</v>
      </c>
      <c r="S891" s="20">
        <v>15.260999999999999</v>
      </c>
      <c r="T891" s="20">
        <v>15.215999999999999</v>
      </c>
      <c r="U891" s="20">
        <v>0</v>
      </c>
      <c r="V891" s="20">
        <v>0</v>
      </c>
      <c r="W891" s="20">
        <v>0</v>
      </c>
      <c r="X891" s="20">
        <v>0</v>
      </c>
      <c r="Y891" s="20">
        <v>0</v>
      </c>
      <c r="Z891" s="20">
        <v>0</v>
      </c>
      <c r="AA891" s="20" t="s">
        <v>1317</v>
      </c>
      <c r="AB891" s="22" t="s">
        <v>1318</v>
      </c>
      <c r="AC891" s="20">
        <v>0</v>
      </c>
      <c r="AD891" s="20">
        <v>1</v>
      </c>
      <c r="AE891" s="20">
        <v>3</v>
      </c>
      <c r="AF891" s="20">
        <v>0</v>
      </c>
      <c r="AG891" s="20">
        <v>1</v>
      </c>
      <c r="AH891" s="20">
        <v>2</v>
      </c>
      <c r="AI891" s="328" t="s">
        <v>1328</v>
      </c>
      <c r="AJ891" s="328">
        <v>4.716981132075472</v>
      </c>
      <c r="AK891" s="328">
        <v>14.150943396226415</v>
      </c>
      <c r="AL891" s="22" t="s">
        <v>1329</v>
      </c>
      <c r="AM891" s="22" t="s">
        <v>1330</v>
      </c>
      <c r="AN891" s="22" t="s">
        <v>1315</v>
      </c>
      <c r="AO891" s="22" t="s">
        <v>1315</v>
      </c>
      <c r="AP891" s="22" t="s">
        <v>1315</v>
      </c>
      <c r="AQ891" s="22" t="s">
        <v>1315</v>
      </c>
      <c r="AR891" s="22" t="s">
        <v>1317</v>
      </c>
      <c r="AS891" s="22" t="s">
        <v>1318</v>
      </c>
      <c r="AT891" s="22" t="s">
        <v>1317</v>
      </c>
      <c r="AU891" s="22" t="s">
        <v>1318</v>
      </c>
      <c r="AV891" s="22" t="s">
        <v>1317</v>
      </c>
      <c r="AW891" s="22" t="s">
        <v>1318</v>
      </c>
      <c r="AX891" s="22" t="s">
        <v>1309</v>
      </c>
      <c r="AY891" s="22" t="s">
        <v>1309</v>
      </c>
      <c r="AZ891" s="22" t="s">
        <v>1309</v>
      </c>
      <c r="BA891" s="22" t="s">
        <v>1309</v>
      </c>
      <c r="BB891" s="22" t="s">
        <v>1309</v>
      </c>
      <c r="BC891" s="22" t="s">
        <v>1309</v>
      </c>
      <c r="BD891" s="22" t="s">
        <v>1309</v>
      </c>
      <c r="BE891" s="22" t="s">
        <v>1309</v>
      </c>
      <c r="BF891" s="22" t="s">
        <v>1309</v>
      </c>
      <c r="BG891" s="22" t="s">
        <v>1309</v>
      </c>
      <c r="BH891" s="22" t="s">
        <v>1317</v>
      </c>
      <c r="BI891" s="22" t="s">
        <v>1318</v>
      </c>
      <c r="BJ891" s="22" t="s">
        <v>1317</v>
      </c>
      <c r="BK891" s="22" t="s">
        <v>1318</v>
      </c>
      <c r="BL891" s="22" t="s">
        <v>1309</v>
      </c>
      <c r="BM891" s="22" t="s">
        <v>1309</v>
      </c>
      <c r="BN891" s="22" t="s">
        <v>1317</v>
      </c>
      <c r="BO891" s="22" t="s">
        <v>1318</v>
      </c>
      <c r="BP891" s="22" t="s">
        <v>1315</v>
      </c>
      <c r="BQ891" s="22" t="s">
        <v>1315</v>
      </c>
      <c r="BR891" s="22" t="s">
        <v>1309</v>
      </c>
      <c r="BS891" s="22" t="s">
        <v>1309</v>
      </c>
      <c r="BT891" s="22" t="s">
        <v>1315</v>
      </c>
      <c r="BU891" s="22" t="s">
        <v>1315</v>
      </c>
      <c r="BV891" s="22" t="s">
        <v>1309</v>
      </c>
      <c r="BW891" s="22" t="s">
        <v>1309</v>
      </c>
      <c r="BX891" s="20">
        <v>25</v>
      </c>
      <c r="BY891" s="20">
        <v>0</v>
      </c>
      <c r="BZ891" s="20">
        <v>6</v>
      </c>
      <c r="CA891" s="20">
        <v>217</v>
      </c>
      <c r="CB891" s="20">
        <v>0</v>
      </c>
      <c r="CC891" s="20">
        <v>3</v>
      </c>
      <c r="CD891" s="22" t="s">
        <v>1331</v>
      </c>
      <c r="CE891" s="22" t="s">
        <v>1331</v>
      </c>
      <c r="CF891" s="22" t="s">
        <v>1315</v>
      </c>
      <c r="CG891" s="22" t="s">
        <v>1315</v>
      </c>
      <c r="CH891" s="22" t="s">
        <v>1315</v>
      </c>
      <c r="CI891" s="22" t="s">
        <v>1315</v>
      </c>
      <c r="CJ891" s="149" t="s">
        <v>1124</v>
      </c>
      <c r="CK891" s="241" t="s">
        <v>1414</v>
      </c>
    </row>
    <row r="892" spans="1:89" ht="15" customHeight="1" x14ac:dyDescent="0.35">
      <c r="A892" s="17"/>
      <c r="B892" s="313">
        <v>49030</v>
      </c>
      <c r="C892" s="8" t="s">
        <v>468</v>
      </c>
      <c r="D892" s="18">
        <v>17</v>
      </c>
      <c r="E892" s="131"/>
      <c r="F892" s="22"/>
      <c r="G892" s="132"/>
      <c r="H892" s="22"/>
      <c r="I892" s="22"/>
      <c r="J892" s="22"/>
      <c r="K892" s="22"/>
      <c r="L892" s="22"/>
      <c r="M892" s="133"/>
      <c r="N892" s="22"/>
      <c r="O892" s="22"/>
      <c r="P892" s="22"/>
      <c r="Q892" s="20"/>
      <c r="R892" s="20"/>
      <c r="S892" s="20"/>
      <c r="T892" s="20"/>
      <c r="U892" s="20"/>
      <c r="V892" s="20"/>
      <c r="W892" s="20"/>
      <c r="X892" s="20"/>
      <c r="Y892" s="20"/>
      <c r="Z892" s="20"/>
      <c r="AA892" s="20"/>
      <c r="AB892" s="22"/>
      <c r="AC892" s="20"/>
      <c r="AD892" s="20"/>
      <c r="AE892" s="20"/>
      <c r="AF892" s="20" t="s">
        <v>1124</v>
      </c>
      <c r="AG892" s="20" t="s">
        <v>1124</v>
      </c>
      <c r="AH892" s="20" t="s">
        <v>1124</v>
      </c>
      <c r="AI892" s="328"/>
      <c r="AJ892" s="328"/>
      <c r="AK892" s="328"/>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0"/>
      <c r="BY892" s="20"/>
      <c r="BZ892" s="20"/>
      <c r="CA892" s="20"/>
      <c r="CB892" s="20"/>
      <c r="CC892" s="20"/>
      <c r="CD892" s="22"/>
      <c r="CE892" s="22"/>
      <c r="CF892" s="22"/>
      <c r="CG892" s="22"/>
      <c r="CH892" s="22"/>
      <c r="CI892" s="22"/>
      <c r="CJ892" s="149"/>
      <c r="CK892" s="241"/>
    </row>
    <row r="893" spans="1:89" ht="15" customHeight="1" x14ac:dyDescent="0.35">
      <c r="A893" s="17"/>
      <c r="B893" s="313">
        <v>30072</v>
      </c>
      <c r="C893" s="8" t="s">
        <v>229</v>
      </c>
      <c r="D893" s="18">
        <v>5</v>
      </c>
      <c r="E893" s="131" t="s">
        <v>1319</v>
      </c>
      <c r="F893" s="22" t="s">
        <v>1310</v>
      </c>
      <c r="G893" s="132" t="s">
        <v>1309</v>
      </c>
      <c r="H893" s="22" t="s">
        <v>1311</v>
      </c>
      <c r="I893" s="22" t="s">
        <v>1327</v>
      </c>
      <c r="J893" s="22" t="s">
        <v>1327</v>
      </c>
      <c r="K893" s="22" t="s">
        <v>1319</v>
      </c>
      <c r="L893" s="22" t="s">
        <v>1309</v>
      </c>
      <c r="M893" s="133" t="s">
        <v>1311</v>
      </c>
      <c r="N893" s="22" t="s">
        <v>1311</v>
      </c>
      <c r="O893" s="22" t="s">
        <v>1309</v>
      </c>
      <c r="P893" s="22" t="s">
        <v>1309</v>
      </c>
      <c r="Q893" s="20">
        <v>13.522</v>
      </c>
      <c r="R893" s="20">
        <v>13.522</v>
      </c>
      <c r="S893" s="20">
        <v>13.522</v>
      </c>
      <c r="T893" s="20">
        <v>13.522</v>
      </c>
      <c r="U893" s="20">
        <v>0</v>
      </c>
      <c r="V893" s="20">
        <v>0</v>
      </c>
      <c r="W893" s="20">
        <v>0</v>
      </c>
      <c r="X893" s="20">
        <v>0</v>
      </c>
      <c r="Y893" s="20">
        <v>0</v>
      </c>
      <c r="Z893" s="20">
        <v>0</v>
      </c>
      <c r="AA893" s="20" t="s">
        <v>1317</v>
      </c>
      <c r="AB893" s="22" t="s">
        <v>1311</v>
      </c>
      <c r="AC893" s="20">
        <v>2</v>
      </c>
      <c r="AD893" s="20">
        <v>0</v>
      </c>
      <c r="AE893" s="20">
        <v>0</v>
      </c>
      <c r="AF893" s="20">
        <v>7</v>
      </c>
      <c r="AG893" s="20">
        <v>0</v>
      </c>
      <c r="AH893" s="20">
        <v>0</v>
      </c>
      <c r="AI893" s="328">
        <v>14.790711433219938</v>
      </c>
      <c r="AJ893" s="328" t="s">
        <v>1328</v>
      </c>
      <c r="AK893" s="328" t="s">
        <v>1328</v>
      </c>
      <c r="AL893" s="22" t="s">
        <v>1338</v>
      </c>
      <c r="AM893" s="22" t="s">
        <v>1339</v>
      </c>
      <c r="AN893" s="22" t="s">
        <v>1317</v>
      </c>
      <c r="AO893" s="22" t="s">
        <v>1318</v>
      </c>
      <c r="AP893" s="22" t="s">
        <v>1315</v>
      </c>
      <c r="AQ893" s="22" t="s">
        <v>1315</v>
      </c>
      <c r="AR893" s="22" t="s">
        <v>1317</v>
      </c>
      <c r="AS893" s="22" t="s">
        <v>1318</v>
      </c>
      <c r="AT893" s="22" t="s">
        <v>1317</v>
      </c>
      <c r="AU893" s="22" t="s">
        <v>1318</v>
      </c>
      <c r="AV893" s="22" t="s">
        <v>1317</v>
      </c>
      <c r="AW893" s="22" t="s">
        <v>1318</v>
      </c>
      <c r="AX893" s="22" t="s">
        <v>1317</v>
      </c>
      <c r="AY893" s="22" t="s">
        <v>1309</v>
      </c>
      <c r="AZ893" s="22" t="s">
        <v>1309</v>
      </c>
      <c r="BA893" s="22" t="s">
        <v>1309</v>
      </c>
      <c r="BB893" s="22" t="s">
        <v>1309</v>
      </c>
      <c r="BC893" s="22" t="s">
        <v>1309</v>
      </c>
      <c r="BD893" s="22" t="s">
        <v>1309</v>
      </c>
      <c r="BE893" s="22" t="s">
        <v>1309</v>
      </c>
      <c r="BF893" s="22" t="s">
        <v>1309</v>
      </c>
      <c r="BG893" s="22" t="s">
        <v>1309</v>
      </c>
      <c r="BH893" s="22" t="s">
        <v>1317</v>
      </c>
      <c r="BI893" s="22" t="s">
        <v>1318</v>
      </c>
      <c r="BJ893" s="22" t="s">
        <v>1317</v>
      </c>
      <c r="BK893" s="22" t="s">
        <v>1318</v>
      </c>
      <c r="BL893" s="22" t="s">
        <v>1317</v>
      </c>
      <c r="BM893" s="22" t="s">
        <v>1311</v>
      </c>
      <c r="BN893" s="22" t="s">
        <v>1317</v>
      </c>
      <c r="BO893" s="22" t="s">
        <v>1311</v>
      </c>
      <c r="BP893" s="22" t="s">
        <v>1319</v>
      </c>
      <c r="BQ893" s="22" t="s">
        <v>1311</v>
      </c>
      <c r="BR893" s="22" t="s">
        <v>1319</v>
      </c>
      <c r="BS893" s="22" t="s">
        <v>1311</v>
      </c>
      <c r="BT893" s="22" t="s">
        <v>1317</v>
      </c>
      <c r="BU893" s="22" t="s">
        <v>1318</v>
      </c>
      <c r="BV893" s="22" t="s">
        <v>1317</v>
      </c>
      <c r="BW893" s="22" t="s">
        <v>1318</v>
      </c>
      <c r="BX893" s="20">
        <v>11</v>
      </c>
      <c r="BY893" s="20">
        <v>0</v>
      </c>
      <c r="BZ893" s="20">
        <v>0</v>
      </c>
      <c r="CA893" s="20">
        <v>82</v>
      </c>
      <c r="CB893" s="20">
        <v>0</v>
      </c>
      <c r="CC893" s="20">
        <v>0</v>
      </c>
      <c r="CD893" s="22" t="s">
        <v>1331</v>
      </c>
      <c r="CE893" s="22" t="s">
        <v>1331</v>
      </c>
      <c r="CF893" s="22" t="s">
        <v>1315</v>
      </c>
      <c r="CG893" s="22" t="s">
        <v>1315</v>
      </c>
      <c r="CH893" s="22" t="s">
        <v>1317</v>
      </c>
      <c r="CI893" s="22" t="s">
        <v>1318</v>
      </c>
      <c r="CJ893" s="149" t="s">
        <v>1124</v>
      </c>
      <c r="CK893" s="241" t="s">
        <v>1386</v>
      </c>
    </row>
    <row r="894" spans="1:89" ht="15" customHeight="1" x14ac:dyDescent="0.35">
      <c r="A894" s="17"/>
      <c r="B894" s="313">
        <v>93080</v>
      </c>
      <c r="C894" s="8" t="s">
        <v>971</v>
      </c>
      <c r="D894" s="18">
        <v>2</v>
      </c>
      <c r="E894" s="131"/>
      <c r="F894" s="22"/>
      <c r="G894" s="132"/>
      <c r="H894" s="22"/>
      <c r="I894" s="22"/>
      <c r="J894" s="22"/>
      <c r="K894" s="22"/>
      <c r="L894" s="22"/>
      <c r="M894" s="133"/>
      <c r="N894" s="22"/>
      <c r="O894" s="22"/>
      <c r="P894" s="22"/>
      <c r="Q894" s="20"/>
      <c r="R894" s="20"/>
      <c r="S894" s="20"/>
      <c r="T894" s="20"/>
      <c r="U894" s="20"/>
      <c r="V894" s="20"/>
      <c r="W894" s="20"/>
      <c r="X894" s="20"/>
      <c r="Y894" s="20"/>
      <c r="Z894" s="20"/>
      <c r="AA894" s="20"/>
      <c r="AB894" s="22"/>
      <c r="AC894" s="20"/>
      <c r="AD894" s="20"/>
      <c r="AE894" s="20"/>
      <c r="AF894" s="20" t="s">
        <v>1124</v>
      </c>
      <c r="AG894" s="20" t="s">
        <v>1124</v>
      </c>
      <c r="AH894" s="20" t="s">
        <v>1124</v>
      </c>
      <c r="AI894" s="328"/>
      <c r="AJ894" s="328"/>
      <c r="AK894" s="328"/>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0"/>
      <c r="BY894" s="20"/>
      <c r="BZ894" s="20"/>
      <c r="CA894" s="20"/>
      <c r="CB894" s="20"/>
      <c r="CC894" s="20"/>
      <c r="CD894" s="22"/>
      <c r="CE894" s="22"/>
      <c r="CF894" s="22"/>
      <c r="CG894" s="22"/>
      <c r="CH894" s="22"/>
      <c r="CI894" s="22"/>
      <c r="CJ894" s="149"/>
      <c r="CK894" s="241"/>
    </row>
    <row r="895" spans="1:89" ht="15" customHeight="1" x14ac:dyDescent="0.35">
      <c r="A895" s="17"/>
      <c r="B895" s="313">
        <v>28075</v>
      </c>
      <c r="C895" s="8" t="s">
        <v>200</v>
      </c>
      <c r="D895" s="18">
        <v>12</v>
      </c>
      <c r="E895" s="131" t="s">
        <v>1309</v>
      </c>
      <c r="F895" s="22" t="s">
        <v>1309</v>
      </c>
      <c r="G895" s="132" t="s">
        <v>1309</v>
      </c>
      <c r="H895" s="22" t="s">
        <v>1311</v>
      </c>
      <c r="I895" s="22" t="s">
        <v>1327</v>
      </c>
      <c r="J895" s="22" t="s">
        <v>1327</v>
      </c>
      <c r="K895" s="22" t="s">
        <v>1309</v>
      </c>
      <c r="L895" s="22" t="s">
        <v>1309</v>
      </c>
      <c r="M895" s="133" t="s">
        <v>1311</v>
      </c>
      <c r="N895" s="22" t="s">
        <v>1311</v>
      </c>
      <c r="O895" s="22" t="s">
        <v>1315</v>
      </c>
      <c r="P895" s="22" t="s">
        <v>1318</v>
      </c>
      <c r="Q895" s="20">
        <v>0</v>
      </c>
      <c r="R895" s="20">
        <v>0</v>
      </c>
      <c r="S895" s="20">
        <v>0</v>
      </c>
      <c r="T895" s="20">
        <v>0</v>
      </c>
      <c r="U895" s="20">
        <v>3.7429999999999999</v>
      </c>
      <c r="V895" s="20">
        <v>3.7429999999999999</v>
      </c>
      <c r="W895" s="20">
        <v>0</v>
      </c>
      <c r="X895" s="20">
        <v>0</v>
      </c>
      <c r="Y895" s="20">
        <v>0</v>
      </c>
      <c r="Z895" s="20">
        <v>0</v>
      </c>
      <c r="AA895" s="20" t="s">
        <v>1309</v>
      </c>
      <c r="AB895" s="22" t="s">
        <v>1309</v>
      </c>
      <c r="AC895" s="20">
        <v>0</v>
      </c>
      <c r="AD895" s="20">
        <v>0</v>
      </c>
      <c r="AE895" s="20">
        <v>0</v>
      </c>
      <c r="AF895" s="20">
        <v>0</v>
      </c>
      <c r="AG895" s="20">
        <v>0</v>
      </c>
      <c r="AH895" s="20">
        <v>0</v>
      </c>
      <c r="AI895" s="328" t="s">
        <v>1328</v>
      </c>
      <c r="AJ895" s="328" t="s">
        <v>1328</v>
      </c>
      <c r="AK895" s="328" t="s">
        <v>1328</v>
      </c>
      <c r="AL895" s="22" t="s">
        <v>1329</v>
      </c>
      <c r="AM895" s="22" t="s">
        <v>1330</v>
      </c>
      <c r="AN895" s="22" t="s">
        <v>1317</v>
      </c>
      <c r="AO895" s="22" t="s">
        <v>1318</v>
      </c>
      <c r="AP895" s="22" t="s">
        <v>1318</v>
      </c>
      <c r="AQ895" s="22" t="s">
        <v>1318</v>
      </c>
      <c r="AR895" s="22" t="s">
        <v>1317</v>
      </c>
      <c r="AS895" s="22" t="s">
        <v>1318</v>
      </c>
      <c r="AT895" s="22" t="s">
        <v>1317</v>
      </c>
      <c r="AU895" s="22" t="s">
        <v>1318</v>
      </c>
      <c r="AV895" s="22" t="s">
        <v>1317</v>
      </c>
      <c r="AW895" s="22" t="s">
        <v>1318</v>
      </c>
      <c r="AX895" s="22" t="s">
        <v>1309</v>
      </c>
      <c r="AY895" s="22" t="s">
        <v>1311</v>
      </c>
      <c r="AZ895" s="22" t="s">
        <v>1309</v>
      </c>
      <c r="BA895" s="22" t="s">
        <v>1311</v>
      </c>
      <c r="BB895" s="22" t="s">
        <v>1309</v>
      </c>
      <c r="BC895" s="22" t="s">
        <v>1311</v>
      </c>
      <c r="BD895" s="22" t="s">
        <v>1317</v>
      </c>
      <c r="BE895" s="22" t="s">
        <v>1311</v>
      </c>
      <c r="BF895" s="22" t="s">
        <v>1317</v>
      </c>
      <c r="BG895" s="22" t="s">
        <v>1318</v>
      </c>
      <c r="BH895" s="22" t="s">
        <v>1309</v>
      </c>
      <c r="BI895" s="22" t="s">
        <v>1311</v>
      </c>
      <c r="BJ895" s="22" t="s">
        <v>1309</v>
      </c>
      <c r="BK895" s="22" t="s">
        <v>1311</v>
      </c>
      <c r="BL895" s="22" t="s">
        <v>1309</v>
      </c>
      <c r="BM895" s="22" t="s">
        <v>1311</v>
      </c>
      <c r="BN895" s="22" t="s">
        <v>1309</v>
      </c>
      <c r="BO895" s="22" t="s">
        <v>1311</v>
      </c>
      <c r="BP895" s="22" t="s">
        <v>1309</v>
      </c>
      <c r="BQ895" s="22" t="s">
        <v>1311</v>
      </c>
      <c r="BR895" s="22" t="s">
        <v>1309</v>
      </c>
      <c r="BS895" s="22" t="s">
        <v>1311</v>
      </c>
      <c r="BT895" s="22" t="s">
        <v>1309</v>
      </c>
      <c r="BU895" s="22" t="s">
        <v>1311</v>
      </c>
      <c r="BV895" s="22" t="s">
        <v>1317</v>
      </c>
      <c r="BW895" s="22" t="s">
        <v>1318</v>
      </c>
      <c r="BX895" s="20">
        <v>0</v>
      </c>
      <c r="BY895" s="20">
        <v>0</v>
      </c>
      <c r="BZ895" s="20">
        <v>16</v>
      </c>
      <c r="CA895" s="20">
        <v>0</v>
      </c>
      <c r="CB895" s="20">
        <v>0</v>
      </c>
      <c r="CC895" s="20">
        <v>376</v>
      </c>
      <c r="CD895" s="22" t="s">
        <v>1317</v>
      </c>
      <c r="CE895" s="22" t="s">
        <v>1318</v>
      </c>
      <c r="CF895" s="22" t="s">
        <v>1317</v>
      </c>
      <c r="CG895" s="22" t="s">
        <v>1318</v>
      </c>
      <c r="CH895" s="22" t="s">
        <v>1317</v>
      </c>
      <c r="CI895" s="22" t="s">
        <v>1318</v>
      </c>
      <c r="CJ895" s="149" t="s">
        <v>1124</v>
      </c>
      <c r="CK895" s="241" t="s">
        <v>1791</v>
      </c>
    </row>
    <row r="896" spans="1:89" ht="15" customHeight="1" x14ac:dyDescent="0.35">
      <c r="A896" s="17"/>
      <c r="B896" s="313">
        <v>49095</v>
      </c>
      <c r="C896" s="8" t="s">
        <v>476</v>
      </c>
      <c r="D896" s="18">
        <v>17</v>
      </c>
      <c r="E896" s="131" t="s">
        <v>1309</v>
      </c>
      <c r="F896" s="22" t="s">
        <v>1309</v>
      </c>
      <c r="G896" s="132" t="s">
        <v>1309</v>
      </c>
      <c r="H896" s="22" t="s">
        <v>1311</v>
      </c>
      <c r="I896" s="22" t="s">
        <v>1327</v>
      </c>
      <c r="J896" s="22" t="s">
        <v>1327</v>
      </c>
      <c r="K896" s="22" t="s">
        <v>1309</v>
      </c>
      <c r="L896" s="22" t="s">
        <v>1309</v>
      </c>
      <c r="M896" s="133" t="s">
        <v>1311</v>
      </c>
      <c r="N896" s="22" t="s">
        <v>1311</v>
      </c>
      <c r="O896" s="22" t="s">
        <v>1309</v>
      </c>
      <c r="P896" s="22" t="s">
        <v>1309</v>
      </c>
      <c r="Q896" s="20">
        <v>0</v>
      </c>
      <c r="R896" s="20">
        <v>0</v>
      </c>
      <c r="S896" s="20">
        <v>0</v>
      </c>
      <c r="T896" s="20">
        <v>0</v>
      </c>
      <c r="U896" s="20">
        <v>0</v>
      </c>
      <c r="V896" s="20">
        <v>0</v>
      </c>
      <c r="W896" s="20">
        <v>0</v>
      </c>
      <c r="X896" s="20">
        <v>0</v>
      </c>
      <c r="Y896" s="20">
        <v>0</v>
      </c>
      <c r="Z896" s="20">
        <v>0</v>
      </c>
      <c r="AA896" s="20" t="s">
        <v>1317</v>
      </c>
      <c r="AB896" s="22" t="s">
        <v>1318</v>
      </c>
      <c r="AC896" s="20">
        <v>0</v>
      </c>
      <c r="AD896" s="20">
        <v>1</v>
      </c>
      <c r="AE896" s="20">
        <v>0</v>
      </c>
      <c r="AF896" s="20">
        <v>0</v>
      </c>
      <c r="AG896" s="20">
        <v>1</v>
      </c>
      <c r="AH896" s="20">
        <v>0</v>
      </c>
      <c r="AI896" s="328" t="s">
        <v>1328</v>
      </c>
      <c r="AJ896" s="328">
        <v>2.9940119760479043</v>
      </c>
      <c r="AK896" s="328" t="s">
        <v>1328</v>
      </c>
      <c r="AL896" s="22" t="s">
        <v>1329</v>
      </c>
      <c r="AM896" s="22" t="s">
        <v>1330</v>
      </c>
      <c r="AN896" s="22" t="s">
        <v>1526</v>
      </c>
      <c r="AO896" s="22" t="s">
        <v>1318</v>
      </c>
      <c r="AP896" s="22" t="s">
        <v>1318</v>
      </c>
      <c r="AQ896" s="22" t="s">
        <v>1318</v>
      </c>
      <c r="AR896" s="22" t="s">
        <v>1317</v>
      </c>
      <c r="AS896" s="22" t="s">
        <v>1318</v>
      </c>
      <c r="AT896" s="22" t="s">
        <v>1317</v>
      </c>
      <c r="AU896" s="22" t="s">
        <v>1318</v>
      </c>
      <c r="AV896" s="22" t="s">
        <v>1317</v>
      </c>
      <c r="AW896" s="22" t="s">
        <v>1318</v>
      </c>
      <c r="AX896" s="22" t="s">
        <v>1317</v>
      </c>
      <c r="AY896" s="22" t="s">
        <v>1318</v>
      </c>
      <c r="AZ896" s="22" t="s">
        <v>1309</v>
      </c>
      <c r="BA896" s="22" t="s">
        <v>1309</v>
      </c>
      <c r="BB896" s="22" t="s">
        <v>1309</v>
      </c>
      <c r="BC896" s="22" t="s">
        <v>1309</v>
      </c>
      <c r="BD896" s="22" t="s">
        <v>1309</v>
      </c>
      <c r="BE896" s="22" t="s">
        <v>1309</v>
      </c>
      <c r="BF896" s="22" t="s">
        <v>1309</v>
      </c>
      <c r="BG896" s="22" t="s">
        <v>1309</v>
      </c>
      <c r="BH896" s="22" t="s">
        <v>1317</v>
      </c>
      <c r="BI896" s="22" t="s">
        <v>1318</v>
      </c>
      <c r="BJ896" s="22" t="s">
        <v>1317</v>
      </c>
      <c r="BK896" s="22" t="s">
        <v>1318</v>
      </c>
      <c r="BL896" s="22" t="s">
        <v>1317</v>
      </c>
      <c r="BM896" s="22" t="s">
        <v>1318</v>
      </c>
      <c r="BN896" s="22" t="s">
        <v>1309</v>
      </c>
      <c r="BO896" s="22" t="s">
        <v>1309</v>
      </c>
      <c r="BP896" s="22" t="s">
        <v>1309</v>
      </c>
      <c r="BQ896" s="22" t="s">
        <v>1309</v>
      </c>
      <c r="BR896" s="22" t="s">
        <v>1319</v>
      </c>
      <c r="BS896" s="22" t="s">
        <v>1311</v>
      </c>
      <c r="BT896" s="22" t="s">
        <v>1319</v>
      </c>
      <c r="BU896" s="22" t="s">
        <v>1311</v>
      </c>
      <c r="BV896" s="22" t="s">
        <v>1317</v>
      </c>
      <c r="BW896" s="22" t="s">
        <v>1318</v>
      </c>
      <c r="BX896" s="20">
        <v>30</v>
      </c>
      <c r="BY896" s="20">
        <v>0</v>
      </c>
      <c r="BZ896" s="20">
        <v>0</v>
      </c>
      <c r="CA896" s="20">
        <v>304</v>
      </c>
      <c r="CB896" s="20">
        <v>0</v>
      </c>
      <c r="CC896" s="20">
        <v>0</v>
      </c>
      <c r="CD896" s="22" t="s">
        <v>1331</v>
      </c>
      <c r="CE896" s="22" t="s">
        <v>1331</v>
      </c>
      <c r="CF896" s="22" t="s">
        <v>1331</v>
      </c>
      <c r="CG896" s="22" t="s">
        <v>1331</v>
      </c>
      <c r="CH896" s="22" t="s">
        <v>1317</v>
      </c>
      <c r="CI896" s="22" t="s">
        <v>1318</v>
      </c>
      <c r="CJ896" s="149" t="s">
        <v>1124</v>
      </c>
      <c r="CK896" s="241" t="s">
        <v>1124</v>
      </c>
    </row>
    <row r="897" spans="1:89" ht="15" customHeight="1" x14ac:dyDescent="0.35">
      <c r="A897" s="17"/>
      <c r="B897" s="313">
        <v>19025</v>
      </c>
      <c r="C897" s="8" t="s">
        <v>122</v>
      </c>
      <c r="D897" s="18">
        <v>12</v>
      </c>
      <c r="E897" s="131" t="s">
        <v>1309</v>
      </c>
      <c r="F897" s="22" t="s">
        <v>1309</v>
      </c>
      <c r="G897" s="132" t="s">
        <v>1309</v>
      </c>
      <c r="H897" s="22" t="s">
        <v>1311</v>
      </c>
      <c r="I897" s="22" t="s">
        <v>1327</v>
      </c>
      <c r="J897" s="22" t="s">
        <v>1327</v>
      </c>
      <c r="K897" s="22" t="s">
        <v>1314</v>
      </c>
      <c r="L897" s="22" t="s">
        <v>1311</v>
      </c>
      <c r="M897" s="133" t="s">
        <v>1311</v>
      </c>
      <c r="N897" s="22" t="s">
        <v>1311</v>
      </c>
      <c r="O897" s="22" t="s">
        <v>1314</v>
      </c>
      <c r="P897" s="22" t="s">
        <v>1318</v>
      </c>
      <c r="Q897" s="20">
        <v>0</v>
      </c>
      <c r="R897" s="20">
        <v>0</v>
      </c>
      <c r="S897" s="20">
        <v>0</v>
      </c>
      <c r="T897" s="20">
        <v>0</v>
      </c>
      <c r="U897" s="20">
        <v>0</v>
      </c>
      <c r="V897" s="20">
        <v>0</v>
      </c>
      <c r="W897" s="20">
        <v>0</v>
      </c>
      <c r="X897" s="20">
        <v>0</v>
      </c>
      <c r="Y897" s="20">
        <v>0</v>
      </c>
      <c r="Z897" s="20">
        <v>0</v>
      </c>
      <c r="AA897" s="20" t="s">
        <v>1317</v>
      </c>
      <c r="AB897" s="22" t="s">
        <v>1318</v>
      </c>
      <c r="AC897" s="20">
        <v>0</v>
      </c>
      <c r="AD897" s="20">
        <v>0</v>
      </c>
      <c r="AE897" s="20">
        <v>0</v>
      </c>
      <c r="AF897" s="20">
        <v>0</v>
      </c>
      <c r="AG897" s="20">
        <v>0</v>
      </c>
      <c r="AH897" s="20">
        <v>0</v>
      </c>
      <c r="AI897" s="328" t="s">
        <v>1328</v>
      </c>
      <c r="AJ897" s="328" t="s">
        <v>1328</v>
      </c>
      <c r="AK897" s="328" t="s">
        <v>1328</v>
      </c>
      <c r="AL897" s="22" t="s">
        <v>1329</v>
      </c>
      <c r="AM897" s="22" t="s">
        <v>1330</v>
      </c>
      <c r="AN897" s="22" t="s">
        <v>1347</v>
      </c>
      <c r="AO897" s="22" t="s">
        <v>1309</v>
      </c>
      <c r="AP897" s="22" t="s">
        <v>1350</v>
      </c>
      <c r="AQ897" s="22" t="s">
        <v>1318</v>
      </c>
      <c r="AR897" s="22" t="s">
        <v>1317</v>
      </c>
      <c r="AS897" s="22" t="s">
        <v>1318</v>
      </c>
      <c r="AT897" s="22" t="s">
        <v>1317</v>
      </c>
      <c r="AU897" s="22" t="s">
        <v>1311</v>
      </c>
      <c r="AV897" s="22" t="s">
        <v>1317</v>
      </c>
      <c r="AW897" s="22" t="s">
        <v>1318</v>
      </c>
      <c r="AX897" s="22" t="s">
        <v>1317</v>
      </c>
      <c r="AY897" s="22" t="s">
        <v>1318</v>
      </c>
      <c r="AZ897" s="22" t="s">
        <v>1309</v>
      </c>
      <c r="BA897" s="22" t="s">
        <v>1309</v>
      </c>
      <c r="BB897" s="22" t="s">
        <v>1309</v>
      </c>
      <c r="BC897" s="22" t="s">
        <v>1309</v>
      </c>
      <c r="BD897" s="22" t="s">
        <v>1317</v>
      </c>
      <c r="BE897" s="22" t="s">
        <v>1318</v>
      </c>
      <c r="BF897" s="22" t="s">
        <v>1317</v>
      </c>
      <c r="BG897" s="22" t="s">
        <v>1318</v>
      </c>
      <c r="BH897" s="22" t="s">
        <v>1317</v>
      </c>
      <c r="BI897" s="22" t="s">
        <v>1318</v>
      </c>
      <c r="BJ897" s="22" t="s">
        <v>1317</v>
      </c>
      <c r="BK897" s="22" t="s">
        <v>1318</v>
      </c>
      <c r="BL897" s="22" t="s">
        <v>1309</v>
      </c>
      <c r="BM897" s="22" t="s">
        <v>1309</v>
      </c>
      <c r="BN897" s="22" t="s">
        <v>1309</v>
      </c>
      <c r="BO897" s="22" t="s">
        <v>1309</v>
      </c>
      <c r="BP897" s="22" t="s">
        <v>1315</v>
      </c>
      <c r="BQ897" s="22" t="s">
        <v>1315</v>
      </c>
      <c r="BR897" s="22" t="s">
        <v>1309</v>
      </c>
      <c r="BS897" s="22" t="s">
        <v>1309</v>
      </c>
      <c r="BT897" s="22" t="s">
        <v>1315</v>
      </c>
      <c r="BU897" s="22" t="s">
        <v>1315</v>
      </c>
      <c r="BV897" s="22" t="s">
        <v>1309</v>
      </c>
      <c r="BW897" s="22" t="s">
        <v>1309</v>
      </c>
      <c r="BX897" s="20">
        <v>0</v>
      </c>
      <c r="BY897" s="20">
        <v>0</v>
      </c>
      <c r="BZ897" s="20">
        <v>28</v>
      </c>
      <c r="CA897" s="20">
        <v>0</v>
      </c>
      <c r="CB897" s="20">
        <v>0</v>
      </c>
      <c r="CC897" s="20">
        <v>599</v>
      </c>
      <c r="CD897" s="22" t="s">
        <v>1317</v>
      </c>
      <c r="CE897" s="22" t="s">
        <v>1318</v>
      </c>
      <c r="CF897" s="22" t="s">
        <v>1317</v>
      </c>
      <c r="CG897" s="22" t="s">
        <v>1318</v>
      </c>
      <c r="CH897" s="22" t="s">
        <v>1317</v>
      </c>
      <c r="CI897" s="22" t="s">
        <v>1318</v>
      </c>
      <c r="CJ897" s="149" t="s">
        <v>1124</v>
      </c>
      <c r="CK897" s="241" t="s">
        <v>1358</v>
      </c>
    </row>
    <row r="898" spans="1:89" ht="15" customHeight="1" x14ac:dyDescent="0.35">
      <c r="A898" s="17"/>
      <c r="B898" s="313">
        <v>44003</v>
      </c>
      <c r="C898" s="8" t="s">
        <v>398</v>
      </c>
      <c r="D898" s="18">
        <v>5</v>
      </c>
      <c r="E898" s="131"/>
      <c r="F898" s="22"/>
      <c r="G898" s="132"/>
      <c r="H898" s="22"/>
      <c r="I898" s="22"/>
      <c r="J898" s="22"/>
      <c r="K898" s="22"/>
      <c r="L898" s="22"/>
      <c r="M898" s="133"/>
      <c r="N898" s="22"/>
      <c r="O898" s="22"/>
      <c r="P898" s="22"/>
      <c r="Q898" s="20"/>
      <c r="R898" s="20"/>
      <c r="S898" s="20"/>
      <c r="T898" s="20"/>
      <c r="U898" s="20"/>
      <c r="V898" s="20"/>
      <c r="W898" s="20"/>
      <c r="X898" s="20"/>
      <c r="Y898" s="20"/>
      <c r="Z898" s="20"/>
      <c r="AA898" s="20"/>
      <c r="AB898" s="22"/>
      <c r="AC898" s="20"/>
      <c r="AD898" s="20"/>
      <c r="AE898" s="20"/>
      <c r="AF898" s="20" t="s">
        <v>1124</v>
      </c>
      <c r="AG898" s="20" t="s">
        <v>1124</v>
      </c>
      <c r="AH898" s="20" t="s">
        <v>1124</v>
      </c>
      <c r="AI898" s="328"/>
      <c r="AJ898" s="328"/>
      <c r="AK898" s="328"/>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0"/>
      <c r="BY898" s="20"/>
      <c r="BZ898" s="20"/>
      <c r="CA898" s="20"/>
      <c r="CB898" s="20"/>
      <c r="CC898" s="20"/>
      <c r="CD898" s="22"/>
      <c r="CE898" s="22"/>
      <c r="CF898" s="22"/>
      <c r="CG898" s="22"/>
      <c r="CH898" s="22"/>
      <c r="CI898" s="22"/>
      <c r="CJ898" s="149"/>
      <c r="CK898" s="241"/>
    </row>
    <row r="899" spans="1:89" ht="15" customHeight="1" x14ac:dyDescent="0.35">
      <c r="A899" s="17"/>
      <c r="B899" s="313">
        <v>88040</v>
      </c>
      <c r="C899" s="8" t="s">
        <v>917</v>
      </c>
      <c r="D899" s="18">
        <v>8</v>
      </c>
      <c r="E899" s="131"/>
      <c r="F899" s="22"/>
      <c r="G899" s="132"/>
      <c r="H899" s="22"/>
      <c r="I899" s="22"/>
      <c r="J899" s="22"/>
      <c r="K899" s="22"/>
      <c r="L899" s="22"/>
      <c r="M899" s="133"/>
      <c r="N899" s="22"/>
      <c r="O899" s="22"/>
      <c r="P899" s="22"/>
      <c r="Q899" s="20"/>
      <c r="R899" s="20"/>
      <c r="S899" s="20"/>
      <c r="T899" s="20"/>
      <c r="U899" s="20"/>
      <c r="V899" s="20"/>
      <c r="W899" s="20"/>
      <c r="X899" s="20"/>
      <c r="Y899" s="20"/>
      <c r="Z899" s="20"/>
      <c r="AA899" s="20"/>
      <c r="AB899" s="22"/>
      <c r="AC899" s="20"/>
      <c r="AD899" s="20"/>
      <c r="AE899" s="20"/>
      <c r="AF899" s="20" t="s">
        <v>1124</v>
      </c>
      <c r="AG899" s="20" t="s">
        <v>1124</v>
      </c>
      <c r="AH899" s="20" t="s">
        <v>1124</v>
      </c>
      <c r="AI899" s="328"/>
      <c r="AJ899" s="328"/>
      <c r="AK899" s="328"/>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0"/>
      <c r="BY899" s="20"/>
      <c r="BZ899" s="20"/>
      <c r="CA899" s="20"/>
      <c r="CB899" s="20"/>
      <c r="CC899" s="20"/>
      <c r="CD899" s="22"/>
      <c r="CE899" s="22"/>
      <c r="CF899" s="22"/>
      <c r="CG899" s="22"/>
      <c r="CH899" s="22"/>
      <c r="CI899" s="22"/>
      <c r="CJ899" s="149"/>
      <c r="CK899" s="241"/>
    </row>
    <row r="900" spans="1:89" ht="15" customHeight="1" x14ac:dyDescent="0.35">
      <c r="A900" s="17"/>
      <c r="B900" s="314">
        <v>34065</v>
      </c>
      <c r="C900" s="8" t="s">
        <v>293</v>
      </c>
      <c r="D900" s="18">
        <v>3</v>
      </c>
      <c r="E900" s="131" t="s">
        <v>1309</v>
      </c>
      <c r="F900" s="22" t="s">
        <v>1309</v>
      </c>
      <c r="G900" s="132" t="s">
        <v>1309</v>
      </c>
      <c r="H900" s="22" t="s">
        <v>1311</v>
      </c>
      <c r="I900" s="22" t="s">
        <v>1327</v>
      </c>
      <c r="J900" s="22" t="s">
        <v>1327</v>
      </c>
      <c r="K900" s="22" t="s">
        <v>1314</v>
      </c>
      <c r="L900" s="22" t="s">
        <v>1311</v>
      </c>
      <c r="M900" s="133" t="s">
        <v>1311</v>
      </c>
      <c r="N900" s="22" t="s">
        <v>1311</v>
      </c>
      <c r="O900" s="22" t="s">
        <v>1309</v>
      </c>
      <c r="P900" s="22" t="s">
        <v>1309</v>
      </c>
      <c r="Q900" s="20">
        <v>0</v>
      </c>
      <c r="R900" s="20">
        <v>0</v>
      </c>
      <c r="S900" s="20">
        <v>31.157</v>
      </c>
      <c r="T900" s="20">
        <v>62.314</v>
      </c>
      <c r="U900" s="20">
        <v>0</v>
      </c>
      <c r="V900" s="20">
        <v>0</v>
      </c>
      <c r="W900" s="20">
        <v>0</v>
      </c>
      <c r="X900" s="20">
        <v>0</v>
      </c>
      <c r="Y900" s="20">
        <v>0</v>
      </c>
      <c r="Z900" s="20">
        <v>0</v>
      </c>
      <c r="AA900" s="20" t="s">
        <v>1317</v>
      </c>
      <c r="AB900" s="22" t="s">
        <v>1318</v>
      </c>
      <c r="AC900" s="20">
        <v>2</v>
      </c>
      <c r="AD900" s="20">
        <v>2</v>
      </c>
      <c r="AE900" s="20">
        <v>0</v>
      </c>
      <c r="AF900" s="20">
        <v>2</v>
      </c>
      <c r="AG900" s="20">
        <v>3</v>
      </c>
      <c r="AH900" s="20">
        <v>0</v>
      </c>
      <c r="AI900" s="328">
        <v>6.4191032512757964</v>
      </c>
      <c r="AJ900" s="328">
        <v>1.5974440894568691</v>
      </c>
      <c r="AK900" s="328" t="s">
        <v>1328</v>
      </c>
      <c r="AL900" s="22" t="s">
        <v>1329</v>
      </c>
      <c r="AM900" s="22" t="s">
        <v>1330</v>
      </c>
      <c r="AN900" s="22" t="s">
        <v>1317</v>
      </c>
      <c r="AO900" s="22" t="s">
        <v>1318</v>
      </c>
      <c r="AP900" s="22" t="s">
        <v>1318</v>
      </c>
      <c r="AQ900" s="22" t="s">
        <v>1318</v>
      </c>
      <c r="AR900" s="22" t="s">
        <v>1317</v>
      </c>
      <c r="AS900" s="22" t="s">
        <v>1318</v>
      </c>
      <c r="AT900" s="22" t="s">
        <v>1309</v>
      </c>
      <c r="AU900" s="22" t="s">
        <v>1309</v>
      </c>
      <c r="AV900" s="22" t="s">
        <v>1317</v>
      </c>
      <c r="AW900" s="22" t="s">
        <v>1318</v>
      </c>
      <c r="AX900" s="22" t="s">
        <v>1317</v>
      </c>
      <c r="AY900" s="22" t="s">
        <v>1318</v>
      </c>
      <c r="AZ900" s="22" t="s">
        <v>1309</v>
      </c>
      <c r="BA900" s="22" t="s">
        <v>1309</v>
      </c>
      <c r="BB900" s="22" t="s">
        <v>1309</v>
      </c>
      <c r="BC900" s="22" t="s">
        <v>1309</v>
      </c>
      <c r="BD900" s="22" t="s">
        <v>1317</v>
      </c>
      <c r="BE900" s="22" t="s">
        <v>1318</v>
      </c>
      <c r="BF900" s="22" t="s">
        <v>1317</v>
      </c>
      <c r="BG900" s="22" t="s">
        <v>1318</v>
      </c>
      <c r="BH900" s="22" t="s">
        <v>1317</v>
      </c>
      <c r="BI900" s="22" t="s">
        <v>1318</v>
      </c>
      <c r="BJ900" s="22" t="s">
        <v>1317</v>
      </c>
      <c r="BK900" s="22" t="s">
        <v>1318</v>
      </c>
      <c r="BL900" s="22" t="s">
        <v>1317</v>
      </c>
      <c r="BM900" s="22" t="s">
        <v>1318</v>
      </c>
      <c r="BN900" s="22" t="s">
        <v>1317</v>
      </c>
      <c r="BO900" s="22" t="s">
        <v>1318</v>
      </c>
      <c r="BP900" s="22" t="s">
        <v>1309</v>
      </c>
      <c r="BQ900" s="22" t="s">
        <v>1309</v>
      </c>
      <c r="BR900" s="22" t="s">
        <v>1309</v>
      </c>
      <c r="BS900" s="22" t="s">
        <v>1309</v>
      </c>
      <c r="BT900" s="22" t="s">
        <v>1309</v>
      </c>
      <c r="BU900" s="22" t="s">
        <v>1309</v>
      </c>
      <c r="BV900" s="22" t="s">
        <v>1317</v>
      </c>
      <c r="BW900" s="22" t="s">
        <v>1318</v>
      </c>
      <c r="BX900" s="20">
        <v>19</v>
      </c>
      <c r="BY900" s="20">
        <v>0</v>
      </c>
      <c r="BZ900" s="20">
        <v>103</v>
      </c>
      <c r="CA900" s="20">
        <v>0</v>
      </c>
      <c r="CB900" s="20">
        <v>0</v>
      </c>
      <c r="CC900" s="20">
        <v>1130</v>
      </c>
      <c r="CD900" s="22" t="s">
        <v>1320</v>
      </c>
      <c r="CE900" s="22" t="s">
        <v>1321</v>
      </c>
      <c r="CF900" s="22" t="s">
        <v>1317</v>
      </c>
      <c r="CG900" s="22" t="s">
        <v>1321</v>
      </c>
      <c r="CH900" s="22" t="s">
        <v>1317</v>
      </c>
      <c r="CI900" s="22" t="s">
        <v>1318</v>
      </c>
      <c r="CJ900" s="149" t="s">
        <v>1124</v>
      </c>
      <c r="CK900" s="241" t="s">
        <v>3244</v>
      </c>
    </row>
    <row r="901" spans="1:89" ht="15" customHeight="1" x14ac:dyDescent="0.35">
      <c r="A901" s="17"/>
      <c r="B901" s="313">
        <v>13020</v>
      </c>
      <c r="C901" s="8" t="s">
        <v>44</v>
      </c>
      <c r="D901" s="18">
        <v>1</v>
      </c>
      <c r="E901" s="131" t="s">
        <v>1309</v>
      </c>
      <c r="F901" s="22" t="s">
        <v>1309</v>
      </c>
      <c r="G901" s="132" t="s">
        <v>1309</v>
      </c>
      <c r="H901" s="22" t="s">
        <v>1311</v>
      </c>
      <c r="I901" s="22" t="s">
        <v>1327</v>
      </c>
      <c r="J901" s="22" t="s">
        <v>1327</v>
      </c>
      <c r="K901" s="22" t="s">
        <v>1319</v>
      </c>
      <c r="L901" s="22" t="s">
        <v>1311</v>
      </c>
      <c r="M901" s="133" t="s">
        <v>1311</v>
      </c>
      <c r="N901" s="22" t="s">
        <v>1311</v>
      </c>
      <c r="O901" s="22" t="s">
        <v>1314</v>
      </c>
      <c r="P901" s="22" t="s">
        <v>1318</v>
      </c>
      <c r="Q901" s="20">
        <v>4.1559999999999997</v>
      </c>
      <c r="R901" s="20">
        <v>4.1559999999999997</v>
      </c>
      <c r="S901" s="20">
        <v>0</v>
      </c>
      <c r="T901" s="20">
        <v>0</v>
      </c>
      <c r="U901" s="20">
        <v>0</v>
      </c>
      <c r="V901" s="20">
        <v>0</v>
      </c>
      <c r="W901" s="20">
        <v>0</v>
      </c>
      <c r="X901" s="20">
        <v>0</v>
      </c>
      <c r="Y901" s="20">
        <v>0</v>
      </c>
      <c r="Z901" s="20">
        <v>0</v>
      </c>
      <c r="AA901" s="20" t="s">
        <v>1317</v>
      </c>
      <c r="AB901" s="22" t="s">
        <v>1318</v>
      </c>
      <c r="AC901" s="20">
        <v>0</v>
      </c>
      <c r="AD901" s="20">
        <v>0</v>
      </c>
      <c r="AE901" s="20">
        <v>0</v>
      </c>
      <c r="AF901" s="20">
        <v>0</v>
      </c>
      <c r="AG901" s="20">
        <v>0</v>
      </c>
      <c r="AH901" s="20">
        <v>0</v>
      </c>
      <c r="AI901" s="328" t="s">
        <v>1328</v>
      </c>
      <c r="AJ901" s="328" t="s">
        <v>1328</v>
      </c>
      <c r="AK901" s="328" t="s">
        <v>1328</v>
      </c>
      <c r="AL901" s="22" t="s">
        <v>1329</v>
      </c>
      <c r="AM901" s="22" t="s">
        <v>1330</v>
      </c>
      <c r="AN901" s="22" t="s">
        <v>1317</v>
      </c>
      <c r="AO901" s="22" t="s">
        <v>1318</v>
      </c>
      <c r="AP901" s="22" t="s">
        <v>1318</v>
      </c>
      <c r="AQ901" s="22" t="s">
        <v>1318</v>
      </c>
      <c r="AR901" s="22" t="s">
        <v>1317</v>
      </c>
      <c r="AS901" s="22" t="s">
        <v>1318</v>
      </c>
      <c r="AT901" s="22" t="s">
        <v>1317</v>
      </c>
      <c r="AU901" s="22" t="s">
        <v>1318</v>
      </c>
      <c r="AV901" s="22" t="s">
        <v>1317</v>
      </c>
      <c r="AW901" s="22" t="s">
        <v>1318</v>
      </c>
      <c r="AX901" s="22" t="s">
        <v>1317</v>
      </c>
      <c r="AY901" s="22" t="s">
        <v>1318</v>
      </c>
      <c r="AZ901" s="22" t="s">
        <v>1309</v>
      </c>
      <c r="BA901" s="22" t="s">
        <v>1309</v>
      </c>
      <c r="BB901" s="22" t="s">
        <v>1309</v>
      </c>
      <c r="BC901" s="22" t="s">
        <v>1309</v>
      </c>
      <c r="BD901" s="22" t="s">
        <v>1317</v>
      </c>
      <c r="BE901" s="22" t="s">
        <v>1318</v>
      </c>
      <c r="BF901" s="22" t="s">
        <v>1317</v>
      </c>
      <c r="BG901" s="22" t="s">
        <v>1318</v>
      </c>
      <c r="BH901" s="22" t="s">
        <v>1317</v>
      </c>
      <c r="BI901" s="22" t="s">
        <v>1318</v>
      </c>
      <c r="BJ901" s="22" t="s">
        <v>1317</v>
      </c>
      <c r="BK901" s="22" t="s">
        <v>1318</v>
      </c>
      <c r="BL901" s="22" t="s">
        <v>1317</v>
      </c>
      <c r="BM901" s="22" t="s">
        <v>1318</v>
      </c>
      <c r="BN901" s="22" t="s">
        <v>1309</v>
      </c>
      <c r="BO901" s="22" t="s">
        <v>1309</v>
      </c>
      <c r="BP901" s="22" t="s">
        <v>1315</v>
      </c>
      <c r="BQ901" s="22" t="s">
        <v>1315</v>
      </c>
      <c r="BR901" s="22" t="s">
        <v>1309</v>
      </c>
      <c r="BS901" s="22" t="s">
        <v>1309</v>
      </c>
      <c r="BT901" s="22" t="s">
        <v>1309</v>
      </c>
      <c r="BU901" s="22" t="s">
        <v>1309</v>
      </c>
      <c r="BV901" s="22" t="s">
        <v>1309</v>
      </c>
      <c r="BW901" s="22" t="s">
        <v>1309</v>
      </c>
      <c r="BX901" s="20">
        <v>0</v>
      </c>
      <c r="BY901" s="20">
        <v>0</v>
      </c>
      <c r="BZ901" s="20">
        <v>11</v>
      </c>
      <c r="CA901" s="20">
        <v>0</v>
      </c>
      <c r="CB901" s="20">
        <v>0</v>
      </c>
      <c r="CC901" s="20">
        <v>133</v>
      </c>
      <c r="CD901" s="22" t="s">
        <v>1317</v>
      </c>
      <c r="CE901" s="22" t="s">
        <v>1318</v>
      </c>
      <c r="CF901" s="22" t="s">
        <v>1317</v>
      </c>
      <c r="CG901" s="22" t="s">
        <v>1318</v>
      </c>
      <c r="CH901" s="22" t="s">
        <v>1317</v>
      </c>
      <c r="CI901" s="22" t="s">
        <v>1318</v>
      </c>
      <c r="CJ901" s="149" t="s">
        <v>3248</v>
      </c>
      <c r="CK901" s="241" t="s">
        <v>1809</v>
      </c>
    </row>
    <row r="902" spans="1:89" ht="15" customHeight="1" x14ac:dyDescent="0.35">
      <c r="A902" s="17"/>
      <c r="B902" s="313">
        <v>17020</v>
      </c>
      <c r="C902" s="8" t="s">
        <v>93</v>
      </c>
      <c r="D902" s="18">
        <v>12</v>
      </c>
      <c r="E902" s="131"/>
      <c r="F902" s="22"/>
      <c r="G902" s="132"/>
      <c r="H902" s="22"/>
      <c r="I902" s="22"/>
      <c r="J902" s="22"/>
      <c r="K902" s="22"/>
      <c r="L902" s="22"/>
      <c r="M902" s="133"/>
      <c r="N902" s="22"/>
      <c r="O902" s="22"/>
      <c r="P902" s="22"/>
      <c r="Q902" s="20"/>
      <c r="R902" s="20"/>
      <c r="S902" s="20"/>
      <c r="T902" s="20"/>
      <c r="U902" s="20"/>
      <c r="V902" s="20"/>
      <c r="W902" s="20"/>
      <c r="X902" s="20"/>
      <c r="Y902" s="20"/>
      <c r="Z902" s="20"/>
      <c r="AA902" s="20"/>
      <c r="AB902" s="22"/>
      <c r="AC902" s="20"/>
      <c r="AD902" s="20"/>
      <c r="AE902" s="20"/>
      <c r="AF902" s="20" t="s">
        <v>1124</v>
      </c>
      <c r="AG902" s="20" t="s">
        <v>1124</v>
      </c>
      <c r="AH902" s="20" t="s">
        <v>1124</v>
      </c>
      <c r="AI902" s="328"/>
      <c r="AJ902" s="328"/>
      <c r="AK902" s="328"/>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0"/>
      <c r="BY902" s="20"/>
      <c r="BZ902" s="20"/>
      <c r="CA902" s="20"/>
      <c r="CB902" s="20"/>
      <c r="CC902" s="20"/>
      <c r="CD902" s="22"/>
      <c r="CE902" s="22"/>
      <c r="CF902" s="22"/>
      <c r="CG902" s="22"/>
      <c r="CH902" s="22"/>
      <c r="CI902" s="22"/>
      <c r="CJ902" s="149"/>
      <c r="CK902" s="241"/>
    </row>
    <row r="903" spans="1:89" ht="15" customHeight="1" x14ac:dyDescent="0.35">
      <c r="A903" s="17"/>
      <c r="B903" s="313">
        <v>54125</v>
      </c>
      <c r="C903" s="8" t="s">
        <v>558</v>
      </c>
      <c r="D903" s="18">
        <v>16</v>
      </c>
      <c r="E903" s="131"/>
      <c r="F903" s="22"/>
      <c r="G903" s="132"/>
      <c r="H903" s="22"/>
      <c r="I903" s="22"/>
      <c r="J903" s="22"/>
      <c r="K903" s="22"/>
      <c r="L903" s="22"/>
      <c r="M903" s="133"/>
      <c r="N903" s="22"/>
      <c r="O903" s="22"/>
      <c r="P903" s="22"/>
      <c r="Q903" s="20"/>
      <c r="R903" s="20"/>
      <c r="S903" s="20"/>
      <c r="T903" s="20"/>
      <c r="U903" s="20"/>
      <c r="V903" s="20"/>
      <c r="W903" s="20"/>
      <c r="X903" s="20"/>
      <c r="Y903" s="20"/>
      <c r="Z903" s="20"/>
      <c r="AA903" s="20"/>
      <c r="AB903" s="22"/>
      <c r="AC903" s="20"/>
      <c r="AD903" s="20"/>
      <c r="AE903" s="20"/>
      <c r="AF903" s="20" t="s">
        <v>1124</v>
      </c>
      <c r="AG903" s="20" t="s">
        <v>1124</v>
      </c>
      <c r="AH903" s="20" t="s">
        <v>1124</v>
      </c>
      <c r="AI903" s="328"/>
      <c r="AJ903" s="328"/>
      <c r="AK903" s="328"/>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0"/>
      <c r="BY903" s="20"/>
      <c r="BZ903" s="20"/>
      <c r="CA903" s="20"/>
      <c r="CB903" s="20"/>
      <c r="CC903" s="20"/>
      <c r="CD903" s="22"/>
      <c r="CE903" s="22"/>
      <c r="CF903" s="22"/>
      <c r="CG903" s="22"/>
      <c r="CH903" s="22"/>
      <c r="CI903" s="22"/>
      <c r="CJ903" s="149"/>
      <c r="CK903" s="241"/>
    </row>
    <row r="904" spans="1:89" ht="15" customHeight="1" x14ac:dyDescent="0.35">
      <c r="A904" s="17"/>
      <c r="B904" s="313">
        <v>10025</v>
      </c>
      <c r="C904" s="8" t="s">
        <v>11</v>
      </c>
      <c r="D904" s="18">
        <v>1</v>
      </c>
      <c r="E904" s="131"/>
      <c r="F904" s="22"/>
      <c r="G904" s="132"/>
      <c r="H904" s="22"/>
      <c r="I904" s="22"/>
      <c r="J904" s="22"/>
      <c r="K904" s="22"/>
      <c r="L904" s="22"/>
      <c r="M904" s="133"/>
      <c r="N904" s="22"/>
      <c r="O904" s="22"/>
      <c r="P904" s="22"/>
      <c r="Q904" s="20"/>
      <c r="R904" s="20"/>
      <c r="S904" s="20"/>
      <c r="T904" s="20"/>
      <c r="U904" s="20"/>
      <c r="V904" s="20"/>
      <c r="W904" s="20"/>
      <c r="X904" s="20"/>
      <c r="Y904" s="20"/>
      <c r="Z904" s="20"/>
      <c r="AA904" s="20"/>
      <c r="AB904" s="22"/>
      <c r="AC904" s="20"/>
      <c r="AD904" s="20"/>
      <c r="AE904" s="20"/>
      <c r="AF904" s="20" t="s">
        <v>1124</v>
      </c>
      <c r="AG904" s="20" t="s">
        <v>1124</v>
      </c>
      <c r="AH904" s="20" t="s">
        <v>1124</v>
      </c>
      <c r="AI904" s="328"/>
      <c r="AJ904" s="328"/>
      <c r="AK904" s="328"/>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0"/>
      <c r="BY904" s="20"/>
      <c r="BZ904" s="20"/>
      <c r="CA904" s="20"/>
      <c r="CB904" s="20"/>
      <c r="CC904" s="20"/>
      <c r="CD904" s="22"/>
      <c r="CE904" s="22"/>
      <c r="CF904" s="22"/>
      <c r="CG904" s="22"/>
      <c r="CH904" s="22"/>
      <c r="CI904" s="22"/>
      <c r="CJ904" s="149"/>
      <c r="CK904" s="241"/>
    </row>
    <row r="905" spans="1:89" ht="15" customHeight="1" x14ac:dyDescent="0.35">
      <c r="A905" s="17"/>
      <c r="B905" s="313">
        <v>57050</v>
      </c>
      <c r="C905" s="8" t="s">
        <v>590</v>
      </c>
      <c r="D905" s="18">
        <v>16</v>
      </c>
      <c r="E905" s="131" t="s">
        <v>1309</v>
      </c>
      <c r="F905" s="22" t="s">
        <v>1309</v>
      </c>
      <c r="G905" s="132" t="s">
        <v>1309</v>
      </c>
      <c r="H905" s="22" t="s">
        <v>1311</v>
      </c>
      <c r="I905" s="22" t="s">
        <v>1327</v>
      </c>
      <c r="J905" s="22" t="s">
        <v>1327</v>
      </c>
      <c r="K905" s="22" t="s">
        <v>1314</v>
      </c>
      <c r="L905" s="22" t="s">
        <v>1311</v>
      </c>
      <c r="M905" s="133" t="s">
        <v>1311</v>
      </c>
      <c r="N905" s="22" t="s">
        <v>1311</v>
      </c>
      <c r="O905" s="22" t="s">
        <v>1309</v>
      </c>
      <c r="P905" s="22" t="s">
        <v>1309</v>
      </c>
      <c r="Q905" s="20">
        <v>0</v>
      </c>
      <c r="R905" s="20">
        <v>0</v>
      </c>
      <c r="S905" s="20">
        <v>0</v>
      </c>
      <c r="T905" s="20">
        <v>0</v>
      </c>
      <c r="U905" s="20">
        <v>0</v>
      </c>
      <c r="V905" s="20">
        <v>0</v>
      </c>
      <c r="W905" s="20">
        <v>0</v>
      </c>
      <c r="X905" s="20">
        <v>0</v>
      </c>
      <c r="Y905" s="20">
        <v>0</v>
      </c>
      <c r="Z905" s="20">
        <v>0</v>
      </c>
      <c r="AA905" s="20" t="s">
        <v>1317</v>
      </c>
      <c r="AB905" s="22" t="s">
        <v>1318</v>
      </c>
      <c r="AC905" s="20">
        <v>0</v>
      </c>
      <c r="AD905" s="20">
        <v>0</v>
      </c>
      <c r="AE905" s="20">
        <v>0</v>
      </c>
      <c r="AF905" s="20">
        <v>0</v>
      </c>
      <c r="AG905" s="20">
        <v>0</v>
      </c>
      <c r="AH905" s="20">
        <v>0</v>
      </c>
      <c r="AI905" s="328" t="s">
        <v>1328</v>
      </c>
      <c r="AJ905" s="328" t="s">
        <v>1328</v>
      </c>
      <c r="AK905" s="328" t="s">
        <v>1328</v>
      </c>
      <c r="AL905" s="22" t="s">
        <v>1329</v>
      </c>
      <c r="AM905" s="22" t="s">
        <v>1330</v>
      </c>
      <c r="AN905" s="22" t="s">
        <v>1317</v>
      </c>
      <c r="AO905" s="22" t="s">
        <v>1318</v>
      </c>
      <c r="AP905" s="22" t="s">
        <v>1318</v>
      </c>
      <c r="AQ905" s="22" t="s">
        <v>1318</v>
      </c>
      <c r="AR905" s="22" t="s">
        <v>1317</v>
      </c>
      <c r="AS905" s="22" t="s">
        <v>1318</v>
      </c>
      <c r="AT905" s="22" t="s">
        <v>1317</v>
      </c>
      <c r="AU905" s="22" t="s">
        <v>1318</v>
      </c>
      <c r="AV905" s="22" t="s">
        <v>1317</v>
      </c>
      <c r="AW905" s="22" t="s">
        <v>1318</v>
      </c>
      <c r="AX905" s="22" t="s">
        <v>1317</v>
      </c>
      <c r="AY905" s="22" t="s">
        <v>1318</v>
      </c>
      <c r="AZ905" s="22" t="s">
        <v>1317</v>
      </c>
      <c r="BA905" s="22" t="s">
        <v>1318</v>
      </c>
      <c r="BB905" s="22" t="s">
        <v>1309</v>
      </c>
      <c r="BC905" s="22" t="s">
        <v>1309</v>
      </c>
      <c r="BD905" s="22" t="s">
        <v>1309</v>
      </c>
      <c r="BE905" s="22" t="s">
        <v>1309</v>
      </c>
      <c r="BF905" s="22" t="s">
        <v>1309</v>
      </c>
      <c r="BG905" s="22" t="s">
        <v>1309</v>
      </c>
      <c r="BH905" s="22" t="s">
        <v>1309</v>
      </c>
      <c r="BI905" s="22" t="s">
        <v>1309</v>
      </c>
      <c r="BJ905" s="22" t="s">
        <v>1317</v>
      </c>
      <c r="BK905" s="22" t="s">
        <v>1318</v>
      </c>
      <c r="BL905" s="22" t="s">
        <v>1317</v>
      </c>
      <c r="BM905" s="22" t="s">
        <v>1318</v>
      </c>
      <c r="BN905" s="22" t="s">
        <v>1317</v>
      </c>
      <c r="BO905" s="22" t="s">
        <v>1318</v>
      </c>
      <c r="BP905" s="22" t="s">
        <v>1317</v>
      </c>
      <c r="BQ905" s="22" t="s">
        <v>1318</v>
      </c>
      <c r="BR905" s="22" t="s">
        <v>1317</v>
      </c>
      <c r="BS905" s="22" t="s">
        <v>1318</v>
      </c>
      <c r="BT905" s="22" t="s">
        <v>1317</v>
      </c>
      <c r="BU905" s="22" t="s">
        <v>1318</v>
      </c>
      <c r="BV905" s="22" t="s">
        <v>1317</v>
      </c>
      <c r="BW905" s="22" t="s">
        <v>1318</v>
      </c>
      <c r="BX905" s="20">
        <v>62</v>
      </c>
      <c r="BY905" s="20">
        <v>0</v>
      </c>
      <c r="BZ905" s="20">
        <v>0</v>
      </c>
      <c r="CA905" s="20">
        <v>863</v>
      </c>
      <c r="CB905" s="20">
        <v>0</v>
      </c>
      <c r="CC905" s="20">
        <v>0</v>
      </c>
      <c r="CD905" s="22" t="s">
        <v>1331</v>
      </c>
      <c r="CE905" s="22" t="s">
        <v>1331</v>
      </c>
      <c r="CF905" s="22" t="s">
        <v>1331</v>
      </c>
      <c r="CG905" s="22" t="s">
        <v>1331</v>
      </c>
      <c r="CH905" s="22" t="s">
        <v>1317</v>
      </c>
      <c r="CI905" s="22" t="s">
        <v>1318</v>
      </c>
      <c r="CJ905" s="149" t="s">
        <v>1124</v>
      </c>
      <c r="CK905" s="241" t="s">
        <v>1124</v>
      </c>
    </row>
    <row r="906" spans="1:89" ht="15" customHeight="1" x14ac:dyDescent="0.35">
      <c r="A906" s="17"/>
      <c r="B906" s="313">
        <v>29045</v>
      </c>
      <c r="C906" s="8" t="s">
        <v>207</v>
      </c>
      <c r="D906" s="18">
        <v>12</v>
      </c>
      <c r="E906" s="131" t="s">
        <v>1309</v>
      </c>
      <c r="F906" s="22" t="s">
        <v>1309</v>
      </c>
      <c r="G906" s="132" t="s">
        <v>1309</v>
      </c>
      <c r="H906" s="22" t="s">
        <v>1311</v>
      </c>
      <c r="I906" s="22" t="s">
        <v>1327</v>
      </c>
      <c r="J906" s="22" t="s">
        <v>1327</v>
      </c>
      <c r="K906" s="22" t="s">
        <v>1314</v>
      </c>
      <c r="L906" s="22" t="s">
        <v>1311</v>
      </c>
      <c r="M906" s="133" t="s">
        <v>1311</v>
      </c>
      <c r="N906" s="22" t="s">
        <v>1311</v>
      </c>
      <c r="O906" s="22" t="s">
        <v>1309</v>
      </c>
      <c r="P906" s="22" t="s">
        <v>1309</v>
      </c>
      <c r="Q906" s="20">
        <v>0</v>
      </c>
      <c r="R906" s="20">
        <v>0</v>
      </c>
      <c r="S906" s="20">
        <v>0</v>
      </c>
      <c r="T906" s="20">
        <v>0</v>
      </c>
      <c r="U906" s="20">
        <v>0</v>
      </c>
      <c r="V906" s="20">
        <v>5.5579999999999998</v>
      </c>
      <c r="W906" s="20">
        <v>0</v>
      </c>
      <c r="X906" s="20">
        <v>0</v>
      </c>
      <c r="Y906" s="20">
        <v>0</v>
      </c>
      <c r="Z906" s="20">
        <v>0</v>
      </c>
      <c r="AA906" s="20" t="s">
        <v>1317</v>
      </c>
      <c r="AB906" s="22" t="s">
        <v>1318</v>
      </c>
      <c r="AC906" s="20">
        <v>7</v>
      </c>
      <c r="AD906" s="20">
        <v>0</v>
      </c>
      <c r="AE906" s="20">
        <v>0</v>
      </c>
      <c r="AF906" s="20">
        <v>1</v>
      </c>
      <c r="AG906" s="20">
        <v>0</v>
      </c>
      <c r="AH906" s="20">
        <v>0</v>
      </c>
      <c r="AI906" s="328">
        <v>31.487562412846923</v>
      </c>
      <c r="AJ906" s="328" t="s">
        <v>1328</v>
      </c>
      <c r="AK906" s="328" t="s">
        <v>1328</v>
      </c>
      <c r="AL906" s="22" t="s">
        <v>1329</v>
      </c>
      <c r="AM906" s="22" t="s">
        <v>1330</v>
      </c>
      <c r="AN906" s="22" t="s">
        <v>1317</v>
      </c>
      <c r="AO906" s="22" t="s">
        <v>1318</v>
      </c>
      <c r="AP906" s="22" t="s">
        <v>1318</v>
      </c>
      <c r="AQ906" s="22" t="s">
        <v>1318</v>
      </c>
      <c r="AR906" s="22" t="s">
        <v>1317</v>
      </c>
      <c r="AS906" s="22" t="s">
        <v>1318</v>
      </c>
      <c r="AT906" s="22" t="s">
        <v>1309</v>
      </c>
      <c r="AU906" s="22" t="s">
        <v>1309</v>
      </c>
      <c r="AV906" s="22" t="s">
        <v>1317</v>
      </c>
      <c r="AW906" s="22" t="s">
        <v>1318</v>
      </c>
      <c r="AX906" s="22" t="s">
        <v>1317</v>
      </c>
      <c r="AY906" s="22" t="s">
        <v>1318</v>
      </c>
      <c r="AZ906" s="22" t="s">
        <v>1317</v>
      </c>
      <c r="BA906" s="22" t="s">
        <v>1309</v>
      </c>
      <c r="BB906" s="22" t="s">
        <v>1309</v>
      </c>
      <c r="BC906" s="22" t="s">
        <v>1309</v>
      </c>
      <c r="BD906" s="22" t="s">
        <v>1317</v>
      </c>
      <c r="BE906" s="22" t="s">
        <v>1318</v>
      </c>
      <c r="BF906" s="22" t="s">
        <v>1309</v>
      </c>
      <c r="BG906" s="22" t="s">
        <v>1309</v>
      </c>
      <c r="BH906" s="22" t="s">
        <v>1317</v>
      </c>
      <c r="BI906" s="22" t="s">
        <v>1318</v>
      </c>
      <c r="BJ906" s="22" t="s">
        <v>1317</v>
      </c>
      <c r="BK906" s="22" t="s">
        <v>1318</v>
      </c>
      <c r="BL906" s="22" t="s">
        <v>1317</v>
      </c>
      <c r="BM906" s="22" t="s">
        <v>1318</v>
      </c>
      <c r="BN906" s="22" t="s">
        <v>1309</v>
      </c>
      <c r="BO906" s="22" t="s">
        <v>1309</v>
      </c>
      <c r="BP906" s="22" t="s">
        <v>1309</v>
      </c>
      <c r="BQ906" s="22" t="s">
        <v>1309</v>
      </c>
      <c r="BR906" s="22" t="s">
        <v>1317</v>
      </c>
      <c r="BS906" s="22" t="s">
        <v>1318</v>
      </c>
      <c r="BT906" s="22" t="s">
        <v>1309</v>
      </c>
      <c r="BU906" s="22" t="s">
        <v>1309</v>
      </c>
      <c r="BV906" s="22" t="s">
        <v>1309</v>
      </c>
      <c r="BW906" s="22" t="s">
        <v>1309</v>
      </c>
      <c r="BX906" s="20">
        <v>48</v>
      </c>
      <c r="BY906" s="20">
        <v>0</v>
      </c>
      <c r="BZ906" s="20">
        <v>0</v>
      </c>
      <c r="CA906" s="20">
        <v>918</v>
      </c>
      <c r="CB906" s="20">
        <v>0</v>
      </c>
      <c r="CC906" s="20">
        <v>0</v>
      </c>
      <c r="CD906" s="22" t="s">
        <v>1317</v>
      </c>
      <c r="CE906" s="22" t="s">
        <v>1318</v>
      </c>
      <c r="CF906" s="22" t="s">
        <v>1317</v>
      </c>
      <c r="CG906" s="22" t="s">
        <v>1318</v>
      </c>
      <c r="CH906" s="22" t="s">
        <v>1317</v>
      </c>
      <c r="CI906" s="22" t="s">
        <v>1318</v>
      </c>
      <c r="CJ906" s="149" t="s">
        <v>1124</v>
      </c>
      <c r="CK906" s="241" t="s">
        <v>1124</v>
      </c>
    </row>
    <row r="907" spans="1:89" ht="15" customHeight="1" x14ac:dyDescent="0.35">
      <c r="A907" s="17"/>
      <c r="B907" s="313">
        <v>55065</v>
      </c>
      <c r="C907" s="8" t="s">
        <v>566</v>
      </c>
      <c r="D907" s="18">
        <v>16</v>
      </c>
      <c r="E907" s="131"/>
      <c r="F907" s="22"/>
      <c r="G907" s="132"/>
      <c r="H907" s="22"/>
      <c r="I907" s="22"/>
      <c r="J907" s="22"/>
      <c r="K907" s="22"/>
      <c r="L907" s="22"/>
      <c r="M907" s="133"/>
      <c r="N907" s="22"/>
      <c r="O907" s="22"/>
      <c r="P907" s="22"/>
      <c r="Q907" s="20"/>
      <c r="R907" s="20"/>
      <c r="S907" s="20"/>
      <c r="T907" s="20"/>
      <c r="U907" s="20"/>
      <c r="V907" s="20"/>
      <c r="W907" s="20"/>
      <c r="X907" s="20"/>
      <c r="Y907" s="20"/>
      <c r="Z907" s="20"/>
      <c r="AA907" s="20"/>
      <c r="AB907" s="22"/>
      <c r="AC907" s="20"/>
      <c r="AD907" s="20"/>
      <c r="AE907" s="20"/>
      <c r="AF907" s="20" t="s">
        <v>1124</v>
      </c>
      <c r="AG907" s="20" t="s">
        <v>1124</v>
      </c>
      <c r="AH907" s="20" t="s">
        <v>1124</v>
      </c>
      <c r="AI907" s="328"/>
      <c r="AJ907" s="328"/>
      <c r="AK907" s="328"/>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0"/>
      <c r="BY907" s="20"/>
      <c r="BZ907" s="20"/>
      <c r="CA907" s="20"/>
      <c r="CB907" s="20"/>
      <c r="CC907" s="20"/>
      <c r="CD907" s="22"/>
      <c r="CE907" s="22"/>
      <c r="CF907" s="22"/>
      <c r="CG907" s="22"/>
      <c r="CH907" s="22"/>
      <c r="CI907" s="22"/>
      <c r="CJ907" s="149"/>
      <c r="CK907" s="241"/>
    </row>
    <row r="908" spans="1:89" ht="15" customHeight="1" x14ac:dyDescent="0.35">
      <c r="A908" s="17"/>
      <c r="B908" s="313">
        <v>67005</v>
      </c>
      <c r="C908" s="8" t="s">
        <v>662</v>
      </c>
      <c r="D908" s="18">
        <v>16</v>
      </c>
      <c r="E908" s="131"/>
      <c r="F908" s="22"/>
      <c r="G908" s="132"/>
      <c r="H908" s="22"/>
      <c r="I908" s="22"/>
      <c r="J908" s="22"/>
      <c r="K908" s="22"/>
      <c r="L908" s="22"/>
      <c r="M908" s="133"/>
      <c r="N908" s="22"/>
      <c r="O908" s="22"/>
      <c r="P908" s="22"/>
      <c r="Q908" s="20"/>
      <c r="R908" s="20"/>
      <c r="S908" s="20"/>
      <c r="T908" s="20"/>
      <c r="U908" s="20"/>
      <c r="V908" s="20"/>
      <c r="W908" s="20"/>
      <c r="X908" s="20"/>
      <c r="Y908" s="20"/>
      <c r="Z908" s="20"/>
      <c r="AA908" s="20"/>
      <c r="AB908" s="22"/>
      <c r="AC908" s="20"/>
      <c r="AD908" s="20"/>
      <c r="AE908" s="20"/>
      <c r="AF908" s="20" t="s">
        <v>1124</v>
      </c>
      <c r="AG908" s="20" t="s">
        <v>1124</v>
      </c>
      <c r="AH908" s="20" t="s">
        <v>1124</v>
      </c>
      <c r="AI908" s="328"/>
      <c r="AJ908" s="328"/>
      <c r="AK908" s="328"/>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0"/>
      <c r="BY908" s="20"/>
      <c r="BZ908" s="20"/>
      <c r="CA908" s="20"/>
      <c r="CB908" s="20"/>
      <c r="CC908" s="20"/>
      <c r="CD908" s="22"/>
      <c r="CE908" s="22"/>
      <c r="CF908" s="22"/>
      <c r="CG908" s="22"/>
      <c r="CH908" s="22"/>
      <c r="CI908" s="22"/>
      <c r="CJ908" s="149"/>
      <c r="CK908" s="241"/>
    </row>
    <row r="909" spans="1:89" ht="15" customHeight="1" x14ac:dyDescent="0.35">
      <c r="A909" s="17"/>
      <c r="B909" s="313">
        <v>57045</v>
      </c>
      <c r="C909" s="8" t="s">
        <v>589</v>
      </c>
      <c r="D909" s="18">
        <v>16</v>
      </c>
      <c r="E909" s="131" t="s">
        <v>1309</v>
      </c>
      <c r="F909" s="22" t="s">
        <v>1309</v>
      </c>
      <c r="G909" s="132" t="s">
        <v>1309</v>
      </c>
      <c r="H909" s="22" t="s">
        <v>1311</v>
      </c>
      <c r="I909" s="22" t="s">
        <v>1327</v>
      </c>
      <c r="J909" s="22" t="s">
        <v>1327</v>
      </c>
      <c r="K909" s="22" t="s">
        <v>1314</v>
      </c>
      <c r="L909" s="22" t="s">
        <v>1311</v>
      </c>
      <c r="M909" s="133" t="s">
        <v>1311</v>
      </c>
      <c r="N909" s="22" t="s">
        <v>1311</v>
      </c>
      <c r="O909" s="22" t="s">
        <v>1309</v>
      </c>
      <c r="P909" s="22" t="s">
        <v>1309</v>
      </c>
      <c r="Q909" s="20">
        <v>0</v>
      </c>
      <c r="R909" s="20">
        <v>0</v>
      </c>
      <c r="S909" s="20">
        <v>0</v>
      </c>
      <c r="T909" s="20">
        <v>0</v>
      </c>
      <c r="U909" s="20">
        <v>0</v>
      </c>
      <c r="V909" s="20">
        <v>0</v>
      </c>
      <c r="W909" s="20">
        <v>0</v>
      </c>
      <c r="X909" s="20">
        <v>0</v>
      </c>
      <c r="Y909" s="20">
        <v>0</v>
      </c>
      <c r="Z909" s="20">
        <v>0</v>
      </c>
      <c r="AA909" s="20" t="s">
        <v>1317</v>
      </c>
      <c r="AB909" s="22" t="s">
        <v>1318</v>
      </c>
      <c r="AC909" s="20">
        <v>0</v>
      </c>
      <c r="AD909" s="20">
        <v>0</v>
      </c>
      <c r="AE909" s="20">
        <v>0</v>
      </c>
      <c r="AF909" s="20">
        <v>0</v>
      </c>
      <c r="AG909" s="20">
        <v>0</v>
      </c>
      <c r="AH909" s="20">
        <v>0</v>
      </c>
      <c r="AI909" s="328" t="s">
        <v>1328</v>
      </c>
      <c r="AJ909" s="328" t="s">
        <v>1328</v>
      </c>
      <c r="AK909" s="328" t="s">
        <v>1328</v>
      </c>
      <c r="AL909" s="22" t="s">
        <v>1329</v>
      </c>
      <c r="AM909" s="22" t="s">
        <v>1330</v>
      </c>
      <c r="AN909" s="22" t="s">
        <v>1317</v>
      </c>
      <c r="AO909" s="22" t="s">
        <v>1318</v>
      </c>
      <c r="AP909" s="22" t="s">
        <v>1318</v>
      </c>
      <c r="AQ909" s="22" t="s">
        <v>1318</v>
      </c>
      <c r="AR909" s="22" t="s">
        <v>1317</v>
      </c>
      <c r="AS909" s="22" t="s">
        <v>1318</v>
      </c>
      <c r="AT909" s="22" t="s">
        <v>1317</v>
      </c>
      <c r="AU909" s="22" t="s">
        <v>1318</v>
      </c>
      <c r="AV909" s="22" t="s">
        <v>1317</v>
      </c>
      <c r="AW909" s="22" t="s">
        <v>1318</v>
      </c>
      <c r="AX909" s="22" t="s">
        <v>1317</v>
      </c>
      <c r="AY909" s="22" t="s">
        <v>1318</v>
      </c>
      <c r="AZ909" s="22" t="s">
        <v>1317</v>
      </c>
      <c r="BA909" s="22" t="s">
        <v>1318</v>
      </c>
      <c r="BB909" s="22" t="s">
        <v>1309</v>
      </c>
      <c r="BC909" s="22" t="s">
        <v>1309</v>
      </c>
      <c r="BD909" s="22" t="s">
        <v>1309</v>
      </c>
      <c r="BE909" s="22" t="s">
        <v>1309</v>
      </c>
      <c r="BF909" s="22" t="s">
        <v>1309</v>
      </c>
      <c r="BG909" s="22" t="s">
        <v>1309</v>
      </c>
      <c r="BH909" s="22" t="s">
        <v>1309</v>
      </c>
      <c r="BI909" s="22" t="s">
        <v>1309</v>
      </c>
      <c r="BJ909" s="22" t="s">
        <v>1317</v>
      </c>
      <c r="BK909" s="22" t="s">
        <v>1318</v>
      </c>
      <c r="BL909" s="22" t="s">
        <v>1317</v>
      </c>
      <c r="BM909" s="22" t="s">
        <v>1318</v>
      </c>
      <c r="BN909" s="22" t="s">
        <v>1317</v>
      </c>
      <c r="BO909" s="22" t="s">
        <v>1318</v>
      </c>
      <c r="BP909" s="22" t="s">
        <v>1317</v>
      </c>
      <c r="BQ909" s="22" t="s">
        <v>1318</v>
      </c>
      <c r="BR909" s="22" t="s">
        <v>1317</v>
      </c>
      <c r="BS909" s="22" t="s">
        <v>1318</v>
      </c>
      <c r="BT909" s="22" t="s">
        <v>1317</v>
      </c>
      <c r="BU909" s="22" t="s">
        <v>1318</v>
      </c>
      <c r="BV909" s="22" t="s">
        <v>1317</v>
      </c>
      <c r="BW909" s="22" t="s">
        <v>1318</v>
      </c>
      <c r="BX909" s="20">
        <v>200</v>
      </c>
      <c r="BY909" s="20">
        <v>0</v>
      </c>
      <c r="BZ909" s="20">
        <v>0</v>
      </c>
      <c r="CA909" s="20">
        <v>1097</v>
      </c>
      <c r="CB909" s="20">
        <v>0</v>
      </c>
      <c r="CC909" s="20">
        <v>0</v>
      </c>
      <c r="CD909" s="22" t="s">
        <v>1331</v>
      </c>
      <c r="CE909" s="22" t="s">
        <v>1331</v>
      </c>
      <c r="CF909" s="22" t="s">
        <v>1331</v>
      </c>
      <c r="CG909" s="22" t="s">
        <v>1331</v>
      </c>
      <c r="CH909" s="22" t="s">
        <v>1317</v>
      </c>
      <c r="CI909" s="22" t="s">
        <v>1318</v>
      </c>
      <c r="CJ909" s="149" t="s">
        <v>1124</v>
      </c>
      <c r="CK909" s="241" t="s">
        <v>1124</v>
      </c>
    </row>
    <row r="910" spans="1:89" ht="15" customHeight="1" x14ac:dyDescent="0.35">
      <c r="A910" s="17"/>
      <c r="B910" s="313">
        <v>11050</v>
      </c>
      <c r="C910" s="8" t="s">
        <v>26</v>
      </c>
      <c r="D910" s="18">
        <v>1</v>
      </c>
      <c r="E910" s="131" t="s">
        <v>1309</v>
      </c>
      <c r="F910" s="22" t="s">
        <v>1309</v>
      </c>
      <c r="G910" s="132" t="s">
        <v>1309</v>
      </c>
      <c r="H910" s="22" t="s">
        <v>1311</v>
      </c>
      <c r="I910" s="22" t="s">
        <v>1327</v>
      </c>
      <c r="J910" s="22" t="s">
        <v>1327</v>
      </c>
      <c r="K910" s="22" t="s">
        <v>1314</v>
      </c>
      <c r="L910" s="22" t="s">
        <v>1311</v>
      </c>
      <c r="M910" s="133" t="s">
        <v>1311</v>
      </c>
      <c r="N910" s="22" t="s">
        <v>1311</v>
      </c>
      <c r="O910" s="22" t="s">
        <v>1314</v>
      </c>
      <c r="P910" s="22" t="s">
        <v>1318</v>
      </c>
      <c r="Q910" s="20">
        <v>0</v>
      </c>
      <c r="R910" s="20">
        <v>0</v>
      </c>
      <c r="S910" s="20">
        <v>0</v>
      </c>
      <c r="T910" s="20">
        <v>3.99</v>
      </c>
      <c r="U910" s="20">
        <v>0</v>
      </c>
      <c r="V910" s="20">
        <v>0</v>
      </c>
      <c r="W910" s="20">
        <v>0</v>
      </c>
      <c r="X910" s="20">
        <v>0</v>
      </c>
      <c r="Y910" s="20">
        <v>0</v>
      </c>
      <c r="Z910" s="20">
        <v>0</v>
      </c>
      <c r="AA910" s="20" t="s">
        <v>1317</v>
      </c>
      <c r="AB910" s="22" t="s">
        <v>1318</v>
      </c>
      <c r="AC910" s="20">
        <v>0</v>
      </c>
      <c r="AD910" s="20">
        <v>0</v>
      </c>
      <c r="AE910" s="20">
        <v>0</v>
      </c>
      <c r="AF910" s="20">
        <v>0</v>
      </c>
      <c r="AG910" s="20">
        <v>0</v>
      </c>
      <c r="AH910" s="20">
        <v>0</v>
      </c>
      <c r="AI910" s="328" t="s">
        <v>1328</v>
      </c>
      <c r="AJ910" s="328" t="s">
        <v>1328</v>
      </c>
      <c r="AK910" s="328" t="s">
        <v>1328</v>
      </c>
      <c r="AL910" s="22" t="s">
        <v>1329</v>
      </c>
      <c r="AM910" s="22" t="s">
        <v>1330</v>
      </c>
      <c r="AN910" s="22" t="s">
        <v>1317</v>
      </c>
      <c r="AO910" s="22" t="s">
        <v>1318</v>
      </c>
      <c r="AP910" s="22" t="s">
        <v>1318</v>
      </c>
      <c r="AQ910" s="22" t="s">
        <v>1318</v>
      </c>
      <c r="AR910" s="22" t="s">
        <v>1317</v>
      </c>
      <c r="AS910" s="22" t="s">
        <v>1318</v>
      </c>
      <c r="AT910" s="22" t="s">
        <v>1309</v>
      </c>
      <c r="AU910" s="22" t="s">
        <v>1309</v>
      </c>
      <c r="AV910" s="22" t="s">
        <v>1317</v>
      </c>
      <c r="AW910" s="22" t="s">
        <v>1318</v>
      </c>
      <c r="AX910" s="22" t="s">
        <v>1317</v>
      </c>
      <c r="AY910" s="22" t="s">
        <v>1318</v>
      </c>
      <c r="AZ910" s="22" t="s">
        <v>1317</v>
      </c>
      <c r="BA910" s="22" t="s">
        <v>1309</v>
      </c>
      <c r="BB910" s="22" t="s">
        <v>1309</v>
      </c>
      <c r="BC910" s="22" t="s">
        <v>1309</v>
      </c>
      <c r="BD910" s="22" t="s">
        <v>1317</v>
      </c>
      <c r="BE910" s="22" t="s">
        <v>1318</v>
      </c>
      <c r="BF910" s="22" t="s">
        <v>1317</v>
      </c>
      <c r="BG910" s="22" t="s">
        <v>1318</v>
      </c>
      <c r="BH910" s="22" t="s">
        <v>1309</v>
      </c>
      <c r="BI910" s="22" t="s">
        <v>1309</v>
      </c>
      <c r="BJ910" s="22" t="s">
        <v>1317</v>
      </c>
      <c r="BK910" s="22" t="s">
        <v>1318</v>
      </c>
      <c r="BL910" s="22" t="s">
        <v>1309</v>
      </c>
      <c r="BM910" s="22" t="s">
        <v>1309</v>
      </c>
      <c r="BN910" s="22" t="s">
        <v>1309</v>
      </c>
      <c r="BO910" s="22" t="s">
        <v>1309</v>
      </c>
      <c r="BP910" s="22" t="s">
        <v>1315</v>
      </c>
      <c r="BQ910" s="22" t="s">
        <v>1315</v>
      </c>
      <c r="BR910" s="22" t="s">
        <v>1309</v>
      </c>
      <c r="BS910" s="22" t="s">
        <v>1309</v>
      </c>
      <c r="BT910" s="22" t="s">
        <v>1317</v>
      </c>
      <c r="BU910" s="22" t="s">
        <v>1318</v>
      </c>
      <c r="BV910" s="22" t="s">
        <v>1317</v>
      </c>
      <c r="BW910" s="22" t="s">
        <v>1311</v>
      </c>
      <c r="BX910" s="20">
        <v>0</v>
      </c>
      <c r="BY910" s="20">
        <v>0</v>
      </c>
      <c r="BZ910" s="20">
        <v>16</v>
      </c>
      <c r="CA910" s="20">
        <v>0</v>
      </c>
      <c r="CB910" s="20">
        <v>0</v>
      </c>
      <c r="CC910" s="20">
        <v>151</v>
      </c>
      <c r="CD910" s="22" t="s">
        <v>1317</v>
      </c>
      <c r="CE910" s="22" t="s">
        <v>1318</v>
      </c>
      <c r="CF910" s="22" t="s">
        <v>1317</v>
      </c>
      <c r="CG910" s="22" t="s">
        <v>1318</v>
      </c>
      <c r="CH910" s="22" t="s">
        <v>1317</v>
      </c>
      <c r="CI910" s="22" t="s">
        <v>1318</v>
      </c>
      <c r="CJ910" s="149" t="s">
        <v>3256</v>
      </c>
      <c r="CK910" s="241" t="s">
        <v>3257</v>
      </c>
    </row>
    <row r="911" spans="1:89" ht="15" customHeight="1" x14ac:dyDescent="0.35">
      <c r="A911" s="17"/>
      <c r="B911" s="313">
        <v>88050</v>
      </c>
      <c r="C911" s="8" t="s">
        <v>919</v>
      </c>
      <c r="D911" s="18">
        <v>8</v>
      </c>
      <c r="E911" s="131"/>
      <c r="F911" s="22"/>
      <c r="G911" s="132"/>
      <c r="H911" s="22"/>
      <c r="I911" s="22"/>
      <c r="J911" s="22"/>
      <c r="K911" s="22"/>
      <c r="L911" s="22"/>
      <c r="M911" s="133"/>
      <c r="N911" s="22"/>
      <c r="O911" s="22"/>
      <c r="P911" s="22"/>
      <c r="Q911" s="20"/>
      <c r="R911" s="20"/>
      <c r="S911" s="20"/>
      <c r="T911" s="20"/>
      <c r="U911" s="20"/>
      <c r="V911" s="20"/>
      <c r="W911" s="20"/>
      <c r="X911" s="20"/>
      <c r="Y911" s="20"/>
      <c r="Z911" s="20"/>
      <c r="AA911" s="20"/>
      <c r="AB911" s="22"/>
      <c r="AC911" s="20"/>
      <c r="AD911" s="20"/>
      <c r="AE911" s="20"/>
      <c r="AF911" s="20" t="s">
        <v>1124</v>
      </c>
      <c r="AG911" s="20" t="s">
        <v>1124</v>
      </c>
      <c r="AH911" s="20" t="s">
        <v>1124</v>
      </c>
      <c r="AI911" s="328"/>
      <c r="AJ911" s="328"/>
      <c r="AK911" s="328"/>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0"/>
      <c r="BY911" s="20"/>
      <c r="BZ911" s="20"/>
      <c r="CA911" s="20"/>
      <c r="CB911" s="20"/>
      <c r="CC911" s="20"/>
      <c r="CD911" s="22"/>
      <c r="CE911" s="22"/>
      <c r="CF911" s="22"/>
      <c r="CG911" s="22"/>
      <c r="CH911" s="22"/>
      <c r="CI911" s="22"/>
      <c r="CJ911" s="149"/>
      <c r="CK911" s="241"/>
    </row>
    <row r="912" spans="1:89" ht="15" customHeight="1" x14ac:dyDescent="0.35">
      <c r="A912" s="17"/>
      <c r="B912" s="313">
        <v>51070</v>
      </c>
      <c r="C912" s="8" t="s">
        <v>510</v>
      </c>
      <c r="D912" s="18">
        <v>4</v>
      </c>
      <c r="E912" s="131"/>
      <c r="F912" s="22"/>
      <c r="G912" s="132"/>
      <c r="H912" s="22"/>
      <c r="I912" s="22"/>
      <c r="J912" s="22"/>
      <c r="K912" s="22"/>
      <c r="L912" s="22"/>
      <c r="M912" s="133"/>
      <c r="N912" s="22"/>
      <c r="O912" s="22"/>
      <c r="P912" s="22"/>
      <c r="Q912" s="20"/>
      <c r="R912" s="20"/>
      <c r="S912" s="20"/>
      <c r="T912" s="20"/>
      <c r="U912" s="20"/>
      <c r="V912" s="20"/>
      <c r="W912" s="20"/>
      <c r="X912" s="20"/>
      <c r="Y912" s="20"/>
      <c r="Z912" s="20"/>
      <c r="AA912" s="20"/>
      <c r="AB912" s="22"/>
      <c r="AC912" s="20"/>
      <c r="AD912" s="20"/>
      <c r="AE912" s="20"/>
      <c r="AF912" s="20" t="s">
        <v>1124</v>
      </c>
      <c r="AG912" s="20" t="s">
        <v>1124</v>
      </c>
      <c r="AH912" s="20" t="s">
        <v>1124</v>
      </c>
      <c r="AI912" s="328"/>
      <c r="AJ912" s="328"/>
      <c r="AK912" s="328"/>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0"/>
      <c r="BY912" s="20"/>
      <c r="BZ912" s="20"/>
      <c r="CA912" s="20"/>
      <c r="CB912" s="20"/>
      <c r="CC912" s="20"/>
      <c r="CD912" s="22"/>
      <c r="CE912" s="22"/>
      <c r="CF912" s="22"/>
      <c r="CG912" s="22"/>
      <c r="CH912" s="22"/>
      <c r="CI912" s="22"/>
      <c r="CJ912" s="149"/>
      <c r="CK912" s="241"/>
    </row>
    <row r="913" spans="1:89" ht="15" customHeight="1" x14ac:dyDescent="0.35">
      <c r="A913" s="17"/>
      <c r="B913" s="313">
        <v>37230</v>
      </c>
      <c r="C913" s="8" t="s">
        <v>320</v>
      </c>
      <c r="D913" s="18">
        <v>4</v>
      </c>
      <c r="E913" s="131" t="s">
        <v>1309</v>
      </c>
      <c r="F913" s="22" t="s">
        <v>1309</v>
      </c>
      <c r="G913" s="132" t="s">
        <v>1309</v>
      </c>
      <c r="H913" s="22" t="s">
        <v>1311</v>
      </c>
      <c r="I913" s="22" t="s">
        <v>1327</v>
      </c>
      <c r="J913" s="22" t="s">
        <v>1327</v>
      </c>
      <c r="K913" s="22" t="s">
        <v>1319</v>
      </c>
      <c r="L913" s="22" t="s">
        <v>1309</v>
      </c>
      <c r="M913" s="133" t="s">
        <v>1311</v>
      </c>
      <c r="N913" s="22" t="s">
        <v>1311</v>
      </c>
      <c r="O913" s="22" t="s">
        <v>1309</v>
      </c>
      <c r="P913" s="22" t="s">
        <v>1309</v>
      </c>
      <c r="Q913" s="20">
        <v>0</v>
      </c>
      <c r="R913" s="20">
        <v>0</v>
      </c>
      <c r="S913" s="20">
        <v>0</v>
      </c>
      <c r="T913" s="20">
        <v>0</v>
      </c>
      <c r="U913" s="20">
        <v>0</v>
      </c>
      <c r="V913" s="20">
        <v>0</v>
      </c>
      <c r="W913" s="20">
        <v>0</v>
      </c>
      <c r="X913" s="20">
        <v>0</v>
      </c>
      <c r="Y913" s="20">
        <v>0</v>
      </c>
      <c r="Z913" s="20">
        <v>0</v>
      </c>
      <c r="AA913" s="20" t="s">
        <v>1317</v>
      </c>
      <c r="AB913" s="22" t="s">
        <v>1318</v>
      </c>
      <c r="AC913" s="20">
        <v>3</v>
      </c>
      <c r="AD913" s="20">
        <v>0</v>
      </c>
      <c r="AE913" s="20">
        <v>2</v>
      </c>
      <c r="AF913" s="20">
        <v>1</v>
      </c>
      <c r="AG913" s="20">
        <v>0</v>
      </c>
      <c r="AH913" s="20">
        <v>1</v>
      </c>
      <c r="AI913" s="328">
        <v>4.6703510547209461</v>
      </c>
      <c r="AJ913" s="328" t="s">
        <v>1328</v>
      </c>
      <c r="AK913" s="328">
        <v>1.4275517487508922</v>
      </c>
      <c r="AL913" s="22" t="s">
        <v>1329</v>
      </c>
      <c r="AM913" s="22" t="s">
        <v>1330</v>
      </c>
      <c r="AN913" s="22" t="s">
        <v>1317</v>
      </c>
      <c r="AO913" s="22" t="s">
        <v>1318</v>
      </c>
      <c r="AP913" s="22" t="s">
        <v>1318</v>
      </c>
      <c r="AQ913" s="22" t="s">
        <v>1318</v>
      </c>
      <c r="AR913" s="22" t="s">
        <v>1317</v>
      </c>
      <c r="AS913" s="22" t="s">
        <v>1318</v>
      </c>
      <c r="AT913" s="22" t="s">
        <v>1317</v>
      </c>
      <c r="AU913" s="22" t="s">
        <v>1318</v>
      </c>
      <c r="AV913" s="22" t="s">
        <v>1317</v>
      </c>
      <c r="AW913" s="22" t="s">
        <v>1318</v>
      </c>
      <c r="AX913" s="22" t="s">
        <v>1317</v>
      </c>
      <c r="AY913" s="22" t="s">
        <v>1318</v>
      </c>
      <c r="AZ913" s="22" t="s">
        <v>1309</v>
      </c>
      <c r="BA913" s="22" t="s">
        <v>1309</v>
      </c>
      <c r="BB913" s="22" t="s">
        <v>1309</v>
      </c>
      <c r="BC913" s="22" t="s">
        <v>1309</v>
      </c>
      <c r="BD913" s="22" t="s">
        <v>1309</v>
      </c>
      <c r="BE913" s="22" t="s">
        <v>1309</v>
      </c>
      <c r="BF913" s="22" t="s">
        <v>1309</v>
      </c>
      <c r="BG913" s="22" t="s">
        <v>1309</v>
      </c>
      <c r="BH913" s="22" t="s">
        <v>1317</v>
      </c>
      <c r="BI913" s="22" t="s">
        <v>1318</v>
      </c>
      <c r="BJ913" s="22" t="s">
        <v>1317</v>
      </c>
      <c r="BK913" s="22" t="s">
        <v>1318</v>
      </c>
      <c r="BL913" s="22" t="s">
        <v>1317</v>
      </c>
      <c r="BM913" s="22" t="s">
        <v>1318</v>
      </c>
      <c r="BN913" s="22" t="s">
        <v>1309</v>
      </c>
      <c r="BO913" s="22" t="s">
        <v>1309</v>
      </c>
      <c r="BP913" s="22" t="s">
        <v>1309</v>
      </c>
      <c r="BQ913" s="22" t="s">
        <v>1309</v>
      </c>
      <c r="BR913" s="22" t="s">
        <v>1309</v>
      </c>
      <c r="BS913" s="22" t="s">
        <v>1309</v>
      </c>
      <c r="BT913" s="22" t="s">
        <v>1309</v>
      </c>
      <c r="BU913" s="22" t="s">
        <v>1309</v>
      </c>
      <c r="BV913" s="22" t="s">
        <v>1309</v>
      </c>
      <c r="BW913" s="22" t="s">
        <v>1309</v>
      </c>
      <c r="BX913" s="20">
        <v>87</v>
      </c>
      <c r="BY913" s="20">
        <v>8</v>
      </c>
      <c r="BZ913" s="20">
        <v>0</v>
      </c>
      <c r="CA913" s="20">
        <v>1252</v>
      </c>
      <c r="CB913" s="20">
        <v>28</v>
      </c>
      <c r="CC913" s="20">
        <v>0</v>
      </c>
      <c r="CD913" s="22" t="s">
        <v>1331</v>
      </c>
      <c r="CE913" s="22" t="s">
        <v>1331</v>
      </c>
      <c r="CF913" s="22" t="s">
        <v>1315</v>
      </c>
      <c r="CG913" s="22" t="s">
        <v>1315</v>
      </c>
      <c r="CH913" s="22" t="s">
        <v>1317</v>
      </c>
      <c r="CI913" s="22" t="s">
        <v>1318</v>
      </c>
      <c r="CJ913" s="149" t="s">
        <v>3260</v>
      </c>
      <c r="CK913" s="241" t="s">
        <v>1386</v>
      </c>
    </row>
    <row r="914" spans="1:89" ht="15" customHeight="1" x14ac:dyDescent="0.35">
      <c r="A914" s="17"/>
      <c r="B914" s="313">
        <v>4010</v>
      </c>
      <c r="C914" s="8" t="s">
        <v>1037</v>
      </c>
      <c r="D914" s="18">
        <v>11</v>
      </c>
      <c r="E914" s="131" t="s">
        <v>1309</v>
      </c>
      <c r="F914" s="22" t="s">
        <v>1309</v>
      </c>
      <c r="G914" s="132" t="s">
        <v>1309</v>
      </c>
      <c r="H914" s="22" t="s">
        <v>1311</v>
      </c>
      <c r="I914" s="22" t="s">
        <v>1327</v>
      </c>
      <c r="J914" s="22" t="s">
        <v>1327</v>
      </c>
      <c r="K914" s="22" t="s">
        <v>1309</v>
      </c>
      <c r="L914" s="22" t="s">
        <v>1309</v>
      </c>
      <c r="M914" s="133" t="s">
        <v>1311</v>
      </c>
      <c r="N914" s="22" t="s">
        <v>1311</v>
      </c>
      <c r="O914" s="22" t="s">
        <v>1309</v>
      </c>
      <c r="P914" s="22" t="s">
        <v>1309</v>
      </c>
      <c r="Q914" s="20">
        <v>0</v>
      </c>
      <c r="R914" s="20">
        <v>0</v>
      </c>
      <c r="S914" s="20">
        <v>0</v>
      </c>
      <c r="T914" s="20">
        <v>0</v>
      </c>
      <c r="U914" s="20">
        <v>17.254999999999999</v>
      </c>
      <c r="V914" s="20">
        <v>17.254999999999999</v>
      </c>
      <c r="W914" s="20">
        <v>0</v>
      </c>
      <c r="X914" s="20">
        <v>0</v>
      </c>
      <c r="Y914" s="20">
        <v>0</v>
      </c>
      <c r="Z914" s="20">
        <v>0</v>
      </c>
      <c r="AA914" s="20" t="s">
        <v>1309</v>
      </c>
      <c r="AB914" s="22" t="s">
        <v>1309</v>
      </c>
      <c r="AC914" s="20">
        <v>1</v>
      </c>
      <c r="AD914" s="20">
        <v>0</v>
      </c>
      <c r="AE914" s="20">
        <v>0</v>
      </c>
      <c r="AF914" s="20">
        <v>1</v>
      </c>
      <c r="AG914" s="20">
        <v>0</v>
      </c>
      <c r="AH914" s="20">
        <v>0</v>
      </c>
      <c r="AI914" s="328">
        <v>5.7954216169226314</v>
      </c>
      <c r="AJ914" s="328" t="s">
        <v>1328</v>
      </c>
      <c r="AK914" s="328" t="s">
        <v>1328</v>
      </c>
      <c r="AL914" s="22" t="s">
        <v>1329</v>
      </c>
      <c r="AM914" s="22" t="s">
        <v>1330</v>
      </c>
      <c r="AN914" s="22" t="s">
        <v>1317</v>
      </c>
      <c r="AO914" s="22" t="s">
        <v>1318</v>
      </c>
      <c r="AP914" s="22" t="s">
        <v>1318</v>
      </c>
      <c r="AQ914" s="22" t="s">
        <v>1318</v>
      </c>
      <c r="AR914" s="22" t="s">
        <v>1317</v>
      </c>
      <c r="AS914" s="22" t="s">
        <v>1318</v>
      </c>
      <c r="AT914" s="22" t="s">
        <v>1309</v>
      </c>
      <c r="AU914" s="22" t="s">
        <v>1309</v>
      </c>
      <c r="AV914" s="22" t="s">
        <v>1309</v>
      </c>
      <c r="AW914" s="22" t="s">
        <v>1309</v>
      </c>
      <c r="AX914" s="22" t="s">
        <v>1317</v>
      </c>
      <c r="AY914" s="22" t="s">
        <v>1318</v>
      </c>
      <c r="AZ914" s="22" t="s">
        <v>1309</v>
      </c>
      <c r="BA914" s="22" t="s">
        <v>1309</v>
      </c>
      <c r="BB914" s="22" t="s">
        <v>1309</v>
      </c>
      <c r="BC914" s="22" t="s">
        <v>1309</v>
      </c>
      <c r="BD914" s="22" t="s">
        <v>1309</v>
      </c>
      <c r="BE914" s="22" t="s">
        <v>1309</v>
      </c>
      <c r="BF914" s="22" t="s">
        <v>1309</v>
      </c>
      <c r="BG914" s="22" t="s">
        <v>1309</v>
      </c>
      <c r="BH914" s="22" t="s">
        <v>1317</v>
      </c>
      <c r="BI914" s="22" t="s">
        <v>1318</v>
      </c>
      <c r="BJ914" s="22" t="s">
        <v>1309</v>
      </c>
      <c r="BK914" s="22" t="s">
        <v>1309</v>
      </c>
      <c r="BL914" s="22" t="s">
        <v>1309</v>
      </c>
      <c r="BM914" s="22" t="s">
        <v>1309</v>
      </c>
      <c r="BN914" s="22" t="s">
        <v>1309</v>
      </c>
      <c r="BO914" s="22" t="s">
        <v>1309</v>
      </c>
      <c r="BP914" s="22" t="s">
        <v>1315</v>
      </c>
      <c r="BQ914" s="22" t="s">
        <v>1315</v>
      </c>
      <c r="BR914" s="22" t="s">
        <v>1309</v>
      </c>
      <c r="BS914" s="22" t="s">
        <v>1309</v>
      </c>
      <c r="BT914" s="22" t="s">
        <v>1309</v>
      </c>
      <c r="BU914" s="22" t="s">
        <v>1309</v>
      </c>
      <c r="BV914" s="22" t="s">
        <v>1309</v>
      </c>
      <c r="BW914" s="22" t="s">
        <v>1309</v>
      </c>
      <c r="BX914" s="20">
        <v>29</v>
      </c>
      <c r="BY914" s="20">
        <v>18</v>
      </c>
      <c r="BZ914" s="20">
        <v>0</v>
      </c>
      <c r="CA914" s="20">
        <v>20</v>
      </c>
      <c r="CB914" s="20">
        <v>0</v>
      </c>
      <c r="CC914" s="20">
        <v>434</v>
      </c>
      <c r="CD914" s="22" t="s">
        <v>1331</v>
      </c>
      <c r="CE914" s="22" t="s">
        <v>1331</v>
      </c>
      <c r="CF914" s="22" t="s">
        <v>1331</v>
      </c>
      <c r="CG914" s="22" t="s">
        <v>1331</v>
      </c>
      <c r="CH914" s="22" t="s">
        <v>1317</v>
      </c>
      <c r="CI914" s="22" t="s">
        <v>1318</v>
      </c>
      <c r="CJ914" s="149" t="s">
        <v>3266</v>
      </c>
      <c r="CK914" s="241" t="s">
        <v>3267</v>
      </c>
    </row>
    <row r="915" spans="1:89" ht="15" customHeight="1" x14ac:dyDescent="0.35">
      <c r="A915" s="17"/>
      <c r="B915" s="313">
        <v>11025</v>
      </c>
      <c r="C915" s="8" t="s">
        <v>21</v>
      </c>
      <c r="D915" s="18">
        <v>1</v>
      </c>
      <c r="E915" s="131"/>
      <c r="F915" s="22"/>
      <c r="G915" s="132"/>
      <c r="H915" s="22"/>
      <c r="I915" s="22"/>
      <c r="J915" s="22"/>
      <c r="K915" s="22"/>
      <c r="L915" s="22"/>
      <c r="M915" s="133"/>
      <c r="N915" s="22"/>
      <c r="O915" s="22"/>
      <c r="P915" s="22"/>
      <c r="Q915" s="20"/>
      <c r="R915" s="20"/>
      <c r="S915" s="20"/>
      <c r="T915" s="20"/>
      <c r="U915" s="20"/>
      <c r="V915" s="20"/>
      <c r="W915" s="20"/>
      <c r="X915" s="20"/>
      <c r="Y915" s="20"/>
      <c r="Z915" s="20"/>
      <c r="AA915" s="20"/>
      <c r="AB915" s="22"/>
      <c r="AC915" s="20"/>
      <c r="AD915" s="20"/>
      <c r="AE915" s="20"/>
      <c r="AF915" s="20" t="s">
        <v>1124</v>
      </c>
      <c r="AG915" s="20" t="s">
        <v>1124</v>
      </c>
      <c r="AH915" s="20" t="s">
        <v>1124</v>
      </c>
      <c r="AI915" s="328"/>
      <c r="AJ915" s="328"/>
      <c r="AK915" s="328"/>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0"/>
      <c r="BY915" s="20"/>
      <c r="BZ915" s="20"/>
      <c r="CA915" s="20"/>
      <c r="CB915" s="20"/>
      <c r="CC915" s="20"/>
      <c r="CD915" s="22"/>
      <c r="CE915" s="22"/>
      <c r="CF915" s="22"/>
      <c r="CG915" s="22"/>
      <c r="CH915" s="22"/>
      <c r="CI915" s="22"/>
      <c r="CJ915" s="149"/>
      <c r="CK915" s="241"/>
    </row>
    <row r="916" spans="1:89" ht="15" customHeight="1" x14ac:dyDescent="0.35">
      <c r="A916" s="17"/>
      <c r="B916" s="313">
        <v>68050</v>
      </c>
      <c r="C916" s="8" t="s">
        <v>682</v>
      </c>
      <c r="D916" s="18">
        <v>16</v>
      </c>
      <c r="E916" s="131"/>
      <c r="F916" s="22"/>
      <c r="G916" s="132"/>
      <c r="H916" s="22"/>
      <c r="I916" s="22"/>
      <c r="J916" s="22"/>
      <c r="K916" s="22"/>
      <c r="L916" s="22"/>
      <c r="M916" s="133"/>
      <c r="N916" s="22"/>
      <c r="O916" s="22"/>
      <c r="P916" s="22"/>
      <c r="Q916" s="20"/>
      <c r="R916" s="20"/>
      <c r="S916" s="20"/>
      <c r="T916" s="20"/>
      <c r="U916" s="20"/>
      <c r="V916" s="20"/>
      <c r="W916" s="20"/>
      <c r="X916" s="20"/>
      <c r="Y916" s="20"/>
      <c r="Z916" s="20"/>
      <c r="AA916" s="20"/>
      <c r="AB916" s="22"/>
      <c r="AC916" s="20"/>
      <c r="AD916" s="20"/>
      <c r="AE916" s="20"/>
      <c r="AF916" s="20" t="s">
        <v>1124</v>
      </c>
      <c r="AG916" s="20" t="s">
        <v>1124</v>
      </c>
      <c r="AH916" s="20" t="s">
        <v>1124</v>
      </c>
      <c r="AI916" s="328"/>
      <c r="AJ916" s="328"/>
      <c r="AK916" s="328"/>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0"/>
      <c r="BY916" s="20"/>
      <c r="BZ916" s="20"/>
      <c r="CA916" s="20"/>
      <c r="CB916" s="20"/>
      <c r="CC916" s="20"/>
      <c r="CD916" s="22"/>
      <c r="CE916" s="22"/>
      <c r="CF916" s="22"/>
      <c r="CG916" s="22"/>
      <c r="CH916" s="22"/>
      <c r="CI916" s="22"/>
      <c r="CJ916" s="149"/>
      <c r="CK916" s="241"/>
    </row>
    <row r="917" spans="1:89" ht="15" customHeight="1" x14ac:dyDescent="0.35">
      <c r="A917" s="17"/>
      <c r="B917" s="313">
        <v>19110</v>
      </c>
      <c r="C917" s="8" t="s">
        <v>136</v>
      </c>
      <c r="D917" s="18">
        <v>12</v>
      </c>
      <c r="E917" s="131" t="s">
        <v>1309</v>
      </c>
      <c r="F917" s="22" t="s">
        <v>1309</v>
      </c>
      <c r="G917" s="132" t="s">
        <v>1309</v>
      </c>
      <c r="H917" s="22" t="s">
        <v>1311</v>
      </c>
      <c r="I917" s="22" t="s">
        <v>1341</v>
      </c>
      <c r="J917" s="22" t="s">
        <v>1342</v>
      </c>
      <c r="K917" s="22" t="s">
        <v>1314</v>
      </c>
      <c r="L917" s="22" t="s">
        <v>1311</v>
      </c>
      <c r="M917" s="133" t="s">
        <v>1311</v>
      </c>
      <c r="N917" s="22" t="s">
        <v>1311</v>
      </c>
      <c r="O917" s="22" t="s">
        <v>1314</v>
      </c>
      <c r="P917" s="22" t="s">
        <v>1318</v>
      </c>
      <c r="Q917" s="20">
        <v>0</v>
      </c>
      <c r="R917" s="20">
        <v>0</v>
      </c>
      <c r="S917" s="20">
        <v>0</v>
      </c>
      <c r="T917" s="20">
        <v>0</v>
      </c>
      <c r="U917" s="20">
        <v>0</v>
      </c>
      <c r="V917" s="20">
        <v>0</v>
      </c>
      <c r="W917" s="20">
        <v>0</v>
      </c>
      <c r="X917" s="20">
        <v>0</v>
      </c>
      <c r="Y917" s="20">
        <v>0</v>
      </c>
      <c r="Z917" s="20">
        <v>0</v>
      </c>
      <c r="AA917" s="20" t="s">
        <v>1315</v>
      </c>
      <c r="AB917" s="22" t="s">
        <v>1315</v>
      </c>
      <c r="AC917" s="20">
        <v>2</v>
      </c>
      <c r="AD917" s="20">
        <v>1</v>
      </c>
      <c r="AE917" s="20">
        <v>1</v>
      </c>
      <c r="AF917" s="20">
        <v>7</v>
      </c>
      <c r="AG917" s="20">
        <v>7</v>
      </c>
      <c r="AH917" s="20">
        <v>7</v>
      </c>
      <c r="AI917" s="328">
        <v>17.667844522968199</v>
      </c>
      <c r="AJ917" s="328">
        <v>1.9047619047619047</v>
      </c>
      <c r="AK917" s="328">
        <v>1.9047619047619047</v>
      </c>
      <c r="AL917" s="22" t="s">
        <v>1338</v>
      </c>
      <c r="AM917" s="22" t="s">
        <v>1330</v>
      </c>
      <c r="AN917" s="22" t="s">
        <v>1317</v>
      </c>
      <c r="AO917" s="22" t="s">
        <v>1318</v>
      </c>
      <c r="AP917" s="22" t="s">
        <v>1318</v>
      </c>
      <c r="AQ917" s="22" t="s">
        <v>1318</v>
      </c>
      <c r="AR917" s="22" t="s">
        <v>1317</v>
      </c>
      <c r="AS917" s="22" t="s">
        <v>1318</v>
      </c>
      <c r="AT917" s="22" t="s">
        <v>1309</v>
      </c>
      <c r="AU917" s="22" t="s">
        <v>1309</v>
      </c>
      <c r="AV917" s="22" t="s">
        <v>1317</v>
      </c>
      <c r="AW917" s="22" t="s">
        <v>1318</v>
      </c>
      <c r="AX917" s="22" t="s">
        <v>1317</v>
      </c>
      <c r="AY917" s="22" t="s">
        <v>1318</v>
      </c>
      <c r="AZ917" s="22" t="s">
        <v>1309</v>
      </c>
      <c r="BA917" s="22" t="s">
        <v>1309</v>
      </c>
      <c r="BB917" s="22" t="s">
        <v>1309</v>
      </c>
      <c r="BC917" s="22" t="s">
        <v>1309</v>
      </c>
      <c r="BD917" s="22" t="s">
        <v>1317</v>
      </c>
      <c r="BE917" s="22" t="s">
        <v>1318</v>
      </c>
      <c r="BF917" s="22" t="s">
        <v>1317</v>
      </c>
      <c r="BG917" s="22" t="s">
        <v>1318</v>
      </c>
      <c r="BH917" s="22" t="s">
        <v>1317</v>
      </c>
      <c r="BI917" s="22" t="s">
        <v>1318</v>
      </c>
      <c r="BJ917" s="22" t="s">
        <v>1317</v>
      </c>
      <c r="BK917" s="22" t="s">
        <v>1318</v>
      </c>
      <c r="BL917" s="22" t="s">
        <v>1317</v>
      </c>
      <c r="BM917" s="22" t="s">
        <v>1318</v>
      </c>
      <c r="BN917" s="22" t="s">
        <v>1309</v>
      </c>
      <c r="BO917" s="22" t="s">
        <v>1309</v>
      </c>
      <c r="BP917" s="22" t="s">
        <v>1309</v>
      </c>
      <c r="BQ917" s="22" t="s">
        <v>1309</v>
      </c>
      <c r="BR917" s="22" t="s">
        <v>1309</v>
      </c>
      <c r="BS917" s="22" t="s">
        <v>1309</v>
      </c>
      <c r="BT917" s="22" t="s">
        <v>1309</v>
      </c>
      <c r="BU917" s="22" t="s">
        <v>1309</v>
      </c>
      <c r="BV917" s="22" t="s">
        <v>1317</v>
      </c>
      <c r="BW917" s="22" t="s">
        <v>1311</v>
      </c>
      <c r="BX917" s="20">
        <v>0</v>
      </c>
      <c r="BY917" s="20">
        <v>0</v>
      </c>
      <c r="BZ917" s="20">
        <v>46</v>
      </c>
      <c r="CA917" s="20">
        <v>0</v>
      </c>
      <c r="CB917" s="20">
        <v>1</v>
      </c>
      <c r="CC917" s="20">
        <v>481</v>
      </c>
      <c r="CD917" s="22" t="s">
        <v>1317</v>
      </c>
      <c r="CE917" s="22" t="s">
        <v>1318</v>
      </c>
      <c r="CF917" s="22" t="s">
        <v>1317</v>
      </c>
      <c r="CG917" s="22" t="s">
        <v>1318</v>
      </c>
      <c r="CH917" s="22" t="s">
        <v>1317</v>
      </c>
      <c r="CI917" s="22" t="s">
        <v>1318</v>
      </c>
      <c r="CJ917" s="149" t="s">
        <v>1124</v>
      </c>
      <c r="CK917" s="241" t="s">
        <v>1386</v>
      </c>
    </row>
    <row r="918" spans="1:89" ht="15" customHeight="1" x14ac:dyDescent="0.35">
      <c r="A918" s="17"/>
      <c r="B918" s="313">
        <v>62085</v>
      </c>
      <c r="C918" s="8" t="s">
        <v>633</v>
      </c>
      <c r="D918" s="18">
        <v>14</v>
      </c>
      <c r="E918" s="131" t="s">
        <v>1309</v>
      </c>
      <c r="F918" s="22" t="s">
        <v>1309</v>
      </c>
      <c r="G918" s="132" t="s">
        <v>1309</v>
      </c>
      <c r="H918" s="22" t="s">
        <v>1311</v>
      </c>
      <c r="I918" s="22" t="s">
        <v>1327</v>
      </c>
      <c r="J918" s="22" t="s">
        <v>1327</v>
      </c>
      <c r="K918" s="22" t="s">
        <v>1309</v>
      </c>
      <c r="L918" s="22" t="s">
        <v>1309</v>
      </c>
      <c r="M918" s="133" t="s">
        <v>1311</v>
      </c>
      <c r="N918" s="22" t="s">
        <v>1311</v>
      </c>
      <c r="O918" s="22" t="s">
        <v>1314</v>
      </c>
      <c r="P918" s="22" t="s">
        <v>1311</v>
      </c>
      <c r="Q918" s="20">
        <v>0</v>
      </c>
      <c r="R918" s="20">
        <v>0</v>
      </c>
      <c r="S918" s="20">
        <v>27.382999999999999</v>
      </c>
      <c r="T918" s="20">
        <v>0</v>
      </c>
      <c r="U918" s="20">
        <v>0</v>
      </c>
      <c r="V918" s="20">
        <v>18.254999999999999</v>
      </c>
      <c r="W918" s="20">
        <v>0</v>
      </c>
      <c r="X918" s="20">
        <v>0</v>
      </c>
      <c r="Y918" s="20">
        <v>0</v>
      </c>
      <c r="Z918" s="20">
        <v>0</v>
      </c>
      <c r="AA918" s="20" t="s">
        <v>1317</v>
      </c>
      <c r="AB918" s="22" t="s">
        <v>1311</v>
      </c>
      <c r="AC918" s="20">
        <v>2</v>
      </c>
      <c r="AD918" s="20">
        <v>0</v>
      </c>
      <c r="AE918" s="20">
        <v>0</v>
      </c>
      <c r="AF918" s="20">
        <v>1</v>
      </c>
      <c r="AG918" s="20">
        <v>0</v>
      </c>
      <c r="AH918" s="20">
        <v>0</v>
      </c>
      <c r="AI918" s="328">
        <v>10.955902492467818</v>
      </c>
      <c r="AJ918" s="328" t="s">
        <v>1328</v>
      </c>
      <c r="AK918" s="328" t="s">
        <v>1328</v>
      </c>
      <c r="AL918" s="22" t="s">
        <v>1329</v>
      </c>
      <c r="AM918" s="22" t="s">
        <v>1330</v>
      </c>
      <c r="AN918" s="22" t="s">
        <v>1317</v>
      </c>
      <c r="AO918" s="22" t="s">
        <v>1318</v>
      </c>
      <c r="AP918" s="22" t="s">
        <v>1318</v>
      </c>
      <c r="AQ918" s="22" t="s">
        <v>1318</v>
      </c>
      <c r="AR918" s="22" t="s">
        <v>1309</v>
      </c>
      <c r="AS918" s="22" t="s">
        <v>1309</v>
      </c>
      <c r="AT918" s="22" t="s">
        <v>1317</v>
      </c>
      <c r="AU918" s="22" t="s">
        <v>1311</v>
      </c>
      <c r="AV918" s="22" t="s">
        <v>1317</v>
      </c>
      <c r="AW918" s="22" t="s">
        <v>1318</v>
      </c>
      <c r="AX918" s="22" t="s">
        <v>1317</v>
      </c>
      <c r="AY918" s="22" t="s">
        <v>1318</v>
      </c>
      <c r="AZ918" s="22" t="s">
        <v>1309</v>
      </c>
      <c r="BA918" s="22" t="s">
        <v>1309</v>
      </c>
      <c r="BB918" s="22" t="s">
        <v>1309</v>
      </c>
      <c r="BC918" s="22" t="s">
        <v>1309</v>
      </c>
      <c r="BD918" s="22" t="s">
        <v>1317</v>
      </c>
      <c r="BE918" s="22" t="s">
        <v>1311</v>
      </c>
      <c r="BF918" s="22" t="s">
        <v>1319</v>
      </c>
      <c r="BG918" s="22" t="s">
        <v>1311</v>
      </c>
      <c r="BH918" s="22" t="s">
        <v>1309</v>
      </c>
      <c r="BI918" s="22" t="s">
        <v>1309</v>
      </c>
      <c r="BJ918" s="22" t="s">
        <v>1317</v>
      </c>
      <c r="BK918" s="22" t="s">
        <v>1318</v>
      </c>
      <c r="BL918" s="22" t="s">
        <v>1317</v>
      </c>
      <c r="BM918" s="22" t="s">
        <v>1318</v>
      </c>
      <c r="BN918" s="22" t="s">
        <v>1309</v>
      </c>
      <c r="BO918" s="22" t="s">
        <v>1309</v>
      </c>
      <c r="BP918" s="22" t="s">
        <v>1317</v>
      </c>
      <c r="BQ918" s="22" t="s">
        <v>1318</v>
      </c>
      <c r="BR918" s="22" t="s">
        <v>1309</v>
      </c>
      <c r="BS918" s="22" t="s">
        <v>1309</v>
      </c>
      <c r="BT918" s="22" t="s">
        <v>1309</v>
      </c>
      <c r="BU918" s="22" t="s">
        <v>1309</v>
      </c>
      <c r="BV918" s="22" t="s">
        <v>1317</v>
      </c>
      <c r="BW918" s="22" t="s">
        <v>1318</v>
      </c>
      <c r="BX918" s="20">
        <v>0</v>
      </c>
      <c r="BY918" s="20">
        <v>0</v>
      </c>
      <c r="BZ918" s="20">
        <v>141</v>
      </c>
      <c r="CA918" s="20">
        <v>0</v>
      </c>
      <c r="CB918" s="20">
        <v>0</v>
      </c>
      <c r="CC918" s="20">
        <v>792</v>
      </c>
      <c r="CD918" s="22" t="s">
        <v>1320</v>
      </c>
      <c r="CE918" s="22" t="s">
        <v>1331</v>
      </c>
      <c r="CF918" s="22" t="s">
        <v>1320</v>
      </c>
      <c r="CG918" s="22" t="s">
        <v>1331</v>
      </c>
      <c r="CH918" s="22" t="s">
        <v>1317</v>
      </c>
      <c r="CI918" s="22" t="s">
        <v>1318</v>
      </c>
      <c r="CJ918" s="149" t="s">
        <v>3274</v>
      </c>
      <c r="CK918" s="241" t="s">
        <v>3275</v>
      </c>
    </row>
    <row r="919" spans="1:89" ht="15" customHeight="1" x14ac:dyDescent="0.35">
      <c r="A919" s="17"/>
      <c r="B919" s="313">
        <v>13065</v>
      </c>
      <c r="C919" s="8" t="s">
        <v>52</v>
      </c>
      <c r="D919" s="18">
        <v>1</v>
      </c>
      <c r="E919" s="131" t="s">
        <v>1319</v>
      </c>
      <c r="F919" s="22" t="s">
        <v>1490</v>
      </c>
      <c r="G919" s="132" t="s">
        <v>1309</v>
      </c>
      <c r="H919" s="22" t="s">
        <v>1311</v>
      </c>
      <c r="I919" s="22" t="s">
        <v>1327</v>
      </c>
      <c r="J919" s="22" t="s">
        <v>1327</v>
      </c>
      <c r="K919" s="22" t="s">
        <v>1319</v>
      </c>
      <c r="L919" s="22" t="s">
        <v>1311</v>
      </c>
      <c r="M919" s="133" t="s">
        <v>1311</v>
      </c>
      <c r="N919" s="22" t="s">
        <v>1311</v>
      </c>
      <c r="O919" s="22" t="s">
        <v>1314</v>
      </c>
      <c r="P919" s="22" t="s">
        <v>1318</v>
      </c>
      <c r="Q919" s="20">
        <v>13.885</v>
      </c>
      <c r="R919" s="20">
        <v>13.885</v>
      </c>
      <c r="S919" s="20">
        <v>0</v>
      </c>
      <c r="T919" s="20">
        <v>0</v>
      </c>
      <c r="U919" s="20">
        <v>13.885</v>
      </c>
      <c r="V919" s="20">
        <v>0</v>
      </c>
      <c r="W919" s="20">
        <v>0</v>
      </c>
      <c r="X919" s="20">
        <v>0</v>
      </c>
      <c r="Y919" s="20">
        <v>0</v>
      </c>
      <c r="Z919" s="20">
        <v>0</v>
      </c>
      <c r="AA919" s="20" t="s">
        <v>1317</v>
      </c>
      <c r="AB919" s="22" t="s">
        <v>1318</v>
      </c>
      <c r="AC919" s="20">
        <v>1</v>
      </c>
      <c r="AD919" s="20">
        <v>0</v>
      </c>
      <c r="AE919" s="20">
        <v>0</v>
      </c>
      <c r="AF919" s="20">
        <v>1</v>
      </c>
      <c r="AG919" s="20">
        <v>0</v>
      </c>
      <c r="AH919" s="20">
        <v>0</v>
      </c>
      <c r="AI919" s="328">
        <v>7.2020165646380985</v>
      </c>
      <c r="AJ919" s="328" t="s">
        <v>1328</v>
      </c>
      <c r="AK919" s="328" t="s">
        <v>1328</v>
      </c>
      <c r="AL919" s="22" t="s">
        <v>1329</v>
      </c>
      <c r="AM919" s="22" t="s">
        <v>1330</v>
      </c>
      <c r="AN919" s="22" t="s">
        <v>1317</v>
      </c>
      <c r="AO919" s="22" t="s">
        <v>1318</v>
      </c>
      <c r="AP919" s="22" t="s">
        <v>1318</v>
      </c>
      <c r="AQ919" s="22" t="s">
        <v>1318</v>
      </c>
      <c r="AR919" s="22" t="s">
        <v>1317</v>
      </c>
      <c r="AS919" s="22" t="s">
        <v>1318</v>
      </c>
      <c r="AT919" s="22" t="s">
        <v>1319</v>
      </c>
      <c r="AU919" s="22" t="s">
        <v>1311</v>
      </c>
      <c r="AV919" s="22" t="s">
        <v>1317</v>
      </c>
      <c r="AW919" s="22" t="s">
        <v>1318</v>
      </c>
      <c r="AX919" s="22" t="s">
        <v>1317</v>
      </c>
      <c r="AY919" s="22" t="s">
        <v>1318</v>
      </c>
      <c r="AZ919" s="22" t="s">
        <v>1317</v>
      </c>
      <c r="BA919" s="22" t="s">
        <v>1311</v>
      </c>
      <c r="BB919" s="22" t="s">
        <v>1309</v>
      </c>
      <c r="BC919" s="22" t="s">
        <v>1309</v>
      </c>
      <c r="BD919" s="22" t="s">
        <v>1317</v>
      </c>
      <c r="BE919" s="22" t="s">
        <v>1318</v>
      </c>
      <c r="BF919" s="22" t="s">
        <v>1317</v>
      </c>
      <c r="BG919" s="22" t="s">
        <v>1318</v>
      </c>
      <c r="BH919" s="22" t="s">
        <v>1309</v>
      </c>
      <c r="BI919" s="22" t="s">
        <v>1309</v>
      </c>
      <c r="BJ919" s="22" t="s">
        <v>1309</v>
      </c>
      <c r="BK919" s="22" t="s">
        <v>1309</v>
      </c>
      <c r="BL919" s="22" t="s">
        <v>1319</v>
      </c>
      <c r="BM919" s="22" t="s">
        <v>1311</v>
      </c>
      <c r="BN919" s="22" t="s">
        <v>1309</v>
      </c>
      <c r="BO919" s="22" t="s">
        <v>1309</v>
      </c>
      <c r="BP919" s="22" t="s">
        <v>1309</v>
      </c>
      <c r="BQ919" s="22" t="s">
        <v>1309</v>
      </c>
      <c r="BR919" s="22" t="s">
        <v>1309</v>
      </c>
      <c r="BS919" s="22" t="s">
        <v>1309</v>
      </c>
      <c r="BT919" s="22" t="s">
        <v>1309</v>
      </c>
      <c r="BU919" s="22" t="s">
        <v>1309</v>
      </c>
      <c r="BV919" s="22" t="s">
        <v>1317</v>
      </c>
      <c r="BW919" s="22" t="s">
        <v>1318</v>
      </c>
      <c r="BX919" s="20">
        <v>0</v>
      </c>
      <c r="BY919" s="20">
        <v>0</v>
      </c>
      <c r="BZ919" s="20">
        <v>56</v>
      </c>
      <c r="CA919" s="20">
        <v>0</v>
      </c>
      <c r="CB919" s="20">
        <v>0</v>
      </c>
      <c r="CC919" s="20">
        <v>313</v>
      </c>
      <c r="CD919" s="22" t="s">
        <v>1317</v>
      </c>
      <c r="CE919" s="22" t="s">
        <v>1318</v>
      </c>
      <c r="CF919" s="22" t="s">
        <v>1317</v>
      </c>
      <c r="CG919" s="22" t="s">
        <v>1318</v>
      </c>
      <c r="CH919" s="22" t="s">
        <v>1317</v>
      </c>
      <c r="CI919" s="22" t="s">
        <v>1318</v>
      </c>
      <c r="CJ919" s="149" t="s">
        <v>3278</v>
      </c>
      <c r="CK919" s="241" t="s">
        <v>3279</v>
      </c>
    </row>
    <row r="920" spans="1:89" ht="15" customHeight="1" x14ac:dyDescent="0.35">
      <c r="A920" s="17"/>
      <c r="B920" s="313">
        <v>12020</v>
      </c>
      <c r="C920" s="8" t="s">
        <v>31</v>
      </c>
      <c r="D920" s="18">
        <v>1</v>
      </c>
      <c r="E920" s="131" t="s">
        <v>1309</v>
      </c>
      <c r="F920" s="22" t="s">
        <v>1309</v>
      </c>
      <c r="G920" s="132" t="s">
        <v>1309</v>
      </c>
      <c r="H920" s="22" t="s">
        <v>1311</v>
      </c>
      <c r="I920" s="22" t="s">
        <v>1327</v>
      </c>
      <c r="J920" s="22" t="s">
        <v>1327</v>
      </c>
      <c r="K920" s="22" t="s">
        <v>1314</v>
      </c>
      <c r="L920" s="22" t="s">
        <v>1311</v>
      </c>
      <c r="M920" s="133" t="s">
        <v>1311</v>
      </c>
      <c r="N920" s="22" t="s">
        <v>1311</v>
      </c>
      <c r="O920" s="22" t="s">
        <v>1309</v>
      </c>
      <c r="P920" s="22" t="s">
        <v>1309</v>
      </c>
      <c r="Q920" s="20">
        <v>0</v>
      </c>
      <c r="R920" s="20">
        <v>0</v>
      </c>
      <c r="S920" s="20">
        <v>0</v>
      </c>
      <c r="T920" s="20">
        <v>0</v>
      </c>
      <c r="U920" s="20">
        <v>0</v>
      </c>
      <c r="V920" s="20">
        <v>0</v>
      </c>
      <c r="W920" s="20">
        <v>0</v>
      </c>
      <c r="X920" s="20">
        <v>0</v>
      </c>
      <c r="Y920" s="20">
        <v>0</v>
      </c>
      <c r="Z920" s="20">
        <v>0</v>
      </c>
      <c r="AA920" s="20" t="s">
        <v>1317</v>
      </c>
      <c r="AB920" s="22" t="s">
        <v>1318</v>
      </c>
      <c r="AC920" s="20">
        <v>0</v>
      </c>
      <c r="AD920" s="20">
        <v>0</v>
      </c>
      <c r="AE920" s="20">
        <v>0</v>
      </c>
      <c r="AF920" s="20">
        <v>0</v>
      </c>
      <c r="AG920" s="20">
        <v>0</v>
      </c>
      <c r="AH920" s="20">
        <v>0</v>
      </c>
      <c r="AI920" s="328" t="s">
        <v>1328</v>
      </c>
      <c r="AJ920" s="328" t="s">
        <v>1328</v>
      </c>
      <c r="AK920" s="328" t="s">
        <v>1328</v>
      </c>
      <c r="AL920" s="22" t="s">
        <v>1316</v>
      </c>
      <c r="AM920" s="22" t="s">
        <v>1316</v>
      </c>
      <c r="AN920" s="22" t="s">
        <v>1317</v>
      </c>
      <c r="AO920" s="22" t="s">
        <v>1318</v>
      </c>
      <c r="AP920" s="22" t="s">
        <v>1318</v>
      </c>
      <c r="AQ920" s="22" t="s">
        <v>1318</v>
      </c>
      <c r="AR920" s="22" t="s">
        <v>1317</v>
      </c>
      <c r="AS920" s="22" t="s">
        <v>1318</v>
      </c>
      <c r="AT920" s="22" t="s">
        <v>1317</v>
      </c>
      <c r="AU920" s="22" t="s">
        <v>1318</v>
      </c>
      <c r="AV920" s="22" t="s">
        <v>1309</v>
      </c>
      <c r="AW920" s="22" t="s">
        <v>1309</v>
      </c>
      <c r="AX920" s="22" t="s">
        <v>1317</v>
      </c>
      <c r="AY920" s="22" t="s">
        <v>1318</v>
      </c>
      <c r="AZ920" s="22" t="s">
        <v>1309</v>
      </c>
      <c r="BA920" s="22" t="s">
        <v>1309</v>
      </c>
      <c r="BB920" s="22" t="s">
        <v>1309</v>
      </c>
      <c r="BC920" s="22" t="s">
        <v>1309</v>
      </c>
      <c r="BD920" s="22" t="s">
        <v>1317</v>
      </c>
      <c r="BE920" s="22" t="s">
        <v>1318</v>
      </c>
      <c r="BF920" s="22" t="s">
        <v>1319</v>
      </c>
      <c r="BG920" s="22" t="s">
        <v>1311</v>
      </c>
      <c r="BH920" s="22" t="s">
        <v>1309</v>
      </c>
      <c r="BI920" s="22" t="s">
        <v>1309</v>
      </c>
      <c r="BJ920" s="22" t="s">
        <v>1309</v>
      </c>
      <c r="BK920" s="22" t="s">
        <v>1309</v>
      </c>
      <c r="BL920" s="22" t="s">
        <v>1317</v>
      </c>
      <c r="BM920" s="22" t="s">
        <v>1318</v>
      </c>
      <c r="BN920" s="22" t="s">
        <v>1317</v>
      </c>
      <c r="BO920" s="22" t="s">
        <v>1318</v>
      </c>
      <c r="BP920" s="22" t="s">
        <v>1315</v>
      </c>
      <c r="BQ920" s="22" t="s">
        <v>1315</v>
      </c>
      <c r="BR920" s="22" t="s">
        <v>1309</v>
      </c>
      <c r="BS920" s="22" t="s">
        <v>1309</v>
      </c>
      <c r="BT920" s="22" t="s">
        <v>1317</v>
      </c>
      <c r="BU920" s="22" t="s">
        <v>1318</v>
      </c>
      <c r="BV920" s="22" t="s">
        <v>1317</v>
      </c>
      <c r="BW920" s="22" t="s">
        <v>1318</v>
      </c>
      <c r="BX920" s="20">
        <v>2</v>
      </c>
      <c r="BY920" s="20">
        <v>1</v>
      </c>
      <c r="BZ920" s="20">
        <v>4</v>
      </c>
      <c r="CA920" s="20">
        <v>47</v>
      </c>
      <c r="CB920" s="20">
        <v>0</v>
      </c>
      <c r="CC920" s="20">
        <v>168</v>
      </c>
      <c r="CD920" s="22" t="s">
        <v>1317</v>
      </c>
      <c r="CE920" s="22" t="s">
        <v>1318</v>
      </c>
      <c r="CF920" s="22" t="s">
        <v>1317</v>
      </c>
      <c r="CG920" s="22" t="s">
        <v>1321</v>
      </c>
      <c r="CH920" s="22" t="s">
        <v>1317</v>
      </c>
      <c r="CI920" s="22" t="s">
        <v>1318</v>
      </c>
      <c r="CJ920" s="149" t="s">
        <v>3283</v>
      </c>
      <c r="CK920" s="241" t="s">
        <v>1124</v>
      </c>
    </row>
    <row r="921" spans="1:89" ht="15" customHeight="1" x14ac:dyDescent="0.35">
      <c r="A921" s="17"/>
      <c r="B921" s="313">
        <v>7095</v>
      </c>
      <c r="C921" s="8" t="s">
        <v>1083</v>
      </c>
      <c r="D921" s="18">
        <v>1</v>
      </c>
      <c r="E921" s="131" t="s">
        <v>1319</v>
      </c>
      <c r="F921" s="22" t="s">
        <v>1310</v>
      </c>
      <c r="G921" s="132" t="s">
        <v>1309</v>
      </c>
      <c r="H921" s="22" t="s">
        <v>1311</v>
      </c>
      <c r="I921" s="22" t="s">
        <v>1327</v>
      </c>
      <c r="J921" s="22" t="s">
        <v>1327</v>
      </c>
      <c r="K921" s="22" t="s">
        <v>1309</v>
      </c>
      <c r="L921" s="22" t="s">
        <v>1309</v>
      </c>
      <c r="M921" s="133" t="s">
        <v>1311</v>
      </c>
      <c r="N921" s="22" t="s">
        <v>1311</v>
      </c>
      <c r="O921" s="22" t="s">
        <v>1314</v>
      </c>
      <c r="P921" s="22" t="s">
        <v>1318</v>
      </c>
      <c r="Q921" s="20">
        <v>0</v>
      </c>
      <c r="R921" s="20">
        <v>0</v>
      </c>
      <c r="S921" s="20">
        <v>0</v>
      </c>
      <c r="T921" s="20">
        <v>3799</v>
      </c>
      <c r="U921" s="20">
        <v>0</v>
      </c>
      <c r="V921" s="20">
        <v>3799</v>
      </c>
      <c r="W921" s="20">
        <v>0</v>
      </c>
      <c r="X921" s="20">
        <v>0</v>
      </c>
      <c r="Y921" s="20">
        <v>0</v>
      </c>
      <c r="Z921" s="20">
        <v>0</v>
      </c>
      <c r="AA921" s="20" t="s">
        <v>1315</v>
      </c>
      <c r="AB921" s="22" t="s">
        <v>1315</v>
      </c>
      <c r="AC921" s="20">
        <v>1</v>
      </c>
      <c r="AD921" s="20">
        <v>0</v>
      </c>
      <c r="AE921" s="20">
        <v>0</v>
      </c>
      <c r="AF921" s="20">
        <v>1</v>
      </c>
      <c r="AG921" s="20">
        <v>0</v>
      </c>
      <c r="AH921" s="20">
        <v>0</v>
      </c>
      <c r="AI921" s="328">
        <v>26.322716504343248</v>
      </c>
      <c r="AJ921" s="328" t="s">
        <v>1328</v>
      </c>
      <c r="AK921" s="328" t="s">
        <v>1328</v>
      </c>
      <c r="AL921" s="22" t="s">
        <v>1315</v>
      </c>
      <c r="AM921" s="22" t="s">
        <v>1315</v>
      </c>
      <c r="AN921" s="22" t="s">
        <v>1315</v>
      </c>
      <c r="AO921" s="22" t="s">
        <v>1315</v>
      </c>
      <c r="AP921" s="22" t="s">
        <v>1315</v>
      </c>
      <c r="AQ921" s="22" t="s">
        <v>1315</v>
      </c>
      <c r="AR921" s="22" t="s">
        <v>1315</v>
      </c>
      <c r="AS921" s="22" t="s">
        <v>1318</v>
      </c>
      <c r="AT921" s="22" t="s">
        <v>1315</v>
      </c>
      <c r="AU921" s="22" t="s">
        <v>1318</v>
      </c>
      <c r="AV921" s="22" t="s">
        <v>1315</v>
      </c>
      <c r="AW921" s="22" t="s">
        <v>1318</v>
      </c>
      <c r="AX921" s="22" t="s">
        <v>1315</v>
      </c>
      <c r="AY921" s="22" t="s">
        <v>1318</v>
      </c>
      <c r="AZ921" s="22" t="s">
        <v>1309</v>
      </c>
      <c r="BA921" s="22" t="s">
        <v>1311</v>
      </c>
      <c r="BB921" s="22" t="s">
        <v>1309</v>
      </c>
      <c r="BC921" s="22" t="s">
        <v>1311</v>
      </c>
      <c r="BD921" s="22" t="s">
        <v>1317</v>
      </c>
      <c r="BE921" s="22" t="s">
        <v>1318</v>
      </c>
      <c r="BF921" s="22" t="s">
        <v>1317</v>
      </c>
      <c r="BG921" s="22" t="s">
        <v>1311</v>
      </c>
      <c r="BH921" s="22" t="s">
        <v>1317</v>
      </c>
      <c r="BI921" s="22" t="s">
        <v>1318</v>
      </c>
      <c r="BJ921" s="22" t="s">
        <v>1309</v>
      </c>
      <c r="BK921" s="22" t="s">
        <v>1311</v>
      </c>
      <c r="BL921" s="22" t="s">
        <v>1309</v>
      </c>
      <c r="BM921" s="22" t="s">
        <v>1311</v>
      </c>
      <c r="BN921" s="22" t="s">
        <v>1309</v>
      </c>
      <c r="BO921" s="22" t="s">
        <v>1311</v>
      </c>
      <c r="BP921" s="22" t="s">
        <v>1315</v>
      </c>
      <c r="BQ921" s="22" t="s">
        <v>1315</v>
      </c>
      <c r="BR921" s="22" t="s">
        <v>1317</v>
      </c>
      <c r="BS921" s="22" t="s">
        <v>1318</v>
      </c>
      <c r="BT921" s="22" t="s">
        <v>1317</v>
      </c>
      <c r="BU921" s="22" t="s">
        <v>1318</v>
      </c>
      <c r="BV921" s="22" t="s">
        <v>1317</v>
      </c>
      <c r="BW921" s="22" t="s">
        <v>1318</v>
      </c>
      <c r="BX921" s="20">
        <v>0</v>
      </c>
      <c r="BY921" s="20">
        <v>0</v>
      </c>
      <c r="BZ921" s="20">
        <v>15</v>
      </c>
      <c r="CA921" s="20">
        <v>0</v>
      </c>
      <c r="CB921" s="20">
        <v>0</v>
      </c>
      <c r="CC921" s="20">
        <v>151</v>
      </c>
      <c r="CD921" s="22" t="s">
        <v>1317</v>
      </c>
      <c r="CE921" s="22" t="s">
        <v>1340</v>
      </c>
      <c r="CF921" s="22" t="s">
        <v>1317</v>
      </c>
      <c r="CG921" s="22" t="s">
        <v>1340</v>
      </c>
      <c r="CH921" s="22" t="s">
        <v>1317</v>
      </c>
      <c r="CI921" s="22" t="s">
        <v>1318</v>
      </c>
      <c r="CJ921" s="149" t="s">
        <v>1124</v>
      </c>
      <c r="CK921" s="241" t="s">
        <v>1124</v>
      </c>
    </row>
    <row r="922" spans="1:89" ht="15" customHeight="1" x14ac:dyDescent="0.35">
      <c r="A922" s="17"/>
      <c r="B922" s="313">
        <v>37240</v>
      </c>
      <c r="C922" s="8" t="s">
        <v>322</v>
      </c>
      <c r="D922" s="18">
        <v>4</v>
      </c>
      <c r="E922" s="131" t="s">
        <v>1309</v>
      </c>
      <c r="F922" s="22" t="s">
        <v>1309</v>
      </c>
      <c r="G922" s="132" t="s">
        <v>1309</v>
      </c>
      <c r="H922" s="22" t="s">
        <v>1311</v>
      </c>
      <c r="I922" s="22" t="s">
        <v>1327</v>
      </c>
      <c r="J922" s="22" t="s">
        <v>1327</v>
      </c>
      <c r="K922" s="22" t="s">
        <v>1314</v>
      </c>
      <c r="L922" s="22" t="s">
        <v>1311</v>
      </c>
      <c r="M922" s="133" t="s">
        <v>1311</v>
      </c>
      <c r="N922" s="22" t="s">
        <v>1311</v>
      </c>
      <c r="O922" s="22" t="s">
        <v>1309</v>
      </c>
      <c r="P922" s="22" t="s">
        <v>1309</v>
      </c>
      <c r="Q922" s="20">
        <v>27.638000000000002</v>
      </c>
      <c r="R922" s="20">
        <v>27.638000000000002</v>
      </c>
      <c r="S922" s="20">
        <v>27.638000000000002</v>
      </c>
      <c r="T922" s="20">
        <v>27.638000000000002</v>
      </c>
      <c r="U922" s="20">
        <v>0</v>
      </c>
      <c r="V922" s="20">
        <v>0</v>
      </c>
      <c r="W922" s="20">
        <v>0</v>
      </c>
      <c r="X922" s="20">
        <v>0</v>
      </c>
      <c r="Y922" s="20">
        <v>0</v>
      </c>
      <c r="Z922" s="20">
        <v>0</v>
      </c>
      <c r="AA922" s="20" t="s">
        <v>1317</v>
      </c>
      <c r="AB922" s="22" t="s">
        <v>1311</v>
      </c>
      <c r="AC922" s="20">
        <v>1</v>
      </c>
      <c r="AD922" s="20">
        <v>1</v>
      </c>
      <c r="AE922" s="20">
        <v>2</v>
      </c>
      <c r="AF922" s="20">
        <v>1</v>
      </c>
      <c r="AG922" s="20">
        <v>1</v>
      </c>
      <c r="AH922" s="20">
        <v>2</v>
      </c>
      <c r="AI922" s="328">
        <v>3.6182068167016426</v>
      </c>
      <c r="AJ922" s="328">
        <v>1.7953321364452424</v>
      </c>
      <c r="AK922" s="328">
        <v>3.5906642728904847</v>
      </c>
      <c r="AL922" s="22" t="s">
        <v>1329</v>
      </c>
      <c r="AM922" s="22" t="s">
        <v>1330</v>
      </c>
      <c r="AN922" s="22" t="s">
        <v>1315</v>
      </c>
      <c r="AO922" s="22" t="s">
        <v>1315</v>
      </c>
      <c r="AP922" s="22" t="s">
        <v>1315</v>
      </c>
      <c r="AQ922" s="22" t="s">
        <v>1315</v>
      </c>
      <c r="AR922" s="22" t="s">
        <v>1317</v>
      </c>
      <c r="AS922" s="22" t="s">
        <v>1318</v>
      </c>
      <c r="AT922" s="22" t="s">
        <v>1317</v>
      </c>
      <c r="AU922" s="22" t="s">
        <v>1318</v>
      </c>
      <c r="AV922" s="22" t="s">
        <v>1317</v>
      </c>
      <c r="AW922" s="22" t="s">
        <v>1318</v>
      </c>
      <c r="AX922" s="22" t="s">
        <v>1317</v>
      </c>
      <c r="AY922" s="22" t="s">
        <v>1318</v>
      </c>
      <c r="AZ922" s="22" t="s">
        <v>1309</v>
      </c>
      <c r="BA922" s="22" t="s">
        <v>1309</v>
      </c>
      <c r="BB922" s="22" t="s">
        <v>1309</v>
      </c>
      <c r="BC922" s="22" t="s">
        <v>1309</v>
      </c>
      <c r="BD922" s="22" t="s">
        <v>1309</v>
      </c>
      <c r="BE922" s="22" t="s">
        <v>1309</v>
      </c>
      <c r="BF922" s="22" t="s">
        <v>1309</v>
      </c>
      <c r="BG922" s="22" t="s">
        <v>1309</v>
      </c>
      <c r="BH922" s="22" t="s">
        <v>1317</v>
      </c>
      <c r="BI922" s="22" t="s">
        <v>1318</v>
      </c>
      <c r="BJ922" s="22" t="s">
        <v>1317</v>
      </c>
      <c r="BK922" s="22" t="s">
        <v>1318</v>
      </c>
      <c r="BL922" s="22" t="s">
        <v>1309</v>
      </c>
      <c r="BM922" s="22" t="s">
        <v>1309</v>
      </c>
      <c r="BN922" s="22" t="s">
        <v>1317</v>
      </c>
      <c r="BO922" s="22" t="s">
        <v>1311</v>
      </c>
      <c r="BP922" s="22" t="s">
        <v>1309</v>
      </c>
      <c r="BQ922" s="22" t="s">
        <v>1309</v>
      </c>
      <c r="BR922" s="22" t="s">
        <v>1309</v>
      </c>
      <c r="BS922" s="22" t="s">
        <v>1309</v>
      </c>
      <c r="BT922" s="22" t="s">
        <v>1315</v>
      </c>
      <c r="BU922" s="22" t="s">
        <v>1315</v>
      </c>
      <c r="BV922" s="22" t="s">
        <v>1317</v>
      </c>
      <c r="BW922" s="22" t="s">
        <v>1318</v>
      </c>
      <c r="BX922" s="20">
        <v>72</v>
      </c>
      <c r="BY922" s="20">
        <v>7</v>
      </c>
      <c r="BZ922" s="20">
        <v>0</v>
      </c>
      <c r="CA922" s="20">
        <v>483</v>
      </c>
      <c r="CB922" s="20">
        <v>0</v>
      </c>
      <c r="CC922" s="20">
        <v>0</v>
      </c>
      <c r="CD922" s="22" t="s">
        <v>1331</v>
      </c>
      <c r="CE922" s="22" t="s">
        <v>1331</v>
      </c>
      <c r="CF922" s="22" t="s">
        <v>1315</v>
      </c>
      <c r="CG922" s="22" t="s">
        <v>1315</v>
      </c>
      <c r="CH922" s="22" t="s">
        <v>1317</v>
      </c>
      <c r="CI922" s="22" t="s">
        <v>1318</v>
      </c>
      <c r="CJ922" s="149" t="s">
        <v>1124</v>
      </c>
      <c r="CK922" s="241" t="s">
        <v>1386</v>
      </c>
    </row>
    <row r="923" spans="1:89" ht="15" customHeight="1" x14ac:dyDescent="0.35">
      <c r="A923" s="17"/>
      <c r="B923" s="313">
        <v>33030</v>
      </c>
      <c r="C923" s="8" t="s">
        <v>270</v>
      </c>
      <c r="D923" s="18">
        <v>12</v>
      </c>
      <c r="E923" s="131" t="s">
        <v>1309</v>
      </c>
      <c r="F923" s="22" t="s">
        <v>1309</v>
      </c>
      <c r="G923" s="132" t="s">
        <v>1309</v>
      </c>
      <c r="H923" s="22" t="s">
        <v>1315</v>
      </c>
      <c r="I923" s="22" t="s">
        <v>1327</v>
      </c>
      <c r="J923" s="22" t="s">
        <v>1327</v>
      </c>
      <c r="K923" s="22" t="s">
        <v>1314</v>
      </c>
      <c r="L923" s="22" t="s">
        <v>1311</v>
      </c>
      <c r="M923" s="133" t="s">
        <v>1311</v>
      </c>
      <c r="N923" s="22" t="s">
        <v>1311</v>
      </c>
      <c r="O923" s="22" t="s">
        <v>1314</v>
      </c>
      <c r="P923" s="22" t="s">
        <v>1311</v>
      </c>
      <c r="Q923" s="20">
        <v>9.6950000000000003</v>
      </c>
      <c r="R923" s="20">
        <v>9.6950000000000003</v>
      </c>
      <c r="S923" s="20">
        <v>0</v>
      </c>
      <c r="T923" s="20">
        <v>2.5</v>
      </c>
      <c r="U923" s="20">
        <v>0</v>
      </c>
      <c r="V923" s="20">
        <v>0</v>
      </c>
      <c r="W923" s="20">
        <v>0</v>
      </c>
      <c r="X923" s="20">
        <v>0</v>
      </c>
      <c r="Y923" s="20">
        <v>0</v>
      </c>
      <c r="Z923" s="20">
        <v>0</v>
      </c>
      <c r="AA923" s="20" t="s">
        <v>1317</v>
      </c>
      <c r="AB923" s="22" t="s">
        <v>1311</v>
      </c>
      <c r="AC923" s="20">
        <v>1</v>
      </c>
      <c r="AD923" s="20">
        <v>0</v>
      </c>
      <c r="AE923" s="20">
        <v>0</v>
      </c>
      <c r="AF923" s="20">
        <v>2</v>
      </c>
      <c r="AG923" s="20">
        <v>0</v>
      </c>
      <c r="AH923" s="20">
        <v>0</v>
      </c>
      <c r="AI923" s="328">
        <v>10.314595152140278</v>
      </c>
      <c r="AJ923" s="328" t="s">
        <v>1328</v>
      </c>
      <c r="AK923" s="328" t="s">
        <v>1328</v>
      </c>
      <c r="AL923" s="22" t="s">
        <v>1329</v>
      </c>
      <c r="AM923" s="22" t="s">
        <v>1330</v>
      </c>
      <c r="AN923" s="22" t="s">
        <v>1317</v>
      </c>
      <c r="AO923" s="22" t="s">
        <v>1318</v>
      </c>
      <c r="AP923" s="22" t="s">
        <v>1318</v>
      </c>
      <c r="AQ923" s="22" t="s">
        <v>1318</v>
      </c>
      <c r="AR923" s="22" t="s">
        <v>1317</v>
      </c>
      <c r="AS923" s="22" t="s">
        <v>1318</v>
      </c>
      <c r="AT923" s="22" t="s">
        <v>1317</v>
      </c>
      <c r="AU923" s="22" t="s">
        <v>1318</v>
      </c>
      <c r="AV923" s="22" t="s">
        <v>1317</v>
      </c>
      <c r="AW923" s="22" t="s">
        <v>1318</v>
      </c>
      <c r="AX923" s="22" t="s">
        <v>1317</v>
      </c>
      <c r="AY923" s="22" t="s">
        <v>1318</v>
      </c>
      <c r="AZ923" s="22" t="s">
        <v>1309</v>
      </c>
      <c r="BA923" s="22" t="s">
        <v>1309</v>
      </c>
      <c r="BB923" s="22" t="s">
        <v>1309</v>
      </c>
      <c r="BC923" s="22" t="s">
        <v>1309</v>
      </c>
      <c r="BD923" s="22" t="s">
        <v>1317</v>
      </c>
      <c r="BE923" s="22" t="s">
        <v>1318</v>
      </c>
      <c r="BF923" s="22" t="s">
        <v>1317</v>
      </c>
      <c r="BG923" s="22" t="s">
        <v>1318</v>
      </c>
      <c r="BH923" s="22" t="s">
        <v>1319</v>
      </c>
      <c r="BI923" s="22" t="s">
        <v>1309</v>
      </c>
      <c r="BJ923" s="22" t="s">
        <v>1317</v>
      </c>
      <c r="BK923" s="22" t="s">
        <v>1311</v>
      </c>
      <c r="BL923" s="22" t="s">
        <v>1319</v>
      </c>
      <c r="BM923" s="22" t="s">
        <v>1309</v>
      </c>
      <c r="BN923" s="22" t="s">
        <v>1309</v>
      </c>
      <c r="BO923" s="22" t="s">
        <v>1309</v>
      </c>
      <c r="BP923" s="22" t="s">
        <v>1309</v>
      </c>
      <c r="BQ923" s="22" t="s">
        <v>1309</v>
      </c>
      <c r="BR923" s="22" t="s">
        <v>1309</v>
      </c>
      <c r="BS923" s="22" t="s">
        <v>1309</v>
      </c>
      <c r="BT923" s="22" t="s">
        <v>1309</v>
      </c>
      <c r="BU923" s="22" t="s">
        <v>1309</v>
      </c>
      <c r="BV923" s="22" t="s">
        <v>1317</v>
      </c>
      <c r="BW923" s="22" t="s">
        <v>1318</v>
      </c>
      <c r="BX923" s="20">
        <v>2</v>
      </c>
      <c r="BY923" s="20">
        <v>2</v>
      </c>
      <c r="BZ923" s="20">
        <v>4</v>
      </c>
      <c r="CA923" s="20">
        <v>0</v>
      </c>
      <c r="CB923" s="20">
        <v>0</v>
      </c>
      <c r="CC923" s="20">
        <v>285</v>
      </c>
      <c r="CD923" s="22" t="s">
        <v>1320</v>
      </c>
      <c r="CE923" s="22" t="s">
        <v>1344</v>
      </c>
      <c r="CF923" s="22" t="s">
        <v>1317</v>
      </c>
      <c r="CG923" s="22" t="s">
        <v>1318</v>
      </c>
      <c r="CH923" s="22" t="s">
        <v>1317</v>
      </c>
      <c r="CI923" s="22" t="s">
        <v>1318</v>
      </c>
      <c r="CJ923" s="149" t="s">
        <v>1124</v>
      </c>
      <c r="CK923" s="241" t="s">
        <v>1386</v>
      </c>
    </row>
    <row r="924" spans="1:89" ht="15" customHeight="1" x14ac:dyDescent="0.35">
      <c r="A924" s="17"/>
      <c r="B924" s="313">
        <v>10015</v>
      </c>
      <c r="C924" s="8" t="s">
        <v>10</v>
      </c>
      <c r="D924" s="18">
        <v>1</v>
      </c>
      <c r="E924" s="131" t="s">
        <v>1309</v>
      </c>
      <c r="F924" s="22" t="s">
        <v>1309</v>
      </c>
      <c r="G924" s="132" t="s">
        <v>1309</v>
      </c>
      <c r="H924" s="22" t="s">
        <v>1311</v>
      </c>
      <c r="I924" s="22" t="s">
        <v>1327</v>
      </c>
      <c r="J924" s="22" t="s">
        <v>1327</v>
      </c>
      <c r="K924" s="22" t="s">
        <v>1314</v>
      </c>
      <c r="L924" s="22" t="s">
        <v>1311</v>
      </c>
      <c r="M924" s="133" t="s">
        <v>1311</v>
      </c>
      <c r="N924" s="22" t="s">
        <v>1311</v>
      </c>
      <c r="O924" s="22" t="s">
        <v>1314</v>
      </c>
      <c r="P924" s="22" t="s">
        <v>1318</v>
      </c>
      <c r="Q924" s="20">
        <v>0</v>
      </c>
      <c r="R924" s="20">
        <v>0</v>
      </c>
      <c r="S924" s="20">
        <v>0</v>
      </c>
      <c r="T924" s="20">
        <v>0</v>
      </c>
      <c r="U924" s="20">
        <v>0</v>
      </c>
      <c r="V924" s="20">
        <v>0</v>
      </c>
      <c r="W924" s="20">
        <v>0</v>
      </c>
      <c r="X924" s="20">
        <v>0</v>
      </c>
      <c r="Y924" s="20">
        <v>0</v>
      </c>
      <c r="Z924" s="20">
        <v>0</v>
      </c>
      <c r="AA924" s="20" t="s">
        <v>1317</v>
      </c>
      <c r="AB924" s="22" t="s">
        <v>1318</v>
      </c>
      <c r="AC924" s="20">
        <v>0</v>
      </c>
      <c r="AD924" s="20">
        <v>0</v>
      </c>
      <c r="AE924" s="20">
        <v>0</v>
      </c>
      <c r="AF924" s="20">
        <v>0</v>
      </c>
      <c r="AG924" s="20">
        <v>0</v>
      </c>
      <c r="AH924" s="20">
        <v>0</v>
      </c>
      <c r="AI924" s="328" t="s">
        <v>1328</v>
      </c>
      <c r="AJ924" s="328" t="s">
        <v>1328</v>
      </c>
      <c r="AK924" s="328" t="s">
        <v>1328</v>
      </c>
      <c r="AL924" s="22" t="s">
        <v>1329</v>
      </c>
      <c r="AM924" s="22" t="s">
        <v>1330</v>
      </c>
      <c r="AN924" s="22" t="s">
        <v>1317</v>
      </c>
      <c r="AO924" s="22" t="s">
        <v>1318</v>
      </c>
      <c r="AP924" s="22" t="s">
        <v>1318</v>
      </c>
      <c r="AQ924" s="22" t="s">
        <v>1318</v>
      </c>
      <c r="AR924" s="22" t="s">
        <v>1317</v>
      </c>
      <c r="AS924" s="22" t="s">
        <v>1318</v>
      </c>
      <c r="AT924" s="22" t="s">
        <v>1309</v>
      </c>
      <c r="AU924" s="22" t="s">
        <v>1309</v>
      </c>
      <c r="AV924" s="22" t="s">
        <v>1317</v>
      </c>
      <c r="AW924" s="22" t="s">
        <v>1318</v>
      </c>
      <c r="AX924" s="22" t="s">
        <v>1317</v>
      </c>
      <c r="AY924" s="22" t="s">
        <v>1318</v>
      </c>
      <c r="AZ924" s="22" t="s">
        <v>1317</v>
      </c>
      <c r="BA924" s="22" t="s">
        <v>1318</v>
      </c>
      <c r="BB924" s="22" t="s">
        <v>1309</v>
      </c>
      <c r="BC924" s="22" t="s">
        <v>1309</v>
      </c>
      <c r="BD924" s="22" t="s">
        <v>1317</v>
      </c>
      <c r="BE924" s="22" t="s">
        <v>1318</v>
      </c>
      <c r="BF924" s="22" t="s">
        <v>1317</v>
      </c>
      <c r="BG924" s="22" t="s">
        <v>1318</v>
      </c>
      <c r="BH924" s="22" t="s">
        <v>1309</v>
      </c>
      <c r="BI924" s="22" t="s">
        <v>1309</v>
      </c>
      <c r="BJ924" s="22" t="s">
        <v>1309</v>
      </c>
      <c r="BK924" s="22" t="s">
        <v>1309</v>
      </c>
      <c r="BL924" s="22" t="s">
        <v>1309</v>
      </c>
      <c r="BM924" s="22" t="s">
        <v>1309</v>
      </c>
      <c r="BN924" s="22" t="s">
        <v>1309</v>
      </c>
      <c r="BO924" s="22" t="s">
        <v>1309</v>
      </c>
      <c r="BP924" s="22" t="s">
        <v>1315</v>
      </c>
      <c r="BQ924" s="22" t="s">
        <v>1315</v>
      </c>
      <c r="BR924" s="22" t="s">
        <v>1309</v>
      </c>
      <c r="BS924" s="22" t="s">
        <v>1309</v>
      </c>
      <c r="BT924" s="22" t="s">
        <v>1315</v>
      </c>
      <c r="BU924" s="22" t="s">
        <v>1315</v>
      </c>
      <c r="BV924" s="22" t="s">
        <v>1317</v>
      </c>
      <c r="BW924" s="22" t="s">
        <v>1318</v>
      </c>
      <c r="BX924" s="20">
        <v>1</v>
      </c>
      <c r="BY924" s="20">
        <v>0</v>
      </c>
      <c r="BZ924" s="20">
        <v>5</v>
      </c>
      <c r="CA924" s="20">
        <v>0</v>
      </c>
      <c r="CB924" s="20">
        <v>0</v>
      </c>
      <c r="CC924" s="20">
        <v>152</v>
      </c>
      <c r="CD924" s="22" t="s">
        <v>1320</v>
      </c>
      <c r="CE924" s="22" t="s">
        <v>1318</v>
      </c>
      <c r="CF924" s="22" t="s">
        <v>1317</v>
      </c>
      <c r="CG924" s="22" t="s">
        <v>1318</v>
      </c>
      <c r="CH924" s="22" t="s">
        <v>1317</v>
      </c>
      <c r="CI924" s="22" t="s">
        <v>1318</v>
      </c>
      <c r="CJ924" s="149" t="s">
        <v>1124</v>
      </c>
      <c r="CK924" s="241" t="s">
        <v>1414</v>
      </c>
    </row>
    <row r="925" spans="1:89" ht="15" customHeight="1" x14ac:dyDescent="0.35">
      <c r="A925" s="17"/>
      <c r="B925" s="313">
        <v>93045</v>
      </c>
      <c r="C925" s="8" t="s">
        <v>965</v>
      </c>
      <c r="D925" s="18">
        <v>2</v>
      </c>
      <c r="E925" s="131" t="s">
        <v>1309</v>
      </c>
      <c r="F925" s="22" t="s">
        <v>1309</v>
      </c>
      <c r="G925" s="132" t="s">
        <v>1309</v>
      </c>
      <c r="H925" s="22" t="s">
        <v>1311</v>
      </c>
      <c r="I925" s="22" t="s">
        <v>1327</v>
      </c>
      <c r="J925" s="22" t="s">
        <v>1315</v>
      </c>
      <c r="K925" s="22" t="s">
        <v>1309</v>
      </c>
      <c r="L925" s="22" t="s">
        <v>1309</v>
      </c>
      <c r="M925" s="133" t="s">
        <v>1311</v>
      </c>
      <c r="N925" s="22" t="s">
        <v>1311</v>
      </c>
      <c r="O925" s="22" t="s">
        <v>1314</v>
      </c>
      <c r="P925" s="22" t="s">
        <v>1318</v>
      </c>
      <c r="Q925" s="20">
        <v>0</v>
      </c>
      <c r="R925" s="20">
        <v>0</v>
      </c>
      <c r="S925" s="20">
        <v>0</v>
      </c>
      <c r="T925" s="20">
        <v>0</v>
      </c>
      <c r="U925" s="20">
        <v>23.532</v>
      </c>
      <c r="V925" s="20">
        <v>23.532</v>
      </c>
      <c r="W925" s="20">
        <v>23.532</v>
      </c>
      <c r="X925" s="20">
        <v>23.532</v>
      </c>
      <c r="Y925" s="20">
        <v>0</v>
      </c>
      <c r="Z925" s="20">
        <v>0</v>
      </c>
      <c r="AA925" s="20" t="s">
        <v>1319</v>
      </c>
      <c r="AB925" s="22" t="s">
        <v>1311</v>
      </c>
      <c r="AC925" s="20">
        <v>0</v>
      </c>
      <c r="AD925" s="20">
        <v>0</v>
      </c>
      <c r="AE925" s="20">
        <v>5</v>
      </c>
      <c r="AF925" s="20">
        <v>0</v>
      </c>
      <c r="AG925" s="20">
        <v>0</v>
      </c>
      <c r="AH925" s="20">
        <v>1</v>
      </c>
      <c r="AI925" s="328" t="s">
        <v>1328</v>
      </c>
      <c r="AJ925" s="328" t="s">
        <v>1328</v>
      </c>
      <c r="AK925" s="328">
        <v>7.6103500761035008</v>
      </c>
      <c r="AL925" s="22" t="s">
        <v>1329</v>
      </c>
      <c r="AM925" s="22" t="s">
        <v>1330</v>
      </c>
      <c r="AN925" s="22" t="s">
        <v>1317</v>
      </c>
      <c r="AO925" s="22" t="s">
        <v>1318</v>
      </c>
      <c r="AP925" s="22" t="s">
        <v>1318</v>
      </c>
      <c r="AQ925" s="22" t="s">
        <v>1318</v>
      </c>
      <c r="AR925" s="22" t="s">
        <v>1317</v>
      </c>
      <c r="AS925" s="22" t="s">
        <v>1318</v>
      </c>
      <c r="AT925" s="22" t="s">
        <v>1317</v>
      </c>
      <c r="AU925" s="22" t="s">
        <v>1318</v>
      </c>
      <c r="AV925" s="22" t="s">
        <v>1317</v>
      </c>
      <c r="AW925" s="22" t="s">
        <v>1318</v>
      </c>
      <c r="AX925" s="22" t="s">
        <v>1317</v>
      </c>
      <c r="AY925" s="22" t="s">
        <v>1318</v>
      </c>
      <c r="AZ925" s="22" t="s">
        <v>1309</v>
      </c>
      <c r="BA925" s="22" t="s">
        <v>1309</v>
      </c>
      <c r="BB925" s="22" t="s">
        <v>1309</v>
      </c>
      <c r="BC925" s="22" t="s">
        <v>1309</v>
      </c>
      <c r="BD925" s="22" t="s">
        <v>1317</v>
      </c>
      <c r="BE925" s="22" t="s">
        <v>1318</v>
      </c>
      <c r="BF925" s="22" t="s">
        <v>1317</v>
      </c>
      <c r="BG925" s="22" t="s">
        <v>1318</v>
      </c>
      <c r="BH925" s="22" t="s">
        <v>1309</v>
      </c>
      <c r="BI925" s="22" t="s">
        <v>1309</v>
      </c>
      <c r="BJ925" s="22" t="s">
        <v>1309</v>
      </c>
      <c r="BK925" s="22" t="s">
        <v>1309</v>
      </c>
      <c r="BL925" s="22" t="s">
        <v>1317</v>
      </c>
      <c r="BM925" s="22" t="s">
        <v>1318</v>
      </c>
      <c r="BN925" s="22" t="s">
        <v>1309</v>
      </c>
      <c r="BO925" s="22" t="s">
        <v>1309</v>
      </c>
      <c r="BP925" s="22" t="s">
        <v>1309</v>
      </c>
      <c r="BQ925" s="22" t="s">
        <v>1309</v>
      </c>
      <c r="BR925" s="22" t="s">
        <v>1309</v>
      </c>
      <c r="BS925" s="22" t="s">
        <v>1309</v>
      </c>
      <c r="BT925" s="22" t="s">
        <v>1317</v>
      </c>
      <c r="BU925" s="22" t="s">
        <v>1318</v>
      </c>
      <c r="BV925" s="22" t="s">
        <v>1309</v>
      </c>
      <c r="BW925" s="22" t="s">
        <v>1309</v>
      </c>
      <c r="BX925" s="20">
        <v>6</v>
      </c>
      <c r="BY925" s="20">
        <v>0</v>
      </c>
      <c r="BZ925" s="20">
        <v>43</v>
      </c>
      <c r="CA925" s="20">
        <v>0</v>
      </c>
      <c r="CB925" s="20">
        <v>0</v>
      </c>
      <c r="CC925" s="20">
        <v>609</v>
      </c>
      <c r="CD925" s="22" t="s">
        <v>1317</v>
      </c>
      <c r="CE925" s="22" t="s">
        <v>1318</v>
      </c>
      <c r="CF925" s="22" t="s">
        <v>1317</v>
      </c>
      <c r="CG925" s="22" t="s">
        <v>1318</v>
      </c>
      <c r="CH925" s="22" t="s">
        <v>1317</v>
      </c>
      <c r="CI925" s="22" t="s">
        <v>1318</v>
      </c>
      <c r="CJ925" s="149" t="s">
        <v>3295</v>
      </c>
      <c r="CK925" s="241" t="s">
        <v>1679</v>
      </c>
    </row>
    <row r="926" spans="1:89" ht="15" customHeight="1" x14ac:dyDescent="0.35">
      <c r="A926" s="17"/>
      <c r="B926" s="313">
        <v>48050</v>
      </c>
      <c r="C926" s="8" t="s">
        <v>463</v>
      </c>
      <c r="D926" s="18">
        <v>16</v>
      </c>
      <c r="E926" s="131"/>
      <c r="F926" s="22"/>
      <c r="G926" s="132"/>
      <c r="H926" s="22"/>
      <c r="I926" s="22"/>
      <c r="J926" s="22"/>
      <c r="K926" s="22"/>
      <c r="L926" s="22"/>
      <c r="M926" s="133"/>
      <c r="N926" s="22"/>
      <c r="O926" s="22"/>
      <c r="P926" s="22"/>
      <c r="Q926" s="20"/>
      <c r="R926" s="20"/>
      <c r="S926" s="20"/>
      <c r="T926" s="20"/>
      <c r="U926" s="20"/>
      <c r="V926" s="20"/>
      <c r="W926" s="20"/>
      <c r="X926" s="20"/>
      <c r="Y926" s="20"/>
      <c r="Z926" s="20"/>
      <c r="AA926" s="20"/>
      <c r="AB926" s="22"/>
      <c r="AC926" s="20"/>
      <c r="AD926" s="20"/>
      <c r="AE926" s="20"/>
      <c r="AF926" s="20" t="s">
        <v>1124</v>
      </c>
      <c r="AG926" s="20" t="s">
        <v>1124</v>
      </c>
      <c r="AH926" s="20" t="s">
        <v>1124</v>
      </c>
      <c r="AI926" s="328"/>
      <c r="AJ926" s="328"/>
      <c r="AK926" s="328"/>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0"/>
      <c r="BY926" s="20"/>
      <c r="BZ926" s="20"/>
      <c r="CA926" s="20"/>
      <c r="CB926" s="20"/>
      <c r="CC926" s="20"/>
      <c r="CD926" s="22"/>
      <c r="CE926" s="22"/>
      <c r="CF926" s="22"/>
      <c r="CG926" s="22"/>
      <c r="CH926" s="22"/>
      <c r="CI926" s="22"/>
      <c r="CJ926" s="149"/>
      <c r="CK926" s="241"/>
    </row>
    <row r="927" spans="1:89" ht="15" customHeight="1" x14ac:dyDescent="0.35">
      <c r="A927" s="17"/>
      <c r="B927" s="313">
        <v>19015</v>
      </c>
      <c r="C927" s="8" t="s">
        <v>120</v>
      </c>
      <c r="D927" s="18">
        <v>12</v>
      </c>
      <c r="E927" s="131"/>
      <c r="F927" s="22"/>
      <c r="G927" s="132"/>
      <c r="H927" s="22"/>
      <c r="I927" s="22"/>
      <c r="J927" s="22"/>
      <c r="K927" s="22"/>
      <c r="L927" s="22"/>
      <c r="M927" s="133"/>
      <c r="N927" s="22"/>
      <c r="O927" s="22"/>
      <c r="P927" s="22"/>
      <c r="Q927" s="20"/>
      <c r="R927" s="20"/>
      <c r="S927" s="20"/>
      <c r="T927" s="20"/>
      <c r="U927" s="20"/>
      <c r="V927" s="20"/>
      <c r="W927" s="20"/>
      <c r="X927" s="20"/>
      <c r="Y927" s="20"/>
      <c r="Z927" s="20"/>
      <c r="AA927" s="20"/>
      <c r="AB927" s="22"/>
      <c r="AC927" s="20"/>
      <c r="AD927" s="20"/>
      <c r="AE927" s="20"/>
      <c r="AF927" s="20" t="s">
        <v>1124</v>
      </c>
      <c r="AG927" s="20" t="s">
        <v>1124</v>
      </c>
      <c r="AH927" s="20" t="s">
        <v>1124</v>
      </c>
      <c r="AI927" s="328"/>
      <c r="AJ927" s="328"/>
      <c r="AK927" s="328"/>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0"/>
      <c r="BY927" s="20"/>
      <c r="BZ927" s="20"/>
      <c r="CA927" s="20"/>
      <c r="CB927" s="20"/>
      <c r="CC927" s="20"/>
      <c r="CD927" s="22"/>
      <c r="CE927" s="22"/>
      <c r="CF927" s="22"/>
      <c r="CG927" s="22"/>
      <c r="CH927" s="22"/>
      <c r="CI927" s="22"/>
      <c r="CJ927" s="149"/>
      <c r="CK927" s="241"/>
    </row>
    <row r="928" spans="1:89" ht="15" customHeight="1" x14ac:dyDescent="0.35">
      <c r="A928" s="17"/>
      <c r="B928" s="313">
        <v>19045</v>
      </c>
      <c r="C928" s="8" t="s">
        <v>125</v>
      </c>
      <c r="D928" s="18">
        <v>12</v>
      </c>
      <c r="E928" s="131" t="s">
        <v>1309</v>
      </c>
      <c r="F928" s="22" t="s">
        <v>1309</v>
      </c>
      <c r="G928" s="132" t="s">
        <v>1309</v>
      </c>
      <c r="H928" s="22" t="s">
        <v>1311</v>
      </c>
      <c r="I928" s="22" t="s">
        <v>1327</v>
      </c>
      <c r="J928" s="22" t="s">
        <v>1327</v>
      </c>
      <c r="K928" s="22" t="s">
        <v>1319</v>
      </c>
      <c r="L928" s="22" t="s">
        <v>1309</v>
      </c>
      <c r="M928" s="133" t="s">
        <v>1311</v>
      </c>
      <c r="N928" s="22" t="s">
        <v>1311</v>
      </c>
      <c r="O928" s="22" t="s">
        <v>1314</v>
      </c>
      <c r="P928" s="22" t="s">
        <v>1318</v>
      </c>
      <c r="Q928" s="20">
        <v>4.2930000000000001</v>
      </c>
      <c r="R928" s="20">
        <v>4.2930000000000001</v>
      </c>
      <c r="S928" s="20">
        <v>0</v>
      </c>
      <c r="T928" s="20">
        <v>4.2930000000000001</v>
      </c>
      <c r="U928" s="20">
        <v>0</v>
      </c>
      <c r="V928" s="20">
        <v>0</v>
      </c>
      <c r="W928" s="20">
        <v>0</v>
      </c>
      <c r="X928" s="20">
        <v>0</v>
      </c>
      <c r="Y928" s="20">
        <v>0</v>
      </c>
      <c r="Z928" s="20">
        <v>0</v>
      </c>
      <c r="AA928" s="20" t="s">
        <v>1317</v>
      </c>
      <c r="AB928" s="22" t="s">
        <v>1311</v>
      </c>
      <c r="AC928" s="20">
        <v>0</v>
      </c>
      <c r="AD928" s="20">
        <v>0</v>
      </c>
      <c r="AE928" s="20">
        <v>0</v>
      </c>
      <c r="AF928" s="20">
        <v>0</v>
      </c>
      <c r="AG928" s="20">
        <v>0</v>
      </c>
      <c r="AH928" s="20">
        <v>0</v>
      </c>
      <c r="AI928" s="328" t="s">
        <v>1328</v>
      </c>
      <c r="AJ928" s="328" t="s">
        <v>1328</v>
      </c>
      <c r="AK928" s="328" t="s">
        <v>1328</v>
      </c>
      <c r="AL928" s="22" t="s">
        <v>1329</v>
      </c>
      <c r="AM928" s="22" t="s">
        <v>1330</v>
      </c>
      <c r="AN928" s="22" t="s">
        <v>1317</v>
      </c>
      <c r="AO928" s="22" t="s">
        <v>1318</v>
      </c>
      <c r="AP928" s="22" t="s">
        <v>1318</v>
      </c>
      <c r="AQ928" s="22" t="s">
        <v>1318</v>
      </c>
      <c r="AR928" s="22" t="s">
        <v>1317</v>
      </c>
      <c r="AS928" s="22" t="s">
        <v>1318</v>
      </c>
      <c r="AT928" s="22" t="s">
        <v>1309</v>
      </c>
      <c r="AU928" s="22" t="s">
        <v>1309</v>
      </c>
      <c r="AV928" s="22" t="s">
        <v>1317</v>
      </c>
      <c r="AW928" s="22" t="s">
        <v>1318</v>
      </c>
      <c r="AX928" s="22" t="s">
        <v>1317</v>
      </c>
      <c r="AY928" s="22" t="s">
        <v>1318</v>
      </c>
      <c r="AZ928" s="22" t="s">
        <v>1317</v>
      </c>
      <c r="BA928" s="22" t="s">
        <v>1318</v>
      </c>
      <c r="BB928" s="22" t="s">
        <v>1309</v>
      </c>
      <c r="BC928" s="22" t="s">
        <v>1309</v>
      </c>
      <c r="BD928" s="22" t="s">
        <v>1317</v>
      </c>
      <c r="BE928" s="22" t="s">
        <v>1318</v>
      </c>
      <c r="BF928" s="22" t="s">
        <v>1317</v>
      </c>
      <c r="BG928" s="22" t="s">
        <v>1318</v>
      </c>
      <c r="BH928" s="22" t="s">
        <v>1317</v>
      </c>
      <c r="BI928" s="22" t="s">
        <v>1318</v>
      </c>
      <c r="BJ928" s="22" t="s">
        <v>1309</v>
      </c>
      <c r="BK928" s="22" t="s">
        <v>1309</v>
      </c>
      <c r="BL928" s="22" t="s">
        <v>1317</v>
      </c>
      <c r="BM928" s="22" t="s">
        <v>1311</v>
      </c>
      <c r="BN928" s="22" t="s">
        <v>1309</v>
      </c>
      <c r="BO928" s="22" t="s">
        <v>1309</v>
      </c>
      <c r="BP928" s="22" t="s">
        <v>1315</v>
      </c>
      <c r="BQ928" s="22" t="s">
        <v>1315</v>
      </c>
      <c r="BR928" s="22" t="s">
        <v>1309</v>
      </c>
      <c r="BS928" s="22" t="s">
        <v>1309</v>
      </c>
      <c r="BT928" s="22" t="s">
        <v>1315</v>
      </c>
      <c r="BU928" s="22" t="s">
        <v>1315</v>
      </c>
      <c r="BV928" s="22" t="s">
        <v>1309</v>
      </c>
      <c r="BW928" s="22" t="s">
        <v>1309</v>
      </c>
      <c r="BX928" s="20">
        <v>0</v>
      </c>
      <c r="BY928" s="20">
        <v>5</v>
      </c>
      <c r="BZ928" s="20">
        <v>12</v>
      </c>
      <c r="CA928" s="20">
        <v>0</v>
      </c>
      <c r="CB928" s="20">
        <v>0</v>
      </c>
      <c r="CC928" s="20">
        <v>160</v>
      </c>
      <c r="CD928" s="22" t="s">
        <v>1317</v>
      </c>
      <c r="CE928" s="22" t="s">
        <v>1318</v>
      </c>
      <c r="CF928" s="22" t="s">
        <v>1317</v>
      </c>
      <c r="CG928" s="22" t="s">
        <v>1318</v>
      </c>
      <c r="CH928" s="22" t="s">
        <v>1317</v>
      </c>
      <c r="CI928" s="22" t="s">
        <v>1318</v>
      </c>
      <c r="CJ928" s="149" t="s">
        <v>1386</v>
      </c>
      <c r="CK928" s="241" t="s">
        <v>1124</v>
      </c>
    </row>
    <row r="929" spans="1:89" ht="15" customHeight="1" x14ac:dyDescent="0.35">
      <c r="A929" s="17"/>
      <c r="B929" s="313">
        <v>7100</v>
      </c>
      <c r="C929" s="8" t="s">
        <v>1084</v>
      </c>
      <c r="D929" s="18">
        <v>1</v>
      </c>
      <c r="E929" s="131" t="s">
        <v>1309</v>
      </c>
      <c r="F929" s="22" t="s">
        <v>1309</v>
      </c>
      <c r="G929" s="132" t="s">
        <v>1309</v>
      </c>
      <c r="H929" s="22" t="s">
        <v>1311</v>
      </c>
      <c r="I929" s="22" t="s">
        <v>1327</v>
      </c>
      <c r="J929" s="22" t="s">
        <v>1327</v>
      </c>
      <c r="K929" s="22" t="s">
        <v>1314</v>
      </c>
      <c r="L929" s="22" t="s">
        <v>1311</v>
      </c>
      <c r="M929" s="133" t="s">
        <v>1311</v>
      </c>
      <c r="N929" s="22" t="s">
        <v>1311</v>
      </c>
      <c r="O929" s="22" t="s">
        <v>1314</v>
      </c>
      <c r="P929" s="22" t="s">
        <v>1311</v>
      </c>
      <c r="Q929" s="20">
        <v>0</v>
      </c>
      <c r="R929" s="20">
        <v>0</v>
      </c>
      <c r="S929" s="20">
        <v>0</v>
      </c>
      <c r="T929" s="20">
        <v>0</v>
      </c>
      <c r="U929" s="20">
        <v>0</v>
      </c>
      <c r="V929" s="20">
        <v>5.62</v>
      </c>
      <c r="W929" s="20">
        <v>0</v>
      </c>
      <c r="X929" s="20">
        <v>0</v>
      </c>
      <c r="Y929" s="20">
        <v>0</v>
      </c>
      <c r="Z929" s="20">
        <v>0</v>
      </c>
      <c r="AA929" s="20" t="s">
        <v>1317</v>
      </c>
      <c r="AB929" s="22" t="s">
        <v>1311</v>
      </c>
      <c r="AC929" s="20">
        <v>0</v>
      </c>
      <c r="AD929" s="20">
        <v>0</v>
      </c>
      <c r="AE929" s="20">
        <v>0</v>
      </c>
      <c r="AF929" s="20">
        <v>0</v>
      </c>
      <c r="AG929" s="20">
        <v>0</v>
      </c>
      <c r="AH929" s="20">
        <v>0</v>
      </c>
      <c r="AI929" s="328" t="s">
        <v>1328</v>
      </c>
      <c r="AJ929" s="328" t="s">
        <v>1328</v>
      </c>
      <c r="AK929" s="328" t="s">
        <v>1328</v>
      </c>
      <c r="AL929" s="22" t="s">
        <v>1329</v>
      </c>
      <c r="AM929" s="22" t="s">
        <v>1330</v>
      </c>
      <c r="AN929" s="22" t="s">
        <v>1317</v>
      </c>
      <c r="AO929" s="22" t="s">
        <v>1318</v>
      </c>
      <c r="AP929" s="22" t="s">
        <v>1318</v>
      </c>
      <c r="AQ929" s="22" t="s">
        <v>1318</v>
      </c>
      <c r="AR929" s="22" t="s">
        <v>1317</v>
      </c>
      <c r="AS929" s="22" t="s">
        <v>1318</v>
      </c>
      <c r="AT929" s="22" t="s">
        <v>1317</v>
      </c>
      <c r="AU929" s="22" t="s">
        <v>1318</v>
      </c>
      <c r="AV929" s="22" t="s">
        <v>1317</v>
      </c>
      <c r="AW929" s="22" t="s">
        <v>1318</v>
      </c>
      <c r="AX929" s="22" t="s">
        <v>1317</v>
      </c>
      <c r="AY929" s="22" t="s">
        <v>1318</v>
      </c>
      <c r="AZ929" s="22" t="s">
        <v>1317</v>
      </c>
      <c r="BA929" s="22" t="s">
        <v>1318</v>
      </c>
      <c r="BB929" s="22" t="s">
        <v>1309</v>
      </c>
      <c r="BC929" s="22" t="s">
        <v>1309</v>
      </c>
      <c r="BD929" s="22" t="s">
        <v>1317</v>
      </c>
      <c r="BE929" s="22" t="s">
        <v>1318</v>
      </c>
      <c r="BF929" s="22" t="s">
        <v>1317</v>
      </c>
      <c r="BG929" s="22" t="s">
        <v>1318</v>
      </c>
      <c r="BH929" s="22" t="s">
        <v>1317</v>
      </c>
      <c r="BI929" s="22" t="s">
        <v>1318</v>
      </c>
      <c r="BJ929" s="22" t="s">
        <v>1317</v>
      </c>
      <c r="BK929" s="22" t="s">
        <v>1318</v>
      </c>
      <c r="BL929" s="22" t="s">
        <v>1317</v>
      </c>
      <c r="BM929" s="22" t="s">
        <v>1318</v>
      </c>
      <c r="BN929" s="22" t="s">
        <v>1317</v>
      </c>
      <c r="BO929" s="22" t="s">
        <v>1318</v>
      </c>
      <c r="BP929" s="22" t="s">
        <v>1317</v>
      </c>
      <c r="BQ929" s="22" t="s">
        <v>1318</v>
      </c>
      <c r="BR929" s="22" t="s">
        <v>1317</v>
      </c>
      <c r="BS929" s="22" t="s">
        <v>1318</v>
      </c>
      <c r="BT929" s="22" t="s">
        <v>1317</v>
      </c>
      <c r="BU929" s="22" t="s">
        <v>1318</v>
      </c>
      <c r="BV929" s="22" t="s">
        <v>1317</v>
      </c>
      <c r="BW929" s="22" t="s">
        <v>1318</v>
      </c>
      <c r="BX929" s="20">
        <v>0</v>
      </c>
      <c r="BY929" s="20">
        <v>0</v>
      </c>
      <c r="BZ929" s="20">
        <v>13</v>
      </c>
      <c r="CA929" s="20">
        <v>0</v>
      </c>
      <c r="CB929" s="20">
        <v>0</v>
      </c>
      <c r="CC929" s="20">
        <v>137</v>
      </c>
      <c r="CD929" s="22" t="s">
        <v>1317</v>
      </c>
      <c r="CE929" s="22" t="s">
        <v>1340</v>
      </c>
      <c r="CF929" s="22" t="s">
        <v>1317</v>
      </c>
      <c r="CG929" s="22" t="s">
        <v>1340</v>
      </c>
      <c r="CH929" s="22" t="s">
        <v>1317</v>
      </c>
      <c r="CI929" s="22" t="s">
        <v>1318</v>
      </c>
      <c r="CJ929" s="149" t="s">
        <v>1124</v>
      </c>
      <c r="CK929" s="241" t="s">
        <v>1124</v>
      </c>
    </row>
    <row r="930" spans="1:89" ht="15" customHeight="1" x14ac:dyDescent="0.35">
      <c r="A930" s="17"/>
      <c r="B930" s="313">
        <v>52070</v>
      </c>
      <c r="C930" s="8" t="s">
        <v>524</v>
      </c>
      <c r="D930" s="18">
        <v>14</v>
      </c>
      <c r="E930" s="131"/>
      <c r="F930" s="22"/>
      <c r="G930" s="132"/>
      <c r="H930" s="22"/>
      <c r="I930" s="22"/>
      <c r="J930" s="22"/>
      <c r="K930" s="22"/>
      <c r="L930" s="22"/>
      <c r="M930" s="133"/>
      <c r="N930" s="22"/>
      <c r="O930" s="22"/>
      <c r="P930" s="22"/>
      <c r="Q930" s="20"/>
      <c r="R930" s="20"/>
      <c r="S930" s="20"/>
      <c r="T930" s="20"/>
      <c r="U930" s="20"/>
      <c r="V930" s="20"/>
      <c r="W930" s="20"/>
      <c r="X930" s="20"/>
      <c r="Y930" s="20"/>
      <c r="Z930" s="20"/>
      <c r="AA930" s="20"/>
      <c r="AB930" s="22"/>
      <c r="AC930" s="20"/>
      <c r="AD930" s="20"/>
      <c r="AE930" s="20"/>
      <c r="AF930" s="20" t="s">
        <v>1124</v>
      </c>
      <c r="AG930" s="20" t="s">
        <v>1124</v>
      </c>
      <c r="AH930" s="20" t="s">
        <v>1124</v>
      </c>
      <c r="AI930" s="328"/>
      <c r="AJ930" s="328"/>
      <c r="AK930" s="328"/>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0"/>
      <c r="BY930" s="20"/>
      <c r="BZ930" s="20"/>
      <c r="CA930" s="20"/>
      <c r="CB930" s="20"/>
      <c r="CC930" s="20"/>
      <c r="CD930" s="22"/>
      <c r="CE930" s="22"/>
      <c r="CF930" s="22"/>
      <c r="CG930" s="22"/>
      <c r="CH930" s="22"/>
      <c r="CI930" s="22"/>
      <c r="CJ930" s="149"/>
      <c r="CK930" s="241"/>
    </row>
    <row r="931" spans="1:89" ht="15" customHeight="1" x14ac:dyDescent="0.35">
      <c r="A931" s="17"/>
      <c r="B931" s="313">
        <v>39043</v>
      </c>
      <c r="C931" s="8" t="s">
        <v>344</v>
      </c>
      <c r="D931" s="18">
        <v>17</v>
      </c>
      <c r="E931" s="131" t="s">
        <v>1309</v>
      </c>
      <c r="F931" s="22" t="s">
        <v>1309</v>
      </c>
      <c r="G931" s="132" t="s">
        <v>1309</v>
      </c>
      <c r="H931" s="22" t="s">
        <v>1311</v>
      </c>
      <c r="I931" s="22" t="s">
        <v>1327</v>
      </c>
      <c r="J931" s="22" t="s">
        <v>1318</v>
      </c>
      <c r="K931" s="22" t="s">
        <v>1319</v>
      </c>
      <c r="L931" s="22" t="s">
        <v>1311</v>
      </c>
      <c r="M931" s="133" t="s">
        <v>1311</v>
      </c>
      <c r="N931" s="22" t="s">
        <v>1311</v>
      </c>
      <c r="O931" s="22" t="s">
        <v>1314</v>
      </c>
      <c r="P931" s="22" t="s">
        <v>1311</v>
      </c>
      <c r="Q931" s="20">
        <v>0</v>
      </c>
      <c r="R931" s="20">
        <v>0</v>
      </c>
      <c r="S931" s="20">
        <v>0</v>
      </c>
      <c r="T931" s="20">
        <v>0</v>
      </c>
      <c r="U931" s="20">
        <v>2.5</v>
      </c>
      <c r="V931" s="20">
        <v>2.5</v>
      </c>
      <c r="W931" s="20">
        <v>0</v>
      </c>
      <c r="X931" s="20">
        <v>0</v>
      </c>
      <c r="Y931" s="20">
        <v>0</v>
      </c>
      <c r="Z931" s="20">
        <v>0</v>
      </c>
      <c r="AA931" s="20" t="s">
        <v>1317</v>
      </c>
      <c r="AB931" s="22" t="s">
        <v>1318</v>
      </c>
      <c r="AC931" s="20">
        <v>0</v>
      </c>
      <c r="AD931" s="20">
        <v>0</v>
      </c>
      <c r="AE931" s="20">
        <v>0</v>
      </c>
      <c r="AF931" s="20">
        <v>0</v>
      </c>
      <c r="AG931" s="20">
        <v>0</v>
      </c>
      <c r="AH931" s="20">
        <v>0</v>
      </c>
      <c r="AI931" s="328" t="s">
        <v>1328</v>
      </c>
      <c r="AJ931" s="328" t="s">
        <v>1328</v>
      </c>
      <c r="AK931" s="328" t="s">
        <v>1328</v>
      </c>
      <c r="AL931" s="22" t="s">
        <v>1315</v>
      </c>
      <c r="AM931" s="22" t="s">
        <v>1315</v>
      </c>
      <c r="AN931" s="22" t="s">
        <v>1317</v>
      </c>
      <c r="AO931" s="22" t="s">
        <v>1318</v>
      </c>
      <c r="AP931" s="22" t="s">
        <v>1318</v>
      </c>
      <c r="AQ931" s="22" t="s">
        <v>1318</v>
      </c>
      <c r="AR931" s="22" t="s">
        <v>1309</v>
      </c>
      <c r="AS931" s="22" t="s">
        <v>1311</v>
      </c>
      <c r="AT931" s="22" t="s">
        <v>1317</v>
      </c>
      <c r="AU931" s="22" t="s">
        <v>1311</v>
      </c>
      <c r="AV931" s="22" t="s">
        <v>1317</v>
      </c>
      <c r="AW931" s="22" t="s">
        <v>1318</v>
      </c>
      <c r="AX931" s="22" t="s">
        <v>1317</v>
      </c>
      <c r="AY931" s="22" t="s">
        <v>1318</v>
      </c>
      <c r="AZ931" s="22" t="s">
        <v>1317</v>
      </c>
      <c r="BA931" s="22" t="s">
        <v>1318</v>
      </c>
      <c r="BB931" s="22" t="s">
        <v>1309</v>
      </c>
      <c r="BC931" s="22" t="s">
        <v>1311</v>
      </c>
      <c r="BD931" s="22" t="s">
        <v>1317</v>
      </c>
      <c r="BE931" s="22" t="s">
        <v>1318</v>
      </c>
      <c r="BF931" s="22" t="s">
        <v>1317</v>
      </c>
      <c r="BG931" s="22" t="s">
        <v>1318</v>
      </c>
      <c r="BH931" s="22" t="s">
        <v>1317</v>
      </c>
      <c r="BI931" s="22" t="s">
        <v>1318</v>
      </c>
      <c r="BJ931" s="22" t="s">
        <v>1317</v>
      </c>
      <c r="BK931" s="22" t="s">
        <v>1311</v>
      </c>
      <c r="BL931" s="22" t="s">
        <v>1319</v>
      </c>
      <c r="BM931" s="22" t="s">
        <v>1311</v>
      </c>
      <c r="BN931" s="22" t="s">
        <v>1317</v>
      </c>
      <c r="BO931" s="22" t="s">
        <v>1318</v>
      </c>
      <c r="BP931" s="22" t="s">
        <v>1317</v>
      </c>
      <c r="BQ931" s="22" t="s">
        <v>1318</v>
      </c>
      <c r="BR931" s="22" t="s">
        <v>1319</v>
      </c>
      <c r="BS931" s="22" t="s">
        <v>1311</v>
      </c>
      <c r="BT931" s="22" t="s">
        <v>1317</v>
      </c>
      <c r="BU931" s="22" t="s">
        <v>1318</v>
      </c>
      <c r="BV931" s="22" t="s">
        <v>1319</v>
      </c>
      <c r="BW931" s="22" t="s">
        <v>1311</v>
      </c>
      <c r="BX931" s="20">
        <v>0</v>
      </c>
      <c r="BY931" s="20">
        <v>0</v>
      </c>
      <c r="BZ931" s="20">
        <v>16</v>
      </c>
      <c r="CA931" s="20">
        <v>0</v>
      </c>
      <c r="CB931" s="20">
        <v>0</v>
      </c>
      <c r="CC931" s="20">
        <v>142</v>
      </c>
      <c r="CD931" s="22" t="s">
        <v>1317</v>
      </c>
      <c r="CE931" s="22" t="s">
        <v>1318</v>
      </c>
      <c r="CF931" s="22" t="s">
        <v>1317</v>
      </c>
      <c r="CG931" s="22" t="s">
        <v>1318</v>
      </c>
      <c r="CH931" s="22" t="s">
        <v>1317</v>
      </c>
      <c r="CI931" s="22" t="s">
        <v>1318</v>
      </c>
      <c r="CJ931" s="149" t="s">
        <v>1124</v>
      </c>
      <c r="CK931" s="241" t="s">
        <v>1358</v>
      </c>
    </row>
    <row r="932" spans="1:89" ht="15" customHeight="1" x14ac:dyDescent="0.35">
      <c r="A932" s="17"/>
      <c r="B932" s="313">
        <v>9055</v>
      </c>
      <c r="C932" s="8" t="s">
        <v>1106</v>
      </c>
      <c r="D932" s="18">
        <v>1</v>
      </c>
      <c r="E932" s="131" t="s">
        <v>1319</v>
      </c>
      <c r="F932" s="22" t="s">
        <v>1490</v>
      </c>
      <c r="G932" s="132" t="s">
        <v>1309</v>
      </c>
      <c r="H932" s="22" t="s">
        <v>1311</v>
      </c>
      <c r="I932" s="22" t="s">
        <v>1327</v>
      </c>
      <c r="J932" s="22" t="s">
        <v>1327</v>
      </c>
      <c r="K932" s="22" t="s">
        <v>1309</v>
      </c>
      <c r="L932" s="22" t="s">
        <v>1309</v>
      </c>
      <c r="M932" s="133" t="s">
        <v>1311</v>
      </c>
      <c r="N932" s="22" t="s">
        <v>1311</v>
      </c>
      <c r="O932" s="22" t="s">
        <v>1314</v>
      </c>
      <c r="P932" s="22" t="s">
        <v>1318</v>
      </c>
      <c r="Q932" s="20">
        <v>0</v>
      </c>
      <c r="R932" s="20">
        <v>0</v>
      </c>
      <c r="S932" s="20">
        <v>0</v>
      </c>
      <c r="T932" s="20">
        <v>0</v>
      </c>
      <c r="U932" s="20">
        <v>0</v>
      </c>
      <c r="V932" s="20">
        <v>0</v>
      </c>
      <c r="W932" s="20">
        <v>0</v>
      </c>
      <c r="X932" s="20">
        <v>0</v>
      </c>
      <c r="Y932" s="20">
        <v>0</v>
      </c>
      <c r="Z932" s="20">
        <v>0</v>
      </c>
      <c r="AA932" s="20" t="s">
        <v>1317</v>
      </c>
      <c r="AB932" s="22" t="s">
        <v>1318</v>
      </c>
      <c r="AC932" s="20">
        <v>0</v>
      </c>
      <c r="AD932" s="20">
        <v>0</v>
      </c>
      <c r="AE932" s="20">
        <v>0</v>
      </c>
      <c r="AF932" s="20">
        <v>0</v>
      </c>
      <c r="AG932" s="20">
        <v>0</v>
      </c>
      <c r="AH932" s="20">
        <v>0</v>
      </c>
      <c r="AI932" s="328" t="s">
        <v>1328</v>
      </c>
      <c r="AJ932" s="328" t="s">
        <v>1328</v>
      </c>
      <c r="AK932" s="328" t="s">
        <v>1328</v>
      </c>
      <c r="AL932" s="22" t="s">
        <v>1329</v>
      </c>
      <c r="AM932" s="22" t="s">
        <v>1330</v>
      </c>
      <c r="AN932" s="22" t="s">
        <v>1317</v>
      </c>
      <c r="AO932" s="22" t="s">
        <v>1318</v>
      </c>
      <c r="AP932" s="22" t="s">
        <v>1318</v>
      </c>
      <c r="AQ932" s="22" t="s">
        <v>1318</v>
      </c>
      <c r="AR932" s="22" t="s">
        <v>1317</v>
      </c>
      <c r="AS932" s="22" t="s">
        <v>1318</v>
      </c>
      <c r="AT932" s="22" t="s">
        <v>1309</v>
      </c>
      <c r="AU932" s="22" t="s">
        <v>1309</v>
      </c>
      <c r="AV932" s="22" t="s">
        <v>1317</v>
      </c>
      <c r="AW932" s="22" t="s">
        <v>1318</v>
      </c>
      <c r="AX932" s="22" t="s">
        <v>1317</v>
      </c>
      <c r="AY932" s="22" t="s">
        <v>1318</v>
      </c>
      <c r="AZ932" s="22" t="s">
        <v>1309</v>
      </c>
      <c r="BA932" s="22" t="s">
        <v>1309</v>
      </c>
      <c r="BB932" s="22" t="s">
        <v>1309</v>
      </c>
      <c r="BC932" s="22" t="s">
        <v>1309</v>
      </c>
      <c r="BD932" s="22" t="s">
        <v>1317</v>
      </c>
      <c r="BE932" s="22" t="s">
        <v>1318</v>
      </c>
      <c r="BF932" s="22" t="s">
        <v>1317</v>
      </c>
      <c r="BG932" s="22" t="s">
        <v>1318</v>
      </c>
      <c r="BH932" s="22" t="s">
        <v>1317</v>
      </c>
      <c r="BI932" s="22" t="s">
        <v>1318</v>
      </c>
      <c r="BJ932" s="22" t="s">
        <v>1309</v>
      </c>
      <c r="BK932" s="22" t="s">
        <v>1309</v>
      </c>
      <c r="BL932" s="22" t="s">
        <v>1317</v>
      </c>
      <c r="BM932" s="22" t="s">
        <v>1311</v>
      </c>
      <c r="BN932" s="22" t="s">
        <v>1317</v>
      </c>
      <c r="BO932" s="22" t="s">
        <v>1318</v>
      </c>
      <c r="BP932" s="22" t="s">
        <v>1315</v>
      </c>
      <c r="BQ932" s="22" t="s">
        <v>1315</v>
      </c>
      <c r="BR932" s="22" t="s">
        <v>1309</v>
      </c>
      <c r="BS932" s="22" t="s">
        <v>1309</v>
      </c>
      <c r="BT932" s="22" t="s">
        <v>1315</v>
      </c>
      <c r="BU932" s="22" t="s">
        <v>1315</v>
      </c>
      <c r="BV932" s="22" t="s">
        <v>1317</v>
      </c>
      <c r="BW932" s="22" t="s">
        <v>1311</v>
      </c>
      <c r="BX932" s="20">
        <v>0</v>
      </c>
      <c r="BY932" s="20">
        <v>0</v>
      </c>
      <c r="BZ932" s="20">
        <v>9</v>
      </c>
      <c r="CA932" s="20">
        <v>0</v>
      </c>
      <c r="CB932" s="20">
        <v>0</v>
      </c>
      <c r="CC932" s="20">
        <v>226</v>
      </c>
      <c r="CD932" s="22" t="s">
        <v>1317</v>
      </c>
      <c r="CE932" s="22" t="s">
        <v>1318</v>
      </c>
      <c r="CF932" s="22" t="s">
        <v>1317</v>
      </c>
      <c r="CG932" s="22" t="s">
        <v>1318</v>
      </c>
      <c r="CH932" s="22" t="s">
        <v>1317</v>
      </c>
      <c r="CI932" s="22" t="s">
        <v>1318</v>
      </c>
      <c r="CJ932" s="149" t="s">
        <v>1124</v>
      </c>
      <c r="CK932" s="241" t="s">
        <v>1124</v>
      </c>
    </row>
    <row r="933" spans="1:89" ht="15" customHeight="1" x14ac:dyDescent="0.35">
      <c r="A933" s="17"/>
      <c r="B933" s="313">
        <v>27035</v>
      </c>
      <c r="C933" s="8" t="s">
        <v>181</v>
      </c>
      <c r="D933" s="18">
        <v>12</v>
      </c>
      <c r="E933" s="131" t="s">
        <v>1309</v>
      </c>
      <c r="F933" s="22" t="s">
        <v>1309</v>
      </c>
      <c r="G933" s="132" t="s">
        <v>1309</v>
      </c>
      <c r="H933" s="22" t="s">
        <v>1311</v>
      </c>
      <c r="I933" s="22" t="s">
        <v>1327</v>
      </c>
      <c r="J933" s="22" t="s">
        <v>1327</v>
      </c>
      <c r="K933" s="22" t="s">
        <v>1319</v>
      </c>
      <c r="L933" s="22" t="s">
        <v>1311</v>
      </c>
      <c r="M933" s="133" t="s">
        <v>1311</v>
      </c>
      <c r="N933" s="22" t="s">
        <v>1311</v>
      </c>
      <c r="O933" s="22" t="s">
        <v>1314</v>
      </c>
      <c r="P933" s="22" t="s">
        <v>1318</v>
      </c>
      <c r="Q933" s="20">
        <v>0</v>
      </c>
      <c r="R933" s="20">
        <v>0</v>
      </c>
      <c r="S933" s="20">
        <v>0</v>
      </c>
      <c r="T933" s="20">
        <v>0</v>
      </c>
      <c r="U933" s="20">
        <v>0</v>
      </c>
      <c r="V933" s="20">
        <v>0</v>
      </c>
      <c r="W933" s="20">
        <v>0</v>
      </c>
      <c r="X933" s="20">
        <v>0</v>
      </c>
      <c r="Y933" s="20">
        <v>0</v>
      </c>
      <c r="Z933" s="20">
        <v>0</v>
      </c>
      <c r="AA933" s="20" t="s">
        <v>1317</v>
      </c>
      <c r="AB933" s="22" t="s">
        <v>1318</v>
      </c>
      <c r="AC933" s="20">
        <v>1</v>
      </c>
      <c r="AD933" s="20">
        <v>0</v>
      </c>
      <c r="AE933" s="20">
        <v>1</v>
      </c>
      <c r="AF933" s="20">
        <v>1</v>
      </c>
      <c r="AG933" s="20">
        <v>0</v>
      </c>
      <c r="AH933" s="20">
        <v>1</v>
      </c>
      <c r="AI933" s="328">
        <v>10.770059235325794</v>
      </c>
      <c r="AJ933" s="328" t="s">
        <v>1328</v>
      </c>
      <c r="AK933" s="328">
        <v>3.0487804878048781</v>
      </c>
      <c r="AL933" s="22" t="s">
        <v>1329</v>
      </c>
      <c r="AM933" s="22" t="s">
        <v>1330</v>
      </c>
      <c r="AN933" s="22" t="s">
        <v>1317</v>
      </c>
      <c r="AO933" s="22" t="s">
        <v>1318</v>
      </c>
      <c r="AP933" s="22" t="s">
        <v>1318</v>
      </c>
      <c r="AQ933" s="22" t="s">
        <v>1318</v>
      </c>
      <c r="AR933" s="22" t="s">
        <v>1317</v>
      </c>
      <c r="AS933" s="22" t="s">
        <v>1318</v>
      </c>
      <c r="AT933" s="22" t="s">
        <v>1317</v>
      </c>
      <c r="AU933" s="22" t="s">
        <v>1318</v>
      </c>
      <c r="AV933" s="22" t="s">
        <v>1317</v>
      </c>
      <c r="AW933" s="22" t="s">
        <v>1318</v>
      </c>
      <c r="AX933" s="22" t="s">
        <v>1317</v>
      </c>
      <c r="AY933" s="22" t="s">
        <v>1318</v>
      </c>
      <c r="AZ933" s="22" t="s">
        <v>1309</v>
      </c>
      <c r="BA933" s="22" t="s">
        <v>1309</v>
      </c>
      <c r="BB933" s="22" t="s">
        <v>1309</v>
      </c>
      <c r="BC933" s="22" t="s">
        <v>1309</v>
      </c>
      <c r="BD933" s="22" t="s">
        <v>1317</v>
      </c>
      <c r="BE933" s="22" t="s">
        <v>1318</v>
      </c>
      <c r="BF933" s="22" t="s">
        <v>1317</v>
      </c>
      <c r="BG933" s="22" t="s">
        <v>1318</v>
      </c>
      <c r="BH933" s="22" t="s">
        <v>1317</v>
      </c>
      <c r="BI933" s="22" t="s">
        <v>1311</v>
      </c>
      <c r="BJ933" s="22" t="s">
        <v>1317</v>
      </c>
      <c r="BK933" s="22" t="s">
        <v>1318</v>
      </c>
      <c r="BL933" s="22" t="s">
        <v>1319</v>
      </c>
      <c r="BM933" s="22" t="s">
        <v>1311</v>
      </c>
      <c r="BN933" s="22" t="s">
        <v>1309</v>
      </c>
      <c r="BO933" s="22" t="s">
        <v>1309</v>
      </c>
      <c r="BP933" s="22" t="s">
        <v>1319</v>
      </c>
      <c r="BQ933" s="22" t="s">
        <v>1311</v>
      </c>
      <c r="BR933" s="22" t="s">
        <v>1309</v>
      </c>
      <c r="BS933" s="22" t="s">
        <v>1309</v>
      </c>
      <c r="BT933" s="22" t="s">
        <v>1309</v>
      </c>
      <c r="BU933" s="22" t="s">
        <v>1309</v>
      </c>
      <c r="BV933" s="22" t="s">
        <v>1309</v>
      </c>
      <c r="BW933" s="22" t="s">
        <v>1309</v>
      </c>
      <c r="BX933" s="20">
        <v>0</v>
      </c>
      <c r="BY933" s="20">
        <v>0</v>
      </c>
      <c r="BZ933" s="20">
        <v>8</v>
      </c>
      <c r="CA933" s="20">
        <v>0</v>
      </c>
      <c r="CB933" s="20">
        <v>0</v>
      </c>
      <c r="CC933" s="20">
        <v>320</v>
      </c>
      <c r="CD933" s="22" t="s">
        <v>1317</v>
      </c>
      <c r="CE933" s="22" t="s">
        <v>1318</v>
      </c>
      <c r="CF933" s="22" t="s">
        <v>1317</v>
      </c>
      <c r="CG933" s="22" t="s">
        <v>1318</v>
      </c>
      <c r="CH933" s="22" t="s">
        <v>1317</v>
      </c>
      <c r="CI933" s="22" t="s">
        <v>1318</v>
      </c>
      <c r="CJ933" s="149" t="s">
        <v>1124</v>
      </c>
      <c r="CK933" s="241" t="s">
        <v>1386</v>
      </c>
    </row>
    <row r="934" spans="1:89" ht="15" customHeight="1" x14ac:dyDescent="0.35">
      <c r="A934" s="17"/>
      <c r="B934" s="313">
        <v>17005</v>
      </c>
      <c r="C934" s="8" t="s">
        <v>90</v>
      </c>
      <c r="D934" s="18">
        <v>12</v>
      </c>
      <c r="E934" s="131"/>
      <c r="F934" s="22"/>
      <c r="G934" s="132"/>
      <c r="H934" s="22"/>
      <c r="I934" s="22"/>
      <c r="J934" s="22"/>
      <c r="K934" s="22"/>
      <c r="L934" s="22"/>
      <c r="M934" s="133"/>
      <c r="N934" s="22"/>
      <c r="O934" s="22"/>
      <c r="P934" s="22"/>
      <c r="Q934" s="20"/>
      <c r="R934" s="20"/>
      <c r="S934" s="20"/>
      <c r="T934" s="20"/>
      <c r="U934" s="20"/>
      <c r="V934" s="20"/>
      <c r="W934" s="20"/>
      <c r="X934" s="20"/>
      <c r="Y934" s="20"/>
      <c r="Z934" s="20"/>
      <c r="AA934" s="20"/>
      <c r="AB934" s="22"/>
      <c r="AC934" s="20"/>
      <c r="AD934" s="20"/>
      <c r="AE934" s="20"/>
      <c r="AF934" s="20" t="s">
        <v>1124</v>
      </c>
      <c r="AG934" s="20" t="s">
        <v>1124</v>
      </c>
      <c r="AH934" s="20" t="s">
        <v>1124</v>
      </c>
      <c r="AI934" s="328"/>
      <c r="AJ934" s="328"/>
      <c r="AK934" s="328"/>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0"/>
      <c r="BY934" s="20"/>
      <c r="BZ934" s="20"/>
      <c r="CA934" s="20"/>
      <c r="CB934" s="20"/>
      <c r="CC934" s="20"/>
      <c r="CD934" s="22"/>
      <c r="CE934" s="22"/>
      <c r="CF934" s="22"/>
      <c r="CG934" s="22"/>
      <c r="CH934" s="22"/>
      <c r="CI934" s="22"/>
      <c r="CJ934" s="149"/>
      <c r="CK934" s="241"/>
    </row>
    <row r="935" spans="1:89" ht="15" customHeight="1" x14ac:dyDescent="0.35">
      <c r="A935" s="17"/>
      <c r="B935" s="313">
        <v>14080</v>
      </c>
      <c r="C935" s="8" t="s">
        <v>74</v>
      </c>
      <c r="D935" s="18">
        <v>1</v>
      </c>
      <c r="E935" s="131"/>
      <c r="F935" s="22"/>
      <c r="G935" s="132"/>
      <c r="H935" s="22"/>
      <c r="I935" s="22"/>
      <c r="J935" s="22"/>
      <c r="K935" s="22"/>
      <c r="L935" s="22"/>
      <c r="M935" s="133"/>
      <c r="N935" s="22"/>
      <c r="O935" s="22"/>
      <c r="P935" s="22"/>
      <c r="Q935" s="20"/>
      <c r="R935" s="20"/>
      <c r="S935" s="20"/>
      <c r="T935" s="20"/>
      <c r="U935" s="20"/>
      <c r="V935" s="20"/>
      <c r="W935" s="20"/>
      <c r="X935" s="20"/>
      <c r="Y935" s="20"/>
      <c r="Z935" s="20"/>
      <c r="AA935" s="20"/>
      <c r="AB935" s="22"/>
      <c r="AC935" s="20"/>
      <c r="AD935" s="20"/>
      <c r="AE935" s="20"/>
      <c r="AF935" s="20" t="s">
        <v>1124</v>
      </c>
      <c r="AG935" s="20" t="s">
        <v>1124</v>
      </c>
      <c r="AH935" s="20" t="s">
        <v>1124</v>
      </c>
      <c r="AI935" s="328"/>
      <c r="AJ935" s="328"/>
      <c r="AK935" s="328"/>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0"/>
      <c r="BY935" s="20"/>
      <c r="BZ935" s="20"/>
      <c r="CA935" s="20"/>
      <c r="CB935" s="20"/>
      <c r="CC935" s="20"/>
      <c r="CD935" s="22"/>
      <c r="CE935" s="22"/>
      <c r="CF935" s="22"/>
      <c r="CG935" s="22"/>
      <c r="CH935" s="22"/>
      <c r="CI935" s="22"/>
      <c r="CJ935" s="149"/>
      <c r="CK935" s="241"/>
    </row>
    <row r="936" spans="1:89" ht="15" customHeight="1" x14ac:dyDescent="0.35">
      <c r="A936" s="17"/>
      <c r="B936" s="313">
        <v>53032</v>
      </c>
      <c r="C936" s="8" t="s">
        <v>535</v>
      </c>
      <c r="D936" s="18">
        <v>16</v>
      </c>
      <c r="E936" s="131" t="s">
        <v>1319</v>
      </c>
      <c r="F936" s="22" t="s">
        <v>1310</v>
      </c>
      <c r="G936" s="132" t="s">
        <v>1309</v>
      </c>
      <c r="H936" s="22" t="s">
        <v>1311</v>
      </c>
      <c r="I936" s="22" t="s">
        <v>1327</v>
      </c>
      <c r="J936" s="22" t="s">
        <v>1327</v>
      </c>
      <c r="K936" s="22" t="s">
        <v>1314</v>
      </c>
      <c r="L936" s="22" t="s">
        <v>1311</v>
      </c>
      <c r="M936" s="133" t="s">
        <v>1311</v>
      </c>
      <c r="N936" s="22" t="s">
        <v>1311</v>
      </c>
      <c r="O936" s="22" t="s">
        <v>1309</v>
      </c>
      <c r="P936" s="22" t="s">
        <v>1309</v>
      </c>
      <c r="Q936" s="20">
        <v>0</v>
      </c>
      <c r="R936" s="20">
        <v>0</v>
      </c>
      <c r="S936" s="20">
        <v>0</v>
      </c>
      <c r="T936" s="20">
        <v>0</v>
      </c>
      <c r="U936" s="20">
        <v>0</v>
      </c>
      <c r="V936" s="20">
        <v>0</v>
      </c>
      <c r="W936" s="20">
        <v>0</v>
      </c>
      <c r="X936" s="20">
        <v>0</v>
      </c>
      <c r="Y936" s="20">
        <v>0</v>
      </c>
      <c r="Z936" s="20">
        <v>0</v>
      </c>
      <c r="AA936" s="20" t="s">
        <v>1317</v>
      </c>
      <c r="AB936" s="22" t="s">
        <v>1318</v>
      </c>
      <c r="AC936" s="20">
        <v>14</v>
      </c>
      <c r="AD936" s="20">
        <v>0</v>
      </c>
      <c r="AE936" s="20">
        <v>3</v>
      </c>
      <c r="AF936" s="20">
        <v>1</v>
      </c>
      <c r="AG936" s="20">
        <v>0</v>
      </c>
      <c r="AH936" s="20">
        <v>1</v>
      </c>
      <c r="AI936" s="328">
        <v>33.269961977186313</v>
      </c>
      <c r="AJ936" s="328" t="s">
        <v>1328</v>
      </c>
      <c r="AK936" s="328">
        <v>3.56718192627824</v>
      </c>
      <c r="AL936" s="22" t="s">
        <v>1329</v>
      </c>
      <c r="AM936" s="22" t="s">
        <v>1330</v>
      </c>
      <c r="AN936" s="22" t="s">
        <v>1317</v>
      </c>
      <c r="AO936" s="22" t="s">
        <v>1318</v>
      </c>
      <c r="AP936" s="22" t="s">
        <v>1318</v>
      </c>
      <c r="AQ936" s="22" t="s">
        <v>1318</v>
      </c>
      <c r="AR936" s="22" t="s">
        <v>1317</v>
      </c>
      <c r="AS936" s="22" t="s">
        <v>1318</v>
      </c>
      <c r="AT936" s="22" t="s">
        <v>1317</v>
      </c>
      <c r="AU936" s="22" t="s">
        <v>1318</v>
      </c>
      <c r="AV936" s="22" t="s">
        <v>1317</v>
      </c>
      <c r="AW936" s="22" t="s">
        <v>1318</v>
      </c>
      <c r="AX936" s="22" t="s">
        <v>1317</v>
      </c>
      <c r="AY936" s="22" t="s">
        <v>1318</v>
      </c>
      <c r="AZ936" s="22" t="s">
        <v>1317</v>
      </c>
      <c r="BA936" s="22" t="s">
        <v>1318</v>
      </c>
      <c r="BB936" s="22" t="s">
        <v>1309</v>
      </c>
      <c r="BC936" s="22" t="s">
        <v>1309</v>
      </c>
      <c r="BD936" s="22" t="s">
        <v>1317</v>
      </c>
      <c r="BE936" s="22" t="s">
        <v>1318</v>
      </c>
      <c r="BF936" s="22" t="s">
        <v>1309</v>
      </c>
      <c r="BG936" s="22" t="s">
        <v>1309</v>
      </c>
      <c r="BH936" s="22" t="s">
        <v>1317</v>
      </c>
      <c r="BI936" s="22" t="s">
        <v>1318</v>
      </c>
      <c r="BJ936" s="22" t="s">
        <v>1317</v>
      </c>
      <c r="BK936" s="22" t="s">
        <v>1318</v>
      </c>
      <c r="BL936" s="22" t="s">
        <v>1317</v>
      </c>
      <c r="BM936" s="22" t="s">
        <v>1318</v>
      </c>
      <c r="BN936" s="22" t="s">
        <v>1309</v>
      </c>
      <c r="BO936" s="22" t="s">
        <v>1309</v>
      </c>
      <c r="BP936" s="22" t="s">
        <v>1317</v>
      </c>
      <c r="BQ936" s="22" t="s">
        <v>1318</v>
      </c>
      <c r="BR936" s="22" t="s">
        <v>1317</v>
      </c>
      <c r="BS936" s="22" t="s">
        <v>1318</v>
      </c>
      <c r="BT936" s="22" t="s">
        <v>1317</v>
      </c>
      <c r="BU936" s="22" t="s">
        <v>1318</v>
      </c>
      <c r="BV936" s="22" t="s">
        <v>1309</v>
      </c>
      <c r="BW936" s="22" t="s">
        <v>1309</v>
      </c>
      <c r="BX936" s="20">
        <v>52</v>
      </c>
      <c r="BY936" s="20">
        <v>0</v>
      </c>
      <c r="BZ936" s="20">
        <v>0</v>
      </c>
      <c r="CA936" s="20">
        <v>789</v>
      </c>
      <c r="CB936" s="20">
        <v>0</v>
      </c>
      <c r="CC936" s="20">
        <v>0</v>
      </c>
      <c r="CD936" s="22" t="s">
        <v>1331</v>
      </c>
      <c r="CE936" s="22" t="s">
        <v>1331</v>
      </c>
      <c r="CF936" s="22" t="s">
        <v>1331</v>
      </c>
      <c r="CG936" s="22" t="s">
        <v>1331</v>
      </c>
      <c r="CH936" s="22" t="s">
        <v>1317</v>
      </c>
      <c r="CI936" s="22" t="s">
        <v>1318</v>
      </c>
      <c r="CJ936" s="149" t="s">
        <v>1124</v>
      </c>
      <c r="CK936" s="241" t="s">
        <v>1386</v>
      </c>
    </row>
    <row r="937" spans="1:89" ht="15" customHeight="1" x14ac:dyDescent="0.35">
      <c r="A937" s="17"/>
      <c r="B937" s="313">
        <v>14070</v>
      </c>
      <c r="C937" s="8" t="s">
        <v>72</v>
      </c>
      <c r="D937" s="18">
        <v>1</v>
      </c>
      <c r="E937" s="131" t="s">
        <v>1309</v>
      </c>
      <c r="F937" s="22" t="s">
        <v>1309</v>
      </c>
      <c r="G937" s="132" t="s">
        <v>1309</v>
      </c>
      <c r="H937" s="22" t="s">
        <v>1311</v>
      </c>
      <c r="I937" s="22" t="s">
        <v>1327</v>
      </c>
      <c r="J937" s="22" t="s">
        <v>1327</v>
      </c>
      <c r="K937" s="22" t="s">
        <v>1314</v>
      </c>
      <c r="L937" s="22" t="s">
        <v>1311</v>
      </c>
      <c r="M937" s="133" t="s">
        <v>1311</v>
      </c>
      <c r="N937" s="22" t="s">
        <v>1311</v>
      </c>
      <c r="O937" s="22" t="s">
        <v>1314</v>
      </c>
      <c r="P937" s="22" t="s">
        <v>1318</v>
      </c>
      <c r="Q937" s="20">
        <v>0</v>
      </c>
      <c r="R937" s="20">
        <v>0</v>
      </c>
      <c r="S937" s="20">
        <v>0</v>
      </c>
      <c r="T937" s="20">
        <v>0</v>
      </c>
      <c r="U937" s="20">
        <v>0</v>
      </c>
      <c r="V937" s="20">
        <v>0</v>
      </c>
      <c r="W937" s="20">
        <v>0</v>
      </c>
      <c r="X937" s="20">
        <v>0</v>
      </c>
      <c r="Y937" s="20">
        <v>0</v>
      </c>
      <c r="Z937" s="20">
        <v>0</v>
      </c>
      <c r="AA937" s="20" t="s">
        <v>1317</v>
      </c>
      <c r="AB937" s="22" t="s">
        <v>1318</v>
      </c>
      <c r="AC937" s="20">
        <v>1</v>
      </c>
      <c r="AD937" s="20">
        <v>0</v>
      </c>
      <c r="AE937" s="20">
        <v>0</v>
      </c>
      <c r="AF937" s="20">
        <v>3</v>
      </c>
      <c r="AG937" s="20">
        <v>0</v>
      </c>
      <c r="AH937" s="20">
        <v>0</v>
      </c>
      <c r="AI937" s="328">
        <v>5.829204313611192</v>
      </c>
      <c r="AJ937" s="328" t="s">
        <v>1328</v>
      </c>
      <c r="AK937" s="328" t="s">
        <v>1328</v>
      </c>
      <c r="AL937" s="22" t="s">
        <v>1329</v>
      </c>
      <c r="AM937" s="22" t="s">
        <v>1330</v>
      </c>
      <c r="AN937" s="22" t="s">
        <v>1317</v>
      </c>
      <c r="AO937" s="22" t="s">
        <v>1318</v>
      </c>
      <c r="AP937" s="22" t="s">
        <v>1318</v>
      </c>
      <c r="AQ937" s="22" t="s">
        <v>1318</v>
      </c>
      <c r="AR937" s="22" t="s">
        <v>1317</v>
      </c>
      <c r="AS937" s="22" t="s">
        <v>1318</v>
      </c>
      <c r="AT937" s="22" t="s">
        <v>1317</v>
      </c>
      <c r="AU937" s="22" t="s">
        <v>1311</v>
      </c>
      <c r="AV937" s="22" t="s">
        <v>1317</v>
      </c>
      <c r="AW937" s="22" t="s">
        <v>1311</v>
      </c>
      <c r="AX937" s="22" t="s">
        <v>1317</v>
      </c>
      <c r="AY937" s="22" t="s">
        <v>1318</v>
      </c>
      <c r="AZ937" s="22" t="s">
        <v>1317</v>
      </c>
      <c r="BA937" s="22" t="s">
        <v>1318</v>
      </c>
      <c r="BB937" s="22" t="s">
        <v>1309</v>
      </c>
      <c r="BC937" s="22" t="s">
        <v>1309</v>
      </c>
      <c r="BD937" s="22" t="s">
        <v>1317</v>
      </c>
      <c r="BE937" s="22" t="s">
        <v>1318</v>
      </c>
      <c r="BF937" s="22" t="s">
        <v>1317</v>
      </c>
      <c r="BG937" s="22" t="s">
        <v>1318</v>
      </c>
      <c r="BH937" s="22" t="s">
        <v>1309</v>
      </c>
      <c r="BI937" s="22" t="s">
        <v>1309</v>
      </c>
      <c r="BJ937" s="22" t="s">
        <v>1317</v>
      </c>
      <c r="BK937" s="22" t="s">
        <v>1318</v>
      </c>
      <c r="BL937" s="22" t="s">
        <v>1319</v>
      </c>
      <c r="BM937" s="22" t="s">
        <v>1311</v>
      </c>
      <c r="BN937" s="22" t="s">
        <v>1309</v>
      </c>
      <c r="BO937" s="22" t="s">
        <v>1309</v>
      </c>
      <c r="BP937" s="22" t="s">
        <v>1315</v>
      </c>
      <c r="BQ937" s="22" t="s">
        <v>1315</v>
      </c>
      <c r="BR937" s="22" t="s">
        <v>1309</v>
      </c>
      <c r="BS937" s="22" t="s">
        <v>1309</v>
      </c>
      <c r="BT937" s="22" t="s">
        <v>1309</v>
      </c>
      <c r="BU937" s="22" t="s">
        <v>1309</v>
      </c>
      <c r="BV937" s="22" t="s">
        <v>1309</v>
      </c>
      <c r="BW937" s="22" t="s">
        <v>1309</v>
      </c>
      <c r="BX937" s="20">
        <v>0</v>
      </c>
      <c r="BY937" s="20">
        <v>0</v>
      </c>
      <c r="BZ937" s="20">
        <v>30</v>
      </c>
      <c r="CA937" s="20">
        <v>0</v>
      </c>
      <c r="CB937" s="20">
        <v>0</v>
      </c>
      <c r="CC937" s="20">
        <v>475</v>
      </c>
      <c r="CD937" s="22" t="s">
        <v>1317</v>
      </c>
      <c r="CE937" s="22" t="s">
        <v>1318</v>
      </c>
      <c r="CF937" s="22" t="s">
        <v>1317</v>
      </c>
      <c r="CG937" s="22" t="s">
        <v>1318</v>
      </c>
      <c r="CH937" s="22" t="s">
        <v>1317</v>
      </c>
      <c r="CI937" s="22" t="s">
        <v>1318</v>
      </c>
      <c r="CJ937" s="149" t="s">
        <v>1124</v>
      </c>
      <c r="CK937" s="241" t="s">
        <v>1414</v>
      </c>
    </row>
    <row r="938" spans="1:89" ht="15" customHeight="1" x14ac:dyDescent="0.35">
      <c r="A938" s="17"/>
      <c r="B938" s="313">
        <v>17010</v>
      </c>
      <c r="C938" s="8" t="s">
        <v>91</v>
      </c>
      <c r="D938" s="18">
        <v>12</v>
      </c>
      <c r="E938" s="131" t="s">
        <v>1309</v>
      </c>
      <c r="F938" s="22" t="s">
        <v>1309</v>
      </c>
      <c r="G938" s="132" t="s">
        <v>1309</v>
      </c>
      <c r="H938" s="22" t="s">
        <v>1311</v>
      </c>
      <c r="I938" s="22" t="s">
        <v>1327</v>
      </c>
      <c r="J938" s="22" t="s">
        <v>1327</v>
      </c>
      <c r="K938" s="22" t="s">
        <v>1314</v>
      </c>
      <c r="L938" s="22" t="s">
        <v>1311</v>
      </c>
      <c r="M938" s="133" t="s">
        <v>1311</v>
      </c>
      <c r="N938" s="22" t="s">
        <v>1311</v>
      </c>
      <c r="O938" s="22" t="s">
        <v>1309</v>
      </c>
      <c r="P938" s="22" t="s">
        <v>1309</v>
      </c>
      <c r="Q938" s="20">
        <v>0</v>
      </c>
      <c r="R938" s="20">
        <v>0</v>
      </c>
      <c r="S938" s="20">
        <v>5</v>
      </c>
      <c r="T938" s="20">
        <v>5</v>
      </c>
      <c r="U938" s="20">
        <v>0</v>
      </c>
      <c r="V938" s="20">
        <v>0</v>
      </c>
      <c r="W938" s="20">
        <v>0</v>
      </c>
      <c r="X938" s="20">
        <v>0</v>
      </c>
      <c r="Y938" s="20">
        <v>0</v>
      </c>
      <c r="Z938" s="20">
        <v>0</v>
      </c>
      <c r="AA938" s="20" t="s">
        <v>1317</v>
      </c>
      <c r="AB938" s="22" t="s">
        <v>1318</v>
      </c>
      <c r="AC938" s="20">
        <v>6</v>
      </c>
      <c r="AD938" s="20">
        <v>0</v>
      </c>
      <c r="AE938" s="20">
        <v>1</v>
      </c>
      <c r="AF938" s="20">
        <v>2</v>
      </c>
      <c r="AG938" s="20">
        <v>0</v>
      </c>
      <c r="AH938" s="20">
        <v>2</v>
      </c>
      <c r="AI938" s="328">
        <v>30.816640986132512</v>
      </c>
      <c r="AJ938" s="328" t="s">
        <v>1328</v>
      </c>
      <c r="AK938" s="328">
        <v>1.5432098765432098</v>
      </c>
      <c r="AL938" s="22" t="s">
        <v>1329</v>
      </c>
      <c r="AM938" s="22" t="s">
        <v>1330</v>
      </c>
      <c r="AN938" s="22" t="s">
        <v>1317</v>
      </c>
      <c r="AO938" s="22" t="s">
        <v>1318</v>
      </c>
      <c r="AP938" s="22" t="s">
        <v>1318</v>
      </c>
      <c r="AQ938" s="22" t="s">
        <v>1318</v>
      </c>
      <c r="AR938" s="22" t="s">
        <v>1317</v>
      </c>
      <c r="AS938" s="22" t="s">
        <v>1318</v>
      </c>
      <c r="AT938" s="22" t="s">
        <v>1317</v>
      </c>
      <c r="AU938" s="22" t="s">
        <v>1318</v>
      </c>
      <c r="AV938" s="22" t="s">
        <v>1309</v>
      </c>
      <c r="AW938" s="22" t="s">
        <v>1309</v>
      </c>
      <c r="AX938" s="22" t="s">
        <v>1317</v>
      </c>
      <c r="AY938" s="22" t="s">
        <v>1318</v>
      </c>
      <c r="AZ938" s="22" t="s">
        <v>1317</v>
      </c>
      <c r="BA938" s="22" t="s">
        <v>1318</v>
      </c>
      <c r="BB938" s="22" t="s">
        <v>1309</v>
      </c>
      <c r="BC938" s="22" t="s">
        <v>1309</v>
      </c>
      <c r="BD938" s="22" t="s">
        <v>1309</v>
      </c>
      <c r="BE938" s="22" t="s">
        <v>1309</v>
      </c>
      <c r="BF938" s="22" t="s">
        <v>1309</v>
      </c>
      <c r="BG938" s="22" t="s">
        <v>1309</v>
      </c>
      <c r="BH938" s="22" t="s">
        <v>1317</v>
      </c>
      <c r="BI938" s="22" t="s">
        <v>1318</v>
      </c>
      <c r="BJ938" s="22" t="s">
        <v>1317</v>
      </c>
      <c r="BK938" s="22" t="s">
        <v>1318</v>
      </c>
      <c r="BL938" s="22" t="s">
        <v>1317</v>
      </c>
      <c r="BM938" s="22" t="s">
        <v>1318</v>
      </c>
      <c r="BN938" s="22" t="s">
        <v>1309</v>
      </c>
      <c r="BO938" s="22" t="s">
        <v>1309</v>
      </c>
      <c r="BP938" s="22" t="s">
        <v>1317</v>
      </c>
      <c r="BQ938" s="22" t="s">
        <v>1311</v>
      </c>
      <c r="BR938" s="22" t="s">
        <v>1309</v>
      </c>
      <c r="BS938" s="22" t="s">
        <v>1309</v>
      </c>
      <c r="BT938" s="22" t="s">
        <v>1309</v>
      </c>
      <c r="BU938" s="22" t="s">
        <v>1309</v>
      </c>
      <c r="BV938" s="22" t="s">
        <v>1317</v>
      </c>
      <c r="BW938" s="22" t="s">
        <v>1318</v>
      </c>
      <c r="BX938" s="20">
        <v>55</v>
      </c>
      <c r="BY938" s="20">
        <v>0</v>
      </c>
      <c r="BZ938" s="20">
        <v>0</v>
      </c>
      <c r="CA938" s="20">
        <v>593</v>
      </c>
      <c r="CB938" s="20">
        <v>0</v>
      </c>
      <c r="CC938" s="20">
        <v>0</v>
      </c>
      <c r="CD938" s="22" t="s">
        <v>1331</v>
      </c>
      <c r="CE938" s="22" t="s">
        <v>1331</v>
      </c>
      <c r="CF938" s="22" t="s">
        <v>1331</v>
      </c>
      <c r="CG938" s="22" t="s">
        <v>1331</v>
      </c>
      <c r="CH938" s="22" t="s">
        <v>1317</v>
      </c>
      <c r="CI938" s="22" t="s">
        <v>1318</v>
      </c>
      <c r="CJ938" s="149" t="s">
        <v>1124</v>
      </c>
      <c r="CK938" s="241" t="s">
        <v>1124</v>
      </c>
    </row>
    <row r="939" spans="1:89" ht="15" customHeight="1" x14ac:dyDescent="0.35">
      <c r="A939" s="17"/>
      <c r="B939" s="313">
        <v>14018</v>
      </c>
      <c r="C939" s="8" t="s">
        <v>62</v>
      </c>
      <c r="D939" s="18">
        <v>1</v>
      </c>
      <c r="E939" s="131" t="s">
        <v>1309</v>
      </c>
      <c r="F939" s="22" t="s">
        <v>1309</v>
      </c>
      <c r="G939" s="132" t="s">
        <v>1309</v>
      </c>
      <c r="H939" s="22" t="s">
        <v>1311</v>
      </c>
      <c r="I939" s="22" t="s">
        <v>1327</v>
      </c>
      <c r="J939" s="22" t="s">
        <v>1327</v>
      </c>
      <c r="K939" s="22" t="s">
        <v>1309</v>
      </c>
      <c r="L939" s="22" t="s">
        <v>1309</v>
      </c>
      <c r="M939" s="133" t="s">
        <v>1311</v>
      </c>
      <c r="N939" s="22" t="s">
        <v>1311</v>
      </c>
      <c r="O939" s="22" t="s">
        <v>1309</v>
      </c>
      <c r="P939" s="22" t="s">
        <v>1309</v>
      </c>
      <c r="Q939" s="20">
        <v>0</v>
      </c>
      <c r="R939" s="20">
        <v>0</v>
      </c>
      <c r="S939" s="20">
        <v>0</v>
      </c>
      <c r="T939" s="20">
        <v>0</v>
      </c>
      <c r="U939" s="20">
        <v>28.8</v>
      </c>
      <c r="V939" s="20">
        <v>28.8</v>
      </c>
      <c r="W939" s="20">
        <v>0</v>
      </c>
      <c r="X939" s="20">
        <v>0</v>
      </c>
      <c r="Y939" s="20">
        <v>0</v>
      </c>
      <c r="Z939" s="20">
        <v>0</v>
      </c>
      <c r="AA939" s="20" t="s">
        <v>1309</v>
      </c>
      <c r="AB939" s="22" t="s">
        <v>1309</v>
      </c>
      <c r="AC939" s="20">
        <v>8</v>
      </c>
      <c r="AD939" s="20">
        <v>2</v>
      </c>
      <c r="AE939" s="20">
        <v>0</v>
      </c>
      <c r="AF939" s="20">
        <v>1</v>
      </c>
      <c r="AG939" s="20">
        <v>1</v>
      </c>
      <c r="AH939" s="20">
        <v>0</v>
      </c>
      <c r="AI939" s="328">
        <v>27.777777777777779</v>
      </c>
      <c r="AJ939" s="328">
        <v>1.9342359767891684</v>
      </c>
      <c r="AK939" s="328" t="s">
        <v>1328</v>
      </c>
      <c r="AL939" s="22" t="s">
        <v>1329</v>
      </c>
      <c r="AM939" s="22" t="s">
        <v>1330</v>
      </c>
      <c r="AN939" s="22" t="s">
        <v>1317</v>
      </c>
      <c r="AO939" s="22" t="s">
        <v>1318</v>
      </c>
      <c r="AP939" s="22" t="s">
        <v>1318</v>
      </c>
      <c r="AQ939" s="22" t="s">
        <v>1318</v>
      </c>
      <c r="AR939" s="22" t="s">
        <v>1317</v>
      </c>
      <c r="AS939" s="22" t="s">
        <v>1318</v>
      </c>
      <c r="AT939" s="22" t="s">
        <v>1309</v>
      </c>
      <c r="AU939" s="22" t="s">
        <v>1309</v>
      </c>
      <c r="AV939" s="22" t="s">
        <v>1309</v>
      </c>
      <c r="AW939" s="22" t="s">
        <v>1309</v>
      </c>
      <c r="AX939" s="22" t="s">
        <v>1317</v>
      </c>
      <c r="AY939" s="22" t="s">
        <v>1318</v>
      </c>
      <c r="AZ939" s="22" t="s">
        <v>1309</v>
      </c>
      <c r="BA939" s="22" t="s">
        <v>1309</v>
      </c>
      <c r="BB939" s="22" t="s">
        <v>1309</v>
      </c>
      <c r="BC939" s="22" t="s">
        <v>1309</v>
      </c>
      <c r="BD939" s="22" t="s">
        <v>1317</v>
      </c>
      <c r="BE939" s="22" t="s">
        <v>1318</v>
      </c>
      <c r="BF939" s="22" t="s">
        <v>1317</v>
      </c>
      <c r="BG939" s="22" t="s">
        <v>1318</v>
      </c>
      <c r="BH939" s="22" t="s">
        <v>1309</v>
      </c>
      <c r="BI939" s="22" t="s">
        <v>1309</v>
      </c>
      <c r="BJ939" s="22" t="s">
        <v>1317</v>
      </c>
      <c r="BK939" s="22" t="s">
        <v>1318</v>
      </c>
      <c r="BL939" s="22" t="s">
        <v>1309</v>
      </c>
      <c r="BM939" s="22" t="s">
        <v>1309</v>
      </c>
      <c r="BN939" s="22" t="s">
        <v>1309</v>
      </c>
      <c r="BO939" s="22" t="s">
        <v>1309</v>
      </c>
      <c r="BP939" s="22" t="s">
        <v>1309</v>
      </c>
      <c r="BQ939" s="22" t="s">
        <v>1309</v>
      </c>
      <c r="BR939" s="22" t="s">
        <v>1309</v>
      </c>
      <c r="BS939" s="22" t="s">
        <v>1309</v>
      </c>
      <c r="BT939" s="22" t="s">
        <v>1309</v>
      </c>
      <c r="BU939" s="22" t="s">
        <v>1309</v>
      </c>
      <c r="BV939" s="22" t="s">
        <v>1309</v>
      </c>
      <c r="BW939" s="22" t="s">
        <v>1309</v>
      </c>
      <c r="BX939" s="20">
        <v>7</v>
      </c>
      <c r="BY939" s="20">
        <v>4</v>
      </c>
      <c r="BZ939" s="20">
        <v>80</v>
      </c>
      <c r="CA939" s="20">
        <v>0</v>
      </c>
      <c r="CB939" s="20">
        <v>1</v>
      </c>
      <c r="CC939" s="20">
        <v>942</v>
      </c>
      <c r="CD939" s="22" t="s">
        <v>1320</v>
      </c>
      <c r="CE939" s="22" t="s">
        <v>1344</v>
      </c>
      <c r="CF939" s="22" t="s">
        <v>1320</v>
      </c>
      <c r="CG939" s="22" t="s">
        <v>1344</v>
      </c>
      <c r="CH939" s="22" t="s">
        <v>1317</v>
      </c>
      <c r="CI939" s="22" t="s">
        <v>1318</v>
      </c>
      <c r="CJ939" s="149" t="s">
        <v>1124</v>
      </c>
      <c r="CK939" s="241" t="s">
        <v>3319</v>
      </c>
    </row>
    <row r="940" spans="1:89" ht="15" customHeight="1" x14ac:dyDescent="0.35">
      <c r="A940" s="17"/>
      <c r="B940" s="313">
        <v>33025</v>
      </c>
      <c r="C940" s="8" t="s">
        <v>269</v>
      </c>
      <c r="D940" s="18">
        <v>12</v>
      </c>
      <c r="E940" s="131" t="s">
        <v>1309</v>
      </c>
      <c r="F940" s="22" t="s">
        <v>1309</v>
      </c>
      <c r="G940" s="132" t="s">
        <v>1309</v>
      </c>
      <c r="H940" s="22" t="s">
        <v>1311</v>
      </c>
      <c r="I940" s="22" t="s">
        <v>1327</v>
      </c>
      <c r="J940" s="22" t="s">
        <v>1327</v>
      </c>
      <c r="K940" s="22" t="s">
        <v>1309</v>
      </c>
      <c r="L940" s="22" t="s">
        <v>1309</v>
      </c>
      <c r="M940" s="133" t="s">
        <v>1311</v>
      </c>
      <c r="N940" s="22" t="s">
        <v>1311</v>
      </c>
      <c r="O940" s="22" t="s">
        <v>1314</v>
      </c>
      <c r="P940" s="22" t="s">
        <v>1318</v>
      </c>
      <c r="Q940" s="20">
        <v>0</v>
      </c>
      <c r="R940" s="20">
        <v>0</v>
      </c>
      <c r="S940" s="20">
        <v>1</v>
      </c>
      <c r="T940" s="20">
        <v>0</v>
      </c>
      <c r="U940" s="20">
        <v>0</v>
      </c>
      <c r="V940" s="20">
        <v>0</v>
      </c>
      <c r="W940" s="20">
        <v>0</v>
      </c>
      <c r="X940" s="20">
        <v>0</v>
      </c>
      <c r="Y940" s="20">
        <v>0</v>
      </c>
      <c r="Z940" s="20">
        <v>0</v>
      </c>
      <c r="AA940" s="20" t="s">
        <v>1317</v>
      </c>
      <c r="AB940" s="22" t="s">
        <v>1318</v>
      </c>
      <c r="AC940" s="20">
        <v>0</v>
      </c>
      <c r="AD940" s="20">
        <v>0</v>
      </c>
      <c r="AE940" s="20">
        <v>0</v>
      </c>
      <c r="AF940" s="20">
        <v>0</v>
      </c>
      <c r="AG940" s="20">
        <v>0</v>
      </c>
      <c r="AH940" s="20">
        <v>0</v>
      </c>
      <c r="AI940" s="328" t="s">
        <v>1328</v>
      </c>
      <c r="AJ940" s="328" t="s">
        <v>1328</v>
      </c>
      <c r="AK940" s="328" t="s">
        <v>1328</v>
      </c>
      <c r="AL940" s="22" t="s">
        <v>1338</v>
      </c>
      <c r="AM940" s="22" t="s">
        <v>1330</v>
      </c>
      <c r="AN940" s="22" t="s">
        <v>1317</v>
      </c>
      <c r="AO940" s="22" t="s">
        <v>1318</v>
      </c>
      <c r="AP940" s="22" t="s">
        <v>1318</v>
      </c>
      <c r="AQ940" s="22" t="s">
        <v>1318</v>
      </c>
      <c r="AR940" s="22" t="s">
        <v>1317</v>
      </c>
      <c r="AS940" s="22" t="s">
        <v>1318</v>
      </c>
      <c r="AT940" s="22" t="s">
        <v>1309</v>
      </c>
      <c r="AU940" s="22" t="s">
        <v>1311</v>
      </c>
      <c r="AV940" s="22" t="s">
        <v>1317</v>
      </c>
      <c r="AW940" s="22" t="s">
        <v>1318</v>
      </c>
      <c r="AX940" s="22" t="s">
        <v>1317</v>
      </c>
      <c r="AY940" s="22" t="s">
        <v>1318</v>
      </c>
      <c r="AZ940" s="22" t="s">
        <v>1309</v>
      </c>
      <c r="BA940" s="22" t="s">
        <v>1311</v>
      </c>
      <c r="BB940" s="22" t="s">
        <v>1309</v>
      </c>
      <c r="BC940" s="22" t="s">
        <v>1311</v>
      </c>
      <c r="BD940" s="22" t="s">
        <v>1317</v>
      </c>
      <c r="BE940" s="22" t="s">
        <v>1318</v>
      </c>
      <c r="BF940" s="22" t="s">
        <v>1317</v>
      </c>
      <c r="BG940" s="22" t="s">
        <v>1318</v>
      </c>
      <c r="BH940" s="22" t="s">
        <v>1309</v>
      </c>
      <c r="BI940" s="22" t="s">
        <v>1309</v>
      </c>
      <c r="BJ940" s="22" t="s">
        <v>1309</v>
      </c>
      <c r="BK940" s="22" t="s">
        <v>1309</v>
      </c>
      <c r="BL940" s="22" t="s">
        <v>1309</v>
      </c>
      <c r="BM940" s="22" t="s">
        <v>1309</v>
      </c>
      <c r="BN940" s="22" t="s">
        <v>1309</v>
      </c>
      <c r="BO940" s="22" t="s">
        <v>1309</v>
      </c>
      <c r="BP940" s="22" t="s">
        <v>1317</v>
      </c>
      <c r="BQ940" s="22" t="s">
        <v>1318</v>
      </c>
      <c r="BR940" s="22" t="s">
        <v>1309</v>
      </c>
      <c r="BS940" s="22" t="s">
        <v>1309</v>
      </c>
      <c r="BT940" s="22" t="s">
        <v>1317</v>
      </c>
      <c r="BU940" s="22" t="s">
        <v>1318</v>
      </c>
      <c r="BV940" s="22" t="s">
        <v>1309</v>
      </c>
      <c r="BW940" s="22" t="s">
        <v>1309</v>
      </c>
      <c r="BX940" s="20">
        <v>1</v>
      </c>
      <c r="BY940" s="20">
        <v>0</v>
      </c>
      <c r="BZ940" s="20">
        <v>25</v>
      </c>
      <c r="CA940" s="20">
        <v>0</v>
      </c>
      <c r="CB940" s="20">
        <v>0</v>
      </c>
      <c r="CC940" s="20">
        <v>224</v>
      </c>
      <c r="CD940" s="22" t="s">
        <v>1317</v>
      </c>
      <c r="CE940" s="22" t="s">
        <v>1318</v>
      </c>
      <c r="CF940" s="22" t="s">
        <v>1317</v>
      </c>
      <c r="CG940" s="22" t="s">
        <v>1318</v>
      </c>
      <c r="CH940" s="22" t="s">
        <v>1317</v>
      </c>
      <c r="CI940" s="22" t="s">
        <v>1318</v>
      </c>
      <c r="CJ940" s="149" t="s">
        <v>1124</v>
      </c>
      <c r="CK940" s="241" t="s">
        <v>3323</v>
      </c>
    </row>
    <row r="941" spans="1:89" ht="15" customHeight="1" x14ac:dyDescent="0.35">
      <c r="A941" s="17"/>
      <c r="B941" s="313">
        <v>68025</v>
      </c>
      <c r="C941" s="8" t="s">
        <v>677</v>
      </c>
      <c r="D941" s="18">
        <v>16</v>
      </c>
      <c r="E941" s="131"/>
      <c r="F941" s="22"/>
      <c r="G941" s="132"/>
      <c r="H941" s="22"/>
      <c r="I941" s="22"/>
      <c r="J941" s="22"/>
      <c r="K941" s="22"/>
      <c r="L941" s="22"/>
      <c r="M941" s="133"/>
      <c r="N941" s="22"/>
      <c r="O941" s="22"/>
      <c r="P941" s="22"/>
      <c r="Q941" s="20"/>
      <c r="R941" s="20"/>
      <c r="S941" s="20"/>
      <c r="T941" s="20"/>
      <c r="U941" s="20"/>
      <c r="V941" s="20"/>
      <c r="W941" s="20"/>
      <c r="X941" s="20"/>
      <c r="Y941" s="20"/>
      <c r="Z941" s="20"/>
      <c r="AA941" s="20"/>
      <c r="AB941" s="22"/>
      <c r="AC941" s="20"/>
      <c r="AD941" s="20"/>
      <c r="AE941" s="20"/>
      <c r="AF941" s="20" t="s">
        <v>1124</v>
      </c>
      <c r="AG941" s="20" t="s">
        <v>1124</v>
      </c>
      <c r="AH941" s="20" t="s">
        <v>1124</v>
      </c>
      <c r="AI941" s="328"/>
      <c r="AJ941" s="328"/>
      <c r="AK941" s="328"/>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0"/>
      <c r="BY941" s="20"/>
      <c r="BZ941" s="20"/>
      <c r="CA941" s="20"/>
      <c r="CB941" s="20"/>
      <c r="CC941" s="20"/>
      <c r="CD941" s="22"/>
      <c r="CE941" s="22"/>
      <c r="CF941" s="22"/>
      <c r="CG941" s="22"/>
      <c r="CH941" s="22"/>
      <c r="CI941" s="22"/>
      <c r="CJ941" s="149"/>
      <c r="CK941" s="241"/>
    </row>
    <row r="942" spans="1:89" ht="15" customHeight="1" x14ac:dyDescent="0.35">
      <c r="A942" s="17"/>
      <c r="B942" s="313">
        <v>61005</v>
      </c>
      <c r="C942" s="8" t="s">
        <v>609</v>
      </c>
      <c r="D942" s="18">
        <v>14</v>
      </c>
      <c r="E942" s="131" t="s">
        <v>1319</v>
      </c>
      <c r="F942" s="22" t="s">
        <v>1310</v>
      </c>
      <c r="G942" s="132" t="s">
        <v>1309</v>
      </c>
      <c r="H942" s="22" t="s">
        <v>1311</v>
      </c>
      <c r="I942" s="22" t="s">
        <v>1315</v>
      </c>
      <c r="J942" s="22" t="s">
        <v>1315</v>
      </c>
      <c r="K942" s="22" t="s">
        <v>1309</v>
      </c>
      <c r="L942" s="22" t="s">
        <v>1309</v>
      </c>
      <c r="M942" s="133" t="s">
        <v>1311</v>
      </c>
      <c r="N942" s="22" t="s">
        <v>1311</v>
      </c>
      <c r="O942" s="22" t="s">
        <v>1315</v>
      </c>
      <c r="P942" s="22" t="s">
        <v>1315</v>
      </c>
      <c r="Q942" s="20">
        <v>24.983000000000001</v>
      </c>
      <c r="R942" s="20">
        <v>30.146999999999998</v>
      </c>
      <c r="S942" s="20">
        <v>30.146999999999998</v>
      </c>
      <c r="T942" s="20">
        <v>30.146999999999998</v>
      </c>
      <c r="U942" s="20">
        <v>0</v>
      </c>
      <c r="V942" s="20">
        <v>0</v>
      </c>
      <c r="W942" s="20">
        <v>0</v>
      </c>
      <c r="X942" s="20">
        <v>0</v>
      </c>
      <c r="Y942" s="20">
        <v>0</v>
      </c>
      <c r="Z942" s="20">
        <v>0</v>
      </c>
      <c r="AA942" s="20" t="s">
        <v>1315</v>
      </c>
      <c r="AB942" s="22" t="s">
        <v>1315</v>
      </c>
      <c r="AC942" s="20">
        <v>0</v>
      </c>
      <c r="AD942" s="20">
        <v>0</v>
      </c>
      <c r="AE942" s="20">
        <v>1</v>
      </c>
      <c r="AF942" s="20">
        <v>0</v>
      </c>
      <c r="AG942" s="20">
        <v>0</v>
      </c>
      <c r="AH942" s="20">
        <v>5</v>
      </c>
      <c r="AI942" s="328" t="s">
        <v>1328</v>
      </c>
      <c r="AJ942" s="328" t="s">
        <v>1328</v>
      </c>
      <c r="AK942" s="328">
        <v>0.58105752469494476</v>
      </c>
      <c r="AL942" s="22" t="s">
        <v>1329</v>
      </c>
      <c r="AM942" s="22" t="s">
        <v>1330</v>
      </c>
      <c r="AN942" s="22" t="s">
        <v>1315</v>
      </c>
      <c r="AO942" s="22" t="s">
        <v>1315</v>
      </c>
      <c r="AP942" s="22" t="s">
        <v>1315</v>
      </c>
      <c r="AQ942" s="22" t="s">
        <v>1315</v>
      </c>
      <c r="AR942" s="22" t="s">
        <v>1317</v>
      </c>
      <c r="AS942" s="22" t="s">
        <v>1318</v>
      </c>
      <c r="AT942" s="22" t="s">
        <v>1309</v>
      </c>
      <c r="AU942" s="22" t="s">
        <v>1309</v>
      </c>
      <c r="AV942" s="22" t="s">
        <v>1309</v>
      </c>
      <c r="AW942" s="22" t="s">
        <v>1309</v>
      </c>
      <c r="AX942" s="22" t="s">
        <v>1317</v>
      </c>
      <c r="AY942" s="22" t="s">
        <v>1318</v>
      </c>
      <c r="AZ942" s="22" t="s">
        <v>1319</v>
      </c>
      <c r="BA942" s="22" t="s">
        <v>1309</v>
      </c>
      <c r="BB942" s="22" t="s">
        <v>1309</v>
      </c>
      <c r="BC942" s="22" t="s">
        <v>1309</v>
      </c>
      <c r="BD942" s="22" t="s">
        <v>1317</v>
      </c>
      <c r="BE942" s="22" t="s">
        <v>1318</v>
      </c>
      <c r="BF942" s="22" t="s">
        <v>1317</v>
      </c>
      <c r="BG942" s="22" t="s">
        <v>1311</v>
      </c>
      <c r="BH942" s="22" t="s">
        <v>1317</v>
      </c>
      <c r="BI942" s="22" t="s">
        <v>1318</v>
      </c>
      <c r="BJ942" s="22" t="s">
        <v>1317</v>
      </c>
      <c r="BK942" s="22" t="s">
        <v>1311</v>
      </c>
      <c r="BL942" s="22" t="s">
        <v>1319</v>
      </c>
      <c r="BM942" s="22" t="s">
        <v>1311</v>
      </c>
      <c r="BN942" s="22" t="s">
        <v>1309</v>
      </c>
      <c r="BO942" s="22" t="s">
        <v>1309</v>
      </c>
      <c r="BP942" s="22" t="s">
        <v>1309</v>
      </c>
      <c r="BQ942" s="22" t="s">
        <v>1309</v>
      </c>
      <c r="BR942" s="22" t="s">
        <v>1317</v>
      </c>
      <c r="BS942" s="22" t="s">
        <v>1311</v>
      </c>
      <c r="BT942" s="22" t="s">
        <v>1317</v>
      </c>
      <c r="BU942" s="22" t="s">
        <v>1311</v>
      </c>
      <c r="BV942" s="22" t="s">
        <v>1309</v>
      </c>
      <c r="BW942" s="22" t="s">
        <v>1309</v>
      </c>
      <c r="BX942" s="20">
        <v>1</v>
      </c>
      <c r="BY942" s="20">
        <v>0</v>
      </c>
      <c r="BZ942" s="20">
        <v>74</v>
      </c>
      <c r="CA942" s="20">
        <v>0</v>
      </c>
      <c r="CB942" s="20">
        <v>0</v>
      </c>
      <c r="CC942" s="20">
        <v>1646</v>
      </c>
      <c r="CD942" s="22" t="s">
        <v>1317</v>
      </c>
      <c r="CE942" s="22" t="s">
        <v>1340</v>
      </c>
      <c r="CF942" s="22" t="s">
        <v>1317</v>
      </c>
      <c r="CG942" s="22" t="s">
        <v>1340</v>
      </c>
      <c r="CH942" s="22" t="s">
        <v>1315</v>
      </c>
      <c r="CI942" s="22" t="s">
        <v>1315</v>
      </c>
      <c r="CJ942" s="149" t="s">
        <v>3332</v>
      </c>
      <c r="CK942" s="241" t="s">
        <v>1357</v>
      </c>
    </row>
    <row r="943" spans="1:89" ht="15" customHeight="1" x14ac:dyDescent="0.35">
      <c r="A943" s="17"/>
      <c r="B943" s="313">
        <v>55015</v>
      </c>
      <c r="C943" s="8" t="s">
        <v>560</v>
      </c>
      <c r="D943" s="18">
        <v>16</v>
      </c>
      <c r="E943" s="131" t="s">
        <v>1309</v>
      </c>
      <c r="F943" s="22" t="s">
        <v>1309</v>
      </c>
      <c r="G943" s="132" t="s">
        <v>1309</v>
      </c>
      <c r="H943" s="22" t="s">
        <v>1311</v>
      </c>
      <c r="I943" s="22" t="s">
        <v>1327</v>
      </c>
      <c r="J943" s="22" t="s">
        <v>1327</v>
      </c>
      <c r="K943" s="22" t="s">
        <v>1314</v>
      </c>
      <c r="L943" s="22" t="s">
        <v>1309</v>
      </c>
      <c r="M943" s="133" t="s">
        <v>1311</v>
      </c>
      <c r="N943" s="22" t="s">
        <v>1311</v>
      </c>
      <c r="O943" s="22" t="s">
        <v>1309</v>
      </c>
      <c r="P943" s="22" t="s">
        <v>1309</v>
      </c>
      <c r="Q943" s="20">
        <v>0</v>
      </c>
      <c r="R943" s="20">
        <v>0</v>
      </c>
      <c r="S943" s="20">
        <v>0</v>
      </c>
      <c r="T943" s="20">
        <v>0</v>
      </c>
      <c r="U943" s="20">
        <v>0</v>
      </c>
      <c r="V943" s="20">
        <v>0</v>
      </c>
      <c r="W943" s="20">
        <v>0</v>
      </c>
      <c r="X943" s="20">
        <v>0</v>
      </c>
      <c r="Y943" s="20">
        <v>0</v>
      </c>
      <c r="Z943" s="20">
        <v>0</v>
      </c>
      <c r="AA943" s="20" t="s">
        <v>1317</v>
      </c>
      <c r="AB943" s="22" t="s">
        <v>1318</v>
      </c>
      <c r="AC943" s="20">
        <v>0</v>
      </c>
      <c r="AD943" s="20">
        <v>2</v>
      </c>
      <c r="AE943" s="20">
        <v>1</v>
      </c>
      <c r="AF943" s="20">
        <v>0</v>
      </c>
      <c r="AG943" s="20">
        <v>2</v>
      </c>
      <c r="AH943" s="20">
        <v>2</v>
      </c>
      <c r="AI943" s="328" t="s">
        <v>1328</v>
      </c>
      <c r="AJ943" s="328">
        <v>7.5757575757575761</v>
      </c>
      <c r="AK943" s="328">
        <v>3.7878787878787881</v>
      </c>
      <c r="AL943" s="22" t="s">
        <v>1329</v>
      </c>
      <c r="AM943" s="22" t="s">
        <v>1330</v>
      </c>
      <c r="AN943" s="22" t="s">
        <v>1317</v>
      </c>
      <c r="AO943" s="22" t="s">
        <v>1318</v>
      </c>
      <c r="AP943" s="22" t="s">
        <v>1318</v>
      </c>
      <c r="AQ943" s="22" t="s">
        <v>1318</v>
      </c>
      <c r="AR943" s="22" t="s">
        <v>1317</v>
      </c>
      <c r="AS943" s="22" t="s">
        <v>1318</v>
      </c>
      <c r="AT943" s="22" t="s">
        <v>1317</v>
      </c>
      <c r="AU943" s="22" t="s">
        <v>1318</v>
      </c>
      <c r="AV943" s="22" t="s">
        <v>1309</v>
      </c>
      <c r="AW943" s="22" t="s">
        <v>1309</v>
      </c>
      <c r="AX943" s="22" t="s">
        <v>1317</v>
      </c>
      <c r="AY943" s="22" t="s">
        <v>1318</v>
      </c>
      <c r="AZ943" s="22" t="s">
        <v>1317</v>
      </c>
      <c r="BA943" s="22" t="s">
        <v>1318</v>
      </c>
      <c r="BB943" s="22" t="s">
        <v>1309</v>
      </c>
      <c r="BC943" s="22" t="s">
        <v>1309</v>
      </c>
      <c r="BD943" s="22" t="s">
        <v>1317</v>
      </c>
      <c r="BE943" s="22" t="s">
        <v>1318</v>
      </c>
      <c r="BF943" s="22" t="s">
        <v>1309</v>
      </c>
      <c r="BG943" s="22" t="s">
        <v>1309</v>
      </c>
      <c r="BH943" s="22" t="s">
        <v>1309</v>
      </c>
      <c r="BI943" s="22" t="s">
        <v>1309</v>
      </c>
      <c r="BJ943" s="22" t="s">
        <v>1317</v>
      </c>
      <c r="BK943" s="22" t="s">
        <v>1318</v>
      </c>
      <c r="BL943" s="22" t="s">
        <v>1317</v>
      </c>
      <c r="BM943" s="22" t="s">
        <v>1318</v>
      </c>
      <c r="BN943" s="22" t="s">
        <v>1309</v>
      </c>
      <c r="BO943" s="22" t="s">
        <v>1309</v>
      </c>
      <c r="BP943" s="22" t="s">
        <v>1317</v>
      </c>
      <c r="BQ943" s="22" t="s">
        <v>1318</v>
      </c>
      <c r="BR943" s="22" t="s">
        <v>1309</v>
      </c>
      <c r="BS943" s="22" t="s">
        <v>1309</v>
      </c>
      <c r="BT943" s="22" t="s">
        <v>1317</v>
      </c>
      <c r="BU943" s="22" t="s">
        <v>1318</v>
      </c>
      <c r="BV943" s="22" t="s">
        <v>1317</v>
      </c>
      <c r="BW943" s="22" t="s">
        <v>1318</v>
      </c>
      <c r="BX943" s="20">
        <v>40</v>
      </c>
      <c r="BY943" s="20">
        <v>0</v>
      </c>
      <c r="BZ943" s="20">
        <v>0</v>
      </c>
      <c r="CA943" s="20">
        <v>224</v>
      </c>
      <c r="CB943" s="20">
        <v>0</v>
      </c>
      <c r="CC943" s="20">
        <v>0</v>
      </c>
      <c r="CD943" s="22" t="s">
        <v>1331</v>
      </c>
      <c r="CE943" s="22" t="s">
        <v>1331</v>
      </c>
      <c r="CF943" s="22" t="s">
        <v>1331</v>
      </c>
      <c r="CG943" s="22" t="s">
        <v>1331</v>
      </c>
      <c r="CH943" s="22" t="s">
        <v>1317</v>
      </c>
      <c r="CI943" s="22" t="s">
        <v>1318</v>
      </c>
      <c r="CJ943" s="149" t="s">
        <v>1124</v>
      </c>
      <c r="CK943" s="241" t="s">
        <v>1386</v>
      </c>
    </row>
    <row r="944" spans="1:89" ht="15" customHeight="1" x14ac:dyDescent="0.35">
      <c r="A944" s="17"/>
      <c r="B944" s="313">
        <v>12035</v>
      </c>
      <c r="C944" s="8" t="s">
        <v>34</v>
      </c>
      <c r="D944" s="18">
        <v>1</v>
      </c>
      <c r="E944" s="131"/>
      <c r="F944" s="22"/>
      <c r="G944" s="132"/>
      <c r="H944" s="22"/>
      <c r="I944" s="22"/>
      <c r="J944" s="22"/>
      <c r="K944" s="22"/>
      <c r="L944" s="22"/>
      <c r="M944" s="133"/>
      <c r="N944" s="22"/>
      <c r="O944" s="22"/>
      <c r="P944" s="22"/>
      <c r="Q944" s="20"/>
      <c r="R944" s="20"/>
      <c r="S944" s="20"/>
      <c r="T944" s="20"/>
      <c r="U944" s="20"/>
      <c r="V944" s="20"/>
      <c r="W944" s="20"/>
      <c r="X944" s="20"/>
      <c r="Y944" s="20"/>
      <c r="Z944" s="20"/>
      <c r="AA944" s="20"/>
      <c r="AB944" s="22"/>
      <c r="AC944" s="20"/>
      <c r="AD944" s="20"/>
      <c r="AE944" s="20"/>
      <c r="AF944" s="20" t="s">
        <v>1124</v>
      </c>
      <c r="AG944" s="20" t="s">
        <v>1124</v>
      </c>
      <c r="AH944" s="20" t="s">
        <v>1124</v>
      </c>
      <c r="AI944" s="328"/>
      <c r="AJ944" s="328"/>
      <c r="AK944" s="328"/>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0"/>
      <c r="BY944" s="20"/>
      <c r="BZ944" s="20"/>
      <c r="CA944" s="20"/>
      <c r="CB944" s="20"/>
      <c r="CC944" s="20"/>
      <c r="CD944" s="22"/>
      <c r="CE944" s="22"/>
      <c r="CF944" s="22"/>
      <c r="CG944" s="22"/>
      <c r="CH944" s="22"/>
      <c r="CI944" s="22"/>
      <c r="CJ944" s="149"/>
      <c r="CK944" s="241"/>
    </row>
    <row r="945" spans="1:89" ht="15" customHeight="1" x14ac:dyDescent="0.35">
      <c r="A945" s="17"/>
      <c r="B945" s="313">
        <v>56035</v>
      </c>
      <c r="C945" s="8" t="s">
        <v>572</v>
      </c>
      <c r="D945" s="18">
        <v>16</v>
      </c>
      <c r="E945" s="131"/>
      <c r="F945" s="22"/>
      <c r="G945" s="132"/>
      <c r="H945" s="22"/>
      <c r="I945" s="22"/>
      <c r="J945" s="22"/>
      <c r="K945" s="22"/>
      <c r="L945" s="22"/>
      <c r="M945" s="133"/>
      <c r="N945" s="22"/>
      <c r="O945" s="22"/>
      <c r="P945" s="22"/>
      <c r="Q945" s="20"/>
      <c r="R945" s="20"/>
      <c r="S945" s="20"/>
      <c r="T945" s="20"/>
      <c r="U945" s="20"/>
      <c r="V945" s="20"/>
      <c r="W945" s="20"/>
      <c r="X945" s="20"/>
      <c r="Y945" s="20"/>
      <c r="Z945" s="20"/>
      <c r="AA945" s="20"/>
      <c r="AB945" s="22"/>
      <c r="AC945" s="20"/>
      <c r="AD945" s="20"/>
      <c r="AE945" s="20"/>
      <c r="AF945" s="20" t="s">
        <v>1124</v>
      </c>
      <c r="AG945" s="20" t="s">
        <v>1124</v>
      </c>
      <c r="AH945" s="20" t="s">
        <v>1124</v>
      </c>
      <c r="AI945" s="328"/>
      <c r="AJ945" s="328"/>
      <c r="AK945" s="328"/>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0"/>
      <c r="BY945" s="20"/>
      <c r="BZ945" s="20"/>
      <c r="CA945" s="20"/>
      <c r="CB945" s="20"/>
      <c r="CC945" s="20"/>
      <c r="CD945" s="22"/>
      <c r="CE945" s="22"/>
      <c r="CF945" s="22"/>
      <c r="CG945" s="22"/>
      <c r="CH945" s="22"/>
      <c r="CI945" s="22"/>
      <c r="CJ945" s="149"/>
      <c r="CK945" s="241"/>
    </row>
    <row r="946" spans="1:89" ht="15" customHeight="1" x14ac:dyDescent="0.35">
      <c r="A946" s="17"/>
      <c r="B946" s="313">
        <v>18030</v>
      </c>
      <c r="C946" s="8" t="s">
        <v>109</v>
      </c>
      <c r="D946" s="18">
        <v>12</v>
      </c>
      <c r="E946" s="131"/>
      <c r="F946" s="22"/>
      <c r="G946" s="132"/>
      <c r="H946" s="22"/>
      <c r="I946" s="22"/>
      <c r="J946" s="22"/>
      <c r="K946" s="22"/>
      <c r="L946" s="22"/>
      <c r="M946" s="133"/>
      <c r="N946" s="22"/>
      <c r="O946" s="22"/>
      <c r="P946" s="22"/>
      <c r="Q946" s="20"/>
      <c r="R946" s="20"/>
      <c r="S946" s="20"/>
      <c r="T946" s="20"/>
      <c r="U946" s="20"/>
      <c r="V946" s="20"/>
      <c r="W946" s="20"/>
      <c r="X946" s="20"/>
      <c r="Y946" s="20"/>
      <c r="Z946" s="20"/>
      <c r="AA946" s="20"/>
      <c r="AB946" s="22"/>
      <c r="AC946" s="20"/>
      <c r="AD946" s="20"/>
      <c r="AE946" s="20"/>
      <c r="AF946" s="20" t="s">
        <v>1124</v>
      </c>
      <c r="AG946" s="20" t="s">
        <v>1124</v>
      </c>
      <c r="AH946" s="20" t="s">
        <v>1124</v>
      </c>
      <c r="AI946" s="328"/>
      <c r="AJ946" s="328"/>
      <c r="AK946" s="328"/>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0"/>
      <c r="BY946" s="20"/>
      <c r="BZ946" s="20"/>
      <c r="CA946" s="20"/>
      <c r="CB946" s="20"/>
      <c r="CC946" s="20"/>
      <c r="CD946" s="22"/>
      <c r="CE946" s="22"/>
      <c r="CF946" s="22"/>
      <c r="CG946" s="22"/>
      <c r="CH946" s="22"/>
      <c r="CI946" s="22"/>
      <c r="CJ946" s="149"/>
      <c r="CK946" s="241"/>
    </row>
    <row r="947" spans="1:89" ht="15" customHeight="1" x14ac:dyDescent="0.35">
      <c r="A947" s="17"/>
      <c r="B947" s="313">
        <v>51060</v>
      </c>
      <c r="C947" s="8" t="s">
        <v>508</v>
      </c>
      <c r="D947" s="18">
        <v>4</v>
      </c>
      <c r="E947" s="131"/>
      <c r="F947" s="22"/>
      <c r="G947" s="132"/>
      <c r="H947" s="22"/>
      <c r="I947" s="22"/>
      <c r="J947" s="22"/>
      <c r="K947" s="22"/>
      <c r="L947" s="22"/>
      <c r="M947" s="133"/>
      <c r="N947" s="22"/>
      <c r="O947" s="22"/>
      <c r="P947" s="22"/>
      <c r="Q947" s="20"/>
      <c r="R947" s="20"/>
      <c r="S947" s="20"/>
      <c r="T947" s="20"/>
      <c r="U947" s="20"/>
      <c r="V947" s="20"/>
      <c r="W947" s="20"/>
      <c r="X947" s="20"/>
      <c r="Y947" s="20"/>
      <c r="Z947" s="20"/>
      <c r="AA947" s="20"/>
      <c r="AB947" s="22"/>
      <c r="AC947" s="20"/>
      <c r="AD947" s="20"/>
      <c r="AE947" s="20"/>
      <c r="AF947" s="20" t="s">
        <v>1124</v>
      </c>
      <c r="AG947" s="20" t="s">
        <v>1124</v>
      </c>
      <c r="AH947" s="20" t="s">
        <v>1124</v>
      </c>
      <c r="AI947" s="328"/>
      <c r="AJ947" s="328"/>
      <c r="AK947" s="328"/>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0"/>
      <c r="BY947" s="20"/>
      <c r="BZ947" s="20"/>
      <c r="CA947" s="20"/>
      <c r="CB947" s="20"/>
      <c r="CC947" s="20"/>
      <c r="CD947" s="22"/>
      <c r="CE947" s="22"/>
      <c r="CF947" s="22"/>
      <c r="CG947" s="22"/>
      <c r="CH947" s="22"/>
      <c r="CI947" s="22"/>
      <c r="CJ947" s="149"/>
      <c r="CK947" s="241"/>
    </row>
    <row r="948" spans="1:89" ht="15" customHeight="1" x14ac:dyDescent="0.35">
      <c r="A948" s="17"/>
      <c r="B948" s="313">
        <v>19005</v>
      </c>
      <c r="C948" s="8" t="s">
        <v>118</v>
      </c>
      <c r="D948" s="18">
        <v>12</v>
      </c>
      <c r="E948" s="131" t="s">
        <v>1309</v>
      </c>
      <c r="F948" s="22" t="s">
        <v>1309</v>
      </c>
      <c r="G948" s="132" t="s">
        <v>1309</v>
      </c>
      <c r="H948" s="22" t="s">
        <v>1311</v>
      </c>
      <c r="I948" s="22" t="s">
        <v>1349</v>
      </c>
      <c r="J948" s="22" t="s">
        <v>1327</v>
      </c>
      <c r="K948" s="22" t="s">
        <v>1314</v>
      </c>
      <c r="L948" s="22" t="s">
        <v>1311</v>
      </c>
      <c r="M948" s="133" t="s">
        <v>1311</v>
      </c>
      <c r="N948" s="22" t="s">
        <v>1311</v>
      </c>
      <c r="O948" s="22" t="s">
        <v>1314</v>
      </c>
      <c r="P948" s="22" t="s">
        <v>1318</v>
      </c>
      <c r="Q948" s="20">
        <v>0</v>
      </c>
      <c r="R948" s="20">
        <v>0</v>
      </c>
      <c r="S948" s="20">
        <v>0</v>
      </c>
      <c r="T948" s="20">
        <v>0</v>
      </c>
      <c r="U948" s="20">
        <v>0</v>
      </c>
      <c r="V948" s="20">
        <v>0</v>
      </c>
      <c r="W948" s="20">
        <v>0</v>
      </c>
      <c r="X948" s="20">
        <v>0</v>
      </c>
      <c r="Y948" s="20">
        <v>0</v>
      </c>
      <c r="Z948" s="20">
        <v>0</v>
      </c>
      <c r="AA948" s="20" t="s">
        <v>1317</v>
      </c>
      <c r="AB948" s="22" t="s">
        <v>1309</v>
      </c>
      <c r="AC948" s="20">
        <v>2</v>
      </c>
      <c r="AD948" s="20">
        <v>2</v>
      </c>
      <c r="AE948" s="20">
        <v>0</v>
      </c>
      <c r="AF948" s="20">
        <v>3</v>
      </c>
      <c r="AG948" s="20">
        <v>3</v>
      </c>
      <c r="AH948" s="20">
        <v>0</v>
      </c>
      <c r="AI948" s="328">
        <v>16.643088957310479</v>
      </c>
      <c r="AJ948" s="328">
        <v>4.1580041580041582</v>
      </c>
      <c r="AK948" s="328" t="s">
        <v>1328</v>
      </c>
      <c r="AL948" s="22" t="s">
        <v>1329</v>
      </c>
      <c r="AM948" s="22" t="s">
        <v>1330</v>
      </c>
      <c r="AN948" s="22" t="s">
        <v>1317</v>
      </c>
      <c r="AO948" s="22" t="s">
        <v>1318</v>
      </c>
      <c r="AP948" s="22" t="s">
        <v>1318</v>
      </c>
      <c r="AQ948" s="22" t="s">
        <v>1318</v>
      </c>
      <c r="AR948" s="22" t="s">
        <v>1317</v>
      </c>
      <c r="AS948" s="22" t="s">
        <v>1318</v>
      </c>
      <c r="AT948" s="22" t="s">
        <v>1317</v>
      </c>
      <c r="AU948" s="22" t="s">
        <v>1318</v>
      </c>
      <c r="AV948" s="22" t="s">
        <v>1309</v>
      </c>
      <c r="AW948" s="22" t="s">
        <v>1318</v>
      </c>
      <c r="AX948" s="22" t="s">
        <v>1317</v>
      </c>
      <c r="AY948" s="22" t="s">
        <v>1318</v>
      </c>
      <c r="AZ948" s="22" t="s">
        <v>1317</v>
      </c>
      <c r="BA948" s="22" t="s">
        <v>1318</v>
      </c>
      <c r="BB948" s="22" t="s">
        <v>1309</v>
      </c>
      <c r="BC948" s="22" t="s">
        <v>1311</v>
      </c>
      <c r="BD948" s="22" t="s">
        <v>1317</v>
      </c>
      <c r="BE948" s="22" t="s">
        <v>1318</v>
      </c>
      <c r="BF948" s="22" t="s">
        <v>1317</v>
      </c>
      <c r="BG948" s="22" t="s">
        <v>1318</v>
      </c>
      <c r="BH948" s="22" t="s">
        <v>1309</v>
      </c>
      <c r="BI948" s="22" t="s">
        <v>1318</v>
      </c>
      <c r="BJ948" s="22" t="s">
        <v>1317</v>
      </c>
      <c r="BK948" s="22" t="s">
        <v>1318</v>
      </c>
      <c r="BL948" s="22" t="s">
        <v>1317</v>
      </c>
      <c r="BM948" s="22" t="s">
        <v>1318</v>
      </c>
      <c r="BN948" s="22" t="s">
        <v>1317</v>
      </c>
      <c r="BO948" s="22" t="s">
        <v>1318</v>
      </c>
      <c r="BP948" s="22" t="s">
        <v>1317</v>
      </c>
      <c r="BQ948" s="22" t="s">
        <v>1318</v>
      </c>
      <c r="BR948" s="22" t="s">
        <v>1317</v>
      </c>
      <c r="BS948" s="22" t="s">
        <v>1318</v>
      </c>
      <c r="BT948" s="22" t="s">
        <v>1317</v>
      </c>
      <c r="BU948" s="22" t="s">
        <v>1318</v>
      </c>
      <c r="BV948" s="22" t="s">
        <v>1317</v>
      </c>
      <c r="BW948" s="22" t="s">
        <v>1318</v>
      </c>
      <c r="BX948" s="20">
        <v>5</v>
      </c>
      <c r="BY948" s="20">
        <v>0</v>
      </c>
      <c r="BZ948" s="20">
        <v>251</v>
      </c>
      <c r="CA948" s="20">
        <v>0</v>
      </c>
      <c r="CB948" s="20">
        <v>0</v>
      </c>
      <c r="CC948" s="20">
        <v>225</v>
      </c>
      <c r="CD948" s="22" t="s">
        <v>1317</v>
      </c>
      <c r="CE948" s="22" t="s">
        <v>1318</v>
      </c>
      <c r="CF948" s="22" t="s">
        <v>1315</v>
      </c>
      <c r="CG948" s="22" t="s">
        <v>1315</v>
      </c>
      <c r="CH948" s="22" t="s">
        <v>1315</v>
      </c>
      <c r="CI948" s="22" t="s">
        <v>1315</v>
      </c>
      <c r="CJ948" s="149" t="s">
        <v>3340</v>
      </c>
      <c r="CK948" s="241" t="s">
        <v>1124</v>
      </c>
    </row>
    <row r="949" spans="1:89" ht="15" customHeight="1" x14ac:dyDescent="0.35">
      <c r="A949" s="17"/>
      <c r="B949" s="313">
        <v>29065</v>
      </c>
      <c r="C949" s="8" t="s">
        <v>210</v>
      </c>
      <c r="D949" s="18">
        <v>12</v>
      </c>
      <c r="E949" s="131"/>
      <c r="F949" s="22"/>
      <c r="G949" s="132"/>
      <c r="H949" s="22"/>
      <c r="I949" s="22"/>
      <c r="J949" s="22"/>
      <c r="K949" s="22"/>
      <c r="L949" s="22"/>
      <c r="M949" s="133"/>
      <c r="N949" s="22"/>
      <c r="O949" s="22"/>
      <c r="P949" s="22"/>
      <c r="Q949" s="20"/>
      <c r="R949" s="20"/>
      <c r="S949" s="20"/>
      <c r="T949" s="20"/>
      <c r="U949" s="20"/>
      <c r="V949" s="20"/>
      <c r="W949" s="20"/>
      <c r="X949" s="20"/>
      <c r="Y949" s="20"/>
      <c r="Z949" s="20"/>
      <c r="AA949" s="20"/>
      <c r="AB949" s="22"/>
      <c r="AC949" s="20"/>
      <c r="AD949" s="20"/>
      <c r="AE949" s="20"/>
      <c r="AF949" s="20" t="s">
        <v>1124</v>
      </c>
      <c r="AG949" s="20" t="s">
        <v>1124</v>
      </c>
      <c r="AH949" s="20" t="s">
        <v>1124</v>
      </c>
      <c r="AI949" s="328"/>
      <c r="AJ949" s="328"/>
      <c r="AK949" s="328"/>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0"/>
      <c r="BY949" s="20"/>
      <c r="BZ949" s="20"/>
      <c r="CA949" s="20"/>
      <c r="CB949" s="20"/>
      <c r="CC949" s="20"/>
      <c r="CD949" s="22"/>
      <c r="CE949" s="22"/>
      <c r="CF949" s="22"/>
      <c r="CG949" s="22"/>
      <c r="CH949" s="22"/>
      <c r="CI949" s="22"/>
      <c r="CJ949" s="149"/>
      <c r="CK949" s="241"/>
    </row>
    <row r="950" spans="1:89" ht="15" customHeight="1" x14ac:dyDescent="0.35">
      <c r="A950" s="17"/>
      <c r="B950" s="313">
        <v>67010</v>
      </c>
      <c r="C950" s="8" t="s">
        <v>663</v>
      </c>
      <c r="D950" s="18">
        <v>16</v>
      </c>
      <c r="E950" s="131" t="s">
        <v>1319</v>
      </c>
      <c r="F950" s="22" t="s">
        <v>1490</v>
      </c>
      <c r="G950" s="132" t="s">
        <v>1315</v>
      </c>
      <c r="H950" s="22" t="s">
        <v>1311</v>
      </c>
      <c r="I950" s="22" t="s">
        <v>1315</v>
      </c>
      <c r="J950" s="22" t="s">
        <v>1315</v>
      </c>
      <c r="K950" s="22" t="s">
        <v>1314</v>
      </c>
      <c r="L950" s="22" t="s">
        <v>1311</v>
      </c>
      <c r="M950" s="133" t="s">
        <v>1311</v>
      </c>
      <c r="N950" s="22" t="s">
        <v>1311</v>
      </c>
      <c r="O950" s="22" t="s">
        <v>1315</v>
      </c>
      <c r="P950" s="22" t="s">
        <v>1315</v>
      </c>
      <c r="Q950" s="20">
        <v>0</v>
      </c>
      <c r="R950" s="20">
        <v>0</v>
      </c>
      <c r="S950" s="20">
        <v>27.391999999999999</v>
      </c>
      <c r="T950" s="20">
        <v>27.391999999999999</v>
      </c>
      <c r="U950" s="20">
        <v>0</v>
      </c>
      <c r="V950" s="20">
        <v>6</v>
      </c>
      <c r="W950" s="20">
        <v>0</v>
      </c>
      <c r="X950" s="20">
        <v>0</v>
      </c>
      <c r="Y950" s="20">
        <v>0</v>
      </c>
      <c r="Z950" s="20">
        <v>0</v>
      </c>
      <c r="AA950" s="20" t="s">
        <v>1315</v>
      </c>
      <c r="AB950" s="22" t="s">
        <v>1315</v>
      </c>
      <c r="AC950" s="20">
        <v>1</v>
      </c>
      <c r="AD950" s="20">
        <v>1</v>
      </c>
      <c r="AE950" s="20">
        <v>2</v>
      </c>
      <c r="AF950" s="20">
        <v>6</v>
      </c>
      <c r="AG950" s="20">
        <v>5</v>
      </c>
      <c r="AH950" s="20">
        <v>20</v>
      </c>
      <c r="AI950" s="328">
        <v>3.5880875493362039</v>
      </c>
      <c r="AJ950" s="328">
        <v>0.41753653444676408</v>
      </c>
      <c r="AK950" s="328">
        <v>0.83507306889352817</v>
      </c>
      <c r="AL950" s="22" t="s">
        <v>1329</v>
      </c>
      <c r="AM950" s="22" t="s">
        <v>1315</v>
      </c>
      <c r="AN950" s="22" t="s">
        <v>1315</v>
      </c>
      <c r="AO950" s="22" t="s">
        <v>1315</v>
      </c>
      <c r="AP950" s="22" t="s">
        <v>1315</v>
      </c>
      <c r="AQ950" s="22" t="s">
        <v>1315</v>
      </c>
      <c r="AR950" s="22" t="s">
        <v>1315</v>
      </c>
      <c r="AS950" s="22" t="s">
        <v>1318</v>
      </c>
      <c r="AT950" s="22" t="s">
        <v>1317</v>
      </c>
      <c r="AU950" s="22" t="s">
        <v>1311</v>
      </c>
      <c r="AV950" s="22" t="s">
        <v>1317</v>
      </c>
      <c r="AW950" s="22" t="s">
        <v>1318</v>
      </c>
      <c r="AX950" s="22" t="s">
        <v>1317</v>
      </c>
      <c r="AY950" s="22" t="s">
        <v>1318</v>
      </c>
      <c r="AZ950" s="22" t="s">
        <v>1309</v>
      </c>
      <c r="BA950" s="22" t="s">
        <v>1311</v>
      </c>
      <c r="BB950" s="22" t="s">
        <v>1309</v>
      </c>
      <c r="BC950" s="22" t="s">
        <v>1309</v>
      </c>
      <c r="BD950" s="22" t="s">
        <v>1315</v>
      </c>
      <c r="BE950" s="22" t="s">
        <v>1318</v>
      </c>
      <c r="BF950" s="22" t="s">
        <v>1317</v>
      </c>
      <c r="BG950" s="22" t="s">
        <v>1318</v>
      </c>
      <c r="BH950" s="22" t="s">
        <v>1309</v>
      </c>
      <c r="BI950" s="22" t="s">
        <v>1309</v>
      </c>
      <c r="BJ950" s="22" t="s">
        <v>1319</v>
      </c>
      <c r="BK950" s="22" t="s">
        <v>1309</v>
      </c>
      <c r="BL950" s="22" t="s">
        <v>1319</v>
      </c>
      <c r="BM950" s="22" t="s">
        <v>1311</v>
      </c>
      <c r="BN950" s="22" t="s">
        <v>1319</v>
      </c>
      <c r="BO950" s="22" t="s">
        <v>1311</v>
      </c>
      <c r="BP950" s="22" t="s">
        <v>1309</v>
      </c>
      <c r="BQ950" s="22" t="s">
        <v>1309</v>
      </c>
      <c r="BR950" s="22" t="s">
        <v>1309</v>
      </c>
      <c r="BS950" s="22" t="s">
        <v>1309</v>
      </c>
      <c r="BT950" s="22" t="s">
        <v>1309</v>
      </c>
      <c r="BU950" s="22" t="s">
        <v>1309</v>
      </c>
      <c r="BV950" s="22" t="s">
        <v>1317</v>
      </c>
      <c r="BW950" s="22" t="s">
        <v>1318</v>
      </c>
      <c r="BX950" s="20">
        <v>10</v>
      </c>
      <c r="BY950" s="20">
        <v>3</v>
      </c>
      <c r="BZ950" s="20">
        <v>20</v>
      </c>
      <c r="CA950" s="20">
        <v>0</v>
      </c>
      <c r="CB950" s="20">
        <v>0</v>
      </c>
      <c r="CC950" s="20">
        <v>2361</v>
      </c>
      <c r="CD950" s="22" t="s">
        <v>1317</v>
      </c>
      <c r="CE950" s="22" t="s">
        <v>1318</v>
      </c>
      <c r="CF950" s="22" t="s">
        <v>1317</v>
      </c>
      <c r="CG950" s="22" t="s">
        <v>1318</v>
      </c>
      <c r="CH950" s="22" t="s">
        <v>1317</v>
      </c>
      <c r="CI950" s="22" t="s">
        <v>1318</v>
      </c>
      <c r="CJ950" s="149" t="s">
        <v>1124</v>
      </c>
      <c r="CK950" s="241" t="s">
        <v>1563</v>
      </c>
    </row>
    <row r="951" spans="1:89" ht="15" customHeight="1" x14ac:dyDescent="0.35">
      <c r="A951" s="17"/>
      <c r="B951" s="313">
        <v>14060</v>
      </c>
      <c r="C951" s="8" t="s">
        <v>70</v>
      </c>
      <c r="D951" s="18">
        <v>1</v>
      </c>
      <c r="E951" s="131" t="s">
        <v>1319</v>
      </c>
      <c r="F951" s="22" t="s">
        <v>1310</v>
      </c>
      <c r="G951" s="132" t="s">
        <v>1309</v>
      </c>
      <c r="H951" s="22" t="s">
        <v>1311</v>
      </c>
      <c r="I951" s="22" t="s">
        <v>1327</v>
      </c>
      <c r="J951" s="22" t="s">
        <v>1327</v>
      </c>
      <c r="K951" s="22" t="s">
        <v>1309</v>
      </c>
      <c r="L951" s="22" t="s">
        <v>1309</v>
      </c>
      <c r="M951" s="133" t="s">
        <v>1311</v>
      </c>
      <c r="N951" s="22" t="s">
        <v>1311</v>
      </c>
      <c r="O951" s="22" t="s">
        <v>1314</v>
      </c>
      <c r="P951" s="22" t="s">
        <v>1318</v>
      </c>
      <c r="Q951" s="20">
        <v>0</v>
      </c>
      <c r="R951" s="20">
        <v>0</v>
      </c>
      <c r="S951" s="20">
        <v>0</v>
      </c>
      <c r="T951" s="20">
        <v>0</v>
      </c>
      <c r="U951" s="20">
        <v>0</v>
      </c>
      <c r="V951" s="20">
        <v>0</v>
      </c>
      <c r="W951" s="20">
        <v>0</v>
      </c>
      <c r="X951" s="20">
        <v>0</v>
      </c>
      <c r="Y951" s="20">
        <v>0</v>
      </c>
      <c r="Z951" s="20">
        <v>0</v>
      </c>
      <c r="AA951" s="20" t="s">
        <v>1317</v>
      </c>
      <c r="AB951" s="22" t="s">
        <v>1318</v>
      </c>
      <c r="AC951" s="20">
        <v>0</v>
      </c>
      <c r="AD951" s="20">
        <v>2</v>
      </c>
      <c r="AE951" s="20">
        <v>0</v>
      </c>
      <c r="AF951" s="20">
        <v>0</v>
      </c>
      <c r="AG951" s="20">
        <v>1</v>
      </c>
      <c r="AH951" s="20">
        <v>0</v>
      </c>
      <c r="AI951" s="328" t="s">
        <v>1328</v>
      </c>
      <c r="AJ951" s="328">
        <v>5.7471264367816088</v>
      </c>
      <c r="AK951" s="328" t="s">
        <v>1328</v>
      </c>
      <c r="AL951" s="22" t="s">
        <v>1329</v>
      </c>
      <c r="AM951" s="22" t="s">
        <v>1330</v>
      </c>
      <c r="AN951" s="22" t="s">
        <v>1317</v>
      </c>
      <c r="AO951" s="22" t="s">
        <v>1318</v>
      </c>
      <c r="AP951" s="22" t="s">
        <v>1318</v>
      </c>
      <c r="AQ951" s="22" t="s">
        <v>1318</v>
      </c>
      <c r="AR951" s="22" t="s">
        <v>1317</v>
      </c>
      <c r="AS951" s="22" t="s">
        <v>1311</v>
      </c>
      <c r="AT951" s="22" t="s">
        <v>1309</v>
      </c>
      <c r="AU951" s="22" t="s">
        <v>1311</v>
      </c>
      <c r="AV951" s="22" t="s">
        <v>1317</v>
      </c>
      <c r="AW951" s="22" t="s">
        <v>1318</v>
      </c>
      <c r="AX951" s="22" t="s">
        <v>1317</v>
      </c>
      <c r="AY951" s="22" t="s">
        <v>1318</v>
      </c>
      <c r="AZ951" s="22" t="s">
        <v>1317</v>
      </c>
      <c r="BA951" s="22" t="s">
        <v>1318</v>
      </c>
      <c r="BB951" s="22" t="s">
        <v>1309</v>
      </c>
      <c r="BC951" s="22" t="s">
        <v>1309</v>
      </c>
      <c r="BD951" s="22" t="s">
        <v>1317</v>
      </c>
      <c r="BE951" s="22" t="s">
        <v>1318</v>
      </c>
      <c r="BF951" s="22" t="s">
        <v>1317</v>
      </c>
      <c r="BG951" s="22" t="s">
        <v>1318</v>
      </c>
      <c r="BH951" s="22" t="s">
        <v>1309</v>
      </c>
      <c r="BI951" s="22" t="s">
        <v>1309</v>
      </c>
      <c r="BJ951" s="22" t="s">
        <v>1309</v>
      </c>
      <c r="BK951" s="22" t="s">
        <v>1309</v>
      </c>
      <c r="BL951" s="22" t="s">
        <v>1309</v>
      </c>
      <c r="BM951" s="22" t="s">
        <v>1309</v>
      </c>
      <c r="BN951" s="22" t="s">
        <v>1317</v>
      </c>
      <c r="BO951" s="22" t="s">
        <v>1318</v>
      </c>
      <c r="BP951" s="22" t="s">
        <v>1315</v>
      </c>
      <c r="BQ951" s="22" t="s">
        <v>1315</v>
      </c>
      <c r="BR951" s="22" t="s">
        <v>1317</v>
      </c>
      <c r="BS951" s="22" t="s">
        <v>1318</v>
      </c>
      <c r="BT951" s="22" t="s">
        <v>1309</v>
      </c>
      <c r="BU951" s="22" t="s">
        <v>1309</v>
      </c>
      <c r="BV951" s="22" t="s">
        <v>1317</v>
      </c>
      <c r="BW951" s="22" t="s">
        <v>1311</v>
      </c>
      <c r="BX951" s="20">
        <v>0</v>
      </c>
      <c r="BY951" s="20">
        <v>0</v>
      </c>
      <c r="BZ951" s="20">
        <v>20</v>
      </c>
      <c r="CA951" s="20">
        <v>0</v>
      </c>
      <c r="CB951" s="20">
        <v>0</v>
      </c>
      <c r="CC951" s="20">
        <v>328</v>
      </c>
      <c r="CD951" s="22" t="s">
        <v>1317</v>
      </c>
      <c r="CE951" s="22" t="s">
        <v>1318</v>
      </c>
      <c r="CF951" s="22" t="s">
        <v>1317</v>
      </c>
      <c r="CG951" s="22" t="s">
        <v>1318</v>
      </c>
      <c r="CH951" s="22" t="s">
        <v>1317</v>
      </c>
      <c r="CI951" s="22" t="s">
        <v>1318</v>
      </c>
      <c r="CJ951" s="149" t="s">
        <v>1124</v>
      </c>
      <c r="CK951" s="241" t="s">
        <v>1124</v>
      </c>
    </row>
    <row r="952" spans="1:89" ht="15" customHeight="1" x14ac:dyDescent="0.35">
      <c r="A952" s="17"/>
      <c r="B952" s="313">
        <v>54008</v>
      </c>
      <c r="C952" s="8" t="s">
        <v>542</v>
      </c>
      <c r="D952" s="18">
        <v>16</v>
      </c>
      <c r="E952" s="131" t="s">
        <v>1309</v>
      </c>
      <c r="F952" s="22" t="s">
        <v>1309</v>
      </c>
      <c r="G952" s="132" t="s">
        <v>1309</v>
      </c>
      <c r="H952" s="22" t="s">
        <v>1311</v>
      </c>
      <c r="I952" s="22" t="s">
        <v>1327</v>
      </c>
      <c r="J952" s="22" t="s">
        <v>1327</v>
      </c>
      <c r="K952" s="22" t="s">
        <v>1309</v>
      </c>
      <c r="L952" s="22" t="s">
        <v>1309</v>
      </c>
      <c r="M952" s="133" t="s">
        <v>1311</v>
      </c>
      <c r="N952" s="22" t="s">
        <v>1311</v>
      </c>
      <c r="O952" s="22" t="s">
        <v>1309</v>
      </c>
      <c r="P952" s="22" t="s">
        <v>1309</v>
      </c>
      <c r="Q952" s="20">
        <v>46</v>
      </c>
      <c r="R952" s="20">
        <v>0</v>
      </c>
      <c r="S952" s="20">
        <v>0</v>
      </c>
      <c r="T952" s="20">
        <v>0</v>
      </c>
      <c r="U952" s="20">
        <v>0</v>
      </c>
      <c r="V952" s="20">
        <v>0</v>
      </c>
      <c r="W952" s="20">
        <v>0</v>
      </c>
      <c r="X952" s="20">
        <v>0</v>
      </c>
      <c r="Y952" s="20">
        <v>0</v>
      </c>
      <c r="Z952" s="20">
        <v>0</v>
      </c>
      <c r="AA952" s="20" t="s">
        <v>1315</v>
      </c>
      <c r="AB952" s="22" t="s">
        <v>1315</v>
      </c>
      <c r="AC952" s="20">
        <v>4</v>
      </c>
      <c r="AD952" s="20">
        <v>0</v>
      </c>
      <c r="AE952" s="20">
        <v>1</v>
      </c>
      <c r="AF952" s="20">
        <v>1</v>
      </c>
      <c r="AG952" s="20">
        <v>0</v>
      </c>
      <c r="AH952" s="20">
        <v>1</v>
      </c>
      <c r="AI952" s="328">
        <v>8.0808080808080813</v>
      </c>
      <c r="AJ952" s="328" t="s">
        <v>1328</v>
      </c>
      <c r="AK952" s="328">
        <v>0.64557779212395094</v>
      </c>
      <c r="AL952" s="22" t="s">
        <v>1338</v>
      </c>
      <c r="AM952" s="22" t="s">
        <v>1330</v>
      </c>
      <c r="AN952" s="22" t="s">
        <v>1317</v>
      </c>
      <c r="AO952" s="22" t="s">
        <v>1318</v>
      </c>
      <c r="AP952" s="22" t="s">
        <v>1318</v>
      </c>
      <c r="AQ952" s="22" t="s">
        <v>1318</v>
      </c>
      <c r="AR952" s="22" t="s">
        <v>1317</v>
      </c>
      <c r="AS952" s="22" t="s">
        <v>1318</v>
      </c>
      <c r="AT952" s="22" t="s">
        <v>1317</v>
      </c>
      <c r="AU952" s="22" t="s">
        <v>1318</v>
      </c>
      <c r="AV952" s="22" t="s">
        <v>1317</v>
      </c>
      <c r="AW952" s="22" t="s">
        <v>1318</v>
      </c>
      <c r="AX952" s="22" t="s">
        <v>1317</v>
      </c>
      <c r="AY952" s="22" t="s">
        <v>1318</v>
      </c>
      <c r="AZ952" s="22" t="s">
        <v>1309</v>
      </c>
      <c r="BA952" s="22" t="s">
        <v>1309</v>
      </c>
      <c r="BB952" s="22" t="s">
        <v>1309</v>
      </c>
      <c r="BC952" s="22" t="s">
        <v>1309</v>
      </c>
      <c r="BD952" s="22" t="s">
        <v>1309</v>
      </c>
      <c r="BE952" s="22" t="s">
        <v>1309</v>
      </c>
      <c r="BF952" s="22" t="s">
        <v>1309</v>
      </c>
      <c r="BG952" s="22" t="s">
        <v>1309</v>
      </c>
      <c r="BH952" s="22" t="s">
        <v>1309</v>
      </c>
      <c r="BI952" s="22" t="s">
        <v>1309</v>
      </c>
      <c r="BJ952" s="22" t="s">
        <v>1317</v>
      </c>
      <c r="BK952" s="22" t="s">
        <v>1318</v>
      </c>
      <c r="BL952" s="22" t="s">
        <v>1317</v>
      </c>
      <c r="BM952" s="22" t="s">
        <v>1318</v>
      </c>
      <c r="BN952" s="22" t="s">
        <v>1309</v>
      </c>
      <c r="BO952" s="22" t="s">
        <v>1309</v>
      </c>
      <c r="BP952" s="22" t="s">
        <v>1309</v>
      </c>
      <c r="BQ952" s="22" t="s">
        <v>1309</v>
      </c>
      <c r="BR952" s="22" t="s">
        <v>1309</v>
      </c>
      <c r="BS952" s="22" t="s">
        <v>1309</v>
      </c>
      <c r="BT952" s="22" t="s">
        <v>1309</v>
      </c>
      <c r="BU952" s="22" t="s">
        <v>1309</v>
      </c>
      <c r="BV952" s="22" t="s">
        <v>1317</v>
      </c>
      <c r="BW952" s="22" t="s">
        <v>1318</v>
      </c>
      <c r="BX952" s="20">
        <v>141</v>
      </c>
      <c r="BY952" s="20">
        <v>0</v>
      </c>
      <c r="BZ952" s="20">
        <v>0</v>
      </c>
      <c r="CA952" s="20">
        <v>1408</v>
      </c>
      <c r="CB952" s="20">
        <v>0</v>
      </c>
      <c r="CC952" s="20">
        <v>0</v>
      </c>
      <c r="CD952" s="22" t="s">
        <v>1331</v>
      </c>
      <c r="CE952" s="22" t="s">
        <v>1331</v>
      </c>
      <c r="CF952" s="22" t="s">
        <v>1331</v>
      </c>
      <c r="CG952" s="22" t="s">
        <v>1331</v>
      </c>
      <c r="CH952" s="22" t="s">
        <v>1317</v>
      </c>
      <c r="CI952" s="22" t="s">
        <v>1318</v>
      </c>
      <c r="CJ952" s="149" t="s">
        <v>1124</v>
      </c>
      <c r="CK952" s="241" t="s">
        <v>1124</v>
      </c>
    </row>
    <row r="953" spans="1:89" ht="15" customHeight="1" x14ac:dyDescent="0.35">
      <c r="A953" s="17"/>
      <c r="B953" s="313">
        <v>49130</v>
      </c>
      <c r="C953" s="8" t="s">
        <v>481</v>
      </c>
      <c r="D953" s="18">
        <v>17</v>
      </c>
      <c r="E953" s="131" t="s">
        <v>1309</v>
      </c>
      <c r="F953" s="22" t="s">
        <v>1309</v>
      </c>
      <c r="G953" s="132" t="s">
        <v>1309</v>
      </c>
      <c r="H953" s="22" t="s">
        <v>1311</v>
      </c>
      <c r="I953" s="22" t="s">
        <v>1327</v>
      </c>
      <c r="J953" s="22" t="s">
        <v>1327</v>
      </c>
      <c r="K953" s="22" t="s">
        <v>1314</v>
      </c>
      <c r="L953" s="22" t="s">
        <v>1311</v>
      </c>
      <c r="M953" s="133" t="s">
        <v>1311</v>
      </c>
      <c r="N953" s="22" t="s">
        <v>1311</v>
      </c>
      <c r="O953" s="22" t="s">
        <v>1309</v>
      </c>
      <c r="P953" s="22" t="s">
        <v>1309</v>
      </c>
      <c r="Q953" s="20">
        <v>0</v>
      </c>
      <c r="R953" s="20">
        <v>0</v>
      </c>
      <c r="S953" s="20">
        <v>0</v>
      </c>
      <c r="T953" s="20">
        <v>0</v>
      </c>
      <c r="U953" s="20">
        <v>0</v>
      </c>
      <c r="V953" s="20">
        <v>0</v>
      </c>
      <c r="W953" s="20">
        <v>0</v>
      </c>
      <c r="X953" s="20">
        <v>0</v>
      </c>
      <c r="Y953" s="20">
        <v>0</v>
      </c>
      <c r="Z953" s="20">
        <v>0</v>
      </c>
      <c r="AA953" s="20" t="s">
        <v>1317</v>
      </c>
      <c r="AB953" s="22" t="s">
        <v>1318</v>
      </c>
      <c r="AC953" s="20">
        <v>0</v>
      </c>
      <c r="AD953" s="20">
        <v>0</v>
      </c>
      <c r="AE953" s="20">
        <v>0</v>
      </c>
      <c r="AF953" s="20">
        <v>0</v>
      </c>
      <c r="AG953" s="20">
        <v>0</v>
      </c>
      <c r="AH953" s="20">
        <v>0</v>
      </c>
      <c r="AI953" s="328" t="s">
        <v>1328</v>
      </c>
      <c r="AJ953" s="328" t="s">
        <v>1328</v>
      </c>
      <c r="AK953" s="328" t="s">
        <v>1328</v>
      </c>
      <c r="AL953" s="22" t="s">
        <v>1329</v>
      </c>
      <c r="AM953" s="22" t="s">
        <v>1330</v>
      </c>
      <c r="AN953" s="22" t="s">
        <v>1317</v>
      </c>
      <c r="AO953" s="22" t="s">
        <v>1318</v>
      </c>
      <c r="AP953" s="22" t="s">
        <v>1318</v>
      </c>
      <c r="AQ953" s="22" t="s">
        <v>1318</v>
      </c>
      <c r="AR953" s="22" t="s">
        <v>1317</v>
      </c>
      <c r="AS953" s="22" t="s">
        <v>1318</v>
      </c>
      <c r="AT953" s="22" t="s">
        <v>1317</v>
      </c>
      <c r="AU953" s="22" t="s">
        <v>1318</v>
      </c>
      <c r="AV953" s="22" t="s">
        <v>1317</v>
      </c>
      <c r="AW953" s="22" t="s">
        <v>1318</v>
      </c>
      <c r="AX953" s="22" t="s">
        <v>1317</v>
      </c>
      <c r="AY953" s="22" t="s">
        <v>1318</v>
      </c>
      <c r="AZ953" s="22" t="s">
        <v>1309</v>
      </c>
      <c r="BA953" s="22" t="s">
        <v>1309</v>
      </c>
      <c r="BB953" s="22" t="s">
        <v>1309</v>
      </c>
      <c r="BC953" s="22" t="s">
        <v>1309</v>
      </c>
      <c r="BD953" s="22" t="s">
        <v>1309</v>
      </c>
      <c r="BE953" s="22" t="s">
        <v>1309</v>
      </c>
      <c r="BF953" s="22" t="s">
        <v>1309</v>
      </c>
      <c r="BG953" s="22" t="s">
        <v>1309</v>
      </c>
      <c r="BH953" s="22" t="s">
        <v>1309</v>
      </c>
      <c r="BI953" s="22" t="s">
        <v>1309</v>
      </c>
      <c r="BJ953" s="22" t="s">
        <v>1309</v>
      </c>
      <c r="BK953" s="22" t="s">
        <v>1309</v>
      </c>
      <c r="BL953" s="22" t="s">
        <v>1317</v>
      </c>
      <c r="BM953" s="22" t="s">
        <v>1318</v>
      </c>
      <c r="BN953" s="22" t="s">
        <v>1317</v>
      </c>
      <c r="BO953" s="22" t="s">
        <v>1318</v>
      </c>
      <c r="BP953" s="22" t="s">
        <v>1317</v>
      </c>
      <c r="BQ953" s="22" t="s">
        <v>1318</v>
      </c>
      <c r="BR953" s="22" t="s">
        <v>1317</v>
      </c>
      <c r="BS953" s="22" t="s">
        <v>1311</v>
      </c>
      <c r="BT953" s="22" t="s">
        <v>1317</v>
      </c>
      <c r="BU953" s="22" t="s">
        <v>1318</v>
      </c>
      <c r="BV953" s="22" t="s">
        <v>1309</v>
      </c>
      <c r="BW953" s="22" t="s">
        <v>1309</v>
      </c>
      <c r="BX953" s="20">
        <v>15</v>
      </c>
      <c r="BY953" s="20">
        <v>0</v>
      </c>
      <c r="BZ953" s="20">
        <v>0</v>
      </c>
      <c r="CA953" s="20">
        <v>110</v>
      </c>
      <c r="CB953" s="20">
        <v>0</v>
      </c>
      <c r="CC953" s="20">
        <v>0</v>
      </c>
      <c r="CD953" s="22" t="s">
        <v>1331</v>
      </c>
      <c r="CE953" s="22" t="s">
        <v>1331</v>
      </c>
      <c r="CF953" s="22" t="s">
        <v>1331</v>
      </c>
      <c r="CG953" s="22" t="s">
        <v>1331</v>
      </c>
      <c r="CH953" s="22" t="s">
        <v>1317</v>
      </c>
      <c r="CI953" s="22" t="s">
        <v>1318</v>
      </c>
      <c r="CJ953" s="149" t="s">
        <v>1124</v>
      </c>
      <c r="CK953" s="241" t="s">
        <v>3353</v>
      </c>
    </row>
    <row r="954" spans="1:89" ht="15" customHeight="1" x14ac:dyDescent="0.35">
      <c r="A954" s="17"/>
      <c r="B954" s="313">
        <v>61020</v>
      </c>
      <c r="C954" s="8" t="s">
        <v>611</v>
      </c>
      <c r="D954" s="18">
        <v>14</v>
      </c>
      <c r="E954" s="131"/>
      <c r="F954" s="22"/>
      <c r="G954" s="132"/>
      <c r="H954" s="22"/>
      <c r="I954" s="22"/>
      <c r="J954" s="22"/>
      <c r="K954" s="22"/>
      <c r="L954" s="22"/>
      <c r="M954" s="133"/>
      <c r="N954" s="22"/>
      <c r="O954" s="22"/>
      <c r="P954" s="22"/>
      <c r="Q954" s="20"/>
      <c r="R954" s="20"/>
      <c r="S954" s="20"/>
      <c r="T954" s="20"/>
      <c r="U954" s="20"/>
      <c r="V954" s="20"/>
      <c r="W954" s="20"/>
      <c r="X954" s="20"/>
      <c r="Y954" s="20"/>
      <c r="Z954" s="20"/>
      <c r="AA954" s="20"/>
      <c r="AB954" s="22"/>
      <c r="AC954" s="20"/>
      <c r="AD954" s="20"/>
      <c r="AE954" s="20"/>
      <c r="AF954" s="20" t="s">
        <v>1124</v>
      </c>
      <c r="AG954" s="20" t="s">
        <v>1124</v>
      </c>
      <c r="AH954" s="20" t="s">
        <v>1124</v>
      </c>
      <c r="AI954" s="328"/>
      <c r="AJ954" s="328"/>
      <c r="AK954" s="328"/>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0"/>
      <c r="BY954" s="20"/>
      <c r="BZ954" s="20"/>
      <c r="CA954" s="20"/>
      <c r="CB954" s="20"/>
      <c r="CC954" s="20"/>
      <c r="CD954" s="22"/>
      <c r="CE954" s="22"/>
      <c r="CF954" s="22"/>
      <c r="CG954" s="22"/>
      <c r="CH954" s="22"/>
      <c r="CI954" s="22"/>
      <c r="CJ954" s="149"/>
      <c r="CK954" s="241"/>
    </row>
    <row r="955" spans="1:89" ht="15" customHeight="1" x14ac:dyDescent="0.35">
      <c r="A955" s="17"/>
      <c r="B955" s="314">
        <v>32050</v>
      </c>
      <c r="C955" s="8" t="s">
        <v>261</v>
      </c>
      <c r="D955" s="18">
        <v>17</v>
      </c>
      <c r="E955" s="131" t="s">
        <v>1309</v>
      </c>
      <c r="F955" s="22" t="s">
        <v>1490</v>
      </c>
      <c r="G955" s="132" t="s">
        <v>1309</v>
      </c>
      <c r="H955" s="22" t="s">
        <v>1311</v>
      </c>
      <c r="I955" s="22" t="s">
        <v>1349</v>
      </c>
      <c r="J955" s="22" t="s">
        <v>1313</v>
      </c>
      <c r="K955" s="22" t="s">
        <v>1309</v>
      </c>
      <c r="L955" s="22" t="s">
        <v>1309</v>
      </c>
      <c r="M955" s="133" t="s">
        <v>1311</v>
      </c>
      <c r="N955" s="22" t="s">
        <v>1311</v>
      </c>
      <c r="O955" s="22" t="s">
        <v>1309</v>
      </c>
      <c r="P955" s="22" t="s">
        <v>1309</v>
      </c>
      <c r="Q955" s="20">
        <v>1361</v>
      </c>
      <c r="R955" s="20">
        <v>1361</v>
      </c>
      <c r="S955" s="20">
        <v>0</v>
      </c>
      <c r="T955" s="20">
        <v>0</v>
      </c>
      <c r="U955" s="20">
        <v>0</v>
      </c>
      <c r="V955" s="20">
        <v>0</v>
      </c>
      <c r="W955" s="20">
        <v>0</v>
      </c>
      <c r="X955" s="20">
        <v>0</v>
      </c>
      <c r="Y955" s="20">
        <v>0</v>
      </c>
      <c r="Z955" s="20">
        <v>0</v>
      </c>
      <c r="AA955" s="20" t="s">
        <v>1317</v>
      </c>
      <c r="AB955" s="22" t="s">
        <v>1318</v>
      </c>
      <c r="AC955" s="20">
        <v>0</v>
      </c>
      <c r="AD955" s="20">
        <v>3</v>
      </c>
      <c r="AE955" s="20">
        <v>0</v>
      </c>
      <c r="AF955" s="20">
        <v>0</v>
      </c>
      <c r="AG955" s="20">
        <v>1</v>
      </c>
      <c r="AH955" s="20">
        <v>0</v>
      </c>
      <c r="AI955" s="328" t="s">
        <v>1328</v>
      </c>
      <c r="AJ955" s="328">
        <v>50</v>
      </c>
      <c r="AK955" s="328" t="s">
        <v>1328</v>
      </c>
      <c r="AL955" s="22" t="s">
        <v>1329</v>
      </c>
      <c r="AM955" s="22" t="s">
        <v>1330</v>
      </c>
      <c r="AN955" s="22" t="s">
        <v>1317</v>
      </c>
      <c r="AO955" s="22" t="s">
        <v>1318</v>
      </c>
      <c r="AP955" s="22" t="s">
        <v>1318</v>
      </c>
      <c r="AQ955" s="22" t="s">
        <v>1318</v>
      </c>
      <c r="AR955" s="22" t="s">
        <v>1317</v>
      </c>
      <c r="AS955" s="22" t="s">
        <v>1318</v>
      </c>
      <c r="AT955" s="22" t="s">
        <v>1317</v>
      </c>
      <c r="AU955" s="22" t="s">
        <v>1318</v>
      </c>
      <c r="AV955" s="22" t="s">
        <v>1317</v>
      </c>
      <c r="AW955" s="22" t="s">
        <v>1318</v>
      </c>
      <c r="AX955" s="22" t="s">
        <v>1317</v>
      </c>
      <c r="AY955" s="22" t="s">
        <v>1318</v>
      </c>
      <c r="AZ955" s="22" t="s">
        <v>1309</v>
      </c>
      <c r="BA955" s="22" t="s">
        <v>1311</v>
      </c>
      <c r="BB955" s="22" t="s">
        <v>1317</v>
      </c>
      <c r="BC955" s="22" t="s">
        <v>1318</v>
      </c>
      <c r="BD955" s="22" t="s">
        <v>1309</v>
      </c>
      <c r="BE955" s="22" t="s">
        <v>1309</v>
      </c>
      <c r="BF955" s="22" t="s">
        <v>1309</v>
      </c>
      <c r="BG955" s="22" t="s">
        <v>1309</v>
      </c>
      <c r="BH955" s="22" t="s">
        <v>1317</v>
      </c>
      <c r="BI955" s="22" t="s">
        <v>1318</v>
      </c>
      <c r="BJ955" s="22" t="s">
        <v>1317</v>
      </c>
      <c r="BK955" s="22" t="s">
        <v>1318</v>
      </c>
      <c r="BL955" s="22" t="s">
        <v>1317</v>
      </c>
      <c r="BM955" s="22" t="s">
        <v>1318</v>
      </c>
      <c r="BN955" s="22" t="s">
        <v>1309</v>
      </c>
      <c r="BO955" s="22" t="s">
        <v>1309</v>
      </c>
      <c r="BP955" s="22" t="s">
        <v>1317</v>
      </c>
      <c r="BQ955" s="22" t="s">
        <v>1318</v>
      </c>
      <c r="BR955" s="22" t="s">
        <v>1309</v>
      </c>
      <c r="BS955" s="22" t="s">
        <v>1311</v>
      </c>
      <c r="BT955" s="22" t="s">
        <v>1317</v>
      </c>
      <c r="BU955" s="22" t="s">
        <v>1318</v>
      </c>
      <c r="BV955" s="22" t="s">
        <v>1317</v>
      </c>
      <c r="BW955" s="22" t="s">
        <v>1318</v>
      </c>
      <c r="BX955" s="20">
        <v>12</v>
      </c>
      <c r="BY955" s="20">
        <v>0</v>
      </c>
      <c r="BZ955" s="20">
        <v>0</v>
      </c>
      <c r="CA955" s="20">
        <v>48</v>
      </c>
      <c r="CB955" s="20">
        <v>0</v>
      </c>
      <c r="CC955" s="20">
        <v>0</v>
      </c>
      <c r="CD955" s="22" t="s">
        <v>1331</v>
      </c>
      <c r="CE955" s="22" t="s">
        <v>1331</v>
      </c>
      <c r="CF955" s="22" t="s">
        <v>1331</v>
      </c>
      <c r="CG955" s="22" t="s">
        <v>1331</v>
      </c>
      <c r="CH955" s="22" t="s">
        <v>1315</v>
      </c>
      <c r="CI955" s="22" t="s">
        <v>1315</v>
      </c>
      <c r="CJ955" s="149" t="s">
        <v>1124</v>
      </c>
      <c r="CK955" s="241" t="s">
        <v>1124</v>
      </c>
    </row>
    <row r="956" spans="1:89" ht="15" customHeight="1" x14ac:dyDescent="0.35">
      <c r="A956" s="17"/>
      <c r="B956" s="313">
        <v>31135</v>
      </c>
      <c r="C956" s="8" t="s">
        <v>254</v>
      </c>
      <c r="D956" s="18">
        <v>12</v>
      </c>
      <c r="E956" s="131" t="s">
        <v>1309</v>
      </c>
      <c r="F956" s="22" t="s">
        <v>1309</v>
      </c>
      <c r="G956" s="132" t="s">
        <v>1309</v>
      </c>
      <c r="H956" s="22" t="s">
        <v>1311</v>
      </c>
      <c r="I956" s="22" t="s">
        <v>1327</v>
      </c>
      <c r="J956" s="22" t="s">
        <v>1327</v>
      </c>
      <c r="K956" s="22" t="s">
        <v>1314</v>
      </c>
      <c r="L956" s="22" t="s">
        <v>1311</v>
      </c>
      <c r="M956" s="133" t="s">
        <v>1311</v>
      </c>
      <c r="N956" s="22" t="s">
        <v>1311</v>
      </c>
      <c r="O956" s="22" t="s">
        <v>1314</v>
      </c>
      <c r="P956" s="22" t="s">
        <v>1318</v>
      </c>
      <c r="Q956" s="20">
        <v>3.5819999999999999</v>
      </c>
      <c r="R956" s="20">
        <v>3.5819999999999999</v>
      </c>
      <c r="S956" s="20">
        <v>0</v>
      </c>
      <c r="T956" s="20">
        <v>0</v>
      </c>
      <c r="U956" s="20">
        <v>0</v>
      </c>
      <c r="V956" s="20">
        <v>0</v>
      </c>
      <c r="W956" s="20">
        <v>0</v>
      </c>
      <c r="X956" s="20">
        <v>0</v>
      </c>
      <c r="Y956" s="20">
        <v>0</v>
      </c>
      <c r="Z956" s="20">
        <v>0</v>
      </c>
      <c r="AA956" s="20" t="s">
        <v>1317</v>
      </c>
      <c r="AB956" s="22" t="s">
        <v>1318</v>
      </c>
      <c r="AC956" s="20">
        <v>0</v>
      </c>
      <c r="AD956" s="20">
        <v>0</v>
      </c>
      <c r="AE956" s="20">
        <v>0</v>
      </c>
      <c r="AF956" s="20">
        <v>0</v>
      </c>
      <c r="AG956" s="20">
        <v>0</v>
      </c>
      <c r="AH956" s="20">
        <v>0</v>
      </c>
      <c r="AI956" s="328" t="s">
        <v>1328</v>
      </c>
      <c r="AJ956" s="328" t="s">
        <v>1328</v>
      </c>
      <c r="AK956" s="328" t="s">
        <v>1328</v>
      </c>
      <c r="AL956" s="22" t="s">
        <v>1329</v>
      </c>
      <c r="AM956" s="22" t="s">
        <v>1330</v>
      </c>
      <c r="AN956" s="22" t="s">
        <v>1317</v>
      </c>
      <c r="AO956" s="22" t="s">
        <v>1318</v>
      </c>
      <c r="AP956" s="22" t="s">
        <v>1318</v>
      </c>
      <c r="AQ956" s="22" t="s">
        <v>1318</v>
      </c>
      <c r="AR956" s="22" t="s">
        <v>1317</v>
      </c>
      <c r="AS956" s="22" t="s">
        <v>1318</v>
      </c>
      <c r="AT956" s="22" t="s">
        <v>1317</v>
      </c>
      <c r="AU956" s="22" t="s">
        <v>1311</v>
      </c>
      <c r="AV956" s="22" t="s">
        <v>1317</v>
      </c>
      <c r="AW956" s="22" t="s">
        <v>1318</v>
      </c>
      <c r="AX956" s="22" t="s">
        <v>1317</v>
      </c>
      <c r="AY956" s="22" t="s">
        <v>1318</v>
      </c>
      <c r="AZ956" s="22" t="s">
        <v>1317</v>
      </c>
      <c r="BA956" s="22" t="s">
        <v>1318</v>
      </c>
      <c r="BB956" s="22" t="s">
        <v>1309</v>
      </c>
      <c r="BC956" s="22" t="s">
        <v>1309</v>
      </c>
      <c r="BD956" s="22" t="s">
        <v>1317</v>
      </c>
      <c r="BE956" s="22" t="s">
        <v>1318</v>
      </c>
      <c r="BF956" s="22" t="s">
        <v>1317</v>
      </c>
      <c r="BG956" s="22" t="s">
        <v>1318</v>
      </c>
      <c r="BH956" s="22" t="s">
        <v>1317</v>
      </c>
      <c r="BI956" s="22" t="s">
        <v>1318</v>
      </c>
      <c r="BJ956" s="22" t="s">
        <v>1309</v>
      </c>
      <c r="BK956" s="22" t="s">
        <v>1309</v>
      </c>
      <c r="BL956" s="22" t="s">
        <v>1309</v>
      </c>
      <c r="BM956" s="22" t="s">
        <v>1309</v>
      </c>
      <c r="BN956" s="22" t="s">
        <v>1309</v>
      </c>
      <c r="BO956" s="22" t="s">
        <v>1309</v>
      </c>
      <c r="BP956" s="22" t="s">
        <v>1315</v>
      </c>
      <c r="BQ956" s="22" t="s">
        <v>1315</v>
      </c>
      <c r="BR956" s="22" t="s">
        <v>1309</v>
      </c>
      <c r="BS956" s="22" t="s">
        <v>1309</v>
      </c>
      <c r="BT956" s="22" t="s">
        <v>1309</v>
      </c>
      <c r="BU956" s="22" t="s">
        <v>1309</v>
      </c>
      <c r="BV956" s="22" t="s">
        <v>1317</v>
      </c>
      <c r="BW956" s="22" t="s">
        <v>1318</v>
      </c>
      <c r="BX956" s="20">
        <v>0</v>
      </c>
      <c r="BY956" s="20">
        <v>0</v>
      </c>
      <c r="BZ956" s="20">
        <v>9</v>
      </c>
      <c r="CA956" s="20">
        <v>0</v>
      </c>
      <c r="CB956" s="20">
        <v>0</v>
      </c>
      <c r="CC956" s="20">
        <v>135</v>
      </c>
      <c r="CD956" s="22" t="s">
        <v>1317</v>
      </c>
      <c r="CE956" s="22" t="s">
        <v>1318</v>
      </c>
      <c r="CF956" s="22" t="s">
        <v>1317</v>
      </c>
      <c r="CG956" s="22" t="s">
        <v>1318</v>
      </c>
      <c r="CH956" s="22" t="s">
        <v>1317</v>
      </c>
      <c r="CI956" s="22" t="s">
        <v>1318</v>
      </c>
      <c r="CJ956" s="149" t="s">
        <v>3359</v>
      </c>
      <c r="CK956" s="241" t="s">
        <v>1358</v>
      </c>
    </row>
    <row r="957" spans="1:89" ht="15" customHeight="1" x14ac:dyDescent="0.35">
      <c r="A957" s="17"/>
      <c r="B957" s="313">
        <v>13075</v>
      </c>
      <c r="C957" s="8" t="s">
        <v>54</v>
      </c>
      <c r="D957" s="18">
        <v>1</v>
      </c>
      <c r="E957" s="131"/>
      <c r="F957" s="22"/>
      <c r="G957" s="132"/>
      <c r="H957" s="22"/>
      <c r="I957" s="22"/>
      <c r="J957" s="22"/>
      <c r="K957" s="22"/>
      <c r="L957" s="22"/>
      <c r="M957" s="133"/>
      <c r="N957" s="22"/>
      <c r="O957" s="22"/>
      <c r="P957" s="22"/>
      <c r="Q957" s="20"/>
      <c r="R957" s="20"/>
      <c r="S957" s="20"/>
      <c r="T957" s="20"/>
      <c r="U957" s="20"/>
      <c r="V957" s="20"/>
      <c r="W957" s="20"/>
      <c r="X957" s="20"/>
      <c r="Y957" s="20"/>
      <c r="Z957" s="20"/>
      <c r="AA957" s="20"/>
      <c r="AB957" s="22"/>
      <c r="AC957" s="20"/>
      <c r="AD957" s="20"/>
      <c r="AE957" s="20"/>
      <c r="AF957" s="20" t="s">
        <v>1124</v>
      </c>
      <c r="AG957" s="20" t="s">
        <v>1124</v>
      </c>
      <c r="AH957" s="20" t="s">
        <v>1124</v>
      </c>
      <c r="AI957" s="328"/>
      <c r="AJ957" s="328"/>
      <c r="AK957" s="328"/>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0"/>
      <c r="BY957" s="20"/>
      <c r="BZ957" s="20"/>
      <c r="CA957" s="20"/>
      <c r="CB957" s="20"/>
      <c r="CC957" s="20"/>
      <c r="CD957" s="22"/>
      <c r="CE957" s="22"/>
      <c r="CF957" s="22"/>
      <c r="CG957" s="22"/>
      <c r="CH957" s="22"/>
      <c r="CI957" s="22"/>
      <c r="CJ957" s="149"/>
      <c r="CK957" s="241"/>
    </row>
    <row r="958" spans="1:89" ht="15" customHeight="1" x14ac:dyDescent="0.35">
      <c r="A958" s="17"/>
      <c r="B958" s="313">
        <v>18055</v>
      </c>
      <c r="C958" s="8" t="s">
        <v>114</v>
      </c>
      <c r="D958" s="18">
        <v>12</v>
      </c>
      <c r="E958" s="131"/>
      <c r="F958" s="22"/>
      <c r="G958" s="132"/>
      <c r="H958" s="22"/>
      <c r="I958" s="22"/>
      <c r="J958" s="22"/>
      <c r="K958" s="22"/>
      <c r="L958" s="22"/>
      <c r="M958" s="133"/>
      <c r="N958" s="22"/>
      <c r="O958" s="22"/>
      <c r="P958" s="22"/>
      <c r="Q958" s="20"/>
      <c r="R958" s="20"/>
      <c r="S958" s="20"/>
      <c r="T958" s="20"/>
      <c r="U958" s="20"/>
      <c r="V958" s="20"/>
      <c r="W958" s="20"/>
      <c r="X958" s="20"/>
      <c r="Y958" s="20"/>
      <c r="Z958" s="20"/>
      <c r="AA958" s="20"/>
      <c r="AB958" s="22"/>
      <c r="AC958" s="20"/>
      <c r="AD958" s="20"/>
      <c r="AE958" s="20"/>
      <c r="AF958" s="20" t="s">
        <v>1124</v>
      </c>
      <c r="AG958" s="20" t="s">
        <v>1124</v>
      </c>
      <c r="AH958" s="20" t="s">
        <v>1124</v>
      </c>
      <c r="AI958" s="328"/>
      <c r="AJ958" s="328"/>
      <c r="AK958" s="328"/>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0"/>
      <c r="BY958" s="20"/>
      <c r="BZ958" s="20"/>
      <c r="CA958" s="20"/>
      <c r="CB958" s="20"/>
      <c r="CC958" s="20"/>
      <c r="CD958" s="22"/>
      <c r="CE958" s="22"/>
      <c r="CF958" s="22"/>
      <c r="CG958" s="22"/>
      <c r="CH958" s="22"/>
      <c r="CI958" s="22"/>
      <c r="CJ958" s="149"/>
      <c r="CK958" s="241"/>
    </row>
    <row r="959" spans="1:89" ht="15" customHeight="1" x14ac:dyDescent="0.35">
      <c r="A959" s="17"/>
      <c r="B959" s="313">
        <v>20025</v>
      </c>
      <c r="C959" s="8" t="s">
        <v>142</v>
      </c>
      <c r="D959" s="18">
        <v>3</v>
      </c>
      <c r="E959" s="131"/>
      <c r="F959" s="22"/>
      <c r="G959" s="132"/>
      <c r="H959" s="22"/>
      <c r="I959" s="22"/>
      <c r="J959" s="22"/>
      <c r="K959" s="22"/>
      <c r="L959" s="22"/>
      <c r="M959" s="133"/>
      <c r="N959" s="22"/>
      <c r="O959" s="22"/>
      <c r="P959" s="22"/>
      <c r="Q959" s="20"/>
      <c r="R959" s="20"/>
      <c r="S959" s="20"/>
      <c r="T959" s="20"/>
      <c r="U959" s="20"/>
      <c r="V959" s="20"/>
      <c r="W959" s="20"/>
      <c r="X959" s="20"/>
      <c r="Y959" s="20"/>
      <c r="Z959" s="20"/>
      <c r="AA959" s="20"/>
      <c r="AB959" s="22"/>
      <c r="AC959" s="20"/>
      <c r="AD959" s="20"/>
      <c r="AE959" s="20"/>
      <c r="AF959" s="20" t="s">
        <v>1124</v>
      </c>
      <c r="AG959" s="20" t="s">
        <v>1124</v>
      </c>
      <c r="AH959" s="20" t="s">
        <v>1124</v>
      </c>
      <c r="AI959" s="328"/>
      <c r="AJ959" s="328"/>
      <c r="AK959" s="328"/>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0"/>
      <c r="BY959" s="20"/>
      <c r="BZ959" s="20"/>
      <c r="CA959" s="20"/>
      <c r="CB959" s="20"/>
      <c r="CC959" s="20"/>
      <c r="CD959" s="22"/>
      <c r="CE959" s="22"/>
      <c r="CF959" s="22"/>
      <c r="CG959" s="22"/>
      <c r="CH959" s="22"/>
      <c r="CI959" s="22"/>
      <c r="CJ959" s="149"/>
      <c r="CK959" s="241"/>
    </row>
    <row r="960" spans="1:89" ht="15" customHeight="1" x14ac:dyDescent="0.35">
      <c r="A960" s="17"/>
      <c r="B960" s="313">
        <v>38065</v>
      </c>
      <c r="C960" s="8" t="s">
        <v>335</v>
      </c>
      <c r="D960" s="18">
        <v>17</v>
      </c>
      <c r="E960" s="131" t="s">
        <v>1309</v>
      </c>
      <c r="F960" s="22" t="s">
        <v>1309</v>
      </c>
      <c r="G960" s="132" t="s">
        <v>1309</v>
      </c>
      <c r="H960" s="22" t="s">
        <v>1311</v>
      </c>
      <c r="I960" s="22" t="s">
        <v>1327</v>
      </c>
      <c r="J960" s="22" t="s">
        <v>1327</v>
      </c>
      <c r="K960" s="22" t="s">
        <v>1309</v>
      </c>
      <c r="L960" s="22" t="s">
        <v>1309</v>
      </c>
      <c r="M960" s="133" t="s">
        <v>1311</v>
      </c>
      <c r="N960" s="22" t="s">
        <v>1311</v>
      </c>
      <c r="O960" s="22" t="s">
        <v>1314</v>
      </c>
      <c r="P960" s="22" t="s">
        <v>1318</v>
      </c>
      <c r="Q960" s="20">
        <v>0</v>
      </c>
      <c r="R960" s="20">
        <v>0</v>
      </c>
      <c r="S960" s="20">
        <v>0</v>
      </c>
      <c r="T960" s="20">
        <v>0</v>
      </c>
      <c r="U960" s="20">
        <v>0</v>
      </c>
      <c r="V960" s="20">
        <v>0</v>
      </c>
      <c r="W960" s="20">
        <v>0</v>
      </c>
      <c r="X960" s="20">
        <v>0</v>
      </c>
      <c r="Y960" s="20">
        <v>0</v>
      </c>
      <c r="Z960" s="20">
        <v>0</v>
      </c>
      <c r="AA960" s="20" t="s">
        <v>1317</v>
      </c>
      <c r="AB960" s="22" t="s">
        <v>1318</v>
      </c>
      <c r="AC960" s="20">
        <v>8</v>
      </c>
      <c r="AD960" s="20">
        <v>5</v>
      </c>
      <c r="AE960" s="20">
        <v>6</v>
      </c>
      <c r="AF960" s="20">
        <v>3</v>
      </c>
      <c r="AG960" s="20">
        <v>7</v>
      </c>
      <c r="AH960" s="20">
        <v>10</v>
      </c>
      <c r="AI960" s="328">
        <v>24.951656166178033</v>
      </c>
      <c r="AJ960" s="328">
        <v>7.598784194528875</v>
      </c>
      <c r="AK960" s="328">
        <v>9.1185410334346511</v>
      </c>
      <c r="AL960" s="22" t="s">
        <v>1329</v>
      </c>
      <c r="AM960" s="22" t="s">
        <v>1330</v>
      </c>
      <c r="AN960" s="22" t="s">
        <v>1317</v>
      </c>
      <c r="AO960" s="22" t="s">
        <v>1318</v>
      </c>
      <c r="AP960" s="22" t="s">
        <v>1318</v>
      </c>
      <c r="AQ960" s="22" t="s">
        <v>1318</v>
      </c>
      <c r="AR960" s="22" t="s">
        <v>1317</v>
      </c>
      <c r="AS960" s="22" t="s">
        <v>1318</v>
      </c>
      <c r="AT960" s="22" t="s">
        <v>1317</v>
      </c>
      <c r="AU960" s="22" t="s">
        <v>1318</v>
      </c>
      <c r="AV960" s="22" t="s">
        <v>1309</v>
      </c>
      <c r="AW960" s="22" t="s">
        <v>1309</v>
      </c>
      <c r="AX960" s="22" t="s">
        <v>1317</v>
      </c>
      <c r="AY960" s="22" t="s">
        <v>1318</v>
      </c>
      <c r="AZ960" s="22" t="s">
        <v>1317</v>
      </c>
      <c r="BA960" s="22" t="s">
        <v>1311</v>
      </c>
      <c r="BB960" s="22" t="s">
        <v>1309</v>
      </c>
      <c r="BC960" s="22" t="s">
        <v>1309</v>
      </c>
      <c r="BD960" s="22" t="s">
        <v>1317</v>
      </c>
      <c r="BE960" s="22" t="s">
        <v>1318</v>
      </c>
      <c r="BF960" s="22" t="s">
        <v>1319</v>
      </c>
      <c r="BG960" s="22" t="s">
        <v>1311</v>
      </c>
      <c r="BH960" s="22" t="s">
        <v>1317</v>
      </c>
      <c r="BI960" s="22" t="s">
        <v>1318</v>
      </c>
      <c r="BJ960" s="22" t="s">
        <v>1317</v>
      </c>
      <c r="BK960" s="22" t="s">
        <v>1311</v>
      </c>
      <c r="BL960" s="22" t="s">
        <v>1319</v>
      </c>
      <c r="BM960" s="22" t="s">
        <v>1311</v>
      </c>
      <c r="BN960" s="22" t="s">
        <v>1309</v>
      </c>
      <c r="BO960" s="22" t="s">
        <v>1309</v>
      </c>
      <c r="BP960" s="22" t="s">
        <v>1317</v>
      </c>
      <c r="BQ960" s="22" t="s">
        <v>1318</v>
      </c>
      <c r="BR960" s="22" t="s">
        <v>1317</v>
      </c>
      <c r="BS960" s="22" t="s">
        <v>1311</v>
      </c>
      <c r="BT960" s="22" t="s">
        <v>1317</v>
      </c>
      <c r="BU960" s="22" t="s">
        <v>1318</v>
      </c>
      <c r="BV960" s="22" t="s">
        <v>1317</v>
      </c>
      <c r="BW960" s="22" t="s">
        <v>1318</v>
      </c>
      <c r="BX960" s="20">
        <v>23</v>
      </c>
      <c r="BY960" s="20">
        <v>1</v>
      </c>
      <c r="BZ960" s="20">
        <v>11</v>
      </c>
      <c r="CA960" s="20">
        <v>7</v>
      </c>
      <c r="CB960" s="20">
        <v>5</v>
      </c>
      <c r="CC960" s="20">
        <v>611</v>
      </c>
      <c r="CD960" s="22" t="s">
        <v>1320</v>
      </c>
      <c r="CE960" s="22" t="s">
        <v>1321</v>
      </c>
      <c r="CF960" s="22" t="s">
        <v>1320</v>
      </c>
      <c r="CG960" s="22" t="s">
        <v>1321</v>
      </c>
      <c r="CH960" s="22" t="s">
        <v>1317</v>
      </c>
      <c r="CI960" s="22" t="s">
        <v>1318</v>
      </c>
      <c r="CJ960" s="149" t="s">
        <v>1124</v>
      </c>
      <c r="CK960" s="241" t="s">
        <v>1356</v>
      </c>
    </row>
    <row r="961" spans="1:89" ht="15" customHeight="1" x14ac:dyDescent="0.35">
      <c r="A961" s="17"/>
      <c r="B961" s="313">
        <v>72043</v>
      </c>
      <c r="C961" s="8" t="s">
        <v>733</v>
      </c>
      <c r="D961" s="18">
        <v>15</v>
      </c>
      <c r="E961" s="131" t="s">
        <v>1319</v>
      </c>
      <c r="F961" s="22" t="s">
        <v>1490</v>
      </c>
      <c r="G961" s="132" t="s">
        <v>1309</v>
      </c>
      <c r="H961" s="22" t="s">
        <v>1311</v>
      </c>
      <c r="I961" s="22" t="s">
        <v>1327</v>
      </c>
      <c r="J961" s="22" t="s">
        <v>1342</v>
      </c>
      <c r="K961" s="22" t="s">
        <v>1319</v>
      </c>
      <c r="L961" s="22" t="s">
        <v>1311</v>
      </c>
      <c r="M961" s="133" t="s">
        <v>1311</v>
      </c>
      <c r="N961" s="22" t="s">
        <v>1311</v>
      </c>
      <c r="O961" s="22" t="s">
        <v>1314</v>
      </c>
      <c r="P961" s="22" t="s">
        <v>1318</v>
      </c>
      <c r="Q961" s="20">
        <v>3.9670000000000001</v>
      </c>
      <c r="R961" s="20">
        <v>3.9670000000000001</v>
      </c>
      <c r="S961" s="20">
        <v>0.26800000000000002</v>
      </c>
      <c r="T961" s="20">
        <v>0</v>
      </c>
      <c r="U961" s="20">
        <v>2.1669999999999998</v>
      </c>
      <c r="V961" s="20">
        <v>3.9670000000000001</v>
      </c>
      <c r="W961" s="20">
        <v>0</v>
      </c>
      <c r="X961" s="20">
        <v>0</v>
      </c>
      <c r="Y961" s="20">
        <v>0</v>
      </c>
      <c r="Z961" s="20">
        <v>0</v>
      </c>
      <c r="AA961" s="20" t="s">
        <v>1319</v>
      </c>
      <c r="AB961" s="22" t="s">
        <v>1311</v>
      </c>
      <c r="AC961" s="20">
        <v>2</v>
      </c>
      <c r="AD961" s="20">
        <v>2</v>
      </c>
      <c r="AE961" s="20">
        <v>0</v>
      </c>
      <c r="AF961" s="20">
        <v>2</v>
      </c>
      <c r="AG961" s="20">
        <v>2</v>
      </c>
      <c r="AH961" s="20">
        <v>0</v>
      </c>
      <c r="AI961" s="328">
        <v>50.415931434333245</v>
      </c>
      <c r="AJ961" s="328">
        <v>12.578616352201259</v>
      </c>
      <c r="AK961" s="328" t="s">
        <v>1328</v>
      </c>
      <c r="AL961" s="22" t="s">
        <v>1329</v>
      </c>
      <c r="AM961" s="22" t="s">
        <v>1330</v>
      </c>
      <c r="AN961" s="22" t="s">
        <v>1317</v>
      </c>
      <c r="AO961" s="22" t="s">
        <v>1318</v>
      </c>
      <c r="AP961" s="22" t="s">
        <v>1318</v>
      </c>
      <c r="AQ961" s="22" t="s">
        <v>1318</v>
      </c>
      <c r="AR961" s="22" t="s">
        <v>1317</v>
      </c>
      <c r="AS961" s="22" t="s">
        <v>1318</v>
      </c>
      <c r="AT961" s="22" t="s">
        <v>1309</v>
      </c>
      <c r="AU961" s="22" t="s">
        <v>1309</v>
      </c>
      <c r="AV961" s="22" t="s">
        <v>1309</v>
      </c>
      <c r="AW961" s="22" t="s">
        <v>1311</v>
      </c>
      <c r="AX961" s="22" t="s">
        <v>1317</v>
      </c>
      <c r="AY961" s="22" t="s">
        <v>1318</v>
      </c>
      <c r="AZ961" s="22" t="s">
        <v>1309</v>
      </c>
      <c r="BA961" s="22" t="s">
        <v>1309</v>
      </c>
      <c r="BB961" s="22" t="s">
        <v>1309</v>
      </c>
      <c r="BC961" s="22" t="s">
        <v>1309</v>
      </c>
      <c r="BD961" s="22" t="s">
        <v>1317</v>
      </c>
      <c r="BE961" s="22" t="s">
        <v>1318</v>
      </c>
      <c r="BF961" s="22" t="s">
        <v>1317</v>
      </c>
      <c r="BG961" s="22" t="s">
        <v>1318</v>
      </c>
      <c r="BH961" s="22" t="s">
        <v>1309</v>
      </c>
      <c r="BI961" s="22" t="s">
        <v>1309</v>
      </c>
      <c r="BJ961" s="22" t="s">
        <v>1319</v>
      </c>
      <c r="BK961" s="22" t="s">
        <v>1309</v>
      </c>
      <c r="BL961" s="22" t="s">
        <v>1317</v>
      </c>
      <c r="BM961" s="22" t="s">
        <v>1311</v>
      </c>
      <c r="BN961" s="22" t="s">
        <v>1309</v>
      </c>
      <c r="BO961" s="22" t="s">
        <v>1309</v>
      </c>
      <c r="BP961" s="22" t="s">
        <v>1309</v>
      </c>
      <c r="BQ961" s="22" t="s">
        <v>1309</v>
      </c>
      <c r="BR961" s="22" t="s">
        <v>1319</v>
      </c>
      <c r="BS961" s="22" t="s">
        <v>1311</v>
      </c>
      <c r="BT961" s="22" t="s">
        <v>1309</v>
      </c>
      <c r="BU961" s="22" t="s">
        <v>1309</v>
      </c>
      <c r="BV961" s="22" t="s">
        <v>1317</v>
      </c>
      <c r="BW961" s="22" t="s">
        <v>1318</v>
      </c>
      <c r="BX961" s="20">
        <v>4</v>
      </c>
      <c r="BY961" s="20">
        <v>0</v>
      </c>
      <c r="BZ961" s="20">
        <v>16</v>
      </c>
      <c r="CA961" s="20">
        <v>0</v>
      </c>
      <c r="CB961" s="20">
        <v>0</v>
      </c>
      <c r="CC961" s="20">
        <v>139</v>
      </c>
      <c r="CD961" s="22" t="s">
        <v>1317</v>
      </c>
      <c r="CE961" s="22" t="s">
        <v>1318</v>
      </c>
      <c r="CF961" s="22" t="s">
        <v>1317</v>
      </c>
      <c r="CG961" s="22" t="s">
        <v>1318</v>
      </c>
      <c r="CH961" s="22" t="s">
        <v>1317</v>
      </c>
      <c r="CI961" s="22" t="s">
        <v>1318</v>
      </c>
      <c r="CJ961" s="149" t="s">
        <v>1124</v>
      </c>
      <c r="CK961" s="241" t="s">
        <v>3365</v>
      </c>
    </row>
    <row r="962" spans="1:89" ht="15" customHeight="1" x14ac:dyDescent="0.35">
      <c r="A962" s="17"/>
      <c r="B962" s="313">
        <v>71020</v>
      </c>
      <c r="C962" s="8" t="s">
        <v>706</v>
      </c>
      <c r="D962" s="18">
        <v>16</v>
      </c>
      <c r="E962" s="131" t="s">
        <v>1309</v>
      </c>
      <c r="F962" s="22" t="s">
        <v>1309</v>
      </c>
      <c r="G962" s="132" t="s">
        <v>1309</v>
      </c>
      <c r="H962" s="22" t="s">
        <v>1311</v>
      </c>
      <c r="I962" s="22" t="s">
        <v>1327</v>
      </c>
      <c r="J962" s="22" t="s">
        <v>1327</v>
      </c>
      <c r="K962" s="22" t="s">
        <v>1319</v>
      </c>
      <c r="L962" s="22" t="s">
        <v>1311</v>
      </c>
      <c r="M962" s="133" t="s">
        <v>1311</v>
      </c>
      <c r="N962" s="22" t="s">
        <v>1311</v>
      </c>
      <c r="O962" s="22" t="s">
        <v>1309</v>
      </c>
      <c r="P962" s="22" t="s">
        <v>1309</v>
      </c>
      <c r="Q962" s="20">
        <v>0</v>
      </c>
      <c r="R962" s="20">
        <v>0</v>
      </c>
      <c r="S962" s="20">
        <v>0</v>
      </c>
      <c r="T962" s="20">
        <v>0</v>
      </c>
      <c r="U962" s="20">
        <v>0</v>
      </c>
      <c r="V962" s="20">
        <v>0</v>
      </c>
      <c r="W962" s="20">
        <v>0</v>
      </c>
      <c r="X962" s="20">
        <v>0</v>
      </c>
      <c r="Y962" s="20">
        <v>0</v>
      </c>
      <c r="Z962" s="20">
        <v>0</v>
      </c>
      <c r="AA962" s="20" t="s">
        <v>1315</v>
      </c>
      <c r="AB962" s="22" t="s">
        <v>1315</v>
      </c>
      <c r="AC962" s="20">
        <v>1</v>
      </c>
      <c r="AD962" s="20">
        <v>0</v>
      </c>
      <c r="AE962" s="20">
        <v>0</v>
      </c>
      <c r="AF962" s="20">
        <v>1</v>
      </c>
      <c r="AG962" s="20">
        <v>0</v>
      </c>
      <c r="AH962" s="20">
        <v>0</v>
      </c>
      <c r="AI962" s="328">
        <v>3.1297924947575977</v>
      </c>
      <c r="AJ962" s="328" t="s">
        <v>1328</v>
      </c>
      <c r="AK962" s="328" t="s">
        <v>1328</v>
      </c>
      <c r="AL962" s="22" t="s">
        <v>1315</v>
      </c>
      <c r="AM962" s="22" t="s">
        <v>1315</v>
      </c>
      <c r="AN962" s="22" t="s">
        <v>1315</v>
      </c>
      <c r="AO962" s="22" t="s">
        <v>1315</v>
      </c>
      <c r="AP962" s="22" t="s">
        <v>1315</v>
      </c>
      <c r="AQ962" s="22" t="s">
        <v>1315</v>
      </c>
      <c r="AR962" s="22" t="s">
        <v>1315</v>
      </c>
      <c r="AS962" s="22" t="s">
        <v>1315</v>
      </c>
      <c r="AT962" s="22" t="s">
        <v>1315</v>
      </c>
      <c r="AU962" s="22" t="s">
        <v>1315</v>
      </c>
      <c r="AV962" s="22" t="s">
        <v>1319</v>
      </c>
      <c r="AW962" s="22" t="s">
        <v>1311</v>
      </c>
      <c r="AX962" s="22" t="s">
        <v>1315</v>
      </c>
      <c r="AY962" s="22" t="s">
        <v>1315</v>
      </c>
      <c r="AZ962" s="22" t="s">
        <v>1309</v>
      </c>
      <c r="BA962" s="22" t="s">
        <v>1309</v>
      </c>
      <c r="BB962" s="22" t="s">
        <v>1309</v>
      </c>
      <c r="BC962" s="22" t="s">
        <v>1309</v>
      </c>
      <c r="BD962" s="22" t="s">
        <v>1309</v>
      </c>
      <c r="BE962" s="22" t="s">
        <v>1309</v>
      </c>
      <c r="BF962" s="22" t="s">
        <v>1309</v>
      </c>
      <c r="BG962" s="22" t="s">
        <v>1309</v>
      </c>
      <c r="BH962" s="22" t="s">
        <v>1309</v>
      </c>
      <c r="BI962" s="22" t="s">
        <v>1309</v>
      </c>
      <c r="BJ962" s="22" t="s">
        <v>1309</v>
      </c>
      <c r="BK962" s="22" t="s">
        <v>1309</v>
      </c>
      <c r="BL962" s="22" t="s">
        <v>1319</v>
      </c>
      <c r="BM962" s="22" t="s">
        <v>1311</v>
      </c>
      <c r="BN962" s="22" t="s">
        <v>1309</v>
      </c>
      <c r="BO962" s="22" t="s">
        <v>1309</v>
      </c>
      <c r="BP962" s="22" t="s">
        <v>1315</v>
      </c>
      <c r="BQ962" s="22" t="s">
        <v>1315</v>
      </c>
      <c r="BR962" s="22" t="s">
        <v>1309</v>
      </c>
      <c r="BS962" s="22" t="s">
        <v>1309</v>
      </c>
      <c r="BT962" s="22" t="s">
        <v>1309</v>
      </c>
      <c r="BU962" s="22" t="s">
        <v>1309</v>
      </c>
      <c r="BV962" s="22" t="s">
        <v>1319</v>
      </c>
      <c r="BW962" s="22" t="s">
        <v>1311</v>
      </c>
      <c r="BX962" s="20">
        <v>0</v>
      </c>
      <c r="BY962" s="20">
        <v>6</v>
      </c>
      <c r="BZ962" s="20">
        <v>0</v>
      </c>
      <c r="CA962" s="20">
        <v>805</v>
      </c>
      <c r="CB962" s="20">
        <v>0</v>
      </c>
      <c r="CC962" s="20">
        <v>0</v>
      </c>
      <c r="CD962" s="22" t="s">
        <v>1317</v>
      </c>
      <c r="CE962" s="22" t="s">
        <v>1315</v>
      </c>
      <c r="CF962" s="22" t="s">
        <v>1315</v>
      </c>
      <c r="CG962" s="22" t="s">
        <v>1315</v>
      </c>
      <c r="CH962" s="22" t="s">
        <v>1315</v>
      </c>
      <c r="CI962" s="22" t="s">
        <v>1315</v>
      </c>
      <c r="CJ962" s="149" t="s">
        <v>1124</v>
      </c>
      <c r="CK962" s="241" t="s">
        <v>1124</v>
      </c>
    </row>
    <row r="963" spans="1:89" ht="15" customHeight="1" x14ac:dyDescent="0.35">
      <c r="A963" s="17"/>
      <c r="B963" s="313">
        <v>91035</v>
      </c>
      <c r="C963" s="8" t="s">
        <v>943</v>
      </c>
      <c r="D963" s="18">
        <v>2</v>
      </c>
      <c r="E963" s="131"/>
      <c r="F963" s="22"/>
      <c r="G963" s="132"/>
      <c r="H963" s="22"/>
      <c r="I963" s="22"/>
      <c r="J963" s="22"/>
      <c r="K963" s="22"/>
      <c r="L963" s="22"/>
      <c r="M963" s="133"/>
      <c r="N963" s="22"/>
      <c r="O963" s="22"/>
      <c r="P963" s="22"/>
      <c r="Q963" s="20"/>
      <c r="R963" s="20"/>
      <c r="S963" s="20"/>
      <c r="T963" s="20"/>
      <c r="U963" s="20"/>
      <c r="V963" s="20"/>
      <c r="W963" s="20"/>
      <c r="X963" s="20"/>
      <c r="Y963" s="20"/>
      <c r="Z963" s="20"/>
      <c r="AA963" s="20"/>
      <c r="AB963" s="22"/>
      <c r="AC963" s="20"/>
      <c r="AD963" s="20"/>
      <c r="AE963" s="20"/>
      <c r="AF963" s="20" t="s">
        <v>1124</v>
      </c>
      <c r="AG963" s="20" t="s">
        <v>1124</v>
      </c>
      <c r="AH963" s="20" t="s">
        <v>1124</v>
      </c>
      <c r="AI963" s="328"/>
      <c r="AJ963" s="328"/>
      <c r="AK963" s="328"/>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0"/>
      <c r="BY963" s="20"/>
      <c r="BZ963" s="20"/>
      <c r="CA963" s="20"/>
      <c r="CB963" s="20"/>
      <c r="CC963" s="20"/>
      <c r="CD963" s="22"/>
      <c r="CE963" s="22"/>
      <c r="CF963" s="22"/>
      <c r="CG963" s="22"/>
      <c r="CH963" s="22"/>
      <c r="CI963" s="22"/>
      <c r="CJ963" s="149"/>
      <c r="CK963" s="241"/>
    </row>
    <row r="964" spans="1:89" ht="15" customHeight="1" x14ac:dyDescent="0.35">
      <c r="A964" s="17"/>
      <c r="B964" s="313">
        <v>28020</v>
      </c>
      <c r="C964" s="8" t="s">
        <v>190</v>
      </c>
      <c r="D964" s="18">
        <v>12</v>
      </c>
      <c r="E964" s="131" t="s">
        <v>1309</v>
      </c>
      <c r="F964" s="22" t="s">
        <v>1309</v>
      </c>
      <c r="G964" s="132" t="s">
        <v>1309</v>
      </c>
      <c r="H964" s="22" t="s">
        <v>1311</v>
      </c>
      <c r="I964" s="22" t="s">
        <v>1327</v>
      </c>
      <c r="J964" s="22" t="s">
        <v>1327</v>
      </c>
      <c r="K964" s="22" t="s">
        <v>1309</v>
      </c>
      <c r="L964" s="22" t="s">
        <v>1309</v>
      </c>
      <c r="M964" s="133" t="s">
        <v>1311</v>
      </c>
      <c r="N964" s="22" t="s">
        <v>1311</v>
      </c>
      <c r="O964" s="22" t="s">
        <v>1315</v>
      </c>
      <c r="P964" s="22" t="s">
        <v>1315</v>
      </c>
      <c r="Q964" s="20">
        <v>0</v>
      </c>
      <c r="R964" s="20">
        <v>0</v>
      </c>
      <c r="S964" s="20">
        <v>9</v>
      </c>
      <c r="T964" s="20">
        <v>9</v>
      </c>
      <c r="U964" s="20">
        <v>1</v>
      </c>
      <c r="V964" s="20">
        <v>1</v>
      </c>
      <c r="W964" s="20">
        <v>0</v>
      </c>
      <c r="X964" s="20">
        <v>0</v>
      </c>
      <c r="Y964" s="20">
        <v>0</v>
      </c>
      <c r="Z964" s="20">
        <v>0</v>
      </c>
      <c r="AA964" s="20" t="s">
        <v>1309</v>
      </c>
      <c r="AB964" s="22" t="s">
        <v>1309</v>
      </c>
      <c r="AC964" s="20">
        <v>6</v>
      </c>
      <c r="AD964" s="20">
        <v>1</v>
      </c>
      <c r="AE964" s="20">
        <v>2</v>
      </c>
      <c r="AF964" s="20">
        <v>1</v>
      </c>
      <c r="AG964" s="20">
        <v>1</v>
      </c>
      <c r="AH964" s="20">
        <v>1</v>
      </c>
      <c r="AI964" s="328">
        <v>23.21981424148607</v>
      </c>
      <c r="AJ964" s="328">
        <v>0.90497737556561086</v>
      </c>
      <c r="AK964" s="328">
        <v>1.8099547511312217</v>
      </c>
      <c r="AL964" s="22" t="s">
        <v>1329</v>
      </c>
      <c r="AM964" s="22" t="s">
        <v>1330</v>
      </c>
      <c r="AN964" s="22" t="s">
        <v>1347</v>
      </c>
      <c r="AO964" s="22" t="s">
        <v>1309</v>
      </c>
      <c r="AP964" s="22" t="s">
        <v>1347</v>
      </c>
      <c r="AQ964" s="22" t="s">
        <v>1309</v>
      </c>
      <c r="AR964" s="22" t="s">
        <v>1317</v>
      </c>
      <c r="AS964" s="22" t="s">
        <v>1318</v>
      </c>
      <c r="AT964" s="22" t="s">
        <v>1317</v>
      </c>
      <c r="AU964" s="22" t="s">
        <v>1318</v>
      </c>
      <c r="AV964" s="22" t="s">
        <v>1317</v>
      </c>
      <c r="AW964" s="22" t="s">
        <v>1318</v>
      </c>
      <c r="AX964" s="22" t="s">
        <v>1317</v>
      </c>
      <c r="AY964" s="22" t="s">
        <v>1318</v>
      </c>
      <c r="AZ964" s="22" t="s">
        <v>1309</v>
      </c>
      <c r="BA964" s="22" t="s">
        <v>1309</v>
      </c>
      <c r="BB964" s="22" t="s">
        <v>1309</v>
      </c>
      <c r="BC964" s="22" t="s">
        <v>1309</v>
      </c>
      <c r="BD964" s="22" t="s">
        <v>1315</v>
      </c>
      <c r="BE964" s="22" t="s">
        <v>1315</v>
      </c>
      <c r="BF964" s="22" t="s">
        <v>1317</v>
      </c>
      <c r="BG964" s="22" t="s">
        <v>1318</v>
      </c>
      <c r="BH964" s="22" t="s">
        <v>1317</v>
      </c>
      <c r="BI964" s="22" t="s">
        <v>1318</v>
      </c>
      <c r="BJ964" s="22" t="s">
        <v>1309</v>
      </c>
      <c r="BK964" s="22" t="s">
        <v>1309</v>
      </c>
      <c r="BL964" s="22" t="s">
        <v>1317</v>
      </c>
      <c r="BM964" s="22" t="s">
        <v>1318</v>
      </c>
      <c r="BN964" s="22" t="s">
        <v>1309</v>
      </c>
      <c r="BO964" s="22" t="s">
        <v>1309</v>
      </c>
      <c r="BP964" s="22" t="s">
        <v>1309</v>
      </c>
      <c r="BQ964" s="22" t="s">
        <v>1309</v>
      </c>
      <c r="BR964" s="22" t="s">
        <v>1309</v>
      </c>
      <c r="BS964" s="22" t="s">
        <v>1309</v>
      </c>
      <c r="BT964" s="22" t="s">
        <v>1317</v>
      </c>
      <c r="BU964" s="22" t="s">
        <v>1318</v>
      </c>
      <c r="BV964" s="22" t="s">
        <v>1317</v>
      </c>
      <c r="BW964" s="22" t="s">
        <v>1318</v>
      </c>
      <c r="BX964" s="20">
        <v>0</v>
      </c>
      <c r="BY964" s="20">
        <v>0</v>
      </c>
      <c r="BZ964" s="20">
        <v>70</v>
      </c>
      <c r="CA964" s="20">
        <v>0</v>
      </c>
      <c r="CB964" s="20">
        <v>0</v>
      </c>
      <c r="CC964" s="20">
        <v>1035</v>
      </c>
      <c r="CD964" s="22" t="s">
        <v>1317</v>
      </c>
      <c r="CE964" s="22" t="s">
        <v>1318</v>
      </c>
      <c r="CF964" s="22" t="s">
        <v>1317</v>
      </c>
      <c r="CG964" s="22" t="s">
        <v>1318</v>
      </c>
      <c r="CH964" s="22" t="s">
        <v>1317</v>
      </c>
      <c r="CI964" s="22" t="s">
        <v>1318</v>
      </c>
      <c r="CJ964" s="149" t="s">
        <v>3370</v>
      </c>
      <c r="CK964" s="241" t="s">
        <v>1124</v>
      </c>
    </row>
    <row r="965" spans="1:89" ht="15" customHeight="1" x14ac:dyDescent="0.35">
      <c r="A965" s="17"/>
      <c r="B965" s="313">
        <v>37250</v>
      </c>
      <c r="C965" s="8" t="s">
        <v>324</v>
      </c>
      <c r="D965" s="18">
        <v>4</v>
      </c>
      <c r="E965" s="131" t="s">
        <v>1309</v>
      </c>
      <c r="F965" s="22" t="s">
        <v>1309</v>
      </c>
      <c r="G965" s="132" t="s">
        <v>1309</v>
      </c>
      <c r="H965" s="22" t="s">
        <v>1311</v>
      </c>
      <c r="I965" s="22" t="s">
        <v>1315</v>
      </c>
      <c r="J965" s="22" t="s">
        <v>1315</v>
      </c>
      <c r="K965" s="22" t="s">
        <v>1319</v>
      </c>
      <c r="L965" s="22" t="s">
        <v>1309</v>
      </c>
      <c r="M965" s="133" t="s">
        <v>1311</v>
      </c>
      <c r="N965" s="22" t="s">
        <v>1311</v>
      </c>
      <c r="O965" s="22" t="s">
        <v>1315</v>
      </c>
      <c r="P965" s="22" t="s">
        <v>1315</v>
      </c>
      <c r="Q965" s="20">
        <v>18.507999999999999</v>
      </c>
      <c r="R965" s="20">
        <v>18.507999999999999</v>
      </c>
      <c r="S965" s="20">
        <v>0</v>
      </c>
      <c r="T965" s="20">
        <v>0</v>
      </c>
      <c r="U965" s="20">
        <v>0</v>
      </c>
      <c r="V965" s="20">
        <v>0</v>
      </c>
      <c r="W965" s="20">
        <v>0</v>
      </c>
      <c r="X965" s="20">
        <v>0</v>
      </c>
      <c r="Y965" s="20">
        <v>0</v>
      </c>
      <c r="Z965" s="20">
        <v>0</v>
      </c>
      <c r="AA965" s="20" t="s">
        <v>1317</v>
      </c>
      <c r="AB965" s="22" t="s">
        <v>1311</v>
      </c>
      <c r="AC965" s="20">
        <v>0</v>
      </c>
      <c r="AD965" s="20">
        <v>2</v>
      </c>
      <c r="AE965" s="20">
        <v>2</v>
      </c>
      <c r="AF965" s="20">
        <v>0</v>
      </c>
      <c r="AG965" s="20">
        <v>2</v>
      </c>
      <c r="AH965" s="20">
        <v>5</v>
      </c>
      <c r="AI965" s="328" t="s">
        <v>1328</v>
      </c>
      <c r="AJ965" s="328">
        <v>8.5836909871244629</v>
      </c>
      <c r="AK965" s="328">
        <v>8.5836909871244629</v>
      </c>
      <c r="AL965" s="22" t="s">
        <v>1329</v>
      </c>
      <c r="AM965" s="22" t="s">
        <v>1330</v>
      </c>
      <c r="AN965" s="22" t="s">
        <v>1315</v>
      </c>
      <c r="AO965" s="22" t="s">
        <v>1315</v>
      </c>
      <c r="AP965" s="22" t="s">
        <v>1315</v>
      </c>
      <c r="AQ965" s="22" t="s">
        <v>1315</v>
      </c>
      <c r="AR965" s="22" t="s">
        <v>1309</v>
      </c>
      <c r="AS965" s="22" t="s">
        <v>1309</v>
      </c>
      <c r="AT965" s="22" t="s">
        <v>1309</v>
      </c>
      <c r="AU965" s="22" t="s">
        <v>1309</v>
      </c>
      <c r="AV965" s="22" t="s">
        <v>1317</v>
      </c>
      <c r="AW965" s="22" t="s">
        <v>1318</v>
      </c>
      <c r="AX965" s="22" t="s">
        <v>1309</v>
      </c>
      <c r="AY965" s="22" t="s">
        <v>1309</v>
      </c>
      <c r="AZ965" s="22" t="s">
        <v>1309</v>
      </c>
      <c r="BA965" s="22" t="s">
        <v>1309</v>
      </c>
      <c r="BB965" s="22" t="s">
        <v>1309</v>
      </c>
      <c r="BC965" s="22" t="s">
        <v>1309</v>
      </c>
      <c r="BD965" s="22" t="s">
        <v>1317</v>
      </c>
      <c r="BE965" s="22" t="s">
        <v>1318</v>
      </c>
      <c r="BF965" s="22" t="s">
        <v>1317</v>
      </c>
      <c r="BG965" s="22" t="s">
        <v>1318</v>
      </c>
      <c r="BH965" s="22" t="s">
        <v>1317</v>
      </c>
      <c r="BI965" s="22" t="s">
        <v>1318</v>
      </c>
      <c r="BJ965" s="22" t="s">
        <v>1317</v>
      </c>
      <c r="BK965" s="22" t="s">
        <v>1318</v>
      </c>
      <c r="BL965" s="22" t="s">
        <v>1317</v>
      </c>
      <c r="BM965" s="22" t="s">
        <v>1311</v>
      </c>
      <c r="BN965" s="22" t="s">
        <v>1309</v>
      </c>
      <c r="BO965" s="22" t="s">
        <v>1309</v>
      </c>
      <c r="BP965" s="22" t="s">
        <v>1315</v>
      </c>
      <c r="BQ965" s="22" t="s">
        <v>1315</v>
      </c>
      <c r="BR965" s="22" t="s">
        <v>1309</v>
      </c>
      <c r="BS965" s="22" t="s">
        <v>1309</v>
      </c>
      <c r="BT965" s="22" t="s">
        <v>1315</v>
      </c>
      <c r="BU965" s="22" t="s">
        <v>1315</v>
      </c>
      <c r="BV965" s="22" t="s">
        <v>1309</v>
      </c>
      <c r="BW965" s="22" t="s">
        <v>1309</v>
      </c>
      <c r="BX965" s="20">
        <v>0</v>
      </c>
      <c r="BY965" s="20">
        <v>0</v>
      </c>
      <c r="BZ965" s="20">
        <v>25</v>
      </c>
      <c r="CA965" s="20">
        <v>0</v>
      </c>
      <c r="CB965" s="20">
        <v>0</v>
      </c>
      <c r="CC965" s="20">
        <v>200</v>
      </c>
      <c r="CD965" s="22" t="s">
        <v>1317</v>
      </c>
      <c r="CE965" s="22" t="s">
        <v>1321</v>
      </c>
      <c r="CF965" s="22" t="s">
        <v>1317</v>
      </c>
      <c r="CG965" s="22" t="s">
        <v>1321</v>
      </c>
      <c r="CH965" s="22" t="s">
        <v>1317</v>
      </c>
      <c r="CI965" s="22" t="s">
        <v>1318</v>
      </c>
      <c r="CJ965" s="149" t="s">
        <v>3374</v>
      </c>
      <c r="CK965" s="241" t="s">
        <v>1124</v>
      </c>
    </row>
    <row r="966" spans="1:89" ht="15" customHeight="1" x14ac:dyDescent="0.35">
      <c r="A966" s="17"/>
      <c r="B966" s="313">
        <v>19082</v>
      </c>
      <c r="C966" s="8" t="s">
        <v>132</v>
      </c>
      <c r="D966" s="18">
        <v>12</v>
      </c>
      <c r="E966" s="131" t="s">
        <v>1309</v>
      </c>
      <c r="F966" s="22" t="s">
        <v>1309</v>
      </c>
      <c r="G966" s="132" t="s">
        <v>1309</v>
      </c>
      <c r="H966" s="22" t="s">
        <v>1311</v>
      </c>
      <c r="I966" s="22" t="s">
        <v>1327</v>
      </c>
      <c r="J966" s="22" t="s">
        <v>1327</v>
      </c>
      <c r="K966" s="22" t="s">
        <v>1314</v>
      </c>
      <c r="L966" s="22" t="s">
        <v>1311</v>
      </c>
      <c r="M966" s="133" t="s">
        <v>1311</v>
      </c>
      <c r="N966" s="22" t="s">
        <v>1311</v>
      </c>
      <c r="O966" s="22" t="s">
        <v>1314</v>
      </c>
      <c r="P966" s="22" t="s">
        <v>1318</v>
      </c>
      <c r="Q966" s="20">
        <v>0</v>
      </c>
      <c r="R966" s="20">
        <v>0</v>
      </c>
      <c r="S966" s="20">
        <v>14.672000000000001</v>
      </c>
      <c r="T966" s="20">
        <v>0</v>
      </c>
      <c r="U966" s="20">
        <v>0</v>
      </c>
      <c r="V966" s="20">
        <v>0</v>
      </c>
      <c r="W966" s="20">
        <v>0</v>
      </c>
      <c r="X966" s="20">
        <v>0</v>
      </c>
      <c r="Y966" s="20">
        <v>0</v>
      </c>
      <c r="Z966" s="20">
        <v>0</v>
      </c>
      <c r="AA966" s="20" t="s">
        <v>1317</v>
      </c>
      <c r="AB966" s="22" t="s">
        <v>1318</v>
      </c>
      <c r="AC966" s="20">
        <v>3</v>
      </c>
      <c r="AD966" s="20">
        <v>1</v>
      </c>
      <c r="AE966" s="20">
        <v>0</v>
      </c>
      <c r="AF966" s="20">
        <v>11</v>
      </c>
      <c r="AG966" s="20">
        <v>7</v>
      </c>
      <c r="AH966" s="20">
        <v>0</v>
      </c>
      <c r="AI966" s="328">
        <v>20.447110141766629</v>
      </c>
      <c r="AJ966" s="328">
        <v>1.3679890560875514</v>
      </c>
      <c r="AK966" s="328" t="s">
        <v>1328</v>
      </c>
      <c r="AL966" s="22" t="s">
        <v>1338</v>
      </c>
      <c r="AM966" s="22" t="s">
        <v>1343</v>
      </c>
      <c r="AN966" s="22" t="s">
        <v>1317</v>
      </c>
      <c r="AO966" s="22" t="s">
        <v>1318</v>
      </c>
      <c r="AP966" s="22" t="s">
        <v>1318</v>
      </c>
      <c r="AQ966" s="22" t="s">
        <v>1318</v>
      </c>
      <c r="AR966" s="22" t="s">
        <v>1317</v>
      </c>
      <c r="AS966" s="22" t="s">
        <v>1318</v>
      </c>
      <c r="AT966" s="22" t="s">
        <v>1317</v>
      </c>
      <c r="AU966" s="22" t="s">
        <v>1311</v>
      </c>
      <c r="AV966" s="22" t="s">
        <v>1317</v>
      </c>
      <c r="AW966" s="22" t="s">
        <v>1318</v>
      </c>
      <c r="AX966" s="22" t="s">
        <v>1317</v>
      </c>
      <c r="AY966" s="22" t="s">
        <v>1318</v>
      </c>
      <c r="AZ966" s="22" t="s">
        <v>1309</v>
      </c>
      <c r="BA966" s="22" t="s">
        <v>1309</v>
      </c>
      <c r="BB966" s="22" t="s">
        <v>1309</v>
      </c>
      <c r="BC966" s="22" t="s">
        <v>1309</v>
      </c>
      <c r="BD966" s="22" t="s">
        <v>1317</v>
      </c>
      <c r="BE966" s="22" t="s">
        <v>1318</v>
      </c>
      <c r="BF966" s="22" t="s">
        <v>1317</v>
      </c>
      <c r="BG966" s="22" t="s">
        <v>1318</v>
      </c>
      <c r="BH966" s="22" t="s">
        <v>1309</v>
      </c>
      <c r="BI966" s="22" t="s">
        <v>1309</v>
      </c>
      <c r="BJ966" s="22" t="s">
        <v>1317</v>
      </c>
      <c r="BK966" s="22" t="s">
        <v>1318</v>
      </c>
      <c r="BL966" s="22" t="s">
        <v>1317</v>
      </c>
      <c r="BM966" s="22" t="s">
        <v>1318</v>
      </c>
      <c r="BN966" s="22" t="s">
        <v>1309</v>
      </c>
      <c r="BO966" s="22" t="s">
        <v>1309</v>
      </c>
      <c r="BP966" s="22" t="s">
        <v>1317</v>
      </c>
      <c r="BQ966" s="22" t="s">
        <v>1318</v>
      </c>
      <c r="BR966" s="22" t="s">
        <v>1309</v>
      </c>
      <c r="BS966" s="22" t="s">
        <v>1309</v>
      </c>
      <c r="BT966" s="22" t="s">
        <v>1309</v>
      </c>
      <c r="BU966" s="22" t="s">
        <v>1309</v>
      </c>
      <c r="BV966" s="22" t="s">
        <v>1317</v>
      </c>
      <c r="BW966" s="22" t="s">
        <v>1318</v>
      </c>
      <c r="BX966" s="20">
        <v>0</v>
      </c>
      <c r="BY966" s="20">
        <v>1</v>
      </c>
      <c r="BZ966" s="20">
        <v>163</v>
      </c>
      <c r="CA966" s="20">
        <v>0</v>
      </c>
      <c r="CB966" s="20">
        <v>1</v>
      </c>
      <c r="CC966" s="20">
        <v>566</v>
      </c>
      <c r="CD966" s="22" t="s">
        <v>1317</v>
      </c>
      <c r="CE966" s="22" t="s">
        <v>1318</v>
      </c>
      <c r="CF966" s="22" t="s">
        <v>1317</v>
      </c>
      <c r="CG966" s="22" t="s">
        <v>1318</v>
      </c>
      <c r="CH966" s="22" t="s">
        <v>1317</v>
      </c>
      <c r="CI966" s="22" t="s">
        <v>1318</v>
      </c>
      <c r="CJ966" s="149" t="s">
        <v>1124</v>
      </c>
      <c r="CK966" s="241" t="s">
        <v>3043</v>
      </c>
    </row>
    <row r="967" spans="1:89" ht="15" customHeight="1" x14ac:dyDescent="0.35">
      <c r="A967" s="17"/>
      <c r="B967" s="313">
        <v>34128</v>
      </c>
      <c r="C967" s="8" t="s">
        <v>301</v>
      </c>
      <c r="D967" s="18">
        <v>3</v>
      </c>
      <c r="E967" s="131" t="s">
        <v>1309</v>
      </c>
      <c r="F967" s="22" t="s">
        <v>1309</v>
      </c>
      <c r="G967" s="132" t="s">
        <v>1309</v>
      </c>
      <c r="H967" s="22" t="s">
        <v>1311</v>
      </c>
      <c r="I967" s="22" t="s">
        <v>1327</v>
      </c>
      <c r="J967" s="22" t="s">
        <v>1327</v>
      </c>
      <c r="K967" s="22" t="s">
        <v>1309</v>
      </c>
      <c r="L967" s="22" t="s">
        <v>1309</v>
      </c>
      <c r="M967" s="133" t="s">
        <v>1311</v>
      </c>
      <c r="N967" s="22" t="s">
        <v>1311</v>
      </c>
      <c r="O967" s="22" t="s">
        <v>1319</v>
      </c>
      <c r="P967" s="22" t="s">
        <v>1311</v>
      </c>
      <c r="Q967" s="20">
        <v>54.441000000000003</v>
      </c>
      <c r="R967" s="20">
        <v>54.441000000000003</v>
      </c>
      <c r="S967" s="20">
        <v>0</v>
      </c>
      <c r="T967" s="20">
        <v>0</v>
      </c>
      <c r="U967" s="20">
        <v>52.713999999999999</v>
      </c>
      <c r="V967" s="20">
        <v>52.713999999999999</v>
      </c>
      <c r="W967" s="20">
        <v>0</v>
      </c>
      <c r="X967" s="20">
        <v>0</v>
      </c>
      <c r="Y967" s="20">
        <v>0</v>
      </c>
      <c r="Z967" s="20">
        <v>0</v>
      </c>
      <c r="AA967" s="20" t="s">
        <v>1309</v>
      </c>
      <c r="AB967" s="22" t="s">
        <v>1309</v>
      </c>
      <c r="AC967" s="20">
        <v>1</v>
      </c>
      <c r="AD967" s="20">
        <v>0</v>
      </c>
      <c r="AE967" s="20">
        <v>9</v>
      </c>
      <c r="AF967" s="20">
        <v>3</v>
      </c>
      <c r="AG967" s="20">
        <v>0</v>
      </c>
      <c r="AH967" s="20">
        <v>20</v>
      </c>
      <c r="AI967" s="328">
        <v>1.6915894174166046</v>
      </c>
      <c r="AJ967" s="328" t="s">
        <v>1328</v>
      </c>
      <c r="AK967" s="328">
        <v>4.511278195488722</v>
      </c>
      <c r="AL967" s="22" t="s">
        <v>1316</v>
      </c>
      <c r="AM967" s="22" t="s">
        <v>1316</v>
      </c>
      <c r="AN967" s="22" t="s">
        <v>1317</v>
      </c>
      <c r="AO967" s="22" t="s">
        <v>1318</v>
      </c>
      <c r="AP967" s="22" t="s">
        <v>1318</v>
      </c>
      <c r="AQ967" s="22" t="s">
        <v>1318</v>
      </c>
      <c r="AR967" s="22" t="s">
        <v>1317</v>
      </c>
      <c r="AS967" s="22" t="s">
        <v>1318</v>
      </c>
      <c r="AT967" s="22" t="s">
        <v>1317</v>
      </c>
      <c r="AU967" s="22" t="s">
        <v>1311</v>
      </c>
      <c r="AV967" s="22" t="s">
        <v>1317</v>
      </c>
      <c r="AW967" s="22" t="s">
        <v>1318</v>
      </c>
      <c r="AX967" s="22" t="s">
        <v>1317</v>
      </c>
      <c r="AY967" s="22" t="s">
        <v>1318</v>
      </c>
      <c r="AZ967" s="22" t="s">
        <v>1317</v>
      </c>
      <c r="BA967" s="22" t="s">
        <v>1318</v>
      </c>
      <c r="BB967" s="22" t="s">
        <v>1319</v>
      </c>
      <c r="BC967" s="22" t="s">
        <v>1311</v>
      </c>
      <c r="BD967" s="22" t="s">
        <v>1319</v>
      </c>
      <c r="BE967" s="22" t="s">
        <v>1311</v>
      </c>
      <c r="BF967" s="22" t="s">
        <v>1317</v>
      </c>
      <c r="BG967" s="22" t="s">
        <v>1318</v>
      </c>
      <c r="BH967" s="22" t="s">
        <v>1317</v>
      </c>
      <c r="BI967" s="22" t="s">
        <v>1318</v>
      </c>
      <c r="BJ967" s="22" t="s">
        <v>1317</v>
      </c>
      <c r="BK967" s="22" t="s">
        <v>1311</v>
      </c>
      <c r="BL967" s="22" t="s">
        <v>1317</v>
      </c>
      <c r="BM967" s="22" t="s">
        <v>1318</v>
      </c>
      <c r="BN967" s="22" t="s">
        <v>1317</v>
      </c>
      <c r="BO967" s="22" t="s">
        <v>1318</v>
      </c>
      <c r="BP967" s="22" t="s">
        <v>1319</v>
      </c>
      <c r="BQ967" s="22" t="s">
        <v>1311</v>
      </c>
      <c r="BR967" s="22" t="s">
        <v>1319</v>
      </c>
      <c r="BS967" s="22" t="s">
        <v>1311</v>
      </c>
      <c r="BT967" s="22" t="s">
        <v>1317</v>
      </c>
      <c r="BU967" s="22" t="s">
        <v>1318</v>
      </c>
      <c r="BV967" s="22" t="s">
        <v>1317</v>
      </c>
      <c r="BW967" s="22" t="s">
        <v>1318</v>
      </c>
      <c r="BX967" s="20">
        <v>76</v>
      </c>
      <c r="BY967" s="20">
        <v>0</v>
      </c>
      <c r="BZ967" s="20">
        <v>162</v>
      </c>
      <c r="CA967" s="20">
        <v>0</v>
      </c>
      <c r="CB967" s="20">
        <v>0</v>
      </c>
      <c r="CC967" s="20">
        <v>1757</v>
      </c>
      <c r="CD967" s="22" t="s">
        <v>1320</v>
      </c>
      <c r="CE967" s="22" t="s">
        <v>1344</v>
      </c>
      <c r="CF967" s="22" t="s">
        <v>1317</v>
      </c>
      <c r="CG967" s="22" t="s">
        <v>1340</v>
      </c>
      <c r="CH967" s="22" t="s">
        <v>1317</v>
      </c>
      <c r="CI967" s="22" t="s">
        <v>1318</v>
      </c>
      <c r="CJ967" s="149" t="s">
        <v>1124</v>
      </c>
      <c r="CK967" s="241" t="s">
        <v>3381</v>
      </c>
    </row>
    <row r="968" spans="1:89" ht="15" customHeight="1" x14ac:dyDescent="0.35">
      <c r="A968" s="17"/>
      <c r="B968" s="313">
        <v>68055</v>
      </c>
      <c r="C968" s="8" t="s">
        <v>683</v>
      </c>
      <c r="D968" s="18">
        <v>16</v>
      </c>
      <c r="E968" s="131" t="s">
        <v>1319</v>
      </c>
      <c r="F968" s="22" t="s">
        <v>1310</v>
      </c>
      <c r="G968" s="132" t="s">
        <v>1309</v>
      </c>
      <c r="H968" s="22" t="s">
        <v>1311</v>
      </c>
      <c r="I968" s="22" t="s">
        <v>1327</v>
      </c>
      <c r="J968" s="22" t="s">
        <v>1327</v>
      </c>
      <c r="K968" s="22" t="s">
        <v>1319</v>
      </c>
      <c r="L968" s="22" t="s">
        <v>1311</v>
      </c>
      <c r="M968" s="133" t="s">
        <v>1311</v>
      </c>
      <c r="N968" s="22" t="s">
        <v>1311</v>
      </c>
      <c r="O968" s="22" t="s">
        <v>1309</v>
      </c>
      <c r="P968" s="22" t="s">
        <v>1309</v>
      </c>
      <c r="Q968" s="20">
        <v>0</v>
      </c>
      <c r="R968" s="20">
        <v>0</v>
      </c>
      <c r="S968" s="20">
        <v>0</v>
      </c>
      <c r="T968" s="20">
        <v>0</v>
      </c>
      <c r="U968" s="20">
        <v>0</v>
      </c>
      <c r="V968" s="20">
        <v>0</v>
      </c>
      <c r="W968" s="20">
        <v>0</v>
      </c>
      <c r="X968" s="20">
        <v>0</v>
      </c>
      <c r="Y968" s="20">
        <v>0</v>
      </c>
      <c r="Z968" s="20">
        <v>0</v>
      </c>
      <c r="AA968" s="20" t="s">
        <v>1317</v>
      </c>
      <c r="AB968" s="22" t="s">
        <v>1318</v>
      </c>
      <c r="AC968" s="20">
        <v>5</v>
      </c>
      <c r="AD968" s="20">
        <v>0</v>
      </c>
      <c r="AE968" s="20">
        <v>1</v>
      </c>
      <c r="AF968" s="20">
        <v>1</v>
      </c>
      <c r="AG968" s="20">
        <v>0</v>
      </c>
      <c r="AH968" s="20">
        <v>1</v>
      </c>
      <c r="AI968" s="328">
        <v>12.653742977172646</v>
      </c>
      <c r="AJ968" s="328" t="s">
        <v>1328</v>
      </c>
      <c r="AK968" s="328">
        <v>0.28768699654775604</v>
      </c>
      <c r="AL968" s="22" t="s">
        <v>1329</v>
      </c>
      <c r="AM968" s="22" t="s">
        <v>1330</v>
      </c>
      <c r="AN968" s="22" t="s">
        <v>1317</v>
      </c>
      <c r="AO968" s="22" t="s">
        <v>1318</v>
      </c>
      <c r="AP968" s="22" t="s">
        <v>1318</v>
      </c>
      <c r="AQ968" s="22" t="s">
        <v>1318</v>
      </c>
      <c r="AR968" s="22" t="s">
        <v>1317</v>
      </c>
      <c r="AS968" s="22" t="s">
        <v>1318</v>
      </c>
      <c r="AT968" s="22" t="s">
        <v>1309</v>
      </c>
      <c r="AU968" s="22" t="s">
        <v>1309</v>
      </c>
      <c r="AV968" s="22" t="s">
        <v>1317</v>
      </c>
      <c r="AW968" s="22" t="s">
        <v>1318</v>
      </c>
      <c r="AX968" s="22" t="s">
        <v>1317</v>
      </c>
      <c r="AY968" s="22" t="s">
        <v>1318</v>
      </c>
      <c r="AZ968" s="22" t="s">
        <v>1317</v>
      </c>
      <c r="BA968" s="22" t="s">
        <v>1318</v>
      </c>
      <c r="BB968" s="22" t="s">
        <v>1309</v>
      </c>
      <c r="BC968" s="22" t="s">
        <v>1309</v>
      </c>
      <c r="BD968" s="22" t="s">
        <v>1309</v>
      </c>
      <c r="BE968" s="22" t="s">
        <v>1309</v>
      </c>
      <c r="BF968" s="22" t="s">
        <v>1317</v>
      </c>
      <c r="BG968" s="22" t="s">
        <v>1318</v>
      </c>
      <c r="BH968" s="22" t="s">
        <v>1317</v>
      </c>
      <c r="BI968" s="22" t="s">
        <v>1318</v>
      </c>
      <c r="BJ968" s="22" t="s">
        <v>1317</v>
      </c>
      <c r="BK968" s="22" t="s">
        <v>1311</v>
      </c>
      <c r="BL968" s="22" t="s">
        <v>1317</v>
      </c>
      <c r="BM968" s="22" t="s">
        <v>1318</v>
      </c>
      <c r="BN968" s="22" t="s">
        <v>1309</v>
      </c>
      <c r="BO968" s="22" t="s">
        <v>1309</v>
      </c>
      <c r="BP968" s="22" t="s">
        <v>1317</v>
      </c>
      <c r="BQ968" s="22" t="s">
        <v>1318</v>
      </c>
      <c r="BR968" s="22" t="s">
        <v>1317</v>
      </c>
      <c r="BS968" s="22" t="s">
        <v>1318</v>
      </c>
      <c r="BT968" s="22" t="s">
        <v>1309</v>
      </c>
      <c r="BU968" s="22" t="s">
        <v>1309</v>
      </c>
      <c r="BV968" s="22" t="s">
        <v>1317</v>
      </c>
      <c r="BW968" s="22" t="s">
        <v>1318</v>
      </c>
      <c r="BX968" s="20">
        <v>194</v>
      </c>
      <c r="BY968" s="20">
        <v>72</v>
      </c>
      <c r="BZ968" s="20">
        <v>0</v>
      </c>
      <c r="CA968" s="20">
        <v>0</v>
      </c>
      <c r="CB968" s="20">
        <v>3210</v>
      </c>
      <c r="CC968" s="20">
        <v>0</v>
      </c>
      <c r="CD968" s="22" t="s">
        <v>1345</v>
      </c>
      <c r="CE968" s="22" t="s">
        <v>1344</v>
      </c>
      <c r="CF968" s="22" t="s">
        <v>1317</v>
      </c>
      <c r="CG968" s="22" t="s">
        <v>1318</v>
      </c>
      <c r="CH968" s="22" t="s">
        <v>1317</v>
      </c>
      <c r="CI968" s="22" t="s">
        <v>1318</v>
      </c>
      <c r="CJ968" s="149" t="s">
        <v>1124</v>
      </c>
      <c r="CK968" s="241" t="s">
        <v>1124</v>
      </c>
    </row>
    <row r="969" spans="1:89" ht="15" customHeight="1" x14ac:dyDescent="0.35">
      <c r="A969" s="17"/>
      <c r="B969" s="313">
        <v>39020</v>
      </c>
      <c r="C969" s="8" t="s">
        <v>340</v>
      </c>
      <c r="D969" s="18">
        <v>17</v>
      </c>
      <c r="E969" s="131" t="s">
        <v>1319</v>
      </c>
      <c r="F969" s="22" t="s">
        <v>1490</v>
      </c>
      <c r="G969" s="132" t="s">
        <v>1309</v>
      </c>
      <c r="H969" s="22" t="s">
        <v>1311</v>
      </c>
      <c r="I969" s="22" t="s">
        <v>1315</v>
      </c>
      <c r="J969" s="22" t="s">
        <v>1315</v>
      </c>
      <c r="K969" s="22" t="s">
        <v>1314</v>
      </c>
      <c r="L969" s="22" t="s">
        <v>1311</v>
      </c>
      <c r="M969" s="133" t="s">
        <v>1311</v>
      </c>
      <c r="N969" s="22" t="s">
        <v>1311</v>
      </c>
      <c r="O969" s="22" t="s">
        <v>1315</v>
      </c>
      <c r="P969" s="22" t="s">
        <v>1315</v>
      </c>
      <c r="Q969" s="20">
        <v>5.9249999999999998</v>
      </c>
      <c r="R969" s="20">
        <v>5.9249999999999998</v>
      </c>
      <c r="S969" s="20">
        <v>0</v>
      </c>
      <c r="T969" s="20">
        <v>0</v>
      </c>
      <c r="U969" s="20">
        <v>5.9249999999999998</v>
      </c>
      <c r="V969" s="20">
        <v>5.9249999999999998</v>
      </c>
      <c r="W969" s="20">
        <v>0</v>
      </c>
      <c r="X969" s="20">
        <v>0</v>
      </c>
      <c r="Y969" s="20">
        <v>0</v>
      </c>
      <c r="Z969" s="20">
        <v>0</v>
      </c>
      <c r="AA969" s="20" t="s">
        <v>1309</v>
      </c>
      <c r="AB969" s="22" t="s">
        <v>1309</v>
      </c>
      <c r="AC969" s="20">
        <v>2</v>
      </c>
      <c r="AD969" s="20">
        <v>7</v>
      </c>
      <c r="AE969" s="20">
        <v>0</v>
      </c>
      <c r="AF969" s="20">
        <v>3</v>
      </c>
      <c r="AG969" s="20">
        <v>1</v>
      </c>
      <c r="AH969" s="20">
        <v>0</v>
      </c>
      <c r="AI969" s="328">
        <v>33.755274261603375</v>
      </c>
      <c r="AJ969" s="328">
        <v>53.435114503816791</v>
      </c>
      <c r="AK969" s="328" t="s">
        <v>1328</v>
      </c>
      <c r="AL969" s="22" t="s">
        <v>1329</v>
      </c>
      <c r="AM969" s="22" t="s">
        <v>1330</v>
      </c>
      <c r="AN969" s="22" t="s">
        <v>1315</v>
      </c>
      <c r="AO969" s="22" t="s">
        <v>1315</v>
      </c>
      <c r="AP969" s="22" t="s">
        <v>1315</v>
      </c>
      <c r="AQ969" s="22" t="s">
        <v>1315</v>
      </c>
      <c r="AR969" s="22" t="s">
        <v>1315</v>
      </c>
      <c r="AS969" s="22" t="s">
        <v>1315</v>
      </c>
      <c r="AT969" s="22" t="s">
        <v>1319</v>
      </c>
      <c r="AU969" s="22" t="s">
        <v>1311</v>
      </c>
      <c r="AV969" s="22" t="s">
        <v>1317</v>
      </c>
      <c r="AW969" s="22" t="s">
        <v>1318</v>
      </c>
      <c r="AX969" s="22" t="s">
        <v>1317</v>
      </c>
      <c r="AY969" s="22" t="s">
        <v>1318</v>
      </c>
      <c r="AZ969" s="22" t="s">
        <v>1319</v>
      </c>
      <c r="BA969" s="22" t="s">
        <v>1311</v>
      </c>
      <c r="BB969" s="22" t="s">
        <v>1309</v>
      </c>
      <c r="BC969" s="22" t="s">
        <v>1309</v>
      </c>
      <c r="BD969" s="22" t="s">
        <v>1315</v>
      </c>
      <c r="BE969" s="22" t="s">
        <v>1315</v>
      </c>
      <c r="BF969" s="22" t="s">
        <v>1315</v>
      </c>
      <c r="BG969" s="22" t="s">
        <v>1315</v>
      </c>
      <c r="BH969" s="22" t="s">
        <v>1317</v>
      </c>
      <c r="BI969" s="22" t="s">
        <v>1318</v>
      </c>
      <c r="BJ969" s="22" t="s">
        <v>1309</v>
      </c>
      <c r="BK969" s="22" t="s">
        <v>1309</v>
      </c>
      <c r="BL969" s="22" t="s">
        <v>1319</v>
      </c>
      <c r="BM969" s="22" t="s">
        <v>1311</v>
      </c>
      <c r="BN969" s="22" t="s">
        <v>1309</v>
      </c>
      <c r="BO969" s="22" t="s">
        <v>1309</v>
      </c>
      <c r="BP969" s="22" t="s">
        <v>1315</v>
      </c>
      <c r="BQ969" s="22" t="s">
        <v>1315</v>
      </c>
      <c r="BR969" s="22" t="s">
        <v>1315</v>
      </c>
      <c r="BS969" s="22" t="s">
        <v>1315</v>
      </c>
      <c r="BT969" s="22" t="s">
        <v>1309</v>
      </c>
      <c r="BU969" s="22" t="s">
        <v>1309</v>
      </c>
      <c r="BV969" s="22" t="s">
        <v>1317</v>
      </c>
      <c r="BW969" s="22" t="s">
        <v>1318</v>
      </c>
      <c r="BX969" s="20">
        <v>0</v>
      </c>
      <c r="BY969" s="20">
        <v>0</v>
      </c>
      <c r="BZ969" s="20">
        <v>1</v>
      </c>
      <c r="CA969" s="20">
        <v>0</v>
      </c>
      <c r="CB969" s="20">
        <v>0</v>
      </c>
      <c r="CC969" s="20">
        <v>130</v>
      </c>
      <c r="CD969" s="22" t="s">
        <v>1317</v>
      </c>
      <c r="CE969" s="22" t="s">
        <v>1318</v>
      </c>
      <c r="CF969" s="22" t="s">
        <v>1317</v>
      </c>
      <c r="CG969" s="22" t="s">
        <v>1318</v>
      </c>
      <c r="CH969" s="22" t="s">
        <v>1317</v>
      </c>
      <c r="CI969" s="22" t="s">
        <v>1318</v>
      </c>
      <c r="CJ969" s="149" t="s">
        <v>1124</v>
      </c>
      <c r="CK969" s="241" t="s">
        <v>1358</v>
      </c>
    </row>
    <row r="970" spans="1:89" ht="15" customHeight="1" x14ac:dyDescent="0.35">
      <c r="A970" s="17"/>
      <c r="B970" s="313">
        <v>29050</v>
      </c>
      <c r="C970" s="8" t="s">
        <v>208</v>
      </c>
      <c r="D970" s="18">
        <v>12</v>
      </c>
      <c r="E970" s="131"/>
      <c r="F970" s="22"/>
      <c r="G970" s="132"/>
      <c r="H970" s="22"/>
      <c r="I970" s="22"/>
      <c r="J970" s="22"/>
      <c r="K970" s="22"/>
      <c r="L970" s="22"/>
      <c r="M970" s="133"/>
      <c r="N970" s="22"/>
      <c r="O970" s="22"/>
      <c r="P970" s="22"/>
      <c r="Q970" s="20"/>
      <c r="R970" s="20"/>
      <c r="S970" s="20"/>
      <c r="T970" s="20"/>
      <c r="U970" s="20"/>
      <c r="V970" s="20"/>
      <c r="W970" s="20"/>
      <c r="X970" s="20"/>
      <c r="Y970" s="20"/>
      <c r="Z970" s="20"/>
      <c r="AA970" s="20"/>
      <c r="AB970" s="22"/>
      <c r="AC970" s="20"/>
      <c r="AD970" s="20"/>
      <c r="AE970" s="20"/>
      <c r="AF970" s="20" t="s">
        <v>1124</v>
      </c>
      <c r="AG970" s="20" t="s">
        <v>1124</v>
      </c>
      <c r="AH970" s="20" t="s">
        <v>1124</v>
      </c>
      <c r="AI970" s="328"/>
      <c r="AJ970" s="328"/>
      <c r="AK970" s="328"/>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0"/>
      <c r="BY970" s="20"/>
      <c r="BZ970" s="20"/>
      <c r="CA970" s="20"/>
      <c r="CB970" s="20"/>
      <c r="CC970" s="20"/>
      <c r="CD970" s="22"/>
      <c r="CE970" s="22"/>
      <c r="CF970" s="22"/>
      <c r="CG970" s="22"/>
      <c r="CH970" s="22"/>
      <c r="CI970" s="22"/>
      <c r="CJ970" s="149"/>
      <c r="CK970" s="241"/>
    </row>
    <row r="971" spans="1:89" ht="15" customHeight="1" x14ac:dyDescent="0.35">
      <c r="A971" s="17"/>
      <c r="B971" s="313">
        <v>8035</v>
      </c>
      <c r="C971" s="8" t="s">
        <v>1091</v>
      </c>
      <c r="D971" s="18">
        <v>1</v>
      </c>
      <c r="E971" s="131" t="s">
        <v>1309</v>
      </c>
      <c r="F971" s="22" t="s">
        <v>1309</v>
      </c>
      <c r="G971" s="132" t="s">
        <v>1309</v>
      </c>
      <c r="H971" s="22" t="s">
        <v>1311</v>
      </c>
      <c r="I971" s="22" t="s">
        <v>1327</v>
      </c>
      <c r="J971" s="22" t="s">
        <v>1327</v>
      </c>
      <c r="K971" s="22" t="s">
        <v>1314</v>
      </c>
      <c r="L971" s="22" t="s">
        <v>1311</v>
      </c>
      <c r="M971" s="133" t="s">
        <v>1311</v>
      </c>
      <c r="N971" s="22" t="s">
        <v>1311</v>
      </c>
      <c r="O971" s="22" t="s">
        <v>1314</v>
      </c>
      <c r="P971" s="22" t="s">
        <v>1318</v>
      </c>
      <c r="Q971" s="20">
        <v>0</v>
      </c>
      <c r="R971" s="20">
        <v>0</v>
      </c>
      <c r="S971" s="20">
        <v>0</v>
      </c>
      <c r="T971" s="20">
        <v>0</v>
      </c>
      <c r="U971" s="20">
        <v>0</v>
      </c>
      <c r="V971" s="20">
        <v>2.968</v>
      </c>
      <c r="W971" s="20">
        <v>0</v>
      </c>
      <c r="X971" s="20">
        <v>0</v>
      </c>
      <c r="Y971" s="20">
        <v>0</v>
      </c>
      <c r="Z971" s="20">
        <v>0</v>
      </c>
      <c r="AA971" s="20" t="s">
        <v>1317</v>
      </c>
      <c r="AB971" s="22" t="s">
        <v>1309</v>
      </c>
      <c r="AC971" s="20">
        <v>0</v>
      </c>
      <c r="AD971" s="20">
        <v>0</v>
      </c>
      <c r="AE971" s="20">
        <v>0</v>
      </c>
      <c r="AF971" s="20">
        <v>0</v>
      </c>
      <c r="AG971" s="20">
        <v>0</v>
      </c>
      <c r="AH971" s="20">
        <v>0</v>
      </c>
      <c r="AI971" s="328" t="s">
        <v>1328</v>
      </c>
      <c r="AJ971" s="328" t="s">
        <v>1328</v>
      </c>
      <c r="AK971" s="328" t="s">
        <v>1328</v>
      </c>
      <c r="AL971" s="22" t="s">
        <v>1329</v>
      </c>
      <c r="AM971" s="22" t="s">
        <v>1330</v>
      </c>
      <c r="AN971" s="22" t="s">
        <v>1317</v>
      </c>
      <c r="AO971" s="22" t="s">
        <v>1318</v>
      </c>
      <c r="AP971" s="22" t="s">
        <v>1318</v>
      </c>
      <c r="AQ971" s="22" t="s">
        <v>1318</v>
      </c>
      <c r="AR971" s="22" t="s">
        <v>1317</v>
      </c>
      <c r="AS971" s="22" t="s">
        <v>1318</v>
      </c>
      <c r="AT971" s="22" t="s">
        <v>1317</v>
      </c>
      <c r="AU971" s="22" t="s">
        <v>1318</v>
      </c>
      <c r="AV971" s="22" t="s">
        <v>1317</v>
      </c>
      <c r="AW971" s="22" t="s">
        <v>1318</v>
      </c>
      <c r="AX971" s="22" t="s">
        <v>1317</v>
      </c>
      <c r="AY971" s="22" t="s">
        <v>1318</v>
      </c>
      <c r="AZ971" s="22" t="s">
        <v>1309</v>
      </c>
      <c r="BA971" s="22" t="s">
        <v>1309</v>
      </c>
      <c r="BB971" s="22" t="s">
        <v>1309</v>
      </c>
      <c r="BC971" s="22" t="s">
        <v>1309</v>
      </c>
      <c r="BD971" s="22" t="s">
        <v>1317</v>
      </c>
      <c r="BE971" s="22" t="s">
        <v>1318</v>
      </c>
      <c r="BF971" s="22" t="s">
        <v>1317</v>
      </c>
      <c r="BG971" s="22" t="s">
        <v>1318</v>
      </c>
      <c r="BH971" s="22" t="s">
        <v>1317</v>
      </c>
      <c r="BI971" s="22" t="s">
        <v>1318</v>
      </c>
      <c r="BJ971" s="22" t="s">
        <v>1317</v>
      </c>
      <c r="BK971" s="22" t="s">
        <v>1318</v>
      </c>
      <c r="BL971" s="22" t="s">
        <v>1317</v>
      </c>
      <c r="BM971" s="22" t="s">
        <v>1318</v>
      </c>
      <c r="BN971" s="22" t="s">
        <v>1309</v>
      </c>
      <c r="BO971" s="22" t="s">
        <v>1309</v>
      </c>
      <c r="BP971" s="22" t="s">
        <v>1317</v>
      </c>
      <c r="BQ971" s="22" t="s">
        <v>1318</v>
      </c>
      <c r="BR971" s="22" t="s">
        <v>1317</v>
      </c>
      <c r="BS971" s="22" t="s">
        <v>1318</v>
      </c>
      <c r="BT971" s="22" t="s">
        <v>1317</v>
      </c>
      <c r="BU971" s="22" t="s">
        <v>1318</v>
      </c>
      <c r="BV971" s="22" t="s">
        <v>1317</v>
      </c>
      <c r="BW971" s="22" t="s">
        <v>1318</v>
      </c>
      <c r="BX971" s="20">
        <v>0</v>
      </c>
      <c r="BY971" s="20">
        <v>0</v>
      </c>
      <c r="BZ971" s="20">
        <v>6</v>
      </c>
      <c r="CA971" s="20">
        <v>0</v>
      </c>
      <c r="CB971" s="20">
        <v>0</v>
      </c>
      <c r="CC971" s="20">
        <v>92</v>
      </c>
      <c r="CD971" s="22" t="s">
        <v>1317</v>
      </c>
      <c r="CE971" s="22" t="s">
        <v>1318</v>
      </c>
      <c r="CF971" s="22" t="s">
        <v>1317</v>
      </c>
      <c r="CG971" s="22" t="s">
        <v>1318</v>
      </c>
      <c r="CH971" s="22" t="s">
        <v>1317</v>
      </c>
      <c r="CI971" s="22" t="s">
        <v>1318</v>
      </c>
      <c r="CJ971" s="149" t="s">
        <v>3388</v>
      </c>
      <c r="CK971" s="241" t="s">
        <v>1414</v>
      </c>
    </row>
    <row r="972" spans="1:89" ht="15" customHeight="1" x14ac:dyDescent="0.35">
      <c r="A972" s="17"/>
      <c r="B972" s="313">
        <v>53020</v>
      </c>
      <c r="C972" s="8" t="s">
        <v>533</v>
      </c>
      <c r="D972" s="18">
        <v>16</v>
      </c>
      <c r="E972" s="131" t="s">
        <v>1309</v>
      </c>
      <c r="F972" s="22" t="s">
        <v>1309</v>
      </c>
      <c r="G972" s="132" t="s">
        <v>1309</v>
      </c>
      <c r="H972" s="22" t="s">
        <v>1311</v>
      </c>
      <c r="I972" s="22" t="s">
        <v>1327</v>
      </c>
      <c r="J972" s="22" t="s">
        <v>1327</v>
      </c>
      <c r="K972" s="22" t="s">
        <v>1314</v>
      </c>
      <c r="L972" s="22" t="s">
        <v>1311</v>
      </c>
      <c r="M972" s="133" t="s">
        <v>1311</v>
      </c>
      <c r="N972" s="22" t="s">
        <v>1311</v>
      </c>
      <c r="O972" s="22" t="s">
        <v>1309</v>
      </c>
      <c r="P972" s="22" t="s">
        <v>1309</v>
      </c>
      <c r="Q972" s="20">
        <v>0</v>
      </c>
      <c r="R972" s="20">
        <v>0</v>
      </c>
      <c r="S972" s="20">
        <v>0</v>
      </c>
      <c r="T972" s="20">
        <v>0</v>
      </c>
      <c r="U972" s="20">
        <v>0</v>
      </c>
      <c r="V972" s="20">
        <v>0</v>
      </c>
      <c r="W972" s="20">
        <v>0</v>
      </c>
      <c r="X972" s="20">
        <v>0</v>
      </c>
      <c r="Y972" s="20">
        <v>0</v>
      </c>
      <c r="Z972" s="20">
        <v>0</v>
      </c>
      <c r="AA972" s="20" t="s">
        <v>1317</v>
      </c>
      <c r="AB972" s="22" t="s">
        <v>1318</v>
      </c>
      <c r="AC972" s="20">
        <v>0</v>
      </c>
      <c r="AD972" s="20">
        <v>0</v>
      </c>
      <c r="AE972" s="20">
        <v>0</v>
      </c>
      <c r="AF972" s="20">
        <v>0</v>
      </c>
      <c r="AG972" s="20">
        <v>0</v>
      </c>
      <c r="AH972" s="20">
        <v>0</v>
      </c>
      <c r="AI972" s="328" t="s">
        <v>1328</v>
      </c>
      <c r="AJ972" s="328" t="s">
        <v>1328</v>
      </c>
      <c r="AK972" s="328" t="s">
        <v>1328</v>
      </c>
      <c r="AL972" s="22" t="s">
        <v>1338</v>
      </c>
      <c r="AM972" s="22" t="s">
        <v>1339</v>
      </c>
      <c r="AN972" s="22" t="s">
        <v>1317</v>
      </c>
      <c r="AO972" s="22" t="s">
        <v>1318</v>
      </c>
      <c r="AP972" s="22" t="s">
        <v>1318</v>
      </c>
      <c r="AQ972" s="22" t="s">
        <v>1318</v>
      </c>
      <c r="AR972" s="22" t="s">
        <v>1317</v>
      </c>
      <c r="AS972" s="22" t="s">
        <v>1318</v>
      </c>
      <c r="AT972" s="22" t="s">
        <v>1317</v>
      </c>
      <c r="AU972" s="22" t="s">
        <v>1318</v>
      </c>
      <c r="AV972" s="22" t="s">
        <v>1317</v>
      </c>
      <c r="AW972" s="22" t="s">
        <v>1318</v>
      </c>
      <c r="AX972" s="22" t="s">
        <v>1317</v>
      </c>
      <c r="AY972" s="22" t="s">
        <v>1318</v>
      </c>
      <c r="AZ972" s="22" t="s">
        <v>1309</v>
      </c>
      <c r="BA972" s="22" t="s">
        <v>1309</v>
      </c>
      <c r="BB972" s="22" t="s">
        <v>1309</v>
      </c>
      <c r="BC972" s="22" t="s">
        <v>1309</v>
      </c>
      <c r="BD972" s="22" t="s">
        <v>1309</v>
      </c>
      <c r="BE972" s="22" t="s">
        <v>1309</v>
      </c>
      <c r="BF972" s="22" t="s">
        <v>1309</v>
      </c>
      <c r="BG972" s="22" t="s">
        <v>1309</v>
      </c>
      <c r="BH972" s="22" t="s">
        <v>1309</v>
      </c>
      <c r="BI972" s="22" t="s">
        <v>1309</v>
      </c>
      <c r="BJ972" s="22" t="s">
        <v>1317</v>
      </c>
      <c r="BK972" s="22" t="s">
        <v>1311</v>
      </c>
      <c r="BL972" s="22" t="s">
        <v>1309</v>
      </c>
      <c r="BM972" s="22" t="s">
        <v>1311</v>
      </c>
      <c r="BN972" s="22" t="s">
        <v>1309</v>
      </c>
      <c r="BO972" s="22" t="s">
        <v>1309</v>
      </c>
      <c r="BP972" s="22" t="s">
        <v>1309</v>
      </c>
      <c r="BQ972" s="22" t="s">
        <v>1309</v>
      </c>
      <c r="BR972" s="22" t="s">
        <v>1309</v>
      </c>
      <c r="BS972" s="22" t="s">
        <v>1309</v>
      </c>
      <c r="BT972" s="22" t="s">
        <v>1317</v>
      </c>
      <c r="BU972" s="22" t="s">
        <v>1318</v>
      </c>
      <c r="BV972" s="22" t="s">
        <v>1317</v>
      </c>
      <c r="BW972" s="22" t="s">
        <v>1318</v>
      </c>
      <c r="BX972" s="20">
        <v>78</v>
      </c>
      <c r="BY972" s="20">
        <v>0</v>
      </c>
      <c r="BZ972" s="20">
        <v>1</v>
      </c>
      <c r="CA972" s="20">
        <v>753</v>
      </c>
      <c r="CB972" s="20">
        <v>0</v>
      </c>
      <c r="CC972" s="20">
        <v>1</v>
      </c>
      <c r="CD972" s="22" t="s">
        <v>1331</v>
      </c>
      <c r="CE972" s="22" t="s">
        <v>1331</v>
      </c>
      <c r="CF972" s="22" t="s">
        <v>1317</v>
      </c>
      <c r="CG972" s="22" t="s">
        <v>1318</v>
      </c>
      <c r="CH972" s="22" t="s">
        <v>1317</v>
      </c>
      <c r="CI972" s="22" t="s">
        <v>1318</v>
      </c>
      <c r="CJ972" s="149" t="s">
        <v>1124</v>
      </c>
      <c r="CK972" s="241" t="s">
        <v>1124</v>
      </c>
    </row>
    <row r="973" spans="1:89" ht="15" customHeight="1" x14ac:dyDescent="0.35">
      <c r="A973" s="17"/>
      <c r="B973" s="313">
        <v>30070</v>
      </c>
      <c r="C973" s="8" t="s">
        <v>228</v>
      </c>
      <c r="D973" s="18">
        <v>5</v>
      </c>
      <c r="E973" s="131"/>
      <c r="F973" s="22"/>
      <c r="G973" s="132"/>
      <c r="H973" s="22"/>
      <c r="I973" s="22"/>
      <c r="J973" s="22"/>
      <c r="K973" s="22"/>
      <c r="L973" s="22"/>
      <c r="M973" s="133"/>
      <c r="N973" s="22"/>
      <c r="O973" s="22"/>
      <c r="P973" s="22"/>
      <c r="Q973" s="20"/>
      <c r="R973" s="20"/>
      <c r="S973" s="20"/>
      <c r="T973" s="20"/>
      <c r="U973" s="20"/>
      <c r="V973" s="20"/>
      <c r="W973" s="20"/>
      <c r="X973" s="20"/>
      <c r="Y973" s="20"/>
      <c r="Z973" s="20"/>
      <c r="AA973" s="20"/>
      <c r="AB973" s="22"/>
      <c r="AC973" s="20"/>
      <c r="AD973" s="20"/>
      <c r="AE973" s="20"/>
      <c r="AF973" s="20" t="s">
        <v>1124</v>
      </c>
      <c r="AG973" s="20" t="s">
        <v>1124</v>
      </c>
      <c r="AH973" s="20" t="s">
        <v>1124</v>
      </c>
      <c r="AI973" s="328"/>
      <c r="AJ973" s="328"/>
      <c r="AK973" s="328"/>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0"/>
      <c r="BY973" s="20"/>
      <c r="BZ973" s="20"/>
      <c r="CA973" s="20"/>
      <c r="CB973" s="20"/>
      <c r="CC973" s="20"/>
      <c r="CD973" s="22"/>
      <c r="CE973" s="22"/>
      <c r="CF973" s="22"/>
      <c r="CG973" s="22"/>
      <c r="CH973" s="22"/>
      <c r="CI973" s="22"/>
      <c r="CJ973" s="149"/>
      <c r="CK973" s="241"/>
    </row>
    <row r="974" spans="1:89" ht="15" customHeight="1" x14ac:dyDescent="0.35">
      <c r="A974" s="17"/>
      <c r="B974" s="313">
        <v>63035</v>
      </c>
      <c r="C974" s="8" t="s">
        <v>638</v>
      </c>
      <c r="D974" s="18">
        <v>14</v>
      </c>
      <c r="E974" s="131" t="s">
        <v>1309</v>
      </c>
      <c r="F974" s="22" t="s">
        <v>1309</v>
      </c>
      <c r="G974" s="132" t="s">
        <v>1309</v>
      </c>
      <c r="H974" s="22" t="s">
        <v>1311</v>
      </c>
      <c r="I974" s="22" t="s">
        <v>1327</v>
      </c>
      <c r="J974" s="22" t="s">
        <v>1327</v>
      </c>
      <c r="K974" s="22" t="s">
        <v>1319</v>
      </c>
      <c r="L974" s="22" t="s">
        <v>1311</v>
      </c>
      <c r="M974" s="133" t="s">
        <v>1311</v>
      </c>
      <c r="N974" s="22" t="s">
        <v>1311</v>
      </c>
      <c r="O974" s="22" t="s">
        <v>1309</v>
      </c>
      <c r="P974" s="22" t="s">
        <v>1309</v>
      </c>
      <c r="Q974" s="20">
        <v>0</v>
      </c>
      <c r="R974" s="20">
        <v>0</v>
      </c>
      <c r="S974" s="20">
        <v>28.584</v>
      </c>
      <c r="T974" s="20">
        <v>28.584</v>
      </c>
      <c r="U974" s="20">
        <v>0</v>
      </c>
      <c r="V974" s="20">
        <v>0</v>
      </c>
      <c r="W974" s="20">
        <v>0</v>
      </c>
      <c r="X974" s="20">
        <v>0</v>
      </c>
      <c r="Y974" s="20">
        <v>0</v>
      </c>
      <c r="Z974" s="20">
        <v>0</v>
      </c>
      <c r="AA974" s="20" t="s">
        <v>1319</v>
      </c>
      <c r="AB974" s="22" t="s">
        <v>1311</v>
      </c>
      <c r="AC974" s="20">
        <v>3</v>
      </c>
      <c r="AD974" s="20">
        <v>0</v>
      </c>
      <c r="AE974" s="20">
        <v>0</v>
      </c>
      <c r="AF974" s="20">
        <v>1</v>
      </c>
      <c r="AG974" s="20">
        <v>0</v>
      </c>
      <c r="AH974" s="20">
        <v>0</v>
      </c>
      <c r="AI974" s="328">
        <v>10.495382031905962</v>
      </c>
      <c r="AJ974" s="328" t="s">
        <v>1328</v>
      </c>
      <c r="AK974" s="328" t="s">
        <v>1328</v>
      </c>
      <c r="AL974" s="22" t="s">
        <v>1329</v>
      </c>
      <c r="AM974" s="22" t="s">
        <v>1330</v>
      </c>
      <c r="AN974" s="22" t="s">
        <v>1317</v>
      </c>
      <c r="AO974" s="22" t="s">
        <v>1318</v>
      </c>
      <c r="AP974" s="22" t="s">
        <v>1318</v>
      </c>
      <c r="AQ974" s="22" t="s">
        <v>1318</v>
      </c>
      <c r="AR974" s="22" t="s">
        <v>1317</v>
      </c>
      <c r="AS974" s="22" t="s">
        <v>1318</v>
      </c>
      <c r="AT974" s="22" t="s">
        <v>1309</v>
      </c>
      <c r="AU974" s="22" t="s">
        <v>1311</v>
      </c>
      <c r="AV974" s="22" t="s">
        <v>1309</v>
      </c>
      <c r="AW974" s="22" t="s">
        <v>1309</v>
      </c>
      <c r="AX974" s="22" t="s">
        <v>1309</v>
      </c>
      <c r="AY974" s="22" t="s">
        <v>1309</v>
      </c>
      <c r="AZ974" s="22" t="s">
        <v>1309</v>
      </c>
      <c r="BA974" s="22" t="s">
        <v>1309</v>
      </c>
      <c r="BB974" s="22" t="s">
        <v>1309</v>
      </c>
      <c r="BC974" s="22" t="s">
        <v>1309</v>
      </c>
      <c r="BD974" s="22" t="s">
        <v>1309</v>
      </c>
      <c r="BE974" s="22" t="s">
        <v>1309</v>
      </c>
      <c r="BF974" s="22" t="s">
        <v>1317</v>
      </c>
      <c r="BG974" s="22" t="s">
        <v>1311</v>
      </c>
      <c r="BH974" s="22" t="s">
        <v>1309</v>
      </c>
      <c r="BI974" s="22" t="s">
        <v>1309</v>
      </c>
      <c r="BJ974" s="22" t="s">
        <v>1309</v>
      </c>
      <c r="BK974" s="22" t="s">
        <v>1309</v>
      </c>
      <c r="BL974" s="22" t="s">
        <v>1309</v>
      </c>
      <c r="BM974" s="22" t="s">
        <v>1309</v>
      </c>
      <c r="BN974" s="22" t="s">
        <v>1309</v>
      </c>
      <c r="BO974" s="22" t="s">
        <v>1309</v>
      </c>
      <c r="BP974" s="22" t="s">
        <v>1309</v>
      </c>
      <c r="BQ974" s="22" t="s">
        <v>1309</v>
      </c>
      <c r="BR974" s="22" t="s">
        <v>1309</v>
      </c>
      <c r="BS974" s="22" t="s">
        <v>1309</v>
      </c>
      <c r="BT974" s="22" t="s">
        <v>1309</v>
      </c>
      <c r="BU974" s="22" t="s">
        <v>1309</v>
      </c>
      <c r="BV974" s="22" t="s">
        <v>1309</v>
      </c>
      <c r="BW974" s="22" t="s">
        <v>1309</v>
      </c>
      <c r="BX974" s="20">
        <v>76</v>
      </c>
      <c r="BY974" s="20">
        <v>0</v>
      </c>
      <c r="BZ974" s="20">
        <v>0</v>
      </c>
      <c r="CA974" s="20">
        <v>16</v>
      </c>
      <c r="CB974" s="20">
        <v>0</v>
      </c>
      <c r="CC974" s="20">
        <v>1277</v>
      </c>
      <c r="CD974" s="22" t="s">
        <v>1331</v>
      </c>
      <c r="CE974" s="22" t="s">
        <v>1331</v>
      </c>
      <c r="CF974" s="22" t="s">
        <v>1320</v>
      </c>
      <c r="CG974" s="22" t="s">
        <v>1340</v>
      </c>
      <c r="CH974" s="22" t="s">
        <v>1315</v>
      </c>
      <c r="CI974" s="22" t="s">
        <v>1315</v>
      </c>
      <c r="CJ974" s="149" t="s">
        <v>3394</v>
      </c>
      <c r="CK974" s="241" t="s">
        <v>3395</v>
      </c>
    </row>
    <row r="975" spans="1:89" ht="15" customHeight="1" x14ac:dyDescent="0.35">
      <c r="A975" s="17"/>
      <c r="B975" s="313">
        <v>35045</v>
      </c>
      <c r="C975" s="8" t="s">
        <v>310</v>
      </c>
      <c r="D975" s="18">
        <v>4</v>
      </c>
      <c r="E975" s="131"/>
      <c r="F975" s="22"/>
      <c r="G975" s="132"/>
      <c r="H975" s="22"/>
      <c r="I975" s="22"/>
      <c r="J975" s="22"/>
      <c r="K975" s="22"/>
      <c r="L975" s="22"/>
      <c r="M975" s="133"/>
      <c r="N975" s="22"/>
      <c r="O975" s="22"/>
      <c r="P975" s="22"/>
      <c r="Q975" s="20"/>
      <c r="R975" s="20"/>
      <c r="S975" s="20"/>
      <c r="T975" s="20"/>
      <c r="U975" s="20"/>
      <c r="V975" s="20"/>
      <c r="W975" s="20"/>
      <c r="X975" s="20"/>
      <c r="Y975" s="20"/>
      <c r="Z975" s="20"/>
      <c r="AA975" s="20"/>
      <c r="AB975" s="22"/>
      <c r="AC975" s="20"/>
      <c r="AD975" s="20"/>
      <c r="AE975" s="20"/>
      <c r="AF975" s="20" t="s">
        <v>1124</v>
      </c>
      <c r="AG975" s="20" t="s">
        <v>1124</v>
      </c>
      <c r="AH975" s="20" t="s">
        <v>1124</v>
      </c>
      <c r="AI975" s="328"/>
      <c r="AJ975" s="328"/>
      <c r="AK975" s="328"/>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0"/>
      <c r="BY975" s="20"/>
      <c r="BZ975" s="20"/>
      <c r="CA975" s="20"/>
      <c r="CB975" s="20"/>
      <c r="CC975" s="20"/>
      <c r="CD975" s="22"/>
      <c r="CE975" s="22"/>
      <c r="CF975" s="22"/>
      <c r="CG975" s="22"/>
      <c r="CH975" s="22"/>
      <c r="CI975" s="22"/>
      <c r="CJ975" s="149"/>
      <c r="CK975" s="241"/>
    </row>
    <row r="976" spans="1:89" ht="15" customHeight="1" x14ac:dyDescent="0.35">
      <c r="A976" s="17"/>
      <c r="B976" s="313">
        <v>53040</v>
      </c>
      <c r="C976" s="8" t="s">
        <v>536</v>
      </c>
      <c r="D976" s="18">
        <v>16</v>
      </c>
      <c r="E976" s="131"/>
      <c r="F976" s="22"/>
      <c r="G976" s="132"/>
      <c r="H976" s="22"/>
      <c r="I976" s="22"/>
      <c r="J976" s="22"/>
      <c r="K976" s="22"/>
      <c r="L976" s="22"/>
      <c r="M976" s="133"/>
      <c r="N976" s="22"/>
      <c r="O976" s="22"/>
      <c r="P976" s="22"/>
      <c r="Q976" s="20"/>
      <c r="R976" s="20"/>
      <c r="S976" s="20"/>
      <c r="T976" s="20"/>
      <c r="U976" s="20"/>
      <c r="V976" s="20"/>
      <c r="W976" s="20"/>
      <c r="X976" s="20"/>
      <c r="Y976" s="20"/>
      <c r="Z976" s="20"/>
      <c r="AA976" s="20"/>
      <c r="AB976" s="22"/>
      <c r="AC976" s="20"/>
      <c r="AD976" s="20"/>
      <c r="AE976" s="20"/>
      <c r="AF976" s="20" t="s">
        <v>1124</v>
      </c>
      <c r="AG976" s="20" t="s">
        <v>1124</v>
      </c>
      <c r="AH976" s="20" t="s">
        <v>1124</v>
      </c>
      <c r="AI976" s="328"/>
      <c r="AJ976" s="328"/>
      <c r="AK976" s="328"/>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0"/>
      <c r="BY976" s="20"/>
      <c r="BZ976" s="20"/>
      <c r="CA976" s="20"/>
      <c r="CB976" s="20"/>
      <c r="CC976" s="20"/>
      <c r="CD976" s="22"/>
      <c r="CE976" s="22"/>
      <c r="CF976" s="22"/>
      <c r="CG976" s="22"/>
      <c r="CH976" s="22"/>
      <c r="CI976" s="22"/>
      <c r="CJ976" s="149"/>
      <c r="CK976" s="241"/>
    </row>
    <row r="977" spans="1:89" ht="15" customHeight="1" x14ac:dyDescent="0.35">
      <c r="A977" s="17"/>
      <c r="B977" s="313">
        <v>17065</v>
      </c>
      <c r="C977" s="8" t="s">
        <v>101</v>
      </c>
      <c r="D977" s="18">
        <v>12</v>
      </c>
      <c r="E977" s="131" t="s">
        <v>1309</v>
      </c>
      <c r="F977" s="22" t="s">
        <v>1309</v>
      </c>
      <c r="G977" s="132" t="s">
        <v>1309</v>
      </c>
      <c r="H977" s="22" t="s">
        <v>1311</v>
      </c>
      <c r="I977" s="22" t="s">
        <v>1327</v>
      </c>
      <c r="J977" s="22" t="s">
        <v>1327</v>
      </c>
      <c r="K977" s="22" t="s">
        <v>1319</v>
      </c>
      <c r="L977" s="22" t="s">
        <v>1311</v>
      </c>
      <c r="M977" s="133" t="s">
        <v>1311</v>
      </c>
      <c r="N977" s="22" t="s">
        <v>1311</v>
      </c>
      <c r="O977" s="22" t="s">
        <v>1315</v>
      </c>
      <c r="P977" s="22" t="s">
        <v>1315</v>
      </c>
      <c r="Q977" s="20">
        <v>4.95</v>
      </c>
      <c r="R977" s="20">
        <v>4.95</v>
      </c>
      <c r="S977" s="20">
        <v>0</v>
      </c>
      <c r="T977" s="20">
        <v>0</v>
      </c>
      <c r="U977" s="20">
        <v>0</v>
      </c>
      <c r="V977" s="20">
        <v>0</v>
      </c>
      <c r="W977" s="20">
        <v>0</v>
      </c>
      <c r="X977" s="20">
        <v>0</v>
      </c>
      <c r="Y977" s="20">
        <v>0</v>
      </c>
      <c r="Z977" s="20">
        <v>0</v>
      </c>
      <c r="AA977" s="20" t="s">
        <v>1317</v>
      </c>
      <c r="AB977" s="22" t="s">
        <v>1318</v>
      </c>
      <c r="AC977" s="20">
        <v>0</v>
      </c>
      <c r="AD977" s="20">
        <v>0</v>
      </c>
      <c r="AE977" s="20">
        <v>0</v>
      </c>
      <c r="AF977" s="20">
        <v>0</v>
      </c>
      <c r="AG977" s="20">
        <v>0</v>
      </c>
      <c r="AH977" s="20">
        <v>0</v>
      </c>
      <c r="AI977" s="328" t="s">
        <v>1328</v>
      </c>
      <c r="AJ977" s="328" t="s">
        <v>1328</v>
      </c>
      <c r="AK977" s="328" t="s">
        <v>1328</v>
      </c>
      <c r="AL977" s="22" t="s">
        <v>1329</v>
      </c>
      <c r="AM977" s="22" t="s">
        <v>1330</v>
      </c>
      <c r="AN977" s="22" t="s">
        <v>1317</v>
      </c>
      <c r="AO977" s="22" t="s">
        <v>1318</v>
      </c>
      <c r="AP977" s="22" t="s">
        <v>1318</v>
      </c>
      <c r="AQ977" s="22" t="s">
        <v>1318</v>
      </c>
      <c r="AR977" s="22" t="s">
        <v>1317</v>
      </c>
      <c r="AS977" s="22" t="s">
        <v>1318</v>
      </c>
      <c r="AT977" s="22" t="s">
        <v>1317</v>
      </c>
      <c r="AU977" s="22" t="s">
        <v>1318</v>
      </c>
      <c r="AV977" s="22" t="s">
        <v>1317</v>
      </c>
      <c r="AW977" s="22" t="s">
        <v>1318</v>
      </c>
      <c r="AX977" s="22" t="s">
        <v>1317</v>
      </c>
      <c r="AY977" s="22" t="s">
        <v>1318</v>
      </c>
      <c r="AZ977" s="22" t="s">
        <v>1317</v>
      </c>
      <c r="BA977" s="22" t="s">
        <v>1318</v>
      </c>
      <c r="BB977" s="22" t="s">
        <v>1317</v>
      </c>
      <c r="BC977" s="22" t="s">
        <v>1318</v>
      </c>
      <c r="BD977" s="22" t="s">
        <v>1317</v>
      </c>
      <c r="BE977" s="22" t="s">
        <v>1318</v>
      </c>
      <c r="BF977" s="22" t="s">
        <v>1317</v>
      </c>
      <c r="BG977" s="22" t="s">
        <v>1318</v>
      </c>
      <c r="BH977" s="22" t="s">
        <v>1317</v>
      </c>
      <c r="BI977" s="22" t="s">
        <v>1318</v>
      </c>
      <c r="BJ977" s="22" t="s">
        <v>1317</v>
      </c>
      <c r="BK977" s="22" t="s">
        <v>1318</v>
      </c>
      <c r="BL977" s="22" t="s">
        <v>1317</v>
      </c>
      <c r="BM977" s="22" t="s">
        <v>1318</v>
      </c>
      <c r="BN977" s="22" t="s">
        <v>1317</v>
      </c>
      <c r="BO977" s="22" t="s">
        <v>1318</v>
      </c>
      <c r="BP977" s="22" t="s">
        <v>1317</v>
      </c>
      <c r="BQ977" s="22" t="s">
        <v>1318</v>
      </c>
      <c r="BR977" s="22" t="s">
        <v>1317</v>
      </c>
      <c r="BS977" s="22" t="s">
        <v>1318</v>
      </c>
      <c r="BT977" s="22" t="s">
        <v>1317</v>
      </c>
      <c r="BU977" s="22" t="s">
        <v>1318</v>
      </c>
      <c r="BV977" s="22" t="s">
        <v>1309</v>
      </c>
      <c r="BW977" s="22" t="s">
        <v>1309</v>
      </c>
      <c r="BX977" s="20">
        <v>0</v>
      </c>
      <c r="BY977" s="20">
        <v>0</v>
      </c>
      <c r="BZ977" s="20">
        <v>27</v>
      </c>
      <c r="CA977" s="20">
        <v>0</v>
      </c>
      <c r="CB977" s="20">
        <v>0</v>
      </c>
      <c r="CC977" s="20">
        <v>165</v>
      </c>
      <c r="CD977" s="22" t="s">
        <v>1317</v>
      </c>
      <c r="CE977" s="22" t="s">
        <v>1318</v>
      </c>
      <c r="CF977" s="22" t="s">
        <v>1317</v>
      </c>
      <c r="CG977" s="22" t="s">
        <v>1318</v>
      </c>
      <c r="CH977" s="22" t="s">
        <v>1317</v>
      </c>
      <c r="CI977" s="22" t="s">
        <v>1318</v>
      </c>
      <c r="CJ977" s="149" t="s">
        <v>3399</v>
      </c>
      <c r="CK977" s="241" t="s">
        <v>1124</v>
      </c>
    </row>
    <row r="978" spans="1:89" ht="15" customHeight="1" x14ac:dyDescent="0.35">
      <c r="A978" s="17"/>
      <c r="B978" s="313">
        <v>63040</v>
      </c>
      <c r="C978" s="8" t="s">
        <v>639</v>
      </c>
      <c r="D978" s="18">
        <v>14</v>
      </c>
      <c r="E978" s="131"/>
      <c r="F978" s="22"/>
      <c r="G978" s="132"/>
      <c r="H978" s="22"/>
      <c r="I978" s="22"/>
      <c r="J978" s="22"/>
      <c r="K978" s="22"/>
      <c r="L978" s="22"/>
      <c r="M978" s="133"/>
      <c r="N978" s="22"/>
      <c r="O978" s="22"/>
      <c r="P978" s="22"/>
      <c r="Q978" s="20"/>
      <c r="R978" s="20"/>
      <c r="S978" s="20"/>
      <c r="T978" s="20"/>
      <c r="U978" s="20"/>
      <c r="V978" s="20"/>
      <c r="W978" s="20"/>
      <c r="X978" s="20"/>
      <c r="Y978" s="20"/>
      <c r="Z978" s="20"/>
      <c r="AA978" s="20"/>
      <c r="AB978" s="22"/>
      <c r="AC978" s="20"/>
      <c r="AD978" s="20"/>
      <c r="AE978" s="20"/>
      <c r="AF978" s="20" t="s">
        <v>1124</v>
      </c>
      <c r="AG978" s="20" t="s">
        <v>1124</v>
      </c>
      <c r="AH978" s="20" t="s">
        <v>1124</v>
      </c>
      <c r="AI978" s="328"/>
      <c r="AJ978" s="328"/>
      <c r="AK978" s="328"/>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0"/>
      <c r="BY978" s="20"/>
      <c r="BZ978" s="20"/>
      <c r="CA978" s="20"/>
      <c r="CB978" s="20"/>
      <c r="CC978" s="20"/>
      <c r="CD978" s="22"/>
      <c r="CE978" s="22"/>
      <c r="CF978" s="22"/>
      <c r="CG978" s="22"/>
      <c r="CH978" s="22"/>
      <c r="CI978" s="22"/>
      <c r="CJ978" s="149"/>
      <c r="CK978" s="241"/>
    </row>
    <row r="979" spans="1:89" ht="15" customHeight="1" x14ac:dyDescent="0.35">
      <c r="A979" s="17"/>
      <c r="B979" s="313">
        <v>30100</v>
      </c>
      <c r="C979" s="8" t="s">
        <v>234</v>
      </c>
      <c r="D979" s="18">
        <v>5</v>
      </c>
      <c r="E979" s="131" t="s">
        <v>1319</v>
      </c>
      <c r="F979" s="22" t="s">
        <v>1490</v>
      </c>
      <c r="G979" s="132" t="s">
        <v>1309</v>
      </c>
      <c r="H979" s="22" t="s">
        <v>1311</v>
      </c>
      <c r="I979" s="22" t="s">
        <v>1327</v>
      </c>
      <c r="J979" s="22" t="s">
        <v>1327</v>
      </c>
      <c r="K979" s="22" t="s">
        <v>1314</v>
      </c>
      <c r="L979" s="22" t="s">
        <v>1311</v>
      </c>
      <c r="M979" s="133" t="s">
        <v>1311</v>
      </c>
      <c r="N979" s="22" t="s">
        <v>1311</v>
      </c>
      <c r="O979" s="22" t="s">
        <v>1309</v>
      </c>
      <c r="P979" s="22" t="s">
        <v>1309</v>
      </c>
      <c r="Q979" s="20">
        <v>0</v>
      </c>
      <c r="R979" s="20">
        <v>0</v>
      </c>
      <c r="S979" s="20">
        <v>2.6655000000000002</v>
      </c>
      <c r="T979" s="20">
        <v>0</v>
      </c>
      <c r="U979" s="20">
        <v>2.6655000000000002</v>
      </c>
      <c r="V979" s="20">
        <v>5.3310000000000004</v>
      </c>
      <c r="W979" s="20">
        <v>0</v>
      </c>
      <c r="X979" s="20">
        <v>0</v>
      </c>
      <c r="Y979" s="20">
        <v>0</v>
      </c>
      <c r="Z979" s="20">
        <v>0</v>
      </c>
      <c r="AA979" s="20" t="s">
        <v>1317</v>
      </c>
      <c r="AB979" s="22" t="s">
        <v>1311</v>
      </c>
      <c r="AC979" s="20">
        <v>0</v>
      </c>
      <c r="AD979" s="20">
        <v>0</v>
      </c>
      <c r="AE979" s="20">
        <v>0</v>
      </c>
      <c r="AF979" s="20">
        <v>0</v>
      </c>
      <c r="AG979" s="20">
        <v>0</v>
      </c>
      <c r="AH979" s="20">
        <v>0</v>
      </c>
      <c r="AI979" s="328" t="s">
        <v>1328</v>
      </c>
      <c r="AJ979" s="328" t="s">
        <v>1328</v>
      </c>
      <c r="AK979" s="328" t="s">
        <v>1328</v>
      </c>
      <c r="AL979" s="22" t="s">
        <v>1316</v>
      </c>
      <c r="AM979" s="22" t="s">
        <v>1343</v>
      </c>
      <c r="AN979" s="22" t="s">
        <v>1317</v>
      </c>
      <c r="AO979" s="22" t="s">
        <v>1318</v>
      </c>
      <c r="AP979" s="22" t="s">
        <v>1318</v>
      </c>
      <c r="AQ979" s="22" t="s">
        <v>1318</v>
      </c>
      <c r="AR979" s="22" t="s">
        <v>1317</v>
      </c>
      <c r="AS979" s="22" t="s">
        <v>1318</v>
      </c>
      <c r="AT979" s="22" t="s">
        <v>1317</v>
      </c>
      <c r="AU979" s="22" t="s">
        <v>1318</v>
      </c>
      <c r="AV979" s="22" t="s">
        <v>1317</v>
      </c>
      <c r="AW979" s="22" t="s">
        <v>1311</v>
      </c>
      <c r="AX979" s="22" t="s">
        <v>1317</v>
      </c>
      <c r="AY979" s="22" t="s">
        <v>1318</v>
      </c>
      <c r="AZ979" s="22" t="s">
        <v>1317</v>
      </c>
      <c r="BA979" s="22" t="s">
        <v>1318</v>
      </c>
      <c r="BB979" s="22" t="s">
        <v>1309</v>
      </c>
      <c r="BC979" s="22" t="s">
        <v>1309</v>
      </c>
      <c r="BD979" s="22" t="s">
        <v>1309</v>
      </c>
      <c r="BE979" s="22" t="s">
        <v>1309</v>
      </c>
      <c r="BF979" s="22" t="s">
        <v>1309</v>
      </c>
      <c r="BG979" s="22" t="s">
        <v>1309</v>
      </c>
      <c r="BH979" s="22" t="s">
        <v>1309</v>
      </c>
      <c r="BI979" s="22" t="s">
        <v>1309</v>
      </c>
      <c r="BJ979" s="22" t="s">
        <v>1317</v>
      </c>
      <c r="BK979" s="22" t="s">
        <v>1318</v>
      </c>
      <c r="BL979" s="22" t="s">
        <v>1309</v>
      </c>
      <c r="BM979" s="22" t="s">
        <v>1309</v>
      </c>
      <c r="BN979" s="22" t="s">
        <v>1309</v>
      </c>
      <c r="BO979" s="22" t="s">
        <v>1309</v>
      </c>
      <c r="BP979" s="22" t="s">
        <v>1309</v>
      </c>
      <c r="BQ979" s="22" t="s">
        <v>1309</v>
      </c>
      <c r="BR979" s="22" t="s">
        <v>1309</v>
      </c>
      <c r="BS979" s="22" t="s">
        <v>1309</v>
      </c>
      <c r="BT979" s="22" t="s">
        <v>1309</v>
      </c>
      <c r="BU979" s="22" t="s">
        <v>1309</v>
      </c>
      <c r="BV979" s="22" t="s">
        <v>1317</v>
      </c>
      <c r="BW979" s="22" t="s">
        <v>1318</v>
      </c>
      <c r="BX979" s="20">
        <v>22</v>
      </c>
      <c r="BY979" s="20">
        <v>0</v>
      </c>
      <c r="BZ979" s="20">
        <v>0</v>
      </c>
      <c r="CA979" s="20">
        <v>144</v>
      </c>
      <c r="CB979" s="20">
        <v>0</v>
      </c>
      <c r="CC979" s="20">
        <v>9</v>
      </c>
      <c r="CD979" s="22" t="s">
        <v>1331</v>
      </c>
      <c r="CE979" s="22" t="s">
        <v>1331</v>
      </c>
      <c r="CF979" s="22" t="s">
        <v>1315</v>
      </c>
      <c r="CG979" s="22" t="s">
        <v>1315</v>
      </c>
      <c r="CH979" s="22" t="s">
        <v>1315</v>
      </c>
      <c r="CI979" s="22" t="s">
        <v>1315</v>
      </c>
      <c r="CJ979" s="149" t="s">
        <v>3403</v>
      </c>
      <c r="CK979" s="241" t="s">
        <v>3404</v>
      </c>
    </row>
    <row r="980" spans="1:89" ht="15" customHeight="1" x14ac:dyDescent="0.35">
      <c r="A980" s="17"/>
      <c r="B980" s="313">
        <v>39145</v>
      </c>
      <c r="C980" s="8" t="s">
        <v>355</v>
      </c>
      <c r="D980" s="18">
        <v>17</v>
      </c>
      <c r="E980" s="131" t="s">
        <v>1319</v>
      </c>
      <c r="F980" s="22" t="s">
        <v>1490</v>
      </c>
      <c r="G980" s="132" t="s">
        <v>1309</v>
      </c>
      <c r="H980" s="22" t="s">
        <v>1311</v>
      </c>
      <c r="I980" s="22" t="s">
        <v>1341</v>
      </c>
      <c r="J980" s="22" t="s">
        <v>1348</v>
      </c>
      <c r="K980" s="22" t="s">
        <v>1314</v>
      </c>
      <c r="L980" s="22" t="s">
        <v>1311</v>
      </c>
      <c r="M980" s="133" t="s">
        <v>1311</v>
      </c>
      <c r="N980" s="22" t="s">
        <v>1311</v>
      </c>
      <c r="O980" s="22" t="s">
        <v>1314</v>
      </c>
      <c r="P980" s="22" t="s">
        <v>1318</v>
      </c>
      <c r="Q980" s="20">
        <v>1</v>
      </c>
      <c r="R980" s="20">
        <v>0</v>
      </c>
      <c r="S980" s="20">
        <v>0</v>
      </c>
      <c r="T980" s="20">
        <v>0</v>
      </c>
      <c r="U980" s="20">
        <v>0.25</v>
      </c>
      <c r="V980" s="20">
        <v>0</v>
      </c>
      <c r="W980" s="20">
        <v>0</v>
      </c>
      <c r="X980" s="20">
        <v>0</v>
      </c>
      <c r="Y980" s="20">
        <v>0</v>
      </c>
      <c r="Z980" s="20">
        <v>0</v>
      </c>
      <c r="AA980" s="20" t="s">
        <v>1317</v>
      </c>
      <c r="AB980" s="22" t="s">
        <v>1318</v>
      </c>
      <c r="AC980" s="20">
        <v>3</v>
      </c>
      <c r="AD980" s="20">
        <v>0</v>
      </c>
      <c r="AE980" s="20">
        <v>1</v>
      </c>
      <c r="AF980" s="20">
        <v>3</v>
      </c>
      <c r="AG980" s="20">
        <v>0</v>
      </c>
      <c r="AH980" s="20">
        <v>1</v>
      </c>
      <c r="AI980" s="328">
        <v>84.411930219471017</v>
      </c>
      <c r="AJ980" s="328" t="s">
        <v>1328</v>
      </c>
      <c r="AK980" s="328">
        <v>8.9285714285714288</v>
      </c>
      <c r="AL980" s="22" t="s">
        <v>1329</v>
      </c>
      <c r="AM980" s="22" t="s">
        <v>1330</v>
      </c>
      <c r="AN980" s="22" t="s">
        <v>1317</v>
      </c>
      <c r="AO980" s="22" t="s">
        <v>1318</v>
      </c>
      <c r="AP980" s="22" t="s">
        <v>1318</v>
      </c>
      <c r="AQ980" s="22" t="s">
        <v>1318</v>
      </c>
      <c r="AR980" s="22" t="s">
        <v>1317</v>
      </c>
      <c r="AS980" s="22" t="s">
        <v>1318</v>
      </c>
      <c r="AT980" s="22" t="s">
        <v>1317</v>
      </c>
      <c r="AU980" s="22" t="s">
        <v>1318</v>
      </c>
      <c r="AV980" s="22" t="s">
        <v>1317</v>
      </c>
      <c r="AW980" s="22" t="s">
        <v>1318</v>
      </c>
      <c r="AX980" s="22" t="s">
        <v>1317</v>
      </c>
      <c r="AY980" s="22" t="s">
        <v>1318</v>
      </c>
      <c r="AZ980" s="22" t="s">
        <v>1319</v>
      </c>
      <c r="BA980" s="22" t="s">
        <v>1311</v>
      </c>
      <c r="BB980" s="22" t="s">
        <v>1319</v>
      </c>
      <c r="BC980" s="22" t="s">
        <v>1311</v>
      </c>
      <c r="BD980" s="22" t="s">
        <v>1319</v>
      </c>
      <c r="BE980" s="22" t="s">
        <v>1311</v>
      </c>
      <c r="BF980" s="22" t="s">
        <v>1317</v>
      </c>
      <c r="BG980" s="22" t="s">
        <v>1318</v>
      </c>
      <c r="BH980" s="22" t="s">
        <v>1317</v>
      </c>
      <c r="BI980" s="22" t="s">
        <v>1318</v>
      </c>
      <c r="BJ980" s="22" t="s">
        <v>1309</v>
      </c>
      <c r="BK980" s="22" t="s">
        <v>1309</v>
      </c>
      <c r="BL980" s="22" t="s">
        <v>1317</v>
      </c>
      <c r="BM980" s="22" t="s">
        <v>1318</v>
      </c>
      <c r="BN980" s="22" t="s">
        <v>1309</v>
      </c>
      <c r="BO980" s="22" t="s">
        <v>1309</v>
      </c>
      <c r="BP980" s="22" t="s">
        <v>1309</v>
      </c>
      <c r="BQ980" s="22" t="s">
        <v>1309</v>
      </c>
      <c r="BR980" s="22" t="s">
        <v>1309</v>
      </c>
      <c r="BS980" s="22" t="s">
        <v>1309</v>
      </c>
      <c r="BT980" s="22" t="s">
        <v>1309</v>
      </c>
      <c r="BU980" s="22" t="s">
        <v>1309</v>
      </c>
      <c r="BV980" s="22" t="s">
        <v>1317</v>
      </c>
      <c r="BW980" s="22" t="s">
        <v>1318</v>
      </c>
      <c r="BX980" s="20">
        <v>0</v>
      </c>
      <c r="BY980" s="20">
        <v>2</v>
      </c>
      <c r="BZ980" s="20">
        <v>6</v>
      </c>
      <c r="CA980" s="20">
        <v>0</v>
      </c>
      <c r="CB980" s="20">
        <v>0</v>
      </c>
      <c r="CC980" s="20">
        <v>104</v>
      </c>
      <c r="CD980" s="22" t="s">
        <v>1320</v>
      </c>
      <c r="CE980" s="22" t="s">
        <v>1321</v>
      </c>
      <c r="CF980" s="22" t="s">
        <v>1317</v>
      </c>
      <c r="CG980" s="22" t="s">
        <v>1318</v>
      </c>
      <c r="CH980" s="22" t="s">
        <v>1317</v>
      </c>
      <c r="CI980" s="22" t="s">
        <v>1318</v>
      </c>
      <c r="CJ980" s="149" t="s">
        <v>1124</v>
      </c>
      <c r="CK980" s="241" t="s">
        <v>3032</v>
      </c>
    </row>
    <row r="981" spans="1:89" ht="15" customHeight="1" x14ac:dyDescent="0.35">
      <c r="A981" s="17"/>
      <c r="B981" s="313">
        <v>39130</v>
      </c>
      <c r="C981" s="8" t="s">
        <v>353</v>
      </c>
      <c r="D981" s="18">
        <v>17</v>
      </c>
      <c r="E981" s="131"/>
      <c r="F981" s="22"/>
      <c r="G981" s="132"/>
      <c r="H981" s="22"/>
      <c r="I981" s="22"/>
      <c r="J981" s="22"/>
      <c r="K981" s="22"/>
      <c r="L981" s="22"/>
      <c r="M981" s="133"/>
      <c r="N981" s="22"/>
      <c r="O981" s="22"/>
      <c r="P981" s="22"/>
      <c r="Q981" s="20"/>
      <c r="R981" s="20"/>
      <c r="S981" s="20"/>
      <c r="T981" s="20"/>
      <c r="U981" s="20"/>
      <c r="V981" s="20"/>
      <c r="W981" s="20"/>
      <c r="X981" s="20"/>
      <c r="Y981" s="20"/>
      <c r="Z981" s="20"/>
      <c r="AA981" s="20"/>
      <c r="AB981" s="22"/>
      <c r="AC981" s="20"/>
      <c r="AD981" s="20"/>
      <c r="AE981" s="20"/>
      <c r="AF981" s="20" t="s">
        <v>1124</v>
      </c>
      <c r="AG981" s="20" t="s">
        <v>1124</v>
      </c>
      <c r="AH981" s="20" t="s">
        <v>1124</v>
      </c>
      <c r="AI981" s="328"/>
      <c r="AJ981" s="328"/>
      <c r="AK981" s="328"/>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0"/>
      <c r="BY981" s="20"/>
      <c r="BZ981" s="20"/>
      <c r="CA981" s="20"/>
      <c r="CB981" s="20"/>
      <c r="CC981" s="20"/>
      <c r="CD981" s="22"/>
      <c r="CE981" s="22"/>
      <c r="CF981" s="22"/>
      <c r="CG981" s="22"/>
      <c r="CH981" s="22"/>
      <c r="CI981" s="22"/>
      <c r="CJ981" s="149"/>
      <c r="CK981" s="241"/>
    </row>
    <row r="982" spans="1:89" ht="15" customHeight="1" x14ac:dyDescent="0.35">
      <c r="A982" s="17"/>
      <c r="B982" s="313">
        <v>26010</v>
      </c>
      <c r="C982" s="8" t="s">
        <v>168</v>
      </c>
      <c r="D982" s="18">
        <v>12</v>
      </c>
      <c r="E982" s="131"/>
      <c r="F982" s="22"/>
      <c r="G982" s="132"/>
      <c r="H982" s="22"/>
      <c r="I982" s="22"/>
      <c r="J982" s="22"/>
      <c r="K982" s="22"/>
      <c r="L982" s="22"/>
      <c r="M982" s="133"/>
      <c r="N982" s="22"/>
      <c r="O982" s="22"/>
      <c r="P982" s="22"/>
      <c r="Q982" s="20"/>
      <c r="R982" s="20"/>
      <c r="S982" s="20"/>
      <c r="T982" s="20"/>
      <c r="U982" s="20"/>
      <c r="V982" s="20"/>
      <c r="W982" s="20"/>
      <c r="X982" s="20"/>
      <c r="Y982" s="20"/>
      <c r="Z982" s="20"/>
      <c r="AA982" s="20"/>
      <c r="AB982" s="22"/>
      <c r="AC982" s="20"/>
      <c r="AD982" s="20"/>
      <c r="AE982" s="20"/>
      <c r="AF982" s="20" t="s">
        <v>1124</v>
      </c>
      <c r="AG982" s="20" t="s">
        <v>1124</v>
      </c>
      <c r="AH982" s="20" t="s">
        <v>1124</v>
      </c>
      <c r="AI982" s="328"/>
      <c r="AJ982" s="328"/>
      <c r="AK982" s="328"/>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0"/>
      <c r="BY982" s="20"/>
      <c r="BZ982" s="20"/>
      <c r="CA982" s="20"/>
      <c r="CB982" s="20"/>
      <c r="CC982" s="20"/>
      <c r="CD982" s="22"/>
      <c r="CE982" s="22"/>
      <c r="CF982" s="22"/>
      <c r="CG982" s="22"/>
      <c r="CH982" s="22"/>
      <c r="CI982" s="22"/>
      <c r="CJ982" s="149"/>
      <c r="CK982" s="241"/>
    </row>
    <row r="983" spans="1:89" ht="15" customHeight="1" x14ac:dyDescent="0.35">
      <c r="A983" s="17"/>
      <c r="B983" s="313">
        <v>77043</v>
      </c>
      <c r="C983" s="8" t="s">
        <v>761</v>
      </c>
      <c r="D983" s="18">
        <v>15</v>
      </c>
      <c r="E983" s="131" t="s">
        <v>1319</v>
      </c>
      <c r="F983" s="22" t="s">
        <v>1490</v>
      </c>
      <c r="G983" s="132" t="s">
        <v>1315</v>
      </c>
      <c r="H983" s="22" t="s">
        <v>1311</v>
      </c>
      <c r="I983" s="22" t="s">
        <v>1327</v>
      </c>
      <c r="J983" s="22" t="s">
        <v>1342</v>
      </c>
      <c r="K983" s="22" t="s">
        <v>1314</v>
      </c>
      <c r="L983" s="22" t="s">
        <v>1311</v>
      </c>
      <c r="M983" s="133" t="s">
        <v>1311</v>
      </c>
      <c r="N983" s="22" t="s">
        <v>1311</v>
      </c>
      <c r="O983" s="22" t="s">
        <v>1309</v>
      </c>
      <c r="P983" s="22" t="s">
        <v>1309</v>
      </c>
      <c r="Q983" s="20">
        <v>63.137999999999998</v>
      </c>
      <c r="R983" s="20">
        <v>63.137999999999998</v>
      </c>
      <c r="S983" s="20">
        <v>0</v>
      </c>
      <c r="T983" s="20">
        <v>0</v>
      </c>
      <c r="U983" s="20">
        <v>0</v>
      </c>
      <c r="V983" s="20">
        <v>63.137999999999998</v>
      </c>
      <c r="W983" s="20">
        <v>126.276</v>
      </c>
      <c r="X983" s="20">
        <v>0</v>
      </c>
      <c r="Y983" s="20">
        <v>0</v>
      </c>
      <c r="Z983" s="20">
        <v>0</v>
      </c>
      <c r="AA983" s="20" t="s">
        <v>1317</v>
      </c>
      <c r="AB983" s="22" t="s">
        <v>1318</v>
      </c>
      <c r="AC983" s="20">
        <v>9</v>
      </c>
      <c r="AD983" s="20">
        <v>6</v>
      </c>
      <c r="AE983" s="20">
        <v>1</v>
      </c>
      <c r="AF983" s="20">
        <v>1</v>
      </c>
      <c r="AG983" s="20">
        <v>1</v>
      </c>
      <c r="AH983" s="20">
        <v>1</v>
      </c>
      <c r="AI983" s="328">
        <v>14.254490164401785</v>
      </c>
      <c r="AJ983" s="328">
        <v>1.2573344509639564</v>
      </c>
      <c r="AK983" s="328">
        <v>0.20955574182732606</v>
      </c>
      <c r="AL983" s="22" t="s">
        <v>1329</v>
      </c>
      <c r="AM983" s="22" t="s">
        <v>1330</v>
      </c>
      <c r="AN983" s="22" t="s">
        <v>1317</v>
      </c>
      <c r="AO983" s="22" t="s">
        <v>1318</v>
      </c>
      <c r="AP983" s="22" t="s">
        <v>1318</v>
      </c>
      <c r="AQ983" s="22" t="s">
        <v>1318</v>
      </c>
      <c r="AR983" s="22" t="s">
        <v>1317</v>
      </c>
      <c r="AS983" s="22" t="s">
        <v>1318</v>
      </c>
      <c r="AT983" s="22" t="s">
        <v>1317</v>
      </c>
      <c r="AU983" s="22" t="s">
        <v>1318</v>
      </c>
      <c r="AV983" s="22" t="s">
        <v>1317</v>
      </c>
      <c r="AW983" s="22" t="s">
        <v>1318</v>
      </c>
      <c r="AX983" s="22" t="s">
        <v>1317</v>
      </c>
      <c r="AY983" s="22" t="s">
        <v>1318</v>
      </c>
      <c r="AZ983" s="22" t="s">
        <v>1309</v>
      </c>
      <c r="BA983" s="22" t="s">
        <v>1309</v>
      </c>
      <c r="BB983" s="22" t="s">
        <v>1309</v>
      </c>
      <c r="BC983" s="22" t="s">
        <v>1309</v>
      </c>
      <c r="BD983" s="22" t="s">
        <v>1309</v>
      </c>
      <c r="BE983" s="22" t="s">
        <v>1309</v>
      </c>
      <c r="BF983" s="22" t="s">
        <v>1317</v>
      </c>
      <c r="BG983" s="22" t="s">
        <v>1318</v>
      </c>
      <c r="BH983" s="22" t="s">
        <v>1309</v>
      </c>
      <c r="BI983" s="22" t="s">
        <v>1309</v>
      </c>
      <c r="BJ983" s="22" t="s">
        <v>1319</v>
      </c>
      <c r="BK983" s="22" t="s">
        <v>1311</v>
      </c>
      <c r="BL983" s="22" t="s">
        <v>1317</v>
      </c>
      <c r="BM983" s="22" t="s">
        <v>1318</v>
      </c>
      <c r="BN983" s="22" t="s">
        <v>1309</v>
      </c>
      <c r="BO983" s="22" t="s">
        <v>1309</v>
      </c>
      <c r="BP983" s="22" t="s">
        <v>1317</v>
      </c>
      <c r="BQ983" s="22" t="s">
        <v>1318</v>
      </c>
      <c r="BR983" s="22" t="s">
        <v>1309</v>
      </c>
      <c r="BS983" s="22" t="s">
        <v>1309</v>
      </c>
      <c r="BT983" s="22" t="s">
        <v>1309</v>
      </c>
      <c r="BU983" s="22" t="s">
        <v>1309</v>
      </c>
      <c r="BV983" s="22" t="s">
        <v>1317</v>
      </c>
      <c r="BW983" s="22" t="s">
        <v>1318</v>
      </c>
      <c r="BX983" s="20">
        <v>255</v>
      </c>
      <c r="BY983" s="20">
        <v>0</v>
      </c>
      <c r="BZ983" s="20">
        <v>140</v>
      </c>
      <c r="CA983" s="20">
        <v>0</v>
      </c>
      <c r="CB983" s="20">
        <v>0</v>
      </c>
      <c r="CC983" s="20">
        <v>4366</v>
      </c>
      <c r="CD983" s="22" t="s">
        <v>1345</v>
      </c>
      <c r="CE983" s="22" t="s">
        <v>1321</v>
      </c>
      <c r="CF983" s="22" t="s">
        <v>1320</v>
      </c>
      <c r="CG983" s="22" t="s">
        <v>1321</v>
      </c>
      <c r="CH983" s="22" t="s">
        <v>1317</v>
      </c>
      <c r="CI983" s="22" t="s">
        <v>1318</v>
      </c>
      <c r="CJ983" s="149" t="s">
        <v>3410</v>
      </c>
      <c r="CK983" s="241" t="s">
        <v>3411</v>
      </c>
    </row>
    <row r="984" spans="1:89" ht="15" customHeight="1" x14ac:dyDescent="0.35">
      <c r="A984" s="17"/>
      <c r="B984" s="313">
        <v>30085</v>
      </c>
      <c r="C984" s="8" t="s">
        <v>231</v>
      </c>
      <c r="D984" s="18">
        <v>5</v>
      </c>
      <c r="E984" s="131" t="s">
        <v>1309</v>
      </c>
      <c r="F984" s="22" t="s">
        <v>1309</v>
      </c>
      <c r="G984" s="132" t="s">
        <v>1309</v>
      </c>
      <c r="H984" s="22" t="s">
        <v>1315</v>
      </c>
      <c r="I984" s="22" t="s">
        <v>1312</v>
      </c>
      <c r="J984" s="22" t="s">
        <v>1342</v>
      </c>
      <c r="K984" s="22" t="s">
        <v>1309</v>
      </c>
      <c r="L984" s="22" t="s">
        <v>1309</v>
      </c>
      <c r="M984" s="133" t="s">
        <v>1311</v>
      </c>
      <c r="N984" s="22" t="s">
        <v>1311</v>
      </c>
      <c r="O984" s="22" t="s">
        <v>1309</v>
      </c>
      <c r="P984" s="22" t="s">
        <v>1309</v>
      </c>
      <c r="Q984" s="20">
        <v>0</v>
      </c>
      <c r="R984" s="20">
        <v>0</v>
      </c>
      <c r="S984" s="20">
        <v>0</v>
      </c>
      <c r="T984" s="20">
        <v>0</v>
      </c>
      <c r="U984" s="20">
        <v>0</v>
      </c>
      <c r="V984" s="20">
        <v>0</v>
      </c>
      <c r="W984" s="20">
        <v>0</v>
      </c>
      <c r="X984" s="20">
        <v>0</v>
      </c>
      <c r="Y984" s="20">
        <v>0</v>
      </c>
      <c r="Z984" s="20">
        <v>0</v>
      </c>
      <c r="AA984" s="20" t="s">
        <v>1315</v>
      </c>
      <c r="AB984" s="22" t="s">
        <v>1315</v>
      </c>
      <c r="AC984" s="20">
        <v>0</v>
      </c>
      <c r="AD984" s="20">
        <v>0</v>
      </c>
      <c r="AE984" s="20">
        <v>0</v>
      </c>
      <c r="AF984" s="20">
        <v>0</v>
      </c>
      <c r="AG984" s="20">
        <v>0</v>
      </c>
      <c r="AH984" s="20">
        <v>0</v>
      </c>
      <c r="AI984" s="328" t="s">
        <v>1328</v>
      </c>
      <c r="AJ984" s="328" t="s">
        <v>1328</v>
      </c>
      <c r="AK984" s="328" t="s">
        <v>1328</v>
      </c>
      <c r="AL984" s="22" t="s">
        <v>1315</v>
      </c>
      <c r="AM984" s="22" t="s">
        <v>1315</v>
      </c>
      <c r="AN984" s="22" t="s">
        <v>1315</v>
      </c>
      <c r="AO984" s="22" t="s">
        <v>1315</v>
      </c>
      <c r="AP984" s="22" t="s">
        <v>1315</v>
      </c>
      <c r="AQ984" s="22" t="s">
        <v>1315</v>
      </c>
      <c r="AR984" s="22" t="s">
        <v>1317</v>
      </c>
      <c r="AS984" s="22" t="s">
        <v>1311</v>
      </c>
      <c r="AT984" s="22" t="s">
        <v>1317</v>
      </c>
      <c r="AU984" s="22" t="s">
        <v>1311</v>
      </c>
      <c r="AV984" s="22" t="s">
        <v>1317</v>
      </c>
      <c r="AW984" s="22" t="s">
        <v>1318</v>
      </c>
      <c r="AX984" s="22" t="s">
        <v>1317</v>
      </c>
      <c r="AY984" s="22" t="s">
        <v>1318</v>
      </c>
      <c r="AZ984" s="22" t="s">
        <v>1317</v>
      </c>
      <c r="BA984" s="22" t="s">
        <v>1318</v>
      </c>
      <c r="BB984" s="22" t="s">
        <v>1309</v>
      </c>
      <c r="BC984" s="22" t="s">
        <v>1309</v>
      </c>
      <c r="BD984" s="22" t="s">
        <v>1309</v>
      </c>
      <c r="BE984" s="22" t="s">
        <v>1309</v>
      </c>
      <c r="BF984" s="22" t="s">
        <v>1309</v>
      </c>
      <c r="BG984" s="22" t="s">
        <v>1309</v>
      </c>
      <c r="BH984" s="22" t="s">
        <v>1317</v>
      </c>
      <c r="BI984" s="22" t="s">
        <v>1318</v>
      </c>
      <c r="BJ984" s="22" t="s">
        <v>1317</v>
      </c>
      <c r="BK984" s="22" t="s">
        <v>1318</v>
      </c>
      <c r="BL984" s="22" t="s">
        <v>1317</v>
      </c>
      <c r="BM984" s="22" t="s">
        <v>1318</v>
      </c>
      <c r="BN984" s="22" t="s">
        <v>1309</v>
      </c>
      <c r="BO984" s="22" t="s">
        <v>1309</v>
      </c>
      <c r="BP984" s="22" t="s">
        <v>1315</v>
      </c>
      <c r="BQ984" s="22" t="s">
        <v>1315</v>
      </c>
      <c r="BR984" s="22" t="s">
        <v>1317</v>
      </c>
      <c r="BS984" s="22" t="s">
        <v>1318</v>
      </c>
      <c r="BT984" s="22" t="s">
        <v>1317</v>
      </c>
      <c r="BU984" s="22" t="s">
        <v>1318</v>
      </c>
      <c r="BV984" s="22" t="s">
        <v>1317</v>
      </c>
      <c r="BW984" s="22" t="s">
        <v>1311</v>
      </c>
      <c r="BX984" s="20">
        <v>15</v>
      </c>
      <c r="BY984" s="20">
        <v>0</v>
      </c>
      <c r="BZ984" s="20">
        <v>3</v>
      </c>
      <c r="CA984" s="20">
        <v>221</v>
      </c>
      <c r="CB984" s="20">
        <v>0</v>
      </c>
      <c r="CC984" s="20">
        <v>0</v>
      </c>
      <c r="CD984" s="22" t="s">
        <v>1315</v>
      </c>
      <c r="CE984" s="22" t="s">
        <v>1315</v>
      </c>
      <c r="CF984" s="22" t="s">
        <v>1315</v>
      </c>
      <c r="CG984" s="22" t="s">
        <v>1315</v>
      </c>
      <c r="CH984" s="22" t="s">
        <v>1315</v>
      </c>
      <c r="CI984" s="22" t="s">
        <v>1315</v>
      </c>
      <c r="CJ984" s="149" t="s">
        <v>3416</v>
      </c>
      <c r="CK984" s="241" t="s">
        <v>1124</v>
      </c>
    </row>
    <row r="985" spans="1:89" ht="15" customHeight="1" x14ac:dyDescent="0.35">
      <c r="A985" s="17"/>
      <c r="B985" s="313">
        <v>56050</v>
      </c>
      <c r="C985" s="8" t="s">
        <v>574</v>
      </c>
      <c r="D985" s="18">
        <v>16</v>
      </c>
      <c r="E985" s="131"/>
      <c r="F985" s="22"/>
      <c r="G985" s="132"/>
      <c r="H985" s="22"/>
      <c r="I985" s="22"/>
      <c r="J985" s="22"/>
      <c r="K985" s="22"/>
      <c r="L985" s="22"/>
      <c r="M985" s="133"/>
      <c r="N985" s="22"/>
      <c r="O985" s="22"/>
      <c r="P985" s="22"/>
      <c r="Q985" s="20"/>
      <c r="R985" s="20"/>
      <c r="S985" s="20"/>
      <c r="T985" s="20"/>
      <c r="U985" s="20"/>
      <c r="V985" s="20"/>
      <c r="W985" s="20"/>
      <c r="X985" s="20"/>
      <c r="Y985" s="20"/>
      <c r="Z985" s="20"/>
      <c r="AA985" s="20"/>
      <c r="AB985" s="22"/>
      <c r="AC985" s="20"/>
      <c r="AD985" s="20"/>
      <c r="AE985" s="20"/>
      <c r="AF985" s="20" t="s">
        <v>1124</v>
      </c>
      <c r="AG985" s="20" t="s">
        <v>1124</v>
      </c>
      <c r="AH985" s="20" t="s">
        <v>1124</v>
      </c>
      <c r="AI985" s="328"/>
      <c r="AJ985" s="328"/>
      <c r="AK985" s="328"/>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0"/>
      <c r="BY985" s="20"/>
      <c r="BZ985" s="20"/>
      <c r="CA985" s="20"/>
      <c r="CB985" s="20"/>
      <c r="CC985" s="20"/>
      <c r="CD985" s="22"/>
      <c r="CE985" s="22"/>
      <c r="CF985" s="22"/>
      <c r="CG985" s="22"/>
      <c r="CH985" s="22"/>
      <c r="CI985" s="22"/>
      <c r="CJ985" s="149"/>
      <c r="CK985" s="241"/>
    </row>
    <row r="986" spans="1:89" ht="15" customHeight="1" x14ac:dyDescent="0.35">
      <c r="A986" s="17"/>
      <c r="B986" s="313">
        <v>51030</v>
      </c>
      <c r="C986" s="8" t="s">
        <v>502</v>
      </c>
      <c r="D986" s="18">
        <v>4</v>
      </c>
      <c r="E986" s="131" t="s">
        <v>1309</v>
      </c>
      <c r="F986" s="22" t="s">
        <v>1309</v>
      </c>
      <c r="G986" s="132" t="s">
        <v>1309</v>
      </c>
      <c r="H986" s="22" t="s">
        <v>1311</v>
      </c>
      <c r="I986" s="22" t="s">
        <v>1327</v>
      </c>
      <c r="J986" s="22" t="s">
        <v>1327</v>
      </c>
      <c r="K986" s="22" t="s">
        <v>1319</v>
      </c>
      <c r="L986" s="22" t="s">
        <v>1309</v>
      </c>
      <c r="M986" s="133" t="s">
        <v>1311</v>
      </c>
      <c r="N986" s="22" t="s">
        <v>1311</v>
      </c>
      <c r="O986" s="22" t="s">
        <v>1309</v>
      </c>
      <c r="P986" s="22" t="s">
        <v>1309</v>
      </c>
      <c r="Q986" s="20">
        <v>0</v>
      </c>
      <c r="R986" s="20">
        <v>0</v>
      </c>
      <c r="S986" s="20">
        <v>0</v>
      </c>
      <c r="T986" s="20">
        <v>0</v>
      </c>
      <c r="U986" s="20">
        <v>0</v>
      </c>
      <c r="V986" s="20">
        <v>24.15</v>
      </c>
      <c r="W986" s="20">
        <v>0</v>
      </c>
      <c r="X986" s="20">
        <v>0</v>
      </c>
      <c r="Y986" s="20">
        <v>0</v>
      </c>
      <c r="Z986" s="20">
        <v>0</v>
      </c>
      <c r="AA986" s="20" t="s">
        <v>1309</v>
      </c>
      <c r="AB986" s="22" t="s">
        <v>1309</v>
      </c>
      <c r="AC986" s="20">
        <v>0</v>
      </c>
      <c r="AD986" s="20">
        <v>0</v>
      </c>
      <c r="AE986" s="20">
        <v>0</v>
      </c>
      <c r="AF986" s="20">
        <v>0</v>
      </c>
      <c r="AG986" s="20">
        <v>0</v>
      </c>
      <c r="AH986" s="20">
        <v>0</v>
      </c>
      <c r="AI986" s="328" t="s">
        <v>1328</v>
      </c>
      <c r="AJ986" s="328" t="s">
        <v>1328</v>
      </c>
      <c r="AK986" s="328" t="s">
        <v>1328</v>
      </c>
      <c r="AL986" s="22" t="s">
        <v>1329</v>
      </c>
      <c r="AM986" s="22" t="s">
        <v>1330</v>
      </c>
      <c r="AN986" s="22" t="s">
        <v>1317</v>
      </c>
      <c r="AO986" s="22" t="s">
        <v>1318</v>
      </c>
      <c r="AP986" s="22" t="s">
        <v>1318</v>
      </c>
      <c r="AQ986" s="22" t="s">
        <v>1318</v>
      </c>
      <c r="AR986" s="22" t="s">
        <v>1317</v>
      </c>
      <c r="AS986" s="22" t="s">
        <v>1318</v>
      </c>
      <c r="AT986" s="22" t="s">
        <v>1317</v>
      </c>
      <c r="AU986" s="22" t="s">
        <v>1318</v>
      </c>
      <c r="AV986" s="22" t="s">
        <v>1317</v>
      </c>
      <c r="AW986" s="22" t="s">
        <v>1318</v>
      </c>
      <c r="AX986" s="22" t="s">
        <v>1317</v>
      </c>
      <c r="AY986" s="22" t="s">
        <v>1318</v>
      </c>
      <c r="AZ986" s="22" t="s">
        <v>1317</v>
      </c>
      <c r="BA986" s="22" t="s">
        <v>1318</v>
      </c>
      <c r="BB986" s="22" t="s">
        <v>1309</v>
      </c>
      <c r="BC986" s="22" t="s">
        <v>1309</v>
      </c>
      <c r="BD986" s="22" t="s">
        <v>1309</v>
      </c>
      <c r="BE986" s="22" t="s">
        <v>1309</v>
      </c>
      <c r="BF986" s="22" t="s">
        <v>1309</v>
      </c>
      <c r="BG986" s="22" t="s">
        <v>1309</v>
      </c>
      <c r="BH986" s="22" t="s">
        <v>1317</v>
      </c>
      <c r="BI986" s="22" t="s">
        <v>1318</v>
      </c>
      <c r="BJ986" s="22" t="s">
        <v>1319</v>
      </c>
      <c r="BK986" s="22" t="s">
        <v>1309</v>
      </c>
      <c r="BL986" s="22" t="s">
        <v>1317</v>
      </c>
      <c r="BM986" s="22" t="s">
        <v>1311</v>
      </c>
      <c r="BN986" s="22" t="s">
        <v>1309</v>
      </c>
      <c r="BO986" s="22" t="s">
        <v>1309</v>
      </c>
      <c r="BP986" s="22" t="s">
        <v>1317</v>
      </c>
      <c r="BQ986" s="22" t="s">
        <v>1318</v>
      </c>
      <c r="BR986" s="22" t="s">
        <v>1317</v>
      </c>
      <c r="BS986" s="22" t="s">
        <v>1318</v>
      </c>
      <c r="BT986" s="22" t="s">
        <v>1317</v>
      </c>
      <c r="BU986" s="22" t="s">
        <v>1318</v>
      </c>
      <c r="BV986" s="22" t="s">
        <v>1317</v>
      </c>
      <c r="BW986" s="22" t="s">
        <v>1318</v>
      </c>
      <c r="BX986" s="20">
        <v>33</v>
      </c>
      <c r="BY986" s="20">
        <v>8</v>
      </c>
      <c r="BZ986" s="20">
        <v>0</v>
      </c>
      <c r="CA986" s="20">
        <v>129</v>
      </c>
      <c r="CB986" s="20">
        <v>12</v>
      </c>
      <c r="CC986" s="20">
        <v>0</v>
      </c>
      <c r="CD986" s="22" t="s">
        <v>1331</v>
      </c>
      <c r="CE986" s="22" t="s">
        <v>1331</v>
      </c>
      <c r="CF986" s="22" t="s">
        <v>1315</v>
      </c>
      <c r="CG986" s="22" t="s">
        <v>1315</v>
      </c>
      <c r="CH986" s="22" t="s">
        <v>1317</v>
      </c>
      <c r="CI986" s="22" t="s">
        <v>1318</v>
      </c>
      <c r="CJ986" s="149" t="s">
        <v>1124</v>
      </c>
      <c r="CK986" s="241" t="s">
        <v>1124</v>
      </c>
    </row>
    <row r="987" spans="1:89" ht="15" customHeight="1" x14ac:dyDescent="0.35">
      <c r="A987" s="17"/>
      <c r="B987" s="313">
        <v>35020</v>
      </c>
      <c r="C987" s="8" t="s">
        <v>306</v>
      </c>
      <c r="D987" s="18">
        <v>4</v>
      </c>
      <c r="E987" s="131" t="s">
        <v>1309</v>
      </c>
      <c r="F987" s="22" t="s">
        <v>1309</v>
      </c>
      <c r="G987" s="132" t="s">
        <v>1309</v>
      </c>
      <c r="H987" s="22" t="s">
        <v>1311</v>
      </c>
      <c r="I987" s="22" t="s">
        <v>1327</v>
      </c>
      <c r="J987" s="22" t="s">
        <v>1327</v>
      </c>
      <c r="K987" s="22" t="s">
        <v>1319</v>
      </c>
      <c r="L987" s="22" t="s">
        <v>1309</v>
      </c>
      <c r="M987" s="133" t="s">
        <v>1311</v>
      </c>
      <c r="N987" s="22" t="s">
        <v>1311</v>
      </c>
      <c r="O987" s="22" t="s">
        <v>1314</v>
      </c>
      <c r="P987" s="22" t="s">
        <v>1318</v>
      </c>
      <c r="Q987" s="20">
        <v>15.53</v>
      </c>
      <c r="R987" s="20">
        <v>15.53</v>
      </c>
      <c r="S987" s="20">
        <v>15.53</v>
      </c>
      <c r="T987" s="20">
        <v>15.53</v>
      </c>
      <c r="U987" s="20">
        <v>0</v>
      </c>
      <c r="V987" s="20">
        <v>0</v>
      </c>
      <c r="W987" s="20">
        <v>0</v>
      </c>
      <c r="X987" s="20">
        <v>0</v>
      </c>
      <c r="Y987" s="20">
        <v>0</v>
      </c>
      <c r="Z987" s="20">
        <v>0</v>
      </c>
      <c r="AA987" s="20" t="s">
        <v>1317</v>
      </c>
      <c r="AB987" s="22" t="s">
        <v>1311</v>
      </c>
      <c r="AC987" s="20">
        <v>0</v>
      </c>
      <c r="AD987" s="20">
        <v>3</v>
      </c>
      <c r="AE987" s="20">
        <v>3</v>
      </c>
      <c r="AF987" s="20">
        <v>0</v>
      </c>
      <c r="AG987" s="20">
        <v>2</v>
      </c>
      <c r="AH987" s="20">
        <v>3</v>
      </c>
      <c r="AI987" s="328" t="s">
        <v>1328</v>
      </c>
      <c r="AJ987" s="328">
        <v>8.0428954423592494</v>
      </c>
      <c r="AK987" s="328">
        <v>8.0428954423592494</v>
      </c>
      <c r="AL987" s="22" t="s">
        <v>1329</v>
      </c>
      <c r="AM987" s="22" t="s">
        <v>1330</v>
      </c>
      <c r="AN987" s="22" t="s">
        <v>1315</v>
      </c>
      <c r="AO987" s="22" t="s">
        <v>1315</v>
      </c>
      <c r="AP987" s="22" t="s">
        <v>1315</v>
      </c>
      <c r="AQ987" s="22" t="s">
        <v>1315</v>
      </c>
      <c r="AR987" s="22" t="s">
        <v>1317</v>
      </c>
      <c r="AS987" s="22" t="s">
        <v>1318</v>
      </c>
      <c r="AT987" s="22" t="s">
        <v>1309</v>
      </c>
      <c r="AU987" s="22" t="s">
        <v>1309</v>
      </c>
      <c r="AV987" s="22" t="s">
        <v>1317</v>
      </c>
      <c r="AW987" s="22" t="s">
        <v>1318</v>
      </c>
      <c r="AX987" s="22" t="s">
        <v>1317</v>
      </c>
      <c r="AY987" s="22" t="s">
        <v>1318</v>
      </c>
      <c r="AZ987" s="22" t="s">
        <v>1309</v>
      </c>
      <c r="BA987" s="22" t="s">
        <v>1309</v>
      </c>
      <c r="BB987" s="22" t="s">
        <v>1309</v>
      </c>
      <c r="BC987" s="22" t="s">
        <v>1309</v>
      </c>
      <c r="BD987" s="22" t="s">
        <v>1315</v>
      </c>
      <c r="BE987" s="22" t="s">
        <v>1315</v>
      </c>
      <c r="BF987" s="22" t="s">
        <v>1315</v>
      </c>
      <c r="BG987" s="22" t="s">
        <v>1315</v>
      </c>
      <c r="BH987" s="22" t="s">
        <v>1317</v>
      </c>
      <c r="BI987" s="22" t="s">
        <v>1318</v>
      </c>
      <c r="BJ987" s="22" t="s">
        <v>1319</v>
      </c>
      <c r="BK987" s="22" t="s">
        <v>1311</v>
      </c>
      <c r="BL987" s="22" t="s">
        <v>1319</v>
      </c>
      <c r="BM987" s="22" t="s">
        <v>1311</v>
      </c>
      <c r="BN987" s="22" t="s">
        <v>1309</v>
      </c>
      <c r="BO987" s="22" t="s">
        <v>1309</v>
      </c>
      <c r="BP987" s="22" t="s">
        <v>1309</v>
      </c>
      <c r="BQ987" s="22" t="s">
        <v>1309</v>
      </c>
      <c r="BR987" s="22" t="s">
        <v>1309</v>
      </c>
      <c r="BS987" s="22" t="s">
        <v>1309</v>
      </c>
      <c r="BT987" s="22" t="s">
        <v>1315</v>
      </c>
      <c r="BU987" s="22" t="s">
        <v>1315</v>
      </c>
      <c r="BV987" s="22" t="s">
        <v>1317</v>
      </c>
      <c r="BW987" s="22" t="s">
        <v>1318</v>
      </c>
      <c r="BX987" s="20">
        <v>0</v>
      </c>
      <c r="BY987" s="20">
        <v>2</v>
      </c>
      <c r="BZ987" s="20">
        <v>28</v>
      </c>
      <c r="CA987" s="20">
        <v>0</v>
      </c>
      <c r="CB987" s="20">
        <v>3</v>
      </c>
      <c r="CC987" s="20">
        <v>343</v>
      </c>
      <c r="CD987" s="22" t="s">
        <v>1317</v>
      </c>
      <c r="CE987" s="22" t="s">
        <v>1318</v>
      </c>
      <c r="CF987" s="22" t="s">
        <v>1317</v>
      </c>
      <c r="CG987" s="22" t="s">
        <v>1318</v>
      </c>
      <c r="CH987" s="22" t="s">
        <v>1317</v>
      </c>
      <c r="CI987" s="22" t="s">
        <v>1318</v>
      </c>
      <c r="CJ987" s="149" t="s">
        <v>2801</v>
      </c>
      <c r="CK987" s="241" t="s">
        <v>1124</v>
      </c>
    </row>
    <row r="988" spans="1:89" ht="15" customHeight="1" x14ac:dyDescent="0.35">
      <c r="A988" s="17"/>
      <c r="B988" s="313">
        <v>27070</v>
      </c>
      <c r="C988" s="8" t="s">
        <v>187</v>
      </c>
      <c r="D988" s="18">
        <v>12</v>
      </c>
      <c r="E988" s="131"/>
      <c r="F988" s="22"/>
      <c r="G988" s="132"/>
      <c r="H988" s="22"/>
      <c r="I988" s="22"/>
      <c r="J988" s="22"/>
      <c r="K988" s="22"/>
      <c r="L988" s="22"/>
      <c r="M988" s="133"/>
      <c r="N988" s="22"/>
      <c r="O988" s="22"/>
      <c r="P988" s="22"/>
      <c r="Q988" s="20"/>
      <c r="R988" s="20"/>
      <c r="S988" s="20"/>
      <c r="T988" s="20"/>
      <c r="U988" s="20"/>
      <c r="V988" s="20"/>
      <c r="W988" s="20"/>
      <c r="X988" s="20"/>
      <c r="Y988" s="20"/>
      <c r="Z988" s="20"/>
      <c r="AA988" s="20"/>
      <c r="AB988" s="22"/>
      <c r="AC988" s="20"/>
      <c r="AD988" s="20"/>
      <c r="AE988" s="20"/>
      <c r="AF988" s="20" t="s">
        <v>1124</v>
      </c>
      <c r="AG988" s="20" t="s">
        <v>1124</v>
      </c>
      <c r="AH988" s="20" t="s">
        <v>1124</v>
      </c>
      <c r="AI988" s="328"/>
      <c r="AJ988" s="328"/>
      <c r="AK988" s="328"/>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0"/>
      <c r="BY988" s="20"/>
      <c r="BZ988" s="20"/>
      <c r="CA988" s="20"/>
      <c r="CB988" s="20"/>
      <c r="CC988" s="20"/>
      <c r="CD988" s="22"/>
      <c r="CE988" s="22"/>
      <c r="CF988" s="22"/>
      <c r="CG988" s="22"/>
      <c r="CH988" s="22"/>
      <c r="CI988" s="22"/>
      <c r="CJ988" s="149"/>
      <c r="CK988" s="241"/>
    </row>
    <row r="989" spans="1:89" ht="15" customHeight="1" x14ac:dyDescent="0.35">
      <c r="A989" s="17"/>
      <c r="B989" s="313">
        <v>15058</v>
      </c>
      <c r="C989" s="8" t="s">
        <v>82</v>
      </c>
      <c r="D989" s="18">
        <v>3</v>
      </c>
      <c r="E989" s="131" t="s">
        <v>1309</v>
      </c>
      <c r="F989" s="22" t="s">
        <v>1309</v>
      </c>
      <c r="G989" s="132" t="s">
        <v>1309</v>
      </c>
      <c r="H989" s="22" t="s">
        <v>1311</v>
      </c>
      <c r="I989" s="22" t="s">
        <v>1327</v>
      </c>
      <c r="J989" s="22" t="s">
        <v>1327</v>
      </c>
      <c r="K989" s="22" t="s">
        <v>1319</v>
      </c>
      <c r="L989" s="22" t="s">
        <v>1311</v>
      </c>
      <c r="M989" s="133" t="s">
        <v>1311</v>
      </c>
      <c r="N989" s="22" t="s">
        <v>1311</v>
      </c>
      <c r="O989" s="22" t="s">
        <v>1314</v>
      </c>
      <c r="P989" s="22" t="s">
        <v>1318</v>
      </c>
      <c r="Q989" s="20">
        <v>12.22</v>
      </c>
      <c r="R989" s="20">
        <v>12.22</v>
      </c>
      <c r="S989" s="20">
        <v>0</v>
      </c>
      <c r="T989" s="20">
        <v>0</v>
      </c>
      <c r="U989" s="20">
        <v>0</v>
      </c>
      <c r="V989" s="20">
        <v>0</v>
      </c>
      <c r="W989" s="20">
        <v>0</v>
      </c>
      <c r="X989" s="20">
        <v>0</v>
      </c>
      <c r="Y989" s="20">
        <v>0</v>
      </c>
      <c r="Z989" s="20">
        <v>0</v>
      </c>
      <c r="AA989" s="20" t="s">
        <v>1309</v>
      </c>
      <c r="AB989" s="22" t="s">
        <v>1309</v>
      </c>
      <c r="AC989" s="20">
        <v>1</v>
      </c>
      <c r="AD989" s="20">
        <v>0</v>
      </c>
      <c r="AE989" s="20">
        <v>0</v>
      </c>
      <c r="AF989" s="20">
        <v>1</v>
      </c>
      <c r="AG989" s="20">
        <v>0</v>
      </c>
      <c r="AH989" s="20">
        <v>0</v>
      </c>
      <c r="AI989" s="328">
        <v>6.9974109579455597</v>
      </c>
      <c r="AJ989" s="328" t="s">
        <v>1328</v>
      </c>
      <c r="AK989" s="328" t="s">
        <v>1328</v>
      </c>
      <c r="AL989" s="22" t="s">
        <v>1329</v>
      </c>
      <c r="AM989" s="22" t="s">
        <v>1330</v>
      </c>
      <c r="AN989" s="22" t="s">
        <v>1317</v>
      </c>
      <c r="AO989" s="22" t="s">
        <v>1318</v>
      </c>
      <c r="AP989" s="22" t="s">
        <v>1318</v>
      </c>
      <c r="AQ989" s="22" t="s">
        <v>1318</v>
      </c>
      <c r="AR989" s="22" t="s">
        <v>1317</v>
      </c>
      <c r="AS989" s="22" t="s">
        <v>1318</v>
      </c>
      <c r="AT989" s="22" t="s">
        <v>1317</v>
      </c>
      <c r="AU989" s="22" t="s">
        <v>1311</v>
      </c>
      <c r="AV989" s="22" t="s">
        <v>1317</v>
      </c>
      <c r="AW989" s="22" t="s">
        <v>1318</v>
      </c>
      <c r="AX989" s="22" t="s">
        <v>1317</v>
      </c>
      <c r="AY989" s="22" t="s">
        <v>1318</v>
      </c>
      <c r="AZ989" s="22" t="s">
        <v>1309</v>
      </c>
      <c r="BA989" s="22" t="s">
        <v>1309</v>
      </c>
      <c r="BB989" s="22" t="s">
        <v>1309</v>
      </c>
      <c r="BC989" s="22" t="s">
        <v>1309</v>
      </c>
      <c r="BD989" s="22" t="s">
        <v>1317</v>
      </c>
      <c r="BE989" s="22" t="s">
        <v>1318</v>
      </c>
      <c r="BF989" s="22" t="s">
        <v>1317</v>
      </c>
      <c r="BG989" s="22" t="s">
        <v>1318</v>
      </c>
      <c r="BH989" s="22" t="s">
        <v>1309</v>
      </c>
      <c r="BI989" s="22" t="s">
        <v>1309</v>
      </c>
      <c r="BJ989" s="22" t="s">
        <v>1319</v>
      </c>
      <c r="BK989" s="22" t="s">
        <v>1311</v>
      </c>
      <c r="BL989" s="22" t="s">
        <v>1317</v>
      </c>
      <c r="BM989" s="22" t="s">
        <v>1318</v>
      </c>
      <c r="BN989" s="22" t="s">
        <v>1309</v>
      </c>
      <c r="BO989" s="22" t="s">
        <v>1309</v>
      </c>
      <c r="BP989" s="22" t="s">
        <v>1317</v>
      </c>
      <c r="BQ989" s="22" t="s">
        <v>1318</v>
      </c>
      <c r="BR989" s="22" t="s">
        <v>1309</v>
      </c>
      <c r="BS989" s="22" t="s">
        <v>1309</v>
      </c>
      <c r="BT989" s="22" t="s">
        <v>1317</v>
      </c>
      <c r="BU989" s="22" t="s">
        <v>1318</v>
      </c>
      <c r="BV989" s="22" t="s">
        <v>1317</v>
      </c>
      <c r="BW989" s="22" t="s">
        <v>1318</v>
      </c>
      <c r="BX989" s="20">
        <v>42</v>
      </c>
      <c r="BY989" s="20">
        <v>0</v>
      </c>
      <c r="BZ989" s="20">
        <v>18</v>
      </c>
      <c r="CA989" s="20">
        <v>20</v>
      </c>
      <c r="CB989" s="20">
        <v>0</v>
      </c>
      <c r="CC989" s="20">
        <v>468</v>
      </c>
      <c r="CD989" s="22" t="s">
        <v>1345</v>
      </c>
      <c r="CE989" s="22" t="s">
        <v>1321</v>
      </c>
      <c r="CF989" s="22" t="s">
        <v>1331</v>
      </c>
      <c r="CG989" s="22" t="s">
        <v>1331</v>
      </c>
      <c r="CH989" s="22" t="s">
        <v>1317</v>
      </c>
      <c r="CI989" s="22" t="s">
        <v>1318</v>
      </c>
      <c r="CJ989" s="149" t="s">
        <v>1124</v>
      </c>
      <c r="CK989" s="241" t="s">
        <v>1124</v>
      </c>
    </row>
    <row r="990" spans="1:89" ht="15" customHeight="1" x14ac:dyDescent="0.35">
      <c r="A990" s="17"/>
      <c r="B990" s="313">
        <v>5055</v>
      </c>
      <c r="C990" s="8" t="s">
        <v>1052</v>
      </c>
      <c r="D990" s="18">
        <v>11</v>
      </c>
      <c r="E990" s="131" t="s">
        <v>1309</v>
      </c>
      <c r="F990" s="22" t="s">
        <v>1309</v>
      </c>
      <c r="G990" s="132" t="s">
        <v>1309</v>
      </c>
      <c r="H990" s="22" t="s">
        <v>1311</v>
      </c>
      <c r="I990" s="22" t="s">
        <v>1327</v>
      </c>
      <c r="J990" s="22" t="s">
        <v>1327</v>
      </c>
      <c r="K990" s="22" t="s">
        <v>1314</v>
      </c>
      <c r="L990" s="22" t="s">
        <v>1311</v>
      </c>
      <c r="M990" s="133" t="s">
        <v>1311</v>
      </c>
      <c r="N990" s="22" t="s">
        <v>1311</v>
      </c>
      <c r="O990" s="22" t="s">
        <v>1314</v>
      </c>
      <c r="P990" s="22" t="s">
        <v>1318</v>
      </c>
      <c r="Q990" s="20">
        <v>0</v>
      </c>
      <c r="R990" s="20">
        <v>0</v>
      </c>
      <c r="S990" s="20">
        <v>0</v>
      </c>
      <c r="T990" s="20">
        <v>0</v>
      </c>
      <c r="U990" s="20">
        <v>25.79</v>
      </c>
      <c r="V990" s="20">
        <v>25.79</v>
      </c>
      <c r="W990" s="20">
        <v>0</v>
      </c>
      <c r="X990" s="20">
        <v>0</v>
      </c>
      <c r="Y990" s="20">
        <v>0</v>
      </c>
      <c r="Z990" s="20">
        <v>0</v>
      </c>
      <c r="AA990" s="20" t="s">
        <v>1309</v>
      </c>
      <c r="AB990" s="22" t="s">
        <v>1309</v>
      </c>
      <c r="AC990" s="20">
        <v>1</v>
      </c>
      <c r="AD990" s="20">
        <v>0</v>
      </c>
      <c r="AE990" s="20">
        <v>0</v>
      </c>
      <c r="AF990" s="20">
        <v>1</v>
      </c>
      <c r="AG990" s="20">
        <v>0</v>
      </c>
      <c r="AH990" s="20">
        <v>0</v>
      </c>
      <c r="AI990" s="328">
        <v>7.7549437766576199</v>
      </c>
      <c r="AJ990" s="328" t="s">
        <v>1328</v>
      </c>
      <c r="AK990" s="328" t="s">
        <v>1328</v>
      </c>
      <c r="AL990" s="22" t="s">
        <v>1329</v>
      </c>
      <c r="AM990" s="22" t="s">
        <v>1330</v>
      </c>
      <c r="AN990" s="22" t="s">
        <v>1317</v>
      </c>
      <c r="AO990" s="22" t="s">
        <v>1318</v>
      </c>
      <c r="AP990" s="22" t="s">
        <v>1318</v>
      </c>
      <c r="AQ990" s="22" t="s">
        <v>1318</v>
      </c>
      <c r="AR990" s="22" t="s">
        <v>1317</v>
      </c>
      <c r="AS990" s="22" t="s">
        <v>1318</v>
      </c>
      <c r="AT990" s="22" t="s">
        <v>1309</v>
      </c>
      <c r="AU990" s="22" t="s">
        <v>1309</v>
      </c>
      <c r="AV990" s="22" t="s">
        <v>1317</v>
      </c>
      <c r="AW990" s="22" t="s">
        <v>1318</v>
      </c>
      <c r="AX990" s="22" t="s">
        <v>1317</v>
      </c>
      <c r="AY990" s="22" t="s">
        <v>1318</v>
      </c>
      <c r="AZ990" s="22" t="s">
        <v>1317</v>
      </c>
      <c r="BA990" s="22" t="s">
        <v>1318</v>
      </c>
      <c r="BB990" s="22" t="s">
        <v>1309</v>
      </c>
      <c r="BC990" s="22" t="s">
        <v>1309</v>
      </c>
      <c r="BD990" s="22" t="s">
        <v>1317</v>
      </c>
      <c r="BE990" s="22" t="s">
        <v>1318</v>
      </c>
      <c r="BF990" s="22" t="s">
        <v>1317</v>
      </c>
      <c r="BG990" s="22" t="s">
        <v>1318</v>
      </c>
      <c r="BH990" s="22" t="s">
        <v>1317</v>
      </c>
      <c r="BI990" s="22" t="s">
        <v>1318</v>
      </c>
      <c r="BJ990" s="22" t="s">
        <v>1317</v>
      </c>
      <c r="BK990" s="22" t="s">
        <v>1318</v>
      </c>
      <c r="BL990" s="22" t="s">
        <v>1317</v>
      </c>
      <c r="BM990" s="22" t="s">
        <v>1311</v>
      </c>
      <c r="BN990" s="22" t="s">
        <v>1309</v>
      </c>
      <c r="BO990" s="22" t="s">
        <v>1309</v>
      </c>
      <c r="BP990" s="22" t="s">
        <v>1315</v>
      </c>
      <c r="BQ990" s="22" t="s">
        <v>1315</v>
      </c>
      <c r="BR990" s="22" t="s">
        <v>1309</v>
      </c>
      <c r="BS990" s="22" t="s">
        <v>1309</v>
      </c>
      <c r="BT990" s="22" t="s">
        <v>1315</v>
      </c>
      <c r="BU990" s="22" t="s">
        <v>1315</v>
      </c>
      <c r="BV990" s="22" t="s">
        <v>1317</v>
      </c>
      <c r="BW990" s="22" t="s">
        <v>1318</v>
      </c>
      <c r="BX990" s="20">
        <v>0</v>
      </c>
      <c r="BY990" s="20">
        <v>2</v>
      </c>
      <c r="BZ990" s="20">
        <v>26</v>
      </c>
      <c r="CA990" s="20">
        <v>0</v>
      </c>
      <c r="CB990" s="20">
        <v>1</v>
      </c>
      <c r="CC990" s="20">
        <v>376</v>
      </c>
      <c r="CD990" s="22" t="s">
        <v>1317</v>
      </c>
      <c r="CE990" s="22" t="s">
        <v>1318</v>
      </c>
      <c r="CF990" s="22" t="s">
        <v>1317</v>
      </c>
      <c r="CG990" s="22" t="s">
        <v>1318</v>
      </c>
      <c r="CH990" s="22" t="s">
        <v>1317</v>
      </c>
      <c r="CI990" s="22" t="s">
        <v>1318</v>
      </c>
      <c r="CJ990" s="149" t="s">
        <v>1124</v>
      </c>
      <c r="CK990" s="241" t="s">
        <v>1386</v>
      </c>
    </row>
    <row r="991" spans="1:89" ht="15" customHeight="1" x14ac:dyDescent="0.35">
      <c r="A991" s="17"/>
      <c r="B991" s="313">
        <v>11055</v>
      </c>
      <c r="C991" s="8" t="s">
        <v>27</v>
      </c>
      <c r="D991" s="18">
        <v>1</v>
      </c>
      <c r="E991" s="131" t="s">
        <v>1309</v>
      </c>
      <c r="F991" s="22" t="s">
        <v>1490</v>
      </c>
      <c r="G991" s="132" t="s">
        <v>1309</v>
      </c>
      <c r="H991" s="22" t="s">
        <v>1311</v>
      </c>
      <c r="I991" s="22" t="s">
        <v>1327</v>
      </c>
      <c r="J991" s="22" t="s">
        <v>1327</v>
      </c>
      <c r="K991" s="22" t="s">
        <v>1314</v>
      </c>
      <c r="L991" s="22" t="s">
        <v>1311</v>
      </c>
      <c r="M991" s="133" t="s">
        <v>1311</v>
      </c>
      <c r="N991" s="22" t="s">
        <v>1311</v>
      </c>
      <c r="O991" s="22" t="s">
        <v>1315</v>
      </c>
      <c r="P991" s="22" t="s">
        <v>1315</v>
      </c>
      <c r="Q991" s="20">
        <v>0</v>
      </c>
      <c r="R991" s="20">
        <v>0</v>
      </c>
      <c r="S991" s="20">
        <v>0</v>
      </c>
      <c r="T991" s="20">
        <v>0</v>
      </c>
      <c r="U991" s="20">
        <v>0</v>
      </c>
      <c r="V991" s="20">
        <v>0</v>
      </c>
      <c r="W991" s="20">
        <v>0</v>
      </c>
      <c r="X991" s="20">
        <v>0</v>
      </c>
      <c r="Y991" s="20">
        <v>0</v>
      </c>
      <c r="Z991" s="20">
        <v>0</v>
      </c>
      <c r="AA991" s="20" t="s">
        <v>1317</v>
      </c>
      <c r="AB991" s="22" t="s">
        <v>1318</v>
      </c>
      <c r="AC991" s="20">
        <v>0</v>
      </c>
      <c r="AD991" s="20">
        <v>0</v>
      </c>
      <c r="AE991" s="20">
        <v>1</v>
      </c>
      <c r="AF991" s="20">
        <v>0</v>
      </c>
      <c r="AG991" s="20">
        <v>0</v>
      </c>
      <c r="AH991" s="20">
        <v>1</v>
      </c>
      <c r="AI991" s="328" t="s">
        <v>1328</v>
      </c>
      <c r="AJ991" s="328" t="s">
        <v>1328</v>
      </c>
      <c r="AK991" s="328">
        <v>7.9365079365079367</v>
      </c>
      <c r="AL991" s="22" t="s">
        <v>1329</v>
      </c>
      <c r="AM991" s="22" t="s">
        <v>1330</v>
      </c>
      <c r="AN991" s="22" t="s">
        <v>1317</v>
      </c>
      <c r="AO991" s="22" t="s">
        <v>1318</v>
      </c>
      <c r="AP991" s="22" t="s">
        <v>1318</v>
      </c>
      <c r="AQ991" s="22" t="s">
        <v>1318</v>
      </c>
      <c r="AR991" s="22" t="s">
        <v>1317</v>
      </c>
      <c r="AS991" s="22" t="s">
        <v>1318</v>
      </c>
      <c r="AT991" s="22" t="s">
        <v>1317</v>
      </c>
      <c r="AU991" s="22" t="s">
        <v>1318</v>
      </c>
      <c r="AV991" s="22" t="s">
        <v>1317</v>
      </c>
      <c r="AW991" s="22" t="s">
        <v>1318</v>
      </c>
      <c r="AX991" s="22" t="s">
        <v>1317</v>
      </c>
      <c r="AY991" s="22" t="s">
        <v>1318</v>
      </c>
      <c r="AZ991" s="22" t="s">
        <v>1309</v>
      </c>
      <c r="BA991" s="22" t="s">
        <v>1309</v>
      </c>
      <c r="BB991" s="22" t="s">
        <v>1309</v>
      </c>
      <c r="BC991" s="22" t="s">
        <v>1309</v>
      </c>
      <c r="BD991" s="22" t="s">
        <v>1317</v>
      </c>
      <c r="BE991" s="22" t="s">
        <v>1318</v>
      </c>
      <c r="BF991" s="22" t="s">
        <v>1317</v>
      </c>
      <c r="BG991" s="22" t="s">
        <v>1318</v>
      </c>
      <c r="BH991" s="22" t="s">
        <v>1309</v>
      </c>
      <c r="BI991" s="22" t="s">
        <v>1309</v>
      </c>
      <c r="BJ991" s="22" t="s">
        <v>1317</v>
      </c>
      <c r="BK991" s="22" t="s">
        <v>1318</v>
      </c>
      <c r="BL991" s="22" t="s">
        <v>1317</v>
      </c>
      <c r="BM991" s="22" t="s">
        <v>1318</v>
      </c>
      <c r="BN991" s="22" t="s">
        <v>1309</v>
      </c>
      <c r="BO991" s="22" t="s">
        <v>1309</v>
      </c>
      <c r="BP991" s="22" t="s">
        <v>1317</v>
      </c>
      <c r="BQ991" s="22" t="s">
        <v>1318</v>
      </c>
      <c r="BR991" s="22" t="s">
        <v>1317</v>
      </c>
      <c r="BS991" s="22" t="s">
        <v>1318</v>
      </c>
      <c r="BT991" s="22" t="s">
        <v>1317</v>
      </c>
      <c r="BU991" s="22" t="s">
        <v>1318</v>
      </c>
      <c r="BV991" s="22" t="s">
        <v>1317</v>
      </c>
      <c r="BW991" s="22" t="s">
        <v>1318</v>
      </c>
      <c r="BX991" s="20">
        <v>0</v>
      </c>
      <c r="BY991" s="20">
        <v>0</v>
      </c>
      <c r="BZ991" s="20">
        <v>10</v>
      </c>
      <c r="CA991" s="20">
        <v>0</v>
      </c>
      <c r="CB991" s="20">
        <v>0</v>
      </c>
      <c r="CC991" s="20">
        <v>116</v>
      </c>
      <c r="CD991" s="22" t="s">
        <v>1317</v>
      </c>
      <c r="CE991" s="22" t="s">
        <v>1318</v>
      </c>
      <c r="CF991" s="22" t="s">
        <v>1317</v>
      </c>
      <c r="CG991" s="22" t="s">
        <v>1318</v>
      </c>
      <c r="CH991" s="22" t="s">
        <v>1317</v>
      </c>
      <c r="CI991" s="22" t="s">
        <v>1318</v>
      </c>
      <c r="CJ991" s="149" t="s">
        <v>3429</v>
      </c>
      <c r="CK991" s="241" t="s">
        <v>1679</v>
      </c>
    </row>
    <row r="992" spans="1:89" ht="15" customHeight="1" x14ac:dyDescent="0.35">
      <c r="A992" s="17"/>
      <c r="B992" s="313">
        <v>54090</v>
      </c>
      <c r="C992" s="8" t="s">
        <v>551</v>
      </c>
      <c r="D992" s="18">
        <v>16</v>
      </c>
      <c r="E992" s="131" t="s">
        <v>1309</v>
      </c>
      <c r="F992" s="22" t="s">
        <v>1310</v>
      </c>
      <c r="G992" s="132" t="s">
        <v>1309</v>
      </c>
      <c r="H992" s="22" t="s">
        <v>1311</v>
      </c>
      <c r="I992" s="22" t="s">
        <v>1315</v>
      </c>
      <c r="J992" s="22" t="s">
        <v>1315</v>
      </c>
      <c r="K992" s="22" t="s">
        <v>1314</v>
      </c>
      <c r="L992" s="22" t="s">
        <v>1311</v>
      </c>
      <c r="M992" s="133" t="s">
        <v>1311</v>
      </c>
      <c r="N992" s="22" t="s">
        <v>1311</v>
      </c>
      <c r="O992" s="22" t="s">
        <v>1309</v>
      </c>
      <c r="P992" s="22" t="s">
        <v>1309</v>
      </c>
      <c r="Q992" s="20">
        <v>0</v>
      </c>
      <c r="R992" s="20">
        <v>0</v>
      </c>
      <c r="S992" s="20">
        <v>14.035</v>
      </c>
      <c r="T992" s="20">
        <v>14.035</v>
      </c>
      <c r="U992" s="20">
        <v>0</v>
      </c>
      <c r="V992" s="20">
        <v>0</v>
      </c>
      <c r="W992" s="20">
        <v>0</v>
      </c>
      <c r="X992" s="20">
        <v>0</v>
      </c>
      <c r="Y992" s="20">
        <v>0</v>
      </c>
      <c r="Z992" s="20">
        <v>0</v>
      </c>
      <c r="AA992" s="20" t="s">
        <v>1317</v>
      </c>
      <c r="AB992" s="22" t="s">
        <v>1318</v>
      </c>
      <c r="AC992" s="20">
        <v>0</v>
      </c>
      <c r="AD992" s="20">
        <v>1</v>
      </c>
      <c r="AE992" s="20">
        <v>0</v>
      </c>
      <c r="AF992" s="20">
        <v>0</v>
      </c>
      <c r="AG992" s="20">
        <v>2</v>
      </c>
      <c r="AH992" s="20">
        <v>0</v>
      </c>
      <c r="AI992" s="328" t="s">
        <v>1328</v>
      </c>
      <c r="AJ992" s="328">
        <v>4.5248868778280542</v>
      </c>
      <c r="AK992" s="328" t="s">
        <v>1328</v>
      </c>
      <c r="AL992" s="22" t="s">
        <v>1329</v>
      </c>
      <c r="AM992" s="22" t="s">
        <v>1330</v>
      </c>
      <c r="AN992" s="22" t="s">
        <v>1317</v>
      </c>
      <c r="AO992" s="22" t="s">
        <v>1318</v>
      </c>
      <c r="AP992" s="22" t="s">
        <v>1318</v>
      </c>
      <c r="AQ992" s="22" t="s">
        <v>1318</v>
      </c>
      <c r="AR992" s="22" t="s">
        <v>1317</v>
      </c>
      <c r="AS992" s="22" t="s">
        <v>1318</v>
      </c>
      <c r="AT992" s="22" t="s">
        <v>1317</v>
      </c>
      <c r="AU992" s="22" t="s">
        <v>1318</v>
      </c>
      <c r="AV992" s="22" t="s">
        <v>1317</v>
      </c>
      <c r="AW992" s="22" t="s">
        <v>1318</v>
      </c>
      <c r="AX992" s="22" t="s">
        <v>1317</v>
      </c>
      <c r="AY992" s="22" t="s">
        <v>1318</v>
      </c>
      <c r="AZ992" s="22" t="s">
        <v>1317</v>
      </c>
      <c r="BA992" s="22" t="s">
        <v>1318</v>
      </c>
      <c r="BB992" s="22" t="s">
        <v>1309</v>
      </c>
      <c r="BC992" s="22" t="s">
        <v>1309</v>
      </c>
      <c r="BD992" s="22" t="s">
        <v>1309</v>
      </c>
      <c r="BE992" s="22" t="s">
        <v>1309</v>
      </c>
      <c r="BF992" s="22" t="s">
        <v>1309</v>
      </c>
      <c r="BG992" s="22" t="s">
        <v>1309</v>
      </c>
      <c r="BH992" s="22" t="s">
        <v>1317</v>
      </c>
      <c r="BI992" s="22" t="s">
        <v>1318</v>
      </c>
      <c r="BJ992" s="22" t="s">
        <v>1317</v>
      </c>
      <c r="BK992" s="22" t="s">
        <v>1318</v>
      </c>
      <c r="BL992" s="22" t="s">
        <v>1317</v>
      </c>
      <c r="BM992" s="22" t="s">
        <v>1318</v>
      </c>
      <c r="BN992" s="22" t="s">
        <v>1317</v>
      </c>
      <c r="BO992" s="22" t="s">
        <v>1311</v>
      </c>
      <c r="BP992" s="22" t="s">
        <v>1309</v>
      </c>
      <c r="BQ992" s="22" t="s">
        <v>1309</v>
      </c>
      <c r="BR992" s="22" t="s">
        <v>1317</v>
      </c>
      <c r="BS992" s="22" t="s">
        <v>1318</v>
      </c>
      <c r="BT992" s="22" t="s">
        <v>1317</v>
      </c>
      <c r="BU992" s="22" t="s">
        <v>1318</v>
      </c>
      <c r="BV992" s="22" t="s">
        <v>1309</v>
      </c>
      <c r="BW992" s="22" t="s">
        <v>1309</v>
      </c>
      <c r="BX992" s="20">
        <v>8</v>
      </c>
      <c r="BY992" s="20">
        <v>5</v>
      </c>
      <c r="BZ992" s="20">
        <v>0</v>
      </c>
      <c r="CA992" s="20">
        <v>208</v>
      </c>
      <c r="CB992" s="20">
        <v>0</v>
      </c>
      <c r="CC992" s="20">
        <v>0</v>
      </c>
      <c r="CD992" s="22" t="s">
        <v>1331</v>
      </c>
      <c r="CE992" s="22" t="s">
        <v>1331</v>
      </c>
      <c r="CF992" s="22" t="s">
        <v>1331</v>
      </c>
      <c r="CG992" s="22" t="s">
        <v>1331</v>
      </c>
      <c r="CH992" s="22" t="s">
        <v>1315</v>
      </c>
      <c r="CI992" s="22" t="s">
        <v>1315</v>
      </c>
      <c r="CJ992" s="149" t="s">
        <v>3433</v>
      </c>
      <c r="CK992" s="241" t="s">
        <v>1124</v>
      </c>
    </row>
    <row r="993" spans="1:89" ht="15" customHeight="1" x14ac:dyDescent="0.35">
      <c r="A993" s="17"/>
      <c r="B993" s="313">
        <v>29125</v>
      </c>
      <c r="C993" s="8" t="s">
        <v>216</v>
      </c>
      <c r="D993" s="18">
        <v>12</v>
      </c>
      <c r="E993" s="131"/>
      <c r="F993" s="22"/>
      <c r="G993" s="132"/>
      <c r="H993" s="22"/>
      <c r="I993" s="22"/>
      <c r="J993" s="22"/>
      <c r="K993" s="22"/>
      <c r="L993" s="22"/>
      <c r="M993" s="133"/>
      <c r="N993" s="22"/>
      <c r="O993" s="22"/>
      <c r="P993" s="22"/>
      <c r="Q993" s="20"/>
      <c r="R993" s="20"/>
      <c r="S993" s="20"/>
      <c r="T993" s="20"/>
      <c r="U993" s="20"/>
      <c r="V993" s="20"/>
      <c r="W993" s="20"/>
      <c r="X993" s="20"/>
      <c r="Y993" s="20"/>
      <c r="Z993" s="20"/>
      <c r="AA993" s="20"/>
      <c r="AB993" s="22"/>
      <c r="AC993" s="20"/>
      <c r="AD993" s="20"/>
      <c r="AE993" s="20"/>
      <c r="AF993" s="20" t="s">
        <v>1124</v>
      </c>
      <c r="AG993" s="20" t="s">
        <v>1124</v>
      </c>
      <c r="AH993" s="20" t="s">
        <v>1124</v>
      </c>
      <c r="AI993" s="328"/>
      <c r="AJ993" s="328"/>
      <c r="AK993" s="328"/>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0"/>
      <c r="BY993" s="20"/>
      <c r="BZ993" s="20"/>
      <c r="CA993" s="20"/>
      <c r="CB993" s="20"/>
      <c r="CC993" s="20"/>
      <c r="CD993" s="22"/>
      <c r="CE993" s="22"/>
      <c r="CF993" s="22"/>
      <c r="CG993" s="22"/>
      <c r="CH993" s="22"/>
      <c r="CI993" s="22"/>
      <c r="CJ993" s="149"/>
      <c r="CK993" s="241"/>
    </row>
    <row r="994" spans="1:89" ht="15" customHeight="1" x14ac:dyDescent="0.35">
      <c r="A994" s="17"/>
      <c r="B994" s="313">
        <v>80070</v>
      </c>
      <c r="C994" s="8" t="s">
        <v>814</v>
      </c>
      <c r="D994" s="18">
        <v>7</v>
      </c>
      <c r="E994" s="131"/>
      <c r="F994" s="22"/>
      <c r="G994" s="132"/>
      <c r="H994" s="22"/>
      <c r="I994" s="22"/>
      <c r="J994" s="22"/>
      <c r="K994" s="22"/>
      <c r="L994" s="22"/>
      <c r="M994" s="133"/>
      <c r="N994" s="22"/>
      <c r="O994" s="22"/>
      <c r="P994" s="22"/>
      <c r="Q994" s="20"/>
      <c r="R994" s="20"/>
      <c r="S994" s="20"/>
      <c r="T994" s="20"/>
      <c r="U994" s="20"/>
      <c r="V994" s="20"/>
      <c r="W994" s="20"/>
      <c r="X994" s="20"/>
      <c r="Y994" s="20"/>
      <c r="Z994" s="20"/>
      <c r="AA994" s="20"/>
      <c r="AB994" s="22"/>
      <c r="AC994" s="20"/>
      <c r="AD994" s="20"/>
      <c r="AE994" s="20"/>
      <c r="AF994" s="20" t="s">
        <v>1124</v>
      </c>
      <c r="AG994" s="20" t="s">
        <v>1124</v>
      </c>
      <c r="AH994" s="20" t="s">
        <v>1124</v>
      </c>
      <c r="AI994" s="328"/>
      <c r="AJ994" s="328"/>
      <c r="AK994" s="328"/>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0"/>
      <c r="BY994" s="20"/>
      <c r="BZ994" s="20"/>
      <c r="CA994" s="20"/>
      <c r="CB994" s="20"/>
      <c r="CC994" s="20"/>
      <c r="CD994" s="22"/>
      <c r="CE994" s="22"/>
      <c r="CF994" s="22"/>
      <c r="CG994" s="22"/>
      <c r="CH994" s="22"/>
      <c r="CI994" s="22"/>
      <c r="CJ994" s="149"/>
      <c r="CK994" s="241"/>
    </row>
    <row r="995" spans="1:89" ht="15" customHeight="1" x14ac:dyDescent="0.35">
      <c r="A995" s="17"/>
      <c r="B995" s="313">
        <v>39005</v>
      </c>
      <c r="C995" s="8" t="s">
        <v>337</v>
      </c>
      <c r="D995" s="18">
        <v>17</v>
      </c>
      <c r="E995" s="131"/>
      <c r="F995" s="22"/>
      <c r="G995" s="132"/>
      <c r="H995" s="22"/>
      <c r="I995" s="22"/>
      <c r="J995" s="22"/>
      <c r="K995" s="22"/>
      <c r="L995" s="22"/>
      <c r="M995" s="133"/>
      <c r="N995" s="22"/>
      <c r="O995" s="22"/>
      <c r="P995" s="22"/>
      <c r="Q995" s="20"/>
      <c r="R995" s="20"/>
      <c r="S995" s="20"/>
      <c r="T995" s="20"/>
      <c r="U995" s="20"/>
      <c r="V995" s="20"/>
      <c r="W995" s="20"/>
      <c r="X995" s="20"/>
      <c r="Y995" s="20"/>
      <c r="Z995" s="20"/>
      <c r="AA995" s="20"/>
      <c r="AB995" s="22"/>
      <c r="AC995" s="20"/>
      <c r="AD995" s="20"/>
      <c r="AE995" s="20"/>
      <c r="AF995" s="20" t="s">
        <v>1124</v>
      </c>
      <c r="AG995" s="20" t="s">
        <v>1124</v>
      </c>
      <c r="AH995" s="20" t="s">
        <v>1124</v>
      </c>
      <c r="AI995" s="328"/>
      <c r="AJ995" s="328"/>
      <c r="AK995" s="328"/>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0"/>
      <c r="BY995" s="20"/>
      <c r="BZ995" s="20"/>
      <c r="CA995" s="20"/>
      <c r="CB995" s="20"/>
      <c r="CC995" s="20"/>
      <c r="CD995" s="22"/>
      <c r="CE995" s="22"/>
      <c r="CF995" s="22"/>
      <c r="CG995" s="22"/>
      <c r="CH995" s="22"/>
      <c r="CI995" s="22"/>
      <c r="CJ995" s="149"/>
      <c r="CK995" s="241"/>
    </row>
    <row r="996" spans="1:89" ht="15" customHeight="1" x14ac:dyDescent="0.35">
      <c r="A996" s="17"/>
      <c r="B996" s="313">
        <v>92070</v>
      </c>
      <c r="C996" s="8" t="s">
        <v>957</v>
      </c>
      <c r="D996" s="18">
        <v>2</v>
      </c>
      <c r="E996" s="131" t="s">
        <v>1309</v>
      </c>
      <c r="F996" s="22" t="s">
        <v>1309</v>
      </c>
      <c r="G996" s="132" t="s">
        <v>1309</v>
      </c>
      <c r="H996" s="22" t="s">
        <v>1311</v>
      </c>
      <c r="I996" s="22" t="s">
        <v>1315</v>
      </c>
      <c r="J996" s="22" t="s">
        <v>1315</v>
      </c>
      <c r="K996" s="22" t="s">
        <v>1314</v>
      </c>
      <c r="L996" s="22" t="s">
        <v>1311</v>
      </c>
      <c r="M996" s="133" t="s">
        <v>1311</v>
      </c>
      <c r="N996" s="22" t="s">
        <v>1311</v>
      </c>
      <c r="O996" s="22" t="s">
        <v>1309</v>
      </c>
      <c r="P996" s="22" t="s">
        <v>1309</v>
      </c>
      <c r="Q996" s="20">
        <v>0</v>
      </c>
      <c r="R996" s="20">
        <v>0</v>
      </c>
      <c r="S996" s="20">
        <v>0</v>
      </c>
      <c r="T996" s="20">
        <v>0</v>
      </c>
      <c r="U996" s="20">
        <v>2.8580000000000001</v>
      </c>
      <c r="V996" s="20">
        <v>2.8580000000000001</v>
      </c>
      <c r="W996" s="20">
        <v>0</v>
      </c>
      <c r="X996" s="20">
        <v>0</v>
      </c>
      <c r="Y996" s="20">
        <v>0</v>
      </c>
      <c r="Z996" s="20">
        <v>0</v>
      </c>
      <c r="AA996" s="20" t="s">
        <v>1319</v>
      </c>
      <c r="AB996" s="22" t="s">
        <v>1311</v>
      </c>
      <c r="AC996" s="20">
        <v>0</v>
      </c>
      <c r="AD996" s="20">
        <v>1</v>
      </c>
      <c r="AE996" s="20">
        <v>0</v>
      </c>
      <c r="AF996" s="20">
        <v>0</v>
      </c>
      <c r="AG996" s="20">
        <v>2</v>
      </c>
      <c r="AH996" s="20">
        <v>0</v>
      </c>
      <c r="AI996" s="328" t="s">
        <v>1328</v>
      </c>
      <c r="AJ996" s="328">
        <v>23.255813953488371</v>
      </c>
      <c r="AK996" s="328" t="s">
        <v>1328</v>
      </c>
      <c r="AL996" s="22" t="s">
        <v>1329</v>
      </c>
      <c r="AM996" s="22" t="s">
        <v>1330</v>
      </c>
      <c r="AN996" s="22" t="s">
        <v>1317</v>
      </c>
      <c r="AO996" s="22" t="s">
        <v>1318</v>
      </c>
      <c r="AP996" s="22" t="s">
        <v>1318</v>
      </c>
      <c r="AQ996" s="22" t="s">
        <v>1318</v>
      </c>
      <c r="AR996" s="22" t="s">
        <v>1315</v>
      </c>
      <c r="AS996" s="22" t="s">
        <v>1315</v>
      </c>
      <c r="AT996" s="22" t="s">
        <v>1317</v>
      </c>
      <c r="AU996" s="22" t="s">
        <v>1318</v>
      </c>
      <c r="AV996" s="22" t="s">
        <v>1317</v>
      </c>
      <c r="AW996" s="22" t="s">
        <v>1318</v>
      </c>
      <c r="AX996" s="22" t="s">
        <v>1317</v>
      </c>
      <c r="AY996" s="22" t="s">
        <v>1318</v>
      </c>
      <c r="AZ996" s="22" t="s">
        <v>1309</v>
      </c>
      <c r="BA996" s="22" t="s">
        <v>1309</v>
      </c>
      <c r="BB996" s="22" t="s">
        <v>1309</v>
      </c>
      <c r="BC996" s="22" t="s">
        <v>1309</v>
      </c>
      <c r="BD996" s="22" t="s">
        <v>1317</v>
      </c>
      <c r="BE996" s="22" t="s">
        <v>1318</v>
      </c>
      <c r="BF996" s="22" t="s">
        <v>1309</v>
      </c>
      <c r="BG996" s="22" t="s">
        <v>1309</v>
      </c>
      <c r="BH996" s="22" t="s">
        <v>1309</v>
      </c>
      <c r="BI996" s="22" t="s">
        <v>1309</v>
      </c>
      <c r="BJ996" s="22" t="s">
        <v>1317</v>
      </c>
      <c r="BK996" s="22" t="s">
        <v>1318</v>
      </c>
      <c r="BL996" s="22" t="s">
        <v>1317</v>
      </c>
      <c r="BM996" s="22" t="s">
        <v>1318</v>
      </c>
      <c r="BN996" s="22" t="s">
        <v>1309</v>
      </c>
      <c r="BO996" s="22" t="s">
        <v>1309</v>
      </c>
      <c r="BP996" s="22" t="s">
        <v>1315</v>
      </c>
      <c r="BQ996" s="22" t="s">
        <v>1315</v>
      </c>
      <c r="BR996" s="22" t="s">
        <v>1309</v>
      </c>
      <c r="BS996" s="22" t="s">
        <v>1309</v>
      </c>
      <c r="BT996" s="22" t="s">
        <v>1309</v>
      </c>
      <c r="BU996" s="22" t="s">
        <v>1309</v>
      </c>
      <c r="BV996" s="22" t="s">
        <v>1317</v>
      </c>
      <c r="BW996" s="22" t="s">
        <v>1318</v>
      </c>
      <c r="BX996" s="20">
        <v>2</v>
      </c>
      <c r="BY996" s="20">
        <v>1</v>
      </c>
      <c r="BZ996" s="20">
        <v>0</v>
      </c>
      <c r="CA996" s="20">
        <v>40</v>
      </c>
      <c r="CB996" s="20">
        <v>0</v>
      </c>
      <c r="CC996" s="20">
        <v>0</v>
      </c>
      <c r="CD996" s="22" t="s">
        <v>1331</v>
      </c>
      <c r="CE996" s="22" t="s">
        <v>1331</v>
      </c>
      <c r="CF996" s="22" t="s">
        <v>1331</v>
      </c>
      <c r="CG996" s="22" t="s">
        <v>1331</v>
      </c>
      <c r="CH996" s="22" t="s">
        <v>1317</v>
      </c>
      <c r="CI996" s="22" t="s">
        <v>1318</v>
      </c>
      <c r="CJ996" s="149" t="s">
        <v>3436</v>
      </c>
      <c r="CK996" s="241" t="s">
        <v>3437</v>
      </c>
    </row>
    <row r="997" spans="1:89" ht="15" customHeight="1" x14ac:dyDescent="0.35">
      <c r="A997" s="17"/>
      <c r="B997" s="313">
        <v>37245</v>
      </c>
      <c r="C997" s="8" t="s">
        <v>323</v>
      </c>
      <c r="D997" s="18">
        <v>4</v>
      </c>
      <c r="E997" s="131" t="s">
        <v>1309</v>
      </c>
      <c r="F997" s="22" t="s">
        <v>1309</v>
      </c>
      <c r="G997" s="132" t="s">
        <v>1309</v>
      </c>
      <c r="H997" s="22" t="s">
        <v>1311</v>
      </c>
      <c r="I997" s="22" t="s">
        <v>1315</v>
      </c>
      <c r="J997" s="22" t="s">
        <v>1315</v>
      </c>
      <c r="K997" s="22" t="s">
        <v>1309</v>
      </c>
      <c r="L997" s="22" t="s">
        <v>1309</v>
      </c>
      <c r="M997" s="133" t="s">
        <v>1311</v>
      </c>
      <c r="N997" s="22" t="s">
        <v>1311</v>
      </c>
      <c r="O997" s="22" t="s">
        <v>1309</v>
      </c>
      <c r="P997" s="22" t="s">
        <v>1309</v>
      </c>
      <c r="Q997" s="20">
        <v>0</v>
      </c>
      <c r="R997" s="20">
        <v>0</v>
      </c>
      <c r="S997" s="20">
        <v>0</v>
      </c>
      <c r="T997" s="20">
        <v>0</v>
      </c>
      <c r="U997" s="20">
        <v>13.934999999999999</v>
      </c>
      <c r="V997" s="20">
        <v>0</v>
      </c>
      <c r="W997" s="20">
        <v>0</v>
      </c>
      <c r="X997" s="20">
        <v>0</v>
      </c>
      <c r="Y997" s="20">
        <v>0</v>
      </c>
      <c r="Z997" s="20">
        <v>0</v>
      </c>
      <c r="AA997" s="20" t="s">
        <v>1317</v>
      </c>
      <c r="AB997" s="22" t="s">
        <v>1318</v>
      </c>
      <c r="AC997" s="20">
        <v>1</v>
      </c>
      <c r="AD997" s="20">
        <v>0</v>
      </c>
      <c r="AE997" s="20">
        <v>3</v>
      </c>
      <c r="AF997" s="20">
        <v>15</v>
      </c>
      <c r="AG997" s="20">
        <v>0</v>
      </c>
      <c r="AH997" s="20">
        <v>1</v>
      </c>
      <c r="AI997" s="328">
        <v>5.3821313240043063</v>
      </c>
      <c r="AJ997" s="328" t="s">
        <v>1328</v>
      </c>
      <c r="AK997" s="328">
        <v>7.7922077922077921</v>
      </c>
      <c r="AL997" s="22" t="s">
        <v>1338</v>
      </c>
      <c r="AM997" s="22" t="s">
        <v>1330</v>
      </c>
      <c r="AN997" s="22" t="s">
        <v>1315</v>
      </c>
      <c r="AO997" s="22" t="s">
        <v>1315</v>
      </c>
      <c r="AP997" s="22" t="s">
        <v>1315</v>
      </c>
      <c r="AQ997" s="22" t="s">
        <v>1315</v>
      </c>
      <c r="AR997" s="22" t="s">
        <v>1317</v>
      </c>
      <c r="AS997" s="22" t="s">
        <v>1318</v>
      </c>
      <c r="AT997" s="22" t="s">
        <v>1309</v>
      </c>
      <c r="AU997" s="22" t="s">
        <v>1309</v>
      </c>
      <c r="AV997" s="22" t="s">
        <v>1309</v>
      </c>
      <c r="AW997" s="22" t="s">
        <v>1309</v>
      </c>
      <c r="AX997" s="22" t="s">
        <v>1317</v>
      </c>
      <c r="AY997" s="22" t="s">
        <v>1318</v>
      </c>
      <c r="AZ997" s="22" t="s">
        <v>1309</v>
      </c>
      <c r="BA997" s="22" t="s">
        <v>1309</v>
      </c>
      <c r="BB997" s="22" t="s">
        <v>1309</v>
      </c>
      <c r="BC997" s="22" t="s">
        <v>1309</v>
      </c>
      <c r="BD997" s="22" t="s">
        <v>1309</v>
      </c>
      <c r="BE997" s="22" t="s">
        <v>1309</v>
      </c>
      <c r="BF997" s="22" t="s">
        <v>1309</v>
      </c>
      <c r="BG997" s="22" t="s">
        <v>1309</v>
      </c>
      <c r="BH997" s="22" t="s">
        <v>1309</v>
      </c>
      <c r="BI997" s="22" t="s">
        <v>1309</v>
      </c>
      <c r="BJ997" s="22" t="s">
        <v>1317</v>
      </c>
      <c r="BK997" s="22" t="s">
        <v>1318</v>
      </c>
      <c r="BL997" s="22" t="s">
        <v>1309</v>
      </c>
      <c r="BM997" s="22" t="s">
        <v>1309</v>
      </c>
      <c r="BN997" s="22" t="s">
        <v>1309</v>
      </c>
      <c r="BO997" s="22" t="s">
        <v>1309</v>
      </c>
      <c r="BP997" s="22" t="s">
        <v>1309</v>
      </c>
      <c r="BQ997" s="22" t="s">
        <v>1309</v>
      </c>
      <c r="BR997" s="22" t="s">
        <v>1317</v>
      </c>
      <c r="BS997" s="22" t="s">
        <v>1318</v>
      </c>
      <c r="BT997" s="22" t="s">
        <v>1315</v>
      </c>
      <c r="BU997" s="22" t="s">
        <v>1315</v>
      </c>
      <c r="BV997" s="22" t="s">
        <v>1309</v>
      </c>
      <c r="BW997" s="22" t="s">
        <v>1309</v>
      </c>
      <c r="BX997" s="20">
        <v>29</v>
      </c>
      <c r="BY997" s="20">
        <v>0</v>
      </c>
      <c r="BZ997" s="20">
        <v>42</v>
      </c>
      <c r="CA997" s="20">
        <v>314</v>
      </c>
      <c r="CB997" s="20">
        <v>0</v>
      </c>
      <c r="CC997" s="20">
        <v>0</v>
      </c>
      <c r="CD997" s="22" t="s">
        <v>1345</v>
      </c>
      <c r="CE997" s="22" t="s">
        <v>1318</v>
      </c>
      <c r="CF997" s="22" t="s">
        <v>1315</v>
      </c>
      <c r="CG997" s="22" t="s">
        <v>1315</v>
      </c>
      <c r="CH997" s="22" t="s">
        <v>1315</v>
      </c>
      <c r="CI997" s="22" t="s">
        <v>1315</v>
      </c>
      <c r="CJ997" s="149" t="s">
        <v>1124</v>
      </c>
      <c r="CK997" s="241" t="s">
        <v>1124</v>
      </c>
    </row>
    <row r="998" spans="1:89" ht="15" customHeight="1" x14ac:dyDescent="0.35">
      <c r="A998" s="17"/>
      <c r="B998" s="313">
        <v>70040</v>
      </c>
      <c r="C998" s="8" t="s">
        <v>702</v>
      </c>
      <c r="D998" s="18">
        <v>16</v>
      </c>
      <c r="E998" s="131"/>
      <c r="F998" s="22"/>
      <c r="G998" s="132"/>
      <c r="H998" s="22"/>
      <c r="I998" s="22"/>
      <c r="J998" s="22"/>
      <c r="K998" s="22"/>
      <c r="L998" s="22"/>
      <c r="M998" s="133"/>
      <c r="N998" s="22"/>
      <c r="O998" s="22"/>
      <c r="P998" s="22"/>
      <c r="Q998" s="20"/>
      <c r="R998" s="20"/>
      <c r="S998" s="20"/>
      <c r="T998" s="20"/>
      <c r="U998" s="20"/>
      <c r="V998" s="20"/>
      <c r="W998" s="20"/>
      <c r="X998" s="20"/>
      <c r="Y998" s="20"/>
      <c r="Z998" s="20"/>
      <c r="AA998" s="20"/>
      <c r="AB998" s="22"/>
      <c r="AC998" s="20"/>
      <c r="AD998" s="20"/>
      <c r="AE998" s="20"/>
      <c r="AF998" s="20" t="s">
        <v>1124</v>
      </c>
      <c r="AG998" s="20" t="s">
        <v>1124</v>
      </c>
      <c r="AH998" s="20" t="s">
        <v>1124</v>
      </c>
      <c r="AI998" s="328"/>
      <c r="AJ998" s="328"/>
      <c r="AK998" s="328"/>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0"/>
      <c r="BY998" s="20"/>
      <c r="BZ998" s="20"/>
      <c r="CA998" s="20"/>
      <c r="CB998" s="20"/>
      <c r="CC998" s="20"/>
      <c r="CD998" s="22"/>
      <c r="CE998" s="22"/>
      <c r="CF998" s="22"/>
      <c r="CG998" s="22"/>
      <c r="CH998" s="22"/>
      <c r="CI998" s="22"/>
      <c r="CJ998" s="149"/>
      <c r="CK998" s="241"/>
    </row>
    <row r="999" spans="1:89" ht="15" customHeight="1" x14ac:dyDescent="0.35">
      <c r="A999" s="17"/>
      <c r="B999" s="313">
        <v>60020</v>
      </c>
      <c r="C999" s="8" t="s">
        <v>607</v>
      </c>
      <c r="D999" s="18">
        <v>14</v>
      </c>
      <c r="E999" s="131" t="s">
        <v>1309</v>
      </c>
      <c r="F999" s="22" t="s">
        <v>1309</v>
      </c>
      <c r="G999" s="132" t="s">
        <v>1309</v>
      </c>
      <c r="H999" s="22" t="s">
        <v>1311</v>
      </c>
      <c r="I999" s="22" t="s">
        <v>1327</v>
      </c>
      <c r="J999" s="22" t="s">
        <v>1327</v>
      </c>
      <c r="K999" s="22" t="s">
        <v>1314</v>
      </c>
      <c r="L999" s="22" t="s">
        <v>1311</v>
      </c>
      <c r="M999" s="133" t="s">
        <v>1311</v>
      </c>
      <c r="N999" s="22" t="s">
        <v>1311</v>
      </c>
      <c r="O999" s="22" t="s">
        <v>1309</v>
      </c>
      <c r="P999" s="22" t="s">
        <v>1309</v>
      </c>
      <c r="Q999" s="20">
        <v>0</v>
      </c>
      <c r="R999" s="20">
        <v>0</v>
      </c>
      <c r="S999" s="20">
        <v>0</v>
      </c>
      <c r="T999" s="20">
        <v>0</v>
      </c>
      <c r="U999" s="20">
        <v>27.4</v>
      </c>
      <c r="V999" s="20">
        <v>27.4</v>
      </c>
      <c r="W999" s="20">
        <v>0</v>
      </c>
      <c r="X999" s="20">
        <v>0</v>
      </c>
      <c r="Y999" s="20">
        <v>0</v>
      </c>
      <c r="Z999" s="20">
        <v>0</v>
      </c>
      <c r="AA999" s="20" t="s">
        <v>1319</v>
      </c>
      <c r="AB999" s="22" t="s">
        <v>1311</v>
      </c>
      <c r="AC999" s="20">
        <v>6</v>
      </c>
      <c r="AD999" s="20">
        <v>1</v>
      </c>
      <c r="AE999" s="20">
        <v>0</v>
      </c>
      <c r="AF999" s="20">
        <v>1</v>
      </c>
      <c r="AG999" s="20">
        <v>1</v>
      </c>
      <c r="AH999" s="20">
        <v>0</v>
      </c>
      <c r="AI999" s="328">
        <v>21.897810218978105</v>
      </c>
      <c r="AJ999" s="328">
        <v>0.81632653061224492</v>
      </c>
      <c r="AK999" s="328" t="s">
        <v>1328</v>
      </c>
      <c r="AL999" s="22" t="s">
        <v>1329</v>
      </c>
      <c r="AM999" s="22" t="s">
        <v>1330</v>
      </c>
      <c r="AN999" s="22" t="s">
        <v>1317</v>
      </c>
      <c r="AO999" s="22" t="s">
        <v>1318</v>
      </c>
      <c r="AP999" s="22" t="s">
        <v>1318</v>
      </c>
      <c r="AQ999" s="22" t="s">
        <v>1318</v>
      </c>
      <c r="AR999" s="22" t="s">
        <v>1317</v>
      </c>
      <c r="AS999" s="22" t="s">
        <v>1318</v>
      </c>
      <c r="AT999" s="22" t="s">
        <v>1317</v>
      </c>
      <c r="AU999" s="22" t="s">
        <v>1318</v>
      </c>
      <c r="AV999" s="22" t="s">
        <v>1309</v>
      </c>
      <c r="AW999" s="22" t="s">
        <v>1309</v>
      </c>
      <c r="AX999" s="22" t="s">
        <v>1317</v>
      </c>
      <c r="AY999" s="22" t="s">
        <v>1318</v>
      </c>
      <c r="AZ999" s="22" t="s">
        <v>1309</v>
      </c>
      <c r="BA999" s="22" t="s">
        <v>1309</v>
      </c>
      <c r="BB999" s="22" t="s">
        <v>1309</v>
      </c>
      <c r="BC999" s="22" t="s">
        <v>1309</v>
      </c>
      <c r="BD999" s="22" t="s">
        <v>1309</v>
      </c>
      <c r="BE999" s="22" t="s">
        <v>1309</v>
      </c>
      <c r="BF999" s="22" t="s">
        <v>1309</v>
      </c>
      <c r="BG999" s="22" t="s">
        <v>1309</v>
      </c>
      <c r="BH999" s="22" t="s">
        <v>1309</v>
      </c>
      <c r="BI999" s="22" t="s">
        <v>1309</v>
      </c>
      <c r="BJ999" s="22" t="s">
        <v>1317</v>
      </c>
      <c r="BK999" s="22" t="s">
        <v>1318</v>
      </c>
      <c r="BL999" s="22" t="s">
        <v>1319</v>
      </c>
      <c r="BM999" s="22" t="s">
        <v>1311</v>
      </c>
      <c r="BN999" s="22" t="s">
        <v>1309</v>
      </c>
      <c r="BO999" s="22" t="s">
        <v>1309</v>
      </c>
      <c r="BP999" s="22" t="s">
        <v>1309</v>
      </c>
      <c r="BQ999" s="22" t="s">
        <v>1309</v>
      </c>
      <c r="BR999" s="22" t="s">
        <v>1309</v>
      </c>
      <c r="BS999" s="22" t="s">
        <v>1309</v>
      </c>
      <c r="BT999" s="22" t="s">
        <v>1309</v>
      </c>
      <c r="BU999" s="22" t="s">
        <v>1309</v>
      </c>
      <c r="BV999" s="22" t="s">
        <v>1317</v>
      </c>
      <c r="BW999" s="22" t="s">
        <v>1318</v>
      </c>
      <c r="BX999" s="20">
        <v>55</v>
      </c>
      <c r="BY999" s="20">
        <v>1</v>
      </c>
      <c r="BZ999" s="20">
        <v>8</v>
      </c>
      <c r="CA999" s="20">
        <v>1159</v>
      </c>
      <c r="CB999" s="20">
        <v>1</v>
      </c>
      <c r="CC999" s="20">
        <v>1</v>
      </c>
      <c r="CD999" s="22" t="s">
        <v>1345</v>
      </c>
      <c r="CE999" s="22" t="s">
        <v>1321</v>
      </c>
      <c r="CF999" s="22" t="s">
        <v>1345</v>
      </c>
      <c r="CG999" s="22" t="s">
        <v>1321</v>
      </c>
      <c r="CH999" s="22" t="s">
        <v>1317</v>
      </c>
      <c r="CI999" s="22" t="s">
        <v>1318</v>
      </c>
      <c r="CJ999" s="149" t="s">
        <v>1124</v>
      </c>
      <c r="CK999" s="241" t="s">
        <v>3445</v>
      </c>
    </row>
    <row r="1000" spans="1:89" ht="15" customHeight="1" x14ac:dyDescent="0.35">
      <c r="A1000" s="17"/>
      <c r="B1000" s="313">
        <v>38005</v>
      </c>
      <c r="C1000" s="8" t="s">
        <v>325</v>
      </c>
      <c r="D1000" s="18">
        <v>17</v>
      </c>
      <c r="E1000" s="131" t="s">
        <v>1309</v>
      </c>
      <c r="F1000" s="22" t="s">
        <v>1309</v>
      </c>
      <c r="G1000" s="132" t="s">
        <v>1309</v>
      </c>
      <c r="H1000" s="22" t="s">
        <v>1311</v>
      </c>
      <c r="I1000" s="22" t="s">
        <v>1327</v>
      </c>
      <c r="J1000" s="22" t="s">
        <v>1327</v>
      </c>
      <c r="K1000" s="22" t="s">
        <v>1314</v>
      </c>
      <c r="L1000" s="22" t="s">
        <v>1311</v>
      </c>
      <c r="M1000" s="133" t="s">
        <v>1311</v>
      </c>
      <c r="N1000" s="22" t="s">
        <v>1311</v>
      </c>
      <c r="O1000" s="22" t="s">
        <v>1315</v>
      </c>
      <c r="P1000" s="22" t="s">
        <v>1315</v>
      </c>
      <c r="Q1000" s="20">
        <v>0</v>
      </c>
      <c r="R1000" s="20">
        <v>0</v>
      </c>
      <c r="S1000" s="20">
        <v>0</v>
      </c>
      <c r="T1000" s="20">
        <v>0</v>
      </c>
      <c r="U1000" s="20">
        <v>0</v>
      </c>
      <c r="V1000" s="20">
        <v>0</v>
      </c>
      <c r="W1000" s="20">
        <v>0</v>
      </c>
      <c r="X1000" s="20">
        <v>0</v>
      </c>
      <c r="Y1000" s="20">
        <v>0</v>
      </c>
      <c r="Z1000" s="20">
        <v>0</v>
      </c>
      <c r="AA1000" s="20" t="s">
        <v>1317</v>
      </c>
      <c r="AB1000" s="22" t="s">
        <v>1318</v>
      </c>
      <c r="AC1000" s="20">
        <v>0</v>
      </c>
      <c r="AD1000" s="20">
        <v>0</v>
      </c>
      <c r="AE1000" s="20">
        <v>0</v>
      </c>
      <c r="AF1000" s="20">
        <v>0</v>
      </c>
      <c r="AG1000" s="20">
        <v>0</v>
      </c>
      <c r="AH1000" s="20">
        <v>0</v>
      </c>
      <c r="AI1000" s="328" t="s">
        <v>1328</v>
      </c>
      <c r="AJ1000" s="328" t="s">
        <v>1328</v>
      </c>
      <c r="AK1000" s="328" t="s">
        <v>1328</v>
      </c>
      <c r="AL1000" s="22" t="s">
        <v>1329</v>
      </c>
      <c r="AM1000" s="22" t="s">
        <v>1330</v>
      </c>
      <c r="AN1000" s="22" t="s">
        <v>1317</v>
      </c>
      <c r="AO1000" s="22" t="s">
        <v>1318</v>
      </c>
      <c r="AP1000" s="22" t="s">
        <v>1318</v>
      </c>
      <c r="AQ1000" s="22" t="s">
        <v>1318</v>
      </c>
      <c r="AR1000" s="22" t="s">
        <v>1315</v>
      </c>
      <c r="AS1000" s="22" t="s">
        <v>1315</v>
      </c>
      <c r="AT1000" s="22" t="s">
        <v>1309</v>
      </c>
      <c r="AU1000" s="22" t="s">
        <v>1309</v>
      </c>
      <c r="AV1000" s="22" t="s">
        <v>1317</v>
      </c>
      <c r="AW1000" s="22" t="s">
        <v>1318</v>
      </c>
      <c r="AX1000" s="22" t="s">
        <v>1317</v>
      </c>
      <c r="AY1000" s="22" t="s">
        <v>1318</v>
      </c>
      <c r="AZ1000" s="22" t="s">
        <v>1317</v>
      </c>
      <c r="BA1000" s="22" t="s">
        <v>1311</v>
      </c>
      <c r="BB1000" s="22" t="s">
        <v>1309</v>
      </c>
      <c r="BC1000" s="22" t="s">
        <v>1309</v>
      </c>
      <c r="BD1000" s="22" t="s">
        <v>1315</v>
      </c>
      <c r="BE1000" s="22" t="s">
        <v>1315</v>
      </c>
      <c r="BF1000" s="22" t="s">
        <v>1317</v>
      </c>
      <c r="BG1000" s="22" t="s">
        <v>1318</v>
      </c>
      <c r="BH1000" s="22" t="s">
        <v>1309</v>
      </c>
      <c r="BI1000" s="22" t="s">
        <v>1309</v>
      </c>
      <c r="BJ1000" s="22" t="s">
        <v>1309</v>
      </c>
      <c r="BK1000" s="22" t="s">
        <v>1309</v>
      </c>
      <c r="BL1000" s="22" t="s">
        <v>1317</v>
      </c>
      <c r="BM1000" s="22" t="s">
        <v>1318</v>
      </c>
      <c r="BN1000" s="22" t="s">
        <v>1309</v>
      </c>
      <c r="BO1000" s="22" t="s">
        <v>1309</v>
      </c>
      <c r="BP1000" s="22" t="s">
        <v>1309</v>
      </c>
      <c r="BQ1000" s="22" t="s">
        <v>1309</v>
      </c>
      <c r="BR1000" s="22" t="s">
        <v>1309</v>
      </c>
      <c r="BS1000" s="22" t="s">
        <v>1309</v>
      </c>
      <c r="BT1000" s="22" t="s">
        <v>1309</v>
      </c>
      <c r="BU1000" s="22" t="s">
        <v>1309</v>
      </c>
      <c r="BV1000" s="22" t="s">
        <v>1317</v>
      </c>
      <c r="BW1000" s="22" t="s">
        <v>1311</v>
      </c>
      <c r="BX1000" s="20">
        <v>1</v>
      </c>
      <c r="BY1000" s="20">
        <v>0</v>
      </c>
      <c r="BZ1000" s="20">
        <v>0</v>
      </c>
      <c r="CA1000" s="20">
        <v>0</v>
      </c>
      <c r="CB1000" s="20">
        <v>0</v>
      </c>
      <c r="CC1000" s="20">
        <v>109</v>
      </c>
      <c r="CD1000" s="22" t="s">
        <v>1331</v>
      </c>
      <c r="CE1000" s="22" t="s">
        <v>1331</v>
      </c>
      <c r="CF1000" s="22" t="s">
        <v>1317</v>
      </c>
      <c r="CG1000" s="22" t="s">
        <v>1318</v>
      </c>
      <c r="CH1000" s="22" t="s">
        <v>1317</v>
      </c>
      <c r="CI1000" s="22" t="s">
        <v>1318</v>
      </c>
      <c r="CJ1000" s="149" t="s">
        <v>1124</v>
      </c>
      <c r="CK1000" s="241" t="s">
        <v>1124</v>
      </c>
    </row>
    <row r="1001" spans="1:89" ht="15" customHeight="1" x14ac:dyDescent="0.35">
      <c r="A1001" s="17"/>
      <c r="B1001" s="313">
        <v>33007</v>
      </c>
      <c r="C1001" s="8" t="s">
        <v>267</v>
      </c>
      <c r="D1001" s="18">
        <v>12</v>
      </c>
      <c r="E1001" s="131"/>
      <c r="F1001" s="22"/>
      <c r="G1001" s="132"/>
      <c r="H1001" s="22"/>
      <c r="I1001" s="22"/>
      <c r="J1001" s="22"/>
      <c r="K1001" s="22"/>
      <c r="L1001" s="22"/>
      <c r="M1001" s="133"/>
      <c r="N1001" s="22"/>
      <c r="O1001" s="22"/>
      <c r="P1001" s="22"/>
      <c r="Q1001" s="20"/>
      <c r="R1001" s="20"/>
      <c r="S1001" s="20"/>
      <c r="T1001" s="20"/>
      <c r="U1001" s="20"/>
      <c r="V1001" s="20"/>
      <c r="W1001" s="20"/>
      <c r="X1001" s="20"/>
      <c r="Y1001" s="20"/>
      <c r="Z1001" s="20"/>
      <c r="AA1001" s="20"/>
      <c r="AB1001" s="22"/>
      <c r="AC1001" s="20"/>
      <c r="AD1001" s="20"/>
      <c r="AE1001" s="20"/>
      <c r="AF1001" s="20" t="s">
        <v>1124</v>
      </c>
      <c r="AG1001" s="20" t="s">
        <v>1124</v>
      </c>
      <c r="AH1001" s="20" t="s">
        <v>1124</v>
      </c>
      <c r="AI1001" s="328"/>
      <c r="AJ1001" s="328"/>
      <c r="AK1001" s="328"/>
      <c r="AL1001" s="22"/>
      <c r="AM1001" s="22"/>
      <c r="AN1001" s="22"/>
      <c r="AO1001" s="22"/>
      <c r="AP1001" s="22"/>
      <c r="AQ1001" s="22"/>
      <c r="AR1001" s="22"/>
      <c r="AS1001" s="22"/>
      <c r="AT1001" s="22"/>
      <c r="AU1001" s="22"/>
      <c r="AV1001" s="22"/>
      <c r="AW1001" s="22"/>
      <c r="AX1001" s="22"/>
      <c r="AY1001" s="22"/>
      <c r="AZ1001" s="22"/>
      <c r="BA1001" s="22"/>
      <c r="BB1001" s="22"/>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0"/>
      <c r="BY1001" s="20"/>
      <c r="BZ1001" s="20"/>
      <c r="CA1001" s="20"/>
      <c r="CB1001" s="20"/>
      <c r="CC1001" s="20"/>
      <c r="CD1001" s="22"/>
      <c r="CE1001" s="22"/>
      <c r="CF1001" s="22"/>
      <c r="CG1001" s="22"/>
      <c r="CH1001" s="22"/>
      <c r="CI1001" s="22"/>
      <c r="CJ1001" s="149"/>
      <c r="CK1001" s="241"/>
    </row>
    <row r="1002" spans="1:89" ht="15" customHeight="1" x14ac:dyDescent="0.35">
      <c r="A1002" s="17"/>
      <c r="B1002" s="313">
        <v>71015</v>
      </c>
      <c r="C1002" s="8" t="s">
        <v>705</v>
      </c>
      <c r="D1002" s="18">
        <v>16</v>
      </c>
      <c r="E1002" s="131"/>
      <c r="F1002" s="22"/>
      <c r="G1002" s="132"/>
      <c r="H1002" s="22"/>
      <c r="I1002" s="22"/>
      <c r="J1002" s="22"/>
      <c r="K1002" s="22"/>
      <c r="L1002" s="22"/>
      <c r="M1002" s="133"/>
      <c r="N1002" s="22"/>
      <c r="O1002" s="22"/>
      <c r="P1002" s="22"/>
      <c r="Q1002" s="20"/>
      <c r="R1002" s="20"/>
      <c r="S1002" s="20"/>
      <c r="T1002" s="20"/>
      <c r="U1002" s="20"/>
      <c r="V1002" s="20"/>
      <c r="W1002" s="20"/>
      <c r="X1002" s="20"/>
      <c r="Y1002" s="20"/>
      <c r="Z1002" s="20"/>
      <c r="AA1002" s="20"/>
      <c r="AB1002" s="22"/>
      <c r="AC1002" s="20"/>
      <c r="AD1002" s="20"/>
      <c r="AE1002" s="20"/>
      <c r="AF1002" s="20" t="s">
        <v>1124</v>
      </c>
      <c r="AG1002" s="20" t="s">
        <v>1124</v>
      </c>
      <c r="AH1002" s="20" t="s">
        <v>1124</v>
      </c>
      <c r="AI1002" s="328"/>
      <c r="AJ1002" s="328"/>
      <c r="AK1002" s="328"/>
      <c r="AL1002" s="22"/>
      <c r="AM1002" s="22"/>
      <c r="AN1002" s="22"/>
      <c r="AO1002" s="22"/>
      <c r="AP1002" s="22"/>
      <c r="AQ1002" s="22"/>
      <c r="AR1002" s="22"/>
      <c r="AS1002" s="22"/>
      <c r="AT1002" s="22"/>
      <c r="AU1002" s="22"/>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0"/>
      <c r="BY1002" s="20"/>
      <c r="BZ1002" s="20"/>
      <c r="CA1002" s="20"/>
      <c r="CB1002" s="20"/>
      <c r="CC1002" s="20"/>
      <c r="CD1002" s="22"/>
      <c r="CE1002" s="22"/>
      <c r="CF1002" s="22"/>
      <c r="CG1002" s="22"/>
      <c r="CH1002" s="22"/>
      <c r="CI1002" s="22"/>
      <c r="CJ1002" s="149"/>
      <c r="CK1002" s="241"/>
    </row>
    <row r="1003" spans="1:89" ht="15" customHeight="1" x14ac:dyDescent="0.35">
      <c r="A1003" s="17"/>
      <c r="B1003" s="313">
        <v>7070</v>
      </c>
      <c r="C1003" s="8" t="s">
        <v>1078</v>
      </c>
      <c r="D1003" s="18">
        <v>1</v>
      </c>
      <c r="E1003" s="131" t="s">
        <v>1309</v>
      </c>
      <c r="F1003" s="22" t="s">
        <v>1309</v>
      </c>
      <c r="G1003" s="132" t="s">
        <v>1309</v>
      </c>
      <c r="H1003" s="22" t="s">
        <v>1311</v>
      </c>
      <c r="I1003" s="22" t="s">
        <v>1327</v>
      </c>
      <c r="J1003" s="22" t="s">
        <v>1327</v>
      </c>
      <c r="K1003" s="22" t="s">
        <v>1319</v>
      </c>
      <c r="L1003" s="22" t="s">
        <v>1311</v>
      </c>
      <c r="M1003" s="133" t="s">
        <v>1311</v>
      </c>
      <c r="N1003" s="22" t="s">
        <v>1311</v>
      </c>
      <c r="O1003" s="22" t="s">
        <v>1314</v>
      </c>
      <c r="P1003" s="22" t="s">
        <v>1318</v>
      </c>
      <c r="Q1003" s="20">
        <v>0</v>
      </c>
      <c r="R1003" s="20">
        <v>0</v>
      </c>
      <c r="S1003" s="20">
        <v>0</v>
      </c>
      <c r="T1003" s="20">
        <v>0</v>
      </c>
      <c r="U1003" s="20">
        <v>0</v>
      </c>
      <c r="V1003" s="20">
        <v>0</v>
      </c>
      <c r="W1003" s="20">
        <v>0</v>
      </c>
      <c r="X1003" s="20">
        <v>0</v>
      </c>
      <c r="Y1003" s="20">
        <v>0</v>
      </c>
      <c r="Z1003" s="20">
        <v>0</v>
      </c>
      <c r="AA1003" s="20" t="s">
        <v>1317</v>
      </c>
      <c r="AB1003" s="22" t="s">
        <v>1318</v>
      </c>
      <c r="AC1003" s="20">
        <v>0</v>
      </c>
      <c r="AD1003" s="20">
        <v>0</v>
      </c>
      <c r="AE1003" s="20">
        <v>0</v>
      </c>
      <c r="AF1003" s="20">
        <v>0</v>
      </c>
      <c r="AG1003" s="20">
        <v>0</v>
      </c>
      <c r="AH1003" s="20">
        <v>0</v>
      </c>
      <c r="AI1003" s="328" t="s">
        <v>1328</v>
      </c>
      <c r="AJ1003" s="328" t="s">
        <v>1328</v>
      </c>
      <c r="AK1003" s="328" t="s">
        <v>1328</v>
      </c>
      <c r="AL1003" s="22" t="s">
        <v>1329</v>
      </c>
      <c r="AM1003" s="22" t="s">
        <v>1330</v>
      </c>
      <c r="AN1003" s="22" t="s">
        <v>1317</v>
      </c>
      <c r="AO1003" s="22" t="s">
        <v>1318</v>
      </c>
      <c r="AP1003" s="22" t="s">
        <v>1318</v>
      </c>
      <c r="AQ1003" s="22" t="s">
        <v>1318</v>
      </c>
      <c r="AR1003" s="22" t="s">
        <v>1317</v>
      </c>
      <c r="AS1003" s="22" t="s">
        <v>1318</v>
      </c>
      <c r="AT1003" s="22" t="s">
        <v>1317</v>
      </c>
      <c r="AU1003" s="22" t="s">
        <v>1318</v>
      </c>
      <c r="AV1003" s="22" t="s">
        <v>1317</v>
      </c>
      <c r="AW1003" s="22" t="s">
        <v>1318</v>
      </c>
      <c r="AX1003" s="22" t="s">
        <v>1317</v>
      </c>
      <c r="AY1003" s="22" t="s">
        <v>1318</v>
      </c>
      <c r="AZ1003" s="22" t="s">
        <v>1309</v>
      </c>
      <c r="BA1003" s="22" t="s">
        <v>1311</v>
      </c>
      <c r="BB1003" s="22" t="s">
        <v>1309</v>
      </c>
      <c r="BC1003" s="22" t="s">
        <v>1311</v>
      </c>
      <c r="BD1003" s="22" t="s">
        <v>1317</v>
      </c>
      <c r="BE1003" s="22" t="s">
        <v>1318</v>
      </c>
      <c r="BF1003" s="22" t="s">
        <v>1317</v>
      </c>
      <c r="BG1003" s="22" t="s">
        <v>1318</v>
      </c>
      <c r="BH1003" s="22" t="s">
        <v>1319</v>
      </c>
      <c r="BI1003" s="22" t="s">
        <v>1311</v>
      </c>
      <c r="BJ1003" s="22" t="s">
        <v>1317</v>
      </c>
      <c r="BK1003" s="22" t="s">
        <v>1318</v>
      </c>
      <c r="BL1003" s="22" t="s">
        <v>1317</v>
      </c>
      <c r="BM1003" s="22" t="s">
        <v>1318</v>
      </c>
      <c r="BN1003" s="22" t="s">
        <v>1317</v>
      </c>
      <c r="BO1003" s="22" t="s">
        <v>1318</v>
      </c>
      <c r="BP1003" s="22" t="s">
        <v>1317</v>
      </c>
      <c r="BQ1003" s="22" t="s">
        <v>1318</v>
      </c>
      <c r="BR1003" s="22" t="s">
        <v>1309</v>
      </c>
      <c r="BS1003" s="22" t="s">
        <v>1311</v>
      </c>
      <c r="BT1003" s="22" t="s">
        <v>1309</v>
      </c>
      <c r="BU1003" s="22" t="s">
        <v>1309</v>
      </c>
      <c r="BV1003" s="22" t="s">
        <v>1317</v>
      </c>
      <c r="BW1003" s="22" t="s">
        <v>1318</v>
      </c>
      <c r="BX1003" s="20">
        <v>0</v>
      </c>
      <c r="BY1003" s="20">
        <v>0</v>
      </c>
      <c r="BZ1003" s="20">
        <v>9</v>
      </c>
      <c r="CA1003" s="20">
        <v>0</v>
      </c>
      <c r="CB1003" s="20">
        <v>0</v>
      </c>
      <c r="CC1003" s="20">
        <v>71</v>
      </c>
      <c r="CD1003" s="22" t="s">
        <v>1317</v>
      </c>
      <c r="CE1003" s="22" t="s">
        <v>1318</v>
      </c>
      <c r="CF1003" s="22" t="s">
        <v>1317</v>
      </c>
      <c r="CG1003" s="22" t="s">
        <v>1318</v>
      </c>
      <c r="CH1003" s="22" t="s">
        <v>1317</v>
      </c>
      <c r="CI1003" s="22" t="s">
        <v>1318</v>
      </c>
      <c r="CJ1003" s="149" t="s">
        <v>1124</v>
      </c>
      <c r="CK1003" s="241" t="s">
        <v>1386</v>
      </c>
    </row>
    <row r="1004" spans="1:89" ht="15" customHeight="1" x14ac:dyDescent="0.35">
      <c r="A1004" s="17"/>
      <c r="B1004" s="313">
        <v>48045</v>
      </c>
      <c r="C1004" s="8" t="s">
        <v>462</v>
      </c>
      <c r="D1004" s="18">
        <v>16</v>
      </c>
      <c r="E1004" s="131"/>
      <c r="F1004" s="22"/>
      <c r="G1004" s="132"/>
      <c r="H1004" s="22"/>
      <c r="I1004" s="22"/>
      <c r="J1004" s="22"/>
      <c r="K1004" s="22"/>
      <c r="L1004" s="22"/>
      <c r="M1004" s="133"/>
      <c r="N1004" s="22"/>
      <c r="O1004" s="22"/>
      <c r="P1004" s="22"/>
      <c r="Q1004" s="20"/>
      <c r="R1004" s="20"/>
      <c r="S1004" s="20"/>
      <c r="T1004" s="20"/>
      <c r="U1004" s="20"/>
      <c r="V1004" s="20"/>
      <c r="W1004" s="20"/>
      <c r="X1004" s="20"/>
      <c r="Y1004" s="20"/>
      <c r="Z1004" s="20"/>
      <c r="AA1004" s="20"/>
      <c r="AB1004" s="22"/>
      <c r="AC1004" s="20"/>
      <c r="AD1004" s="20"/>
      <c r="AE1004" s="20"/>
      <c r="AF1004" s="20" t="s">
        <v>1124</v>
      </c>
      <c r="AG1004" s="20" t="s">
        <v>1124</v>
      </c>
      <c r="AH1004" s="20" t="s">
        <v>1124</v>
      </c>
      <c r="AI1004" s="328"/>
      <c r="AJ1004" s="328"/>
      <c r="AK1004" s="328"/>
      <c r="AL1004" s="22"/>
      <c r="AM1004" s="22"/>
      <c r="AN1004" s="22"/>
      <c r="AO1004" s="22"/>
      <c r="AP1004" s="22"/>
      <c r="AQ1004" s="22"/>
      <c r="AR1004" s="22"/>
      <c r="AS1004" s="22"/>
      <c r="AT1004" s="22"/>
      <c r="AU1004" s="22"/>
      <c r="AV1004" s="22"/>
      <c r="AW1004" s="22"/>
      <c r="AX1004" s="22"/>
      <c r="AY1004" s="22"/>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0"/>
      <c r="BY1004" s="20"/>
      <c r="BZ1004" s="20"/>
      <c r="CA1004" s="20"/>
      <c r="CB1004" s="20"/>
      <c r="CC1004" s="20"/>
      <c r="CD1004" s="22"/>
      <c r="CE1004" s="22"/>
      <c r="CF1004" s="22"/>
      <c r="CG1004" s="22"/>
      <c r="CH1004" s="22"/>
      <c r="CI1004" s="22"/>
      <c r="CJ1004" s="149"/>
      <c r="CK1004" s="241"/>
    </row>
    <row r="1005" spans="1:89" ht="15" customHeight="1" x14ac:dyDescent="0.35">
      <c r="A1005" s="17"/>
      <c r="B1005" s="313">
        <v>29005</v>
      </c>
      <c r="C1005" s="8" t="s">
        <v>201</v>
      </c>
      <c r="D1005" s="18">
        <v>12</v>
      </c>
      <c r="E1005" s="131"/>
      <c r="F1005" s="22"/>
      <c r="G1005" s="132"/>
      <c r="H1005" s="22"/>
      <c r="I1005" s="22"/>
      <c r="J1005" s="22"/>
      <c r="K1005" s="22"/>
      <c r="L1005" s="22"/>
      <c r="M1005" s="133"/>
      <c r="N1005" s="22"/>
      <c r="O1005" s="22"/>
      <c r="P1005" s="22"/>
      <c r="Q1005" s="20"/>
      <c r="R1005" s="20"/>
      <c r="S1005" s="20"/>
      <c r="T1005" s="20"/>
      <c r="U1005" s="20"/>
      <c r="V1005" s="20"/>
      <c r="W1005" s="20"/>
      <c r="X1005" s="20"/>
      <c r="Y1005" s="20"/>
      <c r="Z1005" s="20"/>
      <c r="AA1005" s="20"/>
      <c r="AB1005" s="22"/>
      <c r="AC1005" s="20"/>
      <c r="AD1005" s="20"/>
      <c r="AE1005" s="20"/>
      <c r="AF1005" s="20" t="s">
        <v>1124</v>
      </c>
      <c r="AG1005" s="20" t="s">
        <v>1124</v>
      </c>
      <c r="AH1005" s="20" t="s">
        <v>1124</v>
      </c>
      <c r="AI1005" s="328"/>
      <c r="AJ1005" s="328"/>
      <c r="AK1005" s="328"/>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0"/>
      <c r="BY1005" s="20"/>
      <c r="BZ1005" s="20"/>
      <c r="CA1005" s="20"/>
      <c r="CB1005" s="20"/>
      <c r="CC1005" s="20"/>
      <c r="CD1005" s="22"/>
      <c r="CE1005" s="22"/>
      <c r="CF1005" s="22"/>
      <c r="CG1005" s="22"/>
      <c r="CH1005" s="22"/>
      <c r="CI1005" s="22"/>
      <c r="CJ1005" s="149"/>
      <c r="CK1005" s="241"/>
    </row>
    <row r="1006" spans="1:89" ht="15" customHeight="1" x14ac:dyDescent="0.35">
      <c r="A1006" s="17"/>
      <c r="B1006" s="313">
        <v>61027</v>
      </c>
      <c r="C1006" s="8" t="s">
        <v>613</v>
      </c>
      <c r="D1006" s="18">
        <v>14</v>
      </c>
      <c r="E1006" s="131" t="s">
        <v>1309</v>
      </c>
      <c r="F1006" s="22" t="s">
        <v>1309</v>
      </c>
      <c r="G1006" s="132" t="s">
        <v>1309</v>
      </c>
      <c r="H1006" s="22" t="s">
        <v>1311</v>
      </c>
      <c r="I1006" s="22" t="s">
        <v>1327</v>
      </c>
      <c r="J1006" s="22" t="s">
        <v>1327</v>
      </c>
      <c r="K1006" s="22" t="s">
        <v>1314</v>
      </c>
      <c r="L1006" s="22" t="s">
        <v>1311</v>
      </c>
      <c r="M1006" s="133" t="s">
        <v>1311</v>
      </c>
      <c r="N1006" s="22" t="s">
        <v>1311</v>
      </c>
      <c r="O1006" s="22" t="s">
        <v>1309</v>
      </c>
      <c r="P1006" s="22" t="s">
        <v>1309</v>
      </c>
      <c r="Q1006" s="20">
        <v>0</v>
      </c>
      <c r="R1006" s="20">
        <v>0</v>
      </c>
      <c r="S1006" s="20">
        <v>0</v>
      </c>
      <c r="T1006" s="20">
        <v>0</v>
      </c>
      <c r="U1006" s="20">
        <v>0</v>
      </c>
      <c r="V1006" s="20">
        <v>0</v>
      </c>
      <c r="W1006" s="20">
        <v>0</v>
      </c>
      <c r="X1006" s="20">
        <v>0</v>
      </c>
      <c r="Y1006" s="20">
        <v>0</v>
      </c>
      <c r="Z1006" s="20">
        <v>0</v>
      </c>
      <c r="AA1006" s="20" t="s">
        <v>1317</v>
      </c>
      <c r="AB1006" s="22" t="s">
        <v>1318</v>
      </c>
      <c r="AC1006" s="20">
        <v>0</v>
      </c>
      <c r="AD1006" s="20">
        <v>1</v>
      </c>
      <c r="AE1006" s="20">
        <v>0</v>
      </c>
      <c r="AF1006" s="20">
        <v>0</v>
      </c>
      <c r="AG1006" s="20">
        <v>1</v>
      </c>
      <c r="AH1006" s="20">
        <v>0</v>
      </c>
      <c r="AI1006" s="328" t="s">
        <v>1328</v>
      </c>
      <c r="AJ1006" s="328">
        <v>1.0070493454179255</v>
      </c>
      <c r="AK1006" s="328" t="s">
        <v>1328</v>
      </c>
      <c r="AL1006" s="22" t="s">
        <v>1329</v>
      </c>
      <c r="AM1006" s="22" t="s">
        <v>1330</v>
      </c>
      <c r="AN1006" s="22" t="s">
        <v>1317</v>
      </c>
      <c r="AO1006" s="22" t="s">
        <v>1318</v>
      </c>
      <c r="AP1006" s="22" t="s">
        <v>1318</v>
      </c>
      <c r="AQ1006" s="22" t="s">
        <v>1318</v>
      </c>
      <c r="AR1006" s="22" t="s">
        <v>1317</v>
      </c>
      <c r="AS1006" s="22" t="s">
        <v>1318</v>
      </c>
      <c r="AT1006" s="22" t="s">
        <v>1309</v>
      </c>
      <c r="AU1006" s="22" t="s">
        <v>1309</v>
      </c>
      <c r="AV1006" s="22" t="s">
        <v>1317</v>
      </c>
      <c r="AW1006" s="22" t="s">
        <v>1318</v>
      </c>
      <c r="AX1006" s="22" t="s">
        <v>1309</v>
      </c>
      <c r="AY1006" s="22" t="s">
        <v>1309</v>
      </c>
      <c r="AZ1006" s="22" t="s">
        <v>1317</v>
      </c>
      <c r="BA1006" s="22" t="s">
        <v>1318</v>
      </c>
      <c r="BB1006" s="22" t="s">
        <v>1309</v>
      </c>
      <c r="BC1006" s="22" t="s">
        <v>1309</v>
      </c>
      <c r="BD1006" s="22" t="s">
        <v>1309</v>
      </c>
      <c r="BE1006" s="22" t="s">
        <v>1309</v>
      </c>
      <c r="BF1006" s="22" t="s">
        <v>1309</v>
      </c>
      <c r="BG1006" s="22" t="s">
        <v>1309</v>
      </c>
      <c r="BH1006" s="22" t="s">
        <v>1317</v>
      </c>
      <c r="BI1006" s="22" t="s">
        <v>1318</v>
      </c>
      <c r="BJ1006" s="22" t="s">
        <v>1317</v>
      </c>
      <c r="BK1006" s="22" t="s">
        <v>1311</v>
      </c>
      <c r="BL1006" s="22" t="s">
        <v>1309</v>
      </c>
      <c r="BM1006" s="22" t="s">
        <v>1309</v>
      </c>
      <c r="BN1006" s="22" t="s">
        <v>1309</v>
      </c>
      <c r="BO1006" s="22" t="s">
        <v>1309</v>
      </c>
      <c r="BP1006" s="22" t="s">
        <v>1317</v>
      </c>
      <c r="BQ1006" s="22" t="s">
        <v>1318</v>
      </c>
      <c r="BR1006" s="22" t="s">
        <v>1309</v>
      </c>
      <c r="BS1006" s="22" t="s">
        <v>1309</v>
      </c>
      <c r="BT1006" s="22" t="s">
        <v>1309</v>
      </c>
      <c r="BU1006" s="22" t="s">
        <v>1309</v>
      </c>
      <c r="BV1006" s="22" t="s">
        <v>1317</v>
      </c>
      <c r="BW1006" s="22" t="s">
        <v>1318</v>
      </c>
      <c r="BX1006" s="20">
        <v>65</v>
      </c>
      <c r="BY1006" s="20">
        <v>0</v>
      </c>
      <c r="BZ1006" s="20">
        <v>0</v>
      </c>
      <c r="CA1006" s="20">
        <v>928</v>
      </c>
      <c r="CB1006" s="20">
        <v>0</v>
      </c>
      <c r="CC1006" s="20">
        <v>0</v>
      </c>
      <c r="CD1006" s="22" t="s">
        <v>1331</v>
      </c>
      <c r="CE1006" s="22" t="s">
        <v>1331</v>
      </c>
      <c r="CF1006" s="22" t="s">
        <v>1331</v>
      </c>
      <c r="CG1006" s="22" t="s">
        <v>1331</v>
      </c>
      <c r="CH1006" s="22" t="s">
        <v>1317</v>
      </c>
      <c r="CI1006" s="22" t="s">
        <v>1318</v>
      </c>
      <c r="CJ1006" s="149" t="s">
        <v>1124</v>
      </c>
      <c r="CK1006" s="241" t="s">
        <v>1124</v>
      </c>
    </row>
    <row r="1007" spans="1:89" ht="15" customHeight="1" x14ac:dyDescent="0.35">
      <c r="A1007" s="17"/>
      <c r="B1007" s="313">
        <v>92045</v>
      </c>
      <c r="C1007" s="8" t="s">
        <v>952</v>
      </c>
      <c r="D1007" s="18">
        <v>2</v>
      </c>
      <c r="E1007" s="131" t="s">
        <v>1309</v>
      </c>
      <c r="F1007" s="22" t="s">
        <v>1309</v>
      </c>
      <c r="G1007" s="132" t="s">
        <v>1309</v>
      </c>
      <c r="H1007" s="22" t="s">
        <v>1311</v>
      </c>
      <c r="I1007" s="22" t="s">
        <v>1327</v>
      </c>
      <c r="J1007" s="22" t="s">
        <v>1327</v>
      </c>
      <c r="K1007" s="22" t="s">
        <v>1314</v>
      </c>
      <c r="L1007" s="22" t="s">
        <v>1311</v>
      </c>
      <c r="M1007" s="133" t="s">
        <v>1311</v>
      </c>
      <c r="N1007" s="22" t="s">
        <v>1311</v>
      </c>
      <c r="O1007" s="22" t="s">
        <v>1314</v>
      </c>
      <c r="P1007" s="22" t="s">
        <v>1318</v>
      </c>
      <c r="Q1007" s="20">
        <v>0</v>
      </c>
      <c r="R1007" s="20">
        <v>0</v>
      </c>
      <c r="S1007" s="20">
        <v>7.7385000000000002</v>
      </c>
      <c r="T1007" s="20">
        <v>0</v>
      </c>
      <c r="U1007" s="20">
        <v>0</v>
      </c>
      <c r="V1007" s="20">
        <v>0</v>
      </c>
      <c r="W1007" s="20">
        <v>0</v>
      </c>
      <c r="X1007" s="20">
        <v>0</v>
      </c>
      <c r="Y1007" s="20">
        <v>0</v>
      </c>
      <c r="Z1007" s="20">
        <v>0</v>
      </c>
      <c r="AA1007" s="20" t="s">
        <v>1317</v>
      </c>
      <c r="AB1007" s="22" t="s">
        <v>1318</v>
      </c>
      <c r="AC1007" s="20">
        <v>2</v>
      </c>
      <c r="AD1007" s="20">
        <v>0</v>
      </c>
      <c r="AE1007" s="20">
        <v>0</v>
      </c>
      <c r="AF1007" s="20">
        <v>1</v>
      </c>
      <c r="AG1007" s="20">
        <v>0</v>
      </c>
      <c r="AH1007" s="20">
        <v>0</v>
      </c>
      <c r="AI1007" s="328">
        <v>38.767202946307428</v>
      </c>
      <c r="AJ1007" s="328" t="s">
        <v>1328</v>
      </c>
      <c r="AK1007" s="328" t="s">
        <v>1328</v>
      </c>
      <c r="AL1007" s="22" t="s">
        <v>1329</v>
      </c>
      <c r="AM1007" s="22" t="s">
        <v>1330</v>
      </c>
      <c r="AN1007" s="22" t="s">
        <v>1317</v>
      </c>
      <c r="AO1007" s="22" t="s">
        <v>1318</v>
      </c>
      <c r="AP1007" s="22" t="s">
        <v>1318</v>
      </c>
      <c r="AQ1007" s="22" t="s">
        <v>1318</v>
      </c>
      <c r="AR1007" s="22" t="s">
        <v>1317</v>
      </c>
      <c r="AS1007" s="22" t="s">
        <v>1318</v>
      </c>
      <c r="AT1007" s="22" t="s">
        <v>1317</v>
      </c>
      <c r="AU1007" s="22" t="s">
        <v>1318</v>
      </c>
      <c r="AV1007" s="22" t="s">
        <v>1317</v>
      </c>
      <c r="AW1007" s="22" t="s">
        <v>1318</v>
      </c>
      <c r="AX1007" s="22" t="s">
        <v>1317</v>
      </c>
      <c r="AY1007" s="22" t="s">
        <v>1318</v>
      </c>
      <c r="AZ1007" s="22" t="s">
        <v>1309</v>
      </c>
      <c r="BA1007" s="22" t="s">
        <v>1309</v>
      </c>
      <c r="BB1007" s="22" t="s">
        <v>1309</v>
      </c>
      <c r="BC1007" s="22" t="s">
        <v>1309</v>
      </c>
      <c r="BD1007" s="22" t="s">
        <v>1317</v>
      </c>
      <c r="BE1007" s="22" t="s">
        <v>1318</v>
      </c>
      <c r="BF1007" s="22" t="s">
        <v>1317</v>
      </c>
      <c r="BG1007" s="22" t="s">
        <v>1311</v>
      </c>
      <c r="BH1007" s="22" t="s">
        <v>1317</v>
      </c>
      <c r="BI1007" s="22" t="s">
        <v>1318</v>
      </c>
      <c r="BJ1007" s="22" t="s">
        <v>1317</v>
      </c>
      <c r="BK1007" s="22" t="s">
        <v>1318</v>
      </c>
      <c r="BL1007" s="22" t="s">
        <v>1317</v>
      </c>
      <c r="BM1007" s="22" t="s">
        <v>1311</v>
      </c>
      <c r="BN1007" s="22" t="s">
        <v>1309</v>
      </c>
      <c r="BO1007" s="22" t="s">
        <v>1309</v>
      </c>
      <c r="BP1007" s="22" t="s">
        <v>1317</v>
      </c>
      <c r="BQ1007" s="22" t="s">
        <v>1318</v>
      </c>
      <c r="BR1007" s="22" t="s">
        <v>1309</v>
      </c>
      <c r="BS1007" s="22" t="s">
        <v>1309</v>
      </c>
      <c r="BT1007" s="22" t="s">
        <v>1309</v>
      </c>
      <c r="BU1007" s="22" t="s">
        <v>1309</v>
      </c>
      <c r="BV1007" s="22" t="s">
        <v>1309</v>
      </c>
      <c r="BW1007" s="22" t="s">
        <v>1309</v>
      </c>
      <c r="BX1007" s="20">
        <v>0</v>
      </c>
      <c r="BY1007" s="20">
        <v>1</v>
      </c>
      <c r="BZ1007" s="20">
        <v>4</v>
      </c>
      <c r="CA1007" s="20">
        <v>0</v>
      </c>
      <c r="CB1007" s="20">
        <v>0</v>
      </c>
      <c r="CC1007" s="20">
        <v>264</v>
      </c>
      <c r="CD1007" s="22" t="s">
        <v>1317</v>
      </c>
      <c r="CE1007" s="22" t="s">
        <v>1340</v>
      </c>
      <c r="CF1007" s="22" t="s">
        <v>1317</v>
      </c>
      <c r="CG1007" s="22" t="s">
        <v>1340</v>
      </c>
      <c r="CH1007" s="22" t="s">
        <v>1317</v>
      </c>
      <c r="CI1007" s="22" t="s">
        <v>1318</v>
      </c>
      <c r="CJ1007" s="149" t="s">
        <v>1124</v>
      </c>
      <c r="CK1007" s="241" t="s">
        <v>3457</v>
      </c>
    </row>
    <row r="1008" spans="1:89" ht="15" customHeight="1" x14ac:dyDescent="0.35">
      <c r="A1008" s="17"/>
      <c r="B1008" s="313">
        <v>34085</v>
      </c>
      <c r="C1008" s="8" t="s">
        <v>295</v>
      </c>
      <c r="D1008" s="18">
        <v>3</v>
      </c>
      <c r="E1008" s="131" t="s">
        <v>1309</v>
      </c>
      <c r="F1008" s="22" t="s">
        <v>1309</v>
      </c>
      <c r="G1008" s="132" t="s">
        <v>1309</v>
      </c>
      <c r="H1008" s="22" t="s">
        <v>1311</v>
      </c>
      <c r="I1008" s="22" t="s">
        <v>1327</v>
      </c>
      <c r="J1008" s="22" t="s">
        <v>1327</v>
      </c>
      <c r="K1008" s="22" t="s">
        <v>1309</v>
      </c>
      <c r="L1008" s="22" t="s">
        <v>1309</v>
      </c>
      <c r="M1008" s="133" t="s">
        <v>1311</v>
      </c>
      <c r="N1008" s="22" t="s">
        <v>1311</v>
      </c>
      <c r="O1008" s="22" t="s">
        <v>1314</v>
      </c>
      <c r="P1008" s="22" t="s">
        <v>1311</v>
      </c>
      <c r="Q1008" s="20">
        <v>0</v>
      </c>
      <c r="R1008" s="20">
        <v>0</v>
      </c>
      <c r="S1008" s="20">
        <v>0</v>
      </c>
      <c r="T1008" s="20">
        <v>0</v>
      </c>
      <c r="U1008" s="20">
        <v>0</v>
      </c>
      <c r="V1008" s="20">
        <v>0</v>
      </c>
      <c r="W1008" s="20">
        <v>0</v>
      </c>
      <c r="X1008" s="20">
        <v>0</v>
      </c>
      <c r="Y1008" s="20">
        <v>0</v>
      </c>
      <c r="Z1008" s="20">
        <v>0</v>
      </c>
      <c r="AA1008" s="20" t="s">
        <v>1317</v>
      </c>
      <c r="AB1008" s="22" t="s">
        <v>1318</v>
      </c>
      <c r="AC1008" s="20">
        <v>0</v>
      </c>
      <c r="AD1008" s="20">
        <v>0</v>
      </c>
      <c r="AE1008" s="20">
        <v>0</v>
      </c>
      <c r="AF1008" s="20">
        <v>0</v>
      </c>
      <c r="AG1008" s="20">
        <v>0</v>
      </c>
      <c r="AH1008" s="20">
        <v>0</v>
      </c>
      <c r="AI1008" s="328" t="s">
        <v>1328</v>
      </c>
      <c r="AJ1008" s="328" t="s">
        <v>1328</v>
      </c>
      <c r="AK1008" s="328" t="s">
        <v>1328</v>
      </c>
      <c r="AL1008" s="22" t="s">
        <v>1329</v>
      </c>
      <c r="AM1008" s="22" t="s">
        <v>1330</v>
      </c>
      <c r="AN1008" s="22" t="s">
        <v>1317</v>
      </c>
      <c r="AO1008" s="22" t="s">
        <v>1318</v>
      </c>
      <c r="AP1008" s="22" t="s">
        <v>1318</v>
      </c>
      <c r="AQ1008" s="22" t="s">
        <v>1318</v>
      </c>
      <c r="AR1008" s="22" t="s">
        <v>1317</v>
      </c>
      <c r="AS1008" s="22" t="s">
        <v>1318</v>
      </c>
      <c r="AT1008" s="22" t="s">
        <v>1317</v>
      </c>
      <c r="AU1008" s="22" t="s">
        <v>1318</v>
      </c>
      <c r="AV1008" s="22" t="s">
        <v>1317</v>
      </c>
      <c r="AW1008" s="22" t="s">
        <v>1318</v>
      </c>
      <c r="AX1008" s="22" t="s">
        <v>1317</v>
      </c>
      <c r="AY1008" s="22" t="s">
        <v>1318</v>
      </c>
      <c r="AZ1008" s="22" t="s">
        <v>1309</v>
      </c>
      <c r="BA1008" s="22" t="s">
        <v>1309</v>
      </c>
      <c r="BB1008" s="22" t="s">
        <v>1309</v>
      </c>
      <c r="BC1008" s="22" t="s">
        <v>1309</v>
      </c>
      <c r="BD1008" s="22" t="s">
        <v>1319</v>
      </c>
      <c r="BE1008" s="22" t="s">
        <v>1311</v>
      </c>
      <c r="BF1008" s="22" t="s">
        <v>1309</v>
      </c>
      <c r="BG1008" s="22" t="s">
        <v>1309</v>
      </c>
      <c r="BH1008" s="22" t="s">
        <v>1309</v>
      </c>
      <c r="BI1008" s="22" t="s">
        <v>1309</v>
      </c>
      <c r="BJ1008" s="22" t="s">
        <v>1317</v>
      </c>
      <c r="BK1008" s="22" t="s">
        <v>1318</v>
      </c>
      <c r="BL1008" s="22" t="s">
        <v>1317</v>
      </c>
      <c r="BM1008" s="22" t="s">
        <v>1318</v>
      </c>
      <c r="BN1008" s="22" t="s">
        <v>1309</v>
      </c>
      <c r="BO1008" s="22" t="s">
        <v>1309</v>
      </c>
      <c r="BP1008" s="22" t="s">
        <v>1317</v>
      </c>
      <c r="BQ1008" s="22" t="s">
        <v>1318</v>
      </c>
      <c r="BR1008" s="22" t="s">
        <v>1309</v>
      </c>
      <c r="BS1008" s="22" t="s">
        <v>1309</v>
      </c>
      <c r="BT1008" s="22" t="s">
        <v>1309</v>
      </c>
      <c r="BU1008" s="22" t="s">
        <v>1309</v>
      </c>
      <c r="BV1008" s="22" t="s">
        <v>1319</v>
      </c>
      <c r="BW1008" s="22" t="s">
        <v>1311</v>
      </c>
      <c r="BX1008" s="20">
        <v>0</v>
      </c>
      <c r="BY1008" s="20">
        <v>0</v>
      </c>
      <c r="BZ1008" s="20">
        <v>0</v>
      </c>
      <c r="CA1008" s="20">
        <v>0</v>
      </c>
      <c r="CB1008" s="20">
        <v>0</v>
      </c>
      <c r="CC1008" s="20">
        <v>0</v>
      </c>
      <c r="CD1008" s="22" t="s">
        <v>1331</v>
      </c>
      <c r="CE1008" s="22" t="s">
        <v>1331</v>
      </c>
      <c r="CF1008" s="22" t="s">
        <v>1331</v>
      </c>
      <c r="CG1008" s="22" t="s">
        <v>1331</v>
      </c>
      <c r="CH1008" s="22" t="s">
        <v>1317</v>
      </c>
      <c r="CI1008" s="22" t="s">
        <v>1318</v>
      </c>
      <c r="CJ1008" s="149" t="s">
        <v>3460</v>
      </c>
      <c r="CK1008" s="241" t="s">
        <v>3461</v>
      </c>
    </row>
    <row r="1009" spans="1:89" ht="15" customHeight="1" x14ac:dyDescent="0.35">
      <c r="A1009" s="17"/>
      <c r="B1009" s="313">
        <v>35027</v>
      </c>
      <c r="C1009" s="8" t="s">
        <v>307</v>
      </c>
      <c r="D1009" s="18">
        <v>4</v>
      </c>
      <c r="E1009" s="131" t="s">
        <v>1319</v>
      </c>
      <c r="F1009" s="22" t="s">
        <v>1310</v>
      </c>
      <c r="G1009" s="132" t="s">
        <v>1309</v>
      </c>
      <c r="H1009" s="22" t="s">
        <v>1311</v>
      </c>
      <c r="I1009" s="22" t="s">
        <v>1327</v>
      </c>
      <c r="J1009" s="22" t="s">
        <v>1327</v>
      </c>
      <c r="K1009" s="22" t="s">
        <v>1319</v>
      </c>
      <c r="L1009" s="22" t="s">
        <v>1309</v>
      </c>
      <c r="M1009" s="133" t="s">
        <v>1311</v>
      </c>
      <c r="N1009" s="22" t="s">
        <v>1311</v>
      </c>
      <c r="O1009" s="22" t="s">
        <v>1314</v>
      </c>
      <c r="P1009" s="22" t="s">
        <v>1318</v>
      </c>
      <c r="Q1009" s="20">
        <v>47.418999999999997</v>
      </c>
      <c r="R1009" s="20">
        <v>47.418999999999997</v>
      </c>
      <c r="S1009" s="20">
        <v>94.837999999999994</v>
      </c>
      <c r="T1009" s="20">
        <v>94.837999999999994</v>
      </c>
      <c r="U1009" s="20">
        <v>20</v>
      </c>
      <c r="V1009" s="20">
        <v>20</v>
      </c>
      <c r="W1009" s="20">
        <v>0</v>
      </c>
      <c r="X1009" s="20">
        <v>0</v>
      </c>
      <c r="Y1009" s="20">
        <v>0</v>
      </c>
      <c r="Z1009" s="20">
        <v>0</v>
      </c>
      <c r="AA1009" s="20" t="s">
        <v>1309</v>
      </c>
      <c r="AB1009" s="22" t="s">
        <v>1311</v>
      </c>
      <c r="AC1009" s="20">
        <v>7</v>
      </c>
      <c r="AD1009" s="20">
        <v>30</v>
      </c>
      <c r="AE1009" s="20">
        <v>8</v>
      </c>
      <c r="AF1009" s="20">
        <v>2</v>
      </c>
      <c r="AG1009" s="20">
        <v>3</v>
      </c>
      <c r="AH1009" s="20">
        <v>7</v>
      </c>
      <c r="AI1009" s="328">
        <v>14.762015225964277</v>
      </c>
      <c r="AJ1009" s="328">
        <v>15.923566878980891</v>
      </c>
      <c r="AK1009" s="328">
        <v>4.2462845010615711</v>
      </c>
      <c r="AL1009" s="22" t="s">
        <v>1329</v>
      </c>
      <c r="AM1009" s="22" t="s">
        <v>1330</v>
      </c>
      <c r="AN1009" s="22" t="s">
        <v>1315</v>
      </c>
      <c r="AO1009" s="22" t="s">
        <v>1315</v>
      </c>
      <c r="AP1009" s="22" t="s">
        <v>1315</v>
      </c>
      <c r="AQ1009" s="22" t="s">
        <v>1315</v>
      </c>
      <c r="AR1009" s="22" t="s">
        <v>1317</v>
      </c>
      <c r="AS1009" s="22" t="s">
        <v>1318</v>
      </c>
      <c r="AT1009" s="22" t="s">
        <v>1309</v>
      </c>
      <c r="AU1009" s="22" t="s">
        <v>1309</v>
      </c>
      <c r="AV1009" s="22" t="s">
        <v>1309</v>
      </c>
      <c r="AW1009" s="22" t="s">
        <v>1309</v>
      </c>
      <c r="AX1009" s="22" t="s">
        <v>1317</v>
      </c>
      <c r="AY1009" s="22" t="s">
        <v>1318</v>
      </c>
      <c r="AZ1009" s="22" t="s">
        <v>1309</v>
      </c>
      <c r="BA1009" s="22" t="s">
        <v>1309</v>
      </c>
      <c r="BB1009" s="22" t="s">
        <v>1309</v>
      </c>
      <c r="BC1009" s="22" t="s">
        <v>1309</v>
      </c>
      <c r="BD1009" s="22" t="s">
        <v>1315</v>
      </c>
      <c r="BE1009" s="22" t="s">
        <v>1315</v>
      </c>
      <c r="BF1009" s="22" t="s">
        <v>1317</v>
      </c>
      <c r="BG1009" s="22" t="s">
        <v>1318</v>
      </c>
      <c r="BH1009" s="22" t="s">
        <v>1317</v>
      </c>
      <c r="BI1009" s="22" t="s">
        <v>1311</v>
      </c>
      <c r="BJ1009" s="22" t="s">
        <v>1317</v>
      </c>
      <c r="BK1009" s="22" t="s">
        <v>1318</v>
      </c>
      <c r="BL1009" s="22" t="s">
        <v>1309</v>
      </c>
      <c r="BM1009" s="22" t="s">
        <v>1309</v>
      </c>
      <c r="BN1009" s="22" t="s">
        <v>1309</v>
      </c>
      <c r="BO1009" s="22" t="s">
        <v>1309</v>
      </c>
      <c r="BP1009" s="22" t="s">
        <v>1309</v>
      </c>
      <c r="BQ1009" s="22" t="s">
        <v>1309</v>
      </c>
      <c r="BR1009" s="22" t="s">
        <v>1309</v>
      </c>
      <c r="BS1009" s="22" t="s">
        <v>1309</v>
      </c>
      <c r="BT1009" s="22" t="s">
        <v>1315</v>
      </c>
      <c r="BU1009" s="22" t="s">
        <v>1315</v>
      </c>
      <c r="BV1009" s="22" t="s">
        <v>1317</v>
      </c>
      <c r="BW1009" s="22" t="s">
        <v>1318</v>
      </c>
      <c r="BX1009" s="20">
        <v>0</v>
      </c>
      <c r="BY1009" s="20">
        <v>0</v>
      </c>
      <c r="BZ1009" s="20">
        <v>218</v>
      </c>
      <c r="CA1009" s="20">
        <v>0</v>
      </c>
      <c r="CB1009" s="20">
        <v>0</v>
      </c>
      <c r="CC1009" s="20">
        <v>1605</v>
      </c>
      <c r="CD1009" s="22" t="s">
        <v>1317</v>
      </c>
      <c r="CE1009" s="22" t="s">
        <v>1318</v>
      </c>
      <c r="CF1009" s="22" t="s">
        <v>1317</v>
      </c>
      <c r="CG1009" s="22" t="s">
        <v>1318</v>
      </c>
      <c r="CH1009" s="22" t="s">
        <v>1315</v>
      </c>
      <c r="CI1009" s="22" t="s">
        <v>1315</v>
      </c>
      <c r="CJ1009" s="149" t="s">
        <v>3465</v>
      </c>
      <c r="CK1009" s="241" t="s">
        <v>1124</v>
      </c>
    </row>
    <row r="1010" spans="1:89" ht="15" customHeight="1" x14ac:dyDescent="0.35">
      <c r="A1010" s="17"/>
      <c r="B1010" s="313">
        <v>21005</v>
      </c>
      <c r="C1010" s="8" t="s">
        <v>144</v>
      </c>
      <c r="D1010" s="18">
        <v>3</v>
      </c>
      <c r="E1010" s="131" t="s">
        <v>1309</v>
      </c>
      <c r="F1010" s="22" t="s">
        <v>1309</v>
      </c>
      <c r="G1010" s="132" t="s">
        <v>1309</v>
      </c>
      <c r="H1010" s="22" t="s">
        <v>1311</v>
      </c>
      <c r="I1010" s="22" t="s">
        <v>1327</v>
      </c>
      <c r="J1010" s="22" t="s">
        <v>1327</v>
      </c>
      <c r="K1010" s="22" t="s">
        <v>1309</v>
      </c>
      <c r="L1010" s="22" t="s">
        <v>1309</v>
      </c>
      <c r="M1010" s="133" t="s">
        <v>1311</v>
      </c>
      <c r="N1010" s="22" t="s">
        <v>1311</v>
      </c>
      <c r="O1010" s="22" t="s">
        <v>1314</v>
      </c>
      <c r="P1010" s="22" t="s">
        <v>1318</v>
      </c>
      <c r="Q1010" s="20">
        <v>0</v>
      </c>
      <c r="R1010" s="20">
        <v>0</v>
      </c>
      <c r="S1010" s="20">
        <v>0</v>
      </c>
      <c r="T1010" s="20">
        <v>0</v>
      </c>
      <c r="U1010" s="20">
        <v>0</v>
      </c>
      <c r="V1010" s="20">
        <v>0</v>
      </c>
      <c r="W1010" s="20">
        <v>0</v>
      </c>
      <c r="X1010" s="20">
        <v>0</v>
      </c>
      <c r="Y1010" s="20">
        <v>0</v>
      </c>
      <c r="Z1010" s="20">
        <v>0</v>
      </c>
      <c r="AA1010" s="20" t="s">
        <v>1317</v>
      </c>
      <c r="AB1010" s="22" t="s">
        <v>1318</v>
      </c>
      <c r="AC1010" s="20">
        <v>0</v>
      </c>
      <c r="AD1010" s="20">
        <v>0</v>
      </c>
      <c r="AE1010" s="20">
        <v>0</v>
      </c>
      <c r="AF1010" s="20">
        <v>0</v>
      </c>
      <c r="AG1010" s="20">
        <v>0</v>
      </c>
      <c r="AH1010" s="20">
        <v>0</v>
      </c>
      <c r="AI1010" s="328" t="s">
        <v>1328</v>
      </c>
      <c r="AJ1010" s="328" t="s">
        <v>1328</v>
      </c>
      <c r="AK1010" s="328" t="s">
        <v>1328</v>
      </c>
      <c r="AL1010" s="22" t="s">
        <v>1316</v>
      </c>
      <c r="AM1010" s="22" t="s">
        <v>1316</v>
      </c>
      <c r="AN1010" s="22" t="s">
        <v>1317</v>
      </c>
      <c r="AO1010" s="22" t="s">
        <v>1318</v>
      </c>
      <c r="AP1010" s="22" t="s">
        <v>1318</v>
      </c>
      <c r="AQ1010" s="22" t="s">
        <v>1318</v>
      </c>
      <c r="AR1010" s="22" t="s">
        <v>1317</v>
      </c>
      <c r="AS1010" s="22" t="s">
        <v>1318</v>
      </c>
      <c r="AT1010" s="22" t="s">
        <v>1317</v>
      </c>
      <c r="AU1010" s="22" t="s">
        <v>1318</v>
      </c>
      <c r="AV1010" s="22" t="s">
        <v>1309</v>
      </c>
      <c r="AW1010" s="22" t="s">
        <v>1309</v>
      </c>
      <c r="AX1010" s="22" t="s">
        <v>1317</v>
      </c>
      <c r="AY1010" s="22" t="s">
        <v>1318</v>
      </c>
      <c r="AZ1010" s="22" t="s">
        <v>1309</v>
      </c>
      <c r="BA1010" s="22" t="s">
        <v>1309</v>
      </c>
      <c r="BB1010" s="22" t="s">
        <v>1309</v>
      </c>
      <c r="BC1010" s="22" t="s">
        <v>1309</v>
      </c>
      <c r="BD1010" s="22" t="s">
        <v>1317</v>
      </c>
      <c r="BE1010" s="22" t="s">
        <v>1318</v>
      </c>
      <c r="BF1010" s="22" t="s">
        <v>1317</v>
      </c>
      <c r="BG1010" s="22" t="s">
        <v>1318</v>
      </c>
      <c r="BH1010" s="22" t="s">
        <v>1309</v>
      </c>
      <c r="BI1010" s="22" t="s">
        <v>1309</v>
      </c>
      <c r="BJ1010" s="22" t="s">
        <v>1317</v>
      </c>
      <c r="BK1010" s="22" t="s">
        <v>1318</v>
      </c>
      <c r="BL1010" s="22" t="s">
        <v>1319</v>
      </c>
      <c r="BM1010" s="22" t="s">
        <v>1311</v>
      </c>
      <c r="BN1010" s="22" t="s">
        <v>1309</v>
      </c>
      <c r="BO1010" s="22" t="s">
        <v>1309</v>
      </c>
      <c r="BP1010" s="22" t="s">
        <v>1309</v>
      </c>
      <c r="BQ1010" s="22" t="s">
        <v>1309</v>
      </c>
      <c r="BR1010" s="22" t="s">
        <v>1309</v>
      </c>
      <c r="BS1010" s="22" t="s">
        <v>1309</v>
      </c>
      <c r="BT1010" s="22" t="s">
        <v>1315</v>
      </c>
      <c r="BU1010" s="22" t="s">
        <v>1315</v>
      </c>
      <c r="BV1010" s="22" t="s">
        <v>1317</v>
      </c>
      <c r="BW1010" s="22" t="s">
        <v>1318</v>
      </c>
      <c r="BX1010" s="20">
        <v>0</v>
      </c>
      <c r="BY1010" s="20">
        <v>0</v>
      </c>
      <c r="BZ1010" s="20">
        <v>24</v>
      </c>
      <c r="CA1010" s="20">
        <v>0</v>
      </c>
      <c r="CB1010" s="20">
        <v>0</v>
      </c>
      <c r="CC1010" s="20">
        <v>241</v>
      </c>
      <c r="CD1010" s="22" t="s">
        <v>1317</v>
      </c>
      <c r="CE1010" s="22" t="s">
        <v>1318</v>
      </c>
      <c r="CF1010" s="22" t="s">
        <v>1317</v>
      </c>
      <c r="CG1010" s="22" t="s">
        <v>1318</v>
      </c>
      <c r="CH1010" s="22" t="s">
        <v>1317</v>
      </c>
      <c r="CI1010" s="22" t="s">
        <v>1318</v>
      </c>
      <c r="CJ1010" s="149" t="s">
        <v>3469</v>
      </c>
      <c r="CK1010" s="241" t="s">
        <v>1358</v>
      </c>
    </row>
    <row r="1011" spans="1:89" ht="15" customHeight="1" x14ac:dyDescent="0.35">
      <c r="A1011" s="17"/>
      <c r="B1011" s="313">
        <v>34090</v>
      </c>
      <c r="C1011" s="8" t="s">
        <v>296</v>
      </c>
      <c r="D1011" s="18">
        <v>3</v>
      </c>
      <c r="E1011" s="131"/>
      <c r="F1011" s="22"/>
      <c r="G1011" s="132"/>
      <c r="H1011" s="22"/>
      <c r="I1011" s="22"/>
      <c r="J1011" s="22"/>
      <c r="K1011" s="22"/>
      <c r="L1011" s="22"/>
      <c r="M1011" s="133"/>
      <c r="N1011" s="22"/>
      <c r="O1011" s="22"/>
      <c r="P1011" s="22"/>
      <c r="Q1011" s="20"/>
      <c r="R1011" s="20"/>
      <c r="S1011" s="20"/>
      <c r="T1011" s="20"/>
      <c r="U1011" s="20"/>
      <c r="V1011" s="20"/>
      <c r="W1011" s="20"/>
      <c r="X1011" s="20"/>
      <c r="Y1011" s="20"/>
      <c r="Z1011" s="20"/>
      <c r="AA1011" s="20"/>
      <c r="AB1011" s="22"/>
      <c r="AC1011" s="20"/>
      <c r="AD1011" s="20"/>
      <c r="AE1011" s="20"/>
      <c r="AF1011" s="20" t="s">
        <v>1124</v>
      </c>
      <c r="AG1011" s="20" t="s">
        <v>1124</v>
      </c>
      <c r="AH1011" s="20" t="s">
        <v>1124</v>
      </c>
      <c r="AI1011" s="328"/>
      <c r="AJ1011" s="328"/>
      <c r="AK1011" s="328"/>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0"/>
      <c r="BY1011" s="20"/>
      <c r="BZ1011" s="20"/>
      <c r="CA1011" s="20"/>
      <c r="CB1011" s="20"/>
      <c r="CC1011" s="20"/>
      <c r="CD1011" s="22"/>
      <c r="CE1011" s="22"/>
      <c r="CF1011" s="22"/>
      <c r="CG1011" s="22"/>
      <c r="CH1011" s="22"/>
      <c r="CI1011" s="22"/>
      <c r="CJ1011" s="149"/>
      <c r="CK1011" s="241"/>
    </row>
    <row r="1012" spans="1:89" ht="15" customHeight="1" x14ac:dyDescent="0.35">
      <c r="A1012" s="17"/>
      <c r="B1012" s="313">
        <v>8073</v>
      </c>
      <c r="C1012" s="8" t="s">
        <v>1095</v>
      </c>
      <c r="D1012" s="18">
        <v>1</v>
      </c>
      <c r="E1012" s="131" t="s">
        <v>1309</v>
      </c>
      <c r="F1012" s="22" t="s">
        <v>1309</v>
      </c>
      <c r="G1012" s="132" t="s">
        <v>1309</v>
      </c>
      <c r="H1012" s="22" t="s">
        <v>1311</v>
      </c>
      <c r="I1012" s="22" t="s">
        <v>1327</v>
      </c>
      <c r="J1012" s="22" t="s">
        <v>1327</v>
      </c>
      <c r="K1012" s="22" t="s">
        <v>1314</v>
      </c>
      <c r="L1012" s="22" t="s">
        <v>1311</v>
      </c>
      <c r="M1012" s="133" t="s">
        <v>1311</v>
      </c>
      <c r="N1012" s="22" t="s">
        <v>1311</v>
      </c>
      <c r="O1012" s="22" t="s">
        <v>1314</v>
      </c>
      <c r="P1012" s="22" t="s">
        <v>1318</v>
      </c>
      <c r="Q1012" s="20">
        <v>0</v>
      </c>
      <c r="R1012" s="20">
        <v>0</v>
      </c>
      <c r="S1012" s="20">
        <v>0</v>
      </c>
      <c r="T1012" s="20">
        <v>0</v>
      </c>
      <c r="U1012" s="20">
        <v>0</v>
      </c>
      <c r="V1012" s="20">
        <v>0</v>
      </c>
      <c r="W1012" s="20">
        <v>0</v>
      </c>
      <c r="X1012" s="20">
        <v>0</v>
      </c>
      <c r="Y1012" s="20">
        <v>0</v>
      </c>
      <c r="Z1012" s="20">
        <v>0</v>
      </c>
      <c r="AA1012" s="20" t="s">
        <v>1317</v>
      </c>
      <c r="AB1012" s="22" t="s">
        <v>1318</v>
      </c>
      <c r="AC1012" s="20">
        <v>0</v>
      </c>
      <c r="AD1012" s="20">
        <v>0</v>
      </c>
      <c r="AE1012" s="20">
        <v>0</v>
      </c>
      <c r="AF1012" s="20">
        <v>0</v>
      </c>
      <c r="AG1012" s="20">
        <v>0</v>
      </c>
      <c r="AH1012" s="20">
        <v>0</v>
      </c>
      <c r="AI1012" s="328" t="s">
        <v>1328</v>
      </c>
      <c r="AJ1012" s="328" t="s">
        <v>1328</v>
      </c>
      <c r="AK1012" s="328" t="s">
        <v>1328</v>
      </c>
      <c r="AL1012" s="22" t="s">
        <v>1329</v>
      </c>
      <c r="AM1012" s="22" t="s">
        <v>1330</v>
      </c>
      <c r="AN1012" s="22" t="s">
        <v>1317</v>
      </c>
      <c r="AO1012" s="22" t="s">
        <v>1318</v>
      </c>
      <c r="AP1012" s="22" t="s">
        <v>1318</v>
      </c>
      <c r="AQ1012" s="22" t="s">
        <v>1318</v>
      </c>
      <c r="AR1012" s="22" t="s">
        <v>1317</v>
      </c>
      <c r="AS1012" s="22" t="s">
        <v>1318</v>
      </c>
      <c r="AT1012" s="22" t="s">
        <v>1317</v>
      </c>
      <c r="AU1012" s="22" t="s">
        <v>1311</v>
      </c>
      <c r="AV1012" s="22" t="s">
        <v>1309</v>
      </c>
      <c r="AW1012" s="22" t="s">
        <v>1311</v>
      </c>
      <c r="AX1012" s="22" t="s">
        <v>1317</v>
      </c>
      <c r="AY1012" s="22" t="s">
        <v>1318</v>
      </c>
      <c r="AZ1012" s="22" t="s">
        <v>1317</v>
      </c>
      <c r="BA1012" s="22" t="s">
        <v>1318</v>
      </c>
      <c r="BB1012" s="22" t="s">
        <v>1309</v>
      </c>
      <c r="BC1012" s="22" t="s">
        <v>1309</v>
      </c>
      <c r="BD1012" s="22" t="s">
        <v>1317</v>
      </c>
      <c r="BE1012" s="22" t="s">
        <v>1318</v>
      </c>
      <c r="BF1012" s="22" t="s">
        <v>1317</v>
      </c>
      <c r="BG1012" s="22" t="s">
        <v>1318</v>
      </c>
      <c r="BH1012" s="22" t="s">
        <v>1317</v>
      </c>
      <c r="BI1012" s="22" t="s">
        <v>1318</v>
      </c>
      <c r="BJ1012" s="22" t="s">
        <v>1309</v>
      </c>
      <c r="BK1012" s="22" t="s">
        <v>1309</v>
      </c>
      <c r="BL1012" s="22" t="s">
        <v>1319</v>
      </c>
      <c r="BM1012" s="22" t="s">
        <v>1311</v>
      </c>
      <c r="BN1012" s="22" t="s">
        <v>1309</v>
      </c>
      <c r="BO1012" s="22" t="s">
        <v>1309</v>
      </c>
      <c r="BP1012" s="22" t="s">
        <v>1315</v>
      </c>
      <c r="BQ1012" s="22" t="s">
        <v>1315</v>
      </c>
      <c r="BR1012" s="22" t="s">
        <v>1309</v>
      </c>
      <c r="BS1012" s="22" t="s">
        <v>1309</v>
      </c>
      <c r="BT1012" s="22" t="s">
        <v>1309</v>
      </c>
      <c r="BU1012" s="22" t="s">
        <v>1309</v>
      </c>
      <c r="BV1012" s="22" t="s">
        <v>1317</v>
      </c>
      <c r="BW1012" s="22" t="s">
        <v>1318</v>
      </c>
      <c r="BX1012" s="20">
        <v>0</v>
      </c>
      <c r="BY1012" s="20">
        <v>0</v>
      </c>
      <c r="BZ1012" s="20">
        <v>12</v>
      </c>
      <c r="CA1012" s="20">
        <v>0</v>
      </c>
      <c r="CB1012" s="20">
        <v>0</v>
      </c>
      <c r="CC1012" s="20">
        <v>331</v>
      </c>
      <c r="CD1012" s="22" t="s">
        <v>1317</v>
      </c>
      <c r="CE1012" s="22" t="s">
        <v>1318</v>
      </c>
      <c r="CF1012" s="22" t="s">
        <v>1317</v>
      </c>
      <c r="CG1012" s="22" t="s">
        <v>1318</v>
      </c>
      <c r="CH1012" s="22" t="s">
        <v>1317</v>
      </c>
      <c r="CI1012" s="22" t="s">
        <v>1318</v>
      </c>
      <c r="CJ1012" s="149" t="s">
        <v>1124</v>
      </c>
      <c r="CK1012" s="241" t="s">
        <v>1502</v>
      </c>
    </row>
    <row r="1013" spans="1:89" ht="15" customHeight="1" x14ac:dyDescent="0.35">
      <c r="A1013" s="17"/>
      <c r="B1013" s="313">
        <v>16055</v>
      </c>
      <c r="C1013" s="8" t="s">
        <v>89</v>
      </c>
      <c r="D1013" s="18">
        <v>3</v>
      </c>
      <c r="E1013" s="131" t="s">
        <v>1309</v>
      </c>
      <c r="F1013" s="22" t="s">
        <v>1309</v>
      </c>
      <c r="G1013" s="132" t="s">
        <v>1309</v>
      </c>
      <c r="H1013" s="22" t="s">
        <v>1311</v>
      </c>
      <c r="I1013" s="22" t="s">
        <v>1349</v>
      </c>
      <c r="J1013" s="22" t="s">
        <v>1342</v>
      </c>
      <c r="K1013" s="22" t="s">
        <v>1314</v>
      </c>
      <c r="L1013" s="22" t="s">
        <v>1311</v>
      </c>
      <c r="M1013" s="133" t="s">
        <v>1311</v>
      </c>
      <c r="N1013" s="22" t="s">
        <v>1311</v>
      </c>
      <c r="O1013" s="22" t="s">
        <v>1314</v>
      </c>
      <c r="P1013" s="22" t="s">
        <v>1318</v>
      </c>
      <c r="Q1013" s="20">
        <v>0</v>
      </c>
      <c r="R1013" s="20">
        <v>0</v>
      </c>
      <c r="S1013" s="20">
        <v>0</v>
      </c>
      <c r="T1013" s="20">
        <v>0</v>
      </c>
      <c r="U1013" s="20">
        <v>0</v>
      </c>
      <c r="V1013" s="20">
        <v>0</v>
      </c>
      <c r="W1013" s="20">
        <v>0</v>
      </c>
      <c r="X1013" s="20">
        <v>0</v>
      </c>
      <c r="Y1013" s="20">
        <v>0</v>
      </c>
      <c r="Z1013" s="20">
        <v>0</v>
      </c>
      <c r="AA1013" s="20" t="s">
        <v>1317</v>
      </c>
      <c r="AB1013" s="22" t="s">
        <v>1318</v>
      </c>
      <c r="AC1013" s="20">
        <v>3</v>
      </c>
      <c r="AD1013" s="20">
        <v>0</v>
      </c>
      <c r="AE1013" s="20">
        <v>0</v>
      </c>
      <c r="AF1013" s="20">
        <v>1</v>
      </c>
      <c r="AG1013" s="20">
        <v>0</v>
      </c>
      <c r="AH1013" s="20">
        <v>0</v>
      </c>
      <c r="AI1013" s="328">
        <v>28.639618138424822</v>
      </c>
      <c r="AJ1013" s="328" t="s">
        <v>1328</v>
      </c>
      <c r="AK1013" s="328" t="s">
        <v>1328</v>
      </c>
      <c r="AL1013" s="22" t="s">
        <v>1329</v>
      </c>
      <c r="AM1013" s="22" t="s">
        <v>1330</v>
      </c>
      <c r="AN1013" s="22" t="s">
        <v>1317</v>
      </c>
      <c r="AO1013" s="22" t="s">
        <v>1318</v>
      </c>
      <c r="AP1013" s="22" t="s">
        <v>1318</v>
      </c>
      <c r="AQ1013" s="22" t="s">
        <v>1318</v>
      </c>
      <c r="AR1013" s="22" t="s">
        <v>1317</v>
      </c>
      <c r="AS1013" s="22" t="s">
        <v>1311</v>
      </c>
      <c r="AT1013" s="22" t="s">
        <v>1309</v>
      </c>
      <c r="AU1013" s="22" t="s">
        <v>1309</v>
      </c>
      <c r="AV1013" s="22" t="s">
        <v>1317</v>
      </c>
      <c r="AW1013" s="22" t="s">
        <v>1318</v>
      </c>
      <c r="AX1013" s="22" t="s">
        <v>1317</v>
      </c>
      <c r="AY1013" s="22" t="s">
        <v>1318</v>
      </c>
      <c r="AZ1013" s="22" t="s">
        <v>1317</v>
      </c>
      <c r="BA1013" s="22" t="s">
        <v>1318</v>
      </c>
      <c r="BB1013" s="22" t="s">
        <v>1309</v>
      </c>
      <c r="BC1013" s="22" t="s">
        <v>1309</v>
      </c>
      <c r="BD1013" s="22" t="s">
        <v>1317</v>
      </c>
      <c r="BE1013" s="22" t="s">
        <v>1318</v>
      </c>
      <c r="BF1013" s="22" t="s">
        <v>1317</v>
      </c>
      <c r="BG1013" s="22" t="s">
        <v>1318</v>
      </c>
      <c r="BH1013" s="22" t="s">
        <v>1317</v>
      </c>
      <c r="BI1013" s="22" t="s">
        <v>1318</v>
      </c>
      <c r="BJ1013" s="22" t="s">
        <v>1317</v>
      </c>
      <c r="BK1013" s="22" t="s">
        <v>1318</v>
      </c>
      <c r="BL1013" s="22" t="s">
        <v>1309</v>
      </c>
      <c r="BM1013" s="22" t="s">
        <v>1309</v>
      </c>
      <c r="BN1013" s="22" t="s">
        <v>1309</v>
      </c>
      <c r="BO1013" s="22" t="s">
        <v>1309</v>
      </c>
      <c r="BP1013" s="22" t="s">
        <v>1317</v>
      </c>
      <c r="BQ1013" s="22" t="s">
        <v>1318</v>
      </c>
      <c r="BR1013" s="22" t="s">
        <v>1309</v>
      </c>
      <c r="BS1013" s="22" t="s">
        <v>1309</v>
      </c>
      <c r="BT1013" s="22" t="s">
        <v>1309</v>
      </c>
      <c r="BU1013" s="22" t="s">
        <v>1309</v>
      </c>
      <c r="BV1013" s="22" t="s">
        <v>1317</v>
      </c>
      <c r="BW1013" s="22" t="s">
        <v>1318</v>
      </c>
      <c r="BX1013" s="20">
        <v>0</v>
      </c>
      <c r="BY1013" s="20">
        <v>24</v>
      </c>
      <c r="BZ1013" s="20">
        <v>16</v>
      </c>
      <c r="CA1013" s="20">
        <v>0</v>
      </c>
      <c r="CB1013" s="20">
        <v>0</v>
      </c>
      <c r="CC1013" s="20">
        <v>431</v>
      </c>
      <c r="CD1013" s="22" t="s">
        <v>1331</v>
      </c>
      <c r="CE1013" s="22" t="s">
        <v>1331</v>
      </c>
      <c r="CF1013" s="22" t="s">
        <v>1317</v>
      </c>
      <c r="CG1013" s="22" t="s">
        <v>1318</v>
      </c>
      <c r="CH1013" s="22" t="s">
        <v>1341</v>
      </c>
      <c r="CI1013" s="22" t="s">
        <v>1352</v>
      </c>
      <c r="CJ1013" s="149" t="s">
        <v>3475</v>
      </c>
      <c r="CK1013" s="241" t="s">
        <v>3476</v>
      </c>
    </row>
    <row r="1014" spans="1:89" ht="15" customHeight="1" x14ac:dyDescent="0.35">
      <c r="A1014" s="17"/>
      <c r="B1014" s="313">
        <v>70005</v>
      </c>
      <c r="C1014" s="8" t="s">
        <v>697</v>
      </c>
      <c r="D1014" s="18">
        <v>16</v>
      </c>
      <c r="E1014" s="131"/>
      <c r="F1014" s="22"/>
      <c r="G1014" s="132"/>
      <c r="H1014" s="22"/>
      <c r="I1014" s="22"/>
      <c r="J1014" s="22"/>
      <c r="K1014" s="22"/>
      <c r="L1014" s="22"/>
      <c r="M1014" s="133"/>
      <c r="N1014" s="22"/>
      <c r="O1014" s="22"/>
      <c r="P1014" s="22"/>
      <c r="Q1014" s="20"/>
      <c r="R1014" s="20"/>
      <c r="S1014" s="20"/>
      <c r="T1014" s="20"/>
      <c r="U1014" s="20"/>
      <c r="V1014" s="20"/>
      <c r="W1014" s="20"/>
      <c r="X1014" s="20"/>
      <c r="Y1014" s="20"/>
      <c r="Z1014" s="20"/>
      <c r="AA1014" s="20"/>
      <c r="AB1014" s="22"/>
      <c r="AC1014" s="20"/>
      <c r="AD1014" s="20"/>
      <c r="AE1014" s="20"/>
      <c r="AF1014" s="20" t="s">
        <v>1124</v>
      </c>
      <c r="AG1014" s="20" t="s">
        <v>1124</v>
      </c>
      <c r="AH1014" s="20" t="s">
        <v>1124</v>
      </c>
      <c r="AI1014" s="328"/>
      <c r="AJ1014" s="328"/>
      <c r="AK1014" s="328"/>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0"/>
      <c r="BY1014" s="20"/>
      <c r="BZ1014" s="20"/>
      <c r="CA1014" s="20"/>
      <c r="CB1014" s="20"/>
      <c r="CC1014" s="20"/>
      <c r="CD1014" s="22"/>
      <c r="CE1014" s="22"/>
      <c r="CF1014" s="22"/>
      <c r="CG1014" s="22"/>
      <c r="CH1014" s="22"/>
      <c r="CI1014" s="22"/>
      <c r="CJ1014" s="149"/>
      <c r="CK1014" s="241"/>
    </row>
    <row r="1015" spans="1:89" ht="15" customHeight="1" x14ac:dyDescent="0.35">
      <c r="A1015" s="17"/>
      <c r="B1015" s="313">
        <v>56030</v>
      </c>
      <c r="C1015" s="8" t="s">
        <v>571</v>
      </c>
      <c r="D1015" s="18">
        <v>16</v>
      </c>
      <c r="E1015" s="131"/>
      <c r="F1015" s="22"/>
      <c r="G1015" s="132"/>
      <c r="H1015" s="22"/>
      <c r="I1015" s="22"/>
      <c r="J1015" s="22"/>
      <c r="K1015" s="22"/>
      <c r="L1015" s="22"/>
      <c r="M1015" s="133"/>
      <c r="N1015" s="22"/>
      <c r="O1015" s="22"/>
      <c r="P1015" s="22"/>
      <c r="Q1015" s="20"/>
      <c r="R1015" s="20"/>
      <c r="S1015" s="20"/>
      <c r="T1015" s="20"/>
      <c r="U1015" s="20"/>
      <c r="V1015" s="20"/>
      <c r="W1015" s="20"/>
      <c r="X1015" s="20"/>
      <c r="Y1015" s="20"/>
      <c r="Z1015" s="20"/>
      <c r="AA1015" s="20"/>
      <c r="AB1015" s="22"/>
      <c r="AC1015" s="20"/>
      <c r="AD1015" s="20"/>
      <c r="AE1015" s="20"/>
      <c r="AF1015" s="20" t="s">
        <v>1124</v>
      </c>
      <c r="AG1015" s="20" t="s">
        <v>1124</v>
      </c>
      <c r="AH1015" s="20" t="s">
        <v>1124</v>
      </c>
      <c r="AI1015" s="328"/>
      <c r="AJ1015" s="328"/>
      <c r="AK1015" s="328"/>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0"/>
      <c r="BY1015" s="20"/>
      <c r="BZ1015" s="20"/>
      <c r="CA1015" s="20"/>
      <c r="CB1015" s="20"/>
      <c r="CC1015" s="20"/>
      <c r="CD1015" s="22"/>
      <c r="CE1015" s="22"/>
      <c r="CF1015" s="22"/>
      <c r="CG1015" s="22"/>
      <c r="CH1015" s="22"/>
      <c r="CI1015" s="22"/>
      <c r="CJ1015" s="149"/>
      <c r="CK1015" s="241"/>
    </row>
    <row r="1016" spans="1:89" ht="15" customHeight="1" x14ac:dyDescent="0.35">
      <c r="A1016" s="17"/>
      <c r="B1016" s="313">
        <v>39135</v>
      </c>
      <c r="C1016" s="8" t="s">
        <v>354</v>
      </c>
      <c r="D1016" s="18">
        <v>17</v>
      </c>
      <c r="E1016" s="131"/>
      <c r="F1016" s="22"/>
      <c r="G1016" s="132"/>
      <c r="H1016" s="22"/>
      <c r="I1016" s="22"/>
      <c r="J1016" s="22"/>
      <c r="K1016" s="22"/>
      <c r="L1016" s="22"/>
      <c r="M1016" s="133"/>
      <c r="N1016" s="22"/>
      <c r="O1016" s="22"/>
      <c r="P1016" s="22"/>
      <c r="Q1016" s="20"/>
      <c r="R1016" s="20"/>
      <c r="S1016" s="20"/>
      <c r="T1016" s="20"/>
      <c r="U1016" s="20"/>
      <c r="V1016" s="20"/>
      <c r="W1016" s="20"/>
      <c r="X1016" s="20"/>
      <c r="Y1016" s="20"/>
      <c r="Z1016" s="20"/>
      <c r="AA1016" s="20"/>
      <c r="AB1016" s="22"/>
      <c r="AC1016" s="20"/>
      <c r="AD1016" s="20"/>
      <c r="AE1016" s="20"/>
      <c r="AF1016" s="20" t="s">
        <v>1124</v>
      </c>
      <c r="AG1016" s="20" t="s">
        <v>1124</v>
      </c>
      <c r="AH1016" s="20" t="s">
        <v>1124</v>
      </c>
      <c r="AI1016" s="328"/>
      <c r="AJ1016" s="328"/>
      <c r="AK1016" s="328"/>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0"/>
      <c r="BY1016" s="20"/>
      <c r="BZ1016" s="20"/>
      <c r="CA1016" s="20"/>
      <c r="CB1016" s="20"/>
      <c r="CC1016" s="20"/>
      <c r="CD1016" s="22"/>
      <c r="CE1016" s="22"/>
      <c r="CF1016" s="22"/>
      <c r="CG1016" s="22"/>
      <c r="CH1016" s="22"/>
      <c r="CI1016" s="22"/>
      <c r="CJ1016" s="149"/>
      <c r="CK1016" s="241"/>
    </row>
    <row r="1017" spans="1:89" ht="15" customHeight="1" x14ac:dyDescent="0.35">
      <c r="A1017" s="17"/>
      <c r="B1017" s="313">
        <v>10060</v>
      </c>
      <c r="C1017" s="8" t="s">
        <v>14</v>
      </c>
      <c r="D1017" s="18">
        <v>1</v>
      </c>
      <c r="E1017" s="131"/>
      <c r="F1017" s="22"/>
      <c r="G1017" s="132"/>
      <c r="H1017" s="22"/>
      <c r="I1017" s="22"/>
      <c r="J1017" s="22"/>
      <c r="K1017" s="22"/>
      <c r="L1017" s="22"/>
      <c r="M1017" s="133"/>
      <c r="N1017" s="22"/>
      <c r="O1017" s="22"/>
      <c r="P1017" s="22"/>
      <c r="Q1017" s="20"/>
      <c r="R1017" s="20"/>
      <c r="S1017" s="20"/>
      <c r="T1017" s="20"/>
      <c r="U1017" s="20"/>
      <c r="V1017" s="20"/>
      <c r="W1017" s="20"/>
      <c r="X1017" s="20"/>
      <c r="Y1017" s="20"/>
      <c r="Z1017" s="20"/>
      <c r="AA1017" s="20"/>
      <c r="AB1017" s="22"/>
      <c r="AC1017" s="20"/>
      <c r="AD1017" s="20"/>
      <c r="AE1017" s="20"/>
      <c r="AF1017" s="20" t="s">
        <v>1124</v>
      </c>
      <c r="AG1017" s="20" t="s">
        <v>1124</v>
      </c>
      <c r="AH1017" s="20" t="s">
        <v>1124</v>
      </c>
      <c r="AI1017" s="328"/>
      <c r="AJ1017" s="328"/>
      <c r="AK1017" s="328"/>
      <c r="AL1017" s="22"/>
      <c r="AM1017" s="22"/>
      <c r="AN1017" s="22"/>
      <c r="AO1017" s="22"/>
      <c r="AP1017" s="22"/>
      <c r="AQ1017" s="22"/>
      <c r="AR1017" s="22"/>
      <c r="AS1017" s="22"/>
      <c r="AT1017" s="22"/>
      <c r="AU1017" s="22"/>
      <c r="AV1017" s="22"/>
      <c r="AW1017" s="22"/>
      <c r="AX1017" s="22"/>
      <c r="AY1017" s="22"/>
      <c r="AZ1017" s="22"/>
      <c r="BA1017" s="22"/>
      <c r="BB1017" s="22"/>
      <c r="BC1017" s="22"/>
      <c r="BD1017" s="22"/>
      <c r="BE1017" s="22"/>
      <c r="BF1017" s="22"/>
      <c r="BG1017" s="22"/>
      <c r="BH1017" s="22"/>
      <c r="BI1017" s="22"/>
      <c r="BJ1017" s="22"/>
      <c r="BK1017" s="22"/>
      <c r="BL1017" s="22"/>
      <c r="BM1017" s="22"/>
      <c r="BN1017" s="22"/>
      <c r="BO1017" s="22"/>
      <c r="BP1017" s="22"/>
      <c r="BQ1017" s="22"/>
      <c r="BR1017" s="22"/>
      <c r="BS1017" s="22"/>
      <c r="BT1017" s="22"/>
      <c r="BU1017" s="22"/>
      <c r="BV1017" s="22"/>
      <c r="BW1017" s="22"/>
      <c r="BX1017" s="20"/>
      <c r="BY1017" s="20"/>
      <c r="BZ1017" s="20"/>
      <c r="CA1017" s="20"/>
      <c r="CB1017" s="20"/>
      <c r="CC1017" s="20"/>
      <c r="CD1017" s="22"/>
      <c r="CE1017" s="22"/>
      <c r="CF1017" s="22"/>
      <c r="CG1017" s="22"/>
      <c r="CH1017" s="22"/>
      <c r="CI1017" s="22"/>
      <c r="CJ1017" s="149"/>
      <c r="CK1017" s="241"/>
    </row>
    <row r="1018" spans="1:89" ht="15" customHeight="1" x14ac:dyDescent="0.35">
      <c r="A1018" s="17"/>
      <c r="B1018" s="313">
        <v>54065</v>
      </c>
      <c r="C1018" s="8" t="s">
        <v>549</v>
      </c>
      <c r="D1018" s="18">
        <v>16</v>
      </c>
      <c r="E1018" s="131"/>
      <c r="F1018" s="22"/>
      <c r="G1018" s="132"/>
      <c r="H1018" s="22"/>
      <c r="I1018" s="22"/>
      <c r="J1018" s="22"/>
      <c r="K1018" s="22"/>
      <c r="L1018" s="22"/>
      <c r="M1018" s="133"/>
      <c r="N1018" s="22"/>
      <c r="O1018" s="22"/>
      <c r="P1018" s="22"/>
      <c r="Q1018" s="20"/>
      <c r="R1018" s="20"/>
      <c r="S1018" s="20"/>
      <c r="T1018" s="20"/>
      <c r="U1018" s="20"/>
      <c r="V1018" s="20"/>
      <c r="W1018" s="20"/>
      <c r="X1018" s="20"/>
      <c r="Y1018" s="20"/>
      <c r="Z1018" s="20"/>
      <c r="AA1018" s="20"/>
      <c r="AB1018" s="22"/>
      <c r="AC1018" s="20"/>
      <c r="AD1018" s="20"/>
      <c r="AE1018" s="20"/>
      <c r="AF1018" s="20" t="s">
        <v>1124</v>
      </c>
      <c r="AG1018" s="20" t="s">
        <v>1124</v>
      </c>
      <c r="AH1018" s="20" t="s">
        <v>1124</v>
      </c>
      <c r="AI1018" s="328"/>
      <c r="AJ1018" s="328"/>
      <c r="AK1018" s="328"/>
      <c r="AL1018" s="22"/>
      <c r="AM1018" s="22"/>
      <c r="AN1018" s="22"/>
      <c r="AO1018" s="22"/>
      <c r="AP1018" s="22"/>
      <c r="AQ1018" s="22"/>
      <c r="AR1018" s="22"/>
      <c r="AS1018" s="22"/>
      <c r="AT1018" s="22"/>
      <c r="AU1018" s="22"/>
      <c r="AV1018" s="22"/>
      <c r="AW1018" s="22"/>
      <c r="AX1018" s="22"/>
      <c r="AY1018" s="22"/>
      <c r="AZ1018" s="22"/>
      <c r="BA1018" s="22"/>
      <c r="BB1018" s="22"/>
      <c r="BC1018" s="22"/>
      <c r="BD1018" s="22"/>
      <c r="BE1018" s="22"/>
      <c r="BF1018" s="22"/>
      <c r="BG1018" s="22"/>
      <c r="BH1018" s="22"/>
      <c r="BI1018" s="22"/>
      <c r="BJ1018" s="22"/>
      <c r="BK1018" s="22"/>
      <c r="BL1018" s="22"/>
      <c r="BM1018" s="22"/>
      <c r="BN1018" s="22"/>
      <c r="BO1018" s="22"/>
      <c r="BP1018" s="22"/>
      <c r="BQ1018" s="22"/>
      <c r="BR1018" s="22"/>
      <c r="BS1018" s="22"/>
      <c r="BT1018" s="22"/>
      <c r="BU1018" s="22"/>
      <c r="BV1018" s="22"/>
      <c r="BW1018" s="22"/>
      <c r="BX1018" s="20"/>
      <c r="BY1018" s="20"/>
      <c r="BZ1018" s="20"/>
      <c r="CA1018" s="20"/>
      <c r="CB1018" s="20"/>
      <c r="CC1018" s="20"/>
      <c r="CD1018" s="22"/>
      <c r="CE1018" s="22"/>
      <c r="CF1018" s="22"/>
      <c r="CG1018" s="22"/>
      <c r="CH1018" s="22"/>
      <c r="CI1018" s="22"/>
      <c r="CJ1018" s="149"/>
      <c r="CK1018" s="241"/>
    </row>
    <row r="1019" spans="1:89" ht="15" customHeight="1" x14ac:dyDescent="0.35">
      <c r="A1019" s="17"/>
      <c r="B1019" s="313">
        <v>19117</v>
      </c>
      <c r="C1019" s="8" t="s">
        <v>137</v>
      </c>
      <c r="D1019" s="18">
        <v>12</v>
      </c>
      <c r="E1019" s="131"/>
      <c r="F1019" s="22"/>
      <c r="G1019" s="132"/>
      <c r="H1019" s="22"/>
      <c r="I1019" s="22"/>
      <c r="J1019" s="22"/>
      <c r="K1019" s="22"/>
      <c r="L1019" s="22"/>
      <c r="M1019" s="133"/>
      <c r="N1019" s="22"/>
      <c r="O1019" s="22"/>
      <c r="P1019" s="22"/>
      <c r="Q1019" s="20"/>
      <c r="R1019" s="20"/>
      <c r="S1019" s="20"/>
      <c r="T1019" s="20"/>
      <c r="U1019" s="20"/>
      <c r="V1019" s="20"/>
      <c r="W1019" s="20"/>
      <c r="X1019" s="20"/>
      <c r="Y1019" s="20"/>
      <c r="Z1019" s="20"/>
      <c r="AA1019" s="20"/>
      <c r="AB1019" s="22"/>
      <c r="AC1019" s="20"/>
      <c r="AD1019" s="20"/>
      <c r="AE1019" s="20"/>
      <c r="AF1019" s="20" t="s">
        <v>1124</v>
      </c>
      <c r="AG1019" s="20" t="s">
        <v>1124</v>
      </c>
      <c r="AH1019" s="20" t="s">
        <v>1124</v>
      </c>
      <c r="AI1019" s="328"/>
      <c r="AJ1019" s="328"/>
      <c r="AK1019" s="328"/>
      <c r="AL1019" s="22"/>
      <c r="AM1019" s="22"/>
      <c r="AN1019" s="22"/>
      <c r="AO1019" s="22"/>
      <c r="AP1019" s="22"/>
      <c r="AQ1019" s="22"/>
      <c r="AR1019" s="22"/>
      <c r="AS1019" s="22"/>
      <c r="AT1019" s="22"/>
      <c r="AU1019" s="22"/>
      <c r="AV1019" s="22"/>
      <c r="AW1019" s="22"/>
      <c r="AX1019" s="22"/>
      <c r="AY1019" s="22"/>
      <c r="AZ1019" s="22"/>
      <c r="BA1019" s="22"/>
      <c r="BB1019" s="22"/>
      <c r="BC1019" s="22"/>
      <c r="BD1019" s="22"/>
      <c r="BE1019" s="22"/>
      <c r="BF1019" s="22"/>
      <c r="BG1019" s="22"/>
      <c r="BH1019" s="22"/>
      <c r="BI1019" s="22"/>
      <c r="BJ1019" s="22"/>
      <c r="BK1019" s="22"/>
      <c r="BL1019" s="22"/>
      <c r="BM1019" s="22"/>
      <c r="BN1019" s="22"/>
      <c r="BO1019" s="22"/>
      <c r="BP1019" s="22"/>
      <c r="BQ1019" s="22"/>
      <c r="BR1019" s="22"/>
      <c r="BS1019" s="22"/>
      <c r="BT1019" s="22"/>
      <c r="BU1019" s="22"/>
      <c r="BV1019" s="22"/>
      <c r="BW1019" s="22"/>
      <c r="BX1019" s="20"/>
      <c r="BY1019" s="20"/>
      <c r="BZ1019" s="20"/>
      <c r="CA1019" s="20"/>
      <c r="CB1019" s="20"/>
      <c r="CC1019" s="20"/>
      <c r="CD1019" s="22"/>
      <c r="CE1019" s="22"/>
      <c r="CF1019" s="22"/>
      <c r="CG1019" s="22"/>
      <c r="CH1019" s="22"/>
      <c r="CI1019" s="22"/>
      <c r="CJ1019" s="149"/>
      <c r="CK1019" s="241"/>
    </row>
    <row r="1020" spans="1:89" ht="15" customHeight="1" x14ac:dyDescent="0.35">
      <c r="A1020" s="17"/>
      <c r="B1020" s="313">
        <v>44005</v>
      </c>
      <c r="C1020" s="8" t="s">
        <v>399</v>
      </c>
      <c r="D1020" s="18">
        <v>5</v>
      </c>
      <c r="E1020" s="131"/>
      <c r="F1020" s="22"/>
      <c r="G1020" s="132"/>
      <c r="H1020" s="22"/>
      <c r="I1020" s="22"/>
      <c r="J1020" s="22"/>
      <c r="K1020" s="22"/>
      <c r="L1020" s="22"/>
      <c r="M1020" s="133"/>
      <c r="N1020" s="22"/>
      <c r="O1020" s="22"/>
      <c r="P1020" s="22"/>
      <c r="Q1020" s="20"/>
      <c r="R1020" s="20"/>
      <c r="S1020" s="20"/>
      <c r="T1020" s="20"/>
      <c r="U1020" s="20"/>
      <c r="V1020" s="20"/>
      <c r="W1020" s="20"/>
      <c r="X1020" s="20"/>
      <c r="Y1020" s="20"/>
      <c r="Z1020" s="20"/>
      <c r="AA1020" s="20"/>
      <c r="AB1020" s="22"/>
      <c r="AC1020" s="20"/>
      <c r="AD1020" s="20"/>
      <c r="AE1020" s="20"/>
      <c r="AF1020" s="20" t="s">
        <v>1124</v>
      </c>
      <c r="AG1020" s="20" t="s">
        <v>1124</v>
      </c>
      <c r="AH1020" s="20" t="s">
        <v>1124</v>
      </c>
      <c r="AI1020" s="328"/>
      <c r="AJ1020" s="328"/>
      <c r="AK1020" s="328"/>
      <c r="AL1020" s="22"/>
      <c r="AM1020" s="22"/>
      <c r="AN1020" s="22"/>
      <c r="AO1020" s="22"/>
      <c r="AP1020" s="22"/>
      <c r="AQ1020" s="22"/>
      <c r="AR1020" s="22"/>
      <c r="AS1020" s="22"/>
      <c r="AT1020" s="22"/>
      <c r="AU1020" s="22"/>
      <c r="AV1020" s="22"/>
      <c r="AW1020" s="22"/>
      <c r="AX1020" s="22"/>
      <c r="AY1020" s="22"/>
      <c r="AZ1020" s="22"/>
      <c r="BA1020" s="22"/>
      <c r="BB1020" s="22"/>
      <c r="BC1020" s="22"/>
      <c r="BD1020" s="22"/>
      <c r="BE1020" s="22"/>
      <c r="BF1020" s="22"/>
      <c r="BG1020" s="22"/>
      <c r="BH1020" s="22"/>
      <c r="BI1020" s="22"/>
      <c r="BJ1020" s="22"/>
      <c r="BK1020" s="22"/>
      <c r="BL1020" s="22"/>
      <c r="BM1020" s="22"/>
      <c r="BN1020" s="22"/>
      <c r="BO1020" s="22"/>
      <c r="BP1020" s="22"/>
      <c r="BQ1020" s="22"/>
      <c r="BR1020" s="22"/>
      <c r="BS1020" s="22"/>
      <c r="BT1020" s="22"/>
      <c r="BU1020" s="22"/>
      <c r="BV1020" s="22"/>
      <c r="BW1020" s="22"/>
      <c r="BX1020" s="20"/>
      <c r="BY1020" s="20"/>
      <c r="BZ1020" s="20"/>
      <c r="CA1020" s="20"/>
      <c r="CB1020" s="20"/>
      <c r="CC1020" s="20"/>
      <c r="CD1020" s="22"/>
      <c r="CE1020" s="22"/>
      <c r="CF1020" s="22"/>
      <c r="CG1020" s="22"/>
      <c r="CH1020" s="22"/>
      <c r="CI1020" s="22"/>
      <c r="CJ1020" s="149"/>
      <c r="CK1020" s="241"/>
    </row>
    <row r="1021" spans="1:89" ht="15" customHeight="1" x14ac:dyDescent="0.35">
      <c r="A1021" s="17"/>
      <c r="B1021" s="313">
        <v>7075</v>
      </c>
      <c r="C1021" s="8" t="s">
        <v>1079</v>
      </c>
      <c r="D1021" s="18">
        <v>1</v>
      </c>
      <c r="E1021" s="131" t="s">
        <v>1309</v>
      </c>
      <c r="F1021" s="22" t="s">
        <v>1309</v>
      </c>
      <c r="G1021" s="132" t="s">
        <v>1309</v>
      </c>
      <c r="H1021" s="22" t="s">
        <v>1311</v>
      </c>
      <c r="I1021" s="22" t="s">
        <v>1349</v>
      </c>
      <c r="J1021" s="22" t="s">
        <v>1327</v>
      </c>
      <c r="K1021" s="22" t="s">
        <v>1309</v>
      </c>
      <c r="L1021" s="22" t="s">
        <v>1309</v>
      </c>
      <c r="M1021" s="133" t="s">
        <v>1311</v>
      </c>
      <c r="N1021" s="22" t="s">
        <v>1311</v>
      </c>
      <c r="O1021" s="22" t="s">
        <v>1314</v>
      </c>
      <c r="P1021" s="22" t="s">
        <v>1318</v>
      </c>
      <c r="Q1021" s="20">
        <v>0</v>
      </c>
      <c r="R1021" s="20">
        <v>0</v>
      </c>
      <c r="S1021" s="20">
        <v>0.1</v>
      </c>
      <c r="T1021" s="20">
        <v>7.0000000000000007E-2</v>
      </c>
      <c r="U1021" s="20">
        <v>0</v>
      </c>
      <c r="V1021" s="20">
        <v>0</v>
      </c>
      <c r="W1021" s="20">
        <v>0</v>
      </c>
      <c r="X1021" s="20">
        <v>0</v>
      </c>
      <c r="Y1021" s="20">
        <v>0</v>
      </c>
      <c r="Z1021" s="20">
        <v>0</v>
      </c>
      <c r="AA1021" s="20" t="s">
        <v>1317</v>
      </c>
      <c r="AB1021" s="22" t="s">
        <v>1318</v>
      </c>
      <c r="AC1021" s="20">
        <v>2</v>
      </c>
      <c r="AD1021" s="20">
        <v>0</v>
      </c>
      <c r="AE1021" s="20">
        <v>0</v>
      </c>
      <c r="AF1021" s="20">
        <v>2</v>
      </c>
      <c r="AG1021" s="20">
        <v>0</v>
      </c>
      <c r="AH1021" s="20">
        <v>0</v>
      </c>
      <c r="AI1021" s="328">
        <v>43.763676148796499</v>
      </c>
      <c r="AJ1021" s="328" t="s">
        <v>1328</v>
      </c>
      <c r="AK1021" s="328" t="s">
        <v>1328</v>
      </c>
      <c r="AL1021" s="22" t="s">
        <v>1329</v>
      </c>
      <c r="AM1021" s="22" t="s">
        <v>1330</v>
      </c>
      <c r="AN1021" s="22" t="s">
        <v>1317</v>
      </c>
      <c r="AO1021" s="22" t="s">
        <v>1318</v>
      </c>
      <c r="AP1021" s="22" t="s">
        <v>1318</v>
      </c>
      <c r="AQ1021" s="22" t="s">
        <v>1318</v>
      </c>
      <c r="AR1021" s="22" t="s">
        <v>1317</v>
      </c>
      <c r="AS1021" s="22" t="s">
        <v>1318</v>
      </c>
      <c r="AT1021" s="22" t="s">
        <v>1309</v>
      </c>
      <c r="AU1021" s="22" t="s">
        <v>1309</v>
      </c>
      <c r="AV1021" s="22" t="s">
        <v>1309</v>
      </c>
      <c r="AW1021" s="22" t="s">
        <v>1309</v>
      </c>
      <c r="AX1021" s="22" t="s">
        <v>1317</v>
      </c>
      <c r="AY1021" s="22" t="s">
        <v>1318</v>
      </c>
      <c r="AZ1021" s="22" t="s">
        <v>1309</v>
      </c>
      <c r="BA1021" s="22" t="s">
        <v>1309</v>
      </c>
      <c r="BB1021" s="22" t="s">
        <v>1309</v>
      </c>
      <c r="BC1021" s="22" t="s">
        <v>1309</v>
      </c>
      <c r="BD1021" s="22" t="s">
        <v>1317</v>
      </c>
      <c r="BE1021" s="22" t="s">
        <v>1318</v>
      </c>
      <c r="BF1021" s="22" t="s">
        <v>1317</v>
      </c>
      <c r="BG1021" s="22" t="s">
        <v>1318</v>
      </c>
      <c r="BH1021" s="22" t="s">
        <v>1317</v>
      </c>
      <c r="BI1021" s="22" t="s">
        <v>1318</v>
      </c>
      <c r="BJ1021" s="22" t="s">
        <v>1309</v>
      </c>
      <c r="BK1021" s="22" t="s">
        <v>1309</v>
      </c>
      <c r="BL1021" s="22" t="s">
        <v>1309</v>
      </c>
      <c r="BM1021" s="22" t="s">
        <v>1309</v>
      </c>
      <c r="BN1021" s="22" t="s">
        <v>1317</v>
      </c>
      <c r="BO1021" s="22" t="s">
        <v>1309</v>
      </c>
      <c r="BP1021" s="22" t="s">
        <v>1315</v>
      </c>
      <c r="BQ1021" s="22" t="s">
        <v>1315</v>
      </c>
      <c r="BR1021" s="22" t="s">
        <v>1317</v>
      </c>
      <c r="BS1021" s="22" t="s">
        <v>1318</v>
      </c>
      <c r="BT1021" s="22" t="s">
        <v>1315</v>
      </c>
      <c r="BU1021" s="22" t="s">
        <v>1315</v>
      </c>
      <c r="BV1021" s="22" t="s">
        <v>1317</v>
      </c>
      <c r="BW1021" s="22" t="s">
        <v>1318</v>
      </c>
      <c r="BX1021" s="20">
        <v>0</v>
      </c>
      <c r="BY1021" s="20">
        <v>0</v>
      </c>
      <c r="BZ1021" s="20">
        <v>7</v>
      </c>
      <c r="CA1021" s="20">
        <v>0</v>
      </c>
      <c r="CB1021" s="20">
        <v>0</v>
      </c>
      <c r="CC1021" s="20">
        <v>119</v>
      </c>
      <c r="CD1021" s="22" t="s">
        <v>1317</v>
      </c>
      <c r="CE1021" s="22" t="s">
        <v>1340</v>
      </c>
      <c r="CF1021" s="22" t="s">
        <v>1317</v>
      </c>
      <c r="CG1021" s="22" t="s">
        <v>1340</v>
      </c>
      <c r="CH1021" s="22" t="s">
        <v>1317</v>
      </c>
      <c r="CI1021" s="22" t="s">
        <v>1318</v>
      </c>
      <c r="CJ1021" s="149" t="s">
        <v>1124</v>
      </c>
      <c r="CK1021" s="241" t="s">
        <v>2620</v>
      </c>
    </row>
    <row r="1022" spans="1:89" ht="15" customHeight="1" x14ac:dyDescent="0.35">
      <c r="A1022" s="17"/>
      <c r="B1022" s="313">
        <v>27008</v>
      </c>
      <c r="C1022" s="8" t="s">
        <v>178</v>
      </c>
      <c r="D1022" s="18">
        <v>12</v>
      </c>
      <c r="E1022" s="131"/>
      <c r="F1022" s="22"/>
      <c r="G1022" s="132"/>
      <c r="H1022" s="22"/>
      <c r="I1022" s="22"/>
      <c r="J1022" s="22"/>
      <c r="K1022" s="22"/>
      <c r="L1022" s="22"/>
      <c r="M1022" s="133"/>
      <c r="N1022" s="22"/>
      <c r="O1022" s="22"/>
      <c r="P1022" s="22"/>
      <c r="Q1022" s="20"/>
      <c r="R1022" s="20"/>
      <c r="S1022" s="20"/>
      <c r="T1022" s="20"/>
      <c r="U1022" s="20"/>
      <c r="V1022" s="20"/>
      <c r="W1022" s="20"/>
      <c r="X1022" s="20"/>
      <c r="Y1022" s="20"/>
      <c r="Z1022" s="20"/>
      <c r="AA1022" s="20"/>
      <c r="AB1022" s="22"/>
      <c r="AC1022" s="20"/>
      <c r="AD1022" s="20"/>
      <c r="AE1022" s="20"/>
      <c r="AF1022" s="20" t="s">
        <v>1124</v>
      </c>
      <c r="AG1022" s="20" t="s">
        <v>1124</v>
      </c>
      <c r="AH1022" s="20" t="s">
        <v>1124</v>
      </c>
      <c r="AI1022" s="328"/>
      <c r="AJ1022" s="328"/>
      <c r="AK1022" s="328"/>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0"/>
      <c r="BY1022" s="20"/>
      <c r="BZ1022" s="20"/>
      <c r="CA1022" s="20"/>
      <c r="CB1022" s="20"/>
      <c r="CC1022" s="20"/>
      <c r="CD1022" s="22"/>
      <c r="CE1022" s="22"/>
      <c r="CF1022" s="22"/>
      <c r="CG1022" s="22"/>
      <c r="CH1022" s="22"/>
      <c r="CI1022" s="22"/>
      <c r="CJ1022" s="149"/>
      <c r="CK1022" s="241"/>
    </row>
    <row r="1023" spans="1:89" ht="15" customHeight="1" x14ac:dyDescent="0.35">
      <c r="A1023" s="17"/>
      <c r="B1023" s="313">
        <v>50023</v>
      </c>
      <c r="C1023" s="8" t="s">
        <v>484</v>
      </c>
      <c r="D1023" s="18">
        <v>17</v>
      </c>
      <c r="E1023" s="131" t="s">
        <v>1319</v>
      </c>
      <c r="F1023" s="22" t="s">
        <v>1310</v>
      </c>
      <c r="G1023" s="132" t="s">
        <v>1309</v>
      </c>
      <c r="H1023" s="22" t="s">
        <v>1311</v>
      </c>
      <c r="I1023" s="22" t="s">
        <v>1327</v>
      </c>
      <c r="J1023" s="22" t="s">
        <v>1318</v>
      </c>
      <c r="K1023" s="22" t="s">
        <v>1309</v>
      </c>
      <c r="L1023" s="22" t="s">
        <v>1309</v>
      </c>
      <c r="M1023" s="133" t="s">
        <v>1311</v>
      </c>
      <c r="N1023" s="22" t="s">
        <v>1311</v>
      </c>
      <c r="O1023" s="22" t="s">
        <v>1314</v>
      </c>
      <c r="P1023" s="22" t="s">
        <v>1318</v>
      </c>
      <c r="Q1023" s="20">
        <v>0</v>
      </c>
      <c r="R1023" s="20">
        <v>0</v>
      </c>
      <c r="S1023" s="20">
        <v>0</v>
      </c>
      <c r="T1023" s="20">
        <v>9.7170000000000005</v>
      </c>
      <c r="U1023" s="20">
        <v>0</v>
      </c>
      <c r="V1023" s="20">
        <v>1</v>
      </c>
      <c r="W1023" s="20">
        <v>0</v>
      </c>
      <c r="X1023" s="20">
        <v>0</v>
      </c>
      <c r="Y1023" s="20">
        <v>0</v>
      </c>
      <c r="Z1023" s="20">
        <v>0</v>
      </c>
      <c r="AA1023" s="20" t="s">
        <v>1317</v>
      </c>
      <c r="AB1023" s="22" t="s">
        <v>1311</v>
      </c>
      <c r="AC1023" s="20">
        <v>0</v>
      </c>
      <c r="AD1023" s="20">
        <v>0</v>
      </c>
      <c r="AE1023" s="20">
        <v>0</v>
      </c>
      <c r="AF1023" s="20">
        <v>0</v>
      </c>
      <c r="AG1023" s="20">
        <v>0</v>
      </c>
      <c r="AH1023" s="20">
        <v>0</v>
      </c>
      <c r="AI1023" s="328" t="s">
        <v>1328</v>
      </c>
      <c r="AJ1023" s="328" t="s">
        <v>1328</v>
      </c>
      <c r="AK1023" s="328" t="s">
        <v>1328</v>
      </c>
      <c r="AL1023" s="22" t="s">
        <v>1329</v>
      </c>
      <c r="AM1023" s="22" t="s">
        <v>1330</v>
      </c>
      <c r="AN1023" s="22" t="s">
        <v>1317</v>
      </c>
      <c r="AO1023" s="22" t="s">
        <v>1318</v>
      </c>
      <c r="AP1023" s="22" t="s">
        <v>1318</v>
      </c>
      <c r="AQ1023" s="22" t="s">
        <v>1318</v>
      </c>
      <c r="AR1023" s="22" t="s">
        <v>1317</v>
      </c>
      <c r="AS1023" s="22" t="s">
        <v>1318</v>
      </c>
      <c r="AT1023" s="22" t="s">
        <v>1317</v>
      </c>
      <c r="AU1023" s="22" t="s">
        <v>1318</v>
      </c>
      <c r="AV1023" s="22" t="s">
        <v>1317</v>
      </c>
      <c r="AW1023" s="22" t="s">
        <v>1318</v>
      </c>
      <c r="AX1023" s="22" t="s">
        <v>1317</v>
      </c>
      <c r="AY1023" s="22" t="s">
        <v>1318</v>
      </c>
      <c r="AZ1023" s="22" t="s">
        <v>1309</v>
      </c>
      <c r="BA1023" s="22" t="s">
        <v>1311</v>
      </c>
      <c r="BB1023" s="22" t="s">
        <v>1317</v>
      </c>
      <c r="BC1023" s="22" t="s">
        <v>1318</v>
      </c>
      <c r="BD1023" s="22" t="s">
        <v>1317</v>
      </c>
      <c r="BE1023" s="22" t="s">
        <v>1318</v>
      </c>
      <c r="BF1023" s="22" t="s">
        <v>1317</v>
      </c>
      <c r="BG1023" s="22" t="s">
        <v>1318</v>
      </c>
      <c r="BH1023" s="22" t="s">
        <v>1317</v>
      </c>
      <c r="BI1023" s="22" t="s">
        <v>1318</v>
      </c>
      <c r="BJ1023" s="22" t="s">
        <v>1317</v>
      </c>
      <c r="BK1023" s="22" t="s">
        <v>1318</v>
      </c>
      <c r="BL1023" s="22" t="s">
        <v>1309</v>
      </c>
      <c r="BM1023" s="22" t="s">
        <v>1309</v>
      </c>
      <c r="BN1023" s="22" t="s">
        <v>1317</v>
      </c>
      <c r="BO1023" s="22" t="s">
        <v>1318</v>
      </c>
      <c r="BP1023" s="22" t="s">
        <v>1317</v>
      </c>
      <c r="BQ1023" s="22" t="s">
        <v>1318</v>
      </c>
      <c r="BR1023" s="22" t="s">
        <v>1309</v>
      </c>
      <c r="BS1023" s="22" t="s">
        <v>1309</v>
      </c>
      <c r="BT1023" s="22" t="s">
        <v>1317</v>
      </c>
      <c r="BU1023" s="22" t="s">
        <v>1318</v>
      </c>
      <c r="BV1023" s="22" t="s">
        <v>1317</v>
      </c>
      <c r="BW1023" s="22" t="s">
        <v>1318</v>
      </c>
      <c r="BX1023" s="20">
        <v>4</v>
      </c>
      <c r="BY1023" s="20">
        <v>0</v>
      </c>
      <c r="BZ1023" s="20">
        <v>15</v>
      </c>
      <c r="CA1023" s="20">
        <v>5</v>
      </c>
      <c r="CB1023" s="20">
        <v>0</v>
      </c>
      <c r="CC1023" s="20">
        <v>265</v>
      </c>
      <c r="CD1023" s="22" t="s">
        <v>1317</v>
      </c>
      <c r="CE1023" s="22" t="s">
        <v>1318</v>
      </c>
      <c r="CF1023" s="22" t="s">
        <v>1317</v>
      </c>
      <c r="CG1023" s="22" t="s">
        <v>1318</v>
      </c>
      <c r="CH1023" s="22" t="s">
        <v>1317</v>
      </c>
      <c r="CI1023" s="22" t="s">
        <v>1318</v>
      </c>
      <c r="CJ1023" s="149" t="s">
        <v>1124</v>
      </c>
      <c r="CK1023" s="241" t="s">
        <v>1124</v>
      </c>
    </row>
    <row r="1024" spans="1:89" ht="15" customHeight="1" x14ac:dyDescent="0.35">
      <c r="A1024" s="17"/>
      <c r="B1024" s="313">
        <v>28005</v>
      </c>
      <c r="C1024" s="8" t="s">
        <v>188</v>
      </c>
      <c r="D1024" s="18">
        <v>12</v>
      </c>
      <c r="E1024" s="131" t="s">
        <v>1319</v>
      </c>
      <c r="F1024" s="22" t="s">
        <v>1310</v>
      </c>
      <c r="G1024" s="132" t="s">
        <v>1309</v>
      </c>
      <c r="H1024" s="22" t="s">
        <v>1311</v>
      </c>
      <c r="I1024" s="22" t="s">
        <v>1327</v>
      </c>
      <c r="J1024" s="22" t="s">
        <v>1327</v>
      </c>
      <c r="K1024" s="22" t="s">
        <v>1309</v>
      </c>
      <c r="L1024" s="22" t="s">
        <v>1309</v>
      </c>
      <c r="M1024" s="133" t="s">
        <v>1311</v>
      </c>
      <c r="N1024" s="22" t="s">
        <v>1311</v>
      </c>
      <c r="O1024" s="22" t="s">
        <v>1315</v>
      </c>
      <c r="P1024" s="22" t="s">
        <v>1315</v>
      </c>
      <c r="Q1024" s="20">
        <v>0</v>
      </c>
      <c r="R1024" s="20">
        <v>0</v>
      </c>
      <c r="S1024" s="20">
        <v>0</v>
      </c>
      <c r="T1024" s="20">
        <v>0</v>
      </c>
      <c r="U1024" s="20">
        <v>0</v>
      </c>
      <c r="V1024" s="20">
        <v>0</v>
      </c>
      <c r="W1024" s="20">
        <v>0</v>
      </c>
      <c r="X1024" s="20">
        <v>0</v>
      </c>
      <c r="Y1024" s="20">
        <v>0</v>
      </c>
      <c r="Z1024" s="20">
        <v>0</v>
      </c>
      <c r="AA1024" s="20" t="s">
        <v>1315</v>
      </c>
      <c r="AB1024" s="22" t="s">
        <v>1315</v>
      </c>
      <c r="AC1024" s="20">
        <v>0</v>
      </c>
      <c r="AD1024" s="20">
        <v>0</v>
      </c>
      <c r="AE1024" s="20">
        <v>0</v>
      </c>
      <c r="AF1024" s="20">
        <v>0</v>
      </c>
      <c r="AG1024" s="20">
        <v>0</v>
      </c>
      <c r="AH1024" s="20">
        <v>0</v>
      </c>
      <c r="AI1024" s="328" t="s">
        <v>1328</v>
      </c>
      <c r="AJ1024" s="328" t="s">
        <v>1328</v>
      </c>
      <c r="AK1024" s="328" t="s">
        <v>1328</v>
      </c>
      <c r="AL1024" s="22" t="s">
        <v>1329</v>
      </c>
      <c r="AM1024" s="22" t="s">
        <v>1330</v>
      </c>
      <c r="AN1024" s="22" t="s">
        <v>1315</v>
      </c>
      <c r="AO1024" s="22" t="s">
        <v>1315</v>
      </c>
      <c r="AP1024" s="22" t="s">
        <v>1315</v>
      </c>
      <c r="AQ1024" s="22" t="s">
        <v>1315</v>
      </c>
      <c r="AR1024" s="22" t="s">
        <v>1317</v>
      </c>
      <c r="AS1024" s="22" t="s">
        <v>1318</v>
      </c>
      <c r="AT1024" s="22" t="s">
        <v>1309</v>
      </c>
      <c r="AU1024" s="22" t="s">
        <v>1309</v>
      </c>
      <c r="AV1024" s="22" t="s">
        <v>1317</v>
      </c>
      <c r="AW1024" s="22" t="s">
        <v>1318</v>
      </c>
      <c r="AX1024" s="22" t="s">
        <v>1317</v>
      </c>
      <c r="AY1024" s="22" t="s">
        <v>1318</v>
      </c>
      <c r="AZ1024" s="22" t="s">
        <v>1309</v>
      </c>
      <c r="BA1024" s="22" t="s">
        <v>1309</v>
      </c>
      <c r="BB1024" s="22" t="s">
        <v>1309</v>
      </c>
      <c r="BC1024" s="22" t="s">
        <v>1309</v>
      </c>
      <c r="BD1024" s="22" t="s">
        <v>1317</v>
      </c>
      <c r="BE1024" s="22" t="s">
        <v>1318</v>
      </c>
      <c r="BF1024" s="22" t="s">
        <v>1317</v>
      </c>
      <c r="BG1024" s="22" t="s">
        <v>1318</v>
      </c>
      <c r="BH1024" s="22" t="s">
        <v>1309</v>
      </c>
      <c r="BI1024" s="22" t="s">
        <v>1309</v>
      </c>
      <c r="BJ1024" s="22" t="s">
        <v>1317</v>
      </c>
      <c r="BK1024" s="22" t="s">
        <v>1318</v>
      </c>
      <c r="BL1024" s="22" t="s">
        <v>1317</v>
      </c>
      <c r="BM1024" s="22" t="s">
        <v>1318</v>
      </c>
      <c r="BN1024" s="22" t="s">
        <v>1319</v>
      </c>
      <c r="BO1024" s="22" t="s">
        <v>1311</v>
      </c>
      <c r="BP1024" s="22" t="s">
        <v>1315</v>
      </c>
      <c r="BQ1024" s="22" t="s">
        <v>1315</v>
      </c>
      <c r="BR1024" s="22" t="s">
        <v>1309</v>
      </c>
      <c r="BS1024" s="22" t="s">
        <v>1309</v>
      </c>
      <c r="BT1024" s="22" t="s">
        <v>1317</v>
      </c>
      <c r="BU1024" s="22" t="s">
        <v>1311</v>
      </c>
      <c r="BV1024" s="22" t="s">
        <v>1319</v>
      </c>
      <c r="BW1024" s="22" t="s">
        <v>1311</v>
      </c>
      <c r="BX1024" s="20">
        <v>0</v>
      </c>
      <c r="BY1024" s="20">
        <v>0</v>
      </c>
      <c r="BZ1024" s="20">
        <v>14</v>
      </c>
      <c r="CA1024" s="20">
        <v>0</v>
      </c>
      <c r="CB1024" s="20">
        <v>0</v>
      </c>
      <c r="CC1024" s="20">
        <v>312</v>
      </c>
      <c r="CD1024" s="22" t="s">
        <v>1317</v>
      </c>
      <c r="CE1024" s="22" t="s">
        <v>1318</v>
      </c>
      <c r="CF1024" s="22" t="s">
        <v>1317</v>
      </c>
      <c r="CG1024" s="22" t="s">
        <v>1318</v>
      </c>
      <c r="CH1024" s="22" t="s">
        <v>1315</v>
      </c>
      <c r="CI1024" s="22" t="s">
        <v>1315</v>
      </c>
      <c r="CJ1024" s="149" t="s">
        <v>1124</v>
      </c>
      <c r="CK1024" s="241" t="s">
        <v>3486</v>
      </c>
    </row>
    <row r="1025" spans="1:89" ht="15" customHeight="1" x14ac:dyDescent="0.35">
      <c r="A1025" s="17"/>
      <c r="B1025" s="313">
        <v>62080</v>
      </c>
      <c r="C1025" s="8" t="s">
        <v>632</v>
      </c>
      <c r="D1025" s="18">
        <v>14</v>
      </c>
      <c r="E1025" s="131" t="s">
        <v>1309</v>
      </c>
      <c r="F1025" s="22" t="s">
        <v>1309</v>
      </c>
      <c r="G1025" s="132" t="s">
        <v>1309</v>
      </c>
      <c r="H1025" s="22" t="s">
        <v>1311</v>
      </c>
      <c r="I1025" s="22" t="s">
        <v>1327</v>
      </c>
      <c r="J1025" s="22" t="s">
        <v>1327</v>
      </c>
      <c r="K1025" s="22" t="s">
        <v>1309</v>
      </c>
      <c r="L1025" s="22" t="s">
        <v>1309</v>
      </c>
      <c r="M1025" s="133" t="s">
        <v>1311</v>
      </c>
      <c r="N1025" s="22" t="s">
        <v>1311</v>
      </c>
      <c r="O1025" s="22" t="s">
        <v>1314</v>
      </c>
      <c r="P1025" s="22" t="s">
        <v>1318</v>
      </c>
      <c r="Q1025" s="20">
        <v>0</v>
      </c>
      <c r="R1025" s="20">
        <v>0</v>
      </c>
      <c r="S1025" s="20">
        <v>0</v>
      </c>
      <c r="T1025" s="20">
        <v>0</v>
      </c>
      <c r="U1025" s="20">
        <v>0</v>
      </c>
      <c r="V1025" s="20">
        <v>0</v>
      </c>
      <c r="W1025" s="20">
        <v>0</v>
      </c>
      <c r="X1025" s="20">
        <v>0</v>
      </c>
      <c r="Y1025" s="20">
        <v>0</v>
      </c>
      <c r="Z1025" s="20">
        <v>0</v>
      </c>
      <c r="AA1025" s="20" t="s">
        <v>1317</v>
      </c>
      <c r="AB1025" s="22" t="s">
        <v>1318</v>
      </c>
      <c r="AC1025" s="20">
        <v>0</v>
      </c>
      <c r="AD1025" s="20">
        <v>0</v>
      </c>
      <c r="AE1025" s="20">
        <v>0</v>
      </c>
      <c r="AF1025" s="20">
        <v>0</v>
      </c>
      <c r="AG1025" s="20">
        <v>0</v>
      </c>
      <c r="AH1025" s="20">
        <v>0</v>
      </c>
      <c r="AI1025" s="328" t="s">
        <v>1328</v>
      </c>
      <c r="AJ1025" s="328" t="s">
        <v>1328</v>
      </c>
      <c r="AK1025" s="328" t="s">
        <v>1328</v>
      </c>
      <c r="AL1025" s="22" t="s">
        <v>1329</v>
      </c>
      <c r="AM1025" s="22" t="s">
        <v>1330</v>
      </c>
      <c r="AN1025" s="22" t="s">
        <v>1317</v>
      </c>
      <c r="AO1025" s="22" t="s">
        <v>1318</v>
      </c>
      <c r="AP1025" s="22" t="s">
        <v>1318</v>
      </c>
      <c r="AQ1025" s="22" t="s">
        <v>1318</v>
      </c>
      <c r="AR1025" s="22" t="s">
        <v>1317</v>
      </c>
      <c r="AS1025" s="22" t="s">
        <v>1318</v>
      </c>
      <c r="AT1025" s="22" t="s">
        <v>1309</v>
      </c>
      <c r="AU1025" s="22" t="s">
        <v>1309</v>
      </c>
      <c r="AV1025" s="22" t="s">
        <v>1317</v>
      </c>
      <c r="AW1025" s="22" t="s">
        <v>1318</v>
      </c>
      <c r="AX1025" s="22" t="s">
        <v>1317</v>
      </c>
      <c r="AY1025" s="22" t="s">
        <v>1318</v>
      </c>
      <c r="AZ1025" s="22" t="s">
        <v>1317</v>
      </c>
      <c r="BA1025" s="22" t="s">
        <v>1318</v>
      </c>
      <c r="BB1025" s="22" t="s">
        <v>1309</v>
      </c>
      <c r="BC1025" s="22" t="s">
        <v>1309</v>
      </c>
      <c r="BD1025" s="22" t="s">
        <v>1317</v>
      </c>
      <c r="BE1025" s="22" t="s">
        <v>1318</v>
      </c>
      <c r="BF1025" s="22" t="s">
        <v>1317</v>
      </c>
      <c r="BG1025" s="22" t="s">
        <v>1318</v>
      </c>
      <c r="BH1025" s="22" t="s">
        <v>1309</v>
      </c>
      <c r="BI1025" s="22" t="s">
        <v>1309</v>
      </c>
      <c r="BJ1025" s="22" t="s">
        <v>1309</v>
      </c>
      <c r="BK1025" s="22" t="s">
        <v>1309</v>
      </c>
      <c r="BL1025" s="22" t="s">
        <v>1317</v>
      </c>
      <c r="BM1025" s="22" t="s">
        <v>1318</v>
      </c>
      <c r="BN1025" s="22" t="s">
        <v>1317</v>
      </c>
      <c r="BO1025" s="22" t="s">
        <v>1318</v>
      </c>
      <c r="BP1025" s="22" t="s">
        <v>1315</v>
      </c>
      <c r="BQ1025" s="22" t="s">
        <v>1315</v>
      </c>
      <c r="BR1025" s="22" t="s">
        <v>1317</v>
      </c>
      <c r="BS1025" s="22" t="s">
        <v>1318</v>
      </c>
      <c r="BT1025" s="22" t="s">
        <v>1315</v>
      </c>
      <c r="BU1025" s="22" t="s">
        <v>1315</v>
      </c>
      <c r="BV1025" s="22" t="s">
        <v>1309</v>
      </c>
      <c r="BW1025" s="22" t="s">
        <v>1309</v>
      </c>
      <c r="BX1025" s="20">
        <v>0</v>
      </c>
      <c r="BY1025" s="20">
        <v>0</v>
      </c>
      <c r="BZ1025" s="20">
        <v>11</v>
      </c>
      <c r="CA1025" s="20">
        <v>0</v>
      </c>
      <c r="CB1025" s="20">
        <v>0</v>
      </c>
      <c r="CC1025" s="20">
        <v>161</v>
      </c>
      <c r="CD1025" s="22" t="s">
        <v>1317</v>
      </c>
      <c r="CE1025" s="22" t="s">
        <v>1318</v>
      </c>
      <c r="CF1025" s="22" t="s">
        <v>1317</v>
      </c>
      <c r="CG1025" s="22" t="s">
        <v>1318</v>
      </c>
      <c r="CH1025" s="22" t="s">
        <v>1317</v>
      </c>
      <c r="CI1025" s="22" t="s">
        <v>1318</v>
      </c>
      <c r="CJ1025" s="149" t="s">
        <v>1124</v>
      </c>
      <c r="CK1025" s="241" t="s">
        <v>1124</v>
      </c>
    </row>
    <row r="1026" spans="1:89" ht="15" customHeight="1" x14ac:dyDescent="0.35">
      <c r="A1026" s="17"/>
      <c r="B1026" s="313">
        <v>7035</v>
      </c>
      <c r="C1026" s="8" t="s">
        <v>1073</v>
      </c>
      <c r="D1026" s="18">
        <v>1</v>
      </c>
      <c r="E1026" s="131"/>
      <c r="F1026" s="22"/>
      <c r="G1026" s="132"/>
      <c r="H1026" s="22"/>
      <c r="I1026" s="22"/>
      <c r="J1026" s="22"/>
      <c r="K1026" s="22"/>
      <c r="L1026" s="22"/>
      <c r="M1026" s="133"/>
      <c r="N1026" s="22"/>
      <c r="O1026" s="22"/>
      <c r="P1026" s="22"/>
      <c r="Q1026" s="20"/>
      <c r="R1026" s="20"/>
      <c r="S1026" s="20"/>
      <c r="T1026" s="20"/>
      <c r="U1026" s="20"/>
      <c r="V1026" s="20"/>
      <c r="W1026" s="20"/>
      <c r="X1026" s="20"/>
      <c r="Y1026" s="20"/>
      <c r="Z1026" s="20"/>
      <c r="AA1026" s="20"/>
      <c r="AB1026" s="22"/>
      <c r="AC1026" s="20"/>
      <c r="AD1026" s="20"/>
      <c r="AE1026" s="20"/>
      <c r="AF1026" s="20" t="s">
        <v>1124</v>
      </c>
      <c r="AG1026" s="20" t="s">
        <v>1124</v>
      </c>
      <c r="AH1026" s="20" t="s">
        <v>1124</v>
      </c>
      <c r="AI1026" s="328"/>
      <c r="AJ1026" s="328"/>
      <c r="AK1026" s="328"/>
      <c r="AL1026" s="22"/>
      <c r="AM1026" s="22"/>
      <c r="AN1026" s="22"/>
      <c r="AO1026" s="22"/>
      <c r="AP1026" s="22"/>
      <c r="AQ1026" s="22"/>
      <c r="AR1026" s="22"/>
      <c r="AS1026" s="22"/>
      <c r="AT1026" s="22"/>
      <c r="AU1026" s="22"/>
      <c r="AV1026" s="22"/>
      <c r="AW1026" s="22"/>
      <c r="AX1026" s="22"/>
      <c r="AY1026" s="22"/>
      <c r="AZ1026" s="22"/>
      <c r="BA1026" s="22"/>
      <c r="BB1026" s="22"/>
      <c r="BC1026" s="22"/>
      <c r="BD1026" s="22"/>
      <c r="BE1026" s="22"/>
      <c r="BF1026" s="22"/>
      <c r="BG1026" s="22"/>
      <c r="BH1026" s="22"/>
      <c r="BI1026" s="22"/>
      <c r="BJ1026" s="22"/>
      <c r="BK1026" s="22"/>
      <c r="BL1026" s="22"/>
      <c r="BM1026" s="22"/>
      <c r="BN1026" s="22"/>
      <c r="BO1026" s="22"/>
      <c r="BP1026" s="22"/>
      <c r="BQ1026" s="22"/>
      <c r="BR1026" s="22"/>
      <c r="BS1026" s="22"/>
      <c r="BT1026" s="22"/>
      <c r="BU1026" s="22"/>
      <c r="BV1026" s="22"/>
      <c r="BW1026" s="22"/>
      <c r="BX1026" s="20"/>
      <c r="BY1026" s="20"/>
      <c r="BZ1026" s="20"/>
      <c r="CA1026" s="20"/>
      <c r="CB1026" s="20"/>
      <c r="CC1026" s="20"/>
      <c r="CD1026" s="22"/>
      <c r="CE1026" s="22"/>
      <c r="CF1026" s="22"/>
      <c r="CG1026" s="22"/>
      <c r="CH1026" s="22"/>
      <c r="CI1026" s="22"/>
      <c r="CJ1026" s="149"/>
      <c r="CK1026" s="241"/>
    </row>
    <row r="1027" spans="1:89" ht="15" customHeight="1" x14ac:dyDescent="0.35">
      <c r="A1027" s="17"/>
      <c r="B1027" s="314">
        <v>50090</v>
      </c>
      <c r="C1027" s="8" t="s">
        <v>493</v>
      </c>
      <c r="D1027" s="18">
        <v>17</v>
      </c>
      <c r="E1027" s="131" t="s">
        <v>1309</v>
      </c>
      <c r="F1027" s="22" t="s">
        <v>1309</v>
      </c>
      <c r="G1027" s="132" t="s">
        <v>1309</v>
      </c>
      <c r="H1027" s="22" t="s">
        <v>1311</v>
      </c>
      <c r="I1027" s="22" t="s">
        <v>1327</v>
      </c>
      <c r="J1027" s="22" t="s">
        <v>1327</v>
      </c>
      <c r="K1027" s="22" t="s">
        <v>1314</v>
      </c>
      <c r="L1027" s="22" t="s">
        <v>1311</v>
      </c>
      <c r="M1027" s="133" t="s">
        <v>1311</v>
      </c>
      <c r="N1027" s="22" t="s">
        <v>1311</v>
      </c>
      <c r="O1027" s="22" t="s">
        <v>1309</v>
      </c>
      <c r="P1027" s="22" t="s">
        <v>1309</v>
      </c>
      <c r="Q1027" s="20">
        <v>0</v>
      </c>
      <c r="R1027" s="20">
        <v>27.375</v>
      </c>
      <c r="S1027" s="20">
        <v>0</v>
      </c>
      <c r="T1027" s="20">
        <v>0</v>
      </c>
      <c r="U1027" s="20">
        <v>0</v>
      </c>
      <c r="V1027" s="20">
        <v>0</v>
      </c>
      <c r="W1027" s="20">
        <v>0</v>
      </c>
      <c r="X1027" s="20">
        <v>0</v>
      </c>
      <c r="Y1027" s="20">
        <v>0</v>
      </c>
      <c r="Z1027" s="20">
        <v>0</v>
      </c>
      <c r="AA1027" s="20" t="s">
        <v>1317</v>
      </c>
      <c r="AB1027" s="22" t="s">
        <v>1318</v>
      </c>
      <c r="AC1027" s="20">
        <v>2</v>
      </c>
      <c r="AD1027" s="20">
        <v>0</v>
      </c>
      <c r="AE1027" s="20">
        <v>0</v>
      </c>
      <c r="AF1027" s="20">
        <v>1</v>
      </c>
      <c r="AG1027" s="20">
        <v>0</v>
      </c>
      <c r="AH1027" s="20">
        <v>0</v>
      </c>
      <c r="AI1027" s="328">
        <v>7.3059360730593603</v>
      </c>
      <c r="AJ1027" s="328" t="s">
        <v>1328</v>
      </c>
      <c r="AK1027" s="328" t="s">
        <v>1328</v>
      </c>
      <c r="AL1027" s="22" t="s">
        <v>1329</v>
      </c>
      <c r="AM1027" s="22" t="s">
        <v>1330</v>
      </c>
      <c r="AN1027" s="22" t="s">
        <v>1315</v>
      </c>
      <c r="AO1027" s="22" t="s">
        <v>1315</v>
      </c>
      <c r="AP1027" s="22" t="s">
        <v>1315</v>
      </c>
      <c r="AQ1027" s="22" t="s">
        <v>1315</v>
      </c>
      <c r="AR1027" s="22" t="s">
        <v>1317</v>
      </c>
      <c r="AS1027" s="22" t="s">
        <v>1318</v>
      </c>
      <c r="AT1027" s="22" t="s">
        <v>1317</v>
      </c>
      <c r="AU1027" s="22" t="s">
        <v>1318</v>
      </c>
      <c r="AV1027" s="22" t="s">
        <v>1317</v>
      </c>
      <c r="AW1027" s="22" t="s">
        <v>1318</v>
      </c>
      <c r="AX1027" s="22" t="s">
        <v>1317</v>
      </c>
      <c r="AY1027" s="22" t="s">
        <v>1318</v>
      </c>
      <c r="AZ1027" s="22" t="s">
        <v>1309</v>
      </c>
      <c r="BA1027" s="22" t="s">
        <v>1309</v>
      </c>
      <c r="BB1027" s="22" t="s">
        <v>1309</v>
      </c>
      <c r="BC1027" s="22" t="s">
        <v>1309</v>
      </c>
      <c r="BD1027" s="22" t="s">
        <v>1309</v>
      </c>
      <c r="BE1027" s="22" t="s">
        <v>1309</v>
      </c>
      <c r="BF1027" s="22" t="s">
        <v>1309</v>
      </c>
      <c r="BG1027" s="22" t="s">
        <v>1309</v>
      </c>
      <c r="BH1027" s="22" t="s">
        <v>1317</v>
      </c>
      <c r="BI1027" s="22" t="s">
        <v>1318</v>
      </c>
      <c r="BJ1027" s="22" t="s">
        <v>1309</v>
      </c>
      <c r="BK1027" s="22" t="s">
        <v>1309</v>
      </c>
      <c r="BL1027" s="22" t="s">
        <v>1309</v>
      </c>
      <c r="BM1027" s="22" t="s">
        <v>1309</v>
      </c>
      <c r="BN1027" s="22" t="s">
        <v>1309</v>
      </c>
      <c r="BO1027" s="22" t="s">
        <v>1309</v>
      </c>
      <c r="BP1027" s="22" t="s">
        <v>1315</v>
      </c>
      <c r="BQ1027" s="22" t="s">
        <v>1315</v>
      </c>
      <c r="BR1027" s="22" t="s">
        <v>1309</v>
      </c>
      <c r="BS1027" s="22" t="s">
        <v>1309</v>
      </c>
      <c r="BT1027" s="22" t="s">
        <v>1309</v>
      </c>
      <c r="BU1027" s="22" t="s">
        <v>1309</v>
      </c>
      <c r="BV1027" s="22" t="s">
        <v>1309</v>
      </c>
      <c r="BW1027" s="22" t="s">
        <v>1309</v>
      </c>
      <c r="BX1027" s="20">
        <v>55</v>
      </c>
      <c r="BY1027" s="20">
        <v>0</v>
      </c>
      <c r="BZ1027" s="20">
        <v>0</v>
      </c>
      <c r="CA1027" s="20">
        <v>190</v>
      </c>
      <c r="CB1027" s="20">
        <v>0</v>
      </c>
      <c r="CC1027" s="20">
        <v>0</v>
      </c>
      <c r="CD1027" s="22" t="s">
        <v>1331</v>
      </c>
      <c r="CE1027" s="22" t="s">
        <v>1331</v>
      </c>
      <c r="CF1027" s="22" t="s">
        <v>1331</v>
      </c>
      <c r="CG1027" s="22" t="s">
        <v>1331</v>
      </c>
      <c r="CH1027" s="22" t="s">
        <v>1317</v>
      </c>
      <c r="CI1027" s="22" t="s">
        <v>1318</v>
      </c>
      <c r="CJ1027" s="149" t="s">
        <v>1124</v>
      </c>
      <c r="CK1027" s="241" t="s">
        <v>1124</v>
      </c>
    </row>
    <row r="1028" spans="1:89" ht="15" customHeight="1" x14ac:dyDescent="0.35">
      <c r="A1028" s="17"/>
      <c r="B1028" s="313">
        <v>71025</v>
      </c>
      <c r="C1028" s="8" t="s">
        <v>707</v>
      </c>
      <c r="D1028" s="18">
        <v>16</v>
      </c>
      <c r="E1028" s="131" t="s">
        <v>1309</v>
      </c>
      <c r="F1028" s="22" t="s">
        <v>1309</v>
      </c>
      <c r="G1028" s="132" t="s">
        <v>1309</v>
      </c>
      <c r="H1028" s="22" t="s">
        <v>1311</v>
      </c>
      <c r="I1028" s="22" t="s">
        <v>1327</v>
      </c>
      <c r="J1028" s="22" t="s">
        <v>1327</v>
      </c>
      <c r="K1028" s="22" t="s">
        <v>1314</v>
      </c>
      <c r="L1028" s="22" t="s">
        <v>1311</v>
      </c>
      <c r="M1028" s="133" t="s">
        <v>1311</v>
      </c>
      <c r="N1028" s="22" t="s">
        <v>1311</v>
      </c>
      <c r="O1028" s="22" t="s">
        <v>1314</v>
      </c>
      <c r="P1028" s="22" t="s">
        <v>1318</v>
      </c>
      <c r="Q1028" s="20">
        <v>0</v>
      </c>
      <c r="R1028" s="20">
        <v>0</v>
      </c>
      <c r="S1028" s="20">
        <v>0</v>
      </c>
      <c r="T1028" s="20">
        <v>0</v>
      </c>
      <c r="U1028" s="20">
        <v>0</v>
      </c>
      <c r="V1028" s="20">
        <v>53.103999999999999</v>
      </c>
      <c r="W1028" s="20">
        <v>0</v>
      </c>
      <c r="X1028" s="20">
        <v>0</v>
      </c>
      <c r="Y1028" s="20">
        <v>0</v>
      </c>
      <c r="Z1028" s="20">
        <v>0</v>
      </c>
      <c r="AA1028" s="20" t="s">
        <v>1317</v>
      </c>
      <c r="AB1028" s="22" t="s">
        <v>1318</v>
      </c>
      <c r="AC1028" s="20">
        <v>2</v>
      </c>
      <c r="AD1028" s="20">
        <v>0</v>
      </c>
      <c r="AE1028" s="20">
        <v>0</v>
      </c>
      <c r="AF1028" s="20">
        <v>1</v>
      </c>
      <c r="AG1028" s="20">
        <v>0</v>
      </c>
      <c r="AH1028" s="20">
        <v>0</v>
      </c>
      <c r="AI1028" s="328">
        <v>3.7661946369388373</v>
      </c>
      <c r="AJ1028" s="328" t="s">
        <v>1328</v>
      </c>
      <c r="AK1028" s="328" t="s">
        <v>1328</v>
      </c>
      <c r="AL1028" s="22" t="s">
        <v>1329</v>
      </c>
      <c r="AM1028" s="22" t="s">
        <v>1330</v>
      </c>
      <c r="AN1028" s="22" t="s">
        <v>1317</v>
      </c>
      <c r="AO1028" s="22" t="s">
        <v>1318</v>
      </c>
      <c r="AP1028" s="22" t="s">
        <v>1318</v>
      </c>
      <c r="AQ1028" s="22" t="s">
        <v>1318</v>
      </c>
      <c r="AR1028" s="22" t="s">
        <v>1309</v>
      </c>
      <c r="AS1028" s="22" t="s">
        <v>1309</v>
      </c>
      <c r="AT1028" s="22" t="s">
        <v>1317</v>
      </c>
      <c r="AU1028" s="22" t="s">
        <v>1317</v>
      </c>
      <c r="AV1028" s="22" t="s">
        <v>1309</v>
      </c>
      <c r="AW1028" s="22" t="s">
        <v>1309</v>
      </c>
      <c r="AX1028" s="22" t="s">
        <v>1317</v>
      </c>
      <c r="AY1028" s="22" t="s">
        <v>1317</v>
      </c>
      <c r="AZ1028" s="22" t="s">
        <v>1309</v>
      </c>
      <c r="BA1028" s="22" t="s">
        <v>1309</v>
      </c>
      <c r="BB1028" s="22" t="s">
        <v>1317</v>
      </c>
      <c r="BC1028" s="22" t="s">
        <v>1317</v>
      </c>
      <c r="BD1028" s="22" t="s">
        <v>1317</v>
      </c>
      <c r="BE1028" s="22" t="s">
        <v>1317</v>
      </c>
      <c r="BF1028" s="22" t="s">
        <v>1317</v>
      </c>
      <c r="BG1028" s="22" t="s">
        <v>1317</v>
      </c>
      <c r="BH1028" s="22" t="s">
        <v>1309</v>
      </c>
      <c r="BI1028" s="22" t="s">
        <v>1309</v>
      </c>
      <c r="BJ1028" s="22" t="s">
        <v>1317</v>
      </c>
      <c r="BK1028" s="22" t="s">
        <v>1318</v>
      </c>
      <c r="BL1028" s="22" t="s">
        <v>1317</v>
      </c>
      <c r="BM1028" s="22" t="s">
        <v>1311</v>
      </c>
      <c r="BN1028" s="22" t="s">
        <v>1317</v>
      </c>
      <c r="BO1028" s="22" t="s">
        <v>1311</v>
      </c>
      <c r="BP1028" s="22" t="s">
        <v>1309</v>
      </c>
      <c r="BQ1028" s="22" t="s">
        <v>1309</v>
      </c>
      <c r="BR1028" s="22" t="s">
        <v>1317</v>
      </c>
      <c r="BS1028" s="22" t="s">
        <v>1318</v>
      </c>
      <c r="BT1028" s="22" t="s">
        <v>1317</v>
      </c>
      <c r="BU1028" s="22" t="s">
        <v>1318</v>
      </c>
      <c r="BV1028" s="22" t="s">
        <v>1317</v>
      </c>
      <c r="BW1028" s="22" t="s">
        <v>1318</v>
      </c>
      <c r="BX1028" s="20">
        <v>58</v>
      </c>
      <c r="BY1028" s="20">
        <v>0</v>
      </c>
      <c r="BZ1028" s="20">
        <v>0</v>
      </c>
      <c r="CA1028" s="20">
        <v>0</v>
      </c>
      <c r="CB1028" s="20">
        <v>0</v>
      </c>
      <c r="CC1028" s="20">
        <v>3225</v>
      </c>
      <c r="CD1028" s="22" t="s">
        <v>1331</v>
      </c>
      <c r="CE1028" s="22" t="s">
        <v>1331</v>
      </c>
      <c r="CF1028" s="22" t="s">
        <v>1317</v>
      </c>
      <c r="CG1028" s="22" t="s">
        <v>1318</v>
      </c>
      <c r="CH1028" s="22" t="s">
        <v>1317</v>
      </c>
      <c r="CI1028" s="22" t="s">
        <v>1318</v>
      </c>
      <c r="CJ1028" s="149" t="s">
        <v>1124</v>
      </c>
      <c r="CK1028" s="241" t="s">
        <v>3496</v>
      </c>
    </row>
    <row r="1029" spans="1:89" ht="15" customHeight="1" x14ac:dyDescent="0.35">
      <c r="A1029" s="17"/>
      <c r="B1029" s="313">
        <v>70052</v>
      </c>
      <c r="C1029" s="8" t="s">
        <v>703</v>
      </c>
      <c r="D1029" s="18">
        <v>16</v>
      </c>
      <c r="E1029" s="131"/>
      <c r="F1029" s="22"/>
      <c r="G1029" s="132"/>
      <c r="H1029" s="22"/>
      <c r="I1029" s="22"/>
      <c r="J1029" s="22"/>
      <c r="K1029" s="22"/>
      <c r="L1029" s="22"/>
      <c r="M1029" s="133"/>
      <c r="N1029" s="22"/>
      <c r="O1029" s="22"/>
      <c r="P1029" s="22"/>
      <c r="Q1029" s="20"/>
      <c r="R1029" s="20"/>
      <c r="S1029" s="20"/>
      <c r="T1029" s="20"/>
      <c r="U1029" s="20"/>
      <c r="V1029" s="20"/>
      <c r="W1029" s="20"/>
      <c r="X1029" s="20"/>
      <c r="Y1029" s="20"/>
      <c r="Z1029" s="20"/>
      <c r="AA1029" s="20"/>
      <c r="AB1029" s="22"/>
      <c r="AC1029" s="20"/>
      <c r="AD1029" s="20"/>
      <c r="AE1029" s="20"/>
      <c r="AF1029" s="20" t="s">
        <v>1124</v>
      </c>
      <c r="AG1029" s="20" t="s">
        <v>1124</v>
      </c>
      <c r="AH1029" s="20" t="s">
        <v>1124</v>
      </c>
      <c r="AI1029" s="328"/>
      <c r="AJ1029" s="328"/>
      <c r="AK1029" s="328"/>
      <c r="AL1029" s="22"/>
      <c r="AM1029" s="22"/>
      <c r="AN1029" s="22"/>
      <c r="AO1029" s="22"/>
      <c r="AP1029" s="22"/>
      <c r="AQ1029" s="22"/>
      <c r="AR1029" s="22"/>
      <c r="AS1029" s="22"/>
      <c r="AT1029" s="22"/>
      <c r="AU1029" s="22"/>
      <c r="AV1029" s="22"/>
      <c r="AW1029" s="22"/>
      <c r="AX1029" s="22"/>
      <c r="AY1029" s="22"/>
      <c r="AZ1029" s="22"/>
      <c r="BA1029" s="22"/>
      <c r="BB1029" s="22"/>
      <c r="BC1029" s="22"/>
      <c r="BD1029" s="22"/>
      <c r="BE1029" s="22"/>
      <c r="BF1029" s="22"/>
      <c r="BG1029" s="22"/>
      <c r="BH1029" s="22"/>
      <c r="BI1029" s="22"/>
      <c r="BJ1029" s="22"/>
      <c r="BK1029" s="22"/>
      <c r="BL1029" s="22"/>
      <c r="BM1029" s="22"/>
      <c r="BN1029" s="22"/>
      <c r="BO1029" s="22"/>
      <c r="BP1029" s="22"/>
      <c r="BQ1029" s="22"/>
      <c r="BR1029" s="22"/>
      <c r="BS1029" s="22"/>
      <c r="BT1029" s="22"/>
      <c r="BU1029" s="22"/>
      <c r="BV1029" s="22"/>
      <c r="BW1029" s="22"/>
      <c r="BX1029" s="20"/>
      <c r="BY1029" s="20"/>
      <c r="BZ1029" s="20"/>
      <c r="CA1029" s="20"/>
      <c r="CB1029" s="20"/>
      <c r="CC1029" s="20"/>
      <c r="CD1029" s="22"/>
      <c r="CE1029" s="22"/>
      <c r="CF1029" s="22"/>
      <c r="CG1029" s="22"/>
      <c r="CH1029" s="22"/>
      <c r="CI1029" s="22"/>
      <c r="CJ1029" s="149"/>
      <c r="CK1029" s="241"/>
    </row>
    <row r="1030" spans="1:89" ht="15" customHeight="1" x14ac:dyDescent="0.35">
      <c r="A1030" s="17"/>
      <c r="B1030" s="313">
        <v>7085</v>
      </c>
      <c r="C1030" s="8" t="s">
        <v>1081</v>
      </c>
      <c r="D1030" s="18">
        <v>1</v>
      </c>
      <c r="E1030" s="131" t="s">
        <v>1309</v>
      </c>
      <c r="F1030" s="22" t="s">
        <v>1309</v>
      </c>
      <c r="G1030" s="132" t="s">
        <v>1309</v>
      </c>
      <c r="H1030" s="22" t="s">
        <v>1311</v>
      </c>
      <c r="I1030" s="22" t="s">
        <v>1327</v>
      </c>
      <c r="J1030" s="22" t="s">
        <v>1327</v>
      </c>
      <c r="K1030" s="22" t="s">
        <v>1309</v>
      </c>
      <c r="L1030" s="22" t="s">
        <v>1309</v>
      </c>
      <c r="M1030" s="133" t="s">
        <v>1311</v>
      </c>
      <c r="N1030" s="22" t="s">
        <v>1311</v>
      </c>
      <c r="O1030" s="22" t="s">
        <v>1314</v>
      </c>
      <c r="P1030" s="22" t="s">
        <v>1318</v>
      </c>
      <c r="Q1030" s="20">
        <v>0</v>
      </c>
      <c r="R1030" s="20">
        <v>0</v>
      </c>
      <c r="S1030" s="20">
        <v>0</v>
      </c>
      <c r="T1030" s="20">
        <v>0</v>
      </c>
      <c r="U1030" s="20">
        <v>18.399999999999999</v>
      </c>
      <c r="V1030" s="20">
        <v>17.260000000000002</v>
      </c>
      <c r="W1030" s="20">
        <v>0</v>
      </c>
      <c r="X1030" s="20">
        <v>0</v>
      </c>
      <c r="Y1030" s="20">
        <v>0</v>
      </c>
      <c r="Z1030" s="20">
        <v>0</v>
      </c>
      <c r="AA1030" s="20" t="s">
        <v>1309</v>
      </c>
      <c r="AB1030" s="22" t="s">
        <v>1309</v>
      </c>
      <c r="AC1030" s="20">
        <v>9</v>
      </c>
      <c r="AD1030" s="20">
        <v>2</v>
      </c>
      <c r="AE1030" s="20">
        <v>0</v>
      </c>
      <c r="AF1030" s="20">
        <v>1</v>
      </c>
      <c r="AG1030" s="20">
        <v>3</v>
      </c>
      <c r="AH1030" s="20">
        <v>0</v>
      </c>
      <c r="AI1030" s="328">
        <v>52.143684820393972</v>
      </c>
      <c r="AJ1030" s="328">
        <v>2.6109660574412534</v>
      </c>
      <c r="AK1030" s="328" t="s">
        <v>1328</v>
      </c>
      <c r="AL1030" s="22" t="s">
        <v>1329</v>
      </c>
      <c r="AM1030" s="22" t="s">
        <v>1330</v>
      </c>
      <c r="AN1030" s="22" t="s">
        <v>1317</v>
      </c>
      <c r="AO1030" s="22" t="s">
        <v>1318</v>
      </c>
      <c r="AP1030" s="22" t="s">
        <v>1318</v>
      </c>
      <c r="AQ1030" s="22" t="s">
        <v>1318</v>
      </c>
      <c r="AR1030" s="22" t="s">
        <v>1309</v>
      </c>
      <c r="AS1030" s="22" t="s">
        <v>1309</v>
      </c>
      <c r="AT1030" s="22" t="s">
        <v>1317</v>
      </c>
      <c r="AU1030" s="22" t="s">
        <v>1318</v>
      </c>
      <c r="AV1030" s="22" t="s">
        <v>1317</v>
      </c>
      <c r="AW1030" s="22" t="s">
        <v>1318</v>
      </c>
      <c r="AX1030" s="22" t="s">
        <v>1317</v>
      </c>
      <c r="AY1030" s="22" t="s">
        <v>1318</v>
      </c>
      <c r="AZ1030" s="22" t="s">
        <v>1309</v>
      </c>
      <c r="BA1030" s="22" t="s">
        <v>1309</v>
      </c>
      <c r="BB1030" s="22" t="s">
        <v>1309</v>
      </c>
      <c r="BC1030" s="22" t="s">
        <v>1309</v>
      </c>
      <c r="BD1030" s="22" t="s">
        <v>1317</v>
      </c>
      <c r="BE1030" s="22" t="s">
        <v>1318</v>
      </c>
      <c r="BF1030" s="22" t="s">
        <v>1319</v>
      </c>
      <c r="BG1030" s="22" t="s">
        <v>1311</v>
      </c>
      <c r="BH1030" s="22" t="s">
        <v>1317</v>
      </c>
      <c r="BI1030" s="22" t="s">
        <v>1318</v>
      </c>
      <c r="BJ1030" s="22" t="s">
        <v>1309</v>
      </c>
      <c r="BK1030" s="22" t="s">
        <v>1309</v>
      </c>
      <c r="BL1030" s="22" t="s">
        <v>1317</v>
      </c>
      <c r="BM1030" s="22" t="s">
        <v>1318</v>
      </c>
      <c r="BN1030" s="22" t="s">
        <v>1317</v>
      </c>
      <c r="BO1030" s="22" t="s">
        <v>1318</v>
      </c>
      <c r="BP1030" s="22" t="s">
        <v>1315</v>
      </c>
      <c r="BQ1030" s="22" t="s">
        <v>1315</v>
      </c>
      <c r="BR1030" s="22" t="s">
        <v>1309</v>
      </c>
      <c r="BS1030" s="22" t="s">
        <v>1309</v>
      </c>
      <c r="BT1030" s="22" t="s">
        <v>1317</v>
      </c>
      <c r="BU1030" s="22" t="s">
        <v>1311</v>
      </c>
      <c r="BV1030" s="22" t="s">
        <v>1309</v>
      </c>
      <c r="BW1030" s="22" t="s">
        <v>1309</v>
      </c>
      <c r="BX1030" s="20">
        <v>19</v>
      </c>
      <c r="BY1030" s="20">
        <v>0</v>
      </c>
      <c r="BZ1030" s="20">
        <v>20</v>
      </c>
      <c r="CA1030" s="20">
        <v>0</v>
      </c>
      <c r="CB1030" s="20">
        <v>0</v>
      </c>
      <c r="CC1030" s="20">
        <v>727</v>
      </c>
      <c r="CD1030" s="22" t="s">
        <v>1320</v>
      </c>
      <c r="CE1030" s="22" t="s">
        <v>1321</v>
      </c>
      <c r="CF1030" s="22" t="s">
        <v>1317</v>
      </c>
      <c r="CG1030" s="22" t="s">
        <v>1321</v>
      </c>
      <c r="CH1030" s="22" t="s">
        <v>1317</v>
      </c>
      <c r="CI1030" s="22" t="s">
        <v>1318</v>
      </c>
      <c r="CJ1030" s="149" t="s">
        <v>1124</v>
      </c>
      <c r="CK1030" s="241" t="s">
        <v>3500</v>
      </c>
    </row>
    <row r="1031" spans="1:89" ht="15" customHeight="1" x14ac:dyDescent="0.35">
      <c r="A1031" s="17"/>
      <c r="B1031" s="313">
        <v>97040</v>
      </c>
      <c r="C1031" s="8" t="s">
        <v>1005</v>
      </c>
      <c r="D1031" s="18">
        <v>9</v>
      </c>
      <c r="E1031" s="131"/>
      <c r="F1031" s="22"/>
      <c r="G1031" s="132"/>
      <c r="H1031" s="22"/>
      <c r="I1031" s="22"/>
      <c r="J1031" s="22"/>
      <c r="K1031" s="22"/>
      <c r="L1031" s="22"/>
      <c r="M1031" s="133"/>
      <c r="N1031" s="22"/>
      <c r="O1031" s="22"/>
      <c r="P1031" s="22"/>
      <c r="Q1031" s="20"/>
      <c r="R1031" s="20"/>
      <c r="S1031" s="20"/>
      <c r="T1031" s="20"/>
      <c r="U1031" s="20"/>
      <c r="V1031" s="20"/>
      <c r="W1031" s="20"/>
      <c r="X1031" s="20"/>
      <c r="Y1031" s="20"/>
      <c r="Z1031" s="20"/>
      <c r="AA1031" s="20"/>
      <c r="AB1031" s="22"/>
      <c r="AC1031" s="20"/>
      <c r="AD1031" s="20"/>
      <c r="AE1031" s="20"/>
      <c r="AF1031" s="20" t="s">
        <v>1124</v>
      </c>
      <c r="AG1031" s="20" t="s">
        <v>1124</v>
      </c>
      <c r="AH1031" s="20" t="s">
        <v>1124</v>
      </c>
      <c r="AI1031" s="328"/>
      <c r="AJ1031" s="328"/>
      <c r="AK1031" s="328"/>
      <c r="AL1031" s="22"/>
      <c r="AM1031" s="22"/>
      <c r="AN1031" s="22"/>
      <c r="AO1031" s="22"/>
      <c r="AP1031" s="22"/>
      <c r="AQ1031" s="22"/>
      <c r="AR1031" s="22"/>
      <c r="AS1031" s="22"/>
      <c r="AT1031" s="22"/>
      <c r="AU1031" s="22"/>
      <c r="AV1031" s="22"/>
      <c r="AW1031" s="22"/>
      <c r="AX1031" s="22"/>
      <c r="AY1031" s="22"/>
      <c r="AZ1031" s="22"/>
      <c r="BA1031" s="22"/>
      <c r="BB1031" s="22"/>
      <c r="BC1031" s="22"/>
      <c r="BD1031" s="22"/>
      <c r="BE1031" s="22"/>
      <c r="BF1031" s="22"/>
      <c r="BG1031" s="22"/>
      <c r="BH1031" s="22"/>
      <c r="BI1031" s="22"/>
      <c r="BJ1031" s="22"/>
      <c r="BK1031" s="22"/>
      <c r="BL1031" s="22"/>
      <c r="BM1031" s="22"/>
      <c r="BN1031" s="22"/>
      <c r="BO1031" s="22"/>
      <c r="BP1031" s="22"/>
      <c r="BQ1031" s="22"/>
      <c r="BR1031" s="22"/>
      <c r="BS1031" s="22"/>
      <c r="BT1031" s="22"/>
      <c r="BU1031" s="22"/>
      <c r="BV1031" s="22"/>
      <c r="BW1031" s="22"/>
      <c r="BX1031" s="20"/>
      <c r="BY1031" s="20"/>
      <c r="BZ1031" s="20"/>
      <c r="CA1031" s="20"/>
      <c r="CB1031" s="20"/>
      <c r="CC1031" s="20"/>
      <c r="CD1031" s="22"/>
      <c r="CE1031" s="22"/>
      <c r="CF1031" s="22"/>
      <c r="CG1031" s="22"/>
      <c r="CH1031" s="22"/>
      <c r="CI1031" s="22"/>
      <c r="CJ1031" s="149"/>
      <c r="CK1031" s="241"/>
    </row>
    <row r="1032" spans="1:89" ht="15" customHeight="1" x14ac:dyDescent="0.35">
      <c r="A1032" s="17"/>
      <c r="B1032" s="313">
        <v>41080</v>
      </c>
      <c r="C1032" s="8" t="s">
        <v>375</v>
      </c>
      <c r="D1032" s="18">
        <v>5</v>
      </c>
      <c r="E1032" s="131"/>
      <c r="F1032" s="22"/>
      <c r="G1032" s="132"/>
      <c r="H1032" s="22"/>
      <c r="I1032" s="22"/>
      <c r="J1032" s="22"/>
      <c r="K1032" s="22"/>
      <c r="L1032" s="22"/>
      <c r="M1032" s="133"/>
      <c r="N1032" s="22"/>
      <c r="O1032" s="22"/>
      <c r="P1032" s="22"/>
      <c r="Q1032" s="20"/>
      <c r="R1032" s="20"/>
      <c r="S1032" s="20"/>
      <c r="T1032" s="20"/>
      <c r="U1032" s="20"/>
      <c r="V1032" s="20"/>
      <c r="W1032" s="20"/>
      <c r="X1032" s="20"/>
      <c r="Y1032" s="20"/>
      <c r="Z1032" s="20"/>
      <c r="AA1032" s="20"/>
      <c r="AB1032" s="22"/>
      <c r="AC1032" s="20"/>
      <c r="AD1032" s="20"/>
      <c r="AE1032" s="20"/>
      <c r="AF1032" s="20" t="s">
        <v>1124</v>
      </c>
      <c r="AG1032" s="20" t="s">
        <v>1124</v>
      </c>
      <c r="AH1032" s="20" t="s">
        <v>1124</v>
      </c>
      <c r="AI1032" s="328"/>
      <c r="AJ1032" s="328"/>
      <c r="AK1032" s="328"/>
      <c r="AL1032" s="22"/>
      <c r="AM1032" s="22"/>
      <c r="AN1032" s="22"/>
      <c r="AO1032" s="22"/>
      <c r="AP1032" s="22"/>
      <c r="AQ1032" s="22"/>
      <c r="AR1032" s="22"/>
      <c r="AS1032" s="22"/>
      <c r="AT1032" s="22"/>
      <c r="AU1032" s="22"/>
      <c r="AV1032" s="22"/>
      <c r="AW1032" s="22"/>
      <c r="AX1032" s="22"/>
      <c r="AY1032" s="22"/>
      <c r="AZ1032" s="22"/>
      <c r="BA1032" s="22"/>
      <c r="BB1032" s="22"/>
      <c r="BC1032" s="22"/>
      <c r="BD1032" s="22"/>
      <c r="BE1032" s="22"/>
      <c r="BF1032" s="22"/>
      <c r="BG1032" s="22"/>
      <c r="BH1032" s="22"/>
      <c r="BI1032" s="22"/>
      <c r="BJ1032" s="22"/>
      <c r="BK1032" s="22"/>
      <c r="BL1032" s="22"/>
      <c r="BM1032" s="22"/>
      <c r="BN1032" s="22"/>
      <c r="BO1032" s="22"/>
      <c r="BP1032" s="22"/>
      <c r="BQ1032" s="22"/>
      <c r="BR1032" s="22"/>
      <c r="BS1032" s="22"/>
      <c r="BT1032" s="22"/>
      <c r="BU1032" s="22"/>
      <c r="BV1032" s="22"/>
      <c r="BW1032" s="22"/>
      <c r="BX1032" s="20"/>
      <c r="BY1032" s="20"/>
      <c r="BZ1032" s="20"/>
      <c r="CA1032" s="20"/>
      <c r="CB1032" s="20"/>
      <c r="CC1032" s="20"/>
      <c r="CD1032" s="22"/>
      <c r="CE1032" s="22"/>
      <c r="CF1032" s="22"/>
      <c r="CG1032" s="22"/>
      <c r="CH1032" s="22"/>
      <c r="CI1032" s="22"/>
      <c r="CJ1032" s="149"/>
      <c r="CK1032" s="241"/>
    </row>
    <row r="1033" spans="1:89" ht="15" customHeight="1" x14ac:dyDescent="0.35">
      <c r="A1033" s="17"/>
      <c r="B1033" s="313">
        <v>26048</v>
      </c>
      <c r="C1033" s="8" t="s">
        <v>174</v>
      </c>
      <c r="D1033" s="18">
        <v>12</v>
      </c>
      <c r="E1033" s="131" t="s">
        <v>1319</v>
      </c>
      <c r="F1033" s="22" t="s">
        <v>1310</v>
      </c>
      <c r="G1033" s="132" t="s">
        <v>1309</v>
      </c>
      <c r="H1033" s="22" t="s">
        <v>1311</v>
      </c>
      <c r="I1033" s="22" t="s">
        <v>1327</v>
      </c>
      <c r="J1033" s="22" t="s">
        <v>1327</v>
      </c>
      <c r="K1033" s="22" t="s">
        <v>1314</v>
      </c>
      <c r="L1033" s="22" t="s">
        <v>1311</v>
      </c>
      <c r="M1033" s="133" t="s">
        <v>1311</v>
      </c>
      <c r="N1033" s="22" t="s">
        <v>1311</v>
      </c>
      <c r="O1033" s="22" t="s">
        <v>1315</v>
      </c>
      <c r="P1033" s="22" t="s">
        <v>1315</v>
      </c>
      <c r="Q1033" s="20">
        <v>0</v>
      </c>
      <c r="R1033" s="20">
        <v>0</v>
      </c>
      <c r="S1033" s="20">
        <v>0</v>
      </c>
      <c r="T1033" s="20">
        <v>0</v>
      </c>
      <c r="U1033" s="20">
        <v>0</v>
      </c>
      <c r="V1033" s="20">
        <v>0</v>
      </c>
      <c r="W1033" s="20">
        <v>0</v>
      </c>
      <c r="X1033" s="20">
        <v>0</v>
      </c>
      <c r="Y1033" s="20">
        <v>0</v>
      </c>
      <c r="Z1033" s="20">
        <v>0</v>
      </c>
      <c r="AA1033" s="20" t="s">
        <v>1317</v>
      </c>
      <c r="AB1033" s="22" t="s">
        <v>1318</v>
      </c>
      <c r="AC1033" s="20">
        <v>0</v>
      </c>
      <c r="AD1033" s="20">
        <v>0</v>
      </c>
      <c r="AE1033" s="20">
        <v>0</v>
      </c>
      <c r="AF1033" s="20">
        <v>0</v>
      </c>
      <c r="AG1033" s="20">
        <v>0</v>
      </c>
      <c r="AH1033" s="20">
        <v>0</v>
      </c>
      <c r="AI1033" s="328" t="s">
        <v>1328</v>
      </c>
      <c r="AJ1033" s="328" t="s">
        <v>1328</v>
      </c>
      <c r="AK1033" s="328" t="s">
        <v>1328</v>
      </c>
      <c r="AL1033" s="22" t="s">
        <v>1329</v>
      </c>
      <c r="AM1033" s="22" t="s">
        <v>1330</v>
      </c>
      <c r="AN1033" s="22" t="s">
        <v>1317</v>
      </c>
      <c r="AO1033" s="22" t="s">
        <v>1318</v>
      </c>
      <c r="AP1033" s="22" t="s">
        <v>1350</v>
      </c>
      <c r="AQ1033" s="22" t="s">
        <v>1350</v>
      </c>
      <c r="AR1033" s="22" t="s">
        <v>1309</v>
      </c>
      <c r="AS1033" s="22" t="s">
        <v>1311</v>
      </c>
      <c r="AT1033" s="22" t="s">
        <v>1317</v>
      </c>
      <c r="AU1033" s="22" t="s">
        <v>1311</v>
      </c>
      <c r="AV1033" s="22" t="s">
        <v>1317</v>
      </c>
      <c r="AW1033" s="22" t="s">
        <v>1318</v>
      </c>
      <c r="AX1033" s="22" t="s">
        <v>1317</v>
      </c>
      <c r="AY1033" s="22" t="s">
        <v>1318</v>
      </c>
      <c r="AZ1033" s="22" t="s">
        <v>1317</v>
      </c>
      <c r="BA1033" s="22" t="s">
        <v>1318</v>
      </c>
      <c r="BB1033" s="22" t="s">
        <v>1309</v>
      </c>
      <c r="BC1033" s="22" t="s">
        <v>1309</v>
      </c>
      <c r="BD1033" s="22" t="s">
        <v>1317</v>
      </c>
      <c r="BE1033" s="22" t="s">
        <v>1318</v>
      </c>
      <c r="BF1033" s="22" t="s">
        <v>1317</v>
      </c>
      <c r="BG1033" s="22" t="s">
        <v>1318</v>
      </c>
      <c r="BH1033" s="22" t="s">
        <v>1309</v>
      </c>
      <c r="BI1033" s="22" t="s">
        <v>1309</v>
      </c>
      <c r="BJ1033" s="22" t="s">
        <v>1317</v>
      </c>
      <c r="BK1033" s="22" t="s">
        <v>1311</v>
      </c>
      <c r="BL1033" s="22" t="s">
        <v>1317</v>
      </c>
      <c r="BM1033" s="22" t="s">
        <v>1318</v>
      </c>
      <c r="BN1033" s="22" t="s">
        <v>1317</v>
      </c>
      <c r="BO1033" s="22" t="s">
        <v>1311</v>
      </c>
      <c r="BP1033" s="22" t="s">
        <v>1309</v>
      </c>
      <c r="BQ1033" s="22" t="s">
        <v>1309</v>
      </c>
      <c r="BR1033" s="22" t="s">
        <v>1317</v>
      </c>
      <c r="BS1033" s="22" t="s">
        <v>1311</v>
      </c>
      <c r="BT1033" s="22" t="s">
        <v>1309</v>
      </c>
      <c r="BU1033" s="22" t="s">
        <v>1309</v>
      </c>
      <c r="BV1033" s="22" t="s">
        <v>1317</v>
      </c>
      <c r="BW1033" s="22" t="s">
        <v>1318</v>
      </c>
      <c r="BX1033" s="20">
        <v>0</v>
      </c>
      <c r="BY1033" s="20">
        <v>0</v>
      </c>
      <c r="BZ1033" s="20">
        <v>15</v>
      </c>
      <c r="CA1033" s="20">
        <v>0</v>
      </c>
      <c r="CB1033" s="20">
        <v>0</v>
      </c>
      <c r="CC1033" s="20">
        <v>516</v>
      </c>
      <c r="CD1033" s="22" t="s">
        <v>1317</v>
      </c>
      <c r="CE1033" s="22" t="s">
        <v>1318</v>
      </c>
      <c r="CF1033" s="22" t="s">
        <v>1317</v>
      </c>
      <c r="CG1033" s="22" t="s">
        <v>1318</v>
      </c>
      <c r="CH1033" s="22" t="s">
        <v>1317</v>
      </c>
      <c r="CI1033" s="22" t="s">
        <v>1318</v>
      </c>
      <c r="CJ1033" s="149" t="s">
        <v>3755</v>
      </c>
      <c r="CK1033" s="241" t="s">
        <v>1124</v>
      </c>
    </row>
    <row r="1034" spans="1:89" ht="15" customHeight="1" x14ac:dyDescent="0.35">
      <c r="A1034" s="17"/>
      <c r="B1034" s="313">
        <v>89045</v>
      </c>
      <c r="C1034" s="8" t="s">
        <v>932</v>
      </c>
      <c r="D1034" s="18">
        <v>8</v>
      </c>
      <c r="E1034" s="131"/>
      <c r="F1034" s="22"/>
      <c r="G1034" s="132"/>
      <c r="H1034" s="22"/>
      <c r="I1034" s="22"/>
      <c r="J1034" s="22"/>
      <c r="K1034" s="22"/>
      <c r="L1034" s="22"/>
      <c r="M1034" s="133"/>
      <c r="N1034" s="22"/>
      <c r="O1034" s="22"/>
      <c r="P1034" s="22"/>
      <c r="Q1034" s="20"/>
      <c r="R1034" s="20"/>
      <c r="S1034" s="20"/>
      <c r="T1034" s="20"/>
      <c r="U1034" s="20"/>
      <c r="V1034" s="20"/>
      <c r="W1034" s="20"/>
      <c r="X1034" s="20"/>
      <c r="Y1034" s="20"/>
      <c r="Z1034" s="20"/>
      <c r="AA1034" s="20"/>
      <c r="AB1034" s="22"/>
      <c r="AC1034" s="20"/>
      <c r="AD1034" s="20"/>
      <c r="AE1034" s="20"/>
      <c r="AF1034" s="20" t="s">
        <v>1124</v>
      </c>
      <c r="AG1034" s="20" t="s">
        <v>1124</v>
      </c>
      <c r="AH1034" s="20" t="s">
        <v>1124</v>
      </c>
      <c r="AI1034" s="328"/>
      <c r="AJ1034" s="328"/>
      <c r="AK1034" s="328"/>
      <c r="AL1034" s="22"/>
      <c r="AM1034" s="22"/>
      <c r="AN1034" s="22"/>
      <c r="AO1034" s="22"/>
      <c r="AP1034" s="22"/>
      <c r="AQ1034" s="22"/>
      <c r="AR1034" s="22"/>
      <c r="AS1034" s="22"/>
      <c r="AT1034" s="22"/>
      <c r="AU1034" s="22"/>
      <c r="AV1034" s="22"/>
      <c r="AW1034" s="22"/>
      <c r="AX1034" s="22"/>
      <c r="AY1034" s="22"/>
      <c r="AZ1034" s="22"/>
      <c r="BA1034" s="22"/>
      <c r="BB1034" s="22"/>
      <c r="BC1034" s="22"/>
      <c r="BD1034" s="22"/>
      <c r="BE1034" s="22"/>
      <c r="BF1034" s="22"/>
      <c r="BG1034" s="22"/>
      <c r="BH1034" s="22"/>
      <c r="BI1034" s="22"/>
      <c r="BJ1034" s="22"/>
      <c r="BK1034" s="22"/>
      <c r="BL1034" s="22"/>
      <c r="BM1034" s="22"/>
      <c r="BN1034" s="22"/>
      <c r="BO1034" s="22"/>
      <c r="BP1034" s="22"/>
      <c r="BQ1034" s="22"/>
      <c r="BR1034" s="22"/>
      <c r="BS1034" s="22"/>
      <c r="BT1034" s="22"/>
      <c r="BU1034" s="22"/>
      <c r="BV1034" s="22"/>
      <c r="BW1034" s="22"/>
      <c r="BX1034" s="20"/>
      <c r="BY1034" s="20"/>
      <c r="BZ1034" s="20"/>
      <c r="CA1034" s="20"/>
      <c r="CB1034" s="20"/>
      <c r="CC1034" s="20"/>
      <c r="CD1034" s="22"/>
      <c r="CE1034" s="22"/>
      <c r="CF1034" s="22"/>
      <c r="CG1034" s="22"/>
      <c r="CH1034" s="22"/>
      <c r="CI1034" s="22"/>
      <c r="CJ1034" s="149"/>
      <c r="CK1034" s="241"/>
    </row>
    <row r="1035" spans="1:89" ht="15" customHeight="1" x14ac:dyDescent="0.35">
      <c r="A1035" s="17"/>
      <c r="B1035" s="313">
        <v>89040</v>
      </c>
      <c r="C1035" s="8" t="s">
        <v>931</v>
      </c>
      <c r="D1035" s="18">
        <v>8</v>
      </c>
      <c r="E1035" s="131"/>
      <c r="F1035" s="22"/>
      <c r="G1035" s="132"/>
      <c r="H1035" s="22"/>
      <c r="I1035" s="22"/>
      <c r="J1035" s="22"/>
      <c r="K1035" s="22"/>
      <c r="L1035" s="22"/>
      <c r="M1035" s="133"/>
      <c r="N1035" s="22"/>
      <c r="O1035" s="22"/>
      <c r="P1035" s="22"/>
      <c r="Q1035" s="20"/>
      <c r="R1035" s="20"/>
      <c r="S1035" s="20"/>
      <c r="T1035" s="20"/>
      <c r="U1035" s="20"/>
      <c r="V1035" s="20"/>
      <c r="W1035" s="20"/>
      <c r="X1035" s="20"/>
      <c r="Y1035" s="20"/>
      <c r="Z1035" s="20"/>
      <c r="AA1035" s="20"/>
      <c r="AB1035" s="22"/>
      <c r="AC1035" s="20"/>
      <c r="AD1035" s="20"/>
      <c r="AE1035" s="20"/>
      <c r="AF1035" s="20" t="s">
        <v>1124</v>
      </c>
      <c r="AG1035" s="20" t="s">
        <v>1124</v>
      </c>
      <c r="AH1035" s="20" t="s">
        <v>1124</v>
      </c>
      <c r="AI1035" s="328"/>
      <c r="AJ1035" s="328"/>
      <c r="AK1035" s="328"/>
      <c r="AL1035" s="22"/>
      <c r="AM1035" s="22"/>
      <c r="AN1035" s="22"/>
      <c r="AO1035" s="22"/>
      <c r="AP1035" s="22"/>
      <c r="AQ1035" s="22"/>
      <c r="AR1035" s="22"/>
      <c r="AS1035" s="22"/>
      <c r="AT1035" s="22"/>
      <c r="AU1035" s="22"/>
      <c r="AV1035" s="22"/>
      <c r="AW1035" s="22"/>
      <c r="AX1035" s="22"/>
      <c r="AY1035" s="22"/>
      <c r="AZ1035" s="22"/>
      <c r="BA1035" s="22"/>
      <c r="BB1035" s="22"/>
      <c r="BC1035" s="22"/>
      <c r="BD1035" s="22"/>
      <c r="BE1035" s="22"/>
      <c r="BF1035" s="22"/>
      <c r="BG1035" s="22"/>
      <c r="BH1035" s="22"/>
      <c r="BI1035" s="22"/>
      <c r="BJ1035" s="22"/>
      <c r="BK1035" s="22"/>
      <c r="BL1035" s="22"/>
      <c r="BM1035" s="22"/>
      <c r="BN1035" s="22"/>
      <c r="BO1035" s="22"/>
      <c r="BP1035" s="22"/>
      <c r="BQ1035" s="22"/>
      <c r="BR1035" s="22"/>
      <c r="BS1035" s="22"/>
      <c r="BT1035" s="22"/>
      <c r="BU1035" s="22"/>
      <c r="BV1035" s="22"/>
      <c r="BW1035" s="22"/>
      <c r="BX1035" s="20"/>
      <c r="BY1035" s="20"/>
      <c r="BZ1035" s="20"/>
      <c r="CA1035" s="20"/>
      <c r="CB1035" s="20"/>
      <c r="CC1035" s="20"/>
      <c r="CD1035" s="22"/>
      <c r="CE1035" s="22"/>
      <c r="CF1035" s="22"/>
      <c r="CG1035" s="22"/>
      <c r="CH1035" s="22"/>
      <c r="CI1035" s="22"/>
      <c r="CJ1035" s="149"/>
      <c r="CK1035" s="241"/>
    </row>
    <row r="1036" spans="1:89" ht="15" customHeight="1" x14ac:dyDescent="0.35">
      <c r="A1036" s="17"/>
      <c r="B1036" s="313">
        <v>66127</v>
      </c>
      <c r="C1036" s="8" t="s">
        <v>661</v>
      </c>
      <c r="D1036" s="18">
        <v>6</v>
      </c>
      <c r="E1036" s="131" t="s">
        <v>1309</v>
      </c>
      <c r="F1036" s="22" t="s">
        <v>1309</v>
      </c>
      <c r="G1036" s="132" t="s">
        <v>1309</v>
      </c>
      <c r="H1036" s="22" t="s">
        <v>1311</v>
      </c>
      <c r="I1036" s="22" t="s">
        <v>1315</v>
      </c>
      <c r="J1036" s="22" t="s">
        <v>1315</v>
      </c>
      <c r="K1036" s="22" t="s">
        <v>1319</v>
      </c>
      <c r="L1036" s="22" t="s">
        <v>1311</v>
      </c>
      <c r="M1036" s="133" t="s">
        <v>1311</v>
      </c>
      <c r="N1036" s="22" t="s">
        <v>1311</v>
      </c>
      <c r="O1036" s="22" t="s">
        <v>1309</v>
      </c>
      <c r="P1036" s="22" t="s">
        <v>1309</v>
      </c>
      <c r="Q1036" s="20">
        <v>0</v>
      </c>
      <c r="R1036" s="20">
        <v>0</v>
      </c>
      <c r="S1036" s="20">
        <v>0</v>
      </c>
      <c r="T1036" s="20">
        <v>0</v>
      </c>
      <c r="U1036" s="20">
        <v>0</v>
      </c>
      <c r="V1036" s="20">
        <v>8.57</v>
      </c>
      <c r="W1036" s="20">
        <v>0</v>
      </c>
      <c r="X1036" s="20">
        <v>0</v>
      </c>
      <c r="Y1036" s="20">
        <v>0</v>
      </c>
      <c r="Z1036" s="20">
        <v>0</v>
      </c>
      <c r="AA1036" s="20" t="s">
        <v>1317</v>
      </c>
      <c r="AB1036" s="22" t="s">
        <v>1311</v>
      </c>
      <c r="AC1036" s="20">
        <v>1</v>
      </c>
      <c r="AD1036" s="20">
        <v>0</v>
      </c>
      <c r="AE1036" s="20">
        <v>0</v>
      </c>
      <c r="AF1036" s="20">
        <v>1</v>
      </c>
      <c r="AG1036" s="20">
        <v>0</v>
      </c>
      <c r="AH1036" s="20">
        <v>0</v>
      </c>
      <c r="AI1036" s="328">
        <v>11.668611435239207</v>
      </c>
      <c r="AJ1036" s="328" t="s">
        <v>1328</v>
      </c>
      <c r="AK1036" s="328" t="s">
        <v>1328</v>
      </c>
      <c r="AL1036" s="22" t="s">
        <v>1329</v>
      </c>
      <c r="AM1036" s="22" t="s">
        <v>1330</v>
      </c>
      <c r="AN1036" s="22" t="s">
        <v>1315</v>
      </c>
      <c r="AO1036" s="22" t="s">
        <v>1315</v>
      </c>
      <c r="AP1036" s="22" t="s">
        <v>1315</v>
      </c>
      <c r="AQ1036" s="22" t="s">
        <v>1315</v>
      </c>
      <c r="AR1036" s="22" t="s">
        <v>1317</v>
      </c>
      <c r="AS1036" s="22" t="s">
        <v>1318</v>
      </c>
      <c r="AT1036" s="22" t="s">
        <v>1317</v>
      </c>
      <c r="AU1036" s="22" t="s">
        <v>1318</v>
      </c>
      <c r="AV1036" s="22" t="s">
        <v>1317</v>
      </c>
      <c r="AW1036" s="22" t="s">
        <v>1318</v>
      </c>
      <c r="AX1036" s="22" t="s">
        <v>1317</v>
      </c>
      <c r="AY1036" s="22" t="s">
        <v>1318</v>
      </c>
      <c r="AZ1036" s="22" t="s">
        <v>1309</v>
      </c>
      <c r="BA1036" s="22" t="s">
        <v>1309</v>
      </c>
      <c r="BB1036" s="22" t="s">
        <v>1309</v>
      </c>
      <c r="BC1036" s="22" t="s">
        <v>1309</v>
      </c>
      <c r="BD1036" s="22" t="s">
        <v>1309</v>
      </c>
      <c r="BE1036" s="22" t="s">
        <v>1309</v>
      </c>
      <c r="BF1036" s="22" t="s">
        <v>1317</v>
      </c>
      <c r="BG1036" s="22" t="s">
        <v>1318</v>
      </c>
      <c r="BH1036" s="22" t="s">
        <v>1317</v>
      </c>
      <c r="BI1036" s="22" t="s">
        <v>1318</v>
      </c>
      <c r="BJ1036" s="22" t="s">
        <v>1317</v>
      </c>
      <c r="BK1036" s="22" t="s">
        <v>1318</v>
      </c>
      <c r="BL1036" s="22" t="s">
        <v>1317</v>
      </c>
      <c r="BM1036" s="22" t="s">
        <v>1318</v>
      </c>
      <c r="BN1036" s="22" t="s">
        <v>1317</v>
      </c>
      <c r="BO1036" s="22" t="s">
        <v>1318</v>
      </c>
      <c r="BP1036" s="22" t="s">
        <v>1309</v>
      </c>
      <c r="BQ1036" s="22" t="s">
        <v>1309</v>
      </c>
      <c r="BR1036" s="22" t="s">
        <v>1309</v>
      </c>
      <c r="BS1036" s="22" t="s">
        <v>1309</v>
      </c>
      <c r="BT1036" s="22" t="s">
        <v>1309</v>
      </c>
      <c r="BU1036" s="22" t="s">
        <v>1309</v>
      </c>
      <c r="BV1036" s="22" t="s">
        <v>1317</v>
      </c>
      <c r="BW1036" s="22" t="s">
        <v>1318</v>
      </c>
      <c r="BX1036" s="20">
        <v>8</v>
      </c>
      <c r="BY1036" s="20">
        <v>0</v>
      </c>
      <c r="BZ1036" s="20">
        <v>2</v>
      </c>
      <c r="CA1036" s="20">
        <v>0</v>
      </c>
      <c r="CB1036" s="20">
        <v>0</v>
      </c>
      <c r="CC1036" s="20">
        <v>305</v>
      </c>
      <c r="CD1036" s="22" t="s">
        <v>1317</v>
      </c>
      <c r="CE1036" s="22" t="s">
        <v>1340</v>
      </c>
      <c r="CF1036" s="22" t="s">
        <v>1345</v>
      </c>
      <c r="CG1036" s="22" t="s">
        <v>1321</v>
      </c>
      <c r="CH1036" s="22" t="s">
        <v>1317</v>
      </c>
      <c r="CI1036" s="22" t="s">
        <v>1318</v>
      </c>
      <c r="CJ1036" s="149" t="s">
        <v>1124</v>
      </c>
      <c r="CK1036" s="241" t="s">
        <v>3706</v>
      </c>
    </row>
    <row r="1037" spans="1:89" ht="15" customHeight="1" x14ac:dyDescent="0.35">
      <c r="A1037" s="17"/>
      <c r="B1037" s="313">
        <v>97007</v>
      </c>
      <c r="C1037" s="8" t="s">
        <v>1002</v>
      </c>
      <c r="D1037" s="18">
        <v>9</v>
      </c>
      <c r="E1037" s="131" t="s">
        <v>1309</v>
      </c>
      <c r="F1037" s="22" t="s">
        <v>1309</v>
      </c>
      <c r="G1037" s="132" t="s">
        <v>1309</v>
      </c>
      <c r="H1037" s="22" t="s">
        <v>1311</v>
      </c>
      <c r="I1037" s="22" t="s">
        <v>1312</v>
      </c>
      <c r="J1037" s="22" t="s">
        <v>1327</v>
      </c>
      <c r="K1037" s="22" t="s">
        <v>1319</v>
      </c>
      <c r="L1037" s="22" t="s">
        <v>1309</v>
      </c>
      <c r="M1037" s="133" t="s">
        <v>1311</v>
      </c>
      <c r="N1037" s="22" t="s">
        <v>1311</v>
      </c>
      <c r="O1037" s="22" t="s">
        <v>1309</v>
      </c>
      <c r="P1037" s="22" t="s">
        <v>1309</v>
      </c>
      <c r="Q1037" s="20">
        <v>6</v>
      </c>
      <c r="R1037" s="20">
        <v>6</v>
      </c>
      <c r="S1037" s="20">
        <v>0</v>
      </c>
      <c r="T1037" s="20">
        <v>0</v>
      </c>
      <c r="U1037" s="20">
        <v>228.76599999999999</v>
      </c>
      <c r="V1037" s="20">
        <v>228.76599999999999</v>
      </c>
      <c r="W1037" s="20">
        <v>0</v>
      </c>
      <c r="X1037" s="20">
        <v>0</v>
      </c>
      <c r="Y1037" s="20">
        <v>0</v>
      </c>
      <c r="Z1037" s="20">
        <v>0</v>
      </c>
      <c r="AA1037" s="20" t="s">
        <v>1317</v>
      </c>
      <c r="AB1037" s="22" t="s">
        <v>1311</v>
      </c>
      <c r="AC1037" s="20">
        <v>27</v>
      </c>
      <c r="AD1037" s="20">
        <v>41</v>
      </c>
      <c r="AE1037" s="20">
        <v>95</v>
      </c>
      <c r="AF1037" s="20">
        <v>2</v>
      </c>
      <c r="AG1037" s="20">
        <v>1</v>
      </c>
      <c r="AH1037" s="20">
        <v>5</v>
      </c>
      <c r="AI1037" s="328">
        <v>11.076196024055857</v>
      </c>
      <c r="AJ1037" s="328">
        <v>2.7548209366391183</v>
      </c>
      <c r="AK1037" s="328">
        <v>6.383121682456494</v>
      </c>
      <c r="AL1037" s="22" t="s">
        <v>1329</v>
      </c>
      <c r="AM1037" s="22" t="s">
        <v>1330</v>
      </c>
      <c r="AN1037" s="22" t="s">
        <v>1347</v>
      </c>
      <c r="AO1037" s="22" t="s">
        <v>1309</v>
      </c>
      <c r="AP1037" s="22" t="s">
        <v>1341</v>
      </c>
      <c r="AQ1037" s="22" t="s">
        <v>1348</v>
      </c>
      <c r="AR1037" s="22" t="s">
        <v>1317</v>
      </c>
      <c r="AS1037" s="22" t="s">
        <v>1317</v>
      </c>
      <c r="AT1037" s="22" t="s">
        <v>1309</v>
      </c>
      <c r="AU1037" s="22" t="s">
        <v>1309</v>
      </c>
      <c r="AV1037" s="22" t="s">
        <v>1317</v>
      </c>
      <c r="AW1037" s="22" t="s">
        <v>1317</v>
      </c>
      <c r="AX1037" s="22" t="s">
        <v>1317</v>
      </c>
      <c r="AY1037" s="22" t="s">
        <v>1317</v>
      </c>
      <c r="AZ1037" s="22" t="s">
        <v>1309</v>
      </c>
      <c r="BA1037" s="22" t="s">
        <v>1309</v>
      </c>
      <c r="BB1037" s="22" t="s">
        <v>1317</v>
      </c>
      <c r="BC1037" s="22" t="s">
        <v>1311</v>
      </c>
      <c r="BD1037" s="22" t="s">
        <v>1317</v>
      </c>
      <c r="BE1037" s="22" t="s">
        <v>1318</v>
      </c>
      <c r="BF1037" s="22" t="s">
        <v>1317</v>
      </c>
      <c r="BG1037" s="22" t="s">
        <v>1318</v>
      </c>
      <c r="BH1037" s="22" t="s">
        <v>1317</v>
      </c>
      <c r="BI1037" s="22" t="s">
        <v>1318</v>
      </c>
      <c r="BJ1037" s="22" t="s">
        <v>1317</v>
      </c>
      <c r="BK1037" s="22" t="s">
        <v>1318</v>
      </c>
      <c r="BL1037" s="22" t="s">
        <v>1317</v>
      </c>
      <c r="BM1037" s="22" t="s">
        <v>1311</v>
      </c>
      <c r="BN1037" s="22" t="s">
        <v>1317</v>
      </c>
      <c r="BO1037" s="22" t="s">
        <v>1311</v>
      </c>
      <c r="BP1037" s="22" t="s">
        <v>1317</v>
      </c>
      <c r="BQ1037" s="22" t="s">
        <v>1318</v>
      </c>
      <c r="BR1037" s="22" t="s">
        <v>1309</v>
      </c>
      <c r="BS1037" s="22" t="s">
        <v>1309</v>
      </c>
      <c r="BT1037" s="22" t="s">
        <v>1319</v>
      </c>
      <c r="BU1037" s="22" t="s">
        <v>1311</v>
      </c>
      <c r="BV1037" s="22" t="s">
        <v>1319</v>
      </c>
      <c r="BW1037" s="22" t="s">
        <v>1311</v>
      </c>
      <c r="BX1037" s="20">
        <v>292</v>
      </c>
      <c r="BY1037" s="20">
        <v>19</v>
      </c>
      <c r="BZ1037" s="20">
        <v>187</v>
      </c>
      <c r="CA1037" s="20">
        <v>0</v>
      </c>
      <c r="CB1037" s="20">
        <v>0</v>
      </c>
      <c r="CC1037" s="20">
        <v>12579</v>
      </c>
      <c r="CD1037" s="22" t="s">
        <v>1345</v>
      </c>
      <c r="CE1037" s="22" t="s">
        <v>1321</v>
      </c>
      <c r="CF1037" s="22" t="s">
        <v>1317</v>
      </c>
      <c r="CG1037" s="22" t="s">
        <v>1318</v>
      </c>
      <c r="CH1037" s="22" t="s">
        <v>1351</v>
      </c>
      <c r="CI1037" s="22" t="s">
        <v>1352</v>
      </c>
      <c r="CJ1037" s="149" t="s">
        <v>3510</v>
      </c>
      <c r="CK1037" s="241" t="s">
        <v>1124</v>
      </c>
    </row>
    <row r="1038" spans="1:89" ht="15" customHeight="1" x14ac:dyDescent="0.35">
      <c r="A1038" s="17"/>
      <c r="B1038" s="313">
        <v>22020</v>
      </c>
      <c r="C1038" s="8" t="s">
        <v>156</v>
      </c>
      <c r="D1038" s="18">
        <v>3</v>
      </c>
      <c r="E1038" s="131" t="s">
        <v>1309</v>
      </c>
      <c r="F1038" s="22" t="s">
        <v>1309</v>
      </c>
      <c r="G1038" s="132" t="s">
        <v>1309</v>
      </c>
      <c r="H1038" s="22" t="s">
        <v>1311</v>
      </c>
      <c r="I1038" s="22" t="s">
        <v>1327</v>
      </c>
      <c r="J1038" s="22" t="s">
        <v>1327</v>
      </c>
      <c r="K1038" s="22" t="s">
        <v>1314</v>
      </c>
      <c r="L1038" s="22" t="s">
        <v>1311</v>
      </c>
      <c r="M1038" s="133" t="s">
        <v>1311</v>
      </c>
      <c r="N1038" s="22" t="s">
        <v>1311</v>
      </c>
      <c r="O1038" s="22" t="s">
        <v>1314</v>
      </c>
      <c r="P1038" s="22" t="s">
        <v>1318</v>
      </c>
      <c r="Q1038" s="20">
        <v>0</v>
      </c>
      <c r="R1038" s="20">
        <v>0</v>
      </c>
      <c r="S1038" s="20">
        <v>0</v>
      </c>
      <c r="T1038" s="20">
        <v>0</v>
      </c>
      <c r="U1038" s="20">
        <v>0</v>
      </c>
      <c r="V1038" s="20">
        <v>0</v>
      </c>
      <c r="W1038" s="20">
        <v>0</v>
      </c>
      <c r="X1038" s="20">
        <v>0</v>
      </c>
      <c r="Y1038" s="20">
        <v>0</v>
      </c>
      <c r="Z1038" s="20">
        <v>0</v>
      </c>
      <c r="AA1038" s="20" t="s">
        <v>1317</v>
      </c>
      <c r="AB1038" s="22" t="s">
        <v>1318</v>
      </c>
      <c r="AC1038" s="20">
        <v>1</v>
      </c>
      <c r="AD1038" s="20">
        <v>0</v>
      </c>
      <c r="AE1038" s="20">
        <v>0</v>
      </c>
      <c r="AF1038" s="20">
        <v>1</v>
      </c>
      <c r="AG1038" s="20">
        <v>0</v>
      </c>
      <c r="AH1038" s="20">
        <v>0</v>
      </c>
      <c r="AI1038" s="328">
        <v>2.427302296227972</v>
      </c>
      <c r="AJ1038" s="328" t="s">
        <v>1328</v>
      </c>
      <c r="AK1038" s="328" t="s">
        <v>1328</v>
      </c>
      <c r="AL1038" s="22" t="s">
        <v>1329</v>
      </c>
      <c r="AM1038" s="22" t="s">
        <v>1330</v>
      </c>
      <c r="AN1038" s="22" t="s">
        <v>1317</v>
      </c>
      <c r="AO1038" s="22" t="s">
        <v>1318</v>
      </c>
      <c r="AP1038" s="22" t="s">
        <v>1318</v>
      </c>
      <c r="AQ1038" s="22" t="s">
        <v>1318</v>
      </c>
      <c r="AR1038" s="22" t="s">
        <v>1317</v>
      </c>
      <c r="AS1038" s="22" t="s">
        <v>1318</v>
      </c>
      <c r="AT1038" s="22" t="s">
        <v>1317</v>
      </c>
      <c r="AU1038" s="22" t="s">
        <v>1318</v>
      </c>
      <c r="AV1038" s="22" t="s">
        <v>1317</v>
      </c>
      <c r="AW1038" s="22" t="s">
        <v>1318</v>
      </c>
      <c r="AX1038" s="22" t="s">
        <v>1317</v>
      </c>
      <c r="AY1038" s="22" t="s">
        <v>1318</v>
      </c>
      <c r="AZ1038" s="22" t="s">
        <v>1317</v>
      </c>
      <c r="BA1038" s="22" t="s">
        <v>1318</v>
      </c>
      <c r="BB1038" s="22" t="s">
        <v>1309</v>
      </c>
      <c r="BC1038" s="22" t="s">
        <v>1309</v>
      </c>
      <c r="BD1038" s="22" t="s">
        <v>1317</v>
      </c>
      <c r="BE1038" s="22" t="s">
        <v>1318</v>
      </c>
      <c r="BF1038" s="22" t="s">
        <v>1309</v>
      </c>
      <c r="BG1038" s="22" t="s">
        <v>1309</v>
      </c>
      <c r="BH1038" s="22" t="s">
        <v>1317</v>
      </c>
      <c r="BI1038" s="22" t="s">
        <v>1318</v>
      </c>
      <c r="BJ1038" s="22" t="s">
        <v>1309</v>
      </c>
      <c r="BK1038" s="22" t="s">
        <v>1309</v>
      </c>
      <c r="BL1038" s="22" t="s">
        <v>1317</v>
      </c>
      <c r="BM1038" s="22" t="s">
        <v>1318</v>
      </c>
      <c r="BN1038" s="22" t="s">
        <v>1309</v>
      </c>
      <c r="BO1038" s="22" t="s">
        <v>1309</v>
      </c>
      <c r="BP1038" s="22" t="s">
        <v>1317</v>
      </c>
      <c r="BQ1038" s="22" t="s">
        <v>1318</v>
      </c>
      <c r="BR1038" s="22" t="s">
        <v>1309</v>
      </c>
      <c r="BS1038" s="22" t="s">
        <v>1309</v>
      </c>
      <c r="BT1038" s="22" t="s">
        <v>1309</v>
      </c>
      <c r="BU1038" s="22" t="s">
        <v>1309</v>
      </c>
      <c r="BV1038" s="22" t="s">
        <v>1309</v>
      </c>
      <c r="BW1038" s="22" t="s">
        <v>1309</v>
      </c>
      <c r="BX1038" s="20">
        <v>0</v>
      </c>
      <c r="BY1038" s="20">
        <v>21</v>
      </c>
      <c r="BZ1038" s="20">
        <v>1</v>
      </c>
      <c r="CA1038" s="20">
        <v>0</v>
      </c>
      <c r="CB1038" s="20">
        <v>1191</v>
      </c>
      <c r="CC1038" s="20">
        <v>20</v>
      </c>
      <c r="CD1038" s="22" t="s">
        <v>1331</v>
      </c>
      <c r="CE1038" s="22" t="s">
        <v>1331</v>
      </c>
      <c r="CF1038" s="22" t="s">
        <v>1331</v>
      </c>
      <c r="CG1038" s="22" t="s">
        <v>1331</v>
      </c>
      <c r="CH1038" s="22" t="s">
        <v>1317</v>
      </c>
      <c r="CI1038" s="22" t="s">
        <v>1318</v>
      </c>
      <c r="CJ1038" s="149" t="s">
        <v>3514</v>
      </c>
      <c r="CK1038" s="241" t="s">
        <v>1124</v>
      </c>
    </row>
    <row r="1039" spans="1:89" ht="15" customHeight="1" x14ac:dyDescent="0.35">
      <c r="A1039" s="17"/>
      <c r="B1039" s="313">
        <v>36033</v>
      </c>
      <c r="C1039" s="8" t="s">
        <v>313</v>
      </c>
      <c r="D1039" s="18">
        <v>4</v>
      </c>
      <c r="E1039" s="131" t="s">
        <v>1309</v>
      </c>
      <c r="F1039" s="22" t="s">
        <v>1309</v>
      </c>
      <c r="G1039" s="132" t="s">
        <v>1309</v>
      </c>
      <c r="H1039" s="22" t="s">
        <v>1311</v>
      </c>
      <c r="I1039" s="22" t="s">
        <v>1327</v>
      </c>
      <c r="J1039" s="22" t="s">
        <v>1327</v>
      </c>
      <c r="K1039" s="22" t="s">
        <v>1319</v>
      </c>
      <c r="L1039" s="22" t="s">
        <v>1309</v>
      </c>
      <c r="M1039" s="133" t="s">
        <v>1311</v>
      </c>
      <c r="N1039" s="22" t="s">
        <v>1311</v>
      </c>
      <c r="O1039" s="22" t="s">
        <v>1309</v>
      </c>
      <c r="P1039" s="22" t="s">
        <v>1309</v>
      </c>
      <c r="Q1039" s="20">
        <v>167.20099999999999</v>
      </c>
      <c r="R1039" s="20">
        <v>514.31500000000005</v>
      </c>
      <c r="S1039" s="20">
        <v>514.31500000000005</v>
      </c>
      <c r="T1039" s="20">
        <v>514.31500000000005</v>
      </c>
      <c r="U1039" s="20">
        <v>0</v>
      </c>
      <c r="V1039" s="20">
        <v>0</v>
      </c>
      <c r="W1039" s="20">
        <v>0</v>
      </c>
      <c r="X1039" s="20">
        <v>0</v>
      </c>
      <c r="Y1039" s="20">
        <v>0</v>
      </c>
      <c r="Z1039" s="20">
        <v>0</v>
      </c>
      <c r="AA1039" s="20" t="s">
        <v>1317</v>
      </c>
      <c r="AB1039" s="22" t="s">
        <v>1311</v>
      </c>
      <c r="AC1039" s="20">
        <v>62</v>
      </c>
      <c r="AD1039" s="20">
        <v>128</v>
      </c>
      <c r="AE1039" s="20">
        <v>7</v>
      </c>
      <c r="AF1039" s="20">
        <v>1</v>
      </c>
      <c r="AG1039" s="20">
        <v>1</v>
      </c>
      <c r="AH1039" s="20">
        <v>5</v>
      </c>
      <c r="AI1039" s="328">
        <v>12.054869097731933</v>
      </c>
      <c r="AJ1039" s="328">
        <v>7.3664825046040514</v>
      </c>
      <c r="AK1039" s="328">
        <v>0.40285451197053407</v>
      </c>
      <c r="AL1039" s="22" t="s">
        <v>1329</v>
      </c>
      <c r="AM1039" s="22" t="s">
        <v>1330</v>
      </c>
      <c r="AN1039" s="22" t="s">
        <v>1315</v>
      </c>
      <c r="AO1039" s="22" t="s">
        <v>1315</v>
      </c>
      <c r="AP1039" s="22" t="s">
        <v>1315</v>
      </c>
      <c r="AQ1039" s="22" t="s">
        <v>1315</v>
      </c>
      <c r="AR1039" s="22" t="s">
        <v>1317</v>
      </c>
      <c r="AS1039" s="22" t="s">
        <v>1318</v>
      </c>
      <c r="AT1039" s="22" t="s">
        <v>1309</v>
      </c>
      <c r="AU1039" s="22" t="s">
        <v>1309</v>
      </c>
      <c r="AV1039" s="22" t="s">
        <v>1317</v>
      </c>
      <c r="AW1039" s="22" t="s">
        <v>1318</v>
      </c>
      <c r="AX1039" s="22" t="s">
        <v>1317</v>
      </c>
      <c r="AY1039" s="22" t="s">
        <v>1318</v>
      </c>
      <c r="AZ1039" s="22" t="s">
        <v>1309</v>
      </c>
      <c r="BA1039" s="22" t="s">
        <v>1309</v>
      </c>
      <c r="BB1039" s="22" t="s">
        <v>1309</v>
      </c>
      <c r="BC1039" s="22" t="s">
        <v>1309</v>
      </c>
      <c r="BD1039" s="22" t="s">
        <v>1317</v>
      </c>
      <c r="BE1039" s="22" t="s">
        <v>1318</v>
      </c>
      <c r="BF1039" s="22" t="s">
        <v>1317</v>
      </c>
      <c r="BG1039" s="22" t="s">
        <v>1318</v>
      </c>
      <c r="BH1039" s="22" t="s">
        <v>1309</v>
      </c>
      <c r="BI1039" s="22" t="s">
        <v>1309</v>
      </c>
      <c r="BJ1039" s="22" t="s">
        <v>1317</v>
      </c>
      <c r="BK1039" s="22" t="s">
        <v>1311</v>
      </c>
      <c r="BL1039" s="22" t="s">
        <v>1317</v>
      </c>
      <c r="BM1039" s="22" t="s">
        <v>1318</v>
      </c>
      <c r="BN1039" s="22" t="s">
        <v>1309</v>
      </c>
      <c r="BO1039" s="22" t="s">
        <v>1309</v>
      </c>
      <c r="BP1039" s="22" t="s">
        <v>1309</v>
      </c>
      <c r="BQ1039" s="22" t="s">
        <v>1309</v>
      </c>
      <c r="BR1039" s="22" t="s">
        <v>1309</v>
      </c>
      <c r="BS1039" s="22" t="s">
        <v>1309</v>
      </c>
      <c r="BT1039" s="22" t="s">
        <v>1319</v>
      </c>
      <c r="BU1039" s="22" t="s">
        <v>1311</v>
      </c>
      <c r="BV1039" s="22" t="s">
        <v>1309</v>
      </c>
      <c r="BW1039" s="22" t="s">
        <v>1309</v>
      </c>
      <c r="BX1039" s="20">
        <v>278</v>
      </c>
      <c r="BY1039" s="20">
        <v>0</v>
      </c>
      <c r="BZ1039" s="20">
        <v>446</v>
      </c>
      <c r="CA1039" s="20">
        <v>0</v>
      </c>
      <c r="CB1039" s="20">
        <v>339</v>
      </c>
      <c r="CC1039" s="20">
        <v>16899</v>
      </c>
      <c r="CD1039" s="22" t="s">
        <v>1345</v>
      </c>
      <c r="CE1039" s="22" t="s">
        <v>1321</v>
      </c>
      <c r="CF1039" s="22" t="s">
        <v>1320</v>
      </c>
      <c r="CG1039" s="22" t="s">
        <v>1321</v>
      </c>
      <c r="CH1039" s="22" t="s">
        <v>1317</v>
      </c>
      <c r="CI1039" s="22" t="s">
        <v>1318</v>
      </c>
      <c r="CJ1039" s="149" t="s">
        <v>3520</v>
      </c>
      <c r="CK1039" s="241" t="s">
        <v>1124</v>
      </c>
    </row>
    <row r="1040" spans="1:89" ht="15" customHeight="1" x14ac:dyDescent="0.35">
      <c r="A1040" s="17"/>
      <c r="B1040" s="313">
        <v>84010</v>
      </c>
      <c r="C1040" s="8" t="s">
        <v>853</v>
      </c>
      <c r="D1040" s="18">
        <v>7</v>
      </c>
      <c r="E1040" s="131"/>
      <c r="F1040" s="22"/>
      <c r="G1040" s="132"/>
      <c r="H1040" s="22"/>
      <c r="I1040" s="22"/>
      <c r="J1040" s="22"/>
      <c r="K1040" s="22"/>
      <c r="L1040" s="22"/>
      <c r="M1040" s="133"/>
      <c r="N1040" s="22"/>
      <c r="O1040" s="22"/>
      <c r="P1040" s="22"/>
      <c r="Q1040" s="20"/>
      <c r="R1040" s="20"/>
      <c r="S1040" s="20"/>
      <c r="T1040" s="20"/>
      <c r="U1040" s="20"/>
      <c r="V1040" s="20"/>
      <c r="W1040" s="20"/>
      <c r="X1040" s="20"/>
      <c r="Y1040" s="20"/>
      <c r="Z1040" s="20"/>
      <c r="AA1040" s="20"/>
      <c r="AB1040" s="22"/>
      <c r="AC1040" s="20"/>
      <c r="AD1040" s="20"/>
      <c r="AE1040" s="20"/>
      <c r="AF1040" s="20" t="s">
        <v>1124</v>
      </c>
      <c r="AG1040" s="20" t="s">
        <v>1124</v>
      </c>
      <c r="AH1040" s="20" t="s">
        <v>1124</v>
      </c>
      <c r="AI1040" s="328"/>
      <c r="AJ1040" s="328"/>
      <c r="AK1040" s="328"/>
      <c r="AL1040" s="22"/>
      <c r="AM1040" s="22"/>
      <c r="AN1040" s="22"/>
      <c r="AO1040" s="22"/>
      <c r="AP1040" s="22"/>
      <c r="AQ1040" s="22"/>
      <c r="AR1040" s="22"/>
      <c r="AS1040" s="22"/>
      <c r="AT1040" s="22"/>
      <c r="AU1040" s="22"/>
      <c r="AV1040" s="22"/>
      <c r="AW1040" s="22"/>
      <c r="AX1040" s="22"/>
      <c r="AY1040" s="22"/>
      <c r="AZ1040" s="22"/>
      <c r="BA1040" s="22"/>
      <c r="BB1040" s="22"/>
      <c r="BC1040" s="22"/>
      <c r="BD1040" s="22"/>
      <c r="BE1040" s="22"/>
      <c r="BF1040" s="22"/>
      <c r="BG1040" s="22"/>
      <c r="BH1040" s="22"/>
      <c r="BI1040" s="22"/>
      <c r="BJ1040" s="22"/>
      <c r="BK1040" s="22"/>
      <c r="BL1040" s="22"/>
      <c r="BM1040" s="22"/>
      <c r="BN1040" s="22"/>
      <c r="BO1040" s="22"/>
      <c r="BP1040" s="22"/>
      <c r="BQ1040" s="22"/>
      <c r="BR1040" s="22"/>
      <c r="BS1040" s="22"/>
      <c r="BT1040" s="22"/>
      <c r="BU1040" s="22"/>
      <c r="BV1040" s="22"/>
      <c r="BW1040" s="22"/>
      <c r="BX1040" s="20"/>
      <c r="BY1040" s="20"/>
      <c r="BZ1040" s="20"/>
      <c r="CA1040" s="20"/>
      <c r="CB1040" s="20"/>
      <c r="CC1040" s="20"/>
      <c r="CD1040" s="22"/>
      <c r="CE1040" s="22"/>
      <c r="CF1040" s="22"/>
      <c r="CG1040" s="22"/>
      <c r="CH1040" s="22"/>
      <c r="CI1040" s="22"/>
      <c r="CJ1040" s="149"/>
      <c r="CK1040" s="241"/>
    </row>
    <row r="1041" spans="1:89" ht="15" customHeight="1" x14ac:dyDescent="0.35">
      <c r="A1041" s="17"/>
      <c r="B1041" s="313">
        <v>84095</v>
      </c>
      <c r="C1041" s="8" t="s">
        <v>868</v>
      </c>
      <c r="D1041" s="18">
        <v>7</v>
      </c>
      <c r="E1041" s="131"/>
      <c r="F1041" s="22"/>
      <c r="G1041" s="132"/>
      <c r="H1041" s="22"/>
      <c r="I1041" s="22"/>
      <c r="J1041" s="22"/>
      <c r="K1041" s="22"/>
      <c r="L1041" s="22"/>
      <c r="M1041" s="133"/>
      <c r="N1041" s="22"/>
      <c r="O1041" s="22"/>
      <c r="P1041" s="22"/>
      <c r="Q1041" s="20"/>
      <c r="R1041" s="20"/>
      <c r="S1041" s="20"/>
      <c r="T1041" s="20"/>
      <c r="U1041" s="20"/>
      <c r="V1041" s="20"/>
      <c r="W1041" s="20"/>
      <c r="X1041" s="20"/>
      <c r="Y1041" s="20"/>
      <c r="Z1041" s="20"/>
      <c r="AA1041" s="20"/>
      <c r="AB1041" s="22"/>
      <c r="AC1041" s="20"/>
      <c r="AD1041" s="20"/>
      <c r="AE1041" s="20"/>
      <c r="AF1041" s="20" t="s">
        <v>1124</v>
      </c>
      <c r="AG1041" s="20" t="s">
        <v>1124</v>
      </c>
      <c r="AH1041" s="20" t="s">
        <v>1124</v>
      </c>
      <c r="AI1041" s="328"/>
      <c r="AJ1041" s="328"/>
      <c r="AK1041" s="328"/>
      <c r="AL1041" s="22"/>
      <c r="AM1041" s="22"/>
      <c r="AN1041" s="22"/>
      <c r="AO1041" s="22"/>
      <c r="AP1041" s="22"/>
      <c r="AQ1041" s="22"/>
      <c r="AR1041" s="22"/>
      <c r="AS1041" s="22"/>
      <c r="AT1041" s="22"/>
      <c r="AU1041" s="22"/>
      <c r="AV1041" s="22"/>
      <c r="AW1041" s="22"/>
      <c r="AX1041" s="22"/>
      <c r="AY1041" s="22"/>
      <c r="AZ1041" s="22"/>
      <c r="BA1041" s="22"/>
      <c r="BB1041" s="22"/>
      <c r="BC1041" s="22"/>
      <c r="BD1041" s="22"/>
      <c r="BE1041" s="22"/>
      <c r="BF1041" s="22"/>
      <c r="BG1041" s="22"/>
      <c r="BH1041" s="22"/>
      <c r="BI1041" s="22"/>
      <c r="BJ1041" s="22"/>
      <c r="BK1041" s="22"/>
      <c r="BL1041" s="22"/>
      <c r="BM1041" s="22"/>
      <c r="BN1041" s="22"/>
      <c r="BO1041" s="22"/>
      <c r="BP1041" s="22"/>
      <c r="BQ1041" s="22"/>
      <c r="BR1041" s="22"/>
      <c r="BS1041" s="22"/>
      <c r="BT1041" s="22"/>
      <c r="BU1041" s="22"/>
      <c r="BV1041" s="22"/>
      <c r="BW1041" s="22"/>
      <c r="BX1041" s="20"/>
      <c r="BY1041" s="20"/>
      <c r="BZ1041" s="20"/>
      <c r="CA1041" s="20"/>
      <c r="CB1041" s="20"/>
      <c r="CC1041" s="20"/>
      <c r="CD1041" s="22"/>
      <c r="CE1041" s="22"/>
      <c r="CF1041" s="22"/>
      <c r="CG1041" s="22"/>
      <c r="CH1041" s="22"/>
      <c r="CI1041" s="22"/>
      <c r="CJ1041" s="149"/>
      <c r="CK1041" s="241"/>
    </row>
    <row r="1042" spans="1:89" ht="15" customHeight="1" x14ac:dyDescent="0.35">
      <c r="A1042" s="17"/>
      <c r="B1042" s="313">
        <v>47035</v>
      </c>
      <c r="C1042" s="8" t="s">
        <v>452</v>
      </c>
      <c r="D1042" s="18">
        <v>5</v>
      </c>
      <c r="E1042" s="131" t="s">
        <v>1309</v>
      </c>
      <c r="F1042" s="22" t="s">
        <v>1310</v>
      </c>
      <c r="G1042" s="132" t="s">
        <v>1309</v>
      </c>
      <c r="H1042" s="22" t="s">
        <v>1311</v>
      </c>
      <c r="I1042" s="22" t="s">
        <v>1327</v>
      </c>
      <c r="J1042" s="22" t="s">
        <v>1327</v>
      </c>
      <c r="K1042" s="22" t="s">
        <v>1314</v>
      </c>
      <c r="L1042" s="22" t="s">
        <v>1311</v>
      </c>
      <c r="M1042" s="133" t="s">
        <v>1311</v>
      </c>
      <c r="N1042" s="22" t="s">
        <v>1311</v>
      </c>
      <c r="O1042" s="22" t="s">
        <v>1315</v>
      </c>
      <c r="P1042" s="22" t="s">
        <v>1315</v>
      </c>
      <c r="Q1042" s="20">
        <v>0</v>
      </c>
      <c r="R1042" s="20">
        <v>0</v>
      </c>
      <c r="S1042" s="20">
        <v>2.77</v>
      </c>
      <c r="T1042" s="20">
        <v>2.77</v>
      </c>
      <c r="U1042" s="20">
        <v>0</v>
      </c>
      <c r="V1042" s="20">
        <v>0</v>
      </c>
      <c r="W1042" s="20">
        <v>0</v>
      </c>
      <c r="X1042" s="20">
        <v>0</v>
      </c>
      <c r="Y1042" s="20">
        <v>0</v>
      </c>
      <c r="Z1042" s="20">
        <v>0</v>
      </c>
      <c r="AA1042" s="20" t="s">
        <v>1315</v>
      </c>
      <c r="AB1042" s="22" t="s">
        <v>1315</v>
      </c>
      <c r="AC1042" s="20">
        <v>0</v>
      </c>
      <c r="AD1042" s="20">
        <v>0</v>
      </c>
      <c r="AE1042" s="20">
        <v>0</v>
      </c>
      <c r="AF1042" s="20">
        <v>0</v>
      </c>
      <c r="AG1042" s="20">
        <v>0</v>
      </c>
      <c r="AH1042" s="20">
        <v>0</v>
      </c>
      <c r="AI1042" s="328" t="s">
        <v>1328</v>
      </c>
      <c r="AJ1042" s="328" t="s">
        <v>1328</v>
      </c>
      <c r="AK1042" s="328" t="s">
        <v>1328</v>
      </c>
      <c r="AL1042" s="22" t="s">
        <v>1329</v>
      </c>
      <c r="AM1042" s="22" t="s">
        <v>1330</v>
      </c>
      <c r="AN1042" s="22" t="s">
        <v>1317</v>
      </c>
      <c r="AO1042" s="22" t="s">
        <v>1318</v>
      </c>
      <c r="AP1042" s="22" t="s">
        <v>1318</v>
      </c>
      <c r="AQ1042" s="22" t="s">
        <v>1318</v>
      </c>
      <c r="AR1042" s="22" t="s">
        <v>1317</v>
      </c>
      <c r="AS1042" s="22" t="s">
        <v>1318</v>
      </c>
      <c r="AT1042" s="22" t="s">
        <v>1317</v>
      </c>
      <c r="AU1042" s="22" t="s">
        <v>1318</v>
      </c>
      <c r="AV1042" s="22" t="s">
        <v>1317</v>
      </c>
      <c r="AW1042" s="22" t="s">
        <v>1318</v>
      </c>
      <c r="AX1042" s="22" t="s">
        <v>1317</v>
      </c>
      <c r="AY1042" s="22" t="s">
        <v>1318</v>
      </c>
      <c r="AZ1042" s="22" t="s">
        <v>1317</v>
      </c>
      <c r="BA1042" s="22" t="s">
        <v>1318</v>
      </c>
      <c r="BB1042" s="22" t="s">
        <v>1309</v>
      </c>
      <c r="BC1042" s="22" t="s">
        <v>1309</v>
      </c>
      <c r="BD1042" s="22" t="s">
        <v>1309</v>
      </c>
      <c r="BE1042" s="22" t="s">
        <v>1309</v>
      </c>
      <c r="BF1042" s="22" t="s">
        <v>1317</v>
      </c>
      <c r="BG1042" s="22" t="s">
        <v>1318</v>
      </c>
      <c r="BH1042" s="22" t="s">
        <v>1317</v>
      </c>
      <c r="BI1042" s="22" t="s">
        <v>1318</v>
      </c>
      <c r="BJ1042" s="22" t="s">
        <v>1317</v>
      </c>
      <c r="BK1042" s="22" t="s">
        <v>1318</v>
      </c>
      <c r="BL1042" s="22" t="s">
        <v>1317</v>
      </c>
      <c r="BM1042" s="22" t="s">
        <v>1318</v>
      </c>
      <c r="BN1042" s="22" t="s">
        <v>1317</v>
      </c>
      <c r="BO1042" s="22" t="s">
        <v>1318</v>
      </c>
      <c r="BP1042" s="22" t="s">
        <v>1317</v>
      </c>
      <c r="BQ1042" s="22" t="s">
        <v>1318</v>
      </c>
      <c r="BR1042" s="22" t="s">
        <v>1309</v>
      </c>
      <c r="BS1042" s="22" t="s">
        <v>1309</v>
      </c>
      <c r="BT1042" s="22" t="s">
        <v>1309</v>
      </c>
      <c r="BU1042" s="22" t="s">
        <v>1309</v>
      </c>
      <c r="BV1042" s="22" t="s">
        <v>1317</v>
      </c>
      <c r="BW1042" s="22" t="s">
        <v>1311</v>
      </c>
      <c r="BX1042" s="20">
        <v>0</v>
      </c>
      <c r="BY1042" s="20">
        <v>0</v>
      </c>
      <c r="BZ1042" s="20">
        <v>76</v>
      </c>
      <c r="CA1042" s="20">
        <v>0</v>
      </c>
      <c r="CB1042" s="20">
        <v>0</v>
      </c>
      <c r="CC1042" s="20">
        <v>76</v>
      </c>
      <c r="CD1042" s="22" t="s">
        <v>1317</v>
      </c>
      <c r="CE1042" s="22" t="s">
        <v>1318</v>
      </c>
      <c r="CF1042" s="22" t="s">
        <v>1317</v>
      </c>
      <c r="CG1042" s="22" t="s">
        <v>1318</v>
      </c>
      <c r="CH1042" s="22" t="s">
        <v>1317</v>
      </c>
      <c r="CI1042" s="22" t="s">
        <v>1318</v>
      </c>
      <c r="CJ1042" s="149" t="s">
        <v>1124</v>
      </c>
      <c r="CK1042" s="241" t="s">
        <v>1124</v>
      </c>
    </row>
    <row r="1043" spans="1:89" ht="15" customHeight="1" x14ac:dyDescent="0.35">
      <c r="A1043" s="17"/>
      <c r="B1043" s="313">
        <v>43027</v>
      </c>
      <c r="C1043" s="8" t="s">
        <v>397</v>
      </c>
      <c r="D1043" s="18">
        <v>5</v>
      </c>
      <c r="E1043" s="131" t="s">
        <v>1309</v>
      </c>
      <c r="F1043" s="22" t="s">
        <v>1309</v>
      </c>
      <c r="G1043" s="132" t="s">
        <v>1309</v>
      </c>
      <c r="H1043" s="22" t="s">
        <v>1311</v>
      </c>
      <c r="I1043" s="22" t="s">
        <v>1349</v>
      </c>
      <c r="J1043" s="22" t="s">
        <v>1313</v>
      </c>
      <c r="K1043" s="22" t="s">
        <v>1314</v>
      </c>
      <c r="L1043" s="22" t="s">
        <v>1311</v>
      </c>
      <c r="M1043" s="133" t="s">
        <v>1311</v>
      </c>
      <c r="N1043" s="22" t="s">
        <v>1311</v>
      </c>
      <c r="O1043" s="22" t="s">
        <v>1309</v>
      </c>
      <c r="P1043" s="22" t="s">
        <v>1309</v>
      </c>
      <c r="Q1043" s="20">
        <v>0</v>
      </c>
      <c r="R1043" s="20">
        <v>0</v>
      </c>
      <c r="S1043" s="20">
        <v>898</v>
      </c>
      <c r="T1043" s="20">
        <v>898</v>
      </c>
      <c r="U1043" s="20">
        <v>177</v>
      </c>
      <c r="V1043" s="20">
        <v>177</v>
      </c>
      <c r="W1043" s="20">
        <v>0</v>
      </c>
      <c r="X1043" s="20">
        <v>0</v>
      </c>
      <c r="Y1043" s="20">
        <v>0</v>
      </c>
      <c r="Z1043" s="20">
        <v>0</v>
      </c>
      <c r="AA1043" s="20" t="s">
        <v>1315</v>
      </c>
      <c r="AB1043" s="22" t="s">
        <v>1315</v>
      </c>
      <c r="AC1043" s="20">
        <v>97</v>
      </c>
      <c r="AD1043" s="20">
        <v>51</v>
      </c>
      <c r="AE1043" s="20">
        <v>0</v>
      </c>
      <c r="AF1043" s="20">
        <v>3</v>
      </c>
      <c r="AG1043" s="20">
        <v>3</v>
      </c>
      <c r="AH1043" s="20">
        <v>0</v>
      </c>
      <c r="AI1043" s="328">
        <v>10.801781737193764</v>
      </c>
      <c r="AJ1043" s="328">
        <v>1.2498162034994853</v>
      </c>
      <c r="AK1043" s="328" t="s">
        <v>1328</v>
      </c>
      <c r="AL1043" s="22" t="s">
        <v>1329</v>
      </c>
      <c r="AM1043" s="22" t="s">
        <v>1330</v>
      </c>
      <c r="AN1043" s="22" t="s">
        <v>1347</v>
      </c>
      <c r="AO1043" s="22" t="s">
        <v>1309</v>
      </c>
      <c r="AP1043" s="22" t="s">
        <v>1350</v>
      </c>
      <c r="AQ1043" s="22" t="s">
        <v>1318</v>
      </c>
      <c r="AR1043" s="22" t="s">
        <v>1317</v>
      </c>
      <c r="AS1043" s="22" t="s">
        <v>1318</v>
      </c>
      <c r="AT1043" s="22" t="s">
        <v>1309</v>
      </c>
      <c r="AU1043" s="22" t="s">
        <v>1309</v>
      </c>
      <c r="AV1043" s="22" t="s">
        <v>1317</v>
      </c>
      <c r="AW1043" s="22" t="s">
        <v>1309</v>
      </c>
      <c r="AX1043" s="22" t="s">
        <v>1309</v>
      </c>
      <c r="AY1043" s="22" t="s">
        <v>1309</v>
      </c>
      <c r="AZ1043" s="22" t="s">
        <v>1309</v>
      </c>
      <c r="BA1043" s="22" t="s">
        <v>1309</v>
      </c>
      <c r="BB1043" s="22" t="s">
        <v>1309</v>
      </c>
      <c r="BC1043" s="22" t="s">
        <v>1309</v>
      </c>
      <c r="BD1043" s="22" t="s">
        <v>1309</v>
      </c>
      <c r="BE1043" s="22" t="s">
        <v>1309</v>
      </c>
      <c r="BF1043" s="22" t="s">
        <v>1317</v>
      </c>
      <c r="BG1043" s="22" t="s">
        <v>1318</v>
      </c>
      <c r="BH1043" s="22" t="s">
        <v>1317</v>
      </c>
      <c r="BI1043" s="22" t="s">
        <v>1318</v>
      </c>
      <c r="BJ1043" s="22" t="s">
        <v>1309</v>
      </c>
      <c r="BK1043" s="22" t="s">
        <v>1309</v>
      </c>
      <c r="BL1043" s="22" t="s">
        <v>1309</v>
      </c>
      <c r="BM1043" s="22" t="s">
        <v>1309</v>
      </c>
      <c r="BN1043" s="22" t="s">
        <v>1309</v>
      </c>
      <c r="BO1043" s="22" t="s">
        <v>1309</v>
      </c>
      <c r="BP1043" s="22" t="s">
        <v>1309</v>
      </c>
      <c r="BQ1043" s="22" t="s">
        <v>1309</v>
      </c>
      <c r="BR1043" s="22" t="s">
        <v>1309</v>
      </c>
      <c r="BS1043" s="22" t="s">
        <v>1309</v>
      </c>
      <c r="BT1043" s="22" t="s">
        <v>1309</v>
      </c>
      <c r="BU1043" s="22" t="s">
        <v>1309</v>
      </c>
      <c r="BV1043" s="22" t="s">
        <v>1317</v>
      </c>
      <c r="BW1043" s="22" t="s">
        <v>1318</v>
      </c>
      <c r="BX1043" s="20">
        <v>1653</v>
      </c>
      <c r="BY1043" s="20">
        <v>13</v>
      </c>
      <c r="BZ1043" s="20">
        <v>1290</v>
      </c>
      <c r="CA1043" s="20">
        <v>0</v>
      </c>
      <c r="CB1043" s="20">
        <v>0</v>
      </c>
      <c r="CC1043" s="20">
        <v>37861</v>
      </c>
      <c r="CD1043" s="22" t="s">
        <v>1345</v>
      </c>
      <c r="CE1043" s="22" t="s">
        <v>1318</v>
      </c>
      <c r="CF1043" s="22" t="s">
        <v>1317</v>
      </c>
      <c r="CG1043" s="22" t="s">
        <v>1318</v>
      </c>
      <c r="CH1043" s="22" t="s">
        <v>1413</v>
      </c>
      <c r="CI1043" s="22" t="s">
        <v>1413</v>
      </c>
      <c r="CJ1043" s="149" t="s">
        <v>1124</v>
      </c>
      <c r="CK1043" s="241" t="s">
        <v>3527</v>
      </c>
    </row>
    <row r="1044" spans="1:89" ht="15" customHeight="1" x14ac:dyDescent="0.35">
      <c r="A1044" s="17"/>
      <c r="B1044" s="313">
        <v>5010</v>
      </c>
      <c r="C1044" s="8" t="s">
        <v>1044</v>
      </c>
      <c r="D1044" s="18">
        <v>11</v>
      </c>
      <c r="E1044" s="131"/>
      <c r="F1044" s="22"/>
      <c r="G1044" s="132"/>
      <c r="H1044" s="22"/>
      <c r="I1044" s="22"/>
      <c r="J1044" s="22"/>
      <c r="K1044" s="22"/>
      <c r="L1044" s="22"/>
      <c r="M1044" s="133"/>
      <c r="N1044" s="22"/>
      <c r="O1044" s="22"/>
      <c r="P1044" s="22"/>
      <c r="Q1044" s="20"/>
      <c r="R1044" s="20"/>
      <c r="S1044" s="20"/>
      <c r="T1044" s="20"/>
      <c r="U1044" s="20"/>
      <c r="V1044" s="20"/>
      <c r="W1044" s="20"/>
      <c r="X1044" s="20"/>
      <c r="Y1044" s="20"/>
      <c r="Z1044" s="20"/>
      <c r="AA1044" s="20"/>
      <c r="AB1044" s="22"/>
      <c r="AC1044" s="20"/>
      <c r="AD1044" s="20"/>
      <c r="AE1044" s="20"/>
      <c r="AF1044" s="20" t="s">
        <v>1124</v>
      </c>
      <c r="AG1044" s="20" t="s">
        <v>1124</v>
      </c>
      <c r="AH1044" s="20" t="s">
        <v>1124</v>
      </c>
      <c r="AI1044" s="328"/>
      <c r="AJ1044" s="328"/>
      <c r="AK1044" s="328"/>
      <c r="AL1044" s="22"/>
      <c r="AM1044" s="22"/>
      <c r="AN1044" s="22"/>
      <c r="AO1044" s="22"/>
      <c r="AP1044" s="22"/>
      <c r="AQ1044" s="22"/>
      <c r="AR1044" s="22"/>
      <c r="AS1044" s="22"/>
      <c r="AT1044" s="22"/>
      <c r="AU1044" s="22"/>
      <c r="AV1044" s="22"/>
      <c r="AW1044" s="22"/>
      <c r="AX1044" s="22"/>
      <c r="AY1044" s="22"/>
      <c r="AZ1044" s="22"/>
      <c r="BA1044" s="22"/>
      <c r="BB1044" s="22"/>
      <c r="BC1044" s="22"/>
      <c r="BD1044" s="22"/>
      <c r="BE1044" s="22"/>
      <c r="BF1044" s="22"/>
      <c r="BG1044" s="22"/>
      <c r="BH1044" s="22"/>
      <c r="BI1044" s="22"/>
      <c r="BJ1044" s="22"/>
      <c r="BK1044" s="22"/>
      <c r="BL1044" s="22"/>
      <c r="BM1044" s="22"/>
      <c r="BN1044" s="22"/>
      <c r="BO1044" s="22"/>
      <c r="BP1044" s="22"/>
      <c r="BQ1044" s="22"/>
      <c r="BR1044" s="22"/>
      <c r="BS1044" s="22"/>
      <c r="BT1044" s="22"/>
      <c r="BU1044" s="22"/>
      <c r="BV1044" s="22"/>
      <c r="BW1044" s="22"/>
      <c r="BX1044" s="20"/>
      <c r="BY1044" s="20"/>
      <c r="BZ1044" s="20"/>
      <c r="CA1044" s="20"/>
      <c r="CB1044" s="20"/>
      <c r="CC1044" s="20"/>
      <c r="CD1044" s="22"/>
      <c r="CE1044" s="22"/>
      <c r="CF1044" s="22"/>
      <c r="CG1044" s="22"/>
      <c r="CH1044" s="22"/>
      <c r="CI1044" s="22"/>
      <c r="CJ1044" s="149"/>
      <c r="CK1044" s="241"/>
    </row>
    <row r="1045" spans="1:89" ht="15" customHeight="1" x14ac:dyDescent="0.35">
      <c r="A1045" s="17"/>
      <c r="B1045" s="313">
        <v>53052</v>
      </c>
      <c r="C1045" s="8" t="s">
        <v>538</v>
      </c>
      <c r="D1045" s="18">
        <v>16</v>
      </c>
      <c r="E1045" s="131" t="s">
        <v>1319</v>
      </c>
      <c r="F1045" s="22" t="s">
        <v>1310</v>
      </c>
      <c r="G1045" s="132" t="s">
        <v>1309</v>
      </c>
      <c r="H1045" s="22" t="s">
        <v>1311</v>
      </c>
      <c r="I1045" s="22" t="s">
        <v>1327</v>
      </c>
      <c r="J1045" s="22" t="s">
        <v>1327</v>
      </c>
      <c r="K1045" s="22" t="s">
        <v>1314</v>
      </c>
      <c r="L1045" s="22" t="s">
        <v>1311</v>
      </c>
      <c r="M1045" s="133" t="s">
        <v>1311</v>
      </c>
      <c r="N1045" s="22" t="s">
        <v>1311</v>
      </c>
      <c r="O1045" s="22" t="s">
        <v>1309</v>
      </c>
      <c r="P1045" s="22" t="s">
        <v>1309</v>
      </c>
      <c r="Q1045" s="20">
        <v>0</v>
      </c>
      <c r="R1045" s="20">
        <v>0</v>
      </c>
      <c r="S1045" s="20">
        <v>79.489999999999995</v>
      </c>
      <c r="T1045" s="20">
        <v>0</v>
      </c>
      <c r="U1045" s="20">
        <v>0</v>
      </c>
      <c r="V1045" s="20">
        <v>261.86</v>
      </c>
      <c r="W1045" s="20">
        <v>0</v>
      </c>
      <c r="X1045" s="20">
        <v>0</v>
      </c>
      <c r="Y1045" s="20">
        <v>0</v>
      </c>
      <c r="Z1045" s="20">
        <v>0</v>
      </c>
      <c r="AA1045" s="20" t="s">
        <v>1317</v>
      </c>
      <c r="AB1045" s="22" t="s">
        <v>1318</v>
      </c>
      <c r="AC1045" s="20">
        <v>26</v>
      </c>
      <c r="AD1045" s="20">
        <v>0</v>
      </c>
      <c r="AE1045" s="20">
        <v>0</v>
      </c>
      <c r="AF1045" s="20">
        <v>1</v>
      </c>
      <c r="AG1045" s="20">
        <v>0</v>
      </c>
      <c r="AH1045" s="20">
        <v>0</v>
      </c>
      <c r="AI1045" s="328">
        <v>9.9289696784541359</v>
      </c>
      <c r="AJ1045" s="328" t="s">
        <v>1328</v>
      </c>
      <c r="AK1045" s="328" t="s">
        <v>1328</v>
      </c>
      <c r="AL1045" s="22" t="s">
        <v>1329</v>
      </c>
      <c r="AM1045" s="22" t="s">
        <v>1330</v>
      </c>
      <c r="AN1045" s="22" t="s">
        <v>1317</v>
      </c>
      <c r="AO1045" s="22" t="s">
        <v>1318</v>
      </c>
      <c r="AP1045" s="22" t="s">
        <v>1318</v>
      </c>
      <c r="AQ1045" s="22" t="s">
        <v>1318</v>
      </c>
      <c r="AR1045" s="22" t="s">
        <v>1317</v>
      </c>
      <c r="AS1045" s="22" t="s">
        <v>1318</v>
      </c>
      <c r="AT1045" s="22" t="s">
        <v>1317</v>
      </c>
      <c r="AU1045" s="22" t="s">
        <v>1318</v>
      </c>
      <c r="AV1045" s="22" t="s">
        <v>1317</v>
      </c>
      <c r="AW1045" s="22" t="s">
        <v>1311</v>
      </c>
      <c r="AX1045" s="22" t="s">
        <v>1317</v>
      </c>
      <c r="AY1045" s="22" t="s">
        <v>1318</v>
      </c>
      <c r="AZ1045" s="22" t="s">
        <v>1309</v>
      </c>
      <c r="BA1045" s="22" t="s">
        <v>1309</v>
      </c>
      <c r="BB1045" s="22" t="s">
        <v>1309</v>
      </c>
      <c r="BC1045" s="22" t="s">
        <v>1309</v>
      </c>
      <c r="BD1045" s="22" t="s">
        <v>1309</v>
      </c>
      <c r="BE1045" s="22" t="s">
        <v>1309</v>
      </c>
      <c r="BF1045" s="22" t="s">
        <v>1317</v>
      </c>
      <c r="BG1045" s="22" t="s">
        <v>1318</v>
      </c>
      <c r="BH1045" s="22" t="s">
        <v>1317</v>
      </c>
      <c r="BI1045" s="22" t="s">
        <v>1311</v>
      </c>
      <c r="BJ1045" s="22" t="s">
        <v>1317</v>
      </c>
      <c r="BK1045" s="22" t="s">
        <v>1318</v>
      </c>
      <c r="BL1045" s="22" t="s">
        <v>1317</v>
      </c>
      <c r="BM1045" s="22" t="s">
        <v>1318</v>
      </c>
      <c r="BN1045" s="22" t="s">
        <v>1317</v>
      </c>
      <c r="BO1045" s="22" t="s">
        <v>1318</v>
      </c>
      <c r="BP1045" s="22" t="s">
        <v>1317</v>
      </c>
      <c r="BQ1045" s="22" t="s">
        <v>1318</v>
      </c>
      <c r="BR1045" s="22" t="s">
        <v>1309</v>
      </c>
      <c r="BS1045" s="22" t="s">
        <v>1309</v>
      </c>
      <c r="BT1045" s="22" t="s">
        <v>1319</v>
      </c>
      <c r="BU1045" s="22" t="s">
        <v>1311</v>
      </c>
      <c r="BV1045" s="22" t="s">
        <v>1317</v>
      </c>
      <c r="BW1045" s="22" t="s">
        <v>1318</v>
      </c>
      <c r="BX1045" s="20">
        <v>381</v>
      </c>
      <c r="BY1045" s="20">
        <v>16</v>
      </c>
      <c r="BZ1045" s="20">
        <v>491</v>
      </c>
      <c r="CA1045" s="20">
        <v>46</v>
      </c>
      <c r="CB1045" s="20">
        <v>329</v>
      </c>
      <c r="CC1045" s="20">
        <v>11710</v>
      </c>
      <c r="CD1045" s="22" t="s">
        <v>1331</v>
      </c>
      <c r="CE1045" s="22" t="s">
        <v>1331</v>
      </c>
      <c r="CF1045" s="22" t="s">
        <v>1320</v>
      </c>
      <c r="CG1045" s="22" t="s">
        <v>1321</v>
      </c>
      <c r="CH1045" s="22" t="s">
        <v>1317</v>
      </c>
      <c r="CI1045" s="22" t="s">
        <v>1318</v>
      </c>
      <c r="CJ1045" s="149" t="s">
        <v>3533</v>
      </c>
      <c r="CK1045" s="241" t="s">
        <v>3534</v>
      </c>
    </row>
    <row r="1046" spans="1:89" ht="15" customHeight="1" x14ac:dyDescent="0.35">
      <c r="A1046" s="17"/>
      <c r="B1046" s="313">
        <v>46045</v>
      </c>
      <c r="C1046" s="10" t="s">
        <v>434</v>
      </c>
      <c r="D1046" s="18">
        <v>5</v>
      </c>
      <c r="E1046" s="131"/>
      <c r="F1046" s="22"/>
      <c r="G1046" s="132"/>
      <c r="H1046" s="22"/>
      <c r="I1046" s="22"/>
      <c r="J1046" s="22"/>
      <c r="K1046" s="22"/>
      <c r="L1046" s="22"/>
      <c r="M1046" s="133"/>
      <c r="N1046" s="22"/>
      <c r="O1046" s="22"/>
      <c r="P1046" s="22"/>
      <c r="Q1046" s="20"/>
      <c r="R1046" s="20"/>
      <c r="S1046" s="20"/>
      <c r="T1046" s="20"/>
      <c r="U1046" s="20"/>
      <c r="V1046" s="20"/>
      <c r="W1046" s="20"/>
      <c r="X1046" s="20"/>
      <c r="Y1046" s="20"/>
      <c r="Z1046" s="20"/>
      <c r="AA1046" s="20"/>
      <c r="AB1046" s="22"/>
      <c r="AC1046" s="20"/>
      <c r="AD1046" s="20"/>
      <c r="AE1046" s="20"/>
      <c r="AF1046" s="20" t="s">
        <v>1124</v>
      </c>
      <c r="AG1046" s="20" t="s">
        <v>1124</v>
      </c>
      <c r="AH1046" s="20" t="s">
        <v>1124</v>
      </c>
      <c r="AI1046" s="328"/>
      <c r="AJ1046" s="328"/>
      <c r="AK1046" s="328"/>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0"/>
      <c r="BY1046" s="20"/>
      <c r="BZ1046" s="20"/>
      <c r="CA1046" s="20"/>
      <c r="CB1046" s="20"/>
      <c r="CC1046" s="20"/>
      <c r="CD1046" s="22"/>
      <c r="CE1046" s="22"/>
      <c r="CF1046" s="22"/>
      <c r="CG1046" s="22"/>
      <c r="CH1046" s="22"/>
      <c r="CI1046" s="22"/>
      <c r="CJ1046" s="149"/>
      <c r="CK1046" s="241"/>
    </row>
    <row r="1047" spans="1:89" ht="15" customHeight="1" x14ac:dyDescent="0.35">
      <c r="A1047" s="17"/>
      <c r="B1047" s="313">
        <v>46030</v>
      </c>
      <c r="C1047" s="8" t="s">
        <v>431</v>
      </c>
      <c r="D1047" s="18">
        <v>5</v>
      </c>
      <c r="E1047" s="131"/>
      <c r="F1047" s="22"/>
      <c r="G1047" s="132"/>
      <c r="H1047" s="22"/>
      <c r="I1047" s="22"/>
      <c r="J1047" s="22"/>
      <c r="K1047" s="22"/>
      <c r="L1047" s="22"/>
      <c r="M1047" s="133"/>
      <c r="N1047" s="22"/>
      <c r="O1047" s="22"/>
      <c r="P1047" s="22"/>
      <c r="Q1047" s="20"/>
      <c r="R1047" s="20"/>
      <c r="S1047" s="20"/>
      <c r="T1047" s="20"/>
      <c r="U1047" s="20"/>
      <c r="V1047" s="20"/>
      <c r="W1047" s="20"/>
      <c r="X1047" s="20"/>
      <c r="Y1047" s="20"/>
      <c r="Z1047" s="20"/>
      <c r="AA1047" s="20"/>
      <c r="AB1047" s="22"/>
      <c r="AC1047" s="20"/>
      <c r="AD1047" s="20"/>
      <c r="AE1047" s="20"/>
      <c r="AF1047" s="20" t="s">
        <v>1124</v>
      </c>
      <c r="AG1047" s="20" t="s">
        <v>1124</v>
      </c>
      <c r="AH1047" s="20" t="s">
        <v>1124</v>
      </c>
      <c r="AI1047" s="328"/>
      <c r="AJ1047" s="328"/>
      <c r="AK1047" s="328"/>
      <c r="AL1047" s="22"/>
      <c r="AM1047" s="22"/>
      <c r="AN1047" s="22"/>
      <c r="AO1047" s="22"/>
      <c r="AP1047" s="22"/>
      <c r="AQ1047" s="22"/>
      <c r="AR1047" s="22"/>
      <c r="AS1047" s="22"/>
      <c r="AT1047" s="22"/>
      <c r="AU1047" s="22"/>
      <c r="AV1047" s="22"/>
      <c r="AW1047" s="22"/>
      <c r="AX1047" s="22"/>
      <c r="AY1047" s="22"/>
      <c r="AZ1047" s="22"/>
      <c r="BA1047" s="22"/>
      <c r="BB1047" s="22"/>
      <c r="BC1047" s="22"/>
      <c r="BD1047" s="22"/>
      <c r="BE1047" s="22"/>
      <c r="BF1047" s="22"/>
      <c r="BG1047" s="22"/>
      <c r="BH1047" s="22"/>
      <c r="BI1047" s="22"/>
      <c r="BJ1047" s="22"/>
      <c r="BK1047" s="22"/>
      <c r="BL1047" s="22"/>
      <c r="BM1047" s="22"/>
      <c r="BN1047" s="22"/>
      <c r="BO1047" s="22"/>
      <c r="BP1047" s="22"/>
      <c r="BQ1047" s="22"/>
      <c r="BR1047" s="22"/>
      <c r="BS1047" s="22"/>
      <c r="BT1047" s="22"/>
      <c r="BU1047" s="22"/>
      <c r="BV1047" s="22"/>
      <c r="BW1047" s="22"/>
      <c r="BX1047" s="20"/>
      <c r="BY1047" s="20"/>
      <c r="BZ1047" s="20"/>
      <c r="CA1047" s="20"/>
      <c r="CB1047" s="20"/>
      <c r="CC1047" s="20"/>
      <c r="CD1047" s="22"/>
      <c r="CE1047" s="22"/>
      <c r="CF1047" s="22"/>
      <c r="CG1047" s="22"/>
      <c r="CH1047" s="22"/>
      <c r="CI1047" s="22"/>
      <c r="CJ1047" s="149"/>
      <c r="CK1047" s="241"/>
    </row>
    <row r="1048" spans="1:89" ht="15" customHeight="1" x14ac:dyDescent="0.35">
      <c r="A1048" s="17"/>
      <c r="B1048" s="313">
        <v>45025</v>
      </c>
      <c r="C1048" s="8" t="s">
        <v>412</v>
      </c>
      <c r="D1048" s="18">
        <v>5</v>
      </c>
      <c r="E1048" s="131" t="s">
        <v>1319</v>
      </c>
      <c r="F1048" s="22" t="s">
        <v>1310</v>
      </c>
      <c r="G1048" s="132" t="s">
        <v>1309</v>
      </c>
      <c r="H1048" s="22" t="s">
        <v>1311</v>
      </c>
      <c r="I1048" s="22" t="s">
        <v>1327</v>
      </c>
      <c r="J1048" s="22" t="s">
        <v>1327</v>
      </c>
      <c r="K1048" s="22" t="s">
        <v>1319</v>
      </c>
      <c r="L1048" s="22" t="s">
        <v>1309</v>
      </c>
      <c r="M1048" s="133" t="s">
        <v>1311</v>
      </c>
      <c r="N1048" s="22" t="s">
        <v>1311</v>
      </c>
      <c r="O1048" s="22" t="s">
        <v>1315</v>
      </c>
      <c r="P1048" s="22" t="s">
        <v>1315</v>
      </c>
      <c r="Q1048" s="20">
        <v>1.9079999999999999</v>
      </c>
      <c r="R1048" s="20">
        <v>1.9079999999999999</v>
      </c>
      <c r="S1048" s="20">
        <v>0</v>
      </c>
      <c r="T1048" s="20">
        <v>0</v>
      </c>
      <c r="U1048" s="20">
        <v>0</v>
      </c>
      <c r="V1048" s="20">
        <v>0</v>
      </c>
      <c r="W1048" s="20">
        <v>0</v>
      </c>
      <c r="X1048" s="20">
        <v>0</v>
      </c>
      <c r="Y1048" s="20">
        <v>0</v>
      </c>
      <c r="Z1048" s="20">
        <v>0</v>
      </c>
      <c r="AA1048" s="20" t="s">
        <v>1317</v>
      </c>
      <c r="AB1048" s="22" t="s">
        <v>1318</v>
      </c>
      <c r="AC1048" s="20">
        <v>0</v>
      </c>
      <c r="AD1048" s="20">
        <v>0</v>
      </c>
      <c r="AE1048" s="20">
        <v>0</v>
      </c>
      <c r="AF1048" s="20">
        <v>0</v>
      </c>
      <c r="AG1048" s="20">
        <v>0</v>
      </c>
      <c r="AH1048" s="20">
        <v>0</v>
      </c>
      <c r="AI1048" s="328" t="s">
        <v>1328</v>
      </c>
      <c r="AJ1048" s="328" t="s">
        <v>1328</v>
      </c>
      <c r="AK1048" s="328" t="s">
        <v>1328</v>
      </c>
      <c r="AL1048" s="22" t="s">
        <v>1316</v>
      </c>
      <c r="AM1048" s="22" t="s">
        <v>1316</v>
      </c>
      <c r="AN1048" s="22" t="s">
        <v>1315</v>
      </c>
      <c r="AO1048" s="22" t="s">
        <v>1315</v>
      </c>
      <c r="AP1048" s="22" t="s">
        <v>1315</v>
      </c>
      <c r="AQ1048" s="22" t="s">
        <v>1315</v>
      </c>
      <c r="AR1048" s="22" t="s">
        <v>1317</v>
      </c>
      <c r="AS1048" s="22" t="s">
        <v>1318</v>
      </c>
      <c r="AT1048" s="22" t="s">
        <v>1317</v>
      </c>
      <c r="AU1048" s="22" t="s">
        <v>1311</v>
      </c>
      <c r="AV1048" s="22" t="s">
        <v>1317</v>
      </c>
      <c r="AW1048" s="22" t="s">
        <v>1318</v>
      </c>
      <c r="AX1048" s="22" t="s">
        <v>1317</v>
      </c>
      <c r="AY1048" s="22" t="s">
        <v>1318</v>
      </c>
      <c r="AZ1048" s="22" t="s">
        <v>1309</v>
      </c>
      <c r="BA1048" s="22" t="s">
        <v>1309</v>
      </c>
      <c r="BB1048" s="22" t="s">
        <v>1309</v>
      </c>
      <c r="BC1048" s="22" t="s">
        <v>1309</v>
      </c>
      <c r="BD1048" s="22" t="s">
        <v>1315</v>
      </c>
      <c r="BE1048" s="22" t="s">
        <v>1315</v>
      </c>
      <c r="BF1048" s="22" t="s">
        <v>1317</v>
      </c>
      <c r="BG1048" s="22" t="s">
        <v>1318</v>
      </c>
      <c r="BH1048" s="22" t="s">
        <v>1319</v>
      </c>
      <c r="BI1048" s="22" t="s">
        <v>1311</v>
      </c>
      <c r="BJ1048" s="22" t="s">
        <v>1319</v>
      </c>
      <c r="BK1048" s="22" t="s">
        <v>1309</v>
      </c>
      <c r="BL1048" s="22" t="s">
        <v>1319</v>
      </c>
      <c r="BM1048" s="22" t="s">
        <v>1309</v>
      </c>
      <c r="BN1048" s="22" t="s">
        <v>1309</v>
      </c>
      <c r="BO1048" s="22" t="s">
        <v>1309</v>
      </c>
      <c r="BP1048" s="22" t="s">
        <v>1315</v>
      </c>
      <c r="BQ1048" s="22" t="s">
        <v>1315</v>
      </c>
      <c r="BR1048" s="22" t="s">
        <v>1317</v>
      </c>
      <c r="BS1048" s="22" t="s">
        <v>1318</v>
      </c>
      <c r="BT1048" s="22" t="s">
        <v>1315</v>
      </c>
      <c r="BU1048" s="22" t="s">
        <v>1315</v>
      </c>
      <c r="BV1048" s="22" t="s">
        <v>1317</v>
      </c>
      <c r="BW1048" s="22" t="s">
        <v>1318</v>
      </c>
      <c r="BX1048" s="20">
        <v>0</v>
      </c>
      <c r="BY1048" s="20">
        <v>0</v>
      </c>
      <c r="BZ1048" s="20">
        <v>3</v>
      </c>
      <c r="CA1048" s="20">
        <v>0</v>
      </c>
      <c r="CB1048" s="20">
        <v>0</v>
      </c>
      <c r="CC1048" s="20">
        <v>44</v>
      </c>
      <c r="CD1048" s="22" t="s">
        <v>1317</v>
      </c>
      <c r="CE1048" s="22" t="s">
        <v>1318</v>
      </c>
      <c r="CF1048" s="22" t="s">
        <v>1317</v>
      </c>
      <c r="CG1048" s="22" t="s">
        <v>1318</v>
      </c>
      <c r="CH1048" s="22" t="s">
        <v>1317</v>
      </c>
      <c r="CI1048" s="22" t="s">
        <v>1318</v>
      </c>
      <c r="CJ1048" s="149" t="s">
        <v>1414</v>
      </c>
      <c r="CK1048" s="241" t="s">
        <v>1124</v>
      </c>
    </row>
    <row r="1049" spans="1:89" ht="15" customHeight="1" x14ac:dyDescent="0.35">
      <c r="A1049" s="17"/>
      <c r="B1049" s="313">
        <v>45008</v>
      </c>
      <c r="C1049" s="8" t="s">
        <v>410</v>
      </c>
      <c r="D1049" s="18">
        <v>5</v>
      </c>
      <c r="E1049" s="131" t="s">
        <v>1309</v>
      </c>
      <c r="F1049" s="22" t="s">
        <v>1310</v>
      </c>
      <c r="G1049" s="132" t="s">
        <v>1309</v>
      </c>
      <c r="H1049" s="22" t="s">
        <v>1311</v>
      </c>
      <c r="I1049" s="22" t="s">
        <v>1327</v>
      </c>
      <c r="J1049" s="22" t="s">
        <v>1327</v>
      </c>
      <c r="K1049" s="22" t="s">
        <v>1319</v>
      </c>
      <c r="L1049" s="22" t="s">
        <v>1309</v>
      </c>
      <c r="M1049" s="133" t="s">
        <v>1311</v>
      </c>
      <c r="N1049" s="22" t="s">
        <v>1311</v>
      </c>
      <c r="O1049" s="22" t="s">
        <v>1309</v>
      </c>
      <c r="P1049" s="22" t="s">
        <v>1309</v>
      </c>
      <c r="Q1049" s="20">
        <v>36.767000000000003</v>
      </c>
      <c r="R1049" s="20">
        <v>36.767000000000003</v>
      </c>
      <c r="S1049" s="20">
        <v>0</v>
      </c>
      <c r="T1049" s="20">
        <v>36.767000000000003</v>
      </c>
      <c r="U1049" s="20">
        <v>12.133110000000002</v>
      </c>
      <c r="V1049" s="20">
        <v>0</v>
      </c>
      <c r="W1049" s="20">
        <v>0</v>
      </c>
      <c r="X1049" s="20">
        <v>0</v>
      </c>
      <c r="Y1049" s="20">
        <v>0</v>
      </c>
      <c r="Z1049" s="20">
        <v>0</v>
      </c>
      <c r="AA1049" s="20" t="s">
        <v>1309</v>
      </c>
      <c r="AB1049" s="22" t="s">
        <v>1309</v>
      </c>
      <c r="AC1049" s="20">
        <v>4</v>
      </c>
      <c r="AD1049" s="20">
        <v>0</v>
      </c>
      <c r="AE1049" s="20">
        <v>0</v>
      </c>
      <c r="AF1049" s="20">
        <v>2</v>
      </c>
      <c r="AG1049" s="20">
        <v>0</v>
      </c>
      <c r="AH1049" s="20">
        <v>0</v>
      </c>
      <c r="AI1049" s="328">
        <v>10.879321130361465</v>
      </c>
      <c r="AJ1049" s="328" t="s">
        <v>1328</v>
      </c>
      <c r="AK1049" s="328" t="s">
        <v>1328</v>
      </c>
      <c r="AL1049" s="22" t="s">
        <v>1329</v>
      </c>
      <c r="AM1049" s="22" t="s">
        <v>1330</v>
      </c>
      <c r="AN1049" s="22" t="s">
        <v>1317</v>
      </c>
      <c r="AO1049" s="22" t="s">
        <v>1318</v>
      </c>
      <c r="AP1049" s="22" t="s">
        <v>1318</v>
      </c>
      <c r="AQ1049" s="22" t="s">
        <v>1318</v>
      </c>
      <c r="AR1049" s="22" t="s">
        <v>1317</v>
      </c>
      <c r="AS1049" s="22" t="s">
        <v>1318</v>
      </c>
      <c r="AT1049" s="22" t="s">
        <v>1309</v>
      </c>
      <c r="AU1049" s="22" t="s">
        <v>1309</v>
      </c>
      <c r="AV1049" s="22" t="s">
        <v>1317</v>
      </c>
      <c r="AW1049" s="22" t="s">
        <v>1318</v>
      </c>
      <c r="AX1049" s="22" t="s">
        <v>1317</v>
      </c>
      <c r="AY1049" s="22" t="s">
        <v>1318</v>
      </c>
      <c r="AZ1049" s="22" t="s">
        <v>1309</v>
      </c>
      <c r="BA1049" s="22" t="s">
        <v>1309</v>
      </c>
      <c r="BB1049" s="22" t="s">
        <v>1309</v>
      </c>
      <c r="BC1049" s="22" t="s">
        <v>1309</v>
      </c>
      <c r="BD1049" s="22" t="s">
        <v>1315</v>
      </c>
      <c r="BE1049" s="22" t="s">
        <v>1318</v>
      </c>
      <c r="BF1049" s="22" t="s">
        <v>1317</v>
      </c>
      <c r="BG1049" s="22" t="s">
        <v>1318</v>
      </c>
      <c r="BH1049" s="22" t="s">
        <v>1309</v>
      </c>
      <c r="BI1049" s="22" t="s">
        <v>1309</v>
      </c>
      <c r="BJ1049" s="22" t="s">
        <v>1317</v>
      </c>
      <c r="BK1049" s="22" t="s">
        <v>1318</v>
      </c>
      <c r="BL1049" s="22" t="s">
        <v>1317</v>
      </c>
      <c r="BM1049" s="22" t="s">
        <v>1311</v>
      </c>
      <c r="BN1049" s="22" t="s">
        <v>1317</v>
      </c>
      <c r="BO1049" s="22" t="s">
        <v>1311</v>
      </c>
      <c r="BP1049" s="22" t="s">
        <v>1309</v>
      </c>
      <c r="BQ1049" s="22" t="s">
        <v>1309</v>
      </c>
      <c r="BR1049" s="22" t="s">
        <v>1309</v>
      </c>
      <c r="BS1049" s="22" t="s">
        <v>1309</v>
      </c>
      <c r="BT1049" s="22" t="s">
        <v>1315</v>
      </c>
      <c r="BU1049" s="22" t="s">
        <v>1315</v>
      </c>
      <c r="BV1049" s="22" t="s">
        <v>1317</v>
      </c>
      <c r="BW1049" s="22" t="s">
        <v>1318</v>
      </c>
      <c r="BX1049" s="20">
        <v>18</v>
      </c>
      <c r="BY1049" s="20">
        <v>0</v>
      </c>
      <c r="BZ1049" s="20">
        <v>118</v>
      </c>
      <c r="CA1049" s="20">
        <v>0</v>
      </c>
      <c r="CB1049" s="20">
        <v>0</v>
      </c>
      <c r="CC1049" s="20">
        <v>968</v>
      </c>
      <c r="CD1049" s="22" t="s">
        <v>1320</v>
      </c>
      <c r="CE1049" s="22" t="s">
        <v>1340</v>
      </c>
      <c r="CF1049" s="22" t="s">
        <v>1317</v>
      </c>
      <c r="CG1049" s="22" t="s">
        <v>1340</v>
      </c>
      <c r="CH1049" s="22" t="s">
        <v>1317</v>
      </c>
      <c r="CI1049" s="22" t="s">
        <v>1318</v>
      </c>
      <c r="CJ1049" s="149" t="s">
        <v>1124</v>
      </c>
      <c r="CK1049" s="241" t="s">
        <v>1124</v>
      </c>
    </row>
    <row r="1050" spans="1:89" ht="15" customHeight="1" x14ac:dyDescent="0.35">
      <c r="A1050" s="17"/>
      <c r="B1050" s="313">
        <v>44050</v>
      </c>
      <c r="C1050" s="8" t="s">
        <v>405</v>
      </c>
      <c r="D1050" s="18">
        <v>5</v>
      </c>
      <c r="E1050" s="131"/>
      <c r="F1050" s="22"/>
      <c r="G1050" s="132"/>
      <c r="H1050" s="22"/>
      <c r="I1050" s="22"/>
      <c r="J1050" s="22"/>
      <c r="K1050" s="22"/>
      <c r="L1050" s="22"/>
      <c r="M1050" s="133"/>
      <c r="N1050" s="22"/>
      <c r="O1050" s="22"/>
      <c r="P1050" s="22"/>
      <c r="Q1050" s="20"/>
      <c r="R1050" s="20"/>
      <c r="S1050" s="20"/>
      <c r="T1050" s="20"/>
      <c r="U1050" s="20"/>
      <c r="V1050" s="20"/>
      <c r="W1050" s="20"/>
      <c r="X1050" s="20"/>
      <c r="Y1050" s="20"/>
      <c r="Z1050" s="20"/>
      <c r="AA1050" s="20"/>
      <c r="AB1050" s="22"/>
      <c r="AC1050" s="20"/>
      <c r="AD1050" s="20"/>
      <c r="AE1050" s="20"/>
      <c r="AF1050" s="20" t="s">
        <v>1124</v>
      </c>
      <c r="AG1050" s="20" t="s">
        <v>1124</v>
      </c>
      <c r="AH1050" s="20" t="s">
        <v>1124</v>
      </c>
      <c r="AI1050" s="328"/>
      <c r="AJ1050" s="328"/>
      <c r="AK1050" s="328"/>
      <c r="AL1050" s="22"/>
      <c r="AM1050" s="22"/>
      <c r="AN1050" s="22"/>
      <c r="AO1050" s="22"/>
      <c r="AP1050" s="22"/>
      <c r="AQ1050" s="22"/>
      <c r="AR1050" s="22"/>
      <c r="AS1050" s="22"/>
      <c r="AT1050" s="22"/>
      <c r="AU1050" s="22"/>
      <c r="AV1050" s="22"/>
      <c r="AW1050" s="22"/>
      <c r="AX1050" s="22"/>
      <c r="AY1050" s="22"/>
      <c r="AZ1050" s="22"/>
      <c r="BA1050" s="22"/>
      <c r="BB1050" s="22"/>
      <c r="BC1050" s="22"/>
      <c r="BD1050" s="22"/>
      <c r="BE1050" s="22"/>
      <c r="BF1050" s="22"/>
      <c r="BG1050" s="22"/>
      <c r="BH1050" s="22"/>
      <c r="BI1050" s="22"/>
      <c r="BJ1050" s="22"/>
      <c r="BK1050" s="22"/>
      <c r="BL1050" s="22"/>
      <c r="BM1050" s="22"/>
      <c r="BN1050" s="22"/>
      <c r="BO1050" s="22"/>
      <c r="BP1050" s="22"/>
      <c r="BQ1050" s="22"/>
      <c r="BR1050" s="22"/>
      <c r="BS1050" s="22"/>
      <c r="BT1050" s="22"/>
      <c r="BU1050" s="22"/>
      <c r="BV1050" s="22"/>
      <c r="BW1050" s="22"/>
      <c r="BX1050" s="20"/>
      <c r="BY1050" s="20"/>
      <c r="BZ1050" s="20"/>
      <c r="CA1050" s="20"/>
      <c r="CB1050" s="20"/>
      <c r="CC1050" s="20"/>
      <c r="CD1050" s="22"/>
      <c r="CE1050" s="22"/>
      <c r="CF1050" s="22"/>
      <c r="CG1050" s="22"/>
      <c r="CH1050" s="22"/>
      <c r="CI1050" s="22"/>
      <c r="CJ1050" s="149"/>
      <c r="CK1050" s="241"/>
    </row>
    <row r="1051" spans="1:89" ht="15" customHeight="1" x14ac:dyDescent="0.35">
      <c r="A1051" s="17"/>
      <c r="B1051" s="313">
        <v>42005</v>
      </c>
      <c r="C1051" s="8" t="s">
        <v>379</v>
      </c>
      <c r="D1051" s="18">
        <v>5</v>
      </c>
      <c r="E1051" s="131"/>
      <c r="F1051" s="22"/>
      <c r="G1051" s="132"/>
      <c r="H1051" s="22"/>
      <c r="I1051" s="22"/>
      <c r="J1051" s="22"/>
      <c r="K1051" s="22"/>
      <c r="L1051" s="22"/>
      <c r="M1051" s="133"/>
      <c r="N1051" s="22"/>
      <c r="O1051" s="22"/>
      <c r="P1051" s="22"/>
      <c r="Q1051" s="20"/>
      <c r="R1051" s="20"/>
      <c r="S1051" s="20"/>
      <c r="T1051" s="20"/>
      <c r="U1051" s="20"/>
      <c r="V1051" s="20"/>
      <c r="W1051" s="20"/>
      <c r="X1051" s="20"/>
      <c r="Y1051" s="20"/>
      <c r="Z1051" s="20"/>
      <c r="AA1051" s="20"/>
      <c r="AB1051" s="22"/>
      <c r="AC1051" s="20"/>
      <c r="AD1051" s="20"/>
      <c r="AE1051" s="20"/>
      <c r="AF1051" s="20" t="s">
        <v>1124</v>
      </c>
      <c r="AG1051" s="20" t="s">
        <v>1124</v>
      </c>
      <c r="AH1051" s="20" t="s">
        <v>1124</v>
      </c>
      <c r="AI1051" s="328"/>
      <c r="AJ1051" s="328"/>
      <c r="AK1051" s="328"/>
      <c r="AL1051" s="22"/>
      <c r="AM1051" s="22"/>
      <c r="AN1051" s="22"/>
      <c r="AO1051" s="22"/>
      <c r="AP1051" s="22"/>
      <c r="AQ1051" s="22"/>
      <c r="AR1051" s="22"/>
      <c r="AS1051" s="22"/>
      <c r="AT1051" s="22"/>
      <c r="AU1051" s="22"/>
      <c r="AV1051" s="22"/>
      <c r="AW1051" s="22"/>
      <c r="AX1051" s="22"/>
      <c r="AY1051" s="22"/>
      <c r="AZ1051" s="22"/>
      <c r="BA1051" s="22"/>
      <c r="BB1051" s="22"/>
      <c r="BC1051" s="22"/>
      <c r="BD1051" s="22"/>
      <c r="BE1051" s="22"/>
      <c r="BF1051" s="22"/>
      <c r="BG1051" s="22"/>
      <c r="BH1051" s="22"/>
      <c r="BI1051" s="22"/>
      <c r="BJ1051" s="22"/>
      <c r="BK1051" s="22"/>
      <c r="BL1051" s="22"/>
      <c r="BM1051" s="22"/>
      <c r="BN1051" s="22"/>
      <c r="BO1051" s="22"/>
      <c r="BP1051" s="22"/>
      <c r="BQ1051" s="22"/>
      <c r="BR1051" s="22"/>
      <c r="BS1051" s="22"/>
      <c r="BT1051" s="22"/>
      <c r="BU1051" s="22"/>
      <c r="BV1051" s="22"/>
      <c r="BW1051" s="22"/>
      <c r="BX1051" s="20"/>
      <c r="BY1051" s="20"/>
      <c r="BZ1051" s="20"/>
      <c r="CA1051" s="20"/>
      <c r="CB1051" s="20"/>
      <c r="CC1051" s="20"/>
      <c r="CD1051" s="22"/>
      <c r="CE1051" s="22"/>
      <c r="CF1051" s="22"/>
      <c r="CG1051" s="22"/>
      <c r="CH1051" s="22"/>
      <c r="CI1051" s="22"/>
      <c r="CJ1051" s="149"/>
      <c r="CK1051" s="241"/>
    </row>
    <row r="1052" spans="1:89" ht="15" customHeight="1" x14ac:dyDescent="0.35">
      <c r="A1052" s="17"/>
      <c r="B1052" s="313">
        <v>22035</v>
      </c>
      <c r="C1052" s="8" t="s">
        <v>159</v>
      </c>
      <c r="D1052" s="18">
        <v>3</v>
      </c>
      <c r="E1052" s="131" t="s">
        <v>1309</v>
      </c>
      <c r="F1052" s="22" t="s">
        <v>1309</v>
      </c>
      <c r="G1052" s="132" t="s">
        <v>1309</v>
      </c>
      <c r="H1052" s="22" t="s">
        <v>1311</v>
      </c>
      <c r="I1052" s="22" t="s">
        <v>1338</v>
      </c>
      <c r="J1052" s="22" t="s">
        <v>1342</v>
      </c>
      <c r="K1052" s="22" t="s">
        <v>1319</v>
      </c>
      <c r="L1052" s="22" t="s">
        <v>1311</v>
      </c>
      <c r="M1052" s="133" t="s">
        <v>1311</v>
      </c>
      <c r="N1052" s="22" t="s">
        <v>1311</v>
      </c>
      <c r="O1052" s="22" t="s">
        <v>1314</v>
      </c>
      <c r="P1052" s="22" t="s">
        <v>1318</v>
      </c>
      <c r="Q1052" s="20">
        <v>0</v>
      </c>
      <c r="R1052" s="20">
        <v>0</v>
      </c>
      <c r="S1052" s="20">
        <v>0</v>
      </c>
      <c r="T1052" s="20">
        <v>0</v>
      </c>
      <c r="U1052" s="20">
        <v>0</v>
      </c>
      <c r="V1052" s="20">
        <v>0</v>
      </c>
      <c r="W1052" s="20">
        <v>0</v>
      </c>
      <c r="X1052" s="20">
        <v>0</v>
      </c>
      <c r="Y1052" s="20">
        <v>0</v>
      </c>
      <c r="Z1052" s="20">
        <v>0</v>
      </c>
      <c r="AA1052" s="20" t="s">
        <v>1317</v>
      </c>
      <c r="AB1052" s="22" t="s">
        <v>1318</v>
      </c>
      <c r="AC1052" s="20">
        <v>0</v>
      </c>
      <c r="AD1052" s="20">
        <v>0</v>
      </c>
      <c r="AE1052" s="20">
        <v>0</v>
      </c>
      <c r="AF1052" s="20">
        <v>0</v>
      </c>
      <c r="AG1052" s="20">
        <v>0</v>
      </c>
      <c r="AH1052" s="20">
        <v>0</v>
      </c>
      <c r="AI1052" s="328" t="s">
        <v>1328</v>
      </c>
      <c r="AJ1052" s="328" t="s">
        <v>1328</v>
      </c>
      <c r="AK1052" s="328" t="s">
        <v>1328</v>
      </c>
      <c r="AL1052" s="22" t="s">
        <v>1316</v>
      </c>
      <c r="AM1052" s="22" t="s">
        <v>1316</v>
      </c>
      <c r="AN1052" s="22" t="s">
        <v>1317</v>
      </c>
      <c r="AO1052" s="22" t="s">
        <v>1318</v>
      </c>
      <c r="AP1052" s="22" t="s">
        <v>1318</v>
      </c>
      <c r="AQ1052" s="22" t="s">
        <v>1318</v>
      </c>
      <c r="AR1052" s="22" t="s">
        <v>1317</v>
      </c>
      <c r="AS1052" s="22" t="s">
        <v>1318</v>
      </c>
      <c r="AT1052" s="22" t="s">
        <v>1317</v>
      </c>
      <c r="AU1052" s="22" t="s">
        <v>1318</v>
      </c>
      <c r="AV1052" s="22" t="s">
        <v>1317</v>
      </c>
      <c r="AW1052" s="22" t="s">
        <v>1318</v>
      </c>
      <c r="AX1052" s="22" t="s">
        <v>1317</v>
      </c>
      <c r="AY1052" s="22" t="s">
        <v>1318</v>
      </c>
      <c r="AZ1052" s="22" t="s">
        <v>1309</v>
      </c>
      <c r="BA1052" s="22" t="s">
        <v>1309</v>
      </c>
      <c r="BB1052" s="22" t="s">
        <v>1309</v>
      </c>
      <c r="BC1052" s="22" t="s">
        <v>1309</v>
      </c>
      <c r="BD1052" s="22" t="s">
        <v>1317</v>
      </c>
      <c r="BE1052" s="22" t="s">
        <v>1318</v>
      </c>
      <c r="BF1052" s="22" t="s">
        <v>1319</v>
      </c>
      <c r="BG1052" s="22" t="s">
        <v>1318</v>
      </c>
      <c r="BH1052" s="22" t="s">
        <v>1309</v>
      </c>
      <c r="BI1052" s="22" t="s">
        <v>1309</v>
      </c>
      <c r="BJ1052" s="22" t="s">
        <v>1317</v>
      </c>
      <c r="BK1052" s="22" t="s">
        <v>1318</v>
      </c>
      <c r="BL1052" s="22" t="s">
        <v>1317</v>
      </c>
      <c r="BM1052" s="22" t="s">
        <v>1318</v>
      </c>
      <c r="BN1052" s="22" t="s">
        <v>1309</v>
      </c>
      <c r="BO1052" s="22" t="s">
        <v>1309</v>
      </c>
      <c r="BP1052" s="22" t="s">
        <v>1309</v>
      </c>
      <c r="BQ1052" s="22" t="s">
        <v>1309</v>
      </c>
      <c r="BR1052" s="22" t="s">
        <v>1309</v>
      </c>
      <c r="BS1052" s="22" t="s">
        <v>1309</v>
      </c>
      <c r="BT1052" s="22" t="s">
        <v>1309</v>
      </c>
      <c r="BU1052" s="22" t="s">
        <v>1309</v>
      </c>
      <c r="BV1052" s="22" t="s">
        <v>1317</v>
      </c>
      <c r="BW1052" s="22" t="s">
        <v>1318</v>
      </c>
      <c r="BX1052" s="20">
        <v>7</v>
      </c>
      <c r="BY1052" s="20">
        <v>0</v>
      </c>
      <c r="BZ1052" s="20">
        <v>2</v>
      </c>
      <c r="CA1052" s="20">
        <v>0</v>
      </c>
      <c r="CB1052" s="20">
        <v>0</v>
      </c>
      <c r="CC1052" s="20">
        <v>679</v>
      </c>
      <c r="CD1052" s="22" t="s">
        <v>1320</v>
      </c>
      <c r="CE1052" s="22" t="s">
        <v>1318</v>
      </c>
      <c r="CF1052" s="22" t="s">
        <v>1317</v>
      </c>
      <c r="CG1052" s="22" t="s">
        <v>1318</v>
      </c>
      <c r="CH1052" s="22" t="s">
        <v>1317</v>
      </c>
      <c r="CI1052" s="22" t="s">
        <v>1318</v>
      </c>
      <c r="CJ1052" s="149" t="s">
        <v>1124</v>
      </c>
      <c r="CK1052" s="241" t="s">
        <v>1124</v>
      </c>
    </row>
    <row r="1053" spans="1:89" ht="15" customHeight="1" x14ac:dyDescent="0.35">
      <c r="A1053" s="17"/>
      <c r="B1053" s="313">
        <v>30105</v>
      </c>
      <c r="C1053" s="8" t="s">
        <v>235</v>
      </c>
      <c r="D1053" s="18">
        <v>5</v>
      </c>
      <c r="E1053" s="131"/>
      <c r="F1053" s="22"/>
      <c r="G1053" s="132"/>
      <c r="H1053" s="22"/>
      <c r="I1053" s="22"/>
      <c r="J1053" s="22"/>
      <c r="K1053" s="22"/>
      <c r="L1053" s="22"/>
      <c r="M1053" s="133"/>
      <c r="N1053" s="22"/>
      <c r="O1053" s="22"/>
      <c r="P1053" s="22"/>
      <c r="Q1053" s="20"/>
      <c r="R1053" s="20"/>
      <c r="S1053" s="20"/>
      <c r="T1053" s="20"/>
      <c r="U1053" s="20"/>
      <c r="V1053" s="20"/>
      <c r="W1053" s="20"/>
      <c r="X1053" s="20"/>
      <c r="Y1053" s="20"/>
      <c r="Z1053" s="20"/>
      <c r="AA1053" s="20"/>
      <c r="AB1053" s="22"/>
      <c r="AC1053" s="20"/>
      <c r="AD1053" s="20"/>
      <c r="AE1053" s="20"/>
      <c r="AF1053" s="20" t="s">
        <v>1124</v>
      </c>
      <c r="AG1053" s="20" t="s">
        <v>1124</v>
      </c>
      <c r="AH1053" s="20" t="s">
        <v>1124</v>
      </c>
      <c r="AI1053" s="328"/>
      <c r="AJ1053" s="328"/>
      <c r="AK1053" s="328"/>
      <c r="AL1053" s="22"/>
      <c r="AM1053" s="22"/>
      <c r="AN1053" s="22"/>
      <c r="AO1053" s="22"/>
      <c r="AP1053" s="22"/>
      <c r="AQ1053" s="22"/>
      <c r="AR1053" s="22"/>
      <c r="AS1053" s="22"/>
      <c r="AT1053" s="22"/>
      <c r="AU1053" s="22"/>
      <c r="AV1053" s="22"/>
      <c r="AW1053" s="22"/>
      <c r="AX1053" s="22"/>
      <c r="AY1053" s="22"/>
      <c r="AZ1053" s="22"/>
      <c r="BA1053" s="22"/>
      <c r="BB1053" s="22"/>
      <c r="BC1053" s="22"/>
      <c r="BD1053" s="22"/>
      <c r="BE1053" s="22"/>
      <c r="BF1053" s="22"/>
      <c r="BG1053" s="22"/>
      <c r="BH1053" s="22"/>
      <c r="BI1053" s="22"/>
      <c r="BJ1053" s="22"/>
      <c r="BK1053" s="22"/>
      <c r="BL1053" s="22"/>
      <c r="BM1053" s="22"/>
      <c r="BN1053" s="22"/>
      <c r="BO1053" s="22"/>
      <c r="BP1053" s="22"/>
      <c r="BQ1053" s="22"/>
      <c r="BR1053" s="22"/>
      <c r="BS1053" s="22"/>
      <c r="BT1053" s="22"/>
      <c r="BU1053" s="22"/>
      <c r="BV1053" s="22"/>
      <c r="BW1053" s="22"/>
      <c r="BX1053" s="20"/>
      <c r="BY1053" s="20"/>
      <c r="BZ1053" s="20"/>
      <c r="CA1053" s="20"/>
      <c r="CB1053" s="20"/>
      <c r="CC1053" s="20"/>
      <c r="CD1053" s="22"/>
      <c r="CE1053" s="22"/>
      <c r="CF1053" s="22"/>
      <c r="CG1053" s="22"/>
      <c r="CH1053" s="22"/>
      <c r="CI1053" s="22"/>
      <c r="CJ1053" s="149"/>
      <c r="CK1053" s="241"/>
    </row>
    <row r="1054" spans="1:89" ht="15" customHeight="1" x14ac:dyDescent="0.35">
      <c r="A1054" s="17"/>
      <c r="B1054" s="313">
        <v>30110</v>
      </c>
      <c r="C1054" s="8" t="s">
        <v>236</v>
      </c>
      <c r="D1054" s="18">
        <v>5</v>
      </c>
      <c r="E1054" s="131"/>
      <c r="F1054" s="22"/>
      <c r="G1054" s="132"/>
      <c r="H1054" s="22"/>
      <c r="I1054" s="22"/>
      <c r="J1054" s="22"/>
      <c r="K1054" s="22"/>
      <c r="L1054" s="22"/>
      <c r="M1054" s="133"/>
      <c r="N1054" s="22"/>
      <c r="O1054" s="22"/>
      <c r="P1054" s="22"/>
      <c r="Q1054" s="20"/>
      <c r="R1054" s="20"/>
      <c r="S1054" s="20"/>
      <c r="T1054" s="20"/>
      <c r="U1054" s="20"/>
      <c r="V1054" s="20"/>
      <c r="W1054" s="20"/>
      <c r="X1054" s="20"/>
      <c r="Y1054" s="20"/>
      <c r="Z1054" s="20"/>
      <c r="AA1054" s="20"/>
      <c r="AB1054" s="22"/>
      <c r="AC1054" s="20"/>
      <c r="AD1054" s="20"/>
      <c r="AE1054" s="20"/>
      <c r="AF1054" s="20" t="s">
        <v>1124</v>
      </c>
      <c r="AG1054" s="20" t="s">
        <v>1124</v>
      </c>
      <c r="AH1054" s="20" t="s">
        <v>1124</v>
      </c>
      <c r="AI1054" s="328"/>
      <c r="AJ1054" s="328"/>
      <c r="AK1054" s="328"/>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0"/>
      <c r="BY1054" s="20"/>
      <c r="BZ1054" s="20"/>
      <c r="CA1054" s="20"/>
      <c r="CB1054" s="20"/>
      <c r="CC1054" s="20"/>
      <c r="CD1054" s="22"/>
      <c r="CE1054" s="22"/>
      <c r="CF1054" s="22"/>
      <c r="CG1054" s="22"/>
      <c r="CH1054" s="22"/>
      <c r="CI1054" s="22"/>
      <c r="CJ1054" s="149"/>
      <c r="CK1054" s="241"/>
    </row>
    <row r="1055" spans="1:89" ht="15" customHeight="1" x14ac:dyDescent="0.35">
      <c r="A1055" s="17"/>
      <c r="B1055" s="313">
        <v>45105</v>
      </c>
      <c r="C1055" s="8" t="s">
        <v>425</v>
      </c>
      <c r="D1055" s="18">
        <v>5</v>
      </c>
      <c r="E1055" s="131" t="s">
        <v>1309</v>
      </c>
      <c r="F1055" s="22" t="s">
        <v>1309</v>
      </c>
      <c r="G1055" s="132" t="s">
        <v>1309</v>
      </c>
      <c r="H1055" s="22" t="s">
        <v>1311</v>
      </c>
      <c r="I1055" s="22" t="s">
        <v>1327</v>
      </c>
      <c r="J1055" s="22" t="s">
        <v>1327</v>
      </c>
      <c r="K1055" s="22" t="s">
        <v>1319</v>
      </c>
      <c r="L1055" s="22" t="s">
        <v>1309</v>
      </c>
      <c r="M1055" s="133" t="s">
        <v>1311</v>
      </c>
      <c r="N1055" s="22" t="s">
        <v>1311</v>
      </c>
      <c r="O1055" s="22" t="s">
        <v>1309</v>
      </c>
      <c r="P1055" s="22" t="s">
        <v>1309</v>
      </c>
      <c r="Q1055" s="20">
        <v>4.3140000000000001</v>
      </c>
      <c r="R1055" s="20">
        <v>4.3140000000000001</v>
      </c>
      <c r="S1055" s="20">
        <v>0</v>
      </c>
      <c r="T1055" s="20">
        <v>0</v>
      </c>
      <c r="U1055" s="20">
        <v>0</v>
      </c>
      <c r="V1055" s="20">
        <v>4.3140000000000001</v>
      </c>
      <c r="W1055" s="20">
        <v>0</v>
      </c>
      <c r="X1055" s="20">
        <v>0</v>
      </c>
      <c r="Y1055" s="20">
        <v>0</v>
      </c>
      <c r="Z1055" s="20">
        <v>0</v>
      </c>
      <c r="AA1055" s="20" t="s">
        <v>1319</v>
      </c>
      <c r="AB1055" s="22" t="s">
        <v>1309</v>
      </c>
      <c r="AC1055" s="20">
        <v>0</v>
      </c>
      <c r="AD1055" s="20">
        <v>0</v>
      </c>
      <c r="AE1055" s="20">
        <v>1</v>
      </c>
      <c r="AF1055" s="20">
        <v>0</v>
      </c>
      <c r="AG1055" s="20">
        <v>0</v>
      </c>
      <c r="AH1055" s="20">
        <v>1</v>
      </c>
      <c r="AI1055" s="328" t="s">
        <v>1328</v>
      </c>
      <c r="AJ1055" s="328" t="s">
        <v>1328</v>
      </c>
      <c r="AK1055" s="328">
        <v>13.513513513513514</v>
      </c>
      <c r="AL1055" s="22" t="s">
        <v>1329</v>
      </c>
      <c r="AM1055" s="22" t="s">
        <v>1330</v>
      </c>
      <c r="AN1055" s="22" t="s">
        <v>1317</v>
      </c>
      <c r="AO1055" s="22" t="s">
        <v>1318</v>
      </c>
      <c r="AP1055" s="22" t="s">
        <v>1318</v>
      </c>
      <c r="AQ1055" s="22" t="s">
        <v>1318</v>
      </c>
      <c r="AR1055" s="22" t="s">
        <v>1317</v>
      </c>
      <c r="AS1055" s="22" t="s">
        <v>1318</v>
      </c>
      <c r="AT1055" s="22" t="s">
        <v>1317</v>
      </c>
      <c r="AU1055" s="22" t="s">
        <v>1311</v>
      </c>
      <c r="AV1055" s="22" t="s">
        <v>1317</v>
      </c>
      <c r="AW1055" s="22" t="s">
        <v>1318</v>
      </c>
      <c r="AX1055" s="22" t="s">
        <v>1317</v>
      </c>
      <c r="AY1055" s="22" t="s">
        <v>1318</v>
      </c>
      <c r="AZ1055" s="22" t="s">
        <v>1309</v>
      </c>
      <c r="BA1055" s="22" t="s">
        <v>1309</v>
      </c>
      <c r="BB1055" s="22" t="s">
        <v>1309</v>
      </c>
      <c r="BC1055" s="22" t="s">
        <v>1309</v>
      </c>
      <c r="BD1055" s="22" t="s">
        <v>1309</v>
      </c>
      <c r="BE1055" s="22" t="s">
        <v>1309</v>
      </c>
      <c r="BF1055" s="22" t="s">
        <v>1309</v>
      </c>
      <c r="BG1055" s="22" t="s">
        <v>1309</v>
      </c>
      <c r="BH1055" s="22" t="s">
        <v>1317</v>
      </c>
      <c r="BI1055" s="22" t="s">
        <v>1318</v>
      </c>
      <c r="BJ1055" s="22" t="s">
        <v>1317</v>
      </c>
      <c r="BK1055" s="22" t="s">
        <v>1318</v>
      </c>
      <c r="BL1055" s="22" t="s">
        <v>1317</v>
      </c>
      <c r="BM1055" s="22" t="s">
        <v>1311</v>
      </c>
      <c r="BN1055" s="22" t="s">
        <v>1309</v>
      </c>
      <c r="BO1055" s="22" t="s">
        <v>1309</v>
      </c>
      <c r="BP1055" s="22" t="s">
        <v>1315</v>
      </c>
      <c r="BQ1055" s="22" t="s">
        <v>1315</v>
      </c>
      <c r="BR1055" s="22" t="s">
        <v>1317</v>
      </c>
      <c r="BS1055" s="22" t="s">
        <v>1318</v>
      </c>
      <c r="BT1055" s="22" t="s">
        <v>1315</v>
      </c>
      <c r="BU1055" s="22" t="s">
        <v>1315</v>
      </c>
      <c r="BV1055" s="22" t="s">
        <v>1317</v>
      </c>
      <c r="BW1055" s="22" t="s">
        <v>1318</v>
      </c>
      <c r="BX1055" s="20">
        <v>2</v>
      </c>
      <c r="BY1055" s="20">
        <v>0</v>
      </c>
      <c r="BZ1055" s="20">
        <v>0</v>
      </c>
      <c r="CA1055" s="20">
        <v>71</v>
      </c>
      <c r="CB1055" s="20">
        <v>0</v>
      </c>
      <c r="CC1055" s="20">
        <v>0</v>
      </c>
      <c r="CD1055" s="22" t="s">
        <v>1331</v>
      </c>
      <c r="CE1055" s="22" t="s">
        <v>1331</v>
      </c>
      <c r="CF1055" s="22" t="s">
        <v>1315</v>
      </c>
      <c r="CG1055" s="22" t="s">
        <v>1315</v>
      </c>
      <c r="CH1055" s="22" t="s">
        <v>1317</v>
      </c>
      <c r="CI1055" s="22" t="s">
        <v>1318</v>
      </c>
      <c r="CJ1055" s="149" t="s">
        <v>3545</v>
      </c>
      <c r="CK1055" s="241" t="s">
        <v>1124</v>
      </c>
    </row>
    <row r="1056" spans="1:89" ht="15" customHeight="1" x14ac:dyDescent="0.35">
      <c r="A1056" s="17"/>
      <c r="B1056" s="313">
        <v>46058</v>
      </c>
      <c r="C1056" s="8" t="s">
        <v>436</v>
      </c>
      <c r="D1056" s="18">
        <v>5</v>
      </c>
      <c r="E1056" s="131"/>
      <c r="F1056" s="22"/>
      <c r="G1056" s="132"/>
      <c r="H1056" s="22"/>
      <c r="I1056" s="22"/>
      <c r="J1056" s="22"/>
      <c r="K1056" s="22"/>
      <c r="L1056" s="22"/>
      <c r="M1056" s="133"/>
      <c r="N1056" s="22"/>
      <c r="O1056" s="22"/>
      <c r="P1056" s="22"/>
      <c r="Q1056" s="20"/>
      <c r="R1056" s="20"/>
      <c r="S1056" s="20"/>
      <c r="T1056" s="20"/>
      <c r="U1056" s="20"/>
      <c r="V1056" s="20"/>
      <c r="W1056" s="20"/>
      <c r="X1056" s="20"/>
      <c r="Y1056" s="20"/>
      <c r="Z1056" s="20"/>
      <c r="AA1056" s="20"/>
      <c r="AB1056" s="22"/>
      <c r="AC1056" s="20"/>
      <c r="AD1056" s="20"/>
      <c r="AE1056" s="20"/>
      <c r="AF1056" s="20" t="s">
        <v>1124</v>
      </c>
      <c r="AG1056" s="20" t="s">
        <v>1124</v>
      </c>
      <c r="AH1056" s="20" t="s">
        <v>1124</v>
      </c>
      <c r="AI1056" s="328"/>
      <c r="AJ1056" s="328"/>
      <c r="AK1056" s="328"/>
      <c r="AL1056" s="22"/>
      <c r="AM1056" s="22"/>
      <c r="AN1056" s="22"/>
      <c r="AO1056" s="22"/>
      <c r="AP1056" s="22"/>
      <c r="AQ1056" s="22"/>
      <c r="AR1056" s="22"/>
      <c r="AS1056" s="22"/>
      <c r="AT1056" s="22"/>
      <c r="AU1056" s="22"/>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0"/>
      <c r="BY1056" s="20"/>
      <c r="BZ1056" s="20"/>
      <c r="CA1056" s="20"/>
      <c r="CB1056" s="20"/>
      <c r="CC1056" s="20"/>
      <c r="CD1056" s="22"/>
      <c r="CE1056" s="22"/>
      <c r="CF1056" s="22"/>
      <c r="CG1056" s="22"/>
      <c r="CH1056" s="22"/>
      <c r="CI1056" s="22"/>
      <c r="CJ1056" s="149"/>
      <c r="CK1056" s="241"/>
    </row>
    <row r="1057" spans="1:89" ht="15" customHeight="1" x14ac:dyDescent="0.35">
      <c r="A1057" s="17"/>
      <c r="B1057" s="313">
        <v>95005</v>
      </c>
      <c r="C1057" s="8" t="s">
        <v>986</v>
      </c>
      <c r="D1057" s="18">
        <v>9</v>
      </c>
      <c r="E1057" s="131" t="s">
        <v>1309</v>
      </c>
      <c r="F1057" s="22" t="s">
        <v>1309</v>
      </c>
      <c r="G1057" s="132" t="s">
        <v>1309</v>
      </c>
      <c r="H1057" s="22" t="s">
        <v>1311</v>
      </c>
      <c r="I1057" s="22" t="s">
        <v>1327</v>
      </c>
      <c r="J1057" s="22" t="s">
        <v>1327</v>
      </c>
      <c r="K1057" s="22" t="s">
        <v>1309</v>
      </c>
      <c r="L1057" s="22" t="s">
        <v>1309</v>
      </c>
      <c r="M1057" s="133" t="s">
        <v>1311</v>
      </c>
      <c r="N1057" s="22" t="s">
        <v>1311</v>
      </c>
      <c r="O1057" s="22" t="s">
        <v>1309</v>
      </c>
      <c r="P1057" s="22" t="s">
        <v>1309</v>
      </c>
      <c r="Q1057" s="20">
        <v>17.335999999999999</v>
      </c>
      <c r="R1057" s="20">
        <v>17.335999999999999</v>
      </c>
      <c r="S1057" s="20">
        <v>26.574000000000002</v>
      </c>
      <c r="T1057" s="20">
        <v>26.574000000000002</v>
      </c>
      <c r="U1057" s="20">
        <v>0</v>
      </c>
      <c r="V1057" s="20">
        <v>0</v>
      </c>
      <c r="W1057" s="20">
        <v>0</v>
      </c>
      <c r="X1057" s="20">
        <v>0</v>
      </c>
      <c r="Y1057" s="20">
        <v>0</v>
      </c>
      <c r="Z1057" s="20">
        <v>0</v>
      </c>
      <c r="AA1057" s="20" t="s">
        <v>1315</v>
      </c>
      <c r="AB1057" s="22" t="s">
        <v>1315</v>
      </c>
      <c r="AC1057" s="20">
        <v>1</v>
      </c>
      <c r="AD1057" s="20">
        <v>0</v>
      </c>
      <c r="AE1057" s="20">
        <v>2</v>
      </c>
      <c r="AF1057" s="20">
        <v>1</v>
      </c>
      <c r="AG1057" s="20">
        <v>0</v>
      </c>
      <c r="AH1057" s="20">
        <v>3</v>
      </c>
      <c r="AI1057" s="328">
        <v>5.7683433317951085</v>
      </c>
      <c r="AJ1057" s="328" t="s">
        <v>1328</v>
      </c>
      <c r="AK1057" s="328">
        <v>4.048582995951417</v>
      </c>
      <c r="AL1057" s="22" t="s">
        <v>1329</v>
      </c>
      <c r="AM1057" s="22" t="s">
        <v>1330</v>
      </c>
      <c r="AN1057" s="22" t="s">
        <v>1315</v>
      </c>
      <c r="AO1057" s="22" t="s">
        <v>1315</v>
      </c>
      <c r="AP1057" s="22" t="s">
        <v>1315</v>
      </c>
      <c r="AQ1057" s="22" t="s">
        <v>1315</v>
      </c>
      <c r="AR1057" s="22" t="s">
        <v>1309</v>
      </c>
      <c r="AS1057" s="22" t="s">
        <v>1311</v>
      </c>
      <c r="AT1057" s="22" t="s">
        <v>1315</v>
      </c>
      <c r="AU1057" s="22" t="s">
        <v>1315</v>
      </c>
      <c r="AV1057" s="22" t="s">
        <v>1317</v>
      </c>
      <c r="AW1057" s="22" t="s">
        <v>1311</v>
      </c>
      <c r="AX1057" s="22" t="s">
        <v>1317</v>
      </c>
      <c r="AY1057" s="22" t="s">
        <v>1318</v>
      </c>
      <c r="AZ1057" s="22" t="s">
        <v>1309</v>
      </c>
      <c r="BA1057" s="22" t="s">
        <v>1311</v>
      </c>
      <c r="BB1057" s="22" t="s">
        <v>1317</v>
      </c>
      <c r="BC1057" s="22" t="s">
        <v>1318</v>
      </c>
      <c r="BD1057" s="22" t="s">
        <v>1309</v>
      </c>
      <c r="BE1057" s="22" t="s">
        <v>1309</v>
      </c>
      <c r="BF1057" s="22" t="s">
        <v>1317</v>
      </c>
      <c r="BG1057" s="22" t="s">
        <v>1318</v>
      </c>
      <c r="BH1057" s="22" t="s">
        <v>1309</v>
      </c>
      <c r="BI1057" s="22" t="s">
        <v>1309</v>
      </c>
      <c r="BJ1057" s="22" t="s">
        <v>1309</v>
      </c>
      <c r="BK1057" s="22" t="s">
        <v>1309</v>
      </c>
      <c r="BL1057" s="22" t="s">
        <v>1319</v>
      </c>
      <c r="BM1057" s="22" t="s">
        <v>1311</v>
      </c>
      <c r="BN1057" s="22" t="s">
        <v>1309</v>
      </c>
      <c r="BO1057" s="22" t="s">
        <v>1309</v>
      </c>
      <c r="BP1057" s="22" t="s">
        <v>1317</v>
      </c>
      <c r="BQ1057" s="22" t="s">
        <v>1318</v>
      </c>
      <c r="BR1057" s="22" t="s">
        <v>1309</v>
      </c>
      <c r="BS1057" s="22" t="s">
        <v>1309</v>
      </c>
      <c r="BT1057" s="22" t="s">
        <v>1319</v>
      </c>
      <c r="BU1057" s="22" t="s">
        <v>1311</v>
      </c>
      <c r="BV1057" s="22" t="s">
        <v>1317</v>
      </c>
      <c r="BW1057" s="22" t="s">
        <v>1318</v>
      </c>
      <c r="BX1057" s="20">
        <v>81</v>
      </c>
      <c r="BY1057" s="20">
        <v>0</v>
      </c>
      <c r="BZ1057" s="20">
        <v>0</v>
      </c>
      <c r="CA1057" s="20">
        <v>18</v>
      </c>
      <c r="CB1057" s="20">
        <v>2</v>
      </c>
      <c r="CC1057" s="20">
        <v>393</v>
      </c>
      <c r="CD1057" s="22" t="s">
        <v>1331</v>
      </c>
      <c r="CE1057" s="22" t="s">
        <v>1331</v>
      </c>
      <c r="CF1057" s="22" t="s">
        <v>1331</v>
      </c>
      <c r="CG1057" s="22" t="s">
        <v>1331</v>
      </c>
      <c r="CH1057" s="22" t="s">
        <v>1315</v>
      </c>
      <c r="CI1057" s="22" t="s">
        <v>1315</v>
      </c>
      <c r="CJ1057" s="149" t="s">
        <v>3548</v>
      </c>
      <c r="CK1057" s="241" t="s">
        <v>1124</v>
      </c>
    </row>
    <row r="1058" spans="1:89" ht="15" customHeight="1" x14ac:dyDescent="0.35">
      <c r="A1058" s="17"/>
      <c r="B1058" s="313">
        <v>87042</v>
      </c>
      <c r="C1058" s="8" t="s">
        <v>897</v>
      </c>
      <c r="D1058" s="18">
        <v>8</v>
      </c>
      <c r="E1058" s="131"/>
      <c r="F1058" s="22"/>
      <c r="G1058" s="132"/>
      <c r="H1058" s="22"/>
      <c r="I1058" s="22"/>
      <c r="J1058" s="22"/>
      <c r="K1058" s="22"/>
      <c r="L1058" s="22"/>
      <c r="M1058" s="133"/>
      <c r="N1058" s="22"/>
      <c r="O1058" s="22"/>
      <c r="P1058" s="22"/>
      <c r="Q1058" s="20"/>
      <c r="R1058" s="20"/>
      <c r="S1058" s="20"/>
      <c r="T1058" s="20"/>
      <c r="U1058" s="20"/>
      <c r="V1058" s="20"/>
      <c r="W1058" s="20"/>
      <c r="X1058" s="20"/>
      <c r="Y1058" s="20"/>
      <c r="Z1058" s="20"/>
      <c r="AA1058" s="20"/>
      <c r="AB1058" s="22"/>
      <c r="AC1058" s="20"/>
      <c r="AD1058" s="20"/>
      <c r="AE1058" s="20"/>
      <c r="AF1058" s="20" t="s">
        <v>1124</v>
      </c>
      <c r="AG1058" s="20" t="s">
        <v>1124</v>
      </c>
      <c r="AH1058" s="20" t="s">
        <v>1124</v>
      </c>
      <c r="AI1058" s="328"/>
      <c r="AJ1058" s="328"/>
      <c r="AK1058" s="328"/>
      <c r="AL1058" s="22"/>
      <c r="AM1058" s="22"/>
      <c r="AN1058" s="22"/>
      <c r="AO1058" s="22"/>
      <c r="AP1058" s="22"/>
      <c r="AQ1058" s="22"/>
      <c r="AR1058" s="22"/>
      <c r="AS1058" s="22"/>
      <c r="AT1058" s="22"/>
      <c r="AU1058" s="22"/>
      <c r="AV1058" s="22"/>
      <c r="AW1058" s="22"/>
      <c r="AX1058" s="22"/>
      <c r="AY1058" s="22"/>
      <c r="AZ1058" s="22"/>
      <c r="BA1058" s="22"/>
      <c r="BB1058" s="22"/>
      <c r="BC1058" s="22"/>
      <c r="BD1058" s="22"/>
      <c r="BE1058" s="22"/>
      <c r="BF1058" s="22"/>
      <c r="BG1058" s="22"/>
      <c r="BH1058" s="22"/>
      <c r="BI1058" s="22"/>
      <c r="BJ1058" s="22"/>
      <c r="BK1058" s="22"/>
      <c r="BL1058" s="22"/>
      <c r="BM1058" s="22"/>
      <c r="BN1058" s="22"/>
      <c r="BO1058" s="22"/>
      <c r="BP1058" s="22"/>
      <c r="BQ1058" s="22"/>
      <c r="BR1058" s="22"/>
      <c r="BS1058" s="22"/>
      <c r="BT1058" s="22"/>
      <c r="BU1058" s="22"/>
      <c r="BV1058" s="22"/>
      <c r="BW1058" s="22"/>
      <c r="BX1058" s="20"/>
      <c r="BY1058" s="20"/>
      <c r="BZ1058" s="20"/>
      <c r="CA1058" s="20"/>
      <c r="CB1058" s="20"/>
      <c r="CC1058" s="20"/>
      <c r="CD1058" s="22"/>
      <c r="CE1058" s="22"/>
      <c r="CF1058" s="22"/>
      <c r="CG1058" s="22"/>
      <c r="CH1058" s="22"/>
      <c r="CI1058" s="22"/>
      <c r="CJ1058" s="149"/>
      <c r="CK1058" s="241"/>
    </row>
    <row r="1059" spans="1:89" ht="15" customHeight="1" x14ac:dyDescent="0.35">
      <c r="A1059" s="17"/>
      <c r="B1059" s="313">
        <v>85005</v>
      </c>
      <c r="C1059" s="8" t="s">
        <v>870</v>
      </c>
      <c r="D1059" s="18">
        <v>8</v>
      </c>
      <c r="E1059" s="131"/>
      <c r="F1059" s="22"/>
      <c r="G1059" s="132"/>
      <c r="H1059" s="22"/>
      <c r="I1059" s="22"/>
      <c r="J1059" s="22"/>
      <c r="K1059" s="22"/>
      <c r="L1059" s="22"/>
      <c r="M1059" s="133"/>
      <c r="N1059" s="22"/>
      <c r="O1059" s="22"/>
      <c r="P1059" s="22"/>
      <c r="Q1059" s="20"/>
      <c r="R1059" s="20"/>
      <c r="S1059" s="20"/>
      <c r="T1059" s="20"/>
      <c r="U1059" s="20"/>
      <c r="V1059" s="20"/>
      <c r="W1059" s="20"/>
      <c r="X1059" s="20"/>
      <c r="Y1059" s="20"/>
      <c r="Z1059" s="20"/>
      <c r="AA1059" s="20"/>
      <c r="AB1059" s="22"/>
      <c r="AC1059" s="20"/>
      <c r="AD1059" s="20"/>
      <c r="AE1059" s="20"/>
      <c r="AF1059" s="20" t="s">
        <v>1124</v>
      </c>
      <c r="AG1059" s="20" t="s">
        <v>1124</v>
      </c>
      <c r="AH1059" s="20" t="s">
        <v>1124</v>
      </c>
      <c r="AI1059" s="328"/>
      <c r="AJ1059" s="328"/>
      <c r="AK1059" s="328"/>
      <c r="AL1059" s="22"/>
      <c r="AM1059" s="22"/>
      <c r="AN1059" s="22"/>
      <c r="AO1059" s="22"/>
      <c r="AP1059" s="22"/>
      <c r="AQ1059" s="22"/>
      <c r="AR1059" s="22"/>
      <c r="AS1059" s="22"/>
      <c r="AT1059" s="22"/>
      <c r="AU1059" s="22"/>
      <c r="AV1059" s="22"/>
      <c r="AW1059" s="22"/>
      <c r="AX1059" s="22"/>
      <c r="AY1059" s="22"/>
      <c r="AZ1059" s="22"/>
      <c r="BA1059" s="22"/>
      <c r="BB1059" s="22"/>
      <c r="BC1059" s="22"/>
      <c r="BD1059" s="22"/>
      <c r="BE1059" s="22"/>
      <c r="BF1059" s="22"/>
      <c r="BG1059" s="22"/>
      <c r="BH1059" s="22"/>
      <c r="BI1059" s="22"/>
      <c r="BJ1059" s="22"/>
      <c r="BK1059" s="22"/>
      <c r="BL1059" s="22"/>
      <c r="BM1059" s="22"/>
      <c r="BN1059" s="22"/>
      <c r="BO1059" s="22"/>
      <c r="BP1059" s="22"/>
      <c r="BQ1059" s="22"/>
      <c r="BR1059" s="22"/>
      <c r="BS1059" s="22"/>
      <c r="BT1059" s="22"/>
      <c r="BU1059" s="22"/>
      <c r="BV1059" s="22"/>
      <c r="BW1059" s="22"/>
      <c r="BX1059" s="20"/>
      <c r="BY1059" s="20"/>
      <c r="BZ1059" s="20"/>
      <c r="CA1059" s="20"/>
      <c r="CB1059" s="20"/>
      <c r="CC1059" s="20"/>
      <c r="CD1059" s="22"/>
      <c r="CE1059" s="22"/>
      <c r="CF1059" s="22"/>
      <c r="CG1059" s="22"/>
      <c r="CH1059" s="22"/>
      <c r="CI1059" s="22"/>
      <c r="CJ1059" s="149"/>
      <c r="CK1059" s="241"/>
    </row>
    <row r="1060" spans="1:89" ht="15" customHeight="1" x14ac:dyDescent="0.35">
      <c r="A1060" s="17"/>
      <c r="B1060" s="313">
        <v>13073</v>
      </c>
      <c r="C1060" s="8" t="s">
        <v>53</v>
      </c>
      <c r="D1060" s="18">
        <v>1</v>
      </c>
      <c r="E1060" s="131" t="s">
        <v>1309</v>
      </c>
      <c r="F1060" s="22" t="s">
        <v>1309</v>
      </c>
      <c r="G1060" s="132" t="s">
        <v>1309</v>
      </c>
      <c r="H1060" s="22" t="s">
        <v>1311</v>
      </c>
      <c r="I1060" s="22" t="s">
        <v>1327</v>
      </c>
      <c r="J1060" s="22" t="s">
        <v>1327</v>
      </c>
      <c r="K1060" s="22" t="s">
        <v>1314</v>
      </c>
      <c r="L1060" s="22" t="s">
        <v>1311</v>
      </c>
      <c r="M1060" s="133" t="s">
        <v>1311</v>
      </c>
      <c r="N1060" s="22" t="s">
        <v>1311</v>
      </c>
      <c r="O1060" s="22" t="s">
        <v>1314</v>
      </c>
      <c r="P1060" s="22" t="s">
        <v>1318</v>
      </c>
      <c r="Q1060" s="20">
        <v>0</v>
      </c>
      <c r="R1060" s="20">
        <v>0</v>
      </c>
      <c r="S1060" s="20">
        <v>0</v>
      </c>
      <c r="T1060" s="20">
        <v>0</v>
      </c>
      <c r="U1060" s="20">
        <v>55.874400000000001</v>
      </c>
      <c r="V1060" s="20">
        <v>55.874400000000001</v>
      </c>
      <c r="W1060" s="20">
        <v>0</v>
      </c>
      <c r="X1060" s="20">
        <v>0</v>
      </c>
      <c r="Y1060" s="20">
        <v>0</v>
      </c>
      <c r="Z1060" s="20">
        <v>0</v>
      </c>
      <c r="AA1060" s="20" t="s">
        <v>1317</v>
      </c>
      <c r="AB1060" s="22" t="s">
        <v>1318</v>
      </c>
      <c r="AC1060" s="20">
        <v>1</v>
      </c>
      <c r="AD1060" s="20">
        <v>3</v>
      </c>
      <c r="AE1060" s="20">
        <v>1</v>
      </c>
      <c r="AF1060" s="20">
        <v>1</v>
      </c>
      <c r="AG1060" s="20">
        <v>2</v>
      </c>
      <c r="AH1060" s="20">
        <v>35</v>
      </c>
      <c r="AI1060" s="328">
        <v>1.7897283908194093</v>
      </c>
      <c r="AJ1060" s="328">
        <v>1.7311021350259665</v>
      </c>
      <c r="AK1060" s="328">
        <v>0.57703404500865552</v>
      </c>
      <c r="AL1060" s="22" t="s">
        <v>1338</v>
      </c>
      <c r="AM1060" s="22" t="s">
        <v>1339</v>
      </c>
      <c r="AN1060" s="22" t="s">
        <v>1317</v>
      </c>
      <c r="AO1060" s="22" t="s">
        <v>1318</v>
      </c>
      <c r="AP1060" s="22" t="s">
        <v>1318</v>
      </c>
      <c r="AQ1060" s="22" t="s">
        <v>1318</v>
      </c>
      <c r="AR1060" s="22" t="s">
        <v>1317</v>
      </c>
      <c r="AS1060" s="22" t="s">
        <v>1318</v>
      </c>
      <c r="AT1060" s="22" t="s">
        <v>1309</v>
      </c>
      <c r="AU1060" s="22" t="s">
        <v>1309</v>
      </c>
      <c r="AV1060" s="22" t="s">
        <v>1309</v>
      </c>
      <c r="AW1060" s="22" t="s">
        <v>1309</v>
      </c>
      <c r="AX1060" s="22" t="s">
        <v>1317</v>
      </c>
      <c r="AY1060" s="22" t="s">
        <v>1318</v>
      </c>
      <c r="AZ1060" s="22" t="s">
        <v>1319</v>
      </c>
      <c r="BA1060" s="22" t="s">
        <v>1311</v>
      </c>
      <c r="BB1060" s="22" t="s">
        <v>1309</v>
      </c>
      <c r="BC1060" s="22" t="s">
        <v>1309</v>
      </c>
      <c r="BD1060" s="22" t="s">
        <v>1317</v>
      </c>
      <c r="BE1060" s="22" t="s">
        <v>1318</v>
      </c>
      <c r="BF1060" s="22" t="s">
        <v>1317</v>
      </c>
      <c r="BG1060" s="22" t="s">
        <v>1318</v>
      </c>
      <c r="BH1060" s="22" t="s">
        <v>1319</v>
      </c>
      <c r="BI1060" s="22" t="s">
        <v>1311</v>
      </c>
      <c r="BJ1060" s="22" t="s">
        <v>1317</v>
      </c>
      <c r="BK1060" s="22" t="s">
        <v>1318</v>
      </c>
      <c r="BL1060" s="22" t="s">
        <v>1317</v>
      </c>
      <c r="BM1060" s="22" t="s">
        <v>1318</v>
      </c>
      <c r="BN1060" s="22" t="s">
        <v>1319</v>
      </c>
      <c r="BO1060" s="22" t="s">
        <v>1311</v>
      </c>
      <c r="BP1060" s="22" t="s">
        <v>1319</v>
      </c>
      <c r="BQ1060" s="22" t="s">
        <v>1311</v>
      </c>
      <c r="BR1060" s="22" t="s">
        <v>1309</v>
      </c>
      <c r="BS1060" s="22" t="s">
        <v>1309</v>
      </c>
      <c r="BT1060" s="22" t="s">
        <v>1319</v>
      </c>
      <c r="BU1060" s="22" t="s">
        <v>1311</v>
      </c>
      <c r="BV1060" s="22" t="s">
        <v>1309</v>
      </c>
      <c r="BW1060" s="22" t="s">
        <v>1309</v>
      </c>
      <c r="BX1060" s="20">
        <v>0</v>
      </c>
      <c r="BY1060" s="20">
        <v>7</v>
      </c>
      <c r="BZ1060" s="20">
        <v>245</v>
      </c>
      <c r="CA1060" s="20">
        <v>0</v>
      </c>
      <c r="CB1060" s="20">
        <v>0</v>
      </c>
      <c r="CC1060" s="20">
        <v>1481</v>
      </c>
      <c r="CD1060" s="22" t="s">
        <v>1317</v>
      </c>
      <c r="CE1060" s="22" t="s">
        <v>1344</v>
      </c>
      <c r="CF1060" s="22" t="s">
        <v>1317</v>
      </c>
      <c r="CG1060" s="22" t="s">
        <v>1344</v>
      </c>
      <c r="CH1060" s="22" t="s">
        <v>1317</v>
      </c>
      <c r="CI1060" s="22" t="s">
        <v>1318</v>
      </c>
      <c r="CJ1060" s="149" t="s">
        <v>3554</v>
      </c>
      <c r="CK1060" s="241" t="s">
        <v>3555</v>
      </c>
    </row>
    <row r="1061" spans="1:89" ht="15" customHeight="1" x14ac:dyDescent="0.35">
      <c r="A1061" s="17"/>
      <c r="B1061" s="313">
        <v>71075</v>
      </c>
      <c r="C1061" s="8" t="s">
        <v>716</v>
      </c>
      <c r="D1061" s="18">
        <v>16</v>
      </c>
      <c r="E1061" s="131" t="s">
        <v>1309</v>
      </c>
      <c r="F1061" s="22" t="s">
        <v>1309</v>
      </c>
      <c r="G1061" s="132" t="s">
        <v>1309</v>
      </c>
      <c r="H1061" s="22" t="s">
        <v>1311</v>
      </c>
      <c r="I1061" s="22" t="s">
        <v>1327</v>
      </c>
      <c r="J1061" s="22" t="s">
        <v>1327</v>
      </c>
      <c r="K1061" s="22" t="s">
        <v>1309</v>
      </c>
      <c r="L1061" s="22" t="s">
        <v>1309</v>
      </c>
      <c r="M1061" s="133" t="s">
        <v>1311</v>
      </c>
      <c r="N1061" s="22" t="s">
        <v>1311</v>
      </c>
      <c r="O1061" s="22" t="s">
        <v>1309</v>
      </c>
      <c r="P1061" s="22" t="s">
        <v>1309</v>
      </c>
      <c r="Q1061" s="20">
        <v>0</v>
      </c>
      <c r="R1061" s="20">
        <v>0</v>
      </c>
      <c r="S1061" s="20">
        <v>0</v>
      </c>
      <c r="T1061" s="20">
        <v>0</v>
      </c>
      <c r="U1061" s="20">
        <v>12.611000000000001</v>
      </c>
      <c r="V1061" s="20">
        <v>12.611000000000001</v>
      </c>
      <c r="W1061" s="20">
        <v>0</v>
      </c>
      <c r="X1061" s="20">
        <v>0</v>
      </c>
      <c r="Y1061" s="20">
        <v>0</v>
      </c>
      <c r="Z1061" s="20">
        <v>0</v>
      </c>
      <c r="AA1061" s="20" t="s">
        <v>1309</v>
      </c>
      <c r="AB1061" s="22" t="s">
        <v>1309</v>
      </c>
      <c r="AC1061" s="20">
        <v>2</v>
      </c>
      <c r="AD1061" s="20">
        <v>0</v>
      </c>
      <c r="AE1061" s="20">
        <v>0</v>
      </c>
      <c r="AF1061" s="20">
        <v>1</v>
      </c>
      <c r="AG1061" s="20">
        <v>0</v>
      </c>
      <c r="AH1061" s="20">
        <v>0</v>
      </c>
      <c r="AI1061" s="328">
        <v>15.859170565379429</v>
      </c>
      <c r="AJ1061" s="328" t="s">
        <v>1328</v>
      </c>
      <c r="AK1061" s="328" t="s">
        <v>1328</v>
      </c>
      <c r="AL1061" s="22" t="s">
        <v>1329</v>
      </c>
      <c r="AM1061" s="22" t="s">
        <v>1330</v>
      </c>
      <c r="AN1061" s="22" t="s">
        <v>1317</v>
      </c>
      <c r="AO1061" s="22" t="s">
        <v>1318</v>
      </c>
      <c r="AP1061" s="22" t="s">
        <v>1318</v>
      </c>
      <c r="AQ1061" s="22" t="s">
        <v>1318</v>
      </c>
      <c r="AR1061" s="22" t="s">
        <v>1317</v>
      </c>
      <c r="AS1061" s="22" t="s">
        <v>1318</v>
      </c>
      <c r="AT1061" s="22" t="s">
        <v>1309</v>
      </c>
      <c r="AU1061" s="22" t="s">
        <v>1309</v>
      </c>
      <c r="AV1061" s="22" t="s">
        <v>1309</v>
      </c>
      <c r="AW1061" s="22" t="s">
        <v>1309</v>
      </c>
      <c r="AX1061" s="22" t="s">
        <v>1317</v>
      </c>
      <c r="AY1061" s="22" t="s">
        <v>1318</v>
      </c>
      <c r="AZ1061" s="22" t="s">
        <v>1309</v>
      </c>
      <c r="BA1061" s="22" t="s">
        <v>1309</v>
      </c>
      <c r="BB1061" s="22" t="s">
        <v>1309</v>
      </c>
      <c r="BC1061" s="22" t="s">
        <v>1309</v>
      </c>
      <c r="BD1061" s="22" t="s">
        <v>1317</v>
      </c>
      <c r="BE1061" s="22" t="s">
        <v>1318</v>
      </c>
      <c r="BF1061" s="22" t="s">
        <v>1317</v>
      </c>
      <c r="BG1061" s="22" t="s">
        <v>1318</v>
      </c>
      <c r="BH1061" s="22" t="s">
        <v>1317</v>
      </c>
      <c r="BI1061" s="22" t="s">
        <v>1311</v>
      </c>
      <c r="BJ1061" s="22" t="s">
        <v>1309</v>
      </c>
      <c r="BK1061" s="22" t="s">
        <v>1309</v>
      </c>
      <c r="BL1061" s="22" t="s">
        <v>1309</v>
      </c>
      <c r="BM1061" s="22" t="s">
        <v>1309</v>
      </c>
      <c r="BN1061" s="22" t="s">
        <v>1309</v>
      </c>
      <c r="BO1061" s="22" t="s">
        <v>1309</v>
      </c>
      <c r="BP1061" s="22" t="s">
        <v>1309</v>
      </c>
      <c r="BQ1061" s="22" t="s">
        <v>1309</v>
      </c>
      <c r="BR1061" s="22" t="s">
        <v>1309</v>
      </c>
      <c r="BS1061" s="22" t="s">
        <v>1309</v>
      </c>
      <c r="BT1061" s="22" t="s">
        <v>1315</v>
      </c>
      <c r="BU1061" s="22" t="s">
        <v>1315</v>
      </c>
      <c r="BV1061" s="22" t="s">
        <v>1317</v>
      </c>
      <c r="BW1061" s="22" t="s">
        <v>1318</v>
      </c>
      <c r="BX1061" s="20">
        <v>1</v>
      </c>
      <c r="BY1061" s="20">
        <v>0</v>
      </c>
      <c r="BZ1061" s="20">
        <v>10</v>
      </c>
      <c r="CA1061" s="20">
        <v>0</v>
      </c>
      <c r="CB1061" s="20">
        <v>0</v>
      </c>
      <c r="CC1061" s="20">
        <v>834</v>
      </c>
      <c r="CD1061" s="22" t="s">
        <v>1320</v>
      </c>
      <c r="CE1061" s="22" t="s">
        <v>1318</v>
      </c>
      <c r="CF1061" s="22" t="s">
        <v>1317</v>
      </c>
      <c r="CG1061" s="22" t="s">
        <v>1318</v>
      </c>
      <c r="CH1061" s="22" t="s">
        <v>1317</v>
      </c>
      <c r="CI1061" s="22" t="s">
        <v>1318</v>
      </c>
      <c r="CJ1061" s="149" t="s">
        <v>1124</v>
      </c>
      <c r="CK1061" s="241" t="s">
        <v>1358</v>
      </c>
    </row>
    <row r="1062" spans="1:89" ht="15" customHeight="1" x14ac:dyDescent="0.35">
      <c r="A1062" s="17"/>
      <c r="B1062" s="313">
        <v>64008</v>
      </c>
      <c r="C1062" s="8" t="s">
        <v>644</v>
      </c>
      <c r="D1062" s="18">
        <v>14</v>
      </c>
      <c r="E1062" s="131" t="s">
        <v>1309</v>
      </c>
      <c r="F1062" s="22" t="s">
        <v>1309</v>
      </c>
      <c r="G1062" s="132" t="s">
        <v>1309</v>
      </c>
      <c r="H1062" s="22" t="s">
        <v>1311</v>
      </c>
      <c r="I1062" s="22" t="s">
        <v>1349</v>
      </c>
      <c r="J1062" s="22" t="s">
        <v>1318</v>
      </c>
      <c r="K1062" s="22" t="s">
        <v>1309</v>
      </c>
      <c r="L1062" s="22" t="s">
        <v>1309</v>
      </c>
      <c r="M1062" s="133" t="s">
        <v>1311</v>
      </c>
      <c r="N1062" s="22" t="s">
        <v>1311</v>
      </c>
      <c r="O1062" s="22" t="s">
        <v>1309</v>
      </c>
      <c r="P1062" s="22" t="s">
        <v>1309</v>
      </c>
      <c r="Q1062" s="20">
        <v>0</v>
      </c>
      <c r="R1062" s="20">
        <v>0</v>
      </c>
      <c r="S1062" s="20">
        <v>562.22699999999998</v>
      </c>
      <c r="T1062" s="20">
        <v>562.22699999999998</v>
      </c>
      <c r="U1062" s="20">
        <v>0</v>
      </c>
      <c r="V1062" s="20">
        <v>0</v>
      </c>
      <c r="W1062" s="20">
        <v>0</v>
      </c>
      <c r="X1062" s="20">
        <v>0</v>
      </c>
      <c r="Y1062" s="20">
        <v>0</v>
      </c>
      <c r="Z1062" s="20">
        <v>0</v>
      </c>
      <c r="AA1062" s="20" t="s">
        <v>1317</v>
      </c>
      <c r="AB1062" s="22" t="s">
        <v>1318</v>
      </c>
      <c r="AC1062" s="20">
        <v>49</v>
      </c>
      <c r="AD1062" s="20">
        <v>0</v>
      </c>
      <c r="AE1062" s="20">
        <v>40</v>
      </c>
      <c r="AF1062" s="20">
        <v>1</v>
      </c>
      <c r="AG1062" s="20">
        <v>0</v>
      </c>
      <c r="AH1062" s="20">
        <v>1</v>
      </c>
      <c r="AI1062" s="328">
        <v>8.7153409565887099</v>
      </c>
      <c r="AJ1062" s="328" t="s">
        <v>1328</v>
      </c>
      <c r="AK1062" s="328">
        <v>1.0370754472387866</v>
      </c>
      <c r="AL1062" s="22" t="s">
        <v>1329</v>
      </c>
      <c r="AM1062" s="22" t="s">
        <v>1315</v>
      </c>
      <c r="AN1062" s="22" t="s">
        <v>1317</v>
      </c>
      <c r="AO1062" s="22" t="s">
        <v>1318</v>
      </c>
      <c r="AP1062" s="22" t="s">
        <v>1318</v>
      </c>
      <c r="AQ1062" s="22" t="s">
        <v>1318</v>
      </c>
      <c r="AR1062" s="22" t="s">
        <v>1309</v>
      </c>
      <c r="AS1062" s="22" t="s">
        <v>1309</v>
      </c>
      <c r="AT1062" s="22" t="s">
        <v>1309</v>
      </c>
      <c r="AU1062" s="22" t="s">
        <v>1309</v>
      </c>
      <c r="AV1062" s="22" t="s">
        <v>1317</v>
      </c>
      <c r="AW1062" s="22" t="s">
        <v>1318</v>
      </c>
      <c r="AX1062" s="22" t="s">
        <v>1317</v>
      </c>
      <c r="AY1062" s="22" t="s">
        <v>1318</v>
      </c>
      <c r="AZ1062" s="22" t="s">
        <v>1309</v>
      </c>
      <c r="BA1062" s="22" t="s">
        <v>1309</v>
      </c>
      <c r="BB1062" s="22" t="s">
        <v>1309</v>
      </c>
      <c r="BC1062" s="22" t="s">
        <v>1309</v>
      </c>
      <c r="BD1062" s="22" t="s">
        <v>1309</v>
      </c>
      <c r="BE1062" s="22" t="s">
        <v>1309</v>
      </c>
      <c r="BF1062" s="22" t="s">
        <v>1317</v>
      </c>
      <c r="BG1062" s="22" t="s">
        <v>1318</v>
      </c>
      <c r="BH1062" s="22" t="s">
        <v>1309</v>
      </c>
      <c r="BI1062" s="22" t="s">
        <v>1309</v>
      </c>
      <c r="BJ1062" s="22" t="s">
        <v>1309</v>
      </c>
      <c r="BK1062" s="22" t="s">
        <v>1309</v>
      </c>
      <c r="BL1062" s="22" t="s">
        <v>1309</v>
      </c>
      <c r="BM1062" s="22" t="s">
        <v>1309</v>
      </c>
      <c r="BN1062" s="22" t="s">
        <v>1317</v>
      </c>
      <c r="BO1062" s="22" t="s">
        <v>1318</v>
      </c>
      <c r="BP1062" s="22" t="s">
        <v>1317</v>
      </c>
      <c r="BQ1062" s="22" t="s">
        <v>1318</v>
      </c>
      <c r="BR1062" s="22" t="s">
        <v>1319</v>
      </c>
      <c r="BS1062" s="22" t="s">
        <v>1311</v>
      </c>
      <c r="BT1062" s="22" t="s">
        <v>1319</v>
      </c>
      <c r="BU1062" s="22" t="s">
        <v>1311</v>
      </c>
      <c r="BV1062" s="22" t="s">
        <v>1319</v>
      </c>
      <c r="BW1062" s="22" t="s">
        <v>1311</v>
      </c>
      <c r="BX1062" s="20">
        <v>1089</v>
      </c>
      <c r="BY1062" s="20">
        <v>73</v>
      </c>
      <c r="BZ1062" s="20">
        <v>207</v>
      </c>
      <c r="CA1062" s="20">
        <v>0</v>
      </c>
      <c r="CB1062" s="20">
        <v>0</v>
      </c>
      <c r="CC1062" s="20">
        <v>37201</v>
      </c>
      <c r="CD1062" s="22" t="s">
        <v>1331</v>
      </c>
      <c r="CE1062" s="22" t="s">
        <v>1331</v>
      </c>
      <c r="CF1062" s="22" t="s">
        <v>1317</v>
      </c>
      <c r="CG1062" s="22" t="s">
        <v>1318</v>
      </c>
      <c r="CH1062" s="22" t="s">
        <v>1317</v>
      </c>
      <c r="CI1062" s="22" t="s">
        <v>1318</v>
      </c>
      <c r="CJ1062" s="149" t="s">
        <v>3700</v>
      </c>
      <c r="CK1062" s="241" t="s">
        <v>3759</v>
      </c>
    </row>
    <row r="1063" spans="1:89" ht="15" customHeight="1" x14ac:dyDescent="0.35">
      <c r="A1063" s="17"/>
      <c r="B1063" s="313">
        <v>31084</v>
      </c>
      <c r="C1063" s="8" t="s">
        <v>248</v>
      </c>
      <c r="D1063" s="18">
        <v>12</v>
      </c>
      <c r="E1063" s="131" t="s">
        <v>1309</v>
      </c>
      <c r="F1063" s="22" t="s">
        <v>1309</v>
      </c>
      <c r="G1063" s="132" t="s">
        <v>1309</v>
      </c>
      <c r="H1063" s="22" t="s">
        <v>1311</v>
      </c>
      <c r="I1063" s="22" t="s">
        <v>1327</v>
      </c>
      <c r="J1063" s="22" t="s">
        <v>1327</v>
      </c>
      <c r="K1063" s="22" t="s">
        <v>1309</v>
      </c>
      <c r="L1063" s="22" t="s">
        <v>1309</v>
      </c>
      <c r="M1063" s="133" t="s">
        <v>1311</v>
      </c>
      <c r="N1063" s="22" t="s">
        <v>1311</v>
      </c>
      <c r="O1063" s="22" t="s">
        <v>1314</v>
      </c>
      <c r="P1063" s="22" t="s">
        <v>1318</v>
      </c>
      <c r="Q1063" s="20">
        <v>0</v>
      </c>
      <c r="R1063" s="20">
        <v>0</v>
      </c>
      <c r="S1063" s="20">
        <v>50.190600000000003</v>
      </c>
      <c r="T1063" s="20">
        <v>50.190600000000003</v>
      </c>
      <c r="U1063" s="20">
        <v>0</v>
      </c>
      <c r="V1063" s="20">
        <v>0</v>
      </c>
      <c r="W1063" s="20">
        <v>0</v>
      </c>
      <c r="X1063" s="20">
        <v>0</v>
      </c>
      <c r="Y1063" s="20">
        <v>0</v>
      </c>
      <c r="Z1063" s="20">
        <v>0</v>
      </c>
      <c r="AA1063" s="20" t="s">
        <v>1315</v>
      </c>
      <c r="AB1063" s="22" t="s">
        <v>1315</v>
      </c>
      <c r="AC1063" s="20">
        <v>15</v>
      </c>
      <c r="AD1063" s="20">
        <v>47</v>
      </c>
      <c r="AE1063" s="20">
        <v>0</v>
      </c>
      <c r="AF1063" s="20">
        <v>2</v>
      </c>
      <c r="AG1063" s="20">
        <v>2</v>
      </c>
      <c r="AH1063" s="20">
        <v>0</v>
      </c>
      <c r="AI1063" s="328">
        <v>5.9772148569652481</v>
      </c>
      <c r="AJ1063" s="328">
        <v>3.4660766961651919</v>
      </c>
      <c r="AK1063" s="328" t="s">
        <v>1328</v>
      </c>
      <c r="AL1063" s="22" t="s">
        <v>1329</v>
      </c>
      <c r="AM1063" s="22" t="s">
        <v>1330</v>
      </c>
      <c r="AN1063" s="22" t="s">
        <v>1347</v>
      </c>
      <c r="AO1063" s="22" t="s">
        <v>1309</v>
      </c>
      <c r="AP1063" s="22" t="s">
        <v>1347</v>
      </c>
      <c r="AQ1063" s="22" t="s">
        <v>1313</v>
      </c>
      <c r="AR1063" s="22" t="s">
        <v>1317</v>
      </c>
      <c r="AS1063" s="22" t="s">
        <v>1318</v>
      </c>
      <c r="AT1063" s="22" t="s">
        <v>1309</v>
      </c>
      <c r="AU1063" s="22" t="s">
        <v>1309</v>
      </c>
      <c r="AV1063" s="22" t="s">
        <v>1309</v>
      </c>
      <c r="AW1063" s="22" t="s">
        <v>1309</v>
      </c>
      <c r="AX1063" s="22" t="s">
        <v>1317</v>
      </c>
      <c r="AY1063" s="22" t="s">
        <v>1318</v>
      </c>
      <c r="AZ1063" s="22" t="s">
        <v>1309</v>
      </c>
      <c r="BA1063" s="22" t="s">
        <v>1309</v>
      </c>
      <c r="BB1063" s="22" t="s">
        <v>1317</v>
      </c>
      <c r="BC1063" s="22" t="s">
        <v>1318</v>
      </c>
      <c r="BD1063" s="22" t="s">
        <v>1317</v>
      </c>
      <c r="BE1063" s="22" t="s">
        <v>1318</v>
      </c>
      <c r="BF1063" s="22" t="s">
        <v>1317</v>
      </c>
      <c r="BG1063" s="22" t="s">
        <v>1318</v>
      </c>
      <c r="BH1063" s="22" t="s">
        <v>1309</v>
      </c>
      <c r="BI1063" s="22" t="s">
        <v>1309</v>
      </c>
      <c r="BJ1063" s="22" t="s">
        <v>1317</v>
      </c>
      <c r="BK1063" s="22" t="s">
        <v>1318</v>
      </c>
      <c r="BL1063" s="22" t="s">
        <v>1317</v>
      </c>
      <c r="BM1063" s="22" t="s">
        <v>1318</v>
      </c>
      <c r="BN1063" s="22" t="s">
        <v>1317</v>
      </c>
      <c r="BO1063" s="22" t="s">
        <v>1318</v>
      </c>
      <c r="BP1063" s="22" t="s">
        <v>1309</v>
      </c>
      <c r="BQ1063" s="22" t="s">
        <v>1309</v>
      </c>
      <c r="BR1063" s="22" t="s">
        <v>1309</v>
      </c>
      <c r="BS1063" s="22" t="s">
        <v>1309</v>
      </c>
      <c r="BT1063" s="22" t="s">
        <v>1309</v>
      </c>
      <c r="BU1063" s="22" t="s">
        <v>1309</v>
      </c>
      <c r="BV1063" s="22" t="s">
        <v>1317</v>
      </c>
      <c r="BW1063" s="22" t="s">
        <v>1318</v>
      </c>
      <c r="BX1063" s="20">
        <v>55</v>
      </c>
      <c r="BY1063" s="20">
        <v>0</v>
      </c>
      <c r="BZ1063" s="20">
        <v>970</v>
      </c>
      <c r="CA1063" s="20">
        <v>0</v>
      </c>
      <c r="CB1063" s="20">
        <v>0</v>
      </c>
      <c r="CC1063" s="20">
        <v>12535</v>
      </c>
      <c r="CD1063" s="22" t="s">
        <v>1317</v>
      </c>
      <c r="CE1063" s="22" t="s">
        <v>1318</v>
      </c>
      <c r="CF1063" s="22" t="s">
        <v>1317</v>
      </c>
      <c r="CG1063" s="22" t="s">
        <v>1318</v>
      </c>
      <c r="CH1063" s="22" t="s">
        <v>1317</v>
      </c>
      <c r="CI1063" s="22" t="s">
        <v>1318</v>
      </c>
      <c r="CJ1063" s="149" t="s">
        <v>1124</v>
      </c>
      <c r="CK1063" s="241" t="s">
        <v>2905</v>
      </c>
    </row>
    <row r="1064" spans="1:89" ht="15" customHeight="1" x14ac:dyDescent="0.35">
      <c r="A1064" s="17"/>
      <c r="B1064" s="313">
        <v>84045</v>
      </c>
      <c r="C1064" s="8" t="s">
        <v>860</v>
      </c>
      <c r="D1064" s="18">
        <v>7</v>
      </c>
      <c r="E1064" s="131"/>
      <c r="F1064" s="22"/>
      <c r="G1064" s="132"/>
      <c r="H1064" s="22"/>
      <c r="I1064" s="22"/>
      <c r="J1064" s="22"/>
      <c r="K1064" s="22"/>
      <c r="L1064" s="22"/>
      <c r="M1064" s="133"/>
      <c r="N1064" s="22"/>
      <c r="O1064" s="22"/>
      <c r="P1064" s="22"/>
      <c r="Q1064" s="20"/>
      <c r="R1064" s="20"/>
      <c r="S1064" s="20"/>
      <c r="T1064" s="20"/>
      <c r="U1064" s="20"/>
      <c r="V1064" s="20"/>
      <c r="W1064" s="20"/>
      <c r="X1064" s="20"/>
      <c r="Y1064" s="20"/>
      <c r="Z1064" s="20"/>
      <c r="AA1064" s="20"/>
      <c r="AB1064" s="22"/>
      <c r="AC1064" s="20"/>
      <c r="AD1064" s="20"/>
      <c r="AE1064" s="20"/>
      <c r="AF1064" s="20" t="s">
        <v>1124</v>
      </c>
      <c r="AG1064" s="20" t="s">
        <v>1124</v>
      </c>
      <c r="AH1064" s="20" t="s">
        <v>1124</v>
      </c>
      <c r="AI1064" s="328"/>
      <c r="AJ1064" s="328"/>
      <c r="AK1064" s="328"/>
      <c r="AL1064" s="22"/>
      <c r="AM1064" s="22"/>
      <c r="AN1064" s="22"/>
      <c r="AO1064" s="22"/>
      <c r="AP1064" s="22"/>
      <c r="AQ1064" s="22"/>
      <c r="AR1064" s="22"/>
      <c r="AS1064" s="22"/>
      <c r="AT1064" s="22"/>
      <c r="AU1064" s="22"/>
      <c r="AV1064" s="22"/>
      <c r="AW1064" s="22"/>
      <c r="AX1064" s="22"/>
      <c r="AY1064" s="22"/>
      <c r="AZ1064" s="22"/>
      <c r="BA1064" s="22"/>
      <c r="BB1064" s="22"/>
      <c r="BC1064" s="22"/>
      <c r="BD1064" s="22"/>
      <c r="BE1064" s="22"/>
      <c r="BF1064" s="22"/>
      <c r="BG1064" s="22"/>
      <c r="BH1064" s="22"/>
      <c r="BI1064" s="22"/>
      <c r="BJ1064" s="22"/>
      <c r="BK1064" s="22"/>
      <c r="BL1064" s="22"/>
      <c r="BM1064" s="22"/>
      <c r="BN1064" s="22"/>
      <c r="BO1064" s="22"/>
      <c r="BP1064" s="22"/>
      <c r="BQ1064" s="22"/>
      <c r="BR1064" s="22"/>
      <c r="BS1064" s="22"/>
      <c r="BT1064" s="22"/>
      <c r="BU1064" s="22"/>
      <c r="BV1064" s="22"/>
      <c r="BW1064" s="22"/>
      <c r="BX1064" s="20"/>
      <c r="BY1064" s="20"/>
      <c r="BZ1064" s="20"/>
      <c r="CA1064" s="20"/>
      <c r="CB1064" s="20"/>
      <c r="CC1064" s="20"/>
      <c r="CD1064" s="22"/>
      <c r="CE1064" s="22"/>
      <c r="CF1064" s="22"/>
      <c r="CG1064" s="22"/>
      <c r="CH1064" s="22"/>
      <c r="CI1064" s="22"/>
      <c r="CJ1064" s="149"/>
      <c r="CK1064" s="241"/>
    </row>
    <row r="1065" spans="1:89" ht="15" customHeight="1" x14ac:dyDescent="0.35">
      <c r="A1065" s="17"/>
      <c r="B1065" s="313">
        <v>80050</v>
      </c>
      <c r="C1065" s="8" t="s">
        <v>810</v>
      </c>
      <c r="D1065" s="18">
        <v>7</v>
      </c>
      <c r="E1065" s="131" t="s">
        <v>1309</v>
      </c>
      <c r="F1065" s="22" t="s">
        <v>1309</v>
      </c>
      <c r="G1065" s="132" t="s">
        <v>1309</v>
      </c>
      <c r="H1065" s="22" t="s">
        <v>1311</v>
      </c>
      <c r="I1065" s="22" t="s">
        <v>1327</v>
      </c>
      <c r="J1065" s="22" t="s">
        <v>1327</v>
      </c>
      <c r="K1065" s="22" t="s">
        <v>1314</v>
      </c>
      <c r="L1065" s="22" t="s">
        <v>1311</v>
      </c>
      <c r="M1065" s="133" t="s">
        <v>1311</v>
      </c>
      <c r="N1065" s="22" t="s">
        <v>1311</v>
      </c>
      <c r="O1065" s="22" t="s">
        <v>1314</v>
      </c>
      <c r="P1065" s="22" t="s">
        <v>1318</v>
      </c>
      <c r="Q1065" s="20">
        <v>0</v>
      </c>
      <c r="R1065" s="20">
        <v>0</v>
      </c>
      <c r="S1065" s="20">
        <v>0</v>
      </c>
      <c r="T1065" s="20">
        <v>0</v>
      </c>
      <c r="U1065" s="20">
        <v>20.952999999999999</v>
      </c>
      <c r="V1065" s="20">
        <v>20.952999999999999</v>
      </c>
      <c r="W1065" s="20">
        <v>0</v>
      </c>
      <c r="X1065" s="20">
        <v>0</v>
      </c>
      <c r="Y1065" s="20">
        <v>0</v>
      </c>
      <c r="Z1065" s="20">
        <v>0</v>
      </c>
      <c r="AA1065" s="20" t="s">
        <v>1317</v>
      </c>
      <c r="AB1065" s="22" t="s">
        <v>1318</v>
      </c>
      <c r="AC1065" s="20">
        <v>3</v>
      </c>
      <c r="AD1065" s="20">
        <v>0</v>
      </c>
      <c r="AE1065" s="20">
        <v>0</v>
      </c>
      <c r="AF1065" s="20">
        <v>1</v>
      </c>
      <c r="AG1065" s="20">
        <v>0</v>
      </c>
      <c r="AH1065" s="20">
        <v>0</v>
      </c>
      <c r="AI1065" s="328">
        <v>14.241633040588653</v>
      </c>
      <c r="AJ1065" s="328" t="s">
        <v>1328</v>
      </c>
      <c r="AK1065" s="328" t="s">
        <v>1328</v>
      </c>
      <c r="AL1065" s="22" t="s">
        <v>1329</v>
      </c>
      <c r="AM1065" s="22" t="s">
        <v>1330</v>
      </c>
      <c r="AN1065" s="22" t="s">
        <v>1317</v>
      </c>
      <c r="AO1065" s="22" t="s">
        <v>1318</v>
      </c>
      <c r="AP1065" s="22" t="s">
        <v>1318</v>
      </c>
      <c r="AQ1065" s="22" t="s">
        <v>1318</v>
      </c>
      <c r="AR1065" s="22" t="s">
        <v>1317</v>
      </c>
      <c r="AS1065" s="22" t="s">
        <v>1318</v>
      </c>
      <c r="AT1065" s="22" t="s">
        <v>1317</v>
      </c>
      <c r="AU1065" s="22" t="s">
        <v>1318</v>
      </c>
      <c r="AV1065" s="22" t="s">
        <v>1319</v>
      </c>
      <c r="AW1065" s="22" t="s">
        <v>1311</v>
      </c>
      <c r="AX1065" s="22" t="s">
        <v>1317</v>
      </c>
      <c r="AY1065" s="22" t="s">
        <v>1318</v>
      </c>
      <c r="AZ1065" s="22" t="s">
        <v>1309</v>
      </c>
      <c r="BA1065" s="22" t="s">
        <v>1309</v>
      </c>
      <c r="BB1065" s="22" t="s">
        <v>1309</v>
      </c>
      <c r="BC1065" s="22" t="s">
        <v>1309</v>
      </c>
      <c r="BD1065" s="22" t="s">
        <v>1317</v>
      </c>
      <c r="BE1065" s="22" t="s">
        <v>1318</v>
      </c>
      <c r="BF1065" s="22" t="s">
        <v>1317</v>
      </c>
      <c r="BG1065" s="22" t="s">
        <v>1318</v>
      </c>
      <c r="BH1065" s="22" t="s">
        <v>1309</v>
      </c>
      <c r="BI1065" s="22" t="s">
        <v>1309</v>
      </c>
      <c r="BJ1065" s="22" t="s">
        <v>1309</v>
      </c>
      <c r="BK1065" s="22" t="s">
        <v>1309</v>
      </c>
      <c r="BL1065" s="22" t="s">
        <v>1309</v>
      </c>
      <c r="BM1065" s="22" t="s">
        <v>1309</v>
      </c>
      <c r="BN1065" s="22" t="s">
        <v>1309</v>
      </c>
      <c r="BO1065" s="22" t="s">
        <v>1309</v>
      </c>
      <c r="BP1065" s="22" t="s">
        <v>1309</v>
      </c>
      <c r="BQ1065" s="22" t="s">
        <v>1309</v>
      </c>
      <c r="BR1065" s="22" t="s">
        <v>1309</v>
      </c>
      <c r="BS1065" s="22" t="s">
        <v>1309</v>
      </c>
      <c r="BT1065" s="22" t="s">
        <v>1309</v>
      </c>
      <c r="BU1065" s="22" t="s">
        <v>1309</v>
      </c>
      <c r="BV1065" s="22" t="s">
        <v>1317</v>
      </c>
      <c r="BW1065" s="22" t="s">
        <v>1318</v>
      </c>
      <c r="BX1065" s="20">
        <v>25</v>
      </c>
      <c r="BY1065" s="20">
        <v>0</v>
      </c>
      <c r="BZ1065" s="20">
        <v>43</v>
      </c>
      <c r="CA1065" s="20">
        <v>0</v>
      </c>
      <c r="CB1065" s="20">
        <v>1</v>
      </c>
      <c r="CC1065" s="20">
        <v>1162</v>
      </c>
      <c r="CD1065" s="22" t="s">
        <v>1320</v>
      </c>
      <c r="CE1065" s="22" t="s">
        <v>1321</v>
      </c>
      <c r="CF1065" s="22" t="s">
        <v>1317</v>
      </c>
      <c r="CG1065" s="22" t="s">
        <v>1318</v>
      </c>
      <c r="CH1065" s="22" t="s">
        <v>1317</v>
      </c>
      <c r="CI1065" s="22" t="s">
        <v>1318</v>
      </c>
      <c r="CJ1065" s="149" t="s">
        <v>3568</v>
      </c>
      <c r="CK1065" s="241" t="s">
        <v>1503</v>
      </c>
    </row>
    <row r="1066" spans="1:89" ht="15" customHeight="1" x14ac:dyDescent="0.35">
      <c r="A1066" s="17"/>
      <c r="B1066" s="313">
        <v>39025</v>
      </c>
      <c r="C1066" s="8" t="s">
        <v>341</v>
      </c>
      <c r="D1066" s="18">
        <v>17</v>
      </c>
      <c r="E1066" s="131"/>
      <c r="F1066" s="22"/>
      <c r="G1066" s="132"/>
      <c r="H1066" s="22"/>
      <c r="I1066" s="22"/>
      <c r="J1066" s="22"/>
      <c r="K1066" s="22"/>
      <c r="L1066" s="22"/>
      <c r="M1066" s="133"/>
      <c r="N1066" s="22"/>
      <c r="O1066" s="22"/>
      <c r="P1066" s="22"/>
      <c r="Q1066" s="20"/>
      <c r="R1066" s="20"/>
      <c r="S1066" s="20"/>
      <c r="T1066" s="20"/>
      <c r="U1066" s="20"/>
      <c r="V1066" s="20"/>
      <c r="W1066" s="20"/>
      <c r="X1066" s="20"/>
      <c r="Y1066" s="20"/>
      <c r="Z1066" s="20"/>
      <c r="AA1066" s="20"/>
      <c r="AB1066" s="22"/>
      <c r="AC1066" s="20"/>
      <c r="AD1066" s="20"/>
      <c r="AE1066" s="20"/>
      <c r="AF1066" s="20" t="s">
        <v>1124</v>
      </c>
      <c r="AG1066" s="20" t="s">
        <v>1124</v>
      </c>
      <c r="AH1066" s="20" t="s">
        <v>1124</v>
      </c>
      <c r="AI1066" s="328"/>
      <c r="AJ1066" s="328"/>
      <c r="AK1066" s="328"/>
      <c r="AL1066" s="22"/>
      <c r="AM1066" s="22"/>
      <c r="AN1066" s="22"/>
      <c r="AO1066" s="22"/>
      <c r="AP1066" s="22"/>
      <c r="AQ1066" s="22"/>
      <c r="AR1066" s="22"/>
      <c r="AS1066" s="22"/>
      <c r="AT1066" s="22"/>
      <c r="AU1066" s="22"/>
      <c r="AV1066" s="22"/>
      <c r="AW1066" s="22"/>
      <c r="AX1066" s="22"/>
      <c r="AY1066" s="22"/>
      <c r="AZ1066" s="22"/>
      <c r="BA1066" s="22"/>
      <c r="BB1066" s="22"/>
      <c r="BC1066" s="22"/>
      <c r="BD1066" s="22"/>
      <c r="BE1066" s="22"/>
      <c r="BF1066" s="22"/>
      <c r="BG1066" s="22"/>
      <c r="BH1066" s="22"/>
      <c r="BI1066" s="22"/>
      <c r="BJ1066" s="22"/>
      <c r="BK1066" s="22"/>
      <c r="BL1066" s="22"/>
      <c r="BM1066" s="22"/>
      <c r="BN1066" s="22"/>
      <c r="BO1066" s="22"/>
      <c r="BP1066" s="22"/>
      <c r="BQ1066" s="22"/>
      <c r="BR1066" s="22"/>
      <c r="BS1066" s="22"/>
      <c r="BT1066" s="22"/>
      <c r="BU1066" s="22"/>
      <c r="BV1066" s="22"/>
      <c r="BW1066" s="22"/>
      <c r="BX1066" s="20"/>
      <c r="BY1066" s="20"/>
      <c r="BZ1066" s="20"/>
      <c r="CA1066" s="20"/>
      <c r="CB1066" s="20"/>
      <c r="CC1066" s="20"/>
      <c r="CD1066" s="22"/>
      <c r="CE1066" s="22"/>
      <c r="CF1066" s="22"/>
      <c r="CG1066" s="22"/>
      <c r="CH1066" s="22"/>
      <c r="CI1066" s="22"/>
      <c r="CJ1066" s="149"/>
      <c r="CK1066" s="241"/>
    </row>
    <row r="1067" spans="1:89" ht="15" customHeight="1" x14ac:dyDescent="0.35">
      <c r="A1067" s="17"/>
      <c r="B1067" s="313">
        <v>17035</v>
      </c>
      <c r="C1067" s="8" t="s">
        <v>96</v>
      </c>
      <c r="D1067" s="18">
        <v>12</v>
      </c>
      <c r="E1067" s="131" t="s">
        <v>1319</v>
      </c>
      <c r="F1067" s="22" t="s">
        <v>1490</v>
      </c>
      <c r="G1067" s="132" t="s">
        <v>1309</v>
      </c>
      <c r="H1067" s="22" t="s">
        <v>1311</v>
      </c>
      <c r="I1067" s="22" t="s">
        <v>1327</v>
      </c>
      <c r="J1067" s="22" t="s">
        <v>1327</v>
      </c>
      <c r="K1067" s="22" t="s">
        <v>1314</v>
      </c>
      <c r="L1067" s="22" t="s">
        <v>1311</v>
      </c>
      <c r="M1067" s="133" t="s">
        <v>1311</v>
      </c>
      <c r="N1067" s="22" t="s">
        <v>1311</v>
      </c>
      <c r="O1067" s="22" t="s">
        <v>1314</v>
      </c>
      <c r="P1067" s="22" t="s">
        <v>1318</v>
      </c>
      <c r="Q1067" s="20">
        <v>0</v>
      </c>
      <c r="R1067" s="20">
        <v>0</v>
      </c>
      <c r="S1067" s="20">
        <v>0</v>
      </c>
      <c r="T1067" s="20">
        <v>0</v>
      </c>
      <c r="U1067" s="20">
        <v>1.25</v>
      </c>
      <c r="V1067" s="20">
        <v>10.154</v>
      </c>
      <c r="W1067" s="20">
        <v>0</v>
      </c>
      <c r="X1067" s="20">
        <v>0</v>
      </c>
      <c r="Y1067" s="20">
        <v>0</v>
      </c>
      <c r="Z1067" s="20">
        <v>0</v>
      </c>
      <c r="AA1067" s="20" t="s">
        <v>1317</v>
      </c>
      <c r="AB1067" s="22" t="s">
        <v>1311</v>
      </c>
      <c r="AC1067" s="20">
        <v>0</v>
      </c>
      <c r="AD1067" s="20">
        <v>0</v>
      </c>
      <c r="AE1067" s="20">
        <v>1</v>
      </c>
      <c r="AF1067" s="20">
        <v>0</v>
      </c>
      <c r="AG1067" s="20">
        <v>0</v>
      </c>
      <c r="AH1067" s="20">
        <v>1</v>
      </c>
      <c r="AI1067" s="328" t="s">
        <v>1328</v>
      </c>
      <c r="AJ1067" s="328" t="s">
        <v>1328</v>
      </c>
      <c r="AK1067" s="328">
        <v>5.376344086021505</v>
      </c>
      <c r="AL1067" s="22" t="s">
        <v>1329</v>
      </c>
      <c r="AM1067" s="22" t="s">
        <v>1330</v>
      </c>
      <c r="AN1067" s="22" t="s">
        <v>1317</v>
      </c>
      <c r="AO1067" s="22" t="s">
        <v>1318</v>
      </c>
      <c r="AP1067" s="22" t="s">
        <v>1318</v>
      </c>
      <c r="AQ1067" s="22" t="s">
        <v>1318</v>
      </c>
      <c r="AR1067" s="22" t="s">
        <v>1315</v>
      </c>
      <c r="AS1067" s="22" t="s">
        <v>1315</v>
      </c>
      <c r="AT1067" s="22" t="s">
        <v>1317</v>
      </c>
      <c r="AU1067" s="22" t="s">
        <v>1318</v>
      </c>
      <c r="AV1067" s="22" t="s">
        <v>1317</v>
      </c>
      <c r="AW1067" s="22" t="s">
        <v>1318</v>
      </c>
      <c r="AX1067" s="22" t="s">
        <v>1317</v>
      </c>
      <c r="AY1067" s="22" t="s">
        <v>1318</v>
      </c>
      <c r="AZ1067" s="22" t="s">
        <v>1309</v>
      </c>
      <c r="BA1067" s="22" t="s">
        <v>1309</v>
      </c>
      <c r="BB1067" s="22" t="s">
        <v>1317</v>
      </c>
      <c r="BC1067" s="22" t="s">
        <v>1318</v>
      </c>
      <c r="BD1067" s="22" t="s">
        <v>1317</v>
      </c>
      <c r="BE1067" s="22" t="s">
        <v>1318</v>
      </c>
      <c r="BF1067" s="22" t="s">
        <v>1317</v>
      </c>
      <c r="BG1067" s="22" t="s">
        <v>1318</v>
      </c>
      <c r="BH1067" s="22" t="s">
        <v>1309</v>
      </c>
      <c r="BI1067" s="22" t="s">
        <v>1309</v>
      </c>
      <c r="BJ1067" s="22" t="s">
        <v>1315</v>
      </c>
      <c r="BK1067" s="22" t="s">
        <v>1315</v>
      </c>
      <c r="BL1067" s="22" t="s">
        <v>1319</v>
      </c>
      <c r="BM1067" s="22" t="s">
        <v>1311</v>
      </c>
      <c r="BN1067" s="22" t="s">
        <v>1309</v>
      </c>
      <c r="BO1067" s="22" t="s">
        <v>1309</v>
      </c>
      <c r="BP1067" s="22" t="s">
        <v>1315</v>
      </c>
      <c r="BQ1067" s="22" t="s">
        <v>1315</v>
      </c>
      <c r="BR1067" s="22" t="s">
        <v>1309</v>
      </c>
      <c r="BS1067" s="22" t="s">
        <v>1309</v>
      </c>
      <c r="BT1067" s="22" t="s">
        <v>1309</v>
      </c>
      <c r="BU1067" s="22" t="s">
        <v>1309</v>
      </c>
      <c r="BV1067" s="22" t="s">
        <v>1317</v>
      </c>
      <c r="BW1067" s="22" t="s">
        <v>1318</v>
      </c>
      <c r="BX1067" s="20">
        <v>0</v>
      </c>
      <c r="BY1067" s="20">
        <v>0</v>
      </c>
      <c r="BZ1067" s="20">
        <v>22</v>
      </c>
      <c r="CA1067" s="20">
        <v>0</v>
      </c>
      <c r="CB1067" s="20">
        <v>0</v>
      </c>
      <c r="CC1067" s="20">
        <v>156</v>
      </c>
      <c r="CD1067" s="22" t="s">
        <v>1317</v>
      </c>
      <c r="CE1067" s="22" t="s">
        <v>1318</v>
      </c>
      <c r="CF1067" s="22" t="s">
        <v>1317</v>
      </c>
      <c r="CG1067" s="22" t="s">
        <v>1318</v>
      </c>
      <c r="CH1067" s="22" t="s">
        <v>1317</v>
      </c>
      <c r="CI1067" s="22" t="s">
        <v>1318</v>
      </c>
      <c r="CJ1067" s="149" t="s">
        <v>1124</v>
      </c>
      <c r="CK1067" s="241" t="s">
        <v>1124</v>
      </c>
    </row>
    <row r="1068" spans="1:89" ht="15" customHeight="1" x14ac:dyDescent="0.35">
      <c r="A1068" s="17"/>
      <c r="B1068" s="313">
        <v>88075</v>
      </c>
      <c r="C1068" s="8" t="s">
        <v>924</v>
      </c>
      <c r="D1068" s="18">
        <v>8</v>
      </c>
      <c r="E1068" s="131"/>
      <c r="F1068" s="22"/>
      <c r="G1068" s="132"/>
      <c r="H1068" s="22"/>
      <c r="I1068" s="22"/>
      <c r="J1068" s="22"/>
      <c r="K1068" s="22"/>
      <c r="L1068" s="22"/>
      <c r="M1068" s="133"/>
      <c r="N1068" s="22"/>
      <c r="O1068" s="22"/>
      <c r="P1068" s="22"/>
      <c r="Q1068" s="20"/>
      <c r="R1068" s="20"/>
      <c r="S1068" s="20"/>
      <c r="T1068" s="20"/>
      <c r="U1068" s="20"/>
      <c r="V1068" s="20"/>
      <c r="W1068" s="20"/>
      <c r="X1068" s="20"/>
      <c r="Y1068" s="20"/>
      <c r="Z1068" s="20"/>
      <c r="AA1068" s="20"/>
      <c r="AB1068" s="22"/>
      <c r="AC1068" s="20"/>
      <c r="AD1068" s="20"/>
      <c r="AE1068" s="20"/>
      <c r="AF1068" s="20" t="s">
        <v>1124</v>
      </c>
      <c r="AG1068" s="20" t="s">
        <v>1124</v>
      </c>
      <c r="AH1068" s="20" t="s">
        <v>1124</v>
      </c>
      <c r="AI1068" s="328"/>
      <c r="AJ1068" s="328"/>
      <c r="AK1068" s="328"/>
      <c r="AL1068" s="22"/>
      <c r="AM1068" s="22"/>
      <c r="AN1068" s="22"/>
      <c r="AO1068" s="22"/>
      <c r="AP1068" s="22"/>
      <c r="AQ1068" s="22"/>
      <c r="AR1068" s="22"/>
      <c r="AS1068" s="22"/>
      <c r="AT1068" s="22"/>
      <c r="AU1068" s="22"/>
      <c r="AV1068" s="22"/>
      <c r="AW1068" s="22"/>
      <c r="AX1068" s="22"/>
      <c r="AY1068" s="22"/>
      <c r="AZ1068" s="22"/>
      <c r="BA1068" s="22"/>
      <c r="BB1068" s="22"/>
      <c r="BC1068" s="22"/>
      <c r="BD1068" s="22"/>
      <c r="BE1068" s="22"/>
      <c r="BF1068" s="22"/>
      <c r="BG1068" s="22"/>
      <c r="BH1068" s="22"/>
      <c r="BI1068" s="22"/>
      <c r="BJ1068" s="22"/>
      <c r="BK1068" s="22"/>
      <c r="BL1068" s="22"/>
      <c r="BM1068" s="22"/>
      <c r="BN1068" s="22"/>
      <c r="BO1068" s="22"/>
      <c r="BP1068" s="22"/>
      <c r="BQ1068" s="22"/>
      <c r="BR1068" s="22"/>
      <c r="BS1068" s="22"/>
      <c r="BT1068" s="22"/>
      <c r="BU1068" s="22"/>
      <c r="BV1068" s="22"/>
      <c r="BW1068" s="22"/>
      <c r="BX1068" s="20"/>
      <c r="BY1068" s="20"/>
      <c r="BZ1068" s="20"/>
      <c r="CA1068" s="20"/>
      <c r="CB1068" s="20"/>
      <c r="CC1068" s="20"/>
      <c r="CD1068" s="22"/>
      <c r="CE1068" s="22"/>
      <c r="CF1068" s="22"/>
      <c r="CG1068" s="22"/>
      <c r="CH1068" s="22"/>
      <c r="CI1068" s="22"/>
      <c r="CJ1068" s="149"/>
      <c r="CK1068" s="241"/>
    </row>
    <row r="1069" spans="1:89" ht="15" customHeight="1" x14ac:dyDescent="0.35">
      <c r="A1069" s="17"/>
      <c r="B1069" s="313">
        <v>71125</v>
      </c>
      <c r="C1069" s="8" t="s">
        <v>724</v>
      </c>
      <c r="D1069" s="18">
        <v>16</v>
      </c>
      <c r="E1069" s="131"/>
      <c r="F1069" s="22"/>
      <c r="G1069" s="132"/>
      <c r="H1069" s="22"/>
      <c r="I1069" s="22"/>
      <c r="J1069" s="22"/>
      <c r="K1069" s="22"/>
      <c r="L1069" s="22"/>
      <c r="M1069" s="133"/>
      <c r="N1069" s="22"/>
      <c r="O1069" s="22"/>
      <c r="P1069" s="22"/>
      <c r="Q1069" s="20"/>
      <c r="R1069" s="20"/>
      <c r="S1069" s="20"/>
      <c r="T1069" s="20"/>
      <c r="U1069" s="20"/>
      <c r="V1069" s="20"/>
      <c r="W1069" s="20"/>
      <c r="X1069" s="20"/>
      <c r="Y1069" s="20"/>
      <c r="Z1069" s="20"/>
      <c r="AA1069" s="20"/>
      <c r="AB1069" s="22"/>
      <c r="AC1069" s="20"/>
      <c r="AD1069" s="20"/>
      <c r="AE1069" s="20"/>
      <c r="AF1069" s="20" t="s">
        <v>1124</v>
      </c>
      <c r="AG1069" s="20" t="s">
        <v>1124</v>
      </c>
      <c r="AH1069" s="20" t="s">
        <v>1124</v>
      </c>
      <c r="AI1069" s="328"/>
      <c r="AJ1069" s="328"/>
      <c r="AK1069" s="328"/>
      <c r="AL1069" s="22"/>
      <c r="AM1069" s="22"/>
      <c r="AN1069" s="22"/>
      <c r="AO1069" s="22"/>
      <c r="AP1069" s="22"/>
      <c r="AQ1069" s="22"/>
      <c r="AR1069" s="22"/>
      <c r="AS1069" s="22"/>
      <c r="AT1069" s="22"/>
      <c r="AU1069" s="22"/>
      <c r="AV1069" s="22"/>
      <c r="AW1069" s="22"/>
      <c r="AX1069" s="22"/>
      <c r="AY1069" s="22"/>
      <c r="AZ1069" s="22"/>
      <c r="BA1069" s="22"/>
      <c r="BB1069" s="22"/>
      <c r="BC1069" s="22"/>
      <c r="BD1069" s="22"/>
      <c r="BE1069" s="22"/>
      <c r="BF1069" s="22"/>
      <c r="BG1069" s="22"/>
      <c r="BH1069" s="22"/>
      <c r="BI1069" s="22"/>
      <c r="BJ1069" s="22"/>
      <c r="BK1069" s="22"/>
      <c r="BL1069" s="22"/>
      <c r="BM1069" s="22"/>
      <c r="BN1069" s="22"/>
      <c r="BO1069" s="22"/>
      <c r="BP1069" s="22"/>
      <c r="BQ1069" s="22"/>
      <c r="BR1069" s="22"/>
      <c r="BS1069" s="22"/>
      <c r="BT1069" s="22"/>
      <c r="BU1069" s="22"/>
      <c r="BV1069" s="22"/>
      <c r="BW1069" s="22"/>
      <c r="BX1069" s="20"/>
      <c r="BY1069" s="20"/>
      <c r="BZ1069" s="20"/>
      <c r="CA1069" s="20"/>
      <c r="CB1069" s="20"/>
      <c r="CC1069" s="20"/>
      <c r="CD1069" s="22"/>
      <c r="CE1069" s="22"/>
      <c r="CF1069" s="22"/>
      <c r="CG1069" s="22"/>
      <c r="CH1069" s="22"/>
      <c r="CI1069" s="22"/>
      <c r="CJ1069" s="149"/>
      <c r="CK1069" s="241"/>
    </row>
    <row r="1070" spans="1:89" ht="15" customHeight="1" x14ac:dyDescent="0.35">
      <c r="A1070" s="17"/>
      <c r="B1070" s="313">
        <v>69030</v>
      </c>
      <c r="C1070" s="8" t="s">
        <v>688</v>
      </c>
      <c r="D1070" s="18">
        <v>16</v>
      </c>
      <c r="E1070" s="131"/>
      <c r="F1070" s="22"/>
      <c r="G1070" s="132"/>
      <c r="H1070" s="22"/>
      <c r="I1070" s="22"/>
      <c r="J1070" s="22"/>
      <c r="K1070" s="22"/>
      <c r="L1070" s="22"/>
      <c r="M1070" s="133"/>
      <c r="N1070" s="22"/>
      <c r="O1070" s="22"/>
      <c r="P1070" s="22"/>
      <c r="Q1070" s="20"/>
      <c r="R1070" s="20"/>
      <c r="S1070" s="20"/>
      <c r="T1070" s="20"/>
      <c r="U1070" s="20"/>
      <c r="V1070" s="20"/>
      <c r="W1070" s="20"/>
      <c r="X1070" s="20"/>
      <c r="Y1070" s="20"/>
      <c r="Z1070" s="20"/>
      <c r="AA1070" s="20"/>
      <c r="AB1070" s="22"/>
      <c r="AC1070" s="20"/>
      <c r="AD1070" s="20"/>
      <c r="AE1070" s="20"/>
      <c r="AF1070" s="20" t="s">
        <v>1124</v>
      </c>
      <c r="AG1070" s="20" t="s">
        <v>1124</v>
      </c>
      <c r="AH1070" s="20" t="s">
        <v>1124</v>
      </c>
      <c r="AI1070" s="328"/>
      <c r="AJ1070" s="328"/>
      <c r="AK1070" s="328"/>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0"/>
      <c r="BY1070" s="20"/>
      <c r="BZ1070" s="20"/>
      <c r="CA1070" s="20"/>
      <c r="CB1070" s="20"/>
      <c r="CC1070" s="20"/>
      <c r="CD1070" s="22"/>
      <c r="CE1070" s="22"/>
      <c r="CF1070" s="22"/>
      <c r="CG1070" s="22"/>
      <c r="CH1070" s="22"/>
      <c r="CI1070" s="22"/>
      <c r="CJ1070" s="149"/>
      <c r="CK1070" s="241"/>
    </row>
    <row r="1071" spans="1:89" ht="15" customHeight="1" x14ac:dyDescent="0.35">
      <c r="A1071" s="17"/>
      <c r="B1071" s="313">
        <v>27060</v>
      </c>
      <c r="C1071" s="8" t="s">
        <v>185</v>
      </c>
      <c r="D1071" s="18">
        <v>12</v>
      </c>
      <c r="E1071" s="131" t="s">
        <v>1309</v>
      </c>
      <c r="F1071" s="22" t="s">
        <v>1309</v>
      </c>
      <c r="G1071" s="132" t="s">
        <v>1309</v>
      </c>
      <c r="H1071" s="22" t="s">
        <v>1311</v>
      </c>
      <c r="I1071" s="22" t="s">
        <v>1327</v>
      </c>
      <c r="J1071" s="22" t="s">
        <v>1327</v>
      </c>
      <c r="K1071" s="22" t="s">
        <v>1314</v>
      </c>
      <c r="L1071" s="22" t="s">
        <v>1311</v>
      </c>
      <c r="M1071" s="133" t="s">
        <v>1311</v>
      </c>
      <c r="N1071" s="22" t="s">
        <v>1311</v>
      </c>
      <c r="O1071" s="22" t="s">
        <v>1315</v>
      </c>
      <c r="P1071" s="22" t="s">
        <v>1315</v>
      </c>
      <c r="Q1071" s="20">
        <v>0</v>
      </c>
      <c r="R1071" s="20">
        <v>0</v>
      </c>
      <c r="S1071" s="20">
        <v>0</v>
      </c>
      <c r="T1071" s="20">
        <v>0</v>
      </c>
      <c r="U1071" s="20">
        <v>20.608000000000001</v>
      </c>
      <c r="V1071" s="20">
        <v>20.608000000000001</v>
      </c>
      <c r="W1071" s="20">
        <v>0</v>
      </c>
      <c r="X1071" s="20">
        <v>0</v>
      </c>
      <c r="Y1071" s="20">
        <v>0</v>
      </c>
      <c r="Z1071" s="20">
        <v>0</v>
      </c>
      <c r="AA1071" s="20" t="s">
        <v>1309</v>
      </c>
      <c r="AB1071" s="22" t="s">
        <v>1311</v>
      </c>
      <c r="AC1071" s="20">
        <v>1</v>
      </c>
      <c r="AD1071" s="20">
        <v>0</v>
      </c>
      <c r="AE1071" s="20">
        <v>1</v>
      </c>
      <c r="AF1071" s="20">
        <v>1</v>
      </c>
      <c r="AG1071" s="20">
        <v>0</v>
      </c>
      <c r="AH1071" s="20">
        <v>1</v>
      </c>
      <c r="AI1071" s="328">
        <v>4.8524844720496896</v>
      </c>
      <c r="AJ1071" s="328" t="s">
        <v>1328</v>
      </c>
      <c r="AK1071" s="328">
        <v>1.6260162601626016</v>
      </c>
      <c r="AL1071" s="22" t="s">
        <v>1329</v>
      </c>
      <c r="AM1071" s="22" t="s">
        <v>1330</v>
      </c>
      <c r="AN1071" s="22" t="s">
        <v>1317</v>
      </c>
      <c r="AO1071" s="22" t="s">
        <v>1318</v>
      </c>
      <c r="AP1071" s="22" t="s">
        <v>1318</v>
      </c>
      <c r="AQ1071" s="22" t="s">
        <v>1318</v>
      </c>
      <c r="AR1071" s="22" t="s">
        <v>1317</v>
      </c>
      <c r="AS1071" s="22" t="s">
        <v>1318</v>
      </c>
      <c r="AT1071" s="22" t="s">
        <v>1317</v>
      </c>
      <c r="AU1071" s="22" t="s">
        <v>1318</v>
      </c>
      <c r="AV1071" s="22" t="s">
        <v>1317</v>
      </c>
      <c r="AW1071" s="22" t="s">
        <v>1318</v>
      </c>
      <c r="AX1071" s="22" t="s">
        <v>1317</v>
      </c>
      <c r="AY1071" s="22" t="s">
        <v>1318</v>
      </c>
      <c r="AZ1071" s="22" t="s">
        <v>1319</v>
      </c>
      <c r="BA1071" s="22" t="s">
        <v>1311</v>
      </c>
      <c r="BB1071" s="22" t="s">
        <v>1309</v>
      </c>
      <c r="BC1071" s="22" t="s">
        <v>1309</v>
      </c>
      <c r="BD1071" s="22" t="s">
        <v>1317</v>
      </c>
      <c r="BE1071" s="22" t="s">
        <v>1318</v>
      </c>
      <c r="BF1071" s="22" t="s">
        <v>1317</v>
      </c>
      <c r="BG1071" s="22" t="s">
        <v>1318</v>
      </c>
      <c r="BH1071" s="22" t="s">
        <v>1317</v>
      </c>
      <c r="BI1071" s="22" t="s">
        <v>1311</v>
      </c>
      <c r="BJ1071" s="22" t="s">
        <v>1317</v>
      </c>
      <c r="BK1071" s="22" t="s">
        <v>1318</v>
      </c>
      <c r="BL1071" s="22" t="s">
        <v>1317</v>
      </c>
      <c r="BM1071" s="22" t="s">
        <v>1318</v>
      </c>
      <c r="BN1071" s="22" t="s">
        <v>1319</v>
      </c>
      <c r="BO1071" s="22" t="s">
        <v>1311</v>
      </c>
      <c r="BP1071" s="22" t="s">
        <v>1309</v>
      </c>
      <c r="BQ1071" s="22" t="s">
        <v>1309</v>
      </c>
      <c r="BR1071" s="22" t="s">
        <v>1317</v>
      </c>
      <c r="BS1071" s="22" t="s">
        <v>1311</v>
      </c>
      <c r="BT1071" s="22" t="s">
        <v>1317</v>
      </c>
      <c r="BU1071" s="22" t="s">
        <v>1318</v>
      </c>
      <c r="BV1071" s="22" t="s">
        <v>1309</v>
      </c>
      <c r="BW1071" s="22" t="s">
        <v>1309</v>
      </c>
      <c r="BX1071" s="20">
        <v>0</v>
      </c>
      <c r="BY1071" s="20">
        <v>27</v>
      </c>
      <c r="BZ1071" s="20">
        <v>0</v>
      </c>
      <c r="CA1071" s="20">
        <v>0</v>
      </c>
      <c r="CB1071" s="20">
        <v>0</v>
      </c>
      <c r="CC1071" s="20">
        <v>588</v>
      </c>
      <c r="CD1071" s="22" t="s">
        <v>1331</v>
      </c>
      <c r="CE1071" s="22" t="s">
        <v>1331</v>
      </c>
      <c r="CF1071" s="22" t="s">
        <v>1317</v>
      </c>
      <c r="CG1071" s="22" t="s">
        <v>1318</v>
      </c>
      <c r="CH1071" s="22" t="s">
        <v>1317</v>
      </c>
      <c r="CI1071" s="22" t="s">
        <v>1318</v>
      </c>
      <c r="CJ1071" s="149" t="s">
        <v>1124</v>
      </c>
      <c r="CK1071" s="241" t="s">
        <v>3575</v>
      </c>
    </row>
    <row r="1072" spans="1:89" ht="15" customHeight="1" x14ac:dyDescent="0.35">
      <c r="A1072" s="17"/>
      <c r="B1072" s="313">
        <v>11040</v>
      </c>
      <c r="C1072" s="8" t="s">
        <v>24</v>
      </c>
      <c r="D1072" s="18">
        <v>1</v>
      </c>
      <c r="E1072" s="131" t="s">
        <v>1309</v>
      </c>
      <c r="F1072" s="22" t="s">
        <v>1309</v>
      </c>
      <c r="G1072" s="132" t="s">
        <v>1309</v>
      </c>
      <c r="H1072" s="22" t="s">
        <v>1311</v>
      </c>
      <c r="I1072" s="22" t="s">
        <v>1327</v>
      </c>
      <c r="J1072" s="22" t="s">
        <v>1327</v>
      </c>
      <c r="K1072" s="22" t="s">
        <v>1309</v>
      </c>
      <c r="L1072" s="22" t="s">
        <v>1309</v>
      </c>
      <c r="M1072" s="133" t="s">
        <v>1311</v>
      </c>
      <c r="N1072" s="22" t="s">
        <v>1311</v>
      </c>
      <c r="O1072" s="22" t="s">
        <v>1314</v>
      </c>
      <c r="P1072" s="22" t="s">
        <v>1318</v>
      </c>
      <c r="Q1072" s="20">
        <v>0</v>
      </c>
      <c r="R1072" s="20">
        <v>0</v>
      </c>
      <c r="S1072" s="20">
        <v>36.6</v>
      </c>
      <c r="T1072" s="20">
        <v>36.6</v>
      </c>
      <c r="U1072" s="20">
        <v>0</v>
      </c>
      <c r="V1072" s="20">
        <v>0</v>
      </c>
      <c r="W1072" s="20">
        <v>0</v>
      </c>
      <c r="X1072" s="20">
        <v>0</v>
      </c>
      <c r="Y1072" s="20">
        <v>0</v>
      </c>
      <c r="Z1072" s="20">
        <v>0</v>
      </c>
      <c r="AA1072" s="20" t="s">
        <v>1317</v>
      </c>
      <c r="AB1072" s="22" t="s">
        <v>1318</v>
      </c>
      <c r="AC1072" s="20">
        <v>7</v>
      </c>
      <c r="AD1072" s="20">
        <v>0</v>
      </c>
      <c r="AE1072" s="20">
        <v>0</v>
      </c>
      <c r="AF1072" s="20">
        <v>1</v>
      </c>
      <c r="AG1072" s="20">
        <v>0</v>
      </c>
      <c r="AH1072" s="20">
        <v>0</v>
      </c>
      <c r="AI1072" s="328">
        <v>19.125683060109289</v>
      </c>
      <c r="AJ1072" s="328" t="s">
        <v>1328</v>
      </c>
      <c r="AK1072" s="328" t="s">
        <v>1328</v>
      </c>
      <c r="AL1072" s="22" t="s">
        <v>1329</v>
      </c>
      <c r="AM1072" s="22" t="s">
        <v>1330</v>
      </c>
      <c r="AN1072" s="22" t="s">
        <v>1317</v>
      </c>
      <c r="AO1072" s="22" t="s">
        <v>1318</v>
      </c>
      <c r="AP1072" s="22" t="s">
        <v>1318</v>
      </c>
      <c r="AQ1072" s="22" t="s">
        <v>1318</v>
      </c>
      <c r="AR1072" s="22" t="s">
        <v>1309</v>
      </c>
      <c r="AS1072" s="22" t="s">
        <v>1309</v>
      </c>
      <c r="AT1072" s="22" t="s">
        <v>1309</v>
      </c>
      <c r="AU1072" s="22" t="s">
        <v>1309</v>
      </c>
      <c r="AV1072" s="22" t="s">
        <v>1317</v>
      </c>
      <c r="AW1072" s="22" t="s">
        <v>1318</v>
      </c>
      <c r="AX1072" s="22" t="s">
        <v>1317</v>
      </c>
      <c r="AY1072" s="22" t="s">
        <v>1318</v>
      </c>
      <c r="AZ1072" s="22" t="s">
        <v>1309</v>
      </c>
      <c r="BA1072" s="22" t="s">
        <v>1309</v>
      </c>
      <c r="BB1072" s="22" t="s">
        <v>1309</v>
      </c>
      <c r="BC1072" s="22" t="s">
        <v>1309</v>
      </c>
      <c r="BD1072" s="22" t="s">
        <v>1317</v>
      </c>
      <c r="BE1072" s="22" t="s">
        <v>1318</v>
      </c>
      <c r="BF1072" s="22" t="s">
        <v>1317</v>
      </c>
      <c r="BG1072" s="22" t="s">
        <v>1318</v>
      </c>
      <c r="BH1072" s="22" t="s">
        <v>1317</v>
      </c>
      <c r="BI1072" s="22" t="s">
        <v>1318</v>
      </c>
      <c r="BJ1072" s="22" t="s">
        <v>1317</v>
      </c>
      <c r="BK1072" s="22" t="s">
        <v>1318</v>
      </c>
      <c r="BL1072" s="22" t="s">
        <v>1309</v>
      </c>
      <c r="BM1072" s="22" t="s">
        <v>1309</v>
      </c>
      <c r="BN1072" s="22" t="s">
        <v>1309</v>
      </c>
      <c r="BO1072" s="22" t="s">
        <v>1309</v>
      </c>
      <c r="BP1072" s="22" t="s">
        <v>1309</v>
      </c>
      <c r="BQ1072" s="22" t="s">
        <v>1309</v>
      </c>
      <c r="BR1072" s="22" t="s">
        <v>1309</v>
      </c>
      <c r="BS1072" s="22" t="s">
        <v>1309</v>
      </c>
      <c r="BT1072" s="22" t="s">
        <v>1315</v>
      </c>
      <c r="BU1072" s="22" t="s">
        <v>1315</v>
      </c>
      <c r="BV1072" s="22" t="s">
        <v>1309</v>
      </c>
      <c r="BW1072" s="22" t="s">
        <v>1309</v>
      </c>
      <c r="BX1072" s="20">
        <v>0</v>
      </c>
      <c r="BY1072" s="20">
        <v>0</v>
      </c>
      <c r="BZ1072" s="20">
        <v>125</v>
      </c>
      <c r="CA1072" s="20">
        <v>0</v>
      </c>
      <c r="CB1072" s="20">
        <v>0</v>
      </c>
      <c r="CC1072" s="20">
        <v>1152</v>
      </c>
      <c r="CD1072" s="22" t="s">
        <v>1317</v>
      </c>
      <c r="CE1072" s="22" t="s">
        <v>1321</v>
      </c>
      <c r="CF1072" s="22" t="s">
        <v>1317</v>
      </c>
      <c r="CG1072" s="22" t="s">
        <v>1321</v>
      </c>
      <c r="CH1072" s="22" t="s">
        <v>1317</v>
      </c>
      <c r="CI1072" s="22" t="s">
        <v>1318</v>
      </c>
      <c r="CJ1072" s="149" t="s">
        <v>3579</v>
      </c>
      <c r="CK1072" s="241" t="s">
        <v>3580</v>
      </c>
    </row>
    <row r="1073" spans="1:89" ht="15" customHeight="1" x14ac:dyDescent="0.35">
      <c r="A1073" s="17"/>
      <c r="B1073" s="313">
        <v>35055</v>
      </c>
      <c r="C1073" s="8" t="s">
        <v>312</v>
      </c>
      <c r="D1073" s="18">
        <v>4</v>
      </c>
      <c r="E1073" s="131"/>
      <c r="F1073" s="22"/>
      <c r="G1073" s="132"/>
      <c r="H1073" s="22"/>
      <c r="I1073" s="22"/>
      <c r="J1073" s="22"/>
      <c r="K1073" s="22"/>
      <c r="L1073" s="22"/>
      <c r="M1073" s="133"/>
      <c r="N1073" s="22"/>
      <c r="O1073" s="22"/>
      <c r="P1073" s="22"/>
      <c r="Q1073" s="20"/>
      <c r="R1073" s="20"/>
      <c r="S1073" s="20"/>
      <c r="T1073" s="20"/>
      <c r="U1073" s="20"/>
      <c r="V1073" s="20"/>
      <c r="W1073" s="20"/>
      <c r="X1073" s="20"/>
      <c r="Y1073" s="20"/>
      <c r="Z1073" s="20"/>
      <c r="AA1073" s="20"/>
      <c r="AB1073" s="22"/>
      <c r="AC1073" s="20"/>
      <c r="AD1073" s="20"/>
      <c r="AE1073" s="20"/>
      <c r="AF1073" s="20" t="s">
        <v>1124</v>
      </c>
      <c r="AG1073" s="20" t="s">
        <v>1124</v>
      </c>
      <c r="AH1073" s="20" t="s">
        <v>1124</v>
      </c>
      <c r="AI1073" s="328"/>
      <c r="AJ1073" s="328"/>
      <c r="AK1073" s="328"/>
      <c r="AL1073" s="22"/>
      <c r="AM1073" s="22"/>
      <c r="AN1073" s="22"/>
      <c r="AO1073" s="22"/>
      <c r="AP1073" s="22"/>
      <c r="AQ1073" s="22"/>
      <c r="AR1073" s="22"/>
      <c r="AS1073" s="22"/>
      <c r="AT1073" s="22"/>
      <c r="AU1073" s="22"/>
      <c r="AV1073" s="22"/>
      <c r="AW1073" s="22"/>
      <c r="AX1073" s="22"/>
      <c r="AY1073" s="22"/>
      <c r="AZ1073" s="22"/>
      <c r="BA1073" s="22"/>
      <c r="BB1073" s="22"/>
      <c r="BC1073" s="22"/>
      <c r="BD1073" s="22"/>
      <c r="BE1073" s="22"/>
      <c r="BF1073" s="22"/>
      <c r="BG1073" s="22"/>
      <c r="BH1073" s="22"/>
      <c r="BI1073" s="22"/>
      <c r="BJ1073" s="22"/>
      <c r="BK1073" s="22"/>
      <c r="BL1073" s="22"/>
      <c r="BM1073" s="22"/>
      <c r="BN1073" s="22"/>
      <c r="BO1073" s="22"/>
      <c r="BP1073" s="22"/>
      <c r="BQ1073" s="22"/>
      <c r="BR1073" s="22"/>
      <c r="BS1073" s="22"/>
      <c r="BT1073" s="22"/>
      <c r="BU1073" s="22"/>
      <c r="BV1073" s="22"/>
      <c r="BW1073" s="22"/>
      <c r="BX1073" s="20"/>
      <c r="BY1073" s="20"/>
      <c r="BZ1073" s="20"/>
      <c r="CA1073" s="20"/>
      <c r="CB1073" s="20"/>
      <c r="CC1073" s="20"/>
      <c r="CD1073" s="22"/>
      <c r="CE1073" s="22"/>
      <c r="CF1073" s="22"/>
      <c r="CG1073" s="22"/>
      <c r="CH1073" s="22"/>
      <c r="CI1073" s="22"/>
      <c r="CJ1073" s="149"/>
      <c r="CK1073" s="241"/>
    </row>
    <row r="1074" spans="1:89" ht="15" customHeight="1" x14ac:dyDescent="0.35">
      <c r="A1074" s="17"/>
      <c r="B1074" s="313">
        <v>37067</v>
      </c>
      <c r="C1074" s="8" t="s">
        <v>314</v>
      </c>
      <c r="D1074" s="18">
        <v>4</v>
      </c>
      <c r="E1074" s="131" t="s">
        <v>1309</v>
      </c>
      <c r="F1074" s="22" t="s">
        <v>1309</v>
      </c>
      <c r="G1074" s="132" t="s">
        <v>1309</v>
      </c>
      <c r="H1074" s="22" t="s">
        <v>1311</v>
      </c>
      <c r="I1074" s="22" t="s">
        <v>1327</v>
      </c>
      <c r="J1074" s="22" t="s">
        <v>1327</v>
      </c>
      <c r="K1074" s="22" t="s">
        <v>1309</v>
      </c>
      <c r="L1074" s="22" t="s">
        <v>1309</v>
      </c>
      <c r="M1074" s="133" t="s">
        <v>1311</v>
      </c>
      <c r="N1074" s="22" t="s">
        <v>1311</v>
      </c>
      <c r="O1074" s="22" t="s">
        <v>1309</v>
      </c>
      <c r="P1074" s="22" t="s">
        <v>1309</v>
      </c>
      <c r="Q1074" s="20">
        <v>0</v>
      </c>
      <c r="R1074" s="20">
        <v>0</v>
      </c>
      <c r="S1074" s="20">
        <v>897.15800000000002</v>
      </c>
      <c r="T1074" s="20">
        <v>1762.43</v>
      </c>
      <c r="U1074" s="20">
        <v>0</v>
      </c>
      <c r="V1074" s="20">
        <v>0</v>
      </c>
      <c r="W1074" s="20">
        <v>0</v>
      </c>
      <c r="X1074" s="20">
        <v>0</v>
      </c>
      <c r="Y1074" s="20">
        <v>0</v>
      </c>
      <c r="Z1074" s="20">
        <v>0</v>
      </c>
      <c r="AA1074" s="20" t="s">
        <v>1317</v>
      </c>
      <c r="AB1074" s="22" t="s">
        <v>1318</v>
      </c>
      <c r="AC1074" s="20">
        <v>67</v>
      </c>
      <c r="AD1074" s="20">
        <v>33</v>
      </c>
      <c r="AE1074" s="20">
        <v>166</v>
      </c>
      <c r="AF1074" s="20">
        <v>3</v>
      </c>
      <c r="AG1074" s="20">
        <v>15</v>
      </c>
      <c r="AH1074" s="20">
        <v>20</v>
      </c>
      <c r="AI1074" s="328">
        <v>7.1857032390361724</v>
      </c>
      <c r="AJ1074" s="328">
        <v>0.77916558449224371</v>
      </c>
      <c r="AK1074" s="328">
        <v>3.9194390007791657</v>
      </c>
      <c r="AL1074" s="22" t="s">
        <v>1338</v>
      </c>
      <c r="AM1074" s="22" t="s">
        <v>1339</v>
      </c>
      <c r="AN1074" s="22" t="s">
        <v>1315</v>
      </c>
      <c r="AO1074" s="22" t="s">
        <v>1315</v>
      </c>
      <c r="AP1074" s="22" t="s">
        <v>1315</v>
      </c>
      <c r="AQ1074" s="22" t="s">
        <v>1315</v>
      </c>
      <c r="AR1074" s="22" t="s">
        <v>1309</v>
      </c>
      <c r="AS1074" s="22" t="s">
        <v>1311</v>
      </c>
      <c r="AT1074" s="22" t="s">
        <v>1309</v>
      </c>
      <c r="AU1074" s="22" t="s">
        <v>1311</v>
      </c>
      <c r="AV1074" s="22" t="s">
        <v>1317</v>
      </c>
      <c r="AW1074" s="22" t="s">
        <v>1318</v>
      </c>
      <c r="AX1074" s="22" t="s">
        <v>1317</v>
      </c>
      <c r="AY1074" s="22" t="s">
        <v>1318</v>
      </c>
      <c r="AZ1074" s="22" t="s">
        <v>1309</v>
      </c>
      <c r="BA1074" s="22" t="s">
        <v>1311</v>
      </c>
      <c r="BB1074" s="22" t="s">
        <v>1309</v>
      </c>
      <c r="BC1074" s="22" t="s">
        <v>1311</v>
      </c>
      <c r="BD1074" s="22" t="s">
        <v>1317</v>
      </c>
      <c r="BE1074" s="22" t="s">
        <v>1318</v>
      </c>
      <c r="BF1074" s="22" t="s">
        <v>1317</v>
      </c>
      <c r="BG1074" s="22" t="s">
        <v>1318</v>
      </c>
      <c r="BH1074" s="22" t="s">
        <v>1309</v>
      </c>
      <c r="BI1074" s="22" t="s">
        <v>1309</v>
      </c>
      <c r="BJ1074" s="22" t="s">
        <v>1309</v>
      </c>
      <c r="BK1074" s="22" t="s">
        <v>1309</v>
      </c>
      <c r="BL1074" s="22" t="s">
        <v>1309</v>
      </c>
      <c r="BM1074" s="22" t="s">
        <v>1309</v>
      </c>
      <c r="BN1074" s="22" t="s">
        <v>1309</v>
      </c>
      <c r="BO1074" s="22" t="s">
        <v>1309</v>
      </c>
      <c r="BP1074" s="22" t="s">
        <v>1309</v>
      </c>
      <c r="BQ1074" s="22" t="s">
        <v>1309</v>
      </c>
      <c r="BR1074" s="22" t="s">
        <v>1309</v>
      </c>
      <c r="BS1074" s="22" t="s">
        <v>1309</v>
      </c>
      <c r="BT1074" s="22" t="s">
        <v>1309</v>
      </c>
      <c r="BU1074" s="22" t="s">
        <v>1309</v>
      </c>
      <c r="BV1074" s="22" t="s">
        <v>1309</v>
      </c>
      <c r="BW1074" s="22" t="s">
        <v>1309</v>
      </c>
      <c r="BX1074" s="20">
        <v>32</v>
      </c>
      <c r="BY1074" s="20">
        <v>0</v>
      </c>
      <c r="BZ1074" s="20">
        <v>2733</v>
      </c>
      <c r="CA1074" s="20">
        <v>0</v>
      </c>
      <c r="CB1074" s="20">
        <v>0</v>
      </c>
      <c r="CC1074" s="20">
        <v>39588</v>
      </c>
      <c r="CD1074" s="22" t="s">
        <v>1320</v>
      </c>
      <c r="CE1074" s="22" t="s">
        <v>1340</v>
      </c>
      <c r="CF1074" s="22" t="s">
        <v>1317</v>
      </c>
      <c r="CG1074" s="22" t="s">
        <v>1318</v>
      </c>
      <c r="CH1074" s="22" t="s">
        <v>1317</v>
      </c>
      <c r="CI1074" s="22" t="s">
        <v>1318</v>
      </c>
      <c r="CJ1074" s="149" t="s">
        <v>3589</v>
      </c>
      <c r="CK1074" s="241" t="s">
        <v>3590</v>
      </c>
    </row>
    <row r="1075" spans="1:89" ht="15" customHeight="1" x14ac:dyDescent="0.35">
      <c r="A1075" s="17"/>
      <c r="B1075" s="313">
        <v>42078</v>
      </c>
      <c r="C1075" s="8" t="s">
        <v>391</v>
      </c>
      <c r="D1075" s="18">
        <v>5</v>
      </c>
      <c r="E1075" s="131"/>
      <c r="F1075" s="22"/>
      <c r="G1075" s="132"/>
      <c r="H1075" s="22"/>
      <c r="I1075" s="22"/>
      <c r="J1075" s="22"/>
      <c r="K1075" s="22"/>
      <c r="L1075" s="22"/>
      <c r="M1075" s="133"/>
      <c r="N1075" s="22"/>
      <c r="O1075" s="22"/>
      <c r="P1075" s="22"/>
      <c r="Q1075" s="20"/>
      <c r="R1075" s="20"/>
      <c r="S1075" s="20"/>
      <c r="T1075" s="20"/>
      <c r="U1075" s="20"/>
      <c r="V1075" s="20"/>
      <c r="W1075" s="20"/>
      <c r="X1075" s="20"/>
      <c r="Y1075" s="20"/>
      <c r="Z1075" s="20"/>
      <c r="AA1075" s="20"/>
      <c r="AB1075" s="22"/>
      <c r="AC1075" s="20"/>
      <c r="AD1075" s="20"/>
      <c r="AE1075" s="20"/>
      <c r="AF1075" s="20" t="s">
        <v>1124</v>
      </c>
      <c r="AG1075" s="20" t="s">
        <v>1124</v>
      </c>
      <c r="AH1075" s="20" t="s">
        <v>1124</v>
      </c>
      <c r="AI1075" s="328"/>
      <c r="AJ1075" s="328"/>
      <c r="AK1075" s="328"/>
      <c r="AL1075" s="22"/>
      <c r="AM1075" s="22"/>
      <c r="AN1075" s="22"/>
      <c r="AO1075" s="22"/>
      <c r="AP1075" s="22"/>
      <c r="AQ1075" s="22"/>
      <c r="AR1075" s="22"/>
      <c r="AS1075" s="22"/>
      <c r="AT1075" s="22"/>
      <c r="AU1075" s="22"/>
      <c r="AV1075" s="22"/>
      <c r="AW1075" s="22"/>
      <c r="AX1075" s="22"/>
      <c r="AY1075" s="22"/>
      <c r="AZ1075" s="22"/>
      <c r="BA1075" s="22"/>
      <c r="BB1075" s="22"/>
      <c r="BC1075" s="22"/>
      <c r="BD1075" s="22"/>
      <c r="BE1075" s="22"/>
      <c r="BF1075" s="22"/>
      <c r="BG1075" s="22"/>
      <c r="BH1075" s="22"/>
      <c r="BI1075" s="22"/>
      <c r="BJ1075" s="22"/>
      <c r="BK1075" s="22"/>
      <c r="BL1075" s="22"/>
      <c r="BM1075" s="22"/>
      <c r="BN1075" s="22"/>
      <c r="BO1075" s="22"/>
      <c r="BP1075" s="22"/>
      <c r="BQ1075" s="22"/>
      <c r="BR1075" s="22"/>
      <c r="BS1075" s="22"/>
      <c r="BT1075" s="22"/>
      <c r="BU1075" s="22"/>
      <c r="BV1075" s="22"/>
      <c r="BW1075" s="22"/>
      <c r="BX1075" s="20"/>
      <c r="BY1075" s="20"/>
      <c r="BZ1075" s="20"/>
      <c r="CA1075" s="20"/>
      <c r="CB1075" s="20"/>
      <c r="CC1075" s="20"/>
      <c r="CD1075" s="22"/>
      <c r="CE1075" s="22"/>
      <c r="CF1075" s="22"/>
      <c r="CG1075" s="22"/>
      <c r="CH1075" s="22"/>
      <c r="CI1075" s="22"/>
      <c r="CJ1075" s="149"/>
      <c r="CK1075" s="241"/>
    </row>
    <row r="1076" spans="1:89" ht="15" customHeight="1" x14ac:dyDescent="0.35">
      <c r="A1076" s="17"/>
      <c r="B1076" s="313">
        <v>48038</v>
      </c>
      <c r="C1076" s="8" t="s">
        <v>461</v>
      </c>
      <c r="D1076" s="18">
        <v>16</v>
      </c>
      <c r="E1076" s="131" t="s">
        <v>1309</v>
      </c>
      <c r="F1076" s="22" t="s">
        <v>1309</v>
      </c>
      <c r="G1076" s="132" t="s">
        <v>1309</v>
      </c>
      <c r="H1076" s="22" t="s">
        <v>1311</v>
      </c>
      <c r="I1076" s="22" t="s">
        <v>1327</v>
      </c>
      <c r="J1076" s="22" t="s">
        <v>1327</v>
      </c>
      <c r="K1076" s="22" t="s">
        <v>1314</v>
      </c>
      <c r="L1076" s="22" t="s">
        <v>1311</v>
      </c>
      <c r="M1076" s="133" t="s">
        <v>1311</v>
      </c>
      <c r="N1076" s="22" t="s">
        <v>1311</v>
      </c>
      <c r="O1076" s="22" t="s">
        <v>1314</v>
      </c>
      <c r="P1076" s="22" t="s">
        <v>1318</v>
      </c>
      <c r="Q1076" s="20">
        <v>0</v>
      </c>
      <c r="R1076" s="20">
        <v>0</v>
      </c>
      <c r="S1076" s="20">
        <v>0</v>
      </c>
      <c r="T1076" s="20">
        <v>0</v>
      </c>
      <c r="U1076" s="20">
        <v>13.083</v>
      </c>
      <c r="V1076" s="20">
        <v>13.083</v>
      </c>
      <c r="W1076" s="20">
        <v>0</v>
      </c>
      <c r="X1076" s="20">
        <v>0</v>
      </c>
      <c r="Y1076" s="20">
        <v>0</v>
      </c>
      <c r="Z1076" s="20">
        <v>0</v>
      </c>
      <c r="AA1076" s="20" t="s">
        <v>1317</v>
      </c>
      <c r="AB1076" s="22" t="s">
        <v>1318</v>
      </c>
      <c r="AC1076" s="20">
        <v>0</v>
      </c>
      <c r="AD1076" s="20">
        <v>1</v>
      </c>
      <c r="AE1076" s="20">
        <v>0</v>
      </c>
      <c r="AF1076" s="20">
        <v>0</v>
      </c>
      <c r="AG1076" s="20">
        <v>1</v>
      </c>
      <c r="AH1076" s="20">
        <v>0</v>
      </c>
      <c r="AI1076" s="328" t="s">
        <v>1328</v>
      </c>
      <c r="AJ1076" s="328">
        <v>1.9379844961240309</v>
      </c>
      <c r="AK1076" s="328" t="s">
        <v>1328</v>
      </c>
      <c r="AL1076" s="22" t="s">
        <v>1329</v>
      </c>
      <c r="AM1076" s="22" t="s">
        <v>1330</v>
      </c>
      <c r="AN1076" s="22" t="s">
        <v>1317</v>
      </c>
      <c r="AO1076" s="22" t="s">
        <v>1318</v>
      </c>
      <c r="AP1076" s="22" t="s">
        <v>1318</v>
      </c>
      <c r="AQ1076" s="22" t="s">
        <v>1318</v>
      </c>
      <c r="AR1076" s="22" t="s">
        <v>1317</v>
      </c>
      <c r="AS1076" s="22" t="s">
        <v>1318</v>
      </c>
      <c r="AT1076" s="22" t="s">
        <v>1317</v>
      </c>
      <c r="AU1076" s="22" t="s">
        <v>1318</v>
      </c>
      <c r="AV1076" s="22" t="s">
        <v>1309</v>
      </c>
      <c r="AW1076" s="22" t="s">
        <v>1309</v>
      </c>
      <c r="AX1076" s="22" t="s">
        <v>1317</v>
      </c>
      <c r="AY1076" s="22" t="s">
        <v>1318</v>
      </c>
      <c r="AZ1076" s="22" t="s">
        <v>1309</v>
      </c>
      <c r="BA1076" s="22" t="s">
        <v>1309</v>
      </c>
      <c r="BB1076" s="22" t="s">
        <v>1309</v>
      </c>
      <c r="BC1076" s="22" t="s">
        <v>1309</v>
      </c>
      <c r="BD1076" s="22" t="s">
        <v>1317</v>
      </c>
      <c r="BE1076" s="22" t="s">
        <v>1318</v>
      </c>
      <c r="BF1076" s="22" t="s">
        <v>1317</v>
      </c>
      <c r="BG1076" s="22" t="s">
        <v>1318</v>
      </c>
      <c r="BH1076" s="22" t="s">
        <v>1317</v>
      </c>
      <c r="BI1076" s="22" t="s">
        <v>1311</v>
      </c>
      <c r="BJ1076" s="22" t="s">
        <v>1317</v>
      </c>
      <c r="BK1076" s="22" t="s">
        <v>1318</v>
      </c>
      <c r="BL1076" s="22" t="s">
        <v>1317</v>
      </c>
      <c r="BM1076" s="22" t="s">
        <v>1318</v>
      </c>
      <c r="BN1076" s="22" t="s">
        <v>1309</v>
      </c>
      <c r="BO1076" s="22" t="s">
        <v>1309</v>
      </c>
      <c r="BP1076" s="22" t="s">
        <v>1317</v>
      </c>
      <c r="BQ1076" s="22" t="s">
        <v>1318</v>
      </c>
      <c r="BR1076" s="22" t="s">
        <v>1309</v>
      </c>
      <c r="BS1076" s="22" t="s">
        <v>1318</v>
      </c>
      <c r="BT1076" s="22" t="s">
        <v>1317</v>
      </c>
      <c r="BU1076" s="22" t="s">
        <v>1318</v>
      </c>
      <c r="BV1076" s="22" t="s">
        <v>1309</v>
      </c>
      <c r="BW1076" s="22" t="s">
        <v>1309</v>
      </c>
      <c r="BX1076" s="20">
        <v>6</v>
      </c>
      <c r="BY1076" s="20">
        <v>31</v>
      </c>
      <c r="BZ1076" s="20">
        <v>9</v>
      </c>
      <c r="CA1076" s="20">
        <v>0</v>
      </c>
      <c r="CB1076" s="20">
        <v>19</v>
      </c>
      <c r="CC1076" s="20">
        <v>507</v>
      </c>
      <c r="CD1076" s="22" t="s">
        <v>1331</v>
      </c>
      <c r="CE1076" s="22" t="s">
        <v>1331</v>
      </c>
      <c r="CF1076" s="22" t="s">
        <v>1331</v>
      </c>
      <c r="CG1076" s="22" t="s">
        <v>1331</v>
      </c>
      <c r="CH1076" s="22" t="s">
        <v>1317</v>
      </c>
      <c r="CI1076" s="22" t="s">
        <v>1318</v>
      </c>
      <c r="CJ1076" s="149" t="s">
        <v>1124</v>
      </c>
      <c r="CK1076" s="241" t="s">
        <v>3594</v>
      </c>
    </row>
    <row r="1077" spans="1:89" ht="15" customHeight="1" x14ac:dyDescent="0.35">
      <c r="A1077" s="17"/>
      <c r="B1077" s="313">
        <v>33070</v>
      </c>
      <c r="C1077" s="8" t="s">
        <v>277</v>
      </c>
      <c r="D1077" s="18">
        <v>12</v>
      </c>
      <c r="E1077" s="131"/>
      <c r="F1077" s="22"/>
      <c r="G1077" s="132"/>
      <c r="H1077" s="22"/>
      <c r="I1077" s="22"/>
      <c r="J1077" s="22"/>
      <c r="K1077" s="22"/>
      <c r="L1077" s="22"/>
      <c r="M1077" s="133"/>
      <c r="N1077" s="22"/>
      <c r="O1077" s="22"/>
      <c r="P1077" s="22"/>
      <c r="Q1077" s="20"/>
      <c r="R1077" s="20"/>
      <c r="S1077" s="20"/>
      <c r="T1077" s="20"/>
      <c r="U1077" s="20"/>
      <c r="V1077" s="20"/>
      <c r="W1077" s="20"/>
      <c r="X1077" s="20"/>
      <c r="Y1077" s="20"/>
      <c r="Z1077" s="20"/>
      <c r="AA1077" s="20"/>
      <c r="AB1077" s="22"/>
      <c r="AC1077" s="20"/>
      <c r="AD1077" s="20"/>
      <c r="AE1077" s="20"/>
      <c r="AF1077" s="20" t="s">
        <v>1124</v>
      </c>
      <c r="AG1077" s="20" t="s">
        <v>1124</v>
      </c>
      <c r="AH1077" s="20" t="s">
        <v>1124</v>
      </c>
      <c r="AI1077" s="328"/>
      <c r="AJ1077" s="328"/>
      <c r="AK1077" s="328"/>
      <c r="AL1077" s="22"/>
      <c r="AM1077" s="22"/>
      <c r="AN1077" s="22"/>
      <c r="AO1077" s="22"/>
      <c r="AP1077" s="22"/>
      <c r="AQ1077" s="22"/>
      <c r="AR1077" s="22"/>
      <c r="AS1077" s="22"/>
      <c r="AT1077" s="22"/>
      <c r="AU1077" s="22"/>
      <c r="AV1077" s="22"/>
      <c r="AW1077" s="22"/>
      <c r="AX1077" s="22"/>
      <c r="AY1077" s="22"/>
      <c r="AZ1077" s="22"/>
      <c r="BA1077" s="22"/>
      <c r="BB1077" s="22"/>
      <c r="BC1077" s="22"/>
      <c r="BD1077" s="22"/>
      <c r="BE1077" s="22"/>
      <c r="BF1077" s="22"/>
      <c r="BG1077" s="22"/>
      <c r="BH1077" s="22"/>
      <c r="BI1077" s="22"/>
      <c r="BJ1077" s="22"/>
      <c r="BK1077" s="22"/>
      <c r="BL1077" s="22"/>
      <c r="BM1077" s="22"/>
      <c r="BN1077" s="22"/>
      <c r="BO1077" s="22"/>
      <c r="BP1077" s="22"/>
      <c r="BQ1077" s="22"/>
      <c r="BR1077" s="22"/>
      <c r="BS1077" s="22"/>
      <c r="BT1077" s="22"/>
      <c r="BU1077" s="22"/>
      <c r="BV1077" s="22"/>
      <c r="BW1077" s="22"/>
      <c r="BX1077" s="20"/>
      <c r="BY1077" s="20"/>
      <c r="BZ1077" s="20"/>
      <c r="CA1077" s="20"/>
      <c r="CB1077" s="20"/>
      <c r="CC1077" s="20"/>
      <c r="CD1077" s="22"/>
      <c r="CE1077" s="22"/>
      <c r="CF1077" s="22"/>
      <c r="CG1077" s="22"/>
      <c r="CH1077" s="22"/>
      <c r="CI1077" s="22"/>
      <c r="CJ1077" s="149"/>
      <c r="CK1077" s="241"/>
    </row>
    <row r="1078" spans="1:89" ht="15" customHeight="1" x14ac:dyDescent="0.35">
      <c r="A1078" s="17"/>
      <c r="B1078" s="313">
        <v>7080</v>
      </c>
      <c r="C1078" s="8" t="s">
        <v>1080</v>
      </c>
      <c r="D1078" s="18">
        <v>1</v>
      </c>
      <c r="E1078" s="131" t="s">
        <v>1319</v>
      </c>
      <c r="F1078" s="22" t="s">
        <v>1310</v>
      </c>
      <c r="G1078" s="132" t="s">
        <v>1309</v>
      </c>
      <c r="H1078" s="22" t="s">
        <v>1311</v>
      </c>
      <c r="I1078" s="22" t="s">
        <v>1327</v>
      </c>
      <c r="J1078" s="22" t="s">
        <v>1327</v>
      </c>
      <c r="K1078" s="22" t="s">
        <v>1309</v>
      </c>
      <c r="L1078" s="22" t="s">
        <v>1309</v>
      </c>
      <c r="M1078" s="133" t="s">
        <v>1311</v>
      </c>
      <c r="N1078" s="22" t="s">
        <v>1311</v>
      </c>
      <c r="O1078" s="22" t="s">
        <v>1314</v>
      </c>
      <c r="P1078" s="22" t="s">
        <v>1318</v>
      </c>
      <c r="Q1078" s="20">
        <v>0</v>
      </c>
      <c r="R1078" s="20">
        <v>0</v>
      </c>
      <c r="S1078" s="20">
        <v>0</v>
      </c>
      <c r="T1078" s="20">
        <v>0</v>
      </c>
      <c r="U1078" s="20">
        <v>8.32</v>
      </c>
      <c r="V1078" s="20">
        <v>8.32</v>
      </c>
      <c r="W1078" s="20">
        <v>0</v>
      </c>
      <c r="X1078" s="20">
        <v>0</v>
      </c>
      <c r="Y1078" s="20">
        <v>0</v>
      </c>
      <c r="Z1078" s="20">
        <v>0</v>
      </c>
      <c r="AA1078" s="20" t="s">
        <v>1309</v>
      </c>
      <c r="AB1078" s="22" t="s">
        <v>1311</v>
      </c>
      <c r="AC1078" s="20">
        <v>2</v>
      </c>
      <c r="AD1078" s="20">
        <v>0</v>
      </c>
      <c r="AE1078" s="20">
        <v>2</v>
      </c>
      <c r="AF1078" s="20">
        <v>4</v>
      </c>
      <c r="AG1078" s="20">
        <v>0</v>
      </c>
      <c r="AH1078" s="20">
        <v>2</v>
      </c>
      <c r="AI1078" s="328">
        <v>24.038461538461537</v>
      </c>
      <c r="AJ1078" s="328" t="s">
        <v>1328</v>
      </c>
      <c r="AK1078" s="328">
        <v>7.1942446043165464</v>
      </c>
      <c r="AL1078" s="22" t="s">
        <v>1329</v>
      </c>
      <c r="AM1078" s="22" t="s">
        <v>1330</v>
      </c>
      <c r="AN1078" s="22" t="s">
        <v>1317</v>
      </c>
      <c r="AO1078" s="22" t="s">
        <v>1318</v>
      </c>
      <c r="AP1078" s="22" t="s">
        <v>1318</v>
      </c>
      <c r="AQ1078" s="22" t="s">
        <v>1318</v>
      </c>
      <c r="AR1078" s="22" t="s">
        <v>1317</v>
      </c>
      <c r="AS1078" s="22" t="s">
        <v>1311</v>
      </c>
      <c r="AT1078" s="22" t="s">
        <v>1317</v>
      </c>
      <c r="AU1078" s="22" t="s">
        <v>1318</v>
      </c>
      <c r="AV1078" s="22" t="s">
        <v>1317</v>
      </c>
      <c r="AW1078" s="22" t="s">
        <v>1318</v>
      </c>
      <c r="AX1078" s="22" t="s">
        <v>1317</v>
      </c>
      <c r="AY1078" s="22" t="s">
        <v>1318</v>
      </c>
      <c r="AZ1078" s="22" t="s">
        <v>1309</v>
      </c>
      <c r="BA1078" s="22" t="s">
        <v>1309</v>
      </c>
      <c r="BB1078" s="22" t="s">
        <v>1309</v>
      </c>
      <c r="BC1078" s="22" t="s">
        <v>1309</v>
      </c>
      <c r="BD1078" s="22" t="s">
        <v>1317</v>
      </c>
      <c r="BE1078" s="22" t="s">
        <v>1318</v>
      </c>
      <c r="BF1078" s="22" t="s">
        <v>1319</v>
      </c>
      <c r="BG1078" s="22" t="s">
        <v>1309</v>
      </c>
      <c r="BH1078" s="22" t="s">
        <v>1309</v>
      </c>
      <c r="BI1078" s="22" t="s">
        <v>1309</v>
      </c>
      <c r="BJ1078" s="22" t="s">
        <v>1317</v>
      </c>
      <c r="BK1078" s="22" t="s">
        <v>1318</v>
      </c>
      <c r="BL1078" s="22" t="s">
        <v>1309</v>
      </c>
      <c r="BM1078" s="22" t="s">
        <v>1309</v>
      </c>
      <c r="BN1078" s="22" t="s">
        <v>1309</v>
      </c>
      <c r="BO1078" s="22" t="s">
        <v>1309</v>
      </c>
      <c r="BP1078" s="22" t="s">
        <v>1315</v>
      </c>
      <c r="BQ1078" s="22" t="s">
        <v>1315</v>
      </c>
      <c r="BR1078" s="22" t="s">
        <v>1317</v>
      </c>
      <c r="BS1078" s="22" t="s">
        <v>1318</v>
      </c>
      <c r="BT1078" s="22" t="s">
        <v>1315</v>
      </c>
      <c r="BU1078" s="22" t="s">
        <v>1315</v>
      </c>
      <c r="BV1078" s="22" t="s">
        <v>1317</v>
      </c>
      <c r="BW1078" s="22" t="s">
        <v>1309</v>
      </c>
      <c r="BX1078" s="20">
        <v>0</v>
      </c>
      <c r="BY1078" s="20">
        <v>11</v>
      </c>
      <c r="BZ1078" s="20">
        <v>0</v>
      </c>
      <c r="CA1078" s="20">
        <v>0</v>
      </c>
      <c r="CB1078" s="20">
        <v>20</v>
      </c>
      <c r="CC1078" s="20">
        <v>247</v>
      </c>
      <c r="CD1078" s="22" t="s">
        <v>1331</v>
      </c>
      <c r="CE1078" s="22" t="s">
        <v>1331</v>
      </c>
      <c r="CF1078" s="22" t="s">
        <v>1331</v>
      </c>
      <c r="CG1078" s="22" t="s">
        <v>1331</v>
      </c>
      <c r="CH1078" s="22" t="s">
        <v>1317</v>
      </c>
      <c r="CI1078" s="22" t="s">
        <v>1318</v>
      </c>
      <c r="CJ1078" s="149" t="s">
        <v>3597</v>
      </c>
      <c r="CK1078" s="241" t="s">
        <v>3598</v>
      </c>
    </row>
    <row r="1079" spans="1:89" ht="15" customHeight="1" x14ac:dyDescent="0.35">
      <c r="A1079" s="17"/>
      <c r="B1079" s="313">
        <v>42060</v>
      </c>
      <c r="C1079" s="8" t="s">
        <v>387</v>
      </c>
      <c r="D1079" s="18">
        <v>5</v>
      </c>
      <c r="E1079" s="131" t="s">
        <v>1309</v>
      </c>
      <c r="F1079" s="22" t="s">
        <v>1309</v>
      </c>
      <c r="G1079" s="132" t="s">
        <v>1309</v>
      </c>
      <c r="H1079" s="22" t="s">
        <v>1311</v>
      </c>
      <c r="I1079" s="22" t="s">
        <v>1315</v>
      </c>
      <c r="J1079" s="22" t="s">
        <v>1315</v>
      </c>
      <c r="K1079" s="22" t="s">
        <v>1314</v>
      </c>
      <c r="L1079" s="22" t="s">
        <v>1311</v>
      </c>
      <c r="M1079" s="133" t="s">
        <v>1311</v>
      </c>
      <c r="N1079" s="22" t="s">
        <v>1311</v>
      </c>
      <c r="O1079" s="22" t="s">
        <v>1314</v>
      </c>
      <c r="P1079" s="22" t="s">
        <v>1318</v>
      </c>
      <c r="Q1079" s="20">
        <v>0</v>
      </c>
      <c r="R1079" s="20">
        <v>0</v>
      </c>
      <c r="S1079" s="20">
        <v>0</v>
      </c>
      <c r="T1079" s="20">
        <v>0</v>
      </c>
      <c r="U1079" s="20">
        <v>3.9889999999999999</v>
      </c>
      <c r="V1079" s="20">
        <v>3.9889999999999999</v>
      </c>
      <c r="W1079" s="20">
        <v>0</v>
      </c>
      <c r="X1079" s="20">
        <v>0</v>
      </c>
      <c r="Y1079" s="20">
        <v>0</v>
      </c>
      <c r="Z1079" s="20">
        <v>0</v>
      </c>
      <c r="AA1079" s="20" t="s">
        <v>1309</v>
      </c>
      <c r="AB1079" s="22" t="s">
        <v>1309</v>
      </c>
      <c r="AC1079" s="20">
        <v>0</v>
      </c>
      <c r="AD1079" s="20">
        <v>0</v>
      </c>
      <c r="AE1079" s="20">
        <v>0</v>
      </c>
      <c r="AF1079" s="20">
        <v>0</v>
      </c>
      <c r="AG1079" s="20">
        <v>0</v>
      </c>
      <c r="AH1079" s="20">
        <v>0</v>
      </c>
      <c r="AI1079" s="328" t="s">
        <v>1328</v>
      </c>
      <c r="AJ1079" s="328" t="s">
        <v>1328</v>
      </c>
      <c r="AK1079" s="328" t="s">
        <v>1328</v>
      </c>
      <c r="AL1079" s="22" t="s">
        <v>1329</v>
      </c>
      <c r="AM1079" s="22" t="s">
        <v>1330</v>
      </c>
      <c r="AN1079" s="22" t="s">
        <v>1315</v>
      </c>
      <c r="AO1079" s="22" t="s">
        <v>1315</v>
      </c>
      <c r="AP1079" s="22" t="s">
        <v>1315</v>
      </c>
      <c r="AQ1079" s="22" t="s">
        <v>1315</v>
      </c>
      <c r="AR1079" s="22" t="s">
        <v>1317</v>
      </c>
      <c r="AS1079" s="22" t="s">
        <v>1318</v>
      </c>
      <c r="AT1079" s="22" t="s">
        <v>1317</v>
      </c>
      <c r="AU1079" s="22" t="s">
        <v>1318</v>
      </c>
      <c r="AV1079" s="22" t="s">
        <v>1317</v>
      </c>
      <c r="AW1079" s="22" t="s">
        <v>1317</v>
      </c>
      <c r="AX1079" s="22" t="s">
        <v>1317</v>
      </c>
      <c r="AY1079" s="22" t="s">
        <v>1317</v>
      </c>
      <c r="AZ1079" s="22" t="s">
        <v>1319</v>
      </c>
      <c r="BA1079" s="22" t="s">
        <v>1311</v>
      </c>
      <c r="BB1079" s="22" t="s">
        <v>1309</v>
      </c>
      <c r="BC1079" s="22" t="s">
        <v>1309</v>
      </c>
      <c r="BD1079" s="22" t="s">
        <v>1317</v>
      </c>
      <c r="BE1079" s="22" t="s">
        <v>1317</v>
      </c>
      <c r="BF1079" s="22" t="s">
        <v>1319</v>
      </c>
      <c r="BG1079" s="22" t="s">
        <v>1311</v>
      </c>
      <c r="BH1079" s="22" t="s">
        <v>1317</v>
      </c>
      <c r="BI1079" s="22" t="s">
        <v>1318</v>
      </c>
      <c r="BJ1079" s="22" t="s">
        <v>1317</v>
      </c>
      <c r="BK1079" s="22" t="s">
        <v>1318</v>
      </c>
      <c r="BL1079" s="22" t="s">
        <v>1309</v>
      </c>
      <c r="BM1079" s="22" t="s">
        <v>1309</v>
      </c>
      <c r="BN1079" s="22" t="s">
        <v>1319</v>
      </c>
      <c r="BO1079" s="22" t="s">
        <v>1311</v>
      </c>
      <c r="BP1079" s="22" t="s">
        <v>1315</v>
      </c>
      <c r="BQ1079" s="22" t="s">
        <v>1315</v>
      </c>
      <c r="BR1079" s="22" t="s">
        <v>1309</v>
      </c>
      <c r="BS1079" s="22" t="s">
        <v>1309</v>
      </c>
      <c r="BT1079" s="22" t="s">
        <v>1315</v>
      </c>
      <c r="BU1079" s="22" t="s">
        <v>1315</v>
      </c>
      <c r="BV1079" s="22" t="s">
        <v>1309</v>
      </c>
      <c r="BW1079" s="22" t="s">
        <v>1309</v>
      </c>
      <c r="BX1079" s="20">
        <v>0</v>
      </c>
      <c r="BY1079" s="20">
        <v>0</v>
      </c>
      <c r="BZ1079" s="20">
        <v>22</v>
      </c>
      <c r="CA1079" s="20">
        <v>0</v>
      </c>
      <c r="CB1079" s="20">
        <v>0</v>
      </c>
      <c r="CC1079" s="20">
        <v>110</v>
      </c>
      <c r="CD1079" s="22" t="s">
        <v>1317</v>
      </c>
      <c r="CE1079" s="22" t="s">
        <v>1318</v>
      </c>
      <c r="CF1079" s="22" t="s">
        <v>1317</v>
      </c>
      <c r="CG1079" s="22" t="s">
        <v>1318</v>
      </c>
      <c r="CH1079" s="22" t="s">
        <v>1317</v>
      </c>
      <c r="CI1079" s="22" t="s">
        <v>1318</v>
      </c>
      <c r="CJ1079" s="149" t="s">
        <v>1414</v>
      </c>
      <c r="CK1079" s="241" t="s">
        <v>3604</v>
      </c>
    </row>
    <row r="1080" spans="1:89" ht="15" customHeight="1" x14ac:dyDescent="0.35">
      <c r="A1080" s="17"/>
      <c r="B1080" s="313">
        <v>42055</v>
      </c>
      <c r="C1080" s="8" t="s">
        <v>386</v>
      </c>
      <c r="D1080" s="18">
        <v>5</v>
      </c>
      <c r="E1080" s="131" t="s">
        <v>1309</v>
      </c>
      <c r="F1080" s="22" t="s">
        <v>1309</v>
      </c>
      <c r="G1080" s="132" t="s">
        <v>1309</v>
      </c>
      <c r="H1080" s="22" t="s">
        <v>1311</v>
      </c>
      <c r="I1080" s="22" t="s">
        <v>1312</v>
      </c>
      <c r="J1080" s="22" t="s">
        <v>1327</v>
      </c>
      <c r="K1080" s="22" t="s">
        <v>1309</v>
      </c>
      <c r="L1080" s="22" t="s">
        <v>1309</v>
      </c>
      <c r="M1080" s="133" t="s">
        <v>1311</v>
      </c>
      <c r="N1080" s="22" t="s">
        <v>1311</v>
      </c>
      <c r="O1080" s="22" t="s">
        <v>1314</v>
      </c>
      <c r="P1080" s="22" t="s">
        <v>1318</v>
      </c>
      <c r="Q1080" s="20">
        <v>19.629000000000001</v>
      </c>
      <c r="R1080" s="20">
        <v>19.629000000000001</v>
      </c>
      <c r="S1080" s="20">
        <v>19.629000000000001</v>
      </c>
      <c r="T1080" s="20">
        <v>19.629000000000001</v>
      </c>
      <c r="U1080" s="20">
        <v>0</v>
      </c>
      <c r="V1080" s="20">
        <v>0</v>
      </c>
      <c r="W1080" s="20">
        <v>20.629000000000001</v>
      </c>
      <c r="X1080" s="20">
        <v>20.629000000000001</v>
      </c>
      <c r="Y1080" s="20">
        <v>0</v>
      </c>
      <c r="Z1080" s="20">
        <v>0</v>
      </c>
      <c r="AA1080" s="20" t="s">
        <v>1309</v>
      </c>
      <c r="AB1080" s="22" t="s">
        <v>1309</v>
      </c>
      <c r="AC1080" s="20">
        <v>1</v>
      </c>
      <c r="AD1080" s="20">
        <v>1</v>
      </c>
      <c r="AE1080" s="20">
        <v>1</v>
      </c>
      <c r="AF1080" s="20">
        <v>5</v>
      </c>
      <c r="AG1080" s="20">
        <v>5</v>
      </c>
      <c r="AH1080" s="20">
        <v>10</v>
      </c>
      <c r="AI1080" s="328">
        <v>3.7788610512791445</v>
      </c>
      <c r="AJ1080" s="328">
        <v>1.0893246187363834</v>
      </c>
      <c r="AK1080" s="328">
        <v>1.0893246187363834</v>
      </c>
      <c r="AL1080" s="22" t="s">
        <v>1329</v>
      </c>
      <c r="AM1080" s="22" t="s">
        <v>1330</v>
      </c>
      <c r="AN1080" s="22" t="s">
        <v>1315</v>
      </c>
      <c r="AO1080" s="22" t="s">
        <v>1315</v>
      </c>
      <c r="AP1080" s="22" t="s">
        <v>1315</v>
      </c>
      <c r="AQ1080" s="22" t="s">
        <v>1315</v>
      </c>
      <c r="AR1080" s="22" t="s">
        <v>1317</v>
      </c>
      <c r="AS1080" s="22" t="s">
        <v>1318</v>
      </c>
      <c r="AT1080" s="22" t="s">
        <v>1309</v>
      </c>
      <c r="AU1080" s="22" t="s">
        <v>1309</v>
      </c>
      <c r="AV1080" s="22" t="s">
        <v>1317</v>
      </c>
      <c r="AW1080" s="22" t="s">
        <v>1311</v>
      </c>
      <c r="AX1080" s="22" t="s">
        <v>1317</v>
      </c>
      <c r="AY1080" s="22" t="s">
        <v>1318</v>
      </c>
      <c r="AZ1080" s="22" t="s">
        <v>1309</v>
      </c>
      <c r="BA1080" s="22" t="s">
        <v>1309</v>
      </c>
      <c r="BB1080" s="22" t="s">
        <v>1309</v>
      </c>
      <c r="BC1080" s="22" t="s">
        <v>1309</v>
      </c>
      <c r="BD1080" s="22" t="s">
        <v>1317</v>
      </c>
      <c r="BE1080" s="22" t="s">
        <v>1318</v>
      </c>
      <c r="BF1080" s="22" t="s">
        <v>1317</v>
      </c>
      <c r="BG1080" s="22" t="s">
        <v>1311</v>
      </c>
      <c r="BH1080" s="22" t="s">
        <v>1317</v>
      </c>
      <c r="BI1080" s="22" t="s">
        <v>1318</v>
      </c>
      <c r="BJ1080" s="22" t="s">
        <v>1309</v>
      </c>
      <c r="BK1080" s="22" t="s">
        <v>1309</v>
      </c>
      <c r="BL1080" s="22" t="s">
        <v>1319</v>
      </c>
      <c r="BM1080" s="22" t="s">
        <v>1311</v>
      </c>
      <c r="BN1080" s="22" t="s">
        <v>1317</v>
      </c>
      <c r="BO1080" s="22" t="s">
        <v>1311</v>
      </c>
      <c r="BP1080" s="22" t="s">
        <v>1309</v>
      </c>
      <c r="BQ1080" s="22" t="s">
        <v>1309</v>
      </c>
      <c r="BR1080" s="22" t="s">
        <v>1309</v>
      </c>
      <c r="BS1080" s="22" t="s">
        <v>1309</v>
      </c>
      <c r="BT1080" s="22" t="s">
        <v>1315</v>
      </c>
      <c r="BU1080" s="22" t="s">
        <v>1315</v>
      </c>
      <c r="BV1080" s="22" t="s">
        <v>1309</v>
      </c>
      <c r="BW1080" s="22" t="s">
        <v>1309</v>
      </c>
      <c r="BX1080" s="20">
        <v>14</v>
      </c>
      <c r="BY1080" s="20">
        <v>60</v>
      </c>
      <c r="BZ1080" s="20">
        <v>19</v>
      </c>
      <c r="CA1080" s="20">
        <v>0</v>
      </c>
      <c r="CB1080" s="20">
        <v>60</v>
      </c>
      <c r="CC1080" s="20">
        <v>765</v>
      </c>
      <c r="CD1080" s="22" t="s">
        <v>1345</v>
      </c>
      <c r="CE1080" s="22" t="s">
        <v>1321</v>
      </c>
      <c r="CF1080" s="22" t="s">
        <v>1331</v>
      </c>
      <c r="CG1080" s="22" t="s">
        <v>1331</v>
      </c>
      <c r="CH1080" s="22" t="s">
        <v>1317</v>
      </c>
      <c r="CI1080" s="22" t="s">
        <v>1318</v>
      </c>
      <c r="CJ1080" s="149" t="s">
        <v>3605</v>
      </c>
      <c r="CK1080" s="241" t="s">
        <v>3606</v>
      </c>
    </row>
    <row r="1081" spans="1:89" ht="15" customHeight="1" x14ac:dyDescent="0.35">
      <c r="A1081" s="17"/>
      <c r="B1081" s="313">
        <v>78010</v>
      </c>
      <c r="C1081" s="8" t="s">
        <v>767</v>
      </c>
      <c r="D1081" s="18">
        <v>15</v>
      </c>
      <c r="E1081" s="131" t="s">
        <v>1309</v>
      </c>
      <c r="F1081" s="22" t="s">
        <v>1309</v>
      </c>
      <c r="G1081" s="132" t="s">
        <v>1309</v>
      </c>
      <c r="H1081" s="22" t="s">
        <v>1311</v>
      </c>
      <c r="I1081" s="22" t="s">
        <v>1327</v>
      </c>
      <c r="J1081" s="22" t="s">
        <v>1342</v>
      </c>
      <c r="K1081" s="22" t="s">
        <v>1314</v>
      </c>
      <c r="L1081" s="22" t="s">
        <v>1311</v>
      </c>
      <c r="M1081" s="133" t="s">
        <v>1311</v>
      </c>
      <c r="N1081" s="22" t="s">
        <v>1311</v>
      </c>
      <c r="O1081" s="22" t="s">
        <v>1314</v>
      </c>
      <c r="P1081" s="22" t="s">
        <v>1318</v>
      </c>
      <c r="Q1081" s="20">
        <v>0</v>
      </c>
      <c r="R1081" s="20">
        <v>0</v>
      </c>
      <c r="S1081" s="20">
        <v>0</v>
      </c>
      <c r="T1081" s="20">
        <v>0</v>
      </c>
      <c r="U1081" s="20">
        <v>0</v>
      </c>
      <c r="V1081" s="20">
        <v>63.122</v>
      </c>
      <c r="W1081" s="20">
        <v>0</v>
      </c>
      <c r="X1081" s="20">
        <v>0</v>
      </c>
      <c r="Y1081" s="20">
        <v>0</v>
      </c>
      <c r="Z1081" s="20">
        <v>0</v>
      </c>
      <c r="AA1081" s="20" t="s">
        <v>1309</v>
      </c>
      <c r="AB1081" s="22" t="s">
        <v>1309</v>
      </c>
      <c r="AC1081" s="20">
        <v>3</v>
      </c>
      <c r="AD1081" s="20">
        <v>10</v>
      </c>
      <c r="AE1081" s="20">
        <v>10</v>
      </c>
      <c r="AF1081" s="20">
        <v>6</v>
      </c>
      <c r="AG1081" s="20">
        <v>6</v>
      </c>
      <c r="AH1081" s="20">
        <v>10</v>
      </c>
      <c r="AI1081" s="328">
        <v>4.7527011184689965</v>
      </c>
      <c r="AJ1081" s="328">
        <v>3.9401103230890464</v>
      </c>
      <c r="AK1081" s="328">
        <v>3.9401103230890464</v>
      </c>
      <c r="AL1081" s="22" t="s">
        <v>1316</v>
      </c>
      <c r="AM1081" s="22" t="s">
        <v>1343</v>
      </c>
      <c r="AN1081" s="22" t="s">
        <v>1317</v>
      </c>
      <c r="AO1081" s="22" t="s">
        <v>1318</v>
      </c>
      <c r="AP1081" s="22" t="s">
        <v>1350</v>
      </c>
      <c r="AQ1081" s="22" t="s">
        <v>1315</v>
      </c>
      <c r="AR1081" s="22" t="s">
        <v>1317</v>
      </c>
      <c r="AS1081" s="22" t="s">
        <v>1318</v>
      </c>
      <c r="AT1081" s="22" t="s">
        <v>1317</v>
      </c>
      <c r="AU1081" s="22" t="s">
        <v>1318</v>
      </c>
      <c r="AV1081" s="22" t="s">
        <v>1317</v>
      </c>
      <c r="AW1081" s="22" t="s">
        <v>1311</v>
      </c>
      <c r="AX1081" s="22" t="s">
        <v>1317</v>
      </c>
      <c r="AY1081" s="22" t="s">
        <v>1318</v>
      </c>
      <c r="AZ1081" s="22" t="s">
        <v>1309</v>
      </c>
      <c r="BA1081" s="22" t="s">
        <v>1309</v>
      </c>
      <c r="BB1081" s="22" t="s">
        <v>1309</v>
      </c>
      <c r="BC1081" s="22" t="s">
        <v>1309</v>
      </c>
      <c r="BD1081" s="22" t="s">
        <v>1317</v>
      </c>
      <c r="BE1081" s="22" t="s">
        <v>1318</v>
      </c>
      <c r="BF1081" s="22" t="s">
        <v>1317</v>
      </c>
      <c r="BG1081" s="22" t="s">
        <v>1318</v>
      </c>
      <c r="BH1081" s="22" t="s">
        <v>1317</v>
      </c>
      <c r="BI1081" s="22" t="s">
        <v>1318</v>
      </c>
      <c r="BJ1081" s="22" t="s">
        <v>1317</v>
      </c>
      <c r="BK1081" s="22" t="s">
        <v>1318</v>
      </c>
      <c r="BL1081" s="22" t="s">
        <v>1317</v>
      </c>
      <c r="BM1081" s="22" t="s">
        <v>1318</v>
      </c>
      <c r="BN1081" s="22" t="s">
        <v>1309</v>
      </c>
      <c r="BO1081" s="22" t="s">
        <v>1309</v>
      </c>
      <c r="BP1081" s="22" t="s">
        <v>1315</v>
      </c>
      <c r="BQ1081" s="22" t="s">
        <v>1315</v>
      </c>
      <c r="BR1081" s="22" t="s">
        <v>1309</v>
      </c>
      <c r="BS1081" s="22" t="s">
        <v>1309</v>
      </c>
      <c r="BT1081" s="22" t="s">
        <v>1317</v>
      </c>
      <c r="BU1081" s="22" t="s">
        <v>1311</v>
      </c>
      <c r="BV1081" s="22" t="s">
        <v>1317</v>
      </c>
      <c r="BW1081" s="22" t="s">
        <v>1318</v>
      </c>
      <c r="BX1081" s="20">
        <v>0</v>
      </c>
      <c r="BY1081" s="20">
        <v>34</v>
      </c>
      <c r="BZ1081" s="20">
        <v>147</v>
      </c>
      <c r="CA1081" s="20">
        <v>0</v>
      </c>
      <c r="CB1081" s="20">
        <v>0</v>
      </c>
      <c r="CC1081" s="20">
        <v>2337</v>
      </c>
      <c r="CD1081" s="22" t="s">
        <v>1317</v>
      </c>
      <c r="CE1081" s="22" t="s">
        <v>1321</v>
      </c>
      <c r="CF1081" s="22" t="s">
        <v>1317</v>
      </c>
      <c r="CG1081" s="22" t="s">
        <v>1321</v>
      </c>
      <c r="CH1081" s="22" t="s">
        <v>1317</v>
      </c>
      <c r="CI1081" s="22" t="s">
        <v>1318</v>
      </c>
      <c r="CJ1081" s="149" t="s">
        <v>3612</v>
      </c>
      <c r="CK1081" s="241" t="s">
        <v>3613</v>
      </c>
    </row>
    <row r="1082" spans="1:89" ht="15" customHeight="1" x14ac:dyDescent="0.35">
      <c r="A1082" s="17"/>
      <c r="B1082" s="313">
        <v>80140</v>
      </c>
      <c r="C1082" s="8" t="s">
        <v>825</v>
      </c>
      <c r="D1082" s="18">
        <v>7</v>
      </c>
      <c r="E1082" s="131"/>
      <c r="F1082" s="22"/>
      <c r="G1082" s="132"/>
      <c r="H1082" s="22"/>
      <c r="I1082" s="22"/>
      <c r="J1082" s="22"/>
      <c r="K1082" s="22"/>
      <c r="L1082" s="22"/>
      <c r="M1082" s="133"/>
      <c r="N1082" s="22"/>
      <c r="O1082" s="22"/>
      <c r="P1082" s="22"/>
      <c r="Q1082" s="20"/>
      <c r="R1082" s="20"/>
      <c r="S1082" s="20"/>
      <c r="T1082" s="20"/>
      <c r="U1082" s="20"/>
      <c r="V1082" s="20"/>
      <c r="W1082" s="20"/>
      <c r="X1082" s="20"/>
      <c r="Y1082" s="20"/>
      <c r="Z1082" s="20"/>
      <c r="AA1082" s="20"/>
      <c r="AB1082" s="22"/>
      <c r="AC1082" s="20"/>
      <c r="AD1082" s="20"/>
      <c r="AE1082" s="20"/>
      <c r="AF1082" s="20" t="s">
        <v>1124</v>
      </c>
      <c r="AG1082" s="20" t="s">
        <v>1124</v>
      </c>
      <c r="AH1082" s="20" t="s">
        <v>1124</v>
      </c>
      <c r="AI1082" s="328"/>
      <c r="AJ1082" s="328"/>
      <c r="AK1082" s="328"/>
      <c r="AL1082" s="22"/>
      <c r="AM1082" s="22"/>
      <c r="AN1082" s="22"/>
      <c r="AO1082" s="22"/>
      <c r="AP1082" s="22"/>
      <c r="AQ1082" s="22"/>
      <c r="AR1082" s="22"/>
      <c r="AS1082" s="22"/>
      <c r="AT1082" s="22"/>
      <c r="AU1082" s="22"/>
      <c r="AV1082" s="22"/>
      <c r="AW1082" s="22"/>
      <c r="AX1082" s="22"/>
      <c r="AY1082" s="22"/>
      <c r="AZ1082" s="22"/>
      <c r="BA1082" s="22"/>
      <c r="BB1082" s="22"/>
      <c r="BC1082" s="22"/>
      <c r="BD1082" s="22"/>
      <c r="BE1082" s="22"/>
      <c r="BF1082" s="22"/>
      <c r="BG1082" s="22"/>
      <c r="BH1082" s="22"/>
      <c r="BI1082" s="22"/>
      <c r="BJ1082" s="22"/>
      <c r="BK1082" s="22"/>
      <c r="BL1082" s="22"/>
      <c r="BM1082" s="22"/>
      <c r="BN1082" s="22"/>
      <c r="BO1082" s="22"/>
      <c r="BP1082" s="22"/>
      <c r="BQ1082" s="22"/>
      <c r="BR1082" s="22"/>
      <c r="BS1082" s="22"/>
      <c r="BT1082" s="22"/>
      <c r="BU1082" s="22"/>
      <c r="BV1082" s="22"/>
      <c r="BW1082" s="22"/>
      <c r="BX1082" s="20"/>
      <c r="BY1082" s="20"/>
      <c r="BZ1082" s="20"/>
      <c r="CA1082" s="20"/>
      <c r="CB1082" s="20"/>
      <c r="CC1082" s="20"/>
      <c r="CD1082" s="22"/>
      <c r="CE1082" s="22"/>
      <c r="CF1082" s="22"/>
      <c r="CG1082" s="22"/>
      <c r="CH1082" s="22"/>
      <c r="CI1082" s="22"/>
      <c r="CJ1082" s="149"/>
      <c r="CK1082" s="241"/>
    </row>
    <row r="1083" spans="1:89" ht="15" customHeight="1" x14ac:dyDescent="0.35">
      <c r="A1083" s="17"/>
      <c r="B1083" s="313">
        <v>78100</v>
      </c>
      <c r="C1083" s="8" t="s">
        <v>780</v>
      </c>
      <c r="D1083" s="18">
        <v>15</v>
      </c>
      <c r="E1083" s="131"/>
      <c r="F1083" s="22"/>
      <c r="G1083" s="132"/>
      <c r="H1083" s="22"/>
      <c r="I1083" s="22"/>
      <c r="J1083" s="22"/>
      <c r="K1083" s="22"/>
      <c r="L1083" s="22"/>
      <c r="M1083" s="133"/>
      <c r="N1083" s="22"/>
      <c r="O1083" s="22"/>
      <c r="P1083" s="22"/>
      <c r="Q1083" s="20"/>
      <c r="R1083" s="20"/>
      <c r="S1083" s="20"/>
      <c r="T1083" s="20"/>
      <c r="U1083" s="20"/>
      <c r="V1083" s="20"/>
      <c r="W1083" s="20"/>
      <c r="X1083" s="20"/>
      <c r="Y1083" s="20"/>
      <c r="Z1083" s="20"/>
      <c r="AA1083" s="20"/>
      <c r="AB1083" s="22"/>
      <c r="AC1083" s="20"/>
      <c r="AD1083" s="20"/>
      <c r="AE1083" s="20"/>
      <c r="AF1083" s="20" t="s">
        <v>1124</v>
      </c>
      <c r="AG1083" s="20" t="s">
        <v>1124</v>
      </c>
      <c r="AH1083" s="20" t="s">
        <v>1124</v>
      </c>
      <c r="AI1083" s="328"/>
      <c r="AJ1083" s="328"/>
      <c r="AK1083" s="328"/>
      <c r="AL1083" s="22"/>
      <c r="AM1083" s="22"/>
      <c r="AN1083" s="22"/>
      <c r="AO1083" s="22"/>
      <c r="AP1083" s="22"/>
      <c r="AQ1083" s="22"/>
      <c r="AR1083" s="22"/>
      <c r="AS1083" s="22"/>
      <c r="AT1083" s="22"/>
      <c r="AU1083" s="22"/>
      <c r="AV1083" s="22"/>
      <c r="AW1083" s="22"/>
      <c r="AX1083" s="22"/>
      <c r="AY1083" s="22"/>
      <c r="AZ1083" s="22"/>
      <c r="BA1083" s="22"/>
      <c r="BB1083" s="22"/>
      <c r="BC1083" s="22"/>
      <c r="BD1083" s="22"/>
      <c r="BE1083" s="22"/>
      <c r="BF1083" s="22"/>
      <c r="BG1083" s="22"/>
      <c r="BH1083" s="22"/>
      <c r="BI1083" s="22"/>
      <c r="BJ1083" s="22"/>
      <c r="BK1083" s="22"/>
      <c r="BL1083" s="22"/>
      <c r="BM1083" s="22"/>
      <c r="BN1083" s="22"/>
      <c r="BO1083" s="22"/>
      <c r="BP1083" s="22"/>
      <c r="BQ1083" s="22"/>
      <c r="BR1083" s="22"/>
      <c r="BS1083" s="22"/>
      <c r="BT1083" s="22"/>
      <c r="BU1083" s="22"/>
      <c r="BV1083" s="22"/>
      <c r="BW1083" s="22"/>
      <c r="BX1083" s="20"/>
      <c r="BY1083" s="20"/>
      <c r="BZ1083" s="20"/>
      <c r="CA1083" s="20"/>
      <c r="CB1083" s="20"/>
      <c r="CC1083" s="20"/>
      <c r="CD1083" s="22"/>
      <c r="CE1083" s="22"/>
      <c r="CF1083" s="22"/>
      <c r="CG1083" s="22"/>
      <c r="CH1083" s="22"/>
      <c r="CI1083" s="22"/>
      <c r="CJ1083" s="149"/>
      <c r="CK1083" s="241"/>
    </row>
    <row r="1084" spans="1:89" ht="15" customHeight="1" x14ac:dyDescent="0.35">
      <c r="A1084" s="17"/>
      <c r="B1084" s="313">
        <v>82015</v>
      </c>
      <c r="C1084" s="8" t="s">
        <v>830</v>
      </c>
      <c r="D1084" s="18">
        <v>7</v>
      </c>
      <c r="E1084" s="131"/>
      <c r="F1084" s="22"/>
      <c r="G1084" s="132"/>
      <c r="H1084" s="22"/>
      <c r="I1084" s="22"/>
      <c r="J1084" s="22"/>
      <c r="K1084" s="22"/>
      <c r="L1084" s="22"/>
      <c r="M1084" s="133"/>
      <c r="N1084" s="22"/>
      <c r="O1084" s="22"/>
      <c r="P1084" s="22"/>
      <c r="Q1084" s="20"/>
      <c r="R1084" s="20"/>
      <c r="S1084" s="20"/>
      <c r="T1084" s="20"/>
      <c r="U1084" s="20"/>
      <c r="V1084" s="20"/>
      <c r="W1084" s="20"/>
      <c r="X1084" s="20"/>
      <c r="Y1084" s="20"/>
      <c r="Z1084" s="20"/>
      <c r="AA1084" s="20"/>
      <c r="AB1084" s="22"/>
      <c r="AC1084" s="20"/>
      <c r="AD1084" s="20"/>
      <c r="AE1084" s="20"/>
      <c r="AF1084" s="20" t="s">
        <v>1124</v>
      </c>
      <c r="AG1084" s="20" t="s">
        <v>1124</v>
      </c>
      <c r="AH1084" s="20" t="s">
        <v>1124</v>
      </c>
      <c r="AI1084" s="328"/>
      <c r="AJ1084" s="328"/>
      <c r="AK1084" s="328"/>
      <c r="AL1084" s="22"/>
      <c r="AM1084" s="22"/>
      <c r="AN1084" s="22"/>
      <c r="AO1084" s="22"/>
      <c r="AP1084" s="22"/>
      <c r="AQ1084" s="22"/>
      <c r="AR1084" s="22"/>
      <c r="AS1084" s="22"/>
      <c r="AT1084" s="22"/>
      <c r="AU1084" s="22"/>
      <c r="AV1084" s="22"/>
      <c r="AW1084" s="22"/>
      <c r="AX1084" s="22"/>
      <c r="AY1084" s="22"/>
      <c r="AZ1084" s="22"/>
      <c r="BA1084" s="22"/>
      <c r="BB1084" s="22"/>
      <c r="BC1084" s="22"/>
      <c r="BD1084" s="22"/>
      <c r="BE1084" s="22"/>
      <c r="BF1084" s="22"/>
      <c r="BG1084" s="22"/>
      <c r="BH1084" s="22"/>
      <c r="BI1084" s="22"/>
      <c r="BJ1084" s="22"/>
      <c r="BK1084" s="22"/>
      <c r="BL1084" s="22"/>
      <c r="BM1084" s="22"/>
      <c r="BN1084" s="22"/>
      <c r="BO1084" s="22"/>
      <c r="BP1084" s="22"/>
      <c r="BQ1084" s="22"/>
      <c r="BR1084" s="22"/>
      <c r="BS1084" s="22"/>
      <c r="BT1084" s="22"/>
      <c r="BU1084" s="22"/>
      <c r="BV1084" s="22"/>
      <c r="BW1084" s="22"/>
      <c r="BX1084" s="20"/>
      <c r="BY1084" s="20"/>
      <c r="BZ1084" s="20"/>
      <c r="CA1084" s="20"/>
      <c r="CB1084" s="20"/>
      <c r="CC1084" s="20"/>
      <c r="CD1084" s="22"/>
      <c r="CE1084" s="22"/>
      <c r="CF1084" s="22"/>
      <c r="CG1084" s="22"/>
      <c r="CH1084" s="22"/>
      <c r="CI1084" s="22"/>
      <c r="CJ1084" s="149"/>
      <c r="CK1084" s="241"/>
    </row>
    <row r="1085" spans="1:89" ht="15" customHeight="1" x14ac:dyDescent="0.35">
      <c r="A1085" s="17"/>
      <c r="B1085" s="313">
        <v>89008</v>
      </c>
      <c r="C1085" s="8" t="s">
        <v>928</v>
      </c>
      <c r="D1085" s="18">
        <v>8</v>
      </c>
      <c r="E1085" s="131" t="s">
        <v>1309</v>
      </c>
      <c r="F1085" s="22" t="s">
        <v>1309</v>
      </c>
      <c r="G1085" s="132" t="s">
        <v>1309</v>
      </c>
      <c r="H1085" s="22" t="s">
        <v>1311</v>
      </c>
      <c r="I1085" s="22" t="s">
        <v>1327</v>
      </c>
      <c r="J1085" s="22" t="s">
        <v>1327</v>
      </c>
      <c r="K1085" s="22" t="s">
        <v>1309</v>
      </c>
      <c r="L1085" s="22" t="s">
        <v>1309</v>
      </c>
      <c r="M1085" s="133" t="s">
        <v>1311</v>
      </c>
      <c r="N1085" s="22" t="s">
        <v>1311</v>
      </c>
      <c r="O1085" s="22" t="s">
        <v>1309</v>
      </c>
      <c r="P1085" s="22" t="s">
        <v>1309</v>
      </c>
      <c r="Q1085" s="20">
        <v>0</v>
      </c>
      <c r="R1085" s="20">
        <v>0</v>
      </c>
      <c r="S1085" s="20">
        <v>0</v>
      </c>
      <c r="T1085" s="20">
        <v>0</v>
      </c>
      <c r="U1085" s="20">
        <v>192</v>
      </c>
      <c r="V1085" s="20">
        <v>192</v>
      </c>
      <c r="W1085" s="20">
        <v>0</v>
      </c>
      <c r="X1085" s="20">
        <v>0</v>
      </c>
      <c r="Y1085" s="20">
        <v>0</v>
      </c>
      <c r="Z1085" s="20">
        <v>0</v>
      </c>
      <c r="AA1085" s="20" t="s">
        <v>1315</v>
      </c>
      <c r="AB1085" s="22" t="s">
        <v>1315</v>
      </c>
      <c r="AC1085" s="20">
        <v>13</v>
      </c>
      <c r="AD1085" s="20">
        <v>4</v>
      </c>
      <c r="AE1085" s="20">
        <v>5</v>
      </c>
      <c r="AF1085" s="20">
        <v>2</v>
      </c>
      <c r="AG1085" s="20">
        <v>2</v>
      </c>
      <c r="AH1085" s="20">
        <v>10</v>
      </c>
      <c r="AI1085" s="328">
        <v>6.4954531827720592</v>
      </c>
      <c r="AJ1085" s="328">
        <v>0.47225501770956319</v>
      </c>
      <c r="AK1085" s="328">
        <v>0.59031877213695394</v>
      </c>
      <c r="AL1085" s="22" t="s">
        <v>1329</v>
      </c>
      <c r="AM1085" s="22" t="s">
        <v>1330</v>
      </c>
      <c r="AN1085" s="22" t="s">
        <v>1315</v>
      </c>
      <c r="AO1085" s="22" t="s">
        <v>1315</v>
      </c>
      <c r="AP1085" s="22" t="s">
        <v>1315</v>
      </c>
      <c r="AQ1085" s="22" t="s">
        <v>1315</v>
      </c>
      <c r="AR1085" s="22" t="s">
        <v>1317</v>
      </c>
      <c r="AS1085" s="22" t="s">
        <v>1318</v>
      </c>
      <c r="AT1085" s="22" t="s">
        <v>1317</v>
      </c>
      <c r="AU1085" s="22" t="s">
        <v>1318</v>
      </c>
      <c r="AV1085" s="22" t="s">
        <v>1317</v>
      </c>
      <c r="AW1085" s="22" t="s">
        <v>1318</v>
      </c>
      <c r="AX1085" s="22" t="s">
        <v>1317</v>
      </c>
      <c r="AY1085" s="22" t="s">
        <v>1318</v>
      </c>
      <c r="AZ1085" s="22" t="s">
        <v>1309</v>
      </c>
      <c r="BA1085" s="22" t="s">
        <v>1311</v>
      </c>
      <c r="BB1085" s="22" t="s">
        <v>1309</v>
      </c>
      <c r="BC1085" s="22" t="s">
        <v>1311</v>
      </c>
      <c r="BD1085" s="22" t="s">
        <v>1309</v>
      </c>
      <c r="BE1085" s="22" t="s">
        <v>1309</v>
      </c>
      <c r="BF1085" s="22" t="s">
        <v>1319</v>
      </c>
      <c r="BG1085" s="22" t="s">
        <v>1311</v>
      </c>
      <c r="BH1085" s="22" t="s">
        <v>1309</v>
      </c>
      <c r="BI1085" s="22" t="s">
        <v>1309</v>
      </c>
      <c r="BJ1085" s="22" t="s">
        <v>1315</v>
      </c>
      <c r="BK1085" s="22" t="s">
        <v>1311</v>
      </c>
      <c r="BL1085" s="22" t="s">
        <v>1315</v>
      </c>
      <c r="BM1085" s="22" t="s">
        <v>1318</v>
      </c>
      <c r="BN1085" s="22" t="s">
        <v>1315</v>
      </c>
      <c r="BO1085" s="22" t="s">
        <v>1311</v>
      </c>
      <c r="BP1085" s="22" t="s">
        <v>1317</v>
      </c>
      <c r="BQ1085" s="22" t="s">
        <v>1318</v>
      </c>
      <c r="BR1085" s="22" t="s">
        <v>1315</v>
      </c>
      <c r="BS1085" s="22" t="s">
        <v>1318</v>
      </c>
      <c r="BT1085" s="22" t="s">
        <v>1315</v>
      </c>
      <c r="BU1085" s="22" t="s">
        <v>1318</v>
      </c>
      <c r="BV1085" s="22" t="s">
        <v>1315</v>
      </c>
      <c r="BW1085" s="22" t="s">
        <v>1318</v>
      </c>
      <c r="BX1085" s="20">
        <v>57</v>
      </c>
      <c r="BY1085" s="20">
        <v>46</v>
      </c>
      <c r="BZ1085" s="20">
        <v>885</v>
      </c>
      <c r="CA1085" s="20">
        <v>4</v>
      </c>
      <c r="CB1085" s="20">
        <v>0</v>
      </c>
      <c r="CC1085" s="20">
        <v>7502</v>
      </c>
      <c r="CD1085" s="22" t="s">
        <v>1320</v>
      </c>
      <c r="CE1085" s="22" t="s">
        <v>1344</v>
      </c>
      <c r="CF1085" s="22" t="s">
        <v>1320</v>
      </c>
      <c r="CG1085" s="22" t="s">
        <v>1344</v>
      </c>
      <c r="CH1085" s="22" t="s">
        <v>1317</v>
      </c>
      <c r="CI1085" s="22" t="s">
        <v>1318</v>
      </c>
      <c r="CJ1085" s="149" t="s">
        <v>3622</v>
      </c>
      <c r="CK1085" s="241" t="s">
        <v>3623</v>
      </c>
    </row>
    <row r="1086" spans="1:89" ht="15" customHeight="1" x14ac:dyDescent="0.35">
      <c r="A1086" s="17"/>
      <c r="B1086" s="313">
        <v>42095</v>
      </c>
      <c r="C1086" s="8" t="s">
        <v>393</v>
      </c>
      <c r="D1086" s="18">
        <v>5</v>
      </c>
      <c r="E1086" s="131"/>
      <c r="F1086" s="22"/>
      <c r="G1086" s="132"/>
      <c r="H1086" s="22"/>
      <c r="I1086" s="22"/>
      <c r="J1086" s="22"/>
      <c r="K1086" s="22"/>
      <c r="L1086" s="22"/>
      <c r="M1086" s="133"/>
      <c r="N1086" s="22"/>
      <c r="O1086" s="22"/>
      <c r="P1086" s="22"/>
      <c r="Q1086" s="20"/>
      <c r="R1086" s="20"/>
      <c r="S1086" s="20"/>
      <c r="T1086" s="20"/>
      <c r="U1086" s="20"/>
      <c r="V1086" s="20"/>
      <c r="W1086" s="20"/>
      <c r="X1086" s="20"/>
      <c r="Y1086" s="20"/>
      <c r="Z1086" s="20"/>
      <c r="AA1086" s="20"/>
      <c r="AB1086" s="22"/>
      <c r="AC1086" s="20"/>
      <c r="AD1086" s="20"/>
      <c r="AE1086" s="20"/>
      <c r="AF1086" s="20" t="s">
        <v>1124</v>
      </c>
      <c r="AG1086" s="20" t="s">
        <v>1124</v>
      </c>
      <c r="AH1086" s="20" t="s">
        <v>1124</v>
      </c>
      <c r="AI1086" s="328"/>
      <c r="AJ1086" s="328"/>
      <c r="AK1086" s="328"/>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0"/>
      <c r="BY1086" s="20"/>
      <c r="BZ1086" s="20"/>
      <c r="CA1086" s="20"/>
      <c r="CB1086" s="20"/>
      <c r="CC1086" s="20"/>
      <c r="CD1086" s="22"/>
      <c r="CE1086" s="22"/>
      <c r="CF1086" s="22"/>
      <c r="CG1086" s="22"/>
      <c r="CH1086" s="22"/>
      <c r="CI1086" s="22"/>
      <c r="CJ1086" s="149"/>
      <c r="CK1086" s="241"/>
    </row>
    <row r="1087" spans="1:89" ht="15" customHeight="1" x14ac:dyDescent="0.35">
      <c r="A1087" s="17"/>
      <c r="B1087" s="313">
        <v>26015</v>
      </c>
      <c r="C1087" s="8" t="s">
        <v>169</v>
      </c>
      <c r="D1087" s="18">
        <v>12</v>
      </c>
      <c r="E1087" s="131" t="s">
        <v>1319</v>
      </c>
      <c r="F1087" s="22" t="s">
        <v>1490</v>
      </c>
      <c r="G1087" s="132" t="s">
        <v>1309</v>
      </c>
      <c r="H1087" s="22" t="s">
        <v>1311</v>
      </c>
      <c r="I1087" s="22" t="s">
        <v>1327</v>
      </c>
      <c r="J1087" s="22" t="s">
        <v>1327</v>
      </c>
      <c r="K1087" s="22" t="s">
        <v>1314</v>
      </c>
      <c r="L1087" s="22" t="s">
        <v>1311</v>
      </c>
      <c r="M1087" s="133" t="s">
        <v>1311</v>
      </c>
      <c r="N1087" s="22" t="s">
        <v>1311</v>
      </c>
      <c r="O1087" s="22" t="s">
        <v>1309</v>
      </c>
      <c r="P1087" s="22" t="s">
        <v>1309</v>
      </c>
      <c r="Q1087" s="20">
        <v>0</v>
      </c>
      <c r="R1087" s="20">
        <v>0</v>
      </c>
      <c r="S1087" s="20">
        <v>0</v>
      </c>
      <c r="T1087" s="20">
        <v>17.425000000000001</v>
      </c>
      <c r="U1087" s="20">
        <v>0</v>
      </c>
      <c r="V1087" s="20">
        <v>0</v>
      </c>
      <c r="W1087" s="20">
        <v>0</v>
      </c>
      <c r="X1087" s="20">
        <v>0</v>
      </c>
      <c r="Y1087" s="20">
        <v>0</v>
      </c>
      <c r="Z1087" s="20">
        <v>0</v>
      </c>
      <c r="AA1087" s="20" t="s">
        <v>1317</v>
      </c>
      <c r="AB1087" s="22" t="s">
        <v>1318</v>
      </c>
      <c r="AC1087" s="20">
        <v>0</v>
      </c>
      <c r="AD1087" s="20">
        <v>1</v>
      </c>
      <c r="AE1087" s="20">
        <v>0</v>
      </c>
      <c r="AF1087" s="20">
        <v>0</v>
      </c>
      <c r="AG1087" s="20">
        <v>3</v>
      </c>
      <c r="AH1087" s="20">
        <v>0</v>
      </c>
      <c r="AI1087" s="328" t="s">
        <v>1328</v>
      </c>
      <c r="AJ1087" s="328">
        <v>1.019367991845056</v>
      </c>
      <c r="AK1087" s="328" t="s">
        <v>1328</v>
      </c>
      <c r="AL1087" s="22" t="s">
        <v>1329</v>
      </c>
      <c r="AM1087" s="22" t="s">
        <v>1330</v>
      </c>
      <c r="AN1087" s="22" t="s">
        <v>1317</v>
      </c>
      <c r="AO1087" s="22" t="s">
        <v>1318</v>
      </c>
      <c r="AP1087" s="22" t="s">
        <v>1318</v>
      </c>
      <c r="AQ1087" s="22" t="s">
        <v>1318</v>
      </c>
      <c r="AR1087" s="22" t="s">
        <v>1317</v>
      </c>
      <c r="AS1087" s="22" t="s">
        <v>1318</v>
      </c>
      <c r="AT1087" s="22" t="s">
        <v>1309</v>
      </c>
      <c r="AU1087" s="22" t="s">
        <v>1309</v>
      </c>
      <c r="AV1087" s="22" t="s">
        <v>1317</v>
      </c>
      <c r="AW1087" s="22" t="s">
        <v>1318</v>
      </c>
      <c r="AX1087" s="22" t="s">
        <v>1317</v>
      </c>
      <c r="AY1087" s="22" t="s">
        <v>1318</v>
      </c>
      <c r="AZ1087" s="22" t="s">
        <v>1309</v>
      </c>
      <c r="BA1087" s="22" t="s">
        <v>1309</v>
      </c>
      <c r="BB1087" s="22" t="s">
        <v>1309</v>
      </c>
      <c r="BC1087" s="22" t="s">
        <v>1309</v>
      </c>
      <c r="BD1087" s="22" t="s">
        <v>1317</v>
      </c>
      <c r="BE1087" s="22" t="s">
        <v>1318</v>
      </c>
      <c r="BF1087" s="22" t="s">
        <v>1317</v>
      </c>
      <c r="BG1087" s="22" t="s">
        <v>1318</v>
      </c>
      <c r="BH1087" s="22" t="s">
        <v>1309</v>
      </c>
      <c r="BI1087" s="22" t="s">
        <v>1309</v>
      </c>
      <c r="BJ1087" s="22" t="s">
        <v>1309</v>
      </c>
      <c r="BK1087" s="22" t="s">
        <v>1309</v>
      </c>
      <c r="BL1087" s="22" t="s">
        <v>1309</v>
      </c>
      <c r="BM1087" s="22" t="s">
        <v>1309</v>
      </c>
      <c r="BN1087" s="22" t="s">
        <v>1309</v>
      </c>
      <c r="BO1087" s="22" t="s">
        <v>1309</v>
      </c>
      <c r="BP1087" s="22" t="s">
        <v>1309</v>
      </c>
      <c r="BQ1087" s="22" t="s">
        <v>1309</v>
      </c>
      <c r="BR1087" s="22" t="s">
        <v>1317</v>
      </c>
      <c r="BS1087" s="22" t="s">
        <v>1318</v>
      </c>
      <c r="BT1087" s="22" t="s">
        <v>1309</v>
      </c>
      <c r="BU1087" s="22" t="s">
        <v>1309</v>
      </c>
      <c r="BV1087" s="22" t="s">
        <v>1317</v>
      </c>
      <c r="BW1087" s="22" t="s">
        <v>1318</v>
      </c>
      <c r="BX1087" s="20">
        <v>32</v>
      </c>
      <c r="BY1087" s="20">
        <v>3</v>
      </c>
      <c r="BZ1087" s="20">
        <v>1</v>
      </c>
      <c r="CA1087" s="20">
        <v>0</v>
      </c>
      <c r="CB1087" s="20">
        <v>0</v>
      </c>
      <c r="CC1087" s="20">
        <v>945</v>
      </c>
      <c r="CD1087" s="22" t="s">
        <v>1345</v>
      </c>
      <c r="CE1087" s="22" t="s">
        <v>1321</v>
      </c>
      <c r="CF1087" s="22" t="s">
        <v>1317</v>
      </c>
      <c r="CG1087" s="22" t="s">
        <v>1318</v>
      </c>
      <c r="CH1087" s="22" t="s">
        <v>1317</v>
      </c>
      <c r="CI1087" s="22" t="s">
        <v>1318</v>
      </c>
      <c r="CJ1087" s="149" t="s">
        <v>3627</v>
      </c>
      <c r="CK1087" s="241" t="s">
        <v>1791</v>
      </c>
    </row>
    <row r="1088" spans="1:89" ht="15" customHeight="1" x14ac:dyDescent="0.35">
      <c r="A1088" s="17"/>
      <c r="B1088" s="313">
        <v>78005</v>
      </c>
      <c r="C1088" s="8" t="s">
        <v>766</v>
      </c>
      <c r="D1088" s="18">
        <v>15</v>
      </c>
      <c r="E1088" s="131" t="s">
        <v>1309</v>
      </c>
      <c r="F1088" s="22" t="s">
        <v>1309</v>
      </c>
      <c r="G1088" s="132" t="s">
        <v>1309</v>
      </c>
      <c r="H1088" s="22" t="s">
        <v>1311</v>
      </c>
      <c r="I1088" s="22" t="s">
        <v>1327</v>
      </c>
      <c r="J1088" s="22" t="s">
        <v>1342</v>
      </c>
      <c r="K1088" s="22" t="s">
        <v>1314</v>
      </c>
      <c r="L1088" s="22" t="s">
        <v>1311</v>
      </c>
      <c r="M1088" s="133" t="s">
        <v>1311</v>
      </c>
      <c r="N1088" s="22" t="s">
        <v>1311</v>
      </c>
      <c r="O1088" s="22" t="s">
        <v>1314</v>
      </c>
      <c r="P1088" s="22" t="s">
        <v>1318</v>
      </c>
      <c r="Q1088" s="20">
        <v>39.606999999999999</v>
      </c>
      <c r="R1088" s="20">
        <v>39.606999999999999</v>
      </c>
      <c r="S1088" s="20">
        <v>19.8035</v>
      </c>
      <c r="T1088" s="20">
        <v>39.606999999999999</v>
      </c>
      <c r="U1088" s="20">
        <v>0</v>
      </c>
      <c r="V1088" s="20">
        <v>0</v>
      </c>
      <c r="W1088" s="20">
        <v>0</v>
      </c>
      <c r="X1088" s="20">
        <v>0</v>
      </c>
      <c r="Y1088" s="20">
        <v>0</v>
      </c>
      <c r="Z1088" s="20">
        <v>0</v>
      </c>
      <c r="AA1088" s="20" t="s">
        <v>1317</v>
      </c>
      <c r="AB1088" s="22" t="s">
        <v>1318</v>
      </c>
      <c r="AC1088" s="20">
        <v>8</v>
      </c>
      <c r="AD1088" s="20">
        <v>6</v>
      </c>
      <c r="AE1088" s="20">
        <v>12</v>
      </c>
      <c r="AF1088" s="20">
        <v>3</v>
      </c>
      <c r="AG1088" s="20">
        <v>4</v>
      </c>
      <c r="AH1088" s="20">
        <v>45</v>
      </c>
      <c r="AI1088" s="328">
        <v>19.012762316705089</v>
      </c>
      <c r="AJ1088" s="328">
        <v>4.4510385756676554</v>
      </c>
      <c r="AK1088" s="328">
        <v>8.9020771513353107</v>
      </c>
      <c r="AL1088" s="22" t="s">
        <v>1316</v>
      </c>
      <c r="AM1088" s="22" t="s">
        <v>1330</v>
      </c>
      <c r="AN1088" s="22" t="s">
        <v>1317</v>
      </c>
      <c r="AO1088" s="22" t="s">
        <v>1318</v>
      </c>
      <c r="AP1088" s="22" t="s">
        <v>1318</v>
      </c>
      <c r="AQ1088" s="22" t="s">
        <v>1318</v>
      </c>
      <c r="AR1088" s="22" t="s">
        <v>1317</v>
      </c>
      <c r="AS1088" s="22" t="s">
        <v>1318</v>
      </c>
      <c r="AT1088" s="22" t="s">
        <v>1309</v>
      </c>
      <c r="AU1088" s="22" t="s">
        <v>1311</v>
      </c>
      <c r="AV1088" s="22" t="s">
        <v>1317</v>
      </c>
      <c r="AW1088" s="22" t="s">
        <v>1318</v>
      </c>
      <c r="AX1088" s="22" t="s">
        <v>1317</v>
      </c>
      <c r="AY1088" s="22" t="s">
        <v>1318</v>
      </c>
      <c r="AZ1088" s="22" t="s">
        <v>1309</v>
      </c>
      <c r="BA1088" s="22" t="s">
        <v>1311</v>
      </c>
      <c r="BB1088" s="22" t="s">
        <v>1309</v>
      </c>
      <c r="BC1088" s="22" t="s">
        <v>1311</v>
      </c>
      <c r="BD1088" s="22" t="s">
        <v>1317</v>
      </c>
      <c r="BE1088" s="22" t="s">
        <v>1318</v>
      </c>
      <c r="BF1088" s="22" t="s">
        <v>1317</v>
      </c>
      <c r="BG1088" s="22" t="s">
        <v>1318</v>
      </c>
      <c r="BH1088" s="22" t="s">
        <v>1309</v>
      </c>
      <c r="BI1088" s="22" t="s">
        <v>1309</v>
      </c>
      <c r="BJ1088" s="22" t="s">
        <v>1317</v>
      </c>
      <c r="BK1088" s="22" t="s">
        <v>1318</v>
      </c>
      <c r="BL1088" s="22" t="s">
        <v>1317</v>
      </c>
      <c r="BM1088" s="22" t="s">
        <v>1318</v>
      </c>
      <c r="BN1088" s="22" t="s">
        <v>1319</v>
      </c>
      <c r="BO1088" s="22" t="s">
        <v>1311</v>
      </c>
      <c r="BP1088" s="22" t="s">
        <v>1315</v>
      </c>
      <c r="BQ1088" s="22" t="s">
        <v>1315</v>
      </c>
      <c r="BR1088" s="22" t="s">
        <v>1319</v>
      </c>
      <c r="BS1088" s="22" t="s">
        <v>1311</v>
      </c>
      <c r="BT1088" s="22" t="s">
        <v>1315</v>
      </c>
      <c r="BU1088" s="22" t="s">
        <v>1315</v>
      </c>
      <c r="BV1088" s="22" t="s">
        <v>1317</v>
      </c>
      <c r="BW1088" s="22" t="s">
        <v>1318</v>
      </c>
      <c r="BX1088" s="20">
        <v>0</v>
      </c>
      <c r="BY1088" s="20">
        <v>0</v>
      </c>
      <c r="BZ1088" s="20">
        <v>20</v>
      </c>
      <c r="CA1088" s="20">
        <v>0</v>
      </c>
      <c r="CB1088" s="20">
        <v>0</v>
      </c>
      <c r="CC1088" s="20">
        <v>1154</v>
      </c>
      <c r="CD1088" s="22" t="s">
        <v>1317</v>
      </c>
      <c r="CE1088" s="22" t="s">
        <v>1321</v>
      </c>
      <c r="CF1088" s="22" t="s">
        <v>1317</v>
      </c>
      <c r="CG1088" s="22" t="s">
        <v>1321</v>
      </c>
      <c r="CH1088" s="22" t="s">
        <v>1317</v>
      </c>
      <c r="CI1088" s="22" t="s">
        <v>1318</v>
      </c>
      <c r="CJ1088" s="149" t="s">
        <v>1124</v>
      </c>
      <c r="CK1088" s="241" t="s">
        <v>3632</v>
      </c>
    </row>
    <row r="1089" spans="1:89" ht="15" customHeight="1" x14ac:dyDescent="0.35">
      <c r="A1089" s="17"/>
      <c r="B1089" s="313">
        <v>30015</v>
      </c>
      <c r="C1089" s="8" t="s">
        <v>219</v>
      </c>
      <c r="D1089" s="18">
        <v>5</v>
      </c>
      <c r="E1089" s="131"/>
      <c r="F1089" s="22"/>
      <c r="G1089" s="132"/>
      <c r="H1089" s="22"/>
      <c r="I1089" s="22"/>
      <c r="J1089" s="22"/>
      <c r="K1089" s="22"/>
      <c r="L1089" s="22"/>
      <c r="M1089" s="133"/>
      <c r="N1089" s="22"/>
      <c r="O1089" s="22"/>
      <c r="P1089" s="22"/>
      <c r="Q1089" s="20"/>
      <c r="R1089" s="20"/>
      <c r="S1089" s="20"/>
      <c r="T1089" s="20"/>
      <c r="U1089" s="20"/>
      <c r="V1089" s="20"/>
      <c r="W1089" s="20"/>
      <c r="X1089" s="20"/>
      <c r="Y1089" s="20"/>
      <c r="Z1089" s="20"/>
      <c r="AA1089" s="20"/>
      <c r="AB1089" s="22"/>
      <c r="AC1089" s="20"/>
      <c r="AD1089" s="20"/>
      <c r="AE1089" s="20"/>
      <c r="AF1089" s="20" t="s">
        <v>1124</v>
      </c>
      <c r="AG1089" s="20" t="s">
        <v>1124</v>
      </c>
      <c r="AH1089" s="20" t="s">
        <v>1124</v>
      </c>
      <c r="AI1089" s="328"/>
      <c r="AJ1089" s="328"/>
      <c r="AK1089" s="328"/>
      <c r="AL1089" s="22"/>
      <c r="AM1089" s="22"/>
      <c r="AN1089" s="22"/>
      <c r="AO1089" s="22"/>
      <c r="AP1089" s="22"/>
      <c r="AQ1089" s="22"/>
      <c r="AR1089" s="22"/>
      <c r="AS1089" s="22"/>
      <c r="AT1089" s="22"/>
      <c r="AU1089" s="22"/>
      <c r="AV1089" s="22"/>
      <c r="AW1089" s="22"/>
      <c r="AX1089" s="22"/>
      <c r="AY1089" s="22"/>
      <c r="AZ1089" s="22"/>
      <c r="BA1089" s="22"/>
      <c r="BB1089" s="22"/>
      <c r="BC1089" s="22"/>
      <c r="BD1089" s="22"/>
      <c r="BE1089" s="22"/>
      <c r="BF1089" s="22"/>
      <c r="BG1089" s="22"/>
      <c r="BH1089" s="22"/>
      <c r="BI1089" s="22"/>
      <c r="BJ1089" s="22"/>
      <c r="BK1089" s="22"/>
      <c r="BL1089" s="22"/>
      <c r="BM1089" s="22"/>
      <c r="BN1089" s="22"/>
      <c r="BO1089" s="22"/>
      <c r="BP1089" s="22"/>
      <c r="BQ1089" s="22"/>
      <c r="BR1089" s="22"/>
      <c r="BS1089" s="22"/>
      <c r="BT1089" s="22"/>
      <c r="BU1089" s="22"/>
      <c r="BV1089" s="22"/>
      <c r="BW1089" s="22"/>
      <c r="BX1089" s="20"/>
      <c r="BY1089" s="20"/>
      <c r="BZ1089" s="20"/>
      <c r="CA1089" s="20"/>
      <c r="CB1089" s="20"/>
      <c r="CC1089" s="20"/>
      <c r="CD1089" s="22"/>
      <c r="CE1089" s="22"/>
      <c r="CF1089" s="22"/>
      <c r="CG1089" s="22"/>
      <c r="CH1089" s="22"/>
      <c r="CI1089" s="22"/>
      <c r="CJ1089" s="149"/>
      <c r="CK1089" s="241"/>
    </row>
    <row r="1090" spans="1:89" ht="15" customHeight="1" x14ac:dyDescent="0.35">
      <c r="A1090" s="17"/>
      <c r="B1090" s="313">
        <v>87105</v>
      </c>
      <c r="C1090" s="8" t="s">
        <v>907</v>
      </c>
      <c r="D1090" s="18">
        <v>8</v>
      </c>
      <c r="E1090" s="131"/>
      <c r="F1090" s="22"/>
      <c r="G1090" s="132"/>
      <c r="H1090" s="22"/>
      <c r="I1090" s="22"/>
      <c r="J1090" s="22"/>
      <c r="K1090" s="22"/>
      <c r="L1090" s="22"/>
      <c r="M1090" s="133"/>
      <c r="N1090" s="22"/>
      <c r="O1090" s="22"/>
      <c r="P1090" s="22"/>
      <c r="Q1090" s="20"/>
      <c r="R1090" s="20"/>
      <c r="S1090" s="20"/>
      <c r="T1090" s="20"/>
      <c r="U1090" s="20"/>
      <c r="V1090" s="20"/>
      <c r="W1090" s="20"/>
      <c r="X1090" s="20"/>
      <c r="Y1090" s="20"/>
      <c r="Z1090" s="20"/>
      <c r="AA1090" s="20"/>
      <c r="AB1090" s="22"/>
      <c r="AC1090" s="20"/>
      <c r="AD1090" s="20"/>
      <c r="AE1090" s="20"/>
      <c r="AF1090" s="20" t="s">
        <v>1124</v>
      </c>
      <c r="AG1090" s="20" t="s">
        <v>1124</v>
      </c>
      <c r="AH1090" s="20" t="s">
        <v>1124</v>
      </c>
      <c r="AI1090" s="328"/>
      <c r="AJ1090" s="328"/>
      <c r="AK1090" s="328"/>
      <c r="AL1090" s="22"/>
      <c r="AM1090" s="22"/>
      <c r="AN1090" s="22"/>
      <c r="AO1090" s="22"/>
      <c r="AP1090" s="22"/>
      <c r="AQ1090" s="22"/>
      <c r="AR1090" s="22"/>
      <c r="AS1090" s="22"/>
      <c r="AT1090" s="22"/>
      <c r="AU1090" s="22"/>
      <c r="AV1090" s="22"/>
      <c r="AW1090" s="22"/>
      <c r="AX1090" s="22"/>
      <c r="AY1090" s="22"/>
      <c r="AZ1090" s="22"/>
      <c r="BA1090" s="22"/>
      <c r="BB1090" s="22"/>
      <c r="BC1090" s="22"/>
      <c r="BD1090" s="22"/>
      <c r="BE1090" s="22"/>
      <c r="BF1090" s="22"/>
      <c r="BG1090" s="22"/>
      <c r="BH1090" s="22"/>
      <c r="BI1090" s="22"/>
      <c r="BJ1090" s="22"/>
      <c r="BK1090" s="22"/>
      <c r="BL1090" s="22"/>
      <c r="BM1090" s="22"/>
      <c r="BN1090" s="22"/>
      <c r="BO1090" s="22"/>
      <c r="BP1090" s="22"/>
      <c r="BQ1090" s="22"/>
      <c r="BR1090" s="22"/>
      <c r="BS1090" s="22"/>
      <c r="BT1090" s="22"/>
      <c r="BU1090" s="22"/>
      <c r="BV1090" s="22"/>
      <c r="BW1090" s="22"/>
      <c r="BX1090" s="20"/>
      <c r="BY1090" s="20"/>
      <c r="BZ1090" s="20"/>
      <c r="CA1090" s="20"/>
      <c r="CB1090" s="20"/>
      <c r="CC1090" s="20"/>
      <c r="CD1090" s="22"/>
      <c r="CE1090" s="22"/>
      <c r="CF1090" s="22"/>
      <c r="CG1090" s="22"/>
      <c r="CH1090" s="22"/>
      <c r="CI1090" s="22"/>
      <c r="CJ1090" s="149"/>
      <c r="CK1090" s="241"/>
    </row>
    <row r="1091" spans="1:89" ht="15" customHeight="1" x14ac:dyDescent="0.35">
      <c r="A1091" s="17"/>
      <c r="B1091" s="313">
        <v>59020</v>
      </c>
      <c r="C1091" s="8" t="s">
        <v>601</v>
      </c>
      <c r="D1091" s="18">
        <v>16</v>
      </c>
      <c r="E1091" s="131"/>
      <c r="F1091" s="22"/>
      <c r="G1091" s="132"/>
      <c r="H1091" s="22"/>
      <c r="I1091" s="22"/>
      <c r="J1091" s="22"/>
      <c r="K1091" s="22"/>
      <c r="L1091" s="22"/>
      <c r="M1091" s="133"/>
      <c r="N1091" s="22"/>
      <c r="O1091" s="22"/>
      <c r="P1091" s="22"/>
      <c r="Q1091" s="20"/>
      <c r="R1091" s="20"/>
      <c r="S1091" s="20"/>
      <c r="T1091" s="20"/>
      <c r="U1091" s="20"/>
      <c r="V1091" s="20"/>
      <c r="W1091" s="20"/>
      <c r="X1091" s="20"/>
      <c r="Y1091" s="20"/>
      <c r="Z1091" s="20"/>
      <c r="AA1091" s="20"/>
      <c r="AB1091" s="22"/>
      <c r="AC1091" s="20"/>
      <c r="AD1091" s="20"/>
      <c r="AE1091" s="20"/>
      <c r="AF1091" s="20" t="s">
        <v>1124</v>
      </c>
      <c r="AG1091" s="20" t="s">
        <v>1124</v>
      </c>
      <c r="AH1091" s="20" t="s">
        <v>1124</v>
      </c>
      <c r="AI1091" s="328"/>
      <c r="AJ1091" s="328"/>
      <c r="AK1091" s="328"/>
      <c r="AL1091" s="22"/>
      <c r="AM1091" s="22"/>
      <c r="AN1091" s="22"/>
      <c r="AO1091" s="22"/>
      <c r="AP1091" s="22"/>
      <c r="AQ1091" s="22"/>
      <c r="AR1091" s="22"/>
      <c r="AS1091" s="22"/>
      <c r="AT1091" s="22"/>
      <c r="AU1091" s="22"/>
      <c r="AV1091" s="22"/>
      <c r="AW1091" s="22"/>
      <c r="AX1091" s="22"/>
      <c r="AY1091" s="22"/>
      <c r="AZ1091" s="22"/>
      <c r="BA1091" s="22"/>
      <c r="BB1091" s="22"/>
      <c r="BC1091" s="22"/>
      <c r="BD1091" s="22"/>
      <c r="BE1091" s="22"/>
      <c r="BF1091" s="22"/>
      <c r="BG1091" s="22"/>
      <c r="BH1091" s="22"/>
      <c r="BI1091" s="22"/>
      <c r="BJ1091" s="22"/>
      <c r="BK1091" s="22"/>
      <c r="BL1091" s="22"/>
      <c r="BM1091" s="22"/>
      <c r="BN1091" s="22"/>
      <c r="BO1091" s="22"/>
      <c r="BP1091" s="22"/>
      <c r="BQ1091" s="22"/>
      <c r="BR1091" s="22"/>
      <c r="BS1091" s="22"/>
      <c r="BT1091" s="22"/>
      <c r="BU1091" s="22"/>
      <c r="BV1091" s="22"/>
      <c r="BW1091" s="22"/>
      <c r="BX1091" s="20"/>
      <c r="BY1091" s="20"/>
      <c r="BZ1091" s="20"/>
      <c r="CA1091" s="20"/>
      <c r="CB1091" s="20"/>
      <c r="CC1091" s="20"/>
      <c r="CD1091" s="22"/>
      <c r="CE1091" s="22"/>
      <c r="CF1091" s="22"/>
      <c r="CG1091" s="22"/>
      <c r="CH1091" s="22"/>
      <c r="CI1091" s="22"/>
      <c r="CJ1091" s="149"/>
      <c r="CK1091" s="241"/>
    </row>
    <row r="1092" spans="1:89" ht="15" customHeight="1" x14ac:dyDescent="0.35">
      <c r="A1092" s="17"/>
      <c r="B1092" s="313">
        <v>71083</v>
      </c>
      <c r="C1092" s="8" t="s">
        <v>717</v>
      </c>
      <c r="D1092" s="18">
        <v>16</v>
      </c>
      <c r="E1092" s="131"/>
      <c r="F1092" s="22"/>
      <c r="G1092" s="132"/>
      <c r="H1092" s="22"/>
      <c r="I1092" s="22"/>
      <c r="J1092" s="22"/>
      <c r="K1092" s="22"/>
      <c r="L1092" s="22"/>
      <c r="M1092" s="133"/>
      <c r="N1092" s="22"/>
      <c r="O1092" s="22"/>
      <c r="P1092" s="22"/>
      <c r="Q1092" s="20"/>
      <c r="R1092" s="20"/>
      <c r="S1092" s="20"/>
      <c r="T1092" s="20"/>
      <c r="U1092" s="20"/>
      <c r="V1092" s="20"/>
      <c r="W1092" s="20"/>
      <c r="X1092" s="20"/>
      <c r="Y1092" s="20"/>
      <c r="Z1092" s="20"/>
      <c r="AA1092" s="20"/>
      <c r="AB1092" s="22"/>
      <c r="AC1092" s="20"/>
      <c r="AD1092" s="20"/>
      <c r="AE1092" s="20"/>
      <c r="AF1092" s="20" t="s">
        <v>1124</v>
      </c>
      <c r="AG1092" s="20" t="s">
        <v>1124</v>
      </c>
      <c r="AH1092" s="20" t="s">
        <v>1124</v>
      </c>
      <c r="AI1092" s="328"/>
      <c r="AJ1092" s="328"/>
      <c r="AK1092" s="328"/>
      <c r="AL1092" s="22"/>
      <c r="AM1092" s="22"/>
      <c r="AN1092" s="22"/>
      <c r="AO1092" s="22"/>
      <c r="AP1092" s="22"/>
      <c r="AQ1092" s="22"/>
      <c r="AR1092" s="22"/>
      <c r="AS1092" s="22"/>
      <c r="AT1092" s="22"/>
      <c r="AU1092" s="22"/>
      <c r="AV1092" s="22"/>
      <c r="AW1092" s="22"/>
      <c r="AX1092" s="22"/>
      <c r="AY1092" s="22"/>
      <c r="AZ1092" s="22"/>
      <c r="BA1092" s="22"/>
      <c r="BB1092" s="22"/>
      <c r="BC1092" s="22"/>
      <c r="BD1092" s="22"/>
      <c r="BE1092" s="22"/>
      <c r="BF1092" s="22"/>
      <c r="BG1092" s="22"/>
      <c r="BH1092" s="22"/>
      <c r="BI1092" s="22"/>
      <c r="BJ1092" s="22"/>
      <c r="BK1092" s="22"/>
      <c r="BL1092" s="22"/>
      <c r="BM1092" s="22"/>
      <c r="BN1092" s="22"/>
      <c r="BO1092" s="22"/>
      <c r="BP1092" s="22"/>
      <c r="BQ1092" s="22"/>
      <c r="BR1092" s="22"/>
      <c r="BS1092" s="22"/>
      <c r="BT1092" s="22"/>
      <c r="BU1092" s="22"/>
      <c r="BV1092" s="22"/>
      <c r="BW1092" s="22"/>
      <c r="BX1092" s="20"/>
      <c r="BY1092" s="20"/>
      <c r="BZ1092" s="20"/>
      <c r="CA1092" s="20"/>
      <c r="CB1092" s="20"/>
      <c r="CC1092" s="20"/>
      <c r="CD1092" s="22"/>
      <c r="CE1092" s="22"/>
      <c r="CF1092" s="22"/>
      <c r="CG1092" s="22"/>
      <c r="CH1092" s="22"/>
      <c r="CI1092" s="22"/>
      <c r="CJ1092" s="149"/>
      <c r="CK1092" s="241"/>
    </row>
    <row r="1093" spans="1:89" ht="15" customHeight="1" x14ac:dyDescent="0.35">
      <c r="A1093" s="17"/>
      <c r="B1093" s="313">
        <v>71090</v>
      </c>
      <c r="C1093" s="8" t="s">
        <v>718</v>
      </c>
      <c r="D1093" s="18">
        <v>16</v>
      </c>
      <c r="E1093" s="131"/>
      <c r="F1093" s="22"/>
      <c r="G1093" s="132"/>
      <c r="H1093" s="22"/>
      <c r="I1093" s="22"/>
      <c r="J1093" s="22"/>
      <c r="K1093" s="22"/>
      <c r="L1093" s="22"/>
      <c r="M1093" s="133"/>
      <c r="N1093" s="22"/>
      <c r="O1093" s="22"/>
      <c r="P1093" s="22"/>
      <c r="Q1093" s="20"/>
      <c r="R1093" s="20"/>
      <c r="S1093" s="20"/>
      <c r="T1093" s="20"/>
      <c r="U1093" s="20"/>
      <c r="V1093" s="20"/>
      <c r="W1093" s="20"/>
      <c r="X1093" s="20"/>
      <c r="Y1093" s="20"/>
      <c r="Z1093" s="20"/>
      <c r="AA1093" s="20"/>
      <c r="AB1093" s="22"/>
      <c r="AC1093" s="20"/>
      <c r="AD1093" s="20"/>
      <c r="AE1093" s="20"/>
      <c r="AF1093" s="20" t="s">
        <v>1124</v>
      </c>
      <c r="AG1093" s="20" t="s">
        <v>1124</v>
      </c>
      <c r="AH1093" s="20" t="s">
        <v>1124</v>
      </c>
      <c r="AI1093" s="328"/>
      <c r="AJ1093" s="328"/>
      <c r="AK1093" s="328"/>
      <c r="AL1093" s="22"/>
      <c r="AM1093" s="22"/>
      <c r="AN1093" s="22"/>
      <c r="AO1093" s="22"/>
      <c r="AP1093" s="22"/>
      <c r="AQ1093" s="22"/>
      <c r="AR1093" s="22"/>
      <c r="AS1093" s="22"/>
      <c r="AT1093" s="22"/>
      <c r="AU1093" s="22"/>
      <c r="AV1093" s="22"/>
      <c r="AW1093" s="22"/>
      <c r="AX1093" s="22"/>
      <c r="AY1093" s="22"/>
      <c r="AZ1093" s="22"/>
      <c r="BA1093" s="22"/>
      <c r="BB1093" s="22"/>
      <c r="BC1093" s="22"/>
      <c r="BD1093" s="22"/>
      <c r="BE1093" s="22"/>
      <c r="BF1093" s="22"/>
      <c r="BG1093" s="22"/>
      <c r="BH1093" s="22"/>
      <c r="BI1093" s="22"/>
      <c r="BJ1093" s="22"/>
      <c r="BK1093" s="22"/>
      <c r="BL1093" s="22"/>
      <c r="BM1093" s="22"/>
      <c r="BN1093" s="22"/>
      <c r="BO1093" s="22"/>
      <c r="BP1093" s="22"/>
      <c r="BQ1093" s="22"/>
      <c r="BR1093" s="22"/>
      <c r="BS1093" s="22"/>
      <c r="BT1093" s="22"/>
      <c r="BU1093" s="22"/>
      <c r="BV1093" s="22"/>
      <c r="BW1093" s="22"/>
      <c r="BX1093" s="20"/>
      <c r="BY1093" s="20"/>
      <c r="BZ1093" s="20"/>
      <c r="CA1093" s="20"/>
      <c r="CB1093" s="20"/>
      <c r="CC1093" s="20"/>
      <c r="CD1093" s="22"/>
      <c r="CE1093" s="22"/>
      <c r="CF1093" s="22"/>
      <c r="CG1093" s="22"/>
      <c r="CH1093" s="22"/>
      <c r="CI1093" s="22"/>
      <c r="CJ1093" s="149"/>
      <c r="CK1093" s="241"/>
    </row>
    <row r="1094" spans="1:89" ht="15" customHeight="1" x14ac:dyDescent="0.35">
      <c r="A1094" s="17"/>
      <c r="B1094" s="313">
        <v>56005</v>
      </c>
      <c r="C1094" s="8" t="s">
        <v>567</v>
      </c>
      <c r="D1094" s="18">
        <v>16</v>
      </c>
      <c r="E1094" s="131"/>
      <c r="F1094" s="22"/>
      <c r="G1094" s="132"/>
      <c r="H1094" s="22"/>
      <c r="I1094" s="22"/>
      <c r="J1094" s="22"/>
      <c r="K1094" s="22"/>
      <c r="L1094" s="22"/>
      <c r="M1094" s="133"/>
      <c r="N1094" s="22"/>
      <c r="O1094" s="22"/>
      <c r="P1094" s="22"/>
      <c r="Q1094" s="20"/>
      <c r="R1094" s="20"/>
      <c r="S1094" s="20"/>
      <c r="T1094" s="20"/>
      <c r="U1094" s="20"/>
      <c r="V1094" s="20"/>
      <c r="W1094" s="20"/>
      <c r="X1094" s="20"/>
      <c r="Y1094" s="20"/>
      <c r="Z1094" s="20"/>
      <c r="AA1094" s="20"/>
      <c r="AB1094" s="22"/>
      <c r="AC1094" s="20"/>
      <c r="AD1094" s="20"/>
      <c r="AE1094" s="20"/>
      <c r="AF1094" s="20" t="s">
        <v>1124</v>
      </c>
      <c r="AG1094" s="20" t="s">
        <v>1124</v>
      </c>
      <c r="AH1094" s="20" t="s">
        <v>1124</v>
      </c>
      <c r="AI1094" s="328"/>
      <c r="AJ1094" s="328"/>
      <c r="AK1094" s="328"/>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0"/>
      <c r="BY1094" s="20"/>
      <c r="BZ1094" s="20"/>
      <c r="CA1094" s="20"/>
      <c r="CB1094" s="20"/>
      <c r="CC1094" s="20"/>
      <c r="CD1094" s="22"/>
      <c r="CE1094" s="22"/>
      <c r="CF1094" s="22"/>
      <c r="CG1094" s="22"/>
      <c r="CH1094" s="22"/>
      <c r="CI1094" s="22"/>
      <c r="CJ1094" s="149"/>
      <c r="CK1094" s="241"/>
    </row>
    <row r="1095" spans="1:89" ht="15" customHeight="1" x14ac:dyDescent="0.35">
      <c r="A1095" s="17"/>
      <c r="B1095" s="313">
        <v>59025</v>
      </c>
      <c r="C1095" s="8" t="s">
        <v>602</v>
      </c>
      <c r="D1095" s="18">
        <v>16</v>
      </c>
      <c r="E1095" s="131" t="s">
        <v>1319</v>
      </c>
      <c r="F1095" s="22" t="s">
        <v>1310</v>
      </c>
      <c r="G1095" s="132" t="s">
        <v>1309</v>
      </c>
      <c r="H1095" s="22" t="s">
        <v>1311</v>
      </c>
      <c r="I1095" s="22" t="s">
        <v>1327</v>
      </c>
      <c r="J1095" s="22" t="s">
        <v>1318</v>
      </c>
      <c r="K1095" s="22" t="s">
        <v>1309</v>
      </c>
      <c r="L1095" s="22" t="s">
        <v>1309</v>
      </c>
      <c r="M1095" s="133" t="s">
        <v>1311</v>
      </c>
      <c r="N1095" s="22" t="s">
        <v>1311</v>
      </c>
      <c r="O1095" s="22" t="s">
        <v>1314</v>
      </c>
      <c r="P1095" s="22" t="s">
        <v>1318</v>
      </c>
      <c r="Q1095" s="20">
        <v>0</v>
      </c>
      <c r="R1095" s="20">
        <v>0</v>
      </c>
      <c r="S1095" s="20">
        <v>0</v>
      </c>
      <c r="T1095" s="20">
        <v>0</v>
      </c>
      <c r="U1095" s="20">
        <v>55.42</v>
      </c>
      <c r="V1095" s="20">
        <v>55.42</v>
      </c>
      <c r="W1095" s="20">
        <v>0</v>
      </c>
      <c r="X1095" s="20">
        <v>0</v>
      </c>
      <c r="Y1095" s="20">
        <v>0</v>
      </c>
      <c r="Z1095" s="20">
        <v>0</v>
      </c>
      <c r="AA1095" s="20" t="s">
        <v>1317</v>
      </c>
      <c r="AB1095" s="22" t="s">
        <v>1318</v>
      </c>
      <c r="AC1095" s="20">
        <v>2</v>
      </c>
      <c r="AD1095" s="20">
        <v>4</v>
      </c>
      <c r="AE1095" s="20">
        <v>1</v>
      </c>
      <c r="AF1095" s="20">
        <v>2</v>
      </c>
      <c r="AG1095" s="20">
        <v>7</v>
      </c>
      <c r="AH1095" s="20">
        <v>10</v>
      </c>
      <c r="AI1095" s="328">
        <v>3.6088054853843379</v>
      </c>
      <c r="AJ1095" s="328">
        <v>1.9175455417066156</v>
      </c>
      <c r="AK1095" s="328">
        <v>0.4793863854266539</v>
      </c>
      <c r="AL1095" s="22" t="s">
        <v>1329</v>
      </c>
      <c r="AM1095" s="22" t="s">
        <v>1330</v>
      </c>
      <c r="AN1095" s="22" t="s">
        <v>1317</v>
      </c>
      <c r="AO1095" s="22" t="s">
        <v>1318</v>
      </c>
      <c r="AP1095" s="22" t="s">
        <v>1318</v>
      </c>
      <c r="AQ1095" s="22" t="s">
        <v>1318</v>
      </c>
      <c r="AR1095" s="22" t="s">
        <v>1309</v>
      </c>
      <c r="AS1095" s="22" t="s">
        <v>1311</v>
      </c>
      <c r="AT1095" s="22" t="s">
        <v>1309</v>
      </c>
      <c r="AU1095" s="22" t="s">
        <v>1311</v>
      </c>
      <c r="AV1095" s="22" t="s">
        <v>1309</v>
      </c>
      <c r="AW1095" s="22" t="s">
        <v>1311</v>
      </c>
      <c r="AX1095" s="22" t="s">
        <v>1315</v>
      </c>
      <c r="AY1095" s="22" t="s">
        <v>1315</v>
      </c>
      <c r="AZ1095" s="22" t="s">
        <v>1309</v>
      </c>
      <c r="BA1095" s="22" t="s">
        <v>1311</v>
      </c>
      <c r="BB1095" s="22" t="s">
        <v>1309</v>
      </c>
      <c r="BC1095" s="22" t="s">
        <v>1309</v>
      </c>
      <c r="BD1095" s="22" t="s">
        <v>1309</v>
      </c>
      <c r="BE1095" s="22" t="s">
        <v>1309</v>
      </c>
      <c r="BF1095" s="22" t="s">
        <v>1319</v>
      </c>
      <c r="BG1095" s="22" t="s">
        <v>1318</v>
      </c>
      <c r="BH1095" s="22" t="s">
        <v>1317</v>
      </c>
      <c r="BI1095" s="22" t="s">
        <v>1318</v>
      </c>
      <c r="BJ1095" s="22" t="s">
        <v>1317</v>
      </c>
      <c r="BK1095" s="22" t="s">
        <v>1318</v>
      </c>
      <c r="BL1095" s="22" t="s">
        <v>1319</v>
      </c>
      <c r="BM1095" s="22" t="s">
        <v>1311</v>
      </c>
      <c r="BN1095" s="22" t="s">
        <v>1309</v>
      </c>
      <c r="BO1095" s="22" t="s">
        <v>1309</v>
      </c>
      <c r="BP1095" s="22" t="s">
        <v>1309</v>
      </c>
      <c r="BQ1095" s="22" t="s">
        <v>1309</v>
      </c>
      <c r="BR1095" s="22" t="s">
        <v>1309</v>
      </c>
      <c r="BS1095" s="22" t="s">
        <v>1309</v>
      </c>
      <c r="BT1095" s="22" t="s">
        <v>1309</v>
      </c>
      <c r="BU1095" s="22" t="s">
        <v>1309</v>
      </c>
      <c r="BV1095" s="22" t="s">
        <v>1317</v>
      </c>
      <c r="BW1095" s="22" t="s">
        <v>1318</v>
      </c>
      <c r="BX1095" s="20">
        <v>94</v>
      </c>
      <c r="BY1095" s="20">
        <v>0</v>
      </c>
      <c r="BZ1095" s="20">
        <v>0</v>
      </c>
      <c r="CA1095" s="20">
        <v>0</v>
      </c>
      <c r="CB1095" s="20">
        <v>0</v>
      </c>
      <c r="CC1095" s="20">
        <v>1992</v>
      </c>
      <c r="CD1095" s="22" t="s">
        <v>1331</v>
      </c>
      <c r="CE1095" s="22" t="s">
        <v>1331</v>
      </c>
      <c r="CF1095" s="22" t="s">
        <v>1317</v>
      </c>
      <c r="CG1095" s="22" t="s">
        <v>1340</v>
      </c>
      <c r="CH1095" s="22" t="s">
        <v>1317</v>
      </c>
      <c r="CI1095" s="22" t="s">
        <v>1318</v>
      </c>
      <c r="CJ1095" s="149" t="s">
        <v>3635</v>
      </c>
      <c r="CK1095" s="241" t="s">
        <v>3636</v>
      </c>
    </row>
    <row r="1096" spans="1:89" ht="15" customHeight="1" x14ac:dyDescent="0.35">
      <c r="A1096" s="17"/>
      <c r="B1096" s="313">
        <v>39062</v>
      </c>
      <c r="C1096" s="8" t="s">
        <v>346</v>
      </c>
      <c r="D1096" s="18">
        <v>17</v>
      </c>
      <c r="E1096" s="131" t="s">
        <v>1309</v>
      </c>
      <c r="F1096" s="22" t="s">
        <v>1309</v>
      </c>
      <c r="G1096" s="132" t="s">
        <v>1309</v>
      </c>
      <c r="H1096" s="22" t="s">
        <v>1311</v>
      </c>
      <c r="I1096" s="22" t="s">
        <v>1327</v>
      </c>
      <c r="J1096" s="22" t="s">
        <v>1327</v>
      </c>
      <c r="K1096" s="22" t="s">
        <v>1319</v>
      </c>
      <c r="L1096" s="22" t="s">
        <v>1309</v>
      </c>
      <c r="M1096" s="133" t="s">
        <v>1311</v>
      </c>
      <c r="N1096" s="22" t="s">
        <v>1311</v>
      </c>
      <c r="O1096" s="22" t="s">
        <v>1309</v>
      </c>
      <c r="P1096" s="22" t="s">
        <v>1309</v>
      </c>
      <c r="Q1096" s="20">
        <v>0</v>
      </c>
      <c r="R1096" s="20">
        <v>6.11</v>
      </c>
      <c r="S1096" s="20">
        <v>1042.5060000000001</v>
      </c>
      <c r="T1096" s="20">
        <v>1042.5060000000001</v>
      </c>
      <c r="U1096" s="20">
        <v>0</v>
      </c>
      <c r="V1096" s="20">
        <v>6.11</v>
      </c>
      <c r="W1096" s="20">
        <v>0</v>
      </c>
      <c r="X1096" s="20">
        <v>0</v>
      </c>
      <c r="Y1096" s="20">
        <v>0</v>
      </c>
      <c r="Z1096" s="20">
        <v>0</v>
      </c>
      <c r="AA1096" s="20" t="s">
        <v>1317</v>
      </c>
      <c r="AB1096" s="22" t="s">
        <v>1311</v>
      </c>
      <c r="AC1096" s="20">
        <v>74</v>
      </c>
      <c r="AD1096" s="20">
        <v>7</v>
      </c>
      <c r="AE1096" s="20">
        <v>4</v>
      </c>
      <c r="AF1096" s="20">
        <v>3</v>
      </c>
      <c r="AG1096" s="20">
        <v>3</v>
      </c>
      <c r="AH1096" s="20">
        <v>15</v>
      </c>
      <c r="AI1096" s="328">
        <v>20.845364019211537</v>
      </c>
      <c r="AJ1096" s="328">
        <v>0.49288832558794538</v>
      </c>
      <c r="AK1096" s="328">
        <v>0.28165047176454022</v>
      </c>
      <c r="AL1096" s="22" t="s">
        <v>1329</v>
      </c>
      <c r="AM1096" s="22" t="s">
        <v>1330</v>
      </c>
      <c r="AN1096" s="22" t="s">
        <v>1315</v>
      </c>
      <c r="AO1096" s="22" t="s">
        <v>1315</v>
      </c>
      <c r="AP1096" s="22" t="s">
        <v>1315</v>
      </c>
      <c r="AQ1096" s="22" t="s">
        <v>1315</v>
      </c>
      <c r="AR1096" s="22" t="s">
        <v>1309</v>
      </c>
      <c r="AS1096" s="22" t="s">
        <v>1309</v>
      </c>
      <c r="AT1096" s="22" t="s">
        <v>1309</v>
      </c>
      <c r="AU1096" s="22" t="s">
        <v>1309</v>
      </c>
      <c r="AV1096" s="22" t="s">
        <v>1309</v>
      </c>
      <c r="AW1096" s="22" t="s">
        <v>1309</v>
      </c>
      <c r="AX1096" s="22" t="s">
        <v>1317</v>
      </c>
      <c r="AY1096" s="22" t="s">
        <v>1318</v>
      </c>
      <c r="AZ1096" s="22" t="s">
        <v>1309</v>
      </c>
      <c r="BA1096" s="22" t="s">
        <v>1309</v>
      </c>
      <c r="BB1096" s="22" t="s">
        <v>1309</v>
      </c>
      <c r="BC1096" s="22" t="s">
        <v>1309</v>
      </c>
      <c r="BD1096" s="22" t="s">
        <v>1315</v>
      </c>
      <c r="BE1096" s="22" t="s">
        <v>1315</v>
      </c>
      <c r="BF1096" s="22" t="s">
        <v>1315</v>
      </c>
      <c r="BG1096" s="22" t="s">
        <v>1315</v>
      </c>
      <c r="BH1096" s="22" t="s">
        <v>1309</v>
      </c>
      <c r="BI1096" s="22" t="s">
        <v>1309</v>
      </c>
      <c r="BJ1096" s="22" t="s">
        <v>1319</v>
      </c>
      <c r="BK1096" s="22" t="s">
        <v>1309</v>
      </c>
      <c r="BL1096" s="22" t="s">
        <v>1309</v>
      </c>
      <c r="BM1096" s="22" t="s">
        <v>1309</v>
      </c>
      <c r="BN1096" s="22" t="s">
        <v>1317</v>
      </c>
      <c r="BO1096" s="22" t="s">
        <v>1318</v>
      </c>
      <c r="BP1096" s="22" t="s">
        <v>1309</v>
      </c>
      <c r="BQ1096" s="22" t="s">
        <v>1309</v>
      </c>
      <c r="BR1096" s="22" t="s">
        <v>1309</v>
      </c>
      <c r="BS1096" s="22" t="s">
        <v>1309</v>
      </c>
      <c r="BT1096" s="22" t="s">
        <v>1315</v>
      </c>
      <c r="BU1096" s="22" t="s">
        <v>1315</v>
      </c>
      <c r="BV1096" s="22" t="s">
        <v>1317</v>
      </c>
      <c r="BW1096" s="22" t="s">
        <v>1318</v>
      </c>
      <c r="BX1096" s="20">
        <v>103</v>
      </c>
      <c r="BY1096" s="20">
        <v>0</v>
      </c>
      <c r="BZ1096" s="20">
        <v>621</v>
      </c>
      <c r="CA1096" s="20">
        <v>0</v>
      </c>
      <c r="CB1096" s="20">
        <v>0</v>
      </c>
      <c r="CC1096" s="20">
        <v>21198</v>
      </c>
      <c r="CD1096" s="22" t="s">
        <v>1320</v>
      </c>
      <c r="CE1096" s="22" t="s">
        <v>1321</v>
      </c>
      <c r="CF1096" s="22" t="s">
        <v>1315</v>
      </c>
      <c r="CG1096" s="22" t="s">
        <v>1315</v>
      </c>
      <c r="CH1096" s="22" t="s">
        <v>1413</v>
      </c>
      <c r="CI1096" s="22" t="s">
        <v>1413</v>
      </c>
      <c r="CJ1096" s="149" t="s">
        <v>3641</v>
      </c>
      <c r="CK1096" s="241" t="s">
        <v>3642</v>
      </c>
    </row>
    <row r="1097" spans="1:89" ht="15" customHeight="1" x14ac:dyDescent="0.35">
      <c r="A1097" s="17"/>
      <c r="B1097" s="313">
        <v>85025</v>
      </c>
      <c r="C1097" s="8" t="s">
        <v>874</v>
      </c>
      <c r="D1097" s="18">
        <v>8</v>
      </c>
      <c r="E1097" s="131" t="s">
        <v>1309</v>
      </c>
      <c r="F1097" s="22" t="s">
        <v>1309</v>
      </c>
      <c r="G1097" s="132" t="s">
        <v>1309</v>
      </c>
      <c r="H1097" s="22" t="s">
        <v>1311</v>
      </c>
      <c r="I1097" s="22" t="s">
        <v>1327</v>
      </c>
      <c r="J1097" s="22" t="s">
        <v>1327</v>
      </c>
      <c r="K1097" s="22" t="s">
        <v>1314</v>
      </c>
      <c r="L1097" s="22" t="s">
        <v>1311</v>
      </c>
      <c r="M1097" s="133" t="s">
        <v>1311</v>
      </c>
      <c r="N1097" s="22" t="s">
        <v>1311</v>
      </c>
      <c r="O1097" s="22" t="s">
        <v>1309</v>
      </c>
      <c r="P1097" s="22" t="s">
        <v>1309</v>
      </c>
      <c r="Q1097" s="20">
        <v>0</v>
      </c>
      <c r="R1097" s="20">
        <v>0</v>
      </c>
      <c r="S1097" s="20">
        <v>0</v>
      </c>
      <c r="T1097" s="20">
        <v>24.363</v>
      </c>
      <c r="U1097" s="20">
        <v>0</v>
      </c>
      <c r="V1097" s="20">
        <v>0</v>
      </c>
      <c r="W1097" s="20">
        <v>0</v>
      </c>
      <c r="X1097" s="20">
        <v>0</v>
      </c>
      <c r="Y1097" s="20">
        <v>0</v>
      </c>
      <c r="Z1097" s="20">
        <v>0</v>
      </c>
      <c r="AA1097" s="20" t="s">
        <v>1317</v>
      </c>
      <c r="AB1097" s="22" t="s">
        <v>1318</v>
      </c>
      <c r="AC1097" s="20">
        <v>4</v>
      </c>
      <c r="AD1097" s="20">
        <v>2</v>
      </c>
      <c r="AE1097" s="20">
        <v>0</v>
      </c>
      <c r="AF1097" s="20">
        <v>1</v>
      </c>
      <c r="AG1097" s="20">
        <v>1</v>
      </c>
      <c r="AH1097" s="20">
        <v>0</v>
      </c>
      <c r="AI1097" s="328">
        <v>16.502787114458791</v>
      </c>
      <c r="AJ1097" s="328">
        <v>1.4214641080312722</v>
      </c>
      <c r="AK1097" s="328" t="s">
        <v>1328</v>
      </c>
      <c r="AL1097" s="22" t="s">
        <v>1329</v>
      </c>
      <c r="AM1097" s="22" t="s">
        <v>1330</v>
      </c>
      <c r="AN1097" s="22" t="s">
        <v>1317</v>
      </c>
      <c r="AO1097" s="22" t="s">
        <v>1318</v>
      </c>
      <c r="AP1097" s="22" t="s">
        <v>1318</v>
      </c>
      <c r="AQ1097" s="22" t="s">
        <v>1318</v>
      </c>
      <c r="AR1097" s="22" t="s">
        <v>1317</v>
      </c>
      <c r="AS1097" s="22" t="s">
        <v>1318</v>
      </c>
      <c r="AT1097" s="22" t="s">
        <v>1309</v>
      </c>
      <c r="AU1097" s="22" t="s">
        <v>1309</v>
      </c>
      <c r="AV1097" s="22" t="s">
        <v>1317</v>
      </c>
      <c r="AW1097" s="22" t="s">
        <v>1318</v>
      </c>
      <c r="AX1097" s="22" t="s">
        <v>1317</v>
      </c>
      <c r="AY1097" s="22" t="s">
        <v>1318</v>
      </c>
      <c r="AZ1097" s="22" t="s">
        <v>1317</v>
      </c>
      <c r="BA1097" s="22" t="s">
        <v>1318</v>
      </c>
      <c r="BB1097" s="22" t="s">
        <v>1309</v>
      </c>
      <c r="BC1097" s="22" t="s">
        <v>1309</v>
      </c>
      <c r="BD1097" s="22" t="s">
        <v>1309</v>
      </c>
      <c r="BE1097" s="22" t="s">
        <v>1309</v>
      </c>
      <c r="BF1097" s="22" t="s">
        <v>1309</v>
      </c>
      <c r="BG1097" s="22" t="s">
        <v>1309</v>
      </c>
      <c r="BH1097" s="22" t="s">
        <v>1309</v>
      </c>
      <c r="BI1097" s="22" t="s">
        <v>1309</v>
      </c>
      <c r="BJ1097" s="22" t="s">
        <v>1317</v>
      </c>
      <c r="BK1097" s="22" t="s">
        <v>1318</v>
      </c>
      <c r="BL1097" s="22" t="s">
        <v>1309</v>
      </c>
      <c r="BM1097" s="22" t="s">
        <v>1309</v>
      </c>
      <c r="BN1097" s="22" t="s">
        <v>1309</v>
      </c>
      <c r="BO1097" s="22" t="s">
        <v>1309</v>
      </c>
      <c r="BP1097" s="22" t="s">
        <v>1317</v>
      </c>
      <c r="BQ1097" s="22" t="s">
        <v>1318</v>
      </c>
      <c r="BR1097" s="22" t="s">
        <v>1309</v>
      </c>
      <c r="BS1097" s="22" t="s">
        <v>1309</v>
      </c>
      <c r="BT1097" s="22" t="s">
        <v>1317</v>
      </c>
      <c r="BU1097" s="22" t="s">
        <v>1318</v>
      </c>
      <c r="BV1097" s="22" t="s">
        <v>1309</v>
      </c>
      <c r="BW1097" s="22" t="s">
        <v>1309</v>
      </c>
      <c r="BX1097" s="20">
        <v>84</v>
      </c>
      <c r="BY1097" s="20">
        <v>0</v>
      </c>
      <c r="BZ1097" s="20">
        <v>47</v>
      </c>
      <c r="CA1097" s="20">
        <v>570</v>
      </c>
      <c r="CB1097" s="20">
        <v>0</v>
      </c>
      <c r="CC1097" s="20">
        <v>706</v>
      </c>
      <c r="CD1097" s="22" t="s">
        <v>1320</v>
      </c>
      <c r="CE1097" s="22" t="s">
        <v>1321</v>
      </c>
      <c r="CF1097" s="22" t="s">
        <v>1331</v>
      </c>
      <c r="CG1097" s="22" t="s">
        <v>1331</v>
      </c>
      <c r="CH1097" s="22" t="s">
        <v>1317</v>
      </c>
      <c r="CI1097" s="22" t="s">
        <v>1318</v>
      </c>
      <c r="CJ1097" s="149" t="s">
        <v>1124</v>
      </c>
      <c r="CK1097" s="241" t="s">
        <v>1503</v>
      </c>
    </row>
    <row r="1098" spans="1:89" ht="15" customHeight="1" x14ac:dyDescent="0.35">
      <c r="A1098" s="17"/>
      <c r="B1098" s="313">
        <v>32085</v>
      </c>
      <c r="C1098" s="8" t="s">
        <v>266</v>
      </c>
      <c r="D1098" s="18">
        <v>17</v>
      </c>
      <c r="E1098" s="131"/>
      <c r="F1098" s="22"/>
      <c r="G1098" s="132"/>
      <c r="H1098" s="22"/>
      <c r="I1098" s="22"/>
      <c r="J1098" s="22"/>
      <c r="K1098" s="22"/>
      <c r="L1098" s="22"/>
      <c r="M1098" s="133"/>
      <c r="N1098" s="22"/>
      <c r="O1098" s="22"/>
      <c r="P1098" s="22"/>
      <c r="Q1098" s="20"/>
      <c r="R1098" s="20"/>
      <c r="S1098" s="20"/>
      <c r="T1098" s="20"/>
      <c r="U1098" s="20"/>
      <c r="V1098" s="20"/>
      <c r="W1098" s="20"/>
      <c r="X1098" s="20"/>
      <c r="Y1098" s="20"/>
      <c r="Z1098" s="20"/>
      <c r="AA1098" s="20"/>
      <c r="AB1098" s="22"/>
      <c r="AC1098" s="20"/>
      <c r="AD1098" s="20"/>
      <c r="AE1098" s="20"/>
      <c r="AF1098" s="20" t="s">
        <v>1124</v>
      </c>
      <c r="AG1098" s="20" t="s">
        <v>1124</v>
      </c>
      <c r="AH1098" s="20" t="s">
        <v>1124</v>
      </c>
      <c r="AI1098" s="328"/>
      <c r="AJ1098" s="328"/>
      <c r="AK1098" s="328"/>
      <c r="AL1098" s="22"/>
      <c r="AM1098" s="22"/>
      <c r="AN1098" s="22"/>
      <c r="AO1098" s="22"/>
      <c r="AP1098" s="22"/>
      <c r="AQ1098" s="22"/>
      <c r="AR1098" s="22"/>
      <c r="AS1098" s="22"/>
      <c r="AT1098" s="22"/>
      <c r="AU1098" s="22"/>
      <c r="AV1098" s="22"/>
      <c r="AW1098" s="22"/>
      <c r="AX1098" s="22"/>
      <c r="AY1098" s="22"/>
      <c r="AZ1098" s="22"/>
      <c r="BA1098" s="22"/>
      <c r="BB1098" s="22"/>
      <c r="BC1098" s="22"/>
      <c r="BD1098" s="22"/>
      <c r="BE1098" s="22"/>
      <c r="BF1098" s="22"/>
      <c r="BG1098" s="22"/>
      <c r="BH1098" s="22"/>
      <c r="BI1098" s="22"/>
      <c r="BJ1098" s="22"/>
      <c r="BK1098" s="22"/>
      <c r="BL1098" s="22"/>
      <c r="BM1098" s="22"/>
      <c r="BN1098" s="22"/>
      <c r="BO1098" s="22"/>
      <c r="BP1098" s="22"/>
      <c r="BQ1098" s="22"/>
      <c r="BR1098" s="22"/>
      <c r="BS1098" s="22"/>
      <c r="BT1098" s="22"/>
      <c r="BU1098" s="22"/>
      <c r="BV1098" s="22"/>
      <c r="BW1098" s="22"/>
      <c r="BX1098" s="20"/>
      <c r="BY1098" s="20"/>
      <c r="BZ1098" s="20"/>
      <c r="CA1098" s="20"/>
      <c r="CB1098" s="20"/>
      <c r="CC1098" s="20"/>
      <c r="CD1098" s="22"/>
      <c r="CE1098" s="22"/>
      <c r="CF1098" s="22"/>
      <c r="CG1098" s="22"/>
      <c r="CH1098" s="22"/>
      <c r="CI1098" s="22"/>
      <c r="CJ1098" s="149"/>
      <c r="CK1098" s="241"/>
    </row>
    <row r="1099" spans="1:89" ht="15" customHeight="1" x14ac:dyDescent="0.35">
      <c r="A1099" s="17"/>
      <c r="B1099" s="313">
        <v>84070</v>
      </c>
      <c r="C1099" s="8" t="s">
        <v>865</v>
      </c>
      <c r="D1099" s="18">
        <v>7</v>
      </c>
      <c r="E1099" s="131"/>
      <c r="F1099" s="22"/>
      <c r="G1099" s="132"/>
      <c r="H1099" s="22"/>
      <c r="I1099" s="22"/>
      <c r="J1099" s="22"/>
      <c r="K1099" s="22"/>
      <c r="L1099" s="22"/>
      <c r="M1099" s="133"/>
      <c r="N1099" s="22"/>
      <c r="O1099" s="22"/>
      <c r="P1099" s="22"/>
      <c r="Q1099" s="20"/>
      <c r="R1099" s="20"/>
      <c r="S1099" s="20"/>
      <c r="T1099" s="20"/>
      <c r="U1099" s="20"/>
      <c r="V1099" s="20"/>
      <c r="W1099" s="20"/>
      <c r="X1099" s="20"/>
      <c r="Y1099" s="20"/>
      <c r="Z1099" s="20"/>
      <c r="AA1099" s="20"/>
      <c r="AB1099" s="22"/>
      <c r="AC1099" s="20"/>
      <c r="AD1099" s="20"/>
      <c r="AE1099" s="20"/>
      <c r="AF1099" s="20" t="s">
        <v>1124</v>
      </c>
      <c r="AG1099" s="20" t="s">
        <v>1124</v>
      </c>
      <c r="AH1099" s="20" t="s">
        <v>1124</v>
      </c>
      <c r="AI1099" s="328"/>
      <c r="AJ1099" s="328"/>
      <c r="AK1099" s="328"/>
      <c r="AL1099" s="22"/>
      <c r="AM1099" s="22"/>
      <c r="AN1099" s="22"/>
      <c r="AO1099" s="22"/>
      <c r="AP1099" s="22"/>
      <c r="AQ1099" s="22"/>
      <c r="AR1099" s="22"/>
      <c r="AS1099" s="22"/>
      <c r="AT1099" s="22"/>
      <c r="AU1099" s="22"/>
      <c r="AV1099" s="22"/>
      <c r="AW1099" s="22"/>
      <c r="AX1099" s="22"/>
      <c r="AY1099" s="22"/>
      <c r="AZ1099" s="22"/>
      <c r="BA1099" s="22"/>
      <c r="BB1099" s="22"/>
      <c r="BC1099" s="22"/>
      <c r="BD1099" s="22"/>
      <c r="BE1099" s="22"/>
      <c r="BF1099" s="22"/>
      <c r="BG1099" s="22"/>
      <c r="BH1099" s="22"/>
      <c r="BI1099" s="22"/>
      <c r="BJ1099" s="22"/>
      <c r="BK1099" s="22"/>
      <c r="BL1099" s="22"/>
      <c r="BM1099" s="22"/>
      <c r="BN1099" s="22"/>
      <c r="BO1099" s="22"/>
      <c r="BP1099" s="22"/>
      <c r="BQ1099" s="22"/>
      <c r="BR1099" s="22"/>
      <c r="BS1099" s="22"/>
      <c r="BT1099" s="22"/>
      <c r="BU1099" s="22"/>
      <c r="BV1099" s="22"/>
      <c r="BW1099" s="22"/>
      <c r="BX1099" s="20"/>
      <c r="BY1099" s="20"/>
      <c r="BZ1099" s="20"/>
      <c r="CA1099" s="20"/>
      <c r="CB1099" s="20"/>
      <c r="CC1099" s="20"/>
      <c r="CD1099" s="22"/>
      <c r="CE1099" s="22"/>
      <c r="CF1099" s="22"/>
      <c r="CG1099" s="22"/>
      <c r="CH1099" s="22"/>
      <c r="CI1099" s="22"/>
      <c r="CJ1099" s="149"/>
      <c r="CK1099" s="241"/>
    </row>
    <row r="1100" spans="1:89" ht="15" customHeight="1" x14ac:dyDescent="0.35">
      <c r="A1100" s="17"/>
      <c r="B1100" s="313">
        <v>47030</v>
      </c>
      <c r="C1100" s="8" t="s">
        <v>451</v>
      </c>
      <c r="D1100" s="18">
        <v>5</v>
      </c>
      <c r="E1100" s="131"/>
      <c r="F1100" s="22"/>
      <c r="G1100" s="132"/>
      <c r="H1100" s="22"/>
      <c r="I1100" s="22"/>
      <c r="J1100" s="22"/>
      <c r="K1100" s="22"/>
      <c r="L1100" s="22"/>
      <c r="M1100" s="133"/>
      <c r="N1100" s="22"/>
      <c r="O1100" s="22"/>
      <c r="P1100" s="22"/>
      <c r="Q1100" s="20"/>
      <c r="R1100" s="20"/>
      <c r="S1100" s="20"/>
      <c r="T1100" s="20"/>
      <c r="U1100" s="20"/>
      <c r="V1100" s="20"/>
      <c r="W1100" s="20"/>
      <c r="X1100" s="20"/>
      <c r="Y1100" s="20"/>
      <c r="Z1100" s="20"/>
      <c r="AA1100" s="20"/>
      <c r="AB1100" s="22"/>
      <c r="AC1100" s="20"/>
      <c r="AD1100" s="20"/>
      <c r="AE1100" s="20"/>
      <c r="AF1100" s="20" t="s">
        <v>1124</v>
      </c>
      <c r="AG1100" s="20" t="s">
        <v>1124</v>
      </c>
      <c r="AH1100" s="20" t="s">
        <v>1124</v>
      </c>
      <c r="AI1100" s="328"/>
      <c r="AJ1100" s="328"/>
      <c r="AK1100" s="328"/>
      <c r="AL1100" s="22"/>
      <c r="AM1100" s="22"/>
      <c r="AN1100" s="22"/>
      <c r="AO1100" s="22"/>
      <c r="AP1100" s="22"/>
      <c r="AQ1100" s="22"/>
      <c r="AR1100" s="22"/>
      <c r="AS1100" s="22"/>
      <c r="AT1100" s="22"/>
      <c r="AU1100" s="22"/>
      <c r="AV1100" s="22"/>
      <c r="AW1100" s="22"/>
      <c r="AX1100" s="22"/>
      <c r="AY1100" s="22"/>
      <c r="AZ1100" s="22"/>
      <c r="BA1100" s="22"/>
      <c r="BB1100" s="22"/>
      <c r="BC1100" s="22"/>
      <c r="BD1100" s="22"/>
      <c r="BE1100" s="22"/>
      <c r="BF1100" s="22"/>
      <c r="BG1100" s="22"/>
      <c r="BH1100" s="22"/>
      <c r="BI1100" s="22"/>
      <c r="BJ1100" s="22"/>
      <c r="BK1100" s="22"/>
      <c r="BL1100" s="22"/>
      <c r="BM1100" s="22"/>
      <c r="BN1100" s="22"/>
      <c r="BO1100" s="22"/>
      <c r="BP1100" s="22"/>
      <c r="BQ1100" s="22"/>
      <c r="BR1100" s="22"/>
      <c r="BS1100" s="22"/>
      <c r="BT1100" s="22"/>
      <c r="BU1100" s="22"/>
      <c r="BV1100" s="22"/>
      <c r="BW1100" s="22"/>
      <c r="BX1100" s="20"/>
      <c r="BY1100" s="20"/>
      <c r="BZ1100" s="20"/>
      <c r="CA1100" s="20"/>
      <c r="CB1100" s="20"/>
      <c r="CC1100" s="20"/>
      <c r="CD1100" s="22"/>
      <c r="CE1100" s="22"/>
      <c r="CF1100" s="22"/>
      <c r="CG1100" s="22"/>
      <c r="CH1100" s="22"/>
      <c r="CI1100" s="22"/>
      <c r="CJ1100" s="149"/>
      <c r="CK1100" s="241"/>
    </row>
    <row r="1101" spans="1:89" ht="15" customHeight="1" x14ac:dyDescent="0.35">
      <c r="A1101" s="17"/>
      <c r="B1101" s="313">
        <v>39077</v>
      </c>
      <c r="C1101" s="8" t="s">
        <v>347</v>
      </c>
      <c r="D1101" s="18">
        <v>17</v>
      </c>
      <c r="E1101" s="131" t="s">
        <v>1309</v>
      </c>
      <c r="F1101" s="22" t="s">
        <v>1309</v>
      </c>
      <c r="G1101" s="132" t="s">
        <v>1309</v>
      </c>
      <c r="H1101" s="22" t="s">
        <v>1311</v>
      </c>
      <c r="I1101" s="22" t="s">
        <v>1327</v>
      </c>
      <c r="J1101" s="22" t="s">
        <v>1327</v>
      </c>
      <c r="K1101" s="22" t="s">
        <v>1309</v>
      </c>
      <c r="L1101" s="22" t="s">
        <v>1309</v>
      </c>
      <c r="M1101" s="133" t="s">
        <v>1311</v>
      </c>
      <c r="N1101" s="22" t="s">
        <v>1311</v>
      </c>
      <c r="O1101" s="22" t="s">
        <v>1309</v>
      </c>
      <c r="P1101" s="22" t="s">
        <v>1309</v>
      </c>
      <c r="Q1101" s="20">
        <v>16.363499999999998</v>
      </c>
      <c r="R1101" s="20">
        <v>16.363499999999998</v>
      </c>
      <c r="S1101" s="20">
        <v>0</v>
      </c>
      <c r="T1101" s="20">
        <v>32.726999999999997</v>
      </c>
      <c r="U1101" s="20">
        <v>0</v>
      </c>
      <c r="V1101" s="20">
        <v>0</v>
      </c>
      <c r="W1101" s="20">
        <v>0</v>
      </c>
      <c r="X1101" s="20">
        <v>0</v>
      </c>
      <c r="Y1101" s="20">
        <v>0</v>
      </c>
      <c r="Z1101" s="20">
        <v>0</v>
      </c>
      <c r="AA1101" s="20" t="s">
        <v>1317</v>
      </c>
      <c r="AB1101" s="22" t="s">
        <v>1318</v>
      </c>
      <c r="AC1101" s="20">
        <v>2</v>
      </c>
      <c r="AD1101" s="20">
        <v>0</v>
      </c>
      <c r="AE1101" s="20">
        <v>2</v>
      </c>
      <c r="AF1101" s="20">
        <v>2</v>
      </c>
      <c r="AG1101" s="20">
        <v>0</v>
      </c>
      <c r="AH1101" s="20">
        <v>7</v>
      </c>
      <c r="AI1101" s="328">
        <v>6.1111620374614235</v>
      </c>
      <c r="AJ1101" s="328" t="s">
        <v>1328</v>
      </c>
      <c r="AK1101" s="328">
        <v>1.0928961748633881</v>
      </c>
      <c r="AL1101" s="22" t="s">
        <v>1329</v>
      </c>
      <c r="AM1101" s="22" t="s">
        <v>1330</v>
      </c>
      <c r="AN1101" s="22" t="s">
        <v>1317</v>
      </c>
      <c r="AO1101" s="22" t="s">
        <v>1318</v>
      </c>
      <c r="AP1101" s="22" t="s">
        <v>1318</v>
      </c>
      <c r="AQ1101" s="22" t="s">
        <v>1318</v>
      </c>
      <c r="AR1101" s="22" t="s">
        <v>1317</v>
      </c>
      <c r="AS1101" s="22" t="s">
        <v>1311</v>
      </c>
      <c r="AT1101" s="22" t="s">
        <v>1317</v>
      </c>
      <c r="AU1101" s="22" t="s">
        <v>1318</v>
      </c>
      <c r="AV1101" s="22" t="s">
        <v>1317</v>
      </c>
      <c r="AW1101" s="22" t="s">
        <v>1318</v>
      </c>
      <c r="AX1101" s="22" t="s">
        <v>1319</v>
      </c>
      <c r="AY1101" s="22" t="s">
        <v>1309</v>
      </c>
      <c r="AZ1101" s="22" t="s">
        <v>1309</v>
      </c>
      <c r="BA1101" s="22" t="s">
        <v>1309</v>
      </c>
      <c r="BB1101" s="22" t="s">
        <v>1309</v>
      </c>
      <c r="BC1101" s="22" t="s">
        <v>1309</v>
      </c>
      <c r="BD1101" s="22" t="s">
        <v>1309</v>
      </c>
      <c r="BE1101" s="22" t="s">
        <v>1309</v>
      </c>
      <c r="BF1101" s="22" t="s">
        <v>1319</v>
      </c>
      <c r="BG1101" s="22" t="s">
        <v>1309</v>
      </c>
      <c r="BH1101" s="22" t="s">
        <v>1309</v>
      </c>
      <c r="BI1101" s="22" t="s">
        <v>1309</v>
      </c>
      <c r="BJ1101" s="22" t="s">
        <v>1309</v>
      </c>
      <c r="BK1101" s="22" t="s">
        <v>1309</v>
      </c>
      <c r="BL1101" s="22" t="s">
        <v>1317</v>
      </c>
      <c r="BM1101" s="22" t="s">
        <v>1318</v>
      </c>
      <c r="BN1101" s="22" t="s">
        <v>1309</v>
      </c>
      <c r="BO1101" s="22" t="s">
        <v>1309</v>
      </c>
      <c r="BP1101" s="22" t="s">
        <v>1309</v>
      </c>
      <c r="BQ1101" s="22" t="s">
        <v>1309</v>
      </c>
      <c r="BR1101" s="22" t="s">
        <v>1309</v>
      </c>
      <c r="BS1101" s="22" t="s">
        <v>1309</v>
      </c>
      <c r="BT1101" s="22" t="s">
        <v>1309</v>
      </c>
      <c r="BU1101" s="22" t="s">
        <v>1309</v>
      </c>
      <c r="BV1101" s="22" t="s">
        <v>1309</v>
      </c>
      <c r="BW1101" s="22" t="s">
        <v>1309</v>
      </c>
      <c r="BX1101" s="20">
        <v>181</v>
      </c>
      <c r="BY1101" s="20">
        <v>0</v>
      </c>
      <c r="BZ1101" s="20">
        <v>0</v>
      </c>
      <c r="CA1101" s="20">
        <v>60</v>
      </c>
      <c r="CB1101" s="20">
        <v>0</v>
      </c>
      <c r="CC1101" s="20">
        <v>1589</v>
      </c>
      <c r="CD1101" s="22" t="s">
        <v>1320</v>
      </c>
      <c r="CE1101" s="22" t="s">
        <v>1331</v>
      </c>
      <c r="CF1101" s="22" t="s">
        <v>1320</v>
      </c>
      <c r="CG1101" s="22" t="s">
        <v>1331</v>
      </c>
      <c r="CH1101" s="22" t="s">
        <v>1317</v>
      </c>
      <c r="CI1101" s="22" t="s">
        <v>1318</v>
      </c>
      <c r="CJ1101" s="149" t="s">
        <v>3649</v>
      </c>
      <c r="CK1101" s="241" t="s">
        <v>3650</v>
      </c>
    </row>
    <row r="1102" spans="1:89" ht="15" customHeight="1" x14ac:dyDescent="0.35">
      <c r="A1102" s="17"/>
      <c r="B1102" s="313">
        <v>47025</v>
      </c>
      <c r="C1102" s="8" t="s">
        <v>450</v>
      </c>
      <c r="D1102" s="18">
        <v>5</v>
      </c>
      <c r="E1102" s="131"/>
      <c r="F1102" s="22"/>
      <c r="G1102" s="132"/>
      <c r="H1102" s="22"/>
      <c r="I1102" s="22"/>
      <c r="J1102" s="22"/>
      <c r="K1102" s="22"/>
      <c r="L1102" s="22"/>
      <c r="M1102" s="133"/>
      <c r="N1102" s="22"/>
      <c r="O1102" s="22"/>
      <c r="P1102" s="22"/>
      <c r="Q1102" s="20"/>
      <c r="R1102" s="20"/>
      <c r="S1102" s="20"/>
      <c r="T1102" s="20"/>
      <c r="U1102" s="20"/>
      <c r="V1102" s="20"/>
      <c r="W1102" s="20"/>
      <c r="X1102" s="20"/>
      <c r="Y1102" s="20"/>
      <c r="Z1102" s="20"/>
      <c r="AA1102" s="20"/>
      <c r="AB1102" s="22"/>
      <c r="AC1102" s="20"/>
      <c r="AD1102" s="20"/>
      <c r="AE1102" s="20"/>
      <c r="AF1102" s="20" t="s">
        <v>1124</v>
      </c>
      <c r="AG1102" s="20" t="s">
        <v>1124</v>
      </c>
      <c r="AH1102" s="20" t="s">
        <v>1124</v>
      </c>
      <c r="AI1102" s="328"/>
      <c r="AJ1102" s="328"/>
      <c r="AK1102" s="328"/>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0"/>
      <c r="BY1102" s="20"/>
      <c r="BZ1102" s="20"/>
      <c r="CA1102" s="20"/>
      <c r="CB1102" s="20"/>
      <c r="CC1102" s="20"/>
      <c r="CD1102" s="22"/>
      <c r="CE1102" s="22"/>
      <c r="CF1102" s="22"/>
      <c r="CG1102" s="22"/>
      <c r="CH1102" s="22"/>
      <c r="CI1102" s="22"/>
      <c r="CJ1102" s="149"/>
      <c r="CK1102" s="241"/>
    </row>
    <row r="1103" spans="1:89" ht="15" customHeight="1" x14ac:dyDescent="0.35">
      <c r="A1103" s="17"/>
      <c r="B1103" s="313">
        <v>44080</v>
      </c>
      <c r="C1103" s="8" t="s">
        <v>409</v>
      </c>
      <c r="D1103" s="21">
        <v>5</v>
      </c>
      <c r="E1103" s="131" t="s">
        <v>1309</v>
      </c>
      <c r="F1103" s="22" t="s">
        <v>1309</v>
      </c>
      <c r="G1103" s="132" t="s">
        <v>1309</v>
      </c>
      <c r="H1103" s="22" t="s">
        <v>1311</v>
      </c>
      <c r="I1103" s="22" t="s">
        <v>1327</v>
      </c>
      <c r="J1103" s="22" t="s">
        <v>1327</v>
      </c>
      <c r="K1103" s="22" t="s">
        <v>1314</v>
      </c>
      <c r="L1103" s="22" t="s">
        <v>1311</v>
      </c>
      <c r="M1103" s="133" t="s">
        <v>1311</v>
      </c>
      <c r="N1103" s="22" t="s">
        <v>1311</v>
      </c>
      <c r="O1103" s="22" t="s">
        <v>1309</v>
      </c>
      <c r="P1103" s="22" t="s">
        <v>1309</v>
      </c>
      <c r="Q1103" s="20">
        <v>0</v>
      </c>
      <c r="R1103" s="20">
        <v>0</v>
      </c>
      <c r="S1103" s="20">
        <v>21.863</v>
      </c>
      <c r="T1103" s="20">
        <v>0</v>
      </c>
      <c r="U1103" s="20">
        <v>0</v>
      </c>
      <c r="V1103" s="20">
        <v>14.574999999999999</v>
      </c>
      <c r="W1103" s="20">
        <v>0</v>
      </c>
      <c r="X1103" s="20">
        <v>0</v>
      </c>
      <c r="Y1103" s="20">
        <v>0</v>
      </c>
      <c r="Z1103" s="20">
        <v>0</v>
      </c>
      <c r="AA1103" s="20" t="s">
        <v>1317</v>
      </c>
      <c r="AB1103" s="22" t="s">
        <v>1311</v>
      </c>
      <c r="AC1103" s="20">
        <v>5</v>
      </c>
      <c r="AD1103" s="20">
        <v>0</v>
      </c>
      <c r="AE1103" s="20">
        <v>1</v>
      </c>
      <c r="AF1103" s="20">
        <v>60</v>
      </c>
      <c r="AG1103" s="20">
        <v>0</v>
      </c>
      <c r="AH1103" s="20">
        <v>13</v>
      </c>
      <c r="AI1103" s="328">
        <v>34.305317324185253</v>
      </c>
      <c r="AJ1103" s="328" t="s">
        <v>1328</v>
      </c>
      <c r="AK1103" s="328">
        <v>1.9841269841269842</v>
      </c>
      <c r="AL1103" s="22" t="s">
        <v>1316</v>
      </c>
      <c r="AM1103" s="22" t="s">
        <v>1343</v>
      </c>
      <c r="AN1103" s="22" t="s">
        <v>1317</v>
      </c>
      <c r="AO1103" s="22" t="s">
        <v>1318</v>
      </c>
      <c r="AP1103" s="22" t="s">
        <v>1318</v>
      </c>
      <c r="AQ1103" s="22" t="s">
        <v>1318</v>
      </c>
      <c r="AR1103" s="22" t="s">
        <v>1317</v>
      </c>
      <c r="AS1103" s="22" t="s">
        <v>1318</v>
      </c>
      <c r="AT1103" s="22" t="s">
        <v>1317</v>
      </c>
      <c r="AU1103" s="22" t="s">
        <v>1318</v>
      </c>
      <c r="AV1103" s="22" t="s">
        <v>1317</v>
      </c>
      <c r="AW1103" s="22" t="s">
        <v>1318</v>
      </c>
      <c r="AX1103" s="22" t="s">
        <v>1317</v>
      </c>
      <c r="AY1103" s="22" t="s">
        <v>1318</v>
      </c>
      <c r="AZ1103" s="22" t="s">
        <v>1317</v>
      </c>
      <c r="BA1103" s="22" t="s">
        <v>1318</v>
      </c>
      <c r="BB1103" s="22" t="s">
        <v>1309</v>
      </c>
      <c r="BC1103" s="22" t="s">
        <v>1309</v>
      </c>
      <c r="BD1103" s="22" t="s">
        <v>1317</v>
      </c>
      <c r="BE1103" s="22" t="s">
        <v>1318</v>
      </c>
      <c r="BF1103" s="22" t="s">
        <v>1317</v>
      </c>
      <c r="BG1103" s="22" t="s">
        <v>1318</v>
      </c>
      <c r="BH1103" s="22" t="s">
        <v>1309</v>
      </c>
      <c r="BI1103" s="22" t="s">
        <v>1309</v>
      </c>
      <c r="BJ1103" s="22" t="s">
        <v>1317</v>
      </c>
      <c r="BK1103" s="22" t="s">
        <v>1318</v>
      </c>
      <c r="BL1103" s="22" t="s">
        <v>1317</v>
      </c>
      <c r="BM1103" s="22" t="s">
        <v>1318</v>
      </c>
      <c r="BN1103" s="22" t="s">
        <v>1317</v>
      </c>
      <c r="BO1103" s="22" t="s">
        <v>1318</v>
      </c>
      <c r="BP1103" s="22" t="s">
        <v>1309</v>
      </c>
      <c r="BQ1103" s="22" t="s">
        <v>1309</v>
      </c>
      <c r="BR1103" s="22" t="s">
        <v>1319</v>
      </c>
      <c r="BS1103" s="22" t="s">
        <v>1311</v>
      </c>
      <c r="BT1103" s="22" t="s">
        <v>1309</v>
      </c>
      <c r="BU1103" s="22" t="s">
        <v>1309</v>
      </c>
      <c r="BV1103" s="22" t="s">
        <v>1309</v>
      </c>
      <c r="BW1103" s="22" t="s">
        <v>1309</v>
      </c>
      <c r="BX1103" s="20">
        <v>29</v>
      </c>
      <c r="BY1103" s="20">
        <v>4</v>
      </c>
      <c r="BZ1103" s="20">
        <v>28</v>
      </c>
      <c r="CA1103" s="20">
        <v>20</v>
      </c>
      <c r="CB1103" s="20">
        <v>0</v>
      </c>
      <c r="CC1103" s="20">
        <v>423</v>
      </c>
      <c r="CD1103" s="22" t="s">
        <v>1331</v>
      </c>
      <c r="CE1103" s="22" t="s">
        <v>1331</v>
      </c>
      <c r="CF1103" s="22" t="s">
        <v>1331</v>
      </c>
      <c r="CG1103" s="22" t="s">
        <v>1331</v>
      </c>
      <c r="CH1103" s="22" t="s">
        <v>1317</v>
      </c>
      <c r="CI1103" s="22" t="s">
        <v>1318</v>
      </c>
      <c r="CJ1103" s="149" t="s">
        <v>3654</v>
      </c>
      <c r="CK1103" s="241" t="s">
        <v>3655</v>
      </c>
    </row>
    <row r="1104" spans="1:89" ht="15" customHeight="1" x14ac:dyDescent="0.35">
      <c r="A1104" s="17"/>
      <c r="B1104" s="313">
        <v>41098</v>
      </c>
      <c r="C1104" s="8" t="s">
        <v>377</v>
      </c>
      <c r="D1104" s="18">
        <v>5</v>
      </c>
      <c r="E1104" s="131" t="s">
        <v>1309</v>
      </c>
      <c r="F1104" s="22" t="s">
        <v>1309</v>
      </c>
      <c r="G1104" s="132" t="s">
        <v>1309</v>
      </c>
      <c r="H1104" s="22" t="s">
        <v>1311</v>
      </c>
      <c r="I1104" s="22" t="s">
        <v>1327</v>
      </c>
      <c r="J1104" s="22" t="s">
        <v>1327</v>
      </c>
      <c r="K1104" s="22" t="s">
        <v>1314</v>
      </c>
      <c r="L1104" s="22" t="s">
        <v>1311</v>
      </c>
      <c r="M1104" s="133" t="s">
        <v>1311</v>
      </c>
      <c r="N1104" s="22" t="s">
        <v>1311</v>
      </c>
      <c r="O1104" s="22" t="s">
        <v>1314</v>
      </c>
      <c r="P1104" s="22" t="s">
        <v>1311</v>
      </c>
      <c r="Q1104" s="20">
        <v>0</v>
      </c>
      <c r="R1104" s="20">
        <v>15.578000000000001</v>
      </c>
      <c r="S1104" s="20">
        <v>0</v>
      </c>
      <c r="T1104" s="20">
        <v>15.578000000000001</v>
      </c>
      <c r="U1104" s="20">
        <v>15.578000000000001</v>
      </c>
      <c r="V1104" s="20">
        <v>0</v>
      </c>
      <c r="W1104" s="20">
        <v>0</v>
      </c>
      <c r="X1104" s="20">
        <v>0</v>
      </c>
      <c r="Y1104" s="20">
        <v>0</v>
      </c>
      <c r="Z1104" s="20">
        <v>0</v>
      </c>
      <c r="AA1104" s="20" t="s">
        <v>1309</v>
      </c>
      <c r="AB1104" s="22" t="s">
        <v>1309</v>
      </c>
      <c r="AC1104" s="20">
        <v>3</v>
      </c>
      <c r="AD1104" s="20">
        <v>0</v>
      </c>
      <c r="AE1104" s="20">
        <v>7</v>
      </c>
      <c r="AF1104" s="20">
        <v>1</v>
      </c>
      <c r="AG1104" s="20">
        <v>0</v>
      </c>
      <c r="AH1104" s="20">
        <v>4</v>
      </c>
      <c r="AI1104" s="328">
        <v>17.669925786311698</v>
      </c>
      <c r="AJ1104" s="328" t="s">
        <v>1328</v>
      </c>
      <c r="AK1104" s="328">
        <v>13.084112149532711</v>
      </c>
      <c r="AL1104" s="22" t="s">
        <v>1329</v>
      </c>
      <c r="AM1104" s="22" t="s">
        <v>1343</v>
      </c>
      <c r="AN1104" s="22" t="s">
        <v>1317</v>
      </c>
      <c r="AO1104" s="22" t="s">
        <v>1318</v>
      </c>
      <c r="AP1104" s="22" t="s">
        <v>1318</v>
      </c>
      <c r="AQ1104" s="22" t="s">
        <v>1318</v>
      </c>
      <c r="AR1104" s="22" t="s">
        <v>1317</v>
      </c>
      <c r="AS1104" s="22" t="s">
        <v>1318</v>
      </c>
      <c r="AT1104" s="22" t="s">
        <v>1309</v>
      </c>
      <c r="AU1104" s="22" t="s">
        <v>1309</v>
      </c>
      <c r="AV1104" s="22" t="s">
        <v>1317</v>
      </c>
      <c r="AW1104" s="22" t="s">
        <v>1318</v>
      </c>
      <c r="AX1104" s="22" t="s">
        <v>1317</v>
      </c>
      <c r="AY1104" s="22" t="s">
        <v>1318</v>
      </c>
      <c r="AZ1104" s="22" t="s">
        <v>1317</v>
      </c>
      <c r="BA1104" s="22" t="s">
        <v>1318</v>
      </c>
      <c r="BB1104" s="22" t="s">
        <v>1309</v>
      </c>
      <c r="BC1104" s="22" t="s">
        <v>1309</v>
      </c>
      <c r="BD1104" s="22" t="s">
        <v>1317</v>
      </c>
      <c r="BE1104" s="22" t="s">
        <v>1311</v>
      </c>
      <c r="BF1104" s="22" t="s">
        <v>1317</v>
      </c>
      <c r="BG1104" s="22" t="s">
        <v>1318</v>
      </c>
      <c r="BH1104" s="22" t="s">
        <v>1309</v>
      </c>
      <c r="BI1104" s="22" t="s">
        <v>1309</v>
      </c>
      <c r="BJ1104" s="22" t="s">
        <v>1317</v>
      </c>
      <c r="BK1104" s="22" t="s">
        <v>1318</v>
      </c>
      <c r="BL1104" s="22" t="s">
        <v>1317</v>
      </c>
      <c r="BM1104" s="22" t="s">
        <v>1318</v>
      </c>
      <c r="BN1104" s="22" t="s">
        <v>1317</v>
      </c>
      <c r="BO1104" s="22" t="s">
        <v>1311</v>
      </c>
      <c r="BP1104" s="22" t="s">
        <v>1317</v>
      </c>
      <c r="BQ1104" s="22" t="s">
        <v>1311</v>
      </c>
      <c r="BR1104" s="22" t="s">
        <v>1317</v>
      </c>
      <c r="BS1104" s="22" t="s">
        <v>1318</v>
      </c>
      <c r="BT1104" s="22" t="s">
        <v>1317</v>
      </c>
      <c r="BU1104" s="22" t="s">
        <v>1318</v>
      </c>
      <c r="BV1104" s="22" t="s">
        <v>1309</v>
      </c>
      <c r="BW1104" s="22" t="s">
        <v>1309</v>
      </c>
      <c r="BX1104" s="20">
        <v>0</v>
      </c>
      <c r="BY1104" s="20">
        <v>0</v>
      </c>
      <c r="BZ1104" s="20">
        <v>65</v>
      </c>
      <c r="CA1104" s="20">
        <v>0</v>
      </c>
      <c r="CB1104" s="20">
        <v>0</v>
      </c>
      <c r="CC1104" s="20">
        <v>470</v>
      </c>
      <c r="CD1104" s="22" t="s">
        <v>1317</v>
      </c>
      <c r="CE1104" s="22" t="s">
        <v>1321</v>
      </c>
      <c r="CF1104" s="22" t="s">
        <v>1317</v>
      </c>
      <c r="CG1104" s="22" t="s">
        <v>1321</v>
      </c>
      <c r="CH1104" s="22" t="s">
        <v>1317</v>
      </c>
      <c r="CI1104" s="22" t="s">
        <v>1318</v>
      </c>
      <c r="CJ1104" s="149" t="s">
        <v>3663</v>
      </c>
      <c r="CK1104" s="241" t="s">
        <v>1359</v>
      </c>
    </row>
    <row r="1105" spans="1:89" ht="15" customHeight="1" x14ac:dyDescent="0.35">
      <c r="A1105" s="17"/>
      <c r="B1105" s="313">
        <v>76035</v>
      </c>
      <c r="C1105" s="11" t="s">
        <v>751</v>
      </c>
      <c r="D1105" s="18">
        <v>15</v>
      </c>
      <c r="E1105" s="131"/>
      <c r="F1105" s="22"/>
      <c r="G1105" s="132"/>
      <c r="H1105" s="22"/>
      <c r="I1105" s="22"/>
      <c r="J1105" s="22"/>
      <c r="K1105" s="22"/>
      <c r="L1105" s="22"/>
      <c r="M1105" s="133"/>
      <c r="N1105" s="22"/>
      <c r="O1105" s="22"/>
      <c r="P1105" s="22"/>
      <c r="Q1105" s="20"/>
      <c r="R1105" s="20"/>
      <c r="S1105" s="20"/>
      <c r="T1105" s="20"/>
      <c r="U1105" s="20"/>
      <c r="V1105" s="20"/>
      <c r="W1105" s="20"/>
      <c r="X1105" s="20"/>
      <c r="Y1105" s="20"/>
      <c r="Z1105" s="20"/>
      <c r="AA1105" s="22"/>
      <c r="AB1105" s="22"/>
      <c r="AC1105" s="20"/>
      <c r="AD1105" s="20"/>
      <c r="AE1105" s="20"/>
      <c r="AF1105" s="20" t="s">
        <v>1124</v>
      </c>
      <c r="AG1105" s="20" t="s">
        <v>1124</v>
      </c>
      <c r="AH1105" s="20" t="s">
        <v>1124</v>
      </c>
      <c r="AI1105" s="328"/>
      <c r="AJ1105" s="328"/>
      <c r="AK1105" s="328"/>
      <c r="AL1105" s="22"/>
      <c r="AM1105" s="22"/>
      <c r="AN1105" s="22"/>
      <c r="AO1105" s="22"/>
      <c r="AP1105" s="22"/>
      <c r="AQ1105" s="22"/>
      <c r="AR1105" s="22"/>
      <c r="AS1105" s="22"/>
      <c r="AT1105" s="22"/>
      <c r="AU1105" s="22"/>
      <c r="AV1105" s="22"/>
      <c r="AW1105" s="22"/>
      <c r="AX1105" s="22"/>
      <c r="AY1105" s="22"/>
      <c r="AZ1105" s="22"/>
      <c r="BA1105" s="22"/>
      <c r="BB1105" s="22"/>
      <c r="BC1105" s="22"/>
      <c r="BD1105" s="22"/>
      <c r="BE1105" s="22"/>
      <c r="BF1105" s="22"/>
      <c r="BG1105" s="22"/>
      <c r="BH1105" s="22"/>
      <c r="BI1105" s="22"/>
      <c r="BJ1105" s="22"/>
      <c r="BK1105" s="22"/>
      <c r="BL1105" s="22"/>
      <c r="BM1105" s="22"/>
      <c r="BN1105" s="22"/>
      <c r="BO1105" s="22"/>
      <c r="BP1105" s="22"/>
      <c r="BQ1105" s="22"/>
      <c r="BR1105" s="22"/>
      <c r="BS1105" s="22"/>
      <c r="BT1105" s="22"/>
      <c r="BU1105" s="22"/>
      <c r="BV1105" s="22"/>
      <c r="BW1105" s="22"/>
      <c r="BX1105" s="22"/>
      <c r="BY1105" s="22"/>
      <c r="BZ1105" s="22"/>
      <c r="CA1105" s="22"/>
      <c r="CB1105" s="22"/>
      <c r="CC1105" s="22"/>
      <c r="CD1105" s="22"/>
      <c r="CE1105" s="22"/>
      <c r="CF1105" s="22"/>
      <c r="CG1105" s="22"/>
      <c r="CH1105" s="22"/>
      <c r="CI1105" s="22"/>
      <c r="CJ1105" s="149"/>
      <c r="CK1105" s="241"/>
    </row>
    <row r="1106" spans="1:89" ht="15" customHeight="1" x14ac:dyDescent="0.35">
      <c r="A1106" s="17"/>
      <c r="B1106" s="313">
        <v>77060</v>
      </c>
      <c r="C1106" s="8" t="s">
        <v>764</v>
      </c>
      <c r="D1106" s="18">
        <v>15</v>
      </c>
      <c r="E1106" s="131"/>
      <c r="F1106" s="22"/>
      <c r="G1106" s="132"/>
      <c r="H1106" s="22"/>
      <c r="I1106" s="22"/>
      <c r="J1106" s="22"/>
      <c r="K1106" s="22"/>
      <c r="L1106" s="22"/>
      <c r="M1106" s="133"/>
      <c r="N1106" s="22"/>
      <c r="O1106" s="22"/>
      <c r="P1106" s="22"/>
      <c r="Q1106" s="20"/>
      <c r="R1106" s="20"/>
      <c r="S1106" s="20"/>
      <c r="T1106" s="20"/>
      <c r="U1106" s="20"/>
      <c r="V1106" s="20"/>
      <c r="W1106" s="20"/>
      <c r="X1106" s="20"/>
      <c r="Y1106" s="20"/>
      <c r="Z1106" s="20"/>
      <c r="AA1106" s="22"/>
      <c r="AB1106" s="22"/>
      <c r="AC1106" s="20"/>
      <c r="AD1106" s="20"/>
      <c r="AE1106" s="20"/>
      <c r="AF1106" s="20" t="s">
        <v>1124</v>
      </c>
      <c r="AG1106" s="20" t="s">
        <v>1124</v>
      </c>
      <c r="AH1106" s="20" t="s">
        <v>1124</v>
      </c>
      <c r="AI1106" s="328"/>
      <c r="AJ1106" s="328"/>
      <c r="AK1106" s="328"/>
      <c r="AL1106" s="22"/>
      <c r="AM1106" s="22"/>
      <c r="AN1106" s="22"/>
      <c r="AO1106" s="22"/>
      <c r="AP1106" s="22"/>
      <c r="AQ1106" s="22"/>
      <c r="AR1106" s="22"/>
      <c r="AS1106" s="22"/>
      <c r="AT1106" s="22"/>
      <c r="AU1106" s="22"/>
      <c r="AV1106" s="22"/>
      <c r="AW1106" s="22"/>
      <c r="AX1106" s="22"/>
      <c r="AY1106" s="22"/>
      <c r="AZ1106" s="22"/>
      <c r="BA1106" s="22"/>
      <c r="BB1106" s="22"/>
      <c r="BC1106" s="22"/>
      <c r="BD1106" s="22"/>
      <c r="BE1106" s="22"/>
      <c r="BF1106" s="22"/>
      <c r="BG1106" s="22"/>
      <c r="BH1106" s="22"/>
      <c r="BI1106" s="22"/>
      <c r="BJ1106" s="22"/>
      <c r="BK1106" s="22"/>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22"/>
      <c r="CG1106" s="22"/>
      <c r="CH1106" s="22"/>
      <c r="CI1106" s="22"/>
      <c r="CJ1106" s="149"/>
      <c r="CK1106" s="241"/>
    </row>
    <row r="1107" spans="1:89" ht="15" customHeight="1" x14ac:dyDescent="0.35">
      <c r="A1107" s="17"/>
      <c r="B1107" s="313">
        <v>41065</v>
      </c>
      <c r="C1107" s="8" t="s">
        <v>372</v>
      </c>
      <c r="D1107" s="18">
        <v>5</v>
      </c>
      <c r="E1107" s="131"/>
      <c r="F1107" s="22"/>
      <c r="G1107" s="132"/>
      <c r="H1107" s="22"/>
      <c r="I1107" s="22"/>
      <c r="J1107" s="22"/>
      <c r="K1107" s="22"/>
      <c r="L1107" s="22"/>
      <c r="M1107" s="133"/>
      <c r="N1107" s="22"/>
      <c r="O1107" s="22"/>
      <c r="P1107" s="22"/>
      <c r="Q1107" s="20"/>
      <c r="R1107" s="20"/>
      <c r="S1107" s="20"/>
      <c r="T1107" s="20"/>
      <c r="U1107" s="20"/>
      <c r="V1107" s="20"/>
      <c r="W1107" s="20"/>
      <c r="X1107" s="20"/>
      <c r="Y1107" s="20"/>
      <c r="Z1107" s="20"/>
      <c r="AA1107" s="22"/>
      <c r="AB1107" s="22"/>
      <c r="AC1107" s="20"/>
      <c r="AD1107" s="20"/>
      <c r="AE1107" s="20"/>
      <c r="AF1107" s="20" t="s">
        <v>1124</v>
      </c>
      <c r="AG1107" s="20" t="s">
        <v>1124</v>
      </c>
      <c r="AH1107" s="20" t="s">
        <v>1124</v>
      </c>
      <c r="AI1107" s="328"/>
      <c r="AJ1107" s="328"/>
      <c r="AK1107" s="328"/>
      <c r="AL1107" s="22"/>
      <c r="AM1107" s="22"/>
      <c r="AN1107" s="22"/>
      <c r="AO1107" s="22"/>
      <c r="AP1107" s="22"/>
      <c r="AQ1107" s="22"/>
      <c r="AR1107" s="22"/>
      <c r="AS1107" s="22"/>
      <c r="AT1107" s="22"/>
      <c r="AU1107" s="22"/>
      <c r="AV1107" s="22"/>
      <c r="AW1107" s="22"/>
      <c r="AX1107" s="22"/>
      <c r="AY1107" s="22"/>
      <c r="AZ1107" s="22"/>
      <c r="BA1107" s="22"/>
      <c r="BB1107" s="22"/>
      <c r="BC1107" s="22"/>
      <c r="BD1107" s="22"/>
      <c r="BE1107" s="22"/>
      <c r="BF1107" s="22"/>
      <c r="BG1107" s="22"/>
      <c r="BH1107" s="22"/>
      <c r="BI1107" s="22"/>
      <c r="BJ1107" s="22"/>
      <c r="BK1107" s="22"/>
      <c r="BL1107" s="22"/>
      <c r="BM1107" s="22"/>
      <c r="BN1107" s="22"/>
      <c r="BO1107" s="22"/>
      <c r="BP1107" s="22"/>
      <c r="BQ1107" s="22"/>
      <c r="BR1107" s="22"/>
      <c r="BS1107" s="22"/>
      <c r="BT1107" s="22"/>
      <c r="BU1107" s="22"/>
      <c r="BV1107" s="22"/>
      <c r="BW1107" s="22"/>
      <c r="BX1107" s="22"/>
      <c r="BY1107" s="22"/>
      <c r="BZ1107" s="22"/>
      <c r="CA1107" s="22"/>
      <c r="CB1107" s="22"/>
      <c r="CC1107" s="22"/>
      <c r="CD1107" s="22"/>
      <c r="CE1107" s="22"/>
      <c r="CF1107" s="22"/>
      <c r="CG1107" s="22"/>
      <c r="CH1107" s="22"/>
      <c r="CI1107" s="22"/>
      <c r="CJ1107" s="149"/>
      <c r="CK1107" s="241"/>
    </row>
    <row r="1108" spans="1:89" ht="15" customHeight="1" x14ac:dyDescent="0.35">
      <c r="A1108" s="17"/>
      <c r="B1108" s="313">
        <v>66032</v>
      </c>
      <c r="C1108" s="8" t="s">
        <v>649</v>
      </c>
      <c r="D1108" s="18">
        <v>6</v>
      </c>
      <c r="E1108" s="131"/>
      <c r="F1108" s="22"/>
      <c r="G1108" s="132"/>
      <c r="H1108" s="22"/>
      <c r="I1108" s="22"/>
      <c r="J1108" s="22"/>
      <c r="K1108" s="22"/>
      <c r="L1108" s="22"/>
      <c r="M1108" s="133"/>
      <c r="N1108" s="22"/>
      <c r="O1108" s="22"/>
      <c r="P1108" s="22"/>
      <c r="Q1108" s="20"/>
      <c r="R1108" s="20"/>
      <c r="S1108" s="20"/>
      <c r="T1108" s="20"/>
      <c r="U1108" s="20"/>
      <c r="V1108" s="20"/>
      <c r="W1108" s="20"/>
      <c r="X1108" s="20"/>
      <c r="Y1108" s="20"/>
      <c r="Z1108" s="20"/>
      <c r="AA1108" s="22"/>
      <c r="AB1108" s="22"/>
      <c r="AC1108" s="20"/>
      <c r="AD1108" s="20"/>
      <c r="AE1108" s="20"/>
      <c r="AF1108" s="20" t="s">
        <v>1124</v>
      </c>
      <c r="AG1108" s="20" t="s">
        <v>1124</v>
      </c>
      <c r="AH1108" s="20" t="s">
        <v>1124</v>
      </c>
      <c r="AI1108" s="328"/>
      <c r="AJ1108" s="328"/>
      <c r="AK1108" s="328"/>
      <c r="AL1108" s="22"/>
      <c r="AM1108" s="22"/>
      <c r="AN1108" s="22"/>
      <c r="AO1108" s="22"/>
      <c r="AP1108" s="22"/>
      <c r="AQ1108" s="22"/>
      <c r="AR1108" s="22"/>
      <c r="AS1108" s="22"/>
      <c r="AT1108" s="22"/>
      <c r="AU1108" s="22"/>
      <c r="AV1108" s="22"/>
      <c r="AW1108" s="22"/>
      <c r="AX1108" s="22"/>
      <c r="AY1108" s="22"/>
      <c r="AZ1108" s="22"/>
      <c r="BA1108" s="22"/>
      <c r="BB1108" s="22"/>
      <c r="BC1108" s="22"/>
      <c r="BD1108" s="22"/>
      <c r="BE1108" s="22"/>
      <c r="BF1108" s="22"/>
      <c r="BG1108" s="22"/>
      <c r="BH1108" s="22"/>
      <c r="BI1108" s="22"/>
      <c r="BJ1108" s="22"/>
      <c r="BK1108" s="22"/>
      <c r="BL1108" s="22"/>
      <c r="BM1108" s="22"/>
      <c r="BN1108" s="22"/>
      <c r="BO1108" s="22"/>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c r="CJ1108" s="149"/>
      <c r="CK1108" s="241"/>
    </row>
    <row r="1109" spans="1:89" ht="15" customHeight="1" x14ac:dyDescent="0.35">
      <c r="A1109" s="17"/>
      <c r="B1109" s="313">
        <v>49040</v>
      </c>
      <c r="C1109" s="8" t="s">
        <v>469</v>
      </c>
      <c r="D1109" s="18">
        <v>17</v>
      </c>
      <c r="E1109" s="131" t="s">
        <v>1309</v>
      </c>
      <c r="F1109" s="22" t="s">
        <v>1309</v>
      </c>
      <c r="G1109" s="132" t="s">
        <v>1309</v>
      </c>
      <c r="H1109" s="22" t="s">
        <v>1311</v>
      </c>
      <c r="I1109" s="22" t="s">
        <v>1327</v>
      </c>
      <c r="J1109" s="22" t="s">
        <v>1327</v>
      </c>
      <c r="K1109" s="22" t="s">
        <v>1314</v>
      </c>
      <c r="L1109" s="22" t="s">
        <v>1311</v>
      </c>
      <c r="M1109" s="133" t="s">
        <v>1311</v>
      </c>
      <c r="N1109" s="22" t="s">
        <v>1311</v>
      </c>
      <c r="O1109" s="22" t="s">
        <v>1309</v>
      </c>
      <c r="P1109" s="22" t="s">
        <v>1309</v>
      </c>
      <c r="Q1109" s="20">
        <v>0</v>
      </c>
      <c r="R1109" s="20">
        <v>0</v>
      </c>
      <c r="S1109" s="20">
        <v>0</v>
      </c>
      <c r="T1109" s="20">
        <v>0</v>
      </c>
      <c r="U1109" s="20">
        <v>0</v>
      </c>
      <c r="V1109" s="20">
        <v>0</v>
      </c>
      <c r="W1109" s="20">
        <v>0</v>
      </c>
      <c r="X1109" s="20">
        <v>0</v>
      </c>
      <c r="Y1109" s="20">
        <v>0</v>
      </c>
      <c r="Z1109" s="20">
        <v>0</v>
      </c>
      <c r="AA1109" s="22" t="s">
        <v>1317</v>
      </c>
      <c r="AB1109" s="22" t="s">
        <v>1311</v>
      </c>
      <c r="AC1109" s="20">
        <v>0</v>
      </c>
      <c r="AD1109" s="20">
        <v>0</v>
      </c>
      <c r="AE1109" s="20">
        <v>2</v>
      </c>
      <c r="AF1109" s="20">
        <v>0</v>
      </c>
      <c r="AG1109" s="20">
        <v>0</v>
      </c>
      <c r="AH1109" s="20">
        <v>120</v>
      </c>
      <c r="AI1109" s="328" t="s">
        <v>1328</v>
      </c>
      <c r="AJ1109" s="328" t="s">
        <v>1328</v>
      </c>
      <c r="AK1109" s="328">
        <v>6.1728395061728394</v>
      </c>
      <c r="AL1109" s="22" t="s">
        <v>1316</v>
      </c>
      <c r="AM1109" s="22" t="s">
        <v>1343</v>
      </c>
      <c r="AN1109" s="22" t="s">
        <v>1317</v>
      </c>
      <c r="AO1109" s="22" t="s">
        <v>1318</v>
      </c>
      <c r="AP1109" s="22" t="s">
        <v>1318</v>
      </c>
      <c r="AQ1109" s="22" t="s">
        <v>1318</v>
      </c>
      <c r="AR1109" s="22" t="s">
        <v>1317</v>
      </c>
      <c r="AS1109" s="22" t="s">
        <v>1318</v>
      </c>
      <c r="AT1109" s="22" t="s">
        <v>1317</v>
      </c>
      <c r="AU1109" s="22" t="s">
        <v>1318</v>
      </c>
      <c r="AV1109" s="22" t="s">
        <v>1309</v>
      </c>
      <c r="AW1109" s="22" t="s">
        <v>1309</v>
      </c>
      <c r="AX1109" s="22" t="s">
        <v>1317</v>
      </c>
      <c r="AY1109" s="22" t="s">
        <v>1318</v>
      </c>
      <c r="AZ1109" s="22" t="s">
        <v>1309</v>
      </c>
      <c r="BA1109" s="22" t="s">
        <v>1309</v>
      </c>
      <c r="BB1109" s="22" t="s">
        <v>1309</v>
      </c>
      <c r="BC1109" s="22" t="s">
        <v>1309</v>
      </c>
      <c r="BD1109" s="22" t="s">
        <v>1309</v>
      </c>
      <c r="BE1109" s="22" t="s">
        <v>1309</v>
      </c>
      <c r="BF1109" s="22" t="s">
        <v>1309</v>
      </c>
      <c r="BG1109" s="22" t="s">
        <v>1309</v>
      </c>
      <c r="BH1109" s="22" t="s">
        <v>1309</v>
      </c>
      <c r="BI1109" s="22" t="s">
        <v>1309</v>
      </c>
      <c r="BJ1109" s="22" t="s">
        <v>1317</v>
      </c>
      <c r="BK1109" s="22" t="s">
        <v>1318</v>
      </c>
      <c r="BL1109" s="22" t="s">
        <v>1309</v>
      </c>
      <c r="BM1109" s="22" t="s">
        <v>1309</v>
      </c>
      <c r="BN1109" s="22" t="s">
        <v>1309</v>
      </c>
      <c r="BO1109" s="22" t="s">
        <v>1309</v>
      </c>
      <c r="BP1109" s="22" t="s">
        <v>1309</v>
      </c>
      <c r="BQ1109" s="22" t="s">
        <v>1309</v>
      </c>
      <c r="BR1109" s="22" t="s">
        <v>1309</v>
      </c>
      <c r="BS1109" s="22" t="s">
        <v>1309</v>
      </c>
      <c r="BT1109" s="22" t="s">
        <v>1317</v>
      </c>
      <c r="BU1109" s="22" t="s">
        <v>1318</v>
      </c>
      <c r="BV1109" s="22" t="s">
        <v>1317</v>
      </c>
      <c r="BW1109" s="22" t="s">
        <v>1318</v>
      </c>
      <c r="BX1109" s="22">
        <v>30</v>
      </c>
      <c r="BY1109" s="22">
        <v>0</v>
      </c>
      <c r="BZ1109" s="22">
        <v>0</v>
      </c>
      <c r="CA1109" s="22">
        <v>294</v>
      </c>
      <c r="CB1109" s="22">
        <v>0</v>
      </c>
      <c r="CC1109" s="22">
        <v>0</v>
      </c>
      <c r="CD1109" s="22" t="s">
        <v>1331</v>
      </c>
      <c r="CE1109" s="22" t="s">
        <v>1331</v>
      </c>
      <c r="CF1109" s="22" t="s">
        <v>1331</v>
      </c>
      <c r="CG1109" s="22" t="s">
        <v>1331</v>
      </c>
      <c r="CH1109" s="22" t="s">
        <v>1317</v>
      </c>
      <c r="CI1109" s="22" t="s">
        <v>1318</v>
      </c>
      <c r="CJ1109" s="149" t="s">
        <v>3667</v>
      </c>
      <c r="CK1109" s="241" t="s">
        <v>1124</v>
      </c>
    </row>
    <row r="1110" spans="1:89" ht="15" customHeight="1" x14ac:dyDescent="0.35">
      <c r="A1110" s="17"/>
      <c r="B1110" s="313">
        <v>42088</v>
      </c>
      <c r="C1110" s="8" t="s">
        <v>392</v>
      </c>
      <c r="D1110" s="18">
        <v>5</v>
      </c>
      <c r="E1110" s="131" t="s">
        <v>1309</v>
      </c>
      <c r="F1110" s="22" t="s">
        <v>1309</v>
      </c>
      <c r="G1110" s="132" t="s">
        <v>1309</v>
      </c>
      <c r="H1110" s="22" t="s">
        <v>1311</v>
      </c>
      <c r="I1110" s="22" t="s">
        <v>1351</v>
      </c>
      <c r="J1110" s="22" t="s">
        <v>1342</v>
      </c>
      <c r="K1110" s="22" t="s">
        <v>1314</v>
      </c>
      <c r="L1110" s="22" t="s">
        <v>1311</v>
      </c>
      <c r="M1110" s="133" t="s">
        <v>1311</v>
      </c>
      <c r="N1110" s="22" t="s">
        <v>1311</v>
      </c>
      <c r="O1110" s="22" t="s">
        <v>1314</v>
      </c>
      <c r="P1110" s="22" t="s">
        <v>1318</v>
      </c>
      <c r="Q1110" s="20">
        <v>0</v>
      </c>
      <c r="R1110" s="20">
        <v>0</v>
      </c>
      <c r="S1110" s="20">
        <v>0</v>
      </c>
      <c r="T1110" s="20">
        <v>0</v>
      </c>
      <c r="U1110" s="20">
        <v>0</v>
      </c>
      <c r="V1110" s="20">
        <v>40.948999999999998</v>
      </c>
      <c r="W1110" s="20">
        <v>0</v>
      </c>
      <c r="X1110" s="20">
        <v>0</v>
      </c>
      <c r="Y1110" s="20">
        <v>0</v>
      </c>
      <c r="Z1110" s="20">
        <v>0</v>
      </c>
      <c r="AA1110" s="22" t="s">
        <v>1317</v>
      </c>
      <c r="AB1110" s="22" t="s">
        <v>1311</v>
      </c>
      <c r="AC1110" s="20">
        <v>3</v>
      </c>
      <c r="AD1110" s="20">
        <v>3</v>
      </c>
      <c r="AE1110" s="20">
        <v>3</v>
      </c>
      <c r="AF1110" s="20">
        <v>2</v>
      </c>
      <c r="AG1110" s="20">
        <v>2</v>
      </c>
      <c r="AH1110" s="20">
        <v>2</v>
      </c>
      <c r="AI1110" s="328">
        <v>7.3261862316540087</v>
      </c>
      <c r="AJ1110" s="328">
        <v>1.7361111111111112</v>
      </c>
      <c r="AK1110" s="328">
        <v>1.7361111111111112</v>
      </c>
      <c r="AL1110" s="22" t="s">
        <v>1329</v>
      </c>
      <c r="AM1110" s="22" t="s">
        <v>1330</v>
      </c>
      <c r="AN1110" s="22" t="s">
        <v>1317</v>
      </c>
      <c r="AO1110" s="22" t="s">
        <v>1318</v>
      </c>
      <c r="AP1110" s="22" t="s">
        <v>1350</v>
      </c>
      <c r="AQ1110" s="22" t="s">
        <v>1315</v>
      </c>
      <c r="AR1110" s="22" t="s">
        <v>1319</v>
      </c>
      <c r="AS1110" s="22" t="s">
        <v>1311</v>
      </c>
      <c r="AT1110" s="22" t="s">
        <v>1319</v>
      </c>
      <c r="AU1110" s="22" t="s">
        <v>1311</v>
      </c>
      <c r="AV1110" s="22" t="s">
        <v>1319</v>
      </c>
      <c r="AW1110" s="22" t="s">
        <v>1311</v>
      </c>
      <c r="AX1110" s="22" t="s">
        <v>1319</v>
      </c>
      <c r="AY1110" s="22" t="s">
        <v>1311</v>
      </c>
      <c r="AZ1110" s="22" t="s">
        <v>1317</v>
      </c>
      <c r="BA1110" s="22" t="s">
        <v>1318</v>
      </c>
      <c r="BB1110" s="22" t="s">
        <v>1309</v>
      </c>
      <c r="BC1110" s="22" t="s">
        <v>1309</v>
      </c>
      <c r="BD1110" s="22" t="s">
        <v>1317</v>
      </c>
      <c r="BE1110" s="22" t="s">
        <v>1318</v>
      </c>
      <c r="BF1110" s="22" t="s">
        <v>1317</v>
      </c>
      <c r="BG1110" s="22" t="s">
        <v>1318</v>
      </c>
      <c r="BH1110" s="22" t="s">
        <v>1309</v>
      </c>
      <c r="BI1110" s="22" t="s">
        <v>1309</v>
      </c>
      <c r="BJ1110" s="22" t="s">
        <v>1317</v>
      </c>
      <c r="BK1110" s="22" t="s">
        <v>1318</v>
      </c>
      <c r="BL1110" s="22" t="s">
        <v>1317</v>
      </c>
      <c r="BM1110" s="22" t="s">
        <v>1318</v>
      </c>
      <c r="BN1110" s="22" t="s">
        <v>1309</v>
      </c>
      <c r="BO1110" s="22" t="s">
        <v>1309</v>
      </c>
      <c r="BP1110" s="22" t="s">
        <v>1309</v>
      </c>
      <c r="BQ1110" s="22" t="s">
        <v>1309</v>
      </c>
      <c r="BR1110" s="22" t="s">
        <v>1317</v>
      </c>
      <c r="BS1110" s="22" t="s">
        <v>1318</v>
      </c>
      <c r="BT1110" s="22" t="s">
        <v>1309</v>
      </c>
      <c r="BU1110" s="22" t="s">
        <v>1309</v>
      </c>
      <c r="BV1110" s="22" t="s">
        <v>1309</v>
      </c>
      <c r="BW1110" s="22" t="s">
        <v>1309</v>
      </c>
      <c r="BX1110" s="22">
        <v>1</v>
      </c>
      <c r="BY1110" s="22">
        <v>15</v>
      </c>
      <c r="BZ1110" s="22">
        <v>103</v>
      </c>
      <c r="CA1110" s="22">
        <v>0</v>
      </c>
      <c r="CB1110" s="22">
        <v>0</v>
      </c>
      <c r="CC1110" s="22">
        <v>1609</v>
      </c>
      <c r="CD1110" s="22" t="s">
        <v>1317</v>
      </c>
      <c r="CE1110" s="22" t="s">
        <v>1340</v>
      </c>
      <c r="CF1110" s="22" t="s">
        <v>1317</v>
      </c>
      <c r="CG1110" s="22" t="s">
        <v>1340</v>
      </c>
      <c r="CH1110" s="22" t="s">
        <v>1317</v>
      </c>
      <c r="CI1110" s="22" t="s">
        <v>1318</v>
      </c>
      <c r="CJ1110" s="149" t="s">
        <v>3671</v>
      </c>
      <c r="CK1110" s="241" t="s">
        <v>3672</v>
      </c>
    </row>
    <row r="1111" spans="1:89" ht="15" customHeight="1" x14ac:dyDescent="0.35">
      <c r="A1111" s="17"/>
      <c r="B1111" s="313">
        <v>40017</v>
      </c>
      <c r="C1111" s="8" t="s">
        <v>360</v>
      </c>
      <c r="D1111" s="18">
        <v>5</v>
      </c>
      <c r="E1111" s="131"/>
      <c r="F1111" s="22"/>
      <c r="G1111" s="132"/>
      <c r="H1111" s="22"/>
      <c r="I1111" s="22"/>
      <c r="J1111" s="22"/>
      <c r="K1111" s="22"/>
      <c r="L1111" s="22"/>
      <c r="M1111" s="133"/>
      <c r="N1111" s="22"/>
      <c r="O1111" s="22"/>
      <c r="P1111" s="22"/>
      <c r="Q1111" s="20"/>
      <c r="R1111" s="20"/>
      <c r="S1111" s="20"/>
      <c r="T1111" s="20"/>
      <c r="U1111" s="20"/>
      <c r="V1111" s="20"/>
      <c r="W1111" s="20"/>
      <c r="X1111" s="20"/>
      <c r="Y1111" s="20"/>
      <c r="Z1111" s="20"/>
      <c r="AA1111" s="22"/>
      <c r="AB1111" s="22"/>
      <c r="AC1111" s="20"/>
      <c r="AD1111" s="20"/>
      <c r="AE1111" s="20"/>
      <c r="AF1111" s="20" t="s">
        <v>1124</v>
      </c>
      <c r="AG1111" s="20" t="s">
        <v>1124</v>
      </c>
      <c r="AH1111" s="20" t="s">
        <v>1124</v>
      </c>
      <c r="AI1111" s="328"/>
      <c r="AJ1111" s="328"/>
      <c r="AK1111" s="328"/>
      <c r="AL1111" s="22"/>
      <c r="AM1111" s="22"/>
      <c r="AN1111" s="22"/>
      <c r="AO1111" s="22"/>
      <c r="AP1111" s="22"/>
      <c r="AQ1111" s="22"/>
      <c r="AR1111" s="22"/>
      <c r="AS1111" s="22"/>
      <c r="AT1111" s="22"/>
      <c r="AU1111" s="22"/>
      <c r="AV1111" s="22"/>
      <c r="AW1111" s="22"/>
      <c r="AX1111" s="22"/>
      <c r="AY1111" s="22"/>
      <c r="AZ1111" s="22"/>
      <c r="BA1111" s="22"/>
      <c r="BB1111" s="22"/>
      <c r="BC1111" s="22"/>
      <c r="BD1111" s="22"/>
      <c r="BE1111" s="22"/>
      <c r="BF1111" s="22"/>
      <c r="BG1111" s="22"/>
      <c r="BH1111" s="22"/>
      <c r="BI1111" s="22"/>
      <c r="BJ1111" s="22"/>
      <c r="BK1111" s="22"/>
      <c r="BL1111" s="22"/>
      <c r="BM1111" s="22"/>
      <c r="BN1111" s="22"/>
      <c r="BO1111" s="22"/>
      <c r="BP1111" s="22"/>
      <c r="BQ1111" s="22"/>
      <c r="BR1111" s="22"/>
      <c r="BS1111" s="22"/>
      <c r="BT1111" s="22"/>
      <c r="BU1111" s="22"/>
      <c r="BV1111" s="22"/>
      <c r="BW1111" s="22"/>
      <c r="BX1111" s="22"/>
      <c r="BY1111" s="22"/>
      <c r="BZ1111" s="22"/>
      <c r="CA1111" s="22"/>
      <c r="CB1111" s="22"/>
      <c r="CC1111" s="22"/>
      <c r="CD1111" s="22"/>
      <c r="CE1111" s="22"/>
      <c r="CF1111" s="22"/>
      <c r="CG1111" s="22"/>
      <c r="CH1111" s="22"/>
      <c r="CI1111" s="22"/>
      <c r="CJ1111" s="149"/>
      <c r="CK1111" s="241"/>
    </row>
    <row r="1112" spans="1:89" ht="15" customHeight="1" x14ac:dyDescent="0.35">
      <c r="A1112" s="17"/>
      <c r="B1112" s="313">
        <v>51020</v>
      </c>
      <c r="C1112" s="8" t="s">
        <v>500</v>
      </c>
      <c r="D1112" s="18">
        <v>4</v>
      </c>
      <c r="E1112" s="131" t="s">
        <v>1319</v>
      </c>
      <c r="F1112" s="22" t="s">
        <v>1490</v>
      </c>
      <c r="G1112" s="132" t="s">
        <v>1309</v>
      </c>
      <c r="H1112" s="22" t="s">
        <v>1311</v>
      </c>
      <c r="I1112" s="22" t="s">
        <v>1327</v>
      </c>
      <c r="J1112" s="22" t="s">
        <v>1327</v>
      </c>
      <c r="K1112" s="22" t="s">
        <v>1309</v>
      </c>
      <c r="L1112" s="22" t="s">
        <v>1309</v>
      </c>
      <c r="M1112" s="133" t="s">
        <v>1311</v>
      </c>
      <c r="N1112" s="22" t="s">
        <v>1311</v>
      </c>
      <c r="O1112" s="22" t="s">
        <v>1309</v>
      </c>
      <c r="P1112" s="22" t="s">
        <v>1309</v>
      </c>
      <c r="Q1112" s="20">
        <v>80.546000000000006</v>
      </c>
      <c r="R1112" s="20">
        <v>80.546000000000006</v>
      </c>
      <c r="S1112" s="20">
        <v>80.546000000000006</v>
      </c>
      <c r="T1112" s="20">
        <v>80.546000000000006</v>
      </c>
      <c r="U1112" s="20">
        <v>0</v>
      </c>
      <c r="V1112" s="20">
        <v>0</v>
      </c>
      <c r="W1112" s="20">
        <v>0</v>
      </c>
      <c r="X1112" s="20">
        <v>0</v>
      </c>
      <c r="Y1112" s="20">
        <v>0</v>
      </c>
      <c r="Z1112" s="20">
        <v>0</v>
      </c>
      <c r="AA1112" s="22" t="s">
        <v>1317</v>
      </c>
      <c r="AB1112" s="22" t="s">
        <v>1318</v>
      </c>
      <c r="AC1112" s="20">
        <v>0</v>
      </c>
      <c r="AD1112" s="20">
        <v>0</v>
      </c>
      <c r="AE1112" s="20">
        <v>2</v>
      </c>
      <c r="AF1112" s="20">
        <v>0</v>
      </c>
      <c r="AG1112" s="20">
        <v>0</v>
      </c>
      <c r="AH1112" s="20">
        <v>3</v>
      </c>
      <c r="AI1112" s="328" t="s">
        <v>1328</v>
      </c>
      <c r="AJ1112" s="328" t="s">
        <v>1328</v>
      </c>
      <c r="AK1112" s="328">
        <v>1.6611295681063123</v>
      </c>
      <c r="AL1112" s="22" t="s">
        <v>1329</v>
      </c>
      <c r="AM1112" s="22" t="s">
        <v>1330</v>
      </c>
      <c r="AN1112" s="22" t="s">
        <v>1315</v>
      </c>
      <c r="AO1112" s="22" t="s">
        <v>1315</v>
      </c>
      <c r="AP1112" s="22" t="s">
        <v>1315</v>
      </c>
      <c r="AQ1112" s="22" t="s">
        <v>1315</v>
      </c>
      <c r="AR1112" s="22" t="s">
        <v>1317</v>
      </c>
      <c r="AS1112" s="22" t="s">
        <v>1318</v>
      </c>
      <c r="AT1112" s="22" t="s">
        <v>1309</v>
      </c>
      <c r="AU1112" s="22" t="s">
        <v>1309</v>
      </c>
      <c r="AV1112" s="22" t="s">
        <v>1317</v>
      </c>
      <c r="AW1112" s="22" t="s">
        <v>1318</v>
      </c>
      <c r="AX1112" s="22" t="s">
        <v>1309</v>
      </c>
      <c r="AY1112" s="22" t="s">
        <v>1309</v>
      </c>
      <c r="AZ1112" s="22" t="s">
        <v>1309</v>
      </c>
      <c r="BA1112" s="22" t="s">
        <v>1309</v>
      </c>
      <c r="BB1112" s="22" t="s">
        <v>1309</v>
      </c>
      <c r="BC1112" s="22" t="s">
        <v>1309</v>
      </c>
      <c r="BD1112" s="22" t="s">
        <v>1309</v>
      </c>
      <c r="BE1112" s="22" t="s">
        <v>1309</v>
      </c>
      <c r="BF1112" s="22" t="s">
        <v>1309</v>
      </c>
      <c r="BG1112" s="22" t="s">
        <v>1309</v>
      </c>
      <c r="BH1112" s="22" t="s">
        <v>1309</v>
      </c>
      <c r="BI1112" s="22" t="s">
        <v>1309</v>
      </c>
      <c r="BJ1112" s="22" t="s">
        <v>1309</v>
      </c>
      <c r="BK1112" s="22" t="s">
        <v>1309</v>
      </c>
      <c r="BL1112" s="22" t="s">
        <v>1317</v>
      </c>
      <c r="BM1112" s="22" t="s">
        <v>1311</v>
      </c>
      <c r="BN1112" s="22" t="s">
        <v>1309</v>
      </c>
      <c r="BO1112" s="22" t="s">
        <v>1309</v>
      </c>
      <c r="BP1112" s="22" t="s">
        <v>1309</v>
      </c>
      <c r="BQ1112" s="22" t="s">
        <v>1309</v>
      </c>
      <c r="BR1112" s="22" t="s">
        <v>1309</v>
      </c>
      <c r="BS1112" s="22" t="s">
        <v>1309</v>
      </c>
      <c r="BT1112" s="22" t="s">
        <v>1315</v>
      </c>
      <c r="BU1112" s="22" t="s">
        <v>1315</v>
      </c>
      <c r="BV1112" s="22" t="s">
        <v>1317</v>
      </c>
      <c r="BW1112" s="22" t="s">
        <v>1318</v>
      </c>
      <c r="BX1112" s="22">
        <v>113</v>
      </c>
      <c r="BY1112" s="22">
        <v>0</v>
      </c>
      <c r="BZ1112" s="22">
        <v>0</v>
      </c>
      <c r="CA1112" s="22">
        <v>974</v>
      </c>
      <c r="CB1112" s="22">
        <v>13</v>
      </c>
      <c r="CC1112" s="22">
        <v>0</v>
      </c>
      <c r="CD1112" s="22" t="s">
        <v>1331</v>
      </c>
      <c r="CE1112" s="22" t="s">
        <v>1331</v>
      </c>
      <c r="CF1112" s="22" t="s">
        <v>1315</v>
      </c>
      <c r="CG1112" s="22" t="s">
        <v>1315</v>
      </c>
      <c r="CH1112" s="22" t="s">
        <v>1317</v>
      </c>
      <c r="CI1112" s="22" t="s">
        <v>1318</v>
      </c>
      <c r="CJ1112" s="149" t="s">
        <v>1124</v>
      </c>
      <c r="CK1112" s="241" t="s">
        <v>1124</v>
      </c>
    </row>
    <row r="1113" spans="1:89" ht="15" customHeight="1" x14ac:dyDescent="0.35">
      <c r="A1113" s="17"/>
      <c r="B1113" s="317">
        <v>53072</v>
      </c>
      <c r="C1113" s="12" t="s">
        <v>540</v>
      </c>
      <c r="D1113" s="25">
        <v>16</v>
      </c>
      <c r="E1113" s="242"/>
      <c r="F1113" s="243"/>
      <c r="G1113" s="244"/>
      <c r="H1113" s="243"/>
      <c r="I1113" s="243"/>
      <c r="J1113" s="243"/>
      <c r="K1113" s="243"/>
      <c r="L1113" s="243"/>
      <c r="M1113" s="245"/>
      <c r="N1113" s="243"/>
      <c r="O1113" s="243"/>
      <c r="P1113" s="243"/>
      <c r="Q1113" s="246"/>
      <c r="R1113" s="246"/>
      <c r="S1113" s="246"/>
      <c r="T1113" s="246"/>
      <c r="U1113" s="246"/>
      <c r="V1113" s="246"/>
      <c r="W1113" s="246"/>
      <c r="X1113" s="246"/>
      <c r="Y1113" s="246"/>
      <c r="Z1113" s="246"/>
      <c r="AA1113" s="243"/>
      <c r="AB1113" s="243"/>
      <c r="AC1113" s="246"/>
      <c r="AD1113" s="246"/>
      <c r="AE1113" s="246"/>
      <c r="AF1113" s="246" t="s">
        <v>1124</v>
      </c>
      <c r="AG1113" s="246" t="s">
        <v>1124</v>
      </c>
      <c r="AH1113" s="246" t="s">
        <v>1124</v>
      </c>
      <c r="AI1113" s="329"/>
      <c r="AJ1113" s="329"/>
      <c r="AK1113" s="329"/>
      <c r="AL1113" s="243"/>
      <c r="AM1113" s="243"/>
      <c r="AN1113" s="243"/>
      <c r="AO1113" s="243"/>
      <c r="AP1113" s="243"/>
      <c r="AQ1113" s="243"/>
      <c r="AR1113" s="243"/>
      <c r="AS1113" s="243"/>
      <c r="AT1113" s="243"/>
      <c r="AU1113" s="243"/>
      <c r="AV1113" s="243"/>
      <c r="AW1113" s="243"/>
      <c r="AX1113" s="243"/>
      <c r="AY1113" s="243"/>
      <c r="AZ1113" s="243"/>
      <c r="BA1113" s="243"/>
      <c r="BB1113" s="243"/>
      <c r="BC1113" s="243"/>
      <c r="BD1113" s="243"/>
      <c r="BE1113" s="243"/>
      <c r="BF1113" s="243"/>
      <c r="BG1113" s="243"/>
      <c r="BH1113" s="243"/>
      <c r="BI1113" s="243"/>
      <c r="BJ1113" s="243"/>
      <c r="BK1113" s="243"/>
      <c r="BL1113" s="243"/>
      <c r="BM1113" s="243"/>
      <c r="BN1113" s="243"/>
      <c r="BO1113" s="243"/>
      <c r="BP1113" s="243"/>
      <c r="BQ1113" s="243"/>
      <c r="BR1113" s="243"/>
      <c r="BS1113" s="243"/>
      <c r="BT1113" s="243"/>
      <c r="BU1113" s="243"/>
      <c r="BV1113" s="243"/>
      <c r="BW1113" s="243"/>
      <c r="BX1113" s="243"/>
      <c r="BY1113" s="243"/>
      <c r="BZ1113" s="243"/>
      <c r="CA1113" s="243"/>
      <c r="CB1113" s="243"/>
      <c r="CC1113" s="243"/>
      <c r="CD1113" s="243"/>
      <c r="CE1113" s="243"/>
      <c r="CF1113" s="243"/>
      <c r="CG1113" s="243"/>
      <c r="CH1113" s="243"/>
      <c r="CI1113" s="243"/>
      <c r="CJ1113" s="247"/>
      <c r="CK1113" s="248"/>
    </row>
  </sheetData>
  <sheetProtection sheet="1" objects="1" scenarios="1" sort="0" autoFilter="0"/>
  <autoFilter ref="B5:CK1113"/>
  <sortState ref="B3:EJ1109">
    <sortCondition ref="B3"/>
  </sortState>
  <mergeCells count="41">
    <mergeCell ref="C1:D1"/>
    <mergeCell ref="CD3:CE3"/>
    <mergeCell ref="CF3:CG3"/>
    <mergeCell ref="CH3:CI3"/>
    <mergeCell ref="BR3:BS3"/>
    <mergeCell ref="BT3:BU3"/>
    <mergeCell ref="BV3:BW3"/>
    <mergeCell ref="BX3:BZ3"/>
    <mergeCell ref="CA3:CC3"/>
    <mergeCell ref="BH3:BI3"/>
    <mergeCell ref="BJ3:BK3"/>
    <mergeCell ref="BL3:BM3"/>
    <mergeCell ref="BN3:BO3"/>
    <mergeCell ref="BP3:BQ3"/>
    <mergeCell ref="AX3:AY3"/>
    <mergeCell ref="AZ3:BA3"/>
    <mergeCell ref="BB3:BC3"/>
    <mergeCell ref="BD3:BE3"/>
    <mergeCell ref="BF3:BG3"/>
    <mergeCell ref="AN3:AO3"/>
    <mergeCell ref="AP3:AQ3"/>
    <mergeCell ref="AR3:AS3"/>
    <mergeCell ref="AT3:AU3"/>
    <mergeCell ref="AV3:AW3"/>
    <mergeCell ref="AA3:AB3"/>
    <mergeCell ref="AC3:AE3"/>
    <mergeCell ref="AF3:AH3"/>
    <mergeCell ref="AI3:AK3"/>
    <mergeCell ref="AL3:AM3"/>
    <mergeCell ref="M3:N3"/>
    <mergeCell ref="Y3:Z3"/>
    <mergeCell ref="O3:P3"/>
    <mergeCell ref="Q3:R3"/>
    <mergeCell ref="S3:T3"/>
    <mergeCell ref="U3:V3"/>
    <mergeCell ref="W3:X3"/>
    <mergeCell ref="B2:D2"/>
    <mergeCell ref="E3:F3"/>
    <mergeCell ref="G3:H3"/>
    <mergeCell ref="I3:J3"/>
    <mergeCell ref="K3:L3"/>
  </mergeCells>
  <dataValidations xWindow="927" yWindow="846" count="34">
    <dataValidation allowBlank="1" showInputMessage="1" showErrorMessage="1" promptTitle="Action 1.1.1" prompt="Atteindre un résultat de validité des données supérieur à 50 % pour tous les audits de l'eau AWWA. Si le résultat est inférieur à 50 %, une augmentation d'au moins 5 % par année est requise." sqref="E3:F1113"/>
    <dataValidation allowBlank="1" showInputMessage="1" showErrorMessage="1" promptTitle="Action 1.1.2" prompt="Transmettre les volumes relevés d'eau consommée ainsi que le(s) rapport(s) de vérification pour le(s) débitmètre(s) en incluant les volumes d’eau produits, importés et exportés par mois et par débitmètre, au MAMH." sqref="G3:H1113"/>
    <dataValidation allowBlank="1" showInputMessage="1" showErrorMessage="1" error="Mettre en place une directive et avoir débuté les travaux pour les éliminer d'ici le 1er septembre 2021. Avoir réalisé 50 % des travaux d'ici le 1er septembre 2022." promptTitle="Action 1.2" prompt="Éliminer les fuites et les débordements constatés aux réservoirs." sqref="I3:J1113"/>
    <dataValidation allowBlank="1" showInputMessage="1" showErrorMessage="1" promptTitle="Action 1.3.1" prompt="Mettre à jour la réglementation municipale concernant les équipements à grande consommation d'eau, l’arrosage, les piscines et les spas ainsi que le délai de réparation des tuyaux privés d’approvisionnement défectueux." sqref="K3:L1113"/>
    <dataValidation allowBlank="1" showInputMessage="1" showErrorMessage="1" promptTitle="Action 1.3.2" prompt="Présenter annuellement le rapport du Bilan au conseil municipal." sqref="M3:N1113"/>
    <dataValidation allowBlank="1" showInputMessage="1" showErrorMessage="1" promptTitle="Action 1.4" prompt="Pour les municipalités qui installent ou qui ont installé des compteurs d’eau dans les immeubles non résidentiels, inclure et mettre à jour une forme de tarification volumétrique dans la réglementation municipale." sqref="O3:P1113"/>
    <dataValidation allowBlank="1" showInputMessage="1" showErrorMessage="1" promptTitle="Contrôle actif des fuites" prompt="Option 1 : Mettre en place de façon permanente (toute l'année) des secteurs de suivi de la distribution (SSD) de moins de 3 000 branchements de service et analyser le débit de nuit quotidien." sqref="Q3:R1113"/>
    <dataValidation allowBlank="1" showInputMessage="1" showErrorMessage="1" promptTitle="Contrôle actif des fuites" prompt="Option 2 : Écouter systématiquement tous les poteaux d’incendie et procéder à une autre écoute aux poteaux où un bruit a été détecté, à l’aide d’un amplificateur acoustique." sqref="S3:T1113"/>
    <dataValidation allowBlank="1" showInputMessage="1" showErrorMessage="1" promptTitle="Contrôle actif des fuites" prompt="Option 3 : Écouter les poteaux d’incendie, vannes et robinets d’arrêt accessibles et procéder à une autre écoute aux accessoires où un bruit a été détecté, à l’aide d’un amplificateur acoustique." sqref="U3:V1113"/>
    <dataValidation allowBlank="1" showInputMessage="1" showErrorMessage="1" promptTitle="Contrôle actif des fuites" prompt="Option 4 : Procéder à la mise en place temporaire d’enregistreurs de bruits." sqref="W3:X1113"/>
    <dataValidation allowBlank="1" showInputMessage="1" showErrorMessage="1" promptTitle="Contrôle actif des fuites" prompt="Option 5 : Procéder à la mise en place permanente (toute l'année) d’enregistreurs de bruits et assurer un suivi quotidien." sqref="Y3:Z1113"/>
    <dataValidation allowBlank="1" showInputMessage="1" showErrorMessage="1" promptTitle="Action 2.1.2" prompt="Réaliser un contrôle actif des fuites par l’intermédiaire d’une écoute sur un échantillon de robinets d’arrêt accessibles." sqref="AA3:AB1113"/>
    <dataValidation allowBlank="1" showInputMessage="1" showErrorMessage="1" promptTitle="Action 2.2.2" prompt="Réduire les délais de réparation de fuites à un maximum de 5 jours du côté municipal et de 20 jours du côté privé. " sqref="AL3:AM1113"/>
    <dataValidation allowBlank="1" showInputMessage="1" showErrorMessage="1" promptTitle="Action 2.3.1" prompt="Réaliser une analyse de rentabilité concernant la mise en place d’un secteur de régulation de pression (SRP)." sqref="AN3:AO1113"/>
    <dataValidation allowBlank="1" showInputMessage="1" showErrorMessage="1" promptTitle="Action 2.3.2" prompt="Mettre en place des SRP si cela est rentable." sqref="AP3:AQ1113"/>
    <dataValidation allowBlank="1" showInputMessage="1" showErrorMessage="1" promptTitle="Sensibiliser les citoyens" prompt="Option 1 : Participer au programme éducatif Fantastiko ou à un programme équivalent." sqref="AR3:AS1113"/>
    <dataValidation allowBlank="1" showInputMessage="1" showErrorMessage="1" promptTitle="Sensibiliser les citoyens" prompt="Option 2 : Participer au programme de sensibilisation Municipalité Écon’eau de Réseau Environnement, à un programme équivalent ou à une campagne de sensibilisation citoyenne." sqref="AT3:AU1113"/>
    <dataValidation allowBlank="1" showInputMessage="1" showErrorMessage="1" promptTitle="Sensibiliser les citoyens" prompt="Option 3 : Offrir des incitatifs financiers pour l’installation d’équipements certifiés WaterSense." sqref="AV3:AW1113"/>
    <dataValidation allowBlank="1" showInputMessage="1" showErrorMessage="1" promptTitle="Sensibiliser les citoyens" prompt="Option 4 : Offrir des audits de consommation d’eau à l’intérieur ou à l’extérieur des immeubles résidentiels." sqref="AX3:AY1113"/>
    <dataValidation allowBlank="1" showInputMessage="1" showErrorMessage="1" promptTitle="Sensibiliser les citoyens" prompt="Option 5 : Appliquer annuellement la réglementation sur l’utilisation de l’eau par un système progressif de sensibilisation, d’avertissement et d’infraction." sqref="AZ3:BA1113"/>
    <dataValidation allowBlank="1" showInputMessage="1" showErrorMessage="1" promptTitle="Sensibiliser les citoyens" prompt="Option 6 : Rendre visibles les tarifications et taxes pour les services d’eau (ex. : site Web, document annexe à l’avis d’imposition, etc.)." sqref="BB3:BC1113"/>
    <dataValidation allowBlank="1" showInputMessage="1" showErrorMessage="1" promptTitle="Sensibiliser les citoyens" prompt="Option 7 : Adopter ou mettre à jour la réglementation municipale sur le financement des services d’eau en incluant une forme de tarification volumétrique." sqref="BD3:BE1113"/>
    <dataValidation allowBlank="1" showInputMessage="1" showErrorMessage="1" promptTitle="Sensibiliser les citoyens" prompt="Option 8 : Installer des compteurs d’eau dans au moins 10 % des immeubles résidentiels, jusqu’à concurrence d’au moins 1 000 immeubles résidentiels pour améliorer l’estimation de la consommation résidentielle." sqref="BF3:BG1113"/>
    <dataValidation allowBlank="1" showInputMessage="1" showErrorMessage="1" promptTitle="Montrer l'exemple" prompt="Option 1 : Installer des points d’alimentation en eau brute pour des usages municipaux (nettoyage de rue et arrosage)." sqref="BH3:BI1113"/>
    <dataValidation allowBlank="1" showInputMessage="1" showErrorMessage="1" promptTitle="Montrer l'exemple" prompt="Option 2 : Mettre en place une directive sur les bonnes pratiques d’arrosage recommandées par Québec Vert, la communauté du végétal et du paysage." sqref="BJ3:BK1113"/>
    <dataValidation allowBlank="1" showInputMessage="1" showErrorMessage="1" promptTitle="Montrer l'exemple" prompt="Option 3 : Mettre en place une directive pour remplacer les toilettes, urinoirs et robinets de salle de bain par des équipements certifiés WaterSense dans les immeubles municipaux." sqref="BL3:BM1113"/>
    <dataValidation allowBlank="1" showInputMessage="1" showErrorMessage="1" promptTitle="Montrer l'exemple" prompt="Option 4 : Mettre en place une directive pour signaler et réparer rapidement les fuites d’eau dans les immeubles municipaux." sqref="BN3:BO1113"/>
    <dataValidation allowBlank="1" showInputMessage="1" showErrorMessage="1" promptTitle="Montrer l'exemple" prompt="Option 5 : Mettre en place une directive pour optimiser la consommation d’eau des jeux d’eau, pataugeoires et piscines." sqref="BP3:BQ1113"/>
    <dataValidation allowBlank="1" showInputMessage="1" showErrorMessage="1" promptTitle="Montrer l'exemple" prompt="Option 6 : Mettre en place une directive pour optimiser les pratiques de rinçage du réseau en favorisant le rinçage unidirectionnel au rinçage conventionnel." sqref="BR3:BS1113"/>
    <dataValidation allowBlank="1" showInputMessage="1" showErrorMessage="1" promptTitle="Montrer l'exemple" prompt="Option 7 : Mettre en place une directive pour éliminer ou optimiser les purges permanentes sur le réseau." sqref="BT3:BU1113"/>
    <dataValidation allowBlank="1" showInputMessage="1" showErrorMessage="1" promptTitle="Montrer l'exemple" prompt="Option 8 : Mettre en place une réserve financière dédiée aux infrastructures d’eau." sqref="BV3:BW1113"/>
    <dataValidation allowBlank="1" showInputMessage="1" showErrorMessage="1" promptTitle="Action 4.2.1" prompt="Installer des compteurs d'eau dans tous les immeubles non résidentiels." sqref="CD3:CE1113"/>
    <dataValidation allowBlank="1" showInputMessage="1" showErrorMessage="1" promptTitle="Action 4.4.2" prompt="Installer des compteurs d'eau dans un échantillon d'immeubles résidentiels pour estimer la consommation résidentielle." sqref="CF3:CG1113"/>
    <dataValidation allowBlank="1" showInputMessage="1" showErrorMessage="1" promptTitle="Action 4.2.3" prompt="Mettre en place des secteurs de suivi de la consommation (SSC) pour estimer la consommation résidentielle." sqref="CH3:CI1113"/>
  </dataValidations>
  <pageMargins left="0.7" right="0.7" top="0.75" bottom="0.75" header="0.3" footer="0.3"/>
  <pageSetup scale="57" fitToHeight="0" orientation="landscape" r:id="rId1"/>
  <rowBreaks count="6" manualBreakCount="6">
    <brk id="28" min="1" max="12" man="1"/>
    <brk id="61" min="1" max="12" man="1"/>
    <brk id="77" min="1" max="12" man="1"/>
    <brk id="90" min="1" max="12" man="1"/>
    <brk id="100" min="1" max="12" man="1"/>
    <brk id="119" min="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4" tint="-0.499984740745262"/>
    <pageSetUpPr fitToPage="1"/>
  </sheetPr>
  <dimension ref="A2:EL1113"/>
  <sheetViews>
    <sheetView showGridLines="0" zoomScaleNormal="100" workbookViewId="0">
      <pane xSplit="4" ySplit="5" topLeftCell="AH6" activePane="bottomRight" state="frozen"/>
      <selection pane="topRight" activeCell="E1" sqref="E1"/>
      <selection pane="bottomLeft" activeCell="A6" sqref="A6"/>
      <selection pane="bottomRight"/>
    </sheetView>
  </sheetViews>
  <sheetFormatPr baseColWidth="10" defaultColWidth="11.453125" defaultRowHeight="15" customHeight="1" x14ac:dyDescent="0.35"/>
  <cols>
    <col min="1" max="1" width="2.1796875" style="40" customWidth="1"/>
    <col min="2" max="2" width="16.81640625" style="40" customWidth="1"/>
    <col min="3" max="3" width="51.453125" style="40" customWidth="1"/>
    <col min="4" max="4" width="12" style="40" bestFit="1" customWidth="1"/>
    <col min="5" max="28" width="18.7265625" style="26" customWidth="1"/>
    <col min="29" max="33" width="18.7265625" style="40" customWidth="1"/>
    <col min="34" max="44" width="18.7265625" style="26" customWidth="1"/>
    <col min="45" max="45" width="18.7265625" style="40" customWidth="1"/>
    <col min="46" max="56" width="18.7265625" style="26" customWidth="1"/>
    <col min="57" max="57" width="18.7265625" style="40" customWidth="1"/>
    <col min="58" max="93" width="18.7265625" style="26" customWidth="1"/>
    <col min="94" max="103" width="18.7265625" style="40" customWidth="1"/>
    <col min="104" max="104" width="18.7265625" style="26" customWidth="1"/>
    <col min="105" max="115" width="18.7265625" style="40" customWidth="1"/>
    <col min="116" max="116" width="18.7265625" style="26" customWidth="1"/>
    <col min="117" max="127" width="18.7265625" style="40" customWidth="1"/>
    <col min="128" max="128" width="18.7265625" style="26" customWidth="1"/>
    <col min="129" max="139" width="18.7265625" style="40" customWidth="1"/>
    <col min="140" max="140" width="18.7265625" style="26" customWidth="1"/>
    <col min="141" max="142" width="18.7265625" style="40" customWidth="1"/>
  </cols>
  <sheetData>
    <row r="2" spans="1:142" ht="15" customHeight="1" x14ac:dyDescent="0.35">
      <c r="A2" s="31"/>
      <c r="B2" s="578" t="s">
        <v>1257</v>
      </c>
      <c r="C2" s="575"/>
      <c r="D2" s="575"/>
      <c r="E2" s="575"/>
      <c r="F2" s="575"/>
      <c r="G2" s="575"/>
      <c r="H2" s="575"/>
      <c r="I2" s="575"/>
      <c r="J2" s="575"/>
      <c r="K2" s="575"/>
      <c r="L2" s="575"/>
      <c r="M2" s="368"/>
      <c r="N2" s="368"/>
      <c r="O2" s="575"/>
      <c r="P2" s="575"/>
      <c r="Q2" s="575"/>
      <c r="R2" s="575"/>
      <c r="S2" s="575"/>
      <c r="T2" s="575"/>
      <c r="U2" s="575"/>
      <c r="V2" s="575"/>
      <c r="W2" s="575"/>
      <c r="X2" s="575"/>
      <c r="Y2" s="575"/>
      <c r="Z2" s="575"/>
      <c r="AA2" s="368"/>
      <c r="AB2" s="368"/>
      <c r="AC2" s="297"/>
      <c r="AD2" s="297"/>
      <c r="AE2" s="297"/>
      <c r="AF2" s="297"/>
      <c r="AG2" s="297"/>
      <c r="AH2" s="575"/>
      <c r="AI2" s="575"/>
      <c r="AJ2" s="575"/>
      <c r="AK2" s="575"/>
      <c r="AL2" s="575"/>
      <c r="AM2" s="575"/>
      <c r="AN2" s="575"/>
      <c r="AO2" s="575"/>
      <c r="AP2" s="575"/>
      <c r="AQ2" s="575"/>
      <c r="AR2" s="368"/>
      <c r="AS2" s="297"/>
      <c r="AT2" s="575"/>
      <c r="AU2" s="575"/>
      <c r="AV2" s="575"/>
      <c r="AW2" s="575"/>
      <c r="AX2" s="575"/>
      <c r="AY2" s="575"/>
      <c r="AZ2" s="575"/>
      <c r="BA2" s="575"/>
      <c r="BB2" s="575"/>
      <c r="BC2" s="575"/>
      <c r="BD2" s="368"/>
      <c r="BE2" s="297"/>
      <c r="BF2" s="575"/>
      <c r="BG2" s="575"/>
      <c r="BH2" s="575"/>
      <c r="BI2" s="575"/>
      <c r="BJ2" s="575"/>
      <c r="BK2" s="575"/>
      <c r="BL2" s="575"/>
      <c r="BM2" s="575"/>
      <c r="BN2" s="575"/>
      <c r="BO2" s="575"/>
      <c r="BP2" s="368"/>
      <c r="BQ2" s="298"/>
      <c r="BR2" s="575"/>
      <c r="BS2" s="575"/>
      <c r="BT2" s="575"/>
      <c r="BU2" s="575"/>
      <c r="BV2" s="575"/>
      <c r="BW2" s="575"/>
      <c r="BX2" s="575"/>
      <c r="BY2" s="575"/>
      <c r="BZ2" s="575"/>
      <c r="CA2" s="575"/>
      <c r="CB2" s="368"/>
      <c r="CC2" s="299"/>
      <c r="CD2" s="575"/>
      <c r="CE2" s="575"/>
      <c r="CF2" s="575"/>
      <c r="CG2" s="575"/>
      <c r="CH2" s="575"/>
      <c r="CI2" s="575"/>
      <c r="CJ2" s="575"/>
      <c r="CK2" s="575"/>
      <c r="CL2" s="575"/>
      <c r="CM2" s="575"/>
      <c r="CN2" s="368"/>
      <c r="CO2" s="299"/>
      <c r="CP2" s="575"/>
      <c r="CQ2" s="575"/>
      <c r="CR2" s="575"/>
      <c r="CS2" s="575"/>
      <c r="CT2" s="575"/>
      <c r="CU2" s="575"/>
      <c r="CV2" s="575"/>
      <c r="CW2" s="575"/>
      <c r="CX2" s="575"/>
      <c r="CY2" s="575"/>
      <c r="CZ2" s="368"/>
      <c r="DA2" s="297"/>
      <c r="DB2" s="575"/>
      <c r="DC2" s="575"/>
      <c r="DD2" s="575"/>
      <c r="DE2" s="575"/>
      <c r="DF2" s="575"/>
      <c r="DG2" s="575"/>
      <c r="DH2" s="575"/>
      <c r="DI2" s="575"/>
      <c r="DJ2" s="575"/>
      <c r="DK2" s="575"/>
      <c r="DL2" s="368"/>
      <c r="DM2" s="300"/>
      <c r="DN2" s="575"/>
      <c r="DO2" s="575"/>
      <c r="DP2" s="575"/>
      <c r="DQ2" s="575"/>
      <c r="DR2" s="575"/>
      <c r="DS2" s="575"/>
      <c r="DT2" s="575"/>
      <c r="DU2" s="575"/>
      <c r="DV2" s="575"/>
      <c r="DW2" s="575"/>
      <c r="DX2" s="368"/>
      <c r="DY2" s="300"/>
      <c r="DZ2" s="575"/>
      <c r="EA2" s="575"/>
      <c r="EB2" s="575"/>
      <c r="EC2" s="575"/>
      <c r="ED2" s="575"/>
      <c r="EE2" s="575"/>
      <c r="EF2" s="575"/>
      <c r="EG2" s="575"/>
      <c r="EH2" s="575"/>
      <c r="EI2" s="575"/>
      <c r="EJ2" s="368"/>
      <c r="EK2" s="297"/>
      <c r="EL2" s="301"/>
    </row>
    <row r="3" spans="1:142" ht="47.15" customHeight="1" x14ac:dyDescent="0.35">
      <c r="A3" s="166"/>
      <c r="B3" s="160"/>
      <c r="C3" s="158"/>
      <c r="D3" s="163"/>
      <c r="E3" s="567" t="s">
        <v>4659</v>
      </c>
      <c r="F3" s="568"/>
      <c r="G3" s="569" t="s">
        <v>4660</v>
      </c>
      <c r="H3" s="568"/>
      <c r="I3" s="569" t="s">
        <v>4661</v>
      </c>
      <c r="J3" s="568"/>
      <c r="K3" s="569" t="s">
        <v>4662</v>
      </c>
      <c r="L3" s="568"/>
      <c r="M3" s="569" t="s">
        <v>4744</v>
      </c>
      <c r="N3" s="568"/>
      <c r="O3" s="569" t="s">
        <v>4663</v>
      </c>
      <c r="P3" s="568"/>
      <c r="Q3" s="569" t="s">
        <v>4664</v>
      </c>
      <c r="R3" s="568"/>
      <c r="S3" s="569" t="s">
        <v>4665</v>
      </c>
      <c r="T3" s="568"/>
      <c r="U3" s="569" t="s">
        <v>4666</v>
      </c>
      <c r="V3" s="568"/>
      <c r="W3" s="569" t="s">
        <v>4667</v>
      </c>
      <c r="X3" s="568"/>
      <c r="Y3" s="569" t="s">
        <v>4668</v>
      </c>
      <c r="Z3" s="568"/>
      <c r="AA3" s="569" t="s">
        <v>4745</v>
      </c>
      <c r="AB3" s="568"/>
      <c r="AC3" s="572" t="s">
        <v>1285</v>
      </c>
      <c r="AD3" s="572" t="s">
        <v>1286</v>
      </c>
      <c r="AE3" s="572" t="s">
        <v>1287</v>
      </c>
      <c r="AF3" s="572" t="s">
        <v>1283</v>
      </c>
      <c r="AG3" s="572" t="s">
        <v>1284</v>
      </c>
      <c r="AH3" s="569" t="s">
        <v>4811</v>
      </c>
      <c r="AI3" s="570"/>
      <c r="AJ3" s="570"/>
      <c r="AK3" s="570"/>
      <c r="AL3" s="570"/>
      <c r="AM3" s="570"/>
      <c r="AN3" s="570"/>
      <c r="AO3" s="570"/>
      <c r="AP3" s="570"/>
      <c r="AQ3" s="570"/>
      <c r="AR3" s="568"/>
      <c r="AS3" s="350" t="s">
        <v>4812</v>
      </c>
      <c r="AT3" s="569" t="s">
        <v>1288</v>
      </c>
      <c r="AU3" s="570"/>
      <c r="AV3" s="570"/>
      <c r="AW3" s="570"/>
      <c r="AX3" s="570"/>
      <c r="AY3" s="570"/>
      <c r="AZ3" s="570"/>
      <c r="BA3" s="570"/>
      <c r="BB3" s="570"/>
      <c r="BC3" s="570"/>
      <c r="BD3" s="568"/>
      <c r="BE3" s="569" t="s">
        <v>4808</v>
      </c>
      <c r="BF3" s="570"/>
      <c r="BG3" s="570"/>
      <c r="BH3" s="570"/>
      <c r="BI3" s="570"/>
      <c r="BJ3" s="570"/>
      <c r="BK3" s="570"/>
      <c r="BL3" s="570"/>
      <c r="BM3" s="570"/>
      <c r="BN3" s="570"/>
      <c r="BO3" s="570"/>
      <c r="BP3" s="568"/>
      <c r="BQ3" s="569" t="s">
        <v>4809</v>
      </c>
      <c r="BR3" s="570"/>
      <c r="BS3" s="570"/>
      <c r="BT3" s="570"/>
      <c r="BU3" s="570"/>
      <c r="BV3" s="570"/>
      <c r="BW3" s="570"/>
      <c r="BX3" s="570"/>
      <c r="BY3" s="570"/>
      <c r="BZ3" s="570"/>
      <c r="CA3" s="570"/>
      <c r="CB3" s="568"/>
      <c r="CC3" s="569" t="s">
        <v>4810</v>
      </c>
      <c r="CD3" s="570"/>
      <c r="CE3" s="570"/>
      <c r="CF3" s="570"/>
      <c r="CG3" s="570"/>
      <c r="CH3" s="570"/>
      <c r="CI3" s="570"/>
      <c r="CJ3" s="570"/>
      <c r="CK3" s="570"/>
      <c r="CL3" s="570"/>
      <c r="CM3" s="570"/>
      <c r="CN3" s="568"/>
      <c r="CO3" s="569" t="s">
        <v>4669</v>
      </c>
      <c r="CP3" s="570"/>
      <c r="CQ3" s="570"/>
      <c r="CR3" s="570"/>
      <c r="CS3" s="570"/>
      <c r="CT3" s="570"/>
      <c r="CU3" s="570"/>
      <c r="CV3" s="570"/>
      <c r="CW3" s="570"/>
      <c r="CX3" s="570"/>
      <c r="CY3" s="570"/>
      <c r="CZ3" s="568"/>
      <c r="DA3" s="569" t="s">
        <v>4670</v>
      </c>
      <c r="DB3" s="570"/>
      <c r="DC3" s="570"/>
      <c r="DD3" s="570"/>
      <c r="DE3" s="570"/>
      <c r="DF3" s="570"/>
      <c r="DG3" s="570"/>
      <c r="DH3" s="570"/>
      <c r="DI3" s="570"/>
      <c r="DJ3" s="570"/>
      <c r="DK3" s="570"/>
      <c r="DL3" s="568"/>
      <c r="DM3" s="569" t="s">
        <v>4671</v>
      </c>
      <c r="DN3" s="570"/>
      <c r="DO3" s="570"/>
      <c r="DP3" s="570"/>
      <c r="DQ3" s="570"/>
      <c r="DR3" s="570"/>
      <c r="DS3" s="570"/>
      <c r="DT3" s="570"/>
      <c r="DU3" s="570"/>
      <c r="DV3" s="570"/>
      <c r="DW3" s="570"/>
      <c r="DX3" s="568"/>
      <c r="DY3" s="569" t="s">
        <v>4672</v>
      </c>
      <c r="DZ3" s="570"/>
      <c r="EA3" s="570"/>
      <c r="EB3" s="570"/>
      <c r="EC3" s="570"/>
      <c r="ED3" s="570"/>
      <c r="EE3" s="570"/>
      <c r="EF3" s="570"/>
      <c r="EG3" s="570"/>
      <c r="EH3" s="570"/>
      <c r="EI3" s="570"/>
      <c r="EJ3" s="568"/>
      <c r="EK3" s="573" t="s">
        <v>1289</v>
      </c>
      <c r="EL3" s="576" t="s">
        <v>1290</v>
      </c>
    </row>
    <row r="4" spans="1:142" ht="23" x14ac:dyDescent="0.35">
      <c r="A4" s="150"/>
      <c r="B4" s="160" t="s">
        <v>1</v>
      </c>
      <c r="C4" s="158" t="s">
        <v>0</v>
      </c>
      <c r="D4" s="163" t="s">
        <v>7</v>
      </c>
      <c r="E4" s="167" t="s">
        <v>1232</v>
      </c>
      <c r="F4" s="159" t="s">
        <v>1233</v>
      </c>
      <c r="G4" s="164" t="s">
        <v>1232</v>
      </c>
      <c r="H4" s="165" t="s">
        <v>1233</v>
      </c>
      <c r="I4" s="164" t="s">
        <v>1232</v>
      </c>
      <c r="J4" s="165" t="s">
        <v>1233</v>
      </c>
      <c r="K4" s="164" t="s">
        <v>1232</v>
      </c>
      <c r="L4" s="165" t="s">
        <v>1233</v>
      </c>
      <c r="M4" s="351" t="s">
        <v>1232</v>
      </c>
      <c r="N4" s="350" t="s">
        <v>1233</v>
      </c>
      <c r="O4" s="164" t="s">
        <v>1232</v>
      </c>
      <c r="P4" s="165" t="s">
        <v>1233</v>
      </c>
      <c r="Q4" s="164" t="s">
        <v>1232</v>
      </c>
      <c r="R4" s="165" t="s">
        <v>1233</v>
      </c>
      <c r="S4" s="164" t="s">
        <v>1232</v>
      </c>
      <c r="T4" s="165" t="s">
        <v>1233</v>
      </c>
      <c r="U4" s="164" t="s">
        <v>1232</v>
      </c>
      <c r="V4" s="165" t="s">
        <v>1233</v>
      </c>
      <c r="W4" s="164" t="s">
        <v>1232</v>
      </c>
      <c r="X4" s="165" t="s">
        <v>1233</v>
      </c>
      <c r="Y4" s="164" t="s">
        <v>1232</v>
      </c>
      <c r="Z4" s="159" t="s">
        <v>1233</v>
      </c>
      <c r="AA4" s="351" t="s">
        <v>1232</v>
      </c>
      <c r="AB4" s="350" t="s">
        <v>1233</v>
      </c>
      <c r="AC4" s="572"/>
      <c r="AD4" s="572"/>
      <c r="AE4" s="572"/>
      <c r="AF4" s="572"/>
      <c r="AG4" s="572"/>
      <c r="AH4" s="164">
        <v>2020</v>
      </c>
      <c r="AI4" s="159">
        <v>2021</v>
      </c>
      <c r="AJ4" s="159">
        <v>2022</v>
      </c>
      <c r="AK4" s="159">
        <v>2023</v>
      </c>
      <c r="AL4" s="159">
        <v>2024</v>
      </c>
      <c r="AM4" s="159">
        <v>2025</v>
      </c>
      <c r="AN4" s="159">
        <v>2026</v>
      </c>
      <c r="AO4" s="159">
        <v>2027</v>
      </c>
      <c r="AP4" s="159">
        <v>2028</v>
      </c>
      <c r="AQ4" s="352">
        <v>2029</v>
      </c>
      <c r="AR4" s="350" t="s">
        <v>4746</v>
      </c>
      <c r="AS4" s="350">
        <v>2020</v>
      </c>
      <c r="AT4" s="164">
        <v>2020</v>
      </c>
      <c r="AU4" s="159">
        <v>2021</v>
      </c>
      <c r="AV4" s="159">
        <v>2022</v>
      </c>
      <c r="AW4" s="159">
        <v>2023</v>
      </c>
      <c r="AX4" s="159">
        <v>2024</v>
      </c>
      <c r="AY4" s="159">
        <v>2025</v>
      </c>
      <c r="AZ4" s="159">
        <v>2026</v>
      </c>
      <c r="BA4" s="159">
        <v>2027</v>
      </c>
      <c r="BB4" s="159">
        <v>2028</v>
      </c>
      <c r="BC4" s="352">
        <v>2029</v>
      </c>
      <c r="BD4" s="350" t="s">
        <v>4746</v>
      </c>
      <c r="BE4" s="159" t="s">
        <v>4747</v>
      </c>
      <c r="BF4" s="159" t="s">
        <v>4748</v>
      </c>
      <c r="BG4" s="159" t="s">
        <v>4749</v>
      </c>
      <c r="BH4" s="159" t="s">
        <v>4750</v>
      </c>
      <c r="BI4" s="159" t="s">
        <v>4751</v>
      </c>
      <c r="BJ4" s="159" t="s">
        <v>4752</v>
      </c>
      <c r="BK4" s="159" t="s">
        <v>4753</v>
      </c>
      <c r="BL4" s="159" t="s">
        <v>4754</v>
      </c>
      <c r="BM4" s="159" t="s">
        <v>4755</v>
      </c>
      <c r="BN4" s="159" t="s">
        <v>4756</v>
      </c>
      <c r="BO4" s="352" t="s">
        <v>4757</v>
      </c>
      <c r="BP4" s="350" t="s">
        <v>4758</v>
      </c>
      <c r="BQ4" s="352" t="s">
        <v>4747</v>
      </c>
      <c r="BR4" s="352" t="s">
        <v>4748</v>
      </c>
      <c r="BS4" s="352" t="s">
        <v>4749</v>
      </c>
      <c r="BT4" s="352" t="s">
        <v>4750</v>
      </c>
      <c r="BU4" s="352" t="s">
        <v>4751</v>
      </c>
      <c r="BV4" s="352" t="s">
        <v>4752</v>
      </c>
      <c r="BW4" s="352" t="s">
        <v>4753</v>
      </c>
      <c r="BX4" s="352" t="s">
        <v>4754</v>
      </c>
      <c r="BY4" s="352" t="s">
        <v>4755</v>
      </c>
      <c r="BZ4" s="352" t="s">
        <v>4756</v>
      </c>
      <c r="CA4" s="352" t="s">
        <v>4757</v>
      </c>
      <c r="CB4" s="350" t="s">
        <v>4758</v>
      </c>
      <c r="CC4" s="352" t="s">
        <v>4747</v>
      </c>
      <c r="CD4" s="352" t="s">
        <v>4748</v>
      </c>
      <c r="CE4" s="352" t="s">
        <v>4749</v>
      </c>
      <c r="CF4" s="352" t="s">
        <v>4750</v>
      </c>
      <c r="CG4" s="352" t="s">
        <v>4751</v>
      </c>
      <c r="CH4" s="352" t="s">
        <v>4752</v>
      </c>
      <c r="CI4" s="352" t="s">
        <v>4753</v>
      </c>
      <c r="CJ4" s="352" t="s">
        <v>4754</v>
      </c>
      <c r="CK4" s="352" t="s">
        <v>4755</v>
      </c>
      <c r="CL4" s="352" t="s">
        <v>4756</v>
      </c>
      <c r="CM4" s="352" t="s">
        <v>4757</v>
      </c>
      <c r="CN4" s="350" t="s">
        <v>4758</v>
      </c>
      <c r="CO4" s="352" t="s">
        <v>4747</v>
      </c>
      <c r="CP4" s="352" t="s">
        <v>4748</v>
      </c>
      <c r="CQ4" s="352" t="s">
        <v>4749</v>
      </c>
      <c r="CR4" s="352" t="s">
        <v>4750</v>
      </c>
      <c r="CS4" s="352" t="s">
        <v>4751</v>
      </c>
      <c r="CT4" s="352" t="s">
        <v>4752</v>
      </c>
      <c r="CU4" s="352" t="s">
        <v>4753</v>
      </c>
      <c r="CV4" s="352" t="s">
        <v>4754</v>
      </c>
      <c r="CW4" s="352" t="s">
        <v>4755</v>
      </c>
      <c r="CX4" s="352" t="s">
        <v>4756</v>
      </c>
      <c r="CY4" s="352" t="s">
        <v>4757</v>
      </c>
      <c r="CZ4" s="350" t="s">
        <v>4758</v>
      </c>
      <c r="DA4" s="352" t="s">
        <v>4747</v>
      </c>
      <c r="DB4" s="352" t="s">
        <v>4748</v>
      </c>
      <c r="DC4" s="352" t="s">
        <v>4749</v>
      </c>
      <c r="DD4" s="352" t="s">
        <v>4750</v>
      </c>
      <c r="DE4" s="352" t="s">
        <v>4751</v>
      </c>
      <c r="DF4" s="352" t="s">
        <v>4752</v>
      </c>
      <c r="DG4" s="352" t="s">
        <v>4753</v>
      </c>
      <c r="DH4" s="352" t="s">
        <v>4754</v>
      </c>
      <c r="DI4" s="352" t="s">
        <v>4755</v>
      </c>
      <c r="DJ4" s="352" t="s">
        <v>4756</v>
      </c>
      <c r="DK4" s="352" t="s">
        <v>4757</v>
      </c>
      <c r="DL4" s="350" t="s">
        <v>4758</v>
      </c>
      <c r="DM4" s="352" t="s">
        <v>4747</v>
      </c>
      <c r="DN4" s="352" t="s">
        <v>4748</v>
      </c>
      <c r="DO4" s="352" t="s">
        <v>4749</v>
      </c>
      <c r="DP4" s="352" t="s">
        <v>4750</v>
      </c>
      <c r="DQ4" s="352" t="s">
        <v>4751</v>
      </c>
      <c r="DR4" s="352" t="s">
        <v>4752</v>
      </c>
      <c r="DS4" s="352" t="s">
        <v>4753</v>
      </c>
      <c r="DT4" s="352" t="s">
        <v>4754</v>
      </c>
      <c r="DU4" s="352" t="s">
        <v>4755</v>
      </c>
      <c r="DV4" s="352" t="s">
        <v>4756</v>
      </c>
      <c r="DW4" s="352" t="s">
        <v>4757</v>
      </c>
      <c r="DX4" s="350" t="s">
        <v>4758</v>
      </c>
      <c r="DY4" s="352" t="s">
        <v>4747</v>
      </c>
      <c r="DZ4" s="352" t="s">
        <v>4748</v>
      </c>
      <c r="EA4" s="352" t="s">
        <v>4749</v>
      </c>
      <c r="EB4" s="352" t="s">
        <v>4750</v>
      </c>
      <c r="EC4" s="352" t="s">
        <v>4751</v>
      </c>
      <c r="ED4" s="352" t="s">
        <v>4752</v>
      </c>
      <c r="EE4" s="352" t="s">
        <v>4753</v>
      </c>
      <c r="EF4" s="352" t="s">
        <v>4754</v>
      </c>
      <c r="EG4" s="352" t="s">
        <v>4755</v>
      </c>
      <c r="EH4" s="352" t="s">
        <v>4756</v>
      </c>
      <c r="EI4" s="352" t="s">
        <v>4757</v>
      </c>
      <c r="EJ4" s="350" t="s">
        <v>4758</v>
      </c>
      <c r="EK4" s="574"/>
      <c r="EL4" s="577"/>
    </row>
    <row r="5" spans="1:142" ht="34.5" customHeight="1" x14ac:dyDescent="0.35">
      <c r="A5" s="151"/>
      <c r="B5" s="291"/>
      <c r="C5" s="152"/>
      <c r="D5" s="153"/>
      <c r="E5" s="143" t="str">
        <f t="shared" ref="E5:W5" si="0">"TOTAL :
"&amp;TEXT(SUM(E6:E1113),"# ### $")</f>
        <v>TOTAL :
605 862 025 $</v>
      </c>
      <c r="F5" s="146" t="str">
        <f t="shared" si="0"/>
        <v>TOTAL :
434 471 295 $</v>
      </c>
      <c r="G5" s="145" t="str">
        <f t="shared" si="0"/>
        <v>TOTAL :
80 509 345 $</v>
      </c>
      <c r="H5" s="144" t="str">
        <f t="shared" si="0"/>
        <v>TOTAL :
79 573 488 $</v>
      </c>
      <c r="I5" s="145" t="str">
        <f t="shared" si="0"/>
        <v>TOTAL :
220 917 491 $</v>
      </c>
      <c r="J5" s="144" t="str">
        <f t="shared" si="0"/>
        <v>TOTAL :
225 119 583 $</v>
      </c>
      <c r="K5" s="145" t="str">
        <f t="shared" si="0"/>
        <v>TOTAL :
83 834 432 $</v>
      </c>
      <c r="L5" s="144" t="str">
        <f t="shared" si="0"/>
        <v>TOTAL :
60 124 905 $</v>
      </c>
      <c r="M5" s="145" t="str">
        <f t="shared" ref="M5" si="1">"TOTAL :
"&amp;TEXT(SUM(M6:M1113),"# ### $")</f>
        <v>TOTAL :
991 123 294 $</v>
      </c>
      <c r="N5" s="144" t="str">
        <f t="shared" ref="N5" si="2">"TOTAL :
"&amp;TEXT(SUM(N6:N1113),"# ### $")</f>
        <v>TOTAL :
799 289 270 $</v>
      </c>
      <c r="O5" s="145" t="str">
        <f t="shared" si="0"/>
        <v>TOTAL :
88 456 723 $</v>
      </c>
      <c r="P5" s="144" t="str">
        <f t="shared" si="0"/>
        <v>TOTAL :
25 224 315 $</v>
      </c>
      <c r="Q5" s="145" t="str">
        <f t="shared" si="0"/>
        <v>TOTAL :
396 267 020 $</v>
      </c>
      <c r="R5" s="144" t="str">
        <f t="shared" si="0"/>
        <v>TOTAL :
322 950 178 $</v>
      </c>
      <c r="S5" s="145" t="str">
        <f t="shared" si="0"/>
        <v>TOTAL :
32 986 831 $</v>
      </c>
      <c r="T5" s="144" t="str">
        <f t="shared" si="0"/>
        <v>TOTAL :
15 813 278 $</v>
      </c>
      <c r="U5" s="145" t="str">
        <f t="shared" si="0"/>
        <v>TOTAL :
40 685 715 $</v>
      </c>
      <c r="V5" s="144" t="str">
        <f t="shared" si="0"/>
        <v>TOTAL :
30 720 504 $</v>
      </c>
      <c r="W5" s="145" t="str">
        <f t="shared" si="0"/>
        <v>TOTAL :
498 067 982 $</v>
      </c>
      <c r="X5" s="144" t="str">
        <f t="shared" ref="X5:AE5" si="3">"TOTAL :
"&amp;TEXT(SUM(X6:X1113),"# ### $")</f>
        <v>TOTAL :
451 734 717 $</v>
      </c>
      <c r="Y5" s="145" t="str">
        <f t="shared" si="3"/>
        <v>TOTAL :
3 942 496 $</v>
      </c>
      <c r="Z5" s="146" t="str">
        <f t="shared" si="3"/>
        <v>TOTAL :
9 359 970 $</v>
      </c>
      <c r="AA5" s="145" t="str">
        <f t="shared" ref="AA5" si="4">"TOTAL :
"&amp;TEXT(SUM(AA6:AA1113),"# ### $")</f>
        <v>TOTAL :
1 060 406 767 $</v>
      </c>
      <c r="AB5" s="144" t="str">
        <f t="shared" ref="AB5" si="5">"TOTAL :
"&amp;TEXT(SUM(AB6:AB1113),"# ### $")</f>
        <v>TOTAL :
855 802 962 $</v>
      </c>
      <c r="AC5" s="152" t="str">
        <f t="shared" si="3"/>
        <v>TOTAL :
125 726 707 $</v>
      </c>
      <c r="AD5" s="152" t="str">
        <f t="shared" si="3"/>
        <v>TOTAL :
26 217 337 $</v>
      </c>
      <c r="AE5" s="152" t="str">
        <f t="shared" si="3"/>
        <v>TOTAL :
273 665 955 $</v>
      </c>
      <c r="AF5" s="152" t="str">
        <f>"MOYENNE :
"&amp;TEXT(AVERAGE(AF6:AF748),"0,0%")</f>
        <v>MOYENNE :
2,0%</v>
      </c>
      <c r="AG5" s="145" t="str">
        <f>"TOTAL :
"&amp;TEXT(SUM(AG6:AG1113),"# ### $")</f>
        <v>TOTAL :
112 307 255 192 $</v>
      </c>
      <c r="AH5" s="145" t="str">
        <f t="shared" ref="AH5:CX5" si="6">"TOTAL :
"&amp;TEXT(SUM(AH6:AH1113),"# ### $")</f>
        <v>TOTAL :
1 132 332 785 $</v>
      </c>
      <c r="AI5" s="146" t="str">
        <f t="shared" si="6"/>
        <v>TOTAL :
1 106 889 147 $</v>
      </c>
      <c r="AJ5" s="146" t="str">
        <f t="shared" si="6"/>
        <v>TOTAL :
1 123 741 554 $</v>
      </c>
      <c r="AK5" s="146" t="str">
        <f t="shared" si="6"/>
        <v>TOTAL :
1 103 581 947 $</v>
      </c>
      <c r="AL5" s="146" t="str">
        <f t="shared" si="6"/>
        <v>TOTAL :
1 107 762 702 $</v>
      </c>
      <c r="AM5" s="146" t="str">
        <f t="shared" si="6"/>
        <v>TOTAL :
1 149 373 516 $</v>
      </c>
      <c r="AN5" s="146" t="str">
        <f t="shared" si="6"/>
        <v>TOTAL :
1 124 172 543 $</v>
      </c>
      <c r="AO5" s="146" t="str">
        <f t="shared" si="6"/>
        <v>TOTAL :
1 127 884 243 $</v>
      </c>
      <c r="AP5" s="146" t="str">
        <f t="shared" si="6"/>
        <v>TOTAL :
1 162 051 891 $</v>
      </c>
      <c r="AQ5" s="146" t="str">
        <f t="shared" si="6"/>
        <v>TOTAL :
1 163 834 030 $</v>
      </c>
      <c r="AR5" s="144" t="str">
        <f t="shared" si="6"/>
        <v>TOTAL :
11 301 624 358 $</v>
      </c>
      <c r="AS5" s="146" t="str">
        <f t="shared" si="6"/>
        <v>TOTAL :
5 814 941 168 $</v>
      </c>
      <c r="AT5" s="145" t="str">
        <f t="shared" si="6"/>
        <v>TOTAL :
535 542 276 $</v>
      </c>
      <c r="AU5" s="146" t="str">
        <f t="shared" si="6"/>
        <v>TOTAL :
789 850 755 $</v>
      </c>
      <c r="AV5" s="146" t="str">
        <f t="shared" si="6"/>
        <v>TOTAL :
916 711 785 $</v>
      </c>
      <c r="AW5" s="146" t="str">
        <f t="shared" si="6"/>
        <v>TOTAL :
805 551 700 $</v>
      </c>
      <c r="AX5" s="146" t="str">
        <f t="shared" si="6"/>
        <v>TOTAL :
433 195 335 $</v>
      </c>
      <c r="AY5" s="146" t="str">
        <f t="shared" si="6"/>
        <v>TOTAL :
681 378 824 $</v>
      </c>
      <c r="AZ5" s="146" t="str">
        <f t="shared" si="6"/>
        <v>TOTAL :
622 089 111 $</v>
      </c>
      <c r="BA5" s="146" t="str">
        <f t="shared" si="6"/>
        <v>TOTAL :
598 332 152 $</v>
      </c>
      <c r="BB5" s="146" t="str">
        <f t="shared" si="6"/>
        <v>TOTAL :
630 681 955 $</v>
      </c>
      <c r="BC5" s="146" t="str">
        <f t="shared" si="6"/>
        <v>TOTAL :
558 890 352 $</v>
      </c>
      <c r="BD5" s="144" t="str">
        <f t="shared" ref="BD5" si="7">"TOTAL :
"&amp;TEXT(SUM(BD6:BD1113),"# ### $")</f>
        <v>TOTAL :
6 572 224 244 $</v>
      </c>
      <c r="BE5" s="146" t="str">
        <f t="shared" si="6"/>
        <v>TOTAL :
414 393 306 $</v>
      </c>
      <c r="BF5" s="146" t="str">
        <f t="shared" si="6"/>
        <v>TOTAL :
595 540 573 $</v>
      </c>
      <c r="BG5" s="146" t="str">
        <f t="shared" si="6"/>
        <v>TOTAL :
595 592 573 $</v>
      </c>
      <c r="BH5" s="146" t="str">
        <f t="shared" si="6"/>
        <v>TOTAL :
393 479 361 $</v>
      </c>
      <c r="BI5" s="146" t="str">
        <f t="shared" si="6"/>
        <v>TOTAL :
275 173 317 $</v>
      </c>
      <c r="BJ5" s="146" t="str">
        <f t="shared" si="6"/>
        <v>TOTAL :
188 534 490 $</v>
      </c>
      <c r="BK5" s="146" t="str">
        <f t="shared" si="6"/>
        <v>TOTAL :
168 377 617 $</v>
      </c>
      <c r="BL5" s="146" t="str">
        <f t="shared" si="6"/>
        <v>TOTAL :
170 136 515 $</v>
      </c>
      <c r="BM5" s="146" t="str">
        <f t="shared" si="6"/>
        <v>TOTAL :
162 179 575 $</v>
      </c>
      <c r="BN5" s="146" t="str">
        <f t="shared" si="6"/>
        <v>TOTAL :
152 408 881 $</v>
      </c>
      <c r="BO5" s="146" t="str">
        <f t="shared" si="6"/>
        <v>TOTAL :
116 993 662 $</v>
      </c>
      <c r="BP5" s="144" t="str">
        <f t="shared" si="6"/>
        <v>TOTAL :
2 818 416 565 $</v>
      </c>
      <c r="BQ5" s="146" t="str">
        <f t="shared" si="6"/>
        <v>TOTAL :
272 168 022 $</v>
      </c>
      <c r="BR5" s="146" t="str">
        <f t="shared" si="6"/>
        <v>TOTAL :
315 655 822 $</v>
      </c>
      <c r="BS5" s="146" t="str">
        <f t="shared" si="6"/>
        <v>TOTAL :
449 605 867 $</v>
      </c>
      <c r="BT5" s="146" t="str">
        <f t="shared" si="6"/>
        <v>TOTAL :
387 189 423 $</v>
      </c>
      <c r="BU5" s="146" t="str">
        <f t="shared" si="6"/>
        <v>TOTAL :
329 308 197 $</v>
      </c>
      <c r="BV5" s="146" t="str">
        <f t="shared" si="6"/>
        <v>TOTAL :
335 353 029 $</v>
      </c>
      <c r="BW5" s="146" t="str">
        <f t="shared" si="6"/>
        <v>TOTAL :
318 410 282 $</v>
      </c>
      <c r="BX5" s="146" t="str">
        <f t="shared" si="6"/>
        <v>TOTAL :
323 692 523 $</v>
      </c>
      <c r="BY5" s="146" t="str">
        <f t="shared" si="6"/>
        <v>TOTAL :
347 228 162 $</v>
      </c>
      <c r="BZ5" s="146" t="str">
        <f t="shared" si="6"/>
        <v>TOTAL :
344 759 083 $</v>
      </c>
      <c r="CA5" s="146" t="str">
        <f t="shared" si="6"/>
        <v>TOTAL :
344 290 253 $</v>
      </c>
      <c r="CB5" s="144" t="str">
        <f t="shared" si="6"/>
        <v>TOTAL :
3 495 492 641 $</v>
      </c>
      <c r="CC5" s="146" t="str">
        <f t="shared" si="6"/>
        <v>TOTAL :
143 657 516 $</v>
      </c>
      <c r="CD5" s="146" t="str">
        <f t="shared" si="6"/>
        <v>TOTAL :
112 275 416 $</v>
      </c>
      <c r="CE5" s="146" t="str">
        <f t="shared" si="6"/>
        <v>TOTAL :
112 275 994 $</v>
      </c>
      <c r="CF5" s="146" t="str">
        <f t="shared" si="6"/>
        <v>TOTAL :
122 951 748 $</v>
      </c>
      <c r="CG5" s="146" t="str">
        <f t="shared" si="6"/>
        <v>TOTAL :
127 445 151 $</v>
      </c>
      <c r="CH5" s="146" t="str">
        <f t="shared" si="6"/>
        <v>TOTAL :
107 137 967 $</v>
      </c>
      <c r="CI5" s="146" t="str">
        <f t="shared" si="6"/>
        <v>TOTAL :
106 547 155 $</v>
      </c>
      <c r="CJ5" s="146" t="str">
        <f t="shared" si="6"/>
        <v>TOTAL :
105 454 924 $</v>
      </c>
      <c r="CK5" s="146" t="str">
        <f t="shared" si="6"/>
        <v>TOTAL :
105 806 674 $</v>
      </c>
      <c r="CL5" s="146" t="str">
        <f t="shared" si="6"/>
        <v>TOTAL :
106 024 718 $</v>
      </c>
      <c r="CM5" s="146" t="str">
        <f t="shared" si="6"/>
        <v>TOTAL :
104 393 423 $</v>
      </c>
      <c r="CN5" s="144" t="str">
        <f t="shared" si="6"/>
        <v>TOTAL :
1 110 313 171 $</v>
      </c>
      <c r="CO5" s="146" t="str">
        <f t="shared" si="6"/>
        <v>TOTAL :
111 390 276 $</v>
      </c>
      <c r="CP5" s="146" t="str">
        <f t="shared" si="6"/>
        <v>TOTAL :
93 889 517 $</v>
      </c>
      <c r="CQ5" s="146" t="str">
        <f t="shared" si="6"/>
        <v>TOTAL :
125 036 822 $</v>
      </c>
      <c r="CR5" s="146" t="str">
        <f t="shared" si="6"/>
        <v>TOTAL :
166 992 184 $</v>
      </c>
      <c r="CS5" s="146" t="str">
        <f t="shared" si="6"/>
        <v>TOTAL :
44 373 462 $</v>
      </c>
      <c r="CT5" s="146" t="str">
        <f t="shared" si="6"/>
        <v>TOTAL :
18 293 425 $</v>
      </c>
      <c r="CU5" s="146" t="str">
        <f t="shared" si="6"/>
        <v>TOTAL :
17 808 774 $</v>
      </c>
      <c r="CV5" s="146" t="str">
        <f t="shared" si="6"/>
        <v>TOTAL :
14 498 600 $</v>
      </c>
      <c r="CW5" s="146" t="str">
        <f t="shared" si="6"/>
        <v>TOTAL :
7 045 341 $</v>
      </c>
      <c r="CX5" s="146" t="str">
        <f t="shared" si="6"/>
        <v>TOTAL :
7 279 890 $</v>
      </c>
      <c r="CY5" s="146" t="str">
        <f t="shared" ref="CY5:EJ5" si="8">"TOTAL :
"&amp;TEXT(SUM(CY6:CY1113),"# ### $")</f>
        <v>TOTAL :
5 795 625 $</v>
      </c>
      <c r="CZ5" s="144" t="str">
        <f t="shared" ref="CZ5" si="9">"TOTAL :
"&amp;TEXT(SUM(CZ6:CZ1113),"# ### $")</f>
        <v>TOTAL :
501 013 640 $</v>
      </c>
      <c r="DA5" s="146" t="str">
        <f t="shared" si="8"/>
        <v>TOTAL :
155 946 662 $</v>
      </c>
      <c r="DB5" s="146" t="str">
        <f t="shared" si="8"/>
        <v>TOTAL :
126 401 722 $</v>
      </c>
      <c r="DC5" s="146" t="str">
        <f t="shared" si="8"/>
        <v>TOTAL :
191 078 526 $</v>
      </c>
      <c r="DD5" s="146" t="str">
        <f t="shared" si="8"/>
        <v>TOTAL :
230 789 400 $</v>
      </c>
      <c r="DE5" s="146" t="str">
        <f t="shared" si="8"/>
        <v>TOTAL :
295 688 113 $</v>
      </c>
      <c r="DF5" s="146" t="str">
        <f t="shared" si="8"/>
        <v>TOTAL :
60 497 676 $</v>
      </c>
      <c r="DG5" s="146" t="str">
        <f t="shared" si="8"/>
        <v>TOTAL :
78 951 538 $</v>
      </c>
      <c r="DH5" s="146" t="str">
        <f t="shared" si="8"/>
        <v>TOTAL :
58 331 132 $</v>
      </c>
      <c r="DI5" s="146" t="str">
        <f t="shared" si="8"/>
        <v>TOTAL :
39 303 192 $</v>
      </c>
      <c r="DJ5" s="146" t="str">
        <f t="shared" si="8"/>
        <v>TOTAL :
49 522 429 $</v>
      </c>
      <c r="DK5" s="146" t="str">
        <f t="shared" si="8"/>
        <v>TOTAL :
25 888 360 $</v>
      </c>
      <c r="DL5" s="144" t="str">
        <f t="shared" si="8"/>
        <v>TOTAL :
1 156 452 086 $</v>
      </c>
      <c r="DM5" s="146" t="str">
        <f t="shared" si="8"/>
        <v>TOTAL :
10 729 871 $</v>
      </c>
      <c r="DN5" s="146" t="str">
        <f t="shared" si="8"/>
        <v>TOTAL :
11 505 106 $</v>
      </c>
      <c r="DO5" s="146" t="str">
        <f t="shared" si="8"/>
        <v>TOTAL :
14 136 636 $</v>
      </c>
      <c r="DP5" s="146" t="str">
        <f t="shared" si="8"/>
        <v>TOTAL :
18 136 138 $</v>
      </c>
      <c r="DQ5" s="146" t="str">
        <f t="shared" si="8"/>
        <v>TOTAL :
6 117 783 $</v>
      </c>
      <c r="DR5" s="146" t="str">
        <f t="shared" si="8"/>
        <v>TOTAL :
3 313 301 $</v>
      </c>
      <c r="DS5" s="146" t="str">
        <f t="shared" si="8"/>
        <v>TOTAL :
3 037 349 $</v>
      </c>
      <c r="DT5" s="146" t="str">
        <f t="shared" si="8"/>
        <v>TOTAL :
2 975 334 $</v>
      </c>
      <c r="DU5" s="146" t="str">
        <f t="shared" si="8"/>
        <v>TOTAL :
2 958 119 $</v>
      </c>
      <c r="DV5" s="146" t="str">
        <f t="shared" si="8"/>
        <v>TOTAL :
2 961 304 $</v>
      </c>
      <c r="DW5" s="146" t="str">
        <f t="shared" si="8"/>
        <v>TOTAL :
2 941 149 $</v>
      </c>
      <c r="DX5" s="144" t="str">
        <f t="shared" ref="DX5" si="10">"TOTAL :
"&amp;TEXT(SUM(DX6:DX1113),"# ### $")</f>
        <v>TOTAL :
68 082 219 $</v>
      </c>
      <c r="DY5" s="146" t="str">
        <f t="shared" si="8"/>
        <v>TOTAL :
15 625 486 $</v>
      </c>
      <c r="DZ5" s="146" t="str">
        <f t="shared" si="8"/>
        <v>TOTAL :
26 379 928 $</v>
      </c>
      <c r="EA5" s="146" t="str">
        <f t="shared" si="8"/>
        <v>TOTAL :
29 774 066 $</v>
      </c>
      <c r="EB5" s="146" t="str">
        <f t="shared" si="8"/>
        <v>TOTAL :
48 568 282 $</v>
      </c>
      <c r="EC5" s="146" t="str">
        <f t="shared" si="8"/>
        <v>TOTAL :
39 247 708 $</v>
      </c>
      <c r="ED5" s="146" t="str">
        <f t="shared" si="8"/>
        <v>TOTAL :
20 168 720 $</v>
      </c>
      <c r="EE5" s="146" t="str">
        <f t="shared" si="8"/>
        <v>TOTAL :
18 287 207 $</v>
      </c>
      <c r="EF5" s="146" t="str">
        <f t="shared" si="8"/>
        <v>TOTAL :
16 265 920 $</v>
      </c>
      <c r="EG5" s="146" t="str">
        <f t="shared" si="8"/>
        <v>TOTAL :
16 465 920 $</v>
      </c>
      <c r="EH5" s="146" t="str">
        <f t="shared" si="8"/>
        <v>TOTAL :
16 265 920 $</v>
      </c>
      <c r="EI5" s="146" t="str">
        <f t="shared" si="8"/>
        <v>TOTAL :
15 765 920 $</v>
      </c>
      <c r="EJ5" s="144" t="str">
        <f t="shared" si="8"/>
        <v>TOTAL :
247 189 591 $</v>
      </c>
      <c r="EK5" s="152"/>
      <c r="EL5" s="154"/>
    </row>
    <row r="6" spans="1:142" ht="15" customHeight="1" x14ac:dyDescent="0.35">
      <c r="A6" s="34"/>
      <c r="B6" s="312">
        <v>46005</v>
      </c>
      <c r="C6" s="13" t="s">
        <v>427</v>
      </c>
      <c r="D6" s="137">
        <v>5</v>
      </c>
      <c r="E6" s="155"/>
      <c r="F6" s="38"/>
      <c r="G6" s="37"/>
      <c r="H6" s="37"/>
      <c r="I6" s="37"/>
      <c r="J6" s="37"/>
      <c r="K6" s="37"/>
      <c r="L6" s="37"/>
      <c r="M6" s="37" t="s">
        <v>1124</v>
      </c>
      <c r="N6" s="37" t="s">
        <v>1124</v>
      </c>
      <c r="O6" s="37"/>
      <c r="P6" s="37"/>
      <c r="Q6" s="37"/>
      <c r="R6" s="37"/>
      <c r="S6" s="37"/>
      <c r="T6" s="37"/>
      <c r="U6" s="37"/>
      <c r="V6" s="37"/>
      <c r="W6" s="37"/>
      <c r="X6" s="37"/>
      <c r="Y6" s="37"/>
      <c r="Z6" s="37"/>
      <c r="AA6" s="37" t="s">
        <v>1124</v>
      </c>
      <c r="AB6" s="37" t="s">
        <v>1124</v>
      </c>
      <c r="AC6" s="37"/>
      <c r="AD6" s="37"/>
      <c r="AE6" s="37"/>
      <c r="AF6" s="168"/>
      <c r="AG6" s="37"/>
      <c r="AH6" s="37"/>
      <c r="AI6" s="37"/>
      <c r="AJ6" s="37"/>
      <c r="AK6" s="37"/>
      <c r="AL6" s="37"/>
      <c r="AM6" s="37"/>
      <c r="AN6" s="37"/>
      <c r="AO6" s="37"/>
      <c r="AP6" s="37"/>
      <c r="AQ6" s="37"/>
      <c r="AR6" s="37" t="s">
        <v>1124</v>
      </c>
      <c r="AS6" s="37"/>
      <c r="AT6" s="37"/>
      <c r="AU6" s="37"/>
      <c r="AV6" s="37"/>
      <c r="AW6" s="37"/>
      <c r="AX6" s="37"/>
      <c r="AY6" s="37"/>
      <c r="AZ6" s="37"/>
      <c r="BA6" s="37"/>
      <c r="BB6" s="37"/>
      <c r="BC6" s="37"/>
      <c r="BD6" s="37" t="s">
        <v>1124</v>
      </c>
      <c r="BE6" s="37"/>
      <c r="BF6" s="37"/>
      <c r="BG6" s="37"/>
      <c r="BH6" s="37"/>
      <c r="BI6" s="37"/>
      <c r="BJ6" s="37"/>
      <c r="BK6" s="37"/>
      <c r="BL6" s="37"/>
      <c r="BM6" s="37"/>
      <c r="BN6" s="37"/>
      <c r="BO6" s="37"/>
      <c r="BP6" s="37">
        <v>0</v>
      </c>
      <c r="BQ6" s="37"/>
      <c r="BR6" s="37"/>
      <c r="BS6" s="37"/>
      <c r="BT6" s="37"/>
      <c r="BU6" s="37"/>
      <c r="BV6" s="37"/>
      <c r="BW6" s="37"/>
      <c r="BX6" s="37"/>
      <c r="BY6" s="37"/>
      <c r="BZ6" s="37"/>
      <c r="CA6" s="37"/>
      <c r="CB6" s="37" t="s">
        <v>1124</v>
      </c>
      <c r="CC6" s="37"/>
      <c r="CD6" s="37"/>
      <c r="CE6" s="37"/>
      <c r="CF6" s="37"/>
      <c r="CG6" s="37"/>
      <c r="CH6" s="37"/>
      <c r="CI6" s="37"/>
      <c r="CJ6" s="37"/>
      <c r="CK6" s="37"/>
      <c r="CL6" s="37"/>
      <c r="CM6" s="37"/>
      <c r="CN6" s="37" t="s">
        <v>1124</v>
      </c>
      <c r="CO6" s="37"/>
      <c r="CP6" s="37"/>
      <c r="CQ6" s="37"/>
      <c r="CR6" s="37"/>
      <c r="CS6" s="37"/>
      <c r="CT6" s="37"/>
      <c r="CU6" s="37"/>
      <c r="CV6" s="37"/>
      <c r="CW6" s="37"/>
      <c r="CX6" s="37"/>
      <c r="CY6" s="37"/>
      <c r="CZ6" s="37" t="s">
        <v>1124</v>
      </c>
      <c r="DA6" s="37"/>
      <c r="DB6" s="37"/>
      <c r="DC6" s="37"/>
      <c r="DD6" s="37"/>
      <c r="DE6" s="37"/>
      <c r="DF6" s="37"/>
      <c r="DG6" s="37"/>
      <c r="DH6" s="37"/>
      <c r="DI6" s="37"/>
      <c r="DJ6" s="37"/>
      <c r="DK6" s="37"/>
      <c r="DL6" s="37" t="s">
        <v>1124</v>
      </c>
      <c r="DM6" s="37"/>
      <c r="DN6" s="37"/>
      <c r="DO6" s="37"/>
      <c r="DP6" s="37"/>
      <c r="DQ6" s="37"/>
      <c r="DR6" s="37"/>
      <c r="DS6" s="37"/>
      <c r="DT6" s="37"/>
      <c r="DU6" s="37"/>
      <c r="DV6" s="37"/>
      <c r="DW6" s="37"/>
      <c r="DX6" s="37" t="s">
        <v>1124</v>
      </c>
      <c r="DY6" s="37"/>
      <c r="DZ6" s="37"/>
      <c r="EA6" s="37"/>
      <c r="EB6" s="37"/>
      <c r="EC6" s="37"/>
      <c r="ED6" s="37"/>
      <c r="EE6" s="37"/>
      <c r="EF6" s="37"/>
      <c r="EG6" s="37"/>
      <c r="EH6" s="37"/>
      <c r="EI6" s="37"/>
      <c r="EJ6" s="37" t="s">
        <v>1124</v>
      </c>
      <c r="EK6" s="161"/>
      <c r="EL6" s="294"/>
    </row>
    <row r="7" spans="1:142" ht="15" customHeight="1" x14ac:dyDescent="0.35">
      <c r="A7" s="34"/>
      <c r="B7" s="313">
        <v>48028</v>
      </c>
      <c r="C7" s="8" t="s">
        <v>460</v>
      </c>
      <c r="D7" s="18">
        <v>16</v>
      </c>
      <c r="E7" s="155">
        <v>625465</v>
      </c>
      <c r="F7" s="36">
        <v>359747</v>
      </c>
      <c r="G7" s="37">
        <v>100015</v>
      </c>
      <c r="H7" s="37">
        <v>59296</v>
      </c>
      <c r="I7" s="37">
        <v>301564</v>
      </c>
      <c r="J7" s="37">
        <v>189044</v>
      </c>
      <c r="K7" s="37">
        <v>93819.75</v>
      </c>
      <c r="L7" s="37">
        <v>53962.05</v>
      </c>
      <c r="M7" s="37">
        <v>1120863.75</v>
      </c>
      <c r="N7" s="37">
        <v>662049.05000000005</v>
      </c>
      <c r="O7" s="37">
        <v>150870</v>
      </c>
      <c r="P7" s="37">
        <v>97479</v>
      </c>
      <c r="Q7" s="37">
        <v>470829</v>
      </c>
      <c r="R7" s="37">
        <v>316292</v>
      </c>
      <c r="S7" s="37">
        <v>23148</v>
      </c>
      <c r="T7" s="37">
        <v>2889</v>
      </c>
      <c r="U7" s="37">
        <v>51222</v>
      </c>
      <c r="V7" s="37">
        <v>26090</v>
      </c>
      <c r="W7" s="37">
        <v>424795</v>
      </c>
      <c r="X7" s="37">
        <v>219299</v>
      </c>
      <c r="Y7" s="37">
        <v>0</v>
      </c>
      <c r="Z7" s="37">
        <v>0</v>
      </c>
      <c r="AA7" s="37">
        <v>1120864</v>
      </c>
      <c r="AB7" s="37">
        <v>662049</v>
      </c>
      <c r="AC7" s="37">
        <v>0</v>
      </c>
      <c r="AD7" s="37">
        <v>0</v>
      </c>
      <c r="AE7" s="37">
        <v>0</v>
      </c>
      <c r="AF7" s="168">
        <v>0.02</v>
      </c>
      <c r="AG7" s="37">
        <v>70346148.590000004</v>
      </c>
      <c r="AH7" s="37">
        <v>925003.82</v>
      </c>
      <c r="AI7" s="37">
        <v>510697.5</v>
      </c>
      <c r="AJ7" s="37">
        <v>780801.29</v>
      </c>
      <c r="AK7" s="37">
        <v>845992.71</v>
      </c>
      <c r="AL7" s="37">
        <v>536325.46</v>
      </c>
      <c r="AM7" s="37">
        <v>1018013.09</v>
      </c>
      <c r="AN7" s="37">
        <v>557993.01</v>
      </c>
      <c r="AO7" s="37">
        <v>616956.56999999995</v>
      </c>
      <c r="AP7" s="37">
        <v>580535.92000000004</v>
      </c>
      <c r="AQ7" s="37">
        <v>592146.64</v>
      </c>
      <c r="AR7" s="37">
        <v>6964466.0099999998</v>
      </c>
      <c r="AS7" s="37">
        <v>4386388.76</v>
      </c>
      <c r="AT7" s="37">
        <v>510000</v>
      </c>
      <c r="AU7" s="37">
        <v>0</v>
      </c>
      <c r="AV7" s="37">
        <v>0</v>
      </c>
      <c r="AW7" s="37">
        <v>0</v>
      </c>
      <c r="AX7" s="37">
        <v>0</v>
      </c>
      <c r="AY7" s="37">
        <v>0</v>
      </c>
      <c r="AZ7" s="37">
        <v>0</v>
      </c>
      <c r="BA7" s="37">
        <v>0</v>
      </c>
      <c r="BB7" s="37">
        <v>0</v>
      </c>
      <c r="BC7" s="37">
        <v>0</v>
      </c>
      <c r="BD7" s="37">
        <v>510000</v>
      </c>
      <c r="BE7" s="37">
        <v>1939954</v>
      </c>
      <c r="BF7" s="37">
        <v>1683264</v>
      </c>
      <c r="BG7" s="37">
        <v>1908300</v>
      </c>
      <c r="BH7" s="37">
        <v>435000</v>
      </c>
      <c r="BI7" s="37">
        <v>815000</v>
      </c>
      <c r="BJ7" s="37">
        <v>0</v>
      </c>
      <c r="BK7" s="37">
        <v>0</v>
      </c>
      <c r="BL7" s="37">
        <v>0</v>
      </c>
      <c r="BM7" s="37">
        <v>0</v>
      </c>
      <c r="BN7" s="37">
        <v>0</v>
      </c>
      <c r="BO7" s="37">
        <v>0</v>
      </c>
      <c r="BP7" s="37">
        <v>4841564</v>
      </c>
      <c r="BQ7" s="37">
        <v>0</v>
      </c>
      <c r="BR7" s="37">
        <v>259566</v>
      </c>
      <c r="BS7" s="37">
        <v>347075</v>
      </c>
      <c r="BT7" s="37">
        <v>0</v>
      </c>
      <c r="BU7" s="37">
        <v>0</v>
      </c>
      <c r="BV7" s="37">
        <v>0</v>
      </c>
      <c r="BW7" s="37">
        <v>0</v>
      </c>
      <c r="BX7" s="37">
        <v>0</v>
      </c>
      <c r="BY7" s="37">
        <v>0</v>
      </c>
      <c r="BZ7" s="37">
        <v>0</v>
      </c>
      <c r="CA7" s="37">
        <v>0</v>
      </c>
      <c r="CB7" s="37">
        <v>606641</v>
      </c>
      <c r="CC7" s="37">
        <v>0</v>
      </c>
      <c r="CD7" s="37">
        <v>0</v>
      </c>
      <c r="CE7" s="37">
        <v>0</v>
      </c>
      <c r="CF7" s="37">
        <v>0</v>
      </c>
      <c r="CG7" s="37">
        <v>0</v>
      </c>
      <c r="CH7" s="37">
        <v>0</v>
      </c>
      <c r="CI7" s="37">
        <v>0</v>
      </c>
      <c r="CJ7" s="37">
        <v>0</v>
      </c>
      <c r="CK7" s="37">
        <v>0</v>
      </c>
      <c r="CL7" s="37">
        <v>0</v>
      </c>
      <c r="CM7" s="37">
        <v>0</v>
      </c>
      <c r="CN7" s="37">
        <v>0</v>
      </c>
      <c r="CO7" s="37">
        <v>0</v>
      </c>
      <c r="CP7" s="37">
        <v>0</v>
      </c>
      <c r="CQ7" s="37">
        <v>0</v>
      </c>
      <c r="CR7" s="37">
        <v>0</v>
      </c>
      <c r="CS7" s="37">
        <v>0</v>
      </c>
      <c r="CT7" s="37">
        <v>0</v>
      </c>
      <c r="CU7" s="37">
        <v>0</v>
      </c>
      <c r="CV7" s="37">
        <v>0</v>
      </c>
      <c r="CW7" s="37">
        <v>0</v>
      </c>
      <c r="CX7" s="37">
        <v>0</v>
      </c>
      <c r="CY7" s="37">
        <v>0</v>
      </c>
      <c r="CZ7" s="37">
        <v>0</v>
      </c>
      <c r="DA7" s="37">
        <v>0</v>
      </c>
      <c r="DB7" s="37">
        <v>0</v>
      </c>
      <c r="DC7" s="37">
        <v>0</v>
      </c>
      <c r="DD7" s="37">
        <v>0</v>
      </c>
      <c r="DE7" s="37">
        <v>0</v>
      </c>
      <c r="DF7" s="37">
        <v>0</v>
      </c>
      <c r="DG7" s="37">
        <v>0</v>
      </c>
      <c r="DH7" s="37">
        <v>0</v>
      </c>
      <c r="DI7" s="37">
        <v>0</v>
      </c>
      <c r="DJ7" s="37">
        <v>0</v>
      </c>
      <c r="DK7" s="37">
        <v>0</v>
      </c>
      <c r="DL7" s="37">
        <v>0</v>
      </c>
      <c r="DM7" s="37">
        <v>0</v>
      </c>
      <c r="DN7" s="37">
        <v>0</v>
      </c>
      <c r="DO7" s="37">
        <v>0</v>
      </c>
      <c r="DP7" s="37">
        <v>0</v>
      </c>
      <c r="DQ7" s="37">
        <v>0</v>
      </c>
      <c r="DR7" s="37">
        <v>0</v>
      </c>
      <c r="DS7" s="37">
        <v>0</v>
      </c>
      <c r="DT7" s="37">
        <v>0</v>
      </c>
      <c r="DU7" s="37">
        <v>0</v>
      </c>
      <c r="DV7" s="37">
        <v>0</v>
      </c>
      <c r="DW7" s="37">
        <v>0</v>
      </c>
      <c r="DX7" s="37">
        <v>0</v>
      </c>
      <c r="DY7" s="37">
        <v>0</v>
      </c>
      <c r="DZ7" s="37">
        <v>0</v>
      </c>
      <c r="EA7" s="37">
        <v>0</v>
      </c>
      <c r="EB7" s="37">
        <v>0</v>
      </c>
      <c r="EC7" s="37">
        <v>0</v>
      </c>
      <c r="ED7" s="37">
        <v>0</v>
      </c>
      <c r="EE7" s="37">
        <v>0</v>
      </c>
      <c r="EF7" s="37">
        <v>0</v>
      </c>
      <c r="EG7" s="37">
        <v>0</v>
      </c>
      <c r="EH7" s="37">
        <v>0</v>
      </c>
      <c r="EI7" s="37">
        <v>0</v>
      </c>
      <c r="EJ7" s="37">
        <v>0</v>
      </c>
      <c r="EK7" s="161" t="s">
        <v>1363</v>
      </c>
      <c r="EL7" s="294" t="s">
        <v>1124</v>
      </c>
    </row>
    <row r="8" spans="1:142" ht="15" customHeight="1" x14ac:dyDescent="0.35">
      <c r="A8" s="34"/>
      <c r="B8" s="313">
        <v>31056</v>
      </c>
      <c r="C8" s="8" t="s">
        <v>246</v>
      </c>
      <c r="D8" s="18">
        <v>12</v>
      </c>
      <c r="E8" s="155">
        <v>147812</v>
      </c>
      <c r="F8" s="36">
        <v>81859</v>
      </c>
      <c r="G8" s="37">
        <v>19748</v>
      </c>
      <c r="H8" s="37">
        <v>8113</v>
      </c>
      <c r="I8" s="37">
        <v>61448</v>
      </c>
      <c r="J8" s="37">
        <v>42900</v>
      </c>
      <c r="K8" s="37">
        <v>22171.8</v>
      </c>
      <c r="L8" s="37">
        <v>12278.85</v>
      </c>
      <c r="M8" s="37">
        <v>251179.8</v>
      </c>
      <c r="N8" s="37">
        <v>145150.85</v>
      </c>
      <c r="O8" s="37">
        <v>47712.149999999994</v>
      </c>
      <c r="P8" s="37">
        <v>37606.839999999997</v>
      </c>
      <c r="Q8" s="37">
        <v>86232.15</v>
      </c>
      <c r="R8" s="37">
        <v>57766.84</v>
      </c>
      <c r="S8" s="37">
        <v>14232</v>
      </c>
      <c r="T8" s="37">
        <v>23706</v>
      </c>
      <c r="U8" s="37">
        <v>6112</v>
      </c>
      <c r="V8" s="37">
        <v>0</v>
      </c>
      <c r="W8" s="37">
        <v>80565.83</v>
      </c>
      <c r="X8" s="37">
        <v>42397.57</v>
      </c>
      <c r="Y8" s="37">
        <v>0</v>
      </c>
      <c r="Z8" s="37">
        <v>0</v>
      </c>
      <c r="AA8" s="37">
        <v>234854.12999999998</v>
      </c>
      <c r="AB8" s="37">
        <v>161477.25</v>
      </c>
      <c r="AC8" s="37">
        <v>0</v>
      </c>
      <c r="AD8" s="37">
        <v>0</v>
      </c>
      <c r="AE8" s="37">
        <v>193899</v>
      </c>
      <c r="AF8" s="168">
        <v>0.02</v>
      </c>
      <c r="AG8" s="37">
        <v>26057000</v>
      </c>
      <c r="AH8" s="37">
        <v>242547.84</v>
      </c>
      <c r="AI8" s="37">
        <v>273929</v>
      </c>
      <c r="AJ8" s="37">
        <v>246934.61</v>
      </c>
      <c r="AK8" s="37">
        <v>251873.3</v>
      </c>
      <c r="AL8" s="37">
        <v>256910.77</v>
      </c>
      <c r="AM8" s="37">
        <v>262048.99</v>
      </c>
      <c r="AN8" s="37">
        <v>267289.96999999997</v>
      </c>
      <c r="AO8" s="37">
        <v>272635.76</v>
      </c>
      <c r="AP8" s="37">
        <v>278088.48</v>
      </c>
      <c r="AQ8" s="37">
        <v>283650.25</v>
      </c>
      <c r="AR8" s="37">
        <v>2635908.9699999997</v>
      </c>
      <c r="AS8" s="37">
        <v>0</v>
      </c>
      <c r="AT8" s="37">
        <v>0</v>
      </c>
      <c r="AU8" s="37">
        <v>31836.240000000002</v>
      </c>
      <c r="AV8" s="37">
        <v>21648.639999999999</v>
      </c>
      <c r="AW8" s="37">
        <v>662448.48</v>
      </c>
      <c r="AX8" s="37">
        <v>225232.48</v>
      </c>
      <c r="AY8" s="37">
        <v>0</v>
      </c>
      <c r="AZ8" s="37">
        <v>0</v>
      </c>
      <c r="BA8" s="37">
        <v>0</v>
      </c>
      <c r="BB8" s="37">
        <v>0</v>
      </c>
      <c r="BC8" s="37">
        <v>0</v>
      </c>
      <c r="BD8" s="37">
        <v>941165.84</v>
      </c>
      <c r="BE8" s="37">
        <v>0</v>
      </c>
      <c r="BF8" s="37">
        <v>0</v>
      </c>
      <c r="BG8" s="37">
        <v>0</v>
      </c>
      <c r="BH8" s="37">
        <v>0</v>
      </c>
      <c r="BI8" s="37">
        <v>0</v>
      </c>
      <c r="BJ8" s="37">
        <v>0</v>
      </c>
      <c r="BK8" s="37">
        <v>0</v>
      </c>
      <c r="BL8" s="37">
        <v>0</v>
      </c>
      <c r="BM8" s="37">
        <v>0</v>
      </c>
      <c r="BN8" s="37">
        <v>0</v>
      </c>
      <c r="BO8" s="37">
        <v>0</v>
      </c>
      <c r="BP8" s="37">
        <v>0</v>
      </c>
      <c r="BQ8" s="37">
        <v>0</v>
      </c>
      <c r="BR8" s="37">
        <v>0</v>
      </c>
      <c r="BS8" s="37">
        <v>0</v>
      </c>
      <c r="BT8" s="37">
        <v>0</v>
      </c>
      <c r="BU8" s="37">
        <v>0</v>
      </c>
      <c r="BV8" s="37">
        <v>0</v>
      </c>
      <c r="BW8" s="37">
        <v>0</v>
      </c>
      <c r="BX8" s="37">
        <v>0</v>
      </c>
      <c r="BY8" s="37">
        <v>0</v>
      </c>
      <c r="BZ8" s="37">
        <v>0</v>
      </c>
      <c r="CA8" s="37">
        <v>0</v>
      </c>
      <c r="CB8" s="37">
        <v>0</v>
      </c>
      <c r="CC8" s="37">
        <v>0</v>
      </c>
      <c r="CD8" s="37">
        <v>0</v>
      </c>
      <c r="CE8" s="37">
        <v>0</v>
      </c>
      <c r="CF8" s="37">
        <v>0</v>
      </c>
      <c r="CG8" s="37">
        <v>0</v>
      </c>
      <c r="CH8" s="37">
        <v>0</v>
      </c>
      <c r="CI8" s="37">
        <v>0</v>
      </c>
      <c r="CJ8" s="37">
        <v>0</v>
      </c>
      <c r="CK8" s="37">
        <v>0</v>
      </c>
      <c r="CL8" s="37">
        <v>0</v>
      </c>
      <c r="CM8" s="37">
        <v>0</v>
      </c>
      <c r="CN8" s="37">
        <v>0</v>
      </c>
      <c r="CO8" s="37">
        <v>832782</v>
      </c>
      <c r="CP8" s="37">
        <v>201686</v>
      </c>
      <c r="CQ8" s="37">
        <v>0</v>
      </c>
      <c r="CR8" s="37">
        <v>0</v>
      </c>
      <c r="CS8" s="37">
        <v>0</v>
      </c>
      <c r="CT8" s="37">
        <v>0</v>
      </c>
      <c r="CU8" s="37">
        <v>0</v>
      </c>
      <c r="CV8" s="37">
        <v>0</v>
      </c>
      <c r="CW8" s="37">
        <v>0</v>
      </c>
      <c r="CX8" s="37">
        <v>0</v>
      </c>
      <c r="CY8" s="37">
        <v>0</v>
      </c>
      <c r="CZ8" s="37">
        <v>201686</v>
      </c>
      <c r="DA8" s="37">
        <v>2339352</v>
      </c>
      <c r="DB8" s="37">
        <v>0</v>
      </c>
      <c r="DC8" s="37">
        <v>0</v>
      </c>
      <c r="DD8" s="37">
        <v>10698</v>
      </c>
      <c r="DE8" s="37">
        <v>0</v>
      </c>
      <c r="DF8" s="37">
        <v>0</v>
      </c>
      <c r="DG8" s="37">
        <v>0</v>
      </c>
      <c r="DH8" s="37">
        <v>0</v>
      </c>
      <c r="DI8" s="37">
        <v>0</v>
      </c>
      <c r="DJ8" s="37">
        <v>0</v>
      </c>
      <c r="DK8" s="37">
        <v>0</v>
      </c>
      <c r="DL8" s="37">
        <v>10698</v>
      </c>
      <c r="DM8" s="37">
        <v>1261797</v>
      </c>
      <c r="DN8" s="37">
        <v>0</v>
      </c>
      <c r="DO8" s="37">
        <v>0</v>
      </c>
      <c r="DP8" s="37">
        <v>0</v>
      </c>
      <c r="DQ8" s="37">
        <v>0</v>
      </c>
      <c r="DR8" s="37">
        <v>0</v>
      </c>
      <c r="DS8" s="37">
        <v>0</v>
      </c>
      <c r="DT8" s="37">
        <v>0</v>
      </c>
      <c r="DU8" s="37">
        <v>0</v>
      </c>
      <c r="DV8" s="37">
        <v>0</v>
      </c>
      <c r="DW8" s="37">
        <v>0</v>
      </c>
      <c r="DX8" s="37">
        <v>0</v>
      </c>
      <c r="DY8" s="37">
        <v>0</v>
      </c>
      <c r="DZ8" s="37">
        <v>0</v>
      </c>
      <c r="EA8" s="37">
        <v>0</v>
      </c>
      <c r="EB8" s="37">
        <v>0</v>
      </c>
      <c r="EC8" s="37">
        <v>0</v>
      </c>
      <c r="ED8" s="37">
        <v>217588</v>
      </c>
      <c r="EE8" s="37">
        <v>221287</v>
      </c>
      <c r="EF8" s="37">
        <v>0</v>
      </c>
      <c r="EG8" s="37">
        <v>0</v>
      </c>
      <c r="EH8" s="37">
        <v>0</v>
      </c>
      <c r="EI8" s="37">
        <v>0</v>
      </c>
      <c r="EJ8" s="37">
        <v>438875</v>
      </c>
      <c r="EK8" s="161" t="s">
        <v>1453</v>
      </c>
      <c r="EL8" s="294" t="s">
        <v>1124</v>
      </c>
    </row>
    <row r="9" spans="1:142" ht="15" customHeight="1" x14ac:dyDescent="0.35">
      <c r="A9" s="34"/>
      <c r="B9" s="313">
        <v>98030</v>
      </c>
      <c r="C9" s="8" t="s">
        <v>1013</v>
      </c>
      <c r="D9" s="18">
        <v>9</v>
      </c>
      <c r="E9" s="155">
        <v>39822</v>
      </c>
      <c r="F9" s="36">
        <v>23979</v>
      </c>
      <c r="G9" s="37">
        <v>0</v>
      </c>
      <c r="H9" s="37">
        <v>0</v>
      </c>
      <c r="I9" s="37">
        <v>0</v>
      </c>
      <c r="J9" s="37">
        <v>0</v>
      </c>
      <c r="K9" s="37">
        <v>5973.3</v>
      </c>
      <c r="L9" s="37">
        <v>3596.85</v>
      </c>
      <c r="M9" s="37">
        <v>45795.3</v>
      </c>
      <c r="N9" s="37">
        <v>27575.85</v>
      </c>
      <c r="O9" s="37">
        <v>0</v>
      </c>
      <c r="P9" s="37">
        <v>0</v>
      </c>
      <c r="Q9" s="37">
        <v>54950</v>
      </c>
      <c r="R9" s="37">
        <v>21352</v>
      </c>
      <c r="S9" s="37">
        <v>0</v>
      </c>
      <c r="T9" s="37">
        <v>0</v>
      </c>
      <c r="U9" s="37">
        <v>0</v>
      </c>
      <c r="V9" s="37">
        <v>0</v>
      </c>
      <c r="W9" s="37">
        <v>0</v>
      </c>
      <c r="X9" s="37">
        <v>0</v>
      </c>
      <c r="Y9" s="37">
        <v>0</v>
      </c>
      <c r="Z9" s="37">
        <v>0</v>
      </c>
      <c r="AA9" s="37">
        <v>54950</v>
      </c>
      <c r="AB9" s="37">
        <v>21352</v>
      </c>
      <c r="AC9" s="37">
        <v>2931</v>
      </c>
      <c r="AD9" s="37">
        <v>0</v>
      </c>
      <c r="AE9" s="37">
        <v>0</v>
      </c>
      <c r="AF9" s="168">
        <v>0.02</v>
      </c>
      <c r="AG9" s="37">
        <v>15265764.310000001</v>
      </c>
      <c r="AH9" s="37">
        <v>385285.15</v>
      </c>
      <c r="AI9" s="37">
        <v>108042.33</v>
      </c>
      <c r="AJ9" s="37">
        <v>110203.18</v>
      </c>
      <c r="AK9" s="37">
        <v>112407.24</v>
      </c>
      <c r="AL9" s="37">
        <v>114655.38</v>
      </c>
      <c r="AM9" s="37">
        <v>116948.49</v>
      </c>
      <c r="AN9" s="37">
        <v>119287.46</v>
      </c>
      <c r="AO9" s="37">
        <v>121673.21</v>
      </c>
      <c r="AP9" s="37">
        <v>124106.68</v>
      </c>
      <c r="AQ9" s="37">
        <v>126588.81</v>
      </c>
      <c r="AR9" s="37">
        <v>1439197.9300000002</v>
      </c>
      <c r="AS9" s="37">
        <v>0</v>
      </c>
      <c r="AT9" s="37">
        <v>0</v>
      </c>
      <c r="AU9" s="37">
        <v>0</v>
      </c>
      <c r="AV9" s="37">
        <v>0</v>
      </c>
      <c r="AW9" s="37">
        <v>0</v>
      </c>
      <c r="AX9" s="37">
        <v>0</v>
      </c>
      <c r="AY9" s="37">
        <v>0</v>
      </c>
      <c r="AZ9" s="37">
        <v>0</v>
      </c>
      <c r="BA9" s="37">
        <v>0</v>
      </c>
      <c r="BB9" s="37">
        <v>0</v>
      </c>
      <c r="BC9" s="37">
        <v>0</v>
      </c>
      <c r="BD9" s="37">
        <v>0</v>
      </c>
      <c r="BE9" s="37">
        <v>313404</v>
      </c>
      <c r="BF9" s="37">
        <v>47597</v>
      </c>
      <c r="BG9" s="37">
        <v>202112</v>
      </c>
      <c r="BH9" s="37">
        <v>241500</v>
      </c>
      <c r="BI9" s="37">
        <v>0</v>
      </c>
      <c r="BJ9" s="37">
        <v>11136.230694986922</v>
      </c>
      <c r="BK9" s="37">
        <v>53925.998742239673</v>
      </c>
      <c r="BL9" s="37">
        <v>70128.872027555393</v>
      </c>
      <c r="BM9" s="37">
        <v>86331.745312871077</v>
      </c>
      <c r="BN9" s="37">
        <v>102534.65322234697</v>
      </c>
      <c r="BO9" s="37">
        <v>0</v>
      </c>
      <c r="BP9" s="37">
        <v>815266.5</v>
      </c>
      <c r="BQ9" s="37">
        <v>0</v>
      </c>
      <c r="BR9" s="37">
        <v>0</v>
      </c>
      <c r="BS9" s="37">
        <v>0</v>
      </c>
      <c r="BT9" s="37">
        <v>0</v>
      </c>
      <c r="BU9" s="37">
        <v>0</v>
      </c>
      <c r="BV9" s="37">
        <v>0</v>
      </c>
      <c r="BW9" s="37">
        <v>0</v>
      </c>
      <c r="BX9" s="37">
        <v>0</v>
      </c>
      <c r="BY9" s="37">
        <v>0</v>
      </c>
      <c r="BZ9" s="37">
        <v>0</v>
      </c>
      <c r="CA9" s="37">
        <v>0</v>
      </c>
      <c r="CB9" s="37">
        <v>0</v>
      </c>
      <c r="CC9" s="37">
        <v>0</v>
      </c>
      <c r="CD9" s="37">
        <v>0</v>
      </c>
      <c r="CE9" s="37">
        <v>0</v>
      </c>
      <c r="CF9" s="37">
        <v>0</v>
      </c>
      <c r="CG9" s="37">
        <v>0</v>
      </c>
      <c r="CH9" s="37">
        <v>0</v>
      </c>
      <c r="CI9" s="37">
        <v>0</v>
      </c>
      <c r="CJ9" s="37">
        <v>0</v>
      </c>
      <c r="CK9" s="37">
        <v>0</v>
      </c>
      <c r="CL9" s="37">
        <v>0</v>
      </c>
      <c r="CM9" s="37">
        <v>0</v>
      </c>
      <c r="CN9" s="37">
        <v>0</v>
      </c>
      <c r="CO9" s="37">
        <v>0</v>
      </c>
      <c r="CP9" s="37">
        <v>0</v>
      </c>
      <c r="CQ9" s="37">
        <v>0</v>
      </c>
      <c r="CR9" s="37">
        <v>0</v>
      </c>
      <c r="CS9" s="37">
        <v>0</v>
      </c>
      <c r="CT9" s="37">
        <v>0</v>
      </c>
      <c r="CU9" s="37">
        <v>0</v>
      </c>
      <c r="CV9" s="37">
        <v>0</v>
      </c>
      <c r="CW9" s="37">
        <v>0</v>
      </c>
      <c r="CX9" s="37">
        <v>0</v>
      </c>
      <c r="CY9" s="37">
        <v>0</v>
      </c>
      <c r="CZ9" s="37">
        <v>0</v>
      </c>
      <c r="DA9" s="37">
        <v>0</v>
      </c>
      <c r="DB9" s="37">
        <v>0</v>
      </c>
      <c r="DC9" s="37">
        <v>0</v>
      </c>
      <c r="DD9" s="37">
        <v>0</v>
      </c>
      <c r="DE9" s="37">
        <v>0</v>
      </c>
      <c r="DF9" s="37">
        <v>0</v>
      </c>
      <c r="DG9" s="37">
        <v>0</v>
      </c>
      <c r="DH9" s="37">
        <v>0</v>
      </c>
      <c r="DI9" s="37">
        <v>0</v>
      </c>
      <c r="DJ9" s="37">
        <v>0</v>
      </c>
      <c r="DK9" s="37">
        <v>0</v>
      </c>
      <c r="DL9" s="37">
        <v>0</v>
      </c>
      <c r="DM9" s="37">
        <v>0</v>
      </c>
      <c r="DN9" s="37">
        <v>0</v>
      </c>
      <c r="DO9" s="37">
        <v>0</v>
      </c>
      <c r="DP9" s="37">
        <v>0</v>
      </c>
      <c r="DQ9" s="37">
        <v>0</v>
      </c>
      <c r="DR9" s="37">
        <v>0</v>
      </c>
      <c r="DS9" s="37">
        <v>0</v>
      </c>
      <c r="DT9" s="37">
        <v>0</v>
      </c>
      <c r="DU9" s="37">
        <v>0</v>
      </c>
      <c r="DV9" s="37">
        <v>0</v>
      </c>
      <c r="DW9" s="37">
        <v>0</v>
      </c>
      <c r="DX9" s="37">
        <v>0</v>
      </c>
      <c r="DY9" s="37">
        <v>0</v>
      </c>
      <c r="DZ9" s="37">
        <v>0</v>
      </c>
      <c r="EA9" s="37">
        <v>0</v>
      </c>
      <c r="EB9" s="37">
        <v>0</v>
      </c>
      <c r="EC9" s="37">
        <v>0</v>
      </c>
      <c r="ED9" s="37">
        <v>0</v>
      </c>
      <c r="EE9" s="37">
        <v>0</v>
      </c>
      <c r="EF9" s="37">
        <v>0</v>
      </c>
      <c r="EG9" s="37">
        <v>0</v>
      </c>
      <c r="EH9" s="37">
        <v>0</v>
      </c>
      <c r="EI9" s="37">
        <v>0</v>
      </c>
      <c r="EJ9" s="37">
        <v>0</v>
      </c>
      <c r="EK9" s="161" t="s">
        <v>1417</v>
      </c>
      <c r="EL9" s="294" t="s">
        <v>1124</v>
      </c>
    </row>
    <row r="10" spans="1:142" ht="15" customHeight="1" x14ac:dyDescent="0.35">
      <c r="A10" s="34"/>
      <c r="B10" s="313">
        <v>92030</v>
      </c>
      <c r="C10" s="8" t="s">
        <v>950</v>
      </c>
      <c r="D10" s="18">
        <v>2</v>
      </c>
      <c r="E10" s="155">
        <v>215180</v>
      </c>
      <c r="F10" s="36">
        <v>128342</v>
      </c>
      <c r="G10" s="37">
        <v>21752</v>
      </c>
      <c r="H10" s="37">
        <v>1606</v>
      </c>
      <c r="I10" s="37">
        <v>47700</v>
      </c>
      <c r="J10" s="37">
        <v>7000</v>
      </c>
      <c r="K10" s="37">
        <v>32277</v>
      </c>
      <c r="L10" s="37">
        <v>19251.3</v>
      </c>
      <c r="M10" s="37">
        <v>316909</v>
      </c>
      <c r="N10" s="37">
        <v>156199.29999999999</v>
      </c>
      <c r="O10" s="37">
        <v>0</v>
      </c>
      <c r="P10" s="37">
        <v>0</v>
      </c>
      <c r="Q10" s="37">
        <v>394510</v>
      </c>
      <c r="R10" s="37">
        <v>104900</v>
      </c>
      <c r="S10" s="37">
        <v>0</v>
      </c>
      <c r="T10" s="37">
        <v>0</v>
      </c>
      <c r="U10" s="37">
        <v>6636</v>
      </c>
      <c r="V10" s="37">
        <v>0</v>
      </c>
      <c r="W10" s="37">
        <v>0</v>
      </c>
      <c r="X10" s="37">
        <v>0</v>
      </c>
      <c r="Y10" s="37">
        <v>0</v>
      </c>
      <c r="Z10" s="37">
        <v>0</v>
      </c>
      <c r="AA10" s="37">
        <v>401146</v>
      </c>
      <c r="AB10" s="37">
        <v>104900</v>
      </c>
      <c r="AC10" s="37">
        <v>32937.700000000012</v>
      </c>
      <c r="AD10" s="37">
        <v>0</v>
      </c>
      <c r="AE10" s="37">
        <v>0</v>
      </c>
      <c r="AF10" s="168">
        <v>0.02</v>
      </c>
      <c r="AG10" s="37">
        <v>29379467.390000001</v>
      </c>
      <c r="AH10" s="37">
        <v>235589</v>
      </c>
      <c r="AI10" s="37">
        <v>240300.78</v>
      </c>
      <c r="AJ10" s="37">
        <v>245106.79</v>
      </c>
      <c r="AK10" s="37">
        <v>250008.93</v>
      </c>
      <c r="AL10" s="37">
        <v>255009.11</v>
      </c>
      <c r="AM10" s="37">
        <v>260109.29</v>
      </c>
      <c r="AN10" s="37">
        <v>265311.48</v>
      </c>
      <c r="AO10" s="37">
        <v>270617.71000000002</v>
      </c>
      <c r="AP10" s="37">
        <v>276030.06</v>
      </c>
      <c r="AQ10" s="37">
        <v>281550.65999999997</v>
      </c>
      <c r="AR10" s="37">
        <v>2579633.8099999996</v>
      </c>
      <c r="AS10" s="37">
        <v>408818.94</v>
      </c>
      <c r="AT10" s="37">
        <v>0</v>
      </c>
      <c r="AU10" s="37">
        <v>624240</v>
      </c>
      <c r="AV10" s="37">
        <v>0</v>
      </c>
      <c r="AW10" s="37">
        <v>0</v>
      </c>
      <c r="AX10" s="37">
        <v>0</v>
      </c>
      <c r="AY10" s="37">
        <v>0</v>
      </c>
      <c r="AZ10" s="37">
        <v>0</v>
      </c>
      <c r="BA10" s="37">
        <v>0</v>
      </c>
      <c r="BB10" s="37">
        <v>0</v>
      </c>
      <c r="BC10" s="37">
        <v>0</v>
      </c>
      <c r="BD10" s="37">
        <v>624240</v>
      </c>
      <c r="BE10" s="37">
        <v>0</v>
      </c>
      <c r="BF10" s="37">
        <v>1058000</v>
      </c>
      <c r="BG10" s="37">
        <v>0</v>
      </c>
      <c r="BH10" s="37">
        <v>0</v>
      </c>
      <c r="BI10" s="37">
        <v>0</v>
      </c>
      <c r="BJ10" s="37">
        <v>0</v>
      </c>
      <c r="BK10" s="37">
        <v>0</v>
      </c>
      <c r="BL10" s="37">
        <v>0</v>
      </c>
      <c r="BM10" s="37">
        <v>0</v>
      </c>
      <c r="BN10" s="37">
        <v>0</v>
      </c>
      <c r="BO10" s="37">
        <v>0</v>
      </c>
      <c r="BP10" s="37">
        <v>1058000</v>
      </c>
      <c r="BQ10" s="37">
        <v>0</v>
      </c>
      <c r="BR10" s="37">
        <v>270000</v>
      </c>
      <c r="BS10" s="37">
        <v>0</v>
      </c>
      <c r="BT10" s="37">
        <v>0</v>
      </c>
      <c r="BU10" s="37">
        <v>0</v>
      </c>
      <c r="BV10" s="37">
        <v>0</v>
      </c>
      <c r="BW10" s="37">
        <v>0</v>
      </c>
      <c r="BX10" s="37">
        <v>0</v>
      </c>
      <c r="BY10" s="37">
        <v>0</v>
      </c>
      <c r="BZ10" s="37">
        <v>0</v>
      </c>
      <c r="CA10" s="37">
        <v>0</v>
      </c>
      <c r="CB10" s="37">
        <v>270000</v>
      </c>
      <c r="CC10" s="37">
        <v>0</v>
      </c>
      <c r="CD10" s="37">
        <v>0</v>
      </c>
      <c r="CE10" s="37">
        <v>0</v>
      </c>
      <c r="CF10" s="37">
        <v>0</v>
      </c>
      <c r="CG10" s="37">
        <v>0</v>
      </c>
      <c r="CH10" s="37">
        <v>0</v>
      </c>
      <c r="CI10" s="37">
        <v>0</v>
      </c>
      <c r="CJ10" s="37">
        <v>0</v>
      </c>
      <c r="CK10" s="37">
        <v>0</v>
      </c>
      <c r="CL10" s="37">
        <v>0</v>
      </c>
      <c r="CM10" s="37">
        <v>0</v>
      </c>
      <c r="CN10" s="37">
        <v>0</v>
      </c>
      <c r="CO10" s="37">
        <v>0</v>
      </c>
      <c r="CP10" s="37">
        <v>0</v>
      </c>
      <c r="CQ10" s="37">
        <v>0</v>
      </c>
      <c r="CR10" s="37">
        <v>0</v>
      </c>
      <c r="CS10" s="37">
        <v>0</v>
      </c>
      <c r="CT10" s="37">
        <v>0</v>
      </c>
      <c r="CU10" s="37">
        <v>0</v>
      </c>
      <c r="CV10" s="37">
        <v>0</v>
      </c>
      <c r="CW10" s="37">
        <v>0</v>
      </c>
      <c r="CX10" s="37">
        <v>0</v>
      </c>
      <c r="CY10" s="37">
        <v>0</v>
      </c>
      <c r="CZ10" s="37">
        <v>0</v>
      </c>
      <c r="DA10" s="37">
        <v>0</v>
      </c>
      <c r="DB10" s="37">
        <v>0</v>
      </c>
      <c r="DC10" s="37">
        <v>0</v>
      </c>
      <c r="DD10" s="37">
        <v>0</v>
      </c>
      <c r="DE10" s="37">
        <v>0</v>
      </c>
      <c r="DF10" s="37">
        <v>0</v>
      </c>
      <c r="DG10" s="37">
        <v>0</v>
      </c>
      <c r="DH10" s="37">
        <v>0</v>
      </c>
      <c r="DI10" s="37">
        <v>0</v>
      </c>
      <c r="DJ10" s="37">
        <v>0</v>
      </c>
      <c r="DK10" s="37">
        <v>0</v>
      </c>
      <c r="DL10" s="37">
        <v>0</v>
      </c>
      <c r="DM10" s="37">
        <v>0</v>
      </c>
      <c r="DN10" s="37">
        <v>0</v>
      </c>
      <c r="DO10" s="37">
        <v>0</v>
      </c>
      <c r="DP10" s="37">
        <v>0</v>
      </c>
      <c r="DQ10" s="37">
        <v>0</v>
      </c>
      <c r="DR10" s="37">
        <v>0</v>
      </c>
      <c r="DS10" s="37">
        <v>0</v>
      </c>
      <c r="DT10" s="37">
        <v>0</v>
      </c>
      <c r="DU10" s="37">
        <v>0</v>
      </c>
      <c r="DV10" s="37">
        <v>0</v>
      </c>
      <c r="DW10" s="37">
        <v>0</v>
      </c>
      <c r="DX10" s="37">
        <v>0</v>
      </c>
      <c r="DY10" s="37">
        <v>0</v>
      </c>
      <c r="DZ10" s="37">
        <v>0</v>
      </c>
      <c r="EA10" s="37">
        <v>0</v>
      </c>
      <c r="EB10" s="37">
        <v>0</v>
      </c>
      <c r="EC10" s="37">
        <v>0</v>
      </c>
      <c r="ED10" s="37">
        <v>0</v>
      </c>
      <c r="EE10" s="37">
        <v>0</v>
      </c>
      <c r="EF10" s="37">
        <v>0</v>
      </c>
      <c r="EG10" s="37">
        <v>0</v>
      </c>
      <c r="EH10" s="37">
        <v>0</v>
      </c>
      <c r="EI10" s="37">
        <v>0</v>
      </c>
      <c r="EJ10" s="37">
        <v>0</v>
      </c>
      <c r="EK10" s="161" t="s">
        <v>1369</v>
      </c>
      <c r="EL10" s="294" t="s">
        <v>1124</v>
      </c>
    </row>
    <row r="11" spans="1:142" ht="15" customHeight="1" x14ac:dyDescent="0.35">
      <c r="A11" s="34"/>
      <c r="B11" s="313">
        <v>7025</v>
      </c>
      <c r="C11" s="8" t="s">
        <v>1071</v>
      </c>
      <c r="D11" s="18">
        <v>1</v>
      </c>
      <c r="E11" s="155"/>
      <c r="F11" s="36"/>
      <c r="G11" s="37"/>
      <c r="H11" s="37"/>
      <c r="I11" s="37"/>
      <c r="J11" s="37"/>
      <c r="K11" s="37"/>
      <c r="L11" s="37"/>
      <c r="M11" s="37" t="s">
        <v>1124</v>
      </c>
      <c r="N11" s="37" t="s">
        <v>1124</v>
      </c>
      <c r="O11" s="37"/>
      <c r="P11" s="37"/>
      <c r="Q11" s="37"/>
      <c r="R11" s="37"/>
      <c r="S11" s="37"/>
      <c r="T11" s="37"/>
      <c r="U11" s="37"/>
      <c r="V11" s="37"/>
      <c r="W11" s="37"/>
      <c r="X11" s="37"/>
      <c r="Y11" s="37"/>
      <c r="Z11" s="37"/>
      <c r="AA11" s="37" t="s">
        <v>1124</v>
      </c>
      <c r="AB11" s="37" t="s">
        <v>1124</v>
      </c>
      <c r="AC11" s="37"/>
      <c r="AD11" s="37"/>
      <c r="AE11" s="37"/>
      <c r="AF11" s="168"/>
      <c r="AG11" s="37"/>
      <c r="AH11" s="37"/>
      <c r="AI11" s="37"/>
      <c r="AJ11" s="37"/>
      <c r="AK11" s="37"/>
      <c r="AL11" s="37"/>
      <c r="AM11" s="37"/>
      <c r="AN11" s="37"/>
      <c r="AO11" s="37"/>
      <c r="AP11" s="37"/>
      <c r="AQ11" s="37"/>
      <c r="AR11" s="37" t="s">
        <v>1124</v>
      </c>
      <c r="AS11" s="37"/>
      <c r="AT11" s="37"/>
      <c r="AU11" s="37"/>
      <c r="AV11" s="37"/>
      <c r="AW11" s="37"/>
      <c r="AX11" s="37"/>
      <c r="AY11" s="37"/>
      <c r="AZ11" s="37"/>
      <c r="BA11" s="37"/>
      <c r="BB11" s="37"/>
      <c r="BC11" s="37"/>
      <c r="BD11" s="37" t="s">
        <v>1124</v>
      </c>
      <c r="BE11" s="37"/>
      <c r="BF11" s="37"/>
      <c r="BG11" s="37"/>
      <c r="BH11" s="37"/>
      <c r="BI11" s="37"/>
      <c r="BJ11" s="37"/>
      <c r="BK11" s="37"/>
      <c r="BL11" s="37"/>
      <c r="BM11" s="37"/>
      <c r="BN11" s="37"/>
      <c r="BO11" s="37"/>
      <c r="BP11" s="37">
        <v>0</v>
      </c>
      <c r="BQ11" s="37"/>
      <c r="BR11" s="37"/>
      <c r="BS11" s="37"/>
      <c r="BT11" s="37"/>
      <c r="BU11" s="37"/>
      <c r="BV11" s="37"/>
      <c r="BW11" s="37"/>
      <c r="BX11" s="37"/>
      <c r="BY11" s="37"/>
      <c r="BZ11" s="37"/>
      <c r="CA11" s="37"/>
      <c r="CB11" s="37" t="s">
        <v>1124</v>
      </c>
      <c r="CC11" s="37"/>
      <c r="CD11" s="37"/>
      <c r="CE11" s="37"/>
      <c r="CF11" s="37"/>
      <c r="CG11" s="37"/>
      <c r="CH11" s="37"/>
      <c r="CI11" s="37"/>
      <c r="CJ11" s="37"/>
      <c r="CK11" s="37"/>
      <c r="CL11" s="37"/>
      <c r="CM11" s="37"/>
      <c r="CN11" s="37" t="s">
        <v>1124</v>
      </c>
      <c r="CO11" s="37"/>
      <c r="CP11" s="37"/>
      <c r="CQ11" s="37"/>
      <c r="CR11" s="37"/>
      <c r="CS11" s="37"/>
      <c r="CT11" s="37"/>
      <c r="CU11" s="37"/>
      <c r="CV11" s="37"/>
      <c r="CW11" s="37"/>
      <c r="CX11" s="37"/>
      <c r="CY11" s="37"/>
      <c r="CZ11" s="37" t="s">
        <v>1124</v>
      </c>
      <c r="DA11" s="37"/>
      <c r="DB11" s="37"/>
      <c r="DC11" s="37"/>
      <c r="DD11" s="37"/>
      <c r="DE11" s="37"/>
      <c r="DF11" s="37"/>
      <c r="DG11" s="37"/>
      <c r="DH11" s="37"/>
      <c r="DI11" s="37"/>
      <c r="DJ11" s="37"/>
      <c r="DK11" s="37"/>
      <c r="DL11" s="37" t="s">
        <v>1124</v>
      </c>
      <c r="DM11" s="37"/>
      <c r="DN11" s="37"/>
      <c r="DO11" s="37"/>
      <c r="DP11" s="37"/>
      <c r="DQ11" s="37"/>
      <c r="DR11" s="37"/>
      <c r="DS11" s="37"/>
      <c r="DT11" s="37"/>
      <c r="DU11" s="37"/>
      <c r="DV11" s="37"/>
      <c r="DW11" s="37"/>
      <c r="DX11" s="37" t="s">
        <v>1124</v>
      </c>
      <c r="DY11" s="37"/>
      <c r="DZ11" s="37"/>
      <c r="EA11" s="37"/>
      <c r="EB11" s="37"/>
      <c r="EC11" s="37"/>
      <c r="ED11" s="37"/>
      <c r="EE11" s="37"/>
      <c r="EF11" s="37"/>
      <c r="EG11" s="37"/>
      <c r="EH11" s="37"/>
      <c r="EI11" s="37"/>
      <c r="EJ11" s="37" t="s">
        <v>1124</v>
      </c>
      <c r="EK11" s="161"/>
      <c r="EL11" s="294"/>
    </row>
    <row r="12" spans="1:142" ht="15" customHeight="1" x14ac:dyDescent="0.35">
      <c r="A12" s="34"/>
      <c r="B12" s="313">
        <v>84050</v>
      </c>
      <c r="C12" s="8" t="s">
        <v>861</v>
      </c>
      <c r="D12" s="18">
        <v>7</v>
      </c>
      <c r="E12" s="155"/>
      <c r="F12" s="36"/>
      <c r="G12" s="37"/>
      <c r="H12" s="37"/>
      <c r="I12" s="37"/>
      <c r="J12" s="37"/>
      <c r="K12" s="37"/>
      <c r="L12" s="37"/>
      <c r="M12" s="37" t="s">
        <v>1124</v>
      </c>
      <c r="N12" s="37" t="s">
        <v>1124</v>
      </c>
      <c r="O12" s="37"/>
      <c r="P12" s="37"/>
      <c r="Q12" s="37"/>
      <c r="R12" s="37"/>
      <c r="S12" s="37"/>
      <c r="T12" s="37"/>
      <c r="U12" s="37"/>
      <c r="V12" s="37"/>
      <c r="W12" s="37"/>
      <c r="X12" s="37"/>
      <c r="Y12" s="37"/>
      <c r="Z12" s="37"/>
      <c r="AA12" s="37" t="s">
        <v>1124</v>
      </c>
      <c r="AB12" s="37" t="s">
        <v>1124</v>
      </c>
      <c r="AC12" s="37"/>
      <c r="AD12" s="37"/>
      <c r="AE12" s="37"/>
      <c r="AF12" s="168"/>
      <c r="AG12" s="37"/>
      <c r="AH12" s="37"/>
      <c r="AI12" s="37"/>
      <c r="AJ12" s="37"/>
      <c r="AK12" s="37"/>
      <c r="AL12" s="37"/>
      <c r="AM12" s="37"/>
      <c r="AN12" s="37"/>
      <c r="AO12" s="37"/>
      <c r="AP12" s="37"/>
      <c r="AQ12" s="37"/>
      <c r="AR12" s="37" t="s">
        <v>1124</v>
      </c>
      <c r="AS12" s="37"/>
      <c r="AT12" s="37"/>
      <c r="AU12" s="37"/>
      <c r="AV12" s="37"/>
      <c r="AW12" s="37"/>
      <c r="AX12" s="37"/>
      <c r="AY12" s="37"/>
      <c r="AZ12" s="37"/>
      <c r="BA12" s="37"/>
      <c r="BB12" s="37"/>
      <c r="BC12" s="37"/>
      <c r="BD12" s="37" t="s">
        <v>1124</v>
      </c>
      <c r="BE12" s="37"/>
      <c r="BF12" s="37"/>
      <c r="BG12" s="37"/>
      <c r="BH12" s="37"/>
      <c r="BI12" s="37"/>
      <c r="BJ12" s="37"/>
      <c r="BK12" s="37"/>
      <c r="BL12" s="37"/>
      <c r="BM12" s="37"/>
      <c r="BN12" s="37"/>
      <c r="BO12" s="37"/>
      <c r="BP12" s="37">
        <v>0</v>
      </c>
      <c r="BQ12" s="37"/>
      <c r="BR12" s="37"/>
      <c r="BS12" s="37"/>
      <c r="BT12" s="37"/>
      <c r="BU12" s="37"/>
      <c r="BV12" s="37"/>
      <c r="BW12" s="37"/>
      <c r="BX12" s="37"/>
      <c r="BY12" s="37"/>
      <c r="BZ12" s="37"/>
      <c r="CA12" s="37"/>
      <c r="CB12" s="37" t="s">
        <v>1124</v>
      </c>
      <c r="CC12" s="37"/>
      <c r="CD12" s="37"/>
      <c r="CE12" s="37"/>
      <c r="CF12" s="37"/>
      <c r="CG12" s="37"/>
      <c r="CH12" s="37"/>
      <c r="CI12" s="37"/>
      <c r="CJ12" s="37"/>
      <c r="CK12" s="37"/>
      <c r="CL12" s="37"/>
      <c r="CM12" s="37"/>
      <c r="CN12" s="37" t="s">
        <v>1124</v>
      </c>
      <c r="CO12" s="37"/>
      <c r="CP12" s="37"/>
      <c r="CQ12" s="37"/>
      <c r="CR12" s="37"/>
      <c r="CS12" s="37"/>
      <c r="CT12" s="37"/>
      <c r="CU12" s="37"/>
      <c r="CV12" s="37"/>
      <c r="CW12" s="37"/>
      <c r="CX12" s="37"/>
      <c r="CY12" s="37"/>
      <c r="CZ12" s="37" t="s">
        <v>1124</v>
      </c>
      <c r="DA12" s="37"/>
      <c r="DB12" s="37"/>
      <c r="DC12" s="37"/>
      <c r="DD12" s="37"/>
      <c r="DE12" s="37"/>
      <c r="DF12" s="37"/>
      <c r="DG12" s="37"/>
      <c r="DH12" s="37"/>
      <c r="DI12" s="37"/>
      <c r="DJ12" s="37"/>
      <c r="DK12" s="37"/>
      <c r="DL12" s="37" t="s">
        <v>1124</v>
      </c>
      <c r="DM12" s="37"/>
      <c r="DN12" s="37"/>
      <c r="DO12" s="37"/>
      <c r="DP12" s="37"/>
      <c r="DQ12" s="37"/>
      <c r="DR12" s="37"/>
      <c r="DS12" s="37"/>
      <c r="DT12" s="37"/>
      <c r="DU12" s="37"/>
      <c r="DV12" s="37"/>
      <c r="DW12" s="37"/>
      <c r="DX12" s="37" t="s">
        <v>1124</v>
      </c>
      <c r="DY12" s="37"/>
      <c r="DZ12" s="37"/>
      <c r="EA12" s="37"/>
      <c r="EB12" s="37"/>
      <c r="EC12" s="37"/>
      <c r="ED12" s="37"/>
      <c r="EE12" s="37"/>
      <c r="EF12" s="37"/>
      <c r="EG12" s="37"/>
      <c r="EH12" s="37"/>
      <c r="EI12" s="37"/>
      <c r="EJ12" s="37" t="s">
        <v>1124</v>
      </c>
      <c r="EK12" s="161"/>
      <c r="EL12" s="294"/>
    </row>
    <row r="13" spans="1:142" ht="15" customHeight="1" x14ac:dyDescent="0.35">
      <c r="A13" s="34"/>
      <c r="B13" s="313">
        <v>93042</v>
      </c>
      <c r="C13" s="8" t="s">
        <v>964</v>
      </c>
      <c r="D13" s="18">
        <v>2</v>
      </c>
      <c r="E13" s="155">
        <v>2970286</v>
      </c>
      <c r="F13" s="36">
        <v>1370134</v>
      </c>
      <c r="G13" s="37">
        <v>41009</v>
      </c>
      <c r="H13" s="37">
        <v>45568</v>
      </c>
      <c r="I13" s="37">
        <v>218250</v>
      </c>
      <c r="J13" s="37">
        <v>262832</v>
      </c>
      <c r="K13" s="37">
        <v>445542.89999999997</v>
      </c>
      <c r="L13" s="37">
        <v>205520.1</v>
      </c>
      <c r="M13" s="37">
        <v>3675087.9</v>
      </c>
      <c r="N13" s="37">
        <v>1884054.1</v>
      </c>
      <c r="O13" s="37">
        <v>86274</v>
      </c>
      <c r="P13" s="37">
        <v>0</v>
      </c>
      <c r="Q13" s="37">
        <v>2587604</v>
      </c>
      <c r="R13" s="37">
        <v>1377327</v>
      </c>
      <c r="S13" s="37">
        <v>71978</v>
      </c>
      <c r="T13" s="37">
        <v>50534</v>
      </c>
      <c r="U13" s="37">
        <v>297233</v>
      </c>
      <c r="V13" s="37">
        <v>297233</v>
      </c>
      <c r="W13" s="37">
        <v>631999</v>
      </c>
      <c r="X13" s="37">
        <v>158960</v>
      </c>
      <c r="Y13" s="37">
        <v>0</v>
      </c>
      <c r="Z13" s="37">
        <v>0</v>
      </c>
      <c r="AA13" s="37">
        <v>3675088</v>
      </c>
      <c r="AB13" s="37">
        <v>1884054</v>
      </c>
      <c r="AC13" s="37">
        <v>0</v>
      </c>
      <c r="AD13" s="37">
        <v>0</v>
      </c>
      <c r="AE13" s="37">
        <v>0</v>
      </c>
      <c r="AF13" s="168">
        <v>0.02</v>
      </c>
      <c r="AG13" s="37">
        <v>511841588.22000003</v>
      </c>
      <c r="AH13" s="37">
        <v>5125674.91</v>
      </c>
      <c r="AI13" s="37">
        <v>5228188.41</v>
      </c>
      <c r="AJ13" s="37">
        <v>5332752.18</v>
      </c>
      <c r="AK13" s="37">
        <v>5439407.2199999997</v>
      </c>
      <c r="AL13" s="37">
        <v>5548195.3700000001</v>
      </c>
      <c r="AM13" s="37">
        <v>5659159.2800000003</v>
      </c>
      <c r="AN13" s="37">
        <v>5772342.46</v>
      </c>
      <c r="AO13" s="37">
        <v>5887789.3099999996</v>
      </c>
      <c r="AP13" s="37">
        <v>6005545.0999999996</v>
      </c>
      <c r="AQ13" s="37">
        <v>6125656</v>
      </c>
      <c r="AR13" s="37">
        <v>56124710.239999995</v>
      </c>
      <c r="AS13" s="37">
        <v>25033856.280000001</v>
      </c>
      <c r="AT13" s="37">
        <v>0</v>
      </c>
      <c r="AU13" s="37">
        <v>0</v>
      </c>
      <c r="AV13" s="37">
        <v>0</v>
      </c>
      <c r="AW13" s="37">
        <v>0</v>
      </c>
      <c r="AX13" s="37">
        <v>0</v>
      </c>
      <c r="AY13" s="37">
        <v>0</v>
      </c>
      <c r="AZ13" s="37">
        <v>0</v>
      </c>
      <c r="BA13" s="37">
        <v>0</v>
      </c>
      <c r="BB13" s="37">
        <v>0</v>
      </c>
      <c r="BC13" s="37">
        <v>0</v>
      </c>
      <c r="BD13" s="37">
        <v>0</v>
      </c>
      <c r="BE13" s="37">
        <v>1932070</v>
      </c>
      <c r="BF13" s="37">
        <v>3376842</v>
      </c>
      <c r="BG13" s="37">
        <v>4138119</v>
      </c>
      <c r="BH13" s="37">
        <v>2376581</v>
      </c>
      <c r="BI13" s="37">
        <v>1120000</v>
      </c>
      <c r="BJ13" s="37">
        <v>0</v>
      </c>
      <c r="BK13" s="37">
        <v>0</v>
      </c>
      <c r="BL13" s="37">
        <v>0</v>
      </c>
      <c r="BM13" s="37">
        <v>0</v>
      </c>
      <c r="BN13" s="37">
        <v>0</v>
      </c>
      <c r="BO13" s="37">
        <v>0</v>
      </c>
      <c r="BP13" s="37">
        <v>11011542</v>
      </c>
      <c r="BQ13" s="37">
        <v>191172</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37">
        <v>0</v>
      </c>
      <c r="DY13" s="37">
        <v>0</v>
      </c>
      <c r="DZ13" s="37">
        <v>0</v>
      </c>
      <c r="EA13" s="37">
        <v>0</v>
      </c>
      <c r="EB13" s="37">
        <v>0</v>
      </c>
      <c r="EC13" s="37">
        <v>0</v>
      </c>
      <c r="ED13" s="37">
        <v>0</v>
      </c>
      <c r="EE13" s="37">
        <v>0</v>
      </c>
      <c r="EF13" s="37">
        <v>0</v>
      </c>
      <c r="EG13" s="37">
        <v>0</v>
      </c>
      <c r="EH13" s="37">
        <v>0</v>
      </c>
      <c r="EI13" s="37">
        <v>0</v>
      </c>
      <c r="EJ13" s="37">
        <v>0</v>
      </c>
      <c r="EK13" s="161" t="s">
        <v>1375</v>
      </c>
      <c r="EL13" s="294" t="s">
        <v>1124</v>
      </c>
    </row>
    <row r="14" spans="1:142" ht="15" customHeight="1" x14ac:dyDescent="0.35">
      <c r="A14" s="34"/>
      <c r="B14" s="313">
        <v>78070</v>
      </c>
      <c r="C14" s="8" t="s">
        <v>777</v>
      </c>
      <c r="D14" s="18">
        <v>15</v>
      </c>
      <c r="E14" s="155">
        <v>43360</v>
      </c>
      <c r="F14" s="36">
        <v>0</v>
      </c>
      <c r="G14" s="37">
        <v>3202</v>
      </c>
      <c r="H14" s="37">
        <v>0</v>
      </c>
      <c r="I14" s="37">
        <v>23660</v>
      </c>
      <c r="J14" s="37">
        <v>0</v>
      </c>
      <c r="K14" s="37">
        <v>38700</v>
      </c>
      <c r="L14" s="37">
        <v>0</v>
      </c>
      <c r="M14" s="37">
        <v>108922</v>
      </c>
      <c r="N14" s="37">
        <v>0</v>
      </c>
      <c r="O14" s="37">
        <v>0</v>
      </c>
      <c r="P14" s="37">
        <v>0</v>
      </c>
      <c r="Q14" s="37">
        <v>52551</v>
      </c>
      <c r="R14" s="37">
        <v>0</v>
      </c>
      <c r="S14" s="37">
        <v>0</v>
      </c>
      <c r="T14" s="37">
        <v>0</v>
      </c>
      <c r="U14" s="37">
        <v>0</v>
      </c>
      <c r="V14" s="37">
        <v>0</v>
      </c>
      <c r="W14" s="37">
        <v>56371</v>
      </c>
      <c r="X14" s="37">
        <v>0</v>
      </c>
      <c r="Y14" s="37">
        <v>0</v>
      </c>
      <c r="Z14" s="37">
        <v>0</v>
      </c>
      <c r="AA14" s="37">
        <v>108922</v>
      </c>
      <c r="AB14" s="37">
        <v>0</v>
      </c>
      <c r="AC14" s="37">
        <v>0</v>
      </c>
      <c r="AD14" s="37">
        <v>0</v>
      </c>
      <c r="AE14" s="37">
        <v>0</v>
      </c>
      <c r="AF14" s="168">
        <v>0.02</v>
      </c>
      <c r="AG14" s="37">
        <v>5379801.4299999997</v>
      </c>
      <c r="AH14" s="37">
        <v>56004.74</v>
      </c>
      <c r="AI14" s="37">
        <v>57124.84</v>
      </c>
      <c r="AJ14" s="37">
        <v>58267.33</v>
      </c>
      <c r="AK14" s="37">
        <v>59432.68</v>
      </c>
      <c r="AL14" s="37">
        <v>60621.33</v>
      </c>
      <c r="AM14" s="37">
        <v>61833.760000000002</v>
      </c>
      <c r="AN14" s="37">
        <v>63070.44</v>
      </c>
      <c r="AO14" s="37">
        <v>64331.839999999997</v>
      </c>
      <c r="AP14" s="37">
        <v>65618.48</v>
      </c>
      <c r="AQ14" s="37">
        <v>66930.850000000006</v>
      </c>
      <c r="AR14" s="37">
        <v>613236.29</v>
      </c>
      <c r="AS14" s="37">
        <v>0</v>
      </c>
      <c r="AT14" s="37">
        <v>20808</v>
      </c>
      <c r="AU14" s="37">
        <v>21224.16</v>
      </c>
      <c r="AV14" s="37">
        <v>21648.639999999999</v>
      </c>
      <c r="AW14" s="37">
        <v>0</v>
      </c>
      <c r="AX14" s="37">
        <v>0</v>
      </c>
      <c r="AY14" s="37">
        <v>0</v>
      </c>
      <c r="AZ14" s="37">
        <v>0</v>
      </c>
      <c r="BA14" s="37">
        <v>0</v>
      </c>
      <c r="BB14" s="37">
        <v>0</v>
      </c>
      <c r="BC14" s="37">
        <v>0</v>
      </c>
      <c r="BD14" s="37">
        <v>63680.800000000003</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D14" s="37">
        <v>0</v>
      </c>
      <c r="DE14" s="37">
        <v>0</v>
      </c>
      <c r="DF14" s="37">
        <v>0</v>
      </c>
      <c r="DG14" s="37">
        <v>0</v>
      </c>
      <c r="DH14" s="37">
        <v>0</v>
      </c>
      <c r="DI14" s="37">
        <v>0</v>
      </c>
      <c r="DJ14" s="37">
        <v>0</v>
      </c>
      <c r="DK14" s="37">
        <v>0</v>
      </c>
      <c r="DL14" s="37">
        <v>0</v>
      </c>
      <c r="DM14" s="37">
        <v>0</v>
      </c>
      <c r="DN14" s="37">
        <v>20400</v>
      </c>
      <c r="DO14" s="37">
        <v>20400</v>
      </c>
      <c r="DP14" s="37">
        <v>20400</v>
      </c>
      <c r="DQ14" s="37">
        <v>0</v>
      </c>
      <c r="DR14" s="37">
        <v>0</v>
      </c>
      <c r="DS14" s="37">
        <v>0</v>
      </c>
      <c r="DT14" s="37">
        <v>0</v>
      </c>
      <c r="DU14" s="37">
        <v>0</v>
      </c>
      <c r="DV14" s="37">
        <v>0</v>
      </c>
      <c r="DW14" s="37">
        <v>0</v>
      </c>
      <c r="DX14" s="37">
        <v>61200</v>
      </c>
      <c r="DY14" s="37">
        <v>0</v>
      </c>
      <c r="DZ14" s="37">
        <v>0</v>
      </c>
      <c r="EA14" s="37">
        <v>0</v>
      </c>
      <c r="EB14" s="37">
        <v>0</v>
      </c>
      <c r="EC14" s="37">
        <v>0</v>
      </c>
      <c r="ED14" s="37">
        <v>0</v>
      </c>
      <c r="EE14" s="37">
        <v>0</v>
      </c>
      <c r="EF14" s="37">
        <v>0</v>
      </c>
      <c r="EG14" s="37">
        <v>0</v>
      </c>
      <c r="EH14" s="37">
        <v>0</v>
      </c>
      <c r="EI14" s="37">
        <v>0</v>
      </c>
      <c r="EJ14" s="37">
        <v>0</v>
      </c>
      <c r="EK14" s="161" t="s">
        <v>1421</v>
      </c>
      <c r="EL14" s="294" t="s">
        <v>1124</v>
      </c>
    </row>
    <row r="15" spans="1:142" ht="15" customHeight="1" x14ac:dyDescent="0.35">
      <c r="A15" s="34"/>
      <c r="B15" s="313">
        <v>88055</v>
      </c>
      <c r="C15" s="8" t="s">
        <v>920</v>
      </c>
      <c r="D15" s="18">
        <v>8</v>
      </c>
      <c r="E15" s="155">
        <v>587063</v>
      </c>
      <c r="F15" s="36">
        <v>836152</v>
      </c>
      <c r="G15" s="37">
        <v>107249</v>
      </c>
      <c r="H15" s="37">
        <v>114001</v>
      </c>
      <c r="I15" s="37">
        <v>567980</v>
      </c>
      <c r="J15" s="37">
        <v>1066114</v>
      </c>
      <c r="K15" s="37">
        <v>189343.8</v>
      </c>
      <c r="L15" s="37">
        <v>302440.05</v>
      </c>
      <c r="M15" s="37">
        <v>1451635.8</v>
      </c>
      <c r="N15" s="37">
        <v>2318707.0499999998</v>
      </c>
      <c r="O15" s="37">
        <v>272966.53999999998</v>
      </c>
      <c r="P15" s="37">
        <v>84278.64</v>
      </c>
      <c r="Q15" s="37">
        <v>785680.56</v>
      </c>
      <c r="R15" s="37">
        <v>1039597.3</v>
      </c>
      <c r="S15" s="37">
        <v>21366</v>
      </c>
      <c r="T15" s="37">
        <v>52850</v>
      </c>
      <c r="U15" s="37">
        <v>39393</v>
      </c>
      <c r="V15" s="37">
        <v>24302</v>
      </c>
      <c r="W15" s="37">
        <v>82230</v>
      </c>
      <c r="X15" s="37">
        <v>917679</v>
      </c>
      <c r="Y15" s="37">
        <v>250000</v>
      </c>
      <c r="Z15" s="37">
        <v>200000</v>
      </c>
      <c r="AA15" s="37">
        <v>1451636.1</v>
      </c>
      <c r="AB15" s="37">
        <v>2318706.94</v>
      </c>
      <c r="AC15" s="37">
        <v>0.19000000040978193</v>
      </c>
      <c r="AD15" s="37">
        <v>0</v>
      </c>
      <c r="AE15" s="37">
        <v>250000</v>
      </c>
      <c r="AF15" s="168">
        <v>0.02</v>
      </c>
      <c r="AG15" s="37">
        <v>224295763.91999999</v>
      </c>
      <c r="AH15" s="37">
        <v>2312738.8199999998</v>
      </c>
      <c r="AI15" s="37">
        <v>2544705</v>
      </c>
      <c r="AJ15" s="37">
        <v>2628072.06</v>
      </c>
      <c r="AK15" s="37">
        <v>2686153.91</v>
      </c>
      <c r="AL15" s="37">
        <v>2531536.94</v>
      </c>
      <c r="AM15" s="37">
        <v>3093332.8</v>
      </c>
      <c r="AN15" s="37">
        <v>2569369.7599999998</v>
      </c>
      <c r="AO15" s="37">
        <v>2501247.9</v>
      </c>
      <c r="AP15" s="37">
        <v>2551272.86</v>
      </c>
      <c r="AQ15" s="37">
        <v>2602298.3199999998</v>
      </c>
      <c r="AR15" s="37">
        <v>26020728.369999997</v>
      </c>
      <c r="AS15" s="37">
        <v>5004755.7699999996</v>
      </c>
      <c r="AT15" s="37">
        <v>7803</v>
      </c>
      <c r="AU15" s="37">
        <v>0</v>
      </c>
      <c r="AV15" s="37">
        <v>32472.959999999999</v>
      </c>
      <c r="AW15" s="37">
        <v>0</v>
      </c>
      <c r="AX15" s="37">
        <v>0</v>
      </c>
      <c r="AY15" s="37">
        <v>0</v>
      </c>
      <c r="AZ15" s="37">
        <v>0</v>
      </c>
      <c r="BA15" s="37">
        <v>0</v>
      </c>
      <c r="BB15" s="37">
        <v>0</v>
      </c>
      <c r="BC15" s="37">
        <v>0</v>
      </c>
      <c r="BD15" s="37">
        <v>40275.96</v>
      </c>
      <c r="BE15" s="37">
        <v>5856350</v>
      </c>
      <c r="BF15" s="37">
        <v>1383694</v>
      </c>
      <c r="BG15" s="37">
        <v>1643920</v>
      </c>
      <c r="BH15" s="37">
        <v>1900938</v>
      </c>
      <c r="BI15" s="37">
        <v>500000</v>
      </c>
      <c r="BJ15" s="37">
        <v>500000</v>
      </c>
      <c r="BK15" s="37">
        <v>500000</v>
      </c>
      <c r="BL15" s="37">
        <v>500000</v>
      </c>
      <c r="BM15" s="37">
        <v>500000</v>
      </c>
      <c r="BN15" s="37">
        <v>500000</v>
      </c>
      <c r="BO15" s="37">
        <v>500000</v>
      </c>
      <c r="BP15" s="37">
        <v>8428552</v>
      </c>
      <c r="BQ15" s="37">
        <v>500000</v>
      </c>
      <c r="BR15" s="37">
        <v>4500000</v>
      </c>
      <c r="BS15" s="37">
        <v>4000000</v>
      </c>
      <c r="BT15" s="37">
        <v>4000000</v>
      </c>
      <c r="BU15" s="37">
        <v>1200000</v>
      </c>
      <c r="BV15" s="37">
        <v>1000000</v>
      </c>
      <c r="BW15" s="37">
        <v>1000000</v>
      </c>
      <c r="BX15" s="37">
        <v>1000000</v>
      </c>
      <c r="BY15" s="37">
        <v>1000000</v>
      </c>
      <c r="BZ15" s="37">
        <v>1000000</v>
      </c>
      <c r="CA15" s="37">
        <v>1000000</v>
      </c>
      <c r="CB15" s="37">
        <v>19700000</v>
      </c>
      <c r="CC15" s="37">
        <v>200000</v>
      </c>
      <c r="CD15" s="37">
        <v>200000</v>
      </c>
      <c r="CE15" s="37">
        <v>200000</v>
      </c>
      <c r="CF15" s="37">
        <v>200000</v>
      </c>
      <c r="CG15" s="37">
        <v>200000</v>
      </c>
      <c r="CH15" s="37">
        <v>200000</v>
      </c>
      <c r="CI15" s="37">
        <v>200000</v>
      </c>
      <c r="CJ15" s="37">
        <v>200000</v>
      </c>
      <c r="CK15" s="37">
        <v>200000</v>
      </c>
      <c r="CL15" s="37">
        <v>200000</v>
      </c>
      <c r="CM15" s="37">
        <v>200000</v>
      </c>
      <c r="CN15" s="37">
        <v>2000000</v>
      </c>
      <c r="CO15" s="37">
        <v>0</v>
      </c>
      <c r="CP15" s="37">
        <v>0</v>
      </c>
      <c r="CQ15" s="37">
        <v>0</v>
      </c>
      <c r="CR15" s="37">
        <v>0</v>
      </c>
      <c r="CS15" s="37">
        <v>0</v>
      </c>
      <c r="CT15" s="37">
        <v>0</v>
      </c>
      <c r="CU15" s="37">
        <v>0</v>
      </c>
      <c r="CV15" s="37">
        <v>0</v>
      </c>
      <c r="CW15" s="37">
        <v>0</v>
      </c>
      <c r="CX15" s="37">
        <v>0</v>
      </c>
      <c r="CY15" s="37">
        <v>0</v>
      </c>
      <c r="CZ15" s="37">
        <v>0</v>
      </c>
      <c r="DA15" s="37">
        <v>0</v>
      </c>
      <c r="DB15" s="37">
        <v>0</v>
      </c>
      <c r="DC15" s="37">
        <v>0</v>
      </c>
      <c r="DD15" s="37">
        <v>0</v>
      </c>
      <c r="DE15" s="37">
        <v>0</v>
      </c>
      <c r="DF15" s="37">
        <v>0</v>
      </c>
      <c r="DG15" s="37">
        <v>0</v>
      </c>
      <c r="DH15" s="37">
        <v>0</v>
      </c>
      <c r="DI15" s="37">
        <v>0</v>
      </c>
      <c r="DJ15" s="37">
        <v>0</v>
      </c>
      <c r="DK15" s="37">
        <v>0</v>
      </c>
      <c r="DL15" s="37">
        <v>0</v>
      </c>
      <c r="DM15" s="37">
        <v>0</v>
      </c>
      <c r="DN15" s="37">
        <v>0</v>
      </c>
      <c r="DO15" s="37">
        <v>0</v>
      </c>
      <c r="DP15" s="37">
        <v>0</v>
      </c>
      <c r="DQ15" s="37">
        <v>0</v>
      </c>
      <c r="DR15" s="37">
        <v>0</v>
      </c>
      <c r="DS15" s="37">
        <v>0</v>
      </c>
      <c r="DT15" s="37">
        <v>0</v>
      </c>
      <c r="DU15" s="37">
        <v>0</v>
      </c>
      <c r="DV15" s="37">
        <v>0</v>
      </c>
      <c r="DW15" s="37">
        <v>0</v>
      </c>
      <c r="DX15" s="37">
        <v>0</v>
      </c>
      <c r="DY15" s="37">
        <v>0</v>
      </c>
      <c r="DZ15" s="37">
        <v>0</v>
      </c>
      <c r="EA15" s="37">
        <v>0</v>
      </c>
      <c r="EB15" s="37">
        <v>0</v>
      </c>
      <c r="EC15" s="37">
        <v>0</v>
      </c>
      <c r="ED15" s="37">
        <v>0</v>
      </c>
      <c r="EE15" s="37">
        <v>0</v>
      </c>
      <c r="EF15" s="37">
        <v>0</v>
      </c>
      <c r="EG15" s="37">
        <v>0</v>
      </c>
      <c r="EH15" s="37">
        <v>0</v>
      </c>
      <c r="EI15" s="37">
        <v>0</v>
      </c>
      <c r="EJ15" s="37">
        <v>0</v>
      </c>
      <c r="EK15" s="161" t="s">
        <v>1377</v>
      </c>
      <c r="EL15" s="294" t="s">
        <v>1378</v>
      </c>
    </row>
    <row r="16" spans="1:142" ht="15" customHeight="1" x14ac:dyDescent="0.35">
      <c r="A16" s="34"/>
      <c r="B16" s="313">
        <v>7047</v>
      </c>
      <c r="C16" s="8" t="s">
        <v>1075</v>
      </c>
      <c r="D16" s="18">
        <v>1</v>
      </c>
      <c r="E16" s="155">
        <v>188941</v>
      </c>
      <c r="F16" s="36">
        <v>391226</v>
      </c>
      <c r="G16" s="37">
        <v>73330</v>
      </c>
      <c r="H16" s="37">
        <v>65720</v>
      </c>
      <c r="I16" s="37">
        <v>84590</v>
      </c>
      <c r="J16" s="37">
        <v>19358</v>
      </c>
      <c r="K16" s="37">
        <v>28341.149999999998</v>
      </c>
      <c r="L16" s="37">
        <v>58683.9</v>
      </c>
      <c r="M16" s="37">
        <v>375202.15</v>
      </c>
      <c r="N16" s="37">
        <v>534987.9</v>
      </c>
      <c r="O16" s="37">
        <v>0</v>
      </c>
      <c r="P16" s="37">
        <v>0</v>
      </c>
      <c r="Q16" s="37">
        <v>404892</v>
      </c>
      <c r="R16" s="37">
        <v>500246</v>
      </c>
      <c r="S16" s="37">
        <v>0</v>
      </c>
      <c r="T16" s="37">
        <v>0</v>
      </c>
      <c r="U16" s="37">
        <v>40907</v>
      </c>
      <c r="V16" s="37">
        <v>40907</v>
      </c>
      <c r="W16" s="37">
        <v>0</v>
      </c>
      <c r="X16" s="37">
        <v>0</v>
      </c>
      <c r="Y16" s="37">
        <v>0</v>
      </c>
      <c r="Z16" s="37">
        <v>0</v>
      </c>
      <c r="AA16" s="37">
        <v>445799</v>
      </c>
      <c r="AB16" s="37">
        <v>541153</v>
      </c>
      <c r="AC16" s="37">
        <v>76762</v>
      </c>
      <c r="AD16" s="37">
        <v>0</v>
      </c>
      <c r="AE16" s="37">
        <v>0</v>
      </c>
      <c r="AF16" s="168">
        <v>0.02</v>
      </c>
      <c r="AG16" s="37">
        <v>84507819.430000007</v>
      </c>
      <c r="AH16" s="37">
        <v>701429.52</v>
      </c>
      <c r="AI16" s="37">
        <v>559398.11</v>
      </c>
      <c r="AJ16" s="37">
        <v>570586.06999999995</v>
      </c>
      <c r="AK16" s="37">
        <v>581997.79</v>
      </c>
      <c r="AL16" s="37">
        <v>593637.75</v>
      </c>
      <c r="AM16" s="37">
        <v>605510.5</v>
      </c>
      <c r="AN16" s="37">
        <v>617620.72</v>
      </c>
      <c r="AO16" s="37">
        <v>629973.13</v>
      </c>
      <c r="AP16" s="37">
        <v>642572.59</v>
      </c>
      <c r="AQ16" s="37">
        <v>655424.04</v>
      </c>
      <c r="AR16" s="37">
        <v>6158150.2200000007</v>
      </c>
      <c r="AS16" s="37">
        <v>5157131.68</v>
      </c>
      <c r="AT16" s="37">
        <v>208080</v>
      </c>
      <c r="AU16" s="37">
        <v>848966.4</v>
      </c>
      <c r="AV16" s="37">
        <v>0</v>
      </c>
      <c r="AW16" s="37">
        <v>0</v>
      </c>
      <c r="AX16" s="37">
        <v>0</v>
      </c>
      <c r="AY16" s="37">
        <v>0</v>
      </c>
      <c r="AZ16" s="37">
        <v>0</v>
      </c>
      <c r="BA16" s="37">
        <v>0</v>
      </c>
      <c r="BB16" s="37">
        <v>0</v>
      </c>
      <c r="BC16" s="37">
        <v>0</v>
      </c>
      <c r="BD16" s="37">
        <v>1057046.3999999999</v>
      </c>
      <c r="BE16" s="37">
        <v>3100000</v>
      </c>
      <c r="BF16" s="37">
        <v>0</v>
      </c>
      <c r="BG16" s="37">
        <v>1000000</v>
      </c>
      <c r="BH16" s="37">
        <v>1000000</v>
      </c>
      <c r="BI16" s="37">
        <v>1000000</v>
      </c>
      <c r="BJ16" s="37">
        <v>0</v>
      </c>
      <c r="BK16" s="37">
        <v>0</v>
      </c>
      <c r="BL16" s="37">
        <v>0</v>
      </c>
      <c r="BM16" s="37">
        <v>0</v>
      </c>
      <c r="BN16" s="37">
        <v>0</v>
      </c>
      <c r="BO16" s="37">
        <v>0</v>
      </c>
      <c r="BP16" s="37">
        <v>3000000</v>
      </c>
      <c r="BQ16" s="37">
        <v>0</v>
      </c>
      <c r="BR16" s="37">
        <v>333800</v>
      </c>
      <c r="BS16" s="37">
        <v>260000</v>
      </c>
      <c r="BT16" s="37">
        <v>260000</v>
      </c>
      <c r="BU16" s="37">
        <v>260000</v>
      </c>
      <c r="BV16" s="37">
        <v>0</v>
      </c>
      <c r="BW16" s="37">
        <v>0</v>
      </c>
      <c r="BX16" s="37">
        <v>0</v>
      </c>
      <c r="BY16" s="37">
        <v>0</v>
      </c>
      <c r="BZ16" s="37">
        <v>0</v>
      </c>
      <c r="CA16" s="37">
        <v>0</v>
      </c>
      <c r="CB16" s="37">
        <v>1113800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37">
        <v>0</v>
      </c>
      <c r="DY16" s="37">
        <v>0</v>
      </c>
      <c r="DZ16" s="37">
        <v>0</v>
      </c>
      <c r="EA16" s="37">
        <v>0</v>
      </c>
      <c r="EB16" s="37">
        <v>0</v>
      </c>
      <c r="EC16" s="37">
        <v>0</v>
      </c>
      <c r="ED16" s="37">
        <v>0</v>
      </c>
      <c r="EE16" s="37">
        <v>0</v>
      </c>
      <c r="EF16" s="37">
        <v>0</v>
      </c>
      <c r="EG16" s="37">
        <v>0</v>
      </c>
      <c r="EH16" s="37">
        <v>0</v>
      </c>
      <c r="EI16" s="37">
        <v>0</v>
      </c>
      <c r="EJ16" s="37">
        <v>0</v>
      </c>
      <c r="EK16" s="161" t="s">
        <v>1459</v>
      </c>
      <c r="EL16" s="294" t="s">
        <v>1124</v>
      </c>
    </row>
    <row r="17" spans="1:142" ht="15" customHeight="1" x14ac:dyDescent="0.35">
      <c r="A17" s="34"/>
      <c r="B17" s="313">
        <v>55008</v>
      </c>
      <c r="C17" s="8" t="s">
        <v>559</v>
      </c>
      <c r="D17" s="18">
        <v>16</v>
      </c>
      <c r="E17" s="155">
        <v>590134</v>
      </c>
      <c r="F17" s="36">
        <v>105442</v>
      </c>
      <c r="G17" s="37">
        <v>120863</v>
      </c>
      <c r="H17" s="37">
        <v>56636</v>
      </c>
      <c r="I17" s="37">
        <v>306358</v>
      </c>
      <c r="J17" s="37">
        <v>136750</v>
      </c>
      <c r="K17" s="37">
        <v>88520</v>
      </c>
      <c r="L17" s="37">
        <v>15816</v>
      </c>
      <c r="M17" s="37">
        <v>1105875</v>
      </c>
      <c r="N17" s="37">
        <v>314644</v>
      </c>
      <c r="O17" s="37">
        <v>509774</v>
      </c>
      <c r="P17" s="37">
        <v>0</v>
      </c>
      <c r="Q17" s="37">
        <v>116496</v>
      </c>
      <c r="R17" s="37">
        <v>230320</v>
      </c>
      <c r="S17" s="37">
        <v>826</v>
      </c>
      <c r="T17" s="37">
        <v>873</v>
      </c>
      <c r="U17" s="37">
        <v>353019</v>
      </c>
      <c r="V17" s="37">
        <v>235539</v>
      </c>
      <c r="W17" s="37">
        <v>20743</v>
      </c>
      <c r="X17" s="37">
        <v>35503</v>
      </c>
      <c r="Y17" s="37">
        <v>0</v>
      </c>
      <c r="Z17" s="37">
        <v>0</v>
      </c>
      <c r="AA17" s="37">
        <v>1000858</v>
      </c>
      <c r="AB17" s="37">
        <v>502235</v>
      </c>
      <c r="AC17" s="37">
        <v>82574</v>
      </c>
      <c r="AD17" s="37">
        <v>0</v>
      </c>
      <c r="AE17" s="37">
        <v>0</v>
      </c>
      <c r="AF17" s="168">
        <v>0.02</v>
      </c>
      <c r="AG17" s="37">
        <v>45194235.07</v>
      </c>
      <c r="AH17" s="37">
        <v>460122.87</v>
      </c>
      <c r="AI17" s="37">
        <v>409502.33</v>
      </c>
      <c r="AJ17" s="37">
        <v>417692.38</v>
      </c>
      <c r="AK17" s="37">
        <v>426046.23</v>
      </c>
      <c r="AL17" s="37">
        <v>434567.15</v>
      </c>
      <c r="AM17" s="37">
        <v>443258.49</v>
      </c>
      <c r="AN17" s="37">
        <v>452123.66</v>
      </c>
      <c r="AO17" s="37">
        <v>461166.14</v>
      </c>
      <c r="AP17" s="37">
        <v>470389.46</v>
      </c>
      <c r="AQ17" s="37">
        <v>479797.25</v>
      </c>
      <c r="AR17" s="37">
        <v>4454665.96</v>
      </c>
      <c r="AS17" s="37">
        <v>10404</v>
      </c>
      <c r="AT17" s="37">
        <v>0</v>
      </c>
      <c r="AU17" s="37">
        <v>0</v>
      </c>
      <c r="AV17" s="37">
        <v>0</v>
      </c>
      <c r="AW17" s="37">
        <v>0</v>
      </c>
      <c r="AX17" s="37">
        <v>0</v>
      </c>
      <c r="AY17" s="37">
        <v>0</v>
      </c>
      <c r="AZ17" s="37">
        <v>0</v>
      </c>
      <c r="BA17" s="37">
        <v>0</v>
      </c>
      <c r="BB17" s="37">
        <v>0</v>
      </c>
      <c r="BC17" s="37">
        <v>0</v>
      </c>
      <c r="BD17" s="37">
        <v>0</v>
      </c>
      <c r="BE17" s="37">
        <v>1850470</v>
      </c>
      <c r="BF17" s="37">
        <v>80000</v>
      </c>
      <c r="BG17" s="37">
        <v>0</v>
      </c>
      <c r="BH17" s="37">
        <v>0</v>
      </c>
      <c r="BI17" s="37">
        <v>0</v>
      </c>
      <c r="BJ17" s="37">
        <v>0</v>
      </c>
      <c r="BK17" s="37">
        <v>0</v>
      </c>
      <c r="BL17" s="37">
        <v>0</v>
      </c>
      <c r="BM17" s="37">
        <v>0</v>
      </c>
      <c r="BN17" s="37">
        <v>0</v>
      </c>
      <c r="BO17" s="37">
        <v>0</v>
      </c>
      <c r="BP17" s="37">
        <v>80000</v>
      </c>
      <c r="BQ17" s="37">
        <v>0</v>
      </c>
      <c r="BR17" s="37">
        <v>0</v>
      </c>
      <c r="BS17" s="37">
        <v>0</v>
      </c>
      <c r="BT17" s="37">
        <v>0</v>
      </c>
      <c r="BU17" s="37">
        <v>0</v>
      </c>
      <c r="BV17" s="37">
        <v>0</v>
      </c>
      <c r="BW17" s="37">
        <v>0</v>
      </c>
      <c r="BX17" s="37">
        <v>0</v>
      </c>
      <c r="BY17" s="37">
        <v>0</v>
      </c>
      <c r="BZ17" s="37">
        <v>0</v>
      </c>
      <c r="CA17" s="37">
        <v>0</v>
      </c>
      <c r="CB17" s="37">
        <v>0</v>
      </c>
      <c r="CC17" s="37">
        <v>1654530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D17" s="37">
        <v>0</v>
      </c>
      <c r="DE17" s="37">
        <v>0</v>
      </c>
      <c r="DF17" s="37">
        <v>0</v>
      </c>
      <c r="DG17" s="37">
        <v>0</v>
      </c>
      <c r="DH17" s="37">
        <v>0</v>
      </c>
      <c r="DI17" s="37">
        <v>0</v>
      </c>
      <c r="DJ17" s="37">
        <v>0</v>
      </c>
      <c r="DK17" s="37">
        <v>0</v>
      </c>
      <c r="DL17" s="37">
        <v>0</v>
      </c>
      <c r="DM17" s="37">
        <v>0</v>
      </c>
      <c r="DN17" s="37">
        <v>0</v>
      </c>
      <c r="DO17" s="37">
        <v>0</v>
      </c>
      <c r="DP17" s="37">
        <v>0</v>
      </c>
      <c r="DQ17" s="37">
        <v>0</v>
      </c>
      <c r="DR17" s="37">
        <v>0</v>
      </c>
      <c r="DS17" s="37">
        <v>0</v>
      </c>
      <c r="DT17" s="37">
        <v>0</v>
      </c>
      <c r="DU17" s="37">
        <v>0</v>
      </c>
      <c r="DV17" s="37">
        <v>0</v>
      </c>
      <c r="DW17" s="37">
        <v>0</v>
      </c>
      <c r="DX17" s="37">
        <v>0</v>
      </c>
      <c r="DY17" s="37">
        <v>0</v>
      </c>
      <c r="DZ17" s="37">
        <v>0</v>
      </c>
      <c r="EA17" s="37">
        <v>0</v>
      </c>
      <c r="EB17" s="37">
        <v>0</v>
      </c>
      <c r="EC17" s="37">
        <v>0</v>
      </c>
      <c r="ED17" s="37">
        <v>0</v>
      </c>
      <c r="EE17" s="37">
        <v>0</v>
      </c>
      <c r="EF17" s="37">
        <v>0</v>
      </c>
      <c r="EG17" s="37">
        <v>0</v>
      </c>
      <c r="EH17" s="37">
        <v>0</v>
      </c>
      <c r="EI17" s="37">
        <v>0</v>
      </c>
      <c r="EJ17" s="37">
        <v>0</v>
      </c>
      <c r="EK17" s="161" t="s">
        <v>1332</v>
      </c>
      <c r="EL17" s="294" t="s">
        <v>1333</v>
      </c>
    </row>
    <row r="18" spans="1:142" ht="15" customHeight="1" x14ac:dyDescent="0.35">
      <c r="A18" s="34"/>
      <c r="B18" s="313">
        <v>19037</v>
      </c>
      <c r="C18" s="8" t="s">
        <v>124</v>
      </c>
      <c r="D18" s="18">
        <v>12</v>
      </c>
      <c r="E18" s="155">
        <v>95171</v>
      </c>
      <c r="F18" s="36">
        <v>0</v>
      </c>
      <c r="G18" s="37">
        <v>0</v>
      </c>
      <c r="H18" s="37">
        <v>0</v>
      </c>
      <c r="I18" s="37">
        <v>0</v>
      </c>
      <c r="J18" s="37">
        <v>0</v>
      </c>
      <c r="K18" s="37">
        <v>14275</v>
      </c>
      <c r="L18" s="37">
        <v>0</v>
      </c>
      <c r="M18" s="37">
        <v>109446</v>
      </c>
      <c r="N18" s="37">
        <v>0</v>
      </c>
      <c r="O18" s="37">
        <v>0</v>
      </c>
      <c r="P18" s="37">
        <v>0</v>
      </c>
      <c r="Q18" s="37">
        <v>98022</v>
      </c>
      <c r="R18" s="37">
        <v>63150</v>
      </c>
      <c r="S18" s="37">
        <v>1377</v>
      </c>
      <c r="T18" s="37">
        <v>0</v>
      </c>
      <c r="U18" s="37">
        <v>0</v>
      </c>
      <c r="V18" s="37">
        <v>23044</v>
      </c>
      <c r="W18" s="37">
        <v>0</v>
      </c>
      <c r="X18" s="37">
        <v>0</v>
      </c>
      <c r="Y18" s="37">
        <v>0</v>
      </c>
      <c r="Z18" s="37">
        <v>0</v>
      </c>
      <c r="AA18" s="37">
        <v>99399</v>
      </c>
      <c r="AB18" s="37">
        <v>86194</v>
      </c>
      <c r="AC18" s="37">
        <v>76147</v>
      </c>
      <c r="AD18" s="37">
        <v>0</v>
      </c>
      <c r="AE18" s="37">
        <v>0</v>
      </c>
      <c r="AF18" s="168">
        <v>0.02</v>
      </c>
      <c r="AG18" s="37">
        <v>22459091.82</v>
      </c>
      <c r="AH18" s="37">
        <v>150983.48000000001</v>
      </c>
      <c r="AI18" s="37">
        <v>154003.15</v>
      </c>
      <c r="AJ18" s="37">
        <v>157083.21</v>
      </c>
      <c r="AK18" s="37">
        <v>160224.88</v>
      </c>
      <c r="AL18" s="37">
        <v>163429.37</v>
      </c>
      <c r="AM18" s="37">
        <v>166697.96</v>
      </c>
      <c r="AN18" s="37">
        <v>170031.92</v>
      </c>
      <c r="AO18" s="37">
        <v>173432.56</v>
      </c>
      <c r="AP18" s="37">
        <v>176901.21</v>
      </c>
      <c r="AQ18" s="37">
        <v>180439.24</v>
      </c>
      <c r="AR18" s="37">
        <v>1653226.98</v>
      </c>
      <c r="AS18" s="37">
        <v>273625.2</v>
      </c>
      <c r="AT18" s="37">
        <v>119646</v>
      </c>
      <c r="AU18" s="37">
        <v>50407.38</v>
      </c>
      <c r="AV18" s="37">
        <v>51415.53</v>
      </c>
      <c r="AW18" s="37">
        <v>0</v>
      </c>
      <c r="AX18" s="37">
        <v>0</v>
      </c>
      <c r="AY18" s="37">
        <v>0</v>
      </c>
      <c r="AZ18" s="37">
        <v>0</v>
      </c>
      <c r="BA18" s="37">
        <v>0</v>
      </c>
      <c r="BB18" s="37">
        <v>0</v>
      </c>
      <c r="BC18" s="37">
        <v>0</v>
      </c>
      <c r="BD18" s="37">
        <v>221468.91</v>
      </c>
      <c r="BE18" s="37">
        <v>0</v>
      </c>
      <c r="BF18" s="37">
        <v>100000</v>
      </c>
      <c r="BG18" s="37">
        <v>100000</v>
      </c>
      <c r="BH18" s="37">
        <v>100000</v>
      </c>
      <c r="BI18" s="37">
        <v>100000</v>
      </c>
      <c r="BJ18" s="37">
        <v>0</v>
      </c>
      <c r="BK18" s="37">
        <v>0</v>
      </c>
      <c r="BL18" s="37">
        <v>0</v>
      </c>
      <c r="BM18" s="37">
        <v>0</v>
      </c>
      <c r="BN18" s="37">
        <v>0</v>
      </c>
      <c r="BO18" s="37">
        <v>0</v>
      </c>
      <c r="BP18" s="37">
        <v>400000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D18" s="37">
        <v>0</v>
      </c>
      <c r="DE18" s="37">
        <v>0</v>
      </c>
      <c r="DF18" s="37">
        <v>0</v>
      </c>
      <c r="DG18" s="37">
        <v>0</v>
      </c>
      <c r="DH18" s="37">
        <v>0</v>
      </c>
      <c r="DI18" s="37">
        <v>0</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161" t="s">
        <v>1425</v>
      </c>
      <c r="EL18" s="294" t="s">
        <v>1124</v>
      </c>
    </row>
    <row r="19" spans="1:142" ht="15" customHeight="1" x14ac:dyDescent="0.35">
      <c r="A19" s="34"/>
      <c r="B19" s="313">
        <v>78060</v>
      </c>
      <c r="C19" s="8" t="s">
        <v>775</v>
      </c>
      <c r="D19" s="18">
        <v>15</v>
      </c>
      <c r="E19" s="155"/>
      <c r="F19" s="36"/>
      <c r="G19" s="37"/>
      <c r="H19" s="37"/>
      <c r="I19" s="37"/>
      <c r="J19" s="37"/>
      <c r="K19" s="37"/>
      <c r="L19" s="37"/>
      <c r="M19" s="37" t="s">
        <v>1124</v>
      </c>
      <c r="N19" s="37" t="s">
        <v>1124</v>
      </c>
      <c r="O19" s="37"/>
      <c r="P19" s="37"/>
      <c r="Q19" s="37"/>
      <c r="R19" s="37"/>
      <c r="S19" s="37"/>
      <c r="T19" s="37"/>
      <c r="U19" s="37"/>
      <c r="V19" s="37"/>
      <c r="W19" s="37"/>
      <c r="X19" s="37"/>
      <c r="Y19" s="37"/>
      <c r="Z19" s="37"/>
      <c r="AA19" s="37" t="s">
        <v>1124</v>
      </c>
      <c r="AB19" s="37" t="s">
        <v>1124</v>
      </c>
      <c r="AC19" s="37"/>
      <c r="AD19" s="37"/>
      <c r="AE19" s="37"/>
      <c r="AF19" s="168"/>
      <c r="AG19" s="37"/>
      <c r="AH19" s="37"/>
      <c r="AI19" s="37"/>
      <c r="AJ19" s="37"/>
      <c r="AK19" s="37"/>
      <c r="AL19" s="37"/>
      <c r="AM19" s="37"/>
      <c r="AN19" s="37"/>
      <c r="AO19" s="37"/>
      <c r="AP19" s="37"/>
      <c r="AQ19" s="37"/>
      <c r="AR19" s="37" t="s">
        <v>1124</v>
      </c>
      <c r="AS19" s="37"/>
      <c r="AT19" s="37"/>
      <c r="AU19" s="37"/>
      <c r="AV19" s="37"/>
      <c r="AW19" s="37"/>
      <c r="AX19" s="37"/>
      <c r="AY19" s="37"/>
      <c r="AZ19" s="37"/>
      <c r="BA19" s="37"/>
      <c r="BB19" s="37"/>
      <c r="BC19" s="37"/>
      <c r="BD19" s="37" t="s">
        <v>1124</v>
      </c>
      <c r="BE19" s="37"/>
      <c r="BF19" s="37"/>
      <c r="BG19" s="37"/>
      <c r="BH19" s="37"/>
      <c r="BI19" s="37"/>
      <c r="BJ19" s="37"/>
      <c r="BK19" s="37"/>
      <c r="BL19" s="37"/>
      <c r="BM19" s="37"/>
      <c r="BN19" s="37"/>
      <c r="BO19" s="37"/>
      <c r="BP19" s="37">
        <v>0</v>
      </c>
      <c r="BQ19" s="37"/>
      <c r="BR19" s="37"/>
      <c r="BS19" s="37"/>
      <c r="BT19" s="37"/>
      <c r="BU19" s="37"/>
      <c r="BV19" s="37"/>
      <c r="BW19" s="37"/>
      <c r="BX19" s="37"/>
      <c r="BY19" s="37"/>
      <c r="BZ19" s="37"/>
      <c r="CA19" s="37"/>
      <c r="CB19" s="37" t="s">
        <v>1124</v>
      </c>
      <c r="CC19" s="37"/>
      <c r="CD19" s="37"/>
      <c r="CE19" s="37"/>
      <c r="CF19" s="37"/>
      <c r="CG19" s="37"/>
      <c r="CH19" s="37"/>
      <c r="CI19" s="37"/>
      <c r="CJ19" s="37"/>
      <c r="CK19" s="37"/>
      <c r="CL19" s="37"/>
      <c r="CM19" s="37"/>
      <c r="CN19" s="37" t="s">
        <v>1124</v>
      </c>
      <c r="CO19" s="37"/>
      <c r="CP19" s="37"/>
      <c r="CQ19" s="37"/>
      <c r="CR19" s="37"/>
      <c r="CS19" s="37"/>
      <c r="CT19" s="37"/>
      <c r="CU19" s="37"/>
      <c r="CV19" s="37"/>
      <c r="CW19" s="37"/>
      <c r="CX19" s="37"/>
      <c r="CY19" s="37"/>
      <c r="CZ19" s="37" t="s">
        <v>1124</v>
      </c>
      <c r="DA19" s="37"/>
      <c r="DB19" s="37"/>
      <c r="DC19" s="37"/>
      <c r="DD19" s="37"/>
      <c r="DE19" s="37"/>
      <c r="DF19" s="37"/>
      <c r="DG19" s="37"/>
      <c r="DH19" s="37"/>
      <c r="DI19" s="37"/>
      <c r="DJ19" s="37"/>
      <c r="DK19" s="37"/>
      <c r="DL19" s="37" t="s">
        <v>1124</v>
      </c>
      <c r="DM19" s="37"/>
      <c r="DN19" s="37"/>
      <c r="DO19" s="37"/>
      <c r="DP19" s="37"/>
      <c r="DQ19" s="37"/>
      <c r="DR19" s="37"/>
      <c r="DS19" s="37"/>
      <c r="DT19" s="37"/>
      <c r="DU19" s="37"/>
      <c r="DV19" s="37"/>
      <c r="DW19" s="37"/>
      <c r="DX19" s="37" t="s">
        <v>1124</v>
      </c>
      <c r="DY19" s="37"/>
      <c r="DZ19" s="37"/>
      <c r="EA19" s="37"/>
      <c r="EB19" s="37"/>
      <c r="EC19" s="37"/>
      <c r="ED19" s="37"/>
      <c r="EE19" s="37"/>
      <c r="EF19" s="37"/>
      <c r="EG19" s="37"/>
      <c r="EH19" s="37"/>
      <c r="EI19" s="37"/>
      <c r="EJ19" s="37" t="s">
        <v>1124</v>
      </c>
      <c r="EK19" s="161"/>
      <c r="EL19" s="294"/>
    </row>
    <row r="20" spans="1:142" ht="15" customHeight="1" x14ac:dyDescent="0.35">
      <c r="A20" s="34"/>
      <c r="B20" s="313">
        <v>40043</v>
      </c>
      <c r="C20" s="8" t="s">
        <v>363</v>
      </c>
      <c r="D20" s="18">
        <v>5</v>
      </c>
      <c r="E20" s="155">
        <v>506804.46750000003</v>
      </c>
      <c r="F20" s="36">
        <v>813015.71799999999</v>
      </c>
      <c r="G20" s="37">
        <v>25692</v>
      </c>
      <c r="H20" s="37">
        <v>36431</v>
      </c>
      <c r="I20" s="37">
        <v>93038.85</v>
      </c>
      <c r="J20" s="37">
        <v>79994</v>
      </c>
      <c r="K20" s="37">
        <v>89436.082500000004</v>
      </c>
      <c r="L20" s="37">
        <v>143473.36199999999</v>
      </c>
      <c r="M20" s="37">
        <v>714971.4</v>
      </c>
      <c r="N20" s="37">
        <v>1072914.08</v>
      </c>
      <c r="O20" s="37">
        <v>0</v>
      </c>
      <c r="P20" s="37">
        <v>0</v>
      </c>
      <c r="Q20" s="37">
        <v>7200</v>
      </c>
      <c r="R20" s="37">
        <v>0</v>
      </c>
      <c r="S20" s="37">
        <v>50773.279999999999</v>
      </c>
      <c r="T20" s="37">
        <v>12007.11</v>
      </c>
      <c r="U20" s="37">
        <v>13470.07</v>
      </c>
      <c r="V20" s="37">
        <v>12007.11</v>
      </c>
      <c r="W20" s="37">
        <v>643528.05000000005</v>
      </c>
      <c r="X20" s="37">
        <v>1048899.8599999999</v>
      </c>
      <c r="Y20" s="37">
        <v>0</v>
      </c>
      <c r="Z20" s="37">
        <v>0</v>
      </c>
      <c r="AA20" s="37">
        <v>714971.4</v>
      </c>
      <c r="AB20" s="37">
        <v>1072914.08</v>
      </c>
      <c r="AC20" s="37">
        <v>0</v>
      </c>
      <c r="AD20" s="37">
        <v>0</v>
      </c>
      <c r="AE20" s="37">
        <v>0</v>
      </c>
      <c r="AF20" s="168">
        <v>0.02</v>
      </c>
      <c r="AG20" s="37">
        <v>109265445.48999999</v>
      </c>
      <c r="AH20" s="37">
        <v>722903.57</v>
      </c>
      <c r="AI20" s="37">
        <v>737361.64</v>
      </c>
      <c r="AJ20" s="37">
        <v>752108.87</v>
      </c>
      <c r="AK20" s="37">
        <v>767151.05</v>
      </c>
      <c r="AL20" s="37">
        <v>975708.21</v>
      </c>
      <c r="AM20" s="37">
        <v>995222.38</v>
      </c>
      <c r="AN20" s="37">
        <v>1015126.82</v>
      </c>
      <c r="AO20" s="37">
        <v>830388.97</v>
      </c>
      <c r="AP20" s="37">
        <v>846996.75</v>
      </c>
      <c r="AQ20" s="37">
        <v>863936.68</v>
      </c>
      <c r="AR20" s="37">
        <v>8506904.9399999995</v>
      </c>
      <c r="AS20" s="37">
        <v>11649788.220000001</v>
      </c>
      <c r="AT20" s="37">
        <v>207099.78</v>
      </c>
      <c r="AU20" s="37">
        <v>52020</v>
      </c>
      <c r="AV20" s="37">
        <v>0</v>
      </c>
      <c r="AW20" s="37">
        <v>0</v>
      </c>
      <c r="AX20" s="37">
        <v>1288094.27</v>
      </c>
      <c r="AY20" s="37">
        <v>1313856.1599999999</v>
      </c>
      <c r="AZ20" s="37">
        <v>1340133.28</v>
      </c>
      <c r="BA20" s="37">
        <v>0</v>
      </c>
      <c r="BB20" s="37">
        <v>0</v>
      </c>
      <c r="BC20" s="37">
        <v>0</v>
      </c>
      <c r="BD20" s="37">
        <v>4201203.49</v>
      </c>
      <c r="BE20" s="37">
        <v>1932065</v>
      </c>
      <c r="BF20" s="37">
        <v>1605000</v>
      </c>
      <c r="BG20" s="37">
        <v>1970400</v>
      </c>
      <c r="BH20" s="37">
        <v>2027560</v>
      </c>
      <c r="BI20" s="37">
        <v>0</v>
      </c>
      <c r="BJ20" s="37">
        <v>0</v>
      </c>
      <c r="BK20" s="37">
        <v>0</v>
      </c>
      <c r="BL20" s="37">
        <v>0</v>
      </c>
      <c r="BM20" s="37">
        <v>0</v>
      </c>
      <c r="BN20" s="37">
        <v>0</v>
      </c>
      <c r="BO20" s="37">
        <v>0</v>
      </c>
      <c r="BP20" s="37">
        <v>5602960</v>
      </c>
      <c r="BQ20" s="37">
        <v>858050</v>
      </c>
      <c r="BR20" s="37">
        <v>20000</v>
      </c>
      <c r="BS20" s="37">
        <v>492600</v>
      </c>
      <c r="BT20" s="37">
        <v>506890</v>
      </c>
      <c r="BU20" s="37">
        <v>0</v>
      </c>
      <c r="BV20" s="37">
        <v>0</v>
      </c>
      <c r="BW20" s="37">
        <v>0</v>
      </c>
      <c r="BX20" s="37">
        <v>0</v>
      </c>
      <c r="BY20" s="37">
        <v>0</v>
      </c>
      <c r="BZ20" s="37">
        <v>0</v>
      </c>
      <c r="CA20" s="37">
        <v>0</v>
      </c>
      <c r="CB20" s="37">
        <v>1019490</v>
      </c>
      <c r="CC20" s="37">
        <v>0</v>
      </c>
      <c r="CD20" s="37">
        <v>0</v>
      </c>
      <c r="CE20" s="37">
        <v>0</v>
      </c>
      <c r="CF20" s="37">
        <v>0</v>
      </c>
      <c r="CG20" s="37">
        <v>0</v>
      </c>
      <c r="CH20" s="37">
        <v>0</v>
      </c>
      <c r="CI20" s="37">
        <v>0</v>
      </c>
      <c r="CJ20" s="37">
        <v>0</v>
      </c>
      <c r="CK20" s="37">
        <v>0</v>
      </c>
      <c r="CL20" s="37">
        <v>0</v>
      </c>
      <c r="CM20" s="37">
        <v>0</v>
      </c>
      <c r="CN20" s="37">
        <v>0</v>
      </c>
      <c r="CO20" s="37">
        <v>0</v>
      </c>
      <c r="CP20" s="37">
        <v>203039</v>
      </c>
      <c r="CQ20" s="37">
        <v>50000</v>
      </c>
      <c r="CR20" s="37">
        <v>0</v>
      </c>
      <c r="CS20" s="37">
        <v>0</v>
      </c>
      <c r="CT20" s="37">
        <v>0</v>
      </c>
      <c r="CU20" s="37">
        <v>0</v>
      </c>
      <c r="CV20" s="37">
        <v>0</v>
      </c>
      <c r="CW20" s="37">
        <v>0</v>
      </c>
      <c r="CX20" s="37">
        <v>0</v>
      </c>
      <c r="CY20" s="37">
        <v>0</v>
      </c>
      <c r="CZ20" s="37">
        <v>253039</v>
      </c>
      <c r="DA20" s="37">
        <v>0</v>
      </c>
      <c r="DB20" s="37">
        <v>0</v>
      </c>
      <c r="DC20" s="37">
        <v>0</v>
      </c>
      <c r="DD20" s="37">
        <v>0</v>
      </c>
      <c r="DE20" s="37">
        <v>0</v>
      </c>
      <c r="DF20" s="37">
        <v>0</v>
      </c>
      <c r="DG20" s="37">
        <v>0</v>
      </c>
      <c r="DH20" s="37">
        <v>0</v>
      </c>
      <c r="DI20" s="37">
        <v>0</v>
      </c>
      <c r="DJ20" s="37">
        <v>0</v>
      </c>
      <c r="DK20" s="37">
        <v>0</v>
      </c>
      <c r="DL20" s="37">
        <v>0</v>
      </c>
      <c r="DM20" s="37">
        <v>0</v>
      </c>
      <c r="DN20" s="37">
        <v>0</v>
      </c>
      <c r="DO20" s="37">
        <v>0</v>
      </c>
      <c r="DP20" s="37">
        <v>0</v>
      </c>
      <c r="DQ20" s="37">
        <v>0</v>
      </c>
      <c r="DR20" s="37">
        <v>0</v>
      </c>
      <c r="DS20" s="37">
        <v>0</v>
      </c>
      <c r="DT20" s="37">
        <v>0</v>
      </c>
      <c r="DU20" s="37">
        <v>0</v>
      </c>
      <c r="DV20" s="37">
        <v>0</v>
      </c>
      <c r="DW20" s="37">
        <v>0</v>
      </c>
      <c r="DX20" s="37">
        <v>0</v>
      </c>
      <c r="DY20" s="37">
        <v>0</v>
      </c>
      <c r="DZ20" s="37">
        <v>0</v>
      </c>
      <c r="EA20" s="37">
        <v>0</v>
      </c>
      <c r="EB20" s="37">
        <v>0</v>
      </c>
      <c r="EC20" s="37">
        <v>0</v>
      </c>
      <c r="ED20" s="37">
        <v>0</v>
      </c>
      <c r="EE20" s="37">
        <v>0</v>
      </c>
      <c r="EF20" s="37">
        <v>0</v>
      </c>
      <c r="EG20" s="37">
        <v>0</v>
      </c>
      <c r="EH20" s="37">
        <v>0</v>
      </c>
      <c r="EI20" s="37">
        <v>0</v>
      </c>
      <c r="EJ20" s="37">
        <v>0</v>
      </c>
      <c r="EK20" s="161" t="s">
        <v>1383</v>
      </c>
      <c r="EL20" s="294" t="s">
        <v>1124</v>
      </c>
    </row>
    <row r="21" spans="1:142" ht="15" customHeight="1" x14ac:dyDescent="0.35">
      <c r="A21" s="34"/>
      <c r="B21" s="313">
        <v>41055</v>
      </c>
      <c r="C21" s="8" t="s">
        <v>370</v>
      </c>
      <c r="D21" s="18">
        <v>5</v>
      </c>
      <c r="E21" s="155">
        <v>92868</v>
      </c>
      <c r="F21" s="36">
        <v>181995</v>
      </c>
      <c r="G21" s="37">
        <v>0</v>
      </c>
      <c r="H21" s="37">
        <v>0</v>
      </c>
      <c r="I21" s="37">
        <v>0</v>
      </c>
      <c r="J21" s="37">
        <v>0</v>
      </c>
      <c r="K21" s="37">
        <v>9286.8000000000011</v>
      </c>
      <c r="L21" s="37">
        <v>18199.5</v>
      </c>
      <c r="M21" s="37">
        <v>102154.8</v>
      </c>
      <c r="N21" s="37">
        <v>200194.5</v>
      </c>
      <c r="O21" s="37">
        <v>0</v>
      </c>
      <c r="P21" s="37">
        <v>0</v>
      </c>
      <c r="Q21" s="37">
        <v>64020</v>
      </c>
      <c r="R21" s="37">
        <v>152160</v>
      </c>
      <c r="S21" s="37">
        <v>0</v>
      </c>
      <c r="T21" s="37">
        <v>0</v>
      </c>
      <c r="U21" s="37">
        <v>0</v>
      </c>
      <c r="V21" s="37">
        <v>75377</v>
      </c>
      <c r="W21" s="37">
        <v>10792.4</v>
      </c>
      <c r="X21" s="37">
        <v>0</v>
      </c>
      <c r="Y21" s="37">
        <v>0</v>
      </c>
      <c r="Z21" s="37">
        <v>0</v>
      </c>
      <c r="AA21" s="37">
        <v>74812.399999999994</v>
      </c>
      <c r="AB21" s="37">
        <v>227537</v>
      </c>
      <c r="AC21" s="37">
        <v>0</v>
      </c>
      <c r="AD21" s="37">
        <v>0</v>
      </c>
      <c r="AE21" s="37">
        <v>31056</v>
      </c>
      <c r="AF21" s="168">
        <v>0.02</v>
      </c>
      <c r="AG21" s="37">
        <v>12615202</v>
      </c>
      <c r="AH21" s="37">
        <v>87700.42</v>
      </c>
      <c r="AI21" s="37">
        <v>93168.66</v>
      </c>
      <c r="AJ21" s="37">
        <v>121010.41</v>
      </c>
      <c r="AK21" s="37">
        <v>128951.02</v>
      </c>
      <c r="AL21" s="37">
        <v>92114.35</v>
      </c>
      <c r="AM21" s="37">
        <v>93956.64</v>
      </c>
      <c r="AN21" s="37">
        <v>84119.18</v>
      </c>
      <c r="AO21" s="37">
        <v>85801.56</v>
      </c>
      <c r="AP21" s="37">
        <v>87517.59</v>
      </c>
      <c r="AQ21" s="37">
        <v>89267.38</v>
      </c>
      <c r="AR21" s="37">
        <v>963607.2100000002</v>
      </c>
      <c r="AS21" s="37">
        <v>172137.24</v>
      </c>
      <c r="AT21" s="37">
        <v>28090.799999999999</v>
      </c>
      <c r="AU21" s="37">
        <v>63672.480000000003</v>
      </c>
      <c r="AV21" s="37">
        <v>0</v>
      </c>
      <c r="AW21" s="37">
        <v>2360524.7599999998</v>
      </c>
      <c r="AX21" s="37">
        <v>2385212</v>
      </c>
      <c r="AY21" s="37">
        <v>0</v>
      </c>
      <c r="AZ21" s="37">
        <v>0</v>
      </c>
      <c r="BA21" s="37">
        <v>0</v>
      </c>
      <c r="BB21" s="37">
        <v>0</v>
      </c>
      <c r="BC21" s="37">
        <v>0</v>
      </c>
      <c r="BD21" s="37">
        <v>4837500.04</v>
      </c>
      <c r="BE21" s="37">
        <v>184598</v>
      </c>
      <c r="BF21" s="37">
        <v>113000</v>
      </c>
      <c r="BG21" s="37">
        <v>0</v>
      </c>
      <c r="BH21" s="37">
        <v>0</v>
      </c>
      <c r="BI21" s="37">
        <v>0</v>
      </c>
      <c r="BJ21" s="37">
        <v>12411.944801201565</v>
      </c>
      <c r="BK21" s="37">
        <v>60103.507018730088</v>
      </c>
      <c r="BL21" s="37">
        <v>78162.505107619654</v>
      </c>
      <c r="BM21" s="37">
        <v>96221.503196509177</v>
      </c>
      <c r="BN21" s="37">
        <v>114280.53987593953</v>
      </c>
      <c r="BO21" s="37">
        <v>0</v>
      </c>
      <c r="BP21" s="37">
        <v>474180.00000000006</v>
      </c>
      <c r="BQ21" s="37">
        <v>0</v>
      </c>
      <c r="BR21" s="37">
        <v>0</v>
      </c>
      <c r="BS21" s="37">
        <v>0</v>
      </c>
      <c r="BT21" s="37">
        <v>0</v>
      </c>
      <c r="BU21" s="37">
        <v>0</v>
      </c>
      <c r="BV21" s="37">
        <v>0</v>
      </c>
      <c r="BW21" s="37">
        <v>0</v>
      </c>
      <c r="BX21" s="37">
        <v>0</v>
      </c>
      <c r="BY21" s="37">
        <v>0</v>
      </c>
      <c r="BZ21" s="37">
        <v>0</v>
      </c>
      <c r="CA21" s="37">
        <v>0</v>
      </c>
      <c r="CB21" s="37">
        <v>0</v>
      </c>
      <c r="CC21" s="37">
        <v>0</v>
      </c>
      <c r="CD21" s="37">
        <v>0</v>
      </c>
      <c r="CE21" s="37">
        <v>0</v>
      </c>
      <c r="CF21" s="37">
        <v>0</v>
      </c>
      <c r="CG21" s="37">
        <v>0</v>
      </c>
      <c r="CH21" s="37">
        <v>0</v>
      </c>
      <c r="CI21" s="37">
        <v>0</v>
      </c>
      <c r="CJ21" s="37">
        <v>0</v>
      </c>
      <c r="CK21" s="37">
        <v>0</v>
      </c>
      <c r="CL21" s="37">
        <v>0</v>
      </c>
      <c r="CM21" s="37">
        <v>0</v>
      </c>
      <c r="CN21" s="37">
        <v>0</v>
      </c>
      <c r="CO21" s="37">
        <v>0</v>
      </c>
      <c r="CP21" s="37">
        <v>25600</v>
      </c>
      <c r="CQ21" s="37">
        <v>0</v>
      </c>
      <c r="CR21" s="37">
        <v>0</v>
      </c>
      <c r="CS21" s="37">
        <v>0</v>
      </c>
      <c r="CT21" s="37">
        <v>0</v>
      </c>
      <c r="CU21" s="37">
        <v>0</v>
      </c>
      <c r="CV21" s="37">
        <v>0</v>
      </c>
      <c r="CW21" s="37">
        <v>0</v>
      </c>
      <c r="CX21" s="37">
        <v>0</v>
      </c>
      <c r="CY21" s="37">
        <v>0</v>
      </c>
      <c r="CZ21" s="37">
        <v>25600</v>
      </c>
      <c r="DA21" s="37">
        <v>0</v>
      </c>
      <c r="DB21" s="37">
        <v>0</v>
      </c>
      <c r="DC21" s="37">
        <v>0</v>
      </c>
      <c r="DD21" s="37">
        <v>0</v>
      </c>
      <c r="DE21" s="37">
        <v>0</v>
      </c>
      <c r="DF21" s="37">
        <v>0</v>
      </c>
      <c r="DG21" s="37">
        <v>0</v>
      </c>
      <c r="DH21" s="37">
        <v>0</v>
      </c>
      <c r="DI21" s="37">
        <v>0</v>
      </c>
      <c r="DJ21" s="37">
        <v>0</v>
      </c>
      <c r="DK21" s="37">
        <v>0</v>
      </c>
      <c r="DL21" s="37">
        <v>0</v>
      </c>
      <c r="DM21" s="37">
        <v>0</v>
      </c>
      <c r="DN21" s="37">
        <v>0</v>
      </c>
      <c r="DO21" s="37">
        <v>0</v>
      </c>
      <c r="DP21" s="37">
        <v>0</v>
      </c>
      <c r="DQ21" s="37">
        <v>0</v>
      </c>
      <c r="DR21" s="37">
        <v>0</v>
      </c>
      <c r="DS21" s="37">
        <v>0</v>
      </c>
      <c r="DT21" s="37">
        <v>0</v>
      </c>
      <c r="DU21" s="37">
        <v>0</v>
      </c>
      <c r="DV21" s="37">
        <v>0</v>
      </c>
      <c r="DW21" s="37">
        <v>0</v>
      </c>
      <c r="DX21" s="37">
        <v>0</v>
      </c>
      <c r="DY21" s="37">
        <v>0</v>
      </c>
      <c r="DZ21" s="37">
        <v>0</v>
      </c>
      <c r="EA21" s="37">
        <v>0</v>
      </c>
      <c r="EB21" s="37">
        <v>0</v>
      </c>
      <c r="EC21" s="37">
        <v>2360525</v>
      </c>
      <c r="ED21" s="37">
        <v>2385212</v>
      </c>
      <c r="EE21" s="37">
        <v>0</v>
      </c>
      <c r="EF21" s="37">
        <v>0</v>
      </c>
      <c r="EG21" s="37">
        <v>0</v>
      </c>
      <c r="EH21" s="37">
        <v>0</v>
      </c>
      <c r="EI21" s="37">
        <v>0</v>
      </c>
      <c r="EJ21" s="37">
        <v>4745737</v>
      </c>
      <c r="EK21" s="161" t="s">
        <v>1429</v>
      </c>
      <c r="EL21" s="294" t="s">
        <v>1124</v>
      </c>
    </row>
    <row r="22" spans="1:142" ht="15" customHeight="1" x14ac:dyDescent="0.35">
      <c r="A22" s="34"/>
      <c r="B22" s="313">
        <v>50013</v>
      </c>
      <c r="C22" s="8" t="s">
        <v>483</v>
      </c>
      <c r="D22" s="18">
        <v>17</v>
      </c>
      <c r="E22" s="155"/>
      <c r="F22" s="36"/>
      <c r="G22" s="37"/>
      <c r="H22" s="37"/>
      <c r="I22" s="37"/>
      <c r="J22" s="37"/>
      <c r="K22" s="37"/>
      <c r="L22" s="37"/>
      <c r="M22" s="37" t="s">
        <v>1124</v>
      </c>
      <c r="N22" s="37" t="s">
        <v>1124</v>
      </c>
      <c r="O22" s="37"/>
      <c r="P22" s="37"/>
      <c r="Q22" s="37"/>
      <c r="R22" s="37"/>
      <c r="S22" s="37"/>
      <c r="T22" s="37"/>
      <c r="U22" s="37"/>
      <c r="V22" s="37"/>
      <c r="W22" s="37"/>
      <c r="X22" s="37"/>
      <c r="Y22" s="37"/>
      <c r="Z22" s="37"/>
      <c r="AA22" s="37" t="s">
        <v>1124</v>
      </c>
      <c r="AB22" s="37" t="s">
        <v>1124</v>
      </c>
      <c r="AC22" s="37"/>
      <c r="AD22" s="37"/>
      <c r="AE22" s="37"/>
      <c r="AF22" s="168"/>
      <c r="AG22" s="37"/>
      <c r="AH22" s="37"/>
      <c r="AI22" s="37"/>
      <c r="AJ22" s="37"/>
      <c r="AK22" s="37"/>
      <c r="AL22" s="37"/>
      <c r="AM22" s="37"/>
      <c r="AN22" s="37"/>
      <c r="AO22" s="37"/>
      <c r="AP22" s="37"/>
      <c r="AQ22" s="37"/>
      <c r="AR22" s="37" t="s">
        <v>1124</v>
      </c>
      <c r="AS22" s="37"/>
      <c r="AT22" s="37"/>
      <c r="AU22" s="37"/>
      <c r="AV22" s="37"/>
      <c r="AW22" s="37"/>
      <c r="AX22" s="37"/>
      <c r="AY22" s="37"/>
      <c r="AZ22" s="37"/>
      <c r="BA22" s="37"/>
      <c r="BB22" s="37"/>
      <c r="BC22" s="37"/>
      <c r="BD22" s="37" t="s">
        <v>1124</v>
      </c>
      <c r="BE22" s="37"/>
      <c r="BF22" s="37"/>
      <c r="BG22" s="37"/>
      <c r="BH22" s="37"/>
      <c r="BI22" s="37"/>
      <c r="BJ22" s="37"/>
      <c r="BK22" s="37"/>
      <c r="BL22" s="37"/>
      <c r="BM22" s="37"/>
      <c r="BN22" s="37"/>
      <c r="BO22" s="37"/>
      <c r="BP22" s="37">
        <v>0</v>
      </c>
      <c r="BQ22" s="37"/>
      <c r="BR22" s="37"/>
      <c r="BS22" s="37"/>
      <c r="BT22" s="37"/>
      <c r="BU22" s="37"/>
      <c r="BV22" s="37"/>
      <c r="BW22" s="37"/>
      <c r="BX22" s="37"/>
      <c r="BY22" s="37"/>
      <c r="BZ22" s="37"/>
      <c r="CA22" s="37"/>
      <c r="CB22" s="37" t="s">
        <v>1124</v>
      </c>
      <c r="CC22" s="37"/>
      <c r="CD22" s="37"/>
      <c r="CE22" s="37"/>
      <c r="CF22" s="37"/>
      <c r="CG22" s="37"/>
      <c r="CH22" s="37"/>
      <c r="CI22" s="37"/>
      <c r="CJ22" s="37"/>
      <c r="CK22" s="37"/>
      <c r="CL22" s="37"/>
      <c r="CM22" s="37"/>
      <c r="CN22" s="37" t="s">
        <v>1124</v>
      </c>
      <c r="CO22" s="37"/>
      <c r="CP22" s="37"/>
      <c r="CQ22" s="37"/>
      <c r="CR22" s="37"/>
      <c r="CS22" s="37"/>
      <c r="CT22" s="37"/>
      <c r="CU22" s="37"/>
      <c r="CV22" s="37"/>
      <c r="CW22" s="37"/>
      <c r="CX22" s="37"/>
      <c r="CY22" s="37"/>
      <c r="CZ22" s="37" t="s">
        <v>1124</v>
      </c>
      <c r="DA22" s="37"/>
      <c r="DB22" s="37"/>
      <c r="DC22" s="37"/>
      <c r="DD22" s="37"/>
      <c r="DE22" s="37"/>
      <c r="DF22" s="37"/>
      <c r="DG22" s="37"/>
      <c r="DH22" s="37"/>
      <c r="DI22" s="37"/>
      <c r="DJ22" s="37"/>
      <c r="DK22" s="37"/>
      <c r="DL22" s="37" t="s">
        <v>1124</v>
      </c>
      <c r="DM22" s="37"/>
      <c r="DN22" s="37"/>
      <c r="DO22" s="37"/>
      <c r="DP22" s="37"/>
      <c r="DQ22" s="37"/>
      <c r="DR22" s="37"/>
      <c r="DS22" s="37"/>
      <c r="DT22" s="37"/>
      <c r="DU22" s="37"/>
      <c r="DV22" s="37"/>
      <c r="DW22" s="37"/>
      <c r="DX22" s="37" t="s">
        <v>1124</v>
      </c>
      <c r="DY22" s="37"/>
      <c r="DZ22" s="37"/>
      <c r="EA22" s="37"/>
      <c r="EB22" s="37"/>
      <c r="EC22" s="37"/>
      <c r="ED22" s="37"/>
      <c r="EE22" s="37"/>
      <c r="EF22" s="37"/>
      <c r="EG22" s="37"/>
      <c r="EH22" s="37"/>
      <c r="EI22" s="37"/>
      <c r="EJ22" s="37" t="s">
        <v>1124</v>
      </c>
      <c r="EK22" s="161"/>
      <c r="EL22" s="294"/>
    </row>
    <row r="23" spans="1:142" ht="15" customHeight="1" x14ac:dyDescent="0.35">
      <c r="A23" s="34"/>
      <c r="B23" s="313">
        <v>13045</v>
      </c>
      <c r="C23" s="8" t="s">
        <v>48</v>
      </c>
      <c r="D23" s="18">
        <v>1</v>
      </c>
      <c r="E23" s="155">
        <v>29266</v>
      </c>
      <c r="F23" s="36">
        <v>46002</v>
      </c>
      <c r="G23" s="37">
        <v>3005</v>
      </c>
      <c r="H23" s="37">
        <v>3136</v>
      </c>
      <c r="I23" s="37">
        <v>3600</v>
      </c>
      <c r="J23" s="37">
        <v>14148</v>
      </c>
      <c r="K23" s="37">
        <v>4390</v>
      </c>
      <c r="L23" s="37">
        <v>6900</v>
      </c>
      <c r="M23" s="37">
        <v>40261</v>
      </c>
      <c r="N23" s="37">
        <v>70186</v>
      </c>
      <c r="O23" s="37">
        <v>0</v>
      </c>
      <c r="P23" s="37">
        <v>0</v>
      </c>
      <c r="Q23" s="37">
        <v>11850</v>
      </c>
      <c r="R23" s="37">
        <v>40975</v>
      </c>
      <c r="S23" s="37">
        <v>0</v>
      </c>
      <c r="T23" s="37">
        <v>0</v>
      </c>
      <c r="U23" s="37">
        <v>5753</v>
      </c>
      <c r="V23" s="37">
        <v>658</v>
      </c>
      <c r="W23" s="37">
        <v>22658</v>
      </c>
      <c r="X23" s="37">
        <v>28553</v>
      </c>
      <c r="Y23" s="37">
        <v>0</v>
      </c>
      <c r="Z23" s="37">
        <v>0</v>
      </c>
      <c r="AA23" s="37">
        <v>40261</v>
      </c>
      <c r="AB23" s="37">
        <v>70186</v>
      </c>
      <c r="AC23" s="37">
        <v>0</v>
      </c>
      <c r="AD23" s="37">
        <v>0</v>
      </c>
      <c r="AE23" s="37">
        <v>0</v>
      </c>
      <c r="AF23" s="168">
        <v>0.02</v>
      </c>
      <c r="AG23" s="37">
        <v>8284960.3899999997</v>
      </c>
      <c r="AH23" s="37">
        <v>42309.95</v>
      </c>
      <c r="AI23" s="37">
        <v>43156.15</v>
      </c>
      <c r="AJ23" s="37">
        <v>44019.28</v>
      </c>
      <c r="AK23" s="37">
        <v>44899.66</v>
      </c>
      <c r="AL23" s="37">
        <v>45797.65</v>
      </c>
      <c r="AM23" s="37">
        <v>46713.61</v>
      </c>
      <c r="AN23" s="37">
        <v>47647.88</v>
      </c>
      <c r="AO23" s="37">
        <v>48600.84</v>
      </c>
      <c r="AP23" s="37">
        <v>49572.85</v>
      </c>
      <c r="AQ23" s="37">
        <v>50564.31</v>
      </c>
      <c r="AR23" s="37">
        <v>463282.18000000011</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D23" s="37">
        <v>0</v>
      </c>
      <c r="DE23" s="37">
        <v>0</v>
      </c>
      <c r="DF23" s="37">
        <v>0</v>
      </c>
      <c r="DG23" s="37">
        <v>0</v>
      </c>
      <c r="DH23" s="37">
        <v>0</v>
      </c>
      <c r="DI23" s="37">
        <v>0</v>
      </c>
      <c r="DJ23" s="37">
        <v>0</v>
      </c>
      <c r="DK23" s="37">
        <v>0</v>
      </c>
      <c r="DL23" s="37">
        <v>0</v>
      </c>
      <c r="DM23" s="37">
        <v>0</v>
      </c>
      <c r="DN23" s="37">
        <v>0</v>
      </c>
      <c r="DO23" s="37">
        <v>0</v>
      </c>
      <c r="DP23" s="37">
        <v>0</v>
      </c>
      <c r="DQ23" s="37">
        <v>0</v>
      </c>
      <c r="DR23" s="37">
        <v>0</v>
      </c>
      <c r="DS23" s="37">
        <v>0</v>
      </c>
      <c r="DT23" s="37">
        <v>0</v>
      </c>
      <c r="DU23" s="37">
        <v>0</v>
      </c>
      <c r="DV23" s="37">
        <v>0</v>
      </c>
      <c r="DW23" s="37">
        <v>0</v>
      </c>
      <c r="DX23" s="37">
        <v>0</v>
      </c>
      <c r="DY23" s="37">
        <v>0</v>
      </c>
      <c r="DZ23" s="37">
        <v>0</v>
      </c>
      <c r="EA23" s="37">
        <v>0</v>
      </c>
      <c r="EB23" s="37">
        <v>0</v>
      </c>
      <c r="EC23" s="37">
        <v>0</v>
      </c>
      <c r="ED23" s="37">
        <v>0</v>
      </c>
      <c r="EE23" s="37">
        <v>0</v>
      </c>
      <c r="EF23" s="37">
        <v>0</v>
      </c>
      <c r="EG23" s="37">
        <v>0</v>
      </c>
      <c r="EH23" s="37">
        <v>0</v>
      </c>
      <c r="EI23" s="37">
        <v>0</v>
      </c>
      <c r="EJ23" s="37">
        <v>0</v>
      </c>
      <c r="EK23" s="161" t="s">
        <v>1432</v>
      </c>
      <c r="EL23" s="294" t="s">
        <v>1124</v>
      </c>
    </row>
    <row r="24" spans="1:142" ht="15" customHeight="1" x14ac:dyDescent="0.35">
      <c r="A24" s="34"/>
      <c r="B24" s="313">
        <v>30055</v>
      </c>
      <c r="C24" s="8" t="s">
        <v>227</v>
      </c>
      <c r="D24" s="18">
        <v>5</v>
      </c>
      <c r="E24" s="155">
        <v>59632</v>
      </c>
      <c r="F24" s="36">
        <v>48584</v>
      </c>
      <c r="G24" s="37">
        <v>7280</v>
      </c>
      <c r="H24" s="37">
        <v>9401</v>
      </c>
      <c r="I24" s="37">
        <v>10004.48</v>
      </c>
      <c r="J24" s="37">
        <v>99863.58</v>
      </c>
      <c r="K24" s="37">
        <v>5008</v>
      </c>
      <c r="L24" s="37">
        <v>4097</v>
      </c>
      <c r="M24" s="37">
        <v>81924.479999999996</v>
      </c>
      <c r="N24" s="37">
        <v>161945.58000000002</v>
      </c>
      <c r="O24" s="37">
        <v>0</v>
      </c>
      <c r="P24" s="37">
        <v>0</v>
      </c>
      <c r="Q24" s="37">
        <v>45180</v>
      </c>
      <c r="R24" s="37">
        <v>35140</v>
      </c>
      <c r="S24" s="37">
        <v>0</v>
      </c>
      <c r="T24" s="37">
        <v>0</v>
      </c>
      <c r="U24" s="37">
        <v>0</v>
      </c>
      <c r="V24" s="37">
        <v>10787</v>
      </c>
      <c r="W24" s="37">
        <v>17800.141442791395</v>
      </c>
      <c r="X24" s="37">
        <v>39210.25855720861</v>
      </c>
      <c r="Y24" s="37">
        <v>13163</v>
      </c>
      <c r="Z24" s="37">
        <v>82590</v>
      </c>
      <c r="AA24" s="37">
        <v>76143.141442791399</v>
      </c>
      <c r="AB24" s="37">
        <v>167727.25855720861</v>
      </c>
      <c r="AC24" s="37">
        <v>0</v>
      </c>
      <c r="AD24" s="37">
        <v>0</v>
      </c>
      <c r="AE24" s="37">
        <v>0</v>
      </c>
      <c r="AF24" s="168">
        <v>0.02</v>
      </c>
      <c r="AG24" s="37">
        <v>9812267.3699999992</v>
      </c>
      <c r="AH24" s="37">
        <v>60383.46</v>
      </c>
      <c r="AI24" s="37">
        <v>66793.13</v>
      </c>
      <c r="AJ24" s="37">
        <v>62822.95</v>
      </c>
      <c r="AK24" s="37">
        <v>64079.41</v>
      </c>
      <c r="AL24" s="37">
        <v>65361</v>
      </c>
      <c r="AM24" s="37">
        <v>66668.22</v>
      </c>
      <c r="AN24" s="37">
        <v>68001.58</v>
      </c>
      <c r="AO24" s="37">
        <v>69361.61</v>
      </c>
      <c r="AP24" s="37">
        <v>70748.850000000006</v>
      </c>
      <c r="AQ24" s="37">
        <v>72163.820000000007</v>
      </c>
      <c r="AR24" s="37">
        <v>666384.03</v>
      </c>
      <c r="AS24" s="37">
        <v>163977.44</v>
      </c>
      <c r="AT24" s="37">
        <v>0</v>
      </c>
      <c r="AU24" s="37">
        <v>0</v>
      </c>
      <c r="AV24" s="37">
        <v>0</v>
      </c>
      <c r="AW24" s="37">
        <v>0</v>
      </c>
      <c r="AX24" s="37">
        <v>0</v>
      </c>
      <c r="AY24" s="37">
        <v>0</v>
      </c>
      <c r="AZ24" s="37">
        <v>0</v>
      </c>
      <c r="BA24" s="37">
        <v>0</v>
      </c>
      <c r="BB24" s="37">
        <v>0</v>
      </c>
      <c r="BC24" s="37">
        <v>0</v>
      </c>
      <c r="BD24" s="37">
        <v>0</v>
      </c>
      <c r="BE24" s="37">
        <v>0</v>
      </c>
      <c r="BF24" s="37">
        <v>79253.71898936147</v>
      </c>
      <c r="BG24" s="37">
        <v>85425.506700092592</v>
      </c>
      <c r="BH24" s="37">
        <v>105162.57961139828</v>
      </c>
      <c r="BI24" s="37">
        <v>124899.69469914776</v>
      </c>
      <c r="BJ24" s="37">
        <v>13565.285200574526</v>
      </c>
      <c r="BK24" s="37">
        <v>65688.433788786875</v>
      </c>
      <c r="BL24" s="37">
        <v>85425.506700092592</v>
      </c>
      <c r="BM24" s="37">
        <v>105162.57961139828</v>
      </c>
      <c r="BN24" s="37">
        <v>124899.69469914776</v>
      </c>
      <c r="BO24" s="37">
        <v>0</v>
      </c>
      <c r="BP24" s="37">
        <v>789483.00000000012</v>
      </c>
      <c r="BQ24" s="37">
        <v>0</v>
      </c>
      <c r="BR24" s="37">
        <v>0</v>
      </c>
      <c r="BS24" s="37">
        <v>0</v>
      </c>
      <c r="BT24" s="37">
        <v>0</v>
      </c>
      <c r="BU24" s="37">
        <v>0</v>
      </c>
      <c r="BV24" s="37">
        <v>0</v>
      </c>
      <c r="BW24" s="37">
        <v>0</v>
      </c>
      <c r="BX24" s="37">
        <v>0</v>
      </c>
      <c r="BY24" s="37">
        <v>0</v>
      </c>
      <c r="BZ24" s="37">
        <v>0</v>
      </c>
      <c r="CA24" s="37">
        <v>0</v>
      </c>
      <c r="CB24" s="37">
        <v>0</v>
      </c>
      <c r="CC24" s="37">
        <v>7000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D24" s="37">
        <v>0</v>
      </c>
      <c r="DE24" s="37">
        <v>0</v>
      </c>
      <c r="DF24" s="37">
        <v>0</v>
      </c>
      <c r="DG24" s="37">
        <v>0</v>
      </c>
      <c r="DH24" s="37">
        <v>0</v>
      </c>
      <c r="DI24" s="37">
        <v>0</v>
      </c>
      <c r="DJ24" s="37">
        <v>0</v>
      </c>
      <c r="DK24" s="37">
        <v>0</v>
      </c>
      <c r="DL24" s="37">
        <v>0</v>
      </c>
      <c r="DM24" s="37">
        <v>2000</v>
      </c>
      <c r="DN24" s="37">
        <v>0</v>
      </c>
      <c r="DO24" s="37">
        <v>0</v>
      </c>
      <c r="DP24" s="37">
        <v>0</v>
      </c>
      <c r="DQ24" s="37">
        <v>0</v>
      </c>
      <c r="DR24" s="37">
        <v>0</v>
      </c>
      <c r="DS24" s="37">
        <v>0</v>
      </c>
      <c r="DT24" s="37">
        <v>0</v>
      </c>
      <c r="DU24" s="37">
        <v>0</v>
      </c>
      <c r="DV24" s="37">
        <v>0</v>
      </c>
      <c r="DW24" s="37">
        <v>0</v>
      </c>
      <c r="DX24" s="37">
        <v>0</v>
      </c>
      <c r="DY24" s="37">
        <v>0</v>
      </c>
      <c r="DZ24" s="37">
        <v>0</v>
      </c>
      <c r="EA24" s="37">
        <v>0</v>
      </c>
      <c r="EB24" s="37">
        <v>0</v>
      </c>
      <c r="EC24" s="37">
        <v>0</v>
      </c>
      <c r="ED24" s="37">
        <v>0</v>
      </c>
      <c r="EE24" s="37">
        <v>0</v>
      </c>
      <c r="EF24" s="37">
        <v>0</v>
      </c>
      <c r="EG24" s="37">
        <v>0</v>
      </c>
      <c r="EH24" s="37">
        <v>0</v>
      </c>
      <c r="EI24" s="37">
        <v>0</v>
      </c>
      <c r="EJ24" s="37">
        <v>0</v>
      </c>
      <c r="EK24" s="161" t="s">
        <v>1387</v>
      </c>
      <c r="EL24" s="294" t="s">
        <v>1124</v>
      </c>
    </row>
    <row r="25" spans="1:142" ht="15" customHeight="1" x14ac:dyDescent="0.35">
      <c r="A25" s="34"/>
      <c r="B25" s="313">
        <v>83090</v>
      </c>
      <c r="C25" s="8" t="s">
        <v>850</v>
      </c>
      <c r="D25" s="18">
        <v>7</v>
      </c>
      <c r="E25" s="155"/>
      <c r="F25" s="36"/>
      <c r="G25" s="37"/>
      <c r="H25" s="37"/>
      <c r="I25" s="37"/>
      <c r="J25" s="37"/>
      <c r="K25" s="37"/>
      <c r="L25" s="37"/>
      <c r="M25" s="37" t="s">
        <v>1124</v>
      </c>
      <c r="N25" s="37" t="s">
        <v>1124</v>
      </c>
      <c r="O25" s="37"/>
      <c r="P25" s="37"/>
      <c r="Q25" s="37"/>
      <c r="R25" s="37"/>
      <c r="S25" s="37"/>
      <c r="T25" s="37"/>
      <c r="U25" s="37"/>
      <c r="V25" s="37"/>
      <c r="W25" s="37"/>
      <c r="X25" s="37"/>
      <c r="Y25" s="37"/>
      <c r="Z25" s="37"/>
      <c r="AA25" s="37" t="s">
        <v>1124</v>
      </c>
      <c r="AB25" s="37" t="s">
        <v>1124</v>
      </c>
      <c r="AC25" s="37"/>
      <c r="AD25" s="37"/>
      <c r="AE25" s="37"/>
      <c r="AF25" s="168"/>
      <c r="AG25" s="37"/>
      <c r="AH25" s="37"/>
      <c r="AI25" s="37"/>
      <c r="AJ25" s="37"/>
      <c r="AK25" s="37"/>
      <c r="AL25" s="37"/>
      <c r="AM25" s="37"/>
      <c r="AN25" s="37"/>
      <c r="AO25" s="37"/>
      <c r="AP25" s="37"/>
      <c r="AQ25" s="37"/>
      <c r="AR25" s="37" t="s">
        <v>1124</v>
      </c>
      <c r="AS25" s="37"/>
      <c r="AT25" s="37"/>
      <c r="AU25" s="37"/>
      <c r="AV25" s="37"/>
      <c r="AW25" s="37"/>
      <c r="AX25" s="37"/>
      <c r="AY25" s="37"/>
      <c r="AZ25" s="37"/>
      <c r="BA25" s="37"/>
      <c r="BB25" s="37"/>
      <c r="BC25" s="37"/>
      <c r="BD25" s="37" t="s">
        <v>1124</v>
      </c>
      <c r="BE25" s="37"/>
      <c r="BF25" s="37"/>
      <c r="BG25" s="37"/>
      <c r="BH25" s="37"/>
      <c r="BI25" s="37"/>
      <c r="BJ25" s="37"/>
      <c r="BK25" s="37"/>
      <c r="BL25" s="37"/>
      <c r="BM25" s="37"/>
      <c r="BN25" s="37"/>
      <c r="BO25" s="37"/>
      <c r="BP25" s="37">
        <v>0</v>
      </c>
      <c r="BQ25" s="37"/>
      <c r="BR25" s="37"/>
      <c r="BS25" s="37"/>
      <c r="BT25" s="37"/>
      <c r="BU25" s="37"/>
      <c r="BV25" s="37"/>
      <c r="BW25" s="37"/>
      <c r="BX25" s="37"/>
      <c r="BY25" s="37"/>
      <c r="BZ25" s="37"/>
      <c r="CA25" s="37"/>
      <c r="CB25" s="37" t="s">
        <v>1124</v>
      </c>
      <c r="CC25" s="37"/>
      <c r="CD25" s="37"/>
      <c r="CE25" s="37"/>
      <c r="CF25" s="37"/>
      <c r="CG25" s="37"/>
      <c r="CH25" s="37"/>
      <c r="CI25" s="37"/>
      <c r="CJ25" s="37"/>
      <c r="CK25" s="37"/>
      <c r="CL25" s="37"/>
      <c r="CM25" s="37"/>
      <c r="CN25" s="37" t="s">
        <v>1124</v>
      </c>
      <c r="CO25" s="37"/>
      <c r="CP25" s="37"/>
      <c r="CQ25" s="37"/>
      <c r="CR25" s="37"/>
      <c r="CS25" s="37"/>
      <c r="CT25" s="37"/>
      <c r="CU25" s="37"/>
      <c r="CV25" s="37"/>
      <c r="CW25" s="37"/>
      <c r="CX25" s="37"/>
      <c r="CY25" s="37"/>
      <c r="CZ25" s="37" t="s">
        <v>1124</v>
      </c>
      <c r="DA25" s="37"/>
      <c r="DB25" s="37"/>
      <c r="DC25" s="37"/>
      <c r="DD25" s="37"/>
      <c r="DE25" s="37"/>
      <c r="DF25" s="37"/>
      <c r="DG25" s="37"/>
      <c r="DH25" s="37"/>
      <c r="DI25" s="37"/>
      <c r="DJ25" s="37"/>
      <c r="DK25" s="37"/>
      <c r="DL25" s="37" t="s">
        <v>1124</v>
      </c>
      <c r="DM25" s="37"/>
      <c r="DN25" s="37"/>
      <c r="DO25" s="37"/>
      <c r="DP25" s="37"/>
      <c r="DQ25" s="37"/>
      <c r="DR25" s="37"/>
      <c r="DS25" s="37"/>
      <c r="DT25" s="37"/>
      <c r="DU25" s="37"/>
      <c r="DV25" s="37"/>
      <c r="DW25" s="37"/>
      <c r="DX25" s="37" t="s">
        <v>1124</v>
      </c>
      <c r="DY25" s="37"/>
      <c r="DZ25" s="37"/>
      <c r="EA25" s="37"/>
      <c r="EB25" s="37"/>
      <c r="EC25" s="37"/>
      <c r="ED25" s="37"/>
      <c r="EE25" s="37"/>
      <c r="EF25" s="37"/>
      <c r="EG25" s="37"/>
      <c r="EH25" s="37"/>
      <c r="EI25" s="37"/>
      <c r="EJ25" s="37" t="s">
        <v>1124</v>
      </c>
      <c r="EK25" s="161"/>
      <c r="EL25" s="294"/>
    </row>
    <row r="26" spans="1:142" ht="15" customHeight="1" x14ac:dyDescent="0.35">
      <c r="A26" s="34"/>
      <c r="B26" s="313">
        <v>45085</v>
      </c>
      <c r="C26" s="8" t="s">
        <v>421</v>
      </c>
      <c r="D26" s="18">
        <v>5</v>
      </c>
      <c r="E26" s="155"/>
      <c r="F26" s="36"/>
      <c r="G26" s="37"/>
      <c r="H26" s="37"/>
      <c r="I26" s="37"/>
      <c r="J26" s="37"/>
      <c r="K26" s="37"/>
      <c r="L26" s="37"/>
      <c r="M26" s="37" t="s">
        <v>1124</v>
      </c>
      <c r="N26" s="37" t="s">
        <v>1124</v>
      </c>
      <c r="O26" s="37"/>
      <c r="P26" s="37"/>
      <c r="Q26" s="37"/>
      <c r="R26" s="37"/>
      <c r="S26" s="37"/>
      <c r="T26" s="37"/>
      <c r="U26" s="37"/>
      <c r="V26" s="37"/>
      <c r="W26" s="37"/>
      <c r="X26" s="37"/>
      <c r="Y26" s="37"/>
      <c r="Z26" s="37"/>
      <c r="AA26" s="37" t="s">
        <v>1124</v>
      </c>
      <c r="AB26" s="37" t="s">
        <v>1124</v>
      </c>
      <c r="AC26" s="37"/>
      <c r="AD26" s="37"/>
      <c r="AE26" s="37"/>
      <c r="AF26" s="168"/>
      <c r="AG26" s="37"/>
      <c r="AH26" s="37"/>
      <c r="AI26" s="37"/>
      <c r="AJ26" s="37"/>
      <c r="AK26" s="37"/>
      <c r="AL26" s="37"/>
      <c r="AM26" s="37"/>
      <c r="AN26" s="37"/>
      <c r="AO26" s="37"/>
      <c r="AP26" s="37"/>
      <c r="AQ26" s="37"/>
      <c r="AR26" s="37" t="s">
        <v>1124</v>
      </c>
      <c r="AS26" s="37"/>
      <c r="AT26" s="37"/>
      <c r="AU26" s="37"/>
      <c r="AV26" s="37"/>
      <c r="AW26" s="37"/>
      <c r="AX26" s="37"/>
      <c r="AY26" s="37"/>
      <c r="AZ26" s="37"/>
      <c r="BA26" s="37"/>
      <c r="BB26" s="37"/>
      <c r="BC26" s="37"/>
      <c r="BD26" s="37" t="s">
        <v>1124</v>
      </c>
      <c r="BE26" s="37"/>
      <c r="BF26" s="37"/>
      <c r="BG26" s="37"/>
      <c r="BH26" s="37"/>
      <c r="BI26" s="37"/>
      <c r="BJ26" s="37"/>
      <c r="BK26" s="37"/>
      <c r="BL26" s="37"/>
      <c r="BM26" s="37"/>
      <c r="BN26" s="37"/>
      <c r="BO26" s="37"/>
      <c r="BP26" s="37">
        <v>0</v>
      </c>
      <c r="BQ26" s="37"/>
      <c r="BR26" s="37"/>
      <c r="BS26" s="37"/>
      <c r="BT26" s="37"/>
      <c r="BU26" s="37"/>
      <c r="BV26" s="37"/>
      <c r="BW26" s="37"/>
      <c r="BX26" s="37"/>
      <c r="BY26" s="37"/>
      <c r="BZ26" s="37"/>
      <c r="CA26" s="37"/>
      <c r="CB26" s="37" t="s">
        <v>1124</v>
      </c>
      <c r="CC26" s="37"/>
      <c r="CD26" s="37"/>
      <c r="CE26" s="37"/>
      <c r="CF26" s="37"/>
      <c r="CG26" s="37"/>
      <c r="CH26" s="37"/>
      <c r="CI26" s="37"/>
      <c r="CJ26" s="37"/>
      <c r="CK26" s="37"/>
      <c r="CL26" s="37"/>
      <c r="CM26" s="37"/>
      <c r="CN26" s="37" t="s">
        <v>1124</v>
      </c>
      <c r="CO26" s="37"/>
      <c r="CP26" s="37"/>
      <c r="CQ26" s="37"/>
      <c r="CR26" s="37"/>
      <c r="CS26" s="37"/>
      <c r="CT26" s="37"/>
      <c r="CU26" s="37"/>
      <c r="CV26" s="37"/>
      <c r="CW26" s="37"/>
      <c r="CX26" s="37"/>
      <c r="CY26" s="37"/>
      <c r="CZ26" s="37" t="s">
        <v>1124</v>
      </c>
      <c r="DA26" s="37"/>
      <c r="DB26" s="37"/>
      <c r="DC26" s="37"/>
      <c r="DD26" s="37"/>
      <c r="DE26" s="37"/>
      <c r="DF26" s="37"/>
      <c r="DG26" s="37"/>
      <c r="DH26" s="37"/>
      <c r="DI26" s="37"/>
      <c r="DJ26" s="37"/>
      <c r="DK26" s="37"/>
      <c r="DL26" s="37" t="s">
        <v>1124</v>
      </c>
      <c r="DM26" s="37"/>
      <c r="DN26" s="37"/>
      <c r="DO26" s="37"/>
      <c r="DP26" s="37"/>
      <c r="DQ26" s="37"/>
      <c r="DR26" s="37"/>
      <c r="DS26" s="37"/>
      <c r="DT26" s="37"/>
      <c r="DU26" s="37"/>
      <c r="DV26" s="37"/>
      <c r="DW26" s="37"/>
      <c r="DX26" s="37" t="s">
        <v>1124</v>
      </c>
      <c r="DY26" s="37"/>
      <c r="DZ26" s="37"/>
      <c r="EA26" s="37"/>
      <c r="EB26" s="37"/>
      <c r="EC26" s="37"/>
      <c r="ED26" s="37"/>
      <c r="EE26" s="37"/>
      <c r="EF26" s="37"/>
      <c r="EG26" s="37"/>
      <c r="EH26" s="37"/>
      <c r="EI26" s="37"/>
      <c r="EJ26" s="37" t="s">
        <v>1124</v>
      </c>
      <c r="EK26" s="161"/>
      <c r="EL26" s="294"/>
    </row>
    <row r="27" spans="1:142" ht="15" customHeight="1" x14ac:dyDescent="0.35">
      <c r="A27" s="34"/>
      <c r="B27" s="313">
        <v>87050</v>
      </c>
      <c r="C27" s="8" t="s">
        <v>898</v>
      </c>
      <c r="D27" s="18">
        <v>8</v>
      </c>
      <c r="E27" s="155"/>
      <c r="F27" s="36"/>
      <c r="G27" s="37"/>
      <c r="H27" s="37"/>
      <c r="I27" s="37"/>
      <c r="J27" s="37"/>
      <c r="K27" s="37"/>
      <c r="L27" s="37"/>
      <c r="M27" s="37" t="s">
        <v>1124</v>
      </c>
      <c r="N27" s="37" t="s">
        <v>1124</v>
      </c>
      <c r="O27" s="37"/>
      <c r="P27" s="37"/>
      <c r="Q27" s="37"/>
      <c r="R27" s="37"/>
      <c r="S27" s="37"/>
      <c r="T27" s="37"/>
      <c r="U27" s="37"/>
      <c r="V27" s="37"/>
      <c r="W27" s="37"/>
      <c r="X27" s="37"/>
      <c r="Y27" s="37"/>
      <c r="Z27" s="37"/>
      <c r="AA27" s="37" t="s">
        <v>1124</v>
      </c>
      <c r="AB27" s="37" t="s">
        <v>1124</v>
      </c>
      <c r="AC27" s="37"/>
      <c r="AD27" s="37"/>
      <c r="AE27" s="37"/>
      <c r="AF27" s="168"/>
      <c r="AG27" s="37"/>
      <c r="AH27" s="37"/>
      <c r="AI27" s="37"/>
      <c r="AJ27" s="37"/>
      <c r="AK27" s="37"/>
      <c r="AL27" s="37"/>
      <c r="AM27" s="37"/>
      <c r="AN27" s="37"/>
      <c r="AO27" s="37"/>
      <c r="AP27" s="37"/>
      <c r="AQ27" s="37"/>
      <c r="AR27" s="37" t="s">
        <v>1124</v>
      </c>
      <c r="AS27" s="37"/>
      <c r="AT27" s="37"/>
      <c r="AU27" s="37"/>
      <c r="AV27" s="37"/>
      <c r="AW27" s="37"/>
      <c r="AX27" s="37"/>
      <c r="AY27" s="37"/>
      <c r="AZ27" s="37"/>
      <c r="BA27" s="37"/>
      <c r="BB27" s="37"/>
      <c r="BC27" s="37"/>
      <c r="BD27" s="37" t="s">
        <v>1124</v>
      </c>
      <c r="BE27" s="37"/>
      <c r="BF27" s="37"/>
      <c r="BG27" s="37"/>
      <c r="BH27" s="37"/>
      <c r="BI27" s="37"/>
      <c r="BJ27" s="37"/>
      <c r="BK27" s="37"/>
      <c r="BL27" s="37"/>
      <c r="BM27" s="37"/>
      <c r="BN27" s="37"/>
      <c r="BO27" s="37"/>
      <c r="BP27" s="37">
        <v>0</v>
      </c>
      <c r="BQ27" s="37"/>
      <c r="BR27" s="37"/>
      <c r="BS27" s="37"/>
      <c r="BT27" s="37"/>
      <c r="BU27" s="37"/>
      <c r="BV27" s="37"/>
      <c r="BW27" s="37"/>
      <c r="BX27" s="37"/>
      <c r="BY27" s="37"/>
      <c r="BZ27" s="37"/>
      <c r="CA27" s="37"/>
      <c r="CB27" s="37" t="s">
        <v>1124</v>
      </c>
      <c r="CC27" s="37"/>
      <c r="CD27" s="37"/>
      <c r="CE27" s="37"/>
      <c r="CF27" s="37"/>
      <c r="CG27" s="37"/>
      <c r="CH27" s="37"/>
      <c r="CI27" s="37"/>
      <c r="CJ27" s="37"/>
      <c r="CK27" s="37"/>
      <c r="CL27" s="37"/>
      <c r="CM27" s="37"/>
      <c r="CN27" s="37" t="s">
        <v>1124</v>
      </c>
      <c r="CO27" s="37"/>
      <c r="CP27" s="37"/>
      <c r="CQ27" s="37"/>
      <c r="CR27" s="37"/>
      <c r="CS27" s="37"/>
      <c r="CT27" s="37"/>
      <c r="CU27" s="37"/>
      <c r="CV27" s="37"/>
      <c r="CW27" s="37"/>
      <c r="CX27" s="37"/>
      <c r="CY27" s="37"/>
      <c r="CZ27" s="37" t="s">
        <v>1124</v>
      </c>
      <c r="DA27" s="37"/>
      <c r="DB27" s="37"/>
      <c r="DC27" s="37"/>
      <c r="DD27" s="37"/>
      <c r="DE27" s="37"/>
      <c r="DF27" s="37"/>
      <c r="DG27" s="37"/>
      <c r="DH27" s="37"/>
      <c r="DI27" s="37"/>
      <c r="DJ27" s="37"/>
      <c r="DK27" s="37"/>
      <c r="DL27" s="37" t="s">
        <v>1124</v>
      </c>
      <c r="DM27" s="37"/>
      <c r="DN27" s="37"/>
      <c r="DO27" s="37"/>
      <c r="DP27" s="37"/>
      <c r="DQ27" s="37"/>
      <c r="DR27" s="37"/>
      <c r="DS27" s="37"/>
      <c r="DT27" s="37"/>
      <c r="DU27" s="37"/>
      <c r="DV27" s="37"/>
      <c r="DW27" s="37"/>
      <c r="DX27" s="37" t="s">
        <v>1124</v>
      </c>
      <c r="DY27" s="37"/>
      <c r="DZ27" s="37"/>
      <c r="EA27" s="37"/>
      <c r="EB27" s="37"/>
      <c r="EC27" s="37"/>
      <c r="ED27" s="37"/>
      <c r="EE27" s="37"/>
      <c r="EF27" s="37"/>
      <c r="EG27" s="37"/>
      <c r="EH27" s="37"/>
      <c r="EI27" s="37"/>
      <c r="EJ27" s="37" t="s">
        <v>1124</v>
      </c>
      <c r="EK27" s="161"/>
      <c r="EL27" s="294"/>
    </row>
    <row r="28" spans="1:142" ht="15" customHeight="1" x14ac:dyDescent="0.35">
      <c r="A28" s="34"/>
      <c r="B28" s="313">
        <v>87100</v>
      </c>
      <c r="C28" s="8" t="s">
        <v>906</v>
      </c>
      <c r="D28" s="18">
        <v>8</v>
      </c>
      <c r="E28" s="155"/>
      <c r="F28" s="36"/>
      <c r="G28" s="37"/>
      <c r="H28" s="37"/>
      <c r="I28" s="37"/>
      <c r="J28" s="37"/>
      <c r="K28" s="37"/>
      <c r="L28" s="37"/>
      <c r="M28" s="37" t="s">
        <v>1124</v>
      </c>
      <c r="N28" s="37" t="s">
        <v>1124</v>
      </c>
      <c r="O28" s="37"/>
      <c r="P28" s="37"/>
      <c r="Q28" s="37"/>
      <c r="R28" s="37"/>
      <c r="S28" s="37"/>
      <c r="T28" s="37"/>
      <c r="U28" s="37"/>
      <c r="V28" s="37"/>
      <c r="W28" s="37"/>
      <c r="X28" s="37"/>
      <c r="Y28" s="37"/>
      <c r="Z28" s="37"/>
      <c r="AA28" s="37" t="s">
        <v>1124</v>
      </c>
      <c r="AB28" s="37" t="s">
        <v>1124</v>
      </c>
      <c r="AC28" s="37"/>
      <c r="AD28" s="37"/>
      <c r="AE28" s="37"/>
      <c r="AF28" s="168"/>
      <c r="AG28" s="37"/>
      <c r="AH28" s="37"/>
      <c r="AI28" s="37"/>
      <c r="AJ28" s="37"/>
      <c r="AK28" s="37"/>
      <c r="AL28" s="37"/>
      <c r="AM28" s="37"/>
      <c r="AN28" s="37"/>
      <c r="AO28" s="37"/>
      <c r="AP28" s="37"/>
      <c r="AQ28" s="37"/>
      <c r="AR28" s="37" t="s">
        <v>1124</v>
      </c>
      <c r="AS28" s="37"/>
      <c r="AT28" s="37"/>
      <c r="AU28" s="37"/>
      <c r="AV28" s="37"/>
      <c r="AW28" s="37"/>
      <c r="AX28" s="37"/>
      <c r="AY28" s="37"/>
      <c r="AZ28" s="37"/>
      <c r="BA28" s="37"/>
      <c r="BB28" s="37"/>
      <c r="BC28" s="37"/>
      <c r="BD28" s="37" t="s">
        <v>1124</v>
      </c>
      <c r="BE28" s="37"/>
      <c r="BF28" s="37"/>
      <c r="BG28" s="37"/>
      <c r="BH28" s="37"/>
      <c r="BI28" s="37"/>
      <c r="BJ28" s="37"/>
      <c r="BK28" s="37"/>
      <c r="BL28" s="37"/>
      <c r="BM28" s="37"/>
      <c r="BN28" s="37"/>
      <c r="BO28" s="37"/>
      <c r="BP28" s="37">
        <v>0</v>
      </c>
      <c r="BQ28" s="37"/>
      <c r="BR28" s="37"/>
      <c r="BS28" s="37"/>
      <c r="BT28" s="37"/>
      <c r="BU28" s="37"/>
      <c r="BV28" s="37"/>
      <c r="BW28" s="37"/>
      <c r="BX28" s="37"/>
      <c r="BY28" s="37"/>
      <c r="BZ28" s="37"/>
      <c r="CA28" s="37"/>
      <c r="CB28" s="37" t="s">
        <v>1124</v>
      </c>
      <c r="CC28" s="37"/>
      <c r="CD28" s="37"/>
      <c r="CE28" s="37"/>
      <c r="CF28" s="37"/>
      <c r="CG28" s="37"/>
      <c r="CH28" s="37"/>
      <c r="CI28" s="37"/>
      <c r="CJ28" s="37"/>
      <c r="CK28" s="37"/>
      <c r="CL28" s="37"/>
      <c r="CM28" s="37"/>
      <c r="CN28" s="37" t="s">
        <v>1124</v>
      </c>
      <c r="CO28" s="37"/>
      <c r="CP28" s="37"/>
      <c r="CQ28" s="37"/>
      <c r="CR28" s="37"/>
      <c r="CS28" s="37"/>
      <c r="CT28" s="37"/>
      <c r="CU28" s="37"/>
      <c r="CV28" s="37"/>
      <c r="CW28" s="37"/>
      <c r="CX28" s="37"/>
      <c r="CY28" s="37"/>
      <c r="CZ28" s="37" t="s">
        <v>1124</v>
      </c>
      <c r="DA28" s="37"/>
      <c r="DB28" s="37"/>
      <c r="DC28" s="37"/>
      <c r="DD28" s="37"/>
      <c r="DE28" s="37"/>
      <c r="DF28" s="37"/>
      <c r="DG28" s="37"/>
      <c r="DH28" s="37"/>
      <c r="DI28" s="37"/>
      <c r="DJ28" s="37"/>
      <c r="DK28" s="37"/>
      <c r="DL28" s="37" t="s">
        <v>1124</v>
      </c>
      <c r="DM28" s="37"/>
      <c r="DN28" s="37"/>
      <c r="DO28" s="37"/>
      <c r="DP28" s="37"/>
      <c r="DQ28" s="37"/>
      <c r="DR28" s="37"/>
      <c r="DS28" s="37"/>
      <c r="DT28" s="37"/>
      <c r="DU28" s="37"/>
      <c r="DV28" s="37"/>
      <c r="DW28" s="37"/>
      <c r="DX28" s="37" t="s">
        <v>1124</v>
      </c>
      <c r="DY28" s="37"/>
      <c r="DZ28" s="37"/>
      <c r="EA28" s="37"/>
      <c r="EB28" s="37"/>
      <c r="EC28" s="37"/>
      <c r="ED28" s="37"/>
      <c r="EE28" s="37"/>
      <c r="EF28" s="37"/>
      <c r="EG28" s="37"/>
      <c r="EH28" s="37"/>
      <c r="EI28" s="37"/>
      <c r="EJ28" s="37" t="s">
        <v>1124</v>
      </c>
      <c r="EK28" s="161"/>
      <c r="EL28" s="294"/>
    </row>
    <row r="29" spans="1:142" ht="15" customHeight="1" x14ac:dyDescent="0.35">
      <c r="A29" s="34"/>
      <c r="B29" s="313">
        <v>45035</v>
      </c>
      <c r="C29" s="8" t="s">
        <v>414</v>
      </c>
      <c r="D29" s="18">
        <v>5</v>
      </c>
      <c r="E29" s="155"/>
      <c r="F29" s="36"/>
      <c r="G29" s="37"/>
      <c r="H29" s="37"/>
      <c r="I29" s="37"/>
      <c r="J29" s="37"/>
      <c r="K29" s="37"/>
      <c r="L29" s="37"/>
      <c r="M29" s="37" t="s">
        <v>1124</v>
      </c>
      <c r="N29" s="37" t="s">
        <v>1124</v>
      </c>
      <c r="O29" s="37"/>
      <c r="P29" s="37"/>
      <c r="Q29" s="37"/>
      <c r="R29" s="37"/>
      <c r="S29" s="37"/>
      <c r="T29" s="37"/>
      <c r="U29" s="37"/>
      <c r="V29" s="37"/>
      <c r="W29" s="37"/>
      <c r="X29" s="37"/>
      <c r="Y29" s="37"/>
      <c r="Z29" s="37"/>
      <c r="AA29" s="37" t="s">
        <v>1124</v>
      </c>
      <c r="AB29" s="37" t="s">
        <v>1124</v>
      </c>
      <c r="AC29" s="37"/>
      <c r="AD29" s="37"/>
      <c r="AE29" s="37"/>
      <c r="AF29" s="168"/>
      <c r="AG29" s="37"/>
      <c r="AH29" s="37"/>
      <c r="AI29" s="37"/>
      <c r="AJ29" s="37"/>
      <c r="AK29" s="37"/>
      <c r="AL29" s="37"/>
      <c r="AM29" s="37"/>
      <c r="AN29" s="37"/>
      <c r="AO29" s="37"/>
      <c r="AP29" s="37"/>
      <c r="AQ29" s="37"/>
      <c r="AR29" s="37" t="s">
        <v>1124</v>
      </c>
      <c r="AS29" s="37"/>
      <c r="AT29" s="37"/>
      <c r="AU29" s="37"/>
      <c r="AV29" s="37"/>
      <c r="AW29" s="37"/>
      <c r="AX29" s="37"/>
      <c r="AY29" s="37"/>
      <c r="AZ29" s="37"/>
      <c r="BA29" s="37"/>
      <c r="BB29" s="37"/>
      <c r="BC29" s="37"/>
      <c r="BD29" s="37" t="s">
        <v>1124</v>
      </c>
      <c r="BE29" s="37"/>
      <c r="BF29" s="37"/>
      <c r="BG29" s="37"/>
      <c r="BH29" s="37"/>
      <c r="BI29" s="37"/>
      <c r="BJ29" s="37"/>
      <c r="BK29" s="37"/>
      <c r="BL29" s="37"/>
      <c r="BM29" s="37"/>
      <c r="BN29" s="37"/>
      <c r="BO29" s="37"/>
      <c r="BP29" s="37">
        <v>0</v>
      </c>
      <c r="BQ29" s="37"/>
      <c r="BR29" s="37"/>
      <c r="BS29" s="37"/>
      <c r="BT29" s="37"/>
      <c r="BU29" s="37"/>
      <c r="BV29" s="37"/>
      <c r="BW29" s="37"/>
      <c r="BX29" s="37"/>
      <c r="BY29" s="37"/>
      <c r="BZ29" s="37"/>
      <c r="CA29" s="37"/>
      <c r="CB29" s="37" t="s">
        <v>1124</v>
      </c>
      <c r="CC29" s="37"/>
      <c r="CD29" s="37"/>
      <c r="CE29" s="37"/>
      <c r="CF29" s="37"/>
      <c r="CG29" s="37"/>
      <c r="CH29" s="37"/>
      <c r="CI29" s="37"/>
      <c r="CJ29" s="37"/>
      <c r="CK29" s="37"/>
      <c r="CL29" s="37"/>
      <c r="CM29" s="37"/>
      <c r="CN29" s="37" t="s">
        <v>1124</v>
      </c>
      <c r="CO29" s="37"/>
      <c r="CP29" s="37"/>
      <c r="CQ29" s="37"/>
      <c r="CR29" s="37"/>
      <c r="CS29" s="37"/>
      <c r="CT29" s="37"/>
      <c r="CU29" s="37"/>
      <c r="CV29" s="37"/>
      <c r="CW29" s="37"/>
      <c r="CX29" s="37"/>
      <c r="CY29" s="37"/>
      <c r="CZ29" s="37" t="s">
        <v>1124</v>
      </c>
      <c r="DA29" s="37"/>
      <c r="DB29" s="37"/>
      <c r="DC29" s="37"/>
      <c r="DD29" s="37"/>
      <c r="DE29" s="37"/>
      <c r="DF29" s="37"/>
      <c r="DG29" s="37"/>
      <c r="DH29" s="37"/>
      <c r="DI29" s="37"/>
      <c r="DJ29" s="37"/>
      <c r="DK29" s="37"/>
      <c r="DL29" s="37" t="s">
        <v>1124</v>
      </c>
      <c r="DM29" s="37"/>
      <c r="DN29" s="37"/>
      <c r="DO29" s="37"/>
      <c r="DP29" s="37"/>
      <c r="DQ29" s="37"/>
      <c r="DR29" s="37"/>
      <c r="DS29" s="37"/>
      <c r="DT29" s="37"/>
      <c r="DU29" s="37"/>
      <c r="DV29" s="37"/>
      <c r="DW29" s="37"/>
      <c r="DX29" s="37" t="s">
        <v>1124</v>
      </c>
      <c r="DY29" s="37"/>
      <c r="DZ29" s="37"/>
      <c r="EA29" s="37"/>
      <c r="EB29" s="37"/>
      <c r="EC29" s="37"/>
      <c r="ED29" s="37"/>
      <c r="EE29" s="37"/>
      <c r="EF29" s="37"/>
      <c r="EG29" s="37"/>
      <c r="EH29" s="37"/>
      <c r="EI29" s="37"/>
      <c r="EJ29" s="37" t="s">
        <v>1124</v>
      </c>
      <c r="EK29" s="161"/>
      <c r="EL29" s="294"/>
    </row>
    <row r="30" spans="1:142" ht="15" customHeight="1" x14ac:dyDescent="0.35">
      <c r="A30" s="34"/>
      <c r="B30" s="313">
        <v>96020</v>
      </c>
      <c r="C30" s="8" t="s">
        <v>997</v>
      </c>
      <c r="D30" s="18">
        <v>9</v>
      </c>
      <c r="E30" s="155">
        <v>3328751</v>
      </c>
      <c r="F30" s="36">
        <v>1886666</v>
      </c>
      <c r="G30" s="37">
        <v>986727</v>
      </c>
      <c r="H30" s="37">
        <v>375617</v>
      </c>
      <c r="I30" s="37">
        <v>1946791</v>
      </c>
      <c r="J30" s="37">
        <v>1238889</v>
      </c>
      <c r="K30" s="37">
        <v>499312.64999999997</v>
      </c>
      <c r="L30" s="37">
        <v>282999.89999999997</v>
      </c>
      <c r="M30" s="37">
        <v>6761581.6500000004</v>
      </c>
      <c r="N30" s="37">
        <v>3784171.9</v>
      </c>
      <c r="O30" s="37">
        <v>0</v>
      </c>
      <c r="P30" s="37">
        <v>0</v>
      </c>
      <c r="Q30" s="37">
        <v>2834633</v>
      </c>
      <c r="R30" s="37">
        <v>0</v>
      </c>
      <c r="S30" s="37">
        <v>9926</v>
      </c>
      <c r="T30" s="37">
        <v>0</v>
      </c>
      <c r="U30" s="37">
        <v>352172</v>
      </c>
      <c r="V30" s="37">
        <v>272166</v>
      </c>
      <c r="W30" s="37">
        <v>3564850.6500000004</v>
      </c>
      <c r="X30" s="37">
        <v>3512005.9</v>
      </c>
      <c r="Y30" s="37">
        <v>0</v>
      </c>
      <c r="Z30" s="37">
        <v>0</v>
      </c>
      <c r="AA30" s="37">
        <v>6761581.6500000004</v>
      </c>
      <c r="AB30" s="37">
        <v>3784171.9</v>
      </c>
      <c r="AC30" s="37">
        <v>0</v>
      </c>
      <c r="AD30" s="37">
        <v>0</v>
      </c>
      <c r="AE30" s="37">
        <v>0</v>
      </c>
      <c r="AF30" s="168">
        <v>0.02</v>
      </c>
      <c r="AG30" s="37">
        <v>242363441.34</v>
      </c>
      <c r="AH30" s="37">
        <v>2214787.91</v>
      </c>
      <c r="AI30" s="37">
        <v>1987414.42</v>
      </c>
      <c r="AJ30" s="37">
        <v>2017420.82</v>
      </c>
      <c r="AK30" s="37">
        <v>2052248.84</v>
      </c>
      <c r="AL30" s="37">
        <v>2102303.11</v>
      </c>
      <c r="AM30" s="37">
        <v>2316652.02</v>
      </c>
      <c r="AN30" s="37">
        <v>2265737.34</v>
      </c>
      <c r="AO30" s="37">
        <v>2265638.5699999998</v>
      </c>
      <c r="AP30" s="37">
        <v>2275600.5</v>
      </c>
      <c r="AQ30" s="37">
        <v>2308678.77</v>
      </c>
      <c r="AR30" s="37">
        <v>21806482.300000001</v>
      </c>
      <c r="AS30" s="37">
        <v>15587474.640000001</v>
      </c>
      <c r="AT30" s="37">
        <v>0</v>
      </c>
      <c r="AU30" s="37">
        <v>37142.28</v>
      </c>
      <c r="AV30" s="37">
        <v>5412.16</v>
      </c>
      <c r="AW30" s="37">
        <v>0</v>
      </c>
      <c r="AX30" s="37">
        <v>0</v>
      </c>
      <c r="AY30" s="37">
        <v>0</v>
      </c>
      <c r="AZ30" s="37">
        <v>11716.59</v>
      </c>
      <c r="BA30" s="37">
        <v>0</v>
      </c>
      <c r="BB30" s="37">
        <v>0</v>
      </c>
      <c r="BC30" s="37">
        <v>0</v>
      </c>
      <c r="BD30" s="37">
        <v>54271.03</v>
      </c>
      <c r="BE30" s="37">
        <v>0</v>
      </c>
      <c r="BF30" s="37">
        <v>685207.77597687719</v>
      </c>
      <c r="BG30" s="37">
        <v>702867.50451704999</v>
      </c>
      <c r="BH30" s="37">
        <v>904109.28645872301</v>
      </c>
      <c r="BI30" s="37">
        <v>1079851.4330473503</v>
      </c>
      <c r="BJ30" s="37">
        <v>117282.05340149938</v>
      </c>
      <c r="BK30" s="37">
        <v>567925.72257537721</v>
      </c>
      <c r="BL30" s="37">
        <v>728367.50451704999</v>
      </c>
      <c r="BM30" s="37">
        <v>909209.28645872301</v>
      </c>
      <c r="BN30" s="37">
        <v>1079851.4330473503</v>
      </c>
      <c r="BO30" s="37">
        <v>0</v>
      </c>
      <c r="BP30" s="37">
        <v>6774672.0000000019</v>
      </c>
      <c r="BQ30" s="37">
        <v>0</v>
      </c>
      <c r="BR30" s="37">
        <v>0</v>
      </c>
      <c r="BS30" s="37">
        <v>140000</v>
      </c>
      <c r="BT30" s="37">
        <v>140000</v>
      </c>
      <c r="BU30" s="37">
        <v>0</v>
      </c>
      <c r="BV30" s="37">
        <v>0</v>
      </c>
      <c r="BW30" s="37">
        <v>0</v>
      </c>
      <c r="BX30" s="37">
        <v>0</v>
      </c>
      <c r="BY30" s="37">
        <v>0</v>
      </c>
      <c r="BZ30" s="37">
        <v>0</v>
      </c>
      <c r="CA30" s="37">
        <v>0</v>
      </c>
      <c r="CB30" s="37">
        <v>280000</v>
      </c>
      <c r="CC30" s="37">
        <v>0</v>
      </c>
      <c r="CD30" s="37">
        <v>0</v>
      </c>
      <c r="CE30" s="37">
        <v>0</v>
      </c>
      <c r="CF30" s="37">
        <v>0</v>
      </c>
      <c r="CG30" s="37">
        <v>0</v>
      </c>
      <c r="CH30" s="37">
        <v>0</v>
      </c>
      <c r="CI30" s="37">
        <v>0</v>
      </c>
      <c r="CJ30" s="37">
        <v>0</v>
      </c>
      <c r="CK30" s="37">
        <v>0</v>
      </c>
      <c r="CL30" s="37">
        <v>0</v>
      </c>
      <c r="CM30" s="37">
        <v>0</v>
      </c>
      <c r="CN30" s="37">
        <v>0</v>
      </c>
      <c r="CO30" s="37">
        <v>0</v>
      </c>
      <c r="CP30" s="37">
        <v>0</v>
      </c>
      <c r="CQ30" s="37">
        <v>35700</v>
      </c>
      <c r="CR30" s="37">
        <v>5100</v>
      </c>
      <c r="CS30" s="37">
        <v>0</v>
      </c>
      <c r="CT30" s="37">
        <v>0</v>
      </c>
      <c r="CU30" s="37">
        <v>0</v>
      </c>
      <c r="CV30" s="37">
        <v>10200</v>
      </c>
      <c r="CW30" s="37">
        <v>0</v>
      </c>
      <c r="CX30" s="37">
        <v>0</v>
      </c>
      <c r="CY30" s="37">
        <v>0</v>
      </c>
      <c r="CZ30" s="37">
        <v>51000</v>
      </c>
      <c r="DA30" s="37">
        <v>0</v>
      </c>
      <c r="DB30" s="37">
        <v>0</v>
      </c>
      <c r="DC30" s="37">
        <v>0</v>
      </c>
      <c r="DD30" s="37">
        <v>0</v>
      </c>
      <c r="DE30" s="37">
        <v>0</v>
      </c>
      <c r="DF30" s="37">
        <v>0</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37">
        <v>0</v>
      </c>
      <c r="DY30" s="37">
        <v>0</v>
      </c>
      <c r="DZ30" s="37">
        <v>0</v>
      </c>
      <c r="EA30" s="37">
        <v>0</v>
      </c>
      <c r="EB30" s="37">
        <v>0</v>
      </c>
      <c r="EC30" s="37">
        <v>0</v>
      </c>
      <c r="ED30" s="37">
        <v>0</v>
      </c>
      <c r="EE30" s="37">
        <v>0</v>
      </c>
      <c r="EF30" s="37">
        <v>0</v>
      </c>
      <c r="EG30" s="37">
        <v>0</v>
      </c>
      <c r="EH30" s="37">
        <v>0</v>
      </c>
      <c r="EI30" s="37">
        <v>0</v>
      </c>
      <c r="EJ30" s="37">
        <v>0</v>
      </c>
      <c r="EK30" s="161" t="s">
        <v>1463</v>
      </c>
      <c r="EL30" s="294" t="s">
        <v>1124</v>
      </c>
    </row>
    <row r="31" spans="1:142" ht="15" customHeight="1" x14ac:dyDescent="0.35">
      <c r="A31" s="34"/>
      <c r="B31" s="313">
        <v>8080</v>
      </c>
      <c r="C31" s="8" t="s">
        <v>1096</v>
      </c>
      <c r="D31" s="18">
        <v>1</v>
      </c>
      <c r="E31" s="155">
        <v>22749</v>
      </c>
      <c r="F31" s="36">
        <v>20627</v>
      </c>
      <c r="G31" s="37">
        <v>17115</v>
      </c>
      <c r="H31" s="37">
        <v>0</v>
      </c>
      <c r="I31" s="37">
        <v>76500</v>
      </c>
      <c r="J31" s="37">
        <v>0</v>
      </c>
      <c r="K31" s="37">
        <v>0</v>
      </c>
      <c r="L31" s="37">
        <v>0</v>
      </c>
      <c r="M31" s="37">
        <v>116364</v>
      </c>
      <c r="N31" s="37">
        <v>20627</v>
      </c>
      <c r="O31" s="37">
        <v>0</v>
      </c>
      <c r="P31" s="37">
        <v>0</v>
      </c>
      <c r="Q31" s="37">
        <v>107327.4</v>
      </c>
      <c r="R31" s="37">
        <v>26175</v>
      </c>
      <c r="S31" s="37">
        <v>715</v>
      </c>
      <c r="T31" s="37">
        <v>0</v>
      </c>
      <c r="U31" s="37">
        <v>0</v>
      </c>
      <c r="V31" s="37">
        <v>0</v>
      </c>
      <c r="W31" s="37">
        <v>15523.08</v>
      </c>
      <c r="X31" s="37">
        <v>0</v>
      </c>
      <c r="Y31" s="37">
        <v>0</v>
      </c>
      <c r="Z31" s="37">
        <v>0</v>
      </c>
      <c r="AA31" s="37">
        <v>123565.48</v>
      </c>
      <c r="AB31" s="37">
        <v>26175</v>
      </c>
      <c r="AC31" s="37">
        <v>12749.479999999981</v>
      </c>
      <c r="AD31" s="37">
        <v>0</v>
      </c>
      <c r="AE31" s="37">
        <v>0</v>
      </c>
      <c r="AF31" s="168">
        <v>0.02</v>
      </c>
      <c r="AG31" s="37">
        <v>7458680.21</v>
      </c>
      <c r="AH31" s="37">
        <v>73398.06</v>
      </c>
      <c r="AI31" s="37">
        <v>64462.02</v>
      </c>
      <c r="AJ31" s="37">
        <v>65751.259999999995</v>
      </c>
      <c r="AK31" s="37">
        <v>67066.28</v>
      </c>
      <c r="AL31" s="37">
        <v>68407.61</v>
      </c>
      <c r="AM31" s="37">
        <v>69775.759999999995</v>
      </c>
      <c r="AN31" s="37">
        <v>71171.28</v>
      </c>
      <c r="AO31" s="37">
        <v>72594.7</v>
      </c>
      <c r="AP31" s="37">
        <v>74046.600000000006</v>
      </c>
      <c r="AQ31" s="37">
        <v>75527.53</v>
      </c>
      <c r="AR31" s="37">
        <v>702201.10000000009</v>
      </c>
      <c r="AS31" s="37">
        <v>0</v>
      </c>
      <c r="AT31" s="37">
        <v>0</v>
      </c>
      <c r="AU31" s="37">
        <v>0</v>
      </c>
      <c r="AV31" s="37">
        <v>0</v>
      </c>
      <c r="AW31" s="37">
        <v>0</v>
      </c>
      <c r="AX31" s="37">
        <v>0</v>
      </c>
      <c r="AY31" s="37">
        <v>0</v>
      </c>
      <c r="AZ31" s="37">
        <v>0</v>
      </c>
      <c r="BA31" s="37">
        <v>0</v>
      </c>
      <c r="BB31" s="37">
        <v>0</v>
      </c>
      <c r="BC31" s="37">
        <v>0</v>
      </c>
      <c r="BD31" s="37">
        <v>0</v>
      </c>
      <c r="BE31" s="37">
        <v>0</v>
      </c>
      <c r="BF31" s="37">
        <v>0</v>
      </c>
      <c r="BG31" s="37">
        <v>0</v>
      </c>
      <c r="BH31" s="37">
        <v>0</v>
      </c>
      <c r="BI31" s="37">
        <v>0</v>
      </c>
      <c r="BJ31" s="37">
        <v>0</v>
      </c>
      <c r="BK31" s="37">
        <v>0</v>
      </c>
      <c r="BL31" s="37">
        <v>0</v>
      </c>
      <c r="BM31" s="37">
        <v>0</v>
      </c>
      <c r="BN31" s="37">
        <v>0</v>
      </c>
      <c r="BO31" s="37">
        <v>0</v>
      </c>
      <c r="BP31" s="37">
        <v>0</v>
      </c>
      <c r="BQ31" s="37">
        <v>0</v>
      </c>
      <c r="BR31" s="37">
        <v>0</v>
      </c>
      <c r="BS31" s="37">
        <v>0</v>
      </c>
      <c r="BT31" s="37">
        <v>0</v>
      </c>
      <c r="BU31" s="37">
        <v>0</v>
      </c>
      <c r="BV31" s="37">
        <v>0</v>
      </c>
      <c r="BW31" s="37">
        <v>0</v>
      </c>
      <c r="BX31" s="37">
        <v>0</v>
      </c>
      <c r="BY31" s="37">
        <v>0</v>
      </c>
      <c r="BZ31" s="37">
        <v>0</v>
      </c>
      <c r="CA31" s="37">
        <v>0</v>
      </c>
      <c r="CB31" s="37">
        <v>0</v>
      </c>
      <c r="CC31" s="37">
        <v>4616</v>
      </c>
      <c r="CD31" s="37">
        <v>10000</v>
      </c>
      <c r="CE31" s="37">
        <v>0</v>
      </c>
      <c r="CF31" s="37">
        <v>0</v>
      </c>
      <c r="CG31" s="37">
        <v>0</v>
      </c>
      <c r="CH31" s="37">
        <v>0</v>
      </c>
      <c r="CI31" s="37">
        <v>0</v>
      </c>
      <c r="CJ31" s="37">
        <v>0</v>
      </c>
      <c r="CK31" s="37">
        <v>0</v>
      </c>
      <c r="CL31" s="37">
        <v>0</v>
      </c>
      <c r="CM31" s="37">
        <v>0</v>
      </c>
      <c r="CN31" s="37">
        <v>10000</v>
      </c>
      <c r="CO31" s="37">
        <v>0</v>
      </c>
      <c r="CP31" s="37">
        <v>0</v>
      </c>
      <c r="CQ31" s="37">
        <v>0</v>
      </c>
      <c r="CR31" s="37">
        <v>0</v>
      </c>
      <c r="CS31" s="37">
        <v>0</v>
      </c>
      <c r="CT31" s="37">
        <v>0</v>
      </c>
      <c r="CU31" s="37">
        <v>0</v>
      </c>
      <c r="CV31" s="37">
        <v>0</v>
      </c>
      <c r="CW31" s="37">
        <v>0</v>
      </c>
      <c r="CX31" s="37">
        <v>0</v>
      </c>
      <c r="CY31" s="37">
        <v>0</v>
      </c>
      <c r="CZ31" s="37">
        <v>0</v>
      </c>
      <c r="DA31" s="37">
        <v>0</v>
      </c>
      <c r="DB31" s="37">
        <v>0</v>
      </c>
      <c r="DC31" s="37">
        <v>0</v>
      </c>
      <c r="DD31" s="37">
        <v>0</v>
      </c>
      <c r="DE31" s="37">
        <v>0</v>
      </c>
      <c r="DF31" s="37">
        <v>0</v>
      </c>
      <c r="DG31" s="37">
        <v>0</v>
      </c>
      <c r="DH31" s="37">
        <v>0</v>
      </c>
      <c r="DI31" s="37">
        <v>0</v>
      </c>
      <c r="DJ31" s="37">
        <v>0</v>
      </c>
      <c r="DK31" s="37">
        <v>0</v>
      </c>
      <c r="DL31" s="37">
        <v>0</v>
      </c>
      <c r="DM31" s="37">
        <v>0</v>
      </c>
      <c r="DN31" s="37">
        <v>0</v>
      </c>
      <c r="DO31" s="37">
        <v>0</v>
      </c>
      <c r="DP31" s="37">
        <v>0</v>
      </c>
      <c r="DQ31" s="37">
        <v>0</v>
      </c>
      <c r="DR31" s="37">
        <v>0</v>
      </c>
      <c r="DS31" s="37">
        <v>0</v>
      </c>
      <c r="DT31" s="37">
        <v>0</v>
      </c>
      <c r="DU31" s="37">
        <v>0</v>
      </c>
      <c r="DV31" s="37">
        <v>0</v>
      </c>
      <c r="DW31" s="37">
        <v>0</v>
      </c>
      <c r="DX31" s="37">
        <v>0</v>
      </c>
      <c r="DY31" s="37">
        <v>0</v>
      </c>
      <c r="DZ31" s="37">
        <v>0</v>
      </c>
      <c r="EA31" s="37">
        <v>0</v>
      </c>
      <c r="EB31" s="37">
        <v>0</v>
      </c>
      <c r="EC31" s="37">
        <v>0</v>
      </c>
      <c r="ED31" s="37">
        <v>0</v>
      </c>
      <c r="EE31" s="37">
        <v>0</v>
      </c>
      <c r="EF31" s="37">
        <v>0</v>
      </c>
      <c r="EG31" s="37">
        <v>0</v>
      </c>
      <c r="EH31" s="37">
        <v>0</v>
      </c>
      <c r="EI31" s="37">
        <v>0</v>
      </c>
      <c r="EJ31" s="37">
        <v>0</v>
      </c>
      <c r="EK31" s="161" t="s">
        <v>1337</v>
      </c>
      <c r="EL31" s="294" t="s">
        <v>1124</v>
      </c>
    </row>
    <row r="32" spans="1:142" ht="15" customHeight="1" x14ac:dyDescent="0.35">
      <c r="A32" s="34"/>
      <c r="B32" s="313">
        <v>50100</v>
      </c>
      <c r="C32" s="8" t="s">
        <v>495</v>
      </c>
      <c r="D32" s="18">
        <v>17</v>
      </c>
      <c r="E32" s="155">
        <v>284379</v>
      </c>
      <c r="F32" s="36">
        <v>5707</v>
      </c>
      <c r="G32" s="37">
        <v>2960</v>
      </c>
      <c r="H32" s="37">
        <v>7302</v>
      </c>
      <c r="I32" s="37">
        <v>16000</v>
      </c>
      <c r="J32" s="37">
        <v>2634</v>
      </c>
      <c r="K32" s="37">
        <v>42656.85</v>
      </c>
      <c r="L32" s="37">
        <v>856.05</v>
      </c>
      <c r="M32" s="37">
        <v>345995.85</v>
      </c>
      <c r="N32" s="37">
        <v>16499.05</v>
      </c>
      <c r="O32" s="37">
        <v>237143</v>
      </c>
      <c r="P32" s="37">
        <v>0</v>
      </c>
      <c r="Q32" s="37">
        <v>0</v>
      </c>
      <c r="R32" s="37">
        <v>22231</v>
      </c>
      <c r="S32" s="37">
        <v>34520</v>
      </c>
      <c r="T32" s="37">
        <v>0</v>
      </c>
      <c r="U32" s="37">
        <v>0</v>
      </c>
      <c r="V32" s="37">
        <v>0</v>
      </c>
      <c r="W32" s="37">
        <v>68601</v>
      </c>
      <c r="X32" s="37">
        <v>0</v>
      </c>
      <c r="Y32" s="37">
        <v>0</v>
      </c>
      <c r="Z32" s="37">
        <v>0</v>
      </c>
      <c r="AA32" s="37">
        <v>340264</v>
      </c>
      <c r="AB32" s="37">
        <v>22231</v>
      </c>
      <c r="AC32" s="37">
        <v>0.1000000000349246</v>
      </c>
      <c r="AD32" s="37">
        <v>0</v>
      </c>
      <c r="AE32" s="37">
        <v>0</v>
      </c>
      <c r="AF32" s="168">
        <v>0.02</v>
      </c>
      <c r="AG32" s="37">
        <v>24280457.190000001</v>
      </c>
      <c r="AH32" s="37">
        <v>172307.21</v>
      </c>
      <c r="AI32" s="37">
        <v>186157.36</v>
      </c>
      <c r="AJ32" s="37">
        <v>179268.42</v>
      </c>
      <c r="AK32" s="37">
        <v>202337.57</v>
      </c>
      <c r="AL32" s="37">
        <v>186510.87</v>
      </c>
      <c r="AM32" s="37">
        <v>190241.08</v>
      </c>
      <c r="AN32" s="37">
        <v>194045.91</v>
      </c>
      <c r="AO32" s="37">
        <v>197926.82</v>
      </c>
      <c r="AP32" s="37">
        <v>201885.36</v>
      </c>
      <c r="AQ32" s="37">
        <v>205923.07</v>
      </c>
      <c r="AR32" s="37">
        <v>1916603.67</v>
      </c>
      <c r="AS32" s="37">
        <v>0</v>
      </c>
      <c r="AT32" s="37">
        <v>0</v>
      </c>
      <c r="AU32" s="37">
        <v>0</v>
      </c>
      <c r="AV32" s="37">
        <v>0</v>
      </c>
      <c r="AW32" s="37">
        <v>0</v>
      </c>
      <c r="AX32" s="37">
        <v>0</v>
      </c>
      <c r="AY32" s="37">
        <v>0</v>
      </c>
      <c r="AZ32" s="37">
        <v>0</v>
      </c>
      <c r="BA32" s="37">
        <v>0</v>
      </c>
      <c r="BB32" s="37">
        <v>0</v>
      </c>
      <c r="BC32" s="37">
        <v>0</v>
      </c>
      <c r="BD32" s="37">
        <v>0</v>
      </c>
      <c r="BE32" s="37">
        <v>0</v>
      </c>
      <c r="BF32" s="37">
        <v>50000</v>
      </c>
      <c r="BG32" s="37">
        <v>0</v>
      </c>
      <c r="BH32" s="37">
        <v>0</v>
      </c>
      <c r="BI32" s="37">
        <v>0</v>
      </c>
      <c r="BJ32" s="37">
        <v>0</v>
      </c>
      <c r="BK32" s="37">
        <v>0</v>
      </c>
      <c r="BL32" s="37">
        <v>0</v>
      </c>
      <c r="BM32" s="37">
        <v>0</v>
      </c>
      <c r="BN32" s="37">
        <v>0</v>
      </c>
      <c r="BO32" s="37">
        <v>0</v>
      </c>
      <c r="BP32" s="37">
        <v>50000</v>
      </c>
      <c r="BQ32" s="37">
        <v>0</v>
      </c>
      <c r="BR32" s="37">
        <v>0</v>
      </c>
      <c r="BS32" s="37">
        <v>0</v>
      </c>
      <c r="BT32" s="37">
        <v>0</v>
      </c>
      <c r="BU32" s="37">
        <v>0</v>
      </c>
      <c r="BV32" s="37">
        <v>0</v>
      </c>
      <c r="BW32" s="37">
        <v>0</v>
      </c>
      <c r="BX32" s="37">
        <v>0</v>
      </c>
      <c r="BY32" s="37">
        <v>0</v>
      </c>
      <c r="BZ32" s="37">
        <v>0</v>
      </c>
      <c r="CA32" s="37">
        <v>0</v>
      </c>
      <c r="CB32" s="37">
        <v>0</v>
      </c>
      <c r="CC32" s="37">
        <v>0</v>
      </c>
      <c r="CD32" s="37">
        <v>0</v>
      </c>
      <c r="CE32" s="37">
        <v>10000</v>
      </c>
      <c r="CF32" s="37">
        <v>0</v>
      </c>
      <c r="CG32" s="37">
        <v>18000</v>
      </c>
      <c r="CH32" s="37">
        <v>0</v>
      </c>
      <c r="CI32" s="37">
        <v>0</v>
      </c>
      <c r="CJ32" s="37">
        <v>0</v>
      </c>
      <c r="CK32" s="37">
        <v>0</v>
      </c>
      <c r="CL32" s="37">
        <v>0</v>
      </c>
      <c r="CM32" s="37">
        <v>0</v>
      </c>
      <c r="CN32" s="37">
        <v>28000</v>
      </c>
      <c r="CO32" s="37">
        <v>0</v>
      </c>
      <c r="CP32" s="37">
        <v>0</v>
      </c>
      <c r="CQ32" s="37">
        <v>0</v>
      </c>
      <c r="CR32" s="37">
        <v>0</v>
      </c>
      <c r="CS32" s="37">
        <v>0</v>
      </c>
      <c r="CT32" s="37">
        <v>0</v>
      </c>
      <c r="CU32" s="37">
        <v>0</v>
      </c>
      <c r="CV32" s="37">
        <v>0</v>
      </c>
      <c r="CW32" s="37">
        <v>0</v>
      </c>
      <c r="CX32" s="37">
        <v>0</v>
      </c>
      <c r="CY32" s="37">
        <v>0</v>
      </c>
      <c r="CZ32" s="37">
        <v>0</v>
      </c>
      <c r="DA32" s="37">
        <v>0</v>
      </c>
      <c r="DB32" s="37">
        <v>0</v>
      </c>
      <c r="DC32" s="37">
        <v>0</v>
      </c>
      <c r="DD32" s="37">
        <v>0</v>
      </c>
      <c r="DE32" s="37">
        <v>0</v>
      </c>
      <c r="DF32" s="37">
        <v>0</v>
      </c>
      <c r="DG32" s="37">
        <v>0</v>
      </c>
      <c r="DH32" s="37">
        <v>0</v>
      </c>
      <c r="DI32" s="37">
        <v>0</v>
      </c>
      <c r="DJ32" s="37">
        <v>0</v>
      </c>
      <c r="DK32" s="37">
        <v>0</v>
      </c>
      <c r="DL32" s="37">
        <v>0</v>
      </c>
      <c r="DM32" s="37">
        <v>0</v>
      </c>
      <c r="DN32" s="37">
        <v>0</v>
      </c>
      <c r="DO32" s="37">
        <v>0</v>
      </c>
      <c r="DP32" s="37">
        <v>0</v>
      </c>
      <c r="DQ32" s="37">
        <v>0</v>
      </c>
      <c r="DR32" s="37">
        <v>0</v>
      </c>
      <c r="DS32" s="37">
        <v>0</v>
      </c>
      <c r="DT32" s="37">
        <v>0</v>
      </c>
      <c r="DU32" s="37">
        <v>0</v>
      </c>
      <c r="DV32" s="37">
        <v>0</v>
      </c>
      <c r="DW32" s="37">
        <v>0</v>
      </c>
      <c r="DX32" s="37">
        <v>0</v>
      </c>
      <c r="DY32" s="37">
        <v>0</v>
      </c>
      <c r="DZ32" s="37">
        <v>0</v>
      </c>
      <c r="EA32" s="37">
        <v>0</v>
      </c>
      <c r="EB32" s="37">
        <v>0</v>
      </c>
      <c r="EC32" s="37">
        <v>0</v>
      </c>
      <c r="ED32" s="37">
        <v>0</v>
      </c>
      <c r="EE32" s="37">
        <v>0</v>
      </c>
      <c r="EF32" s="37">
        <v>0</v>
      </c>
      <c r="EG32" s="37">
        <v>0</v>
      </c>
      <c r="EH32" s="37">
        <v>0</v>
      </c>
      <c r="EI32" s="37">
        <v>0</v>
      </c>
      <c r="EJ32" s="37">
        <v>0</v>
      </c>
      <c r="EK32" s="161" t="s">
        <v>1393</v>
      </c>
      <c r="EL32" s="294" t="s">
        <v>1124</v>
      </c>
    </row>
    <row r="33" spans="1:142" ht="15" customHeight="1" x14ac:dyDescent="0.35">
      <c r="A33" s="34"/>
      <c r="B33" s="313">
        <v>66112</v>
      </c>
      <c r="C33" s="8" t="s">
        <v>659</v>
      </c>
      <c r="D33" s="18">
        <v>6</v>
      </c>
      <c r="E33" s="155">
        <v>798623.84013338177</v>
      </c>
      <c r="F33" s="36">
        <v>632849.7956832319</v>
      </c>
      <c r="G33" s="37">
        <v>54484.188652359029</v>
      </c>
      <c r="H33" s="37">
        <v>45461.652919007</v>
      </c>
      <c r="I33" s="37">
        <v>219468.03519209428</v>
      </c>
      <c r="J33" s="37">
        <v>89890.809712129834</v>
      </c>
      <c r="K33" s="37">
        <v>117982.57968450595</v>
      </c>
      <c r="L33" s="37">
        <v>93221.677599665127</v>
      </c>
      <c r="M33" s="37">
        <v>1190558.6436623409</v>
      </c>
      <c r="N33" s="37">
        <v>861423.93591403379</v>
      </c>
      <c r="O33" s="37">
        <v>691261.52179256477</v>
      </c>
      <c r="P33" s="37">
        <v>18586.737448681994</v>
      </c>
      <c r="Q33" s="37">
        <v>248066.28</v>
      </c>
      <c r="R33" s="37">
        <v>0</v>
      </c>
      <c r="S33" s="37">
        <v>40335.050397241394</v>
      </c>
      <c r="T33" s="37">
        <v>81869.097084646375</v>
      </c>
      <c r="U33" s="37">
        <v>60748.327212663018</v>
      </c>
      <c r="V33" s="37">
        <v>0</v>
      </c>
      <c r="W33" s="37">
        <v>634353.02815532149</v>
      </c>
      <c r="X33" s="37">
        <v>574618.66243641952</v>
      </c>
      <c r="Y33" s="37">
        <v>0</v>
      </c>
      <c r="Z33" s="37">
        <v>0</v>
      </c>
      <c r="AA33" s="37">
        <v>1674764.2075577907</v>
      </c>
      <c r="AB33" s="37">
        <v>675074.49696974782</v>
      </c>
      <c r="AC33" s="37">
        <v>297856</v>
      </c>
      <c r="AD33" s="37">
        <v>14347.476061291029</v>
      </c>
      <c r="AE33" s="37">
        <v>166001.57270795089</v>
      </c>
      <c r="AF33" s="168">
        <v>0.02</v>
      </c>
      <c r="AG33" s="37">
        <v>186589177.38</v>
      </c>
      <c r="AH33" s="37">
        <v>1918343.73</v>
      </c>
      <c r="AI33" s="37">
        <v>1848913.08</v>
      </c>
      <c r="AJ33" s="37">
        <v>1840866.32</v>
      </c>
      <c r="AK33" s="37">
        <v>1927049.81</v>
      </c>
      <c r="AL33" s="37">
        <v>1976121.04</v>
      </c>
      <c r="AM33" s="37">
        <v>2129677.81</v>
      </c>
      <c r="AN33" s="37">
        <v>2182955.1800000002</v>
      </c>
      <c r="AO33" s="37">
        <v>2174354.2599999998</v>
      </c>
      <c r="AP33" s="37">
        <v>2263353.54</v>
      </c>
      <c r="AQ33" s="37">
        <v>2309415.09</v>
      </c>
      <c r="AR33" s="37">
        <v>20571049.860000003</v>
      </c>
      <c r="AS33" s="37">
        <v>8859877.9000000004</v>
      </c>
      <c r="AT33" s="37">
        <v>1366270.85</v>
      </c>
      <c r="AU33" s="37">
        <v>1727925.86</v>
      </c>
      <c r="AV33" s="37">
        <v>2755259.58</v>
      </c>
      <c r="AW33" s="37">
        <v>2939343.95</v>
      </c>
      <c r="AX33" s="37">
        <v>1637028.17</v>
      </c>
      <c r="AY33" s="37">
        <v>3164696.35</v>
      </c>
      <c r="AZ33" s="37">
        <v>3090733.36</v>
      </c>
      <c r="BA33" s="37">
        <v>3102304.01</v>
      </c>
      <c r="BB33" s="37">
        <v>3246033.73</v>
      </c>
      <c r="BC33" s="37">
        <v>3156405.92</v>
      </c>
      <c r="BD33" s="37">
        <v>26186001.780000001</v>
      </c>
      <c r="BE33" s="37">
        <v>28776.471872930299</v>
      </c>
      <c r="BF33" s="37">
        <v>156303.93132396525</v>
      </c>
      <c r="BG33" s="37">
        <v>176952.64185578001</v>
      </c>
      <c r="BH33" s="37">
        <v>214168.04359047458</v>
      </c>
      <c r="BI33" s="37">
        <v>106815.32888130475</v>
      </c>
      <c r="BJ33" s="37">
        <v>98765.25353441562</v>
      </c>
      <c r="BK33" s="37">
        <v>98765.25353441562</v>
      </c>
      <c r="BL33" s="37">
        <v>98765.25353441562</v>
      </c>
      <c r="BM33" s="37">
        <v>17516.556356079032</v>
      </c>
      <c r="BN33" s="37">
        <v>0</v>
      </c>
      <c r="BO33" s="37">
        <v>0</v>
      </c>
      <c r="BP33" s="37">
        <v>968052.26261085062</v>
      </c>
      <c r="BQ33" s="37">
        <v>462323.97914687824</v>
      </c>
      <c r="BR33" s="37">
        <v>638498.34961822815</v>
      </c>
      <c r="BS33" s="37">
        <v>819020.00300829357</v>
      </c>
      <c r="BT33" s="37">
        <v>729708.3858166741</v>
      </c>
      <c r="BU33" s="37">
        <v>802634.29095690092</v>
      </c>
      <c r="BV33" s="37">
        <v>707439.60248773848</v>
      </c>
      <c r="BW33" s="37">
        <v>714256.69161061035</v>
      </c>
      <c r="BX33" s="37">
        <v>831629.8471588922</v>
      </c>
      <c r="BY33" s="37">
        <v>1058493.1983967803</v>
      </c>
      <c r="BZ33" s="37">
        <v>907997.54928512755</v>
      </c>
      <c r="CA33" s="37">
        <v>1034781.1410142347</v>
      </c>
      <c r="CB33" s="37">
        <v>8244459.0593534801</v>
      </c>
      <c r="CC33" s="37">
        <v>154957.41044521081</v>
      </c>
      <c r="CD33" s="37">
        <v>191482.63108661689</v>
      </c>
      <c r="CE33" s="37">
        <v>383899.10806153389</v>
      </c>
      <c r="CF33" s="37">
        <v>250532.05524711806</v>
      </c>
      <c r="CG33" s="37">
        <v>47984.563048735406</v>
      </c>
      <c r="CH33" s="37">
        <v>53079.547445500684</v>
      </c>
      <c r="CI33" s="37">
        <v>55627.039643883327</v>
      </c>
      <c r="CJ33" s="37">
        <v>55627.039643883327</v>
      </c>
      <c r="CK33" s="37">
        <v>55627.039643883327</v>
      </c>
      <c r="CL33" s="37">
        <v>55627.039643883327</v>
      </c>
      <c r="CM33" s="37">
        <v>55627.039643883327</v>
      </c>
      <c r="CN33" s="37">
        <v>1205113.1031089216</v>
      </c>
      <c r="CO33" s="37">
        <v>136978.65550703453</v>
      </c>
      <c r="CP33" s="37">
        <v>74748.516084943418</v>
      </c>
      <c r="CQ33" s="37">
        <v>190272.19229719936</v>
      </c>
      <c r="CR33" s="37">
        <v>597704.63865272689</v>
      </c>
      <c r="CS33" s="37">
        <v>70106.985299490247</v>
      </c>
      <c r="CT33" s="37">
        <v>42797.868932828351</v>
      </c>
      <c r="CU33" s="37">
        <v>59101.819002477248</v>
      </c>
      <c r="CV33" s="37">
        <v>40759.875174122237</v>
      </c>
      <c r="CW33" s="37">
        <v>0</v>
      </c>
      <c r="CX33" s="37">
        <v>0</v>
      </c>
      <c r="CY33" s="37">
        <v>0</v>
      </c>
      <c r="CZ33" s="37">
        <v>1075491.8954437878</v>
      </c>
      <c r="DA33" s="37">
        <v>358600.28679753072</v>
      </c>
      <c r="DB33" s="37">
        <v>154051.94822059499</v>
      </c>
      <c r="DC33" s="37">
        <v>154464.64195673299</v>
      </c>
      <c r="DD33" s="37">
        <v>665265.56853943446</v>
      </c>
      <c r="DE33" s="37">
        <v>1185261.5051726974</v>
      </c>
      <c r="DF33" s="37">
        <v>88917.667692347663</v>
      </c>
      <c r="DG33" s="37">
        <v>166789.40921250821</v>
      </c>
      <c r="DH33" s="37">
        <v>65205.610309802054</v>
      </c>
      <c r="DI33" s="37">
        <v>54740.512358846165</v>
      </c>
      <c r="DJ33" s="37">
        <v>123599.22648112892</v>
      </c>
      <c r="DK33" s="37">
        <v>0</v>
      </c>
      <c r="DL33" s="37">
        <v>2658296.0899440926</v>
      </c>
      <c r="DM33" s="37">
        <v>33076.638703800199</v>
      </c>
      <c r="DN33" s="37">
        <v>28893.656514055903</v>
      </c>
      <c r="DO33" s="37">
        <v>983.33198857569903</v>
      </c>
      <c r="DP33" s="37">
        <v>0</v>
      </c>
      <c r="DQ33" s="37">
        <v>0</v>
      </c>
      <c r="DR33" s="37">
        <v>0</v>
      </c>
      <c r="DS33" s="37">
        <v>0</v>
      </c>
      <c r="DT33" s="37">
        <v>0</v>
      </c>
      <c r="DU33" s="37">
        <v>0</v>
      </c>
      <c r="DV33" s="37">
        <v>0</v>
      </c>
      <c r="DW33" s="37">
        <v>0</v>
      </c>
      <c r="DX33" s="37">
        <v>29876.988502631601</v>
      </c>
      <c r="DY33" s="37">
        <v>0</v>
      </c>
      <c r="DZ33" s="37">
        <v>0</v>
      </c>
      <c r="EA33" s="37">
        <v>0</v>
      </c>
      <c r="EB33" s="37">
        <v>0</v>
      </c>
      <c r="EC33" s="37">
        <v>0</v>
      </c>
      <c r="ED33" s="37">
        <v>0</v>
      </c>
      <c r="EE33" s="37">
        <v>0</v>
      </c>
      <c r="EF33" s="37">
        <v>0</v>
      </c>
      <c r="EG33" s="37">
        <v>0</v>
      </c>
      <c r="EH33" s="37">
        <v>0</v>
      </c>
      <c r="EI33" s="37">
        <v>0</v>
      </c>
      <c r="EJ33" s="37">
        <v>0</v>
      </c>
      <c r="EK33" s="161" t="s">
        <v>1435</v>
      </c>
      <c r="EL33" s="294" t="s">
        <v>1124</v>
      </c>
    </row>
    <row r="34" spans="1:142" ht="15" customHeight="1" x14ac:dyDescent="0.35">
      <c r="A34" s="34"/>
      <c r="B34" s="313">
        <v>98035</v>
      </c>
      <c r="C34" s="8" t="s">
        <v>1014</v>
      </c>
      <c r="D34" s="18">
        <v>9</v>
      </c>
      <c r="E34" s="155">
        <v>24298</v>
      </c>
      <c r="F34" s="36">
        <v>14239</v>
      </c>
      <c r="G34" s="37">
        <v>0</v>
      </c>
      <c r="H34" s="37">
        <v>0</v>
      </c>
      <c r="I34" s="37">
        <v>0</v>
      </c>
      <c r="J34" s="37">
        <v>0</v>
      </c>
      <c r="K34" s="37">
        <v>3644.7</v>
      </c>
      <c r="L34" s="37">
        <v>2135.85</v>
      </c>
      <c r="M34" s="37">
        <v>27942.7</v>
      </c>
      <c r="N34" s="37">
        <v>16374.85</v>
      </c>
      <c r="O34" s="37">
        <v>0</v>
      </c>
      <c r="P34" s="37">
        <v>0</v>
      </c>
      <c r="Q34" s="37">
        <v>4480</v>
      </c>
      <c r="R34" s="37">
        <v>5400</v>
      </c>
      <c r="S34" s="37">
        <v>0</v>
      </c>
      <c r="T34" s="37">
        <v>0</v>
      </c>
      <c r="U34" s="37">
        <v>4568</v>
      </c>
      <c r="V34" s="37">
        <v>0</v>
      </c>
      <c r="W34" s="37">
        <v>18894.7</v>
      </c>
      <c r="X34" s="37">
        <v>10974.85</v>
      </c>
      <c r="Y34" s="37">
        <v>0</v>
      </c>
      <c r="Z34" s="37">
        <v>0</v>
      </c>
      <c r="AA34" s="37">
        <v>27942.7</v>
      </c>
      <c r="AB34" s="37">
        <v>16374.85</v>
      </c>
      <c r="AC34" s="37">
        <v>0</v>
      </c>
      <c r="AD34" s="37">
        <v>0</v>
      </c>
      <c r="AE34" s="37">
        <v>0</v>
      </c>
      <c r="AF34" s="168">
        <v>0.02</v>
      </c>
      <c r="AG34" s="37">
        <v>4162781.95</v>
      </c>
      <c r="AH34" s="37">
        <v>40295.879999999997</v>
      </c>
      <c r="AI34" s="37">
        <v>41101.800000000003</v>
      </c>
      <c r="AJ34" s="37">
        <v>41923.839999999997</v>
      </c>
      <c r="AK34" s="37">
        <v>42762.31</v>
      </c>
      <c r="AL34" s="37">
        <v>43617.56</v>
      </c>
      <c r="AM34" s="37">
        <v>44489.91</v>
      </c>
      <c r="AN34" s="37">
        <v>45379.71</v>
      </c>
      <c r="AO34" s="37">
        <v>46287.3</v>
      </c>
      <c r="AP34" s="37">
        <v>47213.05</v>
      </c>
      <c r="AQ34" s="37">
        <v>48157.31</v>
      </c>
      <c r="AR34" s="37">
        <v>441228.67</v>
      </c>
      <c r="AS34" s="37">
        <v>0</v>
      </c>
      <c r="AT34" s="37">
        <v>0</v>
      </c>
      <c r="AU34" s="37">
        <v>0</v>
      </c>
      <c r="AV34" s="37">
        <v>0</v>
      </c>
      <c r="AW34" s="37">
        <v>0</v>
      </c>
      <c r="AX34" s="37">
        <v>0</v>
      </c>
      <c r="AY34" s="37">
        <v>0</v>
      </c>
      <c r="AZ34" s="37">
        <v>0</v>
      </c>
      <c r="BA34" s="37">
        <v>0</v>
      </c>
      <c r="BB34" s="37">
        <v>0</v>
      </c>
      <c r="BC34" s="37">
        <v>0</v>
      </c>
      <c r="BD34" s="37">
        <v>0</v>
      </c>
      <c r="BE34" s="37">
        <v>2305</v>
      </c>
      <c r="BF34" s="37">
        <v>50000</v>
      </c>
      <c r="BG34" s="37">
        <v>16942</v>
      </c>
      <c r="BH34" s="37">
        <v>44558</v>
      </c>
      <c r="BI34" s="37">
        <v>0</v>
      </c>
      <c r="BJ34" s="37">
        <v>5196.3721366650707</v>
      </c>
      <c r="BK34" s="37">
        <v>25162.872876919955</v>
      </c>
      <c r="BL34" s="37">
        <v>32723.434576816413</v>
      </c>
      <c r="BM34" s="37">
        <v>40283.996276712853</v>
      </c>
      <c r="BN34" s="37">
        <v>47844.574132885718</v>
      </c>
      <c r="BO34" s="37">
        <v>0</v>
      </c>
      <c r="BP34" s="37">
        <v>262711.25</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37">
        <v>0</v>
      </c>
      <c r="DY34" s="37">
        <v>0</v>
      </c>
      <c r="DZ34" s="37">
        <v>0</v>
      </c>
      <c r="EA34" s="37">
        <v>0</v>
      </c>
      <c r="EB34" s="37">
        <v>0</v>
      </c>
      <c r="EC34" s="37">
        <v>0</v>
      </c>
      <c r="ED34" s="37">
        <v>0</v>
      </c>
      <c r="EE34" s="37">
        <v>0</v>
      </c>
      <c r="EF34" s="37">
        <v>0</v>
      </c>
      <c r="EG34" s="37">
        <v>0</v>
      </c>
      <c r="EH34" s="37">
        <v>0</v>
      </c>
      <c r="EI34" s="37">
        <v>0</v>
      </c>
      <c r="EJ34" s="37">
        <v>0</v>
      </c>
      <c r="EK34" s="161" t="s">
        <v>1466</v>
      </c>
      <c r="EL34" s="294" t="s">
        <v>1124</v>
      </c>
    </row>
    <row r="35" spans="1:142" ht="15" customHeight="1" x14ac:dyDescent="0.35">
      <c r="A35" s="34"/>
      <c r="B35" s="313">
        <v>15065</v>
      </c>
      <c r="C35" s="8" t="s">
        <v>83</v>
      </c>
      <c r="D35" s="18">
        <v>3</v>
      </c>
      <c r="E35" s="155">
        <v>100757</v>
      </c>
      <c r="F35" s="36">
        <v>0</v>
      </c>
      <c r="G35" s="37">
        <v>0</v>
      </c>
      <c r="H35" s="37">
        <v>0</v>
      </c>
      <c r="I35" s="37">
        <v>0</v>
      </c>
      <c r="J35" s="37">
        <v>0</v>
      </c>
      <c r="K35" s="37">
        <v>15113.55</v>
      </c>
      <c r="L35" s="37">
        <v>0</v>
      </c>
      <c r="M35" s="37">
        <v>115870.55</v>
      </c>
      <c r="N35" s="37">
        <v>0</v>
      </c>
      <c r="O35" s="37">
        <v>0</v>
      </c>
      <c r="P35" s="37">
        <v>0</v>
      </c>
      <c r="Q35" s="37">
        <v>51629</v>
      </c>
      <c r="R35" s="37">
        <v>0</v>
      </c>
      <c r="S35" s="37">
        <v>0</v>
      </c>
      <c r="T35" s="37">
        <v>0</v>
      </c>
      <c r="U35" s="37">
        <v>0</v>
      </c>
      <c r="V35" s="37">
        <v>0</v>
      </c>
      <c r="W35" s="37">
        <v>64241.55</v>
      </c>
      <c r="X35" s="37">
        <v>0</v>
      </c>
      <c r="Y35" s="37">
        <v>0</v>
      </c>
      <c r="Z35" s="37">
        <v>0</v>
      </c>
      <c r="AA35" s="37">
        <v>115870.55</v>
      </c>
      <c r="AB35" s="37">
        <v>0</v>
      </c>
      <c r="AC35" s="37">
        <v>0</v>
      </c>
      <c r="AD35" s="37">
        <v>0</v>
      </c>
      <c r="AE35" s="37">
        <v>0</v>
      </c>
      <c r="AF35" s="168">
        <v>0.02</v>
      </c>
      <c r="AG35" s="37">
        <v>13950900.93</v>
      </c>
      <c r="AH35" s="37">
        <v>128046.19</v>
      </c>
      <c r="AI35" s="37">
        <v>130076.51</v>
      </c>
      <c r="AJ35" s="37">
        <v>132678.04</v>
      </c>
      <c r="AK35" s="37">
        <v>135331.6</v>
      </c>
      <c r="AL35" s="37">
        <v>138038.23000000001</v>
      </c>
      <c r="AM35" s="37">
        <v>140799</v>
      </c>
      <c r="AN35" s="37">
        <v>143614.98000000001</v>
      </c>
      <c r="AO35" s="37">
        <v>146487.28</v>
      </c>
      <c r="AP35" s="37">
        <v>149417.01999999999</v>
      </c>
      <c r="AQ35" s="37">
        <v>152405.35999999999</v>
      </c>
      <c r="AR35" s="37">
        <v>1396894.21</v>
      </c>
      <c r="AS35" s="37">
        <v>0</v>
      </c>
      <c r="AT35" s="37">
        <v>0</v>
      </c>
      <c r="AU35" s="37">
        <v>0</v>
      </c>
      <c r="AV35" s="37">
        <v>0</v>
      </c>
      <c r="AW35" s="37">
        <v>0</v>
      </c>
      <c r="AX35" s="37">
        <v>0</v>
      </c>
      <c r="AY35" s="37">
        <v>0</v>
      </c>
      <c r="AZ35" s="37">
        <v>0</v>
      </c>
      <c r="BA35" s="37">
        <v>0</v>
      </c>
      <c r="BB35" s="37">
        <v>0</v>
      </c>
      <c r="BC35" s="37">
        <v>0</v>
      </c>
      <c r="BD35" s="37">
        <v>0</v>
      </c>
      <c r="BE35" s="37">
        <v>10906</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D35" s="37">
        <v>0</v>
      </c>
      <c r="DE35" s="37">
        <v>0</v>
      </c>
      <c r="DF35" s="37">
        <v>0</v>
      </c>
      <c r="DG35" s="37">
        <v>0</v>
      </c>
      <c r="DH35" s="37">
        <v>0</v>
      </c>
      <c r="DI35" s="37">
        <v>0</v>
      </c>
      <c r="DJ35" s="37">
        <v>0</v>
      </c>
      <c r="DK35" s="37">
        <v>0</v>
      </c>
      <c r="DL35" s="37">
        <v>0</v>
      </c>
      <c r="DM35" s="37">
        <v>0</v>
      </c>
      <c r="DN35" s="37">
        <v>0</v>
      </c>
      <c r="DO35" s="37">
        <v>0</v>
      </c>
      <c r="DP35" s="37">
        <v>0</v>
      </c>
      <c r="DQ35" s="37">
        <v>0</v>
      </c>
      <c r="DR35" s="37">
        <v>0</v>
      </c>
      <c r="DS35" s="37">
        <v>0</v>
      </c>
      <c r="DT35" s="37">
        <v>0</v>
      </c>
      <c r="DU35" s="37">
        <v>0</v>
      </c>
      <c r="DV35" s="37">
        <v>0</v>
      </c>
      <c r="DW35" s="37">
        <v>0</v>
      </c>
      <c r="DX35" s="37">
        <v>0</v>
      </c>
      <c r="DY35" s="37">
        <v>0</v>
      </c>
      <c r="DZ35" s="37">
        <v>0</v>
      </c>
      <c r="EA35" s="37">
        <v>0</v>
      </c>
      <c r="EB35" s="37">
        <v>0</v>
      </c>
      <c r="EC35" s="37">
        <v>0</v>
      </c>
      <c r="ED35" s="37">
        <v>0</v>
      </c>
      <c r="EE35" s="37">
        <v>0</v>
      </c>
      <c r="EF35" s="37">
        <v>0</v>
      </c>
      <c r="EG35" s="37">
        <v>0</v>
      </c>
      <c r="EH35" s="37">
        <v>0</v>
      </c>
      <c r="EI35" s="37">
        <v>0</v>
      </c>
      <c r="EJ35" s="37">
        <v>0</v>
      </c>
      <c r="EK35" s="161" t="s">
        <v>1397</v>
      </c>
      <c r="EL35" s="294" t="s">
        <v>1124</v>
      </c>
    </row>
    <row r="36" spans="1:142" ht="15" customHeight="1" x14ac:dyDescent="0.35">
      <c r="A36" s="34"/>
      <c r="B36" s="313">
        <v>16013</v>
      </c>
      <c r="C36" s="8" t="s">
        <v>85</v>
      </c>
      <c r="D36" s="18">
        <v>3</v>
      </c>
      <c r="E36" s="155">
        <v>348917</v>
      </c>
      <c r="F36" s="36">
        <v>334935</v>
      </c>
      <c r="G36" s="37">
        <v>124450</v>
      </c>
      <c r="H36" s="37">
        <v>122917</v>
      </c>
      <c r="I36" s="37">
        <v>285975</v>
      </c>
      <c r="J36" s="37">
        <v>249349</v>
      </c>
      <c r="K36" s="37">
        <v>112907</v>
      </c>
      <c r="L36" s="37">
        <v>93611</v>
      </c>
      <c r="M36" s="37">
        <v>872249</v>
      </c>
      <c r="N36" s="37">
        <v>800812</v>
      </c>
      <c r="O36" s="37">
        <v>0</v>
      </c>
      <c r="P36" s="37">
        <v>0</v>
      </c>
      <c r="Q36" s="37">
        <v>1219264</v>
      </c>
      <c r="R36" s="37">
        <v>1056403</v>
      </c>
      <c r="S36" s="37">
        <v>54739</v>
      </c>
      <c r="T36" s="37">
        <v>0</v>
      </c>
      <c r="U36" s="37">
        <v>34090</v>
      </c>
      <c r="V36" s="37">
        <v>1039</v>
      </c>
      <c r="W36" s="37">
        <v>0</v>
      </c>
      <c r="X36" s="37">
        <v>0</v>
      </c>
      <c r="Y36" s="37">
        <v>0</v>
      </c>
      <c r="Z36" s="37">
        <v>0</v>
      </c>
      <c r="AA36" s="37">
        <v>1308093</v>
      </c>
      <c r="AB36" s="37">
        <v>1057442</v>
      </c>
      <c r="AC36" s="37">
        <v>692474</v>
      </c>
      <c r="AD36" s="37">
        <v>0</v>
      </c>
      <c r="AE36" s="37">
        <v>0</v>
      </c>
      <c r="AF36" s="168">
        <v>0.02</v>
      </c>
      <c r="AG36" s="37">
        <v>109179856.90000001</v>
      </c>
      <c r="AH36" s="37">
        <v>1067986.3799999999</v>
      </c>
      <c r="AI36" s="37">
        <v>905880.71</v>
      </c>
      <c r="AJ36" s="37">
        <v>923998.33</v>
      </c>
      <c r="AK36" s="37">
        <v>942478.29</v>
      </c>
      <c r="AL36" s="37">
        <v>961327.86</v>
      </c>
      <c r="AM36" s="37">
        <v>980554.42</v>
      </c>
      <c r="AN36" s="37">
        <v>1000165.51</v>
      </c>
      <c r="AO36" s="37">
        <v>1044623.99</v>
      </c>
      <c r="AP36" s="37">
        <v>1040572.19</v>
      </c>
      <c r="AQ36" s="37">
        <v>1061383.6399999999</v>
      </c>
      <c r="AR36" s="37">
        <v>9928971.3200000003</v>
      </c>
      <c r="AS36" s="37">
        <v>1408190.58</v>
      </c>
      <c r="AT36" s="37">
        <v>642138.23</v>
      </c>
      <c r="AU36" s="37">
        <v>1059127.2</v>
      </c>
      <c r="AV36" s="37">
        <v>0</v>
      </c>
      <c r="AW36" s="37">
        <v>0</v>
      </c>
      <c r="AX36" s="37">
        <v>0</v>
      </c>
      <c r="AY36" s="37">
        <v>0</v>
      </c>
      <c r="AZ36" s="37">
        <v>0</v>
      </c>
      <c r="BA36" s="37">
        <v>0</v>
      </c>
      <c r="BB36" s="37">
        <v>0</v>
      </c>
      <c r="BC36" s="37">
        <v>0</v>
      </c>
      <c r="BD36" s="37">
        <v>1701265.43</v>
      </c>
      <c r="BE36" s="37">
        <v>0</v>
      </c>
      <c r="BF36" s="37">
        <v>0</v>
      </c>
      <c r="BG36" s="37">
        <v>1436000</v>
      </c>
      <c r="BH36" s="37">
        <v>0</v>
      </c>
      <c r="BI36" s="37">
        <v>0</v>
      </c>
      <c r="BJ36" s="37">
        <v>0</v>
      </c>
      <c r="BK36" s="37">
        <v>0</v>
      </c>
      <c r="BL36" s="37">
        <v>0</v>
      </c>
      <c r="BM36" s="37">
        <v>0</v>
      </c>
      <c r="BN36" s="37">
        <v>0</v>
      </c>
      <c r="BO36" s="37">
        <v>0</v>
      </c>
      <c r="BP36" s="37">
        <v>1436000</v>
      </c>
      <c r="BQ36" s="37">
        <v>347821</v>
      </c>
      <c r="BR36" s="37">
        <v>0</v>
      </c>
      <c r="BS36" s="37">
        <v>0</v>
      </c>
      <c r="BT36" s="37">
        <v>781000</v>
      </c>
      <c r="BU36" s="37">
        <v>500000</v>
      </c>
      <c r="BV36" s="37">
        <v>0</v>
      </c>
      <c r="BW36" s="37">
        <v>0</v>
      </c>
      <c r="BX36" s="37">
        <v>0</v>
      </c>
      <c r="BY36" s="37">
        <v>0</v>
      </c>
      <c r="BZ36" s="37">
        <v>0</v>
      </c>
      <c r="CA36" s="37">
        <v>0</v>
      </c>
      <c r="CB36" s="37">
        <v>1281000</v>
      </c>
      <c r="CC36" s="37">
        <v>620149</v>
      </c>
      <c r="CD36" s="37">
        <v>0</v>
      </c>
      <c r="CE36" s="37">
        <v>0</v>
      </c>
      <c r="CF36" s="37">
        <v>0</v>
      </c>
      <c r="CG36" s="37">
        <v>0</v>
      </c>
      <c r="CH36" s="37">
        <v>0</v>
      </c>
      <c r="CI36" s="37">
        <v>0</v>
      </c>
      <c r="CJ36" s="37">
        <v>0</v>
      </c>
      <c r="CK36" s="37">
        <v>0</v>
      </c>
      <c r="CL36" s="37">
        <v>0</v>
      </c>
      <c r="CM36" s="37">
        <v>0</v>
      </c>
      <c r="CN36" s="37">
        <v>0</v>
      </c>
      <c r="CO36" s="37">
        <v>0</v>
      </c>
      <c r="CP36" s="37">
        <v>800000</v>
      </c>
      <c r="CQ36" s="37">
        <v>0</v>
      </c>
      <c r="CR36" s="37">
        <v>0</v>
      </c>
      <c r="CS36" s="37">
        <v>0</v>
      </c>
      <c r="CT36" s="37">
        <v>0</v>
      </c>
      <c r="CU36" s="37">
        <v>0</v>
      </c>
      <c r="CV36" s="37">
        <v>0</v>
      </c>
      <c r="CW36" s="37">
        <v>0</v>
      </c>
      <c r="CX36" s="37">
        <v>0</v>
      </c>
      <c r="CY36" s="37">
        <v>0</v>
      </c>
      <c r="CZ36" s="37">
        <v>800000</v>
      </c>
      <c r="DA36" s="37">
        <v>141472</v>
      </c>
      <c r="DB36" s="37">
        <v>775000</v>
      </c>
      <c r="DC36" s="37">
        <v>115000</v>
      </c>
      <c r="DD36" s="37">
        <v>0</v>
      </c>
      <c r="DE36" s="37">
        <v>0</v>
      </c>
      <c r="DF36" s="37">
        <v>0</v>
      </c>
      <c r="DG36" s="37">
        <v>0</v>
      </c>
      <c r="DH36" s="37">
        <v>0</v>
      </c>
      <c r="DI36" s="37">
        <v>0</v>
      </c>
      <c r="DJ36" s="37">
        <v>0</v>
      </c>
      <c r="DK36" s="37">
        <v>0</v>
      </c>
      <c r="DL36" s="37">
        <v>890000</v>
      </c>
      <c r="DM36" s="37">
        <v>0</v>
      </c>
      <c r="DN36" s="37">
        <v>0</v>
      </c>
      <c r="DO36" s="37">
        <v>0</v>
      </c>
      <c r="DP36" s="37">
        <v>0</v>
      </c>
      <c r="DQ36" s="37">
        <v>0</v>
      </c>
      <c r="DR36" s="37">
        <v>0</v>
      </c>
      <c r="DS36" s="37">
        <v>0</v>
      </c>
      <c r="DT36" s="37">
        <v>0</v>
      </c>
      <c r="DU36" s="37">
        <v>0</v>
      </c>
      <c r="DV36" s="37">
        <v>0</v>
      </c>
      <c r="DW36" s="37">
        <v>0</v>
      </c>
      <c r="DX36" s="37">
        <v>0</v>
      </c>
      <c r="DY36" s="37">
        <v>0</v>
      </c>
      <c r="DZ36" s="37">
        <v>0</v>
      </c>
      <c r="EA36" s="37">
        <v>0</v>
      </c>
      <c r="EB36" s="37">
        <v>0</v>
      </c>
      <c r="EC36" s="37">
        <v>0</v>
      </c>
      <c r="ED36" s="37">
        <v>0</v>
      </c>
      <c r="EE36" s="37">
        <v>0</v>
      </c>
      <c r="EF36" s="37">
        <v>0</v>
      </c>
      <c r="EG36" s="37">
        <v>0</v>
      </c>
      <c r="EH36" s="37">
        <v>0</v>
      </c>
      <c r="EI36" s="37">
        <v>0</v>
      </c>
      <c r="EJ36" s="37">
        <v>0</v>
      </c>
      <c r="EK36" s="161" t="s">
        <v>1403</v>
      </c>
      <c r="EL36" s="294" t="s">
        <v>1124</v>
      </c>
    </row>
    <row r="37" spans="1:142" ht="15" customHeight="1" x14ac:dyDescent="0.35">
      <c r="A37" s="34"/>
      <c r="B37" s="313">
        <v>96005</v>
      </c>
      <c r="C37" s="8" t="s">
        <v>994</v>
      </c>
      <c r="D37" s="18">
        <v>9</v>
      </c>
      <c r="E37" s="155">
        <v>41116</v>
      </c>
      <c r="F37" s="36">
        <v>10045</v>
      </c>
      <c r="G37" s="37">
        <v>116813</v>
      </c>
      <c r="H37" s="37">
        <v>0</v>
      </c>
      <c r="I37" s="37">
        <v>510000</v>
      </c>
      <c r="J37" s="37">
        <v>0</v>
      </c>
      <c r="K37" s="37">
        <v>6167.4</v>
      </c>
      <c r="L37" s="37">
        <v>1506.75</v>
      </c>
      <c r="M37" s="37">
        <v>674096.4</v>
      </c>
      <c r="N37" s="37">
        <v>11551.75</v>
      </c>
      <c r="O37" s="37">
        <v>0</v>
      </c>
      <c r="P37" s="37">
        <v>0</v>
      </c>
      <c r="Q37" s="37">
        <v>128240</v>
      </c>
      <c r="R37" s="37">
        <v>6741</v>
      </c>
      <c r="S37" s="37">
        <v>0</v>
      </c>
      <c r="T37" s="37">
        <v>0</v>
      </c>
      <c r="U37" s="37">
        <v>0</v>
      </c>
      <c r="V37" s="37">
        <v>0</v>
      </c>
      <c r="W37" s="37">
        <v>545856.4</v>
      </c>
      <c r="X37" s="37">
        <v>4810.75</v>
      </c>
      <c r="Y37" s="37">
        <v>0</v>
      </c>
      <c r="Z37" s="37">
        <v>0</v>
      </c>
      <c r="AA37" s="37">
        <v>674096.4</v>
      </c>
      <c r="AB37" s="37">
        <v>11551.75</v>
      </c>
      <c r="AC37" s="37">
        <v>0</v>
      </c>
      <c r="AD37" s="37">
        <v>0</v>
      </c>
      <c r="AE37" s="37">
        <v>0</v>
      </c>
      <c r="AF37" s="168">
        <v>0.02</v>
      </c>
      <c r="AG37" s="37">
        <v>18144685.399999999</v>
      </c>
      <c r="AH37" s="37">
        <v>119081.79</v>
      </c>
      <c r="AI37" s="37">
        <v>121463.43</v>
      </c>
      <c r="AJ37" s="37">
        <v>123892.7</v>
      </c>
      <c r="AK37" s="37">
        <v>126370.55</v>
      </c>
      <c r="AL37" s="37">
        <v>128897.96</v>
      </c>
      <c r="AM37" s="37">
        <v>131475.92000000001</v>
      </c>
      <c r="AN37" s="37">
        <v>134105.44</v>
      </c>
      <c r="AO37" s="37">
        <v>136787.54999999999</v>
      </c>
      <c r="AP37" s="37">
        <v>139523.29999999999</v>
      </c>
      <c r="AQ37" s="37">
        <v>142313.76</v>
      </c>
      <c r="AR37" s="37">
        <v>1303912.4000000001</v>
      </c>
      <c r="AS37" s="37">
        <v>11444.4</v>
      </c>
      <c r="AT37" s="37">
        <v>0</v>
      </c>
      <c r="AU37" s="37">
        <v>309220.40999999997</v>
      </c>
      <c r="AV37" s="37">
        <v>6714263.0199999996</v>
      </c>
      <c r="AW37" s="37">
        <v>0</v>
      </c>
      <c r="AX37" s="37">
        <v>0</v>
      </c>
      <c r="AY37" s="37">
        <v>0</v>
      </c>
      <c r="AZ37" s="37">
        <v>0</v>
      </c>
      <c r="BA37" s="37">
        <v>0</v>
      </c>
      <c r="BB37" s="37">
        <v>0</v>
      </c>
      <c r="BC37" s="37">
        <v>0</v>
      </c>
      <c r="BD37" s="37">
        <v>7023483.4299999997</v>
      </c>
      <c r="BE37" s="37">
        <v>285201</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4761</v>
      </c>
      <c r="CP37" s="37">
        <v>59178.734291230263</v>
      </c>
      <c r="CQ37" s="37">
        <v>63787.206798170453</v>
      </c>
      <c r="CR37" s="37">
        <v>78524.874738542887</v>
      </c>
      <c r="CS37" s="37">
        <v>93262.574172056484</v>
      </c>
      <c r="CT37" s="37">
        <v>0</v>
      </c>
      <c r="CU37" s="37">
        <v>0</v>
      </c>
      <c r="CV37" s="37">
        <v>0</v>
      </c>
      <c r="CW37" s="37">
        <v>0</v>
      </c>
      <c r="CX37" s="37">
        <v>0</v>
      </c>
      <c r="CY37" s="37">
        <v>0</v>
      </c>
      <c r="CZ37" s="37">
        <v>294753.39000000007</v>
      </c>
      <c r="DA37" s="37">
        <v>0</v>
      </c>
      <c r="DB37" s="37">
        <v>0</v>
      </c>
      <c r="DC37" s="37">
        <v>0</v>
      </c>
      <c r="DD37" s="37">
        <v>0</v>
      </c>
      <c r="DE37" s="37">
        <v>0</v>
      </c>
      <c r="DF37" s="37">
        <v>0</v>
      </c>
      <c r="DG37" s="37">
        <v>0</v>
      </c>
      <c r="DH37" s="37">
        <v>0</v>
      </c>
      <c r="DI37" s="37">
        <v>0</v>
      </c>
      <c r="DJ37" s="37">
        <v>0</v>
      </c>
      <c r="DK37" s="37">
        <v>0</v>
      </c>
      <c r="DL37" s="37">
        <v>0</v>
      </c>
      <c r="DM37" s="37">
        <v>0</v>
      </c>
      <c r="DN37" s="37">
        <v>0</v>
      </c>
      <c r="DO37" s="37">
        <v>0</v>
      </c>
      <c r="DP37" s="37">
        <v>0</v>
      </c>
      <c r="DQ37" s="37">
        <v>0</v>
      </c>
      <c r="DR37" s="37">
        <v>0</v>
      </c>
      <c r="DS37" s="37">
        <v>0</v>
      </c>
      <c r="DT37" s="37">
        <v>0</v>
      </c>
      <c r="DU37" s="37">
        <v>0</v>
      </c>
      <c r="DV37" s="37">
        <v>0</v>
      </c>
      <c r="DW37" s="37">
        <v>0</v>
      </c>
      <c r="DX37" s="37">
        <v>0</v>
      </c>
      <c r="DY37" s="37">
        <v>0</v>
      </c>
      <c r="DZ37" s="37">
        <v>0</v>
      </c>
      <c r="EA37" s="37">
        <v>0</v>
      </c>
      <c r="EB37" s="37">
        <v>0</v>
      </c>
      <c r="EC37" s="37">
        <v>0</v>
      </c>
      <c r="ED37" s="37">
        <v>0</v>
      </c>
      <c r="EE37" s="37">
        <v>0</v>
      </c>
      <c r="EF37" s="37">
        <v>0</v>
      </c>
      <c r="EG37" s="37">
        <v>0</v>
      </c>
      <c r="EH37" s="37">
        <v>0</v>
      </c>
      <c r="EI37" s="37">
        <v>0</v>
      </c>
      <c r="EJ37" s="37">
        <v>0</v>
      </c>
      <c r="EK37" s="161" t="s">
        <v>1513</v>
      </c>
      <c r="EL37" s="294" t="s">
        <v>1124</v>
      </c>
    </row>
    <row r="38" spans="1:142" ht="15" customHeight="1" x14ac:dyDescent="0.35">
      <c r="A38" s="34"/>
      <c r="B38" s="313">
        <v>78050</v>
      </c>
      <c r="C38" s="8" t="s">
        <v>773</v>
      </c>
      <c r="D38" s="18">
        <v>15</v>
      </c>
      <c r="E38" s="155"/>
      <c r="F38" s="36"/>
      <c r="G38" s="37"/>
      <c r="H38" s="37"/>
      <c r="I38" s="37"/>
      <c r="J38" s="37"/>
      <c r="K38" s="37"/>
      <c r="L38" s="37"/>
      <c r="M38" s="37" t="s">
        <v>1124</v>
      </c>
      <c r="N38" s="37" t="s">
        <v>1124</v>
      </c>
      <c r="O38" s="37"/>
      <c r="P38" s="37"/>
      <c r="Q38" s="37"/>
      <c r="R38" s="37"/>
      <c r="S38" s="37"/>
      <c r="T38" s="37"/>
      <c r="U38" s="37"/>
      <c r="V38" s="37"/>
      <c r="W38" s="37"/>
      <c r="X38" s="37"/>
      <c r="Y38" s="37"/>
      <c r="Z38" s="37"/>
      <c r="AA38" s="37" t="s">
        <v>1124</v>
      </c>
      <c r="AB38" s="37" t="s">
        <v>1124</v>
      </c>
      <c r="AC38" s="37"/>
      <c r="AD38" s="37"/>
      <c r="AE38" s="37"/>
      <c r="AF38" s="168"/>
      <c r="AG38" s="37"/>
      <c r="AH38" s="37"/>
      <c r="AI38" s="37"/>
      <c r="AJ38" s="37"/>
      <c r="AK38" s="37"/>
      <c r="AL38" s="37"/>
      <c r="AM38" s="37"/>
      <c r="AN38" s="37"/>
      <c r="AO38" s="37"/>
      <c r="AP38" s="37"/>
      <c r="AQ38" s="37"/>
      <c r="AR38" s="37" t="s">
        <v>1124</v>
      </c>
      <c r="AS38" s="37"/>
      <c r="AT38" s="37"/>
      <c r="AU38" s="37"/>
      <c r="AV38" s="37"/>
      <c r="AW38" s="37"/>
      <c r="AX38" s="37"/>
      <c r="AY38" s="37"/>
      <c r="AZ38" s="37"/>
      <c r="BA38" s="37"/>
      <c r="BB38" s="37"/>
      <c r="BC38" s="37"/>
      <c r="BD38" s="37" t="s">
        <v>1124</v>
      </c>
      <c r="BE38" s="37"/>
      <c r="BF38" s="37"/>
      <c r="BG38" s="37"/>
      <c r="BH38" s="37"/>
      <c r="BI38" s="37"/>
      <c r="BJ38" s="37"/>
      <c r="BK38" s="37"/>
      <c r="BL38" s="37"/>
      <c r="BM38" s="37"/>
      <c r="BN38" s="37"/>
      <c r="BO38" s="37"/>
      <c r="BP38" s="37">
        <v>0</v>
      </c>
      <c r="BQ38" s="37"/>
      <c r="BR38" s="37"/>
      <c r="BS38" s="37"/>
      <c r="BT38" s="37"/>
      <c r="BU38" s="37"/>
      <c r="BV38" s="37"/>
      <c r="BW38" s="37"/>
      <c r="BX38" s="37"/>
      <c r="BY38" s="37"/>
      <c r="BZ38" s="37"/>
      <c r="CA38" s="37"/>
      <c r="CB38" s="37" t="s">
        <v>1124</v>
      </c>
      <c r="CC38" s="37"/>
      <c r="CD38" s="37"/>
      <c r="CE38" s="37"/>
      <c r="CF38" s="37"/>
      <c r="CG38" s="37"/>
      <c r="CH38" s="37"/>
      <c r="CI38" s="37"/>
      <c r="CJ38" s="37"/>
      <c r="CK38" s="37"/>
      <c r="CL38" s="37"/>
      <c r="CM38" s="37"/>
      <c r="CN38" s="37" t="s">
        <v>1124</v>
      </c>
      <c r="CO38" s="37"/>
      <c r="CP38" s="37"/>
      <c r="CQ38" s="37"/>
      <c r="CR38" s="37"/>
      <c r="CS38" s="37"/>
      <c r="CT38" s="37"/>
      <c r="CU38" s="37"/>
      <c r="CV38" s="37"/>
      <c r="CW38" s="37"/>
      <c r="CX38" s="37"/>
      <c r="CY38" s="37"/>
      <c r="CZ38" s="37" t="s">
        <v>1124</v>
      </c>
      <c r="DA38" s="37"/>
      <c r="DB38" s="37"/>
      <c r="DC38" s="37"/>
      <c r="DD38" s="37"/>
      <c r="DE38" s="37"/>
      <c r="DF38" s="37"/>
      <c r="DG38" s="37"/>
      <c r="DH38" s="37"/>
      <c r="DI38" s="37"/>
      <c r="DJ38" s="37"/>
      <c r="DK38" s="37"/>
      <c r="DL38" s="37" t="s">
        <v>1124</v>
      </c>
      <c r="DM38" s="37"/>
      <c r="DN38" s="37"/>
      <c r="DO38" s="37"/>
      <c r="DP38" s="37"/>
      <c r="DQ38" s="37"/>
      <c r="DR38" s="37"/>
      <c r="DS38" s="37"/>
      <c r="DT38" s="37"/>
      <c r="DU38" s="37"/>
      <c r="DV38" s="37"/>
      <c r="DW38" s="37"/>
      <c r="DX38" s="37" t="s">
        <v>1124</v>
      </c>
      <c r="DY38" s="37"/>
      <c r="DZ38" s="37"/>
      <c r="EA38" s="37"/>
      <c r="EB38" s="37"/>
      <c r="EC38" s="37"/>
      <c r="ED38" s="37"/>
      <c r="EE38" s="37"/>
      <c r="EF38" s="37"/>
      <c r="EG38" s="37"/>
      <c r="EH38" s="37"/>
      <c r="EI38" s="37"/>
      <c r="EJ38" s="37" t="s">
        <v>1124</v>
      </c>
      <c r="EK38" s="161"/>
      <c r="EL38" s="294"/>
    </row>
    <row r="39" spans="1:142" ht="15" customHeight="1" x14ac:dyDescent="0.35">
      <c r="A39" s="34"/>
      <c r="B39" s="313">
        <v>44045</v>
      </c>
      <c r="C39" s="8" t="s">
        <v>404</v>
      </c>
      <c r="D39" s="18">
        <v>5</v>
      </c>
      <c r="E39" s="155"/>
      <c r="F39" s="36"/>
      <c r="G39" s="37"/>
      <c r="H39" s="37"/>
      <c r="I39" s="37"/>
      <c r="J39" s="37"/>
      <c r="K39" s="37"/>
      <c r="L39" s="37"/>
      <c r="M39" s="37" t="s">
        <v>1124</v>
      </c>
      <c r="N39" s="37" t="s">
        <v>1124</v>
      </c>
      <c r="O39" s="37"/>
      <c r="P39" s="37"/>
      <c r="Q39" s="37"/>
      <c r="R39" s="37"/>
      <c r="S39" s="37"/>
      <c r="T39" s="37"/>
      <c r="U39" s="37"/>
      <c r="V39" s="37"/>
      <c r="W39" s="37"/>
      <c r="X39" s="37"/>
      <c r="Y39" s="37"/>
      <c r="Z39" s="37"/>
      <c r="AA39" s="37" t="s">
        <v>1124</v>
      </c>
      <c r="AB39" s="37" t="s">
        <v>1124</v>
      </c>
      <c r="AC39" s="37"/>
      <c r="AD39" s="37"/>
      <c r="AE39" s="37"/>
      <c r="AF39" s="168"/>
      <c r="AG39" s="37"/>
      <c r="AH39" s="37"/>
      <c r="AI39" s="37"/>
      <c r="AJ39" s="37"/>
      <c r="AK39" s="37"/>
      <c r="AL39" s="37"/>
      <c r="AM39" s="37"/>
      <c r="AN39" s="37"/>
      <c r="AO39" s="37"/>
      <c r="AP39" s="37"/>
      <c r="AQ39" s="37"/>
      <c r="AR39" s="37" t="s">
        <v>1124</v>
      </c>
      <c r="AS39" s="37"/>
      <c r="AT39" s="37"/>
      <c r="AU39" s="37"/>
      <c r="AV39" s="37"/>
      <c r="AW39" s="37"/>
      <c r="AX39" s="37"/>
      <c r="AY39" s="37"/>
      <c r="AZ39" s="37"/>
      <c r="BA39" s="37"/>
      <c r="BB39" s="37"/>
      <c r="BC39" s="37"/>
      <c r="BD39" s="37" t="s">
        <v>1124</v>
      </c>
      <c r="BE39" s="37"/>
      <c r="BF39" s="37"/>
      <c r="BG39" s="37"/>
      <c r="BH39" s="37"/>
      <c r="BI39" s="37"/>
      <c r="BJ39" s="37"/>
      <c r="BK39" s="37"/>
      <c r="BL39" s="37"/>
      <c r="BM39" s="37"/>
      <c r="BN39" s="37"/>
      <c r="BO39" s="37"/>
      <c r="BP39" s="37">
        <v>0</v>
      </c>
      <c r="BQ39" s="37"/>
      <c r="BR39" s="37"/>
      <c r="BS39" s="37"/>
      <c r="BT39" s="37"/>
      <c r="BU39" s="37"/>
      <c r="BV39" s="37"/>
      <c r="BW39" s="37"/>
      <c r="BX39" s="37"/>
      <c r="BY39" s="37"/>
      <c r="BZ39" s="37"/>
      <c r="CA39" s="37"/>
      <c r="CB39" s="37" t="s">
        <v>1124</v>
      </c>
      <c r="CC39" s="37"/>
      <c r="CD39" s="37"/>
      <c r="CE39" s="37"/>
      <c r="CF39" s="37"/>
      <c r="CG39" s="37"/>
      <c r="CH39" s="37"/>
      <c r="CI39" s="37"/>
      <c r="CJ39" s="37"/>
      <c r="CK39" s="37"/>
      <c r="CL39" s="37"/>
      <c r="CM39" s="37"/>
      <c r="CN39" s="37" t="s">
        <v>1124</v>
      </c>
      <c r="CO39" s="37"/>
      <c r="CP39" s="37"/>
      <c r="CQ39" s="37"/>
      <c r="CR39" s="37"/>
      <c r="CS39" s="37"/>
      <c r="CT39" s="37"/>
      <c r="CU39" s="37"/>
      <c r="CV39" s="37"/>
      <c r="CW39" s="37"/>
      <c r="CX39" s="37"/>
      <c r="CY39" s="37"/>
      <c r="CZ39" s="37" t="s">
        <v>1124</v>
      </c>
      <c r="DA39" s="37"/>
      <c r="DB39" s="37"/>
      <c r="DC39" s="37"/>
      <c r="DD39" s="37"/>
      <c r="DE39" s="37"/>
      <c r="DF39" s="37"/>
      <c r="DG39" s="37"/>
      <c r="DH39" s="37"/>
      <c r="DI39" s="37"/>
      <c r="DJ39" s="37"/>
      <c r="DK39" s="37"/>
      <c r="DL39" s="37" t="s">
        <v>1124</v>
      </c>
      <c r="DM39" s="37"/>
      <c r="DN39" s="37"/>
      <c r="DO39" s="37"/>
      <c r="DP39" s="37"/>
      <c r="DQ39" s="37"/>
      <c r="DR39" s="37"/>
      <c r="DS39" s="37"/>
      <c r="DT39" s="37"/>
      <c r="DU39" s="37"/>
      <c r="DV39" s="37"/>
      <c r="DW39" s="37"/>
      <c r="DX39" s="37" t="s">
        <v>1124</v>
      </c>
      <c r="DY39" s="37"/>
      <c r="DZ39" s="37"/>
      <c r="EA39" s="37"/>
      <c r="EB39" s="37"/>
      <c r="EC39" s="37"/>
      <c r="ED39" s="37"/>
      <c r="EE39" s="37"/>
      <c r="EF39" s="37"/>
      <c r="EG39" s="37"/>
      <c r="EH39" s="37"/>
      <c r="EI39" s="37"/>
      <c r="EJ39" s="37" t="s">
        <v>1124</v>
      </c>
      <c r="EK39" s="161"/>
      <c r="EL39" s="294"/>
    </row>
    <row r="40" spans="1:142" ht="15" customHeight="1" x14ac:dyDescent="0.35">
      <c r="A40" s="34"/>
      <c r="B40" s="313">
        <v>88022</v>
      </c>
      <c r="C40" s="8" t="s">
        <v>914</v>
      </c>
      <c r="D40" s="18">
        <v>8</v>
      </c>
      <c r="E40" s="155"/>
      <c r="F40" s="36"/>
      <c r="G40" s="37"/>
      <c r="H40" s="37"/>
      <c r="I40" s="37"/>
      <c r="J40" s="37"/>
      <c r="K40" s="37"/>
      <c r="L40" s="37"/>
      <c r="M40" s="37" t="s">
        <v>1124</v>
      </c>
      <c r="N40" s="37" t="s">
        <v>1124</v>
      </c>
      <c r="O40" s="37"/>
      <c r="P40" s="37"/>
      <c r="Q40" s="37"/>
      <c r="R40" s="37"/>
      <c r="S40" s="37"/>
      <c r="T40" s="37"/>
      <c r="U40" s="37"/>
      <c r="V40" s="37"/>
      <c r="W40" s="37"/>
      <c r="X40" s="37"/>
      <c r="Y40" s="37"/>
      <c r="Z40" s="37"/>
      <c r="AA40" s="37" t="s">
        <v>1124</v>
      </c>
      <c r="AB40" s="37" t="s">
        <v>1124</v>
      </c>
      <c r="AC40" s="37"/>
      <c r="AD40" s="37"/>
      <c r="AE40" s="37"/>
      <c r="AF40" s="168"/>
      <c r="AG40" s="37"/>
      <c r="AH40" s="37"/>
      <c r="AI40" s="37"/>
      <c r="AJ40" s="37"/>
      <c r="AK40" s="37"/>
      <c r="AL40" s="37"/>
      <c r="AM40" s="37"/>
      <c r="AN40" s="37"/>
      <c r="AO40" s="37"/>
      <c r="AP40" s="37"/>
      <c r="AQ40" s="37"/>
      <c r="AR40" s="37" t="s">
        <v>1124</v>
      </c>
      <c r="AS40" s="37"/>
      <c r="AT40" s="37"/>
      <c r="AU40" s="37"/>
      <c r="AV40" s="37"/>
      <c r="AW40" s="37"/>
      <c r="AX40" s="37"/>
      <c r="AY40" s="37"/>
      <c r="AZ40" s="37"/>
      <c r="BA40" s="37"/>
      <c r="BB40" s="37"/>
      <c r="BC40" s="37"/>
      <c r="BD40" s="37" t="s">
        <v>1124</v>
      </c>
      <c r="BE40" s="37"/>
      <c r="BF40" s="37"/>
      <c r="BG40" s="37"/>
      <c r="BH40" s="37"/>
      <c r="BI40" s="37"/>
      <c r="BJ40" s="37"/>
      <c r="BK40" s="37"/>
      <c r="BL40" s="37"/>
      <c r="BM40" s="37"/>
      <c r="BN40" s="37"/>
      <c r="BO40" s="37"/>
      <c r="BP40" s="37">
        <v>0</v>
      </c>
      <c r="BQ40" s="37"/>
      <c r="BR40" s="37"/>
      <c r="BS40" s="37"/>
      <c r="BT40" s="37"/>
      <c r="BU40" s="37"/>
      <c r="BV40" s="37"/>
      <c r="BW40" s="37"/>
      <c r="BX40" s="37"/>
      <c r="BY40" s="37"/>
      <c r="BZ40" s="37"/>
      <c r="CA40" s="37"/>
      <c r="CB40" s="37" t="s">
        <v>1124</v>
      </c>
      <c r="CC40" s="37"/>
      <c r="CD40" s="37"/>
      <c r="CE40" s="37"/>
      <c r="CF40" s="37"/>
      <c r="CG40" s="37"/>
      <c r="CH40" s="37"/>
      <c r="CI40" s="37"/>
      <c r="CJ40" s="37"/>
      <c r="CK40" s="37"/>
      <c r="CL40" s="37"/>
      <c r="CM40" s="37"/>
      <c r="CN40" s="37" t="s">
        <v>1124</v>
      </c>
      <c r="CO40" s="37"/>
      <c r="CP40" s="37"/>
      <c r="CQ40" s="37"/>
      <c r="CR40" s="37"/>
      <c r="CS40" s="37"/>
      <c r="CT40" s="37"/>
      <c r="CU40" s="37"/>
      <c r="CV40" s="37"/>
      <c r="CW40" s="37"/>
      <c r="CX40" s="37"/>
      <c r="CY40" s="37"/>
      <c r="CZ40" s="37" t="s">
        <v>1124</v>
      </c>
      <c r="DA40" s="37"/>
      <c r="DB40" s="37"/>
      <c r="DC40" s="37"/>
      <c r="DD40" s="37"/>
      <c r="DE40" s="37"/>
      <c r="DF40" s="37"/>
      <c r="DG40" s="37"/>
      <c r="DH40" s="37"/>
      <c r="DI40" s="37"/>
      <c r="DJ40" s="37"/>
      <c r="DK40" s="37"/>
      <c r="DL40" s="37" t="s">
        <v>1124</v>
      </c>
      <c r="DM40" s="37"/>
      <c r="DN40" s="37"/>
      <c r="DO40" s="37"/>
      <c r="DP40" s="37"/>
      <c r="DQ40" s="37"/>
      <c r="DR40" s="37"/>
      <c r="DS40" s="37"/>
      <c r="DT40" s="37"/>
      <c r="DU40" s="37"/>
      <c r="DV40" s="37"/>
      <c r="DW40" s="37"/>
      <c r="DX40" s="37" t="s">
        <v>1124</v>
      </c>
      <c r="DY40" s="37"/>
      <c r="DZ40" s="37"/>
      <c r="EA40" s="37"/>
      <c r="EB40" s="37"/>
      <c r="EC40" s="37"/>
      <c r="ED40" s="37"/>
      <c r="EE40" s="37"/>
      <c r="EF40" s="37"/>
      <c r="EG40" s="37"/>
      <c r="EH40" s="37"/>
      <c r="EI40" s="37"/>
      <c r="EJ40" s="37" t="s">
        <v>1124</v>
      </c>
      <c r="EK40" s="161"/>
      <c r="EL40" s="294"/>
    </row>
    <row r="41" spans="1:142" ht="15" customHeight="1" x14ac:dyDescent="0.35">
      <c r="A41" s="34"/>
      <c r="B41" s="313">
        <v>37210</v>
      </c>
      <c r="C41" s="8" t="s">
        <v>316</v>
      </c>
      <c r="D41" s="18">
        <v>4</v>
      </c>
      <c r="E41" s="155"/>
      <c r="F41" s="36"/>
      <c r="G41" s="37"/>
      <c r="H41" s="37"/>
      <c r="I41" s="37"/>
      <c r="J41" s="37"/>
      <c r="K41" s="37"/>
      <c r="L41" s="37"/>
      <c r="M41" s="37" t="s">
        <v>1124</v>
      </c>
      <c r="N41" s="37" t="s">
        <v>1124</v>
      </c>
      <c r="O41" s="37"/>
      <c r="P41" s="37"/>
      <c r="Q41" s="37"/>
      <c r="R41" s="37"/>
      <c r="S41" s="37"/>
      <c r="T41" s="37"/>
      <c r="U41" s="37"/>
      <c r="V41" s="37"/>
      <c r="W41" s="37"/>
      <c r="X41" s="37"/>
      <c r="Y41" s="37"/>
      <c r="Z41" s="37"/>
      <c r="AA41" s="37" t="s">
        <v>1124</v>
      </c>
      <c r="AB41" s="37" t="s">
        <v>1124</v>
      </c>
      <c r="AC41" s="37"/>
      <c r="AD41" s="37"/>
      <c r="AE41" s="37"/>
      <c r="AF41" s="168"/>
      <c r="AG41" s="37"/>
      <c r="AH41" s="37"/>
      <c r="AI41" s="37"/>
      <c r="AJ41" s="37"/>
      <c r="AK41" s="37"/>
      <c r="AL41" s="37"/>
      <c r="AM41" s="37"/>
      <c r="AN41" s="37"/>
      <c r="AO41" s="37"/>
      <c r="AP41" s="37"/>
      <c r="AQ41" s="37"/>
      <c r="AR41" s="37" t="s">
        <v>1124</v>
      </c>
      <c r="AS41" s="37"/>
      <c r="AT41" s="37"/>
      <c r="AU41" s="37"/>
      <c r="AV41" s="37"/>
      <c r="AW41" s="37"/>
      <c r="AX41" s="37"/>
      <c r="AY41" s="37"/>
      <c r="AZ41" s="37"/>
      <c r="BA41" s="37"/>
      <c r="BB41" s="37"/>
      <c r="BC41" s="37"/>
      <c r="BD41" s="37" t="s">
        <v>1124</v>
      </c>
      <c r="BE41" s="37"/>
      <c r="BF41" s="37"/>
      <c r="BG41" s="37"/>
      <c r="BH41" s="37"/>
      <c r="BI41" s="37"/>
      <c r="BJ41" s="37"/>
      <c r="BK41" s="37"/>
      <c r="BL41" s="37"/>
      <c r="BM41" s="37"/>
      <c r="BN41" s="37"/>
      <c r="BO41" s="37"/>
      <c r="BP41" s="37">
        <v>0</v>
      </c>
      <c r="BQ41" s="37"/>
      <c r="BR41" s="37"/>
      <c r="BS41" s="37"/>
      <c r="BT41" s="37"/>
      <c r="BU41" s="37"/>
      <c r="BV41" s="37"/>
      <c r="BW41" s="37"/>
      <c r="BX41" s="37"/>
      <c r="BY41" s="37"/>
      <c r="BZ41" s="37"/>
      <c r="CA41" s="37"/>
      <c r="CB41" s="37" t="s">
        <v>1124</v>
      </c>
      <c r="CC41" s="37"/>
      <c r="CD41" s="37"/>
      <c r="CE41" s="37"/>
      <c r="CF41" s="37"/>
      <c r="CG41" s="37"/>
      <c r="CH41" s="37"/>
      <c r="CI41" s="37"/>
      <c r="CJ41" s="37"/>
      <c r="CK41" s="37"/>
      <c r="CL41" s="37"/>
      <c r="CM41" s="37"/>
      <c r="CN41" s="37" t="s">
        <v>1124</v>
      </c>
      <c r="CO41" s="37"/>
      <c r="CP41" s="37"/>
      <c r="CQ41" s="37"/>
      <c r="CR41" s="37"/>
      <c r="CS41" s="37"/>
      <c r="CT41" s="37"/>
      <c r="CU41" s="37"/>
      <c r="CV41" s="37"/>
      <c r="CW41" s="37"/>
      <c r="CX41" s="37"/>
      <c r="CY41" s="37"/>
      <c r="CZ41" s="37" t="s">
        <v>1124</v>
      </c>
      <c r="DA41" s="37"/>
      <c r="DB41" s="37"/>
      <c r="DC41" s="37"/>
      <c r="DD41" s="37"/>
      <c r="DE41" s="37"/>
      <c r="DF41" s="37"/>
      <c r="DG41" s="37"/>
      <c r="DH41" s="37"/>
      <c r="DI41" s="37"/>
      <c r="DJ41" s="37"/>
      <c r="DK41" s="37"/>
      <c r="DL41" s="37" t="s">
        <v>1124</v>
      </c>
      <c r="DM41" s="37"/>
      <c r="DN41" s="37"/>
      <c r="DO41" s="37"/>
      <c r="DP41" s="37"/>
      <c r="DQ41" s="37"/>
      <c r="DR41" s="37"/>
      <c r="DS41" s="37"/>
      <c r="DT41" s="37"/>
      <c r="DU41" s="37"/>
      <c r="DV41" s="37"/>
      <c r="DW41" s="37"/>
      <c r="DX41" s="37" t="s">
        <v>1124</v>
      </c>
      <c r="DY41" s="37"/>
      <c r="DZ41" s="37"/>
      <c r="EA41" s="37"/>
      <c r="EB41" s="37"/>
      <c r="EC41" s="37"/>
      <c r="ED41" s="37"/>
      <c r="EE41" s="37"/>
      <c r="EF41" s="37"/>
      <c r="EG41" s="37"/>
      <c r="EH41" s="37"/>
      <c r="EI41" s="37"/>
      <c r="EJ41" s="37" t="s">
        <v>1124</v>
      </c>
      <c r="EK41" s="161"/>
      <c r="EL41" s="294"/>
    </row>
    <row r="42" spans="1:142" ht="15" customHeight="1" x14ac:dyDescent="0.35">
      <c r="A42" s="34"/>
      <c r="B42" s="313">
        <v>66107</v>
      </c>
      <c r="C42" s="8" t="s">
        <v>658</v>
      </c>
      <c r="D42" s="18">
        <v>6</v>
      </c>
      <c r="E42" s="155"/>
      <c r="F42" s="36"/>
      <c r="G42" s="37"/>
      <c r="H42" s="37"/>
      <c r="I42" s="37"/>
      <c r="J42" s="37"/>
      <c r="K42" s="37"/>
      <c r="L42" s="37"/>
      <c r="M42" s="37" t="s">
        <v>1124</v>
      </c>
      <c r="N42" s="37" t="s">
        <v>1124</v>
      </c>
      <c r="O42" s="37"/>
      <c r="P42" s="37"/>
      <c r="Q42" s="37"/>
      <c r="R42" s="37"/>
      <c r="S42" s="37"/>
      <c r="T42" s="37"/>
      <c r="U42" s="37"/>
      <c r="V42" s="37"/>
      <c r="W42" s="37"/>
      <c r="X42" s="37"/>
      <c r="Y42" s="37"/>
      <c r="Z42" s="37"/>
      <c r="AA42" s="37" t="s">
        <v>1124</v>
      </c>
      <c r="AB42" s="37" t="s">
        <v>1124</v>
      </c>
      <c r="AC42" s="37"/>
      <c r="AD42" s="37"/>
      <c r="AE42" s="37"/>
      <c r="AF42" s="168"/>
      <c r="AG42" s="37"/>
      <c r="AH42" s="37"/>
      <c r="AI42" s="37"/>
      <c r="AJ42" s="37"/>
      <c r="AK42" s="37"/>
      <c r="AL42" s="37"/>
      <c r="AM42" s="37"/>
      <c r="AN42" s="37"/>
      <c r="AO42" s="37"/>
      <c r="AP42" s="37"/>
      <c r="AQ42" s="37"/>
      <c r="AR42" s="37" t="s">
        <v>1124</v>
      </c>
      <c r="AS42" s="37"/>
      <c r="AT42" s="37"/>
      <c r="AU42" s="37"/>
      <c r="AV42" s="37"/>
      <c r="AW42" s="37"/>
      <c r="AX42" s="37"/>
      <c r="AY42" s="37"/>
      <c r="AZ42" s="37"/>
      <c r="BA42" s="37"/>
      <c r="BB42" s="37"/>
      <c r="BC42" s="37"/>
      <c r="BD42" s="37" t="s">
        <v>1124</v>
      </c>
      <c r="BE42" s="37"/>
      <c r="BF42" s="37"/>
      <c r="BG42" s="37"/>
      <c r="BH42" s="37"/>
      <c r="BI42" s="37"/>
      <c r="BJ42" s="37"/>
      <c r="BK42" s="37"/>
      <c r="BL42" s="37"/>
      <c r="BM42" s="37"/>
      <c r="BN42" s="37"/>
      <c r="BO42" s="37"/>
      <c r="BP42" s="37">
        <v>0</v>
      </c>
      <c r="BQ42" s="37"/>
      <c r="BR42" s="37"/>
      <c r="BS42" s="37"/>
      <c r="BT42" s="37"/>
      <c r="BU42" s="37"/>
      <c r="BV42" s="37"/>
      <c r="BW42" s="37"/>
      <c r="BX42" s="37"/>
      <c r="BY42" s="37"/>
      <c r="BZ42" s="37"/>
      <c r="CA42" s="37"/>
      <c r="CB42" s="37" t="s">
        <v>1124</v>
      </c>
      <c r="CC42" s="37"/>
      <c r="CD42" s="37"/>
      <c r="CE42" s="37"/>
      <c r="CF42" s="37"/>
      <c r="CG42" s="37"/>
      <c r="CH42" s="37"/>
      <c r="CI42" s="37"/>
      <c r="CJ42" s="37"/>
      <c r="CK42" s="37"/>
      <c r="CL42" s="37"/>
      <c r="CM42" s="37"/>
      <c r="CN42" s="37" t="s">
        <v>1124</v>
      </c>
      <c r="CO42" s="37"/>
      <c r="CP42" s="37"/>
      <c r="CQ42" s="37"/>
      <c r="CR42" s="37"/>
      <c r="CS42" s="37"/>
      <c r="CT42" s="37"/>
      <c r="CU42" s="37"/>
      <c r="CV42" s="37"/>
      <c r="CW42" s="37"/>
      <c r="CX42" s="37"/>
      <c r="CY42" s="37"/>
      <c r="CZ42" s="37" t="s">
        <v>1124</v>
      </c>
      <c r="DA42" s="37"/>
      <c r="DB42" s="37"/>
      <c r="DC42" s="37"/>
      <c r="DD42" s="37"/>
      <c r="DE42" s="37"/>
      <c r="DF42" s="37"/>
      <c r="DG42" s="37"/>
      <c r="DH42" s="37"/>
      <c r="DI42" s="37"/>
      <c r="DJ42" s="37"/>
      <c r="DK42" s="37"/>
      <c r="DL42" s="37" t="s">
        <v>1124</v>
      </c>
      <c r="DM42" s="37"/>
      <c r="DN42" s="37"/>
      <c r="DO42" s="37"/>
      <c r="DP42" s="37"/>
      <c r="DQ42" s="37"/>
      <c r="DR42" s="37"/>
      <c r="DS42" s="37"/>
      <c r="DT42" s="37"/>
      <c r="DU42" s="37"/>
      <c r="DV42" s="37"/>
      <c r="DW42" s="37"/>
      <c r="DX42" s="37" t="s">
        <v>1124</v>
      </c>
      <c r="DY42" s="37"/>
      <c r="DZ42" s="37"/>
      <c r="EA42" s="37"/>
      <c r="EB42" s="37"/>
      <c r="EC42" s="37"/>
      <c r="ED42" s="37"/>
      <c r="EE42" s="37"/>
      <c r="EF42" s="37"/>
      <c r="EG42" s="37"/>
      <c r="EH42" s="37"/>
      <c r="EI42" s="37"/>
      <c r="EJ42" s="37" t="s">
        <v>1124</v>
      </c>
      <c r="EK42" s="161"/>
      <c r="EL42" s="294"/>
    </row>
    <row r="43" spans="1:142" ht="15" customHeight="1" x14ac:dyDescent="0.35">
      <c r="A43" s="34"/>
      <c r="B43" s="313">
        <v>85020</v>
      </c>
      <c r="C43" s="8" t="s">
        <v>873</v>
      </c>
      <c r="D43" s="18">
        <v>8</v>
      </c>
      <c r="E43" s="155">
        <v>222370</v>
      </c>
      <c r="F43" s="36">
        <v>120498</v>
      </c>
      <c r="G43" s="37">
        <v>673</v>
      </c>
      <c r="H43" s="37">
        <v>1187</v>
      </c>
      <c r="I43" s="37">
        <v>0</v>
      </c>
      <c r="J43" s="37">
        <v>0</v>
      </c>
      <c r="K43" s="37">
        <v>33355</v>
      </c>
      <c r="L43" s="37">
        <v>18074</v>
      </c>
      <c r="M43" s="37">
        <v>256398</v>
      </c>
      <c r="N43" s="37">
        <v>139759</v>
      </c>
      <c r="O43" s="37">
        <v>0</v>
      </c>
      <c r="P43" s="37">
        <v>0</v>
      </c>
      <c r="Q43" s="37">
        <v>93469</v>
      </c>
      <c r="R43" s="37">
        <v>61815</v>
      </c>
      <c r="S43" s="37">
        <v>123403</v>
      </c>
      <c r="T43" s="37">
        <v>63262</v>
      </c>
      <c r="U43" s="37">
        <v>0</v>
      </c>
      <c r="V43" s="37">
        <v>0</v>
      </c>
      <c r="W43" s="37">
        <v>35708</v>
      </c>
      <c r="X43" s="37">
        <v>18500</v>
      </c>
      <c r="Y43" s="37">
        <v>0</v>
      </c>
      <c r="Z43" s="37">
        <v>0</v>
      </c>
      <c r="AA43" s="37">
        <v>252580</v>
      </c>
      <c r="AB43" s="37">
        <v>143577</v>
      </c>
      <c r="AC43" s="37">
        <v>0</v>
      </c>
      <c r="AD43" s="37">
        <v>0</v>
      </c>
      <c r="AE43" s="37">
        <v>0</v>
      </c>
      <c r="AF43" s="168">
        <v>0.02</v>
      </c>
      <c r="AG43" s="37">
        <v>13306067.67</v>
      </c>
      <c r="AH43" s="37">
        <v>68043.58</v>
      </c>
      <c r="AI43" s="37">
        <v>69404.45</v>
      </c>
      <c r="AJ43" s="37">
        <v>70792.539999999994</v>
      </c>
      <c r="AK43" s="37">
        <v>72208.39</v>
      </c>
      <c r="AL43" s="37">
        <v>73652.56</v>
      </c>
      <c r="AM43" s="37">
        <v>75125.61</v>
      </c>
      <c r="AN43" s="37">
        <v>76628.12</v>
      </c>
      <c r="AO43" s="37">
        <v>78160.679999999993</v>
      </c>
      <c r="AP43" s="37">
        <v>79723.899999999994</v>
      </c>
      <c r="AQ43" s="37">
        <v>81318.38</v>
      </c>
      <c r="AR43" s="37">
        <v>745058.20999999985</v>
      </c>
      <c r="AS43" s="37">
        <v>188000.28</v>
      </c>
      <c r="AT43" s="37">
        <v>5100</v>
      </c>
      <c r="AU43" s="37">
        <v>0</v>
      </c>
      <c r="AV43" s="37">
        <v>541216.07999999996</v>
      </c>
      <c r="AW43" s="37">
        <v>971591.11</v>
      </c>
      <c r="AX43" s="37">
        <v>563081.21</v>
      </c>
      <c r="AY43" s="37">
        <v>574342.82999999996</v>
      </c>
      <c r="AZ43" s="37">
        <v>0</v>
      </c>
      <c r="BA43" s="37">
        <v>0</v>
      </c>
      <c r="BB43" s="37">
        <v>0</v>
      </c>
      <c r="BC43" s="37">
        <v>0</v>
      </c>
      <c r="BD43" s="37">
        <v>2655331.23</v>
      </c>
      <c r="BE43" s="37">
        <v>27575</v>
      </c>
      <c r="BF43" s="37">
        <v>0</v>
      </c>
      <c r="BG43" s="37">
        <v>0</v>
      </c>
      <c r="BH43" s="37">
        <v>0</v>
      </c>
      <c r="BI43" s="37">
        <v>0</v>
      </c>
      <c r="BJ43" s="37">
        <v>0</v>
      </c>
      <c r="BK43" s="37">
        <v>0</v>
      </c>
      <c r="BL43" s="37">
        <v>0</v>
      </c>
      <c r="BM43" s="37">
        <v>0</v>
      </c>
      <c r="BN43" s="37">
        <v>0</v>
      </c>
      <c r="BO43" s="37">
        <v>0</v>
      </c>
      <c r="BP43" s="37">
        <v>0</v>
      </c>
      <c r="BQ43" s="37">
        <v>0</v>
      </c>
      <c r="BR43" s="37">
        <v>0</v>
      </c>
      <c r="BS43" s="37">
        <v>0</v>
      </c>
      <c r="BT43" s="37">
        <v>0</v>
      </c>
      <c r="BU43" s="37">
        <v>0</v>
      </c>
      <c r="BV43" s="37">
        <v>0</v>
      </c>
      <c r="BW43" s="37">
        <v>0</v>
      </c>
      <c r="BX43" s="37">
        <v>0</v>
      </c>
      <c r="BY43" s="37">
        <v>0</v>
      </c>
      <c r="BZ43" s="37">
        <v>0</v>
      </c>
      <c r="CA43" s="37">
        <v>0</v>
      </c>
      <c r="CB43" s="37">
        <v>0</v>
      </c>
      <c r="CC43" s="37">
        <v>0</v>
      </c>
      <c r="CD43" s="37">
        <v>0</v>
      </c>
      <c r="CE43" s="37">
        <v>0</v>
      </c>
      <c r="CF43" s="37">
        <v>0</v>
      </c>
      <c r="CG43" s="37">
        <v>0</v>
      </c>
      <c r="CH43" s="37">
        <v>0</v>
      </c>
      <c r="CI43" s="37">
        <v>0</v>
      </c>
      <c r="CJ43" s="37">
        <v>0</v>
      </c>
      <c r="CK43" s="37">
        <v>0</v>
      </c>
      <c r="CL43" s="37">
        <v>0</v>
      </c>
      <c r="CM43" s="37">
        <v>0</v>
      </c>
      <c r="CN43" s="37">
        <v>0</v>
      </c>
      <c r="CO43" s="37">
        <v>0</v>
      </c>
      <c r="CP43" s="37">
        <v>0</v>
      </c>
      <c r="CQ43" s="37">
        <v>0</v>
      </c>
      <c r="CR43" s="37">
        <v>0</v>
      </c>
      <c r="CS43" s="37">
        <v>0</v>
      </c>
      <c r="CT43" s="37">
        <v>0</v>
      </c>
      <c r="CU43" s="37">
        <v>0</v>
      </c>
      <c r="CV43" s="37">
        <v>0</v>
      </c>
      <c r="CW43" s="37">
        <v>0</v>
      </c>
      <c r="CX43" s="37">
        <v>0</v>
      </c>
      <c r="CY43" s="37">
        <v>0</v>
      </c>
      <c r="CZ43" s="37">
        <v>0</v>
      </c>
      <c r="DA43" s="37">
        <v>0</v>
      </c>
      <c r="DB43" s="37">
        <v>0</v>
      </c>
      <c r="DC43" s="37">
        <v>0</v>
      </c>
      <c r="DD43" s="37">
        <v>0</v>
      </c>
      <c r="DE43" s="37">
        <v>0</v>
      </c>
      <c r="DF43" s="37">
        <v>0</v>
      </c>
      <c r="DG43" s="37">
        <v>0</v>
      </c>
      <c r="DH43" s="37">
        <v>0</v>
      </c>
      <c r="DI43" s="37">
        <v>0</v>
      </c>
      <c r="DJ43" s="37">
        <v>0</v>
      </c>
      <c r="DK43" s="37">
        <v>0</v>
      </c>
      <c r="DL43" s="37">
        <v>0</v>
      </c>
      <c r="DM43" s="37">
        <v>0</v>
      </c>
      <c r="DN43" s="37">
        <v>5000</v>
      </c>
      <c r="DO43" s="37">
        <v>0</v>
      </c>
      <c r="DP43" s="37">
        <v>0</v>
      </c>
      <c r="DQ43" s="37">
        <v>0</v>
      </c>
      <c r="DR43" s="37">
        <v>0</v>
      </c>
      <c r="DS43" s="37">
        <v>0</v>
      </c>
      <c r="DT43" s="37">
        <v>0</v>
      </c>
      <c r="DU43" s="37">
        <v>0</v>
      </c>
      <c r="DV43" s="37">
        <v>0</v>
      </c>
      <c r="DW43" s="37">
        <v>0</v>
      </c>
      <c r="DX43" s="37">
        <v>5000</v>
      </c>
      <c r="DY43" s="37">
        <v>0</v>
      </c>
      <c r="DZ43" s="37">
        <v>0</v>
      </c>
      <c r="EA43" s="37">
        <v>0</v>
      </c>
      <c r="EB43" s="37">
        <v>0</v>
      </c>
      <c r="EC43" s="37">
        <v>0</v>
      </c>
      <c r="ED43" s="37">
        <v>0</v>
      </c>
      <c r="EE43" s="37">
        <v>0</v>
      </c>
      <c r="EF43" s="37">
        <v>0</v>
      </c>
      <c r="EG43" s="37">
        <v>0</v>
      </c>
      <c r="EH43" s="37">
        <v>0</v>
      </c>
      <c r="EI43" s="37">
        <v>0</v>
      </c>
      <c r="EJ43" s="37">
        <v>0</v>
      </c>
      <c r="EK43" s="161" t="s">
        <v>1438</v>
      </c>
      <c r="EL43" s="294" t="s">
        <v>1124</v>
      </c>
    </row>
    <row r="44" spans="1:142" ht="15" customHeight="1" x14ac:dyDescent="0.35">
      <c r="A44" s="34"/>
      <c r="B44" s="313">
        <v>27028</v>
      </c>
      <c r="C44" s="8" t="s">
        <v>180</v>
      </c>
      <c r="D44" s="18">
        <v>12</v>
      </c>
      <c r="E44" s="155">
        <v>665496</v>
      </c>
      <c r="F44" s="36">
        <v>812335</v>
      </c>
      <c r="G44" s="37">
        <v>116286</v>
      </c>
      <c r="H44" s="37">
        <v>45793</v>
      </c>
      <c r="I44" s="37">
        <v>362205</v>
      </c>
      <c r="J44" s="37">
        <v>175406</v>
      </c>
      <c r="K44" s="37">
        <v>99824.4</v>
      </c>
      <c r="L44" s="37">
        <v>121850.25</v>
      </c>
      <c r="M44" s="37">
        <v>1243811.3999999999</v>
      </c>
      <c r="N44" s="37">
        <v>1155384.25</v>
      </c>
      <c r="O44" s="37">
        <v>216129</v>
      </c>
      <c r="P44" s="37">
        <v>0</v>
      </c>
      <c r="Q44" s="37">
        <v>655236</v>
      </c>
      <c r="R44" s="37">
        <v>529370</v>
      </c>
      <c r="S44" s="37">
        <v>0</v>
      </c>
      <c r="T44" s="37">
        <v>174261</v>
      </c>
      <c r="U44" s="37">
        <v>30376</v>
      </c>
      <c r="V44" s="37">
        <v>31623</v>
      </c>
      <c r="W44" s="37">
        <v>342070.39999999991</v>
      </c>
      <c r="X44" s="37">
        <v>420130.25</v>
      </c>
      <c r="Y44" s="37">
        <v>0</v>
      </c>
      <c r="Z44" s="37">
        <v>0</v>
      </c>
      <c r="AA44" s="37">
        <v>1243811.3999999999</v>
      </c>
      <c r="AB44" s="37">
        <v>1155384.25</v>
      </c>
      <c r="AC44" s="37">
        <v>0</v>
      </c>
      <c r="AD44" s="37">
        <v>0</v>
      </c>
      <c r="AE44" s="37">
        <v>0</v>
      </c>
      <c r="AF44" s="168">
        <v>0.02</v>
      </c>
      <c r="AG44" s="37">
        <v>129222940.68000001</v>
      </c>
      <c r="AH44" s="37">
        <v>722056.6</v>
      </c>
      <c r="AI44" s="37">
        <v>736497.73</v>
      </c>
      <c r="AJ44" s="37">
        <v>751227.69</v>
      </c>
      <c r="AK44" s="37">
        <v>766252.24</v>
      </c>
      <c r="AL44" s="37">
        <v>781577.28</v>
      </c>
      <c r="AM44" s="37">
        <v>797208.83</v>
      </c>
      <c r="AN44" s="37">
        <v>813153.01</v>
      </c>
      <c r="AO44" s="37">
        <v>829416.07</v>
      </c>
      <c r="AP44" s="37">
        <v>846004.39</v>
      </c>
      <c r="AQ44" s="37">
        <v>862924.48</v>
      </c>
      <c r="AR44" s="37">
        <v>7906318.3200000003</v>
      </c>
      <c r="AS44" s="37">
        <v>4583000.34</v>
      </c>
      <c r="AT44" s="37">
        <v>0</v>
      </c>
      <c r="AU44" s="37">
        <v>0</v>
      </c>
      <c r="AV44" s="37">
        <v>0</v>
      </c>
      <c r="AW44" s="37">
        <v>0</v>
      </c>
      <c r="AX44" s="37">
        <v>0</v>
      </c>
      <c r="AY44" s="37">
        <v>0</v>
      </c>
      <c r="AZ44" s="37">
        <v>0</v>
      </c>
      <c r="BA44" s="37">
        <v>0</v>
      </c>
      <c r="BB44" s="37">
        <v>0</v>
      </c>
      <c r="BC44" s="37">
        <v>0</v>
      </c>
      <c r="BD44" s="37">
        <v>0</v>
      </c>
      <c r="BE44" s="37">
        <v>30873</v>
      </c>
      <c r="BF44" s="37">
        <v>363728</v>
      </c>
      <c r="BG44" s="37">
        <v>2202787</v>
      </c>
      <c r="BH44" s="37">
        <v>1451544</v>
      </c>
      <c r="BI44" s="37">
        <v>0</v>
      </c>
      <c r="BJ44" s="37">
        <v>0</v>
      </c>
      <c r="BK44" s="37">
        <v>0</v>
      </c>
      <c r="BL44" s="37">
        <v>0</v>
      </c>
      <c r="BM44" s="37">
        <v>0</v>
      </c>
      <c r="BN44" s="37">
        <v>0</v>
      </c>
      <c r="BO44" s="37">
        <v>0</v>
      </c>
      <c r="BP44" s="37">
        <v>4018059</v>
      </c>
      <c r="BQ44" s="37">
        <v>15437</v>
      </c>
      <c r="BR44" s="37">
        <v>101224</v>
      </c>
      <c r="BS44" s="37">
        <v>738508</v>
      </c>
      <c r="BT44" s="37">
        <v>362886</v>
      </c>
      <c r="BU44" s="37">
        <v>0</v>
      </c>
      <c r="BV44" s="37">
        <v>0</v>
      </c>
      <c r="BW44" s="37">
        <v>0</v>
      </c>
      <c r="BX44" s="37">
        <v>0</v>
      </c>
      <c r="BY44" s="37">
        <v>0</v>
      </c>
      <c r="BZ44" s="37">
        <v>0</v>
      </c>
      <c r="CA44" s="37">
        <v>0</v>
      </c>
      <c r="CB44" s="37">
        <v>1202618</v>
      </c>
      <c r="CC44" s="37">
        <v>0</v>
      </c>
      <c r="CD44" s="37">
        <v>0</v>
      </c>
      <c r="CE44" s="37">
        <v>0</v>
      </c>
      <c r="CF44" s="37">
        <v>0</v>
      </c>
      <c r="CG44" s="37">
        <v>0</v>
      </c>
      <c r="CH44" s="37">
        <v>0</v>
      </c>
      <c r="CI44" s="37">
        <v>0</v>
      </c>
      <c r="CJ44" s="37">
        <v>0</v>
      </c>
      <c r="CK44" s="37">
        <v>0</v>
      </c>
      <c r="CL44" s="37">
        <v>0</v>
      </c>
      <c r="CM44" s="37">
        <v>0</v>
      </c>
      <c r="CN44" s="37">
        <v>0</v>
      </c>
      <c r="CO44" s="37">
        <v>0</v>
      </c>
      <c r="CP44" s="37">
        <v>0</v>
      </c>
      <c r="CQ44" s="37">
        <v>0</v>
      </c>
      <c r="CR44" s="37">
        <v>0</v>
      </c>
      <c r="CS44" s="37">
        <v>0</v>
      </c>
      <c r="CT44" s="37">
        <v>0</v>
      </c>
      <c r="CU44" s="37">
        <v>0</v>
      </c>
      <c r="CV44" s="37">
        <v>0</v>
      </c>
      <c r="CW44" s="37">
        <v>0</v>
      </c>
      <c r="CX44" s="37">
        <v>0</v>
      </c>
      <c r="CY44" s="37">
        <v>0</v>
      </c>
      <c r="CZ44" s="37">
        <v>0</v>
      </c>
      <c r="DA44" s="37">
        <v>0</v>
      </c>
      <c r="DB44" s="37">
        <v>0</v>
      </c>
      <c r="DC44" s="37">
        <v>0</v>
      </c>
      <c r="DD44" s="37">
        <v>0</v>
      </c>
      <c r="DE44" s="37">
        <v>0</v>
      </c>
      <c r="DF44" s="37">
        <v>0</v>
      </c>
      <c r="DG44" s="37">
        <v>0</v>
      </c>
      <c r="DH44" s="37">
        <v>0</v>
      </c>
      <c r="DI44" s="37">
        <v>0</v>
      </c>
      <c r="DJ44" s="37">
        <v>0</v>
      </c>
      <c r="DK44" s="37">
        <v>0</v>
      </c>
      <c r="DL44" s="37">
        <v>0</v>
      </c>
      <c r="DM44" s="37">
        <v>0</v>
      </c>
      <c r="DN44" s="37">
        <v>0</v>
      </c>
      <c r="DO44" s="37">
        <v>0</v>
      </c>
      <c r="DP44" s="37">
        <v>0</v>
      </c>
      <c r="DQ44" s="37">
        <v>0</v>
      </c>
      <c r="DR44" s="37">
        <v>0</v>
      </c>
      <c r="DS44" s="37">
        <v>0</v>
      </c>
      <c r="DT44" s="37">
        <v>0</v>
      </c>
      <c r="DU44" s="37">
        <v>0</v>
      </c>
      <c r="DV44" s="37">
        <v>0</v>
      </c>
      <c r="DW44" s="37">
        <v>0</v>
      </c>
      <c r="DX44" s="37">
        <v>0</v>
      </c>
      <c r="DY44" s="37">
        <v>0</v>
      </c>
      <c r="DZ44" s="37">
        <v>0</v>
      </c>
      <c r="EA44" s="37">
        <v>0</v>
      </c>
      <c r="EB44" s="37">
        <v>0</v>
      </c>
      <c r="EC44" s="37">
        <v>0</v>
      </c>
      <c r="ED44" s="37">
        <v>0</v>
      </c>
      <c r="EE44" s="37">
        <v>0</v>
      </c>
      <c r="EF44" s="37">
        <v>0</v>
      </c>
      <c r="EG44" s="37">
        <v>0</v>
      </c>
      <c r="EH44" s="37">
        <v>0</v>
      </c>
      <c r="EI44" s="37">
        <v>0</v>
      </c>
      <c r="EJ44" s="37">
        <v>0</v>
      </c>
      <c r="EK44" s="161" t="s">
        <v>1516</v>
      </c>
      <c r="EL44" s="294" t="s">
        <v>1124</v>
      </c>
    </row>
    <row r="45" spans="1:142" ht="15" customHeight="1" x14ac:dyDescent="0.35">
      <c r="A45" s="34"/>
      <c r="B45" s="313">
        <v>70022</v>
      </c>
      <c r="C45" s="8" t="s">
        <v>699</v>
      </c>
      <c r="D45" s="18">
        <v>16</v>
      </c>
      <c r="E45" s="155">
        <v>1513779</v>
      </c>
      <c r="F45" s="36">
        <v>1335017</v>
      </c>
      <c r="G45" s="37">
        <v>112359</v>
      </c>
      <c r="H45" s="37">
        <v>82</v>
      </c>
      <c r="I45" s="37">
        <v>356800</v>
      </c>
      <c r="J45" s="37">
        <v>1085</v>
      </c>
      <c r="K45" s="37">
        <v>227067</v>
      </c>
      <c r="L45" s="37">
        <v>200253</v>
      </c>
      <c r="M45" s="37">
        <v>2210005</v>
      </c>
      <c r="N45" s="37">
        <v>1536437</v>
      </c>
      <c r="O45" s="37">
        <v>53222.53</v>
      </c>
      <c r="P45" s="37">
        <v>0</v>
      </c>
      <c r="Q45" s="37">
        <v>1481115.39</v>
      </c>
      <c r="R45" s="37">
        <v>1318956.3600000001</v>
      </c>
      <c r="S45" s="37">
        <v>0</v>
      </c>
      <c r="T45" s="37">
        <v>0</v>
      </c>
      <c r="U45" s="37">
        <v>25979</v>
      </c>
      <c r="V45" s="37">
        <v>32378</v>
      </c>
      <c r="W45" s="37">
        <v>350287.47</v>
      </c>
      <c r="X45" s="37">
        <v>484503</v>
      </c>
      <c r="Y45" s="37">
        <v>0</v>
      </c>
      <c r="Z45" s="37">
        <v>0</v>
      </c>
      <c r="AA45" s="37">
        <v>1910604.39</v>
      </c>
      <c r="AB45" s="37">
        <v>1835837.36</v>
      </c>
      <c r="AC45" s="37">
        <v>0</v>
      </c>
      <c r="AD45" s="37">
        <v>0</v>
      </c>
      <c r="AE45" s="37">
        <v>0</v>
      </c>
      <c r="AF45" s="168">
        <v>0.02</v>
      </c>
      <c r="AG45" s="37">
        <v>116545229.51000001</v>
      </c>
      <c r="AH45" s="37">
        <v>738852.25</v>
      </c>
      <c r="AI45" s="37">
        <v>753629.3</v>
      </c>
      <c r="AJ45" s="37">
        <v>768701.88</v>
      </c>
      <c r="AK45" s="37">
        <v>784075.92</v>
      </c>
      <c r="AL45" s="37">
        <v>799757.44</v>
      </c>
      <c r="AM45" s="37">
        <v>815752.59</v>
      </c>
      <c r="AN45" s="37">
        <v>832067.64</v>
      </c>
      <c r="AO45" s="37">
        <v>848708.99</v>
      </c>
      <c r="AP45" s="37">
        <v>865683.17</v>
      </c>
      <c r="AQ45" s="37">
        <v>882996.84</v>
      </c>
      <c r="AR45" s="37">
        <v>8090226.0199999996</v>
      </c>
      <c r="AS45" s="37">
        <v>17439610.32</v>
      </c>
      <c r="AT45" s="37">
        <v>1184675.3899999999</v>
      </c>
      <c r="AU45" s="37">
        <v>729793.8</v>
      </c>
      <c r="AV45" s="37">
        <v>747251.63</v>
      </c>
      <c r="AW45" s="37">
        <v>891567.33</v>
      </c>
      <c r="AX45" s="37">
        <v>644889.03</v>
      </c>
      <c r="AY45" s="37">
        <v>1149987.1299999999</v>
      </c>
      <c r="AZ45" s="37">
        <v>346627.23</v>
      </c>
      <c r="BA45" s="37">
        <v>782353.01</v>
      </c>
      <c r="BB45" s="37">
        <v>798000.07</v>
      </c>
      <c r="BC45" s="37">
        <v>0</v>
      </c>
      <c r="BD45" s="37">
        <v>7275144.6199999992</v>
      </c>
      <c r="BE45" s="37">
        <v>83404</v>
      </c>
      <c r="BF45" s="37">
        <v>2329242</v>
      </c>
      <c r="BG45" s="37">
        <v>624269</v>
      </c>
      <c r="BH45" s="37">
        <v>91287</v>
      </c>
      <c r="BI45" s="37">
        <v>94125</v>
      </c>
      <c r="BJ45" s="37">
        <v>71919</v>
      </c>
      <c r="BK45" s="37">
        <v>74429</v>
      </c>
      <c r="BL45" s="37">
        <v>77026</v>
      </c>
      <c r="BM45" s="37">
        <v>79717</v>
      </c>
      <c r="BN45" s="37">
        <v>82504</v>
      </c>
      <c r="BO45" s="37">
        <v>85390</v>
      </c>
      <c r="BP45" s="37">
        <v>3609908</v>
      </c>
      <c r="BQ45" s="37">
        <v>0</v>
      </c>
      <c r="BR45" s="37">
        <v>2313021</v>
      </c>
      <c r="BS45" s="37">
        <v>1080627</v>
      </c>
      <c r="BT45" s="37">
        <v>0</v>
      </c>
      <c r="BU45" s="37">
        <v>0</v>
      </c>
      <c r="BV45" s="37">
        <v>7800000</v>
      </c>
      <c r="BW45" s="37">
        <v>0</v>
      </c>
      <c r="BX45" s="37">
        <v>0</v>
      </c>
      <c r="BY45" s="37">
        <v>0</v>
      </c>
      <c r="BZ45" s="37">
        <v>0</v>
      </c>
      <c r="CA45" s="37">
        <v>0</v>
      </c>
      <c r="CB45" s="37">
        <v>11193648</v>
      </c>
      <c r="CC45" s="37">
        <v>0</v>
      </c>
      <c r="CD45" s="37">
        <v>0</v>
      </c>
      <c r="CE45" s="37">
        <v>0</v>
      </c>
      <c r="CF45" s="37">
        <v>0</v>
      </c>
      <c r="CG45" s="37">
        <v>0</v>
      </c>
      <c r="CH45" s="37">
        <v>0</v>
      </c>
      <c r="CI45" s="37">
        <v>0</v>
      </c>
      <c r="CJ45" s="37">
        <v>0</v>
      </c>
      <c r="CK45" s="37">
        <v>0</v>
      </c>
      <c r="CL45" s="37">
        <v>0</v>
      </c>
      <c r="CM45" s="37">
        <v>0</v>
      </c>
      <c r="CN45" s="37">
        <v>0</v>
      </c>
      <c r="CO45" s="37">
        <v>0</v>
      </c>
      <c r="CP45" s="37">
        <v>0</v>
      </c>
      <c r="CQ45" s="37">
        <v>0</v>
      </c>
      <c r="CR45" s="37">
        <v>0</v>
      </c>
      <c r="CS45" s="37">
        <v>0</v>
      </c>
      <c r="CT45" s="37">
        <v>0</v>
      </c>
      <c r="CU45" s="37">
        <v>0</v>
      </c>
      <c r="CV45" s="37">
        <v>0</v>
      </c>
      <c r="CW45" s="37">
        <v>0</v>
      </c>
      <c r="CX45" s="37">
        <v>0</v>
      </c>
      <c r="CY45" s="37">
        <v>0</v>
      </c>
      <c r="CZ45" s="37">
        <v>0</v>
      </c>
      <c r="DA45" s="37">
        <v>5100000</v>
      </c>
      <c r="DB45" s="37">
        <v>455000</v>
      </c>
      <c r="DC45" s="37">
        <v>4495000</v>
      </c>
      <c r="DD45" s="37">
        <v>0</v>
      </c>
      <c r="DE45" s="37">
        <v>0</v>
      </c>
      <c r="DF45" s="37">
        <v>0</v>
      </c>
      <c r="DG45" s="37">
        <v>0</v>
      </c>
      <c r="DH45" s="37">
        <v>0</v>
      </c>
      <c r="DI45" s="37">
        <v>0</v>
      </c>
      <c r="DJ45" s="37">
        <v>0</v>
      </c>
      <c r="DK45" s="37">
        <v>0</v>
      </c>
      <c r="DL45" s="37">
        <v>4950000</v>
      </c>
      <c r="DM45" s="37">
        <v>0</v>
      </c>
      <c r="DN45" s="37">
        <v>0</v>
      </c>
      <c r="DO45" s="37">
        <v>0</v>
      </c>
      <c r="DP45" s="37">
        <v>0</v>
      </c>
      <c r="DQ45" s="37">
        <v>0</v>
      </c>
      <c r="DR45" s="37">
        <v>0</v>
      </c>
      <c r="DS45" s="37">
        <v>0</v>
      </c>
      <c r="DT45" s="37">
        <v>0</v>
      </c>
      <c r="DU45" s="37">
        <v>0</v>
      </c>
      <c r="DV45" s="37">
        <v>0</v>
      </c>
      <c r="DW45" s="37">
        <v>0</v>
      </c>
      <c r="DX45" s="37">
        <v>0</v>
      </c>
      <c r="DY45" s="37">
        <v>0</v>
      </c>
      <c r="DZ45" s="37">
        <v>0</v>
      </c>
      <c r="EA45" s="37">
        <v>0</v>
      </c>
      <c r="EB45" s="37">
        <v>0</v>
      </c>
      <c r="EC45" s="37">
        <v>0</v>
      </c>
      <c r="ED45" s="37">
        <v>0</v>
      </c>
      <c r="EE45" s="37">
        <v>0</v>
      </c>
      <c r="EF45" s="37">
        <v>0</v>
      </c>
      <c r="EG45" s="37">
        <v>0</v>
      </c>
      <c r="EH45" s="37">
        <v>0</v>
      </c>
      <c r="EI45" s="37">
        <v>0</v>
      </c>
      <c r="EJ45" s="37">
        <v>0</v>
      </c>
      <c r="EK45" s="161" t="s">
        <v>1124</v>
      </c>
      <c r="EL45" s="294" t="s">
        <v>1124</v>
      </c>
    </row>
    <row r="46" spans="1:142" ht="15" customHeight="1" x14ac:dyDescent="0.35">
      <c r="A46" s="34"/>
      <c r="B46" s="313">
        <v>31008</v>
      </c>
      <c r="C46" s="8" t="s">
        <v>237</v>
      </c>
      <c r="D46" s="18">
        <v>12</v>
      </c>
      <c r="E46" s="155">
        <v>90297</v>
      </c>
      <c r="F46" s="36">
        <v>55493</v>
      </c>
      <c r="G46" s="37">
        <v>15420</v>
      </c>
      <c r="H46" s="37">
        <v>6482</v>
      </c>
      <c r="I46" s="37">
        <v>7885</v>
      </c>
      <c r="J46" s="37">
        <v>1984</v>
      </c>
      <c r="K46" s="37">
        <v>13544.55</v>
      </c>
      <c r="L46" s="37">
        <v>8323.9499999999989</v>
      </c>
      <c r="M46" s="37">
        <v>127146.55</v>
      </c>
      <c r="N46" s="37">
        <v>72282.95</v>
      </c>
      <c r="O46" s="37">
        <v>0</v>
      </c>
      <c r="P46" s="37">
        <v>0</v>
      </c>
      <c r="Q46" s="37">
        <v>135186</v>
      </c>
      <c r="R46" s="37">
        <v>58080</v>
      </c>
      <c r="S46" s="37">
        <v>1139</v>
      </c>
      <c r="T46" s="37">
        <v>1072</v>
      </c>
      <c r="U46" s="37">
        <v>4122</v>
      </c>
      <c r="V46" s="37">
        <v>3747</v>
      </c>
      <c r="W46" s="37">
        <v>0</v>
      </c>
      <c r="X46" s="37">
        <v>0</v>
      </c>
      <c r="Y46" s="37">
        <v>0</v>
      </c>
      <c r="Z46" s="37">
        <v>0</v>
      </c>
      <c r="AA46" s="37">
        <v>140447</v>
      </c>
      <c r="AB46" s="37">
        <v>62899</v>
      </c>
      <c r="AC46" s="37">
        <v>3916.5</v>
      </c>
      <c r="AD46" s="37">
        <v>0</v>
      </c>
      <c r="AE46" s="37">
        <v>23387</v>
      </c>
      <c r="AF46" s="168">
        <v>0.02</v>
      </c>
      <c r="AG46" s="37">
        <v>14468253.689999999</v>
      </c>
      <c r="AH46" s="37">
        <v>102187.73</v>
      </c>
      <c r="AI46" s="37">
        <v>234229.47</v>
      </c>
      <c r="AJ46" s="37">
        <v>238914.06</v>
      </c>
      <c r="AK46" s="37">
        <v>91881.23</v>
      </c>
      <c r="AL46" s="37">
        <v>93718.85</v>
      </c>
      <c r="AM46" s="37">
        <v>95593.23</v>
      </c>
      <c r="AN46" s="37">
        <v>97505.1</v>
      </c>
      <c r="AO46" s="37">
        <v>99455.2</v>
      </c>
      <c r="AP46" s="37">
        <v>162394.01999999999</v>
      </c>
      <c r="AQ46" s="37">
        <v>103473.19</v>
      </c>
      <c r="AR46" s="37">
        <v>1319352.0799999998</v>
      </c>
      <c r="AS46" s="37">
        <v>1443034.8</v>
      </c>
      <c r="AT46" s="37">
        <v>3121.2</v>
      </c>
      <c r="AU46" s="37">
        <v>0</v>
      </c>
      <c r="AV46" s="37">
        <v>0</v>
      </c>
      <c r="AW46" s="37">
        <v>0</v>
      </c>
      <c r="AX46" s="37">
        <v>0</v>
      </c>
      <c r="AY46" s="37">
        <v>0</v>
      </c>
      <c r="AZ46" s="37">
        <v>0</v>
      </c>
      <c r="BA46" s="37">
        <v>0</v>
      </c>
      <c r="BB46" s="37">
        <v>0</v>
      </c>
      <c r="BC46" s="37">
        <v>0</v>
      </c>
      <c r="BD46" s="37">
        <v>3121.2</v>
      </c>
      <c r="BE46" s="37">
        <v>0</v>
      </c>
      <c r="BF46" s="37">
        <v>825948</v>
      </c>
      <c r="BG46" s="37">
        <v>0</v>
      </c>
      <c r="BH46" s="37">
        <v>0</v>
      </c>
      <c r="BI46" s="37">
        <v>0</v>
      </c>
      <c r="BJ46" s="37">
        <v>0</v>
      </c>
      <c r="BK46" s="37">
        <v>0</v>
      </c>
      <c r="BL46" s="37">
        <v>0</v>
      </c>
      <c r="BM46" s="37">
        <v>0</v>
      </c>
      <c r="BN46" s="37">
        <v>0</v>
      </c>
      <c r="BO46" s="37">
        <v>0</v>
      </c>
      <c r="BP46" s="37">
        <v>825948</v>
      </c>
      <c r="BQ46" s="37">
        <v>0</v>
      </c>
      <c r="BR46" s="37">
        <v>230076</v>
      </c>
      <c r="BS46" s="37">
        <v>0</v>
      </c>
      <c r="BT46" s="37">
        <v>0</v>
      </c>
      <c r="BU46" s="37">
        <v>0</v>
      </c>
      <c r="BV46" s="37">
        <v>0</v>
      </c>
      <c r="BW46" s="37">
        <v>0</v>
      </c>
      <c r="BX46" s="37">
        <v>0</v>
      </c>
      <c r="BY46" s="37">
        <v>0</v>
      </c>
      <c r="BZ46" s="37">
        <v>0</v>
      </c>
      <c r="CA46" s="37">
        <v>0</v>
      </c>
      <c r="CB46" s="37">
        <v>230076</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D46" s="37">
        <v>0</v>
      </c>
      <c r="DE46" s="37">
        <v>0</v>
      </c>
      <c r="DF46" s="37">
        <v>0</v>
      </c>
      <c r="DG46" s="37">
        <v>0</v>
      </c>
      <c r="DH46" s="37">
        <v>0</v>
      </c>
      <c r="DI46" s="37">
        <v>0</v>
      </c>
      <c r="DJ46" s="37">
        <v>0</v>
      </c>
      <c r="DK46" s="37">
        <v>0</v>
      </c>
      <c r="DL46" s="37">
        <v>0</v>
      </c>
      <c r="DM46" s="37">
        <v>0</v>
      </c>
      <c r="DN46" s="37">
        <v>0</v>
      </c>
      <c r="DO46" s="37">
        <v>0</v>
      </c>
      <c r="DP46" s="37">
        <v>0</v>
      </c>
      <c r="DQ46" s="37">
        <v>0</v>
      </c>
      <c r="DR46" s="37">
        <v>0</v>
      </c>
      <c r="DS46" s="37">
        <v>0</v>
      </c>
      <c r="DT46" s="37">
        <v>0</v>
      </c>
      <c r="DU46" s="37">
        <v>0</v>
      </c>
      <c r="DV46" s="37">
        <v>0</v>
      </c>
      <c r="DW46" s="37">
        <v>0</v>
      </c>
      <c r="DX46" s="37">
        <v>0</v>
      </c>
      <c r="DY46" s="37">
        <v>0</v>
      </c>
      <c r="DZ46" s="37">
        <v>0</v>
      </c>
      <c r="EA46" s="37">
        <v>0</v>
      </c>
      <c r="EB46" s="37">
        <v>0</v>
      </c>
      <c r="EC46" s="37">
        <v>0</v>
      </c>
      <c r="ED46" s="37">
        <v>0</v>
      </c>
      <c r="EE46" s="37">
        <v>0</v>
      </c>
      <c r="EF46" s="37">
        <v>0</v>
      </c>
      <c r="EG46" s="37">
        <v>0</v>
      </c>
      <c r="EH46" s="37">
        <v>0</v>
      </c>
      <c r="EI46" s="37">
        <v>0</v>
      </c>
      <c r="EJ46" s="37">
        <v>0</v>
      </c>
      <c r="EK46" s="161" t="s">
        <v>1406</v>
      </c>
      <c r="EL46" s="294" t="s">
        <v>1124</v>
      </c>
    </row>
    <row r="47" spans="1:142" ht="15" customHeight="1" x14ac:dyDescent="0.35">
      <c r="A47" s="34"/>
      <c r="B47" s="313">
        <v>19105</v>
      </c>
      <c r="C47" s="8" t="s">
        <v>135</v>
      </c>
      <c r="D47" s="18">
        <v>12</v>
      </c>
      <c r="E47" s="155">
        <v>71046</v>
      </c>
      <c r="F47" s="36">
        <v>178040</v>
      </c>
      <c r="G47" s="37">
        <v>33061</v>
      </c>
      <c r="H47" s="37">
        <v>50635</v>
      </c>
      <c r="I47" s="37">
        <v>109025</v>
      </c>
      <c r="J47" s="37">
        <v>141216</v>
      </c>
      <c r="K47" s="37">
        <v>10656.9</v>
      </c>
      <c r="L47" s="37">
        <v>26706</v>
      </c>
      <c r="M47" s="37">
        <v>223788.9</v>
      </c>
      <c r="N47" s="37">
        <v>396597</v>
      </c>
      <c r="O47" s="37">
        <v>0</v>
      </c>
      <c r="P47" s="37">
        <v>0</v>
      </c>
      <c r="Q47" s="37">
        <v>111135</v>
      </c>
      <c r="R47" s="37">
        <v>118209</v>
      </c>
      <c r="S47" s="37">
        <v>0</v>
      </c>
      <c r="T47" s="37">
        <v>0</v>
      </c>
      <c r="U47" s="37">
        <v>12461</v>
      </c>
      <c r="V47" s="37">
        <v>4679</v>
      </c>
      <c r="W47" s="37">
        <v>100192.9</v>
      </c>
      <c r="X47" s="37">
        <v>273709</v>
      </c>
      <c r="Y47" s="37">
        <v>0</v>
      </c>
      <c r="Z47" s="37">
        <v>0</v>
      </c>
      <c r="AA47" s="37">
        <v>223788.9</v>
      </c>
      <c r="AB47" s="37">
        <v>396597</v>
      </c>
      <c r="AC47" s="37">
        <v>0</v>
      </c>
      <c r="AD47" s="37">
        <v>0</v>
      </c>
      <c r="AE47" s="37">
        <v>0</v>
      </c>
      <c r="AF47" s="168">
        <v>0.02</v>
      </c>
      <c r="AG47" s="37">
        <v>46429770.979999997</v>
      </c>
      <c r="AH47" s="37">
        <v>553817.48</v>
      </c>
      <c r="AI47" s="37">
        <v>564893.82999999996</v>
      </c>
      <c r="AJ47" s="37">
        <v>576191.69999999995</v>
      </c>
      <c r="AK47" s="37">
        <v>587715.54</v>
      </c>
      <c r="AL47" s="37">
        <v>599469.85</v>
      </c>
      <c r="AM47" s="37">
        <v>611459.25</v>
      </c>
      <c r="AN47" s="37">
        <v>623688.43000000005</v>
      </c>
      <c r="AO47" s="37">
        <v>636162.19999999995</v>
      </c>
      <c r="AP47" s="37">
        <v>648885.43999999994</v>
      </c>
      <c r="AQ47" s="37">
        <v>661863.15</v>
      </c>
      <c r="AR47" s="37">
        <v>6064146.8699999992</v>
      </c>
      <c r="AS47" s="37">
        <v>868844.28</v>
      </c>
      <c r="AT47" s="37">
        <v>378081.36</v>
      </c>
      <c r="AU47" s="37">
        <v>176868</v>
      </c>
      <c r="AV47" s="37">
        <v>8670069.3599999994</v>
      </c>
      <c r="AW47" s="37">
        <v>11008335.07</v>
      </c>
      <c r="AX47" s="37">
        <v>0</v>
      </c>
      <c r="AY47" s="37">
        <v>0</v>
      </c>
      <c r="AZ47" s="37">
        <v>0</v>
      </c>
      <c r="BA47" s="37">
        <v>0</v>
      </c>
      <c r="BB47" s="37">
        <v>0</v>
      </c>
      <c r="BC47" s="37">
        <v>0</v>
      </c>
      <c r="BD47" s="37">
        <v>20233353.789999999</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D47" s="37">
        <v>0</v>
      </c>
      <c r="DE47" s="37">
        <v>0</v>
      </c>
      <c r="DF47" s="37">
        <v>0</v>
      </c>
      <c r="DG47" s="37">
        <v>0</v>
      </c>
      <c r="DH47" s="37">
        <v>0</v>
      </c>
      <c r="DI47" s="37">
        <v>0</v>
      </c>
      <c r="DJ47" s="37">
        <v>0</v>
      </c>
      <c r="DK47" s="37">
        <v>0</v>
      </c>
      <c r="DL47" s="37">
        <v>0</v>
      </c>
      <c r="DM47" s="37">
        <v>0</v>
      </c>
      <c r="DN47" s="37">
        <v>0</v>
      </c>
      <c r="DO47" s="37">
        <v>0</v>
      </c>
      <c r="DP47" s="37">
        <v>0</v>
      </c>
      <c r="DQ47" s="37">
        <v>0</v>
      </c>
      <c r="DR47" s="37">
        <v>0</v>
      </c>
      <c r="DS47" s="37">
        <v>0</v>
      </c>
      <c r="DT47" s="37">
        <v>0</v>
      </c>
      <c r="DU47" s="37">
        <v>0</v>
      </c>
      <c r="DV47" s="37">
        <v>0</v>
      </c>
      <c r="DW47" s="37">
        <v>0</v>
      </c>
      <c r="DX47" s="37">
        <v>0</v>
      </c>
      <c r="DY47" s="37">
        <v>0</v>
      </c>
      <c r="DZ47" s="37">
        <v>0</v>
      </c>
      <c r="EA47" s="37">
        <v>0</v>
      </c>
      <c r="EB47" s="37">
        <v>8670069.3599999994</v>
      </c>
      <c r="EC47" s="37">
        <v>11008335.07</v>
      </c>
      <c r="ED47" s="37">
        <v>0</v>
      </c>
      <c r="EE47" s="37">
        <v>0</v>
      </c>
      <c r="EF47" s="37">
        <v>0</v>
      </c>
      <c r="EG47" s="37">
        <v>0</v>
      </c>
      <c r="EH47" s="37">
        <v>0</v>
      </c>
      <c r="EI47" s="37">
        <v>0</v>
      </c>
      <c r="EJ47" s="37">
        <v>19678404.43</v>
      </c>
      <c r="EK47" s="161" t="s">
        <v>1469</v>
      </c>
      <c r="EL47" s="294" t="s">
        <v>1124</v>
      </c>
    </row>
    <row r="48" spans="1:142" ht="15" customHeight="1" x14ac:dyDescent="0.35">
      <c r="A48" s="34"/>
      <c r="B48" s="313">
        <v>21025</v>
      </c>
      <c r="C48" s="8" t="s">
        <v>148</v>
      </c>
      <c r="D48" s="18">
        <v>3</v>
      </c>
      <c r="E48" s="155">
        <v>591853</v>
      </c>
      <c r="F48" s="36">
        <v>738255</v>
      </c>
      <c r="G48" s="37">
        <v>200746</v>
      </c>
      <c r="H48" s="37">
        <v>134870</v>
      </c>
      <c r="I48" s="37">
        <v>413233.18</v>
      </c>
      <c r="J48" s="37">
        <v>284988.40000000002</v>
      </c>
      <c r="K48" s="37">
        <v>88777.95</v>
      </c>
      <c r="L48" s="37">
        <v>110738.25</v>
      </c>
      <c r="M48" s="37">
        <v>1294610.1299999999</v>
      </c>
      <c r="N48" s="37">
        <v>1268851.6499999999</v>
      </c>
      <c r="O48" s="37">
        <v>0</v>
      </c>
      <c r="P48" s="37">
        <v>0</v>
      </c>
      <c r="Q48" s="37">
        <v>563778</v>
      </c>
      <c r="R48" s="37">
        <v>417788</v>
      </c>
      <c r="S48" s="37">
        <v>104774</v>
      </c>
      <c r="T48" s="37">
        <v>388986</v>
      </c>
      <c r="U48" s="37">
        <v>35786</v>
      </c>
      <c r="V48" s="37">
        <v>5029</v>
      </c>
      <c r="W48" s="37">
        <v>590272</v>
      </c>
      <c r="X48" s="37">
        <v>457049</v>
      </c>
      <c r="Y48" s="37">
        <v>0</v>
      </c>
      <c r="Z48" s="37">
        <v>0</v>
      </c>
      <c r="AA48" s="37">
        <v>1294610</v>
      </c>
      <c r="AB48" s="37">
        <v>1268852</v>
      </c>
      <c r="AC48" s="37">
        <v>0</v>
      </c>
      <c r="AD48" s="37">
        <v>0</v>
      </c>
      <c r="AE48" s="37">
        <v>0</v>
      </c>
      <c r="AF48" s="168">
        <v>0.02</v>
      </c>
      <c r="AG48" s="37">
        <v>100886183.22</v>
      </c>
      <c r="AH48" s="37">
        <v>757802.03</v>
      </c>
      <c r="AI48" s="37">
        <v>772958.07</v>
      </c>
      <c r="AJ48" s="37">
        <v>788417.23</v>
      </c>
      <c r="AK48" s="37">
        <v>804185.58</v>
      </c>
      <c r="AL48" s="37">
        <v>820269.29</v>
      </c>
      <c r="AM48" s="37">
        <v>836674.67</v>
      </c>
      <c r="AN48" s="37">
        <v>853408.17</v>
      </c>
      <c r="AO48" s="37">
        <v>870476.33</v>
      </c>
      <c r="AP48" s="37">
        <v>887885.86</v>
      </c>
      <c r="AQ48" s="37">
        <v>905643.58</v>
      </c>
      <c r="AR48" s="37">
        <v>8297720.8100000015</v>
      </c>
      <c r="AS48" s="37">
        <v>3316795.2</v>
      </c>
      <c r="AT48" s="37">
        <v>480318</v>
      </c>
      <c r="AU48" s="37">
        <v>0</v>
      </c>
      <c r="AV48" s="37">
        <v>0</v>
      </c>
      <c r="AW48" s="37">
        <v>0</v>
      </c>
      <c r="AX48" s="37">
        <v>0</v>
      </c>
      <c r="AY48" s="37">
        <v>0</v>
      </c>
      <c r="AZ48" s="37">
        <v>0</v>
      </c>
      <c r="BA48" s="37">
        <v>0</v>
      </c>
      <c r="BB48" s="37">
        <v>0</v>
      </c>
      <c r="BC48" s="37">
        <v>0</v>
      </c>
      <c r="BD48" s="37">
        <v>480318</v>
      </c>
      <c r="BE48" s="37">
        <v>0</v>
      </c>
      <c r="BF48" s="37">
        <v>5148393</v>
      </c>
      <c r="BG48" s="37">
        <v>0</v>
      </c>
      <c r="BH48" s="37">
        <v>0</v>
      </c>
      <c r="BI48" s="37">
        <v>0</v>
      </c>
      <c r="BJ48" s="37">
        <v>0</v>
      </c>
      <c r="BK48" s="37">
        <v>0</v>
      </c>
      <c r="BL48" s="37">
        <v>0</v>
      </c>
      <c r="BM48" s="37">
        <v>0</v>
      </c>
      <c r="BN48" s="37">
        <v>0</v>
      </c>
      <c r="BO48" s="37">
        <v>0</v>
      </c>
      <c r="BP48" s="37">
        <v>5148393</v>
      </c>
      <c r="BQ48" s="37">
        <v>0</v>
      </c>
      <c r="BR48" s="37">
        <v>988564</v>
      </c>
      <c r="BS48" s="37">
        <v>0</v>
      </c>
      <c r="BT48" s="37">
        <v>0</v>
      </c>
      <c r="BU48" s="37">
        <v>0</v>
      </c>
      <c r="BV48" s="37">
        <v>0</v>
      </c>
      <c r="BW48" s="37">
        <v>0</v>
      </c>
      <c r="BX48" s="37">
        <v>0</v>
      </c>
      <c r="BY48" s="37">
        <v>0</v>
      </c>
      <c r="BZ48" s="37">
        <v>0</v>
      </c>
      <c r="CA48" s="37">
        <v>0</v>
      </c>
      <c r="CB48" s="37">
        <v>988564</v>
      </c>
      <c r="CC48" s="37">
        <v>0</v>
      </c>
      <c r="CD48" s="37">
        <v>0</v>
      </c>
      <c r="CE48" s="37">
        <v>0</v>
      </c>
      <c r="CF48" s="37">
        <v>0</v>
      </c>
      <c r="CG48" s="37">
        <v>0</v>
      </c>
      <c r="CH48" s="37">
        <v>0</v>
      </c>
      <c r="CI48" s="37">
        <v>0</v>
      </c>
      <c r="CJ48" s="37">
        <v>0</v>
      </c>
      <c r="CK48" s="37">
        <v>0</v>
      </c>
      <c r="CL48" s="37">
        <v>0</v>
      </c>
      <c r="CM48" s="37">
        <v>0</v>
      </c>
      <c r="CN48" s="37">
        <v>0</v>
      </c>
      <c r="CO48" s="37">
        <v>0</v>
      </c>
      <c r="CP48" s="37">
        <v>425000</v>
      </c>
      <c r="CQ48" s="37">
        <v>0</v>
      </c>
      <c r="CR48" s="37">
        <v>0</v>
      </c>
      <c r="CS48" s="37">
        <v>0</v>
      </c>
      <c r="CT48" s="37">
        <v>0</v>
      </c>
      <c r="CU48" s="37">
        <v>0</v>
      </c>
      <c r="CV48" s="37">
        <v>0</v>
      </c>
      <c r="CW48" s="37">
        <v>0</v>
      </c>
      <c r="CX48" s="37">
        <v>0</v>
      </c>
      <c r="CY48" s="37">
        <v>0</v>
      </c>
      <c r="CZ48" s="37">
        <v>425000</v>
      </c>
      <c r="DA48" s="37">
        <v>0</v>
      </c>
      <c r="DB48" s="37">
        <v>0</v>
      </c>
      <c r="DC48" s="37">
        <v>0</v>
      </c>
      <c r="DD48" s="37">
        <v>0</v>
      </c>
      <c r="DE48" s="37">
        <v>0</v>
      </c>
      <c r="DF48" s="37">
        <v>0</v>
      </c>
      <c r="DG48" s="37">
        <v>0</v>
      </c>
      <c r="DH48" s="37">
        <v>0</v>
      </c>
      <c r="DI48" s="37">
        <v>0</v>
      </c>
      <c r="DJ48" s="37">
        <v>0</v>
      </c>
      <c r="DK48" s="37">
        <v>0</v>
      </c>
      <c r="DL48" s="37">
        <v>0</v>
      </c>
      <c r="DM48" s="37">
        <v>0</v>
      </c>
      <c r="DN48" s="37">
        <v>0</v>
      </c>
      <c r="DO48" s="37">
        <v>0</v>
      </c>
      <c r="DP48" s="37">
        <v>0</v>
      </c>
      <c r="DQ48" s="37">
        <v>0</v>
      </c>
      <c r="DR48" s="37">
        <v>0</v>
      </c>
      <c r="DS48" s="37">
        <v>0</v>
      </c>
      <c r="DT48" s="37">
        <v>0</v>
      </c>
      <c r="DU48" s="37">
        <v>0</v>
      </c>
      <c r="DV48" s="37">
        <v>0</v>
      </c>
      <c r="DW48" s="37">
        <v>0</v>
      </c>
      <c r="DX48" s="37">
        <v>0</v>
      </c>
      <c r="DY48" s="37">
        <v>0</v>
      </c>
      <c r="DZ48" s="37">
        <v>0</v>
      </c>
      <c r="EA48" s="37">
        <v>0</v>
      </c>
      <c r="EB48" s="37">
        <v>0</v>
      </c>
      <c r="EC48" s="37">
        <v>0</v>
      </c>
      <c r="ED48" s="37">
        <v>0</v>
      </c>
      <c r="EE48" s="37">
        <v>0</v>
      </c>
      <c r="EF48" s="37">
        <v>0</v>
      </c>
      <c r="EG48" s="37">
        <v>0</v>
      </c>
      <c r="EH48" s="37">
        <v>0</v>
      </c>
      <c r="EI48" s="37">
        <v>0</v>
      </c>
      <c r="EJ48" s="37">
        <v>0</v>
      </c>
      <c r="EK48" s="161" t="s">
        <v>1450</v>
      </c>
      <c r="EL48" s="294" t="s">
        <v>1124</v>
      </c>
    </row>
    <row r="49" spans="1:142" ht="15" customHeight="1" x14ac:dyDescent="0.35">
      <c r="A49" s="34"/>
      <c r="B49" s="313">
        <v>38010</v>
      </c>
      <c r="C49" s="8" t="s">
        <v>326</v>
      </c>
      <c r="D49" s="18">
        <v>17</v>
      </c>
      <c r="E49" s="155">
        <v>1939436</v>
      </c>
      <c r="F49" s="36">
        <v>844975</v>
      </c>
      <c r="G49" s="37">
        <v>453114</v>
      </c>
      <c r="H49" s="37">
        <v>347846</v>
      </c>
      <c r="I49" s="37">
        <v>737375</v>
      </c>
      <c r="J49" s="37">
        <v>1280500</v>
      </c>
      <c r="K49" s="37">
        <v>290915.39999999997</v>
      </c>
      <c r="L49" s="37">
        <v>126746.25</v>
      </c>
      <c r="M49" s="37">
        <v>3420840.4</v>
      </c>
      <c r="N49" s="37">
        <v>2600067.25</v>
      </c>
      <c r="O49" s="37">
        <v>571897</v>
      </c>
      <c r="P49" s="37">
        <v>19812</v>
      </c>
      <c r="Q49" s="37">
        <v>1328571</v>
      </c>
      <c r="R49" s="37">
        <v>257429</v>
      </c>
      <c r="S49" s="37">
        <v>272051</v>
      </c>
      <c r="T49" s="37">
        <v>24928</v>
      </c>
      <c r="U49" s="37">
        <v>318533</v>
      </c>
      <c r="V49" s="37">
        <v>720896</v>
      </c>
      <c r="W49" s="37">
        <v>929788.39999999991</v>
      </c>
      <c r="X49" s="37">
        <v>1577002.25</v>
      </c>
      <c r="Y49" s="37">
        <v>0</v>
      </c>
      <c r="Z49" s="37">
        <v>0</v>
      </c>
      <c r="AA49" s="37">
        <v>3420840.4</v>
      </c>
      <c r="AB49" s="37">
        <v>2600067.25</v>
      </c>
      <c r="AC49" s="37">
        <v>0</v>
      </c>
      <c r="AD49" s="37">
        <v>0</v>
      </c>
      <c r="AE49" s="37">
        <v>263321</v>
      </c>
      <c r="AF49" s="168">
        <v>0.02</v>
      </c>
      <c r="AG49" s="37">
        <v>487513058.48000002</v>
      </c>
      <c r="AH49" s="37">
        <v>5121767.68</v>
      </c>
      <c r="AI49" s="37">
        <v>5161779.03</v>
      </c>
      <c r="AJ49" s="37">
        <v>6060920.6100000003</v>
      </c>
      <c r="AK49" s="37">
        <v>5370314.9000000004</v>
      </c>
      <c r="AL49" s="37">
        <v>5477721.2000000002</v>
      </c>
      <c r="AM49" s="37">
        <v>5587275.6200000001</v>
      </c>
      <c r="AN49" s="37">
        <v>5699021.1399999997</v>
      </c>
      <c r="AO49" s="37">
        <v>5813001.5599999996</v>
      </c>
      <c r="AP49" s="37">
        <v>5929261.5899999999</v>
      </c>
      <c r="AQ49" s="37">
        <v>6047846.8200000003</v>
      </c>
      <c r="AR49" s="37">
        <v>56268910.149999999</v>
      </c>
      <c r="AS49" s="37">
        <v>7792817.2199999997</v>
      </c>
      <c r="AT49" s="37">
        <v>3406800</v>
      </c>
      <c r="AU49" s="37">
        <v>2340900</v>
      </c>
      <c r="AV49" s="37">
        <v>530604</v>
      </c>
      <c r="AW49" s="37">
        <v>0</v>
      </c>
      <c r="AX49" s="37">
        <v>0</v>
      </c>
      <c r="AY49" s="37">
        <v>0</v>
      </c>
      <c r="AZ49" s="37">
        <v>0</v>
      </c>
      <c r="BA49" s="37">
        <v>0</v>
      </c>
      <c r="BB49" s="37">
        <v>0</v>
      </c>
      <c r="BC49" s="37">
        <v>0</v>
      </c>
      <c r="BD49" s="37">
        <v>6278304</v>
      </c>
      <c r="BE49" s="37">
        <v>787098</v>
      </c>
      <c r="BF49" s="37">
        <v>260000</v>
      </c>
      <c r="BG49" s="37">
        <v>3999744</v>
      </c>
      <c r="BH49" s="37">
        <v>0</v>
      </c>
      <c r="BI49" s="37">
        <v>0</v>
      </c>
      <c r="BJ49" s="37">
        <v>0</v>
      </c>
      <c r="BK49" s="37">
        <v>0</v>
      </c>
      <c r="BL49" s="37">
        <v>0</v>
      </c>
      <c r="BM49" s="37">
        <v>0</v>
      </c>
      <c r="BN49" s="37">
        <v>0</v>
      </c>
      <c r="BO49" s="37">
        <v>0</v>
      </c>
      <c r="BP49" s="37">
        <v>4259744</v>
      </c>
      <c r="BQ49" s="37">
        <v>0</v>
      </c>
      <c r="BR49" s="37">
        <v>439800</v>
      </c>
      <c r="BS49" s="37">
        <v>999938</v>
      </c>
      <c r="BT49" s="37">
        <v>750000</v>
      </c>
      <c r="BU49" s="37">
        <v>0</v>
      </c>
      <c r="BV49" s="37">
        <v>0</v>
      </c>
      <c r="BW49" s="37">
        <v>0</v>
      </c>
      <c r="BX49" s="37">
        <v>0</v>
      </c>
      <c r="BY49" s="37">
        <v>0</v>
      </c>
      <c r="BZ49" s="37">
        <v>0</v>
      </c>
      <c r="CA49" s="37">
        <v>0</v>
      </c>
      <c r="CB49" s="37">
        <v>2189738</v>
      </c>
      <c r="CC49" s="37">
        <v>0</v>
      </c>
      <c r="CD49" s="37">
        <v>0</v>
      </c>
      <c r="CE49" s="37">
        <v>0</v>
      </c>
      <c r="CF49" s="37">
        <v>0</v>
      </c>
      <c r="CG49" s="37">
        <v>0</v>
      </c>
      <c r="CH49" s="37">
        <v>0</v>
      </c>
      <c r="CI49" s="37">
        <v>0</v>
      </c>
      <c r="CJ49" s="37">
        <v>0</v>
      </c>
      <c r="CK49" s="37">
        <v>0</v>
      </c>
      <c r="CL49" s="37">
        <v>0</v>
      </c>
      <c r="CM49" s="37">
        <v>0</v>
      </c>
      <c r="CN49" s="37">
        <v>0</v>
      </c>
      <c r="CO49" s="37">
        <v>0</v>
      </c>
      <c r="CP49" s="37">
        <v>240000</v>
      </c>
      <c r="CQ49" s="37">
        <v>0</v>
      </c>
      <c r="CR49" s="37">
        <v>0</v>
      </c>
      <c r="CS49" s="37">
        <v>0</v>
      </c>
      <c r="CT49" s="37">
        <v>0</v>
      </c>
      <c r="CU49" s="37">
        <v>0</v>
      </c>
      <c r="CV49" s="37">
        <v>0</v>
      </c>
      <c r="CW49" s="37">
        <v>0</v>
      </c>
      <c r="CX49" s="37">
        <v>0</v>
      </c>
      <c r="CY49" s="37">
        <v>0</v>
      </c>
      <c r="CZ49" s="37">
        <v>240000</v>
      </c>
      <c r="DA49" s="37">
        <v>0</v>
      </c>
      <c r="DB49" s="37">
        <v>2472500</v>
      </c>
      <c r="DC49" s="37">
        <v>2250000</v>
      </c>
      <c r="DD49" s="37">
        <v>500000</v>
      </c>
      <c r="DE49" s="37">
        <v>0</v>
      </c>
      <c r="DF49" s="37">
        <v>0</v>
      </c>
      <c r="DG49" s="37">
        <v>0</v>
      </c>
      <c r="DH49" s="37">
        <v>0</v>
      </c>
      <c r="DI49" s="37">
        <v>0</v>
      </c>
      <c r="DJ49" s="37">
        <v>0</v>
      </c>
      <c r="DK49" s="37">
        <v>0</v>
      </c>
      <c r="DL49" s="37">
        <v>5222500</v>
      </c>
      <c r="DM49" s="37">
        <v>0</v>
      </c>
      <c r="DN49" s="37">
        <v>0</v>
      </c>
      <c r="DO49" s="37">
        <v>0</v>
      </c>
      <c r="DP49" s="37">
        <v>0</v>
      </c>
      <c r="DQ49" s="37">
        <v>0</v>
      </c>
      <c r="DR49" s="37">
        <v>0</v>
      </c>
      <c r="DS49" s="37">
        <v>0</v>
      </c>
      <c r="DT49" s="37">
        <v>0</v>
      </c>
      <c r="DU49" s="37">
        <v>0</v>
      </c>
      <c r="DV49" s="37">
        <v>0</v>
      </c>
      <c r="DW49" s="37">
        <v>0</v>
      </c>
      <c r="DX49" s="37">
        <v>0</v>
      </c>
      <c r="DY49" s="37">
        <v>0</v>
      </c>
      <c r="DZ49" s="37">
        <v>560000</v>
      </c>
      <c r="EA49" s="37">
        <v>0</v>
      </c>
      <c r="EB49" s="37">
        <v>0</v>
      </c>
      <c r="EC49" s="37">
        <v>0</v>
      </c>
      <c r="ED49" s="37">
        <v>0</v>
      </c>
      <c r="EE49" s="37">
        <v>0</v>
      </c>
      <c r="EF49" s="37">
        <v>0</v>
      </c>
      <c r="EG49" s="37">
        <v>0</v>
      </c>
      <c r="EH49" s="37">
        <v>0</v>
      </c>
      <c r="EI49" s="37">
        <v>0</v>
      </c>
      <c r="EJ49" s="37">
        <v>560000</v>
      </c>
      <c r="EK49" s="161" t="s">
        <v>1452</v>
      </c>
      <c r="EL49" s="294" t="s">
        <v>1124</v>
      </c>
    </row>
    <row r="50" spans="1:142" ht="15" customHeight="1" x14ac:dyDescent="0.35">
      <c r="A50" s="34"/>
      <c r="B50" s="313">
        <v>46040</v>
      </c>
      <c r="C50" s="8" t="s">
        <v>433</v>
      </c>
      <c r="D50" s="18">
        <v>5</v>
      </c>
      <c r="E50" s="155"/>
      <c r="F50" s="36"/>
      <c r="G50" s="37"/>
      <c r="H50" s="37"/>
      <c r="I50" s="37"/>
      <c r="J50" s="37"/>
      <c r="K50" s="37"/>
      <c r="L50" s="37"/>
      <c r="M50" s="37" t="s">
        <v>1124</v>
      </c>
      <c r="N50" s="37" t="s">
        <v>1124</v>
      </c>
      <c r="O50" s="37"/>
      <c r="P50" s="37"/>
      <c r="Q50" s="37"/>
      <c r="R50" s="37"/>
      <c r="S50" s="37"/>
      <c r="T50" s="37"/>
      <c r="U50" s="37"/>
      <c r="V50" s="37"/>
      <c r="W50" s="37"/>
      <c r="X50" s="37"/>
      <c r="Y50" s="37"/>
      <c r="Z50" s="37"/>
      <c r="AA50" s="37" t="s">
        <v>1124</v>
      </c>
      <c r="AB50" s="37" t="s">
        <v>1124</v>
      </c>
      <c r="AC50" s="37"/>
      <c r="AD50" s="37"/>
      <c r="AE50" s="37"/>
      <c r="AF50" s="168"/>
      <c r="AG50" s="37"/>
      <c r="AH50" s="37"/>
      <c r="AI50" s="37"/>
      <c r="AJ50" s="37"/>
      <c r="AK50" s="37"/>
      <c r="AL50" s="37"/>
      <c r="AM50" s="37"/>
      <c r="AN50" s="37"/>
      <c r="AO50" s="37"/>
      <c r="AP50" s="37"/>
      <c r="AQ50" s="37"/>
      <c r="AR50" s="37" t="s">
        <v>1124</v>
      </c>
      <c r="AS50" s="37"/>
      <c r="AT50" s="37"/>
      <c r="AU50" s="37"/>
      <c r="AV50" s="37"/>
      <c r="AW50" s="37"/>
      <c r="AX50" s="37"/>
      <c r="AY50" s="37"/>
      <c r="AZ50" s="37"/>
      <c r="BA50" s="37"/>
      <c r="BB50" s="37"/>
      <c r="BC50" s="37"/>
      <c r="BD50" s="37" t="s">
        <v>1124</v>
      </c>
      <c r="BE50" s="37"/>
      <c r="BF50" s="37"/>
      <c r="BG50" s="37"/>
      <c r="BH50" s="37"/>
      <c r="BI50" s="37"/>
      <c r="BJ50" s="37"/>
      <c r="BK50" s="37"/>
      <c r="BL50" s="37"/>
      <c r="BM50" s="37"/>
      <c r="BN50" s="37"/>
      <c r="BO50" s="37"/>
      <c r="BP50" s="37">
        <v>0</v>
      </c>
      <c r="BQ50" s="37"/>
      <c r="BR50" s="37"/>
      <c r="BS50" s="37"/>
      <c r="BT50" s="37"/>
      <c r="BU50" s="37"/>
      <c r="BV50" s="37"/>
      <c r="BW50" s="37"/>
      <c r="BX50" s="37"/>
      <c r="BY50" s="37"/>
      <c r="BZ50" s="37"/>
      <c r="CA50" s="37"/>
      <c r="CB50" s="37" t="s">
        <v>1124</v>
      </c>
      <c r="CC50" s="37"/>
      <c r="CD50" s="37"/>
      <c r="CE50" s="37"/>
      <c r="CF50" s="37"/>
      <c r="CG50" s="37"/>
      <c r="CH50" s="37"/>
      <c r="CI50" s="37"/>
      <c r="CJ50" s="37"/>
      <c r="CK50" s="37"/>
      <c r="CL50" s="37"/>
      <c r="CM50" s="37"/>
      <c r="CN50" s="37" t="s">
        <v>1124</v>
      </c>
      <c r="CO50" s="37"/>
      <c r="CP50" s="37"/>
      <c r="CQ50" s="37"/>
      <c r="CR50" s="37"/>
      <c r="CS50" s="37"/>
      <c r="CT50" s="37"/>
      <c r="CU50" s="37"/>
      <c r="CV50" s="37"/>
      <c r="CW50" s="37"/>
      <c r="CX50" s="37"/>
      <c r="CY50" s="37"/>
      <c r="CZ50" s="37" t="s">
        <v>1124</v>
      </c>
      <c r="DA50" s="37"/>
      <c r="DB50" s="37"/>
      <c r="DC50" s="37"/>
      <c r="DD50" s="37"/>
      <c r="DE50" s="37"/>
      <c r="DF50" s="37"/>
      <c r="DG50" s="37"/>
      <c r="DH50" s="37"/>
      <c r="DI50" s="37"/>
      <c r="DJ50" s="37"/>
      <c r="DK50" s="37"/>
      <c r="DL50" s="37" t="s">
        <v>1124</v>
      </c>
      <c r="DM50" s="37"/>
      <c r="DN50" s="37"/>
      <c r="DO50" s="37"/>
      <c r="DP50" s="37"/>
      <c r="DQ50" s="37"/>
      <c r="DR50" s="37"/>
      <c r="DS50" s="37"/>
      <c r="DT50" s="37"/>
      <c r="DU50" s="37"/>
      <c r="DV50" s="37"/>
      <c r="DW50" s="37"/>
      <c r="DX50" s="37" t="s">
        <v>1124</v>
      </c>
      <c r="DY50" s="37"/>
      <c r="DZ50" s="37"/>
      <c r="EA50" s="37"/>
      <c r="EB50" s="37"/>
      <c r="EC50" s="37"/>
      <c r="ED50" s="37"/>
      <c r="EE50" s="37"/>
      <c r="EF50" s="37"/>
      <c r="EG50" s="37"/>
      <c r="EH50" s="37"/>
      <c r="EI50" s="37"/>
      <c r="EJ50" s="37" t="s">
        <v>1124</v>
      </c>
      <c r="EK50" s="161"/>
      <c r="EL50" s="294"/>
    </row>
    <row r="51" spans="1:142" ht="15" customHeight="1" x14ac:dyDescent="0.35">
      <c r="A51" s="34"/>
      <c r="B51" s="313">
        <v>46035</v>
      </c>
      <c r="C51" s="8" t="s">
        <v>432</v>
      </c>
      <c r="D51" s="18">
        <v>5</v>
      </c>
      <c r="E51" s="155">
        <v>558368</v>
      </c>
      <c r="F51" s="36">
        <v>330939</v>
      </c>
      <c r="G51" s="37">
        <v>0</v>
      </c>
      <c r="H51" s="37">
        <v>0</v>
      </c>
      <c r="I51" s="37">
        <v>0</v>
      </c>
      <c r="J51" s="37">
        <v>0</v>
      </c>
      <c r="K51" s="37">
        <v>55836.800000000003</v>
      </c>
      <c r="L51" s="37">
        <v>33093.9</v>
      </c>
      <c r="M51" s="37">
        <v>614204.80000000005</v>
      </c>
      <c r="N51" s="37">
        <v>364032.9</v>
      </c>
      <c r="O51" s="37">
        <v>52447</v>
      </c>
      <c r="P51" s="37">
        <v>196528</v>
      </c>
      <c r="Q51" s="37">
        <v>503389</v>
      </c>
      <c r="R51" s="37">
        <v>385327</v>
      </c>
      <c r="S51" s="37">
        <v>0</v>
      </c>
      <c r="T51" s="37">
        <v>0</v>
      </c>
      <c r="U51" s="37">
        <v>0</v>
      </c>
      <c r="V51" s="37">
        <v>0</v>
      </c>
      <c r="W51" s="37">
        <v>0</v>
      </c>
      <c r="X51" s="37">
        <v>0</v>
      </c>
      <c r="Y51" s="37">
        <v>0</v>
      </c>
      <c r="Z51" s="37">
        <v>0</v>
      </c>
      <c r="AA51" s="37">
        <v>555836</v>
      </c>
      <c r="AB51" s="37">
        <v>581855</v>
      </c>
      <c r="AC51" s="37">
        <v>159453</v>
      </c>
      <c r="AD51" s="37">
        <v>0</v>
      </c>
      <c r="AE51" s="37">
        <v>0</v>
      </c>
      <c r="AF51" s="168">
        <v>0.02</v>
      </c>
      <c r="AG51" s="37">
        <v>69601705.209999993</v>
      </c>
      <c r="AH51" s="37">
        <v>547725.13</v>
      </c>
      <c r="AI51" s="37">
        <v>523500.59</v>
      </c>
      <c r="AJ51" s="37">
        <v>533970.6</v>
      </c>
      <c r="AK51" s="37">
        <v>544650.01</v>
      </c>
      <c r="AL51" s="37">
        <v>555543.01</v>
      </c>
      <c r="AM51" s="37">
        <v>566653.87</v>
      </c>
      <c r="AN51" s="37">
        <v>577986.94999999995</v>
      </c>
      <c r="AO51" s="37">
        <v>589546.68999999994</v>
      </c>
      <c r="AP51" s="37">
        <v>601337.62</v>
      </c>
      <c r="AQ51" s="37">
        <v>613364.37</v>
      </c>
      <c r="AR51" s="37">
        <v>5654278.8399999989</v>
      </c>
      <c r="AS51" s="37">
        <v>1548304.55</v>
      </c>
      <c r="AT51" s="37">
        <v>3433320</v>
      </c>
      <c r="AU51" s="37">
        <v>940108.25</v>
      </c>
      <c r="AV51" s="37">
        <v>895820.86</v>
      </c>
      <c r="AW51" s="37">
        <v>0</v>
      </c>
      <c r="AX51" s="37">
        <v>0</v>
      </c>
      <c r="AY51" s="37">
        <v>0</v>
      </c>
      <c r="AZ51" s="37">
        <v>0</v>
      </c>
      <c r="BA51" s="37">
        <v>0</v>
      </c>
      <c r="BB51" s="37">
        <v>0</v>
      </c>
      <c r="BC51" s="37">
        <v>0</v>
      </c>
      <c r="BD51" s="37">
        <v>5269249.1099999994</v>
      </c>
      <c r="BE51" s="37">
        <v>23270.48</v>
      </c>
      <c r="BF51" s="37">
        <v>133575.73000000001</v>
      </c>
      <c r="BG51" s="37">
        <v>448634</v>
      </c>
      <c r="BH51" s="37">
        <v>827600</v>
      </c>
      <c r="BI51" s="37">
        <v>956080</v>
      </c>
      <c r="BJ51" s="37">
        <v>0</v>
      </c>
      <c r="BK51" s="37">
        <v>0</v>
      </c>
      <c r="BL51" s="37">
        <v>0</v>
      </c>
      <c r="BM51" s="37">
        <v>0</v>
      </c>
      <c r="BN51" s="37">
        <v>0</v>
      </c>
      <c r="BO51" s="37">
        <v>0</v>
      </c>
      <c r="BP51" s="37">
        <v>2365889.73</v>
      </c>
      <c r="BQ51" s="37">
        <v>0</v>
      </c>
      <c r="BR51" s="37">
        <v>0</v>
      </c>
      <c r="BS51" s="37">
        <v>457596</v>
      </c>
      <c r="BT51" s="37">
        <v>1677165</v>
      </c>
      <c r="BU51" s="37">
        <v>956080</v>
      </c>
      <c r="BV51" s="37">
        <v>0</v>
      </c>
      <c r="BW51" s="37">
        <v>0</v>
      </c>
      <c r="BX51" s="37">
        <v>0</v>
      </c>
      <c r="BY51" s="37">
        <v>0</v>
      </c>
      <c r="BZ51" s="37">
        <v>0</v>
      </c>
      <c r="CA51" s="37">
        <v>0</v>
      </c>
      <c r="CB51" s="37">
        <v>3090841</v>
      </c>
      <c r="CC51" s="37">
        <v>11318.95</v>
      </c>
      <c r="CD51" s="37">
        <v>1036.21</v>
      </c>
      <c r="CE51" s="37">
        <v>0</v>
      </c>
      <c r="CF51" s="37">
        <v>0</v>
      </c>
      <c r="CG51" s="37">
        <v>0</v>
      </c>
      <c r="CH51" s="37">
        <v>0</v>
      </c>
      <c r="CI51" s="37">
        <v>0</v>
      </c>
      <c r="CJ51" s="37">
        <v>0</v>
      </c>
      <c r="CK51" s="37">
        <v>0</v>
      </c>
      <c r="CL51" s="37">
        <v>0</v>
      </c>
      <c r="CM51" s="37">
        <v>0</v>
      </c>
      <c r="CN51" s="37">
        <v>1036.21</v>
      </c>
      <c r="CO51" s="37">
        <v>0</v>
      </c>
      <c r="CP51" s="37">
        <v>0</v>
      </c>
      <c r="CQ51" s="37">
        <v>0</v>
      </c>
      <c r="CR51" s="37">
        <v>0</v>
      </c>
      <c r="CS51" s="37">
        <v>0</v>
      </c>
      <c r="CT51" s="37">
        <v>0</v>
      </c>
      <c r="CU51" s="37">
        <v>0</v>
      </c>
      <c r="CV51" s="37">
        <v>0</v>
      </c>
      <c r="CW51" s="37">
        <v>0</v>
      </c>
      <c r="CX51" s="37">
        <v>0</v>
      </c>
      <c r="CY51" s="37">
        <v>0</v>
      </c>
      <c r="CZ51" s="37">
        <v>0</v>
      </c>
      <c r="DA51" s="37">
        <v>0</v>
      </c>
      <c r="DB51" s="37">
        <v>0</v>
      </c>
      <c r="DC51" s="37">
        <v>0</v>
      </c>
      <c r="DD51" s="37">
        <v>0</v>
      </c>
      <c r="DE51" s="37">
        <v>0</v>
      </c>
      <c r="DF51" s="37">
        <v>0</v>
      </c>
      <c r="DG51" s="37">
        <v>0</v>
      </c>
      <c r="DH51" s="37">
        <v>0</v>
      </c>
      <c r="DI51" s="37">
        <v>0</v>
      </c>
      <c r="DJ51" s="37">
        <v>0</v>
      </c>
      <c r="DK51" s="37">
        <v>0</v>
      </c>
      <c r="DL51" s="37">
        <v>0</v>
      </c>
      <c r="DM51" s="37">
        <v>0</v>
      </c>
      <c r="DN51" s="37">
        <v>0</v>
      </c>
      <c r="DO51" s="37">
        <v>0</v>
      </c>
      <c r="DP51" s="37">
        <v>0</v>
      </c>
      <c r="DQ51" s="37">
        <v>0</v>
      </c>
      <c r="DR51" s="37">
        <v>0</v>
      </c>
      <c r="DS51" s="37">
        <v>0</v>
      </c>
      <c r="DT51" s="37">
        <v>0</v>
      </c>
      <c r="DU51" s="37">
        <v>0</v>
      </c>
      <c r="DV51" s="37">
        <v>0</v>
      </c>
      <c r="DW51" s="37">
        <v>0</v>
      </c>
      <c r="DX51" s="37">
        <v>0</v>
      </c>
      <c r="DY51" s="37">
        <v>0</v>
      </c>
      <c r="DZ51" s="37">
        <v>0</v>
      </c>
      <c r="EA51" s="37">
        <v>0</v>
      </c>
      <c r="EB51" s="37">
        <v>0</v>
      </c>
      <c r="EC51" s="37">
        <v>0</v>
      </c>
      <c r="ED51" s="37">
        <v>0</v>
      </c>
      <c r="EE51" s="37">
        <v>0</v>
      </c>
      <c r="EF51" s="37">
        <v>0</v>
      </c>
      <c r="EG51" s="37">
        <v>0</v>
      </c>
      <c r="EH51" s="37">
        <v>0</v>
      </c>
      <c r="EI51" s="37">
        <v>0</v>
      </c>
      <c r="EJ51" s="37">
        <v>0</v>
      </c>
      <c r="EK51" s="161" t="s">
        <v>1473</v>
      </c>
      <c r="EL51" s="294" t="s">
        <v>1124</v>
      </c>
    </row>
    <row r="52" spans="1:142" ht="15" customHeight="1" x14ac:dyDescent="0.35">
      <c r="A52" s="34"/>
      <c r="B52" s="313">
        <v>94250</v>
      </c>
      <c r="C52" s="8" t="s">
        <v>982</v>
      </c>
      <c r="D52" s="18">
        <v>2</v>
      </c>
      <c r="E52" s="155">
        <v>78651</v>
      </c>
      <c r="F52" s="36">
        <v>57223</v>
      </c>
      <c r="G52" s="37">
        <v>4508</v>
      </c>
      <c r="H52" s="37">
        <v>11609</v>
      </c>
      <c r="I52" s="37">
        <v>28900</v>
      </c>
      <c r="J52" s="37">
        <v>258300</v>
      </c>
      <c r="K52" s="37">
        <v>11797</v>
      </c>
      <c r="L52" s="37">
        <v>8583</v>
      </c>
      <c r="M52" s="37">
        <v>123856</v>
      </c>
      <c r="N52" s="37">
        <v>335715</v>
      </c>
      <c r="O52" s="37">
        <v>0</v>
      </c>
      <c r="P52" s="37">
        <v>0</v>
      </c>
      <c r="Q52" s="37">
        <v>66410</v>
      </c>
      <c r="R52" s="37">
        <v>10073</v>
      </c>
      <c r="S52" s="37">
        <v>0</v>
      </c>
      <c r="T52" s="37">
        <v>0</v>
      </c>
      <c r="U52" s="37">
        <v>0</v>
      </c>
      <c r="V52" s="37">
        <v>289657</v>
      </c>
      <c r="W52" s="37">
        <v>49667</v>
      </c>
      <c r="X52" s="37">
        <v>43764</v>
      </c>
      <c r="Y52" s="37">
        <v>0</v>
      </c>
      <c r="Z52" s="37">
        <v>0</v>
      </c>
      <c r="AA52" s="37">
        <v>116077</v>
      </c>
      <c r="AB52" s="37">
        <v>343494</v>
      </c>
      <c r="AC52" s="37">
        <v>0</v>
      </c>
      <c r="AD52" s="37">
        <v>0</v>
      </c>
      <c r="AE52" s="37">
        <v>0</v>
      </c>
      <c r="AF52" s="168">
        <v>0.02</v>
      </c>
      <c r="AG52" s="37">
        <v>20840305.27</v>
      </c>
      <c r="AH52" s="37">
        <v>171521.58</v>
      </c>
      <c r="AI52" s="37">
        <v>174952.01</v>
      </c>
      <c r="AJ52" s="37">
        <v>178451.05</v>
      </c>
      <c r="AK52" s="37">
        <v>182020.07</v>
      </c>
      <c r="AL52" s="37">
        <v>185660.47</v>
      </c>
      <c r="AM52" s="37">
        <v>189373.68</v>
      </c>
      <c r="AN52" s="37">
        <v>193161.15</v>
      </c>
      <c r="AO52" s="37">
        <v>197024.38</v>
      </c>
      <c r="AP52" s="37">
        <v>200964.86</v>
      </c>
      <c r="AQ52" s="37">
        <v>204984.16</v>
      </c>
      <c r="AR52" s="37">
        <v>1878113.4100000001</v>
      </c>
      <c r="AS52" s="37">
        <v>157231.98000000001</v>
      </c>
      <c r="AT52" s="37">
        <v>0</v>
      </c>
      <c r="AU52" s="37">
        <v>0</v>
      </c>
      <c r="AV52" s="37">
        <v>0</v>
      </c>
      <c r="AW52" s="37">
        <v>0</v>
      </c>
      <c r="AX52" s="37">
        <v>0</v>
      </c>
      <c r="AY52" s="37">
        <v>0</v>
      </c>
      <c r="AZ52" s="37">
        <v>0</v>
      </c>
      <c r="BA52" s="37">
        <v>0</v>
      </c>
      <c r="BB52" s="37">
        <v>0</v>
      </c>
      <c r="BC52" s="37">
        <v>0</v>
      </c>
      <c r="BD52" s="37">
        <v>0</v>
      </c>
      <c r="BE52" s="37">
        <v>0</v>
      </c>
      <c r="BF52" s="37">
        <v>0</v>
      </c>
      <c r="BG52" s="37">
        <v>15000</v>
      </c>
      <c r="BH52" s="37">
        <v>25000</v>
      </c>
      <c r="BI52" s="37">
        <v>0</v>
      </c>
      <c r="BJ52" s="37">
        <v>0</v>
      </c>
      <c r="BK52" s="37">
        <v>0</v>
      </c>
      <c r="BL52" s="37">
        <v>0</v>
      </c>
      <c r="BM52" s="37">
        <v>0</v>
      </c>
      <c r="BN52" s="37">
        <v>0</v>
      </c>
      <c r="BO52" s="37">
        <v>0</v>
      </c>
      <c r="BP52" s="37">
        <v>40000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D52" s="37">
        <v>0</v>
      </c>
      <c r="DE52" s="37">
        <v>0</v>
      </c>
      <c r="DF52" s="37">
        <v>0</v>
      </c>
      <c r="DG52" s="37">
        <v>0</v>
      </c>
      <c r="DH52" s="37">
        <v>0</v>
      </c>
      <c r="DI52" s="37">
        <v>0</v>
      </c>
      <c r="DJ52" s="37">
        <v>0</v>
      </c>
      <c r="DK52" s="37">
        <v>0</v>
      </c>
      <c r="DL52" s="37">
        <v>0</v>
      </c>
      <c r="DM52" s="37">
        <v>0</v>
      </c>
      <c r="DN52" s="37">
        <v>0</v>
      </c>
      <c r="DO52" s="37">
        <v>0</v>
      </c>
      <c r="DP52" s="37">
        <v>0</v>
      </c>
      <c r="DQ52" s="37">
        <v>0</v>
      </c>
      <c r="DR52" s="37">
        <v>0</v>
      </c>
      <c r="DS52" s="37">
        <v>0</v>
      </c>
      <c r="DT52" s="37">
        <v>0</v>
      </c>
      <c r="DU52" s="37">
        <v>0</v>
      </c>
      <c r="DV52" s="37">
        <v>0</v>
      </c>
      <c r="DW52" s="37">
        <v>0</v>
      </c>
      <c r="DX52" s="37">
        <v>0</v>
      </c>
      <c r="DY52" s="37">
        <v>0</v>
      </c>
      <c r="DZ52" s="37">
        <v>0</v>
      </c>
      <c r="EA52" s="37">
        <v>0</v>
      </c>
      <c r="EB52" s="37">
        <v>0</v>
      </c>
      <c r="EC52" s="37">
        <v>0</v>
      </c>
      <c r="ED52" s="37">
        <v>0</v>
      </c>
      <c r="EE52" s="37">
        <v>0</v>
      </c>
      <c r="EF52" s="37">
        <v>0</v>
      </c>
      <c r="EG52" s="37">
        <v>0</v>
      </c>
      <c r="EH52" s="37">
        <v>0</v>
      </c>
      <c r="EI52" s="37">
        <v>0</v>
      </c>
      <c r="EJ52" s="37">
        <v>0</v>
      </c>
      <c r="EK52" s="161" t="s">
        <v>1409</v>
      </c>
      <c r="EL52" s="294" t="s">
        <v>1124</v>
      </c>
    </row>
    <row r="53" spans="1:142" ht="15" customHeight="1" x14ac:dyDescent="0.35">
      <c r="A53" s="34"/>
      <c r="B53" s="313">
        <v>89050</v>
      </c>
      <c r="C53" s="8" t="s">
        <v>933</v>
      </c>
      <c r="D53" s="18">
        <v>8</v>
      </c>
      <c r="E53" s="155"/>
      <c r="F53" s="36"/>
      <c r="G53" s="37"/>
      <c r="H53" s="37"/>
      <c r="I53" s="37"/>
      <c r="J53" s="37"/>
      <c r="K53" s="37"/>
      <c r="L53" s="37"/>
      <c r="M53" s="37" t="s">
        <v>1124</v>
      </c>
      <c r="N53" s="37" t="s">
        <v>1124</v>
      </c>
      <c r="O53" s="37"/>
      <c r="P53" s="37"/>
      <c r="Q53" s="37"/>
      <c r="R53" s="37"/>
      <c r="S53" s="37"/>
      <c r="T53" s="37"/>
      <c r="U53" s="37"/>
      <c r="V53" s="37"/>
      <c r="W53" s="37"/>
      <c r="X53" s="37"/>
      <c r="Y53" s="37"/>
      <c r="Z53" s="37"/>
      <c r="AA53" s="37" t="s">
        <v>1124</v>
      </c>
      <c r="AB53" s="37" t="s">
        <v>1124</v>
      </c>
      <c r="AC53" s="37"/>
      <c r="AD53" s="37"/>
      <c r="AE53" s="37"/>
      <c r="AF53" s="168"/>
      <c r="AG53" s="37"/>
      <c r="AH53" s="37"/>
      <c r="AI53" s="37"/>
      <c r="AJ53" s="37"/>
      <c r="AK53" s="37"/>
      <c r="AL53" s="37"/>
      <c r="AM53" s="37"/>
      <c r="AN53" s="37"/>
      <c r="AO53" s="37"/>
      <c r="AP53" s="37"/>
      <c r="AQ53" s="37"/>
      <c r="AR53" s="37" t="s">
        <v>1124</v>
      </c>
      <c r="AS53" s="37"/>
      <c r="AT53" s="37"/>
      <c r="AU53" s="37"/>
      <c r="AV53" s="37"/>
      <c r="AW53" s="37"/>
      <c r="AX53" s="37"/>
      <c r="AY53" s="37"/>
      <c r="AZ53" s="37"/>
      <c r="BA53" s="37"/>
      <c r="BB53" s="37"/>
      <c r="BC53" s="37"/>
      <c r="BD53" s="37" t="s">
        <v>1124</v>
      </c>
      <c r="BE53" s="37"/>
      <c r="BF53" s="37"/>
      <c r="BG53" s="37"/>
      <c r="BH53" s="37"/>
      <c r="BI53" s="37"/>
      <c r="BJ53" s="37"/>
      <c r="BK53" s="37"/>
      <c r="BL53" s="37"/>
      <c r="BM53" s="37"/>
      <c r="BN53" s="37"/>
      <c r="BO53" s="37"/>
      <c r="BP53" s="37">
        <v>0</v>
      </c>
      <c r="BQ53" s="37"/>
      <c r="BR53" s="37"/>
      <c r="BS53" s="37"/>
      <c r="BT53" s="37"/>
      <c r="BU53" s="37"/>
      <c r="BV53" s="37"/>
      <c r="BW53" s="37"/>
      <c r="BX53" s="37"/>
      <c r="BY53" s="37"/>
      <c r="BZ53" s="37"/>
      <c r="CA53" s="37"/>
      <c r="CB53" s="37" t="s">
        <v>1124</v>
      </c>
      <c r="CC53" s="37"/>
      <c r="CD53" s="37"/>
      <c r="CE53" s="37"/>
      <c r="CF53" s="37"/>
      <c r="CG53" s="37"/>
      <c r="CH53" s="37"/>
      <c r="CI53" s="37"/>
      <c r="CJ53" s="37"/>
      <c r="CK53" s="37"/>
      <c r="CL53" s="37"/>
      <c r="CM53" s="37"/>
      <c r="CN53" s="37" t="s">
        <v>1124</v>
      </c>
      <c r="CO53" s="37"/>
      <c r="CP53" s="37"/>
      <c r="CQ53" s="37"/>
      <c r="CR53" s="37"/>
      <c r="CS53" s="37"/>
      <c r="CT53" s="37"/>
      <c r="CU53" s="37"/>
      <c r="CV53" s="37"/>
      <c r="CW53" s="37"/>
      <c r="CX53" s="37"/>
      <c r="CY53" s="37"/>
      <c r="CZ53" s="37" t="s">
        <v>1124</v>
      </c>
      <c r="DA53" s="37"/>
      <c r="DB53" s="37"/>
      <c r="DC53" s="37"/>
      <c r="DD53" s="37"/>
      <c r="DE53" s="37"/>
      <c r="DF53" s="37"/>
      <c r="DG53" s="37"/>
      <c r="DH53" s="37"/>
      <c r="DI53" s="37"/>
      <c r="DJ53" s="37"/>
      <c r="DK53" s="37"/>
      <c r="DL53" s="37" t="s">
        <v>1124</v>
      </c>
      <c r="DM53" s="37"/>
      <c r="DN53" s="37"/>
      <c r="DO53" s="37"/>
      <c r="DP53" s="37"/>
      <c r="DQ53" s="37"/>
      <c r="DR53" s="37"/>
      <c r="DS53" s="37"/>
      <c r="DT53" s="37"/>
      <c r="DU53" s="37"/>
      <c r="DV53" s="37"/>
      <c r="DW53" s="37"/>
      <c r="DX53" s="37" t="s">
        <v>1124</v>
      </c>
      <c r="DY53" s="37"/>
      <c r="DZ53" s="37"/>
      <c r="EA53" s="37"/>
      <c r="EB53" s="37"/>
      <c r="EC53" s="37"/>
      <c r="ED53" s="37"/>
      <c r="EE53" s="37"/>
      <c r="EF53" s="37"/>
      <c r="EG53" s="37"/>
      <c r="EH53" s="37"/>
      <c r="EI53" s="37"/>
      <c r="EJ53" s="37" t="s">
        <v>1124</v>
      </c>
      <c r="EK53" s="161"/>
      <c r="EL53" s="294"/>
    </row>
    <row r="54" spans="1:142" ht="15" customHeight="1" x14ac:dyDescent="0.35">
      <c r="A54" s="34"/>
      <c r="B54" s="313">
        <v>85065</v>
      </c>
      <c r="C54" s="8" t="s">
        <v>881</v>
      </c>
      <c r="D54" s="18">
        <v>8</v>
      </c>
      <c r="E54" s="155"/>
      <c r="F54" s="36"/>
      <c r="G54" s="37"/>
      <c r="H54" s="37"/>
      <c r="I54" s="37"/>
      <c r="J54" s="37"/>
      <c r="K54" s="37"/>
      <c r="L54" s="37"/>
      <c r="M54" s="37" t="s">
        <v>1124</v>
      </c>
      <c r="N54" s="37" t="s">
        <v>1124</v>
      </c>
      <c r="O54" s="37"/>
      <c r="P54" s="37"/>
      <c r="Q54" s="37"/>
      <c r="R54" s="37"/>
      <c r="S54" s="37"/>
      <c r="T54" s="37"/>
      <c r="U54" s="37"/>
      <c r="V54" s="37"/>
      <c r="W54" s="37"/>
      <c r="X54" s="37"/>
      <c r="Y54" s="37"/>
      <c r="Z54" s="37"/>
      <c r="AA54" s="37" t="s">
        <v>1124</v>
      </c>
      <c r="AB54" s="37" t="s">
        <v>1124</v>
      </c>
      <c r="AC54" s="37"/>
      <c r="AD54" s="37"/>
      <c r="AE54" s="37"/>
      <c r="AF54" s="168"/>
      <c r="AG54" s="37"/>
      <c r="AH54" s="37"/>
      <c r="AI54" s="37"/>
      <c r="AJ54" s="37"/>
      <c r="AK54" s="37"/>
      <c r="AL54" s="37"/>
      <c r="AM54" s="37"/>
      <c r="AN54" s="37"/>
      <c r="AO54" s="37"/>
      <c r="AP54" s="37"/>
      <c r="AQ54" s="37"/>
      <c r="AR54" s="37" t="s">
        <v>1124</v>
      </c>
      <c r="AS54" s="37"/>
      <c r="AT54" s="37"/>
      <c r="AU54" s="37"/>
      <c r="AV54" s="37"/>
      <c r="AW54" s="37"/>
      <c r="AX54" s="37"/>
      <c r="AY54" s="37"/>
      <c r="AZ54" s="37"/>
      <c r="BA54" s="37"/>
      <c r="BB54" s="37"/>
      <c r="BC54" s="37"/>
      <c r="BD54" s="37" t="s">
        <v>1124</v>
      </c>
      <c r="BE54" s="37"/>
      <c r="BF54" s="37"/>
      <c r="BG54" s="37"/>
      <c r="BH54" s="37"/>
      <c r="BI54" s="37"/>
      <c r="BJ54" s="37"/>
      <c r="BK54" s="37"/>
      <c r="BL54" s="37"/>
      <c r="BM54" s="37"/>
      <c r="BN54" s="37"/>
      <c r="BO54" s="37"/>
      <c r="BP54" s="37">
        <v>0</v>
      </c>
      <c r="BQ54" s="37"/>
      <c r="BR54" s="37"/>
      <c r="BS54" s="37"/>
      <c r="BT54" s="37"/>
      <c r="BU54" s="37"/>
      <c r="BV54" s="37"/>
      <c r="BW54" s="37"/>
      <c r="BX54" s="37"/>
      <c r="BY54" s="37"/>
      <c r="BZ54" s="37"/>
      <c r="CA54" s="37"/>
      <c r="CB54" s="37" t="s">
        <v>1124</v>
      </c>
      <c r="CC54" s="37"/>
      <c r="CD54" s="37"/>
      <c r="CE54" s="37"/>
      <c r="CF54" s="37"/>
      <c r="CG54" s="37"/>
      <c r="CH54" s="37"/>
      <c r="CI54" s="37"/>
      <c r="CJ54" s="37"/>
      <c r="CK54" s="37"/>
      <c r="CL54" s="37"/>
      <c r="CM54" s="37"/>
      <c r="CN54" s="37" t="s">
        <v>1124</v>
      </c>
      <c r="CO54" s="37"/>
      <c r="CP54" s="37"/>
      <c r="CQ54" s="37"/>
      <c r="CR54" s="37"/>
      <c r="CS54" s="37"/>
      <c r="CT54" s="37"/>
      <c r="CU54" s="37"/>
      <c r="CV54" s="37"/>
      <c r="CW54" s="37"/>
      <c r="CX54" s="37"/>
      <c r="CY54" s="37"/>
      <c r="CZ54" s="37" t="s">
        <v>1124</v>
      </c>
      <c r="DA54" s="37"/>
      <c r="DB54" s="37"/>
      <c r="DC54" s="37"/>
      <c r="DD54" s="37"/>
      <c r="DE54" s="37"/>
      <c r="DF54" s="37"/>
      <c r="DG54" s="37"/>
      <c r="DH54" s="37"/>
      <c r="DI54" s="37"/>
      <c r="DJ54" s="37"/>
      <c r="DK54" s="37"/>
      <c r="DL54" s="37" t="s">
        <v>1124</v>
      </c>
      <c r="DM54" s="37"/>
      <c r="DN54" s="37"/>
      <c r="DO54" s="37"/>
      <c r="DP54" s="37"/>
      <c r="DQ54" s="37"/>
      <c r="DR54" s="37"/>
      <c r="DS54" s="37"/>
      <c r="DT54" s="37"/>
      <c r="DU54" s="37"/>
      <c r="DV54" s="37"/>
      <c r="DW54" s="37"/>
      <c r="DX54" s="37" t="s">
        <v>1124</v>
      </c>
      <c r="DY54" s="37"/>
      <c r="DZ54" s="37"/>
      <c r="EA54" s="37"/>
      <c r="EB54" s="37"/>
      <c r="EC54" s="37"/>
      <c r="ED54" s="37"/>
      <c r="EE54" s="37"/>
      <c r="EF54" s="37"/>
      <c r="EG54" s="37"/>
      <c r="EH54" s="37"/>
      <c r="EI54" s="37"/>
      <c r="EJ54" s="37" t="s">
        <v>1124</v>
      </c>
      <c r="EK54" s="161"/>
      <c r="EL54" s="294"/>
    </row>
    <row r="55" spans="1:142" ht="15" customHeight="1" x14ac:dyDescent="0.35">
      <c r="A55" s="34"/>
      <c r="B55" s="313">
        <v>57040</v>
      </c>
      <c r="C55" s="8" t="s">
        <v>588</v>
      </c>
      <c r="D55" s="18">
        <v>16</v>
      </c>
      <c r="E55" s="155">
        <v>1936149</v>
      </c>
      <c r="F55" s="36">
        <v>1368994</v>
      </c>
      <c r="G55" s="37">
        <v>328224</v>
      </c>
      <c r="H55" s="37">
        <v>128079</v>
      </c>
      <c r="I55" s="37">
        <v>950003</v>
      </c>
      <c r="J55" s="37">
        <v>804617.87</v>
      </c>
      <c r="K55" s="37">
        <v>362743</v>
      </c>
      <c r="L55" s="37">
        <v>416277</v>
      </c>
      <c r="M55" s="37">
        <v>3577119</v>
      </c>
      <c r="N55" s="37">
        <v>2717967.87</v>
      </c>
      <c r="O55" s="37">
        <v>187730.83</v>
      </c>
      <c r="P55" s="37">
        <v>49547.21</v>
      </c>
      <c r="Q55" s="37">
        <v>2965355.54</v>
      </c>
      <c r="R55" s="37">
        <v>2526593.94</v>
      </c>
      <c r="S55" s="37">
        <v>64208</v>
      </c>
      <c r="T55" s="37">
        <v>0</v>
      </c>
      <c r="U55" s="37">
        <v>740434</v>
      </c>
      <c r="V55" s="37">
        <v>353526</v>
      </c>
      <c r="W55" s="37">
        <v>0</v>
      </c>
      <c r="X55" s="37">
        <v>0</v>
      </c>
      <c r="Y55" s="37">
        <v>0</v>
      </c>
      <c r="Z55" s="37">
        <v>0</v>
      </c>
      <c r="AA55" s="37">
        <v>3957728.37</v>
      </c>
      <c r="AB55" s="37">
        <v>2929667.15</v>
      </c>
      <c r="AC55" s="37">
        <v>592309</v>
      </c>
      <c r="AD55" s="37">
        <v>0</v>
      </c>
      <c r="AE55" s="37">
        <v>0</v>
      </c>
      <c r="AF55" s="168">
        <v>0.02</v>
      </c>
      <c r="AG55" s="37">
        <v>324812274.13999999</v>
      </c>
      <c r="AH55" s="37">
        <v>3153732.97</v>
      </c>
      <c r="AI55" s="37">
        <v>3342433.43</v>
      </c>
      <c r="AJ55" s="37">
        <v>3409282.1</v>
      </c>
      <c r="AK55" s="37">
        <v>3346766.65</v>
      </c>
      <c r="AL55" s="37">
        <v>3413701.99</v>
      </c>
      <c r="AM55" s="37">
        <v>3481976.03</v>
      </c>
      <c r="AN55" s="37">
        <v>3551615.55</v>
      </c>
      <c r="AO55" s="37">
        <v>3622647.86</v>
      </c>
      <c r="AP55" s="37">
        <v>3695100.82</v>
      </c>
      <c r="AQ55" s="37">
        <v>3769002.83</v>
      </c>
      <c r="AR55" s="37">
        <v>34786260.229999997</v>
      </c>
      <c r="AS55" s="37">
        <v>230171.85</v>
      </c>
      <c r="AT55" s="37">
        <v>0</v>
      </c>
      <c r="AU55" s="37">
        <v>495000.47</v>
      </c>
      <c r="AV55" s="37">
        <v>513478.76</v>
      </c>
      <c r="AW55" s="37">
        <v>496836.36</v>
      </c>
      <c r="AX55" s="37">
        <v>0</v>
      </c>
      <c r="AY55" s="37">
        <v>0</v>
      </c>
      <c r="AZ55" s="37">
        <v>0</v>
      </c>
      <c r="BA55" s="37">
        <v>0</v>
      </c>
      <c r="BB55" s="37">
        <v>0</v>
      </c>
      <c r="BC55" s="37">
        <v>0</v>
      </c>
      <c r="BD55" s="37">
        <v>1505315.5899999999</v>
      </c>
      <c r="BE55" s="37">
        <v>445984</v>
      </c>
      <c r="BF55" s="37">
        <v>0</v>
      </c>
      <c r="BG55" s="37">
        <v>343300</v>
      </c>
      <c r="BH55" s="37">
        <v>230000</v>
      </c>
      <c r="BI55" s="37">
        <v>223300</v>
      </c>
      <c r="BJ55" s="37">
        <v>276600</v>
      </c>
      <c r="BK55" s="37">
        <v>710000</v>
      </c>
      <c r="BL55" s="37">
        <v>504000</v>
      </c>
      <c r="BM55" s="37">
        <v>672000</v>
      </c>
      <c r="BN55" s="37">
        <v>270000</v>
      </c>
      <c r="BO55" s="37">
        <v>0</v>
      </c>
      <c r="BP55" s="37">
        <v>3229200</v>
      </c>
      <c r="BQ55" s="37">
        <v>222992</v>
      </c>
      <c r="BR55" s="37">
        <v>500000</v>
      </c>
      <c r="BS55" s="37">
        <v>515000</v>
      </c>
      <c r="BT55" s="37">
        <v>345000</v>
      </c>
      <c r="BU55" s="37">
        <v>335000</v>
      </c>
      <c r="BV55" s="37">
        <v>415000</v>
      </c>
      <c r="BW55" s="37">
        <v>1065000</v>
      </c>
      <c r="BX55" s="37">
        <v>756000</v>
      </c>
      <c r="BY55" s="37">
        <v>1008000</v>
      </c>
      <c r="BZ55" s="37">
        <v>405000</v>
      </c>
      <c r="CA55" s="37">
        <v>0</v>
      </c>
      <c r="CB55" s="37">
        <v>5344000</v>
      </c>
      <c r="CC55" s="37">
        <v>1288075</v>
      </c>
      <c r="CD55" s="37">
        <v>1313837</v>
      </c>
      <c r="CE55" s="37">
        <v>1340115</v>
      </c>
      <c r="CF55" s="37">
        <v>1366916</v>
      </c>
      <c r="CG55" s="37">
        <v>1394254</v>
      </c>
      <c r="CH55" s="37">
        <v>1422139</v>
      </c>
      <c r="CI55" s="37">
        <v>1450582</v>
      </c>
      <c r="CJ55" s="37">
        <v>1479594</v>
      </c>
      <c r="CK55" s="37">
        <v>1509186</v>
      </c>
      <c r="CL55" s="37">
        <v>1539369</v>
      </c>
      <c r="CM55" s="37">
        <v>0</v>
      </c>
      <c r="CN55" s="37">
        <v>12815992</v>
      </c>
      <c r="CO55" s="37">
        <v>0</v>
      </c>
      <c r="CP55" s="37">
        <v>0</v>
      </c>
      <c r="CQ55" s="37">
        <v>0</v>
      </c>
      <c r="CR55" s="37">
        <v>0</v>
      </c>
      <c r="CS55" s="37">
        <v>0</v>
      </c>
      <c r="CT55" s="37">
        <v>0</v>
      </c>
      <c r="CU55" s="37">
        <v>0</v>
      </c>
      <c r="CV55" s="37">
        <v>0</v>
      </c>
      <c r="CW55" s="37">
        <v>0</v>
      </c>
      <c r="CX55" s="37">
        <v>0</v>
      </c>
      <c r="CY55" s="37">
        <v>0</v>
      </c>
      <c r="CZ55" s="37">
        <v>0</v>
      </c>
      <c r="DA55" s="37">
        <v>67205</v>
      </c>
      <c r="DB55" s="37">
        <v>0</v>
      </c>
      <c r="DC55" s="37">
        <v>466450</v>
      </c>
      <c r="DD55" s="37">
        <v>474375</v>
      </c>
      <c r="DE55" s="37">
        <v>450000</v>
      </c>
      <c r="DF55" s="37">
        <v>0</v>
      </c>
      <c r="DG55" s="37">
        <v>0</v>
      </c>
      <c r="DH55" s="37">
        <v>0</v>
      </c>
      <c r="DI55" s="37">
        <v>0</v>
      </c>
      <c r="DJ55" s="37">
        <v>0</v>
      </c>
      <c r="DK55" s="37">
        <v>0</v>
      </c>
      <c r="DL55" s="37">
        <v>1390825</v>
      </c>
      <c r="DM55" s="37">
        <v>0</v>
      </c>
      <c r="DN55" s="37">
        <v>0</v>
      </c>
      <c r="DO55" s="37">
        <v>0</v>
      </c>
      <c r="DP55" s="37">
        <v>0</v>
      </c>
      <c r="DQ55" s="37">
        <v>0</v>
      </c>
      <c r="DR55" s="37">
        <v>0</v>
      </c>
      <c r="DS55" s="37">
        <v>0</v>
      </c>
      <c r="DT55" s="37">
        <v>0</v>
      </c>
      <c r="DU55" s="37">
        <v>0</v>
      </c>
      <c r="DV55" s="37">
        <v>0</v>
      </c>
      <c r="DW55" s="37">
        <v>0</v>
      </c>
      <c r="DX55" s="37">
        <v>0</v>
      </c>
      <c r="DY55" s="37">
        <v>0</v>
      </c>
      <c r="DZ55" s="37">
        <v>0</v>
      </c>
      <c r="EA55" s="37">
        <v>0</v>
      </c>
      <c r="EB55" s="37">
        <v>0</v>
      </c>
      <c r="EC55" s="37">
        <v>0</v>
      </c>
      <c r="ED55" s="37">
        <v>0</v>
      </c>
      <c r="EE55" s="37">
        <v>0</v>
      </c>
      <c r="EF55" s="37">
        <v>0</v>
      </c>
      <c r="EG55" s="37">
        <v>0</v>
      </c>
      <c r="EH55" s="37">
        <v>0</v>
      </c>
      <c r="EI55" s="37">
        <v>0</v>
      </c>
      <c r="EJ55" s="37">
        <v>0</v>
      </c>
      <c r="EK55" s="161" t="s">
        <v>1124</v>
      </c>
      <c r="EL55" s="294" t="s">
        <v>1124</v>
      </c>
    </row>
    <row r="56" spans="1:142" ht="15" customHeight="1" x14ac:dyDescent="0.35">
      <c r="A56" s="34"/>
      <c r="B56" s="313">
        <v>88070</v>
      </c>
      <c r="C56" s="8" t="s">
        <v>923</v>
      </c>
      <c r="D56" s="18">
        <v>8</v>
      </c>
      <c r="E56" s="155"/>
      <c r="F56" s="36"/>
      <c r="G56" s="37"/>
      <c r="H56" s="37"/>
      <c r="I56" s="37"/>
      <c r="J56" s="37"/>
      <c r="K56" s="37"/>
      <c r="L56" s="37"/>
      <c r="M56" s="37" t="s">
        <v>1124</v>
      </c>
      <c r="N56" s="37" t="s">
        <v>1124</v>
      </c>
      <c r="O56" s="37"/>
      <c r="P56" s="37"/>
      <c r="Q56" s="37"/>
      <c r="R56" s="37"/>
      <c r="S56" s="37"/>
      <c r="T56" s="37"/>
      <c r="U56" s="37"/>
      <c r="V56" s="37"/>
      <c r="W56" s="37"/>
      <c r="X56" s="37"/>
      <c r="Y56" s="37"/>
      <c r="Z56" s="37"/>
      <c r="AA56" s="37" t="s">
        <v>1124</v>
      </c>
      <c r="AB56" s="37" t="s">
        <v>1124</v>
      </c>
      <c r="AC56" s="37"/>
      <c r="AD56" s="37"/>
      <c r="AE56" s="37"/>
      <c r="AF56" s="168"/>
      <c r="AG56" s="37"/>
      <c r="AH56" s="37"/>
      <c r="AI56" s="37"/>
      <c r="AJ56" s="37"/>
      <c r="AK56" s="37"/>
      <c r="AL56" s="37"/>
      <c r="AM56" s="37"/>
      <c r="AN56" s="37"/>
      <c r="AO56" s="37"/>
      <c r="AP56" s="37"/>
      <c r="AQ56" s="37"/>
      <c r="AR56" s="37" t="s">
        <v>1124</v>
      </c>
      <c r="AS56" s="37"/>
      <c r="AT56" s="37"/>
      <c r="AU56" s="37"/>
      <c r="AV56" s="37"/>
      <c r="AW56" s="37"/>
      <c r="AX56" s="37"/>
      <c r="AY56" s="37"/>
      <c r="AZ56" s="37"/>
      <c r="BA56" s="37"/>
      <c r="BB56" s="37"/>
      <c r="BC56" s="37"/>
      <c r="BD56" s="37" t="s">
        <v>1124</v>
      </c>
      <c r="BE56" s="37"/>
      <c r="BF56" s="37"/>
      <c r="BG56" s="37"/>
      <c r="BH56" s="37"/>
      <c r="BI56" s="37"/>
      <c r="BJ56" s="37"/>
      <c r="BK56" s="37"/>
      <c r="BL56" s="37"/>
      <c r="BM56" s="37"/>
      <c r="BN56" s="37"/>
      <c r="BO56" s="37"/>
      <c r="BP56" s="37">
        <v>0</v>
      </c>
      <c r="BQ56" s="37"/>
      <c r="BR56" s="37"/>
      <c r="BS56" s="37"/>
      <c r="BT56" s="37"/>
      <c r="BU56" s="37"/>
      <c r="BV56" s="37"/>
      <c r="BW56" s="37"/>
      <c r="BX56" s="37"/>
      <c r="BY56" s="37"/>
      <c r="BZ56" s="37"/>
      <c r="CA56" s="37"/>
      <c r="CB56" s="37" t="s">
        <v>1124</v>
      </c>
      <c r="CC56" s="37"/>
      <c r="CD56" s="37"/>
      <c r="CE56" s="37"/>
      <c r="CF56" s="37"/>
      <c r="CG56" s="37"/>
      <c r="CH56" s="37"/>
      <c r="CI56" s="37"/>
      <c r="CJ56" s="37"/>
      <c r="CK56" s="37"/>
      <c r="CL56" s="37"/>
      <c r="CM56" s="37"/>
      <c r="CN56" s="37" t="s">
        <v>1124</v>
      </c>
      <c r="CO56" s="37"/>
      <c r="CP56" s="37"/>
      <c r="CQ56" s="37"/>
      <c r="CR56" s="37"/>
      <c r="CS56" s="37"/>
      <c r="CT56" s="37"/>
      <c r="CU56" s="37"/>
      <c r="CV56" s="37"/>
      <c r="CW56" s="37"/>
      <c r="CX56" s="37"/>
      <c r="CY56" s="37"/>
      <c r="CZ56" s="37" t="s">
        <v>1124</v>
      </c>
      <c r="DA56" s="37"/>
      <c r="DB56" s="37"/>
      <c r="DC56" s="37"/>
      <c r="DD56" s="37"/>
      <c r="DE56" s="37"/>
      <c r="DF56" s="37"/>
      <c r="DG56" s="37"/>
      <c r="DH56" s="37"/>
      <c r="DI56" s="37"/>
      <c r="DJ56" s="37"/>
      <c r="DK56" s="37"/>
      <c r="DL56" s="37" t="s">
        <v>1124</v>
      </c>
      <c r="DM56" s="37"/>
      <c r="DN56" s="37"/>
      <c r="DO56" s="37"/>
      <c r="DP56" s="37"/>
      <c r="DQ56" s="37"/>
      <c r="DR56" s="37"/>
      <c r="DS56" s="37"/>
      <c r="DT56" s="37"/>
      <c r="DU56" s="37"/>
      <c r="DV56" s="37"/>
      <c r="DW56" s="37"/>
      <c r="DX56" s="37" t="s">
        <v>1124</v>
      </c>
      <c r="DY56" s="37"/>
      <c r="DZ56" s="37"/>
      <c r="EA56" s="37"/>
      <c r="EB56" s="37"/>
      <c r="EC56" s="37"/>
      <c r="ED56" s="37"/>
      <c r="EE56" s="37"/>
      <c r="EF56" s="37"/>
      <c r="EG56" s="37"/>
      <c r="EH56" s="37"/>
      <c r="EI56" s="37"/>
      <c r="EJ56" s="37" t="s">
        <v>1124</v>
      </c>
      <c r="EK56" s="161"/>
      <c r="EL56" s="294"/>
    </row>
    <row r="57" spans="1:142" ht="15" customHeight="1" x14ac:dyDescent="0.35">
      <c r="A57" s="34"/>
      <c r="B57" s="313">
        <v>18065</v>
      </c>
      <c r="C57" s="8" t="s">
        <v>116</v>
      </c>
      <c r="D57" s="18">
        <v>12</v>
      </c>
      <c r="E57" s="155">
        <v>115191</v>
      </c>
      <c r="F57" s="36">
        <v>114507</v>
      </c>
      <c r="G57" s="37">
        <v>17202</v>
      </c>
      <c r="H57" s="37">
        <v>94120</v>
      </c>
      <c r="I57" s="37">
        <v>106900</v>
      </c>
      <c r="J57" s="37">
        <v>485040</v>
      </c>
      <c r="K57" s="37">
        <v>17278.649999999998</v>
      </c>
      <c r="L57" s="37">
        <v>17176.05</v>
      </c>
      <c r="M57" s="37">
        <v>256571.65</v>
      </c>
      <c r="N57" s="37">
        <v>710843.05</v>
      </c>
      <c r="O57" s="37">
        <v>0</v>
      </c>
      <c r="P57" s="37">
        <v>0</v>
      </c>
      <c r="Q57" s="37">
        <v>104701</v>
      </c>
      <c r="R57" s="37">
        <v>66446</v>
      </c>
      <c r="S57" s="37">
        <v>0</v>
      </c>
      <c r="T57" s="37">
        <v>0</v>
      </c>
      <c r="U57" s="37">
        <v>0</v>
      </c>
      <c r="V57" s="37">
        <v>0</v>
      </c>
      <c r="W57" s="37">
        <v>151870.65</v>
      </c>
      <c r="X57" s="37">
        <v>644397.05000000005</v>
      </c>
      <c r="Y57" s="37">
        <v>0</v>
      </c>
      <c r="Z57" s="37">
        <v>0</v>
      </c>
      <c r="AA57" s="37">
        <v>256571.65</v>
      </c>
      <c r="AB57" s="37">
        <v>710843.05</v>
      </c>
      <c r="AC57" s="37">
        <v>0</v>
      </c>
      <c r="AD57" s="37">
        <v>0</v>
      </c>
      <c r="AE57" s="37">
        <v>0</v>
      </c>
      <c r="AF57" s="168">
        <v>0.02</v>
      </c>
      <c r="AG57" s="37">
        <v>32842923.059999999</v>
      </c>
      <c r="AH57" s="37">
        <v>328708.63</v>
      </c>
      <c r="AI57" s="37">
        <v>327323.74</v>
      </c>
      <c r="AJ57" s="37">
        <v>322504.68</v>
      </c>
      <c r="AK57" s="37">
        <v>328954.77</v>
      </c>
      <c r="AL57" s="37">
        <v>2252324.84</v>
      </c>
      <c r="AM57" s="37">
        <v>2297371.34</v>
      </c>
      <c r="AN57" s="37">
        <v>349089.44</v>
      </c>
      <c r="AO57" s="37">
        <v>356071.23</v>
      </c>
      <c r="AP57" s="37">
        <v>363192.65</v>
      </c>
      <c r="AQ57" s="37">
        <v>370456.5</v>
      </c>
      <c r="AR57" s="37">
        <v>7295997.8199999994</v>
      </c>
      <c r="AS57" s="37">
        <v>26010</v>
      </c>
      <c r="AT57" s="37">
        <v>182070</v>
      </c>
      <c r="AU57" s="37">
        <v>401932.53</v>
      </c>
      <c r="AV57" s="37">
        <v>480329.27</v>
      </c>
      <c r="AW57" s="37">
        <v>463713.94</v>
      </c>
      <c r="AX57" s="37">
        <v>0</v>
      </c>
      <c r="AY57" s="37">
        <v>172302.85</v>
      </c>
      <c r="AZ57" s="37">
        <v>492096.94</v>
      </c>
      <c r="BA57" s="37">
        <v>501938.88</v>
      </c>
      <c r="BB57" s="37">
        <v>0</v>
      </c>
      <c r="BC57" s="37">
        <v>0</v>
      </c>
      <c r="BD57" s="37">
        <v>2694384.41</v>
      </c>
      <c r="BE57" s="37">
        <v>111000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204805.05447982761</v>
      </c>
      <c r="CQ57" s="37">
        <v>220754.00090723613</v>
      </c>
      <c r="CR57" s="37">
        <v>271757.94550969568</v>
      </c>
      <c r="CS57" s="37">
        <v>322761.99910324084</v>
      </c>
      <c r="CT57" s="37">
        <v>0</v>
      </c>
      <c r="CU57" s="37">
        <v>0</v>
      </c>
      <c r="CV57" s="37">
        <v>0</v>
      </c>
      <c r="CW57" s="37">
        <v>0</v>
      </c>
      <c r="CX57" s="37">
        <v>0</v>
      </c>
      <c r="CY57" s="37">
        <v>0</v>
      </c>
      <c r="CZ57" s="37">
        <v>1020079.0000000003</v>
      </c>
      <c r="DA57" s="37">
        <v>0</v>
      </c>
      <c r="DB57" s="37">
        <v>60952.391409777731</v>
      </c>
      <c r="DC57" s="37">
        <v>65698.985324102876</v>
      </c>
      <c r="DD57" s="37">
        <v>80878.358717731404</v>
      </c>
      <c r="DE57" s="37">
        <v>96057.764548388048</v>
      </c>
      <c r="DF57" s="37">
        <v>0</v>
      </c>
      <c r="DG57" s="37">
        <v>0</v>
      </c>
      <c r="DH57" s="37">
        <v>0</v>
      </c>
      <c r="DI57" s="37">
        <v>0</v>
      </c>
      <c r="DJ57" s="37">
        <v>0</v>
      </c>
      <c r="DK57" s="37">
        <v>0</v>
      </c>
      <c r="DL57" s="37">
        <v>303587.50000000006</v>
      </c>
      <c r="DM57" s="37">
        <v>0</v>
      </c>
      <c r="DN57" s="37">
        <v>0</v>
      </c>
      <c r="DO57" s="37">
        <v>0</v>
      </c>
      <c r="DP57" s="37">
        <v>0</v>
      </c>
      <c r="DQ57" s="37">
        <v>0</v>
      </c>
      <c r="DR57" s="37">
        <v>0</v>
      </c>
      <c r="DS57" s="37">
        <v>0</v>
      </c>
      <c r="DT57" s="37">
        <v>0</v>
      </c>
      <c r="DU57" s="37">
        <v>0</v>
      </c>
      <c r="DV57" s="37">
        <v>0</v>
      </c>
      <c r="DW57" s="37">
        <v>0</v>
      </c>
      <c r="DX57" s="37">
        <v>0</v>
      </c>
      <c r="DY57" s="37">
        <v>0</v>
      </c>
      <c r="DZ57" s="37">
        <v>0</v>
      </c>
      <c r="EA57" s="37">
        <v>0</v>
      </c>
      <c r="EB57" s="37">
        <v>0</v>
      </c>
      <c r="EC57" s="37">
        <v>0</v>
      </c>
      <c r="ED57" s="37">
        <v>0</v>
      </c>
      <c r="EE57" s="37">
        <v>0</v>
      </c>
      <c r="EF57" s="37">
        <v>0</v>
      </c>
      <c r="EG57" s="37">
        <v>0</v>
      </c>
      <c r="EH57" s="37">
        <v>0</v>
      </c>
      <c r="EI57" s="37">
        <v>0</v>
      </c>
      <c r="EJ57" s="37">
        <v>0</v>
      </c>
      <c r="EK57" s="161" t="s">
        <v>1478</v>
      </c>
      <c r="EL57" s="294" t="s">
        <v>1124</v>
      </c>
    </row>
    <row r="58" spans="1:142" ht="15" customHeight="1" x14ac:dyDescent="0.35">
      <c r="A58" s="34"/>
      <c r="B58" s="313">
        <v>52035</v>
      </c>
      <c r="C58" s="8" t="s">
        <v>518</v>
      </c>
      <c r="D58" s="18">
        <v>14</v>
      </c>
      <c r="E58" s="155">
        <v>969057</v>
      </c>
      <c r="F58" s="36">
        <v>1710479</v>
      </c>
      <c r="G58" s="37">
        <v>160939</v>
      </c>
      <c r="H58" s="37">
        <v>87014</v>
      </c>
      <c r="I58" s="37">
        <v>560100</v>
      </c>
      <c r="J58" s="37">
        <v>240700</v>
      </c>
      <c r="K58" s="37">
        <v>169000</v>
      </c>
      <c r="L58" s="37">
        <v>200000</v>
      </c>
      <c r="M58" s="37">
        <v>1859096</v>
      </c>
      <c r="N58" s="37">
        <v>2238193</v>
      </c>
      <c r="O58" s="37">
        <v>598230</v>
      </c>
      <c r="P58" s="37">
        <v>0</v>
      </c>
      <c r="Q58" s="37">
        <v>562682</v>
      </c>
      <c r="R58" s="37">
        <v>758651</v>
      </c>
      <c r="S58" s="37">
        <v>264085</v>
      </c>
      <c r="T58" s="37">
        <v>260275</v>
      </c>
      <c r="U58" s="37">
        <v>59813</v>
      </c>
      <c r="V58" s="37">
        <v>0</v>
      </c>
      <c r="W58" s="37">
        <v>1482003</v>
      </c>
      <c r="X58" s="37">
        <v>111550</v>
      </c>
      <c r="Y58" s="37">
        <v>0</v>
      </c>
      <c r="Z58" s="37">
        <v>0</v>
      </c>
      <c r="AA58" s="37">
        <v>2966813</v>
      </c>
      <c r="AB58" s="37">
        <v>1130476</v>
      </c>
      <c r="AC58" s="37">
        <v>0</v>
      </c>
      <c r="AD58" s="37">
        <v>0</v>
      </c>
      <c r="AE58" s="37">
        <v>0</v>
      </c>
      <c r="AF58" s="168">
        <v>0.02</v>
      </c>
      <c r="AG58" s="37">
        <v>128876650.45999999</v>
      </c>
      <c r="AH58" s="37">
        <v>1121579.67</v>
      </c>
      <c r="AI58" s="37">
        <v>1172102.45</v>
      </c>
      <c r="AJ58" s="37">
        <v>1195544.5</v>
      </c>
      <c r="AK58" s="37">
        <v>1219455.3899999999</v>
      </c>
      <c r="AL58" s="37">
        <v>1243844.5</v>
      </c>
      <c r="AM58" s="37">
        <v>1268721.3899999999</v>
      </c>
      <c r="AN58" s="37">
        <v>1294095.82</v>
      </c>
      <c r="AO58" s="37">
        <v>1319977.73</v>
      </c>
      <c r="AP58" s="37">
        <v>1346377.29</v>
      </c>
      <c r="AQ58" s="37">
        <v>1373304.83</v>
      </c>
      <c r="AR58" s="37">
        <v>12555003.569999998</v>
      </c>
      <c r="AS58" s="37">
        <v>1863198.93</v>
      </c>
      <c r="AT58" s="37">
        <v>3451000</v>
      </c>
      <c r="AU58" s="37">
        <v>3520020</v>
      </c>
      <c r="AV58" s="37">
        <v>3537360</v>
      </c>
      <c r="AW58" s="37">
        <v>0</v>
      </c>
      <c r="AX58" s="37">
        <v>0</v>
      </c>
      <c r="AY58" s="37">
        <v>0</v>
      </c>
      <c r="AZ58" s="37">
        <v>0</v>
      </c>
      <c r="BA58" s="37">
        <v>0</v>
      </c>
      <c r="BB58" s="37">
        <v>0</v>
      </c>
      <c r="BC58" s="37">
        <v>0</v>
      </c>
      <c r="BD58" s="37">
        <v>10508380</v>
      </c>
      <c r="BE58" s="37">
        <v>0</v>
      </c>
      <c r="BF58" s="37">
        <v>0</v>
      </c>
      <c r="BG58" s="37">
        <v>0</v>
      </c>
      <c r="BH58" s="37">
        <v>0</v>
      </c>
      <c r="BI58" s="37">
        <v>0</v>
      </c>
      <c r="BJ58" s="37">
        <v>0</v>
      </c>
      <c r="BK58" s="37">
        <v>0</v>
      </c>
      <c r="BL58" s="37">
        <v>0</v>
      </c>
      <c r="BM58" s="37">
        <v>0</v>
      </c>
      <c r="BN58" s="37">
        <v>0</v>
      </c>
      <c r="BO58" s="37">
        <v>0</v>
      </c>
      <c r="BP58" s="37">
        <v>0</v>
      </c>
      <c r="BQ58" s="37">
        <v>0</v>
      </c>
      <c r="BR58" s="37">
        <v>2229900</v>
      </c>
      <c r="BS58" s="37">
        <v>0</v>
      </c>
      <c r="BT58" s="37">
        <v>0</v>
      </c>
      <c r="BU58" s="37">
        <v>0</v>
      </c>
      <c r="BV58" s="37">
        <v>0</v>
      </c>
      <c r="BW58" s="37">
        <v>0</v>
      </c>
      <c r="BX58" s="37">
        <v>0</v>
      </c>
      <c r="BY58" s="37">
        <v>0</v>
      </c>
      <c r="BZ58" s="37">
        <v>0</v>
      </c>
      <c r="CA58" s="37">
        <v>0</v>
      </c>
      <c r="CB58" s="37">
        <v>2229900</v>
      </c>
      <c r="CC58" s="37">
        <v>0</v>
      </c>
      <c r="CD58" s="37">
        <v>200000</v>
      </c>
      <c r="CE58" s="37">
        <v>0</v>
      </c>
      <c r="CF58" s="37">
        <v>0</v>
      </c>
      <c r="CG58" s="37">
        <v>0</v>
      </c>
      <c r="CH58" s="37">
        <v>0</v>
      </c>
      <c r="CI58" s="37">
        <v>0</v>
      </c>
      <c r="CJ58" s="37">
        <v>0</v>
      </c>
      <c r="CK58" s="37">
        <v>0</v>
      </c>
      <c r="CL58" s="37">
        <v>0</v>
      </c>
      <c r="CM58" s="37">
        <v>0</v>
      </c>
      <c r="CN58" s="37">
        <v>200000</v>
      </c>
      <c r="CO58" s="37">
        <v>0</v>
      </c>
      <c r="CP58" s="37">
        <v>0</v>
      </c>
      <c r="CQ58" s="37">
        <v>0</v>
      </c>
      <c r="CR58" s="37">
        <v>0</v>
      </c>
      <c r="CS58" s="37">
        <v>0</v>
      </c>
      <c r="CT58" s="37">
        <v>0</v>
      </c>
      <c r="CU58" s="37">
        <v>0</v>
      </c>
      <c r="CV58" s="37">
        <v>0</v>
      </c>
      <c r="CW58" s="37">
        <v>0</v>
      </c>
      <c r="CX58" s="37">
        <v>0</v>
      </c>
      <c r="CY58" s="37">
        <v>0</v>
      </c>
      <c r="CZ58" s="37">
        <v>0</v>
      </c>
      <c r="DA58" s="37">
        <v>0</v>
      </c>
      <c r="DB58" s="37">
        <v>0</v>
      </c>
      <c r="DC58" s="37">
        <v>10000000</v>
      </c>
      <c r="DD58" s="37">
        <v>0</v>
      </c>
      <c r="DE58" s="37">
        <v>0</v>
      </c>
      <c r="DF58" s="37">
        <v>0</v>
      </c>
      <c r="DG58" s="37">
        <v>0</v>
      </c>
      <c r="DH58" s="37">
        <v>0</v>
      </c>
      <c r="DI58" s="37">
        <v>0</v>
      </c>
      <c r="DJ58" s="37">
        <v>0</v>
      </c>
      <c r="DK58" s="37">
        <v>0</v>
      </c>
      <c r="DL58" s="37">
        <v>10000000</v>
      </c>
      <c r="DM58" s="37">
        <v>0</v>
      </c>
      <c r="DN58" s="37">
        <v>100000</v>
      </c>
      <c r="DO58" s="37">
        <v>0</v>
      </c>
      <c r="DP58" s="37">
        <v>0</v>
      </c>
      <c r="DQ58" s="37">
        <v>0</v>
      </c>
      <c r="DR58" s="37">
        <v>0</v>
      </c>
      <c r="DS58" s="37">
        <v>0</v>
      </c>
      <c r="DT58" s="37">
        <v>0</v>
      </c>
      <c r="DU58" s="37">
        <v>0</v>
      </c>
      <c r="DV58" s="37">
        <v>0</v>
      </c>
      <c r="DW58" s="37">
        <v>0</v>
      </c>
      <c r="DX58" s="37">
        <v>100000</v>
      </c>
      <c r="DY58" s="37">
        <v>0</v>
      </c>
      <c r="DZ58" s="37">
        <v>0</v>
      </c>
      <c r="EA58" s="37">
        <v>0</v>
      </c>
      <c r="EB58" s="37">
        <v>0</v>
      </c>
      <c r="EC58" s="37">
        <v>0</v>
      </c>
      <c r="ED58" s="37">
        <v>0</v>
      </c>
      <c r="EE58" s="37">
        <v>0</v>
      </c>
      <c r="EF58" s="37">
        <v>0</v>
      </c>
      <c r="EG58" s="37">
        <v>0</v>
      </c>
      <c r="EH58" s="37">
        <v>0</v>
      </c>
      <c r="EI58" s="37">
        <v>0</v>
      </c>
      <c r="EJ58" s="37">
        <v>0</v>
      </c>
      <c r="EK58" s="161" t="s">
        <v>1124</v>
      </c>
      <c r="EL58" s="294" t="s">
        <v>1124</v>
      </c>
    </row>
    <row r="59" spans="1:142" ht="15" customHeight="1" x14ac:dyDescent="0.35">
      <c r="A59" s="34"/>
      <c r="B59" s="313">
        <v>48005</v>
      </c>
      <c r="C59" s="8" t="s">
        <v>456</v>
      </c>
      <c r="D59" s="18">
        <v>16</v>
      </c>
      <c r="E59" s="155"/>
      <c r="F59" s="36"/>
      <c r="G59" s="37"/>
      <c r="H59" s="37"/>
      <c r="I59" s="37"/>
      <c r="J59" s="37"/>
      <c r="K59" s="37"/>
      <c r="L59" s="37"/>
      <c r="M59" s="37" t="s">
        <v>1124</v>
      </c>
      <c r="N59" s="37" t="s">
        <v>1124</v>
      </c>
      <c r="O59" s="37"/>
      <c r="P59" s="37"/>
      <c r="Q59" s="37"/>
      <c r="R59" s="37"/>
      <c r="S59" s="37"/>
      <c r="T59" s="37"/>
      <c r="U59" s="37"/>
      <c r="V59" s="37"/>
      <c r="W59" s="37"/>
      <c r="X59" s="37"/>
      <c r="Y59" s="37"/>
      <c r="Z59" s="37"/>
      <c r="AA59" s="37" t="s">
        <v>1124</v>
      </c>
      <c r="AB59" s="37" t="s">
        <v>1124</v>
      </c>
      <c r="AC59" s="37"/>
      <c r="AD59" s="37"/>
      <c r="AE59" s="37"/>
      <c r="AF59" s="168"/>
      <c r="AG59" s="37"/>
      <c r="AH59" s="37"/>
      <c r="AI59" s="37"/>
      <c r="AJ59" s="37"/>
      <c r="AK59" s="37"/>
      <c r="AL59" s="37"/>
      <c r="AM59" s="37"/>
      <c r="AN59" s="37"/>
      <c r="AO59" s="37"/>
      <c r="AP59" s="37"/>
      <c r="AQ59" s="37"/>
      <c r="AR59" s="37" t="s">
        <v>1124</v>
      </c>
      <c r="AS59" s="37"/>
      <c r="AT59" s="37"/>
      <c r="AU59" s="37"/>
      <c r="AV59" s="37"/>
      <c r="AW59" s="37"/>
      <c r="AX59" s="37"/>
      <c r="AY59" s="37"/>
      <c r="AZ59" s="37"/>
      <c r="BA59" s="37"/>
      <c r="BB59" s="37"/>
      <c r="BC59" s="37"/>
      <c r="BD59" s="37" t="s">
        <v>1124</v>
      </c>
      <c r="BE59" s="37"/>
      <c r="BF59" s="37"/>
      <c r="BG59" s="37"/>
      <c r="BH59" s="37"/>
      <c r="BI59" s="37"/>
      <c r="BJ59" s="37"/>
      <c r="BK59" s="37"/>
      <c r="BL59" s="37"/>
      <c r="BM59" s="37"/>
      <c r="BN59" s="37"/>
      <c r="BO59" s="37"/>
      <c r="BP59" s="37">
        <v>0</v>
      </c>
      <c r="BQ59" s="37"/>
      <c r="BR59" s="37"/>
      <c r="BS59" s="37"/>
      <c r="BT59" s="37"/>
      <c r="BU59" s="37"/>
      <c r="BV59" s="37"/>
      <c r="BW59" s="37"/>
      <c r="BX59" s="37"/>
      <c r="BY59" s="37"/>
      <c r="BZ59" s="37"/>
      <c r="CA59" s="37"/>
      <c r="CB59" s="37" t="s">
        <v>1124</v>
      </c>
      <c r="CC59" s="37"/>
      <c r="CD59" s="37"/>
      <c r="CE59" s="37"/>
      <c r="CF59" s="37"/>
      <c r="CG59" s="37"/>
      <c r="CH59" s="37"/>
      <c r="CI59" s="37"/>
      <c r="CJ59" s="37"/>
      <c r="CK59" s="37"/>
      <c r="CL59" s="37"/>
      <c r="CM59" s="37"/>
      <c r="CN59" s="37" t="s">
        <v>1124</v>
      </c>
      <c r="CO59" s="37"/>
      <c r="CP59" s="37"/>
      <c r="CQ59" s="37"/>
      <c r="CR59" s="37"/>
      <c r="CS59" s="37"/>
      <c r="CT59" s="37"/>
      <c r="CU59" s="37"/>
      <c r="CV59" s="37"/>
      <c r="CW59" s="37"/>
      <c r="CX59" s="37"/>
      <c r="CY59" s="37"/>
      <c r="CZ59" s="37" t="s">
        <v>1124</v>
      </c>
      <c r="DA59" s="37"/>
      <c r="DB59" s="37"/>
      <c r="DC59" s="37"/>
      <c r="DD59" s="37"/>
      <c r="DE59" s="37"/>
      <c r="DF59" s="37"/>
      <c r="DG59" s="37"/>
      <c r="DH59" s="37"/>
      <c r="DI59" s="37"/>
      <c r="DJ59" s="37"/>
      <c r="DK59" s="37"/>
      <c r="DL59" s="37" t="s">
        <v>1124</v>
      </c>
      <c r="DM59" s="37"/>
      <c r="DN59" s="37"/>
      <c r="DO59" s="37"/>
      <c r="DP59" s="37"/>
      <c r="DQ59" s="37"/>
      <c r="DR59" s="37"/>
      <c r="DS59" s="37"/>
      <c r="DT59" s="37"/>
      <c r="DU59" s="37"/>
      <c r="DV59" s="37"/>
      <c r="DW59" s="37"/>
      <c r="DX59" s="37" t="s">
        <v>1124</v>
      </c>
      <c r="DY59" s="37"/>
      <c r="DZ59" s="37"/>
      <c r="EA59" s="37"/>
      <c r="EB59" s="37"/>
      <c r="EC59" s="37"/>
      <c r="ED59" s="37"/>
      <c r="EE59" s="37"/>
      <c r="EF59" s="37"/>
      <c r="EG59" s="37"/>
      <c r="EH59" s="37"/>
      <c r="EI59" s="37"/>
      <c r="EJ59" s="37" t="s">
        <v>1124</v>
      </c>
      <c r="EK59" s="161"/>
      <c r="EL59" s="294"/>
    </row>
    <row r="60" spans="1:142" ht="15" customHeight="1" x14ac:dyDescent="0.35">
      <c r="A60" s="34"/>
      <c r="B60" s="313">
        <v>13055</v>
      </c>
      <c r="C60" s="8" t="s">
        <v>50</v>
      </c>
      <c r="D60" s="18">
        <v>1</v>
      </c>
      <c r="E60" s="155">
        <v>38845</v>
      </c>
      <c r="F60" s="36">
        <v>38696</v>
      </c>
      <c r="G60" s="37">
        <v>35747</v>
      </c>
      <c r="H60" s="37">
        <v>0</v>
      </c>
      <c r="I60" s="37">
        <v>68900</v>
      </c>
      <c r="J60" s="37">
        <v>0</v>
      </c>
      <c r="K60" s="37">
        <v>5827</v>
      </c>
      <c r="L60" s="37">
        <v>5804</v>
      </c>
      <c r="M60" s="37">
        <v>149319</v>
      </c>
      <c r="N60" s="37">
        <v>44500</v>
      </c>
      <c r="O60" s="37">
        <v>0</v>
      </c>
      <c r="P60" s="37">
        <v>0</v>
      </c>
      <c r="Q60" s="37">
        <v>52886</v>
      </c>
      <c r="R60" s="37">
        <v>8158</v>
      </c>
      <c r="S60" s="37">
        <v>0</v>
      </c>
      <c r="T60" s="37">
        <v>0</v>
      </c>
      <c r="U60" s="37">
        <v>81940</v>
      </c>
      <c r="V60" s="37">
        <v>0</v>
      </c>
      <c r="W60" s="37">
        <v>45636</v>
      </c>
      <c r="X60" s="37">
        <v>0</v>
      </c>
      <c r="Y60" s="37">
        <v>5199</v>
      </c>
      <c r="Z60" s="37">
        <v>0</v>
      </c>
      <c r="AA60" s="37">
        <v>185661</v>
      </c>
      <c r="AB60" s="37">
        <v>8158</v>
      </c>
      <c r="AC60" s="37">
        <v>0</v>
      </c>
      <c r="AD60" s="37">
        <v>0</v>
      </c>
      <c r="AE60" s="37">
        <v>0</v>
      </c>
      <c r="AF60" s="168">
        <v>0.02</v>
      </c>
      <c r="AG60" s="37">
        <v>10643977.210000001</v>
      </c>
      <c r="AH60" s="37">
        <v>138908.1</v>
      </c>
      <c r="AI60" s="37">
        <v>115156.06</v>
      </c>
      <c r="AJ60" s="37">
        <v>117459.18</v>
      </c>
      <c r="AK60" s="37">
        <v>119808.37</v>
      </c>
      <c r="AL60" s="37">
        <v>122204.53</v>
      </c>
      <c r="AM60" s="37">
        <v>124648.63</v>
      </c>
      <c r="AN60" s="37">
        <v>127141.6</v>
      </c>
      <c r="AO60" s="37">
        <v>129684.43</v>
      </c>
      <c r="AP60" s="37">
        <v>132278.12</v>
      </c>
      <c r="AQ60" s="37">
        <v>134923.68</v>
      </c>
      <c r="AR60" s="37">
        <v>1262212.7000000002</v>
      </c>
      <c r="AS60" s="37">
        <v>525402</v>
      </c>
      <c r="AT60" s="37">
        <v>0</v>
      </c>
      <c r="AU60" s="37">
        <v>0</v>
      </c>
      <c r="AV60" s="37">
        <v>0</v>
      </c>
      <c r="AW60" s="37">
        <v>0</v>
      </c>
      <c r="AX60" s="37">
        <v>0</v>
      </c>
      <c r="AY60" s="37">
        <v>0</v>
      </c>
      <c r="AZ60" s="37">
        <v>0</v>
      </c>
      <c r="BA60" s="37">
        <v>0</v>
      </c>
      <c r="BB60" s="37">
        <v>0</v>
      </c>
      <c r="BC60" s="37">
        <v>0</v>
      </c>
      <c r="BD60" s="37">
        <v>0</v>
      </c>
      <c r="BE60" s="37">
        <v>439361</v>
      </c>
      <c r="BF60" s="37">
        <v>545000</v>
      </c>
      <c r="BG60" s="37">
        <v>0</v>
      </c>
      <c r="BH60" s="37">
        <v>0</v>
      </c>
      <c r="BI60" s="37">
        <v>0</v>
      </c>
      <c r="BJ60" s="37">
        <v>0</v>
      </c>
      <c r="BK60" s="37">
        <v>0</v>
      </c>
      <c r="BL60" s="37">
        <v>0</v>
      </c>
      <c r="BM60" s="37">
        <v>0</v>
      </c>
      <c r="BN60" s="37">
        <v>0</v>
      </c>
      <c r="BO60" s="37">
        <v>0</v>
      </c>
      <c r="BP60" s="37">
        <v>545000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D60" s="37">
        <v>0</v>
      </c>
      <c r="DE60" s="37">
        <v>0</v>
      </c>
      <c r="DF60" s="37">
        <v>0</v>
      </c>
      <c r="DG60" s="37">
        <v>0</v>
      </c>
      <c r="DH60" s="37">
        <v>0</v>
      </c>
      <c r="DI60" s="37">
        <v>0</v>
      </c>
      <c r="DJ60" s="37">
        <v>0</v>
      </c>
      <c r="DK60" s="37">
        <v>0</v>
      </c>
      <c r="DL60" s="37">
        <v>0</v>
      </c>
      <c r="DM60" s="37">
        <v>0</v>
      </c>
      <c r="DN60" s="37">
        <v>0</v>
      </c>
      <c r="DO60" s="37">
        <v>0</v>
      </c>
      <c r="DP60" s="37">
        <v>0</v>
      </c>
      <c r="DQ60" s="37">
        <v>0</v>
      </c>
      <c r="DR60" s="37">
        <v>0</v>
      </c>
      <c r="DS60" s="37">
        <v>0</v>
      </c>
      <c r="DT60" s="37">
        <v>0</v>
      </c>
      <c r="DU60" s="37">
        <v>0</v>
      </c>
      <c r="DV60" s="37">
        <v>0</v>
      </c>
      <c r="DW60" s="37">
        <v>0</v>
      </c>
      <c r="DX60" s="37">
        <v>0</v>
      </c>
      <c r="DY60" s="37">
        <v>0</v>
      </c>
      <c r="DZ60" s="37">
        <v>0</v>
      </c>
      <c r="EA60" s="37">
        <v>0</v>
      </c>
      <c r="EB60" s="37">
        <v>0</v>
      </c>
      <c r="EC60" s="37">
        <v>0</v>
      </c>
      <c r="ED60" s="37">
        <v>0</v>
      </c>
      <c r="EE60" s="37">
        <v>0</v>
      </c>
      <c r="EF60" s="37">
        <v>0</v>
      </c>
      <c r="EG60" s="37">
        <v>0</v>
      </c>
      <c r="EH60" s="37">
        <v>0</v>
      </c>
      <c r="EI60" s="37">
        <v>0</v>
      </c>
      <c r="EJ60" s="37">
        <v>0</v>
      </c>
      <c r="EK60" s="161" t="s">
        <v>1488</v>
      </c>
      <c r="EL60" s="294" t="s">
        <v>1124</v>
      </c>
    </row>
    <row r="61" spans="1:142" ht="15" customHeight="1" x14ac:dyDescent="0.35">
      <c r="A61" s="34"/>
      <c r="B61" s="313">
        <v>73015</v>
      </c>
      <c r="C61" s="8" t="s">
        <v>736</v>
      </c>
      <c r="D61" s="18">
        <v>15</v>
      </c>
      <c r="E61" s="155">
        <v>2997279</v>
      </c>
      <c r="F61" s="36">
        <v>2664890</v>
      </c>
      <c r="G61" s="37">
        <v>826876</v>
      </c>
      <c r="H61" s="37">
        <v>1189177</v>
      </c>
      <c r="I61" s="37">
        <v>2217881</v>
      </c>
      <c r="J61" s="37">
        <v>1378108</v>
      </c>
      <c r="K61" s="37">
        <v>299727.90000000002</v>
      </c>
      <c r="L61" s="37">
        <v>266489</v>
      </c>
      <c r="M61" s="37">
        <v>6341763.9000000004</v>
      </c>
      <c r="N61" s="37">
        <v>5498664</v>
      </c>
      <c r="O61" s="37">
        <v>521820</v>
      </c>
      <c r="P61" s="37">
        <v>314850</v>
      </c>
      <c r="Q61" s="37">
        <v>2604666</v>
      </c>
      <c r="R61" s="37">
        <v>2320722</v>
      </c>
      <c r="S61" s="37">
        <v>59113</v>
      </c>
      <c r="T61" s="37">
        <v>35422</v>
      </c>
      <c r="U61" s="37">
        <v>219119</v>
      </c>
      <c r="V61" s="37">
        <v>73789</v>
      </c>
      <c r="W61" s="37">
        <v>2937045.9000000004</v>
      </c>
      <c r="X61" s="37">
        <v>2753881</v>
      </c>
      <c r="Y61" s="37">
        <v>0</v>
      </c>
      <c r="Z61" s="37">
        <v>0</v>
      </c>
      <c r="AA61" s="37">
        <v>6341763.9000000004</v>
      </c>
      <c r="AB61" s="37">
        <v>5498664</v>
      </c>
      <c r="AC61" s="37">
        <v>0</v>
      </c>
      <c r="AD61" s="37">
        <v>0</v>
      </c>
      <c r="AE61" s="37">
        <v>0</v>
      </c>
      <c r="AF61" s="168">
        <v>0.02</v>
      </c>
      <c r="AG61" s="37">
        <v>781032699.65999997</v>
      </c>
      <c r="AH61" s="37">
        <v>6567833.9699999997</v>
      </c>
      <c r="AI61" s="37">
        <v>6699190.6500000004</v>
      </c>
      <c r="AJ61" s="37">
        <v>6833174.46</v>
      </c>
      <c r="AK61" s="37">
        <v>6969837.9500000002</v>
      </c>
      <c r="AL61" s="37">
        <v>7109234.71</v>
      </c>
      <c r="AM61" s="37">
        <v>7251419.4000000004</v>
      </c>
      <c r="AN61" s="37">
        <v>7396447.79</v>
      </c>
      <c r="AO61" s="37">
        <v>7544376.75</v>
      </c>
      <c r="AP61" s="37">
        <v>7695264.2800000003</v>
      </c>
      <c r="AQ61" s="37">
        <v>7849169.5700000003</v>
      </c>
      <c r="AR61" s="37">
        <v>71915949.530000001</v>
      </c>
      <c r="AS61" s="37">
        <v>702270</v>
      </c>
      <c r="AT61" s="37">
        <v>7376436</v>
      </c>
      <c r="AU61" s="37">
        <v>0</v>
      </c>
      <c r="AV61" s="37">
        <v>0</v>
      </c>
      <c r="AW61" s="37">
        <v>0</v>
      </c>
      <c r="AX61" s="37">
        <v>0</v>
      </c>
      <c r="AY61" s="37">
        <v>0</v>
      </c>
      <c r="AZ61" s="37">
        <v>0</v>
      </c>
      <c r="BA61" s="37">
        <v>0</v>
      </c>
      <c r="BB61" s="37">
        <v>0</v>
      </c>
      <c r="BC61" s="37">
        <v>0</v>
      </c>
      <c r="BD61" s="37">
        <v>7376436</v>
      </c>
      <c r="BE61" s="37">
        <v>2900000</v>
      </c>
      <c r="BF61" s="37">
        <v>8386000</v>
      </c>
      <c r="BG61" s="37">
        <v>2870000</v>
      </c>
      <c r="BH61" s="37">
        <v>1570000</v>
      </c>
      <c r="BI61" s="37">
        <v>100000</v>
      </c>
      <c r="BJ61" s="37">
        <v>0</v>
      </c>
      <c r="BK61" s="37">
        <v>0</v>
      </c>
      <c r="BL61" s="37">
        <v>0</v>
      </c>
      <c r="BM61" s="37">
        <v>0</v>
      </c>
      <c r="BN61" s="37">
        <v>0</v>
      </c>
      <c r="BO61" s="37">
        <v>0</v>
      </c>
      <c r="BP61" s="37">
        <v>12926000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D61" s="37">
        <v>0</v>
      </c>
      <c r="DE61" s="37">
        <v>0</v>
      </c>
      <c r="DF61" s="37">
        <v>0</v>
      </c>
      <c r="DG61" s="37">
        <v>0</v>
      </c>
      <c r="DH61" s="37">
        <v>0</v>
      </c>
      <c r="DI61" s="37">
        <v>0</v>
      </c>
      <c r="DJ61" s="37">
        <v>0</v>
      </c>
      <c r="DK61" s="37">
        <v>0</v>
      </c>
      <c r="DL61" s="37">
        <v>0</v>
      </c>
      <c r="DM61" s="37">
        <v>0</v>
      </c>
      <c r="DN61" s="37">
        <v>0</v>
      </c>
      <c r="DO61" s="37">
        <v>0</v>
      </c>
      <c r="DP61" s="37">
        <v>0</v>
      </c>
      <c r="DQ61" s="37">
        <v>0</v>
      </c>
      <c r="DR61" s="37">
        <v>0</v>
      </c>
      <c r="DS61" s="37">
        <v>0</v>
      </c>
      <c r="DT61" s="37">
        <v>0</v>
      </c>
      <c r="DU61" s="37">
        <v>0</v>
      </c>
      <c r="DV61" s="37">
        <v>0</v>
      </c>
      <c r="DW61" s="37">
        <v>0</v>
      </c>
      <c r="DX61" s="37">
        <v>0</v>
      </c>
      <c r="DY61" s="37">
        <v>0</v>
      </c>
      <c r="DZ61" s="37">
        <v>0</v>
      </c>
      <c r="EA61" s="37">
        <v>0</v>
      </c>
      <c r="EB61" s="37">
        <v>0</v>
      </c>
      <c r="EC61" s="37">
        <v>0</v>
      </c>
      <c r="ED61" s="37">
        <v>0</v>
      </c>
      <c r="EE61" s="37">
        <v>0</v>
      </c>
      <c r="EF61" s="37">
        <v>0</v>
      </c>
      <c r="EG61" s="37">
        <v>0</v>
      </c>
      <c r="EH61" s="37">
        <v>0</v>
      </c>
      <c r="EI61" s="37">
        <v>0</v>
      </c>
      <c r="EJ61" s="37">
        <v>0</v>
      </c>
      <c r="EK61" s="161" t="s">
        <v>1124</v>
      </c>
      <c r="EL61" s="294" t="s">
        <v>1124</v>
      </c>
    </row>
    <row r="62" spans="1:142" ht="15" customHeight="1" x14ac:dyDescent="0.35">
      <c r="A62" s="34"/>
      <c r="B62" s="313">
        <v>98005</v>
      </c>
      <c r="C62" s="8" t="s">
        <v>1006</v>
      </c>
      <c r="D62" s="18">
        <v>9</v>
      </c>
      <c r="E62" s="155"/>
      <c r="F62" s="36"/>
      <c r="G62" s="37"/>
      <c r="H62" s="37"/>
      <c r="I62" s="37"/>
      <c r="J62" s="37"/>
      <c r="K62" s="37"/>
      <c r="L62" s="37"/>
      <c r="M62" s="37" t="s">
        <v>1124</v>
      </c>
      <c r="N62" s="37" t="s">
        <v>1124</v>
      </c>
      <c r="O62" s="37"/>
      <c r="P62" s="37"/>
      <c r="Q62" s="37"/>
      <c r="R62" s="37"/>
      <c r="S62" s="37"/>
      <c r="T62" s="37"/>
      <c r="U62" s="37"/>
      <c r="V62" s="37"/>
      <c r="W62" s="37"/>
      <c r="X62" s="37"/>
      <c r="Y62" s="37"/>
      <c r="Z62" s="37"/>
      <c r="AA62" s="37" t="s">
        <v>1124</v>
      </c>
      <c r="AB62" s="37" t="s">
        <v>1124</v>
      </c>
      <c r="AC62" s="37"/>
      <c r="AD62" s="37"/>
      <c r="AE62" s="37"/>
      <c r="AF62" s="168"/>
      <c r="AG62" s="37"/>
      <c r="AH62" s="37"/>
      <c r="AI62" s="37"/>
      <c r="AJ62" s="37"/>
      <c r="AK62" s="37"/>
      <c r="AL62" s="37"/>
      <c r="AM62" s="37"/>
      <c r="AN62" s="37"/>
      <c r="AO62" s="37"/>
      <c r="AP62" s="37"/>
      <c r="AQ62" s="37"/>
      <c r="AR62" s="37" t="s">
        <v>1124</v>
      </c>
      <c r="AS62" s="37"/>
      <c r="AT62" s="37"/>
      <c r="AU62" s="37"/>
      <c r="AV62" s="37"/>
      <c r="AW62" s="37"/>
      <c r="AX62" s="37"/>
      <c r="AY62" s="37"/>
      <c r="AZ62" s="37"/>
      <c r="BA62" s="37"/>
      <c r="BB62" s="37"/>
      <c r="BC62" s="37"/>
      <c r="BD62" s="37" t="s">
        <v>1124</v>
      </c>
      <c r="BE62" s="37"/>
      <c r="BF62" s="37"/>
      <c r="BG62" s="37"/>
      <c r="BH62" s="37"/>
      <c r="BI62" s="37"/>
      <c r="BJ62" s="37"/>
      <c r="BK62" s="37"/>
      <c r="BL62" s="37"/>
      <c r="BM62" s="37"/>
      <c r="BN62" s="37"/>
      <c r="BO62" s="37"/>
      <c r="BP62" s="37">
        <v>0</v>
      </c>
      <c r="BQ62" s="37"/>
      <c r="BR62" s="37"/>
      <c r="BS62" s="37"/>
      <c r="BT62" s="37"/>
      <c r="BU62" s="37"/>
      <c r="BV62" s="37"/>
      <c r="BW62" s="37"/>
      <c r="BX62" s="37"/>
      <c r="BY62" s="37"/>
      <c r="BZ62" s="37"/>
      <c r="CA62" s="37"/>
      <c r="CB62" s="37" t="s">
        <v>1124</v>
      </c>
      <c r="CC62" s="37"/>
      <c r="CD62" s="37"/>
      <c r="CE62" s="37"/>
      <c r="CF62" s="37"/>
      <c r="CG62" s="37"/>
      <c r="CH62" s="37"/>
      <c r="CI62" s="37"/>
      <c r="CJ62" s="37"/>
      <c r="CK62" s="37"/>
      <c r="CL62" s="37"/>
      <c r="CM62" s="37"/>
      <c r="CN62" s="37" t="s">
        <v>1124</v>
      </c>
      <c r="CO62" s="37"/>
      <c r="CP62" s="37"/>
      <c r="CQ62" s="37"/>
      <c r="CR62" s="37"/>
      <c r="CS62" s="37"/>
      <c r="CT62" s="37"/>
      <c r="CU62" s="37"/>
      <c r="CV62" s="37"/>
      <c r="CW62" s="37"/>
      <c r="CX62" s="37"/>
      <c r="CY62" s="37"/>
      <c r="CZ62" s="37" t="s">
        <v>1124</v>
      </c>
      <c r="DA62" s="37"/>
      <c r="DB62" s="37"/>
      <c r="DC62" s="37"/>
      <c r="DD62" s="37"/>
      <c r="DE62" s="37"/>
      <c r="DF62" s="37"/>
      <c r="DG62" s="37"/>
      <c r="DH62" s="37"/>
      <c r="DI62" s="37"/>
      <c r="DJ62" s="37"/>
      <c r="DK62" s="37"/>
      <c r="DL62" s="37" t="s">
        <v>1124</v>
      </c>
      <c r="DM62" s="37"/>
      <c r="DN62" s="37"/>
      <c r="DO62" s="37"/>
      <c r="DP62" s="37"/>
      <c r="DQ62" s="37"/>
      <c r="DR62" s="37"/>
      <c r="DS62" s="37"/>
      <c r="DT62" s="37"/>
      <c r="DU62" s="37"/>
      <c r="DV62" s="37"/>
      <c r="DW62" s="37"/>
      <c r="DX62" s="37" t="s">
        <v>1124</v>
      </c>
      <c r="DY62" s="37"/>
      <c r="DZ62" s="37"/>
      <c r="EA62" s="37"/>
      <c r="EB62" s="37"/>
      <c r="EC62" s="37"/>
      <c r="ED62" s="37"/>
      <c r="EE62" s="37"/>
      <c r="EF62" s="37"/>
      <c r="EG62" s="37"/>
      <c r="EH62" s="37"/>
      <c r="EI62" s="37"/>
      <c r="EJ62" s="37" t="s">
        <v>1124</v>
      </c>
      <c r="EK62" s="161"/>
      <c r="EL62" s="294"/>
    </row>
    <row r="63" spans="1:142" ht="15" customHeight="1" x14ac:dyDescent="0.35">
      <c r="A63" s="34"/>
      <c r="B63" s="313">
        <v>83045</v>
      </c>
      <c r="C63" s="8" t="s">
        <v>841</v>
      </c>
      <c r="D63" s="18">
        <v>7</v>
      </c>
      <c r="E63" s="155"/>
      <c r="F63" s="36"/>
      <c r="G63" s="37"/>
      <c r="H63" s="37"/>
      <c r="I63" s="37"/>
      <c r="J63" s="37"/>
      <c r="K63" s="37"/>
      <c r="L63" s="37"/>
      <c r="M63" s="37" t="s">
        <v>1124</v>
      </c>
      <c r="N63" s="37" t="s">
        <v>1124</v>
      </c>
      <c r="O63" s="37"/>
      <c r="P63" s="37"/>
      <c r="Q63" s="37"/>
      <c r="R63" s="37"/>
      <c r="S63" s="37"/>
      <c r="T63" s="37"/>
      <c r="U63" s="37"/>
      <c r="V63" s="37"/>
      <c r="W63" s="37"/>
      <c r="X63" s="37"/>
      <c r="Y63" s="37"/>
      <c r="Z63" s="37"/>
      <c r="AA63" s="37" t="s">
        <v>1124</v>
      </c>
      <c r="AB63" s="37" t="s">
        <v>1124</v>
      </c>
      <c r="AC63" s="37"/>
      <c r="AD63" s="37"/>
      <c r="AE63" s="37"/>
      <c r="AF63" s="168"/>
      <c r="AG63" s="37"/>
      <c r="AH63" s="37"/>
      <c r="AI63" s="37"/>
      <c r="AJ63" s="37"/>
      <c r="AK63" s="37"/>
      <c r="AL63" s="37"/>
      <c r="AM63" s="37"/>
      <c r="AN63" s="37"/>
      <c r="AO63" s="37"/>
      <c r="AP63" s="37"/>
      <c r="AQ63" s="37"/>
      <c r="AR63" s="37" t="s">
        <v>1124</v>
      </c>
      <c r="AS63" s="37"/>
      <c r="AT63" s="37"/>
      <c r="AU63" s="37"/>
      <c r="AV63" s="37"/>
      <c r="AW63" s="37"/>
      <c r="AX63" s="37"/>
      <c r="AY63" s="37"/>
      <c r="AZ63" s="37"/>
      <c r="BA63" s="37"/>
      <c r="BB63" s="37"/>
      <c r="BC63" s="37"/>
      <c r="BD63" s="37" t="s">
        <v>1124</v>
      </c>
      <c r="BE63" s="37"/>
      <c r="BF63" s="37"/>
      <c r="BG63" s="37"/>
      <c r="BH63" s="37"/>
      <c r="BI63" s="37"/>
      <c r="BJ63" s="37"/>
      <c r="BK63" s="37"/>
      <c r="BL63" s="37"/>
      <c r="BM63" s="37"/>
      <c r="BN63" s="37"/>
      <c r="BO63" s="37"/>
      <c r="BP63" s="37">
        <v>0</v>
      </c>
      <c r="BQ63" s="37"/>
      <c r="BR63" s="37"/>
      <c r="BS63" s="37"/>
      <c r="BT63" s="37"/>
      <c r="BU63" s="37"/>
      <c r="BV63" s="37"/>
      <c r="BW63" s="37"/>
      <c r="BX63" s="37"/>
      <c r="BY63" s="37"/>
      <c r="BZ63" s="37"/>
      <c r="CA63" s="37"/>
      <c r="CB63" s="37" t="s">
        <v>1124</v>
      </c>
      <c r="CC63" s="37"/>
      <c r="CD63" s="37"/>
      <c r="CE63" s="37"/>
      <c r="CF63" s="37"/>
      <c r="CG63" s="37"/>
      <c r="CH63" s="37"/>
      <c r="CI63" s="37"/>
      <c r="CJ63" s="37"/>
      <c r="CK63" s="37"/>
      <c r="CL63" s="37"/>
      <c r="CM63" s="37"/>
      <c r="CN63" s="37" t="s">
        <v>1124</v>
      </c>
      <c r="CO63" s="37"/>
      <c r="CP63" s="37"/>
      <c r="CQ63" s="37"/>
      <c r="CR63" s="37"/>
      <c r="CS63" s="37"/>
      <c r="CT63" s="37"/>
      <c r="CU63" s="37"/>
      <c r="CV63" s="37"/>
      <c r="CW63" s="37"/>
      <c r="CX63" s="37"/>
      <c r="CY63" s="37"/>
      <c r="CZ63" s="37" t="s">
        <v>1124</v>
      </c>
      <c r="DA63" s="37"/>
      <c r="DB63" s="37"/>
      <c r="DC63" s="37"/>
      <c r="DD63" s="37"/>
      <c r="DE63" s="37"/>
      <c r="DF63" s="37"/>
      <c r="DG63" s="37"/>
      <c r="DH63" s="37"/>
      <c r="DI63" s="37"/>
      <c r="DJ63" s="37"/>
      <c r="DK63" s="37"/>
      <c r="DL63" s="37" t="s">
        <v>1124</v>
      </c>
      <c r="DM63" s="37"/>
      <c r="DN63" s="37"/>
      <c r="DO63" s="37"/>
      <c r="DP63" s="37"/>
      <c r="DQ63" s="37"/>
      <c r="DR63" s="37"/>
      <c r="DS63" s="37"/>
      <c r="DT63" s="37"/>
      <c r="DU63" s="37"/>
      <c r="DV63" s="37"/>
      <c r="DW63" s="37"/>
      <c r="DX63" s="37" t="s">
        <v>1124</v>
      </c>
      <c r="DY63" s="37"/>
      <c r="DZ63" s="37"/>
      <c r="EA63" s="37"/>
      <c r="EB63" s="37"/>
      <c r="EC63" s="37"/>
      <c r="ED63" s="37"/>
      <c r="EE63" s="37"/>
      <c r="EF63" s="37"/>
      <c r="EG63" s="37"/>
      <c r="EH63" s="37"/>
      <c r="EI63" s="37"/>
      <c r="EJ63" s="37" t="s">
        <v>1124</v>
      </c>
      <c r="EK63" s="161"/>
      <c r="EL63" s="294"/>
    </row>
    <row r="64" spans="1:142" ht="15" customHeight="1" x14ac:dyDescent="0.35">
      <c r="A64" s="34"/>
      <c r="B64" s="313">
        <v>80115</v>
      </c>
      <c r="C64" s="8" t="s">
        <v>821</v>
      </c>
      <c r="D64" s="18">
        <v>7</v>
      </c>
      <c r="E64" s="155"/>
      <c r="F64" s="36"/>
      <c r="G64" s="37"/>
      <c r="H64" s="37"/>
      <c r="I64" s="37"/>
      <c r="J64" s="37"/>
      <c r="K64" s="37"/>
      <c r="L64" s="37"/>
      <c r="M64" s="37" t="s">
        <v>1124</v>
      </c>
      <c r="N64" s="37" t="s">
        <v>1124</v>
      </c>
      <c r="O64" s="37"/>
      <c r="P64" s="37"/>
      <c r="Q64" s="37"/>
      <c r="R64" s="37"/>
      <c r="S64" s="37"/>
      <c r="T64" s="37"/>
      <c r="U64" s="37"/>
      <c r="V64" s="37"/>
      <c r="W64" s="37"/>
      <c r="X64" s="37"/>
      <c r="Y64" s="37"/>
      <c r="Z64" s="37"/>
      <c r="AA64" s="37" t="s">
        <v>1124</v>
      </c>
      <c r="AB64" s="37" t="s">
        <v>1124</v>
      </c>
      <c r="AC64" s="37"/>
      <c r="AD64" s="37"/>
      <c r="AE64" s="37"/>
      <c r="AF64" s="168"/>
      <c r="AG64" s="37"/>
      <c r="AH64" s="37"/>
      <c r="AI64" s="37"/>
      <c r="AJ64" s="37"/>
      <c r="AK64" s="37"/>
      <c r="AL64" s="37"/>
      <c r="AM64" s="37"/>
      <c r="AN64" s="37"/>
      <c r="AO64" s="37"/>
      <c r="AP64" s="37"/>
      <c r="AQ64" s="37"/>
      <c r="AR64" s="37" t="s">
        <v>1124</v>
      </c>
      <c r="AS64" s="37"/>
      <c r="AT64" s="37"/>
      <c r="AU64" s="37"/>
      <c r="AV64" s="37"/>
      <c r="AW64" s="37"/>
      <c r="AX64" s="37"/>
      <c r="AY64" s="37"/>
      <c r="AZ64" s="37"/>
      <c r="BA64" s="37"/>
      <c r="BB64" s="37"/>
      <c r="BC64" s="37"/>
      <c r="BD64" s="37" t="s">
        <v>1124</v>
      </c>
      <c r="BE64" s="37"/>
      <c r="BF64" s="37"/>
      <c r="BG64" s="37"/>
      <c r="BH64" s="37"/>
      <c r="BI64" s="37"/>
      <c r="BJ64" s="37"/>
      <c r="BK64" s="37"/>
      <c r="BL64" s="37"/>
      <c r="BM64" s="37"/>
      <c r="BN64" s="37"/>
      <c r="BO64" s="37"/>
      <c r="BP64" s="37">
        <v>0</v>
      </c>
      <c r="BQ64" s="37"/>
      <c r="BR64" s="37"/>
      <c r="BS64" s="37"/>
      <c r="BT64" s="37"/>
      <c r="BU64" s="37"/>
      <c r="BV64" s="37"/>
      <c r="BW64" s="37"/>
      <c r="BX64" s="37"/>
      <c r="BY64" s="37"/>
      <c r="BZ64" s="37"/>
      <c r="CA64" s="37"/>
      <c r="CB64" s="37" t="s">
        <v>1124</v>
      </c>
      <c r="CC64" s="37"/>
      <c r="CD64" s="37"/>
      <c r="CE64" s="37"/>
      <c r="CF64" s="37"/>
      <c r="CG64" s="37"/>
      <c r="CH64" s="37"/>
      <c r="CI64" s="37"/>
      <c r="CJ64" s="37"/>
      <c r="CK64" s="37"/>
      <c r="CL64" s="37"/>
      <c r="CM64" s="37"/>
      <c r="CN64" s="37" t="s">
        <v>1124</v>
      </c>
      <c r="CO64" s="37"/>
      <c r="CP64" s="37"/>
      <c r="CQ64" s="37"/>
      <c r="CR64" s="37"/>
      <c r="CS64" s="37"/>
      <c r="CT64" s="37"/>
      <c r="CU64" s="37"/>
      <c r="CV64" s="37"/>
      <c r="CW64" s="37"/>
      <c r="CX64" s="37"/>
      <c r="CY64" s="37"/>
      <c r="CZ64" s="37" t="s">
        <v>1124</v>
      </c>
      <c r="DA64" s="37"/>
      <c r="DB64" s="37"/>
      <c r="DC64" s="37"/>
      <c r="DD64" s="37"/>
      <c r="DE64" s="37"/>
      <c r="DF64" s="37"/>
      <c r="DG64" s="37"/>
      <c r="DH64" s="37"/>
      <c r="DI64" s="37"/>
      <c r="DJ64" s="37"/>
      <c r="DK64" s="37"/>
      <c r="DL64" s="37" t="s">
        <v>1124</v>
      </c>
      <c r="DM64" s="37"/>
      <c r="DN64" s="37"/>
      <c r="DO64" s="37"/>
      <c r="DP64" s="37"/>
      <c r="DQ64" s="37"/>
      <c r="DR64" s="37"/>
      <c r="DS64" s="37"/>
      <c r="DT64" s="37"/>
      <c r="DU64" s="37"/>
      <c r="DV64" s="37"/>
      <c r="DW64" s="37"/>
      <c r="DX64" s="37" t="s">
        <v>1124</v>
      </c>
      <c r="DY64" s="37"/>
      <c r="DZ64" s="37"/>
      <c r="EA64" s="37"/>
      <c r="EB64" s="37"/>
      <c r="EC64" s="37"/>
      <c r="ED64" s="37"/>
      <c r="EE64" s="37"/>
      <c r="EF64" s="37"/>
      <c r="EG64" s="37"/>
      <c r="EH64" s="37"/>
      <c r="EI64" s="37"/>
      <c r="EJ64" s="37" t="s">
        <v>1124</v>
      </c>
      <c r="EK64" s="161"/>
      <c r="EL64" s="294"/>
    </row>
    <row r="65" spans="1:142" ht="15" customHeight="1" x14ac:dyDescent="0.35">
      <c r="A65" s="34"/>
      <c r="B65" s="313">
        <v>73005</v>
      </c>
      <c r="C65" s="8" t="s">
        <v>734</v>
      </c>
      <c r="D65" s="18">
        <v>15</v>
      </c>
      <c r="E65" s="155">
        <v>1808033</v>
      </c>
      <c r="F65" s="36">
        <v>3319913</v>
      </c>
      <c r="G65" s="37">
        <v>284327</v>
      </c>
      <c r="H65" s="37">
        <v>825457</v>
      </c>
      <c r="I65" s="37">
        <v>1161713</v>
      </c>
      <c r="J65" s="37">
        <v>2730813</v>
      </c>
      <c r="K65" s="37">
        <v>271204.95</v>
      </c>
      <c r="L65" s="37">
        <v>497986.94999999995</v>
      </c>
      <c r="M65" s="37">
        <v>3525277.95</v>
      </c>
      <c r="N65" s="37">
        <v>7374169.9500000002</v>
      </c>
      <c r="O65" s="37">
        <v>189000</v>
      </c>
      <c r="P65" s="37">
        <v>261000</v>
      </c>
      <c r="Q65" s="37">
        <v>1807153</v>
      </c>
      <c r="R65" s="37">
        <v>2935768</v>
      </c>
      <c r="S65" s="37">
        <v>132744</v>
      </c>
      <c r="T65" s="37">
        <v>16871</v>
      </c>
      <c r="U65" s="37">
        <v>18850</v>
      </c>
      <c r="V65" s="37">
        <v>31181</v>
      </c>
      <c r="W65" s="37">
        <v>1377530.9500000002</v>
      </c>
      <c r="X65" s="37">
        <v>4129349.95</v>
      </c>
      <c r="Y65" s="37">
        <v>0</v>
      </c>
      <c r="Z65" s="37">
        <v>0</v>
      </c>
      <c r="AA65" s="37">
        <v>3525277.95</v>
      </c>
      <c r="AB65" s="37">
        <v>7374169.9500000002</v>
      </c>
      <c r="AC65" s="37">
        <v>0</v>
      </c>
      <c r="AD65" s="37">
        <v>0</v>
      </c>
      <c r="AE65" s="37">
        <v>0</v>
      </c>
      <c r="AF65" s="168">
        <v>0.02</v>
      </c>
      <c r="AG65" s="37">
        <v>390071046.08999997</v>
      </c>
      <c r="AH65" s="37">
        <v>3739054.8</v>
      </c>
      <c r="AI65" s="37">
        <v>5523292.1699999999</v>
      </c>
      <c r="AJ65" s="37">
        <v>8616070.8499999996</v>
      </c>
      <c r="AK65" s="37">
        <v>8170998.9400000004</v>
      </c>
      <c r="AL65" s="37">
        <v>3338453.29</v>
      </c>
      <c r="AM65" s="37">
        <v>4171012.8</v>
      </c>
      <c r="AN65" s="37">
        <v>3473326.8</v>
      </c>
      <c r="AO65" s="37">
        <v>3542793.34</v>
      </c>
      <c r="AP65" s="37">
        <v>3613649.2</v>
      </c>
      <c r="AQ65" s="37">
        <v>3685922.19</v>
      </c>
      <c r="AR65" s="37">
        <v>47874574.380000003</v>
      </c>
      <c r="AS65" s="37">
        <v>3276853.02</v>
      </c>
      <c r="AT65" s="37">
        <v>35700</v>
      </c>
      <c r="AU65" s="37">
        <v>88434</v>
      </c>
      <c r="AV65" s="37">
        <v>530604</v>
      </c>
      <c r="AW65" s="37">
        <v>0</v>
      </c>
      <c r="AX65" s="37">
        <v>0</v>
      </c>
      <c r="AY65" s="37">
        <v>0</v>
      </c>
      <c r="AZ65" s="37">
        <v>0</v>
      </c>
      <c r="BA65" s="37">
        <v>0</v>
      </c>
      <c r="BB65" s="37">
        <v>0</v>
      </c>
      <c r="BC65" s="37">
        <v>0</v>
      </c>
      <c r="BD65" s="37">
        <v>654738</v>
      </c>
      <c r="BE65" s="37">
        <v>169300</v>
      </c>
      <c r="BF65" s="37">
        <v>0</v>
      </c>
      <c r="BG65" s="37">
        <v>2305952</v>
      </c>
      <c r="BH65" s="37">
        <v>3370379</v>
      </c>
      <c r="BI65" s="37">
        <v>8375000</v>
      </c>
      <c r="BJ65" s="37">
        <v>2650000</v>
      </c>
      <c r="BK65" s="37">
        <v>0</v>
      </c>
      <c r="BL65" s="37">
        <v>0</v>
      </c>
      <c r="BM65" s="37">
        <v>0</v>
      </c>
      <c r="BN65" s="37">
        <v>0</v>
      </c>
      <c r="BO65" s="37">
        <v>0</v>
      </c>
      <c r="BP65" s="37">
        <v>16701331</v>
      </c>
      <c r="BQ65" s="37">
        <v>0</v>
      </c>
      <c r="BR65" s="37">
        <v>160548</v>
      </c>
      <c r="BS65" s="37">
        <v>9300572</v>
      </c>
      <c r="BT65" s="37">
        <v>380000</v>
      </c>
      <c r="BU65" s="37">
        <v>3985000</v>
      </c>
      <c r="BV65" s="37">
        <v>0</v>
      </c>
      <c r="BW65" s="37">
        <v>0</v>
      </c>
      <c r="BX65" s="37">
        <v>0</v>
      </c>
      <c r="BY65" s="37">
        <v>0</v>
      </c>
      <c r="BZ65" s="37">
        <v>0</v>
      </c>
      <c r="CA65" s="37">
        <v>0</v>
      </c>
      <c r="CB65" s="37">
        <v>13826120</v>
      </c>
      <c r="CC65" s="37">
        <v>0</v>
      </c>
      <c r="CD65" s="37">
        <v>0</v>
      </c>
      <c r="CE65" s="37">
        <v>500000</v>
      </c>
      <c r="CF65" s="37">
        <v>0</v>
      </c>
      <c r="CG65" s="37">
        <v>0</v>
      </c>
      <c r="CH65" s="37">
        <v>0</v>
      </c>
      <c r="CI65" s="37">
        <v>0</v>
      </c>
      <c r="CJ65" s="37">
        <v>0</v>
      </c>
      <c r="CK65" s="37">
        <v>0</v>
      </c>
      <c r="CL65" s="37">
        <v>0</v>
      </c>
      <c r="CM65" s="37">
        <v>0</v>
      </c>
      <c r="CN65" s="37">
        <v>500000</v>
      </c>
      <c r="CO65" s="37">
        <v>0</v>
      </c>
      <c r="CP65" s="37">
        <v>0</v>
      </c>
      <c r="CQ65" s="37">
        <v>0</v>
      </c>
      <c r="CR65" s="37">
        <v>0</v>
      </c>
      <c r="CS65" s="37">
        <v>0</v>
      </c>
      <c r="CT65" s="37">
        <v>0</v>
      </c>
      <c r="CU65" s="37">
        <v>0</v>
      </c>
      <c r="CV65" s="37">
        <v>0</v>
      </c>
      <c r="CW65" s="37">
        <v>0</v>
      </c>
      <c r="CX65" s="37">
        <v>0</v>
      </c>
      <c r="CY65" s="37">
        <v>0</v>
      </c>
      <c r="CZ65" s="37">
        <v>0</v>
      </c>
      <c r="DA65" s="37">
        <v>0</v>
      </c>
      <c r="DB65" s="37">
        <v>0</v>
      </c>
      <c r="DC65" s="37">
        <v>0</v>
      </c>
      <c r="DD65" s="37">
        <v>0</v>
      </c>
      <c r="DE65" s="37">
        <v>0</v>
      </c>
      <c r="DF65" s="37">
        <v>0</v>
      </c>
      <c r="DG65" s="37">
        <v>0</v>
      </c>
      <c r="DH65" s="37">
        <v>0</v>
      </c>
      <c r="DI65" s="37">
        <v>0</v>
      </c>
      <c r="DJ65" s="37">
        <v>0</v>
      </c>
      <c r="DK65" s="37">
        <v>0</v>
      </c>
      <c r="DL65" s="37">
        <v>0</v>
      </c>
      <c r="DM65" s="37">
        <v>0</v>
      </c>
      <c r="DN65" s="37">
        <v>100000</v>
      </c>
      <c r="DO65" s="37">
        <v>200000</v>
      </c>
      <c r="DP65" s="37">
        <v>0</v>
      </c>
      <c r="DQ65" s="37">
        <v>0</v>
      </c>
      <c r="DR65" s="37">
        <v>0</v>
      </c>
      <c r="DS65" s="37">
        <v>0</v>
      </c>
      <c r="DT65" s="37">
        <v>0</v>
      </c>
      <c r="DU65" s="37">
        <v>0</v>
      </c>
      <c r="DV65" s="37">
        <v>0</v>
      </c>
      <c r="DW65" s="37">
        <v>0</v>
      </c>
      <c r="DX65" s="37">
        <v>300000</v>
      </c>
      <c r="DY65" s="37">
        <v>0</v>
      </c>
      <c r="DZ65" s="37">
        <v>0</v>
      </c>
      <c r="EA65" s="37">
        <v>0</v>
      </c>
      <c r="EB65" s="37">
        <v>0</v>
      </c>
      <c r="EC65" s="37">
        <v>0</v>
      </c>
      <c r="ED65" s="37">
        <v>0</v>
      </c>
      <c r="EE65" s="37">
        <v>0</v>
      </c>
      <c r="EF65" s="37">
        <v>0</v>
      </c>
      <c r="EG65" s="37">
        <v>0</v>
      </c>
      <c r="EH65" s="37">
        <v>0</v>
      </c>
      <c r="EI65" s="37">
        <v>0</v>
      </c>
      <c r="EJ65" s="37">
        <v>0</v>
      </c>
      <c r="EK65" s="161" t="s">
        <v>1507</v>
      </c>
      <c r="EL65" s="294" t="s">
        <v>1124</v>
      </c>
    </row>
    <row r="66" spans="1:142" ht="15" customHeight="1" x14ac:dyDescent="0.35">
      <c r="A66" s="34"/>
      <c r="B66" s="313">
        <v>21045</v>
      </c>
      <c r="C66" s="8" t="s">
        <v>152</v>
      </c>
      <c r="D66" s="18">
        <v>3</v>
      </c>
      <c r="E66" s="155">
        <v>477977</v>
      </c>
      <c r="F66" s="36">
        <v>768621</v>
      </c>
      <c r="G66" s="37">
        <v>335423</v>
      </c>
      <c r="H66" s="37">
        <v>109359</v>
      </c>
      <c r="I66" s="37">
        <v>1088679</v>
      </c>
      <c r="J66" s="37">
        <v>434029</v>
      </c>
      <c r="K66" s="37">
        <v>71696.55</v>
      </c>
      <c r="L66" s="37">
        <v>115293.15</v>
      </c>
      <c r="M66" s="37">
        <v>1973775.55</v>
      </c>
      <c r="N66" s="37">
        <v>1427302.15</v>
      </c>
      <c r="O66" s="37">
        <v>0</v>
      </c>
      <c r="P66" s="37">
        <v>0</v>
      </c>
      <c r="Q66" s="37">
        <v>406786</v>
      </c>
      <c r="R66" s="37">
        <v>0</v>
      </c>
      <c r="S66" s="37">
        <v>360375</v>
      </c>
      <c r="T66" s="37">
        <v>0</v>
      </c>
      <c r="U66" s="37">
        <v>0</v>
      </c>
      <c r="V66" s="37">
        <v>0</v>
      </c>
      <c r="W66" s="37">
        <v>1206615</v>
      </c>
      <c r="X66" s="37">
        <v>1427302</v>
      </c>
      <c r="Y66" s="37">
        <v>0</v>
      </c>
      <c r="Z66" s="37">
        <v>0</v>
      </c>
      <c r="AA66" s="37">
        <v>1973776</v>
      </c>
      <c r="AB66" s="37">
        <v>1427302</v>
      </c>
      <c r="AC66" s="37">
        <v>0</v>
      </c>
      <c r="AD66" s="37">
        <v>0</v>
      </c>
      <c r="AE66" s="37">
        <v>0</v>
      </c>
      <c r="AF66" s="168">
        <v>0.02</v>
      </c>
      <c r="AG66" s="37">
        <v>68517785.709999993</v>
      </c>
      <c r="AH66" s="37">
        <v>459748.61</v>
      </c>
      <c r="AI66" s="37">
        <v>480175.41</v>
      </c>
      <c r="AJ66" s="37">
        <v>2176320.7799999998</v>
      </c>
      <c r="AK66" s="37">
        <v>1689888.41</v>
      </c>
      <c r="AL66" s="37">
        <v>509565.98</v>
      </c>
      <c r="AM66" s="37">
        <v>519757.3</v>
      </c>
      <c r="AN66" s="37">
        <v>517751.61</v>
      </c>
      <c r="AO66" s="37">
        <v>528106.64</v>
      </c>
      <c r="AP66" s="37">
        <v>538668.77</v>
      </c>
      <c r="AQ66" s="37">
        <v>549442.15</v>
      </c>
      <c r="AR66" s="37">
        <v>7969425.6599999992</v>
      </c>
      <c r="AS66" s="37">
        <v>2389762.39</v>
      </c>
      <c r="AT66" s="37">
        <v>0</v>
      </c>
      <c r="AU66" s="37">
        <v>2079235.45</v>
      </c>
      <c r="AV66" s="37">
        <v>10077.44</v>
      </c>
      <c r="AW66" s="37">
        <v>10278.99</v>
      </c>
      <c r="AX66" s="37">
        <v>10484.57</v>
      </c>
      <c r="AY66" s="37">
        <v>10694.26</v>
      </c>
      <c r="AZ66" s="37">
        <v>0</v>
      </c>
      <c r="BA66" s="37">
        <v>0</v>
      </c>
      <c r="BB66" s="37">
        <v>0</v>
      </c>
      <c r="BC66" s="37">
        <v>0</v>
      </c>
      <c r="BD66" s="37">
        <v>2120770.71</v>
      </c>
      <c r="BE66" s="37">
        <v>0</v>
      </c>
      <c r="BF66" s="37">
        <v>0</v>
      </c>
      <c r="BG66" s="37">
        <v>1170000</v>
      </c>
      <c r="BH66" s="37">
        <v>0</v>
      </c>
      <c r="BI66" s="37">
        <v>1000596</v>
      </c>
      <c r="BJ66" s="37">
        <v>0</v>
      </c>
      <c r="BK66" s="37">
        <v>0</v>
      </c>
      <c r="BL66" s="37">
        <v>0</v>
      </c>
      <c r="BM66" s="37">
        <v>0</v>
      </c>
      <c r="BN66" s="37">
        <v>0</v>
      </c>
      <c r="BO66" s="37">
        <v>0</v>
      </c>
      <c r="BP66" s="37">
        <v>2170596</v>
      </c>
      <c r="BQ66" s="37">
        <v>0</v>
      </c>
      <c r="BR66" s="37">
        <v>0</v>
      </c>
      <c r="BS66" s="37">
        <v>0</v>
      </c>
      <c r="BT66" s="37">
        <v>0</v>
      </c>
      <c r="BU66" s="37">
        <v>0</v>
      </c>
      <c r="BV66" s="37">
        <v>0</v>
      </c>
      <c r="BW66" s="37">
        <v>0</v>
      </c>
      <c r="BX66" s="37">
        <v>0</v>
      </c>
      <c r="BY66" s="37">
        <v>0</v>
      </c>
      <c r="BZ66" s="37">
        <v>0</v>
      </c>
      <c r="CA66" s="37">
        <v>0</v>
      </c>
      <c r="CB66" s="37">
        <v>0</v>
      </c>
      <c r="CC66" s="37">
        <v>0</v>
      </c>
      <c r="CD66" s="37">
        <v>0</v>
      </c>
      <c r="CE66" s="37">
        <v>0</v>
      </c>
      <c r="CF66" s="37">
        <v>0</v>
      </c>
      <c r="CG66" s="37">
        <v>0</v>
      </c>
      <c r="CH66" s="37">
        <v>0</v>
      </c>
      <c r="CI66" s="37">
        <v>0</v>
      </c>
      <c r="CJ66" s="37">
        <v>0</v>
      </c>
      <c r="CK66" s="37">
        <v>0</v>
      </c>
      <c r="CL66" s="37">
        <v>0</v>
      </c>
      <c r="CM66" s="37">
        <v>0</v>
      </c>
      <c r="CN66" s="37">
        <v>0</v>
      </c>
      <c r="CO66" s="37">
        <v>3852514</v>
      </c>
      <c r="CP66" s="37">
        <v>1028975</v>
      </c>
      <c r="CQ66" s="37">
        <v>0</v>
      </c>
      <c r="CR66" s="37">
        <v>0</v>
      </c>
      <c r="CS66" s="37">
        <v>0</v>
      </c>
      <c r="CT66" s="37">
        <v>0</v>
      </c>
      <c r="CU66" s="37">
        <v>0</v>
      </c>
      <c r="CV66" s="37">
        <v>0</v>
      </c>
      <c r="CW66" s="37">
        <v>0</v>
      </c>
      <c r="CX66" s="37">
        <v>0</v>
      </c>
      <c r="CY66" s="37">
        <v>0</v>
      </c>
      <c r="CZ66" s="37">
        <v>1028975</v>
      </c>
      <c r="DA66" s="37">
        <v>789072</v>
      </c>
      <c r="DB66" s="37">
        <v>90000</v>
      </c>
      <c r="DC66" s="37">
        <v>0</v>
      </c>
      <c r="DD66" s="37">
        <v>0</v>
      </c>
      <c r="DE66" s="37">
        <v>0</v>
      </c>
      <c r="DF66" s="37">
        <v>0</v>
      </c>
      <c r="DG66" s="37">
        <v>0</v>
      </c>
      <c r="DH66" s="37">
        <v>0</v>
      </c>
      <c r="DI66" s="37">
        <v>0</v>
      </c>
      <c r="DJ66" s="37">
        <v>0</v>
      </c>
      <c r="DK66" s="37">
        <v>0</v>
      </c>
      <c r="DL66" s="37">
        <v>90000</v>
      </c>
      <c r="DM66" s="37">
        <v>0</v>
      </c>
      <c r="DN66" s="37">
        <v>0</v>
      </c>
      <c r="DO66" s="37">
        <v>0</v>
      </c>
      <c r="DP66" s="37">
        <v>0</v>
      </c>
      <c r="DQ66" s="37">
        <v>0</v>
      </c>
      <c r="DR66" s="37">
        <v>0</v>
      </c>
      <c r="DS66" s="37">
        <v>0</v>
      </c>
      <c r="DT66" s="37">
        <v>0</v>
      </c>
      <c r="DU66" s="37">
        <v>0</v>
      </c>
      <c r="DV66" s="37">
        <v>0</v>
      </c>
      <c r="DW66" s="37">
        <v>0</v>
      </c>
      <c r="DX66" s="37">
        <v>0</v>
      </c>
      <c r="DY66" s="37">
        <v>0</v>
      </c>
      <c r="DZ66" s="37">
        <v>0</v>
      </c>
      <c r="EA66" s="37">
        <v>0</v>
      </c>
      <c r="EB66" s="37">
        <v>0</v>
      </c>
      <c r="EC66" s="37">
        <v>0</v>
      </c>
      <c r="ED66" s="37">
        <v>0</v>
      </c>
      <c r="EE66" s="37">
        <v>0</v>
      </c>
      <c r="EF66" s="37">
        <v>0</v>
      </c>
      <c r="EG66" s="37">
        <v>0</v>
      </c>
      <c r="EH66" s="37">
        <v>0</v>
      </c>
      <c r="EI66" s="37">
        <v>0</v>
      </c>
      <c r="EJ66" s="37">
        <v>0</v>
      </c>
      <c r="EK66" s="161" t="s">
        <v>1491</v>
      </c>
      <c r="EL66" s="294" t="s">
        <v>1124</v>
      </c>
    </row>
    <row r="67" spans="1:142" ht="15" customHeight="1" x14ac:dyDescent="0.35">
      <c r="A67" s="34"/>
      <c r="B67" s="313">
        <v>73030</v>
      </c>
      <c r="C67" s="8" t="s">
        <v>739</v>
      </c>
      <c r="D67" s="18">
        <v>15</v>
      </c>
      <c r="E67" s="155">
        <v>910632</v>
      </c>
      <c r="F67" s="36">
        <v>598696</v>
      </c>
      <c r="G67" s="37">
        <v>8745</v>
      </c>
      <c r="H67" s="37">
        <v>30604</v>
      </c>
      <c r="I67" s="37">
        <v>66376.88</v>
      </c>
      <c r="J67" s="37">
        <v>614559.97</v>
      </c>
      <c r="K67" s="37">
        <v>136594.79999999999</v>
      </c>
      <c r="L67" s="37">
        <v>89804.4</v>
      </c>
      <c r="M67" s="37">
        <v>1122348.68</v>
      </c>
      <c r="N67" s="37">
        <v>1333664.3700000001</v>
      </c>
      <c r="O67" s="37">
        <v>75869.63</v>
      </c>
      <c r="P67" s="37">
        <v>21529.15</v>
      </c>
      <c r="Q67" s="37">
        <v>1219960</v>
      </c>
      <c r="R67" s="37">
        <v>1356287.51</v>
      </c>
      <c r="S67" s="37">
        <v>0</v>
      </c>
      <c r="T67" s="37">
        <v>0</v>
      </c>
      <c r="U67" s="37">
        <v>0</v>
      </c>
      <c r="V67" s="37">
        <v>44544</v>
      </c>
      <c r="W67" s="37">
        <v>0</v>
      </c>
      <c r="X67" s="37">
        <v>0</v>
      </c>
      <c r="Y67" s="37">
        <v>0</v>
      </c>
      <c r="Z67" s="37">
        <v>0</v>
      </c>
      <c r="AA67" s="37">
        <v>1295829.6299999999</v>
      </c>
      <c r="AB67" s="37">
        <v>1422360.66</v>
      </c>
      <c r="AC67" s="37">
        <v>262177</v>
      </c>
      <c r="AD67" s="37">
        <v>0</v>
      </c>
      <c r="AE67" s="37">
        <v>486834</v>
      </c>
      <c r="AF67" s="168">
        <v>0.02</v>
      </c>
      <c r="AG67" s="37">
        <v>121598973.31</v>
      </c>
      <c r="AH67" s="37">
        <v>971503.67</v>
      </c>
      <c r="AI67" s="37">
        <v>1054606.23</v>
      </c>
      <c r="AJ67" s="37">
        <v>1308421.26</v>
      </c>
      <c r="AK67" s="37">
        <v>1334589.69</v>
      </c>
      <c r="AL67" s="37">
        <v>1051586.82</v>
      </c>
      <c r="AM67" s="37">
        <v>1072618.55</v>
      </c>
      <c r="AN67" s="37">
        <v>1094070.93</v>
      </c>
      <c r="AO67" s="37">
        <v>1115952.3400000001</v>
      </c>
      <c r="AP67" s="37">
        <v>1138271.3899999999</v>
      </c>
      <c r="AQ67" s="37">
        <v>1161036.82</v>
      </c>
      <c r="AR67" s="37">
        <v>11302657.699999999</v>
      </c>
      <c r="AS67" s="37">
        <v>1058913.92</v>
      </c>
      <c r="AT67" s="37">
        <v>0</v>
      </c>
      <c r="AU67" s="37">
        <v>0</v>
      </c>
      <c r="AV67" s="37">
        <v>0</v>
      </c>
      <c r="AW67" s="37">
        <v>0</v>
      </c>
      <c r="AX67" s="37">
        <v>0</v>
      </c>
      <c r="AY67" s="37">
        <v>0</v>
      </c>
      <c r="AZ67" s="37">
        <v>0</v>
      </c>
      <c r="BA67" s="37">
        <v>0</v>
      </c>
      <c r="BB67" s="37">
        <v>0</v>
      </c>
      <c r="BC67" s="37">
        <v>0</v>
      </c>
      <c r="BD67" s="37">
        <v>0</v>
      </c>
      <c r="BE67" s="37">
        <v>549172</v>
      </c>
      <c r="BF67" s="37">
        <v>1325480</v>
      </c>
      <c r="BG67" s="37">
        <v>435050</v>
      </c>
      <c r="BH67" s="37">
        <v>65000</v>
      </c>
      <c r="BI67" s="37">
        <v>65000</v>
      </c>
      <c r="BJ67" s="37">
        <v>60523</v>
      </c>
      <c r="BK67" s="37">
        <v>293075</v>
      </c>
      <c r="BL67" s="37">
        <v>381134</v>
      </c>
      <c r="BM67" s="37">
        <v>469193</v>
      </c>
      <c r="BN67" s="37">
        <v>557252</v>
      </c>
      <c r="BO67" s="37">
        <v>1044933.138</v>
      </c>
      <c r="BP67" s="37">
        <v>4696640.1380000003</v>
      </c>
      <c r="BQ67" s="37">
        <v>0</v>
      </c>
      <c r="BR67" s="37">
        <v>216370</v>
      </c>
      <c r="BS67" s="37">
        <v>0</v>
      </c>
      <c r="BT67" s="37">
        <v>0</v>
      </c>
      <c r="BU67" s="37">
        <v>0</v>
      </c>
      <c r="BV67" s="37">
        <v>0</v>
      </c>
      <c r="BW67" s="37">
        <v>0</v>
      </c>
      <c r="BX67" s="37">
        <v>0</v>
      </c>
      <c r="BY67" s="37">
        <v>0</v>
      </c>
      <c r="BZ67" s="37">
        <v>0</v>
      </c>
      <c r="CA67" s="37">
        <v>0</v>
      </c>
      <c r="CB67" s="37">
        <v>216370</v>
      </c>
      <c r="CC67" s="37">
        <v>0</v>
      </c>
      <c r="CD67" s="37">
        <v>0</v>
      </c>
      <c r="CE67" s="37">
        <v>0</v>
      </c>
      <c r="CF67" s="37">
        <v>0</v>
      </c>
      <c r="CG67" s="37">
        <v>0</v>
      </c>
      <c r="CH67" s="37">
        <v>0</v>
      </c>
      <c r="CI67" s="37">
        <v>0</v>
      </c>
      <c r="CJ67" s="37">
        <v>0</v>
      </c>
      <c r="CK67" s="37">
        <v>0</v>
      </c>
      <c r="CL67" s="37">
        <v>0</v>
      </c>
      <c r="CM67" s="37">
        <v>0</v>
      </c>
      <c r="CN67" s="37">
        <v>0</v>
      </c>
      <c r="CO67" s="37">
        <v>184125</v>
      </c>
      <c r="CP67" s="37">
        <v>0</v>
      </c>
      <c r="CQ67" s="37">
        <v>0</v>
      </c>
      <c r="CR67" s="37">
        <v>0</v>
      </c>
      <c r="CS67" s="37">
        <v>0</v>
      </c>
      <c r="CT67" s="37">
        <v>0</v>
      </c>
      <c r="CU67" s="37">
        <v>0</v>
      </c>
      <c r="CV67" s="37">
        <v>0</v>
      </c>
      <c r="CW67" s="37">
        <v>0</v>
      </c>
      <c r="CX67" s="37">
        <v>0</v>
      </c>
      <c r="CY67" s="37">
        <v>0</v>
      </c>
      <c r="CZ67" s="37">
        <v>0</v>
      </c>
      <c r="DA67" s="37">
        <v>0</v>
      </c>
      <c r="DB67" s="37">
        <v>0</v>
      </c>
      <c r="DC67" s="37">
        <v>0</v>
      </c>
      <c r="DD67" s="37">
        <v>0</v>
      </c>
      <c r="DE67" s="37">
        <v>0</v>
      </c>
      <c r="DF67" s="37">
        <v>0</v>
      </c>
      <c r="DG67" s="37">
        <v>0</v>
      </c>
      <c r="DH67" s="37">
        <v>0</v>
      </c>
      <c r="DI67" s="37">
        <v>0</v>
      </c>
      <c r="DJ67" s="37">
        <v>0</v>
      </c>
      <c r="DK67" s="37">
        <v>0</v>
      </c>
      <c r="DL67" s="37">
        <v>0</v>
      </c>
      <c r="DM67" s="37">
        <v>0</v>
      </c>
      <c r="DN67" s="37">
        <v>0</v>
      </c>
      <c r="DO67" s="37">
        <v>0</v>
      </c>
      <c r="DP67" s="37">
        <v>0</v>
      </c>
      <c r="DQ67" s="37">
        <v>0</v>
      </c>
      <c r="DR67" s="37">
        <v>0</v>
      </c>
      <c r="DS67" s="37">
        <v>0</v>
      </c>
      <c r="DT67" s="37">
        <v>0</v>
      </c>
      <c r="DU67" s="37">
        <v>0</v>
      </c>
      <c r="DV67" s="37">
        <v>0</v>
      </c>
      <c r="DW67" s="37">
        <v>0</v>
      </c>
      <c r="DX67" s="37">
        <v>0</v>
      </c>
      <c r="DY67" s="37">
        <v>0</v>
      </c>
      <c r="DZ67" s="37">
        <v>0</v>
      </c>
      <c r="EA67" s="37">
        <v>0</v>
      </c>
      <c r="EB67" s="37">
        <v>0</v>
      </c>
      <c r="EC67" s="37">
        <v>0</v>
      </c>
      <c r="ED67" s="37">
        <v>0</v>
      </c>
      <c r="EE67" s="37">
        <v>0</v>
      </c>
      <c r="EF67" s="37">
        <v>0</v>
      </c>
      <c r="EG67" s="37">
        <v>0</v>
      </c>
      <c r="EH67" s="37">
        <v>0</v>
      </c>
      <c r="EI67" s="37">
        <v>0</v>
      </c>
      <c r="EJ67" s="37">
        <v>0</v>
      </c>
      <c r="EK67" s="161" t="s">
        <v>1496</v>
      </c>
      <c r="EL67" s="294" t="s">
        <v>1124</v>
      </c>
    </row>
    <row r="68" spans="1:142" ht="15" customHeight="1" x14ac:dyDescent="0.35">
      <c r="A68" s="34"/>
      <c r="B68" s="313">
        <v>83085</v>
      </c>
      <c r="C68" s="8" t="s">
        <v>848</v>
      </c>
      <c r="D68" s="18">
        <v>7</v>
      </c>
      <c r="E68" s="155"/>
      <c r="F68" s="36"/>
      <c r="G68" s="37"/>
      <c r="H68" s="37"/>
      <c r="I68" s="37"/>
      <c r="J68" s="37"/>
      <c r="K68" s="37"/>
      <c r="L68" s="37"/>
      <c r="M68" s="37" t="s">
        <v>1124</v>
      </c>
      <c r="N68" s="37" t="s">
        <v>1124</v>
      </c>
      <c r="O68" s="37"/>
      <c r="P68" s="37"/>
      <c r="Q68" s="37"/>
      <c r="R68" s="37"/>
      <c r="S68" s="37"/>
      <c r="T68" s="37"/>
      <c r="U68" s="37"/>
      <c r="V68" s="37"/>
      <c r="W68" s="37"/>
      <c r="X68" s="37"/>
      <c r="Y68" s="37"/>
      <c r="Z68" s="37"/>
      <c r="AA68" s="37" t="s">
        <v>1124</v>
      </c>
      <c r="AB68" s="37" t="s">
        <v>1124</v>
      </c>
      <c r="AC68" s="37"/>
      <c r="AD68" s="37"/>
      <c r="AE68" s="37"/>
      <c r="AF68" s="168"/>
      <c r="AG68" s="37"/>
      <c r="AH68" s="37"/>
      <c r="AI68" s="37"/>
      <c r="AJ68" s="37"/>
      <c r="AK68" s="37"/>
      <c r="AL68" s="37"/>
      <c r="AM68" s="37"/>
      <c r="AN68" s="37"/>
      <c r="AO68" s="37"/>
      <c r="AP68" s="37"/>
      <c r="AQ68" s="37"/>
      <c r="AR68" s="37" t="s">
        <v>1124</v>
      </c>
      <c r="AS68" s="37"/>
      <c r="AT68" s="37"/>
      <c r="AU68" s="37"/>
      <c r="AV68" s="37"/>
      <c r="AW68" s="37"/>
      <c r="AX68" s="37"/>
      <c r="AY68" s="37"/>
      <c r="AZ68" s="37"/>
      <c r="BA68" s="37"/>
      <c r="BB68" s="37"/>
      <c r="BC68" s="37"/>
      <c r="BD68" s="37" t="s">
        <v>1124</v>
      </c>
      <c r="BE68" s="37"/>
      <c r="BF68" s="37"/>
      <c r="BG68" s="37"/>
      <c r="BH68" s="37"/>
      <c r="BI68" s="37"/>
      <c r="BJ68" s="37"/>
      <c r="BK68" s="37"/>
      <c r="BL68" s="37"/>
      <c r="BM68" s="37"/>
      <c r="BN68" s="37"/>
      <c r="BO68" s="37"/>
      <c r="BP68" s="37">
        <v>0</v>
      </c>
      <c r="BQ68" s="37"/>
      <c r="BR68" s="37"/>
      <c r="BS68" s="37"/>
      <c r="BT68" s="37"/>
      <c r="BU68" s="37"/>
      <c r="BV68" s="37"/>
      <c r="BW68" s="37"/>
      <c r="BX68" s="37"/>
      <c r="BY68" s="37"/>
      <c r="BZ68" s="37"/>
      <c r="CA68" s="37"/>
      <c r="CB68" s="37" t="s">
        <v>1124</v>
      </c>
      <c r="CC68" s="37"/>
      <c r="CD68" s="37"/>
      <c r="CE68" s="37"/>
      <c r="CF68" s="37"/>
      <c r="CG68" s="37"/>
      <c r="CH68" s="37"/>
      <c r="CI68" s="37"/>
      <c r="CJ68" s="37"/>
      <c r="CK68" s="37"/>
      <c r="CL68" s="37"/>
      <c r="CM68" s="37"/>
      <c r="CN68" s="37" t="s">
        <v>1124</v>
      </c>
      <c r="CO68" s="37"/>
      <c r="CP68" s="37"/>
      <c r="CQ68" s="37"/>
      <c r="CR68" s="37"/>
      <c r="CS68" s="37"/>
      <c r="CT68" s="37"/>
      <c r="CU68" s="37"/>
      <c r="CV68" s="37"/>
      <c r="CW68" s="37"/>
      <c r="CX68" s="37"/>
      <c r="CY68" s="37"/>
      <c r="CZ68" s="37" t="s">
        <v>1124</v>
      </c>
      <c r="DA68" s="37"/>
      <c r="DB68" s="37"/>
      <c r="DC68" s="37"/>
      <c r="DD68" s="37"/>
      <c r="DE68" s="37"/>
      <c r="DF68" s="37"/>
      <c r="DG68" s="37"/>
      <c r="DH68" s="37"/>
      <c r="DI68" s="37"/>
      <c r="DJ68" s="37"/>
      <c r="DK68" s="37"/>
      <c r="DL68" s="37" t="s">
        <v>1124</v>
      </c>
      <c r="DM68" s="37"/>
      <c r="DN68" s="37"/>
      <c r="DO68" s="37"/>
      <c r="DP68" s="37"/>
      <c r="DQ68" s="37"/>
      <c r="DR68" s="37"/>
      <c r="DS68" s="37"/>
      <c r="DT68" s="37"/>
      <c r="DU68" s="37"/>
      <c r="DV68" s="37"/>
      <c r="DW68" s="37"/>
      <c r="DX68" s="37" t="s">
        <v>1124</v>
      </c>
      <c r="DY68" s="37"/>
      <c r="DZ68" s="37"/>
      <c r="EA68" s="37"/>
      <c r="EB68" s="37"/>
      <c r="EC68" s="37"/>
      <c r="ED68" s="37"/>
      <c r="EE68" s="37"/>
      <c r="EF68" s="37"/>
      <c r="EG68" s="37"/>
      <c r="EH68" s="37"/>
      <c r="EI68" s="37"/>
      <c r="EJ68" s="37" t="s">
        <v>1124</v>
      </c>
      <c r="EK68" s="161"/>
      <c r="EL68" s="294"/>
    </row>
    <row r="69" spans="1:142" ht="15" customHeight="1" x14ac:dyDescent="0.35">
      <c r="A69" s="34"/>
      <c r="B69" s="313">
        <v>45095</v>
      </c>
      <c r="C69" s="8" t="s">
        <v>423</v>
      </c>
      <c r="D69" s="18">
        <v>5</v>
      </c>
      <c r="E69" s="155"/>
      <c r="F69" s="36"/>
      <c r="G69" s="37"/>
      <c r="H69" s="37"/>
      <c r="I69" s="37"/>
      <c r="J69" s="37"/>
      <c r="K69" s="37"/>
      <c r="L69" s="37"/>
      <c r="M69" s="37" t="s">
        <v>1124</v>
      </c>
      <c r="N69" s="37" t="s">
        <v>1124</v>
      </c>
      <c r="O69" s="37"/>
      <c r="P69" s="37"/>
      <c r="Q69" s="37"/>
      <c r="R69" s="37"/>
      <c r="S69" s="37"/>
      <c r="T69" s="37"/>
      <c r="U69" s="37"/>
      <c r="V69" s="37"/>
      <c r="W69" s="37"/>
      <c r="X69" s="37"/>
      <c r="Y69" s="37"/>
      <c r="Z69" s="37"/>
      <c r="AA69" s="37" t="s">
        <v>1124</v>
      </c>
      <c r="AB69" s="37" t="s">
        <v>1124</v>
      </c>
      <c r="AC69" s="37"/>
      <c r="AD69" s="37"/>
      <c r="AE69" s="37"/>
      <c r="AF69" s="168"/>
      <c r="AG69" s="37"/>
      <c r="AH69" s="37"/>
      <c r="AI69" s="37"/>
      <c r="AJ69" s="37"/>
      <c r="AK69" s="37"/>
      <c r="AL69" s="37"/>
      <c r="AM69" s="37"/>
      <c r="AN69" s="37"/>
      <c r="AO69" s="37"/>
      <c r="AP69" s="37"/>
      <c r="AQ69" s="37"/>
      <c r="AR69" s="37" t="s">
        <v>1124</v>
      </c>
      <c r="AS69" s="37"/>
      <c r="AT69" s="37"/>
      <c r="AU69" s="37"/>
      <c r="AV69" s="37"/>
      <c r="AW69" s="37"/>
      <c r="AX69" s="37"/>
      <c r="AY69" s="37"/>
      <c r="AZ69" s="37"/>
      <c r="BA69" s="37"/>
      <c r="BB69" s="37"/>
      <c r="BC69" s="37"/>
      <c r="BD69" s="37" t="s">
        <v>1124</v>
      </c>
      <c r="BE69" s="37"/>
      <c r="BF69" s="37"/>
      <c r="BG69" s="37"/>
      <c r="BH69" s="37"/>
      <c r="BI69" s="37"/>
      <c r="BJ69" s="37"/>
      <c r="BK69" s="37"/>
      <c r="BL69" s="37"/>
      <c r="BM69" s="37"/>
      <c r="BN69" s="37"/>
      <c r="BO69" s="37"/>
      <c r="BP69" s="37">
        <v>0</v>
      </c>
      <c r="BQ69" s="37"/>
      <c r="BR69" s="37"/>
      <c r="BS69" s="37"/>
      <c r="BT69" s="37"/>
      <c r="BU69" s="37"/>
      <c r="BV69" s="37"/>
      <c r="BW69" s="37"/>
      <c r="BX69" s="37"/>
      <c r="BY69" s="37"/>
      <c r="BZ69" s="37"/>
      <c r="CA69" s="37"/>
      <c r="CB69" s="37" t="s">
        <v>1124</v>
      </c>
      <c r="CC69" s="37"/>
      <c r="CD69" s="37"/>
      <c r="CE69" s="37"/>
      <c r="CF69" s="37"/>
      <c r="CG69" s="37"/>
      <c r="CH69" s="37"/>
      <c r="CI69" s="37"/>
      <c r="CJ69" s="37"/>
      <c r="CK69" s="37"/>
      <c r="CL69" s="37"/>
      <c r="CM69" s="37"/>
      <c r="CN69" s="37" t="s">
        <v>1124</v>
      </c>
      <c r="CO69" s="37"/>
      <c r="CP69" s="37"/>
      <c r="CQ69" s="37"/>
      <c r="CR69" s="37"/>
      <c r="CS69" s="37"/>
      <c r="CT69" s="37"/>
      <c r="CU69" s="37"/>
      <c r="CV69" s="37"/>
      <c r="CW69" s="37"/>
      <c r="CX69" s="37"/>
      <c r="CY69" s="37"/>
      <c r="CZ69" s="37" t="s">
        <v>1124</v>
      </c>
      <c r="DA69" s="37"/>
      <c r="DB69" s="37"/>
      <c r="DC69" s="37"/>
      <c r="DD69" s="37"/>
      <c r="DE69" s="37"/>
      <c r="DF69" s="37"/>
      <c r="DG69" s="37"/>
      <c r="DH69" s="37"/>
      <c r="DI69" s="37"/>
      <c r="DJ69" s="37"/>
      <c r="DK69" s="37"/>
      <c r="DL69" s="37" t="s">
        <v>1124</v>
      </c>
      <c r="DM69" s="37"/>
      <c r="DN69" s="37"/>
      <c r="DO69" s="37"/>
      <c r="DP69" s="37"/>
      <c r="DQ69" s="37"/>
      <c r="DR69" s="37"/>
      <c r="DS69" s="37"/>
      <c r="DT69" s="37"/>
      <c r="DU69" s="37"/>
      <c r="DV69" s="37"/>
      <c r="DW69" s="37"/>
      <c r="DX69" s="37" t="s">
        <v>1124</v>
      </c>
      <c r="DY69" s="37"/>
      <c r="DZ69" s="37"/>
      <c r="EA69" s="37"/>
      <c r="EB69" s="37"/>
      <c r="EC69" s="37"/>
      <c r="ED69" s="37"/>
      <c r="EE69" s="37"/>
      <c r="EF69" s="37"/>
      <c r="EG69" s="37"/>
      <c r="EH69" s="37"/>
      <c r="EI69" s="37"/>
      <c r="EJ69" s="37" t="s">
        <v>1124</v>
      </c>
      <c r="EK69" s="161"/>
      <c r="EL69" s="294"/>
    </row>
    <row r="70" spans="1:142" ht="15" customHeight="1" x14ac:dyDescent="0.35">
      <c r="A70" s="34"/>
      <c r="B70" s="313">
        <v>46065</v>
      </c>
      <c r="C70" s="8" t="s">
        <v>437</v>
      </c>
      <c r="D70" s="18">
        <v>5</v>
      </c>
      <c r="E70" s="155"/>
      <c r="F70" s="36"/>
      <c r="G70" s="37"/>
      <c r="H70" s="37"/>
      <c r="I70" s="37"/>
      <c r="J70" s="37"/>
      <c r="K70" s="37"/>
      <c r="L70" s="37"/>
      <c r="M70" s="37" t="s">
        <v>1124</v>
      </c>
      <c r="N70" s="37" t="s">
        <v>1124</v>
      </c>
      <c r="O70" s="37"/>
      <c r="P70" s="37"/>
      <c r="Q70" s="37"/>
      <c r="R70" s="37"/>
      <c r="S70" s="37"/>
      <c r="T70" s="37"/>
      <c r="U70" s="37"/>
      <c r="V70" s="37"/>
      <c r="W70" s="37"/>
      <c r="X70" s="37"/>
      <c r="Y70" s="37"/>
      <c r="Z70" s="37"/>
      <c r="AA70" s="37" t="s">
        <v>1124</v>
      </c>
      <c r="AB70" s="37" t="s">
        <v>1124</v>
      </c>
      <c r="AC70" s="37"/>
      <c r="AD70" s="37"/>
      <c r="AE70" s="37"/>
      <c r="AF70" s="168"/>
      <c r="AG70" s="37"/>
      <c r="AH70" s="37"/>
      <c r="AI70" s="37"/>
      <c r="AJ70" s="37"/>
      <c r="AK70" s="37"/>
      <c r="AL70" s="37"/>
      <c r="AM70" s="37"/>
      <c r="AN70" s="37"/>
      <c r="AO70" s="37"/>
      <c r="AP70" s="37"/>
      <c r="AQ70" s="37"/>
      <c r="AR70" s="37" t="s">
        <v>1124</v>
      </c>
      <c r="AS70" s="37"/>
      <c r="AT70" s="37"/>
      <c r="AU70" s="37"/>
      <c r="AV70" s="37"/>
      <c r="AW70" s="37"/>
      <c r="AX70" s="37"/>
      <c r="AY70" s="37"/>
      <c r="AZ70" s="37"/>
      <c r="BA70" s="37"/>
      <c r="BB70" s="37"/>
      <c r="BC70" s="37"/>
      <c r="BD70" s="37" t="s">
        <v>1124</v>
      </c>
      <c r="BE70" s="37"/>
      <c r="BF70" s="37"/>
      <c r="BG70" s="37"/>
      <c r="BH70" s="37"/>
      <c r="BI70" s="37"/>
      <c r="BJ70" s="37"/>
      <c r="BK70" s="37"/>
      <c r="BL70" s="37"/>
      <c r="BM70" s="37"/>
      <c r="BN70" s="37"/>
      <c r="BO70" s="37"/>
      <c r="BP70" s="37">
        <v>0</v>
      </c>
      <c r="BQ70" s="37"/>
      <c r="BR70" s="37"/>
      <c r="BS70" s="37"/>
      <c r="BT70" s="37"/>
      <c r="BU70" s="37"/>
      <c r="BV70" s="37"/>
      <c r="BW70" s="37"/>
      <c r="BX70" s="37"/>
      <c r="BY70" s="37"/>
      <c r="BZ70" s="37"/>
      <c r="CA70" s="37"/>
      <c r="CB70" s="37" t="s">
        <v>1124</v>
      </c>
      <c r="CC70" s="37"/>
      <c r="CD70" s="37"/>
      <c r="CE70" s="37"/>
      <c r="CF70" s="37"/>
      <c r="CG70" s="37"/>
      <c r="CH70" s="37"/>
      <c r="CI70" s="37"/>
      <c r="CJ70" s="37"/>
      <c r="CK70" s="37"/>
      <c r="CL70" s="37"/>
      <c r="CM70" s="37"/>
      <c r="CN70" s="37" t="s">
        <v>1124</v>
      </c>
      <c r="CO70" s="37"/>
      <c r="CP70" s="37"/>
      <c r="CQ70" s="37"/>
      <c r="CR70" s="37"/>
      <c r="CS70" s="37"/>
      <c r="CT70" s="37"/>
      <c r="CU70" s="37"/>
      <c r="CV70" s="37"/>
      <c r="CW70" s="37"/>
      <c r="CX70" s="37"/>
      <c r="CY70" s="37"/>
      <c r="CZ70" s="37" t="s">
        <v>1124</v>
      </c>
      <c r="DA70" s="37"/>
      <c r="DB70" s="37"/>
      <c r="DC70" s="37"/>
      <c r="DD70" s="37"/>
      <c r="DE70" s="37"/>
      <c r="DF70" s="37"/>
      <c r="DG70" s="37"/>
      <c r="DH70" s="37"/>
      <c r="DI70" s="37"/>
      <c r="DJ70" s="37"/>
      <c r="DK70" s="37"/>
      <c r="DL70" s="37" t="s">
        <v>1124</v>
      </c>
      <c r="DM70" s="37"/>
      <c r="DN70" s="37"/>
      <c r="DO70" s="37"/>
      <c r="DP70" s="37"/>
      <c r="DQ70" s="37"/>
      <c r="DR70" s="37"/>
      <c r="DS70" s="37"/>
      <c r="DT70" s="37"/>
      <c r="DU70" s="37"/>
      <c r="DV70" s="37"/>
      <c r="DW70" s="37"/>
      <c r="DX70" s="37" t="s">
        <v>1124</v>
      </c>
      <c r="DY70" s="37"/>
      <c r="DZ70" s="37"/>
      <c r="EA70" s="37"/>
      <c r="EB70" s="37"/>
      <c r="EC70" s="37"/>
      <c r="ED70" s="37"/>
      <c r="EE70" s="37"/>
      <c r="EF70" s="37"/>
      <c r="EG70" s="37"/>
      <c r="EH70" s="37"/>
      <c r="EI70" s="37"/>
      <c r="EJ70" s="37" t="s">
        <v>1124</v>
      </c>
      <c r="EK70" s="161"/>
      <c r="EL70" s="294"/>
    </row>
    <row r="71" spans="1:142" ht="15" customHeight="1" x14ac:dyDescent="0.35">
      <c r="A71" s="34"/>
      <c r="B71" s="313">
        <v>5045</v>
      </c>
      <c r="C71" s="8" t="s">
        <v>1050</v>
      </c>
      <c r="D71" s="18">
        <v>11</v>
      </c>
      <c r="E71" s="155">
        <v>107789</v>
      </c>
      <c r="F71" s="36">
        <v>174267</v>
      </c>
      <c r="G71" s="37">
        <v>86169</v>
      </c>
      <c r="H71" s="37">
        <v>48632</v>
      </c>
      <c r="I71" s="37">
        <v>68116</v>
      </c>
      <c r="J71" s="37">
        <v>37344</v>
      </c>
      <c r="K71" s="37">
        <v>0</v>
      </c>
      <c r="L71" s="37">
        <v>0</v>
      </c>
      <c r="M71" s="37">
        <v>262074</v>
      </c>
      <c r="N71" s="37">
        <v>260243</v>
      </c>
      <c r="O71" s="37">
        <v>0</v>
      </c>
      <c r="P71" s="37">
        <v>0</v>
      </c>
      <c r="Q71" s="37">
        <v>136792</v>
      </c>
      <c r="R71" s="37">
        <v>179064</v>
      </c>
      <c r="S71" s="37">
        <v>0</v>
      </c>
      <c r="T71" s="37">
        <v>0</v>
      </c>
      <c r="U71" s="37">
        <v>85449</v>
      </c>
      <c r="V71" s="37">
        <v>12617</v>
      </c>
      <c r="W71" s="37">
        <v>54197</v>
      </c>
      <c r="X71" s="37">
        <v>54198</v>
      </c>
      <c r="Y71" s="37">
        <v>0</v>
      </c>
      <c r="Z71" s="37">
        <v>0</v>
      </c>
      <c r="AA71" s="37">
        <v>276438</v>
      </c>
      <c r="AB71" s="37">
        <v>245879</v>
      </c>
      <c r="AC71" s="37">
        <v>0</v>
      </c>
      <c r="AD71" s="37">
        <v>0</v>
      </c>
      <c r="AE71" s="37">
        <v>0</v>
      </c>
      <c r="AF71" s="168">
        <v>0.02</v>
      </c>
      <c r="AG71" s="37">
        <v>39376550.609999999</v>
      </c>
      <c r="AH71" s="37">
        <v>299269.51</v>
      </c>
      <c r="AI71" s="37">
        <v>305254.90000000002</v>
      </c>
      <c r="AJ71" s="37">
        <v>311359.99</v>
      </c>
      <c r="AK71" s="37">
        <v>317587.19</v>
      </c>
      <c r="AL71" s="37">
        <v>323938.94</v>
      </c>
      <c r="AM71" s="37">
        <v>330417.71999999997</v>
      </c>
      <c r="AN71" s="37">
        <v>337026.07</v>
      </c>
      <c r="AO71" s="37">
        <v>343766.59</v>
      </c>
      <c r="AP71" s="37">
        <v>350641.91999999998</v>
      </c>
      <c r="AQ71" s="37">
        <v>357654.76</v>
      </c>
      <c r="AR71" s="37">
        <v>3276917.59</v>
      </c>
      <c r="AS71" s="37">
        <v>2660660.92</v>
      </c>
      <c r="AT71" s="37">
        <v>1364479.5</v>
      </c>
      <c r="AU71" s="37">
        <v>0</v>
      </c>
      <c r="AV71" s="37">
        <v>0</v>
      </c>
      <c r="AW71" s="37">
        <v>0</v>
      </c>
      <c r="AX71" s="37">
        <v>0</v>
      </c>
      <c r="AY71" s="37">
        <v>0</v>
      </c>
      <c r="AZ71" s="37">
        <v>0</v>
      </c>
      <c r="BA71" s="37">
        <v>0</v>
      </c>
      <c r="BB71" s="37">
        <v>0</v>
      </c>
      <c r="BC71" s="37">
        <v>0</v>
      </c>
      <c r="BD71" s="37">
        <v>1364479.5</v>
      </c>
      <c r="BE71" s="37">
        <v>0</v>
      </c>
      <c r="BF71" s="37">
        <v>569965</v>
      </c>
      <c r="BG71" s="37">
        <v>0</v>
      </c>
      <c r="BH71" s="37">
        <v>0</v>
      </c>
      <c r="BI71" s="37">
        <v>0</v>
      </c>
      <c r="BJ71" s="37">
        <v>0</v>
      </c>
      <c r="BK71" s="37">
        <v>0</v>
      </c>
      <c r="BL71" s="37">
        <v>0</v>
      </c>
      <c r="BM71" s="37">
        <v>0</v>
      </c>
      <c r="BN71" s="37">
        <v>0</v>
      </c>
      <c r="BO71" s="37">
        <v>0</v>
      </c>
      <c r="BP71" s="37">
        <v>569965</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1337725</v>
      </c>
      <c r="CQ71" s="37">
        <v>0</v>
      </c>
      <c r="CR71" s="37">
        <v>0</v>
      </c>
      <c r="CS71" s="37">
        <v>0</v>
      </c>
      <c r="CT71" s="37">
        <v>0</v>
      </c>
      <c r="CU71" s="37">
        <v>0</v>
      </c>
      <c r="CV71" s="37">
        <v>0</v>
      </c>
      <c r="CW71" s="37">
        <v>0</v>
      </c>
      <c r="CX71" s="37">
        <v>0</v>
      </c>
      <c r="CY71" s="37">
        <v>0</v>
      </c>
      <c r="CZ71" s="37">
        <v>1337725</v>
      </c>
      <c r="DA71" s="37">
        <v>0</v>
      </c>
      <c r="DB71" s="37">
        <v>0</v>
      </c>
      <c r="DC71" s="37">
        <v>0</v>
      </c>
      <c r="DD71" s="37">
        <v>0</v>
      </c>
      <c r="DE71" s="37">
        <v>0</v>
      </c>
      <c r="DF71" s="37">
        <v>0</v>
      </c>
      <c r="DG71" s="37">
        <v>0</v>
      </c>
      <c r="DH71" s="37">
        <v>0</v>
      </c>
      <c r="DI71" s="37">
        <v>0</v>
      </c>
      <c r="DJ71" s="37">
        <v>0</v>
      </c>
      <c r="DK71" s="37">
        <v>0</v>
      </c>
      <c r="DL71" s="37">
        <v>0</v>
      </c>
      <c r="DM71" s="37">
        <v>0</v>
      </c>
      <c r="DN71" s="37">
        <v>0</v>
      </c>
      <c r="DO71" s="37">
        <v>0</v>
      </c>
      <c r="DP71" s="37">
        <v>0</v>
      </c>
      <c r="DQ71" s="37">
        <v>0</v>
      </c>
      <c r="DR71" s="37">
        <v>0</v>
      </c>
      <c r="DS71" s="37">
        <v>0</v>
      </c>
      <c r="DT71" s="37">
        <v>0</v>
      </c>
      <c r="DU71" s="37">
        <v>0</v>
      </c>
      <c r="DV71" s="37">
        <v>0</v>
      </c>
      <c r="DW71" s="37">
        <v>0</v>
      </c>
      <c r="DX71" s="37">
        <v>0</v>
      </c>
      <c r="DY71" s="37">
        <v>0</v>
      </c>
      <c r="DZ71" s="37">
        <v>0</v>
      </c>
      <c r="EA71" s="37">
        <v>0</v>
      </c>
      <c r="EB71" s="37">
        <v>0</v>
      </c>
      <c r="EC71" s="37">
        <v>0</v>
      </c>
      <c r="ED71" s="37">
        <v>0</v>
      </c>
      <c r="EE71" s="37">
        <v>0</v>
      </c>
      <c r="EF71" s="37">
        <v>0</v>
      </c>
      <c r="EG71" s="37">
        <v>0</v>
      </c>
      <c r="EH71" s="37">
        <v>0</v>
      </c>
      <c r="EI71" s="37">
        <v>0</v>
      </c>
      <c r="EJ71" s="37">
        <v>0</v>
      </c>
      <c r="EK71" s="161" t="s">
        <v>1500</v>
      </c>
      <c r="EL71" s="294" t="s">
        <v>1124</v>
      </c>
    </row>
    <row r="72" spans="1:142" ht="15" customHeight="1" x14ac:dyDescent="0.35">
      <c r="A72" s="34"/>
      <c r="B72" s="313">
        <v>98010</v>
      </c>
      <c r="C72" s="8" t="s">
        <v>1007</v>
      </c>
      <c r="D72" s="18">
        <v>9</v>
      </c>
      <c r="E72" s="155"/>
      <c r="F72" s="36"/>
      <c r="G72" s="37"/>
      <c r="H72" s="37"/>
      <c r="I72" s="37"/>
      <c r="J72" s="37"/>
      <c r="K72" s="37"/>
      <c r="L72" s="37"/>
      <c r="M72" s="37" t="s">
        <v>1124</v>
      </c>
      <c r="N72" s="37" t="s">
        <v>1124</v>
      </c>
      <c r="O72" s="37"/>
      <c r="P72" s="37"/>
      <c r="Q72" s="37"/>
      <c r="R72" s="37"/>
      <c r="S72" s="37"/>
      <c r="T72" s="37"/>
      <c r="U72" s="37"/>
      <c r="V72" s="37"/>
      <c r="W72" s="37"/>
      <c r="X72" s="37"/>
      <c r="Y72" s="37"/>
      <c r="Z72" s="37"/>
      <c r="AA72" s="37" t="s">
        <v>1124</v>
      </c>
      <c r="AB72" s="37" t="s">
        <v>1124</v>
      </c>
      <c r="AC72" s="37"/>
      <c r="AD72" s="37"/>
      <c r="AE72" s="37"/>
      <c r="AF72" s="168"/>
      <c r="AG72" s="37"/>
      <c r="AH72" s="37"/>
      <c r="AI72" s="37"/>
      <c r="AJ72" s="37"/>
      <c r="AK72" s="37"/>
      <c r="AL72" s="37"/>
      <c r="AM72" s="37"/>
      <c r="AN72" s="37"/>
      <c r="AO72" s="37"/>
      <c r="AP72" s="37"/>
      <c r="AQ72" s="37"/>
      <c r="AR72" s="37" t="s">
        <v>1124</v>
      </c>
      <c r="AS72" s="37"/>
      <c r="AT72" s="37"/>
      <c r="AU72" s="37"/>
      <c r="AV72" s="37"/>
      <c r="AW72" s="37"/>
      <c r="AX72" s="37"/>
      <c r="AY72" s="37"/>
      <c r="AZ72" s="37"/>
      <c r="BA72" s="37"/>
      <c r="BB72" s="37"/>
      <c r="BC72" s="37"/>
      <c r="BD72" s="37" t="s">
        <v>1124</v>
      </c>
      <c r="BE72" s="37"/>
      <c r="BF72" s="37"/>
      <c r="BG72" s="37"/>
      <c r="BH72" s="37"/>
      <c r="BI72" s="37"/>
      <c r="BJ72" s="37"/>
      <c r="BK72" s="37"/>
      <c r="BL72" s="37"/>
      <c r="BM72" s="37"/>
      <c r="BN72" s="37"/>
      <c r="BO72" s="37"/>
      <c r="BP72" s="37">
        <v>0</v>
      </c>
      <c r="BQ72" s="37"/>
      <c r="BR72" s="37"/>
      <c r="BS72" s="37"/>
      <c r="BT72" s="37"/>
      <c r="BU72" s="37"/>
      <c r="BV72" s="37"/>
      <c r="BW72" s="37"/>
      <c r="BX72" s="37"/>
      <c r="BY72" s="37"/>
      <c r="BZ72" s="37"/>
      <c r="CA72" s="37"/>
      <c r="CB72" s="37" t="s">
        <v>1124</v>
      </c>
      <c r="CC72" s="37"/>
      <c r="CD72" s="37"/>
      <c r="CE72" s="37"/>
      <c r="CF72" s="37"/>
      <c r="CG72" s="37"/>
      <c r="CH72" s="37"/>
      <c r="CI72" s="37"/>
      <c r="CJ72" s="37"/>
      <c r="CK72" s="37"/>
      <c r="CL72" s="37"/>
      <c r="CM72" s="37"/>
      <c r="CN72" s="37" t="s">
        <v>1124</v>
      </c>
      <c r="CO72" s="37"/>
      <c r="CP72" s="37"/>
      <c r="CQ72" s="37"/>
      <c r="CR72" s="37"/>
      <c r="CS72" s="37"/>
      <c r="CT72" s="37"/>
      <c r="CU72" s="37"/>
      <c r="CV72" s="37"/>
      <c r="CW72" s="37"/>
      <c r="CX72" s="37"/>
      <c r="CY72" s="37"/>
      <c r="CZ72" s="37" t="s">
        <v>1124</v>
      </c>
      <c r="DA72" s="37"/>
      <c r="DB72" s="37"/>
      <c r="DC72" s="37"/>
      <c r="DD72" s="37"/>
      <c r="DE72" s="37"/>
      <c r="DF72" s="37"/>
      <c r="DG72" s="37"/>
      <c r="DH72" s="37"/>
      <c r="DI72" s="37"/>
      <c r="DJ72" s="37"/>
      <c r="DK72" s="37"/>
      <c r="DL72" s="37" t="s">
        <v>1124</v>
      </c>
      <c r="DM72" s="37"/>
      <c r="DN72" s="37"/>
      <c r="DO72" s="37"/>
      <c r="DP72" s="37"/>
      <c r="DQ72" s="37"/>
      <c r="DR72" s="37"/>
      <c r="DS72" s="37"/>
      <c r="DT72" s="37"/>
      <c r="DU72" s="37"/>
      <c r="DV72" s="37"/>
      <c r="DW72" s="37"/>
      <c r="DX72" s="37" t="s">
        <v>1124</v>
      </c>
      <c r="DY72" s="37"/>
      <c r="DZ72" s="37"/>
      <c r="EA72" s="37"/>
      <c r="EB72" s="37"/>
      <c r="EC72" s="37"/>
      <c r="ED72" s="37"/>
      <c r="EE72" s="37"/>
      <c r="EF72" s="37"/>
      <c r="EG72" s="37"/>
      <c r="EH72" s="37"/>
      <c r="EI72" s="37"/>
      <c r="EJ72" s="37" t="s">
        <v>1124</v>
      </c>
      <c r="EK72" s="161"/>
      <c r="EL72" s="294"/>
    </row>
    <row r="73" spans="1:142" ht="15" customHeight="1" x14ac:dyDescent="0.35">
      <c r="A73" s="34"/>
      <c r="B73" s="313">
        <v>42040</v>
      </c>
      <c r="C73" s="8" t="s">
        <v>383</v>
      </c>
      <c r="D73" s="18">
        <v>5</v>
      </c>
      <c r="E73" s="155">
        <v>23876</v>
      </c>
      <c r="F73" s="36">
        <v>57383</v>
      </c>
      <c r="G73" s="37">
        <v>0</v>
      </c>
      <c r="H73" s="37">
        <v>7644</v>
      </c>
      <c r="I73" s="37">
        <v>0</v>
      </c>
      <c r="J73" s="37">
        <v>10900</v>
      </c>
      <c r="K73" s="37">
        <v>596.9</v>
      </c>
      <c r="L73" s="37">
        <v>1434.575</v>
      </c>
      <c r="M73" s="37">
        <v>24472.9</v>
      </c>
      <c r="N73" s="37">
        <v>77361.574999999997</v>
      </c>
      <c r="O73" s="37">
        <v>0</v>
      </c>
      <c r="P73" s="37">
        <v>0</v>
      </c>
      <c r="Q73" s="37">
        <v>28598</v>
      </c>
      <c r="R73" s="37">
        <v>28286</v>
      </c>
      <c r="S73" s="37">
        <v>1408</v>
      </c>
      <c r="T73" s="37">
        <v>0</v>
      </c>
      <c r="U73" s="37">
        <v>0</v>
      </c>
      <c r="V73" s="37">
        <v>0</v>
      </c>
      <c r="W73" s="37">
        <v>0</v>
      </c>
      <c r="X73" s="37">
        <v>43542.475000000006</v>
      </c>
      <c r="Y73" s="37">
        <v>0</v>
      </c>
      <c r="Z73" s="37">
        <v>0</v>
      </c>
      <c r="AA73" s="37">
        <v>30006</v>
      </c>
      <c r="AB73" s="37">
        <v>71828.475000000006</v>
      </c>
      <c r="AC73" s="37">
        <v>0</v>
      </c>
      <c r="AD73" s="37">
        <v>0</v>
      </c>
      <c r="AE73" s="37">
        <v>0</v>
      </c>
      <c r="AF73" s="168">
        <v>0.02</v>
      </c>
      <c r="AG73" s="37">
        <v>4076935.73</v>
      </c>
      <c r="AH73" s="37">
        <v>30083.74</v>
      </c>
      <c r="AI73" s="37">
        <v>36921.599999999999</v>
      </c>
      <c r="AJ73" s="37">
        <v>37660.03</v>
      </c>
      <c r="AK73" s="37">
        <v>31925.1</v>
      </c>
      <c r="AL73" s="37">
        <v>32563.61</v>
      </c>
      <c r="AM73" s="37">
        <v>33214.879999999997</v>
      </c>
      <c r="AN73" s="37">
        <v>33879.18</v>
      </c>
      <c r="AO73" s="37">
        <v>34556.76</v>
      </c>
      <c r="AP73" s="37">
        <v>35247.89</v>
      </c>
      <c r="AQ73" s="37">
        <v>35952.85</v>
      </c>
      <c r="AR73" s="37">
        <v>342005.63999999996</v>
      </c>
      <c r="AS73" s="37">
        <v>52021.04</v>
      </c>
      <c r="AT73" s="37">
        <v>664.56</v>
      </c>
      <c r="AU73" s="37">
        <v>16154.44</v>
      </c>
      <c r="AV73" s="37">
        <v>16649</v>
      </c>
      <c r="AW73" s="37">
        <v>0</v>
      </c>
      <c r="AX73" s="37">
        <v>0</v>
      </c>
      <c r="AY73" s="37">
        <v>0</v>
      </c>
      <c r="AZ73" s="37">
        <v>0</v>
      </c>
      <c r="BA73" s="37">
        <v>0</v>
      </c>
      <c r="BB73" s="37">
        <v>0</v>
      </c>
      <c r="BC73" s="37">
        <v>0</v>
      </c>
      <c r="BD73" s="37">
        <v>33468</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D73" s="37">
        <v>0</v>
      </c>
      <c r="DE73" s="37">
        <v>0</v>
      </c>
      <c r="DF73" s="37">
        <v>0</v>
      </c>
      <c r="DG73" s="37">
        <v>0</v>
      </c>
      <c r="DH73" s="37">
        <v>0</v>
      </c>
      <c r="DI73" s="37">
        <v>0</v>
      </c>
      <c r="DJ73" s="37">
        <v>0</v>
      </c>
      <c r="DK73" s="37">
        <v>0</v>
      </c>
      <c r="DL73" s="37">
        <v>0</v>
      </c>
      <c r="DM73" s="37">
        <v>0</v>
      </c>
      <c r="DN73" s="37">
        <v>0</v>
      </c>
      <c r="DO73" s="37">
        <v>0</v>
      </c>
      <c r="DP73" s="37">
        <v>0</v>
      </c>
      <c r="DQ73" s="37">
        <v>0</v>
      </c>
      <c r="DR73" s="37">
        <v>0</v>
      </c>
      <c r="DS73" s="37">
        <v>0</v>
      </c>
      <c r="DT73" s="37">
        <v>0</v>
      </c>
      <c r="DU73" s="37">
        <v>0</v>
      </c>
      <c r="DV73" s="37">
        <v>0</v>
      </c>
      <c r="DW73" s="37">
        <v>0</v>
      </c>
      <c r="DX73" s="37">
        <v>0</v>
      </c>
      <c r="DY73" s="37">
        <v>0</v>
      </c>
      <c r="DZ73" s="37">
        <v>0</v>
      </c>
      <c r="EA73" s="37">
        <v>0</v>
      </c>
      <c r="EB73" s="37">
        <v>0</v>
      </c>
      <c r="EC73" s="37">
        <v>0</v>
      </c>
      <c r="ED73" s="37">
        <v>0</v>
      </c>
      <c r="EE73" s="37">
        <v>0</v>
      </c>
      <c r="EF73" s="37">
        <v>0</v>
      </c>
      <c r="EG73" s="37">
        <v>0</v>
      </c>
      <c r="EH73" s="37">
        <v>0</v>
      </c>
      <c r="EI73" s="37">
        <v>0</v>
      </c>
      <c r="EJ73" s="37">
        <v>0</v>
      </c>
      <c r="EK73" s="161" t="s">
        <v>3703</v>
      </c>
      <c r="EL73" s="294" t="s">
        <v>1124</v>
      </c>
    </row>
    <row r="74" spans="1:142" ht="15" customHeight="1" x14ac:dyDescent="0.35">
      <c r="A74" s="34"/>
      <c r="B74" s="313">
        <v>58033</v>
      </c>
      <c r="C74" s="8" t="s">
        <v>596</v>
      </c>
      <c r="D74" s="18">
        <v>16</v>
      </c>
      <c r="E74" s="155"/>
      <c r="F74" s="36"/>
      <c r="G74" s="37"/>
      <c r="H74" s="37"/>
      <c r="I74" s="37"/>
      <c r="J74" s="37"/>
      <c r="K74" s="37"/>
      <c r="L74" s="37"/>
      <c r="M74" s="37" t="s">
        <v>1124</v>
      </c>
      <c r="N74" s="37" t="s">
        <v>1124</v>
      </c>
      <c r="O74" s="37"/>
      <c r="P74" s="37"/>
      <c r="Q74" s="37"/>
      <c r="R74" s="37"/>
      <c r="S74" s="37"/>
      <c r="T74" s="37"/>
      <c r="U74" s="37"/>
      <c r="V74" s="37"/>
      <c r="W74" s="37"/>
      <c r="X74" s="37"/>
      <c r="Y74" s="37"/>
      <c r="Z74" s="37"/>
      <c r="AA74" s="37" t="s">
        <v>1124</v>
      </c>
      <c r="AB74" s="37" t="s">
        <v>1124</v>
      </c>
      <c r="AC74" s="37"/>
      <c r="AD74" s="37"/>
      <c r="AE74" s="37"/>
      <c r="AF74" s="168"/>
      <c r="AG74" s="37"/>
      <c r="AH74" s="37"/>
      <c r="AI74" s="37"/>
      <c r="AJ74" s="37"/>
      <c r="AK74" s="37"/>
      <c r="AL74" s="37"/>
      <c r="AM74" s="37"/>
      <c r="AN74" s="37"/>
      <c r="AO74" s="37"/>
      <c r="AP74" s="37"/>
      <c r="AQ74" s="37"/>
      <c r="AR74" s="37" t="s">
        <v>1124</v>
      </c>
      <c r="AS74" s="37"/>
      <c r="AT74" s="37"/>
      <c r="AU74" s="37"/>
      <c r="AV74" s="37"/>
      <c r="AW74" s="37"/>
      <c r="AX74" s="37"/>
      <c r="AY74" s="37"/>
      <c r="AZ74" s="37"/>
      <c r="BA74" s="37"/>
      <c r="BB74" s="37"/>
      <c r="BC74" s="37"/>
      <c r="BD74" s="37" t="s">
        <v>1124</v>
      </c>
      <c r="BE74" s="37"/>
      <c r="BF74" s="37"/>
      <c r="BG74" s="37"/>
      <c r="BH74" s="37"/>
      <c r="BI74" s="37"/>
      <c r="BJ74" s="37"/>
      <c r="BK74" s="37"/>
      <c r="BL74" s="37"/>
      <c r="BM74" s="37"/>
      <c r="BN74" s="37"/>
      <c r="BO74" s="37"/>
      <c r="BP74" s="37">
        <v>0</v>
      </c>
      <c r="BQ74" s="37"/>
      <c r="BR74" s="37"/>
      <c r="BS74" s="37"/>
      <c r="BT74" s="37"/>
      <c r="BU74" s="37"/>
      <c r="BV74" s="37"/>
      <c r="BW74" s="37"/>
      <c r="BX74" s="37"/>
      <c r="BY74" s="37"/>
      <c r="BZ74" s="37"/>
      <c r="CA74" s="37"/>
      <c r="CB74" s="37" t="s">
        <v>1124</v>
      </c>
      <c r="CC74" s="37"/>
      <c r="CD74" s="37"/>
      <c r="CE74" s="37"/>
      <c r="CF74" s="37"/>
      <c r="CG74" s="37"/>
      <c r="CH74" s="37"/>
      <c r="CI74" s="37"/>
      <c r="CJ74" s="37"/>
      <c r="CK74" s="37"/>
      <c r="CL74" s="37"/>
      <c r="CM74" s="37"/>
      <c r="CN74" s="37" t="s">
        <v>1124</v>
      </c>
      <c r="CO74" s="37"/>
      <c r="CP74" s="37"/>
      <c r="CQ74" s="37"/>
      <c r="CR74" s="37"/>
      <c r="CS74" s="37"/>
      <c r="CT74" s="37"/>
      <c r="CU74" s="37"/>
      <c r="CV74" s="37"/>
      <c r="CW74" s="37"/>
      <c r="CX74" s="37"/>
      <c r="CY74" s="37"/>
      <c r="CZ74" s="37" t="s">
        <v>1124</v>
      </c>
      <c r="DA74" s="37"/>
      <c r="DB74" s="37"/>
      <c r="DC74" s="37"/>
      <c r="DD74" s="37"/>
      <c r="DE74" s="37"/>
      <c r="DF74" s="37"/>
      <c r="DG74" s="37"/>
      <c r="DH74" s="37"/>
      <c r="DI74" s="37"/>
      <c r="DJ74" s="37"/>
      <c r="DK74" s="37"/>
      <c r="DL74" s="37" t="s">
        <v>1124</v>
      </c>
      <c r="DM74" s="37"/>
      <c r="DN74" s="37"/>
      <c r="DO74" s="37"/>
      <c r="DP74" s="37"/>
      <c r="DQ74" s="37"/>
      <c r="DR74" s="37"/>
      <c r="DS74" s="37"/>
      <c r="DT74" s="37"/>
      <c r="DU74" s="37"/>
      <c r="DV74" s="37"/>
      <c r="DW74" s="37"/>
      <c r="DX74" s="37" t="s">
        <v>1124</v>
      </c>
      <c r="DY74" s="37"/>
      <c r="DZ74" s="37"/>
      <c r="EA74" s="37"/>
      <c r="EB74" s="37"/>
      <c r="EC74" s="37"/>
      <c r="ED74" s="37"/>
      <c r="EE74" s="37"/>
      <c r="EF74" s="37"/>
      <c r="EG74" s="37"/>
      <c r="EH74" s="37"/>
      <c r="EI74" s="37"/>
      <c r="EJ74" s="37" t="s">
        <v>1124</v>
      </c>
      <c r="EK74" s="161"/>
      <c r="EL74" s="294"/>
    </row>
    <row r="75" spans="1:142" ht="15" customHeight="1" x14ac:dyDescent="0.35">
      <c r="A75" s="34"/>
      <c r="B75" s="313">
        <v>83050</v>
      </c>
      <c r="C75" s="8" t="s">
        <v>842</v>
      </c>
      <c r="D75" s="18">
        <v>7</v>
      </c>
      <c r="E75" s="155"/>
      <c r="F75" s="36"/>
      <c r="G75" s="37"/>
      <c r="H75" s="37"/>
      <c r="I75" s="37"/>
      <c r="J75" s="37"/>
      <c r="K75" s="37"/>
      <c r="L75" s="37"/>
      <c r="M75" s="37" t="s">
        <v>1124</v>
      </c>
      <c r="N75" s="37" t="s">
        <v>1124</v>
      </c>
      <c r="O75" s="37"/>
      <c r="P75" s="37"/>
      <c r="Q75" s="37"/>
      <c r="R75" s="37"/>
      <c r="S75" s="37"/>
      <c r="T75" s="37"/>
      <c r="U75" s="37"/>
      <c r="V75" s="37"/>
      <c r="W75" s="37"/>
      <c r="X75" s="37"/>
      <c r="Y75" s="37"/>
      <c r="Z75" s="37"/>
      <c r="AA75" s="37" t="s">
        <v>1124</v>
      </c>
      <c r="AB75" s="37" t="s">
        <v>1124</v>
      </c>
      <c r="AC75" s="37"/>
      <c r="AD75" s="37"/>
      <c r="AE75" s="37"/>
      <c r="AF75" s="168"/>
      <c r="AG75" s="37"/>
      <c r="AH75" s="37"/>
      <c r="AI75" s="37"/>
      <c r="AJ75" s="37"/>
      <c r="AK75" s="37"/>
      <c r="AL75" s="37"/>
      <c r="AM75" s="37"/>
      <c r="AN75" s="37"/>
      <c r="AO75" s="37"/>
      <c r="AP75" s="37"/>
      <c r="AQ75" s="37"/>
      <c r="AR75" s="37" t="s">
        <v>1124</v>
      </c>
      <c r="AS75" s="37"/>
      <c r="AT75" s="37"/>
      <c r="AU75" s="37"/>
      <c r="AV75" s="37"/>
      <c r="AW75" s="37"/>
      <c r="AX75" s="37"/>
      <c r="AY75" s="37"/>
      <c r="AZ75" s="37"/>
      <c r="BA75" s="37"/>
      <c r="BB75" s="37"/>
      <c r="BC75" s="37"/>
      <c r="BD75" s="37" t="s">
        <v>1124</v>
      </c>
      <c r="BE75" s="37"/>
      <c r="BF75" s="37"/>
      <c r="BG75" s="37"/>
      <c r="BH75" s="37"/>
      <c r="BI75" s="37"/>
      <c r="BJ75" s="37"/>
      <c r="BK75" s="37"/>
      <c r="BL75" s="37"/>
      <c r="BM75" s="37"/>
      <c r="BN75" s="37"/>
      <c r="BO75" s="37"/>
      <c r="BP75" s="37">
        <v>0</v>
      </c>
      <c r="BQ75" s="37"/>
      <c r="BR75" s="37"/>
      <c r="BS75" s="37"/>
      <c r="BT75" s="37"/>
      <c r="BU75" s="37"/>
      <c r="BV75" s="37"/>
      <c r="BW75" s="37"/>
      <c r="BX75" s="37"/>
      <c r="BY75" s="37"/>
      <c r="BZ75" s="37"/>
      <c r="CA75" s="37"/>
      <c r="CB75" s="37" t="s">
        <v>1124</v>
      </c>
      <c r="CC75" s="37"/>
      <c r="CD75" s="37"/>
      <c r="CE75" s="37"/>
      <c r="CF75" s="37"/>
      <c r="CG75" s="37"/>
      <c r="CH75" s="37"/>
      <c r="CI75" s="37"/>
      <c r="CJ75" s="37"/>
      <c r="CK75" s="37"/>
      <c r="CL75" s="37"/>
      <c r="CM75" s="37"/>
      <c r="CN75" s="37" t="s">
        <v>1124</v>
      </c>
      <c r="CO75" s="37"/>
      <c r="CP75" s="37"/>
      <c r="CQ75" s="37"/>
      <c r="CR75" s="37"/>
      <c r="CS75" s="37"/>
      <c r="CT75" s="37"/>
      <c r="CU75" s="37"/>
      <c r="CV75" s="37"/>
      <c r="CW75" s="37"/>
      <c r="CX75" s="37"/>
      <c r="CY75" s="37"/>
      <c r="CZ75" s="37" t="s">
        <v>1124</v>
      </c>
      <c r="DA75" s="37"/>
      <c r="DB75" s="37"/>
      <c r="DC75" s="37"/>
      <c r="DD75" s="37"/>
      <c r="DE75" s="37"/>
      <c r="DF75" s="37"/>
      <c r="DG75" s="37"/>
      <c r="DH75" s="37"/>
      <c r="DI75" s="37"/>
      <c r="DJ75" s="37"/>
      <c r="DK75" s="37"/>
      <c r="DL75" s="37" t="s">
        <v>1124</v>
      </c>
      <c r="DM75" s="37"/>
      <c r="DN75" s="37"/>
      <c r="DO75" s="37"/>
      <c r="DP75" s="37"/>
      <c r="DQ75" s="37"/>
      <c r="DR75" s="37"/>
      <c r="DS75" s="37"/>
      <c r="DT75" s="37"/>
      <c r="DU75" s="37"/>
      <c r="DV75" s="37"/>
      <c r="DW75" s="37"/>
      <c r="DX75" s="37" t="s">
        <v>1124</v>
      </c>
      <c r="DY75" s="37"/>
      <c r="DZ75" s="37"/>
      <c r="EA75" s="37"/>
      <c r="EB75" s="37"/>
      <c r="EC75" s="37"/>
      <c r="ED75" s="37"/>
      <c r="EE75" s="37"/>
      <c r="EF75" s="37"/>
      <c r="EG75" s="37"/>
      <c r="EH75" s="37"/>
      <c r="EI75" s="37"/>
      <c r="EJ75" s="37" t="s">
        <v>1124</v>
      </c>
      <c r="EK75" s="161"/>
      <c r="EL75" s="294"/>
    </row>
    <row r="76" spans="1:142" ht="15" customHeight="1" x14ac:dyDescent="0.35">
      <c r="A76" s="34"/>
      <c r="B76" s="313">
        <v>80145</v>
      </c>
      <c r="C76" s="8" t="s">
        <v>826</v>
      </c>
      <c r="D76" s="18">
        <v>7</v>
      </c>
      <c r="E76" s="155"/>
      <c r="F76" s="36"/>
      <c r="G76" s="37"/>
      <c r="H76" s="37"/>
      <c r="I76" s="37"/>
      <c r="J76" s="37"/>
      <c r="K76" s="37"/>
      <c r="L76" s="37"/>
      <c r="M76" s="37" t="s">
        <v>1124</v>
      </c>
      <c r="N76" s="37" t="s">
        <v>1124</v>
      </c>
      <c r="O76" s="37"/>
      <c r="P76" s="37"/>
      <c r="Q76" s="37"/>
      <c r="R76" s="37"/>
      <c r="S76" s="37"/>
      <c r="T76" s="37"/>
      <c r="U76" s="37"/>
      <c r="V76" s="37"/>
      <c r="W76" s="37"/>
      <c r="X76" s="37"/>
      <c r="Y76" s="37"/>
      <c r="Z76" s="37"/>
      <c r="AA76" s="37" t="s">
        <v>1124</v>
      </c>
      <c r="AB76" s="37" t="s">
        <v>1124</v>
      </c>
      <c r="AC76" s="37"/>
      <c r="AD76" s="37"/>
      <c r="AE76" s="37"/>
      <c r="AF76" s="168"/>
      <c r="AG76" s="37"/>
      <c r="AH76" s="37"/>
      <c r="AI76" s="37"/>
      <c r="AJ76" s="37"/>
      <c r="AK76" s="37"/>
      <c r="AL76" s="37"/>
      <c r="AM76" s="37"/>
      <c r="AN76" s="37"/>
      <c r="AO76" s="37"/>
      <c r="AP76" s="37"/>
      <c r="AQ76" s="37"/>
      <c r="AR76" s="37" t="s">
        <v>1124</v>
      </c>
      <c r="AS76" s="37"/>
      <c r="AT76" s="37"/>
      <c r="AU76" s="37"/>
      <c r="AV76" s="37"/>
      <c r="AW76" s="37"/>
      <c r="AX76" s="37"/>
      <c r="AY76" s="37"/>
      <c r="AZ76" s="37"/>
      <c r="BA76" s="37"/>
      <c r="BB76" s="37"/>
      <c r="BC76" s="37"/>
      <c r="BD76" s="37" t="s">
        <v>1124</v>
      </c>
      <c r="BE76" s="37"/>
      <c r="BF76" s="37"/>
      <c r="BG76" s="37"/>
      <c r="BH76" s="37"/>
      <c r="BI76" s="37"/>
      <c r="BJ76" s="37"/>
      <c r="BK76" s="37"/>
      <c r="BL76" s="37"/>
      <c r="BM76" s="37"/>
      <c r="BN76" s="37"/>
      <c r="BO76" s="37"/>
      <c r="BP76" s="37">
        <v>0</v>
      </c>
      <c r="BQ76" s="37"/>
      <c r="BR76" s="37"/>
      <c r="BS76" s="37"/>
      <c r="BT76" s="37"/>
      <c r="BU76" s="37"/>
      <c r="BV76" s="37"/>
      <c r="BW76" s="37"/>
      <c r="BX76" s="37"/>
      <c r="BY76" s="37"/>
      <c r="BZ76" s="37"/>
      <c r="CA76" s="37"/>
      <c r="CB76" s="37" t="s">
        <v>1124</v>
      </c>
      <c r="CC76" s="37"/>
      <c r="CD76" s="37"/>
      <c r="CE76" s="37"/>
      <c r="CF76" s="37"/>
      <c r="CG76" s="37"/>
      <c r="CH76" s="37"/>
      <c r="CI76" s="37"/>
      <c r="CJ76" s="37"/>
      <c r="CK76" s="37"/>
      <c r="CL76" s="37"/>
      <c r="CM76" s="37"/>
      <c r="CN76" s="37" t="s">
        <v>1124</v>
      </c>
      <c r="CO76" s="37"/>
      <c r="CP76" s="37"/>
      <c r="CQ76" s="37"/>
      <c r="CR76" s="37"/>
      <c r="CS76" s="37"/>
      <c r="CT76" s="37"/>
      <c r="CU76" s="37"/>
      <c r="CV76" s="37"/>
      <c r="CW76" s="37"/>
      <c r="CX76" s="37"/>
      <c r="CY76" s="37"/>
      <c r="CZ76" s="37" t="s">
        <v>1124</v>
      </c>
      <c r="DA76" s="37"/>
      <c r="DB76" s="37"/>
      <c r="DC76" s="37"/>
      <c r="DD76" s="37"/>
      <c r="DE76" s="37"/>
      <c r="DF76" s="37"/>
      <c r="DG76" s="37"/>
      <c r="DH76" s="37"/>
      <c r="DI76" s="37"/>
      <c r="DJ76" s="37"/>
      <c r="DK76" s="37"/>
      <c r="DL76" s="37" t="s">
        <v>1124</v>
      </c>
      <c r="DM76" s="37"/>
      <c r="DN76" s="37"/>
      <c r="DO76" s="37"/>
      <c r="DP76" s="37"/>
      <c r="DQ76" s="37"/>
      <c r="DR76" s="37"/>
      <c r="DS76" s="37"/>
      <c r="DT76" s="37"/>
      <c r="DU76" s="37"/>
      <c r="DV76" s="37"/>
      <c r="DW76" s="37"/>
      <c r="DX76" s="37" t="s">
        <v>1124</v>
      </c>
      <c r="DY76" s="37"/>
      <c r="DZ76" s="37"/>
      <c r="EA76" s="37"/>
      <c r="EB76" s="37"/>
      <c r="EC76" s="37"/>
      <c r="ED76" s="37"/>
      <c r="EE76" s="37"/>
      <c r="EF76" s="37"/>
      <c r="EG76" s="37"/>
      <c r="EH76" s="37"/>
      <c r="EI76" s="37"/>
      <c r="EJ76" s="37" t="s">
        <v>1124</v>
      </c>
      <c r="EK76" s="161"/>
      <c r="EL76" s="294"/>
    </row>
    <row r="77" spans="1:142" ht="15" customHeight="1" x14ac:dyDescent="0.35">
      <c r="A77" s="34"/>
      <c r="B77" s="313">
        <v>78075</v>
      </c>
      <c r="C77" s="8" t="s">
        <v>778</v>
      </c>
      <c r="D77" s="18">
        <v>15</v>
      </c>
      <c r="E77" s="155">
        <v>57967</v>
      </c>
      <c r="F77" s="36">
        <v>19397</v>
      </c>
      <c r="G77" s="37">
        <v>16126</v>
      </c>
      <c r="H77" s="37">
        <v>260</v>
      </c>
      <c r="I77" s="37">
        <v>52824</v>
      </c>
      <c r="J77" s="37">
        <v>3655</v>
      </c>
      <c r="K77" s="37">
        <v>8695.0499999999993</v>
      </c>
      <c r="L77" s="37">
        <v>2909.5499999999997</v>
      </c>
      <c r="M77" s="37">
        <v>135612.04999999999</v>
      </c>
      <c r="N77" s="37">
        <v>26221.55</v>
      </c>
      <c r="O77" s="37">
        <v>0</v>
      </c>
      <c r="P77" s="37">
        <v>0</v>
      </c>
      <c r="Q77" s="37">
        <v>95450</v>
      </c>
      <c r="R77" s="37">
        <v>25250</v>
      </c>
      <c r="S77" s="37">
        <v>0</v>
      </c>
      <c r="T77" s="37">
        <v>0</v>
      </c>
      <c r="U77" s="37">
        <v>0</v>
      </c>
      <c r="V77" s="37">
        <v>0</v>
      </c>
      <c r="W77" s="37">
        <v>67230</v>
      </c>
      <c r="X77" s="37">
        <v>972</v>
      </c>
      <c r="Y77" s="37">
        <v>0</v>
      </c>
      <c r="Z77" s="37">
        <v>0</v>
      </c>
      <c r="AA77" s="37">
        <v>162680</v>
      </c>
      <c r="AB77" s="37">
        <v>26222</v>
      </c>
      <c r="AC77" s="37">
        <v>27068</v>
      </c>
      <c r="AD77" s="37">
        <v>0</v>
      </c>
      <c r="AE77" s="37">
        <v>0</v>
      </c>
      <c r="AF77" s="168">
        <v>0.02</v>
      </c>
      <c r="AG77" s="37">
        <v>16234275.310000001</v>
      </c>
      <c r="AH77" s="37">
        <v>153272.4</v>
      </c>
      <c r="AI77" s="37">
        <v>156337.84</v>
      </c>
      <c r="AJ77" s="37">
        <v>159464.6</v>
      </c>
      <c r="AK77" s="37">
        <v>162653.89000000001</v>
      </c>
      <c r="AL77" s="37">
        <v>165906.97</v>
      </c>
      <c r="AM77" s="37">
        <v>169225.11</v>
      </c>
      <c r="AN77" s="37">
        <v>172609.61</v>
      </c>
      <c r="AO77" s="37">
        <v>176061.81</v>
      </c>
      <c r="AP77" s="37">
        <v>179583.04</v>
      </c>
      <c r="AQ77" s="37">
        <v>183174.7</v>
      </c>
      <c r="AR77" s="37">
        <v>1678289.97</v>
      </c>
      <c r="AS77" s="37">
        <v>0</v>
      </c>
      <c r="AT77" s="37">
        <v>0</v>
      </c>
      <c r="AU77" s="37">
        <v>0</v>
      </c>
      <c r="AV77" s="37">
        <v>0</v>
      </c>
      <c r="AW77" s="37">
        <v>0</v>
      </c>
      <c r="AX77" s="37">
        <v>0</v>
      </c>
      <c r="AY77" s="37">
        <v>0</v>
      </c>
      <c r="AZ77" s="37">
        <v>0</v>
      </c>
      <c r="BA77" s="37">
        <v>0</v>
      </c>
      <c r="BB77" s="37">
        <v>0</v>
      </c>
      <c r="BC77" s="37">
        <v>0</v>
      </c>
      <c r="BD77" s="37">
        <v>0</v>
      </c>
      <c r="BE77" s="37">
        <v>0</v>
      </c>
      <c r="BF77" s="37">
        <v>0</v>
      </c>
      <c r="BG77" s="37">
        <v>0</v>
      </c>
      <c r="BH77" s="37">
        <v>0</v>
      </c>
      <c r="BI77" s="37">
        <v>0</v>
      </c>
      <c r="BJ77" s="37">
        <v>0</v>
      </c>
      <c r="BK77" s="37">
        <v>0</v>
      </c>
      <c r="BL77" s="37">
        <v>0</v>
      </c>
      <c r="BM77" s="37">
        <v>0</v>
      </c>
      <c r="BN77" s="37">
        <v>0</v>
      </c>
      <c r="BO77" s="37">
        <v>0</v>
      </c>
      <c r="BP77" s="37">
        <v>0</v>
      </c>
      <c r="BQ77" s="37">
        <v>0</v>
      </c>
      <c r="BR77" s="37">
        <v>0</v>
      </c>
      <c r="BS77" s="37">
        <v>0</v>
      </c>
      <c r="BT77" s="37">
        <v>0</v>
      </c>
      <c r="BU77" s="37">
        <v>0</v>
      </c>
      <c r="BV77" s="37">
        <v>0</v>
      </c>
      <c r="BW77" s="37">
        <v>0</v>
      </c>
      <c r="BX77" s="37">
        <v>0</v>
      </c>
      <c r="BY77" s="37">
        <v>0</v>
      </c>
      <c r="BZ77" s="37">
        <v>0</v>
      </c>
      <c r="CA77" s="37">
        <v>0</v>
      </c>
      <c r="CB77" s="37">
        <v>0</v>
      </c>
      <c r="CC77" s="37">
        <v>0</v>
      </c>
      <c r="CD77" s="37">
        <v>0</v>
      </c>
      <c r="CE77" s="37">
        <v>0</v>
      </c>
      <c r="CF77" s="37">
        <v>0</v>
      </c>
      <c r="CG77" s="37">
        <v>0</v>
      </c>
      <c r="CH77" s="37">
        <v>0</v>
      </c>
      <c r="CI77" s="37">
        <v>0</v>
      </c>
      <c r="CJ77" s="37">
        <v>0</v>
      </c>
      <c r="CK77" s="37">
        <v>0</v>
      </c>
      <c r="CL77" s="37">
        <v>0</v>
      </c>
      <c r="CM77" s="37">
        <v>0</v>
      </c>
      <c r="CN77" s="37">
        <v>0</v>
      </c>
      <c r="CO77" s="37">
        <v>0</v>
      </c>
      <c r="CP77" s="37">
        <v>0</v>
      </c>
      <c r="CQ77" s="37">
        <v>0</v>
      </c>
      <c r="CR77" s="37">
        <v>0</v>
      </c>
      <c r="CS77" s="37">
        <v>0</v>
      </c>
      <c r="CT77" s="37">
        <v>0</v>
      </c>
      <c r="CU77" s="37">
        <v>0</v>
      </c>
      <c r="CV77" s="37">
        <v>0</v>
      </c>
      <c r="CW77" s="37">
        <v>0</v>
      </c>
      <c r="CX77" s="37">
        <v>0</v>
      </c>
      <c r="CY77" s="37">
        <v>0</v>
      </c>
      <c r="CZ77" s="37">
        <v>0</v>
      </c>
      <c r="DA77" s="37">
        <v>0</v>
      </c>
      <c r="DB77" s="37">
        <v>0</v>
      </c>
      <c r="DC77" s="37">
        <v>0</v>
      </c>
      <c r="DD77" s="37">
        <v>0</v>
      </c>
      <c r="DE77" s="37">
        <v>0</v>
      </c>
      <c r="DF77" s="37">
        <v>0</v>
      </c>
      <c r="DG77" s="37">
        <v>0</v>
      </c>
      <c r="DH77" s="37">
        <v>0</v>
      </c>
      <c r="DI77" s="37">
        <v>0</v>
      </c>
      <c r="DJ77" s="37">
        <v>0</v>
      </c>
      <c r="DK77" s="37">
        <v>0</v>
      </c>
      <c r="DL77" s="37">
        <v>0</v>
      </c>
      <c r="DM77" s="37">
        <v>0</v>
      </c>
      <c r="DN77" s="37">
        <v>0</v>
      </c>
      <c r="DO77" s="37">
        <v>0</v>
      </c>
      <c r="DP77" s="37">
        <v>0</v>
      </c>
      <c r="DQ77" s="37">
        <v>0</v>
      </c>
      <c r="DR77" s="37">
        <v>0</v>
      </c>
      <c r="DS77" s="37">
        <v>0</v>
      </c>
      <c r="DT77" s="37">
        <v>0</v>
      </c>
      <c r="DU77" s="37">
        <v>0</v>
      </c>
      <c r="DV77" s="37">
        <v>0</v>
      </c>
      <c r="DW77" s="37">
        <v>0</v>
      </c>
      <c r="DX77" s="37">
        <v>0</v>
      </c>
      <c r="DY77" s="37">
        <v>0</v>
      </c>
      <c r="DZ77" s="37">
        <v>0</v>
      </c>
      <c r="EA77" s="37">
        <v>0</v>
      </c>
      <c r="EB77" s="37">
        <v>0</v>
      </c>
      <c r="EC77" s="37">
        <v>0</v>
      </c>
      <c r="ED77" s="37">
        <v>0</v>
      </c>
      <c r="EE77" s="37">
        <v>0</v>
      </c>
      <c r="EF77" s="37">
        <v>0</v>
      </c>
      <c r="EG77" s="37">
        <v>0</v>
      </c>
      <c r="EH77" s="37">
        <v>0</v>
      </c>
      <c r="EI77" s="37">
        <v>0</v>
      </c>
      <c r="EJ77" s="37">
        <v>0</v>
      </c>
      <c r="EK77" s="161" t="s">
        <v>1523</v>
      </c>
      <c r="EL77" s="294" t="s">
        <v>1124</v>
      </c>
    </row>
    <row r="78" spans="1:142" ht="15" customHeight="1" x14ac:dyDescent="0.35">
      <c r="A78" s="34"/>
      <c r="B78" s="313">
        <v>46090</v>
      </c>
      <c r="C78" s="8" t="s">
        <v>443</v>
      </c>
      <c r="D78" s="18">
        <v>5</v>
      </c>
      <c r="E78" s="155"/>
      <c r="F78" s="36"/>
      <c r="G78" s="37"/>
      <c r="H78" s="37"/>
      <c r="I78" s="37"/>
      <c r="J78" s="37"/>
      <c r="K78" s="37"/>
      <c r="L78" s="37"/>
      <c r="M78" s="37" t="s">
        <v>1124</v>
      </c>
      <c r="N78" s="37" t="s">
        <v>1124</v>
      </c>
      <c r="O78" s="37"/>
      <c r="P78" s="37"/>
      <c r="Q78" s="37"/>
      <c r="R78" s="37"/>
      <c r="S78" s="37"/>
      <c r="T78" s="37"/>
      <c r="U78" s="37"/>
      <c r="V78" s="37"/>
      <c r="W78" s="37"/>
      <c r="X78" s="37"/>
      <c r="Y78" s="37"/>
      <c r="Z78" s="37"/>
      <c r="AA78" s="37" t="s">
        <v>1124</v>
      </c>
      <c r="AB78" s="37" t="s">
        <v>1124</v>
      </c>
      <c r="AC78" s="37"/>
      <c r="AD78" s="37"/>
      <c r="AE78" s="37"/>
      <c r="AF78" s="168"/>
      <c r="AG78" s="37"/>
      <c r="AH78" s="37"/>
      <c r="AI78" s="37"/>
      <c r="AJ78" s="37"/>
      <c r="AK78" s="37"/>
      <c r="AL78" s="37"/>
      <c r="AM78" s="37"/>
      <c r="AN78" s="37"/>
      <c r="AO78" s="37"/>
      <c r="AP78" s="37"/>
      <c r="AQ78" s="37"/>
      <c r="AR78" s="37" t="s">
        <v>1124</v>
      </c>
      <c r="AS78" s="37"/>
      <c r="AT78" s="37"/>
      <c r="AU78" s="37"/>
      <c r="AV78" s="37"/>
      <c r="AW78" s="37"/>
      <c r="AX78" s="37"/>
      <c r="AY78" s="37"/>
      <c r="AZ78" s="37"/>
      <c r="BA78" s="37"/>
      <c r="BB78" s="37"/>
      <c r="BC78" s="37"/>
      <c r="BD78" s="37" t="s">
        <v>1124</v>
      </c>
      <c r="BE78" s="37"/>
      <c r="BF78" s="37"/>
      <c r="BG78" s="37"/>
      <c r="BH78" s="37"/>
      <c r="BI78" s="37"/>
      <c r="BJ78" s="37"/>
      <c r="BK78" s="37"/>
      <c r="BL78" s="37"/>
      <c r="BM78" s="37"/>
      <c r="BN78" s="37"/>
      <c r="BO78" s="37"/>
      <c r="BP78" s="37">
        <v>0</v>
      </c>
      <c r="BQ78" s="37"/>
      <c r="BR78" s="37"/>
      <c r="BS78" s="37"/>
      <c r="BT78" s="37"/>
      <c r="BU78" s="37"/>
      <c r="BV78" s="37"/>
      <c r="BW78" s="37"/>
      <c r="BX78" s="37"/>
      <c r="BY78" s="37"/>
      <c r="BZ78" s="37"/>
      <c r="CA78" s="37"/>
      <c r="CB78" s="37" t="s">
        <v>1124</v>
      </c>
      <c r="CC78" s="37"/>
      <c r="CD78" s="37"/>
      <c r="CE78" s="37"/>
      <c r="CF78" s="37"/>
      <c r="CG78" s="37"/>
      <c r="CH78" s="37"/>
      <c r="CI78" s="37"/>
      <c r="CJ78" s="37"/>
      <c r="CK78" s="37"/>
      <c r="CL78" s="37"/>
      <c r="CM78" s="37"/>
      <c r="CN78" s="37" t="s">
        <v>1124</v>
      </c>
      <c r="CO78" s="37"/>
      <c r="CP78" s="37"/>
      <c r="CQ78" s="37"/>
      <c r="CR78" s="37"/>
      <c r="CS78" s="37"/>
      <c r="CT78" s="37"/>
      <c r="CU78" s="37"/>
      <c r="CV78" s="37"/>
      <c r="CW78" s="37"/>
      <c r="CX78" s="37"/>
      <c r="CY78" s="37"/>
      <c r="CZ78" s="37" t="s">
        <v>1124</v>
      </c>
      <c r="DA78" s="37"/>
      <c r="DB78" s="37"/>
      <c r="DC78" s="37"/>
      <c r="DD78" s="37"/>
      <c r="DE78" s="37"/>
      <c r="DF78" s="37"/>
      <c r="DG78" s="37"/>
      <c r="DH78" s="37"/>
      <c r="DI78" s="37"/>
      <c r="DJ78" s="37"/>
      <c r="DK78" s="37"/>
      <c r="DL78" s="37" t="s">
        <v>1124</v>
      </c>
      <c r="DM78" s="37"/>
      <c r="DN78" s="37"/>
      <c r="DO78" s="37"/>
      <c r="DP78" s="37"/>
      <c r="DQ78" s="37"/>
      <c r="DR78" s="37"/>
      <c r="DS78" s="37"/>
      <c r="DT78" s="37"/>
      <c r="DU78" s="37"/>
      <c r="DV78" s="37"/>
      <c r="DW78" s="37"/>
      <c r="DX78" s="37" t="s">
        <v>1124</v>
      </c>
      <c r="DY78" s="37"/>
      <c r="DZ78" s="37"/>
      <c r="EA78" s="37"/>
      <c r="EB78" s="37"/>
      <c r="EC78" s="37"/>
      <c r="ED78" s="37"/>
      <c r="EE78" s="37"/>
      <c r="EF78" s="37"/>
      <c r="EG78" s="37"/>
      <c r="EH78" s="37"/>
      <c r="EI78" s="37"/>
      <c r="EJ78" s="37" t="s">
        <v>1124</v>
      </c>
      <c r="EK78" s="161"/>
      <c r="EL78" s="294"/>
    </row>
    <row r="79" spans="1:142" ht="15" customHeight="1" x14ac:dyDescent="0.35">
      <c r="A79" s="34"/>
      <c r="B79" s="313">
        <v>84005</v>
      </c>
      <c r="C79" s="8" t="s">
        <v>852</v>
      </c>
      <c r="D79" s="18">
        <v>7</v>
      </c>
      <c r="E79" s="155"/>
      <c r="F79" s="36"/>
      <c r="G79" s="37"/>
      <c r="H79" s="37"/>
      <c r="I79" s="37"/>
      <c r="J79" s="37"/>
      <c r="K79" s="37"/>
      <c r="L79" s="37"/>
      <c r="M79" s="37" t="s">
        <v>1124</v>
      </c>
      <c r="N79" s="37" t="s">
        <v>1124</v>
      </c>
      <c r="O79" s="37"/>
      <c r="P79" s="37"/>
      <c r="Q79" s="37"/>
      <c r="R79" s="37"/>
      <c r="S79" s="37"/>
      <c r="T79" s="37"/>
      <c r="U79" s="37"/>
      <c r="V79" s="37"/>
      <c r="W79" s="37"/>
      <c r="X79" s="37"/>
      <c r="Y79" s="37"/>
      <c r="Z79" s="37"/>
      <c r="AA79" s="37" t="s">
        <v>1124</v>
      </c>
      <c r="AB79" s="37" t="s">
        <v>1124</v>
      </c>
      <c r="AC79" s="37"/>
      <c r="AD79" s="37"/>
      <c r="AE79" s="37"/>
      <c r="AF79" s="168"/>
      <c r="AG79" s="37"/>
      <c r="AH79" s="37"/>
      <c r="AI79" s="37"/>
      <c r="AJ79" s="37"/>
      <c r="AK79" s="37"/>
      <c r="AL79" s="37"/>
      <c r="AM79" s="37"/>
      <c r="AN79" s="37"/>
      <c r="AO79" s="37"/>
      <c r="AP79" s="37"/>
      <c r="AQ79" s="37"/>
      <c r="AR79" s="37" t="s">
        <v>1124</v>
      </c>
      <c r="AS79" s="37"/>
      <c r="AT79" s="37"/>
      <c r="AU79" s="37"/>
      <c r="AV79" s="37"/>
      <c r="AW79" s="37"/>
      <c r="AX79" s="37"/>
      <c r="AY79" s="37"/>
      <c r="AZ79" s="37"/>
      <c r="BA79" s="37"/>
      <c r="BB79" s="37"/>
      <c r="BC79" s="37"/>
      <c r="BD79" s="37" t="s">
        <v>1124</v>
      </c>
      <c r="BE79" s="37"/>
      <c r="BF79" s="37"/>
      <c r="BG79" s="37"/>
      <c r="BH79" s="37"/>
      <c r="BI79" s="37"/>
      <c r="BJ79" s="37"/>
      <c r="BK79" s="37"/>
      <c r="BL79" s="37"/>
      <c r="BM79" s="37"/>
      <c r="BN79" s="37"/>
      <c r="BO79" s="37"/>
      <c r="BP79" s="37">
        <v>0</v>
      </c>
      <c r="BQ79" s="37"/>
      <c r="BR79" s="37"/>
      <c r="BS79" s="37"/>
      <c r="BT79" s="37"/>
      <c r="BU79" s="37"/>
      <c r="BV79" s="37"/>
      <c r="BW79" s="37"/>
      <c r="BX79" s="37"/>
      <c r="BY79" s="37"/>
      <c r="BZ79" s="37"/>
      <c r="CA79" s="37"/>
      <c r="CB79" s="37" t="s">
        <v>1124</v>
      </c>
      <c r="CC79" s="37"/>
      <c r="CD79" s="37"/>
      <c r="CE79" s="37"/>
      <c r="CF79" s="37"/>
      <c r="CG79" s="37"/>
      <c r="CH79" s="37"/>
      <c r="CI79" s="37"/>
      <c r="CJ79" s="37"/>
      <c r="CK79" s="37"/>
      <c r="CL79" s="37"/>
      <c r="CM79" s="37"/>
      <c r="CN79" s="37" t="s">
        <v>1124</v>
      </c>
      <c r="CO79" s="37"/>
      <c r="CP79" s="37"/>
      <c r="CQ79" s="37"/>
      <c r="CR79" s="37"/>
      <c r="CS79" s="37"/>
      <c r="CT79" s="37"/>
      <c r="CU79" s="37"/>
      <c r="CV79" s="37"/>
      <c r="CW79" s="37"/>
      <c r="CX79" s="37"/>
      <c r="CY79" s="37"/>
      <c r="CZ79" s="37" t="s">
        <v>1124</v>
      </c>
      <c r="DA79" s="37"/>
      <c r="DB79" s="37"/>
      <c r="DC79" s="37"/>
      <c r="DD79" s="37"/>
      <c r="DE79" s="37"/>
      <c r="DF79" s="37"/>
      <c r="DG79" s="37"/>
      <c r="DH79" s="37"/>
      <c r="DI79" s="37"/>
      <c r="DJ79" s="37"/>
      <c r="DK79" s="37"/>
      <c r="DL79" s="37" t="s">
        <v>1124</v>
      </c>
      <c r="DM79" s="37"/>
      <c r="DN79" s="37"/>
      <c r="DO79" s="37"/>
      <c r="DP79" s="37"/>
      <c r="DQ79" s="37"/>
      <c r="DR79" s="37"/>
      <c r="DS79" s="37"/>
      <c r="DT79" s="37"/>
      <c r="DU79" s="37"/>
      <c r="DV79" s="37"/>
      <c r="DW79" s="37"/>
      <c r="DX79" s="37" t="s">
        <v>1124</v>
      </c>
      <c r="DY79" s="37"/>
      <c r="DZ79" s="37"/>
      <c r="EA79" s="37"/>
      <c r="EB79" s="37"/>
      <c r="EC79" s="37"/>
      <c r="ED79" s="37"/>
      <c r="EE79" s="37"/>
      <c r="EF79" s="37"/>
      <c r="EG79" s="37"/>
      <c r="EH79" s="37"/>
      <c r="EI79" s="37"/>
      <c r="EJ79" s="37" t="s">
        <v>1124</v>
      </c>
      <c r="EK79" s="161"/>
      <c r="EL79" s="294"/>
    </row>
    <row r="80" spans="1:142" ht="15" customHeight="1" x14ac:dyDescent="0.35">
      <c r="A80" s="34"/>
      <c r="B80" s="313">
        <v>46070</v>
      </c>
      <c r="C80" s="8" t="s">
        <v>438</v>
      </c>
      <c r="D80" s="18">
        <v>5</v>
      </c>
      <c r="E80" s="155"/>
      <c r="F80" s="36"/>
      <c r="G80" s="37"/>
      <c r="H80" s="37"/>
      <c r="I80" s="37"/>
      <c r="J80" s="37"/>
      <c r="K80" s="37"/>
      <c r="L80" s="37"/>
      <c r="M80" s="37" t="s">
        <v>1124</v>
      </c>
      <c r="N80" s="37" t="s">
        <v>1124</v>
      </c>
      <c r="O80" s="37"/>
      <c r="P80" s="37"/>
      <c r="Q80" s="37"/>
      <c r="R80" s="37"/>
      <c r="S80" s="37"/>
      <c r="T80" s="37"/>
      <c r="U80" s="37"/>
      <c r="V80" s="37"/>
      <c r="W80" s="37"/>
      <c r="X80" s="37"/>
      <c r="Y80" s="37"/>
      <c r="Z80" s="37"/>
      <c r="AA80" s="37" t="s">
        <v>1124</v>
      </c>
      <c r="AB80" s="37" t="s">
        <v>1124</v>
      </c>
      <c r="AC80" s="37"/>
      <c r="AD80" s="37"/>
      <c r="AE80" s="37"/>
      <c r="AF80" s="168"/>
      <c r="AG80" s="37"/>
      <c r="AH80" s="37"/>
      <c r="AI80" s="37"/>
      <c r="AJ80" s="37"/>
      <c r="AK80" s="37"/>
      <c r="AL80" s="37"/>
      <c r="AM80" s="37"/>
      <c r="AN80" s="37"/>
      <c r="AO80" s="37"/>
      <c r="AP80" s="37"/>
      <c r="AQ80" s="37"/>
      <c r="AR80" s="37" t="s">
        <v>1124</v>
      </c>
      <c r="AS80" s="37"/>
      <c r="AT80" s="37"/>
      <c r="AU80" s="37"/>
      <c r="AV80" s="37"/>
      <c r="AW80" s="37"/>
      <c r="AX80" s="37"/>
      <c r="AY80" s="37"/>
      <c r="AZ80" s="37"/>
      <c r="BA80" s="37"/>
      <c r="BB80" s="37"/>
      <c r="BC80" s="37"/>
      <c r="BD80" s="37" t="s">
        <v>1124</v>
      </c>
      <c r="BE80" s="37"/>
      <c r="BF80" s="37"/>
      <c r="BG80" s="37"/>
      <c r="BH80" s="37"/>
      <c r="BI80" s="37"/>
      <c r="BJ80" s="37"/>
      <c r="BK80" s="37"/>
      <c r="BL80" s="37"/>
      <c r="BM80" s="37"/>
      <c r="BN80" s="37"/>
      <c r="BO80" s="37"/>
      <c r="BP80" s="37">
        <v>0</v>
      </c>
      <c r="BQ80" s="37"/>
      <c r="BR80" s="37"/>
      <c r="BS80" s="37"/>
      <c r="BT80" s="37"/>
      <c r="BU80" s="37"/>
      <c r="BV80" s="37"/>
      <c r="BW80" s="37"/>
      <c r="BX80" s="37"/>
      <c r="BY80" s="37"/>
      <c r="BZ80" s="37"/>
      <c r="CA80" s="37"/>
      <c r="CB80" s="37" t="s">
        <v>1124</v>
      </c>
      <c r="CC80" s="37"/>
      <c r="CD80" s="37"/>
      <c r="CE80" s="37"/>
      <c r="CF80" s="37"/>
      <c r="CG80" s="37"/>
      <c r="CH80" s="37"/>
      <c r="CI80" s="37"/>
      <c r="CJ80" s="37"/>
      <c r="CK80" s="37"/>
      <c r="CL80" s="37"/>
      <c r="CM80" s="37"/>
      <c r="CN80" s="37" t="s">
        <v>1124</v>
      </c>
      <c r="CO80" s="37"/>
      <c r="CP80" s="37"/>
      <c r="CQ80" s="37"/>
      <c r="CR80" s="37"/>
      <c r="CS80" s="37"/>
      <c r="CT80" s="37"/>
      <c r="CU80" s="37"/>
      <c r="CV80" s="37"/>
      <c r="CW80" s="37"/>
      <c r="CX80" s="37"/>
      <c r="CY80" s="37"/>
      <c r="CZ80" s="37" t="s">
        <v>1124</v>
      </c>
      <c r="DA80" s="37"/>
      <c r="DB80" s="37"/>
      <c r="DC80" s="37"/>
      <c r="DD80" s="37"/>
      <c r="DE80" s="37"/>
      <c r="DF80" s="37"/>
      <c r="DG80" s="37"/>
      <c r="DH80" s="37"/>
      <c r="DI80" s="37"/>
      <c r="DJ80" s="37"/>
      <c r="DK80" s="37"/>
      <c r="DL80" s="37" t="s">
        <v>1124</v>
      </c>
      <c r="DM80" s="37"/>
      <c r="DN80" s="37"/>
      <c r="DO80" s="37"/>
      <c r="DP80" s="37"/>
      <c r="DQ80" s="37"/>
      <c r="DR80" s="37"/>
      <c r="DS80" s="37"/>
      <c r="DT80" s="37"/>
      <c r="DU80" s="37"/>
      <c r="DV80" s="37"/>
      <c r="DW80" s="37"/>
      <c r="DX80" s="37" t="s">
        <v>1124</v>
      </c>
      <c r="DY80" s="37"/>
      <c r="DZ80" s="37"/>
      <c r="EA80" s="37"/>
      <c r="EB80" s="37"/>
      <c r="EC80" s="37"/>
      <c r="ED80" s="37"/>
      <c r="EE80" s="37"/>
      <c r="EF80" s="37"/>
      <c r="EG80" s="37"/>
      <c r="EH80" s="37"/>
      <c r="EI80" s="37"/>
      <c r="EJ80" s="37" t="s">
        <v>1124</v>
      </c>
      <c r="EK80" s="161"/>
      <c r="EL80" s="294"/>
    </row>
    <row r="81" spans="1:142" ht="15" customHeight="1" x14ac:dyDescent="0.35">
      <c r="A81" s="34"/>
      <c r="B81" s="313">
        <v>46078</v>
      </c>
      <c r="C81" s="8" t="s">
        <v>440</v>
      </c>
      <c r="D81" s="18">
        <v>5</v>
      </c>
      <c r="E81" s="155">
        <v>1421373</v>
      </c>
      <c r="F81" s="36">
        <v>639191</v>
      </c>
      <c r="G81" s="37">
        <v>254711</v>
      </c>
      <c r="H81" s="37">
        <v>144694</v>
      </c>
      <c r="I81" s="37">
        <v>695000</v>
      </c>
      <c r="J81" s="37">
        <v>300000</v>
      </c>
      <c r="K81" s="37">
        <v>71000</v>
      </c>
      <c r="L81" s="37">
        <v>32000</v>
      </c>
      <c r="M81" s="37">
        <v>2442084</v>
      </c>
      <c r="N81" s="37">
        <v>1115885</v>
      </c>
      <c r="O81" s="37">
        <v>792228</v>
      </c>
      <c r="P81" s="37">
        <v>302163</v>
      </c>
      <c r="Q81" s="37">
        <v>1115822</v>
      </c>
      <c r="R81" s="37">
        <v>545575</v>
      </c>
      <c r="S81" s="37">
        <v>12641</v>
      </c>
      <c r="T81" s="37">
        <v>0</v>
      </c>
      <c r="U81" s="37">
        <v>50702</v>
      </c>
      <c r="V81" s="37">
        <v>1062</v>
      </c>
      <c r="W81" s="37">
        <v>758816</v>
      </c>
      <c r="X81" s="37">
        <v>327500</v>
      </c>
      <c r="Y81" s="37">
        <v>2410</v>
      </c>
      <c r="Z81" s="37">
        <v>102550</v>
      </c>
      <c r="AA81" s="37">
        <v>2732619</v>
      </c>
      <c r="AB81" s="37">
        <v>1278850</v>
      </c>
      <c r="AC81" s="37">
        <v>453500</v>
      </c>
      <c r="AD81" s="37">
        <v>453500</v>
      </c>
      <c r="AE81" s="37">
        <v>1724416</v>
      </c>
      <c r="AF81" s="168">
        <v>0.02</v>
      </c>
      <c r="AG81" s="37">
        <v>146238875.59999999</v>
      </c>
      <c r="AH81" s="37">
        <v>1985409.57</v>
      </c>
      <c r="AI81" s="37">
        <v>2461763.2400000002</v>
      </c>
      <c r="AJ81" s="37">
        <v>1605002.79</v>
      </c>
      <c r="AK81" s="37">
        <v>1284349.03</v>
      </c>
      <c r="AL81" s="37">
        <v>1660272.52</v>
      </c>
      <c r="AM81" s="37">
        <v>1514283</v>
      </c>
      <c r="AN81" s="37">
        <v>1761325.65</v>
      </c>
      <c r="AO81" s="37">
        <v>1390220.69</v>
      </c>
      <c r="AP81" s="37">
        <v>1418025.1</v>
      </c>
      <c r="AQ81" s="37">
        <v>1446385.61</v>
      </c>
      <c r="AR81" s="37">
        <v>16527037.200000001</v>
      </c>
      <c r="AS81" s="37">
        <v>6273524.6100000003</v>
      </c>
      <c r="AT81" s="37">
        <v>79600.800000000003</v>
      </c>
      <c r="AU81" s="37">
        <v>2823853.68</v>
      </c>
      <c r="AV81" s="37">
        <v>4752320.7699999996</v>
      </c>
      <c r="AW81" s="37">
        <v>0</v>
      </c>
      <c r="AX81" s="37">
        <v>0</v>
      </c>
      <c r="AY81" s="37">
        <v>14208992.83</v>
      </c>
      <c r="AZ81" s="37">
        <v>12678821.369999999</v>
      </c>
      <c r="BA81" s="37">
        <v>1751227.72</v>
      </c>
      <c r="BB81" s="37">
        <v>628618.68999999994</v>
      </c>
      <c r="BC81" s="37">
        <v>0</v>
      </c>
      <c r="BD81" s="37">
        <v>36923435.859999992</v>
      </c>
      <c r="BE81" s="37">
        <v>700404</v>
      </c>
      <c r="BF81" s="37">
        <v>2341088</v>
      </c>
      <c r="BG81" s="37">
        <v>700404</v>
      </c>
      <c r="BH81" s="37">
        <v>700404</v>
      </c>
      <c r="BI81" s="37">
        <v>700404</v>
      </c>
      <c r="BJ81" s="37">
        <v>0</v>
      </c>
      <c r="BK81" s="37">
        <v>0</v>
      </c>
      <c r="BL81" s="37">
        <v>0</v>
      </c>
      <c r="BM81" s="37">
        <v>0</v>
      </c>
      <c r="BN81" s="37">
        <v>0</v>
      </c>
      <c r="BO81" s="37">
        <v>0</v>
      </c>
      <c r="BP81" s="37">
        <v>4442300</v>
      </c>
      <c r="BQ81" s="37">
        <v>1130000</v>
      </c>
      <c r="BR81" s="37">
        <v>1500000</v>
      </c>
      <c r="BS81" s="37">
        <v>1500000</v>
      </c>
      <c r="BT81" s="37">
        <v>1500000</v>
      </c>
      <c r="BU81" s="37">
        <v>1500000</v>
      </c>
      <c r="BV81" s="37">
        <v>1500000</v>
      </c>
      <c r="BW81" s="37">
        <v>1500000</v>
      </c>
      <c r="BX81" s="37">
        <v>1500000</v>
      </c>
      <c r="BY81" s="37">
        <v>1500000</v>
      </c>
      <c r="BZ81" s="37">
        <v>1500000</v>
      </c>
      <c r="CA81" s="37">
        <v>1500000</v>
      </c>
      <c r="CB81" s="37">
        <v>15000000</v>
      </c>
      <c r="CC81" s="37">
        <v>291000</v>
      </c>
      <c r="CD81" s="37">
        <v>200000</v>
      </c>
      <c r="CE81" s="37">
        <v>200000</v>
      </c>
      <c r="CF81" s="37">
        <v>200000</v>
      </c>
      <c r="CG81" s="37">
        <v>200000</v>
      </c>
      <c r="CH81" s="37">
        <v>200000</v>
      </c>
      <c r="CI81" s="37">
        <v>200000</v>
      </c>
      <c r="CJ81" s="37">
        <v>0</v>
      </c>
      <c r="CK81" s="37">
        <v>0</v>
      </c>
      <c r="CL81" s="37">
        <v>0</v>
      </c>
      <c r="CM81" s="37">
        <v>0</v>
      </c>
      <c r="CN81" s="37">
        <v>1200000</v>
      </c>
      <c r="CO81" s="37">
        <v>0</v>
      </c>
      <c r="CP81" s="37">
        <v>0</v>
      </c>
      <c r="CQ81" s="37">
        <v>0</v>
      </c>
      <c r="CR81" s="37">
        <v>0</v>
      </c>
      <c r="CS81" s="37">
        <v>0</v>
      </c>
      <c r="CT81" s="37">
        <v>0</v>
      </c>
      <c r="CU81" s="37">
        <v>0</v>
      </c>
      <c r="CV81" s="37">
        <v>0</v>
      </c>
      <c r="CW81" s="37">
        <v>0</v>
      </c>
      <c r="CX81" s="37">
        <v>0</v>
      </c>
      <c r="CY81" s="37">
        <v>0</v>
      </c>
      <c r="CZ81" s="37">
        <v>0</v>
      </c>
      <c r="DA81" s="37">
        <v>0</v>
      </c>
      <c r="DB81" s="37">
        <v>79600</v>
      </c>
      <c r="DC81" s="37">
        <v>2323853</v>
      </c>
      <c r="DD81" s="37">
        <v>4152320</v>
      </c>
      <c r="DE81" s="37">
        <v>0</v>
      </c>
      <c r="DF81" s="37">
        <v>0</v>
      </c>
      <c r="DG81" s="37">
        <v>12208992</v>
      </c>
      <c r="DH81" s="37">
        <v>11978821</v>
      </c>
      <c r="DI81" s="37">
        <v>1051227</v>
      </c>
      <c r="DJ81" s="37">
        <v>128618</v>
      </c>
      <c r="DK81" s="37">
        <v>0</v>
      </c>
      <c r="DL81" s="37">
        <v>31923431</v>
      </c>
      <c r="DM81" s="37">
        <v>0</v>
      </c>
      <c r="DN81" s="37">
        <v>0</v>
      </c>
      <c r="DO81" s="37">
        <v>0</v>
      </c>
      <c r="DP81" s="37">
        <v>0</v>
      </c>
      <c r="DQ81" s="37">
        <v>0</v>
      </c>
      <c r="DR81" s="37">
        <v>0</v>
      </c>
      <c r="DS81" s="37">
        <v>0</v>
      </c>
      <c r="DT81" s="37">
        <v>0</v>
      </c>
      <c r="DU81" s="37">
        <v>0</v>
      </c>
      <c r="DV81" s="37">
        <v>0</v>
      </c>
      <c r="DW81" s="37">
        <v>0</v>
      </c>
      <c r="DX81" s="37">
        <v>0</v>
      </c>
      <c r="DY81" s="37">
        <v>187500</v>
      </c>
      <c r="DZ81" s="37">
        <v>0</v>
      </c>
      <c r="EA81" s="37">
        <v>500000</v>
      </c>
      <c r="EB81" s="37">
        <v>600000</v>
      </c>
      <c r="EC81" s="37">
        <v>0</v>
      </c>
      <c r="ED81" s="37">
        <v>0</v>
      </c>
      <c r="EE81" s="37">
        <v>2000000</v>
      </c>
      <c r="EF81" s="37">
        <v>700000</v>
      </c>
      <c r="EG81" s="37">
        <v>700000</v>
      </c>
      <c r="EH81" s="37">
        <v>500000</v>
      </c>
      <c r="EI81" s="37">
        <v>0</v>
      </c>
      <c r="EJ81" s="37">
        <v>5000000</v>
      </c>
      <c r="EK81" s="161" t="s">
        <v>1124</v>
      </c>
      <c r="EL81" s="294" t="s">
        <v>1124</v>
      </c>
    </row>
    <row r="82" spans="1:142" ht="15" customHeight="1" x14ac:dyDescent="0.35">
      <c r="A82" s="34"/>
      <c r="B82" s="313">
        <v>58007</v>
      </c>
      <c r="C82" s="8" t="s">
        <v>594</v>
      </c>
      <c r="D82" s="18">
        <v>16</v>
      </c>
      <c r="E82" s="155">
        <v>3775337</v>
      </c>
      <c r="F82" s="36">
        <v>4027348</v>
      </c>
      <c r="G82" s="37">
        <v>997793</v>
      </c>
      <c r="H82" s="37">
        <v>790083</v>
      </c>
      <c r="I82" s="37">
        <v>2628088</v>
      </c>
      <c r="J82" s="37">
        <v>2581868</v>
      </c>
      <c r="K82" s="37">
        <v>283150</v>
      </c>
      <c r="L82" s="37">
        <v>302051</v>
      </c>
      <c r="M82" s="37">
        <v>7684368</v>
      </c>
      <c r="N82" s="37">
        <v>7701350</v>
      </c>
      <c r="O82" s="37">
        <v>7718389</v>
      </c>
      <c r="P82" s="37">
        <v>0</v>
      </c>
      <c r="Q82" s="37">
        <v>0</v>
      </c>
      <c r="R82" s="37">
        <v>0</v>
      </c>
      <c r="S82" s="37">
        <v>115730</v>
      </c>
      <c r="T82" s="37">
        <v>291918</v>
      </c>
      <c r="U82" s="37">
        <v>147241</v>
      </c>
      <c r="V82" s="37">
        <v>291918</v>
      </c>
      <c r="W82" s="37">
        <v>0</v>
      </c>
      <c r="X82" s="37">
        <v>6882268</v>
      </c>
      <c r="Y82" s="37">
        <v>113917</v>
      </c>
      <c r="Z82" s="37">
        <v>0</v>
      </c>
      <c r="AA82" s="37">
        <v>8095277</v>
      </c>
      <c r="AB82" s="37">
        <v>7466104</v>
      </c>
      <c r="AC82" s="37">
        <v>175663</v>
      </c>
      <c r="AD82" s="37">
        <v>0</v>
      </c>
      <c r="AE82" s="37">
        <v>0</v>
      </c>
      <c r="AF82" s="168">
        <v>0.02</v>
      </c>
      <c r="AG82" s="37">
        <v>932341641.58000004</v>
      </c>
      <c r="AH82" s="37">
        <v>8230268.8399999999</v>
      </c>
      <c r="AI82" s="37">
        <v>8394874.2200000007</v>
      </c>
      <c r="AJ82" s="37">
        <v>8562771.6999999993</v>
      </c>
      <c r="AK82" s="37">
        <v>8734027.1400000006</v>
      </c>
      <c r="AL82" s="37">
        <v>8908707.6799999997</v>
      </c>
      <c r="AM82" s="37">
        <v>9086881.8300000001</v>
      </c>
      <c r="AN82" s="37">
        <v>9268619.4700000007</v>
      </c>
      <c r="AO82" s="37">
        <v>9453991.8599999994</v>
      </c>
      <c r="AP82" s="37">
        <v>9643071.6899999995</v>
      </c>
      <c r="AQ82" s="37">
        <v>9835933.1300000008</v>
      </c>
      <c r="AR82" s="37">
        <v>90119147.560000002</v>
      </c>
      <c r="AS82" s="37">
        <v>1460453.18</v>
      </c>
      <c r="AT82" s="37">
        <v>0</v>
      </c>
      <c r="AU82" s="37">
        <v>0</v>
      </c>
      <c r="AV82" s="37">
        <v>0</v>
      </c>
      <c r="AW82" s="37">
        <v>0</v>
      </c>
      <c r="AX82" s="37">
        <v>0</v>
      </c>
      <c r="AY82" s="37">
        <v>0</v>
      </c>
      <c r="AZ82" s="37">
        <v>0</v>
      </c>
      <c r="BA82" s="37">
        <v>0</v>
      </c>
      <c r="BB82" s="37">
        <v>0</v>
      </c>
      <c r="BC82" s="37">
        <v>0</v>
      </c>
      <c r="BD82" s="37">
        <v>0</v>
      </c>
      <c r="BE82" s="37">
        <v>807081</v>
      </c>
      <c r="BF82" s="37">
        <v>4754928</v>
      </c>
      <c r="BG82" s="37">
        <v>5929206</v>
      </c>
      <c r="BH82" s="37">
        <v>7103483</v>
      </c>
      <c r="BI82" s="37">
        <v>8277763</v>
      </c>
      <c r="BJ82" s="37">
        <v>1653808</v>
      </c>
      <c r="BK82" s="37">
        <v>4754928</v>
      </c>
      <c r="BL82" s="37">
        <v>5929206</v>
      </c>
      <c r="BM82" s="37">
        <v>7103483</v>
      </c>
      <c r="BN82" s="37">
        <v>7431036</v>
      </c>
      <c r="BO82" s="37">
        <v>7758589</v>
      </c>
      <c r="BP82" s="37">
        <v>60696430</v>
      </c>
      <c r="BQ82" s="37">
        <v>1694600</v>
      </c>
      <c r="BR82" s="37">
        <v>1728492</v>
      </c>
      <c r="BS82" s="37">
        <v>2763071</v>
      </c>
      <c r="BT82" s="37">
        <v>2798337</v>
      </c>
      <c r="BU82" s="37">
        <v>2154290</v>
      </c>
      <c r="BV82" s="37">
        <v>1870930</v>
      </c>
      <c r="BW82" s="37">
        <v>1908257</v>
      </c>
      <c r="BX82" s="37">
        <v>1946500</v>
      </c>
      <c r="BY82" s="37">
        <v>1985430</v>
      </c>
      <c r="BZ82" s="37">
        <v>2025047</v>
      </c>
      <c r="CA82" s="37">
        <v>2064664</v>
      </c>
      <c r="CB82" s="37">
        <v>21245018</v>
      </c>
      <c r="CC82" s="37">
        <v>812950</v>
      </c>
      <c r="CD82" s="37">
        <v>812950</v>
      </c>
      <c r="CE82" s="37">
        <v>812950</v>
      </c>
      <c r="CF82" s="37">
        <v>812950</v>
      </c>
      <c r="CG82" s="37">
        <v>812950</v>
      </c>
      <c r="CH82" s="37">
        <v>812950</v>
      </c>
      <c r="CI82" s="37">
        <v>812950</v>
      </c>
      <c r="CJ82" s="37">
        <v>812950</v>
      </c>
      <c r="CK82" s="37">
        <v>812950</v>
      </c>
      <c r="CL82" s="37">
        <v>812950</v>
      </c>
      <c r="CM82" s="37">
        <v>812950</v>
      </c>
      <c r="CN82" s="37">
        <v>8129500</v>
      </c>
      <c r="CO82" s="37">
        <v>0</v>
      </c>
      <c r="CP82" s="37">
        <v>0</v>
      </c>
      <c r="CQ82" s="37">
        <v>0</v>
      </c>
      <c r="CR82" s="37">
        <v>0</v>
      </c>
      <c r="CS82" s="37">
        <v>0</v>
      </c>
      <c r="CT82" s="37">
        <v>0</v>
      </c>
      <c r="CU82" s="37">
        <v>0</v>
      </c>
      <c r="CV82" s="37">
        <v>0</v>
      </c>
      <c r="CW82" s="37">
        <v>0</v>
      </c>
      <c r="CX82" s="37">
        <v>0</v>
      </c>
      <c r="CY82" s="37">
        <v>0</v>
      </c>
      <c r="CZ82" s="37">
        <v>0</v>
      </c>
      <c r="DA82" s="37">
        <v>0</v>
      </c>
      <c r="DB82" s="37">
        <v>0</v>
      </c>
      <c r="DC82" s="37">
        <v>0</v>
      </c>
      <c r="DD82" s="37">
        <v>0</v>
      </c>
      <c r="DE82" s="37">
        <v>0</v>
      </c>
      <c r="DF82" s="37">
        <v>0</v>
      </c>
      <c r="DG82" s="37">
        <v>0</v>
      </c>
      <c r="DH82" s="37">
        <v>0</v>
      </c>
      <c r="DI82" s="37">
        <v>0</v>
      </c>
      <c r="DJ82" s="37">
        <v>0</v>
      </c>
      <c r="DK82" s="37">
        <v>0</v>
      </c>
      <c r="DL82" s="37">
        <v>0</v>
      </c>
      <c r="DM82" s="37">
        <v>0</v>
      </c>
      <c r="DN82" s="37">
        <v>0</v>
      </c>
      <c r="DO82" s="37">
        <v>0</v>
      </c>
      <c r="DP82" s="37">
        <v>0</v>
      </c>
      <c r="DQ82" s="37">
        <v>0</v>
      </c>
      <c r="DR82" s="37">
        <v>0</v>
      </c>
      <c r="DS82" s="37">
        <v>0</v>
      </c>
      <c r="DT82" s="37">
        <v>0</v>
      </c>
      <c r="DU82" s="37">
        <v>0</v>
      </c>
      <c r="DV82" s="37">
        <v>0</v>
      </c>
      <c r="DW82" s="37">
        <v>0</v>
      </c>
      <c r="DX82" s="37">
        <v>0</v>
      </c>
      <c r="DY82" s="37">
        <v>0</v>
      </c>
      <c r="DZ82" s="37">
        <v>0</v>
      </c>
      <c r="EA82" s="37">
        <v>0</v>
      </c>
      <c r="EB82" s="37">
        <v>0</v>
      </c>
      <c r="EC82" s="37">
        <v>0</v>
      </c>
      <c r="ED82" s="37">
        <v>0</v>
      </c>
      <c r="EE82" s="37">
        <v>0</v>
      </c>
      <c r="EF82" s="37">
        <v>0</v>
      </c>
      <c r="EG82" s="37">
        <v>0</v>
      </c>
      <c r="EH82" s="37">
        <v>0</v>
      </c>
      <c r="EI82" s="37">
        <v>0</v>
      </c>
      <c r="EJ82" s="37">
        <v>0</v>
      </c>
      <c r="EK82" s="161" t="s">
        <v>1530</v>
      </c>
      <c r="EL82" s="294" t="s">
        <v>1124</v>
      </c>
    </row>
    <row r="83" spans="1:142" ht="15" customHeight="1" x14ac:dyDescent="0.35">
      <c r="A83" s="34"/>
      <c r="B83" s="313">
        <v>76043</v>
      </c>
      <c r="C83" s="8" t="s">
        <v>752</v>
      </c>
      <c r="D83" s="18">
        <v>15</v>
      </c>
      <c r="E83" s="155">
        <v>411395</v>
      </c>
      <c r="F83" s="36">
        <v>341188</v>
      </c>
      <c r="G83" s="37">
        <v>91476</v>
      </c>
      <c r="H83" s="37">
        <v>63066</v>
      </c>
      <c r="I83" s="37">
        <v>190041</v>
      </c>
      <c r="J83" s="37">
        <v>643162</v>
      </c>
      <c r="K83" s="37">
        <v>61709.25</v>
      </c>
      <c r="L83" s="37">
        <v>51178.2</v>
      </c>
      <c r="M83" s="37">
        <v>754621.25</v>
      </c>
      <c r="N83" s="37">
        <v>1098594.2</v>
      </c>
      <c r="O83" s="37">
        <v>0</v>
      </c>
      <c r="P83" s="37">
        <v>0</v>
      </c>
      <c r="Q83" s="37">
        <v>507302</v>
      </c>
      <c r="R83" s="37">
        <v>418718</v>
      </c>
      <c r="S83" s="37">
        <v>0</v>
      </c>
      <c r="T83" s="37">
        <v>0</v>
      </c>
      <c r="U83" s="37">
        <v>41555</v>
      </c>
      <c r="V83" s="37">
        <v>421865</v>
      </c>
      <c r="W83" s="37">
        <v>205764</v>
      </c>
      <c r="X83" s="37">
        <v>258012</v>
      </c>
      <c r="Y83" s="37">
        <v>0</v>
      </c>
      <c r="Z83" s="37">
        <v>0</v>
      </c>
      <c r="AA83" s="37">
        <v>754621</v>
      </c>
      <c r="AB83" s="37">
        <v>1098595</v>
      </c>
      <c r="AC83" s="37">
        <v>1</v>
      </c>
      <c r="AD83" s="37">
        <v>0</v>
      </c>
      <c r="AE83" s="37">
        <v>0</v>
      </c>
      <c r="AF83" s="168">
        <v>0.02</v>
      </c>
      <c r="AG83" s="37">
        <v>46760095.579999998</v>
      </c>
      <c r="AH83" s="37">
        <v>451805.3</v>
      </c>
      <c r="AI83" s="37">
        <v>460841.4</v>
      </c>
      <c r="AJ83" s="37">
        <v>415936.62</v>
      </c>
      <c r="AK83" s="37">
        <v>396653.34</v>
      </c>
      <c r="AL83" s="37">
        <v>376432.34</v>
      </c>
      <c r="AM83" s="37">
        <v>383960.99</v>
      </c>
      <c r="AN83" s="37">
        <v>508806.15</v>
      </c>
      <c r="AO83" s="37">
        <v>399473.01</v>
      </c>
      <c r="AP83" s="37">
        <v>407462.47</v>
      </c>
      <c r="AQ83" s="37">
        <v>415611.72</v>
      </c>
      <c r="AR83" s="37">
        <v>4216983.34</v>
      </c>
      <c r="AS83" s="37">
        <v>0</v>
      </c>
      <c r="AT83" s="37">
        <v>0</v>
      </c>
      <c r="AU83" s="37">
        <v>0</v>
      </c>
      <c r="AV83" s="37">
        <v>0</v>
      </c>
      <c r="AW83" s="37">
        <v>0</v>
      </c>
      <c r="AX83" s="37">
        <v>0</v>
      </c>
      <c r="AY83" s="37">
        <v>0</v>
      </c>
      <c r="AZ83" s="37">
        <v>0</v>
      </c>
      <c r="BA83" s="37">
        <v>0</v>
      </c>
      <c r="BB83" s="37">
        <v>0</v>
      </c>
      <c r="BC83" s="37">
        <v>0</v>
      </c>
      <c r="BD83" s="37">
        <v>0</v>
      </c>
      <c r="BE83" s="37">
        <v>194383</v>
      </c>
      <c r="BF83" s="37">
        <v>22174</v>
      </c>
      <c r="BG83" s="37">
        <v>23106</v>
      </c>
      <c r="BH83" s="37">
        <v>24078</v>
      </c>
      <c r="BI83" s="37">
        <v>25091</v>
      </c>
      <c r="BJ83" s="37">
        <v>0</v>
      </c>
      <c r="BK83" s="37">
        <v>0</v>
      </c>
      <c r="BL83" s="37">
        <v>0</v>
      </c>
      <c r="BM83" s="37">
        <v>0</v>
      </c>
      <c r="BN83" s="37">
        <v>0</v>
      </c>
      <c r="BO83" s="37">
        <v>0</v>
      </c>
      <c r="BP83" s="37">
        <v>94449</v>
      </c>
      <c r="BQ83" s="37">
        <v>442851</v>
      </c>
      <c r="BR83" s="37">
        <v>140289</v>
      </c>
      <c r="BS83" s="37">
        <v>1150000</v>
      </c>
      <c r="BT83" s="37">
        <v>250000</v>
      </c>
      <c r="BU83" s="37">
        <v>250000</v>
      </c>
      <c r="BV83" s="37">
        <v>0</v>
      </c>
      <c r="BW83" s="37">
        <v>0</v>
      </c>
      <c r="BX83" s="37">
        <v>0</v>
      </c>
      <c r="BY83" s="37">
        <v>0</v>
      </c>
      <c r="BZ83" s="37">
        <v>0</v>
      </c>
      <c r="CA83" s="37">
        <v>0</v>
      </c>
      <c r="CB83" s="37">
        <v>1790289</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D83" s="37">
        <v>0</v>
      </c>
      <c r="DE83" s="37">
        <v>0</v>
      </c>
      <c r="DF83" s="37">
        <v>0</v>
      </c>
      <c r="DG83" s="37">
        <v>0</v>
      </c>
      <c r="DH83" s="37">
        <v>0</v>
      </c>
      <c r="DI83" s="37">
        <v>0</v>
      </c>
      <c r="DJ83" s="37">
        <v>0</v>
      </c>
      <c r="DK83" s="37">
        <v>0</v>
      </c>
      <c r="DL83" s="37">
        <v>0</v>
      </c>
      <c r="DM83" s="37">
        <v>0</v>
      </c>
      <c r="DN83" s="37">
        <v>0</v>
      </c>
      <c r="DO83" s="37">
        <v>0</v>
      </c>
      <c r="DP83" s="37">
        <v>0</v>
      </c>
      <c r="DQ83" s="37">
        <v>0</v>
      </c>
      <c r="DR83" s="37">
        <v>0</v>
      </c>
      <c r="DS83" s="37">
        <v>0</v>
      </c>
      <c r="DT83" s="37">
        <v>0</v>
      </c>
      <c r="DU83" s="37">
        <v>0</v>
      </c>
      <c r="DV83" s="37">
        <v>0</v>
      </c>
      <c r="DW83" s="37">
        <v>0</v>
      </c>
      <c r="DX83" s="37">
        <v>0</v>
      </c>
      <c r="DY83" s="37">
        <v>0</v>
      </c>
      <c r="DZ83" s="37">
        <v>0</v>
      </c>
      <c r="EA83" s="37">
        <v>0</v>
      </c>
      <c r="EB83" s="37">
        <v>0</v>
      </c>
      <c r="EC83" s="37">
        <v>0</v>
      </c>
      <c r="ED83" s="37">
        <v>0</v>
      </c>
      <c r="EE83" s="37">
        <v>0</v>
      </c>
      <c r="EF83" s="37">
        <v>0</v>
      </c>
      <c r="EG83" s="37">
        <v>0</v>
      </c>
      <c r="EH83" s="37">
        <v>0</v>
      </c>
      <c r="EI83" s="37">
        <v>0</v>
      </c>
      <c r="EJ83" s="37">
        <v>0</v>
      </c>
      <c r="EK83" s="161" t="s">
        <v>1538</v>
      </c>
      <c r="EL83" s="294" t="s">
        <v>1124</v>
      </c>
    </row>
    <row r="84" spans="1:142" ht="15" customHeight="1" x14ac:dyDescent="0.35">
      <c r="A84" s="34"/>
      <c r="B84" s="313">
        <v>84025</v>
      </c>
      <c r="C84" s="8" t="s">
        <v>856</v>
      </c>
      <c r="D84" s="18">
        <v>7</v>
      </c>
      <c r="E84" s="155"/>
      <c r="F84" s="36"/>
      <c r="G84" s="37"/>
      <c r="H84" s="37"/>
      <c r="I84" s="37"/>
      <c r="J84" s="37"/>
      <c r="K84" s="37"/>
      <c r="L84" s="37"/>
      <c r="M84" s="37" t="s">
        <v>1124</v>
      </c>
      <c r="N84" s="37" t="s">
        <v>1124</v>
      </c>
      <c r="O84" s="37"/>
      <c r="P84" s="37"/>
      <c r="Q84" s="37"/>
      <c r="R84" s="37"/>
      <c r="S84" s="37"/>
      <c r="T84" s="37"/>
      <c r="U84" s="37"/>
      <c r="V84" s="37"/>
      <c r="W84" s="37"/>
      <c r="X84" s="37"/>
      <c r="Y84" s="37"/>
      <c r="Z84" s="37"/>
      <c r="AA84" s="37" t="s">
        <v>1124</v>
      </c>
      <c r="AB84" s="37" t="s">
        <v>1124</v>
      </c>
      <c r="AC84" s="37"/>
      <c r="AD84" s="37"/>
      <c r="AE84" s="37"/>
      <c r="AF84" s="168"/>
      <c r="AG84" s="37"/>
      <c r="AH84" s="37"/>
      <c r="AI84" s="37"/>
      <c r="AJ84" s="37"/>
      <c r="AK84" s="37"/>
      <c r="AL84" s="37"/>
      <c r="AM84" s="37"/>
      <c r="AN84" s="37"/>
      <c r="AO84" s="37"/>
      <c r="AP84" s="37"/>
      <c r="AQ84" s="37"/>
      <c r="AR84" s="37" t="s">
        <v>1124</v>
      </c>
      <c r="AS84" s="37"/>
      <c r="AT84" s="37"/>
      <c r="AU84" s="37"/>
      <c r="AV84" s="37"/>
      <c r="AW84" s="37"/>
      <c r="AX84" s="37"/>
      <c r="AY84" s="37"/>
      <c r="AZ84" s="37"/>
      <c r="BA84" s="37"/>
      <c r="BB84" s="37"/>
      <c r="BC84" s="37"/>
      <c r="BD84" s="37" t="s">
        <v>1124</v>
      </c>
      <c r="BE84" s="37"/>
      <c r="BF84" s="37"/>
      <c r="BG84" s="37"/>
      <c r="BH84" s="37"/>
      <c r="BI84" s="37"/>
      <c r="BJ84" s="37"/>
      <c r="BK84" s="37"/>
      <c r="BL84" s="37"/>
      <c r="BM84" s="37"/>
      <c r="BN84" s="37"/>
      <c r="BO84" s="37"/>
      <c r="BP84" s="37">
        <v>0</v>
      </c>
      <c r="BQ84" s="37"/>
      <c r="BR84" s="37"/>
      <c r="BS84" s="37"/>
      <c r="BT84" s="37"/>
      <c r="BU84" s="37"/>
      <c r="BV84" s="37"/>
      <c r="BW84" s="37"/>
      <c r="BX84" s="37"/>
      <c r="BY84" s="37"/>
      <c r="BZ84" s="37"/>
      <c r="CA84" s="37"/>
      <c r="CB84" s="37" t="s">
        <v>1124</v>
      </c>
      <c r="CC84" s="37"/>
      <c r="CD84" s="37"/>
      <c r="CE84" s="37"/>
      <c r="CF84" s="37"/>
      <c r="CG84" s="37"/>
      <c r="CH84" s="37"/>
      <c r="CI84" s="37"/>
      <c r="CJ84" s="37"/>
      <c r="CK84" s="37"/>
      <c r="CL84" s="37"/>
      <c r="CM84" s="37"/>
      <c r="CN84" s="37" t="s">
        <v>1124</v>
      </c>
      <c r="CO84" s="37"/>
      <c r="CP84" s="37"/>
      <c r="CQ84" s="37"/>
      <c r="CR84" s="37"/>
      <c r="CS84" s="37"/>
      <c r="CT84" s="37"/>
      <c r="CU84" s="37"/>
      <c r="CV84" s="37"/>
      <c r="CW84" s="37"/>
      <c r="CX84" s="37"/>
      <c r="CY84" s="37"/>
      <c r="CZ84" s="37" t="s">
        <v>1124</v>
      </c>
      <c r="DA84" s="37"/>
      <c r="DB84" s="37"/>
      <c r="DC84" s="37"/>
      <c r="DD84" s="37"/>
      <c r="DE84" s="37"/>
      <c r="DF84" s="37"/>
      <c r="DG84" s="37"/>
      <c r="DH84" s="37"/>
      <c r="DI84" s="37"/>
      <c r="DJ84" s="37"/>
      <c r="DK84" s="37"/>
      <c r="DL84" s="37" t="s">
        <v>1124</v>
      </c>
      <c r="DM84" s="37"/>
      <c r="DN84" s="37"/>
      <c r="DO84" s="37"/>
      <c r="DP84" s="37"/>
      <c r="DQ84" s="37"/>
      <c r="DR84" s="37"/>
      <c r="DS84" s="37"/>
      <c r="DT84" s="37"/>
      <c r="DU84" s="37"/>
      <c r="DV84" s="37"/>
      <c r="DW84" s="37"/>
      <c r="DX84" s="37" t="s">
        <v>1124</v>
      </c>
      <c r="DY84" s="37"/>
      <c r="DZ84" s="37"/>
      <c r="EA84" s="37"/>
      <c r="EB84" s="37"/>
      <c r="EC84" s="37"/>
      <c r="ED84" s="37"/>
      <c r="EE84" s="37"/>
      <c r="EF84" s="37"/>
      <c r="EG84" s="37"/>
      <c r="EH84" s="37"/>
      <c r="EI84" s="37"/>
      <c r="EJ84" s="37" t="s">
        <v>1124</v>
      </c>
      <c r="EK84" s="161"/>
      <c r="EL84" s="294"/>
    </row>
    <row r="85" spans="1:142" ht="15" customHeight="1" x14ac:dyDescent="0.35">
      <c r="A85" s="34"/>
      <c r="B85" s="313">
        <v>41070</v>
      </c>
      <c r="C85" s="8" t="s">
        <v>373</v>
      </c>
      <c r="D85" s="18">
        <v>5</v>
      </c>
      <c r="E85" s="155"/>
      <c r="F85" s="36"/>
      <c r="G85" s="37"/>
      <c r="H85" s="37"/>
      <c r="I85" s="37"/>
      <c r="J85" s="37"/>
      <c r="K85" s="37"/>
      <c r="L85" s="37"/>
      <c r="M85" s="37" t="s">
        <v>1124</v>
      </c>
      <c r="N85" s="37" t="s">
        <v>1124</v>
      </c>
      <c r="O85" s="37"/>
      <c r="P85" s="37"/>
      <c r="Q85" s="37"/>
      <c r="R85" s="37"/>
      <c r="S85" s="37"/>
      <c r="T85" s="37"/>
      <c r="U85" s="37"/>
      <c r="V85" s="37"/>
      <c r="W85" s="37"/>
      <c r="X85" s="37"/>
      <c r="Y85" s="37"/>
      <c r="Z85" s="37"/>
      <c r="AA85" s="37" t="s">
        <v>1124</v>
      </c>
      <c r="AB85" s="37" t="s">
        <v>1124</v>
      </c>
      <c r="AC85" s="37"/>
      <c r="AD85" s="37"/>
      <c r="AE85" s="37"/>
      <c r="AF85" s="168"/>
      <c r="AG85" s="37"/>
      <c r="AH85" s="37"/>
      <c r="AI85" s="37"/>
      <c r="AJ85" s="37"/>
      <c r="AK85" s="37"/>
      <c r="AL85" s="37"/>
      <c r="AM85" s="37"/>
      <c r="AN85" s="37"/>
      <c r="AO85" s="37"/>
      <c r="AP85" s="37"/>
      <c r="AQ85" s="37"/>
      <c r="AR85" s="37" t="s">
        <v>1124</v>
      </c>
      <c r="AS85" s="37"/>
      <c r="AT85" s="37"/>
      <c r="AU85" s="37"/>
      <c r="AV85" s="37"/>
      <c r="AW85" s="37"/>
      <c r="AX85" s="37"/>
      <c r="AY85" s="37"/>
      <c r="AZ85" s="37"/>
      <c r="BA85" s="37"/>
      <c r="BB85" s="37"/>
      <c r="BC85" s="37"/>
      <c r="BD85" s="37" t="s">
        <v>1124</v>
      </c>
      <c r="BE85" s="37"/>
      <c r="BF85" s="37"/>
      <c r="BG85" s="37"/>
      <c r="BH85" s="37"/>
      <c r="BI85" s="37"/>
      <c r="BJ85" s="37"/>
      <c r="BK85" s="37"/>
      <c r="BL85" s="37"/>
      <c r="BM85" s="37"/>
      <c r="BN85" s="37"/>
      <c r="BO85" s="37"/>
      <c r="BP85" s="37">
        <v>0</v>
      </c>
      <c r="BQ85" s="37"/>
      <c r="BR85" s="37"/>
      <c r="BS85" s="37"/>
      <c r="BT85" s="37"/>
      <c r="BU85" s="37"/>
      <c r="BV85" s="37"/>
      <c r="BW85" s="37"/>
      <c r="BX85" s="37"/>
      <c r="BY85" s="37"/>
      <c r="BZ85" s="37"/>
      <c r="CA85" s="37"/>
      <c r="CB85" s="37" t="s">
        <v>1124</v>
      </c>
      <c r="CC85" s="37"/>
      <c r="CD85" s="37"/>
      <c r="CE85" s="37"/>
      <c r="CF85" s="37"/>
      <c r="CG85" s="37"/>
      <c r="CH85" s="37"/>
      <c r="CI85" s="37"/>
      <c r="CJ85" s="37"/>
      <c r="CK85" s="37"/>
      <c r="CL85" s="37"/>
      <c r="CM85" s="37"/>
      <c r="CN85" s="37" t="s">
        <v>1124</v>
      </c>
      <c r="CO85" s="37"/>
      <c r="CP85" s="37"/>
      <c r="CQ85" s="37"/>
      <c r="CR85" s="37"/>
      <c r="CS85" s="37"/>
      <c r="CT85" s="37"/>
      <c r="CU85" s="37"/>
      <c r="CV85" s="37"/>
      <c r="CW85" s="37"/>
      <c r="CX85" s="37"/>
      <c r="CY85" s="37"/>
      <c r="CZ85" s="37" t="s">
        <v>1124</v>
      </c>
      <c r="DA85" s="37"/>
      <c r="DB85" s="37"/>
      <c r="DC85" s="37"/>
      <c r="DD85" s="37"/>
      <c r="DE85" s="37"/>
      <c r="DF85" s="37"/>
      <c r="DG85" s="37"/>
      <c r="DH85" s="37"/>
      <c r="DI85" s="37"/>
      <c r="DJ85" s="37"/>
      <c r="DK85" s="37"/>
      <c r="DL85" s="37" t="s">
        <v>1124</v>
      </c>
      <c r="DM85" s="37"/>
      <c r="DN85" s="37"/>
      <c r="DO85" s="37"/>
      <c r="DP85" s="37"/>
      <c r="DQ85" s="37"/>
      <c r="DR85" s="37"/>
      <c r="DS85" s="37"/>
      <c r="DT85" s="37"/>
      <c r="DU85" s="37"/>
      <c r="DV85" s="37"/>
      <c r="DW85" s="37"/>
      <c r="DX85" s="37" t="s">
        <v>1124</v>
      </c>
      <c r="DY85" s="37"/>
      <c r="DZ85" s="37"/>
      <c r="EA85" s="37"/>
      <c r="EB85" s="37"/>
      <c r="EC85" s="37"/>
      <c r="ED85" s="37"/>
      <c r="EE85" s="37"/>
      <c r="EF85" s="37"/>
      <c r="EG85" s="37"/>
      <c r="EH85" s="37"/>
      <c r="EI85" s="37"/>
      <c r="EJ85" s="37" t="s">
        <v>1124</v>
      </c>
      <c r="EK85" s="161"/>
      <c r="EL85" s="294"/>
    </row>
    <row r="86" spans="1:142" ht="15" customHeight="1" x14ac:dyDescent="0.35">
      <c r="A86" s="34"/>
      <c r="B86" s="313">
        <v>12057</v>
      </c>
      <c r="C86" s="8" t="s">
        <v>37</v>
      </c>
      <c r="D86" s="18">
        <v>1</v>
      </c>
      <c r="E86" s="155">
        <v>30688</v>
      </c>
      <c r="F86" s="36">
        <v>62929</v>
      </c>
      <c r="G86" s="37">
        <v>0</v>
      </c>
      <c r="H86" s="37">
        <v>61800</v>
      </c>
      <c r="I86" s="37">
        <v>0</v>
      </c>
      <c r="J86" s="37">
        <v>416192</v>
      </c>
      <c r="K86" s="37">
        <v>4603</v>
      </c>
      <c r="L86" s="37">
        <v>9439</v>
      </c>
      <c r="M86" s="37">
        <v>35291</v>
      </c>
      <c r="N86" s="37">
        <v>550360</v>
      </c>
      <c r="O86" s="37">
        <v>10080</v>
      </c>
      <c r="P86" s="37">
        <v>0</v>
      </c>
      <c r="Q86" s="37">
        <v>40774</v>
      </c>
      <c r="R86" s="37">
        <v>81426</v>
      </c>
      <c r="S86" s="37">
        <v>4915</v>
      </c>
      <c r="T86" s="37">
        <v>0</v>
      </c>
      <c r="U86" s="37">
        <v>245310</v>
      </c>
      <c r="V86" s="37">
        <v>387452</v>
      </c>
      <c r="W86" s="37">
        <v>0</v>
      </c>
      <c r="X86" s="37">
        <v>0</v>
      </c>
      <c r="Y86" s="37">
        <v>0</v>
      </c>
      <c r="Z86" s="37">
        <v>0</v>
      </c>
      <c r="AA86" s="37">
        <v>301079</v>
      </c>
      <c r="AB86" s="37">
        <v>468878</v>
      </c>
      <c r="AC86" s="37">
        <v>184306</v>
      </c>
      <c r="AD86" s="37">
        <v>0</v>
      </c>
      <c r="AE86" s="37">
        <v>0</v>
      </c>
      <c r="AF86" s="168">
        <v>0.02</v>
      </c>
      <c r="AG86" s="37">
        <v>34528028.969999999</v>
      </c>
      <c r="AH86" s="37">
        <v>361577.44</v>
      </c>
      <c r="AI86" s="37">
        <v>368808.98</v>
      </c>
      <c r="AJ86" s="37">
        <v>376185.16</v>
      </c>
      <c r="AK86" s="37">
        <v>383708.87</v>
      </c>
      <c r="AL86" s="37">
        <v>391383.03999999998</v>
      </c>
      <c r="AM86" s="37">
        <v>399210.71</v>
      </c>
      <c r="AN86" s="37">
        <v>407194.92</v>
      </c>
      <c r="AO86" s="37">
        <v>415338.82</v>
      </c>
      <c r="AP86" s="37">
        <v>423645.59</v>
      </c>
      <c r="AQ86" s="37">
        <v>432118.51</v>
      </c>
      <c r="AR86" s="37">
        <v>3959172.0400000005</v>
      </c>
      <c r="AS86" s="37">
        <v>0</v>
      </c>
      <c r="AT86" s="37">
        <v>12750</v>
      </c>
      <c r="AU86" s="37">
        <v>13005</v>
      </c>
      <c r="AV86" s="37">
        <v>0</v>
      </c>
      <c r="AW86" s="37">
        <v>0</v>
      </c>
      <c r="AX86" s="37">
        <v>0</v>
      </c>
      <c r="AY86" s="37">
        <v>0</v>
      </c>
      <c r="AZ86" s="37">
        <v>0</v>
      </c>
      <c r="BA86" s="37">
        <v>0</v>
      </c>
      <c r="BB86" s="37">
        <v>0</v>
      </c>
      <c r="BC86" s="37">
        <v>0</v>
      </c>
      <c r="BD86" s="37">
        <v>25755</v>
      </c>
      <c r="BE86" s="37">
        <v>0</v>
      </c>
      <c r="BF86" s="37">
        <v>0</v>
      </c>
      <c r="BG86" s="37">
        <v>19000</v>
      </c>
      <c r="BH86" s="37">
        <v>0</v>
      </c>
      <c r="BI86" s="37">
        <v>0</v>
      </c>
      <c r="BJ86" s="37">
        <v>0</v>
      </c>
      <c r="BK86" s="37">
        <v>0</v>
      </c>
      <c r="BL86" s="37">
        <v>0</v>
      </c>
      <c r="BM86" s="37">
        <v>0</v>
      </c>
      <c r="BN86" s="37">
        <v>0</v>
      </c>
      <c r="BO86" s="37">
        <v>0</v>
      </c>
      <c r="BP86" s="37">
        <v>19000</v>
      </c>
      <c r="BQ86" s="37">
        <v>0</v>
      </c>
      <c r="BR86" s="37">
        <v>0</v>
      </c>
      <c r="BS86" s="37">
        <v>0</v>
      </c>
      <c r="BT86" s="37">
        <v>0</v>
      </c>
      <c r="BU86" s="37">
        <v>0</v>
      </c>
      <c r="BV86" s="37">
        <v>0</v>
      </c>
      <c r="BW86" s="37">
        <v>0</v>
      </c>
      <c r="BX86" s="37">
        <v>0</v>
      </c>
      <c r="BY86" s="37">
        <v>0</v>
      </c>
      <c r="BZ86" s="37">
        <v>0</v>
      </c>
      <c r="CA86" s="37">
        <v>0</v>
      </c>
      <c r="CB86" s="37">
        <v>0</v>
      </c>
      <c r="CC86" s="37">
        <v>0</v>
      </c>
      <c r="CD86" s="37">
        <v>0</v>
      </c>
      <c r="CE86" s="37">
        <v>25000</v>
      </c>
      <c r="CF86" s="37">
        <v>0</v>
      </c>
      <c r="CG86" s="37">
        <v>0</v>
      </c>
      <c r="CH86" s="37">
        <v>0</v>
      </c>
      <c r="CI86" s="37">
        <v>0</v>
      </c>
      <c r="CJ86" s="37">
        <v>0</v>
      </c>
      <c r="CK86" s="37">
        <v>0</v>
      </c>
      <c r="CL86" s="37">
        <v>0</v>
      </c>
      <c r="CM86" s="37">
        <v>0</v>
      </c>
      <c r="CN86" s="37">
        <v>25000</v>
      </c>
      <c r="CO86" s="37">
        <v>0</v>
      </c>
      <c r="CP86" s="37">
        <v>0</v>
      </c>
      <c r="CQ86" s="37">
        <v>0</v>
      </c>
      <c r="CR86" s="37">
        <v>0</v>
      </c>
      <c r="CS86" s="37">
        <v>0</v>
      </c>
      <c r="CT86" s="37">
        <v>0</v>
      </c>
      <c r="CU86" s="37">
        <v>0</v>
      </c>
      <c r="CV86" s="37">
        <v>0</v>
      </c>
      <c r="CW86" s="37">
        <v>0</v>
      </c>
      <c r="CX86" s="37">
        <v>0</v>
      </c>
      <c r="CY86" s="37">
        <v>0</v>
      </c>
      <c r="CZ86" s="37">
        <v>0</v>
      </c>
      <c r="DA86" s="37">
        <v>0</v>
      </c>
      <c r="DB86" s="37">
        <v>0</v>
      </c>
      <c r="DC86" s="37">
        <v>0</v>
      </c>
      <c r="DD86" s="37">
        <v>0</v>
      </c>
      <c r="DE86" s="37">
        <v>0</v>
      </c>
      <c r="DF86" s="37">
        <v>0</v>
      </c>
      <c r="DG86" s="37">
        <v>0</v>
      </c>
      <c r="DH86" s="37">
        <v>0</v>
      </c>
      <c r="DI86" s="37">
        <v>0</v>
      </c>
      <c r="DJ86" s="37">
        <v>0</v>
      </c>
      <c r="DK86" s="37">
        <v>0</v>
      </c>
      <c r="DL86" s="37">
        <v>0</v>
      </c>
      <c r="DM86" s="37">
        <v>0</v>
      </c>
      <c r="DN86" s="37">
        <v>0</v>
      </c>
      <c r="DO86" s="37">
        <v>0</v>
      </c>
      <c r="DP86" s="37">
        <v>0</v>
      </c>
      <c r="DQ86" s="37">
        <v>0</v>
      </c>
      <c r="DR86" s="37">
        <v>0</v>
      </c>
      <c r="DS86" s="37">
        <v>0</v>
      </c>
      <c r="DT86" s="37">
        <v>0</v>
      </c>
      <c r="DU86" s="37">
        <v>0</v>
      </c>
      <c r="DV86" s="37">
        <v>0</v>
      </c>
      <c r="DW86" s="37">
        <v>0</v>
      </c>
      <c r="DX86" s="37">
        <v>0</v>
      </c>
      <c r="DY86" s="37">
        <v>0</v>
      </c>
      <c r="DZ86" s="37">
        <v>0</v>
      </c>
      <c r="EA86" s="37">
        <v>0</v>
      </c>
      <c r="EB86" s="37">
        <v>0</v>
      </c>
      <c r="EC86" s="37">
        <v>0</v>
      </c>
      <c r="ED86" s="37">
        <v>0</v>
      </c>
      <c r="EE86" s="37">
        <v>0</v>
      </c>
      <c r="EF86" s="37">
        <v>0</v>
      </c>
      <c r="EG86" s="37">
        <v>0</v>
      </c>
      <c r="EH86" s="37">
        <v>0</v>
      </c>
      <c r="EI86" s="37">
        <v>0</v>
      </c>
      <c r="EJ86" s="37">
        <v>0</v>
      </c>
      <c r="EK86" s="161" t="s">
        <v>1541</v>
      </c>
      <c r="EL86" s="294" t="s">
        <v>1124</v>
      </c>
    </row>
    <row r="87" spans="1:142" ht="15" customHeight="1" x14ac:dyDescent="0.35">
      <c r="A87" s="34"/>
      <c r="B87" s="313">
        <v>59030</v>
      </c>
      <c r="C87" s="8" t="s">
        <v>603</v>
      </c>
      <c r="D87" s="18">
        <v>16</v>
      </c>
      <c r="E87" s="155">
        <v>55810</v>
      </c>
      <c r="F87" s="36">
        <v>12708</v>
      </c>
      <c r="G87" s="37">
        <v>0</v>
      </c>
      <c r="H87" s="37">
        <v>0</v>
      </c>
      <c r="I87" s="37">
        <v>0</v>
      </c>
      <c r="J87" s="37">
        <v>0</v>
      </c>
      <c r="K87" s="37">
        <v>8371.5</v>
      </c>
      <c r="L87" s="37">
        <v>1906.2</v>
      </c>
      <c r="M87" s="37">
        <v>64181.5</v>
      </c>
      <c r="N87" s="37">
        <v>14614.2</v>
      </c>
      <c r="O87" s="37">
        <v>0</v>
      </c>
      <c r="P87" s="37">
        <v>0</v>
      </c>
      <c r="Q87" s="37">
        <v>52224</v>
      </c>
      <c r="R87" s="37">
        <v>0</v>
      </c>
      <c r="S87" s="37">
        <v>2075</v>
      </c>
      <c r="T87" s="37">
        <v>0</v>
      </c>
      <c r="U87" s="37">
        <v>0</v>
      </c>
      <c r="V87" s="37">
        <v>0</v>
      </c>
      <c r="W87" s="37">
        <v>41200</v>
      </c>
      <c r="X87" s="37">
        <v>0</v>
      </c>
      <c r="Y87" s="37">
        <v>0</v>
      </c>
      <c r="Z87" s="37">
        <v>0</v>
      </c>
      <c r="AA87" s="37">
        <v>95499</v>
      </c>
      <c r="AB87" s="37">
        <v>0</v>
      </c>
      <c r="AC87" s="37">
        <v>16703</v>
      </c>
      <c r="AD87" s="37">
        <v>0</v>
      </c>
      <c r="AE87" s="37">
        <v>0</v>
      </c>
      <c r="AF87" s="168">
        <v>0.02</v>
      </c>
      <c r="AG87" s="37">
        <v>3442832.71</v>
      </c>
      <c r="AH87" s="37">
        <v>32499.33</v>
      </c>
      <c r="AI87" s="37">
        <v>33149.32</v>
      </c>
      <c r="AJ87" s="37">
        <v>33812.300000000003</v>
      </c>
      <c r="AK87" s="37">
        <v>34488.550000000003</v>
      </c>
      <c r="AL87" s="37">
        <v>35178.32</v>
      </c>
      <c r="AM87" s="37">
        <v>35881.879999999997</v>
      </c>
      <c r="AN87" s="37">
        <v>36599.519999999997</v>
      </c>
      <c r="AO87" s="37">
        <v>37331.51</v>
      </c>
      <c r="AP87" s="37">
        <v>38078.14</v>
      </c>
      <c r="AQ87" s="37">
        <v>38839.71</v>
      </c>
      <c r="AR87" s="37">
        <v>355858.58</v>
      </c>
      <c r="AS87" s="37">
        <v>0</v>
      </c>
      <c r="AT87" s="37">
        <v>0</v>
      </c>
      <c r="AU87" s="37">
        <v>0</v>
      </c>
      <c r="AV87" s="37">
        <v>0</v>
      </c>
      <c r="AW87" s="37">
        <v>0</v>
      </c>
      <c r="AX87" s="37">
        <v>0</v>
      </c>
      <c r="AY87" s="37">
        <v>0</v>
      </c>
      <c r="AZ87" s="37">
        <v>0</v>
      </c>
      <c r="BA87" s="37">
        <v>0</v>
      </c>
      <c r="BB87" s="37">
        <v>0</v>
      </c>
      <c r="BC87" s="37">
        <v>0</v>
      </c>
      <c r="BD87" s="37">
        <v>0</v>
      </c>
      <c r="BE87" s="37">
        <v>0</v>
      </c>
      <c r="BF87" s="37">
        <v>0</v>
      </c>
      <c r="BG87" s="37">
        <v>0</v>
      </c>
      <c r="BH87" s="37">
        <v>0</v>
      </c>
      <c r="BI87" s="37">
        <v>0</v>
      </c>
      <c r="BJ87" s="37">
        <v>0</v>
      </c>
      <c r="BK87" s="37">
        <v>0</v>
      </c>
      <c r="BL87" s="37">
        <v>0</v>
      </c>
      <c r="BM87" s="37">
        <v>0</v>
      </c>
      <c r="BN87" s="37">
        <v>0</v>
      </c>
      <c r="BO87" s="37">
        <v>0</v>
      </c>
      <c r="BP87" s="37">
        <v>0</v>
      </c>
      <c r="BQ87" s="37">
        <v>0</v>
      </c>
      <c r="BR87" s="37">
        <v>0</v>
      </c>
      <c r="BS87" s="37">
        <v>0</v>
      </c>
      <c r="BT87" s="37">
        <v>0</v>
      </c>
      <c r="BU87" s="37">
        <v>0</v>
      </c>
      <c r="BV87" s="37">
        <v>0</v>
      </c>
      <c r="BW87" s="37">
        <v>0</v>
      </c>
      <c r="BX87" s="37">
        <v>0</v>
      </c>
      <c r="BY87" s="37">
        <v>0</v>
      </c>
      <c r="BZ87" s="37">
        <v>0</v>
      </c>
      <c r="CA87" s="37">
        <v>0</v>
      </c>
      <c r="CB87" s="37">
        <v>0</v>
      </c>
      <c r="CC87" s="37">
        <v>0</v>
      </c>
      <c r="CD87" s="37">
        <v>0</v>
      </c>
      <c r="CE87" s="37">
        <v>0</v>
      </c>
      <c r="CF87" s="37">
        <v>0</v>
      </c>
      <c r="CG87" s="37">
        <v>0</v>
      </c>
      <c r="CH87" s="37">
        <v>0</v>
      </c>
      <c r="CI87" s="37">
        <v>0</v>
      </c>
      <c r="CJ87" s="37">
        <v>0</v>
      </c>
      <c r="CK87" s="37">
        <v>0</v>
      </c>
      <c r="CL87" s="37">
        <v>0</v>
      </c>
      <c r="CM87" s="37">
        <v>0</v>
      </c>
      <c r="CN87" s="37">
        <v>0</v>
      </c>
      <c r="CO87" s="37">
        <v>0</v>
      </c>
      <c r="CP87" s="37">
        <v>0</v>
      </c>
      <c r="CQ87" s="37">
        <v>0</v>
      </c>
      <c r="CR87" s="37">
        <v>0</v>
      </c>
      <c r="CS87" s="37">
        <v>0</v>
      </c>
      <c r="CT87" s="37">
        <v>0</v>
      </c>
      <c r="CU87" s="37">
        <v>0</v>
      </c>
      <c r="CV87" s="37">
        <v>0</v>
      </c>
      <c r="CW87" s="37">
        <v>0</v>
      </c>
      <c r="CX87" s="37">
        <v>0</v>
      </c>
      <c r="CY87" s="37">
        <v>0</v>
      </c>
      <c r="CZ87" s="37">
        <v>0</v>
      </c>
      <c r="DA87" s="37">
        <v>0</v>
      </c>
      <c r="DB87" s="37">
        <v>0</v>
      </c>
      <c r="DC87" s="37">
        <v>0</v>
      </c>
      <c r="DD87" s="37">
        <v>0</v>
      </c>
      <c r="DE87" s="37">
        <v>0</v>
      </c>
      <c r="DF87" s="37">
        <v>0</v>
      </c>
      <c r="DG87" s="37">
        <v>0</v>
      </c>
      <c r="DH87" s="37">
        <v>0</v>
      </c>
      <c r="DI87" s="37">
        <v>0</v>
      </c>
      <c r="DJ87" s="37">
        <v>0</v>
      </c>
      <c r="DK87" s="37">
        <v>0</v>
      </c>
      <c r="DL87" s="37">
        <v>0</v>
      </c>
      <c r="DM87" s="37">
        <v>0</v>
      </c>
      <c r="DN87" s="37">
        <v>0</v>
      </c>
      <c r="DO87" s="37">
        <v>0</v>
      </c>
      <c r="DP87" s="37">
        <v>0</v>
      </c>
      <c r="DQ87" s="37">
        <v>0</v>
      </c>
      <c r="DR87" s="37">
        <v>0</v>
      </c>
      <c r="DS87" s="37">
        <v>0</v>
      </c>
      <c r="DT87" s="37">
        <v>0</v>
      </c>
      <c r="DU87" s="37">
        <v>0</v>
      </c>
      <c r="DV87" s="37">
        <v>0</v>
      </c>
      <c r="DW87" s="37">
        <v>0</v>
      </c>
      <c r="DX87" s="37">
        <v>0</v>
      </c>
      <c r="DY87" s="37">
        <v>0</v>
      </c>
      <c r="DZ87" s="37">
        <v>0</v>
      </c>
      <c r="EA87" s="37">
        <v>0</v>
      </c>
      <c r="EB87" s="37">
        <v>0</v>
      </c>
      <c r="EC87" s="37">
        <v>0</v>
      </c>
      <c r="ED87" s="37">
        <v>0</v>
      </c>
      <c r="EE87" s="37">
        <v>0</v>
      </c>
      <c r="EF87" s="37">
        <v>0</v>
      </c>
      <c r="EG87" s="37">
        <v>0</v>
      </c>
      <c r="EH87" s="37">
        <v>0</v>
      </c>
      <c r="EI87" s="37">
        <v>0</v>
      </c>
      <c r="EJ87" s="37">
        <v>0</v>
      </c>
      <c r="EK87" s="161" t="s">
        <v>1543</v>
      </c>
      <c r="EL87" s="294" t="s">
        <v>1124</v>
      </c>
    </row>
    <row r="88" spans="1:142" ht="15" customHeight="1" x14ac:dyDescent="0.35">
      <c r="A88" s="34"/>
      <c r="B88" s="313">
        <v>84030</v>
      </c>
      <c r="C88" s="8" t="s">
        <v>857</v>
      </c>
      <c r="D88" s="18">
        <v>7</v>
      </c>
      <c r="E88" s="155"/>
      <c r="F88" s="36"/>
      <c r="G88" s="37"/>
      <c r="H88" s="37"/>
      <c r="I88" s="37"/>
      <c r="J88" s="37"/>
      <c r="K88" s="37"/>
      <c r="L88" s="37"/>
      <c r="M88" s="37" t="s">
        <v>1124</v>
      </c>
      <c r="N88" s="37" t="s">
        <v>1124</v>
      </c>
      <c r="O88" s="37"/>
      <c r="P88" s="37"/>
      <c r="Q88" s="37"/>
      <c r="R88" s="37"/>
      <c r="S88" s="37"/>
      <c r="T88" s="37"/>
      <c r="U88" s="37"/>
      <c r="V88" s="37"/>
      <c r="W88" s="37"/>
      <c r="X88" s="37"/>
      <c r="Y88" s="37"/>
      <c r="Z88" s="37"/>
      <c r="AA88" s="37" t="s">
        <v>1124</v>
      </c>
      <c r="AB88" s="37" t="s">
        <v>1124</v>
      </c>
      <c r="AC88" s="37"/>
      <c r="AD88" s="37"/>
      <c r="AE88" s="37"/>
      <c r="AF88" s="168"/>
      <c r="AG88" s="37"/>
      <c r="AH88" s="37"/>
      <c r="AI88" s="37"/>
      <c r="AJ88" s="37"/>
      <c r="AK88" s="37"/>
      <c r="AL88" s="37"/>
      <c r="AM88" s="37"/>
      <c r="AN88" s="37"/>
      <c r="AO88" s="37"/>
      <c r="AP88" s="37"/>
      <c r="AQ88" s="37"/>
      <c r="AR88" s="37" t="s">
        <v>1124</v>
      </c>
      <c r="AS88" s="37"/>
      <c r="AT88" s="37"/>
      <c r="AU88" s="37"/>
      <c r="AV88" s="37"/>
      <c r="AW88" s="37"/>
      <c r="AX88" s="37"/>
      <c r="AY88" s="37"/>
      <c r="AZ88" s="37"/>
      <c r="BA88" s="37"/>
      <c r="BB88" s="37"/>
      <c r="BC88" s="37"/>
      <c r="BD88" s="37" t="s">
        <v>1124</v>
      </c>
      <c r="BE88" s="37"/>
      <c r="BF88" s="37"/>
      <c r="BG88" s="37"/>
      <c r="BH88" s="37"/>
      <c r="BI88" s="37"/>
      <c r="BJ88" s="37"/>
      <c r="BK88" s="37"/>
      <c r="BL88" s="37"/>
      <c r="BM88" s="37"/>
      <c r="BN88" s="37"/>
      <c r="BO88" s="37"/>
      <c r="BP88" s="37">
        <v>0</v>
      </c>
      <c r="BQ88" s="37"/>
      <c r="BR88" s="37"/>
      <c r="BS88" s="37"/>
      <c r="BT88" s="37"/>
      <c r="BU88" s="37"/>
      <c r="BV88" s="37"/>
      <c r="BW88" s="37"/>
      <c r="BX88" s="37"/>
      <c r="BY88" s="37"/>
      <c r="BZ88" s="37"/>
      <c r="CA88" s="37"/>
      <c r="CB88" s="37" t="s">
        <v>1124</v>
      </c>
      <c r="CC88" s="37"/>
      <c r="CD88" s="37"/>
      <c r="CE88" s="37"/>
      <c r="CF88" s="37"/>
      <c r="CG88" s="37"/>
      <c r="CH88" s="37"/>
      <c r="CI88" s="37"/>
      <c r="CJ88" s="37"/>
      <c r="CK88" s="37"/>
      <c r="CL88" s="37"/>
      <c r="CM88" s="37"/>
      <c r="CN88" s="37" t="s">
        <v>1124</v>
      </c>
      <c r="CO88" s="37"/>
      <c r="CP88" s="37"/>
      <c r="CQ88" s="37"/>
      <c r="CR88" s="37"/>
      <c r="CS88" s="37"/>
      <c r="CT88" s="37"/>
      <c r="CU88" s="37"/>
      <c r="CV88" s="37"/>
      <c r="CW88" s="37"/>
      <c r="CX88" s="37"/>
      <c r="CY88" s="37"/>
      <c r="CZ88" s="37" t="s">
        <v>1124</v>
      </c>
      <c r="DA88" s="37"/>
      <c r="DB88" s="37"/>
      <c r="DC88" s="37"/>
      <c r="DD88" s="37"/>
      <c r="DE88" s="37"/>
      <c r="DF88" s="37"/>
      <c r="DG88" s="37"/>
      <c r="DH88" s="37"/>
      <c r="DI88" s="37"/>
      <c r="DJ88" s="37"/>
      <c r="DK88" s="37"/>
      <c r="DL88" s="37" t="s">
        <v>1124</v>
      </c>
      <c r="DM88" s="37"/>
      <c r="DN88" s="37"/>
      <c r="DO88" s="37"/>
      <c r="DP88" s="37"/>
      <c r="DQ88" s="37"/>
      <c r="DR88" s="37"/>
      <c r="DS88" s="37"/>
      <c r="DT88" s="37"/>
      <c r="DU88" s="37"/>
      <c r="DV88" s="37"/>
      <c r="DW88" s="37"/>
      <c r="DX88" s="37" t="s">
        <v>1124</v>
      </c>
      <c r="DY88" s="37"/>
      <c r="DZ88" s="37"/>
      <c r="EA88" s="37"/>
      <c r="EB88" s="37"/>
      <c r="EC88" s="37"/>
      <c r="ED88" s="37"/>
      <c r="EE88" s="37"/>
      <c r="EF88" s="37"/>
      <c r="EG88" s="37"/>
      <c r="EH88" s="37"/>
      <c r="EI88" s="37"/>
      <c r="EJ88" s="37" t="s">
        <v>1124</v>
      </c>
      <c r="EK88" s="161"/>
      <c r="EL88" s="294"/>
    </row>
    <row r="89" spans="1:142" ht="15" customHeight="1" x14ac:dyDescent="0.35">
      <c r="A89" s="34"/>
      <c r="B89" s="313">
        <v>67020</v>
      </c>
      <c r="C89" s="8" t="s">
        <v>665</v>
      </c>
      <c r="D89" s="18">
        <v>16</v>
      </c>
      <c r="E89" s="155"/>
      <c r="F89" s="36"/>
      <c r="G89" s="37"/>
      <c r="H89" s="37"/>
      <c r="I89" s="37"/>
      <c r="J89" s="37"/>
      <c r="K89" s="37"/>
      <c r="L89" s="37"/>
      <c r="M89" s="37" t="s">
        <v>1124</v>
      </c>
      <c r="N89" s="37" t="s">
        <v>1124</v>
      </c>
      <c r="O89" s="37"/>
      <c r="P89" s="37"/>
      <c r="Q89" s="37"/>
      <c r="R89" s="37"/>
      <c r="S89" s="37"/>
      <c r="T89" s="37"/>
      <c r="U89" s="37"/>
      <c r="V89" s="37"/>
      <c r="W89" s="37"/>
      <c r="X89" s="37"/>
      <c r="Y89" s="37"/>
      <c r="Z89" s="37"/>
      <c r="AA89" s="37" t="s">
        <v>1124</v>
      </c>
      <c r="AB89" s="37" t="s">
        <v>1124</v>
      </c>
      <c r="AC89" s="37"/>
      <c r="AD89" s="37"/>
      <c r="AE89" s="37"/>
      <c r="AF89" s="168"/>
      <c r="AG89" s="37"/>
      <c r="AH89" s="37"/>
      <c r="AI89" s="37"/>
      <c r="AJ89" s="37"/>
      <c r="AK89" s="37"/>
      <c r="AL89" s="37"/>
      <c r="AM89" s="37"/>
      <c r="AN89" s="37"/>
      <c r="AO89" s="37"/>
      <c r="AP89" s="37"/>
      <c r="AQ89" s="37"/>
      <c r="AR89" s="37" t="s">
        <v>1124</v>
      </c>
      <c r="AS89" s="37"/>
      <c r="AT89" s="37"/>
      <c r="AU89" s="37"/>
      <c r="AV89" s="37"/>
      <c r="AW89" s="37"/>
      <c r="AX89" s="37"/>
      <c r="AY89" s="37"/>
      <c r="AZ89" s="37"/>
      <c r="BA89" s="37"/>
      <c r="BB89" s="37"/>
      <c r="BC89" s="37"/>
      <c r="BD89" s="37" t="s">
        <v>1124</v>
      </c>
      <c r="BE89" s="37"/>
      <c r="BF89" s="37"/>
      <c r="BG89" s="37"/>
      <c r="BH89" s="37"/>
      <c r="BI89" s="37"/>
      <c r="BJ89" s="37"/>
      <c r="BK89" s="37"/>
      <c r="BL89" s="37"/>
      <c r="BM89" s="37"/>
      <c r="BN89" s="37"/>
      <c r="BO89" s="37"/>
      <c r="BP89" s="37">
        <v>0</v>
      </c>
      <c r="BQ89" s="37"/>
      <c r="BR89" s="37"/>
      <c r="BS89" s="37"/>
      <c r="BT89" s="37"/>
      <c r="BU89" s="37"/>
      <c r="BV89" s="37"/>
      <c r="BW89" s="37"/>
      <c r="BX89" s="37"/>
      <c r="BY89" s="37"/>
      <c r="BZ89" s="37"/>
      <c r="CA89" s="37"/>
      <c r="CB89" s="37" t="s">
        <v>1124</v>
      </c>
      <c r="CC89" s="37"/>
      <c r="CD89" s="37"/>
      <c r="CE89" s="37"/>
      <c r="CF89" s="37"/>
      <c r="CG89" s="37"/>
      <c r="CH89" s="37"/>
      <c r="CI89" s="37"/>
      <c r="CJ89" s="37"/>
      <c r="CK89" s="37"/>
      <c r="CL89" s="37"/>
      <c r="CM89" s="37"/>
      <c r="CN89" s="37" t="s">
        <v>1124</v>
      </c>
      <c r="CO89" s="37"/>
      <c r="CP89" s="37"/>
      <c r="CQ89" s="37"/>
      <c r="CR89" s="37"/>
      <c r="CS89" s="37"/>
      <c r="CT89" s="37"/>
      <c r="CU89" s="37"/>
      <c r="CV89" s="37"/>
      <c r="CW89" s="37"/>
      <c r="CX89" s="37"/>
      <c r="CY89" s="37"/>
      <c r="CZ89" s="37" t="s">
        <v>1124</v>
      </c>
      <c r="DA89" s="37"/>
      <c r="DB89" s="37"/>
      <c r="DC89" s="37"/>
      <c r="DD89" s="37"/>
      <c r="DE89" s="37"/>
      <c r="DF89" s="37"/>
      <c r="DG89" s="37"/>
      <c r="DH89" s="37"/>
      <c r="DI89" s="37"/>
      <c r="DJ89" s="37"/>
      <c r="DK89" s="37"/>
      <c r="DL89" s="37" t="s">
        <v>1124</v>
      </c>
      <c r="DM89" s="37"/>
      <c r="DN89" s="37"/>
      <c r="DO89" s="37"/>
      <c r="DP89" s="37"/>
      <c r="DQ89" s="37"/>
      <c r="DR89" s="37"/>
      <c r="DS89" s="37"/>
      <c r="DT89" s="37"/>
      <c r="DU89" s="37"/>
      <c r="DV89" s="37"/>
      <c r="DW89" s="37"/>
      <c r="DX89" s="37" t="s">
        <v>1124</v>
      </c>
      <c r="DY89" s="37"/>
      <c r="DZ89" s="37"/>
      <c r="EA89" s="37"/>
      <c r="EB89" s="37"/>
      <c r="EC89" s="37"/>
      <c r="ED89" s="37"/>
      <c r="EE89" s="37"/>
      <c r="EF89" s="37"/>
      <c r="EG89" s="37"/>
      <c r="EH89" s="37"/>
      <c r="EI89" s="37"/>
      <c r="EJ89" s="37" t="s">
        <v>1124</v>
      </c>
      <c r="EK89" s="161"/>
      <c r="EL89" s="294"/>
    </row>
    <row r="90" spans="1:142" ht="15" customHeight="1" x14ac:dyDescent="0.35">
      <c r="A90" s="34"/>
      <c r="B90" s="313">
        <v>82020</v>
      </c>
      <c r="C90" s="8" t="s">
        <v>831</v>
      </c>
      <c r="D90" s="18">
        <v>7</v>
      </c>
      <c r="E90" s="155"/>
      <c r="F90" s="36"/>
      <c r="G90" s="37"/>
      <c r="H90" s="37"/>
      <c r="I90" s="37"/>
      <c r="J90" s="37"/>
      <c r="K90" s="37"/>
      <c r="L90" s="37"/>
      <c r="M90" s="37" t="s">
        <v>1124</v>
      </c>
      <c r="N90" s="37" t="s">
        <v>1124</v>
      </c>
      <c r="O90" s="37"/>
      <c r="P90" s="37"/>
      <c r="Q90" s="37"/>
      <c r="R90" s="37"/>
      <c r="S90" s="37"/>
      <c r="T90" s="37"/>
      <c r="U90" s="37"/>
      <c r="V90" s="37"/>
      <c r="W90" s="37"/>
      <c r="X90" s="37"/>
      <c r="Y90" s="37"/>
      <c r="Z90" s="37"/>
      <c r="AA90" s="37" t="s">
        <v>1124</v>
      </c>
      <c r="AB90" s="37" t="s">
        <v>1124</v>
      </c>
      <c r="AC90" s="37"/>
      <c r="AD90" s="37"/>
      <c r="AE90" s="37"/>
      <c r="AF90" s="168"/>
      <c r="AG90" s="37"/>
      <c r="AH90" s="37"/>
      <c r="AI90" s="37"/>
      <c r="AJ90" s="37"/>
      <c r="AK90" s="37"/>
      <c r="AL90" s="37"/>
      <c r="AM90" s="37"/>
      <c r="AN90" s="37"/>
      <c r="AO90" s="37"/>
      <c r="AP90" s="37"/>
      <c r="AQ90" s="37"/>
      <c r="AR90" s="37" t="s">
        <v>1124</v>
      </c>
      <c r="AS90" s="37"/>
      <c r="AT90" s="37"/>
      <c r="AU90" s="37"/>
      <c r="AV90" s="37"/>
      <c r="AW90" s="37"/>
      <c r="AX90" s="37"/>
      <c r="AY90" s="37"/>
      <c r="AZ90" s="37"/>
      <c r="BA90" s="37"/>
      <c r="BB90" s="37"/>
      <c r="BC90" s="37"/>
      <c r="BD90" s="37" t="s">
        <v>1124</v>
      </c>
      <c r="BE90" s="37"/>
      <c r="BF90" s="37"/>
      <c r="BG90" s="37"/>
      <c r="BH90" s="37"/>
      <c r="BI90" s="37"/>
      <c r="BJ90" s="37"/>
      <c r="BK90" s="37"/>
      <c r="BL90" s="37"/>
      <c r="BM90" s="37"/>
      <c r="BN90" s="37"/>
      <c r="BO90" s="37"/>
      <c r="BP90" s="37">
        <v>0</v>
      </c>
      <c r="BQ90" s="37"/>
      <c r="BR90" s="37"/>
      <c r="BS90" s="37"/>
      <c r="BT90" s="37"/>
      <c r="BU90" s="37"/>
      <c r="BV90" s="37"/>
      <c r="BW90" s="37"/>
      <c r="BX90" s="37"/>
      <c r="BY90" s="37"/>
      <c r="BZ90" s="37"/>
      <c r="CA90" s="37"/>
      <c r="CB90" s="37" t="s">
        <v>1124</v>
      </c>
      <c r="CC90" s="37"/>
      <c r="CD90" s="37"/>
      <c r="CE90" s="37"/>
      <c r="CF90" s="37"/>
      <c r="CG90" s="37"/>
      <c r="CH90" s="37"/>
      <c r="CI90" s="37"/>
      <c r="CJ90" s="37"/>
      <c r="CK90" s="37"/>
      <c r="CL90" s="37"/>
      <c r="CM90" s="37"/>
      <c r="CN90" s="37" t="s">
        <v>1124</v>
      </c>
      <c r="CO90" s="37"/>
      <c r="CP90" s="37"/>
      <c r="CQ90" s="37"/>
      <c r="CR90" s="37"/>
      <c r="CS90" s="37"/>
      <c r="CT90" s="37"/>
      <c r="CU90" s="37"/>
      <c r="CV90" s="37"/>
      <c r="CW90" s="37"/>
      <c r="CX90" s="37"/>
      <c r="CY90" s="37"/>
      <c r="CZ90" s="37" t="s">
        <v>1124</v>
      </c>
      <c r="DA90" s="37"/>
      <c r="DB90" s="37"/>
      <c r="DC90" s="37"/>
      <c r="DD90" s="37"/>
      <c r="DE90" s="37"/>
      <c r="DF90" s="37"/>
      <c r="DG90" s="37"/>
      <c r="DH90" s="37"/>
      <c r="DI90" s="37"/>
      <c r="DJ90" s="37"/>
      <c r="DK90" s="37"/>
      <c r="DL90" s="37" t="s">
        <v>1124</v>
      </c>
      <c r="DM90" s="37"/>
      <c r="DN90" s="37"/>
      <c r="DO90" s="37"/>
      <c r="DP90" s="37"/>
      <c r="DQ90" s="37"/>
      <c r="DR90" s="37"/>
      <c r="DS90" s="37"/>
      <c r="DT90" s="37"/>
      <c r="DU90" s="37"/>
      <c r="DV90" s="37"/>
      <c r="DW90" s="37"/>
      <c r="DX90" s="37" t="s">
        <v>1124</v>
      </c>
      <c r="DY90" s="37"/>
      <c r="DZ90" s="37"/>
      <c r="EA90" s="37"/>
      <c r="EB90" s="37"/>
      <c r="EC90" s="37"/>
      <c r="ED90" s="37"/>
      <c r="EE90" s="37"/>
      <c r="EF90" s="37"/>
      <c r="EG90" s="37"/>
      <c r="EH90" s="37"/>
      <c r="EI90" s="37"/>
      <c r="EJ90" s="37" t="s">
        <v>1124</v>
      </c>
      <c r="EK90" s="161"/>
      <c r="EL90" s="294"/>
    </row>
    <row r="91" spans="1:142" ht="15" customHeight="1" x14ac:dyDescent="0.35">
      <c r="A91" s="34"/>
      <c r="B91" s="313">
        <v>4047</v>
      </c>
      <c r="C91" s="8" t="s">
        <v>1043</v>
      </c>
      <c r="D91" s="18">
        <v>11</v>
      </c>
      <c r="E91" s="155">
        <v>145967</v>
      </c>
      <c r="F91" s="36">
        <v>33726</v>
      </c>
      <c r="G91" s="37">
        <v>0</v>
      </c>
      <c r="H91" s="37">
        <v>0</v>
      </c>
      <c r="I91" s="37">
        <v>0</v>
      </c>
      <c r="J91" s="37">
        <v>0</v>
      </c>
      <c r="K91" s="37">
        <v>21895.05</v>
      </c>
      <c r="L91" s="37">
        <v>5058.8999999999996</v>
      </c>
      <c r="M91" s="37">
        <v>167862.05</v>
      </c>
      <c r="N91" s="37">
        <v>38784.9</v>
      </c>
      <c r="O91" s="37">
        <v>0</v>
      </c>
      <c r="P91" s="37">
        <v>0</v>
      </c>
      <c r="Q91" s="37">
        <v>218194</v>
      </c>
      <c r="R91" s="37">
        <v>33611</v>
      </c>
      <c r="S91" s="37">
        <v>0</v>
      </c>
      <c r="T91" s="37">
        <v>0</v>
      </c>
      <c r="U91" s="37">
        <v>0</v>
      </c>
      <c r="V91" s="37">
        <v>0</v>
      </c>
      <c r="W91" s="37">
        <v>0</v>
      </c>
      <c r="X91" s="37">
        <v>0</v>
      </c>
      <c r="Y91" s="37">
        <v>0</v>
      </c>
      <c r="Z91" s="37">
        <v>0</v>
      </c>
      <c r="AA91" s="37">
        <v>218194</v>
      </c>
      <c r="AB91" s="37">
        <v>33611</v>
      </c>
      <c r="AC91" s="37">
        <v>45158</v>
      </c>
      <c r="AD91" s="37">
        <v>0</v>
      </c>
      <c r="AE91" s="37">
        <v>0</v>
      </c>
      <c r="AF91" s="168">
        <v>0.02</v>
      </c>
      <c r="AG91" s="37">
        <v>53241968.579999998</v>
      </c>
      <c r="AH91" s="37">
        <v>599891.15</v>
      </c>
      <c r="AI91" s="37">
        <v>590664.81000000006</v>
      </c>
      <c r="AJ91" s="37">
        <v>602478.11</v>
      </c>
      <c r="AK91" s="37">
        <v>614527.67000000004</v>
      </c>
      <c r="AL91" s="37">
        <v>626818.23</v>
      </c>
      <c r="AM91" s="37">
        <v>639354.59</v>
      </c>
      <c r="AN91" s="37">
        <v>652141.68000000005</v>
      </c>
      <c r="AO91" s="37">
        <v>665184.52</v>
      </c>
      <c r="AP91" s="37">
        <v>678488.21</v>
      </c>
      <c r="AQ91" s="37">
        <v>692057.97</v>
      </c>
      <c r="AR91" s="37">
        <v>6361606.9400000013</v>
      </c>
      <c r="AS91" s="37">
        <v>1017453.98</v>
      </c>
      <c r="AT91" s="37">
        <v>13600</v>
      </c>
      <c r="AU91" s="37">
        <v>221952</v>
      </c>
      <c r="AV91" s="37">
        <v>226391.04000000001</v>
      </c>
      <c r="AW91" s="37">
        <v>13801.01</v>
      </c>
      <c r="AX91" s="37">
        <v>14077.03</v>
      </c>
      <c r="AY91" s="37">
        <v>0</v>
      </c>
      <c r="AZ91" s="37">
        <v>0</v>
      </c>
      <c r="BA91" s="37">
        <v>0</v>
      </c>
      <c r="BB91" s="37">
        <v>0</v>
      </c>
      <c r="BC91" s="37">
        <v>0</v>
      </c>
      <c r="BD91" s="37">
        <v>489821.08</v>
      </c>
      <c r="BE91" s="37">
        <v>54489</v>
      </c>
      <c r="BF91" s="37">
        <v>119277</v>
      </c>
      <c r="BG91" s="37">
        <v>0</v>
      </c>
      <c r="BH91" s="37">
        <v>0</v>
      </c>
      <c r="BI91" s="37">
        <v>0</v>
      </c>
      <c r="BJ91" s="37">
        <v>0</v>
      </c>
      <c r="BK91" s="37">
        <v>0</v>
      </c>
      <c r="BL91" s="37">
        <v>0</v>
      </c>
      <c r="BM91" s="37">
        <v>0</v>
      </c>
      <c r="BN91" s="37">
        <v>0</v>
      </c>
      <c r="BO91" s="37">
        <v>0</v>
      </c>
      <c r="BP91" s="37">
        <v>119277</v>
      </c>
      <c r="BQ91" s="37">
        <v>75000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D91" s="37">
        <v>0</v>
      </c>
      <c r="DE91" s="37">
        <v>0</v>
      </c>
      <c r="DF91" s="37">
        <v>0</v>
      </c>
      <c r="DG91" s="37">
        <v>0</v>
      </c>
      <c r="DH91" s="37">
        <v>0</v>
      </c>
      <c r="DI91" s="37">
        <v>0</v>
      </c>
      <c r="DJ91" s="37">
        <v>0</v>
      </c>
      <c r="DK91" s="37">
        <v>0</v>
      </c>
      <c r="DL91" s="37">
        <v>0</v>
      </c>
      <c r="DM91" s="37">
        <v>0</v>
      </c>
      <c r="DN91" s="37">
        <v>0</v>
      </c>
      <c r="DO91" s="37">
        <v>0</v>
      </c>
      <c r="DP91" s="37">
        <v>0</v>
      </c>
      <c r="DQ91" s="37">
        <v>0</v>
      </c>
      <c r="DR91" s="37">
        <v>0</v>
      </c>
      <c r="DS91" s="37">
        <v>0</v>
      </c>
      <c r="DT91" s="37">
        <v>0</v>
      </c>
      <c r="DU91" s="37">
        <v>0</v>
      </c>
      <c r="DV91" s="37">
        <v>0</v>
      </c>
      <c r="DW91" s="37">
        <v>0</v>
      </c>
      <c r="DX91" s="37">
        <v>0</v>
      </c>
      <c r="DY91" s="37">
        <v>0</v>
      </c>
      <c r="DZ91" s="37">
        <v>0</v>
      </c>
      <c r="EA91" s="37">
        <v>0</v>
      </c>
      <c r="EB91" s="37">
        <v>0</v>
      </c>
      <c r="EC91" s="37">
        <v>0</v>
      </c>
      <c r="ED91" s="37">
        <v>0</v>
      </c>
      <c r="EE91" s="37">
        <v>0</v>
      </c>
      <c r="EF91" s="37">
        <v>0</v>
      </c>
      <c r="EG91" s="37">
        <v>0</v>
      </c>
      <c r="EH91" s="37">
        <v>0</v>
      </c>
      <c r="EI91" s="37">
        <v>0</v>
      </c>
      <c r="EJ91" s="37">
        <v>0</v>
      </c>
      <c r="EK91" s="161" t="s">
        <v>1548</v>
      </c>
      <c r="EL91" s="294" t="s">
        <v>1124</v>
      </c>
    </row>
    <row r="92" spans="1:142" ht="15" customHeight="1" x14ac:dyDescent="0.35">
      <c r="A92" s="34"/>
      <c r="B92" s="313">
        <v>5060</v>
      </c>
      <c r="C92" s="8" t="s">
        <v>1053</v>
      </c>
      <c r="D92" s="18">
        <v>11</v>
      </c>
      <c r="E92" s="155">
        <v>233402</v>
      </c>
      <c r="F92" s="36">
        <v>82993</v>
      </c>
      <c r="G92" s="37">
        <v>70796</v>
      </c>
      <c r="H92" s="37">
        <v>27700</v>
      </c>
      <c r="I92" s="37">
        <v>632000</v>
      </c>
      <c r="J92" s="37">
        <v>27700</v>
      </c>
      <c r="K92" s="37">
        <v>35010</v>
      </c>
      <c r="L92" s="37">
        <v>12449</v>
      </c>
      <c r="M92" s="37">
        <v>971208</v>
      </c>
      <c r="N92" s="37">
        <v>150842</v>
      </c>
      <c r="O92" s="37">
        <v>0</v>
      </c>
      <c r="P92" s="37">
        <v>0</v>
      </c>
      <c r="Q92" s="37">
        <v>208556</v>
      </c>
      <c r="R92" s="37">
        <v>63242</v>
      </c>
      <c r="S92" s="37">
        <v>0</v>
      </c>
      <c r="T92" s="37">
        <v>0</v>
      </c>
      <c r="U92" s="37">
        <v>73210</v>
      </c>
      <c r="V92" s="37">
        <v>195828</v>
      </c>
      <c r="W92" s="37">
        <v>290607</v>
      </c>
      <c r="X92" s="37">
        <v>290607</v>
      </c>
      <c r="Y92" s="37">
        <v>0</v>
      </c>
      <c r="Z92" s="37">
        <v>0</v>
      </c>
      <c r="AA92" s="37">
        <v>572373</v>
      </c>
      <c r="AB92" s="37">
        <v>549677</v>
      </c>
      <c r="AC92" s="37">
        <v>0</v>
      </c>
      <c r="AD92" s="37">
        <v>0</v>
      </c>
      <c r="AE92" s="37">
        <v>0</v>
      </c>
      <c r="AF92" s="168">
        <v>0.02</v>
      </c>
      <c r="AG92" s="37">
        <v>35349570.729999997</v>
      </c>
      <c r="AH92" s="37">
        <v>401420.18</v>
      </c>
      <c r="AI92" s="37">
        <v>409448.59</v>
      </c>
      <c r="AJ92" s="37">
        <v>417637.56</v>
      </c>
      <c r="AK92" s="37">
        <v>425990.31</v>
      </c>
      <c r="AL92" s="37">
        <v>434510.12</v>
      </c>
      <c r="AM92" s="37">
        <v>443200.32</v>
      </c>
      <c r="AN92" s="37">
        <v>452064.33</v>
      </c>
      <c r="AO92" s="37">
        <v>461105.61</v>
      </c>
      <c r="AP92" s="37">
        <v>470327.73</v>
      </c>
      <c r="AQ92" s="37">
        <v>479734.28</v>
      </c>
      <c r="AR92" s="37">
        <v>4395439.03</v>
      </c>
      <c r="AS92" s="37">
        <v>867631.18</v>
      </c>
      <c r="AT92" s="37">
        <v>0</v>
      </c>
      <c r="AU92" s="37">
        <v>5306.04</v>
      </c>
      <c r="AV92" s="37">
        <v>4244832</v>
      </c>
      <c r="AW92" s="37">
        <v>0</v>
      </c>
      <c r="AX92" s="37">
        <v>0</v>
      </c>
      <c r="AY92" s="37">
        <v>0</v>
      </c>
      <c r="AZ92" s="37">
        <v>0</v>
      </c>
      <c r="BA92" s="37">
        <v>0</v>
      </c>
      <c r="BB92" s="37">
        <v>0</v>
      </c>
      <c r="BC92" s="37">
        <v>0</v>
      </c>
      <c r="BD92" s="37">
        <v>4250138.04</v>
      </c>
      <c r="BE92" s="37">
        <v>156757</v>
      </c>
      <c r="BF92" s="37">
        <v>50000</v>
      </c>
      <c r="BG92" s="37">
        <v>0</v>
      </c>
      <c r="BH92" s="37">
        <v>0</v>
      </c>
      <c r="BI92" s="37">
        <v>0</v>
      </c>
      <c r="BJ92" s="37">
        <v>0</v>
      </c>
      <c r="BK92" s="37">
        <v>0</v>
      </c>
      <c r="BL92" s="37">
        <v>0</v>
      </c>
      <c r="BM92" s="37">
        <v>0</v>
      </c>
      <c r="BN92" s="37">
        <v>0</v>
      </c>
      <c r="BO92" s="37">
        <v>0</v>
      </c>
      <c r="BP92" s="37">
        <v>50000</v>
      </c>
      <c r="BQ92" s="37">
        <v>0</v>
      </c>
      <c r="BR92" s="37">
        <v>0</v>
      </c>
      <c r="BS92" s="37">
        <v>0</v>
      </c>
      <c r="BT92" s="37">
        <v>0</v>
      </c>
      <c r="BU92" s="37">
        <v>0</v>
      </c>
      <c r="BV92" s="37">
        <v>0</v>
      </c>
      <c r="BW92" s="37">
        <v>0</v>
      </c>
      <c r="BX92" s="37">
        <v>0</v>
      </c>
      <c r="BY92" s="37">
        <v>0</v>
      </c>
      <c r="BZ92" s="37">
        <v>0</v>
      </c>
      <c r="CA92" s="37">
        <v>0</v>
      </c>
      <c r="CB92" s="37">
        <v>0</v>
      </c>
      <c r="CC92" s="37">
        <v>0</v>
      </c>
      <c r="CD92" s="37">
        <v>50000</v>
      </c>
      <c r="CE92" s="37">
        <v>0</v>
      </c>
      <c r="CF92" s="37">
        <v>0</v>
      </c>
      <c r="CG92" s="37">
        <v>0</v>
      </c>
      <c r="CH92" s="37">
        <v>0</v>
      </c>
      <c r="CI92" s="37">
        <v>0</v>
      </c>
      <c r="CJ92" s="37">
        <v>0</v>
      </c>
      <c r="CK92" s="37">
        <v>0</v>
      </c>
      <c r="CL92" s="37">
        <v>0</v>
      </c>
      <c r="CM92" s="37">
        <v>0</v>
      </c>
      <c r="CN92" s="37">
        <v>50000</v>
      </c>
      <c r="CO92" s="37">
        <v>0</v>
      </c>
      <c r="CP92" s="37">
        <v>0</v>
      </c>
      <c r="CQ92" s="37">
        <v>0</v>
      </c>
      <c r="CR92" s="37">
        <v>0</v>
      </c>
      <c r="CS92" s="37">
        <v>0</v>
      </c>
      <c r="CT92" s="37">
        <v>0</v>
      </c>
      <c r="CU92" s="37">
        <v>0</v>
      </c>
      <c r="CV92" s="37">
        <v>0</v>
      </c>
      <c r="CW92" s="37">
        <v>0</v>
      </c>
      <c r="CX92" s="37">
        <v>0</v>
      </c>
      <c r="CY92" s="37">
        <v>0</v>
      </c>
      <c r="CZ92" s="37">
        <v>0</v>
      </c>
      <c r="DA92" s="37">
        <v>0</v>
      </c>
      <c r="DB92" s="37">
        <v>0</v>
      </c>
      <c r="DC92" s="37">
        <v>0</v>
      </c>
      <c r="DD92" s="37">
        <v>4000000</v>
      </c>
      <c r="DE92" s="37">
        <v>0</v>
      </c>
      <c r="DF92" s="37">
        <v>0</v>
      </c>
      <c r="DG92" s="37">
        <v>0</v>
      </c>
      <c r="DH92" s="37">
        <v>0</v>
      </c>
      <c r="DI92" s="37">
        <v>0</v>
      </c>
      <c r="DJ92" s="37">
        <v>0</v>
      </c>
      <c r="DK92" s="37">
        <v>0</v>
      </c>
      <c r="DL92" s="37">
        <v>4000000</v>
      </c>
      <c r="DM92" s="37">
        <v>0</v>
      </c>
      <c r="DN92" s="37">
        <v>0</v>
      </c>
      <c r="DO92" s="37">
        <v>0</v>
      </c>
      <c r="DP92" s="37">
        <v>0</v>
      </c>
      <c r="DQ92" s="37">
        <v>0</v>
      </c>
      <c r="DR92" s="37">
        <v>0</v>
      </c>
      <c r="DS92" s="37">
        <v>0</v>
      </c>
      <c r="DT92" s="37">
        <v>0</v>
      </c>
      <c r="DU92" s="37">
        <v>0</v>
      </c>
      <c r="DV92" s="37">
        <v>0</v>
      </c>
      <c r="DW92" s="37">
        <v>0</v>
      </c>
      <c r="DX92" s="37">
        <v>0</v>
      </c>
      <c r="DY92" s="37">
        <v>0</v>
      </c>
      <c r="DZ92" s="37">
        <v>0</v>
      </c>
      <c r="EA92" s="37">
        <v>0</v>
      </c>
      <c r="EB92" s="37">
        <v>0</v>
      </c>
      <c r="EC92" s="37">
        <v>0</v>
      </c>
      <c r="ED92" s="37">
        <v>0</v>
      </c>
      <c r="EE92" s="37">
        <v>0</v>
      </c>
      <c r="EF92" s="37">
        <v>0</v>
      </c>
      <c r="EG92" s="37">
        <v>0</v>
      </c>
      <c r="EH92" s="37">
        <v>0</v>
      </c>
      <c r="EI92" s="37">
        <v>0</v>
      </c>
      <c r="EJ92" s="37">
        <v>0</v>
      </c>
      <c r="EK92" s="161" t="s">
        <v>1553</v>
      </c>
      <c r="EL92" s="294" t="s">
        <v>1124</v>
      </c>
    </row>
    <row r="93" spans="1:142" ht="15" customHeight="1" x14ac:dyDescent="0.35">
      <c r="A93" s="34"/>
      <c r="B93" s="313">
        <v>18045</v>
      </c>
      <c r="C93" s="8" t="s">
        <v>112</v>
      </c>
      <c r="D93" s="18">
        <v>12</v>
      </c>
      <c r="E93" s="155">
        <v>203022</v>
      </c>
      <c r="F93" s="36">
        <v>74172</v>
      </c>
      <c r="G93" s="37">
        <v>285099</v>
      </c>
      <c r="H93" s="37">
        <v>0</v>
      </c>
      <c r="I93" s="37">
        <v>113400</v>
      </c>
      <c r="J93" s="37">
        <v>0</v>
      </c>
      <c r="K93" s="37">
        <v>30453.3</v>
      </c>
      <c r="L93" s="37">
        <v>11125.8</v>
      </c>
      <c r="M93" s="37">
        <v>631974.30000000005</v>
      </c>
      <c r="N93" s="37">
        <v>85297.8</v>
      </c>
      <c r="O93" s="37">
        <v>10780</v>
      </c>
      <c r="P93" s="37">
        <v>0</v>
      </c>
      <c r="Q93" s="37">
        <v>114438.95</v>
      </c>
      <c r="R93" s="37">
        <v>146391</v>
      </c>
      <c r="S93" s="37">
        <v>0</v>
      </c>
      <c r="T93" s="37">
        <v>0</v>
      </c>
      <c r="U93" s="37">
        <v>0</v>
      </c>
      <c r="V93" s="37">
        <v>0</v>
      </c>
      <c r="W93" s="37">
        <v>192023.63500000004</v>
      </c>
      <c r="X93" s="37">
        <v>192023.63500000004</v>
      </c>
      <c r="Y93" s="37">
        <v>0</v>
      </c>
      <c r="Z93" s="37">
        <v>76614.880000000005</v>
      </c>
      <c r="AA93" s="37">
        <v>317242.58500000002</v>
      </c>
      <c r="AB93" s="37">
        <v>415029.51500000001</v>
      </c>
      <c r="AC93" s="37">
        <v>15000</v>
      </c>
      <c r="AD93" s="37">
        <v>15000</v>
      </c>
      <c r="AE93" s="37">
        <v>91614.88</v>
      </c>
      <c r="AF93" s="168">
        <v>0.02</v>
      </c>
      <c r="AG93" s="37">
        <v>42622762.490000002</v>
      </c>
      <c r="AH93" s="37">
        <v>3890929.57</v>
      </c>
      <c r="AI93" s="37">
        <v>435977.62</v>
      </c>
      <c r="AJ93" s="37">
        <v>444697.17</v>
      </c>
      <c r="AK93" s="37">
        <v>453591.11</v>
      </c>
      <c r="AL93" s="37">
        <v>462662.93</v>
      </c>
      <c r="AM93" s="37">
        <v>471916.19</v>
      </c>
      <c r="AN93" s="37">
        <v>481354.52</v>
      </c>
      <c r="AO93" s="37">
        <v>490981.61</v>
      </c>
      <c r="AP93" s="37">
        <v>500801.24</v>
      </c>
      <c r="AQ93" s="37">
        <v>510817.26</v>
      </c>
      <c r="AR93" s="37">
        <v>8143729.2199999988</v>
      </c>
      <c r="AS93" s="37">
        <v>957742.3</v>
      </c>
      <c r="AT93" s="37">
        <v>0</v>
      </c>
      <c r="AU93" s="37">
        <v>359692.81</v>
      </c>
      <c r="AV93" s="37">
        <v>641505.54</v>
      </c>
      <c r="AW93" s="37">
        <v>0</v>
      </c>
      <c r="AX93" s="37">
        <v>0</v>
      </c>
      <c r="AY93" s="37">
        <v>0</v>
      </c>
      <c r="AZ93" s="37">
        <v>0</v>
      </c>
      <c r="BA93" s="37">
        <v>0</v>
      </c>
      <c r="BB93" s="37">
        <v>0</v>
      </c>
      <c r="BC93" s="37">
        <v>0</v>
      </c>
      <c r="BD93" s="37">
        <v>1001198.3500000001</v>
      </c>
      <c r="BE93" s="37">
        <v>0</v>
      </c>
      <c r="BF93" s="37">
        <v>0</v>
      </c>
      <c r="BG93" s="37">
        <v>1718865</v>
      </c>
      <c r="BH93" s="37">
        <v>2493450</v>
      </c>
      <c r="BI93" s="37">
        <v>0</v>
      </c>
      <c r="BJ93" s="37">
        <v>0</v>
      </c>
      <c r="BK93" s="37">
        <v>0</v>
      </c>
      <c r="BL93" s="37">
        <v>0</v>
      </c>
      <c r="BM93" s="37">
        <v>0</v>
      </c>
      <c r="BN93" s="37">
        <v>0</v>
      </c>
      <c r="BO93" s="37">
        <v>0</v>
      </c>
      <c r="BP93" s="37">
        <v>4212315</v>
      </c>
      <c r="BQ93" s="37">
        <v>0</v>
      </c>
      <c r="BR93" s="37">
        <v>0</v>
      </c>
      <c r="BS93" s="37">
        <v>1592858.5</v>
      </c>
      <c r="BT93" s="37">
        <v>2637045</v>
      </c>
      <c r="BU93" s="37">
        <v>0</v>
      </c>
      <c r="BV93" s="37">
        <v>0</v>
      </c>
      <c r="BW93" s="37">
        <v>0</v>
      </c>
      <c r="BX93" s="37">
        <v>0</v>
      </c>
      <c r="BY93" s="37">
        <v>0</v>
      </c>
      <c r="BZ93" s="37">
        <v>0</v>
      </c>
      <c r="CA93" s="37">
        <v>0</v>
      </c>
      <c r="CB93" s="37">
        <v>4229903.5</v>
      </c>
      <c r="CC93" s="37">
        <v>0</v>
      </c>
      <c r="CD93" s="37">
        <v>0</v>
      </c>
      <c r="CE93" s="37">
        <v>0</v>
      </c>
      <c r="CF93" s="37">
        <v>0</v>
      </c>
      <c r="CG93" s="37">
        <v>0</v>
      </c>
      <c r="CH93" s="37">
        <v>0</v>
      </c>
      <c r="CI93" s="37">
        <v>0</v>
      </c>
      <c r="CJ93" s="37">
        <v>0</v>
      </c>
      <c r="CK93" s="37">
        <v>0</v>
      </c>
      <c r="CL93" s="37">
        <v>0</v>
      </c>
      <c r="CM93" s="37">
        <v>0</v>
      </c>
      <c r="CN93" s="37">
        <v>0</v>
      </c>
      <c r="CO93" s="37">
        <v>656202</v>
      </c>
      <c r="CP93" s="37">
        <v>0</v>
      </c>
      <c r="CQ93" s="37">
        <v>325367</v>
      </c>
      <c r="CR93" s="37">
        <v>313214</v>
      </c>
      <c r="CS93" s="37">
        <v>0</v>
      </c>
      <c r="CT93" s="37">
        <v>0</v>
      </c>
      <c r="CU93" s="37">
        <v>0</v>
      </c>
      <c r="CV93" s="37">
        <v>0</v>
      </c>
      <c r="CW93" s="37">
        <v>0</v>
      </c>
      <c r="CX93" s="37">
        <v>0</v>
      </c>
      <c r="CY93" s="37">
        <v>0</v>
      </c>
      <c r="CZ93" s="37">
        <v>638581</v>
      </c>
      <c r="DA93" s="37">
        <v>118577.64000000001</v>
      </c>
      <c r="DB93" s="37">
        <v>0</v>
      </c>
      <c r="DC93" s="37">
        <v>33108.5</v>
      </c>
      <c r="DD93" s="37">
        <v>278541</v>
      </c>
      <c r="DE93" s="37">
        <v>0</v>
      </c>
      <c r="DF93" s="37">
        <v>0</v>
      </c>
      <c r="DG93" s="37">
        <v>0</v>
      </c>
      <c r="DH93" s="37">
        <v>0</v>
      </c>
      <c r="DI93" s="37">
        <v>0</v>
      </c>
      <c r="DJ93" s="37">
        <v>0</v>
      </c>
      <c r="DK93" s="37">
        <v>0</v>
      </c>
      <c r="DL93" s="37">
        <v>311649.5</v>
      </c>
      <c r="DM93" s="37">
        <v>0</v>
      </c>
      <c r="DN93" s="37">
        <v>0</v>
      </c>
      <c r="DO93" s="37">
        <v>0</v>
      </c>
      <c r="DP93" s="37">
        <v>0</v>
      </c>
      <c r="DQ93" s="37">
        <v>0</v>
      </c>
      <c r="DR93" s="37">
        <v>0</v>
      </c>
      <c r="DS93" s="37">
        <v>0</v>
      </c>
      <c r="DT93" s="37">
        <v>0</v>
      </c>
      <c r="DU93" s="37">
        <v>0</v>
      </c>
      <c r="DV93" s="37">
        <v>0</v>
      </c>
      <c r="DW93" s="37">
        <v>0</v>
      </c>
      <c r="DX93" s="37">
        <v>0</v>
      </c>
      <c r="DY93" s="37">
        <v>0</v>
      </c>
      <c r="DZ93" s="37">
        <v>0</v>
      </c>
      <c r="EA93" s="37">
        <v>0</v>
      </c>
      <c r="EB93" s="37">
        <v>0</v>
      </c>
      <c r="EC93" s="37">
        <v>0</v>
      </c>
      <c r="ED93" s="37">
        <v>0</v>
      </c>
      <c r="EE93" s="37">
        <v>0</v>
      </c>
      <c r="EF93" s="37">
        <v>0</v>
      </c>
      <c r="EG93" s="37">
        <v>0</v>
      </c>
      <c r="EH93" s="37">
        <v>0</v>
      </c>
      <c r="EI93" s="37">
        <v>0</v>
      </c>
      <c r="EJ93" s="37">
        <v>0</v>
      </c>
      <c r="EK93" s="161" t="s">
        <v>4587</v>
      </c>
      <c r="EL93" s="294" t="s">
        <v>1124</v>
      </c>
    </row>
    <row r="94" spans="1:142" ht="15" customHeight="1" x14ac:dyDescent="0.35">
      <c r="A94" s="34"/>
      <c r="B94" s="313">
        <v>34030</v>
      </c>
      <c r="C94" s="8" t="s">
        <v>288</v>
      </c>
      <c r="D94" s="18">
        <v>3</v>
      </c>
      <c r="E94" s="155">
        <v>305574</v>
      </c>
      <c r="F94" s="36">
        <v>344409</v>
      </c>
      <c r="G94" s="37">
        <v>65826</v>
      </c>
      <c r="H94" s="37">
        <v>23923</v>
      </c>
      <c r="I94" s="37">
        <v>68400</v>
      </c>
      <c r="J94" s="37">
        <v>45600</v>
      </c>
      <c r="K94" s="37">
        <v>45836.1</v>
      </c>
      <c r="L94" s="37">
        <v>51661.35</v>
      </c>
      <c r="M94" s="37">
        <v>485636.1</v>
      </c>
      <c r="N94" s="37">
        <v>465593.35</v>
      </c>
      <c r="O94" s="37">
        <v>0</v>
      </c>
      <c r="P94" s="37">
        <v>0</v>
      </c>
      <c r="Q94" s="37">
        <v>29765</v>
      </c>
      <c r="R94" s="37">
        <v>6524</v>
      </c>
      <c r="S94" s="37">
        <v>4227</v>
      </c>
      <c r="T94" s="37">
        <v>9412</v>
      </c>
      <c r="U94" s="37">
        <v>29765</v>
      </c>
      <c r="V94" s="37">
        <v>6524</v>
      </c>
      <c r="W94" s="37">
        <v>421879.1</v>
      </c>
      <c r="X94" s="37">
        <v>443133.35</v>
      </c>
      <c r="Y94" s="37">
        <v>0</v>
      </c>
      <c r="Z94" s="37">
        <v>0</v>
      </c>
      <c r="AA94" s="37">
        <v>485636.1</v>
      </c>
      <c r="AB94" s="37">
        <v>465593.35</v>
      </c>
      <c r="AC94" s="37">
        <v>0</v>
      </c>
      <c r="AD94" s="37">
        <v>0</v>
      </c>
      <c r="AE94" s="37">
        <v>0</v>
      </c>
      <c r="AF94" s="168">
        <v>0.02</v>
      </c>
      <c r="AG94" s="37">
        <v>80231644.730000004</v>
      </c>
      <c r="AH94" s="37">
        <v>780826.9</v>
      </c>
      <c r="AI94" s="37">
        <v>886646.12</v>
      </c>
      <c r="AJ94" s="37">
        <v>796135.82</v>
      </c>
      <c r="AK94" s="37">
        <v>812058.54</v>
      </c>
      <c r="AL94" s="37">
        <v>828299.71</v>
      </c>
      <c r="AM94" s="37">
        <v>844865.71</v>
      </c>
      <c r="AN94" s="37">
        <v>861763.02</v>
      </c>
      <c r="AO94" s="37">
        <v>878998.28</v>
      </c>
      <c r="AP94" s="37">
        <v>896578.25</v>
      </c>
      <c r="AQ94" s="37">
        <v>914509.81</v>
      </c>
      <c r="AR94" s="37">
        <v>8500682.1600000001</v>
      </c>
      <c r="AS94" s="37">
        <v>4658718.7300000004</v>
      </c>
      <c r="AT94" s="37">
        <v>88434</v>
      </c>
      <c r="AU94" s="37">
        <v>31836.240000000002</v>
      </c>
      <c r="AV94" s="37">
        <v>0</v>
      </c>
      <c r="AW94" s="37">
        <v>0</v>
      </c>
      <c r="AX94" s="37">
        <v>0</v>
      </c>
      <c r="AY94" s="37">
        <v>0</v>
      </c>
      <c r="AZ94" s="37">
        <v>0</v>
      </c>
      <c r="BA94" s="37">
        <v>0</v>
      </c>
      <c r="BB94" s="37">
        <v>0</v>
      </c>
      <c r="BC94" s="37">
        <v>0</v>
      </c>
      <c r="BD94" s="37">
        <v>120270.24</v>
      </c>
      <c r="BE94" s="37">
        <v>7247</v>
      </c>
      <c r="BF94" s="37">
        <v>1135874</v>
      </c>
      <c r="BG94" s="37">
        <v>600000</v>
      </c>
      <c r="BH94" s="37">
        <v>0</v>
      </c>
      <c r="BI94" s="37">
        <v>0</v>
      </c>
      <c r="BJ94" s="37">
        <v>0</v>
      </c>
      <c r="BK94" s="37">
        <v>0</v>
      </c>
      <c r="BL94" s="37">
        <v>0</v>
      </c>
      <c r="BM94" s="37">
        <v>0</v>
      </c>
      <c r="BN94" s="37">
        <v>0</v>
      </c>
      <c r="BO94" s="37">
        <v>0</v>
      </c>
      <c r="BP94" s="37">
        <v>1735874</v>
      </c>
      <c r="BQ94" s="37">
        <v>0</v>
      </c>
      <c r="BR94" s="37">
        <v>283969</v>
      </c>
      <c r="BS94" s="37">
        <v>12500</v>
      </c>
      <c r="BT94" s="37">
        <v>0</v>
      </c>
      <c r="BU94" s="37">
        <v>0</v>
      </c>
      <c r="BV94" s="37">
        <v>0</v>
      </c>
      <c r="BW94" s="37">
        <v>0</v>
      </c>
      <c r="BX94" s="37">
        <v>0</v>
      </c>
      <c r="BY94" s="37">
        <v>0</v>
      </c>
      <c r="BZ94" s="37">
        <v>0</v>
      </c>
      <c r="CA94" s="37">
        <v>0</v>
      </c>
      <c r="CB94" s="37">
        <v>296469</v>
      </c>
      <c r="CC94" s="37">
        <v>0</v>
      </c>
      <c r="CD94" s="37">
        <v>0</v>
      </c>
      <c r="CE94" s="37">
        <v>0</v>
      </c>
      <c r="CF94" s="37">
        <v>0</v>
      </c>
      <c r="CG94" s="37">
        <v>0</v>
      </c>
      <c r="CH94" s="37">
        <v>0</v>
      </c>
      <c r="CI94" s="37">
        <v>0</v>
      </c>
      <c r="CJ94" s="37">
        <v>0</v>
      </c>
      <c r="CK94" s="37">
        <v>0</v>
      </c>
      <c r="CL94" s="37">
        <v>0</v>
      </c>
      <c r="CM94" s="37">
        <v>0</v>
      </c>
      <c r="CN94" s="37">
        <v>0</v>
      </c>
      <c r="CO94" s="37">
        <v>0</v>
      </c>
      <c r="CP94" s="37">
        <v>0</v>
      </c>
      <c r="CQ94" s="37">
        <v>30000</v>
      </c>
      <c r="CR94" s="37">
        <v>0</v>
      </c>
      <c r="CS94" s="37">
        <v>0</v>
      </c>
      <c r="CT94" s="37">
        <v>0</v>
      </c>
      <c r="CU94" s="37">
        <v>0</v>
      </c>
      <c r="CV94" s="37">
        <v>0</v>
      </c>
      <c r="CW94" s="37">
        <v>0</v>
      </c>
      <c r="CX94" s="37">
        <v>0</v>
      </c>
      <c r="CY94" s="37">
        <v>0</v>
      </c>
      <c r="CZ94" s="37">
        <v>30000</v>
      </c>
      <c r="DA94" s="37">
        <v>0</v>
      </c>
      <c r="DB94" s="37">
        <v>0</v>
      </c>
      <c r="DC94" s="37">
        <v>0</v>
      </c>
      <c r="DD94" s="37">
        <v>0</v>
      </c>
      <c r="DE94" s="37">
        <v>0</v>
      </c>
      <c r="DF94" s="37">
        <v>0</v>
      </c>
      <c r="DG94" s="37">
        <v>0</v>
      </c>
      <c r="DH94" s="37">
        <v>0</v>
      </c>
      <c r="DI94" s="37">
        <v>0</v>
      </c>
      <c r="DJ94" s="37">
        <v>0</v>
      </c>
      <c r="DK94" s="37">
        <v>0</v>
      </c>
      <c r="DL94" s="37">
        <v>0</v>
      </c>
      <c r="DM94" s="37">
        <v>0</v>
      </c>
      <c r="DN94" s="37">
        <v>0</v>
      </c>
      <c r="DO94" s="37">
        <v>0</v>
      </c>
      <c r="DP94" s="37">
        <v>0</v>
      </c>
      <c r="DQ94" s="37">
        <v>0</v>
      </c>
      <c r="DR94" s="37">
        <v>0</v>
      </c>
      <c r="DS94" s="37">
        <v>0</v>
      </c>
      <c r="DT94" s="37">
        <v>0</v>
      </c>
      <c r="DU94" s="37">
        <v>0</v>
      </c>
      <c r="DV94" s="37">
        <v>0</v>
      </c>
      <c r="DW94" s="37">
        <v>0</v>
      </c>
      <c r="DX94" s="37">
        <v>0</v>
      </c>
      <c r="DY94" s="37">
        <v>0</v>
      </c>
      <c r="DZ94" s="37">
        <v>0</v>
      </c>
      <c r="EA94" s="37">
        <v>0</v>
      </c>
      <c r="EB94" s="37">
        <v>0</v>
      </c>
      <c r="EC94" s="37">
        <v>0</v>
      </c>
      <c r="ED94" s="37">
        <v>0</v>
      </c>
      <c r="EE94" s="37">
        <v>0</v>
      </c>
      <c r="EF94" s="37">
        <v>0</v>
      </c>
      <c r="EG94" s="37">
        <v>0</v>
      </c>
      <c r="EH94" s="37">
        <v>0</v>
      </c>
      <c r="EI94" s="37">
        <v>0</v>
      </c>
      <c r="EJ94" s="37">
        <v>0</v>
      </c>
      <c r="EK94" s="161" t="s">
        <v>1556</v>
      </c>
      <c r="EL94" s="294" t="s">
        <v>1124</v>
      </c>
    </row>
    <row r="95" spans="1:142" ht="15" customHeight="1" x14ac:dyDescent="0.35">
      <c r="A95" s="34"/>
      <c r="B95" s="313">
        <v>57010</v>
      </c>
      <c r="C95" s="8" t="s">
        <v>582</v>
      </c>
      <c r="D95" s="18">
        <v>16</v>
      </c>
      <c r="E95" s="155">
        <v>477657</v>
      </c>
      <c r="F95" s="36">
        <v>1216629</v>
      </c>
      <c r="G95" s="37">
        <v>271301</v>
      </c>
      <c r="H95" s="37">
        <v>170126</v>
      </c>
      <c r="I95" s="37">
        <v>850857</v>
      </c>
      <c r="J95" s="37">
        <v>533551</v>
      </c>
      <c r="K95" s="37">
        <v>71648.55</v>
      </c>
      <c r="L95" s="37">
        <v>182494.35</v>
      </c>
      <c r="M95" s="37">
        <v>1671463.55</v>
      </c>
      <c r="N95" s="37">
        <v>2102800.35</v>
      </c>
      <c r="O95" s="37">
        <v>0</v>
      </c>
      <c r="P95" s="37">
        <v>0</v>
      </c>
      <c r="Q95" s="37">
        <v>536904</v>
      </c>
      <c r="R95" s="37">
        <v>928794</v>
      </c>
      <c r="S95" s="37">
        <v>0</v>
      </c>
      <c r="T95" s="37">
        <v>40052</v>
      </c>
      <c r="U95" s="37">
        <v>442002</v>
      </c>
      <c r="V95" s="37">
        <v>56023</v>
      </c>
      <c r="W95" s="37">
        <v>782132.55</v>
      </c>
      <c r="X95" s="37">
        <v>1538600.35</v>
      </c>
      <c r="Y95" s="37">
        <v>0</v>
      </c>
      <c r="Z95" s="37">
        <v>0</v>
      </c>
      <c r="AA95" s="37">
        <v>1761038.55</v>
      </c>
      <c r="AB95" s="37">
        <v>2563469.35</v>
      </c>
      <c r="AC95" s="37">
        <v>550244</v>
      </c>
      <c r="AD95" s="37">
        <v>0</v>
      </c>
      <c r="AE95" s="37">
        <v>0</v>
      </c>
      <c r="AF95" s="168">
        <v>0.02</v>
      </c>
      <c r="AG95" s="37">
        <v>119122419.45</v>
      </c>
      <c r="AH95" s="37">
        <v>1960185.14</v>
      </c>
      <c r="AI95" s="37">
        <v>2780729.24</v>
      </c>
      <c r="AJ95" s="37">
        <v>1095962.71</v>
      </c>
      <c r="AK95" s="37">
        <v>1009638.75</v>
      </c>
      <c r="AL95" s="37">
        <v>1029831.52</v>
      </c>
      <c r="AM95" s="37">
        <v>1050428.1499999999</v>
      </c>
      <c r="AN95" s="37">
        <v>1071436.71</v>
      </c>
      <c r="AO95" s="37">
        <v>1092865.45</v>
      </c>
      <c r="AP95" s="37">
        <v>1114722.76</v>
      </c>
      <c r="AQ95" s="37">
        <v>1137017.21</v>
      </c>
      <c r="AR95" s="37">
        <v>13342817.640000002</v>
      </c>
      <c r="AS95" s="37">
        <v>324652.65999999997</v>
      </c>
      <c r="AT95" s="37">
        <v>0</v>
      </c>
      <c r="AU95" s="37">
        <v>1061208</v>
      </c>
      <c r="AV95" s="37">
        <v>2164864.3199999998</v>
      </c>
      <c r="AW95" s="37">
        <v>2208161.61</v>
      </c>
      <c r="AX95" s="37">
        <v>0</v>
      </c>
      <c r="AY95" s="37">
        <v>0</v>
      </c>
      <c r="AZ95" s="37">
        <v>0</v>
      </c>
      <c r="BA95" s="37">
        <v>0</v>
      </c>
      <c r="BB95" s="37">
        <v>0</v>
      </c>
      <c r="BC95" s="37">
        <v>0</v>
      </c>
      <c r="BD95" s="37">
        <v>5434233.9299999997</v>
      </c>
      <c r="BE95" s="37">
        <v>0</v>
      </c>
      <c r="BF95" s="37">
        <v>2873964</v>
      </c>
      <c r="BG95" s="37">
        <v>75000</v>
      </c>
      <c r="BH95" s="37">
        <v>664221</v>
      </c>
      <c r="BI95" s="37">
        <v>0</v>
      </c>
      <c r="BJ95" s="37">
        <v>0</v>
      </c>
      <c r="BK95" s="37">
        <v>0</v>
      </c>
      <c r="BL95" s="37">
        <v>0</v>
      </c>
      <c r="BM95" s="37">
        <v>0</v>
      </c>
      <c r="BN95" s="37">
        <v>0</v>
      </c>
      <c r="BO95" s="37">
        <v>0</v>
      </c>
      <c r="BP95" s="37">
        <v>3613185</v>
      </c>
      <c r="BQ95" s="37">
        <v>0</v>
      </c>
      <c r="BR95" s="37">
        <v>205992</v>
      </c>
      <c r="BS95" s="37">
        <v>0</v>
      </c>
      <c r="BT95" s="37">
        <v>0</v>
      </c>
      <c r="BU95" s="37">
        <v>0</v>
      </c>
      <c r="BV95" s="37">
        <v>0</v>
      </c>
      <c r="BW95" s="37">
        <v>0</v>
      </c>
      <c r="BX95" s="37">
        <v>0</v>
      </c>
      <c r="BY95" s="37">
        <v>0</v>
      </c>
      <c r="BZ95" s="37">
        <v>0</v>
      </c>
      <c r="CA95" s="37">
        <v>0</v>
      </c>
      <c r="CB95" s="37">
        <v>205992</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D95" s="37">
        <v>0</v>
      </c>
      <c r="DE95" s="37">
        <v>0</v>
      </c>
      <c r="DF95" s="37">
        <v>0</v>
      </c>
      <c r="DG95" s="37">
        <v>0</v>
      </c>
      <c r="DH95" s="37">
        <v>0</v>
      </c>
      <c r="DI95" s="37">
        <v>0</v>
      </c>
      <c r="DJ95" s="37">
        <v>0</v>
      </c>
      <c r="DK95" s="37">
        <v>0</v>
      </c>
      <c r="DL95" s="37">
        <v>0</v>
      </c>
      <c r="DM95" s="37">
        <v>0</v>
      </c>
      <c r="DN95" s="37">
        <v>0</v>
      </c>
      <c r="DO95" s="37">
        <v>0</v>
      </c>
      <c r="DP95" s="37">
        <v>0</v>
      </c>
      <c r="DQ95" s="37">
        <v>0</v>
      </c>
      <c r="DR95" s="37">
        <v>0</v>
      </c>
      <c r="DS95" s="37">
        <v>0</v>
      </c>
      <c r="DT95" s="37">
        <v>0</v>
      </c>
      <c r="DU95" s="37">
        <v>0</v>
      </c>
      <c r="DV95" s="37">
        <v>0</v>
      </c>
      <c r="DW95" s="37">
        <v>0</v>
      </c>
      <c r="DX95" s="37">
        <v>0</v>
      </c>
      <c r="DY95" s="37">
        <v>0</v>
      </c>
      <c r="DZ95" s="37">
        <v>0</v>
      </c>
      <c r="EA95" s="37">
        <v>0</v>
      </c>
      <c r="EB95" s="37">
        <v>0</v>
      </c>
      <c r="EC95" s="37">
        <v>0</v>
      </c>
      <c r="ED95" s="37">
        <v>0</v>
      </c>
      <c r="EE95" s="37">
        <v>0</v>
      </c>
      <c r="EF95" s="37">
        <v>0</v>
      </c>
      <c r="EG95" s="37">
        <v>0</v>
      </c>
      <c r="EH95" s="37">
        <v>0</v>
      </c>
      <c r="EI95" s="37">
        <v>0</v>
      </c>
      <c r="EJ95" s="37">
        <v>0</v>
      </c>
      <c r="EK95" s="161" t="s">
        <v>1564</v>
      </c>
      <c r="EL95" s="294" t="s">
        <v>1124</v>
      </c>
    </row>
    <row r="96" spans="1:142" ht="15" customHeight="1" x14ac:dyDescent="0.35">
      <c r="A96" s="34"/>
      <c r="B96" s="313">
        <v>6013</v>
      </c>
      <c r="C96" s="8" t="s">
        <v>1058</v>
      </c>
      <c r="D96" s="18">
        <v>11</v>
      </c>
      <c r="E96" s="155">
        <v>332357</v>
      </c>
      <c r="F96" s="36">
        <v>338071</v>
      </c>
      <c r="G96" s="37">
        <v>89493</v>
      </c>
      <c r="H96" s="37">
        <v>5650</v>
      </c>
      <c r="I96" s="37">
        <v>125470</v>
      </c>
      <c r="J96" s="37">
        <v>11570</v>
      </c>
      <c r="K96" s="37">
        <v>49854</v>
      </c>
      <c r="L96" s="37">
        <v>50711</v>
      </c>
      <c r="M96" s="37">
        <v>597174</v>
      </c>
      <c r="N96" s="37">
        <v>406002</v>
      </c>
      <c r="O96" s="37">
        <v>0</v>
      </c>
      <c r="P96" s="37">
        <v>0</v>
      </c>
      <c r="Q96" s="37">
        <v>668237</v>
      </c>
      <c r="R96" s="37">
        <v>486020</v>
      </c>
      <c r="S96" s="37">
        <v>0</v>
      </c>
      <c r="T96" s="37">
        <v>0</v>
      </c>
      <c r="U96" s="37">
        <v>35096</v>
      </c>
      <c r="V96" s="37">
        <v>0</v>
      </c>
      <c r="W96" s="37">
        <v>0</v>
      </c>
      <c r="X96" s="37">
        <v>0</v>
      </c>
      <c r="Y96" s="37">
        <v>0</v>
      </c>
      <c r="Z96" s="37">
        <v>0</v>
      </c>
      <c r="AA96" s="37">
        <v>703333</v>
      </c>
      <c r="AB96" s="37">
        <v>486020</v>
      </c>
      <c r="AC96" s="37">
        <v>186177</v>
      </c>
      <c r="AD96" s="37">
        <v>0</v>
      </c>
      <c r="AE96" s="37">
        <v>0</v>
      </c>
      <c r="AF96" s="168">
        <v>0.02</v>
      </c>
      <c r="AG96" s="37">
        <v>82439792.099999994</v>
      </c>
      <c r="AH96" s="37">
        <v>823615.39</v>
      </c>
      <c r="AI96" s="37">
        <v>871299.69</v>
      </c>
      <c r="AJ96" s="37">
        <v>891378.71</v>
      </c>
      <c r="AK96" s="37">
        <v>860496.83</v>
      </c>
      <c r="AL96" s="37">
        <v>861145.56</v>
      </c>
      <c r="AM96" s="37">
        <v>878368.47</v>
      </c>
      <c r="AN96" s="37">
        <v>895935.84</v>
      </c>
      <c r="AO96" s="37">
        <v>913854.56</v>
      </c>
      <c r="AP96" s="37">
        <v>932131.65</v>
      </c>
      <c r="AQ96" s="37">
        <v>950774.28</v>
      </c>
      <c r="AR96" s="37">
        <v>8879000.9800000004</v>
      </c>
      <c r="AS96" s="37">
        <v>4564234.8</v>
      </c>
      <c r="AT96" s="37">
        <v>0</v>
      </c>
      <c r="AU96" s="37">
        <v>156060</v>
      </c>
      <c r="AV96" s="37">
        <v>0</v>
      </c>
      <c r="AW96" s="37">
        <v>0</v>
      </c>
      <c r="AX96" s="37">
        <v>0</v>
      </c>
      <c r="AY96" s="37">
        <v>0</v>
      </c>
      <c r="AZ96" s="37">
        <v>0</v>
      </c>
      <c r="BA96" s="37">
        <v>0</v>
      </c>
      <c r="BB96" s="37">
        <v>0</v>
      </c>
      <c r="BC96" s="37">
        <v>0</v>
      </c>
      <c r="BD96" s="37">
        <v>156060</v>
      </c>
      <c r="BE96" s="37">
        <v>0</v>
      </c>
      <c r="BF96" s="37">
        <v>0</v>
      </c>
      <c r="BG96" s="37">
        <v>650000</v>
      </c>
      <c r="BH96" s="37">
        <v>50000</v>
      </c>
      <c r="BI96" s="37">
        <v>960000</v>
      </c>
      <c r="BJ96" s="37">
        <v>0</v>
      </c>
      <c r="BK96" s="37">
        <v>0</v>
      </c>
      <c r="BL96" s="37">
        <v>0</v>
      </c>
      <c r="BM96" s="37">
        <v>0</v>
      </c>
      <c r="BN96" s="37">
        <v>0</v>
      </c>
      <c r="BO96" s="37">
        <v>0</v>
      </c>
      <c r="BP96" s="37">
        <v>1660000</v>
      </c>
      <c r="BQ96" s="37">
        <v>0</v>
      </c>
      <c r="BR96" s="37">
        <v>0</v>
      </c>
      <c r="BS96" s="37">
        <v>270000</v>
      </c>
      <c r="BT96" s="37">
        <v>0</v>
      </c>
      <c r="BU96" s="37">
        <v>240000</v>
      </c>
      <c r="BV96" s="37">
        <v>0</v>
      </c>
      <c r="BW96" s="37">
        <v>0</v>
      </c>
      <c r="BX96" s="37">
        <v>0</v>
      </c>
      <c r="BY96" s="37">
        <v>0</v>
      </c>
      <c r="BZ96" s="37">
        <v>0</v>
      </c>
      <c r="CA96" s="37">
        <v>0</v>
      </c>
      <c r="CB96" s="37">
        <v>510000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150000</v>
      </c>
      <c r="DD96" s="37">
        <v>0</v>
      </c>
      <c r="DE96" s="37">
        <v>0</v>
      </c>
      <c r="DF96" s="37">
        <v>0</v>
      </c>
      <c r="DG96" s="37">
        <v>0</v>
      </c>
      <c r="DH96" s="37">
        <v>0</v>
      </c>
      <c r="DI96" s="37">
        <v>0</v>
      </c>
      <c r="DJ96" s="37">
        <v>0</v>
      </c>
      <c r="DK96" s="37">
        <v>0</v>
      </c>
      <c r="DL96" s="37">
        <v>150000</v>
      </c>
      <c r="DM96" s="37">
        <v>0</v>
      </c>
      <c r="DN96" s="37">
        <v>0</v>
      </c>
      <c r="DO96" s="37">
        <v>0</v>
      </c>
      <c r="DP96" s="37">
        <v>0</v>
      </c>
      <c r="DQ96" s="37">
        <v>0</v>
      </c>
      <c r="DR96" s="37">
        <v>0</v>
      </c>
      <c r="DS96" s="37">
        <v>0</v>
      </c>
      <c r="DT96" s="37">
        <v>0</v>
      </c>
      <c r="DU96" s="37">
        <v>0</v>
      </c>
      <c r="DV96" s="37">
        <v>0</v>
      </c>
      <c r="DW96" s="37">
        <v>0</v>
      </c>
      <c r="DX96" s="37">
        <v>0</v>
      </c>
      <c r="DY96" s="37">
        <v>0</v>
      </c>
      <c r="DZ96" s="37">
        <v>0</v>
      </c>
      <c r="EA96" s="37">
        <v>0</v>
      </c>
      <c r="EB96" s="37">
        <v>0</v>
      </c>
      <c r="EC96" s="37">
        <v>0</v>
      </c>
      <c r="ED96" s="37">
        <v>0</v>
      </c>
      <c r="EE96" s="37">
        <v>0</v>
      </c>
      <c r="EF96" s="37">
        <v>0</v>
      </c>
      <c r="EG96" s="37">
        <v>0</v>
      </c>
      <c r="EH96" s="37">
        <v>0</v>
      </c>
      <c r="EI96" s="37">
        <v>0</v>
      </c>
      <c r="EJ96" s="37">
        <v>0</v>
      </c>
      <c r="EK96" s="161" t="s">
        <v>1568</v>
      </c>
      <c r="EL96" s="294" t="s">
        <v>1124</v>
      </c>
    </row>
    <row r="97" spans="1:142" ht="15" customHeight="1" x14ac:dyDescent="0.35">
      <c r="A97" s="34"/>
      <c r="B97" s="313">
        <v>5077</v>
      </c>
      <c r="C97" s="8" t="s">
        <v>1056</v>
      </c>
      <c r="D97" s="18">
        <v>11</v>
      </c>
      <c r="E97" s="155"/>
      <c r="F97" s="36"/>
      <c r="G97" s="37"/>
      <c r="H97" s="37"/>
      <c r="I97" s="37"/>
      <c r="J97" s="37"/>
      <c r="K97" s="37"/>
      <c r="L97" s="37"/>
      <c r="M97" s="37" t="s">
        <v>1124</v>
      </c>
      <c r="N97" s="37" t="s">
        <v>1124</v>
      </c>
      <c r="O97" s="37"/>
      <c r="P97" s="37"/>
      <c r="Q97" s="37"/>
      <c r="R97" s="37"/>
      <c r="S97" s="37"/>
      <c r="T97" s="37"/>
      <c r="U97" s="37"/>
      <c r="V97" s="37"/>
      <c r="W97" s="37"/>
      <c r="X97" s="37"/>
      <c r="Y97" s="37"/>
      <c r="Z97" s="37"/>
      <c r="AA97" s="37" t="s">
        <v>1124</v>
      </c>
      <c r="AB97" s="37" t="s">
        <v>1124</v>
      </c>
      <c r="AC97" s="37"/>
      <c r="AD97" s="37"/>
      <c r="AE97" s="37"/>
      <c r="AF97" s="168"/>
      <c r="AG97" s="37"/>
      <c r="AH97" s="37"/>
      <c r="AI97" s="37"/>
      <c r="AJ97" s="37"/>
      <c r="AK97" s="37"/>
      <c r="AL97" s="37"/>
      <c r="AM97" s="37"/>
      <c r="AN97" s="37"/>
      <c r="AO97" s="37"/>
      <c r="AP97" s="37"/>
      <c r="AQ97" s="37"/>
      <c r="AR97" s="37" t="s">
        <v>1124</v>
      </c>
      <c r="AS97" s="37"/>
      <c r="AT97" s="37"/>
      <c r="AU97" s="37"/>
      <c r="AV97" s="37"/>
      <c r="AW97" s="37"/>
      <c r="AX97" s="37"/>
      <c r="AY97" s="37"/>
      <c r="AZ97" s="37"/>
      <c r="BA97" s="37"/>
      <c r="BB97" s="37"/>
      <c r="BC97" s="37"/>
      <c r="BD97" s="37" t="s">
        <v>1124</v>
      </c>
      <c r="BE97" s="37"/>
      <c r="BF97" s="37"/>
      <c r="BG97" s="37"/>
      <c r="BH97" s="37"/>
      <c r="BI97" s="37"/>
      <c r="BJ97" s="37"/>
      <c r="BK97" s="37"/>
      <c r="BL97" s="37"/>
      <c r="BM97" s="37"/>
      <c r="BN97" s="37"/>
      <c r="BO97" s="37"/>
      <c r="BP97" s="37">
        <v>0</v>
      </c>
      <c r="BQ97" s="37"/>
      <c r="BR97" s="37"/>
      <c r="BS97" s="37"/>
      <c r="BT97" s="37"/>
      <c r="BU97" s="37"/>
      <c r="BV97" s="37"/>
      <c r="BW97" s="37"/>
      <c r="BX97" s="37"/>
      <c r="BY97" s="37"/>
      <c r="BZ97" s="37"/>
      <c r="CA97" s="37"/>
      <c r="CB97" s="37" t="s">
        <v>1124</v>
      </c>
      <c r="CC97" s="37"/>
      <c r="CD97" s="37"/>
      <c r="CE97" s="37"/>
      <c r="CF97" s="37"/>
      <c r="CG97" s="37"/>
      <c r="CH97" s="37"/>
      <c r="CI97" s="37"/>
      <c r="CJ97" s="37"/>
      <c r="CK97" s="37"/>
      <c r="CL97" s="37"/>
      <c r="CM97" s="37"/>
      <c r="CN97" s="37" t="s">
        <v>1124</v>
      </c>
      <c r="CO97" s="37"/>
      <c r="CP97" s="37"/>
      <c r="CQ97" s="37"/>
      <c r="CR97" s="37"/>
      <c r="CS97" s="37"/>
      <c r="CT97" s="37"/>
      <c r="CU97" s="37"/>
      <c r="CV97" s="37"/>
      <c r="CW97" s="37"/>
      <c r="CX97" s="37"/>
      <c r="CY97" s="37"/>
      <c r="CZ97" s="37" t="s">
        <v>1124</v>
      </c>
      <c r="DA97" s="37"/>
      <c r="DB97" s="37"/>
      <c r="DC97" s="37"/>
      <c r="DD97" s="37"/>
      <c r="DE97" s="37"/>
      <c r="DF97" s="37"/>
      <c r="DG97" s="37"/>
      <c r="DH97" s="37"/>
      <c r="DI97" s="37"/>
      <c r="DJ97" s="37"/>
      <c r="DK97" s="37"/>
      <c r="DL97" s="37" t="s">
        <v>1124</v>
      </c>
      <c r="DM97" s="37"/>
      <c r="DN97" s="37"/>
      <c r="DO97" s="37"/>
      <c r="DP97" s="37"/>
      <c r="DQ97" s="37"/>
      <c r="DR97" s="37"/>
      <c r="DS97" s="37"/>
      <c r="DT97" s="37"/>
      <c r="DU97" s="37"/>
      <c r="DV97" s="37"/>
      <c r="DW97" s="37"/>
      <c r="DX97" s="37" t="s">
        <v>1124</v>
      </c>
      <c r="DY97" s="37"/>
      <c r="DZ97" s="37"/>
      <c r="EA97" s="37"/>
      <c r="EB97" s="37"/>
      <c r="EC97" s="37"/>
      <c r="ED97" s="37"/>
      <c r="EE97" s="37"/>
      <c r="EF97" s="37"/>
      <c r="EG97" s="37"/>
      <c r="EH97" s="37"/>
      <c r="EI97" s="37"/>
      <c r="EJ97" s="37" t="s">
        <v>1124</v>
      </c>
      <c r="EK97" s="161"/>
      <c r="EL97" s="294"/>
    </row>
    <row r="98" spans="1:142" ht="15" customHeight="1" x14ac:dyDescent="0.35">
      <c r="A98" s="34"/>
      <c r="B98" s="313">
        <v>7018</v>
      </c>
      <c r="C98" s="8" t="s">
        <v>1070</v>
      </c>
      <c r="D98" s="18">
        <v>1</v>
      </c>
      <c r="E98" s="155">
        <v>92663</v>
      </c>
      <c r="F98" s="36">
        <v>108398</v>
      </c>
      <c r="G98" s="37">
        <v>68588</v>
      </c>
      <c r="H98" s="37">
        <v>36081</v>
      </c>
      <c r="I98" s="37">
        <v>70438</v>
      </c>
      <c r="J98" s="37">
        <v>70438</v>
      </c>
      <c r="K98" s="37">
        <v>13899.449999999999</v>
      </c>
      <c r="L98" s="37">
        <v>16259.699999999999</v>
      </c>
      <c r="M98" s="37">
        <v>245588.45</v>
      </c>
      <c r="N98" s="37">
        <v>231176.7</v>
      </c>
      <c r="O98" s="37">
        <v>0</v>
      </c>
      <c r="P98" s="37">
        <v>0</v>
      </c>
      <c r="Q98" s="37">
        <v>445250</v>
      </c>
      <c r="R98" s="37">
        <v>205220</v>
      </c>
      <c r="S98" s="37">
        <v>0</v>
      </c>
      <c r="T98" s="37">
        <v>0</v>
      </c>
      <c r="U98" s="37">
        <v>26628</v>
      </c>
      <c r="V98" s="37">
        <v>18860</v>
      </c>
      <c r="W98" s="37">
        <v>0</v>
      </c>
      <c r="X98" s="37">
        <v>0</v>
      </c>
      <c r="Y98" s="37">
        <v>0</v>
      </c>
      <c r="Z98" s="37">
        <v>0</v>
      </c>
      <c r="AA98" s="37">
        <v>471878</v>
      </c>
      <c r="AB98" s="37">
        <v>224080</v>
      </c>
      <c r="AC98" s="37">
        <v>219193</v>
      </c>
      <c r="AD98" s="37">
        <v>141000</v>
      </c>
      <c r="AE98" s="37">
        <v>22703</v>
      </c>
      <c r="AF98" s="168">
        <v>0.02</v>
      </c>
      <c r="AG98" s="37">
        <v>50585305.630000003</v>
      </c>
      <c r="AH98" s="37">
        <v>436745.28</v>
      </c>
      <c r="AI98" s="37">
        <v>445480.18</v>
      </c>
      <c r="AJ98" s="37">
        <v>454389.79</v>
      </c>
      <c r="AK98" s="37">
        <v>463477.58</v>
      </c>
      <c r="AL98" s="37">
        <v>472747.13</v>
      </c>
      <c r="AM98" s="37">
        <v>482202.08</v>
      </c>
      <c r="AN98" s="37">
        <v>491846.12</v>
      </c>
      <c r="AO98" s="37">
        <v>501683.04</v>
      </c>
      <c r="AP98" s="37">
        <v>511716.7</v>
      </c>
      <c r="AQ98" s="37">
        <v>521951.03</v>
      </c>
      <c r="AR98" s="37">
        <v>4782238.9300000006</v>
      </c>
      <c r="AS98" s="37">
        <v>2151433.9300000002</v>
      </c>
      <c r="AT98" s="37">
        <v>36500.699999999997</v>
      </c>
      <c r="AU98" s="37">
        <v>0</v>
      </c>
      <c r="AV98" s="37">
        <v>0</v>
      </c>
      <c r="AW98" s="37">
        <v>0</v>
      </c>
      <c r="AX98" s="37">
        <v>0</v>
      </c>
      <c r="AY98" s="37">
        <v>0</v>
      </c>
      <c r="AZ98" s="37">
        <v>0</v>
      </c>
      <c r="BA98" s="37">
        <v>0</v>
      </c>
      <c r="BB98" s="37">
        <v>0</v>
      </c>
      <c r="BC98" s="37">
        <v>0</v>
      </c>
      <c r="BD98" s="37">
        <v>36500.699999999997</v>
      </c>
      <c r="BE98" s="37">
        <v>450850</v>
      </c>
      <c r="BF98" s="37">
        <v>125000</v>
      </c>
      <c r="BG98" s="37">
        <v>1982462</v>
      </c>
      <c r="BH98" s="37">
        <v>0</v>
      </c>
      <c r="BI98" s="37">
        <v>0</v>
      </c>
      <c r="BJ98" s="37">
        <v>0</v>
      </c>
      <c r="BK98" s="37">
        <v>0</v>
      </c>
      <c r="BL98" s="37">
        <v>0</v>
      </c>
      <c r="BM98" s="37">
        <v>0</v>
      </c>
      <c r="BN98" s="37">
        <v>0</v>
      </c>
      <c r="BO98" s="37">
        <v>0</v>
      </c>
      <c r="BP98" s="37">
        <v>2107462</v>
      </c>
      <c r="BQ98" s="37">
        <v>0</v>
      </c>
      <c r="BR98" s="37">
        <v>0</v>
      </c>
      <c r="BS98" s="37">
        <v>495617</v>
      </c>
      <c r="BT98" s="37">
        <v>0</v>
      </c>
      <c r="BU98" s="37">
        <v>0</v>
      </c>
      <c r="BV98" s="37">
        <v>0</v>
      </c>
      <c r="BW98" s="37">
        <v>0</v>
      </c>
      <c r="BX98" s="37">
        <v>0</v>
      </c>
      <c r="BY98" s="37">
        <v>0</v>
      </c>
      <c r="BZ98" s="37">
        <v>0</v>
      </c>
      <c r="CA98" s="37">
        <v>0</v>
      </c>
      <c r="CB98" s="37">
        <v>495617</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D98" s="37">
        <v>0</v>
      </c>
      <c r="DE98" s="37">
        <v>0</v>
      </c>
      <c r="DF98" s="37">
        <v>0</v>
      </c>
      <c r="DG98" s="37">
        <v>0</v>
      </c>
      <c r="DH98" s="37">
        <v>0</v>
      </c>
      <c r="DI98" s="37">
        <v>0</v>
      </c>
      <c r="DJ98" s="37">
        <v>0</v>
      </c>
      <c r="DK98" s="37">
        <v>0</v>
      </c>
      <c r="DL98" s="37">
        <v>0</v>
      </c>
      <c r="DM98" s="37">
        <v>45000</v>
      </c>
      <c r="DN98" s="37">
        <v>35785</v>
      </c>
      <c r="DO98" s="37">
        <v>0</v>
      </c>
      <c r="DP98" s="37">
        <v>0</v>
      </c>
      <c r="DQ98" s="37">
        <v>0</v>
      </c>
      <c r="DR98" s="37">
        <v>0</v>
      </c>
      <c r="DS98" s="37">
        <v>0</v>
      </c>
      <c r="DT98" s="37">
        <v>0</v>
      </c>
      <c r="DU98" s="37">
        <v>0</v>
      </c>
      <c r="DV98" s="37">
        <v>0</v>
      </c>
      <c r="DW98" s="37">
        <v>0</v>
      </c>
      <c r="DX98" s="37">
        <v>35785</v>
      </c>
      <c r="DY98" s="37">
        <v>0</v>
      </c>
      <c r="DZ98" s="37">
        <v>0</v>
      </c>
      <c r="EA98" s="37">
        <v>0</v>
      </c>
      <c r="EB98" s="37">
        <v>0</v>
      </c>
      <c r="EC98" s="37">
        <v>0</v>
      </c>
      <c r="ED98" s="37">
        <v>0</v>
      </c>
      <c r="EE98" s="37">
        <v>0</v>
      </c>
      <c r="EF98" s="37">
        <v>0</v>
      </c>
      <c r="EG98" s="37">
        <v>0</v>
      </c>
      <c r="EH98" s="37">
        <v>0</v>
      </c>
      <c r="EI98" s="37">
        <v>0</v>
      </c>
      <c r="EJ98" s="37">
        <v>0</v>
      </c>
      <c r="EK98" s="161" t="s">
        <v>1572</v>
      </c>
      <c r="EL98" s="294" t="s">
        <v>1124</v>
      </c>
    </row>
    <row r="99" spans="1:142" ht="15" customHeight="1" x14ac:dyDescent="0.35">
      <c r="A99" s="34"/>
      <c r="B99" s="313">
        <v>83040</v>
      </c>
      <c r="C99" s="8" t="s">
        <v>840</v>
      </c>
      <c r="D99" s="18">
        <v>7</v>
      </c>
      <c r="E99" s="155"/>
      <c r="F99" s="36"/>
      <c r="G99" s="37"/>
      <c r="H99" s="37"/>
      <c r="I99" s="37"/>
      <c r="J99" s="37"/>
      <c r="K99" s="37"/>
      <c r="L99" s="37"/>
      <c r="M99" s="37" t="s">
        <v>1124</v>
      </c>
      <c r="N99" s="37" t="s">
        <v>1124</v>
      </c>
      <c r="O99" s="37"/>
      <c r="P99" s="37"/>
      <c r="Q99" s="37"/>
      <c r="R99" s="37"/>
      <c r="S99" s="37"/>
      <c r="T99" s="37"/>
      <c r="U99" s="37"/>
      <c r="V99" s="37"/>
      <c r="W99" s="37"/>
      <c r="X99" s="37"/>
      <c r="Y99" s="37"/>
      <c r="Z99" s="37"/>
      <c r="AA99" s="37" t="s">
        <v>1124</v>
      </c>
      <c r="AB99" s="37" t="s">
        <v>1124</v>
      </c>
      <c r="AC99" s="37"/>
      <c r="AD99" s="37"/>
      <c r="AE99" s="37"/>
      <c r="AF99" s="168"/>
      <c r="AG99" s="37"/>
      <c r="AH99" s="37"/>
      <c r="AI99" s="37"/>
      <c r="AJ99" s="37"/>
      <c r="AK99" s="37"/>
      <c r="AL99" s="37"/>
      <c r="AM99" s="37"/>
      <c r="AN99" s="37"/>
      <c r="AO99" s="37"/>
      <c r="AP99" s="37"/>
      <c r="AQ99" s="37"/>
      <c r="AR99" s="37" t="s">
        <v>1124</v>
      </c>
      <c r="AS99" s="37"/>
      <c r="AT99" s="37"/>
      <c r="AU99" s="37"/>
      <c r="AV99" s="37"/>
      <c r="AW99" s="37"/>
      <c r="AX99" s="37"/>
      <c r="AY99" s="37"/>
      <c r="AZ99" s="37"/>
      <c r="BA99" s="37"/>
      <c r="BB99" s="37"/>
      <c r="BC99" s="37"/>
      <c r="BD99" s="37" t="s">
        <v>1124</v>
      </c>
      <c r="BE99" s="37"/>
      <c r="BF99" s="37"/>
      <c r="BG99" s="37"/>
      <c r="BH99" s="37"/>
      <c r="BI99" s="37"/>
      <c r="BJ99" s="37"/>
      <c r="BK99" s="37"/>
      <c r="BL99" s="37"/>
      <c r="BM99" s="37"/>
      <c r="BN99" s="37"/>
      <c r="BO99" s="37"/>
      <c r="BP99" s="37">
        <v>0</v>
      </c>
      <c r="BQ99" s="37"/>
      <c r="BR99" s="37"/>
      <c r="BS99" s="37"/>
      <c r="BT99" s="37"/>
      <c r="BU99" s="37"/>
      <c r="BV99" s="37"/>
      <c r="BW99" s="37"/>
      <c r="BX99" s="37"/>
      <c r="BY99" s="37"/>
      <c r="BZ99" s="37"/>
      <c r="CA99" s="37"/>
      <c r="CB99" s="37" t="s">
        <v>1124</v>
      </c>
      <c r="CC99" s="37"/>
      <c r="CD99" s="37"/>
      <c r="CE99" s="37"/>
      <c r="CF99" s="37"/>
      <c r="CG99" s="37"/>
      <c r="CH99" s="37"/>
      <c r="CI99" s="37"/>
      <c r="CJ99" s="37"/>
      <c r="CK99" s="37"/>
      <c r="CL99" s="37"/>
      <c r="CM99" s="37"/>
      <c r="CN99" s="37" t="s">
        <v>1124</v>
      </c>
      <c r="CO99" s="37"/>
      <c r="CP99" s="37"/>
      <c r="CQ99" s="37"/>
      <c r="CR99" s="37"/>
      <c r="CS99" s="37"/>
      <c r="CT99" s="37"/>
      <c r="CU99" s="37"/>
      <c r="CV99" s="37"/>
      <c r="CW99" s="37"/>
      <c r="CX99" s="37"/>
      <c r="CY99" s="37"/>
      <c r="CZ99" s="37" t="s">
        <v>1124</v>
      </c>
      <c r="DA99" s="37"/>
      <c r="DB99" s="37"/>
      <c r="DC99" s="37"/>
      <c r="DD99" s="37"/>
      <c r="DE99" s="37"/>
      <c r="DF99" s="37"/>
      <c r="DG99" s="37"/>
      <c r="DH99" s="37"/>
      <c r="DI99" s="37"/>
      <c r="DJ99" s="37"/>
      <c r="DK99" s="37"/>
      <c r="DL99" s="37" t="s">
        <v>1124</v>
      </c>
      <c r="DM99" s="37"/>
      <c r="DN99" s="37"/>
      <c r="DO99" s="37"/>
      <c r="DP99" s="37"/>
      <c r="DQ99" s="37"/>
      <c r="DR99" s="37"/>
      <c r="DS99" s="37"/>
      <c r="DT99" s="37"/>
      <c r="DU99" s="37"/>
      <c r="DV99" s="37"/>
      <c r="DW99" s="37"/>
      <c r="DX99" s="37" t="s">
        <v>1124</v>
      </c>
      <c r="DY99" s="37"/>
      <c r="DZ99" s="37"/>
      <c r="EA99" s="37"/>
      <c r="EB99" s="37"/>
      <c r="EC99" s="37"/>
      <c r="ED99" s="37"/>
      <c r="EE99" s="37"/>
      <c r="EF99" s="37"/>
      <c r="EG99" s="37"/>
      <c r="EH99" s="37"/>
      <c r="EI99" s="37"/>
      <c r="EJ99" s="37" t="s">
        <v>1124</v>
      </c>
      <c r="EK99" s="161"/>
      <c r="EL99" s="294"/>
    </row>
    <row r="100" spans="1:142" ht="15" customHeight="1" x14ac:dyDescent="0.35">
      <c r="A100" s="34"/>
      <c r="B100" s="313">
        <v>57005</v>
      </c>
      <c r="C100" s="8" t="s">
        <v>581</v>
      </c>
      <c r="D100" s="21">
        <v>16</v>
      </c>
      <c r="E100" s="155">
        <v>1384576</v>
      </c>
      <c r="F100" s="36">
        <v>1370339</v>
      </c>
      <c r="G100" s="37">
        <v>90852</v>
      </c>
      <c r="H100" s="37">
        <v>222025</v>
      </c>
      <c r="I100" s="37">
        <v>2981078</v>
      </c>
      <c r="J100" s="37">
        <v>7285186</v>
      </c>
      <c r="K100" s="37">
        <v>207686</v>
      </c>
      <c r="L100" s="37">
        <v>205551</v>
      </c>
      <c r="M100" s="37">
        <v>4664192</v>
      </c>
      <c r="N100" s="37">
        <v>9083101</v>
      </c>
      <c r="O100" s="37">
        <v>1477980</v>
      </c>
      <c r="P100" s="37">
        <v>0</v>
      </c>
      <c r="Q100" s="37">
        <v>222568</v>
      </c>
      <c r="R100" s="37">
        <v>96469</v>
      </c>
      <c r="S100" s="37">
        <v>23824</v>
      </c>
      <c r="T100" s="37">
        <v>207734</v>
      </c>
      <c r="U100" s="37">
        <v>128106</v>
      </c>
      <c r="V100" s="37">
        <v>290720</v>
      </c>
      <c r="W100" s="37">
        <v>2319442</v>
      </c>
      <c r="X100" s="37">
        <v>7573959</v>
      </c>
      <c r="Y100" s="37">
        <v>492271.85</v>
      </c>
      <c r="Z100" s="37">
        <v>914219.15</v>
      </c>
      <c r="AA100" s="37">
        <v>4664191.8499999996</v>
      </c>
      <c r="AB100" s="37">
        <v>9083101.1500000004</v>
      </c>
      <c r="AC100" s="37">
        <v>0</v>
      </c>
      <c r="AD100" s="37">
        <v>0</v>
      </c>
      <c r="AE100" s="37">
        <v>1406491</v>
      </c>
      <c r="AF100" s="168">
        <v>0.02</v>
      </c>
      <c r="AG100" s="37">
        <v>438771750.02999997</v>
      </c>
      <c r="AH100" s="37">
        <v>3350938.3</v>
      </c>
      <c r="AI100" s="37">
        <v>3417957.06</v>
      </c>
      <c r="AJ100" s="37">
        <v>3486316.2</v>
      </c>
      <c r="AK100" s="37">
        <v>3556042.53</v>
      </c>
      <c r="AL100" s="37">
        <v>3627163.38</v>
      </c>
      <c r="AM100" s="37">
        <v>3699706.65</v>
      </c>
      <c r="AN100" s="37">
        <v>3773700.78</v>
      </c>
      <c r="AO100" s="37">
        <v>3849174.79</v>
      </c>
      <c r="AP100" s="37">
        <v>3926158.29</v>
      </c>
      <c r="AQ100" s="37">
        <v>4004681.46</v>
      </c>
      <c r="AR100" s="37">
        <v>36691839.439999998</v>
      </c>
      <c r="AS100" s="37">
        <v>15179920.609999999</v>
      </c>
      <c r="AT100" s="37">
        <v>0</v>
      </c>
      <c r="AU100" s="37">
        <v>0</v>
      </c>
      <c r="AV100" s="37">
        <v>0</v>
      </c>
      <c r="AW100" s="37">
        <v>0</v>
      </c>
      <c r="AX100" s="37">
        <v>0</v>
      </c>
      <c r="AY100" s="37">
        <v>0</v>
      </c>
      <c r="AZ100" s="37">
        <v>0</v>
      </c>
      <c r="BA100" s="37">
        <v>0</v>
      </c>
      <c r="BB100" s="37">
        <v>0</v>
      </c>
      <c r="BC100" s="37">
        <v>0</v>
      </c>
      <c r="BD100" s="37">
        <v>0</v>
      </c>
      <c r="BE100" s="37">
        <v>511869</v>
      </c>
      <c r="BF100" s="37">
        <v>442120</v>
      </c>
      <c r="BG100" s="37">
        <v>1650000</v>
      </c>
      <c r="BH100" s="37">
        <v>3300000</v>
      </c>
      <c r="BI100" s="37">
        <v>3856094</v>
      </c>
      <c r="BJ100" s="37">
        <v>0</v>
      </c>
      <c r="BK100" s="37">
        <v>0</v>
      </c>
      <c r="BL100" s="37">
        <v>0</v>
      </c>
      <c r="BM100" s="37">
        <v>0</v>
      </c>
      <c r="BN100" s="37">
        <v>0</v>
      </c>
      <c r="BO100" s="37">
        <v>0</v>
      </c>
      <c r="BP100" s="37">
        <v>9248214</v>
      </c>
      <c r="BQ100" s="37">
        <v>221060</v>
      </c>
      <c r="BR100" s="37">
        <v>221060</v>
      </c>
      <c r="BS100" s="37">
        <v>410850</v>
      </c>
      <c r="BT100" s="37">
        <v>821700</v>
      </c>
      <c r="BU100" s="37">
        <v>960167</v>
      </c>
      <c r="BV100" s="37">
        <v>0</v>
      </c>
      <c r="BW100" s="37">
        <v>0</v>
      </c>
      <c r="BX100" s="37">
        <v>0</v>
      </c>
      <c r="BY100" s="37">
        <v>0</v>
      </c>
      <c r="BZ100" s="37">
        <v>0</v>
      </c>
      <c r="CA100" s="37">
        <v>0</v>
      </c>
      <c r="CB100" s="37">
        <v>2413777</v>
      </c>
      <c r="CC100" s="37">
        <v>0</v>
      </c>
      <c r="CD100" s="37">
        <v>0</v>
      </c>
      <c r="CE100" s="37">
        <v>0</v>
      </c>
      <c r="CF100" s="37">
        <v>0</v>
      </c>
      <c r="CG100" s="37">
        <v>0</v>
      </c>
      <c r="CH100" s="37">
        <v>0</v>
      </c>
      <c r="CI100" s="37">
        <v>0</v>
      </c>
      <c r="CJ100" s="37">
        <v>0</v>
      </c>
      <c r="CK100" s="37">
        <v>0</v>
      </c>
      <c r="CL100" s="37">
        <v>0</v>
      </c>
      <c r="CM100" s="37">
        <v>0</v>
      </c>
      <c r="CN100" s="37">
        <v>0</v>
      </c>
      <c r="CO100" s="37">
        <v>0</v>
      </c>
      <c r="CP100" s="37">
        <v>0</v>
      </c>
      <c r="CQ100" s="37">
        <v>0</v>
      </c>
      <c r="CR100" s="37">
        <v>0</v>
      </c>
      <c r="CS100" s="37">
        <v>0</v>
      </c>
      <c r="CT100" s="37">
        <v>0</v>
      </c>
      <c r="CU100" s="37">
        <v>0</v>
      </c>
      <c r="CV100" s="37">
        <v>0</v>
      </c>
      <c r="CW100" s="37">
        <v>0</v>
      </c>
      <c r="CX100" s="37">
        <v>0</v>
      </c>
      <c r="CY100" s="37">
        <v>0</v>
      </c>
      <c r="CZ100" s="37">
        <v>0</v>
      </c>
      <c r="DA100" s="37">
        <v>0</v>
      </c>
      <c r="DB100" s="37">
        <v>0</v>
      </c>
      <c r="DC100" s="37">
        <v>0</v>
      </c>
      <c r="DD100" s="37">
        <v>0</v>
      </c>
      <c r="DE100" s="37">
        <v>0</v>
      </c>
      <c r="DF100" s="37">
        <v>0</v>
      </c>
      <c r="DG100" s="37">
        <v>0</v>
      </c>
      <c r="DH100" s="37">
        <v>0</v>
      </c>
      <c r="DI100" s="37">
        <v>0</v>
      </c>
      <c r="DJ100" s="37">
        <v>0</v>
      </c>
      <c r="DK100" s="37">
        <v>0</v>
      </c>
      <c r="DL100" s="37">
        <v>0</v>
      </c>
      <c r="DM100" s="37">
        <v>0</v>
      </c>
      <c r="DN100" s="37">
        <v>0</v>
      </c>
      <c r="DO100" s="37">
        <v>0</v>
      </c>
      <c r="DP100" s="37">
        <v>0</v>
      </c>
      <c r="DQ100" s="37">
        <v>0</v>
      </c>
      <c r="DR100" s="37">
        <v>0</v>
      </c>
      <c r="DS100" s="37">
        <v>0</v>
      </c>
      <c r="DT100" s="37">
        <v>0</v>
      </c>
      <c r="DU100" s="37">
        <v>0</v>
      </c>
      <c r="DV100" s="37">
        <v>0</v>
      </c>
      <c r="DW100" s="37">
        <v>0</v>
      </c>
      <c r="DX100" s="37">
        <v>0</v>
      </c>
      <c r="DY100" s="37">
        <v>0</v>
      </c>
      <c r="DZ100" s="37">
        <v>0</v>
      </c>
      <c r="EA100" s="37">
        <v>0</v>
      </c>
      <c r="EB100" s="37">
        <v>0</v>
      </c>
      <c r="EC100" s="37">
        <v>0</v>
      </c>
      <c r="ED100" s="37">
        <v>0</v>
      </c>
      <c r="EE100" s="37">
        <v>0</v>
      </c>
      <c r="EF100" s="37">
        <v>0</v>
      </c>
      <c r="EG100" s="37">
        <v>0</v>
      </c>
      <c r="EH100" s="37">
        <v>0</v>
      </c>
      <c r="EI100" s="37">
        <v>0</v>
      </c>
      <c r="EJ100" s="37">
        <v>0</v>
      </c>
      <c r="EK100" s="161" t="s">
        <v>2167</v>
      </c>
      <c r="EL100" s="294" t="s">
        <v>1124</v>
      </c>
    </row>
    <row r="101" spans="1:142" ht="15" customHeight="1" x14ac:dyDescent="0.35">
      <c r="A101" s="34"/>
      <c r="B101" s="313">
        <v>91020</v>
      </c>
      <c r="C101" s="8" t="s">
        <v>940</v>
      </c>
      <c r="D101" s="18">
        <v>2</v>
      </c>
      <c r="E101" s="155">
        <v>300457</v>
      </c>
      <c r="F101" s="36">
        <v>93336</v>
      </c>
      <c r="G101" s="37">
        <v>46984</v>
      </c>
      <c r="H101" s="37">
        <v>3095</v>
      </c>
      <c r="I101" s="37">
        <v>81071</v>
      </c>
      <c r="J101" s="37">
        <v>28808</v>
      </c>
      <c r="K101" s="37">
        <v>0</v>
      </c>
      <c r="L101" s="37">
        <v>0</v>
      </c>
      <c r="M101" s="37">
        <v>428512</v>
      </c>
      <c r="N101" s="37">
        <v>125239</v>
      </c>
      <c r="O101" s="37">
        <v>0</v>
      </c>
      <c r="P101" s="37">
        <v>0</v>
      </c>
      <c r="Q101" s="37">
        <v>166421.44</v>
      </c>
      <c r="R101" s="37">
        <v>82012.73</v>
      </c>
      <c r="S101" s="37">
        <v>3200</v>
      </c>
      <c r="T101" s="37">
        <v>0</v>
      </c>
      <c r="U101" s="37">
        <v>5446</v>
      </c>
      <c r="V101" s="37">
        <v>0</v>
      </c>
      <c r="W101" s="37">
        <v>233445</v>
      </c>
      <c r="X101" s="37">
        <v>33226</v>
      </c>
      <c r="Y101" s="37">
        <v>20000</v>
      </c>
      <c r="Z101" s="37">
        <v>10000</v>
      </c>
      <c r="AA101" s="37">
        <v>428512.44</v>
      </c>
      <c r="AB101" s="37">
        <v>125238.73</v>
      </c>
      <c r="AC101" s="37">
        <v>0</v>
      </c>
      <c r="AD101" s="37">
        <v>0</v>
      </c>
      <c r="AE101" s="37">
        <v>52946.1</v>
      </c>
      <c r="AF101" s="168">
        <v>0.02</v>
      </c>
      <c r="AG101" s="37">
        <v>18481703.649999999</v>
      </c>
      <c r="AH101" s="37">
        <v>123578.1</v>
      </c>
      <c r="AI101" s="37">
        <v>126049.66</v>
      </c>
      <c r="AJ101" s="37">
        <v>128570.66</v>
      </c>
      <c r="AK101" s="37">
        <v>131142.07</v>
      </c>
      <c r="AL101" s="37">
        <v>133764.91</v>
      </c>
      <c r="AM101" s="37">
        <v>136440.21</v>
      </c>
      <c r="AN101" s="37">
        <v>139169.01</v>
      </c>
      <c r="AO101" s="37">
        <v>141952.39000000001</v>
      </c>
      <c r="AP101" s="37">
        <v>144791.44</v>
      </c>
      <c r="AQ101" s="37">
        <v>147687.26999999999</v>
      </c>
      <c r="AR101" s="37">
        <v>1353145.72</v>
      </c>
      <c r="AS101" s="37">
        <v>0</v>
      </c>
      <c r="AT101" s="37">
        <v>0</v>
      </c>
      <c r="AU101" s="37">
        <v>0</v>
      </c>
      <c r="AV101" s="37">
        <v>0</v>
      </c>
      <c r="AW101" s="37">
        <v>0</v>
      </c>
      <c r="AX101" s="37">
        <v>0</v>
      </c>
      <c r="AY101" s="37">
        <v>0</v>
      </c>
      <c r="AZ101" s="37">
        <v>0</v>
      </c>
      <c r="BA101" s="37">
        <v>0</v>
      </c>
      <c r="BB101" s="37">
        <v>0</v>
      </c>
      <c r="BC101" s="37">
        <v>0</v>
      </c>
      <c r="BD101" s="37">
        <v>0</v>
      </c>
      <c r="BE101" s="37">
        <v>884949</v>
      </c>
      <c r="BF101" s="37">
        <v>0</v>
      </c>
      <c r="BG101" s="37">
        <v>0</v>
      </c>
      <c r="BH101" s="37">
        <v>0</v>
      </c>
      <c r="BI101" s="37">
        <v>0</v>
      </c>
      <c r="BJ101" s="37">
        <v>0</v>
      </c>
      <c r="BK101" s="37">
        <v>0</v>
      </c>
      <c r="BL101" s="37">
        <v>0</v>
      </c>
      <c r="BM101" s="37">
        <v>0</v>
      </c>
      <c r="BN101" s="37">
        <v>0</v>
      </c>
      <c r="BO101" s="37">
        <v>0</v>
      </c>
      <c r="BP101" s="37">
        <v>0</v>
      </c>
      <c r="BQ101" s="37">
        <v>435872</v>
      </c>
      <c r="BR101" s="37">
        <v>0</v>
      </c>
      <c r="BS101" s="37">
        <v>0</v>
      </c>
      <c r="BT101" s="37">
        <v>500000</v>
      </c>
      <c r="BU101" s="37">
        <v>0</v>
      </c>
      <c r="BV101" s="37">
        <v>0</v>
      </c>
      <c r="BW101" s="37">
        <v>0</v>
      </c>
      <c r="BX101" s="37">
        <v>0</v>
      </c>
      <c r="BY101" s="37">
        <v>0</v>
      </c>
      <c r="BZ101" s="37">
        <v>0</v>
      </c>
      <c r="CA101" s="37">
        <v>0</v>
      </c>
      <c r="CB101" s="37">
        <v>500000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D101" s="37">
        <v>0</v>
      </c>
      <c r="DE101" s="37">
        <v>0</v>
      </c>
      <c r="DF101" s="37">
        <v>0</v>
      </c>
      <c r="DG101" s="37">
        <v>0</v>
      </c>
      <c r="DH101" s="37">
        <v>0</v>
      </c>
      <c r="DI101" s="37">
        <v>0</v>
      </c>
      <c r="DJ101" s="37">
        <v>0</v>
      </c>
      <c r="DK101" s="37">
        <v>0</v>
      </c>
      <c r="DL101" s="37">
        <v>0</v>
      </c>
      <c r="DM101" s="37">
        <v>0</v>
      </c>
      <c r="DN101" s="37">
        <v>0</v>
      </c>
      <c r="DO101" s="37">
        <v>0</v>
      </c>
      <c r="DP101" s="37">
        <v>0</v>
      </c>
      <c r="DQ101" s="37">
        <v>0</v>
      </c>
      <c r="DR101" s="37">
        <v>0</v>
      </c>
      <c r="DS101" s="37">
        <v>0</v>
      </c>
      <c r="DT101" s="37">
        <v>0</v>
      </c>
      <c r="DU101" s="37">
        <v>0</v>
      </c>
      <c r="DV101" s="37">
        <v>0</v>
      </c>
      <c r="DW101" s="37">
        <v>0</v>
      </c>
      <c r="DX101" s="37">
        <v>0</v>
      </c>
      <c r="DY101" s="37">
        <v>0</v>
      </c>
      <c r="DZ101" s="37">
        <v>0</v>
      </c>
      <c r="EA101" s="37">
        <v>0</v>
      </c>
      <c r="EB101" s="37">
        <v>0</v>
      </c>
      <c r="EC101" s="37">
        <v>0</v>
      </c>
      <c r="ED101" s="37">
        <v>0</v>
      </c>
      <c r="EE101" s="37">
        <v>0</v>
      </c>
      <c r="EF101" s="37">
        <v>0</v>
      </c>
      <c r="EG101" s="37">
        <v>0</v>
      </c>
      <c r="EH101" s="37">
        <v>0</v>
      </c>
      <c r="EI101" s="37">
        <v>0</v>
      </c>
      <c r="EJ101" s="37">
        <v>0</v>
      </c>
      <c r="EK101" s="161" t="s">
        <v>1124</v>
      </c>
      <c r="EL101" s="294" t="s">
        <v>1124</v>
      </c>
    </row>
    <row r="102" spans="1:142" ht="15" customHeight="1" x14ac:dyDescent="0.35">
      <c r="A102" s="34"/>
      <c r="B102" s="313">
        <v>37220</v>
      </c>
      <c r="C102" s="8" t="s">
        <v>318</v>
      </c>
      <c r="D102" s="18">
        <v>4</v>
      </c>
      <c r="E102" s="155"/>
      <c r="F102" s="36"/>
      <c r="G102" s="37"/>
      <c r="H102" s="37"/>
      <c r="I102" s="37"/>
      <c r="J102" s="37"/>
      <c r="K102" s="37"/>
      <c r="L102" s="37"/>
      <c r="M102" s="37" t="s">
        <v>1124</v>
      </c>
      <c r="N102" s="37" t="s">
        <v>1124</v>
      </c>
      <c r="O102" s="37"/>
      <c r="P102" s="37"/>
      <c r="Q102" s="37"/>
      <c r="R102" s="37"/>
      <c r="S102" s="37"/>
      <c r="T102" s="37"/>
      <c r="U102" s="37"/>
      <c r="V102" s="37"/>
      <c r="W102" s="37"/>
      <c r="X102" s="37"/>
      <c r="Y102" s="37"/>
      <c r="Z102" s="37"/>
      <c r="AA102" s="37" t="s">
        <v>1124</v>
      </c>
      <c r="AB102" s="37" t="s">
        <v>1124</v>
      </c>
      <c r="AC102" s="37"/>
      <c r="AD102" s="37"/>
      <c r="AE102" s="37"/>
      <c r="AF102" s="168"/>
      <c r="AG102" s="37"/>
      <c r="AH102" s="37"/>
      <c r="AI102" s="37"/>
      <c r="AJ102" s="37"/>
      <c r="AK102" s="37"/>
      <c r="AL102" s="37"/>
      <c r="AM102" s="37"/>
      <c r="AN102" s="37"/>
      <c r="AO102" s="37"/>
      <c r="AP102" s="37"/>
      <c r="AQ102" s="37"/>
      <c r="AR102" s="37" t="s">
        <v>1124</v>
      </c>
      <c r="AS102" s="37"/>
      <c r="AT102" s="37"/>
      <c r="AU102" s="37"/>
      <c r="AV102" s="37"/>
      <c r="AW102" s="37"/>
      <c r="AX102" s="37"/>
      <c r="AY102" s="37"/>
      <c r="AZ102" s="37"/>
      <c r="BA102" s="37"/>
      <c r="BB102" s="37"/>
      <c r="BC102" s="37"/>
      <c r="BD102" s="37" t="s">
        <v>1124</v>
      </c>
      <c r="BE102" s="37"/>
      <c r="BF102" s="37"/>
      <c r="BG102" s="37"/>
      <c r="BH102" s="37"/>
      <c r="BI102" s="37"/>
      <c r="BJ102" s="37"/>
      <c r="BK102" s="37"/>
      <c r="BL102" s="37"/>
      <c r="BM102" s="37"/>
      <c r="BN102" s="37"/>
      <c r="BO102" s="37"/>
      <c r="BP102" s="37">
        <v>0</v>
      </c>
      <c r="BQ102" s="37"/>
      <c r="BR102" s="37"/>
      <c r="BS102" s="37"/>
      <c r="BT102" s="37"/>
      <c r="BU102" s="37"/>
      <c r="BV102" s="37"/>
      <c r="BW102" s="37"/>
      <c r="BX102" s="37"/>
      <c r="BY102" s="37"/>
      <c r="BZ102" s="37"/>
      <c r="CA102" s="37"/>
      <c r="CB102" s="37" t="s">
        <v>1124</v>
      </c>
      <c r="CC102" s="37"/>
      <c r="CD102" s="37"/>
      <c r="CE102" s="37"/>
      <c r="CF102" s="37"/>
      <c r="CG102" s="37"/>
      <c r="CH102" s="37"/>
      <c r="CI102" s="37"/>
      <c r="CJ102" s="37"/>
      <c r="CK102" s="37"/>
      <c r="CL102" s="37"/>
      <c r="CM102" s="37"/>
      <c r="CN102" s="37" t="s">
        <v>1124</v>
      </c>
      <c r="CO102" s="37"/>
      <c r="CP102" s="37"/>
      <c r="CQ102" s="37"/>
      <c r="CR102" s="37"/>
      <c r="CS102" s="37"/>
      <c r="CT102" s="37"/>
      <c r="CU102" s="37"/>
      <c r="CV102" s="37"/>
      <c r="CW102" s="37"/>
      <c r="CX102" s="37"/>
      <c r="CY102" s="37"/>
      <c r="CZ102" s="37" t="s">
        <v>1124</v>
      </c>
      <c r="DA102" s="37"/>
      <c r="DB102" s="37"/>
      <c r="DC102" s="37"/>
      <c r="DD102" s="37"/>
      <c r="DE102" s="37"/>
      <c r="DF102" s="37"/>
      <c r="DG102" s="37"/>
      <c r="DH102" s="37"/>
      <c r="DI102" s="37"/>
      <c r="DJ102" s="37"/>
      <c r="DK102" s="37"/>
      <c r="DL102" s="37" t="s">
        <v>1124</v>
      </c>
      <c r="DM102" s="37"/>
      <c r="DN102" s="37"/>
      <c r="DO102" s="37"/>
      <c r="DP102" s="37"/>
      <c r="DQ102" s="37"/>
      <c r="DR102" s="37"/>
      <c r="DS102" s="37"/>
      <c r="DT102" s="37"/>
      <c r="DU102" s="37"/>
      <c r="DV102" s="37"/>
      <c r="DW102" s="37"/>
      <c r="DX102" s="37" t="s">
        <v>1124</v>
      </c>
      <c r="DY102" s="37"/>
      <c r="DZ102" s="37"/>
      <c r="EA102" s="37"/>
      <c r="EB102" s="37"/>
      <c r="EC102" s="37"/>
      <c r="ED102" s="37"/>
      <c r="EE102" s="37"/>
      <c r="EF102" s="37"/>
      <c r="EG102" s="37"/>
      <c r="EH102" s="37"/>
      <c r="EI102" s="37"/>
      <c r="EJ102" s="37" t="s">
        <v>1124</v>
      </c>
      <c r="EK102" s="161"/>
      <c r="EL102" s="294"/>
    </row>
    <row r="103" spans="1:142" ht="15" customHeight="1" x14ac:dyDescent="0.35">
      <c r="A103" s="34"/>
      <c r="B103" s="313">
        <v>88005</v>
      </c>
      <c r="C103" s="8" t="s">
        <v>911</v>
      </c>
      <c r="D103" s="18">
        <v>8</v>
      </c>
      <c r="E103" s="155"/>
      <c r="F103" s="36"/>
      <c r="G103" s="37"/>
      <c r="H103" s="37"/>
      <c r="I103" s="37"/>
      <c r="J103" s="37"/>
      <c r="K103" s="37"/>
      <c r="L103" s="37"/>
      <c r="M103" s="37" t="s">
        <v>1124</v>
      </c>
      <c r="N103" s="37" t="s">
        <v>1124</v>
      </c>
      <c r="O103" s="37"/>
      <c r="P103" s="37"/>
      <c r="Q103" s="37"/>
      <c r="R103" s="37"/>
      <c r="S103" s="37"/>
      <c r="T103" s="37"/>
      <c r="U103" s="37"/>
      <c r="V103" s="37"/>
      <c r="W103" s="37"/>
      <c r="X103" s="37"/>
      <c r="Y103" s="37"/>
      <c r="Z103" s="37"/>
      <c r="AA103" s="37" t="s">
        <v>1124</v>
      </c>
      <c r="AB103" s="37" t="s">
        <v>1124</v>
      </c>
      <c r="AC103" s="37"/>
      <c r="AD103" s="37"/>
      <c r="AE103" s="37"/>
      <c r="AF103" s="168"/>
      <c r="AG103" s="37"/>
      <c r="AH103" s="37"/>
      <c r="AI103" s="37"/>
      <c r="AJ103" s="37"/>
      <c r="AK103" s="37"/>
      <c r="AL103" s="37"/>
      <c r="AM103" s="37"/>
      <c r="AN103" s="37"/>
      <c r="AO103" s="37"/>
      <c r="AP103" s="37"/>
      <c r="AQ103" s="37"/>
      <c r="AR103" s="37" t="s">
        <v>1124</v>
      </c>
      <c r="AS103" s="37"/>
      <c r="AT103" s="37"/>
      <c r="AU103" s="37"/>
      <c r="AV103" s="37"/>
      <c r="AW103" s="37"/>
      <c r="AX103" s="37"/>
      <c r="AY103" s="37"/>
      <c r="AZ103" s="37"/>
      <c r="BA103" s="37"/>
      <c r="BB103" s="37"/>
      <c r="BC103" s="37"/>
      <c r="BD103" s="37" t="s">
        <v>1124</v>
      </c>
      <c r="BE103" s="37"/>
      <c r="BF103" s="37"/>
      <c r="BG103" s="37"/>
      <c r="BH103" s="37"/>
      <c r="BI103" s="37"/>
      <c r="BJ103" s="37"/>
      <c r="BK103" s="37"/>
      <c r="BL103" s="37"/>
      <c r="BM103" s="37"/>
      <c r="BN103" s="37"/>
      <c r="BO103" s="37"/>
      <c r="BP103" s="37">
        <v>0</v>
      </c>
      <c r="BQ103" s="37"/>
      <c r="BR103" s="37"/>
      <c r="BS103" s="37"/>
      <c r="BT103" s="37"/>
      <c r="BU103" s="37"/>
      <c r="BV103" s="37"/>
      <c r="BW103" s="37"/>
      <c r="BX103" s="37"/>
      <c r="BY103" s="37"/>
      <c r="BZ103" s="37"/>
      <c r="CA103" s="37"/>
      <c r="CB103" s="37" t="s">
        <v>1124</v>
      </c>
      <c r="CC103" s="37"/>
      <c r="CD103" s="37"/>
      <c r="CE103" s="37"/>
      <c r="CF103" s="37"/>
      <c r="CG103" s="37"/>
      <c r="CH103" s="37"/>
      <c r="CI103" s="37"/>
      <c r="CJ103" s="37"/>
      <c r="CK103" s="37"/>
      <c r="CL103" s="37"/>
      <c r="CM103" s="37"/>
      <c r="CN103" s="37" t="s">
        <v>1124</v>
      </c>
      <c r="CO103" s="37"/>
      <c r="CP103" s="37"/>
      <c r="CQ103" s="37"/>
      <c r="CR103" s="37"/>
      <c r="CS103" s="37"/>
      <c r="CT103" s="37"/>
      <c r="CU103" s="37"/>
      <c r="CV103" s="37"/>
      <c r="CW103" s="37"/>
      <c r="CX103" s="37"/>
      <c r="CY103" s="37"/>
      <c r="CZ103" s="37" t="s">
        <v>1124</v>
      </c>
      <c r="DA103" s="37"/>
      <c r="DB103" s="37"/>
      <c r="DC103" s="37"/>
      <c r="DD103" s="37"/>
      <c r="DE103" s="37"/>
      <c r="DF103" s="37"/>
      <c r="DG103" s="37"/>
      <c r="DH103" s="37"/>
      <c r="DI103" s="37"/>
      <c r="DJ103" s="37"/>
      <c r="DK103" s="37"/>
      <c r="DL103" s="37" t="s">
        <v>1124</v>
      </c>
      <c r="DM103" s="37"/>
      <c r="DN103" s="37"/>
      <c r="DO103" s="37"/>
      <c r="DP103" s="37"/>
      <c r="DQ103" s="37"/>
      <c r="DR103" s="37"/>
      <c r="DS103" s="37"/>
      <c r="DT103" s="37"/>
      <c r="DU103" s="37"/>
      <c r="DV103" s="37"/>
      <c r="DW103" s="37"/>
      <c r="DX103" s="37" t="s">
        <v>1124</v>
      </c>
      <c r="DY103" s="37"/>
      <c r="DZ103" s="37"/>
      <c r="EA103" s="37"/>
      <c r="EB103" s="37"/>
      <c r="EC103" s="37"/>
      <c r="ED103" s="37"/>
      <c r="EE103" s="37"/>
      <c r="EF103" s="37"/>
      <c r="EG103" s="37"/>
      <c r="EH103" s="37"/>
      <c r="EI103" s="37"/>
      <c r="EJ103" s="37" t="s">
        <v>1124</v>
      </c>
      <c r="EK103" s="161"/>
      <c r="EL103" s="294"/>
    </row>
    <row r="104" spans="1:142" ht="15" customHeight="1" x14ac:dyDescent="0.35">
      <c r="A104" s="34"/>
      <c r="B104" s="313">
        <v>2028</v>
      </c>
      <c r="C104" s="8" t="s">
        <v>1029</v>
      </c>
      <c r="D104" s="18">
        <v>11</v>
      </c>
      <c r="E104" s="155">
        <v>477706</v>
      </c>
      <c r="F104" s="36">
        <v>618709</v>
      </c>
      <c r="G104" s="37">
        <v>35043</v>
      </c>
      <c r="H104" s="37">
        <v>16756</v>
      </c>
      <c r="I104" s="37">
        <v>280344</v>
      </c>
      <c r="J104" s="37">
        <v>50268</v>
      </c>
      <c r="K104" s="37">
        <v>71656</v>
      </c>
      <c r="L104" s="37">
        <v>92806</v>
      </c>
      <c r="M104" s="37">
        <v>864749</v>
      </c>
      <c r="N104" s="37">
        <v>778539</v>
      </c>
      <c r="O104" s="37">
        <v>0</v>
      </c>
      <c r="P104" s="37">
        <v>0</v>
      </c>
      <c r="Q104" s="37">
        <v>986228</v>
      </c>
      <c r="R104" s="37">
        <v>156288</v>
      </c>
      <c r="S104" s="37">
        <v>43388</v>
      </c>
      <c r="T104" s="37">
        <v>0</v>
      </c>
      <c r="U104" s="37">
        <v>0</v>
      </c>
      <c r="V104" s="37">
        <v>0</v>
      </c>
      <c r="W104" s="37">
        <v>228692</v>
      </c>
      <c r="X104" s="37">
        <v>228692</v>
      </c>
      <c r="Y104" s="37">
        <v>0</v>
      </c>
      <c r="Z104" s="37">
        <v>0</v>
      </c>
      <c r="AA104" s="37">
        <v>1258308</v>
      </c>
      <c r="AB104" s="37">
        <v>384980</v>
      </c>
      <c r="AC104" s="37">
        <v>0</v>
      </c>
      <c r="AD104" s="37">
        <v>0</v>
      </c>
      <c r="AE104" s="37">
        <v>0</v>
      </c>
      <c r="AF104" s="168">
        <v>0.02</v>
      </c>
      <c r="AG104" s="37">
        <v>191299392.90000001</v>
      </c>
      <c r="AH104" s="37">
        <v>2096678.93</v>
      </c>
      <c r="AI104" s="37">
        <v>2085021.5</v>
      </c>
      <c r="AJ104" s="37">
        <v>2085589.51</v>
      </c>
      <c r="AK104" s="37">
        <v>2271383.85</v>
      </c>
      <c r="AL104" s="37">
        <v>2232349.34</v>
      </c>
      <c r="AM104" s="37">
        <v>2392439.2400000002</v>
      </c>
      <c r="AN104" s="37">
        <v>2270983.2400000002</v>
      </c>
      <c r="AO104" s="37">
        <v>2277562.4</v>
      </c>
      <c r="AP104" s="37">
        <v>2293857.7799999998</v>
      </c>
      <c r="AQ104" s="37">
        <v>2339734.94</v>
      </c>
      <c r="AR104" s="37">
        <v>22345600.73</v>
      </c>
      <c r="AS104" s="37">
        <v>1349034.66</v>
      </c>
      <c r="AT104" s="37">
        <v>918000</v>
      </c>
      <c r="AU104" s="37">
        <v>30775.03</v>
      </c>
      <c r="AV104" s="37">
        <v>16979328</v>
      </c>
      <c r="AW104" s="37">
        <v>0</v>
      </c>
      <c r="AX104" s="37">
        <v>0</v>
      </c>
      <c r="AY104" s="37">
        <v>8615.14</v>
      </c>
      <c r="AZ104" s="37">
        <v>0</v>
      </c>
      <c r="BA104" s="37">
        <v>0</v>
      </c>
      <c r="BB104" s="37">
        <v>0</v>
      </c>
      <c r="BC104" s="37">
        <v>0</v>
      </c>
      <c r="BD104" s="37">
        <v>17936718.170000002</v>
      </c>
      <c r="BE104" s="37">
        <v>49722</v>
      </c>
      <c r="BF104" s="37">
        <v>1388306</v>
      </c>
      <c r="BG104" s="37">
        <v>1646421</v>
      </c>
      <c r="BH104" s="37">
        <v>0</v>
      </c>
      <c r="BI104" s="37">
        <v>0</v>
      </c>
      <c r="BJ104" s="37">
        <v>0</v>
      </c>
      <c r="BK104" s="37">
        <v>0</v>
      </c>
      <c r="BL104" s="37">
        <v>0</v>
      </c>
      <c r="BM104" s="37">
        <v>0</v>
      </c>
      <c r="BN104" s="37">
        <v>0</v>
      </c>
      <c r="BO104" s="37">
        <v>0</v>
      </c>
      <c r="BP104" s="37">
        <v>3034727</v>
      </c>
      <c r="BQ104" s="37">
        <v>123954</v>
      </c>
      <c r="BR104" s="37">
        <v>0</v>
      </c>
      <c r="BS104" s="37">
        <v>800000</v>
      </c>
      <c r="BT104" s="37">
        <v>0</v>
      </c>
      <c r="BU104" s="37">
        <v>0</v>
      </c>
      <c r="BV104" s="37">
        <v>0</v>
      </c>
      <c r="BW104" s="37">
        <v>0</v>
      </c>
      <c r="BX104" s="37">
        <v>0</v>
      </c>
      <c r="BY104" s="37">
        <v>0</v>
      </c>
      <c r="BZ104" s="37">
        <v>0</v>
      </c>
      <c r="CA104" s="37">
        <v>0</v>
      </c>
      <c r="CB104" s="37">
        <v>800000</v>
      </c>
      <c r="CC104" s="37">
        <v>0</v>
      </c>
      <c r="CD104" s="37">
        <v>0</v>
      </c>
      <c r="CE104" s="37">
        <v>0</v>
      </c>
      <c r="CF104" s="37">
        <v>0</v>
      </c>
      <c r="CG104" s="37">
        <v>0</v>
      </c>
      <c r="CH104" s="37">
        <v>0</v>
      </c>
      <c r="CI104" s="37">
        <v>0</v>
      </c>
      <c r="CJ104" s="37">
        <v>0</v>
      </c>
      <c r="CK104" s="37">
        <v>0</v>
      </c>
      <c r="CL104" s="37">
        <v>0</v>
      </c>
      <c r="CM104" s="37">
        <v>0</v>
      </c>
      <c r="CN104" s="37">
        <v>0</v>
      </c>
      <c r="CO104" s="37">
        <v>0</v>
      </c>
      <c r="CP104" s="37">
        <v>739200</v>
      </c>
      <c r="CQ104" s="37">
        <v>0</v>
      </c>
      <c r="CR104" s="37">
        <v>0</v>
      </c>
      <c r="CS104" s="37">
        <v>0</v>
      </c>
      <c r="CT104" s="37">
        <v>0</v>
      </c>
      <c r="CU104" s="37">
        <v>0</v>
      </c>
      <c r="CV104" s="37">
        <v>0</v>
      </c>
      <c r="CW104" s="37">
        <v>0</v>
      </c>
      <c r="CX104" s="37">
        <v>0</v>
      </c>
      <c r="CY104" s="37">
        <v>0</v>
      </c>
      <c r="CZ104" s="37">
        <v>739200</v>
      </c>
      <c r="DA104" s="37">
        <v>0</v>
      </c>
      <c r="DB104" s="37">
        <v>184800</v>
      </c>
      <c r="DC104" s="37">
        <v>0</v>
      </c>
      <c r="DD104" s="37">
        <v>0</v>
      </c>
      <c r="DE104" s="37">
        <v>16000000</v>
      </c>
      <c r="DF104" s="37">
        <v>0</v>
      </c>
      <c r="DG104" s="37">
        <v>0</v>
      </c>
      <c r="DH104" s="37">
        <v>0</v>
      </c>
      <c r="DI104" s="37">
        <v>0</v>
      </c>
      <c r="DJ104" s="37">
        <v>0</v>
      </c>
      <c r="DK104" s="37">
        <v>0</v>
      </c>
      <c r="DL104" s="37">
        <v>16184800</v>
      </c>
      <c r="DM104" s="37">
        <v>0</v>
      </c>
      <c r="DN104" s="37">
        <v>0</v>
      </c>
      <c r="DO104" s="37">
        <v>0</v>
      </c>
      <c r="DP104" s="37">
        <v>0</v>
      </c>
      <c r="DQ104" s="37">
        <v>0</v>
      </c>
      <c r="DR104" s="37">
        <v>0</v>
      </c>
      <c r="DS104" s="37">
        <v>0</v>
      </c>
      <c r="DT104" s="37">
        <v>0</v>
      </c>
      <c r="DU104" s="37">
        <v>0</v>
      </c>
      <c r="DV104" s="37">
        <v>0</v>
      </c>
      <c r="DW104" s="37">
        <v>0</v>
      </c>
      <c r="DX104" s="37">
        <v>0</v>
      </c>
      <c r="DY104" s="37">
        <v>0</v>
      </c>
      <c r="DZ104" s="37">
        <v>0</v>
      </c>
      <c r="EA104" s="37">
        <v>0</v>
      </c>
      <c r="EB104" s="37">
        <v>0</v>
      </c>
      <c r="EC104" s="37">
        <v>0</v>
      </c>
      <c r="ED104" s="37">
        <v>0</v>
      </c>
      <c r="EE104" s="37">
        <v>0</v>
      </c>
      <c r="EF104" s="37">
        <v>0</v>
      </c>
      <c r="EG104" s="37">
        <v>0</v>
      </c>
      <c r="EH104" s="37">
        <v>0</v>
      </c>
      <c r="EI104" s="37">
        <v>0</v>
      </c>
      <c r="EJ104" s="37">
        <v>0</v>
      </c>
      <c r="EK104" s="161" t="s">
        <v>1582</v>
      </c>
      <c r="EL104" s="294" t="s">
        <v>1124</v>
      </c>
    </row>
    <row r="105" spans="1:142" ht="15" customHeight="1" x14ac:dyDescent="0.35">
      <c r="A105" s="34"/>
      <c r="B105" s="313">
        <v>99020</v>
      </c>
      <c r="C105" s="8" t="s">
        <v>1021</v>
      </c>
      <c r="D105" s="18">
        <v>10</v>
      </c>
      <c r="E105" s="155">
        <v>265377</v>
      </c>
      <c r="F105" s="36">
        <v>0</v>
      </c>
      <c r="G105" s="37">
        <v>19148</v>
      </c>
      <c r="H105" s="37">
        <v>0</v>
      </c>
      <c r="I105" s="37">
        <v>160866</v>
      </c>
      <c r="J105" s="37">
        <v>0</v>
      </c>
      <c r="K105" s="37">
        <v>39806.549999999996</v>
      </c>
      <c r="L105" s="37">
        <v>0</v>
      </c>
      <c r="M105" s="37">
        <v>485197.55</v>
      </c>
      <c r="N105" s="37">
        <v>0</v>
      </c>
      <c r="O105" s="37">
        <v>72465</v>
      </c>
      <c r="P105" s="37">
        <v>0</v>
      </c>
      <c r="Q105" s="37">
        <v>385830</v>
      </c>
      <c r="R105" s="37">
        <v>0</v>
      </c>
      <c r="S105" s="37">
        <v>304305</v>
      </c>
      <c r="T105" s="37">
        <v>0</v>
      </c>
      <c r="U105" s="37">
        <v>12718</v>
      </c>
      <c r="V105" s="37">
        <v>0</v>
      </c>
      <c r="W105" s="37">
        <v>0</v>
      </c>
      <c r="X105" s="37">
        <v>0</v>
      </c>
      <c r="Y105" s="37">
        <v>0</v>
      </c>
      <c r="Z105" s="37">
        <v>0</v>
      </c>
      <c r="AA105" s="37">
        <v>775318</v>
      </c>
      <c r="AB105" s="37">
        <v>0</v>
      </c>
      <c r="AC105" s="37">
        <v>290120</v>
      </c>
      <c r="AD105" s="37">
        <v>0</v>
      </c>
      <c r="AE105" s="37">
        <v>0</v>
      </c>
      <c r="AF105" s="168">
        <v>0.02</v>
      </c>
      <c r="AG105" s="37">
        <v>72398660.379999995</v>
      </c>
      <c r="AH105" s="37">
        <v>698369.32</v>
      </c>
      <c r="AI105" s="37">
        <v>703847.04</v>
      </c>
      <c r="AJ105" s="37">
        <v>717923.98</v>
      </c>
      <c r="AK105" s="37">
        <v>732282.46</v>
      </c>
      <c r="AL105" s="37">
        <v>746928.11</v>
      </c>
      <c r="AM105" s="37">
        <v>761866.67</v>
      </c>
      <c r="AN105" s="37">
        <v>777104.01</v>
      </c>
      <c r="AO105" s="37">
        <v>792646.09</v>
      </c>
      <c r="AP105" s="37">
        <v>808499.01</v>
      </c>
      <c r="AQ105" s="37">
        <v>824668.99</v>
      </c>
      <c r="AR105" s="37">
        <v>7564135.6800000006</v>
      </c>
      <c r="AS105" s="37">
        <v>0</v>
      </c>
      <c r="AT105" s="37">
        <v>0</v>
      </c>
      <c r="AU105" s="37">
        <v>0</v>
      </c>
      <c r="AV105" s="37">
        <v>2208161.61</v>
      </c>
      <c r="AW105" s="37">
        <v>3864282.81</v>
      </c>
      <c r="AX105" s="37">
        <v>382895.22</v>
      </c>
      <c r="AY105" s="37">
        <v>390553.13</v>
      </c>
      <c r="AZ105" s="37">
        <v>398364.19</v>
      </c>
      <c r="BA105" s="37">
        <v>406331.47</v>
      </c>
      <c r="BB105" s="37">
        <v>414458.1</v>
      </c>
      <c r="BC105" s="37">
        <v>0</v>
      </c>
      <c r="BD105" s="37">
        <v>8065046.5299999993</v>
      </c>
      <c r="BE105" s="37">
        <v>2305</v>
      </c>
      <c r="BF105" s="37">
        <v>50000</v>
      </c>
      <c r="BG105" s="37">
        <v>16942</v>
      </c>
      <c r="BH105" s="37">
        <v>44558</v>
      </c>
      <c r="BI105" s="37">
        <v>0</v>
      </c>
      <c r="BJ105" s="37">
        <v>5196.3721366650707</v>
      </c>
      <c r="BK105" s="37">
        <v>25162.872876919955</v>
      </c>
      <c r="BL105" s="37">
        <v>32723.434576816413</v>
      </c>
      <c r="BM105" s="37">
        <v>40283.996276712853</v>
      </c>
      <c r="BN105" s="37">
        <v>47844.574132885718</v>
      </c>
      <c r="BO105" s="37">
        <v>0</v>
      </c>
      <c r="BP105" s="37">
        <v>262711.25</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D105" s="37">
        <v>0</v>
      </c>
      <c r="DE105" s="37">
        <v>0</v>
      </c>
      <c r="DF105" s="37">
        <v>0</v>
      </c>
      <c r="DG105" s="37">
        <v>0</v>
      </c>
      <c r="DH105" s="37">
        <v>0</v>
      </c>
      <c r="DI105" s="37">
        <v>0</v>
      </c>
      <c r="DJ105" s="37">
        <v>0</v>
      </c>
      <c r="DK105" s="37">
        <v>0</v>
      </c>
      <c r="DL105" s="37">
        <v>0</v>
      </c>
      <c r="DM105" s="37">
        <v>0</v>
      </c>
      <c r="DN105" s="37">
        <v>0</v>
      </c>
      <c r="DO105" s="37">
        <v>0</v>
      </c>
      <c r="DP105" s="37">
        <v>0</v>
      </c>
      <c r="DQ105" s="37">
        <v>0</v>
      </c>
      <c r="DR105" s="37">
        <v>0</v>
      </c>
      <c r="DS105" s="37">
        <v>0</v>
      </c>
      <c r="DT105" s="37">
        <v>0</v>
      </c>
      <c r="DU105" s="37">
        <v>0</v>
      </c>
      <c r="DV105" s="37">
        <v>0</v>
      </c>
      <c r="DW105" s="37">
        <v>0</v>
      </c>
      <c r="DX105" s="37">
        <v>0</v>
      </c>
      <c r="DY105" s="37">
        <v>0</v>
      </c>
      <c r="DZ105" s="37">
        <v>0</v>
      </c>
      <c r="EA105" s="37">
        <v>0</v>
      </c>
      <c r="EB105" s="37">
        <v>0</v>
      </c>
      <c r="EC105" s="37">
        <v>0</v>
      </c>
      <c r="ED105" s="37">
        <v>0</v>
      </c>
      <c r="EE105" s="37">
        <v>0</v>
      </c>
      <c r="EF105" s="37">
        <v>0</v>
      </c>
      <c r="EG105" s="37">
        <v>0</v>
      </c>
      <c r="EH105" s="37">
        <v>0</v>
      </c>
      <c r="EI105" s="37">
        <v>0</v>
      </c>
      <c r="EJ105" s="37">
        <v>0</v>
      </c>
      <c r="EK105" s="161" t="s">
        <v>1586</v>
      </c>
      <c r="EL105" s="294" t="s">
        <v>1124</v>
      </c>
    </row>
    <row r="106" spans="1:142" ht="15" customHeight="1" x14ac:dyDescent="0.35">
      <c r="A106" s="34"/>
      <c r="B106" s="313">
        <v>51080</v>
      </c>
      <c r="C106" s="8" t="s">
        <v>512</v>
      </c>
      <c r="D106" s="18">
        <v>4</v>
      </c>
      <c r="E106" s="155">
        <v>100746</v>
      </c>
      <c r="F106" s="36">
        <v>50505</v>
      </c>
      <c r="G106" s="37">
        <v>20182</v>
      </c>
      <c r="H106" s="37">
        <v>3055</v>
      </c>
      <c r="I106" s="37">
        <v>34500</v>
      </c>
      <c r="J106" s="37">
        <v>27200</v>
      </c>
      <c r="K106" s="37">
        <v>15111.9</v>
      </c>
      <c r="L106" s="37">
        <v>7575.75</v>
      </c>
      <c r="M106" s="37">
        <v>170539.9</v>
      </c>
      <c r="N106" s="37">
        <v>88335.75</v>
      </c>
      <c r="O106" s="37">
        <v>1396</v>
      </c>
      <c r="P106" s="37">
        <v>0</v>
      </c>
      <c r="Q106" s="37">
        <v>57620</v>
      </c>
      <c r="R106" s="37">
        <v>30849</v>
      </c>
      <c r="S106" s="37">
        <v>31916</v>
      </c>
      <c r="T106" s="37">
        <v>9640</v>
      </c>
      <c r="U106" s="37">
        <v>10735</v>
      </c>
      <c r="V106" s="37">
        <v>9640</v>
      </c>
      <c r="W106" s="37">
        <v>68872.899999999994</v>
      </c>
      <c r="X106" s="37">
        <v>38206.75</v>
      </c>
      <c r="Y106" s="37">
        <v>0</v>
      </c>
      <c r="Z106" s="37">
        <v>0</v>
      </c>
      <c r="AA106" s="37">
        <v>170539.9</v>
      </c>
      <c r="AB106" s="37">
        <v>88335.75</v>
      </c>
      <c r="AC106" s="37">
        <v>0</v>
      </c>
      <c r="AD106" s="37">
        <v>0</v>
      </c>
      <c r="AE106" s="37">
        <v>0</v>
      </c>
      <c r="AF106" s="168">
        <v>0.02</v>
      </c>
      <c r="AG106" s="37">
        <v>14724743.09</v>
      </c>
      <c r="AH106" s="37">
        <v>225061.12</v>
      </c>
      <c r="AI106" s="37">
        <v>154354.95000000001</v>
      </c>
      <c r="AJ106" s="37">
        <v>157442.04999999999</v>
      </c>
      <c r="AK106" s="37">
        <v>160590.89000000001</v>
      </c>
      <c r="AL106" s="37">
        <v>163802.71</v>
      </c>
      <c r="AM106" s="37">
        <v>167078.76</v>
      </c>
      <c r="AN106" s="37">
        <v>170420.33</v>
      </c>
      <c r="AO106" s="37">
        <v>167853.28</v>
      </c>
      <c r="AP106" s="37">
        <v>171210.34</v>
      </c>
      <c r="AQ106" s="37">
        <v>174634.55</v>
      </c>
      <c r="AR106" s="37">
        <v>1712448.98</v>
      </c>
      <c r="AS106" s="37">
        <v>959635.83</v>
      </c>
      <c r="AT106" s="37">
        <v>0</v>
      </c>
      <c r="AU106" s="37">
        <v>1432630.8</v>
      </c>
      <c r="AV106" s="37">
        <v>0</v>
      </c>
      <c r="AW106" s="37">
        <v>0</v>
      </c>
      <c r="AX106" s="37">
        <v>0</v>
      </c>
      <c r="AY106" s="37">
        <v>2297371.34</v>
      </c>
      <c r="AZ106" s="37">
        <v>0</v>
      </c>
      <c r="BA106" s="37">
        <v>0</v>
      </c>
      <c r="BB106" s="37">
        <v>0</v>
      </c>
      <c r="BC106" s="37">
        <v>0</v>
      </c>
      <c r="BD106" s="37">
        <v>3730002.1399999997</v>
      </c>
      <c r="BE106" s="37">
        <v>75613</v>
      </c>
      <c r="BF106" s="37">
        <v>77387</v>
      </c>
      <c r="BG106" s="37">
        <v>0</v>
      </c>
      <c r="BH106" s="37">
        <v>0</v>
      </c>
      <c r="BI106" s="37">
        <v>0</v>
      </c>
      <c r="BJ106" s="37">
        <v>0</v>
      </c>
      <c r="BK106" s="37">
        <v>0</v>
      </c>
      <c r="BL106" s="37">
        <v>0</v>
      </c>
      <c r="BM106" s="37">
        <v>0</v>
      </c>
      <c r="BN106" s="37">
        <v>0</v>
      </c>
      <c r="BO106" s="37">
        <v>0</v>
      </c>
      <c r="BP106" s="37">
        <v>77387</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520800</v>
      </c>
      <c r="CR106" s="37">
        <v>0</v>
      </c>
      <c r="CS106" s="37">
        <v>0</v>
      </c>
      <c r="CT106" s="37">
        <v>4343.8902963085529</v>
      </c>
      <c r="CU106" s="37">
        <v>21034.821302742173</v>
      </c>
      <c r="CV106" s="37">
        <v>27355.048133898232</v>
      </c>
      <c r="CW106" s="37">
        <v>33675.274965054276</v>
      </c>
      <c r="CX106" s="37">
        <v>39995.515301996762</v>
      </c>
      <c r="CY106" s="37">
        <v>0</v>
      </c>
      <c r="CZ106" s="37">
        <v>647204.55000000005</v>
      </c>
      <c r="DA106" s="37">
        <v>0</v>
      </c>
      <c r="DB106" s="37">
        <v>0</v>
      </c>
      <c r="DC106" s="37">
        <v>130200</v>
      </c>
      <c r="DD106" s="37">
        <v>0</v>
      </c>
      <c r="DE106" s="37">
        <v>0</v>
      </c>
      <c r="DF106" s="37">
        <v>0</v>
      </c>
      <c r="DG106" s="37">
        <v>0</v>
      </c>
      <c r="DH106" s="37">
        <v>0</v>
      </c>
      <c r="DI106" s="37">
        <v>0</v>
      </c>
      <c r="DJ106" s="37">
        <v>0</v>
      </c>
      <c r="DK106" s="37">
        <v>0</v>
      </c>
      <c r="DL106" s="37">
        <v>130200</v>
      </c>
      <c r="DM106" s="37">
        <v>0</v>
      </c>
      <c r="DN106" s="37">
        <v>0</v>
      </c>
      <c r="DO106" s="37">
        <v>0</v>
      </c>
      <c r="DP106" s="37">
        <v>0</v>
      </c>
      <c r="DQ106" s="37">
        <v>0</v>
      </c>
      <c r="DR106" s="37">
        <v>0</v>
      </c>
      <c r="DS106" s="37">
        <v>0</v>
      </c>
      <c r="DT106" s="37">
        <v>0</v>
      </c>
      <c r="DU106" s="37">
        <v>0</v>
      </c>
      <c r="DV106" s="37">
        <v>0</v>
      </c>
      <c r="DW106" s="37">
        <v>0</v>
      </c>
      <c r="DX106" s="37">
        <v>0</v>
      </c>
      <c r="DY106" s="37">
        <v>0</v>
      </c>
      <c r="DZ106" s="37">
        <v>0</v>
      </c>
      <c r="EA106" s="37">
        <v>0</v>
      </c>
      <c r="EB106" s="37">
        <v>0</v>
      </c>
      <c r="EC106" s="37">
        <v>0</v>
      </c>
      <c r="ED106" s="37">
        <v>0</v>
      </c>
      <c r="EE106" s="37">
        <v>0</v>
      </c>
      <c r="EF106" s="37">
        <v>0</v>
      </c>
      <c r="EG106" s="37">
        <v>0</v>
      </c>
      <c r="EH106" s="37">
        <v>0</v>
      </c>
      <c r="EI106" s="37">
        <v>0</v>
      </c>
      <c r="EJ106" s="37">
        <v>0</v>
      </c>
      <c r="EK106" s="161" t="s">
        <v>1590</v>
      </c>
      <c r="EL106" s="294" t="s">
        <v>1124</v>
      </c>
    </row>
    <row r="107" spans="1:142" ht="15" customHeight="1" x14ac:dyDescent="0.35">
      <c r="A107" s="34"/>
      <c r="B107" s="313">
        <v>60005</v>
      </c>
      <c r="C107" s="8" t="s">
        <v>605</v>
      </c>
      <c r="D107" s="18">
        <v>14</v>
      </c>
      <c r="E107" s="155">
        <v>520579</v>
      </c>
      <c r="F107" s="36">
        <v>587941</v>
      </c>
      <c r="G107" s="37">
        <v>39263</v>
      </c>
      <c r="H107" s="37">
        <v>94825</v>
      </c>
      <c r="I107" s="37">
        <v>124241</v>
      </c>
      <c r="J107" s="37">
        <v>300059</v>
      </c>
      <c r="K107" s="37">
        <v>78086.849999999991</v>
      </c>
      <c r="L107" s="37">
        <v>88191.15</v>
      </c>
      <c r="M107" s="37">
        <v>762169.85</v>
      </c>
      <c r="N107" s="37">
        <v>1071016.1499999999</v>
      </c>
      <c r="O107" s="37">
        <v>373731</v>
      </c>
      <c r="P107" s="37">
        <v>0</v>
      </c>
      <c r="Q107" s="37">
        <v>0</v>
      </c>
      <c r="R107" s="37">
        <v>455978</v>
      </c>
      <c r="S107" s="37">
        <v>15076</v>
      </c>
      <c r="T107" s="37">
        <v>14920</v>
      </c>
      <c r="U107" s="37">
        <v>0</v>
      </c>
      <c r="V107" s="37">
        <v>0</v>
      </c>
      <c r="W107" s="37">
        <v>373363</v>
      </c>
      <c r="X107" s="37">
        <v>600118</v>
      </c>
      <c r="Y107" s="37">
        <v>0</v>
      </c>
      <c r="Z107" s="37">
        <v>0</v>
      </c>
      <c r="AA107" s="37">
        <v>762170</v>
      </c>
      <c r="AB107" s="37">
        <v>1071016</v>
      </c>
      <c r="AC107" s="37">
        <v>0</v>
      </c>
      <c r="AD107" s="37">
        <v>0</v>
      </c>
      <c r="AE107" s="37">
        <v>0</v>
      </c>
      <c r="AF107" s="168">
        <v>0.02</v>
      </c>
      <c r="AG107" s="37">
        <v>53291511.700000003</v>
      </c>
      <c r="AH107" s="37">
        <v>418344.84</v>
      </c>
      <c r="AI107" s="37">
        <v>1182185.71</v>
      </c>
      <c r="AJ107" s="37">
        <v>0</v>
      </c>
      <c r="AK107" s="37">
        <v>0</v>
      </c>
      <c r="AL107" s="37">
        <v>0</v>
      </c>
      <c r="AM107" s="37">
        <v>0</v>
      </c>
      <c r="AN107" s="37">
        <v>0</v>
      </c>
      <c r="AO107" s="37">
        <v>0</v>
      </c>
      <c r="AP107" s="37">
        <v>0</v>
      </c>
      <c r="AQ107" s="37">
        <v>0</v>
      </c>
      <c r="AR107" s="37">
        <v>1600530.55</v>
      </c>
      <c r="AS107" s="37">
        <v>1850352.44</v>
      </c>
      <c r="AT107" s="37">
        <v>0</v>
      </c>
      <c r="AU107" s="37">
        <v>0</v>
      </c>
      <c r="AV107" s="37">
        <v>0</v>
      </c>
      <c r="AW107" s="37">
        <v>0</v>
      </c>
      <c r="AX107" s="37">
        <v>0</v>
      </c>
      <c r="AY107" s="37">
        <v>0</v>
      </c>
      <c r="AZ107" s="37">
        <v>0</v>
      </c>
      <c r="BA107" s="37">
        <v>0</v>
      </c>
      <c r="BB107" s="37">
        <v>0</v>
      </c>
      <c r="BC107" s="37">
        <v>0</v>
      </c>
      <c r="BD107" s="37">
        <v>0</v>
      </c>
      <c r="BE107" s="37">
        <v>0</v>
      </c>
      <c r="BF107" s="37">
        <v>418345</v>
      </c>
      <c r="BG107" s="37">
        <v>1182186</v>
      </c>
      <c r="BH107" s="37">
        <v>0</v>
      </c>
      <c r="BI107" s="37">
        <v>0</v>
      </c>
      <c r="BJ107" s="37">
        <v>0</v>
      </c>
      <c r="BK107" s="37">
        <v>0</v>
      </c>
      <c r="BL107" s="37">
        <v>0</v>
      </c>
      <c r="BM107" s="37">
        <v>0</v>
      </c>
      <c r="BN107" s="37">
        <v>0</v>
      </c>
      <c r="BO107" s="37">
        <v>0</v>
      </c>
      <c r="BP107" s="37">
        <v>1600531</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D107" s="37">
        <v>0</v>
      </c>
      <c r="DE107" s="37">
        <v>0</v>
      </c>
      <c r="DF107" s="37">
        <v>0</v>
      </c>
      <c r="DG107" s="37">
        <v>0</v>
      </c>
      <c r="DH107" s="37">
        <v>0</v>
      </c>
      <c r="DI107" s="37">
        <v>0</v>
      </c>
      <c r="DJ107" s="37">
        <v>0</v>
      </c>
      <c r="DK107" s="37">
        <v>0</v>
      </c>
      <c r="DL107" s="37">
        <v>0</v>
      </c>
      <c r="DM107" s="37">
        <v>0</v>
      </c>
      <c r="DN107" s="37">
        <v>0</v>
      </c>
      <c r="DO107" s="37">
        <v>0</v>
      </c>
      <c r="DP107" s="37">
        <v>0</v>
      </c>
      <c r="DQ107" s="37">
        <v>0</v>
      </c>
      <c r="DR107" s="37">
        <v>0</v>
      </c>
      <c r="DS107" s="37">
        <v>0</v>
      </c>
      <c r="DT107" s="37">
        <v>0</v>
      </c>
      <c r="DU107" s="37">
        <v>0</v>
      </c>
      <c r="DV107" s="37">
        <v>0</v>
      </c>
      <c r="DW107" s="37">
        <v>0</v>
      </c>
      <c r="DX107" s="37">
        <v>0</v>
      </c>
      <c r="DY107" s="37">
        <v>0</v>
      </c>
      <c r="DZ107" s="37">
        <v>0</v>
      </c>
      <c r="EA107" s="37">
        <v>0</v>
      </c>
      <c r="EB107" s="37">
        <v>0</v>
      </c>
      <c r="EC107" s="37">
        <v>0</v>
      </c>
      <c r="ED107" s="37">
        <v>0</v>
      </c>
      <c r="EE107" s="37">
        <v>0</v>
      </c>
      <c r="EF107" s="37">
        <v>0</v>
      </c>
      <c r="EG107" s="37">
        <v>0</v>
      </c>
      <c r="EH107" s="37">
        <v>0</v>
      </c>
      <c r="EI107" s="37">
        <v>0</v>
      </c>
      <c r="EJ107" s="37">
        <v>0</v>
      </c>
      <c r="EK107" s="161" t="s">
        <v>1594</v>
      </c>
      <c r="EL107" s="294" t="s">
        <v>1124</v>
      </c>
    </row>
    <row r="108" spans="1:142" ht="15" customHeight="1" x14ac:dyDescent="0.35">
      <c r="A108" s="34"/>
      <c r="B108" s="313">
        <v>41020</v>
      </c>
      <c r="C108" s="8" t="s">
        <v>366</v>
      </c>
      <c r="D108" s="18">
        <v>5</v>
      </c>
      <c r="E108" s="155"/>
      <c r="F108" s="36"/>
      <c r="G108" s="37"/>
      <c r="H108" s="37"/>
      <c r="I108" s="37"/>
      <c r="J108" s="37"/>
      <c r="K108" s="37"/>
      <c r="L108" s="37"/>
      <c r="M108" s="37" t="s">
        <v>1124</v>
      </c>
      <c r="N108" s="37" t="s">
        <v>1124</v>
      </c>
      <c r="O108" s="37"/>
      <c r="P108" s="37"/>
      <c r="Q108" s="37"/>
      <c r="R108" s="37"/>
      <c r="S108" s="37"/>
      <c r="T108" s="37"/>
      <c r="U108" s="37"/>
      <c r="V108" s="37"/>
      <c r="W108" s="37"/>
      <c r="X108" s="37"/>
      <c r="Y108" s="37"/>
      <c r="Z108" s="37"/>
      <c r="AA108" s="37" t="s">
        <v>1124</v>
      </c>
      <c r="AB108" s="37" t="s">
        <v>1124</v>
      </c>
      <c r="AC108" s="37"/>
      <c r="AD108" s="37"/>
      <c r="AE108" s="37"/>
      <c r="AF108" s="168"/>
      <c r="AG108" s="37"/>
      <c r="AH108" s="37"/>
      <c r="AI108" s="37"/>
      <c r="AJ108" s="37"/>
      <c r="AK108" s="37"/>
      <c r="AL108" s="37"/>
      <c r="AM108" s="37"/>
      <c r="AN108" s="37"/>
      <c r="AO108" s="37"/>
      <c r="AP108" s="37"/>
      <c r="AQ108" s="37"/>
      <c r="AR108" s="37" t="s">
        <v>1124</v>
      </c>
      <c r="AS108" s="37"/>
      <c r="AT108" s="37"/>
      <c r="AU108" s="37"/>
      <c r="AV108" s="37"/>
      <c r="AW108" s="37"/>
      <c r="AX108" s="37"/>
      <c r="AY108" s="37"/>
      <c r="AZ108" s="37"/>
      <c r="BA108" s="37"/>
      <c r="BB108" s="37"/>
      <c r="BC108" s="37"/>
      <c r="BD108" s="37" t="s">
        <v>1124</v>
      </c>
      <c r="BE108" s="37"/>
      <c r="BF108" s="37"/>
      <c r="BG108" s="37"/>
      <c r="BH108" s="37"/>
      <c r="BI108" s="37"/>
      <c r="BJ108" s="37"/>
      <c r="BK108" s="37"/>
      <c r="BL108" s="37"/>
      <c r="BM108" s="37"/>
      <c r="BN108" s="37"/>
      <c r="BO108" s="37"/>
      <c r="BP108" s="37">
        <v>0</v>
      </c>
      <c r="BQ108" s="37"/>
      <c r="BR108" s="37"/>
      <c r="BS108" s="37"/>
      <c r="BT108" s="37"/>
      <c r="BU108" s="37"/>
      <c r="BV108" s="37"/>
      <c r="BW108" s="37"/>
      <c r="BX108" s="37"/>
      <c r="BY108" s="37"/>
      <c r="BZ108" s="37"/>
      <c r="CA108" s="37"/>
      <c r="CB108" s="37" t="s">
        <v>1124</v>
      </c>
      <c r="CC108" s="37"/>
      <c r="CD108" s="37"/>
      <c r="CE108" s="37"/>
      <c r="CF108" s="37"/>
      <c r="CG108" s="37"/>
      <c r="CH108" s="37"/>
      <c r="CI108" s="37"/>
      <c r="CJ108" s="37"/>
      <c r="CK108" s="37"/>
      <c r="CL108" s="37"/>
      <c r="CM108" s="37"/>
      <c r="CN108" s="37" t="s">
        <v>1124</v>
      </c>
      <c r="CO108" s="37"/>
      <c r="CP108" s="37"/>
      <c r="CQ108" s="37"/>
      <c r="CR108" s="37"/>
      <c r="CS108" s="37"/>
      <c r="CT108" s="37"/>
      <c r="CU108" s="37"/>
      <c r="CV108" s="37"/>
      <c r="CW108" s="37"/>
      <c r="CX108" s="37"/>
      <c r="CY108" s="37"/>
      <c r="CZ108" s="37" t="s">
        <v>1124</v>
      </c>
      <c r="DA108" s="37"/>
      <c r="DB108" s="37"/>
      <c r="DC108" s="37"/>
      <c r="DD108" s="37"/>
      <c r="DE108" s="37"/>
      <c r="DF108" s="37"/>
      <c r="DG108" s="37"/>
      <c r="DH108" s="37"/>
      <c r="DI108" s="37"/>
      <c r="DJ108" s="37"/>
      <c r="DK108" s="37"/>
      <c r="DL108" s="37" t="s">
        <v>1124</v>
      </c>
      <c r="DM108" s="37"/>
      <c r="DN108" s="37"/>
      <c r="DO108" s="37"/>
      <c r="DP108" s="37"/>
      <c r="DQ108" s="37"/>
      <c r="DR108" s="37"/>
      <c r="DS108" s="37"/>
      <c r="DT108" s="37"/>
      <c r="DU108" s="37"/>
      <c r="DV108" s="37"/>
      <c r="DW108" s="37"/>
      <c r="DX108" s="37" t="s">
        <v>1124</v>
      </c>
      <c r="DY108" s="37"/>
      <c r="DZ108" s="37"/>
      <c r="EA108" s="37"/>
      <c r="EB108" s="37"/>
      <c r="EC108" s="37"/>
      <c r="ED108" s="37"/>
      <c r="EE108" s="37"/>
      <c r="EF108" s="37"/>
      <c r="EG108" s="37"/>
      <c r="EH108" s="37"/>
      <c r="EI108" s="37"/>
      <c r="EJ108" s="37" t="s">
        <v>1124</v>
      </c>
      <c r="EK108" s="161"/>
      <c r="EL108" s="294"/>
    </row>
    <row r="109" spans="1:142" ht="15" customHeight="1" x14ac:dyDescent="0.35">
      <c r="A109" s="34"/>
      <c r="B109" s="313">
        <v>67050</v>
      </c>
      <c r="C109" s="8" t="s">
        <v>671</v>
      </c>
      <c r="D109" s="18">
        <v>16</v>
      </c>
      <c r="E109" s="155">
        <v>2146038</v>
      </c>
      <c r="F109" s="36">
        <v>2463685</v>
      </c>
      <c r="G109" s="37">
        <v>832503</v>
      </c>
      <c r="H109" s="37">
        <v>795738</v>
      </c>
      <c r="I109" s="37">
        <v>1900000</v>
      </c>
      <c r="J109" s="37">
        <v>1470000</v>
      </c>
      <c r="K109" s="37">
        <v>688023</v>
      </c>
      <c r="L109" s="37">
        <v>517439</v>
      </c>
      <c r="M109" s="37">
        <v>5566564</v>
      </c>
      <c r="N109" s="37">
        <v>5246862</v>
      </c>
      <c r="O109" s="37">
        <v>307029</v>
      </c>
      <c r="P109" s="37">
        <v>244177</v>
      </c>
      <c r="Q109" s="37">
        <v>4791392</v>
      </c>
      <c r="R109" s="37">
        <v>6297296</v>
      </c>
      <c r="S109" s="37">
        <v>793944</v>
      </c>
      <c r="T109" s="37">
        <v>0</v>
      </c>
      <c r="U109" s="37">
        <v>1634652</v>
      </c>
      <c r="V109" s="37">
        <v>0</v>
      </c>
      <c r="W109" s="37">
        <v>847575</v>
      </c>
      <c r="X109" s="37">
        <v>0</v>
      </c>
      <c r="Y109" s="37">
        <v>0</v>
      </c>
      <c r="Z109" s="37">
        <v>0</v>
      </c>
      <c r="AA109" s="37">
        <v>8374592</v>
      </c>
      <c r="AB109" s="37">
        <v>6541473</v>
      </c>
      <c r="AC109" s="37">
        <v>4102639</v>
      </c>
      <c r="AD109" s="37">
        <v>0</v>
      </c>
      <c r="AE109" s="37">
        <v>0</v>
      </c>
      <c r="AF109" s="168">
        <v>0.02</v>
      </c>
      <c r="AG109" s="37">
        <v>899249099.65999997</v>
      </c>
      <c r="AH109" s="37">
        <v>5315294.28</v>
      </c>
      <c r="AI109" s="37">
        <v>5421600.1699999999</v>
      </c>
      <c r="AJ109" s="37">
        <v>5530032.1699999999</v>
      </c>
      <c r="AK109" s="37">
        <v>5640632.8099999996</v>
      </c>
      <c r="AL109" s="37">
        <v>5753445.4699999997</v>
      </c>
      <c r="AM109" s="37">
        <v>5868514.3799999999</v>
      </c>
      <c r="AN109" s="37">
        <v>5985884.6699999999</v>
      </c>
      <c r="AO109" s="37">
        <v>6105602.3600000003</v>
      </c>
      <c r="AP109" s="37">
        <v>6227714.4100000001</v>
      </c>
      <c r="AQ109" s="37">
        <v>6352268.7000000002</v>
      </c>
      <c r="AR109" s="37">
        <v>58200989.420000009</v>
      </c>
      <c r="AS109" s="37">
        <v>7778102.1900000004</v>
      </c>
      <c r="AT109" s="37">
        <v>2491758</v>
      </c>
      <c r="AU109" s="37">
        <v>5093798.4000000004</v>
      </c>
      <c r="AV109" s="37">
        <v>10283105.52</v>
      </c>
      <c r="AW109" s="37">
        <v>10157543.390000001</v>
      </c>
      <c r="AX109" s="37">
        <v>11261624.189999999</v>
      </c>
      <c r="AY109" s="37">
        <v>3446057</v>
      </c>
      <c r="AZ109" s="37">
        <v>3514978.14</v>
      </c>
      <c r="BA109" s="37">
        <v>4182823.99</v>
      </c>
      <c r="BB109" s="37">
        <v>4266480.47</v>
      </c>
      <c r="BC109" s="37">
        <v>0</v>
      </c>
      <c r="BD109" s="37">
        <v>54698169.100000001</v>
      </c>
      <c r="BE109" s="37">
        <v>3431338</v>
      </c>
      <c r="BF109" s="37">
        <v>3852077</v>
      </c>
      <c r="BG109" s="37">
        <v>1800000</v>
      </c>
      <c r="BH109" s="37">
        <v>0</v>
      </c>
      <c r="BI109" s="37">
        <v>0</v>
      </c>
      <c r="BJ109" s="37">
        <v>0</v>
      </c>
      <c r="BK109" s="37">
        <v>0</v>
      </c>
      <c r="BL109" s="37">
        <v>0</v>
      </c>
      <c r="BM109" s="37">
        <v>0</v>
      </c>
      <c r="BN109" s="37">
        <v>0</v>
      </c>
      <c r="BO109" s="37">
        <v>0</v>
      </c>
      <c r="BP109" s="37">
        <v>5652077</v>
      </c>
      <c r="BQ109" s="37">
        <v>3242371</v>
      </c>
      <c r="BR109" s="37">
        <v>1846000</v>
      </c>
      <c r="BS109" s="37">
        <v>2358000</v>
      </c>
      <c r="BT109" s="37">
        <v>2742000</v>
      </c>
      <c r="BU109" s="37">
        <v>802000</v>
      </c>
      <c r="BV109" s="37">
        <v>0</v>
      </c>
      <c r="BW109" s="37">
        <v>0</v>
      </c>
      <c r="BX109" s="37">
        <v>0</v>
      </c>
      <c r="BY109" s="37">
        <v>0</v>
      </c>
      <c r="BZ109" s="37">
        <v>0</v>
      </c>
      <c r="CA109" s="37">
        <v>0</v>
      </c>
      <c r="CB109" s="37">
        <v>7748000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D109" s="37">
        <v>0</v>
      </c>
      <c r="DE109" s="37">
        <v>0</v>
      </c>
      <c r="DF109" s="37">
        <v>0</v>
      </c>
      <c r="DG109" s="37">
        <v>0</v>
      </c>
      <c r="DH109" s="37">
        <v>0</v>
      </c>
      <c r="DI109" s="37">
        <v>0</v>
      </c>
      <c r="DJ109" s="37">
        <v>0</v>
      </c>
      <c r="DK109" s="37">
        <v>0</v>
      </c>
      <c r="DL109" s="37">
        <v>0</v>
      </c>
      <c r="DM109" s="37">
        <v>0</v>
      </c>
      <c r="DN109" s="37">
        <v>0</v>
      </c>
      <c r="DO109" s="37">
        <v>0</v>
      </c>
      <c r="DP109" s="37">
        <v>0</v>
      </c>
      <c r="DQ109" s="37">
        <v>0</v>
      </c>
      <c r="DR109" s="37">
        <v>0</v>
      </c>
      <c r="DS109" s="37">
        <v>0</v>
      </c>
      <c r="DT109" s="37">
        <v>0</v>
      </c>
      <c r="DU109" s="37">
        <v>0</v>
      </c>
      <c r="DV109" s="37">
        <v>0</v>
      </c>
      <c r="DW109" s="37">
        <v>0</v>
      </c>
      <c r="DX109" s="37">
        <v>0</v>
      </c>
      <c r="DY109" s="37">
        <v>0</v>
      </c>
      <c r="DZ109" s="37">
        <v>0</v>
      </c>
      <c r="EA109" s="37">
        <v>0</v>
      </c>
      <c r="EB109" s="37">
        <v>0</v>
      </c>
      <c r="EC109" s="37">
        <v>0</v>
      </c>
      <c r="ED109" s="37">
        <v>0</v>
      </c>
      <c r="EE109" s="37">
        <v>0</v>
      </c>
      <c r="EF109" s="37">
        <v>0</v>
      </c>
      <c r="EG109" s="37">
        <v>0</v>
      </c>
      <c r="EH109" s="37">
        <v>0</v>
      </c>
      <c r="EI109" s="37">
        <v>0</v>
      </c>
      <c r="EJ109" s="37">
        <v>0</v>
      </c>
      <c r="EK109" s="161" t="s">
        <v>1124</v>
      </c>
      <c r="EL109" s="294" t="s">
        <v>1124</v>
      </c>
    </row>
    <row r="110" spans="1:142" ht="15" customHeight="1" x14ac:dyDescent="0.35">
      <c r="A110" s="34"/>
      <c r="B110" s="313">
        <v>21035</v>
      </c>
      <c r="C110" s="8" t="s">
        <v>150</v>
      </c>
      <c r="D110" s="18">
        <v>3</v>
      </c>
      <c r="E110" s="155">
        <v>293065</v>
      </c>
      <c r="F110" s="36">
        <v>374668</v>
      </c>
      <c r="G110" s="37">
        <v>40848</v>
      </c>
      <c r="H110" s="37">
        <v>67275</v>
      </c>
      <c r="I110" s="37">
        <v>100000</v>
      </c>
      <c r="J110" s="37">
        <v>95000</v>
      </c>
      <c r="K110" s="37">
        <v>35000</v>
      </c>
      <c r="L110" s="37">
        <v>45000</v>
      </c>
      <c r="M110" s="37">
        <v>468913</v>
      </c>
      <c r="N110" s="37">
        <v>581943</v>
      </c>
      <c r="O110" s="37">
        <v>0</v>
      </c>
      <c r="P110" s="37">
        <v>0</v>
      </c>
      <c r="Q110" s="37">
        <v>443240</v>
      </c>
      <c r="R110" s="37">
        <v>442009</v>
      </c>
      <c r="S110" s="37">
        <v>0</v>
      </c>
      <c r="T110" s="37">
        <v>0</v>
      </c>
      <c r="U110" s="37">
        <v>0</v>
      </c>
      <c r="V110" s="37">
        <v>47087</v>
      </c>
      <c r="W110" s="37">
        <v>65000</v>
      </c>
      <c r="X110" s="37">
        <v>53520</v>
      </c>
      <c r="Y110" s="37">
        <v>0</v>
      </c>
      <c r="Z110" s="37">
        <v>0</v>
      </c>
      <c r="AA110" s="37">
        <v>508240</v>
      </c>
      <c r="AB110" s="37">
        <v>542616</v>
      </c>
      <c r="AC110" s="37">
        <v>0</v>
      </c>
      <c r="AD110" s="37">
        <v>0</v>
      </c>
      <c r="AE110" s="37">
        <v>0</v>
      </c>
      <c r="AF110" s="168">
        <v>0.02</v>
      </c>
      <c r="AG110" s="37">
        <v>33081339.309999999</v>
      </c>
      <c r="AH110" s="37">
        <v>5127281.9400000004</v>
      </c>
      <c r="AI110" s="37">
        <v>333187.45</v>
      </c>
      <c r="AJ110" s="37">
        <v>339851.2</v>
      </c>
      <c r="AK110" s="37">
        <v>346648.23</v>
      </c>
      <c r="AL110" s="37">
        <v>353581.19</v>
      </c>
      <c r="AM110" s="37">
        <v>360652.81</v>
      </c>
      <c r="AN110" s="37">
        <v>361032.8</v>
      </c>
      <c r="AO110" s="37">
        <v>368253.46</v>
      </c>
      <c r="AP110" s="37">
        <v>375618.52</v>
      </c>
      <c r="AQ110" s="37">
        <v>383130.9</v>
      </c>
      <c r="AR110" s="37">
        <v>8349238.5000000009</v>
      </c>
      <c r="AS110" s="37">
        <v>1170540.78</v>
      </c>
      <c r="AT110" s="37">
        <v>0</v>
      </c>
      <c r="AU110" s="37">
        <v>5444</v>
      </c>
      <c r="AV110" s="37">
        <v>5552.88</v>
      </c>
      <c r="AW110" s="37">
        <v>5663.93</v>
      </c>
      <c r="AX110" s="37">
        <v>5777.21</v>
      </c>
      <c r="AY110" s="37">
        <v>5892.76</v>
      </c>
      <c r="AZ110" s="37">
        <v>0</v>
      </c>
      <c r="BA110" s="37">
        <v>0</v>
      </c>
      <c r="BB110" s="37">
        <v>0</v>
      </c>
      <c r="BC110" s="37">
        <v>0</v>
      </c>
      <c r="BD110" s="37">
        <v>28330.780000000002</v>
      </c>
      <c r="BE110" s="37">
        <v>0</v>
      </c>
      <c r="BF110" s="37">
        <v>3438428</v>
      </c>
      <c r="BG110" s="37">
        <v>671520</v>
      </c>
      <c r="BH110" s="37">
        <v>0</v>
      </c>
      <c r="BI110" s="37">
        <v>0</v>
      </c>
      <c r="BJ110" s="37">
        <v>0</v>
      </c>
      <c r="BK110" s="37">
        <v>0</v>
      </c>
      <c r="BL110" s="37">
        <v>0</v>
      </c>
      <c r="BM110" s="37">
        <v>0</v>
      </c>
      <c r="BN110" s="37">
        <v>0</v>
      </c>
      <c r="BO110" s="37">
        <v>0</v>
      </c>
      <c r="BP110" s="37">
        <v>4109948</v>
      </c>
      <c r="BQ110" s="37">
        <v>0</v>
      </c>
      <c r="BR110" s="37">
        <v>598581</v>
      </c>
      <c r="BS110" s="37">
        <v>1361706</v>
      </c>
      <c r="BT110" s="37">
        <v>0</v>
      </c>
      <c r="BU110" s="37">
        <v>0</v>
      </c>
      <c r="BV110" s="37">
        <v>0</v>
      </c>
      <c r="BW110" s="37">
        <v>0</v>
      </c>
      <c r="BX110" s="37">
        <v>0</v>
      </c>
      <c r="BY110" s="37">
        <v>0</v>
      </c>
      <c r="BZ110" s="37">
        <v>0</v>
      </c>
      <c r="CA110" s="37">
        <v>0</v>
      </c>
      <c r="CB110" s="37">
        <v>1960287</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D110" s="37">
        <v>0</v>
      </c>
      <c r="DE110" s="37">
        <v>0</v>
      </c>
      <c r="DF110" s="37">
        <v>0</v>
      </c>
      <c r="DG110" s="37">
        <v>0</v>
      </c>
      <c r="DH110" s="37">
        <v>0</v>
      </c>
      <c r="DI110" s="37">
        <v>0</v>
      </c>
      <c r="DJ110" s="37">
        <v>0</v>
      </c>
      <c r="DK110" s="37">
        <v>0</v>
      </c>
      <c r="DL110" s="37">
        <v>0</v>
      </c>
      <c r="DM110" s="37">
        <v>0</v>
      </c>
      <c r="DN110" s="37">
        <v>0</v>
      </c>
      <c r="DO110" s="37">
        <v>0</v>
      </c>
      <c r="DP110" s="37">
        <v>0</v>
      </c>
      <c r="DQ110" s="37">
        <v>0</v>
      </c>
      <c r="DR110" s="37">
        <v>0</v>
      </c>
      <c r="DS110" s="37">
        <v>0</v>
      </c>
      <c r="DT110" s="37">
        <v>0</v>
      </c>
      <c r="DU110" s="37">
        <v>0</v>
      </c>
      <c r="DV110" s="37">
        <v>0</v>
      </c>
      <c r="DW110" s="37">
        <v>0</v>
      </c>
      <c r="DX110" s="37">
        <v>0</v>
      </c>
      <c r="DY110" s="37">
        <v>0</v>
      </c>
      <c r="DZ110" s="37">
        <v>0</v>
      </c>
      <c r="EA110" s="37">
        <v>0</v>
      </c>
      <c r="EB110" s="37">
        <v>0</v>
      </c>
      <c r="EC110" s="37">
        <v>0</v>
      </c>
      <c r="ED110" s="37">
        <v>0</v>
      </c>
      <c r="EE110" s="37">
        <v>0</v>
      </c>
      <c r="EF110" s="37">
        <v>0</v>
      </c>
      <c r="EG110" s="37">
        <v>0</v>
      </c>
      <c r="EH110" s="37">
        <v>0</v>
      </c>
      <c r="EI110" s="37">
        <v>0</v>
      </c>
      <c r="EJ110" s="37">
        <v>0</v>
      </c>
      <c r="EK110" s="161" t="s">
        <v>1601</v>
      </c>
      <c r="EL110" s="294" t="s">
        <v>1124</v>
      </c>
    </row>
    <row r="111" spans="1:142" ht="15" customHeight="1" x14ac:dyDescent="0.35">
      <c r="A111" s="34"/>
      <c r="B111" s="313">
        <v>87095</v>
      </c>
      <c r="C111" s="8" t="s">
        <v>905</v>
      </c>
      <c r="D111" s="18">
        <v>8</v>
      </c>
      <c r="E111" s="155"/>
      <c r="F111" s="36"/>
      <c r="G111" s="37"/>
      <c r="H111" s="37"/>
      <c r="I111" s="37"/>
      <c r="J111" s="37"/>
      <c r="K111" s="37"/>
      <c r="L111" s="37"/>
      <c r="M111" s="37" t="s">
        <v>1124</v>
      </c>
      <c r="N111" s="37" t="s">
        <v>1124</v>
      </c>
      <c r="O111" s="37"/>
      <c r="P111" s="37"/>
      <c r="Q111" s="37"/>
      <c r="R111" s="37"/>
      <c r="S111" s="37"/>
      <c r="T111" s="37"/>
      <c r="U111" s="37"/>
      <c r="V111" s="37"/>
      <c r="W111" s="37"/>
      <c r="X111" s="37"/>
      <c r="Y111" s="37"/>
      <c r="Z111" s="37"/>
      <c r="AA111" s="37" t="s">
        <v>1124</v>
      </c>
      <c r="AB111" s="37" t="s">
        <v>1124</v>
      </c>
      <c r="AC111" s="37"/>
      <c r="AD111" s="37"/>
      <c r="AE111" s="37"/>
      <c r="AF111" s="168"/>
      <c r="AG111" s="37"/>
      <c r="AH111" s="37"/>
      <c r="AI111" s="37"/>
      <c r="AJ111" s="37"/>
      <c r="AK111" s="37"/>
      <c r="AL111" s="37"/>
      <c r="AM111" s="37"/>
      <c r="AN111" s="37"/>
      <c r="AO111" s="37"/>
      <c r="AP111" s="37"/>
      <c r="AQ111" s="37"/>
      <c r="AR111" s="37" t="s">
        <v>1124</v>
      </c>
      <c r="AS111" s="37"/>
      <c r="AT111" s="37"/>
      <c r="AU111" s="37"/>
      <c r="AV111" s="37"/>
      <c r="AW111" s="37"/>
      <c r="AX111" s="37"/>
      <c r="AY111" s="37"/>
      <c r="AZ111" s="37"/>
      <c r="BA111" s="37"/>
      <c r="BB111" s="37"/>
      <c r="BC111" s="37"/>
      <c r="BD111" s="37" t="s">
        <v>1124</v>
      </c>
      <c r="BE111" s="37"/>
      <c r="BF111" s="37"/>
      <c r="BG111" s="37"/>
      <c r="BH111" s="37"/>
      <c r="BI111" s="37"/>
      <c r="BJ111" s="37"/>
      <c r="BK111" s="37"/>
      <c r="BL111" s="37"/>
      <c r="BM111" s="37"/>
      <c r="BN111" s="37"/>
      <c r="BO111" s="37"/>
      <c r="BP111" s="37">
        <v>0</v>
      </c>
      <c r="BQ111" s="37"/>
      <c r="BR111" s="37"/>
      <c r="BS111" s="37"/>
      <c r="BT111" s="37"/>
      <c r="BU111" s="37"/>
      <c r="BV111" s="37"/>
      <c r="BW111" s="37"/>
      <c r="BX111" s="37"/>
      <c r="BY111" s="37"/>
      <c r="BZ111" s="37"/>
      <c r="CA111" s="37"/>
      <c r="CB111" s="37" t="s">
        <v>1124</v>
      </c>
      <c r="CC111" s="37"/>
      <c r="CD111" s="37"/>
      <c r="CE111" s="37"/>
      <c r="CF111" s="37"/>
      <c r="CG111" s="37"/>
      <c r="CH111" s="37"/>
      <c r="CI111" s="37"/>
      <c r="CJ111" s="37"/>
      <c r="CK111" s="37"/>
      <c r="CL111" s="37"/>
      <c r="CM111" s="37"/>
      <c r="CN111" s="37" t="s">
        <v>1124</v>
      </c>
      <c r="CO111" s="37"/>
      <c r="CP111" s="37"/>
      <c r="CQ111" s="37"/>
      <c r="CR111" s="37"/>
      <c r="CS111" s="37"/>
      <c r="CT111" s="37"/>
      <c r="CU111" s="37"/>
      <c r="CV111" s="37"/>
      <c r="CW111" s="37"/>
      <c r="CX111" s="37"/>
      <c r="CY111" s="37"/>
      <c r="CZ111" s="37" t="s">
        <v>1124</v>
      </c>
      <c r="DA111" s="37"/>
      <c r="DB111" s="37"/>
      <c r="DC111" s="37"/>
      <c r="DD111" s="37"/>
      <c r="DE111" s="37"/>
      <c r="DF111" s="37"/>
      <c r="DG111" s="37"/>
      <c r="DH111" s="37"/>
      <c r="DI111" s="37"/>
      <c r="DJ111" s="37"/>
      <c r="DK111" s="37"/>
      <c r="DL111" s="37" t="s">
        <v>1124</v>
      </c>
      <c r="DM111" s="37"/>
      <c r="DN111" s="37"/>
      <c r="DO111" s="37"/>
      <c r="DP111" s="37"/>
      <c r="DQ111" s="37"/>
      <c r="DR111" s="37"/>
      <c r="DS111" s="37"/>
      <c r="DT111" s="37"/>
      <c r="DU111" s="37"/>
      <c r="DV111" s="37"/>
      <c r="DW111" s="37"/>
      <c r="DX111" s="37" t="s">
        <v>1124</v>
      </c>
      <c r="DY111" s="37"/>
      <c r="DZ111" s="37"/>
      <c r="EA111" s="37"/>
      <c r="EB111" s="37"/>
      <c r="EC111" s="37"/>
      <c r="ED111" s="37"/>
      <c r="EE111" s="37"/>
      <c r="EF111" s="37"/>
      <c r="EG111" s="37"/>
      <c r="EH111" s="37"/>
      <c r="EI111" s="37"/>
      <c r="EJ111" s="37" t="s">
        <v>1124</v>
      </c>
      <c r="EK111" s="161"/>
      <c r="EL111" s="294"/>
    </row>
    <row r="112" spans="1:142" ht="15" customHeight="1" x14ac:dyDescent="0.35">
      <c r="A112" s="34"/>
      <c r="B112" s="313">
        <v>82025</v>
      </c>
      <c r="C112" s="8" t="s">
        <v>832</v>
      </c>
      <c r="D112" s="18">
        <v>7</v>
      </c>
      <c r="E112" s="155">
        <v>323007.04000000004</v>
      </c>
      <c r="F112" s="36">
        <v>235335.37</v>
      </c>
      <c r="G112" s="37">
        <v>275849</v>
      </c>
      <c r="H112" s="37">
        <v>335595</v>
      </c>
      <c r="I112" s="37">
        <v>267550</v>
      </c>
      <c r="J112" s="37">
        <v>229915</v>
      </c>
      <c r="K112" s="37">
        <v>48451.056000000004</v>
      </c>
      <c r="L112" s="37">
        <v>35300.305499999995</v>
      </c>
      <c r="M112" s="37">
        <v>914857.09600000002</v>
      </c>
      <c r="N112" s="37">
        <v>836145.67550000001</v>
      </c>
      <c r="O112" s="37">
        <v>0</v>
      </c>
      <c r="P112" s="37">
        <v>0</v>
      </c>
      <c r="Q112" s="37">
        <v>664873.92000000004</v>
      </c>
      <c r="R112" s="37">
        <v>623495.87</v>
      </c>
      <c r="S112" s="37">
        <v>36994</v>
      </c>
      <c r="T112" s="37">
        <v>1200</v>
      </c>
      <c r="U112" s="37">
        <v>0</v>
      </c>
      <c r="V112" s="37">
        <v>0</v>
      </c>
      <c r="W112" s="37">
        <v>217687</v>
      </c>
      <c r="X112" s="37">
        <v>206752</v>
      </c>
      <c r="Y112" s="37">
        <v>0</v>
      </c>
      <c r="Z112" s="37">
        <v>0</v>
      </c>
      <c r="AA112" s="37">
        <v>919554.92</v>
      </c>
      <c r="AB112" s="37">
        <v>831447.87</v>
      </c>
      <c r="AC112" s="37">
        <v>0</v>
      </c>
      <c r="AD112" s="37">
        <v>0</v>
      </c>
      <c r="AE112" s="37">
        <v>0</v>
      </c>
      <c r="AF112" s="168">
        <v>0.02</v>
      </c>
      <c r="AG112" s="37">
        <v>21358337.260000002</v>
      </c>
      <c r="AH112" s="37">
        <v>89266.95</v>
      </c>
      <c r="AI112" s="37">
        <v>322021.09000000003</v>
      </c>
      <c r="AJ112" s="37">
        <v>92873.34</v>
      </c>
      <c r="AK112" s="37">
        <v>94730.8</v>
      </c>
      <c r="AL112" s="37">
        <v>96625.42</v>
      </c>
      <c r="AM112" s="37">
        <v>98557.93</v>
      </c>
      <c r="AN112" s="37">
        <v>100529.08</v>
      </c>
      <c r="AO112" s="37">
        <v>102539.67</v>
      </c>
      <c r="AP112" s="37">
        <v>104590.46</v>
      </c>
      <c r="AQ112" s="37">
        <v>106682.27</v>
      </c>
      <c r="AR112" s="37">
        <v>1208417.01</v>
      </c>
      <c r="AS112" s="37">
        <v>0</v>
      </c>
      <c r="AT112" s="37">
        <v>0</v>
      </c>
      <c r="AU112" s="37">
        <v>1872721.04</v>
      </c>
      <c r="AV112" s="37">
        <v>0</v>
      </c>
      <c r="AW112" s="37">
        <v>0</v>
      </c>
      <c r="AX112" s="37">
        <v>0</v>
      </c>
      <c r="AY112" s="37">
        <v>0</v>
      </c>
      <c r="AZ112" s="37">
        <v>0</v>
      </c>
      <c r="BA112" s="37">
        <v>0</v>
      </c>
      <c r="BB112" s="37">
        <v>0</v>
      </c>
      <c r="BC112" s="37">
        <v>0</v>
      </c>
      <c r="BD112" s="37">
        <v>1872721.04</v>
      </c>
      <c r="BE112" s="37">
        <v>0</v>
      </c>
      <c r="BF112" s="37">
        <v>0</v>
      </c>
      <c r="BG112" s="37">
        <v>0</v>
      </c>
      <c r="BH112" s="37">
        <v>0</v>
      </c>
      <c r="BI112" s="37">
        <v>0</v>
      </c>
      <c r="BJ112" s="37">
        <v>0</v>
      </c>
      <c r="BK112" s="37">
        <v>0</v>
      </c>
      <c r="BL112" s="37">
        <v>0</v>
      </c>
      <c r="BM112" s="37">
        <v>0</v>
      </c>
      <c r="BN112" s="37">
        <v>0</v>
      </c>
      <c r="BO112" s="37">
        <v>0</v>
      </c>
      <c r="BP112" s="37">
        <v>0</v>
      </c>
      <c r="BQ112" s="37">
        <v>0</v>
      </c>
      <c r="BR112" s="37">
        <v>368000</v>
      </c>
      <c r="BS112" s="37">
        <v>0</v>
      </c>
      <c r="BT112" s="37">
        <v>0</v>
      </c>
      <c r="BU112" s="37">
        <v>0</v>
      </c>
      <c r="BV112" s="37">
        <v>0</v>
      </c>
      <c r="BW112" s="37">
        <v>0</v>
      </c>
      <c r="BX112" s="37">
        <v>0</v>
      </c>
      <c r="BY112" s="37">
        <v>0</v>
      </c>
      <c r="BZ112" s="37">
        <v>0</v>
      </c>
      <c r="CA112" s="37">
        <v>0</v>
      </c>
      <c r="CB112" s="37">
        <v>368000</v>
      </c>
      <c r="CC112" s="37">
        <v>0</v>
      </c>
      <c r="CD112" s="37">
        <v>0</v>
      </c>
      <c r="CE112" s="37">
        <v>0</v>
      </c>
      <c r="CF112" s="37">
        <v>0</v>
      </c>
      <c r="CG112" s="37">
        <v>0</v>
      </c>
      <c r="CH112" s="37">
        <v>0</v>
      </c>
      <c r="CI112" s="37">
        <v>0</v>
      </c>
      <c r="CJ112" s="37">
        <v>0</v>
      </c>
      <c r="CK112" s="37">
        <v>0</v>
      </c>
      <c r="CL112" s="37">
        <v>0</v>
      </c>
      <c r="CM112" s="37">
        <v>0</v>
      </c>
      <c r="CN112" s="37">
        <v>0</v>
      </c>
      <c r="CO112" s="37">
        <v>0</v>
      </c>
      <c r="CP112" s="37">
        <v>0</v>
      </c>
      <c r="CQ112" s="37">
        <v>0</v>
      </c>
      <c r="CR112" s="37">
        <v>0</v>
      </c>
      <c r="CS112" s="37">
        <v>0</v>
      </c>
      <c r="CT112" s="37">
        <v>0</v>
      </c>
      <c r="CU112" s="37">
        <v>0</v>
      </c>
      <c r="CV112" s="37">
        <v>0</v>
      </c>
      <c r="CW112" s="37">
        <v>0</v>
      </c>
      <c r="CX112" s="37">
        <v>0</v>
      </c>
      <c r="CY112" s="37">
        <v>0</v>
      </c>
      <c r="CZ112" s="37">
        <v>0</v>
      </c>
      <c r="DA112" s="37">
        <v>0</v>
      </c>
      <c r="DB112" s="37">
        <v>0</v>
      </c>
      <c r="DC112" s="37">
        <v>0</v>
      </c>
      <c r="DD112" s="37">
        <v>0</v>
      </c>
      <c r="DE112" s="37">
        <v>0</v>
      </c>
      <c r="DF112" s="37">
        <v>0</v>
      </c>
      <c r="DG112" s="37">
        <v>0</v>
      </c>
      <c r="DH112" s="37">
        <v>0</v>
      </c>
      <c r="DI112" s="37">
        <v>0</v>
      </c>
      <c r="DJ112" s="37">
        <v>0</v>
      </c>
      <c r="DK112" s="37">
        <v>0</v>
      </c>
      <c r="DL112" s="37">
        <v>0</v>
      </c>
      <c r="DM112" s="37">
        <v>0</v>
      </c>
      <c r="DN112" s="37">
        <v>0</v>
      </c>
      <c r="DO112" s="37">
        <v>0</v>
      </c>
      <c r="DP112" s="37">
        <v>0</v>
      </c>
      <c r="DQ112" s="37">
        <v>0</v>
      </c>
      <c r="DR112" s="37">
        <v>0</v>
      </c>
      <c r="DS112" s="37">
        <v>0</v>
      </c>
      <c r="DT112" s="37">
        <v>0</v>
      </c>
      <c r="DU112" s="37">
        <v>0</v>
      </c>
      <c r="DV112" s="37">
        <v>0</v>
      </c>
      <c r="DW112" s="37">
        <v>0</v>
      </c>
      <c r="DX112" s="37">
        <v>0</v>
      </c>
      <c r="DY112" s="37">
        <v>0</v>
      </c>
      <c r="DZ112" s="37">
        <v>0</v>
      </c>
      <c r="EA112" s="37">
        <v>0</v>
      </c>
      <c r="EB112" s="37">
        <v>0</v>
      </c>
      <c r="EC112" s="37">
        <v>0</v>
      </c>
      <c r="ED112" s="37">
        <v>0</v>
      </c>
      <c r="EE112" s="37">
        <v>0</v>
      </c>
      <c r="EF112" s="37">
        <v>0</v>
      </c>
      <c r="EG112" s="37">
        <v>0</v>
      </c>
      <c r="EH112" s="37">
        <v>0</v>
      </c>
      <c r="EI112" s="37">
        <v>0</v>
      </c>
      <c r="EJ112" s="37">
        <v>0</v>
      </c>
      <c r="EK112" s="161" t="s">
        <v>1605</v>
      </c>
      <c r="EL112" s="294" t="s">
        <v>1124</v>
      </c>
    </row>
    <row r="113" spans="1:142" ht="15" customHeight="1" x14ac:dyDescent="0.35">
      <c r="A113" s="34"/>
      <c r="B113" s="313">
        <v>80103</v>
      </c>
      <c r="C113" s="8" t="s">
        <v>819</v>
      </c>
      <c r="D113" s="18">
        <v>7</v>
      </c>
      <c r="E113" s="155">
        <v>62630</v>
      </c>
      <c r="F113" s="36">
        <v>0</v>
      </c>
      <c r="G113" s="37">
        <v>5882</v>
      </c>
      <c r="H113" s="37">
        <v>0</v>
      </c>
      <c r="I113" s="37">
        <v>0</v>
      </c>
      <c r="J113" s="37">
        <v>0</v>
      </c>
      <c r="K113" s="37">
        <v>9395</v>
      </c>
      <c r="L113" s="37">
        <v>0</v>
      </c>
      <c r="M113" s="37">
        <v>77907</v>
      </c>
      <c r="N113" s="37">
        <v>0</v>
      </c>
      <c r="O113" s="37">
        <v>0</v>
      </c>
      <c r="P113" s="37">
        <v>0</v>
      </c>
      <c r="Q113" s="37">
        <v>82300</v>
      </c>
      <c r="R113" s="37">
        <v>0</v>
      </c>
      <c r="S113" s="37">
        <v>400</v>
      </c>
      <c r="T113" s="37">
        <v>0</v>
      </c>
      <c r="U113" s="37">
        <v>29434</v>
      </c>
      <c r="V113" s="37">
        <v>0</v>
      </c>
      <c r="W113" s="37">
        <v>0</v>
      </c>
      <c r="X113" s="37">
        <v>0</v>
      </c>
      <c r="Y113" s="37">
        <v>0</v>
      </c>
      <c r="Z113" s="37">
        <v>0</v>
      </c>
      <c r="AA113" s="37">
        <v>112134</v>
      </c>
      <c r="AB113" s="37">
        <v>0</v>
      </c>
      <c r="AC113" s="37">
        <v>34227</v>
      </c>
      <c r="AD113" s="37">
        <v>14538</v>
      </c>
      <c r="AE113" s="37">
        <v>164063</v>
      </c>
      <c r="AF113" s="168">
        <v>0.02</v>
      </c>
      <c r="AG113" s="37">
        <v>8522737</v>
      </c>
      <c r="AH113" s="37">
        <v>83445.179999999993</v>
      </c>
      <c r="AI113" s="37">
        <v>85114.08</v>
      </c>
      <c r="AJ113" s="37">
        <v>86816.37</v>
      </c>
      <c r="AK113" s="37">
        <v>88552.69</v>
      </c>
      <c r="AL113" s="37">
        <v>90323.75</v>
      </c>
      <c r="AM113" s="37">
        <v>92130.22</v>
      </c>
      <c r="AN113" s="37">
        <v>93972.83</v>
      </c>
      <c r="AO113" s="37">
        <v>95852.28</v>
      </c>
      <c r="AP113" s="37">
        <v>97769.33</v>
      </c>
      <c r="AQ113" s="37">
        <v>99724.71</v>
      </c>
      <c r="AR113" s="37">
        <v>913701.44</v>
      </c>
      <c r="AS113" s="37">
        <v>1109891.98</v>
      </c>
      <c r="AT113" s="37">
        <v>0</v>
      </c>
      <c r="AU113" s="37">
        <v>0</v>
      </c>
      <c r="AV113" s="37">
        <v>0</v>
      </c>
      <c r="AW113" s="37">
        <v>0</v>
      </c>
      <c r="AX113" s="37">
        <v>0</v>
      </c>
      <c r="AY113" s="37">
        <v>0</v>
      </c>
      <c r="AZ113" s="37">
        <v>0</v>
      </c>
      <c r="BA113" s="37">
        <v>0</v>
      </c>
      <c r="BB113" s="37">
        <v>0</v>
      </c>
      <c r="BC113" s="37">
        <v>0</v>
      </c>
      <c r="BD113" s="37">
        <v>0</v>
      </c>
      <c r="BE113" s="37">
        <v>0</v>
      </c>
      <c r="BF113" s="37">
        <v>150069.37031100801</v>
      </c>
      <c r="BG113" s="37">
        <v>161755.84139720394</v>
      </c>
      <c r="BH113" s="37">
        <v>199128.5999421966</v>
      </c>
      <c r="BI113" s="37">
        <v>236501.43834959119</v>
      </c>
      <c r="BJ113" s="37">
        <v>25686.28745879704</v>
      </c>
      <c r="BK113" s="37">
        <v>124383.08285221123</v>
      </c>
      <c r="BL113" s="37">
        <v>161755.84139720394</v>
      </c>
      <c r="BM113" s="37">
        <v>199128.5999421966</v>
      </c>
      <c r="BN113" s="37">
        <v>236501.43834959119</v>
      </c>
      <c r="BO113" s="37">
        <v>0</v>
      </c>
      <c r="BP113" s="37">
        <v>1494910.4999999998</v>
      </c>
      <c r="BQ113" s="37">
        <v>0</v>
      </c>
      <c r="BR113" s="37">
        <v>0</v>
      </c>
      <c r="BS113" s="37">
        <v>0</v>
      </c>
      <c r="BT113" s="37">
        <v>0</v>
      </c>
      <c r="BU113" s="37">
        <v>0</v>
      </c>
      <c r="BV113" s="37">
        <v>0</v>
      </c>
      <c r="BW113" s="37">
        <v>0</v>
      </c>
      <c r="BX113" s="37">
        <v>0</v>
      </c>
      <c r="BY113" s="37">
        <v>0</v>
      </c>
      <c r="BZ113" s="37">
        <v>0</v>
      </c>
      <c r="CA113" s="37">
        <v>0</v>
      </c>
      <c r="CB113" s="37">
        <v>0</v>
      </c>
      <c r="CC113" s="37">
        <v>0</v>
      </c>
      <c r="CD113" s="37">
        <v>36335.02379177176</v>
      </c>
      <c r="CE113" s="37">
        <v>39164.569914866457</v>
      </c>
      <c r="CF113" s="37">
        <v>48213.318957274074</v>
      </c>
      <c r="CG113" s="37">
        <v>57262.087336087709</v>
      </c>
      <c r="CH113" s="37">
        <v>6219.2029193129556</v>
      </c>
      <c r="CI113" s="37">
        <v>30115.820872458822</v>
      </c>
      <c r="CJ113" s="37">
        <v>39164.569914866457</v>
      </c>
      <c r="CK113" s="37">
        <v>48213.318957274074</v>
      </c>
      <c r="CL113" s="37">
        <v>57262.087336087709</v>
      </c>
      <c r="CM113" s="37">
        <v>0</v>
      </c>
      <c r="CN113" s="37">
        <v>361950</v>
      </c>
      <c r="CO113" s="37">
        <v>0</v>
      </c>
      <c r="CP113" s="37">
        <v>0</v>
      </c>
      <c r="CQ113" s="37">
        <v>0</v>
      </c>
      <c r="CR113" s="37">
        <v>0</v>
      </c>
      <c r="CS113" s="37">
        <v>0</v>
      </c>
      <c r="CT113" s="37">
        <v>0</v>
      </c>
      <c r="CU113" s="37">
        <v>0</v>
      </c>
      <c r="CV113" s="37">
        <v>0</v>
      </c>
      <c r="CW113" s="37">
        <v>0</v>
      </c>
      <c r="CX113" s="37">
        <v>0</v>
      </c>
      <c r="CY113" s="37">
        <v>0</v>
      </c>
      <c r="CZ113" s="37">
        <v>0</v>
      </c>
      <c r="DA113" s="37">
        <v>0</v>
      </c>
      <c r="DB113" s="37">
        <v>0</v>
      </c>
      <c r="DC113" s="37">
        <v>0</v>
      </c>
      <c r="DD113" s="37">
        <v>0</v>
      </c>
      <c r="DE113" s="37">
        <v>0</v>
      </c>
      <c r="DF113" s="37">
        <v>0</v>
      </c>
      <c r="DG113" s="37">
        <v>0</v>
      </c>
      <c r="DH113" s="37">
        <v>0</v>
      </c>
      <c r="DI113" s="37">
        <v>0</v>
      </c>
      <c r="DJ113" s="37">
        <v>0</v>
      </c>
      <c r="DK113" s="37">
        <v>0</v>
      </c>
      <c r="DL113" s="37">
        <v>0</v>
      </c>
      <c r="DM113" s="37">
        <v>0</v>
      </c>
      <c r="DN113" s="37">
        <v>0</v>
      </c>
      <c r="DO113" s="37">
        <v>0</v>
      </c>
      <c r="DP113" s="37">
        <v>0</v>
      </c>
      <c r="DQ113" s="37">
        <v>0</v>
      </c>
      <c r="DR113" s="37">
        <v>0</v>
      </c>
      <c r="DS113" s="37">
        <v>0</v>
      </c>
      <c r="DT113" s="37">
        <v>0</v>
      </c>
      <c r="DU113" s="37">
        <v>0</v>
      </c>
      <c r="DV113" s="37">
        <v>0</v>
      </c>
      <c r="DW113" s="37">
        <v>0</v>
      </c>
      <c r="DX113" s="37">
        <v>0</v>
      </c>
      <c r="DY113" s="37">
        <v>0</v>
      </c>
      <c r="DZ113" s="37">
        <v>0</v>
      </c>
      <c r="EA113" s="37">
        <v>0</v>
      </c>
      <c r="EB113" s="37">
        <v>0</v>
      </c>
      <c r="EC113" s="37">
        <v>0</v>
      </c>
      <c r="ED113" s="37">
        <v>0</v>
      </c>
      <c r="EE113" s="37">
        <v>0</v>
      </c>
      <c r="EF113" s="37">
        <v>0</v>
      </c>
      <c r="EG113" s="37">
        <v>0</v>
      </c>
      <c r="EH113" s="37">
        <v>0</v>
      </c>
      <c r="EI113" s="37">
        <v>0</v>
      </c>
      <c r="EJ113" s="37">
        <v>0</v>
      </c>
      <c r="EK113" s="161" t="s">
        <v>1610</v>
      </c>
      <c r="EL113" s="294" t="s">
        <v>1124</v>
      </c>
    </row>
    <row r="114" spans="1:142" ht="15" customHeight="1" x14ac:dyDescent="0.35">
      <c r="A114" s="34"/>
      <c r="B114" s="313">
        <v>62047</v>
      </c>
      <c r="C114" s="8" t="s">
        <v>625</v>
      </c>
      <c r="D114" s="18">
        <v>14</v>
      </c>
      <c r="E114" s="155">
        <v>71766.070000000007</v>
      </c>
      <c r="F114" s="36">
        <v>168701.96</v>
      </c>
      <c r="G114" s="37">
        <v>15530</v>
      </c>
      <c r="H114" s="37">
        <v>8522</v>
      </c>
      <c r="I114" s="37">
        <v>127906.6</v>
      </c>
      <c r="J114" s="37">
        <v>34965.97</v>
      </c>
      <c r="K114" s="37">
        <v>10764.9105</v>
      </c>
      <c r="L114" s="37">
        <v>25305.293999999998</v>
      </c>
      <c r="M114" s="37">
        <v>225967.58050000001</v>
      </c>
      <c r="N114" s="37">
        <v>237495.22399999999</v>
      </c>
      <c r="O114" s="37">
        <v>0</v>
      </c>
      <c r="P114" s="37">
        <v>0</v>
      </c>
      <c r="Q114" s="37">
        <v>67619</v>
      </c>
      <c r="R114" s="37">
        <v>6743</v>
      </c>
      <c r="S114" s="37">
        <v>0</v>
      </c>
      <c r="T114" s="37">
        <v>0</v>
      </c>
      <c r="U114" s="37">
        <v>118499</v>
      </c>
      <c r="V114" s="37">
        <v>0</v>
      </c>
      <c r="W114" s="37">
        <v>114551</v>
      </c>
      <c r="X114" s="37">
        <v>114551</v>
      </c>
      <c r="Y114" s="37">
        <v>0</v>
      </c>
      <c r="Z114" s="37">
        <v>41500</v>
      </c>
      <c r="AA114" s="37">
        <v>300669</v>
      </c>
      <c r="AB114" s="37">
        <v>162794</v>
      </c>
      <c r="AC114" s="37">
        <v>0</v>
      </c>
      <c r="AD114" s="37">
        <v>0</v>
      </c>
      <c r="AE114" s="37">
        <v>0</v>
      </c>
      <c r="AF114" s="168">
        <v>0.02</v>
      </c>
      <c r="AG114" s="37">
        <v>12931483.58</v>
      </c>
      <c r="AH114" s="37">
        <v>121554.58</v>
      </c>
      <c r="AI114" s="37">
        <v>392903.7</v>
      </c>
      <c r="AJ114" s="37">
        <v>126474.76</v>
      </c>
      <c r="AK114" s="37">
        <v>129004.26</v>
      </c>
      <c r="AL114" s="37">
        <v>131584.34</v>
      </c>
      <c r="AM114" s="37">
        <v>134216.03</v>
      </c>
      <c r="AN114" s="37">
        <v>136900.35</v>
      </c>
      <c r="AO114" s="37">
        <v>139638.35999999999</v>
      </c>
      <c r="AP114" s="37">
        <v>142431.12</v>
      </c>
      <c r="AQ114" s="37">
        <v>68675.63</v>
      </c>
      <c r="AR114" s="37">
        <v>1523383.1300000001</v>
      </c>
      <c r="AS114" s="37">
        <v>0</v>
      </c>
      <c r="AT114" s="37">
        <v>0</v>
      </c>
      <c r="AU114" s="37">
        <v>0</v>
      </c>
      <c r="AV114" s="37">
        <v>0</v>
      </c>
      <c r="AW114" s="37">
        <v>0</v>
      </c>
      <c r="AX114" s="37">
        <v>0</v>
      </c>
      <c r="AY114" s="37">
        <v>0</v>
      </c>
      <c r="AZ114" s="37">
        <v>0</v>
      </c>
      <c r="BA114" s="37">
        <v>0</v>
      </c>
      <c r="BB114" s="37">
        <v>0</v>
      </c>
      <c r="BC114" s="37">
        <v>0</v>
      </c>
      <c r="BD114" s="37">
        <v>0</v>
      </c>
      <c r="BE114" s="37">
        <v>24716</v>
      </c>
      <c r="BF114" s="37">
        <v>0</v>
      </c>
      <c r="BG114" s="37">
        <v>415000</v>
      </c>
      <c r="BH114" s="37">
        <v>0</v>
      </c>
      <c r="BI114" s="37">
        <v>0</v>
      </c>
      <c r="BJ114" s="37">
        <v>22461.559867354459</v>
      </c>
      <c r="BK114" s="37">
        <v>108767.68651182475</v>
      </c>
      <c r="BL114" s="37">
        <v>141448.56555334001</v>
      </c>
      <c r="BM114" s="37">
        <v>174129.44459485525</v>
      </c>
      <c r="BN114" s="37">
        <v>206810.39347262552</v>
      </c>
      <c r="BO114" s="37">
        <v>0</v>
      </c>
      <c r="BP114" s="37">
        <v>1068617.6499999999</v>
      </c>
      <c r="BQ114" s="37">
        <v>0</v>
      </c>
      <c r="BR114" s="37">
        <v>0</v>
      </c>
      <c r="BS114" s="37">
        <v>0</v>
      </c>
      <c r="BT114" s="37">
        <v>0</v>
      </c>
      <c r="BU114" s="37">
        <v>0</v>
      </c>
      <c r="BV114" s="37">
        <v>0</v>
      </c>
      <c r="BW114" s="37">
        <v>0</v>
      </c>
      <c r="BX114" s="37">
        <v>0</v>
      </c>
      <c r="BY114" s="37">
        <v>0</v>
      </c>
      <c r="BZ114" s="37">
        <v>0</v>
      </c>
      <c r="CA114" s="37">
        <v>0</v>
      </c>
      <c r="CB114" s="37">
        <v>0</v>
      </c>
      <c r="CC114" s="37">
        <v>0</v>
      </c>
      <c r="CD114" s="37">
        <v>0</v>
      </c>
      <c r="CE114" s="37">
        <v>0</v>
      </c>
      <c r="CF114" s="37">
        <v>0</v>
      </c>
      <c r="CG114" s="37">
        <v>0</v>
      </c>
      <c r="CH114" s="37">
        <v>0</v>
      </c>
      <c r="CI114" s="37">
        <v>0</v>
      </c>
      <c r="CJ114" s="37">
        <v>0</v>
      </c>
      <c r="CK114" s="37">
        <v>0</v>
      </c>
      <c r="CL114" s="37">
        <v>0</v>
      </c>
      <c r="CM114" s="37">
        <v>0</v>
      </c>
      <c r="CN114" s="37">
        <v>0</v>
      </c>
      <c r="CO114" s="37">
        <v>0</v>
      </c>
      <c r="CP114" s="37">
        <v>0</v>
      </c>
      <c r="CQ114" s="37">
        <v>0</v>
      </c>
      <c r="CR114" s="37">
        <v>0</v>
      </c>
      <c r="CS114" s="37">
        <v>0</v>
      </c>
      <c r="CT114" s="37">
        <v>0</v>
      </c>
      <c r="CU114" s="37">
        <v>0</v>
      </c>
      <c r="CV114" s="37">
        <v>0</v>
      </c>
      <c r="CW114" s="37">
        <v>0</v>
      </c>
      <c r="CX114" s="37">
        <v>0</v>
      </c>
      <c r="CY114" s="37">
        <v>0</v>
      </c>
      <c r="CZ114" s="37">
        <v>0</v>
      </c>
      <c r="DA114" s="37">
        <v>0</v>
      </c>
      <c r="DB114" s="37">
        <v>0</v>
      </c>
      <c r="DC114" s="37">
        <v>0</v>
      </c>
      <c r="DD114" s="37">
        <v>0</v>
      </c>
      <c r="DE114" s="37">
        <v>0</v>
      </c>
      <c r="DF114" s="37">
        <v>0</v>
      </c>
      <c r="DG114" s="37">
        <v>0</v>
      </c>
      <c r="DH114" s="37">
        <v>0</v>
      </c>
      <c r="DI114" s="37">
        <v>0</v>
      </c>
      <c r="DJ114" s="37">
        <v>0</v>
      </c>
      <c r="DK114" s="37">
        <v>0</v>
      </c>
      <c r="DL114" s="37">
        <v>0</v>
      </c>
      <c r="DM114" s="37">
        <v>0</v>
      </c>
      <c r="DN114" s="37">
        <v>0</v>
      </c>
      <c r="DO114" s="37">
        <v>0</v>
      </c>
      <c r="DP114" s="37">
        <v>0</v>
      </c>
      <c r="DQ114" s="37">
        <v>0</v>
      </c>
      <c r="DR114" s="37">
        <v>0</v>
      </c>
      <c r="DS114" s="37">
        <v>0</v>
      </c>
      <c r="DT114" s="37">
        <v>0</v>
      </c>
      <c r="DU114" s="37">
        <v>0</v>
      </c>
      <c r="DV114" s="37">
        <v>0</v>
      </c>
      <c r="DW114" s="37">
        <v>0</v>
      </c>
      <c r="DX114" s="37">
        <v>0</v>
      </c>
      <c r="DY114" s="37">
        <v>0</v>
      </c>
      <c r="DZ114" s="37">
        <v>0</v>
      </c>
      <c r="EA114" s="37">
        <v>0</v>
      </c>
      <c r="EB114" s="37">
        <v>0</v>
      </c>
      <c r="EC114" s="37">
        <v>0</v>
      </c>
      <c r="ED114" s="37">
        <v>0</v>
      </c>
      <c r="EE114" s="37">
        <v>0</v>
      </c>
      <c r="EF114" s="37">
        <v>0</v>
      </c>
      <c r="EG114" s="37">
        <v>0</v>
      </c>
      <c r="EH114" s="37">
        <v>0</v>
      </c>
      <c r="EI114" s="37">
        <v>0</v>
      </c>
      <c r="EJ114" s="37">
        <v>0</v>
      </c>
      <c r="EK114" s="161" t="s">
        <v>1616</v>
      </c>
      <c r="EL114" s="294" t="s">
        <v>1124</v>
      </c>
    </row>
    <row r="115" spans="1:142" ht="15" customHeight="1" x14ac:dyDescent="0.35">
      <c r="A115" s="34"/>
      <c r="B115" s="313">
        <v>39030</v>
      </c>
      <c r="C115" s="8" t="s">
        <v>342</v>
      </c>
      <c r="D115" s="18">
        <v>17</v>
      </c>
      <c r="E115" s="155">
        <v>44045</v>
      </c>
      <c r="F115" s="36">
        <v>46800</v>
      </c>
      <c r="G115" s="37">
        <v>91772</v>
      </c>
      <c r="H115" s="37">
        <v>0</v>
      </c>
      <c r="I115" s="37">
        <v>182458</v>
      </c>
      <c r="J115" s="37">
        <v>0</v>
      </c>
      <c r="K115" s="37">
        <v>6606.75</v>
      </c>
      <c r="L115" s="37">
        <v>7020</v>
      </c>
      <c r="M115" s="37">
        <v>324881.75</v>
      </c>
      <c r="N115" s="37">
        <v>53820</v>
      </c>
      <c r="O115" s="37">
        <v>11590.7</v>
      </c>
      <c r="P115" s="37">
        <v>0</v>
      </c>
      <c r="Q115" s="37">
        <v>25092</v>
      </c>
      <c r="R115" s="37">
        <v>0</v>
      </c>
      <c r="S115" s="37">
        <v>0</v>
      </c>
      <c r="T115" s="37">
        <v>0</v>
      </c>
      <c r="U115" s="37">
        <v>0</v>
      </c>
      <c r="V115" s="37">
        <v>3842</v>
      </c>
      <c r="W115" s="37">
        <v>288199.75</v>
      </c>
      <c r="X115" s="37">
        <v>49977.75</v>
      </c>
      <c r="Y115" s="37">
        <v>0</v>
      </c>
      <c r="Z115" s="37">
        <v>0</v>
      </c>
      <c r="AA115" s="37">
        <v>324882.45</v>
      </c>
      <c r="AB115" s="37">
        <v>53819.75</v>
      </c>
      <c r="AC115" s="37">
        <v>0</v>
      </c>
      <c r="AD115" s="37">
        <v>0</v>
      </c>
      <c r="AE115" s="37">
        <v>0</v>
      </c>
      <c r="AF115" s="168">
        <v>0.02</v>
      </c>
      <c r="AG115" s="37">
        <v>9770050.2100000009</v>
      </c>
      <c r="AH115" s="37">
        <v>81148.69</v>
      </c>
      <c r="AI115" s="37">
        <v>103995.83</v>
      </c>
      <c r="AJ115" s="37">
        <v>84427.1</v>
      </c>
      <c r="AK115" s="37">
        <v>86115.64</v>
      </c>
      <c r="AL115" s="37">
        <v>87837.95</v>
      </c>
      <c r="AM115" s="37">
        <v>89594.71</v>
      </c>
      <c r="AN115" s="37">
        <v>91386.61</v>
      </c>
      <c r="AO115" s="37">
        <v>93214.34</v>
      </c>
      <c r="AP115" s="37">
        <v>95078.63</v>
      </c>
      <c r="AQ115" s="37">
        <v>96980.2</v>
      </c>
      <c r="AR115" s="37">
        <v>909779.7</v>
      </c>
      <c r="AS115" s="37">
        <v>0</v>
      </c>
      <c r="AT115" s="37">
        <v>0</v>
      </c>
      <c r="AU115" s="37">
        <v>0</v>
      </c>
      <c r="AV115" s="37">
        <v>0</v>
      </c>
      <c r="AW115" s="37">
        <v>0</v>
      </c>
      <c r="AX115" s="37">
        <v>0</v>
      </c>
      <c r="AY115" s="37">
        <v>0</v>
      </c>
      <c r="AZ115" s="37">
        <v>0</v>
      </c>
      <c r="BA115" s="37">
        <v>0</v>
      </c>
      <c r="BB115" s="37">
        <v>0</v>
      </c>
      <c r="BC115" s="37">
        <v>0</v>
      </c>
      <c r="BD115" s="37">
        <v>0</v>
      </c>
      <c r="BE115" s="37">
        <v>58577</v>
      </c>
      <c r="BF115" s="37">
        <v>1307</v>
      </c>
      <c r="BG115" s="37">
        <v>0</v>
      </c>
      <c r="BH115" s="37">
        <v>0</v>
      </c>
      <c r="BI115" s="37">
        <v>0</v>
      </c>
      <c r="BJ115" s="37">
        <v>0</v>
      </c>
      <c r="BK115" s="37">
        <v>0</v>
      </c>
      <c r="BL115" s="37">
        <v>0</v>
      </c>
      <c r="BM115" s="37">
        <v>0</v>
      </c>
      <c r="BN115" s="37">
        <v>0</v>
      </c>
      <c r="BO115" s="37">
        <v>0</v>
      </c>
      <c r="BP115" s="37">
        <v>1307</v>
      </c>
      <c r="BQ115" s="37">
        <v>12000</v>
      </c>
      <c r="BR115" s="37">
        <v>268</v>
      </c>
      <c r="BS115" s="37">
        <v>0</v>
      </c>
      <c r="BT115" s="37">
        <v>0</v>
      </c>
      <c r="BU115" s="37">
        <v>0</v>
      </c>
      <c r="BV115" s="37">
        <v>0</v>
      </c>
      <c r="BW115" s="37">
        <v>0</v>
      </c>
      <c r="BX115" s="37">
        <v>0</v>
      </c>
      <c r="BY115" s="37">
        <v>0</v>
      </c>
      <c r="BZ115" s="37">
        <v>0</v>
      </c>
      <c r="CA115" s="37">
        <v>0</v>
      </c>
      <c r="CB115" s="37">
        <v>268</v>
      </c>
      <c r="CC115" s="37">
        <v>0</v>
      </c>
      <c r="CD115" s="37">
        <v>0</v>
      </c>
      <c r="CE115" s="37">
        <v>0</v>
      </c>
      <c r="CF115" s="37">
        <v>0</v>
      </c>
      <c r="CG115" s="37">
        <v>0</v>
      </c>
      <c r="CH115" s="37">
        <v>0</v>
      </c>
      <c r="CI115" s="37">
        <v>0</v>
      </c>
      <c r="CJ115" s="37">
        <v>0</v>
      </c>
      <c r="CK115" s="37">
        <v>0</v>
      </c>
      <c r="CL115" s="37">
        <v>0</v>
      </c>
      <c r="CM115" s="37">
        <v>0</v>
      </c>
      <c r="CN115" s="37">
        <v>0</v>
      </c>
      <c r="CO115" s="37">
        <v>921</v>
      </c>
      <c r="CP115" s="37">
        <v>0</v>
      </c>
      <c r="CQ115" s="37">
        <v>0</v>
      </c>
      <c r="CR115" s="37">
        <v>0</v>
      </c>
      <c r="CS115" s="37">
        <v>0</v>
      </c>
      <c r="CT115" s="37">
        <v>0</v>
      </c>
      <c r="CU115" s="37">
        <v>0</v>
      </c>
      <c r="CV115" s="37">
        <v>0</v>
      </c>
      <c r="CW115" s="37">
        <v>0</v>
      </c>
      <c r="CX115" s="37">
        <v>0</v>
      </c>
      <c r="CY115" s="37">
        <v>0</v>
      </c>
      <c r="CZ115" s="37">
        <v>0</v>
      </c>
      <c r="DA115" s="37">
        <v>0</v>
      </c>
      <c r="DB115" s="37">
        <v>0</v>
      </c>
      <c r="DC115" s="37">
        <v>0</v>
      </c>
      <c r="DD115" s="37">
        <v>0</v>
      </c>
      <c r="DE115" s="37">
        <v>0</v>
      </c>
      <c r="DF115" s="37">
        <v>0</v>
      </c>
      <c r="DG115" s="37">
        <v>0</v>
      </c>
      <c r="DH115" s="37">
        <v>0</v>
      </c>
      <c r="DI115" s="37">
        <v>0</v>
      </c>
      <c r="DJ115" s="37">
        <v>0</v>
      </c>
      <c r="DK115" s="37">
        <v>0</v>
      </c>
      <c r="DL115" s="37">
        <v>0</v>
      </c>
      <c r="DM115" s="37">
        <v>496</v>
      </c>
      <c r="DN115" s="37">
        <v>0</v>
      </c>
      <c r="DO115" s="37">
        <v>0</v>
      </c>
      <c r="DP115" s="37">
        <v>0</v>
      </c>
      <c r="DQ115" s="37">
        <v>0</v>
      </c>
      <c r="DR115" s="37">
        <v>0</v>
      </c>
      <c r="DS115" s="37">
        <v>0</v>
      </c>
      <c r="DT115" s="37">
        <v>0</v>
      </c>
      <c r="DU115" s="37">
        <v>0</v>
      </c>
      <c r="DV115" s="37">
        <v>0</v>
      </c>
      <c r="DW115" s="37">
        <v>0</v>
      </c>
      <c r="DX115" s="37">
        <v>0</v>
      </c>
      <c r="DY115" s="37">
        <v>0</v>
      </c>
      <c r="DZ115" s="37">
        <v>0</v>
      </c>
      <c r="EA115" s="37">
        <v>0</v>
      </c>
      <c r="EB115" s="37">
        <v>0</v>
      </c>
      <c r="EC115" s="37">
        <v>0</v>
      </c>
      <c r="ED115" s="37">
        <v>0</v>
      </c>
      <c r="EE115" s="37">
        <v>0</v>
      </c>
      <c r="EF115" s="37">
        <v>0</v>
      </c>
      <c r="EG115" s="37">
        <v>0</v>
      </c>
      <c r="EH115" s="37">
        <v>0</v>
      </c>
      <c r="EI115" s="37">
        <v>0</v>
      </c>
      <c r="EJ115" s="37">
        <v>0</v>
      </c>
      <c r="EK115" s="161" t="s">
        <v>1619</v>
      </c>
      <c r="EL115" s="294" t="s">
        <v>1124</v>
      </c>
    </row>
    <row r="116" spans="1:142" ht="15" customHeight="1" x14ac:dyDescent="0.35">
      <c r="A116" s="34"/>
      <c r="B116" s="313">
        <v>99025</v>
      </c>
      <c r="C116" s="8" t="s">
        <v>1022</v>
      </c>
      <c r="D116" s="18">
        <v>10</v>
      </c>
      <c r="E116" s="155">
        <v>792763</v>
      </c>
      <c r="F116" s="36">
        <v>476971</v>
      </c>
      <c r="G116" s="37">
        <v>66955</v>
      </c>
      <c r="H116" s="37">
        <v>44129</v>
      </c>
      <c r="I116" s="37">
        <v>887436</v>
      </c>
      <c r="J116" s="37">
        <v>166555</v>
      </c>
      <c r="K116" s="37">
        <v>95131.56</v>
      </c>
      <c r="L116" s="37">
        <v>57236.52</v>
      </c>
      <c r="M116" s="37">
        <v>1842285.56</v>
      </c>
      <c r="N116" s="37">
        <v>744891.52</v>
      </c>
      <c r="O116" s="37">
        <v>24888</v>
      </c>
      <c r="P116" s="37">
        <v>0</v>
      </c>
      <c r="Q116" s="37">
        <v>872588</v>
      </c>
      <c r="R116" s="37">
        <v>313921</v>
      </c>
      <c r="S116" s="37">
        <v>0</v>
      </c>
      <c r="T116" s="37">
        <v>0</v>
      </c>
      <c r="U116" s="37">
        <v>63875</v>
      </c>
      <c r="V116" s="37">
        <v>0</v>
      </c>
      <c r="W116" s="37">
        <v>880934.56</v>
      </c>
      <c r="X116" s="37">
        <v>430970.52</v>
      </c>
      <c r="Y116" s="37">
        <v>0</v>
      </c>
      <c r="Z116" s="37">
        <v>0</v>
      </c>
      <c r="AA116" s="37">
        <v>1842285.56</v>
      </c>
      <c r="AB116" s="37">
        <v>744891.52</v>
      </c>
      <c r="AC116" s="37">
        <v>0</v>
      </c>
      <c r="AD116" s="37">
        <v>0</v>
      </c>
      <c r="AE116" s="37">
        <v>0</v>
      </c>
      <c r="AF116" s="168">
        <v>0.02</v>
      </c>
      <c r="AG116" s="37">
        <v>113799147.16</v>
      </c>
      <c r="AH116" s="37">
        <v>1260813.47</v>
      </c>
      <c r="AI116" s="37">
        <v>1286029.74</v>
      </c>
      <c r="AJ116" s="37">
        <v>2610668.9300000002</v>
      </c>
      <c r="AK116" s="37">
        <v>1268766.28</v>
      </c>
      <c r="AL116" s="37">
        <v>1364745.05</v>
      </c>
      <c r="AM116" s="37">
        <v>1392039.95</v>
      </c>
      <c r="AN116" s="37">
        <v>1419880.75</v>
      </c>
      <c r="AO116" s="37">
        <v>1448278.37</v>
      </c>
      <c r="AP116" s="37">
        <v>1477243.93</v>
      </c>
      <c r="AQ116" s="37">
        <v>1506788.81</v>
      </c>
      <c r="AR116" s="37">
        <v>15035255.279999999</v>
      </c>
      <c r="AS116" s="37">
        <v>20062665.600000001</v>
      </c>
      <c r="AT116" s="37">
        <v>326400</v>
      </c>
      <c r="AU116" s="37">
        <v>2876152.51</v>
      </c>
      <c r="AV116" s="37">
        <v>4650383.25</v>
      </c>
      <c r="AW116" s="37">
        <v>479877.9</v>
      </c>
      <c r="AX116" s="37">
        <v>4459150.51</v>
      </c>
      <c r="AY116" s="37">
        <v>0</v>
      </c>
      <c r="AZ116" s="37">
        <v>0</v>
      </c>
      <c r="BA116" s="37">
        <v>0</v>
      </c>
      <c r="BB116" s="37">
        <v>0</v>
      </c>
      <c r="BC116" s="37">
        <v>0</v>
      </c>
      <c r="BD116" s="37">
        <v>12791964.17</v>
      </c>
      <c r="BE116" s="37">
        <v>0</v>
      </c>
      <c r="BF116" s="37">
        <v>0</v>
      </c>
      <c r="BG116" s="37">
        <v>2667627</v>
      </c>
      <c r="BH116" s="37">
        <v>0</v>
      </c>
      <c r="BI116" s="37">
        <v>0</v>
      </c>
      <c r="BJ116" s="37">
        <v>0</v>
      </c>
      <c r="BK116" s="37">
        <v>0</v>
      </c>
      <c r="BL116" s="37">
        <v>0</v>
      </c>
      <c r="BM116" s="37">
        <v>0</v>
      </c>
      <c r="BN116" s="37">
        <v>0</v>
      </c>
      <c r="BO116" s="37">
        <v>0</v>
      </c>
      <c r="BP116" s="37">
        <v>2667627</v>
      </c>
      <c r="BQ116" s="37">
        <v>0</v>
      </c>
      <c r="BR116" s="37">
        <v>0</v>
      </c>
      <c r="BS116" s="37">
        <v>3412373</v>
      </c>
      <c r="BT116" s="37">
        <v>6000000</v>
      </c>
      <c r="BU116" s="37">
        <v>0</v>
      </c>
      <c r="BV116" s="37">
        <v>0</v>
      </c>
      <c r="BW116" s="37">
        <v>0</v>
      </c>
      <c r="BX116" s="37">
        <v>0</v>
      </c>
      <c r="BY116" s="37">
        <v>0</v>
      </c>
      <c r="BZ116" s="37">
        <v>0</v>
      </c>
      <c r="CA116" s="37">
        <v>0</v>
      </c>
      <c r="CB116" s="37">
        <v>9412373</v>
      </c>
      <c r="CC116" s="37">
        <v>0</v>
      </c>
      <c r="CD116" s="37">
        <v>106500</v>
      </c>
      <c r="CE116" s="37">
        <v>106500</v>
      </c>
      <c r="CF116" s="37">
        <v>0</v>
      </c>
      <c r="CG116" s="37">
        <v>0</v>
      </c>
      <c r="CH116" s="37">
        <v>0</v>
      </c>
      <c r="CI116" s="37">
        <v>0</v>
      </c>
      <c r="CJ116" s="37">
        <v>0</v>
      </c>
      <c r="CK116" s="37">
        <v>0</v>
      </c>
      <c r="CL116" s="37">
        <v>0</v>
      </c>
      <c r="CM116" s="37">
        <v>0</v>
      </c>
      <c r="CN116" s="37">
        <v>213000</v>
      </c>
      <c r="CO116" s="37">
        <v>0</v>
      </c>
      <c r="CP116" s="37">
        <v>0</v>
      </c>
      <c r="CQ116" s="37">
        <v>0</v>
      </c>
      <c r="CR116" s="37">
        <v>0</v>
      </c>
      <c r="CS116" s="37">
        <v>0</v>
      </c>
      <c r="CT116" s="37">
        <v>2667627</v>
      </c>
      <c r="CU116" s="37">
        <v>0</v>
      </c>
      <c r="CV116" s="37">
        <v>0</v>
      </c>
      <c r="CW116" s="37">
        <v>0</v>
      </c>
      <c r="CX116" s="37">
        <v>0</v>
      </c>
      <c r="CY116" s="37">
        <v>0</v>
      </c>
      <c r="CZ116" s="37">
        <v>2667627</v>
      </c>
      <c r="DA116" s="37">
        <v>2470000</v>
      </c>
      <c r="DB116" s="37">
        <v>0</v>
      </c>
      <c r="DC116" s="37">
        <v>2764468</v>
      </c>
      <c r="DD116" s="37">
        <v>0</v>
      </c>
      <c r="DE116" s="37">
        <v>0</v>
      </c>
      <c r="DF116" s="37">
        <v>1371163</v>
      </c>
      <c r="DG116" s="37">
        <v>0</v>
      </c>
      <c r="DH116" s="37">
        <v>0</v>
      </c>
      <c r="DI116" s="37">
        <v>0</v>
      </c>
      <c r="DJ116" s="37">
        <v>0</v>
      </c>
      <c r="DK116" s="37">
        <v>0</v>
      </c>
      <c r="DL116" s="37">
        <v>4135631</v>
      </c>
      <c r="DM116" s="37">
        <v>0</v>
      </c>
      <c r="DN116" s="37">
        <v>320000</v>
      </c>
      <c r="DO116" s="37">
        <v>0</v>
      </c>
      <c r="DP116" s="37">
        <v>0</v>
      </c>
      <c r="DQ116" s="37">
        <v>0</v>
      </c>
      <c r="DR116" s="37">
        <v>0</v>
      </c>
      <c r="DS116" s="37">
        <v>0</v>
      </c>
      <c r="DT116" s="37">
        <v>0</v>
      </c>
      <c r="DU116" s="37">
        <v>0</v>
      </c>
      <c r="DV116" s="37">
        <v>0</v>
      </c>
      <c r="DW116" s="37">
        <v>0</v>
      </c>
      <c r="DX116" s="37">
        <v>320000</v>
      </c>
      <c r="DY116" s="37">
        <v>0</v>
      </c>
      <c r="DZ116" s="37">
        <v>0</v>
      </c>
      <c r="EA116" s="37">
        <v>0</v>
      </c>
      <c r="EB116" s="37">
        <v>0</v>
      </c>
      <c r="EC116" s="37">
        <v>0</v>
      </c>
      <c r="ED116" s="37">
        <v>0</v>
      </c>
      <c r="EE116" s="37">
        <v>0</v>
      </c>
      <c r="EF116" s="37">
        <v>0</v>
      </c>
      <c r="EG116" s="37">
        <v>0</v>
      </c>
      <c r="EH116" s="37">
        <v>0</v>
      </c>
      <c r="EI116" s="37">
        <v>0</v>
      </c>
      <c r="EJ116" s="37">
        <v>0</v>
      </c>
      <c r="EK116" s="161" t="s">
        <v>1623</v>
      </c>
      <c r="EL116" s="294" t="s">
        <v>1124</v>
      </c>
    </row>
    <row r="117" spans="1:142" ht="15" customHeight="1" x14ac:dyDescent="0.35">
      <c r="A117" s="34"/>
      <c r="B117" s="313">
        <v>84090</v>
      </c>
      <c r="C117" s="8" t="s">
        <v>867</v>
      </c>
      <c r="D117" s="18">
        <v>7</v>
      </c>
      <c r="E117" s="155"/>
      <c r="F117" s="36"/>
      <c r="G117" s="37"/>
      <c r="H117" s="37"/>
      <c r="I117" s="37"/>
      <c r="J117" s="37"/>
      <c r="K117" s="37"/>
      <c r="L117" s="37"/>
      <c r="M117" s="37" t="s">
        <v>1124</v>
      </c>
      <c r="N117" s="37" t="s">
        <v>1124</v>
      </c>
      <c r="O117" s="37"/>
      <c r="P117" s="37"/>
      <c r="Q117" s="37"/>
      <c r="R117" s="37"/>
      <c r="S117" s="37"/>
      <c r="T117" s="37"/>
      <c r="U117" s="37"/>
      <c r="V117" s="37"/>
      <c r="W117" s="37"/>
      <c r="X117" s="37"/>
      <c r="Y117" s="37"/>
      <c r="Z117" s="37"/>
      <c r="AA117" s="37" t="s">
        <v>1124</v>
      </c>
      <c r="AB117" s="37" t="s">
        <v>1124</v>
      </c>
      <c r="AC117" s="37"/>
      <c r="AD117" s="37"/>
      <c r="AE117" s="37"/>
      <c r="AF117" s="168"/>
      <c r="AG117" s="37"/>
      <c r="AH117" s="37"/>
      <c r="AI117" s="37"/>
      <c r="AJ117" s="37"/>
      <c r="AK117" s="37"/>
      <c r="AL117" s="37"/>
      <c r="AM117" s="37"/>
      <c r="AN117" s="37"/>
      <c r="AO117" s="37"/>
      <c r="AP117" s="37"/>
      <c r="AQ117" s="37"/>
      <c r="AR117" s="37" t="s">
        <v>1124</v>
      </c>
      <c r="AS117" s="37"/>
      <c r="AT117" s="37"/>
      <c r="AU117" s="37"/>
      <c r="AV117" s="37"/>
      <c r="AW117" s="37"/>
      <c r="AX117" s="37"/>
      <c r="AY117" s="37"/>
      <c r="AZ117" s="37"/>
      <c r="BA117" s="37"/>
      <c r="BB117" s="37"/>
      <c r="BC117" s="37"/>
      <c r="BD117" s="37" t="s">
        <v>1124</v>
      </c>
      <c r="BE117" s="37"/>
      <c r="BF117" s="37"/>
      <c r="BG117" s="37"/>
      <c r="BH117" s="37"/>
      <c r="BI117" s="37"/>
      <c r="BJ117" s="37"/>
      <c r="BK117" s="37"/>
      <c r="BL117" s="37"/>
      <c r="BM117" s="37"/>
      <c r="BN117" s="37"/>
      <c r="BO117" s="37"/>
      <c r="BP117" s="37">
        <v>0</v>
      </c>
      <c r="BQ117" s="37"/>
      <c r="BR117" s="37"/>
      <c r="BS117" s="37"/>
      <c r="BT117" s="37"/>
      <c r="BU117" s="37"/>
      <c r="BV117" s="37"/>
      <c r="BW117" s="37"/>
      <c r="BX117" s="37"/>
      <c r="BY117" s="37"/>
      <c r="BZ117" s="37"/>
      <c r="CA117" s="37"/>
      <c r="CB117" s="37" t="s">
        <v>1124</v>
      </c>
      <c r="CC117" s="37"/>
      <c r="CD117" s="37"/>
      <c r="CE117" s="37"/>
      <c r="CF117" s="37"/>
      <c r="CG117" s="37"/>
      <c r="CH117" s="37"/>
      <c r="CI117" s="37"/>
      <c r="CJ117" s="37"/>
      <c r="CK117" s="37"/>
      <c r="CL117" s="37"/>
      <c r="CM117" s="37"/>
      <c r="CN117" s="37" t="s">
        <v>1124</v>
      </c>
      <c r="CO117" s="37"/>
      <c r="CP117" s="37"/>
      <c r="CQ117" s="37"/>
      <c r="CR117" s="37"/>
      <c r="CS117" s="37"/>
      <c r="CT117" s="37"/>
      <c r="CU117" s="37"/>
      <c r="CV117" s="37"/>
      <c r="CW117" s="37"/>
      <c r="CX117" s="37"/>
      <c r="CY117" s="37"/>
      <c r="CZ117" s="37" t="s">
        <v>1124</v>
      </c>
      <c r="DA117" s="37"/>
      <c r="DB117" s="37"/>
      <c r="DC117" s="37"/>
      <c r="DD117" s="37"/>
      <c r="DE117" s="37"/>
      <c r="DF117" s="37"/>
      <c r="DG117" s="37"/>
      <c r="DH117" s="37"/>
      <c r="DI117" s="37"/>
      <c r="DJ117" s="37"/>
      <c r="DK117" s="37"/>
      <c r="DL117" s="37" t="s">
        <v>1124</v>
      </c>
      <c r="DM117" s="37"/>
      <c r="DN117" s="37"/>
      <c r="DO117" s="37"/>
      <c r="DP117" s="37"/>
      <c r="DQ117" s="37"/>
      <c r="DR117" s="37"/>
      <c r="DS117" s="37"/>
      <c r="DT117" s="37"/>
      <c r="DU117" s="37"/>
      <c r="DV117" s="37"/>
      <c r="DW117" s="37"/>
      <c r="DX117" s="37" t="s">
        <v>1124</v>
      </c>
      <c r="DY117" s="37"/>
      <c r="DZ117" s="37"/>
      <c r="EA117" s="37"/>
      <c r="EB117" s="37"/>
      <c r="EC117" s="37"/>
      <c r="ED117" s="37"/>
      <c r="EE117" s="37"/>
      <c r="EF117" s="37"/>
      <c r="EG117" s="37"/>
      <c r="EH117" s="37"/>
      <c r="EI117" s="37"/>
      <c r="EJ117" s="37" t="s">
        <v>1124</v>
      </c>
      <c r="EK117" s="161"/>
      <c r="EL117" s="294"/>
    </row>
    <row r="118" spans="1:142" ht="15" customHeight="1" x14ac:dyDescent="0.35">
      <c r="A118" s="34"/>
      <c r="B118" s="313">
        <v>96035</v>
      </c>
      <c r="C118" s="8" t="s">
        <v>1000</v>
      </c>
      <c r="D118" s="18">
        <v>9</v>
      </c>
      <c r="E118" s="155">
        <v>203256</v>
      </c>
      <c r="F118" s="36">
        <v>75804</v>
      </c>
      <c r="G118" s="37">
        <v>0</v>
      </c>
      <c r="H118" s="37">
        <v>85188</v>
      </c>
      <c r="I118" s="37">
        <v>0</v>
      </c>
      <c r="J118" s="37">
        <v>72200</v>
      </c>
      <c r="K118" s="37">
        <v>30488.399999999998</v>
      </c>
      <c r="L118" s="37">
        <v>11370.6</v>
      </c>
      <c r="M118" s="37">
        <v>233744.4</v>
      </c>
      <c r="N118" s="37">
        <v>244562.6</v>
      </c>
      <c r="O118" s="37">
        <v>0</v>
      </c>
      <c r="P118" s="37">
        <v>0</v>
      </c>
      <c r="Q118" s="37">
        <v>148016</v>
      </c>
      <c r="R118" s="37">
        <v>0</v>
      </c>
      <c r="S118" s="37">
        <v>15722</v>
      </c>
      <c r="T118" s="37">
        <v>0</v>
      </c>
      <c r="U118" s="37">
        <v>0</v>
      </c>
      <c r="V118" s="37">
        <v>0</v>
      </c>
      <c r="W118" s="37">
        <v>70006.399999999994</v>
      </c>
      <c r="X118" s="37">
        <v>244562.6</v>
      </c>
      <c r="Y118" s="37">
        <v>0</v>
      </c>
      <c r="Z118" s="37">
        <v>0</v>
      </c>
      <c r="AA118" s="37">
        <v>233744.4</v>
      </c>
      <c r="AB118" s="37">
        <v>244562.6</v>
      </c>
      <c r="AC118" s="37">
        <v>0</v>
      </c>
      <c r="AD118" s="37">
        <v>0</v>
      </c>
      <c r="AE118" s="37">
        <v>0</v>
      </c>
      <c r="AF118" s="168">
        <v>0.02</v>
      </c>
      <c r="AG118" s="37">
        <v>14383642.35</v>
      </c>
      <c r="AH118" s="37">
        <v>179528.68</v>
      </c>
      <c r="AI118" s="37">
        <v>183119.25</v>
      </c>
      <c r="AJ118" s="37">
        <v>186781.64</v>
      </c>
      <c r="AK118" s="37">
        <v>190517.27</v>
      </c>
      <c r="AL118" s="37">
        <v>194327.61</v>
      </c>
      <c r="AM118" s="37">
        <v>198214.17</v>
      </c>
      <c r="AN118" s="37">
        <v>202178.45</v>
      </c>
      <c r="AO118" s="37">
        <v>206222.02</v>
      </c>
      <c r="AP118" s="37">
        <v>210346.46</v>
      </c>
      <c r="AQ118" s="37">
        <v>214553.39</v>
      </c>
      <c r="AR118" s="37">
        <v>1965788.9400000002</v>
      </c>
      <c r="AS118" s="37">
        <v>1224021.42</v>
      </c>
      <c r="AT118" s="37">
        <v>0</v>
      </c>
      <c r="AU118" s="37">
        <v>0</v>
      </c>
      <c r="AV118" s="37">
        <v>0</v>
      </c>
      <c r="AW118" s="37">
        <v>0</v>
      </c>
      <c r="AX118" s="37">
        <v>0</v>
      </c>
      <c r="AY118" s="37">
        <v>0</v>
      </c>
      <c r="AZ118" s="37">
        <v>0</v>
      </c>
      <c r="BA118" s="37">
        <v>0</v>
      </c>
      <c r="BB118" s="37">
        <v>0</v>
      </c>
      <c r="BC118" s="37">
        <v>0</v>
      </c>
      <c r="BD118" s="37">
        <v>0</v>
      </c>
      <c r="BE118" s="37">
        <v>0</v>
      </c>
      <c r="BF118" s="37">
        <v>0</v>
      </c>
      <c r="BG118" s="37">
        <v>0</v>
      </c>
      <c r="BH118" s="37">
        <v>0</v>
      </c>
      <c r="BI118" s="37">
        <v>0</v>
      </c>
      <c r="BJ118" s="37">
        <v>0</v>
      </c>
      <c r="BK118" s="37">
        <v>0</v>
      </c>
      <c r="BL118" s="37">
        <v>0</v>
      </c>
      <c r="BM118" s="37">
        <v>0</v>
      </c>
      <c r="BN118" s="37">
        <v>0</v>
      </c>
      <c r="BO118" s="37">
        <v>0</v>
      </c>
      <c r="BP118" s="37">
        <v>0</v>
      </c>
      <c r="BQ118" s="37">
        <v>0</v>
      </c>
      <c r="BR118" s="37">
        <v>0</v>
      </c>
      <c r="BS118" s="37">
        <v>0</v>
      </c>
      <c r="BT118" s="37">
        <v>0</v>
      </c>
      <c r="BU118" s="37">
        <v>0</v>
      </c>
      <c r="BV118" s="37">
        <v>0</v>
      </c>
      <c r="BW118" s="37">
        <v>0</v>
      </c>
      <c r="BX118" s="37">
        <v>0</v>
      </c>
      <c r="BY118" s="37">
        <v>0</v>
      </c>
      <c r="BZ118" s="37">
        <v>0</v>
      </c>
      <c r="CA118" s="37">
        <v>0</v>
      </c>
      <c r="CB118" s="37">
        <v>0</v>
      </c>
      <c r="CC118" s="37">
        <v>0</v>
      </c>
      <c r="CD118" s="37">
        <v>0</v>
      </c>
      <c r="CE118" s="37">
        <v>0</v>
      </c>
      <c r="CF118" s="37">
        <v>0</v>
      </c>
      <c r="CG118" s="37">
        <v>0</v>
      </c>
      <c r="CH118" s="37">
        <v>0</v>
      </c>
      <c r="CI118" s="37">
        <v>0</v>
      </c>
      <c r="CJ118" s="37">
        <v>0</v>
      </c>
      <c r="CK118" s="37">
        <v>0</v>
      </c>
      <c r="CL118" s="37">
        <v>0</v>
      </c>
      <c r="CM118" s="37">
        <v>0</v>
      </c>
      <c r="CN118" s="37">
        <v>0</v>
      </c>
      <c r="CO118" s="37">
        <v>0</v>
      </c>
      <c r="CP118" s="37">
        <v>0</v>
      </c>
      <c r="CQ118" s="37">
        <v>0</v>
      </c>
      <c r="CR118" s="37">
        <v>0</v>
      </c>
      <c r="CS118" s="37">
        <v>0</v>
      </c>
      <c r="CT118" s="37">
        <v>0</v>
      </c>
      <c r="CU118" s="37">
        <v>0</v>
      </c>
      <c r="CV118" s="37">
        <v>0</v>
      </c>
      <c r="CW118" s="37">
        <v>0</v>
      </c>
      <c r="CX118" s="37">
        <v>0</v>
      </c>
      <c r="CY118" s="37">
        <v>0</v>
      </c>
      <c r="CZ118" s="37">
        <v>0</v>
      </c>
      <c r="DA118" s="37">
        <v>0</v>
      </c>
      <c r="DB118" s="37">
        <v>0</v>
      </c>
      <c r="DC118" s="37">
        <v>0</v>
      </c>
      <c r="DD118" s="37">
        <v>0</v>
      </c>
      <c r="DE118" s="37">
        <v>0</v>
      </c>
      <c r="DF118" s="37">
        <v>0</v>
      </c>
      <c r="DG118" s="37">
        <v>0</v>
      </c>
      <c r="DH118" s="37">
        <v>0</v>
      </c>
      <c r="DI118" s="37">
        <v>0</v>
      </c>
      <c r="DJ118" s="37">
        <v>0</v>
      </c>
      <c r="DK118" s="37">
        <v>0</v>
      </c>
      <c r="DL118" s="37">
        <v>0</v>
      </c>
      <c r="DM118" s="37">
        <v>0</v>
      </c>
      <c r="DN118" s="37">
        <v>0</v>
      </c>
      <c r="DO118" s="37">
        <v>0</v>
      </c>
      <c r="DP118" s="37">
        <v>0</v>
      </c>
      <c r="DQ118" s="37">
        <v>0</v>
      </c>
      <c r="DR118" s="37">
        <v>0</v>
      </c>
      <c r="DS118" s="37">
        <v>0</v>
      </c>
      <c r="DT118" s="37">
        <v>0</v>
      </c>
      <c r="DU118" s="37">
        <v>0</v>
      </c>
      <c r="DV118" s="37">
        <v>0</v>
      </c>
      <c r="DW118" s="37">
        <v>0</v>
      </c>
      <c r="DX118" s="37">
        <v>0</v>
      </c>
      <c r="DY118" s="37">
        <v>0</v>
      </c>
      <c r="DZ118" s="37">
        <v>0</v>
      </c>
      <c r="EA118" s="37">
        <v>0</v>
      </c>
      <c r="EB118" s="37">
        <v>0</v>
      </c>
      <c r="EC118" s="37">
        <v>0</v>
      </c>
      <c r="ED118" s="37">
        <v>0</v>
      </c>
      <c r="EE118" s="37">
        <v>0</v>
      </c>
      <c r="EF118" s="37">
        <v>0</v>
      </c>
      <c r="EG118" s="37">
        <v>0</v>
      </c>
      <c r="EH118" s="37">
        <v>0</v>
      </c>
      <c r="EI118" s="37">
        <v>0</v>
      </c>
      <c r="EJ118" s="37">
        <v>0</v>
      </c>
      <c r="EK118" s="161" t="s">
        <v>3683</v>
      </c>
      <c r="EL118" s="294" t="s">
        <v>1124</v>
      </c>
    </row>
    <row r="119" spans="1:142" ht="15" customHeight="1" x14ac:dyDescent="0.35">
      <c r="A119" s="34"/>
      <c r="B119" s="313">
        <v>79065</v>
      </c>
      <c r="C119" s="8" t="s">
        <v>796</v>
      </c>
      <c r="D119" s="18">
        <v>15</v>
      </c>
      <c r="E119" s="155"/>
      <c r="F119" s="36"/>
      <c r="G119" s="37"/>
      <c r="H119" s="37"/>
      <c r="I119" s="37"/>
      <c r="J119" s="37"/>
      <c r="K119" s="37"/>
      <c r="L119" s="37"/>
      <c r="M119" s="37" t="s">
        <v>1124</v>
      </c>
      <c r="N119" s="37" t="s">
        <v>1124</v>
      </c>
      <c r="O119" s="37"/>
      <c r="P119" s="37"/>
      <c r="Q119" s="37"/>
      <c r="R119" s="37"/>
      <c r="S119" s="37"/>
      <c r="T119" s="37"/>
      <c r="U119" s="37"/>
      <c r="V119" s="37"/>
      <c r="W119" s="37"/>
      <c r="X119" s="37"/>
      <c r="Y119" s="37"/>
      <c r="Z119" s="37"/>
      <c r="AA119" s="37" t="s">
        <v>1124</v>
      </c>
      <c r="AB119" s="37" t="s">
        <v>1124</v>
      </c>
      <c r="AC119" s="37"/>
      <c r="AD119" s="37"/>
      <c r="AE119" s="37"/>
      <c r="AF119" s="168"/>
      <c r="AG119" s="37"/>
      <c r="AH119" s="37"/>
      <c r="AI119" s="37"/>
      <c r="AJ119" s="37"/>
      <c r="AK119" s="37"/>
      <c r="AL119" s="37"/>
      <c r="AM119" s="37"/>
      <c r="AN119" s="37"/>
      <c r="AO119" s="37"/>
      <c r="AP119" s="37"/>
      <c r="AQ119" s="37"/>
      <c r="AR119" s="37" t="s">
        <v>1124</v>
      </c>
      <c r="AS119" s="37"/>
      <c r="AT119" s="37"/>
      <c r="AU119" s="37"/>
      <c r="AV119" s="37"/>
      <c r="AW119" s="37"/>
      <c r="AX119" s="37"/>
      <c r="AY119" s="37"/>
      <c r="AZ119" s="37"/>
      <c r="BA119" s="37"/>
      <c r="BB119" s="37"/>
      <c r="BC119" s="37"/>
      <c r="BD119" s="37" t="s">
        <v>1124</v>
      </c>
      <c r="BE119" s="37"/>
      <c r="BF119" s="37"/>
      <c r="BG119" s="37"/>
      <c r="BH119" s="37"/>
      <c r="BI119" s="37"/>
      <c r="BJ119" s="37"/>
      <c r="BK119" s="37"/>
      <c r="BL119" s="37"/>
      <c r="BM119" s="37"/>
      <c r="BN119" s="37"/>
      <c r="BO119" s="37"/>
      <c r="BP119" s="37">
        <v>0</v>
      </c>
      <c r="BQ119" s="37"/>
      <c r="BR119" s="37"/>
      <c r="BS119" s="37"/>
      <c r="BT119" s="37"/>
      <c r="BU119" s="37"/>
      <c r="BV119" s="37"/>
      <c r="BW119" s="37"/>
      <c r="BX119" s="37"/>
      <c r="BY119" s="37"/>
      <c r="BZ119" s="37"/>
      <c r="CA119" s="37"/>
      <c r="CB119" s="37" t="s">
        <v>1124</v>
      </c>
      <c r="CC119" s="37"/>
      <c r="CD119" s="37"/>
      <c r="CE119" s="37"/>
      <c r="CF119" s="37"/>
      <c r="CG119" s="37"/>
      <c r="CH119" s="37"/>
      <c r="CI119" s="37"/>
      <c r="CJ119" s="37"/>
      <c r="CK119" s="37"/>
      <c r="CL119" s="37"/>
      <c r="CM119" s="37"/>
      <c r="CN119" s="37" t="s">
        <v>1124</v>
      </c>
      <c r="CO119" s="37"/>
      <c r="CP119" s="37"/>
      <c r="CQ119" s="37"/>
      <c r="CR119" s="37"/>
      <c r="CS119" s="37"/>
      <c r="CT119" s="37"/>
      <c r="CU119" s="37"/>
      <c r="CV119" s="37"/>
      <c r="CW119" s="37"/>
      <c r="CX119" s="37"/>
      <c r="CY119" s="37"/>
      <c r="CZ119" s="37" t="s">
        <v>1124</v>
      </c>
      <c r="DA119" s="37"/>
      <c r="DB119" s="37"/>
      <c r="DC119" s="37"/>
      <c r="DD119" s="37"/>
      <c r="DE119" s="37"/>
      <c r="DF119" s="37"/>
      <c r="DG119" s="37"/>
      <c r="DH119" s="37"/>
      <c r="DI119" s="37"/>
      <c r="DJ119" s="37"/>
      <c r="DK119" s="37"/>
      <c r="DL119" s="37" t="s">
        <v>1124</v>
      </c>
      <c r="DM119" s="37"/>
      <c r="DN119" s="37"/>
      <c r="DO119" s="37"/>
      <c r="DP119" s="37"/>
      <c r="DQ119" s="37"/>
      <c r="DR119" s="37"/>
      <c r="DS119" s="37"/>
      <c r="DT119" s="37"/>
      <c r="DU119" s="37"/>
      <c r="DV119" s="37"/>
      <c r="DW119" s="37"/>
      <c r="DX119" s="37" t="s">
        <v>1124</v>
      </c>
      <c r="DY119" s="37"/>
      <c r="DZ119" s="37"/>
      <c r="EA119" s="37"/>
      <c r="EB119" s="37"/>
      <c r="EC119" s="37"/>
      <c r="ED119" s="37"/>
      <c r="EE119" s="37"/>
      <c r="EF119" s="37"/>
      <c r="EG119" s="37"/>
      <c r="EH119" s="37"/>
      <c r="EI119" s="37"/>
      <c r="EJ119" s="37" t="s">
        <v>1124</v>
      </c>
      <c r="EK119" s="161"/>
      <c r="EL119" s="294"/>
    </row>
    <row r="120" spans="1:142" ht="15" customHeight="1" x14ac:dyDescent="0.35">
      <c r="A120" s="34"/>
      <c r="B120" s="313">
        <v>84015</v>
      </c>
      <c r="C120" s="8" t="s">
        <v>854</v>
      </c>
      <c r="D120" s="18">
        <v>7</v>
      </c>
      <c r="E120" s="155"/>
      <c r="F120" s="36"/>
      <c r="G120" s="37"/>
      <c r="H120" s="37"/>
      <c r="I120" s="37"/>
      <c r="J120" s="37"/>
      <c r="K120" s="37"/>
      <c r="L120" s="37"/>
      <c r="M120" s="37" t="s">
        <v>1124</v>
      </c>
      <c r="N120" s="37" t="s">
        <v>1124</v>
      </c>
      <c r="O120" s="37"/>
      <c r="P120" s="37"/>
      <c r="Q120" s="37"/>
      <c r="R120" s="37"/>
      <c r="S120" s="37"/>
      <c r="T120" s="37"/>
      <c r="U120" s="37"/>
      <c r="V120" s="37"/>
      <c r="W120" s="37"/>
      <c r="X120" s="37"/>
      <c r="Y120" s="37"/>
      <c r="Z120" s="37"/>
      <c r="AA120" s="37" t="s">
        <v>1124</v>
      </c>
      <c r="AB120" s="37" t="s">
        <v>1124</v>
      </c>
      <c r="AC120" s="37"/>
      <c r="AD120" s="37"/>
      <c r="AE120" s="37"/>
      <c r="AF120" s="168"/>
      <c r="AG120" s="37"/>
      <c r="AH120" s="37"/>
      <c r="AI120" s="37"/>
      <c r="AJ120" s="37"/>
      <c r="AK120" s="37"/>
      <c r="AL120" s="37"/>
      <c r="AM120" s="37"/>
      <c r="AN120" s="37"/>
      <c r="AO120" s="37"/>
      <c r="AP120" s="37"/>
      <c r="AQ120" s="37"/>
      <c r="AR120" s="37" t="s">
        <v>1124</v>
      </c>
      <c r="AS120" s="37"/>
      <c r="AT120" s="37"/>
      <c r="AU120" s="37"/>
      <c r="AV120" s="37"/>
      <c r="AW120" s="37"/>
      <c r="AX120" s="37"/>
      <c r="AY120" s="37"/>
      <c r="AZ120" s="37"/>
      <c r="BA120" s="37"/>
      <c r="BB120" s="37"/>
      <c r="BC120" s="37"/>
      <c r="BD120" s="37" t="s">
        <v>1124</v>
      </c>
      <c r="BE120" s="37"/>
      <c r="BF120" s="37"/>
      <c r="BG120" s="37"/>
      <c r="BH120" s="37"/>
      <c r="BI120" s="37"/>
      <c r="BJ120" s="37"/>
      <c r="BK120" s="37"/>
      <c r="BL120" s="37"/>
      <c r="BM120" s="37"/>
      <c r="BN120" s="37"/>
      <c r="BO120" s="37"/>
      <c r="BP120" s="37">
        <v>0</v>
      </c>
      <c r="BQ120" s="37"/>
      <c r="BR120" s="37"/>
      <c r="BS120" s="37"/>
      <c r="BT120" s="37"/>
      <c r="BU120" s="37"/>
      <c r="BV120" s="37"/>
      <c r="BW120" s="37"/>
      <c r="BX120" s="37"/>
      <c r="BY120" s="37"/>
      <c r="BZ120" s="37"/>
      <c r="CA120" s="37"/>
      <c r="CB120" s="37" t="s">
        <v>1124</v>
      </c>
      <c r="CC120" s="37"/>
      <c r="CD120" s="37"/>
      <c r="CE120" s="37"/>
      <c r="CF120" s="37"/>
      <c r="CG120" s="37"/>
      <c r="CH120" s="37"/>
      <c r="CI120" s="37"/>
      <c r="CJ120" s="37"/>
      <c r="CK120" s="37"/>
      <c r="CL120" s="37"/>
      <c r="CM120" s="37"/>
      <c r="CN120" s="37" t="s">
        <v>1124</v>
      </c>
      <c r="CO120" s="37"/>
      <c r="CP120" s="37"/>
      <c r="CQ120" s="37"/>
      <c r="CR120" s="37"/>
      <c r="CS120" s="37"/>
      <c r="CT120" s="37"/>
      <c r="CU120" s="37"/>
      <c r="CV120" s="37"/>
      <c r="CW120" s="37"/>
      <c r="CX120" s="37"/>
      <c r="CY120" s="37"/>
      <c r="CZ120" s="37" t="s">
        <v>1124</v>
      </c>
      <c r="DA120" s="37"/>
      <c r="DB120" s="37"/>
      <c r="DC120" s="37"/>
      <c r="DD120" s="37"/>
      <c r="DE120" s="37"/>
      <c r="DF120" s="37"/>
      <c r="DG120" s="37"/>
      <c r="DH120" s="37"/>
      <c r="DI120" s="37"/>
      <c r="DJ120" s="37"/>
      <c r="DK120" s="37"/>
      <c r="DL120" s="37" t="s">
        <v>1124</v>
      </c>
      <c r="DM120" s="37"/>
      <c r="DN120" s="37"/>
      <c r="DO120" s="37"/>
      <c r="DP120" s="37"/>
      <c r="DQ120" s="37"/>
      <c r="DR120" s="37"/>
      <c r="DS120" s="37"/>
      <c r="DT120" s="37"/>
      <c r="DU120" s="37"/>
      <c r="DV120" s="37"/>
      <c r="DW120" s="37"/>
      <c r="DX120" s="37" t="s">
        <v>1124</v>
      </c>
      <c r="DY120" s="37"/>
      <c r="DZ120" s="37"/>
      <c r="EA120" s="37"/>
      <c r="EB120" s="37"/>
      <c r="EC120" s="37"/>
      <c r="ED120" s="37"/>
      <c r="EE120" s="37"/>
      <c r="EF120" s="37"/>
      <c r="EG120" s="37"/>
      <c r="EH120" s="37"/>
      <c r="EI120" s="37"/>
      <c r="EJ120" s="37" t="s">
        <v>1124</v>
      </c>
      <c r="EK120" s="161"/>
      <c r="EL120" s="294"/>
    </row>
    <row r="121" spans="1:142" ht="15" customHeight="1" x14ac:dyDescent="0.35">
      <c r="A121" s="34"/>
      <c r="B121" s="313">
        <v>15035</v>
      </c>
      <c r="C121" s="8" t="s">
        <v>81</v>
      </c>
      <c r="D121" s="18">
        <v>3</v>
      </c>
      <c r="E121" s="155">
        <v>140456</v>
      </c>
      <c r="F121" s="36">
        <v>131894</v>
      </c>
      <c r="G121" s="37">
        <v>0</v>
      </c>
      <c r="H121" s="37">
        <v>5132</v>
      </c>
      <c r="I121" s="37">
        <v>0</v>
      </c>
      <c r="J121" s="37">
        <v>6000</v>
      </c>
      <c r="K121" s="37">
        <v>21068.399999999998</v>
      </c>
      <c r="L121" s="37">
        <v>19784.099999999999</v>
      </c>
      <c r="M121" s="37">
        <v>161524.4</v>
      </c>
      <c r="N121" s="37">
        <v>162810.1</v>
      </c>
      <c r="O121" s="37">
        <v>0</v>
      </c>
      <c r="P121" s="37">
        <v>0</v>
      </c>
      <c r="Q121" s="37">
        <v>368391</v>
      </c>
      <c r="R121" s="37">
        <v>325815</v>
      </c>
      <c r="S121" s="37">
        <v>92251</v>
      </c>
      <c r="T121" s="37">
        <v>0</v>
      </c>
      <c r="U121" s="37">
        <v>0</v>
      </c>
      <c r="V121" s="37">
        <v>0</v>
      </c>
      <c r="W121" s="37">
        <v>0</v>
      </c>
      <c r="X121" s="37">
        <v>0</v>
      </c>
      <c r="Y121" s="37">
        <v>0</v>
      </c>
      <c r="Z121" s="37">
        <v>0</v>
      </c>
      <c r="AA121" s="37">
        <v>460642</v>
      </c>
      <c r="AB121" s="37">
        <v>325815</v>
      </c>
      <c r="AC121" s="37">
        <v>462122</v>
      </c>
      <c r="AD121" s="37">
        <v>87000</v>
      </c>
      <c r="AE121" s="37">
        <v>87000</v>
      </c>
      <c r="AF121" s="168">
        <v>0.02</v>
      </c>
      <c r="AG121" s="37">
        <v>70101676.670000002</v>
      </c>
      <c r="AH121" s="37">
        <v>688026.4</v>
      </c>
      <c r="AI121" s="37">
        <v>699664.51</v>
      </c>
      <c r="AJ121" s="37">
        <v>677576.73</v>
      </c>
      <c r="AK121" s="37">
        <v>674015.02</v>
      </c>
      <c r="AL121" s="37">
        <v>705513.91</v>
      </c>
      <c r="AM121" s="37">
        <v>684972.17</v>
      </c>
      <c r="AN121" s="37">
        <v>696718.85</v>
      </c>
      <c r="AO121" s="37">
        <v>710653.23</v>
      </c>
      <c r="AP121" s="37">
        <v>724866.29</v>
      </c>
      <c r="AQ121" s="37">
        <v>739363.62</v>
      </c>
      <c r="AR121" s="37">
        <v>7001370.7300000004</v>
      </c>
      <c r="AS121" s="37">
        <v>2042097.12</v>
      </c>
      <c r="AT121" s="37">
        <v>0</v>
      </c>
      <c r="AU121" s="37">
        <v>0</v>
      </c>
      <c r="AV121" s="37">
        <v>0</v>
      </c>
      <c r="AW121" s="37">
        <v>0</v>
      </c>
      <c r="AX121" s="37">
        <v>0</v>
      </c>
      <c r="AY121" s="37">
        <v>0</v>
      </c>
      <c r="AZ121" s="37">
        <v>0</v>
      </c>
      <c r="BA121" s="37">
        <v>0</v>
      </c>
      <c r="BB121" s="37">
        <v>0</v>
      </c>
      <c r="BC121" s="37">
        <v>0</v>
      </c>
      <c r="BD121" s="37">
        <v>0</v>
      </c>
      <c r="BE121" s="37">
        <v>315530</v>
      </c>
      <c r="BF121" s="37">
        <v>778894</v>
      </c>
      <c r="BG121" s="37">
        <v>0</v>
      </c>
      <c r="BH121" s="37">
        <v>0</v>
      </c>
      <c r="BI121" s="37">
        <v>0</v>
      </c>
      <c r="BJ121" s="37">
        <v>0</v>
      </c>
      <c r="BK121" s="37">
        <v>0</v>
      </c>
      <c r="BL121" s="37">
        <v>0</v>
      </c>
      <c r="BM121" s="37">
        <v>0</v>
      </c>
      <c r="BN121" s="37">
        <v>0</v>
      </c>
      <c r="BO121" s="37">
        <v>0</v>
      </c>
      <c r="BP121" s="37">
        <v>778894</v>
      </c>
      <c r="BQ121" s="37">
        <v>0</v>
      </c>
      <c r="BR121" s="37">
        <v>194725</v>
      </c>
      <c r="BS121" s="37">
        <v>0</v>
      </c>
      <c r="BT121" s="37">
        <v>0</v>
      </c>
      <c r="BU121" s="37">
        <v>0</v>
      </c>
      <c r="BV121" s="37">
        <v>0</v>
      </c>
      <c r="BW121" s="37">
        <v>0</v>
      </c>
      <c r="BX121" s="37">
        <v>0</v>
      </c>
      <c r="BY121" s="37">
        <v>0</v>
      </c>
      <c r="BZ121" s="37">
        <v>0</v>
      </c>
      <c r="CA121" s="37">
        <v>0</v>
      </c>
      <c r="CB121" s="37">
        <v>194725</v>
      </c>
      <c r="CC121" s="37">
        <v>100000</v>
      </c>
      <c r="CD121" s="37">
        <v>35000</v>
      </c>
      <c r="CE121" s="37">
        <v>25000</v>
      </c>
      <c r="CF121" s="37">
        <v>35000</v>
      </c>
      <c r="CG121" s="37">
        <v>10000</v>
      </c>
      <c r="CH121" s="37">
        <v>0</v>
      </c>
      <c r="CI121" s="37">
        <v>0</v>
      </c>
      <c r="CJ121" s="37">
        <v>0</v>
      </c>
      <c r="CK121" s="37">
        <v>0</v>
      </c>
      <c r="CL121" s="37">
        <v>0</v>
      </c>
      <c r="CM121" s="37">
        <v>0</v>
      </c>
      <c r="CN121" s="37">
        <v>105000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D121" s="37">
        <v>0</v>
      </c>
      <c r="DE121" s="37">
        <v>0</v>
      </c>
      <c r="DF121" s="37">
        <v>0</v>
      </c>
      <c r="DG121" s="37">
        <v>0</v>
      </c>
      <c r="DH121" s="37">
        <v>0</v>
      </c>
      <c r="DI121" s="37">
        <v>0</v>
      </c>
      <c r="DJ121" s="37">
        <v>0</v>
      </c>
      <c r="DK121" s="37">
        <v>0</v>
      </c>
      <c r="DL121" s="37">
        <v>0</v>
      </c>
      <c r="DM121" s="37">
        <v>0</v>
      </c>
      <c r="DN121" s="37">
        <v>0</v>
      </c>
      <c r="DO121" s="37">
        <v>0</v>
      </c>
      <c r="DP121" s="37">
        <v>0</v>
      </c>
      <c r="DQ121" s="37">
        <v>0</v>
      </c>
      <c r="DR121" s="37">
        <v>0</v>
      </c>
      <c r="DS121" s="37">
        <v>0</v>
      </c>
      <c r="DT121" s="37">
        <v>0</v>
      </c>
      <c r="DU121" s="37">
        <v>0</v>
      </c>
      <c r="DV121" s="37">
        <v>0</v>
      </c>
      <c r="DW121" s="37">
        <v>0</v>
      </c>
      <c r="DX121" s="37">
        <v>0</v>
      </c>
      <c r="DY121" s="37">
        <v>0</v>
      </c>
      <c r="DZ121" s="37">
        <v>0</v>
      </c>
      <c r="EA121" s="37">
        <v>0</v>
      </c>
      <c r="EB121" s="37">
        <v>0</v>
      </c>
      <c r="EC121" s="37">
        <v>0</v>
      </c>
      <c r="ED121" s="37">
        <v>0</v>
      </c>
      <c r="EE121" s="37">
        <v>0</v>
      </c>
      <c r="EF121" s="37">
        <v>0</v>
      </c>
      <c r="EG121" s="37">
        <v>0</v>
      </c>
      <c r="EH121" s="37">
        <v>0</v>
      </c>
      <c r="EI121" s="37">
        <v>0</v>
      </c>
      <c r="EJ121" s="37">
        <v>0</v>
      </c>
      <c r="EK121" s="161" t="s">
        <v>1629</v>
      </c>
      <c r="EL121" s="294" t="s">
        <v>1124</v>
      </c>
    </row>
    <row r="122" spans="1:142" ht="15" customHeight="1" x14ac:dyDescent="0.35">
      <c r="A122" s="34"/>
      <c r="B122" s="313">
        <v>87110</v>
      </c>
      <c r="C122" s="8" t="s">
        <v>908</v>
      </c>
      <c r="D122" s="18">
        <v>8</v>
      </c>
      <c r="E122" s="155"/>
      <c r="F122" s="36"/>
      <c r="G122" s="37"/>
      <c r="H122" s="37"/>
      <c r="I122" s="37"/>
      <c r="J122" s="37"/>
      <c r="K122" s="37"/>
      <c r="L122" s="37"/>
      <c r="M122" s="37" t="s">
        <v>1124</v>
      </c>
      <c r="N122" s="37" t="s">
        <v>1124</v>
      </c>
      <c r="O122" s="37"/>
      <c r="P122" s="37"/>
      <c r="Q122" s="37"/>
      <c r="R122" s="37"/>
      <c r="S122" s="37"/>
      <c r="T122" s="37"/>
      <c r="U122" s="37"/>
      <c r="V122" s="37"/>
      <c r="W122" s="37"/>
      <c r="X122" s="37"/>
      <c r="Y122" s="37"/>
      <c r="Z122" s="37"/>
      <c r="AA122" s="37" t="s">
        <v>1124</v>
      </c>
      <c r="AB122" s="37" t="s">
        <v>1124</v>
      </c>
      <c r="AC122" s="37"/>
      <c r="AD122" s="37"/>
      <c r="AE122" s="37"/>
      <c r="AF122" s="168"/>
      <c r="AG122" s="37"/>
      <c r="AH122" s="37"/>
      <c r="AI122" s="37"/>
      <c r="AJ122" s="37"/>
      <c r="AK122" s="37"/>
      <c r="AL122" s="37"/>
      <c r="AM122" s="37"/>
      <c r="AN122" s="37"/>
      <c r="AO122" s="37"/>
      <c r="AP122" s="37"/>
      <c r="AQ122" s="37"/>
      <c r="AR122" s="37" t="s">
        <v>1124</v>
      </c>
      <c r="AS122" s="37"/>
      <c r="AT122" s="37"/>
      <c r="AU122" s="37"/>
      <c r="AV122" s="37"/>
      <c r="AW122" s="37"/>
      <c r="AX122" s="37"/>
      <c r="AY122" s="37"/>
      <c r="AZ122" s="37"/>
      <c r="BA122" s="37"/>
      <c r="BB122" s="37"/>
      <c r="BC122" s="37"/>
      <c r="BD122" s="37" t="s">
        <v>1124</v>
      </c>
      <c r="BE122" s="37"/>
      <c r="BF122" s="37"/>
      <c r="BG122" s="37"/>
      <c r="BH122" s="37"/>
      <c r="BI122" s="37"/>
      <c r="BJ122" s="37"/>
      <c r="BK122" s="37"/>
      <c r="BL122" s="37"/>
      <c r="BM122" s="37"/>
      <c r="BN122" s="37"/>
      <c r="BO122" s="37"/>
      <c r="BP122" s="37">
        <v>0</v>
      </c>
      <c r="BQ122" s="37"/>
      <c r="BR122" s="37"/>
      <c r="BS122" s="37"/>
      <c r="BT122" s="37"/>
      <c r="BU122" s="37"/>
      <c r="BV122" s="37"/>
      <c r="BW122" s="37"/>
      <c r="BX122" s="37"/>
      <c r="BY122" s="37"/>
      <c r="BZ122" s="37"/>
      <c r="CA122" s="37"/>
      <c r="CB122" s="37" t="s">
        <v>1124</v>
      </c>
      <c r="CC122" s="37"/>
      <c r="CD122" s="37"/>
      <c r="CE122" s="37"/>
      <c r="CF122" s="37"/>
      <c r="CG122" s="37"/>
      <c r="CH122" s="37"/>
      <c r="CI122" s="37"/>
      <c r="CJ122" s="37"/>
      <c r="CK122" s="37"/>
      <c r="CL122" s="37"/>
      <c r="CM122" s="37"/>
      <c r="CN122" s="37" t="s">
        <v>1124</v>
      </c>
      <c r="CO122" s="37"/>
      <c r="CP122" s="37"/>
      <c r="CQ122" s="37"/>
      <c r="CR122" s="37"/>
      <c r="CS122" s="37"/>
      <c r="CT122" s="37"/>
      <c r="CU122" s="37"/>
      <c r="CV122" s="37"/>
      <c r="CW122" s="37"/>
      <c r="CX122" s="37"/>
      <c r="CY122" s="37"/>
      <c r="CZ122" s="37" t="s">
        <v>1124</v>
      </c>
      <c r="DA122" s="37"/>
      <c r="DB122" s="37"/>
      <c r="DC122" s="37"/>
      <c r="DD122" s="37"/>
      <c r="DE122" s="37"/>
      <c r="DF122" s="37"/>
      <c r="DG122" s="37"/>
      <c r="DH122" s="37"/>
      <c r="DI122" s="37"/>
      <c r="DJ122" s="37"/>
      <c r="DK122" s="37"/>
      <c r="DL122" s="37" t="s">
        <v>1124</v>
      </c>
      <c r="DM122" s="37"/>
      <c r="DN122" s="37"/>
      <c r="DO122" s="37"/>
      <c r="DP122" s="37"/>
      <c r="DQ122" s="37"/>
      <c r="DR122" s="37"/>
      <c r="DS122" s="37"/>
      <c r="DT122" s="37"/>
      <c r="DU122" s="37"/>
      <c r="DV122" s="37"/>
      <c r="DW122" s="37"/>
      <c r="DX122" s="37" t="s">
        <v>1124</v>
      </c>
      <c r="DY122" s="37"/>
      <c r="DZ122" s="37"/>
      <c r="EA122" s="37"/>
      <c r="EB122" s="37"/>
      <c r="EC122" s="37"/>
      <c r="ED122" s="37"/>
      <c r="EE122" s="37"/>
      <c r="EF122" s="37"/>
      <c r="EG122" s="37"/>
      <c r="EH122" s="37"/>
      <c r="EI122" s="37"/>
      <c r="EJ122" s="37" t="s">
        <v>1124</v>
      </c>
      <c r="EK122" s="161"/>
      <c r="EL122" s="294"/>
    </row>
    <row r="123" spans="1:142" ht="15" customHeight="1" x14ac:dyDescent="0.35">
      <c r="A123" s="34"/>
      <c r="B123" s="313">
        <v>87075</v>
      </c>
      <c r="C123" s="8" t="s">
        <v>901</v>
      </c>
      <c r="D123" s="18">
        <v>8</v>
      </c>
      <c r="E123" s="155"/>
      <c r="F123" s="36"/>
      <c r="G123" s="37"/>
      <c r="H123" s="37"/>
      <c r="I123" s="37"/>
      <c r="J123" s="37"/>
      <c r="K123" s="37"/>
      <c r="L123" s="37"/>
      <c r="M123" s="37" t="s">
        <v>1124</v>
      </c>
      <c r="N123" s="37" t="s">
        <v>1124</v>
      </c>
      <c r="O123" s="37"/>
      <c r="P123" s="37"/>
      <c r="Q123" s="37"/>
      <c r="R123" s="37"/>
      <c r="S123" s="37"/>
      <c r="T123" s="37"/>
      <c r="U123" s="37"/>
      <c r="V123" s="37"/>
      <c r="W123" s="37"/>
      <c r="X123" s="37"/>
      <c r="Y123" s="37"/>
      <c r="Z123" s="37"/>
      <c r="AA123" s="37" t="s">
        <v>1124</v>
      </c>
      <c r="AB123" s="37" t="s">
        <v>1124</v>
      </c>
      <c r="AC123" s="37"/>
      <c r="AD123" s="37"/>
      <c r="AE123" s="37"/>
      <c r="AF123" s="168"/>
      <c r="AG123" s="37"/>
      <c r="AH123" s="37"/>
      <c r="AI123" s="37"/>
      <c r="AJ123" s="37"/>
      <c r="AK123" s="37"/>
      <c r="AL123" s="37"/>
      <c r="AM123" s="37"/>
      <c r="AN123" s="37"/>
      <c r="AO123" s="37"/>
      <c r="AP123" s="37"/>
      <c r="AQ123" s="37"/>
      <c r="AR123" s="37" t="s">
        <v>1124</v>
      </c>
      <c r="AS123" s="37"/>
      <c r="AT123" s="37"/>
      <c r="AU123" s="37"/>
      <c r="AV123" s="37"/>
      <c r="AW123" s="37"/>
      <c r="AX123" s="37"/>
      <c r="AY123" s="37"/>
      <c r="AZ123" s="37"/>
      <c r="BA123" s="37"/>
      <c r="BB123" s="37"/>
      <c r="BC123" s="37"/>
      <c r="BD123" s="37" t="s">
        <v>1124</v>
      </c>
      <c r="BE123" s="37"/>
      <c r="BF123" s="37"/>
      <c r="BG123" s="37"/>
      <c r="BH123" s="37"/>
      <c r="BI123" s="37"/>
      <c r="BJ123" s="37"/>
      <c r="BK123" s="37"/>
      <c r="BL123" s="37"/>
      <c r="BM123" s="37"/>
      <c r="BN123" s="37"/>
      <c r="BO123" s="37"/>
      <c r="BP123" s="37">
        <v>0</v>
      </c>
      <c r="BQ123" s="37"/>
      <c r="BR123" s="37"/>
      <c r="BS123" s="37"/>
      <c r="BT123" s="37"/>
      <c r="BU123" s="37"/>
      <c r="BV123" s="37"/>
      <c r="BW123" s="37"/>
      <c r="BX123" s="37"/>
      <c r="BY123" s="37"/>
      <c r="BZ123" s="37"/>
      <c r="CA123" s="37"/>
      <c r="CB123" s="37" t="s">
        <v>1124</v>
      </c>
      <c r="CC123" s="37"/>
      <c r="CD123" s="37"/>
      <c r="CE123" s="37"/>
      <c r="CF123" s="37"/>
      <c r="CG123" s="37"/>
      <c r="CH123" s="37"/>
      <c r="CI123" s="37"/>
      <c r="CJ123" s="37"/>
      <c r="CK123" s="37"/>
      <c r="CL123" s="37"/>
      <c r="CM123" s="37"/>
      <c r="CN123" s="37" t="s">
        <v>1124</v>
      </c>
      <c r="CO123" s="37"/>
      <c r="CP123" s="37"/>
      <c r="CQ123" s="37"/>
      <c r="CR123" s="37"/>
      <c r="CS123" s="37"/>
      <c r="CT123" s="37"/>
      <c r="CU123" s="37"/>
      <c r="CV123" s="37"/>
      <c r="CW123" s="37"/>
      <c r="CX123" s="37"/>
      <c r="CY123" s="37"/>
      <c r="CZ123" s="37" t="s">
        <v>1124</v>
      </c>
      <c r="DA123" s="37"/>
      <c r="DB123" s="37"/>
      <c r="DC123" s="37"/>
      <c r="DD123" s="37"/>
      <c r="DE123" s="37"/>
      <c r="DF123" s="37"/>
      <c r="DG123" s="37"/>
      <c r="DH123" s="37"/>
      <c r="DI123" s="37"/>
      <c r="DJ123" s="37"/>
      <c r="DK123" s="37"/>
      <c r="DL123" s="37" t="s">
        <v>1124</v>
      </c>
      <c r="DM123" s="37"/>
      <c r="DN123" s="37"/>
      <c r="DO123" s="37"/>
      <c r="DP123" s="37"/>
      <c r="DQ123" s="37"/>
      <c r="DR123" s="37"/>
      <c r="DS123" s="37"/>
      <c r="DT123" s="37"/>
      <c r="DU123" s="37"/>
      <c r="DV123" s="37"/>
      <c r="DW123" s="37"/>
      <c r="DX123" s="37" t="s">
        <v>1124</v>
      </c>
      <c r="DY123" s="37"/>
      <c r="DZ123" s="37"/>
      <c r="EA123" s="37"/>
      <c r="EB123" s="37"/>
      <c r="EC123" s="37"/>
      <c r="ED123" s="37"/>
      <c r="EE123" s="37"/>
      <c r="EF123" s="37"/>
      <c r="EG123" s="37"/>
      <c r="EH123" s="37"/>
      <c r="EI123" s="37"/>
      <c r="EJ123" s="37" t="s">
        <v>1124</v>
      </c>
      <c r="EK123" s="161"/>
      <c r="EL123" s="294"/>
    </row>
    <row r="124" spans="1:142" ht="15" customHeight="1" x14ac:dyDescent="0.35">
      <c r="A124" s="34"/>
      <c r="B124" s="313">
        <v>42110</v>
      </c>
      <c r="C124" s="8" t="s">
        <v>396</v>
      </c>
      <c r="D124" s="18">
        <v>5</v>
      </c>
      <c r="E124" s="155"/>
      <c r="F124" s="36"/>
      <c r="G124" s="37"/>
      <c r="H124" s="37"/>
      <c r="I124" s="37"/>
      <c r="J124" s="37"/>
      <c r="K124" s="37"/>
      <c r="L124" s="37"/>
      <c r="M124" s="37" t="s">
        <v>1124</v>
      </c>
      <c r="N124" s="37" t="s">
        <v>1124</v>
      </c>
      <c r="O124" s="37"/>
      <c r="P124" s="37"/>
      <c r="Q124" s="37"/>
      <c r="R124" s="37"/>
      <c r="S124" s="37"/>
      <c r="T124" s="37"/>
      <c r="U124" s="37"/>
      <c r="V124" s="37"/>
      <c r="W124" s="37"/>
      <c r="X124" s="37"/>
      <c r="Y124" s="37"/>
      <c r="Z124" s="37"/>
      <c r="AA124" s="37" t="s">
        <v>1124</v>
      </c>
      <c r="AB124" s="37" t="s">
        <v>1124</v>
      </c>
      <c r="AC124" s="37"/>
      <c r="AD124" s="37"/>
      <c r="AE124" s="37"/>
      <c r="AF124" s="168"/>
      <c r="AG124" s="37"/>
      <c r="AH124" s="37"/>
      <c r="AI124" s="37"/>
      <c r="AJ124" s="37"/>
      <c r="AK124" s="37"/>
      <c r="AL124" s="37"/>
      <c r="AM124" s="37"/>
      <c r="AN124" s="37"/>
      <c r="AO124" s="37"/>
      <c r="AP124" s="37"/>
      <c r="AQ124" s="37"/>
      <c r="AR124" s="37" t="s">
        <v>1124</v>
      </c>
      <c r="AS124" s="37"/>
      <c r="AT124" s="37"/>
      <c r="AU124" s="37"/>
      <c r="AV124" s="37"/>
      <c r="AW124" s="37"/>
      <c r="AX124" s="37"/>
      <c r="AY124" s="37"/>
      <c r="AZ124" s="37"/>
      <c r="BA124" s="37"/>
      <c r="BB124" s="37"/>
      <c r="BC124" s="37"/>
      <c r="BD124" s="37" t="s">
        <v>1124</v>
      </c>
      <c r="BE124" s="37"/>
      <c r="BF124" s="37"/>
      <c r="BG124" s="37"/>
      <c r="BH124" s="37"/>
      <c r="BI124" s="37"/>
      <c r="BJ124" s="37"/>
      <c r="BK124" s="37"/>
      <c r="BL124" s="37"/>
      <c r="BM124" s="37"/>
      <c r="BN124" s="37"/>
      <c r="BO124" s="37"/>
      <c r="BP124" s="37">
        <v>0</v>
      </c>
      <c r="BQ124" s="37"/>
      <c r="BR124" s="37"/>
      <c r="BS124" s="37"/>
      <c r="BT124" s="37"/>
      <c r="BU124" s="37"/>
      <c r="BV124" s="37"/>
      <c r="BW124" s="37"/>
      <c r="BX124" s="37"/>
      <c r="BY124" s="37"/>
      <c r="BZ124" s="37"/>
      <c r="CA124" s="37"/>
      <c r="CB124" s="37" t="s">
        <v>1124</v>
      </c>
      <c r="CC124" s="37"/>
      <c r="CD124" s="37"/>
      <c r="CE124" s="37"/>
      <c r="CF124" s="37"/>
      <c r="CG124" s="37"/>
      <c r="CH124" s="37"/>
      <c r="CI124" s="37"/>
      <c r="CJ124" s="37"/>
      <c r="CK124" s="37"/>
      <c r="CL124" s="37"/>
      <c r="CM124" s="37"/>
      <c r="CN124" s="37" t="s">
        <v>1124</v>
      </c>
      <c r="CO124" s="37"/>
      <c r="CP124" s="37"/>
      <c r="CQ124" s="37"/>
      <c r="CR124" s="37"/>
      <c r="CS124" s="37"/>
      <c r="CT124" s="37"/>
      <c r="CU124" s="37"/>
      <c r="CV124" s="37"/>
      <c r="CW124" s="37"/>
      <c r="CX124" s="37"/>
      <c r="CY124" s="37"/>
      <c r="CZ124" s="37" t="s">
        <v>1124</v>
      </c>
      <c r="DA124" s="37"/>
      <c r="DB124" s="37"/>
      <c r="DC124" s="37"/>
      <c r="DD124" s="37"/>
      <c r="DE124" s="37"/>
      <c r="DF124" s="37"/>
      <c r="DG124" s="37"/>
      <c r="DH124" s="37"/>
      <c r="DI124" s="37"/>
      <c r="DJ124" s="37"/>
      <c r="DK124" s="37"/>
      <c r="DL124" s="37" t="s">
        <v>1124</v>
      </c>
      <c r="DM124" s="37"/>
      <c r="DN124" s="37"/>
      <c r="DO124" s="37"/>
      <c r="DP124" s="37"/>
      <c r="DQ124" s="37"/>
      <c r="DR124" s="37"/>
      <c r="DS124" s="37"/>
      <c r="DT124" s="37"/>
      <c r="DU124" s="37"/>
      <c r="DV124" s="37"/>
      <c r="DW124" s="37"/>
      <c r="DX124" s="37" t="s">
        <v>1124</v>
      </c>
      <c r="DY124" s="37"/>
      <c r="DZ124" s="37"/>
      <c r="EA124" s="37"/>
      <c r="EB124" s="37"/>
      <c r="EC124" s="37"/>
      <c r="ED124" s="37"/>
      <c r="EE124" s="37"/>
      <c r="EF124" s="37"/>
      <c r="EG124" s="37"/>
      <c r="EH124" s="37"/>
      <c r="EI124" s="37"/>
      <c r="EJ124" s="37" t="s">
        <v>1124</v>
      </c>
      <c r="EK124" s="161"/>
      <c r="EL124" s="294"/>
    </row>
    <row r="125" spans="1:142" ht="15" customHeight="1" x14ac:dyDescent="0.35">
      <c r="A125" s="34"/>
      <c r="B125" s="313">
        <v>3010</v>
      </c>
      <c r="C125" s="8" t="s">
        <v>1032</v>
      </c>
      <c r="D125" s="18">
        <v>11</v>
      </c>
      <c r="E125" s="155"/>
      <c r="F125" s="36"/>
      <c r="G125" s="37"/>
      <c r="H125" s="37"/>
      <c r="I125" s="37"/>
      <c r="J125" s="37"/>
      <c r="K125" s="37"/>
      <c r="L125" s="37"/>
      <c r="M125" s="37" t="s">
        <v>1124</v>
      </c>
      <c r="N125" s="37" t="s">
        <v>1124</v>
      </c>
      <c r="O125" s="37"/>
      <c r="P125" s="37"/>
      <c r="Q125" s="37"/>
      <c r="R125" s="37"/>
      <c r="S125" s="37"/>
      <c r="T125" s="37"/>
      <c r="U125" s="37"/>
      <c r="V125" s="37"/>
      <c r="W125" s="37"/>
      <c r="X125" s="37"/>
      <c r="Y125" s="37"/>
      <c r="Z125" s="37"/>
      <c r="AA125" s="37" t="s">
        <v>1124</v>
      </c>
      <c r="AB125" s="37" t="s">
        <v>1124</v>
      </c>
      <c r="AC125" s="37"/>
      <c r="AD125" s="37"/>
      <c r="AE125" s="37"/>
      <c r="AF125" s="168"/>
      <c r="AG125" s="37"/>
      <c r="AH125" s="37"/>
      <c r="AI125" s="37"/>
      <c r="AJ125" s="37"/>
      <c r="AK125" s="37"/>
      <c r="AL125" s="37"/>
      <c r="AM125" s="37"/>
      <c r="AN125" s="37"/>
      <c r="AO125" s="37"/>
      <c r="AP125" s="37"/>
      <c r="AQ125" s="37"/>
      <c r="AR125" s="37" t="s">
        <v>1124</v>
      </c>
      <c r="AS125" s="37"/>
      <c r="AT125" s="37"/>
      <c r="AU125" s="37"/>
      <c r="AV125" s="37"/>
      <c r="AW125" s="37"/>
      <c r="AX125" s="37"/>
      <c r="AY125" s="37"/>
      <c r="AZ125" s="37"/>
      <c r="BA125" s="37"/>
      <c r="BB125" s="37"/>
      <c r="BC125" s="37"/>
      <c r="BD125" s="37" t="s">
        <v>1124</v>
      </c>
      <c r="BE125" s="37"/>
      <c r="BF125" s="37"/>
      <c r="BG125" s="37"/>
      <c r="BH125" s="37"/>
      <c r="BI125" s="37"/>
      <c r="BJ125" s="37"/>
      <c r="BK125" s="37"/>
      <c r="BL125" s="37"/>
      <c r="BM125" s="37"/>
      <c r="BN125" s="37"/>
      <c r="BO125" s="37"/>
      <c r="BP125" s="37">
        <v>0</v>
      </c>
      <c r="BQ125" s="37"/>
      <c r="BR125" s="37"/>
      <c r="BS125" s="37"/>
      <c r="BT125" s="37"/>
      <c r="BU125" s="37"/>
      <c r="BV125" s="37"/>
      <c r="BW125" s="37"/>
      <c r="BX125" s="37"/>
      <c r="BY125" s="37"/>
      <c r="BZ125" s="37"/>
      <c r="CA125" s="37"/>
      <c r="CB125" s="37" t="s">
        <v>1124</v>
      </c>
      <c r="CC125" s="37"/>
      <c r="CD125" s="37"/>
      <c r="CE125" s="37"/>
      <c r="CF125" s="37"/>
      <c r="CG125" s="37"/>
      <c r="CH125" s="37"/>
      <c r="CI125" s="37"/>
      <c r="CJ125" s="37"/>
      <c r="CK125" s="37"/>
      <c r="CL125" s="37"/>
      <c r="CM125" s="37"/>
      <c r="CN125" s="37" t="s">
        <v>1124</v>
      </c>
      <c r="CO125" s="37"/>
      <c r="CP125" s="37"/>
      <c r="CQ125" s="37"/>
      <c r="CR125" s="37"/>
      <c r="CS125" s="37"/>
      <c r="CT125" s="37"/>
      <c r="CU125" s="37"/>
      <c r="CV125" s="37"/>
      <c r="CW125" s="37"/>
      <c r="CX125" s="37"/>
      <c r="CY125" s="37"/>
      <c r="CZ125" s="37" t="s">
        <v>1124</v>
      </c>
      <c r="DA125" s="37"/>
      <c r="DB125" s="37"/>
      <c r="DC125" s="37"/>
      <c r="DD125" s="37"/>
      <c r="DE125" s="37"/>
      <c r="DF125" s="37"/>
      <c r="DG125" s="37"/>
      <c r="DH125" s="37"/>
      <c r="DI125" s="37"/>
      <c r="DJ125" s="37"/>
      <c r="DK125" s="37"/>
      <c r="DL125" s="37" t="s">
        <v>1124</v>
      </c>
      <c r="DM125" s="37"/>
      <c r="DN125" s="37"/>
      <c r="DO125" s="37"/>
      <c r="DP125" s="37"/>
      <c r="DQ125" s="37"/>
      <c r="DR125" s="37"/>
      <c r="DS125" s="37"/>
      <c r="DT125" s="37"/>
      <c r="DU125" s="37"/>
      <c r="DV125" s="37"/>
      <c r="DW125" s="37"/>
      <c r="DX125" s="37" t="s">
        <v>1124</v>
      </c>
      <c r="DY125" s="37"/>
      <c r="DZ125" s="37"/>
      <c r="EA125" s="37"/>
      <c r="EB125" s="37"/>
      <c r="EC125" s="37"/>
      <c r="ED125" s="37"/>
      <c r="EE125" s="37"/>
      <c r="EF125" s="37"/>
      <c r="EG125" s="37"/>
      <c r="EH125" s="37"/>
      <c r="EI125" s="37"/>
      <c r="EJ125" s="37" t="s">
        <v>1124</v>
      </c>
      <c r="EK125" s="161"/>
      <c r="EL125" s="294"/>
    </row>
    <row r="126" spans="1:142" ht="15" customHeight="1" x14ac:dyDescent="0.35">
      <c r="A126" s="34"/>
      <c r="B126" s="313">
        <v>44037</v>
      </c>
      <c r="C126" s="8" t="s">
        <v>403</v>
      </c>
      <c r="D126" s="18">
        <v>5</v>
      </c>
      <c r="E126" s="155"/>
      <c r="F126" s="36"/>
      <c r="G126" s="37"/>
      <c r="H126" s="37"/>
      <c r="I126" s="37"/>
      <c r="J126" s="37"/>
      <c r="K126" s="37"/>
      <c r="L126" s="37"/>
      <c r="M126" s="37" t="s">
        <v>1124</v>
      </c>
      <c r="N126" s="37" t="s">
        <v>1124</v>
      </c>
      <c r="O126" s="37"/>
      <c r="P126" s="37"/>
      <c r="Q126" s="37"/>
      <c r="R126" s="37"/>
      <c r="S126" s="37"/>
      <c r="T126" s="37"/>
      <c r="U126" s="37"/>
      <c r="V126" s="37"/>
      <c r="W126" s="37"/>
      <c r="X126" s="37"/>
      <c r="Y126" s="37"/>
      <c r="Z126" s="37"/>
      <c r="AA126" s="37" t="s">
        <v>1124</v>
      </c>
      <c r="AB126" s="37" t="s">
        <v>1124</v>
      </c>
      <c r="AC126" s="37"/>
      <c r="AD126" s="37"/>
      <c r="AE126" s="37"/>
      <c r="AF126" s="168"/>
      <c r="AG126" s="37"/>
      <c r="AH126" s="37"/>
      <c r="AI126" s="37"/>
      <c r="AJ126" s="37"/>
      <c r="AK126" s="37"/>
      <c r="AL126" s="37"/>
      <c r="AM126" s="37"/>
      <c r="AN126" s="37"/>
      <c r="AO126" s="37"/>
      <c r="AP126" s="37"/>
      <c r="AQ126" s="37"/>
      <c r="AR126" s="37" t="s">
        <v>1124</v>
      </c>
      <c r="AS126" s="37"/>
      <c r="AT126" s="37"/>
      <c r="AU126" s="37"/>
      <c r="AV126" s="37"/>
      <c r="AW126" s="37"/>
      <c r="AX126" s="37"/>
      <c r="AY126" s="37"/>
      <c r="AZ126" s="37"/>
      <c r="BA126" s="37"/>
      <c r="BB126" s="37"/>
      <c r="BC126" s="37"/>
      <c r="BD126" s="37" t="s">
        <v>1124</v>
      </c>
      <c r="BE126" s="37"/>
      <c r="BF126" s="37"/>
      <c r="BG126" s="37"/>
      <c r="BH126" s="37"/>
      <c r="BI126" s="37"/>
      <c r="BJ126" s="37"/>
      <c r="BK126" s="37"/>
      <c r="BL126" s="37"/>
      <c r="BM126" s="37"/>
      <c r="BN126" s="37"/>
      <c r="BO126" s="37"/>
      <c r="BP126" s="37">
        <v>0</v>
      </c>
      <c r="BQ126" s="37"/>
      <c r="BR126" s="37"/>
      <c r="BS126" s="37"/>
      <c r="BT126" s="37"/>
      <c r="BU126" s="37"/>
      <c r="BV126" s="37"/>
      <c r="BW126" s="37"/>
      <c r="BX126" s="37"/>
      <c r="BY126" s="37"/>
      <c r="BZ126" s="37"/>
      <c r="CA126" s="37"/>
      <c r="CB126" s="37" t="s">
        <v>1124</v>
      </c>
      <c r="CC126" s="37"/>
      <c r="CD126" s="37"/>
      <c r="CE126" s="37"/>
      <c r="CF126" s="37"/>
      <c r="CG126" s="37"/>
      <c r="CH126" s="37"/>
      <c r="CI126" s="37"/>
      <c r="CJ126" s="37"/>
      <c r="CK126" s="37"/>
      <c r="CL126" s="37"/>
      <c r="CM126" s="37"/>
      <c r="CN126" s="37" t="s">
        <v>1124</v>
      </c>
      <c r="CO126" s="37"/>
      <c r="CP126" s="37"/>
      <c r="CQ126" s="37"/>
      <c r="CR126" s="37"/>
      <c r="CS126" s="37"/>
      <c r="CT126" s="37"/>
      <c r="CU126" s="37"/>
      <c r="CV126" s="37"/>
      <c r="CW126" s="37"/>
      <c r="CX126" s="37"/>
      <c r="CY126" s="37"/>
      <c r="CZ126" s="37" t="s">
        <v>1124</v>
      </c>
      <c r="DA126" s="37"/>
      <c r="DB126" s="37"/>
      <c r="DC126" s="37"/>
      <c r="DD126" s="37"/>
      <c r="DE126" s="37"/>
      <c r="DF126" s="37"/>
      <c r="DG126" s="37"/>
      <c r="DH126" s="37"/>
      <c r="DI126" s="37"/>
      <c r="DJ126" s="37"/>
      <c r="DK126" s="37"/>
      <c r="DL126" s="37" t="s">
        <v>1124</v>
      </c>
      <c r="DM126" s="37"/>
      <c r="DN126" s="37"/>
      <c r="DO126" s="37"/>
      <c r="DP126" s="37"/>
      <c r="DQ126" s="37"/>
      <c r="DR126" s="37"/>
      <c r="DS126" s="37"/>
      <c r="DT126" s="37"/>
      <c r="DU126" s="37"/>
      <c r="DV126" s="37"/>
      <c r="DW126" s="37"/>
      <c r="DX126" s="37" t="s">
        <v>1124</v>
      </c>
      <c r="DY126" s="37"/>
      <c r="DZ126" s="37"/>
      <c r="EA126" s="37"/>
      <c r="EB126" s="37"/>
      <c r="EC126" s="37"/>
      <c r="ED126" s="37"/>
      <c r="EE126" s="37"/>
      <c r="EF126" s="37"/>
      <c r="EG126" s="37"/>
      <c r="EH126" s="37"/>
      <c r="EI126" s="37"/>
      <c r="EJ126" s="37" t="s">
        <v>1124</v>
      </c>
      <c r="EK126" s="161"/>
      <c r="EL126" s="294"/>
    </row>
    <row r="127" spans="1:142" ht="15" customHeight="1" x14ac:dyDescent="0.35">
      <c r="A127" s="34"/>
      <c r="B127" s="313">
        <v>95050</v>
      </c>
      <c r="C127" s="8" t="s">
        <v>993</v>
      </c>
      <c r="D127" s="18">
        <v>9</v>
      </c>
      <c r="E127" s="155"/>
      <c r="F127" s="36"/>
      <c r="G127" s="37"/>
      <c r="H127" s="37"/>
      <c r="I127" s="37"/>
      <c r="J127" s="37"/>
      <c r="K127" s="37"/>
      <c r="L127" s="37"/>
      <c r="M127" s="37" t="s">
        <v>1124</v>
      </c>
      <c r="N127" s="37" t="s">
        <v>1124</v>
      </c>
      <c r="O127" s="37"/>
      <c r="P127" s="37"/>
      <c r="Q127" s="37"/>
      <c r="R127" s="37"/>
      <c r="S127" s="37"/>
      <c r="T127" s="37"/>
      <c r="U127" s="37"/>
      <c r="V127" s="37"/>
      <c r="W127" s="37"/>
      <c r="X127" s="37"/>
      <c r="Y127" s="37"/>
      <c r="Z127" s="37"/>
      <c r="AA127" s="37" t="s">
        <v>1124</v>
      </c>
      <c r="AB127" s="37" t="s">
        <v>1124</v>
      </c>
      <c r="AC127" s="37"/>
      <c r="AD127" s="37"/>
      <c r="AE127" s="37"/>
      <c r="AF127" s="168"/>
      <c r="AG127" s="37"/>
      <c r="AH127" s="37"/>
      <c r="AI127" s="37"/>
      <c r="AJ127" s="37"/>
      <c r="AK127" s="37"/>
      <c r="AL127" s="37"/>
      <c r="AM127" s="37"/>
      <c r="AN127" s="37"/>
      <c r="AO127" s="37"/>
      <c r="AP127" s="37"/>
      <c r="AQ127" s="37"/>
      <c r="AR127" s="37" t="s">
        <v>1124</v>
      </c>
      <c r="AS127" s="37"/>
      <c r="AT127" s="37"/>
      <c r="AU127" s="37"/>
      <c r="AV127" s="37"/>
      <c r="AW127" s="37"/>
      <c r="AX127" s="37"/>
      <c r="AY127" s="37"/>
      <c r="AZ127" s="37"/>
      <c r="BA127" s="37"/>
      <c r="BB127" s="37"/>
      <c r="BC127" s="37"/>
      <c r="BD127" s="37" t="s">
        <v>1124</v>
      </c>
      <c r="BE127" s="37"/>
      <c r="BF127" s="37"/>
      <c r="BG127" s="37"/>
      <c r="BH127" s="37"/>
      <c r="BI127" s="37"/>
      <c r="BJ127" s="37"/>
      <c r="BK127" s="37"/>
      <c r="BL127" s="37"/>
      <c r="BM127" s="37"/>
      <c r="BN127" s="37"/>
      <c r="BO127" s="37"/>
      <c r="BP127" s="37">
        <v>0</v>
      </c>
      <c r="BQ127" s="37"/>
      <c r="BR127" s="37"/>
      <c r="BS127" s="37"/>
      <c r="BT127" s="37"/>
      <c r="BU127" s="37"/>
      <c r="BV127" s="37"/>
      <c r="BW127" s="37"/>
      <c r="BX127" s="37"/>
      <c r="BY127" s="37"/>
      <c r="BZ127" s="37"/>
      <c r="CA127" s="37"/>
      <c r="CB127" s="37" t="s">
        <v>1124</v>
      </c>
      <c r="CC127" s="37"/>
      <c r="CD127" s="37"/>
      <c r="CE127" s="37"/>
      <c r="CF127" s="37"/>
      <c r="CG127" s="37"/>
      <c r="CH127" s="37"/>
      <c r="CI127" s="37"/>
      <c r="CJ127" s="37"/>
      <c r="CK127" s="37"/>
      <c r="CL127" s="37"/>
      <c r="CM127" s="37"/>
      <c r="CN127" s="37" t="s">
        <v>1124</v>
      </c>
      <c r="CO127" s="37"/>
      <c r="CP127" s="37"/>
      <c r="CQ127" s="37"/>
      <c r="CR127" s="37"/>
      <c r="CS127" s="37"/>
      <c r="CT127" s="37"/>
      <c r="CU127" s="37"/>
      <c r="CV127" s="37"/>
      <c r="CW127" s="37"/>
      <c r="CX127" s="37"/>
      <c r="CY127" s="37"/>
      <c r="CZ127" s="37" t="s">
        <v>1124</v>
      </c>
      <c r="DA127" s="37"/>
      <c r="DB127" s="37"/>
      <c r="DC127" s="37"/>
      <c r="DD127" s="37"/>
      <c r="DE127" s="37"/>
      <c r="DF127" s="37"/>
      <c r="DG127" s="37"/>
      <c r="DH127" s="37"/>
      <c r="DI127" s="37"/>
      <c r="DJ127" s="37"/>
      <c r="DK127" s="37"/>
      <c r="DL127" s="37" t="s">
        <v>1124</v>
      </c>
      <c r="DM127" s="37"/>
      <c r="DN127" s="37"/>
      <c r="DO127" s="37"/>
      <c r="DP127" s="37"/>
      <c r="DQ127" s="37"/>
      <c r="DR127" s="37"/>
      <c r="DS127" s="37"/>
      <c r="DT127" s="37"/>
      <c r="DU127" s="37"/>
      <c r="DV127" s="37"/>
      <c r="DW127" s="37"/>
      <c r="DX127" s="37" t="s">
        <v>1124</v>
      </c>
      <c r="DY127" s="37"/>
      <c r="DZ127" s="37"/>
      <c r="EA127" s="37"/>
      <c r="EB127" s="37"/>
      <c r="EC127" s="37"/>
      <c r="ED127" s="37"/>
      <c r="EE127" s="37"/>
      <c r="EF127" s="37"/>
      <c r="EG127" s="37"/>
      <c r="EH127" s="37"/>
      <c r="EI127" s="37"/>
      <c r="EJ127" s="37" t="s">
        <v>1124</v>
      </c>
      <c r="EK127" s="161"/>
      <c r="EL127" s="294"/>
    </row>
    <row r="128" spans="1:142" ht="15" customHeight="1" x14ac:dyDescent="0.35">
      <c r="A128" s="34"/>
      <c r="B128" s="313">
        <v>44071</v>
      </c>
      <c r="C128" s="8" t="s">
        <v>408</v>
      </c>
      <c r="D128" s="18">
        <v>5</v>
      </c>
      <c r="E128" s="155">
        <v>122724</v>
      </c>
      <c r="F128" s="36">
        <v>125778</v>
      </c>
      <c r="G128" s="37">
        <v>21106</v>
      </c>
      <c r="H128" s="37">
        <v>1068</v>
      </c>
      <c r="I128" s="37">
        <v>62200</v>
      </c>
      <c r="J128" s="37">
        <v>23900</v>
      </c>
      <c r="K128" s="37">
        <v>18408.599999999999</v>
      </c>
      <c r="L128" s="37">
        <v>18866.7</v>
      </c>
      <c r="M128" s="37">
        <v>224438.6</v>
      </c>
      <c r="N128" s="37">
        <v>169612.7</v>
      </c>
      <c r="O128" s="37">
        <v>9349</v>
      </c>
      <c r="P128" s="37">
        <v>4838</v>
      </c>
      <c r="Q128" s="37">
        <v>174089</v>
      </c>
      <c r="R128" s="37">
        <v>94428</v>
      </c>
      <c r="S128" s="37">
        <v>0</v>
      </c>
      <c r="T128" s="37">
        <v>87529</v>
      </c>
      <c r="U128" s="37">
        <v>0</v>
      </c>
      <c r="V128" s="37">
        <v>0</v>
      </c>
      <c r="W128" s="37">
        <v>41000.600000000006</v>
      </c>
      <c r="X128" s="37">
        <v>4382</v>
      </c>
      <c r="Y128" s="37">
        <v>0</v>
      </c>
      <c r="Z128" s="37">
        <v>0</v>
      </c>
      <c r="AA128" s="37">
        <v>224438.6</v>
      </c>
      <c r="AB128" s="37">
        <v>191177</v>
      </c>
      <c r="AC128" s="37">
        <v>21565</v>
      </c>
      <c r="AD128" s="37">
        <v>21564</v>
      </c>
      <c r="AE128" s="37">
        <v>82644</v>
      </c>
      <c r="AF128" s="168">
        <v>0.02</v>
      </c>
      <c r="AG128" s="37">
        <v>17687432.940000001</v>
      </c>
      <c r="AH128" s="37">
        <v>103755.12</v>
      </c>
      <c r="AI128" s="37">
        <v>105830.22</v>
      </c>
      <c r="AJ128" s="37">
        <v>107946.82</v>
      </c>
      <c r="AK128" s="37">
        <v>110105.76</v>
      </c>
      <c r="AL128" s="37">
        <v>112307.88</v>
      </c>
      <c r="AM128" s="37">
        <v>114554.03</v>
      </c>
      <c r="AN128" s="37">
        <v>116845.11</v>
      </c>
      <c r="AO128" s="37">
        <v>119182.02</v>
      </c>
      <c r="AP128" s="37">
        <v>121565.66</v>
      </c>
      <c r="AQ128" s="37">
        <v>123996.97</v>
      </c>
      <c r="AR128" s="37">
        <v>1136089.5899999999</v>
      </c>
      <c r="AS128" s="37">
        <v>1501098.48</v>
      </c>
      <c r="AT128" s="37">
        <v>0</v>
      </c>
      <c r="AU128" s="37">
        <v>0</v>
      </c>
      <c r="AV128" s="37">
        <v>216486.43</v>
      </c>
      <c r="AW128" s="37">
        <v>0</v>
      </c>
      <c r="AX128" s="37">
        <v>0</v>
      </c>
      <c r="AY128" s="37">
        <v>0</v>
      </c>
      <c r="AZ128" s="37">
        <v>0</v>
      </c>
      <c r="BA128" s="37">
        <v>0</v>
      </c>
      <c r="BB128" s="37">
        <v>0</v>
      </c>
      <c r="BC128" s="37">
        <v>0</v>
      </c>
      <c r="BD128" s="37">
        <v>216486.43</v>
      </c>
      <c r="BE128" s="37">
        <v>0</v>
      </c>
      <c r="BF128" s="37">
        <v>228207.43993744726</v>
      </c>
      <c r="BG128" s="37">
        <v>245978.81888677334</v>
      </c>
      <c r="BH128" s="37">
        <v>302810.81287247408</v>
      </c>
      <c r="BI128" s="37">
        <v>359642.92830330564</v>
      </c>
      <c r="BJ128" s="37">
        <v>39060.615036374511</v>
      </c>
      <c r="BK128" s="37">
        <v>189146.82490107251</v>
      </c>
      <c r="BL128" s="37">
        <v>245978.81888677334</v>
      </c>
      <c r="BM128" s="37">
        <v>302810.81287247408</v>
      </c>
      <c r="BN128" s="37">
        <v>359642.92830330564</v>
      </c>
      <c r="BO128" s="37">
        <v>0</v>
      </c>
      <c r="BP128" s="37">
        <v>2273280.0000000005</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D128" s="37">
        <v>0</v>
      </c>
      <c r="DE128" s="37">
        <v>0</v>
      </c>
      <c r="DF128" s="37">
        <v>0</v>
      </c>
      <c r="DG128" s="37">
        <v>0</v>
      </c>
      <c r="DH128" s="37">
        <v>0</v>
      </c>
      <c r="DI128" s="37">
        <v>0</v>
      </c>
      <c r="DJ128" s="37">
        <v>0</v>
      </c>
      <c r="DK128" s="37">
        <v>0</v>
      </c>
      <c r="DL128" s="37">
        <v>0</v>
      </c>
      <c r="DM128" s="37">
        <v>0</v>
      </c>
      <c r="DN128" s="37">
        <v>0</v>
      </c>
      <c r="DO128" s="37">
        <v>0</v>
      </c>
      <c r="DP128" s="37">
        <v>0</v>
      </c>
      <c r="DQ128" s="37">
        <v>0</v>
      </c>
      <c r="DR128" s="37">
        <v>0</v>
      </c>
      <c r="DS128" s="37">
        <v>0</v>
      </c>
      <c r="DT128" s="37">
        <v>0</v>
      </c>
      <c r="DU128" s="37">
        <v>0</v>
      </c>
      <c r="DV128" s="37">
        <v>0</v>
      </c>
      <c r="DW128" s="37">
        <v>0</v>
      </c>
      <c r="DX128" s="37">
        <v>0</v>
      </c>
      <c r="DY128" s="37">
        <v>0</v>
      </c>
      <c r="DZ128" s="37">
        <v>0</v>
      </c>
      <c r="EA128" s="37">
        <v>0</v>
      </c>
      <c r="EB128" s="37">
        <v>216486.43</v>
      </c>
      <c r="EC128" s="37">
        <v>0</v>
      </c>
      <c r="ED128" s="37">
        <v>0</v>
      </c>
      <c r="EE128" s="37">
        <v>0</v>
      </c>
      <c r="EF128" s="37">
        <v>0</v>
      </c>
      <c r="EG128" s="37">
        <v>0</v>
      </c>
      <c r="EH128" s="37">
        <v>0</v>
      </c>
      <c r="EI128" s="37">
        <v>0</v>
      </c>
      <c r="EJ128" s="37">
        <v>216486.43</v>
      </c>
      <c r="EK128" s="161" t="s">
        <v>1633</v>
      </c>
      <c r="EL128" s="294" t="s">
        <v>1124</v>
      </c>
    </row>
    <row r="129" spans="1:142" ht="15" customHeight="1" x14ac:dyDescent="0.35">
      <c r="A129" s="34"/>
      <c r="B129" s="313">
        <v>59035</v>
      </c>
      <c r="C129" s="8" t="s">
        <v>604</v>
      </c>
      <c r="D129" s="18">
        <v>16</v>
      </c>
      <c r="E129" s="155">
        <v>1055337</v>
      </c>
      <c r="F129" s="36">
        <v>322768</v>
      </c>
      <c r="G129" s="37">
        <v>38349</v>
      </c>
      <c r="H129" s="37">
        <v>100166</v>
      </c>
      <c r="I129" s="37">
        <v>346426</v>
      </c>
      <c r="J129" s="37">
        <v>346426</v>
      </c>
      <c r="K129" s="37">
        <v>0</v>
      </c>
      <c r="L129" s="37">
        <v>0</v>
      </c>
      <c r="M129" s="37">
        <v>1440112</v>
      </c>
      <c r="N129" s="37">
        <v>769360</v>
      </c>
      <c r="O129" s="37">
        <v>189269</v>
      </c>
      <c r="P129" s="37">
        <v>189269</v>
      </c>
      <c r="Q129" s="37">
        <v>829399</v>
      </c>
      <c r="R129" s="37">
        <v>645705</v>
      </c>
      <c r="S129" s="37">
        <v>146090</v>
      </c>
      <c r="T129" s="37">
        <v>90629</v>
      </c>
      <c r="U129" s="37">
        <v>8636</v>
      </c>
      <c r="V129" s="37">
        <v>2759</v>
      </c>
      <c r="W129" s="37">
        <v>107716</v>
      </c>
      <c r="X129" s="37">
        <v>0</v>
      </c>
      <c r="Y129" s="37">
        <v>0</v>
      </c>
      <c r="Z129" s="37">
        <v>0</v>
      </c>
      <c r="AA129" s="37">
        <v>1281110</v>
      </c>
      <c r="AB129" s="37">
        <v>928362</v>
      </c>
      <c r="AC129" s="37">
        <v>0</v>
      </c>
      <c r="AD129" s="37">
        <v>0</v>
      </c>
      <c r="AE129" s="37">
        <v>0</v>
      </c>
      <c r="AF129" s="168">
        <v>0.02</v>
      </c>
      <c r="AG129" s="37">
        <v>147739082.75</v>
      </c>
      <c r="AH129" s="37">
        <v>1429965.52</v>
      </c>
      <c r="AI129" s="37">
        <v>1458564.83</v>
      </c>
      <c r="AJ129" s="37">
        <v>1487736.12</v>
      </c>
      <c r="AK129" s="37">
        <v>1517490.85</v>
      </c>
      <c r="AL129" s="37">
        <v>1547840.66</v>
      </c>
      <c r="AM129" s="37">
        <v>1578797.48</v>
      </c>
      <c r="AN129" s="37">
        <v>1610373.42</v>
      </c>
      <c r="AO129" s="37">
        <v>1642580.89</v>
      </c>
      <c r="AP129" s="37">
        <v>1675432.51</v>
      </c>
      <c r="AQ129" s="37">
        <v>1708941.16</v>
      </c>
      <c r="AR129" s="37">
        <v>15657723.439999999</v>
      </c>
      <c r="AS129" s="37">
        <v>3399808.72</v>
      </c>
      <c r="AT129" s="37">
        <v>0</v>
      </c>
      <c r="AU129" s="37">
        <v>0</v>
      </c>
      <c r="AV129" s="37">
        <v>0</v>
      </c>
      <c r="AW129" s="37">
        <v>0</v>
      </c>
      <c r="AX129" s="37">
        <v>0</v>
      </c>
      <c r="AY129" s="37">
        <v>0</v>
      </c>
      <c r="AZ129" s="37">
        <v>0</v>
      </c>
      <c r="BA129" s="37">
        <v>0</v>
      </c>
      <c r="BB129" s="37">
        <v>0</v>
      </c>
      <c r="BC129" s="37">
        <v>0</v>
      </c>
      <c r="BD129" s="37">
        <v>0</v>
      </c>
      <c r="BE129" s="37">
        <v>1121149</v>
      </c>
      <c r="BF129" s="37">
        <v>0</v>
      </c>
      <c r="BG129" s="37">
        <v>0</v>
      </c>
      <c r="BH129" s="37">
        <v>0</v>
      </c>
      <c r="BI129" s="37">
        <v>0</v>
      </c>
      <c r="BJ129" s="37">
        <v>0</v>
      </c>
      <c r="BK129" s="37">
        <v>0</v>
      </c>
      <c r="BL129" s="37">
        <v>0</v>
      </c>
      <c r="BM129" s="37">
        <v>0</v>
      </c>
      <c r="BN129" s="37">
        <v>0</v>
      </c>
      <c r="BO129" s="37">
        <v>0</v>
      </c>
      <c r="BP129" s="37">
        <v>0</v>
      </c>
      <c r="BQ129" s="37">
        <v>527970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D129" s="37">
        <v>0</v>
      </c>
      <c r="DE129" s="37">
        <v>0</v>
      </c>
      <c r="DF129" s="37">
        <v>0</v>
      </c>
      <c r="DG129" s="37">
        <v>0</v>
      </c>
      <c r="DH129" s="37">
        <v>0</v>
      </c>
      <c r="DI129" s="37">
        <v>0</v>
      </c>
      <c r="DJ129" s="37">
        <v>0</v>
      </c>
      <c r="DK129" s="37">
        <v>0</v>
      </c>
      <c r="DL129" s="37">
        <v>0</v>
      </c>
      <c r="DM129" s="37">
        <v>0</v>
      </c>
      <c r="DN129" s="37">
        <v>0</v>
      </c>
      <c r="DO129" s="37">
        <v>0</v>
      </c>
      <c r="DP129" s="37">
        <v>0</v>
      </c>
      <c r="DQ129" s="37">
        <v>0</v>
      </c>
      <c r="DR129" s="37">
        <v>0</v>
      </c>
      <c r="DS129" s="37">
        <v>0</v>
      </c>
      <c r="DT129" s="37">
        <v>0</v>
      </c>
      <c r="DU129" s="37">
        <v>0</v>
      </c>
      <c r="DV129" s="37">
        <v>0</v>
      </c>
      <c r="DW129" s="37">
        <v>0</v>
      </c>
      <c r="DX129" s="37">
        <v>0</v>
      </c>
      <c r="DY129" s="37">
        <v>0</v>
      </c>
      <c r="DZ129" s="37">
        <v>0</v>
      </c>
      <c r="EA129" s="37">
        <v>0</v>
      </c>
      <c r="EB129" s="37">
        <v>0</v>
      </c>
      <c r="EC129" s="37">
        <v>0</v>
      </c>
      <c r="ED129" s="37">
        <v>0</v>
      </c>
      <c r="EE129" s="37">
        <v>0</v>
      </c>
      <c r="EF129" s="37">
        <v>0</v>
      </c>
      <c r="EG129" s="37">
        <v>0</v>
      </c>
      <c r="EH129" s="37">
        <v>0</v>
      </c>
      <c r="EI129" s="37">
        <v>0</v>
      </c>
      <c r="EJ129" s="37">
        <v>0</v>
      </c>
      <c r="EK129" s="161" t="s">
        <v>1636</v>
      </c>
      <c r="EL129" s="294" t="s">
        <v>1124</v>
      </c>
    </row>
    <row r="130" spans="1:142" ht="15" customHeight="1" x14ac:dyDescent="0.35">
      <c r="A130" s="34"/>
      <c r="B130" s="313">
        <v>41038</v>
      </c>
      <c r="C130" s="8" t="s">
        <v>369</v>
      </c>
      <c r="D130" s="18">
        <v>5</v>
      </c>
      <c r="E130" s="155">
        <v>413873</v>
      </c>
      <c r="F130" s="36">
        <v>251944</v>
      </c>
      <c r="G130" s="37">
        <v>30581</v>
      </c>
      <c r="H130" s="37">
        <v>44825</v>
      </c>
      <c r="I130" s="37">
        <v>117279</v>
      </c>
      <c r="J130" s="37">
        <v>164479</v>
      </c>
      <c r="K130" s="37">
        <v>62080.95</v>
      </c>
      <c r="L130" s="37">
        <v>37791.599999999999</v>
      </c>
      <c r="M130" s="37">
        <v>623813.94999999995</v>
      </c>
      <c r="N130" s="37">
        <v>499039.6</v>
      </c>
      <c r="O130" s="37">
        <v>2322</v>
      </c>
      <c r="P130" s="37">
        <v>5864</v>
      </c>
      <c r="Q130" s="37">
        <v>426785</v>
      </c>
      <c r="R130" s="37">
        <v>235370</v>
      </c>
      <c r="S130" s="37">
        <v>0</v>
      </c>
      <c r="T130" s="37">
        <v>7249</v>
      </c>
      <c r="U130" s="37">
        <v>15961</v>
      </c>
      <c r="V130" s="37">
        <v>0</v>
      </c>
      <c r="W130" s="37">
        <v>178745.94999999995</v>
      </c>
      <c r="X130" s="37">
        <v>250556.59999999998</v>
      </c>
      <c r="Y130" s="37">
        <v>0</v>
      </c>
      <c r="Z130" s="37">
        <v>0</v>
      </c>
      <c r="AA130" s="37">
        <v>623813.94999999995</v>
      </c>
      <c r="AB130" s="37">
        <v>499039.6</v>
      </c>
      <c r="AC130" s="37">
        <v>0</v>
      </c>
      <c r="AD130" s="37">
        <v>0</v>
      </c>
      <c r="AE130" s="37">
        <v>0</v>
      </c>
      <c r="AF130" s="168">
        <v>0.02</v>
      </c>
      <c r="AG130" s="37">
        <v>51689077.490000002</v>
      </c>
      <c r="AH130" s="37">
        <v>379148.81</v>
      </c>
      <c r="AI130" s="37">
        <v>386731.79</v>
      </c>
      <c r="AJ130" s="37">
        <v>394466.42</v>
      </c>
      <c r="AK130" s="37">
        <v>402355.75</v>
      </c>
      <c r="AL130" s="37">
        <v>410402.87</v>
      </c>
      <c r="AM130" s="37">
        <v>418610.92</v>
      </c>
      <c r="AN130" s="37">
        <v>426983.14</v>
      </c>
      <c r="AO130" s="37">
        <v>435522.8</v>
      </c>
      <c r="AP130" s="37">
        <v>444233.26</v>
      </c>
      <c r="AQ130" s="37">
        <v>453117.93</v>
      </c>
      <c r="AR130" s="37">
        <v>4151573.69</v>
      </c>
      <c r="AS130" s="37">
        <v>4417008</v>
      </c>
      <c r="AT130" s="37">
        <v>2108646</v>
      </c>
      <c r="AU130" s="37">
        <v>0</v>
      </c>
      <c r="AV130" s="37">
        <v>0</v>
      </c>
      <c r="AW130" s="37">
        <v>0</v>
      </c>
      <c r="AX130" s="37">
        <v>0</v>
      </c>
      <c r="AY130" s="37">
        <v>574342.82999999996</v>
      </c>
      <c r="AZ130" s="37">
        <v>585829.68999999994</v>
      </c>
      <c r="BA130" s="37">
        <v>597546.28</v>
      </c>
      <c r="BB130" s="37">
        <v>609497.21</v>
      </c>
      <c r="BC130" s="37">
        <v>0</v>
      </c>
      <c r="BD130" s="37">
        <v>4475862.01</v>
      </c>
      <c r="BE130" s="37">
        <v>0</v>
      </c>
      <c r="BF130" s="37">
        <v>245587.89877757337</v>
      </c>
      <c r="BG130" s="37">
        <v>264712.75998166605</v>
      </c>
      <c r="BH130" s="37">
        <v>325873.12350931304</v>
      </c>
      <c r="BI130" s="37">
        <v>387033.6177314478</v>
      </c>
      <c r="BJ130" s="37">
        <v>42035.502323554138</v>
      </c>
      <c r="BK130" s="37">
        <v>203552.39645401898</v>
      </c>
      <c r="BL130" s="37">
        <v>264712.75998166605</v>
      </c>
      <c r="BM130" s="37">
        <v>325873.12350931304</v>
      </c>
      <c r="BN130" s="37">
        <v>387033.6177314478</v>
      </c>
      <c r="BO130" s="37">
        <v>0</v>
      </c>
      <c r="BP130" s="37">
        <v>2446414.8000000003</v>
      </c>
      <c r="BQ130" s="37">
        <v>0</v>
      </c>
      <c r="BR130" s="37">
        <v>0</v>
      </c>
      <c r="BS130" s="37">
        <v>0</v>
      </c>
      <c r="BT130" s="37">
        <v>0</v>
      </c>
      <c r="BU130" s="37">
        <v>0</v>
      </c>
      <c r="BV130" s="37">
        <v>0</v>
      </c>
      <c r="BW130" s="37">
        <v>0</v>
      </c>
      <c r="BX130" s="37">
        <v>0</v>
      </c>
      <c r="BY130" s="37">
        <v>0</v>
      </c>
      <c r="BZ130" s="37">
        <v>0</v>
      </c>
      <c r="CA130" s="37">
        <v>0</v>
      </c>
      <c r="CB130" s="37">
        <v>0</v>
      </c>
      <c r="CC130" s="37">
        <v>40000</v>
      </c>
      <c r="CD130" s="37">
        <v>0</v>
      </c>
      <c r="CE130" s="37">
        <v>0</v>
      </c>
      <c r="CF130" s="37">
        <v>0</v>
      </c>
      <c r="CG130" s="37">
        <v>0</v>
      </c>
      <c r="CH130" s="37">
        <v>0</v>
      </c>
      <c r="CI130" s="37">
        <v>0</v>
      </c>
      <c r="CJ130" s="37">
        <v>0</v>
      </c>
      <c r="CK130" s="37">
        <v>0</v>
      </c>
      <c r="CL130" s="37">
        <v>0</v>
      </c>
      <c r="CM130" s="37">
        <v>0</v>
      </c>
      <c r="CN130" s="37">
        <v>0</v>
      </c>
      <c r="CO130" s="37">
        <v>792115</v>
      </c>
      <c r="CP130" s="37">
        <v>312205</v>
      </c>
      <c r="CQ130" s="37">
        <v>0</v>
      </c>
      <c r="CR130" s="37">
        <v>0</v>
      </c>
      <c r="CS130" s="37">
        <v>0</v>
      </c>
      <c r="CT130" s="37">
        <v>0</v>
      </c>
      <c r="CU130" s="37">
        <v>0</v>
      </c>
      <c r="CV130" s="37">
        <v>0</v>
      </c>
      <c r="CW130" s="37">
        <v>0</v>
      </c>
      <c r="CX130" s="37">
        <v>0</v>
      </c>
      <c r="CY130" s="37">
        <v>0</v>
      </c>
      <c r="CZ130" s="37">
        <v>312205</v>
      </c>
      <c r="DA130" s="37">
        <v>139785</v>
      </c>
      <c r="DB130" s="37">
        <v>55095</v>
      </c>
      <c r="DC130" s="37">
        <v>0</v>
      </c>
      <c r="DD130" s="37">
        <v>0</v>
      </c>
      <c r="DE130" s="37">
        <v>0</v>
      </c>
      <c r="DF130" s="37">
        <v>0</v>
      </c>
      <c r="DG130" s="37">
        <v>0</v>
      </c>
      <c r="DH130" s="37">
        <v>0</v>
      </c>
      <c r="DI130" s="37">
        <v>0</v>
      </c>
      <c r="DJ130" s="37">
        <v>0</v>
      </c>
      <c r="DK130" s="37">
        <v>0</v>
      </c>
      <c r="DL130" s="37">
        <v>55095</v>
      </c>
      <c r="DM130" s="37">
        <v>0</v>
      </c>
      <c r="DN130" s="37">
        <v>0</v>
      </c>
      <c r="DO130" s="37">
        <v>0</v>
      </c>
      <c r="DP130" s="37">
        <v>0</v>
      </c>
      <c r="DQ130" s="37">
        <v>0</v>
      </c>
      <c r="DR130" s="37">
        <v>0</v>
      </c>
      <c r="DS130" s="37">
        <v>0</v>
      </c>
      <c r="DT130" s="37">
        <v>0</v>
      </c>
      <c r="DU130" s="37">
        <v>0</v>
      </c>
      <c r="DV130" s="37">
        <v>0</v>
      </c>
      <c r="DW130" s="37">
        <v>0</v>
      </c>
      <c r="DX130" s="37">
        <v>0</v>
      </c>
      <c r="DY130" s="37">
        <v>0</v>
      </c>
      <c r="DZ130" s="37">
        <v>0</v>
      </c>
      <c r="EA130" s="37">
        <v>0</v>
      </c>
      <c r="EB130" s="37">
        <v>0</v>
      </c>
      <c r="EC130" s="37">
        <v>0</v>
      </c>
      <c r="ED130" s="37">
        <v>0</v>
      </c>
      <c r="EE130" s="37">
        <v>0</v>
      </c>
      <c r="EF130" s="37">
        <v>0</v>
      </c>
      <c r="EG130" s="37">
        <v>0</v>
      </c>
      <c r="EH130" s="37">
        <v>0</v>
      </c>
      <c r="EI130" s="37">
        <v>0</v>
      </c>
      <c r="EJ130" s="37">
        <v>0</v>
      </c>
      <c r="EK130" s="161" t="s">
        <v>1644</v>
      </c>
      <c r="EL130" s="294" t="s">
        <v>1124</v>
      </c>
    </row>
    <row r="131" spans="1:142" ht="15" customHeight="1" x14ac:dyDescent="0.35">
      <c r="A131" s="34"/>
      <c r="B131" s="313">
        <v>71040</v>
      </c>
      <c r="C131" s="8" t="s">
        <v>709</v>
      </c>
      <c r="D131" s="18">
        <v>16</v>
      </c>
      <c r="E131" s="155">
        <v>566617</v>
      </c>
      <c r="F131" s="36">
        <v>528960</v>
      </c>
      <c r="G131" s="37">
        <v>101136</v>
      </c>
      <c r="H131" s="37">
        <v>79412</v>
      </c>
      <c r="I131" s="37">
        <v>248895</v>
      </c>
      <c r="J131" s="37">
        <v>239966</v>
      </c>
      <c r="K131" s="37">
        <v>62958</v>
      </c>
      <c r="L131" s="37">
        <v>58773</v>
      </c>
      <c r="M131" s="37">
        <v>979606</v>
      </c>
      <c r="N131" s="37">
        <v>907111</v>
      </c>
      <c r="O131" s="37">
        <v>315551</v>
      </c>
      <c r="P131" s="37">
        <v>0</v>
      </c>
      <c r="Q131" s="37">
        <v>443850</v>
      </c>
      <c r="R131" s="37">
        <v>614886</v>
      </c>
      <c r="S131" s="37">
        <v>0</v>
      </c>
      <c r="T131" s="37">
        <v>0</v>
      </c>
      <c r="U131" s="37">
        <v>19722</v>
      </c>
      <c r="V131" s="37">
        <v>47534</v>
      </c>
      <c r="W131" s="37">
        <v>200483</v>
      </c>
      <c r="X131" s="37">
        <v>244691</v>
      </c>
      <c r="Y131" s="37">
        <v>0</v>
      </c>
      <c r="Z131" s="37">
        <v>0</v>
      </c>
      <c r="AA131" s="37">
        <v>979606</v>
      </c>
      <c r="AB131" s="37">
        <v>907111</v>
      </c>
      <c r="AC131" s="37">
        <v>0</v>
      </c>
      <c r="AD131" s="37">
        <v>0</v>
      </c>
      <c r="AE131" s="37">
        <v>0</v>
      </c>
      <c r="AF131" s="168">
        <v>0.02</v>
      </c>
      <c r="AG131" s="37">
        <v>56122347.770000003</v>
      </c>
      <c r="AH131" s="37">
        <v>321645.61</v>
      </c>
      <c r="AI131" s="37">
        <v>231477.38</v>
      </c>
      <c r="AJ131" s="37">
        <v>236106.93</v>
      </c>
      <c r="AK131" s="37">
        <v>240829.07</v>
      </c>
      <c r="AL131" s="37">
        <v>245645.65</v>
      </c>
      <c r="AM131" s="37">
        <v>250558.56</v>
      </c>
      <c r="AN131" s="37">
        <v>255569.73</v>
      </c>
      <c r="AO131" s="37">
        <v>260681.13</v>
      </c>
      <c r="AP131" s="37">
        <v>265894.75</v>
      </c>
      <c r="AQ131" s="37">
        <v>271212.64</v>
      </c>
      <c r="AR131" s="37">
        <v>2579621.4499999997</v>
      </c>
      <c r="AS131" s="37">
        <v>5661655.7000000002</v>
      </c>
      <c r="AT131" s="37">
        <v>798955.8</v>
      </c>
      <c r="AU131" s="37">
        <v>837230.69</v>
      </c>
      <c r="AV131" s="37">
        <v>846122.36</v>
      </c>
      <c r="AW131" s="37">
        <v>731832.38</v>
      </c>
      <c r="AX131" s="37">
        <v>718867.01</v>
      </c>
      <c r="AY131" s="37">
        <v>733244.35</v>
      </c>
      <c r="AZ131" s="37">
        <v>0</v>
      </c>
      <c r="BA131" s="37">
        <v>0</v>
      </c>
      <c r="BB131" s="37">
        <v>0</v>
      </c>
      <c r="BC131" s="37">
        <v>0</v>
      </c>
      <c r="BD131" s="37">
        <v>4666252.59</v>
      </c>
      <c r="BE131" s="37">
        <v>1442362</v>
      </c>
      <c r="BF131" s="37">
        <v>0</v>
      </c>
      <c r="BG131" s="37">
        <v>0</v>
      </c>
      <c r="BH131" s="37">
        <v>0</v>
      </c>
      <c r="BI131" s="37">
        <v>0</v>
      </c>
      <c r="BJ131" s="37">
        <v>0</v>
      </c>
      <c r="BK131" s="37">
        <v>0</v>
      </c>
      <c r="BL131" s="37">
        <v>0</v>
      </c>
      <c r="BM131" s="37">
        <v>0</v>
      </c>
      <c r="BN131" s="37">
        <v>0</v>
      </c>
      <c r="BO131" s="37">
        <v>0</v>
      </c>
      <c r="BP131" s="37">
        <v>0</v>
      </c>
      <c r="BQ131" s="37">
        <v>0</v>
      </c>
      <c r="BR131" s="37">
        <v>0</v>
      </c>
      <c r="BS131" s="37">
        <v>0</v>
      </c>
      <c r="BT131" s="37">
        <v>0</v>
      </c>
      <c r="BU131" s="37">
        <v>0</v>
      </c>
      <c r="BV131" s="37">
        <v>0</v>
      </c>
      <c r="BW131" s="37">
        <v>0</v>
      </c>
      <c r="BX131" s="37">
        <v>0</v>
      </c>
      <c r="BY131" s="37">
        <v>0</v>
      </c>
      <c r="BZ131" s="37">
        <v>0</v>
      </c>
      <c r="CA131" s="37">
        <v>0</v>
      </c>
      <c r="CB131" s="37">
        <v>0</v>
      </c>
      <c r="CC131" s="37">
        <v>0</v>
      </c>
      <c r="CD131" s="37">
        <v>250000</v>
      </c>
      <c r="CE131" s="37">
        <v>250000</v>
      </c>
      <c r="CF131" s="37">
        <v>0</v>
      </c>
      <c r="CG131" s="37">
        <v>0</v>
      </c>
      <c r="CH131" s="37">
        <v>0</v>
      </c>
      <c r="CI131" s="37">
        <v>0</v>
      </c>
      <c r="CJ131" s="37">
        <v>0</v>
      </c>
      <c r="CK131" s="37">
        <v>0</v>
      </c>
      <c r="CL131" s="37">
        <v>0</v>
      </c>
      <c r="CM131" s="37">
        <v>0</v>
      </c>
      <c r="CN131" s="37">
        <v>500000</v>
      </c>
      <c r="CO131" s="37">
        <v>0</v>
      </c>
      <c r="CP131" s="37">
        <v>0</v>
      </c>
      <c r="CQ131" s="37">
        <v>0</v>
      </c>
      <c r="CR131" s="37">
        <v>0</v>
      </c>
      <c r="CS131" s="37">
        <v>0</v>
      </c>
      <c r="CT131" s="37">
        <v>0</v>
      </c>
      <c r="CU131" s="37">
        <v>0</v>
      </c>
      <c r="CV131" s="37">
        <v>0</v>
      </c>
      <c r="CW131" s="37">
        <v>0</v>
      </c>
      <c r="CX131" s="37">
        <v>0</v>
      </c>
      <c r="CY131" s="37">
        <v>0</v>
      </c>
      <c r="CZ131" s="37">
        <v>0</v>
      </c>
      <c r="DA131" s="37">
        <v>0</v>
      </c>
      <c r="DB131" s="37">
        <v>0</v>
      </c>
      <c r="DC131" s="37">
        <v>0</v>
      </c>
      <c r="DD131" s="37">
        <v>0</v>
      </c>
      <c r="DE131" s="37">
        <v>0</v>
      </c>
      <c r="DF131" s="37">
        <v>0</v>
      </c>
      <c r="DG131" s="37">
        <v>0</v>
      </c>
      <c r="DH131" s="37">
        <v>0</v>
      </c>
      <c r="DI131" s="37">
        <v>0</v>
      </c>
      <c r="DJ131" s="37">
        <v>0</v>
      </c>
      <c r="DK131" s="37">
        <v>0</v>
      </c>
      <c r="DL131" s="37">
        <v>0</v>
      </c>
      <c r="DM131" s="37">
        <v>0</v>
      </c>
      <c r="DN131" s="37">
        <v>0</v>
      </c>
      <c r="DO131" s="37">
        <v>0</v>
      </c>
      <c r="DP131" s="37">
        <v>0</v>
      </c>
      <c r="DQ131" s="37">
        <v>0</v>
      </c>
      <c r="DR131" s="37">
        <v>0</v>
      </c>
      <c r="DS131" s="37">
        <v>0</v>
      </c>
      <c r="DT131" s="37">
        <v>0</v>
      </c>
      <c r="DU131" s="37">
        <v>0</v>
      </c>
      <c r="DV131" s="37">
        <v>0</v>
      </c>
      <c r="DW131" s="37">
        <v>0</v>
      </c>
      <c r="DX131" s="37">
        <v>0</v>
      </c>
      <c r="DY131" s="37">
        <v>0</v>
      </c>
      <c r="DZ131" s="37">
        <v>0</v>
      </c>
      <c r="EA131" s="37">
        <v>0</v>
      </c>
      <c r="EB131" s="37">
        <v>0</v>
      </c>
      <c r="EC131" s="37">
        <v>0</v>
      </c>
      <c r="ED131" s="37">
        <v>0</v>
      </c>
      <c r="EE131" s="37">
        <v>0</v>
      </c>
      <c r="EF131" s="37">
        <v>0</v>
      </c>
      <c r="EG131" s="37">
        <v>0</v>
      </c>
      <c r="EH131" s="37">
        <v>0</v>
      </c>
      <c r="EI131" s="37">
        <v>0</v>
      </c>
      <c r="EJ131" s="37">
        <v>0</v>
      </c>
      <c r="EK131" s="161" t="s">
        <v>1646</v>
      </c>
      <c r="EL131" s="294" t="s">
        <v>1124</v>
      </c>
    </row>
    <row r="132" spans="1:142" ht="15" customHeight="1" x14ac:dyDescent="0.35">
      <c r="A132" s="34"/>
      <c r="B132" s="313">
        <v>98015</v>
      </c>
      <c r="C132" s="8" t="s">
        <v>1010</v>
      </c>
      <c r="D132" s="18">
        <v>9</v>
      </c>
      <c r="E132" s="155"/>
      <c r="F132" s="36"/>
      <c r="G132" s="37"/>
      <c r="H132" s="37"/>
      <c r="I132" s="37"/>
      <c r="J132" s="37"/>
      <c r="K132" s="37"/>
      <c r="L132" s="37"/>
      <c r="M132" s="37" t="s">
        <v>1124</v>
      </c>
      <c r="N132" s="37" t="s">
        <v>1124</v>
      </c>
      <c r="O132" s="37"/>
      <c r="P132" s="37"/>
      <c r="Q132" s="37"/>
      <c r="R132" s="37"/>
      <c r="S132" s="37"/>
      <c r="T132" s="37"/>
      <c r="U132" s="37"/>
      <c r="V132" s="37"/>
      <c r="W132" s="37"/>
      <c r="X132" s="37"/>
      <c r="Y132" s="37"/>
      <c r="Z132" s="37"/>
      <c r="AA132" s="37" t="s">
        <v>1124</v>
      </c>
      <c r="AB132" s="37" t="s">
        <v>1124</v>
      </c>
      <c r="AC132" s="37"/>
      <c r="AD132" s="37"/>
      <c r="AE132" s="37"/>
      <c r="AF132" s="168"/>
      <c r="AG132" s="37"/>
      <c r="AH132" s="37"/>
      <c r="AI132" s="37"/>
      <c r="AJ132" s="37"/>
      <c r="AK132" s="37"/>
      <c r="AL132" s="37"/>
      <c r="AM132" s="37"/>
      <c r="AN132" s="37"/>
      <c r="AO132" s="37"/>
      <c r="AP132" s="37"/>
      <c r="AQ132" s="37"/>
      <c r="AR132" s="37" t="s">
        <v>1124</v>
      </c>
      <c r="AS132" s="37"/>
      <c r="AT132" s="37"/>
      <c r="AU132" s="37"/>
      <c r="AV132" s="37"/>
      <c r="AW132" s="37"/>
      <c r="AX132" s="37"/>
      <c r="AY132" s="37"/>
      <c r="AZ132" s="37"/>
      <c r="BA132" s="37"/>
      <c r="BB132" s="37"/>
      <c r="BC132" s="37"/>
      <c r="BD132" s="37" t="s">
        <v>1124</v>
      </c>
      <c r="BE132" s="37"/>
      <c r="BF132" s="37"/>
      <c r="BG132" s="37"/>
      <c r="BH132" s="37"/>
      <c r="BI132" s="37"/>
      <c r="BJ132" s="37"/>
      <c r="BK132" s="37"/>
      <c r="BL132" s="37"/>
      <c r="BM132" s="37"/>
      <c r="BN132" s="37"/>
      <c r="BO132" s="37"/>
      <c r="BP132" s="37">
        <v>0</v>
      </c>
      <c r="BQ132" s="37"/>
      <c r="BR132" s="37"/>
      <c r="BS132" s="37"/>
      <c r="BT132" s="37"/>
      <c r="BU132" s="37"/>
      <c r="BV132" s="37"/>
      <c r="BW132" s="37"/>
      <c r="BX132" s="37"/>
      <c r="BY132" s="37"/>
      <c r="BZ132" s="37"/>
      <c r="CA132" s="37"/>
      <c r="CB132" s="37" t="s">
        <v>1124</v>
      </c>
      <c r="CC132" s="37"/>
      <c r="CD132" s="37"/>
      <c r="CE132" s="37"/>
      <c r="CF132" s="37"/>
      <c r="CG132" s="37"/>
      <c r="CH132" s="37"/>
      <c r="CI132" s="37"/>
      <c r="CJ132" s="37"/>
      <c r="CK132" s="37"/>
      <c r="CL132" s="37"/>
      <c r="CM132" s="37"/>
      <c r="CN132" s="37" t="s">
        <v>1124</v>
      </c>
      <c r="CO132" s="37"/>
      <c r="CP132" s="37"/>
      <c r="CQ132" s="37"/>
      <c r="CR132" s="37"/>
      <c r="CS132" s="37"/>
      <c r="CT132" s="37"/>
      <c r="CU132" s="37"/>
      <c r="CV132" s="37"/>
      <c r="CW132" s="37"/>
      <c r="CX132" s="37"/>
      <c r="CY132" s="37"/>
      <c r="CZ132" s="37" t="s">
        <v>1124</v>
      </c>
      <c r="DA132" s="37"/>
      <c r="DB132" s="37"/>
      <c r="DC132" s="37"/>
      <c r="DD132" s="37"/>
      <c r="DE132" s="37"/>
      <c r="DF132" s="37"/>
      <c r="DG132" s="37"/>
      <c r="DH132" s="37"/>
      <c r="DI132" s="37"/>
      <c r="DJ132" s="37"/>
      <c r="DK132" s="37"/>
      <c r="DL132" s="37" t="s">
        <v>1124</v>
      </c>
      <c r="DM132" s="37"/>
      <c r="DN132" s="37"/>
      <c r="DO132" s="37"/>
      <c r="DP132" s="37"/>
      <c r="DQ132" s="37"/>
      <c r="DR132" s="37"/>
      <c r="DS132" s="37"/>
      <c r="DT132" s="37"/>
      <c r="DU132" s="37"/>
      <c r="DV132" s="37"/>
      <c r="DW132" s="37"/>
      <c r="DX132" s="37" t="s">
        <v>1124</v>
      </c>
      <c r="DY132" s="37"/>
      <c r="DZ132" s="37"/>
      <c r="EA132" s="37"/>
      <c r="EB132" s="37"/>
      <c r="EC132" s="37"/>
      <c r="ED132" s="37"/>
      <c r="EE132" s="37"/>
      <c r="EF132" s="37"/>
      <c r="EG132" s="37"/>
      <c r="EH132" s="37"/>
      <c r="EI132" s="37"/>
      <c r="EJ132" s="37" t="s">
        <v>1124</v>
      </c>
      <c r="EK132" s="161"/>
      <c r="EL132" s="294"/>
    </row>
    <row r="133" spans="1:142" ht="15" customHeight="1" x14ac:dyDescent="0.35">
      <c r="A133" s="34"/>
      <c r="B133" s="313">
        <v>66058</v>
      </c>
      <c r="C133" s="8" t="s">
        <v>651</v>
      </c>
      <c r="D133" s="18">
        <v>6</v>
      </c>
      <c r="E133" s="155">
        <v>7551923.8466029</v>
      </c>
      <c r="F133" s="36">
        <v>1039321.2683942004</v>
      </c>
      <c r="G133" s="37">
        <v>271902.402</v>
      </c>
      <c r="H133" s="37">
        <v>124522.992</v>
      </c>
      <c r="I133" s="37">
        <v>1297608.2450389091</v>
      </c>
      <c r="J133" s="37">
        <v>246472.71</v>
      </c>
      <c r="K133" s="37">
        <v>1127822.9839999999</v>
      </c>
      <c r="L133" s="37">
        <v>151221.05900000001</v>
      </c>
      <c r="M133" s="37">
        <v>10249257.47764181</v>
      </c>
      <c r="N133" s="37">
        <v>1561538.0293942003</v>
      </c>
      <c r="O133" s="37">
        <v>4474.3395399999999</v>
      </c>
      <c r="P133" s="37">
        <v>50963.202620000004</v>
      </c>
      <c r="Q133" s="37">
        <v>3803464.9878542512</v>
      </c>
      <c r="R133" s="37">
        <v>0</v>
      </c>
      <c r="S133" s="37">
        <v>18768.52736</v>
      </c>
      <c r="T133" s="37">
        <v>6191.5039999999999</v>
      </c>
      <c r="U133" s="37">
        <v>3614.7375000000002</v>
      </c>
      <c r="V133" s="37">
        <v>0</v>
      </c>
      <c r="W133" s="37">
        <v>6539627.2915919488</v>
      </c>
      <c r="X133" s="37">
        <v>1575553.9348330989</v>
      </c>
      <c r="Y133" s="37">
        <v>0</v>
      </c>
      <c r="Z133" s="37">
        <v>0</v>
      </c>
      <c r="AA133" s="37">
        <v>10369949.883846199</v>
      </c>
      <c r="AB133" s="37">
        <v>1632708.641453099</v>
      </c>
      <c r="AC133" s="37">
        <v>191863</v>
      </c>
      <c r="AD133" s="37">
        <v>39339.519999999997</v>
      </c>
      <c r="AE133" s="37">
        <v>616600.47</v>
      </c>
      <c r="AF133" s="168">
        <v>0.02</v>
      </c>
      <c r="AG133" s="37">
        <v>426621698.69</v>
      </c>
      <c r="AH133" s="37">
        <v>3811119.61</v>
      </c>
      <c r="AI133" s="37">
        <v>3591808.63</v>
      </c>
      <c r="AJ133" s="37">
        <v>3540205.98</v>
      </c>
      <c r="AK133" s="37">
        <v>3746350.41</v>
      </c>
      <c r="AL133" s="37">
        <v>3850146.69</v>
      </c>
      <c r="AM133" s="37">
        <v>4239781.6500000004</v>
      </c>
      <c r="AN133" s="37">
        <v>4353867.59</v>
      </c>
      <c r="AO133" s="37">
        <v>4297670.96</v>
      </c>
      <c r="AP133" s="37">
        <v>4508398.78</v>
      </c>
      <c r="AQ133" s="37">
        <v>4600744.87</v>
      </c>
      <c r="AR133" s="37">
        <v>40540095.170000002</v>
      </c>
      <c r="AS133" s="37">
        <v>24972096.670000002</v>
      </c>
      <c r="AT133" s="37">
        <v>2190920.08</v>
      </c>
      <c r="AU133" s="37">
        <v>3151323.16</v>
      </c>
      <c r="AV133" s="37">
        <v>5936102.5</v>
      </c>
      <c r="AW133" s="37">
        <v>6408428.7000000002</v>
      </c>
      <c r="AX133" s="37">
        <v>2805052.54</v>
      </c>
      <c r="AY133" s="37">
        <v>6959587.5</v>
      </c>
      <c r="AZ133" s="37">
        <v>6722481.1699999999</v>
      </c>
      <c r="BA133" s="37">
        <v>6719183.7999999998</v>
      </c>
      <c r="BB133" s="37">
        <v>7077508.0899999999</v>
      </c>
      <c r="BC133" s="37">
        <v>6795354.2699999996</v>
      </c>
      <c r="BD133" s="37">
        <v>54765941.810000002</v>
      </c>
      <c r="BE133" s="37">
        <v>478902.56</v>
      </c>
      <c r="BF133" s="37">
        <v>628571.65999999992</v>
      </c>
      <c r="BG133" s="37">
        <v>485188.61182277539</v>
      </c>
      <c r="BH133" s="37">
        <v>587229.97677057749</v>
      </c>
      <c r="BI133" s="37">
        <v>292878.25600000005</v>
      </c>
      <c r="BJ133" s="37">
        <v>270805.65600000008</v>
      </c>
      <c r="BK133" s="37">
        <v>270805.65600000008</v>
      </c>
      <c r="BL133" s="37">
        <v>270805.65600000008</v>
      </c>
      <c r="BM133" s="37">
        <v>48028.86</v>
      </c>
      <c r="BN133" s="37">
        <v>0</v>
      </c>
      <c r="BO133" s="37">
        <v>0</v>
      </c>
      <c r="BP133" s="37">
        <v>2854314.3325933535</v>
      </c>
      <c r="BQ133" s="37">
        <v>1267651.77</v>
      </c>
      <c r="BR133" s="37">
        <v>1750706.43</v>
      </c>
      <c r="BS133" s="37">
        <v>2245680.9581772243</v>
      </c>
      <c r="BT133" s="37">
        <v>2000796.3432294226</v>
      </c>
      <c r="BU133" s="37">
        <v>2200752.7740000002</v>
      </c>
      <c r="BV133" s="37">
        <v>1939737.294</v>
      </c>
      <c r="BW133" s="37">
        <v>1958429.1540000001</v>
      </c>
      <c r="BX133" s="37">
        <v>2280256.0440000002</v>
      </c>
      <c r="BY133" s="37">
        <v>2902295.44</v>
      </c>
      <c r="BZ133" s="37">
        <v>2489649.58</v>
      </c>
      <c r="CA133" s="37">
        <v>2837279.06</v>
      </c>
      <c r="CB133" s="37">
        <v>22605583.077406649</v>
      </c>
      <c r="CC133" s="37">
        <v>205526.64</v>
      </c>
      <c r="CD133" s="37">
        <v>195999.1</v>
      </c>
      <c r="CE133" s="37">
        <v>230043.99</v>
      </c>
      <c r="CF133" s="37">
        <v>138554.46</v>
      </c>
      <c r="CG133" s="37">
        <v>131569.46</v>
      </c>
      <c r="CH133" s="37">
        <v>145539.46</v>
      </c>
      <c r="CI133" s="37">
        <v>152524.46</v>
      </c>
      <c r="CJ133" s="37">
        <v>152524.46</v>
      </c>
      <c r="CK133" s="37">
        <v>152524.46</v>
      </c>
      <c r="CL133" s="37">
        <v>152524.46</v>
      </c>
      <c r="CM133" s="37">
        <v>152524.46</v>
      </c>
      <c r="CN133" s="37">
        <v>1604328.77</v>
      </c>
      <c r="CO133" s="37">
        <v>375583.45</v>
      </c>
      <c r="CP133" s="37">
        <v>204953.87</v>
      </c>
      <c r="CQ133" s="37">
        <v>521709.65</v>
      </c>
      <c r="CR133" s="37">
        <v>1638853.6552299999</v>
      </c>
      <c r="CS133" s="37">
        <v>192227.20000000001</v>
      </c>
      <c r="CT133" s="37">
        <v>117348</v>
      </c>
      <c r="CU133" s="37">
        <v>162052</v>
      </c>
      <c r="CV133" s="37">
        <v>111760</v>
      </c>
      <c r="CW133" s="37">
        <v>0</v>
      </c>
      <c r="CX133" s="37">
        <v>0</v>
      </c>
      <c r="CY133" s="37">
        <v>0</v>
      </c>
      <c r="CZ133" s="37">
        <v>2948904.3752299999</v>
      </c>
      <c r="DA133" s="37">
        <v>983250.51</v>
      </c>
      <c r="DB133" s="37">
        <v>422396.92</v>
      </c>
      <c r="DC133" s="37">
        <v>423528.49</v>
      </c>
      <c r="DD133" s="37">
        <v>1824099.79477</v>
      </c>
      <c r="DE133" s="37">
        <v>3249883.01</v>
      </c>
      <c r="DF133" s="37">
        <v>243804.44</v>
      </c>
      <c r="DG133" s="37">
        <v>457321.92</v>
      </c>
      <c r="DH133" s="37">
        <v>178788.06</v>
      </c>
      <c r="DI133" s="37">
        <v>150093.68</v>
      </c>
      <c r="DJ133" s="37">
        <v>338898.23</v>
      </c>
      <c r="DK133" s="37">
        <v>0</v>
      </c>
      <c r="DL133" s="37">
        <v>7288814.5447700005</v>
      </c>
      <c r="DM133" s="37">
        <v>90693.24</v>
      </c>
      <c r="DN133" s="37">
        <v>79223.87</v>
      </c>
      <c r="DO133" s="37">
        <v>2696.21</v>
      </c>
      <c r="DP133" s="37">
        <v>0</v>
      </c>
      <c r="DQ133" s="37">
        <v>0</v>
      </c>
      <c r="DR133" s="37">
        <v>0</v>
      </c>
      <c r="DS133" s="37">
        <v>0</v>
      </c>
      <c r="DT133" s="37">
        <v>0</v>
      </c>
      <c r="DU133" s="37">
        <v>0</v>
      </c>
      <c r="DV133" s="37">
        <v>0</v>
      </c>
      <c r="DW133" s="37">
        <v>0</v>
      </c>
      <c r="DX133" s="37">
        <v>81920.08</v>
      </c>
      <c r="DY133" s="37">
        <v>0</v>
      </c>
      <c r="DZ133" s="37">
        <v>0</v>
      </c>
      <c r="EA133" s="37">
        <v>0</v>
      </c>
      <c r="EB133" s="37">
        <v>0</v>
      </c>
      <c r="EC133" s="37">
        <v>0</v>
      </c>
      <c r="ED133" s="37">
        <v>0</v>
      </c>
      <c r="EE133" s="37">
        <v>0</v>
      </c>
      <c r="EF133" s="37">
        <v>0</v>
      </c>
      <c r="EG133" s="37">
        <v>0</v>
      </c>
      <c r="EH133" s="37">
        <v>0</v>
      </c>
      <c r="EI133" s="37">
        <v>0</v>
      </c>
      <c r="EJ133" s="37">
        <v>0</v>
      </c>
      <c r="EK133" s="161" t="s">
        <v>1651</v>
      </c>
      <c r="EL133" s="294" t="s">
        <v>1124</v>
      </c>
    </row>
    <row r="134" spans="1:142" ht="15" customHeight="1" x14ac:dyDescent="0.35">
      <c r="A134" s="34"/>
      <c r="B134" s="313">
        <v>30090</v>
      </c>
      <c r="C134" s="8" t="s">
        <v>232</v>
      </c>
      <c r="D134" s="18">
        <v>5</v>
      </c>
      <c r="E134" s="155">
        <v>70105</v>
      </c>
      <c r="F134" s="36">
        <v>32479</v>
      </c>
      <c r="G134" s="37">
        <v>195</v>
      </c>
      <c r="H134" s="37">
        <v>0</v>
      </c>
      <c r="I134" s="37">
        <v>0</v>
      </c>
      <c r="J134" s="37">
        <v>0</v>
      </c>
      <c r="K134" s="37">
        <v>7010.5</v>
      </c>
      <c r="L134" s="37">
        <v>3247.9</v>
      </c>
      <c r="M134" s="37">
        <v>77310.5</v>
      </c>
      <c r="N134" s="37">
        <v>35726.9</v>
      </c>
      <c r="O134" s="37">
        <v>32665.78</v>
      </c>
      <c r="P134" s="37">
        <v>0</v>
      </c>
      <c r="Q134" s="37">
        <v>41992.5</v>
      </c>
      <c r="R134" s="37">
        <v>41992.5</v>
      </c>
      <c r="S134" s="37">
        <v>4500</v>
      </c>
      <c r="T134" s="37">
        <v>0</v>
      </c>
      <c r="U134" s="37">
        <v>0</v>
      </c>
      <c r="V134" s="37">
        <v>0</v>
      </c>
      <c r="W134" s="37">
        <v>0</v>
      </c>
      <c r="X134" s="37">
        <v>0</v>
      </c>
      <c r="Y134" s="37">
        <v>0</v>
      </c>
      <c r="Z134" s="37">
        <v>5000</v>
      </c>
      <c r="AA134" s="37">
        <v>79158.28</v>
      </c>
      <c r="AB134" s="37">
        <v>46992.5</v>
      </c>
      <c r="AC134" s="37">
        <v>13113.380000000005</v>
      </c>
      <c r="AD134" s="37">
        <v>5000</v>
      </c>
      <c r="AE134" s="37">
        <v>60000</v>
      </c>
      <c r="AF134" s="168">
        <v>0.02</v>
      </c>
      <c r="AG134" s="37">
        <v>13369454.550000001</v>
      </c>
      <c r="AH134" s="37">
        <v>118560.88</v>
      </c>
      <c r="AI134" s="37">
        <v>120932.09</v>
      </c>
      <c r="AJ134" s="37">
        <v>123350.73</v>
      </c>
      <c r="AK134" s="37">
        <v>125817.75</v>
      </c>
      <c r="AL134" s="37">
        <v>128334.1</v>
      </c>
      <c r="AM134" s="37">
        <v>130900.79</v>
      </c>
      <c r="AN134" s="37">
        <v>133518.79999999999</v>
      </c>
      <c r="AO134" s="37">
        <v>136189.18</v>
      </c>
      <c r="AP134" s="37">
        <v>138912.95999999999</v>
      </c>
      <c r="AQ134" s="37">
        <v>141691.22</v>
      </c>
      <c r="AR134" s="37">
        <v>1298208.5</v>
      </c>
      <c r="AS134" s="37">
        <v>864890.64</v>
      </c>
      <c r="AT134" s="37">
        <v>0</v>
      </c>
      <c r="AU134" s="37">
        <v>0</v>
      </c>
      <c r="AV134" s="37">
        <v>0</v>
      </c>
      <c r="AW134" s="37">
        <v>0</v>
      </c>
      <c r="AX134" s="37">
        <v>0</v>
      </c>
      <c r="AY134" s="37">
        <v>0</v>
      </c>
      <c r="AZ134" s="37">
        <v>0</v>
      </c>
      <c r="BA134" s="37">
        <v>0</v>
      </c>
      <c r="BB134" s="37">
        <v>0</v>
      </c>
      <c r="BC134" s="37">
        <v>0</v>
      </c>
      <c r="BD134" s="37">
        <v>0</v>
      </c>
      <c r="BE134" s="37">
        <v>0</v>
      </c>
      <c r="BF134" s="37">
        <v>519224</v>
      </c>
      <c r="BG134" s="37">
        <v>0</v>
      </c>
      <c r="BH134" s="37">
        <v>0</v>
      </c>
      <c r="BI134" s="37">
        <v>0</v>
      </c>
      <c r="BJ134" s="37">
        <v>0</v>
      </c>
      <c r="BK134" s="37">
        <v>0</v>
      </c>
      <c r="BL134" s="37">
        <v>0</v>
      </c>
      <c r="BM134" s="37">
        <v>0</v>
      </c>
      <c r="BN134" s="37">
        <v>0</v>
      </c>
      <c r="BO134" s="37">
        <v>0</v>
      </c>
      <c r="BP134" s="37">
        <v>519224</v>
      </c>
      <c r="BQ134" s="37">
        <v>0</v>
      </c>
      <c r="BR134" s="37">
        <v>129808</v>
      </c>
      <c r="BS134" s="37">
        <v>0</v>
      </c>
      <c r="BT134" s="37">
        <v>0</v>
      </c>
      <c r="BU134" s="37">
        <v>0</v>
      </c>
      <c r="BV134" s="37">
        <v>0</v>
      </c>
      <c r="BW134" s="37">
        <v>0</v>
      </c>
      <c r="BX134" s="37">
        <v>0</v>
      </c>
      <c r="BY134" s="37">
        <v>0</v>
      </c>
      <c r="BZ134" s="37">
        <v>0</v>
      </c>
      <c r="CA134" s="37">
        <v>0</v>
      </c>
      <c r="CB134" s="37">
        <v>129808</v>
      </c>
      <c r="CC134" s="37">
        <v>0</v>
      </c>
      <c r="CD134" s="37">
        <v>0</v>
      </c>
      <c r="CE134" s="37">
        <v>0</v>
      </c>
      <c r="CF134" s="37">
        <v>0</v>
      </c>
      <c r="CG134" s="37">
        <v>0</v>
      </c>
      <c r="CH134" s="37">
        <v>0</v>
      </c>
      <c r="CI134" s="37">
        <v>0</v>
      </c>
      <c r="CJ134" s="37">
        <v>0</v>
      </c>
      <c r="CK134" s="37">
        <v>0</v>
      </c>
      <c r="CL134" s="37">
        <v>0</v>
      </c>
      <c r="CM134" s="37">
        <v>0</v>
      </c>
      <c r="CN134" s="37">
        <v>0</v>
      </c>
      <c r="CO134" s="37">
        <v>0</v>
      </c>
      <c r="CP134" s="37">
        <v>0</v>
      </c>
      <c r="CQ134" s="37">
        <v>0</v>
      </c>
      <c r="CR134" s="37">
        <v>0</v>
      </c>
      <c r="CS134" s="37">
        <v>0</v>
      </c>
      <c r="CT134" s="37">
        <v>0</v>
      </c>
      <c r="CU134" s="37">
        <v>0</v>
      </c>
      <c r="CV134" s="37">
        <v>0</v>
      </c>
      <c r="CW134" s="37">
        <v>0</v>
      </c>
      <c r="CX134" s="37">
        <v>0</v>
      </c>
      <c r="CY134" s="37">
        <v>0</v>
      </c>
      <c r="CZ134" s="37">
        <v>0</v>
      </c>
      <c r="DA134" s="37">
        <v>0</v>
      </c>
      <c r="DB134" s="37">
        <v>0</v>
      </c>
      <c r="DC134" s="37">
        <v>0</v>
      </c>
      <c r="DD134" s="37">
        <v>0</v>
      </c>
      <c r="DE134" s="37">
        <v>0</v>
      </c>
      <c r="DF134" s="37">
        <v>0</v>
      </c>
      <c r="DG134" s="37">
        <v>0</v>
      </c>
      <c r="DH134" s="37">
        <v>0</v>
      </c>
      <c r="DI134" s="37">
        <v>0</v>
      </c>
      <c r="DJ134" s="37">
        <v>0</v>
      </c>
      <c r="DK134" s="37">
        <v>0</v>
      </c>
      <c r="DL134" s="37">
        <v>0</v>
      </c>
      <c r="DM134" s="37">
        <v>271413</v>
      </c>
      <c r="DN134" s="37">
        <v>0</v>
      </c>
      <c r="DO134" s="37">
        <v>0</v>
      </c>
      <c r="DP134" s="37">
        <v>0</v>
      </c>
      <c r="DQ134" s="37">
        <v>0</v>
      </c>
      <c r="DR134" s="37">
        <v>0</v>
      </c>
      <c r="DS134" s="37">
        <v>0</v>
      </c>
      <c r="DT134" s="37">
        <v>0</v>
      </c>
      <c r="DU134" s="37">
        <v>0</v>
      </c>
      <c r="DV134" s="37">
        <v>0</v>
      </c>
      <c r="DW134" s="37">
        <v>0</v>
      </c>
      <c r="DX134" s="37">
        <v>0</v>
      </c>
      <c r="DY134" s="37">
        <v>0</v>
      </c>
      <c r="DZ134" s="37">
        <v>0</v>
      </c>
      <c r="EA134" s="37">
        <v>0</v>
      </c>
      <c r="EB134" s="37">
        <v>0</v>
      </c>
      <c r="EC134" s="37">
        <v>0</v>
      </c>
      <c r="ED134" s="37">
        <v>0</v>
      </c>
      <c r="EE134" s="37">
        <v>0</v>
      </c>
      <c r="EF134" s="37">
        <v>0</v>
      </c>
      <c r="EG134" s="37">
        <v>0</v>
      </c>
      <c r="EH134" s="37">
        <v>0</v>
      </c>
      <c r="EI134" s="37">
        <v>0</v>
      </c>
      <c r="EJ134" s="37">
        <v>0</v>
      </c>
      <c r="EK134" s="161" t="s">
        <v>1655</v>
      </c>
      <c r="EL134" s="294" t="s">
        <v>1124</v>
      </c>
    </row>
    <row r="135" spans="1:142" ht="15" customHeight="1" x14ac:dyDescent="0.35">
      <c r="A135" s="34"/>
      <c r="B135" s="313">
        <v>46080</v>
      </c>
      <c r="C135" s="8" t="s">
        <v>441</v>
      </c>
      <c r="D135" s="18">
        <v>5</v>
      </c>
      <c r="E135" s="155">
        <v>1183936</v>
      </c>
      <c r="F135" s="36">
        <v>759194</v>
      </c>
      <c r="G135" s="37">
        <v>153603.21</v>
      </c>
      <c r="H135" s="37">
        <v>185693</v>
      </c>
      <c r="I135" s="37">
        <v>328776</v>
      </c>
      <c r="J135" s="37">
        <v>298085</v>
      </c>
      <c r="K135" s="37">
        <v>177590.39999999999</v>
      </c>
      <c r="L135" s="37">
        <v>113879.09999999999</v>
      </c>
      <c r="M135" s="37">
        <v>1843905.6099999999</v>
      </c>
      <c r="N135" s="37">
        <v>1356851.1</v>
      </c>
      <c r="O135" s="37">
        <v>139442</v>
      </c>
      <c r="P135" s="37">
        <v>43673</v>
      </c>
      <c r="Q135" s="37">
        <v>1295903</v>
      </c>
      <c r="R135" s="37">
        <v>959937</v>
      </c>
      <c r="S135" s="37">
        <v>13918</v>
      </c>
      <c r="T135" s="37">
        <v>8500</v>
      </c>
      <c r="U135" s="37">
        <v>28537</v>
      </c>
      <c r="V135" s="37">
        <v>48796</v>
      </c>
      <c r="W135" s="37">
        <v>366106</v>
      </c>
      <c r="X135" s="37">
        <v>295945</v>
      </c>
      <c r="Y135" s="37">
        <v>0</v>
      </c>
      <c r="Z135" s="37">
        <v>0</v>
      </c>
      <c r="AA135" s="37">
        <v>1843906</v>
      </c>
      <c r="AB135" s="37">
        <v>1356851</v>
      </c>
      <c r="AC135" s="37">
        <v>0</v>
      </c>
      <c r="AD135" s="37">
        <v>0</v>
      </c>
      <c r="AE135" s="37">
        <v>0</v>
      </c>
      <c r="AF135" s="168">
        <v>0.02</v>
      </c>
      <c r="AG135" s="37">
        <v>185180603.90000001</v>
      </c>
      <c r="AH135" s="37">
        <v>1435661.21</v>
      </c>
      <c r="AI135" s="37">
        <v>1464374.44</v>
      </c>
      <c r="AJ135" s="37">
        <v>1493661.93</v>
      </c>
      <c r="AK135" s="37">
        <v>1523535.16</v>
      </c>
      <c r="AL135" s="37">
        <v>1554005.87</v>
      </c>
      <c r="AM135" s="37">
        <v>1585085.98</v>
      </c>
      <c r="AN135" s="37">
        <v>1616787.7</v>
      </c>
      <c r="AO135" s="37">
        <v>1649123.46</v>
      </c>
      <c r="AP135" s="37">
        <v>1682105.93</v>
      </c>
      <c r="AQ135" s="37">
        <v>1715748.05</v>
      </c>
      <c r="AR135" s="37">
        <v>15720089.73</v>
      </c>
      <c r="AS135" s="37">
        <v>6709725.2400000002</v>
      </c>
      <c r="AT135" s="37">
        <v>416160</v>
      </c>
      <c r="AU135" s="37">
        <v>424483.2</v>
      </c>
      <c r="AV135" s="37">
        <v>0</v>
      </c>
      <c r="AW135" s="37">
        <v>0</v>
      </c>
      <c r="AX135" s="37">
        <v>0</v>
      </c>
      <c r="AY135" s="37">
        <v>0</v>
      </c>
      <c r="AZ135" s="37">
        <v>0</v>
      </c>
      <c r="BA135" s="37">
        <v>0</v>
      </c>
      <c r="BB135" s="37">
        <v>0</v>
      </c>
      <c r="BC135" s="37">
        <v>0</v>
      </c>
      <c r="BD135" s="37">
        <v>840643.2</v>
      </c>
      <c r="BE135" s="37">
        <v>0</v>
      </c>
      <c r="BF135" s="37">
        <v>5120502</v>
      </c>
      <c r="BG135" s="37">
        <v>0</v>
      </c>
      <c r="BH135" s="37">
        <v>0</v>
      </c>
      <c r="BI135" s="37">
        <v>0</v>
      </c>
      <c r="BJ135" s="37">
        <v>0</v>
      </c>
      <c r="BK135" s="37">
        <v>0</v>
      </c>
      <c r="BL135" s="37">
        <v>0</v>
      </c>
      <c r="BM135" s="37">
        <v>0</v>
      </c>
      <c r="BN135" s="37">
        <v>0</v>
      </c>
      <c r="BO135" s="37">
        <v>0</v>
      </c>
      <c r="BP135" s="37">
        <v>5120502</v>
      </c>
      <c r="BQ135" s="37">
        <v>1000000</v>
      </c>
      <c r="BR135" s="37">
        <v>1000000</v>
      </c>
      <c r="BS135" s="37">
        <v>1000000</v>
      </c>
      <c r="BT135" s="37">
        <v>500000</v>
      </c>
      <c r="BU135" s="37">
        <v>500000</v>
      </c>
      <c r="BV135" s="37">
        <v>500000</v>
      </c>
      <c r="BW135" s="37">
        <v>500000</v>
      </c>
      <c r="BX135" s="37">
        <v>500000</v>
      </c>
      <c r="BY135" s="37">
        <v>500000</v>
      </c>
      <c r="BZ135" s="37">
        <v>500000</v>
      </c>
      <c r="CA135" s="37">
        <v>500000</v>
      </c>
      <c r="CB135" s="37">
        <v>6000000</v>
      </c>
      <c r="CC135" s="37">
        <v>50000</v>
      </c>
      <c r="CD135" s="37">
        <v>50000</v>
      </c>
      <c r="CE135" s="37">
        <v>50000</v>
      </c>
      <c r="CF135" s="37">
        <v>50000</v>
      </c>
      <c r="CG135" s="37">
        <v>50000</v>
      </c>
      <c r="CH135" s="37">
        <v>50000</v>
      </c>
      <c r="CI135" s="37">
        <v>50000</v>
      </c>
      <c r="CJ135" s="37">
        <v>50000</v>
      </c>
      <c r="CK135" s="37">
        <v>50000</v>
      </c>
      <c r="CL135" s="37">
        <v>50000</v>
      </c>
      <c r="CM135" s="37">
        <v>50000</v>
      </c>
      <c r="CN135" s="37">
        <v>500000</v>
      </c>
      <c r="CO135" s="37">
        <v>0</v>
      </c>
      <c r="CP135" s="37">
        <v>0</v>
      </c>
      <c r="CQ135" s="37">
        <v>0</v>
      </c>
      <c r="CR135" s="37">
        <v>0</v>
      </c>
      <c r="CS135" s="37">
        <v>0</v>
      </c>
      <c r="CT135" s="37">
        <v>0</v>
      </c>
      <c r="CU135" s="37">
        <v>0</v>
      </c>
      <c r="CV135" s="37">
        <v>0</v>
      </c>
      <c r="CW135" s="37">
        <v>0</v>
      </c>
      <c r="CX135" s="37">
        <v>0</v>
      </c>
      <c r="CY135" s="37">
        <v>0</v>
      </c>
      <c r="CZ135" s="37">
        <v>0</v>
      </c>
      <c r="DA135" s="37">
        <v>0</v>
      </c>
      <c r="DB135" s="37">
        <v>0</v>
      </c>
      <c r="DC135" s="37">
        <v>0</v>
      </c>
      <c r="DD135" s="37">
        <v>0</v>
      </c>
      <c r="DE135" s="37">
        <v>0</v>
      </c>
      <c r="DF135" s="37">
        <v>0</v>
      </c>
      <c r="DG135" s="37">
        <v>0</v>
      </c>
      <c r="DH135" s="37">
        <v>0</v>
      </c>
      <c r="DI135" s="37">
        <v>0</v>
      </c>
      <c r="DJ135" s="37">
        <v>0</v>
      </c>
      <c r="DK135" s="37">
        <v>0</v>
      </c>
      <c r="DL135" s="37">
        <v>0</v>
      </c>
      <c r="DM135" s="37">
        <v>0</v>
      </c>
      <c r="DN135" s="37">
        <v>0</v>
      </c>
      <c r="DO135" s="37">
        <v>0</v>
      </c>
      <c r="DP135" s="37">
        <v>0</v>
      </c>
      <c r="DQ135" s="37">
        <v>0</v>
      </c>
      <c r="DR135" s="37">
        <v>0</v>
      </c>
      <c r="DS135" s="37">
        <v>0</v>
      </c>
      <c r="DT135" s="37">
        <v>0</v>
      </c>
      <c r="DU135" s="37">
        <v>0</v>
      </c>
      <c r="DV135" s="37">
        <v>0</v>
      </c>
      <c r="DW135" s="37">
        <v>0</v>
      </c>
      <c r="DX135" s="37">
        <v>0</v>
      </c>
      <c r="DY135" s="37">
        <v>0</v>
      </c>
      <c r="DZ135" s="37">
        <v>0</v>
      </c>
      <c r="EA135" s="37">
        <v>0</v>
      </c>
      <c r="EB135" s="37">
        <v>0</v>
      </c>
      <c r="EC135" s="37">
        <v>0</v>
      </c>
      <c r="ED135" s="37">
        <v>0</v>
      </c>
      <c r="EE135" s="37">
        <v>0</v>
      </c>
      <c r="EF135" s="37">
        <v>0</v>
      </c>
      <c r="EG135" s="37">
        <v>0</v>
      </c>
      <c r="EH135" s="37">
        <v>0</v>
      </c>
      <c r="EI135" s="37">
        <v>0</v>
      </c>
      <c r="EJ135" s="37">
        <v>0</v>
      </c>
      <c r="EK135" s="161" t="s">
        <v>1124</v>
      </c>
      <c r="EL135" s="294" t="s">
        <v>1658</v>
      </c>
    </row>
    <row r="136" spans="1:142" ht="15" customHeight="1" x14ac:dyDescent="0.35">
      <c r="A136" s="34"/>
      <c r="B136" s="313">
        <v>61013</v>
      </c>
      <c r="C136" s="8" t="s">
        <v>610</v>
      </c>
      <c r="D136" s="18">
        <v>14</v>
      </c>
      <c r="E136" s="155">
        <v>342994</v>
      </c>
      <c r="F136" s="36">
        <v>205651</v>
      </c>
      <c r="G136" s="37">
        <v>9886</v>
      </c>
      <c r="H136" s="37">
        <v>123911</v>
      </c>
      <c r="I136" s="37">
        <v>53700</v>
      </c>
      <c r="J136" s="37">
        <v>423070</v>
      </c>
      <c r="K136" s="37">
        <v>51449.1</v>
      </c>
      <c r="L136" s="37">
        <v>30847.649999999998</v>
      </c>
      <c r="M136" s="37">
        <v>458029.1</v>
      </c>
      <c r="N136" s="37">
        <v>783479.65</v>
      </c>
      <c r="O136" s="37">
        <v>105899</v>
      </c>
      <c r="P136" s="37">
        <v>0</v>
      </c>
      <c r="Q136" s="37">
        <v>297617</v>
      </c>
      <c r="R136" s="37">
        <v>36033</v>
      </c>
      <c r="S136" s="37">
        <v>23070</v>
      </c>
      <c r="T136" s="37">
        <v>0</v>
      </c>
      <c r="U136" s="37">
        <v>55866</v>
      </c>
      <c r="V136" s="37">
        <v>0</v>
      </c>
      <c r="W136" s="37">
        <v>0</v>
      </c>
      <c r="X136" s="37">
        <v>723024</v>
      </c>
      <c r="Y136" s="37">
        <v>0</v>
      </c>
      <c r="Z136" s="37">
        <v>0</v>
      </c>
      <c r="AA136" s="37">
        <v>482452</v>
      </c>
      <c r="AB136" s="37">
        <v>759057</v>
      </c>
      <c r="AC136" s="37">
        <v>0.25</v>
      </c>
      <c r="AD136" s="37">
        <v>0</v>
      </c>
      <c r="AE136" s="37">
        <v>0</v>
      </c>
      <c r="AF136" s="168">
        <v>0.02</v>
      </c>
      <c r="AG136" s="37">
        <v>41084023.399999999</v>
      </c>
      <c r="AH136" s="37">
        <v>322991.05</v>
      </c>
      <c r="AI136" s="37">
        <v>1504836.53</v>
      </c>
      <c r="AJ136" s="37">
        <v>82532.149999999994</v>
      </c>
      <c r="AK136" s="37">
        <v>84182.79</v>
      </c>
      <c r="AL136" s="37">
        <v>301039.65000000002</v>
      </c>
      <c r="AM136" s="37">
        <v>378830.16</v>
      </c>
      <c r="AN136" s="37">
        <v>415046.42</v>
      </c>
      <c r="AO136" s="37">
        <v>396457.77</v>
      </c>
      <c r="AP136" s="37">
        <v>392196.98</v>
      </c>
      <c r="AQ136" s="37">
        <v>364118.02</v>
      </c>
      <c r="AR136" s="37">
        <v>4242231.5199999996</v>
      </c>
      <c r="AS136" s="37">
        <v>690917.4</v>
      </c>
      <c r="AT136" s="37">
        <v>0</v>
      </c>
      <c r="AU136" s="37">
        <v>0</v>
      </c>
      <c r="AV136" s="37">
        <v>0</v>
      </c>
      <c r="AW136" s="37">
        <v>0</v>
      </c>
      <c r="AX136" s="37">
        <v>0</v>
      </c>
      <c r="AY136" s="37">
        <v>0</v>
      </c>
      <c r="AZ136" s="37">
        <v>0</v>
      </c>
      <c r="BA136" s="37">
        <v>0</v>
      </c>
      <c r="BB136" s="37">
        <v>0</v>
      </c>
      <c r="BC136" s="37">
        <v>0</v>
      </c>
      <c r="BD136" s="37">
        <v>0</v>
      </c>
      <c r="BE136" s="37">
        <v>0</v>
      </c>
      <c r="BF136" s="37">
        <v>0</v>
      </c>
      <c r="BG136" s="37">
        <v>1198553</v>
      </c>
      <c r="BH136" s="37">
        <v>148995</v>
      </c>
      <c r="BI136" s="37">
        <v>0</v>
      </c>
      <c r="BJ136" s="37">
        <v>0</v>
      </c>
      <c r="BK136" s="37">
        <v>0</v>
      </c>
      <c r="BL136" s="37">
        <v>0</v>
      </c>
      <c r="BM136" s="37">
        <v>0</v>
      </c>
      <c r="BN136" s="37">
        <v>0</v>
      </c>
      <c r="BO136" s="37">
        <v>0</v>
      </c>
      <c r="BP136" s="37">
        <v>1347548</v>
      </c>
      <c r="BQ136" s="37">
        <v>0</v>
      </c>
      <c r="BR136" s="37">
        <v>0</v>
      </c>
      <c r="BS136" s="37">
        <v>615203</v>
      </c>
      <c r="BT136" s="37">
        <v>37249</v>
      </c>
      <c r="BU136" s="37">
        <v>0</v>
      </c>
      <c r="BV136" s="37">
        <v>0</v>
      </c>
      <c r="BW136" s="37">
        <v>0</v>
      </c>
      <c r="BX136" s="37">
        <v>0</v>
      </c>
      <c r="BY136" s="37">
        <v>0</v>
      </c>
      <c r="BZ136" s="37">
        <v>0</v>
      </c>
      <c r="CA136" s="37">
        <v>0</v>
      </c>
      <c r="CB136" s="37">
        <v>652452</v>
      </c>
      <c r="CC136" s="37">
        <v>0</v>
      </c>
      <c r="CD136" s="37">
        <v>0</v>
      </c>
      <c r="CE136" s="37">
        <v>0</v>
      </c>
      <c r="CF136" s="37">
        <v>0</v>
      </c>
      <c r="CG136" s="37">
        <v>0</v>
      </c>
      <c r="CH136" s="37">
        <v>0</v>
      </c>
      <c r="CI136" s="37">
        <v>0</v>
      </c>
      <c r="CJ136" s="37">
        <v>0</v>
      </c>
      <c r="CK136" s="37">
        <v>0</v>
      </c>
      <c r="CL136" s="37">
        <v>0</v>
      </c>
      <c r="CM136" s="37">
        <v>0</v>
      </c>
      <c r="CN136" s="37">
        <v>0</v>
      </c>
      <c r="CO136" s="37">
        <v>0</v>
      </c>
      <c r="CP136" s="37">
        <v>0</v>
      </c>
      <c r="CQ136" s="37">
        <v>0</v>
      </c>
      <c r="CR136" s="37">
        <v>0</v>
      </c>
      <c r="CS136" s="37">
        <v>0</v>
      </c>
      <c r="CT136" s="37">
        <v>0</v>
      </c>
      <c r="CU136" s="37">
        <v>0</v>
      </c>
      <c r="CV136" s="37">
        <v>0</v>
      </c>
      <c r="CW136" s="37">
        <v>0</v>
      </c>
      <c r="CX136" s="37">
        <v>0</v>
      </c>
      <c r="CY136" s="37">
        <v>0</v>
      </c>
      <c r="CZ136" s="37">
        <v>0</v>
      </c>
      <c r="DA136" s="37">
        <v>0</v>
      </c>
      <c r="DB136" s="37">
        <v>0</v>
      </c>
      <c r="DC136" s="37">
        <v>0</v>
      </c>
      <c r="DD136" s="37">
        <v>0</v>
      </c>
      <c r="DE136" s="37">
        <v>0</v>
      </c>
      <c r="DF136" s="37">
        <v>0</v>
      </c>
      <c r="DG136" s="37">
        <v>0</v>
      </c>
      <c r="DH136" s="37">
        <v>0</v>
      </c>
      <c r="DI136" s="37">
        <v>0</v>
      </c>
      <c r="DJ136" s="37">
        <v>0</v>
      </c>
      <c r="DK136" s="37">
        <v>0</v>
      </c>
      <c r="DL136" s="37">
        <v>0</v>
      </c>
      <c r="DM136" s="37">
        <v>0</v>
      </c>
      <c r="DN136" s="37">
        <v>0</v>
      </c>
      <c r="DO136" s="37">
        <v>0</v>
      </c>
      <c r="DP136" s="37">
        <v>0</v>
      </c>
      <c r="DQ136" s="37">
        <v>0</v>
      </c>
      <c r="DR136" s="37">
        <v>0</v>
      </c>
      <c r="DS136" s="37">
        <v>0</v>
      </c>
      <c r="DT136" s="37">
        <v>0</v>
      </c>
      <c r="DU136" s="37">
        <v>0</v>
      </c>
      <c r="DV136" s="37">
        <v>0</v>
      </c>
      <c r="DW136" s="37">
        <v>0</v>
      </c>
      <c r="DX136" s="37">
        <v>0</v>
      </c>
      <c r="DY136" s="37">
        <v>0</v>
      </c>
      <c r="DZ136" s="37">
        <v>0</v>
      </c>
      <c r="EA136" s="37">
        <v>0</v>
      </c>
      <c r="EB136" s="37">
        <v>0</v>
      </c>
      <c r="EC136" s="37">
        <v>0</v>
      </c>
      <c r="ED136" s="37">
        <v>0</v>
      </c>
      <c r="EE136" s="37">
        <v>0</v>
      </c>
      <c r="EF136" s="37">
        <v>0</v>
      </c>
      <c r="EG136" s="37">
        <v>0</v>
      </c>
      <c r="EH136" s="37">
        <v>0</v>
      </c>
      <c r="EI136" s="37">
        <v>0</v>
      </c>
      <c r="EJ136" s="37">
        <v>0</v>
      </c>
      <c r="EK136" s="161" t="s">
        <v>1661</v>
      </c>
      <c r="EL136" s="294" t="s">
        <v>1124</v>
      </c>
    </row>
    <row r="137" spans="1:142" ht="15" customHeight="1" x14ac:dyDescent="0.35">
      <c r="A137" s="34"/>
      <c r="B137" s="313">
        <v>40047</v>
      </c>
      <c r="C137" s="8" t="s">
        <v>364</v>
      </c>
      <c r="D137" s="18">
        <v>5</v>
      </c>
      <c r="E137" s="155"/>
      <c r="F137" s="36"/>
      <c r="G137" s="37"/>
      <c r="H137" s="37"/>
      <c r="I137" s="37"/>
      <c r="J137" s="37"/>
      <c r="K137" s="37"/>
      <c r="L137" s="37"/>
      <c r="M137" s="37" t="s">
        <v>1124</v>
      </c>
      <c r="N137" s="37" t="s">
        <v>1124</v>
      </c>
      <c r="O137" s="37"/>
      <c r="P137" s="37"/>
      <c r="Q137" s="37"/>
      <c r="R137" s="37"/>
      <c r="S137" s="37"/>
      <c r="T137" s="37"/>
      <c r="U137" s="37"/>
      <c r="V137" s="37"/>
      <c r="W137" s="37"/>
      <c r="X137" s="37"/>
      <c r="Y137" s="37"/>
      <c r="Z137" s="37"/>
      <c r="AA137" s="37" t="s">
        <v>1124</v>
      </c>
      <c r="AB137" s="37" t="s">
        <v>1124</v>
      </c>
      <c r="AC137" s="37"/>
      <c r="AD137" s="37"/>
      <c r="AE137" s="37"/>
      <c r="AF137" s="168"/>
      <c r="AG137" s="37"/>
      <c r="AH137" s="37"/>
      <c r="AI137" s="37"/>
      <c r="AJ137" s="37"/>
      <c r="AK137" s="37"/>
      <c r="AL137" s="37"/>
      <c r="AM137" s="37"/>
      <c r="AN137" s="37"/>
      <c r="AO137" s="37"/>
      <c r="AP137" s="37"/>
      <c r="AQ137" s="37"/>
      <c r="AR137" s="37" t="s">
        <v>1124</v>
      </c>
      <c r="AS137" s="37"/>
      <c r="AT137" s="37"/>
      <c r="AU137" s="37"/>
      <c r="AV137" s="37"/>
      <c r="AW137" s="37"/>
      <c r="AX137" s="37"/>
      <c r="AY137" s="37"/>
      <c r="AZ137" s="37"/>
      <c r="BA137" s="37"/>
      <c r="BB137" s="37"/>
      <c r="BC137" s="37"/>
      <c r="BD137" s="37" t="s">
        <v>1124</v>
      </c>
      <c r="BE137" s="37"/>
      <c r="BF137" s="37"/>
      <c r="BG137" s="37"/>
      <c r="BH137" s="37"/>
      <c r="BI137" s="37"/>
      <c r="BJ137" s="37"/>
      <c r="BK137" s="37"/>
      <c r="BL137" s="37"/>
      <c r="BM137" s="37"/>
      <c r="BN137" s="37"/>
      <c r="BO137" s="37"/>
      <c r="BP137" s="37">
        <v>0</v>
      </c>
      <c r="BQ137" s="37"/>
      <c r="BR137" s="37"/>
      <c r="BS137" s="37"/>
      <c r="BT137" s="37"/>
      <c r="BU137" s="37"/>
      <c r="BV137" s="37"/>
      <c r="BW137" s="37"/>
      <c r="BX137" s="37"/>
      <c r="BY137" s="37"/>
      <c r="BZ137" s="37"/>
      <c r="CA137" s="37"/>
      <c r="CB137" s="37" t="s">
        <v>1124</v>
      </c>
      <c r="CC137" s="37"/>
      <c r="CD137" s="37"/>
      <c r="CE137" s="37"/>
      <c r="CF137" s="37"/>
      <c r="CG137" s="37"/>
      <c r="CH137" s="37"/>
      <c r="CI137" s="37"/>
      <c r="CJ137" s="37"/>
      <c r="CK137" s="37"/>
      <c r="CL137" s="37"/>
      <c r="CM137" s="37"/>
      <c r="CN137" s="37" t="s">
        <v>1124</v>
      </c>
      <c r="CO137" s="37"/>
      <c r="CP137" s="37"/>
      <c r="CQ137" s="37"/>
      <c r="CR137" s="37"/>
      <c r="CS137" s="37"/>
      <c r="CT137" s="37"/>
      <c r="CU137" s="37"/>
      <c r="CV137" s="37"/>
      <c r="CW137" s="37"/>
      <c r="CX137" s="37"/>
      <c r="CY137" s="37"/>
      <c r="CZ137" s="37" t="s">
        <v>1124</v>
      </c>
      <c r="DA137" s="37"/>
      <c r="DB137" s="37"/>
      <c r="DC137" s="37"/>
      <c r="DD137" s="37"/>
      <c r="DE137" s="37"/>
      <c r="DF137" s="37"/>
      <c r="DG137" s="37"/>
      <c r="DH137" s="37"/>
      <c r="DI137" s="37"/>
      <c r="DJ137" s="37"/>
      <c r="DK137" s="37"/>
      <c r="DL137" s="37" t="s">
        <v>1124</v>
      </c>
      <c r="DM137" s="37"/>
      <c r="DN137" s="37"/>
      <c r="DO137" s="37"/>
      <c r="DP137" s="37"/>
      <c r="DQ137" s="37"/>
      <c r="DR137" s="37"/>
      <c r="DS137" s="37"/>
      <c r="DT137" s="37"/>
      <c r="DU137" s="37"/>
      <c r="DV137" s="37"/>
      <c r="DW137" s="37"/>
      <c r="DX137" s="37" t="s">
        <v>1124</v>
      </c>
      <c r="DY137" s="37"/>
      <c r="DZ137" s="37"/>
      <c r="EA137" s="37"/>
      <c r="EB137" s="37"/>
      <c r="EC137" s="37"/>
      <c r="ED137" s="37"/>
      <c r="EE137" s="37"/>
      <c r="EF137" s="37"/>
      <c r="EG137" s="37"/>
      <c r="EH137" s="37"/>
      <c r="EI137" s="37"/>
      <c r="EJ137" s="37" t="s">
        <v>1124</v>
      </c>
      <c r="EK137" s="161"/>
      <c r="EL137" s="294"/>
    </row>
    <row r="138" spans="1:142" ht="15" customHeight="1" x14ac:dyDescent="0.35">
      <c r="A138" s="34"/>
      <c r="B138" s="313">
        <v>39152</v>
      </c>
      <c r="C138" s="8" t="s">
        <v>356</v>
      </c>
      <c r="D138" s="21">
        <v>17</v>
      </c>
      <c r="E138" s="155">
        <v>265479</v>
      </c>
      <c r="F138" s="36">
        <v>38690</v>
      </c>
      <c r="G138" s="37">
        <v>1205</v>
      </c>
      <c r="H138" s="37">
        <v>18480</v>
      </c>
      <c r="I138" s="37">
        <v>21000</v>
      </c>
      <c r="J138" s="37">
        <v>232065</v>
      </c>
      <c r="K138" s="37">
        <v>39821.85</v>
      </c>
      <c r="L138" s="37">
        <v>5803.5</v>
      </c>
      <c r="M138" s="37">
        <v>327505.84999999998</v>
      </c>
      <c r="N138" s="37">
        <v>295038.5</v>
      </c>
      <c r="O138" s="37">
        <v>31777</v>
      </c>
      <c r="P138" s="37">
        <v>0</v>
      </c>
      <c r="Q138" s="37">
        <v>190499</v>
      </c>
      <c r="R138" s="37">
        <v>71335</v>
      </c>
      <c r="S138" s="37">
        <v>0</v>
      </c>
      <c r="T138" s="37">
        <v>0</v>
      </c>
      <c r="U138" s="37">
        <v>6543</v>
      </c>
      <c r="V138" s="37">
        <v>22310</v>
      </c>
      <c r="W138" s="37">
        <v>98686.849999999977</v>
      </c>
      <c r="X138" s="37">
        <v>201393.5</v>
      </c>
      <c r="Y138" s="37">
        <v>0</v>
      </c>
      <c r="Z138" s="37">
        <v>0</v>
      </c>
      <c r="AA138" s="37">
        <v>327505.84999999998</v>
      </c>
      <c r="AB138" s="37">
        <v>295038.5</v>
      </c>
      <c r="AC138" s="37">
        <v>0</v>
      </c>
      <c r="AD138" s="37">
        <v>0</v>
      </c>
      <c r="AE138" s="37">
        <v>0</v>
      </c>
      <c r="AF138" s="168">
        <v>0.02</v>
      </c>
      <c r="AG138" s="37">
        <v>39351065.520000003</v>
      </c>
      <c r="AH138" s="37">
        <v>340579.96</v>
      </c>
      <c r="AI138" s="37">
        <v>344738.54</v>
      </c>
      <c r="AJ138" s="37">
        <v>341079.6</v>
      </c>
      <c r="AK138" s="37">
        <v>347901.19</v>
      </c>
      <c r="AL138" s="37">
        <v>354859.22</v>
      </c>
      <c r="AM138" s="37">
        <v>361956.4</v>
      </c>
      <c r="AN138" s="37">
        <v>369195.53</v>
      </c>
      <c r="AO138" s="37">
        <v>376579.44</v>
      </c>
      <c r="AP138" s="37">
        <v>384111.03</v>
      </c>
      <c r="AQ138" s="37">
        <v>391793.25</v>
      </c>
      <c r="AR138" s="37">
        <v>3612794.16</v>
      </c>
      <c r="AS138" s="37">
        <v>935700.39</v>
      </c>
      <c r="AT138" s="37">
        <v>0</v>
      </c>
      <c r="AU138" s="37">
        <v>0</v>
      </c>
      <c r="AV138" s="37">
        <v>0</v>
      </c>
      <c r="AW138" s="37">
        <v>0</v>
      </c>
      <c r="AX138" s="37">
        <v>0</v>
      </c>
      <c r="AY138" s="37">
        <v>0</v>
      </c>
      <c r="AZ138" s="37">
        <v>0</v>
      </c>
      <c r="BA138" s="37">
        <v>0</v>
      </c>
      <c r="BB138" s="37">
        <v>0</v>
      </c>
      <c r="BC138" s="37">
        <v>0</v>
      </c>
      <c r="BD138" s="37">
        <v>0</v>
      </c>
      <c r="BE138" s="37">
        <v>389050</v>
      </c>
      <c r="BF138" s="37">
        <v>267089.93889997137</v>
      </c>
      <c r="BG138" s="37">
        <v>287889.24552663002</v>
      </c>
      <c r="BH138" s="37">
        <v>354404.40298760089</v>
      </c>
      <c r="BI138" s="37">
        <v>420919.70258579805</v>
      </c>
      <c r="BJ138" s="37">
        <v>45715.850834312085</v>
      </c>
      <c r="BK138" s="37">
        <v>221374.08806565902</v>
      </c>
      <c r="BL138" s="37">
        <v>287889.24552663002</v>
      </c>
      <c r="BM138" s="37">
        <v>354404.40298760089</v>
      </c>
      <c r="BN138" s="37">
        <v>420919.70258579805</v>
      </c>
      <c r="BO138" s="37">
        <v>0</v>
      </c>
      <c r="BP138" s="37">
        <v>2660606.5800000005</v>
      </c>
      <c r="BQ138" s="37">
        <v>194525</v>
      </c>
      <c r="BR138" s="37">
        <v>86492.565233629386</v>
      </c>
      <c r="BS138" s="37">
        <v>93228.069358680965</v>
      </c>
      <c r="BT138" s="37">
        <v>114767.87957921029</v>
      </c>
      <c r="BU138" s="37">
        <v>136307.73582847946</v>
      </c>
      <c r="BV138" s="37">
        <v>14804.306095477683</v>
      </c>
      <c r="BW138" s="37">
        <v>71688.259138151625</v>
      </c>
      <c r="BX138" s="37">
        <v>93228.069358680965</v>
      </c>
      <c r="BY138" s="37">
        <v>114767.87957921029</v>
      </c>
      <c r="BZ138" s="37">
        <v>136307.73582847946</v>
      </c>
      <c r="CA138" s="37">
        <v>0</v>
      </c>
      <c r="CB138" s="37">
        <v>861592.50000000023</v>
      </c>
      <c r="CC138" s="37">
        <v>0</v>
      </c>
      <c r="CD138" s="37">
        <v>0</v>
      </c>
      <c r="CE138" s="37">
        <v>0</v>
      </c>
      <c r="CF138" s="37">
        <v>0</v>
      </c>
      <c r="CG138" s="37">
        <v>0</v>
      </c>
      <c r="CH138" s="37">
        <v>0</v>
      </c>
      <c r="CI138" s="37">
        <v>0</v>
      </c>
      <c r="CJ138" s="37">
        <v>0</v>
      </c>
      <c r="CK138" s="37">
        <v>0</v>
      </c>
      <c r="CL138" s="37">
        <v>0</v>
      </c>
      <c r="CM138" s="37">
        <v>0</v>
      </c>
      <c r="CN138" s="37">
        <v>0</v>
      </c>
      <c r="CO138" s="37">
        <v>0</v>
      </c>
      <c r="CP138" s="37">
        <v>0</v>
      </c>
      <c r="CQ138" s="37">
        <v>0</v>
      </c>
      <c r="CR138" s="37">
        <v>0</v>
      </c>
      <c r="CS138" s="37">
        <v>0</v>
      </c>
      <c r="CT138" s="37">
        <v>0</v>
      </c>
      <c r="CU138" s="37">
        <v>0</v>
      </c>
      <c r="CV138" s="37">
        <v>0</v>
      </c>
      <c r="CW138" s="37">
        <v>0</v>
      </c>
      <c r="CX138" s="37">
        <v>0</v>
      </c>
      <c r="CY138" s="37">
        <v>0</v>
      </c>
      <c r="CZ138" s="37">
        <v>0</v>
      </c>
      <c r="DA138" s="37">
        <v>0</v>
      </c>
      <c r="DB138" s="37">
        <v>0</v>
      </c>
      <c r="DC138" s="37">
        <v>0</v>
      </c>
      <c r="DD138" s="37">
        <v>0</v>
      </c>
      <c r="DE138" s="37">
        <v>0</v>
      </c>
      <c r="DF138" s="37">
        <v>0</v>
      </c>
      <c r="DG138" s="37">
        <v>0</v>
      </c>
      <c r="DH138" s="37">
        <v>0</v>
      </c>
      <c r="DI138" s="37">
        <v>0</v>
      </c>
      <c r="DJ138" s="37">
        <v>0</v>
      </c>
      <c r="DK138" s="37">
        <v>0</v>
      </c>
      <c r="DL138" s="37">
        <v>0</v>
      </c>
      <c r="DM138" s="37">
        <v>0</v>
      </c>
      <c r="DN138" s="37">
        <v>0</v>
      </c>
      <c r="DO138" s="37">
        <v>0</v>
      </c>
      <c r="DP138" s="37">
        <v>0</v>
      </c>
      <c r="DQ138" s="37">
        <v>0</v>
      </c>
      <c r="DR138" s="37">
        <v>0</v>
      </c>
      <c r="DS138" s="37">
        <v>0</v>
      </c>
      <c r="DT138" s="37">
        <v>0</v>
      </c>
      <c r="DU138" s="37">
        <v>0</v>
      </c>
      <c r="DV138" s="37">
        <v>0</v>
      </c>
      <c r="DW138" s="37">
        <v>0</v>
      </c>
      <c r="DX138" s="37">
        <v>0</v>
      </c>
      <c r="DY138" s="37">
        <v>0</v>
      </c>
      <c r="DZ138" s="37">
        <v>0</v>
      </c>
      <c r="EA138" s="37">
        <v>0</v>
      </c>
      <c r="EB138" s="37">
        <v>0</v>
      </c>
      <c r="EC138" s="37">
        <v>0</v>
      </c>
      <c r="ED138" s="37">
        <v>0</v>
      </c>
      <c r="EE138" s="37">
        <v>0</v>
      </c>
      <c r="EF138" s="37">
        <v>0</v>
      </c>
      <c r="EG138" s="37">
        <v>0</v>
      </c>
      <c r="EH138" s="37">
        <v>0</v>
      </c>
      <c r="EI138" s="37">
        <v>0</v>
      </c>
      <c r="EJ138" s="37">
        <v>0</v>
      </c>
      <c r="EK138" s="161" t="s">
        <v>1664</v>
      </c>
      <c r="EL138" s="294" t="s">
        <v>1124</v>
      </c>
    </row>
    <row r="139" spans="1:142" ht="15" customHeight="1" x14ac:dyDescent="0.35">
      <c r="A139" s="34"/>
      <c r="B139" s="313">
        <v>13005</v>
      </c>
      <c r="C139" s="8" t="s">
        <v>41</v>
      </c>
      <c r="D139" s="18">
        <v>1</v>
      </c>
      <c r="E139" s="155">
        <v>288718</v>
      </c>
      <c r="F139" s="36">
        <v>256471</v>
      </c>
      <c r="G139" s="37">
        <v>100296</v>
      </c>
      <c r="H139" s="37">
        <v>41883</v>
      </c>
      <c r="I139" s="37">
        <v>73912</v>
      </c>
      <c r="J139" s="37">
        <v>93100</v>
      </c>
      <c r="K139" s="37">
        <v>0</v>
      </c>
      <c r="L139" s="37">
        <v>0</v>
      </c>
      <c r="M139" s="37">
        <v>462926</v>
      </c>
      <c r="N139" s="37">
        <v>391454</v>
      </c>
      <c r="O139" s="37">
        <v>0</v>
      </c>
      <c r="P139" s="37">
        <v>30050</v>
      </c>
      <c r="Q139" s="37">
        <v>279093</v>
      </c>
      <c r="R139" s="37">
        <v>292240</v>
      </c>
      <c r="S139" s="37">
        <v>0</v>
      </c>
      <c r="T139" s="37">
        <v>0</v>
      </c>
      <c r="U139" s="37">
        <v>70122</v>
      </c>
      <c r="V139" s="37">
        <v>0</v>
      </c>
      <c r="W139" s="37">
        <v>107161</v>
      </c>
      <c r="X139" s="37">
        <v>111416</v>
      </c>
      <c r="Y139" s="37">
        <v>0</v>
      </c>
      <c r="Z139" s="37">
        <v>0</v>
      </c>
      <c r="AA139" s="37">
        <v>456376</v>
      </c>
      <c r="AB139" s="37">
        <v>433706</v>
      </c>
      <c r="AC139" s="37">
        <v>35702</v>
      </c>
      <c r="AD139" s="37">
        <v>30043</v>
      </c>
      <c r="AE139" s="37">
        <v>186523</v>
      </c>
      <c r="AF139" s="168">
        <v>0.02</v>
      </c>
      <c r="AG139" s="37">
        <v>76054151.430000007</v>
      </c>
      <c r="AH139" s="37">
        <v>612816</v>
      </c>
      <c r="AI139" s="37">
        <v>619870.31999999995</v>
      </c>
      <c r="AJ139" s="37">
        <v>640226.79</v>
      </c>
      <c r="AK139" s="37">
        <v>631382.68000000005</v>
      </c>
      <c r="AL139" s="37">
        <v>616408.31000000006</v>
      </c>
      <c r="AM139" s="37">
        <v>628736.48</v>
      </c>
      <c r="AN139" s="37">
        <v>641311.21</v>
      </c>
      <c r="AO139" s="37">
        <v>654137.43000000005</v>
      </c>
      <c r="AP139" s="37">
        <v>667220.18000000005</v>
      </c>
      <c r="AQ139" s="37">
        <v>680564.58</v>
      </c>
      <c r="AR139" s="37">
        <v>6392673.9800000004</v>
      </c>
      <c r="AS139" s="37">
        <v>0</v>
      </c>
      <c r="AT139" s="37">
        <v>1248480</v>
      </c>
      <c r="AU139" s="37">
        <v>1984458.96</v>
      </c>
      <c r="AV139" s="37">
        <v>1082432.1599999999</v>
      </c>
      <c r="AW139" s="37">
        <v>4802751.49</v>
      </c>
      <c r="AX139" s="37">
        <v>1126162.42</v>
      </c>
      <c r="AY139" s="37">
        <v>1148685.67</v>
      </c>
      <c r="AZ139" s="37">
        <v>1435282.74</v>
      </c>
      <c r="BA139" s="37">
        <v>1463988.4</v>
      </c>
      <c r="BB139" s="37">
        <v>1493268.16</v>
      </c>
      <c r="BC139" s="37">
        <v>1523133.53</v>
      </c>
      <c r="BD139" s="37">
        <v>17308643.530000001</v>
      </c>
      <c r="BE139" s="37">
        <v>0</v>
      </c>
      <c r="BF139" s="37">
        <v>0</v>
      </c>
      <c r="BG139" s="37">
        <v>920000</v>
      </c>
      <c r="BH139" s="37">
        <v>0</v>
      </c>
      <c r="BI139" s="37">
        <v>0</v>
      </c>
      <c r="BJ139" s="37">
        <v>0</v>
      </c>
      <c r="BK139" s="37">
        <v>0</v>
      </c>
      <c r="BL139" s="37">
        <v>0</v>
      </c>
      <c r="BM139" s="37">
        <v>0</v>
      </c>
      <c r="BN139" s="37">
        <v>0</v>
      </c>
      <c r="BO139" s="37">
        <v>0</v>
      </c>
      <c r="BP139" s="37">
        <v>920000</v>
      </c>
      <c r="BQ139" s="37">
        <v>50000</v>
      </c>
      <c r="BR139" s="37">
        <v>0</v>
      </c>
      <c r="BS139" s="37">
        <v>50000</v>
      </c>
      <c r="BT139" s="37">
        <v>50000</v>
      </c>
      <c r="BU139" s="37">
        <v>50000</v>
      </c>
      <c r="BV139" s="37">
        <v>50000</v>
      </c>
      <c r="BW139" s="37">
        <v>50000</v>
      </c>
      <c r="BX139" s="37">
        <v>50000</v>
      </c>
      <c r="BY139" s="37">
        <v>50000</v>
      </c>
      <c r="BZ139" s="37">
        <v>50000</v>
      </c>
      <c r="CA139" s="37">
        <v>50000</v>
      </c>
      <c r="CB139" s="37">
        <v>450000</v>
      </c>
      <c r="CC139" s="37">
        <v>90000</v>
      </c>
      <c r="CD139" s="37">
        <v>0</v>
      </c>
      <c r="CE139" s="37">
        <v>90000</v>
      </c>
      <c r="CF139" s="37">
        <v>90000</v>
      </c>
      <c r="CG139" s="37">
        <v>90000</v>
      </c>
      <c r="CH139" s="37">
        <v>90000</v>
      </c>
      <c r="CI139" s="37">
        <v>90000</v>
      </c>
      <c r="CJ139" s="37">
        <v>90000</v>
      </c>
      <c r="CK139" s="37">
        <v>90000</v>
      </c>
      <c r="CL139" s="37">
        <v>90000</v>
      </c>
      <c r="CM139" s="37">
        <v>90000</v>
      </c>
      <c r="CN139" s="37">
        <v>810000</v>
      </c>
      <c r="CO139" s="37">
        <v>0</v>
      </c>
      <c r="CP139" s="37">
        <v>0</v>
      </c>
      <c r="CQ139" s="37">
        <v>0</v>
      </c>
      <c r="CR139" s="37">
        <v>0</v>
      </c>
      <c r="CS139" s="37">
        <v>0</v>
      </c>
      <c r="CT139" s="37">
        <v>0</v>
      </c>
      <c r="CU139" s="37">
        <v>0</v>
      </c>
      <c r="CV139" s="37">
        <v>0</v>
      </c>
      <c r="CW139" s="37">
        <v>0</v>
      </c>
      <c r="CX139" s="37">
        <v>0</v>
      </c>
      <c r="CY139" s="37">
        <v>0</v>
      </c>
      <c r="CZ139" s="37">
        <v>0</v>
      </c>
      <c r="DA139" s="37">
        <v>0</v>
      </c>
      <c r="DB139" s="37">
        <v>0</v>
      </c>
      <c r="DC139" s="37">
        <v>0</v>
      </c>
      <c r="DD139" s="37">
        <v>0</v>
      </c>
      <c r="DE139" s="37">
        <v>0</v>
      </c>
      <c r="DF139" s="37">
        <v>0</v>
      </c>
      <c r="DG139" s="37">
        <v>0</v>
      </c>
      <c r="DH139" s="37">
        <v>0</v>
      </c>
      <c r="DI139" s="37">
        <v>0</v>
      </c>
      <c r="DJ139" s="37">
        <v>0</v>
      </c>
      <c r="DK139" s="37">
        <v>0</v>
      </c>
      <c r="DL139" s="37">
        <v>0</v>
      </c>
      <c r="DM139" s="37">
        <v>0</v>
      </c>
      <c r="DN139" s="37">
        <v>0</v>
      </c>
      <c r="DO139" s="37">
        <v>0</v>
      </c>
      <c r="DP139" s="37">
        <v>0</v>
      </c>
      <c r="DQ139" s="37">
        <v>0</v>
      </c>
      <c r="DR139" s="37">
        <v>0</v>
      </c>
      <c r="DS139" s="37">
        <v>0</v>
      </c>
      <c r="DT139" s="37">
        <v>0</v>
      </c>
      <c r="DU139" s="37">
        <v>0</v>
      </c>
      <c r="DV139" s="37">
        <v>0</v>
      </c>
      <c r="DW139" s="37">
        <v>0</v>
      </c>
      <c r="DX139" s="37">
        <v>0</v>
      </c>
      <c r="DY139" s="37">
        <v>0</v>
      </c>
      <c r="DZ139" s="37">
        <v>0</v>
      </c>
      <c r="EA139" s="37">
        <v>0</v>
      </c>
      <c r="EB139" s="37">
        <v>0</v>
      </c>
      <c r="EC139" s="37">
        <v>0</v>
      </c>
      <c r="ED139" s="37">
        <v>0</v>
      </c>
      <c r="EE139" s="37">
        <v>0</v>
      </c>
      <c r="EF139" s="37">
        <v>0</v>
      </c>
      <c r="EG139" s="37">
        <v>0</v>
      </c>
      <c r="EH139" s="37">
        <v>0</v>
      </c>
      <c r="EI139" s="37">
        <v>0</v>
      </c>
      <c r="EJ139" s="37">
        <v>0</v>
      </c>
      <c r="EK139" s="161" t="s">
        <v>1668</v>
      </c>
      <c r="EL139" s="294" t="s">
        <v>1124</v>
      </c>
    </row>
    <row r="140" spans="1:142" ht="15" customHeight="1" x14ac:dyDescent="0.35">
      <c r="A140" s="34"/>
      <c r="B140" s="313">
        <v>83070</v>
      </c>
      <c r="C140" s="8" t="s">
        <v>846</v>
      </c>
      <c r="D140" s="18">
        <v>7</v>
      </c>
      <c r="E140" s="155"/>
      <c r="F140" s="36"/>
      <c r="G140" s="37"/>
      <c r="H140" s="37"/>
      <c r="I140" s="37"/>
      <c r="J140" s="37"/>
      <c r="K140" s="37"/>
      <c r="L140" s="37"/>
      <c r="M140" s="37" t="s">
        <v>1124</v>
      </c>
      <c r="N140" s="37" t="s">
        <v>1124</v>
      </c>
      <c r="O140" s="37"/>
      <c r="P140" s="37"/>
      <c r="Q140" s="37"/>
      <c r="R140" s="37"/>
      <c r="S140" s="37"/>
      <c r="T140" s="37"/>
      <c r="U140" s="37"/>
      <c r="V140" s="37"/>
      <c r="W140" s="37"/>
      <c r="X140" s="37"/>
      <c r="Y140" s="37"/>
      <c r="Z140" s="37"/>
      <c r="AA140" s="37" t="s">
        <v>1124</v>
      </c>
      <c r="AB140" s="37" t="s">
        <v>1124</v>
      </c>
      <c r="AC140" s="37"/>
      <c r="AD140" s="37"/>
      <c r="AE140" s="37"/>
      <c r="AF140" s="168"/>
      <c r="AG140" s="37"/>
      <c r="AH140" s="37"/>
      <c r="AI140" s="37"/>
      <c r="AJ140" s="37"/>
      <c r="AK140" s="37"/>
      <c r="AL140" s="37"/>
      <c r="AM140" s="37"/>
      <c r="AN140" s="37"/>
      <c r="AO140" s="37"/>
      <c r="AP140" s="37"/>
      <c r="AQ140" s="37"/>
      <c r="AR140" s="37" t="s">
        <v>1124</v>
      </c>
      <c r="AS140" s="37"/>
      <c r="AT140" s="37"/>
      <c r="AU140" s="37"/>
      <c r="AV140" s="37"/>
      <c r="AW140" s="37"/>
      <c r="AX140" s="37"/>
      <c r="AY140" s="37"/>
      <c r="AZ140" s="37"/>
      <c r="BA140" s="37"/>
      <c r="BB140" s="37"/>
      <c r="BC140" s="37"/>
      <c r="BD140" s="37" t="s">
        <v>1124</v>
      </c>
      <c r="BE140" s="37"/>
      <c r="BF140" s="37"/>
      <c r="BG140" s="37"/>
      <c r="BH140" s="37"/>
      <c r="BI140" s="37"/>
      <c r="BJ140" s="37"/>
      <c r="BK140" s="37"/>
      <c r="BL140" s="37"/>
      <c r="BM140" s="37"/>
      <c r="BN140" s="37"/>
      <c r="BO140" s="37"/>
      <c r="BP140" s="37">
        <v>0</v>
      </c>
      <c r="BQ140" s="37"/>
      <c r="BR140" s="37"/>
      <c r="BS140" s="37"/>
      <c r="BT140" s="37"/>
      <c r="BU140" s="37"/>
      <c r="BV140" s="37"/>
      <c r="BW140" s="37"/>
      <c r="BX140" s="37"/>
      <c r="BY140" s="37"/>
      <c r="BZ140" s="37"/>
      <c r="CA140" s="37"/>
      <c r="CB140" s="37" t="s">
        <v>1124</v>
      </c>
      <c r="CC140" s="37"/>
      <c r="CD140" s="37"/>
      <c r="CE140" s="37"/>
      <c r="CF140" s="37"/>
      <c r="CG140" s="37"/>
      <c r="CH140" s="37"/>
      <c r="CI140" s="37"/>
      <c r="CJ140" s="37"/>
      <c r="CK140" s="37"/>
      <c r="CL140" s="37"/>
      <c r="CM140" s="37"/>
      <c r="CN140" s="37" t="s">
        <v>1124</v>
      </c>
      <c r="CO140" s="37"/>
      <c r="CP140" s="37"/>
      <c r="CQ140" s="37"/>
      <c r="CR140" s="37"/>
      <c r="CS140" s="37"/>
      <c r="CT140" s="37"/>
      <c r="CU140" s="37"/>
      <c r="CV140" s="37"/>
      <c r="CW140" s="37"/>
      <c r="CX140" s="37"/>
      <c r="CY140" s="37"/>
      <c r="CZ140" s="37" t="s">
        <v>1124</v>
      </c>
      <c r="DA140" s="37"/>
      <c r="DB140" s="37"/>
      <c r="DC140" s="37"/>
      <c r="DD140" s="37"/>
      <c r="DE140" s="37"/>
      <c r="DF140" s="37"/>
      <c r="DG140" s="37"/>
      <c r="DH140" s="37"/>
      <c r="DI140" s="37"/>
      <c r="DJ140" s="37"/>
      <c r="DK140" s="37"/>
      <c r="DL140" s="37" t="s">
        <v>1124</v>
      </c>
      <c r="DM140" s="37"/>
      <c r="DN140" s="37"/>
      <c r="DO140" s="37"/>
      <c r="DP140" s="37"/>
      <c r="DQ140" s="37"/>
      <c r="DR140" s="37"/>
      <c r="DS140" s="37"/>
      <c r="DT140" s="37"/>
      <c r="DU140" s="37"/>
      <c r="DV140" s="37"/>
      <c r="DW140" s="37"/>
      <c r="DX140" s="37" t="s">
        <v>1124</v>
      </c>
      <c r="DY140" s="37"/>
      <c r="DZ140" s="37"/>
      <c r="EA140" s="37"/>
      <c r="EB140" s="37"/>
      <c r="EC140" s="37"/>
      <c r="ED140" s="37"/>
      <c r="EE140" s="37"/>
      <c r="EF140" s="37"/>
      <c r="EG140" s="37"/>
      <c r="EH140" s="37"/>
      <c r="EI140" s="37"/>
      <c r="EJ140" s="37" t="s">
        <v>1124</v>
      </c>
      <c r="EK140" s="161"/>
      <c r="EL140" s="294"/>
    </row>
    <row r="141" spans="1:142" ht="15" customHeight="1" x14ac:dyDescent="0.35">
      <c r="A141" s="34"/>
      <c r="B141" s="313">
        <v>67025</v>
      </c>
      <c r="C141" s="8" t="s">
        <v>666</v>
      </c>
      <c r="D141" s="18">
        <v>16</v>
      </c>
      <c r="E141" s="155"/>
      <c r="F141" s="36"/>
      <c r="G141" s="37"/>
      <c r="H141" s="37"/>
      <c r="I141" s="37"/>
      <c r="J141" s="37"/>
      <c r="K141" s="37"/>
      <c r="L141" s="37"/>
      <c r="M141" s="37" t="s">
        <v>1124</v>
      </c>
      <c r="N141" s="37" t="s">
        <v>1124</v>
      </c>
      <c r="O141" s="37"/>
      <c r="P141" s="37"/>
      <c r="Q141" s="37"/>
      <c r="R141" s="37"/>
      <c r="S141" s="37"/>
      <c r="T141" s="37"/>
      <c r="U141" s="37"/>
      <c r="V141" s="37"/>
      <c r="W141" s="37"/>
      <c r="X141" s="37"/>
      <c r="Y141" s="37"/>
      <c r="Z141" s="37"/>
      <c r="AA141" s="37" t="s">
        <v>1124</v>
      </c>
      <c r="AB141" s="37" t="s">
        <v>1124</v>
      </c>
      <c r="AC141" s="37"/>
      <c r="AD141" s="37"/>
      <c r="AE141" s="37"/>
      <c r="AF141" s="168"/>
      <c r="AG141" s="37"/>
      <c r="AH141" s="37"/>
      <c r="AI141" s="37"/>
      <c r="AJ141" s="37"/>
      <c r="AK141" s="37"/>
      <c r="AL141" s="37"/>
      <c r="AM141" s="37"/>
      <c r="AN141" s="37"/>
      <c r="AO141" s="37"/>
      <c r="AP141" s="37"/>
      <c r="AQ141" s="37"/>
      <c r="AR141" s="37" t="s">
        <v>1124</v>
      </c>
      <c r="AS141" s="37"/>
      <c r="AT141" s="37"/>
      <c r="AU141" s="37"/>
      <c r="AV141" s="37"/>
      <c r="AW141" s="37"/>
      <c r="AX141" s="37"/>
      <c r="AY141" s="37"/>
      <c r="AZ141" s="37"/>
      <c r="BA141" s="37"/>
      <c r="BB141" s="37"/>
      <c r="BC141" s="37"/>
      <c r="BD141" s="37" t="s">
        <v>1124</v>
      </c>
      <c r="BE141" s="37"/>
      <c r="BF141" s="37"/>
      <c r="BG141" s="37"/>
      <c r="BH141" s="37"/>
      <c r="BI141" s="37"/>
      <c r="BJ141" s="37"/>
      <c r="BK141" s="37"/>
      <c r="BL141" s="37"/>
      <c r="BM141" s="37"/>
      <c r="BN141" s="37"/>
      <c r="BO141" s="37"/>
      <c r="BP141" s="37">
        <v>0</v>
      </c>
      <c r="BQ141" s="37"/>
      <c r="BR141" s="37"/>
      <c r="BS141" s="37"/>
      <c r="BT141" s="37"/>
      <c r="BU141" s="37"/>
      <c r="BV141" s="37"/>
      <c r="BW141" s="37"/>
      <c r="BX141" s="37"/>
      <c r="BY141" s="37"/>
      <c r="BZ141" s="37"/>
      <c r="CA141" s="37"/>
      <c r="CB141" s="37" t="s">
        <v>1124</v>
      </c>
      <c r="CC141" s="37"/>
      <c r="CD141" s="37"/>
      <c r="CE141" s="37"/>
      <c r="CF141" s="37"/>
      <c r="CG141" s="37"/>
      <c r="CH141" s="37"/>
      <c r="CI141" s="37"/>
      <c r="CJ141" s="37"/>
      <c r="CK141" s="37"/>
      <c r="CL141" s="37"/>
      <c r="CM141" s="37"/>
      <c r="CN141" s="37" t="s">
        <v>1124</v>
      </c>
      <c r="CO141" s="37"/>
      <c r="CP141" s="37"/>
      <c r="CQ141" s="37"/>
      <c r="CR141" s="37"/>
      <c r="CS141" s="37"/>
      <c r="CT141" s="37"/>
      <c r="CU141" s="37"/>
      <c r="CV141" s="37"/>
      <c r="CW141" s="37"/>
      <c r="CX141" s="37"/>
      <c r="CY141" s="37"/>
      <c r="CZ141" s="37" t="s">
        <v>1124</v>
      </c>
      <c r="DA141" s="37"/>
      <c r="DB141" s="37"/>
      <c r="DC141" s="37"/>
      <c r="DD141" s="37"/>
      <c r="DE141" s="37"/>
      <c r="DF141" s="37"/>
      <c r="DG141" s="37"/>
      <c r="DH141" s="37"/>
      <c r="DI141" s="37"/>
      <c r="DJ141" s="37"/>
      <c r="DK141" s="37"/>
      <c r="DL141" s="37" t="s">
        <v>1124</v>
      </c>
      <c r="DM141" s="37"/>
      <c r="DN141" s="37"/>
      <c r="DO141" s="37"/>
      <c r="DP141" s="37"/>
      <c r="DQ141" s="37"/>
      <c r="DR141" s="37"/>
      <c r="DS141" s="37"/>
      <c r="DT141" s="37"/>
      <c r="DU141" s="37"/>
      <c r="DV141" s="37"/>
      <c r="DW141" s="37"/>
      <c r="DX141" s="37" t="s">
        <v>1124</v>
      </c>
      <c r="DY141" s="37"/>
      <c r="DZ141" s="37"/>
      <c r="EA141" s="37"/>
      <c r="EB141" s="37"/>
      <c r="EC141" s="37"/>
      <c r="ED141" s="37"/>
      <c r="EE141" s="37"/>
      <c r="EF141" s="37"/>
      <c r="EG141" s="37"/>
      <c r="EH141" s="37"/>
      <c r="EI141" s="37"/>
      <c r="EJ141" s="37" t="s">
        <v>1124</v>
      </c>
      <c r="EK141" s="161"/>
      <c r="EL141" s="294"/>
    </row>
    <row r="142" spans="1:142" ht="15" customHeight="1" x14ac:dyDescent="0.35">
      <c r="A142" s="34"/>
      <c r="B142" s="314">
        <v>83005</v>
      </c>
      <c r="C142" s="8" t="s">
        <v>835</v>
      </c>
      <c r="D142" s="18">
        <v>7</v>
      </c>
      <c r="E142" s="155"/>
      <c r="F142" s="36"/>
      <c r="G142" s="37"/>
      <c r="H142" s="37"/>
      <c r="I142" s="37"/>
      <c r="J142" s="37"/>
      <c r="K142" s="37"/>
      <c r="L142" s="37"/>
      <c r="M142" s="37" t="s">
        <v>1124</v>
      </c>
      <c r="N142" s="37" t="s">
        <v>1124</v>
      </c>
      <c r="O142" s="37"/>
      <c r="P142" s="37"/>
      <c r="Q142" s="37"/>
      <c r="R142" s="37"/>
      <c r="S142" s="37"/>
      <c r="T142" s="37"/>
      <c r="U142" s="37"/>
      <c r="V142" s="37"/>
      <c r="W142" s="37"/>
      <c r="X142" s="37"/>
      <c r="Y142" s="37"/>
      <c r="Z142" s="37"/>
      <c r="AA142" s="37" t="s">
        <v>1124</v>
      </c>
      <c r="AB142" s="37" t="s">
        <v>1124</v>
      </c>
      <c r="AC142" s="37"/>
      <c r="AD142" s="37"/>
      <c r="AE142" s="37"/>
      <c r="AF142" s="168"/>
      <c r="AG142" s="37"/>
      <c r="AH142" s="37"/>
      <c r="AI142" s="37"/>
      <c r="AJ142" s="37"/>
      <c r="AK142" s="37"/>
      <c r="AL142" s="37"/>
      <c r="AM142" s="37"/>
      <c r="AN142" s="37"/>
      <c r="AO142" s="37"/>
      <c r="AP142" s="37"/>
      <c r="AQ142" s="37"/>
      <c r="AR142" s="37" t="s">
        <v>1124</v>
      </c>
      <c r="AS142" s="37"/>
      <c r="AT142" s="37"/>
      <c r="AU142" s="37"/>
      <c r="AV142" s="37"/>
      <c r="AW142" s="37"/>
      <c r="AX142" s="37"/>
      <c r="AY142" s="37"/>
      <c r="AZ142" s="37"/>
      <c r="BA142" s="37"/>
      <c r="BB142" s="37"/>
      <c r="BC142" s="37"/>
      <c r="BD142" s="37" t="s">
        <v>1124</v>
      </c>
      <c r="BE142" s="37"/>
      <c r="BF142" s="37"/>
      <c r="BG142" s="37"/>
      <c r="BH142" s="37"/>
      <c r="BI142" s="37"/>
      <c r="BJ142" s="37"/>
      <c r="BK142" s="37"/>
      <c r="BL142" s="37"/>
      <c r="BM142" s="37"/>
      <c r="BN142" s="37"/>
      <c r="BO142" s="37"/>
      <c r="BP142" s="37">
        <v>0</v>
      </c>
      <c r="BQ142" s="37"/>
      <c r="BR142" s="37"/>
      <c r="BS142" s="37"/>
      <c r="BT142" s="37"/>
      <c r="BU142" s="37"/>
      <c r="BV142" s="37"/>
      <c r="BW142" s="37"/>
      <c r="BX142" s="37"/>
      <c r="BY142" s="37"/>
      <c r="BZ142" s="37"/>
      <c r="CA142" s="37"/>
      <c r="CB142" s="37" t="s">
        <v>1124</v>
      </c>
      <c r="CC142" s="37"/>
      <c r="CD142" s="37"/>
      <c r="CE142" s="37"/>
      <c r="CF142" s="37"/>
      <c r="CG142" s="37"/>
      <c r="CH142" s="37"/>
      <c r="CI142" s="37"/>
      <c r="CJ142" s="37"/>
      <c r="CK142" s="37"/>
      <c r="CL142" s="37"/>
      <c r="CM142" s="37"/>
      <c r="CN142" s="37" t="s">
        <v>1124</v>
      </c>
      <c r="CO142" s="37"/>
      <c r="CP142" s="37"/>
      <c r="CQ142" s="37"/>
      <c r="CR142" s="37"/>
      <c r="CS142" s="37"/>
      <c r="CT142" s="37"/>
      <c r="CU142" s="37"/>
      <c r="CV142" s="37"/>
      <c r="CW142" s="37"/>
      <c r="CX142" s="37"/>
      <c r="CY142" s="37"/>
      <c r="CZ142" s="37" t="s">
        <v>1124</v>
      </c>
      <c r="DA142" s="37"/>
      <c r="DB142" s="37"/>
      <c r="DC142" s="37"/>
      <c r="DD142" s="37"/>
      <c r="DE142" s="37"/>
      <c r="DF142" s="37"/>
      <c r="DG142" s="37"/>
      <c r="DH142" s="37"/>
      <c r="DI142" s="37"/>
      <c r="DJ142" s="37"/>
      <c r="DK142" s="37"/>
      <c r="DL142" s="37" t="s">
        <v>1124</v>
      </c>
      <c r="DM142" s="37"/>
      <c r="DN142" s="37"/>
      <c r="DO142" s="37"/>
      <c r="DP142" s="37"/>
      <c r="DQ142" s="37"/>
      <c r="DR142" s="37"/>
      <c r="DS142" s="37"/>
      <c r="DT142" s="37"/>
      <c r="DU142" s="37"/>
      <c r="DV142" s="37"/>
      <c r="DW142" s="37"/>
      <c r="DX142" s="37" t="s">
        <v>1124</v>
      </c>
      <c r="DY142" s="37"/>
      <c r="DZ142" s="37"/>
      <c r="EA142" s="37"/>
      <c r="EB142" s="37"/>
      <c r="EC142" s="37"/>
      <c r="ED142" s="37"/>
      <c r="EE142" s="37"/>
      <c r="EF142" s="37"/>
      <c r="EG142" s="37"/>
      <c r="EH142" s="37"/>
      <c r="EI142" s="37"/>
      <c r="EJ142" s="37" t="s">
        <v>1124</v>
      </c>
      <c r="EK142" s="161"/>
      <c r="EL142" s="294"/>
    </row>
    <row r="143" spans="1:142" ht="15" customHeight="1" x14ac:dyDescent="0.35">
      <c r="A143" s="34"/>
      <c r="B143" s="313">
        <v>93005</v>
      </c>
      <c r="C143" s="8" t="s">
        <v>958</v>
      </c>
      <c r="D143" s="18">
        <v>2</v>
      </c>
      <c r="E143" s="155">
        <v>54250</v>
      </c>
      <c r="F143" s="36">
        <v>88932</v>
      </c>
      <c r="G143" s="37">
        <v>6535</v>
      </c>
      <c r="H143" s="37">
        <v>2386</v>
      </c>
      <c r="I143" s="37">
        <v>32700</v>
      </c>
      <c r="J143" s="37">
        <v>9000</v>
      </c>
      <c r="K143" s="37">
        <v>8137.5</v>
      </c>
      <c r="L143" s="37">
        <v>13339.8</v>
      </c>
      <c r="M143" s="37">
        <v>101622.5</v>
      </c>
      <c r="N143" s="37">
        <v>113657.8</v>
      </c>
      <c r="O143" s="37">
        <v>0</v>
      </c>
      <c r="P143" s="37">
        <v>0</v>
      </c>
      <c r="Q143" s="37">
        <v>135848</v>
      </c>
      <c r="R143" s="37">
        <v>145317</v>
      </c>
      <c r="S143" s="37">
        <v>4586</v>
      </c>
      <c r="T143" s="37">
        <v>4585</v>
      </c>
      <c r="U143" s="37">
        <v>0</v>
      </c>
      <c r="V143" s="37">
        <v>0</v>
      </c>
      <c r="W143" s="37">
        <v>0</v>
      </c>
      <c r="X143" s="37">
        <v>0</v>
      </c>
      <c r="Y143" s="37">
        <v>0</v>
      </c>
      <c r="Z143" s="37">
        <v>0</v>
      </c>
      <c r="AA143" s="37">
        <v>140434</v>
      </c>
      <c r="AB143" s="37">
        <v>149902</v>
      </c>
      <c r="AC143" s="37">
        <v>75056</v>
      </c>
      <c r="AD143" s="37">
        <v>0</v>
      </c>
      <c r="AE143" s="37">
        <v>0</v>
      </c>
      <c r="AF143" s="168">
        <v>0.02</v>
      </c>
      <c r="AG143" s="37">
        <v>22671585.82</v>
      </c>
      <c r="AH143" s="37">
        <v>169782.48</v>
      </c>
      <c r="AI143" s="37">
        <v>213504.04</v>
      </c>
      <c r="AJ143" s="37">
        <v>217774.12</v>
      </c>
      <c r="AK143" s="37">
        <v>177966.37</v>
      </c>
      <c r="AL143" s="37">
        <v>181525.69</v>
      </c>
      <c r="AM143" s="37">
        <v>185156.21</v>
      </c>
      <c r="AN143" s="37">
        <v>188859.33</v>
      </c>
      <c r="AO143" s="37">
        <v>192636.52</v>
      </c>
      <c r="AP143" s="37">
        <v>196489.25</v>
      </c>
      <c r="AQ143" s="37">
        <v>200419.03</v>
      </c>
      <c r="AR143" s="37">
        <v>1924113.04</v>
      </c>
      <c r="AS143" s="37">
        <v>342291.6</v>
      </c>
      <c r="AT143" s="37">
        <v>0</v>
      </c>
      <c r="AU143" s="37">
        <v>394769.38</v>
      </c>
      <c r="AV143" s="37">
        <v>0</v>
      </c>
      <c r="AW143" s="37">
        <v>0</v>
      </c>
      <c r="AX143" s="37">
        <v>0</v>
      </c>
      <c r="AY143" s="37">
        <v>0</v>
      </c>
      <c r="AZ143" s="37">
        <v>0</v>
      </c>
      <c r="BA143" s="37">
        <v>0</v>
      </c>
      <c r="BB143" s="37">
        <v>0</v>
      </c>
      <c r="BC143" s="37">
        <v>0</v>
      </c>
      <c r="BD143" s="37">
        <v>394769.38</v>
      </c>
      <c r="BE143" s="37">
        <v>0</v>
      </c>
      <c r="BF143" s="37">
        <v>0</v>
      </c>
      <c r="BG143" s="37">
        <v>45154.21820248224</v>
      </c>
      <c r="BH143" s="37">
        <v>48670.548445952081</v>
      </c>
      <c r="BI143" s="37">
        <v>59915.599255933994</v>
      </c>
      <c r="BJ143" s="37">
        <v>71160.674095631752</v>
      </c>
      <c r="BK143" s="37">
        <v>0</v>
      </c>
      <c r="BL143" s="37">
        <v>0</v>
      </c>
      <c r="BM143" s="37">
        <v>0</v>
      </c>
      <c r="BN143" s="37">
        <v>0</v>
      </c>
      <c r="BO143" s="37">
        <v>0</v>
      </c>
      <c r="BP143" s="37">
        <v>224901.04000000007</v>
      </c>
      <c r="BQ143" s="37">
        <v>0</v>
      </c>
      <c r="BR143" s="37">
        <v>0</v>
      </c>
      <c r="BS143" s="37">
        <v>0</v>
      </c>
      <c r="BT143" s="37">
        <v>0</v>
      </c>
      <c r="BU143" s="37">
        <v>0</v>
      </c>
      <c r="BV143" s="37">
        <v>0</v>
      </c>
      <c r="BW143" s="37">
        <v>0</v>
      </c>
      <c r="BX143" s="37">
        <v>0</v>
      </c>
      <c r="BY143" s="37">
        <v>0</v>
      </c>
      <c r="BZ143" s="37">
        <v>0</v>
      </c>
      <c r="CA143" s="37">
        <v>0</v>
      </c>
      <c r="CB143" s="37">
        <v>0</v>
      </c>
      <c r="CC143" s="37">
        <v>0</v>
      </c>
      <c r="CD143" s="37">
        <v>0</v>
      </c>
      <c r="CE143" s="37">
        <v>0</v>
      </c>
      <c r="CF143" s="37">
        <v>0</v>
      </c>
      <c r="CG143" s="37">
        <v>0</v>
      </c>
      <c r="CH143" s="37">
        <v>0</v>
      </c>
      <c r="CI143" s="37">
        <v>0</v>
      </c>
      <c r="CJ143" s="37">
        <v>0</v>
      </c>
      <c r="CK143" s="37">
        <v>0</v>
      </c>
      <c r="CL143" s="37">
        <v>0</v>
      </c>
      <c r="CM143" s="37">
        <v>0</v>
      </c>
      <c r="CN143" s="37">
        <v>0</v>
      </c>
      <c r="CO143" s="37">
        <v>0</v>
      </c>
      <c r="CP143" s="37">
        <v>0</v>
      </c>
      <c r="CQ143" s="37">
        <v>158400</v>
      </c>
      <c r="CR143" s="37">
        <v>0</v>
      </c>
      <c r="CS143" s="37">
        <v>0</v>
      </c>
      <c r="CT143" s="37">
        <v>0</v>
      </c>
      <c r="CU143" s="37">
        <v>0</v>
      </c>
      <c r="CV143" s="37">
        <v>0</v>
      </c>
      <c r="CW143" s="37">
        <v>0</v>
      </c>
      <c r="CX143" s="37">
        <v>0</v>
      </c>
      <c r="CY143" s="37">
        <v>0</v>
      </c>
      <c r="CZ143" s="37">
        <v>158400</v>
      </c>
      <c r="DA143" s="37">
        <v>0</v>
      </c>
      <c r="DB143" s="37">
        <v>0</v>
      </c>
      <c r="DC143" s="37">
        <v>39600</v>
      </c>
      <c r="DD143" s="37">
        <v>0</v>
      </c>
      <c r="DE143" s="37">
        <v>0</v>
      </c>
      <c r="DF143" s="37">
        <v>0</v>
      </c>
      <c r="DG143" s="37">
        <v>0</v>
      </c>
      <c r="DH143" s="37">
        <v>0</v>
      </c>
      <c r="DI143" s="37">
        <v>0</v>
      </c>
      <c r="DJ143" s="37">
        <v>0</v>
      </c>
      <c r="DK143" s="37">
        <v>0</v>
      </c>
      <c r="DL143" s="37">
        <v>39600</v>
      </c>
      <c r="DM143" s="37">
        <v>0</v>
      </c>
      <c r="DN143" s="37">
        <v>0</v>
      </c>
      <c r="DO143" s="37">
        <v>0</v>
      </c>
      <c r="DP143" s="37">
        <v>0</v>
      </c>
      <c r="DQ143" s="37">
        <v>0</v>
      </c>
      <c r="DR143" s="37">
        <v>0</v>
      </c>
      <c r="DS143" s="37">
        <v>0</v>
      </c>
      <c r="DT143" s="37">
        <v>0</v>
      </c>
      <c r="DU143" s="37">
        <v>0</v>
      </c>
      <c r="DV143" s="37">
        <v>0</v>
      </c>
      <c r="DW143" s="37">
        <v>0</v>
      </c>
      <c r="DX143" s="37">
        <v>0</v>
      </c>
      <c r="DY143" s="37">
        <v>0</v>
      </c>
      <c r="DZ143" s="37">
        <v>0</v>
      </c>
      <c r="EA143" s="37">
        <v>0</v>
      </c>
      <c r="EB143" s="37">
        <v>0</v>
      </c>
      <c r="EC143" s="37">
        <v>0</v>
      </c>
      <c r="ED143" s="37">
        <v>0</v>
      </c>
      <c r="EE143" s="37">
        <v>0</v>
      </c>
      <c r="EF143" s="37">
        <v>0</v>
      </c>
      <c r="EG143" s="37">
        <v>0</v>
      </c>
      <c r="EH143" s="37">
        <v>0</v>
      </c>
      <c r="EI143" s="37">
        <v>0</v>
      </c>
      <c r="EJ143" s="37">
        <v>0</v>
      </c>
      <c r="EK143" s="161" t="s">
        <v>1672</v>
      </c>
      <c r="EL143" s="294" t="s">
        <v>1124</v>
      </c>
    </row>
    <row r="144" spans="1:142" ht="15" customHeight="1" x14ac:dyDescent="0.35">
      <c r="A144" s="34"/>
      <c r="B144" s="313">
        <v>38070</v>
      </c>
      <c r="C144" s="8" t="s">
        <v>336</v>
      </c>
      <c r="D144" s="18">
        <v>17</v>
      </c>
      <c r="E144" s="155">
        <v>135555</v>
      </c>
      <c r="F144" s="36">
        <v>85781</v>
      </c>
      <c r="G144" s="37">
        <v>5588</v>
      </c>
      <c r="H144" s="37">
        <v>0</v>
      </c>
      <c r="I144" s="37">
        <v>10700</v>
      </c>
      <c r="J144" s="37">
        <v>0</v>
      </c>
      <c r="K144" s="37">
        <v>20333.25</v>
      </c>
      <c r="L144" s="37">
        <v>12867.15</v>
      </c>
      <c r="M144" s="37">
        <v>172176.25</v>
      </c>
      <c r="N144" s="37">
        <v>98648.15</v>
      </c>
      <c r="O144" s="37">
        <v>0</v>
      </c>
      <c r="P144" s="37">
        <v>0</v>
      </c>
      <c r="Q144" s="37">
        <v>146554</v>
      </c>
      <c r="R144" s="37">
        <v>66294</v>
      </c>
      <c r="S144" s="37">
        <v>556</v>
      </c>
      <c r="T144" s="37">
        <v>16685</v>
      </c>
      <c r="U144" s="37">
        <v>17457</v>
      </c>
      <c r="V144" s="37">
        <v>3684</v>
      </c>
      <c r="W144" s="37">
        <v>7609.25</v>
      </c>
      <c r="X144" s="37">
        <v>11985.149999999994</v>
      </c>
      <c r="Y144" s="37">
        <v>0</v>
      </c>
      <c r="Z144" s="37">
        <v>0</v>
      </c>
      <c r="AA144" s="37">
        <v>172176.25</v>
      </c>
      <c r="AB144" s="37">
        <v>98648.15</v>
      </c>
      <c r="AC144" s="37">
        <v>0</v>
      </c>
      <c r="AD144" s="37">
        <v>0</v>
      </c>
      <c r="AE144" s="37">
        <v>0</v>
      </c>
      <c r="AF144" s="168">
        <v>0.02</v>
      </c>
      <c r="AG144" s="37">
        <v>21913573.809999999</v>
      </c>
      <c r="AH144" s="37">
        <v>208195.66</v>
      </c>
      <c r="AI144" s="37">
        <v>212359.57</v>
      </c>
      <c r="AJ144" s="37">
        <v>216606.76</v>
      </c>
      <c r="AK144" s="37">
        <v>220938.9</v>
      </c>
      <c r="AL144" s="37">
        <v>225357.67</v>
      </c>
      <c r="AM144" s="37">
        <v>229864.83</v>
      </c>
      <c r="AN144" s="37">
        <v>234462.12</v>
      </c>
      <c r="AO144" s="37">
        <v>239151.37</v>
      </c>
      <c r="AP144" s="37">
        <v>243934.39</v>
      </c>
      <c r="AQ144" s="37">
        <v>248813.08</v>
      </c>
      <c r="AR144" s="37">
        <v>2279684.35</v>
      </c>
      <c r="AS144" s="37">
        <v>99358.2</v>
      </c>
      <c r="AT144" s="37">
        <v>94962</v>
      </c>
      <c r="AU144" s="37">
        <v>65025</v>
      </c>
      <c r="AV144" s="37">
        <v>0</v>
      </c>
      <c r="AW144" s="37">
        <v>0</v>
      </c>
      <c r="AX144" s="37">
        <v>0</v>
      </c>
      <c r="AY144" s="37">
        <v>0</v>
      </c>
      <c r="AZ144" s="37">
        <v>0</v>
      </c>
      <c r="BA144" s="37">
        <v>0</v>
      </c>
      <c r="BB144" s="37">
        <v>0</v>
      </c>
      <c r="BC144" s="37">
        <v>0</v>
      </c>
      <c r="BD144" s="37">
        <v>159987</v>
      </c>
      <c r="BE144" s="37">
        <v>0</v>
      </c>
      <c r="BF144" s="37">
        <v>0</v>
      </c>
      <c r="BG144" s="37">
        <v>0</v>
      </c>
      <c r="BH144" s="37">
        <v>0</v>
      </c>
      <c r="BI144" s="37">
        <v>0</v>
      </c>
      <c r="BJ144" s="37">
        <v>0</v>
      </c>
      <c r="BK144" s="37">
        <v>0</v>
      </c>
      <c r="BL144" s="37">
        <v>0</v>
      </c>
      <c r="BM144" s="37">
        <v>0</v>
      </c>
      <c r="BN144" s="37">
        <v>0</v>
      </c>
      <c r="BO144" s="37">
        <v>0</v>
      </c>
      <c r="BP144" s="37">
        <v>0</v>
      </c>
      <c r="BQ144" s="37">
        <v>0</v>
      </c>
      <c r="BR144" s="37">
        <v>0</v>
      </c>
      <c r="BS144" s="37">
        <v>0</v>
      </c>
      <c r="BT144" s="37">
        <v>0</v>
      </c>
      <c r="BU144" s="37">
        <v>0</v>
      </c>
      <c r="BV144" s="37">
        <v>0</v>
      </c>
      <c r="BW144" s="37">
        <v>0</v>
      </c>
      <c r="BX144" s="37">
        <v>0</v>
      </c>
      <c r="BY144" s="37">
        <v>0</v>
      </c>
      <c r="BZ144" s="37">
        <v>0</v>
      </c>
      <c r="CA144" s="37">
        <v>0</v>
      </c>
      <c r="CB144" s="37">
        <v>0</v>
      </c>
      <c r="CC144" s="37">
        <v>0</v>
      </c>
      <c r="CD144" s="37">
        <v>0</v>
      </c>
      <c r="CE144" s="37">
        <v>0</v>
      </c>
      <c r="CF144" s="37">
        <v>0</v>
      </c>
      <c r="CG144" s="37">
        <v>0</v>
      </c>
      <c r="CH144" s="37">
        <v>0</v>
      </c>
      <c r="CI144" s="37">
        <v>0</v>
      </c>
      <c r="CJ144" s="37">
        <v>0</v>
      </c>
      <c r="CK144" s="37">
        <v>0</v>
      </c>
      <c r="CL144" s="37">
        <v>0</v>
      </c>
      <c r="CM144" s="37">
        <v>0</v>
      </c>
      <c r="CN144" s="37">
        <v>0</v>
      </c>
      <c r="CO144" s="37">
        <v>0</v>
      </c>
      <c r="CP144" s="37">
        <v>0</v>
      </c>
      <c r="CQ144" s="37">
        <v>0</v>
      </c>
      <c r="CR144" s="37">
        <v>0</v>
      </c>
      <c r="CS144" s="37">
        <v>0</v>
      </c>
      <c r="CT144" s="37">
        <v>0</v>
      </c>
      <c r="CU144" s="37">
        <v>0</v>
      </c>
      <c r="CV144" s="37">
        <v>0</v>
      </c>
      <c r="CW144" s="37">
        <v>0</v>
      </c>
      <c r="CX144" s="37">
        <v>0</v>
      </c>
      <c r="CY144" s="37">
        <v>0</v>
      </c>
      <c r="CZ144" s="37">
        <v>0</v>
      </c>
      <c r="DA144" s="37">
        <v>0</v>
      </c>
      <c r="DB144" s="37">
        <v>0</v>
      </c>
      <c r="DC144" s="37">
        <v>0</v>
      </c>
      <c r="DD144" s="37">
        <v>0</v>
      </c>
      <c r="DE144" s="37">
        <v>0</v>
      </c>
      <c r="DF144" s="37">
        <v>0</v>
      </c>
      <c r="DG144" s="37">
        <v>0</v>
      </c>
      <c r="DH144" s="37">
        <v>0</v>
      </c>
      <c r="DI144" s="37">
        <v>0</v>
      </c>
      <c r="DJ144" s="37">
        <v>0</v>
      </c>
      <c r="DK144" s="37">
        <v>0</v>
      </c>
      <c r="DL144" s="37">
        <v>0</v>
      </c>
      <c r="DM144" s="37">
        <v>0</v>
      </c>
      <c r="DN144" s="37">
        <v>0</v>
      </c>
      <c r="DO144" s="37">
        <v>0</v>
      </c>
      <c r="DP144" s="37">
        <v>0</v>
      </c>
      <c r="DQ144" s="37">
        <v>0</v>
      </c>
      <c r="DR144" s="37">
        <v>0</v>
      </c>
      <c r="DS144" s="37">
        <v>0</v>
      </c>
      <c r="DT144" s="37">
        <v>0</v>
      </c>
      <c r="DU144" s="37">
        <v>0</v>
      </c>
      <c r="DV144" s="37">
        <v>0</v>
      </c>
      <c r="DW144" s="37">
        <v>0</v>
      </c>
      <c r="DX144" s="37">
        <v>0</v>
      </c>
      <c r="DY144" s="37">
        <v>0</v>
      </c>
      <c r="DZ144" s="37">
        <v>0</v>
      </c>
      <c r="EA144" s="37">
        <v>0</v>
      </c>
      <c r="EB144" s="37">
        <v>0</v>
      </c>
      <c r="EC144" s="37">
        <v>0</v>
      </c>
      <c r="ED144" s="37">
        <v>0</v>
      </c>
      <c r="EE144" s="37">
        <v>0</v>
      </c>
      <c r="EF144" s="37">
        <v>0</v>
      </c>
      <c r="EG144" s="37">
        <v>0</v>
      </c>
      <c r="EH144" s="37">
        <v>0</v>
      </c>
      <c r="EI144" s="37">
        <v>0</v>
      </c>
      <c r="EJ144" s="37">
        <v>0</v>
      </c>
      <c r="EK144" s="161" t="s">
        <v>1676</v>
      </c>
      <c r="EL144" s="294" t="s">
        <v>1124</v>
      </c>
    </row>
    <row r="145" spans="1:142" ht="15" customHeight="1" x14ac:dyDescent="0.35">
      <c r="A145" s="34"/>
      <c r="B145" s="313">
        <v>34058</v>
      </c>
      <c r="C145" s="8" t="s">
        <v>291</v>
      </c>
      <c r="D145" s="18">
        <v>3</v>
      </c>
      <c r="E145" s="155">
        <v>311561</v>
      </c>
      <c r="F145" s="36">
        <v>174399</v>
      </c>
      <c r="G145" s="37">
        <v>32684</v>
      </c>
      <c r="H145" s="37">
        <v>5909</v>
      </c>
      <c r="I145" s="37">
        <v>302988</v>
      </c>
      <c r="J145" s="37">
        <v>251330</v>
      </c>
      <c r="K145" s="37">
        <v>46734</v>
      </c>
      <c r="L145" s="37">
        <v>26159</v>
      </c>
      <c r="M145" s="37">
        <v>693967</v>
      </c>
      <c r="N145" s="37">
        <v>457797</v>
      </c>
      <c r="O145" s="37">
        <v>0</v>
      </c>
      <c r="P145" s="37">
        <v>0</v>
      </c>
      <c r="Q145" s="37">
        <v>347297</v>
      </c>
      <c r="R145" s="37">
        <v>158914</v>
      </c>
      <c r="S145" s="37">
        <v>27270</v>
      </c>
      <c r="T145" s="37">
        <v>0</v>
      </c>
      <c r="U145" s="37">
        <v>32952</v>
      </c>
      <c r="V145" s="37">
        <v>2598</v>
      </c>
      <c r="W145" s="37">
        <v>286448</v>
      </c>
      <c r="X145" s="37">
        <v>296285</v>
      </c>
      <c r="Y145" s="37">
        <v>0</v>
      </c>
      <c r="Z145" s="37">
        <v>0</v>
      </c>
      <c r="AA145" s="37">
        <v>693967</v>
      </c>
      <c r="AB145" s="37">
        <v>457797</v>
      </c>
      <c r="AC145" s="37">
        <v>0</v>
      </c>
      <c r="AD145" s="37">
        <v>0</v>
      </c>
      <c r="AE145" s="37">
        <v>0</v>
      </c>
      <c r="AF145" s="168">
        <v>0.02</v>
      </c>
      <c r="AG145" s="37">
        <v>86807752.170000002</v>
      </c>
      <c r="AH145" s="37">
        <v>678896.12</v>
      </c>
      <c r="AI145" s="37">
        <v>692474.04</v>
      </c>
      <c r="AJ145" s="37">
        <v>706323.52</v>
      </c>
      <c r="AK145" s="37">
        <v>720449.99</v>
      </c>
      <c r="AL145" s="37">
        <v>734858.99</v>
      </c>
      <c r="AM145" s="37">
        <v>749556.17</v>
      </c>
      <c r="AN145" s="37">
        <v>764547.3</v>
      </c>
      <c r="AO145" s="37">
        <v>779838.24</v>
      </c>
      <c r="AP145" s="37">
        <v>795435.01</v>
      </c>
      <c r="AQ145" s="37">
        <v>811343.71</v>
      </c>
      <c r="AR145" s="37">
        <v>7433723.0899999999</v>
      </c>
      <c r="AS145" s="37">
        <v>39535.199999999997</v>
      </c>
      <c r="AT145" s="37">
        <v>2346000</v>
      </c>
      <c r="AU145" s="37">
        <v>0</v>
      </c>
      <c r="AV145" s="37">
        <v>0</v>
      </c>
      <c r="AW145" s="37">
        <v>0</v>
      </c>
      <c r="AX145" s="37">
        <v>0</v>
      </c>
      <c r="AY145" s="37">
        <v>0</v>
      </c>
      <c r="AZ145" s="37">
        <v>0</v>
      </c>
      <c r="BA145" s="37">
        <v>0</v>
      </c>
      <c r="BB145" s="37">
        <v>0</v>
      </c>
      <c r="BC145" s="37">
        <v>0</v>
      </c>
      <c r="BD145" s="37">
        <v>2346000</v>
      </c>
      <c r="BE145" s="37">
        <v>0</v>
      </c>
      <c r="BF145" s="37">
        <v>0</v>
      </c>
      <c r="BG145" s="37">
        <v>0</v>
      </c>
      <c r="BH145" s="37">
        <v>0</v>
      </c>
      <c r="BI145" s="37">
        <v>0</v>
      </c>
      <c r="BJ145" s="37">
        <v>0</v>
      </c>
      <c r="BK145" s="37">
        <v>0</v>
      </c>
      <c r="BL145" s="37">
        <v>0</v>
      </c>
      <c r="BM145" s="37">
        <v>0</v>
      </c>
      <c r="BN145" s="37">
        <v>0</v>
      </c>
      <c r="BO145" s="37">
        <v>0</v>
      </c>
      <c r="BP145" s="37">
        <v>0</v>
      </c>
      <c r="BQ145" s="37">
        <v>0</v>
      </c>
      <c r="BR145" s="37">
        <v>0</v>
      </c>
      <c r="BS145" s="37">
        <v>0</v>
      </c>
      <c r="BT145" s="37">
        <v>0</v>
      </c>
      <c r="BU145" s="37">
        <v>0</v>
      </c>
      <c r="BV145" s="37">
        <v>0</v>
      </c>
      <c r="BW145" s="37">
        <v>0</v>
      </c>
      <c r="BX145" s="37">
        <v>0</v>
      </c>
      <c r="BY145" s="37">
        <v>0</v>
      </c>
      <c r="BZ145" s="37">
        <v>0</v>
      </c>
      <c r="CA145" s="37">
        <v>0</v>
      </c>
      <c r="CB145" s="37">
        <v>0</v>
      </c>
      <c r="CC145" s="37">
        <v>0</v>
      </c>
      <c r="CD145" s="37">
        <v>0</v>
      </c>
      <c r="CE145" s="37">
        <v>0</v>
      </c>
      <c r="CF145" s="37">
        <v>0</v>
      </c>
      <c r="CG145" s="37">
        <v>0</v>
      </c>
      <c r="CH145" s="37">
        <v>0</v>
      </c>
      <c r="CI145" s="37">
        <v>0</v>
      </c>
      <c r="CJ145" s="37">
        <v>0</v>
      </c>
      <c r="CK145" s="37">
        <v>0</v>
      </c>
      <c r="CL145" s="37">
        <v>0</v>
      </c>
      <c r="CM145" s="37">
        <v>0</v>
      </c>
      <c r="CN145" s="37">
        <v>0</v>
      </c>
      <c r="CO145" s="37">
        <v>0</v>
      </c>
      <c r="CP145" s="37">
        <v>0</v>
      </c>
      <c r="CQ145" s="37">
        <v>0</v>
      </c>
      <c r="CR145" s="37">
        <v>0</v>
      </c>
      <c r="CS145" s="37">
        <v>0</v>
      </c>
      <c r="CT145" s="37">
        <v>0</v>
      </c>
      <c r="CU145" s="37">
        <v>0</v>
      </c>
      <c r="CV145" s="37">
        <v>0</v>
      </c>
      <c r="CW145" s="37">
        <v>0</v>
      </c>
      <c r="CX145" s="37">
        <v>0</v>
      </c>
      <c r="CY145" s="37">
        <v>0</v>
      </c>
      <c r="CZ145" s="37">
        <v>0</v>
      </c>
      <c r="DA145" s="37">
        <v>0</v>
      </c>
      <c r="DB145" s="37">
        <v>0</v>
      </c>
      <c r="DC145" s="37">
        <v>0</v>
      </c>
      <c r="DD145" s="37">
        <v>0</v>
      </c>
      <c r="DE145" s="37">
        <v>0</v>
      </c>
      <c r="DF145" s="37">
        <v>0</v>
      </c>
      <c r="DG145" s="37">
        <v>0</v>
      </c>
      <c r="DH145" s="37">
        <v>0</v>
      </c>
      <c r="DI145" s="37">
        <v>0</v>
      </c>
      <c r="DJ145" s="37">
        <v>0</v>
      </c>
      <c r="DK145" s="37">
        <v>0</v>
      </c>
      <c r="DL145" s="37">
        <v>0</v>
      </c>
      <c r="DM145" s="37">
        <v>0</v>
      </c>
      <c r="DN145" s="37">
        <v>0</v>
      </c>
      <c r="DO145" s="37">
        <v>0</v>
      </c>
      <c r="DP145" s="37">
        <v>0</v>
      </c>
      <c r="DQ145" s="37">
        <v>0</v>
      </c>
      <c r="DR145" s="37">
        <v>0</v>
      </c>
      <c r="DS145" s="37">
        <v>0</v>
      </c>
      <c r="DT145" s="37">
        <v>0</v>
      </c>
      <c r="DU145" s="37">
        <v>0</v>
      </c>
      <c r="DV145" s="37">
        <v>0</v>
      </c>
      <c r="DW145" s="37">
        <v>0</v>
      </c>
      <c r="DX145" s="37">
        <v>0</v>
      </c>
      <c r="DY145" s="37">
        <v>0</v>
      </c>
      <c r="DZ145" s="37">
        <v>0</v>
      </c>
      <c r="EA145" s="37">
        <v>0</v>
      </c>
      <c r="EB145" s="37">
        <v>0</v>
      </c>
      <c r="EC145" s="37">
        <v>0</v>
      </c>
      <c r="ED145" s="37">
        <v>0</v>
      </c>
      <c r="EE145" s="37">
        <v>0</v>
      </c>
      <c r="EF145" s="37">
        <v>0</v>
      </c>
      <c r="EG145" s="37">
        <v>0</v>
      </c>
      <c r="EH145" s="37">
        <v>0</v>
      </c>
      <c r="EI145" s="37">
        <v>0</v>
      </c>
      <c r="EJ145" s="37">
        <v>0</v>
      </c>
      <c r="EK145" s="161" t="s">
        <v>1682</v>
      </c>
      <c r="EL145" s="294" t="s">
        <v>1124</v>
      </c>
    </row>
    <row r="146" spans="1:142" ht="15" customHeight="1" x14ac:dyDescent="0.35">
      <c r="A146" s="34"/>
      <c r="B146" s="313">
        <v>72010</v>
      </c>
      <c r="C146" s="8" t="s">
        <v>728</v>
      </c>
      <c r="D146" s="18">
        <v>15</v>
      </c>
      <c r="E146" s="155">
        <v>1262540</v>
      </c>
      <c r="F146" s="36">
        <v>1087145</v>
      </c>
      <c r="G146" s="37">
        <v>320425</v>
      </c>
      <c r="H146" s="37">
        <v>153307</v>
      </c>
      <c r="I146" s="37">
        <v>773000</v>
      </c>
      <c r="J146" s="37">
        <v>320000</v>
      </c>
      <c r="K146" s="37">
        <v>189381</v>
      </c>
      <c r="L146" s="37">
        <v>163071.75</v>
      </c>
      <c r="M146" s="37">
        <v>2545346</v>
      </c>
      <c r="N146" s="37">
        <v>1723523.75</v>
      </c>
      <c r="O146" s="37">
        <v>1315000</v>
      </c>
      <c r="P146" s="37">
        <v>0</v>
      </c>
      <c r="Q146" s="37">
        <v>36000</v>
      </c>
      <c r="R146" s="37">
        <v>1298000</v>
      </c>
      <c r="S146" s="37">
        <v>0</v>
      </c>
      <c r="T146" s="37">
        <v>0</v>
      </c>
      <c r="U146" s="37">
        <v>0</v>
      </c>
      <c r="V146" s="37">
        <v>0</v>
      </c>
      <c r="W146" s="37">
        <v>1194346</v>
      </c>
      <c r="X146" s="37">
        <v>465524</v>
      </c>
      <c r="Y146" s="37">
        <v>0</v>
      </c>
      <c r="Z146" s="37">
        <v>0</v>
      </c>
      <c r="AA146" s="37">
        <v>2545346</v>
      </c>
      <c r="AB146" s="37">
        <v>1763524</v>
      </c>
      <c r="AC146" s="37">
        <v>40000</v>
      </c>
      <c r="AD146" s="37">
        <v>40000</v>
      </c>
      <c r="AE146" s="37">
        <v>291735</v>
      </c>
      <c r="AF146" s="168">
        <v>0.02</v>
      </c>
      <c r="AG146" s="37">
        <v>223193637.74000001</v>
      </c>
      <c r="AH146" s="37">
        <v>1789034.07</v>
      </c>
      <c r="AI146" s="37">
        <v>1856650.99</v>
      </c>
      <c r="AJ146" s="37">
        <v>1861311.04</v>
      </c>
      <c r="AK146" s="37">
        <v>1898537.26</v>
      </c>
      <c r="AL146" s="37">
        <v>1936508.01</v>
      </c>
      <c r="AM146" s="37">
        <v>1975238.17</v>
      </c>
      <c r="AN146" s="37">
        <v>2014742.93</v>
      </c>
      <c r="AO146" s="37">
        <v>2055037.79</v>
      </c>
      <c r="AP146" s="37">
        <v>2096138.55</v>
      </c>
      <c r="AQ146" s="37">
        <v>2138061.3199999998</v>
      </c>
      <c r="AR146" s="37">
        <v>19621260.129999999</v>
      </c>
      <c r="AS146" s="37">
        <v>1738407.48</v>
      </c>
      <c r="AT146" s="37">
        <v>312120</v>
      </c>
      <c r="AU146" s="37">
        <v>390524.54</v>
      </c>
      <c r="AV146" s="37">
        <v>1623648.24</v>
      </c>
      <c r="AW146" s="37">
        <v>1656121.2</v>
      </c>
      <c r="AX146" s="37">
        <v>1689243.63</v>
      </c>
      <c r="AY146" s="37">
        <v>1723028.5</v>
      </c>
      <c r="AZ146" s="37">
        <v>1757489.07</v>
      </c>
      <c r="BA146" s="37">
        <v>1792638.85</v>
      </c>
      <c r="BB146" s="37">
        <v>0</v>
      </c>
      <c r="BC146" s="37">
        <v>0</v>
      </c>
      <c r="BD146" s="37">
        <v>10944814.029999999</v>
      </c>
      <c r="BE146" s="37">
        <v>0</v>
      </c>
      <c r="BF146" s="37">
        <v>0</v>
      </c>
      <c r="BG146" s="37">
        <v>0</v>
      </c>
      <c r="BH146" s="37">
        <v>0</v>
      </c>
      <c r="BI146" s="37">
        <v>0</v>
      </c>
      <c r="BJ146" s="37">
        <v>0</v>
      </c>
      <c r="BK146" s="37">
        <v>0</v>
      </c>
      <c r="BL146" s="37">
        <v>0</v>
      </c>
      <c r="BM146" s="37">
        <v>0</v>
      </c>
      <c r="BN146" s="37">
        <v>0</v>
      </c>
      <c r="BO146" s="37">
        <v>0</v>
      </c>
      <c r="BP146" s="37">
        <v>0</v>
      </c>
      <c r="BQ146" s="37">
        <v>0</v>
      </c>
      <c r="BR146" s="37">
        <v>0</v>
      </c>
      <c r="BS146" s="37">
        <v>0</v>
      </c>
      <c r="BT146" s="37">
        <v>0</v>
      </c>
      <c r="BU146" s="37">
        <v>0</v>
      </c>
      <c r="BV146" s="37">
        <v>0</v>
      </c>
      <c r="BW146" s="37">
        <v>0</v>
      </c>
      <c r="BX146" s="37">
        <v>0</v>
      </c>
      <c r="BY146" s="37">
        <v>0</v>
      </c>
      <c r="BZ146" s="37">
        <v>0</v>
      </c>
      <c r="CA146" s="37">
        <v>0</v>
      </c>
      <c r="CB146" s="37">
        <v>0</v>
      </c>
      <c r="CC146" s="37">
        <v>0</v>
      </c>
      <c r="CD146" s="37">
        <v>0</v>
      </c>
      <c r="CE146" s="37">
        <v>0</v>
      </c>
      <c r="CF146" s="37">
        <v>0</v>
      </c>
      <c r="CG146" s="37">
        <v>0</v>
      </c>
      <c r="CH146" s="37">
        <v>0</v>
      </c>
      <c r="CI146" s="37">
        <v>0</v>
      </c>
      <c r="CJ146" s="37">
        <v>0</v>
      </c>
      <c r="CK146" s="37">
        <v>0</v>
      </c>
      <c r="CL146" s="37">
        <v>0</v>
      </c>
      <c r="CM146" s="37">
        <v>0</v>
      </c>
      <c r="CN146" s="37">
        <v>0</v>
      </c>
      <c r="CO146" s="37">
        <v>0</v>
      </c>
      <c r="CP146" s="37">
        <v>0</v>
      </c>
      <c r="CQ146" s="37">
        <v>0</v>
      </c>
      <c r="CR146" s="37">
        <v>0</v>
      </c>
      <c r="CS146" s="37">
        <v>0</v>
      </c>
      <c r="CT146" s="37">
        <v>0</v>
      </c>
      <c r="CU146" s="37">
        <v>0</v>
      </c>
      <c r="CV146" s="37">
        <v>0</v>
      </c>
      <c r="CW146" s="37">
        <v>0</v>
      </c>
      <c r="CX146" s="37">
        <v>0</v>
      </c>
      <c r="CY146" s="37">
        <v>0</v>
      </c>
      <c r="CZ146" s="37">
        <v>0</v>
      </c>
      <c r="DA146" s="37">
        <v>0</v>
      </c>
      <c r="DB146" s="37">
        <v>0</v>
      </c>
      <c r="DC146" s="37">
        <v>0</v>
      </c>
      <c r="DD146" s="37">
        <v>0</v>
      </c>
      <c r="DE146" s="37">
        <v>0</v>
      </c>
      <c r="DF146" s="37">
        <v>0</v>
      </c>
      <c r="DG146" s="37">
        <v>0</v>
      </c>
      <c r="DH146" s="37">
        <v>0</v>
      </c>
      <c r="DI146" s="37">
        <v>0</v>
      </c>
      <c r="DJ146" s="37">
        <v>0</v>
      </c>
      <c r="DK146" s="37">
        <v>0</v>
      </c>
      <c r="DL146" s="37">
        <v>0</v>
      </c>
      <c r="DM146" s="37">
        <v>0</v>
      </c>
      <c r="DN146" s="37">
        <v>0</v>
      </c>
      <c r="DO146" s="37">
        <v>0</v>
      </c>
      <c r="DP146" s="37">
        <v>0</v>
      </c>
      <c r="DQ146" s="37">
        <v>0</v>
      </c>
      <c r="DR146" s="37">
        <v>0</v>
      </c>
      <c r="DS146" s="37">
        <v>0</v>
      </c>
      <c r="DT146" s="37">
        <v>0</v>
      </c>
      <c r="DU146" s="37">
        <v>0</v>
      </c>
      <c r="DV146" s="37">
        <v>0</v>
      </c>
      <c r="DW146" s="37">
        <v>0</v>
      </c>
      <c r="DX146" s="37">
        <v>0</v>
      </c>
      <c r="DY146" s="37">
        <v>0</v>
      </c>
      <c r="DZ146" s="37">
        <v>0</v>
      </c>
      <c r="EA146" s="37">
        <v>0</v>
      </c>
      <c r="EB146" s="37">
        <v>0</v>
      </c>
      <c r="EC146" s="37">
        <v>0</v>
      </c>
      <c r="ED146" s="37">
        <v>0</v>
      </c>
      <c r="EE146" s="37">
        <v>0</v>
      </c>
      <c r="EF146" s="37">
        <v>0</v>
      </c>
      <c r="EG146" s="37">
        <v>0</v>
      </c>
      <c r="EH146" s="37">
        <v>0</v>
      </c>
      <c r="EI146" s="37">
        <v>0</v>
      </c>
      <c r="EJ146" s="37">
        <v>0</v>
      </c>
      <c r="EK146" s="161" t="s">
        <v>1687</v>
      </c>
      <c r="EL146" s="294" t="s">
        <v>1124</v>
      </c>
    </row>
    <row r="147" spans="1:142" ht="15" customHeight="1" x14ac:dyDescent="0.35">
      <c r="A147" s="34"/>
      <c r="B147" s="313">
        <v>31020</v>
      </c>
      <c r="C147" s="8" t="s">
        <v>239</v>
      </c>
      <c r="D147" s="18">
        <v>12</v>
      </c>
      <c r="E147" s="155"/>
      <c r="F147" s="36"/>
      <c r="G147" s="37"/>
      <c r="H147" s="37"/>
      <c r="I147" s="37"/>
      <c r="J147" s="37"/>
      <c r="K147" s="37"/>
      <c r="L147" s="37"/>
      <c r="M147" s="37" t="s">
        <v>1124</v>
      </c>
      <c r="N147" s="37" t="s">
        <v>1124</v>
      </c>
      <c r="O147" s="37"/>
      <c r="P147" s="37"/>
      <c r="Q147" s="37"/>
      <c r="R147" s="37"/>
      <c r="S147" s="37"/>
      <c r="T147" s="37"/>
      <c r="U147" s="37"/>
      <c r="V147" s="37"/>
      <c r="W147" s="37"/>
      <c r="X147" s="37"/>
      <c r="Y147" s="37"/>
      <c r="Z147" s="37"/>
      <c r="AA147" s="37" t="s">
        <v>1124</v>
      </c>
      <c r="AB147" s="37" t="s">
        <v>1124</v>
      </c>
      <c r="AC147" s="37"/>
      <c r="AD147" s="37"/>
      <c r="AE147" s="37"/>
      <c r="AF147" s="168"/>
      <c r="AG147" s="37"/>
      <c r="AH147" s="37"/>
      <c r="AI147" s="37"/>
      <c r="AJ147" s="37"/>
      <c r="AK147" s="37"/>
      <c r="AL147" s="37"/>
      <c r="AM147" s="37"/>
      <c r="AN147" s="37"/>
      <c r="AO147" s="37"/>
      <c r="AP147" s="37"/>
      <c r="AQ147" s="37"/>
      <c r="AR147" s="37" t="s">
        <v>1124</v>
      </c>
      <c r="AS147" s="37"/>
      <c r="AT147" s="37"/>
      <c r="AU147" s="37"/>
      <c r="AV147" s="37"/>
      <c r="AW147" s="37"/>
      <c r="AX147" s="37"/>
      <c r="AY147" s="37"/>
      <c r="AZ147" s="37"/>
      <c r="BA147" s="37"/>
      <c r="BB147" s="37"/>
      <c r="BC147" s="37"/>
      <c r="BD147" s="37" t="s">
        <v>1124</v>
      </c>
      <c r="BE147" s="37"/>
      <c r="BF147" s="37"/>
      <c r="BG147" s="37"/>
      <c r="BH147" s="37"/>
      <c r="BI147" s="37"/>
      <c r="BJ147" s="37"/>
      <c r="BK147" s="37"/>
      <c r="BL147" s="37"/>
      <c r="BM147" s="37"/>
      <c r="BN147" s="37"/>
      <c r="BO147" s="37"/>
      <c r="BP147" s="37">
        <v>0</v>
      </c>
      <c r="BQ147" s="37"/>
      <c r="BR147" s="37"/>
      <c r="BS147" s="37"/>
      <c r="BT147" s="37"/>
      <c r="BU147" s="37"/>
      <c r="BV147" s="37"/>
      <c r="BW147" s="37"/>
      <c r="BX147" s="37"/>
      <c r="BY147" s="37"/>
      <c r="BZ147" s="37"/>
      <c r="CA147" s="37"/>
      <c r="CB147" s="37" t="s">
        <v>1124</v>
      </c>
      <c r="CC147" s="37"/>
      <c r="CD147" s="37"/>
      <c r="CE147" s="37"/>
      <c r="CF147" s="37"/>
      <c r="CG147" s="37"/>
      <c r="CH147" s="37"/>
      <c r="CI147" s="37"/>
      <c r="CJ147" s="37"/>
      <c r="CK147" s="37"/>
      <c r="CL147" s="37"/>
      <c r="CM147" s="37"/>
      <c r="CN147" s="37" t="s">
        <v>1124</v>
      </c>
      <c r="CO147" s="37"/>
      <c r="CP147" s="37"/>
      <c r="CQ147" s="37"/>
      <c r="CR147" s="37"/>
      <c r="CS147" s="37"/>
      <c r="CT147" s="37"/>
      <c r="CU147" s="37"/>
      <c r="CV147" s="37"/>
      <c r="CW147" s="37"/>
      <c r="CX147" s="37"/>
      <c r="CY147" s="37"/>
      <c r="CZ147" s="37" t="s">
        <v>1124</v>
      </c>
      <c r="DA147" s="37"/>
      <c r="DB147" s="37"/>
      <c r="DC147" s="37"/>
      <c r="DD147" s="37"/>
      <c r="DE147" s="37"/>
      <c r="DF147" s="37"/>
      <c r="DG147" s="37"/>
      <c r="DH147" s="37"/>
      <c r="DI147" s="37"/>
      <c r="DJ147" s="37"/>
      <c r="DK147" s="37"/>
      <c r="DL147" s="37" t="s">
        <v>1124</v>
      </c>
      <c r="DM147" s="37"/>
      <c r="DN147" s="37"/>
      <c r="DO147" s="37"/>
      <c r="DP147" s="37"/>
      <c r="DQ147" s="37"/>
      <c r="DR147" s="37"/>
      <c r="DS147" s="37"/>
      <c r="DT147" s="37"/>
      <c r="DU147" s="37"/>
      <c r="DV147" s="37"/>
      <c r="DW147" s="37"/>
      <c r="DX147" s="37" t="s">
        <v>1124</v>
      </c>
      <c r="DY147" s="37"/>
      <c r="DZ147" s="37"/>
      <c r="EA147" s="37"/>
      <c r="EB147" s="37"/>
      <c r="EC147" s="37"/>
      <c r="ED147" s="37"/>
      <c r="EE147" s="37"/>
      <c r="EF147" s="37"/>
      <c r="EG147" s="37"/>
      <c r="EH147" s="37"/>
      <c r="EI147" s="37"/>
      <c r="EJ147" s="37" t="s">
        <v>1124</v>
      </c>
      <c r="EK147" s="161"/>
      <c r="EL147" s="294"/>
    </row>
    <row r="148" spans="1:142" ht="15" customHeight="1" x14ac:dyDescent="0.35">
      <c r="A148" s="34"/>
      <c r="B148" s="313">
        <v>31015</v>
      </c>
      <c r="C148" s="8" t="s">
        <v>238</v>
      </c>
      <c r="D148" s="18">
        <v>12</v>
      </c>
      <c r="E148" s="155">
        <v>230386</v>
      </c>
      <c r="F148" s="36">
        <v>242179</v>
      </c>
      <c r="G148" s="37">
        <v>255615</v>
      </c>
      <c r="H148" s="37">
        <v>46650</v>
      </c>
      <c r="I148" s="37">
        <v>54243.69</v>
      </c>
      <c r="J148" s="37">
        <v>44039.34</v>
      </c>
      <c r="K148" s="37">
        <v>34557.9</v>
      </c>
      <c r="L148" s="37">
        <v>36326.85</v>
      </c>
      <c r="M148" s="37">
        <v>574802.59</v>
      </c>
      <c r="N148" s="37">
        <v>369195.19</v>
      </c>
      <c r="O148" s="37">
        <v>0</v>
      </c>
      <c r="P148" s="37">
        <v>0</v>
      </c>
      <c r="Q148" s="37">
        <v>219220</v>
      </c>
      <c r="R148" s="37">
        <v>270652</v>
      </c>
      <c r="S148" s="37">
        <v>4695</v>
      </c>
      <c r="T148" s="37">
        <v>1386</v>
      </c>
      <c r="U148" s="37">
        <v>7112</v>
      </c>
      <c r="V148" s="37">
        <v>10076</v>
      </c>
      <c r="W148" s="37">
        <v>539531.9</v>
      </c>
      <c r="X148" s="37">
        <v>93041.849999999977</v>
      </c>
      <c r="Y148" s="37">
        <v>0</v>
      </c>
      <c r="Z148" s="37">
        <v>0</v>
      </c>
      <c r="AA148" s="37">
        <v>770558.9</v>
      </c>
      <c r="AB148" s="37">
        <v>375155.85</v>
      </c>
      <c r="AC148" s="37">
        <v>201717</v>
      </c>
      <c r="AD148" s="37">
        <v>0</v>
      </c>
      <c r="AE148" s="37">
        <v>0</v>
      </c>
      <c r="AF148" s="168">
        <v>0.02</v>
      </c>
      <c r="AG148" s="37">
        <v>35399015.289999999</v>
      </c>
      <c r="AH148" s="37">
        <v>288395.03999999998</v>
      </c>
      <c r="AI148" s="37">
        <v>294162.94</v>
      </c>
      <c r="AJ148" s="37">
        <v>300046.2</v>
      </c>
      <c r="AK148" s="37">
        <v>306047.13</v>
      </c>
      <c r="AL148" s="37">
        <v>312168.07</v>
      </c>
      <c r="AM148" s="37">
        <v>318411.43</v>
      </c>
      <c r="AN148" s="37">
        <v>324779.65999999997</v>
      </c>
      <c r="AO148" s="37">
        <v>331275.25</v>
      </c>
      <c r="AP148" s="37">
        <v>337900.76</v>
      </c>
      <c r="AQ148" s="37">
        <v>344658.77</v>
      </c>
      <c r="AR148" s="37">
        <v>3157845.25</v>
      </c>
      <c r="AS148" s="37">
        <v>2454848.04</v>
      </c>
      <c r="AT148" s="37">
        <v>1352520</v>
      </c>
      <c r="AU148" s="37">
        <v>6791731.2000000002</v>
      </c>
      <c r="AV148" s="37">
        <v>1298918.5900000001</v>
      </c>
      <c r="AW148" s="37">
        <v>0</v>
      </c>
      <c r="AX148" s="37">
        <v>0</v>
      </c>
      <c r="AY148" s="37">
        <v>0</v>
      </c>
      <c r="AZ148" s="37">
        <v>0</v>
      </c>
      <c r="BA148" s="37">
        <v>0</v>
      </c>
      <c r="BB148" s="37">
        <v>0</v>
      </c>
      <c r="BC148" s="37">
        <v>0</v>
      </c>
      <c r="BD148" s="37">
        <v>9443169.7899999991</v>
      </c>
      <c r="BE148" s="37">
        <v>0</v>
      </c>
      <c r="BF148" s="37">
        <v>0</v>
      </c>
      <c r="BG148" s="37">
        <v>0</v>
      </c>
      <c r="BH148" s="37">
        <v>0</v>
      </c>
      <c r="BI148" s="37">
        <v>0</v>
      </c>
      <c r="BJ148" s="37">
        <v>0</v>
      </c>
      <c r="BK148" s="37">
        <v>0</v>
      </c>
      <c r="BL148" s="37">
        <v>0</v>
      </c>
      <c r="BM148" s="37">
        <v>0</v>
      </c>
      <c r="BN148" s="37">
        <v>0</v>
      </c>
      <c r="BO148" s="37">
        <v>0</v>
      </c>
      <c r="BP148" s="37">
        <v>0</v>
      </c>
      <c r="BQ148" s="37">
        <v>0</v>
      </c>
      <c r="BR148" s="37">
        <v>0</v>
      </c>
      <c r="BS148" s="37">
        <v>0</v>
      </c>
      <c r="BT148" s="37">
        <v>0</v>
      </c>
      <c r="BU148" s="37">
        <v>0</v>
      </c>
      <c r="BV148" s="37">
        <v>0</v>
      </c>
      <c r="BW148" s="37">
        <v>0</v>
      </c>
      <c r="BX148" s="37">
        <v>0</v>
      </c>
      <c r="BY148" s="37">
        <v>0</v>
      </c>
      <c r="BZ148" s="37">
        <v>0</v>
      </c>
      <c r="CA148" s="37">
        <v>0</v>
      </c>
      <c r="CB148" s="37">
        <v>0</v>
      </c>
      <c r="CC148" s="37">
        <v>0</v>
      </c>
      <c r="CD148" s="37">
        <v>0</v>
      </c>
      <c r="CE148" s="37">
        <v>0</v>
      </c>
      <c r="CF148" s="37">
        <v>0</v>
      </c>
      <c r="CG148" s="37">
        <v>0</v>
      </c>
      <c r="CH148" s="37">
        <v>0</v>
      </c>
      <c r="CI148" s="37">
        <v>0</v>
      </c>
      <c r="CJ148" s="37">
        <v>0</v>
      </c>
      <c r="CK148" s="37">
        <v>0</v>
      </c>
      <c r="CL148" s="37">
        <v>0</v>
      </c>
      <c r="CM148" s="37">
        <v>0</v>
      </c>
      <c r="CN148" s="37">
        <v>0</v>
      </c>
      <c r="CO148" s="37">
        <v>0</v>
      </c>
      <c r="CP148" s="37">
        <v>1214124</v>
      </c>
      <c r="CQ148" s="37">
        <v>0</v>
      </c>
      <c r="CR148" s="37">
        <v>0</v>
      </c>
      <c r="CS148" s="37">
        <v>0</v>
      </c>
      <c r="CT148" s="37">
        <v>0</v>
      </c>
      <c r="CU148" s="37">
        <v>0</v>
      </c>
      <c r="CV148" s="37">
        <v>0</v>
      </c>
      <c r="CW148" s="37">
        <v>0</v>
      </c>
      <c r="CX148" s="37">
        <v>0</v>
      </c>
      <c r="CY148" s="37">
        <v>0</v>
      </c>
      <c r="CZ148" s="37">
        <v>1214124</v>
      </c>
      <c r="DA148" s="37">
        <v>0</v>
      </c>
      <c r="DB148" s="37">
        <v>0</v>
      </c>
      <c r="DC148" s="37">
        <v>0</v>
      </c>
      <c r="DD148" s="37">
        <v>0</v>
      </c>
      <c r="DE148" s="37">
        <v>0</v>
      </c>
      <c r="DF148" s="37">
        <v>0</v>
      </c>
      <c r="DG148" s="37">
        <v>0</v>
      </c>
      <c r="DH148" s="37">
        <v>0</v>
      </c>
      <c r="DI148" s="37">
        <v>0</v>
      </c>
      <c r="DJ148" s="37">
        <v>0</v>
      </c>
      <c r="DK148" s="37">
        <v>0</v>
      </c>
      <c r="DL148" s="37">
        <v>0</v>
      </c>
      <c r="DM148" s="37">
        <v>0</v>
      </c>
      <c r="DN148" s="37">
        <v>0</v>
      </c>
      <c r="DO148" s="37">
        <v>0</v>
      </c>
      <c r="DP148" s="37">
        <v>0</v>
      </c>
      <c r="DQ148" s="37">
        <v>0</v>
      </c>
      <c r="DR148" s="37">
        <v>0</v>
      </c>
      <c r="DS148" s="37">
        <v>0</v>
      </c>
      <c r="DT148" s="37">
        <v>0</v>
      </c>
      <c r="DU148" s="37">
        <v>0</v>
      </c>
      <c r="DV148" s="37">
        <v>0</v>
      </c>
      <c r="DW148" s="37">
        <v>0</v>
      </c>
      <c r="DX148" s="37">
        <v>0</v>
      </c>
      <c r="DY148" s="37">
        <v>0</v>
      </c>
      <c r="DZ148" s="37">
        <v>0</v>
      </c>
      <c r="EA148" s="37">
        <v>0</v>
      </c>
      <c r="EB148" s="37">
        <v>0</v>
      </c>
      <c r="EC148" s="37">
        <v>0</v>
      </c>
      <c r="ED148" s="37">
        <v>0</v>
      </c>
      <c r="EE148" s="37">
        <v>0</v>
      </c>
      <c r="EF148" s="37">
        <v>0</v>
      </c>
      <c r="EG148" s="37">
        <v>0</v>
      </c>
      <c r="EH148" s="37">
        <v>0</v>
      </c>
      <c r="EI148" s="37">
        <v>0</v>
      </c>
      <c r="EJ148" s="37">
        <v>0</v>
      </c>
      <c r="EK148" s="161" t="s">
        <v>1124</v>
      </c>
      <c r="EL148" s="294" t="s">
        <v>1124</v>
      </c>
    </row>
    <row r="149" spans="1:142" ht="15" customHeight="1" x14ac:dyDescent="0.35">
      <c r="A149" s="34"/>
      <c r="B149" s="313">
        <v>44023</v>
      </c>
      <c r="C149" s="8" t="s">
        <v>402</v>
      </c>
      <c r="D149" s="18">
        <v>5</v>
      </c>
      <c r="E149" s="155">
        <v>26692.18</v>
      </c>
      <c r="F149" s="36">
        <v>33964.18</v>
      </c>
      <c r="G149" s="37">
        <v>0</v>
      </c>
      <c r="H149" s="37">
        <v>23456</v>
      </c>
      <c r="I149" s="37">
        <v>0</v>
      </c>
      <c r="J149" s="37">
        <v>37322</v>
      </c>
      <c r="K149" s="37">
        <v>2669.2179999999998</v>
      </c>
      <c r="L149" s="37">
        <v>3396.4179999999997</v>
      </c>
      <c r="M149" s="37">
        <v>29361.398000000001</v>
      </c>
      <c r="N149" s="37">
        <v>98138.597999999998</v>
      </c>
      <c r="O149" s="37">
        <v>0</v>
      </c>
      <c r="P149" s="37">
        <v>0</v>
      </c>
      <c r="Q149" s="37">
        <v>49964</v>
      </c>
      <c r="R149" s="37">
        <v>73070.350000000006</v>
      </c>
      <c r="S149" s="37">
        <v>50</v>
      </c>
      <c r="T149" s="37">
        <v>0</v>
      </c>
      <c r="U149" s="37">
        <v>0</v>
      </c>
      <c r="V149" s="37">
        <v>0</v>
      </c>
      <c r="W149" s="37">
        <v>2669.2179999999998</v>
      </c>
      <c r="X149" s="37">
        <v>3396.4179999999997</v>
      </c>
      <c r="Y149" s="37">
        <v>0</v>
      </c>
      <c r="Z149" s="37">
        <v>21631.7</v>
      </c>
      <c r="AA149" s="37">
        <v>52683.218000000001</v>
      </c>
      <c r="AB149" s="37">
        <v>98098.468000000008</v>
      </c>
      <c r="AC149" s="37">
        <v>23281.690000000017</v>
      </c>
      <c r="AD149" s="37">
        <v>23271.7</v>
      </c>
      <c r="AE149" s="37">
        <v>91429.66</v>
      </c>
      <c r="AF149" s="168">
        <v>0.02</v>
      </c>
      <c r="AG149" s="37">
        <v>8464011.8699999992</v>
      </c>
      <c r="AH149" s="37">
        <v>230893.71</v>
      </c>
      <c r="AI149" s="37">
        <v>235511.58</v>
      </c>
      <c r="AJ149" s="37">
        <v>245633.98</v>
      </c>
      <c r="AK149" s="37">
        <v>245026.25</v>
      </c>
      <c r="AL149" s="37">
        <v>255557.59</v>
      </c>
      <c r="AM149" s="37">
        <v>264114.8</v>
      </c>
      <c r="AN149" s="37">
        <v>274083.73</v>
      </c>
      <c r="AO149" s="37">
        <v>324978.92</v>
      </c>
      <c r="AP149" s="37">
        <v>286375.71000000002</v>
      </c>
      <c r="AQ149" s="37">
        <v>275939.36</v>
      </c>
      <c r="AR149" s="37">
        <v>2638115.6300000004</v>
      </c>
      <c r="AS149" s="37">
        <v>0</v>
      </c>
      <c r="AT149" s="37">
        <v>0</v>
      </c>
      <c r="AU149" s="37">
        <v>0</v>
      </c>
      <c r="AV149" s="37">
        <v>0</v>
      </c>
      <c r="AW149" s="37">
        <v>0</v>
      </c>
      <c r="AX149" s="37">
        <v>0</v>
      </c>
      <c r="AY149" s="37">
        <v>0</v>
      </c>
      <c r="AZ149" s="37">
        <v>0</v>
      </c>
      <c r="BA149" s="37">
        <v>0</v>
      </c>
      <c r="BB149" s="37">
        <v>0</v>
      </c>
      <c r="BC149" s="37">
        <v>0</v>
      </c>
      <c r="BD149" s="37">
        <v>0</v>
      </c>
      <c r="BE149" s="37">
        <v>0</v>
      </c>
      <c r="BF149" s="37">
        <v>0</v>
      </c>
      <c r="BG149" s="37">
        <v>0</v>
      </c>
      <c r="BH149" s="37">
        <v>0</v>
      </c>
      <c r="BI149" s="37">
        <v>400000</v>
      </c>
      <c r="BJ149" s="37">
        <v>120000</v>
      </c>
      <c r="BK149" s="37">
        <v>68000</v>
      </c>
      <c r="BL149" s="37">
        <v>88000</v>
      </c>
      <c r="BM149" s="37">
        <v>108000</v>
      </c>
      <c r="BN149" s="37">
        <v>128000</v>
      </c>
      <c r="BO149" s="37">
        <v>0</v>
      </c>
      <c r="BP149" s="37">
        <v>912000</v>
      </c>
      <c r="BQ149" s="37">
        <v>0</v>
      </c>
      <c r="BR149" s="37">
        <v>0</v>
      </c>
      <c r="BS149" s="37">
        <v>0</v>
      </c>
      <c r="BT149" s="37">
        <v>0</v>
      </c>
      <c r="BU149" s="37">
        <v>0</v>
      </c>
      <c r="BV149" s="37">
        <v>0</v>
      </c>
      <c r="BW149" s="37">
        <v>0</v>
      </c>
      <c r="BX149" s="37">
        <v>0</v>
      </c>
      <c r="BY149" s="37">
        <v>0</v>
      </c>
      <c r="BZ149" s="37">
        <v>0</v>
      </c>
      <c r="CA149" s="37">
        <v>0</v>
      </c>
      <c r="CB149" s="37">
        <v>0</v>
      </c>
      <c r="CC149" s="37">
        <v>0</v>
      </c>
      <c r="CD149" s="37">
        <v>0</v>
      </c>
      <c r="CE149" s="37">
        <v>0</v>
      </c>
      <c r="CF149" s="37">
        <v>0</v>
      </c>
      <c r="CG149" s="37">
        <v>0</v>
      </c>
      <c r="CH149" s="37">
        <v>0</v>
      </c>
      <c r="CI149" s="37">
        <v>0</v>
      </c>
      <c r="CJ149" s="37">
        <v>0</v>
      </c>
      <c r="CK149" s="37">
        <v>0</v>
      </c>
      <c r="CL149" s="37">
        <v>0</v>
      </c>
      <c r="CM149" s="37">
        <v>0</v>
      </c>
      <c r="CN149" s="37">
        <v>0</v>
      </c>
      <c r="CO149" s="37">
        <v>0</v>
      </c>
      <c r="CP149" s="37">
        <v>0</v>
      </c>
      <c r="CQ149" s="37">
        <v>0</v>
      </c>
      <c r="CR149" s="37">
        <v>0</v>
      </c>
      <c r="CS149" s="37">
        <v>0</v>
      </c>
      <c r="CT149" s="37">
        <v>0</v>
      </c>
      <c r="CU149" s="37">
        <v>0</v>
      </c>
      <c r="CV149" s="37">
        <v>0</v>
      </c>
      <c r="CW149" s="37">
        <v>0</v>
      </c>
      <c r="CX149" s="37">
        <v>0</v>
      </c>
      <c r="CY149" s="37">
        <v>0</v>
      </c>
      <c r="CZ149" s="37">
        <v>0</v>
      </c>
      <c r="DA149" s="37">
        <v>0</v>
      </c>
      <c r="DB149" s="37">
        <v>0</v>
      </c>
      <c r="DC149" s="37">
        <v>0</v>
      </c>
      <c r="DD149" s="37">
        <v>0</v>
      </c>
      <c r="DE149" s="37">
        <v>0</v>
      </c>
      <c r="DF149" s="37">
        <v>0</v>
      </c>
      <c r="DG149" s="37">
        <v>0</v>
      </c>
      <c r="DH149" s="37">
        <v>0</v>
      </c>
      <c r="DI149" s="37">
        <v>0</v>
      </c>
      <c r="DJ149" s="37">
        <v>0</v>
      </c>
      <c r="DK149" s="37">
        <v>0</v>
      </c>
      <c r="DL149" s="37">
        <v>0</v>
      </c>
      <c r="DM149" s="37">
        <v>0</v>
      </c>
      <c r="DN149" s="37">
        <v>0</v>
      </c>
      <c r="DO149" s="37">
        <v>0</v>
      </c>
      <c r="DP149" s="37">
        <v>0</v>
      </c>
      <c r="DQ149" s="37">
        <v>0</v>
      </c>
      <c r="DR149" s="37">
        <v>0</v>
      </c>
      <c r="DS149" s="37">
        <v>0</v>
      </c>
      <c r="DT149" s="37">
        <v>0</v>
      </c>
      <c r="DU149" s="37">
        <v>0</v>
      </c>
      <c r="DV149" s="37">
        <v>0</v>
      </c>
      <c r="DW149" s="37">
        <v>0</v>
      </c>
      <c r="DX149" s="37">
        <v>0</v>
      </c>
      <c r="DY149" s="37">
        <v>0</v>
      </c>
      <c r="DZ149" s="37">
        <v>0</v>
      </c>
      <c r="EA149" s="37">
        <v>0</v>
      </c>
      <c r="EB149" s="37">
        <v>0</v>
      </c>
      <c r="EC149" s="37">
        <v>0</v>
      </c>
      <c r="ED149" s="37">
        <v>0</v>
      </c>
      <c r="EE149" s="37">
        <v>0</v>
      </c>
      <c r="EF149" s="37">
        <v>0</v>
      </c>
      <c r="EG149" s="37">
        <v>0</v>
      </c>
      <c r="EH149" s="37">
        <v>0</v>
      </c>
      <c r="EI149" s="37">
        <v>0</v>
      </c>
      <c r="EJ149" s="37">
        <v>0</v>
      </c>
      <c r="EK149" s="161" t="s">
        <v>1695</v>
      </c>
      <c r="EL149" s="294" t="s">
        <v>1124</v>
      </c>
    </row>
    <row r="150" spans="1:142" ht="15" customHeight="1" x14ac:dyDescent="0.35">
      <c r="A150" s="34"/>
      <c r="B150" s="313">
        <v>92022</v>
      </c>
      <c r="C150" s="8" t="s">
        <v>949</v>
      </c>
      <c r="D150" s="18">
        <v>2</v>
      </c>
      <c r="E150" s="155">
        <v>1519203</v>
      </c>
      <c r="F150" s="36">
        <v>1025580</v>
      </c>
      <c r="G150" s="37">
        <v>40488</v>
      </c>
      <c r="H150" s="37">
        <v>69644</v>
      </c>
      <c r="I150" s="37">
        <v>243353</v>
      </c>
      <c r="J150" s="37">
        <v>171413</v>
      </c>
      <c r="K150" s="37">
        <v>227880</v>
      </c>
      <c r="L150" s="37">
        <v>153837</v>
      </c>
      <c r="M150" s="37">
        <v>2030924</v>
      </c>
      <c r="N150" s="37">
        <v>1420474</v>
      </c>
      <c r="O150" s="37">
        <v>189080</v>
      </c>
      <c r="P150" s="37">
        <v>0</v>
      </c>
      <c r="Q150" s="37">
        <v>1462945</v>
      </c>
      <c r="R150" s="37">
        <v>1110137</v>
      </c>
      <c r="S150" s="37">
        <v>57475</v>
      </c>
      <c r="T150" s="37">
        <v>10284</v>
      </c>
      <c r="U150" s="37">
        <v>0</v>
      </c>
      <c r="V150" s="37">
        <v>0</v>
      </c>
      <c r="W150" s="37">
        <v>349373</v>
      </c>
      <c r="X150" s="37">
        <v>349373</v>
      </c>
      <c r="Y150" s="37">
        <v>0</v>
      </c>
      <c r="Z150" s="37">
        <v>0</v>
      </c>
      <c r="AA150" s="37">
        <v>2058873</v>
      </c>
      <c r="AB150" s="37">
        <v>1469794</v>
      </c>
      <c r="AC150" s="37">
        <v>77269</v>
      </c>
      <c r="AD150" s="37">
        <v>77269</v>
      </c>
      <c r="AE150" s="37">
        <v>653884</v>
      </c>
      <c r="AF150" s="168">
        <v>0.02</v>
      </c>
      <c r="AG150" s="37">
        <v>241021710.84999999</v>
      </c>
      <c r="AH150" s="37">
        <v>2090322.19</v>
      </c>
      <c r="AI150" s="37">
        <v>2132128.63</v>
      </c>
      <c r="AJ150" s="37">
        <v>2174771.21</v>
      </c>
      <c r="AK150" s="37">
        <v>2218266.63</v>
      </c>
      <c r="AL150" s="37">
        <v>2262631.96</v>
      </c>
      <c r="AM150" s="37">
        <v>2307884.6</v>
      </c>
      <c r="AN150" s="37">
        <v>2354042.29</v>
      </c>
      <c r="AO150" s="37">
        <v>2401123.14</v>
      </c>
      <c r="AP150" s="37">
        <v>2449145.6</v>
      </c>
      <c r="AQ150" s="37">
        <v>2498128.52</v>
      </c>
      <c r="AR150" s="37">
        <v>22888444.770000003</v>
      </c>
      <c r="AS150" s="37">
        <v>12565595.380000001</v>
      </c>
      <c r="AT150" s="37">
        <v>0</v>
      </c>
      <c r="AU150" s="37">
        <v>0</v>
      </c>
      <c r="AV150" s="37">
        <v>3274357.28</v>
      </c>
      <c r="AW150" s="37">
        <v>4026755.88</v>
      </c>
      <c r="AX150" s="37">
        <v>457221.94</v>
      </c>
      <c r="AY150" s="37">
        <v>86151.43</v>
      </c>
      <c r="AZ150" s="37">
        <v>158174.01999999999</v>
      </c>
      <c r="BA150" s="37">
        <v>0</v>
      </c>
      <c r="BB150" s="37">
        <v>0</v>
      </c>
      <c r="BC150" s="37">
        <v>0</v>
      </c>
      <c r="BD150" s="37">
        <v>8002660.5499999989</v>
      </c>
      <c r="BE150" s="37">
        <v>10247</v>
      </c>
      <c r="BF150" s="37">
        <v>1715000</v>
      </c>
      <c r="BG150" s="37">
        <v>1703109.0719999999</v>
      </c>
      <c r="BH150" s="37">
        <v>1080293.1331920754</v>
      </c>
      <c r="BI150" s="37">
        <v>1283044.6249974975</v>
      </c>
      <c r="BJ150" s="37">
        <v>139350.7510573123</v>
      </c>
      <c r="BK150" s="37">
        <v>674791.0161047182</v>
      </c>
      <c r="BL150" s="37">
        <v>877542.07464839693</v>
      </c>
      <c r="BM150" s="37">
        <v>1080293.1331920754</v>
      </c>
      <c r="BN150" s="37">
        <v>1283044.6249974975</v>
      </c>
      <c r="BO150" s="37">
        <v>0</v>
      </c>
      <c r="BP150" s="37">
        <v>9836468.4301895723</v>
      </c>
      <c r="BQ150" s="37">
        <v>0</v>
      </c>
      <c r="BR150" s="37">
        <v>428750</v>
      </c>
      <c r="BS150" s="37">
        <v>1517376</v>
      </c>
      <c r="BT150" s="37">
        <v>962481.44068981789</v>
      </c>
      <c r="BU150" s="37">
        <v>1143121.807585676</v>
      </c>
      <c r="BV150" s="37">
        <v>124153.81299568363</v>
      </c>
      <c r="BW150" s="37">
        <v>601201.47892260947</v>
      </c>
      <c r="BX150" s="37">
        <v>781841.45980621374</v>
      </c>
      <c r="BY150" s="37">
        <v>962481.44068981789</v>
      </c>
      <c r="BZ150" s="37">
        <v>1143121.807585676</v>
      </c>
      <c r="CA150" s="37">
        <v>0</v>
      </c>
      <c r="CB150" s="37">
        <v>7664529.2482754942</v>
      </c>
      <c r="CC150" s="37">
        <v>0</v>
      </c>
      <c r="CD150" s="37">
        <v>0</v>
      </c>
      <c r="CE150" s="37">
        <v>0</v>
      </c>
      <c r="CF150" s="37">
        <v>0</v>
      </c>
      <c r="CG150" s="37">
        <v>0</v>
      </c>
      <c r="CH150" s="37">
        <v>0</v>
      </c>
      <c r="CI150" s="37">
        <v>0</v>
      </c>
      <c r="CJ150" s="37">
        <v>0</v>
      </c>
      <c r="CK150" s="37">
        <v>0</v>
      </c>
      <c r="CL150" s="37">
        <v>0</v>
      </c>
      <c r="CM150" s="37">
        <v>0</v>
      </c>
      <c r="CN150" s="37">
        <v>0</v>
      </c>
      <c r="CO150" s="37">
        <v>0</v>
      </c>
      <c r="CP150" s="37">
        <v>0</v>
      </c>
      <c r="CQ150" s="37">
        <v>0</v>
      </c>
      <c r="CR150" s="37">
        <v>0</v>
      </c>
      <c r="CS150" s="37">
        <v>0</v>
      </c>
      <c r="CT150" s="37">
        <v>0</v>
      </c>
      <c r="CU150" s="37">
        <v>0</v>
      </c>
      <c r="CV150" s="37">
        <v>0</v>
      </c>
      <c r="CW150" s="37">
        <v>0</v>
      </c>
      <c r="CX150" s="37">
        <v>0</v>
      </c>
      <c r="CY150" s="37">
        <v>0</v>
      </c>
      <c r="CZ150" s="37">
        <v>0</v>
      </c>
      <c r="DA150" s="37">
        <v>0</v>
      </c>
      <c r="DB150" s="37">
        <v>0</v>
      </c>
      <c r="DC150" s="37">
        <v>0</v>
      </c>
      <c r="DD150" s="37">
        <v>0</v>
      </c>
      <c r="DE150" s="37">
        <v>0</v>
      </c>
      <c r="DF150" s="37">
        <v>0</v>
      </c>
      <c r="DG150" s="37">
        <v>0</v>
      </c>
      <c r="DH150" s="37">
        <v>0</v>
      </c>
      <c r="DI150" s="37">
        <v>0</v>
      </c>
      <c r="DJ150" s="37">
        <v>0</v>
      </c>
      <c r="DK150" s="37">
        <v>0</v>
      </c>
      <c r="DL150" s="37">
        <v>0</v>
      </c>
      <c r="DM150" s="37">
        <v>0</v>
      </c>
      <c r="DN150" s="37">
        <v>0</v>
      </c>
      <c r="DO150" s="37">
        <v>0</v>
      </c>
      <c r="DP150" s="37">
        <v>0</v>
      </c>
      <c r="DQ150" s="37">
        <v>0</v>
      </c>
      <c r="DR150" s="37">
        <v>0</v>
      </c>
      <c r="DS150" s="37">
        <v>0</v>
      </c>
      <c r="DT150" s="37">
        <v>0</v>
      </c>
      <c r="DU150" s="37">
        <v>0</v>
      </c>
      <c r="DV150" s="37">
        <v>0</v>
      </c>
      <c r="DW150" s="37">
        <v>0</v>
      </c>
      <c r="DX150" s="37">
        <v>0</v>
      </c>
      <c r="DY150" s="37">
        <v>0</v>
      </c>
      <c r="DZ150" s="37">
        <v>0</v>
      </c>
      <c r="EA150" s="37">
        <v>0</v>
      </c>
      <c r="EB150" s="37">
        <v>0</v>
      </c>
      <c r="EC150" s="37">
        <v>0</v>
      </c>
      <c r="ED150" s="37">
        <v>0</v>
      </c>
      <c r="EE150" s="37">
        <v>0</v>
      </c>
      <c r="EF150" s="37">
        <v>0</v>
      </c>
      <c r="EG150" s="37">
        <v>0</v>
      </c>
      <c r="EH150" s="37">
        <v>0</v>
      </c>
      <c r="EI150" s="37">
        <v>0</v>
      </c>
      <c r="EJ150" s="37">
        <v>0</v>
      </c>
      <c r="EK150" s="161" t="s">
        <v>1701</v>
      </c>
      <c r="EL150" s="294" t="s">
        <v>1124</v>
      </c>
    </row>
    <row r="151" spans="1:142" ht="15" customHeight="1" x14ac:dyDescent="0.35">
      <c r="A151" s="34"/>
      <c r="B151" s="313">
        <v>66142</v>
      </c>
      <c r="C151" s="8" t="s">
        <v>1113</v>
      </c>
      <c r="D151" s="18">
        <v>6</v>
      </c>
      <c r="E151" s="156">
        <v>6877228.7790091997</v>
      </c>
      <c r="F151" s="36">
        <v>2250861.8787816009</v>
      </c>
      <c r="G151" s="37">
        <v>387835.89600000001</v>
      </c>
      <c r="H151" s="37">
        <v>220129.21600000001</v>
      </c>
      <c r="I151" s="37">
        <v>770494.82400000002</v>
      </c>
      <c r="J151" s="37">
        <v>485343.08</v>
      </c>
      <c r="K151" s="37">
        <v>1023920.8320000001</v>
      </c>
      <c r="L151" s="37">
        <v>330410.53200000001</v>
      </c>
      <c r="M151" s="37">
        <v>9059480.3310091998</v>
      </c>
      <c r="N151" s="37">
        <v>3286744.7067816006</v>
      </c>
      <c r="O151" s="37">
        <v>6905.2799200000009</v>
      </c>
      <c r="P151" s="37">
        <v>78651.871760000009</v>
      </c>
      <c r="Q151" s="37">
        <v>3505823</v>
      </c>
      <c r="R151" s="37">
        <v>0</v>
      </c>
      <c r="S151" s="37">
        <v>28965.601279999999</v>
      </c>
      <c r="T151" s="37">
        <v>9555.3919999999998</v>
      </c>
      <c r="U151" s="37">
        <v>5578.65</v>
      </c>
      <c r="V151" s="37">
        <v>0</v>
      </c>
      <c r="W151" s="37">
        <v>6575285.2456049537</v>
      </c>
      <c r="X151" s="37">
        <v>2431563.5529707675</v>
      </c>
      <c r="Y151" s="37">
        <v>0</v>
      </c>
      <c r="Z151" s="37">
        <v>0</v>
      </c>
      <c r="AA151" s="37">
        <v>10122557.776804954</v>
      </c>
      <c r="AB151" s="37">
        <v>2519770.8167307675</v>
      </c>
      <c r="AC151" s="37">
        <v>296104</v>
      </c>
      <c r="AD151" s="37">
        <v>60712.959999999999</v>
      </c>
      <c r="AE151" s="37">
        <v>376243.56</v>
      </c>
      <c r="AF151" s="168">
        <v>0.02</v>
      </c>
      <c r="AG151" s="37">
        <v>990411411.49000001</v>
      </c>
      <c r="AH151" s="37">
        <v>6171065.0800000001</v>
      </c>
      <c r="AI151" s="37">
        <v>5838363.5700000003</v>
      </c>
      <c r="AJ151" s="37">
        <v>5764616.79</v>
      </c>
      <c r="AK151" s="37">
        <v>6088791.8099999996</v>
      </c>
      <c r="AL151" s="37">
        <v>6255124.1399999997</v>
      </c>
      <c r="AM151" s="37">
        <v>6862739.2999999998</v>
      </c>
      <c r="AN151" s="37">
        <v>7045200.4100000001</v>
      </c>
      <c r="AO151" s="37">
        <v>6964977</v>
      </c>
      <c r="AP151" s="37">
        <v>7296851.9100000001</v>
      </c>
      <c r="AQ151" s="37">
        <v>7446150.6200000001</v>
      </c>
      <c r="AR151" s="37">
        <v>65733880.629999995</v>
      </c>
      <c r="AS151" s="37">
        <v>39600991.170000002</v>
      </c>
      <c r="AT151" s="37">
        <v>3381440.83</v>
      </c>
      <c r="AU151" s="37">
        <v>4863715.8899999997</v>
      </c>
      <c r="AV151" s="37">
        <v>9161712.2699999996</v>
      </c>
      <c r="AW151" s="37">
        <v>9890695.0899999999</v>
      </c>
      <c r="AX151" s="37">
        <v>4329285.8</v>
      </c>
      <c r="AY151" s="37">
        <v>10741347.24</v>
      </c>
      <c r="AZ151" s="37">
        <v>10375400.060000001</v>
      </c>
      <c r="BA151" s="37">
        <v>10370310.93</v>
      </c>
      <c r="BB151" s="37">
        <v>10923344.51</v>
      </c>
      <c r="BC151" s="37">
        <v>10487871.560000001</v>
      </c>
      <c r="BD151" s="37">
        <v>84525124.179999992</v>
      </c>
      <c r="BE151" s="37">
        <v>1280319.8799999999</v>
      </c>
      <c r="BF151" s="37">
        <v>3962265.68</v>
      </c>
      <c r="BG151" s="37">
        <v>5031795.0229705824</v>
      </c>
      <c r="BH151" s="37">
        <v>2251276.1846223087</v>
      </c>
      <c r="BI151" s="37">
        <v>1482001.088</v>
      </c>
      <c r="BJ151" s="37">
        <v>3817936.2880000002</v>
      </c>
      <c r="BK151" s="37">
        <v>3817936.2880000002</v>
      </c>
      <c r="BL151" s="37">
        <v>3817936.2880000002</v>
      </c>
      <c r="BM151" s="37">
        <v>3474123.28</v>
      </c>
      <c r="BN151" s="37">
        <v>3400000</v>
      </c>
      <c r="BO151" s="37">
        <v>3400000</v>
      </c>
      <c r="BP151" s="37">
        <v>34455270.11959289</v>
      </c>
      <c r="BQ151" s="37">
        <v>1956375.96</v>
      </c>
      <c r="BR151" s="37">
        <v>2701877.64</v>
      </c>
      <c r="BS151" s="37">
        <v>3465775.337029417</v>
      </c>
      <c r="BT151" s="37">
        <v>3087843.1753776912</v>
      </c>
      <c r="BU151" s="37">
        <v>3396437.3520000004</v>
      </c>
      <c r="BV151" s="37">
        <v>2993610.3120000004</v>
      </c>
      <c r="BW151" s="37">
        <v>3022457.5920000006</v>
      </c>
      <c r="BX151" s="37">
        <v>3519135.3120000004</v>
      </c>
      <c r="BY151" s="37">
        <v>4479133.12</v>
      </c>
      <c r="BZ151" s="37">
        <v>3842293.84</v>
      </c>
      <c r="CA151" s="37">
        <v>4378792.88</v>
      </c>
      <c r="CB151" s="37">
        <v>34887356.56040711</v>
      </c>
      <c r="CC151" s="37">
        <v>317190.72000000003</v>
      </c>
      <c r="CD151" s="37">
        <v>302486.80000000005</v>
      </c>
      <c r="CE151" s="37">
        <v>355028.52</v>
      </c>
      <c r="CF151" s="37">
        <v>213832.08</v>
      </c>
      <c r="CG151" s="37">
        <v>203052.08</v>
      </c>
      <c r="CH151" s="37">
        <v>224612.08</v>
      </c>
      <c r="CI151" s="37">
        <v>235392.08</v>
      </c>
      <c r="CJ151" s="37">
        <v>235392.08</v>
      </c>
      <c r="CK151" s="37">
        <v>235392.08</v>
      </c>
      <c r="CL151" s="37">
        <v>235392.08</v>
      </c>
      <c r="CM151" s="37">
        <v>235392.08</v>
      </c>
      <c r="CN151" s="37">
        <v>2475971.96</v>
      </c>
      <c r="CO151" s="37">
        <v>579640.6</v>
      </c>
      <c r="CP151" s="37">
        <v>316306.76</v>
      </c>
      <c r="CQ151" s="37">
        <v>805158.2</v>
      </c>
      <c r="CR151" s="37">
        <v>2529254.4600400003</v>
      </c>
      <c r="CS151" s="37">
        <v>296665.60000000003</v>
      </c>
      <c r="CT151" s="37">
        <v>181104</v>
      </c>
      <c r="CU151" s="37">
        <v>250096</v>
      </c>
      <c r="CV151" s="37">
        <v>172480</v>
      </c>
      <c r="CW151" s="37">
        <v>0</v>
      </c>
      <c r="CX151" s="37">
        <v>0</v>
      </c>
      <c r="CY151" s="37">
        <v>0</v>
      </c>
      <c r="CZ151" s="37">
        <v>4551065.0200399999</v>
      </c>
      <c r="DA151" s="37">
        <v>1517457.48</v>
      </c>
      <c r="DB151" s="37">
        <v>651888.16</v>
      </c>
      <c r="DC151" s="37">
        <v>653634.52</v>
      </c>
      <c r="DD151" s="37">
        <v>2815146.1399599998</v>
      </c>
      <c r="DE151" s="37">
        <v>5015567.4800000004</v>
      </c>
      <c r="DF151" s="37">
        <v>376265.12</v>
      </c>
      <c r="DG151" s="37">
        <v>705788.16</v>
      </c>
      <c r="DH151" s="37">
        <v>275924.88</v>
      </c>
      <c r="DI151" s="37">
        <v>231640.64</v>
      </c>
      <c r="DJ151" s="37">
        <v>523024.04</v>
      </c>
      <c r="DK151" s="37">
        <v>0</v>
      </c>
      <c r="DL151" s="37">
        <v>11248879.13996</v>
      </c>
      <c r="DM151" s="37">
        <v>139967.51999999999</v>
      </c>
      <c r="DN151" s="37">
        <v>122266.76</v>
      </c>
      <c r="DO151" s="37">
        <v>4161.08</v>
      </c>
      <c r="DP151" s="37">
        <v>0</v>
      </c>
      <c r="DQ151" s="37">
        <v>0</v>
      </c>
      <c r="DR151" s="37">
        <v>0</v>
      </c>
      <c r="DS151" s="37">
        <v>0</v>
      </c>
      <c r="DT151" s="37">
        <v>0</v>
      </c>
      <c r="DU151" s="37">
        <v>0</v>
      </c>
      <c r="DV151" s="37">
        <v>0</v>
      </c>
      <c r="DW151" s="37">
        <v>0</v>
      </c>
      <c r="DX151" s="37">
        <v>126427.84</v>
      </c>
      <c r="DY151" s="37">
        <v>0</v>
      </c>
      <c r="DZ151" s="37">
        <v>0</v>
      </c>
      <c r="EA151" s="37">
        <v>0</v>
      </c>
      <c r="EB151" s="37">
        <v>0</v>
      </c>
      <c r="EC151" s="37">
        <v>0</v>
      </c>
      <c r="ED151" s="37">
        <v>0</v>
      </c>
      <c r="EE151" s="37">
        <v>0</v>
      </c>
      <c r="EF151" s="37">
        <v>0</v>
      </c>
      <c r="EG151" s="37">
        <v>0</v>
      </c>
      <c r="EH151" s="37">
        <v>0</v>
      </c>
      <c r="EI151" s="37">
        <v>0</v>
      </c>
      <c r="EJ151" s="37">
        <v>0</v>
      </c>
      <c r="EK151" s="161" t="s">
        <v>1707</v>
      </c>
      <c r="EL151" s="294" t="s">
        <v>1124</v>
      </c>
    </row>
    <row r="152" spans="1:142" ht="15" customHeight="1" x14ac:dyDescent="0.35">
      <c r="A152" s="34"/>
      <c r="B152" s="313">
        <v>34025</v>
      </c>
      <c r="C152" s="8" t="s">
        <v>287</v>
      </c>
      <c r="D152" s="18">
        <v>3</v>
      </c>
      <c r="E152" s="155">
        <v>956864</v>
      </c>
      <c r="F152" s="36">
        <v>456550</v>
      </c>
      <c r="G152" s="37">
        <v>142169</v>
      </c>
      <c r="H152" s="37">
        <v>75605</v>
      </c>
      <c r="I152" s="37">
        <v>287082</v>
      </c>
      <c r="J152" s="37">
        <v>149632</v>
      </c>
      <c r="K152" s="37">
        <v>115398</v>
      </c>
      <c r="L152" s="37">
        <v>55059.93</v>
      </c>
      <c r="M152" s="37">
        <v>1501513</v>
      </c>
      <c r="N152" s="37">
        <v>736846.92999999993</v>
      </c>
      <c r="O152" s="37">
        <v>54897</v>
      </c>
      <c r="P152" s="37">
        <v>0</v>
      </c>
      <c r="Q152" s="37">
        <v>992441</v>
      </c>
      <c r="R152" s="37">
        <v>669630</v>
      </c>
      <c r="S152" s="37">
        <v>31373</v>
      </c>
      <c r="T152" s="37">
        <v>200</v>
      </c>
      <c r="U152" s="37">
        <v>38566</v>
      </c>
      <c r="V152" s="37">
        <v>22477</v>
      </c>
      <c r="W152" s="37">
        <v>346213</v>
      </c>
      <c r="X152" s="37">
        <v>44540</v>
      </c>
      <c r="Y152" s="37">
        <v>38023</v>
      </c>
      <c r="Z152" s="37">
        <v>0</v>
      </c>
      <c r="AA152" s="37">
        <v>1501513</v>
      </c>
      <c r="AB152" s="37">
        <v>736847</v>
      </c>
      <c r="AC152" s="37">
        <v>6.9999999832361937E-2</v>
      </c>
      <c r="AD152" s="37">
        <v>0</v>
      </c>
      <c r="AE152" s="37">
        <v>0</v>
      </c>
      <c r="AF152" s="168">
        <v>0.02</v>
      </c>
      <c r="AG152" s="37">
        <v>135749975.09999999</v>
      </c>
      <c r="AH152" s="37">
        <v>1135064.1599999999</v>
      </c>
      <c r="AI152" s="37">
        <v>1257519</v>
      </c>
      <c r="AJ152" s="37">
        <v>1174426.1599999999</v>
      </c>
      <c r="AK152" s="37">
        <v>1197914.68</v>
      </c>
      <c r="AL152" s="37">
        <v>1221872.98</v>
      </c>
      <c r="AM152" s="37">
        <v>1246310.44</v>
      </c>
      <c r="AN152" s="37">
        <v>1271236.6399999999</v>
      </c>
      <c r="AO152" s="37">
        <v>1296661.3799999999</v>
      </c>
      <c r="AP152" s="37">
        <v>1322594.6000000001</v>
      </c>
      <c r="AQ152" s="37">
        <v>1349046.5</v>
      </c>
      <c r="AR152" s="37">
        <v>12472646.539999999</v>
      </c>
      <c r="AS152" s="37">
        <v>5036411.16</v>
      </c>
      <c r="AT152" s="37">
        <v>0</v>
      </c>
      <c r="AU152" s="37">
        <v>3581577</v>
      </c>
      <c r="AV152" s="37">
        <v>3544965.32</v>
      </c>
      <c r="AW152" s="37">
        <v>0</v>
      </c>
      <c r="AX152" s="37">
        <v>0</v>
      </c>
      <c r="AY152" s="37">
        <v>0</v>
      </c>
      <c r="AZ152" s="37">
        <v>0</v>
      </c>
      <c r="BA152" s="37">
        <v>0</v>
      </c>
      <c r="BB152" s="37">
        <v>0</v>
      </c>
      <c r="BC152" s="37">
        <v>0</v>
      </c>
      <c r="BD152" s="37">
        <v>7126542.3200000003</v>
      </c>
      <c r="BE152" s="37">
        <v>0</v>
      </c>
      <c r="BF152" s="37">
        <v>2542827</v>
      </c>
      <c r="BG152" s="37">
        <v>405680</v>
      </c>
      <c r="BH152" s="37">
        <v>355773</v>
      </c>
      <c r="BI152" s="37">
        <v>0</v>
      </c>
      <c r="BJ152" s="37">
        <v>0</v>
      </c>
      <c r="BK152" s="37">
        <v>0</v>
      </c>
      <c r="BL152" s="37">
        <v>0</v>
      </c>
      <c r="BM152" s="37">
        <v>0</v>
      </c>
      <c r="BN152" s="37">
        <v>0</v>
      </c>
      <c r="BO152" s="37">
        <v>0</v>
      </c>
      <c r="BP152" s="37">
        <v>3304280</v>
      </c>
      <c r="BQ152" s="37">
        <v>0</v>
      </c>
      <c r="BR152" s="37">
        <v>1412893</v>
      </c>
      <c r="BS152" s="37">
        <v>1202028</v>
      </c>
      <c r="BT152" s="37">
        <v>1219574</v>
      </c>
      <c r="BU152" s="37">
        <v>0</v>
      </c>
      <c r="BV152" s="37">
        <v>0</v>
      </c>
      <c r="BW152" s="37">
        <v>0</v>
      </c>
      <c r="BX152" s="37">
        <v>0</v>
      </c>
      <c r="BY152" s="37">
        <v>0</v>
      </c>
      <c r="BZ152" s="37">
        <v>0</v>
      </c>
      <c r="CA152" s="37">
        <v>0</v>
      </c>
      <c r="CB152" s="37">
        <v>3834495</v>
      </c>
      <c r="CC152" s="37">
        <v>0</v>
      </c>
      <c r="CD152" s="37">
        <v>658024</v>
      </c>
      <c r="CE152" s="37">
        <v>162305</v>
      </c>
      <c r="CF152" s="37">
        <v>0</v>
      </c>
      <c r="CG152" s="37">
        <v>0</v>
      </c>
      <c r="CH152" s="37">
        <v>0</v>
      </c>
      <c r="CI152" s="37">
        <v>0</v>
      </c>
      <c r="CJ152" s="37">
        <v>0</v>
      </c>
      <c r="CK152" s="37">
        <v>0</v>
      </c>
      <c r="CL152" s="37">
        <v>0</v>
      </c>
      <c r="CM152" s="37">
        <v>0</v>
      </c>
      <c r="CN152" s="37">
        <v>820329</v>
      </c>
      <c r="CO152" s="37">
        <v>0</v>
      </c>
      <c r="CP152" s="37">
        <v>500000</v>
      </c>
      <c r="CQ152" s="37">
        <v>0</v>
      </c>
      <c r="CR152" s="37">
        <v>0</v>
      </c>
      <c r="CS152" s="37">
        <v>0</v>
      </c>
      <c r="CT152" s="37">
        <v>0</v>
      </c>
      <c r="CU152" s="37">
        <v>0</v>
      </c>
      <c r="CV152" s="37">
        <v>0</v>
      </c>
      <c r="CW152" s="37">
        <v>0</v>
      </c>
      <c r="CX152" s="37">
        <v>0</v>
      </c>
      <c r="CY152" s="37">
        <v>0</v>
      </c>
      <c r="CZ152" s="37">
        <v>500000</v>
      </c>
      <c r="DA152" s="37">
        <v>755608</v>
      </c>
      <c r="DB152" s="37">
        <v>1406910</v>
      </c>
      <c r="DC152" s="37">
        <v>2520369</v>
      </c>
      <c r="DD152" s="37">
        <v>2164864</v>
      </c>
      <c r="DE152" s="37">
        <v>0</v>
      </c>
      <c r="DF152" s="37">
        <v>0</v>
      </c>
      <c r="DG152" s="37">
        <v>0</v>
      </c>
      <c r="DH152" s="37">
        <v>0</v>
      </c>
      <c r="DI152" s="37">
        <v>0</v>
      </c>
      <c r="DJ152" s="37">
        <v>0</v>
      </c>
      <c r="DK152" s="37">
        <v>0</v>
      </c>
      <c r="DL152" s="37">
        <v>6092143</v>
      </c>
      <c r="DM152" s="37">
        <v>0</v>
      </c>
      <c r="DN152" s="37">
        <v>0</v>
      </c>
      <c r="DO152" s="37">
        <v>0</v>
      </c>
      <c r="DP152" s="37">
        <v>0</v>
      </c>
      <c r="DQ152" s="37">
        <v>0</v>
      </c>
      <c r="DR152" s="37">
        <v>0</v>
      </c>
      <c r="DS152" s="37">
        <v>0</v>
      </c>
      <c r="DT152" s="37">
        <v>0</v>
      </c>
      <c r="DU152" s="37">
        <v>0</v>
      </c>
      <c r="DV152" s="37">
        <v>0</v>
      </c>
      <c r="DW152" s="37">
        <v>0</v>
      </c>
      <c r="DX152" s="37">
        <v>0</v>
      </c>
      <c r="DY152" s="37">
        <v>0</v>
      </c>
      <c r="DZ152" s="37">
        <v>240000</v>
      </c>
      <c r="EA152" s="37">
        <v>0</v>
      </c>
      <c r="EB152" s="37">
        <v>0</v>
      </c>
      <c r="EC152" s="37">
        <v>0</v>
      </c>
      <c r="ED152" s="37">
        <v>0</v>
      </c>
      <c r="EE152" s="37">
        <v>0</v>
      </c>
      <c r="EF152" s="37">
        <v>0</v>
      </c>
      <c r="EG152" s="37">
        <v>0</v>
      </c>
      <c r="EH152" s="37">
        <v>0</v>
      </c>
      <c r="EI152" s="37">
        <v>0</v>
      </c>
      <c r="EJ152" s="37">
        <v>240000</v>
      </c>
      <c r="EK152" s="161" t="s">
        <v>1711</v>
      </c>
      <c r="EL152" s="294" t="s">
        <v>1124</v>
      </c>
    </row>
    <row r="153" spans="1:142" ht="15" customHeight="1" x14ac:dyDescent="0.35">
      <c r="A153" s="34"/>
      <c r="B153" s="313">
        <v>66087</v>
      </c>
      <c r="C153" s="8" t="s">
        <v>654</v>
      </c>
      <c r="D153" s="18">
        <v>6</v>
      </c>
      <c r="E153" s="155">
        <v>10997225.8077677</v>
      </c>
      <c r="F153" s="36">
        <v>3147213.6052646008</v>
      </c>
      <c r="G153" s="37">
        <v>271406.62599999999</v>
      </c>
      <c r="H153" s="37">
        <v>272845.29599999997</v>
      </c>
      <c r="I153" s="37">
        <v>564613.69400000002</v>
      </c>
      <c r="J153" s="37">
        <v>540052.23</v>
      </c>
      <c r="K153" s="37">
        <v>351776.24199999997</v>
      </c>
      <c r="L153" s="37">
        <v>331344.06699999998</v>
      </c>
      <c r="M153" s="37">
        <v>12185022.369767699</v>
      </c>
      <c r="N153" s="37">
        <v>4291455.1982646007</v>
      </c>
      <c r="O153" s="37">
        <v>9803.8320199999998</v>
      </c>
      <c r="P153" s="37">
        <v>111666.68806</v>
      </c>
      <c r="Q153" s="37">
        <v>0</v>
      </c>
      <c r="R153" s="37">
        <v>0</v>
      </c>
      <c r="S153" s="37">
        <v>250107.16768000001</v>
      </c>
      <c r="T153" s="37">
        <v>202321.35200000001</v>
      </c>
      <c r="U153" s="37">
        <v>71183.337499999994</v>
      </c>
      <c r="V153" s="37">
        <v>38591</v>
      </c>
      <c r="W153" s="37">
        <v>12118380.040722061</v>
      </c>
      <c r="X153" s="37">
        <v>4094819.7827660101</v>
      </c>
      <c r="Y153" s="37">
        <v>0</v>
      </c>
      <c r="Z153" s="37">
        <v>0</v>
      </c>
      <c r="AA153" s="37">
        <v>12449474.377922062</v>
      </c>
      <c r="AB153" s="37">
        <v>4447398.8228260102</v>
      </c>
      <c r="AC153" s="37">
        <v>420395</v>
      </c>
      <c r="AD153" s="37">
        <v>86197.759999999995</v>
      </c>
      <c r="AE153" s="37">
        <v>534175.11</v>
      </c>
      <c r="AF153" s="168">
        <v>0.02</v>
      </c>
      <c r="AG153" s="37">
        <v>813587551.29999995</v>
      </c>
      <c r="AH153" s="37">
        <v>9666585.1799999997</v>
      </c>
      <c r="AI153" s="37">
        <v>9111468.7300000004</v>
      </c>
      <c r="AJ153" s="37">
        <v>9023193.6199999992</v>
      </c>
      <c r="AK153" s="37">
        <v>9500242.9700000007</v>
      </c>
      <c r="AL153" s="37">
        <v>9753512.0899999999</v>
      </c>
      <c r="AM153" s="37">
        <v>10633685.82</v>
      </c>
      <c r="AN153" s="37">
        <v>10910546.470000001</v>
      </c>
      <c r="AO153" s="37">
        <v>10814786.039999999</v>
      </c>
      <c r="AP153" s="37">
        <v>11304513.029999999</v>
      </c>
      <c r="AQ153" s="37">
        <v>11535376.42</v>
      </c>
      <c r="AR153" s="37">
        <v>102253910.37</v>
      </c>
      <c r="AS153" s="37">
        <v>50580424.600000001</v>
      </c>
      <c r="AT153" s="37">
        <v>5627393.8099999996</v>
      </c>
      <c r="AU153" s="37">
        <v>10921770.18</v>
      </c>
      <c r="AV153" s="37">
        <v>22052445.350000001</v>
      </c>
      <c r="AW153" s="37">
        <v>23622989.039999999</v>
      </c>
      <c r="AX153" s="37">
        <v>9691106.3000000007</v>
      </c>
      <c r="AY153" s="37">
        <v>15251276.720000001</v>
      </c>
      <c r="AZ153" s="37">
        <v>14731680.66</v>
      </c>
      <c r="BA153" s="37">
        <v>16024996.699999999</v>
      </c>
      <c r="BB153" s="37">
        <v>15509688.51</v>
      </c>
      <c r="BC153" s="37">
        <v>15513062.310000001</v>
      </c>
      <c r="BD153" s="37">
        <v>148946409.57999998</v>
      </c>
      <c r="BE153" s="37">
        <v>1566629.48</v>
      </c>
      <c r="BF153" s="37">
        <v>2332797.7799999998</v>
      </c>
      <c r="BG153" s="37">
        <v>2456852.5327054514</v>
      </c>
      <c r="BH153" s="37">
        <v>2680437.7997814873</v>
      </c>
      <c r="BI153" s="37">
        <v>2035476.7280000001</v>
      </c>
      <c r="BJ153" s="37">
        <v>593368.72800000012</v>
      </c>
      <c r="BK153" s="37">
        <v>593368.72800000012</v>
      </c>
      <c r="BL153" s="37">
        <v>593368.72800000012</v>
      </c>
      <c r="BM153" s="37">
        <v>105237.18</v>
      </c>
      <c r="BN153" s="37">
        <v>0</v>
      </c>
      <c r="BO153" s="37">
        <v>0</v>
      </c>
      <c r="BP153" s="37">
        <v>11390908.204486938</v>
      </c>
      <c r="BQ153" s="37">
        <v>2777582.01</v>
      </c>
      <c r="BR153" s="37">
        <v>3836014.59</v>
      </c>
      <c r="BS153" s="37">
        <v>4920565.077294548</v>
      </c>
      <c r="BT153" s="37">
        <v>4383992.5602185121</v>
      </c>
      <c r="BU153" s="37">
        <v>4822121.8619999997</v>
      </c>
      <c r="BV153" s="37">
        <v>4250204.6219999995</v>
      </c>
      <c r="BW153" s="37">
        <v>4291160.8020000001</v>
      </c>
      <c r="BX153" s="37">
        <v>4996323.3719999995</v>
      </c>
      <c r="BY153" s="37">
        <v>6359288.7199999997</v>
      </c>
      <c r="BZ153" s="37">
        <v>5455130.54</v>
      </c>
      <c r="CA153" s="37">
        <v>6216829.7799999993</v>
      </c>
      <c r="CB153" s="37">
        <v>49531631.925513059</v>
      </c>
      <c r="CC153" s="37">
        <v>2567433.6599999997</v>
      </c>
      <c r="CD153" s="37">
        <v>3688481.34</v>
      </c>
      <c r="CE153" s="37">
        <v>4614315.5</v>
      </c>
      <c r="CF153" s="37">
        <v>6272129.3599999994</v>
      </c>
      <c r="CG153" s="37">
        <v>7938284.9800000004</v>
      </c>
      <c r="CH153" s="37">
        <v>5318894.9800000004</v>
      </c>
      <c r="CI153" s="37">
        <v>4834199.9800000004</v>
      </c>
      <c r="CJ153" s="37">
        <v>3834199.98</v>
      </c>
      <c r="CK153" s="37">
        <v>3904199.98</v>
      </c>
      <c r="CL153" s="37">
        <v>3975599.98</v>
      </c>
      <c r="CM153" s="37">
        <v>4048427.98</v>
      </c>
      <c r="CN153" s="37">
        <v>48428734.060000002</v>
      </c>
      <c r="CO153" s="37">
        <v>822949.85</v>
      </c>
      <c r="CP153" s="37">
        <v>449079.31</v>
      </c>
      <c r="CQ153" s="37">
        <v>1143130.45</v>
      </c>
      <c r="CR153" s="37">
        <v>3590931.3089899998</v>
      </c>
      <c r="CS153" s="37">
        <v>421193.6</v>
      </c>
      <c r="CT153" s="37">
        <v>257124</v>
      </c>
      <c r="CU153" s="37">
        <v>355076</v>
      </c>
      <c r="CV153" s="37">
        <v>244880</v>
      </c>
      <c r="CW153" s="37">
        <v>0</v>
      </c>
      <c r="CX153" s="37">
        <v>0</v>
      </c>
      <c r="CY153" s="37">
        <v>0</v>
      </c>
      <c r="CZ153" s="37">
        <v>6461414.6689899992</v>
      </c>
      <c r="DA153" s="37">
        <v>2154423.63</v>
      </c>
      <c r="DB153" s="37">
        <v>925523.96</v>
      </c>
      <c r="DC153" s="37">
        <v>928003.37</v>
      </c>
      <c r="DD153" s="37">
        <v>3996828.5410099998</v>
      </c>
      <c r="DE153" s="37">
        <v>7120896.1299999999</v>
      </c>
      <c r="DF153" s="37">
        <v>534205.72</v>
      </c>
      <c r="DG153" s="37">
        <v>1002048.96</v>
      </c>
      <c r="DH153" s="37">
        <v>391746.77999999997</v>
      </c>
      <c r="DI153" s="37">
        <v>328873.83999999997</v>
      </c>
      <c r="DJ153" s="37">
        <v>742567.99</v>
      </c>
      <c r="DK153" s="37">
        <v>0</v>
      </c>
      <c r="DL153" s="37">
        <v>15970695.29101</v>
      </c>
      <c r="DM153" s="37">
        <v>198720.12</v>
      </c>
      <c r="DN153" s="37">
        <v>173589.31</v>
      </c>
      <c r="DO153" s="37">
        <v>2562353.36</v>
      </c>
      <c r="DP153" s="37">
        <v>1669301.25</v>
      </c>
      <c r="DQ153" s="37">
        <v>0</v>
      </c>
      <c r="DR153" s="37">
        <v>314962.5</v>
      </c>
      <c r="DS153" s="37">
        <v>0</v>
      </c>
      <c r="DT153" s="37">
        <v>0</v>
      </c>
      <c r="DU153" s="37">
        <v>0</v>
      </c>
      <c r="DV153" s="37">
        <v>0</v>
      </c>
      <c r="DW153" s="37">
        <v>0</v>
      </c>
      <c r="DX153" s="37">
        <v>4720206.419999999</v>
      </c>
      <c r="DY153" s="37">
        <v>1008092.07</v>
      </c>
      <c r="DZ153" s="37">
        <v>342700.2</v>
      </c>
      <c r="EA153" s="37">
        <v>0</v>
      </c>
      <c r="EB153" s="37">
        <v>0</v>
      </c>
      <c r="EC153" s="37">
        <v>0</v>
      </c>
      <c r="ED153" s="37">
        <v>0</v>
      </c>
      <c r="EE153" s="37">
        <v>0</v>
      </c>
      <c r="EF153" s="37">
        <v>0</v>
      </c>
      <c r="EG153" s="37">
        <v>0</v>
      </c>
      <c r="EH153" s="37">
        <v>0</v>
      </c>
      <c r="EI153" s="37">
        <v>0</v>
      </c>
      <c r="EJ153" s="37">
        <v>342700.2</v>
      </c>
      <c r="EK153" s="161" t="s">
        <v>1716</v>
      </c>
      <c r="EL153" s="294" t="s">
        <v>1124</v>
      </c>
    </row>
    <row r="154" spans="1:142" ht="15" customHeight="1" x14ac:dyDescent="0.35">
      <c r="A154" s="34"/>
      <c r="B154" s="313">
        <v>33040</v>
      </c>
      <c r="C154" s="8" t="s">
        <v>272</v>
      </c>
      <c r="D154" s="18">
        <v>12</v>
      </c>
      <c r="E154" s="155"/>
      <c r="F154" s="36"/>
      <c r="G154" s="37"/>
      <c r="H154" s="37"/>
      <c r="I154" s="37"/>
      <c r="J154" s="37"/>
      <c r="K154" s="37"/>
      <c r="L154" s="37"/>
      <c r="M154" s="37" t="s">
        <v>1124</v>
      </c>
      <c r="N154" s="37" t="s">
        <v>1124</v>
      </c>
      <c r="O154" s="37"/>
      <c r="P154" s="37"/>
      <c r="Q154" s="37"/>
      <c r="R154" s="37"/>
      <c r="S154" s="37"/>
      <c r="T154" s="37"/>
      <c r="U154" s="37"/>
      <c r="V154" s="37"/>
      <c r="W154" s="37"/>
      <c r="X154" s="37"/>
      <c r="Y154" s="37"/>
      <c r="Z154" s="37"/>
      <c r="AA154" s="37" t="s">
        <v>1124</v>
      </c>
      <c r="AB154" s="37" t="s">
        <v>1124</v>
      </c>
      <c r="AC154" s="37"/>
      <c r="AD154" s="37"/>
      <c r="AE154" s="37"/>
      <c r="AF154" s="168"/>
      <c r="AG154" s="37"/>
      <c r="AH154" s="37"/>
      <c r="AI154" s="37"/>
      <c r="AJ154" s="37"/>
      <c r="AK154" s="37"/>
      <c r="AL154" s="37"/>
      <c r="AM154" s="37"/>
      <c r="AN154" s="37"/>
      <c r="AO154" s="37"/>
      <c r="AP154" s="37"/>
      <c r="AQ154" s="37"/>
      <c r="AR154" s="37" t="s">
        <v>1124</v>
      </c>
      <c r="AS154" s="37"/>
      <c r="AT154" s="37"/>
      <c r="AU154" s="37"/>
      <c r="AV154" s="37"/>
      <c r="AW154" s="37"/>
      <c r="AX154" s="37"/>
      <c r="AY154" s="37"/>
      <c r="AZ154" s="37"/>
      <c r="BA154" s="37"/>
      <c r="BB154" s="37"/>
      <c r="BC154" s="37"/>
      <c r="BD154" s="37" t="s">
        <v>1124</v>
      </c>
      <c r="BE154" s="37"/>
      <c r="BF154" s="37"/>
      <c r="BG154" s="37"/>
      <c r="BH154" s="37"/>
      <c r="BI154" s="37"/>
      <c r="BJ154" s="37"/>
      <c r="BK154" s="37"/>
      <c r="BL154" s="37"/>
      <c r="BM154" s="37"/>
      <c r="BN154" s="37"/>
      <c r="BO154" s="37"/>
      <c r="BP154" s="37">
        <v>0</v>
      </c>
      <c r="BQ154" s="37"/>
      <c r="BR154" s="37"/>
      <c r="BS154" s="37"/>
      <c r="BT154" s="37"/>
      <c r="BU154" s="37"/>
      <c r="BV154" s="37"/>
      <c r="BW154" s="37"/>
      <c r="BX154" s="37"/>
      <c r="BY154" s="37"/>
      <c r="BZ154" s="37"/>
      <c r="CA154" s="37"/>
      <c r="CB154" s="37" t="s">
        <v>1124</v>
      </c>
      <c r="CC154" s="37"/>
      <c r="CD154" s="37"/>
      <c r="CE154" s="37"/>
      <c r="CF154" s="37"/>
      <c r="CG154" s="37"/>
      <c r="CH154" s="37"/>
      <c r="CI154" s="37"/>
      <c r="CJ154" s="37"/>
      <c r="CK154" s="37"/>
      <c r="CL154" s="37"/>
      <c r="CM154" s="37"/>
      <c r="CN154" s="37" t="s">
        <v>1124</v>
      </c>
      <c r="CO154" s="37"/>
      <c r="CP154" s="37"/>
      <c r="CQ154" s="37"/>
      <c r="CR154" s="37"/>
      <c r="CS154" s="37"/>
      <c r="CT154" s="37"/>
      <c r="CU154" s="37"/>
      <c r="CV154" s="37"/>
      <c r="CW154" s="37"/>
      <c r="CX154" s="37"/>
      <c r="CY154" s="37"/>
      <c r="CZ154" s="37" t="s">
        <v>1124</v>
      </c>
      <c r="DA154" s="37"/>
      <c r="DB154" s="37"/>
      <c r="DC154" s="37"/>
      <c r="DD154" s="37"/>
      <c r="DE154" s="37"/>
      <c r="DF154" s="37"/>
      <c r="DG154" s="37"/>
      <c r="DH154" s="37"/>
      <c r="DI154" s="37"/>
      <c r="DJ154" s="37"/>
      <c r="DK154" s="37"/>
      <c r="DL154" s="37" t="s">
        <v>1124</v>
      </c>
      <c r="DM154" s="37"/>
      <c r="DN154" s="37"/>
      <c r="DO154" s="37"/>
      <c r="DP154" s="37"/>
      <c r="DQ154" s="37"/>
      <c r="DR154" s="37"/>
      <c r="DS154" s="37"/>
      <c r="DT154" s="37"/>
      <c r="DU154" s="37"/>
      <c r="DV154" s="37"/>
      <c r="DW154" s="37"/>
      <c r="DX154" s="37" t="s">
        <v>1124</v>
      </c>
      <c r="DY154" s="37"/>
      <c r="DZ154" s="37"/>
      <c r="EA154" s="37"/>
      <c r="EB154" s="37"/>
      <c r="EC154" s="37"/>
      <c r="ED154" s="37"/>
      <c r="EE154" s="37"/>
      <c r="EF154" s="37"/>
      <c r="EG154" s="37"/>
      <c r="EH154" s="37"/>
      <c r="EI154" s="37"/>
      <c r="EJ154" s="37" t="s">
        <v>1124</v>
      </c>
      <c r="EK154" s="161"/>
      <c r="EL154" s="294"/>
    </row>
    <row r="155" spans="1:142" ht="15" customHeight="1" x14ac:dyDescent="0.35">
      <c r="A155" s="34"/>
      <c r="B155" s="313">
        <v>49058</v>
      </c>
      <c r="C155" s="8" t="s">
        <v>471</v>
      </c>
      <c r="D155" s="18">
        <v>17</v>
      </c>
      <c r="E155" s="155">
        <v>5643287</v>
      </c>
      <c r="F155" s="36">
        <v>4524287</v>
      </c>
      <c r="G155" s="37">
        <v>349492</v>
      </c>
      <c r="H155" s="37">
        <v>569694</v>
      </c>
      <c r="I155" s="37">
        <v>870598.95000000007</v>
      </c>
      <c r="J155" s="37">
        <v>1528443.86</v>
      </c>
      <c r="K155" s="37">
        <v>25000</v>
      </c>
      <c r="L155" s="37">
        <v>25000</v>
      </c>
      <c r="M155" s="37">
        <v>6888377.9500000002</v>
      </c>
      <c r="N155" s="37">
        <v>6647424.8600000003</v>
      </c>
      <c r="O155" s="37">
        <v>904093.31</v>
      </c>
      <c r="P155" s="37">
        <v>860716.15</v>
      </c>
      <c r="Q155" s="37">
        <v>4789992</v>
      </c>
      <c r="R155" s="37">
        <v>3945757</v>
      </c>
      <c r="S155" s="37">
        <v>455173</v>
      </c>
      <c r="T155" s="37">
        <v>0</v>
      </c>
      <c r="U155" s="37">
        <v>182172</v>
      </c>
      <c r="V155" s="37">
        <v>137231</v>
      </c>
      <c r="W155" s="37">
        <v>556948</v>
      </c>
      <c r="X155" s="37">
        <v>1703721</v>
      </c>
      <c r="Y155" s="37">
        <v>0</v>
      </c>
      <c r="Z155" s="37">
        <v>0</v>
      </c>
      <c r="AA155" s="37">
        <v>6888378.3100000005</v>
      </c>
      <c r="AB155" s="37">
        <v>6647425.1500000004</v>
      </c>
      <c r="AC155" s="37">
        <v>0</v>
      </c>
      <c r="AD155" s="37">
        <v>0</v>
      </c>
      <c r="AE155" s="37">
        <v>0</v>
      </c>
      <c r="AF155" s="168">
        <v>0.02</v>
      </c>
      <c r="AG155" s="37">
        <v>984595882.89999998</v>
      </c>
      <c r="AH155" s="37">
        <v>9340606.0399999991</v>
      </c>
      <c r="AI155" s="37">
        <v>9725094.1600000001</v>
      </c>
      <c r="AJ155" s="37">
        <v>9717966.5199999996</v>
      </c>
      <c r="AK155" s="37">
        <v>10128812.279999999</v>
      </c>
      <c r="AL155" s="37">
        <v>10110572.369999999</v>
      </c>
      <c r="AM155" s="37">
        <v>10312783.810000001</v>
      </c>
      <c r="AN155" s="37">
        <v>10519039.49</v>
      </c>
      <c r="AO155" s="37">
        <v>10729420.279999999</v>
      </c>
      <c r="AP155" s="37">
        <v>10944008.689999999</v>
      </c>
      <c r="AQ155" s="37">
        <v>11162888.859999999</v>
      </c>
      <c r="AR155" s="37">
        <v>102691192.5</v>
      </c>
      <c r="AS155" s="37">
        <v>117505058.76000001</v>
      </c>
      <c r="AT155" s="37">
        <v>0</v>
      </c>
      <c r="AU155" s="37">
        <v>135252</v>
      </c>
      <c r="AV155" s="37">
        <v>0</v>
      </c>
      <c r="AW155" s="37">
        <v>0</v>
      </c>
      <c r="AX155" s="37">
        <v>0</v>
      </c>
      <c r="AY155" s="37">
        <v>0</v>
      </c>
      <c r="AZ155" s="37">
        <v>0</v>
      </c>
      <c r="BA155" s="37">
        <v>0</v>
      </c>
      <c r="BB155" s="37">
        <v>0</v>
      </c>
      <c r="BC155" s="37">
        <v>0</v>
      </c>
      <c r="BD155" s="37">
        <v>135252</v>
      </c>
      <c r="BE155" s="37">
        <v>4482569</v>
      </c>
      <c r="BF155" s="37">
        <v>4206500</v>
      </c>
      <c r="BG155" s="37">
        <v>10067761</v>
      </c>
      <c r="BH155" s="37">
        <v>10067761</v>
      </c>
      <c r="BI155" s="37">
        <v>0</v>
      </c>
      <c r="BJ155" s="37">
        <v>0</v>
      </c>
      <c r="BK155" s="37">
        <v>0</v>
      </c>
      <c r="BL155" s="37">
        <v>0</v>
      </c>
      <c r="BM155" s="37">
        <v>0</v>
      </c>
      <c r="BN155" s="37">
        <v>0</v>
      </c>
      <c r="BO155" s="37">
        <v>0</v>
      </c>
      <c r="BP155" s="37">
        <v>24342022</v>
      </c>
      <c r="BQ155" s="37">
        <v>1216734</v>
      </c>
      <c r="BR155" s="37">
        <v>3755666.6620285143</v>
      </c>
      <c r="BS155" s="37">
        <v>4048134.6704183989</v>
      </c>
      <c r="BT155" s="37">
        <v>4983432.9464395782</v>
      </c>
      <c r="BU155" s="37">
        <v>5918733.2211135142</v>
      </c>
      <c r="BV155" s="37">
        <v>0</v>
      </c>
      <c r="BW155" s="37">
        <v>0</v>
      </c>
      <c r="BX155" s="37">
        <v>0</v>
      </c>
      <c r="BY155" s="37">
        <v>0</v>
      </c>
      <c r="BZ155" s="37">
        <v>0</v>
      </c>
      <c r="CA155" s="37">
        <v>0</v>
      </c>
      <c r="CB155" s="37">
        <v>18705967.500000007</v>
      </c>
      <c r="CC155" s="37">
        <v>0</v>
      </c>
      <c r="CD155" s="37">
        <v>0</v>
      </c>
      <c r="CE155" s="37">
        <v>0</v>
      </c>
      <c r="CF155" s="37">
        <v>0</v>
      </c>
      <c r="CG155" s="37">
        <v>0</v>
      </c>
      <c r="CH155" s="37">
        <v>0</v>
      </c>
      <c r="CI155" s="37">
        <v>0</v>
      </c>
      <c r="CJ155" s="37">
        <v>0</v>
      </c>
      <c r="CK155" s="37">
        <v>0</v>
      </c>
      <c r="CL155" s="37">
        <v>0</v>
      </c>
      <c r="CM155" s="37">
        <v>0</v>
      </c>
      <c r="CN155" s="37">
        <v>0</v>
      </c>
      <c r="CO155" s="37">
        <v>0</v>
      </c>
      <c r="CP155" s="37">
        <v>0</v>
      </c>
      <c r="CQ155" s="37">
        <v>0</v>
      </c>
      <c r="CR155" s="37">
        <v>0</v>
      </c>
      <c r="CS155" s="37">
        <v>0</v>
      </c>
      <c r="CT155" s="37">
        <v>0</v>
      </c>
      <c r="CU155" s="37">
        <v>0</v>
      </c>
      <c r="CV155" s="37">
        <v>0</v>
      </c>
      <c r="CW155" s="37">
        <v>0</v>
      </c>
      <c r="CX155" s="37">
        <v>0</v>
      </c>
      <c r="CY155" s="37">
        <v>0</v>
      </c>
      <c r="CZ155" s="37">
        <v>0</v>
      </c>
      <c r="DA155" s="37">
        <v>0</v>
      </c>
      <c r="DB155" s="37">
        <v>0</v>
      </c>
      <c r="DC155" s="37">
        <v>0</v>
      </c>
      <c r="DD155" s="37">
        <v>0</v>
      </c>
      <c r="DE155" s="37">
        <v>0</v>
      </c>
      <c r="DF155" s="37">
        <v>0</v>
      </c>
      <c r="DG155" s="37">
        <v>0</v>
      </c>
      <c r="DH155" s="37">
        <v>0</v>
      </c>
      <c r="DI155" s="37">
        <v>0</v>
      </c>
      <c r="DJ155" s="37">
        <v>0</v>
      </c>
      <c r="DK155" s="37">
        <v>0</v>
      </c>
      <c r="DL155" s="37">
        <v>0</v>
      </c>
      <c r="DM155" s="37">
        <v>0</v>
      </c>
      <c r="DN155" s="37">
        <v>0</v>
      </c>
      <c r="DO155" s="37">
        <v>0</v>
      </c>
      <c r="DP155" s="37">
        <v>0</v>
      </c>
      <c r="DQ155" s="37">
        <v>0</v>
      </c>
      <c r="DR155" s="37">
        <v>0</v>
      </c>
      <c r="DS155" s="37">
        <v>0</v>
      </c>
      <c r="DT155" s="37">
        <v>0</v>
      </c>
      <c r="DU155" s="37">
        <v>0</v>
      </c>
      <c r="DV155" s="37">
        <v>0</v>
      </c>
      <c r="DW155" s="37">
        <v>0</v>
      </c>
      <c r="DX155" s="37">
        <v>0</v>
      </c>
      <c r="DY155" s="37">
        <v>0</v>
      </c>
      <c r="DZ155" s="37">
        <v>3000000</v>
      </c>
      <c r="EA155" s="37">
        <v>3000000</v>
      </c>
      <c r="EB155" s="37">
        <v>3000000</v>
      </c>
      <c r="EC155" s="37">
        <v>3000000</v>
      </c>
      <c r="ED155" s="37">
        <v>3000000</v>
      </c>
      <c r="EE155" s="37">
        <v>3000000</v>
      </c>
      <c r="EF155" s="37">
        <v>3000000</v>
      </c>
      <c r="EG155" s="37">
        <v>3000000</v>
      </c>
      <c r="EH155" s="37">
        <v>3000000</v>
      </c>
      <c r="EI155" s="37">
        <v>3000000</v>
      </c>
      <c r="EJ155" s="37">
        <v>30000000</v>
      </c>
      <c r="EK155" s="161" t="s">
        <v>1721</v>
      </c>
      <c r="EL155" s="294" t="s">
        <v>1124</v>
      </c>
    </row>
    <row r="156" spans="1:142" ht="15" customHeight="1" x14ac:dyDescent="0.35">
      <c r="A156" s="34"/>
      <c r="B156" s="313">
        <v>41117</v>
      </c>
      <c r="C156" s="8" t="s">
        <v>378</v>
      </c>
      <c r="D156" s="18">
        <v>5</v>
      </c>
      <c r="E156" s="155">
        <v>46153</v>
      </c>
      <c r="F156" s="36">
        <v>114455</v>
      </c>
      <c r="G156" s="37">
        <v>0</v>
      </c>
      <c r="H156" s="37">
        <v>561</v>
      </c>
      <c r="I156" s="37">
        <v>0</v>
      </c>
      <c r="J156" s="37">
        <v>36683</v>
      </c>
      <c r="K156" s="37">
        <v>6922.95</v>
      </c>
      <c r="L156" s="37">
        <v>22754.85</v>
      </c>
      <c r="M156" s="37">
        <v>53075.95</v>
      </c>
      <c r="N156" s="37">
        <v>174453.85</v>
      </c>
      <c r="O156" s="37">
        <v>0</v>
      </c>
      <c r="P156" s="37">
        <v>0</v>
      </c>
      <c r="Q156" s="37">
        <v>34535</v>
      </c>
      <c r="R156" s="37">
        <v>71285</v>
      </c>
      <c r="S156" s="37">
        <v>0</v>
      </c>
      <c r="T156" s="37">
        <v>350</v>
      </c>
      <c r="U156" s="37">
        <v>0</v>
      </c>
      <c r="V156" s="37">
        <v>0</v>
      </c>
      <c r="W156" s="37">
        <v>39476.006404822452</v>
      </c>
      <c r="X156" s="37">
        <v>81883.993595177555</v>
      </c>
      <c r="Y156" s="37">
        <v>0</v>
      </c>
      <c r="Z156" s="37">
        <v>0</v>
      </c>
      <c r="AA156" s="37">
        <v>74011.006404822459</v>
      </c>
      <c r="AB156" s="37">
        <v>153518.99359517754</v>
      </c>
      <c r="AC156" s="37">
        <v>0</v>
      </c>
      <c r="AD156" s="37">
        <v>0</v>
      </c>
      <c r="AE156" s="37">
        <v>0</v>
      </c>
      <c r="AF156" s="168">
        <v>0.02</v>
      </c>
      <c r="AG156" s="37">
        <v>10716330.18</v>
      </c>
      <c r="AH156" s="37">
        <v>199938.58999999956</v>
      </c>
      <c r="AI156" s="37">
        <v>81829.100000000006</v>
      </c>
      <c r="AJ156" s="37">
        <v>83465.679999999993</v>
      </c>
      <c r="AK156" s="37">
        <v>85135</v>
      </c>
      <c r="AL156" s="37">
        <v>86837.7</v>
      </c>
      <c r="AM156" s="37">
        <v>88574.45</v>
      </c>
      <c r="AN156" s="37">
        <v>90345.94</v>
      </c>
      <c r="AO156" s="37">
        <v>92152.86</v>
      </c>
      <c r="AP156" s="37">
        <v>93995.92</v>
      </c>
      <c r="AQ156" s="37">
        <v>95875.839999999997</v>
      </c>
      <c r="AR156" s="37">
        <v>998151.07999999938</v>
      </c>
      <c r="AS156" s="37">
        <v>122741.19</v>
      </c>
      <c r="AT156" s="37">
        <v>0</v>
      </c>
      <c r="AU156" s="37">
        <v>0</v>
      </c>
      <c r="AV156" s="37">
        <v>31836.240000000002</v>
      </c>
      <c r="AW156" s="37">
        <v>0</v>
      </c>
      <c r="AX156" s="37">
        <v>0</v>
      </c>
      <c r="AY156" s="37">
        <v>0</v>
      </c>
      <c r="AZ156" s="37">
        <v>0</v>
      </c>
      <c r="BA156" s="37">
        <v>0</v>
      </c>
      <c r="BB156" s="37">
        <v>0</v>
      </c>
      <c r="BC156" s="37">
        <v>0</v>
      </c>
      <c r="BD156" s="37">
        <v>31836.240000000002</v>
      </c>
      <c r="BE156" s="37">
        <v>782757</v>
      </c>
      <c r="BF156" s="37">
        <v>127480.429614508</v>
      </c>
      <c r="BG156" s="37">
        <v>137407.81420776798</v>
      </c>
      <c r="BH156" s="37">
        <v>139155.100848081</v>
      </c>
      <c r="BI156" s="37">
        <v>200902.45532964263</v>
      </c>
      <c r="BJ156" s="37">
        <v>0</v>
      </c>
      <c r="BK156" s="37">
        <v>0</v>
      </c>
      <c r="BL156" s="37">
        <v>0</v>
      </c>
      <c r="BM156" s="37">
        <v>0</v>
      </c>
      <c r="BN156" s="37">
        <v>0</v>
      </c>
      <c r="BO156" s="37">
        <v>0</v>
      </c>
      <c r="BP156" s="37">
        <v>604945.79999999958</v>
      </c>
      <c r="BQ156" s="37">
        <v>0</v>
      </c>
      <c r="BR156" s="37">
        <v>0</v>
      </c>
      <c r="BS156" s="37">
        <v>0</v>
      </c>
      <c r="BT156" s="37">
        <v>0</v>
      </c>
      <c r="BU156" s="37">
        <v>0</v>
      </c>
      <c r="BV156" s="37">
        <v>0</v>
      </c>
      <c r="BW156" s="37">
        <v>0</v>
      </c>
      <c r="BX156" s="37">
        <v>0</v>
      </c>
      <c r="BY156" s="37">
        <v>0</v>
      </c>
      <c r="BZ156" s="37">
        <v>0</v>
      </c>
      <c r="CA156" s="37">
        <v>0</v>
      </c>
      <c r="CB156" s="37">
        <v>0</v>
      </c>
      <c r="CC156" s="37">
        <v>0</v>
      </c>
      <c r="CD156" s="37">
        <v>0</v>
      </c>
      <c r="CE156" s="37">
        <v>0</v>
      </c>
      <c r="CF156" s="37">
        <v>0</v>
      </c>
      <c r="CG156" s="37">
        <v>0</v>
      </c>
      <c r="CH156" s="37">
        <v>0</v>
      </c>
      <c r="CI156" s="37">
        <v>0</v>
      </c>
      <c r="CJ156" s="37">
        <v>0</v>
      </c>
      <c r="CK156" s="37">
        <v>0</v>
      </c>
      <c r="CL156" s="37">
        <v>0</v>
      </c>
      <c r="CM156" s="37">
        <v>0</v>
      </c>
      <c r="CN156" s="37">
        <v>0</v>
      </c>
      <c r="CO156" s="37">
        <v>0</v>
      </c>
      <c r="CP156" s="37">
        <v>0</v>
      </c>
      <c r="CQ156" s="37">
        <v>0</v>
      </c>
      <c r="CR156" s="37">
        <v>30000</v>
      </c>
      <c r="CS156" s="37">
        <v>0</v>
      </c>
      <c r="CT156" s="37">
        <v>0</v>
      </c>
      <c r="CU156" s="37">
        <v>0</v>
      </c>
      <c r="CV156" s="37">
        <v>0</v>
      </c>
      <c r="CW156" s="37">
        <v>0</v>
      </c>
      <c r="CX156" s="37">
        <v>0</v>
      </c>
      <c r="CY156" s="37">
        <v>0</v>
      </c>
      <c r="CZ156" s="37">
        <v>30000</v>
      </c>
      <c r="DA156" s="37">
        <v>0</v>
      </c>
      <c r="DB156" s="37">
        <v>0</v>
      </c>
      <c r="DC156" s="37">
        <v>0</v>
      </c>
      <c r="DD156" s="37">
        <v>0</v>
      </c>
      <c r="DE156" s="37">
        <v>0</v>
      </c>
      <c r="DF156" s="37">
        <v>0</v>
      </c>
      <c r="DG156" s="37">
        <v>0</v>
      </c>
      <c r="DH156" s="37">
        <v>0</v>
      </c>
      <c r="DI156" s="37">
        <v>0</v>
      </c>
      <c r="DJ156" s="37">
        <v>0</v>
      </c>
      <c r="DK156" s="37">
        <v>0</v>
      </c>
      <c r="DL156" s="37">
        <v>0</v>
      </c>
      <c r="DM156" s="37">
        <v>0</v>
      </c>
      <c r="DN156" s="37">
        <v>0</v>
      </c>
      <c r="DO156" s="37">
        <v>0</v>
      </c>
      <c r="DP156" s="37">
        <v>0</v>
      </c>
      <c r="DQ156" s="37">
        <v>0</v>
      </c>
      <c r="DR156" s="37">
        <v>0</v>
      </c>
      <c r="DS156" s="37">
        <v>0</v>
      </c>
      <c r="DT156" s="37">
        <v>0</v>
      </c>
      <c r="DU156" s="37">
        <v>0</v>
      </c>
      <c r="DV156" s="37">
        <v>0</v>
      </c>
      <c r="DW156" s="37">
        <v>0</v>
      </c>
      <c r="DX156" s="37">
        <v>0</v>
      </c>
      <c r="DY156" s="37">
        <v>0</v>
      </c>
      <c r="DZ156" s="37">
        <v>0</v>
      </c>
      <c r="EA156" s="37">
        <v>0</v>
      </c>
      <c r="EB156" s="37">
        <v>0</v>
      </c>
      <c r="EC156" s="37">
        <v>0</v>
      </c>
      <c r="ED156" s="37">
        <v>0</v>
      </c>
      <c r="EE156" s="37">
        <v>0</v>
      </c>
      <c r="EF156" s="37">
        <v>0</v>
      </c>
      <c r="EG156" s="37">
        <v>0</v>
      </c>
      <c r="EH156" s="37">
        <v>0</v>
      </c>
      <c r="EI156" s="37">
        <v>0</v>
      </c>
      <c r="EJ156" s="37">
        <v>0</v>
      </c>
      <c r="EK156" s="161" t="s">
        <v>1724</v>
      </c>
      <c r="EL156" s="294" t="s">
        <v>1124</v>
      </c>
    </row>
    <row r="157" spans="1:142" ht="15" customHeight="1" x14ac:dyDescent="0.35">
      <c r="A157" s="34"/>
      <c r="B157" s="313">
        <v>80135</v>
      </c>
      <c r="C157" s="8" t="s">
        <v>824</v>
      </c>
      <c r="D157" s="18">
        <v>7</v>
      </c>
      <c r="E157" s="155">
        <v>35609</v>
      </c>
      <c r="F157" s="36">
        <v>0</v>
      </c>
      <c r="G157" s="37">
        <v>459</v>
      </c>
      <c r="H157" s="37">
        <v>0</v>
      </c>
      <c r="I157" s="37">
        <v>2077</v>
      </c>
      <c r="J157" s="37">
        <v>0</v>
      </c>
      <c r="K157" s="37">
        <v>0</v>
      </c>
      <c r="L157" s="37">
        <v>0</v>
      </c>
      <c r="M157" s="37">
        <v>38145</v>
      </c>
      <c r="N157" s="37">
        <v>0</v>
      </c>
      <c r="O157" s="37">
        <v>0</v>
      </c>
      <c r="P157" s="37">
        <v>0</v>
      </c>
      <c r="Q157" s="37">
        <v>10488</v>
      </c>
      <c r="R157" s="37">
        <v>0</v>
      </c>
      <c r="S157" s="37">
        <v>2664</v>
      </c>
      <c r="T157" s="37">
        <v>0</v>
      </c>
      <c r="U157" s="37">
        <v>0</v>
      </c>
      <c r="V157" s="37">
        <v>0</v>
      </c>
      <c r="W157" s="37">
        <v>24993</v>
      </c>
      <c r="X157" s="37">
        <v>0</v>
      </c>
      <c r="Y157" s="37">
        <v>0</v>
      </c>
      <c r="Z157" s="37">
        <v>0</v>
      </c>
      <c r="AA157" s="37">
        <v>38145</v>
      </c>
      <c r="AB157" s="37">
        <v>0</v>
      </c>
      <c r="AC157" s="37">
        <v>0</v>
      </c>
      <c r="AD157" s="37">
        <v>0</v>
      </c>
      <c r="AE157" s="37">
        <v>0</v>
      </c>
      <c r="AF157" s="168">
        <v>0.02</v>
      </c>
      <c r="AG157" s="37">
        <v>910416.89</v>
      </c>
      <c r="AH157" s="37">
        <v>3226.74</v>
      </c>
      <c r="AI157" s="37">
        <v>3291.27</v>
      </c>
      <c r="AJ157" s="37">
        <v>3357.1</v>
      </c>
      <c r="AK157" s="37">
        <v>3424.24</v>
      </c>
      <c r="AL157" s="37">
        <v>3492.73</v>
      </c>
      <c r="AM157" s="37">
        <v>3562.58</v>
      </c>
      <c r="AN157" s="37">
        <v>3633.83</v>
      </c>
      <c r="AO157" s="37">
        <v>3706.51</v>
      </c>
      <c r="AP157" s="37">
        <v>3780.64</v>
      </c>
      <c r="AQ157" s="37">
        <v>3856.25</v>
      </c>
      <c r="AR157" s="37">
        <v>35331.89</v>
      </c>
      <c r="AS157" s="37">
        <v>0</v>
      </c>
      <c r="AT157" s="37">
        <v>0</v>
      </c>
      <c r="AU157" s="37">
        <v>0</v>
      </c>
      <c r="AV157" s="37">
        <v>0</v>
      </c>
      <c r="AW157" s="37">
        <v>0</v>
      </c>
      <c r="AX157" s="37">
        <v>0</v>
      </c>
      <c r="AY157" s="37">
        <v>0</v>
      </c>
      <c r="AZ157" s="37">
        <v>0</v>
      </c>
      <c r="BA157" s="37">
        <v>0</v>
      </c>
      <c r="BB157" s="37">
        <v>0</v>
      </c>
      <c r="BC157" s="37">
        <v>0</v>
      </c>
      <c r="BD157" s="37">
        <v>0</v>
      </c>
      <c r="BE157" s="37">
        <v>0</v>
      </c>
      <c r="BF157" s="37">
        <v>0</v>
      </c>
      <c r="BG157" s="37">
        <v>0</v>
      </c>
      <c r="BH157" s="37">
        <v>0</v>
      </c>
      <c r="BI157" s="37">
        <v>0</v>
      </c>
      <c r="BJ157" s="37">
        <v>0</v>
      </c>
      <c r="BK157" s="37">
        <v>0</v>
      </c>
      <c r="BL157" s="37">
        <v>0</v>
      </c>
      <c r="BM157" s="37">
        <v>0</v>
      </c>
      <c r="BN157" s="37">
        <v>0</v>
      </c>
      <c r="BO157" s="37">
        <v>0</v>
      </c>
      <c r="BP157" s="37">
        <v>0</v>
      </c>
      <c r="BQ157" s="37">
        <v>0</v>
      </c>
      <c r="BR157" s="37">
        <v>0</v>
      </c>
      <c r="BS157" s="37">
        <v>0</v>
      </c>
      <c r="BT157" s="37">
        <v>0</v>
      </c>
      <c r="BU157" s="37">
        <v>0</v>
      </c>
      <c r="BV157" s="37">
        <v>0</v>
      </c>
      <c r="BW157" s="37">
        <v>0</v>
      </c>
      <c r="BX157" s="37">
        <v>0</v>
      </c>
      <c r="BY157" s="37">
        <v>0</v>
      </c>
      <c r="BZ157" s="37">
        <v>0</v>
      </c>
      <c r="CA157" s="37">
        <v>0</v>
      </c>
      <c r="CB157" s="37">
        <v>0</v>
      </c>
      <c r="CC157" s="37">
        <v>0</v>
      </c>
      <c r="CD157" s="37">
        <v>0</v>
      </c>
      <c r="CE157" s="37">
        <v>0</v>
      </c>
      <c r="CF157" s="37">
        <v>0</v>
      </c>
      <c r="CG157" s="37">
        <v>0</v>
      </c>
      <c r="CH157" s="37">
        <v>0</v>
      </c>
      <c r="CI157" s="37">
        <v>0</v>
      </c>
      <c r="CJ157" s="37">
        <v>0</v>
      </c>
      <c r="CK157" s="37">
        <v>0</v>
      </c>
      <c r="CL157" s="37">
        <v>0</v>
      </c>
      <c r="CM157" s="37">
        <v>0</v>
      </c>
      <c r="CN157" s="37">
        <v>0</v>
      </c>
      <c r="CO157" s="37">
        <v>0</v>
      </c>
      <c r="CP157" s="37">
        <v>0</v>
      </c>
      <c r="CQ157" s="37">
        <v>0</v>
      </c>
      <c r="CR157" s="37">
        <v>0</v>
      </c>
      <c r="CS157" s="37">
        <v>0</v>
      </c>
      <c r="CT157" s="37">
        <v>0</v>
      </c>
      <c r="CU157" s="37">
        <v>0</v>
      </c>
      <c r="CV157" s="37">
        <v>0</v>
      </c>
      <c r="CW157" s="37">
        <v>0</v>
      </c>
      <c r="CX157" s="37">
        <v>0</v>
      </c>
      <c r="CY157" s="37">
        <v>0</v>
      </c>
      <c r="CZ157" s="37">
        <v>0</v>
      </c>
      <c r="DA157" s="37">
        <v>0</v>
      </c>
      <c r="DB157" s="37">
        <v>0</v>
      </c>
      <c r="DC157" s="37">
        <v>0</v>
      </c>
      <c r="DD157" s="37">
        <v>0</v>
      </c>
      <c r="DE157" s="37">
        <v>0</v>
      </c>
      <c r="DF157" s="37">
        <v>0</v>
      </c>
      <c r="DG157" s="37">
        <v>0</v>
      </c>
      <c r="DH157" s="37">
        <v>0</v>
      </c>
      <c r="DI157" s="37">
        <v>0</v>
      </c>
      <c r="DJ157" s="37">
        <v>0</v>
      </c>
      <c r="DK157" s="37">
        <v>0</v>
      </c>
      <c r="DL157" s="37">
        <v>0</v>
      </c>
      <c r="DM157" s="37">
        <v>0</v>
      </c>
      <c r="DN157" s="37">
        <v>0</v>
      </c>
      <c r="DO157" s="37">
        <v>0</v>
      </c>
      <c r="DP157" s="37">
        <v>0</v>
      </c>
      <c r="DQ157" s="37">
        <v>0</v>
      </c>
      <c r="DR157" s="37">
        <v>0</v>
      </c>
      <c r="DS157" s="37">
        <v>0</v>
      </c>
      <c r="DT157" s="37">
        <v>0</v>
      </c>
      <c r="DU157" s="37">
        <v>0</v>
      </c>
      <c r="DV157" s="37">
        <v>0</v>
      </c>
      <c r="DW157" s="37">
        <v>0</v>
      </c>
      <c r="DX157" s="37">
        <v>0</v>
      </c>
      <c r="DY157" s="37">
        <v>0</v>
      </c>
      <c r="DZ157" s="37">
        <v>0</v>
      </c>
      <c r="EA157" s="37">
        <v>0</v>
      </c>
      <c r="EB157" s="37">
        <v>0</v>
      </c>
      <c r="EC157" s="37">
        <v>0</v>
      </c>
      <c r="ED157" s="37">
        <v>0</v>
      </c>
      <c r="EE157" s="37">
        <v>0</v>
      </c>
      <c r="EF157" s="37">
        <v>0</v>
      </c>
      <c r="EG157" s="37">
        <v>0</v>
      </c>
      <c r="EH157" s="37">
        <v>0</v>
      </c>
      <c r="EI157" s="37">
        <v>0</v>
      </c>
      <c r="EJ157" s="37">
        <v>0</v>
      </c>
      <c r="EK157" s="161" t="s">
        <v>1729</v>
      </c>
      <c r="EL157" s="294" t="s">
        <v>1124</v>
      </c>
    </row>
    <row r="158" spans="1:142" ht="15" customHeight="1" x14ac:dyDescent="0.35">
      <c r="A158" s="34"/>
      <c r="B158" s="313">
        <v>85030</v>
      </c>
      <c r="C158" s="8" t="s">
        <v>875</v>
      </c>
      <c r="D158" s="18">
        <v>8</v>
      </c>
      <c r="E158" s="155"/>
      <c r="F158" s="36"/>
      <c r="G158" s="37"/>
      <c r="H158" s="37"/>
      <c r="I158" s="37"/>
      <c r="J158" s="37"/>
      <c r="K158" s="37"/>
      <c r="L158" s="37"/>
      <c r="M158" s="37" t="s">
        <v>1124</v>
      </c>
      <c r="N158" s="37" t="s">
        <v>1124</v>
      </c>
      <c r="O158" s="37"/>
      <c r="P158" s="37"/>
      <c r="Q158" s="37"/>
      <c r="R158" s="37"/>
      <c r="S158" s="37"/>
      <c r="T158" s="37"/>
      <c r="U158" s="37"/>
      <c r="V158" s="37"/>
      <c r="W158" s="37"/>
      <c r="X158" s="37"/>
      <c r="Y158" s="37"/>
      <c r="Z158" s="37"/>
      <c r="AA158" s="37" t="s">
        <v>1124</v>
      </c>
      <c r="AB158" s="37" t="s">
        <v>1124</v>
      </c>
      <c r="AC158" s="37"/>
      <c r="AD158" s="37"/>
      <c r="AE158" s="37"/>
      <c r="AF158" s="168"/>
      <c r="AG158" s="37"/>
      <c r="AH158" s="37"/>
      <c r="AI158" s="37"/>
      <c r="AJ158" s="37"/>
      <c r="AK158" s="37"/>
      <c r="AL158" s="37"/>
      <c r="AM158" s="37"/>
      <c r="AN158" s="37"/>
      <c r="AO158" s="37"/>
      <c r="AP158" s="37"/>
      <c r="AQ158" s="37"/>
      <c r="AR158" s="37" t="s">
        <v>1124</v>
      </c>
      <c r="AS158" s="37"/>
      <c r="AT158" s="37"/>
      <c r="AU158" s="37"/>
      <c r="AV158" s="37"/>
      <c r="AW158" s="37"/>
      <c r="AX158" s="37"/>
      <c r="AY158" s="37"/>
      <c r="AZ158" s="37"/>
      <c r="BA158" s="37"/>
      <c r="BB158" s="37"/>
      <c r="BC158" s="37"/>
      <c r="BD158" s="37" t="s">
        <v>1124</v>
      </c>
      <c r="BE158" s="37"/>
      <c r="BF158" s="37"/>
      <c r="BG158" s="37"/>
      <c r="BH158" s="37"/>
      <c r="BI158" s="37"/>
      <c r="BJ158" s="37"/>
      <c r="BK158" s="37"/>
      <c r="BL158" s="37"/>
      <c r="BM158" s="37"/>
      <c r="BN158" s="37"/>
      <c r="BO158" s="37"/>
      <c r="BP158" s="37">
        <v>0</v>
      </c>
      <c r="BQ158" s="37"/>
      <c r="BR158" s="37"/>
      <c r="BS158" s="37"/>
      <c r="BT158" s="37"/>
      <c r="BU158" s="37"/>
      <c r="BV158" s="37"/>
      <c r="BW158" s="37"/>
      <c r="BX158" s="37"/>
      <c r="BY158" s="37"/>
      <c r="BZ158" s="37"/>
      <c r="CA158" s="37"/>
      <c r="CB158" s="37" t="s">
        <v>1124</v>
      </c>
      <c r="CC158" s="37"/>
      <c r="CD158" s="37"/>
      <c r="CE158" s="37"/>
      <c r="CF158" s="37"/>
      <c r="CG158" s="37"/>
      <c r="CH158" s="37"/>
      <c r="CI158" s="37"/>
      <c r="CJ158" s="37"/>
      <c r="CK158" s="37"/>
      <c r="CL158" s="37"/>
      <c r="CM158" s="37"/>
      <c r="CN158" s="37" t="s">
        <v>1124</v>
      </c>
      <c r="CO158" s="37"/>
      <c r="CP158" s="37"/>
      <c r="CQ158" s="37"/>
      <c r="CR158" s="37"/>
      <c r="CS158" s="37"/>
      <c r="CT158" s="37"/>
      <c r="CU158" s="37"/>
      <c r="CV158" s="37"/>
      <c r="CW158" s="37"/>
      <c r="CX158" s="37"/>
      <c r="CY158" s="37"/>
      <c r="CZ158" s="37" t="s">
        <v>1124</v>
      </c>
      <c r="DA158" s="37"/>
      <c r="DB158" s="37"/>
      <c r="DC158" s="37"/>
      <c r="DD158" s="37"/>
      <c r="DE158" s="37"/>
      <c r="DF158" s="37"/>
      <c r="DG158" s="37"/>
      <c r="DH158" s="37"/>
      <c r="DI158" s="37"/>
      <c r="DJ158" s="37"/>
      <c r="DK158" s="37"/>
      <c r="DL158" s="37" t="s">
        <v>1124</v>
      </c>
      <c r="DM158" s="37"/>
      <c r="DN158" s="37"/>
      <c r="DO158" s="37"/>
      <c r="DP158" s="37"/>
      <c r="DQ158" s="37"/>
      <c r="DR158" s="37"/>
      <c r="DS158" s="37"/>
      <c r="DT158" s="37"/>
      <c r="DU158" s="37"/>
      <c r="DV158" s="37"/>
      <c r="DW158" s="37"/>
      <c r="DX158" s="37" t="s">
        <v>1124</v>
      </c>
      <c r="DY158" s="37"/>
      <c r="DZ158" s="37"/>
      <c r="EA158" s="37"/>
      <c r="EB158" s="37"/>
      <c r="EC158" s="37"/>
      <c r="ED158" s="37"/>
      <c r="EE158" s="37"/>
      <c r="EF158" s="37"/>
      <c r="EG158" s="37"/>
      <c r="EH158" s="37"/>
      <c r="EI158" s="37"/>
      <c r="EJ158" s="37" t="s">
        <v>1124</v>
      </c>
      <c r="EK158" s="161"/>
      <c r="EL158" s="294"/>
    </row>
    <row r="159" spans="1:142" ht="15" customHeight="1" x14ac:dyDescent="0.35">
      <c r="A159" s="34"/>
      <c r="B159" s="313">
        <v>69075</v>
      </c>
      <c r="C159" s="8" t="s">
        <v>696</v>
      </c>
      <c r="D159" s="18">
        <v>16</v>
      </c>
      <c r="E159" s="155"/>
      <c r="F159" s="36"/>
      <c r="G159" s="37"/>
      <c r="H159" s="37"/>
      <c r="I159" s="37"/>
      <c r="J159" s="37"/>
      <c r="K159" s="37"/>
      <c r="L159" s="37"/>
      <c r="M159" s="37" t="s">
        <v>1124</v>
      </c>
      <c r="N159" s="37" t="s">
        <v>1124</v>
      </c>
      <c r="O159" s="37"/>
      <c r="P159" s="37"/>
      <c r="Q159" s="37"/>
      <c r="R159" s="37"/>
      <c r="S159" s="37"/>
      <c r="T159" s="37"/>
      <c r="U159" s="37"/>
      <c r="V159" s="37"/>
      <c r="W159" s="37"/>
      <c r="X159" s="37"/>
      <c r="Y159" s="37"/>
      <c r="Z159" s="37"/>
      <c r="AA159" s="37" t="s">
        <v>1124</v>
      </c>
      <c r="AB159" s="37" t="s">
        <v>1124</v>
      </c>
      <c r="AC159" s="37"/>
      <c r="AD159" s="37"/>
      <c r="AE159" s="37"/>
      <c r="AF159" s="168"/>
      <c r="AG159" s="37"/>
      <c r="AH159" s="37"/>
      <c r="AI159" s="37"/>
      <c r="AJ159" s="37"/>
      <c r="AK159" s="37"/>
      <c r="AL159" s="37"/>
      <c r="AM159" s="37"/>
      <c r="AN159" s="37"/>
      <c r="AO159" s="37"/>
      <c r="AP159" s="37"/>
      <c r="AQ159" s="37"/>
      <c r="AR159" s="37" t="s">
        <v>1124</v>
      </c>
      <c r="AS159" s="37"/>
      <c r="AT159" s="37"/>
      <c r="AU159" s="37"/>
      <c r="AV159" s="37"/>
      <c r="AW159" s="37"/>
      <c r="AX159" s="37"/>
      <c r="AY159" s="37"/>
      <c r="AZ159" s="37"/>
      <c r="BA159" s="37"/>
      <c r="BB159" s="37"/>
      <c r="BC159" s="37"/>
      <c r="BD159" s="37" t="s">
        <v>1124</v>
      </c>
      <c r="BE159" s="37"/>
      <c r="BF159" s="37"/>
      <c r="BG159" s="37"/>
      <c r="BH159" s="37"/>
      <c r="BI159" s="37"/>
      <c r="BJ159" s="37"/>
      <c r="BK159" s="37"/>
      <c r="BL159" s="37"/>
      <c r="BM159" s="37"/>
      <c r="BN159" s="37"/>
      <c r="BO159" s="37"/>
      <c r="BP159" s="37">
        <v>0</v>
      </c>
      <c r="BQ159" s="37"/>
      <c r="BR159" s="37"/>
      <c r="BS159" s="37"/>
      <c r="BT159" s="37"/>
      <c r="BU159" s="37"/>
      <c r="BV159" s="37"/>
      <c r="BW159" s="37"/>
      <c r="BX159" s="37"/>
      <c r="BY159" s="37"/>
      <c r="BZ159" s="37"/>
      <c r="CA159" s="37"/>
      <c r="CB159" s="37" t="s">
        <v>1124</v>
      </c>
      <c r="CC159" s="37"/>
      <c r="CD159" s="37"/>
      <c r="CE159" s="37"/>
      <c r="CF159" s="37"/>
      <c r="CG159" s="37"/>
      <c r="CH159" s="37"/>
      <c r="CI159" s="37"/>
      <c r="CJ159" s="37"/>
      <c r="CK159" s="37"/>
      <c r="CL159" s="37"/>
      <c r="CM159" s="37"/>
      <c r="CN159" s="37" t="s">
        <v>1124</v>
      </c>
      <c r="CO159" s="37"/>
      <c r="CP159" s="37"/>
      <c r="CQ159" s="37"/>
      <c r="CR159" s="37"/>
      <c r="CS159" s="37"/>
      <c r="CT159" s="37"/>
      <c r="CU159" s="37"/>
      <c r="CV159" s="37"/>
      <c r="CW159" s="37"/>
      <c r="CX159" s="37"/>
      <c r="CY159" s="37"/>
      <c r="CZ159" s="37" t="s">
        <v>1124</v>
      </c>
      <c r="DA159" s="37"/>
      <c r="DB159" s="37"/>
      <c r="DC159" s="37"/>
      <c r="DD159" s="37"/>
      <c r="DE159" s="37"/>
      <c r="DF159" s="37"/>
      <c r="DG159" s="37"/>
      <c r="DH159" s="37"/>
      <c r="DI159" s="37"/>
      <c r="DJ159" s="37"/>
      <c r="DK159" s="37"/>
      <c r="DL159" s="37" t="s">
        <v>1124</v>
      </c>
      <c r="DM159" s="37"/>
      <c r="DN159" s="37"/>
      <c r="DO159" s="37"/>
      <c r="DP159" s="37"/>
      <c r="DQ159" s="37"/>
      <c r="DR159" s="37"/>
      <c r="DS159" s="37"/>
      <c r="DT159" s="37"/>
      <c r="DU159" s="37"/>
      <c r="DV159" s="37"/>
      <c r="DW159" s="37"/>
      <c r="DX159" s="37" t="s">
        <v>1124</v>
      </c>
      <c r="DY159" s="37"/>
      <c r="DZ159" s="37"/>
      <c r="EA159" s="37"/>
      <c r="EB159" s="37"/>
      <c r="EC159" s="37"/>
      <c r="ED159" s="37"/>
      <c r="EE159" s="37"/>
      <c r="EF159" s="37"/>
      <c r="EG159" s="37"/>
      <c r="EH159" s="37"/>
      <c r="EI159" s="37"/>
      <c r="EJ159" s="37" t="s">
        <v>1124</v>
      </c>
      <c r="EK159" s="161"/>
      <c r="EL159" s="294"/>
    </row>
    <row r="160" spans="1:142" ht="15" customHeight="1" x14ac:dyDescent="0.35">
      <c r="A160" s="34"/>
      <c r="B160" s="313">
        <v>46050</v>
      </c>
      <c r="C160" s="8" t="s">
        <v>435</v>
      </c>
      <c r="D160" s="18">
        <v>5</v>
      </c>
      <c r="E160" s="155"/>
      <c r="F160" s="36"/>
      <c r="G160" s="37"/>
      <c r="H160" s="37"/>
      <c r="I160" s="37"/>
      <c r="J160" s="37"/>
      <c r="K160" s="37"/>
      <c r="L160" s="37"/>
      <c r="M160" s="37" t="s">
        <v>1124</v>
      </c>
      <c r="N160" s="37" t="s">
        <v>1124</v>
      </c>
      <c r="O160" s="37"/>
      <c r="P160" s="37"/>
      <c r="Q160" s="37"/>
      <c r="R160" s="37"/>
      <c r="S160" s="37"/>
      <c r="T160" s="37"/>
      <c r="U160" s="37"/>
      <c r="V160" s="37"/>
      <c r="W160" s="37"/>
      <c r="X160" s="37"/>
      <c r="Y160" s="37"/>
      <c r="Z160" s="37"/>
      <c r="AA160" s="37" t="s">
        <v>1124</v>
      </c>
      <c r="AB160" s="37" t="s">
        <v>1124</v>
      </c>
      <c r="AC160" s="37"/>
      <c r="AD160" s="37"/>
      <c r="AE160" s="37"/>
      <c r="AF160" s="168"/>
      <c r="AG160" s="37"/>
      <c r="AH160" s="37"/>
      <c r="AI160" s="37"/>
      <c r="AJ160" s="37"/>
      <c r="AK160" s="37"/>
      <c r="AL160" s="37"/>
      <c r="AM160" s="37"/>
      <c r="AN160" s="37"/>
      <c r="AO160" s="37"/>
      <c r="AP160" s="37"/>
      <c r="AQ160" s="37"/>
      <c r="AR160" s="37" t="s">
        <v>1124</v>
      </c>
      <c r="AS160" s="37"/>
      <c r="AT160" s="37"/>
      <c r="AU160" s="37"/>
      <c r="AV160" s="37"/>
      <c r="AW160" s="37"/>
      <c r="AX160" s="37"/>
      <c r="AY160" s="37"/>
      <c r="AZ160" s="37"/>
      <c r="BA160" s="37"/>
      <c r="BB160" s="37"/>
      <c r="BC160" s="37"/>
      <c r="BD160" s="37" t="s">
        <v>1124</v>
      </c>
      <c r="BE160" s="37"/>
      <c r="BF160" s="37"/>
      <c r="BG160" s="37"/>
      <c r="BH160" s="37"/>
      <c r="BI160" s="37"/>
      <c r="BJ160" s="37"/>
      <c r="BK160" s="37"/>
      <c r="BL160" s="37"/>
      <c r="BM160" s="37"/>
      <c r="BN160" s="37"/>
      <c r="BO160" s="37"/>
      <c r="BP160" s="37">
        <v>0</v>
      </c>
      <c r="BQ160" s="37"/>
      <c r="BR160" s="37"/>
      <c r="BS160" s="37"/>
      <c r="BT160" s="37"/>
      <c r="BU160" s="37"/>
      <c r="BV160" s="37"/>
      <c r="BW160" s="37"/>
      <c r="BX160" s="37"/>
      <c r="BY160" s="37"/>
      <c r="BZ160" s="37"/>
      <c r="CA160" s="37"/>
      <c r="CB160" s="37" t="s">
        <v>1124</v>
      </c>
      <c r="CC160" s="37"/>
      <c r="CD160" s="37"/>
      <c r="CE160" s="37"/>
      <c r="CF160" s="37"/>
      <c r="CG160" s="37"/>
      <c r="CH160" s="37"/>
      <c r="CI160" s="37"/>
      <c r="CJ160" s="37"/>
      <c r="CK160" s="37"/>
      <c r="CL160" s="37"/>
      <c r="CM160" s="37"/>
      <c r="CN160" s="37" t="s">
        <v>1124</v>
      </c>
      <c r="CO160" s="37"/>
      <c r="CP160" s="37"/>
      <c r="CQ160" s="37"/>
      <c r="CR160" s="37"/>
      <c r="CS160" s="37"/>
      <c r="CT160" s="37"/>
      <c r="CU160" s="37"/>
      <c r="CV160" s="37"/>
      <c r="CW160" s="37"/>
      <c r="CX160" s="37"/>
      <c r="CY160" s="37"/>
      <c r="CZ160" s="37" t="s">
        <v>1124</v>
      </c>
      <c r="DA160" s="37"/>
      <c r="DB160" s="37"/>
      <c r="DC160" s="37"/>
      <c r="DD160" s="37"/>
      <c r="DE160" s="37"/>
      <c r="DF160" s="37"/>
      <c r="DG160" s="37"/>
      <c r="DH160" s="37"/>
      <c r="DI160" s="37"/>
      <c r="DJ160" s="37"/>
      <c r="DK160" s="37"/>
      <c r="DL160" s="37" t="s">
        <v>1124</v>
      </c>
      <c r="DM160" s="37"/>
      <c r="DN160" s="37"/>
      <c r="DO160" s="37"/>
      <c r="DP160" s="37"/>
      <c r="DQ160" s="37"/>
      <c r="DR160" s="37"/>
      <c r="DS160" s="37"/>
      <c r="DT160" s="37"/>
      <c r="DU160" s="37"/>
      <c r="DV160" s="37"/>
      <c r="DW160" s="37"/>
      <c r="DX160" s="37" t="s">
        <v>1124</v>
      </c>
      <c r="DY160" s="37"/>
      <c r="DZ160" s="37"/>
      <c r="EA160" s="37"/>
      <c r="EB160" s="37"/>
      <c r="EC160" s="37"/>
      <c r="ED160" s="37"/>
      <c r="EE160" s="37"/>
      <c r="EF160" s="37"/>
      <c r="EG160" s="37"/>
      <c r="EH160" s="37"/>
      <c r="EI160" s="37"/>
      <c r="EJ160" s="37" t="s">
        <v>1124</v>
      </c>
      <c r="EK160" s="161"/>
      <c r="EL160" s="294"/>
    </row>
    <row r="161" spans="1:142" ht="15" customHeight="1" x14ac:dyDescent="0.35">
      <c r="A161" s="34"/>
      <c r="B161" s="313">
        <v>87005</v>
      </c>
      <c r="C161" s="8" t="s">
        <v>890</v>
      </c>
      <c r="D161" s="18">
        <v>8</v>
      </c>
      <c r="E161" s="155"/>
      <c r="F161" s="36"/>
      <c r="G161" s="37"/>
      <c r="H161" s="37"/>
      <c r="I161" s="37"/>
      <c r="J161" s="37"/>
      <c r="K161" s="37"/>
      <c r="L161" s="37"/>
      <c r="M161" s="37" t="s">
        <v>1124</v>
      </c>
      <c r="N161" s="37" t="s">
        <v>1124</v>
      </c>
      <c r="O161" s="37"/>
      <c r="P161" s="37"/>
      <c r="Q161" s="37"/>
      <c r="R161" s="37"/>
      <c r="S161" s="37"/>
      <c r="T161" s="37"/>
      <c r="U161" s="37"/>
      <c r="V161" s="37"/>
      <c r="W161" s="37"/>
      <c r="X161" s="37"/>
      <c r="Y161" s="37"/>
      <c r="Z161" s="37"/>
      <c r="AA161" s="37" t="s">
        <v>1124</v>
      </c>
      <c r="AB161" s="37" t="s">
        <v>1124</v>
      </c>
      <c r="AC161" s="37"/>
      <c r="AD161" s="37"/>
      <c r="AE161" s="37"/>
      <c r="AF161" s="168"/>
      <c r="AG161" s="37"/>
      <c r="AH161" s="37"/>
      <c r="AI161" s="37"/>
      <c r="AJ161" s="37"/>
      <c r="AK161" s="37"/>
      <c r="AL161" s="37"/>
      <c r="AM161" s="37"/>
      <c r="AN161" s="37"/>
      <c r="AO161" s="37"/>
      <c r="AP161" s="37"/>
      <c r="AQ161" s="37"/>
      <c r="AR161" s="37" t="s">
        <v>1124</v>
      </c>
      <c r="AS161" s="37"/>
      <c r="AT161" s="37"/>
      <c r="AU161" s="37"/>
      <c r="AV161" s="37"/>
      <c r="AW161" s="37"/>
      <c r="AX161" s="37"/>
      <c r="AY161" s="37"/>
      <c r="AZ161" s="37"/>
      <c r="BA161" s="37"/>
      <c r="BB161" s="37"/>
      <c r="BC161" s="37"/>
      <c r="BD161" s="37" t="s">
        <v>1124</v>
      </c>
      <c r="BE161" s="37"/>
      <c r="BF161" s="37"/>
      <c r="BG161" s="37"/>
      <c r="BH161" s="37"/>
      <c r="BI161" s="37"/>
      <c r="BJ161" s="37"/>
      <c r="BK161" s="37"/>
      <c r="BL161" s="37"/>
      <c r="BM161" s="37"/>
      <c r="BN161" s="37"/>
      <c r="BO161" s="37"/>
      <c r="BP161" s="37">
        <v>0</v>
      </c>
      <c r="BQ161" s="37"/>
      <c r="BR161" s="37"/>
      <c r="BS161" s="37"/>
      <c r="BT161" s="37"/>
      <c r="BU161" s="37"/>
      <c r="BV161" s="37"/>
      <c r="BW161" s="37"/>
      <c r="BX161" s="37"/>
      <c r="BY161" s="37"/>
      <c r="BZ161" s="37"/>
      <c r="CA161" s="37"/>
      <c r="CB161" s="37" t="s">
        <v>1124</v>
      </c>
      <c r="CC161" s="37"/>
      <c r="CD161" s="37"/>
      <c r="CE161" s="37"/>
      <c r="CF161" s="37"/>
      <c r="CG161" s="37"/>
      <c r="CH161" s="37"/>
      <c r="CI161" s="37"/>
      <c r="CJ161" s="37"/>
      <c r="CK161" s="37"/>
      <c r="CL161" s="37"/>
      <c r="CM161" s="37"/>
      <c r="CN161" s="37" t="s">
        <v>1124</v>
      </c>
      <c r="CO161" s="37"/>
      <c r="CP161" s="37"/>
      <c r="CQ161" s="37"/>
      <c r="CR161" s="37"/>
      <c r="CS161" s="37"/>
      <c r="CT161" s="37"/>
      <c r="CU161" s="37"/>
      <c r="CV161" s="37"/>
      <c r="CW161" s="37"/>
      <c r="CX161" s="37"/>
      <c r="CY161" s="37"/>
      <c r="CZ161" s="37" t="s">
        <v>1124</v>
      </c>
      <c r="DA161" s="37"/>
      <c r="DB161" s="37"/>
      <c r="DC161" s="37"/>
      <c r="DD161" s="37"/>
      <c r="DE161" s="37"/>
      <c r="DF161" s="37"/>
      <c r="DG161" s="37"/>
      <c r="DH161" s="37"/>
      <c r="DI161" s="37"/>
      <c r="DJ161" s="37"/>
      <c r="DK161" s="37"/>
      <c r="DL161" s="37" t="s">
        <v>1124</v>
      </c>
      <c r="DM161" s="37"/>
      <c r="DN161" s="37"/>
      <c r="DO161" s="37"/>
      <c r="DP161" s="37"/>
      <c r="DQ161" s="37"/>
      <c r="DR161" s="37"/>
      <c r="DS161" s="37"/>
      <c r="DT161" s="37"/>
      <c r="DU161" s="37"/>
      <c r="DV161" s="37"/>
      <c r="DW161" s="37"/>
      <c r="DX161" s="37" t="s">
        <v>1124</v>
      </c>
      <c r="DY161" s="37"/>
      <c r="DZ161" s="37"/>
      <c r="EA161" s="37"/>
      <c r="EB161" s="37"/>
      <c r="EC161" s="37"/>
      <c r="ED161" s="37"/>
      <c r="EE161" s="37"/>
      <c r="EF161" s="37"/>
      <c r="EG161" s="37"/>
      <c r="EH161" s="37"/>
      <c r="EI161" s="37"/>
      <c r="EJ161" s="37" t="s">
        <v>1124</v>
      </c>
      <c r="EK161" s="161"/>
      <c r="EL161" s="294"/>
    </row>
    <row r="162" spans="1:142" ht="15" customHeight="1" x14ac:dyDescent="0.35">
      <c r="A162" s="34"/>
      <c r="B162" s="313">
        <v>87085</v>
      </c>
      <c r="C162" s="8" t="s">
        <v>903</v>
      </c>
      <c r="D162" s="18">
        <v>8</v>
      </c>
      <c r="E162" s="155">
        <v>28488</v>
      </c>
      <c r="F162" s="36">
        <v>49991</v>
      </c>
      <c r="G162" s="37">
        <v>0</v>
      </c>
      <c r="H162" s="37">
        <v>24138</v>
      </c>
      <c r="I162" s="37">
        <v>250000</v>
      </c>
      <c r="J162" s="37">
        <v>11927</v>
      </c>
      <c r="K162" s="37">
        <v>1424.4</v>
      </c>
      <c r="L162" s="37">
        <v>2499.5500000000002</v>
      </c>
      <c r="M162" s="37">
        <v>279912.40000000002</v>
      </c>
      <c r="N162" s="37">
        <v>88555.55</v>
      </c>
      <c r="O162" s="37">
        <v>0</v>
      </c>
      <c r="P162" s="37">
        <v>0</v>
      </c>
      <c r="Q162" s="37">
        <v>31800</v>
      </c>
      <c r="R162" s="37">
        <v>14602</v>
      </c>
      <c r="S162" s="37">
        <v>650</v>
      </c>
      <c r="T162" s="37">
        <v>0</v>
      </c>
      <c r="U162" s="37">
        <v>0</v>
      </c>
      <c r="V162" s="37">
        <v>0</v>
      </c>
      <c r="W162" s="37">
        <v>247462.40000000002</v>
      </c>
      <c r="X162" s="37">
        <v>73953.55</v>
      </c>
      <c r="Y162" s="37">
        <v>0</v>
      </c>
      <c r="Z162" s="37">
        <v>0</v>
      </c>
      <c r="AA162" s="37">
        <v>279912.40000000002</v>
      </c>
      <c r="AB162" s="37">
        <v>88555.55</v>
      </c>
      <c r="AC162" s="37">
        <v>0</v>
      </c>
      <c r="AD162" s="37">
        <v>0</v>
      </c>
      <c r="AE162" s="37">
        <v>0</v>
      </c>
      <c r="AF162" s="168">
        <v>0.02</v>
      </c>
      <c r="AG162" s="37">
        <v>6894279.0800000001</v>
      </c>
      <c r="AH162" s="37">
        <v>40175.18</v>
      </c>
      <c r="AI162" s="37">
        <v>40978.69</v>
      </c>
      <c r="AJ162" s="37">
        <v>41798.26</v>
      </c>
      <c r="AK162" s="37">
        <v>42634.23</v>
      </c>
      <c r="AL162" s="37">
        <v>43486.91</v>
      </c>
      <c r="AM162" s="37">
        <v>44356.65</v>
      </c>
      <c r="AN162" s="37">
        <v>45243.78</v>
      </c>
      <c r="AO162" s="37">
        <v>46148.66</v>
      </c>
      <c r="AP162" s="37">
        <v>47071.63</v>
      </c>
      <c r="AQ162" s="37">
        <v>48013.06</v>
      </c>
      <c r="AR162" s="37">
        <v>439907.05</v>
      </c>
      <c r="AS162" s="37">
        <v>526789.19999999995</v>
      </c>
      <c r="AT162" s="37">
        <v>0</v>
      </c>
      <c r="AU162" s="37">
        <v>104040</v>
      </c>
      <c r="AV162" s="37">
        <v>0</v>
      </c>
      <c r="AW162" s="37">
        <v>0</v>
      </c>
      <c r="AX162" s="37">
        <v>0</v>
      </c>
      <c r="AY162" s="37">
        <v>0</v>
      </c>
      <c r="AZ162" s="37">
        <v>0</v>
      </c>
      <c r="BA162" s="37">
        <v>0</v>
      </c>
      <c r="BB162" s="37">
        <v>0</v>
      </c>
      <c r="BC162" s="37">
        <v>0</v>
      </c>
      <c r="BD162" s="37">
        <v>104040</v>
      </c>
      <c r="BE162" s="37">
        <v>361381.18</v>
      </c>
      <c r="BF162" s="37">
        <v>0</v>
      </c>
      <c r="BG162" s="37">
        <v>0</v>
      </c>
      <c r="BH162" s="37">
        <v>200000</v>
      </c>
      <c r="BI162" s="37">
        <v>200000</v>
      </c>
      <c r="BJ162" s="37">
        <v>100000</v>
      </c>
      <c r="BK162" s="37">
        <v>100000</v>
      </c>
      <c r="BL162" s="37">
        <v>100000</v>
      </c>
      <c r="BM162" s="37">
        <v>100000</v>
      </c>
      <c r="BN162" s="37">
        <v>100000</v>
      </c>
      <c r="BO162" s="37">
        <v>0</v>
      </c>
      <c r="BP162" s="37">
        <v>900000</v>
      </c>
      <c r="BQ162" s="37">
        <v>0</v>
      </c>
      <c r="BR162" s="37">
        <v>0</v>
      </c>
      <c r="BS162" s="37">
        <v>0</v>
      </c>
      <c r="BT162" s="37">
        <v>0</v>
      </c>
      <c r="BU162" s="37">
        <v>0</v>
      </c>
      <c r="BV162" s="37">
        <v>0</v>
      </c>
      <c r="BW162" s="37">
        <v>0</v>
      </c>
      <c r="BX162" s="37">
        <v>0</v>
      </c>
      <c r="BY162" s="37">
        <v>0</v>
      </c>
      <c r="BZ162" s="37">
        <v>0</v>
      </c>
      <c r="CA162" s="37">
        <v>0</v>
      </c>
      <c r="CB162" s="37">
        <v>0</v>
      </c>
      <c r="CC162" s="37">
        <v>7500</v>
      </c>
      <c r="CD162" s="37">
        <v>0</v>
      </c>
      <c r="CE162" s="37">
        <v>0</v>
      </c>
      <c r="CF162" s="37">
        <v>0</v>
      </c>
      <c r="CG162" s="37">
        <v>0</v>
      </c>
      <c r="CH162" s="37">
        <v>0</v>
      </c>
      <c r="CI162" s="37">
        <v>0</v>
      </c>
      <c r="CJ162" s="37">
        <v>0</v>
      </c>
      <c r="CK162" s="37">
        <v>0</v>
      </c>
      <c r="CL162" s="37">
        <v>0</v>
      </c>
      <c r="CM162" s="37">
        <v>0</v>
      </c>
      <c r="CN162" s="37">
        <v>0</v>
      </c>
      <c r="CO162" s="37">
        <v>0</v>
      </c>
      <c r="CP162" s="37">
        <v>0</v>
      </c>
      <c r="CQ162" s="37">
        <v>100000</v>
      </c>
      <c r="CR162" s="37">
        <v>0</v>
      </c>
      <c r="CS162" s="37">
        <v>0</v>
      </c>
      <c r="CT162" s="37">
        <v>0</v>
      </c>
      <c r="CU162" s="37">
        <v>0</v>
      </c>
      <c r="CV162" s="37">
        <v>0</v>
      </c>
      <c r="CW162" s="37">
        <v>0</v>
      </c>
      <c r="CX162" s="37">
        <v>0</v>
      </c>
      <c r="CY162" s="37">
        <v>0</v>
      </c>
      <c r="CZ162" s="37">
        <v>100000</v>
      </c>
      <c r="DA162" s="37">
        <v>0</v>
      </c>
      <c r="DB162" s="37">
        <v>0</v>
      </c>
      <c r="DC162" s="37">
        <v>0</v>
      </c>
      <c r="DD162" s="37">
        <v>0</v>
      </c>
      <c r="DE162" s="37">
        <v>0</v>
      </c>
      <c r="DF162" s="37">
        <v>0</v>
      </c>
      <c r="DG162" s="37">
        <v>0</v>
      </c>
      <c r="DH162" s="37">
        <v>0</v>
      </c>
      <c r="DI162" s="37">
        <v>0</v>
      </c>
      <c r="DJ162" s="37">
        <v>0</v>
      </c>
      <c r="DK162" s="37">
        <v>0</v>
      </c>
      <c r="DL162" s="37">
        <v>0</v>
      </c>
      <c r="DM162" s="37">
        <v>0</v>
      </c>
      <c r="DN162" s="37">
        <v>0</v>
      </c>
      <c r="DO162" s="37">
        <v>0</v>
      </c>
      <c r="DP162" s="37">
        <v>0</v>
      </c>
      <c r="DQ162" s="37">
        <v>0</v>
      </c>
      <c r="DR162" s="37">
        <v>0</v>
      </c>
      <c r="DS162" s="37">
        <v>0</v>
      </c>
      <c r="DT162" s="37">
        <v>0</v>
      </c>
      <c r="DU162" s="37">
        <v>0</v>
      </c>
      <c r="DV162" s="37">
        <v>0</v>
      </c>
      <c r="DW162" s="37">
        <v>0</v>
      </c>
      <c r="DX162" s="37">
        <v>0</v>
      </c>
      <c r="DY162" s="37">
        <v>0</v>
      </c>
      <c r="DZ162" s="37">
        <v>0</v>
      </c>
      <c r="EA162" s="37">
        <v>0</v>
      </c>
      <c r="EB162" s="37">
        <v>0</v>
      </c>
      <c r="EC162" s="37">
        <v>0</v>
      </c>
      <c r="ED162" s="37">
        <v>0</v>
      </c>
      <c r="EE162" s="37">
        <v>0</v>
      </c>
      <c r="EF162" s="37">
        <v>0</v>
      </c>
      <c r="EG162" s="37">
        <v>0</v>
      </c>
      <c r="EH162" s="37">
        <v>0</v>
      </c>
      <c r="EI162" s="37">
        <v>0</v>
      </c>
      <c r="EJ162" s="37">
        <v>0</v>
      </c>
      <c r="EK162" s="161" t="s">
        <v>1734</v>
      </c>
      <c r="EL162" s="294" t="s">
        <v>1124</v>
      </c>
    </row>
    <row r="163" spans="1:142" ht="15" customHeight="1" x14ac:dyDescent="0.35">
      <c r="A163" s="34"/>
      <c r="B163" s="313">
        <v>49015</v>
      </c>
      <c r="C163" s="8" t="s">
        <v>465</v>
      </c>
      <c r="D163" s="18">
        <v>17</v>
      </c>
      <c r="E163" s="155">
        <v>26669</v>
      </c>
      <c r="F163" s="36">
        <v>0</v>
      </c>
      <c r="G163" s="37">
        <v>0</v>
      </c>
      <c r="H163" s="37">
        <v>0</v>
      </c>
      <c r="I163" s="37">
        <v>0</v>
      </c>
      <c r="J163" s="37">
        <v>0</v>
      </c>
      <c r="K163" s="37">
        <v>4000</v>
      </c>
      <c r="L163" s="37">
        <v>0</v>
      </c>
      <c r="M163" s="37">
        <v>30669</v>
      </c>
      <c r="N163" s="37">
        <v>0</v>
      </c>
      <c r="O163" s="37">
        <v>0</v>
      </c>
      <c r="P163" s="37">
        <v>0</v>
      </c>
      <c r="Q163" s="37">
        <v>23100</v>
      </c>
      <c r="R163" s="37">
        <v>0</v>
      </c>
      <c r="S163" s="37">
        <v>5460</v>
      </c>
      <c r="T163" s="37">
        <v>1484</v>
      </c>
      <c r="U163" s="37">
        <v>0</v>
      </c>
      <c r="V163" s="37">
        <v>0</v>
      </c>
      <c r="W163" s="37">
        <v>625</v>
      </c>
      <c r="X163" s="37">
        <v>0</v>
      </c>
      <c r="Y163" s="37">
        <v>0</v>
      </c>
      <c r="Z163" s="37">
        <v>0</v>
      </c>
      <c r="AA163" s="37">
        <v>29185</v>
      </c>
      <c r="AB163" s="37">
        <v>1484</v>
      </c>
      <c r="AC163" s="37">
        <v>0</v>
      </c>
      <c r="AD163" s="37">
        <v>0</v>
      </c>
      <c r="AE163" s="37">
        <v>0</v>
      </c>
      <c r="AF163" s="168">
        <v>0.02</v>
      </c>
      <c r="AG163" s="37">
        <v>4320674.0599999996</v>
      </c>
      <c r="AH163" s="37">
        <v>43902.12</v>
      </c>
      <c r="AI163" s="37">
        <v>44780.160000000003</v>
      </c>
      <c r="AJ163" s="37">
        <v>45675.77</v>
      </c>
      <c r="AK163" s="37">
        <v>46589.279999999999</v>
      </c>
      <c r="AL163" s="37">
        <v>47521.07</v>
      </c>
      <c r="AM163" s="37">
        <v>48471.49</v>
      </c>
      <c r="AN163" s="37">
        <v>49440.92</v>
      </c>
      <c r="AO163" s="37">
        <v>50429.74</v>
      </c>
      <c r="AP163" s="37">
        <v>51438.33</v>
      </c>
      <c r="AQ163" s="37">
        <v>52467.1</v>
      </c>
      <c r="AR163" s="37">
        <v>480715.98</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v>0</v>
      </c>
      <c r="BK163" s="37">
        <v>0</v>
      </c>
      <c r="BL163" s="37">
        <v>0</v>
      </c>
      <c r="BM163" s="37">
        <v>0</v>
      </c>
      <c r="BN163" s="37">
        <v>0</v>
      </c>
      <c r="BO163" s="37">
        <v>0</v>
      </c>
      <c r="BP163" s="37">
        <v>0</v>
      </c>
      <c r="BQ163" s="37">
        <v>0</v>
      </c>
      <c r="BR163" s="37">
        <v>0</v>
      </c>
      <c r="BS163" s="37">
        <v>0</v>
      </c>
      <c r="BT163" s="37">
        <v>0</v>
      </c>
      <c r="BU163" s="37">
        <v>0</v>
      </c>
      <c r="BV163" s="37">
        <v>0</v>
      </c>
      <c r="BW163" s="37">
        <v>0</v>
      </c>
      <c r="BX163" s="37">
        <v>0</v>
      </c>
      <c r="BY163" s="37">
        <v>0</v>
      </c>
      <c r="BZ163" s="37">
        <v>0</v>
      </c>
      <c r="CA163" s="37">
        <v>0</v>
      </c>
      <c r="CB163" s="37">
        <v>0</v>
      </c>
      <c r="CC163" s="37">
        <v>0</v>
      </c>
      <c r="CD163" s="37">
        <v>0</v>
      </c>
      <c r="CE163" s="37">
        <v>0</v>
      </c>
      <c r="CF163" s="37">
        <v>0</v>
      </c>
      <c r="CG163" s="37">
        <v>0</v>
      </c>
      <c r="CH163" s="37">
        <v>0</v>
      </c>
      <c r="CI163" s="37">
        <v>0</v>
      </c>
      <c r="CJ163" s="37">
        <v>0</v>
      </c>
      <c r="CK163" s="37">
        <v>0</v>
      </c>
      <c r="CL163" s="37">
        <v>0</v>
      </c>
      <c r="CM163" s="37">
        <v>0</v>
      </c>
      <c r="CN163" s="37">
        <v>0</v>
      </c>
      <c r="CO163" s="37">
        <v>0</v>
      </c>
      <c r="CP163" s="37">
        <v>0</v>
      </c>
      <c r="CQ163" s="37">
        <v>0</v>
      </c>
      <c r="CR163" s="37">
        <v>0</v>
      </c>
      <c r="CS163" s="37">
        <v>0</v>
      </c>
      <c r="CT163" s="37">
        <v>0</v>
      </c>
      <c r="CU163" s="37">
        <v>0</v>
      </c>
      <c r="CV163" s="37">
        <v>0</v>
      </c>
      <c r="CW163" s="37">
        <v>0</v>
      </c>
      <c r="CX163" s="37">
        <v>0</v>
      </c>
      <c r="CY163" s="37">
        <v>0</v>
      </c>
      <c r="CZ163" s="37">
        <v>0</v>
      </c>
      <c r="DA163" s="37">
        <v>0</v>
      </c>
      <c r="DB163" s="37">
        <v>0</v>
      </c>
      <c r="DC163" s="37">
        <v>0</v>
      </c>
      <c r="DD163" s="37">
        <v>0</v>
      </c>
      <c r="DE163" s="37">
        <v>0</v>
      </c>
      <c r="DF163" s="37">
        <v>0</v>
      </c>
      <c r="DG163" s="37">
        <v>0</v>
      </c>
      <c r="DH163" s="37">
        <v>0</v>
      </c>
      <c r="DI163" s="37">
        <v>0</v>
      </c>
      <c r="DJ163" s="37">
        <v>0</v>
      </c>
      <c r="DK163" s="37">
        <v>0</v>
      </c>
      <c r="DL163" s="37">
        <v>0</v>
      </c>
      <c r="DM163" s="37">
        <v>0</v>
      </c>
      <c r="DN163" s="37">
        <v>0</v>
      </c>
      <c r="DO163" s="37">
        <v>0</v>
      </c>
      <c r="DP163" s="37">
        <v>0</v>
      </c>
      <c r="DQ163" s="37">
        <v>0</v>
      </c>
      <c r="DR163" s="37">
        <v>0</v>
      </c>
      <c r="DS163" s="37">
        <v>0</v>
      </c>
      <c r="DT163" s="37">
        <v>0</v>
      </c>
      <c r="DU163" s="37">
        <v>0</v>
      </c>
      <c r="DV163" s="37">
        <v>0</v>
      </c>
      <c r="DW163" s="37">
        <v>0</v>
      </c>
      <c r="DX163" s="37">
        <v>0</v>
      </c>
      <c r="DY163" s="37">
        <v>0</v>
      </c>
      <c r="DZ163" s="37">
        <v>0</v>
      </c>
      <c r="EA163" s="37">
        <v>0</v>
      </c>
      <c r="EB163" s="37">
        <v>0</v>
      </c>
      <c r="EC163" s="37">
        <v>0</v>
      </c>
      <c r="ED163" s="37">
        <v>0</v>
      </c>
      <c r="EE163" s="37">
        <v>0</v>
      </c>
      <c r="EF163" s="37">
        <v>0</v>
      </c>
      <c r="EG163" s="37">
        <v>0</v>
      </c>
      <c r="EH163" s="37">
        <v>0</v>
      </c>
      <c r="EI163" s="37">
        <v>0</v>
      </c>
      <c r="EJ163" s="37">
        <v>0</v>
      </c>
      <c r="EK163" s="161" t="s">
        <v>1738</v>
      </c>
      <c r="EL163" s="294" t="s">
        <v>1124</v>
      </c>
    </row>
    <row r="164" spans="1:142" ht="15" customHeight="1" x14ac:dyDescent="0.35">
      <c r="A164" s="34"/>
      <c r="B164" s="313">
        <v>41060</v>
      </c>
      <c r="C164" s="8" t="s">
        <v>371</v>
      </c>
      <c r="D164" s="18">
        <v>5</v>
      </c>
      <c r="E164" s="155"/>
      <c r="F164" s="36"/>
      <c r="G164" s="37"/>
      <c r="H164" s="37"/>
      <c r="I164" s="37"/>
      <c r="J164" s="37"/>
      <c r="K164" s="37"/>
      <c r="L164" s="37"/>
      <c r="M164" s="37" t="s">
        <v>1124</v>
      </c>
      <c r="N164" s="37" t="s">
        <v>1124</v>
      </c>
      <c r="O164" s="37"/>
      <c r="P164" s="37"/>
      <c r="Q164" s="37"/>
      <c r="R164" s="37"/>
      <c r="S164" s="37"/>
      <c r="T164" s="37"/>
      <c r="U164" s="37"/>
      <c r="V164" s="37"/>
      <c r="W164" s="37"/>
      <c r="X164" s="37"/>
      <c r="Y164" s="37"/>
      <c r="Z164" s="37"/>
      <c r="AA164" s="37" t="s">
        <v>1124</v>
      </c>
      <c r="AB164" s="37" t="s">
        <v>1124</v>
      </c>
      <c r="AC164" s="37"/>
      <c r="AD164" s="37"/>
      <c r="AE164" s="37"/>
      <c r="AF164" s="168"/>
      <c r="AG164" s="37"/>
      <c r="AH164" s="37"/>
      <c r="AI164" s="37"/>
      <c r="AJ164" s="37"/>
      <c r="AK164" s="37"/>
      <c r="AL164" s="37"/>
      <c r="AM164" s="37"/>
      <c r="AN164" s="37"/>
      <c r="AO164" s="37"/>
      <c r="AP164" s="37"/>
      <c r="AQ164" s="37"/>
      <c r="AR164" s="37" t="s">
        <v>1124</v>
      </c>
      <c r="AS164" s="37"/>
      <c r="AT164" s="37"/>
      <c r="AU164" s="37"/>
      <c r="AV164" s="37"/>
      <c r="AW164" s="37"/>
      <c r="AX164" s="37"/>
      <c r="AY164" s="37"/>
      <c r="AZ164" s="37"/>
      <c r="BA164" s="37"/>
      <c r="BB164" s="37"/>
      <c r="BC164" s="37"/>
      <c r="BD164" s="37" t="s">
        <v>1124</v>
      </c>
      <c r="BE164" s="37"/>
      <c r="BF164" s="37"/>
      <c r="BG164" s="37"/>
      <c r="BH164" s="37"/>
      <c r="BI164" s="37"/>
      <c r="BJ164" s="37"/>
      <c r="BK164" s="37"/>
      <c r="BL164" s="37"/>
      <c r="BM164" s="37"/>
      <c r="BN164" s="37"/>
      <c r="BO164" s="37"/>
      <c r="BP164" s="37">
        <v>0</v>
      </c>
      <c r="BQ164" s="37"/>
      <c r="BR164" s="37"/>
      <c r="BS164" s="37"/>
      <c r="BT164" s="37"/>
      <c r="BU164" s="37"/>
      <c r="BV164" s="37"/>
      <c r="BW164" s="37"/>
      <c r="BX164" s="37"/>
      <c r="BY164" s="37"/>
      <c r="BZ164" s="37"/>
      <c r="CA164" s="37"/>
      <c r="CB164" s="37" t="s">
        <v>1124</v>
      </c>
      <c r="CC164" s="37"/>
      <c r="CD164" s="37"/>
      <c r="CE164" s="37"/>
      <c r="CF164" s="37"/>
      <c r="CG164" s="37"/>
      <c r="CH164" s="37"/>
      <c r="CI164" s="37"/>
      <c r="CJ164" s="37"/>
      <c r="CK164" s="37"/>
      <c r="CL164" s="37"/>
      <c r="CM164" s="37"/>
      <c r="CN164" s="37" t="s">
        <v>1124</v>
      </c>
      <c r="CO164" s="37"/>
      <c r="CP164" s="37"/>
      <c r="CQ164" s="37"/>
      <c r="CR164" s="37"/>
      <c r="CS164" s="37"/>
      <c r="CT164" s="37"/>
      <c r="CU164" s="37"/>
      <c r="CV164" s="37"/>
      <c r="CW164" s="37"/>
      <c r="CX164" s="37"/>
      <c r="CY164" s="37"/>
      <c r="CZ164" s="37" t="s">
        <v>1124</v>
      </c>
      <c r="DA164" s="37"/>
      <c r="DB164" s="37"/>
      <c r="DC164" s="37"/>
      <c r="DD164" s="37"/>
      <c r="DE164" s="37"/>
      <c r="DF164" s="37"/>
      <c r="DG164" s="37"/>
      <c r="DH164" s="37"/>
      <c r="DI164" s="37"/>
      <c r="DJ164" s="37"/>
      <c r="DK164" s="37"/>
      <c r="DL164" s="37" t="s">
        <v>1124</v>
      </c>
      <c r="DM164" s="37"/>
      <c r="DN164" s="37"/>
      <c r="DO164" s="37"/>
      <c r="DP164" s="37"/>
      <c r="DQ164" s="37"/>
      <c r="DR164" s="37"/>
      <c r="DS164" s="37"/>
      <c r="DT164" s="37"/>
      <c r="DU164" s="37"/>
      <c r="DV164" s="37"/>
      <c r="DW164" s="37"/>
      <c r="DX164" s="37" t="s">
        <v>1124</v>
      </c>
      <c r="DY164" s="37"/>
      <c r="DZ164" s="37"/>
      <c r="EA164" s="37"/>
      <c r="EB164" s="37"/>
      <c r="EC164" s="37"/>
      <c r="ED164" s="37"/>
      <c r="EE164" s="37"/>
      <c r="EF164" s="37"/>
      <c r="EG164" s="37"/>
      <c r="EH164" s="37"/>
      <c r="EI164" s="37"/>
      <c r="EJ164" s="37" t="s">
        <v>1124</v>
      </c>
      <c r="EK164" s="161"/>
      <c r="EL164" s="294"/>
    </row>
    <row r="165" spans="1:142" ht="15" customHeight="1" x14ac:dyDescent="0.35">
      <c r="A165" s="34"/>
      <c r="B165" s="313">
        <v>31122</v>
      </c>
      <c r="C165" s="8" t="s">
        <v>252</v>
      </c>
      <c r="D165" s="18">
        <v>12</v>
      </c>
      <c r="E165" s="155"/>
      <c r="F165" s="36"/>
      <c r="G165" s="37"/>
      <c r="H165" s="37"/>
      <c r="I165" s="37"/>
      <c r="J165" s="37"/>
      <c r="K165" s="37"/>
      <c r="L165" s="37"/>
      <c r="M165" s="37" t="s">
        <v>1124</v>
      </c>
      <c r="N165" s="37" t="s">
        <v>1124</v>
      </c>
      <c r="O165" s="37"/>
      <c r="P165" s="37"/>
      <c r="Q165" s="37"/>
      <c r="R165" s="37"/>
      <c r="S165" s="37"/>
      <c r="T165" s="37"/>
      <c r="U165" s="37"/>
      <c r="V165" s="37"/>
      <c r="W165" s="37"/>
      <c r="X165" s="37"/>
      <c r="Y165" s="37"/>
      <c r="Z165" s="37"/>
      <c r="AA165" s="37" t="s">
        <v>1124</v>
      </c>
      <c r="AB165" s="37" t="s">
        <v>1124</v>
      </c>
      <c r="AC165" s="37"/>
      <c r="AD165" s="37"/>
      <c r="AE165" s="37"/>
      <c r="AF165" s="168"/>
      <c r="AG165" s="37"/>
      <c r="AH165" s="37"/>
      <c r="AI165" s="37"/>
      <c r="AJ165" s="37"/>
      <c r="AK165" s="37"/>
      <c r="AL165" s="37"/>
      <c r="AM165" s="37"/>
      <c r="AN165" s="37"/>
      <c r="AO165" s="37"/>
      <c r="AP165" s="37"/>
      <c r="AQ165" s="37"/>
      <c r="AR165" s="37" t="s">
        <v>1124</v>
      </c>
      <c r="AS165" s="37"/>
      <c r="AT165" s="37"/>
      <c r="AU165" s="37"/>
      <c r="AV165" s="37"/>
      <c r="AW165" s="37"/>
      <c r="AX165" s="37"/>
      <c r="AY165" s="37"/>
      <c r="AZ165" s="37"/>
      <c r="BA165" s="37"/>
      <c r="BB165" s="37"/>
      <c r="BC165" s="37"/>
      <c r="BD165" s="37" t="s">
        <v>1124</v>
      </c>
      <c r="BE165" s="37"/>
      <c r="BF165" s="37"/>
      <c r="BG165" s="37"/>
      <c r="BH165" s="37"/>
      <c r="BI165" s="37"/>
      <c r="BJ165" s="37"/>
      <c r="BK165" s="37"/>
      <c r="BL165" s="37"/>
      <c r="BM165" s="37"/>
      <c r="BN165" s="37"/>
      <c r="BO165" s="37"/>
      <c r="BP165" s="37">
        <v>0</v>
      </c>
      <c r="BQ165" s="37"/>
      <c r="BR165" s="37"/>
      <c r="BS165" s="37"/>
      <c r="BT165" s="37"/>
      <c r="BU165" s="37"/>
      <c r="BV165" s="37"/>
      <c r="BW165" s="37"/>
      <c r="BX165" s="37"/>
      <c r="BY165" s="37"/>
      <c r="BZ165" s="37"/>
      <c r="CA165" s="37"/>
      <c r="CB165" s="37" t="s">
        <v>1124</v>
      </c>
      <c r="CC165" s="37"/>
      <c r="CD165" s="37"/>
      <c r="CE165" s="37"/>
      <c r="CF165" s="37"/>
      <c r="CG165" s="37"/>
      <c r="CH165" s="37"/>
      <c r="CI165" s="37"/>
      <c r="CJ165" s="37"/>
      <c r="CK165" s="37"/>
      <c r="CL165" s="37"/>
      <c r="CM165" s="37"/>
      <c r="CN165" s="37" t="s">
        <v>1124</v>
      </c>
      <c r="CO165" s="37"/>
      <c r="CP165" s="37"/>
      <c r="CQ165" s="37"/>
      <c r="CR165" s="37"/>
      <c r="CS165" s="37"/>
      <c r="CT165" s="37"/>
      <c r="CU165" s="37"/>
      <c r="CV165" s="37"/>
      <c r="CW165" s="37"/>
      <c r="CX165" s="37"/>
      <c r="CY165" s="37"/>
      <c r="CZ165" s="37" t="s">
        <v>1124</v>
      </c>
      <c r="DA165" s="37"/>
      <c r="DB165" s="37"/>
      <c r="DC165" s="37"/>
      <c r="DD165" s="37"/>
      <c r="DE165" s="37"/>
      <c r="DF165" s="37"/>
      <c r="DG165" s="37"/>
      <c r="DH165" s="37"/>
      <c r="DI165" s="37"/>
      <c r="DJ165" s="37"/>
      <c r="DK165" s="37"/>
      <c r="DL165" s="37" t="s">
        <v>1124</v>
      </c>
      <c r="DM165" s="37"/>
      <c r="DN165" s="37"/>
      <c r="DO165" s="37"/>
      <c r="DP165" s="37"/>
      <c r="DQ165" s="37"/>
      <c r="DR165" s="37"/>
      <c r="DS165" s="37"/>
      <c r="DT165" s="37"/>
      <c r="DU165" s="37"/>
      <c r="DV165" s="37"/>
      <c r="DW165" s="37"/>
      <c r="DX165" s="37" t="s">
        <v>1124</v>
      </c>
      <c r="DY165" s="37"/>
      <c r="DZ165" s="37"/>
      <c r="EA165" s="37"/>
      <c r="EB165" s="37"/>
      <c r="EC165" s="37"/>
      <c r="ED165" s="37"/>
      <c r="EE165" s="37"/>
      <c r="EF165" s="37"/>
      <c r="EG165" s="37"/>
      <c r="EH165" s="37"/>
      <c r="EI165" s="37"/>
      <c r="EJ165" s="37" t="s">
        <v>1124</v>
      </c>
      <c r="EK165" s="161"/>
      <c r="EL165" s="294"/>
    </row>
    <row r="166" spans="1:142" ht="15" customHeight="1" x14ac:dyDescent="0.35">
      <c r="A166" s="34"/>
      <c r="B166" s="313">
        <v>46085</v>
      </c>
      <c r="C166" s="8" t="s">
        <v>442</v>
      </c>
      <c r="D166" s="18">
        <v>5</v>
      </c>
      <c r="E166" s="155"/>
      <c r="F166" s="36"/>
      <c r="G166" s="37"/>
      <c r="H166" s="37"/>
      <c r="I166" s="37"/>
      <c r="J166" s="37"/>
      <c r="K166" s="37"/>
      <c r="L166" s="37"/>
      <c r="M166" s="37" t="s">
        <v>1124</v>
      </c>
      <c r="N166" s="37" t="s">
        <v>1124</v>
      </c>
      <c r="O166" s="37"/>
      <c r="P166" s="37"/>
      <c r="Q166" s="37"/>
      <c r="R166" s="37"/>
      <c r="S166" s="37"/>
      <c r="T166" s="37"/>
      <c r="U166" s="37"/>
      <c r="V166" s="37"/>
      <c r="W166" s="37"/>
      <c r="X166" s="37"/>
      <c r="Y166" s="37"/>
      <c r="Z166" s="37"/>
      <c r="AA166" s="37" t="s">
        <v>1124</v>
      </c>
      <c r="AB166" s="37" t="s">
        <v>1124</v>
      </c>
      <c r="AC166" s="37"/>
      <c r="AD166" s="37"/>
      <c r="AE166" s="37"/>
      <c r="AF166" s="168"/>
      <c r="AG166" s="37"/>
      <c r="AH166" s="37"/>
      <c r="AI166" s="37"/>
      <c r="AJ166" s="37"/>
      <c r="AK166" s="37"/>
      <c r="AL166" s="37"/>
      <c r="AM166" s="37"/>
      <c r="AN166" s="37"/>
      <c r="AO166" s="37"/>
      <c r="AP166" s="37"/>
      <c r="AQ166" s="37"/>
      <c r="AR166" s="37" t="s">
        <v>1124</v>
      </c>
      <c r="AS166" s="37"/>
      <c r="AT166" s="37"/>
      <c r="AU166" s="37"/>
      <c r="AV166" s="37"/>
      <c r="AW166" s="37"/>
      <c r="AX166" s="37"/>
      <c r="AY166" s="37"/>
      <c r="AZ166" s="37"/>
      <c r="BA166" s="37"/>
      <c r="BB166" s="37"/>
      <c r="BC166" s="37"/>
      <c r="BD166" s="37" t="s">
        <v>1124</v>
      </c>
      <c r="BE166" s="37"/>
      <c r="BF166" s="37"/>
      <c r="BG166" s="37"/>
      <c r="BH166" s="37"/>
      <c r="BI166" s="37"/>
      <c r="BJ166" s="37"/>
      <c r="BK166" s="37"/>
      <c r="BL166" s="37"/>
      <c r="BM166" s="37"/>
      <c r="BN166" s="37"/>
      <c r="BO166" s="37"/>
      <c r="BP166" s="37">
        <v>0</v>
      </c>
      <c r="BQ166" s="37"/>
      <c r="BR166" s="37"/>
      <c r="BS166" s="37"/>
      <c r="BT166" s="37"/>
      <c r="BU166" s="37"/>
      <c r="BV166" s="37"/>
      <c r="BW166" s="37"/>
      <c r="BX166" s="37"/>
      <c r="BY166" s="37"/>
      <c r="BZ166" s="37"/>
      <c r="CA166" s="37"/>
      <c r="CB166" s="37" t="s">
        <v>1124</v>
      </c>
      <c r="CC166" s="37"/>
      <c r="CD166" s="37"/>
      <c r="CE166" s="37"/>
      <c r="CF166" s="37"/>
      <c r="CG166" s="37"/>
      <c r="CH166" s="37"/>
      <c r="CI166" s="37"/>
      <c r="CJ166" s="37"/>
      <c r="CK166" s="37"/>
      <c r="CL166" s="37"/>
      <c r="CM166" s="37"/>
      <c r="CN166" s="37" t="s">
        <v>1124</v>
      </c>
      <c r="CO166" s="37"/>
      <c r="CP166" s="37"/>
      <c r="CQ166" s="37"/>
      <c r="CR166" s="37"/>
      <c r="CS166" s="37"/>
      <c r="CT166" s="37"/>
      <c r="CU166" s="37"/>
      <c r="CV166" s="37"/>
      <c r="CW166" s="37"/>
      <c r="CX166" s="37"/>
      <c r="CY166" s="37"/>
      <c r="CZ166" s="37" t="s">
        <v>1124</v>
      </c>
      <c r="DA166" s="37"/>
      <c r="DB166" s="37"/>
      <c r="DC166" s="37"/>
      <c r="DD166" s="37"/>
      <c r="DE166" s="37"/>
      <c r="DF166" s="37"/>
      <c r="DG166" s="37"/>
      <c r="DH166" s="37"/>
      <c r="DI166" s="37"/>
      <c r="DJ166" s="37"/>
      <c r="DK166" s="37"/>
      <c r="DL166" s="37" t="s">
        <v>1124</v>
      </c>
      <c r="DM166" s="37"/>
      <c r="DN166" s="37"/>
      <c r="DO166" s="37"/>
      <c r="DP166" s="37"/>
      <c r="DQ166" s="37"/>
      <c r="DR166" s="37"/>
      <c r="DS166" s="37"/>
      <c r="DT166" s="37"/>
      <c r="DU166" s="37"/>
      <c r="DV166" s="37"/>
      <c r="DW166" s="37"/>
      <c r="DX166" s="37" t="s">
        <v>1124</v>
      </c>
      <c r="DY166" s="37"/>
      <c r="DZ166" s="37"/>
      <c r="EA166" s="37"/>
      <c r="EB166" s="37"/>
      <c r="EC166" s="37"/>
      <c r="ED166" s="37"/>
      <c r="EE166" s="37"/>
      <c r="EF166" s="37"/>
      <c r="EG166" s="37"/>
      <c r="EH166" s="37"/>
      <c r="EI166" s="37"/>
      <c r="EJ166" s="37" t="s">
        <v>1124</v>
      </c>
      <c r="EK166" s="161"/>
      <c r="EL166" s="294"/>
    </row>
    <row r="167" spans="1:142" ht="15" customHeight="1" x14ac:dyDescent="0.35">
      <c r="A167" s="34"/>
      <c r="B167" s="313">
        <v>44010</v>
      </c>
      <c r="C167" s="8" t="s">
        <v>400</v>
      </c>
      <c r="D167" s="18">
        <v>5</v>
      </c>
      <c r="E167" s="155">
        <v>8952</v>
      </c>
      <c r="F167" s="36">
        <v>17158</v>
      </c>
      <c r="G167" s="37">
        <v>3120</v>
      </c>
      <c r="H167" s="37">
        <v>0</v>
      </c>
      <c r="I167" s="37">
        <v>66591.55</v>
      </c>
      <c r="J167" s="37">
        <v>0</v>
      </c>
      <c r="K167" s="37">
        <v>447.6</v>
      </c>
      <c r="L167" s="37">
        <v>857.90000000000009</v>
      </c>
      <c r="M167" s="37">
        <v>79111.150000000009</v>
      </c>
      <c r="N167" s="37">
        <v>18015.900000000001</v>
      </c>
      <c r="O167" s="37">
        <v>0</v>
      </c>
      <c r="P167" s="37">
        <v>0</v>
      </c>
      <c r="Q167" s="37">
        <v>10500</v>
      </c>
      <c r="R167" s="37">
        <v>11540</v>
      </c>
      <c r="S167" s="37">
        <v>3442</v>
      </c>
      <c r="T167" s="37">
        <v>0</v>
      </c>
      <c r="U167" s="37">
        <v>550</v>
      </c>
      <c r="V167" s="37">
        <v>0</v>
      </c>
      <c r="W167" s="37">
        <v>64619.199999999997</v>
      </c>
      <c r="X167" s="37">
        <v>6475.9</v>
      </c>
      <c r="Y167" s="37">
        <v>0</v>
      </c>
      <c r="Z167" s="37">
        <v>0</v>
      </c>
      <c r="AA167" s="37">
        <v>79111.199999999997</v>
      </c>
      <c r="AB167" s="37">
        <v>18015.900000000001</v>
      </c>
      <c r="AC167" s="37">
        <v>0</v>
      </c>
      <c r="AD167" s="37">
        <v>0</v>
      </c>
      <c r="AE167" s="37">
        <v>0</v>
      </c>
      <c r="AF167" s="168">
        <v>0.02</v>
      </c>
      <c r="AG167" s="37">
        <v>1934368.73</v>
      </c>
      <c r="AH167" s="37">
        <v>14900.98</v>
      </c>
      <c r="AI167" s="37">
        <v>530549.68999999994</v>
      </c>
      <c r="AJ167" s="37">
        <v>15502.98</v>
      </c>
      <c r="AK167" s="37">
        <v>15813.04</v>
      </c>
      <c r="AL167" s="37">
        <v>16129.3</v>
      </c>
      <c r="AM167" s="37">
        <v>16451.89</v>
      </c>
      <c r="AN167" s="37">
        <v>16780.919999999998</v>
      </c>
      <c r="AO167" s="37">
        <v>17116.54</v>
      </c>
      <c r="AP167" s="37">
        <v>17458.87</v>
      </c>
      <c r="AQ167" s="37">
        <v>17808.05</v>
      </c>
      <c r="AR167" s="37">
        <v>678512.26</v>
      </c>
      <c r="AS167" s="37">
        <v>0</v>
      </c>
      <c r="AT167" s="37">
        <v>0</v>
      </c>
      <c r="AU167" s="37">
        <v>515350.7</v>
      </c>
      <c r="AV167" s="37">
        <v>525657.71</v>
      </c>
      <c r="AW167" s="37">
        <v>0</v>
      </c>
      <c r="AX167" s="37">
        <v>0</v>
      </c>
      <c r="AY167" s="37">
        <v>0</v>
      </c>
      <c r="AZ167" s="37">
        <v>0</v>
      </c>
      <c r="BA167" s="37">
        <v>0</v>
      </c>
      <c r="BB167" s="37">
        <v>0</v>
      </c>
      <c r="BC167" s="37">
        <v>0</v>
      </c>
      <c r="BD167" s="37">
        <v>1041008.4099999999</v>
      </c>
      <c r="BE167" s="37">
        <v>0</v>
      </c>
      <c r="BF167" s="37">
        <v>0</v>
      </c>
      <c r="BG167" s="37">
        <v>495339</v>
      </c>
      <c r="BH167" s="37">
        <v>0</v>
      </c>
      <c r="BI167" s="37">
        <v>0</v>
      </c>
      <c r="BJ167" s="37">
        <v>0</v>
      </c>
      <c r="BK167" s="37">
        <v>0</v>
      </c>
      <c r="BL167" s="37">
        <v>0</v>
      </c>
      <c r="BM167" s="37">
        <v>0</v>
      </c>
      <c r="BN167" s="37">
        <v>0</v>
      </c>
      <c r="BO167" s="37">
        <v>0</v>
      </c>
      <c r="BP167" s="37">
        <v>495339</v>
      </c>
      <c r="BQ167" s="37">
        <v>0</v>
      </c>
      <c r="BR167" s="37">
        <v>0</v>
      </c>
      <c r="BS167" s="37">
        <v>0</v>
      </c>
      <c r="BT167" s="37">
        <v>0</v>
      </c>
      <c r="BU167" s="37">
        <v>0</v>
      </c>
      <c r="BV167" s="37">
        <v>0</v>
      </c>
      <c r="BW167" s="37">
        <v>0</v>
      </c>
      <c r="BX167" s="37">
        <v>0</v>
      </c>
      <c r="BY167" s="37">
        <v>0</v>
      </c>
      <c r="BZ167" s="37">
        <v>0</v>
      </c>
      <c r="CA167" s="37">
        <v>0</v>
      </c>
      <c r="CB167" s="37">
        <v>0</v>
      </c>
      <c r="CC167" s="37">
        <v>0</v>
      </c>
      <c r="CD167" s="37">
        <v>0</v>
      </c>
      <c r="CE167" s="37">
        <v>0</v>
      </c>
      <c r="CF167" s="37">
        <v>0</v>
      </c>
      <c r="CG167" s="37">
        <v>0</v>
      </c>
      <c r="CH167" s="37">
        <v>0</v>
      </c>
      <c r="CI167" s="37">
        <v>0</v>
      </c>
      <c r="CJ167" s="37">
        <v>0</v>
      </c>
      <c r="CK167" s="37">
        <v>0</v>
      </c>
      <c r="CL167" s="37">
        <v>0</v>
      </c>
      <c r="CM167" s="37">
        <v>0</v>
      </c>
      <c r="CN167" s="37">
        <v>0</v>
      </c>
      <c r="CO167" s="37">
        <v>0</v>
      </c>
      <c r="CP167" s="37">
        <v>0</v>
      </c>
      <c r="CQ167" s="37">
        <v>990678</v>
      </c>
      <c r="CR167" s="37">
        <v>0</v>
      </c>
      <c r="CS167" s="37">
        <v>0</v>
      </c>
      <c r="CT167" s="37">
        <v>0</v>
      </c>
      <c r="CU167" s="37">
        <v>0</v>
      </c>
      <c r="CV167" s="37">
        <v>0</v>
      </c>
      <c r="CW167" s="37">
        <v>0</v>
      </c>
      <c r="CX167" s="37">
        <v>0</v>
      </c>
      <c r="CY167" s="37">
        <v>0</v>
      </c>
      <c r="CZ167" s="37">
        <v>990678</v>
      </c>
      <c r="DA167" s="37">
        <v>0</v>
      </c>
      <c r="DB167" s="37">
        <v>0</v>
      </c>
      <c r="DC167" s="37">
        <v>0</v>
      </c>
      <c r="DD167" s="37">
        <v>0</v>
      </c>
      <c r="DE167" s="37">
        <v>0</v>
      </c>
      <c r="DF167" s="37">
        <v>0</v>
      </c>
      <c r="DG167" s="37">
        <v>0</v>
      </c>
      <c r="DH167" s="37">
        <v>0</v>
      </c>
      <c r="DI167" s="37">
        <v>0</v>
      </c>
      <c r="DJ167" s="37">
        <v>0</v>
      </c>
      <c r="DK167" s="37">
        <v>0</v>
      </c>
      <c r="DL167" s="37">
        <v>0</v>
      </c>
      <c r="DM167" s="37">
        <v>0</v>
      </c>
      <c r="DN167" s="37">
        <v>0</v>
      </c>
      <c r="DO167" s="37">
        <v>0</v>
      </c>
      <c r="DP167" s="37">
        <v>0</v>
      </c>
      <c r="DQ167" s="37">
        <v>0</v>
      </c>
      <c r="DR167" s="37">
        <v>0</v>
      </c>
      <c r="DS167" s="37">
        <v>0</v>
      </c>
      <c r="DT167" s="37">
        <v>0</v>
      </c>
      <c r="DU167" s="37">
        <v>0</v>
      </c>
      <c r="DV167" s="37">
        <v>0</v>
      </c>
      <c r="DW167" s="37">
        <v>0</v>
      </c>
      <c r="DX167" s="37">
        <v>0</v>
      </c>
      <c r="DY167" s="37">
        <v>0</v>
      </c>
      <c r="DZ167" s="37">
        <v>0</v>
      </c>
      <c r="EA167" s="37">
        <v>0</v>
      </c>
      <c r="EB167" s="37">
        <v>0</v>
      </c>
      <c r="EC167" s="37">
        <v>0</v>
      </c>
      <c r="ED167" s="37">
        <v>0</v>
      </c>
      <c r="EE167" s="37">
        <v>0</v>
      </c>
      <c r="EF167" s="37">
        <v>0</v>
      </c>
      <c r="EG167" s="37">
        <v>0</v>
      </c>
      <c r="EH167" s="37">
        <v>0</v>
      </c>
      <c r="EI167" s="37">
        <v>0</v>
      </c>
      <c r="EJ167" s="37">
        <v>0</v>
      </c>
      <c r="EK167" s="161" t="s">
        <v>1742</v>
      </c>
      <c r="EL167" s="294" t="s">
        <v>1124</v>
      </c>
    </row>
    <row r="168" spans="1:142" ht="15" customHeight="1" x14ac:dyDescent="0.35">
      <c r="A168" s="34"/>
      <c r="B168" s="313">
        <v>45093</v>
      </c>
      <c r="C168" s="8" t="s">
        <v>422</v>
      </c>
      <c r="D168" s="18">
        <v>5</v>
      </c>
      <c r="E168" s="155">
        <v>132548</v>
      </c>
      <c r="F168" s="36">
        <v>70632</v>
      </c>
      <c r="G168" s="37">
        <v>86487</v>
      </c>
      <c r="H168" s="37">
        <v>6385</v>
      </c>
      <c r="I168" s="37">
        <v>60607</v>
      </c>
      <c r="J168" s="37">
        <v>49992</v>
      </c>
      <c r="K168" s="37">
        <v>19882.2</v>
      </c>
      <c r="L168" s="37">
        <v>10594.8</v>
      </c>
      <c r="M168" s="37">
        <v>299524.2</v>
      </c>
      <c r="N168" s="37">
        <v>137603.79999999999</v>
      </c>
      <c r="O168" s="37">
        <v>0</v>
      </c>
      <c r="P168" s="37">
        <v>0</v>
      </c>
      <c r="Q168" s="37">
        <v>166923</v>
      </c>
      <c r="R168" s="37">
        <v>54484</v>
      </c>
      <c r="S168" s="37">
        <v>0</v>
      </c>
      <c r="T168" s="37">
        <v>0</v>
      </c>
      <c r="U168" s="37">
        <v>59007</v>
      </c>
      <c r="V168" s="37">
        <v>0</v>
      </c>
      <c r="W168" s="37">
        <v>77775</v>
      </c>
      <c r="X168" s="37">
        <v>87301</v>
      </c>
      <c r="Y168" s="37">
        <v>0</v>
      </c>
      <c r="Z168" s="37">
        <v>0</v>
      </c>
      <c r="AA168" s="37">
        <v>303705</v>
      </c>
      <c r="AB168" s="37">
        <v>141785</v>
      </c>
      <c r="AC168" s="37">
        <v>8362</v>
      </c>
      <c r="AD168" s="37">
        <v>8362</v>
      </c>
      <c r="AE168" s="37">
        <v>167834</v>
      </c>
      <c r="AF168" s="168">
        <v>0.02</v>
      </c>
      <c r="AG168" s="37">
        <v>16229600.9</v>
      </c>
      <c r="AH168" s="37">
        <v>110703.87</v>
      </c>
      <c r="AI168" s="37">
        <v>112917.95</v>
      </c>
      <c r="AJ168" s="37">
        <v>115176.31</v>
      </c>
      <c r="AK168" s="37">
        <v>117479.83</v>
      </c>
      <c r="AL168" s="37">
        <v>119829.43</v>
      </c>
      <c r="AM168" s="37">
        <v>122226.02</v>
      </c>
      <c r="AN168" s="37">
        <v>124670.54</v>
      </c>
      <c r="AO168" s="37">
        <v>127163.95</v>
      </c>
      <c r="AP168" s="37">
        <v>129707.23</v>
      </c>
      <c r="AQ168" s="37">
        <v>132301.37</v>
      </c>
      <c r="AR168" s="37">
        <v>1212176.5</v>
      </c>
      <c r="AS168" s="37">
        <v>1153211.8999999999</v>
      </c>
      <c r="AT168" s="37">
        <v>30600</v>
      </c>
      <c r="AU168" s="37">
        <v>31212</v>
      </c>
      <c r="AV168" s="37">
        <v>0</v>
      </c>
      <c r="AW168" s="37">
        <v>0</v>
      </c>
      <c r="AX168" s="37">
        <v>0</v>
      </c>
      <c r="AY168" s="37">
        <v>0</v>
      </c>
      <c r="AZ168" s="37">
        <v>0</v>
      </c>
      <c r="BA168" s="37">
        <v>0</v>
      </c>
      <c r="BB168" s="37">
        <v>0</v>
      </c>
      <c r="BC168" s="37">
        <v>0</v>
      </c>
      <c r="BD168" s="37">
        <v>61812</v>
      </c>
      <c r="BE168" s="37">
        <v>712986</v>
      </c>
      <c r="BF168" s="37">
        <v>1057256.382378588</v>
      </c>
      <c r="BG168" s="37">
        <v>170080.27370822884</v>
      </c>
      <c r="BH168" s="37">
        <v>209376.34454968513</v>
      </c>
      <c r="BI168" s="37">
        <v>248672.49936349801</v>
      </c>
      <c r="BJ168" s="37">
        <v>0</v>
      </c>
      <c r="BK168" s="37">
        <v>0</v>
      </c>
      <c r="BL168" s="37">
        <v>0</v>
      </c>
      <c r="BM168" s="37">
        <v>0</v>
      </c>
      <c r="BN168" s="37">
        <v>0</v>
      </c>
      <c r="BO168" s="37">
        <v>0</v>
      </c>
      <c r="BP168" s="37">
        <v>1685385.5</v>
      </c>
      <c r="BQ168" s="37">
        <v>0</v>
      </c>
      <c r="BR168" s="37">
        <v>224869</v>
      </c>
      <c r="BS168" s="37">
        <v>0</v>
      </c>
      <c r="BT168" s="37">
        <v>0</v>
      </c>
      <c r="BU168" s="37">
        <v>0</v>
      </c>
      <c r="BV168" s="37">
        <v>0</v>
      </c>
      <c r="BW168" s="37">
        <v>0</v>
      </c>
      <c r="BX168" s="37">
        <v>0</v>
      </c>
      <c r="BY168" s="37">
        <v>0</v>
      </c>
      <c r="BZ168" s="37">
        <v>0</v>
      </c>
      <c r="CA168" s="37">
        <v>0</v>
      </c>
      <c r="CB168" s="37">
        <v>224869</v>
      </c>
      <c r="CC168" s="37">
        <v>0</v>
      </c>
      <c r="CD168" s="37">
        <v>0</v>
      </c>
      <c r="CE168" s="37">
        <v>0</v>
      </c>
      <c r="CF168" s="37">
        <v>0</v>
      </c>
      <c r="CG168" s="37">
        <v>0</v>
      </c>
      <c r="CH168" s="37">
        <v>0</v>
      </c>
      <c r="CI168" s="37">
        <v>0</v>
      </c>
      <c r="CJ168" s="37">
        <v>0</v>
      </c>
      <c r="CK168" s="37">
        <v>0</v>
      </c>
      <c r="CL168" s="37">
        <v>0</v>
      </c>
      <c r="CM168" s="37">
        <v>0</v>
      </c>
      <c r="CN168" s="37">
        <v>0</v>
      </c>
      <c r="CO168" s="37">
        <v>0</v>
      </c>
      <c r="CP168" s="37">
        <v>0</v>
      </c>
      <c r="CQ168" s="37">
        <v>0</v>
      </c>
      <c r="CR168" s="37">
        <v>0</v>
      </c>
      <c r="CS168" s="37">
        <v>0</v>
      </c>
      <c r="CT168" s="37">
        <v>0</v>
      </c>
      <c r="CU168" s="37">
        <v>0</v>
      </c>
      <c r="CV168" s="37">
        <v>0</v>
      </c>
      <c r="CW168" s="37">
        <v>0</v>
      </c>
      <c r="CX168" s="37">
        <v>0</v>
      </c>
      <c r="CY168" s="37">
        <v>0</v>
      </c>
      <c r="CZ168" s="37">
        <v>0</v>
      </c>
      <c r="DA168" s="37">
        <v>0</v>
      </c>
      <c r="DB168" s="37">
        <v>0</v>
      </c>
      <c r="DC168" s="37">
        <v>0</v>
      </c>
      <c r="DD168" s="37">
        <v>0</v>
      </c>
      <c r="DE168" s="37">
        <v>0</v>
      </c>
      <c r="DF168" s="37">
        <v>0</v>
      </c>
      <c r="DG168" s="37">
        <v>0</v>
      </c>
      <c r="DH168" s="37">
        <v>0</v>
      </c>
      <c r="DI168" s="37">
        <v>0</v>
      </c>
      <c r="DJ168" s="37">
        <v>0</v>
      </c>
      <c r="DK168" s="37">
        <v>0</v>
      </c>
      <c r="DL168" s="37">
        <v>0</v>
      </c>
      <c r="DM168" s="37">
        <v>0</v>
      </c>
      <c r="DN168" s="37">
        <v>0</v>
      </c>
      <c r="DO168" s="37">
        <v>0</v>
      </c>
      <c r="DP168" s="37">
        <v>0</v>
      </c>
      <c r="DQ168" s="37">
        <v>0</v>
      </c>
      <c r="DR168" s="37">
        <v>0</v>
      </c>
      <c r="DS168" s="37">
        <v>0</v>
      </c>
      <c r="DT168" s="37">
        <v>0</v>
      </c>
      <c r="DU168" s="37">
        <v>0</v>
      </c>
      <c r="DV168" s="37">
        <v>0</v>
      </c>
      <c r="DW168" s="37">
        <v>0</v>
      </c>
      <c r="DX168" s="37">
        <v>0</v>
      </c>
      <c r="DY168" s="37">
        <v>0</v>
      </c>
      <c r="DZ168" s="37">
        <v>0</v>
      </c>
      <c r="EA168" s="37">
        <v>0</v>
      </c>
      <c r="EB168" s="37">
        <v>0</v>
      </c>
      <c r="EC168" s="37">
        <v>0</v>
      </c>
      <c r="ED168" s="37">
        <v>0</v>
      </c>
      <c r="EE168" s="37">
        <v>0</v>
      </c>
      <c r="EF168" s="37">
        <v>0</v>
      </c>
      <c r="EG168" s="37">
        <v>0</v>
      </c>
      <c r="EH168" s="37">
        <v>0</v>
      </c>
      <c r="EI168" s="37">
        <v>0</v>
      </c>
      <c r="EJ168" s="37">
        <v>0</v>
      </c>
      <c r="EK168" s="161" t="s">
        <v>1747</v>
      </c>
      <c r="EL168" s="294" t="s">
        <v>1124</v>
      </c>
    </row>
    <row r="169" spans="1:142" ht="15" customHeight="1" x14ac:dyDescent="0.35">
      <c r="A169" s="34"/>
      <c r="B169" s="313">
        <v>83075</v>
      </c>
      <c r="C169" s="8" t="s">
        <v>847</v>
      </c>
      <c r="D169" s="18">
        <v>7</v>
      </c>
      <c r="E169" s="155"/>
      <c r="F169" s="36"/>
      <c r="G169" s="37"/>
      <c r="H169" s="37"/>
      <c r="I169" s="37"/>
      <c r="J169" s="37"/>
      <c r="K169" s="37"/>
      <c r="L169" s="37"/>
      <c r="M169" s="37" t="s">
        <v>1124</v>
      </c>
      <c r="N169" s="37" t="s">
        <v>1124</v>
      </c>
      <c r="O169" s="37"/>
      <c r="P169" s="37"/>
      <c r="Q169" s="37"/>
      <c r="R169" s="37"/>
      <c r="S169" s="37"/>
      <c r="T169" s="37"/>
      <c r="U169" s="37"/>
      <c r="V169" s="37"/>
      <c r="W169" s="37"/>
      <c r="X169" s="37"/>
      <c r="Y169" s="37"/>
      <c r="Z169" s="37"/>
      <c r="AA169" s="37" t="s">
        <v>1124</v>
      </c>
      <c r="AB169" s="37" t="s">
        <v>1124</v>
      </c>
      <c r="AC169" s="37"/>
      <c r="AD169" s="37"/>
      <c r="AE169" s="37"/>
      <c r="AF169" s="168"/>
      <c r="AG169" s="37"/>
      <c r="AH169" s="37"/>
      <c r="AI169" s="37"/>
      <c r="AJ169" s="37"/>
      <c r="AK169" s="37"/>
      <c r="AL169" s="37"/>
      <c r="AM169" s="37"/>
      <c r="AN169" s="37"/>
      <c r="AO169" s="37"/>
      <c r="AP169" s="37"/>
      <c r="AQ169" s="37"/>
      <c r="AR169" s="37" t="s">
        <v>1124</v>
      </c>
      <c r="AS169" s="37"/>
      <c r="AT169" s="37"/>
      <c r="AU169" s="37"/>
      <c r="AV169" s="37"/>
      <c r="AW169" s="37"/>
      <c r="AX169" s="37"/>
      <c r="AY169" s="37"/>
      <c r="AZ169" s="37"/>
      <c r="BA169" s="37"/>
      <c r="BB169" s="37"/>
      <c r="BC169" s="37"/>
      <c r="BD169" s="37" t="s">
        <v>1124</v>
      </c>
      <c r="BE169" s="37"/>
      <c r="BF169" s="37"/>
      <c r="BG169" s="37"/>
      <c r="BH169" s="37"/>
      <c r="BI169" s="37"/>
      <c r="BJ169" s="37"/>
      <c r="BK169" s="37"/>
      <c r="BL169" s="37"/>
      <c r="BM169" s="37"/>
      <c r="BN169" s="37"/>
      <c r="BO169" s="37"/>
      <c r="BP169" s="37">
        <v>0</v>
      </c>
      <c r="BQ169" s="37"/>
      <c r="BR169" s="37"/>
      <c r="BS169" s="37"/>
      <c r="BT169" s="37"/>
      <c r="BU169" s="37"/>
      <c r="BV169" s="37"/>
      <c r="BW169" s="37"/>
      <c r="BX169" s="37"/>
      <c r="BY169" s="37"/>
      <c r="BZ169" s="37"/>
      <c r="CA169" s="37"/>
      <c r="CB169" s="37" t="s">
        <v>1124</v>
      </c>
      <c r="CC169" s="37"/>
      <c r="CD169" s="37"/>
      <c r="CE169" s="37"/>
      <c r="CF169" s="37"/>
      <c r="CG169" s="37"/>
      <c r="CH169" s="37"/>
      <c r="CI169" s="37"/>
      <c r="CJ169" s="37"/>
      <c r="CK169" s="37"/>
      <c r="CL169" s="37"/>
      <c r="CM169" s="37"/>
      <c r="CN169" s="37" t="s">
        <v>1124</v>
      </c>
      <c r="CO169" s="37"/>
      <c r="CP169" s="37"/>
      <c r="CQ169" s="37"/>
      <c r="CR169" s="37"/>
      <c r="CS169" s="37"/>
      <c r="CT169" s="37"/>
      <c r="CU169" s="37"/>
      <c r="CV169" s="37"/>
      <c r="CW169" s="37"/>
      <c r="CX169" s="37"/>
      <c r="CY169" s="37"/>
      <c r="CZ169" s="37" t="s">
        <v>1124</v>
      </c>
      <c r="DA169" s="37"/>
      <c r="DB169" s="37"/>
      <c r="DC169" s="37"/>
      <c r="DD169" s="37"/>
      <c r="DE169" s="37"/>
      <c r="DF169" s="37"/>
      <c r="DG169" s="37"/>
      <c r="DH169" s="37"/>
      <c r="DI169" s="37"/>
      <c r="DJ169" s="37"/>
      <c r="DK169" s="37"/>
      <c r="DL169" s="37" t="s">
        <v>1124</v>
      </c>
      <c r="DM169" s="37"/>
      <c r="DN169" s="37"/>
      <c r="DO169" s="37"/>
      <c r="DP169" s="37"/>
      <c r="DQ169" s="37"/>
      <c r="DR169" s="37"/>
      <c r="DS169" s="37"/>
      <c r="DT169" s="37"/>
      <c r="DU169" s="37"/>
      <c r="DV169" s="37"/>
      <c r="DW169" s="37"/>
      <c r="DX169" s="37" t="s">
        <v>1124</v>
      </c>
      <c r="DY169" s="37"/>
      <c r="DZ169" s="37"/>
      <c r="EA169" s="37"/>
      <c r="EB169" s="37"/>
      <c r="EC169" s="37"/>
      <c r="ED169" s="37"/>
      <c r="EE169" s="37"/>
      <c r="EF169" s="37"/>
      <c r="EG169" s="37"/>
      <c r="EH169" s="37"/>
      <c r="EI169" s="37"/>
      <c r="EJ169" s="37" t="s">
        <v>1124</v>
      </c>
      <c r="EK169" s="161"/>
      <c r="EL169" s="294"/>
    </row>
    <row r="170" spans="1:142" ht="15" customHeight="1" x14ac:dyDescent="0.35">
      <c r="A170" s="34"/>
      <c r="B170" s="313">
        <v>69050</v>
      </c>
      <c r="C170" s="8" t="s">
        <v>691</v>
      </c>
      <c r="D170" s="18">
        <v>16</v>
      </c>
      <c r="E170" s="155"/>
      <c r="F170" s="36"/>
      <c r="G170" s="37"/>
      <c r="H170" s="37"/>
      <c r="I170" s="37"/>
      <c r="J170" s="37"/>
      <c r="K170" s="37"/>
      <c r="L170" s="37"/>
      <c r="M170" s="37" t="s">
        <v>1124</v>
      </c>
      <c r="N170" s="37" t="s">
        <v>1124</v>
      </c>
      <c r="O170" s="37"/>
      <c r="P170" s="37"/>
      <c r="Q170" s="37"/>
      <c r="R170" s="37"/>
      <c r="S170" s="37"/>
      <c r="T170" s="37"/>
      <c r="U170" s="37"/>
      <c r="V170" s="37"/>
      <c r="W170" s="37"/>
      <c r="X170" s="37"/>
      <c r="Y170" s="37"/>
      <c r="Z170" s="37"/>
      <c r="AA170" s="37" t="s">
        <v>1124</v>
      </c>
      <c r="AB170" s="37" t="s">
        <v>1124</v>
      </c>
      <c r="AC170" s="37"/>
      <c r="AD170" s="37"/>
      <c r="AE170" s="37"/>
      <c r="AF170" s="168"/>
      <c r="AG170" s="37"/>
      <c r="AH170" s="37"/>
      <c r="AI170" s="37"/>
      <c r="AJ170" s="37"/>
      <c r="AK170" s="37"/>
      <c r="AL170" s="37"/>
      <c r="AM170" s="37"/>
      <c r="AN170" s="37"/>
      <c r="AO170" s="37"/>
      <c r="AP170" s="37"/>
      <c r="AQ170" s="37"/>
      <c r="AR170" s="37" t="s">
        <v>1124</v>
      </c>
      <c r="AS170" s="37"/>
      <c r="AT170" s="37"/>
      <c r="AU170" s="37"/>
      <c r="AV170" s="37"/>
      <c r="AW170" s="37"/>
      <c r="AX170" s="37"/>
      <c r="AY170" s="37"/>
      <c r="AZ170" s="37"/>
      <c r="BA170" s="37"/>
      <c r="BB170" s="37"/>
      <c r="BC170" s="37"/>
      <c r="BD170" s="37" t="s">
        <v>1124</v>
      </c>
      <c r="BE170" s="37"/>
      <c r="BF170" s="37"/>
      <c r="BG170" s="37"/>
      <c r="BH170" s="37"/>
      <c r="BI170" s="37"/>
      <c r="BJ170" s="37"/>
      <c r="BK170" s="37"/>
      <c r="BL170" s="37"/>
      <c r="BM170" s="37"/>
      <c r="BN170" s="37"/>
      <c r="BO170" s="37"/>
      <c r="BP170" s="37">
        <v>0</v>
      </c>
      <c r="BQ170" s="37"/>
      <c r="BR170" s="37"/>
      <c r="BS170" s="37"/>
      <c r="BT170" s="37"/>
      <c r="BU170" s="37"/>
      <c r="BV170" s="37"/>
      <c r="BW170" s="37"/>
      <c r="BX170" s="37"/>
      <c r="BY170" s="37"/>
      <c r="BZ170" s="37"/>
      <c r="CA170" s="37"/>
      <c r="CB170" s="37" t="s">
        <v>1124</v>
      </c>
      <c r="CC170" s="37"/>
      <c r="CD170" s="37"/>
      <c r="CE170" s="37"/>
      <c r="CF170" s="37"/>
      <c r="CG170" s="37"/>
      <c r="CH170" s="37"/>
      <c r="CI170" s="37"/>
      <c r="CJ170" s="37"/>
      <c r="CK170" s="37"/>
      <c r="CL170" s="37"/>
      <c r="CM170" s="37"/>
      <c r="CN170" s="37" t="s">
        <v>1124</v>
      </c>
      <c r="CO170" s="37"/>
      <c r="CP170" s="37"/>
      <c r="CQ170" s="37"/>
      <c r="CR170" s="37"/>
      <c r="CS170" s="37"/>
      <c r="CT170" s="37"/>
      <c r="CU170" s="37"/>
      <c r="CV170" s="37"/>
      <c r="CW170" s="37"/>
      <c r="CX170" s="37"/>
      <c r="CY170" s="37"/>
      <c r="CZ170" s="37" t="s">
        <v>1124</v>
      </c>
      <c r="DA170" s="37"/>
      <c r="DB170" s="37"/>
      <c r="DC170" s="37"/>
      <c r="DD170" s="37"/>
      <c r="DE170" s="37"/>
      <c r="DF170" s="37"/>
      <c r="DG170" s="37"/>
      <c r="DH170" s="37"/>
      <c r="DI170" s="37"/>
      <c r="DJ170" s="37"/>
      <c r="DK170" s="37"/>
      <c r="DL170" s="37" t="s">
        <v>1124</v>
      </c>
      <c r="DM170" s="37"/>
      <c r="DN170" s="37"/>
      <c r="DO170" s="37"/>
      <c r="DP170" s="37"/>
      <c r="DQ170" s="37"/>
      <c r="DR170" s="37"/>
      <c r="DS170" s="37"/>
      <c r="DT170" s="37"/>
      <c r="DU170" s="37"/>
      <c r="DV170" s="37"/>
      <c r="DW170" s="37"/>
      <c r="DX170" s="37" t="s">
        <v>1124</v>
      </c>
      <c r="DY170" s="37"/>
      <c r="DZ170" s="37"/>
      <c r="EA170" s="37"/>
      <c r="EB170" s="37"/>
      <c r="EC170" s="37"/>
      <c r="ED170" s="37"/>
      <c r="EE170" s="37"/>
      <c r="EF170" s="37"/>
      <c r="EG170" s="37"/>
      <c r="EH170" s="37"/>
      <c r="EI170" s="37"/>
      <c r="EJ170" s="37" t="s">
        <v>1124</v>
      </c>
      <c r="EK170" s="161"/>
      <c r="EL170" s="294"/>
    </row>
    <row r="171" spans="1:142" ht="15" customHeight="1" x14ac:dyDescent="0.35">
      <c r="A171" s="34"/>
      <c r="B171" s="313">
        <v>62053</v>
      </c>
      <c r="C171" s="8" t="s">
        <v>626</v>
      </c>
      <c r="D171" s="18">
        <v>14</v>
      </c>
      <c r="E171" s="155"/>
      <c r="F171" s="36"/>
      <c r="G171" s="37"/>
      <c r="H171" s="37"/>
      <c r="I171" s="37"/>
      <c r="J171" s="37"/>
      <c r="K171" s="37"/>
      <c r="L171" s="37"/>
      <c r="M171" s="37" t="s">
        <v>1124</v>
      </c>
      <c r="N171" s="37" t="s">
        <v>1124</v>
      </c>
      <c r="O171" s="37"/>
      <c r="P171" s="37"/>
      <c r="Q171" s="37"/>
      <c r="R171" s="37"/>
      <c r="S171" s="37"/>
      <c r="T171" s="37"/>
      <c r="U171" s="37"/>
      <c r="V171" s="37"/>
      <c r="W171" s="37"/>
      <c r="X171" s="37"/>
      <c r="Y171" s="37"/>
      <c r="Z171" s="37"/>
      <c r="AA171" s="37" t="s">
        <v>1124</v>
      </c>
      <c r="AB171" s="37" t="s">
        <v>1124</v>
      </c>
      <c r="AC171" s="37"/>
      <c r="AD171" s="37"/>
      <c r="AE171" s="37"/>
      <c r="AF171" s="168"/>
      <c r="AG171" s="37"/>
      <c r="AH171" s="37"/>
      <c r="AI171" s="37"/>
      <c r="AJ171" s="37"/>
      <c r="AK171" s="37"/>
      <c r="AL171" s="37"/>
      <c r="AM171" s="37"/>
      <c r="AN171" s="37"/>
      <c r="AO171" s="37"/>
      <c r="AP171" s="37"/>
      <c r="AQ171" s="37"/>
      <c r="AR171" s="37" t="s">
        <v>1124</v>
      </c>
      <c r="AS171" s="37"/>
      <c r="AT171" s="37"/>
      <c r="AU171" s="37"/>
      <c r="AV171" s="37"/>
      <c r="AW171" s="37"/>
      <c r="AX171" s="37"/>
      <c r="AY171" s="37"/>
      <c r="AZ171" s="37"/>
      <c r="BA171" s="37"/>
      <c r="BB171" s="37"/>
      <c r="BC171" s="37"/>
      <c r="BD171" s="37" t="s">
        <v>1124</v>
      </c>
      <c r="BE171" s="37"/>
      <c r="BF171" s="37"/>
      <c r="BG171" s="37"/>
      <c r="BH171" s="37"/>
      <c r="BI171" s="37"/>
      <c r="BJ171" s="37"/>
      <c r="BK171" s="37"/>
      <c r="BL171" s="37"/>
      <c r="BM171" s="37"/>
      <c r="BN171" s="37"/>
      <c r="BO171" s="37"/>
      <c r="BP171" s="37">
        <v>0</v>
      </c>
      <c r="BQ171" s="37"/>
      <c r="BR171" s="37"/>
      <c r="BS171" s="37"/>
      <c r="BT171" s="37"/>
      <c r="BU171" s="37"/>
      <c r="BV171" s="37"/>
      <c r="BW171" s="37"/>
      <c r="BX171" s="37"/>
      <c r="BY171" s="37"/>
      <c r="BZ171" s="37"/>
      <c r="CA171" s="37"/>
      <c r="CB171" s="37" t="s">
        <v>1124</v>
      </c>
      <c r="CC171" s="37"/>
      <c r="CD171" s="37"/>
      <c r="CE171" s="37"/>
      <c r="CF171" s="37"/>
      <c r="CG171" s="37"/>
      <c r="CH171" s="37"/>
      <c r="CI171" s="37"/>
      <c r="CJ171" s="37"/>
      <c r="CK171" s="37"/>
      <c r="CL171" s="37"/>
      <c r="CM171" s="37"/>
      <c r="CN171" s="37" t="s">
        <v>1124</v>
      </c>
      <c r="CO171" s="37"/>
      <c r="CP171" s="37"/>
      <c r="CQ171" s="37"/>
      <c r="CR171" s="37"/>
      <c r="CS171" s="37"/>
      <c r="CT171" s="37"/>
      <c r="CU171" s="37"/>
      <c r="CV171" s="37"/>
      <c r="CW171" s="37"/>
      <c r="CX171" s="37"/>
      <c r="CY171" s="37"/>
      <c r="CZ171" s="37" t="s">
        <v>1124</v>
      </c>
      <c r="DA171" s="37"/>
      <c r="DB171" s="37"/>
      <c r="DC171" s="37"/>
      <c r="DD171" s="37"/>
      <c r="DE171" s="37"/>
      <c r="DF171" s="37"/>
      <c r="DG171" s="37"/>
      <c r="DH171" s="37"/>
      <c r="DI171" s="37"/>
      <c r="DJ171" s="37"/>
      <c r="DK171" s="37"/>
      <c r="DL171" s="37" t="s">
        <v>1124</v>
      </c>
      <c r="DM171" s="37"/>
      <c r="DN171" s="37"/>
      <c r="DO171" s="37"/>
      <c r="DP171" s="37"/>
      <c r="DQ171" s="37"/>
      <c r="DR171" s="37"/>
      <c r="DS171" s="37"/>
      <c r="DT171" s="37"/>
      <c r="DU171" s="37"/>
      <c r="DV171" s="37"/>
      <c r="DW171" s="37"/>
      <c r="DX171" s="37" t="s">
        <v>1124</v>
      </c>
      <c r="DY171" s="37"/>
      <c r="DZ171" s="37"/>
      <c r="EA171" s="37"/>
      <c r="EB171" s="37"/>
      <c r="EC171" s="37"/>
      <c r="ED171" s="37"/>
      <c r="EE171" s="37"/>
      <c r="EF171" s="37"/>
      <c r="EG171" s="37"/>
      <c r="EH171" s="37"/>
      <c r="EI171" s="37"/>
      <c r="EJ171" s="37" t="s">
        <v>1124</v>
      </c>
      <c r="EK171" s="161"/>
      <c r="EL171" s="294"/>
    </row>
    <row r="172" spans="1:142" ht="15" customHeight="1" x14ac:dyDescent="0.35">
      <c r="A172" s="34"/>
      <c r="B172" s="313">
        <v>6025</v>
      </c>
      <c r="C172" s="8" t="s">
        <v>1060</v>
      </c>
      <c r="D172" s="18">
        <v>11</v>
      </c>
      <c r="E172" s="155"/>
      <c r="F172" s="36"/>
      <c r="G172" s="37"/>
      <c r="H172" s="37"/>
      <c r="I172" s="37"/>
      <c r="J172" s="37"/>
      <c r="K172" s="37"/>
      <c r="L172" s="37"/>
      <c r="M172" s="37" t="s">
        <v>1124</v>
      </c>
      <c r="N172" s="37" t="s">
        <v>1124</v>
      </c>
      <c r="O172" s="37"/>
      <c r="P172" s="37"/>
      <c r="Q172" s="37"/>
      <c r="R172" s="37"/>
      <c r="S172" s="37"/>
      <c r="T172" s="37"/>
      <c r="U172" s="37"/>
      <c r="V172" s="37"/>
      <c r="W172" s="37"/>
      <c r="X172" s="37"/>
      <c r="Y172" s="37"/>
      <c r="Z172" s="37"/>
      <c r="AA172" s="37" t="s">
        <v>1124</v>
      </c>
      <c r="AB172" s="37" t="s">
        <v>1124</v>
      </c>
      <c r="AC172" s="37"/>
      <c r="AD172" s="37"/>
      <c r="AE172" s="37"/>
      <c r="AF172" s="168"/>
      <c r="AG172" s="37"/>
      <c r="AH172" s="37"/>
      <c r="AI172" s="37"/>
      <c r="AJ172" s="37"/>
      <c r="AK172" s="37"/>
      <c r="AL172" s="37"/>
      <c r="AM172" s="37"/>
      <c r="AN172" s="37"/>
      <c r="AO172" s="37"/>
      <c r="AP172" s="37"/>
      <c r="AQ172" s="37"/>
      <c r="AR172" s="37" t="s">
        <v>1124</v>
      </c>
      <c r="AS172" s="37"/>
      <c r="AT172" s="37"/>
      <c r="AU172" s="37"/>
      <c r="AV172" s="37"/>
      <c r="AW172" s="37"/>
      <c r="AX172" s="37"/>
      <c r="AY172" s="37"/>
      <c r="AZ172" s="37"/>
      <c r="BA172" s="37"/>
      <c r="BB172" s="37"/>
      <c r="BC172" s="37"/>
      <c r="BD172" s="37" t="s">
        <v>1124</v>
      </c>
      <c r="BE172" s="37"/>
      <c r="BF172" s="37"/>
      <c r="BG172" s="37"/>
      <c r="BH172" s="37"/>
      <c r="BI172" s="37"/>
      <c r="BJ172" s="37"/>
      <c r="BK172" s="37"/>
      <c r="BL172" s="37"/>
      <c r="BM172" s="37"/>
      <c r="BN172" s="37"/>
      <c r="BO172" s="37"/>
      <c r="BP172" s="37">
        <v>0</v>
      </c>
      <c r="BQ172" s="37"/>
      <c r="BR172" s="37"/>
      <c r="BS172" s="37"/>
      <c r="BT172" s="37"/>
      <c r="BU172" s="37"/>
      <c r="BV172" s="37"/>
      <c r="BW172" s="37"/>
      <c r="BX172" s="37"/>
      <c r="BY172" s="37"/>
      <c r="BZ172" s="37"/>
      <c r="CA172" s="37"/>
      <c r="CB172" s="37" t="s">
        <v>1124</v>
      </c>
      <c r="CC172" s="37"/>
      <c r="CD172" s="37"/>
      <c r="CE172" s="37"/>
      <c r="CF172" s="37"/>
      <c r="CG172" s="37"/>
      <c r="CH172" s="37"/>
      <c r="CI172" s="37"/>
      <c r="CJ172" s="37"/>
      <c r="CK172" s="37"/>
      <c r="CL172" s="37"/>
      <c r="CM172" s="37"/>
      <c r="CN172" s="37" t="s">
        <v>1124</v>
      </c>
      <c r="CO172" s="37"/>
      <c r="CP172" s="37"/>
      <c r="CQ172" s="37"/>
      <c r="CR172" s="37"/>
      <c r="CS172" s="37"/>
      <c r="CT172" s="37"/>
      <c r="CU172" s="37"/>
      <c r="CV172" s="37"/>
      <c r="CW172" s="37"/>
      <c r="CX172" s="37"/>
      <c r="CY172" s="37"/>
      <c r="CZ172" s="37" t="s">
        <v>1124</v>
      </c>
      <c r="DA172" s="37"/>
      <c r="DB172" s="37"/>
      <c r="DC172" s="37"/>
      <c r="DD172" s="37"/>
      <c r="DE172" s="37"/>
      <c r="DF172" s="37"/>
      <c r="DG172" s="37"/>
      <c r="DH172" s="37"/>
      <c r="DI172" s="37"/>
      <c r="DJ172" s="37"/>
      <c r="DK172" s="37"/>
      <c r="DL172" s="37" t="s">
        <v>1124</v>
      </c>
      <c r="DM172" s="37"/>
      <c r="DN172" s="37"/>
      <c r="DO172" s="37"/>
      <c r="DP172" s="37"/>
      <c r="DQ172" s="37"/>
      <c r="DR172" s="37"/>
      <c r="DS172" s="37"/>
      <c r="DT172" s="37"/>
      <c r="DU172" s="37"/>
      <c r="DV172" s="37"/>
      <c r="DW172" s="37"/>
      <c r="DX172" s="37" t="s">
        <v>1124</v>
      </c>
      <c r="DY172" s="37"/>
      <c r="DZ172" s="37"/>
      <c r="EA172" s="37"/>
      <c r="EB172" s="37"/>
      <c r="EC172" s="37"/>
      <c r="ED172" s="37"/>
      <c r="EE172" s="37"/>
      <c r="EF172" s="37"/>
      <c r="EG172" s="37"/>
      <c r="EH172" s="37"/>
      <c r="EI172" s="37"/>
      <c r="EJ172" s="37" t="s">
        <v>1124</v>
      </c>
      <c r="EK172" s="161"/>
      <c r="EL172" s="294"/>
    </row>
    <row r="173" spans="1:142" ht="15" customHeight="1" x14ac:dyDescent="0.35">
      <c r="A173" s="34"/>
      <c r="B173" s="313">
        <v>10005</v>
      </c>
      <c r="C173" s="8" t="s">
        <v>8</v>
      </c>
      <c r="D173" s="18">
        <v>1</v>
      </c>
      <c r="E173" s="155"/>
      <c r="F173" s="36"/>
      <c r="G173" s="37"/>
      <c r="H173" s="37"/>
      <c r="I173" s="37"/>
      <c r="J173" s="37"/>
      <c r="K173" s="37"/>
      <c r="L173" s="37"/>
      <c r="M173" s="37" t="s">
        <v>1124</v>
      </c>
      <c r="N173" s="37" t="s">
        <v>1124</v>
      </c>
      <c r="O173" s="37"/>
      <c r="P173" s="37"/>
      <c r="Q173" s="37"/>
      <c r="R173" s="37"/>
      <c r="S173" s="37"/>
      <c r="T173" s="37"/>
      <c r="U173" s="37"/>
      <c r="V173" s="37"/>
      <c r="W173" s="37"/>
      <c r="X173" s="37"/>
      <c r="Y173" s="37"/>
      <c r="Z173" s="37"/>
      <c r="AA173" s="37" t="s">
        <v>1124</v>
      </c>
      <c r="AB173" s="37" t="s">
        <v>1124</v>
      </c>
      <c r="AC173" s="37"/>
      <c r="AD173" s="37"/>
      <c r="AE173" s="37"/>
      <c r="AF173" s="168"/>
      <c r="AG173" s="37"/>
      <c r="AH173" s="37"/>
      <c r="AI173" s="37"/>
      <c r="AJ173" s="37"/>
      <c r="AK173" s="37"/>
      <c r="AL173" s="37"/>
      <c r="AM173" s="37"/>
      <c r="AN173" s="37"/>
      <c r="AO173" s="37"/>
      <c r="AP173" s="37"/>
      <c r="AQ173" s="37"/>
      <c r="AR173" s="37" t="s">
        <v>1124</v>
      </c>
      <c r="AS173" s="37"/>
      <c r="AT173" s="37"/>
      <c r="AU173" s="37"/>
      <c r="AV173" s="37"/>
      <c r="AW173" s="37"/>
      <c r="AX173" s="37"/>
      <c r="AY173" s="37"/>
      <c r="AZ173" s="37"/>
      <c r="BA173" s="37"/>
      <c r="BB173" s="37"/>
      <c r="BC173" s="37"/>
      <c r="BD173" s="37" t="s">
        <v>1124</v>
      </c>
      <c r="BE173" s="37"/>
      <c r="BF173" s="37"/>
      <c r="BG173" s="37"/>
      <c r="BH173" s="37"/>
      <c r="BI173" s="37"/>
      <c r="BJ173" s="37"/>
      <c r="BK173" s="37"/>
      <c r="BL173" s="37"/>
      <c r="BM173" s="37"/>
      <c r="BN173" s="37"/>
      <c r="BO173" s="37"/>
      <c r="BP173" s="37">
        <v>0</v>
      </c>
      <c r="BQ173" s="37"/>
      <c r="BR173" s="37"/>
      <c r="BS173" s="37"/>
      <c r="BT173" s="37"/>
      <c r="BU173" s="37"/>
      <c r="BV173" s="37"/>
      <c r="BW173" s="37"/>
      <c r="BX173" s="37"/>
      <c r="BY173" s="37"/>
      <c r="BZ173" s="37"/>
      <c r="CA173" s="37"/>
      <c r="CB173" s="37" t="s">
        <v>1124</v>
      </c>
      <c r="CC173" s="37"/>
      <c r="CD173" s="37"/>
      <c r="CE173" s="37"/>
      <c r="CF173" s="37"/>
      <c r="CG173" s="37"/>
      <c r="CH173" s="37"/>
      <c r="CI173" s="37"/>
      <c r="CJ173" s="37"/>
      <c r="CK173" s="37"/>
      <c r="CL173" s="37"/>
      <c r="CM173" s="37"/>
      <c r="CN173" s="37" t="s">
        <v>1124</v>
      </c>
      <c r="CO173" s="37"/>
      <c r="CP173" s="37"/>
      <c r="CQ173" s="37"/>
      <c r="CR173" s="37"/>
      <c r="CS173" s="37"/>
      <c r="CT173" s="37"/>
      <c r="CU173" s="37"/>
      <c r="CV173" s="37"/>
      <c r="CW173" s="37"/>
      <c r="CX173" s="37"/>
      <c r="CY173" s="37"/>
      <c r="CZ173" s="37" t="s">
        <v>1124</v>
      </c>
      <c r="DA173" s="37"/>
      <c r="DB173" s="37"/>
      <c r="DC173" s="37"/>
      <c r="DD173" s="37"/>
      <c r="DE173" s="37"/>
      <c r="DF173" s="37"/>
      <c r="DG173" s="37"/>
      <c r="DH173" s="37"/>
      <c r="DI173" s="37"/>
      <c r="DJ173" s="37"/>
      <c r="DK173" s="37"/>
      <c r="DL173" s="37" t="s">
        <v>1124</v>
      </c>
      <c r="DM173" s="37"/>
      <c r="DN173" s="37"/>
      <c r="DO173" s="37"/>
      <c r="DP173" s="37"/>
      <c r="DQ173" s="37"/>
      <c r="DR173" s="37"/>
      <c r="DS173" s="37"/>
      <c r="DT173" s="37"/>
      <c r="DU173" s="37"/>
      <c r="DV173" s="37"/>
      <c r="DW173" s="37"/>
      <c r="DX173" s="37" t="s">
        <v>1124</v>
      </c>
      <c r="DY173" s="37"/>
      <c r="DZ173" s="37"/>
      <c r="EA173" s="37"/>
      <c r="EB173" s="37"/>
      <c r="EC173" s="37"/>
      <c r="ED173" s="37"/>
      <c r="EE173" s="37"/>
      <c r="EF173" s="37"/>
      <c r="EG173" s="37"/>
      <c r="EH173" s="37"/>
      <c r="EI173" s="37"/>
      <c r="EJ173" s="37" t="s">
        <v>1124</v>
      </c>
      <c r="EK173" s="161"/>
      <c r="EL173" s="294"/>
    </row>
    <row r="174" spans="1:142" ht="15" customHeight="1" x14ac:dyDescent="0.35">
      <c r="A174" s="34"/>
      <c r="B174" s="313">
        <v>77011</v>
      </c>
      <c r="C174" s="8" t="s">
        <v>756</v>
      </c>
      <c r="D174" s="18">
        <v>15</v>
      </c>
      <c r="E174" s="155">
        <v>77088</v>
      </c>
      <c r="F174" s="36">
        <v>61743</v>
      </c>
      <c r="G174" s="37">
        <v>15515</v>
      </c>
      <c r="H174" s="37">
        <v>0</v>
      </c>
      <c r="I174" s="37">
        <v>0</v>
      </c>
      <c r="J174" s="37">
        <v>0</v>
      </c>
      <c r="K174" s="37">
        <v>70281</v>
      </c>
      <c r="L174" s="37">
        <v>599</v>
      </c>
      <c r="M174" s="37">
        <v>162884</v>
      </c>
      <c r="N174" s="37">
        <v>62342</v>
      </c>
      <c r="O174" s="37">
        <v>0</v>
      </c>
      <c r="P174" s="37">
        <v>0</v>
      </c>
      <c r="Q174" s="37">
        <v>154615</v>
      </c>
      <c r="R174" s="37">
        <v>58749</v>
      </c>
      <c r="S174" s="37">
        <v>0</v>
      </c>
      <c r="T174" s="37">
        <v>0</v>
      </c>
      <c r="U174" s="37">
        <v>27039</v>
      </c>
      <c r="V174" s="37">
        <v>0</v>
      </c>
      <c r="W174" s="37">
        <v>0</v>
      </c>
      <c r="X174" s="37">
        <v>0</v>
      </c>
      <c r="Y174" s="37">
        <v>0</v>
      </c>
      <c r="Z174" s="37">
        <v>0</v>
      </c>
      <c r="AA174" s="37">
        <v>181654</v>
      </c>
      <c r="AB174" s="37">
        <v>58749</v>
      </c>
      <c r="AC174" s="37">
        <v>15177</v>
      </c>
      <c r="AD174" s="37">
        <v>0</v>
      </c>
      <c r="AE174" s="37">
        <v>0</v>
      </c>
      <c r="AF174" s="168">
        <v>0.02</v>
      </c>
      <c r="AG174" s="37">
        <v>2156706.85</v>
      </c>
      <c r="AH174" s="37">
        <v>35811.519999999997</v>
      </c>
      <c r="AI174" s="37">
        <v>15719.75</v>
      </c>
      <c r="AJ174" s="37">
        <v>16034.14</v>
      </c>
      <c r="AK174" s="37">
        <v>16354.82</v>
      </c>
      <c r="AL174" s="37">
        <v>16681.919999999998</v>
      </c>
      <c r="AM174" s="37">
        <v>17015.560000000001</v>
      </c>
      <c r="AN174" s="37">
        <v>17355.87</v>
      </c>
      <c r="AO174" s="37">
        <v>17702.990000000002</v>
      </c>
      <c r="AP174" s="37">
        <v>18057.05</v>
      </c>
      <c r="AQ174" s="37">
        <v>18418.189999999999</v>
      </c>
      <c r="AR174" s="37">
        <v>189151.80999999997</v>
      </c>
      <c r="AS174" s="37">
        <v>28050</v>
      </c>
      <c r="AT174" s="37">
        <v>0</v>
      </c>
      <c r="AU174" s="37">
        <v>0</v>
      </c>
      <c r="AV174" s="37">
        <v>10612.08</v>
      </c>
      <c r="AW174" s="37">
        <v>10824.32</v>
      </c>
      <c r="AX174" s="37">
        <v>0</v>
      </c>
      <c r="AY174" s="37">
        <v>0</v>
      </c>
      <c r="AZ174" s="37">
        <v>0</v>
      </c>
      <c r="BA174" s="37">
        <v>0</v>
      </c>
      <c r="BB174" s="37">
        <v>0</v>
      </c>
      <c r="BC174" s="37">
        <v>0</v>
      </c>
      <c r="BD174" s="37">
        <v>21436.400000000001</v>
      </c>
      <c r="BE174" s="37">
        <v>52129</v>
      </c>
      <c r="BF174" s="37">
        <v>0</v>
      </c>
      <c r="BG174" s="37">
        <v>28960</v>
      </c>
      <c r="BH174" s="37">
        <v>0</v>
      </c>
      <c r="BI174" s="37">
        <v>0</v>
      </c>
      <c r="BJ174" s="37">
        <v>0</v>
      </c>
      <c r="BK174" s="37">
        <v>0</v>
      </c>
      <c r="BL174" s="37">
        <v>0</v>
      </c>
      <c r="BM174" s="37">
        <v>0</v>
      </c>
      <c r="BN174" s="37">
        <v>0</v>
      </c>
      <c r="BO174" s="37">
        <v>0</v>
      </c>
      <c r="BP174" s="37">
        <v>28960</v>
      </c>
      <c r="BQ174" s="37">
        <v>0</v>
      </c>
      <c r="BR174" s="37">
        <v>0</v>
      </c>
      <c r="BS174" s="37">
        <v>0</v>
      </c>
      <c r="BT174" s="37">
        <v>0</v>
      </c>
      <c r="BU174" s="37">
        <v>0</v>
      </c>
      <c r="BV174" s="37">
        <v>0</v>
      </c>
      <c r="BW174" s="37">
        <v>0</v>
      </c>
      <c r="BX174" s="37">
        <v>0</v>
      </c>
      <c r="BY174" s="37">
        <v>0</v>
      </c>
      <c r="BZ174" s="37">
        <v>0</v>
      </c>
      <c r="CA174" s="37">
        <v>0</v>
      </c>
      <c r="CB174" s="37">
        <v>0</v>
      </c>
      <c r="CC174" s="37">
        <v>30000</v>
      </c>
      <c r="CD174" s="37">
        <v>0</v>
      </c>
      <c r="CE174" s="37">
        <v>0</v>
      </c>
      <c r="CF174" s="37">
        <v>0</v>
      </c>
      <c r="CG174" s="37">
        <v>0</v>
      </c>
      <c r="CH174" s="37">
        <v>0</v>
      </c>
      <c r="CI174" s="37">
        <v>0</v>
      </c>
      <c r="CJ174" s="37">
        <v>0</v>
      </c>
      <c r="CK174" s="37">
        <v>0</v>
      </c>
      <c r="CL174" s="37">
        <v>0</v>
      </c>
      <c r="CM174" s="37">
        <v>0</v>
      </c>
      <c r="CN174" s="37">
        <v>0</v>
      </c>
      <c r="CO174" s="37">
        <v>0</v>
      </c>
      <c r="CP174" s="37">
        <v>0</v>
      </c>
      <c r="CQ174" s="37">
        <v>0</v>
      </c>
      <c r="CR174" s="37">
        <v>0</v>
      </c>
      <c r="CS174" s="37">
        <v>0</v>
      </c>
      <c r="CT174" s="37">
        <v>0</v>
      </c>
      <c r="CU174" s="37">
        <v>0</v>
      </c>
      <c r="CV174" s="37">
        <v>0</v>
      </c>
      <c r="CW174" s="37">
        <v>0</v>
      </c>
      <c r="CX174" s="37">
        <v>0</v>
      </c>
      <c r="CY174" s="37">
        <v>0</v>
      </c>
      <c r="CZ174" s="37">
        <v>0</v>
      </c>
      <c r="DA174" s="37">
        <v>0</v>
      </c>
      <c r="DB174" s="37">
        <v>0</v>
      </c>
      <c r="DC174" s="37">
        <v>0</v>
      </c>
      <c r="DD174" s="37">
        <v>0</v>
      </c>
      <c r="DE174" s="37">
        <v>0</v>
      </c>
      <c r="DF174" s="37">
        <v>0</v>
      </c>
      <c r="DG174" s="37">
        <v>0</v>
      </c>
      <c r="DH174" s="37">
        <v>0</v>
      </c>
      <c r="DI174" s="37">
        <v>0</v>
      </c>
      <c r="DJ174" s="37">
        <v>0</v>
      </c>
      <c r="DK174" s="37">
        <v>0</v>
      </c>
      <c r="DL174" s="37">
        <v>0</v>
      </c>
      <c r="DM174" s="37">
        <v>0</v>
      </c>
      <c r="DN174" s="37">
        <v>0</v>
      </c>
      <c r="DO174" s="37">
        <v>0</v>
      </c>
      <c r="DP174" s="37">
        <v>0</v>
      </c>
      <c r="DQ174" s="37">
        <v>0</v>
      </c>
      <c r="DR174" s="37">
        <v>0</v>
      </c>
      <c r="DS174" s="37">
        <v>0</v>
      </c>
      <c r="DT174" s="37">
        <v>0</v>
      </c>
      <c r="DU174" s="37">
        <v>0</v>
      </c>
      <c r="DV174" s="37">
        <v>0</v>
      </c>
      <c r="DW174" s="37">
        <v>0</v>
      </c>
      <c r="DX174" s="37">
        <v>0</v>
      </c>
      <c r="DY174" s="37">
        <v>0</v>
      </c>
      <c r="DZ174" s="37">
        <v>0</v>
      </c>
      <c r="EA174" s="37">
        <v>0</v>
      </c>
      <c r="EB174" s="37">
        <v>0</v>
      </c>
      <c r="EC174" s="37">
        <v>0</v>
      </c>
      <c r="ED174" s="37">
        <v>0</v>
      </c>
      <c r="EE174" s="37">
        <v>0</v>
      </c>
      <c r="EF174" s="37">
        <v>0</v>
      </c>
      <c r="EG174" s="37">
        <v>0</v>
      </c>
      <c r="EH174" s="37">
        <v>0</v>
      </c>
      <c r="EI174" s="37">
        <v>0</v>
      </c>
      <c r="EJ174" s="37">
        <v>0</v>
      </c>
      <c r="EK174" s="161" t="s">
        <v>1751</v>
      </c>
      <c r="EL174" s="294" t="s">
        <v>1124</v>
      </c>
    </row>
    <row r="175" spans="1:142" ht="15" customHeight="1" x14ac:dyDescent="0.35">
      <c r="A175" s="34"/>
      <c r="B175" s="313">
        <v>46112</v>
      </c>
      <c r="C175" s="8" t="s">
        <v>447</v>
      </c>
      <c r="D175" s="18">
        <v>5</v>
      </c>
      <c r="E175" s="155">
        <v>1278740</v>
      </c>
      <c r="F175" s="36">
        <v>750906</v>
      </c>
      <c r="G175" s="37">
        <v>97706</v>
      </c>
      <c r="H175" s="37">
        <v>44533</v>
      </c>
      <c r="I175" s="37">
        <v>157188</v>
      </c>
      <c r="J175" s="37">
        <v>31700</v>
      </c>
      <c r="K175" s="37">
        <v>83608</v>
      </c>
      <c r="L175" s="37">
        <v>59300</v>
      </c>
      <c r="M175" s="37">
        <v>1617242</v>
      </c>
      <c r="N175" s="37">
        <v>886439</v>
      </c>
      <c r="O175" s="37">
        <v>136624</v>
      </c>
      <c r="P175" s="37">
        <v>0</v>
      </c>
      <c r="Q175" s="37">
        <v>583863</v>
      </c>
      <c r="R175" s="37">
        <v>708902</v>
      </c>
      <c r="S175" s="37">
        <v>579919</v>
      </c>
      <c r="T175" s="37">
        <v>0</v>
      </c>
      <c r="U175" s="37">
        <v>0</v>
      </c>
      <c r="V175" s="37">
        <v>0</v>
      </c>
      <c r="W175" s="37">
        <v>316836</v>
      </c>
      <c r="X175" s="37">
        <v>177537</v>
      </c>
      <c r="Y175" s="37">
        <v>0</v>
      </c>
      <c r="Z175" s="37">
        <v>0</v>
      </c>
      <c r="AA175" s="37">
        <v>1617242</v>
      </c>
      <c r="AB175" s="37">
        <v>886439</v>
      </c>
      <c r="AC175" s="37">
        <v>0</v>
      </c>
      <c r="AD175" s="37">
        <v>0</v>
      </c>
      <c r="AE175" s="37">
        <v>0</v>
      </c>
      <c r="AF175" s="168">
        <v>0.02</v>
      </c>
      <c r="AG175" s="37">
        <v>137633712.12</v>
      </c>
      <c r="AH175" s="37">
        <v>1960259.37</v>
      </c>
      <c r="AI175" s="37">
        <v>1999464.56</v>
      </c>
      <c r="AJ175" s="37">
        <v>2155815.31</v>
      </c>
      <c r="AK175" s="37">
        <v>874034.65</v>
      </c>
      <c r="AL175" s="37">
        <v>891515.34</v>
      </c>
      <c r="AM175" s="37">
        <v>909345.65</v>
      </c>
      <c r="AN175" s="37">
        <v>927532.56</v>
      </c>
      <c r="AO175" s="37">
        <v>946083.21</v>
      </c>
      <c r="AP175" s="37">
        <v>965004.88</v>
      </c>
      <c r="AQ175" s="37">
        <v>984304.98</v>
      </c>
      <c r="AR175" s="37">
        <v>12613360.510000002</v>
      </c>
      <c r="AS175" s="37">
        <v>4952364.34</v>
      </c>
      <c r="AT175" s="37">
        <v>1649034</v>
      </c>
      <c r="AU175" s="37">
        <v>143263.07999999999</v>
      </c>
      <c r="AV175" s="37">
        <v>0</v>
      </c>
      <c r="AW175" s="37">
        <v>4795174.47</v>
      </c>
      <c r="AX175" s="37">
        <v>6073548.5</v>
      </c>
      <c r="AY175" s="37">
        <v>1837897.07</v>
      </c>
      <c r="AZ175" s="37">
        <v>0</v>
      </c>
      <c r="BA175" s="37">
        <v>0</v>
      </c>
      <c r="BB175" s="37">
        <v>0</v>
      </c>
      <c r="BC175" s="37">
        <v>0</v>
      </c>
      <c r="BD175" s="37">
        <v>14498917.119999999</v>
      </c>
      <c r="BE175" s="37">
        <v>0</v>
      </c>
      <c r="BF175" s="37">
        <v>799194</v>
      </c>
      <c r="BG175" s="37">
        <v>1805290</v>
      </c>
      <c r="BH175" s="37">
        <v>1878990</v>
      </c>
      <c r="BI175" s="37">
        <v>0</v>
      </c>
      <c r="BJ175" s="37">
        <v>0</v>
      </c>
      <c r="BK175" s="37">
        <v>0</v>
      </c>
      <c r="BL175" s="37">
        <v>0</v>
      </c>
      <c r="BM175" s="37">
        <v>0</v>
      </c>
      <c r="BN175" s="37">
        <v>0</v>
      </c>
      <c r="BO175" s="37">
        <v>0</v>
      </c>
      <c r="BP175" s="37">
        <v>4483474</v>
      </c>
      <c r="BQ175" s="37">
        <v>15583</v>
      </c>
      <c r="BR175" s="37">
        <v>1409300</v>
      </c>
      <c r="BS175" s="37">
        <v>1078128</v>
      </c>
      <c r="BT175" s="37">
        <v>1054715</v>
      </c>
      <c r="BU175" s="37">
        <v>0</v>
      </c>
      <c r="BV175" s="37">
        <v>0</v>
      </c>
      <c r="BW175" s="37">
        <v>0</v>
      </c>
      <c r="BX175" s="37">
        <v>0</v>
      </c>
      <c r="BY175" s="37">
        <v>0</v>
      </c>
      <c r="BZ175" s="37">
        <v>0</v>
      </c>
      <c r="CA175" s="37">
        <v>0</v>
      </c>
      <c r="CB175" s="37">
        <v>3542143</v>
      </c>
      <c r="CC175" s="37">
        <v>33569</v>
      </c>
      <c r="CD175" s="37">
        <v>53900</v>
      </c>
      <c r="CE175" s="37">
        <v>0</v>
      </c>
      <c r="CF175" s="37">
        <v>0</v>
      </c>
      <c r="CG175" s="37">
        <v>0</v>
      </c>
      <c r="CH175" s="37">
        <v>0</v>
      </c>
      <c r="CI175" s="37">
        <v>0</v>
      </c>
      <c r="CJ175" s="37">
        <v>0</v>
      </c>
      <c r="CK175" s="37">
        <v>0</v>
      </c>
      <c r="CL175" s="37">
        <v>0</v>
      </c>
      <c r="CM175" s="37">
        <v>0</v>
      </c>
      <c r="CN175" s="37">
        <v>53900</v>
      </c>
      <c r="CO175" s="37">
        <v>0</v>
      </c>
      <c r="CP175" s="37">
        <v>0</v>
      </c>
      <c r="CQ175" s="37">
        <v>340200</v>
      </c>
      <c r="CR175" s="37">
        <v>704500</v>
      </c>
      <c r="CS175" s="37">
        <v>0</v>
      </c>
      <c r="CT175" s="37">
        <v>0</v>
      </c>
      <c r="CU175" s="37">
        <v>0</v>
      </c>
      <c r="CV175" s="37">
        <v>0</v>
      </c>
      <c r="CW175" s="37">
        <v>0</v>
      </c>
      <c r="CX175" s="37">
        <v>0</v>
      </c>
      <c r="CY175" s="37">
        <v>0</v>
      </c>
      <c r="CZ175" s="37">
        <v>1044700</v>
      </c>
      <c r="DA175" s="37">
        <v>0</v>
      </c>
      <c r="DB175" s="37">
        <v>0</v>
      </c>
      <c r="DC175" s="37">
        <v>0</v>
      </c>
      <c r="DD175" s="37">
        <v>0</v>
      </c>
      <c r="DE175" s="37">
        <v>0</v>
      </c>
      <c r="DF175" s="37">
        <v>0</v>
      </c>
      <c r="DG175" s="37">
        <v>0</v>
      </c>
      <c r="DH175" s="37">
        <v>0</v>
      </c>
      <c r="DI175" s="37">
        <v>0</v>
      </c>
      <c r="DJ175" s="37">
        <v>0</v>
      </c>
      <c r="DK175" s="37">
        <v>0</v>
      </c>
      <c r="DL175" s="37">
        <v>0</v>
      </c>
      <c r="DM175" s="37">
        <v>0</v>
      </c>
      <c r="DN175" s="37">
        <v>0</v>
      </c>
      <c r="DO175" s="37">
        <v>0</v>
      </c>
      <c r="DP175" s="37">
        <v>0</v>
      </c>
      <c r="DQ175" s="37">
        <v>0</v>
      </c>
      <c r="DR175" s="37">
        <v>0</v>
      </c>
      <c r="DS175" s="37">
        <v>0</v>
      </c>
      <c r="DT175" s="37">
        <v>0</v>
      </c>
      <c r="DU175" s="37">
        <v>0</v>
      </c>
      <c r="DV175" s="37">
        <v>0</v>
      </c>
      <c r="DW175" s="37">
        <v>0</v>
      </c>
      <c r="DX175" s="37">
        <v>0</v>
      </c>
      <c r="DY175" s="37">
        <v>0</v>
      </c>
      <c r="DZ175" s="37">
        <v>0</v>
      </c>
      <c r="EA175" s="37">
        <v>0</v>
      </c>
      <c r="EB175" s="37">
        <v>0</v>
      </c>
      <c r="EC175" s="37">
        <v>0</v>
      </c>
      <c r="ED175" s="37">
        <v>0</v>
      </c>
      <c r="EE175" s="37">
        <v>0</v>
      </c>
      <c r="EF175" s="37">
        <v>0</v>
      </c>
      <c r="EG175" s="37">
        <v>0</v>
      </c>
      <c r="EH175" s="37">
        <v>0</v>
      </c>
      <c r="EI175" s="37">
        <v>0</v>
      </c>
      <c r="EJ175" s="37">
        <v>0</v>
      </c>
      <c r="EK175" s="161" t="s">
        <v>1755</v>
      </c>
      <c r="EL175" s="294" t="s">
        <v>1124</v>
      </c>
    </row>
    <row r="176" spans="1:142" ht="15" customHeight="1" x14ac:dyDescent="0.35">
      <c r="A176" s="34"/>
      <c r="B176" s="313">
        <v>80005</v>
      </c>
      <c r="C176" s="8" t="s">
        <v>803</v>
      </c>
      <c r="D176" s="18">
        <v>7</v>
      </c>
      <c r="E176" s="155">
        <v>55420</v>
      </c>
      <c r="F176" s="36">
        <v>25999</v>
      </c>
      <c r="G176" s="37">
        <v>13428.49</v>
      </c>
      <c r="H176" s="37">
        <v>15758</v>
      </c>
      <c r="I176" s="37">
        <v>116381</v>
      </c>
      <c r="J176" s="37">
        <v>92518</v>
      </c>
      <c r="K176" s="37">
        <v>8313</v>
      </c>
      <c r="L176" s="37">
        <v>3899</v>
      </c>
      <c r="M176" s="37">
        <v>193542.49</v>
      </c>
      <c r="N176" s="37">
        <v>138174</v>
      </c>
      <c r="O176" s="37">
        <v>0</v>
      </c>
      <c r="P176" s="37">
        <v>0</v>
      </c>
      <c r="Q176" s="37">
        <v>152507</v>
      </c>
      <c r="R176" s="37">
        <v>85128</v>
      </c>
      <c r="S176" s="37">
        <v>0</v>
      </c>
      <c r="T176" s="37">
        <v>0</v>
      </c>
      <c r="U176" s="37">
        <v>0</v>
      </c>
      <c r="V176" s="37">
        <v>157524</v>
      </c>
      <c r="W176" s="37">
        <v>0</v>
      </c>
      <c r="X176" s="37">
        <v>0</v>
      </c>
      <c r="Y176" s="37">
        <v>0</v>
      </c>
      <c r="Z176" s="37">
        <v>0</v>
      </c>
      <c r="AA176" s="37">
        <v>152507</v>
      </c>
      <c r="AB176" s="37">
        <v>242652</v>
      </c>
      <c r="AC176" s="37">
        <v>63443</v>
      </c>
      <c r="AD176" s="37">
        <v>0</v>
      </c>
      <c r="AE176" s="37">
        <v>0</v>
      </c>
      <c r="AF176" s="168">
        <v>0.02</v>
      </c>
      <c r="AG176" s="37">
        <v>15925843.539999999</v>
      </c>
      <c r="AH176" s="37">
        <v>88578.32</v>
      </c>
      <c r="AI176" s="37">
        <v>90349.89</v>
      </c>
      <c r="AJ176" s="37">
        <v>92156.89</v>
      </c>
      <c r="AK176" s="37">
        <v>94000.03</v>
      </c>
      <c r="AL176" s="37">
        <v>95880.03</v>
      </c>
      <c r="AM176" s="37">
        <v>97797.63</v>
      </c>
      <c r="AN176" s="37">
        <v>99753.58</v>
      </c>
      <c r="AO176" s="37">
        <v>101748.65</v>
      </c>
      <c r="AP176" s="37">
        <v>103783.63</v>
      </c>
      <c r="AQ176" s="37">
        <v>105859.3</v>
      </c>
      <c r="AR176" s="37">
        <v>969907.95</v>
      </c>
      <c r="AS176" s="37">
        <v>370860.98</v>
      </c>
      <c r="AT176" s="37">
        <v>0</v>
      </c>
      <c r="AU176" s="37">
        <v>0</v>
      </c>
      <c r="AV176" s="37">
        <v>0</v>
      </c>
      <c r="AW176" s="37">
        <v>0</v>
      </c>
      <c r="AX176" s="37">
        <v>0</v>
      </c>
      <c r="AY176" s="37">
        <v>0</v>
      </c>
      <c r="AZ176" s="37">
        <v>0</v>
      </c>
      <c r="BA176" s="37">
        <v>0</v>
      </c>
      <c r="BB176" s="37">
        <v>0</v>
      </c>
      <c r="BC176" s="37">
        <v>0</v>
      </c>
      <c r="BD176" s="37">
        <v>0</v>
      </c>
      <c r="BE176" s="37">
        <v>140588</v>
      </c>
      <c r="BF176" s="37">
        <v>140588</v>
      </c>
      <c r="BG176" s="37">
        <v>140588</v>
      </c>
      <c r="BH176" s="37">
        <v>140588</v>
      </c>
      <c r="BI176" s="37">
        <v>140588</v>
      </c>
      <c r="BJ176" s="37">
        <v>0</v>
      </c>
      <c r="BK176" s="37">
        <v>0</v>
      </c>
      <c r="BL176" s="37">
        <v>0</v>
      </c>
      <c r="BM176" s="37">
        <v>0</v>
      </c>
      <c r="BN176" s="37">
        <v>0</v>
      </c>
      <c r="BO176" s="37">
        <v>0</v>
      </c>
      <c r="BP176" s="37">
        <v>562352</v>
      </c>
      <c r="BQ176" s="37">
        <v>0</v>
      </c>
      <c r="BR176" s="37">
        <v>0</v>
      </c>
      <c r="BS176" s="37">
        <v>0</v>
      </c>
      <c r="BT176" s="37">
        <v>0</v>
      </c>
      <c r="BU176" s="37">
        <v>0</v>
      </c>
      <c r="BV176" s="37">
        <v>0</v>
      </c>
      <c r="BW176" s="37">
        <v>0</v>
      </c>
      <c r="BX176" s="37">
        <v>0</v>
      </c>
      <c r="BY176" s="37">
        <v>0</v>
      </c>
      <c r="BZ176" s="37">
        <v>0</v>
      </c>
      <c r="CA176" s="37">
        <v>0</v>
      </c>
      <c r="CB176" s="37">
        <v>0</v>
      </c>
      <c r="CC176" s="37">
        <v>140588</v>
      </c>
      <c r="CD176" s="37">
        <v>140588</v>
      </c>
      <c r="CE176" s="37">
        <v>140588</v>
      </c>
      <c r="CF176" s="37">
        <v>140588</v>
      </c>
      <c r="CG176" s="37">
        <v>140588</v>
      </c>
      <c r="CH176" s="37">
        <v>0</v>
      </c>
      <c r="CI176" s="37">
        <v>0</v>
      </c>
      <c r="CJ176" s="37">
        <v>0</v>
      </c>
      <c r="CK176" s="37">
        <v>0</v>
      </c>
      <c r="CL176" s="37">
        <v>0</v>
      </c>
      <c r="CM176" s="37">
        <v>0</v>
      </c>
      <c r="CN176" s="37">
        <v>562352</v>
      </c>
      <c r="CO176" s="37">
        <v>0</v>
      </c>
      <c r="CP176" s="37">
        <v>0</v>
      </c>
      <c r="CQ176" s="37">
        <v>0</v>
      </c>
      <c r="CR176" s="37">
        <v>0</v>
      </c>
      <c r="CS176" s="37">
        <v>0</v>
      </c>
      <c r="CT176" s="37">
        <v>0</v>
      </c>
      <c r="CU176" s="37">
        <v>0</v>
      </c>
      <c r="CV176" s="37">
        <v>0</v>
      </c>
      <c r="CW176" s="37">
        <v>0</v>
      </c>
      <c r="CX176" s="37">
        <v>0</v>
      </c>
      <c r="CY176" s="37">
        <v>0</v>
      </c>
      <c r="CZ176" s="37">
        <v>0</v>
      </c>
      <c r="DA176" s="37">
        <v>0</v>
      </c>
      <c r="DB176" s="37">
        <v>0</v>
      </c>
      <c r="DC176" s="37">
        <v>0</v>
      </c>
      <c r="DD176" s="37">
        <v>0</v>
      </c>
      <c r="DE176" s="37">
        <v>0</v>
      </c>
      <c r="DF176" s="37">
        <v>0</v>
      </c>
      <c r="DG176" s="37">
        <v>0</v>
      </c>
      <c r="DH176" s="37">
        <v>0</v>
      </c>
      <c r="DI176" s="37">
        <v>0</v>
      </c>
      <c r="DJ176" s="37">
        <v>0</v>
      </c>
      <c r="DK176" s="37">
        <v>0</v>
      </c>
      <c r="DL176" s="37">
        <v>0</v>
      </c>
      <c r="DM176" s="37">
        <v>0</v>
      </c>
      <c r="DN176" s="37">
        <v>0</v>
      </c>
      <c r="DO176" s="37">
        <v>0</v>
      </c>
      <c r="DP176" s="37">
        <v>0</v>
      </c>
      <c r="DQ176" s="37">
        <v>0</v>
      </c>
      <c r="DR176" s="37">
        <v>0</v>
      </c>
      <c r="DS176" s="37">
        <v>0</v>
      </c>
      <c r="DT176" s="37">
        <v>0</v>
      </c>
      <c r="DU176" s="37">
        <v>0</v>
      </c>
      <c r="DV176" s="37">
        <v>0</v>
      </c>
      <c r="DW176" s="37">
        <v>0</v>
      </c>
      <c r="DX176" s="37">
        <v>0</v>
      </c>
      <c r="DY176" s="37">
        <v>0</v>
      </c>
      <c r="DZ176" s="37">
        <v>0</v>
      </c>
      <c r="EA176" s="37">
        <v>0</v>
      </c>
      <c r="EB176" s="37">
        <v>0</v>
      </c>
      <c r="EC176" s="37">
        <v>0</v>
      </c>
      <c r="ED176" s="37">
        <v>0</v>
      </c>
      <c r="EE176" s="37">
        <v>0</v>
      </c>
      <c r="EF176" s="37">
        <v>0</v>
      </c>
      <c r="EG176" s="37">
        <v>0</v>
      </c>
      <c r="EH176" s="37">
        <v>0</v>
      </c>
      <c r="EI176" s="37">
        <v>0</v>
      </c>
      <c r="EJ176" s="37">
        <v>0</v>
      </c>
      <c r="EK176" s="161" t="s">
        <v>1757</v>
      </c>
      <c r="EL176" s="294" t="s">
        <v>1124</v>
      </c>
    </row>
    <row r="177" spans="1:142" ht="15" customHeight="1" x14ac:dyDescent="0.35">
      <c r="A177" s="34"/>
      <c r="B177" s="313">
        <v>94220</v>
      </c>
      <c r="C177" s="8" t="s">
        <v>976</v>
      </c>
      <c r="D177" s="18">
        <v>2</v>
      </c>
      <c r="E177" s="155">
        <v>49261</v>
      </c>
      <c r="F177" s="36">
        <v>0</v>
      </c>
      <c r="G177" s="37">
        <v>0</v>
      </c>
      <c r="H177" s="37">
        <v>0</v>
      </c>
      <c r="I177" s="37">
        <v>0</v>
      </c>
      <c r="J177" s="37">
        <v>0</v>
      </c>
      <c r="K177" s="37">
        <v>4926</v>
      </c>
      <c r="L177" s="37">
        <v>0</v>
      </c>
      <c r="M177" s="37">
        <v>54187</v>
      </c>
      <c r="N177" s="37">
        <v>0</v>
      </c>
      <c r="O177" s="37">
        <v>0</v>
      </c>
      <c r="P177" s="37">
        <v>0</v>
      </c>
      <c r="Q177" s="37">
        <v>14400</v>
      </c>
      <c r="R177" s="37">
        <v>0</v>
      </c>
      <c r="S177" s="37">
        <v>0</v>
      </c>
      <c r="T177" s="37">
        <v>0</v>
      </c>
      <c r="U177" s="37">
        <v>14695</v>
      </c>
      <c r="V177" s="37">
        <v>0</v>
      </c>
      <c r="W177" s="37">
        <v>25092</v>
      </c>
      <c r="X177" s="37">
        <v>0</v>
      </c>
      <c r="Y177" s="37">
        <v>0</v>
      </c>
      <c r="Z177" s="37">
        <v>0</v>
      </c>
      <c r="AA177" s="37">
        <v>54187</v>
      </c>
      <c r="AB177" s="37">
        <v>0</v>
      </c>
      <c r="AC177" s="37">
        <v>0</v>
      </c>
      <c r="AD177" s="37">
        <v>0</v>
      </c>
      <c r="AE177" s="37">
        <v>0</v>
      </c>
      <c r="AF177" s="168">
        <v>0.02</v>
      </c>
      <c r="AG177" s="37">
        <v>4498839.1399999997</v>
      </c>
      <c r="AH177" s="37">
        <v>49157.79</v>
      </c>
      <c r="AI177" s="37">
        <v>58100</v>
      </c>
      <c r="AJ177" s="37">
        <v>59262</v>
      </c>
      <c r="AK177" s="37">
        <v>41125.83</v>
      </c>
      <c r="AL177" s="37">
        <v>41948.35</v>
      </c>
      <c r="AM177" s="37">
        <v>42787.31</v>
      </c>
      <c r="AN177" s="37">
        <v>43643.06</v>
      </c>
      <c r="AO177" s="37">
        <v>44515.92</v>
      </c>
      <c r="AP177" s="37">
        <v>45406.239999999998</v>
      </c>
      <c r="AQ177" s="37">
        <v>46314.36</v>
      </c>
      <c r="AR177" s="37">
        <v>472260.86</v>
      </c>
      <c r="AS177" s="37">
        <v>26010</v>
      </c>
      <c r="AT177" s="37">
        <v>29131.200000000001</v>
      </c>
      <c r="AU177" s="37">
        <v>0</v>
      </c>
      <c r="AV177" s="37">
        <v>0</v>
      </c>
      <c r="AW177" s="37">
        <v>0</v>
      </c>
      <c r="AX177" s="37">
        <v>0</v>
      </c>
      <c r="AY177" s="37">
        <v>0</v>
      </c>
      <c r="AZ177" s="37">
        <v>0</v>
      </c>
      <c r="BA177" s="37">
        <v>0</v>
      </c>
      <c r="BB177" s="37">
        <v>0</v>
      </c>
      <c r="BC177" s="37">
        <v>0</v>
      </c>
      <c r="BD177" s="37">
        <v>29131.200000000001</v>
      </c>
      <c r="BE177" s="37">
        <v>94614</v>
      </c>
      <c r="BF177" s="37">
        <v>14647.426590558549</v>
      </c>
      <c r="BG177" s="37">
        <v>15788.07725753331</v>
      </c>
      <c r="BH177" s="37">
        <v>19435.821871507302</v>
      </c>
      <c r="BI177" s="37">
        <v>23083.574280400859</v>
      </c>
      <c r="BJ177" s="37">
        <v>2507.093946999225</v>
      </c>
      <c r="BK177" s="37">
        <v>12140.332643559312</v>
      </c>
      <c r="BL177" s="37">
        <v>15788.07725753331</v>
      </c>
      <c r="BM177" s="37">
        <v>19435.821871507302</v>
      </c>
      <c r="BN177" s="37">
        <v>23083.574280400859</v>
      </c>
      <c r="BO177" s="37">
        <v>0</v>
      </c>
      <c r="BP177" s="37">
        <v>145909.80000000005</v>
      </c>
      <c r="BQ177" s="37">
        <v>0</v>
      </c>
      <c r="BR177" s="37">
        <v>2755.6192929524418</v>
      </c>
      <c r="BS177" s="37">
        <v>2970.2098194863497</v>
      </c>
      <c r="BT177" s="37">
        <v>3656.4597468633056</v>
      </c>
      <c r="BU177" s="37">
        <v>4342.7111406979075</v>
      </c>
      <c r="BV177" s="37">
        <v>471.6594008430464</v>
      </c>
      <c r="BW177" s="37">
        <v>2283.9598921093925</v>
      </c>
      <c r="BX177" s="37">
        <v>2970.2098194863497</v>
      </c>
      <c r="BY177" s="37">
        <v>3656.4597468633056</v>
      </c>
      <c r="BZ177" s="37">
        <v>4342.7111406979075</v>
      </c>
      <c r="CA177" s="37">
        <v>0</v>
      </c>
      <c r="CB177" s="37">
        <v>27450.000000000007</v>
      </c>
      <c r="CC177" s="37">
        <v>0</v>
      </c>
      <c r="CD177" s="37">
        <v>0</v>
      </c>
      <c r="CE177" s="37">
        <v>0</v>
      </c>
      <c r="CF177" s="37">
        <v>0</v>
      </c>
      <c r="CG177" s="37">
        <v>0</v>
      </c>
      <c r="CH177" s="37">
        <v>0</v>
      </c>
      <c r="CI177" s="37">
        <v>0</v>
      </c>
      <c r="CJ177" s="37">
        <v>0</v>
      </c>
      <c r="CK177" s="37">
        <v>0</v>
      </c>
      <c r="CL177" s="37">
        <v>0</v>
      </c>
      <c r="CM177" s="37">
        <v>0</v>
      </c>
      <c r="CN177" s="37">
        <v>0</v>
      </c>
      <c r="CO177" s="37">
        <v>0</v>
      </c>
      <c r="CP177" s="37">
        <v>0</v>
      </c>
      <c r="CQ177" s="37">
        <v>0</v>
      </c>
      <c r="CR177" s="37">
        <v>0</v>
      </c>
      <c r="CS177" s="37">
        <v>0</v>
      </c>
      <c r="CT177" s="37">
        <v>0</v>
      </c>
      <c r="CU177" s="37">
        <v>0</v>
      </c>
      <c r="CV177" s="37">
        <v>0</v>
      </c>
      <c r="CW177" s="37">
        <v>0</v>
      </c>
      <c r="CX177" s="37">
        <v>0</v>
      </c>
      <c r="CY177" s="37">
        <v>0</v>
      </c>
      <c r="CZ177" s="37">
        <v>0</v>
      </c>
      <c r="DA177" s="37">
        <v>0</v>
      </c>
      <c r="DB177" s="37">
        <v>0</v>
      </c>
      <c r="DC177" s="37">
        <v>0</v>
      </c>
      <c r="DD177" s="37">
        <v>0</v>
      </c>
      <c r="DE177" s="37">
        <v>0</v>
      </c>
      <c r="DF177" s="37">
        <v>0</v>
      </c>
      <c r="DG177" s="37">
        <v>0</v>
      </c>
      <c r="DH177" s="37">
        <v>0</v>
      </c>
      <c r="DI177" s="37">
        <v>0</v>
      </c>
      <c r="DJ177" s="37">
        <v>0</v>
      </c>
      <c r="DK177" s="37">
        <v>0</v>
      </c>
      <c r="DL177" s="37">
        <v>0</v>
      </c>
      <c r="DM177" s="37">
        <v>0</v>
      </c>
      <c r="DN177" s="37">
        <v>0</v>
      </c>
      <c r="DO177" s="37">
        <v>0</v>
      </c>
      <c r="DP177" s="37">
        <v>0</v>
      </c>
      <c r="DQ177" s="37">
        <v>0</v>
      </c>
      <c r="DR177" s="37">
        <v>0</v>
      </c>
      <c r="DS177" s="37">
        <v>0</v>
      </c>
      <c r="DT177" s="37">
        <v>0</v>
      </c>
      <c r="DU177" s="37">
        <v>0</v>
      </c>
      <c r="DV177" s="37">
        <v>0</v>
      </c>
      <c r="DW177" s="37">
        <v>0</v>
      </c>
      <c r="DX177" s="37">
        <v>0</v>
      </c>
      <c r="DY177" s="37">
        <v>0</v>
      </c>
      <c r="DZ177" s="37">
        <v>0</v>
      </c>
      <c r="EA177" s="37">
        <v>0</v>
      </c>
      <c r="EB177" s="37">
        <v>0</v>
      </c>
      <c r="EC177" s="37">
        <v>0</v>
      </c>
      <c r="ED177" s="37">
        <v>0</v>
      </c>
      <c r="EE177" s="37">
        <v>0</v>
      </c>
      <c r="EF177" s="37">
        <v>0</v>
      </c>
      <c r="EG177" s="37">
        <v>0</v>
      </c>
      <c r="EH177" s="37">
        <v>0</v>
      </c>
      <c r="EI177" s="37">
        <v>0</v>
      </c>
      <c r="EJ177" s="37">
        <v>0</v>
      </c>
      <c r="EK177" s="161" t="s">
        <v>1760</v>
      </c>
      <c r="EL177" s="294" t="s">
        <v>1124</v>
      </c>
    </row>
    <row r="178" spans="1:142" ht="15" customHeight="1" x14ac:dyDescent="0.35">
      <c r="A178" s="34"/>
      <c r="B178" s="313">
        <v>79097</v>
      </c>
      <c r="C178" s="8" t="s">
        <v>799</v>
      </c>
      <c r="D178" s="18">
        <v>15</v>
      </c>
      <c r="E178" s="155">
        <v>171709</v>
      </c>
      <c r="F178" s="36">
        <v>168682</v>
      </c>
      <c r="G178" s="37">
        <v>8690</v>
      </c>
      <c r="H178" s="37">
        <v>13081</v>
      </c>
      <c r="I178" s="37">
        <v>45200</v>
      </c>
      <c r="J178" s="37">
        <v>0</v>
      </c>
      <c r="K178" s="37">
        <v>65345.16</v>
      </c>
      <c r="L178" s="37">
        <v>67228.789999999994</v>
      </c>
      <c r="M178" s="37">
        <v>290944.16000000003</v>
      </c>
      <c r="N178" s="37">
        <v>248991.78999999998</v>
      </c>
      <c r="O178" s="37">
        <v>4661</v>
      </c>
      <c r="P178" s="37">
        <v>0</v>
      </c>
      <c r="Q178" s="37">
        <v>181649</v>
      </c>
      <c r="R178" s="37">
        <v>172410</v>
      </c>
      <c r="S178" s="37">
        <v>0</v>
      </c>
      <c r="T178" s="37">
        <v>0</v>
      </c>
      <c r="U178" s="37">
        <v>17134</v>
      </c>
      <c r="V178" s="37">
        <v>0</v>
      </c>
      <c r="W178" s="37">
        <v>87500</v>
      </c>
      <c r="X178" s="37">
        <v>76582</v>
      </c>
      <c r="Y178" s="37">
        <v>0</v>
      </c>
      <c r="Z178" s="37">
        <v>0</v>
      </c>
      <c r="AA178" s="37">
        <v>290944</v>
      </c>
      <c r="AB178" s="37">
        <v>248992</v>
      </c>
      <c r="AC178" s="37">
        <v>0</v>
      </c>
      <c r="AD178" s="37">
        <v>0</v>
      </c>
      <c r="AE178" s="37">
        <v>0</v>
      </c>
      <c r="AF178" s="168">
        <v>0.02</v>
      </c>
      <c r="AG178" s="37">
        <v>54252755.960000001</v>
      </c>
      <c r="AH178" s="37">
        <v>463819.15</v>
      </c>
      <c r="AI178" s="37">
        <v>473095.53</v>
      </c>
      <c r="AJ178" s="37">
        <v>482557.44</v>
      </c>
      <c r="AK178" s="37">
        <v>492208.59</v>
      </c>
      <c r="AL178" s="37">
        <v>502052.76</v>
      </c>
      <c r="AM178" s="37">
        <v>512093.82</v>
      </c>
      <c r="AN178" s="37">
        <v>522335.69</v>
      </c>
      <c r="AO178" s="37">
        <v>532782.41</v>
      </c>
      <c r="AP178" s="37">
        <v>543438.06000000006</v>
      </c>
      <c r="AQ178" s="37">
        <v>554306.81999999995</v>
      </c>
      <c r="AR178" s="37">
        <v>5078690.2700000005</v>
      </c>
      <c r="AS178" s="37">
        <v>1091353.05</v>
      </c>
      <c r="AT178" s="37">
        <v>0</v>
      </c>
      <c r="AU178" s="37">
        <v>0</v>
      </c>
      <c r="AV178" s="37">
        <v>0</v>
      </c>
      <c r="AW178" s="37">
        <v>0</v>
      </c>
      <c r="AX178" s="37">
        <v>0</v>
      </c>
      <c r="AY178" s="37">
        <v>0</v>
      </c>
      <c r="AZ178" s="37">
        <v>0</v>
      </c>
      <c r="BA178" s="37">
        <v>0</v>
      </c>
      <c r="BB178" s="37">
        <v>0</v>
      </c>
      <c r="BC178" s="37">
        <v>0</v>
      </c>
      <c r="BD178" s="37">
        <v>0</v>
      </c>
      <c r="BE178" s="37">
        <v>465390</v>
      </c>
      <c r="BF178" s="37">
        <v>1726730</v>
      </c>
      <c r="BG178" s="37">
        <v>145000</v>
      </c>
      <c r="BH178" s="37">
        <v>10000</v>
      </c>
      <c r="BI178" s="37">
        <v>10000</v>
      </c>
      <c r="BJ178" s="37">
        <v>0</v>
      </c>
      <c r="BK178" s="37">
        <v>0</v>
      </c>
      <c r="BL178" s="37">
        <v>0</v>
      </c>
      <c r="BM178" s="37">
        <v>0</v>
      </c>
      <c r="BN178" s="37">
        <v>0</v>
      </c>
      <c r="BO178" s="37">
        <v>0</v>
      </c>
      <c r="BP178" s="37">
        <v>1891730</v>
      </c>
      <c r="BQ178" s="37">
        <v>0</v>
      </c>
      <c r="BR178" s="37">
        <v>748270</v>
      </c>
      <c r="BS178" s="37">
        <v>0</v>
      </c>
      <c r="BT178" s="37">
        <v>0</v>
      </c>
      <c r="BU178" s="37">
        <v>0</v>
      </c>
      <c r="BV178" s="37">
        <v>0</v>
      </c>
      <c r="BW178" s="37">
        <v>0</v>
      </c>
      <c r="BX178" s="37">
        <v>0</v>
      </c>
      <c r="BY178" s="37">
        <v>0</v>
      </c>
      <c r="BZ178" s="37">
        <v>0</v>
      </c>
      <c r="CA178" s="37">
        <v>0</v>
      </c>
      <c r="CB178" s="37">
        <v>748270</v>
      </c>
      <c r="CC178" s="37">
        <v>0</v>
      </c>
      <c r="CD178" s="37">
        <v>0</v>
      </c>
      <c r="CE178" s="37">
        <v>0</v>
      </c>
      <c r="CF178" s="37">
        <v>0</v>
      </c>
      <c r="CG178" s="37">
        <v>0</v>
      </c>
      <c r="CH178" s="37">
        <v>0</v>
      </c>
      <c r="CI178" s="37">
        <v>0</v>
      </c>
      <c r="CJ178" s="37">
        <v>0</v>
      </c>
      <c r="CK178" s="37">
        <v>0</v>
      </c>
      <c r="CL178" s="37">
        <v>0</v>
      </c>
      <c r="CM178" s="37">
        <v>0</v>
      </c>
      <c r="CN178" s="37">
        <v>0</v>
      </c>
      <c r="CO178" s="37">
        <v>0</v>
      </c>
      <c r="CP178" s="37">
        <v>0</v>
      </c>
      <c r="CQ178" s="37">
        <v>0</v>
      </c>
      <c r="CR178" s="37">
        <v>0</v>
      </c>
      <c r="CS178" s="37">
        <v>0</v>
      </c>
      <c r="CT178" s="37">
        <v>0</v>
      </c>
      <c r="CU178" s="37">
        <v>0</v>
      </c>
      <c r="CV178" s="37">
        <v>0</v>
      </c>
      <c r="CW178" s="37">
        <v>0</v>
      </c>
      <c r="CX178" s="37">
        <v>0</v>
      </c>
      <c r="CY178" s="37">
        <v>0</v>
      </c>
      <c r="CZ178" s="37">
        <v>0</v>
      </c>
      <c r="DA178" s="37">
        <v>0</v>
      </c>
      <c r="DB178" s="37">
        <v>0</v>
      </c>
      <c r="DC178" s="37">
        <v>0</v>
      </c>
      <c r="DD178" s="37">
        <v>0</v>
      </c>
      <c r="DE178" s="37">
        <v>0</v>
      </c>
      <c r="DF178" s="37">
        <v>0</v>
      </c>
      <c r="DG178" s="37">
        <v>0</v>
      </c>
      <c r="DH178" s="37">
        <v>0</v>
      </c>
      <c r="DI178" s="37">
        <v>0</v>
      </c>
      <c r="DJ178" s="37">
        <v>0</v>
      </c>
      <c r="DK178" s="37">
        <v>0</v>
      </c>
      <c r="DL178" s="37">
        <v>0</v>
      </c>
      <c r="DM178" s="37">
        <v>0</v>
      </c>
      <c r="DN178" s="37">
        <v>0</v>
      </c>
      <c r="DO178" s="37">
        <v>0</v>
      </c>
      <c r="DP178" s="37">
        <v>0</v>
      </c>
      <c r="DQ178" s="37">
        <v>0</v>
      </c>
      <c r="DR178" s="37">
        <v>0</v>
      </c>
      <c r="DS178" s="37">
        <v>0</v>
      </c>
      <c r="DT178" s="37">
        <v>0</v>
      </c>
      <c r="DU178" s="37">
        <v>0</v>
      </c>
      <c r="DV178" s="37">
        <v>0</v>
      </c>
      <c r="DW178" s="37">
        <v>0</v>
      </c>
      <c r="DX178" s="37">
        <v>0</v>
      </c>
      <c r="DY178" s="37">
        <v>0</v>
      </c>
      <c r="DZ178" s="37">
        <v>0</v>
      </c>
      <c r="EA178" s="37">
        <v>0</v>
      </c>
      <c r="EB178" s="37">
        <v>0</v>
      </c>
      <c r="EC178" s="37">
        <v>0</v>
      </c>
      <c r="ED178" s="37">
        <v>0</v>
      </c>
      <c r="EE178" s="37">
        <v>0</v>
      </c>
      <c r="EF178" s="37">
        <v>0</v>
      </c>
      <c r="EG178" s="37">
        <v>0</v>
      </c>
      <c r="EH178" s="37">
        <v>0</v>
      </c>
      <c r="EI178" s="37">
        <v>0</v>
      </c>
      <c r="EJ178" s="37">
        <v>0</v>
      </c>
      <c r="EK178" s="161" t="s">
        <v>1763</v>
      </c>
      <c r="EL178" s="294" t="s">
        <v>1124</v>
      </c>
    </row>
    <row r="179" spans="1:142" ht="15" customHeight="1" x14ac:dyDescent="0.35">
      <c r="A179" s="34"/>
      <c r="B179" s="313">
        <v>97035</v>
      </c>
      <c r="C179" s="8" t="s">
        <v>1004</v>
      </c>
      <c r="D179" s="18">
        <v>9</v>
      </c>
      <c r="E179" s="155">
        <v>463318</v>
      </c>
      <c r="F179" s="36">
        <v>373056</v>
      </c>
      <c r="G179" s="37">
        <v>214883</v>
      </c>
      <c r="H179" s="37">
        <v>68136</v>
      </c>
      <c r="I179" s="37">
        <v>252000</v>
      </c>
      <c r="J179" s="37">
        <v>420940</v>
      </c>
      <c r="K179" s="37">
        <v>0</v>
      </c>
      <c r="L179" s="37">
        <v>0</v>
      </c>
      <c r="M179" s="37">
        <v>930201</v>
      </c>
      <c r="N179" s="37">
        <v>862132</v>
      </c>
      <c r="O179" s="37">
        <v>0</v>
      </c>
      <c r="P179" s="37">
        <v>0</v>
      </c>
      <c r="Q179" s="37">
        <v>0</v>
      </c>
      <c r="R179" s="37">
        <v>0</v>
      </c>
      <c r="S179" s="37">
        <v>6153</v>
      </c>
      <c r="T179" s="37">
        <v>27575</v>
      </c>
      <c r="U179" s="37">
        <v>189291</v>
      </c>
      <c r="V179" s="37">
        <v>356835</v>
      </c>
      <c r="W179" s="37">
        <v>734757</v>
      </c>
      <c r="X179" s="37">
        <v>477722</v>
      </c>
      <c r="Y179" s="37">
        <v>0</v>
      </c>
      <c r="Z179" s="37">
        <v>0</v>
      </c>
      <c r="AA179" s="37">
        <v>930201</v>
      </c>
      <c r="AB179" s="37">
        <v>862132</v>
      </c>
      <c r="AC179" s="37">
        <v>0</v>
      </c>
      <c r="AD179" s="37">
        <v>0</v>
      </c>
      <c r="AE179" s="37">
        <v>0</v>
      </c>
      <c r="AF179" s="168">
        <v>0.02</v>
      </c>
      <c r="AG179" s="37">
        <v>64827425.640000001</v>
      </c>
      <c r="AH179" s="37">
        <v>758180.27</v>
      </c>
      <c r="AI179" s="37">
        <v>773343.88</v>
      </c>
      <c r="AJ179" s="37">
        <v>475754.4</v>
      </c>
      <c r="AK179" s="37">
        <v>485269.48</v>
      </c>
      <c r="AL179" s="37">
        <v>494974.87</v>
      </c>
      <c r="AM179" s="37">
        <v>504874.37</v>
      </c>
      <c r="AN179" s="37">
        <v>514971.86</v>
      </c>
      <c r="AO179" s="37">
        <v>525271.30000000005</v>
      </c>
      <c r="AP179" s="37">
        <v>535776.72</v>
      </c>
      <c r="AQ179" s="37">
        <v>546492.26</v>
      </c>
      <c r="AR179" s="37">
        <v>5614909.4100000001</v>
      </c>
      <c r="AS179" s="37">
        <v>2759904.78</v>
      </c>
      <c r="AT179" s="37">
        <v>45900</v>
      </c>
      <c r="AU179" s="37">
        <v>3329280</v>
      </c>
      <c r="AV179" s="37">
        <v>3395865.6</v>
      </c>
      <c r="AW179" s="37">
        <v>3463782.91</v>
      </c>
      <c r="AX179" s="37">
        <v>3533058.57</v>
      </c>
      <c r="AY179" s="37">
        <v>3603719.74</v>
      </c>
      <c r="AZ179" s="37">
        <v>0</v>
      </c>
      <c r="BA179" s="37">
        <v>0</v>
      </c>
      <c r="BB179" s="37">
        <v>0</v>
      </c>
      <c r="BC179" s="37">
        <v>0</v>
      </c>
      <c r="BD179" s="37">
        <v>17371606.82</v>
      </c>
      <c r="BE179" s="37">
        <v>0</v>
      </c>
      <c r="BF179" s="37">
        <v>0</v>
      </c>
      <c r="BG179" s="37">
        <v>0</v>
      </c>
      <c r="BH179" s="37">
        <v>0</v>
      </c>
      <c r="BI179" s="37">
        <v>0</v>
      </c>
      <c r="BJ179" s="37">
        <v>0</v>
      </c>
      <c r="BK179" s="37">
        <v>0</v>
      </c>
      <c r="BL179" s="37">
        <v>0</v>
      </c>
      <c r="BM179" s="37">
        <v>0</v>
      </c>
      <c r="BN179" s="37">
        <v>0</v>
      </c>
      <c r="BO179" s="37">
        <v>0</v>
      </c>
      <c r="BP179" s="37">
        <v>0</v>
      </c>
      <c r="BQ179" s="37">
        <v>0</v>
      </c>
      <c r="BR179" s="37">
        <v>0</v>
      </c>
      <c r="BS179" s="37">
        <v>0</v>
      </c>
      <c r="BT179" s="37">
        <v>0</v>
      </c>
      <c r="BU179" s="37">
        <v>0</v>
      </c>
      <c r="BV179" s="37">
        <v>0</v>
      </c>
      <c r="BW179" s="37">
        <v>0</v>
      </c>
      <c r="BX179" s="37">
        <v>0</v>
      </c>
      <c r="BY179" s="37">
        <v>0</v>
      </c>
      <c r="BZ179" s="37">
        <v>0</v>
      </c>
      <c r="CA179" s="37">
        <v>0</v>
      </c>
      <c r="CB179" s="37">
        <v>0</v>
      </c>
      <c r="CC179" s="37">
        <v>0</v>
      </c>
      <c r="CD179" s="37">
        <v>0</v>
      </c>
      <c r="CE179" s="37">
        <v>0</v>
      </c>
      <c r="CF179" s="37">
        <v>0</v>
      </c>
      <c r="CG179" s="37">
        <v>0</v>
      </c>
      <c r="CH179" s="37">
        <v>0</v>
      </c>
      <c r="CI179" s="37">
        <v>0</v>
      </c>
      <c r="CJ179" s="37">
        <v>0</v>
      </c>
      <c r="CK179" s="37">
        <v>0</v>
      </c>
      <c r="CL179" s="37">
        <v>0</v>
      </c>
      <c r="CM179" s="37">
        <v>0</v>
      </c>
      <c r="CN179" s="37">
        <v>0</v>
      </c>
      <c r="CO179" s="37">
        <v>0</v>
      </c>
      <c r="CP179" s="37">
        <v>0</v>
      </c>
      <c r="CQ179" s="37">
        <v>0</v>
      </c>
      <c r="CR179" s="37">
        <v>0</v>
      </c>
      <c r="CS179" s="37">
        <v>0</v>
      </c>
      <c r="CT179" s="37">
        <v>0</v>
      </c>
      <c r="CU179" s="37">
        <v>0</v>
      </c>
      <c r="CV179" s="37">
        <v>0</v>
      </c>
      <c r="CW179" s="37">
        <v>0</v>
      </c>
      <c r="CX179" s="37">
        <v>0</v>
      </c>
      <c r="CY179" s="37">
        <v>0</v>
      </c>
      <c r="CZ179" s="37">
        <v>0</v>
      </c>
      <c r="DA179" s="37">
        <v>0</v>
      </c>
      <c r="DB179" s="37">
        <v>0</v>
      </c>
      <c r="DC179" s="37">
        <v>0</v>
      </c>
      <c r="DD179" s="37">
        <v>0</v>
      </c>
      <c r="DE179" s="37">
        <v>0</v>
      </c>
      <c r="DF179" s="37">
        <v>0</v>
      </c>
      <c r="DG179" s="37">
        <v>0</v>
      </c>
      <c r="DH179" s="37">
        <v>0</v>
      </c>
      <c r="DI179" s="37">
        <v>0</v>
      </c>
      <c r="DJ179" s="37">
        <v>0</v>
      </c>
      <c r="DK179" s="37">
        <v>0</v>
      </c>
      <c r="DL179" s="37">
        <v>0</v>
      </c>
      <c r="DM179" s="37">
        <v>0</v>
      </c>
      <c r="DN179" s="37">
        <v>0</v>
      </c>
      <c r="DO179" s="37">
        <v>0</v>
      </c>
      <c r="DP179" s="37">
        <v>0</v>
      </c>
      <c r="DQ179" s="37">
        <v>0</v>
      </c>
      <c r="DR179" s="37">
        <v>0</v>
      </c>
      <c r="DS179" s="37">
        <v>0</v>
      </c>
      <c r="DT179" s="37">
        <v>0</v>
      </c>
      <c r="DU179" s="37">
        <v>0</v>
      </c>
      <c r="DV179" s="37">
        <v>0</v>
      </c>
      <c r="DW179" s="37">
        <v>0</v>
      </c>
      <c r="DX179" s="37">
        <v>0</v>
      </c>
      <c r="DY179" s="37">
        <v>0</v>
      </c>
      <c r="DZ179" s="37">
        <v>0</v>
      </c>
      <c r="EA179" s="37">
        <v>0</v>
      </c>
      <c r="EB179" s="37">
        <v>0</v>
      </c>
      <c r="EC179" s="37">
        <v>0</v>
      </c>
      <c r="ED179" s="37">
        <v>0</v>
      </c>
      <c r="EE179" s="37">
        <v>0</v>
      </c>
      <c r="EF179" s="37">
        <v>0</v>
      </c>
      <c r="EG179" s="37">
        <v>0</v>
      </c>
      <c r="EH179" s="37">
        <v>0</v>
      </c>
      <c r="EI179" s="37">
        <v>0</v>
      </c>
      <c r="EJ179" s="37">
        <v>0</v>
      </c>
      <c r="EK179" s="161" t="s">
        <v>1766</v>
      </c>
      <c r="EL179" s="294" t="s">
        <v>1124</v>
      </c>
    </row>
    <row r="180" spans="1:142" ht="15" customHeight="1" x14ac:dyDescent="0.35">
      <c r="A180" s="34"/>
      <c r="B180" s="313">
        <v>95045</v>
      </c>
      <c r="C180" s="8" t="s">
        <v>992</v>
      </c>
      <c r="D180" s="18">
        <v>9</v>
      </c>
      <c r="E180" s="155"/>
      <c r="F180" s="36"/>
      <c r="G180" s="37"/>
      <c r="H180" s="37"/>
      <c r="I180" s="37"/>
      <c r="J180" s="37"/>
      <c r="K180" s="37"/>
      <c r="L180" s="37"/>
      <c r="M180" s="37" t="s">
        <v>1124</v>
      </c>
      <c r="N180" s="37" t="s">
        <v>1124</v>
      </c>
      <c r="O180" s="37"/>
      <c r="P180" s="37"/>
      <c r="Q180" s="37"/>
      <c r="R180" s="37"/>
      <c r="S180" s="37"/>
      <c r="T180" s="37"/>
      <c r="U180" s="37"/>
      <c r="V180" s="37"/>
      <c r="W180" s="37"/>
      <c r="X180" s="37"/>
      <c r="Y180" s="37"/>
      <c r="Z180" s="37"/>
      <c r="AA180" s="37" t="s">
        <v>1124</v>
      </c>
      <c r="AB180" s="37" t="s">
        <v>1124</v>
      </c>
      <c r="AC180" s="37"/>
      <c r="AD180" s="37"/>
      <c r="AE180" s="37"/>
      <c r="AF180" s="168"/>
      <c r="AG180" s="37"/>
      <c r="AH180" s="37"/>
      <c r="AI180" s="37"/>
      <c r="AJ180" s="37"/>
      <c r="AK180" s="37"/>
      <c r="AL180" s="37"/>
      <c r="AM180" s="37"/>
      <c r="AN180" s="37"/>
      <c r="AO180" s="37"/>
      <c r="AP180" s="37"/>
      <c r="AQ180" s="37"/>
      <c r="AR180" s="37" t="s">
        <v>1124</v>
      </c>
      <c r="AS180" s="37"/>
      <c r="AT180" s="37"/>
      <c r="AU180" s="37"/>
      <c r="AV180" s="37"/>
      <c r="AW180" s="37"/>
      <c r="AX180" s="37"/>
      <c r="AY180" s="37"/>
      <c r="AZ180" s="37"/>
      <c r="BA180" s="37"/>
      <c r="BB180" s="37"/>
      <c r="BC180" s="37"/>
      <c r="BD180" s="37" t="s">
        <v>1124</v>
      </c>
      <c r="BE180" s="37"/>
      <c r="BF180" s="37"/>
      <c r="BG180" s="37"/>
      <c r="BH180" s="37"/>
      <c r="BI180" s="37"/>
      <c r="BJ180" s="37"/>
      <c r="BK180" s="37"/>
      <c r="BL180" s="37"/>
      <c r="BM180" s="37"/>
      <c r="BN180" s="37"/>
      <c r="BO180" s="37"/>
      <c r="BP180" s="37">
        <v>0</v>
      </c>
      <c r="BQ180" s="37"/>
      <c r="BR180" s="37"/>
      <c r="BS180" s="37"/>
      <c r="BT180" s="37"/>
      <c r="BU180" s="37"/>
      <c r="BV180" s="37"/>
      <c r="BW180" s="37"/>
      <c r="BX180" s="37"/>
      <c r="BY180" s="37"/>
      <c r="BZ180" s="37"/>
      <c r="CA180" s="37"/>
      <c r="CB180" s="37" t="s">
        <v>1124</v>
      </c>
      <c r="CC180" s="37"/>
      <c r="CD180" s="37"/>
      <c r="CE180" s="37"/>
      <c r="CF180" s="37"/>
      <c r="CG180" s="37"/>
      <c r="CH180" s="37"/>
      <c r="CI180" s="37"/>
      <c r="CJ180" s="37"/>
      <c r="CK180" s="37"/>
      <c r="CL180" s="37"/>
      <c r="CM180" s="37"/>
      <c r="CN180" s="37" t="s">
        <v>1124</v>
      </c>
      <c r="CO180" s="37"/>
      <c r="CP180" s="37"/>
      <c r="CQ180" s="37"/>
      <c r="CR180" s="37"/>
      <c r="CS180" s="37"/>
      <c r="CT180" s="37"/>
      <c r="CU180" s="37"/>
      <c r="CV180" s="37"/>
      <c r="CW180" s="37"/>
      <c r="CX180" s="37"/>
      <c r="CY180" s="37"/>
      <c r="CZ180" s="37" t="s">
        <v>1124</v>
      </c>
      <c r="DA180" s="37"/>
      <c r="DB180" s="37"/>
      <c r="DC180" s="37"/>
      <c r="DD180" s="37"/>
      <c r="DE180" s="37"/>
      <c r="DF180" s="37"/>
      <c r="DG180" s="37"/>
      <c r="DH180" s="37"/>
      <c r="DI180" s="37"/>
      <c r="DJ180" s="37"/>
      <c r="DK180" s="37"/>
      <c r="DL180" s="37" t="s">
        <v>1124</v>
      </c>
      <c r="DM180" s="37"/>
      <c r="DN180" s="37"/>
      <c r="DO180" s="37"/>
      <c r="DP180" s="37"/>
      <c r="DQ180" s="37"/>
      <c r="DR180" s="37"/>
      <c r="DS180" s="37"/>
      <c r="DT180" s="37"/>
      <c r="DU180" s="37"/>
      <c r="DV180" s="37"/>
      <c r="DW180" s="37"/>
      <c r="DX180" s="37" t="s">
        <v>1124</v>
      </c>
      <c r="DY180" s="37"/>
      <c r="DZ180" s="37"/>
      <c r="EA180" s="37"/>
      <c r="EB180" s="37"/>
      <c r="EC180" s="37"/>
      <c r="ED180" s="37"/>
      <c r="EE180" s="37"/>
      <c r="EF180" s="37"/>
      <c r="EG180" s="37"/>
      <c r="EH180" s="37"/>
      <c r="EI180" s="37"/>
      <c r="EJ180" s="37" t="s">
        <v>1124</v>
      </c>
      <c r="EK180" s="161"/>
      <c r="EL180" s="294"/>
    </row>
    <row r="181" spans="1:142" ht="15" customHeight="1" x14ac:dyDescent="0.35">
      <c r="A181" s="34"/>
      <c r="B181" s="313">
        <v>84060</v>
      </c>
      <c r="C181" s="8" t="s">
        <v>863</v>
      </c>
      <c r="D181" s="18">
        <v>7</v>
      </c>
      <c r="E181" s="155"/>
      <c r="F181" s="36"/>
      <c r="G181" s="37"/>
      <c r="H181" s="37"/>
      <c r="I181" s="37"/>
      <c r="J181" s="37"/>
      <c r="K181" s="37"/>
      <c r="L181" s="37"/>
      <c r="M181" s="37" t="s">
        <v>1124</v>
      </c>
      <c r="N181" s="37" t="s">
        <v>1124</v>
      </c>
      <c r="O181" s="37"/>
      <c r="P181" s="37"/>
      <c r="Q181" s="37"/>
      <c r="R181" s="37"/>
      <c r="S181" s="37"/>
      <c r="T181" s="37"/>
      <c r="U181" s="37"/>
      <c r="V181" s="37"/>
      <c r="W181" s="37"/>
      <c r="X181" s="37"/>
      <c r="Y181" s="37"/>
      <c r="Z181" s="37"/>
      <c r="AA181" s="37" t="s">
        <v>1124</v>
      </c>
      <c r="AB181" s="37" t="s">
        <v>1124</v>
      </c>
      <c r="AC181" s="37"/>
      <c r="AD181" s="37"/>
      <c r="AE181" s="37"/>
      <c r="AF181" s="168"/>
      <c r="AG181" s="37"/>
      <c r="AH181" s="37"/>
      <c r="AI181" s="37"/>
      <c r="AJ181" s="37"/>
      <c r="AK181" s="37"/>
      <c r="AL181" s="37"/>
      <c r="AM181" s="37"/>
      <c r="AN181" s="37"/>
      <c r="AO181" s="37"/>
      <c r="AP181" s="37"/>
      <c r="AQ181" s="37"/>
      <c r="AR181" s="37" t="s">
        <v>1124</v>
      </c>
      <c r="AS181" s="37"/>
      <c r="AT181" s="37"/>
      <c r="AU181" s="37"/>
      <c r="AV181" s="37"/>
      <c r="AW181" s="37"/>
      <c r="AX181" s="37"/>
      <c r="AY181" s="37"/>
      <c r="AZ181" s="37"/>
      <c r="BA181" s="37"/>
      <c r="BB181" s="37"/>
      <c r="BC181" s="37"/>
      <c r="BD181" s="37" t="s">
        <v>1124</v>
      </c>
      <c r="BE181" s="37"/>
      <c r="BF181" s="37"/>
      <c r="BG181" s="37"/>
      <c r="BH181" s="37"/>
      <c r="BI181" s="37"/>
      <c r="BJ181" s="37"/>
      <c r="BK181" s="37"/>
      <c r="BL181" s="37"/>
      <c r="BM181" s="37"/>
      <c r="BN181" s="37"/>
      <c r="BO181" s="37"/>
      <c r="BP181" s="37">
        <v>0</v>
      </c>
      <c r="BQ181" s="37"/>
      <c r="BR181" s="37"/>
      <c r="BS181" s="37"/>
      <c r="BT181" s="37"/>
      <c r="BU181" s="37"/>
      <c r="BV181" s="37"/>
      <c r="BW181" s="37"/>
      <c r="BX181" s="37"/>
      <c r="BY181" s="37"/>
      <c r="BZ181" s="37"/>
      <c r="CA181" s="37"/>
      <c r="CB181" s="37" t="s">
        <v>1124</v>
      </c>
      <c r="CC181" s="37"/>
      <c r="CD181" s="37"/>
      <c r="CE181" s="37"/>
      <c r="CF181" s="37"/>
      <c r="CG181" s="37"/>
      <c r="CH181" s="37"/>
      <c r="CI181" s="37"/>
      <c r="CJ181" s="37"/>
      <c r="CK181" s="37"/>
      <c r="CL181" s="37"/>
      <c r="CM181" s="37"/>
      <c r="CN181" s="37" t="s">
        <v>1124</v>
      </c>
      <c r="CO181" s="37"/>
      <c r="CP181" s="37"/>
      <c r="CQ181" s="37"/>
      <c r="CR181" s="37"/>
      <c r="CS181" s="37"/>
      <c r="CT181" s="37"/>
      <c r="CU181" s="37"/>
      <c r="CV181" s="37"/>
      <c r="CW181" s="37"/>
      <c r="CX181" s="37"/>
      <c r="CY181" s="37"/>
      <c r="CZ181" s="37" t="s">
        <v>1124</v>
      </c>
      <c r="DA181" s="37"/>
      <c r="DB181" s="37"/>
      <c r="DC181" s="37"/>
      <c r="DD181" s="37"/>
      <c r="DE181" s="37"/>
      <c r="DF181" s="37"/>
      <c r="DG181" s="37"/>
      <c r="DH181" s="37"/>
      <c r="DI181" s="37"/>
      <c r="DJ181" s="37"/>
      <c r="DK181" s="37"/>
      <c r="DL181" s="37" t="s">
        <v>1124</v>
      </c>
      <c r="DM181" s="37"/>
      <c r="DN181" s="37"/>
      <c r="DO181" s="37"/>
      <c r="DP181" s="37"/>
      <c r="DQ181" s="37"/>
      <c r="DR181" s="37"/>
      <c r="DS181" s="37"/>
      <c r="DT181" s="37"/>
      <c r="DU181" s="37"/>
      <c r="DV181" s="37"/>
      <c r="DW181" s="37"/>
      <c r="DX181" s="37" t="s">
        <v>1124</v>
      </c>
      <c r="DY181" s="37"/>
      <c r="DZ181" s="37"/>
      <c r="EA181" s="37"/>
      <c r="EB181" s="37"/>
      <c r="EC181" s="37"/>
      <c r="ED181" s="37"/>
      <c r="EE181" s="37"/>
      <c r="EF181" s="37"/>
      <c r="EG181" s="37"/>
      <c r="EH181" s="37"/>
      <c r="EI181" s="37"/>
      <c r="EJ181" s="37" t="s">
        <v>1124</v>
      </c>
      <c r="EK181" s="161"/>
      <c r="EL181" s="294"/>
    </row>
    <row r="182" spans="1:142" ht="15" customHeight="1" x14ac:dyDescent="0.35">
      <c r="A182" s="34"/>
      <c r="B182" s="313">
        <v>38047</v>
      </c>
      <c r="C182" s="8" t="s">
        <v>332</v>
      </c>
      <c r="D182" s="18">
        <v>17</v>
      </c>
      <c r="E182" s="155">
        <v>70797</v>
      </c>
      <c r="F182" s="36">
        <v>26334</v>
      </c>
      <c r="G182" s="37">
        <v>9606</v>
      </c>
      <c r="H182" s="37">
        <v>9823</v>
      </c>
      <c r="I182" s="37">
        <v>148400</v>
      </c>
      <c r="J182" s="37">
        <v>37100</v>
      </c>
      <c r="K182" s="37">
        <v>10619.55</v>
      </c>
      <c r="L182" s="37">
        <v>3950.1</v>
      </c>
      <c r="M182" s="37">
        <v>239422.55</v>
      </c>
      <c r="N182" s="37">
        <v>77207.100000000006</v>
      </c>
      <c r="O182" s="37">
        <v>0</v>
      </c>
      <c r="P182" s="37">
        <v>0</v>
      </c>
      <c r="Q182" s="37">
        <v>68317</v>
      </c>
      <c r="R182" s="37">
        <v>33870</v>
      </c>
      <c r="S182" s="37">
        <v>0</v>
      </c>
      <c r="T182" s="37">
        <v>0</v>
      </c>
      <c r="U182" s="37">
        <v>5421</v>
      </c>
      <c r="V182" s="37">
        <v>11241</v>
      </c>
      <c r="W182" s="37">
        <v>197781</v>
      </c>
      <c r="X182" s="37">
        <v>0</v>
      </c>
      <c r="Y182" s="37">
        <v>0</v>
      </c>
      <c r="Z182" s="37">
        <v>0</v>
      </c>
      <c r="AA182" s="37">
        <v>271519</v>
      </c>
      <c r="AB182" s="37">
        <v>45111</v>
      </c>
      <c r="AC182" s="37">
        <v>0.34999999997671694</v>
      </c>
      <c r="AD182" s="37">
        <v>0</v>
      </c>
      <c r="AE182" s="37">
        <v>0</v>
      </c>
      <c r="AF182" s="168">
        <v>0.02</v>
      </c>
      <c r="AG182" s="37">
        <v>11248060.050000001</v>
      </c>
      <c r="AH182" s="37">
        <v>80044.98</v>
      </c>
      <c r="AI182" s="37">
        <v>80584.67</v>
      </c>
      <c r="AJ182" s="37">
        <v>81655.149999999994</v>
      </c>
      <c r="AK182" s="37">
        <v>83288.25</v>
      </c>
      <c r="AL182" s="37">
        <v>82701.69</v>
      </c>
      <c r="AM182" s="37">
        <v>97144.42</v>
      </c>
      <c r="AN182" s="37">
        <v>87761.27</v>
      </c>
      <c r="AO182" s="37">
        <v>89516.5</v>
      </c>
      <c r="AP182" s="37">
        <v>87853.01</v>
      </c>
      <c r="AQ182" s="37">
        <v>89610.07</v>
      </c>
      <c r="AR182" s="37">
        <v>860160.01000000013</v>
      </c>
      <c r="AS182" s="37">
        <v>0</v>
      </c>
      <c r="AT182" s="37">
        <v>0</v>
      </c>
      <c r="AU182" s="37">
        <v>0</v>
      </c>
      <c r="AV182" s="37">
        <v>0</v>
      </c>
      <c r="AW182" s="37">
        <v>0</v>
      </c>
      <c r="AX182" s="37">
        <v>0</v>
      </c>
      <c r="AY182" s="37">
        <v>1693838.37</v>
      </c>
      <c r="AZ182" s="37">
        <v>4686.6400000000003</v>
      </c>
      <c r="BA182" s="37">
        <v>4780.37</v>
      </c>
      <c r="BB182" s="37">
        <v>4875.9799999999996</v>
      </c>
      <c r="BC182" s="37">
        <v>4973.5</v>
      </c>
      <c r="BD182" s="37">
        <v>1713154.86</v>
      </c>
      <c r="BE182" s="37">
        <v>36435</v>
      </c>
      <c r="BF182" s="37">
        <v>3100</v>
      </c>
      <c r="BG182" s="37">
        <v>0</v>
      </c>
      <c r="BH182" s="37">
        <v>0</v>
      </c>
      <c r="BI182" s="37">
        <v>0</v>
      </c>
      <c r="BJ182" s="37">
        <v>0</v>
      </c>
      <c r="BK182" s="37">
        <v>0</v>
      </c>
      <c r="BL182" s="37">
        <v>0</v>
      </c>
      <c r="BM182" s="37">
        <v>0</v>
      </c>
      <c r="BN182" s="37">
        <v>0</v>
      </c>
      <c r="BO182" s="37">
        <v>0</v>
      </c>
      <c r="BP182" s="37">
        <v>3100</v>
      </c>
      <c r="BQ182" s="37">
        <v>0</v>
      </c>
      <c r="BR182" s="37">
        <v>0</v>
      </c>
      <c r="BS182" s="37">
        <v>0</v>
      </c>
      <c r="BT182" s="37">
        <v>0</v>
      </c>
      <c r="BU182" s="37">
        <v>0</v>
      </c>
      <c r="BV182" s="37">
        <v>0</v>
      </c>
      <c r="BW182" s="37">
        <v>0</v>
      </c>
      <c r="BX182" s="37">
        <v>0</v>
      </c>
      <c r="BY182" s="37">
        <v>0</v>
      </c>
      <c r="BZ182" s="37">
        <v>0</v>
      </c>
      <c r="CA182" s="37">
        <v>0</v>
      </c>
      <c r="CB182" s="37">
        <v>0</v>
      </c>
      <c r="CC182" s="37">
        <v>0</v>
      </c>
      <c r="CD182" s="37">
        <v>0</v>
      </c>
      <c r="CE182" s="37">
        <v>0</v>
      </c>
      <c r="CF182" s="37">
        <v>0</v>
      </c>
      <c r="CG182" s="37">
        <v>0</v>
      </c>
      <c r="CH182" s="37">
        <v>0</v>
      </c>
      <c r="CI182" s="37">
        <v>0</v>
      </c>
      <c r="CJ182" s="37">
        <v>0</v>
      </c>
      <c r="CK182" s="37">
        <v>0</v>
      </c>
      <c r="CL182" s="37">
        <v>0</v>
      </c>
      <c r="CM182" s="37">
        <v>0</v>
      </c>
      <c r="CN182" s="37">
        <v>0</v>
      </c>
      <c r="CO182" s="37">
        <v>0</v>
      </c>
      <c r="CP182" s="37">
        <v>0</v>
      </c>
      <c r="CQ182" s="37">
        <v>0</v>
      </c>
      <c r="CR182" s="37">
        <v>0</v>
      </c>
      <c r="CS182" s="37">
        <v>0</v>
      </c>
      <c r="CT182" s="37">
        <v>0</v>
      </c>
      <c r="CU182" s="37">
        <v>0</v>
      </c>
      <c r="CV182" s="37">
        <v>0</v>
      </c>
      <c r="CW182" s="37">
        <v>0</v>
      </c>
      <c r="CX182" s="37">
        <v>0</v>
      </c>
      <c r="CY182" s="37">
        <v>0</v>
      </c>
      <c r="CZ182" s="37">
        <v>0</v>
      </c>
      <c r="DA182" s="37">
        <v>0</v>
      </c>
      <c r="DB182" s="37">
        <v>0</v>
      </c>
      <c r="DC182" s="37">
        <v>0</v>
      </c>
      <c r="DD182" s="37">
        <v>0</v>
      </c>
      <c r="DE182" s="37">
        <v>0</v>
      </c>
      <c r="DF182" s="37">
        <v>0</v>
      </c>
      <c r="DG182" s="37">
        <v>0</v>
      </c>
      <c r="DH182" s="37">
        <v>0</v>
      </c>
      <c r="DI182" s="37">
        <v>0</v>
      </c>
      <c r="DJ182" s="37">
        <v>0</v>
      </c>
      <c r="DK182" s="37">
        <v>0</v>
      </c>
      <c r="DL182" s="37">
        <v>0</v>
      </c>
      <c r="DM182" s="37">
        <v>0</v>
      </c>
      <c r="DN182" s="37">
        <v>0</v>
      </c>
      <c r="DO182" s="37">
        <v>0</v>
      </c>
      <c r="DP182" s="37">
        <v>0</v>
      </c>
      <c r="DQ182" s="37">
        <v>0</v>
      </c>
      <c r="DR182" s="37">
        <v>0</v>
      </c>
      <c r="DS182" s="37">
        <v>0</v>
      </c>
      <c r="DT182" s="37">
        <v>0</v>
      </c>
      <c r="DU182" s="37">
        <v>0</v>
      </c>
      <c r="DV182" s="37">
        <v>0</v>
      </c>
      <c r="DW182" s="37">
        <v>0</v>
      </c>
      <c r="DX182" s="37">
        <v>0</v>
      </c>
      <c r="DY182" s="37">
        <v>0</v>
      </c>
      <c r="DZ182" s="37">
        <v>0</v>
      </c>
      <c r="EA182" s="37">
        <v>0</v>
      </c>
      <c r="EB182" s="37">
        <v>0</v>
      </c>
      <c r="EC182" s="37">
        <v>0</v>
      </c>
      <c r="ED182" s="37">
        <v>0</v>
      </c>
      <c r="EE182" s="37">
        <v>0</v>
      </c>
      <c r="EF182" s="37">
        <v>0</v>
      </c>
      <c r="EG182" s="37">
        <v>0</v>
      </c>
      <c r="EH182" s="37">
        <v>0</v>
      </c>
      <c r="EI182" s="37">
        <v>0</v>
      </c>
      <c r="EJ182" s="37">
        <v>0</v>
      </c>
      <c r="EK182" s="161" t="s">
        <v>1769</v>
      </c>
      <c r="EL182" s="294" t="s">
        <v>1124</v>
      </c>
    </row>
    <row r="183" spans="1:142" ht="15" customHeight="1" x14ac:dyDescent="0.35">
      <c r="A183" s="34"/>
      <c r="B183" s="314">
        <v>22010</v>
      </c>
      <c r="C183" s="8" t="s">
        <v>154</v>
      </c>
      <c r="D183" s="18">
        <v>3</v>
      </c>
      <c r="E183" s="155">
        <v>272028</v>
      </c>
      <c r="F183" s="36">
        <v>206667</v>
      </c>
      <c r="G183" s="37">
        <v>271273</v>
      </c>
      <c r="H183" s="37">
        <v>236991</v>
      </c>
      <c r="I183" s="37">
        <v>383508</v>
      </c>
      <c r="J183" s="37">
        <v>197891</v>
      </c>
      <c r="K183" s="37">
        <v>40804.199999999997</v>
      </c>
      <c r="L183" s="37">
        <v>31000.05</v>
      </c>
      <c r="M183" s="37">
        <v>967613.2</v>
      </c>
      <c r="N183" s="37">
        <v>672549.05</v>
      </c>
      <c r="O183" s="37">
        <v>12381</v>
      </c>
      <c r="P183" s="37">
        <v>0</v>
      </c>
      <c r="Q183" s="37">
        <v>295319</v>
      </c>
      <c r="R183" s="37">
        <v>277031</v>
      </c>
      <c r="S183" s="37">
        <v>11728</v>
      </c>
      <c r="T183" s="37">
        <v>0</v>
      </c>
      <c r="U183" s="37">
        <v>51178</v>
      </c>
      <c r="V183" s="37">
        <v>65571</v>
      </c>
      <c r="W183" s="37">
        <v>597007.19999999995</v>
      </c>
      <c r="X183" s="37">
        <v>329947.05000000005</v>
      </c>
      <c r="Y183" s="37">
        <v>0</v>
      </c>
      <c r="Z183" s="37">
        <v>0</v>
      </c>
      <c r="AA183" s="37">
        <v>967613.2</v>
      </c>
      <c r="AB183" s="37">
        <v>672549.05</v>
      </c>
      <c r="AC183" s="37">
        <v>0</v>
      </c>
      <c r="AD183" s="37">
        <v>0</v>
      </c>
      <c r="AE183" s="37">
        <v>100000</v>
      </c>
      <c r="AF183" s="168">
        <v>0.02</v>
      </c>
      <c r="AG183" s="37">
        <v>57967978.119999997</v>
      </c>
      <c r="AH183" s="37">
        <v>1555387.02</v>
      </c>
      <c r="AI183" s="37">
        <v>546094.76</v>
      </c>
      <c r="AJ183" s="37">
        <v>557016.65</v>
      </c>
      <c r="AK183" s="37">
        <v>568156.99</v>
      </c>
      <c r="AL183" s="37">
        <v>579520.13</v>
      </c>
      <c r="AM183" s="37">
        <v>591110.53</v>
      </c>
      <c r="AN183" s="37">
        <v>602932.74</v>
      </c>
      <c r="AO183" s="37">
        <v>614991.39</v>
      </c>
      <c r="AP183" s="37">
        <v>627291.22</v>
      </c>
      <c r="AQ183" s="37">
        <v>639836.88</v>
      </c>
      <c r="AR183" s="37">
        <v>6882338.3100000005</v>
      </c>
      <c r="AS183" s="37">
        <v>0</v>
      </c>
      <c r="AT183" s="37">
        <v>0</v>
      </c>
      <c r="AU183" s="37">
        <v>0</v>
      </c>
      <c r="AV183" s="37">
        <v>0</v>
      </c>
      <c r="AW183" s="37">
        <v>0</v>
      </c>
      <c r="AX183" s="37">
        <v>0</v>
      </c>
      <c r="AY183" s="37">
        <v>0</v>
      </c>
      <c r="AZ183" s="37">
        <v>0</v>
      </c>
      <c r="BA183" s="37">
        <v>0</v>
      </c>
      <c r="BB183" s="37">
        <v>0</v>
      </c>
      <c r="BC183" s="37">
        <v>0</v>
      </c>
      <c r="BD183" s="37">
        <v>0</v>
      </c>
      <c r="BE183" s="37">
        <v>0</v>
      </c>
      <c r="BF183" s="37">
        <v>732075</v>
      </c>
      <c r="BG183" s="37">
        <v>0</v>
      </c>
      <c r="BH183" s="37">
        <v>0</v>
      </c>
      <c r="BI183" s="37">
        <v>0</v>
      </c>
      <c r="BJ183" s="37">
        <v>0</v>
      </c>
      <c r="BK183" s="37">
        <v>0</v>
      </c>
      <c r="BL183" s="37">
        <v>0</v>
      </c>
      <c r="BM183" s="37">
        <v>0</v>
      </c>
      <c r="BN183" s="37">
        <v>0</v>
      </c>
      <c r="BO183" s="37">
        <v>0</v>
      </c>
      <c r="BP183" s="37">
        <v>732075</v>
      </c>
      <c r="BQ183" s="37">
        <v>0</v>
      </c>
      <c r="BR183" s="37">
        <v>267925</v>
      </c>
      <c r="BS183" s="37">
        <v>0</v>
      </c>
      <c r="BT183" s="37">
        <v>0</v>
      </c>
      <c r="BU183" s="37">
        <v>0</v>
      </c>
      <c r="BV183" s="37">
        <v>0</v>
      </c>
      <c r="BW183" s="37">
        <v>0</v>
      </c>
      <c r="BX183" s="37">
        <v>0</v>
      </c>
      <c r="BY183" s="37">
        <v>0</v>
      </c>
      <c r="BZ183" s="37">
        <v>0</v>
      </c>
      <c r="CA183" s="37">
        <v>0</v>
      </c>
      <c r="CB183" s="37">
        <v>267925</v>
      </c>
      <c r="CC183" s="37">
        <v>0</v>
      </c>
      <c r="CD183" s="37">
        <v>0</v>
      </c>
      <c r="CE183" s="37">
        <v>0</v>
      </c>
      <c r="CF183" s="37">
        <v>0</v>
      </c>
      <c r="CG183" s="37">
        <v>0</v>
      </c>
      <c r="CH183" s="37">
        <v>0</v>
      </c>
      <c r="CI183" s="37">
        <v>0</v>
      </c>
      <c r="CJ183" s="37">
        <v>0</v>
      </c>
      <c r="CK183" s="37">
        <v>0</v>
      </c>
      <c r="CL183" s="37">
        <v>0</v>
      </c>
      <c r="CM183" s="37">
        <v>0</v>
      </c>
      <c r="CN183" s="37">
        <v>0</v>
      </c>
      <c r="CO183" s="37">
        <v>0</v>
      </c>
      <c r="CP183" s="37">
        <v>0</v>
      </c>
      <c r="CQ183" s="37">
        <v>0</v>
      </c>
      <c r="CR183" s="37">
        <v>0</v>
      </c>
      <c r="CS183" s="37">
        <v>0</v>
      </c>
      <c r="CT183" s="37">
        <v>0</v>
      </c>
      <c r="CU183" s="37">
        <v>0</v>
      </c>
      <c r="CV183" s="37">
        <v>0</v>
      </c>
      <c r="CW183" s="37">
        <v>0</v>
      </c>
      <c r="CX183" s="37">
        <v>0</v>
      </c>
      <c r="CY183" s="37">
        <v>0</v>
      </c>
      <c r="CZ183" s="37">
        <v>0</v>
      </c>
      <c r="DA183" s="37">
        <v>0</v>
      </c>
      <c r="DB183" s="37">
        <v>0</v>
      </c>
      <c r="DC183" s="37">
        <v>0</v>
      </c>
      <c r="DD183" s="37">
        <v>0</v>
      </c>
      <c r="DE183" s="37">
        <v>0</v>
      </c>
      <c r="DF183" s="37">
        <v>0</v>
      </c>
      <c r="DG183" s="37">
        <v>0</v>
      </c>
      <c r="DH183" s="37">
        <v>0</v>
      </c>
      <c r="DI183" s="37">
        <v>0</v>
      </c>
      <c r="DJ183" s="37">
        <v>0</v>
      </c>
      <c r="DK183" s="37">
        <v>0</v>
      </c>
      <c r="DL183" s="37">
        <v>0</v>
      </c>
      <c r="DM183" s="37">
        <v>0</v>
      </c>
      <c r="DN183" s="37">
        <v>0</v>
      </c>
      <c r="DO183" s="37">
        <v>0</v>
      </c>
      <c r="DP183" s="37">
        <v>0</v>
      </c>
      <c r="DQ183" s="37">
        <v>0</v>
      </c>
      <c r="DR183" s="37">
        <v>0</v>
      </c>
      <c r="DS183" s="37">
        <v>0</v>
      </c>
      <c r="DT183" s="37">
        <v>0</v>
      </c>
      <c r="DU183" s="37">
        <v>0</v>
      </c>
      <c r="DV183" s="37">
        <v>0</v>
      </c>
      <c r="DW183" s="37">
        <v>0</v>
      </c>
      <c r="DX183" s="37">
        <v>0</v>
      </c>
      <c r="DY183" s="37">
        <v>0</v>
      </c>
      <c r="DZ183" s="37">
        <v>0</v>
      </c>
      <c r="EA183" s="37">
        <v>0</v>
      </c>
      <c r="EB183" s="37">
        <v>0</v>
      </c>
      <c r="EC183" s="37">
        <v>0</v>
      </c>
      <c r="ED183" s="37">
        <v>0</v>
      </c>
      <c r="EE183" s="37">
        <v>0</v>
      </c>
      <c r="EF183" s="37">
        <v>0</v>
      </c>
      <c r="EG183" s="37">
        <v>0</v>
      </c>
      <c r="EH183" s="37">
        <v>0</v>
      </c>
      <c r="EI183" s="37">
        <v>0</v>
      </c>
      <c r="EJ183" s="37">
        <v>0</v>
      </c>
      <c r="EK183" s="161" t="s">
        <v>1773</v>
      </c>
      <c r="EL183" s="294" t="s">
        <v>1124</v>
      </c>
    </row>
    <row r="184" spans="1:142" ht="15" customHeight="1" x14ac:dyDescent="0.35">
      <c r="A184" s="34"/>
      <c r="B184" s="313">
        <v>26005</v>
      </c>
      <c r="C184" s="8" t="s">
        <v>167</v>
      </c>
      <c r="D184" s="18">
        <v>12</v>
      </c>
      <c r="E184" s="155">
        <v>61876</v>
      </c>
      <c r="F184" s="36">
        <v>66181</v>
      </c>
      <c r="G184" s="37">
        <v>5012</v>
      </c>
      <c r="H184" s="37">
        <v>0</v>
      </c>
      <c r="I184" s="37">
        <v>36000</v>
      </c>
      <c r="J184" s="37">
        <v>0</v>
      </c>
      <c r="K184" s="37">
        <v>9281.4</v>
      </c>
      <c r="L184" s="37">
        <v>9927.15</v>
      </c>
      <c r="M184" s="37">
        <v>112169.4</v>
      </c>
      <c r="N184" s="37">
        <v>76108.149999999994</v>
      </c>
      <c r="O184" s="37">
        <v>0</v>
      </c>
      <c r="P184" s="37">
        <v>0</v>
      </c>
      <c r="Q184" s="37">
        <v>106455</v>
      </c>
      <c r="R184" s="37">
        <v>28029</v>
      </c>
      <c r="S184" s="37">
        <v>0</v>
      </c>
      <c r="T184" s="37">
        <v>0</v>
      </c>
      <c r="U184" s="37">
        <v>5679</v>
      </c>
      <c r="V184" s="37">
        <v>0</v>
      </c>
      <c r="W184" s="37">
        <v>35.399999999994179</v>
      </c>
      <c r="X184" s="37">
        <v>48079.149999999994</v>
      </c>
      <c r="Y184" s="37">
        <v>0</v>
      </c>
      <c r="Z184" s="37">
        <v>0</v>
      </c>
      <c r="AA184" s="37">
        <v>112169.4</v>
      </c>
      <c r="AB184" s="37">
        <v>76108.149999999994</v>
      </c>
      <c r="AC184" s="37">
        <v>0</v>
      </c>
      <c r="AD184" s="37">
        <v>0</v>
      </c>
      <c r="AE184" s="37">
        <v>0</v>
      </c>
      <c r="AF184" s="168">
        <v>0.02</v>
      </c>
      <c r="AG184" s="37">
        <v>18121560.710000001</v>
      </c>
      <c r="AH184" s="37">
        <v>145687.29</v>
      </c>
      <c r="AI184" s="37">
        <v>148601.03</v>
      </c>
      <c r="AJ184" s="37">
        <v>151573.04999999999</v>
      </c>
      <c r="AK184" s="37">
        <v>154604.51999999999</v>
      </c>
      <c r="AL184" s="37">
        <v>157696.60999999999</v>
      </c>
      <c r="AM184" s="37">
        <v>160850.54</v>
      </c>
      <c r="AN184" s="37">
        <v>164067.54999999999</v>
      </c>
      <c r="AO184" s="37">
        <v>167348.9</v>
      </c>
      <c r="AP184" s="37">
        <v>170695.88</v>
      </c>
      <c r="AQ184" s="37">
        <v>174109.79</v>
      </c>
      <c r="AR184" s="37">
        <v>1595235.1600000001</v>
      </c>
      <c r="AS184" s="37">
        <v>0</v>
      </c>
      <c r="AT184" s="37">
        <v>104040</v>
      </c>
      <c r="AU184" s="37">
        <v>0</v>
      </c>
      <c r="AV184" s="37">
        <v>0</v>
      </c>
      <c r="AW184" s="37">
        <v>0</v>
      </c>
      <c r="AX184" s="37">
        <v>0</v>
      </c>
      <c r="AY184" s="37">
        <v>0</v>
      </c>
      <c r="AZ184" s="37">
        <v>0</v>
      </c>
      <c r="BA184" s="37">
        <v>0</v>
      </c>
      <c r="BB184" s="37">
        <v>0</v>
      </c>
      <c r="BC184" s="37">
        <v>0</v>
      </c>
      <c r="BD184" s="37">
        <v>104040</v>
      </c>
      <c r="BE184" s="37">
        <v>0</v>
      </c>
      <c r="BF184" s="37">
        <v>0</v>
      </c>
      <c r="BG184" s="37">
        <v>0</v>
      </c>
      <c r="BH184" s="37">
        <v>0</v>
      </c>
      <c r="BI184" s="37">
        <v>0</v>
      </c>
      <c r="BJ184" s="37">
        <v>0</v>
      </c>
      <c r="BK184" s="37">
        <v>0</v>
      </c>
      <c r="BL184" s="37">
        <v>0</v>
      </c>
      <c r="BM184" s="37">
        <v>0</v>
      </c>
      <c r="BN184" s="37">
        <v>0</v>
      </c>
      <c r="BO184" s="37">
        <v>0</v>
      </c>
      <c r="BP184" s="37">
        <v>0</v>
      </c>
      <c r="BQ184" s="37">
        <v>0</v>
      </c>
      <c r="BR184" s="37">
        <v>0</v>
      </c>
      <c r="BS184" s="37">
        <v>0</v>
      </c>
      <c r="BT184" s="37">
        <v>0</v>
      </c>
      <c r="BU184" s="37">
        <v>0</v>
      </c>
      <c r="BV184" s="37">
        <v>0</v>
      </c>
      <c r="BW184" s="37">
        <v>0</v>
      </c>
      <c r="BX184" s="37">
        <v>0</v>
      </c>
      <c r="BY184" s="37">
        <v>0</v>
      </c>
      <c r="BZ184" s="37">
        <v>0</v>
      </c>
      <c r="CA184" s="37">
        <v>0</v>
      </c>
      <c r="CB184" s="37">
        <v>0</v>
      </c>
      <c r="CC184" s="37">
        <v>0</v>
      </c>
      <c r="CD184" s="37">
        <v>0</v>
      </c>
      <c r="CE184" s="37">
        <v>0</v>
      </c>
      <c r="CF184" s="37">
        <v>0</v>
      </c>
      <c r="CG184" s="37">
        <v>0</v>
      </c>
      <c r="CH184" s="37">
        <v>0</v>
      </c>
      <c r="CI184" s="37">
        <v>0</v>
      </c>
      <c r="CJ184" s="37">
        <v>0</v>
      </c>
      <c r="CK184" s="37">
        <v>0</v>
      </c>
      <c r="CL184" s="37">
        <v>0</v>
      </c>
      <c r="CM184" s="37">
        <v>0</v>
      </c>
      <c r="CN184" s="37">
        <v>0</v>
      </c>
      <c r="CO184" s="37">
        <v>0</v>
      </c>
      <c r="CP184" s="37">
        <v>0</v>
      </c>
      <c r="CQ184" s="37">
        <v>0</v>
      </c>
      <c r="CR184" s="37">
        <v>0</v>
      </c>
      <c r="CS184" s="37">
        <v>0</v>
      </c>
      <c r="CT184" s="37">
        <v>0</v>
      </c>
      <c r="CU184" s="37">
        <v>0</v>
      </c>
      <c r="CV184" s="37">
        <v>0</v>
      </c>
      <c r="CW184" s="37">
        <v>0</v>
      </c>
      <c r="CX184" s="37">
        <v>0</v>
      </c>
      <c r="CY184" s="37">
        <v>0</v>
      </c>
      <c r="CZ184" s="37">
        <v>0</v>
      </c>
      <c r="DA184" s="37">
        <v>0</v>
      </c>
      <c r="DB184" s="37">
        <v>0</v>
      </c>
      <c r="DC184" s="37">
        <v>0</v>
      </c>
      <c r="DD184" s="37">
        <v>0</v>
      </c>
      <c r="DE184" s="37">
        <v>0</v>
      </c>
      <c r="DF184" s="37">
        <v>0</v>
      </c>
      <c r="DG184" s="37">
        <v>0</v>
      </c>
      <c r="DH184" s="37">
        <v>0</v>
      </c>
      <c r="DI184" s="37">
        <v>0</v>
      </c>
      <c r="DJ184" s="37">
        <v>0</v>
      </c>
      <c r="DK184" s="37">
        <v>0</v>
      </c>
      <c r="DL184" s="37">
        <v>0</v>
      </c>
      <c r="DM184" s="37">
        <v>0</v>
      </c>
      <c r="DN184" s="37">
        <v>0</v>
      </c>
      <c r="DO184" s="37">
        <v>0</v>
      </c>
      <c r="DP184" s="37">
        <v>0</v>
      </c>
      <c r="DQ184" s="37">
        <v>0</v>
      </c>
      <c r="DR184" s="37">
        <v>0</v>
      </c>
      <c r="DS184" s="37">
        <v>0</v>
      </c>
      <c r="DT184" s="37">
        <v>0</v>
      </c>
      <c r="DU184" s="37">
        <v>0</v>
      </c>
      <c r="DV184" s="37">
        <v>0</v>
      </c>
      <c r="DW184" s="37">
        <v>0</v>
      </c>
      <c r="DX184" s="37">
        <v>0</v>
      </c>
      <c r="DY184" s="37">
        <v>0</v>
      </c>
      <c r="DZ184" s="37">
        <v>0</v>
      </c>
      <c r="EA184" s="37">
        <v>0</v>
      </c>
      <c r="EB184" s="37">
        <v>0</v>
      </c>
      <c r="EC184" s="37">
        <v>0</v>
      </c>
      <c r="ED184" s="37">
        <v>0</v>
      </c>
      <c r="EE184" s="37">
        <v>0</v>
      </c>
      <c r="EF184" s="37">
        <v>0</v>
      </c>
      <c r="EG184" s="37">
        <v>0</v>
      </c>
      <c r="EH184" s="37">
        <v>0</v>
      </c>
      <c r="EI184" s="37">
        <v>0</v>
      </c>
      <c r="EJ184" s="37">
        <v>0</v>
      </c>
      <c r="EK184" s="161" t="s">
        <v>1777</v>
      </c>
      <c r="EL184" s="294" t="s">
        <v>1124</v>
      </c>
    </row>
    <row r="185" spans="1:142" ht="15" customHeight="1" x14ac:dyDescent="0.35">
      <c r="A185" s="34"/>
      <c r="B185" s="313">
        <v>69010</v>
      </c>
      <c r="C185" s="8" t="s">
        <v>685</v>
      </c>
      <c r="D185" s="18">
        <v>16</v>
      </c>
      <c r="E185" s="155"/>
      <c r="F185" s="36"/>
      <c r="G185" s="37"/>
      <c r="H185" s="37"/>
      <c r="I185" s="37"/>
      <c r="J185" s="37"/>
      <c r="K185" s="37"/>
      <c r="L185" s="37"/>
      <c r="M185" s="37" t="s">
        <v>1124</v>
      </c>
      <c r="N185" s="37" t="s">
        <v>1124</v>
      </c>
      <c r="O185" s="37"/>
      <c r="P185" s="37"/>
      <c r="Q185" s="37"/>
      <c r="R185" s="37"/>
      <c r="S185" s="37"/>
      <c r="T185" s="37"/>
      <c r="U185" s="37"/>
      <c r="V185" s="37"/>
      <c r="W185" s="37"/>
      <c r="X185" s="37"/>
      <c r="Y185" s="37"/>
      <c r="Z185" s="37"/>
      <c r="AA185" s="37" t="s">
        <v>1124</v>
      </c>
      <c r="AB185" s="37" t="s">
        <v>1124</v>
      </c>
      <c r="AC185" s="37"/>
      <c r="AD185" s="37"/>
      <c r="AE185" s="37"/>
      <c r="AF185" s="168"/>
      <c r="AG185" s="37"/>
      <c r="AH185" s="37"/>
      <c r="AI185" s="37"/>
      <c r="AJ185" s="37"/>
      <c r="AK185" s="37"/>
      <c r="AL185" s="37"/>
      <c r="AM185" s="37"/>
      <c r="AN185" s="37"/>
      <c r="AO185" s="37"/>
      <c r="AP185" s="37"/>
      <c r="AQ185" s="37"/>
      <c r="AR185" s="37" t="s">
        <v>1124</v>
      </c>
      <c r="AS185" s="37"/>
      <c r="AT185" s="37"/>
      <c r="AU185" s="37"/>
      <c r="AV185" s="37"/>
      <c r="AW185" s="37"/>
      <c r="AX185" s="37"/>
      <c r="AY185" s="37"/>
      <c r="AZ185" s="37"/>
      <c r="BA185" s="37"/>
      <c r="BB185" s="37"/>
      <c r="BC185" s="37"/>
      <c r="BD185" s="37" t="s">
        <v>1124</v>
      </c>
      <c r="BE185" s="37"/>
      <c r="BF185" s="37"/>
      <c r="BG185" s="37"/>
      <c r="BH185" s="37"/>
      <c r="BI185" s="37"/>
      <c r="BJ185" s="37"/>
      <c r="BK185" s="37"/>
      <c r="BL185" s="37"/>
      <c r="BM185" s="37"/>
      <c r="BN185" s="37"/>
      <c r="BO185" s="37"/>
      <c r="BP185" s="37">
        <v>0</v>
      </c>
      <c r="BQ185" s="37"/>
      <c r="BR185" s="37"/>
      <c r="BS185" s="37"/>
      <c r="BT185" s="37"/>
      <c r="BU185" s="37"/>
      <c r="BV185" s="37"/>
      <c r="BW185" s="37"/>
      <c r="BX185" s="37"/>
      <c r="BY185" s="37"/>
      <c r="BZ185" s="37"/>
      <c r="CA185" s="37"/>
      <c r="CB185" s="37" t="s">
        <v>1124</v>
      </c>
      <c r="CC185" s="37"/>
      <c r="CD185" s="37"/>
      <c r="CE185" s="37"/>
      <c r="CF185" s="37"/>
      <c r="CG185" s="37"/>
      <c r="CH185" s="37"/>
      <c r="CI185" s="37"/>
      <c r="CJ185" s="37"/>
      <c r="CK185" s="37"/>
      <c r="CL185" s="37"/>
      <c r="CM185" s="37"/>
      <c r="CN185" s="37" t="s">
        <v>1124</v>
      </c>
      <c r="CO185" s="37"/>
      <c r="CP185" s="37"/>
      <c r="CQ185" s="37"/>
      <c r="CR185" s="37"/>
      <c r="CS185" s="37"/>
      <c r="CT185" s="37"/>
      <c r="CU185" s="37"/>
      <c r="CV185" s="37"/>
      <c r="CW185" s="37"/>
      <c r="CX185" s="37"/>
      <c r="CY185" s="37"/>
      <c r="CZ185" s="37" t="s">
        <v>1124</v>
      </c>
      <c r="DA185" s="37"/>
      <c r="DB185" s="37"/>
      <c r="DC185" s="37"/>
      <c r="DD185" s="37"/>
      <c r="DE185" s="37"/>
      <c r="DF185" s="37"/>
      <c r="DG185" s="37"/>
      <c r="DH185" s="37"/>
      <c r="DI185" s="37"/>
      <c r="DJ185" s="37"/>
      <c r="DK185" s="37"/>
      <c r="DL185" s="37" t="s">
        <v>1124</v>
      </c>
      <c r="DM185" s="37"/>
      <c r="DN185" s="37"/>
      <c r="DO185" s="37"/>
      <c r="DP185" s="37"/>
      <c r="DQ185" s="37"/>
      <c r="DR185" s="37"/>
      <c r="DS185" s="37"/>
      <c r="DT185" s="37"/>
      <c r="DU185" s="37"/>
      <c r="DV185" s="37"/>
      <c r="DW185" s="37"/>
      <c r="DX185" s="37" t="s">
        <v>1124</v>
      </c>
      <c r="DY185" s="37"/>
      <c r="DZ185" s="37"/>
      <c r="EA185" s="37"/>
      <c r="EB185" s="37"/>
      <c r="EC185" s="37"/>
      <c r="ED185" s="37"/>
      <c r="EE185" s="37"/>
      <c r="EF185" s="37"/>
      <c r="EG185" s="37"/>
      <c r="EH185" s="37"/>
      <c r="EI185" s="37"/>
      <c r="EJ185" s="37" t="s">
        <v>1124</v>
      </c>
      <c r="EK185" s="161"/>
      <c r="EL185" s="294"/>
    </row>
    <row r="186" spans="1:142" ht="15" customHeight="1" x14ac:dyDescent="0.35">
      <c r="A186" s="34"/>
      <c r="B186" s="313">
        <v>96015</v>
      </c>
      <c r="C186" s="8" t="s">
        <v>996</v>
      </c>
      <c r="D186" s="18">
        <v>9</v>
      </c>
      <c r="E186" s="155"/>
      <c r="F186" s="36"/>
      <c r="G186" s="37"/>
      <c r="H186" s="37"/>
      <c r="I186" s="37"/>
      <c r="J186" s="37"/>
      <c r="K186" s="37"/>
      <c r="L186" s="37"/>
      <c r="M186" s="37" t="s">
        <v>1124</v>
      </c>
      <c r="N186" s="37" t="s">
        <v>1124</v>
      </c>
      <c r="O186" s="37"/>
      <c r="P186" s="37"/>
      <c r="Q186" s="37"/>
      <c r="R186" s="37"/>
      <c r="S186" s="37"/>
      <c r="T186" s="37"/>
      <c r="U186" s="37"/>
      <c r="V186" s="37"/>
      <c r="W186" s="37"/>
      <c r="X186" s="37"/>
      <c r="Y186" s="37"/>
      <c r="Z186" s="37"/>
      <c r="AA186" s="37" t="s">
        <v>1124</v>
      </c>
      <c r="AB186" s="37" t="s">
        <v>1124</v>
      </c>
      <c r="AC186" s="37"/>
      <c r="AD186" s="37"/>
      <c r="AE186" s="37"/>
      <c r="AF186" s="168"/>
      <c r="AG186" s="37"/>
      <c r="AH186" s="37"/>
      <c r="AI186" s="37"/>
      <c r="AJ186" s="37"/>
      <c r="AK186" s="37"/>
      <c r="AL186" s="37"/>
      <c r="AM186" s="37"/>
      <c r="AN186" s="37"/>
      <c r="AO186" s="37"/>
      <c r="AP186" s="37"/>
      <c r="AQ186" s="37"/>
      <c r="AR186" s="37" t="s">
        <v>1124</v>
      </c>
      <c r="AS186" s="37"/>
      <c r="AT186" s="37"/>
      <c r="AU186" s="37"/>
      <c r="AV186" s="37"/>
      <c r="AW186" s="37"/>
      <c r="AX186" s="37"/>
      <c r="AY186" s="37"/>
      <c r="AZ186" s="37"/>
      <c r="BA186" s="37"/>
      <c r="BB186" s="37"/>
      <c r="BC186" s="37"/>
      <c r="BD186" s="37" t="s">
        <v>1124</v>
      </c>
      <c r="BE186" s="37"/>
      <c r="BF186" s="37"/>
      <c r="BG186" s="37"/>
      <c r="BH186" s="37"/>
      <c r="BI186" s="37"/>
      <c r="BJ186" s="37"/>
      <c r="BK186" s="37"/>
      <c r="BL186" s="37"/>
      <c r="BM186" s="37"/>
      <c r="BN186" s="37"/>
      <c r="BO186" s="37"/>
      <c r="BP186" s="37">
        <v>0</v>
      </c>
      <c r="BQ186" s="37"/>
      <c r="BR186" s="37"/>
      <c r="BS186" s="37"/>
      <c r="BT186" s="37"/>
      <c r="BU186" s="37"/>
      <c r="BV186" s="37"/>
      <c r="BW186" s="37"/>
      <c r="BX186" s="37"/>
      <c r="BY186" s="37"/>
      <c r="BZ186" s="37"/>
      <c r="CA186" s="37"/>
      <c r="CB186" s="37" t="s">
        <v>1124</v>
      </c>
      <c r="CC186" s="37"/>
      <c r="CD186" s="37"/>
      <c r="CE186" s="37"/>
      <c r="CF186" s="37"/>
      <c r="CG186" s="37"/>
      <c r="CH186" s="37"/>
      <c r="CI186" s="37"/>
      <c r="CJ186" s="37"/>
      <c r="CK186" s="37"/>
      <c r="CL186" s="37"/>
      <c r="CM186" s="37"/>
      <c r="CN186" s="37" t="s">
        <v>1124</v>
      </c>
      <c r="CO186" s="37"/>
      <c r="CP186" s="37"/>
      <c r="CQ186" s="37"/>
      <c r="CR186" s="37"/>
      <c r="CS186" s="37"/>
      <c r="CT186" s="37"/>
      <c r="CU186" s="37"/>
      <c r="CV186" s="37"/>
      <c r="CW186" s="37"/>
      <c r="CX186" s="37"/>
      <c r="CY186" s="37"/>
      <c r="CZ186" s="37" t="s">
        <v>1124</v>
      </c>
      <c r="DA186" s="37"/>
      <c r="DB186" s="37"/>
      <c r="DC186" s="37"/>
      <c r="DD186" s="37"/>
      <c r="DE186" s="37"/>
      <c r="DF186" s="37"/>
      <c r="DG186" s="37"/>
      <c r="DH186" s="37"/>
      <c r="DI186" s="37"/>
      <c r="DJ186" s="37"/>
      <c r="DK186" s="37"/>
      <c r="DL186" s="37" t="s">
        <v>1124</v>
      </c>
      <c r="DM186" s="37"/>
      <c r="DN186" s="37"/>
      <c r="DO186" s="37"/>
      <c r="DP186" s="37"/>
      <c r="DQ186" s="37"/>
      <c r="DR186" s="37"/>
      <c r="DS186" s="37"/>
      <c r="DT186" s="37"/>
      <c r="DU186" s="37"/>
      <c r="DV186" s="37"/>
      <c r="DW186" s="37"/>
      <c r="DX186" s="37" t="s">
        <v>1124</v>
      </c>
      <c r="DY186" s="37"/>
      <c r="DZ186" s="37"/>
      <c r="EA186" s="37"/>
      <c r="EB186" s="37"/>
      <c r="EC186" s="37"/>
      <c r="ED186" s="37"/>
      <c r="EE186" s="37"/>
      <c r="EF186" s="37"/>
      <c r="EG186" s="37"/>
      <c r="EH186" s="37"/>
      <c r="EI186" s="37"/>
      <c r="EJ186" s="37" t="s">
        <v>1124</v>
      </c>
      <c r="EK186" s="161"/>
      <c r="EL186" s="294"/>
    </row>
    <row r="187" spans="1:142" ht="15" customHeight="1" x14ac:dyDescent="0.35">
      <c r="A187" s="34"/>
      <c r="B187" s="313">
        <v>46010</v>
      </c>
      <c r="C187" s="8" t="s">
        <v>428</v>
      </c>
      <c r="D187" s="18">
        <v>5</v>
      </c>
      <c r="E187" s="155"/>
      <c r="F187" s="36"/>
      <c r="G187" s="37"/>
      <c r="H187" s="37"/>
      <c r="I187" s="37"/>
      <c r="J187" s="37"/>
      <c r="K187" s="37"/>
      <c r="L187" s="37"/>
      <c r="M187" s="37" t="s">
        <v>1124</v>
      </c>
      <c r="N187" s="37" t="s">
        <v>1124</v>
      </c>
      <c r="O187" s="37"/>
      <c r="P187" s="37"/>
      <c r="Q187" s="37"/>
      <c r="R187" s="37"/>
      <c r="S187" s="37"/>
      <c r="T187" s="37"/>
      <c r="U187" s="37"/>
      <c r="V187" s="37"/>
      <c r="W187" s="37"/>
      <c r="X187" s="37"/>
      <c r="Y187" s="37"/>
      <c r="Z187" s="37"/>
      <c r="AA187" s="37" t="s">
        <v>1124</v>
      </c>
      <c r="AB187" s="37" t="s">
        <v>1124</v>
      </c>
      <c r="AC187" s="37"/>
      <c r="AD187" s="37"/>
      <c r="AE187" s="37"/>
      <c r="AF187" s="168"/>
      <c r="AG187" s="37"/>
      <c r="AH187" s="37"/>
      <c r="AI187" s="37"/>
      <c r="AJ187" s="37"/>
      <c r="AK187" s="37"/>
      <c r="AL187" s="37"/>
      <c r="AM187" s="37"/>
      <c r="AN187" s="37"/>
      <c r="AO187" s="37"/>
      <c r="AP187" s="37"/>
      <c r="AQ187" s="37"/>
      <c r="AR187" s="37" t="s">
        <v>1124</v>
      </c>
      <c r="AS187" s="37"/>
      <c r="AT187" s="37"/>
      <c r="AU187" s="37"/>
      <c r="AV187" s="37"/>
      <c r="AW187" s="37"/>
      <c r="AX187" s="37"/>
      <c r="AY187" s="37"/>
      <c r="AZ187" s="37"/>
      <c r="BA187" s="37"/>
      <c r="BB187" s="37"/>
      <c r="BC187" s="37"/>
      <c r="BD187" s="37" t="s">
        <v>1124</v>
      </c>
      <c r="BE187" s="37"/>
      <c r="BF187" s="37"/>
      <c r="BG187" s="37"/>
      <c r="BH187" s="37"/>
      <c r="BI187" s="37"/>
      <c r="BJ187" s="37"/>
      <c r="BK187" s="37"/>
      <c r="BL187" s="37"/>
      <c r="BM187" s="37"/>
      <c r="BN187" s="37"/>
      <c r="BO187" s="37"/>
      <c r="BP187" s="37">
        <v>0</v>
      </c>
      <c r="BQ187" s="37"/>
      <c r="BR187" s="37"/>
      <c r="BS187" s="37"/>
      <c r="BT187" s="37"/>
      <c r="BU187" s="37"/>
      <c r="BV187" s="37"/>
      <c r="BW187" s="37"/>
      <c r="BX187" s="37"/>
      <c r="BY187" s="37"/>
      <c r="BZ187" s="37"/>
      <c r="CA187" s="37"/>
      <c r="CB187" s="37" t="s">
        <v>1124</v>
      </c>
      <c r="CC187" s="37"/>
      <c r="CD187" s="37"/>
      <c r="CE187" s="37"/>
      <c r="CF187" s="37"/>
      <c r="CG187" s="37"/>
      <c r="CH187" s="37"/>
      <c r="CI187" s="37"/>
      <c r="CJ187" s="37"/>
      <c r="CK187" s="37"/>
      <c r="CL187" s="37"/>
      <c r="CM187" s="37"/>
      <c r="CN187" s="37" t="s">
        <v>1124</v>
      </c>
      <c r="CO187" s="37"/>
      <c r="CP187" s="37"/>
      <c r="CQ187" s="37"/>
      <c r="CR187" s="37"/>
      <c r="CS187" s="37"/>
      <c r="CT187" s="37"/>
      <c r="CU187" s="37"/>
      <c r="CV187" s="37"/>
      <c r="CW187" s="37"/>
      <c r="CX187" s="37"/>
      <c r="CY187" s="37"/>
      <c r="CZ187" s="37" t="s">
        <v>1124</v>
      </c>
      <c r="DA187" s="37"/>
      <c r="DB187" s="37"/>
      <c r="DC187" s="37"/>
      <c r="DD187" s="37"/>
      <c r="DE187" s="37"/>
      <c r="DF187" s="37"/>
      <c r="DG187" s="37"/>
      <c r="DH187" s="37"/>
      <c r="DI187" s="37"/>
      <c r="DJ187" s="37"/>
      <c r="DK187" s="37"/>
      <c r="DL187" s="37" t="s">
        <v>1124</v>
      </c>
      <c r="DM187" s="37"/>
      <c r="DN187" s="37"/>
      <c r="DO187" s="37"/>
      <c r="DP187" s="37"/>
      <c r="DQ187" s="37"/>
      <c r="DR187" s="37"/>
      <c r="DS187" s="37"/>
      <c r="DT187" s="37"/>
      <c r="DU187" s="37"/>
      <c r="DV187" s="37"/>
      <c r="DW187" s="37"/>
      <c r="DX187" s="37" t="s">
        <v>1124</v>
      </c>
      <c r="DY187" s="37"/>
      <c r="DZ187" s="37"/>
      <c r="EA187" s="37"/>
      <c r="EB187" s="37"/>
      <c r="EC187" s="37"/>
      <c r="ED187" s="37"/>
      <c r="EE187" s="37"/>
      <c r="EF187" s="37"/>
      <c r="EG187" s="37"/>
      <c r="EH187" s="37"/>
      <c r="EI187" s="37"/>
      <c r="EJ187" s="37" t="s">
        <v>1124</v>
      </c>
      <c r="EK187" s="161"/>
      <c r="EL187" s="294"/>
    </row>
    <row r="188" spans="1:142" ht="15" customHeight="1" x14ac:dyDescent="0.35">
      <c r="A188" s="34"/>
      <c r="B188" s="313">
        <v>30025</v>
      </c>
      <c r="C188" s="8" t="s">
        <v>221</v>
      </c>
      <c r="D188" s="18">
        <v>5</v>
      </c>
      <c r="E188" s="155">
        <v>42091</v>
      </c>
      <c r="F188" s="36">
        <v>126859</v>
      </c>
      <c r="G188" s="37">
        <v>7631</v>
      </c>
      <c r="H188" s="37">
        <v>5384</v>
      </c>
      <c r="I188" s="37">
        <v>44200</v>
      </c>
      <c r="J188" s="37">
        <v>43500</v>
      </c>
      <c r="K188" s="37">
        <v>6313.65</v>
      </c>
      <c r="L188" s="37">
        <v>19028.849999999999</v>
      </c>
      <c r="M188" s="37">
        <v>100235.65</v>
      </c>
      <c r="N188" s="37">
        <v>194771.85</v>
      </c>
      <c r="O188" s="37">
        <v>0</v>
      </c>
      <c r="P188" s="37">
        <v>0</v>
      </c>
      <c r="Q188" s="37">
        <v>68860</v>
      </c>
      <c r="R188" s="37">
        <v>7976</v>
      </c>
      <c r="S188" s="37">
        <v>0</v>
      </c>
      <c r="T188" s="37">
        <v>4732</v>
      </c>
      <c r="U188" s="37">
        <v>2202</v>
      </c>
      <c r="V188" s="37">
        <v>1151</v>
      </c>
      <c r="W188" s="37">
        <v>37292.65</v>
      </c>
      <c r="X188" s="37">
        <v>180912.85</v>
      </c>
      <c r="Y188" s="37">
        <v>0</v>
      </c>
      <c r="Z188" s="37">
        <v>0</v>
      </c>
      <c r="AA188" s="37">
        <v>108354.65</v>
      </c>
      <c r="AB188" s="37">
        <v>194771.85</v>
      </c>
      <c r="AC188" s="37">
        <v>8119</v>
      </c>
      <c r="AD188" s="37">
        <v>8119</v>
      </c>
      <c r="AE188" s="37">
        <v>90515</v>
      </c>
      <c r="AF188" s="168">
        <v>0.02</v>
      </c>
      <c r="AG188" s="37">
        <v>15692099.449999999</v>
      </c>
      <c r="AH188" s="37">
        <v>134464.98000000001</v>
      </c>
      <c r="AI188" s="37">
        <v>137154.28</v>
      </c>
      <c r="AJ188" s="37">
        <v>139897.35999999999</v>
      </c>
      <c r="AK188" s="37">
        <v>142695.31</v>
      </c>
      <c r="AL188" s="37">
        <v>145549.22</v>
      </c>
      <c r="AM188" s="37">
        <v>148460.20000000001</v>
      </c>
      <c r="AN188" s="37">
        <v>151429.41</v>
      </c>
      <c r="AO188" s="37">
        <v>154457.99</v>
      </c>
      <c r="AP188" s="37">
        <v>157547.15</v>
      </c>
      <c r="AQ188" s="37">
        <v>160698.1</v>
      </c>
      <c r="AR188" s="37">
        <v>1472354.0000000002</v>
      </c>
      <c r="AS188" s="37">
        <v>0</v>
      </c>
      <c r="AT188" s="37">
        <v>0</v>
      </c>
      <c r="AU188" s="37">
        <v>83232</v>
      </c>
      <c r="AV188" s="37">
        <v>0</v>
      </c>
      <c r="AW188" s="37">
        <v>0</v>
      </c>
      <c r="AX188" s="37">
        <v>276020.2</v>
      </c>
      <c r="AY188" s="37">
        <v>0</v>
      </c>
      <c r="AZ188" s="37">
        <v>0</v>
      </c>
      <c r="BA188" s="37">
        <v>0</v>
      </c>
      <c r="BB188" s="37">
        <v>0</v>
      </c>
      <c r="BC188" s="37">
        <v>0</v>
      </c>
      <c r="BD188" s="37">
        <v>359252.2</v>
      </c>
      <c r="BE188" s="37">
        <v>0</v>
      </c>
      <c r="BF188" s="37">
        <v>9000</v>
      </c>
      <c r="BG188" s="37">
        <v>0</v>
      </c>
      <c r="BH188" s="37">
        <v>0</v>
      </c>
      <c r="BI188" s="37">
        <v>0</v>
      </c>
      <c r="BJ188" s="37">
        <v>0</v>
      </c>
      <c r="BK188" s="37">
        <v>0</v>
      </c>
      <c r="BL188" s="37">
        <v>0</v>
      </c>
      <c r="BM188" s="37">
        <v>0</v>
      </c>
      <c r="BN188" s="37">
        <v>0</v>
      </c>
      <c r="BO188" s="37">
        <v>0</v>
      </c>
      <c r="BP188" s="37">
        <v>9000</v>
      </c>
      <c r="BQ188" s="37">
        <v>0</v>
      </c>
      <c r="BR188" s="37">
        <v>0</v>
      </c>
      <c r="BS188" s="37">
        <v>0</v>
      </c>
      <c r="BT188" s="37">
        <v>0</v>
      </c>
      <c r="BU188" s="37">
        <v>0</v>
      </c>
      <c r="BV188" s="37">
        <v>0</v>
      </c>
      <c r="BW188" s="37">
        <v>0</v>
      </c>
      <c r="BX188" s="37">
        <v>0</v>
      </c>
      <c r="BY188" s="37">
        <v>0</v>
      </c>
      <c r="BZ188" s="37">
        <v>0</v>
      </c>
      <c r="CA188" s="37">
        <v>0</v>
      </c>
      <c r="CB188" s="37">
        <v>0</v>
      </c>
      <c r="CC188" s="37">
        <v>0</v>
      </c>
      <c r="CD188" s="37">
        <v>0</v>
      </c>
      <c r="CE188" s="37">
        <v>0</v>
      </c>
      <c r="CF188" s="37">
        <v>0</v>
      </c>
      <c r="CG188" s="37">
        <v>0</v>
      </c>
      <c r="CH188" s="37">
        <v>0</v>
      </c>
      <c r="CI188" s="37">
        <v>0</v>
      </c>
      <c r="CJ188" s="37">
        <v>0</v>
      </c>
      <c r="CK188" s="37">
        <v>0</v>
      </c>
      <c r="CL188" s="37">
        <v>0</v>
      </c>
      <c r="CM188" s="37">
        <v>0</v>
      </c>
      <c r="CN188" s="37">
        <v>0</v>
      </c>
      <c r="CO188" s="37">
        <v>0</v>
      </c>
      <c r="CP188" s="37">
        <v>0</v>
      </c>
      <c r="CQ188" s="37">
        <v>80000</v>
      </c>
      <c r="CR188" s="37">
        <v>0</v>
      </c>
      <c r="CS188" s="37">
        <v>0</v>
      </c>
      <c r="CT188" s="37">
        <v>0</v>
      </c>
      <c r="CU188" s="37">
        <v>0</v>
      </c>
      <c r="CV188" s="37">
        <v>0</v>
      </c>
      <c r="CW188" s="37">
        <v>0</v>
      </c>
      <c r="CX188" s="37">
        <v>0</v>
      </c>
      <c r="CY188" s="37">
        <v>0</v>
      </c>
      <c r="CZ188" s="37">
        <v>80000</v>
      </c>
      <c r="DA188" s="37">
        <v>0</v>
      </c>
      <c r="DB188" s="37">
        <v>0</v>
      </c>
      <c r="DC188" s="37">
        <v>0</v>
      </c>
      <c r="DD188" s="37">
        <v>0</v>
      </c>
      <c r="DE188" s="37">
        <v>0</v>
      </c>
      <c r="DF188" s="37">
        <v>0</v>
      </c>
      <c r="DG188" s="37">
        <v>0</v>
      </c>
      <c r="DH188" s="37">
        <v>0</v>
      </c>
      <c r="DI188" s="37">
        <v>0</v>
      </c>
      <c r="DJ188" s="37">
        <v>0</v>
      </c>
      <c r="DK188" s="37">
        <v>0</v>
      </c>
      <c r="DL188" s="37">
        <v>0</v>
      </c>
      <c r="DM188" s="37">
        <v>0</v>
      </c>
      <c r="DN188" s="37">
        <v>0</v>
      </c>
      <c r="DO188" s="37">
        <v>0</v>
      </c>
      <c r="DP188" s="37">
        <v>0</v>
      </c>
      <c r="DQ188" s="37">
        <v>0</v>
      </c>
      <c r="DR188" s="37">
        <v>0</v>
      </c>
      <c r="DS188" s="37">
        <v>0</v>
      </c>
      <c r="DT188" s="37">
        <v>0</v>
      </c>
      <c r="DU188" s="37">
        <v>0</v>
      </c>
      <c r="DV188" s="37">
        <v>0</v>
      </c>
      <c r="DW188" s="37">
        <v>0</v>
      </c>
      <c r="DX188" s="37">
        <v>0</v>
      </c>
      <c r="DY188" s="37">
        <v>0</v>
      </c>
      <c r="DZ188" s="37">
        <v>0</v>
      </c>
      <c r="EA188" s="37">
        <v>0</v>
      </c>
      <c r="EB188" s="37">
        <v>0</v>
      </c>
      <c r="EC188" s="37">
        <v>0</v>
      </c>
      <c r="ED188" s="37">
        <v>0</v>
      </c>
      <c r="EE188" s="37">
        <v>0</v>
      </c>
      <c r="EF188" s="37">
        <v>0</v>
      </c>
      <c r="EG188" s="37">
        <v>0</v>
      </c>
      <c r="EH188" s="37">
        <v>0</v>
      </c>
      <c r="EI188" s="37">
        <v>0</v>
      </c>
      <c r="EJ188" s="37">
        <v>0</v>
      </c>
      <c r="EK188" s="161" t="s">
        <v>3715</v>
      </c>
      <c r="EL188" s="294" t="s">
        <v>1124</v>
      </c>
    </row>
    <row r="189" spans="1:142" ht="15" customHeight="1" x14ac:dyDescent="0.35">
      <c r="A189" s="34"/>
      <c r="B189" s="313">
        <v>85055</v>
      </c>
      <c r="C189" s="8" t="s">
        <v>879</v>
      </c>
      <c r="D189" s="18">
        <v>8</v>
      </c>
      <c r="E189" s="155"/>
      <c r="F189" s="36"/>
      <c r="G189" s="37"/>
      <c r="H189" s="37"/>
      <c r="I189" s="37"/>
      <c r="J189" s="37"/>
      <c r="K189" s="37"/>
      <c r="L189" s="37"/>
      <c r="M189" s="37" t="s">
        <v>1124</v>
      </c>
      <c r="N189" s="37" t="s">
        <v>1124</v>
      </c>
      <c r="O189" s="37"/>
      <c r="P189" s="37"/>
      <c r="Q189" s="37"/>
      <c r="R189" s="37"/>
      <c r="S189" s="37"/>
      <c r="T189" s="37"/>
      <c r="U189" s="37"/>
      <c r="V189" s="37"/>
      <c r="W189" s="37"/>
      <c r="X189" s="37"/>
      <c r="Y189" s="37"/>
      <c r="Z189" s="37"/>
      <c r="AA189" s="37" t="s">
        <v>1124</v>
      </c>
      <c r="AB189" s="37" t="s">
        <v>1124</v>
      </c>
      <c r="AC189" s="37"/>
      <c r="AD189" s="37"/>
      <c r="AE189" s="37"/>
      <c r="AF189" s="168"/>
      <c r="AG189" s="37"/>
      <c r="AH189" s="37"/>
      <c r="AI189" s="37"/>
      <c r="AJ189" s="37"/>
      <c r="AK189" s="37"/>
      <c r="AL189" s="37"/>
      <c r="AM189" s="37"/>
      <c r="AN189" s="37"/>
      <c r="AO189" s="37"/>
      <c r="AP189" s="37"/>
      <c r="AQ189" s="37"/>
      <c r="AR189" s="37" t="s">
        <v>1124</v>
      </c>
      <c r="AS189" s="37"/>
      <c r="AT189" s="37"/>
      <c r="AU189" s="37"/>
      <c r="AV189" s="37"/>
      <c r="AW189" s="37"/>
      <c r="AX189" s="37"/>
      <c r="AY189" s="37"/>
      <c r="AZ189" s="37"/>
      <c r="BA189" s="37"/>
      <c r="BB189" s="37"/>
      <c r="BC189" s="37"/>
      <c r="BD189" s="37" t="s">
        <v>1124</v>
      </c>
      <c r="BE189" s="37"/>
      <c r="BF189" s="37"/>
      <c r="BG189" s="37"/>
      <c r="BH189" s="37"/>
      <c r="BI189" s="37"/>
      <c r="BJ189" s="37"/>
      <c r="BK189" s="37"/>
      <c r="BL189" s="37"/>
      <c r="BM189" s="37"/>
      <c r="BN189" s="37"/>
      <c r="BO189" s="37"/>
      <c r="BP189" s="37">
        <v>0</v>
      </c>
      <c r="BQ189" s="37"/>
      <c r="BR189" s="37"/>
      <c r="BS189" s="37"/>
      <c r="BT189" s="37"/>
      <c r="BU189" s="37"/>
      <c r="BV189" s="37"/>
      <c r="BW189" s="37"/>
      <c r="BX189" s="37"/>
      <c r="BY189" s="37"/>
      <c r="BZ189" s="37"/>
      <c r="CA189" s="37"/>
      <c r="CB189" s="37" t="s">
        <v>1124</v>
      </c>
      <c r="CC189" s="37"/>
      <c r="CD189" s="37"/>
      <c r="CE189" s="37"/>
      <c r="CF189" s="37"/>
      <c r="CG189" s="37"/>
      <c r="CH189" s="37"/>
      <c r="CI189" s="37"/>
      <c r="CJ189" s="37"/>
      <c r="CK189" s="37"/>
      <c r="CL189" s="37"/>
      <c r="CM189" s="37"/>
      <c r="CN189" s="37" t="s">
        <v>1124</v>
      </c>
      <c r="CO189" s="37"/>
      <c r="CP189" s="37"/>
      <c r="CQ189" s="37"/>
      <c r="CR189" s="37"/>
      <c r="CS189" s="37"/>
      <c r="CT189" s="37"/>
      <c r="CU189" s="37"/>
      <c r="CV189" s="37"/>
      <c r="CW189" s="37"/>
      <c r="CX189" s="37"/>
      <c r="CY189" s="37"/>
      <c r="CZ189" s="37" t="s">
        <v>1124</v>
      </c>
      <c r="DA189" s="37"/>
      <c r="DB189" s="37"/>
      <c r="DC189" s="37"/>
      <c r="DD189" s="37"/>
      <c r="DE189" s="37"/>
      <c r="DF189" s="37"/>
      <c r="DG189" s="37"/>
      <c r="DH189" s="37"/>
      <c r="DI189" s="37"/>
      <c r="DJ189" s="37"/>
      <c r="DK189" s="37"/>
      <c r="DL189" s="37" t="s">
        <v>1124</v>
      </c>
      <c r="DM189" s="37"/>
      <c r="DN189" s="37"/>
      <c r="DO189" s="37"/>
      <c r="DP189" s="37"/>
      <c r="DQ189" s="37"/>
      <c r="DR189" s="37"/>
      <c r="DS189" s="37"/>
      <c r="DT189" s="37"/>
      <c r="DU189" s="37"/>
      <c r="DV189" s="37"/>
      <c r="DW189" s="37"/>
      <c r="DX189" s="37" t="s">
        <v>1124</v>
      </c>
      <c r="DY189" s="37"/>
      <c r="DZ189" s="37"/>
      <c r="EA189" s="37"/>
      <c r="EB189" s="37"/>
      <c r="EC189" s="37"/>
      <c r="ED189" s="37"/>
      <c r="EE189" s="37"/>
      <c r="EF189" s="37"/>
      <c r="EG189" s="37"/>
      <c r="EH189" s="37"/>
      <c r="EI189" s="37"/>
      <c r="EJ189" s="37" t="s">
        <v>1124</v>
      </c>
      <c r="EK189" s="161"/>
      <c r="EL189" s="294"/>
    </row>
    <row r="190" spans="1:142" ht="15" customHeight="1" x14ac:dyDescent="0.35">
      <c r="A190" s="34"/>
      <c r="B190" s="313">
        <v>87020</v>
      </c>
      <c r="C190" s="8" t="s">
        <v>893</v>
      </c>
      <c r="D190" s="18">
        <v>8</v>
      </c>
      <c r="E190" s="155"/>
      <c r="F190" s="36"/>
      <c r="G190" s="37"/>
      <c r="H190" s="37"/>
      <c r="I190" s="37"/>
      <c r="J190" s="37"/>
      <c r="K190" s="37"/>
      <c r="L190" s="37"/>
      <c r="M190" s="37" t="s">
        <v>1124</v>
      </c>
      <c r="N190" s="37" t="s">
        <v>1124</v>
      </c>
      <c r="O190" s="37"/>
      <c r="P190" s="37"/>
      <c r="Q190" s="37"/>
      <c r="R190" s="37"/>
      <c r="S190" s="37"/>
      <c r="T190" s="37"/>
      <c r="U190" s="37"/>
      <c r="V190" s="37"/>
      <c r="W190" s="37"/>
      <c r="X190" s="37"/>
      <c r="Y190" s="37"/>
      <c r="Z190" s="37"/>
      <c r="AA190" s="37" t="s">
        <v>1124</v>
      </c>
      <c r="AB190" s="37" t="s">
        <v>1124</v>
      </c>
      <c r="AC190" s="37"/>
      <c r="AD190" s="37"/>
      <c r="AE190" s="37"/>
      <c r="AF190" s="168"/>
      <c r="AG190" s="37"/>
      <c r="AH190" s="37"/>
      <c r="AI190" s="37"/>
      <c r="AJ190" s="37"/>
      <c r="AK190" s="37"/>
      <c r="AL190" s="37"/>
      <c r="AM190" s="37"/>
      <c r="AN190" s="37"/>
      <c r="AO190" s="37"/>
      <c r="AP190" s="37"/>
      <c r="AQ190" s="37"/>
      <c r="AR190" s="37" t="s">
        <v>1124</v>
      </c>
      <c r="AS190" s="37"/>
      <c r="AT190" s="37"/>
      <c r="AU190" s="37"/>
      <c r="AV190" s="37"/>
      <c r="AW190" s="37"/>
      <c r="AX190" s="37"/>
      <c r="AY190" s="37"/>
      <c r="AZ190" s="37"/>
      <c r="BA190" s="37"/>
      <c r="BB190" s="37"/>
      <c r="BC190" s="37"/>
      <c r="BD190" s="37" t="s">
        <v>1124</v>
      </c>
      <c r="BE190" s="37"/>
      <c r="BF190" s="37"/>
      <c r="BG190" s="37"/>
      <c r="BH190" s="37"/>
      <c r="BI190" s="37"/>
      <c r="BJ190" s="37"/>
      <c r="BK190" s="37"/>
      <c r="BL190" s="37"/>
      <c r="BM190" s="37"/>
      <c r="BN190" s="37"/>
      <c r="BO190" s="37"/>
      <c r="BP190" s="37">
        <v>0</v>
      </c>
      <c r="BQ190" s="37"/>
      <c r="BR190" s="37"/>
      <c r="BS190" s="37"/>
      <c r="BT190" s="37"/>
      <c r="BU190" s="37"/>
      <c r="BV190" s="37"/>
      <c r="BW190" s="37"/>
      <c r="BX190" s="37"/>
      <c r="BY190" s="37"/>
      <c r="BZ190" s="37"/>
      <c r="CA190" s="37"/>
      <c r="CB190" s="37" t="s">
        <v>1124</v>
      </c>
      <c r="CC190" s="37"/>
      <c r="CD190" s="37"/>
      <c r="CE190" s="37"/>
      <c r="CF190" s="37"/>
      <c r="CG190" s="37"/>
      <c r="CH190" s="37"/>
      <c r="CI190" s="37"/>
      <c r="CJ190" s="37"/>
      <c r="CK190" s="37"/>
      <c r="CL190" s="37"/>
      <c r="CM190" s="37"/>
      <c r="CN190" s="37" t="s">
        <v>1124</v>
      </c>
      <c r="CO190" s="37"/>
      <c r="CP190" s="37"/>
      <c r="CQ190" s="37"/>
      <c r="CR190" s="37"/>
      <c r="CS190" s="37"/>
      <c r="CT190" s="37"/>
      <c r="CU190" s="37"/>
      <c r="CV190" s="37"/>
      <c r="CW190" s="37"/>
      <c r="CX190" s="37"/>
      <c r="CY190" s="37"/>
      <c r="CZ190" s="37" t="s">
        <v>1124</v>
      </c>
      <c r="DA190" s="37"/>
      <c r="DB190" s="37"/>
      <c r="DC190" s="37"/>
      <c r="DD190" s="37"/>
      <c r="DE190" s="37"/>
      <c r="DF190" s="37"/>
      <c r="DG190" s="37"/>
      <c r="DH190" s="37"/>
      <c r="DI190" s="37"/>
      <c r="DJ190" s="37"/>
      <c r="DK190" s="37"/>
      <c r="DL190" s="37" t="s">
        <v>1124</v>
      </c>
      <c r="DM190" s="37"/>
      <c r="DN190" s="37"/>
      <c r="DO190" s="37"/>
      <c r="DP190" s="37"/>
      <c r="DQ190" s="37"/>
      <c r="DR190" s="37"/>
      <c r="DS190" s="37"/>
      <c r="DT190" s="37"/>
      <c r="DU190" s="37"/>
      <c r="DV190" s="37"/>
      <c r="DW190" s="37"/>
      <c r="DX190" s="37" t="s">
        <v>1124</v>
      </c>
      <c r="DY190" s="37"/>
      <c r="DZ190" s="37"/>
      <c r="EA190" s="37"/>
      <c r="EB190" s="37"/>
      <c r="EC190" s="37"/>
      <c r="ED190" s="37"/>
      <c r="EE190" s="37"/>
      <c r="EF190" s="37"/>
      <c r="EG190" s="37"/>
      <c r="EH190" s="37"/>
      <c r="EI190" s="37"/>
      <c r="EJ190" s="37" t="s">
        <v>1124</v>
      </c>
      <c r="EK190" s="161"/>
      <c r="EL190" s="294"/>
    </row>
    <row r="191" spans="1:142" ht="15" customHeight="1" x14ac:dyDescent="0.35">
      <c r="A191" s="34"/>
      <c r="B191" s="313">
        <v>3005</v>
      </c>
      <c r="C191" s="8" t="s">
        <v>1031</v>
      </c>
      <c r="D191" s="18">
        <v>11</v>
      </c>
      <c r="E191" s="155">
        <v>792395</v>
      </c>
      <c r="F191" s="36">
        <v>940154</v>
      </c>
      <c r="G191" s="37">
        <v>406943</v>
      </c>
      <c r="H191" s="37">
        <v>3612</v>
      </c>
      <c r="I191" s="37">
        <v>390805</v>
      </c>
      <c r="J191" s="37">
        <v>50415</v>
      </c>
      <c r="K191" s="37">
        <v>118859</v>
      </c>
      <c r="L191" s="37">
        <v>141023</v>
      </c>
      <c r="M191" s="37">
        <v>1709002</v>
      </c>
      <c r="N191" s="37">
        <v>1135204</v>
      </c>
      <c r="O191" s="37">
        <v>5414</v>
      </c>
      <c r="P191" s="37">
        <v>0</v>
      </c>
      <c r="Q191" s="37">
        <v>1121628</v>
      </c>
      <c r="R191" s="37">
        <v>1376986</v>
      </c>
      <c r="S191" s="37">
        <v>0</v>
      </c>
      <c r="T191" s="37">
        <v>0</v>
      </c>
      <c r="U191" s="37">
        <v>336405</v>
      </c>
      <c r="V191" s="37">
        <v>0</v>
      </c>
      <c r="W191" s="37">
        <v>3773</v>
      </c>
      <c r="X191" s="37">
        <v>0</v>
      </c>
      <c r="Y191" s="37">
        <v>0</v>
      </c>
      <c r="Z191" s="37">
        <v>0</v>
      </c>
      <c r="AA191" s="37">
        <v>1467220</v>
      </c>
      <c r="AB191" s="37">
        <v>1376986</v>
      </c>
      <c r="AC191" s="37">
        <v>0</v>
      </c>
      <c r="AD191" s="37">
        <v>0</v>
      </c>
      <c r="AE191" s="37">
        <v>0</v>
      </c>
      <c r="AF191" s="168">
        <v>0.02</v>
      </c>
      <c r="AG191" s="37">
        <v>299831483.69999999</v>
      </c>
      <c r="AH191" s="37">
        <v>390150</v>
      </c>
      <c r="AI191" s="37">
        <v>397953</v>
      </c>
      <c r="AJ191" s="37">
        <v>405912.06</v>
      </c>
      <c r="AK191" s="37">
        <v>414030.3</v>
      </c>
      <c r="AL191" s="37">
        <v>422310.91</v>
      </c>
      <c r="AM191" s="37">
        <v>430757.13</v>
      </c>
      <c r="AN191" s="37">
        <v>439372.27</v>
      </c>
      <c r="AO191" s="37">
        <v>448159.71</v>
      </c>
      <c r="AP191" s="37">
        <v>457122.91</v>
      </c>
      <c r="AQ191" s="37">
        <v>466265.37</v>
      </c>
      <c r="AR191" s="37">
        <v>4272033.66</v>
      </c>
      <c r="AS191" s="37">
        <v>57348480</v>
      </c>
      <c r="AT191" s="37">
        <v>999600</v>
      </c>
      <c r="AU191" s="37">
        <v>3750642</v>
      </c>
      <c r="AV191" s="37">
        <v>0</v>
      </c>
      <c r="AW191" s="37">
        <v>0</v>
      </c>
      <c r="AX191" s="37">
        <v>0</v>
      </c>
      <c r="AY191" s="37">
        <v>0</v>
      </c>
      <c r="AZ191" s="37">
        <v>0</v>
      </c>
      <c r="BA191" s="37">
        <v>0</v>
      </c>
      <c r="BB191" s="37">
        <v>0</v>
      </c>
      <c r="BC191" s="37">
        <v>0</v>
      </c>
      <c r="BD191" s="37">
        <v>4750242</v>
      </c>
      <c r="BE191" s="37">
        <v>137661</v>
      </c>
      <c r="BF191" s="37">
        <v>1249309</v>
      </c>
      <c r="BG191" s="37">
        <v>5495000</v>
      </c>
      <c r="BH191" s="37">
        <v>540000</v>
      </c>
      <c r="BI191" s="37">
        <v>0</v>
      </c>
      <c r="BJ191" s="37">
        <v>0</v>
      </c>
      <c r="BK191" s="37">
        <v>0</v>
      </c>
      <c r="BL191" s="37">
        <v>0</v>
      </c>
      <c r="BM191" s="37">
        <v>0</v>
      </c>
      <c r="BN191" s="37">
        <v>0</v>
      </c>
      <c r="BO191" s="37">
        <v>0</v>
      </c>
      <c r="BP191" s="37">
        <v>7284309</v>
      </c>
      <c r="BQ191" s="37">
        <v>0</v>
      </c>
      <c r="BR191" s="37">
        <v>1079103</v>
      </c>
      <c r="BS191" s="37">
        <v>640000</v>
      </c>
      <c r="BT191" s="37">
        <v>815000</v>
      </c>
      <c r="BU191" s="37">
        <v>0</v>
      </c>
      <c r="BV191" s="37">
        <v>0</v>
      </c>
      <c r="BW191" s="37">
        <v>0</v>
      </c>
      <c r="BX191" s="37">
        <v>0</v>
      </c>
      <c r="BY191" s="37">
        <v>0</v>
      </c>
      <c r="BZ191" s="37">
        <v>0</v>
      </c>
      <c r="CA191" s="37">
        <v>0</v>
      </c>
      <c r="CB191" s="37">
        <v>2534103</v>
      </c>
      <c r="CC191" s="37">
        <v>52020</v>
      </c>
      <c r="CD191" s="37">
        <v>0</v>
      </c>
      <c r="CE191" s="37">
        <v>0</v>
      </c>
      <c r="CF191" s="37">
        <v>0</v>
      </c>
      <c r="CG191" s="37">
        <v>0</v>
      </c>
      <c r="CH191" s="37">
        <v>0</v>
      </c>
      <c r="CI191" s="37">
        <v>0</v>
      </c>
      <c r="CJ191" s="37">
        <v>0</v>
      </c>
      <c r="CK191" s="37">
        <v>0</v>
      </c>
      <c r="CL191" s="37">
        <v>0</v>
      </c>
      <c r="CM191" s="37">
        <v>0</v>
      </c>
      <c r="CN191" s="37">
        <v>0</v>
      </c>
      <c r="CO191" s="37">
        <v>0</v>
      </c>
      <c r="CP191" s="37">
        <v>0</v>
      </c>
      <c r="CQ191" s="37">
        <v>0</v>
      </c>
      <c r="CR191" s="37">
        <v>0</v>
      </c>
      <c r="CS191" s="37">
        <v>0</v>
      </c>
      <c r="CT191" s="37">
        <v>0</v>
      </c>
      <c r="CU191" s="37">
        <v>0</v>
      </c>
      <c r="CV191" s="37">
        <v>0</v>
      </c>
      <c r="CW191" s="37">
        <v>0</v>
      </c>
      <c r="CX191" s="37">
        <v>0</v>
      </c>
      <c r="CY191" s="37">
        <v>0</v>
      </c>
      <c r="CZ191" s="37">
        <v>0</v>
      </c>
      <c r="DA191" s="37">
        <v>0</v>
      </c>
      <c r="DB191" s="37">
        <v>0</v>
      </c>
      <c r="DC191" s="37">
        <v>0</v>
      </c>
      <c r="DD191" s="37">
        <v>0</v>
      </c>
      <c r="DE191" s="37">
        <v>0</v>
      </c>
      <c r="DF191" s="37">
        <v>0</v>
      </c>
      <c r="DG191" s="37">
        <v>0</v>
      </c>
      <c r="DH191" s="37">
        <v>0</v>
      </c>
      <c r="DI191" s="37">
        <v>0</v>
      </c>
      <c r="DJ191" s="37">
        <v>0</v>
      </c>
      <c r="DK191" s="37">
        <v>0</v>
      </c>
      <c r="DL191" s="37">
        <v>0</v>
      </c>
      <c r="DM191" s="37">
        <v>0</v>
      </c>
      <c r="DN191" s="37">
        <v>0</v>
      </c>
      <c r="DO191" s="37">
        <v>0</v>
      </c>
      <c r="DP191" s="37">
        <v>0</v>
      </c>
      <c r="DQ191" s="37">
        <v>0</v>
      </c>
      <c r="DR191" s="37">
        <v>0</v>
      </c>
      <c r="DS191" s="37">
        <v>0</v>
      </c>
      <c r="DT191" s="37">
        <v>0</v>
      </c>
      <c r="DU191" s="37">
        <v>0</v>
      </c>
      <c r="DV191" s="37">
        <v>0</v>
      </c>
      <c r="DW191" s="37">
        <v>0</v>
      </c>
      <c r="DX191" s="37">
        <v>0</v>
      </c>
      <c r="DY191" s="37">
        <v>0</v>
      </c>
      <c r="DZ191" s="37">
        <v>0</v>
      </c>
      <c r="EA191" s="37">
        <v>0</v>
      </c>
      <c r="EB191" s="37">
        <v>0</v>
      </c>
      <c r="EC191" s="37">
        <v>0</v>
      </c>
      <c r="ED191" s="37">
        <v>0</v>
      </c>
      <c r="EE191" s="37">
        <v>0</v>
      </c>
      <c r="EF191" s="37">
        <v>0</v>
      </c>
      <c r="EG191" s="37">
        <v>0</v>
      </c>
      <c r="EH191" s="37">
        <v>0</v>
      </c>
      <c r="EI191" s="37">
        <v>0</v>
      </c>
      <c r="EJ191" s="37">
        <v>0</v>
      </c>
      <c r="EK191" s="161" t="s">
        <v>1784</v>
      </c>
      <c r="EL191" s="294" t="s">
        <v>1124</v>
      </c>
    </row>
    <row r="192" spans="1:142" ht="15" customHeight="1" x14ac:dyDescent="0.35">
      <c r="A192" s="34"/>
      <c r="B192" s="313">
        <v>81017</v>
      </c>
      <c r="C192" s="8" t="s">
        <v>827</v>
      </c>
      <c r="D192" s="18">
        <v>7</v>
      </c>
      <c r="E192" s="155">
        <v>19836237</v>
      </c>
      <c r="F192" s="36">
        <v>22320729</v>
      </c>
      <c r="G192" s="37">
        <v>2119309</v>
      </c>
      <c r="H192" s="37">
        <v>7226276</v>
      </c>
      <c r="I192" s="37">
        <v>7251086.2300000004</v>
      </c>
      <c r="J192" s="37">
        <v>17532188.870000001</v>
      </c>
      <c r="K192" s="37">
        <v>2975435.55</v>
      </c>
      <c r="L192" s="37">
        <v>3348109.35</v>
      </c>
      <c r="M192" s="37">
        <v>32182067.780000001</v>
      </c>
      <c r="N192" s="37">
        <v>50427303.219999999</v>
      </c>
      <c r="O192" s="37">
        <v>2461658</v>
      </c>
      <c r="P192" s="37">
        <v>247453</v>
      </c>
      <c r="Q192" s="37">
        <v>1061747</v>
      </c>
      <c r="R192" s="37">
        <v>1604689</v>
      </c>
      <c r="S192" s="37">
        <v>220000</v>
      </c>
      <c r="T192" s="37">
        <v>514000</v>
      </c>
      <c r="U192" s="37">
        <v>1472648</v>
      </c>
      <c r="V192" s="37">
        <v>3904173</v>
      </c>
      <c r="W192" s="37">
        <v>26966015</v>
      </c>
      <c r="X192" s="37">
        <v>44156988</v>
      </c>
      <c r="Y192" s="37">
        <v>0</v>
      </c>
      <c r="Z192" s="37">
        <v>0</v>
      </c>
      <c r="AA192" s="37">
        <v>32182068</v>
      </c>
      <c r="AB192" s="37">
        <v>50427303</v>
      </c>
      <c r="AC192" s="37">
        <v>0</v>
      </c>
      <c r="AD192" s="37">
        <v>0</v>
      </c>
      <c r="AE192" s="37">
        <v>0</v>
      </c>
      <c r="AF192" s="168">
        <v>0.02</v>
      </c>
      <c r="AG192" s="37">
        <v>3764787482.4000001</v>
      </c>
      <c r="AH192" s="37">
        <v>51755752.549999997</v>
      </c>
      <c r="AI192" s="37">
        <v>52790867.600000001</v>
      </c>
      <c r="AJ192" s="37">
        <v>53846684.950000003</v>
      </c>
      <c r="AK192" s="37">
        <v>54923618.649999999</v>
      </c>
      <c r="AL192" s="37">
        <v>56022091.020000003</v>
      </c>
      <c r="AM192" s="37">
        <v>57142532.850000001</v>
      </c>
      <c r="AN192" s="37">
        <v>58285383.5</v>
      </c>
      <c r="AO192" s="37">
        <v>59451091.170000002</v>
      </c>
      <c r="AP192" s="37">
        <v>60640113</v>
      </c>
      <c r="AQ192" s="37">
        <v>61852915.259999998</v>
      </c>
      <c r="AR192" s="37">
        <v>566711050.54999995</v>
      </c>
      <c r="AS192" s="37">
        <v>74439902.120000005</v>
      </c>
      <c r="AT192" s="37">
        <v>0</v>
      </c>
      <c r="AU192" s="37">
        <v>0</v>
      </c>
      <c r="AV192" s="37">
        <v>0</v>
      </c>
      <c r="AW192" s="37">
        <v>0</v>
      </c>
      <c r="AX192" s="37">
        <v>0</v>
      </c>
      <c r="AY192" s="37">
        <v>0</v>
      </c>
      <c r="AZ192" s="37">
        <v>0</v>
      </c>
      <c r="BA192" s="37">
        <v>0</v>
      </c>
      <c r="BB192" s="37">
        <v>0</v>
      </c>
      <c r="BC192" s="37">
        <v>0</v>
      </c>
      <c r="BD192" s="37">
        <v>0</v>
      </c>
      <c r="BE192" s="37">
        <v>13334000</v>
      </c>
      <c r="BF192" s="37">
        <v>0</v>
      </c>
      <c r="BG192" s="37">
        <v>0</v>
      </c>
      <c r="BH192" s="37">
        <v>0</v>
      </c>
      <c r="BI192" s="37">
        <v>0</v>
      </c>
      <c r="BJ192" s="37">
        <v>0</v>
      </c>
      <c r="BK192" s="37">
        <v>0</v>
      </c>
      <c r="BL192" s="37">
        <v>0</v>
      </c>
      <c r="BM192" s="37">
        <v>0</v>
      </c>
      <c r="BN192" s="37">
        <v>0</v>
      </c>
      <c r="BO192" s="37">
        <v>0</v>
      </c>
      <c r="BP192" s="37">
        <v>0</v>
      </c>
      <c r="BQ192" s="37">
        <v>11846000</v>
      </c>
      <c r="BR192" s="37">
        <v>0</v>
      </c>
      <c r="BS192" s="37">
        <v>0</v>
      </c>
      <c r="BT192" s="37">
        <v>0</v>
      </c>
      <c r="BU192" s="37">
        <v>0</v>
      </c>
      <c r="BV192" s="37">
        <v>0</v>
      </c>
      <c r="BW192" s="37">
        <v>0</v>
      </c>
      <c r="BX192" s="37">
        <v>0</v>
      </c>
      <c r="BY192" s="37">
        <v>0</v>
      </c>
      <c r="BZ192" s="37">
        <v>0</v>
      </c>
      <c r="CA192" s="37">
        <v>0</v>
      </c>
      <c r="CB192" s="37">
        <v>0</v>
      </c>
      <c r="CC192" s="37">
        <v>36520000</v>
      </c>
      <c r="CD192" s="37">
        <v>0</v>
      </c>
      <c r="CE192" s="37">
        <v>0</v>
      </c>
      <c r="CF192" s="37">
        <v>0</v>
      </c>
      <c r="CG192" s="37">
        <v>0</v>
      </c>
      <c r="CH192" s="37">
        <v>0</v>
      </c>
      <c r="CI192" s="37">
        <v>0</v>
      </c>
      <c r="CJ192" s="37">
        <v>0</v>
      </c>
      <c r="CK192" s="37">
        <v>0</v>
      </c>
      <c r="CL192" s="37">
        <v>0</v>
      </c>
      <c r="CM192" s="37">
        <v>0</v>
      </c>
      <c r="CN192" s="37">
        <v>0</v>
      </c>
      <c r="CO192" s="37">
        <v>0</v>
      </c>
      <c r="CP192" s="37">
        <v>0</v>
      </c>
      <c r="CQ192" s="37">
        <v>0</v>
      </c>
      <c r="CR192" s="37">
        <v>0</v>
      </c>
      <c r="CS192" s="37">
        <v>0</v>
      </c>
      <c r="CT192" s="37">
        <v>0</v>
      </c>
      <c r="CU192" s="37">
        <v>0</v>
      </c>
      <c r="CV192" s="37">
        <v>0</v>
      </c>
      <c r="CW192" s="37">
        <v>0</v>
      </c>
      <c r="CX192" s="37">
        <v>0</v>
      </c>
      <c r="CY192" s="37">
        <v>0</v>
      </c>
      <c r="CZ192" s="37">
        <v>0</v>
      </c>
      <c r="DA192" s="37">
        <v>0</v>
      </c>
      <c r="DB192" s="37">
        <v>0</v>
      </c>
      <c r="DC192" s="37">
        <v>0</v>
      </c>
      <c r="DD192" s="37">
        <v>0</v>
      </c>
      <c r="DE192" s="37">
        <v>0</v>
      </c>
      <c r="DF192" s="37">
        <v>0</v>
      </c>
      <c r="DG192" s="37">
        <v>0</v>
      </c>
      <c r="DH192" s="37">
        <v>0</v>
      </c>
      <c r="DI192" s="37">
        <v>0</v>
      </c>
      <c r="DJ192" s="37">
        <v>0</v>
      </c>
      <c r="DK192" s="37">
        <v>0</v>
      </c>
      <c r="DL192" s="37">
        <v>0</v>
      </c>
      <c r="DM192" s="37">
        <v>0</v>
      </c>
      <c r="DN192" s="37">
        <v>0</v>
      </c>
      <c r="DO192" s="37">
        <v>0</v>
      </c>
      <c r="DP192" s="37">
        <v>0</v>
      </c>
      <c r="DQ192" s="37">
        <v>0</v>
      </c>
      <c r="DR192" s="37">
        <v>0</v>
      </c>
      <c r="DS192" s="37">
        <v>0</v>
      </c>
      <c r="DT192" s="37">
        <v>0</v>
      </c>
      <c r="DU192" s="37">
        <v>0</v>
      </c>
      <c r="DV192" s="37">
        <v>0</v>
      </c>
      <c r="DW192" s="37">
        <v>0</v>
      </c>
      <c r="DX192" s="37">
        <v>0</v>
      </c>
      <c r="DY192" s="37">
        <v>0</v>
      </c>
      <c r="DZ192" s="37">
        <v>0</v>
      </c>
      <c r="EA192" s="37">
        <v>0</v>
      </c>
      <c r="EB192" s="37">
        <v>0</v>
      </c>
      <c r="EC192" s="37">
        <v>0</v>
      </c>
      <c r="ED192" s="37">
        <v>0</v>
      </c>
      <c r="EE192" s="37">
        <v>0</v>
      </c>
      <c r="EF192" s="37">
        <v>0</v>
      </c>
      <c r="EG192" s="37">
        <v>0</v>
      </c>
      <c r="EH192" s="37">
        <v>0</v>
      </c>
      <c r="EI192" s="37">
        <v>0</v>
      </c>
      <c r="EJ192" s="37">
        <v>0</v>
      </c>
      <c r="EK192" s="161" t="s">
        <v>1788</v>
      </c>
      <c r="EL192" s="294" t="s">
        <v>1124</v>
      </c>
    </row>
    <row r="193" spans="1:142" ht="15" customHeight="1" x14ac:dyDescent="0.35">
      <c r="A193" s="34"/>
      <c r="B193" s="313">
        <v>92055</v>
      </c>
      <c r="C193" s="8" t="s">
        <v>954</v>
      </c>
      <c r="D193" s="18">
        <v>2</v>
      </c>
      <c r="E193" s="155">
        <v>73393</v>
      </c>
      <c r="F193" s="36">
        <v>31827</v>
      </c>
      <c r="G193" s="37">
        <v>14691</v>
      </c>
      <c r="H193" s="37">
        <v>0</v>
      </c>
      <c r="I193" s="37">
        <v>23629</v>
      </c>
      <c r="J193" s="37">
        <v>0</v>
      </c>
      <c r="K193" s="37">
        <v>11008.949999999999</v>
      </c>
      <c r="L193" s="37">
        <v>4774.05</v>
      </c>
      <c r="M193" s="37">
        <v>122721.95</v>
      </c>
      <c r="N193" s="37">
        <v>36601.050000000003</v>
      </c>
      <c r="O193" s="37">
        <v>7500</v>
      </c>
      <c r="P193" s="37">
        <v>0</v>
      </c>
      <c r="Q193" s="37">
        <v>102500</v>
      </c>
      <c r="R193" s="37">
        <v>0</v>
      </c>
      <c r="S193" s="37">
        <v>0</v>
      </c>
      <c r="T193" s="37">
        <v>0</v>
      </c>
      <c r="U193" s="37">
        <v>37051</v>
      </c>
      <c r="V193" s="37">
        <v>0</v>
      </c>
      <c r="W193" s="37">
        <v>0</v>
      </c>
      <c r="X193" s="37">
        <v>12272</v>
      </c>
      <c r="Y193" s="37">
        <v>0</v>
      </c>
      <c r="Z193" s="37">
        <v>0</v>
      </c>
      <c r="AA193" s="37">
        <v>147051</v>
      </c>
      <c r="AB193" s="37">
        <v>12272</v>
      </c>
      <c r="AC193" s="37">
        <v>0</v>
      </c>
      <c r="AD193" s="37">
        <v>0</v>
      </c>
      <c r="AE193" s="37">
        <v>50000</v>
      </c>
      <c r="AF193" s="168">
        <v>0.02</v>
      </c>
      <c r="AG193" s="37">
        <v>15231970.83</v>
      </c>
      <c r="AH193" s="37">
        <v>128357.87</v>
      </c>
      <c r="AI193" s="37">
        <v>141537.10999999999</v>
      </c>
      <c r="AJ193" s="37">
        <v>144367.85</v>
      </c>
      <c r="AK193" s="37">
        <v>136214.39999999999</v>
      </c>
      <c r="AL193" s="37">
        <v>138938.69</v>
      </c>
      <c r="AM193" s="37">
        <v>141717.46</v>
      </c>
      <c r="AN193" s="37">
        <v>144551.81</v>
      </c>
      <c r="AO193" s="37">
        <v>147442.85</v>
      </c>
      <c r="AP193" s="37">
        <v>150391.71</v>
      </c>
      <c r="AQ193" s="37">
        <v>153399.54</v>
      </c>
      <c r="AR193" s="37">
        <v>1426919.29</v>
      </c>
      <c r="AS193" s="37">
        <v>246621.62</v>
      </c>
      <c r="AT193" s="37">
        <v>260100</v>
      </c>
      <c r="AU193" s="37">
        <v>0</v>
      </c>
      <c r="AV193" s="37">
        <v>0</v>
      </c>
      <c r="AW193" s="37">
        <v>0</v>
      </c>
      <c r="AX193" s="37">
        <v>0</v>
      </c>
      <c r="AY193" s="37">
        <v>0</v>
      </c>
      <c r="AZ193" s="37">
        <v>0</v>
      </c>
      <c r="BA193" s="37">
        <v>0</v>
      </c>
      <c r="BB193" s="37">
        <v>0</v>
      </c>
      <c r="BC193" s="37">
        <v>0</v>
      </c>
      <c r="BD193" s="37">
        <v>260100</v>
      </c>
      <c r="BE193" s="37">
        <v>495514</v>
      </c>
      <c r="BF193" s="37">
        <v>470320</v>
      </c>
      <c r="BG193" s="37">
        <v>0</v>
      </c>
      <c r="BH193" s="37">
        <v>0</v>
      </c>
      <c r="BI193" s="37">
        <v>0</v>
      </c>
      <c r="BJ193" s="37">
        <v>0</v>
      </c>
      <c r="BK193" s="37">
        <v>0</v>
      </c>
      <c r="BL193" s="37">
        <v>0</v>
      </c>
      <c r="BM193" s="37">
        <v>0</v>
      </c>
      <c r="BN193" s="37">
        <v>0</v>
      </c>
      <c r="BO193" s="37">
        <v>0</v>
      </c>
      <c r="BP193" s="37">
        <v>470320</v>
      </c>
      <c r="BQ193" s="37">
        <v>0</v>
      </c>
      <c r="BR193" s="37">
        <v>117581</v>
      </c>
      <c r="BS193" s="37">
        <v>0</v>
      </c>
      <c r="BT193" s="37">
        <v>0</v>
      </c>
      <c r="BU193" s="37">
        <v>0</v>
      </c>
      <c r="BV193" s="37">
        <v>0</v>
      </c>
      <c r="BW193" s="37">
        <v>0</v>
      </c>
      <c r="BX193" s="37">
        <v>0</v>
      </c>
      <c r="BY193" s="37">
        <v>0</v>
      </c>
      <c r="BZ193" s="37">
        <v>0</v>
      </c>
      <c r="CA193" s="37">
        <v>0</v>
      </c>
      <c r="CB193" s="37">
        <v>117581</v>
      </c>
      <c r="CC193" s="37">
        <v>0</v>
      </c>
      <c r="CD193" s="37">
        <v>0</v>
      </c>
      <c r="CE193" s="37">
        <v>0</v>
      </c>
      <c r="CF193" s="37">
        <v>0</v>
      </c>
      <c r="CG193" s="37">
        <v>0</v>
      </c>
      <c r="CH193" s="37">
        <v>0</v>
      </c>
      <c r="CI193" s="37">
        <v>0</v>
      </c>
      <c r="CJ193" s="37">
        <v>0</v>
      </c>
      <c r="CK193" s="37">
        <v>0</v>
      </c>
      <c r="CL193" s="37">
        <v>0</v>
      </c>
      <c r="CM193" s="37">
        <v>0</v>
      </c>
      <c r="CN193" s="37">
        <v>0</v>
      </c>
      <c r="CO193" s="37">
        <v>0</v>
      </c>
      <c r="CP193" s="37">
        <v>0</v>
      </c>
      <c r="CQ193" s="37">
        <v>0</v>
      </c>
      <c r="CR193" s="37">
        <v>0</v>
      </c>
      <c r="CS193" s="37">
        <v>0</v>
      </c>
      <c r="CT193" s="37">
        <v>0</v>
      </c>
      <c r="CU193" s="37">
        <v>0</v>
      </c>
      <c r="CV193" s="37">
        <v>0</v>
      </c>
      <c r="CW193" s="37">
        <v>0</v>
      </c>
      <c r="CX193" s="37">
        <v>0</v>
      </c>
      <c r="CY193" s="37">
        <v>0</v>
      </c>
      <c r="CZ193" s="37">
        <v>0</v>
      </c>
      <c r="DA193" s="37">
        <v>0</v>
      </c>
      <c r="DB193" s="37">
        <v>0</v>
      </c>
      <c r="DC193" s="37">
        <v>0</v>
      </c>
      <c r="DD193" s="37">
        <v>0</v>
      </c>
      <c r="DE193" s="37">
        <v>0</v>
      </c>
      <c r="DF193" s="37">
        <v>0</v>
      </c>
      <c r="DG193" s="37">
        <v>0</v>
      </c>
      <c r="DH193" s="37">
        <v>0</v>
      </c>
      <c r="DI193" s="37">
        <v>0</v>
      </c>
      <c r="DJ193" s="37">
        <v>0</v>
      </c>
      <c r="DK193" s="37">
        <v>0</v>
      </c>
      <c r="DL193" s="37">
        <v>0</v>
      </c>
      <c r="DM193" s="37">
        <v>0</v>
      </c>
      <c r="DN193" s="37">
        <v>0</v>
      </c>
      <c r="DO193" s="37">
        <v>0</v>
      </c>
      <c r="DP193" s="37">
        <v>0</v>
      </c>
      <c r="DQ193" s="37">
        <v>0</v>
      </c>
      <c r="DR193" s="37">
        <v>0</v>
      </c>
      <c r="DS193" s="37">
        <v>0</v>
      </c>
      <c r="DT193" s="37">
        <v>0</v>
      </c>
      <c r="DU193" s="37">
        <v>0</v>
      </c>
      <c r="DV193" s="37">
        <v>0</v>
      </c>
      <c r="DW193" s="37">
        <v>0</v>
      </c>
      <c r="DX193" s="37">
        <v>0</v>
      </c>
      <c r="DY193" s="37">
        <v>0</v>
      </c>
      <c r="DZ193" s="37">
        <v>0</v>
      </c>
      <c r="EA193" s="37">
        <v>0</v>
      </c>
      <c r="EB193" s="37">
        <v>0</v>
      </c>
      <c r="EC193" s="37">
        <v>0</v>
      </c>
      <c r="ED193" s="37">
        <v>0</v>
      </c>
      <c r="EE193" s="37">
        <v>0</v>
      </c>
      <c r="EF193" s="37">
        <v>0</v>
      </c>
      <c r="EG193" s="37">
        <v>0</v>
      </c>
      <c r="EH193" s="37">
        <v>0</v>
      </c>
      <c r="EI193" s="37">
        <v>0</v>
      </c>
      <c r="EJ193" s="37">
        <v>0</v>
      </c>
      <c r="EK193" s="161" t="s">
        <v>1792</v>
      </c>
      <c r="EL193" s="294" t="s">
        <v>1124</v>
      </c>
    </row>
    <row r="194" spans="1:142" ht="15" customHeight="1" x14ac:dyDescent="0.35">
      <c r="A194" s="34"/>
      <c r="B194" s="313">
        <v>96010</v>
      </c>
      <c r="C194" s="8" t="s">
        <v>995</v>
      </c>
      <c r="D194" s="18">
        <v>9</v>
      </c>
      <c r="E194" s="155"/>
      <c r="F194" s="36"/>
      <c r="G194" s="37"/>
      <c r="H194" s="37"/>
      <c r="I194" s="37"/>
      <c r="J194" s="37"/>
      <c r="K194" s="37"/>
      <c r="L194" s="37"/>
      <c r="M194" s="37" t="s">
        <v>1124</v>
      </c>
      <c r="N194" s="37" t="s">
        <v>1124</v>
      </c>
      <c r="O194" s="37"/>
      <c r="P194" s="37"/>
      <c r="Q194" s="37"/>
      <c r="R194" s="37"/>
      <c r="S194" s="37"/>
      <c r="T194" s="37"/>
      <c r="U194" s="37"/>
      <c r="V194" s="37"/>
      <c r="W194" s="37"/>
      <c r="X194" s="37"/>
      <c r="Y194" s="37"/>
      <c r="Z194" s="37"/>
      <c r="AA194" s="37" t="s">
        <v>1124</v>
      </c>
      <c r="AB194" s="37" t="s">
        <v>1124</v>
      </c>
      <c r="AC194" s="37"/>
      <c r="AD194" s="37"/>
      <c r="AE194" s="37"/>
      <c r="AF194" s="168"/>
      <c r="AG194" s="37"/>
      <c r="AH194" s="37"/>
      <c r="AI194" s="37"/>
      <c r="AJ194" s="37"/>
      <c r="AK194" s="37"/>
      <c r="AL194" s="37"/>
      <c r="AM194" s="37"/>
      <c r="AN194" s="37"/>
      <c r="AO194" s="37"/>
      <c r="AP194" s="37"/>
      <c r="AQ194" s="37"/>
      <c r="AR194" s="37" t="s">
        <v>1124</v>
      </c>
      <c r="AS194" s="37"/>
      <c r="AT194" s="37"/>
      <c r="AU194" s="37"/>
      <c r="AV194" s="37"/>
      <c r="AW194" s="37"/>
      <c r="AX194" s="37"/>
      <c r="AY194" s="37"/>
      <c r="AZ194" s="37"/>
      <c r="BA194" s="37"/>
      <c r="BB194" s="37"/>
      <c r="BC194" s="37"/>
      <c r="BD194" s="37" t="s">
        <v>1124</v>
      </c>
      <c r="BE194" s="37"/>
      <c r="BF194" s="37"/>
      <c r="BG194" s="37"/>
      <c r="BH194" s="37"/>
      <c r="BI194" s="37"/>
      <c r="BJ194" s="37"/>
      <c r="BK194" s="37"/>
      <c r="BL194" s="37"/>
      <c r="BM194" s="37"/>
      <c r="BN194" s="37"/>
      <c r="BO194" s="37"/>
      <c r="BP194" s="37">
        <v>0</v>
      </c>
      <c r="BQ194" s="37"/>
      <c r="BR194" s="37"/>
      <c r="BS194" s="37"/>
      <c r="BT194" s="37"/>
      <c r="BU194" s="37"/>
      <c r="BV194" s="37"/>
      <c r="BW194" s="37"/>
      <c r="BX194" s="37"/>
      <c r="BY194" s="37"/>
      <c r="BZ194" s="37"/>
      <c r="CA194" s="37"/>
      <c r="CB194" s="37" t="s">
        <v>1124</v>
      </c>
      <c r="CC194" s="37"/>
      <c r="CD194" s="37"/>
      <c r="CE194" s="37"/>
      <c r="CF194" s="37"/>
      <c r="CG194" s="37"/>
      <c r="CH194" s="37"/>
      <c r="CI194" s="37"/>
      <c r="CJ194" s="37"/>
      <c r="CK194" s="37"/>
      <c r="CL194" s="37"/>
      <c r="CM194" s="37"/>
      <c r="CN194" s="37" t="s">
        <v>1124</v>
      </c>
      <c r="CO194" s="37"/>
      <c r="CP194" s="37"/>
      <c r="CQ194" s="37"/>
      <c r="CR194" s="37"/>
      <c r="CS194" s="37"/>
      <c r="CT194" s="37"/>
      <c r="CU194" s="37"/>
      <c r="CV194" s="37"/>
      <c r="CW194" s="37"/>
      <c r="CX194" s="37"/>
      <c r="CY194" s="37"/>
      <c r="CZ194" s="37" t="s">
        <v>1124</v>
      </c>
      <c r="DA194" s="37"/>
      <c r="DB194" s="37"/>
      <c r="DC194" s="37"/>
      <c r="DD194" s="37"/>
      <c r="DE194" s="37"/>
      <c r="DF194" s="37"/>
      <c r="DG194" s="37"/>
      <c r="DH194" s="37"/>
      <c r="DI194" s="37"/>
      <c r="DJ194" s="37"/>
      <c r="DK194" s="37"/>
      <c r="DL194" s="37" t="s">
        <v>1124</v>
      </c>
      <c r="DM194" s="37"/>
      <c r="DN194" s="37"/>
      <c r="DO194" s="37"/>
      <c r="DP194" s="37"/>
      <c r="DQ194" s="37"/>
      <c r="DR194" s="37"/>
      <c r="DS194" s="37"/>
      <c r="DT194" s="37"/>
      <c r="DU194" s="37"/>
      <c r="DV194" s="37"/>
      <c r="DW194" s="37"/>
      <c r="DX194" s="37" t="s">
        <v>1124</v>
      </c>
      <c r="DY194" s="37"/>
      <c r="DZ194" s="37"/>
      <c r="EA194" s="37"/>
      <c r="EB194" s="37"/>
      <c r="EC194" s="37"/>
      <c r="ED194" s="37"/>
      <c r="EE194" s="37"/>
      <c r="EF194" s="37"/>
      <c r="EG194" s="37"/>
      <c r="EH194" s="37"/>
      <c r="EI194" s="37"/>
      <c r="EJ194" s="37" t="s">
        <v>1124</v>
      </c>
      <c r="EK194" s="161"/>
      <c r="EL194" s="294"/>
    </row>
    <row r="195" spans="1:142" ht="15" customHeight="1" x14ac:dyDescent="0.35">
      <c r="A195" s="34"/>
      <c r="B195" s="313">
        <v>69060</v>
      </c>
      <c r="C195" s="8" t="s">
        <v>693</v>
      </c>
      <c r="D195" s="18">
        <v>16</v>
      </c>
      <c r="E195" s="155"/>
      <c r="F195" s="36"/>
      <c r="G195" s="37"/>
      <c r="H195" s="37"/>
      <c r="I195" s="37"/>
      <c r="J195" s="37"/>
      <c r="K195" s="37"/>
      <c r="L195" s="37"/>
      <c r="M195" s="37" t="s">
        <v>1124</v>
      </c>
      <c r="N195" s="37" t="s">
        <v>1124</v>
      </c>
      <c r="O195" s="37"/>
      <c r="P195" s="37"/>
      <c r="Q195" s="37"/>
      <c r="R195" s="37"/>
      <c r="S195" s="37"/>
      <c r="T195" s="37"/>
      <c r="U195" s="37"/>
      <c r="V195" s="37"/>
      <c r="W195" s="37"/>
      <c r="X195" s="37"/>
      <c r="Y195" s="37"/>
      <c r="Z195" s="37"/>
      <c r="AA195" s="37" t="s">
        <v>1124</v>
      </c>
      <c r="AB195" s="37" t="s">
        <v>1124</v>
      </c>
      <c r="AC195" s="37"/>
      <c r="AD195" s="37"/>
      <c r="AE195" s="37"/>
      <c r="AF195" s="168"/>
      <c r="AG195" s="37"/>
      <c r="AH195" s="37"/>
      <c r="AI195" s="37"/>
      <c r="AJ195" s="37"/>
      <c r="AK195" s="37"/>
      <c r="AL195" s="37"/>
      <c r="AM195" s="37"/>
      <c r="AN195" s="37"/>
      <c r="AO195" s="37"/>
      <c r="AP195" s="37"/>
      <c r="AQ195" s="37"/>
      <c r="AR195" s="37" t="s">
        <v>1124</v>
      </c>
      <c r="AS195" s="37"/>
      <c r="AT195" s="37"/>
      <c r="AU195" s="37"/>
      <c r="AV195" s="37"/>
      <c r="AW195" s="37"/>
      <c r="AX195" s="37"/>
      <c r="AY195" s="37"/>
      <c r="AZ195" s="37"/>
      <c r="BA195" s="37"/>
      <c r="BB195" s="37"/>
      <c r="BC195" s="37"/>
      <c r="BD195" s="37" t="s">
        <v>1124</v>
      </c>
      <c r="BE195" s="37"/>
      <c r="BF195" s="37"/>
      <c r="BG195" s="37"/>
      <c r="BH195" s="37"/>
      <c r="BI195" s="37"/>
      <c r="BJ195" s="37"/>
      <c r="BK195" s="37"/>
      <c r="BL195" s="37"/>
      <c r="BM195" s="37"/>
      <c r="BN195" s="37"/>
      <c r="BO195" s="37"/>
      <c r="BP195" s="37">
        <v>0</v>
      </c>
      <c r="BQ195" s="37"/>
      <c r="BR195" s="37"/>
      <c r="BS195" s="37"/>
      <c r="BT195" s="37"/>
      <c r="BU195" s="37"/>
      <c r="BV195" s="37"/>
      <c r="BW195" s="37"/>
      <c r="BX195" s="37"/>
      <c r="BY195" s="37"/>
      <c r="BZ195" s="37"/>
      <c r="CA195" s="37"/>
      <c r="CB195" s="37" t="s">
        <v>1124</v>
      </c>
      <c r="CC195" s="37"/>
      <c r="CD195" s="37"/>
      <c r="CE195" s="37"/>
      <c r="CF195" s="37"/>
      <c r="CG195" s="37"/>
      <c r="CH195" s="37"/>
      <c r="CI195" s="37"/>
      <c r="CJ195" s="37"/>
      <c r="CK195" s="37"/>
      <c r="CL195" s="37"/>
      <c r="CM195" s="37"/>
      <c r="CN195" s="37" t="s">
        <v>1124</v>
      </c>
      <c r="CO195" s="37"/>
      <c r="CP195" s="37"/>
      <c r="CQ195" s="37"/>
      <c r="CR195" s="37"/>
      <c r="CS195" s="37"/>
      <c r="CT195" s="37"/>
      <c r="CU195" s="37"/>
      <c r="CV195" s="37"/>
      <c r="CW195" s="37"/>
      <c r="CX195" s="37"/>
      <c r="CY195" s="37"/>
      <c r="CZ195" s="37" t="s">
        <v>1124</v>
      </c>
      <c r="DA195" s="37"/>
      <c r="DB195" s="37"/>
      <c r="DC195" s="37"/>
      <c r="DD195" s="37"/>
      <c r="DE195" s="37"/>
      <c r="DF195" s="37"/>
      <c r="DG195" s="37"/>
      <c r="DH195" s="37"/>
      <c r="DI195" s="37"/>
      <c r="DJ195" s="37"/>
      <c r="DK195" s="37"/>
      <c r="DL195" s="37" t="s">
        <v>1124</v>
      </c>
      <c r="DM195" s="37"/>
      <c r="DN195" s="37"/>
      <c r="DO195" s="37"/>
      <c r="DP195" s="37"/>
      <c r="DQ195" s="37"/>
      <c r="DR195" s="37"/>
      <c r="DS195" s="37"/>
      <c r="DT195" s="37"/>
      <c r="DU195" s="37"/>
      <c r="DV195" s="37"/>
      <c r="DW195" s="37"/>
      <c r="DX195" s="37" t="s">
        <v>1124</v>
      </c>
      <c r="DY195" s="37"/>
      <c r="DZ195" s="37"/>
      <c r="EA195" s="37"/>
      <c r="EB195" s="37"/>
      <c r="EC195" s="37"/>
      <c r="ED195" s="37"/>
      <c r="EE195" s="37"/>
      <c r="EF195" s="37"/>
      <c r="EG195" s="37"/>
      <c r="EH195" s="37"/>
      <c r="EI195" s="37"/>
      <c r="EJ195" s="37" t="s">
        <v>1124</v>
      </c>
      <c r="EK195" s="161"/>
      <c r="EL195" s="294"/>
    </row>
    <row r="196" spans="1:142" ht="15" customHeight="1" x14ac:dyDescent="0.35">
      <c r="A196" s="34"/>
      <c r="B196" s="313">
        <v>76025</v>
      </c>
      <c r="C196" s="8" t="s">
        <v>749</v>
      </c>
      <c r="D196" s="18">
        <v>15</v>
      </c>
      <c r="E196" s="155"/>
      <c r="F196" s="36"/>
      <c r="G196" s="37"/>
      <c r="H196" s="37"/>
      <c r="I196" s="37"/>
      <c r="J196" s="37"/>
      <c r="K196" s="37"/>
      <c r="L196" s="37"/>
      <c r="M196" s="37" t="s">
        <v>1124</v>
      </c>
      <c r="N196" s="37" t="s">
        <v>1124</v>
      </c>
      <c r="O196" s="37"/>
      <c r="P196" s="37"/>
      <c r="Q196" s="37"/>
      <c r="R196" s="37"/>
      <c r="S196" s="37"/>
      <c r="T196" s="37"/>
      <c r="U196" s="37"/>
      <c r="V196" s="37"/>
      <c r="W196" s="37"/>
      <c r="X196" s="37"/>
      <c r="Y196" s="37"/>
      <c r="Z196" s="37"/>
      <c r="AA196" s="37" t="s">
        <v>1124</v>
      </c>
      <c r="AB196" s="37" t="s">
        <v>1124</v>
      </c>
      <c r="AC196" s="37"/>
      <c r="AD196" s="37"/>
      <c r="AE196" s="37"/>
      <c r="AF196" s="168"/>
      <c r="AG196" s="37"/>
      <c r="AH196" s="37"/>
      <c r="AI196" s="37"/>
      <c r="AJ196" s="37"/>
      <c r="AK196" s="37"/>
      <c r="AL196" s="37"/>
      <c r="AM196" s="37"/>
      <c r="AN196" s="37"/>
      <c r="AO196" s="37"/>
      <c r="AP196" s="37"/>
      <c r="AQ196" s="37"/>
      <c r="AR196" s="37" t="s">
        <v>1124</v>
      </c>
      <c r="AS196" s="37"/>
      <c r="AT196" s="37"/>
      <c r="AU196" s="37"/>
      <c r="AV196" s="37"/>
      <c r="AW196" s="37"/>
      <c r="AX196" s="37"/>
      <c r="AY196" s="37"/>
      <c r="AZ196" s="37"/>
      <c r="BA196" s="37"/>
      <c r="BB196" s="37"/>
      <c r="BC196" s="37"/>
      <c r="BD196" s="37" t="s">
        <v>1124</v>
      </c>
      <c r="BE196" s="37"/>
      <c r="BF196" s="37"/>
      <c r="BG196" s="37"/>
      <c r="BH196" s="37"/>
      <c r="BI196" s="37"/>
      <c r="BJ196" s="37"/>
      <c r="BK196" s="37"/>
      <c r="BL196" s="37"/>
      <c r="BM196" s="37"/>
      <c r="BN196" s="37"/>
      <c r="BO196" s="37"/>
      <c r="BP196" s="37">
        <v>0</v>
      </c>
      <c r="BQ196" s="37"/>
      <c r="BR196" s="37"/>
      <c r="BS196" s="37"/>
      <c r="BT196" s="37"/>
      <c r="BU196" s="37"/>
      <c r="BV196" s="37"/>
      <c r="BW196" s="37"/>
      <c r="BX196" s="37"/>
      <c r="BY196" s="37"/>
      <c r="BZ196" s="37"/>
      <c r="CA196" s="37"/>
      <c r="CB196" s="37" t="s">
        <v>1124</v>
      </c>
      <c r="CC196" s="37"/>
      <c r="CD196" s="37"/>
      <c r="CE196" s="37"/>
      <c r="CF196" s="37"/>
      <c r="CG196" s="37"/>
      <c r="CH196" s="37"/>
      <c r="CI196" s="37"/>
      <c r="CJ196" s="37"/>
      <c r="CK196" s="37"/>
      <c r="CL196" s="37"/>
      <c r="CM196" s="37"/>
      <c r="CN196" s="37" t="s">
        <v>1124</v>
      </c>
      <c r="CO196" s="37"/>
      <c r="CP196" s="37"/>
      <c r="CQ196" s="37"/>
      <c r="CR196" s="37"/>
      <c r="CS196" s="37"/>
      <c r="CT196" s="37"/>
      <c r="CU196" s="37"/>
      <c r="CV196" s="37"/>
      <c r="CW196" s="37"/>
      <c r="CX196" s="37"/>
      <c r="CY196" s="37"/>
      <c r="CZ196" s="37" t="s">
        <v>1124</v>
      </c>
      <c r="DA196" s="37"/>
      <c r="DB196" s="37"/>
      <c r="DC196" s="37"/>
      <c r="DD196" s="37"/>
      <c r="DE196" s="37"/>
      <c r="DF196" s="37"/>
      <c r="DG196" s="37"/>
      <c r="DH196" s="37"/>
      <c r="DI196" s="37"/>
      <c r="DJ196" s="37"/>
      <c r="DK196" s="37"/>
      <c r="DL196" s="37" t="s">
        <v>1124</v>
      </c>
      <c r="DM196" s="37"/>
      <c r="DN196" s="37"/>
      <c r="DO196" s="37"/>
      <c r="DP196" s="37"/>
      <c r="DQ196" s="37"/>
      <c r="DR196" s="37"/>
      <c r="DS196" s="37"/>
      <c r="DT196" s="37"/>
      <c r="DU196" s="37"/>
      <c r="DV196" s="37"/>
      <c r="DW196" s="37"/>
      <c r="DX196" s="37" t="s">
        <v>1124</v>
      </c>
      <c r="DY196" s="37"/>
      <c r="DZ196" s="37"/>
      <c r="EA196" s="37"/>
      <c r="EB196" s="37"/>
      <c r="EC196" s="37"/>
      <c r="ED196" s="37"/>
      <c r="EE196" s="37"/>
      <c r="EF196" s="37"/>
      <c r="EG196" s="37"/>
      <c r="EH196" s="37"/>
      <c r="EI196" s="37"/>
      <c r="EJ196" s="37" t="s">
        <v>1124</v>
      </c>
      <c r="EK196" s="161"/>
      <c r="EL196" s="294"/>
    </row>
    <row r="197" spans="1:142" ht="15" customHeight="1" x14ac:dyDescent="0.35">
      <c r="A197" s="34"/>
      <c r="B197" s="313">
        <v>99060</v>
      </c>
      <c r="C197" s="8" t="s">
        <v>1023</v>
      </c>
      <c r="D197" s="18">
        <v>10</v>
      </c>
      <c r="E197" s="155"/>
      <c r="F197" s="36"/>
      <c r="G197" s="37"/>
      <c r="H197" s="37"/>
      <c r="I197" s="37"/>
      <c r="J197" s="37"/>
      <c r="K197" s="37"/>
      <c r="L197" s="37"/>
      <c r="M197" s="37" t="s">
        <v>1124</v>
      </c>
      <c r="N197" s="37" t="s">
        <v>1124</v>
      </c>
      <c r="O197" s="37"/>
      <c r="P197" s="37"/>
      <c r="Q197" s="37"/>
      <c r="R197" s="37"/>
      <c r="S197" s="37"/>
      <c r="T197" s="37"/>
      <c r="U197" s="37"/>
      <c r="V197" s="37"/>
      <c r="W197" s="37"/>
      <c r="X197" s="37"/>
      <c r="Y197" s="37"/>
      <c r="Z197" s="37"/>
      <c r="AA197" s="37" t="s">
        <v>1124</v>
      </c>
      <c r="AB197" s="37" t="s">
        <v>1124</v>
      </c>
      <c r="AC197" s="37"/>
      <c r="AD197" s="37"/>
      <c r="AE197" s="37"/>
      <c r="AF197" s="168"/>
      <c r="AG197" s="37"/>
      <c r="AH197" s="37"/>
      <c r="AI197" s="37"/>
      <c r="AJ197" s="37"/>
      <c r="AK197" s="37"/>
      <c r="AL197" s="37"/>
      <c r="AM197" s="37"/>
      <c r="AN197" s="37"/>
      <c r="AO197" s="37"/>
      <c r="AP197" s="37"/>
      <c r="AQ197" s="37"/>
      <c r="AR197" s="37" t="s">
        <v>1124</v>
      </c>
      <c r="AS197" s="37"/>
      <c r="AT197" s="37"/>
      <c r="AU197" s="37"/>
      <c r="AV197" s="37"/>
      <c r="AW197" s="37"/>
      <c r="AX197" s="37"/>
      <c r="AY197" s="37"/>
      <c r="AZ197" s="37"/>
      <c r="BA197" s="37"/>
      <c r="BB197" s="37"/>
      <c r="BC197" s="37"/>
      <c r="BD197" s="37" t="s">
        <v>1124</v>
      </c>
      <c r="BE197" s="37"/>
      <c r="BF197" s="37"/>
      <c r="BG197" s="37"/>
      <c r="BH197" s="37"/>
      <c r="BI197" s="37"/>
      <c r="BJ197" s="37"/>
      <c r="BK197" s="37"/>
      <c r="BL197" s="37"/>
      <c r="BM197" s="37"/>
      <c r="BN197" s="37"/>
      <c r="BO197" s="37"/>
      <c r="BP197" s="37">
        <v>0</v>
      </c>
      <c r="BQ197" s="37"/>
      <c r="BR197" s="37"/>
      <c r="BS197" s="37"/>
      <c r="BT197" s="37"/>
      <c r="BU197" s="37"/>
      <c r="BV197" s="37"/>
      <c r="BW197" s="37"/>
      <c r="BX197" s="37"/>
      <c r="BY197" s="37"/>
      <c r="BZ197" s="37"/>
      <c r="CA197" s="37"/>
      <c r="CB197" s="37" t="s">
        <v>1124</v>
      </c>
      <c r="CC197" s="37"/>
      <c r="CD197" s="37"/>
      <c r="CE197" s="37"/>
      <c r="CF197" s="37"/>
      <c r="CG197" s="37"/>
      <c r="CH197" s="37"/>
      <c r="CI197" s="37"/>
      <c r="CJ197" s="37"/>
      <c r="CK197" s="37"/>
      <c r="CL197" s="37"/>
      <c r="CM197" s="37"/>
      <c r="CN197" s="37" t="s">
        <v>1124</v>
      </c>
      <c r="CO197" s="37"/>
      <c r="CP197" s="37"/>
      <c r="CQ197" s="37"/>
      <c r="CR197" s="37"/>
      <c r="CS197" s="37"/>
      <c r="CT197" s="37"/>
      <c r="CU197" s="37"/>
      <c r="CV197" s="37"/>
      <c r="CW197" s="37"/>
      <c r="CX197" s="37"/>
      <c r="CY197" s="37"/>
      <c r="CZ197" s="37" t="s">
        <v>1124</v>
      </c>
      <c r="DA197" s="37"/>
      <c r="DB197" s="37"/>
      <c r="DC197" s="37"/>
      <c r="DD197" s="37"/>
      <c r="DE197" s="37"/>
      <c r="DF197" s="37"/>
      <c r="DG197" s="37"/>
      <c r="DH197" s="37"/>
      <c r="DI197" s="37"/>
      <c r="DJ197" s="37"/>
      <c r="DK197" s="37"/>
      <c r="DL197" s="37" t="s">
        <v>1124</v>
      </c>
      <c r="DM197" s="37"/>
      <c r="DN197" s="37"/>
      <c r="DO197" s="37"/>
      <c r="DP197" s="37"/>
      <c r="DQ197" s="37"/>
      <c r="DR197" s="37"/>
      <c r="DS197" s="37"/>
      <c r="DT197" s="37"/>
      <c r="DU197" s="37"/>
      <c r="DV197" s="37"/>
      <c r="DW197" s="37"/>
      <c r="DX197" s="37" t="s">
        <v>1124</v>
      </c>
      <c r="DY197" s="37"/>
      <c r="DZ197" s="37"/>
      <c r="EA197" s="37"/>
      <c r="EB197" s="37"/>
      <c r="EC197" s="37"/>
      <c r="ED197" s="37"/>
      <c r="EE197" s="37"/>
      <c r="EF197" s="37"/>
      <c r="EG197" s="37"/>
      <c r="EH197" s="37"/>
      <c r="EI197" s="37"/>
      <c r="EJ197" s="37" t="s">
        <v>1124</v>
      </c>
      <c r="EK197" s="161"/>
      <c r="EL197" s="294"/>
    </row>
    <row r="198" spans="1:142" ht="15" customHeight="1" x14ac:dyDescent="0.35">
      <c r="A198" s="34"/>
      <c r="B198" s="313">
        <v>83032</v>
      </c>
      <c r="C198" s="8" t="s">
        <v>839</v>
      </c>
      <c r="D198" s="18">
        <v>7</v>
      </c>
      <c r="E198" s="155"/>
      <c r="F198" s="36"/>
      <c r="G198" s="37"/>
      <c r="H198" s="37"/>
      <c r="I198" s="37"/>
      <c r="J198" s="37"/>
      <c r="K198" s="37"/>
      <c r="L198" s="37"/>
      <c r="M198" s="37" t="s">
        <v>1124</v>
      </c>
      <c r="N198" s="37" t="s">
        <v>1124</v>
      </c>
      <c r="O198" s="37"/>
      <c r="P198" s="37"/>
      <c r="Q198" s="37"/>
      <c r="R198" s="37"/>
      <c r="S198" s="37"/>
      <c r="T198" s="37"/>
      <c r="U198" s="37"/>
      <c r="V198" s="37"/>
      <c r="W198" s="37"/>
      <c r="X198" s="37"/>
      <c r="Y198" s="37"/>
      <c r="Z198" s="37"/>
      <c r="AA198" s="37" t="s">
        <v>1124</v>
      </c>
      <c r="AB198" s="37" t="s">
        <v>1124</v>
      </c>
      <c r="AC198" s="37"/>
      <c r="AD198" s="37"/>
      <c r="AE198" s="37"/>
      <c r="AF198" s="168"/>
      <c r="AG198" s="37"/>
      <c r="AH198" s="37"/>
      <c r="AI198" s="37"/>
      <c r="AJ198" s="37"/>
      <c r="AK198" s="37"/>
      <c r="AL198" s="37"/>
      <c r="AM198" s="37"/>
      <c r="AN198" s="37"/>
      <c r="AO198" s="37"/>
      <c r="AP198" s="37"/>
      <c r="AQ198" s="37"/>
      <c r="AR198" s="37" t="s">
        <v>1124</v>
      </c>
      <c r="AS198" s="37"/>
      <c r="AT198" s="37"/>
      <c r="AU198" s="37"/>
      <c r="AV198" s="37"/>
      <c r="AW198" s="37"/>
      <c r="AX198" s="37"/>
      <c r="AY198" s="37"/>
      <c r="AZ198" s="37"/>
      <c r="BA198" s="37"/>
      <c r="BB198" s="37"/>
      <c r="BC198" s="37"/>
      <c r="BD198" s="37" t="s">
        <v>1124</v>
      </c>
      <c r="BE198" s="37"/>
      <c r="BF198" s="37"/>
      <c r="BG198" s="37"/>
      <c r="BH198" s="37"/>
      <c r="BI198" s="37"/>
      <c r="BJ198" s="37"/>
      <c r="BK198" s="37"/>
      <c r="BL198" s="37"/>
      <c r="BM198" s="37"/>
      <c r="BN198" s="37"/>
      <c r="BO198" s="37"/>
      <c r="BP198" s="37">
        <v>0</v>
      </c>
      <c r="BQ198" s="37"/>
      <c r="BR198" s="37"/>
      <c r="BS198" s="37"/>
      <c r="BT198" s="37"/>
      <c r="BU198" s="37"/>
      <c r="BV198" s="37"/>
      <c r="BW198" s="37"/>
      <c r="BX198" s="37"/>
      <c r="BY198" s="37"/>
      <c r="BZ198" s="37"/>
      <c r="CA198" s="37"/>
      <c r="CB198" s="37" t="s">
        <v>1124</v>
      </c>
      <c r="CC198" s="37"/>
      <c r="CD198" s="37"/>
      <c r="CE198" s="37"/>
      <c r="CF198" s="37"/>
      <c r="CG198" s="37"/>
      <c r="CH198" s="37"/>
      <c r="CI198" s="37"/>
      <c r="CJ198" s="37"/>
      <c r="CK198" s="37"/>
      <c r="CL198" s="37"/>
      <c r="CM198" s="37"/>
      <c r="CN198" s="37" t="s">
        <v>1124</v>
      </c>
      <c r="CO198" s="37"/>
      <c r="CP198" s="37"/>
      <c r="CQ198" s="37"/>
      <c r="CR198" s="37"/>
      <c r="CS198" s="37"/>
      <c r="CT198" s="37"/>
      <c r="CU198" s="37"/>
      <c r="CV198" s="37"/>
      <c r="CW198" s="37"/>
      <c r="CX198" s="37"/>
      <c r="CY198" s="37"/>
      <c r="CZ198" s="37" t="s">
        <v>1124</v>
      </c>
      <c r="DA198" s="37"/>
      <c r="DB198" s="37"/>
      <c r="DC198" s="37"/>
      <c r="DD198" s="37"/>
      <c r="DE198" s="37"/>
      <c r="DF198" s="37"/>
      <c r="DG198" s="37"/>
      <c r="DH198" s="37"/>
      <c r="DI198" s="37"/>
      <c r="DJ198" s="37"/>
      <c r="DK198" s="37"/>
      <c r="DL198" s="37" t="s">
        <v>1124</v>
      </c>
      <c r="DM198" s="37"/>
      <c r="DN198" s="37"/>
      <c r="DO198" s="37"/>
      <c r="DP198" s="37"/>
      <c r="DQ198" s="37"/>
      <c r="DR198" s="37"/>
      <c r="DS198" s="37"/>
      <c r="DT198" s="37"/>
      <c r="DU198" s="37"/>
      <c r="DV198" s="37"/>
      <c r="DW198" s="37"/>
      <c r="DX198" s="37" t="s">
        <v>1124</v>
      </c>
      <c r="DY198" s="37"/>
      <c r="DZ198" s="37"/>
      <c r="EA198" s="37"/>
      <c r="EB198" s="37"/>
      <c r="EC198" s="37"/>
      <c r="ED198" s="37"/>
      <c r="EE198" s="37"/>
      <c r="EF198" s="37"/>
      <c r="EG198" s="37"/>
      <c r="EH198" s="37"/>
      <c r="EI198" s="37"/>
      <c r="EJ198" s="37" t="s">
        <v>1124</v>
      </c>
      <c r="EK198" s="161"/>
      <c r="EL198" s="294"/>
    </row>
    <row r="199" spans="1:142" ht="15" customHeight="1" x14ac:dyDescent="0.35">
      <c r="A199" s="34"/>
      <c r="B199" s="313">
        <v>47017</v>
      </c>
      <c r="C199" s="8" t="s">
        <v>449</v>
      </c>
      <c r="D199" s="18">
        <v>5</v>
      </c>
      <c r="E199" s="155">
        <v>3884607</v>
      </c>
      <c r="F199" s="36">
        <v>3810522</v>
      </c>
      <c r="G199" s="37">
        <v>162662</v>
      </c>
      <c r="H199" s="37">
        <v>283660</v>
      </c>
      <c r="I199" s="37">
        <v>740276</v>
      </c>
      <c r="J199" s="37">
        <v>1040920</v>
      </c>
      <c r="K199" s="37">
        <v>543845</v>
      </c>
      <c r="L199" s="37">
        <v>533473</v>
      </c>
      <c r="M199" s="37">
        <v>5331390</v>
      </c>
      <c r="N199" s="37">
        <v>5668575</v>
      </c>
      <c r="O199" s="37">
        <v>989662</v>
      </c>
      <c r="P199" s="37">
        <v>1501360</v>
      </c>
      <c r="Q199" s="37">
        <v>3960725</v>
      </c>
      <c r="R199" s="37">
        <v>3674542</v>
      </c>
      <c r="S199" s="37">
        <v>0</v>
      </c>
      <c r="T199" s="37">
        <v>14132</v>
      </c>
      <c r="U199" s="37">
        <v>234015</v>
      </c>
      <c r="V199" s="37">
        <v>231694</v>
      </c>
      <c r="W199" s="37">
        <v>393835</v>
      </c>
      <c r="X199" s="37">
        <v>0</v>
      </c>
      <c r="Y199" s="37">
        <v>0</v>
      </c>
      <c r="Z199" s="37">
        <v>0</v>
      </c>
      <c r="AA199" s="37">
        <v>5578237</v>
      </c>
      <c r="AB199" s="37">
        <v>5421728</v>
      </c>
      <c r="AC199" s="37">
        <v>0</v>
      </c>
      <c r="AD199" s="37">
        <v>0</v>
      </c>
      <c r="AE199" s="37">
        <v>0</v>
      </c>
      <c r="AF199" s="168">
        <v>0.02</v>
      </c>
      <c r="AG199" s="37">
        <v>1119216416.6300001</v>
      </c>
      <c r="AH199" s="37">
        <v>9604367.6799999997</v>
      </c>
      <c r="AI199" s="37">
        <v>9796455.0399999991</v>
      </c>
      <c r="AJ199" s="37">
        <v>9613532.8800000008</v>
      </c>
      <c r="AK199" s="37">
        <v>19006476.899999999</v>
      </c>
      <c r="AL199" s="37">
        <v>19386606.440000001</v>
      </c>
      <c r="AM199" s="37">
        <v>19314864.300000001</v>
      </c>
      <c r="AN199" s="37">
        <v>9937333.4100000001</v>
      </c>
      <c r="AO199" s="37">
        <v>10136080.08</v>
      </c>
      <c r="AP199" s="37">
        <v>10338801.68</v>
      </c>
      <c r="AQ199" s="37">
        <v>6117970.4800000004</v>
      </c>
      <c r="AR199" s="37">
        <v>123252488.88999999</v>
      </c>
      <c r="AS199" s="37">
        <v>28502382.239999998</v>
      </c>
      <c r="AT199" s="37">
        <v>715734</v>
      </c>
      <c r="AU199" s="37">
        <v>857393.64</v>
      </c>
      <c r="AV199" s="37">
        <v>12383236.15</v>
      </c>
      <c r="AW199" s="37">
        <v>31105852.98</v>
      </c>
      <c r="AX199" s="37">
        <v>26727588.079999998</v>
      </c>
      <c r="AY199" s="37">
        <v>19604235.390000001</v>
      </c>
      <c r="AZ199" s="37">
        <v>0</v>
      </c>
      <c r="BA199" s="37">
        <v>0</v>
      </c>
      <c r="BB199" s="37">
        <v>0</v>
      </c>
      <c r="BC199" s="37">
        <v>0</v>
      </c>
      <c r="BD199" s="37">
        <v>91394040.24000001</v>
      </c>
      <c r="BE199" s="37">
        <v>228000</v>
      </c>
      <c r="BF199" s="37">
        <v>16305097</v>
      </c>
      <c r="BG199" s="37">
        <v>5263454</v>
      </c>
      <c r="BH199" s="37">
        <v>1050000</v>
      </c>
      <c r="BI199" s="37">
        <v>450000</v>
      </c>
      <c r="BJ199" s="37">
        <v>0</v>
      </c>
      <c r="BK199" s="37">
        <v>0</v>
      </c>
      <c r="BL199" s="37">
        <v>0</v>
      </c>
      <c r="BM199" s="37">
        <v>0</v>
      </c>
      <c r="BN199" s="37">
        <v>0</v>
      </c>
      <c r="BO199" s="37">
        <v>0</v>
      </c>
      <c r="BP199" s="37">
        <v>23068551</v>
      </c>
      <c r="BQ199" s="37">
        <v>105000</v>
      </c>
      <c r="BR199" s="37">
        <v>1868436</v>
      </c>
      <c r="BS199" s="37">
        <v>0</v>
      </c>
      <c r="BT199" s="37">
        <v>0</v>
      </c>
      <c r="BU199" s="37">
        <v>0</v>
      </c>
      <c r="BV199" s="37">
        <v>0</v>
      </c>
      <c r="BW199" s="37">
        <v>0</v>
      </c>
      <c r="BX199" s="37">
        <v>0</v>
      </c>
      <c r="BY199" s="37">
        <v>0</v>
      </c>
      <c r="BZ199" s="37">
        <v>0</v>
      </c>
      <c r="CA199" s="37">
        <v>0</v>
      </c>
      <c r="CB199" s="37">
        <v>1868436</v>
      </c>
      <c r="CC199" s="37">
        <v>1625000</v>
      </c>
      <c r="CD199" s="37">
        <v>0</v>
      </c>
      <c r="CE199" s="37">
        <v>3168750</v>
      </c>
      <c r="CF199" s="37">
        <v>1000000</v>
      </c>
      <c r="CG199" s="37">
        <v>1000000</v>
      </c>
      <c r="CH199" s="37">
        <v>1000000</v>
      </c>
      <c r="CI199" s="37">
        <v>1000000</v>
      </c>
      <c r="CJ199" s="37">
        <v>1000000</v>
      </c>
      <c r="CK199" s="37">
        <v>1000000</v>
      </c>
      <c r="CL199" s="37">
        <v>1000000</v>
      </c>
      <c r="CM199" s="37">
        <v>1000000</v>
      </c>
      <c r="CN199" s="37">
        <v>11168750</v>
      </c>
      <c r="CO199" s="37">
        <v>0</v>
      </c>
      <c r="CP199" s="37">
        <v>0</v>
      </c>
      <c r="CQ199" s="37">
        <v>0</v>
      </c>
      <c r="CR199" s="37">
        <v>0</v>
      </c>
      <c r="CS199" s="37">
        <v>0</v>
      </c>
      <c r="CT199" s="37">
        <v>0</v>
      </c>
      <c r="CU199" s="37">
        <v>0</v>
      </c>
      <c r="CV199" s="37">
        <v>0</v>
      </c>
      <c r="CW199" s="37">
        <v>0</v>
      </c>
      <c r="CX199" s="37">
        <v>0</v>
      </c>
      <c r="CY199" s="37">
        <v>0</v>
      </c>
      <c r="CZ199" s="37">
        <v>0</v>
      </c>
      <c r="DA199" s="37">
        <v>0</v>
      </c>
      <c r="DB199" s="37">
        <v>0</v>
      </c>
      <c r="DC199" s="37">
        <v>0</v>
      </c>
      <c r="DD199" s="37">
        <v>0</v>
      </c>
      <c r="DE199" s="37">
        <v>0</v>
      </c>
      <c r="DF199" s="37">
        <v>0</v>
      </c>
      <c r="DG199" s="37">
        <v>0</v>
      </c>
      <c r="DH199" s="37">
        <v>0</v>
      </c>
      <c r="DI199" s="37">
        <v>0</v>
      </c>
      <c r="DJ199" s="37">
        <v>0</v>
      </c>
      <c r="DK199" s="37">
        <v>0</v>
      </c>
      <c r="DL199" s="37">
        <v>0</v>
      </c>
      <c r="DM199" s="37">
        <v>0</v>
      </c>
      <c r="DN199" s="37">
        <v>0</v>
      </c>
      <c r="DO199" s="37">
        <v>0</v>
      </c>
      <c r="DP199" s="37">
        <v>0</v>
      </c>
      <c r="DQ199" s="37">
        <v>0</v>
      </c>
      <c r="DR199" s="37">
        <v>0</v>
      </c>
      <c r="DS199" s="37">
        <v>0</v>
      </c>
      <c r="DT199" s="37">
        <v>0</v>
      </c>
      <c r="DU199" s="37">
        <v>0</v>
      </c>
      <c r="DV199" s="37">
        <v>0</v>
      </c>
      <c r="DW199" s="37">
        <v>0</v>
      </c>
      <c r="DX199" s="37">
        <v>0</v>
      </c>
      <c r="DY199" s="37">
        <v>1202500</v>
      </c>
      <c r="DZ199" s="37">
        <v>1105200</v>
      </c>
      <c r="EA199" s="37">
        <v>500000</v>
      </c>
      <c r="EB199" s="37">
        <v>500000</v>
      </c>
      <c r="EC199" s="37">
        <v>500000</v>
      </c>
      <c r="ED199" s="37">
        <v>500000</v>
      </c>
      <c r="EE199" s="37">
        <v>500000</v>
      </c>
      <c r="EF199" s="37">
        <v>0</v>
      </c>
      <c r="EG199" s="37">
        <v>0</v>
      </c>
      <c r="EH199" s="37">
        <v>0</v>
      </c>
      <c r="EI199" s="37">
        <v>0</v>
      </c>
      <c r="EJ199" s="37">
        <v>3605200</v>
      </c>
      <c r="EK199" s="161" t="s">
        <v>1796</v>
      </c>
      <c r="EL199" s="294" t="s">
        <v>1124</v>
      </c>
    </row>
    <row r="200" spans="1:142" ht="15" customHeight="1" x14ac:dyDescent="0.35">
      <c r="A200" s="34"/>
      <c r="B200" s="313">
        <v>2015</v>
      </c>
      <c r="C200" s="8" t="s">
        <v>1028</v>
      </c>
      <c r="D200" s="18">
        <v>11</v>
      </c>
      <c r="E200" s="155">
        <v>518860</v>
      </c>
      <c r="F200" s="36">
        <v>156840</v>
      </c>
      <c r="G200" s="37">
        <v>266134</v>
      </c>
      <c r="H200" s="37">
        <v>91900</v>
      </c>
      <c r="I200" s="37">
        <v>1279000</v>
      </c>
      <c r="J200" s="37">
        <v>91900</v>
      </c>
      <c r="K200" s="37">
        <v>77829</v>
      </c>
      <c r="L200" s="37">
        <v>23526</v>
      </c>
      <c r="M200" s="37">
        <v>2141823</v>
      </c>
      <c r="N200" s="37">
        <v>364166</v>
      </c>
      <c r="O200" s="37">
        <v>62319</v>
      </c>
      <c r="P200" s="37">
        <v>0</v>
      </c>
      <c r="Q200" s="37">
        <v>417338</v>
      </c>
      <c r="R200" s="37">
        <v>0</v>
      </c>
      <c r="S200" s="37">
        <v>65916</v>
      </c>
      <c r="T200" s="37">
        <v>0</v>
      </c>
      <c r="U200" s="37">
        <v>157746</v>
      </c>
      <c r="V200" s="37">
        <v>0</v>
      </c>
      <c r="W200" s="37">
        <v>1438504</v>
      </c>
      <c r="X200" s="37">
        <v>364166</v>
      </c>
      <c r="Y200" s="37">
        <v>0</v>
      </c>
      <c r="Z200" s="37">
        <v>0</v>
      </c>
      <c r="AA200" s="37">
        <v>2141823</v>
      </c>
      <c r="AB200" s="37">
        <v>364166</v>
      </c>
      <c r="AC200" s="37">
        <v>0</v>
      </c>
      <c r="AD200" s="37">
        <v>0</v>
      </c>
      <c r="AE200" s="37">
        <v>184400</v>
      </c>
      <c r="AF200" s="168">
        <v>0.02</v>
      </c>
      <c r="AG200" s="37">
        <v>64376235.700000003</v>
      </c>
      <c r="AH200" s="37">
        <v>476538.58</v>
      </c>
      <c r="AI200" s="37">
        <v>486069.36</v>
      </c>
      <c r="AJ200" s="37">
        <v>495790.74</v>
      </c>
      <c r="AK200" s="37">
        <v>505706.56</v>
      </c>
      <c r="AL200" s="37">
        <v>515820.69</v>
      </c>
      <c r="AM200" s="37">
        <v>526137.1</v>
      </c>
      <c r="AN200" s="37">
        <v>536659.84</v>
      </c>
      <c r="AO200" s="37">
        <v>547393.04</v>
      </c>
      <c r="AP200" s="37">
        <v>558340.9</v>
      </c>
      <c r="AQ200" s="37">
        <v>569507.72</v>
      </c>
      <c r="AR200" s="37">
        <v>5217964.53</v>
      </c>
      <c r="AS200" s="37">
        <v>2990213.91</v>
      </c>
      <c r="AT200" s="37">
        <v>0</v>
      </c>
      <c r="AU200" s="37">
        <v>5769059.6200000001</v>
      </c>
      <c r="AV200" s="37">
        <v>0</v>
      </c>
      <c r="AW200" s="37">
        <v>0</v>
      </c>
      <c r="AX200" s="37">
        <v>0</v>
      </c>
      <c r="AY200" s="37">
        <v>0</v>
      </c>
      <c r="AZ200" s="37">
        <v>0</v>
      </c>
      <c r="BA200" s="37">
        <v>0</v>
      </c>
      <c r="BB200" s="37">
        <v>0</v>
      </c>
      <c r="BC200" s="37">
        <v>0</v>
      </c>
      <c r="BD200" s="37">
        <v>5769059.6200000001</v>
      </c>
      <c r="BE200" s="37">
        <v>0</v>
      </c>
      <c r="BF200" s="37">
        <v>0</v>
      </c>
      <c r="BG200" s="37">
        <v>605000</v>
      </c>
      <c r="BH200" s="37">
        <v>0</v>
      </c>
      <c r="BI200" s="37">
        <v>0</v>
      </c>
      <c r="BJ200" s="37">
        <v>0</v>
      </c>
      <c r="BK200" s="37">
        <v>0</v>
      </c>
      <c r="BL200" s="37">
        <v>0</v>
      </c>
      <c r="BM200" s="37">
        <v>0</v>
      </c>
      <c r="BN200" s="37">
        <v>0</v>
      </c>
      <c r="BO200" s="37">
        <v>0</v>
      </c>
      <c r="BP200" s="37">
        <v>605000</v>
      </c>
      <c r="BQ200" s="37">
        <v>0</v>
      </c>
      <c r="BR200" s="37">
        <v>0</v>
      </c>
      <c r="BS200" s="37">
        <v>0</v>
      </c>
      <c r="BT200" s="37">
        <v>0</v>
      </c>
      <c r="BU200" s="37">
        <v>0</v>
      </c>
      <c r="BV200" s="37">
        <v>0</v>
      </c>
      <c r="BW200" s="37">
        <v>0</v>
      </c>
      <c r="BX200" s="37">
        <v>0</v>
      </c>
      <c r="BY200" s="37">
        <v>0</v>
      </c>
      <c r="BZ200" s="37">
        <v>0</v>
      </c>
      <c r="CA200" s="37">
        <v>0</v>
      </c>
      <c r="CB200" s="37">
        <v>0</v>
      </c>
      <c r="CC200" s="37">
        <v>0</v>
      </c>
      <c r="CD200" s="37">
        <v>0</v>
      </c>
      <c r="CE200" s="37">
        <v>0</v>
      </c>
      <c r="CF200" s="37">
        <v>0</v>
      </c>
      <c r="CG200" s="37">
        <v>0</v>
      </c>
      <c r="CH200" s="37">
        <v>0</v>
      </c>
      <c r="CI200" s="37">
        <v>0</v>
      </c>
      <c r="CJ200" s="37">
        <v>0</v>
      </c>
      <c r="CK200" s="37">
        <v>0</v>
      </c>
      <c r="CL200" s="37">
        <v>0</v>
      </c>
      <c r="CM200" s="37">
        <v>0</v>
      </c>
      <c r="CN200" s="37">
        <v>0</v>
      </c>
      <c r="CO200" s="37">
        <v>0</v>
      </c>
      <c r="CP200" s="37">
        <v>0</v>
      </c>
      <c r="CQ200" s="37">
        <v>2726800</v>
      </c>
      <c r="CR200" s="37">
        <v>0</v>
      </c>
      <c r="CS200" s="37">
        <v>0</v>
      </c>
      <c r="CT200" s="37">
        <v>0</v>
      </c>
      <c r="CU200" s="37">
        <v>0</v>
      </c>
      <c r="CV200" s="37">
        <v>0</v>
      </c>
      <c r="CW200" s="37">
        <v>0</v>
      </c>
      <c r="CX200" s="37">
        <v>0</v>
      </c>
      <c r="CY200" s="37">
        <v>0</v>
      </c>
      <c r="CZ200" s="37">
        <v>2726800</v>
      </c>
      <c r="DA200" s="37">
        <v>0</v>
      </c>
      <c r="DB200" s="37">
        <v>0</v>
      </c>
      <c r="DC200" s="37">
        <v>2969200</v>
      </c>
      <c r="DD200" s="37">
        <v>0</v>
      </c>
      <c r="DE200" s="37">
        <v>0</v>
      </c>
      <c r="DF200" s="37">
        <v>0</v>
      </c>
      <c r="DG200" s="37">
        <v>0</v>
      </c>
      <c r="DH200" s="37">
        <v>0</v>
      </c>
      <c r="DI200" s="37">
        <v>0</v>
      </c>
      <c r="DJ200" s="37">
        <v>0</v>
      </c>
      <c r="DK200" s="37">
        <v>0</v>
      </c>
      <c r="DL200" s="37">
        <v>2969200</v>
      </c>
      <c r="DM200" s="37">
        <v>4000</v>
      </c>
      <c r="DN200" s="37">
        <v>0</v>
      </c>
      <c r="DO200" s="37">
        <v>35000</v>
      </c>
      <c r="DP200" s="37">
        <v>0</v>
      </c>
      <c r="DQ200" s="37">
        <v>0</v>
      </c>
      <c r="DR200" s="37">
        <v>0</v>
      </c>
      <c r="DS200" s="37">
        <v>0</v>
      </c>
      <c r="DT200" s="37">
        <v>0</v>
      </c>
      <c r="DU200" s="37">
        <v>0</v>
      </c>
      <c r="DV200" s="37">
        <v>0</v>
      </c>
      <c r="DW200" s="37">
        <v>0</v>
      </c>
      <c r="DX200" s="37">
        <v>35000</v>
      </c>
      <c r="DY200" s="37">
        <v>0</v>
      </c>
      <c r="DZ200" s="37">
        <v>0</v>
      </c>
      <c r="EA200" s="37">
        <v>0</v>
      </c>
      <c r="EB200" s="37">
        <v>0</v>
      </c>
      <c r="EC200" s="37">
        <v>0</v>
      </c>
      <c r="ED200" s="37">
        <v>0</v>
      </c>
      <c r="EE200" s="37">
        <v>0</v>
      </c>
      <c r="EF200" s="37">
        <v>0</v>
      </c>
      <c r="EG200" s="37">
        <v>0</v>
      </c>
      <c r="EH200" s="37">
        <v>0</v>
      </c>
      <c r="EI200" s="37">
        <v>0</v>
      </c>
      <c r="EJ200" s="37">
        <v>0</v>
      </c>
      <c r="EK200" s="161" t="s">
        <v>1801</v>
      </c>
      <c r="EL200" s="294" t="s">
        <v>1124</v>
      </c>
    </row>
    <row r="201" spans="1:142" ht="15" customHeight="1" x14ac:dyDescent="0.35">
      <c r="A201" s="34"/>
      <c r="B201" s="313">
        <v>35040</v>
      </c>
      <c r="C201" s="8" t="s">
        <v>309</v>
      </c>
      <c r="D201" s="18">
        <v>4</v>
      </c>
      <c r="E201" s="155"/>
      <c r="F201" s="36"/>
      <c r="G201" s="37"/>
      <c r="H201" s="37"/>
      <c r="I201" s="37"/>
      <c r="J201" s="37"/>
      <c r="K201" s="37"/>
      <c r="L201" s="37"/>
      <c r="M201" s="37" t="s">
        <v>1124</v>
      </c>
      <c r="N201" s="37" t="s">
        <v>1124</v>
      </c>
      <c r="O201" s="37"/>
      <c r="P201" s="37"/>
      <c r="Q201" s="37"/>
      <c r="R201" s="37"/>
      <c r="S201" s="37"/>
      <c r="T201" s="37"/>
      <c r="U201" s="37"/>
      <c r="V201" s="37"/>
      <c r="W201" s="37"/>
      <c r="X201" s="37"/>
      <c r="Y201" s="37"/>
      <c r="Z201" s="37"/>
      <c r="AA201" s="37" t="s">
        <v>1124</v>
      </c>
      <c r="AB201" s="37" t="s">
        <v>1124</v>
      </c>
      <c r="AC201" s="37"/>
      <c r="AD201" s="37"/>
      <c r="AE201" s="37"/>
      <c r="AF201" s="168"/>
      <c r="AG201" s="37"/>
      <c r="AH201" s="37"/>
      <c r="AI201" s="37"/>
      <c r="AJ201" s="37"/>
      <c r="AK201" s="37"/>
      <c r="AL201" s="37"/>
      <c r="AM201" s="37"/>
      <c r="AN201" s="37"/>
      <c r="AO201" s="37"/>
      <c r="AP201" s="37"/>
      <c r="AQ201" s="37"/>
      <c r="AR201" s="37" t="s">
        <v>1124</v>
      </c>
      <c r="AS201" s="37"/>
      <c r="AT201" s="37"/>
      <c r="AU201" s="37"/>
      <c r="AV201" s="37"/>
      <c r="AW201" s="37"/>
      <c r="AX201" s="37"/>
      <c r="AY201" s="37"/>
      <c r="AZ201" s="37"/>
      <c r="BA201" s="37"/>
      <c r="BB201" s="37"/>
      <c r="BC201" s="37"/>
      <c r="BD201" s="37" t="s">
        <v>1124</v>
      </c>
      <c r="BE201" s="37"/>
      <c r="BF201" s="37"/>
      <c r="BG201" s="37"/>
      <c r="BH201" s="37"/>
      <c r="BI201" s="37"/>
      <c r="BJ201" s="37"/>
      <c r="BK201" s="37"/>
      <c r="BL201" s="37"/>
      <c r="BM201" s="37"/>
      <c r="BN201" s="37"/>
      <c r="BO201" s="37"/>
      <c r="BP201" s="37">
        <v>0</v>
      </c>
      <c r="BQ201" s="37"/>
      <c r="BR201" s="37"/>
      <c r="BS201" s="37"/>
      <c r="BT201" s="37"/>
      <c r="BU201" s="37"/>
      <c r="BV201" s="37"/>
      <c r="BW201" s="37"/>
      <c r="BX201" s="37"/>
      <c r="BY201" s="37"/>
      <c r="BZ201" s="37"/>
      <c r="CA201" s="37"/>
      <c r="CB201" s="37" t="s">
        <v>1124</v>
      </c>
      <c r="CC201" s="37"/>
      <c r="CD201" s="37"/>
      <c r="CE201" s="37"/>
      <c r="CF201" s="37"/>
      <c r="CG201" s="37"/>
      <c r="CH201" s="37"/>
      <c r="CI201" s="37"/>
      <c r="CJ201" s="37"/>
      <c r="CK201" s="37"/>
      <c r="CL201" s="37"/>
      <c r="CM201" s="37"/>
      <c r="CN201" s="37" t="s">
        <v>1124</v>
      </c>
      <c r="CO201" s="37"/>
      <c r="CP201" s="37"/>
      <c r="CQ201" s="37"/>
      <c r="CR201" s="37"/>
      <c r="CS201" s="37"/>
      <c r="CT201" s="37"/>
      <c r="CU201" s="37"/>
      <c r="CV201" s="37"/>
      <c r="CW201" s="37"/>
      <c r="CX201" s="37"/>
      <c r="CY201" s="37"/>
      <c r="CZ201" s="37" t="s">
        <v>1124</v>
      </c>
      <c r="DA201" s="37"/>
      <c r="DB201" s="37"/>
      <c r="DC201" s="37"/>
      <c r="DD201" s="37"/>
      <c r="DE201" s="37"/>
      <c r="DF201" s="37"/>
      <c r="DG201" s="37"/>
      <c r="DH201" s="37"/>
      <c r="DI201" s="37"/>
      <c r="DJ201" s="37"/>
      <c r="DK201" s="37"/>
      <c r="DL201" s="37" t="s">
        <v>1124</v>
      </c>
      <c r="DM201" s="37"/>
      <c r="DN201" s="37"/>
      <c r="DO201" s="37"/>
      <c r="DP201" s="37"/>
      <c r="DQ201" s="37"/>
      <c r="DR201" s="37"/>
      <c r="DS201" s="37"/>
      <c r="DT201" s="37"/>
      <c r="DU201" s="37"/>
      <c r="DV201" s="37"/>
      <c r="DW201" s="37"/>
      <c r="DX201" s="37" t="s">
        <v>1124</v>
      </c>
      <c r="DY201" s="37"/>
      <c r="DZ201" s="37"/>
      <c r="EA201" s="37"/>
      <c r="EB201" s="37"/>
      <c r="EC201" s="37"/>
      <c r="ED201" s="37"/>
      <c r="EE201" s="37"/>
      <c r="EF201" s="37"/>
      <c r="EG201" s="37"/>
      <c r="EH201" s="37"/>
      <c r="EI201" s="37"/>
      <c r="EJ201" s="37" t="s">
        <v>1124</v>
      </c>
      <c r="EK201" s="161"/>
      <c r="EL201" s="294"/>
    </row>
    <row r="202" spans="1:142" ht="15" customHeight="1" x14ac:dyDescent="0.35">
      <c r="A202" s="34"/>
      <c r="B202" s="313">
        <v>3020</v>
      </c>
      <c r="C202" s="8" t="s">
        <v>1034</v>
      </c>
      <c r="D202" s="18">
        <v>11</v>
      </c>
      <c r="E202" s="155">
        <v>98700</v>
      </c>
      <c r="F202" s="36">
        <v>136480</v>
      </c>
      <c r="G202" s="37">
        <v>3197</v>
      </c>
      <c r="H202" s="37">
        <v>3254</v>
      </c>
      <c r="I202" s="37">
        <v>32869</v>
      </c>
      <c r="J202" s="37">
        <v>34540</v>
      </c>
      <c r="K202" s="37">
        <v>14805</v>
      </c>
      <c r="L202" s="37">
        <v>20472</v>
      </c>
      <c r="M202" s="37">
        <v>149571</v>
      </c>
      <c r="N202" s="37">
        <v>194746</v>
      </c>
      <c r="O202" s="37">
        <v>0</v>
      </c>
      <c r="P202" s="37">
        <v>0</v>
      </c>
      <c r="Q202" s="37">
        <v>161538</v>
      </c>
      <c r="R202" s="37">
        <v>44154</v>
      </c>
      <c r="S202" s="37">
        <v>0</v>
      </c>
      <c r="T202" s="37">
        <v>0</v>
      </c>
      <c r="U202" s="37">
        <v>10509</v>
      </c>
      <c r="V202" s="37">
        <v>50733</v>
      </c>
      <c r="W202" s="37">
        <v>38691.5</v>
      </c>
      <c r="X202" s="37">
        <v>38691.5</v>
      </c>
      <c r="Y202" s="37">
        <v>0</v>
      </c>
      <c r="Z202" s="37">
        <v>0</v>
      </c>
      <c r="AA202" s="37">
        <v>210738.5</v>
      </c>
      <c r="AB202" s="37">
        <v>133578.5</v>
      </c>
      <c r="AC202" s="37">
        <v>0</v>
      </c>
      <c r="AD202" s="37">
        <v>0</v>
      </c>
      <c r="AE202" s="37">
        <v>0</v>
      </c>
      <c r="AF202" s="168">
        <v>0.02</v>
      </c>
      <c r="AG202" s="37">
        <v>65334166.780000001</v>
      </c>
      <c r="AH202" s="37">
        <v>659091.63</v>
      </c>
      <c r="AI202" s="37">
        <v>672273.46</v>
      </c>
      <c r="AJ202" s="37">
        <v>685718.93</v>
      </c>
      <c r="AK202" s="37">
        <v>699433.31</v>
      </c>
      <c r="AL202" s="37">
        <v>713421.98</v>
      </c>
      <c r="AM202" s="37">
        <v>727690.42</v>
      </c>
      <c r="AN202" s="37">
        <v>1216766.28</v>
      </c>
      <c r="AO202" s="37">
        <v>757089.11</v>
      </c>
      <c r="AP202" s="37">
        <v>772230.89</v>
      </c>
      <c r="AQ202" s="37">
        <v>1135820.32</v>
      </c>
      <c r="AR202" s="37">
        <v>8039536.3300000001</v>
      </c>
      <c r="AS202" s="37">
        <v>2494711.7000000002</v>
      </c>
      <c r="AT202" s="37">
        <v>0</v>
      </c>
      <c r="AU202" s="37">
        <v>1061208</v>
      </c>
      <c r="AV202" s="37">
        <v>1082432.1599999999</v>
      </c>
      <c r="AW202" s="37">
        <v>0</v>
      </c>
      <c r="AX202" s="37">
        <v>0</v>
      </c>
      <c r="AY202" s="37">
        <v>0</v>
      </c>
      <c r="AZ202" s="37">
        <v>0</v>
      </c>
      <c r="BA202" s="37">
        <v>0</v>
      </c>
      <c r="BB202" s="37">
        <v>0</v>
      </c>
      <c r="BC202" s="37">
        <v>0</v>
      </c>
      <c r="BD202" s="37">
        <v>2143640.16</v>
      </c>
      <c r="BE202" s="37">
        <v>72818</v>
      </c>
      <c r="BF202" s="37">
        <v>194089</v>
      </c>
      <c r="BG202" s="37">
        <v>431331</v>
      </c>
      <c r="BH202" s="37">
        <v>0</v>
      </c>
      <c r="BI202" s="37">
        <v>0</v>
      </c>
      <c r="BJ202" s="37">
        <v>0</v>
      </c>
      <c r="BK202" s="37">
        <v>0</v>
      </c>
      <c r="BL202" s="37">
        <v>0</v>
      </c>
      <c r="BM202" s="37">
        <v>0</v>
      </c>
      <c r="BN202" s="37">
        <v>0</v>
      </c>
      <c r="BO202" s="37">
        <v>0</v>
      </c>
      <c r="BP202" s="37">
        <v>625420</v>
      </c>
      <c r="BQ202" s="37">
        <v>0</v>
      </c>
      <c r="BR202" s="37">
        <v>0</v>
      </c>
      <c r="BS202" s="37">
        <v>0</v>
      </c>
      <c r="BT202" s="37">
        <v>0</v>
      </c>
      <c r="BU202" s="37">
        <v>0</v>
      </c>
      <c r="BV202" s="37">
        <v>0</v>
      </c>
      <c r="BW202" s="37">
        <v>0</v>
      </c>
      <c r="BX202" s="37">
        <v>0</v>
      </c>
      <c r="BY202" s="37">
        <v>0</v>
      </c>
      <c r="BZ202" s="37">
        <v>0</v>
      </c>
      <c r="CA202" s="37">
        <v>0</v>
      </c>
      <c r="CB202" s="37">
        <v>0</v>
      </c>
      <c r="CC202" s="37">
        <v>0</v>
      </c>
      <c r="CD202" s="37">
        <v>0</v>
      </c>
      <c r="CE202" s="37">
        <v>0</v>
      </c>
      <c r="CF202" s="37">
        <v>0</v>
      </c>
      <c r="CG202" s="37">
        <v>0</v>
      </c>
      <c r="CH202" s="37">
        <v>0</v>
      </c>
      <c r="CI202" s="37">
        <v>0</v>
      </c>
      <c r="CJ202" s="37">
        <v>0</v>
      </c>
      <c r="CK202" s="37">
        <v>0</v>
      </c>
      <c r="CL202" s="37">
        <v>0</v>
      </c>
      <c r="CM202" s="37">
        <v>0</v>
      </c>
      <c r="CN202" s="37">
        <v>0</v>
      </c>
      <c r="CO202" s="37">
        <v>0</v>
      </c>
      <c r="CP202" s="37">
        <v>0</v>
      </c>
      <c r="CQ202" s="37">
        <v>0</v>
      </c>
      <c r="CR202" s="37">
        <v>0</v>
      </c>
      <c r="CS202" s="37">
        <v>0</v>
      </c>
      <c r="CT202" s="37">
        <v>0</v>
      </c>
      <c r="CU202" s="37">
        <v>0</v>
      </c>
      <c r="CV202" s="37">
        <v>0</v>
      </c>
      <c r="CW202" s="37">
        <v>0</v>
      </c>
      <c r="CX202" s="37">
        <v>0</v>
      </c>
      <c r="CY202" s="37">
        <v>0</v>
      </c>
      <c r="CZ202" s="37">
        <v>0</v>
      </c>
      <c r="DA202" s="37">
        <v>0</v>
      </c>
      <c r="DB202" s="37">
        <v>0</v>
      </c>
      <c r="DC202" s="37">
        <v>0</v>
      </c>
      <c r="DD202" s="37">
        <v>0</v>
      </c>
      <c r="DE202" s="37">
        <v>0</v>
      </c>
      <c r="DF202" s="37">
        <v>0</v>
      </c>
      <c r="DG202" s="37">
        <v>0</v>
      </c>
      <c r="DH202" s="37">
        <v>0</v>
      </c>
      <c r="DI202" s="37">
        <v>0</v>
      </c>
      <c r="DJ202" s="37">
        <v>0</v>
      </c>
      <c r="DK202" s="37">
        <v>0</v>
      </c>
      <c r="DL202" s="37">
        <v>0</v>
      </c>
      <c r="DM202" s="37">
        <v>0</v>
      </c>
      <c r="DN202" s="37">
        <v>0</v>
      </c>
      <c r="DO202" s="37">
        <v>0</v>
      </c>
      <c r="DP202" s="37">
        <v>0</v>
      </c>
      <c r="DQ202" s="37">
        <v>0</v>
      </c>
      <c r="DR202" s="37">
        <v>0</v>
      </c>
      <c r="DS202" s="37">
        <v>0</v>
      </c>
      <c r="DT202" s="37">
        <v>0</v>
      </c>
      <c r="DU202" s="37">
        <v>0</v>
      </c>
      <c r="DV202" s="37">
        <v>0</v>
      </c>
      <c r="DW202" s="37">
        <v>0</v>
      </c>
      <c r="DX202" s="37">
        <v>0</v>
      </c>
      <c r="DY202" s="37">
        <v>0</v>
      </c>
      <c r="DZ202" s="37">
        <v>0</v>
      </c>
      <c r="EA202" s="37">
        <v>0</v>
      </c>
      <c r="EB202" s="37">
        <v>0</v>
      </c>
      <c r="EC202" s="37">
        <v>0</v>
      </c>
      <c r="ED202" s="37">
        <v>0</v>
      </c>
      <c r="EE202" s="37">
        <v>0</v>
      </c>
      <c r="EF202" s="37">
        <v>0</v>
      </c>
      <c r="EG202" s="37">
        <v>0</v>
      </c>
      <c r="EH202" s="37">
        <v>0</v>
      </c>
      <c r="EI202" s="37">
        <v>0</v>
      </c>
      <c r="EJ202" s="37">
        <v>0</v>
      </c>
      <c r="EK202" s="161" t="s">
        <v>1806</v>
      </c>
      <c r="EL202" s="294" t="s">
        <v>1124</v>
      </c>
    </row>
    <row r="203" spans="1:142" ht="15" customHeight="1" x14ac:dyDescent="0.35">
      <c r="A203" s="34"/>
      <c r="B203" s="313">
        <v>9060</v>
      </c>
      <c r="C203" s="8" t="s">
        <v>1107</v>
      </c>
      <c r="D203" s="18">
        <v>1</v>
      </c>
      <c r="E203" s="155">
        <v>19632</v>
      </c>
      <c r="F203" s="36">
        <v>0</v>
      </c>
      <c r="G203" s="37">
        <v>0</v>
      </c>
      <c r="H203" s="37">
        <v>0</v>
      </c>
      <c r="I203" s="37">
        <v>0</v>
      </c>
      <c r="J203" s="37">
        <v>0</v>
      </c>
      <c r="K203" s="37">
        <v>2945</v>
      </c>
      <c r="L203" s="37">
        <v>0</v>
      </c>
      <c r="M203" s="37">
        <v>22577</v>
      </c>
      <c r="N203" s="37">
        <v>0</v>
      </c>
      <c r="O203" s="37">
        <v>0</v>
      </c>
      <c r="P203" s="37">
        <v>0</v>
      </c>
      <c r="Q203" s="37">
        <v>15956</v>
      </c>
      <c r="R203" s="37">
        <v>0</v>
      </c>
      <c r="S203" s="37">
        <v>0</v>
      </c>
      <c r="T203" s="37">
        <v>1049</v>
      </c>
      <c r="U203" s="37">
        <v>0</v>
      </c>
      <c r="V203" s="37">
        <v>0</v>
      </c>
      <c r="W203" s="37">
        <v>5572</v>
      </c>
      <c r="X203" s="37">
        <v>0</v>
      </c>
      <c r="Y203" s="37">
        <v>0</v>
      </c>
      <c r="Z203" s="37">
        <v>0</v>
      </c>
      <c r="AA203" s="37">
        <v>21528</v>
      </c>
      <c r="AB203" s="37">
        <v>1049</v>
      </c>
      <c r="AC203" s="37">
        <v>0</v>
      </c>
      <c r="AD203" s="37">
        <v>0</v>
      </c>
      <c r="AE203" s="37">
        <v>0</v>
      </c>
      <c r="AF203" s="168">
        <v>0.02</v>
      </c>
      <c r="AG203" s="37">
        <v>580176</v>
      </c>
      <c r="AH203" s="37">
        <v>5917.8</v>
      </c>
      <c r="AI203" s="37">
        <v>6036.15</v>
      </c>
      <c r="AJ203" s="37">
        <v>6156.87</v>
      </c>
      <c r="AK203" s="37">
        <v>6280.01</v>
      </c>
      <c r="AL203" s="37">
        <v>6405.61</v>
      </c>
      <c r="AM203" s="37">
        <v>6533.72</v>
      </c>
      <c r="AN203" s="37">
        <v>6664.4</v>
      </c>
      <c r="AO203" s="37">
        <v>6797.69</v>
      </c>
      <c r="AP203" s="37">
        <v>6933.64</v>
      </c>
      <c r="AQ203" s="37">
        <v>7072.31</v>
      </c>
      <c r="AR203" s="37">
        <v>64798.200000000012</v>
      </c>
      <c r="AS203" s="37">
        <v>0</v>
      </c>
      <c r="AT203" s="37">
        <v>0</v>
      </c>
      <c r="AU203" s="37">
        <v>728280</v>
      </c>
      <c r="AV203" s="37">
        <v>0</v>
      </c>
      <c r="AW203" s="37">
        <v>0</v>
      </c>
      <c r="AX203" s="37">
        <v>0</v>
      </c>
      <c r="AY203" s="37">
        <v>0</v>
      </c>
      <c r="AZ203" s="37">
        <v>0</v>
      </c>
      <c r="BA203" s="37">
        <v>0</v>
      </c>
      <c r="BB203" s="37">
        <v>0</v>
      </c>
      <c r="BC203" s="37">
        <v>0</v>
      </c>
      <c r="BD203" s="37">
        <v>728280</v>
      </c>
      <c r="BE203" s="37">
        <v>0</v>
      </c>
      <c r="BF203" s="37">
        <v>0</v>
      </c>
      <c r="BG203" s="37">
        <v>0</v>
      </c>
      <c r="BH203" s="37">
        <v>0</v>
      </c>
      <c r="BI203" s="37">
        <v>0</v>
      </c>
      <c r="BJ203" s="37">
        <v>0</v>
      </c>
      <c r="BK203" s="37">
        <v>0</v>
      </c>
      <c r="BL203" s="37">
        <v>0</v>
      </c>
      <c r="BM203" s="37">
        <v>0</v>
      </c>
      <c r="BN203" s="37">
        <v>0</v>
      </c>
      <c r="BO203" s="37">
        <v>0</v>
      </c>
      <c r="BP203" s="37">
        <v>0</v>
      </c>
      <c r="BQ203" s="37">
        <v>0</v>
      </c>
      <c r="BR203" s="37">
        <v>0</v>
      </c>
      <c r="BS203" s="37">
        <v>0</v>
      </c>
      <c r="BT203" s="37">
        <v>0</v>
      </c>
      <c r="BU203" s="37">
        <v>0</v>
      </c>
      <c r="BV203" s="37">
        <v>0</v>
      </c>
      <c r="BW203" s="37">
        <v>0</v>
      </c>
      <c r="BX203" s="37">
        <v>0</v>
      </c>
      <c r="BY203" s="37">
        <v>0</v>
      </c>
      <c r="BZ203" s="37">
        <v>0</v>
      </c>
      <c r="CA203" s="37">
        <v>0</v>
      </c>
      <c r="CB203" s="37">
        <v>0</v>
      </c>
      <c r="CC203" s="37">
        <v>0</v>
      </c>
      <c r="CD203" s="37">
        <v>0</v>
      </c>
      <c r="CE203" s="37">
        <v>0</v>
      </c>
      <c r="CF203" s="37">
        <v>0</v>
      </c>
      <c r="CG203" s="37">
        <v>0</v>
      </c>
      <c r="CH203" s="37">
        <v>0</v>
      </c>
      <c r="CI203" s="37">
        <v>0</v>
      </c>
      <c r="CJ203" s="37">
        <v>0</v>
      </c>
      <c r="CK203" s="37">
        <v>0</v>
      </c>
      <c r="CL203" s="37">
        <v>0</v>
      </c>
      <c r="CM203" s="37">
        <v>0</v>
      </c>
      <c r="CN203" s="37">
        <v>0</v>
      </c>
      <c r="CO203" s="37">
        <v>0</v>
      </c>
      <c r="CP203" s="37">
        <v>0</v>
      </c>
      <c r="CQ203" s="37">
        <v>0</v>
      </c>
      <c r="CR203" s="37">
        <v>638977</v>
      </c>
      <c r="CS203" s="37">
        <v>0</v>
      </c>
      <c r="CT203" s="37">
        <v>0</v>
      </c>
      <c r="CU203" s="37">
        <v>0</v>
      </c>
      <c r="CV203" s="37">
        <v>0</v>
      </c>
      <c r="CW203" s="37">
        <v>0</v>
      </c>
      <c r="CX203" s="37">
        <v>0</v>
      </c>
      <c r="CY203" s="37">
        <v>0</v>
      </c>
      <c r="CZ203" s="37">
        <v>638977</v>
      </c>
      <c r="DA203" s="37">
        <v>0</v>
      </c>
      <c r="DB203" s="37">
        <v>0</v>
      </c>
      <c r="DC203" s="37">
        <v>0</v>
      </c>
      <c r="DD203" s="37">
        <v>61023</v>
      </c>
      <c r="DE203" s="37">
        <v>0</v>
      </c>
      <c r="DF203" s="37">
        <v>0</v>
      </c>
      <c r="DG203" s="37">
        <v>0</v>
      </c>
      <c r="DH203" s="37">
        <v>0</v>
      </c>
      <c r="DI203" s="37">
        <v>0</v>
      </c>
      <c r="DJ203" s="37">
        <v>0</v>
      </c>
      <c r="DK203" s="37">
        <v>0</v>
      </c>
      <c r="DL203" s="37">
        <v>61023</v>
      </c>
      <c r="DM203" s="37">
        <v>0</v>
      </c>
      <c r="DN203" s="37">
        <v>0</v>
      </c>
      <c r="DO203" s="37">
        <v>0</v>
      </c>
      <c r="DP203" s="37">
        <v>0</v>
      </c>
      <c r="DQ203" s="37">
        <v>0</v>
      </c>
      <c r="DR203" s="37">
        <v>0</v>
      </c>
      <c r="DS203" s="37">
        <v>0</v>
      </c>
      <c r="DT203" s="37">
        <v>0</v>
      </c>
      <c r="DU203" s="37">
        <v>0</v>
      </c>
      <c r="DV203" s="37">
        <v>0</v>
      </c>
      <c r="DW203" s="37">
        <v>0</v>
      </c>
      <c r="DX203" s="37">
        <v>0</v>
      </c>
      <c r="DY203" s="37">
        <v>0</v>
      </c>
      <c r="DZ203" s="37">
        <v>0</v>
      </c>
      <c r="EA203" s="37">
        <v>0</v>
      </c>
      <c r="EB203" s="37">
        <v>0</v>
      </c>
      <c r="EC203" s="37">
        <v>0</v>
      </c>
      <c r="ED203" s="37">
        <v>0</v>
      </c>
      <c r="EE203" s="37">
        <v>0</v>
      </c>
      <c r="EF203" s="37">
        <v>0</v>
      </c>
      <c r="EG203" s="37">
        <v>0</v>
      </c>
      <c r="EH203" s="37">
        <v>0</v>
      </c>
      <c r="EI203" s="37">
        <v>0</v>
      </c>
      <c r="EJ203" s="37">
        <v>0</v>
      </c>
      <c r="EK203" s="161" t="s">
        <v>1810</v>
      </c>
      <c r="EL203" s="294" t="s">
        <v>1124</v>
      </c>
    </row>
    <row r="204" spans="1:142" ht="15" customHeight="1" x14ac:dyDescent="0.35">
      <c r="A204" s="34"/>
      <c r="B204" s="313">
        <v>83095</v>
      </c>
      <c r="C204" s="8" t="s">
        <v>851</v>
      </c>
      <c r="D204" s="18">
        <v>7</v>
      </c>
      <c r="E204" s="155"/>
      <c r="F204" s="36"/>
      <c r="G204" s="37"/>
      <c r="H204" s="37"/>
      <c r="I204" s="37"/>
      <c r="J204" s="37"/>
      <c r="K204" s="37"/>
      <c r="L204" s="37"/>
      <c r="M204" s="37" t="s">
        <v>1124</v>
      </c>
      <c r="N204" s="37" t="s">
        <v>1124</v>
      </c>
      <c r="O204" s="37"/>
      <c r="P204" s="37"/>
      <c r="Q204" s="37"/>
      <c r="R204" s="37"/>
      <c r="S204" s="37"/>
      <c r="T204" s="37"/>
      <c r="U204" s="37"/>
      <c r="V204" s="37"/>
      <c r="W204" s="37"/>
      <c r="X204" s="37"/>
      <c r="Y204" s="37"/>
      <c r="Z204" s="37"/>
      <c r="AA204" s="37" t="s">
        <v>1124</v>
      </c>
      <c r="AB204" s="37" t="s">
        <v>1124</v>
      </c>
      <c r="AC204" s="37"/>
      <c r="AD204" s="37"/>
      <c r="AE204" s="37"/>
      <c r="AF204" s="168"/>
      <c r="AG204" s="37"/>
      <c r="AH204" s="37"/>
      <c r="AI204" s="37"/>
      <c r="AJ204" s="37"/>
      <c r="AK204" s="37"/>
      <c r="AL204" s="37"/>
      <c r="AM204" s="37"/>
      <c r="AN204" s="37"/>
      <c r="AO204" s="37"/>
      <c r="AP204" s="37"/>
      <c r="AQ204" s="37"/>
      <c r="AR204" s="37" t="s">
        <v>1124</v>
      </c>
      <c r="AS204" s="37"/>
      <c r="AT204" s="37"/>
      <c r="AU204" s="37"/>
      <c r="AV204" s="37"/>
      <c r="AW204" s="37"/>
      <c r="AX204" s="37"/>
      <c r="AY204" s="37"/>
      <c r="AZ204" s="37"/>
      <c r="BA204" s="37"/>
      <c r="BB204" s="37"/>
      <c r="BC204" s="37"/>
      <c r="BD204" s="37" t="s">
        <v>1124</v>
      </c>
      <c r="BE204" s="37"/>
      <c r="BF204" s="37"/>
      <c r="BG204" s="37"/>
      <c r="BH204" s="37"/>
      <c r="BI204" s="37"/>
      <c r="BJ204" s="37"/>
      <c r="BK204" s="37"/>
      <c r="BL204" s="37"/>
      <c r="BM204" s="37"/>
      <c r="BN204" s="37"/>
      <c r="BO204" s="37"/>
      <c r="BP204" s="37">
        <v>0</v>
      </c>
      <c r="BQ204" s="37"/>
      <c r="BR204" s="37"/>
      <c r="BS204" s="37"/>
      <c r="BT204" s="37"/>
      <c r="BU204" s="37"/>
      <c r="BV204" s="37"/>
      <c r="BW204" s="37"/>
      <c r="BX204" s="37"/>
      <c r="BY204" s="37"/>
      <c r="BZ204" s="37"/>
      <c r="CA204" s="37"/>
      <c r="CB204" s="37" t="s">
        <v>1124</v>
      </c>
      <c r="CC204" s="37"/>
      <c r="CD204" s="37"/>
      <c r="CE204" s="37"/>
      <c r="CF204" s="37"/>
      <c r="CG204" s="37"/>
      <c r="CH204" s="37"/>
      <c r="CI204" s="37"/>
      <c r="CJ204" s="37"/>
      <c r="CK204" s="37"/>
      <c r="CL204" s="37"/>
      <c r="CM204" s="37"/>
      <c r="CN204" s="37" t="s">
        <v>1124</v>
      </c>
      <c r="CO204" s="37"/>
      <c r="CP204" s="37"/>
      <c r="CQ204" s="37"/>
      <c r="CR204" s="37"/>
      <c r="CS204" s="37"/>
      <c r="CT204" s="37"/>
      <c r="CU204" s="37"/>
      <c r="CV204" s="37"/>
      <c r="CW204" s="37"/>
      <c r="CX204" s="37"/>
      <c r="CY204" s="37"/>
      <c r="CZ204" s="37" t="s">
        <v>1124</v>
      </c>
      <c r="DA204" s="37"/>
      <c r="DB204" s="37"/>
      <c r="DC204" s="37"/>
      <c r="DD204" s="37"/>
      <c r="DE204" s="37"/>
      <c r="DF204" s="37"/>
      <c r="DG204" s="37"/>
      <c r="DH204" s="37"/>
      <c r="DI204" s="37"/>
      <c r="DJ204" s="37"/>
      <c r="DK204" s="37"/>
      <c r="DL204" s="37" t="s">
        <v>1124</v>
      </c>
      <c r="DM204" s="37"/>
      <c r="DN204" s="37"/>
      <c r="DO204" s="37"/>
      <c r="DP204" s="37"/>
      <c r="DQ204" s="37"/>
      <c r="DR204" s="37"/>
      <c r="DS204" s="37"/>
      <c r="DT204" s="37"/>
      <c r="DU204" s="37"/>
      <c r="DV204" s="37"/>
      <c r="DW204" s="37"/>
      <c r="DX204" s="37" t="s">
        <v>1124</v>
      </c>
      <c r="DY204" s="37"/>
      <c r="DZ204" s="37"/>
      <c r="EA204" s="37"/>
      <c r="EB204" s="37"/>
      <c r="EC204" s="37"/>
      <c r="ED204" s="37"/>
      <c r="EE204" s="37"/>
      <c r="EF204" s="37"/>
      <c r="EG204" s="37"/>
      <c r="EH204" s="37"/>
      <c r="EI204" s="37"/>
      <c r="EJ204" s="37" t="s">
        <v>1124</v>
      </c>
      <c r="EK204" s="161"/>
      <c r="EL204" s="294"/>
    </row>
    <row r="205" spans="1:142" ht="15" customHeight="1" x14ac:dyDescent="0.35">
      <c r="A205" s="34"/>
      <c r="B205" s="313">
        <v>50065</v>
      </c>
      <c r="C205" s="8" t="s">
        <v>490</v>
      </c>
      <c r="D205" s="18">
        <v>17</v>
      </c>
      <c r="E205" s="155">
        <v>30850</v>
      </c>
      <c r="F205" s="36">
        <v>15656</v>
      </c>
      <c r="G205" s="37">
        <v>37875</v>
      </c>
      <c r="H205" s="37">
        <v>0</v>
      </c>
      <c r="I205" s="37">
        <v>92291</v>
      </c>
      <c r="J205" s="37">
        <v>0</v>
      </c>
      <c r="K205" s="37">
        <v>4627.5</v>
      </c>
      <c r="L205" s="37">
        <v>2348.4</v>
      </c>
      <c r="M205" s="37">
        <v>165643.5</v>
      </c>
      <c r="N205" s="37">
        <v>18004.400000000001</v>
      </c>
      <c r="O205" s="37">
        <v>130625</v>
      </c>
      <c r="P205" s="37">
        <v>0</v>
      </c>
      <c r="Q205" s="37">
        <v>0</v>
      </c>
      <c r="R205" s="37">
        <v>25500</v>
      </c>
      <c r="S205" s="37">
        <v>0</v>
      </c>
      <c r="T205" s="37">
        <v>0</v>
      </c>
      <c r="U205" s="37">
        <v>30471</v>
      </c>
      <c r="V205" s="37">
        <v>0</v>
      </c>
      <c r="W205" s="37">
        <v>0</v>
      </c>
      <c r="X205" s="37">
        <v>0</v>
      </c>
      <c r="Y205" s="37">
        <v>0</v>
      </c>
      <c r="Z205" s="37">
        <v>0</v>
      </c>
      <c r="AA205" s="37">
        <v>161096</v>
      </c>
      <c r="AB205" s="37">
        <v>25500</v>
      </c>
      <c r="AC205" s="37">
        <v>2948</v>
      </c>
      <c r="AD205" s="37">
        <v>0</v>
      </c>
      <c r="AE205" s="37">
        <v>0</v>
      </c>
      <c r="AF205" s="168">
        <v>0.02</v>
      </c>
      <c r="AG205" s="37">
        <v>30604815.66</v>
      </c>
      <c r="AH205" s="37">
        <v>266340.40999999997</v>
      </c>
      <c r="AI205" s="37">
        <v>271667.21000000002</v>
      </c>
      <c r="AJ205" s="37">
        <v>277100.56</v>
      </c>
      <c r="AK205" s="37">
        <v>282642.57</v>
      </c>
      <c r="AL205" s="37">
        <v>288295.42</v>
      </c>
      <c r="AM205" s="37">
        <v>294061.33</v>
      </c>
      <c r="AN205" s="37">
        <v>299942.56</v>
      </c>
      <c r="AO205" s="37">
        <v>305941.40999999997</v>
      </c>
      <c r="AP205" s="37">
        <v>312060.23</v>
      </c>
      <c r="AQ205" s="37">
        <v>318301.44</v>
      </c>
      <c r="AR205" s="37">
        <v>2916353.14</v>
      </c>
      <c r="AS205" s="37">
        <v>0</v>
      </c>
      <c r="AT205" s="37">
        <v>0</v>
      </c>
      <c r="AU205" s="37">
        <v>0</v>
      </c>
      <c r="AV205" s="37">
        <v>0</v>
      </c>
      <c r="AW205" s="37">
        <v>0</v>
      </c>
      <c r="AX205" s="37">
        <v>0</v>
      </c>
      <c r="AY205" s="37">
        <v>0</v>
      </c>
      <c r="AZ205" s="37">
        <v>0</v>
      </c>
      <c r="BA205" s="37">
        <v>0</v>
      </c>
      <c r="BB205" s="37">
        <v>0</v>
      </c>
      <c r="BC205" s="37">
        <v>0</v>
      </c>
      <c r="BD205" s="37">
        <v>0</v>
      </c>
      <c r="BE205" s="37">
        <v>0</v>
      </c>
      <c r="BF205" s="37">
        <v>35471.947767321588</v>
      </c>
      <c r="BG205" s="37">
        <v>38234.282886704925</v>
      </c>
      <c r="BH205" s="37">
        <v>47068.094451858509</v>
      </c>
      <c r="BI205" s="37">
        <v>55901.924894115022</v>
      </c>
      <c r="BJ205" s="37">
        <v>6071.4764457702195</v>
      </c>
      <c r="BK205" s="37">
        <v>29400.471321551337</v>
      </c>
      <c r="BL205" s="37">
        <v>38234.282886704925</v>
      </c>
      <c r="BM205" s="37">
        <v>47068.094451858509</v>
      </c>
      <c r="BN205" s="37">
        <v>55901.924894115022</v>
      </c>
      <c r="BO205" s="37">
        <v>0</v>
      </c>
      <c r="BP205" s="37">
        <v>353352.5</v>
      </c>
      <c r="BQ205" s="37">
        <v>0</v>
      </c>
      <c r="BR205" s="37">
        <v>5822.4378503184562</v>
      </c>
      <c r="BS205" s="37">
        <v>6275.8531704993902</v>
      </c>
      <c r="BT205" s="37">
        <v>7725.8530170517924</v>
      </c>
      <c r="BU205" s="37">
        <v>9175.8559621303684</v>
      </c>
      <c r="BV205" s="37">
        <v>996.58452637146411</v>
      </c>
      <c r="BW205" s="37">
        <v>4825.8533239469862</v>
      </c>
      <c r="BX205" s="37">
        <v>6275.8531704993902</v>
      </c>
      <c r="BY205" s="37">
        <v>7725.8530170517924</v>
      </c>
      <c r="BZ205" s="37">
        <v>9175.8559621303684</v>
      </c>
      <c r="CA205" s="37">
        <v>0</v>
      </c>
      <c r="CB205" s="37">
        <v>58000.000000000007</v>
      </c>
      <c r="CC205" s="37">
        <v>0</v>
      </c>
      <c r="CD205" s="37">
        <v>0</v>
      </c>
      <c r="CE205" s="37">
        <v>0</v>
      </c>
      <c r="CF205" s="37">
        <v>0</v>
      </c>
      <c r="CG205" s="37">
        <v>0</v>
      </c>
      <c r="CH205" s="37">
        <v>0</v>
      </c>
      <c r="CI205" s="37">
        <v>0</v>
      </c>
      <c r="CJ205" s="37">
        <v>0</v>
      </c>
      <c r="CK205" s="37">
        <v>0</v>
      </c>
      <c r="CL205" s="37">
        <v>0</v>
      </c>
      <c r="CM205" s="37">
        <v>0</v>
      </c>
      <c r="CN205" s="37">
        <v>0</v>
      </c>
      <c r="CO205" s="37">
        <v>0</v>
      </c>
      <c r="CP205" s="37">
        <v>0</v>
      </c>
      <c r="CQ205" s="37">
        <v>0</v>
      </c>
      <c r="CR205" s="37">
        <v>0</v>
      </c>
      <c r="CS205" s="37">
        <v>0</v>
      </c>
      <c r="CT205" s="37">
        <v>0</v>
      </c>
      <c r="CU205" s="37">
        <v>0</v>
      </c>
      <c r="CV205" s="37">
        <v>0</v>
      </c>
      <c r="CW205" s="37">
        <v>0</v>
      </c>
      <c r="CX205" s="37">
        <v>0</v>
      </c>
      <c r="CY205" s="37">
        <v>0</v>
      </c>
      <c r="CZ205" s="37">
        <v>0</v>
      </c>
      <c r="DA205" s="37">
        <v>0</v>
      </c>
      <c r="DB205" s="37">
        <v>0</v>
      </c>
      <c r="DC205" s="37">
        <v>0</v>
      </c>
      <c r="DD205" s="37">
        <v>0</v>
      </c>
      <c r="DE205" s="37">
        <v>0</v>
      </c>
      <c r="DF205" s="37">
        <v>0</v>
      </c>
      <c r="DG205" s="37">
        <v>0</v>
      </c>
      <c r="DH205" s="37">
        <v>0</v>
      </c>
      <c r="DI205" s="37">
        <v>0</v>
      </c>
      <c r="DJ205" s="37">
        <v>0</v>
      </c>
      <c r="DK205" s="37">
        <v>0</v>
      </c>
      <c r="DL205" s="37">
        <v>0</v>
      </c>
      <c r="DM205" s="37">
        <v>0</v>
      </c>
      <c r="DN205" s="37">
        <v>0</v>
      </c>
      <c r="DO205" s="37">
        <v>0</v>
      </c>
      <c r="DP205" s="37">
        <v>0</v>
      </c>
      <c r="DQ205" s="37">
        <v>0</v>
      </c>
      <c r="DR205" s="37">
        <v>0</v>
      </c>
      <c r="DS205" s="37">
        <v>0</v>
      </c>
      <c r="DT205" s="37">
        <v>0</v>
      </c>
      <c r="DU205" s="37">
        <v>0</v>
      </c>
      <c r="DV205" s="37">
        <v>0</v>
      </c>
      <c r="DW205" s="37">
        <v>0</v>
      </c>
      <c r="DX205" s="37">
        <v>0</v>
      </c>
      <c r="DY205" s="37">
        <v>0</v>
      </c>
      <c r="DZ205" s="37">
        <v>0</v>
      </c>
      <c r="EA205" s="37">
        <v>0</v>
      </c>
      <c r="EB205" s="37">
        <v>0</v>
      </c>
      <c r="EC205" s="37">
        <v>0</v>
      </c>
      <c r="ED205" s="37">
        <v>0</v>
      </c>
      <c r="EE205" s="37">
        <v>0</v>
      </c>
      <c r="EF205" s="37">
        <v>0</v>
      </c>
      <c r="EG205" s="37">
        <v>0</v>
      </c>
      <c r="EH205" s="37">
        <v>0</v>
      </c>
      <c r="EI205" s="37">
        <v>0</v>
      </c>
      <c r="EJ205" s="37">
        <v>0</v>
      </c>
      <c r="EK205" s="161" t="s">
        <v>1814</v>
      </c>
      <c r="EL205" s="294" t="s">
        <v>1124</v>
      </c>
    </row>
    <row r="206" spans="1:142" ht="15" customHeight="1" x14ac:dyDescent="0.35">
      <c r="A206" s="34"/>
      <c r="B206" s="313">
        <v>76055</v>
      </c>
      <c r="C206" s="8" t="s">
        <v>754</v>
      </c>
      <c r="D206" s="18">
        <v>15</v>
      </c>
      <c r="E206" s="155">
        <v>136754</v>
      </c>
      <c r="F206" s="36">
        <v>77862</v>
      </c>
      <c r="G206" s="37">
        <v>6444</v>
      </c>
      <c r="H206" s="37">
        <v>3947</v>
      </c>
      <c r="I206" s="37">
        <v>39800</v>
      </c>
      <c r="J206" s="37">
        <v>32400</v>
      </c>
      <c r="K206" s="37">
        <v>68673</v>
      </c>
      <c r="L206" s="37">
        <v>95980</v>
      </c>
      <c r="M206" s="37">
        <v>251671</v>
      </c>
      <c r="N206" s="37">
        <v>210189</v>
      </c>
      <c r="O206" s="37">
        <v>830</v>
      </c>
      <c r="P206" s="37">
        <v>0</v>
      </c>
      <c r="Q206" s="37">
        <v>130728</v>
      </c>
      <c r="R206" s="37">
        <v>140769</v>
      </c>
      <c r="S206" s="37">
        <v>0</v>
      </c>
      <c r="T206" s="37">
        <v>0</v>
      </c>
      <c r="U206" s="37">
        <v>0</v>
      </c>
      <c r="V206" s="37">
        <v>4980</v>
      </c>
      <c r="W206" s="37">
        <v>177337</v>
      </c>
      <c r="X206" s="37">
        <v>193497</v>
      </c>
      <c r="Y206" s="37">
        <v>4378</v>
      </c>
      <c r="Z206" s="37">
        <v>14486</v>
      </c>
      <c r="AA206" s="37">
        <v>313273</v>
      </c>
      <c r="AB206" s="37">
        <v>353732</v>
      </c>
      <c r="AC206" s="37">
        <v>205145</v>
      </c>
      <c r="AD206" s="37">
        <v>0</v>
      </c>
      <c r="AE206" s="37">
        <v>0</v>
      </c>
      <c r="AF206" s="168">
        <v>0.02</v>
      </c>
      <c r="AG206" s="37">
        <v>38641138.200000003</v>
      </c>
      <c r="AH206" s="37">
        <v>447250.35</v>
      </c>
      <c r="AI206" s="37">
        <v>449120.64</v>
      </c>
      <c r="AJ206" s="37">
        <v>455450.03</v>
      </c>
      <c r="AK206" s="37">
        <v>464559.03</v>
      </c>
      <c r="AL206" s="37">
        <v>473850.21</v>
      </c>
      <c r="AM206" s="37">
        <v>483327.21</v>
      </c>
      <c r="AN206" s="37">
        <v>492993.76</v>
      </c>
      <c r="AO206" s="37">
        <v>502853.63</v>
      </c>
      <c r="AP206" s="37">
        <v>512910.71</v>
      </c>
      <c r="AQ206" s="37">
        <v>523168.92</v>
      </c>
      <c r="AR206" s="37">
        <v>4805484.4899999993</v>
      </c>
      <c r="AS206" s="37">
        <v>1039840.26</v>
      </c>
      <c r="AT206" s="37">
        <v>250000</v>
      </c>
      <c r="AU206" s="37">
        <v>0</v>
      </c>
      <c r="AV206" s="37">
        <v>0</v>
      </c>
      <c r="AW206" s="37">
        <v>0</v>
      </c>
      <c r="AX206" s="37">
        <v>0</v>
      </c>
      <c r="AY206" s="37">
        <v>0</v>
      </c>
      <c r="AZ206" s="37">
        <v>0</v>
      </c>
      <c r="BA206" s="37">
        <v>0</v>
      </c>
      <c r="BB206" s="37">
        <v>0</v>
      </c>
      <c r="BC206" s="37">
        <v>0</v>
      </c>
      <c r="BD206" s="37">
        <v>250000</v>
      </c>
      <c r="BE206" s="37">
        <v>20000</v>
      </c>
      <c r="BF206" s="37">
        <v>25000</v>
      </c>
      <c r="BG206" s="37">
        <v>770449</v>
      </c>
      <c r="BH206" s="37">
        <v>0</v>
      </c>
      <c r="BI206" s="37">
        <v>0</v>
      </c>
      <c r="BJ206" s="37">
        <v>0</v>
      </c>
      <c r="BK206" s="37">
        <v>0</v>
      </c>
      <c r="BL206" s="37">
        <v>0</v>
      </c>
      <c r="BM206" s="37">
        <v>0</v>
      </c>
      <c r="BN206" s="37">
        <v>0</v>
      </c>
      <c r="BO206" s="37">
        <v>0</v>
      </c>
      <c r="BP206" s="37">
        <v>795449</v>
      </c>
      <c r="BQ206" s="37">
        <v>0</v>
      </c>
      <c r="BR206" s="37">
        <v>0</v>
      </c>
      <c r="BS206" s="37">
        <v>301351</v>
      </c>
      <c r="BT206" s="37">
        <v>0</v>
      </c>
      <c r="BU206" s="37">
        <v>0</v>
      </c>
      <c r="BV206" s="37">
        <v>0</v>
      </c>
      <c r="BW206" s="37">
        <v>0</v>
      </c>
      <c r="BX206" s="37">
        <v>0</v>
      </c>
      <c r="BY206" s="37">
        <v>0</v>
      </c>
      <c r="BZ206" s="37">
        <v>0</v>
      </c>
      <c r="CA206" s="37">
        <v>0</v>
      </c>
      <c r="CB206" s="37">
        <v>301351</v>
      </c>
      <c r="CC206" s="37">
        <v>0</v>
      </c>
      <c r="CD206" s="37">
        <v>0</v>
      </c>
      <c r="CE206" s="37">
        <v>0</v>
      </c>
      <c r="CF206" s="37">
        <v>0</v>
      </c>
      <c r="CG206" s="37">
        <v>0</v>
      </c>
      <c r="CH206" s="37">
        <v>0</v>
      </c>
      <c r="CI206" s="37">
        <v>0</v>
      </c>
      <c r="CJ206" s="37">
        <v>0</v>
      </c>
      <c r="CK206" s="37">
        <v>0</v>
      </c>
      <c r="CL206" s="37">
        <v>0</v>
      </c>
      <c r="CM206" s="37">
        <v>0</v>
      </c>
      <c r="CN206" s="37">
        <v>0</v>
      </c>
      <c r="CO206" s="37">
        <v>0</v>
      </c>
      <c r="CP206" s="37">
        <v>250000</v>
      </c>
      <c r="CQ206" s="37">
        <v>0</v>
      </c>
      <c r="CR206" s="37">
        <v>0</v>
      </c>
      <c r="CS206" s="37">
        <v>0</v>
      </c>
      <c r="CT206" s="37">
        <v>0</v>
      </c>
      <c r="CU206" s="37">
        <v>0</v>
      </c>
      <c r="CV206" s="37">
        <v>0</v>
      </c>
      <c r="CW206" s="37">
        <v>0</v>
      </c>
      <c r="CX206" s="37">
        <v>0</v>
      </c>
      <c r="CY206" s="37">
        <v>0</v>
      </c>
      <c r="CZ206" s="37">
        <v>250000</v>
      </c>
      <c r="DA206" s="37">
        <v>0</v>
      </c>
      <c r="DB206" s="37">
        <v>0</v>
      </c>
      <c r="DC206" s="37">
        <v>0</v>
      </c>
      <c r="DD206" s="37">
        <v>0</v>
      </c>
      <c r="DE206" s="37">
        <v>0</v>
      </c>
      <c r="DF206" s="37">
        <v>0</v>
      </c>
      <c r="DG206" s="37">
        <v>0</v>
      </c>
      <c r="DH206" s="37">
        <v>0</v>
      </c>
      <c r="DI206" s="37">
        <v>0</v>
      </c>
      <c r="DJ206" s="37">
        <v>0</v>
      </c>
      <c r="DK206" s="37">
        <v>0</v>
      </c>
      <c r="DL206" s="37">
        <v>0</v>
      </c>
      <c r="DM206" s="37">
        <v>0</v>
      </c>
      <c r="DN206" s="37">
        <v>0</v>
      </c>
      <c r="DO206" s="37">
        <v>0</v>
      </c>
      <c r="DP206" s="37">
        <v>0</v>
      </c>
      <c r="DQ206" s="37">
        <v>0</v>
      </c>
      <c r="DR206" s="37">
        <v>0</v>
      </c>
      <c r="DS206" s="37">
        <v>0</v>
      </c>
      <c r="DT206" s="37">
        <v>0</v>
      </c>
      <c r="DU206" s="37">
        <v>0</v>
      </c>
      <c r="DV206" s="37">
        <v>0</v>
      </c>
      <c r="DW206" s="37">
        <v>0</v>
      </c>
      <c r="DX206" s="37">
        <v>0</v>
      </c>
      <c r="DY206" s="37">
        <v>0</v>
      </c>
      <c r="DZ206" s="37">
        <v>0</v>
      </c>
      <c r="EA206" s="37">
        <v>0</v>
      </c>
      <c r="EB206" s="37">
        <v>0</v>
      </c>
      <c r="EC206" s="37">
        <v>0</v>
      </c>
      <c r="ED206" s="37">
        <v>0</v>
      </c>
      <c r="EE206" s="37">
        <v>0</v>
      </c>
      <c r="EF206" s="37">
        <v>0</v>
      </c>
      <c r="EG206" s="37">
        <v>0</v>
      </c>
      <c r="EH206" s="37">
        <v>0</v>
      </c>
      <c r="EI206" s="37">
        <v>0</v>
      </c>
      <c r="EJ206" s="37">
        <v>0</v>
      </c>
      <c r="EK206" s="161" t="s">
        <v>1819</v>
      </c>
      <c r="EL206" s="294" t="s">
        <v>1124</v>
      </c>
    </row>
    <row r="207" spans="1:142" ht="15" customHeight="1" x14ac:dyDescent="0.35">
      <c r="A207" s="34"/>
      <c r="B207" s="313">
        <v>76052</v>
      </c>
      <c r="C207" s="8" t="s">
        <v>753</v>
      </c>
      <c r="D207" s="18">
        <v>15</v>
      </c>
      <c r="E207" s="155">
        <v>73542</v>
      </c>
      <c r="F207" s="36">
        <v>0</v>
      </c>
      <c r="G207" s="37">
        <v>0</v>
      </c>
      <c r="H207" s="37">
        <v>0</v>
      </c>
      <c r="I207" s="37">
        <v>0</v>
      </c>
      <c r="J207" s="37">
        <v>0</v>
      </c>
      <c r="K207" s="37">
        <v>2300</v>
      </c>
      <c r="L207" s="37">
        <v>0</v>
      </c>
      <c r="M207" s="37">
        <v>75842</v>
      </c>
      <c r="N207" s="37">
        <v>0</v>
      </c>
      <c r="O207" s="37">
        <v>0</v>
      </c>
      <c r="P207" s="37">
        <v>0</v>
      </c>
      <c r="Q207" s="37">
        <v>69866</v>
      </c>
      <c r="R207" s="37">
        <v>0</v>
      </c>
      <c r="S207" s="37">
        <v>0</v>
      </c>
      <c r="T207" s="37">
        <v>0</v>
      </c>
      <c r="U207" s="37">
        <v>0</v>
      </c>
      <c r="V207" s="37">
        <v>0</v>
      </c>
      <c r="W207" s="37">
        <v>8124</v>
      </c>
      <c r="X207" s="37">
        <v>0</v>
      </c>
      <c r="Y207" s="37">
        <v>0</v>
      </c>
      <c r="Z207" s="37">
        <v>0</v>
      </c>
      <c r="AA207" s="37">
        <v>77990</v>
      </c>
      <c r="AB207" s="37">
        <v>0</v>
      </c>
      <c r="AC207" s="37">
        <v>2148</v>
      </c>
      <c r="AD207" s="37">
        <v>0</v>
      </c>
      <c r="AE207" s="37">
        <v>0</v>
      </c>
      <c r="AF207" s="168">
        <v>0.02</v>
      </c>
      <c r="AG207" s="37">
        <v>7432365.96</v>
      </c>
      <c r="AH207" s="37">
        <v>2264962.96</v>
      </c>
      <c r="AI207" s="37">
        <v>61004.37</v>
      </c>
      <c r="AJ207" s="37">
        <v>62224.46</v>
      </c>
      <c r="AK207" s="37">
        <v>63468.95</v>
      </c>
      <c r="AL207" s="37">
        <v>64738.33</v>
      </c>
      <c r="AM207" s="37">
        <v>66033.100000000006</v>
      </c>
      <c r="AN207" s="37">
        <v>67353.759999999995</v>
      </c>
      <c r="AO207" s="37">
        <v>68700.83</v>
      </c>
      <c r="AP207" s="37">
        <v>70074.850000000006</v>
      </c>
      <c r="AQ207" s="37">
        <v>71476.350000000006</v>
      </c>
      <c r="AR207" s="37">
        <v>2860037.96</v>
      </c>
      <c r="AS207" s="37">
        <v>0</v>
      </c>
      <c r="AT207" s="37">
        <v>0</v>
      </c>
      <c r="AU207" s="37">
        <v>0</v>
      </c>
      <c r="AV207" s="37">
        <v>0</v>
      </c>
      <c r="AW207" s="37">
        <v>0</v>
      </c>
      <c r="AX207" s="37">
        <v>0</v>
      </c>
      <c r="AY207" s="37">
        <v>0</v>
      </c>
      <c r="AZ207" s="37">
        <v>0</v>
      </c>
      <c r="BA207" s="37">
        <v>0</v>
      </c>
      <c r="BB207" s="37">
        <v>0</v>
      </c>
      <c r="BC207" s="37">
        <v>0</v>
      </c>
      <c r="BD207" s="37">
        <v>0</v>
      </c>
      <c r="BE207" s="37">
        <v>0</v>
      </c>
      <c r="BF207" s="37">
        <v>0</v>
      </c>
      <c r="BG207" s="37">
        <v>0</v>
      </c>
      <c r="BH207" s="37">
        <v>0</v>
      </c>
      <c r="BI207" s="37">
        <v>0</v>
      </c>
      <c r="BJ207" s="37">
        <v>0</v>
      </c>
      <c r="BK207" s="37">
        <v>0</v>
      </c>
      <c r="BL207" s="37">
        <v>0</v>
      </c>
      <c r="BM207" s="37">
        <v>0</v>
      </c>
      <c r="BN207" s="37">
        <v>0</v>
      </c>
      <c r="BO207" s="37">
        <v>0</v>
      </c>
      <c r="BP207" s="37">
        <v>0</v>
      </c>
      <c r="BQ207" s="37">
        <v>800000</v>
      </c>
      <c r="BR207" s="37">
        <v>816000</v>
      </c>
      <c r="BS207" s="37">
        <v>816000</v>
      </c>
      <c r="BT207" s="37">
        <v>816000</v>
      </c>
      <c r="BU207" s="37">
        <v>0</v>
      </c>
      <c r="BV207" s="37">
        <v>0</v>
      </c>
      <c r="BW207" s="37">
        <v>0</v>
      </c>
      <c r="BX207" s="37">
        <v>0</v>
      </c>
      <c r="BY207" s="37">
        <v>0</v>
      </c>
      <c r="BZ207" s="37">
        <v>0</v>
      </c>
      <c r="CA207" s="37">
        <v>0</v>
      </c>
      <c r="CB207" s="37">
        <v>2448000</v>
      </c>
      <c r="CC207" s="37">
        <v>0</v>
      </c>
      <c r="CD207" s="37">
        <v>0</v>
      </c>
      <c r="CE207" s="37">
        <v>0</v>
      </c>
      <c r="CF207" s="37">
        <v>0</v>
      </c>
      <c r="CG207" s="37">
        <v>0</v>
      </c>
      <c r="CH207" s="37">
        <v>0</v>
      </c>
      <c r="CI207" s="37">
        <v>0</v>
      </c>
      <c r="CJ207" s="37">
        <v>0</v>
      </c>
      <c r="CK207" s="37">
        <v>0</v>
      </c>
      <c r="CL207" s="37">
        <v>0</v>
      </c>
      <c r="CM207" s="37">
        <v>0</v>
      </c>
      <c r="CN207" s="37">
        <v>0</v>
      </c>
      <c r="CO207" s="37">
        <v>0</v>
      </c>
      <c r="CP207" s="37">
        <v>0</v>
      </c>
      <c r="CQ207" s="37">
        <v>0</v>
      </c>
      <c r="CR207" s="37">
        <v>0</v>
      </c>
      <c r="CS207" s="37">
        <v>0</v>
      </c>
      <c r="CT207" s="37">
        <v>0</v>
      </c>
      <c r="CU207" s="37">
        <v>0</v>
      </c>
      <c r="CV207" s="37">
        <v>0</v>
      </c>
      <c r="CW207" s="37">
        <v>0</v>
      </c>
      <c r="CX207" s="37">
        <v>0</v>
      </c>
      <c r="CY207" s="37">
        <v>0</v>
      </c>
      <c r="CZ207" s="37">
        <v>0</v>
      </c>
      <c r="DA207" s="37">
        <v>0</v>
      </c>
      <c r="DB207" s="37">
        <v>0</v>
      </c>
      <c r="DC207" s="37">
        <v>0</v>
      </c>
      <c r="DD207" s="37">
        <v>0</v>
      </c>
      <c r="DE207" s="37">
        <v>0</v>
      </c>
      <c r="DF207" s="37">
        <v>0</v>
      </c>
      <c r="DG207" s="37">
        <v>0</v>
      </c>
      <c r="DH207" s="37">
        <v>0</v>
      </c>
      <c r="DI207" s="37">
        <v>0</v>
      </c>
      <c r="DJ207" s="37">
        <v>0</v>
      </c>
      <c r="DK207" s="37">
        <v>0</v>
      </c>
      <c r="DL207" s="37">
        <v>0</v>
      </c>
      <c r="DM207" s="37">
        <v>0</v>
      </c>
      <c r="DN207" s="37">
        <v>0</v>
      </c>
      <c r="DO207" s="37">
        <v>0</v>
      </c>
      <c r="DP207" s="37">
        <v>0</v>
      </c>
      <c r="DQ207" s="37">
        <v>0</v>
      </c>
      <c r="DR207" s="37">
        <v>0</v>
      </c>
      <c r="DS207" s="37">
        <v>0</v>
      </c>
      <c r="DT207" s="37">
        <v>0</v>
      </c>
      <c r="DU207" s="37">
        <v>0</v>
      </c>
      <c r="DV207" s="37">
        <v>0</v>
      </c>
      <c r="DW207" s="37">
        <v>0</v>
      </c>
      <c r="DX207" s="37">
        <v>0</v>
      </c>
      <c r="DY207" s="37">
        <v>0</v>
      </c>
      <c r="DZ207" s="37">
        <v>0</v>
      </c>
      <c r="EA207" s="37">
        <v>0</v>
      </c>
      <c r="EB207" s="37">
        <v>0</v>
      </c>
      <c r="EC207" s="37">
        <v>0</v>
      </c>
      <c r="ED207" s="37">
        <v>0</v>
      </c>
      <c r="EE207" s="37">
        <v>0</v>
      </c>
      <c r="EF207" s="37">
        <v>0</v>
      </c>
      <c r="EG207" s="37">
        <v>0</v>
      </c>
      <c r="EH207" s="37">
        <v>0</v>
      </c>
      <c r="EI207" s="37">
        <v>0</v>
      </c>
      <c r="EJ207" s="37">
        <v>0</v>
      </c>
      <c r="EK207" s="161" t="s">
        <v>1825</v>
      </c>
      <c r="EL207" s="294" t="s">
        <v>1124</v>
      </c>
    </row>
    <row r="208" spans="1:142" ht="15" customHeight="1" x14ac:dyDescent="0.35">
      <c r="A208" s="34"/>
      <c r="B208" s="313">
        <v>98014</v>
      </c>
      <c r="C208" s="8" t="s">
        <v>1009</v>
      </c>
      <c r="D208" s="18">
        <v>9</v>
      </c>
      <c r="E208" s="155"/>
      <c r="F208" s="36"/>
      <c r="G208" s="37"/>
      <c r="H208" s="37"/>
      <c r="I208" s="37"/>
      <c r="J208" s="37"/>
      <c r="K208" s="37"/>
      <c r="L208" s="37"/>
      <c r="M208" s="37" t="s">
        <v>1124</v>
      </c>
      <c r="N208" s="37" t="s">
        <v>1124</v>
      </c>
      <c r="O208" s="37"/>
      <c r="P208" s="37"/>
      <c r="Q208" s="37"/>
      <c r="R208" s="37"/>
      <c r="S208" s="37"/>
      <c r="T208" s="37"/>
      <c r="U208" s="37"/>
      <c r="V208" s="37"/>
      <c r="W208" s="37"/>
      <c r="X208" s="37"/>
      <c r="Y208" s="37"/>
      <c r="Z208" s="37"/>
      <c r="AA208" s="37" t="s">
        <v>1124</v>
      </c>
      <c r="AB208" s="37" t="s">
        <v>1124</v>
      </c>
      <c r="AC208" s="37"/>
      <c r="AD208" s="37"/>
      <c r="AE208" s="37"/>
      <c r="AF208" s="168"/>
      <c r="AG208" s="37"/>
      <c r="AH208" s="37"/>
      <c r="AI208" s="37"/>
      <c r="AJ208" s="37"/>
      <c r="AK208" s="37"/>
      <c r="AL208" s="37"/>
      <c r="AM208" s="37"/>
      <c r="AN208" s="37"/>
      <c r="AO208" s="37"/>
      <c r="AP208" s="37"/>
      <c r="AQ208" s="37"/>
      <c r="AR208" s="37" t="s">
        <v>1124</v>
      </c>
      <c r="AS208" s="37"/>
      <c r="AT208" s="37"/>
      <c r="AU208" s="37"/>
      <c r="AV208" s="37"/>
      <c r="AW208" s="37"/>
      <c r="AX208" s="37"/>
      <c r="AY208" s="37"/>
      <c r="AZ208" s="37"/>
      <c r="BA208" s="37"/>
      <c r="BB208" s="37"/>
      <c r="BC208" s="37"/>
      <c r="BD208" s="37" t="s">
        <v>1124</v>
      </c>
      <c r="BE208" s="37"/>
      <c r="BF208" s="37"/>
      <c r="BG208" s="37"/>
      <c r="BH208" s="37"/>
      <c r="BI208" s="37"/>
      <c r="BJ208" s="37"/>
      <c r="BK208" s="37"/>
      <c r="BL208" s="37"/>
      <c r="BM208" s="37"/>
      <c r="BN208" s="37"/>
      <c r="BO208" s="37"/>
      <c r="BP208" s="37">
        <v>0</v>
      </c>
      <c r="BQ208" s="37"/>
      <c r="BR208" s="37"/>
      <c r="BS208" s="37"/>
      <c r="BT208" s="37"/>
      <c r="BU208" s="37"/>
      <c r="BV208" s="37"/>
      <c r="BW208" s="37"/>
      <c r="BX208" s="37"/>
      <c r="BY208" s="37"/>
      <c r="BZ208" s="37"/>
      <c r="CA208" s="37"/>
      <c r="CB208" s="37" t="s">
        <v>1124</v>
      </c>
      <c r="CC208" s="37"/>
      <c r="CD208" s="37"/>
      <c r="CE208" s="37"/>
      <c r="CF208" s="37"/>
      <c r="CG208" s="37"/>
      <c r="CH208" s="37"/>
      <c r="CI208" s="37"/>
      <c r="CJ208" s="37"/>
      <c r="CK208" s="37"/>
      <c r="CL208" s="37"/>
      <c r="CM208" s="37"/>
      <c r="CN208" s="37" t="s">
        <v>1124</v>
      </c>
      <c r="CO208" s="37"/>
      <c r="CP208" s="37"/>
      <c r="CQ208" s="37"/>
      <c r="CR208" s="37"/>
      <c r="CS208" s="37"/>
      <c r="CT208" s="37"/>
      <c r="CU208" s="37"/>
      <c r="CV208" s="37"/>
      <c r="CW208" s="37"/>
      <c r="CX208" s="37"/>
      <c r="CY208" s="37"/>
      <c r="CZ208" s="37" t="s">
        <v>1124</v>
      </c>
      <c r="DA208" s="37"/>
      <c r="DB208" s="37"/>
      <c r="DC208" s="37"/>
      <c r="DD208" s="37"/>
      <c r="DE208" s="37"/>
      <c r="DF208" s="37"/>
      <c r="DG208" s="37"/>
      <c r="DH208" s="37"/>
      <c r="DI208" s="37"/>
      <c r="DJ208" s="37"/>
      <c r="DK208" s="37"/>
      <c r="DL208" s="37" t="s">
        <v>1124</v>
      </c>
      <c r="DM208" s="37"/>
      <c r="DN208" s="37"/>
      <c r="DO208" s="37"/>
      <c r="DP208" s="37"/>
      <c r="DQ208" s="37"/>
      <c r="DR208" s="37"/>
      <c r="DS208" s="37"/>
      <c r="DT208" s="37"/>
      <c r="DU208" s="37"/>
      <c r="DV208" s="37"/>
      <c r="DW208" s="37"/>
      <c r="DX208" s="37" t="s">
        <v>1124</v>
      </c>
      <c r="DY208" s="37"/>
      <c r="DZ208" s="37"/>
      <c r="EA208" s="37"/>
      <c r="EB208" s="37"/>
      <c r="EC208" s="37"/>
      <c r="ED208" s="37"/>
      <c r="EE208" s="37"/>
      <c r="EF208" s="37"/>
      <c r="EG208" s="37"/>
      <c r="EH208" s="37"/>
      <c r="EI208" s="37"/>
      <c r="EJ208" s="37" t="s">
        <v>1124</v>
      </c>
      <c r="EK208" s="161"/>
      <c r="EL208" s="294"/>
    </row>
    <row r="209" spans="1:142" ht="15" customHeight="1" x14ac:dyDescent="0.35">
      <c r="A209" s="34"/>
      <c r="B209" s="313">
        <v>1042</v>
      </c>
      <c r="C209" s="8" t="s">
        <v>1025</v>
      </c>
      <c r="D209" s="18">
        <v>11</v>
      </c>
      <c r="E209" s="155"/>
      <c r="F209" s="36"/>
      <c r="G209" s="37"/>
      <c r="H209" s="37"/>
      <c r="I209" s="37"/>
      <c r="J209" s="37"/>
      <c r="K209" s="37"/>
      <c r="L209" s="37"/>
      <c r="M209" s="37" t="s">
        <v>1124</v>
      </c>
      <c r="N209" s="37" t="s">
        <v>1124</v>
      </c>
      <c r="O209" s="37"/>
      <c r="P209" s="37"/>
      <c r="Q209" s="37"/>
      <c r="R209" s="37"/>
      <c r="S209" s="37"/>
      <c r="T209" s="37"/>
      <c r="U209" s="37"/>
      <c r="V209" s="37"/>
      <c r="W209" s="37"/>
      <c r="X209" s="37"/>
      <c r="Y209" s="37"/>
      <c r="Z209" s="37"/>
      <c r="AA209" s="37" t="s">
        <v>1124</v>
      </c>
      <c r="AB209" s="37" t="s">
        <v>1124</v>
      </c>
      <c r="AC209" s="37"/>
      <c r="AD209" s="37"/>
      <c r="AE209" s="37"/>
      <c r="AF209" s="168"/>
      <c r="AG209" s="37"/>
      <c r="AH209" s="37"/>
      <c r="AI209" s="37"/>
      <c r="AJ209" s="37"/>
      <c r="AK209" s="37"/>
      <c r="AL209" s="37"/>
      <c r="AM209" s="37"/>
      <c r="AN209" s="37"/>
      <c r="AO209" s="37"/>
      <c r="AP209" s="37"/>
      <c r="AQ209" s="37"/>
      <c r="AR209" s="37" t="s">
        <v>1124</v>
      </c>
      <c r="AS209" s="37"/>
      <c r="AT209" s="37"/>
      <c r="AU209" s="37"/>
      <c r="AV209" s="37"/>
      <c r="AW209" s="37"/>
      <c r="AX209" s="37"/>
      <c r="AY209" s="37"/>
      <c r="AZ209" s="37"/>
      <c r="BA209" s="37"/>
      <c r="BB209" s="37"/>
      <c r="BC209" s="37"/>
      <c r="BD209" s="37" t="s">
        <v>1124</v>
      </c>
      <c r="BE209" s="37"/>
      <c r="BF209" s="37"/>
      <c r="BG209" s="37"/>
      <c r="BH209" s="37"/>
      <c r="BI209" s="37"/>
      <c r="BJ209" s="37"/>
      <c r="BK209" s="37"/>
      <c r="BL209" s="37"/>
      <c r="BM209" s="37"/>
      <c r="BN209" s="37"/>
      <c r="BO209" s="37"/>
      <c r="BP209" s="37">
        <v>0</v>
      </c>
      <c r="BQ209" s="37"/>
      <c r="BR209" s="37"/>
      <c r="BS209" s="37"/>
      <c r="BT209" s="37"/>
      <c r="BU209" s="37"/>
      <c r="BV209" s="37"/>
      <c r="BW209" s="37"/>
      <c r="BX209" s="37"/>
      <c r="BY209" s="37"/>
      <c r="BZ209" s="37"/>
      <c r="CA209" s="37"/>
      <c r="CB209" s="37" t="s">
        <v>1124</v>
      </c>
      <c r="CC209" s="37"/>
      <c r="CD209" s="37"/>
      <c r="CE209" s="37"/>
      <c r="CF209" s="37"/>
      <c r="CG209" s="37"/>
      <c r="CH209" s="37"/>
      <c r="CI209" s="37"/>
      <c r="CJ209" s="37"/>
      <c r="CK209" s="37"/>
      <c r="CL209" s="37"/>
      <c r="CM209" s="37"/>
      <c r="CN209" s="37" t="s">
        <v>1124</v>
      </c>
      <c r="CO209" s="37"/>
      <c r="CP209" s="37"/>
      <c r="CQ209" s="37"/>
      <c r="CR209" s="37"/>
      <c r="CS209" s="37"/>
      <c r="CT209" s="37"/>
      <c r="CU209" s="37"/>
      <c r="CV209" s="37"/>
      <c r="CW209" s="37"/>
      <c r="CX209" s="37"/>
      <c r="CY209" s="37"/>
      <c r="CZ209" s="37" t="s">
        <v>1124</v>
      </c>
      <c r="DA209" s="37"/>
      <c r="DB209" s="37"/>
      <c r="DC209" s="37"/>
      <c r="DD209" s="37"/>
      <c r="DE209" s="37"/>
      <c r="DF209" s="37"/>
      <c r="DG209" s="37"/>
      <c r="DH209" s="37"/>
      <c r="DI209" s="37"/>
      <c r="DJ209" s="37"/>
      <c r="DK209" s="37"/>
      <c r="DL209" s="37" t="s">
        <v>1124</v>
      </c>
      <c r="DM209" s="37"/>
      <c r="DN209" s="37"/>
      <c r="DO209" s="37"/>
      <c r="DP209" s="37"/>
      <c r="DQ209" s="37"/>
      <c r="DR209" s="37"/>
      <c r="DS209" s="37"/>
      <c r="DT209" s="37"/>
      <c r="DU209" s="37"/>
      <c r="DV209" s="37"/>
      <c r="DW209" s="37"/>
      <c r="DX209" s="37" t="s">
        <v>1124</v>
      </c>
      <c r="DY209" s="37"/>
      <c r="DZ209" s="37"/>
      <c r="EA209" s="37"/>
      <c r="EB209" s="37"/>
      <c r="EC209" s="37"/>
      <c r="ED209" s="37"/>
      <c r="EE209" s="37"/>
      <c r="EF209" s="37"/>
      <c r="EG209" s="37"/>
      <c r="EH209" s="37"/>
      <c r="EI209" s="37"/>
      <c r="EJ209" s="37" t="s">
        <v>1124</v>
      </c>
      <c r="EK209" s="161"/>
      <c r="EL209" s="294"/>
    </row>
    <row r="210" spans="1:142" ht="15" customHeight="1" x14ac:dyDescent="0.35">
      <c r="A210" s="34"/>
      <c r="B210" s="313">
        <v>8015</v>
      </c>
      <c r="C210" s="8" t="s">
        <v>1088</v>
      </c>
      <c r="D210" s="18">
        <v>1</v>
      </c>
      <c r="E210" s="155">
        <v>55052</v>
      </c>
      <c r="F210" s="36">
        <v>36414</v>
      </c>
      <c r="G210" s="37">
        <v>5012</v>
      </c>
      <c r="H210" s="37">
        <v>94234</v>
      </c>
      <c r="I210" s="37">
        <v>56491</v>
      </c>
      <c r="J210" s="37">
        <v>160840</v>
      </c>
      <c r="K210" s="37">
        <v>17400</v>
      </c>
      <c r="L210" s="37">
        <v>43700</v>
      </c>
      <c r="M210" s="37">
        <v>133955</v>
      </c>
      <c r="N210" s="37">
        <v>335188</v>
      </c>
      <c r="O210" s="37">
        <v>0</v>
      </c>
      <c r="P210" s="37">
        <v>0</v>
      </c>
      <c r="Q210" s="37">
        <v>51797</v>
      </c>
      <c r="R210" s="37">
        <v>39657</v>
      </c>
      <c r="S210" s="37">
        <v>0</v>
      </c>
      <c r="T210" s="37">
        <v>0</v>
      </c>
      <c r="U210" s="37">
        <v>3615</v>
      </c>
      <c r="V210" s="37">
        <v>148807</v>
      </c>
      <c r="W210" s="37">
        <v>112634</v>
      </c>
      <c r="X210" s="37">
        <v>112633</v>
      </c>
      <c r="Y210" s="37">
        <v>0</v>
      </c>
      <c r="Z210" s="37">
        <v>0</v>
      </c>
      <c r="AA210" s="37">
        <v>168046</v>
      </c>
      <c r="AB210" s="37">
        <v>301097</v>
      </c>
      <c r="AC210" s="37">
        <v>0</v>
      </c>
      <c r="AD210" s="37">
        <v>0</v>
      </c>
      <c r="AE210" s="37">
        <v>0</v>
      </c>
      <c r="AF210" s="168">
        <v>0.02</v>
      </c>
      <c r="AG210" s="37">
        <v>14523970.34</v>
      </c>
      <c r="AH210" s="37">
        <v>155887.47</v>
      </c>
      <c r="AI210" s="37">
        <v>164311.25</v>
      </c>
      <c r="AJ210" s="37">
        <v>162185.32</v>
      </c>
      <c r="AK210" s="37">
        <v>165429.03</v>
      </c>
      <c r="AL210" s="37">
        <v>168737.61</v>
      </c>
      <c r="AM210" s="37">
        <v>172112.36</v>
      </c>
      <c r="AN210" s="37">
        <v>175554.6</v>
      </c>
      <c r="AO210" s="37">
        <v>179065.7</v>
      </c>
      <c r="AP210" s="37">
        <v>182647.01</v>
      </c>
      <c r="AQ210" s="37">
        <v>186299.95</v>
      </c>
      <c r="AR210" s="37">
        <v>1712230.3</v>
      </c>
      <c r="AS210" s="37">
        <v>35700</v>
      </c>
      <c r="AT210" s="37">
        <v>40800</v>
      </c>
      <c r="AU210" s="37">
        <v>10612.08</v>
      </c>
      <c r="AV210" s="37">
        <v>0</v>
      </c>
      <c r="AW210" s="37">
        <v>0</v>
      </c>
      <c r="AX210" s="37">
        <v>0</v>
      </c>
      <c r="AY210" s="37">
        <v>0</v>
      </c>
      <c r="AZ210" s="37">
        <v>0</v>
      </c>
      <c r="BA210" s="37">
        <v>0</v>
      </c>
      <c r="BB210" s="37">
        <v>0</v>
      </c>
      <c r="BC210" s="37">
        <v>0</v>
      </c>
      <c r="BD210" s="37">
        <v>51412.08</v>
      </c>
      <c r="BE210" s="37">
        <v>125000</v>
      </c>
      <c r="BF210" s="37">
        <v>35000</v>
      </c>
      <c r="BG210" s="37">
        <v>0</v>
      </c>
      <c r="BH210" s="37">
        <v>0</v>
      </c>
      <c r="BI210" s="37">
        <v>0</v>
      </c>
      <c r="BJ210" s="37">
        <v>0</v>
      </c>
      <c r="BK210" s="37">
        <v>0</v>
      </c>
      <c r="BL210" s="37">
        <v>0</v>
      </c>
      <c r="BM210" s="37">
        <v>0</v>
      </c>
      <c r="BN210" s="37">
        <v>0</v>
      </c>
      <c r="BO210" s="37">
        <v>0</v>
      </c>
      <c r="BP210" s="37">
        <v>35000</v>
      </c>
      <c r="BQ210" s="37">
        <v>0</v>
      </c>
      <c r="BR210" s="37">
        <v>0</v>
      </c>
      <c r="BS210" s="37">
        <v>0</v>
      </c>
      <c r="BT210" s="37">
        <v>0</v>
      </c>
      <c r="BU210" s="37">
        <v>0</v>
      </c>
      <c r="BV210" s="37">
        <v>0</v>
      </c>
      <c r="BW210" s="37">
        <v>0</v>
      </c>
      <c r="BX210" s="37">
        <v>0</v>
      </c>
      <c r="BY210" s="37">
        <v>0</v>
      </c>
      <c r="BZ210" s="37">
        <v>0</v>
      </c>
      <c r="CA210" s="37">
        <v>0</v>
      </c>
      <c r="CB210" s="37">
        <v>0</v>
      </c>
      <c r="CC210" s="37">
        <v>0</v>
      </c>
      <c r="CD210" s="37">
        <v>0</v>
      </c>
      <c r="CE210" s="37">
        <v>0</v>
      </c>
      <c r="CF210" s="37">
        <v>0</v>
      </c>
      <c r="CG210" s="37">
        <v>0</v>
      </c>
      <c r="CH210" s="37">
        <v>0</v>
      </c>
      <c r="CI210" s="37">
        <v>0</v>
      </c>
      <c r="CJ210" s="37">
        <v>0</v>
      </c>
      <c r="CK210" s="37">
        <v>0</v>
      </c>
      <c r="CL210" s="37">
        <v>0</v>
      </c>
      <c r="CM210" s="37">
        <v>0</v>
      </c>
      <c r="CN210" s="37">
        <v>0</v>
      </c>
      <c r="CO210" s="37">
        <v>0</v>
      </c>
      <c r="CP210" s="37">
        <v>40000</v>
      </c>
      <c r="CQ210" s="37">
        <v>0</v>
      </c>
      <c r="CR210" s="37">
        <v>0</v>
      </c>
      <c r="CS210" s="37">
        <v>0</v>
      </c>
      <c r="CT210" s="37">
        <v>0</v>
      </c>
      <c r="CU210" s="37">
        <v>0</v>
      </c>
      <c r="CV210" s="37">
        <v>0</v>
      </c>
      <c r="CW210" s="37">
        <v>0</v>
      </c>
      <c r="CX210" s="37">
        <v>0</v>
      </c>
      <c r="CY210" s="37">
        <v>0</v>
      </c>
      <c r="CZ210" s="37">
        <v>40000</v>
      </c>
      <c r="DA210" s="37">
        <v>0</v>
      </c>
      <c r="DB210" s="37">
        <v>0</v>
      </c>
      <c r="DC210" s="37">
        <v>0</v>
      </c>
      <c r="DD210" s="37">
        <v>0</v>
      </c>
      <c r="DE210" s="37">
        <v>0</v>
      </c>
      <c r="DF210" s="37">
        <v>0</v>
      </c>
      <c r="DG210" s="37">
        <v>0</v>
      </c>
      <c r="DH210" s="37">
        <v>0</v>
      </c>
      <c r="DI210" s="37">
        <v>0</v>
      </c>
      <c r="DJ210" s="37">
        <v>0</v>
      </c>
      <c r="DK210" s="37">
        <v>0</v>
      </c>
      <c r="DL210" s="37">
        <v>0</v>
      </c>
      <c r="DM210" s="37">
        <v>0</v>
      </c>
      <c r="DN210" s="37">
        <v>0</v>
      </c>
      <c r="DO210" s="37">
        <v>0</v>
      </c>
      <c r="DP210" s="37">
        <v>0</v>
      </c>
      <c r="DQ210" s="37">
        <v>0</v>
      </c>
      <c r="DR210" s="37">
        <v>0</v>
      </c>
      <c r="DS210" s="37">
        <v>0</v>
      </c>
      <c r="DT210" s="37">
        <v>0</v>
      </c>
      <c r="DU210" s="37">
        <v>0</v>
      </c>
      <c r="DV210" s="37">
        <v>0</v>
      </c>
      <c r="DW210" s="37">
        <v>0</v>
      </c>
      <c r="DX210" s="37">
        <v>0</v>
      </c>
      <c r="DY210" s="37">
        <v>0</v>
      </c>
      <c r="DZ210" s="37">
        <v>0</v>
      </c>
      <c r="EA210" s="37">
        <v>0</v>
      </c>
      <c r="EB210" s="37">
        <v>0</v>
      </c>
      <c r="EC210" s="37">
        <v>0</v>
      </c>
      <c r="ED210" s="37">
        <v>0</v>
      </c>
      <c r="EE210" s="37">
        <v>0</v>
      </c>
      <c r="EF210" s="37">
        <v>0</v>
      </c>
      <c r="EG210" s="37">
        <v>0</v>
      </c>
      <c r="EH210" s="37">
        <v>0</v>
      </c>
      <c r="EI210" s="37">
        <v>0</v>
      </c>
      <c r="EJ210" s="37">
        <v>0</v>
      </c>
      <c r="EK210" s="161" t="s">
        <v>1828</v>
      </c>
      <c r="EL210" s="294" t="s">
        <v>1124</v>
      </c>
    </row>
    <row r="211" spans="1:142" ht="15" customHeight="1" x14ac:dyDescent="0.35">
      <c r="A211" s="34"/>
      <c r="B211" s="313">
        <v>85095</v>
      </c>
      <c r="C211" s="8" t="s">
        <v>886</v>
      </c>
      <c r="D211" s="18">
        <v>8</v>
      </c>
      <c r="E211" s="155"/>
      <c r="F211" s="36"/>
      <c r="G211" s="37"/>
      <c r="H211" s="37"/>
      <c r="I211" s="37"/>
      <c r="J211" s="37"/>
      <c r="K211" s="37"/>
      <c r="L211" s="37"/>
      <c r="M211" s="37" t="s">
        <v>1124</v>
      </c>
      <c r="N211" s="37" t="s">
        <v>1124</v>
      </c>
      <c r="O211" s="37"/>
      <c r="P211" s="37"/>
      <c r="Q211" s="37"/>
      <c r="R211" s="37"/>
      <c r="S211" s="37"/>
      <c r="T211" s="37"/>
      <c r="U211" s="37"/>
      <c r="V211" s="37"/>
      <c r="W211" s="37"/>
      <c r="X211" s="37"/>
      <c r="Y211" s="37"/>
      <c r="Z211" s="37"/>
      <c r="AA211" s="37" t="s">
        <v>1124</v>
      </c>
      <c r="AB211" s="37" t="s">
        <v>1124</v>
      </c>
      <c r="AC211" s="37"/>
      <c r="AD211" s="37"/>
      <c r="AE211" s="37"/>
      <c r="AF211" s="168"/>
      <c r="AG211" s="37"/>
      <c r="AH211" s="37"/>
      <c r="AI211" s="37"/>
      <c r="AJ211" s="37"/>
      <c r="AK211" s="37"/>
      <c r="AL211" s="37"/>
      <c r="AM211" s="37"/>
      <c r="AN211" s="37"/>
      <c r="AO211" s="37"/>
      <c r="AP211" s="37"/>
      <c r="AQ211" s="37"/>
      <c r="AR211" s="37" t="s">
        <v>1124</v>
      </c>
      <c r="AS211" s="37"/>
      <c r="AT211" s="37"/>
      <c r="AU211" s="37"/>
      <c r="AV211" s="37"/>
      <c r="AW211" s="37"/>
      <c r="AX211" s="37"/>
      <c r="AY211" s="37"/>
      <c r="AZ211" s="37"/>
      <c r="BA211" s="37"/>
      <c r="BB211" s="37"/>
      <c r="BC211" s="37"/>
      <c r="BD211" s="37" t="s">
        <v>1124</v>
      </c>
      <c r="BE211" s="37"/>
      <c r="BF211" s="37"/>
      <c r="BG211" s="37"/>
      <c r="BH211" s="37"/>
      <c r="BI211" s="37"/>
      <c r="BJ211" s="37"/>
      <c r="BK211" s="37"/>
      <c r="BL211" s="37"/>
      <c r="BM211" s="37"/>
      <c r="BN211" s="37"/>
      <c r="BO211" s="37"/>
      <c r="BP211" s="37">
        <v>0</v>
      </c>
      <c r="BQ211" s="37"/>
      <c r="BR211" s="37"/>
      <c r="BS211" s="37"/>
      <c r="BT211" s="37"/>
      <c r="BU211" s="37"/>
      <c r="BV211" s="37"/>
      <c r="BW211" s="37"/>
      <c r="BX211" s="37"/>
      <c r="BY211" s="37"/>
      <c r="BZ211" s="37"/>
      <c r="CA211" s="37"/>
      <c r="CB211" s="37" t="s">
        <v>1124</v>
      </c>
      <c r="CC211" s="37"/>
      <c r="CD211" s="37"/>
      <c r="CE211" s="37"/>
      <c r="CF211" s="37"/>
      <c r="CG211" s="37"/>
      <c r="CH211" s="37"/>
      <c r="CI211" s="37"/>
      <c r="CJ211" s="37"/>
      <c r="CK211" s="37"/>
      <c r="CL211" s="37"/>
      <c r="CM211" s="37"/>
      <c r="CN211" s="37" t="s">
        <v>1124</v>
      </c>
      <c r="CO211" s="37"/>
      <c r="CP211" s="37"/>
      <c r="CQ211" s="37"/>
      <c r="CR211" s="37"/>
      <c r="CS211" s="37"/>
      <c r="CT211" s="37"/>
      <c r="CU211" s="37"/>
      <c r="CV211" s="37"/>
      <c r="CW211" s="37"/>
      <c r="CX211" s="37"/>
      <c r="CY211" s="37"/>
      <c r="CZ211" s="37" t="s">
        <v>1124</v>
      </c>
      <c r="DA211" s="37"/>
      <c r="DB211" s="37"/>
      <c r="DC211" s="37"/>
      <c r="DD211" s="37"/>
      <c r="DE211" s="37"/>
      <c r="DF211" s="37"/>
      <c r="DG211" s="37"/>
      <c r="DH211" s="37"/>
      <c r="DI211" s="37"/>
      <c r="DJ211" s="37"/>
      <c r="DK211" s="37"/>
      <c r="DL211" s="37" t="s">
        <v>1124</v>
      </c>
      <c r="DM211" s="37"/>
      <c r="DN211" s="37"/>
      <c r="DO211" s="37"/>
      <c r="DP211" s="37"/>
      <c r="DQ211" s="37"/>
      <c r="DR211" s="37"/>
      <c r="DS211" s="37"/>
      <c r="DT211" s="37"/>
      <c r="DU211" s="37"/>
      <c r="DV211" s="37"/>
      <c r="DW211" s="37"/>
      <c r="DX211" s="37" t="s">
        <v>1124</v>
      </c>
      <c r="DY211" s="37"/>
      <c r="DZ211" s="37"/>
      <c r="EA211" s="37"/>
      <c r="EB211" s="37"/>
      <c r="EC211" s="37"/>
      <c r="ED211" s="37"/>
      <c r="EE211" s="37"/>
      <c r="EF211" s="37"/>
      <c r="EG211" s="37"/>
      <c r="EH211" s="37"/>
      <c r="EI211" s="37"/>
      <c r="EJ211" s="37" t="s">
        <v>1124</v>
      </c>
      <c r="EK211" s="161"/>
      <c r="EL211" s="294"/>
    </row>
    <row r="212" spans="1:142" ht="15" customHeight="1" x14ac:dyDescent="0.35">
      <c r="A212" s="34"/>
      <c r="B212" s="313">
        <v>39010</v>
      </c>
      <c r="C212" s="8" t="s">
        <v>338</v>
      </c>
      <c r="D212" s="18">
        <v>17</v>
      </c>
      <c r="E212" s="155">
        <v>37755</v>
      </c>
      <c r="F212" s="36">
        <v>37897</v>
      </c>
      <c r="G212" s="37">
        <v>13650</v>
      </c>
      <c r="H212" s="37">
        <v>14575</v>
      </c>
      <c r="I212" s="37">
        <v>40303</v>
      </c>
      <c r="J212" s="37">
        <v>9550</v>
      </c>
      <c r="K212" s="37">
        <v>5663</v>
      </c>
      <c r="L212" s="37">
        <v>5685</v>
      </c>
      <c r="M212" s="37">
        <v>97371</v>
      </c>
      <c r="N212" s="37">
        <v>67707</v>
      </c>
      <c r="O212" s="37">
        <v>0</v>
      </c>
      <c r="P212" s="37">
        <v>0</v>
      </c>
      <c r="Q212" s="37">
        <v>89988</v>
      </c>
      <c r="R212" s="37">
        <v>52913</v>
      </c>
      <c r="S212" s="37">
        <v>0</v>
      </c>
      <c r="T212" s="37">
        <v>0</v>
      </c>
      <c r="U212" s="37">
        <v>0</v>
      </c>
      <c r="V212" s="37">
        <v>0</v>
      </c>
      <c r="W212" s="37">
        <v>11088</v>
      </c>
      <c r="X212" s="37">
        <v>11089</v>
      </c>
      <c r="Y212" s="37">
        <v>0</v>
      </c>
      <c r="Z212" s="37">
        <v>0</v>
      </c>
      <c r="AA212" s="37">
        <v>101076</v>
      </c>
      <c r="AB212" s="37">
        <v>64002</v>
      </c>
      <c r="AC212" s="37">
        <v>0</v>
      </c>
      <c r="AD212" s="37">
        <v>0</v>
      </c>
      <c r="AE212" s="37">
        <v>0</v>
      </c>
      <c r="AF212" s="168">
        <v>0.02</v>
      </c>
      <c r="AG212" s="37">
        <v>11487763.26</v>
      </c>
      <c r="AH212" s="37">
        <v>92194.32</v>
      </c>
      <c r="AI212" s="37">
        <v>94038.21</v>
      </c>
      <c r="AJ212" s="37">
        <v>95918.97</v>
      </c>
      <c r="AK212" s="37">
        <v>97837.35</v>
      </c>
      <c r="AL212" s="37">
        <v>99794.1</v>
      </c>
      <c r="AM212" s="37">
        <v>101789.98</v>
      </c>
      <c r="AN212" s="37">
        <v>103825.78</v>
      </c>
      <c r="AO212" s="37">
        <v>105902.29</v>
      </c>
      <c r="AP212" s="37">
        <v>108020.34</v>
      </c>
      <c r="AQ212" s="37">
        <v>110180.75</v>
      </c>
      <c r="AR212" s="37">
        <v>1009502.0899999999</v>
      </c>
      <c r="AS212" s="37">
        <v>30067.56</v>
      </c>
      <c r="AT212" s="37">
        <v>675750</v>
      </c>
      <c r="AU212" s="37">
        <v>273105</v>
      </c>
      <c r="AV212" s="37">
        <v>0</v>
      </c>
      <c r="AW212" s="37">
        <v>0</v>
      </c>
      <c r="AX212" s="37">
        <v>0</v>
      </c>
      <c r="AY212" s="37">
        <v>0</v>
      </c>
      <c r="AZ212" s="37">
        <v>0</v>
      </c>
      <c r="BA212" s="37">
        <v>0</v>
      </c>
      <c r="BB212" s="37">
        <v>0</v>
      </c>
      <c r="BC212" s="37">
        <v>0</v>
      </c>
      <c r="BD212" s="37">
        <v>948855</v>
      </c>
      <c r="BE212" s="37">
        <v>42069</v>
      </c>
      <c r="BF212" s="37">
        <v>0</v>
      </c>
      <c r="BG212" s="37">
        <v>0</v>
      </c>
      <c r="BH212" s="37">
        <v>0</v>
      </c>
      <c r="BI212" s="37">
        <v>0</v>
      </c>
      <c r="BJ212" s="37">
        <v>0</v>
      </c>
      <c r="BK212" s="37">
        <v>0</v>
      </c>
      <c r="BL212" s="37">
        <v>0</v>
      </c>
      <c r="BM212" s="37">
        <v>0</v>
      </c>
      <c r="BN212" s="37">
        <v>0</v>
      </c>
      <c r="BO212" s="37">
        <v>0</v>
      </c>
      <c r="BP212" s="37">
        <v>0</v>
      </c>
      <c r="BQ212" s="37">
        <v>0</v>
      </c>
      <c r="BR212" s="37">
        <v>0</v>
      </c>
      <c r="BS212" s="37">
        <v>0</v>
      </c>
      <c r="BT212" s="37">
        <v>0</v>
      </c>
      <c r="BU212" s="37">
        <v>0</v>
      </c>
      <c r="BV212" s="37">
        <v>0</v>
      </c>
      <c r="BW212" s="37">
        <v>0</v>
      </c>
      <c r="BX212" s="37">
        <v>0</v>
      </c>
      <c r="BY212" s="37">
        <v>0</v>
      </c>
      <c r="BZ212" s="37">
        <v>0</v>
      </c>
      <c r="CA212" s="37">
        <v>0</v>
      </c>
      <c r="CB212" s="37">
        <v>0</v>
      </c>
      <c r="CC212" s="37">
        <v>0</v>
      </c>
      <c r="CD212" s="37">
        <v>0</v>
      </c>
      <c r="CE212" s="37">
        <v>0</v>
      </c>
      <c r="CF212" s="37">
        <v>0</v>
      </c>
      <c r="CG212" s="37">
        <v>0</v>
      </c>
      <c r="CH212" s="37">
        <v>0</v>
      </c>
      <c r="CI212" s="37">
        <v>0</v>
      </c>
      <c r="CJ212" s="37">
        <v>0</v>
      </c>
      <c r="CK212" s="37">
        <v>0</v>
      </c>
      <c r="CL212" s="37">
        <v>0</v>
      </c>
      <c r="CM212" s="37">
        <v>0</v>
      </c>
      <c r="CN212" s="37">
        <v>0</v>
      </c>
      <c r="CO212" s="37">
        <v>0</v>
      </c>
      <c r="CP212" s="37">
        <v>490000</v>
      </c>
      <c r="CQ212" s="37">
        <v>375000</v>
      </c>
      <c r="CR212" s="37">
        <v>0</v>
      </c>
      <c r="CS212" s="37">
        <v>0</v>
      </c>
      <c r="CT212" s="37">
        <v>0</v>
      </c>
      <c r="CU212" s="37">
        <v>0</v>
      </c>
      <c r="CV212" s="37">
        <v>0</v>
      </c>
      <c r="CW212" s="37">
        <v>0</v>
      </c>
      <c r="CX212" s="37">
        <v>0</v>
      </c>
      <c r="CY212" s="37">
        <v>0</v>
      </c>
      <c r="CZ212" s="37">
        <v>865000</v>
      </c>
      <c r="DA212" s="37">
        <v>0</v>
      </c>
      <c r="DB212" s="37">
        <v>60000</v>
      </c>
      <c r="DC212" s="37">
        <v>0</v>
      </c>
      <c r="DD212" s="37">
        <v>0</v>
      </c>
      <c r="DE212" s="37">
        <v>0</v>
      </c>
      <c r="DF212" s="37">
        <v>0</v>
      </c>
      <c r="DG212" s="37">
        <v>0</v>
      </c>
      <c r="DH212" s="37">
        <v>0</v>
      </c>
      <c r="DI212" s="37">
        <v>0</v>
      </c>
      <c r="DJ212" s="37">
        <v>0</v>
      </c>
      <c r="DK212" s="37">
        <v>0</v>
      </c>
      <c r="DL212" s="37">
        <v>60000</v>
      </c>
      <c r="DM212" s="37">
        <v>0</v>
      </c>
      <c r="DN212" s="37">
        <v>0</v>
      </c>
      <c r="DO212" s="37">
        <v>0</v>
      </c>
      <c r="DP212" s="37">
        <v>0</v>
      </c>
      <c r="DQ212" s="37">
        <v>0</v>
      </c>
      <c r="DR212" s="37">
        <v>0</v>
      </c>
      <c r="DS212" s="37">
        <v>0</v>
      </c>
      <c r="DT212" s="37">
        <v>0</v>
      </c>
      <c r="DU212" s="37">
        <v>0</v>
      </c>
      <c r="DV212" s="37">
        <v>0</v>
      </c>
      <c r="DW212" s="37">
        <v>0</v>
      </c>
      <c r="DX212" s="37">
        <v>0</v>
      </c>
      <c r="DY212" s="37">
        <v>0</v>
      </c>
      <c r="DZ212" s="37">
        <v>0</v>
      </c>
      <c r="EA212" s="37">
        <v>0</v>
      </c>
      <c r="EB212" s="37">
        <v>0</v>
      </c>
      <c r="EC212" s="37">
        <v>0</v>
      </c>
      <c r="ED212" s="37">
        <v>0</v>
      </c>
      <c r="EE212" s="37">
        <v>0</v>
      </c>
      <c r="EF212" s="37">
        <v>0</v>
      </c>
      <c r="EG212" s="37">
        <v>0</v>
      </c>
      <c r="EH212" s="37">
        <v>0</v>
      </c>
      <c r="EI212" s="37">
        <v>0</v>
      </c>
      <c r="EJ212" s="37">
        <v>0</v>
      </c>
      <c r="EK212" s="161" t="s">
        <v>1831</v>
      </c>
      <c r="EL212" s="294" t="s">
        <v>1124</v>
      </c>
    </row>
    <row r="213" spans="1:142" ht="15" customHeight="1" x14ac:dyDescent="0.35">
      <c r="A213" s="34"/>
      <c r="B213" s="313">
        <v>41075</v>
      </c>
      <c r="C213" s="8" t="s">
        <v>374</v>
      </c>
      <c r="D213" s="18">
        <v>5</v>
      </c>
      <c r="E213" s="155"/>
      <c r="F213" s="36"/>
      <c r="G213" s="37"/>
      <c r="H213" s="37"/>
      <c r="I213" s="37"/>
      <c r="J213" s="37"/>
      <c r="K213" s="37"/>
      <c r="L213" s="37"/>
      <c r="M213" s="37" t="s">
        <v>1124</v>
      </c>
      <c r="N213" s="37" t="s">
        <v>1124</v>
      </c>
      <c r="O213" s="37"/>
      <c r="P213" s="37"/>
      <c r="Q213" s="37"/>
      <c r="R213" s="37"/>
      <c r="S213" s="37"/>
      <c r="T213" s="37"/>
      <c r="U213" s="37"/>
      <c r="V213" s="37"/>
      <c r="W213" s="37"/>
      <c r="X213" s="37"/>
      <c r="Y213" s="37"/>
      <c r="Z213" s="37"/>
      <c r="AA213" s="37" t="s">
        <v>1124</v>
      </c>
      <c r="AB213" s="37" t="s">
        <v>1124</v>
      </c>
      <c r="AC213" s="37"/>
      <c r="AD213" s="37"/>
      <c r="AE213" s="37"/>
      <c r="AF213" s="168"/>
      <c r="AG213" s="37"/>
      <c r="AH213" s="37"/>
      <c r="AI213" s="37"/>
      <c r="AJ213" s="37"/>
      <c r="AK213" s="37"/>
      <c r="AL213" s="37"/>
      <c r="AM213" s="37"/>
      <c r="AN213" s="37"/>
      <c r="AO213" s="37"/>
      <c r="AP213" s="37"/>
      <c r="AQ213" s="37"/>
      <c r="AR213" s="37" t="s">
        <v>1124</v>
      </c>
      <c r="AS213" s="37"/>
      <c r="AT213" s="37"/>
      <c r="AU213" s="37"/>
      <c r="AV213" s="37"/>
      <c r="AW213" s="37"/>
      <c r="AX213" s="37"/>
      <c r="AY213" s="37"/>
      <c r="AZ213" s="37"/>
      <c r="BA213" s="37"/>
      <c r="BB213" s="37"/>
      <c r="BC213" s="37"/>
      <c r="BD213" s="37" t="s">
        <v>1124</v>
      </c>
      <c r="BE213" s="37"/>
      <c r="BF213" s="37"/>
      <c r="BG213" s="37"/>
      <c r="BH213" s="37"/>
      <c r="BI213" s="37"/>
      <c r="BJ213" s="37"/>
      <c r="BK213" s="37"/>
      <c r="BL213" s="37"/>
      <c r="BM213" s="37"/>
      <c r="BN213" s="37"/>
      <c r="BO213" s="37"/>
      <c r="BP213" s="37">
        <v>0</v>
      </c>
      <c r="BQ213" s="37"/>
      <c r="BR213" s="37"/>
      <c r="BS213" s="37"/>
      <c r="BT213" s="37"/>
      <c r="BU213" s="37"/>
      <c r="BV213" s="37"/>
      <c r="BW213" s="37"/>
      <c r="BX213" s="37"/>
      <c r="BY213" s="37"/>
      <c r="BZ213" s="37"/>
      <c r="CA213" s="37"/>
      <c r="CB213" s="37" t="s">
        <v>1124</v>
      </c>
      <c r="CC213" s="37"/>
      <c r="CD213" s="37"/>
      <c r="CE213" s="37"/>
      <c r="CF213" s="37"/>
      <c r="CG213" s="37"/>
      <c r="CH213" s="37"/>
      <c r="CI213" s="37"/>
      <c r="CJ213" s="37"/>
      <c r="CK213" s="37"/>
      <c r="CL213" s="37"/>
      <c r="CM213" s="37"/>
      <c r="CN213" s="37" t="s">
        <v>1124</v>
      </c>
      <c r="CO213" s="37"/>
      <c r="CP213" s="37"/>
      <c r="CQ213" s="37"/>
      <c r="CR213" s="37"/>
      <c r="CS213" s="37"/>
      <c r="CT213" s="37"/>
      <c r="CU213" s="37"/>
      <c r="CV213" s="37"/>
      <c r="CW213" s="37"/>
      <c r="CX213" s="37"/>
      <c r="CY213" s="37"/>
      <c r="CZ213" s="37" t="s">
        <v>1124</v>
      </c>
      <c r="DA213" s="37"/>
      <c r="DB213" s="37"/>
      <c r="DC213" s="37"/>
      <c r="DD213" s="37"/>
      <c r="DE213" s="37"/>
      <c r="DF213" s="37"/>
      <c r="DG213" s="37"/>
      <c r="DH213" s="37"/>
      <c r="DI213" s="37"/>
      <c r="DJ213" s="37"/>
      <c r="DK213" s="37"/>
      <c r="DL213" s="37" t="s">
        <v>1124</v>
      </c>
      <c r="DM213" s="37"/>
      <c r="DN213" s="37"/>
      <c r="DO213" s="37"/>
      <c r="DP213" s="37"/>
      <c r="DQ213" s="37"/>
      <c r="DR213" s="37"/>
      <c r="DS213" s="37"/>
      <c r="DT213" s="37"/>
      <c r="DU213" s="37"/>
      <c r="DV213" s="37"/>
      <c r="DW213" s="37"/>
      <c r="DX213" s="37" t="s">
        <v>1124</v>
      </c>
      <c r="DY213" s="37"/>
      <c r="DZ213" s="37"/>
      <c r="EA213" s="37"/>
      <c r="EB213" s="37"/>
      <c r="EC213" s="37"/>
      <c r="ED213" s="37"/>
      <c r="EE213" s="37"/>
      <c r="EF213" s="37"/>
      <c r="EG213" s="37"/>
      <c r="EH213" s="37"/>
      <c r="EI213" s="37"/>
      <c r="EJ213" s="37" t="s">
        <v>1124</v>
      </c>
      <c r="EK213" s="161"/>
      <c r="EL213" s="294"/>
    </row>
    <row r="214" spans="1:142" ht="15" customHeight="1" x14ac:dyDescent="0.35">
      <c r="A214" s="34"/>
      <c r="B214" s="313">
        <v>66062</v>
      </c>
      <c r="C214" s="8" t="s">
        <v>652</v>
      </c>
      <c r="D214" s="18">
        <v>6</v>
      </c>
      <c r="E214" s="155">
        <v>1606161.7596795</v>
      </c>
      <c r="F214" s="36">
        <v>389260.44864100008</v>
      </c>
      <c r="G214" s="37">
        <v>66505.709999999992</v>
      </c>
      <c r="H214" s="37">
        <v>60712.159999999996</v>
      </c>
      <c r="I214" s="37">
        <v>238019.49</v>
      </c>
      <c r="J214" s="37">
        <v>94728.049999999988</v>
      </c>
      <c r="K214" s="37">
        <v>239378.07</v>
      </c>
      <c r="L214" s="37">
        <v>56932.695</v>
      </c>
      <c r="M214" s="37">
        <v>2150065.0296795</v>
      </c>
      <c r="N214" s="37">
        <v>601633.35364100011</v>
      </c>
      <c r="O214" s="37">
        <v>429041.2267</v>
      </c>
      <c r="P214" s="37">
        <v>15869.000099999999</v>
      </c>
      <c r="Q214" s="37">
        <v>134350</v>
      </c>
      <c r="R214" s="37">
        <v>0</v>
      </c>
      <c r="S214" s="37">
        <v>5844.1727999999994</v>
      </c>
      <c r="T214" s="37">
        <v>1927.9199999999998</v>
      </c>
      <c r="U214" s="37">
        <v>86914.5625</v>
      </c>
      <c r="V214" s="37">
        <v>0</v>
      </c>
      <c r="W214" s="37">
        <v>1531496.4540065653</v>
      </c>
      <c r="X214" s="37">
        <v>605997.64774688473</v>
      </c>
      <c r="Y214" s="37">
        <v>0</v>
      </c>
      <c r="Z214" s="37">
        <v>0</v>
      </c>
      <c r="AA214" s="37">
        <v>2187646.4160065651</v>
      </c>
      <c r="AB214" s="37">
        <v>623794.56784688472</v>
      </c>
      <c r="AC214" s="37">
        <v>59743</v>
      </c>
      <c r="AD214" s="37">
        <v>12249.599999999999</v>
      </c>
      <c r="AE214" s="37">
        <v>75911.849999999991</v>
      </c>
      <c r="AF214" s="168">
        <v>0.02</v>
      </c>
      <c r="AG214" s="37">
        <v>151523591.5</v>
      </c>
      <c r="AH214" s="37">
        <v>1522590.51</v>
      </c>
      <c r="AI214" s="37">
        <v>1461006.87</v>
      </c>
      <c r="AJ214" s="37">
        <v>1451785.5</v>
      </c>
      <c r="AK214" s="37">
        <v>1522969.1</v>
      </c>
      <c r="AL214" s="37">
        <v>1562418.99</v>
      </c>
      <c r="AM214" s="37">
        <v>1691027.71</v>
      </c>
      <c r="AN214" s="37">
        <v>1733969.9</v>
      </c>
      <c r="AO214" s="37">
        <v>1724030.69</v>
      </c>
      <c r="AP214" s="37">
        <v>1797368.74</v>
      </c>
      <c r="AQ214" s="37">
        <v>1833994.43</v>
      </c>
      <c r="AR214" s="37">
        <v>16301162.439999999</v>
      </c>
      <c r="AS214" s="37">
        <v>8250326.0499999998</v>
      </c>
      <c r="AT214" s="37">
        <v>743499.68</v>
      </c>
      <c r="AU214" s="37">
        <v>1043813.87</v>
      </c>
      <c r="AV214" s="37">
        <v>1912302.58</v>
      </c>
      <c r="AW214" s="37">
        <v>2060668.58</v>
      </c>
      <c r="AX214" s="37">
        <v>939798.59</v>
      </c>
      <c r="AY214" s="37">
        <v>2234935.11</v>
      </c>
      <c r="AZ214" s="37">
        <v>2162446.4900000002</v>
      </c>
      <c r="BA214" s="37">
        <v>2162798.04</v>
      </c>
      <c r="BB214" s="37">
        <v>2275793.9199999999</v>
      </c>
      <c r="BC214" s="37">
        <v>2189359.2599999998</v>
      </c>
      <c r="BD214" s="37">
        <v>17725416.120000001</v>
      </c>
      <c r="BE214" s="37">
        <v>163675.79999999999</v>
      </c>
      <c r="BF214" s="37">
        <v>266323.3</v>
      </c>
      <c r="BG214" s="37">
        <v>288254.77318747836</v>
      </c>
      <c r="BH214" s="37">
        <v>228236.56971739526</v>
      </c>
      <c r="BI214" s="37">
        <v>138200.88</v>
      </c>
      <c r="BJ214" s="37">
        <v>133004.88</v>
      </c>
      <c r="BK214" s="37">
        <v>134742.88</v>
      </c>
      <c r="BL214" s="37">
        <v>136542.88</v>
      </c>
      <c r="BM214" s="37">
        <v>69043.3</v>
      </c>
      <c r="BN214" s="37">
        <v>56024</v>
      </c>
      <c r="BO214" s="37">
        <v>58030</v>
      </c>
      <c r="BP214" s="37">
        <v>1508403.4629048735</v>
      </c>
      <c r="BQ214" s="37">
        <v>394723.35</v>
      </c>
      <c r="BR214" s="37">
        <v>545137.64999999991</v>
      </c>
      <c r="BS214" s="37">
        <v>699263.57681252155</v>
      </c>
      <c r="BT214" s="37">
        <v>623011.03028260462</v>
      </c>
      <c r="BU214" s="37">
        <v>685273.7699999999</v>
      </c>
      <c r="BV214" s="37">
        <v>603998.37</v>
      </c>
      <c r="BW214" s="37">
        <v>609818.66999999993</v>
      </c>
      <c r="BX214" s="37">
        <v>710029.62</v>
      </c>
      <c r="BY214" s="37">
        <v>903721.2</v>
      </c>
      <c r="BZ214" s="37">
        <v>775230.89999999991</v>
      </c>
      <c r="CA214" s="37">
        <v>883476.29999999993</v>
      </c>
      <c r="CB214" s="37">
        <v>7038961.0870951246</v>
      </c>
      <c r="CC214" s="37">
        <v>63997.2</v>
      </c>
      <c r="CD214" s="37">
        <v>61030.499999999993</v>
      </c>
      <c r="CE214" s="37">
        <v>71631.45</v>
      </c>
      <c r="CF214" s="37">
        <v>43143.299999999996</v>
      </c>
      <c r="CG214" s="37">
        <v>40968.299999999996</v>
      </c>
      <c r="CH214" s="37">
        <v>45318.299999999996</v>
      </c>
      <c r="CI214" s="37">
        <v>47493.299999999996</v>
      </c>
      <c r="CJ214" s="37">
        <v>47493.299999999996</v>
      </c>
      <c r="CK214" s="37">
        <v>47493.299999999996</v>
      </c>
      <c r="CL214" s="37">
        <v>47493.299999999996</v>
      </c>
      <c r="CM214" s="37">
        <v>47493.299999999996</v>
      </c>
      <c r="CN214" s="37">
        <v>499558.35</v>
      </c>
      <c r="CO214" s="37">
        <v>116949.74999999999</v>
      </c>
      <c r="CP214" s="37">
        <v>63818.85</v>
      </c>
      <c r="CQ214" s="37">
        <v>162450.75</v>
      </c>
      <c r="CR214" s="37">
        <v>510308.76164999994</v>
      </c>
      <c r="CS214" s="37">
        <v>59855.999999999993</v>
      </c>
      <c r="CT214" s="37">
        <v>36540</v>
      </c>
      <c r="CU214" s="37">
        <v>50460</v>
      </c>
      <c r="CV214" s="37">
        <v>34800</v>
      </c>
      <c r="CW214" s="37">
        <v>0</v>
      </c>
      <c r="CX214" s="37">
        <v>0</v>
      </c>
      <c r="CY214" s="37">
        <v>0</v>
      </c>
      <c r="CZ214" s="37">
        <v>918234.36164999998</v>
      </c>
      <c r="DA214" s="37">
        <v>306166.05</v>
      </c>
      <c r="DB214" s="37">
        <v>131526.59999999998</v>
      </c>
      <c r="DC214" s="37">
        <v>131878.94999999998</v>
      </c>
      <c r="DD214" s="37">
        <v>567990.98835</v>
      </c>
      <c r="DE214" s="37">
        <v>1011953.5499999999</v>
      </c>
      <c r="DF214" s="37">
        <v>75916.2</v>
      </c>
      <c r="DG214" s="37">
        <v>142401.59999999998</v>
      </c>
      <c r="DH214" s="37">
        <v>55671.299999999996</v>
      </c>
      <c r="DI214" s="37">
        <v>46736.399999999994</v>
      </c>
      <c r="DJ214" s="37">
        <v>105526.65</v>
      </c>
      <c r="DK214" s="37">
        <v>0</v>
      </c>
      <c r="DL214" s="37">
        <v>2269602.2383500002</v>
      </c>
      <c r="DM214" s="37">
        <v>99804.2</v>
      </c>
      <c r="DN214" s="37">
        <v>151368.85</v>
      </c>
      <c r="DO214" s="37">
        <v>839.55</v>
      </c>
      <c r="DP214" s="37">
        <v>0</v>
      </c>
      <c r="DQ214" s="37">
        <v>0</v>
      </c>
      <c r="DR214" s="37">
        <v>0</v>
      </c>
      <c r="DS214" s="37">
        <v>0</v>
      </c>
      <c r="DT214" s="37">
        <v>0</v>
      </c>
      <c r="DU214" s="37">
        <v>0</v>
      </c>
      <c r="DV214" s="37">
        <v>0</v>
      </c>
      <c r="DW214" s="37">
        <v>0</v>
      </c>
      <c r="DX214" s="37">
        <v>152208.4</v>
      </c>
      <c r="DY214" s="37">
        <v>0</v>
      </c>
      <c r="DZ214" s="37">
        <v>0</v>
      </c>
      <c r="EA214" s="37">
        <v>0</v>
      </c>
      <c r="EB214" s="37">
        <v>0</v>
      </c>
      <c r="EC214" s="37">
        <v>0</v>
      </c>
      <c r="ED214" s="37">
        <v>0</v>
      </c>
      <c r="EE214" s="37">
        <v>0</v>
      </c>
      <c r="EF214" s="37">
        <v>0</v>
      </c>
      <c r="EG214" s="37">
        <v>0</v>
      </c>
      <c r="EH214" s="37">
        <v>0</v>
      </c>
      <c r="EI214" s="37">
        <v>0</v>
      </c>
      <c r="EJ214" s="37">
        <v>0</v>
      </c>
      <c r="EK214" s="161" t="s">
        <v>1834</v>
      </c>
      <c r="EL214" s="294" t="s">
        <v>1124</v>
      </c>
    </row>
    <row r="215" spans="1:142" ht="15" customHeight="1" x14ac:dyDescent="0.35">
      <c r="A215" s="34"/>
      <c r="B215" s="313">
        <v>40005</v>
      </c>
      <c r="C215" s="8" t="s">
        <v>358</v>
      </c>
      <c r="D215" s="18">
        <v>5</v>
      </c>
      <c r="E215" s="155"/>
      <c r="F215" s="36"/>
      <c r="G215" s="37"/>
      <c r="H215" s="37"/>
      <c r="I215" s="37"/>
      <c r="J215" s="37"/>
      <c r="K215" s="37"/>
      <c r="L215" s="37"/>
      <c r="M215" s="37" t="s">
        <v>1124</v>
      </c>
      <c r="N215" s="37" t="s">
        <v>1124</v>
      </c>
      <c r="O215" s="37"/>
      <c r="P215" s="37"/>
      <c r="Q215" s="37"/>
      <c r="R215" s="37"/>
      <c r="S215" s="37"/>
      <c r="T215" s="37"/>
      <c r="U215" s="37"/>
      <c r="V215" s="37"/>
      <c r="W215" s="37"/>
      <c r="X215" s="37"/>
      <c r="Y215" s="37"/>
      <c r="Z215" s="37"/>
      <c r="AA215" s="37" t="s">
        <v>1124</v>
      </c>
      <c r="AB215" s="37" t="s">
        <v>1124</v>
      </c>
      <c r="AC215" s="37"/>
      <c r="AD215" s="37"/>
      <c r="AE215" s="37"/>
      <c r="AF215" s="168"/>
      <c r="AG215" s="37"/>
      <c r="AH215" s="37"/>
      <c r="AI215" s="37"/>
      <c r="AJ215" s="37"/>
      <c r="AK215" s="37"/>
      <c r="AL215" s="37"/>
      <c r="AM215" s="37"/>
      <c r="AN215" s="37"/>
      <c r="AO215" s="37"/>
      <c r="AP215" s="37"/>
      <c r="AQ215" s="37"/>
      <c r="AR215" s="37" t="s">
        <v>1124</v>
      </c>
      <c r="AS215" s="37"/>
      <c r="AT215" s="37"/>
      <c r="AU215" s="37"/>
      <c r="AV215" s="37"/>
      <c r="AW215" s="37"/>
      <c r="AX215" s="37"/>
      <c r="AY215" s="37"/>
      <c r="AZ215" s="37"/>
      <c r="BA215" s="37"/>
      <c r="BB215" s="37"/>
      <c r="BC215" s="37"/>
      <c r="BD215" s="37" t="s">
        <v>1124</v>
      </c>
      <c r="BE215" s="37"/>
      <c r="BF215" s="37"/>
      <c r="BG215" s="37"/>
      <c r="BH215" s="37"/>
      <c r="BI215" s="37"/>
      <c r="BJ215" s="37"/>
      <c r="BK215" s="37"/>
      <c r="BL215" s="37"/>
      <c r="BM215" s="37"/>
      <c r="BN215" s="37"/>
      <c r="BO215" s="37"/>
      <c r="BP215" s="37">
        <v>0</v>
      </c>
      <c r="BQ215" s="37"/>
      <c r="BR215" s="37"/>
      <c r="BS215" s="37"/>
      <c r="BT215" s="37"/>
      <c r="BU215" s="37"/>
      <c r="BV215" s="37"/>
      <c r="BW215" s="37"/>
      <c r="BX215" s="37"/>
      <c r="BY215" s="37"/>
      <c r="BZ215" s="37"/>
      <c r="CA215" s="37"/>
      <c r="CB215" s="37" t="s">
        <v>1124</v>
      </c>
      <c r="CC215" s="37"/>
      <c r="CD215" s="37"/>
      <c r="CE215" s="37"/>
      <c r="CF215" s="37"/>
      <c r="CG215" s="37"/>
      <c r="CH215" s="37"/>
      <c r="CI215" s="37"/>
      <c r="CJ215" s="37"/>
      <c r="CK215" s="37"/>
      <c r="CL215" s="37"/>
      <c r="CM215" s="37"/>
      <c r="CN215" s="37" t="s">
        <v>1124</v>
      </c>
      <c r="CO215" s="37"/>
      <c r="CP215" s="37"/>
      <c r="CQ215" s="37"/>
      <c r="CR215" s="37"/>
      <c r="CS215" s="37"/>
      <c r="CT215" s="37"/>
      <c r="CU215" s="37"/>
      <c r="CV215" s="37"/>
      <c r="CW215" s="37"/>
      <c r="CX215" s="37"/>
      <c r="CY215" s="37"/>
      <c r="CZ215" s="37" t="s">
        <v>1124</v>
      </c>
      <c r="DA215" s="37"/>
      <c r="DB215" s="37"/>
      <c r="DC215" s="37"/>
      <c r="DD215" s="37"/>
      <c r="DE215" s="37"/>
      <c r="DF215" s="37"/>
      <c r="DG215" s="37"/>
      <c r="DH215" s="37"/>
      <c r="DI215" s="37"/>
      <c r="DJ215" s="37"/>
      <c r="DK215" s="37"/>
      <c r="DL215" s="37" t="s">
        <v>1124</v>
      </c>
      <c r="DM215" s="37"/>
      <c r="DN215" s="37"/>
      <c r="DO215" s="37"/>
      <c r="DP215" s="37"/>
      <c r="DQ215" s="37"/>
      <c r="DR215" s="37"/>
      <c r="DS215" s="37"/>
      <c r="DT215" s="37"/>
      <c r="DU215" s="37"/>
      <c r="DV215" s="37"/>
      <c r="DW215" s="37"/>
      <c r="DX215" s="37" t="s">
        <v>1124</v>
      </c>
      <c r="DY215" s="37"/>
      <c r="DZ215" s="37"/>
      <c r="EA215" s="37"/>
      <c r="EB215" s="37"/>
      <c r="EC215" s="37"/>
      <c r="ED215" s="37"/>
      <c r="EE215" s="37"/>
      <c r="EF215" s="37"/>
      <c r="EG215" s="37"/>
      <c r="EH215" s="37"/>
      <c r="EI215" s="37"/>
      <c r="EJ215" s="37" t="s">
        <v>1124</v>
      </c>
      <c r="EK215" s="161"/>
      <c r="EL215" s="294"/>
    </row>
    <row r="216" spans="1:142" ht="15" customHeight="1" x14ac:dyDescent="0.35">
      <c r="A216" s="34"/>
      <c r="B216" s="313">
        <v>76065</v>
      </c>
      <c r="C216" s="8" t="s">
        <v>755</v>
      </c>
      <c r="D216" s="18">
        <v>15</v>
      </c>
      <c r="E216" s="155"/>
      <c r="F216" s="36"/>
      <c r="G216" s="37"/>
      <c r="H216" s="37"/>
      <c r="I216" s="37"/>
      <c r="J216" s="37"/>
      <c r="K216" s="37"/>
      <c r="L216" s="37"/>
      <c r="M216" s="37" t="s">
        <v>1124</v>
      </c>
      <c r="N216" s="37" t="s">
        <v>1124</v>
      </c>
      <c r="O216" s="37"/>
      <c r="P216" s="37"/>
      <c r="Q216" s="37"/>
      <c r="R216" s="37"/>
      <c r="S216" s="37"/>
      <c r="T216" s="37"/>
      <c r="U216" s="37"/>
      <c r="V216" s="37"/>
      <c r="W216" s="37"/>
      <c r="X216" s="37"/>
      <c r="Y216" s="37"/>
      <c r="Z216" s="37"/>
      <c r="AA216" s="37" t="s">
        <v>1124</v>
      </c>
      <c r="AB216" s="37" t="s">
        <v>1124</v>
      </c>
      <c r="AC216" s="37"/>
      <c r="AD216" s="37"/>
      <c r="AE216" s="37"/>
      <c r="AF216" s="168"/>
      <c r="AG216" s="37"/>
      <c r="AH216" s="37"/>
      <c r="AI216" s="37"/>
      <c r="AJ216" s="37"/>
      <c r="AK216" s="37"/>
      <c r="AL216" s="37"/>
      <c r="AM216" s="37"/>
      <c r="AN216" s="37"/>
      <c r="AO216" s="37"/>
      <c r="AP216" s="37"/>
      <c r="AQ216" s="37"/>
      <c r="AR216" s="37" t="s">
        <v>1124</v>
      </c>
      <c r="AS216" s="37"/>
      <c r="AT216" s="37"/>
      <c r="AU216" s="37"/>
      <c r="AV216" s="37"/>
      <c r="AW216" s="37"/>
      <c r="AX216" s="37"/>
      <c r="AY216" s="37"/>
      <c r="AZ216" s="37"/>
      <c r="BA216" s="37"/>
      <c r="BB216" s="37"/>
      <c r="BC216" s="37"/>
      <c r="BD216" s="37" t="s">
        <v>1124</v>
      </c>
      <c r="BE216" s="37"/>
      <c r="BF216" s="37"/>
      <c r="BG216" s="37"/>
      <c r="BH216" s="37"/>
      <c r="BI216" s="37"/>
      <c r="BJ216" s="37"/>
      <c r="BK216" s="37"/>
      <c r="BL216" s="37"/>
      <c r="BM216" s="37"/>
      <c r="BN216" s="37"/>
      <c r="BO216" s="37"/>
      <c r="BP216" s="37">
        <v>0</v>
      </c>
      <c r="BQ216" s="37"/>
      <c r="BR216" s="37"/>
      <c r="BS216" s="37"/>
      <c r="BT216" s="37"/>
      <c r="BU216" s="37"/>
      <c r="BV216" s="37"/>
      <c r="BW216" s="37"/>
      <c r="BX216" s="37"/>
      <c r="BY216" s="37"/>
      <c r="BZ216" s="37"/>
      <c r="CA216" s="37"/>
      <c r="CB216" s="37" t="s">
        <v>1124</v>
      </c>
      <c r="CC216" s="37"/>
      <c r="CD216" s="37"/>
      <c r="CE216" s="37"/>
      <c r="CF216" s="37"/>
      <c r="CG216" s="37"/>
      <c r="CH216" s="37"/>
      <c r="CI216" s="37"/>
      <c r="CJ216" s="37"/>
      <c r="CK216" s="37"/>
      <c r="CL216" s="37"/>
      <c r="CM216" s="37"/>
      <c r="CN216" s="37" t="s">
        <v>1124</v>
      </c>
      <c r="CO216" s="37"/>
      <c r="CP216" s="37"/>
      <c r="CQ216" s="37"/>
      <c r="CR216" s="37"/>
      <c r="CS216" s="37"/>
      <c r="CT216" s="37"/>
      <c r="CU216" s="37"/>
      <c r="CV216" s="37"/>
      <c r="CW216" s="37"/>
      <c r="CX216" s="37"/>
      <c r="CY216" s="37"/>
      <c r="CZ216" s="37" t="s">
        <v>1124</v>
      </c>
      <c r="DA216" s="37"/>
      <c r="DB216" s="37"/>
      <c r="DC216" s="37"/>
      <c r="DD216" s="37"/>
      <c r="DE216" s="37"/>
      <c r="DF216" s="37"/>
      <c r="DG216" s="37"/>
      <c r="DH216" s="37"/>
      <c r="DI216" s="37"/>
      <c r="DJ216" s="37"/>
      <c r="DK216" s="37"/>
      <c r="DL216" s="37" t="s">
        <v>1124</v>
      </c>
      <c r="DM216" s="37"/>
      <c r="DN216" s="37"/>
      <c r="DO216" s="37"/>
      <c r="DP216" s="37"/>
      <c r="DQ216" s="37"/>
      <c r="DR216" s="37"/>
      <c r="DS216" s="37"/>
      <c r="DT216" s="37"/>
      <c r="DU216" s="37"/>
      <c r="DV216" s="37"/>
      <c r="DW216" s="37"/>
      <c r="DX216" s="37" t="s">
        <v>1124</v>
      </c>
      <c r="DY216" s="37"/>
      <c r="DZ216" s="37"/>
      <c r="EA216" s="37"/>
      <c r="EB216" s="37"/>
      <c r="EC216" s="37"/>
      <c r="ED216" s="37"/>
      <c r="EE216" s="37"/>
      <c r="EF216" s="37"/>
      <c r="EG216" s="37"/>
      <c r="EH216" s="37"/>
      <c r="EI216" s="37"/>
      <c r="EJ216" s="37" t="s">
        <v>1124</v>
      </c>
      <c r="EK216" s="161"/>
      <c r="EL216" s="294"/>
    </row>
    <row r="217" spans="1:142" ht="15" customHeight="1" x14ac:dyDescent="0.35">
      <c r="A217" s="34"/>
      <c r="B217" s="313">
        <v>45055</v>
      </c>
      <c r="C217" s="8" t="s">
        <v>417</v>
      </c>
      <c r="D217" s="18">
        <v>5</v>
      </c>
      <c r="E217" s="155">
        <v>173778</v>
      </c>
      <c r="F217" s="36">
        <v>27806</v>
      </c>
      <c r="G217" s="37">
        <v>3558</v>
      </c>
      <c r="H217" s="37">
        <v>6099</v>
      </c>
      <c r="I217" s="37">
        <v>20658.653619136378</v>
      </c>
      <c r="J217" s="37">
        <v>35412.346380863622</v>
      </c>
      <c r="K217" s="37">
        <v>17377.8</v>
      </c>
      <c r="L217" s="37">
        <v>2780.6000000000004</v>
      </c>
      <c r="M217" s="37">
        <v>215372.45361913636</v>
      </c>
      <c r="N217" s="37">
        <v>72097.946380863621</v>
      </c>
      <c r="O217" s="37">
        <v>0</v>
      </c>
      <c r="P217" s="37">
        <v>0</v>
      </c>
      <c r="Q217" s="37">
        <v>111256.4</v>
      </c>
      <c r="R217" s="37">
        <v>11027</v>
      </c>
      <c r="S217" s="37">
        <v>0</v>
      </c>
      <c r="T217" s="37">
        <v>0</v>
      </c>
      <c r="U217" s="37">
        <v>0</v>
      </c>
      <c r="V217" s="37">
        <v>0</v>
      </c>
      <c r="W217" s="37">
        <v>104116.05361913636</v>
      </c>
      <c r="X217" s="37">
        <v>61070.946380863636</v>
      </c>
      <c r="Y217" s="37">
        <v>0</v>
      </c>
      <c r="Z217" s="37">
        <v>0</v>
      </c>
      <c r="AA217" s="37">
        <v>215372.45361913636</v>
      </c>
      <c r="AB217" s="37">
        <v>72097.946380863636</v>
      </c>
      <c r="AC217" s="37">
        <v>0</v>
      </c>
      <c r="AD217" s="37">
        <v>0</v>
      </c>
      <c r="AE217" s="37">
        <v>0</v>
      </c>
      <c r="AF217" s="168">
        <v>0.02</v>
      </c>
      <c r="AG217" s="37">
        <v>10468399.42</v>
      </c>
      <c r="AH217" s="37">
        <v>81443.58</v>
      </c>
      <c r="AI217" s="37">
        <v>83072.45</v>
      </c>
      <c r="AJ217" s="37">
        <v>84733.9</v>
      </c>
      <c r="AK217" s="37">
        <v>86428.58</v>
      </c>
      <c r="AL217" s="37">
        <v>88157.15</v>
      </c>
      <c r="AM217" s="37">
        <v>89920.29</v>
      </c>
      <c r="AN217" s="37">
        <v>91718.7</v>
      </c>
      <c r="AO217" s="37">
        <v>93553.07</v>
      </c>
      <c r="AP217" s="37">
        <v>95424.13</v>
      </c>
      <c r="AQ217" s="37">
        <v>97332.62</v>
      </c>
      <c r="AR217" s="37">
        <v>891784.47</v>
      </c>
      <c r="AS217" s="37">
        <v>0</v>
      </c>
      <c r="AT217" s="37">
        <v>0</v>
      </c>
      <c r="AU217" s="37">
        <v>624240</v>
      </c>
      <c r="AV217" s="37">
        <v>636724.80000000005</v>
      </c>
      <c r="AW217" s="37">
        <v>0</v>
      </c>
      <c r="AX217" s="37">
        <v>0</v>
      </c>
      <c r="AY217" s="37">
        <v>0</v>
      </c>
      <c r="AZ217" s="37">
        <v>0</v>
      </c>
      <c r="BA217" s="37">
        <v>0</v>
      </c>
      <c r="BB217" s="37">
        <v>0</v>
      </c>
      <c r="BC217" s="37">
        <v>0</v>
      </c>
      <c r="BD217" s="37">
        <v>1260964.8</v>
      </c>
      <c r="BE217" s="37">
        <v>0</v>
      </c>
      <c r="BF217" s="37">
        <v>15000</v>
      </c>
      <c r="BG217" s="37">
        <v>0</v>
      </c>
      <c r="BH217" s="37">
        <v>0</v>
      </c>
      <c r="BI217" s="37">
        <v>0</v>
      </c>
      <c r="BJ217" s="37">
        <v>0</v>
      </c>
      <c r="BK217" s="37">
        <v>0</v>
      </c>
      <c r="BL217" s="37">
        <v>0</v>
      </c>
      <c r="BM217" s="37">
        <v>0</v>
      </c>
      <c r="BN217" s="37">
        <v>0</v>
      </c>
      <c r="BO217" s="37">
        <v>0</v>
      </c>
      <c r="BP217" s="37">
        <v>15000</v>
      </c>
      <c r="BQ217" s="37">
        <v>0</v>
      </c>
      <c r="BR217" s="37">
        <v>0</v>
      </c>
      <c r="BS217" s="37">
        <v>0</v>
      </c>
      <c r="BT217" s="37">
        <v>0</v>
      </c>
      <c r="BU217" s="37">
        <v>0</v>
      </c>
      <c r="BV217" s="37">
        <v>0</v>
      </c>
      <c r="BW217" s="37">
        <v>0</v>
      </c>
      <c r="BX217" s="37">
        <v>0</v>
      </c>
      <c r="BY217" s="37">
        <v>0</v>
      </c>
      <c r="BZ217" s="37">
        <v>0</v>
      </c>
      <c r="CA217" s="37">
        <v>0</v>
      </c>
      <c r="CB217" s="37">
        <v>0</v>
      </c>
      <c r="CC217" s="37">
        <v>0</v>
      </c>
      <c r="CD217" s="37">
        <v>0</v>
      </c>
      <c r="CE217" s="37">
        <v>0</v>
      </c>
      <c r="CF217" s="37">
        <v>0</v>
      </c>
      <c r="CG217" s="37">
        <v>0</v>
      </c>
      <c r="CH217" s="37">
        <v>0</v>
      </c>
      <c r="CI217" s="37">
        <v>0</v>
      </c>
      <c r="CJ217" s="37">
        <v>0</v>
      </c>
      <c r="CK217" s="37">
        <v>0</v>
      </c>
      <c r="CL217" s="37">
        <v>0</v>
      </c>
      <c r="CM217" s="37">
        <v>0</v>
      </c>
      <c r="CN217" s="37">
        <v>0</v>
      </c>
      <c r="CO217" s="37">
        <v>0</v>
      </c>
      <c r="CP217" s="37">
        <v>0</v>
      </c>
      <c r="CQ217" s="37">
        <v>25000</v>
      </c>
      <c r="CR217" s="37">
        <v>400000</v>
      </c>
      <c r="CS217" s="37">
        <v>400000</v>
      </c>
      <c r="CT217" s="37">
        <v>0</v>
      </c>
      <c r="CU217" s="37">
        <v>0</v>
      </c>
      <c r="CV217" s="37">
        <v>0</v>
      </c>
      <c r="CW217" s="37">
        <v>0</v>
      </c>
      <c r="CX217" s="37">
        <v>0</v>
      </c>
      <c r="CY217" s="37">
        <v>0</v>
      </c>
      <c r="CZ217" s="37">
        <v>825000</v>
      </c>
      <c r="DA217" s="37">
        <v>0</v>
      </c>
      <c r="DB217" s="37">
        <v>0</v>
      </c>
      <c r="DC217" s="37">
        <v>0</v>
      </c>
      <c r="DD217" s="37">
        <v>0</v>
      </c>
      <c r="DE217" s="37">
        <v>0</v>
      </c>
      <c r="DF217" s="37">
        <v>0</v>
      </c>
      <c r="DG217" s="37">
        <v>0</v>
      </c>
      <c r="DH217" s="37">
        <v>0</v>
      </c>
      <c r="DI217" s="37">
        <v>0</v>
      </c>
      <c r="DJ217" s="37">
        <v>0</v>
      </c>
      <c r="DK217" s="37">
        <v>0</v>
      </c>
      <c r="DL217" s="37">
        <v>0</v>
      </c>
      <c r="DM217" s="37">
        <v>0</v>
      </c>
      <c r="DN217" s="37">
        <v>0</v>
      </c>
      <c r="DO217" s="37">
        <v>0</v>
      </c>
      <c r="DP217" s="37">
        <v>200000</v>
      </c>
      <c r="DQ217" s="37">
        <v>200000</v>
      </c>
      <c r="DR217" s="37">
        <v>0</v>
      </c>
      <c r="DS217" s="37">
        <v>0</v>
      </c>
      <c r="DT217" s="37">
        <v>0</v>
      </c>
      <c r="DU217" s="37">
        <v>0</v>
      </c>
      <c r="DV217" s="37">
        <v>0</v>
      </c>
      <c r="DW217" s="37">
        <v>0</v>
      </c>
      <c r="DX217" s="37">
        <v>400000</v>
      </c>
      <c r="DY217" s="37">
        <v>0</v>
      </c>
      <c r="DZ217" s="37">
        <v>0</v>
      </c>
      <c r="EA217" s="37">
        <v>0</v>
      </c>
      <c r="EB217" s="37">
        <v>0</v>
      </c>
      <c r="EC217" s="37">
        <v>0</v>
      </c>
      <c r="ED217" s="37">
        <v>0</v>
      </c>
      <c r="EE217" s="37">
        <v>0</v>
      </c>
      <c r="EF217" s="37">
        <v>0</v>
      </c>
      <c r="EG217" s="37">
        <v>0</v>
      </c>
      <c r="EH217" s="37">
        <v>0</v>
      </c>
      <c r="EI217" s="37">
        <v>0</v>
      </c>
      <c r="EJ217" s="37">
        <v>0</v>
      </c>
      <c r="EK217" s="161" t="s">
        <v>1838</v>
      </c>
      <c r="EL217" s="294" t="s">
        <v>1124</v>
      </c>
    </row>
    <row r="218" spans="1:142" ht="15" customHeight="1" x14ac:dyDescent="0.35">
      <c r="A218" s="34"/>
      <c r="B218" s="313">
        <v>45043</v>
      </c>
      <c r="C218" s="8" t="s">
        <v>415</v>
      </c>
      <c r="D218" s="18">
        <v>5</v>
      </c>
      <c r="E218" s="155">
        <v>73095</v>
      </c>
      <c r="F218" s="36">
        <v>28274</v>
      </c>
      <c r="G218" s="37">
        <v>4187</v>
      </c>
      <c r="H218" s="37">
        <v>0</v>
      </c>
      <c r="I218" s="37">
        <v>7135</v>
      </c>
      <c r="J218" s="37">
        <v>0</v>
      </c>
      <c r="K218" s="37">
        <v>10964.25</v>
      </c>
      <c r="L218" s="37">
        <v>4241.0999999999995</v>
      </c>
      <c r="M218" s="37">
        <v>95381.25</v>
      </c>
      <c r="N218" s="37">
        <v>32515.1</v>
      </c>
      <c r="O218" s="37">
        <v>0</v>
      </c>
      <c r="P218" s="37">
        <v>0</v>
      </c>
      <c r="Q218" s="37">
        <v>80373</v>
      </c>
      <c r="R218" s="37">
        <v>0</v>
      </c>
      <c r="S218" s="37">
        <v>0</v>
      </c>
      <c r="T218" s="37">
        <v>0</v>
      </c>
      <c r="U218" s="37">
        <v>0</v>
      </c>
      <c r="V218" s="37">
        <v>0</v>
      </c>
      <c r="W218" s="37">
        <v>15008.25</v>
      </c>
      <c r="X218" s="37">
        <v>32515.1</v>
      </c>
      <c r="Y218" s="37">
        <v>0</v>
      </c>
      <c r="Z218" s="37">
        <v>0</v>
      </c>
      <c r="AA218" s="37">
        <v>95381.25</v>
      </c>
      <c r="AB218" s="37">
        <v>32515.1</v>
      </c>
      <c r="AC218" s="37">
        <v>0</v>
      </c>
      <c r="AD218" s="37">
        <v>0</v>
      </c>
      <c r="AE218" s="37">
        <v>0</v>
      </c>
      <c r="AF218" s="168">
        <v>0.02</v>
      </c>
      <c r="AG218" s="37">
        <v>4899919.03</v>
      </c>
      <c r="AH218" s="37">
        <v>51349.81</v>
      </c>
      <c r="AI218" s="37">
        <v>52376.81</v>
      </c>
      <c r="AJ218" s="37">
        <v>53424.34</v>
      </c>
      <c r="AK218" s="37">
        <v>54492.83</v>
      </c>
      <c r="AL218" s="37">
        <v>55582.69</v>
      </c>
      <c r="AM218" s="37">
        <v>56694.34</v>
      </c>
      <c r="AN218" s="37">
        <v>57828.23</v>
      </c>
      <c r="AO218" s="37">
        <v>58984.79</v>
      </c>
      <c r="AP218" s="37">
        <v>60164.49</v>
      </c>
      <c r="AQ218" s="37">
        <v>61367.78</v>
      </c>
      <c r="AR218" s="37">
        <v>562266.11</v>
      </c>
      <c r="AS218" s="37">
        <v>0</v>
      </c>
      <c r="AT218" s="37">
        <v>0</v>
      </c>
      <c r="AU218" s="37">
        <v>0</v>
      </c>
      <c r="AV218" s="37">
        <v>12734.5</v>
      </c>
      <c r="AW218" s="37">
        <v>0</v>
      </c>
      <c r="AX218" s="37">
        <v>0</v>
      </c>
      <c r="AY218" s="37">
        <v>0</v>
      </c>
      <c r="AZ218" s="37">
        <v>0</v>
      </c>
      <c r="BA218" s="37">
        <v>0</v>
      </c>
      <c r="BB218" s="37">
        <v>0</v>
      </c>
      <c r="BC218" s="37">
        <v>0</v>
      </c>
      <c r="BD218" s="37">
        <v>12734.5</v>
      </c>
      <c r="BE218" s="37">
        <v>0</v>
      </c>
      <c r="BF218" s="37">
        <v>38385.776750827514</v>
      </c>
      <c r="BG218" s="37">
        <v>41375.022785444846</v>
      </c>
      <c r="BH218" s="37">
        <v>50934.484273805836</v>
      </c>
      <c r="BI218" s="37">
        <v>60493.966189921848</v>
      </c>
      <c r="BJ218" s="37">
        <v>6570.2154537436354</v>
      </c>
      <c r="BK218" s="37">
        <v>31815.561297083841</v>
      </c>
      <c r="BL218" s="37">
        <v>41375.022785444846</v>
      </c>
      <c r="BM218" s="37">
        <v>50934.484273805836</v>
      </c>
      <c r="BN218" s="37">
        <v>60493.966189921848</v>
      </c>
      <c r="BO218" s="37">
        <v>0</v>
      </c>
      <c r="BP218" s="37">
        <v>382378.50000000006</v>
      </c>
      <c r="BQ218" s="37">
        <v>0</v>
      </c>
      <c r="BR218" s="37">
        <v>0</v>
      </c>
      <c r="BS218" s="37">
        <v>0</v>
      </c>
      <c r="BT218" s="37">
        <v>0</v>
      </c>
      <c r="BU218" s="37">
        <v>0</v>
      </c>
      <c r="BV218" s="37">
        <v>0</v>
      </c>
      <c r="BW218" s="37">
        <v>0</v>
      </c>
      <c r="BX218" s="37">
        <v>0</v>
      </c>
      <c r="BY218" s="37">
        <v>0</v>
      </c>
      <c r="BZ218" s="37">
        <v>0</v>
      </c>
      <c r="CA218" s="37">
        <v>0</v>
      </c>
      <c r="CB218" s="37">
        <v>0</v>
      </c>
      <c r="CC218" s="37">
        <v>0</v>
      </c>
      <c r="CD218" s="37">
        <v>0</v>
      </c>
      <c r="CE218" s="37">
        <v>0</v>
      </c>
      <c r="CF218" s="37">
        <v>0</v>
      </c>
      <c r="CG218" s="37">
        <v>0</v>
      </c>
      <c r="CH218" s="37">
        <v>0</v>
      </c>
      <c r="CI218" s="37">
        <v>0</v>
      </c>
      <c r="CJ218" s="37">
        <v>0</v>
      </c>
      <c r="CK218" s="37">
        <v>0</v>
      </c>
      <c r="CL218" s="37">
        <v>0</v>
      </c>
      <c r="CM218" s="37">
        <v>0</v>
      </c>
      <c r="CN218" s="37">
        <v>0</v>
      </c>
      <c r="CO218" s="37">
        <v>0</v>
      </c>
      <c r="CP218" s="37">
        <v>0</v>
      </c>
      <c r="CQ218" s="37">
        <v>0</v>
      </c>
      <c r="CR218" s="37">
        <v>0</v>
      </c>
      <c r="CS218" s="37">
        <v>0</v>
      </c>
      <c r="CT218" s="37">
        <v>0</v>
      </c>
      <c r="CU218" s="37">
        <v>0</v>
      </c>
      <c r="CV218" s="37">
        <v>0</v>
      </c>
      <c r="CW218" s="37">
        <v>0</v>
      </c>
      <c r="CX218" s="37">
        <v>0</v>
      </c>
      <c r="CY218" s="37">
        <v>0</v>
      </c>
      <c r="CZ218" s="37">
        <v>0</v>
      </c>
      <c r="DA218" s="37">
        <v>0</v>
      </c>
      <c r="DB218" s="37">
        <v>0</v>
      </c>
      <c r="DC218" s="37">
        <v>0</v>
      </c>
      <c r="DD218" s="37">
        <v>0</v>
      </c>
      <c r="DE218" s="37">
        <v>0</v>
      </c>
      <c r="DF218" s="37">
        <v>0</v>
      </c>
      <c r="DG218" s="37">
        <v>0</v>
      </c>
      <c r="DH218" s="37">
        <v>0</v>
      </c>
      <c r="DI218" s="37">
        <v>0</v>
      </c>
      <c r="DJ218" s="37">
        <v>0</v>
      </c>
      <c r="DK218" s="37">
        <v>0</v>
      </c>
      <c r="DL218" s="37">
        <v>0</v>
      </c>
      <c r="DM218" s="37">
        <v>0</v>
      </c>
      <c r="DN218" s="37">
        <v>0</v>
      </c>
      <c r="DO218" s="37">
        <v>0</v>
      </c>
      <c r="DP218" s="37">
        <v>0</v>
      </c>
      <c r="DQ218" s="37">
        <v>0</v>
      </c>
      <c r="DR218" s="37">
        <v>0</v>
      </c>
      <c r="DS218" s="37">
        <v>0</v>
      </c>
      <c r="DT218" s="37">
        <v>0</v>
      </c>
      <c r="DU218" s="37">
        <v>0</v>
      </c>
      <c r="DV218" s="37">
        <v>0</v>
      </c>
      <c r="DW218" s="37">
        <v>0</v>
      </c>
      <c r="DX218" s="37">
        <v>0</v>
      </c>
      <c r="DY218" s="37">
        <v>0</v>
      </c>
      <c r="DZ218" s="37">
        <v>0</v>
      </c>
      <c r="EA218" s="37">
        <v>0</v>
      </c>
      <c r="EB218" s="37">
        <v>0</v>
      </c>
      <c r="EC218" s="37">
        <v>0</v>
      </c>
      <c r="ED218" s="37">
        <v>0</v>
      </c>
      <c r="EE218" s="37">
        <v>0</v>
      </c>
      <c r="EF218" s="37">
        <v>0</v>
      </c>
      <c r="EG218" s="37">
        <v>0</v>
      </c>
      <c r="EH218" s="37">
        <v>0</v>
      </c>
      <c r="EI218" s="37">
        <v>0</v>
      </c>
      <c r="EJ218" s="37">
        <v>0</v>
      </c>
      <c r="EK218" s="161" t="s">
        <v>4591</v>
      </c>
      <c r="EL218" s="294" t="s">
        <v>1124</v>
      </c>
    </row>
    <row r="219" spans="1:142" ht="15" customHeight="1" x14ac:dyDescent="0.35">
      <c r="A219" s="34"/>
      <c r="B219" s="313">
        <v>69005</v>
      </c>
      <c r="C219" s="8" t="s">
        <v>684</v>
      </c>
      <c r="D219" s="18">
        <v>16</v>
      </c>
      <c r="E219" s="155"/>
      <c r="F219" s="36"/>
      <c r="G219" s="37"/>
      <c r="H219" s="37"/>
      <c r="I219" s="37"/>
      <c r="J219" s="37"/>
      <c r="K219" s="37"/>
      <c r="L219" s="37"/>
      <c r="M219" s="37" t="s">
        <v>1124</v>
      </c>
      <c r="N219" s="37" t="s">
        <v>1124</v>
      </c>
      <c r="O219" s="37"/>
      <c r="P219" s="37"/>
      <c r="Q219" s="37"/>
      <c r="R219" s="37"/>
      <c r="S219" s="37"/>
      <c r="T219" s="37"/>
      <c r="U219" s="37"/>
      <c r="V219" s="37"/>
      <c r="W219" s="37"/>
      <c r="X219" s="37"/>
      <c r="Y219" s="37"/>
      <c r="Z219" s="37"/>
      <c r="AA219" s="37" t="s">
        <v>1124</v>
      </c>
      <c r="AB219" s="37" t="s">
        <v>1124</v>
      </c>
      <c r="AC219" s="37"/>
      <c r="AD219" s="37"/>
      <c r="AE219" s="37"/>
      <c r="AF219" s="168"/>
      <c r="AG219" s="37"/>
      <c r="AH219" s="37"/>
      <c r="AI219" s="37"/>
      <c r="AJ219" s="37"/>
      <c r="AK219" s="37"/>
      <c r="AL219" s="37"/>
      <c r="AM219" s="37"/>
      <c r="AN219" s="37"/>
      <c r="AO219" s="37"/>
      <c r="AP219" s="37"/>
      <c r="AQ219" s="37"/>
      <c r="AR219" s="37" t="s">
        <v>1124</v>
      </c>
      <c r="AS219" s="37"/>
      <c r="AT219" s="37"/>
      <c r="AU219" s="37"/>
      <c r="AV219" s="37"/>
      <c r="AW219" s="37"/>
      <c r="AX219" s="37"/>
      <c r="AY219" s="37"/>
      <c r="AZ219" s="37"/>
      <c r="BA219" s="37"/>
      <c r="BB219" s="37"/>
      <c r="BC219" s="37"/>
      <c r="BD219" s="37" t="s">
        <v>1124</v>
      </c>
      <c r="BE219" s="37"/>
      <c r="BF219" s="37"/>
      <c r="BG219" s="37"/>
      <c r="BH219" s="37"/>
      <c r="BI219" s="37"/>
      <c r="BJ219" s="37"/>
      <c r="BK219" s="37"/>
      <c r="BL219" s="37"/>
      <c r="BM219" s="37"/>
      <c r="BN219" s="37"/>
      <c r="BO219" s="37"/>
      <c r="BP219" s="37">
        <v>0</v>
      </c>
      <c r="BQ219" s="37"/>
      <c r="BR219" s="37"/>
      <c r="BS219" s="37"/>
      <c r="BT219" s="37"/>
      <c r="BU219" s="37"/>
      <c r="BV219" s="37"/>
      <c r="BW219" s="37"/>
      <c r="BX219" s="37"/>
      <c r="BY219" s="37"/>
      <c r="BZ219" s="37"/>
      <c r="CA219" s="37"/>
      <c r="CB219" s="37" t="s">
        <v>1124</v>
      </c>
      <c r="CC219" s="37"/>
      <c r="CD219" s="37"/>
      <c r="CE219" s="37"/>
      <c r="CF219" s="37"/>
      <c r="CG219" s="37"/>
      <c r="CH219" s="37"/>
      <c r="CI219" s="37"/>
      <c r="CJ219" s="37"/>
      <c r="CK219" s="37"/>
      <c r="CL219" s="37"/>
      <c r="CM219" s="37"/>
      <c r="CN219" s="37" t="s">
        <v>1124</v>
      </c>
      <c r="CO219" s="37"/>
      <c r="CP219" s="37"/>
      <c r="CQ219" s="37"/>
      <c r="CR219" s="37"/>
      <c r="CS219" s="37"/>
      <c r="CT219" s="37"/>
      <c r="CU219" s="37"/>
      <c r="CV219" s="37"/>
      <c r="CW219" s="37"/>
      <c r="CX219" s="37"/>
      <c r="CY219" s="37"/>
      <c r="CZ219" s="37" t="s">
        <v>1124</v>
      </c>
      <c r="DA219" s="37"/>
      <c r="DB219" s="37"/>
      <c r="DC219" s="37"/>
      <c r="DD219" s="37"/>
      <c r="DE219" s="37"/>
      <c r="DF219" s="37"/>
      <c r="DG219" s="37"/>
      <c r="DH219" s="37"/>
      <c r="DI219" s="37"/>
      <c r="DJ219" s="37"/>
      <c r="DK219" s="37"/>
      <c r="DL219" s="37" t="s">
        <v>1124</v>
      </c>
      <c r="DM219" s="37"/>
      <c r="DN219" s="37"/>
      <c r="DO219" s="37"/>
      <c r="DP219" s="37"/>
      <c r="DQ219" s="37"/>
      <c r="DR219" s="37"/>
      <c r="DS219" s="37"/>
      <c r="DT219" s="37"/>
      <c r="DU219" s="37"/>
      <c r="DV219" s="37"/>
      <c r="DW219" s="37"/>
      <c r="DX219" s="37" t="s">
        <v>1124</v>
      </c>
      <c r="DY219" s="37"/>
      <c r="DZ219" s="37"/>
      <c r="EA219" s="37"/>
      <c r="EB219" s="37"/>
      <c r="EC219" s="37"/>
      <c r="ED219" s="37"/>
      <c r="EE219" s="37"/>
      <c r="EF219" s="37"/>
      <c r="EG219" s="37"/>
      <c r="EH219" s="37"/>
      <c r="EI219" s="37"/>
      <c r="EJ219" s="37" t="s">
        <v>1124</v>
      </c>
      <c r="EK219" s="161"/>
      <c r="EL219" s="294"/>
    </row>
    <row r="220" spans="1:142" ht="15" customHeight="1" x14ac:dyDescent="0.35">
      <c r="A220" s="34"/>
      <c r="B220" s="313">
        <v>98040</v>
      </c>
      <c r="C220" s="8" t="s">
        <v>1015</v>
      </c>
      <c r="D220" s="18">
        <v>9</v>
      </c>
      <c r="E220" s="155"/>
      <c r="F220" s="36"/>
      <c r="G220" s="37"/>
      <c r="H220" s="37"/>
      <c r="I220" s="37"/>
      <c r="J220" s="37"/>
      <c r="K220" s="37"/>
      <c r="L220" s="37"/>
      <c r="M220" s="37" t="s">
        <v>1124</v>
      </c>
      <c r="N220" s="37" t="s">
        <v>1124</v>
      </c>
      <c r="O220" s="37"/>
      <c r="P220" s="37"/>
      <c r="Q220" s="37"/>
      <c r="R220" s="37"/>
      <c r="S220" s="37"/>
      <c r="T220" s="37"/>
      <c r="U220" s="37"/>
      <c r="V220" s="37"/>
      <c r="W220" s="37"/>
      <c r="X220" s="37"/>
      <c r="Y220" s="37"/>
      <c r="Z220" s="37"/>
      <c r="AA220" s="37" t="s">
        <v>1124</v>
      </c>
      <c r="AB220" s="37" t="s">
        <v>1124</v>
      </c>
      <c r="AC220" s="37"/>
      <c r="AD220" s="37"/>
      <c r="AE220" s="37"/>
      <c r="AF220" s="168"/>
      <c r="AG220" s="37"/>
      <c r="AH220" s="37"/>
      <c r="AI220" s="37"/>
      <c r="AJ220" s="37"/>
      <c r="AK220" s="37"/>
      <c r="AL220" s="37"/>
      <c r="AM220" s="37"/>
      <c r="AN220" s="37"/>
      <c r="AO220" s="37"/>
      <c r="AP220" s="37"/>
      <c r="AQ220" s="37"/>
      <c r="AR220" s="37" t="s">
        <v>1124</v>
      </c>
      <c r="AS220" s="37"/>
      <c r="AT220" s="37"/>
      <c r="AU220" s="37"/>
      <c r="AV220" s="37"/>
      <c r="AW220" s="37"/>
      <c r="AX220" s="37"/>
      <c r="AY220" s="37"/>
      <c r="AZ220" s="37"/>
      <c r="BA220" s="37"/>
      <c r="BB220" s="37"/>
      <c r="BC220" s="37"/>
      <c r="BD220" s="37" t="s">
        <v>1124</v>
      </c>
      <c r="BE220" s="37"/>
      <c r="BF220" s="37"/>
      <c r="BG220" s="37"/>
      <c r="BH220" s="37"/>
      <c r="BI220" s="37"/>
      <c r="BJ220" s="37"/>
      <c r="BK220" s="37"/>
      <c r="BL220" s="37"/>
      <c r="BM220" s="37"/>
      <c r="BN220" s="37"/>
      <c r="BO220" s="37"/>
      <c r="BP220" s="37">
        <v>0</v>
      </c>
      <c r="BQ220" s="37"/>
      <c r="BR220" s="37"/>
      <c r="BS220" s="37"/>
      <c r="BT220" s="37"/>
      <c r="BU220" s="37"/>
      <c r="BV220" s="37"/>
      <c r="BW220" s="37"/>
      <c r="BX220" s="37"/>
      <c r="BY220" s="37"/>
      <c r="BZ220" s="37"/>
      <c r="CA220" s="37"/>
      <c r="CB220" s="37" t="s">
        <v>1124</v>
      </c>
      <c r="CC220" s="37"/>
      <c r="CD220" s="37"/>
      <c r="CE220" s="37"/>
      <c r="CF220" s="37"/>
      <c r="CG220" s="37"/>
      <c r="CH220" s="37"/>
      <c r="CI220" s="37"/>
      <c r="CJ220" s="37"/>
      <c r="CK220" s="37"/>
      <c r="CL220" s="37"/>
      <c r="CM220" s="37"/>
      <c r="CN220" s="37" t="s">
        <v>1124</v>
      </c>
      <c r="CO220" s="37"/>
      <c r="CP220" s="37"/>
      <c r="CQ220" s="37"/>
      <c r="CR220" s="37"/>
      <c r="CS220" s="37"/>
      <c r="CT220" s="37"/>
      <c r="CU220" s="37"/>
      <c r="CV220" s="37"/>
      <c r="CW220" s="37"/>
      <c r="CX220" s="37"/>
      <c r="CY220" s="37"/>
      <c r="CZ220" s="37" t="s">
        <v>1124</v>
      </c>
      <c r="DA220" s="37"/>
      <c r="DB220" s="37"/>
      <c r="DC220" s="37"/>
      <c r="DD220" s="37"/>
      <c r="DE220" s="37"/>
      <c r="DF220" s="37"/>
      <c r="DG220" s="37"/>
      <c r="DH220" s="37"/>
      <c r="DI220" s="37"/>
      <c r="DJ220" s="37"/>
      <c r="DK220" s="37"/>
      <c r="DL220" s="37" t="s">
        <v>1124</v>
      </c>
      <c r="DM220" s="37"/>
      <c r="DN220" s="37"/>
      <c r="DO220" s="37"/>
      <c r="DP220" s="37"/>
      <c r="DQ220" s="37"/>
      <c r="DR220" s="37"/>
      <c r="DS220" s="37"/>
      <c r="DT220" s="37"/>
      <c r="DU220" s="37"/>
      <c r="DV220" s="37"/>
      <c r="DW220" s="37"/>
      <c r="DX220" s="37" t="s">
        <v>1124</v>
      </c>
      <c r="DY220" s="37"/>
      <c r="DZ220" s="37"/>
      <c r="EA220" s="37"/>
      <c r="EB220" s="37"/>
      <c r="EC220" s="37"/>
      <c r="ED220" s="37"/>
      <c r="EE220" s="37"/>
      <c r="EF220" s="37"/>
      <c r="EG220" s="37"/>
      <c r="EH220" s="37"/>
      <c r="EI220" s="37"/>
      <c r="EJ220" s="37" t="s">
        <v>1124</v>
      </c>
      <c r="EK220" s="161"/>
      <c r="EL220" s="294"/>
    </row>
    <row r="221" spans="1:142" ht="15" customHeight="1" x14ac:dyDescent="0.35">
      <c r="A221" s="34"/>
      <c r="B221" s="313">
        <v>93020</v>
      </c>
      <c r="C221" s="8" t="s">
        <v>960</v>
      </c>
      <c r="D221" s="18">
        <v>2</v>
      </c>
      <c r="E221" s="155">
        <v>139253</v>
      </c>
      <c r="F221" s="36">
        <v>122461</v>
      </c>
      <c r="G221" s="37">
        <v>27079</v>
      </c>
      <c r="H221" s="37">
        <v>21442</v>
      </c>
      <c r="I221" s="37">
        <v>208490</v>
      </c>
      <c r="J221" s="37">
        <v>56208</v>
      </c>
      <c r="K221" s="37">
        <v>20888</v>
      </c>
      <c r="L221" s="37">
        <v>18369</v>
      </c>
      <c r="M221" s="37">
        <v>395710</v>
      </c>
      <c r="N221" s="37">
        <v>218480</v>
      </c>
      <c r="O221" s="37">
        <v>0</v>
      </c>
      <c r="P221" s="37">
        <v>0</v>
      </c>
      <c r="Q221" s="37">
        <v>273568</v>
      </c>
      <c r="R221" s="37">
        <v>154451</v>
      </c>
      <c r="S221" s="37">
        <v>3850</v>
      </c>
      <c r="T221" s="37">
        <v>0</v>
      </c>
      <c r="U221" s="37">
        <v>0</v>
      </c>
      <c r="V221" s="37">
        <v>12442</v>
      </c>
      <c r="W221" s="37">
        <v>84940</v>
      </c>
      <c r="X221" s="37">
        <v>84939</v>
      </c>
      <c r="Y221" s="37">
        <v>0</v>
      </c>
      <c r="Z221" s="37">
        <v>0</v>
      </c>
      <c r="AA221" s="37">
        <v>362358</v>
      </c>
      <c r="AB221" s="37">
        <v>251832</v>
      </c>
      <c r="AC221" s="37">
        <v>0</v>
      </c>
      <c r="AD221" s="37">
        <v>0</v>
      </c>
      <c r="AE221" s="37">
        <v>0</v>
      </c>
      <c r="AF221" s="168">
        <v>0.02</v>
      </c>
      <c r="AG221" s="37">
        <v>72221776.879999995</v>
      </c>
      <c r="AH221" s="37">
        <v>750722.16</v>
      </c>
      <c r="AI221" s="37">
        <v>765736.61</v>
      </c>
      <c r="AJ221" s="37">
        <v>781051.34</v>
      </c>
      <c r="AK221" s="37">
        <v>796672.37</v>
      </c>
      <c r="AL221" s="37">
        <v>812605.81</v>
      </c>
      <c r="AM221" s="37">
        <v>828857.93</v>
      </c>
      <c r="AN221" s="37">
        <v>845435.09</v>
      </c>
      <c r="AO221" s="37">
        <v>862343.79</v>
      </c>
      <c r="AP221" s="37">
        <v>879590.67</v>
      </c>
      <c r="AQ221" s="37">
        <v>897182.48</v>
      </c>
      <c r="AR221" s="37">
        <v>8220198.25</v>
      </c>
      <c r="AS221" s="37">
        <v>108687.61</v>
      </c>
      <c r="AT221" s="37">
        <v>0</v>
      </c>
      <c r="AU221" s="37">
        <v>1273449.6000000001</v>
      </c>
      <c r="AV221" s="37">
        <v>0</v>
      </c>
      <c r="AW221" s="37">
        <v>0</v>
      </c>
      <c r="AX221" s="37">
        <v>0</v>
      </c>
      <c r="AY221" s="37">
        <v>0</v>
      </c>
      <c r="AZ221" s="37">
        <v>0</v>
      </c>
      <c r="BA221" s="37">
        <v>0</v>
      </c>
      <c r="BB221" s="37">
        <v>0</v>
      </c>
      <c r="BC221" s="37">
        <v>0</v>
      </c>
      <c r="BD221" s="37">
        <v>1273449.6000000001</v>
      </c>
      <c r="BE221" s="37">
        <v>418000</v>
      </c>
      <c r="BF221" s="37">
        <v>0</v>
      </c>
      <c r="BG221" s="37">
        <v>0</v>
      </c>
      <c r="BH221" s="37">
        <v>0</v>
      </c>
      <c r="BI221" s="37">
        <v>0</v>
      </c>
      <c r="BJ221" s="37">
        <v>0</v>
      </c>
      <c r="BK221" s="37">
        <v>0</v>
      </c>
      <c r="BL221" s="37">
        <v>0</v>
      </c>
      <c r="BM221" s="37">
        <v>0</v>
      </c>
      <c r="BN221" s="37">
        <v>0</v>
      </c>
      <c r="BO221" s="37">
        <v>0</v>
      </c>
      <c r="BP221" s="37">
        <v>0</v>
      </c>
      <c r="BQ221" s="37">
        <v>0</v>
      </c>
      <c r="BR221" s="37">
        <v>0</v>
      </c>
      <c r="BS221" s="37">
        <v>0</v>
      </c>
      <c r="BT221" s="37">
        <v>0</v>
      </c>
      <c r="BU221" s="37">
        <v>0</v>
      </c>
      <c r="BV221" s="37">
        <v>0</v>
      </c>
      <c r="BW221" s="37">
        <v>0</v>
      </c>
      <c r="BX221" s="37">
        <v>0</v>
      </c>
      <c r="BY221" s="37">
        <v>0</v>
      </c>
      <c r="BZ221" s="37">
        <v>0</v>
      </c>
      <c r="CA221" s="37">
        <v>0</v>
      </c>
      <c r="CB221" s="37">
        <v>0</v>
      </c>
      <c r="CC221" s="37">
        <v>0</v>
      </c>
      <c r="CD221" s="37">
        <v>0</v>
      </c>
      <c r="CE221" s="37">
        <v>0</v>
      </c>
      <c r="CF221" s="37">
        <v>0</v>
      </c>
      <c r="CG221" s="37">
        <v>0</v>
      </c>
      <c r="CH221" s="37">
        <v>0</v>
      </c>
      <c r="CI221" s="37">
        <v>0</v>
      </c>
      <c r="CJ221" s="37">
        <v>0</v>
      </c>
      <c r="CK221" s="37">
        <v>0</v>
      </c>
      <c r="CL221" s="37">
        <v>0</v>
      </c>
      <c r="CM221" s="37">
        <v>0</v>
      </c>
      <c r="CN221" s="37">
        <v>0</v>
      </c>
      <c r="CO221" s="37">
        <v>0</v>
      </c>
      <c r="CP221" s="37">
        <v>509300</v>
      </c>
      <c r="CQ221" s="37">
        <v>509300</v>
      </c>
      <c r="CR221" s="37">
        <v>0</v>
      </c>
      <c r="CS221" s="37">
        <v>0</v>
      </c>
      <c r="CT221" s="37">
        <v>0</v>
      </c>
      <c r="CU221" s="37">
        <v>0</v>
      </c>
      <c r="CV221" s="37">
        <v>0</v>
      </c>
      <c r="CW221" s="37">
        <v>0</v>
      </c>
      <c r="CX221" s="37">
        <v>0</v>
      </c>
      <c r="CY221" s="37">
        <v>0</v>
      </c>
      <c r="CZ221" s="37">
        <v>1018600</v>
      </c>
      <c r="DA221" s="37">
        <v>0</v>
      </c>
      <c r="DB221" s="37">
        <v>96450</v>
      </c>
      <c r="DC221" s="37">
        <v>96450</v>
      </c>
      <c r="DD221" s="37">
        <v>0</v>
      </c>
      <c r="DE221" s="37">
        <v>0</v>
      </c>
      <c r="DF221" s="37">
        <v>0</v>
      </c>
      <c r="DG221" s="37">
        <v>0</v>
      </c>
      <c r="DH221" s="37">
        <v>0</v>
      </c>
      <c r="DI221" s="37">
        <v>0</v>
      </c>
      <c r="DJ221" s="37">
        <v>0</v>
      </c>
      <c r="DK221" s="37">
        <v>0</v>
      </c>
      <c r="DL221" s="37">
        <v>192900</v>
      </c>
      <c r="DM221" s="37">
        <v>0</v>
      </c>
      <c r="DN221" s="37">
        <v>0</v>
      </c>
      <c r="DO221" s="37">
        <v>0</v>
      </c>
      <c r="DP221" s="37">
        <v>0</v>
      </c>
      <c r="DQ221" s="37">
        <v>0</v>
      </c>
      <c r="DR221" s="37">
        <v>0</v>
      </c>
      <c r="DS221" s="37">
        <v>0</v>
      </c>
      <c r="DT221" s="37">
        <v>0</v>
      </c>
      <c r="DU221" s="37">
        <v>0</v>
      </c>
      <c r="DV221" s="37">
        <v>0</v>
      </c>
      <c r="DW221" s="37">
        <v>0</v>
      </c>
      <c r="DX221" s="37">
        <v>0</v>
      </c>
      <c r="DY221" s="37">
        <v>0</v>
      </c>
      <c r="DZ221" s="37">
        <v>0</v>
      </c>
      <c r="EA221" s="37">
        <v>0</v>
      </c>
      <c r="EB221" s="37">
        <v>0</v>
      </c>
      <c r="EC221" s="37">
        <v>0</v>
      </c>
      <c r="ED221" s="37">
        <v>0</v>
      </c>
      <c r="EE221" s="37">
        <v>0</v>
      </c>
      <c r="EF221" s="37">
        <v>0</v>
      </c>
      <c r="EG221" s="37">
        <v>0</v>
      </c>
      <c r="EH221" s="37">
        <v>0</v>
      </c>
      <c r="EI221" s="37">
        <v>0</v>
      </c>
      <c r="EJ221" s="37">
        <v>0</v>
      </c>
      <c r="EK221" s="161" t="s">
        <v>1842</v>
      </c>
      <c r="EL221" s="294" t="s">
        <v>1124</v>
      </c>
    </row>
    <row r="222" spans="1:142" ht="15" customHeight="1" x14ac:dyDescent="0.35">
      <c r="A222" s="34"/>
      <c r="B222" s="313">
        <v>93025</v>
      </c>
      <c r="C222" s="8" t="s">
        <v>961</v>
      </c>
      <c r="D222" s="18">
        <v>2</v>
      </c>
      <c r="E222" s="155">
        <v>140046</v>
      </c>
      <c r="F222" s="36">
        <v>38146</v>
      </c>
      <c r="G222" s="37">
        <v>65675</v>
      </c>
      <c r="H222" s="37">
        <v>0</v>
      </c>
      <c r="I222" s="37">
        <v>137498</v>
      </c>
      <c r="J222" s="37">
        <v>0</v>
      </c>
      <c r="K222" s="37">
        <v>0</v>
      </c>
      <c r="L222" s="37">
        <v>0</v>
      </c>
      <c r="M222" s="37">
        <v>343219</v>
      </c>
      <c r="N222" s="37">
        <v>38146</v>
      </c>
      <c r="O222" s="37">
        <v>0</v>
      </c>
      <c r="P222" s="37">
        <v>0</v>
      </c>
      <c r="Q222" s="37">
        <v>312886</v>
      </c>
      <c r="R222" s="37">
        <v>101973</v>
      </c>
      <c r="S222" s="37">
        <v>2291</v>
      </c>
      <c r="T222" s="37">
        <v>0</v>
      </c>
      <c r="U222" s="37">
        <v>105829</v>
      </c>
      <c r="V222" s="37">
        <v>0</v>
      </c>
      <c r="W222" s="37">
        <v>0</v>
      </c>
      <c r="X222" s="37">
        <v>0</v>
      </c>
      <c r="Y222" s="37">
        <v>0</v>
      </c>
      <c r="Z222" s="37">
        <v>0</v>
      </c>
      <c r="AA222" s="37">
        <v>421006</v>
      </c>
      <c r="AB222" s="37">
        <v>101973</v>
      </c>
      <c r="AC222" s="37">
        <v>141614</v>
      </c>
      <c r="AD222" s="37">
        <v>0</v>
      </c>
      <c r="AE222" s="37">
        <v>0</v>
      </c>
      <c r="AF222" s="168">
        <v>0.02</v>
      </c>
      <c r="AG222" s="37">
        <v>35269278.369999997</v>
      </c>
      <c r="AH222" s="37">
        <v>259526.73</v>
      </c>
      <c r="AI222" s="37">
        <v>264717.26</v>
      </c>
      <c r="AJ222" s="37">
        <v>270011.61</v>
      </c>
      <c r="AK222" s="37">
        <v>275411.84000000003</v>
      </c>
      <c r="AL222" s="37">
        <v>280920.08</v>
      </c>
      <c r="AM222" s="37">
        <v>286538.48</v>
      </c>
      <c r="AN222" s="37">
        <v>292269.25</v>
      </c>
      <c r="AO222" s="37">
        <v>298114.63</v>
      </c>
      <c r="AP222" s="37">
        <v>304076.93</v>
      </c>
      <c r="AQ222" s="37">
        <v>310158.46000000002</v>
      </c>
      <c r="AR222" s="37">
        <v>2841745.27</v>
      </c>
      <c r="AS222" s="37">
        <v>614976.44999999995</v>
      </c>
      <c r="AT222" s="37">
        <v>0</v>
      </c>
      <c r="AU222" s="37">
        <v>0</v>
      </c>
      <c r="AV222" s="37">
        <v>0</v>
      </c>
      <c r="AW222" s="37">
        <v>0</v>
      </c>
      <c r="AX222" s="37">
        <v>0</v>
      </c>
      <c r="AY222" s="37">
        <v>0</v>
      </c>
      <c r="AZ222" s="37">
        <v>0</v>
      </c>
      <c r="BA222" s="37">
        <v>0</v>
      </c>
      <c r="BB222" s="37">
        <v>0</v>
      </c>
      <c r="BC222" s="37">
        <v>0</v>
      </c>
      <c r="BD222" s="37">
        <v>0</v>
      </c>
      <c r="BE222" s="37">
        <v>495933</v>
      </c>
      <c r="BF222" s="37">
        <v>200000</v>
      </c>
      <c r="BG222" s="37">
        <v>100000</v>
      </c>
      <c r="BH222" s="37">
        <v>100000</v>
      </c>
      <c r="BI222" s="37">
        <v>0</v>
      </c>
      <c r="BJ222" s="37">
        <v>0</v>
      </c>
      <c r="BK222" s="37">
        <v>0</v>
      </c>
      <c r="BL222" s="37">
        <v>0</v>
      </c>
      <c r="BM222" s="37">
        <v>0</v>
      </c>
      <c r="BN222" s="37">
        <v>0</v>
      </c>
      <c r="BO222" s="37">
        <v>0</v>
      </c>
      <c r="BP222" s="37">
        <v>400000</v>
      </c>
      <c r="BQ222" s="37">
        <v>0</v>
      </c>
      <c r="BR222" s="37">
        <v>100000</v>
      </c>
      <c r="BS222" s="37">
        <v>50000</v>
      </c>
      <c r="BT222" s="37">
        <v>50000</v>
      </c>
      <c r="BU222" s="37">
        <v>0</v>
      </c>
      <c r="BV222" s="37">
        <v>0</v>
      </c>
      <c r="BW222" s="37">
        <v>0</v>
      </c>
      <c r="BX222" s="37">
        <v>0</v>
      </c>
      <c r="BY222" s="37">
        <v>0</v>
      </c>
      <c r="BZ222" s="37">
        <v>0</v>
      </c>
      <c r="CA222" s="37">
        <v>0</v>
      </c>
      <c r="CB222" s="37">
        <v>200000</v>
      </c>
      <c r="CC222" s="37">
        <v>0</v>
      </c>
      <c r="CD222" s="37">
        <v>0</v>
      </c>
      <c r="CE222" s="37">
        <v>0</v>
      </c>
      <c r="CF222" s="37">
        <v>0</v>
      </c>
      <c r="CG222" s="37">
        <v>0</v>
      </c>
      <c r="CH222" s="37">
        <v>0</v>
      </c>
      <c r="CI222" s="37">
        <v>0</v>
      </c>
      <c r="CJ222" s="37">
        <v>0</v>
      </c>
      <c r="CK222" s="37">
        <v>0</v>
      </c>
      <c r="CL222" s="37">
        <v>0</v>
      </c>
      <c r="CM222" s="37">
        <v>0</v>
      </c>
      <c r="CN222" s="37">
        <v>0</v>
      </c>
      <c r="CO222" s="37">
        <v>0</v>
      </c>
      <c r="CP222" s="37">
        <v>0</v>
      </c>
      <c r="CQ222" s="37">
        <v>0</v>
      </c>
      <c r="CR222" s="37">
        <v>0</v>
      </c>
      <c r="CS222" s="37">
        <v>0</v>
      </c>
      <c r="CT222" s="37">
        <v>0</v>
      </c>
      <c r="CU222" s="37">
        <v>0</v>
      </c>
      <c r="CV222" s="37">
        <v>0</v>
      </c>
      <c r="CW222" s="37">
        <v>0</v>
      </c>
      <c r="CX222" s="37">
        <v>0</v>
      </c>
      <c r="CY222" s="37">
        <v>0</v>
      </c>
      <c r="CZ222" s="37">
        <v>0</v>
      </c>
      <c r="DA222" s="37">
        <v>0</v>
      </c>
      <c r="DB222" s="37">
        <v>0</v>
      </c>
      <c r="DC222" s="37">
        <v>0</v>
      </c>
      <c r="DD222" s="37">
        <v>0</v>
      </c>
      <c r="DE222" s="37">
        <v>0</v>
      </c>
      <c r="DF222" s="37">
        <v>0</v>
      </c>
      <c r="DG222" s="37">
        <v>0</v>
      </c>
      <c r="DH222" s="37">
        <v>0</v>
      </c>
      <c r="DI222" s="37">
        <v>0</v>
      </c>
      <c r="DJ222" s="37">
        <v>0</v>
      </c>
      <c r="DK222" s="37">
        <v>0</v>
      </c>
      <c r="DL222" s="37">
        <v>0</v>
      </c>
      <c r="DM222" s="37">
        <v>0</v>
      </c>
      <c r="DN222" s="37">
        <v>0</v>
      </c>
      <c r="DO222" s="37">
        <v>0</v>
      </c>
      <c r="DP222" s="37">
        <v>0</v>
      </c>
      <c r="DQ222" s="37">
        <v>0</v>
      </c>
      <c r="DR222" s="37">
        <v>0</v>
      </c>
      <c r="DS222" s="37">
        <v>0</v>
      </c>
      <c r="DT222" s="37">
        <v>0</v>
      </c>
      <c r="DU222" s="37">
        <v>0</v>
      </c>
      <c r="DV222" s="37">
        <v>0</v>
      </c>
      <c r="DW222" s="37">
        <v>0</v>
      </c>
      <c r="DX222" s="37">
        <v>0</v>
      </c>
      <c r="DY222" s="37">
        <v>0</v>
      </c>
      <c r="DZ222" s="37">
        <v>0</v>
      </c>
      <c r="EA222" s="37">
        <v>0</v>
      </c>
      <c r="EB222" s="37">
        <v>0</v>
      </c>
      <c r="EC222" s="37">
        <v>0</v>
      </c>
      <c r="ED222" s="37">
        <v>0</v>
      </c>
      <c r="EE222" s="37">
        <v>0</v>
      </c>
      <c r="EF222" s="37">
        <v>0</v>
      </c>
      <c r="EG222" s="37">
        <v>0</v>
      </c>
      <c r="EH222" s="37">
        <v>0</v>
      </c>
      <c r="EI222" s="37">
        <v>0</v>
      </c>
      <c r="EJ222" s="37">
        <v>0</v>
      </c>
      <c r="EK222" s="161" t="s">
        <v>1846</v>
      </c>
      <c r="EL222" s="294" t="s">
        <v>1124</v>
      </c>
    </row>
    <row r="223" spans="1:142" ht="15" customHeight="1" x14ac:dyDescent="0.35">
      <c r="A223" s="34"/>
      <c r="B223" s="313">
        <v>68015</v>
      </c>
      <c r="C223" s="8" t="s">
        <v>675</v>
      </c>
      <c r="D223" s="18">
        <v>16</v>
      </c>
      <c r="E223" s="155"/>
      <c r="F223" s="36"/>
      <c r="G223" s="37"/>
      <c r="H223" s="37"/>
      <c r="I223" s="37"/>
      <c r="J223" s="37"/>
      <c r="K223" s="37"/>
      <c r="L223" s="37"/>
      <c r="M223" s="37" t="s">
        <v>1124</v>
      </c>
      <c r="N223" s="37" t="s">
        <v>1124</v>
      </c>
      <c r="O223" s="37"/>
      <c r="P223" s="37"/>
      <c r="Q223" s="37"/>
      <c r="R223" s="37"/>
      <c r="S223" s="37"/>
      <c r="T223" s="37"/>
      <c r="U223" s="37"/>
      <c r="V223" s="37"/>
      <c r="W223" s="37"/>
      <c r="X223" s="37"/>
      <c r="Y223" s="37"/>
      <c r="Z223" s="37"/>
      <c r="AA223" s="37" t="s">
        <v>1124</v>
      </c>
      <c r="AB223" s="37" t="s">
        <v>1124</v>
      </c>
      <c r="AC223" s="37"/>
      <c r="AD223" s="37"/>
      <c r="AE223" s="37"/>
      <c r="AF223" s="168"/>
      <c r="AG223" s="37"/>
      <c r="AH223" s="37"/>
      <c r="AI223" s="37"/>
      <c r="AJ223" s="37"/>
      <c r="AK223" s="37"/>
      <c r="AL223" s="37"/>
      <c r="AM223" s="37"/>
      <c r="AN223" s="37"/>
      <c r="AO223" s="37"/>
      <c r="AP223" s="37"/>
      <c r="AQ223" s="37"/>
      <c r="AR223" s="37" t="s">
        <v>1124</v>
      </c>
      <c r="AS223" s="37"/>
      <c r="AT223" s="37"/>
      <c r="AU223" s="37"/>
      <c r="AV223" s="37"/>
      <c r="AW223" s="37"/>
      <c r="AX223" s="37"/>
      <c r="AY223" s="37"/>
      <c r="AZ223" s="37"/>
      <c r="BA223" s="37"/>
      <c r="BB223" s="37"/>
      <c r="BC223" s="37"/>
      <c r="BD223" s="37" t="s">
        <v>1124</v>
      </c>
      <c r="BE223" s="37"/>
      <c r="BF223" s="37"/>
      <c r="BG223" s="37"/>
      <c r="BH223" s="37"/>
      <c r="BI223" s="37"/>
      <c r="BJ223" s="37"/>
      <c r="BK223" s="37"/>
      <c r="BL223" s="37"/>
      <c r="BM223" s="37"/>
      <c r="BN223" s="37"/>
      <c r="BO223" s="37"/>
      <c r="BP223" s="37">
        <v>0</v>
      </c>
      <c r="BQ223" s="37"/>
      <c r="BR223" s="37"/>
      <c r="BS223" s="37"/>
      <c r="BT223" s="37"/>
      <c r="BU223" s="37"/>
      <c r="BV223" s="37"/>
      <c r="BW223" s="37"/>
      <c r="BX223" s="37"/>
      <c r="BY223" s="37"/>
      <c r="BZ223" s="37"/>
      <c r="CA223" s="37"/>
      <c r="CB223" s="37" t="s">
        <v>1124</v>
      </c>
      <c r="CC223" s="37"/>
      <c r="CD223" s="37"/>
      <c r="CE223" s="37"/>
      <c r="CF223" s="37"/>
      <c r="CG223" s="37"/>
      <c r="CH223" s="37"/>
      <c r="CI223" s="37"/>
      <c r="CJ223" s="37"/>
      <c r="CK223" s="37"/>
      <c r="CL223" s="37"/>
      <c r="CM223" s="37"/>
      <c r="CN223" s="37" t="s">
        <v>1124</v>
      </c>
      <c r="CO223" s="37"/>
      <c r="CP223" s="37"/>
      <c r="CQ223" s="37"/>
      <c r="CR223" s="37"/>
      <c r="CS223" s="37"/>
      <c r="CT223" s="37"/>
      <c r="CU223" s="37"/>
      <c r="CV223" s="37"/>
      <c r="CW223" s="37"/>
      <c r="CX223" s="37"/>
      <c r="CY223" s="37"/>
      <c r="CZ223" s="37" t="s">
        <v>1124</v>
      </c>
      <c r="DA223" s="37"/>
      <c r="DB223" s="37"/>
      <c r="DC223" s="37"/>
      <c r="DD223" s="37"/>
      <c r="DE223" s="37"/>
      <c r="DF223" s="37"/>
      <c r="DG223" s="37"/>
      <c r="DH223" s="37"/>
      <c r="DI223" s="37"/>
      <c r="DJ223" s="37"/>
      <c r="DK223" s="37"/>
      <c r="DL223" s="37" t="s">
        <v>1124</v>
      </c>
      <c r="DM223" s="37"/>
      <c r="DN223" s="37"/>
      <c r="DO223" s="37"/>
      <c r="DP223" s="37"/>
      <c r="DQ223" s="37"/>
      <c r="DR223" s="37"/>
      <c r="DS223" s="37"/>
      <c r="DT223" s="37"/>
      <c r="DU223" s="37"/>
      <c r="DV223" s="37"/>
      <c r="DW223" s="37"/>
      <c r="DX223" s="37" t="s">
        <v>1124</v>
      </c>
      <c r="DY223" s="37"/>
      <c r="DZ223" s="37"/>
      <c r="EA223" s="37"/>
      <c r="EB223" s="37"/>
      <c r="EC223" s="37"/>
      <c r="ED223" s="37"/>
      <c r="EE223" s="37"/>
      <c r="EF223" s="37"/>
      <c r="EG223" s="37"/>
      <c r="EH223" s="37"/>
      <c r="EI223" s="37"/>
      <c r="EJ223" s="37" t="s">
        <v>1124</v>
      </c>
      <c r="EK223" s="161"/>
      <c r="EL223" s="294"/>
    </row>
    <row r="224" spans="1:142" ht="15" customHeight="1" x14ac:dyDescent="0.35">
      <c r="A224" s="34"/>
      <c r="B224" s="313">
        <v>68010</v>
      </c>
      <c r="C224" s="8" t="s">
        <v>674</v>
      </c>
      <c r="D224" s="18">
        <v>16</v>
      </c>
      <c r="E224" s="155">
        <v>85578</v>
      </c>
      <c r="F224" s="36">
        <v>106886</v>
      </c>
      <c r="G224" s="37">
        <v>22925</v>
      </c>
      <c r="H224" s="37">
        <v>22925</v>
      </c>
      <c r="I224" s="37">
        <v>25000</v>
      </c>
      <c r="J224" s="37">
        <v>25000</v>
      </c>
      <c r="K224" s="37">
        <v>12836.7</v>
      </c>
      <c r="L224" s="37">
        <v>16032.9</v>
      </c>
      <c r="M224" s="37">
        <v>146339.70000000001</v>
      </c>
      <c r="N224" s="37">
        <v>170843.9</v>
      </c>
      <c r="O224" s="37">
        <v>0</v>
      </c>
      <c r="P224" s="37">
        <v>0</v>
      </c>
      <c r="Q224" s="37">
        <v>78616</v>
      </c>
      <c r="R224" s="37">
        <v>98438</v>
      </c>
      <c r="S224" s="37">
        <v>0</v>
      </c>
      <c r="T224" s="37">
        <v>0</v>
      </c>
      <c r="U224" s="37">
        <v>19902.5</v>
      </c>
      <c r="V224" s="37">
        <v>19903</v>
      </c>
      <c r="W224" s="37">
        <v>0</v>
      </c>
      <c r="X224" s="37">
        <v>0</v>
      </c>
      <c r="Y224" s="37">
        <v>121002</v>
      </c>
      <c r="Z224" s="37">
        <v>61890</v>
      </c>
      <c r="AA224" s="37">
        <v>219520.5</v>
      </c>
      <c r="AB224" s="37">
        <v>180231</v>
      </c>
      <c r="AC224" s="37">
        <v>82568</v>
      </c>
      <c r="AD224" s="37">
        <v>0</v>
      </c>
      <c r="AE224" s="37">
        <v>0</v>
      </c>
      <c r="AF224" s="168">
        <v>0.02</v>
      </c>
      <c r="AG224" s="37">
        <v>22945112.75</v>
      </c>
      <c r="AH224" s="37">
        <v>188217.15</v>
      </c>
      <c r="AI224" s="37">
        <v>191981.49</v>
      </c>
      <c r="AJ224" s="37">
        <v>195821.12</v>
      </c>
      <c r="AK224" s="37">
        <v>199737.55</v>
      </c>
      <c r="AL224" s="37">
        <v>203732.3</v>
      </c>
      <c r="AM224" s="37">
        <v>207806.94</v>
      </c>
      <c r="AN224" s="37">
        <v>211963.08</v>
      </c>
      <c r="AO224" s="37">
        <v>216202.34</v>
      </c>
      <c r="AP224" s="37">
        <v>220526.39</v>
      </c>
      <c r="AQ224" s="37">
        <v>224936.94</v>
      </c>
      <c r="AR224" s="37">
        <v>2060925.3</v>
      </c>
      <c r="AS224" s="37">
        <v>1355121</v>
      </c>
      <c r="AT224" s="37">
        <v>0</v>
      </c>
      <c r="AU224" s="37">
        <v>0</v>
      </c>
      <c r="AV224" s="37">
        <v>0</v>
      </c>
      <c r="AW224" s="37">
        <v>0</v>
      </c>
      <c r="AX224" s="37">
        <v>0</v>
      </c>
      <c r="AY224" s="37">
        <v>0</v>
      </c>
      <c r="AZ224" s="37">
        <v>0</v>
      </c>
      <c r="BA224" s="37">
        <v>0</v>
      </c>
      <c r="BB224" s="37">
        <v>0</v>
      </c>
      <c r="BC224" s="37">
        <v>0</v>
      </c>
      <c r="BD224" s="37">
        <v>0</v>
      </c>
      <c r="BE224" s="37">
        <v>24062</v>
      </c>
      <c r="BF224" s="37">
        <v>0</v>
      </c>
      <c r="BG224" s="37">
        <v>1210599.24</v>
      </c>
      <c r="BH224" s="37">
        <v>0</v>
      </c>
      <c r="BI224" s="37">
        <v>0</v>
      </c>
      <c r="BJ224" s="37">
        <v>0</v>
      </c>
      <c r="BK224" s="37">
        <v>0</v>
      </c>
      <c r="BL224" s="37">
        <v>0</v>
      </c>
      <c r="BM224" s="37">
        <v>0</v>
      </c>
      <c r="BN224" s="37">
        <v>0</v>
      </c>
      <c r="BO224" s="37">
        <v>0</v>
      </c>
      <c r="BP224" s="37">
        <v>1210599.24</v>
      </c>
      <c r="BQ224" s="37">
        <v>0</v>
      </c>
      <c r="BR224" s="37">
        <v>0</v>
      </c>
      <c r="BS224" s="37">
        <v>1389226.23</v>
      </c>
      <c r="BT224" s="37">
        <v>0</v>
      </c>
      <c r="BU224" s="37">
        <v>0</v>
      </c>
      <c r="BV224" s="37">
        <v>0</v>
      </c>
      <c r="BW224" s="37">
        <v>0</v>
      </c>
      <c r="BX224" s="37">
        <v>0</v>
      </c>
      <c r="BY224" s="37">
        <v>0</v>
      </c>
      <c r="BZ224" s="37">
        <v>0</v>
      </c>
      <c r="CA224" s="37">
        <v>0</v>
      </c>
      <c r="CB224" s="37">
        <v>1389226.23</v>
      </c>
      <c r="CC224" s="37">
        <v>0</v>
      </c>
      <c r="CD224" s="37">
        <v>0</v>
      </c>
      <c r="CE224" s="37">
        <v>0</v>
      </c>
      <c r="CF224" s="37">
        <v>0</v>
      </c>
      <c r="CG224" s="37">
        <v>0</v>
      </c>
      <c r="CH224" s="37">
        <v>0</v>
      </c>
      <c r="CI224" s="37">
        <v>0</v>
      </c>
      <c r="CJ224" s="37">
        <v>0</v>
      </c>
      <c r="CK224" s="37">
        <v>0</v>
      </c>
      <c r="CL224" s="37">
        <v>0</v>
      </c>
      <c r="CM224" s="37">
        <v>0</v>
      </c>
      <c r="CN224" s="37">
        <v>0</v>
      </c>
      <c r="CO224" s="37">
        <v>0</v>
      </c>
      <c r="CP224" s="37">
        <v>0</v>
      </c>
      <c r="CQ224" s="37">
        <v>0</v>
      </c>
      <c r="CR224" s="37">
        <v>0</v>
      </c>
      <c r="CS224" s="37">
        <v>0</v>
      </c>
      <c r="CT224" s="37">
        <v>0</v>
      </c>
      <c r="CU224" s="37">
        <v>0</v>
      </c>
      <c r="CV224" s="37">
        <v>0</v>
      </c>
      <c r="CW224" s="37">
        <v>0</v>
      </c>
      <c r="CX224" s="37">
        <v>0</v>
      </c>
      <c r="CY224" s="37">
        <v>0</v>
      </c>
      <c r="CZ224" s="37">
        <v>0</v>
      </c>
      <c r="DA224" s="37">
        <v>0</v>
      </c>
      <c r="DB224" s="37">
        <v>0</v>
      </c>
      <c r="DC224" s="37">
        <v>0</v>
      </c>
      <c r="DD224" s="37">
        <v>0</v>
      </c>
      <c r="DE224" s="37">
        <v>0</v>
      </c>
      <c r="DF224" s="37">
        <v>0</v>
      </c>
      <c r="DG224" s="37">
        <v>0</v>
      </c>
      <c r="DH224" s="37">
        <v>0</v>
      </c>
      <c r="DI224" s="37">
        <v>0</v>
      </c>
      <c r="DJ224" s="37">
        <v>0</v>
      </c>
      <c r="DK224" s="37">
        <v>0</v>
      </c>
      <c r="DL224" s="37">
        <v>0</v>
      </c>
      <c r="DM224" s="37">
        <v>0</v>
      </c>
      <c r="DN224" s="37">
        <v>0</v>
      </c>
      <c r="DO224" s="37">
        <v>0</v>
      </c>
      <c r="DP224" s="37">
        <v>0</v>
      </c>
      <c r="DQ224" s="37">
        <v>0</v>
      </c>
      <c r="DR224" s="37">
        <v>0</v>
      </c>
      <c r="DS224" s="37">
        <v>0</v>
      </c>
      <c r="DT224" s="37">
        <v>0</v>
      </c>
      <c r="DU224" s="37">
        <v>0</v>
      </c>
      <c r="DV224" s="37">
        <v>0</v>
      </c>
      <c r="DW224" s="37">
        <v>0</v>
      </c>
      <c r="DX224" s="37">
        <v>0</v>
      </c>
      <c r="DY224" s="37">
        <v>0</v>
      </c>
      <c r="DZ224" s="37">
        <v>0</v>
      </c>
      <c r="EA224" s="37">
        <v>0</v>
      </c>
      <c r="EB224" s="37">
        <v>0</v>
      </c>
      <c r="EC224" s="37">
        <v>0</v>
      </c>
      <c r="ED224" s="37">
        <v>0</v>
      </c>
      <c r="EE224" s="37">
        <v>0</v>
      </c>
      <c r="EF224" s="37">
        <v>0</v>
      </c>
      <c r="EG224" s="37">
        <v>0</v>
      </c>
      <c r="EH224" s="37">
        <v>0</v>
      </c>
      <c r="EI224" s="37">
        <v>0</v>
      </c>
      <c r="EJ224" s="37">
        <v>0</v>
      </c>
      <c r="EK224" s="161" t="s">
        <v>1849</v>
      </c>
      <c r="EL224" s="294" t="s">
        <v>1124</v>
      </c>
    </row>
    <row r="225" spans="1:142" ht="15" customHeight="1" x14ac:dyDescent="0.35">
      <c r="A225" s="34"/>
      <c r="B225" s="313">
        <v>56042</v>
      </c>
      <c r="C225" s="8" t="s">
        <v>573</v>
      </c>
      <c r="D225" s="18">
        <v>16</v>
      </c>
      <c r="E225" s="155"/>
      <c r="F225" s="36"/>
      <c r="G225" s="37"/>
      <c r="H225" s="37"/>
      <c r="I225" s="37"/>
      <c r="J225" s="37"/>
      <c r="K225" s="37"/>
      <c r="L225" s="37"/>
      <c r="M225" s="37" t="s">
        <v>1124</v>
      </c>
      <c r="N225" s="37" t="s">
        <v>1124</v>
      </c>
      <c r="O225" s="37"/>
      <c r="P225" s="37"/>
      <c r="Q225" s="37"/>
      <c r="R225" s="37"/>
      <c r="S225" s="37"/>
      <c r="T225" s="37"/>
      <c r="U225" s="37"/>
      <c r="V225" s="37"/>
      <c r="W225" s="37"/>
      <c r="X225" s="37"/>
      <c r="Y225" s="37"/>
      <c r="Z225" s="37"/>
      <c r="AA225" s="37" t="s">
        <v>1124</v>
      </c>
      <c r="AB225" s="37" t="s">
        <v>1124</v>
      </c>
      <c r="AC225" s="37"/>
      <c r="AD225" s="37"/>
      <c r="AE225" s="37"/>
      <c r="AF225" s="168"/>
      <c r="AG225" s="37"/>
      <c r="AH225" s="37"/>
      <c r="AI225" s="37"/>
      <c r="AJ225" s="37"/>
      <c r="AK225" s="37"/>
      <c r="AL225" s="37"/>
      <c r="AM225" s="37"/>
      <c r="AN225" s="37"/>
      <c r="AO225" s="37"/>
      <c r="AP225" s="37"/>
      <c r="AQ225" s="37"/>
      <c r="AR225" s="37" t="s">
        <v>1124</v>
      </c>
      <c r="AS225" s="37"/>
      <c r="AT225" s="37"/>
      <c r="AU225" s="37"/>
      <c r="AV225" s="37"/>
      <c r="AW225" s="37"/>
      <c r="AX225" s="37"/>
      <c r="AY225" s="37"/>
      <c r="AZ225" s="37"/>
      <c r="BA225" s="37"/>
      <c r="BB225" s="37"/>
      <c r="BC225" s="37"/>
      <c r="BD225" s="37" t="s">
        <v>1124</v>
      </c>
      <c r="BE225" s="37"/>
      <c r="BF225" s="37"/>
      <c r="BG225" s="37"/>
      <c r="BH225" s="37"/>
      <c r="BI225" s="37"/>
      <c r="BJ225" s="37"/>
      <c r="BK225" s="37"/>
      <c r="BL225" s="37"/>
      <c r="BM225" s="37"/>
      <c r="BN225" s="37"/>
      <c r="BO225" s="37"/>
      <c r="BP225" s="37">
        <v>0</v>
      </c>
      <c r="BQ225" s="37"/>
      <c r="BR225" s="37"/>
      <c r="BS225" s="37"/>
      <c r="BT225" s="37"/>
      <c r="BU225" s="37"/>
      <c r="BV225" s="37"/>
      <c r="BW225" s="37"/>
      <c r="BX225" s="37"/>
      <c r="BY225" s="37"/>
      <c r="BZ225" s="37"/>
      <c r="CA225" s="37"/>
      <c r="CB225" s="37" t="s">
        <v>1124</v>
      </c>
      <c r="CC225" s="37"/>
      <c r="CD225" s="37"/>
      <c r="CE225" s="37"/>
      <c r="CF225" s="37"/>
      <c r="CG225" s="37"/>
      <c r="CH225" s="37"/>
      <c r="CI225" s="37"/>
      <c r="CJ225" s="37"/>
      <c r="CK225" s="37"/>
      <c r="CL225" s="37"/>
      <c r="CM225" s="37"/>
      <c r="CN225" s="37" t="s">
        <v>1124</v>
      </c>
      <c r="CO225" s="37"/>
      <c r="CP225" s="37"/>
      <c r="CQ225" s="37"/>
      <c r="CR225" s="37"/>
      <c r="CS225" s="37"/>
      <c r="CT225" s="37"/>
      <c r="CU225" s="37"/>
      <c r="CV225" s="37"/>
      <c r="CW225" s="37"/>
      <c r="CX225" s="37"/>
      <c r="CY225" s="37"/>
      <c r="CZ225" s="37" t="s">
        <v>1124</v>
      </c>
      <c r="DA225" s="37"/>
      <c r="DB225" s="37"/>
      <c r="DC225" s="37"/>
      <c r="DD225" s="37"/>
      <c r="DE225" s="37"/>
      <c r="DF225" s="37"/>
      <c r="DG225" s="37"/>
      <c r="DH225" s="37"/>
      <c r="DI225" s="37"/>
      <c r="DJ225" s="37"/>
      <c r="DK225" s="37"/>
      <c r="DL225" s="37" t="s">
        <v>1124</v>
      </c>
      <c r="DM225" s="37"/>
      <c r="DN225" s="37"/>
      <c r="DO225" s="37"/>
      <c r="DP225" s="37"/>
      <c r="DQ225" s="37"/>
      <c r="DR225" s="37"/>
      <c r="DS225" s="37"/>
      <c r="DT225" s="37"/>
      <c r="DU225" s="37"/>
      <c r="DV225" s="37"/>
      <c r="DW225" s="37"/>
      <c r="DX225" s="37" t="s">
        <v>1124</v>
      </c>
      <c r="DY225" s="37"/>
      <c r="DZ225" s="37"/>
      <c r="EA225" s="37"/>
      <c r="EB225" s="37"/>
      <c r="EC225" s="37"/>
      <c r="ED225" s="37"/>
      <c r="EE225" s="37"/>
      <c r="EF225" s="37"/>
      <c r="EG225" s="37"/>
      <c r="EH225" s="37"/>
      <c r="EI225" s="37"/>
      <c r="EJ225" s="37" t="s">
        <v>1124</v>
      </c>
      <c r="EK225" s="161"/>
      <c r="EL225" s="294"/>
    </row>
    <row r="226" spans="1:142" ht="15" customHeight="1" x14ac:dyDescent="0.35">
      <c r="A226" s="34"/>
      <c r="B226" s="313">
        <v>35035</v>
      </c>
      <c r="C226" s="8" t="s">
        <v>308</v>
      </c>
      <c r="D226" s="18">
        <v>4</v>
      </c>
      <c r="E226" s="155"/>
      <c r="F226" s="36"/>
      <c r="G226" s="37"/>
      <c r="H226" s="37"/>
      <c r="I226" s="37"/>
      <c r="J226" s="37"/>
      <c r="K226" s="37"/>
      <c r="L226" s="37"/>
      <c r="M226" s="37" t="s">
        <v>1124</v>
      </c>
      <c r="N226" s="37" t="s">
        <v>1124</v>
      </c>
      <c r="O226" s="37"/>
      <c r="P226" s="37"/>
      <c r="Q226" s="37"/>
      <c r="R226" s="37"/>
      <c r="S226" s="37"/>
      <c r="T226" s="37"/>
      <c r="U226" s="37"/>
      <c r="V226" s="37"/>
      <c r="W226" s="37"/>
      <c r="X226" s="37"/>
      <c r="Y226" s="37"/>
      <c r="Z226" s="37"/>
      <c r="AA226" s="37" t="s">
        <v>1124</v>
      </c>
      <c r="AB226" s="37" t="s">
        <v>1124</v>
      </c>
      <c r="AC226" s="37"/>
      <c r="AD226" s="37"/>
      <c r="AE226" s="37"/>
      <c r="AF226" s="168"/>
      <c r="AG226" s="37"/>
      <c r="AH226" s="37"/>
      <c r="AI226" s="37"/>
      <c r="AJ226" s="37"/>
      <c r="AK226" s="37"/>
      <c r="AL226" s="37"/>
      <c r="AM226" s="37"/>
      <c r="AN226" s="37"/>
      <c r="AO226" s="37"/>
      <c r="AP226" s="37"/>
      <c r="AQ226" s="37"/>
      <c r="AR226" s="37" t="s">
        <v>1124</v>
      </c>
      <c r="AS226" s="37"/>
      <c r="AT226" s="37"/>
      <c r="AU226" s="37"/>
      <c r="AV226" s="37"/>
      <c r="AW226" s="37"/>
      <c r="AX226" s="37"/>
      <c r="AY226" s="37"/>
      <c r="AZ226" s="37"/>
      <c r="BA226" s="37"/>
      <c r="BB226" s="37"/>
      <c r="BC226" s="37"/>
      <c r="BD226" s="37" t="s">
        <v>1124</v>
      </c>
      <c r="BE226" s="37"/>
      <c r="BF226" s="37"/>
      <c r="BG226" s="37"/>
      <c r="BH226" s="37"/>
      <c r="BI226" s="37"/>
      <c r="BJ226" s="37"/>
      <c r="BK226" s="37"/>
      <c r="BL226" s="37"/>
      <c r="BM226" s="37"/>
      <c r="BN226" s="37"/>
      <c r="BO226" s="37"/>
      <c r="BP226" s="37">
        <v>0</v>
      </c>
      <c r="BQ226" s="37"/>
      <c r="BR226" s="37"/>
      <c r="BS226" s="37"/>
      <c r="BT226" s="37"/>
      <c r="BU226" s="37"/>
      <c r="BV226" s="37"/>
      <c r="BW226" s="37"/>
      <c r="BX226" s="37"/>
      <c r="BY226" s="37"/>
      <c r="BZ226" s="37"/>
      <c r="CA226" s="37"/>
      <c r="CB226" s="37" t="s">
        <v>1124</v>
      </c>
      <c r="CC226" s="37"/>
      <c r="CD226" s="37"/>
      <c r="CE226" s="37"/>
      <c r="CF226" s="37"/>
      <c r="CG226" s="37"/>
      <c r="CH226" s="37"/>
      <c r="CI226" s="37"/>
      <c r="CJ226" s="37"/>
      <c r="CK226" s="37"/>
      <c r="CL226" s="37"/>
      <c r="CM226" s="37"/>
      <c r="CN226" s="37" t="s">
        <v>1124</v>
      </c>
      <c r="CO226" s="37"/>
      <c r="CP226" s="37"/>
      <c r="CQ226" s="37"/>
      <c r="CR226" s="37"/>
      <c r="CS226" s="37"/>
      <c r="CT226" s="37"/>
      <c r="CU226" s="37"/>
      <c r="CV226" s="37"/>
      <c r="CW226" s="37"/>
      <c r="CX226" s="37"/>
      <c r="CY226" s="37"/>
      <c r="CZ226" s="37" t="s">
        <v>1124</v>
      </c>
      <c r="DA226" s="37"/>
      <c r="DB226" s="37"/>
      <c r="DC226" s="37"/>
      <c r="DD226" s="37"/>
      <c r="DE226" s="37"/>
      <c r="DF226" s="37"/>
      <c r="DG226" s="37"/>
      <c r="DH226" s="37"/>
      <c r="DI226" s="37"/>
      <c r="DJ226" s="37"/>
      <c r="DK226" s="37"/>
      <c r="DL226" s="37" t="s">
        <v>1124</v>
      </c>
      <c r="DM226" s="37"/>
      <c r="DN226" s="37"/>
      <c r="DO226" s="37"/>
      <c r="DP226" s="37"/>
      <c r="DQ226" s="37"/>
      <c r="DR226" s="37"/>
      <c r="DS226" s="37"/>
      <c r="DT226" s="37"/>
      <c r="DU226" s="37"/>
      <c r="DV226" s="37"/>
      <c r="DW226" s="37"/>
      <c r="DX226" s="37" t="s">
        <v>1124</v>
      </c>
      <c r="DY226" s="37"/>
      <c r="DZ226" s="37"/>
      <c r="EA226" s="37"/>
      <c r="EB226" s="37"/>
      <c r="EC226" s="37"/>
      <c r="ED226" s="37"/>
      <c r="EE226" s="37"/>
      <c r="EF226" s="37"/>
      <c r="EG226" s="37"/>
      <c r="EH226" s="37"/>
      <c r="EI226" s="37"/>
      <c r="EJ226" s="37" t="s">
        <v>1124</v>
      </c>
      <c r="EK226" s="161"/>
      <c r="EL226" s="294"/>
    </row>
    <row r="227" spans="1:142" ht="15" customHeight="1" x14ac:dyDescent="0.35">
      <c r="A227" s="34"/>
      <c r="B227" s="313">
        <v>69045</v>
      </c>
      <c r="C227" s="8" t="s">
        <v>690</v>
      </c>
      <c r="D227" s="18">
        <v>16</v>
      </c>
      <c r="E227" s="155"/>
      <c r="F227" s="36"/>
      <c r="G227" s="37"/>
      <c r="H227" s="37"/>
      <c r="I227" s="37"/>
      <c r="J227" s="37"/>
      <c r="K227" s="37"/>
      <c r="L227" s="37"/>
      <c r="M227" s="37" t="s">
        <v>1124</v>
      </c>
      <c r="N227" s="37" t="s">
        <v>1124</v>
      </c>
      <c r="O227" s="37"/>
      <c r="P227" s="37"/>
      <c r="Q227" s="37"/>
      <c r="R227" s="37"/>
      <c r="S227" s="37"/>
      <c r="T227" s="37"/>
      <c r="U227" s="37"/>
      <c r="V227" s="37"/>
      <c r="W227" s="37"/>
      <c r="X227" s="37"/>
      <c r="Y227" s="37"/>
      <c r="Z227" s="37"/>
      <c r="AA227" s="37" t="s">
        <v>1124</v>
      </c>
      <c r="AB227" s="37" t="s">
        <v>1124</v>
      </c>
      <c r="AC227" s="37"/>
      <c r="AD227" s="37"/>
      <c r="AE227" s="37"/>
      <c r="AF227" s="168"/>
      <c r="AG227" s="37"/>
      <c r="AH227" s="37"/>
      <c r="AI227" s="37"/>
      <c r="AJ227" s="37"/>
      <c r="AK227" s="37"/>
      <c r="AL227" s="37"/>
      <c r="AM227" s="37"/>
      <c r="AN227" s="37"/>
      <c r="AO227" s="37"/>
      <c r="AP227" s="37"/>
      <c r="AQ227" s="37"/>
      <c r="AR227" s="37" t="s">
        <v>1124</v>
      </c>
      <c r="AS227" s="37"/>
      <c r="AT227" s="37"/>
      <c r="AU227" s="37"/>
      <c r="AV227" s="37"/>
      <c r="AW227" s="37"/>
      <c r="AX227" s="37"/>
      <c r="AY227" s="37"/>
      <c r="AZ227" s="37"/>
      <c r="BA227" s="37"/>
      <c r="BB227" s="37"/>
      <c r="BC227" s="37"/>
      <c r="BD227" s="37" t="s">
        <v>1124</v>
      </c>
      <c r="BE227" s="37"/>
      <c r="BF227" s="37"/>
      <c r="BG227" s="37"/>
      <c r="BH227" s="37"/>
      <c r="BI227" s="37"/>
      <c r="BJ227" s="37"/>
      <c r="BK227" s="37"/>
      <c r="BL227" s="37"/>
      <c r="BM227" s="37"/>
      <c r="BN227" s="37"/>
      <c r="BO227" s="37"/>
      <c r="BP227" s="37">
        <v>0</v>
      </c>
      <c r="BQ227" s="37"/>
      <c r="BR227" s="37"/>
      <c r="BS227" s="37"/>
      <c r="BT227" s="37"/>
      <c r="BU227" s="37"/>
      <c r="BV227" s="37"/>
      <c r="BW227" s="37"/>
      <c r="BX227" s="37"/>
      <c r="BY227" s="37"/>
      <c r="BZ227" s="37"/>
      <c r="CA227" s="37"/>
      <c r="CB227" s="37" t="s">
        <v>1124</v>
      </c>
      <c r="CC227" s="37"/>
      <c r="CD227" s="37"/>
      <c r="CE227" s="37"/>
      <c r="CF227" s="37"/>
      <c r="CG227" s="37"/>
      <c r="CH227" s="37"/>
      <c r="CI227" s="37"/>
      <c r="CJ227" s="37"/>
      <c r="CK227" s="37"/>
      <c r="CL227" s="37"/>
      <c r="CM227" s="37"/>
      <c r="CN227" s="37" t="s">
        <v>1124</v>
      </c>
      <c r="CO227" s="37"/>
      <c r="CP227" s="37"/>
      <c r="CQ227" s="37"/>
      <c r="CR227" s="37"/>
      <c r="CS227" s="37"/>
      <c r="CT227" s="37"/>
      <c r="CU227" s="37"/>
      <c r="CV227" s="37"/>
      <c r="CW227" s="37"/>
      <c r="CX227" s="37"/>
      <c r="CY227" s="37"/>
      <c r="CZ227" s="37" t="s">
        <v>1124</v>
      </c>
      <c r="DA227" s="37"/>
      <c r="DB227" s="37"/>
      <c r="DC227" s="37"/>
      <c r="DD227" s="37"/>
      <c r="DE227" s="37"/>
      <c r="DF227" s="37"/>
      <c r="DG227" s="37"/>
      <c r="DH227" s="37"/>
      <c r="DI227" s="37"/>
      <c r="DJ227" s="37"/>
      <c r="DK227" s="37"/>
      <c r="DL227" s="37" t="s">
        <v>1124</v>
      </c>
      <c r="DM227" s="37"/>
      <c r="DN227" s="37"/>
      <c r="DO227" s="37"/>
      <c r="DP227" s="37"/>
      <c r="DQ227" s="37"/>
      <c r="DR227" s="37"/>
      <c r="DS227" s="37"/>
      <c r="DT227" s="37"/>
      <c r="DU227" s="37"/>
      <c r="DV227" s="37"/>
      <c r="DW227" s="37"/>
      <c r="DX227" s="37" t="s">
        <v>1124</v>
      </c>
      <c r="DY227" s="37"/>
      <c r="DZ227" s="37"/>
      <c r="EA227" s="37"/>
      <c r="EB227" s="37"/>
      <c r="EC227" s="37"/>
      <c r="ED227" s="37"/>
      <c r="EE227" s="37"/>
      <c r="EF227" s="37"/>
      <c r="EG227" s="37"/>
      <c r="EH227" s="37"/>
      <c r="EI227" s="37"/>
      <c r="EJ227" s="37" t="s">
        <v>1124</v>
      </c>
      <c r="EK227" s="161"/>
      <c r="EL227" s="294"/>
    </row>
    <row r="228" spans="1:142" ht="15" customHeight="1" x14ac:dyDescent="0.35">
      <c r="A228" s="34"/>
      <c r="B228" s="313">
        <v>19070</v>
      </c>
      <c r="C228" s="8" t="s">
        <v>130</v>
      </c>
      <c r="D228" s="18">
        <v>12</v>
      </c>
      <c r="E228" s="155">
        <v>62449</v>
      </c>
      <c r="F228" s="36">
        <v>28233</v>
      </c>
      <c r="G228" s="37">
        <v>7975</v>
      </c>
      <c r="H228" s="37">
        <v>9436</v>
      </c>
      <c r="I228" s="37">
        <v>11431</v>
      </c>
      <c r="J228" s="37">
        <v>38269</v>
      </c>
      <c r="K228" s="37">
        <v>83031</v>
      </c>
      <c r="L228" s="37">
        <v>74069</v>
      </c>
      <c r="M228" s="37">
        <v>164886</v>
      </c>
      <c r="N228" s="37">
        <v>150007</v>
      </c>
      <c r="O228" s="37">
        <v>0</v>
      </c>
      <c r="P228" s="37">
        <v>0</v>
      </c>
      <c r="Q228" s="37">
        <v>69469</v>
      </c>
      <c r="R228" s="37">
        <v>42150</v>
      </c>
      <c r="S228" s="37">
        <v>0</v>
      </c>
      <c r="T228" s="37">
        <v>0</v>
      </c>
      <c r="U228" s="37">
        <v>0</v>
      </c>
      <c r="V228" s="37">
        <v>0</v>
      </c>
      <c r="W228" s="37">
        <v>95417</v>
      </c>
      <c r="X228" s="37">
        <v>107857</v>
      </c>
      <c r="Y228" s="37">
        <v>0</v>
      </c>
      <c r="Z228" s="37">
        <v>0</v>
      </c>
      <c r="AA228" s="37">
        <v>164886</v>
      </c>
      <c r="AB228" s="37">
        <v>150007</v>
      </c>
      <c r="AC228" s="37">
        <v>0</v>
      </c>
      <c r="AD228" s="37">
        <v>0</v>
      </c>
      <c r="AE228" s="37">
        <v>0</v>
      </c>
      <c r="AF228" s="168">
        <v>0.02</v>
      </c>
      <c r="AG228" s="37">
        <v>14950886.59</v>
      </c>
      <c r="AH228" s="37">
        <v>116595.61</v>
      </c>
      <c r="AI228" s="37">
        <v>108988.17</v>
      </c>
      <c r="AJ228" s="37">
        <v>111167.93</v>
      </c>
      <c r="AK228" s="37">
        <v>113391.29</v>
      </c>
      <c r="AL228" s="37">
        <v>115659.12</v>
      </c>
      <c r="AM228" s="37">
        <v>117972.3</v>
      </c>
      <c r="AN228" s="37">
        <v>120331.75</v>
      </c>
      <c r="AO228" s="37">
        <v>122738.38</v>
      </c>
      <c r="AP228" s="37">
        <v>125193.15</v>
      </c>
      <c r="AQ228" s="37">
        <v>127697.01</v>
      </c>
      <c r="AR228" s="37">
        <v>1179734.71</v>
      </c>
      <c r="AS228" s="37">
        <v>125535.7</v>
      </c>
      <c r="AT228" s="37">
        <v>0</v>
      </c>
      <c r="AU228" s="37">
        <v>0</v>
      </c>
      <c r="AV228" s="37">
        <v>0</v>
      </c>
      <c r="AW228" s="37">
        <v>0</v>
      </c>
      <c r="AX228" s="37">
        <v>0</v>
      </c>
      <c r="AY228" s="37">
        <v>0</v>
      </c>
      <c r="AZ228" s="37">
        <v>0</v>
      </c>
      <c r="BA228" s="37">
        <v>0</v>
      </c>
      <c r="BB228" s="37">
        <v>0</v>
      </c>
      <c r="BC228" s="37">
        <v>0</v>
      </c>
      <c r="BD228" s="37">
        <v>0</v>
      </c>
      <c r="BE228" s="37">
        <v>0</v>
      </c>
      <c r="BF228" s="37">
        <v>0</v>
      </c>
      <c r="BG228" s="37">
        <v>0</v>
      </c>
      <c r="BH228" s="37">
        <v>0</v>
      </c>
      <c r="BI228" s="37">
        <v>0</v>
      </c>
      <c r="BJ228" s="37">
        <v>0</v>
      </c>
      <c r="BK228" s="37">
        <v>0</v>
      </c>
      <c r="BL228" s="37">
        <v>0</v>
      </c>
      <c r="BM228" s="37">
        <v>0</v>
      </c>
      <c r="BN228" s="37">
        <v>0</v>
      </c>
      <c r="BO228" s="37">
        <v>0</v>
      </c>
      <c r="BP228" s="37">
        <v>0</v>
      </c>
      <c r="BQ228" s="37">
        <v>0</v>
      </c>
      <c r="BR228" s="37">
        <v>0</v>
      </c>
      <c r="BS228" s="37">
        <v>0</v>
      </c>
      <c r="BT228" s="37">
        <v>0</v>
      </c>
      <c r="BU228" s="37">
        <v>0</v>
      </c>
      <c r="BV228" s="37">
        <v>0</v>
      </c>
      <c r="BW228" s="37">
        <v>0</v>
      </c>
      <c r="BX228" s="37">
        <v>0</v>
      </c>
      <c r="BY228" s="37">
        <v>0</v>
      </c>
      <c r="BZ228" s="37">
        <v>0</v>
      </c>
      <c r="CA228" s="37">
        <v>0</v>
      </c>
      <c r="CB228" s="37">
        <v>0</v>
      </c>
      <c r="CC228" s="37">
        <v>0</v>
      </c>
      <c r="CD228" s="37">
        <v>0</v>
      </c>
      <c r="CE228" s="37">
        <v>0</v>
      </c>
      <c r="CF228" s="37">
        <v>0</v>
      </c>
      <c r="CG228" s="37">
        <v>0</v>
      </c>
      <c r="CH228" s="37">
        <v>0</v>
      </c>
      <c r="CI228" s="37">
        <v>0</v>
      </c>
      <c r="CJ228" s="37">
        <v>0</v>
      </c>
      <c r="CK228" s="37">
        <v>0</v>
      </c>
      <c r="CL228" s="37">
        <v>0</v>
      </c>
      <c r="CM228" s="37">
        <v>0</v>
      </c>
      <c r="CN228" s="37">
        <v>0</v>
      </c>
      <c r="CO228" s="37">
        <v>0</v>
      </c>
      <c r="CP228" s="37">
        <v>0</v>
      </c>
      <c r="CQ228" s="37">
        <v>0</v>
      </c>
      <c r="CR228" s="37">
        <v>0</v>
      </c>
      <c r="CS228" s="37">
        <v>0</v>
      </c>
      <c r="CT228" s="37">
        <v>0</v>
      </c>
      <c r="CU228" s="37">
        <v>0</v>
      </c>
      <c r="CV228" s="37">
        <v>0</v>
      </c>
      <c r="CW228" s="37">
        <v>0</v>
      </c>
      <c r="CX228" s="37">
        <v>0</v>
      </c>
      <c r="CY228" s="37">
        <v>0</v>
      </c>
      <c r="CZ228" s="37">
        <v>0</v>
      </c>
      <c r="DA228" s="37">
        <v>0</v>
      </c>
      <c r="DB228" s="37">
        <v>0</v>
      </c>
      <c r="DC228" s="37">
        <v>0</v>
      </c>
      <c r="DD228" s="37">
        <v>0</v>
      </c>
      <c r="DE228" s="37">
        <v>0</v>
      </c>
      <c r="DF228" s="37">
        <v>0</v>
      </c>
      <c r="DG228" s="37">
        <v>0</v>
      </c>
      <c r="DH228" s="37">
        <v>0</v>
      </c>
      <c r="DI228" s="37">
        <v>0</v>
      </c>
      <c r="DJ228" s="37">
        <v>0</v>
      </c>
      <c r="DK228" s="37">
        <v>0</v>
      </c>
      <c r="DL228" s="37">
        <v>0</v>
      </c>
      <c r="DM228" s="37">
        <v>124970</v>
      </c>
      <c r="DN228" s="37">
        <v>0</v>
      </c>
      <c r="DO228" s="37">
        <v>0</v>
      </c>
      <c r="DP228" s="37">
        <v>0</v>
      </c>
      <c r="DQ228" s="37">
        <v>0</v>
      </c>
      <c r="DR228" s="37">
        <v>0</v>
      </c>
      <c r="DS228" s="37">
        <v>0</v>
      </c>
      <c r="DT228" s="37">
        <v>0</v>
      </c>
      <c r="DU228" s="37">
        <v>0</v>
      </c>
      <c r="DV228" s="37">
        <v>0</v>
      </c>
      <c r="DW228" s="37">
        <v>0</v>
      </c>
      <c r="DX228" s="37">
        <v>0</v>
      </c>
      <c r="DY228" s="37">
        <v>0</v>
      </c>
      <c r="DZ228" s="37">
        <v>0</v>
      </c>
      <c r="EA228" s="37">
        <v>0</v>
      </c>
      <c r="EB228" s="37">
        <v>0</v>
      </c>
      <c r="EC228" s="37">
        <v>0</v>
      </c>
      <c r="ED228" s="37">
        <v>0</v>
      </c>
      <c r="EE228" s="37">
        <v>0</v>
      </c>
      <c r="EF228" s="37">
        <v>0</v>
      </c>
      <c r="EG228" s="37">
        <v>0</v>
      </c>
      <c r="EH228" s="37">
        <v>0</v>
      </c>
      <c r="EI228" s="37">
        <v>0</v>
      </c>
      <c r="EJ228" s="37">
        <v>0</v>
      </c>
      <c r="EK228" s="161" t="s">
        <v>1453</v>
      </c>
      <c r="EL228" s="294" t="s">
        <v>1124</v>
      </c>
    </row>
    <row r="229" spans="1:142" ht="15" customHeight="1" x14ac:dyDescent="0.35">
      <c r="A229" s="34"/>
      <c r="B229" s="313">
        <v>5025</v>
      </c>
      <c r="C229" s="8" t="s">
        <v>1047</v>
      </c>
      <c r="D229" s="18">
        <v>11</v>
      </c>
      <c r="E229" s="155"/>
      <c r="F229" s="36"/>
      <c r="G229" s="37"/>
      <c r="H229" s="37"/>
      <c r="I229" s="37"/>
      <c r="J229" s="37"/>
      <c r="K229" s="37"/>
      <c r="L229" s="37"/>
      <c r="M229" s="37" t="s">
        <v>1124</v>
      </c>
      <c r="N229" s="37" t="s">
        <v>1124</v>
      </c>
      <c r="O229" s="37"/>
      <c r="P229" s="37"/>
      <c r="Q229" s="37"/>
      <c r="R229" s="37"/>
      <c r="S229" s="37"/>
      <c r="T229" s="37"/>
      <c r="U229" s="37"/>
      <c r="V229" s="37"/>
      <c r="W229" s="37"/>
      <c r="X229" s="37"/>
      <c r="Y229" s="37"/>
      <c r="Z229" s="37"/>
      <c r="AA229" s="37" t="s">
        <v>1124</v>
      </c>
      <c r="AB229" s="37" t="s">
        <v>1124</v>
      </c>
      <c r="AC229" s="37"/>
      <c r="AD229" s="37"/>
      <c r="AE229" s="37"/>
      <c r="AF229" s="168"/>
      <c r="AG229" s="37"/>
      <c r="AH229" s="37"/>
      <c r="AI229" s="37"/>
      <c r="AJ229" s="37"/>
      <c r="AK229" s="37"/>
      <c r="AL229" s="37"/>
      <c r="AM229" s="37"/>
      <c r="AN229" s="37"/>
      <c r="AO229" s="37"/>
      <c r="AP229" s="37"/>
      <c r="AQ229" s="37"/>
      <c r="AR229" s="37" t="s">
        <v>1124</v>
      </c>
      <c r="AS229" s="37"/>
      <c r="AT229" s="37"/>
      <c r="AU229" s="37"/>
      <c r="AV229" s="37"/>
      <c r="AW229" s="37"/>
      <c r="AX229" s="37"/>
      <c r="AY229" s="37"/>
      <c r="AZ229" s="37"/>
      <c r="BA229" s="37"/>
      <c r="BB229" s="37"/>
      <c r="BC229" s="37"/>
      <c r="BD229" s="37" t="s">
        <v>1124</v>
      </c>
      <c r="BE229" s="37"/>
      <c r="BF229" s="37"/>
      <c r="BG229" s="37"/>
      <c r="BH229" s="37"/>
      <c r="BI229" s="37"/>
      <c r="BJ229" s="37"/>
      <c r="BK229" s="37"/>
      <c r="BL229" s="37"/>
      <c r="BM229" s="37"/>
      <c r="BN229" s="37"/>
      <c r="BO229" s="37"/>
      <c r="BP229" s="37">
        <v>0</v>
      </c>
      <c r="BQ229" s="37"/>
      <c r="BR229" s="37"/>
      <c r="BS229" s="37"/>
      <c r="BT229" s="37"/>
      <c r="BU229" s="37"/>
      <c r="BV229" s="37"/>
      <c r="BW229" s="37"/>
      <c r="BX229" s="37"/>
      <c r="BY229" s="37"/>
      <c r="BZ229" s="37"/>
      <c r="CA229" s="37"/>
      <c r="CB229" s="37" t="s">
        <v>1124</v>
      </c>
      <c r="CC229" s="37"/>
      <c r="CD229" s="37"/>
      <c r="CE229" s="37"/>
      <c r="CF229" s="37"/>
      <c r="CG229" s="37"/>
      <c r="CH229" s="37"/>
      <c r="CI229" s="37"/>
      <c r="CJ229" s="37"/>
      <c r="CK229" s="37"/>
      <c r="CL229" s="37"/>
      <c r="CM229" s="37"/>
      <c r="CN229" s="37" t="s">
        <v>1124</v>
      </c>
      <c r="CO229" s="37"/>
      <c r="CP229" s="37"/>
      <c r="CQ229" s="37"/>
      <c r="CR229" s="37"/>
      <c r="CS229" s="37"/>
      <c r="CT229" s="37"/>
      <c r="CU229" s="37"/>
      <c r="CV229" s="37"/>
      <c r="CW229" s="37"/>
      <c r="CX229" s="37"/>
      <c r="CY229" s="37"/>
      <c r="CZ229" s="37" t="s">
        <v>1124</v>
      </c>
      <c r="DA229" s="37"/>
      <c r="DB229" s="37"/>
      <c r="DC229" s="37"/>
      <c r="DD229" s="37"/>
      <c r="DE229" s="37"/>
      <c r="DF229" s="37"/>
      <c r="DG229" s="37"/>
      <c r="DH229" s="37"/>
      <c r="DI229" s="37"/>
      <c r="DJ229" s="37"/>
      <c r="DK229" s="37"/>
      <c r="DL229" s="37" t="s">
        <v>1124</v>
      </c>
      <c r="DM229" s="37"/>
      <c r="DN229" s="37"/>
      <c r="DO229" s="37"/>
      <c r="DP229" s="37"/>
      <c r="DQ229" s="37"/>
      <c r="DR229" s="37"/>
      <c r="DS229" s="37"/>
      <c r="DT229" s="37"/>
      <c r="DU229" s="37"/>
      <c r="DV229" s="37"/>
      <c r="DW229" s="37"/>
      <c r="DX229" s="37" t="s">
        <v>1124</v>
      </c>
      <c r="DY229" s="37"/>
      <c r="DZ229" s="37"/>
      <c r="EA229" s="37"/>
      <c r="EB229" s="37"/>
      <c r="EC229" s="37"/>
      <c r="ED229" s="37"/>
      <c r="EE229" s="37"/>
      <c r="EF229" s="37"/>
      <c r="EG229" s="37"/>
      <c r="EH229" s="37"/>
      <c r="EI229" s="37"/>
      <c r="EJ229" s="37" t="s">
        <v>1124</v>
      </c>
      <c r="EK229" s="161"/>
      <c r="EL229" s="294"/>
    </row>
    <row r="230" spans="1:142" ht="15" customHeight="1" x14ac:dyDescent="0.35">
      <c r="A230" s="34"/>
      <c r="B230" s="313">
        <v>5020</v>
      </c>
      <c r="C230" s="8" t="s">
        <v>1046</v>
      </c>
      <c r="D230" s="18">
        <v>11</v>
      </c>
      <c r="E230" s="155"/>
      <c r="F230" s="36"/>
      <c r="G230" s="37"/>
      <c r="H230" s="37"/>
      <c r="I230" s="37"/>
      <c r="J230" s="37"/>
      <c r="K230" s="37"/>
      <c r="L230" s="37"/>
      <c r="M230" s="37" t="s">
        <v>1124</v>
      </c>
      <c r="N230" s="37" t="s">
        <v>1124</v>
      </c>
      <c r="O230" s="37"/>
      <c r="P230" s="37"/>
      <c r="Q230" s="37"/>
      <c r="R230" s="37"/>
      <c r="S230" s="37"/>
      <c r="T230" s="37"/>
      <c r="U230" s="37"/>
      <c r="V230" s="37"/>
      <c r="W230" s="37"/>
      <c r="X230" s="37"/>
      <c r="Y230" s="37"/>
      <c r="Z230" s="37"/>
      <c r="AA230" s="37" t="s">
        <v>1124</v>
      </c>
      <c r="AB230" s="37" t="s">
        <v>1124</v>
      </c>
      <c r="AC230" s="37"/>
      <c r="AD230" s="37"/>
      <c r="AE230" s="37"/>
      <c r="AF230" s="168"/>
      <c r="AG230" s="37"/>
      <c r="AH230" s="37"/>
      <c r="AI230" s="37"/>
      <c r="AJ230" s="37"/>
      <c r="AK230" s="37"/>
      <c r="AL230" s="37"/>
      <c r="AM230" s="37"/>
      <c r="AN230" s="37"/>
      <c r="AO230" s="37"/>
      <c r="AP230" s="37"/>
      <c r="AQ230" s="37"/>
      <c r="AR230" s="37" t="s">
        <v>1124</v>
      </c>
      <c r="AS230" s="37"/>
      <c r="AT230" s="37"/>
      <c r="AU230" s="37"/>
      <c r="AV230" s="37"/>
      <c r="AW230" s="37"/>
      <c r="AX230" s="37"/>
      <c r="AY230" s="37"/>
      <c r="AZ230" s="37"/>
      <c r="BA230" s="37"/>
      <c r="BB230" s="37"/>
      <c r="BC230" s="37"/>
      <c r="BD230" s="37" t="s">
        <v>1124</v>
      </c>
      <c r="BE230" s="37"/>
      <c r="BF230" s="37"/>
      <c r="BG230" s="37"/>
      <c r="BH230" s="37"/>
      <c r="BI230" s="37"/>
      <c r="BJ230" s="37"/>
      <c r="BK230" s="37"/>
      <c r="BL230" s="37"/>
      <c r="BM230" s="37"/>
      <c r="BN230" s="37"/>
      <c r="BO230" s="37"/>
      <c r="BP230" s="37">
        <v>0</v>
      </c>
      <c r="BQ230" s="37"/>
      <c r="BR230" s="37"/>
      <c r="BS230" s="37"/>
      <c r="BT230" s="37"/>
      <c r="BU230" s="37"/>
      <c r="BV230" s="37"/>
      <c r="BW230" s="37"/>
      <c r="BX230" s="37"/>
      <c r="BY230" s="37"/>
      <c r="BZ230" s="37"/>
      <c r="CA230" s="37"/>
      <c r="CB230" s="37" t="s">
        <v>1124</v>
      </c>
      <c r="CC230" s="37"/>
      <c r="CD230" s="37"/>
      <c r="CE230" s="37"/>
      <c r="CF230" s="37"/>
      <c r="CG230" s="37"/>
      <c r="CH230" s="37"/>
      <c r="CI230" s="37"/>
      <c r="CJ230" s="37"/>
      <c r="CK230" s="37"/>
      <c r="CL230" s="37"/>
      <c r="CM230" s="37"/>
      <c r="CN230" s="37" t="s">
        <v>1124</v>
      </c>
      <c r="CO230" s="37"/>
      <c r="CP230" s="37"/>
      <c r="CQ230" s="37"/>
      <c r="CR230" s="37"/>
      <c r="CS230" s="37"/>
      <c r="CT230" s="37"/>
      <c r="CU230" s="37"/>
      <c r="CV230" s="37"/>
      <c r="CW230" s="37"/>
      <c r="CX230" s="37"/>
      <c r="CY230" s="37"/>
      <c r="CZ230" s="37" t="s">
        <v>1124</v>
      </c>
      <c r="DA230" s="37"/>
      <c r="DB230" s="37"/>
      <c r="DC230" s="37"/>
      <c r="DD230" s="37"/>
      <c r="DE230" s="37"/>
      <c r="DF230" s="37"/>
      <c r="DG230" s="37"/>
      <c r="DH230" s="37"/>
      <c r="DI230" s="37"/>
      <c r="DJ230" s="37"/>
      <c r="DK230" s="37"/>
      <c r="DL230" s="37" t="s">
        <v>1124</v>
      </c>
      <c r="DM230" s="37"/>
      <c r="DN230" s="37"/>
      <c r="DO230" s="37"/>
      <c r="DP230" s="37"/>
      <c r="DQ230" s="37"/>
      <c r="DR230" s="37"/>
      <c r="DS230" s="37"/>
      <c r="DT230" s="37"/>
      <c r="DU230" s="37"/>
      <c r="DV230" s="37"/>
      <c r="DW230" s="37"/>
      <c r="DX230" s="37" t="s">
        <v>1124</v>
      </c>
      <c r="DY230" s="37"/>
      <c r="DZ230" s="37"/>
      <c r="EA230" s="37"/>
      <c r="EB230" s="37"/>
      <c r="EC230" s="37"/>
      <c r="ED230" s="37"/>
      <c r="EE230" s="37"/>
      <c r="EF230" s="37"/>
      <c r="EG230" s="37"/>
      <c r="EH230" s="37"/>
      <c r="EI230" s="37"/>
      <c r="EJ230" s="37" t="s">
        <v>1124</v>
      </c>
      <c r="EK230" s="161"/>
      <c r="EL230" s="294"/>
    </row>
    <row r="231" spans="1:142" ht="15" customHeight="1" x14ac:dyDescent="0.35">
      <c r="A231" s="34"/>
      <c r="B231" s="313">
        <v>69025</v>
      </c>
      <c r="C231" s="8" t="s">
        <v>687</v>
      </c>
      <c r="D231" s="18">
        <v>16</v>
      </c>
      <c r="E231" s="155"/>
      <c r="F231" s="36"/>
      <c r="G231" s="37"/>
      <c r="H231" s="37"/>
      <c r="I231" s="37"/>
      <c r="J231" s="37"/>
      <c r="K231" s="37"/>
      <c r="L231" s="37"/>
      <c r="M231" s="37" t="s">
        <v>1124</v>
      </c>
      <c r="N231" s="37" t="s">
        <v>1124</v>
      </c>
      <c r="O231" s="37"/>
      <c r="P231" s="37"/>
      <c r="Q231" s="37"/>
      <c r="R231" s="37"/>
      <c r="S231" s="37"/>
      <c r="T231" s="37"/>
      <c r="U231" s="37"/>
      <c r="V231" s="37"/>
      <c r="W231" s="37"/>
      <c r="X231" s="37"/>
      <c r="Y231" s="37"/>
      <c r="Z231" s="37"/>
      <c r="AA231" s="37" t="s">
        <v>1124</v>
      </c>
      <c r="AB231" s="37" t="s">
        <v>1124</v>
      </c>
      <c r="AC231" s="37"/>
      <c r="AD231" s="37"/>
      <c r="AE231" s="37"/>
      <c r="AF231" s="168"/>
      <c r="AG231" s="37"/>
      <c r="AH231" s="37"/>
      <c r="AI231" s="37"/>
      <c r="AJ231" s="37"/>
      <c r="AK231" s="37"/>
      <c r="AL231" s="37"/>
      <c r="AM231" s="37"/>
      <c r="AN231" s="37"/>
      <c r="AO231" s="37"/>
      <c r="AP231" s="37"/>
      <c r="AQ231" s="37"/>
      <c r="AR231" s="37" t="s">
        <v>1124</v>
      </c>
      <c r="AS231" s="37"/>
      <c r="AT231" s="37"/>
      <c r="AU231" s="37"/>
      <c r="AV231" s="37"/>
      <c r="AW231" s="37"/>
      <c r="AX231" s="37"/>
      <c r="AY231" s="37"/>
      <c r="AZ231" s="37"/>
      <c r="BA231" s="37"/>
      <c r="BB231" s="37"/>
      <c r="BC231" s="37"/>
      <c r="BD231" s="37" t="s">
        <v>1124</v>
      </c>
      <c r="BE231" s="37"/>
      <c r="BF231" s="37"/>
      <c r="BG231" s="37"/>
      <c r="BH231" s="37"/>
      <c r="BI231" s="37"/>
      <c r="BJ231" s="37"/>
      <c r="BK231" s="37"/>
      <c r="BL231" s="37"/>
      <c r="BM231" s="37"/>
      <c r="BN231" s="37"/>
      <c r="BO231" s="37"/>
      <c r="BP231" s="37">
        <v>0</v>
      </c>
      <c r="BQ231" s="37"/>
      <c r="BR231" s="37"/>
      <c r="BS231" s="37"/>
      <c r="BT231" s="37"/>
      <c r="BU231" s="37"/>
      <c r="BV231" s="37"/>
      <c r="BW231" s="37"/>
      <c r="BX231" s="37"/>
      <c r="BY231" s="37"/>
      <c r="BZ231" s="37"/>
      <c r="CA231" s="37"/>
      <c r="CB231" s="37" t="s">
        <v>1124</v>
      </c>
      <c r="CC231" s="37"/>
      <c r="CD231" s="37"/>
      <c r="CE231" s="37"/>
      <c r="CF231" s="37"/>
      <c r="CG231" s="37"/>
      <c r="CH231" s="37"/>
      <c r="CI231" s="37"/>
      <c r="CJ231" s="37"/>
      <c r="CK231" s="37"/>
      <c r="CL231" s="37"/>
      <c r="CM231" s="37"/>
      <c r="CN231" s="37" t="s">
        <v>1124</v>
      </c>
      <c r="CO231" s="37"/>
      <c r="CP231" s="37"/>
      <c r="CQ231" s="37"/>
      <c r="CR231" s="37"/>
      <c r="CS231" s="37"/>
      <c r="CT231" s="37"/>
      <c r="CU231" s="37"/>
      <c r="CV231" s="37"/>
      <c r="CW231" s="37"/>
      <c r="CX231" s="37"/>
      <c r="CY231" s="37"/>
      <c r="CZ231" s="37" t="s">
        <v>1124</v>
      </c>
      <c r="DA231" s="37"/>
      <c r="DB231" s="37"/>
      <c r="DC231" s="37"/>
      <c r="DD231" s="37"/>
      <c r="DE231" s="37"/>
      <c r="DF231" s="37"/>
      <c r="DG231" s="37"/>
      <c r="DH231" s="37"/>
      <c r="DI231" s="37"/>
      <c r="DJ231" s="37"/>
      <c r="DK231" s="37"/>
      <c r="DL231" s="37" t="s">
        <v>1124</v>
      </c>
      <c r="DM231" s="37"/>
      <c r="DN231" s="37"/>
      <c r="DO231" s="37"/>
      <c r="DP231" s="37"/>
      <c r="DQ231" s="37"/>
      <c r="DR231" s="37"/>
      <c r="DS231" s="37"/>
      <c r="DT231" s="37"/>
      <c r="DU231" s="37"/>
      <c r="DV231" s="37"/>
      <c r="DW231" s="37"/>
      <c r="DX231" s="37" t="s">
        <v>1124</v>
      </c>
      <c r="DY231" s="37"/>
      <c r="DZ231" s="37"/>
      <c r="EA231" s="37"/>
      <c r="EB231" s="37"/>
      <c r="EC231" s="37"/>
      <c r="ED231" s="37"/>
      <c r="EE231" s="37"/>
      <c r="EF231" s="37"/>
      <c r="EG231" s="37"/>
      <c r="EH231" s="37"/>
      <c r="EI231" s="37"/>
      <c r="EJ231" s="37" t="s">
        <v>1124</v>
      </c>
      <c r="EK231" s="161"/>
      <c r="EL231" s="294"/>
    </row>
    <row r="232" spans="1:142" ht="15" customHeight="1" x14ac:dyDescent="0.35">
      <c r="A232" s="34"/>
      <c r="B232" s="313">
        <v>78065</v>
      </c>
      <c r="C232" s="8" t="s">
        <v>776</v>
      </c>
      <c r="D232" s="18">
        <v>15</v>
      </c>
      <c r="E232" s="155">
        <v>65696</v>
      </c>
      <c r="F232" s="36">
        <v>0</v>
      </c>
      <c r="G232" s="37">
        <v>10250</v>
      </c>
      <c r="H232" s="37">
        <v>0</v>
      </c>
      <c r="I232" s="37">
        <v>27400</v>
      </c>
      <c r="J232" s="37">
        <v>0</v>
      </c>
      <c r="K232" s="37">
        <v>15000</v>
      </c>
      <c r="L232" s="37">
        <v>0</v>
      </c>
      <c r="M232" s="37">
        <v>118346</v>
      </c>
      <c r="N232" s="37">
        <v>0</v>
      </c>
      <c r="O232" s="37">
        <v>0</v>
      </c>
      <c r="P232" s="37">
        <v>0</v>
      </c>
      <c r="Q232" s="37">
        <v>79801</v>
      </c>
      <c r="R232" s="37">
        <v>0</v>
      </c>
      <c r="S232" s="37">
        <v>0</v>
      </c>
      <c r="T232" s="37">
        <v>795</v>
      </c>
      <c r="U232" s="37">
        <v>0</v>
      </c>
      <c r="V232" s="37">
        <v>0</v>
      </c>
      <c r="W232" s="37">
        <v>37750</v>
      </c>
      <c r="X232" s="37">
        <v>0</v>
      </c>
      <c r="Y232" s="37">
        <v>0</v>
      </c>
      <c r="Z232" s="37">
        <v>0</v>
      </c>
      <c r="AA232" s="37">
        <v>117551</v>
      </c>
      <c r="AB232" s="37">
        <v>795</v>
      </c>
      <c r="AC232" s="37">
        <v>0</v>
      </c>
      <c r="AD232" s="37">
        <v>0</v>
      </c>
      <c r="AE232" s="37">
        <v>114394</v>
      </c>
      <c r="AF232" s="168">
        <v>0.02</v>
      </c>
      <c r="AG232" s="37">
        <v>8428109.5700000003</v>
      </c>
      <c r="AH232" s="37">
        <v>96764.72</v>
      </c>
      <c r="AI232" s="37">
        <v>87573.81</v>
      </c>
      <c r="AJ232" s="37">
        <v>89325.29</v>
      </c>
      <c r="AK232" s="37">
        <v>91111.79</v>
      </c>
      <c r="AL232" s="37">
        <v>97438.68</v>
      </c>
      <c r="AM232" s="37">
        <v>94792.71</v>
      </c>
      <c r="AN232" s="37">
        <v>96688.56</v>
      </c>
      <c r="AO232" s="37">
        <v>96829.7</v>
      </c>
      <c r="AP232" s="37">
        <v>98766.29</v>
      </c>
      <c r="AQ232" s="37">
        <v>100741.62</v>
      </c>
      <c r="AR232" s="37">
        <v>950033.16999999993</v>
      </c>
      <c r="AS232" s="37">
        <v>134012.88</v>
      </c>
      <c r="AT232" s="37">
        <v>0</v>
      </c>
      <c r="AU232" s="37">
        <v>0</v>
      </c>
      <c r="AV232" s="37">
        <v>0</v>
      </c>
      <c r="AW232" s="37">
        <v>0</v>
      </c>
      <c r="AX232" s="37">
        <v>0</v>
      </c>
      <c r="AY232" s="37">
        <v>0</v>
      </c>
      <c r="AZ232" s="37">
        <v>0</v>
      </c>
      <c r="BA232" s="37">
        <v>0</v>
      </c>
      <c r="BB232" s="37">
        <v>0</v>
      </c>
      <c r="BC232" s="37">
        <v>0</v>
      </c>
      <c r="BD232" s="37">
        <v>0</v>
      </c>
      <c r="BE232" s="37">
        <v>0</v>
      </c>
      <c r="BF232" s="37">
        <v>0</v>
      </c>
      <c r="BG232" s="37">
        <v>0</v>
      </c>
      <c r="BH232" s="37">
        <v>0</v>
      </c>
      <c r="BI232" s="37">
        <v>0</v>
      </c>
      <c r="BJ232" s="37">
        <v>0</v>
      </c>
      <c r="BK232" s="37">
        <v>0</v>
      </c>
      <c r="BL232" s="37">
        <v>0</v>
      </c>
      <c r="BM232" s="37">
        <v>0</v>
      </c>
      <c r="BN232" s="37">
        <v>0</v>
      </c>
      <c r="BO232" s="37">
        <v>0</v>
      </c>
      <c r="BP232" s="37">
        <v>0</v>
      </c>
      <c r="BQ232" s="37">
        <v>0</v>
      </c>
      <c r="BR232" s="37">
        <v>10694</v>
      </c>
      <c r="BS232" s="37">
        <v>0</v>
      </c>
      <c r="BT232" s="37">
        <v>0</v>
      </c>
      <c r="BU232" s="37">
        <v>168545</v>
      </c>
      <c r="BV232" s="37">
        <v>4080</v>
      </c>
      <c r="BW232" s="37">
        <v>0</v>
      </c>
      <c r="BX232" s="37">
        <v>0</v>
      </c>
      <c r="BY232" s="37">
        <v>0</v>
      </c>
      <c r="BZ232" s="37">
        <v>0</v>
      </c>
      <c r="CA232" s="37">
        <v>0</v>
      </c>
      <c r="CB232" s="37">
        <v>183319</v>
      </c>
      <c r="CC232" s="37">
        <v>0</v>
      </c>
      <c r="CD232" s="37">
        <v>0</v>
      </c>
      <c r="CE232" s="37">
        <v>0</v>
      </c>
      <c r="CF232" s="37">
        <v>0</v>
      </c>
      <c r="CG232" s="37">
        <v>0</v>
      </c>
      <c r="CH232" s="37">
        <v>0</v>
      </c>
      <c r="CI232" s="37">
        <v>0</v>
      </c>
      <c r="CJ232" s="37">
        <v>0</v>
      </c>
      <c r="CK232" s="37">
        <v>0</v>
      </c>
      <c r="CL232" s="37">
        <v>0</v>
      </c>
      <c r="CM232" s="37">
        <v>0</v>
      </c>
      <c r="CN232" s="37">
        <v>0</v>
      </c>
      <c r="CO232" s="37">
        <v>0</v>
      </c>
      <c r="CP232" s="37">
        <v>0</v>
      </c>
      <c r="CQ232" s="37">
        <v>0</v>
      </c>
      <c r="CR232" s="37">
        <v>0</v>
      </c>
      <c r="CS232" s="37">
        <v>0</v>
      </c>
      <c r="CT232" s="37">
        <v>0</v>
      </c>
      <c r="CU232" s="37">
        <v>0</v>
      </c>
      <c r="CV232" s="37">
        <v>0</v>
      </c>
      <c r="CW232" s="37">
        <v>0</v>
      </c>
      <c r="CX232" s="37">
        <v>0</v>
      </c>
      <c r="CY232" s="37">
        <v>0</v>
      </c>
      <c r="CZ232" s="37">
        <v>0</v>
      </c>
      <c r="DA232" s="37">
        <v>0</v>
      </c>
      <c r="DB232" s="37">
        <v>0</v>
      </c>
      <c r="DC232" s="37">
        <v>0</v>
      </c>
      <c r="DD232" s="37">
        <v>0</v>
      </c>
      <c r="DE232" s="37">
        <v>0</v>
      </c>
      <c r="DF232" s="37">
        <v>0</v>
      </c>
      <c r="DG232" s="37">
        <v>0</v>
      </c>
      <c r="DH232" s="37">
        <v>0</v>
      </c>
      <c r="DI232" s="37">
        <v>0</v>
      </c>
      <c r="DJ232" s="37">
        <v>0</v>
      </c>
      <c r="DK232" s="37">
        <v>0</v>
      </c>
      <c r="DL232" s="37">
        <v>0</v>
      </c>
      <c r="DM232" s="37">
        <v>0</v>
      </c>
      <c r="DN232" s="37">
        <v>0</v>
      </c>
      <c r="DO232" s="37">
        <v>0</v>
      </c>
      <c r="DP232" s="37">
        <v>0</v>
      </c>
      <c r="DQ232" s="37">
        <v>0</v>
      </c>
      <c r="DR232" s="37">
        <v>0</v>
      </c>
      <c r="DS232" s="37">
        <v>0</v>
      </c>
      <c r="DT232" s="37">
        <v>0</v>
      </c>
      <c r="DU232" s="37">
        <v>0</v>
      </c>
      <c r="DV232" s="37">
        <v>0</v>
      </c>
      <c r="DW232" s="37">
        <v>0</v>
      </c>
      <c r="DX232" s="37">
        <v>0</v>
      </c>
      <c r="DY232" s="37">
        <v>0</v>
      </c>
      <c r="DZ232" s="37">
        <v>0</v>
      </c>
      <c r="EA232" s="37">
        <v>0</v>
      </c>
      <c r="EB232" s="37">
        <v>0</v>
      </c>
      <c r="EC232" s="37">
        <v>0</v>
      </c>
      <c r="ED232" s="37">
        <v>0</v>
      </c>
      <c r="EE232" s="37">
        <v>0</v>
      </c>
      <c r="EF232" s="37">
        <v>0</v>
      </c>
      <c r="EG232" s="37">
        <v>0</v>
      </c>
      <c r="EH232" s="37">
        <v>0</v>
      </c>
      <c r="EI232" s="37">
        <v>0</v>
      </c>
      <c r="EJ232" s="37">
        <v>0</v>
      </c>
      <c r="EK232" s="161" t="s">
        <v>1855</v>
      </c>
      <c r="EL232" s="294" t="s">
        <v>1124</v>
      </c>
    </row>
    <row r="233" spans="1:142" ht="15" customHeight="1" x14ac:dyDescent="0.35">
      <c r="A233" s="34"/>
      <c r="B233" s="313">
        <v>71100</v>
      </c>
      <c r="C233" s="8" t="s">
        <v>720</v>
      </c>
      <c r="D233" s="18">
        <v>16</v>
      </c>
      <c r="E233" s="155">
        <v>484146</v>
      </c>
      <c r="F233" s="36">
        <v>216398</v>
      </c>
      <c r="G233" s="37">
        <v>239758</v>
      </c>
      <c r="H233" s="37">
        <v>185211</v>
      </c>
      <c r="I233" s="37">
        <v>207767</v>
      </c>
      <c r="J233" s="37">
        <v>604189</v>
      </c>
      <c r="K233" s="37">
        <v>35963.699999999997</v>
      </c>
      <c r="L233" s="37">
        <v>27781.649999999998</v>
      </c>
      <c r="M233" s="37">
        <v>967634.7</v>
      </c>
      <c r="N233" s="37">
        <v>1033579.65</v>
      </c>
      <c r="O233" s="37">
        <v>0</v>
      </c>
      <c r="P233" s="37">
        <v>0</v>
      </c>
      <c r="Q233" s="37">
        <v>453423</v>
      </c>
      <c r="R233" s="37">
        <v>158381</v>
      </c>
      <c r="S233" s="37">
        <v>65790</v>
      </c>
      <c r="T233" s="37">
        <v>14611</v>
      </c>
      <c r="U233" s="37">
        <v>86337</v>
      </c>
      <c r="V233" s="37">
        <v>19681</v>
      </c>
      <c r="W233" s="37">
        <v>362085</v>
      </c>
      <c r="X233" s="37">
        <v>840907</v>
      </c>
      <c r="Y233" s="37">
        <v>0</v>
      </c>
      <c r="Z233" s="37">
        <v>0</v>
      </c>
      <c r="AA233" s="37">
        <v>967635</v>
      </c>
      <c r="AB233" s="37">
        <v>1033580</v>
      </c>
      <c r="AC233" s="37">
        <v>1</v>
      </c>
      <c r="AD233" s="37">
        <v>0</v>
      </c>
      <c r="AE233" s="37">
        <v>0</v>
      </c>
      <c r="AF233" s="168">
        <v>0.02</v>
      </c>
      <c r="AG233" s="37">
        <v>100574250.09</v>
      </c>
      <c r="AH233" s="37">
        <v>1001977.79</v>
      </c>
      <c r="AI233" s="37">
        <v>1022017.35</v>
      </c>
      <c r="AJ233" s="37">
        <v>1042457.69</v>
      </c>
      <c r="AK233" s="37">
        <v>1063306.8500000001</v>
      </c>
      <c r="AL233" s="37">
        <v>1084572.98</v>
      </c>
      <c r="AM233" s="37">
        <v>1106264.44</v>
      </c>
      <c r="AN233" s="37">
        <v>1128389.73</v>
      </c>
      <c r="AO233" s="37">
        <v>1150957.53</v>
      </c>
      <c r="AP233" s="37">
        <v>1173976.68</v>
      </c>
      <c r="AQ233" s="37">
        <v>1197456.21</v>
      </c>
      <c r="AR233" s="37">
        <v>10971377.25</v>
      </c>
      <c r="AS233" s="37">
        <v>293576.95</v>
      </c>
      <c r="AT233" s="37">
        <v>140454</v>
      </c>
      <c r="AU233" s="37">
        <v>371422.8</v>
      </c>
      <c r="AV233" s="37">
        <v>1028310.55</v>
      </c>
      <c r="AW233" s="37">
        <v>110408.08</v>
      </c>
      <c r="AX233" s="37">
        <v>112616.24</v>
      </c>
      <c r="AY233" s="37">
        <v>114868.57</v>
      </c>
      <c r="AZ233" s="37">
        <v>117165.94</v>
      </c>
      <c r="BA233" s="37">
        <v>119509.26</v>
      </c>
      <c r="BB233" s="37">
        <v>121899.44</v>
      </c>
      <c r="BC233" s="37">
        <v>0</v>
      </c>
      <c r="BD233" s="37">
        <v>2236654.88</v>
      </c>
      <c r="BE233" s="37">
        <v>639162</v>
      </c>
      <c r="BF233" s="37">
        <v>0</v>
      </c>
      <c r="BG233" s="37">
        <v>0</v>
      </c>
      <c r="BH233" s="37">
        <v>0</v>
      </c>
      <c r="BI233" s="37">
        <v>0</v>
      </c>
      <c r="BJ233" s="37">
        <v>0</v>
      </c>
      <c r="BK233" s="37">
        <v>0</v>
      </c>
      <c r="BL233" s="37">
        <v>0</v>
      </c>
      <c r="BM233" s="37">
        <v>0</v>
      </c>
      <c r="BN233" s="37">
        <v>0</v>
      </c>
      <c r="BO233" s="37">
        <v>0</v>
      </c>
      <c r="BP233" s="37">
        <v>0</v>
      </c>
      <c r="BQ233" s="37">
        <v>0</v>
      </c>
      <c r="BR233" s="37">
        <v>0</v>
      </c>
      <c r="BS233" s="37">
        <v>0</v>
      </c>
      <c r="BT233" s="37">
        <v>0</v>
      </c>
      <c r="BU233" s="37">
        <v>0</v>
      </c>
      <c r="BV233" s="37">
        <v>0</v>
      </c>
      <c r="BW233" s="37">
        <v>0</v>
      </c>
      <c r="BX233" s="37">
        <v>0</v>
      </c>
      <c r="BY233" s="37">
        <v>0</v>
      </c>
      <c r="BZ233" s="37">
        <v>0</v>
      </c>
      <c r="CA233" s="37">
        <v>0</v>
      </c>
      <c r="CB233" s="37">
        <v>0</v>
      </c>
      <c r="CC233" s="37">
        <v>0</v>
      </c>
      <c r="CD233" s="37">
        <v>0</v>
      </c>
      <c r="CE233" s="37">
        <v>0</v>
      </c>
      <c r="CF233" s="37">
        <v>0</v>
      </c>
      <c r="CG233" s="37">
        <v>0</v>
      </c>
      <c r="CH233" s="37">
        <v>0</v>
      </c>
      <c r="CI233" s="37">
        <v>0</v>
      </c>
      <c r="CJ233" s="37">
        <v>0</v>
      </c>
      <c r="CK233" s="37">
        <v>0</v>
      </c>
      <c r="CL233" s="37">
        <v>0</v>
      </c>
      <c r="CM233" s="37">
        <v>0</v>
      </c>
      <c r="CN233" s="37">
        <v>0</v>
      </c>
      <c r="CO233" s="37">
        <v>0</v>
      </c>
      <c r="CP233" s="37">
        <v>0</v>
      </c>
      <c r="CQ233" s="37">
        <v>0</v>
      </c>
      <c r="CR233" s="37">
        <v>0</v>
      </c>
      <c r="CS233" s="37">
        <v>0</v>
      </c>
      <c r="CT233" s="37">
        <v>0</v>
      </c>
      <c r="CU233" s="37">
        <v>0</v>
      </c>
      <c r="CV233" s="37">
        <v>0</v>
      </c>
      <c r="CW233" s="37">
        <v>0</v>
      </c>
      <c r="CX233" s="37">
        <v>0</v>
      </c>
      <c r="CY233" s="37">
        <v>0</v>
      </c>
      <c r="CZ233" s="37">
        <v>0</v>
      </c>
      <c r="DA233" s="37">
        <v>0</v>
      </c>
      <c r="DB233" s="37">
        <v>0</v>
      </c>
      <c r="DC233" s="37">
        <v>0</v>
      </c>
      <c r="DD233" s="37">
        <v>0</v>
      </c>
      <c r="DE233" s="37">
        <v>0</v>
      </c>
      <c r="DF233" s="37">
        <v>0</v>
      </c>
      <c r="DG233" s="37">
        <v>0</v>
      </c>
      <c r="DH233" s="37">
        <v>0</v>
      </c>
      <c r="DI233" s="37">
        <v>0</v>
      </c>
      <c r="DJ233" s="37">
        <v>0</v>
      </c>
      <c r="DK233" s="37">
        <v>0</v>
      </c>
      <c r="DL233" s="37">
        <v>0</v>
      </c>
      <c r="DM233" s="37">
        <v>0</v>
      </c>
      <c r="DN233" s="37">
        <v>0</v>
      </c>
      <c r="DO233" s="37">
        <v>0</v>
      </c>
      <c r="DP233" s="37">
        <v>0</v>
      </c>
      <c r="DQ233" s="37">
        <v>0</v>
      </c>
      <c r="DR233" s="37">
        <v>0</v>
      </c>
      <c r="DS233" s="37">
        <v>0</v>
      </c>
      <c r="DT233" s="37">
        <v>0</v>
      </c>
      <c r="DU233" s="37">
        <v>0</v>
      </c>
      <c r="DV233" s="37">
        <v>0</v>
      </c>
      <c r="DW233" s="37">
        <v>0</v>
      </c>
      <c r="DX233" s="37">
        <v>0</v>
      </c>
      <c r="DY233" s="37">
        <v>0</v>
      </c>
      <c r="DZ233" s="37">
        <v>0</v>
      </c>
      <c r="EA233" s="37">
        <v>0</v>
      </c>
      <c r="EB233" s="37">
        <v>0</v>
      </c>
      <c r="EC233" s="37">
        <v>0</v>
      </c>
      <c r="ED233" s="37">
        <v>0</v>
      </c>
      <c r="EE233" s="37">
        <v>0</v>
      </c>
      <c r="EF233" s="37">
        <v>0</v>
      </c>
      <c r="EG233" s="37">
        <v>0</v>
      </c>
      <c r="EH233" s="37">
        <v>0</v>
      </c>
      <c r="EI233" s="37">
        <v>0</v>
      </c>
      <c r="EJ233" s="37">
        <v>0</v>
      </c>
      <c r="EK233" s="161" t="s">
        <v>3723</v>
      </c>
      <c r="EL233" s="294" t="s">
        <v>1124</v>
      </c>
    </row>
    <row r="234" spans="1:142" ht="15" customHeight="1" x14ac:dyDescent="0.35">
      <c r="A234" s="34"/>
      <c r="B234" s="313">
        <v>69055</v>
      </c>
      <c r="C234" s="8" t="s">
        <v>692</v>
      </c>
      <c r="D234" s="18">
        <v>16</v>
      </c>
      <c r="E234" s="155"/>
      <c r="F234" s="36"/>
      <c r="G234" s="37"/>
      <c r="H234" s="37"/>
      <c r="I234" s="37"/>
      <c r="J234" s="37"/>
      <c r="K234" s="37"/>
      <c r="L234" s="37"/>
      <c r="M234" s="37" t="s">
        <v>1124</v>
      </c>
      <c r="N234" s="37" t="s">
        <v>1124</v>
      </c>
      <c r="O234" s="37"/>
      <c r="P234" s="37"/>
      <c r="Q234" s="37"/>
      <c r="R234" s="37"/>
      <c r="S234" s="37"/>
      <c r="T234" s="37"/>
      <c r="U234" s="37"/>
      <c r="V234" s="37"/>
      <c r="W234" s="37"/>
      <c r="X234" s="37"/>
      <c r="Y234" s="37"/>
      <c r="Z234" s="37"/>
      <c r="AA234" s="37" t="s">
        <v>1124</v>
      </c>
      <c r="AB234" s="37" t="s">
        <v>1124</v>
      </c>
      <c r="AC234" s="37"/>
      <c r="AD234" s="37"/>
      <c r="AE234" s="37"/>
      <c r="AF234" s="168"/>
      <c r="AG234" s="37"/>
      <c r="AH234" s="37"/>
      <c r="AI234" s="37"/>
      <c r="AJ234" s="37"/>
      <c r="AK234" s="37"/>
      <c r="AL234" s="37"/>
      <c r="AM234" s="37"/>
      <c r="AN234" s="37"/>
      <c r="AO234" s="37"/>
      <c r="AP234" s="37"/>
      <c r="AQ234" s="37"/>
      <c r="AR234" s="37" t="s">
        <v>1124</v>
      </c>
      <c r="AS234" s="37"/>
      <c r="AT234" s="37"/>
      <c r="AU234" s="37"/>
      <c r="AV234" s="37"/>
      <c r="AW234" s="37"/>
      <c r="AX234" s="37"/>
      <c r="AY234" s="37"/>
      <c r="AZ234" s="37"/>
      <c r="BA234" s="37"/>
      <c r="BB234" s="37"/>
      <c r="BC234" s="37"/>
      <c r="BD234" s="37" t="s">
        <v>1124</v>
      </c>
      <c r="BE234" s="37"/>
      <c r="BF234" s="37"/>
      <c r="BG234" s="37"/>
      <c r="BH234" s="37"/>
      <c r="BI234" s="37"/>
      <c r="BJ234" s="37"/>
      <c r="BK234" s="37"/>
      <c r="BL234" s="37"/>
      <c r="BM234" s="37"/>
      <c r="BN234" s="37"/>
      <c r="BO234" s="37"/>
      <c r="BP234" s="37">
        <v>0</v>
      </c>
      <c r="BQ234" s="37"/>
      <c r="BR234" s="37"/>
      <c r="BS234" s="37"/>
      <c r="BT234" s="37"/>
      <c r="BU234" s="37"/>
      <c r="BV234" s="37"/>
      <c r="BW234" s="37"/>
      <c r="BX234" s="37"/>
      <c r="BY234" s="37"/>
      <c r="BZ234" s="37"/>
      <c r="CA234" s="37"/>
      <c r="CB234" s="37" t="s">
        <v>1124</v>
      </c>
      <c r="CC234" s="37"/>
      <c r="CD234" s="37"/>
      <c r="CE234" s="37"/>
      <c r="CF234" s="37"/>
      <c r="CG234" s="37"/>
      <c r="CH234" s="37"/>
      <c r="CI234" s="37"/>
      <c r="CJ234" s="37"/>
      <c r="CK234" s="37"/>
      <c r="CL234" s="37"/>
      <c r="CM234" s="37"/>
      <c r="CN234" s="37" t="s">
        <v>1124</v>
      </c>
      <c r="CO234" s="37"/>
      <c r="CP234" s="37"/>
      <c r="CQ234" s="37"/>
      <c r="CR234" s="37"/>
      <c r="CS234" s="37"/>
      <c r="CT234" s="37"/>
      <c r="CU234" s="37"/>
      <c r="CV234" s="37"/>
      <c r="CW234" s="37"/>
      <c r="CX234" s="37"/>
      <c r="CY234" s="37"/>
      <c r="CZ234" s="37" t="s">
        <v>1124</v>
      </c>
      <c r="DA234" s="37"/>
      <c r="DB234" s="37"/>
      <c r="DC234" s="37"/>
      <c r="DD234" s="37"/>
      <c r="DE234" s="37"/>
      <c r="DF234" s="37"/>
      <c r="DG234" s="37"/>
      <c r="DH234" s="37"/>
      <c r="DI234" s="37"/>
      <c r="DJ234" s="37"/>
      <c r="DK234" s="37"/>
      <c r="DL234" s="37" t="s">
        <v>1124</v>
      </c>
      <c r="DM234" s="37"/>
      <c r="DN234" s="37"/>
      <c r="DO234" s="37"/>
      <c r="DP234" s="37"/>
      <c r="DQ234" s="37"/>
      <c r="DR234" s="37"/>
      <c r="DS234" s="37"/>
      <c r="DT234" s="37"/>
      <c r="DU234" s="37"/>
      <c r="DV234" s="37"/>
      <c r="DW234" s="37"/>
      <c r="DX234" s="37" t="s">
        <v>1124</v>
      </c>
      <c r="DY234" s="37"/>
      <c r="DZ234" s="37"/>
      <c r="EA234" s="37"/>
      <c r="EB234" s="37"/>
      <c r="EC234" s="37"/>
      <c r="ED234" s="37"/>
      <c r="EE234" s="37"/>
      <c r="EF234" s="37"/>
      <c r="EG234" s="37"/>
      <c r="EH234" s="37"/>
      <c r="EI234" s="37"/>
      <c r="EJ234" s="37" t="s">
        <v>1124</v>
      </c>
      <c r="EK234" s="161"/>
      <c r="EL234" s="294"/>
    </row>
    <row r="235" spans="1:142" ht="15" customHeight="1" x14ac:dyDescent="0.35">
      <c r="A235" s="34"/>
      <c r="B235" s="313">
        <v>32058</v>
      </c>
      <c r="C235" s="8" t="s">
        <v>262</v>
      </c>
      <c r="D235" s="18">
        <v>17</v>
      </c>
      <c r="E235" s="155"/>
      <c r="F235" s="36"/>
      <c r="G235" s="37"/>
      <c r="H235" s="37"/>
      <c r="I235" s="37"/>
      <c r="J235" s="37"/>
      <c r="K235" s="37"/>
      <c r="L235" s="37"/>
      <c r="M235" s="37" t="s">
        <v>1124</v>
      </c>
      <c r="N235" s="37" t="s">
        <v>1124</v>
      </c>
      <c r="O235" s="37"/>
      <c r="P235" s="37"/>
      <c r="Q235" s="37"/>
      <c r="R235" s="37"/>
      <c r="S235" s="37"/>
      <c r="T235" s="37"/>
      <c r="U235" s="37"/>
      <c r="V235" s="37"/>
      <c r="W235" s="37"/>
      <c r="X235" s="37"/>
      <c r="Y235" s="37"/>
      <c r="Z235" s="37"/>
      <c r="AA235" s="37" t="s">
        <v>1124</v>
      </c>
      <c r="AB235" s="37" t="s">
        <v>1124</v>
      </c>
      <c r="AC235" s="37"/>
      <c r="AD235" s="37"/>
      <c r="AE235" s="37"/>
      <c r="AF235" s="168"/>
      <c r="AG235" s="37"/>
      <c r="AH235" s="37"/>
      <c r="AI235" s="37"/>
      <c r="AJ235" s="37"/>
      <c r="AK235" s="37"/>
      <c r="AL235" s="37"/>
      <c r="AM235" s="37"/>
      <c r="AN235" s="37"/>
      <c r="AO235" s="37"/>
      <c r="AP235" s="37"/>
      <c r="AQ235" s="37"/>
      <c r="AR235" s="37" t="s">
        <v>1124</v>
      </c>
      <c r="AS235" s="37"/>
      <c r="AT235" s="37"/>
      <c r="AU235" s="37"/>
      <c r="AV235" s="37"/>
      <c r="AW235" s="37"/>
      <c r="AX235" s="37"/>
      <c r="AY235" s="37"/>
      <c r="AZ235" s="37"/>
      <c r="BA235" s="37"/>
      <c r="BB235" s="37"/>
      <c r="BC235" s="37"/>
      <c r="BD235" s="37" t="s">
        <v>1124</v>
      </c>
      <c r="BE235" s="37"/>
      <c r="BF235" s="37"/>
      <c r="BG235" s="37"/>
      <c r="BH235" s="37"/>
      <c r="BI235" s="37"/>
      <c r="BJ235" s="37"/>
      <c r="BK235" s="37"/>
      <c r="BL235" s="37"/>
      <c r="BM235" s="37"/>
      <c r="BN235" s="37"/>
      <c r="BO235" s="37"/>
      <c r="BP235" s="37">
        <v>0</v>
      </c>
      <c r="BQ235" s="37"/>
      <c r="BR235" s="37"/>
      <c r="BS235" s="37"/>
      <c r="BT235" s="37"/>
      <c r="BU235" s="37"/>
      <c r="BV235" s="37"/>
      <c r="BW235" s="37"/>
      <c r="BX235" s="37"/>
      <c r="BY235" s="37"/>
      <c r="BZ235" s="37"/>
      <c r="CA235" s="37"/>
      <c r="CB235" s="37" t="s">
        <v>1124</v>
      </c>
      <c r="CC235" s="37"/>
      <c r="CD235" s="37"/>
      <c r="CE235" s="37"/>
      <c r="CF235" s="37"/>
      <c r="CG235" s="37"/>
      <c r="CH235" s="37"/>
      <c r="CI235" s="37"/>
      <c r="CJ235" s="37"/>
      <c r="CK235" s="37"/>
      <c r="CL235" s="37"/>
      <c r="CM235" s="37"/>
      <c r="CN235" s="37" t="s">
        <v>1124</v>
      </c>
      <c r="CO235" s="37"/>
      <c r="CP235" s="37"/>
      <c r="CQ235" s="37"/>
      <c r="CR235" s="37"/>
      <c r="CS235" s="37"/>
      <c r="CT235" s="37"/>
      <c r="CU235" s="37"/>
      <c r="CV235" s="37"/>
      <c r="CW235" s="37"/>
      <c r="CX235" s="37"/>
      <c r="CY235" s="37"/>
      <c r="CZ235" s="37" t="s">
        <v>1124</v>
      </c>
      <c r="DA235" s="37"/>
      <c r="DB235" s="37"/>
      <c r="DC235" s="37"/>
      <c r="DD235" s="37"/>
      <c r="DE235" s="37"/>
      <c r="DF235" s="37"/>
      <c r="DG235" s="37"/>
      <c r="DH235" s="37"/>
      <c r="DI235" s="37"/>
      <c r="DJ235" s="37"/>
      <c r="DK235" s="37"/>
      <c r="DL235" s="37" t="s">
        <v>1124</v>
      </c>
      <c r="DM235" s="37"/>
      <c r="DN235" s="37"/>
      <c r="DO235" s="37"/>
      <c r="DP235" s="37"/>
      <c r="DQ235" s="37"/>
      <c r="DR235" s="37"/>
      <c r="DS235" s="37"/>
      <c r="DT235" s="37"/>
      <c r="DU235" s="37"/>
      <c r="DV235" s="37"/>
      <c r="DW235" s="37"/>
      <c r="DX235" s="37" t="s">
        <v>1124</v>
      </c>
      <c r="DY235" s="37"/>
      <c r="DZ235" s="37"/>
      <c r="EA235" s="37"/>
      <c r="EB235" s="37"/>
      <c r="EC235" s="37"/>
      <c r="ED235" s="37"/>
      <c r="EE235" s="37"/>
      <c r="EF235" s="37"/>
      <c r="EG235" s="37"/>
      <c r="EH235" s="37"/>
      <c r="EI235" s="37"/>
      <c r="EJ235" s="37" t="s">
        <v>1124</v>
      </c>
      <c r="EK235" s="161"/>
      <c r="EL235" s="294"/>
    </row>
    <row r="236" spans="1:142" ht="15" customHeight="1" x14ac:dyDescent="0.35">
      <c r="A236" s="34"/>
      <c r="B236" s="313">
        <v>31040</v>
      </c>
      <c r="C236" s="8" t="s">
        <v>243</v>
      </c>
      <c r="D236" s="18">
        <v>12</v>
      </c>
      <c r="E236" s="155"/>
      <c r="F236" s="36"/>
      <c r="G236" s="37"/>
      <c r="H236" s="37"/>
      <c r="I236" s="37"/>
      <c r="J236" s="37"/>
      <c r="K236" s="37"/>
      <c r="L236" s="37"/>
      <c r="M236" s="37" t="s">
        <v>1124</v>
      </c>
      <c r="N236" s="37" t="s">
        <v>1124</v>
      </c>
      <c r="O236" s="37"/>
      <c r="P236" s="37"/>
      <c r="Q236" s="37"/>
      <c r="R236" s="37"/>
      <c r="S236" s="37"/>
      <c r="T236" s="37"/>
      <c r="U236" s="37"/>
      <c r="V236" s="37"/>
      <c r="W236" s="37"/>
      <c r="X236" s="37"/>
      <c r="Y236" s="37"/>
      <c r="Z236" s="37"/>
      <c r="AA236" s="37" t="s">
        <v>1124</v>
      </c>
      <c r="AB236" s="37" t="s">
        <v>1124</v>
      </c>
      <c r="AC236" s="37"/>
      <c r="AD236" s="37"/>
      <c r="AE236" s="37"/>
      <c r="AF236" s="168"/>
      <c r="AG236" s="37"/>
      <c r="AH236" s="37"/>
      <c r="AI236" s="37"/>
      <c r="AJ236" s="37"/>
      <c r="AK236" s="37"/>
      <c r="AL236" s="37"/>
      <c r="AM236" s="37"/>
      <c r="AN236" s="37"/>
      <c r="AO236" s="37"/>
      <c r="AP236" s="37"/>
      <c r="AQ236" s="37"/>
      <c r="AR236" s="37" t="s">
        <v>1124</v>
      </c>
      <c r="AS236" s="37"/>
      <c r="AT236" s="37"/>
      <c r="AU236" s="37"/>
      <c r="AV236" s="37"/>
      <c r="AW236" s="37"/>
      <c r="AX236" s="37"/>
      <c r="AY236" s="37"/>
      <c r="AZ236" s="37"/>
      <c r="BA236" s="37"/>
      <c r="BB236" s="37"/>
      <c r="BC236" s="37"/>
      <c r="BD236" s="37" t="s">
        <v>1124</v>
      </c>
      <c r="BE236" s="37"/>
      <c r="BF236" s="37"/>
      <c r="BG236" s="37"/>
      <c r="BH236" s="37"/>
      <c r="BI236" s="37"/>
      <c r="BJ236" s="37"/>
      <c r="BK236" s="37"/>
      <c r="BL236" s="37"/>
      <c r="BM236" s="37"/>
      <c r="BN236" s="37"/>
      <c r="BO236" s="37"/>
      <c r="BP236" s="37">
        <v>0</v>
      </c>
      <c r="BQ236" s="37"/>
      <c r="BR236" s="37"/>
      <c r="BS236" s="37"/>
      <c r="BT236" s="37"/>
      <c r="BU236" s="37"/>
      <c r="BV236" s="37"/>
      <c r="BW236" s="37"/>
      <c r="BX236" s="37"/>
      <c r="BY236" s="37"/>
      <c r="BZ236" s="37"/>
      <c r="CA236" s="37"/>
      <c r="CB236" s="37" t="s">
        <v>1124</v>
      </c>
      <c r="CC236" s="37"/>
      <c r="CD236" s="37"/>
      <c r="CE236" s="37"/>
      <c r="CF236" s="37"/>
      <c r="CG236" s="37"/>
      <c r="CH236" s="37"/>
      <c r="CI236" s="37"/>
      <c r="CJ236" s="37"/>
      <c r="CK236" s="37"/>
      <c r="CL236" s="37"/>
      <c r="CM236" s="37"/>
      <c r="CN236" s="37" t="s">
        <v>1124</v>
      </c>
      <c r="CO236" s="37"/>
      <c r="CP236" s="37"/>
      <c r="CQ236" s="37"/>
      <c r="CR236" s="37"/>
      <c r="CS236" s="37"/>
      <c r="CT236" s="37"/>
      <c r="CU236" s="37"/>
      <c r="CV236" s="37"/>
      <c r="CW236" s="37"/>
      <c r="CX236" s="37"/>
      <c r="CY236" s="37"/>
      <c r="CZ236" s="37" t="s">
        <v>1124</v>
      </c>
      <c r="DA236" s="37"/>
      <c r="DB236" s="37"/>
      <c r="DC236" s="37"/>
      <c r="DD236" s="37"/>
      <c r="DE236" s="37"/>
      <c r="DF236" s="37"/>
      <c r="DG236" s="37"/>
      <c r="DH236" s="37"/>
      <c r="DI236" s="37"/>
      <c r="DJ236" s="37"/>
      <c r="DK236" s="37"/>
      <c r="DL236" s="37" t="s">
        <v>1124</v>
      </c>
      <c r="DM236" s="37"/>
      <c r="DN236" s="37"/>
      <c r="DO236" s="37"/>
      <c r="DP236" s="37"/>
      <c r="DQ236" s="37"/>
      <c r="DR236" s="37"/>
      <c r="DS236" s="37"/>
      <c r="DT236" s="37"/>
      <c r="DU236" s="37"/>
      <c r="DV236" s="37"/>
      <c r="DW236" s="37"/>
      <c r="DX236" s="37" t="s">
        <v>1124</v>
      </c>
      <c r="DY236" s="37"/>
      <c r="DZ236" s="37"/>
      <c r="EA236" s="37"/>
      <c r="EB236" s="37"/>
      <c r="EC236" s="37"/>
      <c r="ED236" s="37"/>
      <c r="EE236" s="37"/>
      <c r="EF236" s="37"/>
      <c r="EG236" s="37"/>
      <c r="EH236" s="37"/>
      <c r="EI236" s="37"/>
      <c r="EJ236" s="37" t="s">
        <v>1124</v>
      </c>
      <c r="EK236" s="161"/>
      <c r="EL236" s="294"/>
    </row>
    <row r="237" spans="1:142" ht="15" customHeight="1" x14ac:dyDescent="0.35">
      <c r="A237" s="34"/>
      <c r="B237" s="313">
        <v>78042</v>
      </c>
      <c r="C237" s="8" t="s">
        <v>771</v>
      </c>
      <c r="D237" s="18">
        <v>15</v>
      </c>
      <c r="E237" s="155"/>
      <c r="F237" s="36"/>
      <c r="G237" s="37"/>
      <c r="H237" s="37"/>
      <c r="I237" s="37"/>
      <c r="J237" s="37"/>
      <c r="K237" s="37"/>
      <c r="L237" s="37"/>
      <c r="M237" s="37" t="s">
        <v>1124</v>
      </c>
      <c r="N237" s="37" t="s">
        <v>1124</v>
      </c>
      <c r="O237" s="37"/>
      <c r="P237" s="37"/>
      <c r="Q237" s="37"/>
      <c r="R237" s="37"/>
      <c r="S237" s="37"/>
      <c r="T237" s="37"/>
      <c r="U237" s="37"/>
      <c r="V237" s="37"/>
      <c r="W237" s="37"/>
      <c r="X237" s="37"/>
      <c r="Y237" s="37"/>
      <c r="Z237" s="37"/>
      <c r="AA237" s="37" t="s">
        <v>1124</v>
      </c>
      <c r="AB237" s="37" t="s">
        <v>1124</v>
      </c>
      <c r="AC237" s="37"/>
      <c r="AD237" s="37"/>
      <c r="AE237" s="37"/>
      <c r="AF237" s="168"/>
      <c r="AG237" s="37"/>
      <c r="AH237" s="37"/>
      <c r="AI237" s="37"/>
      <c r="AJ237" s="37"/>
      <c r="AK237" s="37"/>
      <c r="AL237" s="37"/>
      <c r="AM237" s="37"/>
      <c r="AN237" s="37"/>
      <c r="AO237" s="37"/>
      <c r="AP237" s="37"/>
      <c r="AQ237" s="37"/>
      <c r="AR237" s="37" t="s">
        <v>1124</v>
      </c>
      <c r="AS237" s="37"/>
      <c r="AT237" s="37"/>
      <c r="AU237" s="37"/>
      <c r="AV237" s="37"/>
      <c r="AW237" s="37"/>
      <c r="AX237" s="37"/>
      <c r="AY237" s="37"/>
      <c r="AZ237" s="37"/>
      <c r="BA237" s="37"/>
      <c r="BB237" s="37"/>
      <c r="BC237" s="37"/>
      <c r="BD237" s="37" t="s">
        <v>1124</v>
      </c>
      <c r="BE237" s="37"/>
      <c r="BF237" s="37"/>
      <c r="BG237" s="37"/>
      <c r="BH237" s="37"/>
      <c r="BI237" s="37"/>
      <c r="BJ237" s="37"/>
      <c r="BK237" s="37"/>
      <c r="BL237" s="37"/>
      <c r="BM237" s="37"/>
      <c r="BN237" s="37"/>
      <c r="BO237" s="37"/>
      <c r="BP237" s="37">
        <v>0</v>
      </c>
      <c r="BQ237" s="37"/>
      <c r="BR237" s="37"/>
      <c r="BS237" s="37"/>
      <c r="BT237" s="37"/>
      <c r="BU237" s="37"/>
      <c r="BV237" s="37"/>
      <c r="BW237" s="37"/>
      <c r="BX237" s="37"/>
      <c r="BY237" s="37"/>
      <c r="BZ237" s="37"/>
      <c r="CA237" s="37"/>
      <c r="CB237" s="37" t="s">
        <v>1124</v>
      </c>
      <c r="CC237" s="37"/>
      <c r="CD237" s="37"/>
      <c r="CE237" s="37"/>
      <c r="CF237" s="37"/>
      <c r="CG237" s="37"/>
      <c r="CH237" s="37"/>
      <c r="CI237" s="37"/>
      <c r="CJ237" s="37"/>
      <c r="CK237" s="37"/>
      <c r="CL237" s="37"/>
      <c r="CM237" s="37"/>
      <c r="CN237" s="37" t="s">
        <v>1124</v>
      </c>
      <c r="CO237" s="37"/>
      <c r="CP237" s="37"/>
      <c r="CQ237" s="37"/>
      <c r="CR237" s="37"/>
      <c r="CS237" s="37"/>
      <c r="CT237" s="37"/>
      <c r="CU237" s="37"/>
      <c r="CV237" s="37"/>
      <c r="CW237" s="37"/>
      <c r="CX237" s="37"/>
      <c r="CY237" s="37"/>
      <c r="CZ237" s="37" t="s">
        <v>1124</v>
      </c>
      <c r="DA237" s="37"/>
      <c r="DB237" s="37"/>
      <c r="DC237" s="37"/>
      <c r="DD237" s="37"/>
      <c r="DE237" s="37"/>
      <c r="DF237" s="37"/>
      <c r="DG237" s="37"/>
      <c r="DH237" s="37"/>
      <c r="DI237" s="37"/>
      <c r="DJ237" s="37"/>
      <c r="DK237" s="37"/>
      <c r="DL237" s="37" t="s">
        <v>1124</v>
      </c>
      <c r="DM237" s="37"/>
      <c r="DN237" s="37"/>
      <c r="DO237" s="37"/>
      <c r="DP237" s="37"/>
      <c r="DQ237" s="37"/>
      <c r="DR237" s="37"/>
      <c r="DS237" s="37"/>
      <c r="DT237" s="37"/>
      <c r="DU237" s="37"/>
      <c r="DV237" s="37"/>
      <c r="DW237" s="37"/>
      <c r="DX237" s="37" t="s">
        <v>1124</v>
      </c>
      <c r="DY237" s="37"/>
      <c r="DZ237" s="37"/>
      <c r="EA237" s="37"/>
      <c r="EB237" s="37"/>
      <c r="EC237" s="37"/>
      <c r="ED237" s="37"/>
      <c r="EE237" s="37"/>
      <c r="EF237" s="37"/>
      <c r="EG237" s="37"/>
      <c r="EH237" s="37"/>
      <c r="EI237" s="37"/>
      <c r="EJ237" s="37" t="s">
        <v>1124</v>
      </c>
      <c r="EK237" s="161"/>
      <c r="EL237" s="294"/>
    </row>
    <row r="238" spans="1:142" ht="15" customHeight="1" x14ac:dyDescent="0.35">
      <c r="A238" s="34"/>
      <c r="B238" s="313">
        <v>61025</v>
      </c>
      <c r="C238" s="8" t="s">
        <v>612</v>
      </c>
      <c r="D238" s="18">
        <v>14</v>
      </c>
      <c r="E238" s="155">
        <v>2239066</v>
      </c>
      <c r="F238" s="36">
        <v>1898524</v>
      </c>
      <c r="G238" s="37">
        <v>214281</v>
      </c>
      <c r="H238" s="37">
        <v>464503</v>
      </c>
      <c r="I238" s="37">
        <v>702916</v>
      </c>
      <c r="J238" s="37">
        <v>1527037</v>
      </c>
      <c r="K238" s="37">
        <v>335860</v>
      </c>
      <c r="L238" s="37">
        <v>284779</v>
      </c>
      <c r="M238" s="37">
        <v>3492123</v>
      </c>
      <c r="N238" s="37">
        <v>4174843</v>
      </c>
      <c r="O238" s="37">
        <v>443169</v>
      </c>
      <c r="P238" s="37">
        <v>0</v>
      </c>
      <c r="Q238" s="37">
        <v>1996993</v>
      </c>
      <c r="R238" s="37">
        <v>1029687</v>
      </c>
      <c r="S238" s="37">
        <v>647279</v>
      </c>
      <c r="T238" s="37">
        <v>77006</v>
      </c>
      <c r="U238" s="37">
        <v>44367</v>
      </c>
      <c r="V238" s="37">
        <v>118450</v>
      </c>
      <c r="W238" s="37">
        <v>376650</v>
      </c>
      <c r="X238" s="37">
        <v>2966034</v>
      </c>
      <c r="Y238" s="37">
        <v>0</v>
      </c>
      <c r="Z238" s="37">
        <v>0</v>
      </c>
      <c r="AA238" s="37">
        <v>3508458</v>
      </c>
      <c r="AB238" s="37">
        <v>4191177</v>
      </c>
      <c r="AC238" s="37">
        <v>32669</v>
      </c>
      <c r="AD238" s="37">
        <v>32669</v>
      </c>
      <c r="AE238" s="37">
        <v>210834</v>
      </c>
      <c r="AF238" s="168">
        <v>0.02</v>
      </c>
      <c r="AG238" s="37">
        <v>578541781.04999995</v>
      </c>
      <c r="AH238" s="37">
        <v>5445481.1399999997</v>
      </c>
      <c r="AI238" s="37">
        <v>5608585.6399999997</v>
      </c>
      <c r="AJ238" s="37">
        <v>5720757.3499999996</v>
      </c>
      <c r="AK238" s="37">
        <v>5778788.1500000004</v>
      </c>
      <c r="AL238" s="37">
        <v>5894363.9100000001</v>
      </c>
      <c r="AM238" s="37">
        <v>6012251.1900000004</v>
      </c>
      <c r="AN238" s="37">
        <v>6132496.21</v>
      </c>
      <c r="AO238" s="37">
        <v>6255146.1399999997</v>
      </c>
      <c r="AP238" s="37">
        <v>6380249.0599999996</v>
      </c>
      <c r="AQ238" s="37">
        <v>6507854.04</v>
      </c>
      <c r="AR238" s="37">
        <v>59735972.829999998</v>
      </c>
      <c r="AS238" s="37">
        <v>32672697.25</v>
      </c>
      <c r="AT238" s="37">
        <v>6906979.9800000004</v>
      </c>
      <c r="AU238" s="37">
        <v>5737808.0800000001</v>
      </c>
      <c r="AV238" s="37">
        <v>2514487.52</v>
      </c>
      <c r="AW238" s="37">
        <v>2240047.62</v>
      </c>
      <c r="AX238" s="37">
        <v>0</v>
      </c>
      <c r="AY238" s="37">
        <v>0</v>
      </c>
      <c r="AZ238" s="37">
        <v>0</v>
      </c>
      <c r="BA238" s="37">
        <v>0</v>
      </c>
      <c r="BB238" s="37">
        <v>0</v>
      </c>
      <c r="BC238" s="37">
        <v>0</v>
      </c>
      <c r="BD238" s="37">
        <v>17399323.200000003</v>
      </c>
      <c r="BE238" s="37">
        <v>1259940</v>
      </c>
      <c r="BF238" s="37">
        <v>4491605</v>
      </c>
      <c r="BG238" s="37">
        <v>233920</v>
      </c>
      <c r="BH238" s="37">
        <v>0</v>
      </c>
      <c r="BI238" s="37">
        <v>0</v>
      </c>
      <c r="BJ238" s="37">
        <v>0</v>
      </c>
      <c r="BK238" s="37">
        <v>0</v>
      </c>
      <c r="BL238" s="37">
        <v>0</v>
      </c>
      <c r="BM238" s="37">
        <v>0</v>
      </c>
      <c r="BN238" s="37">
        <v>0</v>
      </c>
      <c r="BO238" s="37">
        <v>0</v>
      </c>
      <c r="BP238" s="37">
        <v>4725525</v>
      </c>
      <c r="BQ238" s="37">
        <v>1745378</v>
      </c>
      <c r="BR238" s="37">
        <v>7078682</v>
      </c>
      <c r="BS238" s="37">
        <v>1824560</v>
      </c>
      <c r="BT238" s="37">
        <v>8437514</v>
      </c>
      <c r="BU238" s="37">
        <v>4133333</v>
      </c>
      <c r="BV238" s="37">
        <v>0</v>
      </c>
      <c r="BW238" s="37">
        <v>0</v>
      </c>
      <c r="BX238" s="37">
        <v>0</v>
      </c>
      <c r="BY238" s="37">
        <v>0</v>
      </c>
      <c r="BZ238" s="37">
        <v>0</v>
      </c>
      <c r="CA238" s="37">
        <v>0</v>
      </c>
      <c r="CB238" s="37">
        <v>21474089</v>
      </c>
      <c r="CC238" s="37">
        <v>0</v>
      </c>
      <c r="CD238" s="37">
        <v>0</v>
      </c>
      <c r="CE238" s="37">
        <v>0</v>
      </c>
      <c r="CF238" s="37">
        <v>0</v>
      </c>
      <c r="CG238" s="37">
        <v>0</v>
      </c>
      <c r="CH238" s="37">
        <v>0</v>
      </c>
      <c r="CI238" s="37">
        <v>0</v>
      </c>
      <c r="CJ238" s="37">
        <v>0</v>
      </c>
      <c r="CK238" s="37">
        <v>0</v>
      </c>
      <c r="CL238" s="37">
        <v>0</v>
      </c>
      <c r="CM238" s="37">
        <v>0</v>
      </c>
      <c r="CN238" s="37">
        <v>0</v>
      </c>
      <c r="CO238" s="37">
        <v>0</v>
      </c>
      <c r="CP238" s="37">
        <v>1143100</v>
      </c>
      <c r="CQ238" s="37">
        <v>0</v>
      </c>
      <c r="CR238" s="37">
        <v>0</v>
      </c>
      <c r="CS238" s="37">
        <v>0</v>
      </c>
      <c r="CT238" s="37">
        <v>0</v>
      </c>
      <c r="CU238" s="37">
        <v>0</v>
      </c>
      <c r="CV238" s="37">
        <v>0</v>
      </c>
      <c r="CW238" s="37">
        <v>0</v>
      </c>
      <c r="CX238" s="37">
        <v>0</v>
      </c>
      <c r="CY238" s="37">
        <v>0</v>
      </c>
      <c r="CZ238" s="37">
        <v>1143100</v>
      </c>
      <c r="DA238" s="37">
        <v>0</v>
      </c>
      <c r="DB238" s="37">
        <v>3243451</v>
      </c>
      <c r="DC238" s="37">
        <v>1900000</v>
      </c>
      <c r="DD238" s="37">
        <v>2366666</v>
      </c>
      <c r="DE238" s="37">
        <v>2072250</v>
      </c>
      <c r="DF238" s="37">
        <v>0</v>
      </c>
      <c r="DG238" s="37">
        <v>0</v>
      </c>
      <c r="DH238" s="37">
        <v>0</v>
      </c>
      <c r="DI238" s="37">
        <v>0</v>
      </c>
      <c r="DJ238" s="37">
        <v>0</v>
      </c>
      <c r="DK238" s="37">
        <v>0</v>
      </c>
      <c r="DL238" s="37">
        <v>9582367</v>
      </c>
      <c r="DM238" s="37">
        <v>0</v>
      </c>
      <c r="DN238" s="37">
        <v>0</v>
      </c>
      <c r="DO238" s="37">
        <v>0</v>
      </c>
      <c r="DP238" s="37">
        <v>0</v>
      </c>
      <c r="DQ238" s="37">
        <v>0</v>
      </c>
      <c r="DR238" s="37">
        <v>0</v>
      </c>
      <c r="DS238" s="37">
        <v>0</v>
      </c>
      <c r="DT238" s="37">
        <v>0</v>
      </c>
      <c r="DU238" s="37">
        <v>0</v>
      </c>
      <c r="DV238" s="37">
        <v>0</v>
      </c>
      <c r="DW238" s="37">
        <v>0</v>
      </c>
      <c r="DX238" s="37">
        <v>0</v>
      </c>
      <c r="DY238" s="37">
        <v>0</v>
      </c>
      <c r="DZ238" s="37">
        <v>3000000</v>
      </c>
      <c r="EA238" s="37">
        <v>3000000</v>
      </c>
      <c r="EB238" s="37">
        <v>0</v>
      </c>
      <c r="EC238" s="37">
        <v>0</v>
      </c>
      <c r="ED238" s="37">
        <v>0</v>
      </c>
      <c r="EE238" s="37">
        <v>0</v>
      </c>
      <c r="EF238" s="37">
        <v>0</v>
      </c>
      <c r="EG238" s="37">
        <v>0</v>
      </c>
      <c r="EH238" s="37">
        <v>0</v>
      </c>
      <c r="EI238" s="37">
        <v>0</v>
      </c>
      <c r="EJ238" s="37">
        <v>6000000</v>
      </c>
      <c r="EK238" s="161" t="s">
        <v>1860</v>
      </c>
      <c r="EL238" s="294" t="s">
        <v>1124</v>
      </c>
    </row>
    <row r="239" spans="1:142" ht="15" customHeight="1" x14ac:dyDescent="0.35">
      <c r="A239" s="34"/>
      <c r="B239" s="313">
        <v>14050</v>
      </c>
      <c r="C239" s="8" t="s">
        <v>68</v>
      </c>
      <c r="D239" s="18">
        <v>1</v>
      </c>
      <c r="E239" s="155">
        <v>90455</v>
      </c>
      <c r="F239" s="36">
        <v>103175</v>
      </c>
      <c r="G239" s="37">
        <v>0</v>
      </c>
      <c r="H239" s="37">
        <v>0</v>
      </c>
      <c r="I239" s="37">
        <v>0</v>
      </c>
      <c r="J239" s="37">
        <v>0</v>
      </c>
      <c r="K239" s="37">
        <v>13568</v>
      </c>
      <c r="L239" s="37">
        <v>15476</v>
      </c>
      <c r="M239" s="37">
        <v>104023</v>
      </c>
      <c r="N239" s="37">
        <v>118651</v>
      </c>
      <c r="O239" s="37">
        <v>3013</v>
      </c>
      <c r="P239" s="37">
        <v>0</v>
      </c>
      <c r="Q239" s="37">
        <v>155035</v>
      </c>
      <c r="R239" s="37">
        <v>63500.7</v>
      </c>
      <c r="S239" s="37">
        <v>4872</v>
      </c>
      <c r="T239" s="37">
        <v>0</v>
      </c>
      <c r="U239" s="37">
        <v>0</v>
      </c>
      <c r="V239" s="37">
        <v>0</v>
      </c>
      <c r="W239" s="37">
        <v>0</v>
      </c>
      <c r="X239" s="37">
        <v>0</v>
      </c>
      <c r="Y239" s="37">
        <v>0</v>
      </c>
      <c r="Z239" s="37">
        <v>0</v>
      </c>
      <c r="AA239" s="37">
        <v>162920</v>
      </c>
      <c r="AB239" s="37">
        <v>63500.7</v>
      </c>
      <c r="AC239" s="37">
        <v>3746.7000000000116</v>
      </c>
      <c r="AD239" s="37">
        <v>0</v>
      </c>
      <c r="AE239" s="37">
        <v>150000</v>
      </c>
      <c r="AF239" s="168">
        <v>0.02</v>
      </c>
      <c r="AG239" s="37">
        <v>11484253.869999999</v>
      </c>
      <c r="AH239" s="37">
        <v>95122.25</v>
      </c>
      <c r="AI239" s="37">
        <v>97024.69</v>
      </c>
      <c r="AJ239" s="37">
        <v>98965.18</v>
      </c>
      <c r="AK239" s="37">
        <v>100944.49</v>
      </c>
      <c r="AL239" s="37">
        <v>102963.38</v>
      </c>
      <c r="AM239" s="37">
        <v>105022.65</v>
      </c>
      <c r="AN239" s="37">
        <v>107123.1</v>
      </c>
      <c r="AO239" s="37">
        <v>109265.56</v>
      </c>
      <c r="AP239" s="37">
        <v>111450.87</v>
      </c>
      <c r="AQ239" s="37">
        <v>113679.89</v>
      </c>
      <c r="AR239" s="37">
        <v>1041562.06</v>
      </c>
      <c r="AS239" s="37">
        <v>0</v>
      </c>
      <c r="AT239" s="37">
        <v>0</v>
      </c>
      <c r="AU239" s="37">
        <v>0</v>
      </c>
      <c r="AV239" s="37">
        <v>0</v>
      </c>
      <c r="AW239" s="37">
        <v>0</v>
      </c>
      <c r="AX239" s="37">
        <v>0</v>
      </c>
      <c r="AY239" s="37">
        <v>0</v>
      </c>
      <c r="AZ239" s="37">
        <v>0</v>
      </c>
      <c r="BA239" s="37">
        <v>0</v>
      </c>
      <c r="BB239" s="37">
        <v>0</v>
      </c>
      <c r="BC239" s="37">
        <v>0</v>
      </c>
      <c r="BD239" s="37">
        <v>0</v>
      </c>
      <c r="BE239" s="37">
        <v>0</v>
      </c>
      <c r="BF239" s="37">
        <v>0</v>
      </c>
      <c r="BG239" s="37">
        <v>0</v>
      </c>
      <c r="BH239" s="37">
        <v>0</v>
      </c>
      <c r="BI239" s="37">
        <v>0</v>
      </c>
      <c r="BJ239" s="37">
        <v>0</v>
      </c>
      <c r="BK239" s="37">
        <v>0</v>
      </c>
      <c r="BL239" s="37">
        <v>0</v>
      </c>
      <c r="BM239" s="37">
        <v>0</v>
      </c>
      <c r="BN239" s="37">
        <v>0</v>
      </c>
      <c r="BO239" s="37">
        <v>0</v>
      </c>
      <c r="BP239" s="37">
        <v>0</v>
      </c>
      <c r="BQ239" s="37">
        <v>0</v>
      </c>
      <c r="BR239" s="37">
        <v>0</v>
      </c>
      <c r="BS239" s="37">
        <v>0</v>
      </c>
      <c r="BT239" s="37">
        <v>0</v>
      </c>
      <c r="BU239" s="37">
        <v>0</v>
      </c>
      <c r="BV239" s="37">
        <v>0</v>
      </c>
      <c r="BW239" s="37">
        <v>0</v>
      </c>
      <c r="BX239" s="37">
        <v>0</v>
      </c>
      <c r="BY239" s="37">
        <v>0</v>
      </c>
      <c r="BZ239" s="37">
        <v>0</v>
      </c>
      <c r="CA239" s="37">
        <v>0</v>
      </c>
      <c r="CB239" s="37">
        <v>0</v>
      </c>
      <c r="CC239" s="37">
        <v>0</v>
      </c>
      <c r="CD239" s="37">
        <v>0</v>
      </c>
      <c r="CE239" s="37">
        <v>0</v>
      </c>
      <c r="CF239" s="37">
        <v>0</v>
      </c>
      <c r="CG239" s="37">
        <v>0</v>
      </c>
      <c r="CH239" s="37">
        <v>0</v>
      </c>
      <c r="CI239" s="37">
        <v>0</v>
      </c>
      <c r="CJ239" s="37">
        <v>0</v>
      </c>
      <c r="CK239" s="37">
        <v>0</v>
      </c>
      <c r="CL239" s="37">
        <v>0</v>
      </c>
      <c r="CM239" s="37">
        <v>0</v>
      </c>
      <c r="CN239" s="37">
        <v>0</v>
      </c>
      <c r="CO239" s="37">
        <v>2589815</v>
      </c>
      <c r="CP239" s="37">
        <v>0</v>
      </c>
      <c r="CQ239" s="37">
        <v>0</v>
      </c>
      <c r="CR239" s="37">
        <v>0</v>
      </c>
      <c r="CS239" s="37">
        <v>0</v>
      </c>
      <c r="CT239" s="37">
        <v>0</v>
      </c>
      <c r="CU239" s="37">
        <v>0</v>
      </c>
      <c r="CV239" s="37">
        <v>0</v>
      </c>
      <c r="CW239" s="37">
        <v>0</v>
      </c>
      <c r="CX239" s="37">
        <v>0</v>
      </c>
      <c r="CY239" s="37">
        <v>0</v>
      </c>
      <c r="CZ239" s="37">
        <v>0</v>
      </c>
      <c r="DA239" s="37">
        <v>940636</v>
      </c>
      <c r="DB239" s="37">
        <v>0</v>
      </c>
      <c r="DC239" s="37">
        <v>0</v>
      </c>
      <c r="DD239" s="37">
        <v>0</v>
      </c>
      <c r="DE239" s="37">
        <v>0</v>
      </c>
      <c r="DF239" s="37">
        <v>0</v>
      </c>
      <c r="DG239" s="37">
        <v>0</v>
      </c>
      <c r="DH239" s="37">
        <v>0</v>
      </c>
      <c r="DI239" s="37">
        <v>0</v>
      </c>
      <c r="DJ239" s="37">
        <v>0</v>
      </c>
      <c r="DK239" s="37">
        <v>0</v>
      </c>
      <c r="DL239" s="37">
        <v>0</v>
      </c>
      <c r="DM239" s="37">
        <v>150000</v>
      </c>
      <c r="DN239" s="37">
        <v>0</v>
      </c>
      <c r="DO239" s="37">
        <v>0</v>
      </c>
      <c r="DP239" s="37">
        <v>0</v>
      </c>
      <c r="DQ239" s="37">
        <v>0</v>
      </c>
      <c r="DR239" s="37">
        <v>0</v>
      </c>
      <c r="DS239" s="37">
        <v>0</v>
      </c>
      <c r="DT239" s="37">
        <v>0</v>
      </c>
      <c r="DU239" s="37">
        <v>0</v>
      </c>
      <c r="DV239" s="37">
        <v>0</v>
      </c>
      <c r="DW239" s="37">
        <v>0</v>
      </c>
      <c r="DX239" s="37">
        <v>0</v>
      </c>
      <c r="DY239" s="37">
        <v>0</v>
      </c>
      <c r="DZ239" s="37">
        <v>0</v>
      </c>
      <c r="EA239" s="37">
        <v>0</v>
      </c>
      <c r="EB239" s="37">
        <v>0</v>
      </c>
      <c r="EC239" s="37">
        <v>0</v>
      </c>
      <c r="ED239" s="37">
        <v>0</v>
      </c>
      <c r="EE239" s="37">
        <v>0</v>
      </c>
      <c r="EF239" s="37">
        <v>0</v>
      </c>
      <c r="EG239" s="37">
        <v>0</v>
      </c>
      <c r="EH239" s="37">
        <v>0</v>
      </c>
      <c r="EI239" s="37">
        <v>0</v>
      </c>
      <c r="EJ239" s="37">
        <v>0</v>
      </c>
      <c r="EK239" s="161" t="s">
        <v>1866</v>
      </c>
      <c r="EL239" s="294" t="s">
        <v>1124</v>
      </c>
    </row>
    <row r="240" spans="1:142" ht="15" customHeight="1" x14ac:dyDescent="0.35">
      <c r="A240" s="34"/>
      <c r="B240" s="313">
        <v>83015</v>
      </c>
      <c r="C240" s="8" t="s">
        <v>837</v>
      </c>
      <c r="D240" s="18">
        <v>7</v>
      </c>
      <c r="E240" s="155"/>
      <c r="F240" s="36"/>
      <c r="G240" s="37"/>
      <c r="H240" s="37"/>
      <c r="I240" s="37"/>
      <c r="J240" s="37"/>
      <c r="K240" s="37"/>
      <c r="L240" s="37"/>
      <c r="M240" s="37" t="s">
        <v>1124</v>
      </c>
      <c r="N240" s="37" t="s">
        <v>1124</v>
      </c>
      <c r="O240" s="37"/>
      <c r="P240" s="37"/>
      <c r="Q240" s="37"/>
      <c r="R240" s="37"/>
      <c r="S240" s="37"/>
      <c r="T240" s="37"/>
      <c r="U240" s="37"/>
      <c r="V240" s="37"/>
      <c r="W240" s="37"/>
      <c r="X240" s="37"/>
      <c r="Y240" s="37"/>
      <c r="Z240" s="37"/>
      <c r="AA240" s="37" t="s">
        <v>1124</v>
      </c>
      <c r="AB240" s="37" t="s">
        <v>1124</v>
      </c>
      <c r="AC240" s="37"/>
      <c r="AD240" s="37"/>
      <c r="AE240" s="37"/>
      <c r="AF240" s="168"/>
      <c r="AG240" s="37"/>
      <c r="AH240" s="37"/>
      <c r="AI240" s="37"/>
      <c r="AJ240" s="37"/>
      <c r="AK240" s="37"/>
      <c r="AL240" s="37"/>
      <c r="AM240" s="37"/>
      <c r="AN240" s="37"/>
      <c r="AO240" s="37"/>
      <c r="AP240" s="37"/>
      <c r="AQ240" s="37"/>
      <c r="AR240" s="37" t="s">
        <v>1124</v>
      </c>
      <c r="AS240" s="37"/>
      <c r="AT240" s="37"/>
      <c r="AU240" s="37"/>
      <c r="AV240" s="37"/>
      <c r="AW240" s="37"/>
      <c r="AX240" s="37"/>
      <c r="AY240" s="37"/>
      <c r="AZ240" s="37"/>
      <c r="BA240" s="37"/>
      <c r="BB240" s="37"/>
      <c r="BC240" s="37"/>
      <c r="BD240" s="37" t="s">
        <v>1124</v>
      </c>
      <c r="BE240" s="37"/>
      <c r="BF240" s="37"/>
      <c r="BG240" s="37"/>
      <c r="BH240" s="37"/>
      <c r="BI240" s="37"/>
      <c r="BJ240" s="37"/>
      <c r="BK240" s="37"/>
      <c r="BL240" s="37"/>
      <c r="BM240" s="37"/>
      <c r="BN240" s="37"/>
      <c r="BO240" s="37"/>
      <c r="BP240" s="37">
        <v>0</v>
      </c>
      <c r="BQ240" s="37"/>
      <c r="BR240" s="37"/>
      <c r="BS240" s="37"/>
      <c r="BT240" s="37"/>
      <c r="BU240" s="37"/>
      <c r="BV240" s="37"/>
      <c r="BW240" s="37"/>
      <c r="BX240" s="37"/>
      <c r="BY240" s="37"/>
      <c r="BZ240" s="37"/>
      <c r="CA240" s="37"/>
      <c r="CB240" s="37" t="s">
        <v>1124</v>
      </c>
      <c r="CC240" s="37"/>
      <c r="CD240" s="37"/>
      <c r="CE240" s="37"/>
      <c r="CF240" s="37"/>
      <c r="CG240" s="37"/>
      <c r="CH240" s="37"/>
      <c r="CI240" s="37"/>
      <c r="CJ240" s="37"/>
      <c r="CK240" s="37"/>
      <c r="CL240" s="37"/>
      <c r="CM240" s="37"/>
      <c r="CN240" s="37" t="s">
        <v>1124</v>
      </c>
      <c r="CO240" s="37"/>
      <c r="CP240" s="37"/>
      <c r="CQ240" s="37"/>
      <c r="CR240" s="37"/>
      <c r="CS240" s="37"/>
      <c r="CT240" s="37"/>
      <c r="CU240" s="37"/>
      <c r="CV240" s="37"/>
      <c r="CW240" s="37"/>
      <c r="CX240" s="37"/>
      <c r="CY240" s="37"/>
      <c r="CZ240" s="37" t="s">
        <v>1124</v>
      </c>
      <c r="DA240" s="37"/>
      <c r="DB240" s="37"/>
      <c r="DC240" s="37"/>
      <c r="DD240" s="37"/>
      <c r="DE240" s="37"/>
      <c r="DF240" s="37"/>
      <c r="DG240" s="37"/>
      <c r="DH240" s="37"/>
      <c r="DI240" s="37"/>
      <c r="DJ240" s="37"/>
      <c r="DK240" s="37"/>
      <c r="DL240" s="37" t="s">
        <v>1124</v>
      </c>
      <c r="DM240" s="37"/>
      <c r="DN240" s="37"/>
      <c r="DO240" s="37"/>
      <c r="DP240" s="37"/>
      <c r="DQ240" s="37"/>
      <c r="DR240" s="37"/>
      <c r="DS240" s="37"/>
      <c r="DT240" s="37"/>
      <c r="DU240" s="37"/>
      <c r="DV240" s="37"/>
      <c r="DW240" s="37"/>
      <c r="DX240" s="37" t="s">
        <v>1124</v>
      </c>
      <c r="DY240" s="37"/>
      <c r="DZ240" s="37"/>
      <c r="EA240" s="37"/>
      <c r="EB240" s="37"/>
      <c r="EC240" s="37"/>
      <c r="ED240" s="37"/>
      <c r="EE240" s="37"/>
      <c r="EF240" s="37"/>
      <c r="EG240" s="37"/>
      <c r="EH240" s="37"/>
      <c r="EI240" s="37"/>
      <c r="EJ240" s="37" t="s">
        <v>1124</v>
      </c>
      <c r="EK240" s="161"/>
      <c r="EL240" s="294"/>
    </row>
    <row r="241" spans="1:142" ht="15" customHeight="1" x14ac:dyDescent="0.35">
      <c r="A241" s="34"/>
      <c r="B241" s="313">
        <v>79025</v>
      </c>
      <c r="C241" s="8" t="s">
        <v>790</v>
      </c>
      <c r="D241" s="18">
        <v>15</v>
      </c>
      <c r="E241" s="155">
        <v>29450</v>
      </c>
      <c r="F241" s="36">
        <v>35140</v>
      </c>
      <c r="G241" s="37">
        <v>49</v>
      </c>
      <c r="H241" s="37">
        <v>6816</v>
      </c>
      <c r="I241" s="37">
        <v>900</v>
      </c>
      <c r="J241" s="37">
        <v>12621</v>
      </c>
      <c r="K241" s="37">
        <v>4417.5</v>
      </c>
      <c r="L241" s="37">
        <v>5271</v>
      </c>
      <c r="M241" s="37">
        <v>34816.5</v>
      </c>
      <c r="N241" s="37">
        <v>59848</v>
      </c>
      <c r="O241" s="37">
        <v>0</v>
      </c>
      <c r="P241" s="37">
        <v>0</v>
      </c>
      <c r="Q241" s="37">
        <v>34368</v>
      </c>
      <c r="R241" s="37">
        <v>23523</v>
      </c>
      <c r="S241" s="37">
        <v>0</v>
      </c>
      <c r="T241" s="37">
        <v>0</v>
      </c>
      <c r="U241" s="37">
        <v>0</v>
      </c>
      <c r="V241" s="37">
        <v>4762</v>
      </c>
      <c r="W241" s="37">
        <v>0</v>
      </c>
      <c r="X241" s="37">
        <v>1631</v>
      </c>
      <c r="Y241" s="37">
        <v>0</v>
      </c>
      <c r="Z241" s="37">
        <v>32700</v>
      </c>
      <c r="AA241" s="37">
        <v>34368</v>
      </c>
      <c r="AB241" s="37">
        <v>62616</v>
      </c>
      <c r="AC241" s="37">
        <v>2319</v>
      </c>
      <c r="AD241" s="37">
        <v>0</v>
      </c>
      <c r="AE241" s="37">
        <v>0</v>
      </c>
      <c r="AF241" s="168">
        <v>0.02</v>
      </c>
      <c r="AG241" s="37">
        <v>5843406.5300000003</v>
      </c>
      <c r="AH241" s="37">
        <v>39794.519999999997</v>
      </c>
      <c r="AI241" s="37">
        <v>40590.410000000003</v>
      </c>
      <c r="AJ241" s="37">
        <v>41402.22</v>
      </c>
      <c r="AK241" s="37">
        <v>42230.26</v>
      </c>
      <c r="AL241" s="37">
        <v>43074.87</v>
      </c>
      <c r="AM241" s="37">
        <v>43936.36</v>
      </c>
      <c r="AN241" s="37">
        <v>44815.09</v>
      </c>
      <c r="AO241" s="37">
        <v>45711.39</v>
      </c>
      <c r="AP241" s="37">
        <v>46625.62</v>
      </c>
      <c r="AQ241" s="37">
        <v>46867.37</v>
      </c>
      <c r="AR241" s="37">
        <v>435048.1100000001</v>
      </c>
      <c r="AS241" s="37">
        <v>233805.35</v>
      </c>
      <c r="AT241" s="37">
        <v>0</v>
      </c>
      <c r="AU241" s="37">
        <v>0</v>
      </c>
      <c r="AV241" s="37">
        <v>0</v>
      </c>
      <c r="AW241" s="37">
        <v>0</v>
      </c>
      <c r="AX241" s="37">
        <v>0</v>
      </c>
      <c r="AY241" s="37">
        <v>0</v>
      </c>
      <c r="AZ241" s="37">
        <v>0</v>
      </c>
      <c r="BA241" s="37">
        <v>0</v>
      </c>
      <c r="BB241" s="37">
        <v>0</v>
      </c>
      <c r="BC241" s="37">
        <v>0</v>
      </c>
      <c r="BD241" s="37">
        <v>0</v>
      </c>
      <c r="BE241" s="37">
        <v>0</v>
      </c>
      <c r="BF241" s="37">
        <v>0</v>
      </c>
      <c r="BG241" s="37">
        <v>0</v>
      </c>
      <c r="BH241" s="37">
        <v>0</v>
      </c>
      <c r="BI241" s="37">
        <v>0</v>
      </c>
      <c r="BJ241" s="37">
        <v>0</v>
      </c>
      <c r="BK241" s="37">
        <v>0</v>
      </c>
      <c r="BL241" s="37">
        <v>0</v>
      </c>
      <c r="BM241" s="37">
        <v>0</v>
      </c>
      <c r="BN241" s="37">
        <v>0</v>
      </c>
      <c r="BO241" s="37">
        <v>0</v>
      </c>
      <c r="BP241" s="37">
        <v>0</v>
      </c>
      <c r="BQ241" s="37">
        <v>0</v>
      </c>
      <c r="BR241" s="37">
        <v>0</v>
      </c>
      <c r="BS241" s="37">
        <v>0</v>
      </c>
      <c r="BT241" s="37">
        <v>0</v>
      </c>
      <c r="BU241" s="37">
        <v>0</v>
      </c>
      <c r="BV241" s="37">
        <v>0</v>
      </c>
      <c r="BW241" s="37">
        <v>0</v>
      </c>
      <c r="BX241" s="37">
        <v>0</v>
      </c>
      <c r="BY241" s="37">
        <v>0</v>
      </c>
      <c r="BZ241" s="37">
        <v>0</v>
      </c>
      <c r="CA241" s="37">
        <v>0</v>
      </c>
      <c r="CB241" s="37">
        <v>0</v>
      </c>
      <c r="CC241" s="37">
        <v>0</v>
      </c>
      <c r="CD241" s="37">
        <v>5100</v>
      </c>
      <c r="CE241" s="37">
        <v>0</v>
      </c>
      <c r="CF241" s="37">
        <v>0</v>
      </c>
      <c r="CG241" s="37">
        <v>0</v>
      </c>
      <c r="CH241" s="37">
        <v>0</v>
      </c>
      <c r="CI241" s="37">
        <v>0</v>
      </c>
      <c r="CJ241" s="37">
        <v>0</v>
      </c>
      <c r="CK241" s="37">
        <v>0</v>
      </c>
      <c r="CL241" s="37">
        <v>0</v>
      </c>
      <c r="CM241" s="37">
        <v>0</v>
      </c>
      <c r="CN241" s="37">
        <v>5100</v>
      </c>
      <c r="CO241" s="37">
        <v>0</v>
      </c>
      <c r="CP241" s="37">
        <v>0</v>
      </c>
      <c r="CQ241" s="37">
        <v>0</v>
      </c>
      <c r="CR241" s="37">
        <v>0</v>
      </c>
      <c r="CS241" s="37">
        <v>0</v>
      </c>
      <c r="CT241" s="37">
        <v>0</v>
      </c>
      <c r="CU241" s="37">
        <v>0</v>
      </c>
      <c r="CV241" s="37">
        <v>0</v>
      </c>
      <c r="CW241" s="37">
        <v>0</v>
      </c>
      <c r="CX241" s="37">
        <v>0</v>
      </c>
      <c r="CY241" s="37">
        <v>0</v>
      </c>
      <c r="CZ241" s="37">
        <v>0</v>
      </c>
      <c r="DA241" s="37">
        <v>0</v>
      </c>
      <c r="DB241" s="37">
        <v>0</v>
      </c>
      <c r="DC241" s="37">
        <v>0</v>
      </c>
      <c r="DD241" s="37">
        <v>0</v>
      </c>
      <c r="DE241" s="37">
        <v>0</v>
      </c>
      <c r="DF241" s="37">
        <v>0</v>
      </c>
      <c r="DG241" s="37">
        <v>0</v>
      </c>
      <c r="DH241" s="37">
        <v>0</v>
      </c>
      <c r="DI241" s="37">
        <v>0</v>
      </c>
      <c r="DJ241" s="37">
        <v>0</v>
      </c>
      <c r="DK241" s="37">
        <v>0</v>
      </c>
      <c r="DL241" s="37">
        <v>0</v>
      </c>
      <c r="DM241" s="37">
        <v>0</v>
      </c>
      <c r="DN241" s="37">
        <v>0</v>
      </c>
      <c r="DO241" s="37">
        <v>0</v>
      </c>
      <c r="DP241" s="37">
        <v>0</v>
      </c>
      <c r="DQ241" s="37">
        <v>0</v>
      </c>
      <c r="DR241" s="37">
        <v>0</v>
      </c>
      <c r="DS241" s="37">
        <v>0</v>
      </c>
      <c r="DT241" s="37">
        <v>0</v>
      </c>
      <c r="DU241" s="37">
        <v>0</v>
      </c>
      <c r="DV241" s="37">
        <v>0</v>
      </c>
      <c r="DW241" s="37">
        <v>0</v>
      </c>
      <c r="DX241" s="37">
        <v>0</v>
      </c>
      <c r="DY241" s="37">
        <v>0</v>
      </c>
      <c r="DZ241" s="37">
        <v>0</v>
      </c>
      <c r="EA241" s="37">
        <v>0</v>
      </c>
      <c r="EB241" s="37">
        <v>0</v>
      </c>
      <c r="EC241" s="37">
        <v>0</v>
      </c>
      <c r="ED241" s="37">
        <v>0</v>
      </c>
      <c r="EE241" s="37">
        <v>0</v>
      </c>
      <c r="EF241" s="37">
        <v>0</v>
      </c>
      <c r="EG241" s="37">
        <v>0</v>
      </c>
      <c r="EH241" s="37">
        <v>0</v>
      </c>
      <c r="EI241" s="37">
        <v>0</v>
      </c>
      <c r="EJ241" s="37">
        <v>0</v>
      </c>
      <c r="EK241" s="161" t="s">
        <v>1871</v>
      </c>
      <c r="EL241" s="294" t="s">
        <v>1124</v>
      </c>
    </row>
    <row r="242" spans="1:142" ht="15" customHeight="1" x14ac:dyDescent="0.35">
      <c r="A242" s="34"/>
      <c r="B242" s="313">
        <v>42070</v>
      </c>
      <c r="C242" s="8" t="s">
        <v>389</v>
      </c>
      <c r="D242" s="18">
        <v>5</v>
      </c>
      <c r="E242" s="155"/>
      <c r="F242" s="36"/>
      <c r="G242" s="37"/>
      <c r="H242" s="37"/>
      <c r="I242" s="37"/>
      <c r="J242" s="37"/>
      <c r="K242" s="37"/>
      <c r="L242" s="37"/>
      <c r="M242" s="37" t="s">
        <v>1124</v>
      </c>
      <c r="N242" s="37" t="s">
        <v>1124</v>
      </c>
      <c r="O242" s="37"/>
      <c r="P242" s="37"/>
      <c r="Q242" s="37"/>
      <c r="R242" s="37"/>
      <c r="S242" s="37"/>
      <c r="T242" s="37"/>
      <c r="U242" s="37"/>
      <c r="V242" s="37"/>
      <c r="W242" s="37"/>
      <c r="X242" s="37"/>
      <c r="Y242" s="37"/>
      <c r="Z242" s="37"/>
      <c r="AA242" s="37" t="s">
        <v>1124</v>
      </c>
      <c r="AB242" s="37" t="s">
        <v>1124</v>
      </c>
      <c r="AC242" s="37"/>
      <c r="AD242" s="37"/>
      <c r="AE242" s="37"/>
      <c r="AF242" s="168"/>
      <c r="AG242" s="37"/>
      <c r="AH242" s="37"/>
      <c r="AI242" s="37"/>
      <c r="AJ242" s="37"/>
      <c r="AK242" s="37"/>
      <c r="AL242" s="37"/>
      <c r="AM242" s="37"/>
      <c r="AN242" s="37"/>
      <c r="AO242" s="37"/>
      <c r="AP242" s="37"/>
      <c r="AQ242" s="37"/>
      <c r="AR242" s="37" t="s">
        <v>1124</v>
      </c>
      <c r="AS242" s="37"/>
      <c r="AT242" s="37"/>
      <c r="AU242" s="37"/>
      <c r="AV242" s="37"/>
      <c r="AW242" s="37"/>
      <c r="AX242" s="37"/>
      <c r="AY242" s="37"/>
      <c r="AZ242" s="37"/>
      <c r="BA242" s="37"/>
      <c r="BB242" s="37"/>
      <c r="BC242" s="37"/>
      <c r="BD242" s="37" t="s">
        <v>1124</v>
      </c>
      <c r="BE242" s="37"/>
      <c r="BF242" s="37"/>
      <c r="BG242" s="37"/>
      <c r="BH242" s="37"/>
      <c r="BI242" s="37"/>
      <c r="BJ242" s="37"/>
      <c r="BK242" s="37"/>
      <c r="BL242" s="37"/>
      <c r="BM242" s="37"/>
      <c r="BN242" s="37"/>
      <c r="BO242" s="37"/>
      <c r="BP242" s="37">
        <v>0</v>
      </c>
      <c r="BQ242" s="37"/>
      <c r="BR242" s="37"/>
      <c r="BS242" s="37"/>
      <c r="BT242" s="37"/>
      <c r="BU242" s="37"/>
      <c r="BV242" s="37"/>
      <c r="BW242" s="37"/>
      <c r="BX242" s="37"/>
      <c r="BY242" s="37"/>
      <c r="BZ242" s="37"/>
      <c r="CA242" s="37"/>
      <c r="CB242" s="37" t="s">
        <v>1124</v>
      </c>
      <c r="CC242" s="37"/>
      <c r="CD242" s="37"/>
      <c r="CE242" s="37"/>
      <c r="CF242" s="37"/>
      <c r="CG242" s="37"/>
      <c r="CH242" s="37"/>
      <c r="CI242" s="37"/>
      <c r="CJ242" s="37"/>
      <c r="CK242" s="37"/>
      <c r="CL242" s="37"/>
      <c r="CM242" s="37"/>
      <c r="CN242" s="37" t="s">
        <v>1124</v>
      </c>
      <c r="CO242" s="37"/>
      <c r="CP242" s="37"/>
      <c r="CQ242" s="37"/>
      <c r="CR242" s="37"/>
      <c r="CS242" s="37"/>
      <c r="CT242" s="37"/>
      <c r="CU242" s="37"/>
      <c r="CV242" s="37"/>
      <c r="CW242" s="37"/>
      <c r="CX242" s="37"/>
      <c r="CY242" s="37"/>
      <c r="CZ242" s="37" t="s">
        <v>1124</v>
      </c>
      <c r="DA242" s="37"/>
      <c r="DB242" s="37"/>
      <c r="DC242" s="37"/>
      <c r="DD242" s="37"/>
      <c r="DE242" s="37"/>
      <c r="DF242" s="37"/>
      <c r="DG242" s="37"/>
      <c r="DH242" s="37"/>
      <c r="DI242" s="37"/>
      <c r="DJ242" s="37"/>
      <c r="DK242" s="37"/>
      <c r="DL242" s="37" t="s">
        <v>1124</v>
      </c>
      <c r="DM242" s="37"/>
      <c r="DN242" s="37"/>
      <c r="DO242" s="37"/>
      <c r="DP242" s="37"/>
      <c r="DQ242" s="37"/>
      <c r="DR242" s="37"/>
      <c r="DS242" s="37"/>
      <c r="DT242" s="37"/>
      <c r="DU242" s="37"/>
      <c r="DV242" s="37"/>
      <c r="DW242" s="37"/>
      <c r="DX242" s="37" t="s">
        <v>1124</v>
      </c>
      <c r="DY242" s="37"/>
      <c r="DZ242" s="37"/>
      <c r="EA242" s="37"/>
      <c r="EB242" s="37"/>
      <c r="EC242" s="37"/>
      <c r="ED242" s="37"/>
      <c r="EE242" s="37"/>
      <c r="EF242" s="37"/>
      <c r="EG242" s="37"/>
      <c r="EH242" s="37"/>
      <c r="EI242" s="37"/>
      <c r="EJ242" s="37" t="s">
        <v>1124</v>
      </c>
      <c r="EK242" s="161"/>
      <c r="EL242" s="294"/>
    </row>
    <row r="243" spans="1:142" ht="15" customHeight="1" x14ac:dyDescent="0.35">
      <c r="A243" s="34"/>
      <c r="B243" s="313">
        <v>39097</v>
      </c>
      <c r="C243" s="8" t="s">
        <v>350</v>
      </c>
      <c r="D243" s="18">
        <v>17</v>
      </c>
      <c r="E243" s="155">
        <v>108775</v>
      </c>
      <c r="F243" s="36">
        <v>92810</v>
      </c>
      <c r="G243" s="37">
        <v>0</v>
      </c>
      <c r="H243" s="37">
        <v>0</v>
      </c>
      <c r="I243" s="37">
        <v>0</v>
      </c>
      <c r="J243" s="37">
        <v>0</v>
      </c>
      <c r="K243" s="37">
        <v>16316</v>
      </c>
      <c r="L243" s="37">
        <v>13922</v>
      </c>
      <c r="M243" s="37">
        <v>125091</v>
      </c>
      <c r="N243" s="37">
        <v>106732</v>
      </c>
      <c r="O243" s="37">
        <v>8723.1200000000008</v>
      </c>
      <c r="P243" s="37">
        <v>7147</v>
      </c>
      <c r="Q243" s="37">
        <v>92968</v>
      </c>
      <c r="R243" s="37">
        <v>65604</v>
      </c>
      <c r="S243" s="37">
        <v>0</v>
      </c>
      <c r="T243" s="37">
        <v>0</v>
      </c>
      <c r="U243" s="37">
        <v>0</v>
      </c>
      <c r="V243" s="37">
        <v>0</v>
      </c>
      <c r="W243" s="37">
        <v>33450</v>
      </c>
      <c r="X243" s="37">
        <v>23931</v>
      </c>
      <c r="Y243" s="37">
        <v>0</v>
      </c>
      <c r="Z243" s="37">
        <v>0</v>
      </c>
      <c r="AA243" s="37">
        <v>135141.12</v>
      </c>
      <c r="AB243" s="37">
        <v>96682</v>
      </c>
      <c r="AC243" s="37">
        <v>0</v>
      </c>
      <c r="AD243" s="37">
        <v>0</v>
      </c>
      <c r="AE243" s="37">
        <v>0</v>
      </c>
      <c r="AF243" s="168">
        <v>0.02</v>
      </c>
      <c r="AG243" s="37">
        <v>59906401.130000003</v>
      </c>
      <c r="AH243" s="37">
        <v>596707.31999999995</v>
      </c>
      <c r="AI243" s="37">
        <v>1216291.25</v>
      </c>
      <c r="AJ243" s="37">
        <v>612912.54</v>
      </c>
      <c r="AK243" s="37">
        <v>625170.79</v>
      </c>
      <c r="AL243" s="37">
        <v>637674.21</v>
      </c>
      <c r="AM243" s="37">
        <v>650427.68999999994</v>
      </c>
      <c r="AN243" s="37">
        <v>663436.24</v>
      </c>
      <c r="AO243" s="37">
        <v>676704.97</v>
      </c>
      <c r="AP243" s="37">
        <v>690239.07</v>
      </c>
      <c r="AQ243" s="37">
        <v>704043.85</v>
      </c>
      <c r="AR243" s="37">
        <v>7073607.9300000006</v>
      </c>
      <c r="AS243" s="37">
        <v>0</v>
      </c>
      <c r="AT243" s="37">
        <v>0</v>
      </c>
      <c r="AU243" s="37">
        <v>106120.8</v>
      </c>
      <c r="AV243" s="37">
        <v>0</v>
      </c>
      <c r="AW243" s="37">
        <v>0</v>
      </c>
      <c r="AX243" s="37">
        <v>0</v>
      </c>
      <c r="AY243" s="37">
        <v>0</v>
      </c>
      <c r="AZ243" s="37">
        <v>0</v>
      </c>
      <c r="BA243" s="37">
        <v>0</v>
      </c>
      <c r="BB243" s="37">
        <v>0</v>
      </c>
      <c r="BC243" s="37">
        <v>0</v>
      </c>
      <c r="BD243" s="37">
        <v>106120.8</v>
      </c>
      <c r="BE243" s="37">
        <v>8788</v>
      </c>
      <c r="BF243" s="37">
        <v>66265.506489796608</v>
      </c>
      <c r="BG243" s="37">
        <v>71425.852828294592</v>
      </c>
      <c r="BH243" s="37">
        <v>87928.386081898469</v>
      </c>
      <c r="BI243" s="37">
        <v>104430.9546000104</v>
      </c>
      <c r="BJ243" s="37">
        <v>11342.186915105867</v>
      </c>
      <c r="BK243" s="37">
        <v>54923.319574690671</v>
      </c>
      <c r="BL243" s="37">
        <v>71425.852828294592</v>
      </c>
      <c r="BM243" s="37">
        <v>87928.386081898469</v>
      </c>
      <c r="BN243" s="37">
        <v>104430.9546000104</v>
      </c>
      <c r="BO243" s="37">
        <v>0</v>
      </c>
      <c r="BP243" s="37">
        <v>660101.4</v>
      </c>
      <c r="BQ243" s="37">
        <v>0</v>
      </c>
      <c r="BR243" s="37">
        <v>0</v>
      </c>
      <c r="BS243" s="37">
        <v>0</v>
      </c>
      <c r="BT243" s="37">
        <v>0</v>
      </c>
      <c r="BU243" s="37">
        <v>0</v>
      </c>
      <c r="BV243" s="37">
        <v>0</v>
      </c>
      <c r="BW243" s="37">
        <v>0</v>
      </c>
      <c r="BX243" s="37">
        <v>0</v>
      </c>
      <c r="BY243" s="37">
        <v>0</v>
      </c>
      <c r="BZ243" s="37">
        <v>0</v>
      </c>
      <c r="CA243" s="37">
        <v>0</v>
      </c>
      <c r="CB243" s="37">
        <v>0</v>
      </c>
      <c r="CC243" s="37">
        <v>0</v>
      </c>
      <c r="CD243" s="37">
        <v>29031.879764001678</v>
      </c>
      <c r="CE243" s="37">
        <v>31292.702360490061</v>
      </c>
      <c r="CF243" s="37">
        <v>38522.701595368584</v>
      </c>
      <c r="CG243" s="37">
        <v>45752.716280139699</v>
      </c>
      <c r="CH243" s="37">
        <v>4969.1766383901277</v>
      </c>
      <c r="CI243" s="37">
        <v>24062.703125611526</v>
      </c>
      <c r="CJ243" s="37">
        <v>31292.702360490061</v>
      </c>
      <c r="CK243" s="37">
        <v>38522.701595368584</v>
      </c>
      <c r="CL243" s="37">
        <v>45752.716280139699</v>
      </c>
      <c r="CM243" s="37">
        <v>0</v>
      </c>
      <c r="CN243" s="37">
        <v>289200.00000000006</v>
      </c>
      <c r="CO243" s="37">
        <v>0</v>
      </c>
      <c r="CP243" s="37">
        <v>0</v>
      </c>
      <c r="CQ243" s="37">
        <v>0</v>
      </c>
      <c r="CR243" s="37">
        <v>0</v>
      </c>
      <c r="CS243" s="37">
        <v>0</v>
      </c>
      <c r="CT243" s="37">
        <v>0</v>
      </c>
      <c r="CU243" s="37">
        <v>0</v>
      </c>
      <c r="CV243" s="37">
        <v>0</v>
      </c>
      <c r="CW243" s="37">
        <v>0</v>
      </c>
      <c r="CX243" s="37">
        <v>0</v>
      </c>
      <c r="CY243" s="37">
        <v>0</v>
      </c>
      <c r="CZ243" s="37">
        <v>0</v>
      </c>
      <c r="DA243" s="37">
        <v>0</v>
      </c>
      <c r="DB243" s="37">
        <v>0</v>
      </c>
      <c r="DC243" s="37">
        <v>0</v>
      </c>
      <c r="DD243" s="37">
        <v>0</v>
      </c>
      <c r="DE243" s="37">
        <v>0</v>
      </c>
      <c r="DF243" s="37">
        <v>0</v>
      </c>
      <c r="DG243" s="37">
        <v>0</v>
      </c>
      <c r="DH243" s="37">
        <v>0</v>
      </c>
      <c r="DI243" s="37">
        <v>0</v>
      </c>
      <c r="DJ243" s="37">
        <v>0</v>
      </c>
      <c r="DK243" s="37">
        <v>0</v>
      </c>
      <c r="DL243" s="37">
        <v>0</v>
      </c>
      <c r="DM243" s="37">
        <v>0</v>
      </c>
      <c r="DN243" s="37">
        <v>0</v>
      </c>
      <c r="DO243" s="37">
        <v>0</v>
      </c>
      <c r="DP243" s="37">
        <v>0</v>
      </c>
      <c r="DQ243" s="37">
        <v>0</v>
      </c>
      <c r="DR243" s="37">
        <v>0</v>
      </c>
      <c r="DS243" s="37">
        <v>0</v>
      </c>
      <c r="DT243" s="37">
        <v>0</v>
      </c>
      <c r="DU243" s="37">
        <v>0</v>
      </c>
      <c r="DV243" s="37">
        <v>0</v>
      </c>
      <c r="DW243" s="37">
        <v>0</v>
      </c>
      <c r="DX243" s="37">
        <v>0</v>
      </c>
      <c r="DY243" s="37">
        <v>0</v>
      </c>
      <c r="DZ243" s="37">
        <v>0</v>
      </c>
      <c r="EA243" s="37">
        <v>0</v>
      </c>
      <c r="EB243" s="37">
        <v>0</v>
      </c>
      <c r="EC243" s="37">
        <v>0</v>
      </c>
      <c r="ED243" s="37">
        <v>0</v>
      </c>
      <c r="EE243" s="37">
        <v>0</v>
      </c>
      <c r="EF243" s="37">
        <v>0</v>
      </c>
      <c r="EG243" s="37">
        <v>0</v>
      </c>
      <c r="EH243" s="37">
        <v>0</v>
      </c>
      <c r="EI243" s="37">
        <v>0</v>
      </c>
      <c r="EJ243" s="37">
        <v>0</v>
      </c>
      <c r="EK243" s="161" t="s">
        <v>1875</v>
      </c>
      <c r="EL243" s="294" t="s">
        <v>1124</v>
      </c>
    </row>
    <row r="244" spans="1:142" ht="15" customHeight="1" x14ac:dyDescent="0.35">
      <c r="A244" s="34"/>
      <c r="B244" s="313">
        <v>31105</v>
      </c>
      <c r="C244" s="8" t="s">
        <v>251</v>
      </c>
      <c r="D244" s="18">
        <v>12</v>
      </c>
      <c r="E244" s="155"/>
      <c r="F244" s="36"/>
      <c r="G244" s="37"/>
      <c r="H244" s="37"/>
      <c r="I244" s="37"/>
      <c r="J244" s="37"/>
      <c r="K244" s="37"/>
      <c r="L244" s="37"/>
      <c r="M244" s="37" t="s">
        <v>1124</v>
      </c>
      <c r="N244" s="37" t="s">
        <v>1124</v>
      </c>
      <c r="O244" s="37"/>
      <c r="P244" s="37"/>
      <c r="Q244" s="37"/>
      <c r="R244" s="37"/>
      <c r="S244" s="37"/>
      <c r="T244" s="37"/>
      <c r="U244" s="37"/>
      <c r="V244" s="37"/>
      <c r="W244" s="37"/>
      <c r="X244" s="37"/>
      <c r="Y244" s="37"/>
      <c r="Z244" s="37"/>
      <c r="AA244" s="37" t="s">
        <v>1124</v>
      </c>
      <c r="AB244" s="37" t="s">
        <v>1124</v>
      </c>
      <c r="AC244" s="37"/>
      <c r="AD244" s="37"/>
      <c r="AE244" s="37"/>
      <c r="AF244" s="168"/>
      <c r="AG244" s="37"/>
      <c r="AH244" s="37"/>
      <c r="AI244" s="37"/>
      <c r="AJ244" s="37"/>
      <c r="AK244" s="37"/>
      <c r="AL244" s="37"/>
      <c r="AM244" s="37"/>
      <c r="AN244" s="37"/>
      <c r="AO244" s="37"/>
      <c r="AP244" s="37"/>
      <c r="AQ244" s="37"/>
      <c r="AR244" s="37" t="s">
        <v>1124</v>
      </c>
      <c r="AS244" s="37"/>
      <c r="AT244" s="37"/>
      <c r="AU244" s="37"/>
      <c r="AV244" s="37"/>
      <c r="AW244" s="37"/>
      <c r="AX244" s="37"/>
      <c r="AY244" s="37"/>
      <c r="AZ244" s="37"/>
      <c r="BA244" s="37"/>
      <c r="BB244" s="37"/>
      <c r="BC244" s="37"/>
      <c r="BD244" s="37" t="s">
        <v>1124</v>
      </c>
      <c r="BE244" s="37"/>
      <c r="BF244" s="37"/>
      <c r="BG244" s="37"/>
      <c r="BH244" s="37"/>
      <c r="BI244" s="37"/>
      <c r="BJ244" s="37"/>
      <c r="BK244" s="37"/>
      <c r="BL244" s="37"/>
      <c r="BM244" s="37"/>
      <c r="BN244" s="37"/>
      <c r="BO244" s="37"/>
      <c r="BP244" s="37">
        <v>0</v>
      </c>
      <c r="BQ244" s="37"/>
      <c r="BR244" s="37"/>
      <c r="BS244" s="37"/>
      <c r="BT244" s="37"/>
      <c r="BU244" s="37"/>
      <c r="BV244" s="37"/>
      <c r="BW244" s="37"/>
      <c r="BX244" s="37"/>
      <c r="BY244" s="37"/>
      <c r="BZ244" s="37"/>
      <c r="CA244" s="37"/>
      <c r="CB244" s="37" t="s">
        <v>1124</v>
      </c>
      <c r="CC244" s="37"/>
      <c r="CD244" s="37"/>
      <c r="CE244" s="37"/>
      <c r="CF244" s="37"/>
      <c r="CG244" s="37"/>
      <c r="CH244" s="37"/>
      <c r="CI244" s="37"/>
      <c r="CJ244" s="37"/>
      <c r="CK244" s="37"/>
      <c r="CL244" s="37"/>
      <c r="CM244" s="37"/>
      <c r="CN244" s="37" t="s">
        <v>1124</v>
      </c>
      <c r="CO244" s="37"/>
      <c r="CP244" s="37"/>
      <c r="CQ244" s="37"/>
      <c r="CR244" s="37"/>
      <c r="CS244" s="37"/>
      <c r="CT244" s="37"/>
      <c r="CU244" s="37"/>
      <c r="CV244" s="37"/>
      <c r="CW244" s="37"/>
      <c r="CX244" s="37"/>
      <c r="CY244" s="37"/>
      <c r="CZ244" s="37" t="s">
        <v>1124</v>
      </c>
      <c r="DA244" s="37"/>
      <c r="DB244" s="37"/>
      <c r="DC244" s="37"/>
      <c r="DD244" s="37"/>
      <c r="DE244" s="37"/>
      <c r="DF244" s="37"/>
      <c r="DG244" s="37"/>
      <c r="DH244" s="37"/>
      <c r="DI244" s="37"/>
      <c r="DJ244" s="37"/>
      <c r="DK244" s="37"/>
      <c r="DL244" s="37" t="s">
        <v>1124</v>
      </c>
      <c r="DM244" s="37"/>
      <c r="DN244" s="37"/>
      <c r="DO244" s="37"/>
      <c r="DP244" s="37"/>
      <c r="DQ244" s="37"/>
      <c r="DR244" s="37"/>
      <c r="DS244" s="37"/>
      <c r="DT244" s="37"/>
      <c r="DU244" s="37"/>
      <c r="DV244" s="37"/>
      <c r="DW244" s="37"/>
      <c r="DX244" s="37" t="s">
        <v>1124</v>
      </c>
      <c r="DY244" s="37"/>
      <c r="DZ244" s="37"/>
      <c r="EA244" s="37"/>
      <c r="EB244" s="37"/>
      <c r="EC244" s="37"/>
      <c r="ED244" s="37"/>
      <c r="EE244" s="37"/>
      <c r="EF244" s="37"/>
      <c r="EG244" s="37"/>
      <c r="EH244" s="37"/>
      <c r="EI244" s="37"/>
      <c r="EJ244" s="37" t="s">
        <v>1124</v>
      </c>
      <c r="EK244" s="161"/>
      <c r="EL244" s="294"/>
    </row>
    <row r="245" spans="1:142" ht="15" customHeight="1" x14ac:dyDescent="0.35">
      <c r="A245" s="34"/>
      <c r="B245" s="313">
        <v>85010</v>
      </c>
      <c r="C245" s="8" t="s">
        <v>871</v>
      </c>
      <c r="D245" s="18">
        <v>8</v>
      </c>
      <c r="E245" s="155">
        <v>24971</v>
      </c>
      <c r="F245" s="36">
        <v>82324</v>
      </c>
      <c r="G245" s="37">
        <v>0</v>
      </c>
      <c r="H245" s="37">
        <v>0</v>
      </c>
      <c r="I245" s="37">
        <v>0</v>
      </c>
      <c r="J245" s="37">
        <v>0</v>
      </c>
      <c r="K245" s="37">
        <v>3745.65</v>
      </c>
      <c r="L245" s="37">
        <v>12438</v>
      </c>
      <c r="M245" s="37">
        <v>28716.65</v>
      </c>
      <c r="N245" s="37">
        <v>94762</v>
      </c>
      <c r="O245" s="37">
        <v>0</v>
      </c>
      <c r="P245" s="37">
        <v>0</v>
      </c>
      <c r="Q245" s="37">
        <v>10815</v>
      </c>
      <c r="R245" s="37">
        <v>10815</v>
      </c>
      <c r="S245" s="37">
        <v>0</v>
      </c>
      <c r="T245" s="37">
        <v>0</v>
      </c>
      <c r="U245" s="37">
        <v>0</v>
      </c>
      <c r="V245" s="37">
        <v>0</v>
      </c>
      <c r="W245" s="37">
        <v>50924</v>
      </c>
      <c r="X245" s="37">
        <v>50925</v>
      </c>
      <c r="Y245" s="37">
        <v>0</v>
      </c>
      <c r="Z245" s="37">
        <v>0</v>
      </c>
      <c r="AA245" s="37">
        <v>61739</v>
      </c>
      <c r="AB245" s="37">
        <v>61740</v>
      </c>
      <c r="AC245" s="37">
        <v>0</v>
      </c>
      <c r="AD245" s="37">
        <v>0</v>
      </c>
      <c r="AE245" s="37">
        <v>0</v>
      </c>
      <c r="AF245" s="168">
        <v>0.02</v>
      </c>
      <c r="AG245" s="37">
        <v>3301346.46</v>
      </c>
      <c r="AH245" s="37">
        <v>33090.06</v>
      </c>
      <c r="AI245" s="37">
        <v>35343.67</v>
      </c>
      <c r="AJ245" s="37">
        <v>32262.03</v>
      </c>
      <c r="AK245" s="37">
        <v>32907.269999999997</v>
      </c>
      <c r="AL245" s="37">
        <v>92125.86</v>
      </c>
      <c r="AM245" s="37">
        <v>34236.730000000003</v>
      </c>
      <c r="AN245" s="37">
        <v>34921.46</v>
      </c>
      <c r="AO245" s="37">
        <v>35619.89</v>
      </c>
      <c r="AP245" s="37">
        <v>36332.29</v>
      </c>
      <c r="AQ245" s="37">
        <v>37058.93</v>
      </c>
      <c r="AR245" s="37">
        <v>403898.18999999994</v>
      </c>
      <c r="AS245" s="37">
        <v>0</v>
      </c>
      <c r="AT245" s="37">
        <v>0</v>
      </c>
      <c r="AU245" s="37">
        <v>0</v>
      </c>
      <c r="AV245" s="37">
        <v>0</v>
      </c>
      <c r="AW245" s="37">
        <v>0</v>
      </c>
      <c r="AX245" s="37">
        <v>0</v>
      </c>
      <c r="AY245" s="37">
        <v>0</v>
      </c>
      <c r="AZ245" s="37">
        <v>0</v>
      </c>
      <c r="BA245" s="37">
        <v>0</v>
      </c>
      <c r="BB245" s="37">
        <v>0</v>
      </c>
      <c r="BC245" s="37">
        <v>0</v>
      </c>
      <c r="BD245" s="37">
        <v>0</v>
      </c>
      <c r="BE245" s="37">
        <v>0</v>
      </c>
      <c r="BF245" s="37">
        <v>0</v>
      </c>
      <c r="BG245" s="37">
        <v>0</v>
      </c>
      <c r="BH245" s="37">
        <v>0</v>
      </c>
      <c r="BI245" s="37">
        <v>0</v>
      </c>
      <c r="BJ245" s="37">
        <v>0</v>
      </c>
      <c r="BK245" s="37">
        <v>0</v>
      </c>
      <c r="BL245" s="37">
        <v>0</v>
      </c>
      <c r="BM245" s="37">
        <v>0</v>
      </c>
      <c r="BN245" s="37">
        <v>0</v>
      </c>
      <c r="BO245" s="37">
        <v>0</v>
      </c>
      <c r="BP245" s="37">
        <v>0</v>
      </c>
      <c r="BQ245" s="37">
        <v>0</v>
      </c>
      <c r="BR245" s="37">
        <v>0</v>
      </c>
      <c r="BS245" s="37">
        <v>0</v>
      </c>
      <c r="BT245" s="37">
        <v>0</v>
      </c>
      <c r="BU245" s="37">
        <v>0</v>
      </c>
      <c r="BV245" s="37">
        <v>0</v>
      </c>
      <c r="BW245" s="37">
        <v>0</v>
      </c>
      <c r="BX245" s="37">
        <v>0</v>
      </c>
      <c r="BY245" s="37">
        <v>0</v>
      </c>
      <c r="BZ245" s="37">
        <v>0</v>
      </c>
      <c r="CA245" s="37">
        <v>0</v>
      </c>
      <c r="CB245" s="37">
        <v>0</v>
      </c>
      <c r="CC245" s="37">
        <v>0</v>
      </c>
      <c r="CD245" s="37">
        <v>0</v>
      </c>
      <c r="CE245" s="37">
        <v>0</v>
      </c>
      <c r="CF245" s="37">
        <v>0</v>
      </c>
      <c r="CG245" s="37">
        <v>0</v>
      </c>
      <c r="CH245" s="37">
        <v>0</v>
      </c>
      <c r="CI245" s="37">
        <v>0</v>
      </c>
      <c r="CJ245" s="37">
        <v>0</v>
      </c>
      <c r="CK245" s="37">
        <v>0</v>
      </c>
      <c r="CL245" s="37">
        <v>0</v>
      </c>
      <c r="CM245" s="37">
        <v>0</v>
      </c>
      <c r="CN245" s="37">
        <v>0</v>
      </c>
      <c r="CO245" s="37">
        <v>0</v>
      </c>
      <c r="CP245" s="37">
        <v>0</v>
      </c>
      <c r="CQ245" s="37">
        <v>0</v>
      </c>
      <c r="CR245" s="37">
        <v>0</v>
      </c>
      <c r="CS245" s="37">
        <v>0</v>
      </c>
      <c r="CT245" s="37">
        <v>0</v>
      </c>
      <c r="CU245" s="37">
        <v>0</v>
      </c>
      <c r="CV245" s="37">
        <v>0</v>
      </c>
      <c r="CW245" s="37">
        <v>0</v>
      </c>
      <c r="CX245" s="37">
        <v>0</v>
      </c>
      <c r="CY245" s="37">
        <v>0</v>
      </c>
      <c r="CZ245" s="37">
        <v>0</v>
      </c>
      <c r="DA245" s="37">
        <v>0</v>
      </c>
      <c r="DB245" s="37">
        <v>0</v>
      </c>
      <c r="DC245" s="37">
        <v>0</v>
      </c>
      <c r="DD245" s="37">
        <v>0</v>
      </c>
      <c r="DE245" s="37">
        <v>0</v>
      </c>
      <c r="DF245" s="37">
        <v>0</v>
      </c>
      <c r="DG245" s="37">
        <v>0</v>
      </c>
      <c r="DH245" s="37">
        <v>0</v>
      </c>
      <c r="DI245" s="37">
        <v>0</v>
      </c>
      <c r="DJ245" s="37">
        <v>0</v>
      </c>
      <c r="DK245" s="37">
        <v>0</v>
      </c>
      <c r="DL245" s="37">
        <v>0</v>
      </c>
      <c r="DM245" s="37">
        <v>0</v>
      </c>
      <c r="DN245" s="37">
        <v>0</v>
      </c>
      <c r="DO245" s="37">
        <v>0</v>
      </c>
      <c r="DP245" s="37">
        <v>0</v>
      </c>
      <c r="DQ245" s="37">
        <v>0</v>
      </c>
      <c r="DR245" s="37">
        <v>0</v>
      </c>
      <c r="DS245" s="37">
        <v>0</v>
      </c>
      <c r="DT245" s="37">
        <v>0</v>
      </c>
      <c r="DU245" s="37">
        <v>0</v>
      </c>
      <c r="DV245" s="37">
        <v>0</v>
      </c>
      <c r="DW245" s="37">
        <v>0</v>
      </c>
      <c r="DX245" s="37">
        <v>0</v>
      </c>
      <c r="DY245" s="37">
        <v>0</v>
      </c>
      <c r="DZ245" s="37">
        <v>0</v>
      </c>
      <c r="EA245" s="37">
        <v>0</v>
      </c>
      <c r="EB245" s="37">
        <v>0</v>
      </c>
      <c r="EC245" s="37">
        <v>0</v>
      </c>
      <c r="ED245" s="37">
        <v>0</v>
      </c>
      <c r="EE245" s="37">
        <v>0</v>
      </c>
      <c r="EF245" s="37">
        <v>0</v>
      </c>
      <c r="EG245" s="37">
        <v>0</v>
      </c>
      <c r="EH245" s="37">
        <v>0</v>
      </c>
      <c r="EI245" s="37">
        <v>0</v>
      </c>
      <c r="EJ245" s="37">
        <v>0</v>
      </c>
      <c r="EK245" s="161" t="s">
        <v>1878</v>
      </c>
      <c r="EL245" s="294" t="s">
        <v>1124</v>
      </c>
    </row>
    <row r="246" spans="1:142" ht="15" customHeight="1" x14ac:dyDescent="0.35">
      <c r="A246" s="34"/>
      <c r="B246" s="313">
        <v>66102</v>
      </c>
      <c r="C246" s="8" t="s">
        <v>657</v>
      </c>
      <c r="D246" s="18">
        <v>6</v>
      </c>
      <c r="E246" s="155">
        <v>2372334.8200370632</v>
      </c>
      <c r="F246" s="36">
        <v>1092784.6263699403</v>
      </c>
      <c r="G246" s="37">
        <v>101154.41414850343</v>
      </c>
      <c r="H246" s="37">
        <v>101690.61263100852</v>
      </c>
      <c r="I246" s="37">
        <v>210433.94657871171</v>
      </c>
      <c r="J246" s="37">
        <v>201279.78354973113</v>
      </c>
      <c r="K246" s="37">
        <v>131108.51490734116</v>
      </c>
      <c r="L246" s="37">
        <v>123493.35560793371</v>
      </c>
      <c r="M246" s="37">
        <v>2815031.6956716194</v>
      </c>
      <c r="N246" s="37">
        <v>1519248.3781586136</v>
      </c>
      <c r="O246" s="37">
        <v>1487343.9302632702</v>
      </c>
      <c r="P246" s="37">
        <v>41618.653815080339</v>
      </c>
      <c r="Q246" s="37">
        <v>0</v>
      </c>
      <c r="R246" s="37">
        <v>0</v>
      </c>
      <c r="S246" s="37">
        <v>15327.153763059638</v>
      </c>
      <c r="T246" s="37">
        <v>5056.2376052395193</v>
      </c>
      <c r="U246" s="37">
        <v>28444.943773365805</v>
      </c>
      <c r="V246" s="37">
        <v>0</v>
      </c>
      <c r="W246" s="37">
        <v>3489013.0661062608</v>
      </c>
      <c r="X246" s="37">
        <v>1286662.3447850812</v>
      </c>
      <c r="Y246" s="37">
        <v>0</v>
      </c>
      <c r="Z246" s="37">
        <v>0</v>
      </c>
      <c r="AA246" s="37">
        <v>5020129.0939059556</v>
      </c>
      <c r="AB246" s="37">
        <v>1333337.2362054011</v>
      </c>
      <c r="AC246" s="37">
        <v>2019186</v>
      </c>
      <c r="AD246" s="37">
        <v>32126.275036900915</v>
      </c>
      <c r="AE246" s="37">
        <v>199089.35570630606</v>
      </c>
      <c r="AF246" s="168">
        <v>0.02</v>
      </c>
      <c r="AG246" s="37">
        <v>526294058.57999998</v>
      </c>
      <c r="AH246" s="37">
        <v>6545237.6799999997</v>
      </c>
      <c r="AI246" s="37">
        <v>6434766.6900000004</v>
      </c>
      <c r="AJ246" s="37">
        <v>6462643.8399999999</v>
      </c>
      <c r="AK246" s="37">
        <v>6702435.4000000004</v>
      </c>
      <c r="AL246" s="37">
        <v>6860062.9699999997</v>
      </c>
      <c r="AM246" s="37">
        <v>7252605.2400000002</v>
      </c>
      <c r="AN246" s="37">
        <v>7421580.0899999999</v>
      </c>
      <c r="AO246" s="37">
        <v>7452993.21</v>
      </c>
      <c r="AP246" s="37">
        <v>7703962.0899999999</v>
      </c>
      <c r="AQ246" s="37">
        <v>7859820.2999999998</v>
      </c>
      <c r="AR246" s="37">
        <v>70696107.50999999</v>
      </c>
      <c r="AS246" s="37">
        <v>19881697.800000001</v>
      </c>
      <c r="AT246" s="37">
        <v>1789425.53</v>
      </c>
      <c r="AU246" s="37">
        <v>2573831.0499999998</v>
      </c>
      <c r="AV246" s="37">
        <v>4848288.8499999996</v>
      </c>
      <c r="AW246" s="37">
        <v>5234059.45</v>
      </c>
      <c r="AX246" s="37">
        <v>2291015.86</v>
      </c>
      <c r="AY246" s="37">
        <v>5684216.2800000003</v>
      </c>
      <c r="AZ246" s="37">
        <v>5490560.5999999996</v>
      </c>
      <c r="BA246" s="37">
        <v>5487867.4800000004</v>
      </c>
      <c r="BB246" s="37">
        <v>5780527.46</v>
      </c>
      <c r="BC246" s="37">
        <v>5550079.4199999999</v>
      </c>
      <c r="BD246" s="37">
        <v>44729871.980000004</v>
      </c>
      <c r="BE246" s="37">
        <v>64435.085727420585</v>
      </c>
      <c r="BF246" s="37">
        <v>349989.29885726079</v>
      </c>
      <c r="BG246" s="37">
        <v>396225.03752436832</v>
      </c>
      <c r="BH246" s="37">
        <v>479556.22599473782</v>
      </c>
      <c r="BI246" s="37">
        <v>239176.46693665499</v>
      </c>
      <c r="BJ246" s="37">
        <v>221151.07114180291</v>
      </c>
      <c r="BK246" s="37">
        <v>221151.07114180291</v>
      </c>
      <c r="BL246" s="37">
        <v>221151.07114180291</v>
      </c>
      <c r="BM246" s="37">
        <v>39222.348571330025</v>
      </c>
      <c r="BN246" s="37">
        <v>0</v>
      </c>
      <c r="BO246" s="37">
        <v>0</v>
      </c>
      <c r="BP246" s="37">
        <v>2167622.5913097607</v>
      </c>
      <c r="BQ246" s="37">
        <v>1035216.7340637166</v>
      </c>
      <c r="BR246" s="37">
        <v>1429699.098490549</v>
      </c>
      <c r="BS246" s="37">
        <v>1833915.7190411245</v>
      </c>
      <c r="BT246" s="37">
        <v>1633932.8394300193</v>
      </c>
      <c r="BU246" s="37">
        <v>1797225.5102692316</v>
      </c>
      <c r="BV246" s="37">
        <v>1584069.5007559303</v>
      </c>
      <c r="BW246" s="37">
        <v>1599334.0447897986</v>
      </c>
      <c r="BX246" s="37">
        <v>1862151.1605657525</v>
      </c>
      <c r="BY246" s="37">
        <v>2370134.1944127269</v>
      </c>
      <c r="BZ246" s="37">
        <v>2033150.5608758025</v>
      </c>
      <c r="CA246" s="37">
        <v>2317039.1361663714</v>
      </c>
      <c r="CB246" s="37">
        <v>18460651.764797308</v>
      </c>
      <c r="CC246" s="37">
        <v>167841.53350244541</v>
      </c>
      <c r="CD246" s="37">
        <v>160060.95126694598</v>
      </c>
      <c r="CE246" s="37">
        <v>187863.41300875263</v>
      </c>
      <c r="CF246" s="37">
        <v>113149.28828692589</v>
      </c>
      <c r="CG246" s="37">
        <v>107445.04911133979</v>
      </c>
      <c r="CH246" s="37">
        <v>118853.52746251198</v>
      </c>
      <c r="CI246" s="37">
        <v>124557.76663809808</v>
      </c>
      <c r="CJ246" s="37">
        <v>124557.76663809808</v>
      </c>
      <c r="CK246" s="37">
        <v>124557.76663809808</v>
      </c>
      <c r="CL246" s="37">
        <v>124557.76663809808</v>
      </c>
      <c r="CM246" s="37">
        <v>124557.76663809808</v>
      </c>
      <c r="CN246" s="37">
        <v>1310161.0623269668</v>
      </c>
      <c r="CO246" s="37">
        <v>306716.94047126459</v>
      </c>
      <c r="CP246" s="37">
        <v>167373.78589004735</v>
      </c>
      <c r="CQ246" s="37">
        <v>426049.62402452581</v>
      </c>
      <c r="CR246" s="37">
        <v>1338355.5079764412</v>
      </c>
      <c r="CS246" s="37">
        <v>156980.66211212947</v>
      </c>
      <c r="CT246" s="37">
        <v>95831.218149846478</v>
      </c>
      <c r="CU246" s="37">
        <v>132338.34887359751</v>
      </c>
      <c r="CV246" s="37">
        <v>91267.826809377599</v>
      </c>
      <c r="CW246" s="37">
        <v>0</v>
      </c>
      <c r="CX246" s="37">
        <v>0</v>
      </c>
      <c r="CY246" s="37">
        <v>0</v>
      </c>
      <c r="CZ246" s="37">
        <v>2408196.9738359656</v>
      </c>
      <c r="DA246" s="37">
        <v>802962.93179055303</v>
      </c>
      <c r="DB246" s="37">
        <v>344946.75142604264</v>
      </c>
      <c r="DC246" s="37">
        <v>345870.83817248762</v>
      </c>
      <c r="DD246" s="37">
        <v>1489635.1481038795</v>
      </c>
      <c r="DE246" s="37">
        <v>2653988.5442682425</v>
      </c>
      <c r="DF246" s="37">
        <v>199100.76418465725</v>
      </c>
      <c r="DG246" s="37">
        <v>373467.94730397314</v>
      </c>
      <c r="DH246" s="37">
        <v>146005.70593830181</v>
      </c>
      <c r="DI246" s="37">
        <v>122572.69140499413</v>
      </c>
      <c r="DJ246" s="37">
        <v>276758.27632108639</v>
      </c>
      <c r="DK246" s="37">
        <v>0</v>
      </c>
      <c r="DL246" s="37">
        <v>5952346.667123666</v>
      </c>
      <c r="DM246" s="37">
        <v>74063.841455809918</v>
      </c>
      <c r="DN246" s="37">
        <v>64697.480729497547</v>
      </c>
      <c r="DO246" s="37">
        <v>2201.8363217762349</v>
      </c>
      <c r="DP246" s="37">
        <v>0</v>
      </c>
      <c r="DQ246" s="37">
        <v>0</v>
      </c>
      <c r="DR246" s="37">
        <v>0</v>
      </c>
      <c r="DS246" s="37">
        <v>0</v>
      </c>
      <c r="DT246" s="37">
        <v>0</v>
      </c>
      <c r="DU246" s="37">
        <v>0</v>
      </c>
      <c r="DV246" s="37">
        <v>0</v>
      </c>
      <c r="DW246" s="37">
        <v>0</v>
      </c>
      <c r="DX246" s="37">
        <v>66899.317051273785</v>
      </c>
      <c r="DY246" s="37">
        <v>0</v>
      </c>
      <c r="DZ246" s="37">
        <v>0</v>
      </c>
      <c r="EA246" s="37">
        <v>0</v>
      </c>
      <c r="EB246" s="37">
        <v>0</v>
      </c>
      <c r="EC246" s="37">
        <v>0</v>
      </c>
      <c r="ED246" s="37">
        <v>0</v>
      </c>
      <c r="EE246" s="37">
        <v>0</v>
      </c>
      <c r="EF246" s="37">
        <v>0</v>
      </c>
      <c r="EG246" s="37">
        <v>0</v>
      </c>
      <c r="EH246" s="37">
        <v>0</v>
      </c>
      <c r="EI246" s="37">
        <v>0</v>
      </c>
      <c r="EJ246" s="37">
        <v>0</v>
      </c>
      <c r="EK246" s="161" t="s">
        <v>1124</v>
      </c>
      <c r="EL246" s="294" t="s">
        <v>1124</v>
      </c>
    </row>
    <row r="247" spans="1:142" ht="15" customHeight="1" x14ac:dyDescent="0.35">
      <c r="A247" s="34"/>
      <c r="B247" s="313">
        <v>90017</v>
      </c>
      <c r="C247" s="8" t="s">
        <v>935</v>
      </c>
      <c r="D247" s="18">
        <v>4</v>
      </c>
      <c r="E247" s="155"/>
      <c r="F247" s="36"/>
      <c r="G247" s="37"/>
      <c r="H247" s="37"/>
      <c r="I247" s="37"/>
      <c r="J247" s="37"/>
      <c r="K247" s="37"/>
      <c r="L247" s="37"/>
      <c r="M247" s="37" t="s">
        <v>1124</v>
      </c>
      <c r="N247" s="37" t="s">
        <v>1124</v>
      </c>
      <c r="O247" s="37"/>
      <c r="P247" s="37"/>
      <c r="Q247" s="37"/>
      <c r="R247" s="37"/>
      <c r="S247" s="37"/>
      <c r="T247" s="37"/>
      <c r="U247" s="37"/>
      <c r="V247" s="37"/>
      <c r="W247" s="37"/>
      <c r="X247" s="37"/>
      <c r="Y247" s="37"/>
      <c r="Z247" s="37"/>
      <c r="AA247" s="37" t="s">
        <v>1124</v>
      </c>
      <c r="AB247" s="37" t="s">
        <v>1124</v>
      </c>
      <c r="AC247" s="37"/>
      <c r="AD247" s="37"/>
      <c r="AE247" s="37"/>
      <c r="AF247" s="168"/>
      <c r="AG247" s="37"/>
      <c r="AH247" s="37"/>
      <c r="AI247" s="37"/>
      <c r="AJ247" s="37"/>
      <c r="AK247" s="37"/>
      <c r="AL247" s="37"/>
      <c r="AM247" s="37"/>
      <c r="AN247" s="37"/>
      <c r="AO247" s="37"/>
      <c r="AP247" s="37"/>
      <c r="AQ247" s="37"/>
      <c r="AR247" s="37" t="s">
        <v>1124</v>
      </c>
      <c r="AS247" s="37"/>
      <c r="AT247" s="37"/>
      <c r="AU247" s="37"/>
      <c r="AV247" s="37"/>
      <c r="AW247" s="37"/>
      <c r="AX247" s="37"/>
      <c r="AY247" s="37"/>
      <c r="AZ247" s="37"/>
      <c r="BA247" s="37"/>
      <c r="BB247" s="37"/>
      <c r="BC247" s="37"/>
      <c r="BD247" s="37" t="s">
        <v>1124</v>
      </c>
      <c r="BE247" s="37"/>
      <c r="BF247" s="37"/>
      <c r="BG247" s="37"/>
      <c r="BH247" s="37"/>
      <c r="BI247" s="37"/>
      <c r="BJ247" s="37"/>
      <c r="BK247" s="37"/>
      <c r="BL247" s="37"/>
      <c r="BM247" s="37"/>
      <c r="BN247" s="37"/>
      <c r="BO247" s="37"/>
      <c r="BP247" s="37">
        <v>0</v>
      </c>
      <c r="BQ247" s="37"/>
      <c r="BR247" s="37"/>
      <c r="BS247" s="37"/>
      <c r="BT247" s="37"/>
      <c r="BU247" s="37"/>
      <c r="BV247" s="37"/>
      <c r="BW247" s="37"/>
      <c r="BX247" s="37"/>
      <c r="BY247" s="37"/>
      <c r="BZ247" s="37"/>
      <c r="CA247" s="37"/>
      <c r="CB247" s="37" t="s">
        <v>1124</v>
      </c>
      <c r="CC247" s="37"/>
      <c r="CD247" s="37"/>
      <c r="CE247" s="37"/>
      <c r="CF247" s="37"/>
      <c r="CG247" s="37"/>
      <c r="CH247" s="37"/>
      <c r="CI247" s="37"/>
      <c r="CJ247" s="37"/>
      <c r="CK247" s="37"/>
      <c r="CL247" s="37"/>
      <c r="CM247" s="37"/>
      <c r="CN247" s="37" t="s">
        <v>1124</v>
      </c>
      <c r="CO247" s="37"/>
      <c r="CP247" s="37"/>
      <c r="CQ247" s="37"/>
      <c r="CR247" s="37"/>
      <c r="CS247" s="37"/>
      <c r="CT247" s="37"/>
      <c r="CU247" s="37"/>
      <c r="CV247" s="37"/>
      <c r="CW247" s="37"/>
      <c r="CX247" s="37"/>
      <c r="CY247" s="37"/>
      <c r="CZ247" s="37" t="s">
        <v>1124</v>
      </c>
      <c r="DA247" s="37"/>
      <c r="DB247" s="37"/>
      <c r="DC247" s="37"/>
      <c r="DD247" s="37"/>
      <c r="DE247" s="37"/>
      <c r="DF247" s="37"/>
      <c r="DG247" s="37"/>
      <c r="DH247" s="37"/>
      <c r="DI247" s="37"/>
      <c r="DJ247" s="37"/>
      <c r="DK247" s="37"/>
      <c r="DL247" s="37" t="s">
        <v>1124</v>
      </c>
      <c r="DM247" s="37"/>
      <c r="DN247" s="37"/>
      <c r="DO247" s="37"/>
      <c r="DP247" s="37"/>
      <c r="DQ247" s="37"/>
      <c r="DR247" s="37"/>
      <c r="DS247" s="37"/>
      <c r="DT247" s="37"/>
      <c r="DU247" s="37"/>
      <c r="DV247" s="37"/>
      <c r="DW247" s="37"/>
      <c r="DX247" s="37" t="s">
        <v>1124</v>
      </c>
      <c r="DY247" s="37"/>
      <c r="DZ247" s="37"/>
      <c r="EA247" s="37"/>
      <c r="EB247" s="37"/>
      <c r="EC247" s="37"/>
      <c r="ED247" s="37"/>
      <c r="EE247" s="37"/>
      <c r="EF247" s="37"/>
      <c r="EG247" s="37"/>
      <c r="EH247" s="37"/>
      <c r="EI247" s="37"/>
      <c r="EJ247" s="37" t="s">
        <v>1124</v>
      </c>
      <c r="EK247" s="161"/>
      <c r="EL247" s="294"/>
    </row>
    <row r="248" spans="1:142" ht="15" customHeight="1" x14ac:dyDescent="0.35">
      <c r="A248" s="34"/>
      <c r="B248" s="313">
        <v>78115</v>
      </c>
      <c r="C248" s="8" t="s">
        <v>782</v>
      </c>
      <c r="D248" s="18">
        <v>15</v>
      </c>
      <c r="E248" s="155">
        <v>55915</v>
      </c>
      <c r="F248" s="36">
        <v>43004</v>
      </c>
      <c r="G248" s="37">
        <v>70848</v>
      </c>
      <c r="H248" s="37">
        <v>19983</v>
      </c>
      <c r="I248" s="37">
        <v>248200</v>
      </c>
      <c r="J248" s="37">
        <v>96400</v>
      </c>
      <c r="K248" s="37">
        <v>9867</v>
      </c>
      <c r="L248" s="37">
        <v>7589</v>
      </c>
      <c r="M248" s="37">
        <v>384830</v>
      </c>
      <c r="N248" s="37">
        <v>166976</v>
      </c>
      <c r="O248" s="37">
        <v>0</v>
      </c>
      <c r="P248" s="37">
        <v>0</v>
      </c>
      <c r="Q248" s="37">
        <v>145405.73000000001</v>
      </c>
      <c r="R248" s="37">
        <v>79174</v>
      </c>
      <c r="S248" s="37">
        <v>2700</v>
      </c>
      <c r="T248" s="37">
        <v>0</v>
      </c>
      <c r="U248" s="37">
        <v>239409</v>
      </c>
      <c r="V248" s="37">
        <v>117453.58</v>
      </c>
      <c r="W248" s="37">
        <v>0</v>
      </c>
      <c r="X248" s="37">
        <v>0</v>
      </c>
      <c r="Y248" s="37">
        <v>0</v>
      </c>
      <c r="Z248" s="37">
        <v>0</v>
      </c>
      <c r="AA248" s="37">
        <v>387514.73</v>
      </c>
      <c r="AB248" s="37">
        <v>196627.58000000002</v>
      </c>
      <c r="AC248" s="37">
        <v>32336</v>
      </c>
      <c r="AD248" s="37">
        <v>15544.4</v>
      </c>
      <c r="AE248" s="37">
        <v>69057.959999999992</v>
      </c>
      <c r="AF248" s="168">
        <v>0.02</v>
      </c>
      <c r="AG248" s="37">
        <v>15380454.6</v>
      </c>
      <c r="AH248" s="37">
        <v>108611.07</v>
      </c>
      <c r="AI248" s="37">
        <v>110783.29</v>
      </c>
      <c r="AJ248" s="37">
        <v>112998.96</v>
      </c>
      <c r="AK248" s="37">
        <v>115258.94</v>
      </c>
      <c r="AL248" s="37">
        <v>117564.12</v>
      </c>
      <c r="AM248" s="37">
        <v>119915.4</v>
      </c>
      <c r="AN248" s="37">
        <v>122313.71</v>
      </c>
      <c r="AO248" s="37">
        <v>124759.98</v>
      </c>
      <c r="AP248" s="37">
        <v>127255.18</v>
      </c>
      <c r="AQ248" s="37">
        <v>129800.29</v>
      </c>
      <c r="AR248" s="37">
        <v>1189260.9400000002</v>
      </c>
      <c r="AS248" s="37">
        <v>308999.82</v>
      </c>
      <c r="AT248" s="37">
        <v>0</v>
      </c>
      <c r="AU248" s="37">
        <v>0</v>
      </c>
      <c r="AV248" s="37">
        <v>0</v>
      </c>
      <c r="AW248" s="37">
        <v>0</v>
      </c>
      <c r="AX248" s="37">
        <v>0</v>
      </c>
      <c r="AY248" s="37">
        <v>0</v>
      </c>
      <c r="AZ248" s="37">
        <v>0</v>
      </c>
      <c r="BA248" s="37">
        <v>0</v>
      </c>
      <c r="BB248" s="37">
        <v>0</v>
      </c>
      <c r="BC248" s="37">
        <v>0</v>
      </c>
      <c r="BD248" s="37">
        <v>0</v>
      </c>
      <c r="BE248" s="37">
        <v>21583</v>
      </c>
      <c r="BF248" s="37">
        <v>152000</v>
      </c>
      <c r="BG248" s="37">
        <v>0</v>
      </c>
      <c r="BH248" s="37">
        <v>0</v>
      </c>
      <c r="BI248" s="37">
        <v>0</v>
      </c>
      <c r="BJ248" s="37">
        <v>0</v>
      </c>
      <c r="BK248" s="37">
        <v>0</v>
      </c>
      <c r="BL248" s="37">
        <v>0</v>
      </c>
      <c r="BM248" s="37">
        <v>0</v>
      </c>
      <c r="BN248" s="37">
        <v>0</v>
      </c>
      <c r="BO248" s="37">
        <v>0</v>
      </c>
      <c r="BP248" s="37">
        <v>152000</v>
      </c>
      <c r="BQ248" s="37">
        <v>0</v>
      </c>
      <c r="BR248" s="37">
        <v>0</v>
      </c>
      <c r="BS248" s="37">
        <v>0</v>
      </c>
      <c r="BT248" s="37">
        <v>0</v>
      </c>
      <c r="BU248" s="37">
        <v>0</v>
      </c>
      <c r="BV248" s="37">
        <v>0</v>
      </c>
      <c r="BW248" s="37">
        <v>0</v>
      </c>
      <c r="BX248" s="37">
        <v>0</v>
      </c>
      <c r="BY248" s="37">
        <v>0</v>
      </c>
      <c r="BZ248" s="37">
        <v>0</v>
      </c>
      <c r="CA248" s="37">
        <v>0</v>
      </c>
      <c r="CB248" s="37">
        <v>0</v>
      </c>
      <c r="CC248" s="37">
        <v>0</v>
      </c>
      <c r="CD248" s="37">
        <v>157000</v>
      </c>
      <c r="CE248" s="37">
        <v>0</v>
      </c>
      <c r="CF248" s="37">
        <v>0</v>
      </c>
      <c r="CG248" s="37">
        <v>0</v>
      </c>
      <c r="CH248" s="37">
        <v>0</v>
      </c>
      <c r="CI248" s="37">
        <v>0</v>
      </c>
      <c r="CJ248" s="37">
        <v>0</v>
      </c>
      <c r="CK248" s="37">
        <v>0</v>
      </c>
      <c r="CL248" s="37">
        <v>0</v>
      </c>
      <c r="CM248" s="37">
        <v>0</v>
      </c>
      <c r="CN248" s="37">
        <v>157000</v>
      </c>
      <c r="CO248" s="37">
        <v>0</v>
      </c>
      <c r="CP248" s="37">
        <v>0</v>
      </c>
      <c r="CQ248" s="37">
        <v>0</v>
      </c>
      <c r="CR248" s="37">
        <v>0</v>
      </c>
      <c r="CS248" s="37">
        <v>0</v>
      </c>
      <c r="CT248" s="37">
        <v>0</v>
      </c>
      <c r="CU248" s="37">
        <v>0</v>
      </c>
      <c r="CV248" s="37">
        <v>0</v>
      </c>
      <c r="CW248" s="37">
        <v>0</v>
      </c>
      <c r="CX248" s="37">
        <v>0</v>
      </c>
      <c r="CY248" s="37">
        <v>0</v>
      </c>
      <c r="CZ248" s="37">
        <v>0</v>
      </c>
      <c r="DA248" s="37">
        <v>0</v>
      </c>
      <c r="DB248" s="37">
        <v>0</v>
      </c>
      <c r="DC248" s="37">
        <v>0</v>
      </c>
      <c r="DD248" s="37">
        <v>0</v>
      </c>
      <c r="DE248" s="37">
        <v>0</v>
      </c>
      <c r="DF248" s="37">
        <v>0</v>
      </c>
      <c r="DG248" s="37">
        <v>0</v>
      </c>
      <c r="DH248" s="37">
        <v>0</v>
      </c>
      <c r="DI248" s="37">
        <v>0</v>
      </c>
      <c r="DJ248" s="37">
        <v>0</v>
      </c>
      <c r="DK248" s="37">
        <v>0</v>
      </c>
      <c r="DL248" s="37">
        <v>0</v>
      </c>
      <c r="DM248" s="37">
        <v>315</v>
      </c>
      <c r="DN248" s="37">
        <v>0</v>
      </c>
      <c r="DO248" s="37">
        <v>0</v>
      </c>
      <c r="DP248" s="37">
        <v>0</v>
      </c>
      <c r="DQ248" s="37">
        <v>0</v>
      </c>
      <c r="DR248" s="37">
        <v>0</v>
      </c>
      <c r="DS248" s="37">
        <v>0</v>
      </c>
      <c r="DT248" s="37">
        <v>0</v>
      </c>
      <c r="DU248" s="37">
        <v>0</v>
      </c>
      <c r="DV248" s="37">
        <v>0</v>
      </c>
      <c r="DW248" s="37">
        <v>0</v>
      </c>
      <c r="DX248" s="37">
        <v>0</v>
      </c>
      <c r="DY248" s="37">
        <v>0</v>
      </c>
      <c r="DZ248" s="37">
        <v>0</v>
      </c>
      <c r="EA248" s="37">
        <v>0</v>
      </c>
      <c r="EB248" s="37">
        <v>0</v>
      </c>
      <c r="EC248" s="37">
        <v>0</v>
      </c>
      <c r="ED248" s="37">
        <v>0</v>
      </c>
      <c r="EE248" s="37">
        <v>0</v>
      </c>
      <c r="EF248" s="37">
        <v>0</v>
      </c>
      <c r="EG248" s="37">
        <v>0</v>
      </c>
      <c r="EH248" s="37">
        <v>0</v>
      </c>
      <c r="EI248" s="37">
        <v>0</v>
      </c>
      <c r="EJ248" s="37">
        <v>0</v>
      </c>
      <c r="EK248" s="161" t="s">
        <v>1884</v>
      </c>
      <c r="EL248" s="294" t="s">
        <v>1124</v>
      </c>
    </row>
    <row r="249" spans="1:142" ht="15" customHeight="1" x14ac:dyDescent="0.35">
      <c r="A249" s="34"/>
      <c r="B249" s="313">
        <v>88030</v>
      </c>
      <c r="C249" s="8" t="s">
        <v>915</v>
      </c>
      <c r="D249" s="18">
        <v>8</v>
      </c>
      <c r="E249" s="155"/>
      <c r="F249" s="36"/>
      <c r="G249" s="37"/>
      <c r="H249" s="37"/>
      <c r="I249" s="37"/>
      <c r="J249" s="37"/>
      <c r="K249" s="37"/>
      <c r="L249" s="37"/>
      <c r="M249" s="37" t="s">
        <v>1124</v>
      </c>
      <c r="N249" s="37" t="s">
        <v>1124</v>
      </c>
      <c r="O249" s="37"/>
      <c r="P249" s="37"/>
      <c r="Q249" s="37"/>
      <c r="R249" s="37"/>
      <c r="S249" s="37"/>
      <c r="T249" s="37"/>
      <c r="U249" s="37"/>
      <c r="V249" s="37"/>
      <c r="W249" s="37"/>
      <c r="X249" s="37"/>
      <c r="Y249" s="37"/>
      <c r="Z249" s="37"/>
      <c r="AA249" s="37" t="s">
        <v>1124</v>
      </c>
      <c r="AB249" s="37" t="s">
        <v>1124</v>
      </c>
      <c r="AC249" s="37"/>
      <c r="AD249" s="37"/>
      <c r="AE249" s="37"/>
      <c r="AF249" s="168"/>
      <c r="AG249" s="37"/>
      <c r="AH249" s="37"/>
      <c r="AI249" s="37"/>
      <c r="AJ249" s="37"/>
      <c r="AK249" s="37"/>
      <c r="AL249" s="37"/>
      <c r="AM249" s="37"/>
      <c r="AN249" s="37"/>
      <c r="AO249" s="37"/>
      <c r="AP249" s="37"/>
      <c r="AQ249" s="37"/>
      <c r="AR249" s="37" t="s">
        <v>1124</v>
      </c>
      <c r="AS249" s="37"/>
      <c r="AT249" s="37"/>
      <c r="AU249" s="37"/>
      <c r="AV249" s="37"/>
      <c r="AW249" s="37"/>
      <c r="AX249" s="37"/>
      <c r="AY249" s="37"/>
      <c r="AZ249" s="37"/>
      <c r="BA249" s="37"/>
      <c r="BB249" s="37"/>
      <c r="BC249" s="37"/>
      <c r="BD249" s="37" t="s">
        <v>1124</v>
      </c>
      <c r="BE249" s="37"/>
      <c r="BF249" s="37"/>
      <c r="BG249" s="37"/>
      <c r="BH249" s="37"/>
      <c r="BI249" s="37"/>
      <c r="BJ249" s="37"/>
      <c r="BK249" s="37"/>
      <c r="BL249" s="37"/>
      <c r="BM249" s="37"/>
      <c r="BN249" s="37"/>
      <c r="BO249" s="37"/>
      <c r="BP249" s="37">
        <v>0</v>
      </c>
      <c r="BQ249" s="37"/>
      <c r="BR249" s="37"/>
      <c r="BS249" s="37"/>
      <c r="BT249" s="37"/>
      <c r="BU249" s="37"/>
      <c r="BV249" s="37"/>
      <c r="BW249" s="37"/>
      <c r="BX249" s="37"/>
      <c r="BY249" s="37"/>
      <c r="BZ249" s="37"/>
      <c r="CA249" s="37"/>
      <c r="CB249" s="37" t="s">
        <v>1124</v>
      </c>
      <c r="CC249" s="37"/>
      <c r="CD249" s="37"/>
      <c r="CE249" s="37"/>
      <c r="CF249" s="37"/>
      <c r="CG249" s="37"/>
      <c r="CH249" s="37"/>
      <c r="CI249" s="37"/>
      <c r="CJ249" s="37"/>
      <c r="CK249" s="37"/>
      <c r="CL249" s="37"/>
      <c r="CM249" s="37"/>
      <c r="CN249" s="37" t="s">
        <v>1124</v>
      </c>
      <c r="CO249" s="37"/>
      <c r="CP249" s="37"/>
      <c r="CQ249" s="37"/>
      <c r="CR249" s="37"/>
      <c r="CS249" s="37"/>
      <c r="CT249" s="37"/>
      <c r="CU249" s="37"/>
      <c r="CV249" s="37"/>
      <c r="CW249" s="37"/>
      <c r="CX249" s="37"/>
      <c r="CY249" s="37"/>
      <c r="CZ249" s="37" t="s">
        <v>1124</v>
      </c>
      <c r="DA249" s="37"/>
      <c r="DB249" s="37"/>
      <c r="DC249" s="37"/>
      <c r="DD249" s="37"/>
      <c r="DE249" s="37"/>
      <c r="DF249" s="37"/>
      <c r="DG249" s="37"/>
      <c r="DH249" s="37"/>
      <c r="DI249" s="37"/>
      <c r="DJ249" s="37"/>
      <c r="DK249" s="37"/>
      <c r="DL249" s="37" t="s">
        <v>1124</v>
      </c>
      <c r="DM249" s="37"/>
      <c r="DN249" s="37"/>
      <c r="DO249" s="37"/>
      <c r="DP249" s="37"/>
      <c r="DQ249" s="37"/>
      <c r="DR249" s="37"/>
      <c r="DS249" s="37"/>
      <c r="DT249" s="37"/>
      <c r="DU249" s="37"/>
      <c r="DV249" s="37"/>
      <c r="DW249" s="37"/>
      <c r="DX249" s="37" t="s">
        <v>1124</v>
      </c>
      <c r="DY249" s="37"/>
      <c r="DZ249" s="37"/>
      <c r="EA249" s="37"/>
      <c r="EB249" s="37"/>
      <c r="EC249" s="37"/>
      <c r="ED249" s="37"/>
      <c r="EE249" s="37"/>
      <c r="EF249" s="37"/>
      <c r="EG249" s="37"/>
      <c r="EH249" s="37"/>
      <c r="EI249" s="37"/>
      <c r="EJ249" s="37" t="s">
        <v>1124</v>
      </c>
      <c r="EK249" s="161"/>
      <c r="EL249" s="294"/>
    </row>
    <row r="250" spans="1:142" ht="15" customHeight="1" x14ac:dyDescent="0.35">
      <c r="A250" s="34"/>
      <c r="B250" s="313">
        <v>91050</v>
      </c>
      <c r="C250" s="8" t="s">
        <v>945</v>
      </c>
      <c r="D250" s="18">
        <v>2</v>
      </c>
      <c r="E250" s="155">
        <v>166103</v>
      </c>
      <c r="F250" s="36">
        <v>116960</v>
      </c>
      <c r="G250" s="37">
        <v>6178</v>
      </c>
      <c r="H250" s="37">
        <v>0</v>
      </c>
      <c r="I250" s="37">
        <v>44637</v>
      </c>
      <c r="J250" s="37">
        <v>0</v>
      </c>
      <c r="K250" s="37">
        <v>8305</v>
      </c>
      <c r="L250" s="37">
        <v>5848</v>
      </c>
      <c r="M250" s="37">
        <v>225223</v>
      </c>
      <c r="N250" s="37">
        <v>122808</v>
      </c>
      <c r="O250" s="37">
        <v>0</v>
      </c>
      <c r="P250" s="37">
        <v>0</v>
      </c>
      <c r="Q250" s="37">
        <v>188263</v>
      </c>
      <c r="R250" s="37">
        <v>130778</v>
      </c>
      <c r="S250" s="37">
        <v>0</v>
      </c>
      <c r="T250" s="37">
        <v>0</v>
      </c>
      <c r="U250" s="37">
        <v>0</v>
      </c>
      <c r="V250" s="37">
        <v>0</v>
      </c>
      <c r="W250" s="37">
        <v>18245</v>
      </c>
      <c r="X250" s="37">
        <v>18245</v>
      </c>
      <c r="Y250" s="37">
        <v>0</v>
      </c>
      <c r="Z250" s="37">
        <v>0</v>
      </c>
      <c r="AA250" s="37">
        <v>206508</v>
      </c>
      <c r="AB250" s="37">
        <v>149023</v>
      </c>
      <c r="AC250" s="37">
        <v>7500</v>
      </c>
      <c r="AD250" s="37">
        <v>7500</v>
      </c>
      <c r="AE250" s="37">
        <v>72537</v>
      </c>
      <c r="AF250" s="168">
        <v>0.02</v>
      </c>
      <c r="AG250" s="37">
        <v>23403681.149999999</v>
      </c>
      <c r="AH250" s="37">
        <v>196344.91</v>
      </c>
      <c r="AI250" s="37">
        <v>242720.13</v>
      </c>
      <c r="AJ250" s="37">
        <v>139331.32</v>
      </c>
      <c r="AK250" s="37">
        <v>142117.94</v>
      </c>
      <c r="AL250" s="37">
        <v>144960.29999999999</v>
      </c>
      <c r="AM250" s="37">
        <v>205293.79</v>
      </c>
      <c r="AN250" s="37">
        <v>150816.70000000001</v>
      </c>
      <c r="AO250" s="37">
        <v>153833.03</v>
      </c>
      <c r="AP250" s="37">
        <v>156909.69</v>
      </c>
      <c r="AQ250" s="37">
        <v>160047.89000000001</v>
      </c>
      <c r="AR250" s="37">
        <v>1692375.7</v>
      </c>
      <c r="AS250" s="37">
        <v>0</v>
      </c>
      <c r="AT250" s="37">
        <v>416160</v>
      </c>
      <c r="AU250" s="37">
        <v>265302</v>
      </c>
      <c r="AV250" s="37">
        <v>0</v>
      </c>
      <c r="AW250" s="37">
        <v>0</v>
      </c>
      <c r="AX250" s="37">
        <v>0</v>
      </c>
      <c r="AY250" s="37">
        <v>0</v>
      </c>
      <c r="AZ250" s="37">
        <v>0</v>
      </c>
      <c r="BA250" s="37">
        <v>0</v>
      </c>
      <c r="BB250" s="37">
        <v>0</v>
      </c>
      <c r="BC250" s="37">
        <v>0</v>
      </c>
      <c r="BD250" s="37">
        <v>681462</v>
      </c>
      <c r="BE250" s="37">
        <v>0</v>
      </c>
      <c r="BF250" s="37">
        <v>0</v>
      </c>
      <c r="BG250" s="37">
        <v>0</v>
      </c>
      <c r="BH250" s="37">
        <v>0</v>
      </c>
      <c r="BI250" s="37">
        <v>0</v>
      </c>
      <c r="BJ250" s="37">
        <v>26263.315054313673</v>
      </c>
      <c r="BK250" s="37">
        <v>127177.27688808684</v>
      </c>
      <c r="BL250" s="37">
        <v>165389.5928442326</v>
      </c>
      <c r="BM250" s="37">
        <v>203601.90880037833</v>
      </c>
      <c r="BN250" s="37">
        <v>241814.30641298869</v>
      </c>
      <c r="BO250" s="37">
        <v>0</v>
      </c>
      <c r="BP250" s="37">
        <v>764246.4</v>
      </c>
      <c r="BQ250" s="37">
        <v>0</v>
      </c>
      <c r="BR250" s="37">
        <v>0</v>
      </c>
      <c r="BS250" s="37">
        <v>0</v>
      </c>
      <c r="BT250" s="37">
        <v>0</v>
      </c>
      <c r="BU250" s="37">
        <v>0</v>
      </c>
      <c r="BV250" s="37">
        <v>9546.5924629652654</v>
      </c>
      <c r="BW250" s="37">
        <v>46228.346668705963</v>
      </c>
      <c r="BX250" s="37">
        <v>60118.34519878382</v>
      </c>
      <c r="BY250" s="37">
        <v>74008.343728861641</v>
      </c>
      <c r="BZ250" s="37">
        <v>87898.371940683341</v>
      </c>
      <c r="CA250" s="37">
        <v>0</v>
      </c>
      <c r="CB250" s="37">
        <v>277800.00000000006</v>
      </c>
      <c r="CC250" s="37">
        <v>0</v>
      </c>
      <c r="CD250" s="37">
        <v>0</v>
      </c>
      <c r="CE250" s="37">
        <v>0</v>
      </c>
      <c r="CF250" s="37">
        <v>0</v>
      </c>
      <c r="CG250" s="37">
        <v>0</v>
      </c>
      <c r="CH250" s="37">
        <v>0</v>
      </c>
      <c r="CI250" s="37">
        <v>0</v>
      </c>
      <c r="CJ250" s="37">
        <v>0</v>
      </c>
      <c r="CK250" s="37">
        <v>0</v>
      </c>
      <c r="CL250" s="37">
        <v>0</v>
      </c>
      <c r="CM250" s="37">
        <v>0</v>
      </c>
      <c r="CN250" s="37">
        <v>0</v>
      </c>
      <c r="CO250" s="37">
        <v>0</v>
      </c>
      <c r="CP250" s="37">
        <v>150000</v>
      </c>
      <c r="CQ250" s="37">
        <v>0</v>
      </c>
      <c r="CR250" s="37">
        <v>0</v>
      </c>
      <c r="CS250" s="37">
        <v>0</v>
      </c>
      <c r="CT250" s="37">
        <v>0</v>
      </c>
      <c r="CU250" s="37">
        <v>0</v>
      </c>
      <c r="CV250" s="37">
        <v>0</v>
      </c>
      <c r="CW250" s="37">
        <v>0</v>
      </c>
      <c r="CX250" s="37">
        <v>0</v>
      </c>
      <c r="CY250" s="37">
        <v>0</v>
      </c>
      <c r="CZ250" s="37">
        <v>150000</v>
      </c>
      <c r="DA250" s="37">
        <v>0</v>
      </c>
      <c r="DB250" s="37">
        <v>0</v>
      </c>
      <c r="DC250" s="37">
        <v>0</v>
      </c>
      <c r="DD250" s="37">
        <v>0</v>
      </c>
      <c r="DE250" s="37">
        <v>0</v>
      </c>
      <c r="DF250" s="37">
        <v>0</v>
      </c>
      <c r="DG250" s="37">
        <v>0</v>
      </c>
      <c r="DH250" s="37">
        <v>0</v>
      </c>
      <c r="DI250" s="37">
        <v>0</v>
      </c>
      <c r="DJ250" s="37">
        <v>0</v>
      </c>
      <c r="DK250" s="37">
        <v>0</v>
      </c>
      <c r="DL250" s="37">
        <v>0</v>
      </c>
      <c r="DM250" s="37">
        <v>0</v>
      </c>
      <c r="DN250" s="37">
        <v>0</v>
      </c>
      <c r="DO250" s="37">
        <v>0</v>
      </c>
      <c r="DP250" s="37">
        <v>0</v>
      </c>
      <c r="DQ250" s="37">
        <v>0</v>
      </c>
      <c r="DR250" s="37">
        <v>0</v>
      </c>
      <c r="DS250" s="37">
        <v>0</v>
      </c>
      <c r="DT250" s="37">
        <v>0</v>
      </c>
      <c r="DU250" s="37">
        <v>0</v>
      </c>
      <c r="DV250" s="37">
        <v>0</v>
      </c>
      <c r="DW250" s="37">
        <v>0</v>
      </c>
      <c r="DX250" s="37">
        <v>0</v>
      </c>
      <c r="DY250" s="37">
        <v>0</v>
      </c>
      <c r="DZ250" s="37">
        <v>0</v>
      </c>
      <c r="EA250" s="37">
        <v>0</v>
      </c>
      <c r="EB250" s="37">
        <v>0</v>
      </c>
      <c r="EC250" s="37">
        <v>0</v>
      </c>
      <c r="ED250" s="37">
        <v>0</v>
      </c>
      <c r="EE250" s="37">
        <v>0</v>
      </c>
      <c r="EF250" s="37">
        <v>0</v>
      </c>
      <c r="EG250" s="37">
        <v>0</v>
      </c>
      <c r="EH250" s="37">
        <v>0</v>
      </c>
      <c r="EI250" s="37">
        <v>0</v>
      </c>
      <c r="EJ250" s="37">
        <v>0</v>
      </c>
      <c r="EK250" s="161" t="s">
        <v>1888</v>
      </c>
      <c r="EL250" s="294" t="s">
        <v>1124</v>
      </c>
    </row>
    <row r="251" spans="1:142" ht="15" customHeight="1" x14ac:dyDescent="0.35">
      <c r="A251" s="34"/>
      <c r="B251" s="313">
        <v>19090</v>
      </c>
      <c r="C251" s="8" t="s">
        <v>133</v>
      </c>
      <c r="D251" s="18">
        <v>12</v>
      </c>
      <c r="E251" s="155">
        <v>46245</v>
      </c>
      <c r="F251" s="36">
        <v>40899</v>
      </c>
      <c r="G251" s="37">
        <v>0</v>
      </c>
      <c r="H251" s="37">
        <v>5910</v>
      </c>
      <c r="I251" s="37">
        <v>0</v>
      </c>
      <c r="J251" s="37">
        <v>22110</v>
      </c>
      <c r="K251" s="37">
        <v>6936.75</v>
      </c>
      <c r="L251" s="37">
        <v>6134.8499999999995</v>
      </c>
      <c r="M251" s="37">
        <v>53181.75</v>
      </c>
      <c r="N251" s="37">
        <v>75053.850000000006</v>
      </c>
      <c r="O251" s="37">
        <v>0</v>
      </c>
      <c r="P251" s="37">
        <v>0</v>
      </c>
      <c r="Q251" s="37">
        <v>42448</v>
      </c>
      <c r="R251" s="37">
        <v>38644</v>
      </c>
      <c r="S251" s="37">
        <v>0</v>
      </c>
      <c r="T251" s="37">
        <v>950</v>
      </c>
      <c r="U251" s="37">
        <v>0</v>
      </c>
      <c r="V251" s="37">
        <v>0</v>
      </c>
      <c r="W251" s="37">
        <v>10733.75</v>
      </c>
      <c r="X251" s="37">
        <v>35459.850000000006</v>
      </c>
      <c r="Y251" s="37">
        <v>0</v>
      </c>
      <c r="Z251" s="37">
        <v>0</v>
      </c>
      <c r="AA251" s="37">
        <v>53181.75</v>
      </c>
      <c r="AB251" s="37">
        <v>75053.850000000006</v>
      </c>
      <c r="AC251" s="37">
        <v>0</v>
      </c>
      <c r="AD251" s="37">
        <v>0</v>
      </c>
      <c r="AE251" s="37">
        <v>0</v>
      </c>
      <c r="AF251" s="168">
        <v>0.02</v>
      </c>
      <c r="AG251" s="37">
        <v>12214780.02</v>
      </c>
      <c r="AH251" s="37">
        <v>76506.12</v>
      </c>
      <c r="AI251" s="37">
        <v>78036.240000000005</v>
      </c>
      <c r="AJ251" s="37">
        <v>79596.97</v>
      </c>
      <c r="AK251" s="37">
        <v>81188.91</v>
      </c>
      <c r="AL251" s="37">
        <v>82812.679999999993</v>
      </c>
      <c r="AM251" s="37">
        <v>84468.94</v>
      </c>
      <c r="AN251" s="37">
        <v>86158.32</v>
      </c>
      <c r="AO251" s="37">
        <v>87881.48</v>
      </c>
      <c r="AP251" s="37">
        <v>89639.11</v>
      </c>
      <c r="AQ251" s="37">
        <v>91431.9</v>
      </c>
      <c r="AR251" s="37">
        <v>837720.66999999993</v>
      </c>
      <c r="AS251" s="37">
        <v>0</v>
      </c>
      <c r="AT251" s="37">
        <v>894957.69</v>
      </c>
      <c r="AU251" s="37">
        <v>912856.84</v>
      </c>
      <c r="AV251" s="37">
        <v>0</v>
      </c>
      <c r="AW251" s="37">
        <v>0</v>
      </c>
      <c r="AX251" s="37">
        <v>0</v>
      </c>
      <c r="AY251" s="37">
        <v>0</v>
      </c>
      <c r="AZ251" s="37">
        <v>0</v>
      </c>
      <c r="BA251" s="37">
        <v>0</v>
      </c>
      <c r="BB251" s="37">
        <v>0</v>
      </c>
      <c r="BC251" s="37">
        <v>0</v>
      </c>
      <c r="BD251" s="37">
        <v>1807814.5299999998</v>
      </c>
      <c r="BE251" s="37">
        <v>0</v>
      </c>
      <c r="BF251" s="37">
        <v>0</v>
      </c>
      <c r="BG251" s="37">
        <v>0</v>
      </c>
      <c r="BH251" s="37">
        <v>0</v>
      </c>
      <c r="BI251" s="37">
        <v>0</v>
      </c>
      <c r="BJ251" s="37">
        <v>0</v>
      </c>
      <c r="BK251" s="37">
        <v>0</v>
      </c>
      <c r="BL251" s="37">
        <v>0</v>
      </c>
      <c r="BM251" s="37">
        <v>0</v>
      </c>
      <c r="BN251" s="37">
        <v>0</v>
      </c>
      <c r="BO251" s="37">
        <v>0</v>
      </c>
      <c r="BP251" s="37">
        <v>0</v>
      </c>
      <c r="BQ251" s="37">
        <v>0</v>
      </c>
      <c r="BR251" s="37">
        <v>0</v>
      </c>
      <c r="BS251" s="37">
        <v>0</v>
      </c>
      <c r="BT251" s="37">
        <v>0</v>
      </c>
      <c r="BU251" s="37">
        <v>0</v>
      </c>
      <c r="BV251" s="37">
        <v>0</v>
      </c>
      <c r="BW251" s="37">
        <v>0</v>
      </c>
      <c r="BX251" s="37">
        <v>0</v>
      </c>
      <c r="BY251" s="37">
        <v>0</v>
      </c>
      <c r="BZ251" s="37">
        <v>0</v>
      </c>
      <c r="CA251" s="37">
        <v>0</v>
      </c>
      <c r="CB251" s="37">
        <v>0</v>
      </c>
      <c r="CC251" s="37">
        <v>0</v>
      </c>
      <c r="CD251" s="37">
        <v>0</v>
      </c>
      <c r="CE251" s="37">
        <v>0</v>
      </c>
      <c r="CF251" s="37">
        <v>0</v>
      </c>
      <c r="CG251" s="37">
        <v>0</v>
      </c>
      <c r="CH251" s="37">
        <v>0</v>
      </c>
      <c r="CI251" s="37">
        <v>0</v>
      </c>
      <c r="CJ251" s="37">
        <v>0</v>
      </c>
      <c r="CK251" s="37">
        <v>0</v>
      </c>
      <c r="CL251" s="37">
        <v>0</v>
      </c>
      <c r="CM251" s="37">
        <v>0</v>
      </c>
      <c r="CN251" s="37">
        <v>0</v>
      </c>
      <c r="CO251" s="37">
        <v>83931.74</v>
      </c>
      <c r="CP251" s="37">
        <v>1397017</v>
      </c>
      <c r="CQ251" s="37">
        <v>210315</v>
      </c>
      <c r="CR251" s="37">
        <v>0</v>
      </c>
      <c r="CS251" s="37">
        <v>0</v>
      </c>
      <c r="CT251" s="37">
        <v>0</v>
      </c>
      <c r="CU251" s="37">
        <v>0</v>
      </c>
      <c r="CV251" s="37">
        <v>0</v>
      </c>
      <c r="CW251" s="37">
        <v>0</v>
      </c>
      <c r="CX251" s="37">
        <v>0</v>
      </c>
      <c r="CY251" s="37">
        <v>0</v>
      </c>
      <c r="CZ251" s="37">
        <v>1607332</v>
      </c>
      <c r="DA251" s="37">
        <v>0</v>
      </c>
      <c r="DB251" s="37">
        <v>147516.88000000012</v>
      </c>
      <c r="DC251" s="37">
        <v>0</v>
      </c>
      <c r="DD251" s="37">
        <v>0</v>
      </c>
      <c r="DE251" s="37">
        <v>0</v>
      </c>
      <c r="DF251" s="37">
        <v>0</v>
      </c>
      <c r="DG251" s="37">
        <v>0</v>
      </c>
      <c r="DH251" s="37">
        <v>0</v>
      </c>
      <c r="DI251" s="37">
        <v>0</v>
      </c>
      <c r="DJ251" s="37">
        <v>0</v>
      </c>
      <c r="DK251" s="37">
        <v>0</v>
      </c>
      <c r="DL251" s="37">
        <v>147516.88000000012</v>
      </c>
      <c r="DM251" s="37">
        <v>0</v>
      </c>
      <c r="DN251" s="37">
        <v>0</v>
      </c>
      <c r="DO251" s="37">
        <v>0</v>
      </c>
      <c r="DP251" s="37">
        <v>0</v>
      </c>
      <c r="DQ251" s="37">
        <v>0</v>
      </c>
      <c r="DR251" s="37">
        <v>0</v>
      </c>
      <c r="DS251" s="37">
        <v>0</v>
      </c>
      <c r="DT251" s="37">
        <v>0</v>
      </c>
      <c r="DU251" s="37">
        <v>0</v>
      </c>
      <c r="DV251" s="37">
        <v>0</v>
      </c>
      <c r="DW251" s="37">
        <v>0</v>
      </c>
      <c r="DX251" s="37">
        <v>0</v>
      </c>
      <c r="DY251" s="37">
        <v>0</v>
      </c>
      <c r="DZ251" s="37">
        <v>0</v>
      </c>
      <c r="EA251" s="37">
        <v>0</v>
      </c>
      <c r="EB251" s="37">
        <v>0</v>
      </c>
      <c r="EC251" s="37">
        <v>0</v>
      </c>
      <c r="ED251" s="37">
        <v>0</v>
      </c>
      <c r="EE251" s="37">
        <v>0</v>
      </c>
      <c r="EF251" s="37">
        <v>0</v>
      </c>
      <c r="EG251" s="37">
        <v>0</v>
      </c>
      <c r="EH251" s="37">
        <v>0</v>
      </c>
      <c r="EI251" s="37">
        <v>0</v>
      </c>
      <c r="EJ251" s="37">
        <v>0</v>
      </c>
      <c r="EK251" s="161" t="s">
        <v>1891</v>
      </c>
      <c r="EL251" s="294" t="s">
        <v>1124</v>
      </c>
    </row>
    <row r="252" spans="1:142" ht="15" customHeight="1" x14ac:dyDescent="0.35">
      <c r="A252" s="34"/>
      <c r="B252" s="313">
        <v>29030</v>
      </c>
      <c r="C252" s="8" t="s">
        <v>205</v>
      </c>
      <c r="D252" s="18">
        <v>12</v>
      </c>
      <c r="E252" s="155">
        <v>201627</v>
      </c>
      <c r="F252" s="36">
        <v>130587</v>
      </c>
      <c r="G252" s="37">
        <v>61169</v>
      </c>
      <c r="H252" s="37">
        <v>33350</v>
      </c>
      <c r="I252" s="37">
        <v>412215</v>
      </c>
      <c r="J252" s="37">
        <v>123828</v>
      </c>
      <c r="K252" s="37">
        <v>0</v>
      </c>
      <c r="L252" s="37">
        <v>0</v>
      </c>
      <c r="M252" s="37">
        <v>675011</v>
      </c>
      <c r="N252" s="37">
        <v>287765</v>
      </c>
      <c r="O252" s="37">
        <v>181224.08</v>
      </c>
      <c r="P252" s="37">
        <v>168804.52</v>
      </c>
      <c r="Q252" s="37">
        <v>106488</v>
      </c>
      <c r="R252" s="37">
        <v>0</v>
      </c>
      <c r="S252" s="37">
        <v>12364</v>
      </c>
      <c r="T252" s="37">
        <v>25309</v>
      </c>
      <c r="U252" s="37">
        <v>7258</v>
      </c>
      <c r="V252" s="37">
        <v>2636</v>
      </c>
      <c r="W252" s="37">
        <v>79913</v>
      </c>
      <c r="X252" s="37">
        <v>67503</v>
      </c>
      <c r="Y252" s="37">
        <v>287765</v>
      </c>
      <c r="Z252" s="37">
        <v>23512</v>
      </c>
      <c r="AA252" s="37">
        <v>675012.08</v>
      </c>
      <c r="AB252" s="37">
        <v>287764.52</v>
      </c>
      <c r="AC252" s="37">
        <v>1</v>
      </c>
      <c r="AD252" s="37">
        <v>0</v>
      </c>
      <c r="AE252" s="37">
        <v>0</v>
      </c>
      <c r="AF252" s="168">
        <v>0.02</v>
      </c>
      <c r="AG252" s="37">
        <v>77340886.25</v>
      </c>
      <c r="AH252" s="37">
        <v>707377.48</v>
      </c>
      <c r="AI252" s="37">
        <v>721525.03</v>
      </c>
      <c r="AJ252" s="37">
        <v>735955.53</v>
      </c>
      <c r="AK252" s="37">
        <v>750674.64</v>
      </c>
      <c r="AL252" s="37">
        <v>765688.13</v>
      </c>
      <c r="AM252" s="37">
        <v>781001.9</v>
      </c>
      <c r="AN252" s="37">
        <v>796621.94</v>
      </c>
      <c r="AO252" s="37">
        <v>812554.37</v>
      </c>
      <c r="AP252" s="37">
        <v>828805.46</v>
      </c>
      <c r="AQ252" s="37">
        <v>845381.57</v>
      </c>
      <c r="AR252" s="37">
        <v>7745586.0500000007</v>
      </c>
      <c r="AS252" s="37">
        <v>1986643.8</v>
      </c>
      <c r="AT252" s="37">
        <v>0</v>
      </c>
      <c r="AU252" s="37">
        <v>0</v>
      </c>
      <c r="AV252" s="37">
        <v>795906</v>
      </c>
      <c r="AW252" s="37">
        <v>811824.12</v>
      </c>
      <c r="AX252" s="37">
        <v>0</v>
      </c>
      <c r="AY252" s="37">
        <v>0</v>
      </c>
      <c r="AZ252" s="37">
        <v>0</v>
      </c>
      <c r="BA252" s="37">
        <v>0</v>
      </c>
      <c r="BB252" s="37">
        <v>0</v>
      </c>
      <c r="BC252" s="37">
        <v>0</v>
      </c>
      <c r="BD252" s="37">
        <v>1607730.12</v>
      </c>
      <c r="BE252" s="37">
        <v>0</v>
      </c>
      <c r="BF252" s="37">
        <v>0</v>
      </c>
      <c r="BG252" s="37">
        <v>0</v>
      </c>
      <c r="BH252" s="37">
        <v>0</v>
      </c>
      <c r="BI252" s="37">
        <v>0</v>
      </c>
      <c r="BJ252" s="37">
        <v>0</v>
      </c>
      <c r="BK252" s="37">
        <v>0</v>
      </c>
      <c r="BL252" s="37">
        <v>0</v>
      </c>
      <c r="BM252" s="37">
        <v>0</v>
      </c>
      <c r="BN252" s="37">
        <v>0</v>
      </c>
      <c r="BO252" s="37">
        <v>0</v>
      </c>
      <c r="BP252" s="37">
        <v>0</v>
      </c>
      <c r="BQ252" s="37">
        <v>0</v>
      </c>
      <c r="BR252" s="37">
        <v>0</v>
      </c>
      <c r="BS252" s="37">
        <v>0</v>
      </c>
      <c r="BT252" s="37">
        <v>1782000</v>
      </c>
      <c r="BU252" s="37">
        <v>500000</v>
      </c>
      <c r="BV252" s="37">
        <v>0</v>
      </c>
      <c r="BW252" s="37">
        <v>0</v>
      </c>
      <c r="BX252" s="37">
        <v>0</v>
      </c>
      <c r="BY252" s="37">
        <v>0</v>
      </c>
      <c r="BZ252" s="37">
        <v>0</v>
      </c>
      <c r="CA252" s="37">
        <v>0</v>
      </c>
      <c r="CB252" s="37">
        <v>2282000</v>
      </c>
      <c r="CC252" s="37">
        <v>0</v>
      </c>
      <c r="CD252" s="37">
        <v>0</v>
      </c>
      <c r="CE252" s="37">
        <v>0</v>
      </c>
      <c r="CF252" s="37">
        <v>0</v>
      </c>
      <c r="CG252" s="37">
        <v>0</v>
      </c>
      <c r="CH252" s="37">
        <v>0</v>
      </c>
      <c r="CI252" s="37">
        <v>0</v>
      </c>
      <c r="CJ252" s="37">
        <v>0</v>
      </c>
      <c r="CK252" s="37">
        <v>0</v>
      </c>
      <c r="CL252" s="37">
        <v>0</v>
      </c>
      <c r="CM252" s="37">
        <v>0</v>
      </c>
      <c r="CN252" s="37">
        <v>0</v>
      </c>
      <c r="CO252" s="37">
        <v>0</v>
      </c>
      <c r="CP252" s="37">
        <v>0</v>
      </c>
      <c r="CQ252" s="37">
        <v>0</v>
      </c>
      <c r="CR252" s="37">
        <v>0</v>
      </c>
      <c r="CS252" s="37">
        <v>0</v>
      </c>
      <c r="CT252" s="37">
        <v>0</v>
      </c>
      <c r="CU252" s="37">
        <v>0</v>
      </c>
      <c r="CV252" s="37">
        <v>0</v>
      </c>
      <c r="CW252" s="37">
        <v>0</v>
      </c>
      <c r="CX252" s="37">
        <v>0</v>
      </c>
      <c r="CY252" s="37">
        <v>0</v>
      </c>
      <c r="CZ252" s="37">
        <v>0</v>
      </c>
      <c r="DA252" s="37">
        <v>0</v>
      </c>
      <c r="DB252" s="37">
        <v>0</v>
      </c>
      <c r="DC252" s="37">
        <v>0</v>
      </c>
      <c r="DD252" s="37">
        <v>750000</v>
      </c>
      <c r="DE252" s="37">
        <v>750000</v>
      </c>
      <c r="DF252" s="37">
        <v>0</v>
      </c>
      <c r="DG252" s="37">
        <v>0</v>
      </c>
      <c r="DH252" s="37">
        <v>0</v>
      </c>
      <c r="DI252" s="37">
        <v>0</v>
      </c>
      <c r="DJ252" s="37">
        <v>0</v>
      </c>
      <c r="DK252" s="37">
        <v>0</v>
      </c>
      <c r="DL252" s="37">
        <v>1500000</v>
      </c>
      <c r="DM252" s="37">
        <v>0</v>
      </c>
      <c r="DN252" s="37">
        <v>0</v>
      </c>
      <c r="DO252" s="37">
        <v>0</v>
      </c>
      <c r="DP252" s="37">
        <v>0</v>
      </c>
      <c r="DQ252" s="37">
        <v>0</v>
      </c>
      <c r="DR252" s="37">
        <v>0</v>
      </c>
      <c r="DS252" s="37">
        <v>0</v>
      </c>
      <c r="DT252" s="37">
        <v>0</v>
      </c>
      <c r="DU252" s="37">
        <v>0</v>
      </c>
      <c r="DV252" s="37">
        <v>0</v>
      </c>
      <c r="DW252" s="37">
        <v>0</v>
      </c>
      <c r="DX252" s="37">
        <v>0</v>
      </c>
      <c r="DY252" s="37">
        <v>0</v>
      </c>
      <c r="DZ252" s="37">
        <v>0</v>
      </c>
      <c r="EA252" s="37">
        <v>0</v>
      </c>
      <c r="EB252" s="37">
        <v>0</v>
      </c>
      <c r="EC252" s="37">
        <v>0</v>
      </c>
      <c r="ED252" s="37">
        <v>0</v>
      </c>
      <c r="EE252" s="37">
        <v>0</v>
      </c>
      <c r="EF252" s="37">
        <v>0</v>
      </c>
      <c r="EG252" s="37">
        <v>0</v>
      </c>
      <c r="EH252" s="37">
        <v>0</v>
      </c>
      <c r="EI252" s="37">
        <v>0</v>
      </c>
      <c r="EJ252" s="37">
        <v>0</v>
      </c>
      <c r="EK252" s="161" t="s">
        <v>1895</v>
      </c>
      <c r="EL252" s="294" t="s">
        <v>1124</v>
      </c>
    </row>
    <row r="253" spans="1:142" ht="15" customHeight="1" x14ac:dyDescent="0.35">
      <c r="A253" s="34"/>
      <c r="B253" s="313">
        <v>79047</v>
      </c>
      <c r="C253" s="8" t="s">
        <v>793</v>
      </c>
      <c r="D253" s="18">
        <v>15</v>
      </c>
      <c r="E253" s="155">
        <v>17884</v>
      </c>
      <c r="F253" s="36">
        <v>0</v>
      </c>
      <c r="G253" s="37">
        <v>0</v>
      </c>
      <c r="H253" s="37">
        <v>0</v>
      </c>
      <c r="I253" s="37">
        <v>0</v>
      </c>
      <c r="J253" s="37">
        <v>0</v>
      </c>
      <c r="K253" s="37">
        <v>2682.6</v>
      </c>
      <c r="L253" s="37">
        <v>0</v>
      </c>
      <c r="M253" s="37">
        <v>20566.599999999999</v>
      </c>
      <c r="N253" s="37">
        <v>0</v>
      </c>
      <c r="O253" s="37">
        <v>0</v>
      </c>
      <c r="P253" s="37">
        <v>0</v>
      </c>
      <c r="Q253" s="37">
        <v>15939</v>
      </c>
      <c r="R253" s="37">
        <v>0</v>
      </c>
      <c r="S253" s="37">
        <v>0</v>
      </c>
      <c r="T253" s="37">
        <v>0</v>
      </c>
      <c r="U253" s="37">
        <v>0</v>
      </c>
      <c r="V253" s="37">
        <v>0</v>
      </c>
      <c r="W253" s="37">
        <v>4628</v>
      </c>
      <c r="X253" s="37">
        <v>0</v>
      </c>
      <c r="Y253" s="37">
        <v>0</v>
      </c>
      <c r="Z253" s="37">
        <v>0</v>
      </c>
      <c r="AA253" s="37">
        <v>20567</v>
      </c>
      <c r="AB253" s="37">
        <v>0</v>
      </c>
      <c r="AC253" s="37">
        <v>0</v>
      </c>
      <c r="AD253" s="37">
        <v>0</v>
      </c>
      <c r="AE253" s="37">
        <v>0</v>
      </c>
      <c r="AF253" s="168">
        <v>0.02</v>
      </c>
      <c r="AG253" s="37">
        <v>2055673.35</v>
      </c>
      <c r="AH253" s="37">
        <v>17648.75</v>
      </c>
      <c r="AI253" s="37">
        <v>26324.92</v>
      </c>
      <c r="AJ253" s="37">
        <v>18361.759999999998</v>
      </c>
      <c r="AK253" s="37">
        <v>18728.990000000002</v>
      </c>
      <c r="AL253" s="37">
        <v>19103.57</v>
      </c>
      <c r="AM253" s="37">
        <v>19485.64</v>
      </c>
      <c r="AN253" s="37">
        <v>19875.36</v>
      </c>
      <c r="AO253" s="37">
        <v>20272.86</v>
      </c>
      <c r="AP253" s="37">
        <v>20678.32</v>
      </c>
      <c r="AQ253" s="37">
        <v>21091.89</v>
      </c>
      <c r="AR253" s="37">
        <v>201572.06</v>
      </c>
      <c r="AS253" s="37">
        <v>0</v>
      </c>
      <c r="AT253" s="37">
        <v>40055.4</v>
      </c>
      <c r="AU253" s="37">
        <v>0</v>
      </c>
      <c r="AV253" s="37">
        <v>0</v>
      </c>
      <c r="AW253" s="37">
        <v>0</v>
      </c>
      <c r="AX253" s="37">
        <v>0</v>
      </c>
      <c r="AY253" s="37">
        <v>0</v>
      </c>
      <c r="AZ253" s="37">
        <v>0</v>
      </c>
      <c r="BA253" s="37">
        <v>0</v>
      </c>
      <c r="BB253" s="37">
        <v>0</v>
      </c>
      <c r="BC253" s="37">
        <v>0</v>
      </c>
      <c r="BD253" s="37">
        <v>40055.4</v>
      </c>
      <c r="BE253" s="37">
        <v>0</v>
      </c>
      <c r="BF253" s="37">
        <v>0</v>
      </c>
      <c r="BG253" s="37">
        <v>0</v>
      </c>
      <c r="BH253" s="37">
        <v>0</v>
      </c>
      <c r="BI253" s="37">
        <v>0</v>
      </c>
      <c r="BJ253" s="37">
        <v>0</v>
      </c>
      <c r="BK253" s="37">
        <v>0</v>
      </c>
      <c r="BL253" s="37">
        <v>0</v>
      </c>
      <c r="BM253" s="37">
        <v>0</v>
      </c>
      <c r="BN253" s="37">
        <v>0</v>
      </c>
      <c r="BO253" s="37">
        <v>0</v>
      </c>
      <c r="BP253" s="37">
        <v>0</v>
      </c>
      <c r="BQ253" s="37">
        <v>0</v>
      </c>
      <c r="BR253" s="37">
        <v>0</v>
      </c>
      <c r="BS253" s="37">
        <v>0</v>
      </c>
      <c r="BT253" s="37">
        <v>0</v>
      </c>
      <c r="BU253" s="37">
        <v>0</v>
      </c>
      <c r="BV253" s="37">
        <v>0</v>
      </c>
      <c r="BW253" s="37">
        <v>0</v>
      </c>
      <c r="BX253" s="37">
        <v>0</v>
      </c>
      <c r="BY253" s="37">
        <v>0</v>
      </c>
      <c r="BZ253" s="37">
        <v>0</v>
      </c>
      <c r="CA253" s="37">
        <v>0</v>
      </c>
      <c r="CB253" s="37">
        <v>0</v>
      </c>
      <c r="CC253" s="37">
        <v>0</v>
      </c>
      <c r="CD253" s="37">
        <v>0</v>
      </c>
      <c r="CE253" s="37">
        <v>0</v>
      </c>
      <c r="CF253" s="37">
        <v>0</v>
      </c>
      <c r="CG253" s="37">
        <v>0</v>
      </c>
      <c r="CH253" s="37">
        <v>0</v>
      </c>
      <c r="CI253" s="37">
        <v>0</v>
      </c>
      <c r="CJ253" s="37">
        <v>0</v>
      </c>
      <c r="CK253" s="37">
        <v>0</v>
      </c>
      <c r="CL253" s="37">
        <v>0</v>
      </c>
      <c r="CM253" s="37">
        <v>0</v>
      </c>
      <c r="CN253" s="37">
        <v>0</v>
      </c>
      <c r="CO253" s="37">
        <v>0</v>
      </c>
      <c r="CP253" s="37">
        <v>0</v>
      </c>
      <c r="CQ253" s="37">
        <v>0</v>
      </c>
      <c r="CR253" s="37">
        <v>0</v>
      </c>
      <c r="CS253" s="37">
        <v>0</v>
      </c>
      <c r="CT253" s="37">
        <v>0</v>
      </c>
      <c r="CU253" s="37">
        <v>0</v>
      </c>
      <c r="CV253" s="37">
        <v>0</v>
      </c>
      <c r="CW253" s="37">
        <v>0</v>
      </c>
      <c r="CX253" s="37">
        <v>0</v>
      </c>
      <c r="CY253" s="37">
        <v>0</v>
      </c>
      <c r="CZ253" s="37">
        <v>0</v>
      </c>
      <c r="DA253" s="37">
        <v>0</v>
      </c>
      <c r="DB253" s="37">
        <v>0</v>
      </c>
      <c r="DC253" s="37">
        <v>0</v>
      </c>
      <c r="DD253" s="37">
        <v>0</v>
      </c>
      <c r="DE253" s="37">
        <v>0</v>
      </c>
      <c r="DF253" s="37">
        <v>0</v>
      </c>
      <c r="DG253" s="37">
        <v>0</v>
      </c>
      <c r="DH253" s="37">
        <v>0</v>
      </c>
      <c r="DI253" s="37">
        <v>0</v>
      </c>
      <c r="DJ253" s="37">
        <v>0</v>
      </c>
      <c r="DK253" s="37">
        <v>0</v>
      </c>
      <c r="DL253" s="37">
        <v>0</v>
      </c>
      <c r="DM253" s="37">
        <v>0</v>
      </c>
      <c r="DN253" s="37">
        <v>0</v>
      </c>
      <c r="DO253" s="37">
        <v>0</v>
      </c>
      <c r="DP253" s="37">
        <v>0</v>
      </c>
      <c r="DQ253" s="37">
        <v>0</v>
      </c>
      <c r="DR253" s="37">
        <v>0</v>
      </c>
      <c r="DS253" s="37">
        <v>0</v>
      </c>
      <c r="DT253" s="37">
        <v>0</v>
      </c>
      <c r="DU253" s="37">
        <v>0</v>
      </c>
      <c r="DV253" s="37">
        <v>0</v>
      </c>
      <c r="DW253" s="37">
        <v>0</v>
      </c>
      <c r="DX253" s="37">
        <v>0</v>
      </c>
      <c r="DY253" s="37">
        <v>0</v>
      </c>
      <c r="DZ253" s="37">
        <v>0</v>
      </c>
      <c r="EA253" s="37">
        <v>0</v>
      </c>
      <c r="EB253" s="37">
        <v>0</v>
      </c>
      <c r="EC253" s="37">
        <v>0</v>
      </c>
      <c r="ED253" s="37">
        <v>0</v>
      </c>
      <c r="EE253" s="37">
        <v>0</v>
      </c>
      <c r="EF253" s="37">
        <v>0</v>
      </c>
      <c r="EG253" s="37">
        <v>0</v>
      </c>
      <c r="EH253" s="37">
        <v>0</v>
      </c>
      <c r="EI253" s="37">
        <v>0</v>
      </c>
      <c r="EJ253" s="37">
        <v>0</v>
      </c>
      <c r="EK253" s="161" t="s">
        <v>1878</v>
      </c>
      <c r="EL253" s="294" t="s">
        <v>1124</v>
      </c>
    </row>
    <row r="254" spans="1:142" ht="15" customHeight="1" x14ac:dyDescent="0.35">
      <c r="A254" s="34"/>
      <c r="B254" s="313">
        <v>15013</v>
      </c>
      <c r="C254" s="8" t="s">
        <v>78</v>
      </c>
      <c r="D254" s="18">
        <v>3</v>
      </c>
      <c r="E254" s="155">
        <v>822103</v>
      </c>
      <c r="F254" s="36">
        <v>978877</v>
      </c>
      <c r="G254" s="37">
        <v>219147</v>
      </c>
      <c r="H254" s="37">
        <v>147794</v>
      </c>
      <c r="I254" s="37">
        <v>1115912.3500000001</v>
      </c>
      <c r="J254" s="37">
        <v>1034115.35</v>
      </c>
      <c r="K254" s="37">
        <v>82210.3</v>
      </c>
      <c r="L254" s="37">
        <v>97887.700000000012</v>
      </c>
      <c r="M254" s="37">
        <v>2239372.6500000004</v>
      </c>
      <c r="N254" s="37">
        <v>2258674.0499999998</v>
      </c>
      <c r="O254" s="37">
        <v>0</v>
      </c>
      <c r="P254" s="37">
        <v>0</v>
      </c>
      <c r="Q254" s="37">
        <v>1842846</v>
      </c>
      <c r="R254" s="37">
        <v>1441347</v>
      </c>
      <c r="S254" s="37">
        <v>0</v>
      </c>
      <c r="T254" s="37">
        <v>0</v>
      </c>
      <c r="U254" s="37">
        <v>345220.66000000003</v>
      </c>
      <c r="V254" s="37">
        <v>744501.53</v>
      </c>
      <c r="W254" s="37">
        <v>82210.3</v>
      </c>
      <c r="X254" s="37">
        <v>97887.700000000012</v>
      </c>
      <c r="Y254" s="37">
        <v>0</v>
      </c>
      <c r="Z254" s="37">
        <v>0</v>
      </c>
      <c r="AA254" s="37">
        <v>2270276.96</v>
      </c>
      <c r="AB254" s="37">
        <v>2283736.23</v>
      </c>
      <c r="AC254" s="37">
        <v>55966</v>
      </c>
      <c r="AD254" s="37">
        <v>55966</v>
      </c>
      <c r="AE254" s="37">
        <v>267764.2</v>
      </c>
      <c r="AF254" s="168">
        <v>0.02</v>
      </c>
      <c r="AG254" s="37">
        <v>165489634.83000001</v>
      </c>
      <c r="AH254" s="37">
        <v>1462660.6</v>
      </c>
      <c r="AI254" s="37">
        <v>1969457.41</v>
      </c>
      <c r="AJ254" s="37">
        <v>1521752.09</v>
      </c>
      <c r="AK254" s="37">
        <v>1552187.13</v>
      </c>
      <c r="AL254" s="37">
        <v>1583230.87</v>
      </c>
      <c r="AM254" s="37">
        <v>1614895.49</v>
      </c>
      <c r="AN254" s="37">
        <v>1647193.4</v>
      </c>
      <c r="AO254" s="37">
        <v>1680137.27</v>
      </c>
      <c r="AP254" s="37">
        <v>1713740.01</v>
      </c>
      <c r="AQ254" s="37">
        <v>1748014.81</v>
      </c>
      <c r="AR254" s="37">
        <v>16493269.08</v>
      </c>
      <c r="AS254" s="37">
        <v>3500640</v>
      </c>
      <c r="AT254" s="37">
        <v>181930.91</v>
      </c>
      <c r="AU254" s="37">
        <v>5707658.9900000002</v>
      </c>
      <c r="AV254" s="37">
        <v>49201.46</v>
      </c>
      <c r="AW254" s="37">
        <v>50185.49</v>
      </c>
      <c r="AX254" s="37">
        <v>51189.2</v>
      </c>
      <c r="AY254" s="37">
        <v>454252.97</v>
      </c>
      <c r="AZ254" s="37">
        <v>53257.24</v>
      </c>
      <c r="BA254" s="37">
        <v>54322.39</v>
      </c>
      <c r="BB254" s="37">
        <v>55408.84</v>
      </c>
      <c r="BC254" s="37">
        <v>56517.01</v>
      </c>
      <c r="BD254" s="37">
        <v>6713924.5</v>
      </c>
      <c r="BE254" s="37">
        <v>235520</v>
      </c>
      <c r="BF254" s="37">
        <v>0</v>
      </c>
      <c r="BG254" s="37">
        <v>1626754</v>
      </c>
      <c r="BH254" s="37">
        <v>790000</v>
      </c>
      <c r="BI254" s="37">
        <v>115000</v>
      </c>
      <c r="BJ254" s="37">
        <v>1165000</v>
      </c>
      <c r="BK254" s="37">
        <v>0</v>
      </c>
      <c r="BL254" s="37">
        <v>0</v>
      </c>
      <c r="BM254" s="37">
        <v>0</v>
      </c>
      <c r="BN254" s="37">
        <v>0</v>
      </c>
      <c r="BO254" s="37">
        <v>0</v>
      </c>
      <c r="BP254" s="37">
        <v>3696754</v>
      </c>
      <c r="BQ254" s="37">
        <v>0</v>
      </c>
      <c r="BR254" s="37">
        <v>0</v>
      </c>
      <c r="BS254" s="37">
        <v>197002</v>
      </c>
      <c r="BT254" s="37">
        <v>3000000</v>
      </c>
      <c r="BU254" s="37">
        <v>750000</v>
      </c>
      <c r="BV254" s="37">
        <v>1000000</v>
      </c>
      <c r="BW254" s="37">
        <v>1000000</v>
      </c>
      <c r="BX254" s="37">
        <v>3000000</v>
      </c>
      <c r="BY254" s="37">
        <v>1000000</v>
      </c>
      <c r="BZ254" s="37">
        <v>750000</v>
      </c>
      <c r="CA254" s="37">
        <v>50000</v>
      </c>
      <c r="CB254" s="37">
        <v>10747002</v>
      </c>
      <c r="CC254" s="37">
        <v>55872</v>
      </c>
      <c r="CD254" s="37">
        <v>0</v>
      </c>
      <c r="CE254" s="37">
        <v>0</v>
      </c>
      <c r="CF254" s="37">
        <v>0</v>
      </c>
      <c r="CG254" s="37">
        <v>0</v>
      </c>
      <c r="CH254" s="37">
        <v>0</v>
      </c>
      <c r="CI254" s="37">
        <v>0</v>
      </c>
      <c r="CJ254" s="37">
        <v>0</v>
      </c>
      <c r="CK254" s="37">
        <v>0</v>
      </c>
      <c r="CL254" s="37">
        <v>0</v>
      </c>
      <c r="CM254" s="37">
        <v>0</v>
      </c>
      <c r="CN254" s="37">
        <v>0</v>
      </c>
      <c r="CO254" s="37">
        <v>0</v>
      </c>
      <c r="CP254" s="37">
        <v>0</v>
      </c>
      <c r="CQ254" s="37">
        <v>2949664</v>
      </c>
      <c r="CR254" s="37">
        <v>0</v>
      </c>
      <c r="CS254" s="37">
        <v>0</v>
      </c>
      <c r="CT254" s="37">
        <v>0</v>
      </c>
      <c r="CU254" s="37">
        <v>0</v>
      </c>
      <c r="CV254" s="37">
        <v>0</v>
      </c>
      <c r="CW254" s="37">
        <v>0</v>
      </c>
      <c r="CX254" s="37">
        <v>0</v>
      </c>
      <c r="CY254" s="37">
        <v>0</v>
      </c>
      <c r="CZ254" s="37">
        <v>2949664</v>
      </c>
      <c r="DA254" s="37">
        <v>0</v>
      </c>
      <c r="DB254" s="37">
        <v>0</v>
      </c>
      <c r="DC254" s="37">
        <v>2757995</v>
      </c>
      <c r="DD254" s="37">
        <v>0</v>
      </c>
      <c r="DE254" s="37">
        <v>0</v>
      </c>
      <c r="DF254" s="37">
        <v>0</v>
      </c>
      <c r="DG254" s="37">
        <v>0</v>
      </c>
      <c r="DH254" s="37">
        <v>0</v>
      </c>
      <c r="DI254" s="37">
        <v>0</v>
      </c>
      <c r="DJ254" s="37">
        <v>0</v>
      </c>
      <c r="DK254" s="37">
        <v>0</v>
      </c>
      <c r="DL254" s="37">
        <v>2757995</v>
      </c>
      <c r="DM254" s="37">
        <v>0</v>
      </c>
      <c r="DN254" s="37">
        <v>0</v>
      </c>
      <c r="DO254" s="37">
        <v>0</v>
      </c>
      <c r="DP254" s="37">
        <v>0</v>
      </c>
      <c r="DQ254" s="37">
        <v>0</v>
      </c>
      <c r="DR254" s="37">
        <v>0</v>
      </c>
      <c r="DS254" s="37">
        <v>0</v>
      </c>
      <c r="DT254" s="37">
        <v>0</v>
      </c>
      <c r="DU254" s="37">
        <v>0</v>
      </c>
      <c r="DV254" s="37">
        <v>0</v>
      </c>
      <c r="DW254" s="37">
        <v>0</v>
      </c>
      <c r="DX254" s="37">
        <v>0</v>
      </c>
      <c r="DY254" s="37">
        <v>0</v>
      </c>
      <c r="DZ254" s="37">
        <v>0</v>
      </c>
      <c r="EA254" s="37">
        <v>50000</v>
      </c>
      <c r="EB254" s="37">
        <v>50000</v>
      </c>
      <c r="EC254" s="37">
        <v>50000</v>
      </c>
      <c r="ED254" s="37">
        <v>50000</v>
      </c>
      <c r="EE254" s="37">
        <v>50000</v>
      </c>
      <c r="EF254" s="37">
        <v>50000</v>
      </c>
      <c r="EG254" s="37">
        <v>50000</v>
      </c>
      <c r="EH254" s="37">
        <v>50000</v>
      </c>
      <c r="EI254" s="37">
        <v>50000</v>
      </c>
      <c r="EJ254" s="37">
        <v>450000</v>
      </c>
      <c r="EK254" s="161" t="s">
        <v>1913</v>
      </c>
      <c r="EL254" s="294" t="s">
        <v>1124</v>
      </c>
    </row>
    <row r="255" spans="1:142" ht="15" customHeight="1" x14ac:dyDescent="0.35">
      <c r="A255" s="34"/>
      <c r="B255" s="313">
        <v>4030</v>
      </c>
      <c r="C255" s="8" t="s">
        <v>1041</v>
      </c>
      <c r="D255" s="18">
        <v>11</v>
      </c>
      <c r="E255" s="155"/>
      <c r="F255" s="36"/>
      <c r="G255" s="37"/>
      <c r="H255" s="37"/>
      <c r="I255" s="37"/>
      <c r="J255" s="37"/>
      <c r="K255" s="37"/>
      <c r="L255" s="37"/>
      <c r="M255" s="37" t="s">
        <v>1124</v>
      </c>
      <c r="N255" s="37" t="s">
        <v>1124</v>
      </c>
      <c r="O255" s="37"/>
      <c r="P255" s="37"/>
      <c r="Q255" s="37"/>
      <c r="R255" s="37"/>
      <c r="S255" s="37"/>
      <c r="T255" s="37"/>
      <c r="U255" s="37"/>
      <c r="V255" s="37"/>
      <c r="W255" s="37"/>
      <c r="X255" s="37"/>
      <c r="Y255" s="37"/>
      <c r="Z255" s="37"/>
      <c r="AA255" s="37" t="s">
        <v>1124</v>
      </c>
      <c r="AB255" s="37" t="s">
        <v>1124</v>
      </c>
      <c r="AC255" s="37"/>
      <c r="AD255" s="37"/>
      <c r="AE255" s="37"/>
      <c r="AF255" s="168"/>
      <c r="AG255" s="37"/>
      <c r="AH255" s="37"/>
      <c r="AI255" s="37"/>
      <c r="AJ255" s="37"/>
      <c r="AK255" s="37"/>
      <c r="AL255" s="37"/>
      <c r="AM255" s="37"/>
      <c r="AN255" s="37"/>
      <c r="AO255" s="37"/>
      <c r="AP255" s="37"/>
      <c r="AQ255" s="37"/>
      <c r="AR255" s="37" t="s">
        <v>1124</v>
      </c>
      <c r="AS255" s="37"/>
      <c r="AT255" s="37"/>
      <c r="AU255" s="37"/>
      <c r="AV255" s="37"/>
      <c r="AW255" s="37"/>
      <c r="AX255" s="37"/>
      <c r="AY255" s="37"/>
      <c r="AZ255" s="37"/>
      <c r="BA255" s="37"/>
      <c r="BB255" s="37"/>
      <c r="BC255" s="37"/>
      <c r="BD255" s="37" t="s">
        <v>1124</v>
      </c>
      <c r="BE255" s="37"/>
      <c r="BF255" s="37"/>
      <c r="BG255" s="37"/>
      <c r="BH255" s="37"/>
      <c r="BI255" s="37"/>
      <c r="BJ255" s="37"/>
      <c r="BK255" s="37"/>
      <c r="BL255" s="37"/>
      <c r="BM255" s="37"/>
      <c r="BN255" s="37"/>
      <c r="BO255" s="37"/>
      <c r="BP255" s="37">
        <v>0</v>
      </c>
      <c r="BQ255" s="37"/>
      <c r="BR255" s="37"/>
      <c r="BS255" s="37"/>
      <c r="BT255" s="37"/>
      <c r="BU255" s="37"/>
      <c r="BV255" s="37"/>
      <c r="BW255" s="37"/>
      <c r="BX255" s="37"/>
      <c r="BY255" s="37"/>
      <c r="BZ255" s="37"/>
      <c r="CA255" s="37"/>
      <c r="CB255" s="37" t="s">
        <v>1124</v>
      </c>
      <c r="CC255" s="37"/>
      <c r="CD255" s="37"/>
      <c r="CE255" s="37"/>
      <c r="CF255" s="37"/>
      <c r="CG255" s="37"/>
      <c r="CH255" s="37"/>
      <c r="CI255" s="37"/>
      <c r="CJ255" s="37"/>
      <c r="CK255" s="37"/>
      <c r="CL255" s="37"/>
      <c r="CM255" s="37"/>
      <c r="CN255" s="37" t="s">
        <v>1124</v>
      </c>
      <c r="CO255" s="37"/>
      <c r="CP255" s="37"/>
      <c r="CQ255" s="37"/>
      <c r="CR255" s="37"/>
      <c r="CS255" s="37"/>
      <c r="CT255" s="37"/>
      <c r="CU255" s="37"/>
      <c r="CV255" s="37"/>
      <c r="CW255" s="37"/>
      <c r="CX255" s="37"/>
      <c r="CY255" s="37"/>
      <c r="CZ255" s="37" t="s">
        <v>1124</v>
      </c>
      <c r="DA255" s="37"/>
      <c r="DB255" s="37"/>
      <c r="DC255" s="37"/>
      <c r="DD255" s="37"/>
      <c r="DE255" s="37"/>
      <c r="DF255" s="37"/>
      <c r="DG255" s="37"/>
      <c r="DH255" s="37"/>
      <c r="DI255" s="37"/>
      <c r="DJ255" s="37"/>
      <c r="DK255" s="37"/>
      <c r="DL255" s="37" t="s">
        <v>1124</v>
      </c>
      <c r="DM255" s="37"/>
      <c r="DN255" s="37"/>
      <c r="DO255" s="37"/>
      <c r="DP255" s="37"/>
      <c r="DQ255" s="37"/>
      <c r="DR255" s="37"/>
      <c r="DS255" s="37"/>
      <c r="DT255" s="37"/>
      <c r="DU255" s="37"/>
      <c r="DV255" s="37"/>
      <c r="DW255" s="37"/>
      <c r="DX255" s="37" t="s">
        <v>1124</v>
      </c>
      <c r="DY255" s="37"/>
      <c r="DZ255" s="37"/>
      <c r="EA255" s="37"/>
      <c r="EB255" s="37"/>
      <c r="EC255" s="37"/>
      <c r="ED255" s="37"/>
      <c r="EE255" s="37"/>
      <c r="EF255" s="37"/>
      <c r="EG255" s="37"/>
      <c r="EH255" s="37"/>
      <c r="EI255" s="37"/>
      <c r="EJ255" s="37" t="s">
        <v>1124</v>
      </c>
      <c r="EK255" s="161"/>
      <c r="EL255" s="294"/>
    </row>
    <row r="256" spans="1:142" ht="15" customHeight="1" x14ac:dyDescent="0.35">
      <c r="A256" s="34"/>
      <c r="B256" s="313">
        <v>78130</v>
      </c>
      <c r="C256" s="8" t="s">
        <v>785</v>
      </c>
      <c r="D256" s="18">
        <v>15</v>
      </c>
      <c r="E256" s="155">
        <v>40942</v>
      </c>
      <c r="F256" s="36">
        <v>0</v>
      </c>
      <c r="G256" s="37">
        <v>10344</v>
      </c>
      <c r="H256" s="37">
        <v>0</v>
      </c>
      <c r="I256" s="37">
        <v>116500</v>
      </c>
      <c r="J256" s="37">
        <v>0</v>
      </c>
      <c r="K256" s="37">
        <v>15000</v>
      </c>
      <c r="L256" s="37">
        <v>0</v>
      </c>
      <c r="M256" s="37">
        <v>182786</v>
      </c>
      <c r="N256" s="37">
        <v>0</v>
      </c>
      <c r="O256" s="37">
        <v>0</v>
      </c>
      <c r="P256" s="37">
        <v>0</v>
      </c>
      <c r="Q256" s="37">
        <v>0</v>
      </c>
      <c r="R256" s="37">
        <v>0</v>
      </c>
      <c r="S256" s="37">
        <v>0</v>
      </c>
      <c r="T256" s="37">
        <v>0</v>
      </c>
      <c r="U256" s="37">
        <v>88679</v>
      </c>
      <c r="V256" s="37">
        <v>0</v>
      </c>
      <c r="W256" s="37">
        <v>94107</v>
      </c>
      <c r="X256" s="37">
        <v>0</v>
      </c>
      <c r="Y256" s="37">
        <v>0</v>
      </c>
      <c r="Z256" s="37">
        <v>0</v>
      </c>
      <c r="AA256" s="37">
        <v>182786</v>
      </c>
      <c r="AB256" s="37">
        <v>0</v>
      </c>
      <c r="AC256" s="37">
        <v>0</v>
      </c>
      <c r="AD256" s="37">
        <v>0</v>
      </c>
      <c r="AE256" s="37">
        <v>0</v>
      </c>
      <c r="AF256" s="168">
        <v>0.02</v>
      </c>
      <c r="AG256" s="37">
        <v>4060653.66</v>
      </c>
      <c r="AH256" s="37">
        <v>27629.52</v>
      </c>
      <c r="AI256" s="37">
        <v>28182.11</v>
      </c>
      <c r="AJ256" s="37">
        <v>28745.75</v>
      </c>
      <c r="AK256" s="37">
        <v>29320.67</v>
      </c>
      <c r="AL256" s="37">
        <v>29907.08</v>
      </c>
      <c r="AM256" s="37">
        <v>30505.22</v>
      </c>
      <c r="AN256" s="37">
        <v>31115.33</v>
      </c>
      <c r="AO256" s="37">
        <v>31737.63</v>
      </c>
      <c r="AP256" s="37">
        <v>32372.38</v>
      </c>
      <c r="AQ256" s="37">
        <v>33019.83</v>
      </c>
      <c r="AR256" s="37">
        <v>302535.52</v>
      </c>
      <c r="AS256" s="37">
        <v>0</v>
      </c>
      <c r="AT256" s="37">
        <v>0</v>
      </c>
      <c r="AU256" s="37">
        <v>0</v>
      </c>
      <c r="AV256" s="37">
        <v>0</v>
      </c>
      <c r="AW256" s="37">
        <v>0</v>
      </c>
      <c r="AX256" s="37">
        <v>0</v>
      </c>
      <c r="AY256" s="37">
        <v>0</v>
      </c>
      <c r="AZ256" s="37">
        <v>0</v>
      </c>
      <c r="BA256" s="37">
        <v>0</v>
      </c>
      <c r="BB256" s="37">
        <v>0</v>
      </c>
      <c r="BC256" s="37">
        <v>0</v>
      </c>
      <c r="BD256" s="37">
        <v>0</v>
      </c>
      <c r="BE256" s="37">
        <v>15000</v>
      </c>
      <c r="BF256" s="37">
        <v>0</v>
      </c>
      <c r="BG256" s="37">
        <v>0</v>
      </c>
      <c r="BH256" s="37">
        <v>0</v>
      </c>
      <c r="BI256" s="37">
        <v>0</v>
      </c>
      <c r="BJ256" s="37">
        <v>0</v>
      </c>
      <c r="BK256" s="37">
        <v>0</v>
      </c>
      <c r="BL256" s="37">
        <v>0</v>
      </c>
      <c r="BM256" s="37">
        <v>0</v>
      </c>
      <c r="BN256" s="37">
        <v>0</v>
      </c>
      <c r="BO256" s="37">
        <v>0</v>
      </c>
      <c r="BP256" s="37">
        <v>0</v>
      </c>
      <c r="BQ256" s="37">
        <v>0</v>
      </c>
      <c r="BR256" s="37">
        <v>0</v>
      </c>
      <c r="BS256" s="37">
        <v>0</v>
      </c>
      <c r="BT256" s="37">
        <v>0</v>
      </c>
      <c r="BU256" s="37">
        <v>0</v>
      </c>
      <c r="BV256" s="37">
        <v>0</v>
      </c>
      <c r="BW256" s="37">
        <v>0</v>
      </c>
      <c r="BX256" s="37">
        <v>0</v>
      </c>
      <c r="BY256" s="37">
        <v>0</v>
      </c>
      <c r="BZ256" s="37">
        <v>0</v>
      </c>
      <c r="CA256" s="37">
        <v>0</v>
      </c>
      <c r="CB256" s="37">
        <v>0</v>
      </c>
      <c r="CC256" s="37">
        <v>5000</v>
      </c>
      <c r="CD256" s="37">
        <v>0</v>
      </c>
      <c r="CE256" s="37">
        <v>0</v>
      </c>
      <c r="CF256" s="37">
        <v>0</v>
      </c>
      <c r="CG256" s="37">
        <v>0</v>
      </c>
      <c r="CH256" s="37">
        <v>0</v>
      </c>
      <c r="CI256" s="37">
        <v>0</v>
      </c>
      <c r="CJ256" s="37">
        <v>0</v>
      </c>
      <c r="CK256" s="37">
        <v>0</v>
      </c>
      <c r="CL256" s="37">
        <v>0</v>
      </c>
      <c r="CM256" s="37">
        <v>0</v>
      </c>
      <c r="CN256" s="37">
        <v>0</v>
      </c>
      <c r="CO256" s="37">
        <v>0</v>
      </c>
      <c r="CP256" s="37">
        <v>0</v>
      </c>
      <c r="CQ256" s="37">
        <v>0</v>
      </c>
      <c r="CR256" s="37">
        <v>0</v>
      </c>
      <c r="CS256" s="37">
        <v>0</v>
      </c>
      <c r="CT256" s="37">
        <v>0</v>
      </c>
      <c r="CU256" s="37">
        <v>0</v>
      </c>
      <c r="CV256" s="37">
        <v>0</v>
      </c>
      <c r="CW256" s="37">
        <v>0</v>
      </c>
      <c r="CX256" s="37">
        <v>0</v>
      </c>
      <c r="CY256" s="37">
        <v>0</v>
      </c>
      <c r="CZ256" s="37">
        <v>0</v>
      </c>
      <c r="DA256" s="37">
        <v>0</v>
      </c>
      <c r="DB256" s="37">
        <v>0</v>
      </c>
      <c r="DC256" s="37">
        <v>0</v>
      </c>
      <c r="DD256" s="37">
        <v>0</v>
      </c>
      <c r="DE256" s="37">
        <v>0</v>
      </c>
      <c r="DF256" s="37">
        <v>0</v>
      </c>
      <c r="DG256" s="37">
        <v>0</v>
      </c>
      <c r="DH256" s="37">
        <v>0</v>
      </c>
      <c r="DI256" s="37">
        <v>0</v>
      </c>
      <c r="DJ256" s="37">
        <v>0</v>
      </c>
      <c r="DK256" s="37">
        <v>0</v>
      </c>
      <c r="DL256" s="37">
        <v>0</v>
      </c>
      <c r="DM256" s="37">
        <v>0</v>
      </c>
      <c r="DN256" s="37">
        <v>0</v>
      </c>
      <c r="DO256" s="37">
        <v>0</v>
      </c>
      <c r="DP256" s="37">
        <v>0</v>
      </c>
      <c r="DQ256" s="37">
        <v>0</v>
      </c>
      <c r="DR256" s="37">
        <v>0</v>
      </c>
      <c r="DS256" s="37">
        <v>0</v>
      </c>
      <c r="DT256" s="37">
        <v>0</v>
      </c>
      <c r="DU256" s="37">
        <v>0</v>
      </c>
      <c r="DV256" s="37">
        <v>0</v>
      </c>
      <c r="DW256" s="37">
        <v>0</v>
      </c>
      <c r="DX256" s="37">
        <v>0</v>
      </c>
      <c r="DY256" s="37">
        <v>0</v>
      </c>
      <c r="DZ256" s="37">
        <v>0</v>
      </c>
      <c r="EA256" s="37">
        <v>0</v>
      </c>
      <c r="EB256" s="37">
        <v>0</v>
      </c>
      <c r="EC256" s="37">
        <v>0</v>
      </c>
      <c r="ED256" s="37">
        <v>0</v>
      </c>
      <c r="EE256" s="37">
        <v>0</v>
      </c>
      <c r="EF256" s="37">
        <v>0</v>
      </c>
      <c r="EG256" s="37">
        <v>0</v>
      </c>
      <c r="EH256" s="37">
        <v>0</v>
      </c>
      <c r="EI256" s="37">
        <v>0</v>
      </c>
      <c r="EJ256" s="37">
        <v>0</v>
      </c>
      <c r="EK256" s="161" t="s">
        <v>1453</v>
      </c>
      <c r="EL256" s="294" t="s">
        <v>1124</v>
      </c>
    </row>
    <row r="257" spans="1:142" ht="15" customHeight="1" x14ac:dyDescent="0.35">
      <c r="A257" s="34"/>
      <c r="B257" s="313">
        <v>88015</v>
      </c>
      <c r="C257" s="8" t="s">
        <v>913</v>
      </c>
      <c r="D257" s="18">
        <v>8</v>
      </c>
      <c r="E257" s="155"/>
      <c r="F257" s="36"/>
      <c r="G257" s="37"/>
      <c r="H257" s="37"/>
      <c r="I257" s="37"/>
      <c r="J257" s="37"/>
      <c r="K257" s="37"/>
      <c r="L257" s="37"/>
      <c r="M257" s="37" t="s">
        <v>1124</v>
      </c>
      <c r="N257" s="37" t="s">
        <v>1124</v>
      </c>
      <c r="O257" s="37"/>
      <c r="P257" s="37"/>
      <c r="Q257" s="37"/>
      <c r="R257" s="37"/>
      <c r="S257" s="37"/>
      <c r="T257" s="37"/>
      <c r="U257" s="37"/>
      <c r="V257" s="37"/>
      <c r="W257" s="37"/>
      <c r="X257" s="37"/>
      <c r="Y257" s="37"/>
      <c r="Z257" s="37"/>
      <c r="AA257" s="37" t="s">
        <v>1124</v>
      </c>
      <c r="AB257" s="37" t="s">
        <v>1124</v>
      </c>
      <c r="AC257" s="37"/>
      <c r="AD257" s="37"/>
      <c r="AE257" s="37"/>
      <c r="AF257" s="168"/>
      <c r="AG257" s="37"/>
      <c r="AH257" s="37"/>
      <c r="AI257" s="37"/>
      <c r="AJ257" s="37"/>
      <c r="AK257" s="37"/>
      <c r="AL257" s="37"/>
      <c r="AM257" s="37"/>
      <c r="AN257" s="37"/>
      <c r="AO257" s="37"/>
      <c r="AP257" s="37"/>
      <c r="AQ257" s="37"/>
      <c r="AR257" s="37" t="s">
        <v>1124</v>
      </c>
      <c r="AS257" s="37"/>
      <c r="AT257" s="37"/>
      <c r="AU257" s="37"/>
      <c r="AV257" s="37"/>
      <c r="AW257" s="37"/>
      <c r="AX257" s="37"/>
      <c r="AY257" s="37"/>
      <c r="AZ257" s="37"/>
      <c r="BA257" s="37"/>
      <c r="BB257" s="37"/>
      <c r="BC257" s="37"/>
      <c r="BD257" s="37" t="s">
        <v>1124</v>
      </c>
      <c r="BE257" s="37"/>
      <c r="BF257" s="37"/>
      <c r="BG257" s="37"/>
      <c r="BH257" s="37"/>
      <c r="BI257" s="37"/>
      <c r="BJ257" s="37"/>
      <c r="BK257" s="37"/>
      <c r="BL257" s="37"/>
      <c r="BM257" s="37"/>
      <c r="BN257" s="37"/>
      <c r="BO257" s="37"/>
      <c r="BP257" s="37">
        <v>0</v>
      </c>
      <c r="BQ257" s="37"/>
      <c r="BR257" s="37"/>
      <c r="BS257" s="37"/>
      <c r="BT257" s="37"/>
      <c r="BU257" s="37"/>
      <c r="BV257" s="37"/>
      <c r="BW257" s="37"/>
      <c r="BX257" s="37"/>
      <c r="BY257" s="37"/>
      <c r="BZ257" s="37"/>
      <c r="CA257" s="37"/>
      <c r="CB257" s="37" t="s">
        <v>1124</v>
      </c>
      <c r="CC257" s="37"/>
      <c r="CD257" s="37"/>
      <c r="CE257" s="37"/>
      <c r="CF257" s="37"/>
      <c r="CG257" s="37"/>
      <c r="CH257" s="37"/>
      <c r="CI257" s="37"/>
      <c r="CJ257" s="37"/>
      <c r="CK257" s="37"/>
      <c r="CL257" s="37"/>
      <c r="CM257" s="37"/>
      <c r="CN257" s="37" t="s">
        <v>1124</v>
      </c>
      <c r="CO257" s="37"/>
      <c r="CP257" s="37"/>
      <c r="CQ257" s="37"/>
      <c r="CR257" s="37"/>
      <c r="CS257" s="37"/>
      <c r="CT257" s="37"/>
      <c r="CU257" s="37"/>
      <c r="CV257" s="37"/>
      <c r="CW257" s="37"/>
      <c r="CX257" s="37"/>
      <c r="CY257" s="37"/>
      <c r="CZ257" s="37" t="s">
        <v>1124</v>
      </c>
      <c r="DA257" s="37"/>
      <c r="DB257" s="37"/>
      <c r="DC257" s="37"/>
      <c r="DD257" s="37"/>
      <c r="DE257" s="37"/>
      <c r="DF257" s="37"/>
      <c r="DG257" s="37"/>
      <c r="DH257" s="37"/>
      <c r="DI257" s="37"/>
      <c r="DJ257" s="37"/>
      <c r="DK257" s="37"/>
      <c r="DL257" s="37" t="s">
        <v>1124</v>
      </c>
      <c r="DM257" s="37"/>
      <c r="DN257" s="37"/>
      <c r="DO257" s="37"/>
      <c r="DP257" s="37"/>
      <c r="DQ257" s="37"/>
      <c r="DR257" s="37"/>
      <c r="DS257" s="37"/>
      <c r="DT257" s="37"/>
      <c r="DU257" s="37"/>
      <c r="DV257" s="37"/>
      <c r="DW257" s="37"/>
      <c r="DX257" s="37" t="s">
        <v>1124</v>
      </c>
      <c r="DY257" s="37"/>
      <c r="DZ257" s="37"/>
      <c r="EA257" s="37"/>
      <c r="EB257" s="37"/>
      <c r="EC257" s="37"/>
      <c r="ED257" s="37"/>
      <c r="EE257" s="37"/>
      <c r="EF257" s="37"/>
      <c r="EG257" s="37"/>
      <c r="EH257" s="37"/>
      <c r="EI257" s="37"/>
      <c r="EJ257" s="37" t="s">
        <v>1124</v>
      </c>
      <c r="EK257" s="161"/>
      <c r="EL257" s="294"/>
    </row>
    <row r="258" spans="1:142" ht="15" customHeight="1" x14ac:dyDescent="0.35">
      <c r="A258" s="34"/>
      <c r="B258" s="313">
        <v>88045</v>
      </c>
      <c r="C258" s="8" t="s">
        <v>918</v>
      </c>
      <c r="D258" s="18">
        <v>8</v>
      </c>
      <c r="E258" s="155"/>
      <c r="F258" s="36"/>
      <c r="G258" s="37"/>
      <c r="H258" s="37"/>
      <c r="I258" s="37"/>
      <c r="J258" s="37"/>
      <c r="K258" s="37"/>
      <c r="L258" s="37"/>
      <c r="M258" s="37" t="s">
        <v>1124</v>
      </c>
      <c r="N258" s="37" t="s">
        <v>1124</v>
      </c>
      <c r="O258" s="37"/>
      <c r="P258" s="37"/>
      <c r="Q258" s="37"/>
      <c r="R258" s="37"/>
      <c r="S258" s="37"/>
      <c r="T258" s="37"/>
      <c r="U258" s="37"/>
      <c r="V258" s="37"/>
      <c r="W258" s="37"/>
      <c r="X258" s="37"/>
      <c r="Y258" s="37"/>
      <c r="Z258" s="37"/>
      <c r="AA258" s="37" t="s">
        <v>1124</v>
      </c>
      <c r="AB258" s="37" t="s">
        <v>1124</v>
      </c>
      <c r="AC258" s="37"/>
      <c r="AD258" s="37"/>
      <c r="AE258" s="37"/>
      <c r="AF258" s="168"/>
      <c r="AG258" s="37"/>
      <c r="AH258" s="37"/>
      <c r="AI258" s="37"/>
      <c r="AJ258" s="37"/>
      <c r="AK258" s="37"/>
      <c r="AL258" s="37"/>
      <c r="AM258" s="37"/>
      <c r="AN258" s="37"/>
      <c r="AO258" s="37"/>
      <c r="AP258" s="37"/>
      <c r="AQ258" s="37"/>
      <c r="AR258" s="37" t="s">
        <v>1124</v>
      </c>
      <c r="AS258" s="37"/>
      <c r="AT258" s="37"/>
      <c r="AU258" s="37"/>
      <c r="AV258" s="37"/>
      <c r="AW258" s="37"/>
      <c r="AX258" s="37"/>
      <c r="AY258" s="37"/>
      <c r="AZ258" s="37"/>
      <c r="BA258" s="37"/>
      <c r="BB258" s="37"/>
      <c r="BC258" s="37"/>
      <c r="BD258" s="37" t="s">
        <v>1124</v>
      </c>
      <c r="BE258" s="37"/>
      <c r="BF258" s="37"/>
      <c r="BG258" s="37"/>
      <c r="BH258" s="37"/>
      <c r="BI258" s="37"/>
      <c r="BJ258" s="37"/>
      <c r="BK258" s="37"/>
      <c r="BL258" s="37"/>
      <c r="BM258" s="37"/>
      <c r="BN258" s="37"/>
      <c r="BO258" s="37"/>
      <c r="BP258" s="37">
        <v>0</v>
      </c>
      <c r="BQ258" s="37"/>
      <c r="BR258" s="37"/>
      <c r="BS258" s="37"/>
      <c r="BT258" s="37"/>
      <c r="BU258" s="37"/>
      <c r="BV258" s="37"/>
      <c r="BW258" s="37"/>
      <c r="BX258" s="37"/>
      <c r="BY258" s="37"/>
      <c r="BZ258" s="37"/>
      <c r="CA258" s="37"/>
      <c r="CB258" s="37" t="s">
        <v>1124</v>
      </c>
      <c r="CC258" s="37"/>
      <c r="CD258" s="37"/>
      <c r="CE258" s="37"/>
      <c r="CF258" s="37"/>
      <c r="CG258" s="37"/>
      <c r="CH258" s="37"/>
      <c r="CI258" s="37"/>
      <c r="CJ258" s="37"/>
      <c r="CK258" s="37"/>
      <c r="CL258" s="37"/>
      <c r="CM258" s="37"/>
      <c r="CN258" s="37" t="s">
        <v>1124</v>
      </c>
      <c r="CO258" s="37"/>
      <c r="CP258" s="37"/>
      <c r="CQ258" s="37"/>
      <c r="CR258" s="37"/>
      <c r="CS258" s="37"/>
      <c r="CT258" s="37"/>
      <c r="CU258" s="37"/>
      <c r="CV258" s="37"/>
      <c r="CW258" s="37"/>
      <c r="CX258" s="37"/>
      <c r="CY258" s="37"/>
      <c r="CZ258" s="37" t="s">
        <v>1124</v>
      </c>
      <c r="DA258" s="37"/>
      <c r="DB258" s="37"/>
      <c r="DC258" s="37"/>
      <c r="DD258" s="37"/>
      <c r="DE258" s="37"/>
      <c r="DF258" s="37"/>
      <c r="DG258" s="37"/>
      <c r="DH258" s="37"/>
      <c r="DI258" s="37"/>
      <c r="DJ258" s="37"/>
      <c r="DK258" s="37"/>
      <c r="DL258" s="37" t="s">
        <v>1124</v>
      </c>
      <c r="DM258" s="37"/>
      <c r="DN258" s="37"/>
      <c r="DO258" s="37"/>
      <c r="DP258" s="37"/>
      <c r="DQ258" s="37"/>
      <c r="DR258" s="37"/>
      <c r="DS258" s="37"/>
      <c r="DT258" s="37"/>
      <c r="DU258" s="37"/>
      <c r="DV258" s="37"/>
      <c r="DW258" s="37"/>
      <c r="DX258" s="37" t="s">
        <v>1124</v>
      </c>
      <c r="DY258" s="37"/>
      <c r="DZ258" s="37"/>
      <c r="EA258" s="37"/>
      <c r="EB258" s="37"/>
      <c r="EC258" s="37"/>
      <c r="ED258" s="37"/>
      <c r="EE258" s="37"/>
      <c r="EF258" s="37"/>
      <c r="EG258" s="37"/>
      <c r="EH258" s="37"/>
      <c r="EI258" s="37"/>
      <c r="EJ258" s="37" t="s">
        <v>1124</v>
      </c>
      <c r="EK258" s="161"/>
      <c r="EL258" s="294"/>
    </row>
    <row r="259" spans="1:142" ht="15" customHeight="1" x14ac:dyDescent="0.35">
      <c r="A259" s="34"/>
      <c r="B259" s="313">
        <v>41027</v>
      </c>
      <c r="C259" s="8" t="s">
        <v>367</v>
      </c>
      <c r="D259" s="18">
        <v>5</v>
      </c>
      <c r="E259" s="155">
        <v>73641</v>
      </c>
      <c r="F259" s="36">
        <v>30622</v>
      </c>
      <c r="G259" s="37">
        <v>8397</v>
      </c>
      <c r="H259" s="37">
        <v>0</v>
      </c>
      <c r="I259" s="37">
        <v>23866.720000000001</v>
      </c>
      <c r="J259" s="37">
        <v>0</v>
      </c>
      <c r="K259" s="37">
        <v>15885.707999999999</v>
      </c>
      <c r="L259" s="37">
        <v>4593.3</v>
      </c>
      <c r="M259" s="37">
        <v>121790.428</v>
      </c>
      <c r="N259" s="37">
        <v>35215.300000000003</v>
      </c>
      <c r="O259" s="37">
        <v>0</v>
      </c>
      <c r="P259" s="37">
        <v>0</v>
      </c>
      <c r="Q259" s="37">
        <v>87673.16</v>
      </c>
      <c r="R259" s="37">
        <v>29760.959999999999</v>
      </c>
      <c r="S259" s="37">
        <v>0</v>
      </c>
      <c r="T259" s="37">
        <v>0</v>
      </c>
      <c r="U259" s="37">
        <v>0</v>
      </c>
      <c r="V259" s="37">
        <v>0</v>
      </c>
      <c r="W259" s="37">
        <v>29543.16559892365</v>
      </c>
      <c r="X259" s="37">
        <v>10028.562401076349</v>
      </c>
      <c r="Y259" s="37">
        <v>0</v>
      </c>
      <c r="Z259" s="37">
        <v>0</v>
      </c>
      <c r="AA259" s="37">
        <v>117216.32559892365</v>
      </c>
      <c r="AB259" s="37">
        <v>39789.522401076349</v>
      </c>
      <c r="AC259" s="37">
        <v>0.11999999999534339</v>
      </c>
      <c r="AD259" s="37">
        <v>0</v>
      </c>
      <c r="AE259" s="37">
        <v>0</v>
      </c>
      <c r="AF259" s="168">
        <v>0.02</v>
      </c>
      <c r="AG259" s="37">
        <v>12637350.529999999</v>
      </c>
      <c r="AH259" s="37">
        <v>98349.37</v>
      </c>
      <c r="AI259" s="37">
        <v>110720.36</v>
      </c>
      <c r="AJ259" s="37">
        <v>102322.69</v>
      </c>
      <c r="AK259" s="37">
        <v>104369.14</v>
      </c>
      <c r="AL259" s="37">
        <v>106456.52</v>
      </c>
      <c r="AM259" s="37">
        <v>114903.42</v>
      </c>
      <c r="AN259" s="37">
        <v>110757.37</v>
      </c>
      <c r="AO259" s="37">
        <v>112972.51</v>
      </c>
      <c r="AP259" s="37">
        <v>115231.96</v>
      </c>
      <c r="AQ259" s="37">
        <v>117536.6</v>
      </c>
      <c r="AR259" s="37">
        <v>1093619.94</v>
      </c>
      <c r="AS259" s="37">
        <v>473382</v>
      </c>
      <c r="AT259" s="37">
        <v>0</v>
      </c>
      <c r="AU259" s="37">
        <v>0</v>
      </c>
      <c r="AV259" s="37">
        <v>2122.42</v>
      </c>
      <c r="AW259" s="37">
        <v>0</v>
      </c>
      <c r="AX259" s="37">
        <v>0</v>
      </c>
      <c r="AY259" s="37">
        <v>0</v>
      </c>
      <c r="AZ259" s="37">
        <v>0</v>
      </c>
      <c r="BA259" s="37">
        <v>0</v>
      </c>
      <c r="BB259" s="37">
        <v>0</v>
      </c>
      <c r="BC259" s="37">
        <v>0</v>
      </c>
      <c r="BD259" s="37">
        <v>2122.42</v>
      </c>
      <c r="BE259" s="37">
        <v>0</v>
      </c>
      <c r="BF259" s="37">
        <v>0</v>
      </c>
      <c r="BG259" s="37">
        <v>500000</v>
      </c>
      <c r="BH259" s="37">
        <v>0</v>
      </c>
      <c r="BI259" s="37">
        <v>0</v>
      </c>
      <c r="BJ259" s="37">
        <v>13717.67672065019</v>
      </c>
      <c r="BK259" s="37">
        <v>66426.373325512497</v>
      </c>
      <c r="BL259" s="37">
        <v>86385.171213353955</v>
      </c>
      <c r="BM259" s="37">
        <v>106343.96910119538</v>
      </c>
      <c r="BN259" s="37">
        <v>126302.80963928801</v>
      </c>
      <c r="BO259" s="37">
        <v>0</v>
      </c>
      <c r="BP259" s="37">
        <v>899176</v>
      </c>
      <c r="BQ259" s="37">
        <v>0</v>
      </c>
      <c r="BR259" s="37">
        <v>0</v>
      </c>
      <c r="BS259" s="37">
        <v>0</v>
      </c>
      <c r="BT259" s="37">
        <v>0</v>
      </c>
      <c r="BU259" s="37">
        <v>0</v>
      </c>
      <c r="BV259" s="37">
        <v>0</v>
      </c>
      <c r="BW259" s="37">
        <v>0</v>
      </c>
      <c r="BX259" s="37">
        <v>0</v>
      </c>
      <c r="BY259" s="37">
        <v>0</v>
      </c>
      <c r="BZ259" s="37">
        <v>0</v>
      </c>
      <c r="CA259" s="37">
        <v>0</v>
      </c>
      <c r="CB259" s="37">
        <v>0</v>
      </c>
      <c r="CC259" s="37">
        <v>0</v>
      </c>
      <c r="CD259" s="37">
        <v>0</v>
      </c>
      <c r="CE259" s="37">
        <v>0</v>
      </c>
      <c r="CF259" s="37">
        <v>0</v>
      </c>
      <c r="CG259" s="37">
        <v>0</v>
      </c>
      <c r="CH259" s="37">
        <v>0</v>
      </c>
      <c r="CI259" s="37">
        <v>0</v>
      </c>
      <c r="CJ259" s="37">
        <v>0</v>
      </c>
      <c r="CK259" s="37">
        <v>0</v>
      </c>
      <c r="CL259" s="37">
        <v>0</v>
      </c>
      <c r="CM259" s="37">
        <v>0</v>
      </c>
      <c r="CN259" s="37">
        <v>0</v>
      </c>
      <c r="CO259" s="37">
        <v>0</v>
      </c>
      <c r="CP259" s="37">
        <v>0</v>
      </c>
      <c r="CQ259" s="37">
        <v>0</v>
      </c>
      <c r="CR259" s="37">
        <v>0</v>
      </c>
      <c r="CS259" s="37">
        <v>0</v>
      </c>
      <c r="CT259" s="37">
        <v>0</v>
      </c>
      <c r="CU259" s="37">
        <v>0</v>
      </c>
      <c r="CV259" s="37">
        <v>0</v>
      </c>
      <c r="CW259" s="37">
        <v>0</v>
      </c>
      <c r="CX259" s="37">
        <v>0</v>
      </c>
      <c r="CY259" s="37">
        <v>0</v>
      </c>
      <c r="CZ259" s="37">
        <v>0</v>
      </c>
      <c r="DA259" s="37">
        <v>0</v>
      </c>
      <c r="DB259" s="37">
        <v>0</v>
      </c>
      <c r="DC259" s="37">
        <v>0</v>
      </c>
      <c r="DD259" s="37">
        <v>0</v>
      </c>
      <c r="DE259" s="37">
        <v>0</v>
      </c>
      <c r="DF259" s="37">
        <v>0</v>
      </c>
      <c r="DG259" s="37">
        <v>0</v>
      </c>
      <c r="DH259" s="37">
        <v>0</v>
      </c>
      <c r="DI259" s="37">
        <v>0</v>
      </c>
      <c r="DJ259" s="37">
        <v>0</v>
      </c>
      <c r="DK259" s="37">
        <v>0</v>
      </c>
      <c r="DL259" s="37">
        <v>0</v>
      </c>
      <c r="DM259" s="37">
        <v>0</v>
      </c>
      <c r="DN259" s="37">
        <v>0</v>
      </c>
      <c r="DO259" s="37">
        <v>0</v>
      </c>
      <c r="DP259" s="37">
        <v>2000</v>
      </c>
      <c r="DQ259" s="37">
        <v>0</v>
      </c>
      <c r="DR259" s="37">
        <v>0</v>
      </c>
      <c r="DS259" s="37">
        <v>0</v>
      </c>
      <c r="DT259" s="37">
        <v>0</v>
      </c>
      <c r="DU259" s="37">
        <v>0</v>
      </c>
      <c r="DV259" s="37">
        <v>0</v>
      </c>
      <c r="DW259" s="37">
        <v>0</v>
      </c>
      <c r="DX259" s="37">
        <v>2000</v>
      </c>
      <c r="DY259" s="37">
        <v>0</v>
      </c>
      <c r="DZ259" s="37">
        <v>0</v>
      </c>
      <c r="EA259" s="37">
        <v>0</v>
      </c>
      <c r="EB259" s="37">
        <v>0</v>
      </c>
      <c r="EC259" s="37">
        <v>0</v>
      </c>
      <c r="ED259" s="37">
        <v>0</v>
      </c>
      <c r="EE259" s="37">
        <v>0</v>
      </c>
      <c r="EF259" s="37">
        <v>0</v>
      </c>
      <c r="EG259" s="37">
        <v>0</v>
      </c>
      <c r="EH259" s="37">
        <v>0</v>
      </c>
      <c r="EI259" s="37">
        <v>0</v>
      </c>
      <c r="EJ259" s="37">
        <v>0</v>
      </c>
      <c r="EK259" s="161" t="s">
        <v>1919</v>
      </c>
      <c r="EL259" s="294" t="s">
        <v>1124</v>
      </c>
    </row>
    <row r="260" spans="1:142" ht="15" customHeight="1" x14ac:dyDescent="0.35">
      <c r="A260" s="34"/>
      <c r="B260" s="313">
        <v>82035</v>
      </c>
      <c r="C260" s="8" t="s">
        <v>834</v>
      </c>
      <c r="D260" s="18">
        <v>7</v>
      </c>
      <c r="E260" s="155"/>
      <c r="F260" s="36"/>
      <c r="G260" s="37"/>
      <c r="H260" s="37"/>
      <c r="I260" s="37"/>
      <c r="J260" s="37"/>
      <c r="K260" s="37"/>
      <c r="L260" s="37"/>
      <c r="M260" s="37" t="s">
        <v>1124</v>
      </c>
      <c r="N260" s="37" t="s">
        <v>1124</v>
      </c>
      <c r="O260" s="37"/>
      <c r="P260" s="37"/>
      <c r="Q260" s="37"/>
      <c r="R260" s="37"/>
      <c r="S260" s="37"/>
      <c r="T260" s="37"/>
      <c r="U260" s="37"/>
      <c r="V260" s="37"/>
      <c r="W260" s="37"/>
      <c r="X260" s="37"/>
      <c r="Y260" s="37"/>
      <c r="Z260" s="37"/>
      <c r="AA260" s="37" t="s">
        <v>1124</v>
      </c>
      <c r="AB260" s="37" t="s">
        <v>1124</v>
      </c>
      <c r="AC260" s="37"/>
      <c r="AD260" s="37"/>
      <c r="AE260" s="37"/>
      <c r="AF260" s="168"/>
      <c r="AG260" s="37"/>
      <c r="AH260" s="37"/>
      <c r="AI260" s="37"/>
      <c r="AJ260" s="37"/>
      <c r="AK260" s="37"/>
      <c r="AL260" s="37"/>
      <c r="AM260" s="37"/>
      <c r="AN260" s="37"/>
      <c r="AO260" s="37"/>
      <c r="AP260" s="37"/>
      <c r="AQ260" s="37"/>
      <c r="AR260" s="37" t="s">
        <v>1124</v>
      </c>
      <c r="AS260" s="37"/>
      <c r="AT260" s="37"/>
      <c r="AU260" s="37"/>
      <c r="AV260" s="37"/>
      <c r="AW260" s="37"/>
      <c r="AX260" s="37"/>
      <c r="AY260" s="37"/>
      <c r="AZ260" s="37"/>
      <c r="BA260" s="37"/>
      <c r="BB260" s="37"/>
      <c r="BC260" s="37"/>
      <c r="BD260" s="37" t="s">
        <v>1124</v>
      </c>
      <c r="BE260" s="37"/>
      <c r="BF260" s="37"/>
      <c r="BG260" s="37"/>
      <c r="BH260" s="37"/>
      <c r="BI260" s="37"/>
      <c r="BJ260" s="37"/>
      <c r="BK260" s="37"/>
      <c r="BL260" s="37"/>
      <c r="BM260" s="37"/>
      <c r="BN260" s="37"/>
      <c r="BO260" s="37"/>
      <c r="BP260" s="37">
        <v>0</v>
      </c>
      <c r="BQ260" s="37"/>
      <c r="BR260" s="37"/>
      <c r="BS260" s="37"/>
      <c r="BT260" s="37"/>
      <c r="BU260" s="37"/>
      <c r="BV260" s="37"/>
      <c r="BW260" s="37"/>
      <c r="BX260" s="37"/>
      <c r="BY260" s="37"/>
      <c r="BZ260" s="37"/>
      <c r="CA260" s="37"/>
      <c r="CB260" s="37" t="s">
        <v>1124</v>
      </c>
      <c r="CC260" s="37"/>
      <c r="CD260" s="37"/>
      <c r="CE260" s="37"/>
      <c r="CF260" s="37"/>
      <c r="CG260" s="37"/>
      <c r="CH260" s="37"/>
      <c r="CI260" s="37"/>
      <c r="CJ260" s="37"/>
      <c r="CK260" s="37"/>
      <c r="CL260" s="37"/>
      <c r="CM260" s="37"/>
      <c r="CN260" s="37" t="s">
        <v>1124</v>
      </c>
      <c r="CO260" s="37"/>
      <c r="CP260" s="37"/>
      <c r="CQ260" s="37"/>
      <c r="CR260" s="37"/>
      <c r="CS260" s="37"/>
      <c r="CT260" s="37"/>
      <c r="CU260" s="37"/>
      <c r="CV260" s="37"/>
      <c r="CW260" s="37"/>
      <c r="CX260" s="37"/>
      <c r="CY260" s="37"/>
      <c r="CZ260" s="37" t="s">
        <v>1124</v>
      </c>
      <c r="DA260" s="37"/>
      <c r="DB260" s="37"/>
      <c r="DC260" s="37"/>
      <c r="DD260" s="37"/>
      <c r="DE260" s="37"/>
      <c r="DF260" s="37"/>
      <c r="DG260" s="37"/>
      <c r="DH260" s="37"/>
      <c r="DI260" s="37"/>
      <c r="DJ260" s="37"/>
      <c r="DK260" s="37"/>
      <c r="DL260" s="37" t="s">
        <v>1124</v>
      </c>
      <c r="DM260" s="37"/>
      <c r="DN260" s="37"/>
      <c r="DO260" s="37"/>
      <c r="DP260" s="37"/>
      <c r="DQ260" s="37"/>
      <c r="DR260" s="37"/>
      <c r="DS260" s="37"/>
      <c r="DT260" s="37"/>
      <c r="DU260" s="37"/>
      <c r="DV260" s="37"/>
      <c r="DW260" s="37"/>
      <c r="DX260" s="37" t="s">
        <v>1124</v>
      </c>
      <c r="DY260" s="37"/>
      <c r="DZ260" s="37"/>
      <c r="EA260" s="37"/>
      <c r="EB260" s="37"/>
      <c r="EC260" s="37"/>
      <c r="ED260" s="37"/>
      <c r="EE260" s="37"/>
      <c r="EF260" s="37"/>
      <c r="EG260" s="37"/>
      <c r="EH260" s="37"/>
      <c r="EI260" s="37"/>
      <c r="EJ260" s="37" t="s">
        <v>1124</v>
      </c>
      <c r="EK260" s="161"/>
      <c r="EL260" s="294"/>
    </row>
    <row r="261" spans="1:142" ht="15" customHeight="1" x14ac:dyDescent="0.35">
      <c r="A261" s="34"/>
      <c r="B261" s="313">
        <v>14085</v>
      </c>
      <c r="C261" s="8" t="s">
        <v>75</v>
      </c>
      <c r="D261" s="18">
        <v>1</v>
      </c>
      <c r="E261" s="155">
        <v>453488</v>
      </c>
      <c r="F261" s="36">
        <v>294858</v>
      </c>
      <c r="G261" s="37">
        <v>32940</v>
      </c>
      <c r="H261" s="37">
        <v>27778</v>
      </c>
      <c r="I261" s="37">
        <v>142615</v>
      </c>
      <c r="J261" s="37">
        <v>59745</v>
      </c>
      <c r="K261" s="37">
        <v>68023</v>
      </c>
      <c r="L261" s="37">
        <v>44229</v>
      </c>
      <c r="M261" s="37">
        <v>697066</v>
      </c>
      <c r="N261" s="37">
        <v>426610</v>
      </c>
      <c r="O261" s="37">
        <v>0</v>
      </c>
      <c r="P261" s="37">
        <v>0</v>
      </c>
      <c r="Q261" s="37">
        <v>479929</v>
      </c>
      <c r="R261" s="37">
        <v>379653</v>
      </c>
      <c r="S261" s="37">
        <v>53442</v>
      </c>
      <c r="T261" s="37">
        <v>33548</v>
      </c>
      <c r="U261" s="37">
        <v>10002</v>
      </c>
      <c r="V261" s="37">
        <v>10649</v>
      </c>
      <c r="W261" s="37">
        <v>78227</v>
      </c>
      <c r="X261" s="37">
        <v>78226</v>
      </c>
      <c r="Y261" s="37">
        <v>0</v>
      </c>
      <c r="Z261" s="37">
        <v>0</v>
      </c>
      <c r="AA261" s="37">
        <v>621600</v>
      </c>
      <c r="AB261" s="37">
        <v>502076</v>
      </c>
      <c r="AC261" s="37">
        <v>0</v>
      </c>
      <c r="AD261" s="37">
        <v>0</v>
      </c>
      <c r="AE261" s="37">
        <v>0</v>
      </c>
      <c r="AF261" s="168">
        <v>0.02</v>
      </c>
      <c r="AG261" s="37">
        <v>87080880.670000002</v>
      </c>
      <c r="AH261" s="37">
        <v>753941.1</v>
      </c>
      <c r="AI261" s="37">
        <v>711714.69</v>
      </c>
      <c r="AJ261" s="37">
        <v>725948.98</v>
      </c>
      <c r="AK261" s="37">
        <v>740467.96</v>
      </c>
      <c r="AL261" s="37">
        <v>755277.32</v>
      </c>
      <c r="AM261" s="37">
        <v>770382.87</v>
      </c>
      <c r="AN261" s="37">
        <v>785790.52</v>
      </c>
      <c r="AO261" s="37">
        <v>801506.33</v>
      </c>
      <c r="AP261" s="37">
        <v>817536.46</v>
      </c>
      <c r="AQ261" s="37">
        <v>833886.69</v>
      </c>
      <c r="AR261" s="37">
        <v>7696452.9199999981</v>
      </c>
      <c r="AS261" s="37">
        <v>10813900.949999999</v>
      </c>
      <c r="AT261" s="37">
        <v>102000</v>
      </c>
      <c r="AU261" s="37">
        <v>0</v>
      </c>
      <c r="AV261" s="37">
        <v>0</v>
      </c>
      <c r="AW261" s="37">
        <v>5566775.4100000001</v>
      </c>
      <c r="AX261" s="37">
        <v>0</v>
      </c>
      <c r="AY261" s="37">
        <v>0</v>
      </c>
      <c r="AZ261" s="37">
        <v>0</v>
      </c>
      <c r="BA261" s="37">
        <v>0</v>
      </c>
      <c r="BB261" s="37">
        <v>0</v>
      </c>
      <c r="BC261" s="37">
        <v>0</v>
      </c>
      <c r="BD261" s="37">
        <v>5668775.4100000001</v>
      </c>
      <c r="BE261" s="37">
        <v>1052678</v>
      </c>
      <c r="BF261" s="37">
        <v>0</v>
      </c>
      <c r="BG261" s="37">
        <v>0</v>
      </c>
      <c r="BH261" s="37">
        <v>0</v>
      </c>
      <c r="BI261" s="37">
        <v>0</v>
      </c>
      <c r="BJ261" s="37">
        <v>0</v>
      </c>
      <c r="BK261" s="37">
        <v>0</v>
      </c>
      <c r="BL261" s="37">
        <v>0</v>
      </c>
      <c r="BM261" s="37">
        <v>0</v>
      </c>
      <c r="BN261" s="37">
        <v>0</v>
      </c>
      <c r="BO261" s="37">
        <v>0</v>
      </c>
      <c r="BP261" s="37">
        <v>0</v>
      </c>
      <c r="BQ261" s="37">
        <v>0</v>
      </c>
      <c r="BR261" s="37">
        <v>0</v>
      </c>
      <c r="BS261" s="37">
        <v>0</v>
      </c>
      <c r="BT261" s="37">
        <v>0</v>
      </c>
      <c r="BU261" s="37">
        <v>0</v>
      </c>
      <c r="BV261" s="37">
        <v>0</v>
      </c>
      <c r="BW261" s="37">
        <v>0</v>
      </c>
      <c r="BX261" s="37">
        <v>0</v>
      </c>
      <c r="BY261" s="37">
        <v>0</v>
      </c>
      <c r="BZ261" s="37">
        <v>0</v>
      </c>
      <c r="CA261" s="37">
        <v>0</v>
      </c>
      <c r="CB261" s="37">
        <v>0</v>
      </c>
      <c r="CC261" s="37">
        <v>0</v>
      </c>
      <c r="CD261" s="37">
        <v>54000</v>
      </c>
      <c r="CE261" s="37">
        <v>0</v>
      </c>
      <c r="CF261" s="37">
        <v>0</v>
      </c>
      <c r="CG261" s="37">
        <v>0</v>
      </c>
      <c r="CH261" s="37">
        <v>0</v>
      </c>
      <c r="CI261" s="37">
        <v>0</v>
      </c>
      <c r="CJ261" s="37">
        <v>0</v>
      </c>
      <c r="CK261" s="37">
        <v>0</v>
      </c>
      <c r="CL261" s="37">
        <v>0</v>
      </c>
      <c r="CM261" s="37">
        <v>0</v>
      </c>
      <c r="CN261" s="37">
        <v>54000</v>
      </c>
      <c r="CO261" s="37">
        <v>23400</v>
      </c>
      <c r="CP261" s="37">
        <v>0</v>
      </c>
      <c r="CQ261" s="37">
        <v>0</v>
      </c>
      <c r="CR261" s="37">
        <v>4036000</v>
      </c>
      <c r="CS261" s="37">
        <v>0</v>
      </c>
      <c r="CT261" s="37">
        <v>0</v>
      </c>
      <c r="CU261" s="37">
        <v>0</v>
      </c>
      <c r="CV261" s="37">
        <v>0</v>
      </c>
      <c r="CW261" s="37">
        <v>0</v>
      </c>
      <c r="CX261" s="37">
        <v>0</v>
      </c>
      <c r="CY261" s="37">
        <v>0</v>
      </c>
      <c r="CZ261" s="37">
        <v>4036000</v>
      </c>
      <c r="DA261" s="37">
        <v>0</v>
      </c>
      <c r="DB261" s="37">
        <v>100000</v>
      </c>
      <c r="DC261" s="37">
        <v>0</v>
      </c>
      <c r="DD261" s="37">
        <v>1009000</v>
      </c>
      <c r="DE261" s="37">
        <v>0</v>
      </c>
      <c r="DF261" s="37">
        <v>0</v>
      </c>
      <c r="DG261" s="37">
        <v>0</v>
      </c>
      <c r="DH261" s="37">
        <v>0</v>
      </c>
      <c r="DI261" s="37">
        <v>0</v>
      </c>
      <c r="DJ261" s="37">
        <v>0</v>
      </c>
      <c r="DK261" s="37">
        <v>0</v>
      </c>
      <c r="DL261" s="37">
        <v>1109000</v>
      </c>
      <c r="DM261" s="37">
        <v>0</v>
      </c>
      <c r="DN261" s="37">
        <v>0</v>
      </c>
      <c r="DO261" s="37">
        <v>0</v>
      </c>
      <c r="DP261" s="37">
        <v>0</v>
      </c>
      <c r="DQ261" s="37">
        <v>0</v>
      </c>
      <c r="DR261" s="37">
        <v>0</v>
      </c>
      <c r="DS261" s="37">
        <v>0</v>
      </c>
      <c r="DT261" s="37">
        <v>0</v>
      </c>
      <c r="DU261" s="37">
        <v>0</v>
      </c>
      <c r="DV261" s="37">
        <v>0</v>
      </c>
      <c r="DW261" s="37">
        <v>0</v>
      </c>
      <c r="DX261" s="37">
        <v>0</v>
      </c>
      <c r="DY261" s="37">
        <v>0</v>
      </c>
      <c r="DZ261" s="37">
        <v>0</v>
      </c>
      <c r="EA261" s="37">
        <v>0</v>
      </c>
      <c r="EB261" s="37">
        <v>0</v>
      </c>
      <c r="EC261" s="37">
        <v>0</v>
      </c>
      <c r="ED261" s="37">
        <v>0</v>
      </c>
      <c r="EE261" s="37">
        <v>0</v>
      </c>
      <c r="EF261" s="37">
        <v>0</v>
      </c>
      <c r="EG261" s="37">
        <v>0</v>
      </c>
      <c r="EH261" s="37">
        <v>0</v>
      </c>
      <c r="EI261" s="37">
        <v>0</v>
      </c>
      <c r="EJ261" s="37">
        <v>0</v>
      </c>
      <c r="EK261" s="161" t="s">
        <v>1924</v>
      </c>
      <c r="EL261" s="294" t="s">
        <v>1124</v>
      </c>
    </row>
    <row r="262" spans="1:142" ht="15" customHeight="1" x14ac:dyDescent="0.35">
      <c r="A262" s="34"/>
      <c r="B262" s="313">
        <v>67015</v>
      </c>
      <c r="C262" s="8" t="s">
        <v>664</v>
      </c>
      <c r="D262" s="18">
        <v>16</v>
      </c>
      <c r="E262" s="155">
        <v>1714691</v>
      </c>
      <c r="F262" s="36">
        <v>1815053</v>
      </c>
      <c r="G262" s="37">
        <v>257438</v>
      </c>
      <c r="H262" s="37">
        <v>58132</v>
      </c>
      <c r="I262" s="37">
        <v>868652</v>
      </c>
      <c r="J262" s="37">
        <v>196150</v>
      </c>
      <c r="K262" s="37">
        <v>257203.65</v>
      </c>
      <c r="L262" s="37">
        <v>272257.95</v>
      </c>
      <c r="M262" s="37">
        <v>3097984.65</v>
      </c>
      <c r="N262" s="37">
        <v>2341592.9500000002</v>
      </c>
      <c r="O262" s="37">
        <v>158771</v>
      </c>
      <c r="P262" s="37">
        <v>0</v>
      </c>
      <c r="Q262" s="37">
        <v>2258602</v>
      </c>
      <c r="R262" s="37">
        <v>1125414</v>
      </c>
      <c r="S262" s="37">
        <v>0</v>
      </c>
      <c r="T262" s="37">
        <v>7800</v>
      </c>
      <c r="U262" s="37">
        <v>81062</v>
      </c>
      <c r="V262" s="37">
        <v>81062</v>
      </c>
      <c r="W262" s="37">
        <v>599550</v>
      </c>
      <c r="X262" s="37">
        <v>1127317</v>
      </c>
      <c r="Y262" s="37">
        <v>0</v>
      </c>
      <c r="Z262" s="37">
        <v>0</v>
      </c>
      <c r="AA262" s="37">
        <v>3097985</v>
      </c>
      <c r="AB262" s="37">
        <v>2341593</v>
      </c>
      <c r="AC262" s="37">
        <v>0</v>
      </c>
      <c r="AD262" s="37">
        <v>0</v>
      </c>
      <c r="AE262" s="37">
        <v>0</v>
      </c>
      <c r="AF262" s="168">
        <v>0.02</v>
      </c>
      <c r="AG262" s="37">
        <v>367634701.36000001</v>
      </c>
      <c r="AH262" s="37">
        <v>2597997.85</v>
      </c>
      <c r="AI262" s="37">
        <v>2649957.81</v>
      </c>
      <c r="AJ262" s="37">
        <v>2702956.96</v>
      </c>
      <c r="AK262" s="37">
        <v>2757016.1</v>
      </c>
      <c r="AL262" s="37">
        <v>2812156.43</v>
      </c>
      <c r="AM262" s="37">
        <v>2868399.55</v>
      </c>
      <c r="AN262" s="37">
        <v>2925767.55</v>
      </c>
      <c r="AO262" s="37">
        <v>2984282.9</v>
      </c>
      <c r="AP262" s="37">
        <v>3043968.55</v>
      </c>
      <c r="AQ262" s="37">
        <v>3104847.93</v>
      </c>
      <c r="AR262" s="37">
        <v>28447351.630000003</v>
      </c>
      <c r="AS262" s="37">
        <v>4705546.09</v>
      </c>
      <c r="AT262" s="37">
        <v>0</v>
      </c>
      <c r="AU262" s="37">
        <v>42448.32</v>
      </c>
      <c r="AV262" s="37">
        <v>1745687.16</v>
      </c>
      <c r="AW262" s="37">
        <v>1780600.9</v>
      </c>
      <c r="AX262" s="37">
        <v>1816212.92</v>
      </c>
      <c r="AY262" s="37">
        <v>2122816.16</v>
      </c>
      <c r="AZ262" s="37">
        <v>1447343.94</v>
      </c>
      <c r="BA262" s="37">
        <v>1476290.82</v>
      </c>
      <c r="BB262" s="37">
        <v>1505816.64</v>
      </c>
      <c r="BC262" s="37">
        <v>1535932.97</v>
      </c>
      <c r="BD262" s="37">
        <v>13473149.83</v>
      </c>
      <c r="BE262" s="37">
        <v>2443565</v>
      </c>
      <c r="BF262" s="37">
        <v>628960</v>
      </c>
      <c r="BG262" s="37">
        <v>3360852</v>
      </c>
      <c r="BH262" s="37">
        <v>4658400</v>
      </c>
      <c r="BI262" s="37">
        <v>2146120</v>
      </c>
      <c r="BJ262" s="37">
        <v>0</v>
      </c>
      <c r="BK262" s="37">
        <v>0</v>
      </c>
      <c r="BL262" s="37">
        <v>0</v>
      </c>
      <c r="BM262" s="37">
        <v>0</v>
      </c>
      <c r="BN262" s="37">
        <v>0</v>
      </c>
      <c r="BO262" s="37">
        <v>0</v>
      </c>
      <c r="BP262" s="37">
        <v>10794332</v>
      </c>
      <c r="BQ262" s="37">
        <v>0</v>
      </c>
      <c r="BR262" s="37">
        <v>0</v>
      </c>
      <c r="BS262" s="37">
        <v>0</v>
      </c>
      <c r="BT262" s="37">
        <v>714600</v>
      </c>
      <c r="BU262" s="37">
        <v>0</v>
      </c>
      <c r="BV262" s="37">
        <v>0</v>
      </c>
      <c r="BW262" s="37">
        <v>0</v>
      </c>
      <c r="BX262" s="37">
        <v>0</v>
      </c>
      <c r="BY262" s="37">
        <v>0</v>
      </c>
      <c r="BZ262" s="37">
        <v>0</v>
      </c>
      <c r="CA262" s="37">
        <v>0</v>
      </c>
      <c r="CB262" s="37">
        <v>714600</v>
      </c>
      <c r="CC262" s="37">
        <v>0</v>
      </c>
      <c r="CD262" s="37">
        <v>0</v>
      </c>
      <c r="CE262" s="37">
        <v>0</v>
      </c>
      <c r="CF262" s="37">
        <v>0</v>
      </c>
      <c r="CG262" s="37">
        <v>0</v>
      </c>
      <c r="CH262" s="37">
        <v>0</v>
      </c>
      <c r="CI262" s="37">
        <v>0</v>
      </c>
      <c r="CJ262" s="37">
        <v>0</v>
      </c>
      <c r="CK262" s="37">
        <v>0</v>
      </c>
      <c r="CL262" s="37">
        <v>0</v>
      </c>
      <c r="CM262" s="37">
        <v>0</v>
      </c>
      <c r="CN262" s="37">
        <v>0</v>
      </c>
      <c r="CO262" s="37">
        <v>0</v>
      </c>
      <c r="CP262" s="37">
        <v>0</v>
      </c>
      <c r="CQ262" s="37">
        <v>0</v>
      </c>
      <c r="CR262" s="37">
        <v>0</v>
      </c>
      <c r="CS262" s="37">
        <v>0</v>
      </c>
      <c r="CT262" s="37">
        <v>0</v>
      </c>
      <c r="CU262" s="37">
        <v>0</v>
      </c>
      <c r="CV262" s="37">
        <v>0</v>
      </c>
      <c r="CW262" s="37">
        <v>0</v>
      </c>
      <c r="CX262" s="37">
        <v>0</v>
      </c>
      <c r="CY262" s="37">
        <v>0</v>
      </c>
      <c r="CZ262" s="37">
        <v>0</v>
      </c>
      <c r="DA262" s="37">
        <v>0</v>
      </c>
      <c r="DB262" s="37">
        <v>0</v>
      </c>
      <c r="DC262" s="37">
        <v>0</v>
      </c>
      <c r="DD262" s="37">
        <v>0</v>
      </c>
      <c r="DE262" s="37">
        <v>0</v>
      </c>
      <c r="DF262" s="37">
        <v>0</v>
      </c>
      <c r="DG262" s="37">
        <v>0</v>
      </c>
      <c r="DH262" s="37">
        <v>0</v>
      </c>
      <c r="DI262" s="37">
        <v>0</v>
      </c>
      <c r="DJ262" s="37">
        <v>0</v>
      </c>
      <c r="DK262" s="37">
        <v>0</v>
      </c>
      <c r="DL262" s="37">
        <v>0</v>
      </c>
      <c r="DM262" s="37">
        <v>0</v>
      </c>
      <c r="DN262" s="37">
        <v>0</v>
      </c>
      <c r="DO262" s="37">
        <v>0</v>
      </c>
      <c r="DP262" s="37">
        <v>0</v>
      </c>
      <c r="DQ262" s="37">
        <v>0</v>
      </c>
      <c r="DR262" s="37">
        <v>0</v>
      </c>
      <c r="DS262" s="37">
        <v>0</v>
      </c>
      <c r="DT262" s="37">
        <v>0</v>
      </c>
      <c r="DU262" s="37">
        <v>0</v>
      </c>
      <c r="DV262" s="37">
        <v>0</v>
      </c>
      <c r="DW262" s="37">
        <v>0</v>
      </c>
      <c r="DX262" s="37">
        <v>0</v>
      </c>
      <c r="DY262" s="37">
        <v>0</v>
      </c>
      <c r="DZ262" s="37">
        <v>0</v>
      </c>
      <c r="EA262" s="37">
        <v>0</v>
      </c>
      <c r="EB262" s="37">
        <v>0</v>
      </c>
      <c r="EC262" s="37">
        <v>0</v>
      </c>
      <c r="ED262" s="37">
        <v>0</v>
      </c>
      <c r="EE262" s="37">
        <v>0</v>
      </c>
      <c r="EF262" s="37">
        <v>0</v>
      </c>
      <c r="EG262" s="37">
        <v>0</v>
      </c>
      <c r="EH262" s="37">
        <v>0</v>
      </c>
      <c r="EI262" s="37">
        <v>0</v>
      </c>
      <c r="EJ262" s="37">
        <v>0</v>
      </c>
      <c r="EK262" s="161" t="s">
        <v>1928</v>
      </c>
      <c r="EL262" s="294" t="s">
        <v>1124</v>
      </c>
    </row>
    <row r="263" spans="1:142" ht="15" customHeight="1" x14ac:dyDescent="0.35">
      <c r="A263" s="34"/>
      <c r="B263" s="313">
        <v>54035</v>
      </c>
      <c r="C263" s="8" t="s">
        <v>546</v>
      </c>
      <c r="D263" s="18">
        <v>16</v>
      </c>
      <c r="E263" s="155">
        <v>354915</v>
      </c>
      <c r="F263" s="36">
        <v>104483</v>
      </c>
      <c r="G263" s="37">
        <v>31528</v>
      </c>
      <c r="H263" s="37">
        <v>57658</v>
      </c>
      <c r="I263" s="37">
        <v>16605</v>
      </c>
      <c r="J263" s="37">
        <v>144414</v>
      </c>
      <c r="K263" s="37">
        <v>3549.15</v>
      </c>
      <c r="L263" s="37">
        <v>1044.83</v>
      </c>
      <c r="M263" s="37">
        <v>406597.15</v>
      </c>
      <c r="N263" s="37">
        <v>307599.82999999996</v>
      </c>
      <c r="O263" s="37">
        <v>346832</v>
      </c>
      <c r="P263" s="37">
        <v>0</v>
      </c>
      <c r="Q263" s="37">
        <v>58312</v>
      </c>
      <c r="R263" s="37">
        <v>204206</v>
      </c>
      <c r="S263" s="37">
        <v>4242</v>
      </c>
      <c r="T263" s="37">
        <v>0</v>
      </c>
      <c r="U263" s="37">
        <v>0</v>
      </c>
      <c r="V263" s="37">
        <v>0</v>
      </c>
      <c r="W263" s="37">
        <v>0</v>
      </c>
      <c r="X263" s="37">
        <v>100605</v>
      </c>
      <c r="Y263" s="37">
        <v>0</v>
      </c>
      <c r="Z263" s="37">
        <v>0</v>
      </c>
      <c r="AA263" s="37">
        <v>409386</v>
      </c>
      <c r="AB263" s="37">
        <v>304811</v>
      </c>
      <c r="AC263" s="37">
        <v>0</v>
      </c>
      <c r="AD263" s="37">
        <v>0</v>
      </c>
      <c r="AE263" s="37">
        <v>0</v>
      </c>
      <c r="AF263" s="168">
        <v>0.02</v>
      </c>
      <c r="AG263" s="37">
        <v>44589615.289999999</v>
      </c>
      <c r="AH263" s="37">
        <v>416183.12</v>
      </c>
      <c r="AI263" s="37">
        <v>424506.78</v>
      </c>
      <c r="AJ263" s="37">
        <v>432996.92</v>
      </c>
      <c r="AK263" s="37">
        <v>441656.86</v>
      </c>
      <c r="AL263" s="37">
        <v>450489.99</v>
      </c>
      <c r="AM263" s="37">
        <v>459499.79</v>
      </c>
      <c r="AN263" s="37">
        <v>468689.79</v>
      </c>
      <c r="AO263" s="37">
        <v>478063.59</v>
      </c>
      <c r="AP263" s="37">
        <v>487624.86</v>
      </c>
      <c r="AQ263" s="37">
        <v>497377.35</v>
      </c>
      <c r="AR263" s="37">
        <v>4557089.05</v>
      </c>
      <c r="AS263" s="37">
        <v>150858</v>
      </c>
      <c r="AT263" s="37">
        <v>0</v>
      </c>
      <c r="AU263" s="37">
        <v>0</v>
      </c>
      <c r="AV263" s="37">
        <v>4191771.6</v>
      </c>
      <c r="AW263" s="37">
        <v>0</v>
      </c>
      <c r="AX263" s="37">
        <v>0</v>
      </c>
      <c r="AY263" s="37">
        <v>0</v>
      </c>
      <c r="AZ263" s="37">
        <v>0</v>
      </c>
      <c r="BA263" s="37">
        <v>0</v>
      </c>
      <c r="BB263" s="37">
        <v>0</v>
      </c>
      <c r="BC263" s="37">
        <v>0</v>
      </c>
      <c r="BD263" s="37">
        <v>4191771.6</v>
      </c>
      <c r="BE263" s="37">
        <v>0</v>
      </c>
      <c r="BF263" s="37">
        <v>0</v>
      </c>
      <c r="BG263" s="37">
        <v>0</v>
      </c>
      <c r="BH263" s="37">
        <v>0</v>
      </c>
      <c r="BI263" s="37">
        <v>0</v>
      </c>
      <c r="BJ263" s="37">
        <v>0</v>
      </c>
      <c r="BK263" s="37">
        <v>0</v>
      </c>
      <c r="BL263" s="37">
        <v>0</v>
      </c>
      <c r="BM263" s="37">
        <v>0</v>
      </c>
      <c r="BN263" s="37">
        <v>0</v>
      </c>
      <c r="BO263" s="37">
        <v>0</v>
      </c>
      <c r="BP263" s="37">
        <v>0</v>
      </c>
      <c r="BQ263" s="37">
        <v>0</v>
      </c>
      <c r="BR263" s="37">
        <v>0</v>
      </c>
      <c r="BS263" s="37">
        <v>0</v>
      </c>
      <c r="BT263" s="37">
        <v>0</v>
      </c>
      <c r="BU263" s="37">
        <v>0</v>
      </c>
      <c r="BV263" s="37">
        <v>0</v>
      </c>
      <c r="BW263" s="37">
        <v>0</v>
      </c>
      <c r="BX263" s="37">
        <v>0</v>
      </c>
      <c r="BY263" s="37">
        <v>0</v>
      </c>
      <c r="BZ263" s="37">
        <v>0</v>
      </c>
      <c r="CA263" s="37">
        <v>0</v>
      </c>
      <c r="CB263" s="37">
        <v>0</v>
      </c>
      <c r="CC263" s="37">
        <v>0</v>
      </c>
      <c r="CD263" s="37">
        <v>0</v>
      </c>
      <c r="CE263" s="37">
        <v>0</v>
      </c>
      <c r="CF263" s="37">
        <v>0</v>
      </c>
      <c r="CG263" s="37">
        <v>0</v>
      </c>
      <c r="CH263" s="37">
        <v>0</v>
      </c>
      <c r="CI263" s="37">
        <v>0</v>
      </c>
      <c r="CJ263" s="37">
        <v>0</v>
      </c>
      <c r="CK263" s="37">
        <v>0</v>
      </c>
      <c r="CL263" s="37">
        <v>0</v>
      </c>
      <c r="CM263" s="37">
        <v>0</v>
      </c>
      <c r="CN263" s="37">
        <v>0</v>
      </c>
      <c r="CO263" s="37">
        <v>0</v>
      </c>
      <c r="CP263" s="37">
        <v>0</v>
      </c>
      <c r="CQ263" s="37">
        <v>0</v>
      </c>
      <c r="CR263" s="37">
        <v>1266800</v>
      </c>
      <c r="CS263" s="37">
        <v>0</v>
      </c>
      <c r="CT263" s="37">
        <v>0</v>
      </c>
      <c r="CU263" s="37">
        <v>0</v>
      </c>
      <c r="CV263" s="37">
        <v>0</v>
      </c>
      <c r="CW263" s="37">
        <v>0</v>
      </c>
      <c r="CX263" s="37">
        <v>0</v>
      </c>
      <c r="CY263" s="37">
        <v>0</v>
      </c>
      <c r="CZ263" s="37">
        <v>1266800</v>
      </c>
      <c r="DA263" s="37">
        <v>0</v>
      </c>
      <c r="DB263" s="37">
        <v>0</v>
      </c>
      <c r="DC263" s="37">
        <v>0</v>
      </c>
      <c r="DD263" s="37">
        <v>0</v>
      </c>
      <c r="DE263" s="37">
        <v>0</v>
      </c>
      <c r="DF263" s="37">
        <v>0</v>
      </c>
      <c r="DG263" s="37">
        <v>0</v>
      </c>
      <c r="DH263" s="37">
        <v>0</v>
      </c>
      <c r="DI263" s="37">
        <v>0</v>
      </c>
      <c r="DJ263" s="37">
        <v>0</v>
      </c>
      <c r="DK263" s="37">
        <v>0</v>
      </c>
      <c r="DL263" s="37">
        <v>0</v>
      </c>
      <c r="DM263" s="37">
        <v>0</v>
      </c>
      <c r="DN263" s="37">
        <v>0</v>
      </c>
      <c r="DO263" s="37">
        <v>0</v>
      </c>
      <c r="DP263" s="37">
        <v>0</v>
      </c>
      <c r="DQ263" s="37">
        <v>0</v>
      </c>
      <c r="DR263" s="37">
        <v>0</v>
      </c>
      <c r="DS263" s="37">
        <v>0</v>
      </c>
      <c r="DT263" s="37">
        <v>0</v>
      </c>
      <c r="DU263" s="37">
        <v>0</v>
      </c>
      <c r="DV263" s="37">
        <v>0</v>
      </c>
      <c r="DW263" s="37">
        <v>0</v>
      </c>
      <c r="DX263" s="37">
        <v>0</v>
      </c>
      <c r="DY263" s="37">
        <v>0</v>
      </c>
      <c r="DZ263" s="37">
        <v>0</v>
      </c>
      <c r="EA263" s="37">
        <v>0</v>
      </c>
      <c r="EB263" s="37">
        <v>0</v>
      </c>
      <c r="EC263" s="37">
        <v>0</v>
      </c>
      <c r="ED263" s="37">
        <v>0</v>
      </c>
      <c r="EE263" s="37">
        <v>0</v>
      </c>
      <c r="EF263" s="37">
        <v>0</v>
      </c>
      <c r="EG263" s="37">
        <v>0</v>
      </c>
      <c r="EH263" s="37">
        <v>0</v>
      </c>
      <c r="EI263" s="37">
        <v>0</v>
      </c>
      <c r="EJ263" s="37">
        <v>0</v>
      </c>
      <c r="EK263" s="161" t="s">
        <v>1931</v>
      </c>
      <c r="EL263" s="294" t="s">
        <v>1124</v>
      </c>
    </row>
    <row r="264" spans="1:142" ht="15" customHeight="1" x14ac:dyDescent="0.35">
      <c r="A264" s="34"/>
      <c r="B264" s="313">
        <v>9005</v>
      </c>
      <c r="C264" s="8" t="s">
        <v>1097</v>
      </c>
      <c r="D264" s="18">
        <v>1</v>
      </c>
      <c r="E264" s="155"/>
      <c r="F264" s="36"/>
      <c r="G264" s="37"/>
      <c r="H264" s="37"/>
      <c r="I264" s="37"/>
      <c r="J264" s="37"/>
      <c r="K264" s="37"/>
      <c r="L264" s="37"/>
      <c r="M264" s="37" t="s">
        <v>1124</v>
      </c>
      <c r="N264" s="37" t="s">
        <v>1124</v>
      </c>
      <c r="O264" s="37"/>
      <c r="P264" s="37"/>
      <c r="Q264" s="37"/>
      <c r="R264" s="37"/>
      <c r="S264" s="37"/>
      <c r="T264" s="37"/>
      <c r="U264" s="37"/>
      <c r="V264" s="37"/>
      <c r="W264" s="37"/>
      <c r="X264" s="37"/>
      <c r="Y264" s="37"/>
      <c r="Z264" s="37"/>
      <c r="AA264" s="37" t="s">
        <v>1124</v>
      </c>
      <c r="AB264" s="37" t="s">
        <v>1124</v>
      </c>
      <c r="AC264" s="37"/>
      <c r="AD264" s="37"/>
      <c r="AE264" s="37"/>
      <c r="AF264" s="168"/>
      <c r="AG264" s="37"/>
      <c r="AH264" s="37"/>
      <c r="AI264" s="37"/>
      <c r="AJ264" s="37"/>
      <c r="AK264" s="37"/>
      <c r="AL264" s="37"/>
      <c r="AM264" s="37"/>
      <c r="AN264" s="37"/>
      <c r="AO264" s="37"/>
      <c r="AP264" s="37"/>
      <c r="AQ264" s="37"/>
      <c r="AR264" s="37" t="s">
        <v>1124</v>
      </c>
      <c r="AS264" s="37"/>
      <c r="AT264" s="37"/>
      <c r="AU264" s="37"/>
      <c r="AV264" s="37"/>
      <c r="AW264" s="37"/>
      <c r="AX264" s="37"/>
      <c r="AY264" s="37"/>
      <c r="AZ264" s="37"/>
      <c r="BA264" s="37"/>
      <c r="BB264" s="37"/>
      <c r="BC264" s="37"/>
      <c r="BD264" s="37" t="s">
        <v>1124</v>
      </c>
      <c r="BE264" s="37"/>
      <c r="BF264" s="37"/>
      <c r="BG264" s="37"/>
      <c r="BH264" s="37"/>
      <c r="BI264" s="37"/>
      <c r="BJ264" s="37"/>
      <c r="BK264" s="37"/>
      <c r="BL264" s="37"/>
      <c r="BM264" s="37"/>
      <c r="BN264" s="37"/>
      <c r="BO264" s="37"/>
      <c r="BP264" s="37">
        <v>0</v>
      </c>
      <c r="BQ264" s="37"/>
      <c r="BR264" s="37"/>
      <c r="BS264" s="37"/>
      <c r="BT264" s="37"/>
      <c r="BU264" s="37"/>
      <c r="BV264" s="37"/>
      <c r="BW264" s="37"/>
      <c r="BX264" s="37"/>
      <c r="BY264" s="37"/>
      <c r="BZ264" s="37"/>
      <c r="CA264" s="37"/>
      <c r="CB264" s="37" t="s">
        <v>1124</v>
      </c>
      <c r="CC264" s="37"/>
      <c r="CD264" s="37"/>
      <c r="CE264" s="37"/>
      <c r="CF264" s="37"/>
      <c r="CG264" s="37"/>
      <c r="CH264" s="37"/>
      <c r="CI264" s="37"/>
      <c r="CJ264" s="37"/>
      <c r="CK264" s="37"/>
      <c r="CL264" s="37"/>
      <c r="CM264" s="37"/>
      <c r="CN264" s="37" t="s">
        <v>1124</v>
      </c>
      <c r="CO264" s="37"/>
      <c r="CP264" s="37"/>
      <c r="CQ264" s="37"/>
      <c r="CR264" s="37"/>
      <c r="CS264" s="37"/>
      <c r="CT264" s="37"/>
      <c r="CU264" s="37"/>
      <c r="CV264" s="37"/>
      <c r="CW264" s="37"/>
      <c r="CX264" s="37"/>
      <c r="CY264" s="37"/>
      <c r="CZ264" s="37" t="s">
        <v>1124</v>
      </c>
      <c r="DA264" s="37"/>
      <c r="DB264" s="37"/>
      <c r="DC264" s="37"/>
      <c r="DD264" s="37"/>
      <c r="DE264" s="37"/>
      <c r="DF264" s="37"/>
      <c r="DG264" s="37"/>
      <c r="DH264" s="37"/>
      <c r="DI264" s="37"/>
      <c r="DJ264" s="37"/>
      <c r="DK264" s="37"/>
      <c r="DL264" s="37" t="s">
        <v>1124</v>
      </c>
      <c r="DM264" s="37"/>
      <c r="DN264" s="37"/>
      <c r="DO264" s="37"/>
      <c r="DP264" s="37"/>
      <c r="DQ264" s="37"/>
      <c r="DR264" s="37"/>
      <c r="DS264" s="37"/>
      <c r="DT264" s="37"/>
      <c r="DU264" s="37"/>
      <c r="DV264" s="37"/>
      <c r="DW264" s="37"/>
      <c r="DX264" s="37" t="s">
        <v>1124</v>
      </c>
      <c r="DY264" s="37"/>
      <c r="DZ264" s="37"/>
      <c r="EA264" s="37"/>
      <c r="EB264" s="37"/>
      <c r="EC264" s="37"/>
      <c r="ED264" s="37"/>
      <c r="EE264" s="37"/>
      <c r="EF264" s="37"/>
      <c r="EG264" s="37"/>
      <c r="EH264" s="37"/>
      <c r="EI264" s="37"/>
      <c r="EJ264" s="37" t="s">
        <v>1124</v>
      </c>
      <c r="EK264" s="161"/>
      <c r="EL264" s="294"/>
    </row>
    <row r="265" spans="1:142" ht="15" customHeight="1" x14ac:dyDescent="0.35">
      <c r="A265" s="34"/>
      <c r="B265" s="313">
        <v>87080</v>
      </c>
      <c r="C265" s="8" t="s">
        <v>902</v>
      </c>
      <c r="D265" s="18">
        <v>8</v>
      </c>
      <c r="E265" s="155">
        <v>41680</v>
      </c>
      <c r="F265" s="36">
        <v>5552</v>
      </c>
      <c r="G265" s="37">
        <v>10000</v>
      </c>
      <c r="H265" s="37">
        <v>0</v>
      </c>
      <c r="I265" s="37">
        <v>0</v>
      </c>
      <c r="J265" s="37">
        <v>0</v>
      </c>
      <c r="K265" s="37">
        <v>4168</v>
      </c>
      <c r="L265" s="37">
        <v>555</v>
      </c>
      <c r="M265" s="37">
        <v>55848</v>
      </c>
      <c r="N265" s="37">
        <v>6107</v>
      </c>
      <c r="O265" s="37">
        <v>0</v>
      </c>
      <c r="P265" s="37">
        <v>0</v>
      </c>
      <c r="Q265" s="37">
        <v>33217</v>
      </c>
      <c r="R265" s="37">
        <v>2842</v>
      </c>
      <c r="S265" s="37">
        <v>1301</v>
      </c>
      <c r="T265" s="37">
        <v>0</v>
      </c>
      <c r="U265" s="37">
        <v>1763</v>
      </c>
      <c r="V265" s="37">
        <v>0</v>
      </c>
      <c r="W265" s="37">
        <v>11416</v>
      </c>
      <c r="X265" s="37">
        <v>11416</v>
      </c>
      <c r="Y265" s="37">
        <v>0</v>
      </c>
      <c r="Z265" s="37">
        <v>0</v>
      </c>
      <c r="AA265" s="37">
        <v>47697</v>
      </c>
      <c r="AB265" s="37">
        <v>14258</v>
      </c>
      <c r="AC265" s="37">
        <v>0</v>
      </c>
      <c r="AD265" s="37">
        <v>0</v>
      </c>
      <c r="AE265" s="37">
        <v>0</v>
      </c>
      <c r="AF265" s="168">
        <v>0.02</v>
      </c>
      <c r="AG265" s="37">
        <v>2792319.89</v>
      </c>
      <c r="AH265" s="37">
        <v>12006.22</v>
      </c>
      <c r="AI265" s="37">
        <v>12246.34</v>
      </c>
      <c r="AJ265" s="37">
        <v>12491.27</v>
      </c>
      <c r="AK265" s="37">
        <v>12741.09</v>
      </c>
      <c r="AL265" s="37">
        <v>12995.91</v>
      </c>
      <c r="AM265" s="37">
        <v>13255.83</v>
      </c>
      <c r="AN265" s="37">
        <v>13520.95</v>
      </c>
      <c r="AO265" s="37">
        <v>13791.37</v>
      </c>
      <c r="AP265" s="37">
        <v>14067.2</v>
      </c>
      <c r="AQ265" s="37">
        <v>14348.54</v>
      </c>
      <c r="AR265" s="37">
        <v>131464.72</v>
      </c>
      <c r="AS265" s="37">
        <v>57950.28</v>
      </c>
      <c r="AT265" s="37">
        <v>0</v>
      </c>
      <c r="AU265" s="37">
        <v>26010</v>
      </c>
      <c r="AV265" s="37">
        <v>0</v>
      </c>
      <c r="AW265" s="37">
        <v>0</v>
      </c>
      <c r="AX265" s="37">
        <v>0</v>
      </c>
      <c r="AY265" s="37">
        <v>0</v>
      </c>
      <c r="AZ265" s="37">
        <v>0</v>
      </c>
      <c r="BA265" s="37">
        <v>0</v>
      </c>
      <c r="BB265" s="37">
        <v>0</v>
      </c>
      <c r="BC265" s="37">
        <v>0</v>
      </c>
      <c r="BD265" s="37">
        <v>26010</v>
      </c>
      <c r="BE265" s="37">
        <v>0</v>
      </c>
      <c r="BF265" s="37">
        <v>0</v>
      </c>
      <c r="BG265" s="37">
        <v>0</v>
      </c>
      <c r="BH265" s="37">
        <v>0</v>
      </c>
      <c r="BI265" s="37">
        <v>0</v>
      </c>
      <c r="BJ265" s="37">
        <v>0</v>
      </c>
      <c r="BK265" s="37">
        <v>0</v>
      </c>
      <c r="BL265" s="37">
        <v>0</v>
      </c>
      <c r="BM265" s="37">
        <v>0</v>
      </c>
      <c r="BN265" s="37">
        <v>0</v>
      </c>
      <c r="BO265" s="37">
        <v>0</v>
      </c>
      <c r="BP265" s="37">
        <v>0</v>
      </c>
      <c r="BQ265" s="37">
        <v>0</v>
      </c>
      <c r="BR265" s="37">
        <v>0</v>
      </c>
      <c r="BS265" s="37">
        <v>0</v>
      </c>
      <c r="BT265" s="37">
        <v>0</v>
      </c>
      <c r="BU265" s="37">
        <v>0</v>
      </c>
      <c r="BV265" s="37">
        <v>0</v>
      </c>
      <c r="BW265" s="37">
        <v>0</v>
      </c>
      <c r="BX265" s="37">
        <v>0</v>
      </c>
      <c r="BY265" s="37">
        <v>0</v>
      </c>
      <c r="BZ265" s="37">
        <v>0</v>
      </c>
      <c r="CA265" s="37">
        <v>0</v>
      </c>
      <c r="CB265" s="37">
        <v>0</v>
      </c>
      <c r="CC265" s="37">
        <v>0</v>
      </c>
      <c r="CD265" s="37">
        <v>0</v>
      </c>
      <c r="CE265" s="37">
        <v>0</v>
      </c>
      <c r="CF265" s="37">
        <v>0</v>
      </c>
      <c r="CG265" s="37">
        <v>0</v>
      </c>
      <c r="CH265" s="37">
        <v>0</v>
      </c>
      <c r="CI265" s="37">
        <v>0</v>
      </c>
      <c r="CJ265" s="37">
        <v>0</v>
      </c>
      <c r="CK265" s="37">
        <v>0</v>
      </c>
      <c r="CL265" s="37">
        <v>0</v>
      </c>
      <c r="CM265" s="37">
        <v>0</v>
      </c>
      <c r="CN265" s="37">
        <v>0</v>
      </c>
      <c r="CO265" s="37">
        <v>800000</v>
      </c>
      <c r="CP265" s="37">
        <v>0</v>
      </c>
      <c r="CQ265" s="37">
        <v>26010</v>
      </c>
      <c r="CR265" s="37">
        <v>0</v>
      </c>
      <c r="CS265" s="37">
        <v>0</v>
      </c>
      <c r="CT265" s="37">
        <v>0</v>
      </c>
      <c r="CU265" s="37">
        <v>0</v>
      </c>
      <c r="CV265" s="37">
        <v>0</v>
      </c>
      <c r="CW265" s="37">
        <v>0</v>
      </c>
      <c r="CX265" s="37">
        <v>0</v>
      </c>
      <c r="CY265" s="37">
        <v>0</v>
      </c>
      <c r="CZ265" s="37">
        <v>26010</v>
      </c>
      <c r="DA265" s="37">
        <v>0</v>
      </c>
      <c r="DB265" s="37">
        <v>0</v>
      </c>
      <c r="DC265" s="37">
        <v>0</v>
      </c>
      <c r="DD265" s="37">
        <v>0</v>
      </c>
      <c r="DE265" s="37">
        <v>0</v>
      </c>
      <c r="DF265" s="37">
        <v>0</v>
      </c>
      <c r="DG265" s="37">
        <v>0</v>
      </c>
      <c r="DH265" s="37">
        <v>0</v>
      </c>
      <c r="DI265" s="37">
        <v>0</v>
      </c>
      <c r="DJ265" s="37">
        <v>0</v>
      </c>
      <c r="DK265" s="37">
        <v>0</v>
      </c>
      <c r="DL265" s="37">
        <v>0</v>
      </c>
      <c r="DM265" s="37">
        <v>0</v>
      </c>
      <c r="DN265" s="37">
        <v>0</v>
      </c>
      <c r="DO265" s="37">
        <v>0</v>
      </c>
      <c r="DP265" s="37">
        <v>0</v>
      </c>
      <c r="DQ265" s="37">
        <v>0</v>
      </c>
      <c r="DR265" s="37">
        <v>0</v>
      </c>
      <c r="DS265" s="37">
        <v>0</v>
      </c>
      <c r="DT265" s="37">
        <v>0</v>
      </c>
      <c r="DU265" s="37">
        <v>0</v>
      </c>
      <c r="DV265" s="37">
        <v>0</v>
      </c>
      <c r="DW265" s="37">
        <v>0</v>
      </c>
      <c r="DX265" s="37">
        <v>0</v>
      </c>
      <c r="DY265" s="37">
        <v>0</v>
      </c>
      <c r="DZ265" s="37">
        <v>0</v>
      </c>
      <c r="EA265" s="37">
        <v>0</v>
      </c>
      <c r="EB265" s="37">
        <v>0</v>
      </c>
      <c r="EC265" s="37">
        <v>0</v>
      </c>
      <c r="ED265" s="37">
        <v>0</v>
      </c>
      <c r="EE265" s="37">
        <v>0</v>
      </c>
      <c r="EF265" s="37">
        <v>0</v>
      </c>
      <c r="EG265" s="37">
        <v>0</v>
      </c>
      <c r="EH265" s="37">
        <v>0</v>
      </c>
      <c r="EI265" s="37">
        <v>0</v>
      </c>
      <c r="EJ265" s="37">
        <v>0</v>
      </c>
      <c r="EK265" s="161" t="s">
        <v>1935</v>
      </c>
      <c r="EL265" s="294" t="s">
        <v>1124</v>
      </c>
    </row>
    <row r="266" spans="1:142" ht="15" customHeight="1" x14ac:dyDescent="0.35">
      <c r="A266" s="34"/>
      <c r="B266" s="313">
        <v>87090</v>
      </c>
      <c r="C266" s="8" t="s">
        <v>904</v>
      </c>
      <c r="D266" s="18">
        <v>8</v>
      </c>
      <c r="E266" s="155">
        <v>382136</v>
      </c>
      <c r="F266" s="36">
        <v>536723</v>
      </c>
      <c r="G266" s="37">
        <v>19052</v>
      </c>
      <c r="H266" s="37">
        <v>22600</v>
      </c>
      <c r="I266" s="37">
        <v>133173</v>
      </c>
      <c r="J266" s="37">
        <v>56492</v>
      </c>
      <c r="K266" s="37">
        <v>57320</v>
      </c>
      <c r="L266" s="37">
        <v>80508</v>
      </c>
      <c r="M266" s="37">
        <v>591681</v>
      </c>
      <c r="N266" s="37">
        <v>696323</v>
      </c>
      <c r="O266" s="37">
        <v>0</v>
      </c>
      <c r="P266" s="37">
        <v>0</v>
      </c>
      <c r="Q266" s="37">
        <v>469142</v>
      </c>
      <c r="R266" s="37">
        <v>740000</v>
      </c>
      <c r="S266" s="37">
        <v>1900</v>
      </c>
      <c r="T266" s="37">
        <v>0</v>
      </c>
      <c r="U266" s="37">
        <v>108354</v>
      </c>
      <c r="V266" s="37">
        <v>0</v>
      </c>
      <c r="W266" s="37">
        <v>0</v>
      </c>
      <c r="X266" s="37">
        <v>0</v>
      </c>
      <c r="Y266" s="37">
        <v>0</v>
      </c>
      <c r="Z266" s="37">
        <v>0</v>
      </c>
      <c r="AA266" s="37">
        <v>579396</v>
      </c>
      <c r="AB266" s="37">
        <v>740000</v>
      </c>
      <c r="AC266" s="37">
        <v>31392</v>
      </c>
      <c r="AD266" s="37">
        <v>0</v>
      </c>
      <c r="AE266" s="37">
        <v>221057</v>
      </c>
      <c r="AF266" s="168">
        <v>0.02</v>
      </c>
      <c r="AG266" s="37">
        <v>38614425.43</v>
      </c>
      <c r="AH266" s="37">
        <v>381858.96</v>
      </c>
      <c r="AI266" s="37">
        <v>389496.14</v>
      </c>
      <c r="AJ266" s="37">
        <v>397286.06</v>
      </c>
      <c r="AK266" s="37">
        <v>405231.78</v>
      </c>
      <c r="AL266" s="37">
        <v>413336.42</v>
      </c>
      <c r="AM266" s="37">
        <v>421603.15</v>
      </c>
      <c r="AN266" s="37">
        <v>430035.21</v>
      </c>
      <c r="AO266" s="37">
        <v>438635.91</v>
      </c>
      <c r="AP266" s="37">
        <v>447408.63</v>
      </c>
      <c r="AQ266" s="37">
        <v>456356.81</v>
      </c>
      <c r="AR266" s="37">
        <v>4181249.0700000003</v>
      </c>
      <c r="AS266" s="37">
        <v>396402.8</v>
      </c>
      <c r="AT266" s="37">
        <v>0</v>
      </c>
      <c r="AU266" s="37">
        <v>0</v>
      </c>
      <c r="AV266" s="37">
        <v>0</v>
      </c>
      <c r="AW266" s="37">
        <v>0</v>
      </c>
      <c r="AX266" s="37">
        <v>0</v>
      </c>
      <c r="AY266" s="37">
        <v>0</v>
      </c>
      <c r="AZ266" s="37">
        <v>0</v>
      </c>
      <c r="BA266" s="37">
        <v>0</v>
      </c>
      <c r="BB266" s="37">
        <v>0</v>
      </c>
      <c r="BC266" s="37">
        <v>0</v>
      </c>
      <c r="BD266" s="37">
        <v>0</v>
      </c>
      <c r="BE266" s="37">
        <v>0</v>
      </c>
      <c r="BF266" s="37">
        <v>0</v>
      </c>
      <c r="BG266" s="37">
        <v>0</v>
      </c>
      <c r="BH266" s="37">
        <v>0</v>
      </c>
      <c r="BI266" s="37">
        <v>0</v>
      </c>
      <c r="BJ266" s="37">
        <v>0</v>
      </c>
      <c r="BK266" s="37">
        <v>0</v>
      </c>
      <c r="BL266" s="37">
        <v>0</v>
      </c>
      <c r="BM266" s="37">
        <v>0</v>
      </c>
      <c r="BN266" s="37">
        <v>0</v>
      </c>
      <c r="BO266" s="37">
        <v>0</v>
      </c>
      <c r="BP266" s="37">
        <v>0</v>
      </c>
      <c r="BQ266" s="37">
        <v>0</v>
      </c>
      <c r="BR266" s="37">
        <v>0</v>
      </c>
      <c r="BS266" s="37">
        <v>0</v>
      </c>
      <c r="BT266" s="37">
        <v>0</v>
      </c>
      <c r="BU266" s="37">
        <v>0</v>
      </c>
      <c r="BV266" s="37">
        <v>0</v>
      </c>
      <c r="BW266" s="37">
        <v>0</v>
      </c>
      <c r="BX266" s="37">
        <v>0</v>
      </c>
      <c r="BY266" s="37">
        <v>0</v>
      </c>
      <c r="BZ266" s="37">
        <v>0</v>
      </c>
      <c r="CA266" s="37">
        <v>0</v>
      </c>
      <c r="CB266" s="37">
        <v>0</v>
      </c>
      <c r="CC266" s="37">
        <v>0</v>
      </c>
      <c r="CD266" s="37">
        <v>0</v>
      </c>
      <c r="CE266" s="37">
        <v>0</v>
      </c>
      <c r="CF266" s="37">
        <v>0</v>
      </c>
      <c r="CG266" s="37">
        <v>0</v>
      </c>
      <c r="CH266" s="37">
        <v>0</v>
      </c>
      <c r="CI266" s="37">
        <v>0</v>
      </c>
      <c r="CJ266" s="37">
        <v>0</v>
      </c>
      <c r="CK266" s="37">
        <v>0</v>
      </c>
      <c r="CL266" s="37">
        <v>0</v>
      </c>
      <c r="CM266" s="37">
        <v>0</v>
      </c>
      <c r="CN266" s="37">
        <v>0</v>
      </c>
      <c r="CO266" s="37">
        <v>0</v>
      </c>
      <c r="CP266" s="37">
        <v>0</v>
      </c>
      <c r="CQ266" s="37">
        <v>0</v>
      </c>
      <c r="CR266" s="37">
        <v>0</v>
      </c>
      <c r="CS266" s="37">
        <v>0</v>
      </c>
      <c r="CT266" s="37">
        <v>0</v>
      </c>
      <c r="CU266" s="37">
        <v>0</v>
      </c>
      <c r="CV266" s="37">
        <v>0</v>
      </c>
      <c r="CW266" s="37">
        <v>0</v>
      </c>
      <c r="CX266" s="37">
        <v>0</v>
      </c>
      <c r="CY266" s="37">
        <v>0</v>
      </c>
      <c r="CZ266" s="37">
        <v>0</v>
      </c>
      <c r="DA266" s="37">
        <v>0</v>
      </c>
      <c r="DB266" s="37">
        <v>0</v>
      </c>
      <c r="DC266" s="37">
        <v>0</v>
      </c>
      <c r="DD266" s="37">
        <v>0</v>
      </c>
      <c r="DE266" s="37">
        <v>0</v>
      </c>
      <c r="DF266" s="37">
        <v>0</v>
      </c>
      <c r="DG266" s="37">
        <v>0</v>
      </c>
      <c r="DH266" s="37">
        <v>0</v>
      </c>
      <c r="DI266" s="37">
        <v>0</v>
      </c>
      <c r="DJ266" s="37">
        <v>0</v>
      </c>
      <c r="DK266" s="37">
        <v>0</v>
      </c>
      <c r="DL266" s="37">
        <v>0</v>
      </c>
      <c r="DM266" s="37">
        <v>0</v>
      </c>
      <c r="DN266" s="37">
        <v>0</v>
      </c>
      <c r="DO266" s="37">
        <v>0</v>
      </c>
      <c r="DP266" s="37">
        <v>0</v>
      </c>
      <c r="DQ266" s="37">
        <v>0</v>
      </c>
      <c r="DR266" s="37">
        <v>0</v>
      </c>
      <c r="DS266" s="37">
        <v>0</v>
      </c>
      <c r="DT266" s="37">
        <v>0</v>
      </c>
      <c r="DU266" s="37">
        <v>0</v>
      </c>
      <c r="DV266" s="37">
        <v>0</v>
      </c>
      <c r="DW266" s="37">
        <v>0</v>
      </c>
      <c r="DX266" s="37">
        <v>0</v>
      </c>
      <c r="DY266" s="37">
        <v>0</v>
      </c>
      <c r="DZ266" s="37">
        <v>0</v>
      </c>
      <c r="EA266" s="37">
        <v>0</v>
      </c>
      <c r="EB266" s="37">
        <v>0</v>
      </c>
      <c r="EC266" s="37">
        <v>0</v>
      </c>
      <c r="ED266" s="37">
        <v>0</v>
      </c>
      <c r="EE266" s="37">
        <v>0</v>
      </c>
      <c r="EF266" s="37">
        <v>0</v>
      </c>
      <c r="EG266" s="37">
        <v>0</v>
      </c>
      <c r="EH266" s="37">
        <v>0</v>
      </c>
      <c r="EI266" s="37">
        <v>0</v>
      </c>
      <c r="EJ266" s="37">
        <v>0</v>
      </c>
      <c r="EK266" s="161" t="s">
        <v>1939</v>
      </c>
      <c r="EL266" s="294" t="s">
        <v>1124</v>
      </c>
    </row>
    <row r="267" spans="1:142" ht="15" customHeight="1" x14ac:dyDescent="0.35">
      <c r="A267" s="34"/>
      <c r="B267" s="313">
        <v>10010</v>
      </c>
      <c r="C267" s="8" t="s">
        <v>9</v>
      </c>
      <c r="D267" s="18">
        <v>1</v>
      </c>
      <c r="E267" s="155"/>
      <c r="F267" s="36"/>
      <c r="G267" s="37"/>
      <c r="H267" s="37"/>
      <c r="I267" s="37"/>
      <c r="J267" s="37"/>
      <c r="K267" s="37"/>
      <c r="L267" s="37"/>
      <c r="M267" s="37" t="s">
        <v>1124</v>
      </c>
      <c r="N267" s="37" t="s">
        <v>1124</v>
      </c>
      <c r="O267" s="37"/>
      <c r="P267" s="37"/>
      <c r="Q267" s="37"/>
      <c r="R267" s="37"/>
      <c r="S267" s="37"/>
      <c r="T267" s="37"/>
      <c r="U267" s="37"/>
      <c r="V267" s="37"/>
      <c r="W267" s="37"/>
      <c r="X267" s="37"/>
      <c r="Y267" s="37"/>
      <c r="Z267" s="37"/>
      <c r="AA267" s="37" t="s">
        <v>1124</v>
      </c>
      <c r="AB267" s="37" t="s">
        <v>1124</v>
      </c>
      <c r="AC267" s="37"/>
      <c r="AD267" s="37"/>
      <c r="AE267" s="37"/>
      <c r="AF267" s="168"/>
      <c r="AG267" s="37"/>
      <c r="AH267" s="37"/>
      <c r="AI267" s="37"/>
      <c r="AJ267" s="37"/>
      <c r="AK267" s="37"/>
      <c r="AL267" s="37"/>
      <c r="AM267" s="37"/>
      <c r="AN267" s="37"/>
      <c r="AO267" s="37"/>
      <c r="AP267" s="37"/>
      <c r="AQ267" s="37"/>
      <c r="AR267" s="37" t="s">
        <v>1124</v>
      </c>
      <c r="AS267" s="37"/>
      <c r="AT267" s="37"/>
      <c r="AU267" s="37"/>
      <c r="AV267" s="37"/>
      <c r="AW267" s="37"/>
      <c r="AX267" s="37"/>
      <c r="AY267" s="37"/>
      <c r="AZ267" s="37"/>
      <c r="BA267" s="37"/>
      <c r="BB267" s="37"/>
      <c r="BC267" s="37"/>
      <c r="BD267" s="37" t="s">
        <v>1124</v>
      </c>
      <c r="BE267" s="37"/>
      <c r="BF267" s="37"/>
      <c r="BG267" s="37"/>
      <c r="BH267" s="37"/>
      <c r="BI267" s="37"/>
      <c r="BJ267" s="37"/>
      <c r="BK267" s="37"/>
      <c r="BL267" s="37"/>
      <c r="BM267" s="37"/>
      <c r="BN267" s="37"/>
      <c r="BO267" s="37"/>
      <c r="BP267" s="37">
        <v>0</v>
      </c>
      <c r="BQ267" s="37"/>
      <c r="BR267" s="37"/>
      <c r="BS267" s="37"/>
      <c r="BT267" s="37"/>
      <c r="BU267" s="37"/>
      <c r="BV267" s="37"/>
      <c r="BW267" s="37"/>
      <c r="BX267" s="37"/>
      <c r="BY267" s="37"/>
      <c r="BZ267" s="37"/>
      <c r="CA267" s="37"/>
      <c r="CB267" s="37" t="s">
        <v>1124</v>
      </c>
      <c r="CC267" s="37"/>
      <c r="CD267" s="37"/>
      <c r="CE267" s="37"/>
      <c r="CF267" s="37"/>
      <c r="CG267" s="37"/>
      <c r="CH267" s="37"/>
      <c r="CI267" s="37"/>
      <c r="CJ267" s="37"/>
      <c r="CK267" s="37"/>
      <c r="CL267" s="37"/>
      <c r="CM267" s="37"/>
      <c r="CN267" s="37" t="s">
        <v>1124</v>
      </c>
      <c r="CO267" s="37"/>
      <c r="CP267" s="37"/>
      <c r="CQ267" s="37"/>
      <c r="CR267" s="37"/>
      <c r="CS267" s="37"/>
      <c r="CT267" s="37"/>
      <c r="CU267" s="37"/>
      <c r="CV267" s="37"/>
      <c r="CW267" s="37"/>
      <c r="CX267" s="37"/>
      <c r="CY267" s="37"/>
      <c r="CZ267" s="37" t="s">
        <v>1124</v>
      </c>
      <c r="DA267" s="37"/>
      <c r="DB267" s="37"/>
      <c r="DC267" s="37"/>
      <c r="DD267" s="37"/>
      <c r="DE267" s="37"/>
      <c r="DF267" s="37"/>
      <c r="DG267" s="37"/>
      <c r="DH267" s="37"/>
      <c r="DI267" s="37"/>
      <c r="DJ267" s="37"/>
      <c r="DK267" s="37"/>
      <c r="DL267" s="37" t="s">
        <v>1124</v>
      </c>
      <c r="DM267" s="37"/>
      <c r="DN267" s="37"/>
      <c r="DO267" s="37"/>
      <c r="DP267" s="37"/>
      <c r="DQ267" s="37"/>
      <c r="DR267" s="37"/>
      <c r="DS267" s="37"/>
      <c r="DT267" s="37"/>
      <c r="DU267" s="37"/>
      <c r="DV267" s="37"/>
      <c r="DW267" s="37"/>
      <c r="DX267" s="37" t="s">
        <v>1124</v>
      </c>
      <c r="DY267" s="37"/>
      <c r="DZ267" s="37"/>
      <c r="EA267" s="37"/>
      <c r="EB267" s="37"/>
      <c r="EC267" s="37"/>
      <c r="ED267" s="37"/>
      <c r="EE267" s="37"/>
      <c r="EF267" s="37"/>
      <c r="EG267" s="37"/>
      <c r="EH267" s="37"/>
      <c r="EI267" s="37"/>
      <c r="EJ267" s="37" t="s">
        <v>1124</v>
      </c>
      <c r="EK267" s="161"/>
      <c r="EL267" s="294"/>
    </row>
    <row r="268" spans="1:142" ht="15" customHeight="1" x14ac:dyDescent="0.35">
      <c r="A268" s="34"/>
      <c r="B268" s="313">
        <v>90012</v>
      </c>
      <c r="C268" s="8" t="s">
        <v>934</v>
      </c>
      <c r="D268" s="18">
        <v>4</v>
      </c>
      <c r="E268" s="155">
        <v>842440</v>
      </c>
      <c r="F268" s="36">
        <v>687772</v>
      </c>
      <c r="G268" s="37">
        <v>328907</v>
      </c>
      <c r="H268" s="37">
        <v>112776</v>
      </c>
      <c r="I268" s="37">
        <v>440000</v>
      </c>
      <c r="J268" s="37">
        <v>216000</v>
      </c>
      <c r="K268" s="37">
        <v>126366</v>
      </c>
      <c r="L268" s="37">
        <v>103165.8</v>
      </c>
      <c r="M268" s="37">
        <v>1737713</v>
      </c>
      <c r="N268" s="37">
        <v>1119713.8</v>
      </c>
      <c r="O268" s="37">
        <v>0</v>
      </c>
      <c r="P268" s="37">
        <v>0</v>
      </c>
      <c r="Q268" s="37">
        <v>757380</v>
      </c>
      <c r="R268" s="37">
        <v>675960</v>
      </c>
      <c r="S268" s="37">
        <v>8592</v>
      </c>
      <c r="T268" s="37">
        <v>0</v>
      </c>
      <c r="U268" s="37">
        <v>522318</v>
      </c>
      <c r="V268" s="37">
        <v>498359</v>
      </c>
      <c r="W268" s="37">
        <v>394817.80000000005</v>
      </c>
      <c r="X268" s="37">
        <v>0</v>
      </c>
      <c r="Y268" s="37">
        <v>0</v>
      </c>
      <c r="Z268" s="37">
        <v>0</v>
      </c>
      <c r="AA268" s="37">
        <v>1683107.8</v>
      </c>
      <c r="AB268" s="37">
        <v>1174319</v>
      </c>
      <c r="AC268" s="37">
        <v>0</v>
      </c>
      <c r="AD268" s="37">
        <v>0</v>
      </c>
      <c r="AE268" s="37">
        <v>0</v>
      </c>
      <c r="AF268" s="168">
        <v>0.02</v>
      </c>
      <c r="AG268" s="37">
        <v>200470496</v>
      </c>
      <c r="AH268" s="37">
        <v>1697880.8</v>
      </c>
      <c r="AI268" s="37">
        <v>1731838.41</v>
      </c>
      <c r="AJ268" s="37">
        <v>1766475.18</v>
      </c>
      <c r="AK268" s="37">
        <v>1801804.68</v>
      </c>
      <c r="AL268" s="37">
        <v>1837840.78</v>
      </c>
      <c r="AM268" s="37">
        <v>1874597.59</v>
      </c>
      <c r="AN268" s="37">
        <v>1912089.54</v>
      </c>
      <c r="AO268" s="37">
        <v>1950331.34</v>
      </c>
      <c r="AP268" s="37">
        <v>1989337.96</v>
      </c>
      <c r="AQ268" s="37">
        <v>2029124.72</v>
      </c>
      <c r="AR268" s="37">
        <v>18591321</v>
      </c>
      <c r="AS268" s="37">
        <v>4807309.9800000004</v>
      </c>
      <c r="AT268" s="37">
        <v>9282000</v>
      </c>
      <c r="AU268" s="37">
        <v>6133158</v>
      </c>
      <c r="AV268" s="37">
        <v>0</v>
      </c>
      <c r="AW268" s="37">
        <v>0</v>
      </c>
      <c r="AX268" s="37">
        <v>0</v>
      </c>
      <c r="AY268" s="37">
        <v>0</v>
      </c>
      <c r="AZ268" s="37">
        <v>0</v>
      </c>
      <c r="BA268" s="37">
        <v>0</v>
      </c>
      <c r="BB268" s="37">
        <v>0</v>
      </c>
      <c r="BC268" s="37">
        <v>0</v>
      </c>
      <c r="BD268" s="37">
        <v>15415158</v>
      </c>
      <c r="BE268" s="37">
        <v>0</v>
      </c>
      <c r="BF268" s="37">
        <v>632164.48375611263</v>
      </c>
      <c r="BG268" s="37">
        <v>681393.52993538883</v>
      </c>
      <c r="BH268" s="37">
        <v>838825.59327499242</v>
      </c>
      <c r="BI268" s="37">
        <v>996257.99303350714</v>
      </c>
      <c r="BJ268" s="37">
        <v>108203.0171603272</v>
      </c>
      <c r="BK268" s="37">
        <v>523961.46659578476</v>
      </c>
      <c r="BL268" s="37">
        <v>681393.52993538883</v>
      </c>
      <c r="BM268" s="37">
        <v>838825.59327499242</v>
      </c>
      <c r="BN268" s="37">
        <v>996257.99303350714</v>
      </c>
      <c r="BO268" s="37">
        <v>0</v>
      </c>
      <c r="BP268" s="37">
        <v>6297283.2000000011</v>
      </c>
      <c r="BQ268" s="37">
        <v>284920</v>
      </c>
      <c r="BR268" s="37">
        <v>368500</v>
      </c>
      <c r="BS268" s="37">
        <v>169000</v>
      </c>
      <c r="BT268" s="37">
        <v>0</v>
      </c>
      <c r="BU268" s="37">
        <v>0</v>
      </c>
      <c r="BV268" s="37">
        <v>0</v>
      </c>
      <c r="BW268" s="37">
        <v>0</v>
      </c>
      <c r="BX268" s="37">
        <v>0</v>
      </c>
      <c r="BY268" s="37">
        <v>0</v>
      </c>
      <c r="BZ268" s="37">
        <v>0</v>
      </c>
      <c r="CA268" s="37">
        <v>0</v>
      </c>
      <c r="CB268" s="37">
        <v>537500</v>
      </c>
      <c r="CC268" s="37">
        <v>0</v>
      </c>
      <c r="CD268" s="37">
        <v>0</v>
      </c>
      <c r="CE268" s="37">
        <v>0</v>
      </c>
      <c r="CF268" s="37">
        <v>0</v>
      </c>
      <c r="CG268" s="37">
        <v>0</v>
      </c>
      <c r="CH268" s="37">
        <v>0</v>
      </c>
      <c r="CI268" s="37">
        <v>0</v>
      </c>
      <c r="CJ268" s="37">
        <v>0</v>
      </c>
      <c r="CK268" s="37">
        <v>0</v>
      </c>
      <c r="CL268" s="37">
        <v>0</v>
      </c>
      <c r="CM268" s="37">
        <v>0</v>
      </c>
      <c r="CN268" s="37">
        <v>0</v>
      </c>
      <c r="CO268" s="37">
        <v>0</v>
      </c>
      <c r="CP268" s="37">
        <v>0</v>
      </c>
      <c r="CQ268" s="37">
        <v>0</v>
      </c>
      <c r="CR268" s="37">
        <v>0</v>
      </c>
      <c r="CS268" s="37">
        <v>0</v>
      </c>
      <c r="CT268" s="37">
        <v>0</v>
      </c>
      <c r="CU268" s="37">
        <v>0</v>
      </c>
      <c r="CV268" s="37">
        <v>0</v>
      </c>
      <c r="CW268" s="37">
        <v>0</v>
      </c>
      <c r="CX268" s="37">
        <v>0</v>
      </c>
      <c r="CY268" s="37">
        <v>0</v>
      </c>
      <c r="CZ268" s="37">
        <v>0</v>
      </c>
      <c r="DA268" s="37">
        <v>500000</v>
      </c>
      <c r="DB268" s="37">
        <v>9090000</v>
      </c>
      <c r="DC268" s="37">
        <v>5895000</v>
      </c>
      <c r="DD268" s="37">
        <v>0</v>
      </c>
      <c r="DE268" s="37">
        <v>0</v>
      </c>
      <c r="DF268" s="37">
        <v>0</v>
      </c>
      <c r="DG268" s="37">
        <v>0</v>
      </c>
      <c r="DH268" s="37">
        <v>0</v>
      </c>
      <c r="DI268" s="37">
        <v>0</v>
      </c>
      <c r="DJ268" s="37">
        <v>0</v>
      </c>
      <c r="DK268" s="37">
        <v>0</v>
      </c>
      <c r="DL268" s="37">
        <v>14985000</v>
      </c>
      <c r="DM268" s="37">
        <v>0</v>
      </c>
      <c r="DN268" s="37">
        <v>0</v>
      </c>
      <c r="DO268" s="37">
        <v>0</v>
      </c>
      <c r="DP268" s="37">
        <v>0</v>
      </c>
      <c r="DQ268" s="37">
        <v>0</v>
      </c>
      <c r="DR268" s="37">
        <v>0</v>
      </c>
      <c r="DS268" s="37">
        <v>0</v>
      </c>
      <c r="DT268" s="37">
        <v>0</v>
      </c>
      <c r="DU268" s="37">
        <v>0</v>
      </c>
      <c r="DV268" s="37">
        <v>0</v>
      </c>
      <c r="DW268" s="37">
        <v>0</v>
      </c>
      <c r="DX268" s="37">
        <v>0</v>
      </c>
      <c r="DY268" s="37">
        <v>0</v>
      </c>
      <c r="DZ268" s="37">
        <v>0</v>
      </c>
      <c r="EA268" s="37">
        <v>0</v>
      </c>
      <c r="EB268" s="37">
        <v>0</v>
      </c>
      <c r="EC268" s="37">
        <v>0</v>
      </c>
      <c r="ED268" s="37">
        <v>0</v>
      </c>
      <c r="EE268" s="37">
        <v>0</v>
      </c>
      <c r="EF268" s="37">
        <v>0</v>
      </c>
      <c r="EG268" s="37">
        <v>0</v>
      </c>
      <c r="EH268" s="37">
        <v>0</v>
      </c>
      <c r="EI268" s="37">
        <v>0</v>
      </c>
      <c r="EJ268" s="37">
        <v>0</v>
      </c>
      <c r="EK268" s="161" t="s">
        <v>1947</v>
      </c>
      <c r="EL268" s="294" t="s">
        <v>1124</v>
      </c>
    </row>
    <row r="269" spans="1:142" ht="15" customHeight="1" x14ac:dyDescent="0.35">
      <c r="A269" s="34"/>
      <c r="B269" s="313">
        <v>52050</v>
      </c>
      <c r="C269" s="8" t="s">
        <v>521</v>
      </c>
      <c r="D269" s="18">
        <v>14</v>
      </c>
      <c r="E269" s="155">
        <v>70054</v>
      </c>
      <c r="F269" s="36">
        <v>0</v>
      </c>
      <c r="G269" s="37">
        <v>0</v>
      </c>
      <c r="H269" s="37">
        <v>0</v>
      </c>
      <c r="I269" s="37">
        <v>0</v>
      </c>
      <c r="J269" s="37">
        <v>0</v>
      </c>
      <c r="K269" s="37">
        <v>10508</v>
      </c>
      <c r="L269" s="37">
        <v>0</v>
      </c>
      <c r="M269" s="37">
        <v>80562</v>
      </c>
      <c r="N269" s="37">
        <v>0</v>
      </c>
      <c r="O269" s="37">
        <v>73767</v>
      </c>
      <c r="P269" s="37">
        <v>0</v>
      </c>
      <c r="Q269" s="37">
        <v>0</v>
      </c>
      <c r="R269" s="37">
        <v>0</v>
      </c>
      <c r="S269" s="37">
        <v>340</v>
      </c>
      <c r="T269" s="37">
        <v>0</v>
      </c>
      <c r="U269" s="37">
        <v>0</v>
      </c>
      <c r="V269" s="37">
        <v>0</v>
      </c>
      <c r="W269" s="37">
        <v>6455</v>
      </c>
      <c r="X269" s="37">
        <v>0</v>
      </c>
      <c r="Y269" s="37">
        <v>0</v>
      </c>
      <c r="Z269" s="37">
        <v>0</v>
      </c>
      <c r="AA269" s="37">
        <v>80562</v>
      </c>
      <c r="AB269" s="37">
        <v>0</v>
      </c>
      <c r="AC269" s="37">
        <v>0</v>
      </c>
      <c r="AD269" s="37">
        <v>0</v>
      </c>
      <c r="AE269" s="37">
        <v>0</v>
      </c>
      <c r="AF269" s="168">
        <v>0.02</v>
      </c>
      <c r="AG269" s="37">
        <v>6840030.2400000002</v>
      </c>
      <c r="AH269" s="37">
        <v>68450.09</v>
      </c>
      <c r="AI269" s="37">
        <v>69819.100000000006</v>
      </c>
      <c r="AJ269" s="37">
        <v>71215.48</v>
      </c>
      <c r="AK269" s="37">
        <v>72639.789999999994</v>
      </c>
      <c r="AL269" s="37">
        <v>74092.58</v>
      </c>
      <c r="AM269" s="37">
        <v>75574.429999999993</v>
      </c>
      <c r="AN269" s="37">
        <v>77085.919999999998</v>
      </c>
      <c r="AO269" s="37">
        <v>78627.64</v>
      </c>
      <c r="AP269" s="37">
        <v>80200.19</v>
      </c>
      <c r="AQ269" s="37">
        <v>81804.2</v>
      </c>
      <c r="AR269" s="37">
        <v>749509.41999999993</v>
      </c>
      <c r="AS269" s="37">
        <v>0</v>
      </c>
      <c r="AT269" s="37">
        <v>0</v>
      </c>
      <c r="AU269" s="37">
        <v>0</v>
      </c>
      <c r="AV269" s="37">
        <v>0</v>
      </c>
      <c r="AW269" s="37">
        <v>0</v>
      </c>
      <c r="AX269" s="37">
        <v>0</v>
      </c>
      <c r="AY269" s="37">
        <v>0</v>
      </c>
      <c r="AZ269" s="37">
        <v>0</v>
      </c>
      <c r="BA269" s="37">
        <v>0</v>
      </c>
      <c r="BB269" s="37">
        <v>0</v>
      </c>
      <c r="BC269" s="37">
        <v>0</v>
      </c>
      <c r="BD269" s="37">
        <v>0</v>
      </c>
      <c r="BE269" s="37">
        <v>0</v>
      </c>
      <c r="BF269" s="37">
        <v>0</v>
      </c>
      <c r="BG269" s="37">
        <v>0</v>
      </c>
      <c r="BH269" s="37">
        <v>0</v>
      </c>
      <c r="BI269" s="37">
        <v>0</v>
      </c>
      <c r="BJ269" s="37">
        <v>0</v>
      </c>
      <c r="BK269" s="37">
        <v>0</v>
      </c>
      <c r="BL269" s="37">
        <v>0</v>
      </c>
      <c r="BM269" s="37">
        <v>0</v>
      </c>
      <c r="BN269" s="37">
        <v>0</v>
      </c>
      <c r="BO269" s="37">
        <v>0</v>
      </c>
      <c r="BP269" s="37">
        <v>0</v>
      </c>
      <c r="BQ269" s="37">
        <v>0</v>
      </c>
      <c r="BR269" s="37">
        <v>0</v>
      </c>
      <c r="BS269" s="37">
        <v>0</v>
      </c>
      <c r="BT269" s="37">
        <v>0</v>
      </c>
      <c r="BU269" s="37">
        <v>0</v>
      </c>
      <c r="BV269" s="37">
        <v>0</v>
      </c>
      <c r="BW269" s="37">
        <v>0</v>
      </c>
      <c r="BX269" s="37">
        <v>0</v>
      </c>
      <c r="BY269" s="37">
        <v>0</v>
      </c>
      <c r="BZ269" s="37">
        <v>0</v>
      </c>
      <c r="CA269" s="37">
        <v>0</v>
      </c>
      <c r="CB269" s="37">
        <v>0</v>
      </c>
      <c r="CC269" s="37">
        <v>0</v>
      </c>
      <c r="CD269" s="37">
        <v>0</v>
      </c>
      <c r="CE269" s="37">
        <v>0</v>
      </c>
      <c r="CF269" s="37">
        <v>0</v>
      </c>
      <c r="CG269" s="37">
        <v>0</v>
      </c>
      <c r="CH269" s="37">
        <v>0</v>
      </c>
      <c r="CI269" s="37">
        <v>0</v>
      </c>
      <c r="CJ269" s="37">
        <v>0</v>
      </c>
      <c r="CK269" s="37">
        <v>0</v>
      </c>
      <c r="CL269" s="37">
        <v>0</v>
      </c>
      <c r="CM269" s="37">
        <v>0</v>
      </c>
      <c r="CN269" s="37">
        <v>0</v>
      </c>
      <c r="CO269" s="37">
        <v>0</v>
      </c>
      <c r="CP269" s="37">
        <v>0</v>
      </c>
      <c r="CQ269" s="37">
        <v>0</v>
      </c>
      <c r="CR269" s="37">
        <v>0</v>
      </c>
      <c r="CS269" s="37">
        <v>0</v>
      </c>
      <c r="CT269" s="37">
        <v>0</v>
      </c>
      <c r="CU269" s="37">
        <v>0</v>
      </c>
      <c r="CV269" s="37">
        <v>0</v>
      </c>
      <c r="CW269" s="37">
        <v>0</v>
      </c>
      <c r="CX269" s="37">
        <v>0</v>
      </c>
      <c r="CY269" s="37">
        <v>0</v>
      </c>
      <c r="CZ269" s="37">
        <v>0</v>
      </c>
      <c r="DA269" s="37">
        <v>0</v>
      </c>
      <c r="DB269" s="37">
        <v>0</v>
      </c>
      <c r="DC269" s="37">
        <v>0</v>
      </c>
      <c r="DD269" s="37">
        <v>0</v>
      </c>
      <c r="DE269" s="37">
        <v>0</v>
      </c>
      <c r="DF269" s="37">
        <v>0</v>
      </c>
      <c r="DG269" s="37">
        <v>0</v>
      </c>
      <c r="DH269" s="37">
        <v>0</v>
      </c>
      <c r="DI269" s="37">
        <v>0</v>
      </c>
      <c r="DJ269" s="37">
        <v>0</v>
      </c>
      <c r="DK269" s="37">
        <v>0</v>
      </c>
      <c r="DL269" s="37">
        <v>0</v>
      </c>
      <c r="DM269" s="37">
        <v>0</v>
      </c>
      <c r="DN269" s="37">
        <v>0</v>
      </c>
      <c r="DO269" s="37">
        <v>0</v>
      </c>
      <c r="DP269" s="37">
        <v>0</v>
      </c>
      <c r="DQ269" s="37">
        <v>0</v>
      </c>
      <c r="DR269" s="37">
        <v>0</v>
      </c>
      <c r="DS269" s="37">
        <v>0</v>
      </c>
      <c r="DT269" s="37">
        <v>0</v>
      </c>
      <c r="DU269" s="37">
        <v>0</v>
      </c>
      <c r="DV269" s="37">
        <v>0</v>
      </c>
      <c r="DW269" s="37">
        <v>0</v>
      </c>
      <c r="DX269" s="37">
        <v>0</v>
      </c>
      <c r="DY269" s="37">
        <v>0</v>
      </c>
      <c r="DZ269" s="37">
        <v>0</v>
      </c>
      <c r="EA269" s="37">
        <v>0</v>
      </c>
      <c r="EB269" s="37">
        <v>0</v>
      </c>
      <c r="EC269" s="37">
        <v>0</v>
      </c>
      <c r="ED269" s="37">
        <v>0</v>
      </c>
      <c r="EE269" s="37">
        <v>0</v>
      </c>
      <c r="EF269" s="37">
        <v>0</v>
      </c>
      <c r="EG269" s="37">
        <v>0</v>
      </c>
      <c r="EH269" s="37">
        <v>0</v>
      </c>
      <c r="EI269" s="37">
        <v>0</v>
      </c>
      <c r="EJ269" s="37">
        <v>0</v>
      </c>
      <c r="EK269" s="161" t="s">
        <v>1738</v>
      </c>
      <c r="EL269" s="294" t="s">
        <v>1124</v>
      </c>
    </row>
    <row r="270" spans="1:142" ht="15" customHeight="1" x14ac:dyDescent="0.35">
      <c r="A270" s="34"/>
      <c r="B270" s="313">
        <v>50085</v>
      </c>
      <c r="C270" s="8" t="s">
        <v>492</v>
      </c>
      <c r="D270" s="18">
        <v>17</v>
      </c>
      <c r="E270" s="155">
        <v>93226</v>
      </c>
      <c r="F270" s="36">
        <v>339</v>
      </c>
      <c r="G270" s="37">
        <v>9245</v>
      </c>
      <c r="H270" s="37">
        <v>0</v>
      </c>
      <c r="I270" s="37">
        <v>5450</v>
      </c>
      <c r="J270" s="37">
        <v>0</v>
      </c>
      <c r="K270" s="37">
        <v>13983.9</v>
      </c>
      <c r="L270" s="37">
        <v>50.85</v>
      </c>
      <c r="M270" s="37">
        <v>121904.9</v>
      </c>
      <c r="N270" s="37">
        <v>389.85</v>
      </c>
      <c r="O270" s="37">
        <v>75216</v>
      </c>
      <c r="P270" s="37">
        <v>0</v>
      </c>
      <c r="Q270" s="37">
        <v>0</v>
      </c>
      <c r="R270" s="37">
        <v>6400</v>
      </c>
      <c r="S270" s="37">
        <v>22933</v>
      </c>
      <c r="T270" s="37">
        <v>0</v>
      </c>
      <c r="U270" s="37">
        <v>5450</v>
      </c>
      <c r="V270" s="37">
        <v>0</v>
      </c>
      <c r="W270" s="37">
        <v>12296</v>
      </c>
      <c r="X270" s="37">
        <v>0</v>
      </c>
      <c r="Y270" s="37">
        <v>0</v>
      </c>
      <c r="Z270" s="37">
        <v>0</v>
      </c>
      <c r="AA270" s="37">
        <v>115895</v>
      </c>
      <c r="AB270" s="37">
        <v>6400</v>
      </c>
      <c r="AC270" s="37">
        <v>0.25</v>
      </c>
      <c r="AD270" s="37">
        <v>0</v>
      </c>
      <c r="AE270" s="37">
        <v>0</v>
      </c>
      <c r="AF270" s="168">
        <v>0.02</v>
      </c>
      <c r="AG270" s="37">
        <v>8529657.9000000004</v>
      </c>
      <c r="AH270" s="37">
        <v>80295.899999999994</v>
      </c>
      <c r="AI270" s="37">
        <v>81901.820000000007</v>
      </c>
      <c r="AJ270" s="37">
        <v>83539.850000000006</v>
      </c>
      <c r="AK270" s="37">
        <v>85210.65</v>
      </c>
      <c r="AL270" s="37">
        <v>86914.86</v>
      </c>
      <c r="AM270" s="37">
        <v>88653.16</v>
      </c>
      <c r="AN270" s="37">
        <v>90426.22</v>
      </c>
      <c r="AO270" s="37">
        <v>92234.75</v>
      </c>
      <c r="AP270" s="37">
        <v>94079.44</v>
      </c>
      <c r="AQ270" s="37">
        <v>95961.03</v>
      </c>
      <c r="AR270" s="37">
        <v>879217.68</v>
      </c>
      <c r="AS270" s="37">
        <v>0</v>
      </c>
      <c r="AT270" s="37">
        <v>0</v>
      </c>
      <c r="AU270" s="37">
        <v>76424.67</v>
      </c>
      <c r="AV270" s="37">
        <v>77953.16</v>
      </c>
      <c r="AW270" s="37">
        <v>0</v>
      </c>
      <c r="AX270" s="37">
        <v>0</v>
      </c>
      <c r="AY270" s="37">
        <v>0</v>
      </c>
      <c r="AZ270" s="37">
        <v>0</v>
      </c>
      <c r="BA270" s="37">
        <v>0</v>
      </c>
      <c r="BB270" s="37">
        <v>0</v>
      </c>
      <c r="BC270" s="37">
        <v>0</v>
      </c>
      <c r="BD270" s="37">
        <v>154377.83000000002</v>
      </c>
      <c r="BE270" s="37">
        <v>0</v>
      </c>
      <c r="BF270" s="37">
        <v>80405.778666220518</v>
      </c>
      <c r="BG270" s="37">
        <v>10242.611633804408</v>
      </c>
      <c r="BH270" s="37">
        <v>28738.099514747999</v>
      </c>
      <c r="BI270" s="37">
        <v>126715.28018522708</v>
      </c>
      <c r="BJ270" s="37">
        <v>13762.474913359771</v>
      </c>
      <c r="BK270" s="37">
        <v>66643.303752860666</v>
      </c>
      <c r="BL270" s="37">
        <v>86667.281633804392</v>
      </c>
      <c r="BM270" s="37">
        <v>106691.2595147481</v>
      </c>
      <c r="BN270" s="37">
        <v>126715.28018522708</v>
      </c>
      <c r="BO270" s="37">
        <v>0</v>
      </c>
      <c r="BP270" s="37">
        <v>646581.37</v>
      </c>
      <c r="BQ270" s="37">
        <v>0</v>
      </c>
      <c r="BR270" s="37">
        <v>0</v>
      </c>
      <c r="BS270" s="37">
        <v>0</v>
      </c>
      <c r="BT270" s="37">
        <v>0</v>
      </c>
      <c r="BU270" s="37">
        <v>0</v>
      </c>
      <c r="BV270" s="37">
        <v>0</v>
      </c>
      <c r="BW270" s="37">
        <v>0</v>
      </c>
      <c r="BX270" s="37">
        <v>0</v>
      </c>
      <c r="BY270" s="37">
        <v>0</v>
      </c>
      <c r="BZ270" s="37">
        <v>0</v>
      </c>
      <c r="CA270" s="37">
        <v>0</v>
      </c>
      <c r="CB270" s="37">
        <v>0</v>
      </c>
      <c r="CC270" s="37">
        <v>0</v>
      </c>
      <c r="CD270" s="37">
        <v>9576.9063951789776</v>
      </c>
      <c r="CE270" s="37">
        <v>10322.696421821411</v>
      </c>
      <c r="CF270" s="37">
        <v>12707.696169426568</v>
      </c>
      <c r="CG270" s="37">
        <v>15092.701013573052</v>
      </c>
      <c r="CH270" s="37">
        <v>1639.2097209627184</v>
      </c>
      <c r="CI270" s="37">
        <v>7937.6966742162494</v>
      </c>
      <c r="CJ270" s="37">
        <v>10322.696421821411</v>
      </c>
      <c r="CK270" s="37">
        <v>12707.696169426568</v>
      </c>
      <c r="CL270" s="37">
        <v>15092.701013573052</v>
      </c>
      <c r="CM270" s="37">
        <v>0</v>
      </c>
      <c r="CN270" s="37">
        <v>95400</v>
      </c>
      <c r="CO270" s="37">
        <v>0</v>
      </c>
      <c r="CP270" s="37">
        <v>0</v>
      </c>
      <c r="CQ270" s="37">
        <v>76424.67</v>
      </c>
      <c r="CR270" s="37">
        <v>77953.16</v>
      </c>
      <c r="CS270" s="37">
        <v>0</v>
      </c>
      <c r="CT270" s="37">
        <v>0</v>
      </c>
      <c r="CU270" s="37">
        <v>0</v>
      </c>
      <c r="CV270" s="37">
        <v>0</v>
      </c>
      <c r="CW270" s="37">
        <v>0</v>
      </c>
      <c r="CX270" s="37">
        <v>0</v>
      </c>
      <c r="CY270" s="37">
        <v>0</v>
      </c>
      <c r="CZ270" s="37">
        <v>154377.83000000002</v>
      </c>
      <c r="DA270" s="37">
        <v>0</v>
      </c>
      <c r="DB270" s="37">
        <v>0</v>
      </c>
      <c r="DC270" s="37">
        <v>0</v>
      </c>
      <c r="DD270" s="37">
        <v>0</v>
      </c>
      <c r="DE270" s="37">
        <v>0</v>
      </c>
      <c r="DF270" s="37">
        <v>0</v>
      </c>
      <c r="DG270" s="37">
        <v>0</v>
      </c>
      <c r="DH270" s="37">
        <v>0</v>
      </c>
      <c r="DI270" s="37">
        <v>0</v>
      </c>
      <c r="DJ270" s="37">
        <v>0</v>
      </c>
      <c r="DK270" s="37">
        <v>0</v>
      </c>
      <c r="DL270" s="37">
        <v>0</v>
      </c>
      <c r="DM270" s="37">
        <v>0</v>
      </c>
      <c r="DN270" s="37">
        <v>0</v>
      </c>
      <c r="DO270" s="37">
        <v>0</v>
      </c>
      <c r="DP270" s="37">
        <v>0</v>
      </c>
      <c r="DQ270" s="37">
        <v>0</v>
      </c>
      <c r="DR270" s="37">
        <v>0</v>
      </c>
      <c r="DS270" s="37">
        <v>0</v>
      </c>
      <c r="DT270" s="37">
        <v>0</v>
      </c>
      <c r="DU270" s="37">
        <v>0</v>
      </c>
      <c r="DV270" s="37">
        <v>0</v>
      </c>
      <c r="DW270" s="37">
        <v>0</v>
      </c>
      <c r="DX270" s="37">
        <v>0</v>
      </c>
      <c r="DY270" s="37">
        <v>0</v>
      </c>
      <c r="DZ270" s="37">
        <v>0</v>
      </c>
      <c r="EA270" s="37">
        <v>0</v>
      </c>
      <c r="EB270" s="37">
        <v>0</v>
      </c>
      <c r="EC270" s="37">
        <v>0</v>
      </c>
      <c r="ED270" s="37">
        <v>0</v>
      </c>
      <c r="EE270" s="37">
        <v>0</v>
      </c>
      <c r="EF270" s="37">
        <v>0</v>
      </c>
      <c r="EG270" s="37">
        <v>0</v>
      </c>
      <c r="EH270" s="37">
        <v>0</v>
      </c>
      <c r="EI270" s="37">
        <v>0</v>
      </c>
      <c r="EJ270" s="37">
        <v>0</v>
      </c>
      <c r="EK270" s="161" t="s">
        <v>1952</v>
      </c>
      <c r="EL270" s="294" t="s">
        <v>1124</v>
      </c>
    </row>
    <row r="271" spans="1:142" ht="15" customHeight="1" x14ac:dyDescent="0.35">
      <c r="A271" s="34"/>
      <c r="B271" s="313">
        <v>78120</v>
      </c>
      <c r="C271" s="8" t="s">
        <v>783</v>
      </c>
      <c r="D271" s="18">
        <v>15</v>
      </c>
      <c r="E271" s="155">
        <v>149546</v>
      </c>
      <c r="F271" s="36">
        <v>107928</v>
      </c>
      <c r="G271" s="37">
        <v>16656</v>
      </c>
      <c r="H271" s="37">
        <v>6</v>
      </c>
      <c r="I271" s="37">
        <v>57694.58</v>
      </c>
      <c r="J271" s="37">
        <v>148.51</v>
      </c>
      <c r="K271" s="37">
        <v>22431.899999999998</v>
      </c>
      <c r="L271" s="37">
        <v>16189.199999999999</v>
      </c>
      <c r="M271" s="37">
        <v>246328.47999999998</v>
      </c>
      <c r="N271" s="37">
        <v>124271.70999999999</v>
      </c>
      <c r="O271" s="37">
        <v>0</v>
      </c>
      <c r="P271" s="37">
        <v>0</v>
      </c>
      <c r="Q271" s="37">
        <v>215680.98</v>
      </c>
      <c r="R271" s="37">
        <v>15999.24</v>
      </c>
      <c r="S271" s="37">
        <v>4925</v>
      </c>
      <c r="T271" s="37">
        <v>8953</v>
      </c>
      <c r="U271" s="37">
        <v>0</v>
      </c>
      <c r="V271" s="37">
        <v>0</v>
      </c>
      <c r="W271" s="37">
        <v>67046</v>
      </c>
      <c r="X271" s="37">
        <v>133520</v>
      </c>
      <c r="Y271" s="37">
        <v>0</v>
      </c>
      <c r="Z271" s="37">
        <v>0</v>
      </c>
      <c r="AA271" s="37">
        <v>287651.98</v>
      </c>
      <c r="AB271" s="37">
        <v>158472.24</v>
      </c>
      <c r="AC271" s="37">
        <v>75524</v>
      </c>
      <c r="AD271" s="37">
        <v>75524</v>
      </c>
      <c r="AE271" s="37">
        <v>473193</v>
      </c>
      <c r="AF271" s="168">
        <v>0.02</v>
      </c>
      <c r="AG271" s="37">
        <v>40845204.670000002</v>
      </c>
      <c r="AH271" s="37">
        <v>503993.19</v>
      </c>
      <c r="AI271" s="37">
        <v>514220.56</v>
      </c>
      <c r="AJ271" s="37">
        <v>452630.08</v>
      </c>
      <c r="AK271" s="37">
        <v>461682.68</v>
      </c>
      <c r="AL271" s="37">
        <v>470916.33</v>
      </c>
      <c r="AM271" s="37">
        <v>480334.66</v>
      </c>
      <c r="AN271" s="37">
        <v>489941.35</v>
      </c>
      <c r="AO271" s="37">
        <v>499740.18</v>
      </c>
      <c r="AP271" s="37">
        <v>509734.98</v>
      </c>
      <c r="AQ271" s="37">
        <v>519929.68</v>
      </c>
      <c r="AR271" s="37">
        <v>4903123.6900000004</v>
      </c>
      <c r="AS271" s="37">
        <v>587967.14</v>
      </c>
      <c r="AT271" s="37">
        <v>0</v>
      </c>
      <c r="AU271" s="37">
        <v>0</v>
      </c>
      <c r="AV271" s="37">
        <v>0</v>
      </c>
      <c r="AW271" s="37">
        <v>0</v>
      </c>
      <c r="AX271" s="37">
        <v>626213.29</v>
      </c>
      <c r="AY271" s="37">
        <v>0</v>
      </c>
      <c r="AZ271" s="37">
        <v>0</v>
      </c>
      <c r="BA271" s="37">
        <v>0</v>
      </c>
      <c r="BB271" s="37">
        <v>0</v>
      </c>
      <c r="BC271" s="37">
        <v>0</v>
      </c>
      <c r="BD271" s="37">
        <v>626213.29</v>
      </c>
      <c r="BE271" s="37">
        <v>0</v>
      </c>
      <c r="BF271" s="37">
        <v>325800</v>
      </c>
      <c r="BG271" s="37">
        <v>0</v>
      </c>
      <c r="BH271" s="37">
        <v>0</v>
      </c>
      <c r="BI271" s="37">
        <v>0</v>
      </c>
      <c r="BJ271" s="37">
        <v>0</v>
      </c>
      <c r="BK271" s="37">
        <v>0</v>
      </c>
      <c r="BL271" s="37">
        <v>0</v>
      </c>
      <c r="BM271" s="37">
        <v>0</v>
      </c>
      <c r="BN271" s="37">
        <v>0</v>
      </c>
      <c r="BO271" s="37">
        <v>0</v>
      </c>
      <c r="BP271" s="37">
        <v>325800</v>
      </c>
      <c r="BQ271" s="37">
        <v>0</v>
      </c>
      <c r="BR271" s="37">
        <v>0</v>
      </c>
      <c r="BS271" s="37">
        <v>0</v>
      </c>
      <c r="BT271" s="37">
        <v>0</v>
      </c>
      <c r="BU271" s="37">
        <v>0</v>
      </c>
      <c r="BV271" s="37">
        <v>0</v>
      </c>
      <c r="BW271" s="37">
        <v>0</v>
      </c>
      <c r="BX271" s="37">
        <v>0</v>
      </c>
      <c r="BY271" s="37">
        <v>0</v>
      </c>
      <c r="BZ271" s="37">
        <v>0</v>
      </c>
      <c r="CA271" s="37">
        <v>0</v>
      </c>
      <c r="CB271" s="37">
        <v>0</v>
      </c>
      <c r="CC271" s="37">
        <v>23000</v>
      </c>
      <c r="CD271" s="37">
        <v>0</v>
      </c>
      <c r="CE271" s="37">
        <v>0</v>
      </c>
      <c r="CF271" s="37">
        <v>0</v>
      </c>
      <c r="CG271" s="37">
        <v>0</v>
      </c>
      <c r="CH271" s="37">
        <v>0</v>
      </c>
      <c r="CI271" s="37">
        <v>0</v>
      </c>
      <c r="CJ271" s="37">
        <v>0</v>
      </c>
      <c r="CK271" s="37">
        <v>0</v>
      </c>
      <c r="CL271" s="37">
        <v>0</v>
      </c>
      <c r="CM271" s="37">
        <v>0</v>
      </c>
      <c r="CN271" s="37">
        <v>0</v>
      </c>
      <c r="CO271" s="37">
        <v>0</v>
      </c>
      <c r="CP271" s="37">
        <v>0</v>
      </c>
      <c r="CQ271" s="37">
        <v>0</v>
      </c>
      <c r="CR271" s="37">
        <v>0</v>
      </c>
      <c r="CS271" s="37">
        <v>0</v>
      </c>
      <c r="CT271" s="37">
        <v>0</v>
      </c>
      <c r="CU271" s="37">
        <v>0</v>
      </c>
      <c r="CV271" s="37">
        <v>0</v>
      </c>
      <c r="CW271" s="37">
        <v>0</v>
      </c>
      <c r="CX271" s="37">
        <v>0</v>
      </c>
      <c r="CY271" s="37">
        <v>0</v>
      </c>
      <c r="CZ271" s="37">
        <v>0</v>
      </c>
      <c r="DA271" s="37">
        <v>0</v>
      </c>
      <c r="DB271" s="37">
        <v>0</v>
      </c>
      <c r="DC271" s="37">
        <v>0</v>
      </c>
      <c r="DD271" s="37">
        <v>0</v>
      </c>
      <c r="DE271" s="37">
        <v>0</v>
      </c>
      <c r="DF271" s="37">
        <v>0</v>
      </c>
      <c r="DG271" s="37">
        <v>0</v>
      </c>
      <c r="DH271" s="37">
        <v>0</v>
      </c>
      <c r="DI271" s="37">
        <v>0</v>
      </c>
      <c r="DJ271" s="37">
        <v>0</v>
      </c>
      <c r="DK271" s="37">
        <v>0</v>
      </c>
      <c r="DL271" s="37">
        <v>0</v>
      </c>
      <c r="DM271" s="37">
        <v>0</v>
      </c>
      <c r="DN271" s="37">
        <v>0</v>
      </c>
      <c r="DO271" s="37">
        <v>0</v>
      </c>
      <c r="DP271" s="37">
        <v>0</v>
      </c>
      <c r="DQ271" s="37">
        <v>0</v>
      </c>
      <c r="DR271" s="37">
        <v>0</v>
      </c>
      <c r="DS271" s="37">
        <v>0</v>
      </c>
      <c r="DT271" s="37">
        <v>0</v>
      </c>
      <c r="DU271" s="37">
        <v>0</v>
      </c>
      <c r="DV271" s="37">
        <v>0</v>
      </c>
      <c r="DW271" s="37">
        <v>0</v>
      </c>
      <c r="DX271" s="37">
        <v>0</v>
      </c>
      <c r="DY271" s="37">
        <v>0</v>
      </c>
      <c r="DZ271" s="37">
        <v>0</v>
      </c>
      <c r="EA271" s="37">
        <v>0</v>
      </c>
      <c r="EB271" s="37">
        <v>0</v>
      </c>
      <c r="EC271" s="37">
        <v>0</v>
      </c>
      <c r="ED271" s="37">
        <v>0</v>
      </c>
      <c r="EE271" s="37">
        <v>0</v>
      </c>
      <c r="EF271" s="37">
        <v>0</v>
      </c>
      <c r="EG271" s="37">
        <v>0</v>
      </c>
      <c r="EH271" s="37">
        <v>0</v>
      </c>
      <c r="EI271" s="37">
        <v>0</v>
      </c>
      <c r="EJ271" s="37">
        <v>0</v>
      </c>
      <c r="EK271" s="161" t="s">
        <v>1956</v>
      </c>
      <c r="EL271" s="294" t="s">
        <v>1124</v>
      </c>
    </row>
    <row r="272" spans="1:142" ht="15" customHeight="1" x14ac:dyDescent="0.35">
      <c r="A272" s="34"/>
      <c r="B272" s="313">
        <v>93055</v>
      </c>
      <c r="C272" s="8" t="s">
        <v>966</v>
      </c>
      <c r="D272" s="18">
        <v>2</v>
      </c>
      <c r="E272" s="155">
        <v>54606</v>
      </c>
      <c r="F272" s="36">
        <v>5063</v>
      </c>
      <c r="G272" s="37">
        <v>310</v>
      </c>
      <c r="H272" s="37">
        <v>0</v>
      </c>
      <c r="I272" s="37">
        <v>0</v>
      </c>
      <c r="J272" s="37">
        <v>0</v>
      </c>
      <c r="K272" s="37">
        <v>8190.9</v>
      </c>
      <c r="L272" s="37">
        <v>759.44999999999993</v>
      </c>
      <c r="M272" s="37">
        <v>63106.9</v>
      </c>
      <c r="N272" s="37">
        <v>5822.45</v>
      </c>
      <c r="O272" s="37">
        <v>0</v>
      </c>
      <c r="P272" s="37">
        <v>0</v>
      </c>
      <c r="Q272" s="37">
        <v>103950</v>
      </c>
      <c r="R272" s="37">
        <v>25100</v>
      </c>
      <c r="S272" s="37">
        <v>2930</v>
      </c>
      <c r="T272" s="37">
        <v>0</v>
      </c>
      <c r="U272" s="37">
        <v>0</v>
      </c>
      <c r="V272" s="37">
        <v>0</v>
      </c>
      <c r="W272" s="37">
        <v>0</v>
      </c>
      <c r="X272" s="37">
        <v>0</v>
      </c>
      <c r="Y272" s="37">
        <v>0</v>
      </c>
      <c r="Z272" s="37">
        <v>0</v>
      </c>
      <c r="AA272" s="37">
        <v>106880</v>
      </c>
      <c r="AB272" s="37">
        <v>25100</v>
      </c>
      <c r="AC272" s="37">
        <v>63050.649999999994</v>
      </c>
      <c r="AD272" s="37">
        <v>0</v>
      </c>
      <c r="AE272" s="37">
        <v>0</v>
      </c>
      <c r="AF272" s="168">
        <v>0.02</v>
      </c>
      <c r="AG272" s="37">
        <v>25281044.600000001</v>
      </c>
      <c r="AH272" s="37">
        <v>247691.4</v>
      </c>
      <c r="AI272" s="37">
        <v>252645.22</v>
      </c>
      <c r="AJ272" s="37">
        <v>257698.13</v>
      </c>
      <c r="AK272" s="37">
        <v>335014.24</v>
      </c>
      <c r="AL272" s="37">
        <v>341714.52</v>
      </c>
      <c r="AM272" s="37">
        <v>348548.81</v>
      </c>
      <c r="AN272" s="37">
        <v>278940.74</v>
      </c>
      <c r="AO272" s="37">
        <v>284519.56</v>
      </c>
      <c r="AP272" s="37">
        <v>290209.95</v>
      </c>
      <c r="AQ272" s="37">
        <v>296014.15000000002</v>
      </c>
      <c r="AR272" s="37">
        <v>2932996.72</v>
      </c>
      <c r="AS272" s="37">
        <v>1361995.96</v>
      </c>
      <c r="AT272" s="37">
        <v>0</v>
      </c>
      <c r="AU272" s="37">
        <v>0</v>
      </c>
      <c r="AV272" s="37">
        <v>0</v>
      </c>
      <c r="AW272" s="37">
        <v>16236.48</v>
      </c>
      <c r="AX272" s="37">
        <v>16561.21</v>
      </c>
      <c r="AY272" s="37">
        <v>16892.439999999999</v>
      </c>
      <c r="AZ272" s="37">
        <v>0</v>
      </c>
      <c r="BA272" s="37">
        <v>0</v>
      </c>
      <c r="BB272" s="37">
        <v>0</v>
      </c>
      <c r="BC272" s="37">
        <v>0</v>
      </c>
      <c r="BD272" s="37">
        <v>49690.12999999999</v>
      </c>
      <c r="BE272" s="37">
        <v>322365</v>
      </c>
      <c r="BF272" s="37">
        <v>0</v>
      </c>
      <c r="BG272" s="37">
        <v>0</v>
      </c>
      <c r="BH272" s="37">
        <v>0</v>
      </c>
      <c r="BI272" s="37">
        <v>0</v>
      </c>
      <c r="BJ272" s="37">
        <v>0</v>
      </c>
      <c r="BK272" s="37">
        <v>0</v>
      </c>
      <c r="BL272" s="37">
        <v>0</v>
      </c>
      <c r="BM272" s="37">
        <v>0</v>
      </c>
      <c r="BN272" s="37">
        <v>0</v>
      </c>
      <c r="BO272" s="37">
        <v>0</v>
      </c>
      <c r="BP272" s="37">
        <v>0</v>
      </c>
      <c r="BQ272" s="37">
        <v>0</v>
      </c>
      <c r="BR272" s="37">
        <v>0</v>
      </c>
      <c r="BS272" s="37">
        <v>0</v>
      </c>
      <c r="BT272" s="37">
        <v>0</v>
      </c>
      <c r="BU272" s="37">
        <v>0</v>
      </c>
      <c r="BV272" s="37">
        <v>0</v>
      </c>
      <c r="BW272" s="37">
        <v>0</v>
      </c>
      <c r="BX272" s="37">
        <v>0</v>
      </c>
      <c r="BY272" s="37">
        <v>0</v>
      </c>
      <c r="BZ272" s="37">
        <v>0</v>
      </c>
      <c r="CA272" s="37">
        <v>0</v>
      </c>
      <c r="CB272" s="37">
        <v>0</v>
      </c>
      <c r="CC272" s="37">
        <v>0</v>
      </c>
      <c r="CD272" s="37">
        <v>0</v>
      </c>
      <c r="CE272" s="37">
        <v>0</v>
      </c>
      <c r="CF272" s="37">
        <v>0</v>
      </c>
      <c r="CG272" s="37">
        <v>0</v>
      </c>
      <c r="CH272" s="37">
        <v>0</v>
      </c>
      <c r="CI272" s="37">
        <v>0</v>
      </c>
      <c r="CJ272" s="37">
        <v>0</v>
      </c>
      <c r="CK272" s="37">
        <v>0</v>
      </c>
      <c r="CL272" s="37">
        <v>0</v>
      </c>
      <c r="CM272" s="37">
        <v>0</v>
      </c>
      <c r="CN272" s="37">
        <v>0</v>
      </c>
      <c r="CO272" s="37">
        <v>0</v>
      </c>
      <c r="CP272" s="37">
        <v>0</v>
      </c>
      <c r="CQ272" s="37">
        <v>0</v>
      </c>
      <c r="CR272" s="37">
        <v>0</v>
      </c>
      <c r="CS272" s="37">
        <v>0</v>
      </c>
      <c r="CT272" s="37">
        <v>0</v>
      </c>
      <c r="CU272" s="37">
        <v>0</v>
      </c>
      <c r="CV272" s="37">
        <v>0</v>
      </c>
      <c r="CW272" s="37">
        <v>0</v>
      </c>
      <c r="CX272" s="37">
        <v>0</v>
      </c>
      <c r="CY272" s="37">
        <v>0</v>
      </c>
      <c r="CZ272" s="37">
        <v>0</v>
      </c>
      <c r="DA272" s="37">
        <v>0</v>
      </c>
      <c r="DB272" s="37">
        <v>0</v>
      </c>
      <c r="DC272" s="37">
        <v>0</v>
      </c>
      <c r="DD272" s="37">
        <v>0</v>
      </c>
      <c r="DE272" s="37">
        <v>0</v>
      </c>
      <c r="DF272" s="37">
        <v>0</v>
      </c>
      <c r="DG272" s="37">
        <v>0</v>
      </c>
      <c r="DH272" s="37">
        <v>0</v>
      </c>
      <c r="DI272" s="37">
        <v>0</v>
      </c>
      <c r="DJ272" s="37">
        <v>0</v>
      </c>
      <c r="DK272" s="37">
        <v>0</v>
      </c>
      <c r="DL272" s="37">
        <v>0</v>
      </c>
      <c r="DM272" s="37">
        <v>0</v>
      </c>
      <c r="DN272" s="37">
        <v>0</v>
      </c>
      <c r="DO272" s="37">
        <v>0</v>
      </c>
      <c r="DP272" s="37">
        <v>0</v>
      </c>
      <c r="DQ272" s="37">
        <v>0</v>
      </c>
      <c r="DR272" s="37">
        <v>0</v>
      </c>
      <c r="DS272" s="37">
        <v>0</v>
      </c>
      <c r="DT272" s="37">
        <v>0</v>
      </c>
      <c r="DU272" s="37">
        <v>0</v>
      </c>
      <c r="DV272" s="37">
        <v>0</v>
      </c>
      <c r="DW272" s="37">
        <v>0</v>
      </c>
      <c r="DX272" s="37">
        <v>0</v>
      </c>
      <c r="DY272" s="37">
        <v>0</v>
      </c>
      <c r="DZ272" s="37">
        <v>0</v>
      </c>
      <c r="EA272" s="37">
        <v>0</v>
      </c>
      <c r="EB272" s="37">
        <v>0</v>
      </c>
      <c r="EC272" s="37">
        <v>0</v>
      </c>
      <c r="ED272" s="37">
        <v>0</v>
      </c>
      <c r="EE272" s="37">
        <v>0</v>
      </c>
      <c r="EF272" s="37">
        <v>0</v>
      </c>
      <c r="EG272" s="37">
        <v>0</v>
      </c>
      <c r="EH272" s="37">
        <v>0</v>
      </c>
      <c r="EI272" s="37">
        <v>0</v>
      </c>
      <c r="EJ272" s="37">
        <v>0</v>
      </c>
      <c r="EK272" s="161" t="s">
        <v>1961</v>
      </c>
      <c r="EL272" s="294" t="s">
        <v>1124</v>
      </c>
    </row>
    <row r="273" spans="1:142" ht="15" customHeight="1" x14ac:dyDescent="0.35">
      <c r="A273" s="34"/>
      <c r="B273" s="313">
        <v>7057</v>
      </c>
      <c r="C273" s="8" t="s">
        <v>1076</v>
      </c>
      <c r="D273" s="18">
        <v>1</v>
      </c>
      <c r="E273" s="155">
        <v>86559</v>
      </c>
      <c r="F273" s="36">
        <v>91904</v>
      </c>
      <c r="G273" s="37">
        <v>350</v>
      </c>
      <c r="H273" s="37">
        <v>627</v>
      </c>
      <c r="I273" s="37">
        <v>15000</v>
      </c>
      <c r="J273" s="37">
        <v>29000</v>
      </c>
      <c r="K273" s="37">
        <v>12983.85</v>
      </c>
      <c r="L273" s="37">
        <v>13785.6</v>
      </c>
      <c r="M273" s="37">
        <v>114892.85</v>
      </c>
      <c r="N273" s="37">
        <v>135316.6</v>
      </c>
      <c r="O273" s="37">
        <v>0</v>
      </c>
      <c r="P273" s="37">
        <v>0</v>
      </c>
      <c r="Q273" s="37">
        <v>70446</v>
      </c>
      <c r="R273" s="37">
        <v>129210</v>
      </c>
      <c r="S273" s="37">
        <v>0</v>
      </c>
      <c r="T273" s="37">
        <v>47</v>
      </c>
      <c r="U273" s="37">
        <v>0</v>
      </c>
      <c r="V273" s="37">
        <v>0</v>
      </c>
      <c r="W273" s="37">
        <v>44446.850000000006</v>
      </c>
      <c r="X273" s="37">
        <v>6059.6000000000058</v>
      </c>
      <c r="Y273" s="37">
        <v>0</v>
      </c>
      <c r="Z273" s="37">
        <v>0</v>
      </c>
      <c r="AA273" s="37">
        <v>114892.85</v>
      </c>
      <c r="AB273" s="37">
        <v>135316.6</v>
      </c>
      <c r="AC273" s="37">
        <v>0</v>
      </c>
      <c r="AD273" s="37">
        <v>0</v>
      </c>
      <c r="AE273" s="37">
        <v>0</v>
      </c>
      <c r="AF273" s="168">
        <v>0.02</v>
      </c>
      <c r="AG273" s="37">
        <v>30544860.579999998</v>
      </c>
      <c r="AH273" s="37">
        <v>178556.1</v>
      </c>
      <c r="AI273" s="37">
        <v>231546.22</v>
      </c>
      <c r="AJ273" s="37">
        <v>236177.15</v>
      </c>
      <c r="AK273" s="37">
        <v>189485.16</v>
      </c>
      <c r="AL273" s="37">
        <v>193274.87</v>
      </c>
      <c r="AM273" s="37">
        <v>197140.36</v>
      </c>
      <c r="AN273" s="37">
        <v>247949.54</v>
      </c>
      <c r="AO273" s="37">
        <v>252908.54</v>
      </c>
      <c r="AP273" s="37">
        <v>306726.48</v>
      </c>
      <c r="AQ273" s="37">
        <v>275559.78000000003</v>
      </c>
      <c r="AR273" s="37">
        <v>2309324.1999999997</v>
      </c>
      <c r="AS273" s="37">
        <v>9112449.3300000001</v>
      </c>
      <c r="AT273" s="37">
        <v>1560600</v>
      </c>
      <c r="AU273" s="37">
        <v>0</v>
      </c>
      <c r="AV273" s="37">
        <v>70747.199999999997</v>
      </c>
      <c r="AW273" s="37">
        <v>529625.04</v>
      </c>
      <c r="AX273" s="37">
        <v>540217.54</v>
      </c>
      <c r="AY273" s="37">
        <v>0</v>
      </c>
      <c r="AZ273" s="37">
        <v>0</v>
      </c>
      <c r="BA273" s="37">
        <v>0</v>
      </c>
      <c r="BB273" s="37">
        <v>0</v>
      </c>
      <c r="BC273" s="37">
        <v>0</v>
      </c>
      <c r="BD273" s="37">
        <v>2701189.7800000003</v>
      </c>
      <c r="BE273" s="37">
        <v>234968</v>
      </c>
      <c r="BF273" s="37">
        <v>200000</v>
      </c>
      <c r="BG273" s="37">
        <v>200000</v>
      </c>
      <c r="BH273" s="37">
        <v>0</v>
      </c>
      <c r="BI273" s="37">
        <v>0</v>
      </c>
      <c r="BJ273" s="37">
        <v>0</v>
      </c>
      <c r="BK273" s="37">
        <v>0</v>
      </c>
      <c r="BL273" s="37">
        <v>0</v>
      </c>
      <c r="BM273" s="37">
        <v>0</v>
      </c>
      <c r="BN273" s="37">
        <v>0</v>
      </c>
      <c r="BO273" s="37">
        <v>0</v>
      </c>
      <c r="BP273" s="37">
        <v>400000</v>
      </c>
      <c r="BQ273" s="37">
        <v>0</v>
      </c>
      <c r="BR273" s="37">
        <v>0</v>
      </c>
      <c r="BS273" s="37">
        <v>0</v>
      </c>
      <c r="BT273" s="37">
        <v>0</v>
      </c>
      <c r="BU273" s="37">
        <v>0</v>
      </c>
      <c r="BV273" s="37">
        <v>0</v>
      </c>
      <c r="BW273" s="37">
        <v>0</v>
      </c>
      <c r="BX273" s="37">
        <v>0</v>
      </c>
      <c r="BY273" s="37">
        <v>0</v>
      </c>
      <c r="BZ273" s="37">
        <v>0</v>
      </c>
      <c r="CA273" s="37">
        <v>0</v>
      </c>
      <c r="CB273" s="37">
        <v>0</v>
      </c>
      <c r="CC273" s="37">
        <v>0</v>
      </c>
      <c r="CD273" s="37">
        <v>0</v>
      </c>
      <c r="CE273" s="37">
        <v>0</v>
      </c>
      <c r="CF273" s="37">
        <v>0</v>
      </c>
      <c r="CG273" s="37">
        <v>0</v>
      </c>
      <c r="CH273" s="37">
        <v>0</v>
      </c>
      <c r="CI273" s="37">
        <v>0</v>
      </c>
      <c r="CJ273" s="37">
        <v>0</v>
      </c>
      <c r="CK273" s="37">
        <v>0</v>
      </c>
      <c r="CL273" s="37">
        <v>0</v>
      </c>
      <c r="CM273" s="37">
        <v>0</v>
      </c>
      <c r="CN273" s="37">
        <v>0</v>
      </c>
      <c r="CO273" s="37">
        <v>0</v>
      </c>
      <c r="CP273" s="37">
        <v>597132</v>
      </c>
      <c r="CQ273" s="37">
        <v>1326942</v>
      </c>
      <c r="CR273" s="37">
        <v>0</v>
      </c>
      <c r="CS273" s="37">
        <v>0</v>
      </c>
      <c r="CT273" s="37">
        <v>0</v>
      </c>
      <c r="CU273" s="37">
        <v>0</v>
      </c>
      <c r="CV273" s="37">
        <v>0</v>
      </c>
      <c r="CW273" s="37">
        <v>0</v>
      </c>
      <c r="CX273" s="37">
        <v>0</v>
      </c>
      <c r="CY273" s="37">
        <v>0</v>
      </c>
      <c r="CZ273" s="37">
        <v>1924074</v>
      </c>
      <c r="DA273" s="37">
        <v>0</v>
      </c>
      <c r="DB273" s="37">
        <v>21201</v>
      </c>
      <c r="DC273" s="37">
        <v>69838</v>
      </c>
      <c r="DD273" s="37">
        <v>0</v>
      </c>
      <c r="DE273" s="37">
        <v>0</v>
      </c>
      <c r="DF273" s="37">
        <v>0</v>
      </c>
      <c r="DG273" s="37">
        <v>0</v>
      </c>
      <c r="DH273" s="37">
        <v>0</v>
      </c>
      <c r="DI273" s="37">
        <v>0</v>
      </c>
      <c r="DJ273" s="37">
        <v>0</v>
      </c>
      <c r="DK273" s="37">
        <v>0</v>
      </c>
      <c r="DL273" s="37">
        <v>91039</v>
      </c>
      <c r="DM273" s="37">
        <v>0</v>
      </c>
      <c r="DN273" s="37">
        <v>0</v>
      </c>
      <c r="DO273" s="37">
        <v>260000</v>
      </c>
      <c r="DP273" s="37">
        <v>0</v>
      </c>
      <c r="DQ273" s="37">
        <v>0</v>
      </c>
      <c r="DR273" s="37">
        <v>0</v>
      </c>
      <c r="DS273" s="37">
        <v>0</v>
      </c>
      <c r="DT273" s="37">
        <v>0</v>
      </c>
      <c r="DU273" s="37">
        <v>0</v>
      </c>
      <c r="DV273" s="37">
        <v>0</v>
      </c>
      <c r="DW273" s="37">
        <v>0</v>
      </c>
      <c r="DX273" s="37">
        <v>260000</v>
      </c>
      <c r="DY273" s="37">
        <v>0</v>
      </c>
      <c r="DZ273" s="37">
        <v>0</v>
      </c>
      <c r="EA273" s="37">
        <v>0</v>
      </c>
      <c r="EB273" s="37">
        <v>0</v>
      </c>
      <c r="EC273" s="37">
        <v>0</v>
      </c>
      <c r="ED273" s="37">
        <v>0</v>
      </c>
      <c r="EE273" s="37">
        <v>0</v>
      </c>
      <c r="EF273" s="37">
        <v>0</v>
      </c>
      <c r="EG273" s="37">
        <v>0</v>
      </c>
      <c r="EH273" s="37">
        <v>0</v>
      </c>
      <c r="EI273" s="37">
        <v>0</v>
      </c>
      <c r="EJ273" s="37">
        <v>0</v>
      </c>
      <c r="EK273" s="161" t="s">
        <v>1965</v>
      </c>
      <c r="EL273" s="294" t="s">
        <v>1124</v>
      </c>
    </row>
    <row r="274" spans="1:142" ht="15" customHeight="1" x14ac:dyDescent="0.35">
      <c r="A274" s="34"/>
      <c r="B274" s="313">
        <v>35010</v>
      </c>
      <c r="C274" s="8" t="s">
        <v>304</v>
      </c>
      <c r="D274" s="18">
        <v>4</v>
      </c>
      <c r="E274" s="155"/>
      <c r="F274" s="36"/>
      <c r="G274" s="37"/>
      <c r="H274" s="37"/>
      <c r="I274" s="37"/>
      <c r="J274" s="37"/>
      <c r="K274" s="37"/>
      <c r="L274" s="37"/>
      <c r="M274" s="37" t="s">
        <v>1124</v>
      </c>
      <c r="N274" s="37" t="s">
        <v>1124</v>
      </c>
      <c r="O274" s="37"/>
      <c r="P274" s="37"/>
      <c r="Q274" s="37"/>
      <c r="R274" s="37"/>
      <c r="S274" s="37"/>
      <c r="T274" s="37"/>
      <c r="U274" s="37"/>
      <c r="V274" s="37"/>
      <c r="W274" s="37"/>
      <c r="X274" s="37"/>
      <c r="Y274" s="37"/>
      <c r="Z274" s="37"/>
      <c r="AA274" s="37" t="s">
        <v>1124</v>
      </c>
      <c r="AB274" s="37" t="s">
        <v>1124</v>
      </c>
      <c r="AC274" s="37"/>
      <c r="AD274" s="37"/>
      <c r="AE274" s="37"/>
      <c r="AF274" s="168"/>
      <c r="AG274" s="37"/>
      <c r="AH274" s="37"/>
      <c r="AI274" s="37"/>
      <c r="AJ274" s="37"/>
      <c r="AK274" s="37"/>
      <c r="AL274" s="37"/>
      <c r="AM274" s="37"/>
      <c r="AN274" s="37"/>
      <c r="AO274" s="37"/>
      <c r="AP274" s="37"/>
      <c r="AQ274" s="37"/>
      <c r="AR274" s="37" t="s">
        <v>1124</v>
      </c>
      <c r="AS274" s="37"/>
      <c r="AT274" s="37"/>
      <c r="AU274" s="37"/>
      <c r="AV274" s="37"/>
      <c r="AW274" s="37"/>
      <c r="AX274" s="37"/>
      <c r="AY274" s="37"/>
      <c r="AZ274" s="37"/>
      <c r="BA274" s="37"/>
      <c r="BB274" s="37"/>
      <c r="BC274" s="37"/>
      <c r="BD274" s="37" t="s">
        <v>1124</v>
      </c>
      <c r="BE274" s="37"/>
      <c r="BF274" s="37"/>
      <c r="BG274" s="37"/>
      <c r="BH274" s="37"/>
      <c r="BI274" s="37"/>
      <c r="BJ274" s="37"/>
      <c r="BK274" s="37"/>
      <c r="BL274" s="37"/>
      <c r="BM274" s="37"/>
      <c r="BN274" s="37"/>
      <c r="BO274" s="37"/>
      <c r="BP274" s="37">
        <v>0</v>
      </c>
      <c r="BQ274" s="37"/>
      <c r="BR274" s="37"/>
      <c r="BS274" s="37"/>
      <c r="BT274" s="37"/>
      <c r="BU274" s="37"/>
      <c r="BV274" s="37"/>
      <c r="BW274" s="37"/>
      <c r="BX274" s="37"/>
      <c r="BY274" s="37"/>
      <c r="BZ274" s="37"/>
      <c r="CA274" s="37"/>
      <c r="CB274" s="37" t="s">
        <v>1124</v>
      </c>
      <c r="CC274" s="37"/>
      <c r="CD274" s="37"/>
      <c r="CE274" s="37"/>
      <c r="CF274" s="37"/>
      <c r="CG274" s="37"/>
      <c r="CH274" s="37"/>
      <c r="CI274" s="37"/>
      <c r="CJ274" s="37"/>
      <c r="CK274" s="37"/>
      <c r="CL274" s="37"/>
      <c r="CM274" s="37"/>
      <c r="CN274" s="37" t="s">
        <v>1124</v>
      </c>
      <c r="CO274" s="37"/>
      <c r="CP274" s="37"/>
      <c r="CQ274" s="37"/>
      <c r="CR274" s="37"/>
      <c r="CS274" s="37"/>
      <c r="CT274" s="37"/>
      <c r="CU274" s="37"/>
      <c r="CV274" s="37"/>
      <c r="CW274" s="37"/>
      <c r="CX274" s="37"/>
      <c r="CY274" s="37"/>
      <c r="CZ274" s="37" t="s">
        <v>1124</v>
      </c>
      <c r="DA274" s="37"/>
      <c r="DB274" s="37"/>
      <c r="DC274" s="37"/>
      <c r="DD274" s="37"/>
      <c r="DE274" s="37"/>
      <c r="DF274" s="37"/>
      <c r="DG274" s="37"/>
      <c r="DH274" s="37"/>
      <c r="DI274" s="37"/>
      <c r="DJ274" s="37"/>
      <c r="DK274" s="37"/>
      <c r="DL274" s="37" t="s">
        <v>1124</v>
      </c>
      <c r="DM274" s="37"/>
      <c r="DN274" s="37"/>
      <c r="DO274" s="37"/>
      <c r="DP274" s="37"/>
      <c r="DQ274" s="37"/>
      <c r="DR274" s="37"/>
      <c r="DS274" s="37"/>
      <c r="DT274" s="37"/>
      <c r="DU274" s="37"/>
      <c r="DV274" s="37"/>
      <c r="DW274" s="37"/>
      <c r="DX274" s="37" t="s">
        <v>1124</v>
      </c>
      <c r="DY274" s="37"/>
      <c r="DZ274" s="37"/>
      <c r="EA274" s="37"/>
      <c r="EB274" s="37"/>
      <c r="EC274" s="37"/>
      <c r="ED274" s="37"/>
      <c r="EE274" s="37"/>
      <c r="EF274" s="37"/>
      <c r="EG274" s="37"/>
      <c r="EH274" s="37"/>
      <c r="EI274" s="37"/>
      <c r="EJ274" s="37" t="s">
        <v>1124</v>
      </c>
      <c r="EK274" s="161"/>
      <c r="EL274" s="294"/>
    </row>
    <row r="275" spans="1:142" ht="15" customHeight="1" x14ac:dyDescent="0.35">
      <c r="A275" s="34"/>
      <c r="B275" s="313">
        <v>22040</v>
      </c>
      <c r="C275" s="8" t="s">
        <v>160</v>
      </c>
      <c r="D275" s="18">
        <v>3</v>
      </c>
      <c r="E275" s="155">
        <v>373355</v>
      </c>
      <c r="F275" s="36">
        <v>271732</v>
      </c>
      <c r="G275" s="37">
        <v>132390</v>
      </c>
      <c r="H275" s="37">
        <v>134077</v>
      </c>
      <c r="I275" s="37">
        <v>243500</v>
      </c>
      <c r="J275" s="37">
        <v>215000</v>
      </c>
      <c r="K275" s="37">
        <v>56003.25</v>
      </c>
      <c r="L275" s="37">
        <v>40759.799999999996</v>
      </c>
      <c r="M275" s="37">
        <v>805248.25</v>
      </c>
      <c r="N275" s="37">
        <v>661568.80000000005</v>
      </c>
      <c r="O275" s="37">
        <v>40370.25</v>
      </c>
      <c r="P275" s="37">
        <v>24760.42</v>
      </c>
      <c r="Q275" s="37">
        <v>362750</v>
      </c>
      <c r="R275" s="37">
        <v>188630</v>
      </c>
      <c r="S275" s="37">
        <v>1750</v>
      </c>
      <c r="T275" s="37">
        <v>0</v>
      </c>
      <c r="U275" s="37">
        <v>0</v>
      </c>
      <c r="V275" s="37">
        <v>0</v>
      </c>
      <c r="W275" s="37">
        <v>400378</v>
      </c>
      <c r="X275" s="37">
        <v>448178.80000000005</v>
      </c>
      <c r="Y275" s="37">
        <v>0</v>
      </c>
      <c r="Z275" s="37">
        <v>0</v>
      </c>
      <c r="AA275" s="37">
        <v>805248.25</v>
      </c>
      <c r="AB275" s="37">
        <v>661569.22000000009</v>
      </c>
      <c r="AC275" s="37">
        <v>0</v>
      </c>
      <c r="AD275" s="37">
        <v>0</v>
      </c>
      <c r="AE275" s="37">
        <v>0</v>
      </c>
      <c r="AF275" s="168">
        <v>0.02</v>
      </c>
      <c r="AG275" s="37">
        <v>61647114.159999996</v>
      </c>
      <c r="AH275" s="37">
        <v>496939.88</v>
      </c>
      <c r="AI275" s="37">
        <v>517282.67</v>
      </c>
      <c r="AJ275" s="37">
        <v>517016.25</v>
      </c>
      <c r="AK275" s="37">
        <v>527356.56999999995</v>
      </c>
      <c r="AL275" s="37">
        <v>537903.69999999995</v>
      </c>
      <c r="AM275" s="37">
        <v>548661.78</v>
      </c>
      <c r="AN275" s="37">
        <v>559635.01</v>
      </c>
      <c r="AO275" s="37">
        <v>570827.71</v>
      </c>
      <c r="AP275" s="37">
        <v>582244.27</v>
      </c>
      <c r="AQ275" s="37">
        <v>593889.15</v>
      </c>
      <c r="AR275" s="37">
        <v>5451756.9899999993</v>
      </c>
      <c r="AS275" s="37">
        <v>0</v>
      </c>
      <c r="AT275" s="37">
        <v>0</v>
      </c>
      <c r="AU275" s="37">
        <v>1103656.32</v>
      </c>
      <c r="AV275" s="37">
        <v>0</v>
      </c>
      <c r="AW275" s="37">
        <v>0</v>
      </c>
      <c r="AX275" s="37">
        <v>0</v>
      </c>
      <c r="AY275" s="37">
        <v>0</v>
      </c>
      <c r="AZ275" s="37">
        <v>0</v>
      </c>
      <c r="BA275" s="37">
        <v>0</v>
      </c>
      <c r="BB275" s="37">
        <v>0</v>
      </c>
      <c r="BC275" s="37">
        <v>0</v>
      </c>
      <c r="BD275" s="37">
        <v>1103656.32</v>
      </c>
      <c r="BE275" s="37">
        <v>0</v>
      </c>
      <c r="BF275" s="37">
        <v>0</v>
      </c>
      <c r="BG275" s="37">
        <v>0</v>
      </c>
      <c r="BH275" s="37">
        <v>0</v>
      </c>
      <c r="BI275" s="37">
        <v>0</v>
      </c>
      <c r="BJ275" s="37">
        <v>0</v>
      </c>
      <c r="BK275" s="37">
        <v>0</v>
      </c>
      <c r="BL275" s="37">
        <v>0</v>
      </c>
      <c r="BM275" s="37">
        <v>0</v>
      </c>
      <c r="BN275" s="37">
        <v>0</v>
      </c>
      <c r="BO275" s="37">
        <v>0</v>
      </c>
      <c r="BP275" s="37">
        <v>0</v>
      </c>
      <c r="BQ275" s="37">
        <v>0</v>
      </c>
      <c r="BR275" s="37">
        <v>0</v>
      </c>
      <c r="BS275" s="37">
        <v>0</v>
      </c>
      <c r="BT275" s="37">
        <v>0</v>
      </c>
      <c r="BU275" s="37">
        <v>0</v>
      </c>
      <c r="BV275" s="37">
        <v>0</v>
      </c>
      <c r="BW275" s="37">
        <v>0</v>
      </c>
      <c r="BX275" s="37">
        <v>0</v>
      </c>
      <c r="BY275" s="37">
        <v>0</v>
      </c>
      <c r="BZ275" s="37">
        <v>0</v>
      </c>
      <c r="CA275" s="37">
        <v>0</v>
      </c>
      <c r="CB275" s="37">
        <v>0</v>
      </c>
      <c r="CC275" s="37">
        <v>0</v>
      </c>
      <c r="CD275" s="37">
        <v>0</v>
      </c>
      <c r="CE275" s="37">
        <v>0</v>
      </c>
      <c r="CF275" s="37">
        <v>0</v>
      </c>
      <c r="CG275" s="37">
        <v>0</v>
      </c>
      <c r="CH275" s="37">
        <v>0</v>
      </c>
      <c r="CI275" s="37">
        <v>0</v>
      </c>
      <c r="CJ275" s="37">
        <v>0</v>
      </c>
      <c r="CK275" s="37">
        <v>0</v>
      </c>
      <c r="CL275" s="37">
        <v>0</v>
      </c>
      <c r="CM275" s="37">
        <v>0</v>
      </c>
      <c r="CN275" s="37">
        <v>0</v>
      </c>
      <c r="CO275" s="37">
        <v>0</v>
      </c>
      <c r="CP275" s="37">
        <v>0</v>
      </c>
      <c r="CQ275" s="37">
        <v>0</v>
      </c>
      <c r="CR275" s="37">
        <v>0</v>
      </c>
      <c r="CS275" s="37">
        <v>0</v>
      </c>
      <c r="CT275" s="37">
        <v>0</v>
      </c>
      <c r="CU275" s="37">
        <v>0</v>
      </c>
      <c r="CV275" s="37">
        <v>0</v>
      </c>
      <c r="CW275" s="37">
        <v>0</v>
      </c>
      <c r="CX275" s="37">
        <v>0</v>
      </c>
      <c r="CY275" s="37">
        <v>0</v>
      </c>
      <c r="CZ275" s="37">
        <v>0</v>
      </c>
      <c r="DA275" s="37">
        <v>0</v>
      </c>
      <c r="DB275" s="37">
        <v>0</v>
      </c>
      <c r="DC275" s="37">
        <v>0</v>
      </c>
      <c r="DD275" s="37">
        <v>0</v>
      </c>
      <c r="DE275" s="37">
        <v>0</v>
      </c>
      <c r="DF275" s="37">
        <v>0</v>
      </c>
      <c r="DG275" s="37">
        <v>0</v>
      </c>
      <c r="DH275" s="37">
        <v>0</v>
      </c>
      <c r="DI275" s="37">
        <v>0</v>
      </c>
      <c r="DJ275" s="37">
        <v>0</v>
      </c>
      <c r="DK275" s="37">
        <v>0</v>
      </c>
      <c r="DL275" s="37">
        <v>0</v>
      </c>
      <c r="DM275" s="37">
        <v>0</v>
      </c>
      <c r="DN275" s="37">
        <v>0</v>
      </c>
      <c r="DO275" s="37">
        <v>1103656</v>
      </c>
      <c r="DP275" s="37">
        <v>0</v>
      </c>
      <c r="DQ275" s="37">
        <v>0</v>
      </c>
      <c r="DR275" s="37">
        <v>0</v>
      </c>
      <c r="DS275" s="37">
        <v>0</v>
      </c>
      <c r="DT275" s="37">
        <v>0</v>
      </c>
      <c r="DU275" s="37">
        <v>0</v>
      </c>
      <c r="DV275" s="37">
        <v>0</v>
      </c>
      <c r="DW275" s="37">
        <v>0</v>
      </c>
      <c r="DX275" s="37">
        <v>1103656</v>
      </c>
      <c r="DY275" s="37">
        <v>0</v>
      </c>
      <c r="DZ275" s="37">
        <v>0</v>
      </c>
      <c r="EA275" s="37">
        <v>0</v>
      </c>
      <c r="EB275" s="37">
        <v>0</v>
      </c>
      <c r="EC275" s="37">
        <v>0</v>
      </c>
      <c r="ED275" s="37">
        <v>0</v>
      </c>
      <c r="EE275" s="37">
        <v>0</v>
      </c>
      <c r="EF275" s="37">
        <v>0</v>
      </c>
      <c r="EG275" s="37">
        <v>0</v>
      </c>
      <c r="EH275" s="37">
        <v>0</v>
      </c>
      <c r="EI275" s="37">
        <v>0</v>
      </c>
      <c r="EJ275" s="37">
        <v>0</v>
      </c>
      <c r="EK275" s="161" t="s">
        <v>1968</v>
      </c>
      <c r="EL275" s="294" t="s">
        <v>1124</v>
      </c>
    </row>
    <row r="276" spans="1:142" ht="15" customHeight="1" x14ac:dyDescent="0.35">
      <c r="A276" s="34"/>
      <c r="B276" s="313">
        <v>91005</v>
      </c>
      <c r="C276" s="8" t="s">
        <v>937</v>
      </c>
      <c r="D276" s="18">
        <v>2</v>
      </c>
      <c r="E276" s="155">
        <v>190295</v>
      </c>
      <c r="F276" s="36">
        <v>74232</v>
      </c>
      <c r="G276" s="37">
        <v>8550</v>
      </c>
      <c r="H276" s="37">
        <v>8550</v>
      </c>
      <c r="I276" s="37">
        <v>38025</v>
      </c>
      <c r="J276" s="37">
        <v>38025</v>
      </c>
      <c r="K276" s="37">
        <v>28544</v>
      </c>
      <c r="L276" s="37">
        <v>11135</v>
      </c>
      <c r="M276" s="37">
        <v>265414</v>
      </c>
      <c r="N276" s="37">
        <v>131942</v>
      </c>
      <c r="O276" s="37">
        <v>0</v>
      </c>
      <c r="P276" s="37">
        <v>0</v>
      </c>
      <c r="Q276" s="37">
        <v>165896</v>
      </c>
      <c r="R276" s="37">
        <v>71423</v>
      </c>
      <c r="S276" s="37">
        <v>0</v>
      </c>
      <c r="T276" s="37">
        <v>0</v>
      </c>
      <c r="U276" s="37">
        <v>0</v>
      </c>
      <c r="V276" s="37">
        <v>0</v>
      </c>
      <c r="W276" s="37">
        <v>80019</v>
      </c>
      <c r="X276" s="37">
        <v>80018</v>
      </c>
      <c r="Y276" s="37">
        <v>0</v>
      </c>
      <c r="Z276" s="37">
        <v>0</v>
      </c>
      <c r="AA276" s="37">
        <v>245915</v>
      </c>
      <c r="AB276" s="37">
        <v>151441</v>
      </c>
      <c r="AC276" s="37">
        <v>0</v>
      </c>
      <c r="AD276" s="37">
        <v>0</v>
      </c>
      <c r="AE276" s="37">
        <v>0</v>
      </c>
      <c r="AF276" s="168">
        <v>0.02</v>
      </c>
      <c r="AG276" s="37">
        <v>46507304.75</v>
      </c>
      <c r="AH276" s="37">
        <v>650087.64</v>
      </c>
      <c r="AI276" s="37">
        <v>663089.39</v>
      </c>
      <c r="AJ276" s="37">
        <v>676351.18</v>
      </c>
      <c r="AK276" s="37">
        <v>689878.21</v>
      </c>
      <c r="AL276" s="37">
        <v>703675.77</v>
      </c>
      <c r="AM276" s="37">
        <v>717749.29</v>
      </c>
      <c r="AN276" s="37">
        <v>732104.27</v>
      </c>
      <c r="AO276" s="37">
        <v>746746.36</v>
      </c>
      <c r="AP276" s="37">
        <v>761681.28</v>
      </c>
      <c r="AQ276" s="37">
        <v>776914.91</v>
      </c>
      <c r="AR276" s="37">
        <v>7118278.2999999989</v>
      </c>
      <c r="AS276" s="37">
        <v>367781.4</v>
      </c>
      <c r="AT276" s="37">
        <v>0</v>
      </c>
      <c r="AU276" s="37">
        <v>0</v>
      </c>
      <c r="AV276" s="37">
        <v>0</v>
      </c>
      <c r="AW276" s="37">
        <v>0</v>
      </c>
      <c r="AX276" s="37">
        <v>0</v>
      </c>
      <c r="AY276" s="37">
        <v>0</v>
      </c>
      <c r="AZ276" s="37">
        <v>0</v>
      </c>
      <c r="BA276" s="37">
        <v>0</v>
      </c>
      <c r="BB276" s="37">
        <v>0</v>
      </c>
      <c r="BC276" s="37">
        <v>0</v>
      </c>
      <c r="BD276" s="37">
        <v>0</v>
      </c>
      <c r="BE276" s="37">
        <v>1115961</v>
      </c>
      <c r="BF276" s="37">
        <v>147809</v>
      </c>
      <c r="BG276" s="37">
        <v>0</v>
      </c>
      <c r="BH276" s="37">
        <v>0</v>
      </c>
      <c r="BI276" s="37">
        <v>0</v>
      </c>
      <c r="BJ276" s="37">
        <v>30769.512886735283</v>
      </c>
      <c r="BK276" s="37">
        <v>148998.05496812789</v>
      </c>
      <c r="BL276" s="37">
        <v>193766.75023043866</v>
      </c>
      <c r="BM276" s="37">
        <v>238535.44549274936</v>
      </c>
      <c r="BN276" s="37">
        <v>283304.23642194888</v>
      </c>
      <c r="BO276" s="37">
        <v>0</v>
      </c>
      <c r="BP276" s="37">
        <v>1043183</v>
      </c>
      <c r="BQ276" s="37">
        <v>0</v>
      </c>
      <c r="BR276" s="37">
        <v>0</v>
      </c>
      <c r="BS276" s="37">
        <v>0</v>
      </c>
      <c r="BT276" s="37">
        <v>0</v>
      </c>
      <c r="BU276" s="37">
        <v>0</v>
      </c>
      <c r="BV276" s="37">
        <v>2504.3481848041533</v>
      </c>
      <c r="BW276" s="37">
        <v>12127.036585608159</v>
      </c>
      <c r="BX276" s="37">
        <v>15770.786200004934</v>
      </c>
      <c r="BY276" s="37">
        <v>19414.535814401701</v>
      </c>
      <c r="BZ276" s="37">
        <v>23058.293215181056</v>
      </c>
      <c r="CA276" s="37">
        <v>0</v>
      </c>
      <c r="CB276" s="37">
        <v>72875.000000000015</v>
      </c>
      <c r="CC276" s="37">
        <v>0</v>
      </c>
      <c r="CD276" s="37">
        <v>0</v>
      </c>
      <c r="CE276" s="37">
        <v>0</v>
      </c>
      <c r="CF276" s="37">
        <v>0</v>
      </c>
      <c r="CG276" s="37">
        <v>0</v>
      </c>
      <c r="CH276" s="37">
        <v>0</v>
      </c>
      <c r="CI276" s="37">
        <v>0</v>
      </c>
      <c r="CJ276" s="37">
        <v>0</v>
      </c>
      <c r="CK276" s="37">
        <v>0</v>
      </c>
      <c r="CL276" s="37">
        <v>0</v>
      </c>
      <c r="CM276" s="37">
        <v>0</v>
      </c>
      <c r="CN276" s="37">
        <v>0</v>
      </c>
      <c r="CO276" s="37">
        <v>0</v>
      </c>
      <c r="CP276" s="37">
        <v>0</v>
      </c>
      <c r="CQ276" s="37">
        <v>0</v>
      </c>
      <c r="CR276" s="37">
        <v>0</v>
      </c>
      <c r="CS276" s="37">
        <v>0</v>
      </c>
      <c r="CT276" s="37">
        <v>0</v>
      </c>
      <c r="CU276" s="37">
        <v>0</v>
      </c>
      <c r="CV276" s="37">
        <v>0</v>
      </c>
      <c r="CW276" s="37">
        <v>0</v>
      </c>
      <c r="CX276" s="37">
        <v>0</v>
      </c>
      <c r="CY276" s="37">
        <v>0</v>
      </c>
      <c r="CZ276" s="37">
        <v>0</v>
      </c>
      <c r="DA276" s="37">
        <v>0</v>
      </c>
      <c r="DB276" s="37">
        <v>0</v>
      </c>
      <c r="DC276" s="37">
        <v>0</v>
      </c>
      <c r="DD276" s="37">
        <v>0</v>
      </c>
      <c r="DE276" s="37">
        <v>0</v>
      </c>
      <c r="DF276" s="37">
        <v>0</v>
      </c>
      <c r="DG276" s="37">
        <v>0</v>
      </c>
      <c r="DH276" s="37">
        <v>0</v>
      </c>
      <c r="DI276" s="37">
        <v>0</v>
      </c>
      <c r="DJ276" s="37">
        <v>0</v>
      </c>
      <c r="DK276" s="37">
        <v>0</v>
      </c>
      <c r="DL276" s="37">
        <v>0</v>
      </c>
      <c r="DM276" s="37">
        <v>0</v>
      </c>
      <c r="DN276" s="37">
        <v>0</v>
      </c>
      <c r="DO276" s="37">
        <v>0</v>
      </c>
      <c r="DP276" s="37">
        <v>0</v>
      </c>
      <c r="DQ276" s="37">
        <v>0</v>
      </c>
      <c r="DR276" s="37">
        <v>0</v>
      </c>
      <c r="DS276" s="37">
        <v>0</v>
      </c>
      <c r="DT276" s="37">
        <v>0</v>
      </c>
      <c r="DU276" s="37">
        <v>0</v>
      </c>
      <c r="DV276" s="37">
        <v>0</v>
      </c>
      <c r="DW276" s="37">
        <v>0</v>
      </c>
      <c r="DX276" s="37">
        <v>0</v>
      </c>
      <c r="DY276" s="37">
        <v>0</v>
      </c>
      <c r="DZ276" s="37">
        <v>0</v>
      </c>
      <c r="EA276" s="37">
        <v>0</v>
      </c>
      <c r="EB276" s="37">
        <v>0</v>
      </c>
      <c r="EC276" s="37">
        <v>0</v>
      </c>
      <c r="ED276" s="37">
        <v>0</v>
      </c>
      <c r="EE276" s="37">
        <v>0</v>
      </c>
      <c r="EF276" s="37">
        <v>0</v>
      </c>
      <c r="EG276" s="37">
        <v>0</v>
      </c>
      <c r="EH276" s="37">
        <v>0</v>
      </c>
      <c r="EI276" s="37">
        <v>0</v>
      </c>
      <c r="EJ276" s="37">
        <v>0</v>
      </c>
      <c r="EK276" s="161" t="s">
        <v>1971</v>
      </c>
      <c r="EL276" s="294" t="s">
        <v>1124</v>
      </c>
    </row>
    <row r="277" spans="1:142" ht="15" customHeight="1" x14ac:dyDescent="0.35">
      <c r="A277" s="34"/>
      <c r="B277" s="313">
        <v>46075</v>
      </c>
      <c r="C277" s="8" t="s">
        <v>439</v>
      </c>
      <c r="D277" s="18">
        <v>5</v>
      </c>
      <c r="E277" s="155"/>
      <c r="F277" s="36"/>
      <c r="G277" s="37"/>
      <c r="H277" s="37"/>
      <c r="I277" s="37"/>
      <c r="J277" s="37"/>
      <c r="K277" s="37"/>
      <c r="L277" s="37"/>
      <c r="M277" s="37" t="s">
        <v>1124</v>
      </c>
      <c r="N277" s="37" t="s">
        <v>1124</v>
      </c>
      <c r="O277" s="37"/>
      <c r="P277" s="37"/>
      <c r="Q277" s="37"/>
      <c r="R277" s="37"/>
      <c r="S277" s="37"/>
      <c r="T277" s="37"/>
      <c r="U277" s="37"/>
      <c r="V277" s="37"/>
      <c r="W277" s="37"/>
      <c r="X277" s="37"/>
      <c r="Y277" s="37"/>
      <c r="Z277" s="37"/>
      <c r="AA277" s="37" t="s">
        <v>1124</v>
      </c>
      <c r="AB277" s="37" t="s">
        <v>1124</v>
      </c>
      <c r="AC277" s="37"/>
      <c r="AD277" s="37"/>
      <c r="AE277" s="37"/>
      <c r="AF277" s="168"/>
      <c r="AG277" s="37"/>
      <c r="AH277" s="37"/>
      <c r="AI277" s="37"/>
      <c r="AJ277" s="37"/>
      <c r="AK277" s="37"/>
      <c r="AL277" s="37"/>
      <c r="AM277" s="37"/>
      <c r="AN277" s="37"/>
      <c r="AO277" s="37"/>
      <c r="AP277" s="37"/>
      <c r="AQ277" s="37"/>
      <c r="AR277" s="37" t="s">
        <v>1124</v>
      </c>
      <c r="AS277" s="37"/>
      <c r="AT277" s="37"/>
      <c r="AU277" s="37"/>
      <c r="AV277" s="37"/>
      <c r="AW277" s="37"/>
      <c r="AX277" s="37"/>
      <c r="AY277" s="37"/>
      <c r="AZ277" s="37"/>
      <c r="BA277" s="37"/>
      <c r="BB277" s="37"/>
      <c r="BC277" s="37"/>
      <c r="BD277" s="37" t="s">
        <v>1124</v>
      </c>
      <c r="BE277" s="37"/>
      <c r="BF277" s="37"/>
      <c r="BG277" s="37"/>
      <c r="BH277" s="37"/>
      <c r="BI277" s="37"/>
      <c r="BJ277" s="37"/>
      <c r="BK277" s="37"/>
      <c r="BL277" s="37"/>
      <c r="BM277" s="37"/>
      <c r="BN277" s="37"/>
      <c r="BO277" s="37"/>
      <c r="BP277" s="37">
        <v>0</v>
      </c>
      <c r="BQ277" s="37"/>
      <c r="BR277" s="37"/>
      <c r="BS277" s="37"/>
      <c r="BT277" s="37"/>
      <c r="BU277" s="37"/>
      <c r="BV277" s="37"/>
      <c r="BW277" s="37"/>
      <c r="BX277" s="37"/>
      <c r="BY277" s="37"/>
      <c r="BZ277" s="37"/>
      <c r="CA277" s="37"/>
      <c r="CB277" s="37" t="s">
        <v>1124</v>
      </c>
      <c r="CC277" s="37"/>
      <c r="CD277" s="37"/>
      <c r="CE277" s="37"/>
      <c r="CF277" s="37"/>
      <c r="CG277" s="37"/>
      <c r="CH277" s="37"/>
      <c r="CI277" s="37"/>
      <c r="CJ277" s="37"/>
      <c r="CK277" s="37"/>
      <c r="CL277" s="37"/>
      <c r="CM277" s="37"/>
      <c r="CN277" s="37" t="s">
        <v>1124</v>
      </c>
      <c r="CO277" s="37"/>
      <c r="CP277" s="37"/>
      <c r="CQ277" s="37"/>
      <c r="CR277" s="37"/>
      <c r="CS277" s="37"/>
      <c r="CT277" s="37"/>
      <c r="CU277" s="37"/>
      <c r="CV277" s="37"/>
      <c r="CW277" s="37"/>
      <c r="CX277" s="37"/>
      <c r="CY277" s="37"/>
      <c r="CZ277" s="37" t="s">
        <v>1124</v>
      </c>
      <c r="DA277" s="37"/>
      <c r="DB277" s="37"/>
      <c r="DC277" s="37"/>
      <c r="DD277" s="37"/>
      <c r="DE277" s="37"/>
      <c r="DF277" s="37"/>
      <c r="DG277" s="37"/>
      <c r="DH277" s="37"/>
      <c r="DI277" s="37"/>
      <c r="DJ277" s="37"/>
      <c r="DK277" s="37"/>
      <c r="DL277" s="37" t="s">
        <v>1124</v>
      </c>
      <c r="DM277" s="37"/>
      <c r="DN277" s="37"/>
      <c r="DO277" s="37"/>
      <c r="DP277" s="37"/>
      <c r="DQ277" s="37"/>
      <c r="DR277" s="37"/>
      <c r="DS277" s="37"/>
      <c r="DT277" s="37"/>
      <c r="DU277" s="37"/>
      <c r="DV277" s="37"/>
      <c r="DW277" s="37"/>
      <c r="DX277" s="37" t="s">
        <v>1124</v>
      </c>
      <c r="DY277" s="37"/>
      <c r="DZ277" s="37"/>
      <c r="EA277" s="37"/>
      <c r="EB277" s="37"/>
      <c r="EC277" s="37"/>
      <c r="ED277" s="37"/>
      <c r="EE277" s="37"/>
      <c r="EF277" s="37"/>
      <c r="EG277" s="37"/>
      <c r="EH277" s="37"/>
      <c r="EI277" s="37"/>
      <c r="EJ277" s="37" t="s">
        <v>1124</v>
      </c>
      <c r="EK277" s="161"/>
      <c r="EL277" s="294"/>
    </row>
    <row r="278" spans="1:142" ht="15" customHeight="1" x14ac:dyDescent="0.35">
      <c r="A278" s="34"/>
      <c r="B278" s="313">
        <v>22030</v>
      </c>
      <c r="C278" s="8" t="s">
        <v>158</v>
      </c>
      <c r="D278" s="18">
        <v>3</v>
      </c>
      <c r="E278" s="155">
        <v>107175</v>
      </c>
      <c r="F278" s="36">
        <v>158258</v>
      </c>
      <c r="G278" s="37">
        <v>0</v>
      </c>
      <c r="H278" s="37">
        <v>150081</v>
      </c>
      <c r="I278" s="37">
        <v>68587.5</v>
      </c>
      <c r="J278" s="37">
        <v>68587.5</v>
      </c>
      <c r="K278" s="37">
        <v>16076.25</v>
      </c>
      <c r="L278" s="37">
        <v>23738.7</v>
      </c>
      <c r="M278" s="37">
        <v>191838.75</v>
      </c>
      <c r="N278" s="37">
        <v>400665.2</v>
      </c>
      <c r="O278" s="37">
        <v>0</v>
      </c>
      <c r="P278" s="37">
        <v>0</v>
      </c>
      <c r="Q278" s="37">
        <v>123000</v>
      </c>
      <c r="R278" s="37">
        <v>123000</v>
      </c>
      <c r="S278" s="37">
        <v>0</v>
      </c>
      <c r="T278" s="37">
        <v>0</v>
      </c>
      <c r="U278" s="37">
        <v>0</v>
      </c>
      <c r="V278" s="37">
        <v>0</v>
      </c>
      <c r="W278" s="37">
        <v>68838.75</v>
      </c>
      <c r="X278" s="37">
        <v>277665.2</v>
      </c>
      <c r="Y278" s="37">
        <v>0</v>
      </c>
      <c r="Z278" s="37">
        <v>0</v>
      </c>
      <c r="AA278" s="37">
        <v>191838.75</v>
      </c>
      <c r="AB278" s="37">
        <v>400665.2</v>
      </c>
      <c r="AC278" s="37">
        <v>0</v>
      </c>
      <c r="AD278" s="37">
        <v>0</v>
      </c>
      <c r="AE278" s="37">
        <v>0</v>
      </c>
      <c r="AF278" s="168">
        <v>0.02</v>
      </c>
      <c r="AG278" s="37">
        <v>19528573.829999998</v>
      </c>
      <c r="AH278" s="37">
        <v>127387.62</v>
      </c>
      <c r="AI278" s="37">
        <v>137894.43</v>
      </c>
      <c r="AJ278" s="37">
        <v>140652.32</v>
      </c>
      <c r="AK278" s="37">
        <v>135184.76</v>
      </c>
      <c r="AL278" s="37">
        <v>137888.45000000001</v>
      </c>
      <c r="AM278" s="37">
        <v>140646.22</v>
      </c>
      <c r="AN278" s="37">
        <v>143459.15</v>
      </c>
      <c r="AO278" s="37">
        <v>146328.32999999999</v>
      </c>
      <c r="AP278" s="37">
        <v>149254.9</v>
      </c>
      <c r="AQ278" s="37">
        <v>152239.99</v>
      </c>
      <c r="AR278" s="37">
        <v>1410936.17</v>
      </c>
      <c r="AS278" s="37">
        <v>832321.04</v>
      </c>
      <c r="AT278" s="37">
        <v>0</v>
      </c>
      <c r="AU278" s="37">
        <v>0</v>
      </c>
      <c r="AV278" s="37">
        <v>0</v>
      </c>
      <c r="AW278" s="37">
        <v>0</v>
      </c>
      <c r="AX278" s="37">
        <v>0</v>
      </c>
      <c r="AY278" s="37">
        <v>0</v>
      </c>
      <c r="AZ278" s="37">
        <v>0</v>
      </c>
      <c r="BA278" s="37">
        <v>0</v>
      </c>
      <c r="BB278" s="37">
        <v>0</v>
      </c>
      <c r="BC278" s="37">
        <v>0</v>
      </c>
      <c r="BD278" s="37">
        <v>0</v>
      </c>
      <c r="BE278" s="37">
        <v>58848</v>
      </c>
      <c r="BF278" s="37">
        <v>148180</v>
      </c>
      <c r="BG278" s="37">
        <v>0</v>
      </c>
      <c r="BH278" s="37">
        <v>0</v>
      </c>
      <c r="BI278" s="37">
        <v>0</v>
      </c>
      <c r="BJ278" s="37">
        <v>0</v>
      </c>
      <c r="BK278" s="37">
        <v>0</v>
      </c>
      <c r="BL278" s="37">
        <v>0</v>
      </c>
      <c r="BM278" s="37">
        <v>0</v>
      </c>
      <c r="BN278" s="37">
        <v>0</v>
      </c>
      <c r="BO278" s="37">
        <v>0</v>
      </c>
      <c r="BP278" s="37">
        <v>148180</v>
      </c>
      <c r="BQ278" s="37">
        <v>47000</v>
      </c>
      <c r="BR278" s="37">
        <v>0</v>
      </c>
      <c r="BS278" s="37">
        <v>0</v>
      </c>
      <c r="BT278" s="37">
        <v>0</v>
      </c>
      <c r="BU278" s="37">
        <v>0</v>
      </c>
      <c r="BV278" s="37">
        <v>0</v>
      </c>
      <c r="BW278" s="37">
        <v>0</v>
      </c>
      <c r="BX278" s="37">
        <v>0</v>
      </c>
      <c r="BY278" s="37">
        <v>0</v>
      </c>
      <c r="BZ278" s="37">
        <v>0</v>
      </c>
      <c r="CA278" s="37">
        <v>0</v>
      </c>
      <c r="CB278" s="37">
        <v>0</v>
      </c>
      <c r="CC278" s="37">
        <v>0</v>
      </c>
      <c r="CD278" s="37">
        <v>0</v>
      </c>
      <c r="CE278" s="37">
        <v>0</v>
      </c>
      <c r="CF278" s="37">
        <v>0</v>
      </c>
      <c r="CG278" s="37">
        <v>0</v>
      </c>
      <c r="CH278" s="37">
        <v>0</v>
      </c>
      <c r="CI278" s="37">
        <v>0</v>
      </c>
      <c r="CJ278" s="37">
        <v>0</v>
      </c>
      <c r="CK278" s="37">
        <v>0</v>
      </c>
      <c r="CL278" s="37">
        <v>0</v>
      </c>
      <c r="CM278" s="37">
        <v>0</v>
      </c>
      <c r="CN278" s="37">
        <v>0</v>
      </c>
      <c r="CO278" s="37">
        <v>0</v>
      </c>
      <c r="CP278" s="37">
        <v>0</v>
      </c>
      <c r="CQ278" s="37">
        <v>0</v>
      </c>
      <c r="CR278" s="37">
        <v>0</v>
      </c>
      <c r="CS278" s="37">
        <v>0</v>
      </c>
      <c r="CT278" s="37">
        <v>0</v>
      </c>
      <c r="CU278" s="37">
        <v>0</v>
      </c>
      <c r="CV278" s="37">
        <v>0</v>
      </c>
      <c r="CW278" s="37">
        <v>0</v>
      </c>
      <c r="CX278" s="37">
        <v>0</v>
      </c>
      <c r="CY278" s="37">
        <v>0</v>
      </c>
      <c r="CZ278" s="37">
        <v>0</v>
      </c>
      <c r="DA278" s="37">
        <v>0</v>
      </c>
      <c r="DB278" s="37">
        <v>0</v>
      </c>
      <c r="DC278" s="37">
        <v>0</v>
      </c>
      <c r="DD278" s="37">
        <v>0</v>
      </c>
      <c r="DE278" s="37">
        <v>0</v>
      </c>
      <c r="DF278" s="37">
        <v>0</v>
      </c>
      <c r="DG278" s="37">
        <v>0</v>
      </c>
      <c r="DH278" s="37">
        <v>0</v>
      </c>
      <c r="DI278" s="37">
        <v>0</v>
      </c>
      <c r="DJ278" s="37">
        <v>0</v>
      </c>
      <c r="DK278" s="37">
        <v>0</v>
      </c>
      <c r="DL278" s="37">
        <v>0</v>
      </c>
      <c r="DM278" s="37">
        <v>0</v>
      </c>
      <c r="DN278" s="37">
        <v>0</v>
      </c>
      <c r="DO278" s="37">
        <v>0</v>
      </c>
      <c r="DP278" s="37">
        <v>0</v>
      </c>
      <c r="DQ278" s="37">
        <v>0</v>
      </c>
      <c r="DR278" s="37">
        <v>0</v>
      </c>
      <c r="DS278" s="37">
        <v>0</v>
      </c>
      <c r="DT278" s="37">
        <v>0</v>
      </c>
      <c r="DU278" s="37">
        <v>0</v>
      </c>
      <c r="DV278" s="37">
        <v>0</v>
      </c>
      <c r="DW278" s="37">
        <v>0</v>
      </c>
      <c r="DX278" s="37">
        <v>0</v>
      </c>
      <c r="DY278" s="37">
        <v>0</v>
      </c>
      <c r="DZ278" s="37">
        <v>0</v>
      </c>
      <c r="EA278" s="37">
        <v>0</v>
      </c>
      <c r="EB278" s="37">
        <v>0</v>
      </c>
      <c r="EC278" s="37">
        <v>0</v>
      </c>
      <c r="ED278" s="37">
        <v>0</v>
      </c>
      <c r="EE278" s="37">
        <v>0</v>
      </c>
      <c r="EF278" s="37">
        <v>0</v>
      </c>
      <c r="EG278" s="37">
        <v>0</v>
      </c>
      <c r="EH278" s="37">
        <v>0</v>
      </c>
      <c r="EI278" s="37">
        <v>0</v>
      </c>
      <c r="EJ278" s="37">
        <v>0</v>
      </c>
      <c r="EK278" s="161" t="s">
        <v>1975</v>
      </c>
      <c r="EL278" s="294" t="s">
        <v>1124</v>
      </c>
    </row>
    <row r="279" spans="1:142" ht="15" customHeight="1" x14ac:dyDescent="0.35">
      <c r="A279" s="34"/>
      <c r="B279" s="313">
        <v>13060</v>
      </c>
      <c r="C279" s="8" t="s">
        <v>51</v>
      </c>
      <c r="D279" s="18">
        <v>1</v>
      </c>
      <c r="E279" s="155">
        <v>11845</v>
      </c>
      <c r="F279" s="36">
        <v>46795</v>
      </c>
      <c r="G279" s="37">
        <v>0</v>
      </c>
      <c r="H279" s="37">
        <v>0</v>
      </c>
      <c r="I279" s="37">
        <v>0</v>
      </c>
      <c r="J279" s="37">
        <v>0</v>
      </c>
      <c r="K279" s="37">
        <v>1777</v>
      </c>
      <c r="L279" s="37">
        <v>7019</v>
      </c>
      <c r="M279" s="37">
        <v>13622</v>
      </c>
      <c r="N279" s="37">
        <v>53814</v>
      </c>
      <c r="O279" s="37">
        <v>0</v>
      </c>
      <c r="P279" s="37">
        <v>0</v>
      </c>
      <c r="Q279" s="37">
        <v>24043</v>
      </c>
      <c r="R279" s="37">
        <v>36216</v>
      </c>
      <c r="S279" s="37">
        <v>0</v>
      </c>
      <c r="T279" s="37">
        <v>0</v>
      </c>
      <c r="U279" s="37">
        <v>0</v>
      </c>
      <c r="V279" s="37">
        <v>0</v>
      </c>
      <c r="W279" s="37">
        <v>3588.5</v>
      </c>
      <c r="X279" s="37">
        <v>3588.5</v>
      </c>
      <c r="Y279" s="37">
        <v>0</v>
      </c>
      <c r="Z279" s="37">
        <v>0</v>
      </c>
      <c r="AA279" s="37">
        <v>27631.5</v>
      </c>
      <c r="AB279" s="37">
        <v>39804.5</v>
      </c>
      <c r="AC279" s="37">
        <v>0</v>
      </c>
      <c r="AD279" s="37">
        <v>0</v>
      </c>
      <c r="AE279" s="37">
        <v>0</v>
      </c>
      <c r="AF279" s="168">
        <v>0.02</v>
      </c>
      <c r="AG279" s="37">
        <v>8286637.8099999996</v>
      </c>
      <c r="AH279" s="37">
        <v>77336.789999999994</v>
      </c>
      <c r="AI279" s="37">
        <v>78883.520000000004</v>
      </c>
      <c r="AJ279" s="37">
        <v>80461.19</v>
      </c>
      <c r="AK279" s="37">
        <v>82070.42</v>
      </c>
      <c r="AL279" s="37">
        <v>83711.83</v>
      </c>
      <c r="AM279" s="37">
        <v>85386.06</v>
      </c>
      <c r="AN279" s="37">
        <v>87093.78</v>
      </c>
      <c r="AO279" s="37">
        <v>88835.66</v>
      </c>
      <c r="AP279" s="37">
        <v>90612.37</v>
      </c>
      <c r="AQ279" s="37">
        <v>92424.62</v>
      </c>
      <c r="AR279" s="37">
        <v>846816.24000000022</v>
      </c>
      <c r="AS279" s="37">
        <v>0</v>
      </c>
      <c r="AT279" s="37">
        <v>0</v>
      </c>
      <c r="AU279" s="37">
        <v>0</v>
      </c>
      <c r="AV279" s="37">
        <v>0</v>
      </c>
      <c r="AW279" s="37">
        <v>0</v>
      </c>
      <c r="AX279" s="37">
        <v>0</v>
      </c>
      <c r="AY279" s="37">
        <v>0</v>
      </c>
      <c r="AZ279" s="37">
        <v>0</v>
      </c>
      <c r="BA279" s="37">
        <v>0</v>
      </c>
      <c r="BB279" s="37">
        <v>0</v>
      </c>
      <c r="BC279" s="37">
        <v>0</v>
      </c>
      <c r="BD279" s="37">
        <v>0</v>
      </c>
      <c r="BE279" s="37">
        <v>0</v>
      </c>
      <c r="BF279" s="37">
        <v>0</v>
      </c>
      <c r="BG279" s="37">
        <v>0</v>
      </c>
      <c r="BH279" s="37">
        <v>0</v>
      </c>
      <c r="BI279" s="37">
        <v>0</v>
      </c>
      <c r="BJ279" s="37">
        <v>0</v>
      </c>
      <c r="BK279" s="37">
        <v>0</v>
      </c>
      <c r="BL279" s="37">
        <v>0</v>
      </c>
      <c r="BM279" s="37">
        <v>0</v>
      </c>
      <c r="BN279" s="37">
        <v>0</v>
      </c>
      <c r="BO279" s="37">
        <v>0</v>
      </c>
      <c r="BP279" s="37">
        <v>0</v>
      </c>
      <c r="BQ279" s="37">
        <v>0</v>
      </c>
      <c r="BR279" s="37">
        <v>0</v>
      </c>
      <c r="BS279" s="37">
        <v>0</v>
      </c>
      <c r="BT279" s="37">
        <v>0</v>
      </c>
      <c r="BU279" s="37">
        <v>0</v>
      </c>
      <c r="BV279" s="37">
        <v>0</v>
      </c>
      <c r="BW279" s="37">
        <v>0</v>
      </c>
      <c r="BX279" s="37">
        <v>0</v>
      </c>
      <c r="BY279" s="37">
        <v>0</v>
      </c>
      <c r="BZ279" s="37">
        <v>0</v>
      </c>
      <c r="CA279" s="37">
        <v>0</v>
      </c>
      <c r="CB279" s="37">
        <v>0</v>
      </c>
      <c r="CC279" s="37">
        <v>0</v>
      </c>
      <c r="CD279" s="37">
        <v>0</v>
      </c>
      <c r="CE279" s="37">
        <v>0</v>
      </c>
      <c r="CF279" s="37">
        <v>0</v>
      </c>
      <c r="CG279" s="37">
        <v>0</v>
      </c>
      <c r="CH279" s="37">
        <v>0</v>
      </c>
      <c r="CI279" s="37">
        <v>0</v>
      </c>
      <c r="CJ279" s="37">
        <v>0</v>
      </c>
      <c r="CK279" s="37">
        <v>0</v>
      </c>
      <c r="CL279" s="37">
        <v>0</v>
      </c>
      <c r="CM279" s="37">
        <v>0</v>
      </c>
      <c r="CN279" s="37">
        <v>0</v>
      </c>
      <c r="CO279" s="37">
        <v>0</v>
      </c>
      <c r="CP279" s="37">
        <v>0</v>
      </c>
      <c r="CQ279" s="37">
        <v>0</v>
      </c>
      <c r="CR279" s="37">
        <v>0</v>
      </c>
      <c r="CS279" s="37">
        <v>0</v>
      </c>
      <c r="CT279" s="37">
        <v>0</v>
      </c>
      <c r="CU279" s="37">
        <v>0</v>
      </c>
      <c r="CV279" s="37">
        <v>0</v>
      </c>
      <c r="CW279" s="37">
        <v>0</v>
      </c>
      <c r="CX279" s="37">
        <v>0</v>
      </c>
      <c r="CY279" s="37">
        <v>0</v>
      </c>
      <c r="CZ279" s="37">
        <v>0</v>
      </c>
      <c r="DA279" s="37">
        <v>0</v>
      </c>
      <c r="DB279" s="37">
        <v>0</v>
      </c>
      <c r="DC279" s="37">
        <v>0</v>
      </c>
      <c r="DD279" s="37">
        <v>0</v>
      </c>
      <c r="DE279" s="37">
        <v>0</v>
      </c>
      <c r="DF279" s="37">
        <v>0</v>
      </c>
      <c r="DG279" s="37">
        <v>0</v>
      </c>
      <c r="DH279" s="37">
        <v>0</v>
      </c>
      <c r="DI279" s="37">
        <v>0</v>
      </c>
      <c r="DJ279" s="37">
        <v>0</v>
      </c>
      <c r="DK279" s="37">
        <v>0</v>
      </c>
      <c r="DL279" s="37">
        <v>0</v>
      </c>
      <c r="DM279" s="37">
        <v>0</v>
      </c>
      <c r="DN279" s="37">
        <v>0</v>
      </c>
      <c r="DO279" s="37">
        <v>0</v>
      </c>
      <c r="DP279" s="37">
        <v>0</v>
      </c>
      <c r="DQ279" s="37">
        <v>0</v>
      </c>
      <c r="DR279" s="37">
        <v>0</v>
      </c>
      <c r="DS279" s="37">
        <v>0</v>
      </c>
      <c r="DT279" s="37">
        <v>0</v>
      </c>
      <c r="DU279" s="37">
        <v>0</v>
      </c>
      <c r="DV279" s="37">
        <v>0</v>
      </c>
      <c r="DW279" s="37">
        <v>0</v>
      </c>
      <c r="DX279" s="37">
        <v>0</v>
      </c>
      <c r="DY279" s="37">
        <v>0</v>
      </c>
      <c r="DZ279" s="37">
        <v>0</v>
      </c>
      <c r="EA279" s="37">
        <v>0</v>
      </c>
      <c r="EB279" s="37">
        <v>0</v>
      </c>
      <c r="EC279" s="37">
        <v>0</v>
      </c>
      <c r="ED279" s="37">
        <v>0</v>
      </c>
      <c r="EE279" s="37">
        <v>0</v>
      </c>
      <c r="EF279" s="37">
        <v>0</v>
      </c>
      <c r="EG279" s="37">
        <v>0</v>
      </c>
      <c r="EH279" s="37">
        <v>0</v>
      </c>
      <c r="EI279" s="37">
        <v>0</v>
      </c>
      <c r="EJ279" s="37">
        <v>0</v>
      </c>
      <c r="EK279" s="161" t="s">
        <v>1978</v>
      </c>
      <c r="EL279" s="294" t="s">
        <v>1124</v>
      </c>
    </row>
    <row r="280" spans="1:142" ht="15" customHeight="1" x14ac:dyDescent="0.35">
      <c r="A280" s="34"/>
      <c r="B280" s="313">
        <v>79078</v>
      </c>
      <c r="C280" s="8" t="s">
        <v>797</v>
      </c>
      <c r="D280" s="18">
        <v>15</v>
      </c>
      <c r="E280" s="155">
        <v>219055</v>
      </c>
      <c r="F280" s="36">
        <v>110426</v>
      </c>
      <c r="G280" s="37">
        <v>43648</v>
      </c>
      <c r="H280" s="37">
        <v>35468</v>
      </c>
      <c r="I280" s="37">
        <v>116774</v>
      </c>
      <c r="J280" s="37">
        <v>32678</v>
      </c>
      <c r="K280" s="37">
        <v>32858.25</v>
      </c>
      <c r="L280" s="37">
        <v>16563.899999999998</v>
      </c>
      <c r="M280" s="37">
        <v>412335.25</v>
      </c>
      <c r="N280" s="37">
        <v>195135.9</v>
      </c>
      <c r="O280" s="37">
        <v>0</v>
      </c>
      <c r="P280" s="37">
        <v>0</v>
      </c>
      <c r="Q280" s="37">
        <v>0</v>
      </c>
      <c r="R280" s="37">
        <v>0</v>
      </c>
      <c r="S280" s="37">
        <v>59344</v>
      </c>
      <c r="T280" s="37">
        <v>8831</v>
      </c>
      <c r="U280" s="37">
        <v>18089</v>
      </c>
      <c r="V280" s="37">
        <v>29995</v>
      </c>
      <c r="W280" s="37">
        <v>505203</v>
      </c>
      <c r="X280" s="37">
        <v>156310</v>
      </c>
      <c r="Y280" s="37">
        <v>0</v>
      </c>
      <c r="Z280" s="37">
        <v>0</v>
      </c>
      <c r="AA280" s="37">
        <v>582636</v>
      </c>
      <c r="AB280" s="37">
        <v>195136</v>
      </c>
      <c r="AC280" s="37">
        <v>170301</v>
      </c>
      <c r="AD280" s="37">
        <v>0</v>
      </c>
      <c r="AE280" s="37">
        <v>0</v>
      </c>
      <c r="AF280" s="168">
        <v>0.02</v>
      </c>
      <c r="AG280" s="37">
        <v>21114172.640000001</v>
      </c>
      <c r="AH280" s="37">
        <v>218991.88</v>
      </c>
      <c r="AI280" s="37">
        <v>180889.58</v>
      </c>
      <c r="AJ280" s="37">
        <v>270394.48</v>
      </c>
      <c r="AK280" s="37">
        <v>187475.9</v>
      </c>
      <c r="AL280" s="37">
        <v>191225.42</v>
      </c>
      <c r="AM280" s="37">
        <v>195049.93</v>
      </c>
      <c r="AN280" s="37">
        <v>204809.22</v>
      </c>
      <c r="AO280" s="37">
        <v>208905.41</v>
      </c>
      <c r="AP280" s="37">
        <v>213083.51999999999</v>
      </c>
      <c r="AQ280" s="37">
        <v>198815.46</v>
      </c>
      <c r="AR280" s="37">
        <v>2069640.7999999998</v>
      </c>
      <c r="AS280" s="37">
        <v>753530.1</v>
      </c>
      <c r="AT280" s="37">
        <v>172380</v>
      </c>
      <c r="AU280" s="37">
        <v>226169.96</v>
      </c>
      <c r="AV280" s="37">
        <v>68328.53</v>
      </c>
      <c r="AW280" s="37">
        <v>69695.100000000006</v>
      </c>
      <c r="AX280" s="37">
        <v>71089</v>
      </c>
      <c r="AY280" s="37">
        <v>72510.78</v>
      </c>
      <c r="AZ280" s="37">
        <v>73961</v>
      </c>
      <c r="BA280" s="37">
        <v>75440.22</v>
      </c>
      <c r="BB280" s="37">
        <v>76949.02</v>
      </c>
      <c r="BC280" s="37">
        <v>0</v>
      </c>
      <c r="BD280" s="37">
        <v>906523.61</v>
      </c>
      <c r="BE280" s="37">
        <v>0</v>
      </c>
      <c r="BF280" s="37">
        <v>1332109</v>
      </c>
      <c r="BG280" s="37">
        <v>0</v>
      </c>
      <c r="BH280" s="37">
        <v>0</v>
      </c>
      <c r="BI280" s="37">
        <v>0</v>
      </c>
      <c r="BJ280" s="37">
        <v>0</v>
      </c>
      <c r="BK280" s="37">
        <v>0</v>
      </c>
      <c r="BL280" s="37">
        <v>0</v>
      </c>
      <c r="BM280" s="37">
        <v>0</v>
      </c>
      <c r="BN280" s="37">
        <v>0</v>
      </c>
      <c r="BO280" s="37">
        <v>0</v>
      </c>
      <c r="BP280" s="37">
        <v>1332109</v>
      </c>
      <c r="BQ280" s="37">
        <v>0</v>
      </c>
      <c r="BR280" s="37">
        <v>0</v>
      </c>
      <c r="BS280" s="37">
        <v>0</v>
      </c>
      <c r="BT280" s="37">
        <v>0</v>
      </c>
      <c r="BU280" s="37">
        <v>0</v>
      </c>
      <c r="BV280" s="37">
        <v>0</v>
      </c>
      <c r="BW280" s="37">
        <v>0</v>
      </c>
      <c r="BX280" s="37">
        <v>0</v>
      </c>
      <c r="BY280" s="37">
        <v>0</v>
      </c>
      <c r="BZ280" s="37">
        <v>0</v>
      </c>
      <c r="CA280" s="37">
        <v>0</v>
      </c>
      <c r="CB280" s="37">
        <v>0</v>
      </c>
      <c r="CC280" s="37">
        <v>0</v>
      </c>
      <c r="CD280" s="37">
        <v>0</v>
      </c>
      <c r="CE280" s="37">
        <v>0</v>
      </c>
      <c r="CF280" s="37">
        <v>0</v>
      </c>
      <c r="CG280" s="37">
        <v>0</v>
      </c>
      <c r="CH280" s="37">
        <v>0</v>
      </c>
      <c r="CI280" s="37">
        <v>0</v>
      </c>
      <c r="CJ280" s="37">
        <v>0</v>
      </c>
      <c r="CK280" s="37">
        <v>0</v>
      </c>
      <c r="CL280" s="37">
        <v>0</v>
      </c>
      <c r="CM280" s="37">
        <v>0</v>
      </c>
      <c r="CN280" s="37">
        <v>0</v>
      </c>
      <c r="CO280" s="37">
        <v>0</v>
      </c>
      <c r="CP280" s="37">
        <v>0</v>
      </c>
      <c r="CQ280" s="37">
        <v>0</v>
      </c>
      <c r="CR280" s="37">
        <v>0</v>
      </c>
      <c r="CS280" s="37">
        <v>0</v>
      </c>
      <c r="CT280" s="37">
        <v>0</v>
      </c>
      <c r="CU280" s="37">
        <v>0</v>
      </c>
      <c r="CV280" s="37">
        <v>0</v>
      </c>
      <c r="CW280" s="37">
        <v>0</v>
      </c>
      <c r="CX280" s="37">
        <v>0</v>
      </c>
      <c r="CY280" s="37">
        <v>0</v>
      </c>
      <c r="CZ280" s="37">
        <v>0</v>
      </c>
      <c r="DA280" s="37">
        <v>0</v>
      </c>
      <c r="DB280" s="37">
        <v>0</v>
      </c>
      <c r="DC280" s="37">
        <v>0</v>
      </c>
      <c r="DD280" s="37">
        <v>0</v>
      </c>
      <c r="DE280" s="37">
        <v>0</v>
      </c>
      <c r="DF280" s="37">
        <v>0</v>
      </c>
      <c r="DG280" s="37">
        <v>0</v>
      </c>
      <c r="DH280" s="37">
        <v>0</v>
      </c>
      <c r="DI280" s="37">
        <v>0</v>
      </c>
      <c r="DJ280" s="37">
        <v>0</v>
      </c>
      <c r="DK280" s="37">
        <v>0</v>
      </c>
      <c r="DL280" s="37">
        <v>0</v>
      </c>
      <c r="DM280" s="37">
        <v>0</v>
      </c>
      <c r="DN280" s="37">
        <v>16000</v>
      </c>
      <c r="DO280" s="37">
        <v>0</v>
      </c>
      <c r="DP280" s="37">
        <v>0</v>
      </c>
      <c r="DQ280" s="37">
        <v>0</v>
      </c>
      <c r="DR280" s="37">
        <v>0</v>
      </c>
      <c r="DS280" s="37">
        <v>0</v>
      </c>
      <c r="DT280" s="37">
        <v>0</v>
      </c>
      <c r="DU280" s="37">
        <v>0</v>
      </c>
      <c r="DV280" s="37">
        <v>0</v>
      </c>
      <c r="DW280" s="37">
        <v>0</v>
      </c>
      <c r="DX280" s="37">
        <v>16000</v>
      </c>
      <c r="DY280" s="37">
        <v>0</v>
      </c>
      <c r="DZ280" s="37">
        <v>0</v>
      </c>
      <c r="EA280" s="37">
        <v>0</v>
      </c>
      <c r="EB280" s="37">
        <v>0</v>
      </c>
      <c r="EC280" s="37">
        <v>0</v>
      </c>
      <c r="ED280" s="37">
        <v>0</v>
      </c>
      <c r="EE280" s="37">
        <v>0</v>
      </c>
      <c r="EF280" s="37">
        <v>0</v>
      </c>
      <c r="EG280" s="37">
        <v>0</v>
      </c>
      <c r="EH280" s="37">
        <v>0</v>
      </c>
      <c r="EI280" s="37">
        <v>0</v>
      </c>
      <c r="EJ280" s="37">
        <v>0</v>
      </c>
      <c r="EK280" s="161" t="s">
        <v>1985</v>
      </c>
      <c r="EL280" s="294" t="s">
        <v>1124</v>
      </c>
    </row>
    <row r="281" spans="1:142" ht="15" customHeight="1" x14ac:dyDescent="0.35">
      <c r="A281" s="34"/>
      <c r="B281" s="313">
        <v>80130</v>
      </c>
      <c r="C281" s="8" t="s">
        <v>823</v>
      </c>
      <c r="D281" s="18">
        <v>7</v>
      </c>
      <c r="E281" s="155"/>
      <c r="F281" s="36"/>
      <c r="G281" s="37"/>
      <c r="H281" s="37"/>
      <c r="I281" s="37"/>
      <c r="J281" s="37"/>
      <c r="K281" s="37"/>
      <c r="L281" s="37"/>
      <c r="M281" s="37" t="s">
        <v>1124</v>
      </c>
      <c r="N281" s="37" t="s">
        <v>1124</v>
      </c>
      <c r="O281" s="37"/>
      <c r="P281" s="37"/>
      <c r="Q281" s="37"/>
      <c r="R281" s="37"/>
      <c r="S281" s="37"/>
      <c r="T281" s="37"/>
      <c r="U281" s="37"/>
      <c r="V281" s="37"/>
      <c r="W281" s="37"/>
      <c r="X281" s="37"/>
      <c r="Y281" s="37"/>
      <c r="Z281" s="37"/>
      <c r="AA281" s="37" t="s">
        <v>1124</v>
      </c>
      <c r="AB281" s="37" t="s">
        <v>1124</v>
      </c>
      <c r="AC281" s="37"/>
      <c r="AD281" s="37"/>
      <c r="AE281" s="37"/>
      <c r="AF281" s="168"/>
      <c r="AG281" s="37"/>
      <c r="AH281" s="37"/>
      <c r="AI281" s="37"/>
      <c r="AJ281" s="37"/>
      <c r="AK281" s="37"/>
      <c r="AL281" s="37"/>
      <c r="AM281" s="37"/>
      <c r="AN281" s="37"/>
      <c r="AO281" s="37"/>
      <c r="AP281" s="37"/>
      <c r="AQ281" s="37"/>
      <c r="AR281" s="37" t="s">
        <v>1124</v>
      </c>
      <c r="AS281" s="37"/>
      <c r="AT281" s="37"/>
      <c r="AU281" s="37"/>
      <c r="AV281" s="37"/>
      <c r="AW281" s="37"/>
      <c r="AX281" s="37"/>
      <c r="AY281" s="37"/>
      <c r="AZ281" s="37"/>
      <c r="BA281" s="37"/>
      <c r="BB281" s="37"/>
      <c r="BC281" s="37"/>
      <c r="BD281" s="37" t="s">
        <v>1124</v>
      </c>
      <c r="BE281" s="37"/>
      <c r="BF281" s="37"/>
      <c r="BG281" s="37"/>
      <c r="BH281" s="37"/>
      <c r="BI281" s="37"/>
      <c r="BJ281" s="37"/>
      <c r="BK281" s="37"/>
      <c r="BL281" s="37"/>
      <c r="BM281" s="37"/>
      <c r="BN281" s="37"/>
      <c r="BO281" s="37"/>
      <c r="BP281" s="37">
        <v>0</v>
      </c>
      <c r="BQ281" s="37"/>
      <c r="BR281" s="37"/>
      <c r="BS281" s="37"/>
      <c r="BT281" s="37"/>
      <c r="BU281" s="37"/>
      <c r="BV281" s="37"/>
      <c r="BW281" s="37"/>
      <c r="BX281" s="37"/>
      <c r="BY281" s="37"/>
      <c r="BZ281" s="37"/>
      <c r="CA281" s="37"/>
      <c r="CB281" s="37" t="s">
        <v>1124</v>
      </c>
      <c r="CC281" s="37"/>
      <c r="CD281" s="37"/>
      <c r="CE281" s="37"/>
      <c r="CF281" s="37"/>
      <c r="CG281" s="37"/>
      <c r="CH281" s="37"/>
      <c r="CI281" s="37"/>
      <c r="CJ281" s="37"/>
      <c r="CK281" s="37"/>
      <c r="CL281" s="37"/>
      <c r="CM281" s="37"/>
      <c r="CN281" s="37" t="s">
        <v>1124</v>
      </c>
      <c r="CO281" s="37"/>
      <c r="CP281" s="37"/>
      <c r="CQ281" s="37"/>
      <c r="CR281" s="37"/>
      <c r="CS281" s="37"/>
      <c r="CT281" s="37"/>
      <c r="CU281" s="37"/>
      <c r="CV281" s="37"/>
      <c r="CW281" s="37"/>
      <c r="CX281" s="37"/>
      <c r="CY281" s="37"/>
      <c r="CZ281" s="37" t="s">
        <v>1124</v>
      </c>
      <c r="DA281" s="37"/>
      <c r="DB281" s="37"/>
      <c r="DC281" s="37"/>
      <c r="DD281" s="37"/>
      <c r="DE281" s="37"/>
      <c r="DF281" s="37"/>
      <c r="DG281" s="37"/>
      <c r="DH281" s="37"/>
      <c r="DI281" s="37"/>
      <c r="DJ281" s="37"/>
      <c r="DK281" s="37"/>
      <c r="DL281" s="37" t="s">
        <v>1124</v>
      </c>
      <c r="DM281" s="37"/>
      <c r="DN281" s="37"/>
      <c r="DO281" s="37"/>
      <c r="DP281" s="37"/>
      <c r="DQ281" s="37"/>
      <c r="DR281" s="37"/>
      <c r="DS281" s="37"/>
      <c r="DT281" s="37"/>
      <c r="DU281" s="37"/>
      <c r="DV281" s="37"/>
      <c r="DW281" s="37"/>
      <c r="DX281" s="37" t="s">
        <v>1124</v>
      </c>
      <c r="DY281" s="37"/>
      <c r="DZ281" s="37"/>
      <c r="EA281" s="37"/>
      <c r="EB281" s="37"/>
      <c r="EC281" s="37"/>
      <c r="ED281" s="37"/>
      <c r="EE281" s="37"/>
      <c r="EF281" s="37"/>
      <c r="EG281" s="37"/>
      <c r="EH281" s="37"/>
      <c r="EI281" s="37"/>
      <c r="EJ281" s="37" t="s">
        <v>1124</v>
      </c>
      <c r="EK281" s="161"/>
      <c r="EL281" s="294"/>
    </row>
    <row r="282" spans="1:142" ht="15" customHeight="1" x14ac:dyDescent="0.35">
      <c r="A282" s="34"/>
      <c r="B282" s="313">
        <v>77055</v>
      </c>
      <c r="C282" s="8" t="s">
        <v>763</v>
      </c>
      <c r="D282" s="18">
        <v>15</v>
      </c>
      <c r="E282" s="155"/>
      <c r="F282" s="36"/>
      <c r="G282" s="37"/>
      <c r="H282" s="37"/>
      <c r="I282" s="37"/>
      <c r="J282" s="37"/>
      <c r="K282" s="37"/>
      <c r="L282" s="37"/>
      <c r="M282" s="37" t="s">
        <v>1124</v>
      </c>
      <c r="N282" s="37" t="s">
        <v>1124</v>
      </c>
      <c r="O282" s="37"/>
      <c r="P282" s="37"/>
      <c r="Q282" s="37"/>
      <c r="R282" s="37"/>
      <c r="S282" s="37"/>
      <c r="T282" s="37"/>
      <c r="U282" s="37"/>
      <c r="V282" s="37"/>
      <c r="W282" s="37"/>
      <c r="X282" s="37"/>
      <c r="Y282" s="37"/>
      <c r="Z282" s="37"/>
      <c r="AA282" s="37" t="s">
        <v>1124</v>
      </c>
      <c r="AB282" s="37" t="s">
        <v>1124</v>
      </c>
      <c r="AC282" s="37"/>
      <c r="AD282" s="37"/>
      <c r="AE282" s="37"/>
      <c r="AF282" s="168"/>
      <c r="AG282" s="37"/>
      <c r="AH282" s="37"/>
      <c r="AI282" s="37"/>
      <c r="AJ282" s="37"/>
      <c r="AK282" s="37"/>
      <c r="AL282" s="37"/>
      <c r="AM282" s="37"/>
      <c r="AN282" s="37"/>
      <c r="AO282" s="37"/>
      <c r="AP282" s="37"/>
      <c r="AQ282" s="37"/>
      <c r="AR282" s="37" t="s">
        <v>1124</v>
      </c>
      <c r="AS282" s="37"/>
      <c r="AT282" s="37"/>
      <c r="AU282" s="37"/>
      <c r="AV282" s="37"/>
      <c r="AW282" s="37"/>
      <c r="AX282" s="37"/>
      <c r="AY282" s="37"/>
      <c r="AZ282" s="37"/>
      <c r="BA282" s="37"/>
      <c r="BB282" s="37"/>
      <c r="BC282" s="37"/>
      <c r="BD282" s="37" t="s">
        <v>1124</v>
      </c>
      <c r="BE282" s="37"/>
      <c r="BF282" s="37"/>
      <c r="BG282" s="37"/>
      <c r="BH282" s="37"/>
      <c r="BI282" s="37"/>
      <c r="BJ282" s="37"/>
      <c r="BK282" s="37"/>
      <c r="BL282" s="37"/>
      <c r="BM282" s="37"/>
      <c r="BN282" s="37"/>
      <c r="BO282" s="37"/>
      <c r="BP282" s="37">
        <v>0</v>
      </c>
      <c r="BQ282" s="37"/>
      <c r="BR282" s="37"/>
      <c r="BS282" s="37"/>
      <c r="BT282" s="37"/>
      <c r="BU282" s="37"/>
      <c r="BV282" s="37"/>
      <c r="BW282" s="37"/>
      <c r="BX282" s="37"/>
      <c r="BY282" s="37"/>
      <c r="BZ282" s="37"/>
      <c r="CA282" s="37"/>
      <c r="CB282" s="37" t="s">
        <v>1124</v>
      </c>
      <c r="CC282" s="37"/>
      <c r="CD282" s="37"/>
      <c r="CE282" s="37"/>
      <c r="CF282" s="37"/>
      <c r="CG282" s="37"/>
      <c r="CH282" s="37"/>
      <c r="CI282" s="37"/>
      <c r="CJ282" s="37"/>
      <c r="CK282" s="37"/>
      <c r="CL282" s="37"/>
      <c r="CM282" s="37"/>
      <c r="CN282" s="37" t="s">
        <v>1124</v>
      </c>
      <c r="CO282" s="37"/>
      <c r="CP282" s="37"/>
      <c r="CQ282" s="37"/>
      <c r="CR282" s="37"/>
      <c r="CS282" s="37"/>
      <c r="CT282" s="37"/>
      <c r="CU282" s="37"/>
      <c r="CV282" s="37"/>
      <c r="CW282" s="37"/>
      <c r="CX282" s="37"/>
      <c r="CY282" s="37"/>
      <c r="CZ282" s="37" t="s">
        <v>1124</v>
      </c>
      <c r="DA282" s="37"/>
      <c r="DB282" s="37"/>
      <c r="DC282" s="37"/>
      <c r="DD282" s="37"/>
      <c r="DE282" s="37"/>
      <c r="DF282" s="37"/>
      <c r="DG282" s="37"/>
      <c r="DH282" s="37"/>
      <c r="DI282" s="37"/>
      <c r="DJ282" s="37"/>
      <c r="DK282" s="37"/>
      <c r="DL282" s="37" t="s">
        <v>1124</v>
      </c>
      <c r="DM282" s="37"/>
      <c r="DN282" s="37"/>
      <c r="DO282" s="37"/>
      <c r="DP282" s="37"/>
      <c r="DQ282" s="37"/>
      <c r="DR282" s="37"/>
      <c r="DS282" s="37"/>
      <c r="DT282" s="37"/>
      <c r="DU282" s="37"/>
      <c r="DV282" s="37"/>
      <c r="DW282" s="37"/>
      <c r="DX282" s="37" t="s">
        <v>1124</v>
      </c>
      <c r="DY282" s="37"/>
      <c r="DZ282" s="37"/>
      <c r="EA282" s="37"/>
      <c r="EB282" s="37"/>
      <c r="EC282" s="37"/>
      <c r="ED282" s="37"/>
      <c r="EE282" s="37"/>
      <c r="EF282" s="37"/>
      <c r="EG282" s="37"/>
      <c r="EH282" s="37"/>
      <c r="EI282" s="37"/>
      <c r="EJ282" s="37" t="s">
        <v>1124</v>
      </c>
      <c r="EK282" s="161"/>
      <c r="EL282" s="294"/>
    </row>
    <row r="283" spans="1:142" ht="15" customHeight="1" x14ac:dyDescent="0.35">
      <c r="A283" s="34"/>
      <c r="B283" s="313">
        <v>30080</v>
      </c>
      <c r="C283" s="8" t="s">
        <v>230</v>
      </c>
      <c r="D283" s="18">
        <v>5</v>
      </c>
      <c r="E283" s="155">
        <v>79087</v>
      </c>
      <c r="F283" s="36">
        <v>52434</v>
      </c>
      <c r="G283" s="37">
        <v>9849</v>
      </c>
      <c r="H283" s="37">
        <v>0</v>
      </c>
      <c r="I283" s="37">
        <v>40257</v>
      </c>
      <c r="J283" s="37">
        <v>0</v>
      </c>
      <c r="K283" s="37">
        <v>11863.05</v>
      </c>
      <c r="L283" s="37">
        <v>7865.0999999999995</v>
      </c>
      <c r="M283" s="37">
        <v>141056.04999999999</v>
      </c>
      <c r="N283" s="37">
        <v>60299.1</v>
      </c>
      <c r="O283" s="37">
        <v>29392</v>
      </c>
      <c r="P283" s="37">
        <v>0</v>
      </c>
      <c r="Q283" s="37">
        <v>106540</v>
      </c>
      <c r="R283" s="37">
        <v>42621</v>
      </c>
      <c r="S283" s="37">
        <v>87</v>
      </c>
      <c r="T283" s="37">
        <v>4825</v>
      </c>
      <c r="U283" s="37">
        <v>2713</v>
      </c>
      <c r="V283" s="37">
        <v>0</v>
      </c>
      <c r="W283" s="37">
        <v>9700.5499999999884</v>
      </c>
      <c r="X283" s="37">
        <v>20229.599999999999</v>
      </c>
      <c r="Y283" s="37">
        <v>0</v>
      </c>
      <c r="Z283" s="37">
        <v>0</v>
      </c>
      <c r="AA283" s="37">
        <v>148432.54999999999</v>
      </c>
      <c r="AB283" s="37">
        <v>67675.600000000006</v>
      </c>
      <c r="AC283" s="37">
        <v>14753</v>
      </c>
      <c r="AD283" s="37">
        <v>26364</v>
      </c>
      <c r="AE283" s="37">
        <v>168640</v>
      </c>
      <c r="AF283" s="168">
        <v>0.02</v>
      </c>
      <c r="AG283" s="37">
        <v>12895379.9</v>
      </c>
      <c r="AH283" s="37">
        <v>83237.81</v>
      </c>
      <c r="AI283" s="37">
        <v>84902.56</v>
      </c>
      <c r="AJ283" s="37">
        <v>86600.62</v>
      </c>
      <c r="AK283" s="37">
        <v>88332.63</v>
      </c>
      <c r="AL283" s="37">
        <v>90099.28</v>
      </c>
      <c r="AM283" s="37">
        <v>91901.27</v>
      </c>
      <c r="AN283" s="37">
        <v>93739.29</v>
      </c>
      <c r="AO283" s="37">
        <v>95614.080000000002</v>
      </c>
      <c r="AP283" s="37">
        <v>97526.36</v>
      </c>
      <c r="AQ283" s="37">
        <v>99476.89</v>
      </c>
      <c r="AR283" s="37">
        <v>911430.79</v>
      </c>
      <c r="AS283" s="37">
        <v>0</v>
      </c>
      <c r="AT283" s="37">
        <v>0</v>
      </c>
      <c r="AU283" s="37">
        <v>0</v>
      </c>
      <c r="AV283" s="37">
        <v>0</v>
      </c>
      <c r="AW283" s="37">
        <v>0</v>
      </c>
      <c r="AX283" s="37">
        <v>0</v>
      </c>
      <c r="AY283" s="37">
        <v>0</v>
      </c>
      <c r="AZ283" s="37">
        <v>0</v>
      </c>
      <c r="BA283" s="37">
        <v>0</v>
      </c>
      <c r="BB283" s="37">
        <v>0</v>
      </c>
      <c r="BC283" s="37">
        <v>0</v>
      </c>
      <c r="BD283" s="37">
        <v>0</v>
      </c>
      <c r="BE283" s="37">
        <v>0</v>
      </c>
      <c r="BF283" s="37">
        <v>34475.01590442974</v>
      </c>
      <c r="BG283" s="37">
        <v>37159.716158240924</v>
      </c>
      <c r="BH283" s="37">
        <v>45745.255249668175</v>
      </c>
      <c r="BI283" s="37">
        <v>54330.812687661222</v>
      </c>
      <c r="BJ283" s="37">
        <v>5900.838837616041</v>
      </c>
      <c r="BK283" s="37">
        <v>28574.17706681366</v>
      </c>
      <c r="BL283" s="37">
        <v>37159.716158240924</v>
      </c>
      <c r="BM283" s="37">
        <v>45745.255249668175</v>
      </c>
      <c r="BN283" s="37">
        <v>54330.812687661222</v>
      </c>
      <c r="BO283" s="37">
        <v>0</v>
      </c>
      <c r="BP283" s="37">
        <v>343421.60000000009</v>
      </c>
      <c r="BQ283" s="37">
        <v>0</v>
      </c>
      <c r="BR283" s="37">
        <v>0</v>
      </c>
      <c r="BS283" s="37">
        <v>0</v>
      </c>
      <c r="BT283" s="37">
        <v>0</v>
      </c>
      <c r="BU283" s="37">
        <v>0</v>
      </c>
      <c r="BV283" s="37">
        <v>0</v>
      </c>
      <c r="BW283" s="37">
        <v>0</v>
      </c>
      <c r="BX283" s="37">
        <v>0</v>
      </c>
      <c r="BY283" s="37">
        <v>0</v>
      </c>
      <c r="BZ283" s="37">
        <v>0</v>
      </c>
      <c r="CA283" s="37">
        <v>0</v>
      </c>
      <c r="CB283" s="37">
        <v>0</v>
      </c>
      <c r="CC283" s="37">
        <v>0</v>
      </c>
      <c r="CD283" s="37">
        <v>0</v>
      </c>
      <c r="CE283" s="37">
        <v>0</v>
      </c>
      <c r="CF283" s="37">
        <v>0</v>
      </c>
      <c r="CG283" s="37">
        <v>0</v>
      </c>
      <c r="CH283" s="37">
        <v>0</v>
      </c>
      <c r="CI283" s="37">
        <v>0</v>
      </c>
      <c r="CJ283" s="37">
        <v>0</v>
      </c>
      <c r="CK283" s="37">
        <v>0</v>
      </c>
      <c r="CL283" s="37">
        <v>0</v>
      </c>
      <c r="CM283" s="37">
        <v>0</v>
      </c>
      <c r="CN283" s="37">
        <v>0</v>
      </c>
      <c r="CO283" s="37">
        <v>0</v>
      </c>
      <c r="CP283" s="37">
        <v>0</v>
      </c>
      <c r="CQ283" s="37">
        <v>0</v>
      </c>
      <c r="CR283" s="37">
        <v>0</v>
      </c>
      <c r="CS283" s="37">
        <v>0</v>
      </c>
      <c r="CT283" s="37">
        <v>0</v>
      </c>
      <c r="CU283" s="37">
        <v>0</v>
      </c>
      <c r="CV283" s="37">
        <v>0</v>
      </c>
      <c r="CW283" s="37">
        <v>0</v>
      </c>
      <c r="CX283" s="37">
        <v>0</v>
      </c>
      <c r="CY283" s="37">
        <v>0</v>
      </c>
      <c r="CZ283" s="37">
        <v>0</v>
      </c>
      <c r="DA283" s="37">
        <v>0</v>
      </c>
      <c r="DB283" s="37">
        <v>0</v>
      </c>
      <c r="DC283" s="37">
        <v>0</v>
      </c>
      <c r="DD283" s="37">
        <v>0</v>
      </c>
      <c r="DE283" s="37">
        <v>0</v>
      </c>
      <c r="DF283" s="37">
        <v>0</v>
      </c>
      <c r="DG283" s="37">
        <v>0</v>
      </c>
      <c r="DH283" s="37">
        <v>0</v>
      </c>
      <c r="DI283" s="37">
        <v>0</v>
      </c>
      <c r="DJ283" s="37">
        <v>0</v>
      </c>
      <c r="DK283" s="37">
        <v>0</v>
      </c>
      <c r="DL283" s="37">
        <v>0</v>
      </c>
      <c r="DM283" s="37">
        <v>0</v>
      </c>
      <c r="DN283" s="37">
        <v>0</v>
      </c>
      <c r="DO283" s="37">
        <v>0</v>
      </c>
      <c r="DP283" s="37">
        <v>0</v>
      </c>
      <c r="DQ283" s="37">
        <v>0</v>
      </c>
      <c r="DR283" s="37">
        <v>0</v>
      </c>
      <c r="DS283" s="37">
        <v>0</v>
      </c>
      <c r="DT283" s="37">
        <v>0</v>
      </c>
      <c r="DU283" s="37">
        <v>0</v>
      </c>
      <c r="DV283" s="37">
        <v>0</v>
      </c>
      <c r="DW283" s="37">
        <v>0</v>
      </c>
      <c r="DX283" s="37">
        <v>0</v>
      </c>
      <c r="DY283" s="37">
        <v>0</v>
      </c>
      <c r="DZ283" s="37">
        <v>0</v>
      </c>
      <c r="EA283" s="37">
        <v>0</v>
      </c>
      <c r="EB283" s="37">
        <v>0</v>
      </c>
      <c r="EC283" s="37">
        <v>0</v>
      </c>
      <c r="ED283" s="37">
        <v>0</v>
      </c>
      <c r="EE283" s="37">
        <v>0</v>
      </c>
      <c r="EF283" s="37">
        <v>0</v>
      </c>
      <c r="EG283" s="37">
        <v>0</v>
      </c>
      <c r="EH283" s="37">
        <v>0</v>
      </c>
      <c r="EI283" s="37">
        <v>0</v>
      </c>
      <c r="EJ283" s="37">
        <v>0</v>
      </c>
      <c r="EK283" s="161" t="s">
        <v>1988</v>
      </c>
      <c r="EL283" s="294" t="s">
        <v>1124</v>
      </c>
    </row>
    <row r="284" spans="1:142" ht="15" customHeight="1" x14ac:dyDescent="0.35">
      <c r="A284" s="34"/>
      <c r="B284" s="313">
        <v>79015</v>
      </c>
      <c r="C284" s="8" t="s">
        <v>788</v>
      </c>
      <c r="D284" s="18">
        <v>15</v>
      </c>
      <c r="E284" s="155"/>
      <c r="F284" s="36"/>
      <c r="G284" s="37"/>
      <c r="H284" s="37"/>
      <c r="I284" s="37"/>
      <c r="J284" s="37"/>
      <c r="K284" s="37"/>
      <c r="L284" s="37"/>
      <c r="M284" s="37" t="s">
        <v>1124</v>
      </c>
      <c r="N284" s="37" t="s">
        <v>1124</v>
      </c>
      <c r="O284" s="37"/>
      <c r="P284" s="37"/>
      <c r="Q284" s="37"/>
      <c r="R284" s="37"/>
      <c r="S284" s="37"/>
      <c r="T284" s="37"/>
      <c r="U284" s="37"/>
      <c r="V284" s="37"/>
      <c r="W284" s="37"/>
      <c r="X284" s="37"/>
      <c r="Y284" s="37"/>
      <c r="Z284" s="37"/>
      <c r="AA284" s="37" t="s">
        <v>1124</v>
      </c>
      <c r="AB284" s="37" t="s">
        <v>1124</v>
      </c>
      <c r="AC284" s="37"/>
      <c r="AD284" s="37"/>
      <c r="AE284" s="37"/>
      <c r="AF284" s="168"/>
      <c r="AG284" s="37"/>
      <c r="AH284" s="37"/>
      <c r="AI284" s="37"/>
      <c r="AJ284" s="37"/>
      <c r="AK284" s="37"/>
      <c r="AL284" s="37"/>
      <c r="AM284" s="37"/>
      <c r="AN284" s="37"/>
      <c r="AO284" s="37"/>
      <c r="AP284" s="37"/>
      <c r="AQ284" s="37"/>
      <c r="AR284" s="37" t="s">
        <v>1124</v>
      </c>
      <c r="AS284" s="37"/>
      <c r="AT284" s="37"/>
      <c r="AU284" s="37"/>
      <c r="AV284" s="37"/>
      <c r="AW284" s="37"/>
      <c r="AX284" s="37"/>
      <c r="AY284" s="37"/>
      <c r="AZ284" s="37"/>
      <c r="BA284" s="37"/>
      <c r="BB284" s="37"/>
      <c r="BC284" s="37"/>
      <c r="BD284" s="37" t="s">
        <v>1124</v>
      </c>
      <c r="BE284" s="37"/>
      <c r="BF284" s="37"/>
      <c r="BG284" s="37"/>
      <c r="BH284" s="37"/>
      <c r="BI284" s="37"/>
      <c r="BJ284" s="37"/>
      <c r="BK284" s="37"/>
      <c r="BL284" s="37"/>
      <c r="BM284" s="37"/>
      <c r="BN284" s="37"/>
      <c r="BO284" s="37"/>
      <c r="BP284" s="37">
        <v>0</v>
      </c>
      <c r="BQ284" s="37"/>
      <c r="BR284" s="37"/>
      <c r="BS284" s="37"/>
      <c r="BT284" s="37"/>
      <c r="BU284" s="37"/>
      <c r="BV284" s="37"/>
      <c r="BW284" s="37"/>
      <c r="BX284" s="37"/>
      <c r="BY284" s="37"/>
      <c r="BZ284" s="37"/>
      <c r="CA284" s="37"/>
      <c r="CB284" s="37" t="s">
        <v>1124</v>
      </c>
      <c r="CC284" s="37"/>
      <c r="CD284" s="37"/>
      <c r="CE284" s="37"/>
      <c r="CF284" s="37"/>
      <c r="CG284" s="37"/>
      <c r="CH284" s="37"/>
      <c r="CI284" s="37"/>
      <c r="CJ284" s="37"/>
      <c r="CK284" s="37"/>
      <c r="CL284" s="37"/>
      <c r="CM284" s="37"/>
      <c r="CN284" s="37" t="s">
        <v>1124</v>
      </c>
      <c r="CO284" s="37"/>
      <c r="CP284" s="37"/>
      <c r="CQ284" s="37"/>
      <c r="CR284" s="37"/>
      <c r="CS284" s="37"/>
      <c r="CT284" s="37"/>
      <c r="CU284" s="37"/>
      <c r="CV284" s="37"/>
      <c r="CW284" s="37"/>
      <c r="CX284" s="37"/>
      <c r="CY284" s="37"/>
      <c r="CZ284" s="37" t="s">
        <v>1124</v>
      </c>
      <c r="DA284" s="37"/>
      <c r="DB284" s="37"/>
      <c r="DC284" s="37"/>
      <c r="DD284" s="37"/>
      <c r="DE284" s="37"/>
      <c r="DF284" s="37"/>
      <c r="DG284" s="37"/>
      <c r="DH284" s="37"/>
      <c r="DI284" s="37"/>
      <c r="DJ284" s="37"/>
      <c r="DK284" s="37"/>
      <c r="DL284" s="37" t="s">
        <v>1124</v>
      </c>
      <c r="DM284" s="37"/>
      <c r="DN284" s="37"/>
      <c r="DO284" s="37"/>
      <c r="DP284" s="37"/>
      <c r="DQ284" s="37"/>
      <c r="DR284" s="37"/>
      <c r="DS284" s="37"/>
      <c r="DT284" s="37"/>
      <c r="DU284" s="37"/>
      <c r="DV284" s="37"/>
      <c r="DW284" s="37"/>
      <c r="DX284" s="37" t="s">
        <v>1124</v>
      </c>
      <c r="DY284" s="37"/>
      <c r="DZ284" s="37"/>
      <c r="EA284" s="37"/>
      <c r="EB284" s="37"/>
      <c r="EC284" s="37"/>
      <c r="ED284" s="37"/>
      <c r="EE284" s="37"/>
      <c r="EF284" s="37"/>
      <c r="EG284" s="37"/>
      <c r="EH284" s="37"/>
      <c r="EI284" s="37"/>
      <c r="EJ284" s="37" t="s">
        <v>1124</v>
      </c>
      <c r="EK284" s="161"/>
      <c r="EL284" s="294"/>
    </row>
    <row r="285" spans="1:142" ht="15" customHeight="1" x14ac:dyDescent="0.35">
      <c r="A285" s="34"/>
      <c r="B285" s="313">
        <v>90027</v>
      </c>
      <c r="C285" s="8" t="s">
        <v>936</v>
      </c>
      <c r="D285" s="18">
        <v>4</v>
      </c>
      <c r="E285" s="155"/>
      <c r="F285" s="36"/>
      <c r="G285" s="37"/>
      <c r="H285" s="37"/>
      <c r="I285" s="37"/>
      <c r="J285" s="37"/>
      <c r="K285" s="37"/>
      <c r="L285" s="37"/>
      <c r="M285" s="37" t="s">
        <v>1124</v>
      </c>
      <c r="N285" s="37" t="s">
        <v>1124</v>
      </c>
      <c r="O285" s="37"/>
      <c r="P285" s="37"/>
      <c r="Q285" s="37"/>
      <c r="R285" s="37"/>
      <c r="S285" s="37"/>
      <c r="T285" s="37"/>
      <c r="U285" s="37"/>
      <c r="V285" s="37"/>
      <c r="W285" s="37"/>
      <c r="X285" s="37"/>
      <c r="Y285" s="37"/>
      <c r="Z285" s="37"/>
      <c r="AA285" s="37" t="s">
        <v>1124</v>
      </c>
      <c r="AB285" s="37" t="s">
        <v>1124</v>
      </c>
      <c r="AC285" s="37"/>
      <c r="AD285" s="37"/>
      <c r="AE285" s="37"/>
      <c r="AF285" s="168"/>
      <c r="AG285" s="37"/>
      <c r="AH285" s="37"/>
      <c r="AI285" s="37"/>
      <c r="AJ285" s="37"/>
      <c r="AK285" s="37"/>
      <c r="AL285" s="37"/>
      <c r="AM285" s="37"/>
      <c r="AN285" s="37"/>
      <c r="AO285" s="37"/>
      <c r="AP285" s="37"/>
      <c r="AQ285" s="37"/>
      <c r="AR285" s="37" t="s">
        <v>1124</v>
      </c>
      <c r="AS285" s="37"/>
      <c r="AT285" s="37"/>
      <c r="AU285" s="37"/>
      <c r="AV285" s="37"/>
      <c r="AW285" s="37"/>
      <c r="AX285" s="37"/>
      <c r="AY285" s="37"/>
      <c r="AZ285" s="37"/>
      <c r="BA285" s="37"/>
      <c r="BB285" s="37"/>
      <c r="BC285" s="37"/>
      <c r="BD285" s="37" t="s">
        <v>1124</v>
      </c>
      <c r="BE285" s="37"/>
      <c r="BF285" s="37"/>
      <c r="BG285" s="37"/>
      <c r="BH285" s="37"/>
      <c r="BI285" s="37"/>
      <c r="BJ285" s="37"/>
      <c r="BK285" s="37"/>
      <c r="BL285" s="37"/>
      <c r="BM285" s="37"/>
      <c r="BN285" s="37"/>
      <c r="BO285" s="37"/>
      <c r="BP285" s="37">
        <v>0</v>
      </c>
      <c r="BQ285" s="37"/>
      <c r="BR285" s="37"/>
      <c r="BS285" s="37"/>
      <c r="BT285" s="37"/>
      <c r="BU285" s="37"/>
      <c r="BV285" s="37"/>
      <c r="BW285" s="37"/>
      <c r="BX285" s="37"/>
      <c r="BY285" s="37"/>
      <c r="BZ285" s="37"/>
      <c r="CA285" s="37"/>
      <c r="CB285" s="37" t="s">
        <v>1124</v>
      </c>
      <c r="CC285" s="37"/>
      <c r="CD285" s="37"/>
      <c r="CE285" s="37"/>
      <c r="CF285" s="37"/>
      <c r="CG285" s="37"/>
      <c r="CH285" s="37"/>
      <c r="CI285" s="37"/>
      <c r="CJ285" s="37"/>
      <c r="CK285" s="37"/>
      <c r="CL285" s="37"/>
      <c r="CM285" s="37"/>
      <c r="CN285" s="37" t="s">
        <v>1124</v>
      </c>
      <c r="CO285" s="37"/>
      <c r="CP285" s="37"/>
      <c r="CQ285" s="37"/>
      <c r="CR285" s="37"/>
      <c r="CS285" s="37"/>
      <c r="CT285" s="37"/>
      <c r="CU285" s="37"/>
      <c r="CV285" s="37"/>
      <c r="CW285" s="37"/>
      <c r="CX285" s="37"/>
      <c r="CY285" s="37"/>
      <c r="CZ285" s="37" t="s">
        <v>1124</v>
      </c>
      <c r="DA285" s="37"/>
      <c r="DB285" s="37"/>
      <c r="DC285" s="37"/>
      <c r="DD285" s="37"/>
      <c r="DE285" s="37"/>
      <c r="DF285" s="37"/>
      <c r="DG285" s="37"/>
      <c r="DH285" s="37"/>
      <c r="DI285" s="37"/>
      <c r="DJ285" s="37"/>
      <c r="DK285" s="37"/>
      <c r="DL285" s="37" t="s">
        <v>1124</v>
      </c>
      <c r="DM285" s="37"/>
      <c r="DN285" s="37"/>
      <c r="DO285" s="37"/>
      <c r="DP285" s="37"/>
      <c r="DQ285" s="37"/>
      <c r="DR285" s="37"/>
      <c r="DS285" s="37"/>
      <c r="DT285" s="37"/>
      <c r="DU285" s="37"/>
      <c r="DV285" s="37"/>
      <c r="DW285" s="37"/>
      <c r="DX285" s="37" t="s">
        <v>1124</v>
      </c>
      <c r="DY285" s="37"/>
      <c r="DZ285" s="37"/>
      <c r="EA285" s="37"/>
      <c r="EB285" s="37"/>
      <c r="EC285" s="37"/>
      <c r="ED285" s="37"/>
      <c r="EE285" s="37"/>
      <c r="EF285" s="37"/>
      <c r="EG285" s="37"/>
      <c r="EH285" s="37"/>
      <c r="EI285" s="37"/>
      <c r="EJ285" s="37" t="s">
        <v>1124</v>
      </c>
      <c r="EK285" s="161"/>
      <c r="EL285" s="294"/>
    </row>
    <row r="286" spans="1:142" ht="15" customHeight="1" x14ac:dyDescent="0.35">
      <c r="A286" s="34"/>
      <c r="B286" s="313">
        <v>28053</v>
      </c>
      <c r="C286" s="8" t="s">
        <v>196</v>
      </c>
      <c r="D286" s="18">
        <v>12</v>
      </c>
      <c r="E286" s="155">
        <v>277333</v>
      </c>
      <c r="F286" s="36">
        <v>282490</v>
      </c>
      <c r="G286" s="37">
        <v>41591</v>
      </c>
      <c r="H286" s="37">
        <v>8625</v>
      </c>
      <c r="I286" s="37">
        <v>149650</v>
      </c>
      <c r="J286" s="37">
        <v>15050</v>
      </c>
      <c r="K286" s="37">
        <v>41599.949999999997</v>
      </c>
      <c r="L286" s="37">
        <v>42373.5</v>
      </c>
      <c r="M286" s="37">
        <v>510173.95</v>
      </c>
      <c r="N286" s="37">
        <v>348538.5</v>
      </c>
      <c r="O286" s="37">
        <v>0</v>
      </c>
      <c r="P286" s="37">
        <v>0</v>
      </c>
      <c r="Q286" s="37">
        <v>411823</v>
      </c>
      <c r="R286" s="37">
        <v>222669</v>
      </c>
      <c r="S286" s="37">
        <v>14504</v>
      </c>
      <c r="T286" s="37">
        <v>29845</v>
      </c>
      <c r="U286" s="37">
        <v>20462</v>
      </c>
      <c r="V286" s="37">
        <v>6874</v>
      </c>
      <c r="W286" s="37">
        <v>63384.950000000012</v>
      </c>
      <c r="X286" s="37">
        <v>89150.5</v>
      </c>
      <c r="Y286" s="37">
        <v>0</v>
      </c>
      <c r="Z286" s="37">
        <v>0</v>
      </c>
      <c r="AA286" s="37">
        <v>510173.95</v>
      </c>
      <c r="AB286" s="37">
        <v>348538.5</v>
      </c>
      <c r="AC286" s="37">
        <v>0</v>
      </c>
      <c r="AD286" s="37">
        <v>0</v>
      </c>
      <c r="AE286" s="37">
        <v>38225</v>
      </c>
      <c r="AF286" s="168">
        <v>0.02</v>
      </c>
      <c r="AG286" s="37">
        <v>84471123.760000005</v>
      </c>
      <c r="AH286" s="37">
        <v>624560.28</v>
      </c>
      <c r="AI286" s="37">
        <v>634450.49</v>
      </c>
      <c r="AJ286" s="37">
        <v>642098.76</v>
      </c>
      <c r="AK286" s="37">
        <v>654940.73</v>
      </c>
      <c r="AL286" s="37">
        <v>668039.55000000005</v>
      </c>
      <c r="AM286" s="37">
        <v>681400.34</v>
      </c>
      <c r="AN286" s="37">
        <v>695028.34</v>
      </c>
      <c r="AO286" s="37">
        <v>708928.91</v>
      </c>
      <c r="AP286" s="37">
        <v>723107.49</v>
      </c>
      <c r="AQ286" s="37">
        <v>737569.64</v>
      </c>
      <c r="AR286" s="37">
        <v>6770124.5300000003</v>
      </c>
      <c r="AS286" s="37">
        <v>843781.05</v>
      </c>
      <c r="AT286" s="37">
        <v>7650</v>
      </c>
      <c r="AU286" s="37">
        <v>7803</v>
      </c>
      <c r="AV286" s="37">
        <v>0</v>
      </c>
      <c r="AW286" s="37">
        <v>0</v>
      </c>
      <c r="AX286" s="37">
        <v>0</v>
      </c>
      <c r="AY286" s="37">
        <v>0</v>
      </c>
      <c r="AZ286" s="37">
        <v>0</v>
      </c>
      <c r="BA286" s="37">
        <v>0</v>
      </c>
      <c r="BB286" s="37">
        <v>0</v>
      </c>
      <c r="BC286" s="37">
        <v>0</v>
      </c>
      <c r="BD286" s="37">
        <v>15453</v>
      </c>
      <c r="BE286" s="37">
        <v>600000</v>
      </c>
      <c r="BF286" s="37">
        <v>350000</v>
      </c>
      <c r="BG286" s="37">
        <v>370449</v>
      </c>
      <c r="BH286" s="37">
        <v>337125</v>
      </c>
      <c r="BI286" s="37">
        <v>1336874</v>
      </c>
      <c r="BJ286" s="37">
        <v>465700</v>
      </c>
      <c r="BK286" s="37">
        <v>0</v>
      </c>
      <c r="BL286" s="37">
        <v>0</v>
      </c>
      <c r="BM286" s="37">
        <v>0</v>
      </c>
      <c r="BN286" s="37">
        <v>0</v>
      </c>
      <c r="BO286" s="37">
        <v>0</v>
      </c>
      <c r="BP286" s="37">
        <v>2860148</v>
      </c>
      <c r="BQ286" s="37">
        <v>0</v>
      </c>
      <c r="BR286" s="37">
        <v>0</v>
      </c>
      <c r="BS286" s="37">
        <v>92613</v>
      </c>
      <c r="BT286" s="37">
        <v>84281</v>
      </c>
      <c r="BU286" s="37">
        <v>334221</v>
      </c>
      <c r="BV286" s="37">
        <v>116426</v>
      </c>
      <c r="BW286" s="37">
        <v>0</v>
      </c>
      <c r="BX286" s="37">
        <v>0</v>
      </c>
      <c r="BY286" s="37">
        <v>0</v>
      </c>
      <c r="BZ286" s="37">
        <v>0</v>
      </c>
      <c r="CA286" s="37">
        <v>0</v>
      </c>
      <c r="CB286" s="37">
        <v>627541</v>
      </c>
      <c r="CC286" s="37">
        <v>0</v>
      </c>
      <c r="CD286" s="37">
        <v>0</v>
      </c>
      <c r="CE286" s="37">
        <v>0</v>
      </c>
      <c r="CF286" s="37">
        <v>0</v>
      </c>
      <c r="CG286" s="37">
        <v>0</v>
      </c>
      <c r="CH286" s="37">
        <v>0</v>
      </c>
      <c r="CI286" s="37">
        <v>0</v>
      </c>
      <c r="CJ286" s="37">
        <v>0</v>
      </c>
      <c r="CK286" s="37">
        <v>0</v>
      </c>
      <c r="CL286" s="37">
        <v>0</v>
      </c>
      <c r="CM286" s="37">
        <v>0</v>
      </c>
      <c r="CN286" s="37">
        <v>0</v>
      </c>
      <c r="CO286" s="37">
        <v>61715</v>
      </c>
      <c r="CP286" s="37">
        <v>0</v>
      </c>
      <c r="CQ286" s="37">
        <v>0</v>
      </c>
      <c r="CR286" s="37">
        <v>0</v>
      </c>
      <c r="CS286" s="37">
        <v>0</v>
      </c>
      <c r="CT286" s="37">
        <v>0</v>
      </c>
      <c r="CU286" s="37">
        <v>0</v>
      </c>
      <c r="CV286" s="37">
        <v>0</v>
      </c>
      <c r="CW286" s="37">
        <v>0</v>
      </c>
      <c r="CX286" s="37">
        <v>0</v>
      </c>
      <c r="CY286" s="37">
        <v>0</v>
      </c>
      <c r="CZ286" s="37">
        <v>0</v>
      </c>
      <c r="DA286" s="37">
        <v>0</v>
      </c>
      <c r="DB286" s="37">
        <v>0</v>
      </c>
      <c r="DC286" s="37">
        <v>0</v>
      </c>
      <c r="DD286" s="37">
        <v>0</v>
      </c>
      <c r="DE286" s="37">
        <v>0</v>
      </c>
      <c r="DF286" s="37">
        <v>0</v>
      </c>
      <c r="DG286" s="37">
        <v>0</v>
      </c>
      <c r="DH286" s="37">
        <v>0</v>
      </c>
      <c r="DI286" s="37">
        <v>0</v>
      </c>
      <c r="DJ286" s="37">
        <v>0</v>
      </c>
      <c r="DK286" s="37">
        <v>0</v>
      </c>
      <c r="DL286" s="37">
        <v>0</v>
      </c>
      <c r="DM286" s="37">
        <v>3942</v>
      </c>
      <c r="DN286" s="37">
        <v>0</v>
      </c>
      <c r="DO286" s="37">
        <v>0</v>
      </c>
      <c r="DP286" s="37">
        <v>0</v>
      </c>
      <c r="DQ286" s="37">
        <v>0</v>
      </c>
      <c r="DR286" s="37">
        <v>0</v>
      </c>
      <c r="DS286" s="37">
        <v>0</v>
      </c>
      <c r="DT286" s="37">
        <v>0</v>
      </c>
      <c r="DU286" s="37">
        <v>0</v>
      </c>
      <c r="DV286" s="37">
        <v>0</v>
      </c>
      <c r="DW286" s="37">
        <v>0</v>
      </c>
      <c r="DX286" s="37">
        <v>0</v>
      </c>
      <c r="DY286" s="37">
        <v>0</v>
      </c>
      <c r="DZ286" s="37">
        <v>0</v>
      </c>
      <c r="EA286" s="37">
        <v>0</v>
      </c>
      <c r="EB286" s="37">
        <v>0</v>
      </c>
      <c r="EC286" s="37">
        <v>0</v>
      </c>
      <c r="ED286" s="37">
        <v>0</v>
      </c>
      <c r="EE286" s="37">
        <v>0</v>
      </c>
      <c r="EF286" s="37">
        <v>0</v>
      </c>
      <c r="EG286" s="37">
        <v>0</v>
      </c>
      <c r="EH286" s="37">
        <v>0</v>
      </c>
      <c r="EI286" s="37">
        <v>0</v>
      </c>
      <c r="EJ286" s="37">
        <v>0</v>
      </c>
      <c r="EK286" s="161" t="s">
        <v>1124</v>
      </c>
      <c r="EL286" s="294" t="s">
        <v>1124</v>
      </c>
    </row>
    <row r="287" spans="1:142" ht="15" customHeight="1" x14ac:dyDescent="0.35">
      <c r="A287" s="34"/>
      <c r="B287" s="313">
        <v>18010</v>
      </c>
      <c r="C287" s="8" t="s">
        <v>105</v>
      </c>
      <c r="D287" s="18">
        <v>12</v>
      </c>
      <c r="E287" s="155">
        <v>25404</v>
      </c>
      <c r="F287" s="36">
        <v>14029</v>
      </c>
      <c r="G287" s="37">
        <v>0</v>
      </c>
      <c r="H287" s="37">
        <v>0</v>
      </c>
      <c r="I287" s="37">
        <v>0</v>
      </c>
      <c r="J287" s="37">
        <v>0</v>
      </c>
      <c r="K287" s="37">
        <v>3810.6</v>
      </c>
      <c r="L287" s="37">
        <v>2104.35</v>
      </c>
      <c r="M287" s="37">
        <v>29214.6</v>
      </c>
      <c r="N287" s="37">
        <v>16133.35</v>
      </c>
      <c r="O287" s="37">
        <v>0</v>
      </c>
      <c r="P287" s="37">
        <v>0</v>
      </c>
      <c r="Q287" s="37">
        <v>6569.1</v>
      </c>
      <c r="R287" s="37">
        <v>2320</v>
      </c>
      <c r="S287" s="37">
        <v>0</v>
      </c>
      <c r="T287" s="37">
        <v>0</v>
      </c>
      <c r="U287" s="37">
        <v>5509</v>
      </c>
      <c r="V287" s="37">
        <v>0</v>
      </c>
      <c r="W287" s="37">
        <v>0</v>
      </c>
      <c r="X287" s="37">
        <v>0</v>
      </c>
      <c r="Y287" s="37">
        <v>35422</v>
      </c>
      <c r="Z287" s="37">
        <v>0</v>
      </c>
      <c r="AA287" s="37">
        <v>47500.1</v>
      </c>
      <c r="AB287" s="37">
        <v>2320</v>
      </c>
      <c r="AC287" s="37">
        <v>4472</v>
      </c>
      <c r="AD287" s="37">
        <v>0</v>
      </c>
      <c r="AE287" s="37">
        <v>0</v>
      </c>
      <c r="AF287" s="168">
        <v>0.02</v>
      </c>
      <c r="AG287" s="37">
        <v>3613339.28</v>
      </c>
      <c r="AH287" s="37">
        <v>30245.01</v>
      </c>
      <c r="AI287" s="37">
        <v>30849.91</v>
      </c>
      <c r="AJ287" s="37">
        <v>31466.9</v>
      </c>
      <c r="AK287" s="37">
        <v>32096.240000000002</v>
      </c>
      <c r="AL287" s="37">
        <v>32738.17</v>
      </c>
      <c r="AM287" s="37">
        <v>33392.93</v>
      </c>
      <c r="AN287" s="37">
        <v>34060.79</v>
      </c>
      <c r="AO287" s="37">
        <v>34742</v>
      </c>
      <c r="AP287" s="37">
        <v>35436.85</v>
      </c>
      <c r="AQ287" s="37">
        <v>36145.58</v>
      </c>
      <c r="AR287" s="37">
        <v>331174.38</v>
      </c>
      <c r="AS287" s="37">
        <v>40575.599999999999</v>
      </c>
      <c r="AT287" s="37">
        <v>0</v>
      </c>
      <c r="AU287" s="37">
        <v>0</v>
      </c>
      <c r="AV287" s="37">
        <v>0</v>
      </c>
      <c r="AW287" s="37">
        <v>0</v>
      </c>
      <c r="AX287" s="37">
        <v>0</v>
      </c>
      <c r="AY287" s="37">
        <v>0</v>
      </c>
      <c r="AZ287" s="37">
        <v>0</v>
      </c>
      <c r="BA287" s="37">
        <v>0</v>
      </c>
      <c r="BB287" s="37">
        <v>0</v>
      </c>
      <c r="BC287" s="37">
        <v>0</v>
      </c>
      <c r="BD287" s="37">
        <v>0</v>
      </c>
      <c r="BE287" s="37">
        <v>0</v>
      </c>
      <c r="BF287" s="37">
        <v>18960.196654462969</v>
      </c>
      <c r="BG287" s="37">
        <v>20436.699084850712</v>
      </c>
      <c r="BH287" s="37">
        <v>25158.481085163694</v>
      </c>
      <c r="BI287" s="37">
        <v>29880.273175522645</v>
      </c>
      <c r="BJ287" s="37">
        <v>3245.2795699252188</v>
      </c>
      <c r="BK287" s="37">
        <v>0</v>
      </c>
      <c r="BL287" s="37">
        <v>0</v>
      </c>
      <c r="BM287" s="37">
        <v>0</v>
      </c>
      <c r="BN287" s="37">
        <v>0</v>
      </c>
      <c r="BO287" s="37">
        <v>0</v>
      </c>
      <c r="BP287" s="37">
        <v>97680.92956992524</v>
      </c>
      <c r="BQ287" s="37">
        <v>0</v>
      </c>
      <c r="BR287" s="37">
        <v>8884.2370647100579</v>
      </c>
      <c r="BS287" s="37">
        <v>9576.086303262</v>
      </c>
      <c r="BT287" s="37">
        <v>11788.586069122131</v>
      </c>
      <c r="BU287" s="37">
        <v>14001.090562905822</v>
      </c>
      <c r="BV287" s="37">
        <v>1520.6505273081823</v>
      </c>
      <c r="BW287" s="37">
        <v>0</v>
      </c>
      <c r="BX287" s="37">
        <v>0</v>
      </c>
      <c r="BY287" s="37">
        <v>0</v>
      </c>
      <c r="BZ287" s="37">
        <v>0</v>
      </c>
      <c r="CA287" s="37">
        <v>0</v>
      </c>
      <c r="CB287" s="37">
        <v>45770.6505273082</v>
      </c>
      <c r="CC287" s="37">
        <v>0</v>
      </c>
      <c r="CD287" s="37">
        <v>0</v>
      </c>
      <c r="CE287" s="37">
        <v>0</v>
      </c>
      <c r="CF287" s="37">
        <v>0</v>
      </c>
      <c r="CG287" s="37">
        <v>0</v>
      </c>
      <c r="CH287" s="37">
        <v>0</v>
      </c>
      <c r="CI287" s="37">
        <v>0</v>
      </c>
      <c r="CJ287" s="37">
        <v>0</v>
      </c>
      <c r="CK287" s="37">
        <v>0</v>
      </c>
      <c r="CL287" s="37">
        <v>0</v>
      </c>
      <c r="CM287" s="37">
        <v>0</v>
      </c>
      <c r="CN287" s="37">
        <v>0</v>
      </c>
      <c r="CO287" s="37">
        <v>0</v>
      </c>
      <c r="CP287" s="37">
        <v>0</v>
      </c>
      <c r="CQ287" s="37">
        <v>0</v>
      </c>
      <c r="CR287" s="37">
        <v>0</v>
      </c>
      <c r="CS287" s="37">
        <v>0</v>
      </c>
      <c r="CT287" s="37">
        <v>0</v>
      </c>
      <c r="CU287" s="37">
        <v>0</v>
      </c>
      <c r="CV287" s="37">
        <v>0</v>
      </c>
      <c r="CW287" s="37">
        <v>0</v>
      </c>
      <c r="CX287" s="37">
        <v>0</v>
      </c>
      <c r="CY287" s="37">
        <v>0</v>
      </c>
      <c r="CZ287" s="37">
        <v>0</v>
      </c>
      <c r="DA287" s="37">
        <v>0</v>
      </c>
      <c r="DB287" s="37">
        <v>0</v>
      </c>
      <c r="DC287" s="37">
        <v>0</v>
      </c>
      <c r="DD287" s="37">
        <v>0</v>
      </c>
      <c r="DE287" s="37">
        <v>0</v>
      </c>
      <c r="DF287" s="37">
        <v>0</v>
      </c>
      <c r="DG287" s="37">
        <v>0</v>
      </c>
      <c r="DH287" s="37">
        <v>0</v>
      </c>
      <c r="DI287" s="37">
        <v>0</v>
      </c>
      <c r="DJ287" s="37">
        <v>0</v>
      </c>
      <c r="DK287" s="37">
        <v>0</v>
      </c>
      <c r="DL287" s="37">
        <v>0</v>
      </c>
      <c r="DM287" s="37">
        <v>0</v>
      </c>
      <c r="DN287" s="37">
        <v>0</v>
      </c>
      <c r="DO287" s="37">
        <v>0</v>
      </c>
      <c r="DP287" s="37">
        <v>0</v>
      </c>
      <c r="DQ287" s="37">
        <v>0</v>
      </c>
      <c r="DR287" s="37">
        <v>0</v>
      </c>
      <c r="DS287" s="37">
        <v>0</v>
      </c>
      <c r="DT287" s="37">
        <v>0</v>
      </c>
      <c r="DU287" s="37">
        <v>0</v>
      </c>
      <c r="DV287" s="37">
        <v>0</v>
      </c>
      <c r="DW287" s="37">
        <v>0</v>
      </c>
      <c r="DX287" s="37">
        <v>0</v>
      </c>
      <c r="DY287" s="37">
        <v>0</v>
      </c>
      <c r="DZ287" s="37">
        <v>0</v>
      </c>
      <c r="EA287" s="37">
        <v>0</v>
      </c>
      <c r="EB287" s="37">
        <v>0</v>
      </c>
      <c r="EC287" s="37">
        <v>0</v>
      </c>
      <c r="ED287" s="37">
        <v>0</v>
      </c>
      <c r="EE287" s="37">
        <v>0</v>
      </c>
      <c r="EF287" s="37">
        <v>0</v>
      </c>
      <c r="EG287" s="37">
        <v>0</v>
      </c>
      <c r="EH287" s="37">
        <v>0</v>
      </c>
      <c r="EI287" s="37">
        <v>0</v>
      </c>
      <c r="EJ287" s="37">
        <v>0</v>
      </c>
      <c r="EK287" s="161" t="s">
        <v>1996</v>
      </c>
      <c r="EL287" s="294" t="s">
        <v>1124</v>
      </c>
    </row>
    <row r="288" spans="1:142" ht="15" customHeight="1" x14ac:dyDescent="0.35">
      <c r="A288" s="34"/>
      <c r="B288" s="313">
        <v>76020</v>
      </c>
      <c r="C288" s="8" t="s">
        <v>748</v>
      </c>
      <c r="D288" s="18">
        <v>15</v>
      </c>
      <c r="E288" s="155">
        <v>1333174</v>
      </c>
      <c r="F288" s="36">
        <v>1971395</v>
      </c>
      <c r="G288" s="37">
        <v>185051</v>
      </c>
      <c r="H288" s="37">
        <v>112147</v>
      </c>
      <c r="I288" s="37">
        <v>404230</v>
      </c>
      <c r="J288" s="37">
        <v>305451</v>
      </c>
      <c r="K288" s="37">
        <v>199976.1</v>
      </c>
      <c r="L288" s="37">
        <v>295709.25</v>
      </c>
      <c r="M288" s="37">
        <v>2122431.1</v>
      </c>
      <c r="N288" s="37">
        <v>2684702.25</v>
      </c>
      <c r="O288" s="37">
        <v>230631</v>
      </c>
      <c r="P288" s="37">
        <v>0</v>
      </c>
      <c r="Q288" s="37">
        <v>1247733</v>
      </c>
      <c r="R288" s="37">
        <v>1355162</v>
      </c>
      <c r="S288" s="37">
        <v>61954</v>
      </c>
      <c r="T288" s="37">
        <v>857591</v>
      </c>
      <c r="U288" s="37">
        <v>70830</v>
      </c>
      <c r="V288" s="37">
        <v>36120</v>
      </c>
      <c r="W288" s="37">
        <v>511283</v>
      </c>
      <c r="X288" s="37">
        <v>435830</v>
      </c>
      <c r="Y288" s="37">
        <v>0</v>
      </c>
      <c r="Z288" s="37">
        <v>0</v>
      </c>
      <c r="AA288" s="37">
        <v>2122431</v>
      </c>
      <c r="AB288" s="37">
        <v>2684703</v>
      </c>
      <c r="AC288" s="37">
        <v>1</v>
      </c>
      <c r="AD288" s="37">
        <v>0</v>
      </c>
      <c r="AE288" s="37">
        <v>0</v>
      </c>
      <c r="AF288" s="168">
        <v>0.02</v>
      </c>
      <c r="AG288" s="37">
        <v>220109791.81999999</v>
      </c>
      <c r="AH288" s="37">
        <v>2057299.99</v>
      </c>
      <c r="AI288" s="37">
        <v>2100568.41</v>
      </c>
      <c r="AJ288" s="37">
        <v>15942613.51</v>
      </c>
      <c r="AK288" s="37">
        <v>2034172.3</v>
      </c>
      <c r="AL288" s="37">
        <v>2074855.75</v>
      </c>
      <c r="AM288" s="37">
        <v>2116352.87</v>
      </c>
      <c r="AN288" s="37">
        <v>2158679.92</v>
      </c>
      <c r="AO288" s="37">
        <v>2201853.52</v>
      </c>
      <c r="AP288" s="37">
        <v>2245890.59</v>
      </c>
      <c r="AQ288" s="37">
        <v>2290808.4</v>
      </c>
      <c r="AR288" s="37">
        <v>35223095.259999998</v>
      </c>
      <c r="AS288" s="37">
        <v>3911551.08</v>
      </c>
      <c r="AT288" s="37">
        <v>0</v>
      </c>
      <c r="AU288" s="37">
        <v>11502870.48</v>
      </c>
      <c r="AV288" s="37">
        <v>212241.6</v>
      </c>
      <c r="AW288" s="37">
        <v>0</v>
      </c>
      <c r="AX288" s="37">
        <v>0</v>
      </c>
      <c r="AY288" s="37">
        <v>0</v>
      </c>
      <c r="AZ288" s="37">
        <v>0</v>
      </c>
      <c r="BA288" s="37">
        <v>0</v>
      </c>
      <c r="BB288" s="37">
        <v>0</v>
      </c>
      <c r="BC288" s="37">
        <v>0</v>
      </c>
      <c r="BD288" s="37">
        <v>11715112.08</v>
      </c>
      <c r="BE288" s="37">
        <v>2715157</v>
      </c>
      <c r="BF288" s="37">
        <v>2787468</v>
      </c>
      <c r="BG288" s="37">
        <v>903548</v>
      </c>
      <c r="BH288" s="37">
        <v>178000</v>
      </c>
      <c r="BI288" s="37">
        <v>19000</v>
      </c>
      <c r="BJ288" s="37">
        <v>0</v>
      </c>
      <c r="BK288" s="37">
        <v>0</v>
      </c>
      <c r="BL288" s="37">
        <v>0</v>
      </c>
      <c r="BM288" s="37">
        <v>0</v>
      </c>
      <c r="BN288" s="37">
        <v>0</v>
      </c>
      <c r="BO288" s="37">
        <v>0</v>
      </c>
      <c r="BP288" s="37">
        <v>3888016</v>
      </c>
      <c r="BQ288" s="37">
        <v>3782843</v>
      </c>
      <c r="BR288" s="37">
        <v>4215000</v>
      </c>
      <c r="BS288" s="37">
        <v>4735000</v>
      </c>
      <c r="BT288" s="37">
        <v>6100000</v>
      </c>
      <c r="BU288" s="37">
        <v>1000000</v>
      </c>
      <c r="BV288" s="37">
        <v>0</v>
      </c>
      <c r="BW288" s="37">
        <v>0</v>
      </c>
      <c r="BX288" s="37">
        <v>0</v>
      </c>
      <c r="BY288" s="37">
        <v>0</v>
      </c>
      <c r="BZ288" s="37">
        <v>0</v>
      </c>
      <c r="CA288" s="37">
        <v>0</v>
      </c>
      <c r="CB288" s="37">
        <v>16050000</v>
      </c>
      <c r="CC288" s="37">
        <v>0</v>
      </c>
      <c r="CD288" s="37">
        <v>0</v>
      </c>
      <c r="CE288" s="37">
        <v>0</v>
      </c>
      <c r="CF288" s="37">
        <v>0</v>
      </c>
      <c r="CG288" s="37">
        <v>0</v>
      </c>
      <c r="CH288" s="37">
        <v>0</v>
      </c>
      <c r="CI288" s="37">
        <v>0</v>
      </c>
      <c r="CJ288" s="37">
        <v>0</v>
      </c>
      <c r="CK288" s="37">
        <v>0</v>
      </c>
      <c r="CL288" s="37">
        <v>0</v>
      </c>
      <c r="CM288" s="37">
        <v>0</v>
      </c>
      <c r="CN288" s="37">
        <v>0</v>
      </c>
      <c r="CO288" s="37">
        <v>0</v>
      </c>
      <c r="CP288" s="37">
        <v>0</v>
      </c>
      <c r="CQ288" s="37">
        <v>0</v>
      </c>
      <c r="CR288" s="37">
        <v>0</v>
      </c>
      <c r="CS288" s="37">
        <v>0</v>
      </c>
      <c r="CT288" s="37">
        <v>0</v>
      </c>
      <c r="CU288" s="37">
        <v>0</v>
      </c>
      <c r="CV288" s="37">
        <v>0</v>
      </c>
      <c r="CW288" s="37">
        <v>0</v>
      </c>
      <c r="CX288" s="37">
        <v>0</v>
      </c>
      <c r="CY288" s="37">
        <v>0</v>
      </c>
      <c r="CZ288" s="37">
        <v>0</v>
      </c>
      <c r="DA288" s="37">
        <v>42620</v>
      </c>
      <c r="DB288" s="37">
        <v>3640000</v>
      </c>
      <c r="DC288" s="37">
        <v>1572000</v>
      </c>
      <c r="DD288" s="37">
        <v>250000</v>
      </c>
      <c r="DE288" s="37">
        <v>2000000</v>
      </c>
      <c r="DF288" s="37">
        <v>0</v>
      </c>
      <c r="DG288" s="37">
        <v>0</v>
      </c>
      <c r="DH288" s="37">
        <v>0</v>
      </c>
      <c r="DI288" s="37">
        <v>0</v>
      </c>
      <c r="DJ288" s="37">
        <v>0</v>
      </c>
      <c r="DK288" s="37">
        <v>0</v>
      </c>
      <c r="DL288" s="37">
        <v>7462000</v>
      </c>
      <c r="DM288" s="37">
        <v>0</v>
      </c>
      <c r="DN288" s="37">
        <v>0</v>
      </c>
      <c r="DO288" s="37">
        <v>0</v>
      </c>
      <c r="DP288" s="37">
        <v>0</v>
      </c>
      <c r="DQ288" s="37">
        <v>0</v>
      </c>
      <c r="DR288" s="37">
        <v>0</v>
      </c>
      <c r="DS288" s="37">
        <v>0</v>
      </c>
      <c r="DT288" s="37">
        <v>0</v>
      </c>
      <c r="DU288" s="37">
        <v>0</v>
      </c>
      <c r="DV288" s="37">
        <v>0</v>
      </c>
      <c r="DW288" s="37">
        <v>0</v>
      </c>
      <c r="DX288" s="37">
        <v>0</v>
      </c>
      <c r="DY288" s="37">
        <v>1350628</v>
      </c>
      <c r="DZ288" s="37">
        <v>0</v>
      </c>
      <c r="EA288" s="37">
        <v>0</v>
      </c>
      <c r="EB288" s="37">
        <v>0</v>
      </c>
      <c r="EC288" s="37">
        <v>0</v>
      </c>
      <c r="ED288" s="37">
        <v>0</v>
      </c>
      <c r="EE288" s="37">
        <v>0</v>
      </c>
      <c r="EF288" s="37">
        <v>0</v>
      </c>
      <c r="EG288" s="37">
        <v>0</v>
      </c>
      <c r="EH288" s="37">
        <v>0</v>
      </c>
      <c r="EI288" s="37">
        <v>0</v>
      </c>
      <c r="EJ288" s="37">
        <v>0</v>
      </c>
      <c r="EK288" s="161" t="s">
        <v>2001</v>
      </c>
      <c r="EL288" s="294" t="s">
        <v>1124</v>
      </c>
    </row>
    <row r="289" spans="1:142" ht="15" customHeight="1" x14ac:dyDescent="0.35">
      <c r="A289" s="34"/>
      <c r="B289" s="313">
        <v>30030</v>
      </c>
      <c r="C289" s="8" t="s">
        <v>222</v>
      </c>
      <c r="D289" s="18">
        <v>5</v>
      </c>
      <c r="E289" s="155">
        <v>543767</v>
      </c>
      <c r="F289" s="36">
        <v>818549</v>
      </c>
      <c r="G289" s="37">
        <v>167996</v>
      </c>
      <c r="H289" s="37">
        <v>69811</v>
      </c>
      <c r="I289" s="37">
        <v>385832</v>
      </c>
      <c r="J289" s="37">
        <v>170221</v>
      </c>
      <c r="K289" s="37">
        <v>54376.700000000004</v>
      </c>
      <c r="L289" s="37">
        <v>81854.900000000009</v>
      </c>
      <c r="M289" s="37">
        <v>1151971.7</v>
      </c>
      <c r="N289" s="37">
        <v>1140435.8999999999</v>
      </c>
      <c r="O289" s="37">
        <v>291868</v>
      </c>
      <c r="P289" s="37">
        <v>168861</v>
      </c>
      <c r="Q289" s="37">
        <v>439894</v>
      </c>
      <c r="R289" s="37">
        <v>440512</v>
      </c>
      <c r="S289" s="37">
        <v>49333</v>
      </c>
      <c r="T289" s="37">
        <v>73867</v>
      </c>
      <c r="U289" s="37">
        <v>26281</v>
      </c>
      <c r="V289" s="37">
        <v>14551</v>
      </c>
      <c r="W289" s="37">
        <v>345941.69999999995</v>
      </c>
      <c r="X289" s="37">
        <v>443990.89999999991</v>
      </c>
      <c r="Y289" s="37">
        <v>0</v>
      </c>
      <c r="Z289" s="37">
        <v>0</v>
      </c>
      <c r="AA289" s="37">
        <v>1153317.7</v>
      </c>
      <c r="AB289" s="37">
        <v>1141781.8999999999</v>
      </c>
      <c r="AC289" s="37">
        <v>2692</v>
      </c>
      <c r="AD289" s="37">
        <v>2692</v>
      </c>
      <c r="AE289" s="37">
        <v>100000</v>
      </c>
      <c r="AF289" s="168">
        <v>0.02</v>
      </c>
      <c r="AG289" s="37">
        <v>131478565.47</v>
      </c>
      <c r="AH289" s="37">
        <v>1005283.83</v>
      </c>
      <c r="AI289" s="37">
        <v>1051919.71</v>
      </c>
      <c r="AJ289" s="37">
        <v>1072958.1000000001</v>
      </c>
      <c r="AK289" s="37">
        <v>1066815.25</v>
      </c>
      <c r="AL289" s="37">
        <v>1088151.55</v>
      </c>
      <c r="AM289" s="37">
        <v>1354010.29</v>
      </c>
      <c r="AN289" s="37">
        <v>1381090.49</v>
      </c>
      <c r="AO289" s="37">
        <v>1169693.79</v>
      </c>
      <c r="AP289" s="37">
        <v>1366794.37</v>
      </c>
      <c r="AQ289" s="37">
        <v>1378588.08</v>
      </c>
      <c r="AR289" s="37">
        <v>11935305.459999999</v>
      </c>
      <c r="AS289" s="37">
        <v>4541346</v>
      </c>
      <c r="AT289" s="37">
        <v>0</v>
      </c>
      <c r="AU289" s="37">
        <v>0</v>
      </c>
      <c r="AV289" s="37">
        <v>0</v>
      </c>
      <c r="AW289" s="37">
        <v>0</v>
      </c>
      <c r="AX289" s="37">
        <v>0</v>
      </c>
      <c r="AY289" s="37">
        <v>0</v>
      </c>
      <c r="AZ289" s="37">
        <v>0</v>
      </c>
      <c r="BA289" s="37">
        <v>0</v>
      </c>
      <c r="BB289" s="37">
        <v>0</v>
      </c>
      <c r="BC289" s="37">
        <v>0</v>
      </c>
      <c r="BD289" s="37">
        <v>0</v>
      </c>
      <c r="BE289" s="37">
        <v>5993</v>
      </c>
      <c r="BF289" s="37">
        <v>0</v>
      </c>
      <c r="BG289" s="37">
        <v>851092</v>
      </c>
      <c r="BH289" s="37">
        <v>0</v>
      </c>
      <c r="BI289" s="37">
        <v>0</v>
      </c>
      <c r="BJ289" s="37">
        <v>0</v>
      </c>
      <c r="BK289" s="37">
        <v>0</v>
      </c>
      <c r="BL289" s="37">
        <v>0</v>
      </c>
      <c r="BM289" s="37">
        <v>0</v>
      </c>
      <c r="BN289" s="37">
        <v>0</v>
      </c>
      <c r="BO289" s="37">
        <v>0</v>
      </c>
      <c r="BP289" s="37">
        <v>851092</v>
      </c>
      <c r="BQ289" s="37">
        <v>0</v>
      </c>
      <c r="BR289" s="37">
        <v>0</v>
      </c>
      <c r="BS289" s="37">
        <v>212776</v>
      </c>
      <c r="BT289" s="37">
        <v>0</v>
      </c>
      <c r="BU289" s="37">
        <v>0</v>
      </c>
      <c r="BV289" s="37">
        <v>0</v>
      </c>
      <c r="BW289" s="37">
        <v>255000</v>
      </c>
      <c r="BX289" s="37">
        <v>0</v>
      </c>
      <c r="BY289" s="37">
        <v>0</v>
      </c>
      <c r="BZ289" s="37">
        <v>290700</v>
      </c>
      <c r="CA289" s="37">
        <v>0</v>
      </c>
      <c r="CB289" s="37">
        <v>758476</v>
      </c>
      <c r="CC289" s="37">
        <v>0</v>
      </c>
      <c r="CD289" s="37">
        <v>0</v>
      </c>
      <c r="CE289" s="37">
        <v>51000</v>
      </c>
      <c r="CF289" s="37">
        <v>0</v>
      </c>
      <c r="CG289" s="37">
        <v>0</v>
      </c>
      <c r="CH289" s="37">
        <v>0</v>
      </c>
      <c r="CI289" s="37">
        <v>178500</v>
      </c>
      <c r="CJ289" s="37">
        <v>0</v>
      </c>
      <c r="CK289" s="37">
        <v>25500</v>
      </c>
      <c r="CL289" s="37">
        <v>0</v>
      </c>
      <c r="CM289" s="37">
        <v>0</v>
      </c>
      <c r="CN289" s="37">
        <v>255000</v>
      </c>
      <c r="CO289" s="37">
        <v>0</v>
      </c>
      <c r="CP289" s="37">
        <v>0</v>
      </c>
      <c r="CQ289" s="37">
        <v>0</v>
      </c>
      <c r="CR289" s="37">
        <v>0</v>
      </c>
      <c r="CS289" s="37">
        <v>0</v>
      </c>
      <c r="CT289" s="37">
        <v>0</v>
      </c>
      <c r="CU289" s="37">
        <v>0</v>
      </c>
      <c r="CV289" s="37">
        <v>0</v>
      </c>
      <c r="CW289" s="37">
        <v>0</v>
      </c>
      <c r="CX289" s="37">
        <v>0</v>
      </c>
      <c r="CY289" s="37">
        <v>0</v>
      </c>
      <c r="CZ289" s="37">
        <v>0</v>
      </c>
      <c r="DA289" s="37">
        <v>0</v>
      </c>
      <c r="DB289" s="37">
        <v>0</v>
      </c>
      <c r="DC289" s="37">
        <v>0</v>
      </c>
      <c r="DD289" s="37">
        <v>0</v>
      </c>
      <c r="DE289" s="37">
        <v>0</v>
      </c>
      <c r="DF289" s="37">
        <v>0</v>
      </c>
      <c r="DG289" s="37">
        <v>0</v>
      </c>
      <c r="DH289" s="37">
        <v>0</v>
      </c>
      <c r="DI289" s="37">
        <v>0</v>
      </c>
      <c r="DJ289" s="37">
        <v>0</v>
      </c>
      <c r="DK289" s="37">
        <v>0</v>
      </c>
      <c r="DL289" s="37">
        <v>0</v>
      </c>
      <c r="DM289" s="37">
        <v>0</v>
      </c>
      <c r="DN289" s="37">
        <v>0</v>
      </c>
      <c r="DO289" s="37">
        <v>0</v>
      </c>
      <c r="DP289" s="37">
        <v>0</v>
      </c>
      <c r="DQ289" s="37">
        <v>0</v>
      </c>
      <c r="DR289" s="37">
        <v>0</v>
      </c>
      <c r="DS289" s="37">
        <v>0</v>
      </c>
      <c r="DT289" s="37">
        <v>0</v>
      </c>
      <c r="DU289" s="37">
        <v>0</v>
      </c>
      <c r="DV289" s="37">
        <v>0</v>
      </c>
      <c r="DW289" s="37">
        <v>0</v>
      </c>
      <c r="DX289" s="37">
        <v>0</v>
      </c>
      <c r="DY289" s="37">
        <v>0</v>
      </c>
      <c r="DZ289" s="37">
        <v>0</v>
      </c>
      <c r="EA289" s="37">
        <v>0</v>
      </c>
      <c r="EB289" s="37">
        <v>0</v>
      </c>
      <c r="EC289" s="37">
        <v>0</v>
      </c>
      <c r="ED289" s="37">
        <v>0</v>
      </c>
      <c r="EE289" s="37">
        <v>0</v>
      </c>
      <c r="EF289" s="37">
        <v>0</v>
      </c>
      <c r="EG289" s="37">
        <v>0</v>
      </c>
      <c r="EH289" s="37">
        <v>0</v>
      </c>
      <c r="EI289" s="37">
        <v>0</v>
      </c>
      <c r="EJ289" s="37">
        <v>0</v>
      </c>
      <c r="EK289" s="161" t="s">
        <v>2004</v>
      </c>
      <c r="EL289" s="294" t="s">
        <v>1124</v>
      </c>
    </row>
    <row r="290" spans="1:142" ht="15" customHeight="1" x14ac:dyDescent="0.35">
      <c r="A290" s="34"/>
      <c r="B290" s="313">
        <v>56023</v>
      </c>
      <c r="C290" s="8" t="s">
        <v>570</v>
      </c>
      <c r="D290" s="18">
        <v>16</v>
      </c>
      <c r="E290" s="155"/>
      <c r="F290" s="36"/>
      <c r="G290" s="37"/>
      <c r="H290" s="37"/>
      <c r="I290" s="37"/>
      <c r="J290" s="37"/>
      <c r="K290" s="37"/>
      <c r="L290" s="37"/>
      <c r="M290" s="37" t="s">
        <v>1124</v>
      </c>
      <c r="N290" s="37" t="s">
        <v>1124</v>
      </c>
      <c r="O290" s="37"/>
      <c r="P290" s="37"/>
      <c r="Q290" s="37"/>
      <c r="R290" s="37"/>
      <c r="S290" s="37"/>
      <c r="T290" s="37"/>
      <c r="U290" s="37"/>
      <c r="V290" s="37"/>
      <c r="W290" s="37"/>
      <c r="X290" s="37"/>
      <c r="Y290" s="37"/>
      <c r="Z290" s="37"/>
      <c r="AA290" s="37" t="s">
        <v>1124</v>
      </c>
      <c r="AB290" s="37" t="s">
        <v>1124</v>
      </c>
      <c r="AC290" s="37"/>
      <c r="AD290" s="37"/>
      <c r="AE290" s="37"/>
      <c r="AF290" s="168"/>
      <c r="AG290" s="37"/>
      <c r="AH290" s="37"/>
      <c r="AI290" s="37"/>
      <c r="AJ290" s="37"/>
      <c r="AK290" s="37"/>
      <c r="AL290" s="37"/>
      <c r="AM290" s="37"/>
      <c r="AN290" s="37"/>
      <c r="AO290" s="37"/>
      <c r="AP290" s="37"/>
      <c r="AQ290" s="37"/>
      <c r="AR290" s="37" t="s">
        <v>1124</v>
      </c>
      <c r="AS290" s="37"/>
      <c r="AT290" s="37"/>
      <c r="AU290" s="37"/>
      <c r="AV290" s="37"/>
      <c r="AW290" s="37"/>
      <c r="AX290" s="37"/>
      <c r="AY290" s="37"/>
      <c r="AZ290" s="37"/>
      <c r="BA290" s="37"/>
      <c r="BB290" s="37"/>
      <c r="BC290" s="37"/>
      <c r="BD290" s="37" t="s">
        <v>1124</v>
      </c>
      <c r="BE290" s="37"/>
      <c r="BF290" s="37"/>
      <c r="BG290" s="37"/>
      <c r="BH290" s="37"/>
      <c r="BI290" s="37"/>
      <c r="BJ290" s="37"/>
      <c r="BK290" s="37"/>
      <c r="BL290" s="37"/>
      <c r="BM290" s="37"/>
      <c r="BN290" s="37"/>
      <c r="BO290" s="37"/>
      <c r="BP290" s="37">
        <v>0</v>
      </c>
      <c r="BQ290" s="37"/>
      <c r="BR290" s="37"/>
      <c r="BS290" s="37"/>
      <c r="BT290" s="37"/>
      <c r="BU290" s="37"/>
      <c r="BV290" s="37"/>
      <c r="BW290" s="37"/>
      <c r="BX290" s="37"/>
      <c r="BY290" s="37"/>
      <c r="BZ290" s="37"/>
      <c r="CA290" s="37"/>
      <c r="CB290" s="37" t="s">
        <v>1124</v>
      </c>
      <c r="CC290" s="37"/>
      <c r="CD290" s="37"/>
      <c r="CE290" s="37"/>
      <c r="CF290" s="37"/>
      <c r="CG290" s="37"/>
      <c r="CH290" s="37"/>
      <c r="CI290" s="37"/>
      <c r="CJ290" s="37"/>
      <c r="CK290" s="37"/>
      <c r="CL290" s="37"/>
      <c r="CM290" s="37"/>
      <c r="CN290" s="37" t="s">
        <v>1124</v>
      </c>
      <c r="CO290" s="37"/>
      <c r="CP290" s="37"/>
      <c r="CQ290" s="37"/>
      <c r="CR290" s="37"/>
      <c r="CS290" s="37"/>
      <c r="CT290" s="37"/>
      <c r="CU290" s="37"/>
      <c r="CV290" s="37"/>
      <c r="CW290" s="37"/>
      <c r="CX290" s="37"/>
      <c r="CY290" s="37"/>
      <c r="CZ290" s="37" t="s">
        <v>1124</v>
      </c>
      <c r="DA290" s="37"/>
      <c r="DB290" s="37"/>
      <c r="DC290" s="37"/>
      <c r="DD290" s="37"/>
      <c r="DE290" s="37"/>
      <c r="DF290" s="37"/>
      <c r="DG290" s="37"/>
      <c r="DH290" s="37"/>
      <c r="DI290" s="37"/>
      <c r="DJ290" s="37"/>
      <c r="DK290" s="37"/>
      <c r="DL290" s="37" t="s">
        <v>1124</v>
      </c>
      <c r="DM290" s="37"/>
      <c r="DN290" s="37"/>
      <c r="DO290" s="37"/>
      <c r="DP290" s="37"/>
      <c r="DQ290" s="37"/>
      <c r="DR290" s="37"/>
      <c r="DS290" s="37"/>
      <c r="DT290" s="37"/>
      <c r="DU290" s="37"/>
      <c r="DV290" s="37"/>
      <c r="DW290" s="37"/>
      <c r="DX290" s="37" t="s">
        <v>1124</v>
      </c>
      <c r="DY290" s="37"/>
      <c r="DZ290" s="37"/>
      <c r="EA290" s="37"/>
      <c r="EB290" s="37"/>
      <c r="EC290" s="37"/>
      <c r="ED290" s="37"/>
      <c r="EE290" s="37"/>
      <c r="EF290" s="37"/>
      <c r="EG290" s="37"/>
      <c r="EH290" s="37"/>
      <c r="EI290" s="37"/>
      <c r="EJ290" s="37" t="s">
        <v>1124</v>
      </c>
      <c r="EK290" s="161"/>
      <c r="EL290" s="294"/>
    </row>
    <row r="291" spans="1:142" ht="15" customHeight="1" x14ac:dyDescent="0.35">
      <c r="A291" s="34"/>
      <c r="B291" s="313">
        <v>29095</v>
      </c>
      <c r="C291" s="8" t="s">
        <v>212</v>
      </c>
      <c r="D291" s="18">
        <v>12</v>
      </c>
      <c r="E291" s="155"/>
      <c r="F291" s="36"/>
      <c r="G291" s="37"/>
      <c r="H291" s="37"/>
      <c r="I291" s="37"/>
      <c r="J291" s="37"/>
      <c r="K291" s="37"/>
      <c r="L291" s="37"/>
      <c r="M291" s="37" t="s">
        <v>1124</v>
      </c>
      <c r="N291" s="37" t="s">
        <v>1124</v>
      </c>
      <c r="O291" s="37"/>
      <c r="P291" s="37"/>
      <c r="Q291" s="37"/>
      <c r="R291" s="37"/>
      <c r="S291" s="37"/>
      <c r="T291" s="37"/>
      <c r="U291" s="37"/>
      <c r="V291" s="37"/>
      <c r="W291" s="37"/>
      <c r="X291" s="37"/>
      <c r="Y291" s="37"/>
      <c r="Z291" s="37"/>
      <c r="AA291" s="37" t="s">
        <v>1124</v>
      </c>
      <c r="AB291" s="37" t="s">
        <v>1124</v>
      </c>
      <c r="AC291" s="37"/>
      <c r="AD291" s="37"/>
      <c r="AE291" s="37"/>
      <c r="AF291" s="168"/>
      <c r="AG291" s="37"/>
      <c r="AH291" s="37"/>
      <c r="AI291" s="37"/>
      <c r="AJ291" s="37"/>
      <c r="AK291" s="37"/>
      <c r="AL291" s="37"/>
      <c r="AM291" s="37"/>
      <c r="AN291" s="37"/>
      <c r="AO291" s="37"/>
      <c r="AP291" s="37"/>
      <c r="AQ291" s="37"/>
      <c r="AR291" s="37" t="s">
        <v>1124</v>
      </c>
      <c r="AS291" s="37"/>
      <c r="AT291" s="37"/>
      <c r="AU291" s="37"/>
      <c r="AV291" s="37"/>
      <c r="AW291" s="37"/>
      <c r="AX291" s="37"/>
      <c r="AY291" s="37"/>
      <c r="AZ291" s="37"/>
      <c r="BA291" s="37"/>
      <c r="BB291" s="37"/>
      <c r="BC291" s="37"/>
      <c r="BD291" s="37" t="s">
        <v>1124</v>
      </c>
      <c r="BE291" s="37"/>
      <c r="BF291" s="37"/>
      <c r="BG291" s="37"/>
      <c r="BH291" s="37"/>
      <c r="BI291" s="37"/>
      <c r="BJ291" s="37"/>
      <c r="BK291" s="37"/>
      <c r="BL291" s="37"/>
      <c r="BM291" s="37"/>
      <c r="BN291" s="37"/>
      <c r="BO291" s="37"/>
      <c r="BP291" s="37">
        <v>0</v>
      </c>
      <c r="BQ291" s="37"/>
      <c r="BR291" s="37"/>
      <c r="BS291" s="37"/>
      <c r="BT291" s="37"/>
      <c r="BU291" s="37"/>
      <c r="BV291" s="37"/>
      <c r="BW291" s="37"/>
      <c r="BX291" s="37"/>
      <c r="BY291" s="37"/>
      <c r="BZ291" s="37"/>
      <c r="CA291" s="37"/>
      <c r="CB291" s="37" t="s">
        <v>1124</v>
      </c>
      <c r="CC291" s="37"/>
      <c r="CD291" s="37"/>
      <c r="CE291" s="37"/>
      <c r="CF291" s="37"/>
      <c r="CG291" s="37"/>
      <c r="CH291" s="37"/>
      <c r="CI291" s="37"/>
      <c r="CJ291" s="37"/>
      <c r="CK291" s="37"/>
      <c r="CL291" s="37"/>
      <c r="CM291" s="37"/>
      <c r="CN291" s="37" t="s">
        <v>1124</v>
      </c>
      <c r="CO291" s="37"/>
      <c r="CP291" s="37"/>
      <c r="CQ291" s="37"/>
      <c r="CR291" s="37"/>
      <c r="CS291" s="37"/>
      <c r="CT291" s="37"/>
      <c r="CU291" s="37"/>
      <c r="CV291" s="37"/>
      <c r="CW291" s="37"/>
      <c r="CX291" s="37"/>
      <c r="CY291" s="37"/>
      <c r="CZ291" s="37" t="s">
        <v>1124</v>
      </c>
      <c r="DA291" s="37"/>
      <c r="DB291" s="37"/>
      <c r="DC291" s="37"/>
      <c r="DD291" s="37"/>
      <c r="DE291" s="37"/>
      <c r="DF291" s="37"/>
      <c r="DG291" s="37"/>
      <c r="DH291" s="37"/>
      <c r="DI291" s="37"/>
      <c r="DJ291" s="37"/>
      <c r="DK291" s="37"/>
      <c r="DL291" s="37" t="s">
        <v>1124</v>
      </c>
      <c r="DM291" s="37"/>
      <c r="DN291" s="37"/>
      <c r="DO291" s="37"/>
      <c r="DP291" s="37"/>
      <c r="DQ291" s="37"/>
      <c r="DR291" s="37"/>
      <c r="DS291" s="37"/>
      <c r="DT291" s="37"/>
      <c r="DU291" s="37"/>
      <c r="DV291" s="37"/>
      <c r="DW291" s="37"/>
      <c r="DX291" s="37" t="s">
        <v>1124</v>
      </c>
      <c r="DY291" s="37"/>
      <c r="DZ291" s="37"/>
      <c r="EA291" s="37"/>
      <c r="EB291" s="37"/>
      <c r="EC291" s="37"/>
      <c r="ED291" s="37"/>
      <c r="EE291" s="37"/>
      <c r="EF291" s="37"/>
      <c r="EG291" s="37"/>
      <c r="EH291" s="37"/>
      <c r="EI291" s="37"/>
      <c r="EJ291" s="37" t="s">
        <v>1124</v>
      </c>
      <c r="EK291" s="161"/>
      <c r="EL291" s="294"/>
    </row>
    <row r="292" spans="1:142" ht="15" customHeight="1" x14ac:dyDescent="0.35">
      <c r="A292" s="34"/>
      <c r="B292" s="313">
        <v>79060</v>
      </c>
      <c r="C292" s="8" t="s">
        <v>795</v>
      </c>
      <c r="D292" s="18">
        <v>15</v>
      </c>
      <c r="E292" s="155"/>
      <c r="F292" s="36"/>
      <c r="G292" s="37"/>
      <c r="H292" s="37"/>
      <c r="I292" s="37"/>
      <c r="J292" s="37"/>
      <c r="K292" s="37"/>
      <c r="L292" s="37"/>
      <c r="M292" s="37" t="s">
        <v>1124</v>
      </c>
      <c r="N292" s="37" t="s">
        <v>1124</v>
      </c>
      <c r="O292" s="37"/>
      <c r="P292" s="37"/>
      <c r="Q292" s="37"/>
      <c r="R292" s="37"/>
      <c r="S292" s="37"/>
      <c r="T292" s="37"/>
      <c r="U292" s="37"/>
      <c r="V292" s="37"/>
      <c r="W292" s="37"/>
      <c r="X292" s="37"/>
      <c r="Y292" s="37"/>
      <c r="Z292" s="37"/>
      <c r="AA292" s="37" t="s">
        <v>1124</v>
      </c>
      <c r="AB292" s="37" t="s">
        <v>1124</v>
      </c>
      <c r="AC292" s="37"/>
      <c r="AD292" s="37"/>
      <c r="AE292" s="37"/>
      <c r="AF292" s="168"/>
      <c r="AG292" s="37"/>
      <c r="AH292" s="37"/>
      <c r="AI292" s="37"/>
      <c r="AJ292" s="37"/>
      <c r="AK292" s="37"/>
      <c r="AL292" s="37"/>
      <c r="AM292" s="37"/>
      <c r="AN292" s="37"/>
      <c r="AO292" s="37"/>
      <c r="AP292" s="37"/>
      <c r="AQ292" s="37"/>
      <c r="AR292" s="37" t="s">
        <v>1124</v>
      </c>
      <c r="AS292" s="37"/>
      <c r="AT292" s="37"/>
      <c r="AU292" s="37"/>
      <c r="AV292" s="37"/>
      <c r="AW292" s="37"/>
      <c r="AX292" s="37"/>
      <c r="AY292" s="37"/>
      <c r="AZ292" s="37"/>
      <c r="BA292" s="37"/>
      <c r="BB292" s="37"/>
      <c r="BC292" s="37"/>
      <c r="BD292" s="37" t="s">
        <v>1124</v>
      </c>
      <c r="BE292" s="37"/>
      <c r="BF292" s="37"/>
      <c r="BG292" s="37"/>
      <c r="BH292" s="37"/>
      <c r="BI292" s="37"/>
      <c r="BJ292" s="37"/>
      <c r="BK292" s="37"/>
      <c r="BL292" s="37"/>
      <c r="BM292" s="37"/>
      <c r="BN292" s="37"/>
      <c r="BO292" s="37"/>
      <c r="BP292" s="37">
        <v>0</v>
      </c>
      <c r="BQ292" s="37"/>
      <c r="BR292" s="37"/>
      <c r="BS292" s="37"/>
      <c r="BT292" s="37"/>
      <c r="BU292" s="37"/>
      <c r="BV292" s="37"/>
      <c r="BW292" s="37"/>
      <c r="BX292" s="37"/>
      <c r="BY292" s="37"/>
      <c r="BZ292" s="37"/>
      <c r="CA292" s="37"/>
      <c r="CB292" s="37" t="s">
        <v>1124</v>
      </c>
      <c r="CC292" s="37"/>
      <c r="CD292" s="37"/>
      <c r="CE292" s="37"/>
      <c r="CF292" s="37"/>
      <c r="CG292" s="37"/>
      <c r="CH292" s="37"/>
      <c r="CI292" s="37"/>
      <c r="CJ292" s="37"/>
      <c r="CK292" s="37"/>
      <c r="CL292" s="37"/>
      <c r="CM292" s="37"/>
      <c r="CN292" s="37" t="s">
        <v>1124</v>
      </c>
      <c r="CO292" s="37"/>
      <c r="CP292" s="37"/>
      <c r="CQ292" s="37"/>
      <c r="CR292" s="37"/>
      <c r="CS292" s="37"/>
      <c r="CT292" s="37"/>
      <c r="CU292" s="37"/>
      <c r="CV292" s="37"/>
      <c r="CW292" s="37"/>
      <c r="CX292" s="37"/>
      <c r="CY292" s="37"/>
      <c r="CZ292" s="37" t="s">
        <v>1124</v>
      </c>
      <c r="DA292" s="37"/>
      <c r="DB292" s="37"/>
      <c r="DC292" s="37"/>
      <c r="DD292" s="37"/>
      <c r="DE292" s="37"/>
      <c r="DF292" s="37"/>
      <c r="DG292" s="37"/>
      <c r="DH292" s="37"/>
      <c r="DI292" s="37"/>
      <c r="DJ292" s="37"/>
      <c r="DK292" s="37"/>
      <c r="DL292" s="37" t="s">
        <v>1124</v>
      </c>
      <c r="DM292" s="37"/>
      <c r="DN292" s="37"/>
      <c r="DO292" s="37"/>
      <c r="DP292" s="37"/>
      <c r="DQ292" s="37"/>
      <c r="DR292" s="37"/>
      <c r="DS292" s="37"/>
      <c r="DT292" s="37"/>
      <c r="DU292" s="37"/>
      <c r="DV292" s="37"/>
      <c r="DW292" s="37"/>
      <c r="DX292" s="37" t="s">
        <v>1124</v>
      </c>
      <c r="DY292" s="37"/>
      <c r="DZ292" s="37"/>
      <c r="EA292" s="37"/>
      <c r="EB292" s="37"/>
      <c r="EC292" s="37"/>
      <c r="ED292" s="37"/>
      <c r="EE292" s="37"/>
      <c r="EF292" s="37"/>
      <c r="EG292" s="37"/>
      <c r="EH292" s="37"/>
      <c r="EI292" s="37"/>
      <c r="EJ292" s="37" t="s">
        <v>1124</v>
      </c>
      <c r="EK292" s="161"/>
      <c r="EL292" s="294"/>
    </row>
    <row r="293" spans="1:142" ht="15" customHeight="1" x14ac:dyDescent="0.35">
      <c r="A293" s="34"/>
      <c r="B293" s="313">
        <v>83020</v>
      </c>
      <c r="C293" s="8" t="s">
        <v>838</v>
      </c>
      <c r="D293" s="18">
        <v>7</v>
      </c>
      <c r="E293" s="155"/>
      <c r="F293" s="36"/>
      <c r="G293" s="37"/>
      <c r="H293" s="37"/>
      <c r="I293" s="37"/>
      <c r="J293" s="37"/>
      <c r="K293" s="37"/>
      <c r="L293" s="37"/>
      <c r="M293" s="37" t="s">
        <v>1124</v>
      </c>
      <c r="N293" s="37" t="s">
        <v>1124</v>
      </c>
      <c r="O293" s="37"/>
      <c r="P293" s="37"/>
      <c r="Q293" s="37"/>
      <c r="R293" s="37"/>
      <c r="S293" s="37"/>
      <c r="T293" s="37"/>
      <c r="U293" s="37"/>
      <c r="V293" s="37"/>
      <c r="W293" s="37"/>
      <c r="X293" s="37"/>
      <c r="Y293" s="37"/>
      <c r="Z293" s="37"/>
      <c r="AA293" s="37" t="s">
        <v>1124</v>
      </c>
      <c r="AB293" s="37" t="s">
        <v>1124</v>
      </c>
      <c r="AC293" s="37"/>
      <c r="AD293" s="37"/>
      <c r="AE293" s="37"/>
      <c r="AF293" s="168"/>
      <c r="AG293" s="37"/>
      <c r="AH293" s="37"/>
      <c r="AI293" s="37"/>
      <c r="AJ293" s="37"/>
      <c r="AK293" s="37"/>
      <c r="AL293" s="37"/>
      <c r="AM293" s="37"/>
      <c r="AN293" s="37"/>
      <c r="AO293" s="37"/>
      <c r="AP293" s="37"/>
      <c r="AQ293" s="37"/>
      <c r="AR293" s="37" t="s">
        <v>1124</v>
      </c>
      <c r="AS293" s="37"/>
      <c r="AT293" s="37"/>
      <c r="AU293" s="37"/>
      <c r="AV293" s="37"/>
      <c r="AW293" s="37"/>
      <c r="AX293" s="37"/>
      <c r="AY293" s="37"/>
      <c r="AZ293" s="37"/>
      <c r="BA293" s="37"/>
      <c r="BB293" s="37"/>
      <c r="BC293" s="37"/>
      <c r="BD293" s="37" t="s">
        <v>1124</v>
      </c>
      <c r="BE293" s="37"/>
      <c r="BF293" s="37"/>
      <c r="BG293" s="37"/>
      <c r="BH293" s="37"/>
      <c r="BI293" s="37"/>
      <c r="BJ293" s="37"/>
      <c r="BK293" s="37"/>
      <c r="BL293" s="37"/>
      <c r="BM293" s="37"/>
      <c r="BN293" s="37"/>
      <c r="BO293" s="37"/>
      <c r="BP293" s="37">
        <v>0</v>
      </c>
      <c r="BQ293" s="37"/>
      <c r="BR293" s="37"/>
      <c r="BS293" s="37"/>
      <c r="BT293" s="37"/>
      <c r="BU293" s="37"/>
      <c r="BV293" s="37"/>
      <c r="BW293" s="37"/>
      <c r="BX293" s="37"/>
      <c r="BY293" s="37"/>
      <c r="BZ293" s="37"/>
      <c r="CA293" s="37"/>
      <c r="CB293" s="37" t="s">
        <v>1124</v>
      </c>
      <c r="CC293" s="37"/>
      <c r="CD293" s="37"/>
      <c r="CE293" s="37"/>
      <c r="CF293" s="37"/>
      <c r="CG293" s="37"/>
      <c r="CH293" s="37"/>
      <c r="CI293" s="37"/>
      <c r="CJ293" s="37"/>
      <c r="CK293" s="37"/>
      <c r="CL293" s="37"/>
      <c r="CM293" s="37"/>
      <c r="CN293" s="37" t="s">
        <v>1124</v>
      </c>
      <c r="CO293" s="37"/>
      <c r="CP293" s="37"/>
      <c r="CQ293" s="37"/>
      <c r="CR293" s="37"/>
      <c r="CS293" s="37"/>
      <c r="CT293" s="37"/>
      <c r="CU293" s="37"/>
      <c r="CV293" s="37"/>
      <c r="CW293" s="37"/>
      <c r="CX293" s="37"/>
      <c r="CY293" s="37"/>
      <c r="CZ293" s="37" t="s">
        <v>1124</v>
      </c>
      <c r="DA293" s="37"/>
      <c r="DB293" s="37"/>
      <c r="DC293" s="37"/>
      <c r="DD293" s="37"/>
      <c r="DE293" s="37"/>
      <c r="DF293" s="37"/>
      <c r="DG293" s="37"/>
      <c r="DH293" s="37"/>
      <c r="DI293" s="37"/>
      <c r="DJ293" s="37"/>
      <c r="DK293" s="37"/>
      <c r="DL293" s="37" t="s">
        <v>1124</v>
      </c>
      <c r="DM293" s="37"/>
      <c r="DN293" s="37"/>
      <c r="DO293" s="37"/>
      <c r="DP293" s="37"/>
      <c r="DQ293" s="37"/>
      <c r="DR293" s="37"/>
      <c r="DS293" s="37"/>
      <c r="DT293" s="37"/>
      <c r="DU293" s="37"/>
      <c r="DV293" s="37"/>
      <c r="DW293" s="37"/>
      <c r="DX293" s="37" t="s">
        <v>1124</v>
      </c>
      <c r="DY293" s="37"/>
      <c r="DZ293" s="37"/>
      <c r="EA293" s="37"/>
      <c r="EB293" s="37"/>
      <c r="EC293" s="37"/>
      <c r="ED293" s="37"/>
      <c r="EE293" s="37"/>
      <c r="EF293" s="37"/>
      <c r="EG293" s="37"/>
      <c r="EH293" s="37"/>
      <c r="EI293" s="37"/>
      <c r="EJ293" s="37" t="s">
        <v>1124</v>
      </c>
      <c r="EK293" s="161"/>
      <c r="EL293" s="294"/>
    </row>
    <row r="294" spans="1:142" ht="15" customHeight="1" x14ac:dyDescent="0.35">
      <c r="A294" s="34"/>
      <c r="B294" s="314">
        <v>22015</v>
      </c>
      <c r="C294" s="8" t="s">
        <v>155</v>
      </c>
      <c r="D294" s="18">
        <v>3</v>
      </c>
      <c r="E294" s="155"/>
      <c r="F294" s="36"/>
      <c r="G294" s="37"/>
      <c r="H294" s="37"/>
      <c r="I294" s="37"/>
      <c r="J294" s="37"/>
      <c r="K294" s="37"/>
      <c r="L294" s="37"/>
      <c r="M294" s="37" t="s">
        <v>1124</v>
      </c>
      <c r="N294" s="37" t="s">
        <v>1124</v>
      </c>
      <c r="O294" s="37"/>
      <c r="P294" s="37"/>
      <c r="Q294" s="37"/>
      <c r="R294" s="37"/>
      <c r="S294" s="37"/>
      <c r="T294" s="37"/>
      <c r="U294" s="37"/>
      <c r="V294" s="37"/>
      <c r="W294" s="37"/>
      <c r="X294" s="37"/>
      <c r="Y294" s="37"/>
      <c r="Z294" s="37"/>
      <c r="AA294" s="37" t="s">
        <v>1124</v>
      </c>
      <c r="AB294" s="37" t="s">
        <v>1124</v>
      </c>
      <c r="AC294" s="37"/>
      <c r="AD294" s="37"/>
      <c r="AE294" s="37"/>
      <c r="AF294" s="168"/>
      <c r="AG294" s="37"/>
      <c r="AH294" s="37"/>
      <c r="AI294" s="37"/>
      <c r="AJ294" s="37"/>
      <c r="AK294" s="37"/>
      <c r="AL294" s="37"/>
      <c r="AM294" s="37"/>
      <c r="AN294" s="37"/>
      <c r="AO294" s="37"/>
      <c r="AP294" s="37"/>
      <c r="AQ294" s="37"/>
      <c r="AR294" s="37" t="s">
        <v>1124</v>
      </c>
      <c r="AS294" s="37"/>
      <c r="AT294" s="37"/>
      <c r="AU294" s="37"/>
      <c r="AV294" s="37"/>
      <c r="AW294" s="37"/>
      <c r="AX294" s="37"/>
      <c r="AY294" s="37"/>
      <c r="AZ294" s="37"/>
      <c r="BA294" s="37"/>
      <c r="BB294" s="37"/>
      <c r="BC294" s="37"/>
      <c r="BD294" s="37" t="s">
        <v>1124</v>
      </c>
      <c r="BE294" s="37"/>
      <c r="BF294" s="37"/>
      <c r="BG294" s="37"/>
      <c r="BH294" s="37"/>
      <c r="BI294" s="37"/>
      <c r="BJ294" s="37"/>
      <c r="BK294" s="37"/>
      <c r="BL294" s="37"/>
      <c r="BM294" s="37"/>
      <c r="BN294" s="37"/>
      <c r="BO294" s="37"/>
      <c r="BP294" s="37">
        <v>0</v>
      </c>
      <c r="BQ294" s="37"/>
      <c r="BR294" s="37"/>
      <c r="BS294" s="37"/>
      <c r="BT294" s="37"/>
      <c r="BU294" s="37"/>
      <c r="BV294" s="37"/>
      <c r="BW294" s="37"/>
      <c r="BX294" s="37"/>
      <c r="BY294" s="37"/>
      <c r="BZ294" s="37"/>
      <c r="CA294" s="37"/>
      <c r="CB294" s="37" t="s">
        <v>1124</v>
      </c>
      <c r="CC294" s="37"/>
      <c r="CD294" s="37"/>
      <c r="CE294" s="37"/>
      <c r="CF294" s="37"/>
      <c r="CG294" s="37"/>
      <c r="CH294" s="37"/>
      <c r="CI294" s="37"/>
      <c r="CJ294" s="37"/>
      <c r="CK294" s="37"/>
      <c r="CL294" s="37"/>
      <c r="CM294" s="37"/>
      <c r="CN294" s="37" t="s">
        <v>1124</v>
      </c>
      <c r="CO294" s="37"/>
      <c r="CP294" s="37"/>
      <c r="CQ294" s="37"/>
      <c r="CR294" s="37"/>
      <c r="CS294" s="37"/>
      <c r="CT294" s="37"/>
      <c r="CU294" s="37"/>
      <c r="CV294" s="37"/>
      <c r="CW294" s="37"/>
      <c r="CX294" s="37"/>
      <c r="CY294" s="37"/>
      <c r="CZ294" s="37" t="s">
        <v>1124</v>
      </c>
      <c r="DA294" s="37"/>
      <c r="DB294" s="37"/>
      <c r="DC294" s="37"/>
      <c r="DD294" s="37"/>
      <c r="DE294" s="37"/>
      <c r="DF294" s="37"/>
      <c r="DG294" s="37"/>
      <c r="DH294" s="37"/>
      <c r="DI294" s="37"/>
      <c r="DJ294" s="37"/>
      <c r="DK294" s="37"/>
      <c r="DL294" s="37" t="s">
        <v>1124</v>
      </c>
      <c r="DM294" s="37"/>
      <c r="DN294" s="37"/>
      <c r="DO294" s="37"/>
      <c r="DP294" s="37"/>
      <c r="DQ294" s="37"/>
      <c r="DR294" s="37"/>
      <c r="DS294" s="37"/>
      <c r="DT294" s="37"/>
      <c r="DU294" s="37"/>
      <c r="DV294" s="37"/>
      <c r="DW294" s="37"/>
      <c r="DX294" s="37" t="s">
        <v>1124</v>
      </c>
      <c r="DY294" s="37"/>
      <c r="DZ294" s="37"/>
      <c r="EA294" s="37"/>
      <c r="EB294" s="37"/>
      <c r="EC294" s="37"/>
      <c r="ED294" s="37"/>
      <c r="EE294" s="37"/>
      <c r="EF294" s="37"/>
      <c r="EG294" s="37"/>
      <c r="EH294" s="37"/>
      <c r="EI294" s="37"/>
      <c r="EJ294" s="37" t="s">
        <v>1124</v>
      </c>
      <c r="EK294" s="161"/>
      <c r="EL294" s="294"/>
    </row>
    <row r="295" spans="1:142" ht="15" customHeight="1" x14ac:dyDescent="0.35">
      <c r="A295" s="34"/>
      <c r="B295" s="313">
        <v>79105</v>
      </c>
      <c r="C295" s="8" t="s">
        <v>800</v>
      </c>
      <c r="D295" s="18">
        <v>15</v>
      </c>
      <c r="E295" s="155"/>
      <c r="F295" s="36"/>
      <c r="G295" s="37"/>
      <c r="H295" s="37"/>
      <c r="I295" s="37"/>
      <c r="J295" s="37"/>
      <c r="K295" s="37"/>
      <c r="L295" s="37"/>
      <c r="M295" s="37" t="s">
        <v>1124</v>
      </c>
      <c r="N295" s="37" t="s">
        <v>1124</v>
      </c>
      <c r="O295" s="37"/>
      <c r="P295" s="37"/>
      <c r="Q295" s="37"/>
      <c r="R295" s="37"/>
      <c r="S295" s="37"/>
      <c r="T295" s="37"/>
      <c r="U295" s="37"/>
      <c r="V295" s="37"/>
      <c r="W295" s="37"/>
      <c r="X295" s="37"/>
      <c r="Y295" s="37"/>
      <c r="Z295" s="37"/>
      <c r="AA295" s="37" t="s">
        <v>1124</v>
      </c>
      <c r="AB295" s="37" t="s">
        <v>1124</v>
      </c>
      <c r="AC295" s="37"/>
      <c r="AD295" s="37"/>
      <c r="AE295" s="37"/>
      <c r="AF295" s="168"/>
      <c r="AG295" s="37"/>
      <c r="AH295" s="37"/>
      <c r="AI295" s="37"/>
      <c r="AJ295" s="37"/>
      <c r="AK295" s="37"/>
      <c r="AL295" s="37"/>
      <c r="AM295" s="37"/>
      <c r="AN295" s="37"/>
      <c r="AO295" s="37"/>
      <c r="AP295" s="37"/>
      <c r="AQ295" s="37"/>
      <c r="AR295" s="37" t="s">
        <v>1124</v>
      </c>
      <c r="AS295" s="37"/>
      <c r="AT295" s="37"/>
      <c r="AU295" s="37"/>
      <c r="AV295" s="37"/>
      <c r="AW295" s="37"/>
      <c r="AX295" s="37"/>
      <c r="AY295" s="37"/>
      <c r="AZ295" s="37"/>
      <c r="BA295" s="37"/>
      <c r="BB295" s="37"/>
      <c r="BC295" s="37"/>
      <c r="BD295" s="37" t="s">
        <v>1124</v>
      </c>
      <c r="BE295" s="37"/>
      <c r="BF295" s="37"/>
      <c r="BG295" s="37"/>
      <c r="BH295" s="37"/>
      <c r="BI295" s="37"/>
      <c r="BJ295" s="37"/>
      <c r="BK295" s="37"/>
      <c r="BL295" s="37"/>
      <c r="BM295" s="37"/>
      <c r="BN295" s="37"/>
      <c r="BO295" s="37"/>
      <c r="BP295" s="37">
        <v>0</v>
      </c>
      <c r="BQ295" s="37"/>
      <c r="BR295" s="37"/>
      <c r="BS295" s="37"/>
      <c r="BT295" s="37"/>
      <c r="BU295" s="37"/>
      <c r="BV295" s="37"/>
      <c r="BW295" s="37"/>
      <c r="BX295" s="37"/>
      <c r="BY295" s="37"/>
      <c r="BZ295" s="37"/>
      <c r="CA295" s="37"/>
      <c r="CB295" s="37" t="s">
        <v>1124</v>
      </c>
      <c r="CC295" s="37"/>
      <c r="CD295" s="37"/>
      <c r="CE295" s="37"/>
      <c r="CF295" s="37"/>
      <c r="CG295" s="37"/>
      <c r="CH295" s="37"/>
      <c r="CI295" s="37"/>
      <c r="CJ295" s="37"/>
      <c r="CK295" s="37"/>
      <c r="CL295" s="37"/>
      <c r="CM295" s="37"/>
      <c r="CN295" s="37" t="s">
        <v>1124</v>
      </c>
      <c r="CO295" s="37"/>
      <c r="CP295" s="37"/>
      <c r="CQ295" s="37"/>
      <c r="CR295" s="37"/>
      <c r="CS295" s="37"/>
      <c r="CT295" s="37"/>
      <c r="CU295" s="37"/>
      <c r="CV295" s="37"/>
      <c r="CW295" s="37"/>
      <c r="CX295" s="37"/>
      <c r="CY295" s="37"/>
      <c r="CZ295" s="37" t="s">
        <v>1124</v>
      </c>
      <c r="DA295" s="37"/>
      <c r="DB295" s="37"/>
      <c r="DC295" s="37"/>
      <c r="DD295" s="37"/>
      <c r="DE295" s="37"/>
      <c r="DF295" s="37"/>
      <c r="DG295" s="37"/>
      <c r="DH295" s="37"/>
      <c r="DI295" s="37"/>
      <c r="DJ295" s="37"/>
      <c r="DK295" s="37"/>
      <c r="DL295" s="37" t="s">
        <v>1124</v>
      </c>
      <c r="DM295" s="37"/>
      <c r="DN295" s="37"/>
      <c r="DO295" s="37"/>
      <c r="DP295" s="37"/>
      <c r="DQ295" s="37"/>
      <c r="DR295" s="37"/>
      <c r="DS295" s="37"/>
      <c r="DT295" s="37"/>
      <c r="DU295" s="37"/>
      <c r="DV295" s="37"/>
      <c r="DW295" s="37"/>
      <c r="DX295" s="37" t="s">
        <v>1124</v>
      </c>
      <c r="DY295" s="37"/>
      <c r="DZ295" s="37"/>
      <c r="EA295" s="37"/>
      <c r="EB295" s="37"/>
      <c r="EC295" s="37"/>
      <c r="ED295" s="37"/>
      <c r="EE295" s="37"/>
      <c r="EF295" s="37"/>
      <c r="EG295" s="37"/>
      <c r="EH295" s="37"/>
      <c r="EI295" s="37"/>
      <c r="EJ295" s="37" t="s">
        <v>1124</v>
      </c>
      <c r="EK295" s="161"/>
      <c r="EL295" s="294"/>
    </row>
    <row r="296" spans="1:142" ht="15" customHeight="1" x14ac:dyDescent="0.35">
      <c r="A296" s="34"/>
      <c r="B296" s="313">
        <v>34120</v>
      </c>
      <c r="C296" s="8" t="s">
        <v>300</v>
      </c>
      <c r="D296" s="18">
        <v>3</v>
      </c>
      <c r="E296" s="155"/>
      <c r="F296" s="36"/>
      <c r="G296" s="37"/>
      <c r="H296" s="37"/>
      <c r="I296" s="37"/>
      <c r="J296" s="37"/>
      <c r="K296" s="37"/>
      <c r="L296" s="37"/>
      <c r="M296" s="37" t="s">
        <v>1124</v>
      </c>
      <c r="N296" s="37" t="s">
        <v>1124</v>
      </c>
      <c r="O296" s="37"/>
      <c r="P296" s="37"/>
      <c r="Q296" s="37"/>
      <c r="R296" s="37"/>
      <c r="S296" s="37"/>
      <c r="T296" s="37"/>
      <c r="U296" s="37"/>
      <c r="V296" s="37"/>
      <c r="W296" s="37"/>
      <c r="X296" s="37"/>
      <c r="Y296" s="37"/>
      <c r="Z296" s="37"/>
      <c r="AA296" s="37" t="s">
        <v>1124</v>
      </c>
      <c r="AB296" s="37" t="s">
        <v>1124</v>
      </c>
      <c r="AC296" s="37"/>
      <c r="AD296" s="37"/>
      <c r="AE296" s="37"/>
      <c r="AF296" s="168"/>
      <c r="AG296" s="37"/>
      <c r="AH296" s="37"/>
      <c r="AI296" s="37"/>
      <c r="AJ296" s="37"/>
      <c r="AK296" s="37"/>
      <c r="AL296" s="37"/>
      <c r="AM296" s="37"/>
      <c r="AN296" s="37"/>
      <c r="AO296" s="37"/>
      <c r="AP296" s="37"/>
      <c r="AQ296" s="37"/>
      <c r="AR296" s="37" t="s">
        <v>1124</v>
      </c>
      <c r="AS296" s="37"/>
      <c r="AT296" s="37"/>
      <c r="AU296" s="37"/>
      <c r="AV296" s="37"/>
      <c r="AW296" s="37"/>
      <c r="AX296" s="37"/>
      <c r="AY296" s="37"/>
      <c r="AZ296" s="37"/>
      <c r="BA296" s="37"/>
      <c r="BB296" s="37"/>
      <c r="BC296" s="37"/>
      <c r="BD296" s="37" t="s">
        <v>1124</v>
      </c>
      <c r="BE296" s="37"/>
      <c r="BF296" s="37"/>
      <c r="BG296" s="37"/>
      <c r="BH296" s="37"/>
      <c r="BI296" s="37"/>
      <c r="BJ296" s="37"/>
      <c r="BK296" s="37"/>
      <c r="BL296" s="37"/>
      <c r="BM296" s="37"/>
      <c r="BN296" s="37"/>
      <c r="BO296" s="37"/>
      <c r="BP296" s="37">
        <v>0</v>
      </c>
      <c r="BQ296" s="37"/>
      <c r="BR296" s="37"/>
      <c r="BS296" s="37"/>
      <c r="BT296" s="37"/>
      <c r="BU296" s="37"/>
      <c r="BV296" s="37"/>
      <c r="BW296" s="37"/>
      <c r="BX296" s="37"/>
      <c r="BY296" s="37"/>
      <c r="BZ296" s="37"/>
      <c r="CA296" s="37"/>
      <c r="CB296" s="37" t="s">
        <v>1124</v>
      </c>
      <c r="CC296" s="37"/>
      <c r="CD296" s="37"/>
      <c r="CE296" s="37"/>
      <c r="CF296" s="37"/>
      <c r="CG296" s="37"/>
      <c r="CH296" s="37"/>
      <c r="CI296" s="37"/>
      <c r="CJ296" s="37"/>
      <c r="CK296" s="37"/>
      <c r="CL296" s="37"/>
      <c r="CM296" s="37"/>
      <c r="CN296" s="37" t="s">
        <v>1124</v>
      </c>
      <c r="CO296" s="37"/>
      <c r="CP296" s="37"/>
      <c r="CQ296" s="37"/>
      <c r="CR296" s="37"/>
      <c r="CS296" s="37"/>
      <c r="CT296" s="37"/>
      <c r="CU296" s="37"/>
      <c r="CV296" s="37"/>
      <c r="CW296" s="37"/>
      <c r="CX296" s="37"/>
      <c r="CY296" s="37"/>
      <c r="CZ296" s="37" t="s">
        <v>1124</v>
      </c>
      <c r="DA296" s="37"/>
      <c r="DB296" s="37"/>
      <c r="DC296" s="37"/>
      <c r="DD296" s="37"/>
      <c r="DE296" s="37"/>
      <c r="DF296" s="37"/>
      <c r="DG296" s="37"/>
      <c r="DH296" s="37"/>
      <c r="DI296" s="37"/>
      <c r="DJ296" s="37"/>
      <c r="DK296" s="37"/>
      <c r="DL296" s="37" t="s">
        <v>1124</v>
      </c>
      <c r="DM296" s="37"/>
      <c r="DN296" s="37"/>
      <c r="DO296" s="37"/>
      <c r="DP296" s="37"/>
      <c r="DQ296" s="37"/>
      <c r="DR296" s="37"/>
      <c r="DS296" s="37"/>
      <c r="DT296" s="37"/>
      <c r="DU296" s="37"/>
      <c r="DV296" s="37"/>
      <c r="DW296" s="37"/>
      <c r="DX296" s="37" t="s">
        <v>1124</v>
      </c>
      <c r="DY296" s="37"/>
      <c r="DZ296" s="37"/>
      <c r="EA296" s="37"/>
      <c r="EB296" s="37"/>
      <c r="EC296" s="37"/>
      <c r="ED296" s="37"/>
      <c r="EE296" s="37"/>
      <c r="EF296" s="37"/>
      <c r="EG296" s="37"/>
      <c r="EH296" s="37"/>
      <c r="EI296" s="37"/>
      <c r="EJ296" s="37" t="s">
        <v>1124</v>
      </c>
      <c r="EK296" s="161"/>
      <c r="EL296" s="294"/>
    </row>
    <row r="297" spans="1:142" ht="15" customHeight="1" x14ac:dyDescent="0.35">
      <c r="A297" s="34"/>
      <c r="B297" s="313">
        <v>80095</v>
      </c>
      <c r="C297" s="8" t="s">
        <v>818</v>
      </c>
      <c r="D297" s="18">
        <v>7</v>
      </c>
      <c r="E297" s="155"/>
      <c r="F297" s="36"/>
      <c r="G297" s="37"/>
      <c r="H297" s="37"/>
      <c r="I297" s="37"/>
      <c r="J297" s="37"/>
      <c r="K297" s="37"/>
      <c r="L297" s="37"/>
      <c r="M297" s="37" t="s">
        <v>1124</v>
      </c>
      <c r="N297" s="37" t="s">
        <v>1124</v>
      </c>
      <c r="O297" s="37"/>
      <c r="P297" s="37"/>
      <c r="Q297" s="37"/>
      <c r="R297" s="37"/>
      <c r="S297" s="37"/>
      <c r="T297" s="37"/>
      <c r="U297" s="37"/>
      <c r="V297" s="37"/>
      <c r="W297" s="37"/>
      <c r="X297" s="37"/>
      <c r="Y297" s="37"/>
      <c r="Z297" s="37"/>
      <c r="AA297" s="37" t="s">
        <v>1124</v>
      </c>
      <c r="AB297" s="37" t="s">
        <v>1124</v>
      </c>
      <c r="AC297" s="37"/>
      <c r="AD297" s="37"/>
      <c r="AE297" s="37"/>
      <c r="AF297" s="168"/>
      <c r="AG297" s="37"/>
      <c r="AH297" s="37"/>
      <c r="AI297" s="37"/>
      <c r="AJ297" s="37"/>
      <c r="AK297" s="37"/>
      <c r="AL297" s="37"/>
      <c r="AM297" s="37"/>
      <c r="AN297" s="37"/>
      <c r="AO297" s="37"/>
      <c r="AP297" s="37"/>
      <c r="AQ297" s="37"/>
      <c r="AR297" s="37" t="s">
        <v>1124</v>
      </c>
      <c r="AS297" s="37"/>
      <c r="AT297" s="37"/>
      <c r="AU297" s="37"/>
      <c r="AV297" s="37"/>
      <c r="AW297" s="37"/>
      <c r="AX297" s="37"/>
      <c r="AY297" s="37"/>
      <c r="AZ297" s="37"/>
      <c r="BA297" s="37"/>
      <c r="BB297" s="37"/>
      <c r="BC297" s="37"/>
      <c r="BD297" s="37" t="s">
        <v>1124</v>
      </c>
      <c r="BE297" s="37"/>
      <c r="BF297" s="37"/>
      <c r="BG297" s="37"/>
      <c r="BH297" s="37"/>
      <c r="BI297" s="37"/>
      <c r="BJ297" s="37"/>
      <c r="BK297" s="37"/>
      <c r="BL297" s="37"/>
      <c r="BM297" s="37"/>
      <c r="BN297" s="37"/>
      <c r="BO297" s="37"/>
      <c r="BP297" s="37">
        <v>0</v>
      </c>
      <c r="BQ297" s="37"/>
      <c r="BR297" s="37"/>
      <c r="BS297" s="37"/>
      <c r="BT297" s="37"/>
      <c r="BU297" s="37"/>
      <c r="BV297" s="37"/>
      <c r="BW297" s="37"/>
      <c r="BX297" s="37"/>
      <c r="BY297" s="37"/>
      <c r="BZ297" s="37"/>
      <c r="CA297" s="37"/>
      <c r="CB297" s="37" t="s">
        <v>1124</v>
      </c>
      <c r="CC297" s="37"/>
      <c r="CD297" s="37"/>
      <c r="CE297" s="37"/>
      <c r="CF297" s="37"/>
      <c r="CG297" s="37"/>
      <c r="CH297" s="37"/>
      <c r="CI297" s="37"/>
      <c r="CJ297" s="37"/>
      <c r="CK297" s="37"/>
      <c r="CL297" s="37"/>
      <c r="CM297" s="37"/>
      <c r="CN297" s="37" t="s">
        <v>1124</v>
      </c>
      <c r="CO297" s="37"/>
      <c r="CP297" s="37"/>
      <c r="CQ297" s="37"/>
      <c r="CR297" s="37"/>
      <c r="CS297" s="37"/>
      <c r="CT297" s="37"/>
      <c r="CU297" s="37"/>
      <c r="CV297" s="37"/>
      <c r="CW297" s="37"/>
      <c r="CX297" s="37"/>
      <c r="CY297" s="37"/>
      <c r="CZ297" s="37" t="s">
        <v>1124</v>
      </c>
      <c r="DA297" s="37"/>
      <c r="DB297" s="37"/>
      <c r="DC297" s="37"/>
      <c r="DD297" s="37"/>
      <c r="DE297" s="37"/>
      <c r="DF297" s="37"/>
      <c r="DG297" s="37"/>
      <c r="DH297" s="37"/>
      <c r="DI297" s="37"/>
      <c r="DJ297" s="37"/>
      <c r="DK297" s="37"/>
      <c r="DL297" s="37" t="s">
        <v>1124</v>
      </c>
      <c r="DM297" s="37"/>
      <c r="DN297" s="37"/>
      <c r="DO297" s="37"/>
      <c r="DP297" s="37"/>
      <c r="DQ297" s="37"/>
      <c r="DR297" s="37"/>
      <c r="DS297" s="37"/>
      <c r="DT297" s="37"/>
      <c r="DU297" s="37"/>
      <c r="DV297" s="37"/>
      <c r="DW297" s="37"/>
      <c r="DX297" s="37" t="s">
        <v>1124</v>
      </c>
      <c r="DY297" s="37"/>
      <c r="DZ297" s="37"/>
      <c r="EA297" s="37"/>
      <c r="EB297" s="37"/>
      <c r="EC297" s="37"/>
      <c r="ED297" s="37"/>
      <c r="EE297" s="37"/>
      <c r="EF297" s="37"/>
      <c r="EG297" s="37"/>
      <c r="EH297" s="37"/>
      <c r="EI297" s="37"/>
      <c r="EJ297" s="37" t="s">
        <v>1124</v>
      </c>
      <c r="EK297" s="161"/>
      <c r="EL297" s="294"/>
    </row>
    <row r="298" spans="1:142" ht="15" customHeight="1" x14ac:dyDescent="0.35">
      <c r="A298" s="34"/>
      <c r="B298" s="313">
        <v>78095</v>
      </c>
      <c r="C298" s="8" t="s">
        <v>779</v>
      </c>
      <c r="D298" s="18">
        <v>15</v>
      </c>
      <c r="E298" s="155"/>
      <c r="F298" s="36"/>
      <c r="G298" s="37"/>
      <c r="H298" s="37"/>
      <c r="I298" s="37"/>
      <c r="J298" s="37"/>
      <c r="K298" s="37"/>
      <c r="L298" s="37"/>
      <c r="M298" s="37" t="s">
        <v>1124</v>
      </c>
      <c r="N298" s="37" t="s">
        <v>1124</v>
      </c>
      <c r="O298" s="37"/>
      <c r="P298" s="37"/>
      <c r="Q298" s="37"/>
      <c r="R298" s="37"/>
      <c r="S298" s="37"/>
      <c r="T298" s="37"/>
      <c r="U298" s="37"/>
      <c r="V298" s="37"/>
      <c r="W298" s="37"/>
      <c r="X298" s="37"/>
      <c r="Y298" s="37"/>
      <c r="Z298" s="37"/>
      <c r="AA298" s="37" t="s">
        <v>1124</v>
      </c>
      <c r="AB298" s="37" t="s">
        <v>1124</v>
      </c>
      <c r="AC298" s="37"/>
      <c r="AD298" s="37"/>
      <c r="AE298" s="37"/>
      <c r="AF298" s="168"/>
      <c r="AG298" s="37"/>
      <c r="AH298" s="37"/>
      <c r="AI298" s="37"/>
      <c r="AJ298" s="37"/>
      <c r="AK298" s="37"/>
      <c r="AL298" s="37"/>
      <c r="AM298" s="37"/>
      <c r="AN298" s="37"/>
      <c r="AO298" s="37"/>
      <c r="AP298" s="37"/>
      <c r="AQ298" s="37"/>
      <c r="AR298" s="37" t="s">
        <v>1124</v>
      </c>
      <c r="AS298" s="37"/>
      <c r="AT298" s="37"/>
      <c r="AU298" s="37"/>
      <c r="AV298" s="37"/>
      <c r="AW298" s="37"/>
      <c r="AX298" s="37"/>
      <c r="AY298" s="37"/>
      <c r="AZ298" s="37"/>
      <c r="BA298" s="37"/>
      <c r="BB298" s="37"/>
      <c r="BC298" s="37"/>
      <c r="BD298" s="37" t="s">
        <v>1124</v>
      </c>
      <c r="BE298" s="37"/>
      <c r="BF298" s="37"/>
      <c r="BG298" s="37"/>
      <c r="BH298" s="37"/>
      <c r="BI298" s="37"/>
      <c r="BJ298" s="37"/>
      <c r="BK298" s="37"/>
      <c r="BL298" s="37"/>
      <c r="BM298" s="37"/>
      <c r="BN298" s="37"/>
      <c r="BO298" s="37"/>
      <c r="BP298" s="37">
        <v>0</v>
      </c>
      <c r="BQ298" s="37"/>
      <c r="BR298" s="37"/>
      <c r="BS298" s="37"/>
      <c r="BT298" s="37"/>
      <c r="BU298" s="37"/>
      <c r="BV298" s="37"/>
      <c r="BW298" s="37"/>
      <c r="BX298" s="37"/>
      <c r="BY298" s="37"/>
      <c r="BZ298" s="37"/>
      <c r="CA298" s="37"/>
      <c r="CB298" s="37" t="s">
        <v>1124</v>
      </c>
      <c r="CC298" s="37"/>
      <c r="CD298" s="37"/>
      <c r="CE298" s="37"/>
      <c r="CF298" s="37"/>
      <c r="CG298" s="37"/>
      <c r="CH298" s="37"/>
      <c r="CI298" s="37"/>
      <c r="CJ298" s="37"/>
      <c r="CK298" s="37"/>
      <c r="CL298" s="37"/>
      <c r="CM298" s="37"/>
      <c r="CN298" s="37" t="s">
        <v>1124</v>
      </c>
      <c r="CO298" s="37"/>
      <c r="CP298" s="37"/>
      <c r="CQ298" s="37"/>
      <c r="CR298" s="37"/>
      <c r="CS298" s="37"/>
      <c r="CT298" s="37"/>
      <c r="CU298" s="37"/>
      <c r="CV298" s="37"/>
      <c r="CW298" s="37"/>
      <c r="CX298" s="37"/>
      <c r="CY298" s="37"/>
      <c r="CZ298" s="37" t="s">
        <v>1124</v>
      </c>
      <c r="DA298" s="37"/>
      <c r="DB298" s="37"/>
      <c r="DC298" s="37"/>
      <c r="DD298" s="37"/>
      <c r="DE298" s="37"/>
      <c r="DF298" s="37"/>
      <c r="DG298" s="37"/>
      <c r="DH298" s="37"/>
      <c r="DI298" s="37"/>
      <c r="DJ298" s="37"/>
      <c r="DK298" s="37"/>
      <c r="DL298" s="37" t="s">
        <v>1124</v>
      </c>
      <c r="DM298" s="37"/>
      <c r="DN298" s="37"/>
      <c r="DO298" s="37"/>
      <c r="DP298" s="37"/>
      <c r="DQ298" s="37"/>
      <c r="DR298" s="37"/>
      <c r="DS298" s="37"/>
      <c r="DT298" s="37"/>
      <c r="DU298" s="37"/>
      <c r="DV298" s="37"/>
      <c r="DW298" s="37"/>
      <c r="DX298" s="37" t="s">
        <v>1124</v>
      </c>
      <c r="DY298" s="37"/>
      <c r="DZ298" s="37"/>
      <c r="EA298" s="37"/>
      <c r="EB298" s="37"/>
      <c r="EC298" s="37"/>
      <c r="ED298" s="37"/>
      <c r="EE298" s="37"/>
      <c r="EF298" s="37"/>
      <c r="EG298" s="37"/>
      <c r="EH298" s="37"/>
      <c r="EI298" s="37"/>
      <c r="EJ298" s="37" t="s">
        <v>1124</v>
      </c>
      <c r="EK298" s="161"/>
      <c r="EL298" s="294"/>
    </row>
    <row r="299" spans="1:142" ht="15" customHeight="1" x14ac:dyDescent="0.35">
      <c r="A299" s="34"/>
      <c r="B299" s="313">
        <v>78127</v>
      </c>
      <c r="C299" s="8" t="s">
        <v>784</v>
      </c>
      <c r="D299" s="18">
        <v>15</v>
      </c>
      <c r="E299" s="155"/>
      <c r="F299" s="36"/>
      <c r="G299" s="37"/>
      <c r="H299" s="37"/>
      <c r="I299" s="37"/>
      <c r="J299" s="37"/>
      <c r="K299" s="37"/>
      <c r="L299" s="37"/>
      <c r="M299" s="37" t="s">
        <v>1124</v>
      </c>
      <c r="N299" s="37" t="s">
        <v>1124</v>
      </c>
      <c r="O299" s="37"/>
      <c r="P299" s="37"/>
      <c r="Q299" s="37"/>
      <c r="R299" s="37"/>
      <c r="S299" s="37"/>
      <c r="T299" s="37"/>
      <c r="U299" s="37"/>
      <c r="V299" s="37"/>
      <c r="W299" s="37"/>
      <c r="X299" s="37"/>
      <c r="Y299" s="37"/>
      <c r="Z299" s="37"/>
      <c r="AA299" s="37" t="s">
        <v>1124</v>
      </c>
      <c r="AB299" s="37" t="s">
        <v>1124</v>
      </c>
      <c r="AC299" s="37"/>
      <c r="AD299" s="37"/>
      <c r="AE299" s="37"/>
      <c r="AF299" s="168"/>
      <c r="AG299" s="37"/>
      <c r="AH299" s="37"/>
      <c r="AI299" s="37"/>
      <c r="AJ299" s="37"/>
      <c r="AK299" s="37"/>
      <c r="AL299" s="37"/>
      <c r="AM299" s="37"/>
      <c r="AN299" s="37"/>
      <c r="AO299" s="37"/>
      <c r="AP299" s="37"/>
      <c r="AQ299" s="37"/>
      <c r="AR299" s="37" t="s">
        <v>1124</v>
      </c>
      <c r="AS299" s="37"/>
      <c r="AT299" s="37"/>
      <c r="AU299" s="37"/>
      <c r="AV299" s="37"/>
      <c r="AW299" s="37"/>
      <c r="AX299" s="37"/>
      <c r="AY299" s="37"/>
      <c r="AZ299" s="37"/>
      <c r="BA299" s="37"/>
      <c r="BB299" s="37"/>
      <c r="BC299" s="37"/>
      <c r="BD299" s="37" t="s">
        <v>1124</v>
      </c>
      <c r="BE299" s="37"/>
      <c r="BF299" s="37"/>
      <c r="BG299" s="37"/>
      <c r="BH299" s="37"/>
      <c r="BI299" s="37"/>
      <c r="BJ299" s="37"/>
      <c r="BK299" s="37"/>
      <c r="BL299" s="37"/>
      <c r="BM299" s="37"/>
      <c r="BN299" s="37"/>
      <c r="BO299" s="37"/>
      <c r="BP299" s="37">
        <v>0</v>
      </c>
      <c r="BQ299" s="37"/>
      <c r="BR299" s="37"/>
      <c r="BS299" s="37"/>
      <c r="BT299" s="37"/>
      <c r="BU299" s="37"/>
      <c r="BV299" s="37"/>
      <c r="BW299" s="37"/>
      <c r="BX299" s="37"/>
      <c r="BY299" s="37"/>
      <c r="BZ299" s="37"/>
      <c r="CA299" s="37"/>
      <c r="CB299" s="37" t="s">
        <v>1124</v>
      </c>
      <c r="CC299" s="37"/>
      <c r="CD299" s="37"/>
      <c r="CE299" s="37"/>
      <c r="CF299" s="37"/>
      <c r="CG299" s="37"/>
      <c r="CH299" s="37"/>
      <c r="CI299" s="37"/>
      <c r="CJ299" s="37"/>
      <c r="CK299" s="37"/>
      <c r="CL299" s="37"/>
      <c r="CM299" s="37"/>
      <c r="CN299" s="37" t="s">
        <v>1124</v>
      </c>
      <c r="CO299" s="37"/>
      <c r="CP299" s="37"/>
      <c r="CQ299" s="37"/>
      <c r="CR299" s="37"/>
      <c r="CS299" s="37"/>
      <c r="CT299" s="37"/>
      <c r="CU299" s="37"/>
      <c r="CV299" s="37"/>
      <c r="CW299" s="37"/>
      <c r="CX299" s="37"/>
      <c r="CY299" s="37"/>
      <c r="CZ299" s="37" t="s">
        <v>1124</v>
      </c>
      <c r="DA299" s="37"/>
      <c r="DB299" s="37"/>
      <c r="DC299" s="37"/>
      <c r="DD299" s="37"/>
      <c r="DE299" s="37"/>
      <c r="DF299" s="37"/>
      <c r="DG299" s="37"/>
      <c r="DH299" s="37"/>
      <c r="DI299" s="37"/>
      <c r="DJ299" s="37"/>
      <c r="DK299" s="37"/>
      <c r="DL299" s="37" t="s">
        <v>1124</v>
      </c>
      <c r="DM299" s="37"/>
      <c r="DN299" s="37"/>
      <c r="DO299" s="37"/>
      <c r="DP299" s="37"/>
      <c r="DQ299" s="37"/>
      <c r="DR299" s="37"/>
      <c r="DS299" s="37"/>
      <c r="DT299" s="37"/>
      <c r="DU299" s="37"/>
      <c r="DV299" s="37"/>
      <c r="DW299" s="37"/>
      <c r="DX299" s="37" t="s">
        <v>1124</v>
      </c>
      <c r="DY299" s="37"/>
      <c r="DZ299" s="37"/>
      <c r="EA299" s="37"/>
      <c r="EB299" s="37"/>
      <c r="EC299" s="37"/>
      <c r="ED299" s="37"/>
      <c r="EE299" s="37"/>
      <c r="EF299" s="37"/>
      <c r="EG299" s="37"/>
      <c r="EH299" s="37"/>
      <c r="EI299" s="37"/>
      <c r="EJ299" s="37" t="s">
        <v>1124</v>
      </c>
      <c r="EK299" s="161"/>
      <c r="EL299" s="294"/>
    </row>
    <row r="300" spans="1:142" ht="15" customHeight="1" x14ac:dyDescent="0.35">
      <c r="A300" s="34"/>
      <c r="B300" s="313">
        <v>85070</v>
      </c>
      <c r="C300" s="8" t="s">
        <v>882</v>
      </c>
      <c r="D300" s="18">
        <v>8</v>
      </c>
      <c r="E300" s="155"/>
      <c r="F300" s="36"/>
      <c r="G300" s="37"/>
      <c r="H300" s="37"/>
      <c r="I300" s="37"/>
      <c r="J300" s="37"/>
      <c r="K300" s="37"/>
      <c r="L300" s="37"/>
      <c r="M300" s="37" t="s">
        <v>1124</v>
      </c>
      <c r="N300" s="37" t="s">
        <v>1124</v>
      </c>
      <c r="O300" s="37"/>
      <c r="P300" s="37"/>
      <c r="Q300" s="37"/>
      <c r="R300" s="37"/>
      <c r="S300" s="37"/>
      <c r="T300" s="37"/>
      <c r="U300" s="37"/>
      <c r="V300" s="37"/>
      <c r="W300" s="37"/>
      <c r="X300" s="37"/>
      <c r="Y300" s="37"/>
      <c r="Z300" s="37"/>
      <c r="AA300" s="37" t="s">
        <v>1124</v>
      </c>
      <c r="AB300" s="37" t="s">
        <v>1124</v>
      </c>
      <c r="AC300" s="37"/>
      <c r="AD300" s="37"/>
      <c r="AE300" s="37"/>
      <c r="AF300" s="168"/>
      <c r="AG300" s="37"/>
      <c r="AH300" s="37"/>
      <c r="AI300" s="37"/>
      <c r="AJ300" s="37"/>
      <c r="AK300" s="37"/>
      <c r="AL300" s="37"/>
      <c r="AM300" s="37"/>
      <c r="AN300" s="37"/>
      <c r="AO300" s="37"/>
      <c r="AP300" s="37"/>
      <c r="AQ300" s="37"/>
      <c r="AR300" s="37" t="s">
        <v>1124</v>
      </c>
      <c r="AS300" s="37"/>
      <c r="AT300" s="37"/>
      <c r="AU300" s="37"/>
      <c r="AV300" s="37"/>
      <c r="AW300" s="37"/>
      <c r="AX300" s="37"/>
      <c r="AY300" s="37"/>
      <c r="AZ300" s="37"/>
      <c r="BA300" s="37"/>
      <c r="BB300" s="37"/>
      <c r="BC300" s="37"/>
      <c r="BD300" s="37" t="s">
        <v>1124</v>
      </c>
      <c r="BE300" s="37"/>
      <c r="BF300" s="37"/>
      <c r="BG300" s="37"/>
      <c r="BH300" s="37"/>
      <c r="BI300" s="37"/>
      <c r="BJ300" s="37"/>
      <c r="BK300" s="37"/>
      <c r="BL300" s="37"/>
      <c r="BM300" s="37"/>
      <c r="BN300" s="37"/>
      <c r="BO300" s="37"/>
      <c r="BP300" s="37">
        <v>0</v>
      </c>
      <c r="BQ300" s="37"/>
      <c r="BR300" s="37"/>
      <c r="BS300" s="37"/>
      <c r="BT300" s="37"/>
      <c r="BU300" s="37"/>
      <c r="BV300" s="37"/>
      <c r="BW300" s="37"/>
      <c r="BX300" s="37"/>
      <c r="BY300" s="37"/>
      <c r="BZ300" s="37"/>
      <c r="CA300" s="37"/>
      <c r="CB300" s="37" t="s">
        <v>1124</v>
      </c>
      <c r="CC300" s="37"/>
      <c r="CD300" s="37"/>
      <c r="CE300" s="37"/>
      <c r="CF300" s="37"/>
      <c r="CG300" s="37"/>
      <c r="CH300" s="37"/>
      <c r="CI300" s="37"/>
      <c r="CJ300" s="37"/>
      <c r="CK300" s="37"/>
      <c r="CL300" s="37"/>
      <c r="CM300" s="37"/>
      <c r="CN300" s="37" t="s">
        <v>1124</v>
      </c>
      <c r="CO300" s="37"/>
      <c r="CP300" s="37"/>
      <c r="CQ300" s="37"/>
      <c r="CR300" s="37"/>
      <c r="CS300" s="37"/>
      <c r="CT300" s="37"/>
      <c r="CU300" s="37"/>
      <c r="CV300" s="37"/>
      <c r="CW300" s="37"/>
      <c r="CX300" s="37"/>
      <c r="CY300" s="37"/>
      <c r="CZ300" s="37" t="s">
        <v>1124</v>
      </c>
      <c r="DA300" s="37"/>
      <c r="DB300" s="37"/>
      <c r="DC300" s="37"/>
      <c r="DD300" s="37"/>
      <c r="DE300" s="37"/>
      <c r="DF300" s="37"/>
      <c r="DG300" s="37"/>
      <c r="DH300" s="37"/>
      <c r="DI300" s="37"/>
      <c r="DJ300" s="37"/>
      <c r="DK300" s="37"/>
      <c r="DL300" s="37" t="s">
        <v>1124</v>
      </c>
      <c r="DM300" s="37"/>
      <c r="DN300" s="37"/>
      <c r="DO300" s="37"/>
      <c r="DP300" s="37"/>
      <c r="DQ300" s="37"/>
      <c r="DR300" s="37"/>
      <c r="DS300" s="37"/>
      <c r="DT300" s="37"/>
      <c r="DU300" s="37"/>
      <c r="DV300" s="37"/>
      <c r="DW300" s="37"/>
      <c r="DX300" s="37" t="s">
        <v>1124</v>
      </c>
      <c r="DY300" s="37"/>
      <c r="DZ300" s="37"/>
      <c r="EA300" s="37"/>
      <c r="EB300" s="37"/>
      <c r="EC300" s="37"/>
      <c r="ED300" s="37"/>
      <c r="EE300" s="37"/>
      <c r="EF300" s="37"/>
      <c r="EG300" s="37"/>
      <c r="EH300" s="37"/>
      <c r="EI300" s="37"/>
      <c r="EJ300" s="37" t="s">
        <v>1124</v>
      </c>
      <c r="EK300" s="161"/>
      <c r="EL300" s="294"/>
    </row>
    <row r="301" spans="1:142" ht="15" customHeight="1" x14ac:dyDescent="0.35">
      <c r="A301" s="34"/>
      <c r="B301" s="313">
        <v>93060</v>
      </c>
      <c r="C301" s="8" t="s">
        <v>967</v>
      </c>
      <c r="D301" s="18">
        <v>2</v>
      </c>
      <c r="E301" s="155">
        <v>37722</v>
      </c>
      <c r="F301" s="36">
        <v>52078</v>
      </c>
      <c r="G301" s="37">
        <v>0</v>
      </c>
      <c r="H301" s="37">
        <v>16515</v>
      </c>
      <c r="I301" s="37">
        <v>0</v>
      </c>
      <c r="J301" s="37">
        <v>114400</v>
      </c>
      <c r="K301" s="37">
        <v>3000</v>
      </c>
      <c r="L301" s="37">
        <v>3000</v>
      </c>
      <c r="M301" s="37">
        <v>40722</v>
      </c>
      <c r="N301" s="37">
        <v>185993</v>
      </c>
      <c r="O301" s="37">
        <v>0</v>
      </c>
      <c r="P301" s="37">
        <v>0</v>
      </c>
      <c r="Q301" s="37">
        <v>45125</v>
      </c>
      <c r="R301" s="37">
        <v>20288</v>
      </c>
      <c r="S301" s="37">
        <v>0</v>
      </c>
      <c r="T301" s="37">
        <v>0</v>
      </c>
      <c r="U301" s="37">
        <v>0</v>
      </c>
      <c r="V301" s="37">
        <v>93308</v>
      </c>
      <c r="W301" s="37">
        <v>0</v>
      </c>
      <c r="X301" s="37">
        <v>72397</v>
      </c>
      <c r="Y301" s="37">
        <v>0</v>
      </c>
      <c r="Z301" s="37">
        <v>0</v>
      </c>
      <c r="AA301" s="37">
        <v>45125</v>
      </c>
      <c r="AB301" s="37">
        <v>185993</v>
      </c>
      <c r="AC301" s="37">
        <v>4403</v>
      </c>
      <c r="AD301" s="37">
        <v>0</v>
      </c>
      <c r="AE301" s="37">
        <v>0</v>
      </c>
      <c r="AF301" s="168">
        <v>0.02</v>
      </c>
      <c r="AG301" s="37">
        <v>13102789.140000001</v>
      </c>
      <c r="AH301" s="37">
        <v>124665.35</v>
      </c>
      <c r="AI301" s="37">
        <v>127158.66</v>
      </c>
      <c r="AJ301" s="37">
        <v>129701.84</v>
      </c>
      <c r="AK301" s="37">
        <v>132295.87</v>
      </c>
      <c r="AL301" s="37">
        <v>134941.79</v>
      </c>
      <c r="AM301" s="37">
        <v>137640.63</v>
      </c>
      <c r="AN301" s="37">
        <v>140393.44</v>
      </c>
      <c r="AO301" s="37">
        <v>143201.31</v>
      </c>
      <c r="AP301" s="37">
        <v>146065.32999999999</v>
      </c>
      <c r="AQ301" s="37">
        <v>148986.64000000001</v>
      </c>
      <c r="AR301" s="37">
        <v>1365050.86</v>
      </c>
      <c r="AS301" s="37">
        <v>281823.84999999998</v>
      </c>
      <c r="AT301" s="37">
        <v>0</v>
      </c>
      <c r="AU301" s="37">
        <v>0</v>
      </c>
      <c r="AV301" s="37">
        <v>0</v>
      </c>
      <c r="AW301" s="37">
        <v>0</v>
      </c>
      <c r="AX301" s="37">
        <v>0</v>
      </c>
      <c r="AY301" s="37">
        <v>0</v>
      </c>
      <c r="AZ301" s="37">
        <v>0</v>
      </c>
      <c r="BA301" s="37">
        <v>0</v>
      </c>
      <c r="BB301" s="37">
        <v>0</v>
      </c>
      <c r="BC301" s="37">
        <v>0</v>
      </c>
      <c r="BD301" s="37">
        <v>0</v>
      </c>
      <c r="BE301" s="37">
        <v>390827</v>
      </c>
      <c r="BF301" s="37">
        <v>0</v>
      </c>
      <c r="BG301" s="37">
        <v>0</v>
      </c>
      <c r="BH301" s="37">
        <v>0</v>
      </c>
      <c r="BI301" s="37">
        <v>0</v>
      </c>
      <c r="BJ301" s="37">
        <v>0</v>
      </c>
      <c r="BK301" s="37">
        <v>0</v>
      </c>
      <c r="BL301" s="37">
        <v>0</v>
      </c>
      <c r="BM301" s="37">
        <v>0</v>
      </c>
      <c r="BN301" s="37">
        <v>0</v>
      </c>
      <c r="BO301" s="37">
        <v>0</v>
      </c>
      <c r="BP301" s="37">
        <v>0</v>
      </c>
      <c r="BQ301" s="37">
        <v>0</v>
      </c>
      <c r="BR301" s="37">
        <v>0</v>
      </c>
      <c r="BS301" s="37">
        <v>0</v>
      </c>
      <c r="BT301" s="37">
        <v>0</v>
      </c>
      <c r="BU301" s="37">
        <v>0</v>
      </c>
      <c r="BV301" s="37">
        <v>0</v>
      </c>
      <c r="BW301" s="37">
        <v>0</v>
      </c>
      <c r="BX301" s="37">
        <v>0</v>
      </c>
      <c r="BY301" s="37">
        <v>0</v>
      </c>
      <c r="BZ301" s="37">
        <v>0</v>
      </c>
      <c r="CA301" s="37">
        <v>0</v>
      </c>
      <c r="CB301" s="37">
        <v>0</v>
      </c>
      <c r="CC301" s="37">
        <v>0</v>
      </c>
      <c r="CD301" s="37">
        <v>0</v>
      </c>
      <c r="CE301" s="37">
        <v>0</v>
      </c>
      <c r="CF301" s="37">
        <v>0</v>
      </c>
      <c r="CG301" s="37">
        <v>0</v>
      </c>
      <c r="CH301" s="37">
        <v>0</v>
      </c>
      <c r="CI301" s="37">
        <v>0</v>
      </c>
      <c r="CJ301" s="37">
        <v>0</v>
      </c>
      <c r="CK301" s="37">
        <v>0</v>
      </c>
      <c r="CL301" s="37">
        <v>0</v>
      </c>
      <c r="CM301" s="37">
        <v>0</v>
      </c>
      <c r="CN301" s="37">
        <v>0</v>
      </c>
      <c r="CO301" s="37">
        <v>0</v>
      </c>
      <c r="CP301" s="37">
        <v>0</v>
      </c>
      <c r="CQ301" s="37">
        <v>0</v>
      </c>
      <c r="CR301" s="37">
        <v>0</v>
      </c>
      <c r="CS301" s="37">
        <v>0</v>
      </c>
      <c r="CT301" s="37">
        <v>0</v>
      </c>
      <c r="CU301" s="37">
        <v>0</v>
      </c>
      <c r="CV301" s="37">
        <v>0</v>
      </c>
      <c r="CW301" s="37">
        <v>0</v>
      </c>
      <c r="CX301" s="37">
        <v>0</v>
      </c>
      <c r="CY301" s="37">
        <v>0</v>
      </c>
      <c r="CZ301" s="37">
        <v>0</v>
      </c>
      <c r="DA301" s="37">
        <v>0</v>
      </c>
      <c r="DB301" s="37">
        <v>0</v>
      </c>
      <c r="DC301" s="37">
        <v>0</v>
      </c>
      <c r="DD301" s="37">
        <v>0</v>
      </c>
      <c r="DE301" s="37">
        <v>0</v>
      </c>
      <c r="DF301" s="37">
        <v>0</v>
      </c>
      <c r="DG301" s="37">
        <v>0</v>
      </c>
      <c r="DH301" s="37">
        <v>0</v>
      </c>
      <c r="DI301" s="37">
        <v>0</v>
      </c>
      <c r="DJ301" s="37">
        <v>0</v>
      </c>
      <c r="DK301" s="37">
        <v>0</v>
      </c>
      <c r="DL301" s="37">
        <v>0</v>
      </c>
      <c r="DM301" s="37">
        <v>0</v>
      </c>
      <c r="DN301" s="37">
        <v>0</v>
      </c>
      <c r="DO301" s="37">
        <v>0</v>
      </c>
      <c r="DP301" s="37">
        <v>0</v>
      </c>
      <c r="DQ301" s="37">
        <v>0</v>
      </c>
      <c r="DR301" s="37">
        <v>0</v>
      </c>
      <c r="DS301" s="37">
        <v>0</v>
      </c>
      <c r="DT301" s="37">
        <v>0</v>
      </c>
      <c r="DU301" s="37">
        <v>0</v>
      </c>
      <c r="DV301" s="37">
        <v>0</v>
      </c>
      <c r="DW301" s="37">
        <v>0</v>
      </c>
      <c r="DX301" s="37">
        <v>0</v>
      </c>
      <c r="DY301" s="37">
        <v>0</v>
      </c>
      <c r="DZ301" s="37">
        <v>0</v>
      </c>
      <c r="EA301" s="37">
        <v>0</v>
      </c>
      <c r="EB301" s="37">
        <v>0</v>
      </c>
      <c r="EC301" s="37">
        <v>0</v>
      </c>
      <c r="ED301" s="37">
        <v>0</v>
      </c>
      <c r="EE301" s="37">
        <v>0</v>
      </c>
      <c r="EF301" s="37">
        <v>0</v>
      </c>
      <c r="EG301" s="37">
        <v>0</v>
      </c>
      <c r="EH301" s="37">
        <v>0</v>
      </c>
      <c r="EI301" s="37">
        <v>0</v>
      </c>
      <c r="EJ301" s="37">
        <v>0</v>
      </c>
      <c r="EK301" s="161" t="s">
        <v>2009</v>
      </c>
      <c r="EL301" s="294" t="s">
        <v>1124</v>
      </c>
    </row>
    <row r="302" spans="1:142" ht="15" customHeight="1" x14ac:dyDescent="0.35">
      <c r="A302" s="34"/>
      <c r="B302" s="313">
        <v>30095</v>
      </c>
      <c r="C302" s="8" t="s">
        <v>233</v>
      </c>
      <c r="D302" s="18">
        <v>5</v>
      </c>
      <c r="E302" s="155">
        <v>73465</v>
      </c>
      <c r="F302" s="36">
        <v>160231</v>
      </c>
      <c r="G302" s="37">
        <v>32326</v>
      </c>
      <c r="H302" s="37">
        <v>0</v>
      </c>
      <c r="I302" s="37">
        <v>46400</v>
      </c>
      <c r="J302" s="37">
        <v>0</v>
      </c>
      <c r="K302" s="37">
        <v>5142.55</v>
      </c>
      <c r="L302" s="37">
        <v>11216.170000000002</v>
      </c>
      <c r="M302" s="37">
        <v>157333.54999999999</v>
      </c>
      <c r="N302" s="37">
        <v>171447.17</v>
      </c>
      <c r="O302" s="37">
        <v>52606.89</v>
      </c>
      <c r="P302" s="37">
        <v>0</v>
      </c>
      <c r="Q302" s="37">
        <v>57060</v>
      </c>
      <c r="R302" s="37">
        <v>117290</v>
      </c>
      <c r="S302" s="37">
        <v>1248</v>
      </c>
      <c r="T302" s="37">
        <v>0</v>
      </c>
      <c r="U302" s="37">
        <v>0</v>
      </c>
      <c r="V302" s="37">
        <v>0</v>
      </c>
      <c r="W302" s="37">
        <v>46418.659999999989</v>
      </c>
      <c r="X302" s="37">
        <v>54157.170000000013</v>
      </c>
      <c r="Y302" s="37">
        <v>0</v>
      </c>
      <c r="Z302" s="37">
        <v>0</v>
      </c>
      <c r="AA302" s="37">
        <v>157333.54999999999</v>
      </c>
      <c r="AB302" s="37">
        <v>171447.17</v>
      </c>
      <c r="AC302" s="37">
        <v>0</v>
      </c>
      <c r="AD302" s="37">
        <v>0</v>
      </c>
      <c r="AE302" s="37">
        <v>0</v>
      </c>
      <c r="AF302" s="168">
        <v>0.02</v>
      </c>
      <c r="AG302" s="37">
        <v>22335117.34</v>
      </c>
      <c r="AH302" s="37">
        <v>157512.44</v>
      </c>
      <c r="AI302" s="37">
        <v>160662.69</v>
      </c>
      <c r="AJ302" s="37">
        <v>163875.94</v>
      </c>
      <c r="AK302" s="37">
        <v>167153.46</v>
      </c>
      <c r="AL302" s="37">
        <v>170496.53</v>
      </c>
      <c r="AM302" s="37">
        <v>173906.46</v>
      </c>
      <c r="AN302" s="37">
        <v>177384.59</v>
      </c>
      <c r="AO302" s="37">
        <v>180932.28</v>
      </c>
      <c r="AP302" s="37">
        <v>184550.93</v>
      </c>
      <c r="AQ302" s="37">
        <v>188241.94</v>
      </c>
      <c r="AR302" s="37">
        <v>1724717.2599999998</v>
      </c>
      <c r="AS302" s="37">
        <v>883648.44</v>
      </c>
      <c r="AT302" s="37">
        <v>204000</v>
      </c>
      <c r="AU302" s="37">
        <v>1100284.3799999999</v>
      </c>
      <c r="AV302" s="37">
        <v>0</v>
      </c>
      <c r="AW302" s="37">
        <v>108243.22</v>
      </c>
      <c r="AX302" s="37">
        <v>0</v>
      </c>
      <c r="AY302" s="37">
        <v>0</v>
      </c>
      <c r="AZ302" s="37">
        <v>0</v>
      </c>
      <c r="BA302" s="37">
        <v>0</v>
      </c>
      <c r="BB302" s="37">
        <v>0</v>
      </c>
      <c r="BC302" s="37">
        <v>0</v>
      </c>
      <c r="BD302" s="37">
        <v>1412527.5999999999</v>
      </c>
      <c r="BE302" s="37">
        <v>1765835</v>
      </c>
      <c r="BF302" s="37">
        <v>268204</v>
      </c>
      <c r="BG302" s="37">
        <v>443581</v>
      </c>
      <c r="BH302" s="37">
        <v>0</v>
      </c>
      <c r="BI302" s="37">
        <v>0</v>
      </c>
      <c r="BJ302" s="37">
        <v>0</v>
      </c>
      <c r="BK302" s="37">
        <v>0</v>
      </c>
      <c r="BL302" s="37">
        <v>0</v>
      </c>
      <c r="BM302" s="37">
        <v>0</v>
      </c>
      <c r="BN302" s="37">
        <v>0</v>
      </c>
      <c r="BO302" s="37">
        <v>0</v>
      </c>
      <c r="BP302" s="37">
        <v>711785</v>
      </c>
      <c r="BQ302" s="37">
        <v>879918</v>
      </c>
      <c r="BR302" s="37">
        <v>0</v>
      </c>
      <c r="BS302" s="37">
        <v>184536</v>
      </c>
      <c r="BT302" s="37">
        <v>0</v>
      </c>
      <c r="BU302" s="37">
        <v>0</v>
      </c>
      <c r="BV302" s="37">
        <v>0</v>
      </c>
      <c r="BW302" s="37">
        <v>0</v>
      </c>
      <c r="BX302" s="37">
        <v>0</v>
      </c>
      <c r="BY302" s="37">
        <v>0</v>
      </c>
      <c r="BZ302" s="37">
        <v>0</v>
      </c>
      <c r="CA302" s="37">
        <v>0</v>
      </c>
      <c r="CB302" s="37">
        <v>184536</v>
      </c>
      <c r="CC302" s="37">
        <v>0</v>
      </c>
      <c r="CD302" s="37">
        <v>0</v>
      </c>
      <c r="CE302" s="37">
        <v>0</v>
      </c>
      <c r="CF302" s="37">
        <v>0</v>
      </c>
      <c r="CG302" s="37">
        <v>0</v>
      </c>
      <c r="CH302" s="37">
        <v>0</v>
      </c>
      <c r="CI302" s="37">
        <v>0</v>
      </c>
      <c r="CJ302" s="37">
        <v>0</v>
      </c>
      <c r="CK302" s="37">
        <v>0</v>
      </c>
      <c r="CL302" s="37">
        <v>0</v>
      </c>
      <c r="CM302" s="37">
        <v>0</v>
      </c>
      <c r="CN302" s="37">
        <v>0</v>
      </c>
      <c r="CO302" s="37">
        <v>0</v>
      </c>
      <c r="CP302" s="37">
        <v>208000</v>
      </c>
      <c r="CQ302" s="37">
        <v>307559</v>
      </c>
      <c r="CR302" s="37">
        <v>0</v>
      </c>
      <c r="CS302" s="37">
        <v>0</v>
      </c>
      <c r="CT302" s="37">
        <v>750000</v>
      </c>
      <c r="CU302" s="37">
        <v>100000</v>
      </c>
      <c r="CV302" s="37">
        <v>0</v>
      </c>
      <c r="CW302" s="37">
        <v>0</v>
      </c>
      <c r="CX302" s="37">
        <v>0</v>
      </c>
      <c r="CY302" s="37">
        <v>0</v>
      </c>
      <c r="CZ302" s="37">
        <v>1365559</v>
      </c>
      <c r="DA302" s="37">
        <v>51828</v>
      </c>
      <c r="DB302" s="37">
        <v>0</v>
      </c>
      <c r="DC302" s="37">
        <v>0</v>
      </c>
      <c r="DD302" s="37">
        <v>0</v>
      </c>
      <c r="DE302" s="37">
        <v>0</v>
      </c>
      <c r="DF302" s="37">
        <v>0</v>
      </c>
      <c r="DG302" s="37">
        <v>0</v>
      </c>
      <c r="DH302" s="37">
        <v>0</v>
      </c>
      <c r="DI302" s="37">
        <v>0</v>
      </c>
      <c r="DJ302" s="37">
        <v>0</v>
      </c>
      <c r="DK302" s="37">
        <v>0</v>
      </c>
      <c r="DL302" s="37">
        <v>0</v>
      </c>
      <c r="DM302" s="37">
        <v>0</v>
      </c>
      <c r="DN302" s="37">
        <v>0</v>
      </c>
      <c r="DO302" s="37">
        <v>0</v>
      </c>
      <c r="DP302" s="37">
        <v>0</v>
      </c>
      <c r="DQ302" s="37">
        <v>0</v>
      </c>
      <c r="DR302" s="37">
        <v>0</v>
      </c>
      <c r="DS302" s="37">
        <v>0</v>
      </c>
      <c r="DT302" s="37">
        <v>0</v>
      </c>
      <c r="DU302" s="37">
        <v>0</v>
      </c>
      <c r="DV302" s="37">
        <v>0</v>
      </c>
      <c r="DW302" s="37">
        <v>0</v>
      </c>
      <c r="DX302" s="37">
        <v>0</v>
      </c>
      <c r="DY302" s="37">
        <v>0</v>
      </c>
      <c r="DZ302" s="37">
        <v>0</v>
      </c>
      <c r="EA302" s="37">
        <v>0</v>
      </c>
      <c r="EB302" s="37">
        <v>0</v>
      </c>
      <c r="EC302" s="37">
        <v>0</v>
      </c>
      <c r="ED302" s="37">
        <v>0</v>
      </c>
      <c r="EE302" s="37">
        <v>0</v>
      </c>
      <c r="EF302" s="37">
        <v>0</v>
      </c>
      <c r="EG302" s="37">
        <v>0</v>
      </c>
      <c r="EH302" s="37">
        <v>0</v>
      </c>
      <c r="EI302" s="37">
        <v>0</v>
      </c>
      <c r="EJ302" s="37">
        <v>0</v>
      </c>
      <c r="EK302" s="161" t="s">
        <v>2013</v>
      </c>
      <c r="EL302" s="294" t="s">
        <v>1124</v>
      </c>
    </row>
    <row r="303" spans="1:142" ht="15" customHeight="1" x14ac:dyDescent="0.35">
      <c r="A303" s="34"/>
      <c r="B303" s="313">
        <v>23057</v>
      </c>
      <c r="C303" s="8" t="s">
        <v>164</v>
      </c>
      <c r="D303" s="18">
        <v>3</v>
      </c>
      <c r="E303" s="155"/>
      <c r="F303" s="36"/>
      <c r="G303" s="37"/>
      <c r="H303" s="37"/>
      <c r="I303" s="37"/>
      <c r="J303" s="37"/>
      <c r="K303" s="37"/>
      <c r="L303" s="37"/>
      <c r="M303" s="37" t="s">
        <v>1124</v>
      </c>
      <c r="N303" s="37" t="s">
        <v>1124</v>
      </c>
      <c r="O303" s="37"/>
      <c r="P303" s="37"/>
      <c r="Q303" s="37"/>
      <c r="R303" s="37"/>
      <c r="S303" s="37"/>
      <c r="T303" s="37"/>
      <c r="U303" s="37"/>
      <c r="V303" s="37"/>
      <c r="W303" s="37"/>
      <c r="X303" s="37"/>
      <c r="Y303" s="37"/>
      <c r="Z303" s="37"/>
      <c r="AA303" s="37" t="s">
        <v>1124</v>
      </c>
      <c r="AB303" s="37" t="s">
        <v>1124</v>
      </c>
      <c r="AC303" s="37"/>
      <c r="AD303" s="37"/>
      <c r="AE303" s="37"/>
      <c r="AF303" s="168"/>
      <c r="AG303" s="37"/>
      <c r="AH303" s="37"/>
      <c r="AI303" s="37"/>
      <c r="AJ303" s="37"/>
      <c r="AK303" s="37"/>
      <c r="AL303" s="37"/>
      <c r="AM303" s="37"/>
      <c r="AN303" s="37"/>
      <c r="AO303" s="37"/>
      <c r="AP303" s="37"/>
      <c r="AQ303" s="37"/>
      <c r="AR303" s="37" t="s">
        <v>1124</v>
      </c>
      <c r="AS303" s="37"/>
      <c r="AT303" s="37"/>
      <c r="AU303" s="37"/>
      <c r="AV303" s="37"/>
      <c r="AW303" s="37"/>
      <c r="AX303" s="37"/>
      <c r="AY303" s="37"/>
      <c r="AZ303" s="37"/>
      <c r="BA303" s="37"/>
      <c r="BB303" s="37"/>
      <c r="BC303" s="37"/>
      <c r="BD303" s="37" t="s">
        <v>1124</v>
      </c>
      <c r="BE303" s="37"/>
      <c r="BF303" s="37"/>
      <c r="BG303" s="37"/>
      <c r="BH303" s="37"/>
      <c r="BI303" s="37"/>
      <c r="BJ303" s="37"/>
      <c r="BK303" s="37"/>
      <c r="BL303" s="37"/>
      <c r="BM303" s="37"/>
      <c r="BN303" s="37"/>
      <c r="BO303" s="37"/>
      <c r="BP303" s="37">
        <v>0</v>
      </c>
      <c r="BQ303" s="37"/>
      <c r="BR303" s="37"/>
      <c r="BS303" s="37"/>
      <c r="BT303" s="37"/>
      <c r="BU303" s="37"/>
      <c r="BV303" s="37"/>
      <c r="BW303" s="37"/>
      <c r="BX303" s="37"/>
      <c r="BY303" s="37"/>
      <c r="BZ303" s="37"/>
      <c r="CA303" s="37"/>
      <c r="CB303" s="37" t="s">
        <v>1124</v>
      </c>
      <c r="CC303" s="37"/>
      <c r="CD303" s="37"/>
      <c r="CE303" s="37"/>
      <c r="CF303" s="37"/>
      <c r="CG303" s="37"/>
      <c r="CH303" s="37"/>
      <c r="CI303" s="37"/>
      <c r="CJ303" s="37"/>
      <c r="CK303" s="37"/>
      <c r="CL303" s="37"/>
      <c r="CM303" s="37"/>
      <c r="CN303" s="37" t="s">
        <v>1124</v>
      </c>
      <c r="CO303" s="37"/>
      <c r="CP303" s="37"/>
      <c r="CQ303" s="37"/>
      <c r="CR303" s="37"/>
      <c r="CS303" s="37"/>
      <c r="CT303" s="37"/>
      <c r="CU303" s="37"/>
      <c r="CV303" s="37"/>
      <c r="CW303" s="37"/>
      <c r="CX303" s="37"/>
      <c r="CY303" s="37"/>
      <c r="CZ303" s="37" t="s">
        <v>1124</v>
      </c>
      <c r="DA303" s="37"/>
      <c r="DB303" s="37"/>
      <c r="DC303" s="37"/>
      <c r="DD303" s="37"/>
      <c r="DE303" s="37"/>
      <c r="DF303" s="37"/>
      <c r="DG303" s="37"/>
      <c r="DH303" s="37"/>
      <c r="DI303" s="37"/>
      <c r="DJ303" s="37"/>
      <c r="DK303" s="37"/>
      <c r="DL303" s="37" t="s">
        <v>1124</v>
      </c>
      <c r="DM303" s="37"/>
      <c r="DN303" s="37"/>
      <c r="DO303" s="37"/>
      <c r="DP303" s="37"/>
      <c r="DQ303" s="37"/>
      <c r="DR303" s="37"/>
      <c r="DS303" s="37"/>
      <c r="DT303" s="37"/>
      <c r="DU303" s="37"/>
      <c r="DV303" s="37"/>
      <c r="DW303" s="37"/>
      <c r="DX303" s="37" t="s">
        <v>1124</v>
      </c>
      <c r="DY303" s="37"/>
      <c r="DZ303" s="37"/>
      <c r="EA303" s="37"/>
      <c r="EB303" s="37"/>
      <c r="EC303" s="37"/>
      <c r="ED303" s="37"/>
      <c r="EE303" s="37"/>
      <c r="EF303" s="37"/>
      <c r="EG303" s="37"/>
      <c r="EH303" s="37"/>
      <c r="EI303" s="37"/>
      <c r="EJ303" s="37" t="s">
        <v>1124</v>
      </c>
      <c r="EK303" s="161"/>
      <c r="EL303" s="294"/>
    </row>
    <row r="304" spans="1:142" ht="15" customHeight="1" x14ac:dyDescent="0.35">
      <c r="A304" s="34"/>
      <c r="B304" s="313">
        <v>88035</v>
      </c>
      <c r="C304" s="8" t="s">
        <v>916</v>
      </c>
      <c r="D304" s="18">
        <v>8</v>
      </c>
      <c r="E304" s="155">
        <v>77711</v>
      </c>
      <c r="F304" s="36">
        <v>25054</v>
      </c>
      <c r="G304" s="37">
        <v>625</v>
      </c>
      <c r="H304" s="37">
        <v>90668</v>
      </c>
      <c r="I304" s="37">
        <v>16700</v>
      </c>
      <c r="J304" s="37">
        <v>95622</v>
      </c>
      <c r="K304" s="37">
        <v>7771.1</v>
      </c>
      <c r="L304" s="37">
        <v>2505.4</v>
      </c>
      <c r="M304" s="37">
        <v>102807.1</v>
      </c>
      <c r="N304" s="37">
        <v>213849.4</v>
      </c>
      <c r="O304" s="37">
        <v>49010</v>
      </c>
      <c r="P304" s="37">
        <v>0</v>
      </c>
      <c r="Q304" s="37">
        <v>0</v>
      </c>
      <c r="R304" s="37">
        <v>14452</v>
      </c>
      <c r="S304" s="37">
        <v>8725</v>
      </c>
      <c r="T304" s="37">
        <v>1742</v>
      </c>
      <c r="U304" s="37">
        <v>0</v>
      </c>
      <c r="V304" s="37">
        <v>0</v>
      </c>
      <c r="W304" s="37">
        <v>45072.100000000006</v>
      </c>
      <c r="X304" s="37">
        <v>197655.4</v>
      </c>
      <c r="Y304" s="37">
        <v>0</v>
      </c>
      <c r="Z304" s="37">
        <v>0</v>
      </c>
      <c r="AA304" s="37">
        <v>102807.1</v>
      </c>
      <c r="AB304" s="37">
        <v>213849.4</v>
      </c>
      <c r="AC304" s="37">
        <v>0</v>
      </c>
      <c r="AD304" s="37">
        <v>0</v>
      </c>
      <c r="AE304" s="37">
        <v>0</v>
      </c>
      <c r="AF304" s="168">
        <v>0.02</v>
      </c>
      <c r="AG304" s="37">
        <v>15334275.439999999</v>
      </c>
      <c r="AH304" s="37">
        <v>114847.78</v>
      </c>
      <c r="AI304" s="37">
        <v>117144.74</v>
      </c>
      <c r="AJ304" s="37">
        <v>119487.63</v>
      </c>
      <c r="AK304" s="37">
        <v>121877.39</v>
      </c>
      <c r="AL304" s="37">
        <v>124314.93</v>
      </c>
      <c r="AM304" s="37">
        <v>126801.23</v>
      </c>
      <c r="AN304" s="37">
        <v>129337.26</v>
      </c>
      <c r="AO304" s="37">
        <v>131924</v>
      </c>
      <c r="AP304" s="37">
        <v>134562.48000000001</v>
      </c>
      <c r="AQ304" s="37">
        <v>137253.73000000001</v>
      </c>
      <c r="AR304" s="37">
        <v>1257551.17</v>
      </c>
      <c r="AS304" s="37">
        <v>0</v>
      </c>
      <c r="AT304" s="37">
        <v>0</v>
      </c>
      <c r="AU304" s="37">
        <v>0</v>
      </c>
      <c r="AV304" s="37">
        <v>0</v>
      </c>
      <c r="AW304" s="37">
        <v>0</v>
      </c>
      <c r="AX304" s="37">
        <v>0</v>
      </c>
      <c r="AY304" s="37">
        <v>0</v>
      </c>
      <c r="AZ304" s="37">
        <v>0</v>
      </c>
      <c r="BA304" s="37">
        <v>0</v>
      </c>
      <c r="BB304" s="37">
        <v>0</v>
      </c>
      <c r="BC304" s="37">
        <v>0</v>
      </c>
      <c r="BD304" s="37">
        <v>0</v>
      </c>
      <c r="BE304" s="37">
        <v>0</v>
      </c>
      <c r="BF304" s="37">
        <v>0</v>
      </c>
      <c r="BG304" s="37">
        <v>0</v>
      </c>
      <c r="BH304" s="37">
        <v>0</v>
      </c>
      <c r="BI304" s="37">
        <v>0</v>
      </c>
      <c r="BJ304" s="37">
        <v>0</v>
      </c>
      <c r="BK304" s="37">
        <v>0</v>
      </c>
      <c r="BL304" s="37">
        <v>0</v>
      </c>
      <c r="BM304" s="37">
        <v>0</v>
      </c>
      <c r="BN304" s="37">
        <v>0</v>
      </c>
      <c r="BO304" s="37">
        <v>0</v>
      </c>
      <c r="BP304" s="37">
        <v>0</v>
      </c>
      <c r="BQ304" s="37">
        <v>0</v>
      </c>
      <c r="BR304" s="37">
        <v>0</v>
      </c>
      <c r="BS304" s="37">
        <v>0</v>
      </c>
      <c r="BT304" s="37">
        <v>0</v>
      </c>
      <c r="BU304" s="37">
        <v>0</v>
      </c>
      <c r="BV304" s="37">
        <v>0</v>
      </c>
      <c r="BW304" s="37">
        <v>0</v>
      </c>
      <c r="BX304" s="37">
        <v>0</v>
      </c>
      <c r="BY304" s="37">
        <v>0</v>
      </c>
      <c r="BZ304" s="37">
        <v>0</v>
      </c>
      <c r="CA304" s="37">
        <v>0</v>
      </c>
      <c r="CB304" s="37">
        <v>0</v>
      </c>
      <c r="CC304" s="37">
        <v>0</v>
      </c>
      <c r="CD304" s="37">
        <v>0</v>
      </c>
      <c r="CE304" s="37">
        <v>0</v>
      </c>
      <c r="CF304" s="37">
        <v>0</v>
      </c>
      <c r="CG304" s="37">
        <v>0</v>
      </c>
      <c r="CH304" s="37">
        <v>0</v>
      </c>
      <c r="CI304" s="37">
        <v>0</v>
      </c>
      <c r="CJ304" s="37">
        <v>0</v>
      </c>
      <c r="CK304" s="37">
        <v>0</v>
      </c>
      <c r="CL304" s="37">
        <v>0</v>
      </c>
      <c r="CM304" s="37">
        <v>0</v>
      </c>
      <c r="CN304" s="37">
        <v>0</v>
      </c>
      <c r="CO304" s="37">
        <v>0</v>
      </c>
      <c r="CP304" s="37">
        <v>0</v>
      </c>
      <c r="CQ304" s="37">
        <v>0</v>
      </c>
      <c r="CR304" s="37">
        <v>0</v>
      </c>
      <c r="CS304" s="37">
        <v>0</v>
      </c>
      <c r="CT304" s="37">
        <v>0</v>
      </c>
      <c r="CU304" s="37">
        <v>0</v>
      </c>
      <c r="CV304" s="37">
        <v>0</v>
      </c>
      <c r="CW304" s="37">
        <v>0</v>
      </c>
      <c r="CX304" s="37">
        <v>0</v>
      </c>
      <c r="CY304" s="37">
        <v>0</v>
      </c>
      <c r="CZ304" s="37">
        <v>0</v>
      </c>
      <c r="DA304" s="37">
        <v>0</v>
      </c>
      <c r="DB304" s="37">
        <v>0</v>
      </c>
      <c r="DC304" s="37">
        <v>0</v>
      </c>
      <c r="DD304" s="37">
        <v>0</v>
      </c>
      <c r="DE304" s="37">
        <v>0</v>
      </c>
      <c r="DF304" s="37">
        <v>0</v>
      </c>
      <c r="DG304" s="37">
        <v>0</v>
      </c>
      <c r="DH304" s="37">
        <v>0</v>
      </c>
      <c r="DI304" s="37">
        <v>0</v>
      </c>
      <c r="DJ304" s="37">
        <v>0</v>
      </c>
      <c r="DK304" s="37">
        <v>0</v>
      </c>
      <c r="DL304" s="37">
        <v>0</v>
      </c>
      <c r="DM304" s="37">
        <v>0</v>
      </c>
      <c r="DN304" s="37">
        <v>0</v>
      </c>
      <c r="DO304" s="37">
        <v>0</v>
      </c>
      <c r="DP304" s="37">
        <v>0</v>
      </c>
      <c r="DQ304" s="37">
        <v>0</v>
      </c>
      <c r="DR304" s="37">
        <v>0</v>
      </c>
      <c r="DS304" s="37">
        <v>0</v>
      </c>
      <c r="DT304" s="37">
        <v>0</v>
      </c>
      <c r="DU304" s="37">
        <v>0</v>
      </c>
      <c r="DV304" s="37">
        <v>0</v>
      </c>
      <c r="DW304" s="37">
        <v>0</v>
      </c>
      <c r="DX304" s="37">
        <v>0</v>
      </c>
      <c r="DY304" s="37">
        <v>0</v>
      </c>
      <c r="DZ304" s="37">
        <v>0</v>
      </c>
      <c r="EA304" s="37">
        <v>0</v>
      </c>
      <c r="EB304" s="37">
        <v>0</v>
      </c>
      <c r="EC304" s="37">
        <v>0</v>
      </c>
      <c r="ED304" s="37">
        <v>0</v>
      </c>
      <c r="EE304" s="37">
        <v>0</v>
      </c>
      <c r="EF304" s="37">
        <v>0</v>
      </c>
      <c r="EG304" s="37">
        <v>0</v>
      </c>
      <c r="EH304" s="37">
        <v>0</v>
      </c>
      <c r="EI304" s="37">
        <v>0</v>
      </c>
      <c r="EJ304" s="37">
        <v>0</v>
      </c>
      <c r="EK304" s="161" t="s">
        <v>2016</v>
      </c>
      <c r="EL304" s="294" t="s">
        <v>1124</v>
      </c>
    </row>
    <row r="305" spans="1:142" ht="15" customHeight="1" x14ac:dyDescent="0.35">
      <c r="A305" s="34"/>
      <c r="B305" s="313">
        <v>21040</v>
      </c>
      <c r="C305" s="8" t="s">
        <v>151</v>
      </c>
      <c r="D305" s="18">
        <v>3</v>
      </c>
      <c r="E305" s="155">
        <v>393842</v>
      </c>
      <c r="F305" s="36">
        <v>318462</v>
      </c>
      <c r="G305" s="37">
        <v>194308</v>
      </c>
      <c r="H305" s="37">
        <v>136881</v>
      </c>
      <c r="I305" s="37">
        <v>139450</v>
      </c>
      <c r="J305" s="37">
        <v>51000</v>
      </c>
      <c r="K305" s="37">
        <v>59076.299999999996</v>
      </c>
      <c r="L305" s="37">
        <v>47769.299999999996</v>
      </c>
      <c r="M305" s="37">
        <v>786676.3</v>
      </c>
      <c r="N305" s="37">
        <v>554112.30000000005</v>
      </c>
      <c r="O305" s="37">
        <v>0</v>
      </c>
      <c r="P305" s="37">
        <v>0</v>
      </c>
      <c r="Q305" s="37">
        <v>371190</v>
      </c>
      <c r="R305" s="37">
        <v>434653</v>
      </c>
      <c r="S305" s="37">
        <v>0</v>
      </c>
      <c r="T305" s="37">
        <v>0</v>
      </c>
      <c r="U305" s="37">
        <v>1516232</v>
      </c>
      <c r="V305" s="37">
        <v>40227</v>
      </c>
      <c r="W305" s="37">
        <v>0</v>
      </c>
      <c r="X305" s="37">
        <v>0</v>
      </c>
      <c r="Y305" s="37">
        <v>0</v>
      </c>
      <c r="Z305" s="37">
        <v>0</v>
      </c>
      <c r="AA305" s="37">
        <v>1887422</v>
      </c>
      <c r="AB305" s="37">
        <v>474880</v>
      </c>
      <c r="AC305" s="37">
        <v>1021513</v>
      </c>
      <c r="AD305" s="37">
        <v>0</v>
      </c>
      <c r="AE305" s="37">
        <v>0</v>
      </c>
      <c r="AF305" s="168">
        <v>0.02</v>
      </c>
      <c r="AG305" s="37">
        <v>41801926.399999999</v>
      </c>
      <c r="AH305" s="37">
        <v>305702.61</v>
      </c>
      <c r="AI305" s="37">
        <v>317317.96999999997</v>
      </c>
      <c r="AJ305" s="37">
        <v>323664.33</v>
      </c>
      <c r="AK305" s="37">
        <v>330137.61</v>
      </c>
      <c r="AL305" s="37">
        <v>336740.37</v>
      </c>
      <c r="AM305" s="37">
        <v>343475.17</v>
      </c>
      <c r="AN305" s="37">
        <v>344270.8</v>
      </c>
      <c r="AO305" s="37">
        <v>351156.21</v>
      </c>
      <c r="AP305" s="37">
        <v>358179.34</v>
      </c>
      <c r="AQ305" s="37">
        <v>365342.92</v>
      </c>
      <c r="AR305" s="37">
        <v>3375987.3299999996</v>
      </c>
      <c r="AS305" s="37">
        <v>1629313.22</v>
      </c>
      <c r="AT305" s="37">
        <v>0</v>
      </c>
      <c r="AU305" s="37">
        <v>4839.1099999999997</v>
      </c>
      <c r="AV305" s="37">
        <v>4935.8900000000003</v>
      </c>
      <c r="AW305" s="37">
        <v>5034.6099999999997</v>
      </c>
      <c r="AX305" s="37">
        <v>5135.3</v>
      </c>
      <c r="AY305" s="37">
        <v>5238.01</v>
      </c>
      <c r="AZ305" s="37">
        <v>0</v>
      </c>
      <c r="BA305" s="37">
        <v>0</v>
      </c>
      <c r="BB305" s="37">
        <v>0</v>
      </c>
      <c r="BC305" s="37">
        <v>0</v>
      </c>
      <c r="BD305" s="37">
        <v>25182.920000000002</v>
      </c>
      <c r="BE305" s="37">
        <v>0</v>
      </c>
      <c r="BF305" s="37">
        <v>3860840</v>
      </c>
      <c r="BG305" s="37">
        <v>0</v>
      </c>
      <c r="BH305" s="37">
        <v>0</v>
      </c>
      <c r="BI305" s="37">
        <v>0</v>
      </c>
      <c r="BJ305" s="37">
        <v>0</v>
      </c>
      <c r="BK305" s="37">
        <v>0</v>
      </c>
      <c r="BL305" s="37">
        <v>0</v>
      </c>
      <c r="BM305" s="37">
        <v>0</v>
      </c>
      <c r="BN305" s="37">
        <v>0</v>
      </c>
      <c r="BO305" s="37">
        <v>0</v>
      </c>
      <c r="BP305" s="37">
        <v>3860840</v>
      </c>
      <c r="BQ305" s="37">
        <v>0</v>
      </c>
      <c r="BR305" s="37">
        <v>965210</v>
      </c>
      <c r="BS305" s="37">
        <v>0</v>
      </c>
      <c r="BT305" s="37">
        <v>0</v>
      </c>
      <c r="BU305" s="37">
        <v>0</v>
      </c>
      <c r="BV305" s="37">
        <v>0</v>
      </c>
      <c r="BW305" s="37">
        <v>0</v>
      </c>
      <c r="BX305" s="37">
        <v>0</v>
      </c>
      <c r="BY305" s="37">
        <v>0</v>
      </c>
      <c r="BZ305" s="37">
        <v>0</v>
      </c>
      <c r="CA305" s="37">
        <v>0</v>
      </c>
      <c r="CB305" s="37">
        <v>965210</v>
      </c>
      <c r="CC305" s="37">
        <v>0</v>
      </c>
      <c r="CD305" s="37">
        <v>0</v>
      </c>
      <c r="CE305" s="37">
        <v>0</v>
      </c>
      <c r="CF305" s="37">
        <v>0</v>
      </c>
      <c r="CG305" s="37">
        <v>0</v>
      </c>
      <c r="CH305" s="37">
        <v>0</v>
      </c>
      <c r="CI305" s="37">
        <v>0</v>
      </c>
      <c r="CJ305" s="37">
        <v>0</v>
      </c>
      <c r="CK305" s="37">
        <v>0</v>
      </c>
      <c r="CL305" s="37">
        <v>0</v>
      </c>
      <c r="CM305" s="37">
        <v>0</v>
      </c>
      <c r="CN305" s="37">
        <v>0</v>
      </c>
      <c r="CO305" s="37">
        <v>0</v>
      </c>
      <c r="CP305" s="37">
        <v>0</v>
      </c>
      <c r="CQ305" s="37">
        <v>0</v>
      </c>
      <c r="CR305" s="37">
        <v>0</v>
      </c>
      <c r="CS305" s="37">
        <v>0</v>
      </c>
      <c r="CT305" s="37">
        <v>0</v>
      </c>
      <c r="CU305" s="37">
        <v>0</v>
      </c>
      <c r="CV305" s="37">
        <v>0</v>
      </c>
      <c r="CW305" s="37">
        <v>0</v>
      </c>
      <c r="CX305" s="37">
        <v>0</v>
      </c>
      <c r="CY305" s="37">
        <v>0</v>
      </c>
      <c r="CZ305" s="37">
        <v>0</v>
      </c>
      <c r="DA305" s="37">
        <v>0</v>
      </c>
      <c r="DB305" s="37">
        <v>0</v>
      </c>
      <c r="DC305" s="37">
        <v>0</v>
      </c>
      <c r="DD305" s="37">
        <v>0</v>
      </c>
      <c r="DE305" s="37">
        <v>0</v>
      </c>
      <c r="DF305" s="37">
        <v>0</v>
      </c>
      <c r="DG305" s="37">
        <v>0</v>
      </c>
      <c r="DH305" s="37">
        <v>0</v>
      </c>
      <c r="DI305" s="37">
        <v>0</v>
      </c>
      <c r="DJ305" s="37">
        <v>0</v>
      </c>
      <c r="DK305" s="37">
        <v>0</v>
      </c>
      <c r="DL305" s="37">
        <v>0</v>
      </c>
      <c r="DM305" s="37">
        <v>0</v>
      </c>
      <c r="DN305" s="37">
        <v>0</v>
      </c>
      <c r="DO305" s="37">
        <v>0</v>
      </c>
      <c r="DP305" s="37">
        <v>0</v>
      </c>
      <c r="DQ305" s="37">
        <v>0</v>
      </c>
      <c r="DR305" s="37">
        <v>0</v>
      </c>
      <c r="DS305" s="37">
        <v>0</v>
      </c>
      <c r="DT305" s="37">
        <v>0</v>
      </c>
      <c r="DU305" s="37">
        <v>0</v>
      </c>
      <c r="DV305" s="37">
        <v>0</v>
      </c>
      <c r="DW305" s="37">
        <v>0</v>
      </c>
      <c r="DX305" s="37">
        <v>0</v>
      </c>
      <c r="DY305" s="37">
        <v>0</v>
      </c>
      <c r="DZ305" s="37">
        <v>0</v>
      </c>
      <c r="EA305" s="37">
        <v>0</v>
      </c>
      <c r="EB305" s="37">
        <v>0</v>
      </c>
      <c r="EC305" s="37">
        <v>0</v>
      </c>
      <c r="ED305" s="37">
        <v>0</v>
      </c>
      <c r="EE305" s="37">
        <v>0</v>
      </c>
      <c r="EF305" s="37">
        <v>0</v>
      </c>
      <c r="EG305" s="37">
        <v>0</v>
      </c>
      <c r="EH305" s="37">
        <v>0</v>
      </c>
      <c r="EI305" s="37">
        <v>0</v>
      </c>
      <c r="EJ305" s="37">
        <v>0</v>
      </c>
      <c r="EK305" s="161" t="s">
        <v>2019</v>
      </c>
      <c r="EL305" s="294" t="s">
        <v>1124</v>
      </c>
    </row>
    <row r="306" spans="1:142" ht="15" customHeight="1" x14ac:dyDescent="0.35">
      <c r="A306" s="34"/>
      <c r="B306" s="313">
        <v>82005</v>
      </c>
      <c r="C306" s="8" t="s">
        <v>828</v>
      </c>
      <c r="D306" s="18">
        <v>7</v>
      </c>
      <c r="E306" s="155"/>
      <c r="F306" s="36"/>
      <c r="G306" s="37"/>
      <c r="H306" s="37"/>
      <c r="I306" s="37"/>
      <c r="J306" s="37"/>
      <c r="K306" s="37"/>
      <c r="L306" s="37"/>
      <c r="M306" s="37" t="s">
        <v>1124</v>
      </c>
      <c r="N306" s="37" t="s">
        <v>1124</v>
      </c>
      <c r="O306" s="37"/>
      <c r="P306" s="37"/>
      <c r="Q306" s="37"/>
      <c r="R306" s="37"/>
      <c r="S306" s="37"/>
      <c r="T306" s="37"/>
      <c r="U306" s="37"/>
      <c r="V306" s="37"/>
      <c r="W306" s="37"/>
      <c r="X306" s="37"/>
      <c r="Y306" s="37"/>
      <c r="Z306" s="37"/>
      <c r="AA306" s="37" t="s">
        <v>1124</v>
      </c>
      <c r="AB306" s="37" t="s">
        <v>1124</v>
      </c>
      <c r="AC306" s="37"/>
      <c r="AD306" s="37"/>
      <c r="AE306" s="37"/>
      <c r="AF306" s="168"/>
      <c r="AG306" s="37"/>
      <c r="AH306" s="37"/>
      <c r="AI306" s="37"/>
      <c r="AJ306" s="37"/>
      <c r="AK306" s="37"/>
      <c r="AL306" s="37"/>
      <c r="AM306" s="37"/>
      <c r="AN306" s="37"/>
      <c r="AO306" s="37"/>
      <c r="AP306" s="37"/>
      <c r="AQ306" s="37"/>
      <c r="AR306" s="37" t="s">
        <v>1124</v>
      </c>
      <c r="AS306" s="37"/>
      <c r="AT306" s="37"/>
      <c r="AU306" s="37"/>
      <c r="AV306" s="37"/>
      <c r="AW306" s="37"/>
      <c r="AX306" s="37"/>
      <c r="AY306" s="37"/>
      <c r="AZ306" s="37"/>
      <c r="BA306" s="37"/>
      <c r="BB306" s="37"/>
      <c r="BC306" s="37"/>
      <c r="BD306" s="37" t="s">
        <v>1124</v>
      </c>
      <c r="BE306" s="37"/>
      <c r="BF306" s="37"/>
      <c r="BG306" s="37"/>
      <c r="BH306" s="37"/>
      <c r="BI306" s="37"/>
      <c r="BJ306" s="37"/>
      <c r="BK306" s="37"/>
      <c r="BL306" s="37"/>
      <c r="BM306" s="37"/>
      <c r="BN306" s="37"/>
      <c r="BO306" s="37"/>
      <c r="BP306" s="37">
        <v>0</v>
      </c>
      <c r="BQ306" s="37"/>
      <c r="BR306" s="37"/>
      <c r="BS306" s="37"/>
      <c r="BT306" s="37"/>
      <c r="BU306" s="37"/>
      <c r="BV306" s="37"/>
      <c r="BW306" s="37"/>
      <c r="BX306" s="37"/>
      <c r="BY306" s="37"/>
      <c r="BZ306" s="37"/>
      <c r="CA306" s="37"/>
      <c r="CB306" s="37" t="s">
        <v>1124</v>
      </c>
      <c r="CC306" s="37"/>
      <c r="CD306" s="37"/>
      <c r="CE306" s="37"/>
      <c r="CF306" s="37"/>
      <c r="CG306" s="37"/>
      <c r="CH306" s="37"/>
      <c r="CI306" s="37"/>
      <c r="CJ306" s="37"/>
      <c r="CK306" s="37"/>
      <c r="CL306" s="37"/>
      <c r="CM306" s="37"/>
      <c r="CN306" s="37" t="s">
        <v>1124</v>
      </c>
      <c r="CO306" s="37"/>
      <c r="CP306" s="37"/>
      <c r="CQ306" s="37"/>
      <c r="CR306" s="37"/>
      <c r="CS306" s="37"/>
      <c r="CT306" s="37"/>
      <c r="CU306" s="37"/>
      <c r="CV306" s="37"/>
      <c r="CW306" s="37"/>
      <c r="CX306" s="37"/>
      <c r="CY306" s="37"/>
      <c r="CZ306" s="37" t="s">
        <v>1124</v>
      </c>
      <c r="DA306" s="37"/>
      <c r="DB306" s="37"/>
      <c r="DC306" s="37"/>
      <c r="DD306" s="37"/>
      <c r="DE306" s="37"/>
      <c r="DF306" s="37"/>
      <c r="DG306" s="37"/>
      <c r="DH306" s="37"/>
      <c r="DI306" s="37"/>
      <c r="DJ306" s="37"/>
      <c r="DK306" s="37"/>
      <c r="DL306" s="37" t="s">
        <v>1124</v>
      </c>
      <c r="DM306" s="37"/>
      <c r="DN306" s="37"/>
      <c r="DO306" s="37"/>
      <c r="DP306" s="37"/>
      <c r="DQ306" s="37"/>
      <c r="DR306" s="37"/>
      <c r="DS306" s="37"/>
      <c r="DT306" s="37"/>
      <c r="DU306" s="37"/>
      <c r="DV306" s="37"/>
      <c r="DW306" s="37"/>
      <c r="DX306" s="37" t="s">
        <v>1124</v>
      </c>
      <c r="DY306" s="37"/>
      <c r="DZ306" s="37"/>
      <c r="EA306" s="37"/>
      <c r="EB306" s="37"/>
      <c r="EC306" s="37"/>
      <c r="ED306" s="37"/>
      <c r="EE306" s="37"/>
      <c r="EF306" s="37"/>
      <c r="EG306" s="37"/>
      <c r="EH306" s="37"/>
      <c r="EI306" s="37"/>
      <c r="EJ306" s="37" t="s">
        <v>1124</v>
      </c>
      <c r="EK306" s="161"/>
      <c r="EL306" s="294"/>
    </row>
    <row r="307" spans="1:142" ht="15" customHeight="1" x14ac:dyDescent="0.35">
      <c r="A307" s="34"/>
      <c r="B307" s="313">
        <v>52017</v>
      </c>
      <c r="C307" s="8" t="s">
        <v>516</v>
      </c>
      <c r="D307" s="18">
        <v>14</v>
      </c>
      <c r="E307" s="155">
        <v>166330</v>
      </c>
      <c r="F307" s="36">
        <v>138620</v>
      </c>
      <c r="G307" s="37">
        <v>10530</v>
      </c>
      <c r="H307" s="37">
        <v>18739</v>
      </c>
      <c r="I307" s="37">
        <v>77796</v>
      </c>
      <c r="J307" s="37">
        <v>56098</v>
      </c>
      <c r="K307" s="37">
        <v>5000</v>
      </c>
      <c r="L307" s="37">
        <v>12500</v>
      </c>
      <c r="M307" s="37">
        <v>259656</v>
      </c>
      <c r="N307" s="37">
        <v>225957</v>
      </c>
      <c r="O307" s="37">
        <v>51533</v>
      </c>
      <c r="P307" s="37">
        <v>0</v>
      </c>
      <c r="Q307" s="37">
        <v>235967</v>
      </c>
      <c r="R307" s="37">
        <v>126500</v>
      </c>
      <c r="S307" s="37">
        <v>16342</v>
      </c>
      <c r="T307" s="37">
        <v>13244</v>
      </c>
      <c r="U307" s="37">
        <v>10122</v>
      </c>
      <c r="V307" s="37">
        <v>8560</v>
      </c>
      <c r="W307" s="37">
        <v>27010</v>
      </c>
      <c r="X307" s="37">
        <v>50354</v>
      </c>
      <c r="Y307" s="37">
        <v>0</v>
      </c>
      <c r="Z307" s="37">
        <v>0</v>
      </c>
      <c r="AA307" s="37">
        <v>340974</v>
      </c>
      <c r="AB307" s="37">
        <v>198658</v>
      </c>
      <c r="AC307" s="37">
        <v>54019</v>
      </c>
      <c r="AD307" s="37">
        <v>0</v>
      </c>
      <c r="AE307" s="37">
        <v>0</v>
      </c>
      <c r="AF307" s="168">
        <v>0.02</v>
      </c>
      <c r="AG307" s="37">
        <v>39004636.729999997</v>
      </c>
      <c r="AH307" s="37">
        <v>529004.62</v>
      </c>
      <c r="AI307" s="37">
        <v>522938.31</v>
      </c>
      <c r="AJ307" s="37">
        <v>531232.21</v>
      </c>
      <c r="AK307" s="37">
        <v>541856.86</v>
      </c>
      <c r="AL307" s="37">
        <v>552693.99</v>
      </c>
      <c r="AM307" s="37">
        <v>563747.87</v>
      </c>
      <c r="AN307" s="37">
        <v>575022.82999999996</v>
      </c>
      <c r="AO307" s="37">
        <v>586523.29</v>
      </c>
      <c r="AP307" s="37">
        <v>598253.75</v>
      </c>
      <c r="AQ307" s="37">
        <v>610218.82999999996</v>
      </c>
      <c r="AR307" s="37">
        <v>5611492.5600000005</v>
      </c>
      <c r="AS307" s="37">
        <v>527357.94999999995</v>
      </c>
      <c r="AT307" s="37">
        <v>476686.8</v>
      </c>
      <c r="AU307" s="37">
        <v>422402.4</v>
      </c>
      <c r="AV307" s="37">
        <v>106120.8</v>
      </c>
      <c r="AW307" s="37">
        <v>273855.34000000003</v>
      </c>
      <c r="AX307" s="37">
        <v>110408.08</v>
      </c>
      <c r="AY307" s="37">
        <v>112616.24</v>
      </c>
      <c r="AZ307" s="37">
        <v>114868.57</v>
      </c>
      <c r="BA307" s="37">
        <v>117165.94</v>
      </c>
      <c r="BB307" s="37">
        <v>119509.26</v>
      </c>
      <c r="BC307" s="37">
        <v>0</v>
      </c>
      <c r="BD307" s="37">
        <v>1853633.4300000004</v>
      </c>
      <c r="BE307" s="37">
        <v>0</v>
      </c>
      <c r="BF307" s="37">
        <v>0</v>
      </c>
      <c r="BG307" s="37">
        <v>0</v>
      </c>
      <c r="BH307" s="37">
        <v>0</v>
      </c>
      <c r="BI307" s="37">
        <v>0</v>
      </c>
      <c r="BJ307" s="37">
        <v>0</v>
      </c>
      <c r="BK307" s="37">
        <v>0</v>
      </c>
      <c r="BL307" s="37">
        <v>0</v>
      </c>
      <c r="BM307" s="37">
        <v>0</v>
      </c>
      <c r="BN307" s="37">
        <v>0</v>
      </c>
      <c r="BO307" s="37">
        <v>0</v>
      </c>
      <c r="BP307" s="37">
        <v>0</v>
      </c>
      <c r="BQ307" s="37">
        <v>0</v>
      </c>
      <c r="BR307" s="37">
        <v>0</v>
      </c>
      <c r="BS307" s="37">
        <v>0</v>
      </c>
      <c r="BT307" s="37">
        <v>0</v>
      </c>
      <c r="BU307" s="37">
        <v>0</v>
      </c>
      <c r="BV307" s="37">
        <v>0</v>
      </c>
      <c r="BW307" s="37">
        <v>0</v>
      </c>
      <c r="BX307" s="37">
        <v>0</v>
      </c>
      <c r="BY307" s="37">
        <v>0</v>
      </c>
      <c r="BZ307" s="37">
        <v>0</v>
      </c>
      <c r="CA307" s="37">
        <v>0</v>
      </c>
      <c r="CB307" s="37">
        <v>0</v>
      </c>
      <c r="CC307" s="37">
        <v>0</v>
      </c>
      <c r="CD307" s="37">
        <v>0</v>
      </c>
      <c r="CE307" s="37">
        <v>0</v>
      </c>
      <c r="CF307" s="37">
        <v>0</v>
      </c>
      <c r="CG307" s="37">
        <v>0</v>
      </c>
      <c r="CH307" s="37">
        <v>0</v>
      </c>
      <c r="CI307" s="37">
        <v>0</v>
      </c>
      <c r="CJ307" s="37">
        <v>0</v>
      </c>
      <c r="CK307" s="37">
        <v>0</v>
      </c>
      <c r="CL307" s="37">
        <v>0</v>
      </c>
      <c r="CM307" s="37">
        <v>0</v>
      </c>
      <c r="CN307" s="37">
        <v>0</v>
      </c>
      <c r="CO307" s="37">
        <v>0</v>
      </c>
      <c r="CP307" s="37">
        <v>0</v>
      </c>
      <c r="CQ307" s="37">
        <v>0</v>
      </c>
      <c r="CR307" s="37">
        <v>0</v>
      </c>
      <c r="CS307" s="37">
        <v>0</v>
      </c>
      <c r="CT307" s="37">
        <v>0</v>
      </c>
      <c r="CU307" s="37">
        <v>0</v>
      </c>
      <c r="CV307" s="37">
        <v>0</v>
      </c>
      <c r="CW307" s="37">
        <v>0</v>
      </c>
      <c r="CX307" s="37">
        <v>0</v>
      </c>
      <c r="CY307" s="37">
        <v>0</v>
      </c>
      <c r="CZ307" s="37">
        <v>0</v>
      </c>
      <c r="DA307" s="37">
        <v>0</v>
      </c>
      <c r="DB307" s="37">
        <v>0</v>
      </c>
      <c r="DC307" s="37">
        <v>0</v>
      </c>
      <c r="DD307" s="37">
        <v>0</v>
      </c>
      <c r="DE307" s="37">
        <v>0</v>
      </c>
      <c r="DF307" s="37">
        <v>0</v>
      </c>
      <c r="DG307" s="37">
        <v>0</v>
      </c>
      <c r="DH307" s="37">
        <v>0</v>
      </c>
      <c r="DI307" s="37">
        <v>0</v>
      </c>
      <c r="DJ307" s="37">
        <v>0</v>
      </c>
      <c r="DK307" s="37">
        <v>0</v>
      </c>
      <c r="DL307" s="37">
        <v>0</v>
      </c>
      <c r="DM307" s="37">
        <v>0</v>
      </c>
      <c r="DN307" s="37">
        <v>0</v>
      </c>
      <c r="DO307" s="37">
        <v>0</v>
      </c>
      <c r="DP307" s="37">
        <v>0</v>
      </c>
      <c r="DQ307" s="37">
        <v>0</v>
      </c>
      <c r="DR307" s="37">
        <v>0</v>
      </c>
      <c r="DS307" s="37">
        <v>0</v>
      </c>
      <c r="DT307" s="37">
        <v>0</v>
      </c>
      <c r="DU307" s="37">
        <v>0</v>
      </c>
      <c r="DV307" s="37">
        <v>0</v>
      </c>
      <c r="DW307" s="37">
        <v>0</v>
      </c>
      <c r="DX307" s="37">
        <v>0</v>
      </c>
      <c r="DY307" s="37">
        <v>0</v>
      </c>
      <c r="DZ307" s="37">
        <v>0</v>
      </c>
      <c r="EA307" s="37">
        <v>0</v>
      </c>
      <c r="EB307" s="37">
        <v>0</v>
      </c>
      <c r="EC307" s="37">
        <v>0</v>
      </c>
      <c r="ED307" s="37">
        <v>0</v>
      </c>
      <c r="EE307" s="37">
        <v>0</v>
      </c>
      <c r="EF307" s="37">
        <v>0</v>
      </c>
      <c r="EG307" s="37">
        <v>0</v>
      </c>
      <c r="EH307" s="37">
        <v>0</v>
      </c>
      <c r="EI307" s="37">
        <v>0</v>
      </c>
      <c r="EJ307" s="37">
        <v>0</v>
      </c>
      <c r="EK307" s="161" t="s">
        <v>1453</v>
      </c>
      <c r="EL307" s="294" t="s">
        <v>1124</v>
      </c>
    </row>
    <row r="308" spans="1:142" ht="15" customHeight="1" x14ac:dyDescent="0.35">
      <c r="A308" s="34"/>
      <c r="B308" s="313">
        <v>94210</v>
      </c>
      <c r="C308" s="8" t="s">
        <v>974</v>
      </c>
      <c r="D308" s="18">
        <v>2</v>
      </c>
      <c r="E308" s="155"/>
      <c r="F308" s="36"/>
      <c r="G308" s="37"/>
      <c r="H308" s="37"/>
      <c r="I308" s="37"/>
      <c r="J308" s="37"/>
      <c r="K308" s="37"/>
      <c r="L308" s="37"/>
      <c r="M308" s="37" t="s">
        <v>1124</v>
      </c>
      <c r="N308" s="37" t="s">
        <v>1124</v>
      </c>
      <c r="O308" s="37"/>
      <c r="P308" s="37"/>
      <c r="Q308" s="37"/>
      <c r="R308" s="37"/>
      <c r="S308" s="37"/>
      <c r="T308" s="37"/>
      <c r="U308" s="37"/>
      <c r="V308" s="37"/>
      <c r="W308" s="37"/>
      <c r="X308" s="37"/>
      <c r="Y308" s="37"/>
      <c r="Z308" s="37"/>
      <c r="AA308" s="37" t="s">
        <v>1124</v>
      </c>
      <c r="AB308" s="37" t="s">
        <v>1124</v>
      </c>
      <c r="AC308" s="37"/>
      <c r="AD308" s="37"/>
      <c r="AE308" s="37"/>
      <c r="AF308" s="168"/>
      <c r="AG308" s="37"/>
      <c r="AH308" s="37"/>
      <c r="AI308" s="37"/>
      <c r="AJ308" s="37"/>
      <c r="AK308" s="37"/>
      <c r="AL308" s="37"/>
      <c r="AM308" s="37"/>
      <c r="AN308" s="37"/>
      <c r="AO308" s="37"/>
      <c r="AP308" s="37"/>
      <c r="AQ308" s="37"/>
      <c r="AR308" s="37" t="s">
        <v>1124</v>
      </c>
      <c r="AS308" s="37"/>
      <c r="AT308" s="37"/>
      <c r="AU308" s="37"/>
      <c r="AV308" s="37"/>
      <c r="AW308" s="37"/>
      <c r="AX308" s="37"/>
      <c r="AY308" s="37"/>
      <c r="AZ308" s="37"/>
      <c r="BA308" s="37"/>
      <c r="BB308" s="37"/>
      <c r="BC308" s="37"/>
      <c r="BD308" s="37" t="s">
        <v>1124</v>
      </c>
      <c r="BE308" s="37"/>
      <c r="BF308" s="37"/>
      <c r="BG308" s="37"/>
      <c r="BH308" s="37"/>
      <c r="BI308" s="37"/>
      <c r="BJ308" s="37"/>
      <c r="BK308" s="37"/>
      <c r="BL308" s="37"/>
      <c r="BM308" s="37"/>
      <c r="BN308" s="37"/>
      <c r="BO308" s="37"/>
      <c r="BP308" s="37">
        <v>0</v>
      </c>
      <c r="BQ308" s="37"/>
      <c r="BR308" s="37"/>
      <c r="BS308" s="37"/>
      <c r="BT308" s="37"/>
      <c r="BU308" s="37"/>
      <c r="BV308" s="37"/>
      <c r="BW308" s="37"/>
      <c r="BX308" s="37"/>
      <c r="BY308" s="37"/>
      <c r="BZ308" s="37"/>
      <c r="CA308" s="37"/>
      <c r="CB308" s="37" t="s">
        <v>1124</v>
      </c>
      <c r="CC308" s="37"/>
      <c r="CD308" s="37"/>
      <c r="CE308" s="37"/>
      <c r="CF308" s="37"/>
      <c r="CG308" s="37"/>
      <c r="CH308" s="37"/>
      <c r="CI308" s="37"/>
      <c r="CJ308" s="37"/>
      <c r="CK308" s="37"/>
      <c r="CL308" s="37"/>
      <c r="CM308" s="37"/>
      <c r="CN308" s="37" t="s">
        <v>1124</v>
      </c>
      <c r="CO308" s="37"/>
      <c r="CP308" s="37"/>
      <c r="CQ308" s="37"/>
      <c r="CR308" s="37"/>
      <c r="CS308" s="37"/>
      <c r="CT308" s="37"/>
      <c r="CU308" s="37"/>
      <c r="CV308" s="37"/>
      <c r="CW308" s="37"/>
      <c r="CX308" s="37"/>
      <c r="CY308" s="37"/>
      <c r="CZ308" s="37" t="s">
        <v>1124</v>
      </c>
      <c r="DA308" s="37"/>
      <c r="DB308" s="37"/>
      <c r="DC308" s="37"/>
      <c r="DD308" s="37"/>
      <c r="DE308" s="37"/>
      <c r="DF308" s="37"/>
      <c r="DG308" s="37"/>
      <c r="DH308" s="37"/>
      <c r="DI308" s="37"/>
      <c r="DJ308" s="37"/>
      <c r="DK308" s="37"/>
      <c r="DL308" s="37" t="s">
        <v>1124</v>
      </c>
      <c r="DM308" s="37"/>
      <c r="DN308" s="37"/>
      <c r="DO308" s="37"/>
      <c r="DP308" s="37"/>
      <c r="DQ308" s="37"/>
      <c r="DR308" s="37"/>
      <c r="DS308" s="37"/>
      <c r="DT308" s="37"/>
      <c r="DU308" s="37"/>
      <c r="DV308" s="37"/>
      <c r="DW308" s="37"/>
      <c r="DX308" s="37" t="s">
        <v>1124</v>
      </c>
      <c r="DY308" s="37"/>
      <c r="DZ308" s="37"/>
      <c r="EA308" s="37"/>
      <c r="EB308" s="37"/>
      <c r="EC308" s="37"/>
      <c r="ED308" s="37"/>
      <c r="EE308" s="37"/>
      <c r="EF308" s="37"/>
      <c r="EG308" s="37"/>
      <c r="EH308" s="37"/>
      <c r="EI308" s="37"/>
      <c r="EJ308" s="37" t="s">
        <v>1124</v>
      </c>
      <c r="EK308" s="161"/>
      <c r="EL308" s="294"/>
    </row>
    <row r="309" spans="1:142" ht="15" customHeight="1" x14ac:dyDescent="0.35">
      <c r="A309" s="34"/>
      <c r="B309" s="313">
        <v>78015</v>
      </c>
      <c r="C309" s="8" t="s">
        <v>768</v>
      </c>
      <c r="D309" s="18">
        <v>15</v>
      </c>
      <c r="E309" s="155"/>
      <c r="F309" s="36"/>
      <c r="G309" s="37"/>
      <c r="H309" s="37"/>
      <c r="I309" s="37"/>
      <c r="J309" s="37"/>
      <c r="K309" s="37"/>
      <c r="L309" s="37"/>
      <c r="M309" s="37" t="s">
        <v>1124</v>
      </c>
      <c r="N309" s="37" t="s">
        <v>1124</v>
      </c>
      <c r="O309" s="37"/>
      <c r="P309" s="37"/>
      <c r="Q309" s="37"/>
      <c r="R309" s="37"/>
      <c r="S309" s="37"/>
      <c r="T309" s="37"/>
      <c r="U309" s="37"/>
      <c r="V309" s="37"/>
      <c r="W309" s="37"/>
      <c r="X309" s="37"/>
      <c r="Y309" s="37"/>
      <c r="Z309" s="37"/>
      <c r="AA309" s="37" t="s">
        <v>1124</v>
      </c>
      <c r="AB309" s="37" t="s">
        <v>1124</v>
      </c>
      <c r="AC309" s="37"/>
      <c r="AD309" s="37"/>
      <c r="AE309" s="37"/>
      <c r="AF309" s="168"/>
      <c r="AG309" s="37"/>
      <c r="AH309" s="37"/>
      <c r="AI309" s="37"/>
      <c r="AJ309" s="37"/>
      <c r="AK309" s="37"/>
      <c r="AL309" s="37"/>
      <c r="AM309" s="37"/>
      <c r="AN309" s="37"/>
      <c r="AO309" s="37"/>
      <c r="AP309" s="37"/>
      <c r="AQ309" s="37"/>
      <c r="AR309" s="37" t="s">
        <v>1124</v>
      </c>
      <c r="AS309" s="37"/>
      <c r="AT309" s="37"/>
      <c r="AU309" s="37"/>
      <c r="AV309" s="37"/>
      <c r="AW309" s="37"/>
      <c r="AX309" s="37"/>
      <c r="AY309" s="37"/>
      <c r="AZ309" s="37"/>
      <c r="BA309" s="37"/>
      <c r="BB309" s="37"/>
      <c r="BC309" s="37"/>
      <c r="BD309" s="37" t="s">
        <v>1124</v>
      </c>
      <c r="BE309" s="37"/>
      <c r="BF309" s="37"/>
      <c r="BG309" s="37"/>
      <c r="BH309" s="37"/>
      <c r="BI309" s="37"/>
      <c r="BJ309" s="37"/>
      <c r="BK309" s="37"/>
      <c r="BL309" s="37"/>
      <c r="BM309" s="37"/>
      <c r="BN309" s="37"/>
      <c r="BO309" s="37"/>
      <c r="BP309" s="37">
        <v>0</v>
      </c>
      <c r="BQ309" s="37"/>
      <c r="BR309" s="37"/>
      <c r="BS309" s="37"/>
      <c r="BT309" s="37"/>
      <c r="BU309" s="37"/>
      <c r="BV309" s="37"/>
      <c r="BW309" s="37"/>
      <c r="BX309" s="37"/>
      <c r="BY309" s="37"/>
      <c r="BZ309" s="37"/>
      <c r="CA309" s="37"/>
      <c r="CB309" s="37" t="s">
        <v>1124</v>
      </c>
      <c r="CC309" s="37"/>
      <c r="CD309" s="37"/>
      <c r="CE309" s="37"/>
      <c r="CF309" s="37"/>
      <c r="CG309" s="37"/>
      <c r="CH309" s="37"/>
      <c r="CI309" s="37"/>
      <c r="CJ309" s="37"/>
      <c r="CK309" s="37"/>
      <c r="CL309" s="37"/>
      <c r="CM309" s="37"/>
      <c r="CN309" s="37" t="s">
        <v>1124</v>
      </c>
      <c r="CO309" s="37"/>
      <c r="CP309" s="37"/>
      <c r="CQ309" s="37"/>
      <c r="CR309" s="37"/>
      <c r="CS309" s="37"/>
      <c r="CT309" s="37"/>
      <c r="CU309" s="37"/>
      <c r="CV309" s="37"/>
      <c r="CW309" s="37"/>
      <c r="CX309" s="37"/>
      <c r="CY309" s="37"/>
      <c r="CZ309" s="37" t="s">
        <v>1124</v>
      </c>
      <c r="DA309" s="37"/>
      <c r="DB309" s="37"/>
      <c r="DC309" s="37"/>
      <c r="DD309" s="37"/>
      <c r="DE309" s="37"/>
      <c r="DF309" s="37"/>
      <c r="DG309" s="37"/>
      <c r="DH309" s="37"/>
      <c r="DI309" s="37"/>
      <c r="DJ309" s="37"/>
      <c r="DK309" s="37"/>
      <c r="DL309" s="37" t="s">
        <v>1124</v>
      </c>
      <c r="DM309" s="37"/>
      <c r="DN309" s="37"/>
      <c r="DO309" s="37"/>
      <c r="DP309" s="37"/>
      <c r="DQ309" s="37"/>
      <c r="DR309" s="37"/>
      <c r="DS309" s="37"/>
      <c r="DT309" s="37"/>
      <c r="DU309" s="37"/>
      <c r="DV309" s="37"/>
      <c r="DW309" s="37"/>
      <c r="DX309" s="37" t="s">
        <v>1124</v>
      </c>
      <c r="DY309" s="37"/>
      <c r="DZ309" s="37"/>
      <c r="EA309" s="37"/>
      <c r="EB309" s="37"/>
      <c r="EC309" s="37"/>
      <c r="ED309" s="37"/>
      <c r="EE309" s="37"/>
      <c r="EF309" s="37"/>
      <c r="EG309" s="37"/>
      <c r="EH309" s="37"/>
      <c r="EI309" s="37"/>
      <c r="EJ309" s="37" t="s">
        <v>1124</v>
      </c>
      <c r="EK309" s="161"/>
      <c r="EL309" s="294"/>
    </row>
    <row r="310" spans="1:142" ht="15" customHeight="1" x14ac:dyDescent="0.35">
      <c r="A310" s="34"/>
      <c r="B310" s="313">
        <v>94265</v>
      </c>
      <c r="C310" s="8" t="s">
        <v>985</v>
      </c>
      <c r="D310" s="18">
        <v>2</v>
      </c>
      <c r="E310" s="155">
        <v>127095</v>
      </c>
      <c r="F310" s="36">
        <v>116661</v>
      </c>
      <c r="G310" s="37">
        <v>56777</v>
      </c>
      <c r="H310" s="37">
        <v>0</v>
      </c>
      <c r="I310" s="37">
        <v>162122</v>
      </c>
      <c r="J310" s="37">
        <v>0</v>
      </c>
      <c r="K310" s="37">
        <v>7500</v>
      </c>
      <c r="L310" s="37">
        <v>3750</v>
      </c>
      <c r="M310" s="37">
        <v>353494</v>
      </c>
      <c r="N310" s="37">
        <v>120411</v>
      </c>
      <c r="O310" s="37">
        <v>0</v>
      </c>
      <c r="P310" s="37">
        <v>0</v>
      </c>
      <c r="Q310" s="37">
        <v>210382</v>
      </c>
      <c r="R310" s="37">
        <v>84107</v>
      </c>
      <c r="S310" s="37">
        <v>-14600</v>
      </c>
      <c r="T310" s="37">
        <v>0</v>
      </c>
      <c r="U310" s="37">
        <v>0</v>
      </c>
      <c r="V310" s="37">
        <v>0</v>
      </c>
      <c r="W310" s="37">
        <v>97008</v>
      </c>
      <c r="X310" s="37">
        <v>97008</v>
      </c>
      <c r="Y310" s="37">
        <v>0</v>
      </c>
      <c r="Z310" s="37">
        <v>0</v>
      </c>
      <c r="AA310" s="37">
        <v>292790</v>
      </c>
      <c r="AB310" s="37">
        <v>181115</v>
      </c>
      <c r="AC310" s="37">
        <v>0</v>
      </c>
      <c r="AD310" s="37">
        <v>0</v>
      </c>
      <c r="AE310" s="37">
        <v>0</v>
      </c>
      <c r="AF310" s="168">
        <v>0.02</v>
      </c>
      <c r="AG310" s="37">
        <v>27477373.030000001</v>
      </c>
      <c r="AH310" s="37">
        <v>227624.22</v>
      </c>
      <c r="AI310" s="37">
        <v>232176.7</v>
      </c>
      <c r="AJ310" s="37">
        <v>236820.24</v>
      </c>
      <c r="AK310" s="37">
        <v>241556.64</v>
      </c>
      <c r="AL310" s="37">
        <v>246387.78</v>
      </c>
      <c r="AM310" s="37">
        <v>251315.53</v>
      </c>
      <c r="AN310" s="37">
        <v>256341.84</v>
      </c>
      <c r="AO310" s="37">
        <v>261468.68</v>
      </c>
      <c r="AP310" s="37">
        <v>266698.05</v>
      </c>
      <c r="AQ310" s="37">
        <v>272032.01</v>
      </c>
      <c r="AR310" s="37">
        <v>2492421.6900000004</v>
      </c>
      <c r="AS310" s="37">
        <v>0</v>
      </c>
      <c r="AT310" s="37">
        <v>0</v>
      </c>
      <c r="AU310" s="37">
        <v>0</v>
      </c>
      <c r="AV310" s="37">
        <v>0</v>
      </c>
      <c r="AW310" s="37">
        <v>0</v>
      </c>
      <c r="AX310" s="37">
        <v>0</v>
      </c>
      <c r="AY310" s="37">
        <v>0</v>
      </c>
      <c r="AZ310" s="37">
        <v>0</v>
      </c>
      <c r="BA310" s="37">
        <v>0</v>
      </c>
      <c r="BB310" s="37">
        <v>0</v>
      </c>
      <c r="BC310" s="37">
        <v>0</v>
      </c>
      <c r="BD310" s="37">
        <v>0</v>
      </c>
      <c r="BE310" s="37">
        <v>0</v>
      </c>
      <c r="BF310" s="37">
        <v>190000</v>
      </c>
      <c r="BG310" s="37">
        <v>0</v>
      </c>
      <c r="BH310" s="37">
        <v>0</v>
      </c>
      <c r="BI310" s="37">
        <v>0</v>
      </c>
      <c r="BJ310" s="37">
        <v>0</v>
      </c>
      <c r="BK310" s="37">
        <v>0</v>
      </c>
      <c r="BL310" s="37">
        <v>0</v>
      </c>
      <c r="BM310" s="37">
        <v>0</v>
      </c>
      <c r="BN310" s="37">
        <v>0</v>
      </c>
      <c r="BO310" s="37">
        <v>0</v>
      </c>
      <c r="BP310" s="37">
        <v>190000</v>
      </c>
      <c r="BQ310" s="37">
        <v>0</v>
      </c>
      <c r="BR310" s="37">
        <v>0</v>
      </c>
      <c r="BS310" s="37">
        <v>0</v>
      </c>
      <c r="BT310" s="37">
        <v>0</v>
      </c>
      <c r="BU310" s="37">
        <v>0</v>
      </c>
      <c r="BV310" s="37">
        <v>0</v>
      </c>
      <c r="BW310" s="37">
        <v>0</v>
      </c>
      <c r="BX310" s="37">
        <v>0</v>
      </c>
      <c r="BY310" s="37">
        <v>0</v>
      </c>
      <c r="BZ310" s="37">
        <v>0</v>
      </c>
      <c r="CA310" s="37">
        <v>0</v>
      </c>
      <c r="CB310" s="37">
        <v>0</v>
      </c>
      <c r="CC310" s="37">
        <v>0</v>
      </c>
      <c r="CD310" s="37">
        <v>0</v>
      </c>
      <c r="CE310" s="37">
        <v>0</v>
      </c>
      <c r="CF310" s="37">
        <v>0</v>
      </c>
      <c r="CG310" s="37">
        <v>0</v>
      </c>
      <c r="CH310" s="37">
        <v>0</v>
      </c>
      <c r="CI310" s="37">
        <v>0</v>
      </c>
      <c r="CJ310" s="37">
        <v>0</v>
      </c>
      <c r="CK310" s="37">
        <v>0</v>
      </c>
      <c r="CL310" s="37">
        <v>0</v>
      </c>
      <c r="CM310" s="37">
        <v>0</v>
      </c>
      <c r="CN310" s="37">
        <v>0</v>
      </c>
      <c r="CO310" s="37">
        <v>0</v>
      </c>
      <c r="CP310" s="37">
        <v>0</v>
      </c>
      <c r="CQ310" s="37">
        <v>0</v>
      </c>
      <c r="CR310" s="37">
        <v>0</v>
      </c>
      <c r="CS310" s="37">
        <v>0</v>
      </c>
      <c r="CT310" s="37">
        <v>0</v>
      </c>
      <c r="CU310" s="37">
        <v>0</v>
      </c>
      <c r="CV310" s="37">
        <v>0</v>
      </c>
      <c r="CW310" s="37">
        <v>0</v>
      </c>
      <c r="CX310" s="37">
        <v>0</v>
      </c>
      <c r="CY310" s="37">
        <v>0</v>
      </c>
      <c r="CZ310" s="37">
        <v>0</v>
      </c>
      <c r="DA310" s="37">
        <v>0</v>
      </c>
      <c r="DB310" s="37">
        <v>0</v>
      </c>
      <c r="DC310" s="37">
        <v>0</v>
      </c>
      <c r="DD310" s="37">
        <v>0</v>
      </c>
      <c r="DE310" s="37">
        <v>0</v>
      </c>
      <c r="DF310" s="37">
        <v>0</v>
      </c>
      <c r="DG310" s="37">
        <v>0</v>
      </c>
      <c r="DH310" s="37">
        <v>0</v>
      </c>
      <c r="DI310" s="37">
        <v>0</v>
      </c>
      <c r="DJ310" s="37">
        <v>0</v>
      </c>
      <c r="DK310" s="37">
        <v>0</v>
      </c>
      <c r="DL310" s="37">
        <v>0</v>
      </c>
      <c r="DM310" s="37">
        <v>0</v>
      </c>
      <c r="DN310" s="37">
        <v>0</v>
      </c>
      <c r="DO310" s="37">
        <v>0</v>
      </c>
      <c r="DP310" s="37">
        <v>0</v>
      </c>
      <c r="DQ310" s="37">
        <v>0</v>
      </c>
      <c r="DR310" s="37">
        <v>0</v>
      </c>
      <c r="DS310" s="37">
        <v>0</v>
      </c>
      <c r="DT310" s="37">
        <v>0</v>
      </c>
      <c r="DU310" s="37">
        <v>0</v>
      </c>
      <c r="DV310" s="37">
        <v>0</v>
      </c>
      <c r="DW310" s="37">
        <v>0</v>
      </c>
      <c r="DX310" s="37">
        <v>0</v>
      </c>
      <c r="DY310" s="37">
        <v>0</v>
      </c>
      <c r="DZ310" s="37">
        <v>0</v>
      </c>
      <c r="EA310" s="37">
        <v>0</v>
      </c>
      <c r="EB310" s="37">
        <v>0</v>
      </c>
      <c r="EC310" s="37">
        <v>0</v>
      </c>
      <c r="ED310" s="37">
        <v>0</v>
      </c>
      <c r="EE310" s="37">
        <v>0</v>
      </c>
      <c r="EF310" s="37">
        <v>0</v>
      </c>
      <c r="EG310" s="37">
        <v>0</v>
      </c>
      <c r="EH310" s="37">
        <v>0</v>
      </c>
      <c r="EI310" s="37">
        <v>0</v>
      </c>
      <c r="EJ310" s="37">
        <v>0</v>
      </c>
      <c r="EK310" s="161" t="s">
        <v>2027</v>
      </c>
      <c r="EL310" s="294" t="s">
        <v>1124</v>
      </c>
    </row>
    <row r="311" spans="1:142" ht="15" customHeight="1" x14ac:dyDescent="0.35">
      <c r="A311" s="34"/>
      <c r="B311" s="314">
        <v>79050</v>
      </c>
      <c r="C311" s="8" t="s">
        <v>794</v>
      </c>
      <c r="D311" s="18">
        <v>15</v>
      </c>
      <c r="E311" s="155">
        <v>23033</v>
      </c>
      <c r="F311" s="36">
        <v>17765</v>
      </c>
      <c r="G311" s="37">
        <v>8514</v>
      </c>
      <c r="H311" s="37">
        <v>0</v>
      </c>
      <c r="I311" s="37">
        <v>38773</v>
      </c>
      <c r="J311" s="37">
        <v>0</v>
      </c>
      <c r="K311" s="37">
        <v>3516</v>
      </c>
      <c r="L311" s="37">
        <v>889</v>
      </c>
      <c r="M311" s="37">
        <v>73836</v>
      </c>
      <c r="N311" s="37">
        <v>18654</v>
      </c>
      <c r="O311" s="37">
        <v>0</v>
      </c>
      <c r="P311" s="37">
        <v>0</v>
      </c>
      <c r="Q311" s="37">
        <v>64787</v>
      </c>
      <c r="R311" s="37">
        <v>30800</v>
      </c>
      <c r="S311" s="37">
        <v>0</v>
      </c>
      <c r="T311" s="37">
        <v>0</v>
      </c>
      <c r="U311" s="37">
        <v>958</v>
      </c>
      <c r="V311" s="37">
        <v>0</v>
      </c>
      <c r="W311" s="37">
        <v>7722</v>
      </c>
      <c r="X311" s="37">
        <v>12146</v>
      </c>
      <c r="Y311" s="37">
        <v>0</v>
      </c>
      <c r="Z311" s="37">
        <v>0</v>
      </c>
      <c r="AA311" s="37">
        <v>73467</v>
      </c>
      <c r="AB311" s="37">
        <v>42946</v>
      </c>
      <c r="AC311" s="37">
        <v>23923</v>
      </c>
      <c r="AD311" s="37">
        <v>23923</v>
      </c>
      <c r="AE311" s="37">
        <v>43045</v>
      </c>
      <c r="AF311" s="168">
        <v>0.02</v>
      </c>
      <c r="AG311" s="37">
        <v>11579437.58</v>
      </c>
      <c r="AH311" s="37">
        <v>88387.69</v>
      </c>
      <c r="AI311" s="37">
        <v>100767.52</v>
      </c>
      <c r="AJ311" s="37">
        <v>110359.9</v>
      </c>
      <c r="AK311" s="37">
        <v>93797.72</v>
      </c>
      <c r="AL311" s="37">
        <v>95673.68</v>
      </c>
      <c r="AM311" s="37">
        <v>97587.15</v>
      </c>
      <c r="AN311" s="37">
        <v>99538.89</v>
      </c>
      <c r="AO311" s="37">
        <v>101529.67</v>
      </c>
      <c r="AP311" s="37">
        <v>103560.26</v>
      </c>
      <c r="AQ311" s="37">
        <v>105631.47</v>
      </c>
      <c r="AR311" s="37">
        <v>996833.95</v>
      </c>
      <c r="AS311" s="37">
        <v>250000</v>
      </c>
      <c r="AT311" s="37">
        <v>0</v>
      </c>
      <c r="AU311" s="37">
        <v>0</v>
      </c>
      <c r="AV311" s="37">
        <v>0</v>
      </c>
      <c r="AW311" s="37">
        <v>0</v>
      </c>
      <c r="AX311" s="37">
        <v>0</v>
      </c>
      <c r="AY311" s="37">
        <v>0</v>
      </c>
      <c r="AZ311" s="37">
        <v>0</v>
      </c>
      <c r="BA311" s="37">
        <v>0</v>
      </c>
      <c r="BB311" s="37">
        <v>0</v>
      </c>
      <c r="BC311" s="37">
        <v>0</v>
      </c>
      <c r="BD311" s="37">
        <v>0</v>
      </c>
      <c r="BE311" s="37">
        <v>0</v>
      </c>
      <c r="BF311" s="37">
        <v>0</v>
      </c>
      <c r="BG311" s="37">
        <v>250000</v>
      </c>
      <c r="BH311" s="37">
        <v>0</v>
      </c>
      <c r="BI311" s="37">
        <v>0</v>
      </c>
      <c r="BJ311" s="37">
        <v>0</v>
      </c>
      <c r="BK311" s="37">
        <v>0</v>
      </c>
      <c r="BL311" s="37">
        <v>0</v>
      </c>
      <c r="BM311" s="37">
        <v>0</v>
      </c>
      <c r="BN311" s="37">
        <v>0</v>
      </c>
      <c r="BO311" s="37">
        <v>0</v>
      </c>
      <c r="BP311" s="37">
        <v>250000</v>
      </c>
      <c r="BQ311" s="37">
        <v>0</v>
      </c>
      <c r="BR311" s="37">
        <v>0</v>
      </c>
      <c r="BS311" s="37">
        <v>0</v>
      </c>
      <c r="BT311" s="37">
        <v>0</v>
      </c>
      <c r="BU311" s="37">
        <v>0</v>
      </c>
      <c r="BV311" s="37">
        <v>0</v>
      </c>
      <c r="BW311" s="37">
        <v>0</v>
      </c>
      <c r="BX311" s="37">
        <v>0</v>
      </c>
      <c r="BY311" s="37">
        <v>0</v>
      </c>
      <c r="BZ311" s="37">
        <v>0</v>
      </c>
      <c r="CA311" s="37">
        <v>0</v>
      </c>
      <c r="CB311" s="37">
        <v>0</v>
      </c>
      <c r="CC311" s="37">
        <v>0</v>
      </c>
      <c r="CD311" s="37">
        <v>0</v>
      </c>
      <c r="CE311" s="37">
        <v>10200</v>
      </c>
      <c r="CF311" s="37">
        <v>17340</v>
      </c>
      <c r="CG311" s="37">
        <v>0</v>
      </c>
      <c r="CH311" s="37">
        <v>0</v>
      </c>
      <c r="CI311" s="37">
        <v>0</v>
      </c>
      <c r="CJ311" s="37">
        <v>0</v>
      </c>
      <c r="CK311" s="37">
        <v>0</v>
      </c>
      <c r="CL311" s="37">
        <v>0</v>
      </c>
      <c r="CM311" s="37">
        <v>0</v>
      </c>
      <c r="CN311" s="37">
        <v>27540</v>
      </c>
      <c r="CO311" s="37">
        <v>0</v>
      </c>
      <c r="CP311" s="37">
        <v>0</v>
      </c>
      <c r="CQ311" s="37">
        <v>0</v>
      </c>
      <c r="CR311" s="37">
        <v>0</v>
      </c>
      <c r="CS311" s="37">
        <v>0</v>
      </c>
      <c r="CT311" s="37">
        <v>0</v>
      </c>
      <c r="CU311" s="37">
        <v>0</v>
      </c>
      <c r="CV311" s="37">
        <v>0</v>
      </c>
      <c r="CW311" s="37">
        <v>0</v>
      </c>
      <c r="CX311" s="37">
        <v>0</v>
      </c>
      <c r="CY311" s="37">
        <v>0</v>
      </c>
      <c r="CZ311" s="37">
        <v>0</v>
      </c>
      <c r="DA311" s="37">
        <v>0</v>
      </c>
      <c r="DB311" s="37">
        <v>0</v>
      </c>
      <c r="DC311" s="37">
        <v>0</v>
      </c>
      <c r="DD311" s="37">
        <v>0</v>
      </c>
      <c r="DE311" s="37">
        <v>0</v>
      </c>
      <c r="DF311" s="37">
        <v>0</v>
      </c>
      <c r="DG311" s="37">
        <v>0</v>
      </c>
      <c r="DH311" s="37">
        <v>0</v>
      </c>
      <c r="DI311" s="37">
        <v>0</v>
      </c>
      <c r="DJ311" s="37">
        <v>0</v>
      </c>
      <c r="DK311" s="37">
        <v>0</v>
      </c>
      <c r="DL311" s="37">
        <v>0</v>
      </c>
      <c r="DM311" s="37">
        <v>0</v>
      </c>
      <c r="DN311" s="37">
        <v>0</v>
      </c>
      <c r="DO311" s="37">
        <v>0</v>
      </c>
      <c r="DP311" s="37">
        <v>0</v>
      </c>
      <c r="DQ311" s="37">
        <v>0</v>
      </c>
      <c r="DR311" s="37">
        <v>0</v>
      </c>
      <c r="DS311" s="37">
        <v>0</v>
      </c>
      <c r="DT311" s="37">
        <v>0</v>
      </c>
      <c r="DU311" s="37">
        <v>0</v>
      </c>
      <c r="DV311" s="37">
        <v>0</v>
      </c>
      <c r="DW311" s="37">
        <v>0</v>
      </c>
      <c r="DX311" s="37">
        <v>0</v>
      </c>
      <c r="DY311" s="37">
        <v>0</v>
      </c>
      <c r="DZ311" s="37">
        <v>0</v>
      </c>
      <c r="EA311" s="37">
        <v>0</v>
      </c>
      <c r="EB311" s="37">
        <v>0</v>
      </c>
      <c r="EC311" s="37">
        <v>0</v>
      </c>
      <c r="ED311" s="37">
        <v>0</v>
      </c>
      <c r="EE311" s="37">
        <v>0</v>
      </c>
      <c r="EF311" s="37">
        <v>0</v>
      </c>
      <c r="EG311" s="37">
        <v>0</v>
      </c>
      <c r="EH311" s="37">
        <v>0</v>
      </c>
      <c r="EI311" s="37">
        <v>0</v>
      </c>
      <c r="EJ311" s="37">
        <v>0</v>
      </c>
      <c r="EK311" s="161" t="s">
        <v>2032</v>
      </c>
      <c r="EL311" s="294" t="s">
        <v>1124</v>
      </c>
    </row>
    <row r="312" spans="1:142" ht="15" customHeight="1" x14ac:dyDescent="0.35">
      <c r="A312" s="34"/>
      <c r="B312" s="313">
        <v>93065</v>
      </c>
      <c r="C312" s="8" t="s">
        <v>968</v>
      </c>
      <c r="D312" s="18">
        <v>2</v>
      </c>
      <c r="E312" s="155">
        <v>126104</v>
      </c>
      <c r="F312" s="36">
        <v>67481</v>
      </c>
      <c r="G312" s="37">
        <v>35288</v>
      </c>
      <c r="H312" s="37">
        <v>31975</v>
      </c>
      <c r="I312" s="37">
        <v>57280</v>
      </c>
      <c r="J312" s="37">
        <v>105282</v>
      </c>
      <c r="K312" s="37">
        <v>0</v>
      </c>
      <c r="L312" s="37">
        <v>0</v>
      </c>
      <c r="M312" s="37">
        <v>218672</v>
      </c>
      <c r="N312" s="37">
        <v>204738</v>
      </c>
      <c r="O312" s="37">
        <v>0</v>
      </c>
      <c r="P312" s="37">
        <v>0</v>
      </c>
      <c r="Q312" s="37">
        <v>173804</v>
      </c>
      <c r="R312" s="37">
        <v>96848</v>
      </c>
      <c r="S312" s="37">
        <v>39640</v>
      </c>
      <c r="T312" s="37">
        <v>0</v>
      </c>
      <c r="U312" s="37">
        <v>10659</v>
      </c>
      <c r="V312" s="37">
        <v>1826</v>
      </c>
      <c r="W312" s="37">
        <v>50316.5</v>
      </c>
      <c r="X312" s="37">
        <v>50316.5</v>
      </c>
      <c r="Y312" s="37">
        <v>0</v>
      </c>
      <c r="Z312" s="37">
        <v>0</v>
      </c>
      <c r="AA312" s="37">
        <v>274419.5</v>
      </c>
      <c r="AB312" s="37">
        <v>148990.5</v>
      </c>
      <c r="AC312" s="37">
        <v>0</v>
      </c>
      <c r="AD312" s="37">
        <v>0</v>
      </c>
      <c r="AE312" s="37">
        <v>0</v>
      </c>
      <c r="AF312" s="168">
        <v>0.02</v>
      </c>
      <c r="AG312" s="37">
        <v>49672320.5</v>
      </c>
      <c r="AH312" s="37">
        <v>457586.21</v>
      </c>
      <c r="AI312" s="37">
        <v>466737.94</v>
      </c>
      <c r="AJ312" s="37">
        <v>476072.7</v>
      </c>
      <c r="AK312" s="37">
        <v>485594.15</v>
      </c>
      <c r="AL312" s="37">
        <v>495306.03</v>
      </c>
      <c r="AM312" s="37">
        <v>505212.15</v>
      </c>
      <c r="AN312" s="37">
        <v>515316.4</v>
      </c>
      <c r="AO312" s="37">
        <v>525622.73</v>
      </c>
      <c r="AP312" s="37">
        <v>536135.18000000005</v>
      </c>
      <c r="AQ312" s="37">
        <v>546857.88</v>
      </c>
      <c r="AR312" s="37">
        <v>5010441.37</v>
      </c>
      <c r="AS312" s="37">
        <v>726780.43</v>
      </c>
      <c r="AT312" s="37">
        <v>0</v>
      </c>
      <c r="AU312" s="37">
        <v>0</v>
      </c>
      <c r="AV312" s="37">
        <v>0</v>
      </c>
      <c r="AW312" s="37">
        <v>0</v>
      </c>
      <c r="AX312" s="37">
        <v>0</v>
      </c>
      <c r="AY312" s="37">
        <v>0</v>
      </c>
      <c r="AZ312" s="37">
        <v>0</v>
      </c>
      <c r="BA312" s="37">
        <v>0</v>
      </c>
      <c r="BB312" s="37">
        <v>0</v>
      </c>
      <c r="BC312" s="37">
        <v>0</v>
      </c>
      <c r="BD312" s="37">
        <v>0</v>
      </c>
      <c r="BE312" s="37">
        <v>794540</v>
      </c>
      <c r="BF312" s="37">
        <v>880874</v>
      </c>
      <c r="BG312" s="37">
        <v>0</v>
      </c>
      <c r="BH312" s="37">
        <v>0</v>
      </c>
      <c r="BI312" s="37">
        <v>0</v>
      </c>
      <c r="BJ312" s="37">
        <v>0</v>
      </c>
      <c r="BK312" s="37">
        <v>0</v>
      </c>
      <c r="BL312" s="37">
        <v>0</v>
      </c>
      <c r="BM312" s="37">
        <v>0</v>
      </c>
      <c r="BN312" s="37">
        <v>0</v>
      </c>
      <c r="BO312" s="37">
        <v>0</v>
      </c>
      <c r="BP312" s="37">
        <v>880874</v>
      </c>
      <c r="BQ312" s="37">
        <v>397270</v>
      </c>
      <c r="BR312" s="37">
        <v>220219</v>
      </c>
      <c r="BS312" s="37">
        <v>0</v>
      </c>
      <c r="BT312" s="37">
        <v>0</v>
      </c>
      <c r="BU312" s="37">
        <v>0</v>
      </c>
      <c r="BV312" s="37">
        <v>0</v>
      </c>
      <c r="BW312" s="37">
        <v>0</v>
      </c>
      <c r="BX312" s="37">
        <v>0</v>
      </c>
      <c r="BY312" s="37">
        <v>0</v>
      </c>
      <c r="BZ312" s="37">
        <v>0</v>
      </c>
      <c r="CA312" s="37">
        <v>0</v>
      </c>
      <c r="CB312" s="37">
        <v>220219</v>
      </c>
      <c r="CC312" s="37">
        <v>0</v>
      </c>
      <c r="CD312" s="37">
        <v>0</v>
      </c>
      <c r="CE312" s="37">
        <v>0</v>
      </c>
      <c r="CF312" s="37">
        <v>0</v>
      </c>
      <c r="CG312" s="37">
        <v>0</v>
      </c>
      <c r="CH312" s="37">
        <v>0</v>
      </c>
      <c r="CI312" s="37">
        <v>0</v>
      </c>
      <c r="CJ312" s="37">
        <v>0</v>
      </c>
      <c r="CK312" s="37">
        <v>0</v>
      </c>
      <c r="CL312" s="37">
        <v>0</v>
      </c>
      <c r="CM312" s="37">
        <v>0</v>
      </c>
      <c r="CN312" s="37">
        <v>0</v>
      </c>
      <c r="CO312" s="37">
        <v>0</v>
      </c>
      <c r="CP312" s="37">
        <v>0</v>
      </c>
      <c r="CQ312" s="37">
        <v>0</v>
      </c>
      <c r="CR312" s="37">
        <v>0</v>
      </c>
      <c r="CS312" s="37">
        <v>0</v>
      </c>
      <c r="CT312" s="37">
        <v>0</v>
      </c>
      <c r="CU312" s="37">
        <v>0</v>
      </c>
      <c r="CV312" s="37">
        <v>0</v>
      </c>
      <c r="CW312" s="37">
        <v>0</v>
      </c>
      <c r="CX312" s="37">
        <v>0</v>
      </c>
      <c r="CY312" s="37">
        <v>0</v>
      </c>
      <c r="CZ312" s="37">
        <v>0</v>
      </c>
      <c r="DA312" s="37">
        <v>0</v>
      </c>
      <c r="DB312" s="37">
        <v>0</v>
      </c>
      <c r="DC312" s="37">
        <v>0</v>
      </c>
      <c r="DD312" s="37">
        <v>0</v>
      </c>
      <c r="DE312" s="37">
        <v>0</v>
      </c>
      <c r="DF312" s="37">
        <v>0</v>
      </c>
      <c r="DG312" s="37">
        <v>0</v>
      </c>
      <c r="DH312" s="37">
        <v>0</v>
      </c>
      <c r="DI312" s="37">
        <v>0</v>
      </c>
      <c r="DJ312" s="37">
        <v>0</v>
      </c>
      <c r="DK312" s="37">
        <v>0</v>
      </c>
      <c r="DL312" s="37">
        <v>0</v>
      </c>
      <c r="DM312" s="37">
        <v>0</v>
      </c>
      <c r="DN312" s="37">
        <v>0</v>
      </c>
      <c r="DO312" s="37">
        <v>0</v>
      </c>
      <c r="DP312" s="37">
        <v>0</v>
      </c>
      <c r="DQ312" s="37">
        <v>0</v>
      </c>
      <c r="DR312" s="37">
        <v>0</v>
      </c>
      <c r="DS312" s="37">
        <v>0</v>
      </c>
      <c r="DT312" s="37">
        <v>0</v>
      </c>
      <c r="DU312" s="37">
        <v>0</v>
      </c>
      <c r="DV312" s="37">
        <v>0</v>
      </c>
      <c r="DW312" s="37">
        <v>0</v>
      </c>
      <c r="DX312" s="37">
        <v>0</v>
      </c>
      <c r="DY312" s="37">
        <v>0</v>
      </c>
      <c r="DZ312" s="37">
        <v>0</v>
      </c>
      <c r="EA312" s="37">
        <v>0</v>
      </c>
      <c r="EB312" s="37">
        <v>0</v>
      </c>
      <c r="EC312" s="37">
        <v>0</v>
      </c>
      <c r="ED312" s="37">
        <v>0</v>
      </c>
      <c r="EE312" s="37">
        <v>0</v>
      </c>
      <c r="EF312" s="37">
        <v>0</v>
      </c>
      <c r="EG312" s="37">
        <v>0</v>
      </c>
      <c r="EH312" s="37">
        <v>0</v>
      </c>
      <c r="EI312" s="37">
        <v>0</v>
      </c>
      <c r="EJ312" s="37">
        <v>0</v>
      </c>
      <c r="EK312" s="161" t="s">
        <v>2035</v>
      </c>
      <c r="EL312" s="294" t="s">
        <v>1124</v>
      </c>
    </row>
    <row r="313" spans="1:142" ht="15" customHeight="1" x14ac:dyDescent="0.35">
      <c r="A313" s="34"/>
      <c r="B313" s="313">
        <v>6060</v>
      </c>
      <c r="C313" s="8" t="s">
        <v>1067</v>
      </c>
      <c r="D313" s="18">
        <v>11</v>
      </c>
      <c r="E313" s="155"/>
      <c r="F313" s="36"/>
      <c r="G313" s="37"/>
      <c r="H313" s="37"/>
      <c r="I313" s="37"/>
      <c r="J313" s="37"/>
      <c r="K313" s="37"/>
      <c r="L313" s="37"/>
      <c r="M313" s="37" t="s">
        <v>1124</v>
      </c>
      <c r="N313" s="37" t="s">
        <v>1124</v>
      </c>
      <c r="O313" s="37"/>
      <c r="P313" s="37"/>
      <c r="Q313" s="37"/>
      <c r="R313" s="37"/>
      <c r="S313" s="37"/>
      <c r="T313" s="37"/>
      <c r="U313" s="37"/>
      <c r="V313" s="37"/>
      <c r="W313" s="37"/>
      <c r="X313" s="37"/>
      <c r="Y313" s="37"/>
      <c r="Z313" s="37"/>
      <c r="AA313" s="37" t="s">
        <v>1124</v>
      </c>
      <c r="AB313" s="37" t="s">
        <v>1124</v>
      </c>
      <c r="AC313" s="37"/>
      <c r="AD313" s="37"/>
      <c r="AE313" s="37"/>
      <c r="AF313" s="168"/>
      <c r="AG313" s="37"/>
      <c r="AH313" s="37"/>
      <c r="AI313" s="37"/>
      <c r="AJ313" s="37"/>
      <c r="AK313" s="37"/>
      <c r="AL313" s="37"/>
      <c r="AM313" s="37"/>
      <c r="AN313" s="37"/>
      <c r="AO313" s="37"/>
      <c r="AP313" s="37"/>
      <c r="AQ313" s="37"/>
      <c r="AR313" s="37" t="s">
        <v>1124</v>
      </c>
      <c r="AS313" s="37"/>
      <c r="AT313" s="37"/>
      <c r="AU313" s="37"/>
      <c r="AV313" s="37"/>
      <c r="AW313" s="37"/>
      <c r="AX313" s="37"/>
      <c r="AY313" s="37"/>
      <c r="AZ313" s="37"/>
      <c r="BA313" s="37"/>
      <c r="BB313" s="37"/>
      <c r="BC313" s="37"/>
      <c r="BD313" s="37" t="s">
        <v>1124</v>
      </c>
      <c r="BE313" s="37"/>
      <c r="BF313" s="37"/>
      <c r="BG313" s="37"/>
      <c r="BH313" s="37"/>
      <c r="BI313" s="37"/>
      <c r="BJ313" s="37"/>
      <c r="BK313" s="37"/>
      <c r="BL313" s="37"/>
      <c r="BM313" s="37"/>
      <c r="BN313" s="37"/>
      <c r="BO313" s="37"/>
      <c r="BP313" s="37">
        <v>0</v>
      </c>
      <c r="BQ313" s="37"/>
      <c r="BR313" s="37"/>
      <c r="BS313" s="37"/>
      <c r="BT313" s="37"/>
      <c r="BU313" s="37"/>
      <c r="BV313" s="37"/>
      <c r="BW313" s="37"/>
      <c r="BX313" s="37"/>
      <c r="BY313" s="37"/>
      <c r="BZ313" s="37"/>
      <c r="CA313" s="37"/>
      <c r="CB313" s="37" t="s">
        <v>1124</v>
      </c>
      <c r="CC313" s="37"/>
      <c r="CD313" s="37"/>
      <c r="CE313" s="37"/>
      <c r="CF313" s="37"/>
      <c r="CG313" s="37"/>
      <c r="CH313" s="37"/>
      <c r="CI313" s="37"/>
      <c r="CJ313" s="37"/>
      <c r="CK313" s="37"/>
      <c r="CL313" s="37"/>
      <c r="CM313" s="37"/>
      <c r="CN313" s="37" t="s">
        <v>1124</v>
      </c>
      <c r="CO313" s="37"/>
      <c r="CP313" s="37"/>
      <c r="CQ313" s="37"/>
      <c r="CR313" s="37"/>
      <c r="CS313" s="37"/>
      <c r="CT313" s="37"/>
      <c r="CU313" s="37"/>
      <c r="CV313" s="37"/>
      <c r="CW313" s="37"/>
      <c r="CX313" s="37"/>
      <c r="CY313" s="37"/>
      <c r="CZ313" s="37" t="s">
        <v>1124</v>
      </c>
      <c r="DA313" s="37"/>
      <c r="DB313" s="37"/>
      <c r="DC313" s="37"/>
      <c r="DD313" s="37"/>
      <c r="DE313" s="37"/>
      <c r="DF313" s="37"/>
      <c r="DG313" s="37"/>
      <c r="DH313" s="37"/>
      <c r="DI313" s="37"/>
      <c r="DJ313" s="37"/>
      <c r="DK313" s="37"/>
      <c r="DL313" s="37" t="s">
        <v>1124</v>
      </c>
      <c r="DM313" s="37"/>
      <c r="DN313" s="37"/>
      <c r="DO313" s="37"/>
      <c r="DP313" s="37"/>
      <c r="DQ313" s="37"/>
      <c r="DR313" s="37"/>
      <c r="DS313" s="37"/>
      <c r="DT313" s="37"/>
      <c r="DU313" s="37"/>
      <c r="DV313" s="37"/>
      <c r="DW313" s="37"/>
      <c r="DX313" s="37" t="s">
        <v>1124</v>
      </c>
      <c r="DY313" s="37"/>
      <c r="DZ313" s="37"/>
      <c r="EA313" s="37"/>
      <c r="EB313" s="37"/>
      <c r="EC313" s="37"/>
      <c r="ED313" s="37"/>
      <c r="EE313" s="37"/>
      <c r="EF313" s="37"/>
      <c r="EG313" s="37"/>
      <c r="EH313" s="37"/>
      <c r="EI313" s="37"/>
      <c r="EJ313" s="37" t="s">
        <v>1124</v>
      </c>
      <c r="EK313" s="161"/>
      <c r="EL313" s="294"/>
    </row>
    <row r="314" spans="1:142" ht="15" customHeight="1" x14ac:dyDescent="0.35">
      <c r="A314" s="34"/>
      <c r="B314" s="313">
        <v>60028</v>
      </c>
      <c r="C314" s="8" t="s">
        <v>608</v>
      </c>
      <c r="D314" s="18">
        <v>14</v>
      </c>
      <c r="E314" s="155">
        <v>2742383</v>
      </c>
      <c r="F314" s="36">
        <v>966031</v>
      </c>
      <c r="G314" s="37">
        <v>212769</v>
      </c>
      <c r="H314" s="37">
        <v>129601</v>
      </c>
      <c r="I314" s="37">
        <v>1337408</v>
      </c>
      <c r="J314" s="37">
        <v>550620</v>
      </c>
      <c r="K314" s="37">
        <v>1645200</v>
      </c>
      <c r="L314" s="37">
        <v>579600</v>
      </c>
      <c r="M314" s="37">
        <v>5937760</v>
      </c>
      <c r="N314" s="37">
        <v>2225852</v>
      </c>
      <c r="O314" s="37">
        <v>489296</v>
      </c>
      <c r="P314" s="37">
        <v>0</v>
      </c>
      <c r="Q314" s="37">
        <v>2837799</v>
      </c>
      <c r="R314" s="37">
        <v>0</v>
      </c>
      <c r="S314" s="37">
        <v>289099</v>
      </c>
      <c r="T314" s="37">
        <v>0</v>
      </c>
      <c r="U314" s="37">
        <v>0</v>
      </c>
      <c r="V314" s="37">
        <v>0</v>
      </c>
      <c r="W314" s="37">
        <v>2321566</v>
      </c>
      <c r="X314" s="37">
        <v>2225852</v>
      </c>
      <c r="Y314" s="37">
        <v>0</v>
      </c>
      <c r="Z314" s="37">
        <v>0</v>
      </c>
      <c r="AA314" s="37">
        <v>5937760</v>
      </c>
      <c r="AB314" s="37">
        <v>2225852</v>
      </c>
      <c r="AC314" s="37">
        <v>0</v>
      </c>
      <c r="AD314" s="37">
        <v>0</v>
      </c>
      <c r="AE314" s="37">
        <v>0</v>
      </c>
      <c r="AF314" s="168">
        <v>0.02</v>
      </c>
      <c r="AG314" s="37">
        <v>217099742.84999999</v>
      </c>
      <c r="AH314" s="37">
        <v>1458925.59</v>
      </c>
      <c r="AI314" s="37">
        <v>1488104.1</v>
      </c>
      <c r="AJ314" s="37">
        <v>1517866.18</v>
      </c>
      <c r="AK314" s="37">
        <v>1548223.51</v>
      </c>
      <c r="AL314" s="37">
        <v>1579187.98</v>
      </c>
      <c r="AM314" s="37">
        <v>1610771.74</v>
      </c>
      <c r="AN314" s="37">
        <v>1642987.17</v>
      </c>
      <c r="AO314" s="37">
        <v>1675846.92</v>
      </c>
      <c r="AP314" s="37">
        <v>1709363.85</v>
      </c>
      <c r="AQ314" s="37">
        <v>1743551.13</v>
      </c>
      <c r="AR314" s="37">
        <v>15974828.17</v>
      </c>
      <c r="AS314" s="37">
        <v>8639024.0700000003</v>
      </c>
      <c r="AT314" s="37">
        <v>0</v>
      </c>
      <c r="AU314" s="37">
        <v>0</v>
      </c>
      <c r="AV314" s="37">
        <v>893006.53</v>
      </c>
      <c r="AW314" s="37">
        <v>1076478.78</v>
      </c>
      <c r="AX314" s="37">
        <v>6925898.8799999999</v>
      </c>
      <c r="AY314" s="37">
        <v>7164926.8499999996</v>
      </c>
      <c r="AZ314" s="37">
        <v>395435.04</v>
      </c>
      <c r="BA314" s="37">
        <v>239018.51</v>
      </c>
      <c r="BB314" s="37">
        <v>121899.44</v>
      </c>
      <c r="BC314" s="37">
        <v>0</v>
      </c>
      <c r="BD314" s="37">
        <v>16816664.029999997</v>
      </c>
      <c r="BE314" s="37">
        <v>0</v>
      </c>
      <c r="BF314" s="37">
        <v>1245202.3194060447</v>
      </c>
      <c r="BG314" s="37">
        <v>1342170.9471283059</v>
      </c>
      <c r="BH314" s="37">
        <v>1652271.8393115874</v>
      </c>
      <c r="BI314" s="37">
        <v>1962373.3941540637</v>
      </c>
      <c r="BJ314" s="37">
        <v>213132.26446101922</v>
      </c>
      <c r="BK314" s="37">
        <v>1032070.0549450242</v>
      </c>
      <c r="BL314" s="37">
        <v>1342170.9471283059</v>
      </c>
      <c r="BM314" s="37">
        <v>1652271.8393115874</v>
      </c>
      <c r="BN314" s="37">
        <v>1962373.3941540637</v>
      </c>
      <c r="BO314" s="37">
        <v>0</v>
      </c>
      <c r="BP314" s="37">
        <v>12404037</v>
      </c>
      <c r="BQ314" s="37">
        <v>0</v>
      </c>
      <c r="BR314" s="37">
        <v>1186647.9692957222</v>
      </c>
      <c r="BS314" s="37">
        <v>1279056.7476755287</v>
      </c>
      <c r="BT314" s="37">
        <v>1574575.4664019821</v>
      </c>
      <c r="BU314" s="37">
        <v>1870094.8166267681</v>
      </c>
      <c r="BV314" s="37">
        <v>203109.9403466463</v>
      </c>
      <c r="BW314" s="37">
        <v>983538.02894907468</v>
      </c>
      <c r="BX314" s="37">
        <v>1279056.7476755287</v>
      </c>
      <c r="BY314" s="37">
        <v>1574575.4664019821</v>
      </c>
      <c r="BZ314" s="37">
        <v>1870094.8166267681</v>
      </c>
      <c r="CA314" s="37">
        <v>0</v>
      </c>
      <c r="CB314" s="37">
        <v>11820749.999999998</v>
      </c>
      <c r="CC314" s="37">
        <v>0</v>
      </c>
      <c r="CD314" s="37">
        <v>0</v>
      </c>
      <c r="CE314" s="37">
        <v>0</v>
      </c>
      <c r="CF314" s="37">
        <v>0</v>
      </c>
      <c r="CG314" s="37">
        <v>0</v>
      </c>
      <c r="CH314" s="37">
        <v>0</v>
      </c>
      <c r="CI314" s="37">
        <v>0</v>
      </c>
      <c r="CJ314" s="37">
        <v>0</v>
      </c>
      <c r="CK314" s="37">
        <v>0</v>
      </c>
      <c r="CL314" s="37">
        <v>0</v>
      </c>
      <c r="CM314" s="37">
        <v>0</v>
      </c>
      <c r="CN314" s="37">
        <v>0</v>
      </c>
      <c r="CO314" s="37">
        <v>0</v>
      </c>
      <c r="CP314" s="37">
        <v>4981505</v>
      </c>
      <c r="CQ314" s="37">
        <v>0</v>
      </c>
      <c r="CR314" s="37">
        <v>0</v>
      </c>
      <c r="CS314" s="37">
        <v>0</v>
      </c>
      <c r="CT314" s="37">
        <v>0</v>
      </c>
      <c r="CU314" s="37">
        <v>0</v>
      </c>
      <c r="CV314" s="37">
        <v>0</v>
      </c>
      <c r="CW314" s="37">
        <v>0</v>
      </c>
      <c r="CX314" s="37">
        <v>0</v>
      </c>
      <c r="CY314" s="37">
        <v>0</v>
      </c>
      <c r="CZ314" s="37">
        <v>4981505</v>
      </c>
      <c r="DA314" s="37">
        <v>0</v>
      </c>
      <c r="DB314" s="37">
        <v>0</v>
      </c>
      <c r="DC314" s="37">
        <v>0</v>
      </c>
      <c r="DD314" s="37">
        <v>0</v>
      </c>
      <c r="DE314" s="37">
        <v>0</v>
      </c>
      <c r="DF314" s="37">
        <v>0</v>
      </c>
      <c r="DG314" s="37">
        <v>0</v>
      </c>
      <c r="DH314" s="37">
        <v>0</v>
      </c>
      <c r="DI314" s="37">
        <v>0</v>
      </c>
      <c r="DJ314" s="37">
        <v>0</v>
      </c>
      <c r="DK314" s="37">
        <v>0</v>
      </c>
      <c r="DL314" s="37">
        <v>0</v>
      </c>
      <c r="DM314" s="37">
        <v>0</v>
      </c>
      <c r="DN314" s="37">
        <v>765295</v>
      </c>
      <c r="DO314" s="37">
        <v>0</v>
      </c>
      <c r="DP314" s="37">
        <v>0</v>
      </c>
      <c r="DQ314" s="37">
        <v>0</v>
      </c>
      <c r="DR314" s="37">
        <v>0</v>
      </c>
      <c r="DS314" s="37">
        <v>0</v>
      </c>
      <c r="DT314" s="37">
        <v>0</v>
      </c>
      <c r="DU314" s="37">
        <v>0</v>
      </c>
      <c r="DV314" s="37">
        <v>0</v>
      </c>
      <c r="DW314" s="37">
        <v>0</v>
      </c>
      <c r="DX314" s="37">
        <v>765295</v>
      </c>
      <c r="DY314" s="37">
        <v>0</v>
      </c>
      <c r="DZ314" s="37">
        <v>0</v>
      </c>
      <c r="EA314" s="37">
        <v>0</v>
      </c>
      <c r="EB314" s="37">
        <v>0</v>
      </c>
      <c r="EC314" s="37">
        <v>0</v>
      </c>
      <c r="ED314" s="37">
        <v>0</v>
      </c>
      <c r="EE314" s="37">
        <v>0</v>
      </c>
      <c r="EF314" s="37">
        <v>0</v>
      </c>
      <c r="EG314" s="37">
        <v>0</v>
      </c>
      <c r="EH314" s="37">
        <v>0</v>
      </c>
      <c r="EI314" s="37">
        <v>0</v>
      </c>
      <c r="EJ314" s="37">
        <v>0</v>
      </c>
      <c r="EK314" s="161" t="s">
        <v>2037</v>
      </c>
      <c r="EL314" s="294" t="s">
        <v>1124</v>
      </c>
    </row>
    <row r="315" spans="1:142" ht="15" customHeight="1" x14ac:dyDescent="0.35">
      <c r="A315" s="34"/>
      <c r="B315" s="313">
        <v>85060</v>
      </c>
      <c r="C315" s="8" t="s">
        <v>880</v>
      </c>
      <c r="D315" s="18">
        <v>8</v>
      </c>
      <c r="E315" s="155">
        <v>91076</v>
      </c>
      <c r="F315" s="36">
        <v>29795</v>
      </c>
      <c r="G315" s="37">
        <v>0</v>
      </c>
      <c r="H315" s="37">
        <v>0</v>
      </c>
      <c r="I315" s="37">
        <v>26544</v>
      </c>
      <c r="J315" s="37">
        <v>0</v>
      </c>
      <c r="K315" s="37">
        <v>13661</v>
      </c>
      <c r="L315" s="37">
        <v>4469</v>
      </c>
      <c r="M315" s="37">
        <v>131281</v>
      </c>
      <c r="N315" s="37">
        <v>34264</v>
      </c>
      <c r="O315" s="37">
        <v>0</v>
      </c>
      <c r="P315" s="37">
        <v>0</v>
      </c>
      <c r="Q315" s="37">
        <v>57132</v>
      </c>
      <c r="R315" s="37">
        <v>9162</v>
      </c>
      <c r="S315" s="37">
        <v>0</v>
      </c>
      <c r="T315" s="37">
        <v>0</v>
      </c>
      <c r="U315" s="37">
        <v>0</v>
      </c>
      <c r="V315" s="37">
        <v>0</v>
      </c>
      <c r="W315" s="37">
        <v>50000</v>
      </c>
      <c r="X315" s="37">
        <v>50000</v>
      </c>
      <c r="Y315" s="37">
        <v>0</v>
      </c>
      <c r="Z315" s="37">
        <v>0</v>
      </c>
      <c r="AA315" s="37">
        <v>107132</v>
      </c>
      <c r="AB315" s="37">
        <v>59162</v>
      </c>
      <c r="AC315" s="37">
        <v>749</v>
      </c>
      <c r="AD315" s="37">
        <v>0</v>
      </c>
      <c r="AE315" s="37">
        <v>31470</v>
      </c>
      <c r="AF315" s="168">
        <v>0.02</v>
      </c>
      <c r="AG315" s="37">
        <v>2146079.37</v>
      </c>
      <c r="AH315" s="37">
        <v>0</v>
      </c>
      <c r="AI315" s="37">
        <v>0</v>
      </c>
      <c r="AJ315" s="37">
        <v>1724368.55</v>
      </c>
      <c r="AK315" s="37">
        <v>0</v>
      </c>
      <c r="AL315" s="37">
        <v>0</v>
      </c>
      <c r="AM315" s="37">
        <v>0</v>
      </c>
      <c r="AN315" s="37">
        <v>0</v>
      </c>
      <c r="AO315" s="37">
        <v>0</v>
      </c>
      <c r="AP315" s="37">
        <v>0</v>
      </c>
      <c r="AQ315" s="37">
        <v>0</v>
      </c>
      <c r="AR315" s="37">
        <v>1724368.55</v>
      </c>
      <c r="AS315" s="37">
        <v>300051.36</v>
      </c>
      <c r="AT315" s="37">
        <v>0</v>
      </c>
      <c r="AU315" s="37">
        <v>0</v>
      </c>
      <c r="AV315" s="37">
        <v>0</v>
      </c>
      <c r="AW315" s="37">
        <v>883264.64</v>
      </c>
      <c r="AX315" s="37">
        <v>0</v>
      </c>
      <c r="AY315" s="37">
        <v>0</v>
      </c>
      <c r="AZ315" s="37">
        <v>0</v>
      </c>
      <c r="BA315" s="37">
        <v>0</v>
      </c>
      <c r="BB315" s="37">
        <v>0</v>
      </c>
      <c r="BC315" s="37">
        <v>0</v>
      </c>
      <c r="BD315" s="37">
        <v>883264.64</v>
      </c>
      <c r="BE315" s="37">
        <v>0</v>
      </c>
      <c r="BF315" s="37">
        <v>0</v>
      </c>
      <c r="BG315" s="37">
        <v>0</v>
      </c>
      <c r="BH315" s="37">
        <v>0</v>
      </c>
      <c r="BI315" s="37">
        <v>0</v>
      </c>
      <c r="BJ315" s="37">
        <v>0</v>
      </c>
      <c r="BK315" s="37">
        <v>0</v>
      </c>
      <c r="BL315" s="37">
        <v>0</v>
      </c>
      <c r="BM315" s="37">
        <v>0</v>
      </c>
      <c r="BN315" s="37">
        <v>0</v>
      </c>
      <c r="BO315" s="37">
        <v>0</v>
      </c>
      <c r="BP315" s="37">
        <v>0</v>
      </c>
      <c r="BQ315" s="37">
        <v>0</v>
      </c>
      <c r="BR315" s="37">
        <v>300051</v>
      </c>
      <c r="BS315" s="37">
        <v>0</v>
      </c>
      <c r="BT315" s="37">
        <v>1724369</v>
      </c>
      <c r="BU315" s="37">
        <v>883265</v>
      </c>
      <c r="BV315" s="37">
        <v>0</v>
      </c>
      <c r="BW315" s="37">
        <v>0</v>
      </c>
      <c r="BX315" s="37">
        <v>0</v>
      </c>
      <c r="BY315" s="37">
        <v>0</v>
      </c>
      <c r="BZ315" s="37">
        <v>0</v>
      </c>
      <c r="CA315" s="37">
        <v>0</v>
      </c>
      <c r="CB315" s="37">
        <v>2907685</v>
      </c>
      <c r="CC315" s="37">
        <v>0</v>
      </c>
      <c r="CD315" s="37">
        <v>0</v>
      </c>
      <c r="CE315" s="37">
        <v>0</v>
      </c>
      <c r="CF315" s="37">
        <v>0</v>
      </c>
      <c r="CG315" s="37">
        <v>0</v>
      </c>
      <c r="CH315" s="37">
        <v>0</v>
      </c>
      <c r="CI315" s="37">
        <v>0</v>
      </c>
      <c r="CJ315" s="37">
        <v>0</v>
      </c>
      <c r="CK315" s="37">
        <v>0</v>
      </c>
      <c r="CL315" s="37">
        <v>0</v>
      </c>
      <c r="CM315" s="37">
        <v>0</v>
      </c>
      <c r="CN315" s="37">
        <v>0</v>
      </c>
      <c r="CO315" s="37">
        <v>0</v>
      </c>
      <c r="CP315" s="37">
        <v>0</v>
      </c>
      <c r="CQ315" s="37">
        <v>0</v>
      </c>
      <c r="CR315" s="37">
        <v>0</v>
      </c>
      <c r="CS315" s="37">
        <v>0</v>
      </c>
      <c r="CT315" s="37">
        <v>0</v>
      </c>
      <c r="CU315" s="37">
        <v>0</v>
      </c>
      <c r="CV315" s="37">
        <v>0</v>
      </c>
      <c r="CW315" s="37">
        <v>0</v>
      </c>
      <c r="CX315" s="37">
        <v>0</v>
      </c>
      <c r="CY315" s="37">
        <v>0</v>
      </c>
      <c r="CZ315" s="37">
        <v>0</v>
      </c>
      <c r="DA315" s="37">
        <v>0</v>
      </c>
      <c r="DB315" s="37">
        <v>0</v>
      </c>
      <c r="DC315" s="37">
        <v>0</v>
      </c>
      <c r="DD315" s="37">
        <v>0</v>
      </c>
      <c r="DE315" s="37">
        <v>0</v>
      </c>
      <c r="DF315" s="37">
        <v>0</v>
      </c>
      <c r="DG315" s="37">
        <v>0</v>
      </c>
      <c r="DH315" s="37">
        <v>0</v>
      </c>
      <c r="DI315" s="37">
        <v>0</v>
      </c>
      <c r="DJ315" s="37">
        <v>0</v>
      </c>
      <c r="DK315" s="37">
        <v>0</v>
      </c>
      <c r="DL315" s="37">
        <v>0</v>
      </c>
      <c r="DM315" s="37">
        <v>0</v>
      </c>
      <c r="DN315" s="37">
        <v>0</v>
      </c>
      <c r="DO315" s="37">
        <v>0</v>
      </c>
      <c r="DP315" s="37">
        <v>0</v>
      </c>
      <c r="DQ315" s="37">
        <v>0</v>
      </c>
      <c r="DR315" s="37">
        <v>0</v>
      </c>
      <c r="DS315" s="37">
        <v>0</v>
      </c>
      <c r="DT315" s="37">
        <v>0</v>
      </c>
      <c r="DU315" s="37">
        <v>0</v>
      </c>
      <c r="DV315" s="37">
        <v>0</v>
      </c>
      <c r="DW315" s="37">
        <v>0</v>
      </c>
      <c r="DX315" s="37">
        <v>0</v>
      </c>
      <c r="DY315" s="37">
        <v>0</v>
      </c>
      <c r="DZ315" s="37">
        <v>0</v>
      </c>
      <c r="EA315" s="37">
        <v>0</v>
      </c>
      <c r="EB315" s="37">
        <v>0</v>
      </c>
      <c r="EC315" s="37">
        <v>0</v>
      </c>
      <c r="ED315" s="37">
        <v>0</v>
      </c>
      <c r="EE315" s="37">
        <v>0</v>
      </c>
      <c r="EF315" s="37">
        <v>0</v>
      </c>
      <c r="EG315" s="37">
        <v>0</v>
      </c>
      <c r="EH315" s="37">
        <v>0</v>
      </c>
      <c r="EI315" s="37">
        <v>0</v>
      </c>
      <c r="EJ315" s="37">
        <v>0</v>
      </c>
      <c r="EK315" s="161" t="s">
        <v>2040</v>
      </c>
      <c r="EL315" s="294" t="s">
        <v>1124</v>
      </c>
    </row>
    <row r="316" spans="1:142" ht="15" customHeight="1" x14ac:dyDescent="0.35">
      <c r="A316" s="34"/>
      <c r="B316" s="313">
        <v>88080</v>
      </c>
      <c r="C316" s="8" t="s">
        <v>925</v>
      </c>
      <c r="D316" s="18">
        <v>8</v>
      </c>
      <c r="E316" s="155"/>
      <c r="F316" s="36"/>
      <c r="G316" s="37"/>
      <c r="H316" s="37"/>
      <c r="I316" s="37"/>
      <c r="J316" s="37"/>
      <c r="K316" s="37"/>
      <c r="L316" s="37"/>
      <c r="M316" s="37" t="s">
        <v>1124</v>
      </c>
      <c r="N316" s="37" t="s">
        <v>1124</v>
      </c>
      <c r="O316" s="37"/>
      <c r="P316" s="37"/>
      <c r="Q316" s="37"/>
      <c r="R316" s="37"/>
      <c r="S316" s="37"/>
      <c r="T316" s="37"/>
      <c r="U316" s="37"/>
      <c r="V316" s="37"/>
      <c r="W316" s="37"/>
      <c r="X316" s="37"/>
      <c r="Y316" s="37"/>
      <c r="Z316" s="37"/>
      <c r="AA316" s="37" t="s">
        <v>1124</v>
      </c>
      <c r="AB316" s="37" t="s">
        <v>1124</v>
      </c>
      <c r="AC316" s="37"/>
      <c r="AD316" s="37"/>
      <c r="AE316" s="37"/>
      <c r="AF316" s="168"/>
      <c r="AG316" s="37"/>
      <c r="AH316" s="37"/>
      <c r="AI316" s="37"/>
      <c r="AJ316" s="37"/>
      <c r="AK316" s="37"/>
      <c r="AL316" s="37"/>
      <c r="AM316" s="37"/>
      <c r="AN316" s="37"/>
      <c r="AO316" s="37"/>
      <c r="AP316" s="37"/>
      <c r="AQ316" s="37"/>
      <c r="AR316" s="37" t="s">
        <v>1124</v>
      </c>
      <c r="AS316" s="37"/>
      <c r="AT316" s="37"/>
      <c r="AU316" s="37"/>
      <c r="AV316" s="37"/>
      <c r="AW316" s="37"/>
      <c r="AX316" s="37"/>
      <c r="AY316" s="37"/>
      <c r="AZ316" s="37"/>
      <c r="BA316" s="37"/>
      <c r="BB316" s="37"/>
      <c r="BC316" s="37"/>
      <c r="BD316" s="37" t="s">
        <v>1124</v>
      </c>
      <c r="BE316" s="37"/>
      <c r="BF316" s="37"/>
      <c r="BG316" s="37"/>
      <c r="BH316" s="37"/>
      <c r="BI316" s="37"/>
      <c r="BJ316" s="37"/>
      <c r="BK316" s="37"/>
      <c r="BL316" s="37"/>
      <c r="BM316" s="37"/>
      <c r="BN316" s="37"/>
      <c r="BO316" s="37"/>
      <c r="BP316" s="37">
        <v>0</v>
      </c>
      <c r="BQ316" s="37"/>
      <c r="BR316" s="37"/>
      <c r="BS316" s="37"/>
      <c r="BT316" s="37"/>
      <c r="BU316" s="37"/>
      <c r="BV316" s="37"/>
      <c r="BW316" s="37"/>
      <c r="BX316" s="37"/>
      <c r="BY316" s="37"/>
      <c r="BZ316" s="37"/>
      <c r="CA316" s="37"/>
      <c r="CB316" s="37" t="s">
        <v>1124</v>
      </c>
      <c r="CC316" s="37"/>
      <c r="CD316" s="37"/>
      <c r="CE316" s="37"/>
      <c r="CF316" s="37"/>
      <c r="CG316" s="37"/>
      <c r="CH316" s="37"/>
      <c r="CI316" s="37"/>
      <c r="CJ316" s="37"/>
      <c r="CK316" s="37"/>
      <c r="CL316" s="37"/>
      <c r="CM316" s="37"/>
      <c r="CN316" s="37" t="s">
        <v>1124</v>
      </c>
      <c r="CO316" s="37"/>
      <c r="CP316" s="37"/>
      <c r="CQ316" s="37"/>
      <c r="CR316" s="37"/>
      <c r="CS316" s="37"/>
      <c r="CT316" s="37"/>
      <c r="CU316" s="37"/>
      <c r="CV316" s="37"/>
      <c r="CW316" s="37"/>
      <c r="CX316" s="37"/>
      <c r="CY316" s="37"/>
      <c r="CZ316" s="37" t="s">
        <v>1124</v>
      </c>
      <c r="DA316" s="37"/>
      <c r="DB316" s="37"/>
      <c r="DC316" s="37"/>
      <c r="DD316" s="37"/>
      <c r="DE316" s="37"/>
      <c r="DF316" s="37"/>
      <c r="DG316" s="37"/>
      <c r="DH316" s="37"/>
      <c r="DI316" s="37"/>
      <c r="DJ316" s="37"/>
      <c r="DK316" s="37"/>
      <c r="DL316" s="37" t="s">
        <v>1124</v>
      </c>
      <c r="DM316" s="37"/>
      <c r="DN316" s="37"/>
      <c r="DO316" s="37"/>
      <c r="DP316" s="37"/>
      <c r="DQ316" s="37"/>
      <c r="DR316" s="37"/>
      <c r="DS316" s="37"/>
      <c r="DT316" s="37"/>
      <c r="DU316" s="37"/>
      <c r="DV316" s="37"/>
      <c r="DW316" s="37"/>
      <c r="DX316" s="37" t="s">
        <v>1124</v>
      </c>
      <c r="DY316" s="37"/>
      <c r="DZ316" s="37"/>
      <c r="EA316" s="37"/>
      <c r="EB316" s="37"/>
      <c r="EC316" s="37"/>
      <c r="ED316" s="37"/>
      <c r="EE316" s="37"/>
      <c r="EF316" s="37"/>
      <c r="EG316" s="37"/>
      <c r="EH316" s="37"/>
      <c r="EI316" s="37"/>
      <c r="EJ316" s="37" t="s">
        <v>1124</v>
      </c>
      <c r="EK316" s="161"/>
      <c r="EL316" s="294"/>
    </row>
    <row r="317" spans="1:142" ht="15" customHeight="1" x14ac:dyDescent="0.35">
      <c r="A317" s="34"/>
      <c r="B317" s="313">
        <v>33060</v>
      </c>
      <c r="C317" s="8" t="s">
        <v>275</v>
      </c>
      <c r="D317" s="18">
        <v>12</v>
      </c>
      <c r="E317" s="155">
        <v>631100</v>
      </c>
      <c r="F317" s="36">
        <v>227865</v>
      </c>
      <c r="G317" s="37">
        <v>0</v>
      </c>
      <c r="H317" s="37">
        <v>0</v>
      </c>
      <c r="I317" s="37">
        <v>0</v>
      </c>
      <c r="J317" s="37">
        <v>0</v>
      </c>
      <c r="K317" s="37">
        <v>94665</v>
      </c>
      <c r="L317" s="37">
        <v>34179.75</v>
      </c>
      <c r="M317" s="37">
        <v>725765</v>
      </c>
      <c r="N317" s="37">
        <v>262044.75</v>
      </c>
      <c r="O317" s="37">
        <v>33253</v>
      </c>
      <c r="P317" s="37">
        <v>0</v>
      </c>
      <c r="Q317" s="37">
        <v>314491</v>
      </c>
      <c r="R317" s="37">
        <v>217290</v>
      </c>
      <c r="S317" s="37">
        <v>36649</v>
      </c>
      <c r="T317" s="37">
        <v>20762</v>
      </c>
      <c r="U317" s="37">
        <v>21984</v>
      </c>
      <c r="V317" s="37">
        <v>16266</v>
      </c>
      <c r="W317" s="37">
        <v>319388</v>
      </c>
      <c r="X317" s="37">
        <v>152058.75</v>
      </c>
      <c r="Y317" s="37">
        <v>0</v>
      </c>
      <c r="Z317" s="37">
        <v>0</v>
      </c>
      <c r="AA317" s="37">
        <v>725765</v>
      </c>
      <c r="AB317" s="37">
        <v>406376.75</v>
      </c>
      <c r="AC317" s="37">
        <v>144332</v>
      </c>
      <c r="AD317" s="37">
        <v>0</v>
      </c>
      <c r="AE317" s="37">
        <v>0</v>
      </c>
      <c r="AF317" s="168">
        <v>0.02</v>
      </c>
      <c r="AG317" s="37">
        <v>51497714.369999997</v>
      </c>
      <c r="AH317" s="37">
        <v>361551.86</v>
      </c>
      <c r="AI317" s="37">
        <v>368782.89</v>
      </c>
      <c r="AJ317" s="37">
        <v>376158.55</v>
      </c>
      <c r="AK317" s="37">
        <v>383681.72</v>
      </c>
      <c r="AL317" s="37">
        <v>391355.36</v>
      </c>
      <c r="AM317" s="37">
        <v>399182.46</v>
      </c>
      <c r="AN317" s="37">
        <v>407166.11</v>
      </c>
      <c r="AO317" s="37">
        <v>415309.44</v>
      </c>
      <c r="AP317" s="37">
        <v>423615.62</v>
      </c>
      <c r="AQ317" s="37">
        <v>432087.94</v>
      </c>
      <c r="AR317" s="37">
        <v>3958891.9499999993</v>
      </c>
      <c r="AS317" s="37">
        <v>3301545.02</v>
      </c>
      <c r="AT317" s="37">
        <v>0</v>
      </c>
      <c r="AU317" s="37">
        <v>0</v>
      </c>
      <c r="AV317" s="37">
        <v>0</v>
      </c>
      <c r="AW317" s="37">
        <v>0</v>
      </c>
      <c r="AX317" s="37">
        <v>0</v>
      </c>
      <c r="AY317" s="37">
        <v>0</v>
      </c>
      <c r="AZ317" s="37">
        <v>0</v>
      </c>
      <c r="BA317" s="37">
        <v>0</v>
      </c>
      <c r="BB317" s="37">
        <v>0</v>
      </c>
      <c r="BC317" s="37">
        <v>0</v>
      </c>
      <c r="BD317" s="37">
        <v>0</v>
      </c>
      <c r="BE317" s="37">
        <v>0</v>
      </c>
      <c r="BF317" s="37">
        <v>0</v>
      </c>
      <c r="BG317" s="37">
        <v>0</v>
      </c>
      <c r="BH317" s="37">
        <v>0</v>
      </c>
      <c r="BI317" s="37">
        <v>0</v>
      </c>
      <c r="BJ317" s="37">
        <v>0</v>
      </c>
      <c r="BK317" s="37">
        <v>0</v>
      </c>
      <c r="BL317" s="37">
        <v>0</v>
      </c>
      <c r="BM317" s="37">
        <v>0</v>
      </c>
      <c r="BN317" s="37">
        <v>0</v>
      </c>
      <c r="BO317" s="37">
        <v>0</v>
      </c>
      <c r="BP317" s="37">
        <v>0</v>
      </c>
      <c r="BQ317" s="37">
        <v>0</v>
      </c>
      <c r="BR317" s="37">
        <v>0</v>
      </c>
      <c r="BS317" s="37">
        <v>0</v>
      </c>
      <c r="BT317" s="37">
        <v>0</v>
      </c>
      <c r="BU317" s="37">
        <v>0</v>
      </c>
      <c r="BV317" s="37">
        <v>0</v>
      </c>
      <c r="BW317" s="37">
        <v>0</v>
      </c>
      <c r="BX317" s="37">
        <v>0</v>
      </c>
      <c r="BY317" s="37">
        <v>0</v>
      </c>
      <c r="BZ317" s="37">
        <v>0</v>
      </c>
      <c r="CA317" s="37">
        <v>0</v>
      </c>
      <c r="CB317" s="37">
        <v>0</v>
      </c>
      <c r="CC317" s="37">
        <v>0</v>
      </c>
      <c r="CD317" s="37">
        <v>0</v>
      </c>
      <c r="CE317" s="37">
        <v>0</v>
      </c>
      <c r="CF317" s="37">
        <v>0</v>
      </c>
      <c r="CG317" s="37">
        <v>0</v>
      </c>
      <c r="CH317" s="37">
        <v>0</v>
      </c>
      <c r="CI317" s="37">
        <v>0</v>
      </c>
      <c r="CJ317" s="37">
        <v>0</v>
      </c>
      <c r="CK317" s="37">
        <v>0</v>
      </c>
      <c r="CL317" s="37">
        <v>0</v>
      </c>
      <c r="CM317" s="37">
        <v>0</v>
      </c>
      <c r="CN317" s="37">
        <v>0</v>
      </c>
      <c r="CO317" s="37">
        <v>0</v>
      </c>
      <c r="CP317" s="37">
        <v>0</v>
      </c>
      <c r="CQ317" s="37">
        <v>0</v>
      </c>
      <c r="CR317" s="37">
        <v>0</v>
      </c>
      <c r="CS317" s="37">
        <v>0</v>
      </c>
      <c r="CT317" s="37">
        <v>0</v>
      </c>
      <c r="CU317" s="37">
        <v>0</v>
      </c>
      <c r="CV317" s="37">
        <v>0</v>
      </c>
      <c r="CW317" s="37">
        <v>0</v>
      </c>
      <c r="CX317" s="37">
        <v>0</v>
      </c>
      <c r="CY317" s="37">
        <v>0</v>
      </c>
      <c r="CZ317" s="37">
        <v>0</v>
      </c>
      <c r="DA317" s="37">
        <v>0</v>
      </c>
      <c r="DB317" s="37">
        <v>0</v>
      </c>
      <c r="DC317" s="37">
        <v>0</v>
      </c>
      <c r="DD317" s="37">
        <v>0</v>
      </c>
      <c r="DE317" s="37">
        <v>0</v>
      </c>
      <c r="DF317" s="37">
        <v>0</v>
      </c>
      <c r="DG317" s="37">
        <v>0</v>
      </c>
      <c r="DH317" s="37">
        <v>0</v>
      </c>
      <c r="DI317" s="37">
        <v>0</v>
      </c>
      <c r="DJ317" s="37">
        <v>0</v>
      </c>
      <c r="DK317" s="37">
        <v>0</v>
      </c>
      <c r="DL317" s="37">
        <v>0</v>
      </c>
      <c r="DM317" s="37">
        <v>0</v>
      </c>
      <c r="DN317" s="37">
        <v>0</v>
      </c>
      <c r="DO317" s="37">
        <v>0</v>
      </c>
      <c r="DP317" s="37">
        <v>0</v>
      </c>
      <c r="DQ317" s="37">
        <v>0</v>
      </c>
      <c r="DR317" s="37">
        <v>0</v>
      </c>
      <c r="DS317" s="37">
        <v>0</v>
      </c>
      <c r="DT317" s="37">
        <v>0</v>
      </c>
      <c r="DU317" s="37">
        <v>0</v>
      </c>
      <c r="DV317" s="37">
        <v>0</v>
      </c>
      <c r="DW317" s="37">
        <v>0</v>
      </c>
      <c r="DX317" s="37">
        <v>0</v>
      </c>
      <c r="DY317" s="37">
        <v>0</v>
      </c>
      <c r="DZ317" s="37">
        <v>0</v>
      </c>
      <c r="EA317" s="37">
        <v>0</v>
      </c>
      <c r="EB317" s="37">
        <v>0</v>
      </c>
      <c r="EC317" s="37">
        <v>0</v>
      </c>
      <c r="ED317" s="37">
        <v>0</v>
      </c>
      <c r="EE317" s="37">
        <v>0</v>
      </c>
      <c r="EF317" s="37">
        <v>0</v>
      </c>
      <c r="EG317" s="37">
        <v>0</v>
      </c>
      <c r="EH317" s="37">
        <v>0</v>
      </c>
      <c r="EI317" s="37">
        <v>0</v>
      </c>
      <c r="EJ317" s="37">
        <v>0</v>
      </c>
      <c r="EK317" s="161" t="s">
        <v>1878</v>
      </c>
      <c r="EL317" s="294" t="s">
        <v>1124</v>
      </c>
    </row>
    <row r="318" spans="1:142" ht="15" customHeight="1" x14ac:dyDescent="0.35">
      <c r="A318" s="34"/>
      <c r="B318" s="313">
        <v>32072</v>
      </c>
      <c r="C318" s="8" t="s">
        <v>264</v>
      </c>
      <c r="D318" s="18">
        <v>17</v>
      </c>
      <c r="E318" s="155">
        <v>23474</v>
      </c>
      <c r="F318" s="36">
        <v>7196</v>
      </c>
      <c r="G318" s="37">
        <v>0</v>
      </c>
      <c r="H318" s="37">
        <v>0</v>
      </c>
      <c r="I318" s="37">
        <v>0</v>
      </c>
      <c r="J318" s="37">
        <v>0</v>
      </c>
      <c r="K318" s="37">
        <v>3521.1</v>
      </c>
      <c r="L318" s="37">
        <v>1079.3999999999999</v>
      </c>
      <c r="M318" s="37">
        <v>26995.1</v>
      </c>
      <c r="N318" s="37">
        <v>8275.4</v>
      </c>
      <c r="O318" s="37">
        <v>0</v>
      </c>
      <c r="P318" s="37">
        <v>0</v>
      </c>
      <c r="Q318" s="37">
        <v>44216</v>
      </c>
      <c r="R318" s="37">
        <v>3364</v>
      </c>
      <c r="S318" s="37">
        <v>450</v>
      </c>
      <c r="T318" s="37">
        <v>0</v>
      </c>
      <c r="U318" s="37">
        <v>0</v>
      </c>
      <c r="V318" s="37">
        <v>0</v>
      </c>
      <c r="W318" s="37">
        <v>0</v>
      </c>
      <c r="X318" s="37">
        <v>0</v>
      </c>
      <c r="Y318" s="37">
        <v>0</v>
      </c>
      <c r="Z318" s="37">
        <v>0</v>
      </c>
      <c r="AA318" s="37">
        <v>44666</v>
      </c>
      <c r="AB318" s="37">
        <v>3364</v>
      </c>
      <c r="AC318" s="37">
        <v>12759.5</v>
      </c>
      <c r="AD318" s="37">
        <v>0</v>
      </c>
      <c r="AE318" s="37">
        <v>0</v>
      </c>
      <c r="AF318" s="168">
        <v>0.02</v>
      </c>
      <c r="AG318" s="37">
        <v>10996733.890000001</v>
      </c>
      <c r="AH318" s="37">
        <v>145261.94</v>
      </c>
      <c r="AI318" s="37">
        <v>145514.16</v>
      </c>
      <c r="AJ318" s="37">
        <v>148424.45000000001</v>
      </c>
      <c r="AK318" s="37">
        <v>151392.93</v>
      </c>
      <c r="AL318" s="37">
        <v>154420.79</v>
      </c>
      <c r="AM318" s="37">
        <v>157509.21</v>
      </c>
      <c r="AN318" s="37">
        <v>160659.39000000001</v>
      </c>
      <c r="AO318" s="37">
        <v>163872.57999999999</v>
      </c>
      <c r="AP318" s="37">
        <v>167150.03</v>
      </c>
      <c r="AQ318" s="37">
        <v>170493.03</v>
      </c>
      <c r="AR318" s="37">
        <v>1564698.5099999998</v>
      </c>
      <c r="AS318" s="37">
        <v>357000</v>
      </c>
      <c r="AT318" s="37">
        <v>0</v>
      </c>
      <c r="AU318" s="37">
        <v>0</v>
      </c>
      <c r="AV318" s="37">
        <v>0</v>
      </c>
      <c r="AW318" s="37">
        <v>0</v>
      </c>
      <c r="AX318" s="37">
        <v>0</v>
      </c>
      <c r="AY318" s="37">
        <v>0</v>
      </c>
      <c r="AZ318" s="37">
        <v>0</v>
      </c>
      <c r="BA318" s="37">
        <v>0</v>
      </c>
      <c r="BB318" s="37">
        <v>0</v>
      </c>
      <c r="BC318" s="37">
        <v>0</v>
      </c>
      <c r="BD318" s="37">
        <v>0</v>
      </c>
      <c r="BE318" s="37">
        <v>0</v>
      </c>
      <c r="BF318" s="37">
        <v>350000</v>
      </c>
      <c r="BG318" s="37">
        <v>0</v>
      </c>
      <c r="BH318" s="37">
        <v>0</v>
      </c>
      <c r="BI318" s="37">
        <v>0</v>
      </c>
      <c r="BJ318" s="37">
        <v>0</v>
      </c>
      <c r="BK318" s="37">
        <v>0</v>
      </c>
      <c r="BL318" s="37">
        <v>0</v>
      </c>
      <c r="BM318" s="37">
        <v>0</v>
      </c>
      <c r="BN318" s="37">
        <v>0</v>
      </c>
      <c r="BO318" s="37">
        <v>0</v>
      </c>
      <c r="BP318" s="37">
        <v>350000</v>
      </c>
      <c r="BQ318" s="37">
        <v>0</v>
      </c>
      <c r="BR318" s="37">
        <v>0</v>
      </c>
      <c r="BS318" s="37">
        <v>0</v>
      </c>
      <c r="BT318" s="37">
        <v>0</v>
      </c>
      <c r="BU318" s="37">
        <v>0</v>
      </c>
      <c r="BV318" s="37">
        <v>0</v>
      </c>
      <c r="BW318" s="37">
        <v>0</v>
      </c>
      <c r="BX318" s="37">
        <v>0</v>
      </c>
      <c r="BY318" s="37">
        <v>0</v>
      </c>
      <c r="BZ318" s="37">
        <v>0</v>
      </c>
      <c r="CA318" s="37">
        <v>0</v>
      </c>
      <c r="CB318" s="37">
        <v>0</v>
      </c>
      <c r="CC318" s="37">
        <v>0</v>
      </c>
      <c r="CD318" s="37">
        <v>0</v>
      </c>
      <c r="CE318" s="37">
        <v>0</v>
      </c>
      <c r="CF318" s="37">
        <v>0</v>
      </c>
      <c r="CG318" s="37">
        <v>0</v>
      </c>
      <c r="CH318" s="37">
        <v>0</v>
      </c>
      <c r="CI318" s="37">
        <v>0</v>
      </c>
      <c r="CJ318" s="37">
        <v>0</v>
      </c>
      <c r="CK318" s="37">
        <v>0</v>
      </c>
      <c r="CL318" s="37">
        <v>0</v>
      </c>
      <c r="CM318" s="37">
        <v>0</v>
      </c>
      <c r="CN318" s="37">
        <v>0</v>
      </c>
      <c r="CO318" s="37">
        <v>0</v>
      </c>
      <c r="CP318" s="37">
        <v>0</v>
      </c>
      <c r="CQ318" s="37">
        <v>0</v>
      </c>
      <c r="CR318" s="37">
        <v>0</v>
      </c>
      <c r="CS318" s="37">
        <v>0</v>
      </c>
      <c r="CT318" s="37">
        <v>0</v>
      </c>
      <c r="CU318" s="37">
        <v>0</v>
      </c>
      <c r="CV318" s="37">
        <v>0</v>
      </c>
      <c r="CW318" s="37">
        <v>0</v>
      </c>
      <c r="CX318" s="37">
        <v>0</v>
      </c>
      <c r="CY318" s="37">
        <v>0</v>
      </c>
      <c r="CZ318" s="37">
        <v>0</v>
      </c>
      <c r="DA318" s="37">
        <v>0</v>
      </c>
      <c r="DB318" s="37">
        <v>0</v>
      </c>
      <c r="DC318" s="37">
        <v>0</v>
      </c>
      <c r="DD318" s="37">
        <v>0</v>
      </c>
      <c r="DE318" s="37">
        <v>0</v>
      </c>
      <c r="DF318" s="37">
        <v>0</v>
      </c>
      <c r="DG318" s="37">
        <v>0</v>
      </c>
      <c r="DH318" s="37">
        <v>0</v>
      </c>
      <c r="DI318" s="37">
        <v>0</v>
      </c>
      <c r="DJ318" s="37">
        <v>0</v>
      </c>
      <c r="DK318" s="37">
        <v>0</v>
      </c>
      <c r="DL318" s="37">
        <v>0</v>
      </c>
      <c r="DM318" s="37">
        <v>0</v>
      </c>
      <c r="DN318" s="37">
        <v>0</v>
      </c>
      <c r="DO318" s="37">
        <v>0</v>
      </c>
      <c r="DP318" s="37">
        <v>0</v>
      </c>
      <c r="DQ318" s="37">
        <v>0</v>
      </c>
      <c r="DR318" s="37">
        <v>0</v>
      </c>
      <c r="DS318" s="37">
        <v>0</v>
      </c>
      <c r="DT318" s="37">
        <v>0</v>
      </c>
      <c r="DU318" s="37">
        <v>0</v>
      </c>
      <c r="DV318" s="37">
        <v>0</v>
      </c>
      <c r="DW318" s="37">
        <v>0</v>
      </c>
      <c r="DX318" s="37">
        <v>0</v>
      </c>
      <c r="DY318" s="37">
        <v>0</v>
      </c>
      <c r="DZ318" s="37">
        <v>0</v>
      </c>
      <c r="EA318" s="37">
        <v>0</v>
      </c>
      <c r="EB318" s="37">
        <v>0</v>
      </c>
      <c r="EC318" s="37">
        <v>0</v>
      </c>
      <c r="ED318" s="37">
        <v>0</v>
      </c>
      <c r="EE318" s="37">
        <v>0</v>
      </c>
      <c r="EF318" s="37">
        <v>0</v>
      </c>
      <c r="EG318" s="37">
        <v>0</v>
      </c>
      <c r="EH318" s="37">
        <v>0</v>
      </c>
      <c r="EI318" s="37">
        <v>0</v>
      </c>
      <c r="EJ318" s="37">
        <v>0</v>
      </c>
      <c r="EK318" s="161" t="s">
        <v>2046</v>
      </c>
      <c r="EL318" s="294" t="s">
        <v>1124</v>
      </c>
    </row>
    <row r="319" spans="1:142" ht="15" customHeight="1" x14ac:dyDescent="0.35">
      <c r="A319" s="34"/>
      <c r="B319" s="313">
        <v>65005</v>
      </c>
      <c r="C319" s="8" t="s">
        <v>646</v>
      </c>
      <c r="D319" s="18">
        <v>13</v>
      </c>
      <c r="E319" s="155">
        <v>30341052</v>
      </c>
      <c r="F319" s="36">
        <v>35976170</v>
      </c>
      <c r="G319" s="37">
        <v>3914451</v>
      </c>
      <c r="H319" s="37">
        <v>3289046</v>
      </c>
      <c r="I319" s="37">
        <v>7118267.2300000004</v>
      </c>
      <c r="J319" s="37">
        <v>9846936.3999999985</v>
      </c>
      <c r="K319" s="37">
        <v>4551157.8</v>
      </c>
      <c r="L319" s="37">
        <v>5396425.5</v>
      </c>
      <c r="M319" s="37">
        <v>45924928.030000001</v>
      </c>
      <c r="N319" s="37">
        <v>54508577.899999999</v>
      </c>
      <c r="O319" s="37">
        <v>2728279.8000000003</v>
      </c>
      <c r="P319" s="37">
        <v>3334564.2</v>
      </c>
      <c r="Q319" s="37">
        <v>36591045</v>
      </c>
      <c r="R319" s="37">
        <v>44722389</v>
      </c>
      <c r="S319" s="37">
        <v>0</v>
      </c>
      <c r="T319" s="37">
        <v>339574</v>
      </c>
      <c r="U319" s="37">
        <v>1448052</v>
      </c>
      <c r="V319" s="37">
        <v>813841</v>
      </c>
      <c r="W319" s="37">
        <v>17085613.630000003</v>
      </c>
      <c r="X319" s="37">
        <v>19958333.299999993</v>
      </c>
      <c r="Y319" s="37">
        <v>146646</v>
      </c>
      <c r="Z319" s="37">
        <v>97854</v>
      </c>
      <c r="AA319" s="37">
        <v>57999636.43</v>
      </c>
      <c r="AB319" s="37">
        <v>69266555.5</v>
      </c>
      <c r="AC319" s="37">
        <v>26832686</v>
      </c>
      <c r="AD319" s="37">
        <v>26832686</v>
      </c>
      <c r="AE319" s="37">
        <v>202848627</v>
      </c>
      <c r="AF319" s="168">
        <v>0.02</v>
      </c>
      <c r="AG319" s="37">
        <v>6829178242.1099997</v>
      </c>
      <c r="AH319" s="37">
        <v>82252551.829999998</v>
      </c>
      <c r="AI319" s="37">
        <v>83897602.870000005</v>
      </c>
      <c r="AJ319" s="37">
        <v>85575554.930000007</v>
      </c>
      <c r="AK319" s="37">
        <v>88753285.329999998</v>
      </c>
      <c r="AL319" s="37">
        <v>95266679.420000002</v>
      </c>
      <c r="AM319" s="37">
        <v>96641320.230000004</v>
      </c>
      <c r="AN319" s="37">
        <v>92629732.760000005</v>
      </c>
      <c r="AO319" s="37">
        <v>94482327.420000002</v>
      </c>
      <c r="AP319" s="37">
        <v>96371973.969999999</v>
      </c>
      <c r="AQ319" s="37">
        <v>98299413.450000003</v>
      </c>
      <c r="AR319" s="37">
        <v>914170442.21000004</v>
      </c>
      <c r="AS319" s="37">
        <v>375662621.75999999</v>
      </c>
      <c r="AT319" s="37">
        <v>14437468.5</v>
      </c>
      <c r="AU319" s="37">
        <v>74379241.689999998</v>
      </c>
      <c r="AV319" s="37">
        <v>75734964.629999995</v>
      </c>
      <c r="AW319" s="37">
        <v>74184967.469999999</v>
      </c>
      <c r="AX319" s="37">
        <v>21007834.420000002</v>
      </c>
      <c r="AY319" s="37">
        <v>16684595</v>
      </c>
      <c r="AZ319" s="37">
        <v>60955513.68</v>
      </c>
      <c r="BA319" s="37">
        <v>62174623.960000001</v>
      </c>
      <c r="BB319" s="37">
        <v>81344504.969999999</v>
      </c>
      <c r="BC319" s="37">
        <v>64911452.859999999</v>
      </c>
      <c r="BD319" s="37">
        <v>545815167.18000007</v>
      </c>
      <c r="BE319" s="37">
        <v>35838677</v>
      </c>
      <c r="BF319" s="37">
        <v>21829935.125</v>
      </c>
      <c r="BG319" s="37">
        <v>22400315.125</v>
      </c>
      <c r="BH319" s="37">
        <v>25568055.125</v>
      </c>
      <c r="BI319" s="37">
        <v>32029355.125</v>
      </c>
      <c r="BJ319" s="37">
        <v>34942531.5</v>
      </c>
      <c r="BK319" s="37">
        <v>23129671.5</v>
      </c>
      <c r="BL319" s="37">
        <v>23129671.5</v>
      </c>
      <c r="BM319" s="37">
        <v>23129671.5</v>
      </c>
      <c r="BN319" s="37">
        <v>14565671.5</v>
      </c>
      <c r="BO319" s="37">
        <v>14565671.5</v>
      </c>
      <c r="BP319" s="37">
        <v>235290549.5</v>
      </c>
      <c r="BQ319" s="37">
        <v>0</v>
      </c>
      <c r="BR319" s="37">
        <v>0</v>
      </c>
      <c r="BS319" s="37">
        <v>0</v>
      </c>
      <c r="BT319" s="37">
        <v>0</v>
      </c>
      <c r="BU319" s="37">
        <v>0</v>
      </c>
      <c r="BV319" s="37">
        <v>0</v>
      </c>
      <c r="BW319" s="37">
        <v>0</v>
      </c>
      <c r="BX319" s="37">
        <v>0</v>
      </c>
      <c r="BY319" s="37">
        <v>0</v>
      </c>
      <c r="BZ319" s="37">
        <v>0</v>
      </c>
      <c r="CA319" s="37">
        <v>0</v>
      </c>
      <c r="CB319" s="37">
        <v>0</v>
      </c>
      <c r="CC319" s="37">
        <v>10891617</v>
      </c>
      <c r="CD319" s="37">
        <v>20560896</v>
      </c>
      <c r="CE319" s="37">
        <v>14549976</v>
      </c>
      <c r="CF319" s="37">
        <v>30800160</v>
      </c>
      <c r="CG319" s="37">
        <v>38214288</v>
      </c>
      <c r="CH319" s="37">
        <v>21970344.000000004</v>
      </c>
      <c r="CI319" s="37">
        <v>21970344.000000004</v>
      </c>
      <c r="CJ319" s="37">
        <v>21970344.000000004</v>
      </c>
      <c r="CK319" s="37">
        <v>21970344.000000004</v>
      </c>
      <c r="CL319" s="37">
        <v>21970344.000000004</v>
      </c>
      <c r="CM319" s="37">
        <v>21970344.000000004</v>
      </c>
      <c r="CN319" s="37">
        <v>235947384</v>
      </c>
      <c r="CO319" s="37">
        <v>265429</v>
      </c>
      <c r="CP319" s="37">
        <v>500000</v>
      </c>
      <c r="CQ319" s="37">
        <v>3540000</v>
      </c>
      <c r="CR319" s="37">
        <v>9410000</v>
      </c>
      <c r="CS319" s="37">
        <v>10232500</v>
      </c>
      <c r="CT319" s="37">
        <v>5795625</v>
      </c>
      <c r="CU319" s="37">
        <v>5795625</v>
      </c>
      <c r="CV319" s="37">
        <v>5795625</v>
      </c>
      <c r="CW319" s="37">
        <v>5795625</v>
      </c>
      <c r="CX319" s="37">
        <v>5795625</v>
      </c>
      <c r="CY319" s="37">
        <v>5795625</v>
      </c>
      <c r="CZ319" s="37">
        <v>58456250</v>
      </c>
      <c r="DA319" s="37">
        <v>1044993.85</v>
      </c>
      <c r="DB319" s="37">
        <v>1663056</v>
      </c>
      <c r="DC319" s="37">
        <v>1979984</v>
      </c>
      <c r="DD319" s="37">
        <v>4932464</v>
      </c>
      <c r="DE319" s="37">
        <v>4103472</v>
      </c>
      <c r="DF319" s="37">
        <v>3671973.3333333335</v>
      </c>
      <c r="DG319" s="37">
        <v>3671973.3333333335</v>
      </c>
      <c r="DH319" s="37">
        <v>3671973.3333333335</v>
      </c>
      <c r="DI319" s="37">
        <v>3671973.3333333335</v>
      </c>
      <c r="DJ319" s="37">
        <v>3671973.3333333335</v>
      </c>
      <c r="DK319" s="37">
        <v>3671973.3333333335</v>
      </c>
      <c r="DL319" s="37">
        <v>34710816</v>
      </c>
      <c r="DM319" s="37">
        <v>0</v>
      </c>
      <c r="DN319" s="37">
        <v>2284544</v>
      </c>
      <c r="DO319" s="37">
        <v>1616664</v>
      </c>
      <c r="DP319" s="37">
        <v>3422240</v>
      </c>
      <c r="DQ319" s="37">
        <v>4246032</v>
      </c>
      <c r="DR319" s="37">
        <v>2441149.3333333335</v>
      </c>
      <c r="DS319" s="37">
        <v>2441149.3333333335</v>
      </c>
      <c r="DT319" s="37">
        <v>2441149.3333333335</v>
      </c>
      <c r="DU319" s="37">
        <v>2441149.3333333335</v>
      </c>
      <c r="DV319" s="37">
        <v>2441149.3333333335</v>
      </c>
      <c r="DW319" s="37">
        <v>2441149.3333333335</v>
      </c>
      <c r="DX319" s="37">
        <v>26216376</v>
      </c>
      <c r="DY319" s="37">
        <v>6384148</v>
      </c>
      <c r="DZ319" s="37">
        <v>4989168</v>
      </c>
      <c r="EA319" s="37">
        <v>5939952</v>
      </c>
      <c r="EB319" s="37">
        <v>14797392</v>
      </c>
      <c r="EC319" s="37">
        <v>12310416</v>
      </c>
      <c r="ED319" s="37">
        <v>11015920</v>
      </c>
      <c r="EE319" s="37">
        <v>11015920</v>
      </c>
      <c r="EF319" s="37">
        <v>11015920</v>
      </c>
      <c r="EG319" s="37">
        <v>11015920</v>
      </c>
      <c r="EH319" s="37">
        <v>11015920</v>
      </c>
      <c r="EI319" s="37">
        <v>11015920</v>
      </c>
      <c r="EJ319" s="37">
        <v>104132448</v>
      </c>
      <c r="EK319" s="161" t="s">
        <v>2050</v>
      </c>
      <c r="EL319" s="294" t="s">
        <v>1124</v>
      </c>
    </row>
    <row r="320" spans="1:142" ht="15" customHeight="1" x14ac:dyDescent="0.35">
      <c r="A320" s="34"/>
      <c r="B320" s="313">
        <v>52007</v>
      </c>
      <c r="C320" s="8" t="s">
        <v>515</v>
      </c>
      <c r="D320" s="18">
        <v>14</v>
      </c>
      <c r="E320" s="155">
        <v>1062533</v>
      </c>
      <c r="F320" s="36">
        <v>464155</v>
      </c>
      <c r="G320" s="37">
        <v>136596</v>
      </c>
      <c r="H320" s="37">
        <v>82579</v>
      </c>
      <c r="I320" s="37">
        <v>211040.21000000002</v>
      </c>
      <c r="J320" s="37">
        <v>186000.81</v>
      </c>
      <c r="K320" s="37">
        <v>159379.94999999998</v>
      </c>
      <c r="L320" s="37">
        <v>69623.25</v>
      </c>
      <c r="M320" s="37">
        <v>1569549.1600000001</v>
      </c>
      <c r="N320" s="37">
        <v>802358.06</v>
      </c>
      <c r="O320" s="37">
        <v>0</v>
      </c>
      <c r="P320" s="37">
        <v>0</v>
      </c>
      <c r="Q320" s="37">
        <v>0</v>
      </c>
      <c r="R320" s="37">
        <v>0</v>
      </c>
      <c r="S320" s="37">
        <v>0</v>
      </c>
      <c r="T320" s="37">
        <v>65087</v>
      </c>
      <c r="U320" s="37">
        <v>63146</v>
      </c>
      <c r="V320" s="37">
        <v>0</v>
      </c>
      <c r="W320" s="37">
        <v>1536130.21</v>
      </c>
      <c r="X320" s="37">
        <v>943791.81</v>
      </c>
      <c r="Y320" s="37">
        <v>0</v>
      </c>
      <c r="Z320" s="37">
        <v>0</v>
      </c>
      <c r="AA320" s="37">
        <v>1599276.21</v>
      </c>
      <c r="AB320" s="37">
        <v>1008878.81</v>
      </c>
      <c r="AC320" s="37">
        <v>236248</v>
      </c>
      <c r="AD320" s="37">
        <v>100000</v>
      </c>
      <c r="AE320" s="37">
        <v>100000</v>
      </c>
      <c r="AF320" s="168">
        <v>0.02</v>
      </c>
      <c r="AG320" s="37">
        <v>174015826.83000001</v>
      </c>
      <c r="AH320" s="37">
        <v>1691743.96</v>
      </c>
      <c r="AI320" s="37">
        <v>1725578.84</v>
      </c>
      <c r="AJ320" s="37">
        <v>1760090.41</v>
      </c>
      <c r="AK320" s="37">
        <v>1795292.22</v>
      </c>
      <c r="AL320" s="37">
        <v>1831198.07</v>
      </c>
      <c r="AM320" s="37">
        <v>1867822.03</v>
      </c>
      <c r="AN320" s="37">
        <v>1905178.47</v>
      </c>
      <c r="AO320" s="37">
        <v>1943282.04</v>
      </c>
      <c r="AP320" s="37">
        <v>1982147.68</v>
      </c>
      <c r="AQ320" s="37">
        <v>2021790.89</v>
      </c>
      <c r="AR320" s="37">
        <v>18524124.609999999</v>
      </c>
      <c r="AS320" s="37">
        <v>14119008.300000001</v>
      </c>
      <c r="AT320" s="37">
        <v>634644</v>
      </c>
      <c r="AU320" s="37">
        <v>751376.88</v>
      </c>
      <c r="AV320" s="37">
        <v>0</v>
      </c>
      <c r="AW320" s="37">
        <v>1656121.2</v>
      </c>
      <c r="AX320" s="37">
        <v>0</v>
      </c>
      <c r="AY320" s="37">
        <v>0</v>
      </c>
      <c r="AZ320" s="37">
        <v>0</v>
      </c>
      <c r="BA320" s="37">
        <v>0</v>
      </c>
      <c r="BB320" s="37">
        <v>0</v>
      </c>
      <c r="BC320" s="37">
        <v>0</v>
      </c>
      <c r="BD320" s="37">
        <v>3042142.08</v>
      </c>
      <c r="BE320" s="37">
        <v>908030</v>
      </c>
      <c r="BF320" s="37">
        <v>4190400</v>
      </c>
      <c r="BG320" s="37">
        <v>407166</v>
      </c>
      <c r="BH320" s="37">
        <v>1575000</v>
      </c>
      <c r="BI320" s="37">
        <v>25000</v>
      </c>
      <c r="BJ320" s="37">
        <v>25000</v>
      </c>
      <c r="BK320" s="37">
        <v>0</v>
      </c>
      <c r="BL320" s="37">
        <v>0</v>
      </c>
      <c r="BM320" s="37">
        <v>0</v>
      </c>
      <c r="BN320" s="37">
        <v>0</v>
      </c>
      <c r="BO320" s="37">
        <v>0</v>
      </c>
      <c r="BP320" s="37">
        <v>6222566</v>
      </c>
      <c r="BQ320" s="37">
        <v>435300</v>
      </c>
      <c r="BR320" s="37">
        <v>1015700</v>
      </c>
      <c r="BS320" s="37">
        <v>1725578.84</v>
      </c>
      <c r="BT320" s="37">
        <v>1760090.41</v>
      </c>
      <c r="BU320" s="37">
        <v>1795292.22</v>
      </c>
      <c r="BV320" s="37">
        <v>1831198.07</v>
      </c>
      <c r="BW320" s="37">
        <v>1867822.03</v>
      </c>
      <c r="BX320" s="37">
        <v>1905178.47</v>
      </c>
      <c r="BY320" s="37">
        <v>1943282.04</v>
      </c>
      <c r="BZ320" s="37">
        <v>1982147.68</v>
      </c>
      <c r="CA320" s="37">
        <v>2021790.89</v>
      </c>
      <c r="CB320" s="37">
        <v>17848080.650000002</v>
      </c>
      <c r="CC320" s="37">
        <v>0</v>
      </c>
      <c r="CD320" s="37">
        <v>0</v>
      </c>
      <c r="CE320" s="37">
        <v>0</v>
      </c>
      <c r="CF320" s="37">
        <v>0</v>
      </c>
      <c r="CG320" s="37">
        <v>0</v>
      </c>
      <c r="CH320" s="37">
        <v>0</v>
      </c>
      <c r="CI320" s="37">
        <v>0</v>
      </c>
      <c r="CJ320" s="37">
        <v>0</v>
      </c>
      <c r="CK320" s="37">
        <v>0</v>
      </c>
      <c r="CL320" s="37">
        <v>0</v>
      </c>
      <c r="CM320" s="37">
        <v>0</v>
      </c>
      <c r="CN320" s="37">
        <v>0</v>
      </c>
      <c r="CO320" s="37">
        <v>0</v>
      </c>
      <c r="CP320" s="37">
        <v>0</v>
      </c>
      <c r="CQ320" s="37">
        <v>0</v>
      </c>
      <c r="CR320" s="37">
        <v>0</v>
      </c>
      <c r="CS320" s="37">
        <v>0</v>
      </c>
      <c r="CT320" s="37">
        <v>0</v>
      </c>
      <c r="CU320" s="37">
        <v>0</v>
      </c>
      <c r="CV320" s="37">
        <v>0</v>
      </c>
      <c r="CW320" s="37">
        <v>0</v>
      </c>
      <c r="CX320" s="37">
        <v>0</v>
      </c>
      <c r="CY320" s="37">
        <v>0</v>
      </c>
      <c r="CZ320" s="37">
        <v>0</v>
      </c>
      <c r="DA320" s="37">
        <v>0</v>
      </c>
      <c r="DB320" s="37">
        <v>0</v>
      </c>
      <c r="DC320" s="37">
        <v>0</v>
      </c>
      <c r="DD320" s="37">
        <v>0</v>
      </c>
      <c r="DE320" s="37">
        <v>0</v>
      </c>
      <c r="DF320" s="37">
        <v>0</v>
      </c>
      <c r="DG320" s="37">
        <v>0</v>
      </c>
      <c r="DH320" s="37">
        <v>0</v>
      </c>
      <c r="DI320" s="37">
        <v>0</v>
      </c>
      <c r="DJ320" s="37">
        <v>0</v>
      </c>
      <c r="DK320" s="37">
        <v>0</v>
      </c>
      <c r="DL320" s="37">
        <v>0</v>
      </c>
      <c r="DM320" s="37">
        <v>0</v>
      </c>
      <c r="DN320" s="37">
        <v>0</v>
      </c>
      <c r="DO320" s="37">
        <v>0</v>
      </c>
      <c r="DP320" s="37">
        <v>0</v>
      </c>
      <c r="DQ320" s="37">
        <v>0</v>
      </c>
      <c r="DR320" s="37">
        <v>0</v>
      </c>
      <c r="DS320" s="37">
        <v>0</v>
      </c>
      <c r="DT320" s="37">
        <v>0</v>
      </c>
      <c r="DU320" s="37">
        <v>0</v>
      </c>
      <c r="DV320" s="37">
        <v>0</v>
      </c>
      <c r="DW320" s="37">
        <v>0</v>
      </c>
      <c r="DX320" s="37">
        <v>0</v>
      </c>
      <c r="DY320" s="37">
        <v>743352.47</v>
      </c>
      <c r="DZ320" s="37">
        <v>634644</v>
      </c>
      <c r="EA320" s="37">
        <v>751376.88</v>
      </c>
      <c r="EB320" s="37">
        <v>0</v>
      </c>
      <c r="EC320" s="37">
        <v>1656121.2</v>
      </c>
      <c r="ED320" s="37">
        <v>0</v>
      </c>
      <c r="EE320" s="37">
        <v>0</v>
      </c>
      <c r="EF320" s="37">
        <v>0</v>
      </c>
      <c r="EG320" s="37">
        <v>0</v>
      </c>
      <c r="EH320" s="37">
        <v>0</v>
      </c>
      <c r="EI320" s="37">
        <v>0</v>
      </c>
      <c r="EJ320" s="37">
        <v>3042142.08</v>
      </c>
      <c r="EK320" s="161" t="s">
        <v>2054</v>
      </c>
      <c r="EL320" s="294" t="s">
        <v>1124</v>
      </c>
    </row>
    <row r="321" spans="1:142" ht="15" customHeight="1" x14ac:dyDescent="0.35">
      <c r="A321" s="34"/>
      <c r="B321" s="313">
        <v>49025</v>
      </c>
      <c r="C321" s="8" t="s">
        <v>467</v>
      </c>
      <c r="D321" s="18">
        <v>17</v>
      </c>
      <c r="E321" s="155"/>
      <c r="F321" s="36"/>
      <c r="G321" s="37"/>
      <c r="H321" s="37"/>
      <c r="I321" s="37"/>
      <c r="J321" s="37"/>
      <c r="K321" s="37"/>
      <c r="L321" s="37"/>
      <c r="M321" s="37" t="s">
        <v>1124</v>
      </c>
      <c r="N321" s="37" t="s">
        <v>1124</v>
      </c>
      <c r="O321" s="37"/>
      <c r="P321" s="37"/>
      <c r="Q321" s="37"/>
      <c r="R321" s="37"/>
      <c r="S321" s="37"/>
      <c r="T321" s="37"/>
      <c r="U321" s="37"/>
      <c r="V321" s="37"/>
      <c r="W321" s="37"/>
      <c r="X321" s="37"/>
      <c r="Y321" s="37"/>
      <c r="Z321" s="37"/>
      <c r="AA321" s="37" t="s">
        <v>1124</v>
      </c>
      <c r="AB321" s="37" t="s">
        <v>1124</v>
      </c>
      <c r="AC321" s="37"/>
      <c r="AD321" s="37"/>
      <c r="AE321" s="37"/>
      <c r="AF321" s="168"/>
      <c r="AG321" s="37"/>
      <c r="AH321" s="37"/>
      <c r="AI321" s="37"/>
      <c r="AJ321" s="37"/>
      <c r="AK321" s="37"/>
      <c r="AL321" s="37"/>
      <c r="AM321" s="37"/>
      <c r="AN321" s="37"/>
      <c r="AO321" s="37"/>
      <c r="AP321" s="37"/>
      <c r="AQ321" s="37"/>
      <c r="AR321" s="37" t="s">
        <v>1124</v>
      </c>
      <c r="AS321" s="37"/>
      <c r="AT321" s="37"/>
      <c r="AU321" s="37"/>
      <c r="AV321" s="37"/>
      <c r="AW321" s="37"/>
      <c r="AX321" s="37"/>
      <c r="AY321" s="37"/>
      <c r="AZ321" s="37"/>
      <c r="BA321" s="37"/>
      <c r="BB321" s="37"/>
      <c r="BC321" s="37"/>
      <c r="BD321" s="37" t="s">
        <v>1124</v>
      </c>
      <c r="BE321" s="37"/>
      <c r="BF321" s="37"/>
      <c r="BG321" s="37"/>
      <c r="BH321" s="37"/>
      <c r="BI321" s="37"/>
      <c r="BJ321" s="37"/>
      <c r="BK321" s="37"/>
      <c r="BL321" s="37"/>
      <c r="BM321" s="37"/>
      <c r="BN321" s="37"/>
      <c r="BO321" s="37"/>
      <c r="BP321" s="37">
        <v>0</v>
      </c>
      <c r="BQ321" s="37"/>
      <c r="BR321" s="37"/>
      <c r="BS321" s="37"/>
      <c r="BT321" s="37"/>
      <c r="BU321" s="37"/>
      <c r="BV321" s="37"/>
      <c r="BW321" s="37"/>
      <c r="BX321" s="37"/>
      <c r="BY321" s="37"/>
      <c r="BZ321" s="37"/>
      <c r="CA321" s="37"/>
      <c r="CB321" s="37" t="s">
        <v>1124</v>
      </c>
      <c r="CC321" s="37"/>
      <c r="CD321" s="37"/>
      <c r="CE321" s="37"/>
      <c r="CF321" s="37"/>
      <c r="CG321" s="37"/>
      <c r="CH321" s="37"/>
      <c r="CI321" s="37"/>
      <c r="CJ321" s="37"/>
      <c r="CK321" s="37"/>
      <c r="CL321" s="37"/>
      <c r="CM321" s="37"/>
      <c r="CN321" s="37" t="s">
        <v>1124</v>
      </c>
      <c r="CO321" s="37"/>
      <c r="CP321" s="37"/>
      <c r="CQ321" s="37"/>
      <c r="CR321" s="37"/>
      <c r="CS321" s="37"/>
      <c r="CT321" s="37"/>
      <c r="CU321" s="37"/>
      <c r="CV321" s="37"/>
      <c r="CW321" s="37"/>
      <c r="CX321" s="37"/>
      <c r="CY321" s="37"/>
      <c r="CZ321" s="37" t="s">
        <v>1124</v>
      </c>
      <c r="DA321" s="37"/>
      <c r="DB321" s="37"/>
      <c r="DC321" s="37"/>
      <c r="DD321" s="37"/>
      <c r="DE321" s="37"/>
      <c r="DF321" s="37"/>
      <c r="DG321" s="37"/>
      <c r="DH321" s="37"/>
      <c r="DI321" s="37"/>
      <c r="DJ321" s="37"/>
      <c r="DK321" s="37"/>
      <c r="DL321" s="37" t="s">
        <v>1124</v>
      </c>
      <c r="DM321" s="37"/>
      <c r="DN321" s="37"/>
      <c r="DO321" s="37"/>
      <c r="DP321" s="37"/>
      <c r="DQ321" s="37"/>
      <c r="DR321" s="37"/>
      <c r="DS321" s="37"/>
      <c r="DT321" s="37"/>
      <c r="DU321" s="37"/>
      <c r="DV321" s="37"/>
      <c r="DW321" s="37"/>
      <c r="DX321" s="37" t="s">
        <v>1124</v>
      </c>
      <c r="DY321" s="37"/>
      <c r="DZ321" s="37"/>
      <c r="EA321" s="37"/>
      <c r="EB321" s="37"/>
      <c r="EC321" s="37"/>
      <c r="ED321" s="37"/>
      <c r="EE321" s="37"/>
      <c r="EF321" s="37"/>
      <c r="EG321" s="37"/>
      <c r="EH321" s="37"/>
      <c r="EI321" s="37"/>
      <c r="EJ321" s="37" t="s">
        <v>1124</v>
      </c>
      <c r="EK321" s="161"/>
      <c r="EL321" s="294"/>
    </row>
    <row r="322" spans="1:142" ht="15" customHeight="1" x14ac:dyDescent="0.35">
      <c r="A322" s="34"/>
      <c r="B322" s="313">
        <v>85052</v>
      </c>
      <c r="C322" s="8" t="s">
        <v>878</v>
      </c>
      <c r="D322" s="18">
        <v>8</v>
      </c>
      <c r="E322" s="155">
        <v>57292</v>
      </c>
      <c r="F322" s="36">
        <v>11480</v>
      </c>
      <c r="G322" s="37">
        <v>9675</v>
      </c>
      <c r="H322" s="37">
        <v>5614</v>
      </c>
      <c r="I322" s="37">
        <v>59173</v>
      </c>
      <c r="J322" s="37">
        <v>155860</v>
      </c>
      <c r="K322" s="37">
        <v>8593</v>
      </c>
      <c r="L322" s="37">
        <v>1722</v>
      </c>
      <c r="M322" s="37">
        <v>134733</v>
      </c>
      <c r="N322" s="37">
        <v>174676</v>
      </c>
      <c r="O322" s="37">
        <v>0</v>
      </c>
      <c r="P322" s="37">
        <v>0</v>
      </c>
      <c r="Q322" s="37">
        <v>161315</v>
      </c>
      <c r="R322" s="37">
        <v>57187</v>
      </c>
      <c r="S322" s="37">
        <v>0</v>
      </c>
      <c r="T322" s="37">
        <v>0</v>
      </c>
      <c r="U322" s="37">
        <v>0</v>
      </c>
      <c r="V322" s="37">
        <v>0</v>
      </c>
      <c r="W322" s="37">
        <v>7837</v>
      </c>
      <c r="X322" s="37">
        <v>7838</v>
      </c>
      <c r="Y322" s="37">
        <v>0</v>
      </c>
      <c r="Z322" s="37">
        <v>75232</v>
      </c>
      <c r="AA322" s="37">
        <v>169152</v>
      </c>
      <c r="AB322" s="37">
        <v>140257</v>
      </c>
      <c r="AC322" s="37">
        <v>0</v>
      </c>
      <c r="AD322" s="37">
        <v>0</v>
      </c>
      <c r="AE322" s="37">
        <v>0</v>
      </c>
      <c r="AF322" s="168">
        <v>0.02</v>
      </c>
      <c r="AG322" s="37">
        <v>4267526.07</v>
      </c>
      <c r="AH322" s="37">
        <v>265430</v>
      </c>
      <c r="AI322" s="37">
        <v>29044.2</v>
      </c>
      <c r="AJ322" s="37">
        <v>25910.85</v>
      </c>
      <c r="AK322" s="37">
        <v>26429.07</v>
      </c>
      <c r="AL322" s="37">
        <v>26957.65</v>
      </c>
      <c r="AM322" s="37">
        <v>27496.799999999999</v>
      </c>
      <c r="AN322" s="37">
        <v>28046.74</v>
      </c>
      <c r="AO322" s="37">
        <v>28607.68</v>
      </c>
      <c r="AP322" s="37">
        <v>29179.83</v>
      </c>
      <c r="AQ322" s="37">
        <v>29763.43</v>
      </c>
      <c r="AR322" s="37">
        <v>516866.25</v>
      </c>
      <c r="AS322" s="37">
        <v>0</v>
      </c>
      <c r="AT322" s="37">
        <v>0</v>
      </c>
      <c r="AU322" s="37">
        <v>0</v>
      </c>
      <c r="AV322" s="37">
        <v>0</v>
      </c>
      <c r="AW322" s="37">
        <v>0</v>
      </c>
      <c r="AX322" s="37">
        <v>0</v>
      </c>
      <c r="AY322" s="37">
        <v>0</v>
      </c>
      <c r="AZ322" s="37">
        <v>0</v>
      </c>
      <c r="BA322" s="37">
        <v>0</v>
      </c>
      <c r="BB322" s="37">
        <v>0</v>
      </c>
      <c r="BC322" s="37">
        <v>0</v>
      </c>
      <c r="BD322" s="37">
        <v>0</v>
      </c>
      <c r="BE322" s="37">
        <v>353280</v>
      </c>
      <c r="BF322" s="37">
        <v>0</v>
      </c>
      <c r="BG322" s="37">
        <v>290974</v>
      </c>
      <c r="BH322" s="37">
        <v>0</v>
      </c>
      <c r="BI322" s="37">
        <v>0</v>
      </c>
      <c r="BJ322" s="37">
        <v>0</v>
      </c>
      <c r="BK322" s="37">
        <v>0</v>
      </c>
      <c r="BL322" s="37">
        <v>0</v>
      </c>
      <c r="BM322" s="37">
        <v>0</v>
      </c>
      <c r="BN322" s="37">
        <v>0</v>
      </c>
      <c r="BO322" s="37">
        <v>0</v>
      </c>
      <c r="BP322" s="37">
        <v>290974</v>
      </c>
      <c r="BQ322" s="37">
        <v>0</v>
      </c>
      <c r="BR322" s="37">
        <v>0</v>
      </c>
      <c r="BS322" s="37">
        <v>0</v>
      </c>
      <c r="BT322" s="37">
        <v>0</v>
      </c>
      <c r="BU322" s="37">
        <v>0</v>
      </c>
      <c r="BV322" s="37">
        <v>0</v>
      </c>
      <c r="BW322" s="37">
        <v>0</v>
      </c>
      <c r="BX322" s="37">
        <v>0</v>
      </c>
      <c r="BY322" s="37">
        <v>0</v>
      </c>
      <c r="BZ322" s="37">
        <v>0</v>
      </c>
      <c r="CA322" s="37">
        <v>0</v>
      </c>
      <c r="CB322" s="37">
        <v>0</v>
      </c>
      <c r="CC322" s="37">
        <v>0</v>
      </c>
      <c r="CD322" s="37">
        <v>0</v>
      </c>
      <c r="CE322" s="37">
        <v>3500</v>
      </c>
      <c r="CF322" s="37">
        <v>0</v>
      </c>
      <c r="CG322" s="37">
        <v>0</v>
      </c>
      <c r="CH322" s="37">
        <v>0</v>
      </c>
      <c r="CI322" s="37">
        <v>0</v>
      </c>
      <c r="CJ322" s="37">
        <v>0</v>
      </c>
      <c r="CK322" s="37">
        <v>0</v>
      </c>
      <c r="CL322" s="37">
        <v>0</v>
      </c>
      <c r="CM322" s="37">
        <v>0</v>
      </c>
      <c r="CN322" s="37">
        <v>3500</v>
      </c>
      <c r="CO322" s="37">
        <v>0</v>
      </c>
      <c r="CP322" s="37">
        <v>0</v>
      </c>
      <c r="CQ322" s="37">
        <v>0</v>
      </c>
      <c r="CR322" s="37">
        <v>0</v>
      </c>
      <c r="CS322" s="37">
        <v>0</v>
      </c>
      <c r="CT322" s="37">
        <v>0</v>
      </c>
      <c r="CU322" s="37">
        <v>0</v>
      </c>
      <c r="CV322" s="37">
        <v>0</v>
      </c>
      <c r="CW322" s="37">
        <v>0</v>
      </c>
      <c r="CX322" s="37">
        <v>0</v>
      </c>
      <c r="CY322" s="37">
        <v>0</v>
      </c>
      <c r="CZ322" s="37">
        <v>0</v>
      </c>
      <c r="DA322" s="37">
        <v>0</v>
      </c>
      <c r="DB322" s="37">
        <v>0</v>
      </c>
      <c r="DC322" s="37">
        <v>0</v>
      </c>
      <c r="DD322" s="37">
        <v>0</v>
      </c>
      <c r="DE322" s="37">
        <v>0</v>
      </c>
      <c r="DF322" s="37">
        <v>0</v>
      </c>
      <c r="DG322" s="37">
        <v>0</v>
      </c>
      <c r="DH322" s="37">
        <v>0</v>
      </c>
      <c r="DI322" s="37">
        <v>0</v>
      </c>
      <c r="DJ322" s="37">
        <v>0</v>
      </c>
      <c r="DK322" s="37">
        <v>0</v>
      </c>
      <c r="DL322" s="37">
        <v>0</v>
      </c>
      <c r="DM322" s="37">
        <v>22425</v>
      </c>
      <c r="DN322" s="37">
        <v>0</v>
      </c>
      <c r="DO322" s="37">
        <v>0</v>
      </c>
      <c r="DP322" s="37">
        <v>0</v>
      </c>
      <c r="DQ322" s="37">
        <v>0</v>
      </c>
      <c r="DR322" s="37">
        <v>0</v>
      </c>
      <c r="DS322" s="37">
        <v>0</v>
      </c>
      <c r="DT322" s="37">
        <v>0</v>
      </c>
      <c r="DU322" s="37">
        <v>0</v>
      </c>
      <c r="DV322" s="37">
        <v>0</v>
      </c>
      <c r="DW322" s="37">
        <v>0</v>
      </c>
      <c r="DX322" s="37">
        <v>0</v>
      </c>
      <c r="DY322" s="37">
        <v>0</v>
      </c>
      <c r="DZ322" s="37">
        <v>0</v>
      </c>
      <c r="EA322" s="37">
        <v>0</v>
      </c>
      <c r="EB322" s="37">
        <v>0</v>
      </c>
      <c r="EC322" s="37">
        <v>0</v>
      </c>
      <c r="ED322" s="37">
        <v>0</v>
      </c>
      <c r="EE322" s="37">
        <v>0</v>
      </c>
      <c r="EF322" s="37">
        <v>0</v>
      </c>
      <c r="EG322" s="37">
        <v>0</v>
      </c>
      <c r="EH322" s="37">
        <v>0</v>
      </c>
      <c r="EI322" s="37">
        <v>0</v>
      </c>
      <c r="EJ322" s="37">
        <v>0</v>
      </c>
      <c r="EK322" s="161" t="s">
        <v>2058</v>
      </c>
      <c r="EL322" s="294" t="s">
        <v>1124</v>
      </c>
    </row>
    <row r="323" spans="1:142" ht="15" customHeight="1" x14ac:dyDescent="0.35">
      <c r="A323" s="34"/>
      <c r="B323" s="313">
        <v>42045</v>
      </c>
      <c r="C323" s="8" t="s">
        <v>384</v>
      </c>
      <c r="D323" s="18">
        <v>5</v>
      </c>
      <c r="E323" s="155"/>
      <c r="F323" s="36"/>
      <c r="G323" s="37"/>
      <c r="H323" s="37"/>
      <c r="I323" s="37"/>
      <c r="J323" s="37"/>
      <c r="K323" s="37"/>
      <c r="L323" s="37"/>
      <c r="M323" s="37" t="s">
        <v>1124</v>
      </c>
      <c r="N323" s="37" t="s">
        <v>1124</v>
      </c>
      <c r="O323" s="37"/>
      <c r="P323" s="37"/>
      <c r="Q323" s="37"/>
      <c r="R323" s="37"/>
      <c r="S323" s="37"/>
      <c r="T323" s="37"/>
      <c r="U323" s="37"/>
      <c r="V323" s="37"/>
      <c r="W323" s="37"/>
      <c r="X323" s="37"/>
      <c r="Y323" s="37"/>
      <c r="Z323" s="37"/>
      <c r="AA323" s="37" t="s">
        <v>1124</v>
      </c>
      <c r="AB323" s="37" t="s">
        <v>1124</v>
      </c>
      <c r="AC323" s="37"/>
      <c r="AD323" s="37"/>
      <c r="AE323" s="37"/>
      <c r="AF323" s="168"/>
      <c r="AG323" s="37"/>
      <c r="AH323" s="37"/>
      <c r="AI323" s="37"/>
      <c r="AJ323" s="37"/>
      <c r="AK323" s="37"/>
      <c r="AL323" s="37"/>
      <c r="AM323" s="37"/>
      <c r="AN323" s="37"/>
      <c r="AO323" s="37"/>
      <c r="AP323" s="37"/>
      <c r="AQ323" s="37"/>
      <c r="AR323" s="37" t="s">
        <v>1124</v>
      </c>
      <c r="AS323" s="37"/>
      <c r="AT323" s="37"/>
      <c r="AU323" s="37"/>
      <c r="AV323" s="37"/>
      <c r="AW323" s="37"/>
      <c r="AX323" s="37"/>
      <c r="AY323" s="37"/>
      <c r="AZ323" s="37"/>
      <c r="BA323" s="37"/>
      <c r="BB323" s="37"/>
      <c r="BC323" s="37"/>
      <c r="BD323" s="37" t="s">
        <v>1124</v>
      </c>
      <c r="BE323" s="37"/>
      <c r="BF323" s="37"/>
      <c r="BG323" s="37"/>
      <c r="BH323" s="37"/>
      <c r="BI323" s="37"/>
      <c r="BJ323" s="37"/>
      <c r="BK323" s="37"/>
      <c r="BL323" s="37"/>
      <c r="BM323" s="37"/>
      <c r="BN323" s="37"/>
      <c r="BO323" s="37"/>
      <c r="BP323" s="37">
        <v>0</v>
      </c>
      <c r="BQ323" s="37"/>
      <c r="BR323" s="37"/>
      <c r="BS323" s="37"/>
      <c r="BT323" s="37"/>
      <c r="BU323" s="37"/>
      <c r="BV323" s="37"/>
      <c r="BW323" s="37"/>
      <c r="BX323" s="37"/>
      <c r="BY323" s="37"/>
      <c r="BZ323" s="37"/>
      <c r="CA323" s="37"/>
      <c r="CB323" s="37" t="s">
        <v>1124</v>
      </c>
      <c r="CC323" s="37"/>
      <c r="CD323" s="37"/>
      <c r="CE323" s="37"/>
      <c r="CF323" s="37"/>
      <c r="CG323" s="37"/>
      <c r="CH323" s="37"/>
      <c r="CI323" s="37"/>
      <c r="CJ323" s="37"/>
      <c r="CK323" s="37"/>
      <c r="CL323" s="37"/>
      <c r="CM323" s="37"/>
      <c r="CN323" s="37" t="s">
        <v>1124</v>
      </c>
      <c r="CO323" s="37"/>
      <c r="CP323" s="37"/>
      <c r="CQ323" s="37"/>
      <c r="CR323" s="37"/>
      <c r="CS323" s="37"/>
      <c r="CT323" s="37"/>
      <c r="CU323" s="37"/>
      <c r="CV323" s="37"/>
      <c r="CW323" s="37"/>
      <c r="CX323" s="37"/>
      <c r="CY323" s="37"/>
      <c r="CZ323" s="37" t="s">
        <v>1124</v>
      </c>
      <c r="DA323" s="37"/>
      <c r="DB323" s="37"/>
      <c r="DC323" s="37"/>
      <c r="DD323" s="37"/>
      <c r="DE323" s="37"/>
      <c r="DF323" s="37"/>
      <c r="DG323" s="37"/>
      <c r="DH323" s="37"/>
      <c r="DI323" s="37"/>
      <c r="DJ323" s="37"/>
      <c r="DK323" s="37"/>
      <c r="DL323" s="37" t="s">
        <v>1124</v>
      </c>
      <c r="DM323" s="37"/>
      <c r="DN323" s="37"/>
      <c r="DO323" s="37"/>
      <c r="DP323" s="37"/>
      <c r="DQ323" s="37"/>
      <c r="DR323" s="37"/>
      <c r="DS323" s="37"/>
      <c r="DT323" s="37"/>
      <c r="DU323" s="37"/>
      <c r="DV323" s="37"/>
      <c r="DW323" s="37"/>
      <c r="DX323" s="37" t="s">
        <v>1124</v>
      </c>
      <c r="DY323" s="37"/>
      <c r="DZ323" s="37"/>
      <c r="EA323" s="37"/>
      <c r="EB323" s="37"/>
      <c r="EC323" s="37"/>
      <c r="ED323" s="37"/>
      <c r="EE323" s="37"/>
      <c r="EF323" s="37"/>
      <c r="EG323" s="37"/>
      <c r="EH323" s="37"/>
      <c r="EI323" s="37"/>
      <c r="EJ323" s="37" t="s">
        <v>1124</v>
      </c>
      <c r="EK323" s="161"/>
      <c r="EL323" s="294"/>
    </row>
    <row r="324" spans="1:142" ht="15" customHeight="1" x14ac:dyDescent="0.35">
      <c r="A324" s="34"/>
      <c r="B324" s="313">
        <v>99005</v>
      </c>
      <c r="C324" s="8" t="s">
        <v>1019</v>
      </c>
      <c r="D324" s="18">
        <v>10</v>
      </c>
      <c r="E324" s="155"/>
      <c r="F324" s="36"/>
      <c r="G324" s="37"/>
      <c r="H324" s="37"/>
      <c r="I324" s="37"/>
      <c r="J324" s="37"/>
      <c r="K324" s="37"/>
      <c r="L324" s="37"/>
      <c r="M324" s="37" t="s">
        <v>1124</v>
      </c>
      <c r="N324" s="37" t="s">
        <v>1124</v>
      </c>
      <c r="O324" s="37"/>
      <c r="P324" s="37"/>
      <c r="Q324" s="37"/>
      <c r="R324" s="37"/>
      <c r="S324" s="37"/>
      <c r="T324" s="37"/>
      <c r="U324" s="37"/>
      <c r="V324" s="37"/>
      <c r="W324" s="37"/>
      <c r="X324" s="37"/>
      <c r="Y324" s="37"/>
      <c r="Z324" s="37"/>
      <c r="AA324" s="37" t="s">
        <v>1124</v>
      </c>
      <c r="AB324" s="37" t="s">
        <v>1124</v>
      </c>
      <c r="AC324" s="37"/>
      <c r="AD324" s="37"/>
      <c r="AE324" s="37"/>
      <c r="AF324" s="168"/>
      <c r="AG324" s="37"/>
      <c r="AH324" s="37"/>
      <c r="AI324" s="37"/>
      <c r="AJ324" s="37"/>
      <c r="AK324" s="37"/>
      <c r="AL324" s="37"/>
      <c r="AM324" s="37"/>
      <c r="AN324" s="37"/>
      <c r="AO324" s="37"/>
      <c r="AP324" s="37"/>
      <c r="AQ324" s="37"/>
      <c r="AR324" s="37" t="s">
        <v>1124</v>
      </c>
      <c r="AS324" s="37"/>
      <c r="AT324" s="37"/>
      <c r="AU324" s="37"/>
      <c r="AV324" s="37"/>
      <c r="AW324" s="37"/>
      <c r="AX324" s="37"/>
      <c r="AY324" s="37"/>
      <c r="AZ324" s="37"/>
      <c r="BA324" s="37"/>
      <c r="BB324" s="37"/>
      <c r="BC324" s="37"/>
      <c r="BD324" s="37" t="s">
        <v>1124</v>
      </c>
      <c r="BE324" s="37"/>
      <c r="BF324" s="37"/>
      <c r="BG324" s="37"/>
      <c r="BH324" s="37"/>
      <c r="BI324" s="37"/>
      <c r="BJ324" s="37"/>
      <c r="BK324" s="37"/>
      <c r="BL324" s="37"/>
      <c r="BM324" s="37"/>
      <c r="BN324" s="37"/>
      <c r="BO324" s="37"/>
      <c r="BP324" s="37">
        <v>0</v>
      </c>
      <c r="BQ324" s="37"/>
      <c r="BR324" s="37"/>
      <c r="BS324" s="37"/>
      <c r="BT324" s="37"/>
      <c r="BU324" s="37"/>
      <c r="BV324" s="37"/>
      <c r="BW324" s="37"/>
      <c r="BX324" s="37"/>
      <c r="BY324" s="37"/>
      <c r="BZ324" s="37"/>
      <c r="CA324" s="37"/>
      <c r="CB324" s="37" t="s">
        <v>1124</v>
      </c>
      <c r="CC324" s="37"/>
      <c r="CD324" s="37"/>
      <c r="CE324" s="37"/>
      <c r="CF324" s="37"/>
      <c r="CG324" s="37"/>
      <c r="CH324" s="37"/>
      <c r="CI324" s="37"/>
      <c r="CJ324" s="37"/>
      <c r="CK324" s="37"/>
      <c r="CL324" s="37"/>
      <c r="CM324" s="37"/>
      <c r="CN324" s="37" t="s">
        <v>1124</v>
      </c>
      <c r="CO324" s="37"/>
      <c r="CP324" s="37"/>
      <c r="CQ324" s="37"/>
      <c r="CR324" s="37"/>
      <c r="CS324" s="37"/>
      <c r="CT324" s="37"/>
      <c r="CU324" s="37"/>
      <c r="CV324" s="37"/>
      <c r="CW324" s="37"/>
      <c r="CX324" s="37"/>
      <c r="CY324" s="37"/>
      <c r="CZ324" s="37" t="s">
        <v>1124</v>
      </c>
      <c r="DA324" s="37"/>
      <c r="DB324" s="37"/>
      <c r="DC324" s="37"/>
      <c r="DD324" s="37"/>
      <c r="DE324" s="37"/>
      <c r="DF324" s="37"/>
      <c r="DG324" s="37"/>
      <c r="DH324" s="37"/>
      <c r="DI324" s="37"/>
      <c r="DJ324" s="37"/>
      <c r="DK324" s="37"/>
      <c r="DL324" s="37" t="s">
        <v>1124</v>
      </c>
      <c r="DM324" s="37"/>
      <c r="DN324" s="37"/>
      <c r="DO324" s="37"/>
      <c r="DP324" s="37"/>
      <c r="DQ324" s="37"/>
      <c r="DR324" s="37"/>
      <c r="DS324" s="37"/>
      <c r="DT324" s="37"/>
      <c r="DU324" s="37"/>
      <c r="DV324" s="37"/>
      <c r="DW324" s="37"/>
      <c r="DX324" s="37" t="s">
        <v>1124</v>
      </c>
      <c r="DY324" s="37"/>
      <c r="DZ324" s="37"/>
      <c r="EA324" s="37"/>
      <c r="EB324" s="37"/>
      <c r="EC324" s="37"/>
      <c r="ED324" s="37"/>
      <c r="EE324" s="37"/>
      <c r="EF324" s="37"/>
      <c r="EG324" s="37"/>
      <c r="EH324" s="37"/>
      <c r="EI324" s="37"/>
      <c r="EJ324" s="37" t="s">
        <v>1124</v>
      </c>
      <c r="EK324" s="161"/>
      <c r="EL324" s="294"/>
    </row>
    <row r="325" spans="1:142" ht="15" customHeight="1" x14ac:dyDescent="0.35">
      <c r="A325" s="34"/>
      <c r="B325" s="313">
        <v>33123</v>
      </c>
      <c r="C325" s="8" t="s">
        <v>284</v>
      </c>
      <c r="D325" s="18">
        <v>12</v>
      </c>
      <c r="E325" s="155"/>
      <c r="F325" s="36"/>
      <c r="G325" s="37"/>
      <c r="H325" s="37"/>
      <c r="I325" s="37"/>
      <c r="J325" s="37"/>
      <c r="K325" s="37"/>
      <c r="L325" s="37"/>
      <c r="M325" s="37" t="s">
        <v>1124</v>
      </c>
      <c r="N325" s="37" t="s">
        <v>1124</v>
      </c>
      <c r="O325" s="37"/>
      <c r="P325" s="37"/>
      <c r="Q325" s="37"/>
      <c r="R325" s="37"/>
      <c r="S325" s="37"/>
      <c r="T325" s="37"/>
      <c r="U325" s="37"/>
      <c r="V325" s="37"/>
      <c r="W325" s="37"/>
      <c r="X325" s="37"/>
      <c r="Y325" s="37"/>
      <c r="Z325" s="37"/>
      <c r="AA325" s="37" t="s">
        <v>1124</v>
      </c>
      <c r="AB325" s="37" t="s">
        <v>1124</v>
      </c>
      <c r="AC325" s="37"/>
      <c r="AD325" s="37"/>
      <c r="AE325" s="37"/>
      <c r="AF325" s="168"/>
      <c r="AG325" s="37"/>
      <c r="AH325" s="37"/>
      <c r="AI325" s="37"/>
      <c r="AJ325" s="37"/>
      <c r="AK325" s="37"/>
      <c r="AL325" s="37"/>
      <c r="AM325" s="37"/>
      <c r="AN325" s="37"/>
      <c r="AO325" s="37"/>
      <c r="AP325" s="37"/>
      <c r="AQ325" s="37"/>
      <c r="AR325" s="37" t="s">
        <v>1124</v>
      </c>
      <c r="AS325" s="37"/>
      <c r="AT325" s="37"/>
      <c r="AU325" s="37"/>
      <c r="AV325" s="37"/>
      <c r="AW325" s="37"/>
      <c r="AX325" s="37"/>
      <c r="AY325" s="37"/>
      <c r="AZ325" s="37"/>
      <c r="BA325" s="37"/>
      <c r="BB325" s="37"/>
      <c r="BC325" s="37"/>
      <c r="BD325" s="37" t="s">
        <v>1124</v>
      </c>
      <c r="BE325" s="37"/>
      <c r="BF325" s="37"/>
      <c r="BG325" s="37"/>
      <c r="BH325" s="37"/>
      <c r="BI325" s="37"/>
      <c r="BJ325" s="37"/>
      <c r="BK325" s="37"/>
      <c r="BL325" s="37"/>
      <c r="BM325" s="37"/>
      <c r="BN325" s="37"/>
      <c r="BO325" s="37"/>
      <c r="BP325" s="37">
        <v>0</v>
      </c>
      <c r="BQ325" s="37"/>
      <c r="BR325" s="37"/>
      <c r="BS325" s="37"/>
      <c r="BT325" s="37"/>
      <c r="BU325" s="37"/>
      <c r="BV325" s="37"/>
      <c r="BW325" s="37"/>
      <c r="BX325" s="37"/>
      <c r="BY325" s="37"/>
      <c r="BZ325" s="37"/>
      <c r="CA325" s="37"/>
      <c r="CB325" s="37" t="s">
        <v>1124</v>
      </c>
      <c r="CC325" s="37"/>
      <c r="CD325" s="37"/>
      <c r="CE325" s="37"/>
      <c r="CF325" s="37"/>
      <c r="CG325" s="37"/>
      <c r="CH325" s="37"/>
      <c r="CI325" s="37"/>
      <c r="CJ325" s="37"/>
      <c r="CK325" s="37"/>
      <c r="CL325" s="37"/>
      <c r="CM325" s="37"/>
      <c r="CN325" s="37" t="s">
        <v>1124</v>
      </c>
      <c r="CO325" s="37"/>
      <c r="CP325" s="37"/>
      <c r="CQ325" s="37"/>
      <c r="CR325" s="37"/>
      <c r="CS325" s="37"/>
      <c r="CT325" s="37"/>
      <c r="CU325" s="37"/>
      <c r="CV325" s="37"/>
      <c r="CW325" s="37"/>
      <c r="CX325" s="37"/>
      <c r="CY325" s="37"/>
      <c r="CZ325" s="37" t="s">
        <v>1124</v>
      </c>
      <c r="DA325" s="37"/>
      <c r="DB325" s="37"/>
      <c r="DC325" s="37"/>
      <c r="DD325" s="37"/>
      <c r="DE325" s="37"/>
      <c r="DF325" s="37"/>
      <c r="DG325" s="37"/>
      <c r="DH325" s="37"/>
      <c r="DI325" s="37"/>
      <c r="DJ325" s="37"/>
      <c r="DK325" s="37"/>
      <c r="DL325" s="37" t="s">
        <v>1124</v>
      </c>
      <c r="DM325" s="37"/>
      <c r="DN325" s="37"/>
      <c r="DO325" s="37"/>
      <c r="DP325" s="37"/>
      <c r="DQ325" s="37"/>
      <c r="DR325" s="37"/>
      <c r="DS325" s="37"/>
      <c r="DT325" s="37"/>
      <c r="DU325" s="37"/>
      <c r="DV325" s="37"/>
      <c r="DW325" s="37"/>
      <c r="DX325" s="37" t="s">
        <v>1124</v>
      </c>
      <c r="DY325" s="37"/>
      <c r="DZ325" s="37"/>
      <c r="EA325" s="37"/>
      <c r="EB325" s="37"/>
      <c r="EC325" s="37"/>
      <c r="ED325" s="37"/>
      <c r="EE325" s="37"/>
      <c r="EF325" s="37"/>
      <c r="EG325" s="37"/>
      <c r="EH325" s="37"/>
      <c r="EI325" s="37"/>
      <c r="EJ325" s="37" t="s">
        <v>1124</v>
      </c>
      <c r="EK325" s="161"/>
      <c r="EL325" s="294"/>
    </row>
    <row r="326" spans="1:142" ht="15" customHeight="1" x14ac:dyDescent="0.35">
      <c r="A326" s="34"/>
      <c r="B326" s="313">
        <v>49020</v>
      </c>
      <c r="C326" s="8" t="s">
        <v>466</v>
      </c>
      <c r="D326" s="18">
        <v>17</v>
      </c>
      <c r="E326" s="155"/>
      <c r="F326" s="36"/>
      <c r="G326" s="37"/>
      <c r="H326" s="37"/>
      <c r="I326" s="37"/>
      <c r="J326" s="37"/>
      <c r="K326" s="37"/>
      <c r="L326" s="37"/>
      <c r="M326" s="37" t="s">
        <v>1124</v>
      </c>
      <c r="N326" s="37" t="s">
        <v>1124</v>
      </c>
      <c r="O326" s="37"/>
      <c r="P326" s="37"/>
      <c r="Q326" s="37"/>
      <c r="R326" s="37"/>
      <c r="S326" s="37"/>
      <c r="T326" s="37"/>
      <c r="U326" s="37"/>
      <c r="V326" s="37"/>
      <c r="W326" s="37"/>
      <c r="X326" s="37"/>
      <c r="Y326" s="37"/>
      <c r="Z326" s="37"/>
      <c r="AA326" s="37" t="s">
        <v>1124</v>
      </c>
      <c r="AB326" s="37" t="s">
        <v>1124</v>
      </c>
      <c r="AC326" s="37"/>
      <c r="AD326" s="37"/>
      <c r="AE326" s="37"/>
      <c r="AF326" s="168"/>
      <c r="AG326" s="37"/>
      <c r="AH326" s="37"/>
      <c r="AI326" s="37"/>
      <c r="AJ326" s="37"/>
      <c r="AK326" s="37"/>
      <c r="AL326" s="37"/>
      <c r="AM326" s="37"/>
      <c r="AN326" s="37"/>
      <c r="AO326" s="37"/>
      <c r="AP326" s="37"/>
      <c r="AQ326" s="37"/>
      <c r="AR326" s="37" t="s">
        <v>1124</v>
      </c>
      <c r="AS326" s="37"/>
      <c r="AT326" s="37"/>
      <c r="AU326" s="37"/>
      <c r="AV326" s="37"/>
      <c r="AW326" s="37"/>
      <c r="AX326" s="37"/>
      <c r="AY326" s="37"/>
      <c r="AZ326" s="37"/>
      <c r="BA326" s="37"/>
      <c r="BB326" s="37"/>
      <c r="BC326" s="37"/>
      <c r="BD326" s="37" t="s">
        <v>1124</v>
      </c>
      <c r="BE326" s="37"/>
      <c r="BF326" s="37"/>
      <c r="BG326" s="37"/>
      <c r="BH326" s="37"/>
      <c r="BI326" s="37"/>
      <c r="BJ326" s="37"/>
      <c r="BK326" s="37"/>
      <c r="BL326" s="37"/>
      <c r="BM326" s="37"/>
      <c r="BN326" s="37"/>
      <c r="BO326" s="37"/>
      <c r="BP326" s="37">
        <v>0</v>
      </c>
      <c r="BQ326" s="37"/>
      <c r="BR326" s="37"/>
      <c r="BS326" s="37"/>
      <c r="BT326" s="37"/>
      <c r="BU326" s="37"/>
      <c r="BV326" s="37"/>
      <c r="BW326" s="37"/>
      <c r="BX326" s="37"/>
      <c r="BY326" s="37"/>
      <c r="BZ326" s="37"/>
      <c r="CA326" s="37"/>
      <c r="CB326" s="37" t="s">
        <v>1124</v>
      </c>
      <c r="CC326" s="37"/>
      <c r="CD326" s="37"/>
      <c r="CE326" s="37"/>
      <c r="CF326" s="37"/>
      <c r="CG326" s="37"/>
      <c r="CH326" s="37"/>
      <c r="CI326" s="37"/>
      <c r="CJ326" s="37"/>
      <c r="CK326" s="37"/>
      <c r="CL326" s="37"/>
      <c r="CM326" s="37"/>
      <c r="CN326" s="37" t="s">
        <v>1124</v>
      </c>
      <c r="CO326" s="37"/>
      <c r="CP326" s="37"/>
      <c r="CQ326" s="37"/>
      <c r="CR326" s="37"/>
      <c r="CS326" s="37"/>
      <c r="CT326" s="37"/>
      <c r="CU326" s="37"/>
      <c r="CV326" s="37"/>
      <c r="CW326" s="37"/>
      <c r="CX326" s="37"/>
      <c r="CY326" s="37"/>
      <c r="CZ326" s="37" t="s">
        <v>1124</v>
      </c>
      <c r="DA326" s="37"/>
      <c r="DB326" s="37"/>
      <c r="DC326" s="37"/>
      <c r="DD326" s="37"/>
      <c r="DE326" s="37"/>
      <c r="DF326" s="37"/>
      <c r="DG326" s="37"/>
      <c r="DH326" s="37"/>
      <c r="DI326" s="37"/>
      <c r="DJ326" s="37"/>
      <c r="DK326" s="37"/>
      <c r="DL326" s="37" t="s">
        <v>1124</v>
      </c>
      <c r="DM326" s="37"/>
      <c r="DN326" s="37"/>
      <c r="DO326" s="37"/>
      <c r="DP326" s="37"/>
      <c r="DQ326" s="37"/>
      <c r="DR326" s="37"/>
      <c r="DS326" s="37"/>
      <c r="DT326" s="37"/>
      <c r="DU326" s="37"/>
      <c r="DV326" s="37"/>
      <c r="DW326" s="37"/>
      <c r="DX326" s="37" t="s">
        <v>1124</v>
      </c>
      <c r="DY326" s="37"/>
      <c r="DZ326" s="37"/>
      <c r="EA326" s="37"/>
      <c r="EB326" s="37"/>
      <c r="EC326" s="37"/>
      <c r="ED326" s="37"/>
      <c r="EE326" s="37"/>
      <c r="EF326" s="37"/>
      <c r="EG326" s="37"/>
      <c r="EH326" s="37"/>
      <c r="EI326" s="37"/>
      <c r="EJ326" s="37" t="s">
        <v>1124</v>
      </c>
      <c r="EK326" s="161"/>
      <c r="EL326" s="294"/>
    </row>
    <row r="327" spans="1:142" ht="15" customHeight="1" x14ac:dyDescent="0.35">
      <c r="A327" s="34"/>
      <c r="B327" s="313">
        <v>13050</v>
      </c>
      <c r="C327" s="8" t="s">
        <v>49</v>
      </c>
      <c r="D327" s="18">
        <v>1</v>
      </c>
      <c r="E327" s="155">
        <v>26507</v>
      </c>
      <c r="F327" s="36">
        <v>14743</v>
      </c>
      <c r="G327" s="37">
        <v>0</v>
      </c>
      <c r="H327" s="37">
        <v>0</v>
      </c>
      <c r="I327" s="37">
        <v>0</v>
      </c>
      <c r="J327" s="37">
        <v>0</v>
      </c>
      <c r="K327" s="37">
        <v>3976</v>
      </c>
      <c r="L327" s="37">
        <v>2211</v>
      </c>
      <c r="M327" s="37">
        <v>30483</v>
      </c>
      <c r="N327" s="37">
        <v>16954</v>
      </c>
      <c r="O327" s="37">
        <v>0</v>
      </c>
      <c r="P327" s="37">
        <v>0</v>
      </c>
      <c r="Q327" s="37">
        <v>17710</v>
      </c>
      <c r="R327" s="37">
        <v>0</v>
      </c>
      <c r="S327" s="37">
        <v>0</v>
      </c>
      <c r="T327" s="37">
        <v>0</v>
      </c>
      <c r="U327" s="37">
        <v>0</v>
      </c>
      <c r="V327" s="37">
        <v>0</v>
      </c>
      <c r="W327" s="37">
        <v>29727</v>
      </c>
      <c r="X327" s="37">
        <v>0</v>
      </c>
      <c r="Y327" s="37">
        <v>0</v>
      </c>
      <c r="Z327" s="37">
        <v>0</v>
      </c>
      <c r="AA327" s="37">
        <v>47437</v>
      </c>
      <c r="AB327" s="37">
        <v>0</v>
      </c>
      <c r="AC327" s="37">
        <v>0</v>
      </c>
      <c r="AD327" s="37">
        <v>0</v>
      </c>
      <c r="AE327" s="37">
        <v>0</v>
      </c>
      <c r="AF327" s="168">
        <v>0.02</v>
      </c>
      <c r="AG327" s="37">
        <v>1944892.99</v>
      </c>
      <c r="AH327" s="37">
        <v>16046.92</v>
      </c>
      <c r="AI327" s="37">
        <v>16367.85</v>
      </c>
      <c r="AJ327" s="37">
        <v>16695.21</v>
      </c>
      <c r="AK327" s="37">
        <v>17029.12</v>
      </c>
      <c r="AL327" s="37">
        <v>17369.7</v>
      </c>
      <c r="AM327" s="37">
        <v>17717.09</v>
      </c>
      <c r="AN327" s="37">
        <v>18071.43</v>
      </c>
      <c r="AO327" s="37">
        <v>18432.86</v>
      </c>
      <c r="AP327" s="37">
        <v>18801.52</v>
      </c>
      <c r="AQ327" s="37">
        <v>19177.55</v>
      </c>
      <c r="AR327" s="37">
        <v>175709.25</v>
      </c>
      <c r="AS327" s="37">
        <v>2080.8000000000002</v>
      </c>
      <c r="AT327" s="37">
        <v>0</v>
      </c>
      <c r="AU327" s="37">
        <v>0</v>
      </c>
      <c r="AV327" s="37">
        <v>0</v>
      </c>
      <c r="AW327" s="37">
        <v>0</v>
      </c>
      <c r="AX327" s="37">
        <v>0</v>
      </c>
      <c r="AY327" s="37">
        <v>0</v>
      </c>
      <c r="AZ327" s="37">
        <v>0</v>
      </c>
      <c r="BA327" s="37">
        <v>0</v>
      </c>
      <c r="BB327" s="37">
        <v>0</v>
      </c>
      <c r="BC327" s="37">
        <v>0</v>
      </c>
      <c r="BD327" s="37">
        <v>0</v>
      </c>
      <c r="BE327" s="37">
        <v>0</v>
      </c>
      <c r="BF327" s="37">
        <v>2628.3889872370301</v>
      </c>
      <c r="BG327" s="37">
        <v>2833.0716072744372</v>
      </c>
      <c r="BH327" s="37">
        <v>3487.6365380044872</v>
      </c>
      <c r="BI327" s="37">
        <v>4142.2028674840449</v>
      </c>
      <c r="BJ327" s="37">
        <v>449.88231069264646</v>
      </c>
      <c r="BK327" s="37">
        <v>2178.5066765443858</v>
      </c>
      <c r="BL327" s="37">
        <v>2833.0716072744372</v>
      </c>
      <c r="BM327" s="37">
        <v>3487.6365380044872</v>
      </c>
      <c r="BN327" s="37">
        <v>4142.2028674840449</v>
      </c>
      <c r="BO327" s="37">
        <v>4142.2028674840449</v>
      </c>
      <c r="BP327" s="37">
        <v>30324.802867484043</v>
      </c>
      <c r="BQ327" s="37">
        <v>0</v>
      </c>
      <c r="BR327" s="37">
        <v>0</v>
      </c>
      <c r="BS327" s="37">
        <v>0</v>
      </c>
      <c r="BT327" s="37">
        <v>0</v>
      </c>
      <c r="BU327" s="37">
        <v>0</v>
      </c>
      <c r="BV327" s="37">
        <v>0</v>
      </c>
      <c r="BW327" s="37">
        <v>0</v>
      </c>
      <c r="BX327" s="37">
        <v>0</v>
      </c>
      <c r="BY327" s="37">
        <v>0</v>
      </c>
      <c r="BZ327" s="37">
        <v>0</v>
      </c>
      <c r="CA327" s="37">
        <v>0</v>
      </c>
      <c r="CB327" s="37">
        <v>0</v>
      </c>
      <c r="CC327" s="37">
        <v>0</v>
      </c>
      <c r="CD327" s="37">
        <v>0</v>
      </c>
      <c r="CE327" s="37">
        <v>0</v>
      </c>
      <c r="CF327" s="37">
        <v>0</v>
      </c>
      <c r="CG327" s="37">
        <v>0</v>
      </c>
      <c r="CH327" s="37">
        <v>0</v>
      </c>
      <c r="CI327" s="37">
        <v>0</v>
      </c>
      <c r="CJ327" s="37">
        <v>0</v>
      </c>
      <c r="CK327" s="37">
        <v>0</v>
      </c>
      <c r="CL327" s="37">
        <v>0</v>
      </c>
      <c r="CM327" s="37">
        <v>0</v>
      </c>
      <c r="CN327" s="37">
        <v>0</v>
      </c>
      <c r="CO327" s="37">
        <v>0</v>
      </c>
      <c r="CP327" s="37">
        <v>0</v>
      </c>
      <c r="CQ327" s="37">
        <v>0</v>
      </c>
      <c r="CR327" s="37">
        <v>0</v>
      </c>
      <c r="CS327" s="37">
        <v>0</v>
      </c>
      <c r="CT327" s="37">
        <v>0</v>
      </c>
      <c r="CU327" s="37">
        <v>0</v>
      </c>
      <c r="CV327" s="37">
        <v>0</v>
      </c>
      <c r="CW327" s="37">
        <v>0</v>
      </c>
      <c r="CX327" s="37">
        <v>0</v>
      </c>
      <c r="CY327" s="37">
        <v>0</v>
      </c>
      <c r="CZ327" s="37">
        <v>0</v>
      </c>
      <c r="DA327" s="37">
        <v>0</v>
      </c>
      <c r="DB327" s="37">
        <v>0</v>
      </c>
      <c r="DC327" s="37">
        <v>0</v>
      </c>
      <c r="DD327" s="37">
        <v>0</v>
      </c>
      <c r="DE327" s="37">
        <v>0</v>
      </c>
      <c r="DF327" s="37">
        <v>0</v>
      </c>
      <c r="DG327" s="37">
        <v>0</v>
      </c>
      <c r="DH327" s="37">
        <v>0</v>
      </c>
      <c r="DI327" s="37">
        <v>0</v>
      </c>
      <c r="DJ327" s="37">
        <v>0</v>
      </c>
      <c r="DK327" s="37">
        <v>0</v>
      </c>
      <c r="DL327" s="37">
        <v>0</v>
      </c>
      <c r="DM327" s="37">
        <v>0</v>
      </c>
      <c r="DN327" s="37">
        <v>0</v>
      </c>
      <c r="DO327" s="37">
        <v>0</v>
      </c>
      <c r="DP327" s="37">
        <v>0</v>
      </c>
      <c r="DQ327" s="37">
        <v>0</v>
      </c>
      <c r="DR327" s="37">
        <v>0</v>
      </c>
      <c r="DS327" s="37">
        <v>0</v>
      </c>
      <c r="DT327" s="37">
        <v>0</v>
      </c>
      <c r="DU327" s="37">
        <v>0</v>
      </c>
      <c r="DV327" s="37">
        <v>0</v>
      </c>
      <c r="DW327" s="37">
        <v>0</v>
      </c>
      <c r="DX327" s="37">
        <v>0</v>
      </c>
      <c r="DY327" s="37">
        <v>0</v>
      </c>
      <c r="DZ327" s="37">
        <v>0</v>
      </c>
      <c r="EA327" s="37">
        <v>0</v>
      </c>
      <c r="EB327" s="37">
        <v>0</v>
      </c>
      <c r="EC327" s="37">
        <v>0</v>
      </c>
      <c r="ED327" s="37">
        <v>0</v>
      </c>
      <c r="EE327" s="37">
        <v>0</v>
      </c>
      <c r="EF327" s="37">
        <v>0</v>
      </c>
      <c r="EG327" s="37">
        <v>0</v>
      </c>
      <c r="EH327" s="37">
        <v>0</v>
      </c>
      <c r="EI327" s="37">
        <v>0</v>
      </c>
      <c r="EJ327" s="37">
        <v>0</v>
      </c>
      <c r="EK327" s="161" t="s">
        <v>2062</v>
      </c>
      <c r="EL327" s="294" t="s">
        <v>1124</v>
      </c>
    </row>
    <row r="328" spans="1:142" ht="15" customHeight="1" x14ac:dyDescent="0.35">
      <c r="A328" s="34"/>
      <c r="B328" s="313">
        <v>38020</v>
      </c>
      <c r="C328" s="8" t="s">
        <v>328</v>
      </c>
      <c r="D328" s="18">
        <v>17</v>
      </c>
      <c r="E328" s="155"/>
      <c r="F328" s="36"/>
      <c r="G328" s="37"/>
      <c r="H328" s="37"/>
      <c r="I328" s="37"/>
      <c r="J328" s="37"/>
      <c r="K328" s="37"/>
      <c r="L328" s="37"/>
      <c r="M328" s="37" t="s">
        <v>1124</v>
      </c>
      <c r="N328" s="37" t="s">
        <v>1124</v>
      </c>
      <c r="O328" s="37"/>
      <c r="P328" s="37"/>
      <c r="Q328" s="37"/>
      <c r="R328" s="37"/>
      <c r="S328" s="37"/>
      <c r="T328" s="37"/>
      <c r="U328" s="37"/>
      <c r="V328" s="37"/>
      <c r="W328" s="37"/>
      <c r="X328" s="37"/>
      <c r="Y328" s="37"/>
      <c r="Z328" s="37"/>
      <c r="AA328" s="37" t="s">
        <v>1124</v>
      </c>
      <c r="AB328" s="37" t="s">
        <v>1124</v>
      </c>
      <c r="AC328" s="37"/>
      <c r="AD328" s="37"/>
      <c r="AE328" s="37"/>
      <c r="AF328" s="168"/>
      <c r="AG328" s="37"/>
      <c r="AH328" s="37"/>
      <c r="AI328" s="37"/>
      <c r="AJ328" s="37"/>
      <c r="AK328" s="37"/>
      <c r="AL328" s="37"/>
      <c r="AM328" s="37"/>
      <c r="AN328" s="37"/>
      <c r="AO328" s="37"/>
      <c r="AP328" s="37"/>
      <c r="AQ328" s="37"/>
      <c r="AR328" s="37" t="s">
        <v>1124</v>
      </c>
      <c r="AS328" s="37"/>
      <c r="AT328" s="37"/>
      <c r="AU328" s="37"/>
      <c r="AV328" s="37"/>
      <c r="AW328" s="37"/>
      <c r="AX328" s="37"/>
      <c r="AY328" s="37"/>
      <c r="AZ328" s="37"/>
      <c r="BA328" s="37"/>
      <c r="BB328" s="37"/>
      <c r="BC328" s="37"/>
      <c r="BD328" s="37" t="s">
        <v>1124</v>
      </c>
      <c r="BE328" s="37"/>
      <c r="BF328" s="37"/>
      <c r="BG328" s="37"/>
      <c r="BH328" s="37"/>
      <c r="BI328" s="37"/>
      <c r="BJ328" s="37"/>
      <c r="BK328" s="37"/>
      <c r="BL328" s="37"/>
      <c r="BM328" s="37"/>
      <c r="BN328" s="37"/>
      <c r="BO328" s="37"/>
      <c r="BP328" s="37">
        <v>0</v>
      </c>
      <c r="BQ328" s="37"/>
      <c r="BR328" s="37"/>
      <c r="BS328" s="37"/>
      <c r="BT328" s="37"/>
      <c r="BU328" s="37"/>
      <c r="BV328" s="37"/>
      <c r="BW328" s="37"/>
      <c r="BX328" s="37"/>
      <c r="BY328" s="37"/>
      <c r="BZ328" s="37"/>
      <c r="CA328" s="37"/>
      <c r="CB328" s="37" t="s">
        <v>1124</v>
      </c>
      <c r="CC328" s="37"/>
      <c r="CD328" s="37"/>
      <c r="CE328" s="37"/>
      <c r="CF328" s="37"/>
      <c r="CG328" s="37"/>
      <c r="CH328" s="37"/>
      <c r="CI328" s="37"/>
      <c r="CJ328" s="37"/>
      <c r="CK328" s="37"/>
      <c r="CL328" s="37"/>
      <c r="CM328" s="37"/>
      <c r="CN328" s="37" t="s">
        <v>1124</v>
      </c>
      <c r="CO328" s="37"/>
      <c r="CP328" s="37"/>
      <c r="CQ328" s="37"/>
      <c r="CR328" s="37"/>
      <c r="CS328" s="37"/>
      <c r="CT328" s="37"/>
      <c r="CU328" s="37"/>
      <c r="CV328" s="37"/>
      <c r="CW328" s="37"/>
      <c r="CX328" s="37"/>
      <c r="CY328" s="37"/>
      <c r="CZ328" s="37" t="s">
        <v>1124</v>
      </c>
      <c r="DA328" s="37"/>
      <c r="DB328" s="37"/>
      <c r="DC328" s="37"/>
      <c r="DD328" s="37"/>
      <c r="DE328" s="37"/>
      <c r="DF328" s="37"/>
      <c r="DG328" s="37"/>
      <c r="DH328" s="37"/>
      <c r="DI328" s="37"/>
      <c r="DJ328" s="37"/>
      <c r="DK328" s="37"/>
      <c r="DL328" s="37" t="s">
        <v>1124</v>
      </c>
      <c r="DM328" s="37"/>
      <c r="DN328" s="37"/>
      <c r="DO328" s="37"/>
      <c r="DP328" s="37"/>
      <c r="DQ328" s="37"/>
      <c r="DR328" s="37"/>
      <c r="DS328" s="37"/>
      <c r="DT328" s="37"/>
      <c r="DU328" s="37"/>
      <c r="DV328" s="37"/>
      <c r="DW328" s="37"/>
      <c r="DX328" s="37" t="s">
        <v>1124</v>
      </c>
      <c r="DY328" s="37"/>
      <c r="DZ328" s="37"/>
      <c r="EA328" s="37"/>
      <c r="EB328" s="37"/>
      <c r="EC328" s="37"/>
      <c r="ED328" s="37"/>
      <c r="EE328" s="37"/>
      <c r="EF328" s="37"/>
      <c r="EG328" s="37"/>
      <c r="EH328" s="37"/>
      <c r="EI328" s="37"/>
      <c r="EJ328" s="37" t="s">
        <v>1124</v>
      </c>
      <c r="EK328" s="161"/>
      <c r="EL328" s="294"/>
    </row>
    <row r="329" spans="1:142" ht="15" customHeight="1" x14ac:dyDescent="0.35">
      <c r="A329" s="34"/>
      <c r="B329" s="313">
        <v>60037</v>
      </c>
      <c r="C329" s="8" t="s">
        <v>1125</v>
      </c>
      <c r="D329" s="18">
        <v>14</v>
      </c>
      <c r="E329" s="155">
        <v>631219</v>
      </c>
      <c r="F329" s="36">
        <v>217665</v>
      </c>
      <c r="G329" s="37">
        <v>19552</v>
      </c>
      <c r="H329" s="37">
        <v>24087</v>
      </c>
      <c r="I329" s="37">
        <v>26689</v>
      </c>
      <c r="J329" s="37">
        <v>21957</v>
      </c>
      <c r="K329" s="37">
        <v>94682.849999999991</v>
      </c>
      <c r="L329" s="37">
        <v>32649.75</v>
      </c>
      <c r="M329" s="37">
        <v>772142.85</v>
      </c>
      <c r="N329" s="37">
        <v>296358.75</v>
      </c>
      <c r="O329" s="37">
        <v>79131</v>
      </c>
      <c r="P329" s="37">
        <v>0</v>
      </c>
      <c r="Q329" s="37">
        <v>533070</v>
      </c>
      <c r="R329" s="37">
        <v>175518</v>
      </c>
      <c r="S329" s="37">
        <v>41474</v>
      </c>
      <c r="T329" s="37">
        <v>0</v>
      </c>
      <c r="U329" s="37">
        <v>1831</v>
      </c>
      <c r="V329" s="37">
        <v>27994</v>
      </c>
      <c r="W329" s="37">
        <v>116637</v>
      </c>
      <c r="X329" s="37">
        <v>92847</v>
      </c>
      <c r="Y329" s="37">
        <v>0</v>
      </c>
      <c r="Z329" s="37">
        <v>0</v>
      </c>
      <c r="AA329" s="37">
        <v>772143</v>
      </c>
      <c r="AB329" s="37">
        <v>296359</v>
      </c>
      <c r="AC329" s="37">
        <v>0.39999999990686774</v>
      </c>
      <c r="AD329" s="37">
        <v>0</v>
      </c>
      <c r="AE329" s="37">
        <v>0</v>
      </c>
      <c r="AF329" s="168">
        <v>0.02</v>
      </c>
      <c r="AG329" s="37">
        <v>85727963.930000007</v>
      </c>
      <c r="AH329" s="37">
        <v>720273.77</v>
      </c>
      <c r="AI329" s="37">
        <v>734679.25</v>
      </c>
      <c r="AJ329" s="37">
        <v>749372.83</v>
      </c>
      <c r="AK329" s="37">
        <v>764360.29</v>
      </c>
      <c r="AL329" s="37">
        <v>779647.5</v>
      </c>
      <c r="AM329" s="37">
        <v>795240.45</v>
      </c>
      <c r="AN329" s="37">
        <v>811145.25</v>
      </c>
      <c r="AO329" s="37">
        <v>827368.16</v>
      </c>
      <c r="AP329" s="37">
        <v>843915.52</v>
      </c>
      <c r="AQ329" s="37">
        <v>860793.83</v>
      </c>
      <c r="AR329" s="37">
        <v>7886796.8499999996</v>
      </c>
      <c r="AS329" s="37">
        <v>1911077.23</v>
      </c>
      <c r="AT329" s="37">
        <v>0</v>
      </c>
      <c r="AU329" s="37">
        <v>6398460</v>
      </c>
      <c r="AV329" s="37">
        <v>0</v>
      </c>
      <c r="AW329" s="37">
        <v>1984458.6</v>
      </c>
      <c r="AX329" s="37">
        <v>0</v>
      </c>
      <c r="AY329" s="37">
        <v>1830013.93</v>
      </c>
      <c r="AZ329" s="37">
        <v>0</v>
      </c>
      <c r="BA329" s="37">
        <v>0</v>
      </c>
      <c r="BB329" s="37">
        <v>0</v>
      </c>
      <c r="BC329" s="37">
        <v>0</v>
      </c>
      <c r="BD329" s="37">
        <v>10212932.530000001</v>
      </c>
      <c r="BE329" s="37">
        <v>651029</v>
      </c>
      <c r="BF329" s="37">
        <v>0</v>
      </c>
      <c r="BG329" s="37">
        <v>0</v>
      </c>
      <c r="BH329" s="37">
        <v>0</v>
      </c>
      <c r="BI329" s="37">
        <v>0</v>
      </c>
      <c r="BJ329" s="37">
        <v>0</v>
      </c>
      <c r="BK329" s="37">
        <v>0</v>
      </c>
      <c r="BL329" s="37">
        <v>0</v>
      </c>
      <c r="BM329" s="37">
        <v>0</v>
      </c>
      <c r="BN329" s="37">
        <v>0</v>
      </c>
      <c r="BO329" s="37">
        <v>0</v>
      </c>
      <c r="BP329" s="37">
        <v>0</v>
      </c>
      <c r="BQ329" s="37">
        <v>284288</v>
      </c>
      <c r="BR329" s="37">
        <v>2163699</v>
      </c>
      <c r="BS329" s="37">
        <v>35000</v>
      </c>
      <c r="BT329" s="37">
        <v>0</v>
      </c>
      <c r="BU329" s="37">
        <v>3500000</v>
      </c>
      <c r="BV329" s="37">
        <v>0</v>
      </c>
      <c r="BW329" s="37">
        <v>4375000</v>
      </c>
      <c r="BX329" s="37">
        <v>0</v>
      </c>
      <c r="BY329" s="37">
        <v>0</v>
      </c>
      <c r="BZ329" s="37">
        <v>0</v>
      </c>
      <c r="CA329" s="37">
        <v>0</v>
      </c>
      <c r="CB329" s="37">
        <v>10073699</v>
      </c>
      <c r="CC329" s="37">
        <v>0</v>
      </c>
      <c r="CD329" s="37">
        <v>0</v>
      </c>
      <c r="CE329" s="37">
        <v>0</v>
      </c>
      <c r="CF329" s="37">
        <v>0</v>
      </c>
      <c r="CG329" s="37">
        <v>0</v>
      </c>
      <c r="CH329" s="37">
        <v>0</v>
      </c>
      <c r="CI329" s="37">
        <v>0</v>
      </c>
      <c r="CJ329" s="37">
        <v>0</v>
      </c>
      <c r="CK329" s="37">
        <v>0</v>
      </c>
      <c r="CL329" s="37">
        <v>0</v>
      </c>
      <c r="CM329" s="37">
        <v>0</v>
      </c>
      <c r="CN329" s="37">
        <v>0</v>
      </c>
      <c r="CO329" s="37">
        <v>134724</v>
      </c>
      <c r="CP329" s="37">
        <v>0</v>
      </c>
      <c r="CQ329" s="37">
        <v>0</v>
      </c>
      <c r="CR329" s="37">
        <v>0</v>
      </c>
      <c r="CS329" s="37">
        <v>0</v>
      </c>
      <c r="CT329" s="37">
        <v>0</v>
      </c>
      <c r="CU329" s="37">
        <v>0</v>
      </c>
      <c r="CV329" s="37">
        <v>0</v>
      </c>
      <c r="CW329" s="37">
        <v>0</v>
      </c>
      <c r="CX329" s="37">
        <v>0</v>
      </c>
      <c r="CY329" s="37">
        <v>0</v>
      </c>
      <c r="CZ329" s="37">
        <v>0</v>
      </c>
      <c r="DA329" s="37">
        <v>0</v>
      </c>
      <c r="DB329" s="37">
        <v>0</v>
      </c>
      <c r="DC329" s="37">
        <v>6150000</v>
      </c>
      <c r="DD329" s="37">
        <v>0</v>
      </c>
      <c r="DE329" s="37">
        <v>1833333</v>
      </c>
      <c r="DF329" s="37">
        <v>0</v>
      </c>
      <c r="DG329" s="37">
        <v>1625000</v>
      </c>
      <c r="DH329" s="37">
        <v>0</v>
      </c>
      <c r="DI329" s="37">
        <v>0</v>
      </c>
      <c r="DJ329" s="37">
        <v>0</v>
      </c>
      <c r="DK329" s="37">
        <v>0</v>
      </c>
      <c r="DL329" s="37">
        <v>9608333</v>
      </c>
      <c r="DM329" s="37">
        <v>0</v>
      </c>
      <c r="DN329" s="37">
        <v>0</v>
      </c>
      <c r="DO329" s="37">
        <v>0</v>
      </c>
      <c r="DP329" s="37">
        <v>0</v>
      </c>
      <c r="DQ329" s="37">
        <v>0</v>
      </c>
      <c r="DR329" s="37">
        <v>0</v>
      </c>
      <c r="DS329" s="37">
        <v>0</v>
      </c>
      <c r="DT329" s="37">
        <v>0</v>
      </c>
      <c r="DU329" s="37">
        <v>0</v>
      </c>
      <c r="DV329" s="37">
        <v>0</v>
      </c>
      <c r="DW329" s="37">
        <v>0</v>
      </c>
      <c r="DX329" s="37">
        <v>0</v>
      </c>
      <c r="DY329" s="37">
        <v>0</v>
      </c>
      <c r="DZ329" s="37">
        <v>0</v>
      </c>
      <c r="EA329" s="37">
        <v>0</v>
      </c>
      <c r="EB329" s="37">
        <v>0</v>
      </c>
      <c r="EC329" s="37">
        <v>0</v>
      </c>
      <c r="ED329" s="37">
        <v>0</v>
      </c>
      <c r="EE329" s="37">
        <v>0</v>
      </c>
      <c r="EF329" s="37">
        <v>0</v>
      </c>
      <c r="EG329" s="37">
        <v>0</v>
      </c>
      <c r="EH329" s="37">
        <v>0</v>
      </c>
      <c r="EI329" s="37">
        <v>0</v>
      </c>
      <c r="EJ329" s="37">
        <v>0</v>
      </c>
      <c r="EK329" s="161" t="s">
        <v>2066</v>
      </c>
      <c r="EL329" s="294" t="s">
        <v>1124</v>
      </c>
    </row>
    <row r="330" spans="1:142" ht="15" customHeight="1" x14ac:dyDescent="0.35">
      <c r="A330" s="34"/>
      <c r="B330" s="313">
        <v>67055</v>
      </c>
      <c r="C330" s="8" t="s">
        <v>672</v>
      </c>
      <c r="D330" s="18">
        <v>16</v>
      </c>
      <c r="E330" s="155"/>
      <c r="F330" s="36"/>
      <c r="G330" s="37"/>
      <c r="H330" s="37"/>
      <c r="I330" s="37"/>
      <c r="J330" s="37"/>
      <c r="K330" s="37"/>
      <c r="L330" s="37"/>
      <c r="M330" s="37" t="s">
        <v>1124</v>
      </c>
      <c r="N330" s="37" t="s">
        <v>1124</v>
      </c>
      <c r="O330" s="37"/>
      <c r="P330" s="37"/>
      <c r="Q330" s="37"/>
      <c r="R330" s="37"/>
      <c r="S330" s="37"/>
      <c r="T330" s="37"/>
      <c r="U330" s="37"/>
      <c r="V330" s="37"/>
      <c r="W330" s="37"/>
      <c r="X330" s="37"/>
      <c r="Y330" s="37"/>
      <c r="Z330" s="37"/>
      <c r="AA330" s="37" t="s">
        <v>1124</v>
      </c>
      <c r="AB330" s="37" t="s">
        <v>1124</v>
      </c>
      <c r="AC330" s="37"/>
      <c r="AD330" s="37"/>
      <c r="AE330" s="37"/>
      <c r="AF330" s="168"/>
      <c r="AG330" s="37"/>
      <c r="AH330" s="37"/>
      <c r="AI330" s="37"/>
      <c r="AJ330" s="37"/>
      <c r="AK330" s="37"/>
      <c r="AL330" s="37"/>
      <c r="AM330" s="37"/>
      <c r="AN330" s="37"/>
      <c r="AO330" s="37"/>
      <c r="AP330" s="37"/>
      <c r="AQ330" s="37"/>
      <c r="AR330" s="37" t="s">
        <v>1124</v>
      </c>
      <c r="AS330" s="37"/>
      <c r="AT330" s="37"/>
      <c r="AU330" s="37"/>
      <c r="AV330" s="37"/>
      <c r="AW330" s="37"/>
      <c r="AX330" s="37"/>
      <c r="AY330" s="37"/>
      <c r="AZ330" s="37"/>
      <c r="BA330" s="37"/>
      <c r="BB330" s="37"/>
      <c r="BC330" s="37"/>
      <c r="BD330" s="37" t="s">
        <v>1124</v>
      </c>
      <c r="BE330" s="37"/>
      <c r="BF330" s="37"/>
      <c r="BG330" s="37"/>
      <c r="BH330" s="37"/>
      <c r="BI330" s="37"/>
      <c r="BJ330" s="37"/>
      <c r="BK330" s="37"/>
      <c r="BL330" s="37"/>
      <c r="BM330" s="37"/>
      <c r="BN330" s="37"/>
      <c r="BO330" s="37"/>
      <c r="BP330" s="37">
        <v>0</v>
      </c>
      <c r="BQ330" s="37"/>
      <c r="BR330" s="37"/>
      <c r="BS330" s="37"/>
      <c r="BT330" s="37"/>
      <c r="BU330" s="37"/>
      <c r="BV330" s="37"/>
      <c r="BW330" s="37"/>
      <c r="BX330" s="37"/>
      <c r="BY330" s="37"/>
      <c r="BZ330" s="37"/>
      <c r="CA330" s="37"/>
      <c r="CB330" s="37" t="s">
        <v>1124</v>
      </c>
      <c r="CC330" s="37"/>
      <c r="CD330" s="37"/>
      <c r="CE330" s="37"/>
      <c r="CF330" s="37"/>
      <c r="CG330" s="37"/>
      <c r="CH330" s="37"/>
      <c r="CI330" s="37"/>
      <c r="CJ330" s="37"/>
      <c r="CK330" s="37"/>
      <c r="CL330" s="37"/>
      <c r="CM330" s="37"/>
      <c r="CN330" s="37" t="s">
        <v>1124</v>
      </c>
      <c r="CO330" s="37"/>
      <c r="CP330" s="37"/>
      <c r="CQ330" s="37"/>
      <c r="CR330" s="37"/>
      <c r="CS330" s="37"/>
      <c r="CT330" s="37"/>
      <c r="CU330" s="37"/>
      <c r="CV330" s="37"/>
      <c r="CW330" s="37"/>
      <c r="CX330" s="37"/>
      <c r="CY330" s="37"/>
      <c r="CZ330" s="37" t="s">
        <v>1124</v>
      </c>
      <c r="DA330" s="37"/>
      <c r="DB330" s="37"/>
      <c r="DC330" s="37"/>
      <c r="DD330" s="37"/>
      <c r="DE330" s="37"/>
      <c r="DF330" s="37"/>
      <c r="DG330" s="37"/>
      <c r="DH330" s="37"/>
      <c r="DI330" s="37"/>
      <c r="DJ330" s="37"/>
      <c r="DK330" s="37"/>
      <c r="DL330" s="37" t="s">
        <v>1124</v>
      </c>
      <c r="DM330" s="37"/>
      <c r="DN330" s="37"/>
      <c r="DO330" s="37"/>
      <c r="DP330" s="37"/>
      <c r="DQ330" s="37"/>
      <c r="DR330" s="37"/>
      <c r="DS330" s="37"/>
      <c r="DT330" s="37"/>
      <c r="DU330" s="37"/>
      <c r="DV330" s="37"/>
      <c r="DW330" s="37"/>
      <c r="DX330" s="37" t="s">
        <v>1124</v>
      </c>
      <c r="DY330" s="37"/>
      <c r="DZ330" s="37"/>
      <c r="EA330" s="37"/>
      <c r="EB330" s="37"/>
      <c r="EC330" s="37"/>
      <c r="ED330" s="37"/>
      <c r="EE330" s="37"/>
      <c r="EF330" s="37"/>
      <c r="EG330" s="37"/>
      <c r="EH330" s="37"/>
      <c r="EI330" s="37"/>
      <c r="EJ330" s="37" t="s">
        <v>1124</v>
      </c>
      <c r="EK330" s="161"/>
      <c r="EL330" s="294"/>
    </row>
    <row r="331" spans="1:142" ht="15" customHeight="1" x14ac:dyDescent="0.35">
      <c r="A331" s="34"/>
      <c r="B331" s="313">
        <v>95018</v>
      </c>
      <c r="C331" s="8" t="s">
        <v>988</v>
      </c>
      <c r="D331" s="18">
        <v>9</v>
      </c>
      <c r="E331" s="155">
        <v>97251</v>
      </c>
      <c r="F331" s="36">
        <v>7598</v>
      </c>
      <c r="G331" s="37">
        <v>0</v>
      </c>
      <c r="H331" s="37">
        <v>0</v>
      </c>
      <c r="I331" s="37">
        <v>0</v>
      </c>
      <c r="J331" s="37">
        <v>0</v>
      </c>
      <c r="K331" s="37">
        <v>14587.65</v>
      </c>
      <c r="L331" s="37">
        <v>1139.7</v>
      </c>
      <c r="M331" s="37">
        <v>111838.65</v>
      </c>
      <c r="N331" s="37">
        <v>8737.7000000000007</v>
      </c>
      <c r="O331" s="37">
        <v>0</v>
      </c>
      <c r="P331" s="37">
        <v>0</v>
      </c>
      <c r="Q331" s="37">
        <v>97250</v>
      </c>
      <c r="R331" s="37">
        <v>7598</v>
      </c>
      <c r="S331" s="37">
        <v>0</v>
      </c>
      <c r="T331" s="37">
        <v>0</v>
      </c>
      <c r="U331" s="37">
        <v>0</v>
      </c>
      <c r="V331" s="37">
        <v>0</v>
      </c>
      <c r="W331" s="37">
        <v>14588.649999999994</v>
      </c>
      <c r="X331" s="37">
        <v>1139.7000000000007</v>
      </c>
      <c r="Y331" s="37">
        <v>0</v>
      </c>
      <c r="Z331" s="37">
        <v>0</v>
      </c>
      <c r="AA331" s="37">
        <v>111838.65</v>
      </c>
      <c r="AB331" s="37">
        <v>8737.7000000000007</v>
      </c>
      <c r="AC331" s="37">
        <v>0</v>
      </c>
      <c r="AD331" s="37">
        <v>0</v>
      </c>
      <c r="AE331" s="37">
        <v>0</v>
      </c>
      <c r="AF331" s="168">
        <v>0.02</v>
      </c>
      <c r="AG331" s="37">
        <v>24581926.350000001</v>
      </c>
      <c r="AH331" s="37">
        <v>223617.97</v>
      </c>
      <c r="AI331" s="37">
        <v>228090.33</v>
      </c>
      <c r="AJ331" s="37">
        <v>232652.13</v>
      </c>
      <c r="AK331" s="37">
        <v>237305.18</v>
      </c>
      <c r="AL331" s="37">
        <v>242051.28</v>
      </c>
      <c r="AM331" s="37">
        <v>246892.31</v>
      </c>
      <c r="AN331" s="37">
        <v>251830.15</v>
      </c>
      <c r="AO331" s="37">
        <v>256866.75</v>
      </c>
      <c r="AP331" s="37">
        <v>262004.09</v>
      </c>
      <c r="AQ331" s="37">
        <v>267244.17</v>
      </c>
      <c r="AR331" s="37">
        <v>2448554.3600000003</v>
      </c>
      <c r="AS331" s="37">
        <v>1680246</v>
      </c>
      <c r="AT331" s="37">
        <v>0</v>
      </c>
      <c r="AU331" s="37">
        <v>1061208</v>
      </c>
      <c r="AV331" s="37">
        <v>1082432.1599999999</v>
      </c>
      <c r="AW331" s="37">
        <v>552040.4</v>
      </c>
      <c r="AX331" s="37">
        <v>0</v>
      </c>
      <c r="AY331" s="37">
        <v>5226519.79</v>
      </c>
      <c r="AZ331" s="37">
        <v>0</v>
      </c>
      <c r="BA331" s="37">
        <v>0</v>
      </c>
      <c r="BB331" s="37">
        <v>0</v>
      </c>
      <c r="BC331" s="37">
        <v>0</v>
      </c>
      <c r="BD331" s="37">
        <v>7922200.3500000006</v>
      </c>
      <c r="BE331" s="37">
        <v>0</v>
      </c>
      <c r="BF331" s="37">
        <v>1836274</v>
      </c>
      <c r="BG331" s="37">
        <v>0</v>
      </c>
      <c r="BH331" s="37">
        <v>0</v>
      </c>
      <c r="BI331" s="37">
        <v>0</v>
      </c>
      <c r="BJ331" s="37">
        <v>0</v>
      </c>
      <c r="BK331" s="37">
        <v>0</v>
      </c>
      <c r="BL331" s="37">
        <v>0</v>
      </c>
      <c r="BM331" s="37">
        <v>0</v>
      </c>
      <c r="BN331" s="37">
        <v>0</v>
      </c>
      <c r="BO331" s="37">
        <v>0</v>
      </c>
      <c r="BP331" s="37">
        <v>1836274</v>
      </c>
      <c r="BQ331" s="37">
        <v>58650</v>
      </c>
      <c r="BR331" s="37">
        <v>459069</v>
      </c>
      <c r="BS331" s="37">
        <v>0</v>
      </c>
      <c r="BT331" s="37">
        <v>0</v>
      </c>
      <c r="BU331" s="37">
        <v>0</v>
      </c>
      <c r="BV331" s="37">
        <v>0</v>
      </c>
      <c r="BW331" s="37">
        <v>0</v>
      </c>
      <c r="BX331" s="37">
        <v>0</v>
      </c>
      <c r="BY331" s="37">
        <v>0</v>
      </c>
      <c r="BZ331" s="37">
        <v>0</v>
      </c>
      <c r="CA331" s="37">
        <v>0</v>
      </c>
      <c r="CB331" s="37">
        <v>459069</v>
      </c>
      <c r="CC331" s="37">
        <v>0</v>
      </c>
      <c r="CD331" s="37">
        <v>0</v>
      </c>
      <c r="CE331" s="37">
        <v>0</v>
      </c>
      <c r="CF331" s="37">
        <v>0</v>
      </c>
      <c r="CG331" s="37">
        <v>0</v>
      </c>
      <c r="CH331" s="37">
        <v>0</v>
      </c>
      <c r="CI331" s="37">
        <v>0</v>
      </c>
      <c r="CJ331" s="37">
        <v>0</v>
      </c>
      <c r="CK331" s="37">
        <v>0</v>
      </c>
      <c r="CL331" s="37">
        <v>0</v>
      </c>
      <c r="CM331" s="37">
        <v>0</v>
      </c>
      <c r="CN331" s="37">
        <v>0</v>
      </c>
      <c r="CO331" s="37">
        <v>0</v>
      </c>
      <c r="CP331" s="37">
        <v>61000</v>
      </c>
      <c r="CQ331" s="37">
        <v>10000</v>
      </c>
      <c r="CR331" s="37">
        <v>347350</v>
      </c>
      <c r="CS331" s="37">
        <v>0</v>
      </c>
      <c r="CT331" s="37">
        <v>0</v>
      </c>
      <c r="CU331" s="37">
        <v>0</v>
      </c>
      <c r="CV331" s="37">
        <v>0</v>
      </c>
      <c r="CW331" s="37">
        <v>0</v>
      </c>
      <c r="CX331" s="37">
        <v>0</v>
      </c>
      <c r="CY331" s="37">
        <v>0</v>
      </c>
      <c r="CZ331" s="37">
        <v>418350</v>
      </c>
      <c r="DA331" s="37">
        <v>0</v>
      </c>
      <c r="DB331" s="37">
        <v>0</v>
      </c>
      <c r="DC331" s="37">
        <v>2176000</v>
      </c>
      <c r="DD331" s="37">
        <v>4009150</v>
      </c>
      <c r="DE331" s="37">
        <v>0</v>
      </c>
      <c r="DF331" s="37">
        <v>0</v>
      </c>
      <c r="DG331" s="37">
        <v>0</v>
      </c>
      <c r="DH331" s="37">
        <v>0</v>
      </c>
      <c r="DI331" s="37">
        <v>0</v>
      </c>
      <c r="DJ331" s="37">
        <v>0</v>
      </c>
      <c r="DK331" s="37">
        <v>0</v>
      </c>
      <c r="DL331" s="37">
        <v>6185150</v>
      </c>
      <c r="DM331" s="37">
        <v>0</v>
      </c>
      <c r="DN331" s="37">
        <v>322500</v>
      </c>
      <c r="DO331" s="37">
        <v>85000</v>
      </c>
      <c r="DP331" s="37">
        <v>918500</v>
      </c>
      <c r="DQ331" s="37">
        <v>0</v>
      </c>
      <c r="DR331" s="37">
        <v>0</v>
      </c>
      <c r="DS331" s="37">
        <v>0</v>
      </c>
      <c r="DT331" s="37">
        <v>0</v>
      </c>
      <c r="DU331" s="37">
        <v>0</v>
      </c>
      <c r="DV331" s="37">
        <v>0</v>
      </c>
      <c r="DW331" s="37">
        <v>0</v>
      </c>
      <c r="DX331" s="37">
        <v>1326000</v>
      </c>
      <c r="DY331" s="37">
        <v>0</v>
      </c>
      <c r="DZ331" s="37">
        <v>0</v>
      </c>
      <c r="EA331" s="37">
        <v>0</v>
      </c>
      <c r="EB331" s="37">
        <v>0</v>
      </c>
      <c r="EC331" s="37">
        <v>0</v>
      </c>
      <c r="ED331" s="37">
        <v>0</v>
      </c>
      <c r="EE331" s="37">
        <v>0</v>
      </c>
      <c r="EF331" s="37">
        <v>0</v>
      </c>
      <c r="EG331" s="37">
        <v>0</v>
      </c>
      <c r="EH331" s="37">
        <v>0</v>
      </c>
      <c r="EI331" s="37">
        <v>0</v>
      </c>
      <c r="EJ331" s="37">
        <v>0</v>
      </c>
      <c r="EK331" s="161" t="s">
        <v>2070</v>
      </c>
      <c r="EL331" s="294" t="s">
        <v>1124</v>
      </c>
    </row>
    <row r="332" spans="1:142" ht="15" customHeight="1" x14ac:dyDescent="0.35">
      <c r="A332" s="34"/>
      <c r="B332" s="313">
        <v>71050</v>
      </c>
      <c r="C332" s="8" t="s">
        <v>711</v>
      </c>
      <c r="D332" s="18">
        <v>16</v>
      </c>
      <c r="E332" s="155"/>
      <c r="F332" s="36"/>
      <c r="G332" s="37"/>
      <c r="H332" s="37"/>
      <c r="I332" s="37"/>
      <c r="J332" s="37"/>
      <c r="K332" s="37"/>
      <c r="L332" s="37"/>
      <c r="M332" s="37" t="s">
        <v>1124</v>
      </c>
      <c r="N332" s="37" t="s">
        <v>1124</v>
      </c>
      <c r="O332" s="37"/>
      <c r="P332" s="37"/>
      <c r="Q332" s="37"/>
      <c r="R332" s="37"/>
      <c r="S332" s="37"/>
      <c r="T332" s="37"/>
      <c r="U332" s="37"/>
      <c r="V332" s="37"/>
      <c r="W332" s="37"/>
      <c r="X332" s="37"/>
      <c r="Y332" s="37"/>
      <c r="Z332" s="37"/>
      <c r="AA332" s="37" t="s">
        <v>1124</v>
      </c>
      <c r="AB332" s="37" t="s">
        <v>1124</v>
      </c>
      <c r="AC332" s="37"/>
      <c r="AD332" s="37"/>
      <c r="AE332" s="37"/>
      <c r="AF332" s="168"/>
      <c r="AG332" s="37"/>
      <c r="AH332" s="37"/>
      <c r="AI332" s="37"/>
      <c r="AJ332" s="37"/>
      <c r="AK332" s="37"/>
      <c r="AL332" s="37"/>
      <c r="AM332" s="37"/>
      <c r="AN332" s="37"/>
      <c r="AO332" s="37"/>
      <c r="AP332" s="37"/>
      <c r="AQ332" s="37"/>
      <c r="AR332" s="37" t="s">
        <v>1124</v>
      </c>
      <c r="AS332" s="37"/>
      <c r="AT332" s="37"/>
      <c r="AU332" s="37"/>
      <c r="AV332" s="37"/>
      <c r="AW332" s="37"/>
      <c r="AX332" s="37"/>
      <c r="AY332" s="37"/>
      <c r="AZ332" s="37"/>
      <c r="BA332" s="37"/>
      <c r="BB332" s="37"/>
      <c r="BC332" s="37"/>
      <c r="BD332" s="37" t="s">
        <v>1124</v>
      </c>
      <c r="BE332" s="37"/>
      <c r="BF332" s="37"/>
      <c r="BG332" s="37"/>
      <c r="BH332" s="37"/>
      <c r="BI332" s="37"/>
      <c r="BJ332" s="37"/>
      <c r="BK332" s="37"/>
      <c r="BL332" s="37"/>
      <c r="BM332" s="37"/>
      <c r="BN332" s="37"/>
      <c r="BO332" s="37"/>
      <c r="BP332" s="37">
        <v>0</v>
      </c>
      <c r="BQ332" s="37"/>
      <c r="BR332" s="37"/>
      <c r="BS332" s="37"/>
      <c r="BT332" s="37"/>
      <c r="BU332" s="37"/>
      <c r="BV332" s="37"/>
      <c r="BW332" s="37"/>
      <c r="BX332" s="37"/>
      <c r="BY332" s="37"/>
      <c r="BZ332" s="37"/>
      <c r="CA332" s="37"/>
      <c r="CB332" s="37" t="s">
        <v>1124</v>
      </c>
      <c r="CC332" s="37"/>
      <c r="CD332" s="37"/>
      <c r="CE332" s="37"/>
      <c r="CF332" s="37"/>
      <c r="CG332" s="37"/>
      <c r="CH332" s="37"/>
      <c r="CI332" s="37"/>
      <c r="CJ332" s="37"/>
      <c r="CK332" s="37"/>
      <c r="CL332" s="37"/>
      <c r="CM332" s="37"/>
      <c r="CN332" s="37" t="s">
        <v>1124</v>
      </c>
      <c r="CO332" s="37"/>
      <c r="CP332" s="37"/>
      <c r="CQ332" s="37"/>
      <c r="CR332" s="37"/>
      <c r="CS332" s="37"/>
      <c r="CT332" s="37"/>
      <c r="CU332" s="37"/>
      <c r="CV332" s="37"/>
      <c r="CW332" s="37"/>
      <c r="CX332" s="37"/>
      <c r="CY332" s="37"/>
      <c r="CZ332" s="37" t="s">
        <v>1124</v>
      </c>
      <c r="DA332" s="37"/>
      <c r="DB332" s="37"/>
      <c r="DC332" s="37"/>
      <c r="DD332" s="37"/>
      <c r="DE332" s="37"/>
      <c r="DF332" s="37"/>
      <c r="DG332" s="37"/>
      <c r="DH332" s="37"/>
      <c r="DI332" s="37"/>
      <c r="DJ332" s="37"/>
      <c r="DK332" s="37"/>
      <c r="DL332" s="37" t="s">
        <v>1124</v>
      </c>
      <c r="DM332" s="37"/>
      <c r="DN332" s="37"/>
      <c r="DO332" s="37"/>
      <c r="DP332" s="37"/>
      <c r="DQ332" s="37"/>
      <c r="DR332" s="37"/>
      <c r="DS332" s="37"/>
      <c r="DT332" s="37"/>
      <c r="DU332" s="37"/>
      <c r="DV332" s="37"/>
      <c r="DW332" s="37"/>
      <c r="DX332" s="37" t="s">
        <v>1124</v>
      </c>
      <c r="DY332" s="37"/>
      <c r="DZ332" s="37"/>
      <c r="EA332" s="37"/>
      <c r="EB332" s="37"/>
      <c r="EC332" s="37"/>
      <c r="ED332" s="37"/>
      <c r="EE332" s="37"/>
      <c r="EF332" s="37"/>
      <c r="EG332" s="37"/>
      <c r="EH332" s="37"/>
      <c r="EI332" s="37"/>
      <c r="EJ332" s="37" t="s">
        <v>1124</v>
      </c>
      <c r="EK332" s="161"/>
      <c r="EL332" s="294"/>
    </row>
    <row r="333" spans="1:142" ht="15" customHeight="1" x14ac:dyDescent="0.35">
      <c r="A333" s="34"/>
      <c r="B333" s="313">
        <v>71033</v>
      </c>
      <c r="C333" s="8" t="s">
        <v>708</v>
      </c>
      <c r="D333" s="18">
        <v>16</v>
      </c>
      <c r="E333" s="155">
        <v>323583</v>
      </c>
      <c r="F333" s="36">
        <v>346112</v>
      </c>
      <c r="G333" s="37">
        <v>114796</v>
      </c>
      <c r="H333" s="37">
        <v>3746</v>
      </c>
      <c r="I333" s="37">
        <v>105800</v>
      </c>
      <c r="J333" s="37">
        <v>105800</v>
      </c>
      <c r="K333" s="37">
        <v>32358.3</v>
      </c>
      <c r="L333" s="37">
        <v>34611.199999999997</v>
      </c>
      <c r="M333" s="37">
        <v>576537.30000000005</v>
      </c>
      <c r="N333" s="37">
        <v>490269.2</v>
      </c>
      <c r="O333" s="37">
        <v>0</v>
      </c>
      <c r="P333" s="37">
        <v>0</v>
      </c>
      <c r="Q333" s="37">
        <v>520662</v>
      </c>
      <c r="R333" s="37">
        <v>279388</v>
      </c>
      <c r="S333" s="37">
        <v>0</v>
      </c>
      <c r="T333" s="37">
        <v>0</v>
      </c>
      <c r="U333" s="37">
        <v>13930</v>
      </c>
      <c r="V333" s="37">
        <v>0</v>
      </c>
      <c r="W333" s="37">
        <v>0</v>
      </c>
      <c r="X333" s="37">
        <v>109352</v>
      </c>
      <c r="Y333" s="37">
        <v>143475</v>
      </c>
      <c r="Z333" s="37">
        <v>0</v>
      </c>
      <c r="AA333" s="37">
        <v>678067</v>
      </c>
      <c r="AB333" s="37">
        <v>388740</v>
      </c>
      <c r="AC333" s="37">
        <v>0</v>
      </c>
      <c r="AD333" s="37">
        <v>0</v>
      </c>
      <c r="AE333" s="37">
        <v>0</v>
      </c>
      <c r="AF333" s="168">
        <v>0.02</v>
      </c>
      <c r="AG333" s="37">
        <v>75385044.75</v>
      </c>
      <c r="AH333" s="37">
        <v>2086564.98</v>
      </c>
      <c r="AI333" s="37">
        <v>15898133.33</v>
      </c>
      <c r="AJ333" s="37">
        <v>1224410.58</v>
      </c>
      <c r="AK333" s="37">
        <v>1248898.79</v>
      </c>
      <c r="AL333" s="37">
        <v>679826.09</v>
      </c>
      <c r="AM333" s="37">
        <v>693422.62</v>
      </c>
      <c r="AN333" s="37">
        <v>707291.07</v>
      </c>
      <c r="AO333" s="37">
        <v>721436.89</v>
      </c>
      <c r="AP333" s="37">
        <v>735865.63</v>
      </c>
      <c r="AQ333" s="37">
        <v>750582.94</v>
      </c>
      <c r="AR333" s="37">
        <v>24746432.919999998</v>
      </c>
      <c r="AS333" s="37">
        <v>1292176.8</v>
      </c>
      <c r="AT333" s="37">
        <v>0</v>
      </c>
      <c r="AU333" s="37">
        <v>0</v>
      </c>
      <c r="AV333" s="37">
        <v>0</v>
      </c>
      <c r="AW333" s="37">
        <v>0</v>
      </c>
      <c r="AX333" s="37">
        <v>0</v>
      </c>
      <c r="AY333" s="37">
        <v>0</v>
      </c>
      <c r="AZ333" s="37">
        <v>0</v>
      </c>
      <c r="BA333" s="37">
        <v>0</v>
      </c>
      <c r="BB333" s="37">
        <v>0</v>
      </c>
      <c r="BC333" s="37">
        <v>0</v>
      </c>
      <c r="BD333" s="37">
        <v>0</v>
      </c>
      <c r="BE333" s="37">
        <v>13998</v>
      </c>
      <c r="BF333" s="37">
        <v>2452604</v>
      </c>
      <c r="BG333" s="37">
        <v>0</v>
      </c>
      <c r="BH333" s="37">
        <v>0</v>
      </c>
      <c r="BI333" s="37">
        <v>0</v>
      </c>
      <c r="BJ333" s="37">
        <v>0</v>
      </c>
      <c r="BK333" s="37">
        <v>0</v>
      </c>
      <c r="BL333" s="37">
        <v>0</v>
      </c>
      <c r="BM333" s="37">
        <v>0</v>
      </c>
      <c r="BN333" s="37">
        <v>0</v>
      </c>
      <c r="BO333" s="37">
        <v>0</v>
      </c>
      <c r="BP333" s="37">
        <v>2452604</v>
      </c>
      <c r="BQ333" s="37">
        <v>6999</v>
      </c>
      <c r="BR333" s="37">
        <v>4675800</v>
      </c>
      <c r="BS333" s="37">
        <v>0</v>
      </c>
      <c r="BT333" s="37">
        <v>0</v>
      </c>
      <c r="BU333" s="37">
        <v>0</v>
      </c>
      <c r="BV333" s="37">
        <v>0</v>
      </c>
      <c r="BW333" s="37">
        <v>0</v>
      </c>
      <c r="BX333" s="37">
        <v>0</v>
      </c>
      <c r="BY333" s="37">
        <v>0</v>
      </c>
      <c r="BZ333" s="37">
        <v>0</v>
      </c>
      <c r="CA333" s="37">
        <v>0</v>
      </c>
      <c r="CB333" s="37">
        <v>4675800</v>
      </c>
      <c r="CC333" s="37">
        <v>0</v>
      </c>
      <c r="CD333" s="37">
        <v>0</v>
      </c>
      <c r="CE333" s="37">
        <v>0</v>
      </c>
      <c r="CF333" s="37">
        <v>0</v>
      </c>
      <c r="CG333" s="37">
        <v>0</v>
      </c>
      <c r="CH333" s="37">
        <v>0</v>
      </c>
      <c r="CI333" s="37">
        <v>0</v>
      </c>
      <c r="CJ333" s="37">
        <v>0</v>
      </c>
      <c r="CK333" s="37">
        <v>0</v>
      </c>
      <c r="CL333" s="37">
        <v>0</v>
      </c>
      <c r="CM333" s="37">
        <v>0</v>
      </c>
      <c r="CN333" s="37">
        <v>0</v>
      </c>
      <c r="CO333" s="37">
        <v>0</v>
      </c>
      <c r="CP333" s="37">
        <v>0</v>
      </c>
      <c r="CQ333" s="37">
        <v>0</v>
      </c>
      <c r="CR333" s="37">
        <v>0</v>
      </c>
      <c r="CS333" s="37">
        <v>0</v>
      </c>
      <c r="CT333" s="37">
        <v>0</v>
      </c>
      <c r="CU333" s="37">
        <v>0</v>
      </c>
      <c r="CV333" s="37">
        <v>0</v>
      </c>
      <c r="CW333" s="37">
        <v>0</v>
      </c>
      <c r="CX333" s="37">
        <v>0</v>
      </c>
      <c r="CY333" s="37">
        <v>0</v>
      </c>
      <c r="CZ333" s="37">
        <v>0</v>
      </c>
      <c r="DA333" s="37">
        <v>0</v>
      </c>
      <c r="DB333" s="37">
        <v>0</v>
      </c>
      <c r="DC333" s="37">
        <v>0</v>
      </c>
      <c r="DD333" s="37">
        <v>0</v>
      </c>
      <c r="DE333" s="37">
        <v>0</v>
      </c>
      <c r="DF333" s="37">
        <v>0</v>
      </c>
      <c r="DG333" s="37">
        <v>0</v>
      </c>
      <c r="DH333" s="37">
        <v>0</v>
      </c>
      <c r="DI333" s="37">
        <v>0</v>
      </c>
      <c r="DJ333" s="37">
        <v>0</v>
      </c>
      <c r="DK333" s="37">
        <v>0</v>
      </c>
      <c r="DL333" s="37">
        <v>0</v>
      </c>
      <c r="DM333" s="37">
        <v>0</v>
      </c>
      <c r="DN333" s="37">
        <v>0</v>
      </c>
      <c r="DO333" s="37">
        <v>0</v>
      </c>
      <c r="DP333" s="37">
        <v>0</v>
      </c>
      <c r="DQ333" s="37">
        <v>0</v>
      </c>
      <c r="DR333" s="37">
        <v>0</v>
      </c>
      <c r="DS333" s="37">
        <v>0</v>
      </c>
      <c r="DT333" s="37">
        <v>0</v>
      </c>
      <c r="DU333" s="37">
        <v>0</v>
      </c>
      <c r="DV333" s="37">
        <v>0</v>
      </c>
      <c r="DW333" s="37">
        <v>0</v>
      </c>
      <c r="DX333" s="37">
        <v>0</v>
      </c>
      <c r="DY333" s="37">
        <v>0</v>
      </c>
      <c r="DZ333" s="37">
        <v>0</v>
      </c>
      <c r="EA333" s="37">
        <v>0</v>
      </c>
      <c r="EB333" s="37">
        <v>0</v>
      </c>
      <c r="EC333" s="37">
        <v>0</v>
      </c>
      <c r="ED333" s="37">
        <v>0</v>
      </c>
      <c r="EE333" s="37">
        <v>0</v>
      </c>
      <c r="EF333" s="37">
        <v>0</v>
      </c>
      <c r="EG333" s="37">
        <v>0</v>
      </c>
      <c r="EH333" s="37">
        <v>0</v>
      </c>
      <c r="EI333" s="37">
        <v>0</v>
      </c>
      <c r="EJ333" s="37">
        <v>0</v>
      </c>
      <c r="EK333" s="161" t="s">
        <v>2074</v>
      </c>
      <c r="EL333" s="294" t="s">
        <v>1124</v>
      </c>
    </row>
    <row r="334" spans="1:142" ht="15" customHeight="1" x14ac:dyDescent="0.35">
      <c r="A334" s="34"/>
      <c r="B334" s="313">
        <v>16048</v>
      </c>
      <c r="C334" s="8" t="s">
        <v>87</v>
      </c>
      <c r="D334" s="18">
        <v>3</v>
      </c>
      <c r="E334" s="155">
        <v>119364</v>
      </c>
      <c r="F334" s="36">
        <v>64985</v>
      </c>
      <c r="G334" s="37">
        <v>20414</v>
      </c>
      <c r="H334" s="37">
        <v>3874</v>
      </c>
      <c r="I334" s="37">
        <v>138958</v>
      </c>
      <c r="J334" s="37">
        <v>72697</v>
      </c>
      <c r="K334" s="37">
        <v>17904.599999999999</v>
      </c>
      <c r="L334" s="37">
        <v>9747.75</v>
      </c>
      <c r="M334" s="37">
        <v>296640.59999999998</v>
      </c>
      <c r="N334" s="37">
        <v>151303.75</v>
      </c>
      <c r="O334" s="37">
        <v>0</v>
      </c>
      <c r="P334" s="37">
        <v>0</v>
      </c>
      <c r="Q334" s="37">
        <v>139883</v>
      </c>
      <c r="R334" s="37">
        <v>73094</v>
      </c>
      <c r="S334" s="37">
        <v>0</v>
      </c>
      <c r="T334" s="37">
        <v>0</v>
      </c>
      <c r="U334" s="37">
        <v>0</v>
      </c>
      <c r="V334" s="37">
        <v>0</v>
      </c>
      <c r="W334" s="37">
        <v>156757.59999999998</v>
      </c>
      <c r="X334" s="37">
        <v>78209.75</v>
      </c>
      <c r="Y334" s="37">
        <v>0</v>
      </c>
      <c r="Z334" s="37">
        <v>0</v>
      </c>
      <c r="AA334" s="37">
        <v>296640.59999999998</v>
      </c>
      <c r="AB334" s="37">
        <v>151303.75</v>
      </c>
      <c r="AC334" s="37">
        <v>0</v>
      </c>
      <c r="AD334" s="37">
        <v>0</v>
      </c>
      <c r="AE334" s="37">
        <v>0</v>
      </c>
      <c r="AF334" s="168">
        <v>0.02</v>
      </c>
      <c r="AG334" s="37">
        <v>36413242.170000002</v>
      </c>
      <c r="AH334" s="37">
        <v>339064.84</v>
      </c>
      <c r="AI334" s="37">
        <v>342662.52</v>
      </c>
      <c r="AJ334" s="37">
        <v>336526.58</v>
      </c>
      <c r="AK334" s="37">
        <v>343257.11</v>
      </c>
      <c r="AL334" s="37">
        <v>350122.25</v>
      </c>
      <c r="AM334" s="37">
        <v>362868.13</v>
      </c>
      <c r="AN334" s="37">
        <v>364267.19</v>
      </c>
      <c r="AO334" s="37">
        <v>371552.54</v>
      </c>
      <c r="AP334" s="37">
        <v>378983.59</v>
      </c>
      <c r="AQ334" s="37">
        <v>386563.26</v>
      </c>
      <c r="AR334" s="37">
        <v>3575868.01</v>
      </c>
      <c r="AS334" s="37">
        <v>865571.18</v>
      </c>
      <c r="AT334" s="37">
        <v>457776</v>
      </c>
      <c r="AU334" s="37">
        <v>477543.6</v>
      </c>
      <c r="AV334" s="37">
        <v>0</v>
      </c>
      <c r="AW334" s="37">
        <v>0</v>
      </c>
      <c r="AX334" s="37">
        <v>0</v>
      </c>
      <c r="AY334" s="37">
        <v>0</v>
      </c>
      <c r="AZ334" s="37">
        <v>0</v>
      </c>
      <c r="BA334" s="37">
        <v>0</v>
      </c>
      <c r="BB334" s="37">
        <v>0</v>
      </c>
      <c r="BC334" s="37">
        <v>0</v>
      </c>
      <c r="BD334" s="37">
        <v>935319.6</v>
      </c>
      <c r="BE334" s="37">
        <v>19447</v>
      </c>
      <c r="BF334" s="37">
        <v>18985.805342318421</v>
      </c>
      <c r="BG334" s="37">
        <v>20464.302018364411</v>
      </c>
      <c r="BH334" s="37">
        <v>25192.461518002485</v>
      </c>
      <c r="BI334" s="37">
        <v>29920.631121314709</v>
      </c>
      <c r="BJ334" s="37">
        <v>3249.6628235920703</v>
      </c>
      <c r="BK334" s="37">
        <v>15736.142518726332</v>
      </c>
      <c r="BL334" s="37">
        <v>20464.302018364411</v>
      </c>
      <c r="BM334" s="37">
        <v>25192.461518002485</v>
      </c>
      <c r="BN334" s="37">
        <v>29920.631121314709</v>
      </c>
      <c r="BO334" s="37">
        <v>0</v>
      </c>
      <c r="BP334" s="37">
        <v>189126.40000000008</v>
      </c>
      <c r="BQ334" s="37">
        <v>0</v>
      </c>
      <c r="BR334" s="37">
        <v>6791.1710443800612</v>
      </c>
      <c r="BS334" s="37">
        <v>7320.025292832479</v>
      </c>
      <c r="BT334" s="37">
        <v>9011.2751138543736</v>
      </c>
      <c r="BU334" s="37">
        <v>10702.528548933094</v>
      </c>
      <c r="BV334" s="37">
        <v>1162.3955725694748</v>
      </c>
      <c r="BW334" s="37">
        <v>5628.7754718105798</v>
      </c>
      <c r="BX334" s="37">
        <v>7320.025292832479</v>
      </c>
      <c r="BY334" s="37">
        <v>9011.2751138543736</v>
      </c>
      <c r="BZ334" s="37">
        <v>10702.528548933094</v>
      </c>
      <c r="CA334" s="37">
        <v>0</v>
      </c>
      <c r="CB334" s="37">
        <v>67650</v>
      </c>
      <c r="CC334" s="37">
        <v>0</v>
      </c>
      <c r="CD334" s="37">
        <v>0</v>
      </c>
      <c r="CE334" s="37">
        <v>0</v>
      </c>
      <c r="CF334" s="37">
        <v>0</v>
      </c>
      <c r="CG334" s="37">
        <v>0</v>
      </c>
      <c r="CH334" s="37">
        <v>0</v>
      </c>
      <c r="CI334" s="37">
        <v>0</v>
      </c>
      <c r="CJ334" s="37">
        <v>0</v>
      </c>
      <c r="CK334" s="37">
        <v>0</v>
      </c>
      <c r="CL334" s="37">
        <v>0</v>
      </c>
      <c r="CM334" s="37">
        <v>0</v>
      </c>
      <c r="CN334" s="37">
        <v>0</v>
      </c>
      <c r="CO334" s="37">
        <v>0</v>
      </c>
      <c r="CP334" s="37">
        <v>18985.805342318421</v>
      </c>
      <c r="CQ334" s="37">
        <v>20464.302018364411</v>
      </c>
      <c r="CR334" s="37">
        <v>25192.461518002485</v>
      </c>
      <c r="CS334" s="37">
        <v>29920.631121314709</v>
      </c>
      <c r="CT334" s="37">
        <v>3249.6628235920703</v>
      </c>
      <c r="CU334" s="37">
        <v>15736.142518726332</v>
      </c>
      <c r="CV334" s="37">
        <v>20464.302018364411</v>
      </c>
      <c r="CW334" s="37">
        <v>25192.461518002485</v>
      </c>
      <c r="CX334" s="37">
        <v>29920.631121314709</v>
      </c>
      <c r="CY334" s="37">
        <v>0</v>
      </c>
      <c r="CZ334" s="37">
        <v>189126.40000000008</v>
      </c>
      <c r="DA334" s="37">
        <v>0</v>
      </c>
      <c r="DB334" s="37">
        <v>6791.1710443800612</v>
      </c>
      <c r="DC334" s="37">
        <v>7320.025292832479</v>
      </c>
      <c r="DD334" s="37">
        <v>9011.2751138543736</v>
      </c>
      <c r="DE334" s="37">
        <v>10702.528548933094</v>
      </c>
      <c r="DF334" s="37">
        <v>1162.3955725694748</v>
      </c>
      <c r="DG334" s="37">
        <v>5628.7754718105798</v>
      </c>
      <c r="DH334" s="37">
        <v>7320.025292832479</v>
      </c>
      <c r="DI334" s="37">
        <v>9011.2751138543736</v>
      </c>
      <c r="DJ334" s="37">
        <v>10702.528548933094</v>
      </c>
      <c r="DK334" s="37">
        <v>0</v>
      </c>
      <c r="DL334" s="37">
        <v>67650</v>
      </c>
      <c r="DM334" s="37">
        <v>0</v>
      </c>
      <c r="DN334" s="37">
        <v>0</v>
      </c>
      <c r="DO334" s="37">
        <v>0</v>
      </c>
      <c r="DP334" s="37">
        <v>0</v>
      </c>
      <c r="DQ334" s="37">
        <v>0</v>
      </c>
      <c r="DR334" s="37">
        <v>0</v>
      </c>
      <c r="DS334" s="37">
        <v>0</v>
      </c>
      <c r="DT334" s="37">
        <v>0</v>
      </c>
      <c r="DU334" s="37">
        <v>0</v>
      </c>
      <c r="DV334" s="37">
        <v>0</v>
      </c>
      <c r="DW334" s="37">
        <v>0</v>
      </c>
      <c r="DX334" s="37">
        <v>0</v>
      </c>
      <c r="DY334" s="37">
        <v>0</v>
      </c>
      <c r="DZ334" s="37">
        <v>0</v>
      </c>
      <c r="EA334" s="37">
        <v>0</v>
      </c>
      <c r="EB334" s="37">
        <v>0</v>
      </c>
      <c r="EC334" s="37">
        <v>0</v>
      </c>
      <c r="ED334" s="37">
        <v>0</v>
      </c>
      <c r="EE334" s="37">
        <v>0</v>
      </c>
      <c r="EF334" s="37">
        <v>0</v>
      </c>
      <c r="EG334" s="37">
        <v>0</v>
      </c>
      <c r="EH334" s="37">
        <v>0</v>
      </c>
      <c r="EI334" s="37">
        <v>0</v>
      </c>
      <c r="EJ334" s="37">
        <v>0</v>
      </c>
      <c r="EK334" s="161" t="s">
        <v>2080</v>
      </c>
      <c r="EL334" s="294" t="s">
        <v>1124</v>
      </c>
    </row>
    <row r="335" spans="1:142" ht="15" customHeight="1" x14ac:dyDescent="0.35">
      <c r="A335" s="34"/>
      <c r="B335" s="313">
        <v>95025</v>
      </c>
      <c r="C335" s="8" t="s">
        <v>989</v>
      </c>
      <c r="D335" s="18">
        <v>9</v>
      </c>
      <c r="E335" s="155"/>
      <c r="F335" s="36"/>
      <c r="G335" s="37"/>
      <c r="H335" s="37"/>
      <c r="I335" s="37"/>
      <c r="J335" s="37"/>
      <c r="K335" s="37"/>
      <c r="L335" s="37"/>
      <c r="M335" s="37" t="s">
        <v>1124</v>
      </c>
      <c r="N335" s="37" t="s">
        <v>1124</v>
      </c>
      <c r="O335" s="37"/>
      <c r="P335" s="37"/>
      <c r="Q335" s="37"/>
      <c r="R335" s="37"/>
      <c r="S335" s="37"/>
      <c r="T335" s="37"/>
      <c r="U335" s="37"/>
      <c r="V335" s="37"/>
      <c r="W335" s="37"/>
      <c r="X335" s="37"/>
      <c r="Y335" s="37"/>
      <c r="Z335" s="37"/>
      <c r="AA335" s="37" t="s">
        <v>1124</v>
      </c>
      <c r="AB335" s="37" t="s">
        <v>1124</v>
      </c>
      <c r="AC335" s="37"/>
      <c r="AD335" s="37"/>
      <c r="AE335" s="37"/>
      <c r="AF335" s="168"/>
      <c r="AG335" s="37"/>
      <c r="AH335" s="37"/>
      <c r="AI335" s="37"/>
      <c r="AJ335" s="37"/>
      <c r="AK335" s="37"/>
      <c r="AL335" s="37"/>
      <c r="AM335" s="37"/>
      <c r="AN335" s="37"/>
      <c r="AO335" s="37"/>
      <c r="AP335" s="37"/>
      <c r="AQ335" s="37"/>
      <c r="AR335" s="37" t="s">
        <v>1124</v>
      </c>
      <c r="AS335" s="37"/>
      <c r="AT335" s="37"/>
      <c r="AU335" s="37"/>
      <c r="AV335" s="37"/>
      <c r="AW335" s="37"/>
      <c r="AX335" s="37"/>
      <c r="AY335" s="37"/>
      <c r="AZ335" s="37"/>
      <c r="BA335" s="37"/>
      <c r="BB335" s="37"/>
      <c r="BC335" s="37"/>
      <c r="BD335" s="37" t="s">
        <v>1124</v>
      </c>
      <c r="BE335" s="37"/>
      <c r="BF335" s="37"/>
      <c r="BG335" s="37"/>
      <c r="BH335" s="37"/>
      <c r="BI335" s="37"/>
      <c r="BJ335" s="37"/>
      <c r="BK335" s="37"/>
      <c r="BL335" s="37"/>
      <c r="BM335" s="37"/>
      <c r="BN335" s="37"/>
      <c r="BO335" s="37"/>
      <c r="BP335" s="37">
        <v>0</v>
      </c>
      <c r="BQ335" s="37"/>
      <c r="BR335" s="37"/>
      <c r="BS335" s="37"/>
      <c r="BT335" s="37"/>
      <c r="BU335" s="37"/>
      <c r="BV335" s="37"/>
      <c r="BW335" s="37"/>
      <c r="BX335" s="37"/>
      <c r="BY335" s="37"/>
      <c r="BZ335" s="37"/>
      <c r="CA335" s="37"/>
      <c r="CB335" s="37" t="s">
        <v>1124</v>
      </c>
      <c r="CC335" s="37"/>
      <c r="CD335" s="37"/>
      <c r="CE335" s="37"/>
      <c r="CF335" s="37"/>
      <c r="CG335" s="37"/>
      <c r="CH335" s="37"/>
      <c r="CI335" s="37"/>
      <c r="CJ335" s="37"/>
      <c r="CK335" s="37"/>
      <c r="CL335" s="37"/>
      <c r="CM335" s="37"/>
      <c r="CN335" s="37" t="s">
        <v>1124</v>
      </c>
      <c r="CO335" s="37"/>
      <c r="CP335" s="37"/>
      <c r="CQ335" s="37"/>
      <c r="CR335" s="37"/>
      <c r="CS335" s="37"/>
      <c r="CT335" s="37"/>
      <c r="CU335" s="37"/>
      <c r="CV335" s="37"/>
      <c r="CW335" s="37"/>
      <c r="CX335" s="37"/>
      <c r="CY335" s="37"/>
      <c r="CZ335" s="37" t="s">
        <v>1124</v>
      </c>
      <c r="DA335" s="37"/>
      <c r="DB335" s="37"/>
      <c r="DC335" s="37"/>
      <c r="DD335" s="37"/>
      <c r="DE335" s="37"/>
      <c r="DF335" s="37"/>
      <c r="DG335" s="37"/>
      <c r="DH335" s="37"/>
      <c r="DI335" s="37"/>
      <c r="DJ335" s="37"/>
      <c r="DK335" s="37"/>
      <c r="DL335" s="37" t="s">
        <v>1124</v>
      </c>
      <c r="DM335" s="37"/>
      <c r="DN335" s="37"/>
      <c r="DO335" s="37"/>
      <c r="DP335" s="37"/>
      <c r="DQ335" s="37"/>
      <c r="DR335" s="37"/>
      <c r="DS335" s="37"/>
      <c r="DT335" s="37"/>
      <c r="DU335" s="37"/>
      <c r="DV335" s="37"/>
      <c r="DW335" s="37"/>
      <c r="DX335" s="37" t="s">
        <v>1124</v>
      </c>
      <c r="DY335" s="37"/>
      <c r="DZ335" s="37"/>
      <c r="EA335" s="37"/>
      <c r="EB335" s="37"/>
      <c r="EC335" s="37"/>
      <c r="ED335" s="37"/>
      <c r="EE335" s="37"/>
      <c r="EF335" s="37"/>
      <c r="EG335" s="37"/>
      <c r="EH335" s="37"/>
      <c r="EI335" s="37"/>
      <c r="EJ335" s="37" t="s">
        <v>1124</v>
      </c>
      <c r="EK335" s="161"/>
      <c r="EL335" s="294"/>
    </row>
    <row r="336" spans="1:142" ht="15" customHeight="1" x14ac:dyDescent="0.35">
      <c r="A336" s="34"/>
      <c r="B336" s="313">
        <v>9015</v>
      </c>
      <c r="C336" s="8" t="s">
        <v>1099</v>
      </c>
      <c r="D336" s="18">
        <v>1</v>
      </c>
      <c r="E336" s="155"/>
      <c r="F336" s="36"/>
      <c r="G336" s="37"/>
      <c r="H336" s="37"/>
      <c r="I336" s="37"/>
      <c r="J336" s="37"/>
      <c r="K336" s="37"/>
      <c r="L336" s="37"/>
      <c r="M336" s="37" t="s">
        <v>1124</v>
      </c>
      <c r="N336" s="37" t="s">
        <v>1124</v>
      </c>
      <c r="O336" s="37"/>
      <c r="P336" s="37"/>
      <c r="Q336" s="37"/>
      <c r="R336" s="37"/>
      <c r="S336" s="37"/>
      <c r="T336" s="37"/>
      <c r="U336" s="37"/>
      <c r="V336" s="37"/>
      <c r="W336" s="37"/>
      <c r="X336" s="37"/>
      <c r="Y336" s="37"/>
      <c r="Z336" s="37"/>
      <c r="AA336" s="37" t="s">
        <v>1124</v>
      </c>
      <c r="AB336" s="37" t="s">
        <v>1124</v>
      </c>
      <c r="AC336" s="37"/>
      <c r="AD336" s="37"/>
      <c r="AE336" s="37"/>
      <c r="AF336" s="168"/>
      <c r="AG336" s="37"/>
      <c r="AH336" s="37"/>
      <c r="AI336" s="37"/>
      <c r="AJ336" s="37"/>
      <c r="AK336" s="37"/>
      <c r="AL336" s="37"/>
      <c r="AM336" s="37"/>
      <c r="AN336" s="37"/>
      <c r="AO336" s="37"/>
      <c r="AP336" s="37"/>
      <c r="AQ336" s="37"/>
      <c r="AR336" s="37" t="s">
        <v>1124</v>
      </c>
      <c r="AS336" s="37"/>
      <c r="AT336" s="37"/>
      <c r="AU336" s="37"/>
      <c r="AV336" s="37"/>
      <c r="AW336" s="37"/>
      <c r="AX336" s="37"/>
      <c r="AY336" s="37"/>
      <c r="AZ336" s="37"/>
      <c r="BA336" s="37"/>
      <c r="BB336" s="37"/>
      <c r="BC336" s="37"/>
      <c r="BD336" s="37" t="s">
        <v>1124</v>
      </c>
      <c r="BE336" s="37"/>
      <c r="BF336" s="37"/>
      <c r="BG336" s="37"/>
      <c r="BH336" s="37"/>
      <c r="BI336" s="37"/>
      <c r="BJ336" s="37"/>
      <c r="BK336" s="37"/>
      <c r="BL336" s="37"/>
      <c r="BM336" s="37"/>
      <c r="BN336" s="37"/>
      <c r="BO336" s="37"/>
      <c r="BP336" s="37">
        <v>0</v>
      </c>
      <c r="BQ336" s="37"/>
      <c r="BR336" s="37"/>
      <c r="BS336" s="37"/>
      <c r="BT336" s="37"/>
      <c r="BU336" s="37"/>
      <c r="BV336" s="37"/>
      <c r="BW336" s="37"/>
      <c r="BX336" s="37"/>
      <c r="BY336" s="37"/>
      <c r="BZ336" s="37"/>
      <c r="CA336" s="37"/>
      <c r="CB336" s="37" t="s">
        <v>1124</v>
      </c>
      <c r="CC336" s="37"/>
      <c r="CD336" s="37"/>
      <c r="CE336" s="37"/>
      <c r="CF336" s="37"/>
      <c r="CG336" s="37"/>
      <c r="CH336" s="37"/>
      <c r="CI336" s="37"/>
      <c r="CJ336" s="37"/>
      <c r="CK336" s="37"/>
      <c r="CL336" s="37"/>
      <c r="CM336" s="37"/>
      <c r="CN336" s="37" t="s">
        <v>1124</v>
      </c>
      <c r="CO336" s="37"/>
      <c r="CP336" s="37"/>
      <c r="CQ336" s="37"/>
      <c r="CR336" s="37"/>
      <c r="CS336" s="37"/>
      <c r="CT336" s="37"/>
      <c r="CU336" s="37"/>
      <c r="CV336" s="37"/>
      <c r="CW336" s="37"/>
      <c r="CX336" s="37"/>
      <c r="CY336" s="37"/>
      <c r="CZ336" s="37" t="s">
        <v>1124</v>
      </c>
      <c r="DA336" s="37"/>
      <c r="DB336" s="37"/>
      <c r="DC336" s="37"/>
      <c r="DD336" s="37"/>
      <c r="DE336" s="37"/>
      <c r="DF336" s="37"/>
      <c r="DG336" s="37"/>
      <c r="DH336" s="37"/>
      <c r="DI336" s="37"/>
      <c r="DJ336" s="37"/>
      <c r="DK336" s="37"/>
      <c r="DL336" s="37" t="s">
        <v>1124</v>
      </c>
      <c r="DM336" s="37"/>
      <c r="DN336" s="37"/>
      <c r="DO336" s="37"/>
      <c r="DP336" s="37"/>
      <c r="DQ336" s="37"/>
      <c r="DR336" s="37"/>
      <c r="DS336" s="37"/>
      <c r="DT336" s="37"/>
      <c r="DU336" s="37"/>
      <c r="DV336" s="37"/>
      <c r="DW336" s="37"/>
      <c r="DX336" s="37" t="s">
        <v>1124</v>
      </c>
      <c r="DY336" s="37"/>
      <c r="DZ336" s="37"/>
      <c r="EA336" s="37"/>
      <c r="EB336" s="37"/>
      <c r="EC336" s="37"/>
      <c r="ED336" s="37"/>
      <c r="EE336" s="37"/>
      <c r="EF336" s="37"/>
      <c r="EG336" s="37"/>
      <c r="EH336" s="37"/>
      <c r="EI336" s="37"/>
      <c r="EJ336" s="37" t="s">
        <v>1124</v>
      </c>
      <c r="EK336" s="161"/>
      <c r="EL336" s="294"/>
    </row>
    <row r="337" spans="1:142" ht="15" customHeight="1" x14ac:dyDescent="0.35">
      <c r="A337" s="34"/>
      <c r="B337" s="313">
        <v>1023</v>
      </c>
      <c r="C337" s="8" t="s">
        <v>1024</v>
      </c>
      <c r="D337" s="18">
        <v>11</v>
      </c>
      <c r="E337" s="155"/>
      <c r="F337" s="36"/>
      <c r="G337" s="37"/>
      <c r="H337" s="37"/>
      <c r="I337" s="37"/>
      <c r="J337" s="37"/>
      <c r="K337" s="37"/>
      <c r="L337" s="37"/>
      <c r="M337" s="37" t="s">
        <v>1124</v>
      </c>
      <c r="N337" s="37" t="s">
        <v>1124</v>
      </c>
      <c r="O337" s="37"/>
      <c r="P337" s="37"/>
      <c r="Q337" s="37"/>
      <c r="R337" s="37"/>
      <c r="S337" s="37"/>
      <c r="T337" s="37"/>
      <c r="U337" s="37"/>
      <c r="V337" s="37"/>
      <c r="W337" s="37"/>
      <c r="X337" s="37"/>
      <c r="Y337" s="37"/>
      <c r="Z337" s="37"/>
      <c r="AA337" s="37" t="s">
        <v>1124</v>
      </c>
      <c r="AB337" s="37" t="s">
        <v>1124</v>
      </c>
      <c r="AC337" s="37"/>
      <c r="AD337" s="37"/>
      <c r="AE337" s="37"/>
      <c r="AF337" s="168"/>
      <c r="AG337" s="37"/>
      <c r="AH337" s="37"/>
      <c r="AI337" s="37"/>
      <c r="AJ337" s="37"/>
      <c r="AK337" s="37"/>
      <c r="AL337" s="37"/>
      <c r="AM337" s="37"/>
      <c r="AN337" s="37"/>
      <c r="AO337" s="37"/>
      <c r="AP337" s="37"/>
      <c r="AQ337" s="37"/>
      <c r="AR337" s="37" t="s">
        <v>1124</v>
      </c>
      <c r="AS337" s="37"/>
      <c r="AT337" s="37"/>
      <c r="AU337" s="37"/>
      <c r="AV337" s="37"/>
      <c r="AW337" s="37"/>
      <c r="AX337" s="37"/>
      <c r="AY337" s="37"/>
      <c r="AZ337" s="37"/>
      <c r="BA337" s="37"/>
      <c r="BB337" s="37"/>
      <c r="BC337" s="37"/>
      <c r="BD337" s="37" t="s">
        <v>1124</v>
      </c>
      <c r="BE337" s="37"/>
      <c r="BF337" s="37"/>
      <c r="BG337" s="37"/>
      <c r="BH337" s="37"/>
      <c r="BI337" s="37"/>
      <c r="BJ337" s="37"/>
      <c r="BK337" s="37"/>
      <c r="BL337" s="37"/>
      <c r="BM337" s="37"/>
      <c r="BN337" s="37"/>
      <c r="BO337" s="37"/>
      <c r="BP337" s="37">
        <v>0</v>
      </c>
      <c r="BQ337" s="37"/>
      <c r="BR337" s="37"/>
      <c r="BS337" s="37"/>
      <c r="BT337" s="37"/>
      <c r="BU337" s="37"/>
      <c r="BV337" s="37"/>
      <c r="BW337" s="37"/>
      <c r="BX337" s="37"/>
      <c r="BY337" s="37"/>
      <c r="BZ337" s="37"/>
      <c r="CA337" s="37"/>
      <c r="CB337" s="37" t="s">
        <v>1124</v>
      </c>
      <c r="CC337" s="37"/>
      <c r="CD337" s="37"/>
      <c r="CE337" s="37"/>
      <c r="CF337" s="37"/>
      <c r="CG337" s="37"/>
      <c r="CH337" s="37"/>
      <c r="CI337" s="37"/>
      <c r="CJ337" s="37"/>
      <c r="CK337" s="37"/>
      <c r="CL337" s="37"/>
      <c r="CM337" s="37"/>
      <c r="CN337" s="37" t="s">
        <v>1124</v>
      </c>
      <c r="CO337" s="37"/>
      <c r="CP337" s="37"/>
      <c r="CQ337" s="37"/>
      <c r="CR337" s="37"/>
      <c r="CS337" s="37"/>
      <c r="CT337" s="37"/>
      <c r="CU337" s="37"/>
      <c r="CV337" s="37"/>
      <c r="CW337" s="37"/>
      <c r="CX337" s="37"/>
      <c r="CY337" s="37"/>
      <c r="CZ337" s="37" t="s">
        <v>1124</v>
      </c>
      <c r="DA337" s="37"/>
      <c r="DB337" s="37"/>
      <c r="DC337" s="37"/>
      <c r="DD337" s="37"/>
      <c r="DE337" s="37"/>
      <c r="DF337" s="37"/>
      <c r="DG337" s="37"/>
      <c r="DH337" s="37"/>
      <c r="DI337" s="37"/>
      <c r="DJ337" s="37"/>
      <c r="DK337" s="37"/>
      <c r="DL337" s="37" t="s">
        <v>1124</v>
      </c>
      <c r="DM337" s="37"/>
      <c r="DN337" s="37"/>
      <c r="DO337" s="37"/>
      <c r="DP337" s="37"/>
      <c r="DQ337" s="37"/>
      <c r="DR337" s="37"/>
      <c r="DS337" s="37"/>
      <c r="DT337" s="37"/>
      <c r="DU337" s="37"/>
      <c r="DV337" s="37"/>
      <c r="DW337" s="37"/>
      <c r="DX337" s="37" t="s">
        <v>1124</v>
      </c>
      <c r="DY337" s="37"/>
      <c r="DZ337" s="37"/>
      <c r="EA337" s="37"/>
      <c r="EB337" s="37"/>
      <c r="EC337" s="37"/>
      <c r="ED337" s="37"/>
      <c r="EE337" s="37"/>
      <c r="EF337" s="37"/>
      <c r="EG337" s="37"/>
      <c r="EH337" s="37"/>
      <c r="EI337" s="37"/>
      <c r="EJ337" s="37" t="s">
        <v>1124</v>
      </c>
      <c r="EK337" s="161"/>
      <c r="EL337" s="294"/>
    </row>
    <row r="338" spans="1:142" ht="15" customHeight="1" x14ac:dyDescent="0.35">
      <c r="A338" s="34"/>
      <c r="B338" s="313">
        <v>8005</v>
      </c>
      <c r="C338" s="8" t="s">
        <v>1086</v>
      </c>
      <c r="D338" s="18">
        <v>1</v>
      </c>
      <c r="E338" s="155">
        <v>331837</v>
      </c>
      <c r="F338" s="36">
        <v>35026</v>
      </c>
      <c r="G338" s="37">
        <v>64491</v>
      </c>
      <c r="H338" s="37">
        <v>2575</v>
      </c>
      <c r="I338" s="37">
        <v>667024</v>
      </c>
      <c r="J338" s="37">
        <v>26634</v>
      </c>
      <c r="K338" s="37">
        <v>163498</v>
      </c>
      <c r="L338" s="37">
        <v>5640</v>
      </c>
      <c r="M338" s="37">
        <v>1226850</v>
      </c>
      <c r="N338" s="37">
        <v>69875</v>
      </c>
      <c r="O338" s="37">
        <v>29962</v>
      </c>
      <c r="P338" s="37">
        <v>0</v>
      </c>
      <c r="Q338" s="37">
        <v>218354</v>
      </c>
      <c r="R338" s="37">
        <v>39832</v>
      </c>
      <c r="S338" s="37">
        <v>0</v>
      </c>
      <c r="T338" s="37">
        <v>0</v>
      </c>
      <c r="U338" s="37">
        <v>217967</v>
      </c>
      <c r="V338" s="37">
        <v>558428</v>
      </c>
      <c r="W338" s="37">
        <v>100050</v>
      </c>
      <c r="X338" s="37">
        <v>132132</v>
      </c>
      <c r="Y338" s="37">
        <v>0</v>
      </c>
      <c r="Z338" s="37">
        <v>0</v>
      </c>
      <c r="AA338" s="37">
        <v>566333</v>
      </c>
      <c r="AB338" s="37">
        <v>730392</v>
      </c>
      <c r="AC338" s="37">
        <v>0</v>
      </c>
      <c r="AD338" s="37">
        <v>0</v>
      </c>
      <c r="AE338" s="37">
        <v>182</v>
      </c>
      <c r="AF338" s="168">
        <v>0.02</v>
      </c>
      <c r="AG338" s="37">
        <v>33620729.640000001</v>
      </c>
      <c r="AH338" s="37">
        <v>207675.06</v>
      </c>
      <c r="AI338" s="37">
        <v>211828.56</v>
      </c>
      <c r="AJ338" s="37">
        <v>216065.13</v>
      </c>
      <c r="AK338" s="37">
        <v>220386.44</v>
      </c>
      <c r="AL338" s="37">
        <v>224794.16</v>
      </c>
      <c r="AM338" s="37">
        <v>229290.05</v>
      </c>
      <c r="AN338" s="37">
        <v>233875.85</v>
      </c>
      <c r="AO338" s="37">
        <v>238553.37</v>
      </c>
      <c r="AP338" s="37">
        <v>243324.43</v>
      </c>
      <c r="AQ338" s="37">
        <v>248190.92</v>
      </c>
      <c r="AR338" s="37">
        <v>2273983.9700000002</v>
      </c>
      <c r="AS338" s="37">
        <v>2051063.94</v>
      </c>
      <c r="AT338" s="37">
        <v>0</v>
      </c>
      <c r="AU338" s="37">
        <v>0</v>
      </c>
      <c r="AV338" s="37">
        <v>0</v>
      </c>
      <c r="AW338" s="37">
        <v>0</v>
      </c>
      <c r="AX338" s="37">
        <v>0</v>
      </c>
      <c r="AY338" s="37">
        <v>0</v>
      </c>
      <c r="AZ338" s="37">
        <v>0</v>
      </c>
      <c r="BA338" s="37">
        <v>0</v>
      </c>
      <c r="BB338" s="37">
        <v>0</v>
      </c>
      <c r="BC338" s="37">
        <v>0</v>
      </c>
      <c r="BD338" s="37">
        <v>0</v>
      </c>
      <c r="BE338" s="37">
        <v>558428</v>
      </c>
      <c r="BF338" s="37">
        <v>612872</v>
      </c>
      <c r="BG338" s="37">
        <v>0</v>
      </c>
      <c r="BH338" s="37">
        <v>0</v>
      </c>
      <c r="BI338" s="37">
        <v>0</v>
      </c>
      <c r="BJ338" s="37">
        <v>0</v>
      </c>
      <c r="BK338" s="37">
        <v>0</v>
      </c>
      <c r="BL338" s="37">
        <v>0</v>
      </c>
      <c r="BM338" s="37">
        <v>0</v>
      </c>
      <c r="BN338" s="37">
        <v>0</v>
      </c>
      <c r="BO338" s="37">
        <v>0</v>
      </c>
      <c r="BP338" s="37">
        <v>612872</v>
      </c>
      <c r="BQ338" s="37">
        <v>0</v>
      </c>
      <c r="BR338" s="37">
        <v>0</v>
      </c>
      <c r="BS338" s="37">
        <v>0</v>
      </c>
      <c r="BT338" s="37">
        <v>0</v>
      </c>
      <c r="BU338" s="37">
        <v>0</v>
      </c>
      <c r="BV338" s="37">
        <v>0</v>
      </c>
      <c r="BW338" s="37">
        <v>0</v>
      </c>
      <c r="BX338" s="37">
        <v>0</v>
      </c>
      <c r="BY338" s="37">
        <v>0</v>
      </c>
      <c r="BZ338" s="37">
        <v>0</v>
      </c>
      <c r="CA338" s="37">
        <v>0</v>
      </c>
      <c r="CB338" s="37">
        <v>0</v>
      </c>
      <c r="CC338" s="37">
        <v>0</v>
      </c>
      <c r="CD338" s="37">
        <v>0</v>
      </c>
      <c r="CE338" s="37">
        <v>0</v>
      </c>
      <c r="CF338" s="37">
        <v>0</v>
      </c>
      <c r="CG338" s="37">
        <v>0</v>
      </c>
      <c r="CH338" s="37">
        <v>0</v>
      </c>
      <c r="CI338" s="37">
        <v>0</v>
      </c>
      <c r="CJ338" s="37">
        <v>0</v>
      </c>
      <c r="CK338" s="37">
        <v>0</v>
      </c>
      <c r="CL338" s="37">
        <v>0</v>
      </c>
      <c r="CM338" s="37">
        <v>0</v>
      </c>
      <c r="CN338" s="37">
        <v>0</v>
      </c>
      <c r="CO338" s="37">
        <v>0</v>
      </c>
      <c r="CP338" s="37">
        <v>0</v>
      </c>
      <c r="CQ338" s="37">
        <v>0</v>
      </c>
      <c r="CR338" s="37">
        <v>0</v>
      </c>
      <c r="CS338" s="37">
        <v>0</v>
      </c>
      <c r="CT338" s="37">
        <v>0</v>
      </c>
      <c r="CU338" s="37">
        <v>0</v>
      </c>
      <c r="CV338" s="37">
        <v>0</v>
      </c>
      <c r="CW338" s="37">
        <v>0</v>
      </c>
      <c r="CX338" s="37">
        <v>0</v>
      </c>
      <c r="CY338" s="37">
        <v>0</v>
      </c>
      <c r="CZ338" s="37">
        <v>0</v>
      </c>
      <c r="DA338" s="37">
        <v>0</v>
      </c>
      <c r="DB338" s="37">
        <v>0</v>
      </c>
      <c r="DC338" s="37">
        <v>0</v>
      </c>
      <c r="DD338" s="37">
        <v>0</v>
      </c>
      <c r="DE338" s="37">
        <v>0</v>
      </c>
      <c r="DF338" s="37">
        <v>0</v>
      </c>
      <c r="DG338" s="37">
        <v>0</v>
      </c>
      <c r="DH338" s="37">
        <v>0</v>
      </c>
      <c r="DI338" s="37">
        <v>0</v>
      </c>
      <c r="DJ338" s="37">
        <v>0</v>
      </c>
      <c r="DK338" s="37">
        <v>0</v>
      </c>
      <c r="DL338" s="37">
        <v>0</v>
      </c>
      <c r="DM338" s="37">
        <v>0</v>
      </c>
      <c r="DN338" s="37">
        <v>0</v>
      </c>
      <c r="DO338" s="37">
        <v>0</v>
      </c>
      <c r="DP338" s="37">
        <v>0</v>
      </c>
      <c r="DQ338" s="37">
        <v>0</v>
      </c>
      <c r="DR338" s="37">
        <v>0</v>
      </c>
      <c r="DS338" s="37">
        <v>0</v>
      </c>
      <c r="DT338" s="37">
        <v>0</v>
      </c>
      <c r="DU338" s="37">
        <v>0</v>
      </c>
      <c r="DV338" s="37">
        <v>0</v>
      </c>
      <c r="DW338" s="37">
        <v>0</v>
      </c>
      <c r="DX338" s="37">
        <v>0</v>
      </c>
      <c r="DY338" s="37">
        <v>0</v>
      </c>
      <c r="DZ338" s="37">
        <v>0</v>
      </c>
      <c r="EA338" s="37">
        <v>0</v>
      </c>
      <c r="EB338" s="37">
        <v>0</v>
      </c>
      <c r="EC338" s="37">
        <v>0</v>
      </c>
      <c r="ED338" s="37">
        <v>0</v>
      </c>
      <c r="EE338" s="37">
        <v>0</v>
      </c>
      <c r="EF338" s="37">
        <v>0</v>
      </c>
      <c r="EG338" s="37">
        <v>0</v>
      </c>
      <c r="EH338" s="37">
        <v>0</v>
      </c>
      <c r="EI338" s="37">
        <v>0</v>
      </c>
      <c r="EJ338" s="37">
        <v>0</v>
      </c>
      <c r="EK338" s="161" t="s">
        <v>2085</v>
      </c>
      <c r="EL338" s="294" t="s">
        <v>1124</v>
      </c>
    </row>
    <row r="339" spans="1:142" ht="15" customHeight="1" x14ac:dyDescent="0.35">
      <c r="A339" s="34"/>
      <c r="B339" s="313">
        <v>25213</v>
      </c>
      <c r="C339" s="8" t="s">
        <v>166</v>
      </c>
      <c r="D339" s="18">
        <v>12</v>
      </c>
      <c r="E339" s="155">
        <v>14178066</v>
      </c>
      <c r="F339" s="36">
        <v>9797856</v>
      </c>
      <c r="G339" s="37">
        <v>2076473</v>
      </c>
      <c r="H339" s="37">
        <v>2336042</v>
      </c>
      <c r="I339" s="37">
        <v>5192389.3600000003</v>
      </c>
      <c r="J339" s="37">
        <v>6316183.5899999999</v>
      </c>
      <c r="K339" s="37">
        <v>2126710</v>
      </c>
      <c r="L339" s="37">
        <v>1469678</v>
      </c>
      <c r="M339" s="37">
        <v>23573638.359999999</v>
      </c>
      <c r="N339" s="37">
        <v>19919759.59</v>
      </c>
      <c r="O339" s="37">
        <v>1349250</v>
      </c>
      <c r="P339" s="37">
        <v>833834</v>
      </c>
      <c r="Q339" s="37">
        <v>11328186</v>
      </c>
      <c r="R339" s="37">
        <v>8054242</v>
      </c>
      <c r="S339" s="37">
        <v>624103</v>
      </c>
      <c r="T339" s="37">
        <v>624104</v>
      </c>
      <c r="U339" s="37">
        <v>540207</v>
      </c>
      <c r="V339" s="37">
        <v>126836</v>
      </c>
      <c r="W339" s="37">
        <v>9731892</v>
      </c>
      <c r="X339" s="37">
        <v>10280744</v>
      </c>
      <c r="Y339" s="37">
        <v>0</v>
      </c>
      <c r="Z339" s="37">
        <v>0</v>
      </c>
      <c r="AA339" s="37">
        <v>23573638</v>
      </c>
      <c r="AB339" s="37">
        <v>19919760</v>
      </c>
      <c r="AC339" s="37">
        <v>0</v>
      </c>
      <c r="AD339" s="37">
        <v>0</v>
      </c>
      <c r="AE339" s="37">
        <v>0</v>
      </c>
      <c r="AF339" s="168">
        <v>0.02</v>
      </c>
      <c r="AG339" s="37">
        <v>2808767379.6999998</v>
      </c>
      <c r="AH339" s="37">
        <v>26691418.579999998</v>
      </c>
      <c r="AI339" s="37">
        <v>29027178.129999999</v>
      </c>
      <c r="AJ339" s="37">
        <v>29927039.18</v>
      </c>
      <c r="AK339" s="37">
        <v>27660490.280000001</v>
      </c>
      <c r="AL339" s="37">
        <v>28213700.09</v>
      </c>
      <c r="AM339" s="37">
        <v>30749693.039999999</v>
      </c>
      <c r="AN339" s="37">
        <v>30448449.260000002</v>
      </c>
      <c r="AO339" s="37">
        <v>30299132.010000002</v>
      </c>
      <c r="AP339" s="37">
        <v>30539416.329999998</v>
      </c>
      <c r="AQ339" s="37">
        <v>31150204.66</v>
      </c>
      <c r="AR339" s="37">
        <v>294706721.56</v>
      </c>
      <c r="AS339" s="37">
        <v>98773368.719999999</v>
      </c>
      <c r="AT339" s="37">
        <v>14545200</v>
      </c>
      <c r="AU339" s="37">
        <v>14836104</v>
      </c>
      <c r="AV339" s="37">
        <v>15132826.08</v>
      </c>
      <c r="AW339" s="37">
        <v>15435482.6</v>
      </c>
      <c r="AX339" s="37">
        <v>15744192.25</v>
      </c>
      <c r="AY339" s="37">
        <v>16059076.1</v>
      </c>
      <c r="AZ339" s="37">
        <v>16380257.619999999</v>
      </c>
      <c r="BA339" s="37">
        <v>16707862.77</v>
      </c>
      <c r="BB339" s="37">
        <v>17042020.030000001</v>
      </c>
      <c r="BC339" s="37">
        <v>17382860.43</v>
      </c>
      <c r="BD339" s="37">
        <v>159265881.88</v>
      </c>
      <c r="BE339" s="37">
        <v>1957615</v>
      </c>
      <c r="BF339" s="37">
        <v>4955000</v>
      </c>
      <c r="BG339" s="37">
        <v>10281000</v>
      </c>
      <c r="BH339" s="37">
        <v>6411000</v>
      </c>
      <c r="BI339" s="37">
        <v>4901000</v>
      </c>
      <c r="BJ339" s="37">
        <v>5040000</v>
      </c>
      <c r="BK339" s="37">
        <v>5040000</v>
      </c>
      <c r="BL339" s="37">
        <v>5040000</v>
      </c>
      <c r="BM339" s="37">
        <v>5040000</v>
      </c>
      <c r="BN339" s="37">
        <v>5040000</v>
      </c>
      <c r="BO339" s="37">
        <v>5040000</v>
      </c>
      <c r="BP339" s="37">
        <v>56788000</v>
      </c>
      <c r="BQ339" s="37">
        <v>3366603</v>
      </c>
      <c r="BR339" s="37">
        <v>2935000</v>
      </c>
      <c r="BS339" s="37">
        <v>16060000</v>
      </c>
      <c r="BT339" s="37">
        <v>12102000</v>
      </c>
      <c r="BU339" s="37">
        <v>9730000</v>
      </c>
      <c r="BV339" s="37">
        <v>9000000</v>
      </c>
      <c r="BW339" s="37">
        <v>9000000</v>
      </c>
      <c r="BX339" s="37">
        <v>9000000</v>
      </c>
      <c r="BY339" s="37">
        <v>9000000</v>
      </c>
      <c r="BZ339" s="37">
        <v>9000000</v>
      </c>
      <c r="CA339" s="37">
        <v>9000000</v>
      </c>
      <c r="CB339" s="37">
        <v>94827000</v>
      </c>
      <c r="CC339" s="37">
        <v>0</v>
      </c>
      <c r="CD339" s="37">
        <v>0</v>
      </c>
      <c r="CE339" s="37">
        <v>0</v>
      </c>
      <c r="CF339" s="37">
        <v>0</v>
      </c>
      <c r="CG339" s="37">
        <v>0</v>
      </c>
      <c r="CH339" s="37">
        <v>0</v>
      </c>
      <c r="CI339" s="37">
        <v>0</v>
      </c>
      <c r="CJ339" s="37">
        <v>0</v>
      </c>
      <c r="CK339" s="37">
        <v>0</v>
      </c>
      <c r="CL339" s="37">
        <v>0</v>
      </c>
      <c r="CM339" s="37">
        <v>0</v>
      </c>
      <c r="CN339" s="37">
        <v>0</v>
      </c>
      <c r="CO339" s="37">
        <v>587285</v>
      </c>
      <c r="CP339" s="37">
        <v>0</v>
      </c>
      <c r="CQ339" s="37">
        <v>0</v>
      </c>
      <c r="CR339" s="37">
        <v>0</v>
      </c>
      <c r="CS339" s="37">
        <v>0</v>
      </c>
      <c r="CT339" s="37">
        <v>0</v>
      </c>
      <c r="CU339" s="37">
        <v>0</v>
      </c>
      <c r="CV339" s="37">
        <v>0</v>
      </c>
      <c r="CW339" s="37">
        <v>0</v>
      </c>
      <c r="CX339" s="37">
        <v>0</v>
      </c>
      <c r="CY339" s="37">
        <v>0</v>
      </c>
      <c r="CZ339" s="37">
        <v>0</v>
      </c>
      <c r="DA339" s="37">
        <v>17358005</v>
      </c>
      <c r="DB339" s="37">
        <v>0</v>
      </c>
      <c r="DC339" s="37">
        <v>4473000</v>
      </c>
      <c r="DD339" s="37">
        <v>10140000</v>
      </c>
      <c r="DE339" s="37">
        <v>7792000</v>
      </c>
      <c r="DF339" s="37">
        <v>0</v>
      </c>
      <c r="DG339" s="37">
        <v>0</v>
      </c>
      <c r="DH339" s="37">
        <v>0</v>
      </c>
      <c r="DI339" s="37">
        <v>0</v>
      </c>
      <c r="DJ339" s="37">
        <v>0</v>
      </c>
      <c r="DK339" s="37">
        <v>0</v>
      </c>
      <c r="DL339" s="37">
        <v>22405000</v>
      </c>
      <c r="DM339" s="37">
        <v>0</v>
      </c>
      <c r="DN339" s="37">
        <v>0</v>
      </c>
      <c r="DO339" s="37">
        <v>0</v>
      </c>
      <c r="DP339" s="37">
        <v>0</v>
      </c>
      <c r="DQ339" s="37">
        <v>0</v>
      </c>
      <c r="DR339" s="37">
        <v>0</v>
      </c>
      <c r="DS339" s="37">
        <v>0</v>
      </c>
      <c r="DT339" s="37">
        <v>0</v>
      </c>
      <c r="DU339" s="37">
        <v>0</v>
      </c>
      <c r="DV339" s="37">
        <v>0</v>
      </c>
      <c r="DW339" s="37">
        <v>0</v>
      </c>
      <c r="DX339" s="37">
        <v>0</v>
      </c>
      <c r="DY339" s="37">
        <v>0</v>
      </c>
      <c r="DZ339" s="37">
        <v>0</v>
      </c>
      <c r="EA339" s="37">
        <v>0</v>
      </c>
      <c r="EB339" s="37">
        <v>0</v>
      </c>
      <c r="EC339" s="37">
        <v>0</v>
      </c>
      <c r="ED339" s="37">
        <v>0</v>
      </c>
      <c r="EE339" s="37">
        <v>0</v>
      </c>
      <c r="EF339" s="37">
        <v>0</v>
      </c>
      <c r="EG339" s="37">
        <v>0</v>
      </c>
      <c r="EH339" s="37">
        <v>0</v>
      </c>
      <c r="EI339" s="37">
        <v>0</v>
      </c>
      <c r="EJ339" s="37">
        <v>0</v>
      </c>
      <c r="EK339" s="161" t="s">
        <v>2093</v>
      </c>
      <c r="EL339" s="294" t="s">
        <v>1124</v>
      </c>
    </row>
    <row r="340" spans="1:142" ht="15" customHeight="1" x14ac:dyDescent="0.35">
      <c r="A340" s="34"/>
      <c r="B340" s="313">
        <v>71095</v>
      </c>
      <c r="C340" s="8" t="s">
        <v>719</v>
      </c>
      <c r="D340" s="18">
        <v>16</v>
      </c>
      <c r="E340" s="155"/>
      <c r="F340" s="36"/>
      <c r="G340" s="37"/>
      <c r="H340" s="37"/>
      <c r="I340" s="37"/>
      <c r="J340" s="37"/>
      <c r="K340" s="37"/>
      <c r="L340" s="37"/>
      <c r="M340" s="37" t="s">
        <v>1124</v>
      </c>
      <c r="N340" s="37" t="s">
        <v>1124</v>
      </c>
      <c r="O340" s="37"/>
      <c r="P340" s="37"/>
      <c r="Q340" s="37"/>
      <c r="R340" s="37"/>
      <c r="S340" s="37"/>
      <c r="T340" s="37"/>
      <c r="U340" s="37"/>
      <c r="V340" s="37"/>
      <c r="W340" s="37"/>
      <c r="X340" s="37"/>
      <c r="Y340" s="37"/>
      <c r="Z340" s="37"/>
      <c r="AA340" s="37" t="s">
        <v>1124</v>
      </c>
      <c r="AB340" s="37" t="s">
        <v>1124</v>
      </c>
      <c r="AC340" s="37"/>
      <c r="AD340" s="37"/>
      <c r="AE340" s="37"/>
      <c r="AF340" s="168"/>
      <c r="AG340" s="37"/>
      <c r="AH340" s="37"/>
      <c r="AI340" s="37"/>
      <c r="AJ340" s="37"/>
      <c r="AK340" s="37"/>
      <c r="AL340" s="37"/>
      <c r="AM340" s="37"/>
      <c r="AN340" s="37"/>
      <c r="AO340" s="37"/>
      <c r="AP340" s="37"/>
      <c r="AQ340" s="37"/>
      <c r="AR340" s="37" t="s">
        <v>1124</v>
      </c>
      <c r="AS340" s="37"/>
      <c r="AT340" s="37"/>
      <c r="AU340" s="37"/>
      <c r="AV340" s="37"/>
      <c r="AW340" s="37"/>
      <c r="AX340" s="37"/>
      <c r="AY340" s="37"/>
      <c r="AZ340" s="37"/>
      <c r="BA340" s="37"/>
      <c r="BB340" s="37"/>
      <c r="BC340" s="37"/>
      <c r="BD340" s="37" t="s">
        <v>1124</v>
      </c>
      <c r="BE340" s="37"/>
      <c r="BF340" s="37"/>
      <c r="BG340" s="37"/>
      <c r="BH340" s="37"/>
      <c r="BI340" s="37"/>
      <c r="BJ340" s="37"/>
      <c r="BK340" s="37"/>
      <c r="BL340" s="37"/>
      <c r="BM340" s="37"/>
      <c r="BN340" s="37"/>
      <c r="BO340" s="37"/>
      <c r="BP340" s="37">
        <v>0</v>
      </c>
      <c r="BQ340" s="37"/>
      <c r="BR340" s="37"/>
      <c r="BS340" s="37"/>
      <c r="BT340" s="37"/>
      <c r="BU340" s="37"/>
      <c r="BV340" s="37"/>
      <c r="BW340" s="37"/>
      <c r="BX340" s="37"/>
      <c r="BY340" s="37"/>
      <c r="BZ340" s="37"/>
      <c r="CA340" s="37"/>
      <c r="CB340" s="37" t="s">
        <v>1124</v>
      </c>
      <c r="CC340" s="37"/>
      <c r="CD340" s="37"/>
      <c r="CE340" s="37"/>
      <c r="CF340" s="37"/>
      <c r="CG340" s="37"/>
      <c r="CH340" s="37"/>
      <c r="CI340" s="37"/>
      <c r="CJ340" s="37"/>
      <c r="CK340" s="37"/>
      <c r="CL340" s="37"/>
      <c r="CM340" s="37"/>
      <c r="CN340" s="37" t="s">
        <v>1124</v>
      </c>
      <c r="CO340" s="37"/>
      <c r="CP340" s="37"/>
      <c r="CQ340" s="37"/>
      <c r="CR340" s="37"/>
      <c r="CS340" s="37"/>
      <c r="CT340" s="37"/>
      <c r="CU340" s="37"/>
      <c r="CV340" s="37"/>
      <c r="CW340" s="37"/>
      <c r="CX340" s="37"/>
      <c r="CY340" s="37"/>
      <c r="CZ340" s="37" t="s">
        <v>1124</v>
      </c>
      <c r="DA340" s="37"/>
      <c r="DB340" s="37"/>
      <c r="DC340" s="37"/>
      <c r="DD340" s="37"/>
      <c r="DE340" s="37"/>
      <c r="DF340" s="37"/>
      <c r="DG340" s="37"/>
      <c r="DH340" s="37"/>
      <c r="DI340" s="37"/>
      <c r="DJ340" s="37"/>
      <c r="DK340" s="37"/>
      <c r="DL340" s="37" t="s">
        <v>1124</v>
      </c>
      <c r="DM340" s="37"/>
      <c r="DN340" s="37"/>
      <c r="DO340" s="37"/>
      <c r="DP340" s="37"/>
      <c r="DQ340" s="37"/>
      <c r="DR340" s="37"/>
      <c r="DS340" s="37"/>
      <c r="DT340" s="37"/>
      <c r="DU340" s="37"/>
      <c r="DV340" s="37"/>
      <c r="DW340" s="37"/>
      <c r="DX340" s="37" t="s">
        <v>1124</v>
      </c>
      <c r="DY340" s="37"/>
      <c r="DZ340" s="37"/>
      <c r="EA340" s="37"/>
      <c r="EB340" s="37"/>
      <c r="EC340" s="37"/>
      <c r="ED340" s="37"/>
      <c r="EE340" s="37"/>
      <c r="EF340" s="37"/>
      <c r="EG340" s="37"/>
      <c r="EH340" s="37"/>
      <c r="EI340" s="37"/>
      <c r="EJ340" s="37" t="s">
        <v>1124</v>
      </c>
      <c r="EK340" s="161"/>
      <c r="EL340" s="294"/>
    </row>
    <row r="341" spans="1:142" ht="15" customHeight="1" x14ac:dyDescent="0.35">
      <c r="A341" s="34"/>
      <c r="B341" s="313">
        <v>98020</v>
      </c>
      <c r="C341" s="8" t="s">
        <v>1011</v>
      </c>
      <c r="D341" s="18">
        <v>9</v>
      </c>
      <c r="E341" s="155"/>
      <c r="F341" s="36"/>
      <c r="G341" s="37"/>
      <c r="H341" s="37"/>
      <c r="I341" s="37"/>
      <c r="J341" s="37"/>
      <c r="K341" s="37"/>
      <c r="L341" s="37"/>
      <c r="M341" s="37" t="s">
        <v>1124</v>
      </c>
      <c r="N341" s="37" t="s">
        <v>1124</v>
      </c>
      <c r="O341" s="37"/>
      <c r="P341" s="37"/>
      <c r="Q341" s="37"/>
      <c r="R341" s="37"/>
      <c r="S341" s="37"/>
      <c r="T341" s="37"/>
      <c r="U341" s="37"/>
      <c r="V341" s="37"/>
      <c r="W341" s="37"/>
      <c r="X341" s="37"/>
      <c r="Y341" s="37"/>
      <c r="Z341" s="37"/>
      <c r="AA341" s="37" t="s">
        <v>1124</v>
      </c>
      <c r="AB341" s="37" t="s">
        <v>1124</v>
      </c>
      <c r="AC341" s="37"/>
      <c r="AD341" s="37"/>
      <c r="AE341" s="37"/>
      <c r="AF341" s="168"/>
      <c r="AG341" s="37"/>
      <c r="AH341" s="37"/>
      <c r="AI341" s="37"/>
      <c r="AJ341" s="37"/>
      <c r="AK341" s="37"/>
      <c r="AL341" s="37"/>
      <c r="AM341" s="37"/>
      <c r="AN341" s="37"/>
      <c r="AO341" s="37"/>
      <c r="AP341" s="37"/>
      <c r="AQ341" s="37"/>
      <c r="AR341" s="37" t="s">
        <v>1124</v>
      </c>
      <c r="AS341" s="37"/>
      <c r="AT341" s="37"/>
      <c r="AU341" s="37"/>
      <c r="AV341" s="37"/>
      <c r="AW341" s="37"/>
      <c r="AX341" s="37"/>
      <c r="AY341" s="37"/>
      <c r="AZ341" s="37"/>
      <c r="BA341" s="37"/>
      <c r="BB341" s="37"/>
      <c r="BC341" s="37"/>
      <c r="BD341" s="37" t="s">
        <v>1124</v>
      </c>
      <c r="BE341" s="37"/>
      <c r="BF341" s="37"/>
      <c r="BG341" s="37"/>
      <c r="BH341" s="37"/>
      <c r="BI341" s="37"/>
      <c r="BJ341" s="37"/>
      <c r="BK341" s="37"/>
      <c r="BL341" s="37"/>
      <c r="BM341" s="37"/>
      <c r="BN341" s="37"/>
      <c r="BO341" s="37"/>
      <c r="BP341" s="37">
        <v>0</v>
      </c>
      <c r="BQ341" s="37"/>
      <c r="BR341" s="37"/>
      <c r="BS341" s="37"/>
      <c r="BT341" s="37"/>
      <c r="BU341" s="37"/>
      <c r="BV341" s="37"/>
      <c r="BW341" s="37"/>
      <c r="BX341" s="37"/>
      <c r="BY341" s="37"/>
      <c r="BZ341" s="37"/>
      <c r="CA341" s="37"/>
      <c r="CB341" s="37" t="s">
        <v>1124</v>
      </c>
      <c r="CC341" s="37"/>
      <c r="CD341" s="37"/>
      <c r="CE341" s="37"/>
      <c r="CF341" s="37"/>
      <c r="CG341" s="37"/>
      <c r="CH341" s="37"/>
      <c r="CI341" s="37"/>
      <c r="CJ341" s="37"/>
      <c r="CK341" s="37"/>
      <c r="CL341" s="37"/>
      <c r="CM341" s="37"/>
      <c r="CN341" s="37" t="s">
        <v>1124</v>
      </c>
      <c r="CO341" s="37"/>
      <c r="CP341" s="37"/>
      <c r="CQ341" s="37"/>
      <c r="CR341" s="37"/>
      <c r="CS341" s="37"/>
      <c r="CT341" s="37"/>
      <c r="CU341" s="37"/>
      <c r="CV341" s="37"/>
      <c r="CW341" s="37"/>
      <c r="CX341" s="37"/>
      <c r="CY341" s="37"/>
      <c r="CZ341" s="37" t="s">
        <v>1124</v>
      </c>
      <c r="DA341" s="37"/>
      <c r="DB341" s="37"/>
      <c r="DC341" s="37"/>
      <c r="DD341" s="37"/>
      <c r="DE341" s="37"/>
      <c r="DF341" s="37"/>
      <c r="DG341" s="37"/>
      <c r="DH341" s="37"/>
      <c r="DI341" s="37"/>
      <c r="DJ341" s="37"/>
      <c r="DK341" s="37"/>
      <c r="DL341" s="37" t="s">
        <v>1124</v>
      </c>
      <c r="DM341" s="37"/>
      <c r="DN341" s="37"/>
      <c r="DO341" s="37"/>
      <c r="DP341" s="37"/>
      <c r="DQ341" s="37"/>
      <c r="DR341" s="37"/>
      <c r="DS341" s="37"/>
      <c r="DT341" s="37"/>
      <c r="DU341" s="37"/>
      <c r="DV341" s="37"/>
      <c r="DW341" s="37"/>
      <c r="DX341" s="37" t="s">
        <v>1124</v>
      </c>
      <c r="DY341" s="37"/>
      <c r="DZ341" s="37"/>
      <c r="EA341" s="37"/>
      <c r="EB341" s="37"/>
      <c r="EC341" s="37"/>
      <c r="ED341" s="37"/>
      <c r="EE341" s="37"/>
      <c r="EF341" s="37"/>
      <c r="EG341" s="37"/>
      <c r="EH341" s="37"/>
      <c r="EI341" s="37"/>
      <c r="EJ341" s="37" t="s">
        <v>1124</v>
      </c>
      <c r="EK341" s="161"/>
      <c r="EL341" s="294"/>
    </row>
    <row r="342" spans="1:142" ht="15" customHeight="1" x14ac:dyDescent="0.35">
      <c r="A342" s="34"/>
      <c r="B342" s="313">
        <v>66092</v>
      </c>
      <c r="C342" s="8" t="s">
        <v>655</v>
      </c>
      <c r="D342" s="18">
        <v>6</v>
      </c>
      <c r="E342" s="155"/>
      <c r="F342" s="36"/>
      <c r="G342" s="37"/>
      <c r="H342" s="37"/>
      <c r="I342" s="37"/>
      <c r="J342" s="37"/>
      <c r="K342" s="37"/>
      <c r="L342" s="37"/>
      <c r="M342" s="37" t="s">
        <v>1124</v>
      </c>
      <c r="N342" s="37" t="s">
        <v>1124</v>
      </c>
      <c r="O342" s="37"/>
      <c r="P342" s="37"/>
      <c r="Q342" s="37"/>
      <c r="R342" s="37"/>
      <c r="S342" s="37"/>
      <c r="T342" s="37"/>
      <c r="U342" s="37"/>
      <c r="V342" s="37"/>
      <c r="W342" s="37"/>
      <c r="X342" s="37"/>
      <c r="Y342" s="37"/>
      <c r="Z342" s="37"/>
      <c r="AA342" s="37" t="s">
        <v>1124</v>
      </c>
      <c r="AB342" s="37" t="s">
        <v>1124</v>
      </c>
      <c r="AC342" s="37"/>
      <c r="AD342" s="37"/>
      <c r="AE342" s="37"/>
      <c r="AF342" s="168"/>
      <c r="AG342" s="37"/>
      <c r="AH342" s="37"/>
      <c r="AI342" s="37"/>
      <c r="AJ342" s="37"/>
      <c r="AK342" s="37"/>
      <c r="AL342" s="37"/>
      <c r="AM342" s="37"/>
      <c r="AN342" s="37"/>
      <c r="AO342" s="37"/>
      <c r="AP342" s="37"/>
      <c r="AQ342" s="37"/>
      <c r="AR342" s="37" t="s">
        <v>1124</v>
      </c>
      <c r="AS342" s="37"/>
      <c r="AT342" s="37"/>
      <c r="AU342" s="37"/>
      <c r="AV342" s="37"/>
      <c r="AW342" s="37"/>
      <c r="AX342" s="37"/>
      <c r="AY342" s="37"/>
      <c r="AZ342" s="37"/>
      <c r="BA342" s="37"/>
      <c r="BB342" s="37"/>
      <c r="BC342" s="37"/>
      <c r="BD342" s="37" t="s">
        <v>1124</v>
      </c>
      <c r="BE342" s="37"/>
      <c r="BF342" s="37"/>
      <c r="BG342" s="37"/>
      <c r="BH342" s="37"/>
      <c r="BI342" s="37"/>
      <c r="BJ342" s="37"/>
      <c r="BK342" s="37"/>
      <c r="BL342" s="37"/>
      <c r="BM342" s="37"/>
      <c r="BN342" s="37"/>
      <c r="BO342" s="37"/>
      <c r="BP342" s="37">
        <v>0</v>
      </c>
      <c r="BQ342" s="37"/>
      <c r="BR342" s="37"/>
      <c r="BS342" s="37"/>
      <c r="BT342" s="37"/>
      <c r="BU342" s="37"/>
      <c r="BV342" s="37"/>
      <c r="BW342" s="37"/>
      <c r="BX342" s="37"/>
      <c r="BY342" s="37"/>
      <c r="BZ342" s="37"/>
      <c r="CA342" s="37"/>
      <c r="CB342" s="37" t="s">
        <v>1124</v>
      </c>
      <c r="CC342" s="37"/>
      <c r="CD342" s="37"/>
      <c r="CE342" s="37"/>
      <c r="CF342" s="37"/>
      <c r="CG342" s="37"/>
      <c r="CH342" s="37"/>
      <c r="CI342" s="37"/>
      <c r="CJ342" s="37"/>
      <c r="CK342" s="37"/>
      <c r="CL342" s="37"/>
      <c r="CM342" s="37"/>
      <c r="CN342" s="37" t="s">
        <v>1124</v>
      </c>
      <c r="CO342" s="37"/>
      <c r="CP342" s="37"/>
      <c r="CQ342" s="37"/>
      <c r="CR342" s="37"/>
      <c r="CS342" s="37"/>
      <c r="CT342" s="37"/>
      <c r="CU342" s="37"/>
      <c r="CV342" s="37"/>
      <c r="CW342" s="37"/>
      <c r="CX342" s="37"/>
      <c r="CY342" s="37"/>
      <c r="CZ342" s="37" t="s">
        <v>1124</v>
      </c>
      <c r="DA342" s="37"/>
      <c r="DB342" s="37"/>
      <c r="DC342" s="37"/>
      <c r="DD342" s="37"/>
      <c r="DE342" s="37"/>
      <c r="DF342" s="37"/>
      <c r="DG342" s="37"/>
      <c r="DH342" s="37"/>
      <c r="DI342" s="37"/>
      <c r="DJ342" s="37"/>
      <c r="DK342" s="37"/>
      <c r="DL342" s="37" t="s">
        <v>1124</v>
      </c>
      <c r="DM342" s="37"/>
      <c r="DN342" s="37"/>
      <c r="DO342" s="37"/>
      <c r="DP342" s="37"/>
      <c r="DQ342" s="37"/>
      <c r="DR342" s="37"/>
      <c r="DS342" s="37"/>
      <c r="DT342" s="37"/>
      <c r="DU342" s="37"/>
      <c r="DV342" s="37"/>
      <c r="DW342" s="37"/>
      <c r="DX342" s="37" t="s">
        <v>1124</v>
      </c>
      <c r="DY342" s="37"/>
      <c r="DZ342" s="37"/>
      <c r="EA342" s="37"/>
      <c r="EB342" s="37"/>
      <c r="EC342" s="37"/>
      <c r="ED342" s="37"/>
      <c r="EE342" s="37"/>
      <c r="EF342" s="37"/>
      <c r="EG342" s="37"/>
      <c r="EH342" s="37"/>
      <c r="EI342" s="37"/>
      <c r="EJ342" s="37" t="s">
        <v>1124</v>
      </c>
      <c r="EK342" s="161"/>
      <c r="EL342" s="294"/>
    </row>
    <row r="343" spans="1:142" ht="15" customHeight="1" x14ac:dyDescent="0.35">
      <c r="A343" s="34"/>
      <c r="B343" s="313">
        <v>84035</v>
      </c>
      <c r="C343" s="8" t="s">
        <v>858</v>
      </c>
      <c r="D343" s="18">
        <v>7</v>
      </c>
      <c r="E343" s="155"/>
      <c r="F343" s="36"/>
      <c r="G343" s="37"/>
      <c r="H343" s="37"/>
      <c r="I343" s="37"/>
      <c r="J343" s="37"/>
      <c r="K343" s="37"/>
      <c r="L343" s="37"/>
      <c r="M343" s="37" t="s">
        <v>1124</v>
      </c>
      <c r="N343" s="37" t="s">
        <v>1124</v>
      </c>
      <c r="O343" s="37"/>
      <c r="P343" s="37"/>
      <c r="Q343" s="37"/>
      <c r="R343" s="37"/>
      <c r="S343" s="37"/>
      <c r="T343" s="37"/>
      <c r="U343" s="37"/>
      <c r="V343" s="37"/>
      <c r="W343" s="37"/>
      <c r="X343" s="37"/>
      <c r="Y343" s="37"/>
      <c r="Z343" s="37"/>
      <c r="AA343" s="37" t="s">
        <v>1124</v>
      </c>
      <c r="AB343" s="37" t="s">
        <v>1124</v>
      </c>
      <c r="AC343" s="37"/>
      <c r="AD343" s="37"/>
      <c r="AE343" s="37"/>
      <c r="AF343" s="168"/>
      <c r="AG343" s="37"/>
      <c r="AH343" s="37"/>
      <c r="AI343" s="37"/>
      <c r="AJ343" s="37"/>
      <c r="AK343" s="37"/>
      <c r="AL343" s="37"/>
      <c r="AM343" s="37"/>
      <c r="AN343" s="37"/>
      <c r="AO343" s="37"/>
      <c r="AP343" s="37"/>
      <c r="AQ343" s="37"/>
      <c r="AR343" s="37" t="s">
        <v>1124</v>
      </c>
      <c r="AS343" s="37"/>
      <c r="AT343" s="37"/>
      <c r="AU343" s="37"/>
      <c r="AV343" s="37"/>
      <c r="AW343" s="37"/>
      <c r="AX343" s="37"/>
      <c r="AY343" s="37"/>
      <c r="AZ343" s="37"/>
      <c r="BA343" s="37"/>
      <c r="BB343" s="37"/>
      <c r="BC343" s="37"/>
      <c r="BD343" s="37" t="s">
        <v>1124</v>
      </c>
      <c r="BE343" s="37"/>
      <c r="BF343" s="37"/>
      <c r="BG343" s="37"/>
      <c r="BH343" s="37"/>
      <c r="BI343" s="37"/>
      <c r="BJ343" s="37"/>
      <c r="BK343" s="37"/>
      <c r="BL343" s="37"/>
      <c r="BM343" s="37"/>
      <c r="BN343" s="37"/>
      <c r="BO343" s="37"/>
      <c r="BP343" s="37">
        <v>0</v>
      </c>
      <c r="BQ343" s="37"/>
      <c r="BR343" s="37"/>
      <c r="BS343" s="37"/>
      <c r="BT343" s="37"/>
      <c r="BU343" s="37"/>
      <c r="BV343" s="37"/>
      <c r="BW343" s="37"/>
      <c r="BX343" s="37"/>
      <c r="BY343" s="37"/>
      <c r="BZ343" s="37"/>
      <c r="CA343" s="37"/>
      <c r="CB343" s="37" t="s">
        <v>1124</v>
      </c>
      <c r="CC343" s="37"/>
      <c r="CD343" s="37"/>
      <c r="CE343" s="37"/>
      <c r="CF343" s="37"/>
      <c r="CG343" s="37"/>
      <c r="CH343" s="37"/>
      <c r="CI343" s="37"/>
      <c r="CJ343" s="37"/>
      <c r="CK343" s="37"/>
      <c r="CL343" s="37"/>
      <c r="CM343" s="37"/>
      <c r="CN343" s="37" t="s">
        <v>1124</v>
      </c>
      <c r="CO343" s="37"/>
      <c r="CP343" s="37"/>
      <c r="CQ343" s="37"/>
      <c r="CR343" s="37"/>
      <c r="CS343" s="37"/>
      <c r="CT343" s="37"/>
      <c r="CU343" s="37"/>
      <c r="CV343" s="37"/>
      <c r="CW343" s="37"/>
      <c r="CX343" s="37"/>
      <c r="CY343" s="37"/>
      <c r="CZ343" s="37" t="s">
        <v>1124</v>
      </c>
      <c r="DA343" s="37"/>
      <c r="DB343" s="37"/>
      <c r="DC343" s="37"/>
      <c r="DD343" s="37"/>
      <c r="DE343" s="37"/>
      <c r="DF343" s="37"/>
      <c r="DG343" s="37"/>
      <c r="DH343" s="37"/>
      <c r="DI343" s="37"/>
      <c r="DJ343" s="37"/>
      <c r="DK343" s="37"/>
      <c r="DL343" s="37" t="s">
        <v>1124</v>
      </c>
      <c r="DM343" s="37"/>
      <c r="DN343" s="37"/>
      <c r="DO343" s="37"/>
      <c r="DP343" s="37"/>
      <c r="DQ343" s="37"/>
      <c r="DR343" s="37"/>
      <c r="DS343" s="37"/>
      <c r="DT343" s="37"/>
      <c r="DU343" s="37"/>
      <c r="DV343" s="37"/>
      <c r="DW343" s="37"/>
      <c r="DX343" s="37" t="s">
        <v>1124</v>
      </c>
      <c r="DY343" s="37"/>
      <c r="DZ343" s="37"/>
      <c r="EA343" s="37"/>
      <c r="EB343" s="37"/>
      <c r="EC343" s="37"/>
      <c r="ED343" s="37"/>
      <c r="EE343" s="37"/>
      <c r="EF343" s="37"/>
      <c r="EG343" s="37"/>
      <c r="EH343" s="37"/>
      <c r="EI343" s="37"/>
      <c r="EJ343" s="37" t="s">
        <v>1124</v>
      </c>
      <c r="EK343" s="161"/>
      <c r="EL343" s="294"/>
    </row>
    <row r="344" spans="1:142" ht="15" customHeight="1" x14ac:dyDescent="0.35">
      <c r="A344" s="34"/>
      <c r="B344" s="313">
        <v>71060</v>
      </c>
      <c r="C344" s="8" t="s">
        <v>713</v>
      </c>
      <c r="D344" s="18">
        <v>16</v>
      </c>
      <c r="E344" s="155"/>
      <c r="F344" s="36"/>
      <c r="G344" s="37"/>
      <c r="H344" s="37"/>
      <c r="I344" s="37"/>
      <c r="J344" s="37"/>
      <c r="K344" s="37"/>
      <c r="L344" s="37"/>
      <c r="M344" s="37" t="s">
        <v>1124</v>
      </c>
      <c r="N344" s="37" t="s">
        <v>1124</v>
      </c>
      <c r="O344" s="37"/>
      <c r="P344" s="37"/>
      <c r="Q344" s="37"/>
      <c r="R344" s="37"/>
      <c r="S344" s="37"/>
      <c r="T344" s="37"/>
      <c r="U344" s="37"/>
      <c r="V344" s="37"/>
      <c r="W344" s="37"/>
      <c r="X344" s="37"/>
      <c r="Y344" s="37"/>
      <c r="Z344" s="37"/>
      <c r="AA344" s="37" t="s">
        <v>1124</v>
      </c>
      <c r="AB344" s="37" t="s">
        <v>1124</v>
      </c>
      <c r="AC344" s="37"/>
      <c r="AD344" s="37"/>
      <c r="AE344" s="37"/>
      <c r="AF344" s="168"/>
      <c r="AG344" s="37"/>
      <c r="AH344" s="37"/>
      <c r="AI344" s="37"/>
      <c r="AJ344" s="37"/>
      <c r="AK344" s="37"/>
      <c r="AL344" s="37"/>
      <c r="AM344" s="37"/>
      <c r="AN344" s="37"/>
      <c r="AO344" s="37"/>
      <c r="AP344" s="37"/>
      <c r="AQ344" s="37"/>
      <c r="AR344" s="37" t="s">
        <v>1124</v>
      </c>
      <c r="AS344" s="37"/>
      <c r="AT344" s="37"/>
      <c r="AU344" s="37"/>
      <c r="AV344" s="37"/>
      <c r="AW344" s="37"/>
      <c r="AX344" s="37"/>
      <c r="AY344" s="37"/>
      <c r="AZ344" s="37"/>
      <c r="BA344" s="37"/>
      <c r="BB344" s="37"/>
      <c r="BC344" s="37"/>
      <c r="BD344" s="37" t="s">
        <v>1124</v>
      </c>
      <c r="BE344" s="37"/>
      <c r="BF344" s="37"/>
      <c r="BG344" s="37"/>
      <c r="BH344" s="37"/>
      <c r="BI344" s="37"/>
      <c r="BJ344" s="37"/>
      <c r="BK344" s="37"/>
      <c r="BL344" s="37"/>
      <c r="BM344" s="37"/>
      <c r="BN344" s="37"/>
      <c r="BO344" s="37"/>
      <c r="BP344" s="37">
        <v>0</v>
      </c>
      <c r="BQ344" s="37"/>
      <c r="BR344" s="37"/>
      <c r="BS344" s="37"/>
      <c r="BT344" s="37"/>
      <c r="BU344" s="37"/>
      <c r="BV344" s="37"/>
      <c r="BW344" s="37"/>
      <c r="BX344" s="37"/>
      <c r="BY344" s="37"/>
      <c r="BZ344" s="37"/>
      <c r="CA344" s="37"/>
      <c r="CB344" s="37" t="s">
        <v>1124</v>
      </c>
      <c r="CC344" s="37"/>
      <c r="CD344" s="37"/>
      <c r="CE344" s="37"/>
      <c r="CF344" s="37"/>
      <c r="CG344" s="37"/>
      <c r="CH344" s="37"/>
      <c r="CI344" s="37"/>
      <c r="CJ344" s="37"/>
      <c r="CK344" s="37"/>
      <c r="CL344" s="37"/>
      <c r="CM344" s="37"/>
      <c r="CN344" s="37" t="s">
        <v>1124</v>
      </c>
      <c r="CO344" s="37"/>
      <c r="CP344" s="37"/>
      <c r="CQ344" s="37"/>
      <c r="CR344" s="37"/>
      <c r="CS344" s="37"/>
      <c r="CT344" s="37"/>
      <c r="CU344" s="37"/>
      <c r="CV344" s="37"/>
      <c r="CW344" s="37"/>
      <c r="CX344" s="37"/>
      <c r="CY344" s="37"/>
      <c r="CZ344" s="37" t="s">
        <v>1124</v>
      </c>
      <c r="DA344" s="37"/>
      <c r="DB344" s="37"/>
      <c r="DC344" s="37"/>
      <c r="DD344" s="37"/>
      <c r="DE344" s="37"/>
      <c r="DF344" s="37"/>
      <c r="DG344" s="37"/>
      <c r="DH344" s="37"/>
      <c r="DI344" s="37"/>
      <c r="DJ344" s="37"/>
      <c r="DK344" s="37"/>
      <c r="DL344" s="37" t="s">
        <v>1124</v>
      </c>
      <c r="DM344" s="37"/>
      <c r="DN344" s="37"/>
      <c r="DO344" s="37"/>
      <c r="DP344" s="37"/>
      <c r="DQ344" s="37"/>
      <c r="DR344" s="37"/>
      <c r="DS344" s="37"/>
      <c r="DT344" s="37"/>
      <c r="DU344" s="37"/>
      <c r="DV344" s="37"/>
      <c r="DW344" s="37"/>
      <c r="DX344" s="37" t="s">
        <v>1124</v>
      </c>
      <c r="DY344" s="37"/>
      <c r="DZ344" s="37"/>
      <c r="EA344" s="37"/>
      <c r="EB344" s="37"/>
      <c r="EC344" s="37"/>
      <c r="ED344" s="37"/>
      <c r="EE344" s="37"/>
      <c r="EF344" s="37"/>
      <c r="EG344" s="37"/>
      <c r="EH344" s="37"/>
      <c r="EI344" s="37"/>
      <c r="EJ344" s="37" t="s">
        <v>1124</v>
      </c>
      <c r="EK344" s="161"/>
      <c r="EL344" s="294"/>
    </row>
    <row r="345" spans="1:142" ht="15" customHeight="1" x14ac:dyDescent="0.35">
      <c r="A345" s="34"/>
      <c r="B345" s="313">
        <v>41085</v>
      </c>
      <c r="C345" s="8" t="s">
        <v>376</v>
      </c>
      <c r="D345" s="18">
        <v>5</v>
      </c>
      <c r="E345" s="155"/>
      <c r="F345" s="36"/>
      <c r="G345" s="37"/>
      <c r="H345" s="37"/>
      <c r="I345" s="37"/>
      <c r="J345" s="37"/>
      <c r="K345" s="37"/>
      <c r="L345" s="37"/>
      <c r="M345" s="37" t="s">
        <v>1124</v>
      </c>
      <c r="N345" s="37" t="s">
        <v>1124</v>
      </c>
      <c r="O345" s="37"/>
      <c r="P345" s="37"/>
      <c r="Q345" s="37"/>
      <c r="R345" s="37"/>
      <c r="S345" s="37"/>
      <c r="T345" s="37"/>
      <c r="U345" s="37"/>
      <c r="V345" s="37"/>
      <c r="W345" s="37"/>
      <c r="X345" s="37"/>
      <c r="Y345" s="37"/>
      <c r="Z345" s="37"/>
      <c r="AA345" s="37" t="s">
        <v>1124</v>
      </c>
      <c r="AB345" s="37" t="s">
        <v>1124</v>
      </c>
      <c r="AC345" s="37"/>
      <c r="AD345" s="37"/>
      <c r="AE345" s="37"/>
      <c r="AF345" s="168"/>
      <c r="AG345" s="37"/>
      <c r="AH345" s="37"/>
      <c r="AI345" s="37"/>
      <c r="AJ345" s="37"/>
      <c r="AK345" s="37"/>
      <c r="AL345" s="37"/>
      <c r="AM345" s="37"/>
      <c r="AN345" s="37"/>
      <c r="AO345" s="37"/>
      <c r="AP345" s="37"/>
      <c r="AQ345" s="37"/>
      <c r="AR345" s="37" t="s">
        <v>1124</v>
      </c>
      <c r="AS345" s="37"/>
      <c r="AT345" s="37"/>
      <c r="AU345" s="37"/>
      <c r="AV345" s="37"/>
      <c r="AW345" s="37"/>
      <c r="AX345" s="37"/>
      <c r="AY345" s="37"/>
      <c r="AZ345" s="37"/>
      <c r="BA345" s="37"/>
      <c r="BB345" s="37"/>
      <c r="BC345" s="37"/>
      <c r="BD345" s="37" t="s">
        <v>1124</v>
      </c>
      <c r="BE345" s="37"/>
      <c r="BF345" s="37"/>
      <c r="BG345" s="37"/>
      <c r="BH345" s="37"/>
      <c r="BI345" s="37"/>
      <c r="BJ345" s="37"/>
      <c r="BK345" s="37"/>
      <c r="BL345" s="37"/>
      <c r="BM345" s="37"/>
      <c r="BN345" s="37"/>
      <c r="BO345" s="37"/>
      <c r="BP345" s="37">
        <v>0</v>
      </c>
      <c r="BQ345" s="37"/>
      <c r="BR345" s="37"/>
      <c r="BS345" s="37"/>
      <c r="BT345" s="37"/>
      <c r="BU345" s="37"/>
      <c r="BV345" s="37"/>
      <c r="BW345" s="37"/>
      <c r="BX345" s="37"/>
      <c r="BY345" s="37"/>
      <c r="BZ345" s="37"/>
      <c r="CA345" s="37"/>
      <c r="CB345" s="37" t="s">
        <v>1124</v>
      </c>
      <c r="CC345" s="37"/>
      <c r="CD345" s="37"/>
      <c r="CE345" s="37"/>
      <c r="CF345" s="37"/>
      <c r="CG345" s="37"/>
      <c r="CH345" s="37"/>
      <c r="CI345" s="37"/>
      <c r="CJ345" s="37"/>
      <c r="CK345" s="37"/>
      <c r="CL345" s="37"/>
      <c r="CM345" s="37"/>
      <c r="CN345" s="37" t="s">
        <v>1124</v>
      </c>
      <c r="CO345" s="37"/>
      <c r="CP345" s="37"/>
      <c r="CQ345" s="37"/>
      <c r="CR345" s="37"/>
      <c r="CS345" s="37"/>
      <c r="CT345" s="37"/>
      <c r="CU345" s="37"/>
      <c r="CV345" s="37"/>
      <c r="CW345" s="37"/>
      <c r="CX345" s="37"/>
      <c r="CY345" s="37"/>
      <c r="CZ345" s="37" t="s">
        <v>1124</v>
      </c>
      <c r="DA345" s="37"/>
      <c r="DB345" s="37"/>
      <c r="DC345" s="37"/>
      <c r="DD345" s="37"/>
      <c r="DE345" s="37"/>
      <c r="DF345" s="37"/>
      <c r="DG345" s="37"/>
      <c r="DH345" s="37"/>
      <c r="DI345" s="37"/>
      <c r="DJ345" s="37"/>
      <c r="DK345" s="37"/>
      <c r="DL345" s="37" t="s">
        <v>1124</v>
      </c>
      <c r="DM345" s="37"/>
      <c r="DN345" s="37"/>
      <c r="DO345" s="37"/>
      <c r="DP345" s="37"/>
      <c r="DQ345" s="37"/>
      <c r="DR345" s="37"/>
      <c r="DS345" s="37"/>
      <c r="DT345" s="37"/>
      <c r="DU345" s="37"/>
      <c r="DV345" s="37"/>
      <c r="DW345" s="37"/>
      <c r="DX345" s="37" t="s">
        <v>1124</v>
      </c>
      <c r="DY345" s="37"/>
      <c r="DZ345" s="37"/>
      <c r="EA345" s="37"/>
      <c r="EB345" s="37"/>
      <c r="EC345" s="37"/>
      <c r="ED345" s="37"/>
      <c r="EE345" s="37"/>
      <c r="EF345" s="37"/>
      <c r="EG345" s="37"/>
      <c r="EH345" s="37"/>
      <c r="EI345" s="37"/>
      <c r="EJ345" s="37" t="s">
        <v>1124</v>
      </c>
      <c r="EK345" s="161"/>
      <c r="EL345" s="294"/>
    </row>
    <row r="346" spans="1:142" ht="15" customHeight="1" x14ac:dyDescent="0.35">
      <c r="A346" s="34"/>
      <c r="B346" s="313">
        <v>84082</v>
      </c>
      <c r="C346" s="8" t="s">
        <v>866</v>
      </c>
      <c r="D346" s="18">
        <v>7</v>
      </c>
      <c r="E346" s="155"/>
      <c r="F346" s="36"/>
      <c r="G346" s="37"/>
      <c r="H346" s="37"/>
      <c r="I346" s="37"/>
      <c r="J346" s="37"/>
      <c r="K346" s="37"/>
      <c r="L346" s="37"/>
      <c r="M346" s="37" t="s">
        <v>1124</v>
      </c>
      <c r="N346" s="37" t="s">
        <v>1124</v>
      </c>
      <c r="O346" s="37"/>
      <c r="P346" s="37"/>
      <c r="Q346" s="37"/>
      <c r="R346" s="37"/>
      <c r="S346" s="37"/>
      <c r="T346" s="37"/>
      <c r="U346" s="37"/>
      <c r="V346" s="37"/>
      <c r="W346" s="37"/>
      <c r="X346" s="37"/>
      <c r="Y346" s="37"/>
      <c r="Z346" s="37"/>
      <c r="AA346" s="37" t="s">
        <v>1124</v>
      </c>
      <c r="AB346" s="37" t="s">
        <v>1124</v>
      </c>
      <c r="AC346" s="37"/>
      <c r="AD346" s="37"/>
      <c r="AE346" s="37"/>
      <c r="AF346" s="168"/>
      <c r="AG346" s="37"/>
      <c r="AH346" s="37"/>
      <c r="AI346" s="37"/>
      <c r="AJ346" s="37"/>
      <c r="AK346" s="37"/>
      <c r="AL346" s="37"/>
      <c r="AM346" s="37"/>
      <c r="AN346" s="37"/>
      <c r="AO346" s="37"/>
      <c r="AP346" s="37"/>
      <c r="AQ346" s="37"/>
      <c r="AR346" s="37" t="s">
        <v>1124</v>
      </c>
      <c r="AS346" s="37"/>
      <c r="AT346" s="37"/>
      <c r="AU346" s="37"/>
      <c r="AV346" s="37"/>
      <c r="AW346" s="37"/>
      <c r="AX346" s="37"/>
      <c r="AY346" s="37"/>
      <c r="AZ346" s="37"/>
      <c r="BA346" s="37"/>
      <c r="BB346" s="37"/>
      <c r="BC346" s="37"/>
      <c r="BD346" s="37" t="s">
        <v>1124</v>
      </c>
      <c r="BE346" s="37"/>
      <c r="BF346" s="37"/>
      <c r="BG346" s="37"/>
      <c r="BH346" s="37"/>
      <c r="BI346" s="37"/>
      <c r="BJ346" s="37"/>
      <c r="BK346" s="37"/>
      <c r="BL346" s="37"/>
      <c r="BM346" s="37"/>
      <c r="BN346" s="37"/>
      <c r="BO346" s="37"/>
      <c r="BP346" s="37">
        <v>0</v>
      </c>
      <c r="BQ346" s="37"/>
      <c r="BR346" s="37"/>
      <c r="BS346" s="37"/>
      <c r="BT346" s="37"/>
      <c r="BU346" s="37"/>
      <c r="BV346" s="37"/>
      <c r="BW346" s="37"/>
      <c r="BX346" s="37"/>
      <c r="BY346" s="37"/>
      <c r="BZ346" s="37"/>
      <c r="CA346" s="37"/>
      <c r="CB346" s="37" t="s">
        <v>1124</v>
      </c>
      <c r="CC346" s="37"/>
      <c r="CD346" s="37"/>
      <c r="CE346" s="37"/>
      <c r="CF346" s="37"/>
      <c r="CG346" s="37"/>
      <c r="CH346" s="37"/>
      <c r="CI346" s="37"/>
      <c r="CJ346" s="37"/>
      <c r="CK346" s="37"/>
      <c r="CL346" s="37"/>
      <c r="CM346" s="37"/>
      <c r="CN346" s="37" t="s">
        <v>1124</v>
      </c>
      <c r="CO346" s="37"/>
      <c r="CP346" s="37"/>
      <c r="CQ346" s="37"/>
      <c r="CR346" s="37"/>
      <c r="CS346" s="37"/>
      <c r="CT346" s="37"/>
      <c r="CU346" s="37"/>
      <c r="CV346" s="37"/>
      <c r="CW346" s="37"/>
      <c r="CX346" s="37"/>
      <c r="CY346" s="37"/>
      <c r="CZ346" s="37" t="s">
        <v>1124</v>
      </c>
      <c r="DA346" s="37"/>
      <c r="DB346" s="37"/>
      <c r="DC346" s="37"/>
      <c r="DD346" s="37"/>
      <c r="DE346" s="37"/>
      <c r="DF346" s="37"/>
      <c r="DG346" s="37"/>
      <c r="DH346" s="37"/>
      <c r="DI346" s="37"/>
      <c r="DJ346" s="37"/>
      <c r="DK346" s="37"/>
      <c r="DL346" s="37" t="s">
        <v>1124</v>
      </c>
      <c r="DM346" s="37"/>
      <c r="DN346" s="37"/>
      <c r="DO346" s="37"/>
      <c r="DP346" s="37"/>
      <c r="DQ346" s="37"/>
      <c r="DR346" s="37"/>
      <c r="DS346" s="37"/>
      <c r="DT346" s="37"/>
      <c r="DU346" s="37"/>
      <c r="DV346" s="37"/>
      <c r="DW346" s="37"/>
      <c r="DX346" s="37" t="s">
        <v>1124</v>
      </c>
      <c r="DY346" s="37"/>
      <c r="DZ346" s="37"/>
      <c r="EA346" s="37"/>
      <c r="EB346" s="37"/>
      <c r="EC346" s="37"/>
      <c r="ED346" s="37"/>
      <c r="EE346" s="37"/>
      <c r="EF346" s="37"/>
      <c r="EG346" s="37"/>
      <c r="EH346" s="37"/>
      <c r="EI346" s="37"/>
      <c r="EJ346" s="37" t="s">
        <v>1124</v>
      </c>
      <c r="EK346" s="161"/>
      <c r="EL346" s="294"/>
    </row>
    <row r="347" spans="1:142" ht="15" customHeight="1" x14ac:dyDescent="0.35">
      <c r="A347" s="34"/>
      <c r="B347" s="313">
        <v>16023</v>
      </c>
      <c r="C347" s="8" t="s">
        <v>86</v>
      </c>
      <c r="D347" s="18">
        <v>3</v>
      </c>
      <c r="E347" s="155">
        <v>507877</v>
      </c>
      <c r="F347" s="36">
        <v>346695</v>
      </c>
      <c r="G347" s="37">
        <v>21725</v>
      </c>
      <c r="H347" s="37">
        <v>22057</v>
      </c>
      <c r="I347" s="37">
        <v>81551.5</v>
      </c>
      <c r="J347" s="37">
        <v>55851.5</v>
      </c>
      <c r="K347" s="37">
        <v>76181.55</v>
      </c>
      <c r="L347" s="37">
        <v>52004.25</v>
      </c>
      <c r="M347" s="37">
        <v>687335.05</v>
      </c>
      <c r="N347" s="37">
        <v>476607.75</v>
      </c>
      <c r="O347" s="37">
        <v>1465</v>
      </c>
      <c r="P347" s="37">
        <v>0</v>
      </c>
      <c r="Q347" s="37">
        <v>172852</v>
      </c>
      <c r="R347" s="37">
        <v>113954</v>
      </c>
      <c r="S347" s="37">
        <v>0</v>
      </c>
      <c r="T347" s="37">
        <v>0</v>
      </c>
      <c r="U347" s="37">
        <v>280</v>
      </c>
      <c r="V347" s="37">
        <v>0</v>
      </c>
      <c r="W347" s="37">
        <v>512738</v>
      </c>
      <c r="X347" s="37">
        <v>362654</v>
      </c>
      <c r="Y347" s="37">
        <v>0</v>
      </c>
      <c r="Z347" s="37">
        <v>0</v>
      </c>
      <c r="AA347" s="37">
        <v>687335</v>
      </c>
      <c r="AB347" s="37">
        <v>476608</v>
      </c>
      <c r="AC347" s="37">
        <v>0.19999999995343387</v>
      </c>
      <c r="AD347" s="37">
        <v>0</v>
      </c>
      <c r="AE347" s="37">
        <v>0</v>
      </c>
      <c r="AF347" s="168">
        <v>0.02</v>
      </c>
      <c r="AG347" s="37">
        <v>46746918.93</v>
      </c>
      <c r="AH347" s="37">
        <v>403295.55</v>
      </c>
      <c r="AI347" s="37">
        <v>380149.46</v>
      </c>
      <c r="AJ347" s="37">
        <v>387752.45</v>
      </c>
      <c r="AK347" s="37">
        <v>395507.5</v>
      </c>
      <c r="AL347" s="37">
        <v>403417.65</v>
      </c>
      <c r="AM347" s="37">
        <v>411486</v>
      </c>
      <c r="AN347" s="37">
        <v>419715.72</v>
      </c>
      <c r="AO347" s="37">
        <v>428110.04</v>
      </c>
      <c r="AP347" s="37">
        <v>436672.24</v>
      </c>
      <c r="AQ347" s="37">
        <v>445405.69</v>
      </c>
      <c r="AR347" s="37">
        <v>4111512.3</v>
      </c>
      <c r="AS347" s="37">
        <v>0</v>
      </c>
      <c r="AT347" s="37">
        <v>0</v>
      </c>
      <c r="AU347" s="37">
        <v>0</v>
      </c>
      <c r="AV347" s="37">
        <v>0</v>
      </c>
      <c r="AW347" s="37">
        <v>0</v>
      </c>
      <c r="AX347" s="37">
        <v>0</v>
      </c>
      <c r="AY347" s="37">
        <v>0</v>
      </c>
      <c r="AZ347" s="37">
        <v>0</v>
      </c>
      <c r="BA347" s="37">
        <v>0</v>
      </c>
      <c r="BB347" s="37">
        <v>0</v>
      </c>
      <c r="BC347" s="37">
        <v>0</v>
      </c>
      <c r="BD347" s="37">
        <v>0</v>
      </c>
      <c r="BE347" s="37">
        <v>0</v>
      </c>
      <c r="BF347" s="37">
        <v>0</v>
      </c>
      <c r="BG347" s="37">
        <v>0</v>
      </c>
      <c r="BH347" s="37">
        <v>0</v>
      </c>
      <c r="BI347" s="37">
        <v>0</v>
      </c>
      <c r="BJ347" s="37">
        <v>0</v>
      </c>
      <c r="BK347" s="37">
        <v>0</v>
      </c>
      <c r="BL347" s="37">
        <v>0</v>
      </c>
      <c r="BM347" s="37">
        <v>0</v>
      </c>
      <c r="BN347" s="37">
        <v>0</v>
      </c>
      <c r="BO347" s="37">
        <v>0</v>
      </c>
      <c r="BP347" s="37">
        <v>0</v>
      </c>
      <c r="BQ347" s="37">
        <v>0</v>
      </c>
      <c r="BR347" s="37">
        <v>0</v>
      </c>
      <c r="BS347" s="37">
        <v>0</v>
      </c>
      <c r="BT347" s="37">
        <v>0</v>
      </c>
      <c r="BU347" s="37">
        <v>0</v>
      </c>
      <c r="BV347" s="37">
        <v>0</v>
      </c>
      <c r="BW347" s="37">
        <v>0</v>
      </c>
      <c r="BX347" s="37">
        <v>0</v>
      </c>
      <c r="BY347" s="37">
        <v>0</v>
      </c>
      <c r="BZ347" s="37">
        <v>0</v>
      </c>
      <c r="CA347" s="37">
        <v>0</v>
      </c>
      <c r="CB347" s="37">
        <v>0</v>
      </c>
      <c r="CC347" s="37">
        <v>0</v>
      </c>
      <c r="CD347" s="37">
        <v>30000</v>
      </c>
      <c r="CE347" s="37">
        <v>0</v>
      </c>
      <c r="CF347" s="37">
        <v>0</v>
      </c>
      <c r="CG347" s="37">
        <v>0</v>
      </c>
      <c r="CH347" s="37">
        <v>0</v>
      </c>
      <c r="CI347" s="37">
        <v>0</v>
      </c>
      <c r="CJ347" s="37">
        <v>0</v>
      </c>
      <c r="CK347" s="37">
        <v>0</v>
      </c>
      <c r="CL347" s="37">
        <v>0</v>
      </c>
      <c r="CM347" s="37">
        <v>0</v>
      </c>
      <c r="CN347" s="37">
        <v>30000</v>
      </c>
      <c r="CO347" s="37">
        <v>0</v>
      </c>
      <c r="CP347" s="37">
        <v>0</v>
      </c>
      <c r="CQ347" s="37">
        <v>0</v>
      </c>
      <c r="CR347" s="37">
        <v>0</v>
      </c>
      <c r="CS347" s="37">
        <v>0</v>
      </c>
      <c r="CT347" s="37">
        <v>0</v>
      </c>
      <c r="CU347" s="37">
        <v>0</v>
      </c>
      <c r="CV347" s="37">
        <v>0</v>
      </c>
      <c r="CW347" s="37">
        <v>0</v>
      </c>
      <c r="CX347" s="37">
        <v>0</v>
      </c>
      <c r="CY347" s="37">
        <v>0</v>
      </c>
      <c r="CZ347" s="37">
        <v>0</v>
      </c>
      <c r="DA347" s="37">
        <v>0</v>
      </c>
      <c r="DB347" s="37">
        <v>0</v>
      </c>
      <c r="DC347" s="37">
        <v>0</v>
      </c>
      <c r="DD347" s="37">
        <v>0</v>
      </c>
      <c r="DE347" s="37">
        <v>0</v>
      </c>
      <c r="DF347" s="37">
        <v>0</v>
      </c>
      <c r="DG347" s="37">
        <v>0</v>
      </c>
      <c r="DH347" s="37">
        <v>0</v>
      </c>
      <c r="DI347" s="37">
        <v>0</v>
      </c>
      <c r="DJ347" s="37">
        <v>0</v>
      </c>
      <c r="DK347" s="37">
        <v>0</v>
      </c>
      <c r="DL347" s="37">
        <v>0</v>
      </c>
      <c r="DM347" s="37">
        <v>0</v>
      </c>
      <c r="DN347" s="37">
        <v>0</v>
      </c>
      <c r="DO347" s="37">
        <v>0</v>
      </c>
      <c r="DP347" s="37">
        <v>0</v>
      </c>
      <c r="DQ347" s="37">
        <v>0</v>
      </c>
      <c r="DR347" s="37">
        <v>0</v>
      </c>
      <c r="DS347" s="37">
        <v>0</v>
      </c>
      <c r="DT347" s="37">
        <v>0</v>
      </c>
      <c r="DU347" s="37">
        <v>0</v>
      </c>
      <c r="DV347" s="37">
        <v>0</v>
      </c>
      <c r="DW347" s="37">
        <v>0</v>
      </c>
      <c r="DX347" s="37">
        <v>0</v>
      </c>
      <c r="DY347" s="37">
        <v>0</v>
      </c>
      <c r="DZ347" s="37">
        <v>0</v>
      </c>
      <c r="EA347" s="37">
        <v>0</v>
      </c>
      <c r="EB347" s="37">
        <v>0</v>
      </c>
      <c r="EC347" s="37">
        <v>0</v>
      </c>
      <c r="ED347" s="37">
        <v>0</v>
      </c>
      <c r="EE347" s="37">
        <v>0</v>
      </c>
      <c r="EF347" s="37">
        <v>0</v>
      </c>
      <c r="EG347" s="37">
        <v>0</v>
      </c>
      <c r="EH347" s="37">
        <v>0</v>
      </c>
      <c r="EI347" s="37">
        <v>0</v>
      </c>
      <c r="EJ347" s="37">
        <v>0</v>
      </c>
      <c r="EK347" s="161" t="s">
        <v>2097</v>
      </c>
      <c r="EL347" s="294" t="s">
        <v>1124</v>
      </c>
    </row>
    <row r="348" spans="1:142" ht="15" customHeight="1" x14ac:dyDescent="0.35">
      <c r="A348" s="34"/>
      <c r="B348" s="313">
        <v>17078</v>
      </c>
      <c r="C348" s="8" t="s">
        <v>103</v>
      </c>
      <c r="D348" s="18">
        <v>12</v>
      </c>
      <c r="E348" s="155">
        <v>594924</v>
      </c>
      <c r="F348" s="36">
        <v>109810</v>
      </c>
      <c r="G348" s="37">
        <v>85437</v>
      </c>
      <c r="H348" s="37">
        <v>11057</v>
      </c>
      <c r="I348" s="37">
        <v>178949</v>
      </c>
      <c r="J348" s="37">
        <v>57984</v>
      </c>
      <c r="K348" s="37">
        <v>17000</v>
      </c>
      <c r="L348" s="37">
        <v>17000</v>
      </c>
      <c r="M348" s="37">
        <v>876310</v>
      </c>
      <c r="N348" s="37">
        <v>195851</v>
      </c>
      <c r="O348" s="37">
        <v>72659</v>
      </c>
      <c r="P348" s="37">
        <v>9035</v>
      </c>
      <c r="Q348" s="37">
        <v>442206</v>
      </c>
      <c r="R348" s="37">
        <v>65816</v>
      </c>
      <c r="S348" s="37">
        <v>199</v>
      </c>
      <c r="T348" s="37">
        <v>5960</v>
      </c>
      <c r="U348" s="37">
        <v>27646</v>
      </c>
      <c r="V348" s="37">
        <v>0</v>
      </c>
      <c r="W348" s="37">
        <v>224320</v>
      </c>
      <c r="X348" s="37">
        <v>224320</v>
      </c>
      <c r="Y348" s="37">
        <v>0</v>
      </c>
      <c r="Z348" s="37">
        <v>0</v>
      </c>
      <c r="AA348" s="37">
        <v>767030</v>
      </c>
      <c r="AB348" s="37">
        <v>305131</v>
      </c>
      <c r="AC348" s="37">
        <v>0</v>
      </c>
      <c r="AD348" s="37">
        <v>0</v>
      </c>
      <c r="AE348" s="37">
        <v>0</v>
      </c>
      <c r="AF348" s="168">
        <v>0.02</v>
      </c>
      <c r="AG348" s="37">
        <v>79176297.829999998</v>
      </c>
      <c r="AH348" s="37">
        <v>775171.93</v>
      </c>
      <c r="AI348" s="37">
        <v>726335.38</v>
      </c>
      <c r="AJ348" s="37">
        <v>720295.88</v>
      </c>
      <c r="AK348" s="37">
        <v>734701.8</v>
      </c>
      <c r="AL348" s="37">
        <v>749395.83</v>
      </c>
      <c r="AM348" s="37">
        <v>764383.75</v>
      </c>
      <c r="AN348" s="37">
        <v>779671.43</v>
      </c>
      <c r="AO348" s="37">
        <v>795264.85</v>
      </c>
      <c r="AP348" s="37">
        <v>811170.15</v>
      </c>
      <c r="AQ348" s="37">
        <v>827393.55</v>
      </c>
      <c r="AR348" s="37">
        <v>7683784.5499999998</v>
      </c>
      <c r="AS348" s="37">
        <v>2717441.57</v>
      </c>
      <c r="AT348" s="37">
        <v>18727.2</v>
      </c>
      <c r="AU348" s="37">
        <v>314200.8</v>
      </c>
      <c r="AV348" s="37">
        <v>0</v>
      </c>
      <c r="AW348" s="37">
        <v>0</v>
      </c>
      <c r="AX348" s="37">
        <v>0</v>
      </c>
      <c r="AY348" s="37">
        <v>0</v>
      </c>
      <c r="AZ348" s="37">
        <v>0</v>
      </c>
      <c r="BA348" s="37">
        <v>0</v>
      </c>
      <c r="BB348" s="37">
        <v>0</v>
      </c>
      <c r="BC348" s="37">
        <v>0</v>
      </c>
      <c r="BD348" s="37">
        <v>332928</v>
      </c>
      <c r="BE348" s="37">
        <v>0</v>
      </c>
      <c r="BF348" s="37">
        <v>40000</v>
      </c>
      <c r="BG348" s="37">
        <v>1432924</v>
      </c>
      <c r="BH348" s="37">
        <v>0</v>
      </c>
      <c r="BI348" s="37">
        <v>0</v>
      </c>
      <c r="BJ348" s="37">
        <v>0</v>
      </c>
      <c r="BK348" s="37">
        <v>0</v>
      </c>
      <c r="BL348" s="37">
        <v>0</v>
      </c>
      <c r="BM348" s="37">
        <v>0</v>
      </c>
      <c r="BN348" s="37">
        <v>0</v>
      </c>
      <c r="BO348" s="37">
        <v>0</v>
      </c>
      <c r="BP348" s="37">
        <v>1472924</v>
      </c>
      <c r="BQ348" s="37">
        <v>0</v>
      </c>
      <c r="BR348" s="37">
        <v>0</v>
      </c>
      <c r="BS348" s="37">
        <v>358233</v>
      </c>
      <c r="BT348" s="37">
        <v>0</v>
      </c>
      <c r="BU348" s="37">
        <v>0</v>
      </c>
      <c r="BV348" s="37">
        <v>0</v>
      </c>
      <c r="BW348" s="37">
        <v>0</v>
      </c>
      <c r="BX348" s="37">
        <v>0</v>
      </c>
      <c r="BY348" s="37">
        <v>0</v>
      </c>
      <c r="BZ348" s="37">
        <v>0</v>
      </c>
      <c r="CA348" s="37">
        <v>0</v>
      </c>
      <c r="CB348" s="37">
        <v>358233</v>
      </c>
      <c r="CC348" s="37">
        <v>0</v>
      </c>
      <c r="CD348" s="37">
        <v>0</v>
      </c>
      <c r="CE348" s="37">
        <v>0</v>
      </c>
      <c r="CF348" s="37">
        <v>0</v>
      </c>
      <c r="CG348" s="37">
        <v>0</v>
      </c>
      <c r="CH348" s="37">
        <v>0</v>
      </c>
      <c r="CI348" s="37">
        <v>0</v>
      </c>
      <c r="CJ348" s="37">
        <v>0</v>
      </c>
      <c r="CK348" s="37">
        <v>0</v>
      </c>
      <c r="CL348" s="37">
        <v>0</v>
      </c>
      <c r="CM348" s="37">
        <v>0</v>
      </c>
      <c r="CN348" s="37">
        <v>0</v>
      </c>
      <c r="CO348" s="37">
        <v>0</v>
      </c>
      <c r="CP348" s="37">
        <v>0</v>
      </c>
      <c r="CQ348" s="37">
        <v>0</v>
      </c>
      <c r="CR348" s="37">
        <v>0</v>
      </c>
      <c r="CS348" s="37">
        <v>0</v>
      </c>
      <c r="CT348" s="37">
        <v>0</v>
      </c>
      <c r="CU348" s="37">
        <v>0</v>
      </c>
      <c r="CV348" s="37">
        <v>0</v>
      </c>
      <c r="CW348" s="37">
        <v>0</v>
      </c>
      <c r="CX348" s="37">
        <v>0</v>
      </c>
      <c r="CY348" s="37">
        <v>0</v>
      </c>
      <c r="CZ348" s="37">
        <v>0</v>
      </c>
      <c r="DA348" s="37">
        <v>0</v>
      </c>
      <c r="DB348" s="37">
        <v>0</v>
      </c>
      <c r="DC348" s="37">
        <v>0</v>
      </c>
      <c r="DD348" s="37">
        <v>0</v>
      </c>
      <c r="DE348" s="37">
        <v>0</v>
      </c>
      <c r="DF348" s="37">
        <v>0</v>
      </c>
      <c r="DG348" s="37">
        <v>0</v>
      </c>
      <c r="DH348" s="37">
        <v>0</v>
      </c>
      <c r="DI348" s="37">
        <v>0</v>
      </c>
      <c r="DJ348" s="37">
        <v>0</v>
      </c>
      <c r="DK348" s="37">
        <v>0</v>
      </c>
      <c r="DL348" s="37">
        <v>0</v>
      </c>
      <c r="DM348" s="37">
        <v>0</v>
      </c>
      <c r="DN348" s="37">
        <v>0</v>
      </c>
      <c r="DO348" s="37">
        <v>0</v>
      </c>
      <c r="DP348" s="37">
        <v>0</v>
      </c>
      <c r="DQ348" s="37">
        <v>0</v>
      </c>
      <c r="DR348" s="37">
        <v>0</v>
      </c>
      <c r="DS348" s="37">
        <v>0</v>
      </c>
      <c r="DT348" s="37">
        <v>0</v>
      </c>
      <c r="DU348" s="37">
        <v>0</v>
      </c>
      <c r="DV348" s="37">
        <v>0</v>
      </c>
      <c r="DW348" s="37">
        <v>0</v>
      </c>
      <c r="DX348" s="37">
        <v>0</v>
      </c>
      <c r="DY348" s="37">
        <v>0</v>
      </c>
      <c r="DZ348" s="37">
        <v>0</v>
      </c>
      <c r="EA348" s="37">
        <v>0</v>
      </c>
      <c r="EB348" s="37">
        <v>0</v>
      </c>
      <c r="EC348" s="37">
        <v>0</v>
      </c>
      <c r="ED348" s="37">
        <v>0</v>
      </c>
      <c r="EE348" s="37">
        <v>0</v>
      </c>
      <c r="EF348" s="37">
        <v>0</v>
      </c>
      <c r="EG348" s="37">
        <v>0</v>
      </c>
      <c r="EH348" s="37">
        <v>0</v>
      </c>
      <c r="EI348" s="37">
        <v>0</v>
      </c>
      <c r="EJ348" s="37">
        <v>0</v>
      </c>
      <c r="EK348" s="161" t="s">
        <v>2101</v>
      </c>
      <c r="EL348" s="294" t="s">
        <v>1124</v>
      </c>
    </row>
    <row r="349" spans="1:142" ht="15" customHeight="1" x14ac:dyDescent="0.35">
      <c r="A349" s="34"/>
      <c r="B349" s="313">
        <v>12043</v>
      </c>
      <c r="C349" s="8" t="s">
        <v>35</v>
      </c>
      <c r="D349" s="18">
        <v>1</v>
      </c>
      <c r="E349" s="155">
        <v>57535</v>
      </c>
      <c r="F349" s="36">
        <v>56070</v>
      </c>
      <c r="G349" s="37">
        <v>27202</v>
      </c>
      <c r="H349" s="37">
        <v>14748</v>
      </c>
      <c r="I349" s="37">
        <v>42248</v>
      </c>
      <c r="J349" s="37">
        <v>41548</v>
      </c>
      <c r="K349" s="37">
        <v>8630</v>
      </c>
      <c r="L349" s="37">
        <v>8441</v>
      </c>
      <c r="M349" s="37">
        <v>135615</v>
      </c>
      <c r="N349" s="37">
        <v>120807</v>
      </c>
      <c r="O349" s="37">
        <v>0</v>
      </c>
      <c r="P349" s="37">
        <v>0</v>
      </c>
      <c r="Q349" s="37">
        <v>62450</v>
      </c>
      <c r="R349" s="37">
        <v>50982</v>
      </c>
      <c r="S349" s="37">
        <v>0</v>
      </c>
      <c r="T349" s="37">
        <v>0</v>
      </c>
      <c r="U349" s="37">
        <v>7514</v>
      </c>
      <c r="V349" s="37">
        <v>10527</v>
      </c>
      <c r="W349" s="37">
        <v>25961</v>
      </c>
      <c r="X349" s="37">
        <v>25961</v>
      </c>
      <c r="Y349" s="37">
        <v>73027</v>
      </c>
      <c r="Z349" s="37">
        <v>0</v>
      </c>
      <c r="AA349" s="37">
        <v>168952</v>
      </c>
      <c r="AB349" s="37">
        <v>87470</v>
      </c>
      <c r="AC349" s="37">
        <v>0</v>
      </c>
      <c r="AD349" s="37">
        <v>0</v>
      </c>
      <c r="AE349" s="37">
        <v>98017</v>
      </c>
      <c r="AF349" s="168">
        <v>0.02</v>
      </c>
      <c r="AG349" s="37">
        <v>42221703</v>
      </c>
      <c r="AH349" s="37">
        <v>361502.59</v>
      </c>
      <c r="AI349" s="37">
        <v>366610.22</v>
      </c>
      <c r="AJ349" s="37">
        <v>373942.43</v>
      </c>
      <c r="AK349" s="37">
        <v>381421.27</v>
      </c>
      <c r="AL349" s="37">
        <v>389049.7</v>
      </c>
      <c r="AM349" s="37">
        <v>396830.69</v>
      </c>
      <c r="AN349" s="37">
        <v>404767.31</v>
      </c>
      <c r="AO349" s="37">
        <v>412862.65</v>
      </c>
      <c r="AP349" s="37">
        <v>421119.91</v>
      </c>
      <c r="AQ349" s="37">
        <v>429542.31</v>
      </c>
      <c r="AR349" s="37">
        <v>3937649.08</v>
      </c>
      <c r="AS349" s="37">
        <v>0</v>
      </c>
      <c r="AT349" s="37">
        <v>449452.79999999999</v>
      </c>
      <c r="AU349" s="37">
        <v>315178.78000000003</v>
      </c>
      <c r="AV349" s="37">
        <v>0</v>
      </c>
      <c r="AW349" s="37">
        <v>0</v>
      </c>
      <c r="AX349" s="37">
        <v>0</v>
      </c>
      <c r="AY349" s="37">
        <v>0</v>
      </c>
      <c r="AZ349" s="37">
        <v>0</v>
      </c>
      <c r="BA349" s="37">
        <v>0</v>
      </c>
      <c r="BB349" s="37">
        <v>0</v>
      </c>
      <c r="BC349" s="37">
        <v>0</v>
      </c>
      <c r="BD349" s="37">
        <v>764631.58000000007</v>
      </c>
      <c r="BE349" s="37">
        <v>0</v>
      </c>
      <c r="BF349" s="37">
        <v>0</v>
      </c>
      <c r="BG349" s="37">
        <v>0</v>
      </c>
      <c r="BH349" s="37">
        <v>0</v>
      </c>
      <c r="BI349" s="37">
        <v>0</v>
      </c>
      <c r="BJ349" s="37">
        <v>0</v>
      </c>
      <c r="BK349" s="37">
        <v>0</v>
      </c>
      <c r="BL349" s="37">
        <v>0</v>
      </c>
      <c r="BM349" s="37">
        <v>0</v>
      </c>
      <c r="BN349" s="37">
        <v>0</v>
      </c>
      <c r="BO349" s="37">
        <v>0</v>
      </c>
      <c r="BP349" s="37">
        <v>0</v>
      </c>
      <c r="BQ349" s="37">
        <v>0</v>
      </c>
      <c r="BR349" s="37">
        <v>0</v>
      </c>
      <c r="BS349" s="37">
        <v>0</v>
      </c>
      <c r="BT349" s="37">
        <v>0</v>
      </c>
      <c r="BU349" s="37">
        <v>0</v>
      </c>
      <c r="BV349" s="37">
        <v>0</v>
      </c>
      <c r="BW349" s="37">
        <v>0</v>
      </c>
      <c r="BX349" s="37">
        <v>0</v>
      </c>
      <c r="BY349" s="37">
        <v>0</v>
      </c>
      <c r="BZ349" s="37">
        <v>0</v>
      </c>
      <c r="CA349" s="37">
        <v>0</v>
      </c>
      <c r="CB349" s="37">
        <v>0</v>
      </c>
      <c r="CC349" s="37">
        <v>0</v>
      </c>
      <c r="CD349" s="37">
        <v>0</v>
      </c>
      <c r="CE349" s="37">
        <v>0</v>
      </c>
      <c r="CF349" s="37">
        <v>0</v>
      </c>
      <c r="CG349" s="37">
        <v>0</v>
      </c>
      <c r="CH349" s="37">
        <v>0</v>
      </c>
      <c r="CI349" s="37">
        <v>0</v>
      </c>
      <c r="CJ349" s="37">
        <v>0</v>
      </c>
      <c r="CK349" s="37">
        <v>0</v>
      </c>
      <c r="CL349" s="37">
        <v>0</v>
      </c>
      <c r="CM349" s="37">
        <v>0</v>
      </c>
      <c r="CN349" s="37">
        <v>0</v>
      </c>
      <c r="CO349" s="37">
        <v>1033919</v>
      </c>
      <c r="CP349" s="37">
        <v>449453</v>
      </c>
      <c r="CQ349" s="37">
        <v>315178</v>
      </c>
      <c r="CR349" s="37">
        <v>0</v>
      </c>
      <c r="CS349" s="37">
        <v>0</v>
      </c>
      <c r="CT349" s="37">
        <v>0</v>
      </c>
      <c r="CU349" s="37">
        <v>0</v>
      </c>
      <c r="CV349" s="37">
        <v>0</v>
      </c>
      <c r="CW349" s="37">
        <v>0</v>
      </c>
      <c r="CX349" s="37">
        <v>0</v>
      </c>
      <c r="CY349" s="37">
        <v>0</v>
      </c>
      <c r="CZ349" s="37">
        <v>764631</v>
      </c>
      <c r="DA349" s="37">
        <v>1033919</v>
      </c>
      <c r="DB349" s="37">
        <v>0</v>
      </c>
      <c r="DC349" s="37">
        <v>0</v>
      </c>
      <c r="DD349" s="37">
        <v>0</v>
      </c>
      <c r="DE349" s="37">
        <v>0</v>
      </c>
      <c r="DF349" s="37">
        <v>0</v>
      </c>
      <c r="DG349" s="37">
        <v>0</v>
      </c>
      <c r="DH349" s="37">
        <v>0</v>
      </c>
      <c r="DI349" s="37">
        <v>0</v>
      </c>
      <c r="DJ349" s="37">
        <v>0</v>
      </c>
      <c r="DK349" s="37">
        <v>0</v>
      </c>
      <c r="DL349" s="37">
        <v>0</v>
      </c>
      <c r="DM349" s="37">
        <v>0</v>
      </c>
      <c r="DN349" s="37">
        <v>0</v>
      </c>
      <c r="DO349" s="37">
        <v>0</v>
      </c>
      <c r="DP349" s="37">
        <v>0</v>
      </c>
      <c r="DQ349" s="37">
        <v>0</v>
      </c>
      <c r="DR349" s="37">
        <v>0</v>
      </c>
      <c r="DS349" s="37">
        <v>0</v>
      </c>
      <c r="DT349" s="37">
        <v>0</v>
      </c>
      <c r="DU349" s="37">
        <v>0</v>
      </c>
      <c r="DV349" s="37">
        <v>0</v>
      </c>
      <c r="DW349" s="37">
        <v>0</v>
      </c>
      <c r="DX349" s="37">
        <v>0</v>
      </c>
      <c r="DY349" s="37">
        <v>0</v>
      </c>
      <c r="DZ349" s="37">
        <v>0</v>
      </c>
      <c r="EA349" s="37">
        <v>0</v>
      </c>
      <c r="EB349" s="37">
        <v>0</v>
      </c>
      <c r="EC349" s="37">
        <v>0</v>
      </c>
      <c r="ED349" s="37">
        <v>0</v>
      </c>
      <c r="EE349" s="37">
        <v>0</v>
      </c>
      <c r="EF349" s="37">
        <v>0</v>
      </c>
      <c r="EG349" s="37">
        <v>0</v>
      </c>
      <c r="EH349" s="37">
        <v>0</v>
      </c>
      <c r="EI349" s="37">
        <v>0</v>
      </c>
      <c r="EJ349" s="37">
        <v>0</v>
      </c>
      <c r="EK349" s="161" t="s">
        <v>2104</v>
      </c>
      <c r="EL349" s="294" t="s">
        <v>1124</v>
      </c>
    </row>
    <row r="350" spans="1:142" ht="15" customHeight="1" x14ac:dyDescent="0.35">
      <c r="A350" s="34"/>
      <c r="B350" s="313">
        <v>84040</v>
      </c>
      <c r="C350" s="8" t="s">
        <v>859</v>
      </c>
      <c r="D350" s="18">
        <v>7</v>
      </c>
      <c r="E350" s="155"/>
      <c r="F350" s="36"/>
      <c r="G350" s="37"/>
      <c r="H350" s="37"/>
      <c r="I350" s="37"/>
      <c r="J350" s="37"/>
      <c r="K350" s="37"/>
      <c r="L350" s="37"/>
      <c r="M350" s="37" t="s">
        <v>1124</v>
      </c>
      <c r="N350" s="37" t="s">
        <v>1124</v>
      </c>
      <c r="O350" s="37"/>
      <c r="P350" s="37"/>
      <c r="Q350" s="37"/>
      <c r="R350" s="37"/>
      <c r="S350" s="37"/>
      <c r="T350" s="37"/>
      <c r="U350" s="37"/>
      <c r="V350" s="37"/>
      <c r="W350" s="37"/>
      <c r="X350" s="37"/>
      <c r="Y350" s="37"/>
      <c r="Z350" s="37"/>
      <c r="AA350" s="37" t="s">
        <v>1124</v>
      </c>
      <c r="AB350" s="37" t="s">
        <v>1124</v>
      </c>
      <c r="AC350" s="37"/>
      <c r="AD350" s="37"/>
      <c r="AE350" s="37"/>
      <c r="AF350" s="168"/>
      <c r="AG350" s="37"/>
      <c r="AH350" s="37"/>
      <c r="AI350" s="37"/>
      <c r="AJ350" s="37"/>
      <c r="AK350" s="37"/>
      <c r="AL350" s="37"/>
      <c r="AM350" s="37"/>
      <c r="AN350" s="37"/>
      <c r="AO350" s="37"/>
      <c r="AP350" s="37"/>
      <c r="AQ350" s="37"/>
      <c r="AR350" s="37" t="s">
        <v>1124</v>
      </c>
      <c r="AS350" s="37"/>
      <c r="AT350" s="37"/>
      <c r="AU350" s="37"/>
      <c r="AV350" s="37"/>
      <c r="AW350" s="37"/>
      <c r="AX350" s="37"/>
      <c r="AY350" s="37"/>
      <c r="AZ350" s="37"/>
      <c r="BA350" s="37"/>
      <c r="BB350" s="37"/>
      <c r="BC350" s="37"/>
      <c r="BD350" s="37" t="s">
        <v>1124</v>
      </c>
      <c r="BE350" s="37"/>
      <c r="BF350" s="37"/>
      <c r="BG350" s="37"/>
      <c r="BH350" s="37"/>
      <c r="BI350" s="37"/>
      <c r="BJ350" s="37"/>
      <c r="BK350" s="37"/>
      <c r="BL350" s="37"/>
      <c r="BM350" s="37"/>
      <c r="BN350" s="37"/>
      <c r="BO350" s="37"/>
      <c r="BP350" s="37">
        <v>0</v>
      </c>
      <c r="BQ350" s="37"/>
      <c r="BR350" s="37"/>
      <c r="BS350" s="37"/>
      <c r="BT350" s="37"/>
      <c r="BU350" s="37"/>
      <c r="BV350" s="37"/>
      <c r="BW350" s="37"/>
      <c r="BX350" s="37"/>
      <c r="BY350" s="37"/>
      <c r="BZ350" s="37"/>
      <c r="CA350" s="37"/>
      <c r="CB350" s="37" t="s">
        <v>1124</v>
      </c>
      <c r="CC350" s="37"/>
      <c r="CD350" s="37"/>
      <c r="CE350" s="37"/>
      <c r="CF350" s="37"/>
      <c r="CG350" s="37"/>
      <c r="CH350" s="37"/>
      <c r="CI350" s="37"/>
      <c r="CJ350" s="37"/>
      <c r="CK350" s="37"/>
      <c r="CL350" s="37"/>
      <c r="CM350" s="37"/>
      <c r="CN350" s="37" t="s">
        <v>1124</v>
      </c>
      <c r="CO350" s="37"/>
      <c r="CP350" s="37"/>
      <c r="CQ350" s="37"/>
      <c r="CR350" s="37"/>
      <c r="CS350" s="37"/>
      <c r="CT350" s="37"/>
      <c r="CU350" s="37"/>
      <c r="CV350" s="37"/>
      <c r="CW350" s="37"/>
      <c r="CX350" s="37"/>
      <c r="CY350" s="37"/>
      <c r="CZ350" s="37" t="s">
        <v>1124</v>
      </c>
      <c r="DA350" s="37"/>
      <c r="DB350" s="37"/>
      <c r="DC350" s="37"/>
      <c r="DD350" s="37"/>
      <c r="DE350" s="37"/>
      <c r="DF350" s="37"/>
      <c r="DG350" s="37"/>
      <c r="DH350" s="37"/>
      <c r="DI350" s="37"/>
      <c r="DJ350" s="37"/>
      <c r="DK350" s="37"/>
      <c r="DL350" s="37" t="s">
        <v>1124</v>
      </c>
      <c r="DM350" s="37"/>
      <c r="DN350" s="37"/>
      <c r="DO350" s="37"/>
      <c r="DP350" s="37"/>
      <c r="DQ350" s="37"/>
      <c r="DR350" s="37"/>
      <c r="DS350" s="37"/>
      <c r="DT350" s="37"/>
      <c r="DU350" s="37"/>
      <c r="DV350" s="37"/>
      <c r="DW350" s="37"/>
      <c r="DX350" s="37" t="s">
        <v>1124</v>
      </c>
      <c r="DY350" s="37"/>
      <c r="DZ350" s="37"/>
      <c r="EA350" s="37"/>
      <c r="EB350" s="37"/>
      <c r="EC350" s="37"/>
      <c r="ED350" s="37"/>
      <c r="EE350" s="37"/>
      <c r="EF350" s="37"/>
      <c r="EG350" s="37"/>
      <c r="EH350" s="37"/>
      <c r="EI350" s="37"/>
      <c r="EJ350" s="37" t="s">
        <v>1124</v>
      </c>
      <c r="EK350" s="161"/>
      <c r="EL350" s="294"/>
    </row>
    <row r="351" spans="1:142" ht="15" customHeight="1" x14ac:dyDescent="0.35">
      <c r="A351" s="34"/>
      <c r="B351" s="313">
        <v>80055</v>
      </c>
      <c r="C351" s="8" t="s">
        <v>811</v>
      </c>
      <c r="D351" s="18">
        <v>7</v>
      </c>
      <c r="E351" s="155"/>
      <c r="F351" s="36"/>
      <c r="G351" s="37"/>
      <c r="H351" s="37"/>
      <c r="I351" s="37"/>
      <c r="J351" s="37"/>
      <c r="K351" s="37"/>
      <c r="L351" s="37"/>
      <c r="M351" s="37" t="s">
        <v>1124</v>
      </c>
      <c r="N351" s="37" t="s">
        <v>1124</v>
      </c>
      <c r="O351" s="37"/>
      <c r="P351" s="37"/>
      <c r="Q351" s="37"/>
      <c r="R351" s="37"/>
      <c r="S351" s="37"/>
      <c r="T351" s="37"/>
      <c r="U351" s="37"/>
      <c r="V351" s="37"/>
      <c r="W351" s="37"/>
      <c r="X351" s="37"/>
      <c r="Y351" s="37"/>
      <c r="Z351" s="37"/>
      <c r="AA351" s="37" t="s">
        <v>1124</v>
      </c>
      <c r="AB351" s="37" t="s">
        <v>1124</v>
      </c>
      <c r="AC351" s="37"/>
      <c r="AD351" s="37"/>
      <c r="AE351" s="37"/>
      <c r="AF351" s="168"/>
      <c r="AG351" s="37"/>
      <c r="AH351" s="37"/>
      <c r="AI351" s="37"/>
      <c r="AJ351" s="37"/>
      <c r="AK351" s="37"/>
      <c r="AL351" s="37"/>
      <c r="AM351" s="37"/>
      <c r="AN351" s="37"/>
      <c r="AO351" s="37"/>
      <c r="AP351" s="37"/>
      <c r="AQ351" s="37"/>
      <c r="AR351" s="37" t="s">
        <v>1124</v>
      </c>
      <c r="AS351" s="37"/>
      <c r="AT351" s="37"/>
      <c r="AU351" s="37"/>
      <c r="AV351" s="37"/>
      <c r="AW351" s="37"/>
      <c r="AX351" s="37"/>
      <c r="AY351" s="37"/>
      <c r="AZ351" s="37"/>
      <c r="BA351" s="37"/>
      <c r="BB351" s="37"/>
      <c r="BC351" s="37"/>
      <c r="BD351" s="37" t="s">
        <v>1124</v>
      </c>
      <c r="BE351" s="37"/>
      <c r="BF351" s="37"/>
      <c r="BG351" s="37"/>
      <c r="BH351" s="37"/>
      <c r="BI351" s="37"/>
      <c r="BJ351" s="37"/>
      <c r="BK351" s="37"/>
      <c r="BL351" s="37"/>
      <c r="BM351" s="37"/>
      <c r="BN351" s="37"/>
      <c r="BO351" s="37"/>
      <c r="BP351" s="37">
        <v>0</v>
      </c>
      <c r="BQ351" s="37"/>
      <c r="BR351" s="37"/>
      <c r="BS351" s="37"/>
      <c r="BT351" s="37"/>
      <c r="BU351" s="37"/>
      <c r="BV351" s="37"/>
      <c r="BW351" s="37"/>
      <c r="BX351" s="37"/>
      <c r="BY351" s="37"/>
      <c r="BZ351" s="37"/>
      <c r="CA351" s="37"/>
      <c r="CB351" s="37" t="s">
        <v>1124</v>
      </c>
      <c r="CC351" s="37"/>
      <c r="CD351" s="37"/>
      <c r="CE351" s="37"/>
      <c r="CF351" s="37"/>
      <c r="CG351" s="37"/>
      <c r="CH351" s="37"/>
      <c r="CI351" s="37"/>
      <c r="CJ351" s="37"/>
      <c r="CK351" s="37"/>
      <c r="CL351" s="37"/>
      <c r="CM351" s="37"/>
      <c r="CN351" s="37" t="s">
        <v>1124</v>
      </c>
      <c r="CO351" s="37"/>
      <c r="CP351" s="37"/>
      <c r="CQ351" s="37"/>
      <c r="CR351" s="37"/>
      <c r="CS351" s="37"/>
      <c r="CT351" s="37"/>
      <c r="CU351" s="37"/>
      <c r="CV351" s="37"/>
      <c r="CW351" s="37"/>
      <c r="CX351" s="37"/>
      <c r="CY351" s="37"/>
      <c r="CZ351" s="37" t="s">
        <v>1124</v>
      </c>
      <c r="DA351" s="37"/>
      <c r="DB351" s="37"/>
      <c r="DC351" s="37"/>
      <c r="DD351" s="37"/>
      <c r="DE351" s="37"/>
      <c r="DF351" s="37"/>
      <c r="DG351" s="37"/>
      <c r="DH351" s="37"/>
      <c r="DI351" s="37"/>
      <c r="DJ351" s="37"/>
      <c r="DK351" s="37"/>
      <c r="DL351" s="37" t="s">
        <v>1124</v>
      </c>
      <c r="DM351" s="37"/>
      <c r="DN351" s="37"/>
      <c r="DO351" s="37"/>
      <c r="DP351" s="37"/>
      <c r="DQ351" s="37"/>
      <c r="DR351" s="37"/>
      <c r="DS351" s="37"/>
      <c r="DT351" s="37"/>
      <c r="DU351" s="37"/>
      <c r="DV351" s="37"/>
      <c r="DW351" s="37"/>
      <c r="DX351" s="37" t="s">
        <v>1124</v>
      </c>
      <c r="DY351" s="37"/>
      <c r="DZ351" s="37"/>
      <c r="EA351" s="37"/>
      <c r="EB351" s="37"/>
      <c r="EC351" s="37"/>
      <c r="ED351" s="37"/>
      <c r="EE351" s="37"/>
      <c r="EF351" s="37"/>
      <c r="EG351" s="37"/>
      <c r="EH351" s="37"/>
      <c r="EI351" s="37"/>
      <c r="EJ351" s="37" t="s">
        <v>1124</v>
      </c>
      <c r="EK351" s="161"/>
      <c r="EL351" s="294"/>
    </row>
    <row r="352" spans="1:142" ht="15" customHeight="1" x14ac:dyDescent="0.35">
      <c r="A352" s="34"/>
      <c r="B352" s="313">
        <v>80060</v>
      </c>
      <c r="C352" s="8" t="s">
        <v>812</v>
      </c>
      <c r="D352" s="18">
        <v>7</v>
      </c>
      <c r="E352" s="155"/>
      <c r="F352" s="36"/>
      <c r="G352" s="37"/>
      <c r="H352" s="37"/>
      <c r="I352" s="37"/>
      <c r="J352" s="37"/>
      <c r="K352" s="37"/>
      <c r="L352" s="37"/>
      <c r="M352" s="37" t="s">
        <v>1124</v>
      </c>
      <c r="N352" s="37" t="s">
        <v>1124</v>
      </c>
      <c r="O352" s="37"/>
      <c r="P352" s="37"/>
      <c r="Q352" s="37"/>
      <c r="R352" s="37"/>
      <c r="S352" s="37"/>
      <c r="T352" s="37"/>
      <c r="U352" s="37"/>
      <c r="V352" s="37"/>
      <c r="W352" s="37"/>
      <c r="X352" s="37"/>
      <c r="Y352" s="37"/>
      <c r="Z352" s="37"/>
      <c r="AA352" s="37" t="s">
        <v>1124</v>
      </c>
      <c r="AB352" s="37" t="s">
        <v>1124</v>
      </c>
      <c r="AC352" s="37"/>
      <c r="AD352" s="37"/>
      <c r="AE352" s="37"/>
      <c r="AF352" s="168"/>
      <c r="AG352" s="37"/>
      <c r="AH352" s="37"/>
      <c r="AI352" s="37"/>
      <c r="AJ352" s="37"/>
      <c r="AK352" s="37"/>
      <c r="AL352" s="37"/>
      <c r="AM352" s="37"/>
      <c r="AN352" s="37"/>
      <c r="AO352" s="37"/>
      <c r="AP352" s="37"/>
      <c r="AQ352" s="37"/>
      <c r="AR352" s="37" t="s">
        <v>1124</v>
      </c>
      <c r="AS352" s="37"/>
      <c r="AT352" s="37"/>
      <c r="AU352" s="37"/>
      <c r="AV352" s="37"/>
      <c r="AW352" s="37"/>
      <c r="AX352" s="37"/>
      <c r="AY352" s="37"/>
      <c r="AZ352" s="37"/>
      <c r="BA352" s="37"/>
      <c r="BB352" s="37"/>
      <c r="BC352" s="37"/>
      <c r="BD352" s="37" t="s">
        <v>1124</v>
      </c>
      <c r="BE352" s="37"/>
      <c r="BF352" s="37"/>
      <c r="BG352" s="37"/>
      <c r="BH352" s="37"/>
      <c r="BI352" s="37"/>
      <c r="BJ352" s="37"/>
      <c r="BK352" s="37"/>
      <c r="BL352" s="37"/>
      <c r="BM352" s="37"/>
      <c r="BN352" s="37"/>
      <c r="BO352" s="37"/>
      <c r="BP352" s="37">
        <v>0</v>
      </c>
      <c r="BQ352" s="37"/>
      <c r="BR352" s="37"/>
      <c r="BS352" s="37"/>
      <c r="BT352" s="37"/>
      <c r="BU352" s="37"/>
      <c r="BV352" s="37"/>
      <c r="BW352" s="37"/>
      <c r="BX352" s="37"/>
      <c r="BY352" s="37"/>
      <c r="BZ352" s="37"/>
      <c r="CA352" s="37"/>
      <c r="CB352" s="37" t="s">
        <v>1124</v>
      </c>
      <c r="CC352" s="37"/>
      <c r="CD352" s="37"/>
      <c r="CE352" s="37"/>
      <c r="CF352" s="37"/>
      <c r="CG352" s="37"/>
      <c r="CH352" s="37"/>
      <c r="CI352" s="37"/>
      <c r="CJ352" s="37"/>
      <c r="CK352" s="37"/>
      <c r="CL352" s="37"/>
      <c r="CM352" s="37"/>
      <c r="CN352" s="37" t="s">
        <v>1124</v>
      </c>
      <c r="CO352" s="37"/>
      <c r="CP352" s="37"/>
      <c r="CQ352" s="37"/>
      <c r="CR352" s="37"/>
      <c r="CS352" s="37"/>
      <c r="CT352" s="37"/>
      <c r="CU352" s="37"/>
      <c r="CV352" s="37"/>
      <c r="CW352" s="37"/>
      <c r="CX352" s="37"/>
      <c r="CY352" s="37"/>
      <c r="CZ352" s="37" t="s">
        <v>1124</v>
      </c>
      <c r="DA352" s="37"/>
      <c r="DB352" s="37"/>
      <c r="DC352" s="37"/>
      <c r="DD352" s="37"/>
      <c r="DE352" s="37"/>
      <c r="DF352" s="37"/>
      <c r="DG352" s="37"/>
      <c r="DH352" s="37"/>
      <c r="DI352" s="37"/>
      <c r="DJ352" s="37"/>
      <c r="DK352" s="37"/>
      <c r="DL352" s="37" t="s">
        <v>1124</v>
      </c>
      <c r="DM352" s="37"/>
      <c r="DN352" s="37"/>
      <c r="DO352" s="37"/>
      <c r="DP352" s="37"/>
      <c r="DQ352" s="37"/>
      <c r="DR352" s="37"/>
      <c r="DS352" s="37"/>
      <c r="DT352" s="37"/>
      <c r="DU352" s="37"/>
      <c r="DV352" s="37"/>
      <c r="DW352" s="37"/>
      <c r="DX352" s="37" t="s">
        <v>1124</v>
      </c>
      <c r="DY352" s="37"/>
      <c r="DZ352" s="37"/>
      <c r="EA352" s="37"/>
      <c r="EB352" s="37"/>
      <c r="EC352" s="37"/>
      <c r="ED352" s="37"/>
      <c r="EE352" s="37"/>
      <c r="EF352" s="37"/>
      <c r="EG352" s="37"/>
      <c r="EH352" s="37"/>
      <c r="EI352" s="37"/>
      <c r="EJ352" s="37" t="s">
        <v>1124</v>
      </c>
      <c r="EK352" s="161"/>
      <c r="EL352" s="294"/>
    </row>
    <row r="353" spans="1:142" ht="15" customHeight="1" x14ac:dyDescent="0.35">
      <c r="A353" s="34"/>
      <c r="B353" s="313">
        <v>98045</v>
      </c>
      <c r="C353" s="8" t="s">
        <v>1016</v>
      </c>
      <c r="D353" s="18">
        <v>9</v>
      </c>
      <c r="E353" s="155">
        <v>73643</v>
      </c>
      <c r="F353" s="36">
        <v>59729</v>
      </c>
      <c r="G353" s="37">
        <v>0</v>
      </c>
      <c r="H353" s="37">
        <v>0</v>
      </c>
      <c r="I353" s="37">
        <v>0</v>
      </c>
      <c r="J353" s="37">
        <v>0</v>
      </c>
      <c r="K353" s="37">
        <v>7364.3</v>
      </c>
      <c r="L353" s="37">
        <v>5972.9</v>
      </c>
      <c r="M353" s="37">
        <v>81007.3</v>
      </c>
      <c r="N353" s="37">
        <v>65701.899999999994</v>
      </c>
      <c r="O353" s="37">
        <v>0</v>
      </c>
      <c r="P353" s="37">
        <v>0</v>
      </c>
      <c r="Q353" s="37">
        <v>42158</v>
      </c>
      <c r="R353" s="37">
        <v>28502</v>
      </c>
      <c r="S353" s="37">
        <v>0</v>
      </c>
      <c r="T353" s="37">
        <v>24735</v>
      </c>
      <c r="U353" s="37">
        <v>23400</v>
      </c>
      <c r="V353" s="37">
        <v>0</v>
      </c>
      <c r="W353" s="37">
        <v>15449</v>
      </c>
      <c r="X353" s="37">
        <v>12465</v>
      </c>
      <c r="Y353" s="37">
        <v>0</v>
      </c>
      <c r="Z353" s="37">
        <v>0</v>
      </c>
      <c r="AA353" s="37">
        <v>81007</v>
      </c>
      <c r="AB353" s="37">
        <v>65702</v>
      </c>
      <c r="AC353" s="37">
        <v>0</v>
      </c>
      <c r="AD353" s="37">
        <v>0</v>
      </c>
      <c r="AE353" s="37">
        <v>0</v>
      </c>
      <c r="AF353" s="168">
        <v>0.02</v>
      </c>
      <c r="AG353" s="37">
        <v>22396756.800000001</v>
      </c>
      <c r="AH353" s="37">
        <v>274185.02</v>
      </c>
      <c r="AI353" s="37">
        <v>279668.71999999997</v>
      </c>
      <c r="AJ353" s="37">
        <v>285262.09999999998</v>
      </c>
      <c r="AK353" s="37">
        <v>290967.34000000003</v>
      </c>
      <c r="AL353" s="37">
        <v>296786.68</v>
      </c>
      <c r="AM353" s="37">
        <v>302722.42</v>
      </c>
      <c r="AN353" s="37">
        <v>308776.87</v>
      </c>
      <c r="AO353" s="37">
        <v>314952.40000000002</v>
      </c>
      <c r="AP353" s="37">
        <v>321251.45</v>
      </c>
      <c r="AQ353" s="37">
        <v>327676.48</v>
      </c>
      <c r="AR353" s="37">
        <v>3002249.48</v>
      </c>
      <c r="AS353" s="37">
        <v>1125511.8600000001</v>
      </c>
      <c r="AT353" s="37">
        <v>0</v>
      </c>
      <c r="AU353" s="37">
        <v>0</v>
      </c>
      <c r="AV353" s="37">
        <v>0</v>
      </c>
      <c r="AW353" s="37">
        <v>0</v>
      </c>
      <c r="AX353" s="37">
        <v>0</v>
      </c>
      <c r="AY353" s="37">
        <v>0</v>
      </c>
      <c r="AZ353" s="37">
        <v>0</v>
      </c>
      <c r="BA353" s="37">
        <v>0</v>
      </c>
      <c r="BB353" s="37">
        <v>0</v>
      </c>
      <c r="BC353" s="37">
        <v>0</v>
      </c>
      <c r="BD353" s="37">
        <v>0</v>
      </c>
      <c r="BE353" s="37">
        <v>0</v>
      </c>
      <c r="BF353" s="37">
        <v>794478</v>
      </c>
      <c r="BG353" s="37">
        <v>88276</v>
      </c>
      <c r="BH353" s="37">
        <v>0</v>
      </c>
      <c r="BI353" s="37">
        <v>0</v>
      </c>
      <c r="BJ353" s="37">
        <v>0</v>
      </c>
      <c r="BK353" s="37">
        <v>0</v>
      </c>
      <c r="BL353" s="37">
        <v>0</v>
      </c>
      <c r="BM353" s="37">
        <v>0</v>
      </c>
      <c r="BN353" s="37">
        <v>0</v>
      </c>
      <c r="BO353" s="37">
        <v>0</v>
      </c>
      <c r="BP353" s="37">
        <v>882754</v>
      </c>
      <c r="BQ353" s="37">
        <v>0</v>
      </c>
      <c r="BR353" s="37">
        <v>198620</v>
      </c>
      <c r="BS353" s="37">
        <v>22069</v>
      </c>
      <c r="BT353" s="37">
        <v>0</v>
      </c>
      <c r="BU353" s="37">
        <v>0</v>
      </c>
      <c r="BV353" s="37">
        <v>0</v>
      </c>
      <c r="BW353" s="37">
        <v>0</v>
      </c>
      <c r="BX353" s="37">
        <v>0</v>
      </c>
      <c r="BY353" s="37">
        <v>0</v>
      </c>
      <c r="BZ353" s="37">
        <v>0</v>
      </c>
      <c r="CA353" s="37">
        <v>0</v>
      </c>
      <c r="CB353" s="37">
        <v>220689</v>
      </c>
      <c r="CC353" s="37">
        <v>0</v>
      </c>
      <c r="CD353" s="37">
        <v>0</v>
      </c>
      <c r="CE353" s="37">
        <v>0</v>
      </c>
      <c r="CF353" s="37">
        <v>0</v>
      </c>
      <c r="CG353" s="37">
        <v>0</v>
      </c>
      <c r="CH353" s="37">
        <v>0</v>
      </c>
      <c r="CI353" s="37">
        <v>0</v>
      </c>
      <c r="CJ353" s="37">
        <v>0</v>
      </c>
      <c r="CK353" s="37">
        <v>0</v>
      </c>
      <c r="CL353" s="37">
        <v>0</v>
      </c>
      <c r="CM353" s="37">
        <v>0</v>
      </c>
      <c r="CN353" s="37">
        <v>0</v>
      </c>
      <c r="CO353" s="37">
        <v>0</v>
      </c>
      <c r="CP353" s="37">
        <v>0</v>
      </c>
      <c r="CQ353" s="37">
        <v>0</v>
      </c>
      <c r="CR353" s="37">
        <v>0</v>
      </c>
      <c r="CS353" s="37">
        <v>0</v>
      </c>
      <c r="CT353" s="37">
        <v>0</v>
      </c>
      <c r="CU353" s="37">
        <v>0</v>
      </c>
      <c r="CV353" s="37">
        <v>0</v>
      </c>
      <c r="CW353" s="37">
        <v>0</v>
      </c>
      <c r="CX353" s="37">
        <v>0</v>
      </c>
      <c r="CY353" s="37">
        <v>0</v>
      </c>
      <c r="CZ353" s="37">
        <v>0</v>
      </c>
      <c r="DA353" s="37">
        <v>0</v>
      </c>
      <c r="DB353" s="37">
        <v>0</v>
      </c>
      <c r="DC353" s="37">
        <v>0</v>
      </c>
      <c r="DD353" s="37">
        <v>0</v>
      </c>
      <c r="DE353" s="37">
        <v>0</v>
      </c>
      <c r="DF353" s="37">
        <v>0</v>
      </c>
      <c r="DG353" s="37">
        <v>0</v>
      </c>
      <c r="DH353" s="37">
        <v>0</v>
      </c>
      <c r="DI353" s="37">
        <v>0</v>
      </c>
      <c r="DJ353" s="37">
        <v>0</v>
      </c>
      <c r="DK353" s="37">
        <v>0</v>
      </c>
      <c r="DL353" s="37">
        <v>0</v>
      </c>
      <c r="DM353" s="37">
        <v>0</v>
      </c>
      <c r="DN353" s="37">
        <v>0</v>
      </c>
      <c r="DO353" s="37">
        <v>0</v>
      </c>
      <c r="DP353" s="37">
        <v>0</v>
      </c>
      <c r="DQ353" s="37">
        <v>0</v>
      </c>
      <c r="DR353" s="37">
        <v>0</v>
      </c>
      <c r="DS353" s="37">
        <v>0</v>
      </c>
      <c r="DT353" s="37">
        <v>0</v>
      </c>
      <c r="DU353" s="37">
        <v>0</v>
      </c>
      <c r="DV353" s="37">
        <v>0</v>
      </c>
      <c r="DW353" s="37">
        <v>0</v>
      </c>
      <c r="DX353" s="37">
        <v>0</v>
      </c>
      <c r="DY353" s="37">
        <v>0</v>
      </c>
      <c r="DZ353" s="37">
        <v>0</v>
      </c>
      <c r="EA353" s="37">
        <v>0</v>
      </c>
      <c r="EB353" s="37">
        <v>0</v>
      </c>
      <c r="EC353" s="37">
        <v>0</v>
      </c>
      <c r="ED353" s="37">
        <v>0</v>
      </c>
      <c r="EE353" s="37">
        <v>0</v>
      </c>
      <c r="EF353" s="37">
        <v>0</v>
      </c>
      <c r="EG353" s="37">
        <v>0</v>
      </c>
      <c r="EH353" s="37">
        <v>0</v>
      </c>
      <c r="EI353" s="37">
        <v>0</v>
      </c>
      <c r="EJ353" s="37">
        <v>0</v>
      </c>
      <c r="EK353" s="161" t="s">
        <v>2109</v>
      </c>
      <c r="EL353" s="294" t="s">
        <v>1124</v>
      </c>
    </row>
    <row r="354" spans="1:142" ht="15" customHeight="1" x14ac:dyDescent="0.35">
      <c r="A354" s="34"/>
      <c r="B354" s="313">
        <v>95032</v>
      </c>
      <c r="C354" s="8" t="s">
        <v>990</v>
      </c>
      <c r="D354" s="18">
        <v>9</v>
      </c>
      <c r="E354" s="155">
        <v>128747</v>
      </c>
      <c r="F354" s="36">
        <v>0</v>
      </c>
      <c r="G354" s="37">
        <v>101280</v>
      </c>
      <c r="H354" s="37">
        <v>0</v>
      </c>
      <c r="I354" s="37">
        <v>979901</v>
      </c>
      <c r="J354" s="37">
        <v>0</v>
      </c>
      <c r="K354" s="37">
        <v>15500</v>
      </c>
      <c r="L354" s="37">
        <v>0</v>
      </c>
      <c r="M354" s="37">
        <v>1225428</v>
      </c>
      <c r="N354" s="37">
        <v>0</v>
      </c>
      <c r="O354" s="37">
        <v>0</v>
      </c>
      <c r="P354" s="37">
        <v>0</v>
      </c>
      <c r="Q354" s="37">
        <v>341537</v>
      </c>
      <c r="R354" s="37">
        <v>0</v>
      </c>
      <c r="S354" s="37">
        <v>0</v>
      </c>
      <c r="T354" s="37">
        <v>0</v>
      </c>
      <c r="U354" s="37">
        <v>815580</v>
      </c>
      <c r="V354" s="37">
        <v>0</v>
      </c>
      <c r="W354" s="37">
        <v>68311</v>
      </c>
      <c r="X354" s="37">
        <v>0</v>
      </c>
      <c r="Y354" s="37">
        <v>0</v>
      </c>
      <c r="Z354" s="37">
        <v>0</v>
      </c>
      <c r="AA354" s="37">
        <v>1225428</v>
      </c>
      <c r="AB354" s="37">
        <v>0</v>
      </c>
      <c r="AC354" s="37">
        <v>0</v>
      </c>
      <c r="AD354" s="37">
        <v>0</v>
      </c>
      <c r="AE354" s="37">
        <v>0</v>
      </c>
      <c r="AF354" s="168">
        <v>0.02</v>
      </c>
      <c r="AG354" s="37">
        <v>31232762.82</v>
      </c>
      <c r="AH354" s="37">
        <v>302589.94</v>
      </c>
      <c r="AI354" s="37">
        <v>308641.73</v>
      </c>
      <c r="AJ354" s="37">
        <v>314814.57</v>
      </c>
      <c r="AK354" s="37">
        <v>321110.86</v>
      </c>
      <c r="AL354" s="37">
        <v>327533.08</v>
      </c>
      <c r="AM354" s="37">
        <v>334083.74</v>
      </c>
      <c r="AN354" s="37">
        <v>340765.41</v>
      </c>
      <c r="AO354" s="37">
        <v>347580.72</v>
      </c>
      <c r="AP354" s="37">
        <v>354532.34</v>
      </c>
      <c r="AQ354" s="37">
        <v>361622.98</v>
      </c>
      <c r="AR354" s="37">
        <v>3313275.3699999996</v>
      </c>
      <c r="AS354" s="37">
        <v>0</v>
      </c>
      <c r="AT354" s="37">
        <v>6589222.54</v>
      </c>
      <c r="AU354" s="37">
        <v>6721008.0499999998</v>
      </c>
      <c r="AV354" s="37">
        <v>0</v>
      </c>
      <c r="AW354" s="37">
        <v>0</v>
      </c>
      <c r="AX354" s="37">
        <v>3378487.26</v>
      </c>
      <c r="AY354" s="37">
        <v>0</v>
      </c>
      <c r="AZ354" s="37">
        <v>3514978.14</v>
      </c>
      <c r="BA354" s="37">
        <v>0</v>
      </c>
      <c r="BB354" s="37">
        <v>0</v>
      </c>
      <c r="BC354" s="37">
        <v>0</v>
      </c>
      <c r="BD354" s="37">
        <v>20203695.989999998</v>
      </c>
      <c r="BE354" s="37">
        <v>5947810</v>
      </c>
      <c r="BF354" s="37">
        <v>0</v>
      </c>
      <c r="BG354" s="37">
        <v>0</v>
      </c>
      <c r="BH354" s="37">
        <v>0</v>
      </c>
      <c r="BI354" s="37">
        <v>0</v>
      </c>
      <c r="BJ354" s="37">
        <v>0</v>
      </c>
      <c r="BK354" s="37">
        <v>0</v>
      </c>
      <c r="BL354" s="37">
        <v>0</v>
      </c>
      <c r="BM354" s="37">
        <v>0</v>
      </c>
      <c r="BN354" s="37">
        <v>0</v>
      </c>
      <c r="BO354" s="37">
        <v>0</v>
      </c>
      <c r="BP354" s="37">
        <v>0</v>
      </c>
      <c r="BQ354" s="37">
        <v>1375415</v>
      </c>
      <c r="BR354" s="37">
        <v>0</v>
      </c>
      <c r="BS354" s="37">
        <v>0</v>
      </c>
      <c r="BT354" s="37">
        <v>0</v>
      </c>
      <c r="BU354" s="37">
        <v>0</v>
      </c>
      <c r="BV354" s="37">
        <v>0</v>
      </c>
      <c r="BW354" s="37">
        <v>0</v>
      </c>
      <c r="BX354" s="37">
        <v>0</v>
      </c>
      <c r="BY354" s="37">
        <v>0</v>
      </c>
      <c r="BZ354" s="37">
        <v>0</v>
      </c>
      <c r="CA354" s="37">
        <v>0</v>
      </c>
      <c r="CB354" s="37">
        <v>0</v>
      </c>
      <c r="CC354" s="37">
        <v>0</v>
      </c>
      <c r="CD354" s="37">
        <v>0</v>
      </c>
      <c r="CE354" s="37">
        <v>0</v>
      </c>
      <c r="CF354" s="37">
        <v>0</v>
      </c>
      <c r="CG354" s="37">
        <v>0</v>
      </c>
      <c r="CH354" s="37">
        <v>0</v>
      </c>
      <c r="CI354" s="37">
        <v>0</v>
      </c>
      <c r="CJ354" s="37">
        <v>0</v>
      </c>
      <c r="CK354" s="37">
        <v>0</v>
      </c>
      <c r="CL354" s="37">
        <v>0</v>
      </c>
      <c r="CM354" s="37">
        <v>0</v>
      </c>
      <c r="CN354" s="37">
        <v>0</v>
      </c>
      <c r="CO354" s="37">
        <v>2869557</v>
      </c>
      <c r="CP354" s="37">
        <v>4612866</v>
      </c>
      <c r="CQ354" s="37">
        <v>0</v>
      </c>
      <c r="CR354" s="37">
        <v>0</v>
      </c>
      <c r="CS354" s="37">
        <v>0</v>
      </c>
      <c r="CT354" s="37">
        <v>0</v>
      </c>
      <c r="CU354" s="37">
        <v>0</v>
      </c>
      <c r="CV354" s="37">
        <v>0</v>
      </c>
      <c r="CW354" s="37">
        <v>0</v>
      </c>
      <c r="CX354" s="37">
        <v>0</v>
      </c>
      <c r="CY354" s="37">
        <v>0</v>
      </c>
      <c r="CZ354" s="37">
        <v>4612866</v>
      </c>
      <c r="DA354" s="37">
        <v>446582</v>
      </c>
      <c r="DB354" s="37">
        <v>815278</v>
      </c>
      <c r="DC354" s="37">
        <v>0</v>
      </c>
      <c r="DD354" s="37">
        <v>0</v>
      </c>
      <c r="DE354" s="37">
        <v>0</v>
      </c>
      <c r="DF354" s="37">
        <v>0</v>
      </c>
      <c r="DG354" s="37">
        <v>0</v>
      </c>
      <c r="DH354" s="37">
        <v>0</v>
      </c>
      <c r="DI354" s="37">
        <v>0</v>
      </c>
      <c r="DJ354" s="37">
        <v>0</v>
      </c>
      <c r="DK354" s="37">
        <v>0</v>
      </c>
      <c r="DL354" s="37">
        <v>815278</v>
      </c>
      <c r="DM354" s="37">
        <v>100000</v>
      </c>
      <c r="DN354" s="37">
        <v>0</v>
      </c>
      <c r="DO354" s="37">
        <v>0</v>
      </c>
      <c r="DP354" s="37">
        <v>0</v>
      </c>
      <c r="DQ354" s="37">
        <v>0</v>
      </c>
      <c r="DR354" s="37">
        <v>0</v>
      </c>
      <c r="DS354" s="37">
        <v>0</v>
      </c>
      <c r="DT354" s="37">
        <v>0</v>
      </c>
      <c r="DU354" s="37">
        <v>0</v>
      </c>
      <c r="DV354" s="37">
        <v>0</v>
      </c>
      <c r="DW354" s="37">
        <v>0</v>
      </c>
      <c r="DX354" s="37">
        <v>0</v>
      </c>
      <c r="DY354" s="37">
        <v>0</v>
      </c>
      <c r="DZ354" s="37">
        <v>0</v>
      </c>
      <c r="EA354" s="37">
        <v>0</v>
      </c>
      <c r="EB354" s="37">
        <v>0</v>
      </c>
      <c r="EC354" s="37">
        <v>0</v>
      </c>
      <c r="ED354" s="37">
        <v>0</v>
      </c>
      <c r="EE354" s="37">
        <v>0</v>
      </c>
      <c r="EF354" s="37">
        <v>0</v>
      </c>
      <c r="EG354" s="37">
        <v>0</v>
      </c>
      <c r="EH354" s="37">
        <v>0</v>
      </c>
      <c r="EI354" s="37">
        <v>0</v>
      </c>
      <c r="EJ354" s="37">
        <v>0</v>
      </c>
      <c r="EK354" s="161" t="s">
        <v>2114</v>
      </c>
      <c r="EL354" s="294" t="s">
        <v>1124</v>
      </c>
    </row>
    <row r="355" spans="1:142" ht="15" customHeight="1" x14ac:dyDescent="0.35">
      <c r="A355" s="34"/>
      <c r="B355" s="313">
        <v>58227</v>
      </c>
      <c r="C355" s="8" t="s">
        <v>598</v>
      </c>
      <c r="D355" s="18">
        <v>16</v>
      </c>
      <c r="E355" s="155">
        <v>11037160</v>
      </c>
      <c r="F355" s="36">
        <v>5488724</v>
      </c>
      <c r="G355" s="37">
        <v>1884178</v>
      </c>
      <c r="H355" s="37">
        <v>1758980</v>
      </c>
      <c r="I355" s="37">
        <v>2891805</v>
      </c>
      <c r="J355" s="37">
        <v>4999635</v>
      </c>
      <c r="K355" s="37">
        <v>1803064</v>
      </c>
      <c r="L355" s="37">
        <v>881156</v>
      </c>
      <c r="M355" s="37">
        <v>17616207</v>
      </c>
      <c r="N355" s="37">
        <v>13128495</v>
      </c>
      <c r="O355" s="37">
        <v>0</v>
      </c>
      <c r="P355" s="37">
        <v>0</v>
      </c>
      <c r="Q355" s="37">
        <v>1350629</v>
      </c>
      <c r="R355" s="37">
        <v>3879769</v>
      </c>
      <c r="S355" s="37">
        <v>4550857</v>
      </c>
      <c r="T355" s="37">
        <v>0</v>
      </c>
      <c r="U355" s="37">
        <v>551201</v>
      </c>
      <c r="V355" s="37">
        <v>454240</v>
      </c>
      <c r="W355" s="37">
        <v>11140087</v>
      </c>
      <c r="X355" s="37">
        <v>8771054</v>
      </c>
      <c r="Y355" s="37">
        <v>23433</v>
      </c>
      <c r="Z355" s="37">
        <v>23432</v>
      </c>
      <c r="AA355" s="37">
        <v>17616207</v>
      </c>
      <c r="AB355" s="37">
        <v>13128495</v>
      </c>
      <c r="AC355" s="37">
        <v>0</v>
      </c>
      <c r="AD355" s="37">
        <v>0</v>
      </c>
      <c r="AE355" s="37">
        <v>0</v>
      </c>
      <c r="AF355" s="168">
        <v>0.02</v>
      </c>
      <c r="AG355" s="37">
        <v>884895000</v>
      </c>
      <c r="AH355" s="37">
        <v>30938000</v>
      </c>
      <c r="AI355" s="37">
        <v>31557000</v>
      </c>
      <c r="AJ355" s="37">
        <v>32188000</v>
      </c>
      <c r="AK355" s="37">
        <v>31751000</v>
      </c>
      <c r="AL355" s="37">
        <v>32386000</v>
      </c>
      <c r="AM355" s="37">
        <v>33033500</v>
      </c>
      <c r="AN355" s="37">
        <v>33113500</v>
      </c>
      <c r="AO355" s="37">
        <v>33776000</v>
      </c>
      <c r="AP355" s="37">
        <v>34451500</v>
      </c>
      <c r="AQ355" s="37">
        <v>35140500</v>
      </c>
      <c r="AR355" s="37">
        <v>328335000</v>
      </c>
      <c r="AS355" s="37">
        <v>92502334</v>
      </c>
      <c r="AT355" s="37">
        <v>346500</v>
      </c>
      <c r="AU355" s="37">
        <v>353500</v>
      </c>
      <c r="AV355" s="37">
        <v>360500</v>
      </c>
      <c r="AW355" s="37">
        <v>16553500</v>
      </c>
      <c r="AX355" s="37">
        <v>16884500</v>
      </c>
      <c r="AY355" s="37">
        <v>17222000</v>
      </c>
      <c r="AZ355" s="37">
        <v>705000</v>
      </c>
      <c r="BA355" s="37">
        <v>719500</v>
      </c>
      <c r="BB355" s="37">
        <v>733500</v>
      </c>
      <c r="BC355" s="37">
        <v>748000</v>
      </c>
      <c r="BD355" s="37">
        <v>54626500</v>
      </c>
      <c r="BE355" s="37">
        <v>800583</v>
      </c>
      <c r="BF355" s="37">
        <v>12487500</v>
      </c>
      <c r="BG355" s="37">
        <v>12487500</v>
      </c>
      <c r="BH355" s="37">
        <v>12487500</v>
      </c>
      <c r="BI355" s="37">
        <v>12487500</v>
      </c>
      <c r="BJ355" s="37">
        <v>3697500</v>
      </c>
      <c r="BK355" s="37">
        <v>3697500</v>
      </c>
      <c r="BL355" s="37">
        <v>3697500</v>
      </c>
      <c r="BM355" s="37">
        <v>3697500</v>
      </c>
      <c r="BN355" s="37">
        <v>0</v>
      </c>
      <c r="BO355" s="37">
        <v>0</v>
      </c>
      <c r="BP355" s="37">
        <v>64740000</v>
      </c>
      <c r="BQ355" s="37">
        <v>5351720</v>
      </c>
      <c r="BR355" s="37">
        <v>11672000</v>
      </c>
      <c r="BS355" s="37">
        <v>11905000</v>
      </c>
      <c r="BT355" s="37">
        <v>12143000</v>
      </c>
      <c r="BU355" s="37">
        <v>12386000</v>
      </c>
      <c r="BV355" s="37">
        <v>12634000</v>
      </c>
      <c r="BW355" s="37">
        <v>12887000</v>
      </c>
      <c r="BX355" s="37">
        <v>13145000</v>
      </c>
      <c r="BY355" s="37">
        <v>13408000</v>
      </c>
      <c r="BZ355" s="37">
        <v>13676000</v>
      </c>
      <c r="CA355" s="37">
        <v>13950000</v>
      </c>
      <c r="CB355" s="37">
        <v>127806000</v>
      </c>
      <c r="CC355" s="37">
        <v>1053007</v>
      </c>
      <c r="CD355" s="37">
        <v>2400000</v>
      </c>
      <c r="CE355" s="37">
        <v>2400000</v>
      </c>
      <c r="CF355" s="37">
        <v>2400000</v>
      </c>
      <c r="CG355" s="37">
        <v>2400000</v>
      </c>
      <c r="CH355" s="37">
        <v>2400000</v>
      </c>
      <c r="CI355" s="37">
        <v>2400000</v>
      </c>
      <c r="CJ355" s="37">
        <v>2400000</v>
      </c>
      <c r="CK355" s="37">
        <v>2400000</v>
      </c>
      <c r="CL355" s="37">
        <v>2400000</v>
      </c>
      <c r="CM355" s="37">
        <v>2400000</v>
      </c>
      <c r="CN355" s="37">
        <v>24000000</v>
      </c>
      <c r="CO355" s="37">
        <v>0</v>
      </c>
      <c r="CP355" s="37">
        <v>0</v>
      </c>
      <c r="CQ355" s="37">
        <v>0</v>
      </c>
      <c r="CR355" s="37">
        <v>0</v>
      </c>
      <c r="CS355" s="37">
        <v>0</v>
      </c>
      <c r="CT355" s="37">
        <v>0</v>
      </c>
      <c r="CU355" s="37">
        <v>0</v>
      </c>
      <c r="CV355" s="37">
        <v>0</v>
      </c>
      <c r="CW355" s="37">
        <v>0</v>
      </c>
      <c r="CX355" s="37">
        <v>0</v>
      </c>
      <c r="CY355" s="37">
        <v>0</v>
      </c>
      <c r="CZ355" s="37">
        <v>0</v>
      </c>
      <c r="DA355" s="37">
        <v>2061818</v>
      </c>
      <c r="DB355" s="37">
        <v>2475000</v>
      </c>
      <c r="DC355" s="37">
        <v>2475000</v>
      </c>
      <c r="DD355" s="37">
        <v>0</v>
      </c>
      <c r="DE355" s="37">
        <v>0</v>
      </c>
      <c r="DF355" s="37">
        <v>0</v>
      </c>
      <c r="DG355" s="37">
        <v>0</v>
      </c>
      <c r="DH355" s="37">
        <v>0</v>
      </c>
      <c r="DI355" s="37">
        <v>0</v>
      </c>
      <c r="DJ355" s="37">
        <v>0</v>
      </c>
      <c r="DK355" s="37">
        <v>0</v>
      </c>
      <c r="DL355" s="37">
        <v>4950000</v>
      </c>
      <c r="DM355" s="37">
        <v>604986</v>
      </c>
      <c r="DN355" s="37">
        <v>0</v>
      </c>
      <c r="DO355" s="37">
        <v>0</v>
      </c>
      <c r="DP355" s="37">
        <v>0</v>
      </c>
      <c r="DQ355" s="37">
        <v>0</v>
      </c>
      <c r="DR355" s="37">
        <v>0</v>
      </c>
      <c r="DS355" s="37">
        <v>0</v>
      </c>
      <c r="DT355" s="37">
        <v>0</v>
      </c>
      <c r="DU355" s="37">
        <v>0</v>
      </c>
      <c r="DV355" s="37">
        <v>0</v>
      </c>
      <c r="DW355" s="37">
        <v>0</v>
      </c>
      <c r="DX355" s="37">
        <v>0</v>
      </c>
      <c r="DY355" s="37">
        <v>98940</v>
      </c>
      <c r="DZ355" s="37">
        <v>2025000</v>
      </c>
      <c r="EA355" s="37">
        <v>2025000</v>
      </c>
      <c r="EB355" s="37">
        <v>0</v>
      </c>
      <c r="EC355" s="37">
        <v>0</v>
      </c>
      <c r="ED355" s="37">
        <v>0</v>
      </c>
      <c r="EE355" s="37">
        <v>0</v>
      </c>
      <c r="EF355" s="37">
        <v>0</v>
      </c>
      <c r="EG355" s="37">
        <v>0</v>
      </c>
      <c r="EH355" s="37">
        <v>0</v>
      </c>
      <c r="EI355" s="37">
        <v>0</v>
      </c>
      <c r="EJ355" s="37">
        <v>4050000</v>
      </c>
      <c r="EK355" s="161" t="s">
        <v>1124</v>
      </c>
      <c r="EL355" s="294" t="s">
        <v>3726</v>
      </c>
    </row>
    <row r="356" spans="1:142" ht="15" customHeight="1" x14ac:dyDescent="0.35">
      <c r="A356" s="34"/>
      <c r="B356" s="313">
        <v>73025</v>
      </c>
      <c r="C356" s="8" t="s">
        <v>738</v>
      </c>
      <c r="D356" s="18">
        <v>15</v>
      </c>
      <c r="E356" s="155">
        <v>1447992</v>
      </c>
      <c r="F356" s="36">
        <v>958039</v>
      </c>
      <c r="G356" s="37">
        <v>239386</v>
      </c>
      <c r="H356" s="37">
        <v>0</v>
      </c>
      <c r="I356" s="37">
        <v>209040</v>
      </c>
      <c r="J356" s="37">
        <v>0</v>
      </c>
      <c r="K356" s="37">
        <v>0</v>
      </c>
      <c r="L356" s="37">
        <v>0</v>
      </c>
      <c r="M356" s="37">
        <v>1896418</v>
      </c>
      <c r="N356" s="37">
        <v>958039</v>
      </c>
      <c r="O356" s="37">
        <v>832850</v>
      </c>
      <c r="P356" s="37">
        <v>0</v>
      </c>
      <c r="Q356" s="37">
        <v>0</v>
      </c>
      <c r="R356" s="37">
        <v>745592</v>
      </c>
      <c r="S356" s="37">
        <v>0</v>
      </c>
      <c r="T356" s="37">
        <v>0</v>
      </c>
      <c r="U356" s="37">
        <v>58538</v>
      </c>
      <c r="V356" s="37">
        <v>0</v>
      </c>
      <c r="W356" s="37">
        <v>1076471</v>
      </c>
      <c r="X356" s="37">
        <v>0</v>
      </c>
      <c r="Y356" s="37">
        <v>72488.179999999993</v>
      </c>
      <c r="Z356" s="37">
        <v>68518.039999999994</v>
      </c>
      <c r="AA356" s="37">
        <v>2040347.18</v>
      </c>
      <c r="AB356" s="37">
        <v>814110.04</v>
      </c>
      <c r="AC356" s="37">
        <v>0</v>
      </c>
      <c r="AD356" s="37">
        <v>0</v>
      </c>
      <c r="AE356" s="37">
        <v>0</v>
      </c>
      <c r="AF356" s="168">
        <v>0.02</v>
      </c>
      <c r="AG356" s="37">
        <v>76419572.310000002</v>
      </c>
      <c r="AH356" s="37">
        <v>693565.99</v>
      </c>
      <c r="AI356" s="37">
        <v>702131.27</v>
      </c>
      <c r="AJ356" s="37">
        <v>716173.89</v>
      </c>
      <c r="AK356" s="37">
        <v>730497.37</v>
      </c>
      <c r="AL356" s="37">
        <v>745107.32</v>
      </c>
      <c r="AM356" s="37">
        <v>760009.46</v>
      </c>
      <c r="AN356" s="37">
        <v>775209.65</v>
      </c>
      <c r="AO356" s="37">
        <v>790713.84</v>
      </c>
      <c r="AP356" s="37">
        <v>806528.12</v>
      </c>
      <c r="AQ356" s="37">
        <v>822658.68</v>
      </c>
      <c r="AR356" s="37">
        <v>7542595.5899999999</v>
      </c>
      <c r="AS356" s="37">
        <v>2279859.73</v>
      </c>
      <c r="AT356" s="37">
        <v>933759</v>
      </c>
      <c r="AU356" s="37">
        <v>1167328.8</v>
      </c>
      <c r="AV356" s="37">
        <v>703580.9</v>
      </c>
      <c r="AW356" s="37">
        <v>607244.43999999994</v>
      </c>
      <c r="AX356" s="37">
        <v>0</v>
      </c>
      <c r="AY356" s="37">
        <v>0</v>
      </c>
      <c r="AZ356" s="37">
        <v>0</v>
      </c>
      <c r="BA356" s="37">
        <v>0</v>
      </c>
      <c r="BB356" s="37">
        <v>0</v>
      </c>
      <c r="BC356" s="37">
        <v>0</v>
      </c>
      <c r="BD356" s="37">
        <v>3411913.1399999997</v>
      </c>
      <c r="BE356" s="37">
        <v>453000</v>
      </c>
      <c r="BF356" s="37">
        <v>600000</v>
      </c>
      <c r="BG356" s="37">
        <v>525000</v>
      </c>
      <c r="BH356" s="37">
        <v>800000</v>
      </c>
      <c r="BI356" s="37">
        <v>415000</v>
      </c>
      <c r="BJ356" s="37">
        <v>0</v>
      </c>
      <c r="BK356" s="37">
        <v>0</v>
      </c>
      <c r="BL356" s="37">
        <v>0</v>
      </c>
      <c r="BM356" s="37">
        <v>0</v>
      </c>
      <c r="BN356" s="37">
        <v>0</v>
      </c>
      <c r="BO356" s="37">
        <v>0</v>
      </c>
      <c r="BP356" s="37">
        <v>2340000</v>
      </c>
      <c r="BQ356" s="37">
        <v>0</v>
      </c>
      <c r="BR356" s="37">
        <v>0</v>
      </c>
      <c r="BS356" s="37">
        <v>0</v>
      </c>
      <c r="BT356" s="37">
        <v>0</v>
      </c>
      <c r="BU356" s="37">
        <v>0</v>
      </c>
      <c r="BV356" s="37">
        <v>0</v>
      </c>
      <c r="BW356" s="37">
        <v>0</v>
      </c>
      <c r="BX356" s="37">
        <v>0</v>
      </c>
      <c r="BY356" s="37">
        <v>0</v>
      </c>
      <c r="BZ356" s="37">
        <v>0</v>
      </c>
      <c r="CA356" s="37">
        <v>0</v>
      </c>
      <c r="CB356" s="37">
        <v>0</v>
      </c>
      <c r="CC356" s="37">
        <v>0</v>
      </c>
      <c r="CD356" s="37">
        <v>0</v>
      </c>
      <c r="CE356" s="37">
        <v>0</v>
      </c>
      <c r="CF356" s="37">
        <v>0</v>
      </c>
      <c r="CG356" s="37">
        <v>0</v>
      </c>
      <c r="CH356" s="37">
        <v>0</v>
      </c>
      <c r="CI356" s="37">
        <v>0</v>
      </c>
      <c r="CJ356" s="37">
        <v>0</v>
      </c>
      <c r="CK356" s="37">
        <v>0</v>
      </c>
      <c r="CL356" s="37">
        <v>0</v>
      </c>
      <c r="CM356" s="37">
        <v>0</v>
      </c>
      <c r="CN356" s="37">
        <v>0</v>
      </c>
      <c r="CO356" s="37">
        <v>0</v>
      </c>
      <c r="CP356" s="37">
        <v>0</v>
      </c>
      <c r="CQ356" s="37">
        <v>0</v>
      </c>
      <c r="CR356" s="37">
        <v>0</v>
      </c>
      <c r="CS356" s="37">
        <v>0</v>
      </c>
      <c r="CT356" s="37">
        <v>0</v>
      </c>
      <c r="CU356" s="37">
        <v>0</v>
      </c>
      <c r="CV356" s="37">
        <v>0</v>
      </c>
      <c r="CW356" s="37">
        <v>0</v>
      </c>
      <c r="CX356" s="37">
        <v>0</v>
      </c>
      <c r="CY356" s="37">
        <v>0</v>
      </c>
      <c r="CZ356" s="37">
        <v>0</v>
      </c>
      <c r="DA356" s="37">
        <v>0</v>
      </c>
      <c r="DB356" s="37">
        <v>1500000</v>
      </c>
      <c r="DC356" s="37">
        <v>0</v>
      </c>
      <c r="DD356" s="37">
        <v>0</v>
      </c>
      <c r="DE356" s="37">
        <v>0</v>
      </c>
      <c r="DF356" s="37">
        <v>0</v>
      </c>
      <c r="DG356" s="37">
        <v>0</v>
      </c>
      <c r="DH356" s="37">
        <v>0</v>
      </c>
      <c r="DI356" s="37">
        <v>0</v>
      </c>
      <c r="DJ356" s="37">
        <v>0</v>
      </c>
      <c r="DK356" s="37">
        <v>0</v>
      </c>
      <c r="DL356" s="37">
        <v>1500000</v>
      </c>
      <c r="DM356" s="37">
        <v>0</v>
      </c>
      <c r="DN356" s="37">
        <v>0</v>
      </c>
      <c r="DO356" s="37">
        <v>0</v>
      </c>
      <c r="DP356" s="37">
        <v>0</v>
      </c>
      <c r="DQ356" s="37">
        <v>0</v>
      </c>
      <c r="DR356" s="37">
        <v>0</v>
      </c>
      <c r="DS356" s="37">
        <v>0</v>
      </c>
      <c r="DT356" s="37">
        <v>0</v>
      </c>
      <c r="DU356" s="37">
        <v>0</v>
      </c>
      <c r="DV356" s="37">
        <v>0</v>
      </c>
      <c r="DW356" s="37">
        <v>0</v>
      </c>
      <c r="DX356" s="37">
        <v>0</v>
      </c>
      <c r="DY356" s="37">
        <v>0</v>
      </c>
      <c r="DZ356" s="37">
        <v>0</v>
      </c>
      <c r="EA356" s="37">
        <v>0</v>
      </c>
      <c r="EB356" s="37">
        <v>0</v>
      </c>
      <c r="EC356" s="37">
        <v>0</v>
      </c>
      <c r="ED356" s="37">
        <v>0</v>
      </c>
      <c r="EE356" s="37">
        <v>0</v>
      </c>
      <c r="EF356" s="37">
        <v>0</v>
      </c>
      <c r="EG356" s="37">
        <v>0</v>
      </c>
      <c r="EH356" s="37">
        <v>0</v>
      </c>
      <c r="EI356" s="37">
        <v>0</v>
      </c>
      <c r="EJ356" s="37">
        <v>0</v>
      </c>
      <c r="EK356" s="161" t="s">
        <v>1124</v>
      </c>
      <c r="EL356" s="294" t="s">
        <v>1124</v>
      </c>
    </row>
    <row r="357" spans="1:142" ht="15" customHeight="1" x14ac:dyDescent="0.35">
      <c r="A357" s="34"/>
      <c r="B357" s="313">
        <v>85037</v>
      </c>
      <c r="C357" s="8" t="s">
        <v>876</v>
      </c>
      <c r="D357" s="18">
        <v>8</v>
      </c>
      <c r="E357" s="155">
        <v>42424</v>
      </c>
      <c r="F357" s="36">
        <v>66942</v>
      </c>
      <c r="G357" s="37">
        <v>0</v>
      </c>
      <c r="H357" s="37">
        <v>0</v>
      </c>
      <c r="I357" s="37">
        <v>0</v>
      </c>
      <c r="J357" s="37">
        <v>0</v>
      </c>
      <c r="K357" s="37">
        <v>6363</v>
      </c>
      <c r="L357" s="37">
        <v>10041</v>
      </c>
      <c r="M357" s="37">
        <v>48787</v>
      </c>
      <c r="N357" s="37">
        <v>76983</v>
      </c>
      <c r="O357" s="37">
        <v>0</v>
      </c>
      <c r="P357" s="37">
        <v>0</v>
      </c>
      <c r="Q357" s="37">
        <v>57261</v>
      </c>
      <c r="R357" s="37">
        <v>53910</v>
      </c>
      <c r="S357" s="37">
        <v>0</v>
      </c>
      <c r="T357" s="37">
        <v>0</v>
      </c>
      <c r="U357" s="37">
        <v>0</v>
      </c>
      <c r="V357" s="37">
        <v>0</v>
      </c>
      <c r="W357" s="37">
        <v>7300</v>
      </c>
      <c r="X357" s="37">
        <v>7299</v>
      </c>
      <c r="Y357" s="37">
        <v>0</v>
      </c>
      <c r="Z357" s="37">
        <v>0</v>
      </c>
      <c r="AA357" s="37">
        <v>64561</v>
      </c>
      <c r="AB357" s="37">
        <v>61209</v>
      </c>
      <c r="AC357" s="37">
        <v>0</v>
      </c>
      <c r="AD357" s="37">
        <v>0</v>
      </c>
      <c r="AE357" s="37">
        <v>0</v>
      </c>
      <c r="AF357" s="168">
        <v>0.02</v>
      </c>
      <c r="AG357" s="37">
        <v>10770210.189999999</v>
      </c>
      <c r="AH357" s="37">
        <v>88818</v>
      </c>
      <c r="AI357" s="37">
        <v>90593.98</v>
      </c>
      <c r="AJ357" s="37">
        <v>92405.86</v>
      </c>
      <c r="AK357" s="37">
        <v>94253.98</v>
      </c>
      <c r="AL357" s="37">
        <v>96139.06</v>
      </c>
      <c r="AM357" s="37">
        <v>98061.84</v>
      </c>
      <c r="AN357" s="37">
        <v>100023.08</v>
      </c>
      <c r="AO357" s="37">
        <v>102023.54</v>
      </c>
      <c r="AP357" s="37">
        <v>104064.01</v>
      </c>
      <c r="AQ357" s="37">
        <v>106145.29</v>
      </c>
      <c r="AR357" s="37">
        <v>972528.6399999999</v>
      </c>
      <c r="AS357" s="37">
        <v>66377.52</v>
      </c>
      <c r="AT357" s="37">
        <v>0</v>
      </c>
      <c r="AU357" s="37">
        <v>212241.6</v>
      </c>
      <c r="AV357" s="37">
        <v>0</v>
      </c>
      <c r="AW357" s="37">
        <v>0</v>
      </c>
      <c r="AX357" s="37">
        <v>0</v>
      </c>
      <c r="AY357" s="37">
        <v>0</v>
      </c>
      <c r="AZ357" s="37">
        <v>0</v>
      </c>
      <c r="BA357" s="37">
        <v>0</v>
      </c>
      <c r="BB357" s="37">
        <v>0</v>
      </c>
      <c r="BC357" s="37">
        <v>0</v>
      </c>
      <c r="BD357" s="37">
        <v>212241.6</v>
      </c>
      <c r="BE357" s="37">
        <v>12549</v>
      </c>
      <c r="BF357" s="37">
        <v>0</v>
      </c>
      <c r="BG357" s="37">
        <v>0</v>
      </c>
      <c r="BH357" s="37">
        <v>0</v>
      </c>
      <c r="BI357" s="37">
        <v>0</v>
      </c>
      <c r="BJ357" s="37">
        <v>0</v>
      </c>
      <c r="BK357" s="37">
        <v>0</v>
      </c>
      <c r="BL357" s="37">
        <v>0</v>
      </c>
      <c r="BM357" s="37">
        <v>0</v>
      </c>
      <c r="BN357" s="37">
        <v>0</v>
      </c>
      <c r="BO357" s="37">
        <v>0</v>
      </c>
      <c r="BP357" s="37">
        <v>0</v>
      </c>
      <c r="BQ357" s="37">
        <v>0</v>
      </c>
      <c r="BR357" s="37">
        <v>0</v>
      </c>
      <c r="BS357" s="37">
        <v>0</v>
      </c>
      <c r="BT357" s="37">
        <v>0</v>
      </c>
      <c r="BU357" s="37">
        <v>0</v>
      </c>
      <c r="BV357" s="37">
        <v>0</v>
      </c>
      <c r="BW357" s="37">
        <v>0</v>
      </c>
      <c r="BX357" s="37">
        <v>0</v>
      </c>
      <c r="BY357" s="37">
        <v>0</v>
      </c>
      <c r="BZ357" s="37">
        <v>0</v>
      </c>
      <c r="CA357" s="37">
        <v>0</v>
      </c>
      <c r="CB357" s="37">
        <v>0</v>
      </c>
      <c r="CC357" s="37">
        <v>0</v>
      </c>
      <c r="CD357" s="37">
        <v>0</v>
      </c>
      <c r="CE357" s="37">
        <v>0</v>
      </c>
      <c r="CF357" s="37">
        <v>0</v>
      </c>
      <c r="CG357" s="37">
        <v>0</v>
      </c>
      <c r="CH357" s="37">
        <v>0</v>
      </c>
      <c r="CI357" s="37">
        <v>0</v>
      </c>
      <c r="CJ357" s="37">
        <v>0</v>
      </c>
      <c r="CK357" s="37">
        <v>0</v>
      </c>
      <c r="CL357" s="37">
        <v>0</v>
      </c>
      <c r="CM357" s="37">
        <v>0</v>
      </c>
      <c r="CN357" s="37">
        <v>0</v>
      </c>
      <c r="CO357" s="37">
        <v>0</v>
      </c>
      <c r="CP357" s="37">
        <v>0</v>
      </c>
      <c r="CQ357" s="37">
        <v>0</v>
      </c>
      <c r="CR357" s="37">
        <v>0</v>
      </c>
      <c r="CS357" s="37">
        <v>0</v>
      </c>
      <c r="CT357" s="37">
        <v>0</v>
      </c>
      <c r="CU357" s="37">
        <v>0</v>
      </c>
      <c r="CV357" s="37">
        <v>0</v>
      </c>
      <c r="CW357" s="37">
        <v>0</v>
      </c>
      <c r="CX357" s="37">
        <v>0</v>
      </c>
      <c r="CY357" s="37">
        <v>0</v>
      </c>
      <c r="CZ357" s="37">
        <v>0</v>
      </c>
      <c r="DA357" s="37">
        <v>0</v>
      </c>
      <c r="DB357" s="37">
        <v>0</v>
      </c>
      <c r="DC357" s="37">
        <v>0</v>
      </c>
      <c r="DD357" s="37">
        <v>0</v>
      </c>
      <c r="DE357" s="37">
        <v>0</v>
      </c>
      <c r="DF357" s="37">
        <v>0</v>
      </c>
      <c r="DG357" s="37">
        <v>0</v>
      </c>
      <c r="DH357" s="37">
        <v>0</v>
      </c>
      <c r="DI357" s="37">
        <v>0</v>
      </c>
      <c r="DJ357" s="37">
        <v>0</v>
      </c>
      <c r="DK357" s="37">
        <v>0</v>
      </c>
      <c r="DL357" s="37">
        <v>0</v>
      </c>
      <c r="DM357" s="37">
        <v>19848</v>
      </c>
      <c r="DN357" s="37">
        <v>0</v>
      </c>
      <c r="DO357" s="37">
        <v>0</v>
      </c>
      <c r="DP357" s="37">
        <v>0</v>
      </c>
      <c r="DQ357" s="37">
        <v>0</v>
      </c>
      <c r="DR357" s="37">
        <v>0</v>
      </c>
      <c r="DS357" s="37">
        <v>0</v>
      </c>
      <c r="DT357" s="37">
        <v>0</v>
      </c>
      <c r="DU357" s="37">
        <v>0</v>
      </c>
      <c r="DV357" s="37">
        <v>0</v>
      </c>
      <c r="DW357" s="37">
        <v>0</v>
      </c>
      <c r="DX357" s="37">
        <v>0</v>
      </c>
      <c r="DY357" s="37">
        <v>0</v>
      </c>
      <c r="DZ357" s="37">
        <v>0</v>
      </c>
      <c r="EA357" s="37">
        <v>0</v>
      </c>
      <c r="EB357" s="37">
        <v>0</v>
      </c>
      <c r="EC357" s="37">
        <v>0</v>
      </c>
      <c r="ED357" s="37">
        <v>0</v>
      </c>
      <c r="EE357" s="37">
        <v>0</v>
      </c>
      <c r="EF357" s="37">
        <v>0</v>
      </c>
      <c r="EG357" s="37">
        <v>0</v>
      </c>
      <c r="EH357" s="37">
        <v>0</v>
      </c>
      <c r="EI357" s="37">
        <v>0</v>
      </c>
      <c r="EJ357" s="37">
        <v>0</v>
      </c>
      <c r="EK357" s="161" t="s">
        <v>2119</v>
      </c>
      <c r="EL357" s="294" t="s">
        <v>1124</v>
      </c>
    </row>
    <row r="358" spans="1:142" ht="15" customHeight="1" x14ac:dyDescent="0.35">
      <c r="A358" s="34"/>
      <c r="B358" s="313">
        <v>33115</v>
      </c>
      <c r="C358" s="8" t="s">
        <v>283</v>
      </c>
      <c r="D358" s="18">
        <v>12</v>
      </c>
      <c r="E358" s="155"/>
      <c r="F358" s="36"/>
      <c r="G358" s="37"/>
      <c r="H358" s="37"/>
      <c r="I358" s="37"/>
      <c r="J358" s="37"/>
      <c r="K358" s="37"/>
      <c r="L358" s="37"/>
      <c r="M358" s="37" t="s">
        <v>1124</v>
      </c>
      <c r="N358" s="37" t="s">
        <v>1124</v>
      </c>
      <c r="O358" s="37"/>
      <c r="P358" s="37"/>
      <c r="Q358" s="37"/>
      <c r="R358" s="37"/>
      <c r="S358" s="37"/>
      <c r="T358" s="37"/>
      <c r="U358" s="37"/>
      <c r="V358" s="37"/>
      <c r="W358" s="37"/>
      <c r="X358" s="37"/>
      <c r="Y358" s="37"/>
      <c r="Z358" s="37"/>
      <c r="AA358" s="37" t="s">
        <v>1124</v>
      </c>
      <c r="AB358" s="37" t="s">
        <v>1124</v>
      </c>
      <c r="AC358" s="37"/>
      <c r="AD358" s="37"/>
      <c r="AE358" s="37"/>
      <c r="AF358" s="168"/>
      <c r="AG358" s="37"/>
      <c r="AH358" s="37"/>
      <c r="AI358" s="37"/>
      <c r="AJ358" s="37"/>
      <c r="AK358" s="37"/>
      <c r="AL358" s="37"/>
      <c r="AM358" s="37"/>
      <c r="AN358" s="37"/>
      <c r="AO358" s="37"/>
      <c r="AP358" s="37"/>
      <c r="AQ358" s="37"/>
      <c r="AR358" s="37" t="s">
        <v>1124</v>
      </c>
      <c r="AS358" s="37"/>
      <c r="AT358" s="37"/>
      <c r="AU358" s="37"/>
      <c r="AV358" s="37"/>
      <c r="AW358" s="37"/>
      <c r="AX358" s="37"/>
      <c r="AY358" s="37"/>
      <c r="AZ358" s="37"/>
      <c r="BA358" s="37"/>
      <c r="BB358" s="37"/>
      <c r="BC358" s="37"/>
      <c r="BD358" s="37" t="s">
        <v>1124</v>
      </c>
      <c r="BE358" s="37"/>
      <c r="BF358" s="37"/>
      <c r="BG358" s="37"/>
      <c r="BH358" s="37"/>
      <c r="BI358" s="37"/>
      <c r="BJ358" s="37"/>
      <c r="BK358" s="37"/>
      <c r="BL358" s="37"/>
      <c r="BM358" s="37"/>
      <c r="BN358" s="37"/>
      <c r="BO358" s="37"/>
      <c r="BP358" s="37">
        <v>0</v>
      </c>
      <c r="BQ358" s="37"/>
      <c r="BR358" s="37"/>
      <c r="BS358" s="37"/>
      <c r="BT358" s="37"/>
      <c r="BU358" s="37"/>
      <c r="BV358" s="37"/>
      <c r="BW358" s="37"/>
      <c r="BX358" s="37"/>
      <c r="BY358" s="37"/>
      <c r="BZ358" s="37"/>
      <c r="CA358" s="37"/>
      <c r="CB358" s="37" t="s">
        <v>1124</v>
      </c>
      <c r="CC358" s="37"/>
      <c r="CD358" s="37"/>
      <c r="CE358" s="37"/>
      <c r="CF358" s="37"/>
      <c r="CG358" s="37"/>
      <c r="CH358" s="37"/>
      <c r="CI358" s="37"/>
      <c r="CJ358" s="37"/>
      <c r="CK358" s="37"/>
      <c r="CL358" s="37"/>
      <c r="CM358" s="37"/>
      <c r="CN358" s="37" t="s">
        <v>1124</v>
      </c>
      <c r="CO358" s="37"/>
      <c r="CP358" s="37"/>
      <c r="CQ358" s="37"/>
      <c r="CR358" s="37"/>
      <c r="CS358" s="37"/>
      <c r="CT358" s="37"/>
      <c r="CU358" s="37"/>
      <c r="CV358" s="37"/>
      <c r="CW358" s="37"/>
      <c r="CX358" s="37"/>
      <c r="CY358" s="37"/>
      <c r="CZ358" s="37" t="s">
        <v>1124</v>
      </c>
      <c r="DA358" s="37"/>
      <c r="DB358" s="37"/>
      <c r="DC358" s="37"/>
      <c r="DD358" s="37"/>
      <c r="DE358" s="37"/>
      <c r="DF358" s="37"/>
      <c r="DG358" s="37"/>
      <c r="DH358" s="37"/>
      <c r="DI358" s="37"/>
      <c r="DJ358" s="37"/>
      <c r="DK358" s="37"/>
      <c r="DL358" s="37" t="s">
        <v>1124</v>
      </c>
      <c r="DM358" s="37"/>
      <c r="DN358" s="37"/>
      <c r="DO358" s="37"/>
      <c r="DP358" s="37"/>
      <c r="DQ358" s="37"/>
      <c r="DR358" s="37"/>
      <c r="DS358" s="37"/>
      <c r="DT358" s="37"/>
      <c r="DU358" s="37"/>
      <c r="DV358" s="37"/>
      <c r="DW358" s="37"/>
      <c r="DX358" s="37" t="s">
        <v>1124</v>
      </c>
      <c r="DY358" s="37"/>
      <c r="DZ358" s="37"/>
      <c r="EA358" s="37"/>
      <c r="EB358" s="37"/>
      <c r="EC358" s="37"/>
      <c r="ED358" s="37"/>
      <c r="EE358" s="37"/>
      <c r="EF358" s="37"/>
      <c r="EG358" s="37"/>
      <c r="EH358" s="37"/>
      <c r="EI358" s="37"/>
      <c r="EJ358" s="37" t="s">
        <v>1124</v>
      </c>
      <c r="EK358" s="161"/>
      <c r="EL358" s="294"/>
    </row>
    <row r="359" spans="1:142" ht="15" customHeight="1" x14ac:dyDescent="0.35">
      <c r="A359" s="34"/>
      <c r="B359" s="313">
        <v>51015</v>
      </c>
      <c r="C359" s="8" t="s">
        <v>499</v>
      </c>
      <c r="D359" s="18">
        <v>4</v>
      </c>
      <c r="E359" s="155">
        <v>1019917.8</v>
      </c>
      <c r="F359" s="36">
        <v>746173.8</v>
      </c>
      <c r="G359" s="37">
        <v>29511</v>
      </c>
      <c r="H359" s="37">
        <v>93250</v>
      </c>
      <c r="I359" s="37">
        <v>88799</v>
      </c>
      <c r="J359" s="37">
        <v>300587</v>
      </c>
      <c r="K359" s="37">
        <v>113324.20000000001</v>
      </c>
      <c r="L359" s="37">
        <v>82908.200000000012</v>
      </c>
      <c r="M359" s="37">
        <v>1251552</v>
      </c>
      <c r="N359" s="37">
        <v>1222919</v>
      </c>
      <c r="O359" s="37">
        <v>228625</v>
      </c>
      <c r="P359" s="37">
        <v>0</v>
      </c>
      <c r="Q359" s="37">
        <v>1153688</v>
      </c>
      <c r="R359" s="37">
        <v>572191</v>
      </c>
      <c r="S359" s="37">
        <v>0</v>
      </c>
      <c r="T359" s="37">
        <v>0</v>
      </c>
      <c r="U359" s="37">
        <v>72146</v>
      </c>
      <c r="V359" s="37">
        <v>112370</v>
      </c>
      <c r="W359" s="37">
        <v>0</v>
      </c>
      <c r="X359" s="37">
        <v>538358</v>
      </c>
      <c r="Y359" s="37">
        <v>0</v>
      </c>
      <c r="Z359" s="37">
        <v>0</v>
      </c>
      <c r="AA359" s="37">
        <v>1454459</v>
      </c>
      <c r="AB359" s="37">
        <v>1222919</v>
      </c>
      <c r="AC359" s="37">
        <v>202907</v>
      </c>
      <c r="AD359" s="37">
        <v>202907</v>
      </c>
      <c r="AE359" s="37">
        <v>876570</v>
      </c>
      <c r="AF359" s="168">
        <v>0.02</v>
      </c>
      <c r="AG359" s="37">
        <v>181830941.58000001</v>
      </c>
      <c r="AH359" s="37">
        <v>1408653.02</v>
      </c>
      <c r="AI359" s="37">
        <v>1436826.08</v>
      </c>
      <c r="AJ359" s="37">
        <v>1465562.6</v>
      </c>
      <c r="AK359" s="37">
        <v>1494873.85</v>
      </c>
      <c r="AL359" s="37">
        <v>1524771.33</v>
      </c>
      <c r="AM359" s="37">
        <v>1555266.76</v>
      </c>
      <c r="AN359" s="37">
        <v>1586372.09</v>
      </c>
      <c r="AO359" s="37">
        <v>1618099.53</v>
      </c>
      <c r="AP359" s="37">
        <v>1650461.52</v>
      </c>
      <c r="AQ359" s="37">
        <v>1683470.75</v>
      </c>
      <c r="AR359" s="37">
        <v>15424357.529999999</v>
      </c>
      <c r="AS359" s="37">
        <v>3773279.12</v>
      </c>
      <c r="AT359" s="37">
        <v>2356375.9500000002</v>
      </c>
      <c r="AU359" s="37">
        <v>2387718</v>
      </c>
      <c r="AV359" s="37">
        <v>0</v>
      </c>
      <c r="AW359" s="37">
        <v>0</v>
      </c>
      <c r="AX359" s="37">
        <v>0</v>
      </c>
      <c r="AY359" s="37">
        <v>0</v>
      </c>
      <c r="AZ359" s="37">
        <v>0</v>
      </c>
      <c r="BA359" s="37">
        <v>0</v>
      </c>
      <c r="BB359" s="37">
        <v>0</v>
      </c>
      <c r="BC359" s="37">
        <v>0</v>
      </c>
      <c r="BD359" s="37">
        <v>4744093.95</v>
      </c>
      <c r="BE359" s="37">
        <v>1572986</v>
      </c>
      <c r="BF359" s="37">
        <v>1858426</v>
      </c>
      <c r="BG359" s="37">
        <v>299000</v>
      </c>
      <c r="BH359" s="37">
        <v>0</v>
      </c>
      <c r="BI359" s="37">
        <v>0</v>
      </c>
      <c r="BJ359" s="37">
        <v>0</v>
      </c>
      <c r="BK359" s="37">
        <v>0</v>
      </c>
      <c r="BL359" s="37">
        <v>0</v>
      </c>
      <c r="BM359" s="37">
        <v>0</v>
      </c>
      <c r="BN359" s="37">
        <v>0</v>
      </c>
      <c r="BO359" s="37">
        <v>0</v>
      </c>
      <c r="BP359" s="37">
        <v>2157426</v>
      </c>
      <c r="BQ359" s="37">
        <v>576000</v>
      </c>
      <c r="BR359" s="37">
        <v>702000</v>
      </c>
      <c r="BS359" s="37">
        <v>675000</v>
      </c>
      <c r="BT359" s="37">
        <v>3423000</v>
      </c>
      <c r="BU359" s="37">
        <v>0</v>
      </c>
      <c r="BV359" s="37">
        <v>0</v>
      </c>
      <c r="BW359" s="37">
        <v>0</v>
      </c>
      <c r="BX359" s="37">
        <v>0</v>
      </c>
      <c r="BY359" s="37">
        <v>0</v>
      </c>
      <c r="BZ359" s="37">
        <v>0</v>
      </c>
      <c r="CA359" s="37">
        <v>0</v>
      </c>
      <c r="CB359" s="37">
        <v>4800000</v>
      </c>
      <c r="CC359" s="37">
        <v>0</v>
      </c>
      <c r="CD359" s="37">
        <v>0</v>
      </c>
      <c r="CE359" s="37">
        <v>0</v>
      </c>
      <c r="CF359" s="37">
        <v>0</v>
      </c>
      <c r="CG359" s="37">
        <v>0</v>
      </c>
      <c r="CH359" s="37">
        <v>0</v>
      </c>
      <c r="CI359" s="37">
        <v>0</v>
      </c>
      <c r="CJ359" s="37">
        <v>0</v>
      </c>
      <c r="CK359" s="37">
        <v>0</v>
      </c>
      <c r="CL359" s="37">
        <v>0</v>
      </c>
      <c r="CM359" s="37">
        <v>0</v>
      </c>
      <c r="CN359" s="37">
        <v>0</v>
      </c>
      <c r="CO359" s="37">
        <v>0</v>
      </c>
      <c r="CP359" s="37">
        <v>0</v>
      </c>
      <c r="CQ359" s="37">
        <v>0</v>
      </c>
      <c r="CR359" s="37">
        <v>0</v>
      </c>
      <c r="CS359" s="37">
        <v>0</v>
      </c>
      <c r="CT359" s="37">
        <v>0</v>
      </c>
      <c r="CU359" s="37">
        <v>0</v>
      </c>
      <c r="CV359" s="37">
        <v>0</v>
      </c>
      <c r="CW359" s="37">
        <v>0</v>
      </c>
      <c r="CX359" s="37">
        <v>0</v>
      </c>
      <c r="CY359" s="37">
        <v>0</v>
      </c>
      <c r="CZ359" s="37">
        <v>0</v>
      </c>
      <c r="DA359" s="37">
        <v>0</v>
      </c>
      <c r="DB359" s="37">
        <v>0</v>
      </c>
      <c r="DC359" s="37">
        <v>0</v>
      </c>
      <c r="DD359" s="37">
        <v>0</v>
      </c>
      <c r="DE359" s="37">
        <v>0</v>
      </c>
      <c r="DF359" s="37">
        <v>4500000</v>
      </c>
      <c r="DG359" s="37">
        <v>0</v>
      </c>
      <c r="DH359" s="37">
        <v>0</v>
      </c>
      <c r="DI359" s="37">
        <v>0</v>
      </c>
      <c r="DJ359" s="37">
        <v>0</v>
      </c>
      <c r="DK359" s="37">
        <v>0</v>
      </c>
      <c r="DL359" s="37">
        <v>4500000</v>
      </c>
      <c r="DM359" s="37">
        <v>0</v>
      </c>
      <c r="DN359" s="37">
        <v>0</v>
      </c>
      <c r="DO359" s="37">
        <v>0</v>
      </c>
      <c r="DP359" s="37">
        <v>0</v>
      </c>
      <c r="DQ359" s="37">
        <v>0</v>
      </c>
      <c r="DR359" s="37">
        <v>0</v>
      </c>
      <c r="DS359" s="37">
        <v>0</v>
      </c>
      <c r="DT359" s="37">
        <v>0</v>
      </c>
      <c r="DU359" s="37">
        <v>0</v>
      </c>
      <c r="DV359" s="37">
        <v>0</v>
      </c>
      <c r="DW359" s="37">
        <v>0</v>
      </c>
      <c r="DX359" s="37">
        <v>0</v>
      </c>
      <c r="DY359" s="37">
        <v>0</v>
      </c>
      <c r="DZ359" s="37">
        <v>0</v>
      </c>
      <c r="EA359" s="37">
        <v>0</v>
      </c>
      <c r="EB359" s="37">
        <v>0</v>
      </c>
      <c r="EC359" s="37">
        <v>0</v>
      </c>
      <c r="ED359" s="37">
        <v>0</v>
      </c>
      <c r="EE359" s="37">
        <v>0</v>
      </c>
      <c r="EF359" s="37">
        <v>0</v>
      </c>
      <c r="EG359" s="37">
        <v>0</v>
      </c>
      <c r="EH359" s="37">
        <v>0</v>
      </c>
      <c r="EI359" s="37">
        <v>0</v>
      </c>
      <c r="EJ359" s="37">
        <v>0</v>
      </c>
      <c r="EK359" s="161" t="s">
        <v>2124</v>
      </c>
      <c r="EL359" s="294" t="s">
        <v>1124</v>
      </c>
    </row>
    <row r="360" spans="1:142" ht="15" customHeight="1" x14ac:dyDescent="0.35">
      <c r="A360" s="34"/>
      <c r="B360" s="313">
        <v>83010</v>
      </c>
      <c r="C360" s="8" t="s">
        <v>836</v>
      </c>
      <c r="D360" s="18">
        <v>7</v>
      </c>
      <c r="E360" s="155"/>
      <c r="F360" s="36"/>
      <c r="G360" s="37"/>
      <c r="H360" s="37"/>
      <c r="I360" s="37"/>
      <c r="J360" s="37"/>
      <c r="K360" s="37"/>
      <c r="L360" s="37"/>
      <c r="M360" s="37" t="s">
        <v>1124</v>
      </c>
      <c r="N360" s="37" t="s">
        <v>1124</v>
      </c>
      <c r="O360" s="37"/>
      <c r="P360" s="37"/>
      <c r="Q360" s="37"/>
      <c r="R360" s="37"/>
      <c r="S360" s="37"/>
      <c r="T360" s="37"/>
      <c r="U360" s="37"/>
      <c r="V360" s="37"/>
      <c r="W360" s="37"/>
      <c r="X360" s="37"/>
      <c r="Y360" s="37"/>
      <c r="Z360" s="37"/>
      <c r="AA360" s="37" t="s">
        <v>1124</v>
      </c>
      <c r="AB360" s="37" t="s">
        <v>1124</v>
      </c>
      <c r="AC360" s="37"/>
      <c r="AD360" s="37"/>
      <c r="AE360" s="37"/>
      <c r="AF360" s="168"/>
      <c r="AG360" s="37"/>
      <c r="AH360" s="37"/>
      <c r="AI360" s="37"/>
      <c r="AJ360" s="37"/>
      <c r="AK360" s="37"/>
      <c r="AL360" s="37"/>
      <c r="AM360" s="37"/>
      <c r="AN360" s="37"/>
      <c r="AO360" s="37"/>
      <c r="AP360" s="37"/>
      <c r="AQ360" s="37"/>
      <c r="AR360" s="37" t="s">
        <v>1124</v>
      </c>
      <c r="AS360" s="37"/>
      <c r="AT360" s="37"/>
      <c r="AU360" s="37"/>
      <c r="AV360" s="37"/>
      <c r="AW360" s="37"/>
      <c r="AX360" s="37"/>
      <c r="AY360" s="37"/>
      <c r="AZ360" s="37"/>
      <c r="BA360" s="37"/>
      <c r="BB360" s="37"/>
      <c r="BC360" s="37"/>
      <c r="BD360" s="37" t="s">
        <v>1124</v>
      </c>
      <c r="BE360" s="37"/>
      <c r="BF360" s="37"/>
      <c r="BG360" s="37"/>
      <c r="BH360" s="37"/>
      <c r="BI360" s="37"/>
      <c r="BJ360" s="37"/>
      <c r="BK360" s="37"/>
      <c r="BL360" s="37"/>
      <c r="BM360" s="37"/>
      <c r="BN360" s="37"/>
      <c r="BO360" s="37"/>
      <c r="BP360" s="37">
        <v>0</v>
      </c>
      <c r="BQ360" s="37"/>
      <c r="BR360" s="37"/>
      <c r="BS360" s="37"/>
      <c r="BT360" s="37"/>
      <c r="BU360" s="37"/>
      <c r="BV360" s="37"/>
      <c r="BW360" s="37"/>
      <c r="BX360" s="37"/>
      <c r="BY360" s="37"/>
      <c r="BZ360" s="37"/>
      <c r="CA360" s="37"/>
      <c r="CB360" s="37" t="s">
        <v>1124</v>
      </c>
      <c r="CC360" s="37"/>
      <c r="CD360" s="37"/>
      <c r="CE360" s="37"/>
      <c r="CF360" s="37"/>
      <c r="CG360" s="37"/>
      <c r="CH360" s="37"/>
      <c r="CI360" s="37"/>
      <c r="CJ360" s="37"/>
      <c r="CK360" s="37"/>
      <c r="CL360" s="37"/>
      <c r="CM360" s="37"/>
      <c r="CN360" s="37" t="s">
        <v>1124</v>
      </c>
      <c r="CO360" s="37"/>
      <c r="CP360" s="37"/>
      <c r="CQ360" s="37"/>
      <c r="CR360" s="37"/>
      <c r="CS360" s="37"/>
      <c r="CT360" s="37"/>
      <c r="CU360" s="37"/>
      <c r="CV360" s="37"/>
      <c r="CW360" s="37"/>
      <c r="CX360" s="37"/>
      <c r="CY360" s="37"/>
      <c r="CZ360" s="37" t="s">
        <v>1124</v>
      </c>
      <c r="DA360" s="37"/>
      <c r="DB360" s="37"/>
      <c r="DC360" s="37"/>
      <c r="DD360" s="37"/>
      <c r="DE360" s="37"/>
      <c r="DF360" s="37"/>
      <c r="DG360" s="37"/>
      <c r="DH360" s="37"/>
      <c r="DI360" s="37"/>
      <c r="DJ360" s="37"/>
      <c r="DK360" s="37"/>
      <c r="DL360" s="37" t="s">
        <v>1124</v>
      </c>
      <c r="DM360" s="37"/>
      <c r="DN360" s="37"/>
      <c r="DO360" s="37"/>
      <c r="DP360" s="37"/>
      <c r="DQ360" s="37"/>
      <c r="DR360" s="37"/>
      <c r="DS360" s="37"/>
      <c r="DT360" s="37"/>
      <c r="DU360" s="37"/>
      <c r="DV360" s="37"/>
      <c r="DW360" s="37"/>
      <c r="DX360" s="37" t="s">
        <v>1124</v>
      </c>
      <c r="DY360" s="37"/>
      <c r="DZ360" s="37"/>
      <c r="EA360" s="37"/>
      <c r="EB360" s="37"/>
      <c r="EC360" s="37"/>
      <c r="ED360" s="37"/>
      <c r="EE360" s="37"/>
      <c r="EF360" s="37"/>
      <c r="EG360" s="37"/>
      <c r="EH360" s="37"/>
      <c r="EI360" s="37"/>
      <c r="EJ360" s="37" t="s">
        <v>1124</v>
      </c>
      <c r="EK360" s="161"/>
      <c r="EL360" s="294"/>
    </row>
    <row r="361" spans="1:142" ht="15" customHeight="1" x14ac:dyDescent="0.35">
      <c r="A361" s="34"/>
      <c r="B361" s="313">
        <v>32065</v>
      </c>
      <c r="C361" s="8" t="s">
        <v>263</v>
      </c>
      <c r="D361" s="18">
        <v>17</v>
      </c>
      <c r="E361" s="155">
        <v>46143</v>
      </c>
      <c r="F361" s="36">
        <v>83510</v>
      </c>
      <c r="G361" s="37">
        <v>1257</v>
      </c>
      <c r="H361" s="37">
        <v>8481</v>
      </c>
      <c r="I361" s="37">
        <v>735</v>
      </c>
      <c r="J361" s="37">
        <v>1008</v>
      </c>
      <c r="K361" s="37">
        <v>6921.45</v>
      </c>
      <c r="L361" s="37">
        <v>12526.5</v>
      </c>
      <c r="M361" s="37">
        <v>55056.45</v>
      </c>
      <c r="N361" s="37">
        <v>105525.5</v>
      </c>
      <c r="O361" s="37">
        <v>50630</v>
      </c>
      <c r="P361" s="37">
        <v>0</v>
      </c>
      <c r="Q361" s="37">
        <v>2591</v>
      </c>
      <c r="R361" s="37">
        <v>58600</v>
      </c>
      <c r="S361" s="37">
        <v>6410</v>
      </c>
      <c r="T361" s="37">
        <v>0</v>
      </c>
      <c r="U361" s="37">
        <v>0</v>
      </c>
      <c r="V361" s="37">
        <v>0</v>
      </c>
      <c r="W361" s="37">
        <v>8726</v>
      </c>
      <c r="X361" s="37">
        <v>51077</v>
      </c>
      <c r="Y361" s="37">
        <v>0</v>
      </c>
      <c r="Z361" s="37">
        <v>0</v>
      </c>
      <c r="AA361" s="37">
        <v>68357</v>
      </c>
      <c r="AB361" s="37">
        <v>109677</v>
      </c>
      <c r="AC361" s="37">
        <v>17452.049999999988</v>
      </c>
      <c r="AD361" s="37">
        <v>17452</v>
      </c>
      <c r="AE361" s="37">
        <v>17452</v>
      </c>
      <c r="AF361" s="168">
        <v>0.02</v>
      </c>
      <c r="AG361" s="37">
        <v>32074041.760000002</v>
      </c>
      <c r="AH361" s="37">
        <v>304036.5</v>
      </c>
      <c r="AI361" s="37">
        <v>283587.03000000003</v>
      </c>
      <c r="AJ361" s="37">
        <v>289258.77</v>
      </c>
      <c r="AK361" s="37">
        <v>295043.95</v>
      </c>
      <c r="AL361" s="37">
        <v>300944.82</v>
      </c>
      <c r="AM361" s="37">
        <v>306963.71999999997</v>
      </c>
      <c r="AN361" s="37">
        <v>313103</v>
      </c>
      <c r="AO361" s="37">
        <v>319365.06</v>
      </c>
      <c r="AP361" s="37">
        <v>325752.36</v>
      </c>
      <c r="AQ361" s="37">
        <v>332267.40000000002</v>
      </c>
      <c r="AR361" s="37">
        <v>3070322.6100000003</v>
      </c>
      <c r="AS361" s="37">
        <v>14357.52</v>
      </c>
      <c r="AT361" s="37">
        <v>0</v>
      </c>
      <c r="AU361" s="37">
        <v>312120</v>
      </c>
      <c r="AV361" s="37">
        <v>636724.80000000005</v>
      </c>
      <c r="AW361" s="37">
        <v>0</v>
      </c>
      <c r="AX361" s="37">
        <v>0</v>
      </c>
      <c r="AY361" s="37">
        <v>0</v>
      </c>
      <c r="AZ361" s="37">
        <v>0</v>
      </c>
      <c r="BA361" s="37">
        <v>0</v>
      </c>
      <c r="BB361" s="37">
        <v>0</v>
      </c>
      <c r="BC361" s="37">
        <v>0</v>
      </c>
      <c r="BD361" s="37">
        <v>948844.8</v>
      </c>
      <c r="BE361" s="37">
        <v>15910</v>
      </c>
      <c r="BF361" s="37">
        <v>0</v>
      </c>
      <c r="BG361" s="37">
        <v>0</v>
      </c>
      <c r="BH361" s="37">
        <v>0</v>
      </c>
      <c r="BI361" s="37">
        <v>0</v>
      </c>
      <c r="BJ361" s="37">
        <v>0</v>
      </c>
      <c r="BK361" s="37">
        <v>0</v>
      </c>
      <c r="BL361" s="37">
        <v>0</v>
      </c>
      <c r="BM361" s="37">
        <v>0</v>
      </c>
      <c r="BN361" s="37">
        <v>0</v>
      </c>
      <c r="BO361" s="37">
        <v>0</v>
      </c>
      <c r="BP361" s="37">
        <v>0</v>
      </c>
      <c r="BQ361" s="37">
        <v>0</v>
      </c>
      <c r="BR361" s="37">
        <v>0</v>
      </c>
      <c r="BS361" s="37">
        <v>0</v>
      </c>
      <c r="BT361" s="37">
        <v>0</v>
      </c>
      <c r="BU361" s="37">
        <v>0</v>
      </c>
      <c r="BV361" s="37">
        <v>0</v>
      </c>
      <c r="BW361" s="37">
        <v>0</v>
      </c>
      <c r="BX361" s="37">
        <v>0</v>
      </c>
      <c r="BY361" s="37">
        <v>0</v>
      </c>
      <c r="BZ361" s="37">
        <v>0</v>
      </c>
      <c r="CA361" s="37">
        <v>0</v>
      </c>
      <c r="CB361" s="37">
        <v>0</v>
      </c>
      <c r="CC361" s="37">
        <v>0</v>
      </c>
      <c r="CD361" s="37">
        <v>0</v>
      </c>
      <c r="CE361" s="37">
        <v>0</v>
      </c>
      <c r="CF361" s="37">
        <v>0</v>
      </c>
      <c r="CG361" s="37">
        <v>0</v>
      </c>
      <c r="CH361" s="37">
        <v>0</v>
      </c>
      <c r="CI361" s="37">
        <v>0</v>
      </c>
      <c r="CJ361" s="37">
        <v>0</v>
      </c>
      <c r="CK361" s="37">
        <v>0</v>
      </c>
      <c r="CL361" s="37">
        <v>0</v>
      </c>
      <c r="CM361" s="37">
        <v>0</v>
      </c>
      <c r="CN361" s="37">
        <v>0</v>
      </c>
      <c r="CO361" s="37">
        <v>0</v>
      </c>
      <c r="CP361" s="37">
        <v>0</v>
      </c>
      <c r="CQ361" s="37">
        <v>0</v>
      </c>
      <c r="CR361" s="37">
        <v>0</v>
      </c>
      <c r="CS361" s="37">
        <v>0</v>
      </c>
      <c r="CT361" s="37">
        <v>0</v>
      </c>
      <c r="CU361" s="37">
        <v>0</v>
      </c>
      <c r="CV361" s="37">
        <v>0</v>
      </c>
      <c r="CW361" s="37">
        <v>0</v>
      </c>
      <c r="CX361" s="37">
        <v>0</v>
      </c>
      <c r="CY361" s="37">
        <v>0</v>
      </c>
      <c r="CZ361" s="37">
        <v>0</v>
      </c>
      <c r="DA361" s="37">
        <v>0</v>
      </c>
      <c r="DB361" s="37">
        <v>300000</v>
      </c>
      <c r="DC361" s="37">
        <v>600000</v>
      </c>
      <c r="DD361" s="37">
        <v>0</v>
      </c>
      <c r="DE361" s="37">
        <v>0</v>
      </c>
      <c r="DF361" s="37">
        <v>0</v>
      </c>
      <c r="DG361" s="37">
        <v>0</v>
      </c>
      <c r="DH361" s="37">
        <v>0</v>
      </c>
      <c r="DI361" s="37">
        <v>0</v>
      </c>
      <c r="DJ361" s="37">
        <v>0</v>
      </c>
      <c r="DK361" s="37">
        <v>0</v>
      </c>
      <c r="DL361" s="37">
        <v>900000</v>
      </c>
      <c r="DM361" s="37">
        <v>0</v>
      </c>
      <c r="DN361" s="37">
        <v>0</v>
      </c>
      <c r="DO361" s="37">
        <v>0</v>
      </c>
      <c r="DP361" s="37">
        <v>0</v>
      </c>
      <c r="DQ361" s="37">
        <v>0</v>
      </c>
      <c r="DR361" s="37">
        <v>0</v>
      </c>
      <c r="DS361" s="37">
        <v>0</v>
      </c>
      <c r="DT361" s="37">
        <v>0</v>
      </c>
      <c r="DU361" s="37">
        <v>0</v>
      </c>
      <c r="DV361" s="37">
        <v>0</v>
      </c>
      <c r="DW361" s="37">
        <v>0</v>
      </c>
      <c r="DX361" s="37">
        <v>0</v>
      </c>
      <c r="DY361" s="37">
        <v>0</v>
      </c>
      <c r="DZ361" s="37">
        <v>0</v>
      </c>
      <c r="EA361" s="37">
        <v>0</v>
      </c>
      <c r="EB361" s="37">
        <v>0</v>
      </c>
      <c r="EC361" s="37">
        <v>0</v>
      </c>
      <c r="ED361" s="37">
        <v>0</v>
      </c>
      <c r="EE361" s="37">
        <v>0</v>
      </c>
      <c r="EF361" s="37">
        <v>0</v>
      </c>
      <c r="EG361" s="37">
        <v>0</v>
      </c>
      <c r="EH361" s="37">
        <v>0</v>
      </c>
      <c r="EI361" s="37">
        <v>0</v>
      </c>
      <c r="EJ361" s="37">
        <v>0</v>
      </c>
      <c r="EK361" s="161" t="s">
        <v>2129</v>
      </c>
      <c r="EL361" s="294" t="s">
        <v>1124</v>
      </c>
    </row>
    <row r="362" spans="1:142" ht="15" customHeight="1" x14ac:dyDescent="0.35">
      <c r="A362" s="34"/>
      <c r="B362" s="313">
        <v>87058</v>
      </c>
      <c r="C362" s="8" t="s">
        <v>899</v>
      </c>
      <c r="D362" s="18">
        <v>8</v>
      </c>
      <c r="E362" s="155">
        <v>277910</v>
      </c>
      <c r="F362" s="36">
        <v>130689</v>
      </c>
      <c r="G362" s="37">
        <v>14242</v>
      </c>
      <c r="H362" s="37">
        <v>12208</v>
      </c>
      <c r="I362" s="37">
        <v>34499</v>
      </c>
      <c r="J362" s="37">
        <v>29571</v>
      </c>
      <c r="K362" s="37">
        <v>41686</v>
      </c>
      <c r="L362" s="37">
        <v>19603</v>
      </c>
      <c r="M362" s="37">
        <v>368337</v>
      </c>
      <c r="N362" s="37">
        <v>192071</v>
      </c>
      <c r="O362" s="37">
        <v>0</v>
      </c>
      <c r="P362" s="37">
        <v>0</v>
      </c>
      <c r="Q362" s="37">
        <v>287988</v>
      </c>
      <c r="R362" s="37">
        <v>175168</v>
      </c>
      <c r="S362" s="37">
        <v>0</v>
      </c>
      <c r="T362" s="37">
        <v>0</v>
      </c>
      <c r="U362" s="37">
        <v>5401</v>
      </c>
      <c r="V362" s="37">
        <v>38806</v>
      </c>
      <c r="W362" s="37">
        <v>0</v>
      </c>
      <c r="X362" s="37">
        <v>0</v>
      </c>
      <c r="Y362" s="37">
        <v>53045</v>
      </c>
      <c r="Z362" s="37">
        <v>0</v>
      </c>
      <c r="AA362" s="37">
        <v>346434</v>
      </c>
      <c r="AB362" s="37">
        <v>213974</v>
      </c>
      <c r="AC362" s="37">
        <v>0</v>
      </c>
      <c r="AD362" s="37">
        <v>0</v>
      </c>
      <c r="AE362" s="37">
        <v>0</v>
      </c>
      <c r="AF362" s="168">
        <v>0.02</v>
      </c>
      <c r="AG362" s="37">
        <v>57312679.729999997</v>
      </c>
      <c r="AH362" s="37">
        <v>488864.19</v>
      </c>
      <c r="AI362" s="37">
        <v>498641.48</v>
      </c>
      <c r="AJ362" s="37">
        <v>508614.31</v>
      </c>
      <c r="AK362" s="37">
        <v>518786.59</v>
      </c>
      <c r="AL362" s="37">
        <v>529162.31999999995</v>
      </c>
      <c r="AM362" s="37">
        <v>539745.56999999995</v>
      </c>
      <c r="AN362" s="37">
        <v>550540.48</v>
      </c>
      <c r="AO362" s="37">
        <v>561551.29</v>
      </c>
      <c r="AP362" s="37">
        <v>572782.31999999995</v>
      </c>
      <c r="AQ362" s="37">
        <v>584237.96</v>
      </c>
      <c r="AR362" s="37">
        <v>5352926.5099999988</v>
      </c>
      <c r="AS362" s="37">
        <v>2565364.77</v>
      </c>
      <c r="AT362" s="37">
        <v>67626</v>
      </c>
      <c r="AU362" s="37">
        <v>0</v>
      </c>
      <c r="AV362" s="37">
        <v>0</v>
      </c>
      <c r="AW362" s="37">
        <v>0</v>
      </c>
      <c r="AX362" s="37">
        <v>0</v>
      </c>
      <c r="AY362" s="37">
        <v>0</v>
      </c>
      <c r="AZ362" s="37">
        <v>0</v>
      </c>
      <c r="BA362" s="37">
        <v>0</v>
      </c>
      <c r="BB362" s="37">
        <v>0</v>
      </c>
      <c r="BC362" s="37">
        <v>0</v>
      </c>
      <c r="BD362" s="37">
        <v>67626</v>
      </c>
      <c r="BE362" s="37">
        <v>0</v>
      </c>
      <c r="BF362" s="37">
        <v>80000</v>
      </c>
      <c r="BG362" s="37">
        <v>5000</v>
      </c>
      <c r="BH362" s="37">
        <v>0</v>
      </c>
      <c r="BI362" s="37">
        <v>0</v>
      </c>
      <c r="BJ362" s="37">
        <v>0</v>
      </c>
      <c r="BK362" s="37">
        <v>0</v>
      </c>
      <c r="BL362" s="37">
        <v>0</v>
      </c>
      <c r="BM362" s="37">
        <v>0</v>
      </c>
      <c r="BN362" s="37">
        <v>0</v>
      </c>
      <c r="BO362" s="37">
        <v>0</v>
      </c>
      <c r="BP362" s="37">
        <v>85000</v>
      </c>
      <c r="BQ362" s="37">
        <v>0</v>
      </c>
      <c r="BR362" s="37">
        <v>0</v>
      </c>
      <c r="BS362" s="37">
        <v>0</v>
      </c>
      <c r="BT362" s="37">
        <v>0</v>
      </c>
      <c r="BU362" s="37">
        <v>0</v>
      </c>
      <c r="BV362" s="37">
        <v>0</v>
      </c>
      <c r="BW362" s="37">
        <v>0</v>
      </c>
      <c r="BX362" s="37">
        <v>0</v>
      </c>
      <c r="BY362" s="37">
        <v>0</v>
      </c>
      <c r="BZ362" s="37">
        <v>0</v>
      </c>
      <c r="CA362" s="37">
        <v>0</v>
      </c>
      <c r="CB362" s="37">
        <v>0</v>
      </c>
      <c r="CC362" s="37">
        <v>0</v>
      </c>
      <c r="CD362" s="37">
        <v>0</v>
      </c>
      <c r="CE362" s="37">
        <v>0</v>
      </c>
      <c r="CF362" s="37">
        <v>0</v>
      </c>
      <c r="CG362" s="37">
        <v>0</v>
      </c>
      <c r="CH362" s="37">
        <v>0</v>
      </c>
      <c r="CI362" s="37">
        <v>0</v>
      </c>
      <c r="CJ362" s="37">
        <v>0</v>
      </c>
      <c r="CK362" s="37">
        <v>0</v>
      </c>
      <c r="CL362" s="37">
        <v>0</v>
      </c>
      <c r="CM362" s="37">
        <v>0</v>
      </c>
      <c r="CN362" s="37">
        <v>0</v>
      </c>
      <c r="CO362" s="37">
        <v>0</v>
      </c>
      <c r="CP362" s="37">
        <v>0</v>
      </c>
      <c r="CQ362" s="37">
        <v>150000</v>
      </c>
      <c r="CR362" s="37">
        <v>0</v>
      </c>
      <c r="CS362" s="37">
        <v>0</v>
      </c>
      <c r="CT362" s="37">
        <v>0</v>
      </c>
      <c r="CU362" s="37">
        <v>0</v>
      </c>
      <c r="CV362" s="37">
        <v>0</v>
      </c>
      <c r="CW362" s="37">
        <v>0</v>
      </c>
      <c r="CX362" s="37">
        <v>0</v>
      </c>
      <c r="CY362" s="37">
        <v>0</v>
      </c>
      <c r="CZ362" s="37">
        <v>150000</v>
      </c>
      <c r="DA362" s="37">
        <v>0</v>
      </c>
      <c r="DB362" s="37">
        <v>0</v>
      </c>
      <c r="DC362" s="37">
        <v>0</v>
      </c>
      <c r="DD362" s="37">
        <v>0</v>
      </c>
      <c r="DE362" s="37">
        <v>0</v>
      </c>
      <c r="DF362" s="37">
        <v>0</v>
      </c>
      <c r="DG362" s="37">
        <v>0</v>
      </c>
      <c r="DH362" s="37">
        <v>0</v>
      </c>
      <c r="DI362" s="37">
        <v>0</v>
      </c>
      <c r="DJ362" s="37">
        <v>0</v>
      </c>
      <c r="DK362" s="37">
        <v>0</v>
      </c>
      <c r="DL362" s="37">
        <v>0</v>
      </c>
      <c r="DM362" s="37">
        <v>0</v>
      </c>
      <c r="DN362" s="37">
        <v>0</v>
      </c>
      <c r="DO362" s="37">
        <v>0</v>
      </c>
      <c r="DP362" s="37">
        <v>0</v>
      </c>
      <c r="DQ362" s="37">
        <v>0</v>
      </c>
      <c r="DR362" s="37">
        <v>0</v>
      </c>
      <c r="DS362" s="37">
        <v>0</v>
      </c>
      <c r="DT362" s="37">
        <v>0</v>
      </c>
      <c r="DU362" s="37">
        <v>0</v>
      </c>
      <c r="DV362" s="37">
        <v>0</v>
      </c>
      <c r="DW362" s="37">
        <v>0</v>
      </c>
      <c r="DX362" s="37">
        <v>0</v>
      </c>
      <c r="DY362" s="37">
        <v>0</v>
      </c>
      <c r="DZ362" s="37">
        <v>0</v>
      </c>
      <c r="EA362" s="37">
        <v>0</v>
      </c>
      <c r="EB362" s="37">
        <v>0</v>
      </c>
      <c r="EC362" s="37">
        <v>0</v>
      </c>
      <c r="ED362" s="37">
        <v>0</v>
      </c>
      <c r="EE362" s="37">
        <v>0</v>
      </c>
      <c r="EF362" s="37">
        <v>0</v>
      </c>
      <c r="EG362" s="37">
        <v>0</v>
      </c>
      <c r="EH362" s="37">
        <v>0</v>
      </c>
      <c r="EI362" s="37">
        <v>0</v>
      </c>
      <c r="EJ362" s="37">
        <v>0</v>
      </c>
      <c r="EK362" s="161" t="s">
        <v>2132</v>
      </c>
      <c r="EL362" s="294" t="s">
        <v>1124</v>
      </c>
    </row>
    <row r="363" spans="1:142" ht="15" customHeight="1" x14ac:dyDescent="0.35">
      <c r="A363" s="34"/>
      <c r="B363" s="313">
        <v>39165</v>
      </c>
      <c r="C363" s="8" t="s">
        <v>1114</v>
      </c>
      <c r="D363" s="18">
        <v>17</v>
      </c>
      <c r="E363" s="155"/>
      <c r="F363" s="36"/>
      <c r="G363" s="37"/>
      <c r="H363" s="37"/>
      <c r="I363" s="37"/>
      <c r="J363" s="37"/>
      <c r="K363" s="37"/>
      <c r="L363" s="37"/>
      <c r="M363" s="37" t="s">
        <v>1124</v>
      </c>
      <c r="N363" s="37" t="s">
        <v>1124</v>
      </c>
      <c r="O363" s="37"/>
      <c r="P363" s="37"/>
      <c r="Q363" s="37"/>
      <c r="R363" s="37"/>
      <c r="S363" s="37"/>
      <c r="T363" s="37"/>
      <c r="U363" s="37"/>
      <c r="V363" s="37"/>
      <c r="W363" s="37"/>
      <c r="X363" s="37"/>
      <c r="Y363" s="37"/>
      <c r="Z363" s="37"/>
      <c r="AA363" s="37" t="s">
        <v>1124</v>
      </c>
      <c r="AB363" s="37" t="s">
        <v>1124</v>
      </c>
      <c r="AC363" s="37"/>
      <c r="AD363" s="37"/>
      <c r="AE363" s="37"/>
      <c r="AF363" s="168"/>
      <c r="AG363" s="37"/>
      <c r="AH363" s="37"/>
      <c r="AI363" s="37"/>
      <c r="AJ363" s="37"/>
      <c r="AK363" s="37"/>
      <c r="AL363" s="37"/>
      <c r="AM363" s="37"/>
      <c r="AN363" s="37"/>
      <c r="AO363" s="37"/>
      <c r="AP363" s="37"/>
      <c r="AQ363" s="37"/>
      <c r="AR363" s="37" t="s">
        <v>1124</v>
      </c>
      <c r="AS363" s="37"/>
      <c r="AT363" s="37"/>
      <c r="AU363" s="37"/>
      <c r="AV363" s="37"/>
      <c r="AW363" s="37"/>
      <c r="AX363" s="37"/>
      <c r="AY363" s="37"/>
      <c r="AZ363" s="37"/>
      <c r="BA363" s="37"/>
      <c r="BB363" s="37"/>
      <c r="BC363" s="37"/>
      <c r="BD363" s="37" t="s">
        <v>1124</v>
      </c>
      <c r="BE363" s="37"/>
      <c r="BF363" s="37"/>
      <c r="BG363" s="37"/>
      <c r="BH363" s="37"/>
      <c r="BI363" s="37"/>
      <c r="BJ363" s="37"/>
      <c r="BK363" s="37"/>
      <c r="BL363" s="37"/>
      <c r="BM363" s="37"/>
      <c r="BN363" s="37"/>
      <c r="BO363" s="37"/>
      <c r="BP363" s="37">
        <v>0</v>
      </c>
      <c r="BQ363" s="37"/>
      <c r="BR363" s="37"/>
      <c r="BS363" s="37"/>
      <c r="BT363" s="37"/>
      <c r="BU363" s="37"/>
      <c r="BV363" s="37"/>
      <c r="BW363" s="37"/>
      <c r="BX363" s="37"/>
      <c r="BY363" s="37"/>
      <c r="BZ363" s="37"/>
      <c r="CA363" s="37"/>
      <c r="CB363" s="37" t="s">
        <v>1124</v>
      </c>
      <c r="CC363" s="37"/>
      <c r="CD363" s="37"/>
      <c r="CE363" s="37"/>
      <c r="CF363" s="37"/>
      <c r="CG363" s="37"/>
      <c r="CH363" s="37"/>
      <c r="CI363" s="37"/>
      <c r="CJ363" s="37"/>
      <c r="CK363" s="37"/>
      <c r="CL363" s="37"/>
      <c r="CM363" s="37"/>
      <c r="CN363" s="37" t="s">
        <v>1124</v>
      </c>
      <c r="CO363" s="37"/>
      <c r="CP363" s="37"/>
      <c r="CQ363" s="37"/>
      <c r="CR363" s="37"/>
      <c r="CS363" s="37"/>
      <c r="CT363" s="37"/>
      <c r="CU363" s="37"/>
      <c r="CV363" s="37"/>
      <c r="CW363" s="37"/>
      <c r="CX363" s="37"/>
      <c r="CY363" s="37"/>
      <c r="CZ363" s="37" t="s">
        <v>1124</v>
      </c>
      <c r="DA363" s="37"/>
      <c r="DB363" s="37"/>
      <c r="DC363" s="37"/>
      <c r="DD363" s="37"/>
      <c r="DE363" s="37"/>
      <c r="DF363" s="37"/>
      <c r="DG363" s="37"/>
      <c r="DH363" s="37"/>
      <c r="DI363" s="37"/>
      <c r="DJ363" s="37"/>
      <c r="DK363" s="37"/>
      <c r="DL363" s="37" t="s">
        <v>1124</v>
      </c>
      <c r="DM363" s="37"/>
      <c r="DN363" s="37"/>
      <c r="DO363" s="37"/>
      <c r="DP363" s="37"/>
      <c r="DQ363" s="37"/>
      <c r="DR363" s="37"/>
      <c r="DS363" s="37"/>
      <c r="DT363" s="37"/>
      <c r="DU363" s="37"/>
      <c r="DV363" s="37"/>
      <c r="DW363" s="37"/>
      <c r="DX363" s="37" t="s">
        <v>1124</v>
      </c>
      <c r="DY363" s="37"/>
      <c r="DZ363" s="37"/>
      <c r="EA363" s="37"/>
      <c r="EB363" s="37"/>
      <c r="EC363" s="37"/>
      <c r="ED363" s="37"/>
      <c r="EE363" s="37"/>
      <c r="EF363" s="37"/>
      <c r="EG363" s="37"/>
      <c r="EH363" s="37"/>
      <c r="EI363" s="37"/>
      <c r="EJ363" s="37" t="s">
        <v>1124</v>
      </c>
      <c r="EK363" s="161"/>
      <c r="EL363" s="294"/>
    </row>
    <row r="364" spans="1:142" ht="15" customHeight="1" x14ac:dyDescent="0.35">
      <c r="A364" s="34"/>
      <c r="B364" s="313">
        <v>45072</v>
      </c>
      <c r="C364" s="8" t="s">
        <v>419</v>
      </c>
      <c r="D364" s="18">
        <v>5</v>
      </c>
      <c r="E364" s="155">
        <v>2619853</v>
      </c>
      <c r="F364" s="36">
        <v>2356604</v>
      </c>
      <c r="G364" s="37">
        <v>275901</v>
      </c>
      <c r="H364" s="37">
        <v>227291</v>
      </c>
      <c r="I364" s="37">
        <v>1053552</v>
      </c>
      <c r="J364" s="37">
        <v>802901</v>
      </c>
      <c r="K364" s="37">
        <v>0</v>
      </c>
      <c r="L364" s="37">
        <v>0</v>
      </c>
      <c r="M364" s="37">
        <v>3949306</v>
      </c>
      <c r="N364" s="37">
        <v>3386796</v>
      </c>
      <c r="O364" s="37">
        <v>120930</v>
      </c>
      <c r="P364" s="37">
        <v>60116</v>
      </c>
      <c r="Q364" s="37">
        <v>2573695</v>
      </c>
      <c r="R364" s="37">
        <v>2242120</v>
      </c>
      <c r="S364" s="37">
        <v>86778</v>
      </c>
      <c r="T364" s="37">
        <v>5317</v>
      </c>
      <c r="U364" s="37">
        <v>498114</v>
      </c>
      <c r="V364" s="37">
        <v>171422</v>
      </c>
      <c r="W364" s="37">
        <v>632189</v>
      </c>
      <c r="X364" s="37">
        <v>730621</v>
      </c>
      <c r="Y364" s="37">
        <v>37600</v>
      </c>
      <c r="Z364" s="37">
        <v>177200</v>
      </c>
      <c r="AA364" s="37">
        <v>3949306</v>
      </c>
      <c r="AB364" s="37">
        <v>3386796</v>
      </c>
      <c r="AC364" s="37">
        <v>0</v>
      </c>
      <c r="AD364" s="37">
        <v>0</v>
      </c>
      <c r="AE364" s="37">
        <v>0</v>
      </c>
      <c r="AF364" s="168">
        <v>0.02</v>
      </c>
      <c r="AG364" s="37">
        <v>616050087.36000001</v>
      </c>
      <c r="AH364" s="37">
        <v>6334168.2999999998</v>
      </c>
      <c r="AI364" s="37">
        <v>5614934.7599999998</v>
      </c>
      <c r="AJ364" s="37">
        <v>5624402.4000000004</v>
      </c>
      <c r="AK364" s="37">
        <v>5770012.8700000001</v>
      </c>
      <c r="AL364" s="37">
        <v>5862889.8799999999</v>
      </c>
      <c r="AM364" s="37">
        <v>6232858.5300000003</v>
      </c>
      <c r="AN364" s="37">
        <v>6088034.04</v>
      </c>
      <c r="AO364" s="37">
        <v>6209794.7199999997</v>
      </c>
      <c r="AP364" s="37">
        <v>6359589.5</v>
      </c>
      <c r="AQ364" s="37">
        <v>6460670.4299999997</v>
      </c>
      <c r="AR364" s="37">
        <v>60557355.429999985</v>
      </c>
      <c r="AS364" s="37">
        <v>19294614.300000001</v>
      </c>
      <c r="AT364" s="37">
        <v>78030</v>
      </c>
      <c r="AU364" s="37">
        <v>113549.26</v>
      </c>
      <c r="AV364" s="37">
        <v>58366.44</v>
      </c>
      <c r="AW364" s="37">
        <v>5956260.4800000004</v>
      </c>
      <c r="AX364" s="37">
        <v>4646060.3499999996</v>
      </c>
      <c r="AY364" s="37">
        <v>2484359.34</v>
      </c>
      <c r="AZ364" s="37">
        <v>708853.93</v>
      </c>
      <c r="BA364" s="37">
        <v>597546.28</v>
      </c>
      <c r="BB364" s="37">
        <v>121899.44</v>
      </c>
      <c r="BC364" s="37">
        <v>0</v>
      </c>
      <c r="BD364" s="37">
        <v>14764925.52</v>
      </c>
      <c r="BE364" s="37">
        <v>2984911</v>
      </c>
      <c r="BF364" s="37">
        <v>1822379</v>
      </c>
      <c r="BG364" s="37">
        <v>1930704</v>
      </c>
      <c r="BH364" s="37">
        <v>643562</v>
      </c>
      <c r="BI364" s="37">
        <v>0</v>
      </c>
      <c r="BJ364" s="37">
        <v>0</v>
      </c>
      <c r="BK364" s="37">
        <v>0</v>
      </c>
      <c r="BL364" s="37">
        <v>0</v>
      </c>
      <c r="BM364" s="37">
        <v>0</v>
      </c>
      <c r="BN364" s="37">
        <v>0</v>
      </c>
      <c r="BO364" s="37">
        <v>0</v>
      </c>
      <c r="BP364" s="37">
        <v>4396645</v>
      </c>
      <c r="BQ364" s="37">
        <v>1492455</v>
      </c>
      <c r="BR364" s="37">
        <v>568030</v>
      </c>
      <c r="BS364" s="37">
        <v>482677</v>
      </c>
      <c r="BT364" s="37">
        <v>160890</v>
      </c>
      <c r="BU364" s="37">
        <v>200000</v>
      </c>
      <c r="BV364" s="37">
        <v>200000</v>
      </c>
      <c r="BW364" s="37">
        <v>200000</v>
      </c>
      <c r="BX364" s="37">
        <v>200000</v>
      </c>
      <c r="BY364" s="37">
        <v>200000</v>
      </c>
      <c r="BZ364" s="37">
        <v>200000</v>
      </c>
      <c r="CA364" s="37">
        <v>200000</v>
      </c>
      <c r="CB364" s="37">
        <v>2611597</v>
      </c>
      <c r="CC364" s="37">
        <v>0</v>
      </c>
      <c r="CD364" s="37">
        <v>0</v>
      </c>
      <c r="CE364" s="37">
        <v>0</v>
      </c>
      <c r="CF364" s="37">
        <v>0</v>
      </c>
      <c r="CG364" s="37">
        <v>0</v>
      </c>
      <c r="CH364" s="37">
        <v>0</v>
      </c>
      <c r="CI364" s="37">
        <v>0</v>
      </c>
      <c r="CJ364" s="37">
        <v>0</v>
      </c>
      <c r="CK364" s="37">
        <v>0</v>
      </c>
      <c r="CL364" s="37">
        <v>0</v>
      </c>
      <c r="CM364" s="37">
        <v>0</v>
      </c>
      <c r="CN364" s="37">
        <v>0</v>
      </c>
      <c r="CO364" s="37">
        <v>0</v>
      </c>
      <c r="CP364" s="37">
        <v>0</v>
      </c>
      <c r="CQ364" s="37">
        <v>0</v>
      </c>
      <c r="CR364" s="37">
        <v>0</v>
      </c>
      <c r="CS364" s="37">
        <v>0</v>
      </c>
      <c r="CT364" s="37">
        <v>0</v>
      </c>
      <c r="CU364" s="37">
        <v>0</v>
      </c>
      <c r="CV364" s="37">
        <v>0</v>
      </c>
      <c r="CW364" s="37">
        <v>0</v>
      </c>
      <c r="CX364" s="37">
        <v>0</v>
      </c>
      <c r="CY364" s="37">
        <v>0</v>
      </c>
      <c r="CZ364" s="37">
        <v>0</v>
      </c>
      <c r="DA364" s="37">
        <v>0</v>
      </c>
      <c r="DB364" s="37">
        <v>0</v>
      </c>
      <c r="DC364" s="37">
        <v>0</v>
      </c>
      <c r="DD364" s="37">
        <v>0</v>
      </c>
      <c r="DE364" s="37">
        <v>0</v>
      </c>
      <c r="DF364" s="37">
        <v>0</v>
      </c>
      <c r="DG364" s="37">
        <v>0</v>
      </c>
      <c r="DH364" s="37">
        <v>0</v>
      </c>
      <c r="DI364" s="37">
        <v>0</v>
      </c>
      <c r="DJ364" s="37">
        <v>0</v>
      </c>
      <c r="DK364" s="37">
        <v>0</v>
      </c>
      <c r="DL364" s="37">
        <v>0</v>
      </c>
      <c r="DM364" s="37">
        <v>0</v>
      </c>
      <c r="DN364" s="37">
        <v>0</v>
      </c>
      <c r="DO364" s="37">
        <v>0</v>
      </c>
      <c r="DP364" s="37">
        <v>0</v>
      </c>
      <c r="DQ364" s="37">
        <v>0</v>
      </c>
      <c r="DR364" s="37">
        <v>0</v>
      </c>
      <c r="DS364" s="37">
        <v>0</v>
      </c>
      <c r="DT364" s="37">
        <v>0</v>
      </c>
      <c r="DU364" s="37">
        <v>0</v>
      </c>
      <c r="DV364" s="37">
        <v>0</v>
      </c>
      <c r="DW364" s="37">
        <v>0</v>
      </c>
      <c r="DX364" s="37">
        <v>0</v>
      </c>
      <c r="DY364" s="37">
        <v>0</v>
      </c>
      <c r="DZ364" s="37">
        <v>0</v>
      </c>
      <c r="EA364" s="37">
        <v>0</v>
      </c>
      <c r="EB364" s="37">
        <v>0</v>
      </c>
      <c r="EC364" s="37">
        <v>0</v>
      </c>
      <c r="ED364" s="37">
        <v>0</v>
      </c>
      <c r="EE364" s="37">
        <v>0</v>
      </c>
      <c r="EF364" s="37">
        <v>0</v>
      </c>
      <c r="EG364" s="37">
        <v>0</v>
      </c>
      <c r="EH364" s="37">
        <v>0</v>
      </c>
      <c r="EI364" s="37">
        <v>0</v>
      </c>
      <c r="EJ364" s="37">
        <v>0</v>
      </c>
      <c r="EK364" s="161" t="s">
        <v>2136</v>
      </c>
      <c r="EL364" s="294" t="s">
        <v>1124</v>
      </c>
    </row>
    <row r="365" spans="1:142" ht="15" customHeight="1" x14ac:dyDescent="0.35">
      <c r="A365" s="34"/>
      <c r="B365" s="313">
        <v>89015</v>
      </c>
      <c r="C365" s="8" t="s">
        <v>930</v>
      </c>
      <c r="D365" s="18">
        <v>8</v>
      </c>
      <c r="E365" s="155"/>
      <c r="F365" s="36"/>
      <c r="G365" s="37"/>
      <c r="H365" s="37"/>
      <c r="I365" s="37"/>
      <c r="J365" s="37"/>
      <c r="K365" s="37"/>
      <c r="L365" s="37"/>
      <c r="M365" s="37" t="s">
        <v>1124</v>
      </c>
      <c r="N365" s="37" t="s">
        <v>1124</v>
      </c>
      <c r="O365" s="37"/>
      <c r="P365" s="37"/>
      <c r="Q365" s="37"/>
      <c r="R365" s="37"/>
      <c r="S365" s="37"/>
      <c r="T365" s="37"/>
      <c r="U365" s="37"/>
      <c r="V365" s="37"/>
      <c r="W365" s="37"/>
      <c r="X365" s="37"/>
      <c r="Y365" s="37"/>
      <c r="Z365" s="37"/>
      <c r="AA365" s="37" t="s">
        <v>1124</v>
      </c>
      <c r="AB365" s="37" t="s">
        <v>1124</v>
      </c>
      <c r="AC365" s="37"/>
      <c r="AD365" s="37"/>
      <c r="AE365" s="37"/>
      <c r="AF365" s="168"/>
      <c r="AG365" s="37"/>
      <c r="AH365" s="37"/>
      <c r="AI365" s="37"/>
      <c r="AJ365" s="37"/>
      <c r="AK365" s="37"/>
      <c r="AL365" s="37"/>
      <c r="AM365" s="37"/>
      <c r="AN365" s="37"/>
      <c r="AO365" s="37"/>
      <c r="AP365" s="37"/>
      <c r="AQ365" s="37"/>
      <c r="AR365" s="37" t="s">
        <v>1124</v>
      </c>
      <c r="AS365" s="37"/>
      <c r="AT365" s="37"/>
      <c r="AU365" s="37"/>
      <c r="AV365" s="37"/>
      <c r="AW365" s="37"/>
      <c r="AX365" s="37"/>
      <c r="AY365" s="37"/>
      <c r="AZ365" s="37"/>
      <c r="BA365" s="37"/>
      <c r="BB365" s="37"/>
      <c r="BC365" s="37"/>
      <c r="BD365" s="37" t="s">
        <v>1124</v>
      </c>
      <c r="BE365" s="37"/>
      <c r="BF365" s="37"/>
      <c r="BG365" s="37"/>
      <c r="BH365" s="37"/>
      <c r="BI365" s="37"/>
      <c r="BJ365" s="37"/>
      <c r="BK365" s="37"/>
      <c r="BL365" s="37"/>
      <c r="BM365" s="37"/>
      <c r="BN365" s="37"/>
      <c r="BO365" s="37"/>
      <c r="BP365" s="37">
        <v>0</v>
      </c>
      <c r="BQ365" s="37"/>
      <c r="BR365" s="37"/>
      <c r="BS365" s="37"/>
      <c r="BT365" s="37"/>
      <c r="BU365" s="37"/>
      <c r="BV365" s="37"/>
      <c r="BW365" s="37"/>
      <c r="BX365" s="37"/>
      <c r="BY365" s="37"/>
      <c r="BZ365" s="37"/>
      <c r="CA365" s="37"/>
      <c r="CB365" s="37" t="s">
        <v>1124</v>
      </c>
      <c r="CC365" s="37"/>
      <c r="CD365" s="37"/>
      <c r="CE365" s="37"/>
      <c r="CF365" s="37"/>
      <c r="CG365" s="37"/>
      <c r="CH365" s="37"/>
      <c r="CI365" s="37"/>
      <c r="CJ365" s="37"/>
      <c r="CK365" s="37"/>
      <c r="CL365" s="37"/>
      <c r="CM365" s="37"/>
      <c r="CN365" s="37" t="s">
        <v>1124</v>
      </c>
      <c r="CO365" s="37"/>
      <c r="CP365" s="37"/>
      <c r="CQ365" s="37"/>
      <c r="CR365" s="37"/>
      <c r="CS365" s="37"/>
      <c r="CT365" s="37"/>
      <c r="CU365" s="37"/>
      <c r="CV365" s="37"/>
      <c r="CW365" s="37"/>
      <c r="CX365" s="37"/>
      <c r="CY365" s="37"/>
      <c r="CZ365" s="37" t="s">
        <v>1124</v>
      </c>
      <c r="DA365" s="37"/>
      <c r="DB365" s="37"/>
      <c r="DC365" s="37"/>
      <c r="DD365" s="37"/>
      <c r="DE365" s="37"/>
      <c r="DF365" s="37"/>
      <c r="DG365" s="37"/>
      <c r="DH365" s="37"/>
      <c r="DI365" s="37"/>
      <c r="DJ365" s="37"/>
      <c r="DK365" s="37"/>
      <c r="DL365" s="37" t="s">
        <v>1124</v>
      </c>
      <c r="DM365" s="37"/>
      <c r="DN365" s="37"/>
      <c r="DO365" s="37"/>
      <c r="DP365" s="37"/>
      <c r="DQ365" s="37"/>
      <c r="DR365" s="37"/>
      <c r="DS365" s="37"/>
      <c r="DT365" s="37"/>
      <c r="DU365" s="37"/>
      <c r="DV365" s="37"/>
      <c r="DW365" s="37"/>
      <c r="DX365" s="37" t="s">
        <v>1124</v>
      </c>
      <c r="DY365" s="37"/>
      <c r="DZ365" s="37"/>
      <c r="EA365" s="37"/>
      <c r="EB365" s="37"/>
      <c r="EC365" s="37"/>
      <c r="ED365" s="37"/>
      <c r="EE365" s="37"/>
      <c r="EF365" s="37"/>
      <c r="EG365" s="37"/>
      <c r="EH365" s="37"/>
      <c r="EI365" s="37"/>
      <c r="EJ365" s="37" t="s">
        <v>1124</v>
      </c>
      <c r="EK365" s="161"/>
      <c r="EL365" s="294"/>
    </row>
    <row r="366" spans="1:142" ht="15" customHeight="1" x14ac:dyDescent="0.35">
      <c r="A366" s="34"/>
      <c r="B366" s="313">
        <v>52095</v>
      </c>
      <c r="C366" s="8" t="s">
        <v>529</v>
      </c>
      <c r="D366" s="18">
        <v>14</v>
      </c>
      <c r="E366" s="155">
        <v>83272</v>
      </c>
      <c r="F366" s="36">
        <v>0</v>
      </c>
      <c r="G366" s="37">
        <v>7307</v>
      </c>
      <c r="H366" s="37">
        <v>2446</v>
      </c>
      <c r="I366" s="37">
        <v>35600</v>
      </c>
      <c r="J366" s="37">
        <v>11912</v>
      </c>
      <c r="K366" s="37">
        <v>12490.8</v>
      </c>
      <c r="L366" s="37">
        <v>1980</v>
      </c>
      <c r="M366" s="37">
        <v>138669.79999999999</v>
      </c>
      <c r="N366" s="37">
        <v>16338</v>
      </c>
      <c r="O366" s="37">
        <v>0</v>
      </c>
      <c r="P366" s="37">
        <v>0</v>
      </c>
      <c r="Q366" s="37">
        <v>41126</v>
      </c>
      <c r="R366" s="37">
        <v>0</v>
      </c>
      <c r="S366" s="37">
        <v>0</v>
      </c>
      <c r="T366" s="37">
        <v>0</v>
      </c>
      <c r="U366" s="37">
        <v>12390</v>
      </c>
      <c r="V366" s="37">
        <v>0</v>
      </c>
      <c r="W366" s="37">
        <v>85153.799999999988</v>
      </c>
      <c r="X366" s="37">
        <v>16338</v>
      </c>
      <c r="Y366" s="37">
        <v>0</v>
      </c>
      <c r="Z366" s="37">
        <v>0</v>
      </c>
      <c r="AA366" s="37">
        <v>138669.79999999999</v>
      </c>
      <c r="AB366" s="37">
        <v>16338</v>
      </c>
      <c r="AC366" s="37">
        <v>0</v>
      </c>
      <c r="AD366" s="37">
        <v>0</v>
      </c>
      <c r="AE366" s="37">
        <v>0</v>
      </c>
      <c r="AF366" s="168">
        <v>0.02</v>
      </c>
      <c r="AG366" s="37">
        <v>9734600.3399999999</v>
      </c>
      <c r="AH366" s="37">
        <v>74670.78</v>
      </c>
      <c r="AI366" s="37">
        <v>76164.19</v>
      </c>
      <c r="AJ366" s="37">
        <v>77687.48</v>
      </c>
      <c r="AK366" s="37">
        <v>79241.23</v>
      </c>
      <c r="AL366" s="37">
        <v>80826.05</v>
      </c>
      <c r="AM366" s="37">
        <v>82442.570000000007</v>
      </c>
      <c r="AN366" s="37">
        <v>84091.42</v>
      </c>
      <c r="AO366" s="37">
        <v>85773.25</v>
      </c>
      <c r="AP366" s="37">
        <v>87488.72</v>
      </c>
      <c r="AQ366" s="37">
        <v>89238.49</v>
      </c>
      <c r="AR366" s="37">
        <v>817624.17999999993</v>
      </c>
      <c r="AS366" s="37">
        <v>0</v>
      </c>
      <c r="AT366" s="37">
        <v>0</v>
      </c>
      <c r="AU366" s="37">
        <v>0</v>
      </c>
      <c r="AV366" s="37">
        <v>0</v>
      </c>
      <c r="AW366" s="37">
        <v>0</v>
      </c>
      <c r="AX366" s="37">
        <v>0</v>
      </c>
      <c r="AY366" s="37">
        <v>0</v>
      </c>
      <c r="AZ366" s="37">
        <v>0</v>
      </c>
      <c r="BA366" s="37">
        <v>0</v>
      </c>
      <c r="BB366" s="37">
        <v>0</v>
      </c>
      <c r="BC366" s="37">
        <v>0</v>
      </c>
      <c r="BD366" s="37">
        <v>0</v>
      </c>
      <c r="BE366" s="37">
        <v>0</v>
      </c>
      <c r="BF366" s="37">
        <v>0</v>
      </c>
      <c r="BG366" s="37">
        <v>0</v>
      </c>
      <c r="BH366" s="37">
        <v>0</v>
      </c>
      <c r="BI366" s="37">
        <v>0</v>
      </c>
      <c r="BJ366" s="37">
        <v>0</v>
      </c>
      <c r="BK366" s="37">
        <v>0</v>
      </c>
      <c r="BL366" s="37">
        <v>0</v>
      </c>
      <c r="BM366" s="37">
        <v>0</v>
      </c>
      <c r="BN366" s="37">
        <v>0</v>
      </c>
      <c r="BO366" s="37">
        <v>0</v>
      </c>
      <c r="BP366" s="37">
        <v>0</v>
      </c>
      <c r="BQ366" s="37">
        <v>282600</v>
      </c>
      <c r="BR366" s="37">
        <v>245100</v>
      </c>
      <c r="BS366" s="37">
        <v>206800</v>
      </c>
      <c r="BT366" s="37">
        <v>0</v>
      </c>
      <c r="BU366" s="37">
        <v>0</v>
      </c>
      <c r="BV366" s="37">
        <v>0</v>
      </c>
      <c r="BW366" s="37">
        <v>0</v>
      </c>
      <c r="BX366" s="37">
        <v>0</v>
      </c>
      <c r="BY366" s="37">
        <v>0</v>
      </c>
      <c r="BZ366" s="37">
        <v>0</v>
      </c>
      <c r="CA366" s="37">
        <v>0</v>
      </c>
      <c r="CB366" s="37">
        <v>451900</v>
      </c>
      <c r="CC366" s="37">
        <v>37500</v>
      </c>
      <c r="CD366" s="37">
        <v>38300</v>
      </c>
      <c r="CE366" s="37">
        <v>0</v>
      </c>
      <c r="CF366" s="37">
        <v>0</v>
      </c>
      <c r="CG366" s="37">
        <v>0</v>
      </c>
      <c r="CH366" s="37">
        <v>0</v>
      </c>
      <c r="CI366" s="37">
        <v>0</v>
      </c>
      <c r="CJ366" s="37">
        <v>0</v>
      </c>
      <c r="CK366" s="37">
        <v>0</v>
      </c>
      <c r="CL366" s="37">
        <v>0</v>
      </c>
      <c r="CM366" s="37">
        <v>0</v>
      </c>
      <c r="CN366" s="37">
        <v>38300</v>
      </c>
      <c r="CO366" s="37">
        <v>0</v>
      </c>
      <c r="CP366" s="37">
        <v>0</v>
      </c>
      <c r="CQ366" s="37">
        <v>0</v>
      </c>
      <c r="CR366" s="37">
        <v>0</v>
      </c>
      <c r="CS366" s="37">
        <v>0</v>
      </c>
      <c r="CT366" s="37">
        <v>0</v>
      </c>
      <c r="CU366" s="37">
        <v>0</v>
      </c>
      <c r="CV366" s="37">
        <v>0</v>
      </c>
      <c r="CW366" s="37">
        <v>0</v>
      </c>
      <c r="CX366" s="37">
        <v>0</v>
      </c>
      <c r="CY366" s="37">
        <v>0</v>
      </c>
      <c r="CZ366" s="37">
        <v>0</v>
      </c>
      <c r="DA366" s="37">
        <v>0</v>
      </c>
      <c r="DB366" s="37">
        <v>0</v>
      </c>
      <c r="DC366" s="37">
        <v>0</v>
      </c>
      <c r="DD366" s="37">
        <v>0</v>
      </c>
      <c r="DE366" s="37">
        <v>0</v>
      </c>
      <c r="DF366" s="37">
        <v>0</v>
      </c>
      <c r="DG366" s="37">
        <v>0</v>
      </c>
      <c r="DH366" s="37">
        <v>0</v>
      </c>
      <c r="DI366" s="37">
        <v>0</v>
      </c>
      <c r="DJ366" s="37">
        <v>0</v>
      </c>
      <c r="DK366" s="37">
        <v>0</v>
      </c>
      <c r="DL366" s="37">
        <v>0</v>
      </c>
      <c r="DM366" s="37">
        <v>0</v>
      </c>
      <c r="DN366" s="37">
        <v>0</v>
      </c>
      <c r="DO366" s="37">
        <v>0</v>
      </c>
      <c r="DP366" s="37">
        <v>0</v>
      </c>
      <c r="DQ366" s="37">
        <v>0</v>
      </c>
      <c r="DR366" s="37">
        <v>0</v>
      </c>
      <c r="DS366" s="37">
        <v>0</v>
      </c>
      <c r="DT366" s="37">
        <v>0</v>
      </c>
      <c r="DU366" s="37">
        <v>0</v>
      </c>
      <c r="DV366" s="37">
        <v>0</v>
      </c>
      <c r="DW366" s="37">
        <v>0</v>
      </c>
      <c r="DX366" s="37">
        <v>0</v>
      </c>
      <c r="DY366" s="37">
        <v>0</v>
      </c>
      <c r="DZ366" s="37">
        <v>0</v>
      </c>
      <c r="EA366" s="37">
        <v>0</v>
      </c>
      <c r="EB366" s="37">
        <v>0</v>
      </c>
      <c r="EC366" s="37">
        <v>0</v>
      </c>
      <c r="ED366" s="37">
        <v>0</v>
      </c>
      <c r="EE366" s="37">
        <v>0</v>
      </c>
      <c r="EF366" s="37">
        <v>0</v>
      </c>
      <c r="EG366" s="37">
        <v>0</v>
      </c>
      <c r="EH366" s="37">
        <v>0</v>
      </c>
      <c r="EI366" s="37">
        <v>0</v>
      </c>
      <c r="EJ366" s="37">
        <v>0</v>
      </c>
      <c r="EK366" s="161" t="s">
        <v>2138</v>
      </c>
      <c r="EL366" s="294" t="s">
        <v>1124</v>
      </c>
    </row>
    <row r="367" spans="1:142" ht="15" customHeight="1" x14ac:dyDescent="0.35">
      <c r="A367" s="34"/>
      <c r="B367" s="313">
        <v>83065</v>
      </c>
      <c r="C367" s="8" t="s">
        <v>845</v>
      </c>
      <c r="D367" s="18">
        <v>7</v>
      </c>
      <c r="E367" s="155">
        <v>447126</v>
      </c>
      <c r="F367" s="36">
        <v>554543</v>
      </c>
      <c r="G367" s="37">
        <v>87188</v>
      </c>
      <c r="H367" s="37">
        <v>37369</v>
      </c>
      <c r="I367" s="37">
        <v>215148</v>
      </c>
      <c r="J367" s="37">
        <v>106087</v>
      </c>
      <c r="K367" s="37">
        <v>196887</v>
      </c>
      <c r="L367" s="37">
        <v>189251</v>
      </c>
      <c r="M367" s="37">
        <v>946349</v>
      </c>
      <c r="N367" s="37">
        <v>887250</v>
      </c>
      <c r="O367" s="37">
        <v>67963</v>
      </c>
      <c r="P367" s="37">
        <v>41939</v>
      </c>
      <c r="Q367" s="37">
        <v>711293</v>
      </c>
      <c r="R367" s="37">
        <v>607528</v>
      </c>
      <c r="S367" s="37">
        <v>77627</v>
      </c>
      <c r="T367" s="37">
        <v>2511</v>
      </c>
      <c r="U367" s="37">
        <v>620</v>
      </c>
      <c r="V367" s="37">
        <v>530</v>
      </c>
      <c r="W367" s="37">
        <v>88846</v>
      </c>
      <c r="X367" s="37">
        <v>234742</v>
      </c>
      <c r="Y367" s="37">
        <v>0</v>
      </c>
      <c r="Z367" s="37">
        <v>0</v>
      </c>
      <c r="AA367" s="37">
        <v>946349</v>
      </c>
      <c r="AB367" s="37">
        <v>887250</v>
      </c>
      <c r="AC367" s="37">
        <v>0</v>
      </c>
      <c r="AD367" s="37">
        <v>0</v>
      </c>
      <c r="AE367" s="37">
        <v>0</v>
      </c>
      <c r="AF367" s="168">
        <v>0.02</v>
      </c>
      <c r="AG367" s="37">
        <v>141207404.03</v>
      </c>
      <c r="AH367" s="37">
        <v>1163693.2</v>
      </c>
      <c r="AI367" s="37">
        <v>1088805.32</v>
      </c>
      <c r="AJ367" s="37">
        <v>1052671.31</v>
      </c>
      <c r="AK367" s="37">
        <v>1057163.52</v>
      </c>
      <c r="AL367" s="37">
        <v>1078306.79</v>
      </c>
      <c r="AM367" s="37">
        <v>1140076.93</v>
      </c>
      <c r="AN367" s="37">
        <v>1162878.47</v>
      </c>
      <c r="AO367" s="37">
        <v>1111442.75</v>
      </c>
      <c r="AP367" s="37">
        <v>1133671.6000000001</v>
      </c>
      <c r="AQ367" s="37">
        <v>1156345.04</v>
      </c>
      <c r="AR367" s="37">
        <v>11145054.93</v>
      </c>
      <c r="AS367" s="37">
        <v>9456981.0999999996</v>
      </c>
      <c r="AT367" s="37">
        <v>0</v>
      </c>
      <c r="AU367" s="37">
        <v>0</v>
      </c>
      <c r="AV367" s="37">
        <v>0</v>
      </c>
      <c r="AW367" s="37">
        <v>0</v>
      </c>
      <c r="AX367" s="37">
        <v>0</v>
      </c>
      <c r="AY367" s="37">
        <v>0</v>
      </c>
      <c r="AZ367" s="37">
        <v>0</v>
      </c>
      <c r="BA367" s="37">
        <v>0</v>
      </c>
      <c r="BB367" s="37">
        <v>0</v>
      </c>
      <c r="BC367" s="37">
        <v>0</v>
      </c>
      <c r="BD367" s="37">
        <v>0</v>
      </c>
      <c r="BE367" s="37">
        <v>0</v>
      </c>
      <c r="BF367" s="37">
        <v>0</v>
      </c>
      <c r="BG367" s="37">
        <v>7141465</v>
      </c>
      <c r="BH367" s="37">
        <v>0</v>
      </c>
      <c r="BI367" s="37">
        <v>0</v>
      </c>
      <c r="BJ367" s="37">
        <v>0</v>
      </c>
      <c r="BK367" s="37">
        <v>0</v>
      </c>
      <c r="BL367" s="37">
        <v>0</v>
      </c>
      <c r="BM367" s="37">
        <v>0</v>
      </c>
      <c r="BN367" s="37">
        <v>0</v>
      </c>
      <c r="BO367" s="37">
        <v>0</v>
      </c>
      <c r="BP367" s="37">
        <v>7141465</v>
      </c>
      <c r="BQ367" s="37">
        <v>0</v>
      </c>
      <c r="BR367" s="37">
        <v>0</v>
      </c>
      <c r="BS367" s="37">
        <v>8965113</v>
      </c>
      <c r="BT367" s="37">
        <v>0</v>
      </c>
      <c r="BU367" s="37">
        <v>0</v>
      </c>
      <c r="BV367" s="37">
        <v>0</v>
      </c>
      <c r="BW367" s="37">
        <v>0</v>
      </c>
      <c r="BX367" s="37">
        <v>0</v>
      </c>
      <c r="BY367" s="37">
        <v>0</v>
      </c>
      <c r="BZ367" s="37">
        <v>0</v>
      </c>
      <c r="CA367" s="37">
        <v>0</v>
      </c>
      <c r="CB367" s="37">
        <v>8965113</v>
      </c>
      <c r="CC367" s="37">
        <v>0</v>
      </c>
      <c r="CD367" s="37">
        <v>0</v>
      </c>
      <c r="CE367" s="37">
        <v>0</v>
      </c>
      <c r="CF367" s="37">
        <v>0</v>
      </c>
      <c r="CG367" s="37">
        <v>0</v>
      </c>
      <c r="CH367" s="37">
        <v>0</v>
      </c>
      <c r="CI367" s="37">
        <v>0</v>
      </c>
      <c r="CJ367" s="37">
        <v>0</v>
      </c>
      <c r="CK367" s="37">
        <v>0</v>
      </c>
      <c r="CL367" s="37">
        <v>0</v>
      </c>
      <c r="CM367" s="37">
        <v>0</v>
      </c>
      <c r="CN367" s="37">
        <v>0</v>
      </c>
      <c r="CO367" s="37">
        <v>0</v>
      </c>
      <c r="CP367" s="37">
        <v>0</v>
      </c>
      <c r="CQ367" s="37">
        <v>0</v>
      </c>
      <c r="CR367" s="37">
        <v>0</v>
      </c>
      <c r="CS367" s="37">
        <v>0</v>
      </c>
      <c r="CT367" s="37">
        <v>0</v>
      </c>
      <c r="CU367" s="37">
        <v>0</v>
      </c>
      <c r="CV367" s="37">
        <v>0</v>
      </c>
      <c r="CW367" s="37">
        <v>0</v>
      </c>
      <c r="CX367" s="37">
        <v>0</v>
      </c>
      <c r="CY367" s="37">
        <v>0</v>
      </c>
      <c r="CZ367" s="37">
        <v>0</v>
      </c>
      <c r="DA367" s="37">
        <v>0</v>
      </c>
      <c r="DB367" s="37">
        <v>0</v>
      </c>
      <c r="DC367" s="37">
        <v>0</v>
      </c>
      <c r="DD367" s="37">
        <v>0</v>
      </c>
      <c r="DE367" s="37">
        <v>0</v>
      </c>
      <c r="DF367" s="37">
        <v>0</v>
      </c>
      <c r="DG367" s="37">
        <v>0</v>
      </c>
      <c r="DH367" s="37">
        <v>0</v>
      </c>
      <c r="DI367" s="37">
        <v>0</v>
      </c>
      <c r="DJ367" s="37">
        <v>0</v>
      </c>
      <c r="DK367" s="37">
        <v>0</v>
      </c>
      <c r="DL367" s="37">
        <v>0</v>
      </c>
      <c r="DM367" s="37">
        <v>0</v>
      </c>
      <c r="DN367" s="37">
        <v>0</v>
      </c>
      <c r="DO367" s="37">
        <v>0</v>
      </c>
      <c r="DP367" s="37">
        <v>0</v>
      </c>
      <c r="DQ367" s="37">
        <v>0</v>
      </c>
      <c r="DR367" s="37">
        <v>0</v>
      </c>
      <c r="DS367" s="37">
        <v>0</v>
      </c>
      <c r="DT367" s="37">
        <v>0</v>
      </c>
      <c r="DU367" s="37">
        <v>0</v>
      </c>
      <c r="DV367" s="37">
        <v>0</v>
      </c>
      <c r="DW367" s="37">
        <v>0</v>
      </c>
      <c r="DX367" s="37">
        <v>0</v>
      </c>
      <c r="DY367" s="37">
        <v>0</v>
      </c>
      <c r="DZ367" s="37">
        <v>0</v>
      </c>
      <c r="EA367" s="37">
        <v>0</v>
      </c>
      <c r="EB367" s="37">
        <v>0</v>
      </c>
      <c r="EC367" s="37">
        <v>0</v>
      </c>
      <c r="ED367" s="37">
        <v>0</v>
      </c>
      <c r="EE367" s="37">
        <v>0</v>
      </c>
      <c r="EF367" s="37">
        <v>0</v>
      </c>
      <c r="EG367" s="37">
        <v>0</v>
      </c>
      <c r="EH367" s="37">
        <v>0</v>
      </c>
      <c r="EI367" s="37">
        <v>0</v>
      </c>
      <c r="EJ367" s="37">
        <v>0</v>
      </c>
      <c r="EK367" s="161" t="s">
        <v>2141</v>
      </c>
      <c r="EL367" s="294" t="s">
        <v>1124</v>
      </c>
    </row>
    <row r="368" spans="1:142" ht="15" customHeight="1" x14ac:dyDescent="0.35">
      <c r="A368" s="34"/>
      <c r="B368" s="313">
        <v>38028</v>
      </c>
      <c r="C368" s="8" t="s">
        <v>329</v>
      </c>
      <c r="D368" s="18">
        <v>17</v>
      </c>
      <c r="E368" s="155"/>
      <c r="F368" s="36"/>
      <c r="G368" s="37"/>
      <c r="H368" s="37"/>
      <c r="I368" s="37"/>
      <c r="J368" s="37"/>
      <c r="K368" s="37"/>
      <c r="L368" s="37"/>
      <c r="M368" s="37" t="s">
        <v>1124</v>
      </c>
      <c r="N368" s="37" t="s">
        <v>1124</v>
      </c>
      <c r="O368" s="37"/>
      <c r="P368" s="37"/>
      <c r="Q368" s="37"/>
      <c r="R368" s="37"/>
      <c r="S368" s="37"/>
      <c r="T368" s="37"/>
      <c r="U368" s="37"/>
      <c r="V368" s="37"/>
      <c r="W368" s="37"/>
      <c r="X368" s="37"/>
      <c r="Y368" s="37"/>
      <c r="Z368" s="37"/>
      <c r="AA368" s="37" t="s">
        <v>1124</v>
      </c>
      <c r="AB368" s="37" t="s">
        <v>1124</v>
      </c>
      <c r="AC368" s="37"/>
      <c r="AD368" s="37"/>
      <c r="AE368" s="37"/>
      <c r="AF368" s="168"/>
      <c r="AG368" s="37"/>
      <c r="AH368" s="37"/>
      <c r="AI368" s="37"/>
      <c r="AJ368" s="37"/>
      <c r="AK368" s="37"/>
      <c r="AL368" s="37"/>
      <c r="AM368" s="37"/>
      <c r="AN368" s="37"/>
      <c r="AO368" s="37"/>
      <c r="AP368" s="37"/>
      <c r="AQ368" s="37"/>
      <c r="AR368" s="37" t="s">
        <v>1124</v>
      </c>
      <c r="AS368" s="37"/>
      <c r="AT368" s="37"/>
      <c r="AU368" s="37"/>
      <c r="AV368" s="37"/>
      <c r="AW368" s="37"/>
      <c r="AX368" s="37"/>
      <c r="AY368" s="37"/>
      <c r="AZ368" s="37"/>
      <c r="BA368" s="37"/>
      <c r="BB368" s="37"/>
      <c r="BC368" s="37"/>
      <c r="BD368" s="37" t="s">
        <v>1124</v>
      </c>
      <c r="BE368" s="37"/>
      <c r="BF368" s="37"/>
      <c r="BG368" s="37"/>
      <c r="BH368" s="37"/>
      <c r="BI368" s="37"/>
      <c r="BJ368" s="37"/>
      <c r="BK368" s="37"/>
      <c r="BL368" s="37"/>
      <c r="BM368" s="37"/>
      <c r="BN368" s="37"/>
      <c r="BO368" s="37"/>
      <c r="BP368" s="37">
        <v>0</v>
      </c>
      <c r="BQ368" s="37"/>
      <c r="BR368" s="37"/>
      <c r="BS368" s="37"/>
      <c r="BT368" s="37"/>
      <c r="BU368" s="37"/>
      <c r="BV368" s="37"/>
      <c r="BW368" s="37"/>
      <c r="BX368" s="37"/>
      <c r="BY368" s="37"/>
      <c r="BZ368" s="37"/>
      <c r="CA368" s="37"/>
      <c r="CB368" s="37" t="s">
        <v>1124</v>
      </c>
      <c r="CC368" s="37"/>
      <c r="CD368" s="37"/>
      <c r="CE368" s="37"/>
      <c r="CF368" s="37"/>
      <c r="CG368" s="37"/>
      <c r="CH368" s="37"/>
      <c r="CI368" s="37"/>
      <c r="CJ368" s="37"/>
      <c r="CK368" s="37"/>
      <c r="CL368" s="37"/>
      <c r="CM368" s="37"/>
      <c r="CN368" s="37" t="s">
        <v>1124</v>
      </c>
      <c r="CO368" s="37"/>
      <c r="CP368" s="37"/>
      <c r="CQ368" s="37"/>
      <c r="CR368" s="37"/>
      <c r="CS368" s="37"/>
      <c r="CT368" s="37"/>
      <c r="CU368" s="37"/>
      <c r="CV368" s="37"/>
      <c r="CW368" s="37"/>
      <c r="CX368" s="37"/>
      <c r="CY368" s="37"/>
      <c r="CZ368" s="37" t="s">
        <v>1124</v>
      </c>
      <c r="DA368" s="37"/>
      <c r="DB368" s="37"/>
      <c r="DC368" s="37"/>
      <c r="DD368" s="37"/>
      <c r="DE368" s="37"/>
      <c r="DF368" s="37"/>
      <c r="DG368" s="37"/>
      <c r="DH368" s="37"/>
      <c r="DI368" s="37"/>
      <c r="DJ368" s="37"/>
      <c r="DK368" s="37"/>
      <c r="DL368" s="37" t="s">
        <v>1124</v>
      </c>
      <c r="DM368" s="37"/>
      <c r="DN368" s="37"/>
      <c r="DO368" s="37"/>
      <c r="DP368" s="37"/>
      <c r="DQ368" s="37"/>
      <c r="DR368" s="37"/>
      <c r="DS368" s="37"/>
      <c r="DT368" s="37"/>
      <c r="DU368" s="37"/>
      <c r="DV368" s="37"/>
      <c r="DW368" s="37"/>
      <c r="DX368" s="37" t="s">
        <v>1124</v>
      </c>
      <c r="DY368" s="37"/>
      <c r="DZ368" s="37"/>
      <c r="EA368" s="37"/>
      <c r="EB368" s="37"/>
      <c r="EC368" s="37"/>
      <c r="ED368" s="37"/>
      <c r="EE368" s="37"/>
      <c r="EF368" s="37"/>
      <c r="EG368" s="37"/>
      <c r="EH368" s="37"/>
      <c r="EI368" s="37"/>
      <c r="EJ368" s="37" t="s">
        <v>1124</v>
      </c>
      <c r="EK368" s="161"/>
      <c r="EL368" s="294"/>
    </row>
    <row r="369" spans="1:142" ht="15" customHeight="1" x14ac:dyDescent="0.35">
      <c r="A369" s="34"/>
      <c r="B369" s="313">
        <v>84065</v>
      </c>
      <c r="C369" s="8" t="s">
        <v>864</v>
      </c>
      <c r="D369" s="18">
        <v>7</v>
      </c>
      <c r="E369" s="155"/>
      <c r="F369" s="36"/>
      <c r="G369" s="37"/>
      <c r="H369" s="37"/>
      <c r="I369" s="37"/>
      <c r="J369" s="37"/>
      <c r="K369" s="37"/>
      <c r="L369" s="37"/>
      <c r="M369" s="37" t="s">
        <v>1124</v>
      </c>
      <c r="N369" s="37" t="s">
        <v>1124</v>
      </c>
      <c r="O369" s="37"/>
      <c r="P369" s="37"/>
      <c r="Q369" s="37"/>
      <c r="R369" s="37"/>
      <c r="S369" s="37"/>
      <c r="T369" s="37"/>
      <c r="U369" s="37"/>
      <c r="V369" s="37"/>
      <c r="W369" s="37"/>
      <c r="X369" s="37"/>
      <c r="Y369" s="37"/>
      <c r="Z369" s="37"/>
      <c r="AA369" s="37" t="s">
        <v>1124</v>
      </c>
      <c r="AB369" s="37" t="s">
        <v>1124</v>
      </c>
      <c r="AC369" s="37"/>
      <c r="AD369" s="37"/>
      <c r="AE369" s="37"/>
      <c r="AF369" s="168"/>
      <c r="AG369" s="37"/>
      <c r="AH369" s="37"/>
      <c r="AI369" s="37"/>
      <c r="AJ369" s="37"/>
      <c r="AK369" s="37"/>
      <c r="AL369" s="37"/>
      <c r="AM369" s="37"/>
      <c r="AN369" s="37"/>
      <c r="AO369" s="37"/>
      <c r="AP369" s="37"/>
      <c r="AQ369" s="37"/>
      <c r="AR369" s="37" t="s">
        <v>1124</v>
      </c>
      <c r="AS369" s="37"/>
      <c r="AT369" s="37"/>
      <c r="AU369" s="37"/>
      <c r="AV369" s="37"/>
      <c r="AW369" s="37"/>
      <c r="AX369" s="37"/>
      <c r="AY369" s="37"/>
      <c r="AZ369" s="37"/>
      <c r="BA369" s="37"/>
      <c r="BB369" s="37"/>
      <c r="BC369" s="37"/>
      <c r="BD369" s="37" t="s">
        <v>1124</v>
      </c>
      <c r="BE369" s="37"/>
      <c r="BF369" s="37"/>
      <c r="BG369" s="37"/>
      <c r="BH369" s="37"/>
      <c r="BI369" s="37"/>
      <c r="BJ369" s="37"/>
      <c r="BK369" s="37"/>
      <c r="BL369" s="37"/>
      <c r="BM369" s="37"/>
      <c r="BN369" s="37"/>
      <c r="BO369" s="37"/>
      <c r="BP369" s="37">
        <v>0</v>
      </c>
      <c r="BQ369" s="37"/>
      <c r="BR369" s="37"/>
      <c r="BS369" s="37"/>
      <c r="BT369" s="37"/>
      <c r="BU369" s="37"/>
      <c r="BV369" s="37"/>
      <c r="BW369" s="37"/>
      <c r="BX369" s="37"/>
      <c r="BY369" s="37"/>
      <c r="BZ369" s="37"/>
      <c r="CA369" s="37"/>
      <c r="CB369" s="37" t="s">
        <v>1124</v>
      </c>
      <c r="CC369" s="37"/>
      <c r="CD369" s="37"/>
      <c r="CE369" s="37"/>
      <c r="CF369" s="37"/>
      <c r="CG369" s="37"/>
      <c r="CH369" s="37"/>
      <c r="CI369" s="37"/>
      <c r="CJ369" s="37"/>
      <c r="CK369" s="37"/>
      <c r="CL369" s="37"/>
      <c r="CM369" s="37"/>
      <c r="CN369" s="37" t="s">
        <v>1124</v>
      </c>
      <c r="CO369" s="37"/>
      <c r="CP369" s="37"/>
      <c r="CQ369" s="37"/>
      <c r="CR369" s="37"/>
      <c r="CS369" s="37"/>
      <c r="CT369" s="37"/>
      <c r="CU369" s="37"/>
      <c r="CV369" s="37"/>
      <c r="CW369" s="37"/>
      <c r="CX369" s="37"/>
      <c r="CY369" s="37"/>
      <c r="CZ369" s="37" t="s">
        <v>1124</v>
      </c>
      <c r="DA369" s="37"/>
      <c r="DB369" s="37"/>
      <c r="DC369" s="37"/>
      <c r="DD369" s="37"/>
      <c r="DE369" s="37"/>
      <c r="DF369" s="37"/>
      <c r="DG369" s="37"/>
      <c r="DH369" s="37"/>
      <c r="DI369" s="37"/>
      <c r="DJ369" s="37"/>
      <c r="DK369" s="37"/>
      <c r="DL369" s="37" t="s">
        <v>1124</v>
      </c>
      <c r="DM369" s="37"/>
      <c r="DN369" s="37"/>
      <c r="DO369" s="37"/>
      <c r="DP369" s="37"/>
      <c r="DQ369" s="37"/>
      <c r="DR369" s="37"/>
      <c r="DS369" s="37"/>
      <c r="DT369" s="37"/>
      <c r="DU369" s="37"/>
      <c r="DV369" s="37"/>
      <c r="DW369" s="37"/>
      <c r="DX369" s="37" t="s">
        <v>1124</v>
      </c>
      <c r="DY369" s="37"/>
      <c r="DZ369" s="37"/>
      <c r="EA369" s="37"/>
      <c r="EB369" s="37"/>
      <c r="EC369" s="37"/>
      <c r="ED369" s="37"/>
      <c r="EE369" s="37"/>
      <c r="EF369" s="37"/>
      <c r="EG369" s="37"/>
      <c r="EH369" s="37"/>
      <c r="EI369" s="37"/>
      <c r="EJ369" s="37" t="s">
        <v>1124</v>
      </c>
      <c r="EK369" s="161"/>
      <c r="EL369" s="294"/>
    </row>
    <row r="370" spans="1:142" ht="15" customHeight="1" x14ac:dyDescent="0.35">
      <c r="A370" s="34"/>
      <c r="B370" s="313">
        <v>6005</v>
      </c>
      <c r="C370" s="8" t="s">
        <v>1057</v>
      </c>
      <c r="D370" s="18">
        <v>11</v>
      </c>
      <c r="E370" s="155">
        <v>130583</v>
      </c>
      <c r="F370" s="36">
        <v>294031</v>
      </c>
      <c r="G370" s="37">
        <v>44132</v>
      </c>
      <c r="H370" s="37">
        <v>6697</v>
      </c>
      <c r="I370" s="37">
        <v>234243</v>
      </c>
      <c r="J370" s="37">
        <v>12250</v>
      </c>
      <c r="K370" s="37">
        <v>19587</v>
      </c>
      <c r="L370" s="37">
        <v>44105</v>
      </c>
      <c r="M370" s="37">
        <v>428545</v>
      </c>
      <c r="N370" s="37">
        <v>357083</v>
      </c>
      <c r="O370" s="37">
        <v>0</v>
      </c>
      <c r="P370" s="37">
        <v>0</v>
      </c>
      <c r="Q370" s="37">
        <v>248416</v>
      </c>
      <c r="R370" s="37">
        <v>273581</v>
      </c>
      <c r="S370" s="37">
        <v>0</v>
      </c>
      <c r="T370" s="37">
        <v>0</v>
      </c>
      <c r="U370" s="37">
        <v>0</v>
      </c>
      <c r="V370" s="37">
        <v>1860</v>
      </c>
      <c r="W370" s="37">
        <v>130886</v>
      </c>
      <c r="X370" s="37">
        <v>130885</v>
      </c>
      <c r="Y370" s="37">
        <v>0</v>
      </c>
      <c r="Z370" s="37">
        <v>0</v>
      </c>
      <c r="AA370" s="37">
        <v>379302</v>
      </c>
      <c r="AB370" s="37">
        <v>406326</v>
      </c>
      <c r="AC370" s="37">
        <v>0</v>
      </c>
      <c r="AD370" s="37">
        <v>0</v>
      </c>
      <c r="AE370" s="37">
        <v>0</v>
      </c>
      <c r="AF370" s="168">
        <v>0.02</v>
      </c>
      <c r="AG370" s="37">
        <v>54524097.090000004</v>
      </c>
      <c r="AH370" s="37">
        <v>477919.75</v>
      </c>
      <c r="AI370" s="37">
        <v>474146.16</v>
      </c>
      <c r="AJ370" s="37">
        <v>483629.08</v>
      </c>
      <c r="AK370" s="37">
        <v>541145.17000000004</v>
      </c>
      <c r="AL370" s="37">
        <v>506921.57</v>
      </c>
      <c r="AM370" s="37">
        <v>520819.34</v>
      </c>
      <c r="AN370" s="37">
        <v>527330.18999999994</v>
      </c>
      <c r="AO370" s="37">
        <v>537876.80000000005</v>
      </c>
      <c r="AP370" s="37">
        <v>566745.11</v>
      </c>
      <c r="AQ370" s="37">
        <v>560495.15</v>
      </c>
      <c r="AR370" s="37">
        <v>5197028.3199999994</v>
      </c>
      <c r="AS370" s="37">
        <v>481766.40000000002</v>
      </c>
      <c r="AT370" s="37">
        <v>10404</v>
      </c>
      <c r="AU370" s="37">
        <v>218692.08</v>
      </c>
      <c r="AV370" s="37">
        <v>10824.32</v>
      </c>
      <c r="AW370" s="37">
        <v>1093472.97</v>
      </c>
      <c r="AX370" s="37">
        <v>11261.62</v>
      </c>
      <c r="AY370" s="37">
        <v>11486.86</v>
      </c>
      <c r="AZ370" s="37">
        <v>11716.59</v>
      </c>
      <c r="BA370" s="37">
        <v>11950.93</v>
      </c>
      <c r="BB370" s="37">
        <v>12189.94</v>
      </c>
      <c r="BC370" s="37">
        <v>12433.74</v>
      </c>
      <c r="BD370" s="37">
        <v>1404433.05</v>
      </c>
      <c r="BE370" s="37">
        <v>32640</v>
      </c>
      <c r="BF370" s="37">
        <v>0</v>
      </c>
      <c r="BG370" s="37">
        <v>0</v>
      </c>
      <c r="BH370" s="37">
        <v>0</v>
      </c>
      <c r="BI370" s="37">
        <v>0</v>
      </c>
      <c r="BJ370" s="37">
        <v>0</v>
      </c>
      <c r="BK370" s="37">
        <v>0</v>
      </c>
      <c r="BL370" s="37">
        <v>0</v>
      </c>
      <c r="BM370" s="37">
        <v>0</v>
      </c>
      <c r="BN370" s="37">
        <v>0</v>
      </c>
      <c r="BO370" s="37">
        <v>0</v>
      </c>
      <c r="BP370" s="37">
        <v>0</v>
      </c>
      <c r="BQ370" s="37">
        <v>0</v>
      </c>
      <c r="BR370" s="37">
        <v>0</v>
      </c>
      <c r="BS370" s="37">
        <v>5000</v>
      </c>
      <c r="BT370" s="37">
        <v>5000</v>
      </c>
      <c r="BU370" s="37">
        <v>0</v>
      </c>
      <c r="BV370" s="37">
        <v>0</v>
      </c>
      <c r="BW370" s="37">
        <v>0</v>
      </c>
      <c r="BX370" s="37">
        <v>0</v>
      </c>
      <c r="BY370" s="37">
        <v>0</v>
      </c>
      <c r="BZ370" s="37">
        <v>0</v>
      </c>
      <c r="CA370" s="37">
        <v>0</v>
      </c>
      <c r="CB370" s="37">
        <v>10000</v>
      </c>
      <c r="CC370" s="37">
        <v>0</v>
      </c>
      <c r="CD370" s="37">
        <v>16000</v>
      </c>
      <c r="CE370" s="37">
        <v>8000</v>
      </c>
      <c r="CF370" s="37">
        <v>0</v>
      </c>
      <c r="CG370" s="37">
        <v>0</v>
      </c>
      <c r="CH370" s="37">
        <v>0</v>
      </c>
      <c r="CI370" s="37">
        <v>0</v>
      </c>
      <c r="CJ370" s="37">
        <v>0</v>
      </c>
      <c r="CK370" s="37">
        <v>0</v>
      </c>
      <c r="CL370" s="37">
        <v>0</v>
      </c>
      <c r="CM370" s="37">
        <v>0</v>
      </c>
      <c r="CN370" s="37">
        <v>24000</v>
      </c>
      <c r="CO370" s="37">
        <v>0</v>
      </c>
      <c r="CP370" s="37">
        <v>100000</v>
      </c>
      <c r="CQ370" s="37">
        <v>0</v>
      </c>
      <c r="CR370" s="37">
        <v>0</v>
      </c>
      <c r="CS370" s="37">
        <v>0</v>
      </c>
      <c r="CT370" s="37">
        <v>0</v>
      </c>
      <c r="CU370" s="37">
        <v>0</v>
      </c>
      <c r="CV370" s="37">
        <v>0</v>
      </c>
      <c r="CW370" s="37">
        <v>0</v>
      </c>
      <c r="CX370" s="37">
        <v>0</v>
      </c>
      <c r="CY370" s="37">
        <v>0</v>
      </c>
      <c r="CZ370" s="37">
        <v>100000</v>
      </c>
      <c r="DA370" s="37">
        <v>0</v>
      </c>
      <c r="DB370" s="37">
        <v>405200</v>
      </c>
      <c r="DC370" s="37">
        <v>50000</v>
      </c>
      <c r="DD370" s="37">
        <v>50000</v>
      </c>
      <c r="DE370" s="37">
        <v>0</v>
      </c>
      <c r="DF370" s="37">
        <v>0</v>
      </c>
      <c r="DG370" s="37">
        <v>0</v>
      </c>
      <c r="DH370" s="37">
        <v>0</v>
      </c>
      <c r="DI370" s="37">
        <v>0</v>
      </c>
      <c r="DJ370" s="37">
        <v>0</v>
      </c>
      <c r="DK370" s="37">
        <v>0</v>
      </c>
      <c r="DL370" s="37">
        <v>505200</v>
      </c>
      <c r="DM370" s="37">
        <v>0</v>
      </c>
      <c r="DN370" s="37">
        <v>5200</v>
      </c>
      <c r="DO370" s="37">
        <v>0</v>
      </c>
      <c r="DP370" s="37">
        <v>0</v>
      </c>
      <c r="DQ370" s="37">
        <v>0</v>
      </c>
      <c r="DR370" s="37">
        <v>0</v>
      </c>
      <c r="DS370" s="37">
        <v>0</v>
      </c>
      <c r="DT370" s="37">
        <v>0</v>
      </c>
      <c r="DU370" s="37">
        <v>0</v>
      </c>
      <c r="DV370" s="37">
        <v>0</v>
      </c>
      <c r="DW370" s="37">
        <v>0</v>
      </c>
      <c r="DX370" s="37">
        <v>5200</v>
      </c>
      <c r="DY370" s="37">
        <v>0</v>
      </c>
      <c r="DZ370" s="37">
        <v>250000</v>
      </c>
      <c r="EA370" s="37">
        <v>0</v>
      </c>
      <c r="EB370" s="37">
        <v>0</v>
      </c>
      <c r="EC370" s="37">
        <v>0</v>
      </c>
      <c r="ED370" s="37">
        <v>0</v>
      </c>
      <c r="EE370" s="37">
        <v>0</v>
      </c>
      <c r="EF370" s="37">
        <v>0</v>
      </c>
      <c r="EG370" s="37">
        <v>0</v>
      </c>
      <c r="EH370" s="37">
        <v>0</v>
      </c>
      <c r="EI370" s="37">
        <v>0</v>
      </c>
      <c r="EJ370" s="37">
        <v>250000</v>
      </c>
      <c r="EK370" s="161" t="s">
        <v>2146</v>
      </c>
      <c r="EL370" s="294" t="s">
        <v>1124</v>
      </c>
    </row>
    <row r="371" spans="1:142" ht="15" customHeight="1" x14ac:dyDescent="0.35">
      <c r="A371" s="34"/>
      <c r="B371" s="313">
        <v>42065</v>
      </c>
      <c r="C371" s="8" t="s">
        <v>388</v>
      </c>
      <c r="D371" s="18">
        <v>5</v>
      </c>
      <c r="E371" s="155"/>
      <c r="F371" s="36"/>
      <c r="G371" s="37"/>
      <c r="H371" s="37"/>
      <c r="I371" s="37"/>
      <c r="J371" s="37"/>
      <c r="K371" s="37"/>
      <c r="L371" s="37"/>
      <c r="M371" s="37" t="s">
        <v>1124</v>
      </c>
      <c r="N371" s="37" t="s">
        <v>1124</v>
      </c>
      <c r="O371" s="37"/>
      <c r="P371" s="37"/>
      <c r="Q371" s="37"/>
      <c r="R371" s="37"/>
      <c r="S371" s="37"/>
      <c r="T371" s="37"/>
      <c r="U371" s="37"/>
      <c r="V371" s="37"/>
      <c r="W371" s="37"/>
      <c r="X371" s="37"/>
      <c r="Y371" s="37"/>
      <c r="Z371" s="37"/>
      <c r="AA371" s="37" t="s">
        <v>1124</v>
      </c>
      <c r="AB371" s="37" t="s">
        <v>1124</v>
      </c>
      <c r="AC371" s="37"/>
      <c r="AD371" s="37"/>
      <c r="AE371" s="37"/>
      <c r="AF371" s="168"/>
      <c r="AG371" s="37"/>
      <c r="AH371" s="37"/>
      <c r="AI371" s="37"/>
      <c r="AJ371" s="37"/>
      <c r="AK371" s="37"/>
      <c r="AL371" s="37"/>
      <c r="AM371" s="37"/>
      <c r="AN371" s="37"/>
      <c r="AO371" s="37"/>
      <c r="AP371" s="37"/>
      <c r="AQ371" s="37"/>
      <c r="AR371" s="37" t="s">
        <v>1124</v>
      </c>
      <c r="AS371" s="37"/>
      <c r="AT371" s="37"/>
      <c r="AU371" s="37"/>
      <c r="AV371" s="37"/>
      <c r="AW371" s="37"/>
      <c r="AX371" s="37"/>
      <c r="AY371" s="37"/>
      <c r="AZ371" s="37"/>
      <c r="BA371" s="37"/>
      <c r="BB371" s="37"/>
      <c r="BC371" s="37"/>
      <c r="BD371" s="37" t="s">
        <v>1124</v>
      </c>
      <c r="BE371" s="37"/>
      <c r="BF371" s="37"/>
      <c r="BG371" s="37"/>
      <c r="BH371" s="37"/>
      <c r="BI371" s="37"/>
      <c r="BJ371" s="37"/>
      <c r="BK371" s="37"/>
      <c r="BL371" s="37"/>
      <c r="BM371" s="37"/>
      <c r="BN371" s="37"/>
      <c r="BO371" s="37"/>
      <c r="BP371" s="37">
        <v>0</v>
      </c>
      <c r="BQ371" s="37"/>
      <c r="BR371" s="37"/>
      <c r="BS371" s="37"/>
      <c r="BT371" s="37"/>
      <c r="BU371" s="37"/>
      <c r="BV371" s="37"/>
      <c r="BW371" s="37"/>
      <c r="BX371" s="37"/>
      <c r="BY371" s="37"/>
      <c r="BZ371" s="37"/>
      <c r="CA371" s="37"/>
      <c r="CB371" s="37" t="s">
        <v>1124</v>
      </c>
      <c r="CC371" s="37"/>
      <c r="CD371" s="37"/>
      <c r="CE371" s="37"/>
      <c r="CF371" s="37"/>
      <c r="CG371" s="37"/>
      <c r="CH371" s="37"/>
      <c r="CI371" s="37"/>
      <c r="CJ371" s="37"/>
      <c r="CK371" s="37"/>
      <c r="CL371" s="37"/>
      <c r="CM371" s="37"/>
      <c r="CN371" s="37" t="s">
        <v>1124</v>
      </c>
      <c r="CO371" s="37"/>
      <c r="CP371" s="37"/>
      <c r="CQ371" s="37"/>
      <c r="CR371" s="37"/>
      <c r="CS371" s="37"/>
      <c r="CT371" s="37"/>
      <c r="CU371" s="37"/>
      <c r="CV371" s="37"/>
      <c r="CW371" s="37"/>
      <c r="CX371" s="37"/>
      <c r="CY371" s="37"/>
      <c r="CZ371" s="37" t="s">
        <v>1124</v>
      </c>
      <c r="DA371" s="37"/>
      <c r="DB371" s="37"/>
      <c r="DC371" s="37"/>
      <c r="DD371" s="37"/>
      <c r="DE371" s="37"/>
      <c r="DF371" s="37"/>
      <c r="DG371" s="37"/>
      <c r="DH371" s="37"/>
      <c r="DI371" s="37"/>
      <c r="DJ371" s="37"/>
      <c r="DK371" s="37"/>
      <c r="DL371" s="37" t="s">
        <v>1124</v>
      </c>
      <c r="DM371" s="37"/>
      <c r="DN371" s="37"/>
      <c r="DO371" s="37"/>
      <c r="DP371" s="37"/>
      <c r="DQ371" s="37"/>
      <c r="DR371" s="37"/>
      <c r="DS371" s="37"/>
      <c r="DT371" s="37"/>
      <c r="DU371" s="37"/>
      <c r="DV371" s="37"/>
      <c r="DW371" s="37"/>
      <c r="DX371" s="37" t="s">
        <v>1124</v>
      </c>
      <c r="DY371" s="37"/>
      <c r="DZ371" s="37"/>
      <c r="EA371" s="37"/>
      <c r="EB371" s="37"/>
      <c r="EC371" s="37"/>
      <c r="ED371" s="37"/>
      <c r="EE371" s="37"/>
      <c r="EF371" s="37"/>
      <c r="EG371" s="37"/>
      <c r="EH371" s="37"/>
      <c r="EI371" s="37"/>
      <c r="EJ371" s="37" t="s">
        <v>1124</v>
      </c>
      <c r="EK371" s="161"/>
      <c r="EL371" s="294"/>
    </row>
    <row r="372" spans="1:142" ht="15" customHeight="1" x14ac:dyDescent="0.35">
      <c r="A372" s="34"/>
      <c r="B372" s="313">
        <v>55048</v>
      </c>
      <c r="C372" s="8" t="s">
        <v>564</v>
      </c>
      <c r="D372" s="18">
        <v>16</v>
      </c>
      <c r="E372" s="155">
        <v>704518</v>
      </c>
      <c r="F372" s="36">
        <v>1000024</v>
      </c>
      <c r="G372" s="37">
        <v>28518</v>
      </c>
      <c r="H372" s="37">
        <v>218681</v>
      </c>
      <c r="I372" s="37">
        <v>74919</v>
      </c>
      <c r="J372" s="37">
        <v>199251</v>
      </c>
      <c r="K372" s="37">
        <v>0</v>
      </c>
      <c r="L372" s="37">
        <v>0</v>
      </c>
      <c r="M372" s="37">
        <v>807955</v>
      </c>
      <c r="N372" s="37">
        <v>1417956</v>
      </c>
      <c r="O372" s="37">
        <v>81401</v>
      </c>
      <c r="P372" s="37">
        <v>33375</v>
      </c>
      <c r="Q372" s="37">
        <v>533827</v>
      </c>
      <c r="R372" s="37">
        <v>927608</v>
      </c>
      <c r="S372" s="37">
        <v>84500</v>
      </c>
      <c r="T372" s="37">
        <v>38289</v>
      </c>
      <c r="U372" s="37">
        <v>1287</v>
      </c>
      <c r="V372" s="37">
        <v>35609</v>
      </c>
      <c r="W372" s="37">
        <v>98115</v>
      </c>
      <c r="X372" s="37">
        <v>371527</v>
      </c>
      <c r="Y372" s="37">
        <v>8825</v>
      </c>
      <c r="Z372" s="37">
        <v>30604</v>
      </c>
      <c r="AA372" s="37">
        <v>807955</v>
      </c>
      <c r="AB372" s="37">
        <v>1437012</v>
      </c>
      <c r="AC372" s="37">
        <v>19056</v>
      </c>
      <c r="AD372" s="37">
        <v>19056</v>
      </c>
      <c r="AE372" s="37">
        <v>861328</v>
      </c>
      <c r="AF372" s="168">
        <v>0.02</v>
      </c>
      <c r="AG372" s="37">
        <v>154855306.75999999</v>
      </c>
      <c r="AH372" s="37">
        <v>3158990.87</v>
      </c>
      <c r="AI372" s="37">
        <v>3439281.11</v>
      </c>
      <c r="AJ372" s="37">
        <v>4192197.41</v>
      </c>
      <c r="AK372" s="37">
        <v>1236085.21</v>
      </c>
      <c r="AL372" s="37">
        <v>1260806.92</v>
      </c>
      <c r="AM372" s="37">
        <v>1286023.05</v>
      </c>
      <c r="AN372" s="37">
        <v>1311743.51</v>
      </c>
      <c r="AO372" s="37">
        <v>1337978.3799999999</v>
      </c>
      <c r="AP372" s="37">
        <v>1364737.95</v>
      </c>
      <c r="AQ372" s="37">
        <v>0</v>
      </c>
      <c r="AR372" s="37">
        <v>18587844.41</v>
      </c>
      <c r="AS372" s="37">
        <v>7626032</v>
      </c>
      <c r="AT372" s="37">
        <v>1377000</v>
      </c>
      <c r="AU372" s="37">
        <v>1404540</v>
      </c>
      <c r="AV372" s="37">
        <v>1432630.8</v>
      </c>
      <c r="AW372" s="37">
        <v>1461283.42</v>
      </c>
      <c r="AX372" s="37">
        <v>1490509.08</v>
      </c>
      <c r="AY372" s="37">
        <v>1520319.27</v>
      </c>
      <c r="AZ372" s="37">
        <v>1550725.65</v>
      </c>
      <c r="BA372" s="37">
        <v>1581740.16</v>
      </c>
      <c r="BB372" s="37">
        <v>1613374.97</v>
      </c>
      <c r="BC372" s="37">
        <v>0</v>
      </c>
      <c r="BD372" s="37">
        <v>13432123.35</v>
      </c>
      <c r="BE372" s="37">
        <v>0</v>
      </c>
      <c r="BF372" s="37">
        <v>0</v>
      </c>
      <c r="BG372" s="37">
        <v>0</v>
      </c>
      <c r="BH372" s="37">
        <v>0</v>
      </c>
      <c r="BI372" s="37">
        <v>0</v>
      </c>
      <c r="BJ372" s="37">
        <v>0</v>
      </c>
      <c r="BK372" s="37">
        <v>0</v>
      </c>
      <c r="BL372" s="37">
        <v>0</v>
      </c>
      <c r="BM372" s="37">
        <v>0</v>
      </c>
      <c r="BN372" s="37">
        <v>0</v>
      </c>
      <c r="BO372" s="37">
        <v>0</v>
      </c>
      <c r="BP372" s="37">
        <v>0</v>
      </c>
      <c r="BQ372" s="37">
        <v>700000</v>
      </c>
      <c r="BR372" s="37">
        <v>800000</v>
      </c>
      <c r="BS372" s="37">
        <v>1500000</v>
      </c>
      <c r="BT372" s="37">
        <v>1500000</v>
      </c>
      <c r="BU372" s="37">
        <v>2000000</v>
      </c>
      <c r="BV372" s="37">
        <v>0</v>
      </c>
      <c r="BW372" s="37">
        <v>0</v>
      </c>
      <c r="BX372" s="37">
        <v>0</v>
      </c>
      <c r="BY372" s="37">
        <v>0</v>
      </c>
      <c r="BZ372" s="37">
        <v>0</v>
      </c>
      <c r="CA372" s="37">
        <v>0</v>
      </c>
      <c r="CB372" s="37">
        <v>5800000</v>
      </c>
      <c r="CC372" s="37">
        <v>0</v>
      </c>
      <c r="CD372" s="37">
        <v>0</v>
      </c>
      <c r="CE372" s="37">
        <v>0</v>
      </c>
      <c r="CF372" s="37">
        <v>0</v>
      </c>
      <c r="CG372" s="37">
        <v>0</v>
      </c>
      <c r="CH372" s="37">
        <v>0</v>
      </c>
      <c r="CI372" s="37">
        <v>0</v>
      </c>
      <c r="CJ372" s="37">
        <v>0</v>
      </c>
      <c r="CK372" s="37">
        <v>0</v>
      </c>
      <c r="CL372" s="37">
        <v>0</v>
      </c>
      <c r="CM372" s="37">
        <v>0</v>
      </c>
      <c r="CN372" s="37">
        <v>0</v>
      </c>
      <c r="CO372" s="37">
        <v>0</v>
      </c>
      <c r="CP372" s="37">
        <v>0</v>
      </c>
      <c r="CQ372" s="37">
        <v>0</v>
      </c>
      <c r="CR372" s="37">
        <v>0</v>
      </c>
      <c r="CS372" s="37">
        <v>0</v>
      </c>
      <c r="CT372" s="37">
        <v>0</v>
      </c>
      <c r="CU372" s="37">
        <v>0</v>
      </c>
      <c r="CV372" s="37">
        <v>0</v>
      </c>
      <c r="CW372" s="37">
        <v>0</v>
      </c>
      <c r="CX372" s="37">
        <v>0</v>
      </c>
      <c r="CY372" s="37">
        <v>0</v>
      </c>
      <c r="CZ372" s="37">
        <v>0</v>
      </c>
      <c r="DA372" s="37">
        <v>100000</v>
      </c>
      <c r="DB372" s="37">
        <v>100000</v>
      </c>
      <c r="DC372" s="37">
        <v>100000</v>
      </c>
      <c r="DD372" s="37">
        <v>100000</v>
      </c>
      <c r="DE372" s="37">
        <v>100000</v>
      </c>
      <c r="DF372" s="37">
        <v>0</v>
      </c>
      <c r="DG372" s="37">
        <v>0</v>
      </c>
      <c r="DH372" s="37">
        <v>0</v>
      </c>
      <c r="DI372" s="37">
        <v>0</v>
      </c>
      <c r="DJ372" s="37">
        <v>0</v>
      </c>
      <c r="DK372" s="37">
        <v>0</v>
      </c>
      <c r="DL372" s="37">
        <v>400000</v>
      </c>
      <c r="DM372" s="37">
        <v>0</v>
      </c>
      <c r="DN372" s="37">
        <v>0</v>
      </c>
      <c r="DO372" s="37">
        <v>0</v>
      </c>
      <c r="DP372" s="37">
        <v>0</v>
      </c>
      <c r="DQ372" s="37">
        <v>0</v>
      </c>
      <c r="DR372" s="37">
        <v>0</v>
      </c>
      <c r="DS372" s="37">
        <v>0</v>
      </c>
      <c r="DT372" s="37">
        <v>0</v>
      </c>
      <c r="DU372" s="37">
        <v>0</v>
      </c>
      <c r="DV372" s="37">
        <v>0</v>
      </c>
      <c r="DW372" s="37">
        <v>0</v>
      </c>
      <c r="DX372" s="37">
        <v>0</v>
      </c>
      <c r="DY372" s="37">
        <v>0</v>
      </c>
      <c r="DZ372" s="37">
        <v>0</v>
      </c>
      <c r="EA372" s="37">
        <v>0</v>
      </c>
      <c r="EB372" s="37">
        <v>0</v>
      </c>
      <c r="EC372" s="37">
        <v>0</v>
      </c>
      <c r="ED372" s="37">
        <v>0</v>
      </c>
      <c r="EE372" s="37">
        <v>0</v>
      </c>
      <c r="EF372" s="37">
        <v>0</v>
      </c>
      <c r="EG372" s="37">
        <v>0</v>
      </c>
      <c r="EH372" s="37">
        <v>0</v>
      </c>
      <c r="EI372" s="37">
        <v>0</v>
      </c>
      <c r="EJ372" s="37">
        <v>0</v>
      </c>
      <c r="EK372" s="161" t="s">
        <v>1124</v>
      </c>
      <c r="EL372" s="294" t="s">
        <v>1124</v>
      </c>
    </row>
    <row r="373" spans="1:142" ht="15" customHeight="1" x14ac:dyDescent="0.35">
      <c r="A373" s="34"/>
      <c r="B373" s="313">
        <v>4025</v>
      </c>
      <c r="C373" s="8" t="s">
        <v>1040</v>
      </c>
      <c r="D373" s="18">
        <v>11</v>
      </c>
      <c r="E373" s="155">
        <v>24965</v>
      </c>
      <c r="F373" s="36">
        <v>38218</v>
      </c>
      <c r="G373" s="37">
        <v>6046</v>
      </c>
      <c r="H373" s="37">
        <v>0</v>
      </c>
      <c r="I373" s="37">
        <v>32800</v>
      </c>
      <c r="J373" s="37">
        <v>0</v>
      </c>
      <c r="K373" s="37">
        <v>3745</v>
      </c>
      <c r="L373" s="37">
        <v>5733</v>
      </c>
      <c r="M373" s="37">
        <v>67556</v>
      </c>
      <c r="N373" s="37">
        <v>43951</v>
      </c>
      <c r="O373" s="37">
        <v>0</v>
      </c>
      <c r="P373" s="37">
        <v>0</v>
      </c>
      <c r="Q373" s="37">
        <v>41076</v>
      </c>
      <c r="R373" s="37">
        <v>24097</v>
      </c>
      <c r="S373" s="37">
        <v>135</v>
      </c>
      <c r="T373" s="37">
        <v>5787</v>
      </c>
      <c r="U373" s="37">
        <v>0</v>
      </c>
      <c r="V373" s="37">
        <v>5787</v>
      </c>
      <c r="W373" s="37">
        <v>20206</v>
      </c>
      <c r="X373" s="37">
        <v>20206</v>
      </c>
      <c r="Y373" s="37">
        <v>0</v>
      </c>
      <c r="Z373" s="37">
        <v>0</v>
      </c>
      <c r="AA373" s="37">
        <v>61417</v>
      </c>
      <c r="AB373" s="37">
        <v>55877</v>
      </c>
      <c r="AC373" s="37">
        <v>5787</v>
      </c>
      <c r="AD373" s="37">
        <v>0</v>
      </c>
      <c r="AE373" s="37">
        <v>0</v>
      </c>
      <c r="AF373" s="168">
        <v>0.02</v>
      </c>
      <c r="AG373" s="37">
        <v>14123732.15</v>
      </c>
      <c r="AH373" s="37">
        <v>125562.83</v>
      </c>
      <c r="AI373" s="37">
        <v>128074.08</v>
      </c>
      <c r="AJ373" s="37">
        <v>130635.57</v>
      </c>
      <c r="AK373" s="37">
        <v>133248.28</v>
      </c>
      <c r="AL373" s="37">
        <v>135913.24</v>
      </c>
      <c r="AM373" s="37">
        <v>138631.51</v>
      </c>
      <c r="AN373" s="37">
        <v>141404.14000000001</v>
      </c>
      <c r="AO373" s="37">
        <v>144232.22</v>
      </c>
      <c r="AP373" s="37">
        <v>147116.85999999999</v>
      </c>
      <c r="AQ373" s="37">
        <v>150059.20000000001</v>
      </c>
      <c r="AR373" s="37">
        <v>1374877.9300000002</v>
      </c>
      <c r="AS373" s="37">
        <v>299880</v>
      </c>
      <c r="AT373" s="37">
        <v>0</v>
      </c>
      <c r="AU373" s="37">
        <v>0</v>
      </c>
      <c r="AV373" s="37">
        <v>0</v>
      </c>
      <c r="AW373" s="37">
        <v>0</v>
      </c>
      <c r="AX373" s="37">
        <v>0</v>
      </c>
      <c r="AY373" s="37">
        <v>0</v>
      </c>
      <c r="AZ373" s="37">
        <v>0</v>
      </c>
      <c r="BA373" s="37">
        <v>0</v>
      </c>
      <c r="BB373" s="37">
        <v>0</v>
      </c>
      <c r="BC373" s="37">
        <v>0</v>
      </c>
      <c r="BD373" s="37">
        <v>0</v>
      </c>
      <c r="BE373" s="37">
        <v>1549</v>
      </c>
      <c r="BF373" s="37">
        <v>98671.376554775212</v>
      </c>
      <c r="BG373" s="37">
        <v>106355.29091220025</v>
      </c>
      <c r="BH373" s="37">
        <v>130928.07031176274</v>
      </c>
      <c r="BI373" s="37">
        <v>155500.90222126193</v>
      </c>
      <c r="BJ373" s="37">
        <v>16888.865042137404</v>
      </c>
      <c r="BK373" s="37">
        <v>81782.511512637706</v>
      </c>
      <c r="BL373" s="37">
        <v>106355.29091220025</v>
      </c>
      <c r="BM373" s="37">
        <v>130928.07031176274</v>
      </c>
      <c r="BN373" s="37">
        <v>155500.90222126193</v>
      </c>
      <c r="BO373" s="37">
        <v>0</v>
      </c>
      <c r="BP373" s="37">
        <v>982911.28</v>
      </c>
      <c r="BQ373" s="37">
        <v>0</v>
      </c>
      <c r="BR373" s="37">
        <v>0</v>
      </c>
      <c r="BS373" s="37">
        <v>0</v>
      </c>
      <c r="BT373" s="37">
        <v>0</v>
      </c>
      <c r="BU373" s="37">
        <v>0</v>
      </c>
      <c r="BV373" s="37">
        <v>0</v>
      </c>
      <c r="BW373" s="37">
        <v>0</v>
      </c>
      <c r="BX373" s="37">
        <v>0</v>
      </c>
      <c r="BY373" s="37">
        <v>0</v>
      </c>
      <c r="BZ373" s="37">
        <v>0</v>
      </c>
      <c r="CA373" s="37">
        <v>0</v>
      </c>
      <c r="CB373" s="37">
        <v>0</v>
      </c>
      <c r="CC373" s="37">
        <v>0</v>
      </c>
      <c r="CD373" s="37">
        <v>10806.896391058752</v>
      </c>
      <c r="CE373" s="37">
        <v>11648.470404089408</v>
      </c>
      <c r="CF373" s="37">
        <v>14339.78261927876</v>
      </c>
      <c r="CG373" s="37">
        <v>17031.100585573095</v>
      </c>
      <c r="CH373" s="37">
        <v>1849.7382021586902</v>
      </c>
      <c r="CI373" s="37">
        <v>8957.1581889000499</v>
      </c>
      <c r="CJ373" s="37">
        <v>11648.470404089408</v>
      </c>
      <c r="CK373" s="37">
        <v>14339.78261927876</v>
      </c>
      <c r="CL373" s="37">
        <v>17031.100585573095</v>
      </c>
      <c r="CM373" s="37">
        <v>0</v>
      </c>
      <c r="CN373" s="37">
        <v>107652.50000000001</v>
      </c>
      <c r="CO373" s="37">
        <v>0</v>
      </c>
      <c r="CP373" s="37">
        <v>0</v>
      </c>
      <c r="CQ373" s="37">
        <v>0</v>
      </c>
      <c r="CR373" s="37">
        <v>0</v>
      </c>
      <c r="CS373" s="37">
        <v>0</v>
      </c>
      <c r="CT373" s="37">
        <v>0</v>
      </c>
      <c r="CU373" s="37">
        <v>0</v>
      </c>
      <c r="CV373" s="37">
        <v>0</v>
      </c>
      <c r="CW373" s="37">
        <v>0</v>
      </c>
      <c r="CX373" s="37">
        <v>0</v>
      </c>
      <c r="CY373" s="37">
        <v>0</v>
      </c>
      <c r="CZ373" s="37">
        <v>0</v>
      </c>
      <c r="DA373" s="37">
        <v>0</v>
      </c>
      <c r="DB373" s="37">
        <v>0</v>
      </c>
      <c r="DC373" s="37">
        <v>0</v>
      </c>
      <c r="DD373" s="37">
        <v>0</v>
      </c>
      <c r="DE373" s="37">
        <v>0</v>
      </c>
      <c r="DF373" s="37">
        <v>0</v>
      </c>
      <c r="DG373" s="37">
        <v>0</v>
      </c>
      <c r="DH373" s="37">
        <v>0</v>
      </c>
      <c r="DI373" s="37">
        <v>0</v>
      </c>
      <c r="DJ373" s="37">
        <v>0</v>
      </c>
      <c r="DK373" s="37">
        <v>0</v>
      </c>
      <c r="DL373" s="37">
        <v>0</v>
      </c>
      <c r="DM373" s="37">
        <v>0</v>
      </c>
      <c r="DN373" s="37">
        <v>0</v>
      </c>
      <c r="DO373" s="37">
        <v>0</v>
      </c>
      <c r="DP373" s="37">
        <v>0</v>
      </c>
      <c r="DQ373" s="37">
        <v>0</v>
      </c>
      <c r="DR373" s="37">
        <v>0</v>
      </c>
      <c r="DS373" s="37">
        <v>0</v>
      </c>
      <c r="DT373" s="37">
        <v>0</v>
      </c>
      <c r="DU373" s="37">
        <v>0</v>
      </c>
      <c r="DV373" s="37">
        <v>0</v>
      </c>
      <c r="DW373" s="37">
        <v>0</v>
      </c>
      <c r="DX373" s="37">
        <v>0</v>
      </c>
      <c r="DY373" s="37">
        <v>0</v>
      </c>
      <c r="DZ373" s="37">
        <v>0</v>
      </c>
      <c r="EA373" s="37">
        <v>0</v>
      </c>
      <c r="EB373" s="37">
        <v>0</v>
      </c>
      <c r="EC373" s="37">
        <v>0</v>
      </c>
      <c r="ED373" s="37">
        <v>0</v>
      </c>
      <c r="EE373" s="37">
        <v>0</v>
      </c>
      <c r="EF373" s="37">
        <v>0</v>
      </c>
      <c r="EG373" s="37">
        <v>0</v>
      </c>
      <c r="EH373" s="37">
        <v>0</v>
      </c>
      <c r="EI373" s="37">
        <v>0</v>
      </c>
      <c r="EJ373" s="37">
        <v>0</v>
      </c>
      <c r="EK373" s="161" t="s">
        <v>2152</v>
      </c>
      <c r="EL373" s="294" t="s">
        <v>1124</v>
      </c>
    </row>
    <row r="374" spans="1:142" ht="15" customHeight="1" x14ac:dyDescent="0.35">
      <c r="A374" s="34"/>
      <c r="B374" s="313">
        <v>30035</v>
      </c>
      <c r="C374" s="8" t="s">
        <v>223</v>
      </c>
      <c r="D374" s="18">
        <v>5</v>
      </c>
      <c r="E374" s="155"/>
      <c r="F374" s="36"/>
      <c r="G374" s="37"/>
      <c r="H374" s="37"/>
      <c r="I374" s="37"/>
      <c r="J374" s="37"/>
      <c r="K374" s="37"/>
      <c r="L374" s="37"/>
      <c r="M374" s="37" t="s">
        <v>1124</v>
      </c>
      <c r="N374" s="37" t="s">
        <v>1124</v>
      </c>
      <c r="O374" s="37"/>
      <c r="P374" s="37"/>
      <c r="Q374" s="37"/>
      <c r="R374" s="37"/>
      <c r="S374" s="37"/>
      <c r="T374" s="37"/>
      <c r="U374" s="37"/>
      <c r="V374" s="37"/>
      <c r="W374" s="37"/>
      <c r="X374" s="37"/>
      <c r="Y374" s="37"/>
      <c r="Z374" s="37"/>
      <c r="AA374" s="37" t="s">
        <v>1124</v>
      </c>
      <c r="AB374" s="37" t="s">
        <v>1124</v>
      </c>
      <c r="AC374" s="37"/>
      <c r="AD374" s="37"/>
      <c r="AE374" s="37"/>
      <c r="AF374" s="168"/>
      <c r="AG374" s="37"/>
      <c r="AH374" s="37"/>
      <c r="AI374" s="37"/>
      <c r="AJ374" s="37"/>
      <c r="AK374" s="37"/>
      <c r="AL374" s="37"/>
      <c r="AM374" s="37"/>
      <c r="AN374" s="37"/>
      <c r="AO374" s="37"/>
      <c r="AP374" s="37"/>
      <c r="AQ374" s="37"/>
      <c r="AR374" s="37" t="s">
        <v>1124</v>
      </c>
      <c r="AS374" s="37"/>
      <c r="AT374" s="37"/>
      <c r="AU374" s="37"/>
      <c r="AV374" s="37"/>
      <c r="AW374" s="37"/>
      <c r="AX374" s="37"/>
      <c r="AY374" s="37"/>
      <c r="AZ374" s="37"/>
      <c r="BA374" s="37"/>
      <c r="BB374" s="37"/>
      <c r="BC374" s="37"/>
      <c r="BD374" s="37" t="s">
        <v>1124</v>
      </c>
      <c r="BE374" s="37"/>
      <c r="BF374" s="37"/>
      <c r="BG374" s="37"/>
      <c r="BH374" s="37"/>
      <c r="BI374" s="37"/>
      <c r="BJ374" s="37"/>
      <c r="BK374" s="37"/>
      <c r="BL374" s="37"/>
      <c r="BM374" s="37"/>
      <c r="BN374" s="37"/>
      <c r="BO374" s="37"/>
      <c r="BP374" s="37">
        <v>0</v>
      </c>
      <c r="BQ374" s="37"/>
      <c r="BR374" s="37"/>
      <c r="BS374" s="37"/>
      <c r="BT374" s="37"/>
      <c r="BU374" s="37"/>
      <c r="BV374" s="37"/>
      <c r="BW374" s="37"/>
      <c r="BX374" s="37"/>
      <c r="BY374" s="37"/>
      <c r="BZ374" s="37"/>
      <c r="CA374" s="37"/>
      <c r="CB374" s="37" t="s">
        <v>1124</v>
      </c>
      <c r="CC374" s="37"/>
      <c r="CD374" s="37"/>
      <c r="CE374" s="37"/>
      <c r="CF374" s="37"/>
      <c r="CG374" s="37"/>
      <c r="CH374" s="37"/>
      <c r="CI374" s="37"/>
      <c r="CJ374" s="37"/>
      <c r="CK374" s="37"/>
      <c r="CL374" s="37"/>
      <c r="CM374" s="37"/>
      <c r="CN374" s="37" t="s">
        <v>1124</v>
      </c>
      <c r="CO374" s="37"/>
      <c r="CP374" s="37"/>
      <c r="CQ374" s="37"/>
      <c r="CR374" s="37"/>
      <c r="CS374" s="37"/>
      <c r="CT374" s="37"/>
      <c r="CU374" s="37"/>
      <c r="CV374" s="37"/>
      <c r="CW374" s="37"/>
      <c r="CX374" s="37"/>
      <c r="CY374" s="37"/>
      <c r="CZ374" s="37" t="s">
        <v>1124</v>
      </c>
      <c r="DA374" s="37"/>
      <c r="DB374" s="37"/>
      <c r="DC374" s="37"/>
      <c r="DD374" s="37"/>
      <c r="DE374" s="37"/>
      <c r="DF374" s="37"/>
      <c r="DG374" s="37"/>
      <c r="DH374" s="37"/>
      <c r="DI374" s="37"/>
      <c r="DJ374" s="37"/>
      <c r="DK374" s="37"/>
      <c r="DL374" s="37" t="s">
        <v>1124</v>
      </c>
      <c r="DM374" s="37"/>
      <c r="DN374" s="37"/>
      <c r="DO374" s="37"/>
      <c r="DP374" s="37"/>
      <c r="DQ374" s="37"/>
      <c r="DR374" s="37"/>
      <c r="DS374" s="37"/>
      <c r="DT374" s="37"/>
      <c r="DU374" s="37"/>
      <c r="DV374" s="37"/>
      <c r="DW374" s="37"/>
      <c r="DX374" s="37" t="s">
        <v>1124</v>
      </c>
      <c r="DY374" s="37"/>
      <c r="DZ374" s="37"/>
      <c r="EA374" s="37"/>
      <c r="EB374" s="37"/>
      <c r="EC374" s="37"/>
      <c r="ED374" s="37"/>
      <c r="EE374" s="37"/>
      <c r="EF374" s="37"/>
      <c r="EG374" s="37"/>
      <c r="EH374" s="37"/>
      <c r="EI374" s="37"/>
      <c r="EJ374" s="37" t="s">
        <v>1124</v>
      </c>
      <c r="EK374" s="161"/>
      <c r="EL374" s="294"/>
    </row>
    <row r="375" spans="1:142" ht="15" customHeight="1" x14ac:dyDescent="0.35">
      <c r="A375" s="34"/>
      <c r="B375" s="313">
        <v>44060</v>
      </c>
      <c r="C375" s="8" t="s">
        <v>407</v>
      </c>
      <c r="D375" s="18">
        <v>5</v>
      </c>
      <c r="E375" s="155">
        <v>28019</v>
      </c>
      <c r="F375" s="36">
        <v>20661</v>
      </c>
      <c r="G375" s="37">
        <v>0</v>
      </c>
      <c r="H375" s="37">
        <v>5517</v>
      </c>
      <c r="I375" s="37">
        <v>18371</v>
      </c>
      <c r="J375" s="37">
        <v>20290</v>
      </c>
      <c r="K375" s="37">
        <v>4202.8499999999995</v>
      </c>
      <c r="L375" s="37">
        <v>3099.15</v>
      </c>
      <c r="M375" s="37">
        <v>50592.85</v>
      </c>
      <c r="N375" s="37">
        <v>49567.15</v>
      </c>
      <c r="O375" s="37">
        <v>0</v>
      </c>
      <c r="P375" s="37">
        <v>0</v>
      </c>
      <c r="Q375" s="37">
        <v>34810</v>
      </c>
      <c r="R375" s="37">
        <v>28200</v>
      </c>
      <c r="S375" s="37">
        <v>0</v>
      </c>
      <c r="T375" s="37">
        <v>0</v>
      </c>
      <c r="U375" s="37">
        <v>0</v>
      </c>
      <c r="V375" s="37">
        <v>22638</v>
      </c>
      <c r="W375" s="37">
        <v>14512</v>
      </c>
      <c r="X375" s="37">
        <v>1200</v>
      </c>
      <c r="Y375" s="37">
        <v>0</v>
      </c>
      <c r="Z375" s="37">
        <v>0</v>
      </c>
      <c r="AA375" s="37">
        <v>49322</v>
      </c>
      <c r="AB375" s="37">
        <v>52038</v>
      </c>
      <c r="AC375" s="37">
        <v>1200</v>
      </c>
      <c r="AD375" s="37">
        <v>1200</v>
      </c>
      <c r="AE375" s="37">
        <v>22883.06</v>
      </c>
      <c r="AF375" s="168">
        <v>0.02</v>
      </c>
      <c r="AG375" s="37">
        <v>6294174.1100000003</v>
      </c>
      <c r="AH375" s="37">
        <v>34015.03</v>
      </c>
      <c r="AI375" s="37">
        <v>34695.33</v>
      </c>
      <c r="AJ375" s="37">
        <v>35389.24</v>
      </c>
      <c r="AK375" s="37">
        <v>36097.03</v>
      </c>
      <c r="AL375" s="37">
        <v>36818.97</v>
      </c>
      <c r="AM375" s="37">
        <v>37555.339999999997</v>
      </c>
      <c r="AN375" s="37">
        <v>38306.449999999997</v>
      </c>
      <c r="AO375" s="37">
        <v>39072.58</v>
      </c>
      <c r="AP375" s="37">
        <v>39854.03</v>
      </c>
      <c r="AQ375" s="37">
        <v>40651.11</v>
      </c>
      <c r="AR375" s="37">
        <v>372455.11</v>
      </c>
      <c r="AS375" s="37">
        <v>579768</v>
      </c>
      <c r="AT375" s="37">
        <v>48960</v>
      </c>
      <c r="AU375" s="37">
        <v>208080</v>
      </c>
      <c r="AV375" s="37">
        <v>0</v>
      </c>
      <c r="AW375" s="37">
        <v>0</v>
      </c>
      <c r="AX375" s="37">
        <v>0</v>
      </c>
      <c r="AY375" s="37">
        <v>0</v>
      </c>
      <c r="AZ375" s="37">
        <v>0</v>
      </c>
      <c r="BA375" s="37">
        <v>0</v>
      </c>
      <c r="BB375" s="37">
        <v>0</v>
      </c>
      <c r="BC375" s="37">
        <v>0</v>
      </c>
      <c r="BD375" s="37">
        <v>257040</v>
      </c>
      <c r="BE375" s="37">
        <v>96000</v>
      </c>
      <c r="BF375" s="37">
        <v>385000</v>
      </c>
      <c r="BG375" s="37">
        <v>0</v>
      </c>
      <c r="BH375" s="37">
        <v>25000</v>
      </c>
      <c r="BI375" s="37">
        <v>0</v>
      </c>
      <c r="BJ375" s="37">
        <v>0</v>
      </c>
      <c r="BK375" s="37">
        <v>0</v>
      </c>
      <c r="BL375" s="37">
        <v>0</v>
      </c>
      <c r="BM375" s="37">
        <v>0</v>
      </c>
      <c r="BN375" s="37">
        <v>0</v>
      </c>
      <c r="BO375" s="37">
        <v>0</v>
      </c>
      <c r="BP375" s="37">
        <v>410000</v>
      </c>
      <c r="BQ375" s="37">
        <v>0</v>
      </c>
      <c r="BR375" s="37">
        <v>170000</v>
      </c>
      <c r="BS375" s="37">
        <v>0</v>
      </c>
      <c r="BT375" s="37">
        <v>0</v>
      </c>
      <c r="BU375" s="37">
        <v>0</v>
      </c>
      <c r="BV375" s="37">
        <v>0</v>
      </c>
      <c r="BW375" s="37">
        <v>0</v>
      </c>
      <c r="BX375" s="37">
        <v>0</v>
      </c>
      <c r="BY375" s="37">
        <v>0</v>
      </c>
      <c r="BZ375" s="37">
        <v>0</v>
      </c>
      <c r="CA375" s="37">
        <v>0</v>
      </c>
      <c r="CB375" s="37">
        <v>170000</v>
      </c>
      <c r="CC375" s="37">
        <v>0</v>
      </c>
      <c r="CD375" s="37">
        <v>0</v>
      </c>
      <c r="CE375" s="37">
        <v>0</v>
      </c>
      <c r="CF375" s="37">
        <v>0</v>
      </c>
      <c r="CG375" s="37">
        <v>0</v>
      </c>
      <c r="CH375" s="37">
        <v>0</v>
      </c>
      <c r="CI375" s="37">
        <v>0</v>
      </c>
      <c r="CJ375" s="37">
        <v>0</v>
      </c>
      <c r="CK375" s="37">
        <v>0</v>
      </c>
      <c r="CL375" s="37">
        <v>0</v>
      </c>
      <c r="CM375" s="37">
        <v>0</v>
      </c>
      <c r="CN375" s="37">
        <v>0</v>
      </c>
      <c r="CO375" s="37">
        <v>0</v>
      </c>
      <c r="CP375" s="37">
        <v>0</v>
      </c>
      <c r="CQ375" s="37">
        <v>200000</v>
      </c>
      <c r="CR375" s="37">
        <v>0</v>
      </c>
      <c r="CS375" s="37">
        <v>0</v>
      </c>
      <c r="CT375" s="37">
        <v>0</v>
      </c>
      <c r="CU375" s="37">
        <v>0</v>
      </c>
      <c r="CV375" s="37">
        <v>0</v>
      </c>
      <c r="CW375" s="37">
        <v>0</v>
      </c>
      <c r="CX375" s="37">
        <v>0</v>
      </c>
      <c r="CY375" s="37">
        <v>0</v>
      </c>
      <c r="CZ375" s="37">
        <v>200000</v>
      </c>
      <c r="DA375" s="37">
        <v>0</v>
      </c>
      <c r="DB375" s="37">
        <v>0</v>
      </c>
      <c r="DC375" s="37">
        <v>0</v>
      </c>
      <c r="DD375" s="37">
        <v>0</v>
      </c>
      <c r="DE375" s="37">
        <v>0</v>
      </c>
      <c r="DF375" s="37">
        <v>0</v>
      </c>
      <c r="DG375" s="37">
        <v>0</v>
      </c>
      <c r="DH375" s="37">
        <v>0</v>
      </c>
      <c r="DI375" s="37">
        <v>0</v>
      </c>
      <c r="DJ375" s="37">
        <v>0</v>
      </c>
      <c r="DK375" s="37">
        <v>0</v>
      </c>
      <c r="DL375" s="37">
        <v>0</v>
      </c>
      <c r="DM375" s="37">
        <v>0</v>
      </c>
      <c r="DN375" s="37">
        <v>0</v>
      </c>
      <c r="DO375" s="37">
        <v>0</v>
      </c>
      <c r="DP375" s="37">
        <v>0</v>
      </c>
      <c r="DQ375" s="37">
        <v>0</v>
      </c>
      <c r="DR375" s="37">
        <v>0</v>
      </c>
      <c r="DS375" s="37">
        <v>0</v>
      </c>
      <c r="DT375" s="37">
        <v>0</v>
      </c>
      <c r="DU375" s="37">
        <v>0</v>
      </c>
      <c r="DV375" s="37">
        <v>0</v>
      </c>
      <c r="DW375" s="37">
        <v>0</v>
      </c>
      <c r="DX375" s="37">
        <v>0</v>
      </c>
      <c r="DY375" s="37">
        <v>0</v>
      </c>
      <c r="DZ375" s="37">
        <v>0</v>
      </c>
      <c r="EA375" s="37">
        <v>0</v>
      </c>
      <c r="EB375" s="37">
        <v>0</v>
      </c>
      <c r="EC375" s="37">
        <v>0</v>
      </c>
      <c r="ED375" s="37">
        <v>0</v>
      </c>
      <c r="EE375" s="37">
        <v>0</v>
      </c>
      <c r="EF375" s="37">
        <v>0</v>
      </c>
      <c r="EG375" s="37">
        <v>0</v>
      </c>
      <c r="EH375" s="37">
        <v>0</v>
      </c>
      <c r="EI375" s="37">
        <v>0</v>
      </c>
      <c r="EJ375" s="37">
        <v>0</v>
      </c>
      <c r="EK375" s="161" t="s">
        <v>2155</v>
      </c>
      <c r="EL375" s="294" t="s">
        <v>1124</v>
      </c>
    </row>
    <row r="376" spans="1:142" ht="15" customHeight="1" x14ac:dyDescent="0.35">
      <c r="A376" s="34"/>
      <c r="B376" s="313">
        <v>64015</v>
      </c>
      <c r="C376" s="8" t="s">
        <v>645</v>
      </c>
      <c r="D376" s="18">
        <v>14</v>
      </c>
      <c r="E376" s="155">
        <v>3272571</v>
      </c>
      <c r="F376" s="36">
        <v>2960184</v>
      </c>
      <c r="G376" s="37">
        <v>0</v>
      </c>
      <c r="H376" s="37">
        <v>0</v>
      </c>
      <c r="I376" s="37">
        <v>2475244</v>
      </c>
      <c r="J376" s="37">
        <v>0</v>
      </c>
      <c r="K376" s="37">
        <v>490885.64999999997</v>
      </c>
      <c r="L376" s="37">
        <v>444027.6</v>
      </c>
      <c r="M376" s="37">
        <v>6238700.6500000004</v>
      </c>
      <c r="N376" s="37">
        <v>3404211.6</v>
      </c>
      <c r="O376" s="37">
        <v>0</v>
      </c>
      <c r="P376" s="37">
        <v>0</v>
      </c>
      <c r="Q376" s="37">
        <v>4859714</v>
      </c>
      <c r="R376" s="37">
        <v>3401041</v>
      </c>
      <c r="S376" s="37">
        <v>12647</v>
      </c>
      <c r="T376" s="37">
        <v>0</v>
      </c>
      <c r="U376" s="37">
        <v>76330</v>
      </c>
      <c r="V376" s="37">
        <v>2617</v>
      </c>
      <c r="W376" s="37">
        <v>1290009.6500000004</v>
      </c>
      <c r="X376" s="37">
        <v>553.60000000009313</v>
      </c>
      <c r="Y376" s="37">
        <v>0</v>
      </c>
      <c r="Z376" s="37">
        <v>0</v>
      </c>
      <c r="AA376" s="37">
        <v>6238700.6500000004</v>
      </c>
      <c r="AB376" s="37">
        <v>3404211.6</v>
      </c>
      <c r="AC376" s="37">
        <v>0</v>
      </c>
      <c r="AD376" s="37">
        <v>0</v>
      </c>
      <c r="AE376" s="37">
        <v>0</v>
      </c>
      <c r="AF376" s="168">
        <v>0.02</v>
      </c>
      <c r="AG376" s="37">
        <v>870739015.65999997</v>
      </c>
      <c r="AH376" s="37">
        <v>8116973.5199999996</v>
      </c>
      <c r="AI376" s="37">
        <v>8279312.9900000002</v>
      </c>
      <c r="AJ376" s="37">
        <v>8444899.25</v>
      </c>
      <c r="AK376" s="37">
        <v>8613797.2300000004</v>
      </c>
      <c r="AL376" s="37">
        <v>8786073.1799999997</v>
      </c>
      <c r="AM376" s="37">
        <v>8961794.6400000006</v>
      </c>
      <c r="AN376" s="37">
        <v>9141030.5399999991</v>
      </c>
      <c r="AO376" s="37">
        <v>9323851.1500000004</v>
      </c>
      <c r="AP376" s="37">
        <v>9510328.1699999999</v>
      </c>
      <c r="AQ376" s="37">
        <v>9700534.7300000004</v>
      </c>
      <c r="AR376" s="37">
        <v>88878595.399999991</v>
      </c>
      <c r="AS376" s="37">
        <v>8448315.7200000007</v>
      </c>
      <c r="AT376" s="37">
        <v>0</v>
      </c>
      <c r="AU376" s="37">
        <v>2080800</v>
      </c>
      <c r="AV376" s="37">
        <v>2122416</v>
      </c>
      <c r="AW376" s="37">
        <v>0</v>
      </c>
      <c r="AX376" s="37">
        <v>0</v>
      </c>
      <c r="AY376" s="37">
        <v>0</v>
      </c>
      <c r="AZ376" s="37">
        <v>0</v>
      </c>
      <c r="BA376" s="37">
        <v>0</v>
      </c>
      <c r="BB376" s="37">
        <v>0</v>
      </c>
      <c r="BC376" s="37">
        <v>0</v>
      </c>
      <c r="BD376" s="37">
        <v>4203216</v>
      </c>
      <c r="BE376" s="37">
        <v>0</v>
      </c>
      <c r="BF376" s="37">
        <v>1144490.349042394</v>
      </c>
      <c r="BG376" s="37">
        <v>1233616.1536272662</v>
      </c>
      <c r="BH376" s="37">
        <v>1518636.0839647639</v>
      </c>
      <c r="BI376" s="37">
        <v>1803656.6233655775</v>
      </c>
      <c r="BJ376" s="37">
        <v>195894.12575262476</v>
      </c>
      <c r="BK376" s="37">
        <v>948596.2232897681</v>
      </c>
      <c r="BL376" s="37">
        <v>1233616.1536272662</v>
      </c>
      <c r="BM376" s="37">
        <v>1518636.0839647639</v>
      </c>
      <c r="BN376" s="37">
        <v>1803656.6233655775</v>
      </c>
      <c r="BO376" s="37">
        <v>0</v>
      </c>
      <c r="BP376" s="37">
        <v>11400798.420000002</v>
      </c>
      <c r="BQ376" s="37">
        <v>0</v>
      </c>
      <c r="BR376" s="37">
        <v>1149281.4705227087</v>
      </c>
      <c r="BS376" s="37">
        <v>1238780.3779101989</v>
      </c>
      <c r="BT376" s="37">
        <v>1524993.4726214288</v>
      </c>
      <c r="BU376" s="37">
        <v>1811207.1789456652</v>
      </c>
      <c r="BV376" s="37">
        <v>196714.18732373905</v>
      </c>
      <c r="BW376" s="37">
        <v>952567.28319896851</v>
      </c>
      <c r="BX376" s="37">
        <v>1238780.3779101989</v>
      </c>
      <c r="BY376" s="37">
        <v>1524993.4726214288</v>
      </c>
      <c r="BZ376" s="37">
        <v>1811207.1789456652</v>
      </c>
      <c r="CA376" s="37">
        <v>0</v>
      </c>
      <c r="CB376" s="37">
        <v>11448525.000000002</v>
      </c>
      <c r="CC376" s="37">
        <v>0</v>
      </c>
      <c r="CD376" s="37">
        <v>0</v>
      </c>
      <c r="CE376" s="37">
        <v>0</v>
      </c>
      <c r="CF376" s="37">
        <v>0</v>
      </c>
      <c r="CG376" s="37">
        <v>0</v>
      </c>
      <c r="CH376" s="37">
        <v>0</v>
      </c>
      <c r="CI376" s="37">
        <v>0</v>
      </c>
      <c r="CJ376" s="37">
        <v>0</v>
      </c>
      <c r="CK376" s="37">
        <v>0</v>
      </c>
      <c r="CL376" s="37">
        <v>0</v>
      </c>
      <c r="CM376" s="37">
        <v>0</v>
      </c>
      <c r="CN376" s="37">
        <v>0</v>
      </c>
      <c r="CO376" s="37">
        <v>0</v>
      </c>
      <c r="CP376" s="37">
        <v>0</v>
      </c>
      <c r="CQ376" s="37">
        <v>0</v>
      </c>
      <c r="CR376" s="37">
        <v>0</v>
      </c>
      <c r="CS376" s="37">
        <v>0</v>
      </c>
      <c r="CT376" s="37">
        <v>0</v>
      </c>
      <c r="CU376" s="37">
        <v>0</v>
      </c>
      <c r="CV376" s="37">
        <v>0</v>
      </c>
      <c r="CW376" s="37">
        <v>0</v>
      </c>
      <c r="CX376" s="37">
        <v>0</v>
      </c>
      <c r="CY376" s="37">
        <v>0</v>
      </c>
      <c r="CZ376" s="37">
        <v>0</v>
      </c>
      <c r="DA376" s="37">
        <v>0</v>
      </c>
      <c r="DB376" s="37">
        <v>0</v>
      </c>
      <c r="DC376" s="37">
        <v>0</v>
      </c>
      <c r="DD376" s="37">
        <v>0</v>
      </c>
      <c r="DE376" s="37">
        <v>0</v>
      </c>
      <c r="DF376" s="37">
        <v>0</v>
      </c>
      <c r="DG376" s="37">
        <v>0</v>
      </c>
      <c r="DH376" s="37">
        <v>0</v>
      </c>
      <c r="DI376" s="37">
        <v>0</v>
      </c>
      <c r="DJ376" s="37">
        <v>0</v>
      </c>
      <c r="DK376" s="37">
        <v>0</v>
      </c>
      <c r="DL376" s="37">
        <v>0</v>
      </c>
      <c r="DM376" s="37">
        <v>0</v>
      </c>
      <c r="DN376" s="37">
        <v>0</v>
      </c>
      <c r="DO376" s="37">
        <v>0</v>
      </c>
      <c r="DP376" s="37">
        <v>0</v>
      </c>
      <c r="DQ376" s="37">
        <v>0</v>
      </c>
      <c r="DR376" s="37">
        <v>0</v>
      </c>
      <c r="DS376" s="37">
        <v>0</v>
      </c>
      <c r="DT376" s="37">
        <v>0</v>
      </c>
      <c r="DU376" s="37">
        <v>0</v>
      </c>
      <c r="DV376" s="37">
        <v>0</v>
      </c>
      <c r="DW376" s="37">
        <v>0</v>
      </c>
      <c r="DX376" s="37">
        <v>0</v>
      </c>
      <c r="DY376" s="37">
        <v>0</v>
      </c>
      <c r="DZ376" s="37">
        <v>0</v>
      </c>
      <c r="EA376" s="37">
        <v>0</v>
      </c>
      <c r="EB376" s="37">
        <v>0</v>
      </c>
      <c r="EC376" s="37">
        <v>0</v>
      </c>
      <c r="ED376" s="37">
        <v>0</v>
      </c>
      <c r="EE376" s="37">
        <v>0</v>
      </c>
      <c r="EF376" s="37">
        <v>0</v>
      </c>
      <c r="EG376" s="37">
        <v>0</v>
      </c>
      <c r="EH376" s="37">
        <v>0</v>
      </c>
      <c r="EI376" s="37">
        <v>0</v>
      </c>
      <c r="EJ376" s="37">
        <v>0</v>
      </c>
      <c r="EK376" s="161" t="s">
        <v>2159</v>
      </c>
      <c r="EL376" s="294" t="s">
        <v>1124</v>
      </c>
    </row>
    <row r="377" spans="1:142" ht="15" customHeight="1" x14ac:dyDescent="0.35">
      <c r="A377" s="34"/>
      <c r="B377" s="314">
        <v>51008</v>
      </c>
      <c r="C377" s="8" t="s">
        <v>498</v>
      </c>
      <c r="D377" s="18">
        <v>4</v>
      </c>
      <c r="E377" s="155">
        <v>240804</v>
      </c>
      <c r="F377" s="36">
        <v>98248</v>
      </c>
      <c r="G377" s="37">
        <v>1384</v>
      </c>
      <c r="H377" s="37">
        <v>34692</v>
      </c>
      <c r="I377" s="37">
        <v>0</v>
      </c>
      <c r="J377" s="37">
        <v>19927.55</v>
      </c>
      <c r="K377" s="37">
        <v>36328.199999999997</v>
      </c>
      <c r="L377" s="37">
        <v>22930.132499999996</v>
      </c>
      <c r="M377" s="37">
        <v>278516.2</v>
      </c>
      <c r="N377" s="37">
        <v>175797.6825</v>
      </c>
      <c r="O377" s="37">
        <v>195611.31</v>
      </c>
      <c r="P377" s="37">
        <v>0</v>
      </c>
      <c r="Q377" s="37">
        <v>37837.47</v>
      </c>
      <c r="R377" s="37">
        <v>100503.93</v>
      </c>
      <c r="S377" s="37">
        <v>0</v>
      </c>
      <c r="T377" s="37">
        <v>0</v>
      </c>
      <c r="U377" s="37">
        <v>896</v>
      </c>
      <c r="V377" s="37">
        <v>0</v>
      </c>
      <c r="W377" s="37">
        <v>61434.022213166551</v>
      </c>
      <c r="X377" s="37">
        <v>26535.260286833451</v>
      </c>
      <c r="Y377" s="37">
        <v>21496</v>
      </c>
      <c r="Z377" s="37">
        <v>10000</v>
      </c>
      <c r="AA377" s="37">
        <v>317274.80221316655</v>
      </c>
      <c r="AB377" s="37">
        <v>137039.19028683344</v>
      </c>
      <c r="AC377" s="37">
        <v>0.10999999998603016</v>
      </c>
      <c r="AD377" s="37">
        <v>0</v>
      </c>
      <c r="AE377" s="37">
        <v>0</v>
      </c>
      <c r="AF377" s="168">
        <v>0.02</v>
      </c>
      <c r="AG377" s="37">
        <v>39961095.520000003</v>
      </c>
      <c r="AH377" s="37">
        <v>346136.32000000001</v>
      </c>
      <c r="AI377" s="37">
        <v>333094.81</v>
      </c>
      <c r="AJ377" s="37">
        <v>339756.71</v>
      </c>
      <c r="AK377" s="37">
        <v>346551.84</v>
      </c>
      <c r="AL377" s="37">
        <v>353482.88</v>
      </c>
      <c r="AM377" s="37">
        <v>382377.57</v>
      </c>
      <c r="AN377" s="37">
        <v>367763.59</v>
      </c>
      <c r="AO377" s="37">
        <v>375118.86</v>
      </c>
      <c r="AP377" s="37">
        <v>382621.24</v>
      </c>
      <c r="AQ377" s="37">
        <v>390273.66</v>
      </c>
      <c r="AR377" s="37">
        <v>3617177.4799999995</v>
      </c>
      <c r="AS377" s="37">
        <v>1385232.99</v>
      </c>
      <c r="AT377" s="37">
        <v>3589.38</v>
      </c>
      <c r="AU377" s="37">
        <v>0</v>
      </c>
      <c r="AV377" s="37">
        <v>0</v>
      </c>
      <c r="AW377" s="37">
        <v>0</v>
      </c>
      <c r="AX377" s="37">
        <v>0</v>
      </c>
      <c r="AY377" s="37">
        <v>0</v>
      </c>
      <c r="AZ377" s="37">
        <v>0</v>
      </c>
      <c r="BA377" s="37">
        <v>0</v>
      </c>
      <c r="BB377" s="37">
        <v>0</v>
      </c>
      <c r="BC377" s="37">
        <v>0</v>
      </c>
      <c r="BD377" s="37">
        <v>3589.38</v>
      </c>
      <c r="BE377" s="37">
        <v>0</v>
      </c>
      <c r="BF377" s="37">
        <v>24268.483126540461</v>
      </c>
      <c r="BG377" s="37">
        <v>26158.361959085509</v>
      </c>
      <c r="BH377" s="37">
        <v>32202.101319501104</v>
      </c>
      <c r="BI377" s="37">
        <v>38245.853594872962</v>
      </c>
      <c r="BJ377" s="37">
        <v>4153.8605278705327</v>
      </c>
      <c r="BK377" s="37">
        <v>20114.622598669903</v>
      </c>
      <c r="BL377" s="37">
        <v>26158.361959085509</v>
      </c>
      <c r="BM377" s="37">
        <v>32202.101319501104</v>
      </c>
      <c r="BN377" s="37">
        <v>38245.853594872962</v>
      </c>
      <c r="BO377" s="37">
        <v>0</v>
      </c>
      <c r="BP377" s="37">
        <v>241749.60000000006</v>
      </c>
      <c r="BQ377" s="37">
        <v>0</v>
      </c>
      <c r="BR377" s="37">
        <v>0</v>
      </c>
      <c r="BS377" s="37">
        <v>0</v>
      </c>
      <c r="BT377" s="37">
        <v>0</v>
      </c>
      <c r="BU377" s="37">
        <v>0</v>
      </c>
      <c r="BV377" s="37">
        <v>0</v>
      </c>
      <c r="BW377" s="37">
        <v>0</v>
      </c>
      <c r="BX377" s="37">
        <v>0</v>
      </c>
      <c r="BY377" s="37">
        <v>0</v>
      </c>
      <c r="BZ377" s="37">
        <v>0</v>
      </c>
      <c r="CA377" s="37">
        <v>0</v>
      </c>
      <c r="CB377" s="37">
        <v>0</v>
      </c>
      <c r="CC377" s="37">
        <v>0</v>
      </c>
      <c r="CD377" s="37">
        <v>0</v>
      </c>
      <c r="CE377" s="37">
        <v>0</v>
      </c>
      <c r="CF377" s="37">
        <v>0</v>
      </c>
      <c r="CG377" s="37">
        <v>0</v>
      </c>
      <c r="CH377" s="37">
        <v>0</v>
      </c>
      <c r="CI377" s="37">
        <v>0</v>
      </c>
      <c r="CJ377" s="37">
        <v>0</v>
      </c>
      <c r="CK377" s="37">
        <v>0</v>
      </c>
      <c r="CL377" s="37">
        <v>0</v>
      </c>
      <c r="CM377" s="37">
        <v>0</v>
      </c>
      <c r="CN377" s="37">
        <v>0</v>
      </c>
      <c r="CO377" s="37">
        <v>0</v>
      </c>
      <c r="CP377" s="37">
        <v>0</v>
      </c>
      <c r="CQ377" s="37">
        <v>0</v>
      </c>
      <c r="CR377" s="37">
        <v>0</v>
      </c>
      <c r="CS377" s="37">
        <v>0</v>
      </c>
      <c r="CT377" s="37">
        <v>0</v>
      </c>
      <c r="CU377" s="37">
        <v>0</v>
      </c>
      <c r="CV377" s="37">
        <v>0</v>
      </c>
      <c r="CW377" s="37">
        <v>0</v>
      </c>
      <c r="CX377" s="37">
        <v>0</v>
      </c>
      <c r="CY377" s="37">
        <v>0</v>
      </c>
      <c r="CZ377" s="37">
        <v>0</v>
      </c>
      <c r="DA377" s="37">
        <v>0</v>
      </c>
      <c r="DB377" s="37">
        <v>0</v>
      </c>
      <c r="DC377" s="37">
        <v>0</v>
      </c>
      <c r="DD377" s="37">
        <v>0</v>
      </c>
      <c r="DE377" s="37">
        <v>0</v>
      </c>
      <c r="DF377" s="37">
        <v>0</v>
      </c>
      <c r="DG377" s="37">
        <v>0</v>
      </c>
      <c r="DH377" s="37">
        <v>0</v>
      </c>
      <c r="DI377" s="37">
        <v>0</v>
      </c>
      <c r="DJ377" s="37">
        <v>0</v>
      </c>
      <c r="DK377" s="37">
        <v>0</v>
      </c>
      <c r="DL377" s="37">
        <v>0</v>
      </c>
      <c r="DM377" s="37">
        <v>0</v>
      </c>
      <c r="DN377" s="37">
        <v>0</v>
      </c>
      <c r="DO377" s="37">
        <v>0</v>
      </c>
      <c r="DP377" s="37">
        <v>0</v>
      </c>
      <c r="DQ377" s="37">
        <v>0</v>
      </c>
      <c r="DR377" s="37">
        <v>0</v>
      </c>
      <c r="DS377" s="37">
        <v>0</v>
      </c>
      <c r="DT377" s="37">
        <v>0</v>
      </c>
      <c r="DU377" s="37">
        <v>0</v>
      </c>
      <c r="DV377" s="37">
        <v>0</v>
      </c>
      <c r="DW377" s="37">
        <v>0</v>
      </c>
      <c r="DX377" s="37">
        <v>0</v>
      </c>
      <c r="DY377" s="37">
        <v>0</v>
      </c>
      <c r="DZ377" s="37">
        <v>0</v>
      </c>
      <c r="EA377" s="37">
        <v>0</v>
      </c>
      <c r="EB377" s="37">
        <v>0</v>
      </c>
      <c r="EC377" s="37">
        <v>0</v>
      </c>
      <c r="ED377" s="37">
        <v>0</v>
      </c>
      <c r="EE377" s="37">
        <v>0</v>
      </c>
      <c r="EF377" s="37">
        <v>0</v>
      </c>
      <c r="EG377" s="37">
        <v>0</v>
      </c>
      <c r="EH377" s="37">
        <v>0</v>
      </c>
      <c r="EI377" s="37">
        <v>0</v>
      </c>
      <c r="EJ377" s="37">
        <v>0</v>
      </c>
      <c r="EK377" s="161" t="s">
        <v>2163</v>
      </c>
      <c r="EL377" s="294" t="s">
        <v>1124</v>
      </c>
    </row>
    <row r="378" spans="1:142" ht="15" customHeight="1" x14ac:dyDescent="0.35">
      <c r="A378" s="34"/>
      <c r="B378" s="313">
        <v>53010</v>
      </c>
      <c r="C378" s="8" t="s">
        <v>531</v>
      </c>
      <c r="D378" s="18">
        <v>16</v>
      </c>
      <c r="E378" s="155"/>
      <c r="F378" s="36"/>
      <c r="G378" s="37"/>
      <c r="H378" s="37"/>
      <c r="I378" s="37"/>
      <c r="J378" s="37"/>
      <c r="K378" s="37"/>
      <c r="L378" s="37"/>
      <c r="M378" s="37" t="s">
        <v>1124</v>
      </c>
      <c r="N378" s="37" t="s">
        <v>1124</v>
      </c>
      <c r="O378" s="37"/>
      <c r="P378" s="37"/>
      <c r="Q378" s="37"/>
      <c r="R378" s="37"/>
      <c r="S378" s="37"/>
      <c r="T378" s="37"/>
      <c r="U378" s="37"/>
      <c r="V378" s="37"/>
      <c r="W378" s="37"/>
      <c r="X378" s="37"/>
      <c r="Y378" s="37"/>
      <c r="Z378" s="37"/>
      <c r="AA378" s="37" t="s">
        <v>1124</v>
      </c>
      <c r="AB378" s="37" t="s">
        <v>1124</v>
      </c>
      <c r="AC378" s="37"/>
      <c r="AD378" s="37"/>
      <c r="AE378" s="37"/>
      <c r="AF378" s="168"/>
      <c r="AG378" s="37"/>
      <c r="AH378" s="37"/>
      <c r="AI378" s="37"/>
      <c r="AJ378" s="37"/>
      <c r="AK378" s="37"/>
      <c r="AL378" s="37"/>
      <c r="AM378" s="37"/>
      <c r="AN378" s="37"/>
      <c r="AO378" s="37"/>
      <c r="AP378" s="37"/>
      <c r="AQ378" s="37"/>
      <c r="AR378" s="37" t="s">
        <v>1124</v>
      </c>
      <c r="AS378" s="37"/>
      <c r="AT378" s="37"/>
      <c r="AU378" s="37"/>
      <c r="AV378" s="37"/>
      <c r="AW378" s="37"/>
      <c r="AX378" s="37"/>
      <c r="AY378" s="37"/>
      <c r="AZ378" s="37"/>
      <c r="BA378" s="37"/>
      <c r="BB378" s="37"/>
      <c r="BC378" s="37"/>
      <c r="BD378" s="37" t="s">
        <v>1124</v>
      </c>
      <c r="BE378" s="37"/>
      <c r="BF378" s="37"/>
      <c r="BG378" s="37"/>
      <c r="BH378" s="37"/>
      <c r="BI378" s="37"/>
      <c r="BJ378" s="37"/>
      <c r="BK378" s="37"/>
      <c r="BL378" s="37"/>
      <c r="BM378" s="37"/>
      <c r="BN378" s="37"/>
      <c r="BO378" s="37"/>
      <c r="BP378" s="37">
        <v>0</v>
      </c>
      <c r="BQ378" s="37"/>
      <c r="BR378" s="37"/>
      <c r="BS378" s="37"/>
      <c r="BT378" s="37"/>
      <c r="BU378" s="37"/>
      <c r="BV378" s="37"/>
      <c r="BW378" s="37"/>
      <c r="BX378" s="37"/>
      <c r="BY378" s="37"/>
      <c r="BZ378" s="37"/>
      <c r="CA378" s="37"/>
      <c r="CB378" s="37" t="s">
        <v>1124</v>
      </c>
      <c r="CC378" s="37"/>
      <c r="CD378" s="37"/>
      <c r="CE378" s="37"/>
      <c r="CF378" s="37"/>
      <c r="CG378" s="37"/>
      <c r="CH378" s="37"/>
      <c r="CI378" s="37"/>
      <c r="CJ378" s="37"/>
      <c r="CK378" s="37"/>
      <c r="CL378" s="37"/>
      <c r="CM378" s="37"/>
      <c r="CN378" s="37" t="s">
        <v>1124</v>
      </c>
      <c r="CO378" s="37"/>
      <c r="CP378" s="37"/>
      <c r="CQ378" s="37"/>
      <c r="CR378" s="37"/>
      <c r="CS378" s="37"/>
      <c r="CT378" s="37"/>
      <c r="CU378" s="37"/>
      <c r="CV378" s="37"/>
      <c r="CW378" s="37"/>
      <c r="CX378" s="37"/>
      <c r="CY378" s="37"/>
      <c r="CZ378" s="37" t="s">
        <v>1124</v>
      </c>
      <c r="DA378" s="37"/>
      <c r="DB378" s="37"/>
      <c r="DC378" s="37"/>
      <c r="DD378" s="37"/>
      <c r="DE378" s="37"/>
      <c r="DF378" s="37"/>
      <c r="DG378" s="37"/>
      <c r="DH378" s="37"/>
      <c r="DI378" s="37"/>
      <c r="DJ378" s="37"/>
      <c r="DK378" s="37"/>
      <c r="DL378" s="37" t="s">
        <v>1124</v>
      </c>
      <c r="DM378" s="37"/>
      <c r="DN378" s="37"/>
      <c r="DO378" s="37"/>
      <c r="DP378" s="37"/>
      <c r="DQ378" s="37"/>
      <c r="DR378" s="37"/>
      <c r="DS378" s="37"/>
      <c r="DT378" s="37"/>
      <c r="DU378" s="37"/>
      <c r="DV378" s="37"/>
      <c r="DW378" s="37"/>
      <c r="DX378" s="37" t="s">
        <v>1124</v>
      </c>
      <c r="DY378" s="37"/>
      <c r="DZ378" s="37"/>
      <c r="EA378" s="37"/>
      <c r="EB378" s="37"/>
      <c r="EC378" s="37"/>
      <c r="ED378" s="37"/>
      <c r="EE378" s="37"/>
      <c r="EF378" s="37"/>
      <c r="EG378" s="37"/>
      <c r="EH378" s="37"/>
      <c r="EI378" s="37"/>
      <c r="EJ378" s="37" t="s">
        <v>1124</v>
      </c>
      <c r="EK378" s="161"/>
      <c r="EL378" s="294"/>
    </row>
    <row r="379" spans="1:142" ht="15" customHeight="1" x14ac:dyDescent="0.35">
      <c r="A379" s="34"/>
      <c r="B379" s="313">
        <v>99015</v>
      </c>
      <c r="C379" s="8" t="s">
        <v>1020</v>
      </c>
      <c r="D379" s="18">
        <v>10</v>
      </c>
      <c r="E379" s="155"/>
      <c r="F379" s="36"/>
      <c r="G379" s="37"/>
      <c r="H379" s="37"/>
      <c r="I379" s="37"/>
      <c r="J379" s="37"/>
      <c r="K379" s="37"/>
      <c r="L379" s="37"/>
      <c r="M379" s="37" t="s">
        <v>1124</v>
      </c>
      <c r="N379" s="37" t="s">
        <v>1124</v>
      </c>
      <c r="O379" s="37"/>
      <c r="P379" s="37"/>
      <c r="Q379" s="37"/>
      <c r="R379" s="37"/>
      <c r="S379" s="37"/>
      <c r="T379" s="37"/>
      <c r="U379" s="37"/>
      <c r="V379" s="37"/>
      <c r="W379" s="37"/>
      <c r="X379" s="37"/>
      <c r="Y379" s="37"/>
      <c r="Z379" s="37"/>
      <c r="AA379" s="37" t="s">
        <v>1124</v>
      </c>
      <c r="AB379" s="37" t="s">
        <v>1124</v>
      </c>
      <c r="AC379" s="37"/>
      <c r="AD379" s="37"/>
      <c r="AE379" s="37"/>
      <c r="AF379" s="168"/>
      <c r="AG379" s="37"/>
      <c r="AH379" s="37"/>
      <c r="AI379" s="37"/>
      <c r="AJ379" s="37"/>
      <c r="AK379" s="37"/>
      <c r="AL379" s="37"/>
      <c r="AM379" s="37"/>
      <c r="AN379" s="37"/>
      <c r="AO379" s="37"/>
      <c r="AP379" s="37"/>
      <c r="AQ379" s="37"/>
      <c r="AR379" s="37" t="s">
        <v>1124</v>
      </c>
      <c r="AS379" s="37"/>
      <c r="AT379" s="37"/>
      <c r="AU379" s="37"/>
      <c r="AV379" s="37"/>
      <c r="AW379" s="37"/>
      <c r="AX379" s="37"/>
      <c r="AY379" s="37"/>
      <c r="AZ379" s="37"/>
      <c r="BA379" s="37"/>
      <c r="BB379" s="37"/>
      <c r="BC379" s="37"/>
      <c r="BD379" s="37" t="s">
        <v>1124</v>
      </c>
      <c r="BE379" s="37"/>
      <c r="BF379" s="37"/>
      <c r="BG379" s="37"/>
      <c r="BH379" s="37"/>
      <c r="BI379" s="37"/>
      <c r="BJ379" s="37"/>
      <c r="BK379" s="37"/>
      <c r="BL379" s="37"/>
      <c r="BM379" s="37"/>
      <c r="BN379" s="37"/>
      <c r="BO379" s="37"/>
      <c r="BP379" s="37">
        <v>0</v>
      </c>
      <c r="BQ379" s="37"/>
      <c r="BR379" s="37"/>
      <c r="BS379" s="37"/>
      <c r="BT379" s="37"/>
      <c r="BU379" s="37"/>
      <c r="BV379" s="37"/>
      <c r="BW379" s="37"/>
      <c r="BX379" s="37"/>
      <c r="BY379" s="37"/>
      <c r="BZ379" s="37"/>
      <c r="CA379" s="37"/>
      <c r="CB379" s="37" t="s">
        <v>1124</v>
      </c>
      <c r="CC379" s="37"/>
      <c r="CD379" s="37"/>
      <c r="CE379" s="37"/>
      <c r="CF379" s="37"/>
      <c r="CG379" s="37"/>
      <c r="CH379" s="37"/>
      <c r="CI379" s="37"/>
      <c r="CJ379" s="37"/>
      <c r="CK379" s="37"/>
      <c r="CL379" s="37"/>
      <c r="CM379" s="37"/>
      <c r="CN379" s="37" t="s">
        <v>1124</v>
      </c>
      <c r="CO379" s="37"/>
      <c r="CP379" s="37"/>
      <c r="CQ379" s="37"/>
      <c r="CR379" s="37"/>
      <c r="CS379" s="37"/>
      <c r="CT379" s="37"/>
      <c r="CU379" s="37"/>
      <c r="CV379" s="37"/>
      <c r="CW379" s="37"/>
      <c r="CX379" s="37"/>
      <c r="CY379" s="37"/>
      <c r="CZ379" s="37" t="s">
        <v>1124</v>
      </c>
      <c r="DA379" s="37"/>
      <c r="DB379" s="37"/>
      <c r="DC379" s="37"/>
      <c r="DD379" s="37"/>
      <c r="DE379" s="37"/>
      <c r="DF379" s="37"/>
      <c r="DG379" s="37"/>
      <c r="DH379" s="37"/>
      <c r="DI379" s="37"/>
      <c r="DJ379" s="37"/>
      <c r="DK379" s="37"/>
      <c r="DL379" s="37" t="s">
        <v>1124</v>
      </c>
      <c r="DM379" s="37"/>
      <c r="DN379" s="37"/>
      <c r="DO379" s="37"/>
      <c r="DP379" s="37"/>
      <c r="DQ379" s="37"/>
      <c r="DR379" s="37"/>
      <c r="DS379" s="37"/>
      <c r="DT379" s="37"/>
      <c r="DU379" s="37"/>
      <c r="DV379" s="37"/>
      <c r="DW379" s="37"/>
      <c r="DX379" s="37" t="s">
        <v>1124</v>
      </c>
      <c r="DY379" s="37"/>
      <c r="DZ379" s="37"/>
      <c r="EA379" s="37"/>
      <c r="EB379" s="37"/>
      <c r="EC379" s="37"/>
      <c r="ED379" s="37"/>
      <c r="EE379" s="37"/>
      <c r="EF379" s="37"/>
      <c r="EG379" s="37"/>
      <c r="EH379" s="37"/>
      <c r="EI379" s="37"/>
      <c r="EJ379" s="37" t="s">
        <v>1124</v>
      </c>
      <c r="EK379" s="161"/>
      <c r="EL379" s="294"/>
    </row>
    <row r="380" spans="1:142" ht="15" customHeight="1" x14ac:dyDescent="0.35">
      <c r="A380" s="34"/>
      <c r="B380" s="313">
        <v>8053</v>
      </c>
      <c r="C380" s="8" t="s">
        <v>1093</v>
      </c>
      <c r="D380" s="18">
        <v>1</v>
      </c>
      <c r="E380" s="155">
        <v>1747922</v>
      </c>
      <c r="F380" s="36">
        <v>1646984</v>
      </c>
      <c r="G380" s="37">
        <v>148208</v>
      </c>
      <c r="H380" s="37">
        <v>241920</v>
      </c>
      <c r="I380" s="37">
        <v>654365</v>
      </c>
      <c r="J380" s="37">
        <v>695864</v>
      </c>
      <c r="K380" s="37">
        <v>262188.3</v>
      </c>
      <c r="L380" s="37">
        <v>247047.6</v>
      </c>
      <c r="M380" s="37">
        <v>2812683.3</v>
      </c>
      <c r="N380" s="37">
        <v>2831815.6</v>
      </c>
      <c r="O380" s="37">
        <v>439560</v>
      </c>
      <c r="P380" s="37">
        <v>0</v>
      </c>
      <c r="Q380" s="37">
        <v>1705577</v>
      </c>
      <c r="R380" s="37">
        <v>1476725</v>
      </c>
      <c r="S380" s="37">
        <v>29188</v>
      </c>
      <c r="T380" s="37">
        <v>15536</v>
      </c>
      <c r="U380" s="37">
        <v>115886</v>
      </c>
      <c r="V380" s="37">
        <v>253172</v>
      </c>
      <c r="W380" s="37">
        <v>522472.29999999981</v>
      </c>
      <c r="X380" s="37">
        <v>1086382.6000000001</v>
      </c>
      <c r="Y380" s="37">
        <v>0</v>
      </c>
      <c r="Z380" s="37">
        <v>0</v>
      </c>
      <c r="AA380" s="37">
        <v>2812683.3</v>
      </c>
      <c r="AB380" s="37">
        <v>2831815.6</v>
      </c>
      <c r="AC380" s="37">
        <v>0</v>
      </c>
      <c r="AD380" s="37">
        <v>0</v>
      </c>
      <c r="AE380" s="37">
        <v>730044</v>
      </c>
      <c r="AF380" s="168">
        <v>0.02</v>
      </c>
      <c r="AG380" s="37">
        <v>196946857.30000001</v>
      </c>
      <c r="AH380" s="37">
        <v>1833749.74</v>
      </c>
      <c r="AI380" s="37">
        <v>1870424.73</v>
      </c>
      <c r="AJ380" s="37">
        <v>1907833.23</v>
      </c>
      <c r="AK380" s="37">
        <v>1945989.89</v>
      </c>
      <c r="AL380" s="37">
        <v>1984909.69</v>
      </c>
      <c r="AM380" s="37">
        <v>2024607.88</v>
      </c>
      <c r="AN380" s="37">
        <v>2065100.04</v>
      </c>
      <c r="AO380" s="37">
        <v>2106402.04</v>
      </c>
      <c r="AP380" s="37">
        <v>2148530.08</v>
      </c>
      <c r="AQ380" s="37">
        <v>2191500.6800000002</v>
      </c>
      <c r="AR380" s="37">
        <v>20079048</v>
      </c>
      <c r="AS380" s="37">
        <v>27642675.789999999</v>
      </c>
      <c r="AT380" s="37">
        <v>1179217.45</v>
      </c>
      <c r="AU380" s="37">
        <v>771232.91</v>
      </c>
      <c r="AV380" s="37">
        <v>368026.93</v>
      </c>
      <c r="AW380" s="37">
        <v>375387.47</v>
      </c>
      <c r="AX380" s="37">
        <v>435197.58</v>
      </c>
      <c r="AY380" s="37">
        <v>471911.09</v>
      </c>
      <c r="AZ380" s="37">
        <v>398364.19</v>
      </c>
      <c r="BA380" s="37">
        <v>406331.47</v>
      </c>
      <c r="BB380" s="37">
        <v>589236.30000000005</v>
      </c>
      <c r="BC380" s="37">
        <v>422747.26</v>
      </c>
      <c r="BD380" s="37">
        <v>5417652.6499999994</v>
      </c>
      <c r="BE380" s="37">
        <v>2803024</v>
      </c>
      <c r="BF380" s="37">
        <v>2130253</v>
      </c>
      <c r="BG380" s="37">
        <v>4679753</v>
      </c>
      <c r="BH380" s="37">
        <v>2130579</v>
      </c>
      <c r="BI380" s="37">
        <v>0</v>
      </c>
      <c r="BJ380" s="37">
        <v>0</v>
      </c>
      <c r="BK380" s="37">
        <v>0</v>
      </c>
      <c r="BL380" s="37">
        <v>0</v>
      </c>
      <c r="BM380" s="37">
        <v>0</v>
      </c>
      <c r="BN380" s="37">
        <v>0</v>
      </c>
      <c r="BO380" s="37">
        <v>0</v>
      </c>
      <c r="BP380" s="37">
        <v>8940585</v>
      </c>
      <c r="BQ380" s="37">
        <v>794871</v>
      </c>
      <c r="BR380" s="37">
        <v>323904</v>
      </c>
      <c r="BS380" s="37">
        <v>698135</v>
      </c>
      <c r="BT380" s="37">
        <v>0</v>
      </c>
      <c r="BU380" s="37">
        <v>0</v>
      </c>
      <c r="BV380" s="37">
        <v>0</v>
      </c>
      <c r="BW380" s="37">
        <v>0</v>
      </c>
      <c r="BX380" s="37">
        <v>0</v>
      </c>
      <c r="BY380" s="37">
        <v>0</v>
      </c>
      <c r="BZ380" s="37">
        <v>0</v>
      </c>
      <c r="CA380" s="37">
        <v>0</v>
      </c>
      <c r="CB380" s="37">
        <v>1022039</v>
      </c>
      <c r="CC380" s="37">
        <v>0</v>
      </c>
      <c r="CD380" s="37">
        <v>0</v>
      </c>
      <c r="CE380" s="37">
        <v>0</v>
      </c>
      <c r="CF380" s="37">
        <v>0</v>
      </c>
      <c r="CG380" s="37">
        <v>0</v>
      </c>
      <c r="CH380" s="37">
        <v>0</v>
      </c>
      <c r="CI380" s="37">
        <v>0</v>
      </c>
      <c r="CJ380" s="37">
        <v>0</v>
      </c>
      <c r="CK380" s="37">
        <v>0</v>
      </c>
      <c r="CL380" s="37">
        <v>0</v>
      </c>
      <c r="CM380" s="37">
        <v>0</v>
      </c>
      <c r="CN380" s="37">
        <v>0</v>
      </c>
      <c r="CO380" s="37">
        <v>0</v>
      </c>
      <c r="CP380" s="37">
        <v>0</v>
      </c>
      <c r="CQ380" s="37">
        <v>0</v>
      </c>
      <c r="CR380" s="37">
        <v>0</v>
      </c>
      <c r="CS380" s="37">
        <v>0</v>
      </c>
      <c r="CT380" s="37">
        <v>0</v>
      </c>
      <c r="CU380" s="37">
        <v>0</v>
      </c>
      <c r="CV380" s="37">
        <v>0</v>
      </c>
      <c r="CW380" s="37">
        <v>0</v>
      </c>
      <c r="CX380" s="37">
        <v>0</v>
      </c>
      <c r="CY380" s="37">
        <v>0</v>
      </c>
      <c r="CZ380" s="37">
        <v>0</v>
      </c>
      <c r="DA380" s="37">
        <v>0</v>
      </c>
      <c r="DB380" s="37">
        <v>0</v>
      </c>
      <c r="DC380" s="37">
        <v>0</v>
      </c>
      <c r="DD380" s="37">
        <v>0</v>
      </c>
      <c r="DE380" s="37">
        <v>0</v>
      </c>
      <c r="DF380" s="37">
        <v>0</v>
      </c>
      <c r="DG380" s="37">
        <v>0</v>
      </c>
      <c r="DH380" s="37">
        <v>0</v>
      </c>
      <c r="DI380" s="37">
        <v>0</v>
      </c>
      <c r="DJ380" s="37">
        <v>0</v>
      </c>
      <c r="DK380" s="37">
        <v>0</v>
      </c>
      <c r="DL380" s="37">
        <v>0</v>
      </c>
      <c r="DM380" s="37">
        <v>0</v>
      </c>
      <c r="DN380" s="37">
        <v>0</v>
      </c>
      <c r="DO380" s="37">
        <v>0</v>
      </c>
      <c r="DP380" s="37">
        <v>0</v>
      </c>
      <c r="DQ380" s="37">
        <v>0</v>
      </c>
      <c r="DR380" s="37">
        <v>0</v>
      </c>
      <c r="DS380" s="37">
        <v>0</v>
      </c>
      <c r="DT380" s="37">
        <v>0</v>
      </c>
      <c r="DU380" s="37">
        <v>0</v>
      </c>
      <c r="DV380" s="37">
        <v>0</v>
      </c>
      <c r="DW380" s="37">
        <v>0</v>
      </c>
      <c r="DX380" s="37">
        <v>0</v>
      </c>
      <c r="DY380" s="37">
        <v>0</v>
      </c>
      <c r="DZ380" s="37">
        <v>0</v>
      </c>
      <c r="EA380" s="37">
        <v>0</v>
      </c>
      <c r="EB380" s="37">
        <v>0</v>
      </c>
      <c r="EC380" s="37">
        <v>0</v>
      </c>
      <c r="ED380" s="37">
        <v>0</v>
      </c>
      <c r="EE380" s="37">
        <v>0</v>
      </c>
      <c r="EF380" s="37">
        <v>0</v>
      </c>
      <c r="EG380" s="37">
        <v>0</v>
      </c>
      <c r="EH380" s="37">
        <v>0</v>
      </c>
      <c r="EI380" s="37">
        <v>0</v>
      </c>
      <c r="EJ380" s="37">
        <v>0</v>
      </c>
      <c r="EK380" s="161" t="s">
        <v>2167</v>
      </c>
      <c r="EL380" s="294" t="s">
        <v>1124</v>
      </c>
    </row>
    <row r="381" spans="1:142" ht="15" customHeight="1" x14ac:dyDescent="0.35">
      <c r="A381" s="34"/>
      <c r="B381" s="313">
        <v>6045</v>
      </c>
      <c r="C381" s="8" t="s">
        <v>1064</v>
      </c>
      <c r="D381" s="18">
        <v>11</v>
      </c>
      <c r="E381" s="155"/>
      <c r="F381" s="36"/>
      <c r="G381" s="37"/>
      <c r="H381" s="37"/>
      <c r="I381" s="37"/>
      <c r="J381" s="37"/>
      <c r="K381" s="37"/>
      <c r="L381" s="37"/>
      <c r="M381" s="37" t="s">
        <v>1124</v>
      </c>
      <c r="N381" s="37" t="s">
        <v>1124</v>
      </c>
      <c r="O381" s="37"/>
      <c r="P381" s="37"/>
      <c r="Q381" s="37"/>
      <c r="R381" s="37"/>
      <c r="S381" s="37"/>
      <c r="T381" s="37"/>
      <c r="U381" s="37"/>
      <c r="V381" s="37"/>
      <c r="W381" s="37"/>
      <c r="X381" s="37"/>
      <c r="Y381" s="37"/>
      <c r="Z381" s="37"/>
      <c r="AA381" s="37" t="s">
        <v>1124</v>
      </c>
      <c r="AB381" s="37" t="s">
        <v>1124</v>
      </c>
      <c r="AC381" s="37"/>
      <c r="AD381" s="37"/>
      <c r="AE381" s="37"/>
      <c r="AF381" s="168"/>
      <c r="AG381" s="37"/>
      <c r="AH381" s="37"/>
      <c r="AI381" s="37"/>
      <c r="AJ381" s="37"/>
      <c r="AK381" s="37"/>
      <c r="AL381" s="37"/>
      <c r="AM381" s="37"/>
      <c r="AN381" s="37"/>
      <c r="AO381" s="37"/>
      <c r="AP381" s="37"/>
      <c r="AQ381" s="37"/>
      <c r="AR381" s="37" t="s">
        <v>1124</v>
      </c>
      <c r="AS381" s="37"/>
      <c r="AT381" s="37"/>
      <c r="AU381" s="37"/>
      <c r="AV381" s="37"/>
      <c r="AW381" s="37"/>
      <c r="AX381" s="37"/>
      <c r="AY381" s="37"/>
      <c r="AZ381" s="37"/>
      <c r="BA381" s="37"/>
      <c r="BB381" s="37"/>
      <c r="BC381" s="37"/>
      <c r="BD381" s="37" t="s">
        <v>1124</v>
      </c>
      <c r="BE381" s="37"/>
      <c r="BF381" s="37"/>
      <c r="BG381" s="37"/>
      <c r="BH381" s="37"/>
      <c r="BI381" s="37"/>
      <c r="BJ381" s="37"/>
      <c r="BK381" s="37"/>
      <c r="BL381" s="37"/>
      <c r="BM381" s="37"/>
      <c r="BN381" s="37"/>
      <c r="BO381" s="37"/>
      <c r="BP381" s="37">
        <v>0</v>
      </c>
      <c r="BQ381" s="37"/>
      <c r="BR381" s="37"/>
      <c r="BS381" s="37"/>
      <c r="BT381" s="37"/>
      <c r="BU381" s="37"/>
      <c r="BV381" s="37"/>
      <c r="BW381" s="37"/>
      <c r="BX381" s="37"/>
      <c r="BY381" s="37"/>
      <c r="BZ381" s="37"/>
      <c r="CA381" s="37"/>
      <c r="CB381" s="37" t="s">
        <v>1124</v>
      </c>
      <c r="CC381" s="37"/>
      <c r="CD381" s="37"/>
      <c r="CE381" s="37"/>
      <c r="CF381" s="37"/>
      <c r="CG381" s="37"/>
      <c r="CH381" s="37"/>
      <c r="CI381" s="37"/>
      <c r="CJ381" s="37"/>
      <c r="CK381" s="37"/>
      <c r="CL381" s="37"/>
      <c r="CM381" s="37"/>
      <c r="CN381" s="37" t="s">
        <v>1124</v>
      </c>
      <c r="CO381" s="37"/>
      <c r="CP381" s="37"/>
      <c r="CQ381" s="37"/>
      <c r="CR381" s="37"/>
      <c r="CS381" s="37"/>
      <c r="CT381" s="37"/>
      <c r="CU381" s="37"/>
      <c r="CV381" s="37"/>
      <c r="CW381" s="37"/>
      <c r="CX381" s="37"/>
      <c r="CY381" s="37"/>
      <c r="CZ381" s="37" t="s">
        <v>1124</v>
      </c>
      <c r="DA381" s="37"/>
      <c r="DB381" s="37"/>
      <c r="DC381" s="37"/>
      <c r="DD381" s="37"/>
      <c r="DE381" s="37"/>
      <c r="DF381" s="37"/>
      <c r="DG381" s="37"/>
      <c r="DH381" s="37"/>
      <c r="DI381" s="37"/>
      <c r="DJ381" s="37"/>
      <c r="DK381" s="37"/>
      <c r="DL381" s="37" t="s">
        <v>1124</v>
      </c>
      <c r="DM381" s="37"/>
      <c r="DN381" s="37"/>
      <c r="DO381" s="37"/>
      <c r="DP381" s="37"/>
      <c r="DQ381" s="37"/>
      <c r="DR381" s="37"/>
      <c r="DS381" s="37"/>
      <c r="DT381" s="37"/>
      <c r="DU381" s="37"/>
      <c r="DV381" s="37"/>
      <c r="DW381" s="37"/>
      <c r="DX381" s="37" t="s">
        <v>1124</v>
      </c>
      <c r="DY381" s="37"/>
      <c r="DZ381" s="37"/>
      <c r="EA381" s="37"/>
      <c r="EB381" s="37"/>
      <c r="EC381" s="37"/>
      <c r="ED381" s="37"/>
      <c r="EE381" s="37"/>
      <c r="EF381" s="37"/>
      <c r="EG381" s="37"/>
      <c r="EH381" s="37"/>
      <c r="EI381" s="37"/>
      <c r="EJ381" s="37" t="s">
        <v>1124</v>
      </c>
      <c r="EK381" s="161"/>
      <c r="EL381" s="294"/>
    </row>
    <row r="382" spans="1:142" ht="15" customHeight="1" x14ac:dyDescent="0.35">
      <c r="A382" s="34"/>
      <c r="B382" s="313">
        <v>80065</v>
      </c>
      <c r="C382" s="8" t="s">
        <v>813</v>
      </c>
      <c r="D382" s="18">
        <v>7</v>
      </c>
      <c r="E382" s="155"/>
      <c r="F382" s="36"/>
      <c r="G382" s="37"/>
      <c r="H382" s="37"/>
      <c r="I382" s="37"/>
      <c r="J382" s="37"/>
      <c r="K382" s="37"/>
      <c r="L382" s="37"/>
      <c r="M382" s="37" t="s">
        <v>1124</v>
      </c>
      <c r="N382" s="37" t="s">
        <v>1124</v>
      </c>
      <c r="O382" s="37"/>
      <c r="P382" s="37"/>
      <c r="Q382" s="37"/>
      <c r="R382" s="37"/>
      <c r="S382" s="37"/>
      <c r="T382" s="37"/>
      <c r="U382" s="37"/>
      <c r="V382" s="37"/>
      <c r="W382" s="37"/>
      <c r="X382" s="37"/>
      <c r="Y382" s="37"/>
      <c r="Z382" s="37"/>
      <c r="AA382" s="37" t="s">
        <v>1124</v>
      </c>
      <c r="AB382" s="37" t="s">
        <v>1124</v>
      </c>
      <c r="AC382" s="37"/>
      <c r="AD382" s="37"/>
      <c r="AE382" s="37"/>
      <c r="AF382" s="168"/>
      <c r="AG382" s="37"/>
      <c r="AH382" s="37"/>
      <c r="AI382" s="37"/>
      <c r="AJ382" s="37"/>
      <c r="AK382" s="37"/>
      <c r="AL382" s="37"/>
      <c r="AM382" s="37"/>
      <c r="AN382" s="37"/>
      <c r="AO382" s="37"/>
      <c r="AP382" s="37"/>
      <c r="AQ382" s="37"/>
      <c r="AR382" s="37" t="s">
        <v>1124</v>
      </c>
      <c r="AS382" s="37"/>
      <c r="AT382" s="37"/>
      <c r="AU382" s="37"/>
      <c r="AV382" s="37"/>
      <c r="AW382" s="37"/>
      <c r="AX382" s="37"/>
      <c r="AY382" s="37"/>
      <c r="AZ382" s="37"/>
      <c r="BA382" s="37"/>
      <c r="BB382" s="37"/>
      <c r="BC382" s="37"/>
      <c r="BD382" s="37" t="s">
        <v>1124</v>
      </c>
      <c r="BE382" s="37"/>
      <c r="BF382" s="37"/>
      <c r="BG382" s="37"/>
      <c r="BH382" s="37"/>
      <c r="BI382" s="37"/>
      <c r="BJ382" s="37"/>
      <c r="BK382" s="37"/>
      <c r="BL382" s="37"/>
      <c r="BM382" s="37"/>
      <c r="BN382" s="37"/>
      <c r="BO382" s="37"/>
      <c r="BP382" s="37">
        <v>0</v>
      </c>
      <c r="BQ382" s="37"/>
      <c r="BR382" s="37"/>
      <c r="BS382" s="37"/>
      <c r="BT382" s="37"/>
      <c r="BU382" s="37"/>
      <c r="BV382" s="37"/>
      <c r="BW382" s="37"/>
      <c r="BX382" s="37"/>
      <c r="BY382" s="37"/>
      <c r="BZ382" s="37"/>
      <c r="CA382" s="37"/>
      <c r="CB382" s="37" t="s">
        <v>1124</v>
      </c>
      <c r="CC382" s="37"/>
      <c r="CD382" s="37"/>
      <c r="CE382" s="37"/>
      <c r="CF382" s="37"/>
      <c r="CG382" s="37"/>
      <c r="CH382" s="37"/>
      <c r="CI382" s="37"/>
      <c r="CJ382" s="37"/>
      <c r="CK382" s="37"/>
      <c r="CL382" s="37"/>
      <c r="CM382" s="37"/>
      <c r="CN382" s="37" t="s">
        <v>1124</v>
      </c>
      <c r="CO382" s="37"/>
      <c r="CP382" s="37"/>
      <c r="CQ382" s="37"/>
      <c r="CR382" s="37"/>
      <c r="CS382" s="37"/>
      <c r="CT382" s="37"/>
      <c r="CU382" s="37"/>
      <c r="CV382" s="37"/>
      <c r="CW382" s="37"/>
      <c r="CX382" s="37"/>
      <c r="CY382" s="37"/>
      <c r="CZ382" s="37" t="s">
        <v>1124</v>
      </c>
      <c r="DA382" s="37"/>
      <c r="DB382" s="37"/>
      <c r="DC382" s="37"/>
      <c r="DD382" s="37"/>
      <c r="DE382" s="37"/>
      <c r="DF382" s="37"/>
      <c r="DG382" s="37"/>
      <c r="DH382" s="37"/>
      <c r="DI382" s="37"/>
      <c r="DJ382" s="37"/>
      <c r="DK382" s="37"/>
      <c r="DL382" s="37" t="s">
        <v>1124</v>
      </c>
      <c r="DM382" s="37"/>
      <c r="DN382" s="37"/>
      <c r="DO382" s="37"/>
      <c r="DP382" s="37"/>
      <c r="DQ382" s="37"/>
      <c r="DR382" s="37"/>
      <c r="DS382" s="37"/>
      <c r="DT382" s="37"/>
      <c r="DU382" s="37"/>
      <c r="DV382" s="37"/>
      <c r="DW382" s="37"/>
      <c r="DX382" s="37" t="s">
        <v>1124</v>
      </c>
      <c r="DY382" s="37"/>
      <c r="DZ382" s="37"/>
      <c r="EA382" s="37"/>
      <c r="EB382" s="37"/>
      <c r="EC382" s="37"/>
      <c r="ED382" s="37"/>
      <c r="EE382" s="37"/>
      <c r="EF382" s="37"/>
      <c r="EG382" s="37"/>
      <c r="EH382" s="37"/>
      <c r="EI382" s="37"/>
      <c r="EJ382" s="37" t="s">
        <v>1124</v>
      </c>
      <c r="EK382" s="161"/>
      <c r="EL382" s="294"/>
    </row>
    <row r="383" spans="1:142" ht="15" customHeight="1" x14ac:dyDescent="0.35">
      <c r="A383" s="34"/>
      <c r="B383" s="313">
        <v>57025</v>
      </c>
      <c r="C383" s="8" t="s">
        <v>584</v>
      </c>
      <c r="D383" s="18">
        <v>16</v>
      </c>
      <c r="E383" s="155"/>
      <c r="F383" s="36"/>
      <c r="G383" s="37"/>
      <c r="H383" s="37"/>
      <c r="I383" s="37"/>
      <c r="J383" s="37"/>
      <c r="K383" s="37"/>
      <c r="L383" s="37"/>
      <c r="M383" s="37" t="s">
        <v>1124</v>
      </c>
      <c r="N383" s="37" t="s">
        <v>1124</v>
      </c>
      <c r="O383" s="37"/>
      <c r="P383" s="37"/>
      <c r="Q383" s="37"/>
      <c r="R383" s="37"/>
      <c r="S383" s="37"/>
      <c r="T383" s="37"/>
      <c r="U383" s="37"/>
      <c r="V383" s="37"/>
      <c r="W383" s="37"/>
      <c r="X383" s="37"/>
      <c r="Y383" s="37"/>
      <c r="Z383" s="37"/>
      <c r="AA383" s="37" t="s">
        <v>1124</v>
      </c>
      <c r="AB383" s="37" t="s">
        <v>1124</v>
      </c>
      <c r="AC383" s="37"/>
      <c r="AD383" s="37"/>
      <c r="AE383" s="37"/>
      <c r="AF383" s="168"/>
      <c r="AG383" s="37"/>
      <c r="AH383" s="37"/>
      <c r="AI383" s="37"/>
      <c r="AJ383" s="37"/>
      <c r="AK383" s="37"/>
      <c r="AL383" s="37"/>
      <c r="AM383" s="37"/>
      <c r="AN383" s="37"/>
      <c r="AO383" s="37"/>
      <c r="AP383" s="37"/>
      <c r="AQ383" s="37"/>
      <c r="AR383" s="37" t="s">
        <v>1124</v>
      </c>
      <c r="AS383" s="37"/>
      <c r="AT383" s="37"/>
      <c r="AU383" s="37"/>
      <c r="AV383" s="37"/>
      <c r="AW383" s="37"/>
      <c r="AX383" s="37"/>
      <c r="AY383" s="37"/>
      <c r="AZ383" s="37"/>
      <c r="BA383" s="37"/>
      <c r="BB383" s="37"/>
      <c r="BC383" s="37"/>
      <c r="BD383" s="37" t="s">
        <v>1124</v>
      </c>
      <c r="BE383" s="37"/>
      <c r="BF383" s="37"/>
      <c r="BG383" s="37"/>
      <c r="BH383" s="37"/>
      <c r="BI383" s="37"/>
      <c r="BJ383" s="37"/>
      <c r="BK383" s="37"/>
      <c r="BL383" s="37"/>
      <c r="BM383" s="37"/>
      <c r="BN383" s="37"/>
      <c r="BO383" s="37"/>
      <c r="BP383" s="37">
        <v>0</v>
      </c>
      <c r="BQ383" s="37"/>
      <c r="BR383" s="37"/>
      <c r="BS383" s="37"/>
      <c r="BT383" s="37"/>
      <c r="BU383" s="37"/>
      <c r="BV383" s="37"/>
      <c r="BW383" s="37"/>
      <c r="BX383" s="37"/>
      <c r="BY383" s="37"/>
      <c r="BZ383" s="37"/>
      <c r="CA383" s="37"/>
      <c r="CB383" s="37" t="s">
        <v>1124</v>
      </c>
      <c r="CC383" s="37"/>
      <c r="CD383" s="37"/>
      <c r="CE383" s="37"/>
      <c r="CF383" s="37"/>
      <c r="CG383" s="37"/>
      <c r="CH383" s="37"/>
      <c r="CI383" s="37"/>
      <c r="CJ383" s="37"/>
      <c r="CK383" s="37"/>
      <c r="CL383" s="37"/>
      <c r="CM383" s="37"/>
      <c r="CN383" s="37" t="s">
        <v>1124</v>
      </c>
      <c r="CO383" s="37"/>
      <c r="CP383" s="37"/>
      <c r="CQ383" s="37"/>
      <c r="CR383" s="37"/>
      <c r="CS383" s="37"/>
      <c r="CT383" s="37"/>
      <c r="CU383" s="37"/>
      <c r="CV383" s="37"/>
      <c r="CW383" s="37"/>
      <c r="CX383" s="37"/>
      <c r="CY383" s="37"/>
      <c r="CZ383" s="37" t="s">
        <v>1124</v>
      </c>
      <c r="DA383" s="37"/>
      <c r="DB383" s="37"/>
      <c r="DC383" s="37"/>
      <c r="DD383" s="37"/>
      <c r="DE383" s="37"/>
      <c r="DF383" s="37"/>
      <c r="DG383" s="37"/>
      <c r="DH383" s="37"/>
      <c r="DI383" s="37"/>
      <c r="DJ383" s="37"/>
      <c r="DK383" s="37"/>
      <c r="DL383" s="37" t="s">
        <v>1124</v>
      </c>
      <c r="DM383" s="37"/>
      <c r="DN383" s="37"/>
      <c r="DO383" s="37"/>
      <c r="DP383" s="37"/>
      <c r="DQ383" s="37"/>
      <c r="DR383" s="37"/>
      <c r="DS383" s="37"/>
      <c r="DT383" s="37"/>
      <c r="DU383" s="37"/>
      <c r="DV383" s="37"/>
      <c r="DW383" s="37"/>
      <c r="DX383" s="37" t="s">
        <v>1124</v>
      </c>
      <c r="DY383" s="37"/>
      <c r="DZ383" s="37"/>
      <c r="EA383" s="37"/>
      <c r="EB383" s="37"/>
      <c r="EC383" s="37"/>
      <c r="ED383" s="37"/>
      <c r="EE383" s="37"/>
      <c r="EF383" s="37"/>
      <c r="EG383" s="37"/>
      <c r="EH383" s="37"/>
      <c r="EI383" s="37"/>
      <c r="EJ383" s="37" t="s">
        <v>1124</v>
      </c>
      <c r="EK383" s="161"/>
      <c r="EL383" s="294"/>
    </row>
    <row r="384" spans="1:142" ht="15" customHeight="1" x14ac:dyDescent="0.35">
      <c r="A384" s="34"/>
      <c r="B384" s="313">
        <v>42075</v>
      </c>
      <c r="C384" s="8" t="s">
        <v>390</v>
      </c>
      <c r="D384" s="18">
        <v>5</v>
      </c>
      <c r="E384" s="155">
        <v>14616</v>
      </c>
      <c r="F384" s="36">
        <v>0</v>
      </c>
      <c r="G384" s="37">
        <v>0</v>
      </c>
      <c r="H384" s="37">
        <v>0</v>
      </c>
      <c r="I384" s="37">
        <v>0</v>
      </c>
      <c r="J384" s="37">
        <v>0</v>
      </c>
      <c r="K384" s="37">
        <v>2192.4</v>
      </c>
      <c r="L384" s="37">
        <v>0</v>
      </c>
      <c r="M384" s="37">
        <v>16808.400000000001</v>
      </c>
      <c r="N384" s="37">
        <v>0</v>
      </c>
      <c r="O384" s="37">
        <v>1491.4</v>
      </c>
      <c r="P384" s="37">
        <v>0</v>
      </c>
      <c r="Q384" s="37">
        <v>10900</v>
      </c>
      <c r="R384" s="37">
        <v>0</v>
      </c>
      <c r="S384" s="37">
        <v>0</v>
      </c>
      <c r="T384" s="37">
        <v>0</v>
      </c>
      <c r="U384" s="37">
        <v>0</v>
      </c>
      <c r="V384" s="37">
        <v>0</v>
      </c>
      <c r="W384" s="37">
        <v>4417.0000000000018</v>
      </c>
      <c r="X384" s="37">
        <v>0</v>
      </c>
      <c r="Y384" s="37">
        <v>0</v>
      </c>
      <c r="Z384" s="37">
        <v>0</v>
      </c>
      <c r="AA384" s="37">
        <v>16808.400000000001</v>
      </c>
      <c r="AB384" s="37">
        <v>0</v>
      </c>
      <c r="AC384" s="37">
        <v>0</v>
      </c>
      <c r="AD384" s="37">
        <v>0</v>
      </c>
      <c r="AE384" s="37">
        <v>0</v>
      </c>
      <c r="AF384" s="168">
        <v>0.02</v>
      </c>
      <c r="AG384" s="37">
        <v>2858154.24</v>
      </c>
      <c r="AH384" s="37">
        <v>27107.599999999999</v>
      </c>
      <c r="AI384" s="37">
        <v>27649.759999999998</v>
      </c>
      <c r="AJ384" s="37">
        <v>28202.75</v>
      </c>
      <c r="AK384" s="37">
        <v>28766.81</v>
      </c>
      <c r="AL384" s="37">
        <v>29342.14</v>
      </c>
      <c r="AM384" s="37">
        <v>29928.98</v>
      </c>
      <c r="AN384" s="37">
        <v>30527.56</v>
      </c>
      <c r="AO384" s="37">
        <v>31138.12</v>
      </c>
      <c r="AP384" s="37">
        <v>31760.880000000001</v>
      </c>
      <c r="AQ384" s="37">
        <v>32396.09</v>
      </c>
      <c r="AR384" s="37">
        <v>296820.68999999994</v>
      </c>
      <c r="AS384" s="37">
        <v>0</v>
      </c>
      <c r="AT384" s="37">
        <v>0</v>
      </c>
      <c r="AU384" s="37">
        <v>0</v>
      </c>
      <c r="AV384" s="37">
        <v>0</v>
      </c>
      <c r="AW384" s="37">
        <v>0</v>
      </c>
      <c r="AX384" s="37">
        <v>0</v>
      </c>
      <c r="AY384" s="37">
        <v>0</v>
      </c>
      <c r="AZ384" s="37">
        <v>0</v>
      </c>
      <c r="BA384" s="37">
        <v>0</v>
      </c>
      <c r="BB384" s="37">
        <v>0</v>
      </c>
      <c r="BC384" s="37">
        <v>0</v>
      </c>
      <c r="BD384" s="37">
        <v>0</v>
      </c>
      <c r="BE384" s="37">
        <v>0</v>
      </c>
      <c r="BF384" s="37">
        <v>0</v>
      </c>
      <c r="BG384" s="37">
        <v>0</v>
      </c>
      <c r="BH384" s="37">
        <v>0</v>
      </c>
      <c r="BI384" s="37">
        <v>0</v>
      </c>
      <c r="BJ384" s="37">
        <v>0</v>
      </c>
      <c r="BK384" s="37">
        <v>0</v>
      </c>
      <c r="BL384" s="37">
        <v>0</v>
      </c>
      <c r="BM384" s="37">
        <v>0</v>
      </c>
      <c r="BN384" s="37">
        <v>0</v>
      </c>
      <c r="BO384" s="37">
        <v>0</v>
      </c>
      <c r="BP384" s="37">
        <v>0</v>
      </c>
      <c r="BQ384" s="37">
        <v>0</v>
      </c>
      <c r="BR384" s="37">
        <v>0</v>
      </c>
      <c r="BS384" s="37">
        <v>0</v>
      </c>
      <c r="BT384" s="37">
        <v>0</v>
      </c>
      <c r="BU384" s="37">
        <v>0</v>
      </c>
      <c r="BV384" s="37">
        <v>0</v>
      </c>
      <c r="BW384" s="37">
        <v>0</v>
      </c>
      <c r="BX384" s="37">
        <v>0</v>
      </c>
      <c r="BY384" s="37">
        <v>0</v>
      </c>
      <c r="BZ384" s="37">
        <v>0</v>
      </c>
      <c r="CA384" s="37">
        <v>0</v>
      </c>
      <c r="CB384" s="37">
        <v>0</v>
      </c>
      <c r="CC384" s="37">
        <v>0</v>
      </c>
      <c r="CD384" s="37">
        <v>0</v>
      </c>
      <c r="CE384" s="37">
        <v>0</v>
      </c>
      <c r="CF384" s="37">
        <v>0</v>
      </c>
      <c r="CG384" s="37">
        <v>0</v>
      </c>
      <c r="CH384" s="37">
        <v>0</v>
      </c>
      <c r="CI384" s="37">
        <v>0</v>
      </c>
      <c r="CJ384" s="37">
        <v>0</v>
      </c>
      <c r="CK384" s="37">
        <v>0</v>
      </c>
      <c r="CL384" s="37">
        <v>0</v>
      </c>
      <c r="CM384" s="37">
        <v>0</v>
      </c>
      <c r="CN384" s="37">
        <v>0</v>
      </c>
      <c r="CO384" s="37">
        <v>0</v>
      </c>
      <c r="CP384" s="37">
        <v>0</v>
      </c>
      <c r="CQ384" s="37">
        <v>0</v>
      </c>
      <c r="CR384" s="37">
        <v>0</v>
      </c>
      <c r="CS384" s="37">
        <v>0</v>
      </c>
      <c r="CT384" s="37">
        <v>0</v>
      </c>
      <c r="CU384" s="37">
        <v>0</v>
      </c>
      <c r="CV384" s="37">
        <v>0</v>
      </c>
      <c r="CW384" s="37">
        <v>0</v>
      </c>
      <c r="CX384" s="37">
        <v>0</v>
      </c>
      <c r="CY384" s="37">
        <v>0</v>
      </c>
      <c r="CZ384" s="37">
        <v>0</v>
      </c>
      <c r="DA384" s="37">
        <v>0</v>
      </c>
      <c r="DB384" s="37">
        <v>0</v>
      </c>
      <c r="DC384" s="37">
        <v>0</v>
      </c>
      <c r="DD384" s="37">
        <v>0</v>
      </c>
      <c r="DE384" s="37">
        <v>0</v>
      </c>
      <c r="DF384" s="37">
        <v>0</v>
      </c>
      <c r="DG384" s="37">
        <v>0</v>
      </c>
      <c r="DH384" s="37">
        <v>0</v>
      </c>
      <c r="DI384" s="37">
        <v>0</v>
      </c>
      <c r="DJ384" s="37">
        <v>0</v>
      </c>
      <c r="DK384" s="37">
        <v>0</v>
      </c>
      <c r="DL384" s="37">
        <v>0</v>
      </c>
      <c r="DM384" s="37">
        <v>0</v>
      </c>
      <c r="DN384" s="37">
        <v>0</v>
      </c>
      <c r="DO384" s="37">
        <v>0</v>
      </c>
      <c r="DP384" s="37">
        <v>0</v>
      </c>
      <c r="DQ384" s="37">
        <v>0</v>
      </c>
      <c r="DR384" s="37">
        <v>0</v>
      </c>
      <c r="DS384" s="37">
        <v>0</v>
      </c>
      <c r="DT384" s="37">
        <v>0</v>
      </c>
      <c r="DU384" s="37">
        <v>0</v>
      </c>
      <c r="DV384" s="37">
        <v>0</v>
      </c>
      <c r="DW384" s="37">
        <v>0</v>
      </c>
      <c r="DX384" s="37">
        <v>0</v>
      </c>
      <c r="DY384" s="37">
        <v>0</v>
      </c>
      <c r="DZ384" s="37">
        <v>0</v>
      </c>
      <c r="EA384" s="37">
        <v>0</v>
      </c>
      <c r="EB384" s="37">
        <v>0</v>
      </c>
      <c r="EC384" s="37">
        <v>0</v>
      </c>
      <c r="ED384" s="37">
        <v>0</v>
      </c>
      <c r="EE384" s="37">
        <v>0</v>
      </c>
      <c r="EF384" s="37">
        <v>0</v>
      </c>
      <c r="EG384" s="37">
        <v>0</v>
      </c>
      <c r="EH384" s="37">
        <v>0</v>
      </c>
      <c r="EI384" s="37">
        <v>0</v>
      </c>
      <c r="EJ384" s="37">
        <v>0</v>
      </c>
      <c r="EK384" s="161" t="s">
        <v>2171</v>
      </c>
      <c r="EL384" s="294" t="s">
        <v>1124</v>
      </c>
    </row>
    <row r="385" spans="1:142" ht="15" customHeight="1" x14ac:dyDescent="0.35">
      <c r="A385" s="34"/>
      <c r="B385" s="313">
        <v>67045</v>
      </c>
      <c r="C385" s="8" t="s">
        <v>670</v>
      </c>
      <c r="D385" s="18">
        <v>16</v>
      </c>
      <c r="E385" s="155">
        <v>988438</v>
      </c>
      <c r="F385" s="36">
        <v>319854</v>
      </c>
      <c r="G385" s="37">
        <v>83430</v>
      </c>
      <c r="H385" s="37">
        <v>92055</v>
      </c>
      <c r="I385" s="37">
        <v>220636</v>
      </c>
      <c r="J385" s="37">
        <v>52372</v>
      </c>
      <c r="K385" s="37">
        <v>148265.69999999998</v>
      </c>
      <c r="L385" s="37">
        <v>47978.1</v>
      </c>
      <c r="M385" s="37">
        <v>1440769.7</v>
      </c>
      <c r="N385" s="37">
        <v>512259.1</v>
      </c>
      <c r="O385" s="37">
        <v>65925</v>
      </c>
      <c r="P385" s="37">
        <v>0</v>
      </c>
      <c r="Q385" s="37">
        <v>1342980</v>
      </c>
      <c r="R385" s="37">
        <v>482505</v>
      </c>
      <c r="S385" s="37">
        <v>111855</v>
      </c>
      <c r="T385" s="37">
        <v>0</v>
      </c>
      <c r="U385" s="37">
        <v>86058</v>
      </c>
      <c r="V385" s="37">
        <v>0</v>
      </c>
      <c r="W385" s="37">
        <v>0</v>
      </c>
      <c r="X385" s="37">
        <v>0</v>
      </c>
      <c r="Y385" s="37">
        <v>0</v>
      </c>
      <c r="Z385" s="37">
        <v>0</v>
      </c>
      <c r="AA385" s="37">
        <v>1606818</v>
      </c>
      <c r="AB385" s="37">
        <v>482505</v>
      </c>
      <c r="AC385" s="37">
        <v>136294</v>
      </c>
      <c r="AD385" s="37">
        <v>0</v>
      </c>
      <c r="AE385" s="37">
        <v>0</v>
      </c>
      <c r="AF385" s="168">
        <v>0.02</v>
      </c>
      <c r="AG385" s="37">
        <v>180520561.91999999</v>
      </c>
      <c r="AH385" s="37">
        <v>1894347.05</v>
      </c>
      <c r="AI385" s="37">
        <v>1895091.71</v>
      </c>
      <c r="AJ385" s="37">
        <v>1662385.51</v>
      </c>
      <c r="AK385" s="37">
        <v>1695633.22</v>
      </c>
      <c r="AL385" s="37">
        <v>1729545.88</v>
      </c>
      <c r="AM385" s="37">
        <v>1764136.8</v>
      </c>
      <c r="AN385" s="37">
        <v>1799419.54</v>
      </c>
      <c r="AO385" s="37">
        <v>1835407.93</v>
      </c>
      <c r="AP385" s="37">
        <v>1872116.09</v>
      </c>
      <c r="AQ385" s="37">
        <v>1909558.41</v>
      </c>
      <c r="AR385" s="37">
        <v>18057642.140000001</v>
      </c>
      <c r="AS385" s="37">
        <v>2541161.39</v>
      </c>
      <c r="AT385" s="37">
        <v>1040400</v>
      </c>
      <c r="AU385" s="37">
        <v>0</v>
      </c>
      <c r="AV385" s="37">
        <v>0</v>
      </c>
      <c r="AW385" s="37">
        <v>0</v>
      </c>
      <c r="AX385" s="37">
        <v>0</v>
      </c>
      <c r="AY385" s="37">
        <v>0</v>
      </c>
      <c r="AZ385" s="37">
        <v>0</v>
      </c>
      <c r="BA385" s="37">
        <v>0</v>
      </c>
      <c r="BB385" s="37">
        <v>0</v>
      </c>
      <c r="BC385" s="37">
        <v>0</v>
      </c>
      <c r="BD385" s="37">
        <v>1040400</v>
      </c>
      <c r="BE385" s="37">
        <v>0</v>
      </c>
      <c r="BF385" s="37">
        <v>0</v>
      </c>
      <c r="BG385" s="37">
        <v>0</v>
      </c>
      <c r="BH385" s="37">
        <v>0</v>
      </c>
      <c r="BI385" s="37">
        <v>0</v>
      </c>
      <c r="BJ385" s="37">
        <v>0</v>
      </c>
      <c r="BK385" s="37">
        <v>0</v>
      </c>
      <c r="BL385" s="37">
        <v>0</v>
      </c>
      <c r="BM385" s="37">
        <v>0</v>
      </c>
      <c r="BN385" s="37">
        <v>0</v>
      </c>
      <c r="BO385" s="37">
        <v>0</v>
      </c>
      <c r="BP385" s="37">
        <v>0</v>
      </c>
      <c r="BQ385" s="37">
        <v>0</v>
      </c>
      <c r="BR385" s="37">
        <v>0</v>
      </c>
      <c r="BS385" s="37">
        <v>0</v>
      </c>
      <c r="BT385" s="37">
        <v>0</v>
      </c>
      <c r="BU385" s="37">
        <v>0</v>
      </c>
      <c r="BV385" s="37">
        <v>0</v>
      </c>
      <c r="BW385" s="37">
        <v>0</v>
      </c>
      <c r="BX385" s="37">
        <v>0</v>
      </c>
      <c r="BY385" s="37">
        <v>0</v>
      </c>
      <c r="BZ385" s="37">
        <v>0</v>
      </c>
      <c r="CA385" s="37">
        <v>0</v>
      </c>
      <c r="CB385" s="37">
        <v>0</v>
      </c>
      <c r="CC385" s="37">
        <v>0</v>
      </c>
      <c r="CD385" s="37">
        <v>0</v>
      </c>
      <c r="CE385" s="37">
        <v>0</v>
      </c>
      <c r="CF385" s="37">
        <v>0</v>
      </c>
      <c r="CG385" s="37">
        <v>0</v>
      </c>
      <c r="CH385" s="37">
        <v>0</v>
      </c>
      <c r="CI385" s="37">
        <v>0</v>
      </c>
      <c r="CJ385" s="37">
        <v>0</v>
      </c>
      <c r="CK385" s="37">
        <v>0</v>
      </c>
      <c r="CL385" s="37">
        <v>0</v>
      </c>
      <c r="CM385" s="37">
        <v>0</v>
      </c>
      <c r="CN385" s="37">
        <v>0</v>
      </c>
      <c r="CO385" s="37">
        <v>0</v>
      </c>
      <c r="CP385" s="37">
        <v>0</v>
      </c>
      <c r="CQ385" s="37">
        <v>0</v>
      </c>
      <c r="CR385" s="37">
        <v>0</v>
      </c>
      <c r="CS385" s="37">
        <v>0</v>
      </c>
      <c r="CT385" s="37">
        <v>0</v>
      </c>
      <c r="CU385" s="37">
        <v>0</v>
      </c>
      <c r="CV385" s="37">
        <v>0</v>
      </c>
      <c r="CW385" s="37">
        <v>0</v>
      </c>
      <c r="CX385" s="37">
        <v>0</v>
      </c>
      <c r="CY385" s="37">
        <v>0</v>
      </c>
      <c r="CZ385" s="37">
        <v>0</v>
      </c>
      <c r="DA385" s="37">
        <v>0</v>
      </c>
      <c r="DB385" s="37">
        <v>0</v>
      </c>
      <c r="DC385" s="37">
        <v>0</v>
      </c>
      <c r="DD385" s="37">
        <v>0</v>
      </c>
      <c r="DE385" s="37">
        <v>0</v>
      </c>
      <c r="DF385" s="37">
        <v>0</v>
      </c>
      <c r="DG385" s="37">
        <v>0</v>
      </c>
      <c r="DH385" s="37">
        <v>0</v>
      </c>
      <c r="DI385" s="37">
        <v>0</v>
      </c>
      <c r="DJ385" s="37">
        <v>0</v>
      </c>
      <c r="DK385" s="37">
        <v>0</v>
      </c>
      <c r="DL385" s="37">
        <v>0</v>
      </c>
      <c r="DM385" s="37">
        <v>0</v>
      </c>
      <c r="DN385" s="37">
        <v>0</v>
      </c>
      <c r="DO385" s="37">
        <v>0</v>
      </c>
      <c r="DP385" s="37">
        <v>0</v>
      </c>
      <c r="DQ385" s="37">
        <v>0</v>
      </c>
      <c r="DR385" s="37">
        <v>0</v>
      </c>
      <c r="DS385" s="37">
        <v>0</v>
      </c>
      <c r="DT385" s="37">
        <v>0</v>
      </c>
      <c r="DU385" s="37">
        <v>0</v>
      </c>
      <c r="DV385" s="37">
        <v>0</v>
      </c>
      <c r="DW385" s="37">
        <v>0</v>
      </c>
      <c r="DX385" s="37">
        <v>0</v>
      </c>
      <c r="DY385" s="37">
        <v>0</v>
      </c>
      <c r="DZ385" s="37">
        <v>0</v>
      </c>
      <c r="EA385" s="37">
        <v>0</v>
      </c>
      <c r="EB385" s="37">
        <v>0</v>
      </c>
      <c r="EC385" s="37">
        <v>0</v>
      </c>
      <c r="ED385" s="37">
        <v>0</v>
      </c>
      <c r="EE385" s="37">
        <v>0</v>
      </c>
      <c r="EF385" s="37">
        <v>0</v>
      </c>
      <c r="EG385" s="37">
        <v>0</v>
      </c>
      <c r="EH385" s="37">
        <v>0</v>
      </c>
      <c r="EI385" s="37">
        <v>0</v>
      </c>
      <c r="EJ385" s="37">
        <v>0</v>
      </c>
      <c r="EK385" s="161" t="s">
        <v>1453</v>
      </c>
      <c r="EL385" s="294" t="s">
        <v>1124</v>
      </c>
    </row>
    <row r="386" spans="1:142" ht="15" customHeight="1" x14ac:dyDescent="0.35">
      <c r="A386" s="34"/>
      <c r="B386" s="314">
        <v>83060</v>
      </c>
      <c r="C386" s="8" t="s">
        <v>844</v>
      </c>
      <c r="D386" s="18">
        <v>7</v>
      </c>
      <c r="E386" s="155"/>
      <c r="F386" s="36"/>
      <c r="G386" s="37"/>
      <c r="H386" s="37"/>
      <c r="I386" s="37"/>
      <c r="J386" s="37"/>
      <c r="K386" s="37"/>
      <c r="L386" s="37"/>
      <c r="M386" s="37" t="s">
        <v>1124</v>
      </c>
      <c r="N386" s="37" t="s">
        <v>1124</v>
      </c>
      <c r="O386" s="37"/>
      <c r="P386" s="37"/>
      <c r="Q386" s="37"/>
      <c r="R386" s="37"/>
      <c r="S386" s="37"/>
      <c r="T386" s="37"/>
      <c r="U386" s="37"/>
      <c r="V386" s="37"/>
      <c r="W386" s="37"/>
      <c r="X386" s="37"/>
      <c r="Y386" s="37"/>
      <c r="Z386" s="37"/>
      <c r="AA386" s="37" t="s">
        <v>1124</v>
      </c>
      <c r="AB386" s="37" t="s">
        <v>1124</v>
      </c>
      <c r="AC386" s="37"/>
      <c r="AD386" s="37"/>
      <c r="AE386" s="37"/>
      <c r="AF386" s="168"/>
      <c r="AG386" s="37"/>
      <c r="AH386" s="37"/>
      <c r="AI386" s="37"/>
      <c r="AJ386" s="37"/>
      <c r="AK386" s="37"/>
      <c r="AL386" s="37"/>
      <c r="AM386" s="37"/>
      <c r="AN386" s="37"/>
      <c r="AO386" s="37"/>
      <c r="AP386" s="37"/>
      <c r="AQ386" s="37"/>
      <c r="AR386" s="37" t="s">
        <v>1124</v>
      </c>
      <c r="AS386" s="37"/>
      <c r="AT386" s="37"/>
      <c r="AU386" s="37"/>
      <c r="AV386" s="37"/>
      <c r="AW386" s="37"/>
      <c r="AX386" s="37"/>
      <c r="AY386" s="37"/>
      <c r="AZ386" s="37"/>
      <c r="BA386" s="37"/>
      <c r="BB386" s="37"/>
      <c r="BC386" s="37"/>
      <c r="BD386" s="37" t="s">
        <v>1124</v>
      </c>
      <c r="BE386" s="37"/>
      <c r="BF386" s="37"/>
      <c r="BG386" s="37"/>
      <c r="BH386" s="37"/>
      <c r="BI386" s="37"/>
      <c r="BJ386" s="37"/>
      <c r="BK386" s="37"/>
      <c r="BL386" s="37"/>
      <c r="BM386" s="37"/>
      <c r="BN386" s="37"/>
      <c r="BO386" s="37"/>
      <c r="BP386" s="37">
        <v>0</v>
      </c>
      <c r="BQ386" s="37"/>
      <c r="BR386" s="37"/>
      <c r="BS386" s="37"/>
      <c r="BT386" s="37"/>
      <c r="BU386" s="37"/>
      <c r="BV386" s="37"/>
      <c r="BW386" s="37"/>
      <c r="BX386" s="37"/>
      <c r="BY386" s="37"/>
      <c r="BZ386" s="37"/>
      <c r="CA386" s="37"/>
      <c r="CB386" s="37" t="s">
        <v>1124</v>
      </c>
      <c r="CC386" s="37"/>
      <c r="CD386" s="37"/>
      <c r="CE386" s="37"/>
      <c r="CF386" s="37"/>
      <c r="CG386" s="37"/>
      <c r="CH386" s="37"/>
      <c r="CI386" s="37"/>
      <c r="CJ386" s="37"/>
      <c r="CK386" s="37"/>
      <c r="CL386" s="37"/>
      <c r="CM386" s="37"/>
      <c r="CN386" s="37" t="s">
        <v>1124</v>
      </c>
      <c r="CO386" s="37"/>
      <c r="CP386" s="37"/>
      <c r="CQ386" s="37"/>
      <c r="CR386" s="37"/>
      <c r="CS386" s="37"/>
      <c r="CT386" s="37"/>
      <c r="CU386" s="37"/>
      <c r="CV386" s="37"/>
      <c r="CW386" s="37"/>
      <c r="CX386" s="37"/>
      <c r="CY386" s="37"/>
      <c r="CZ386" s="37" t="s">
        <v>1124</v>
      </c>
      <c r="DA386" s="37"/>
      <c r="DB386" s="37"/>
      <c r="DC386" s="37"/>
      <c r="DD386" s="37"/>
      <c r="DE386" s="37"/>
      <c r="DF386" s="37"/>
      <c r="DG386" s="37"/>
      <c r="DH386" s="37"/>
      <c r="DI386" s="37"/>
      <c r="DJ386" s="37"/>
      <c r="DK386" s="37"/>
      <c r="DL386" s="37" t="s">
        <v>1124</v>
      </c>
      <c r="DM386" s="37"/>
      <c r="DN386" s="37"/>
      <c r="DO386" s="37"/>
      <c r="DP386" s="37"/>
      <c r="DQ386" s="37"/>
      <c r="DR386" s="37"/>
      <c r="DS386" s="37"/>
      <c r="DT386" s="37"/>
      <c r="DU386" s="37"/>
      <c r="DV386" s="37"/>
      <c r="DW386" s="37"/>
      <c r="DX386" s="37" t="s">
        <v>1124</v>
      </c>
      <c r="DY386" s="37"/>
      <c r="DZ386" s="37"/>
      <c r="EA386" s="37"/>
      <c r="EB386" s="37"/>
      <c r="EC386" s="37"/>
      <c r="ED386" s="37"/>
      <c r="EE386" s="37"/>
      <c r="EF386" s="37"/>
      <c r="EG386" s="37"/>
      <c r="EH386" s="37"/>
      <c r="EI386" s="37"/>
      <c r="EJ386" s="37" t="s">
        <v>1124</v>
      </c>
      <c r="EK386" s="161"/>
      <c r="EL386" s="294"/>
    </row>
    <row r="387" spans="1:142" ht="15" customHeight="1" x14ac:dyDescent="0.35">
      <c r="A387" s="34"/>
      <c r="B387" s="314">
        <v>93012</v>
      </c>
      <c r="C387" s="8" t="s">
        <v>959</v>
      </c>
      <c r="D387" s="18">
        <v>2</v>
      </c>
      <c r="E387" s="155">
        <v>223387</v>
      </c>
      <c r="F387" s="36">
        <v>174795</v>
      </c>
      <c r="G387" s="37">
        <v>64015</v>
      </c>
      <c r="H387" s="37">
        <v>56416</v>
      </c>
      <c r="I387" s="37">
        <v>119500</v>
      </c>
      <c r="J387" s="37">
        <v>16500</v>
      </c>
      <c r="K387" s="37">
        <v>33508.049999999996</v>
      </c>
      <c r="L387" s="37">
        <v>26219.25</v>
      </c>
      <c r="M387" s="37">
        <v>440410.05</v>
      </c>
      <c r="N387" s="37">
        <v>273930.25</v>
      </c>
      <c r="O387" s="37">
        <v>0</v>
      </c>
      <c r="P387" s="37">
        <v>0</v>
      </c>
      <c r="Q387" s="37">
        <v>385740</v>
      </c>
      <c r="R387" s="37">
        <v>253147</v>
      </c>
      <c r="S387" s="37">
        <v>0</v>
      </c>
      <c r="T387" s="37">
        <v>5280</v>
      </c>
      <c r="U387" s="37">
        <v>9143</v>
      </c>
      <c r="V387" s="37">
        <v>13707</v>
      </c>
      <c r="W387" s="37">
        <v>45527.049999999988</v>
      </c>
      <c r="X387" s="37">
        <v>1796.25</v>
      </c>
      <c r="Y387" s="37">
        <v>0</v>
      </c>
      <c r="Z387" s="37">
        <v>0</v>
      </c>
      <c r="AA387" s="37">
        <v>440410.05</v>
      </c>
      <c r="AB387" s="37">
        <v>273930.25</v>
      </c>
      <c r="AC387" s="37">
        <v>0</v>
      </c>
      <c r="AD387" s="37">
        <v>0</v>
      </c>
      <c r="AE387" s="37">
        <v>74600</v>
      </c>
      <c r="AF387" s="168">
        <v>0.02</v>
      </c>
      <c r="AG387" s="37">
        <v>84910835.540000007</v>
      </c>
      <c r="AH387" s="37">
        <v>787417.75</v>
      </c>
      <c r="AI387" s="37">
        <v>803166.1</v>
      </c>
      <c r="AJ387" s="37">
        <v>819229.43</v>
      </c>
      <c r="AK387" s="37">
        <v>835614.01</v>
      </c>
      <c r="AL387" s="37">
        <v>852326.29</v>
      </c>
      <c r="AM387" s="37">
        <v>869372.82</v>
      </c>
      <c r="AN387" s="37">
        <v>886760.28</v>
      </c>
      <c r="AO387" s="37">
        <v>904495.48</v>
      </c>
      <c r="AP387" s="37">
        <v>922585.39</v>
      </c>
      <c r="AQ387" s="37">
        <v>941037.1</v>
      </c>
      <c r="AR387" s="37">
        <v>8622004.6499999985</v>
      </c>
      <c r="AS387" s="37">
        <v>5016147.1100000003</v>
      </c>
      <c r="AT387" s="37">
        <v>10404</v>
      </c>
      <c r="AU387" s="37">
        <v>212241.6</v>
      </c>
      <c r="AV387" s="37">
        <v>0</v>
      </c>
      <c r="AW387" s="37">
        <v>0</v>
      </c>
      <c r="AX387" s="37">
        <v>0</v>
      </c>
      <c r="AY387" s="37">
        <v>0</v>
      </c>
      <c r="AZ387" s="37">
        <v>0</v>
      </c>
      <c r="BA387" s="37">
        <v>0</v>
      </c>
      <c r="BB387" s="37">
        <v>0</v>
      </c>
      <c r="BC387" s="37">
        <v>0</v>
      </c>
      <c r="BD387" s="37">
        <v>222645.6</v>
      </c>
      <c r="BE387" s="37">
        <v>251222</v>
      </c>
      <c r="BF387" s="37">
        <v>249891.73240324616</v>
      </c>
      <c r="BG387" s="37">
        <v>269351.74945641041</v>
      </c>
      <c r="BH387" s="37">
        <v>331583.92487063189</v>
      </c>
      <c r="BI387" s="37">
        <v>393816.2332697119</v>
      </c>
      <c r="BJ387" s="37">
        <v>42772.158361057067</v>
      </c>
      <c r="BK387" s="37">
        <v>207119.57404218885</v>
      </c>
      <c r="BL387" s="37">
        <v>269351.74945641041</v>
      </c>
      <c r="BM387" s="37">
        <v>331583.92487063189</v>
      </c>
      <c r="BN387" s="37">
        <v>393816.2332697119</v>
      </c>
      <c r="BO387" s="37">
        <v>0</v>
      </c>
      <c r="BP387" s="37">
        <v>2489287.2800000007</v>
      </c>
      <c r="BQ387" s="37">
        <v>0</v>
      </c>
      <c r="BR387" s="37">
        <v>197159.7920349215</v>
      </c>
      <c r="BS387" s="37">
        <v>212513.37287691041</v>
      </c>
      <c r="BT387" s="37">
        <v>261613.36768085722</v>
      </c>
      <c r="BU387" s="37">
        <v>310713.46740731114</v>
      </c>
      <c r="BV387" s="37">
        <v>33746.413961957849</v>
      </c>
      <c r="BW387" s="37">
        <v>163413.37807296347</v>
      </c>
      <c r="BX387" s="37">
        <v>212513.37287691041</v>
      </c>
      <c r="BY387" s="37">
        <v>261613.36768085722</v>
      </c>
      <c r="BZ387" s="37">
        <v>310713.46740731114</v>
      </c>
      <c r="CA387" s="37">
        <v>0</v>
      </c>
      <c r="CB387" s="37">
        <v>1964000.0000000002</v>
      </c>
      <c r="CC387" s="37">
        <v>0</v>
      </c>
      <c r="CD387" s="37">
        <v>0</v>
      </c>
      <c r="CE387" s="37">
        <v>0</v>
      </c>
      <c r="CF387" s="37">
        <v>0</v>
      </c>
      <c r="CG387" s="37">
        <v>0</v>
      </c>
      <c r="CH387" s="37">
        <v>0</v>
      </c>
      <c r="CI387" s="37">
        <v>0</v>
      </c>
      <c r="CJ387" s="37">
        <v>0</v>
      </c>
      <c r="CK387" s="37">
        <v>0</v>
      </c>
      <c r="CL387" s="37">
        <v>0</v>
      </c>
      <c r="CM387" s="37">
        <v>0</v>
      </c>
      <c r="CN387" s="37">
        <v>0</v>
      </c>
      <c r="CO387" s="37">
        <v>0</v>
      </c>
      <c r="CP387" s="37">
        <v>0</v>
      </c>
      <c r="CQ387" s="37">
        <v>0</v>
      </c>
      <c r="CR387" s="37">
        <v>0</v>
      </c>
      <c r="CS387" s="37">
        <v>0</v>
      </c>
      <c r="CT387" s="37">
        <v>0</v>
      </c>
      <c r="CU387" s="37">
        <v>0</v>
      </c>
      <c r="CV387" s="37">
        <v>0</v>
      </c>
      <c r="CW387" s="37">
        <v>0</v>
      </c>
      <c r="CX387" s="37">
        <v>0</v>
      </c>
      <c r="CY387" s="37">
        <v>0</v>
      </c>
      <c r="CZ387" s="37">
        <v>0</v>
      </c>
      <c r="DA387" s="37">
        <v>0</v>
      </c>
      <c r="DB387" s="37">
        <v>0</v>
      </c>
      <c r="DC387" s="37">
        <v>0</v>
      </c>
      <c r="DD387" s="37">
        <v>0</v>
      </c>
      <c r="DE387" s="37">
        <v>0</v>
      </c>
      <c r="DF387" s="37">
        <v>0</v>
      </c>
      <c r="DG387" s="37">
        <v>0</v>
      </c>
      <c r="DH387" s="37">
        <v>0</v>
      </c>
      <c r="DI387" s="37">
        <v>0</v>
      </c>
      <c r="DJ387" s="37">
        <v>0</v>
      </c>
      <c r="DK387" s="37">
        <v>0</v>
      </c>
      <c r="DL387" s="37">
        <v>0</v>
      </c>
      <c r="DM387" s="37">
        <v>0</v>
      </c>
      <c r="DN387" s="37">
        <v>0</v>
      </c>
      <c r="DO387" s="37">
        <v>0</v>
      </c>
      <c r="DP387" s="37">
        <v>0</v>
      </c>
      <c r="DQ387" s="37">
        <v>0</v>
      </c>
      <c r="DR387" s="37">
        <v>0</v>
      </c>
      <c r="DS387" s="37">
        <v>0</v>
      </c>
      <c r="DT387" s="37">
        <v>0</v>
      </c>
      <c r="DU387" s="37">
        <v>0</v>
      </c>
      <c r="DV387" s="37">
        <v>0</v>
      </c>
      <c r="DW387" s="37">
        <v>0</v>
      </c>
      <c r="DX387" s="37">
        <v>0</v>
      </c>
      <c r="DY387" s="37">
        <v>0</v>
      </c>
      <c r="DZ387" s="37">
        <v>0</v>
      </c>
      <c r="EA387" s="37">
        <v>0</v>
      </c>
      <c r="EB387" s="37">
        <v>0</v>
      </c>
      <c r="EC387" s="37">
        <v>0</v>
      </c>
      <c r="ED387" s="37">
        <v>0</v>
      </c>
      <c r="EE387" s="37">
        <v>0</v>
      </c>
      <c r="EF387" s="37">
        <v>0</v>
      </c>
      <c r="EG387" s="37">
        <v>0</v>
      </c>
      <c r="EH387" s="37">
        <v>0</v>
      </c>
      <c r="EI387" s="37">
        <v>0</v>
      </c>
      <c r="EJ387" s="37">
        <v>0</v>
      </c>
      <c r="EK387" s="161" t="s">
        <v>2180</v>
      </c>
      <c r="EL387" s="294" t="s">
        <v>1124</v>
      </c>
    </row>
    <row r="388" spans="1:142" ht="15" customHeight="1" x14ac:dyDescent="0.35">
      <c r="A388" s="34"/>
      <c r="B388" s="313">
        <v>9048</v>
      </c>
      <c r="C388" s="8" t="s">
        <v>1105</v>
      </c>
      <c r="D388" s="18">
        <v>1</v>
      </c>
      <c r="E388" s="155">
        <v>71946</v>
      </c>
      <c r="F388" s="36">
        <v>26789</v>
      </c>
      <c r="G388" s="37">
        <v>50467</v>
      </c>
      <c r="H388" s="37">
        <v>62081</v>
      </c>
      <c r="I388" s="37">
        <v>118200</v>
      </c>
      <c r="J388" s="37">
        <v>136500</v>
      </c>
      <c r="K388" s="37">
        <v>10791.9</v>
      </c>
      <c r="L388" s="37">
        <v>4018.35</v>
      </c>
      <c r="M388" s="37">
        <v>251404.9</v>
      </c>
      <c r="N388" s="37">
        <v>229388.35</v>
      </c>
      <c r="O388" s="37">
        <v>0</v>
      </c>
      <c r="P388" s="37">
        <v>0</v>
      </c>
      <c r="Q388" s="37">
        <v>105215</v>
      </c>
      <c r="R388" s="37">
        <v>37955</v>
      </c>
      <c r="S388" s="37">
        <v>2133</v>
      </c>
      <c r="T388" s="37">
        <v>0</v>
      </c>
      <c r="U388" s="37">
        <v>56996</v>
      </c>
      <c r="V388" s="37">
        <v>70257</v>
      </c>
      <c r="W388" s="37">
        <v>117932.96</v>
      </c>
      <c r="X388" s="37">
        <v>134860.96000000002</v>
      </c>
      <c r="Y388" s="37">
        <v>0</v>
      </c>
      <c r="Z388" s="37">
        <v>0</v>
      </c>
      <c r="AA388" s="37">
        <v>282276.96000000002</v>
      </c>
      <c r="AB388" s="37">
        <v>243072.96000000002</v>
      </c>
      <c r="AC388" s="37">
        <v>44556.670000000042</v>
      </c>
      <c r="AD388" s="37">
        <v>0</v>
      </c>
      <c r="AE388" s="37">
        <v>0</v>
      </c>
      <c r="AF388" s="168">
        <v>0.02</v>
      </c>
      <c r="AG388" s="37">
        <v>16778270.140000001</v>
      </c>
      <c r="AH388" s="37">
        <v>140253.54999999999</v>
      </c>
      <c r="AI388" s="37">
        <v>170967.35</v>
      </c>
      <c r="AJ388" s="37">
        <v>145919.79</v>
      </c>
      <c r="AK388" s="37">
        <v>148838.19</v>
      </c>
      <c r="AL388" s="37">
        <v>151814.95000000001</v>
      </c>
      <c r="AM388" s="37">
        <v>154851.25</v>
      </c>
      <c r="AN388" s="37">
        <v>157948.28</v>
      </c>
      <c r="AO388" s="37">
        <v>161107.24</v>
      </c>
      <c r="AP388" s="37">
        <v>164329.39000000001</v>
      </c>
      <c r="AQ388" s="37">
        <v>167615.97</v>
      </c>
      <c r="AR388" s="37">
        <v>1563645.9600000002</v>
      </c>
      <c r="AS388" s="37">
        <v>658869</v>
      </c>
      <c r="AT388" s="37">
        <v>0</v>
      </c>
      <c r="AU388" s="37">
        <v>0</v>
      </c>
      <c r="AV388" s="37">
        <v>0</v>
      </c>
      <c r="AW388" s="37">
        <v>0</v>
      </c>
      <c r="AX388" s="37">
        <v>0</v>
      </c>
      <c r="AY388" s="37">
        <v>0</v>
      </c>
      <c r="AZ388" s="37">
        <v>0</v>
      </c>
      <c r="BA388" s="37">
        <v>0</v>
      </c>
      <c r="BB388" s="37">
        <v>0</v>
      </c>
      <c r="BC388" s="37">
        <v>0</v>
      </c>
      <c r="BD388" s="37">
        <v>0</v>
      </c>
      <c r="BE388" s="37">
        <v>11970</v>
      </c>
      <c r="BF388" s="37">
        <v>581400</v>
      </c>
      <c r="BG388" s="37">
        <v>26825</v>
      </c>
      <c r="BH388" s="37">
        <v>0</v>
      </c>
      <c r="BI388" s="37">
        <v>0</v>
      </c>
      <c r="BJ388" s="37">
        <v>0</v>
      </c>
      <c r="BK388" s="37">
        <v>0</v>
      </c>
      <c r="BL388" s="37">
        <v>0</v>
      </c>
      <c r="BM388" s="37">
        <v>0</v>
      </c>
      <c r="BN388" s="37">
        <v>0</v>
      </c>
      <c r="BO388" s="37">
        <v>0</v>
      </c>
      <c r="BP388" s="37">
        <v>608225</v>
      </c>
      <c r="BQ388" s="37">
        <v>0</v>
      </c>
      <c r="BR388" s="37">
        <v>0</v>
      </c>
      <c r="BS388" s="37">
        <v>0</v>
      </c>
      <c r="BT388" s="37">
        <v>0</v>
      </c>
      <c r="BU388" s="37">
        <v>0</v>
      </c>
      <c r="BV388" s="37">
        <v>0</v>
      </c>
      <c r="BW388" s="37">
        <v>0</v>
      </c>
      <c r="BX388" s="37">
        <v>0</v>
      </c>
      <c r="BY388" s="37">
        <v>0</v>
      </c>
      <c r="BZ388" s="37">
        <v>0</v>
      </c>
      <c r="CA388" s="37">
        <v>0</v>
      </c>
      <c r="CB388" s="37">
        <v>0</v>
      </c>
      <c r="CC388" s="37">
        <v>0</v>
      </c>
      <c r="CD388" s="37">
        <v>0</v>
      </c>
      <c r="CE388" s="37">
        <v>0</v>
      </c>
      <c r="CF388" s="37">
        <v>0</v>
      </c>
      <c r="CG388" s="37">
        <v>0</v>
      </c>
      <c r="CH388" s="37">
        <v>0</v>
      </c>
      <c r="CI388" s="37">
        <v>0</v>
      </c>
      <c r="CJ388" s="37">
        <v>0</v>
      </c>
      <c r="CK388" s="37">
        <v>0</v>
      </c>
      <c r="CL388" s="37">
        <v>0</v>
      </c>
      <c r="CM388" s="37">
        <v>0</v>
      </c>
      <c r="CN388" s="37">
        <v>0</v>
      </c>
      <c r="CO388" s="37">
        <v>0</v>
      </c>
      <c r="CP388" s="37">
        <v>0</v>
      </c>
      <c r="CQ388" s="37">
        <v>0</v>
      </c>
      <c r="CR388" s="37">
        <v>0</v>
      </c>
      <c r="CS388" s="37">
        <v>0</v>
      </c>
      <c r="CT388" s="37">
        <v>0</v>
      </c>
      <c r="CU388" s="37">
        <v>0</v>
      </c>
      <c r="CV388" s="37">
        <v>0</v>
      </c>
      <c r="CW388" s="37">
        <v>0</v>
      </c>
      <c r="CX388" s="37">
        <v>0</v>
      </c>
      <c r="CY388" s="37">
        <v>0</v>
      </c>
      <c r="CZ388" s="37">
        <v>0</v>
      </c>
      <c r="DA388" s="37">
        <v>0</v>
      </c>
      <c r="DB388" s="37">
        <v>0</v>
      </c>
      <c r="DC388" s="37">
        <v>0</v>
      </c>
      <c r="DD388" s="37">
        <v>0</v>
      </c>
      <c r="DE388" s="37">
        <v>0</v>
      </c>
      <c r="DF388" s="37">
        <v>0</v>
      </c>
      <c r="DG388" s="37">
        <v>0</v>
      </c>
      <c r="DH388" s="37">
        <v>0</v>
      </c>
      <c r="DI388" s="37">
        <v>0</v>
      </c>
      <c r="DJ388" s="37">
        <v>0</v>
      </c>
      <c r="DK388" s="37">
        <v>0</v>
      </c>
      <c r="DL388" s="37">
        <v>0</v>
      </c>
      <c r="DM388" s="37">
        <v>0</v>
      </c>
      <c r="DN388" s="37">
        <v>0</v>
      </c>
      <c r="DO388" s="37">
        <v>0</v>
      </c>
      <c r="DP388" s="37">
        <v>0</v>
      </c>
      <c r="DQ388" s="37">
        <v>0</v>
      </c>
      <c r="DR388" s="37">
        <v>0</v>
      </c>
      <c r="DS388" s="37">
        <v>0</v>
      </c>
      <c r="DT388" s="37">
        <v>0</v>
      </c>
      <c r="DU388" s="37">
        <v>0</v>
      </c>
      <c r="DV388" s="37">
        <v>0</v>
      </c>
      <c r="DW388" s="37">
        <v>0</v>
      </c>
      <c r="DX388" s="37">
        <v>0</v>
      </c>
      <c r="DY388" s="37">
        <v>0</v>
      </c>
      <c r="DZ388" s="37">
        <v>0</v>
      </c>
      <c r="EA388" s="37">
        <v>0</v>
      </c>
      <c r="EB388" s="37">
        <v>0</v>
      </c>
      <c r="EC388" s="37">
        <v>0</v>
      </c>
      <c r="ED388" s="37">
        <v>0</v>
      </c>
      <c r="EE388" s="37">
        <v>0</v>
      </c>
      <c r="EF388" s="37">
        <v>0</v>
      </c>
      <c r="EG388" s="37">
        <v>0</v>
      </c>
      <c r="EH388" s="37">
        <v>0</v>
      </c>
      <c r="EI388" s="37">
        <v>0</v>
      </c>
      <c r="EJ388" s="37">
        <v>0</v>
      </c>
      <c r="EK388" s="161" t="s">
        <v>2185</v>
      </c>
      <c r="EL388" s="294" t="s">
        <v>1124</v>
      </c>
    </row>
    <row r="389" spans="1:142" ht="15" customHeight="1" x14ac:dyDescent="0.35">
      <c r="A389" s="34"/>
      <c r="B389" s="313">
        <v>30040</v>
      </c>
      <c r="C389" s="8" t="s">
        <v>224</v>
      </c>
      <c r="D389" s="18">
        <v>5</v>
      </c>
      <c r="E389" s="155"/>
      <c r="F389" s="36"/>
      <c r="G389" s="37"/>
      <c r="H389" s="37"/>
      <c r="I389" s="37"/>
      <c r="J389" s="37"/>
      <c r="K389" s="37"/>
      <c r="L389" s="37"/>
      <c r="M389" s="37" t="s">
        <v>1124</v>
      </c>
      <c r="N389" s="37" t="s">
        <v>1124</v>
      </c>
      <c r="O389" s="37"/>
      <c r="P389" s="37"/>
      <c r="Q389" s="37"/>
      <c r="R389" s="37"/>
      <c r="S389" s="37"/>
      <c r="T389" s="37"/>
      <c r="U389" s="37"/>
      <c r="V389" s="37"/>
      <c r="W389" s="37"/>
      <c r="X389" s="37"/>
      <c r="Y389" s="37"/>
      <c r="Z389" s="37"/>
      <c r="AA389" s="37" t="s">
        <v>1124</v>
      </c>
      <c r="AB389" s="37" t="s">
        <v>1124</v>
      </c>
      <c r="AC389" s="37"/>
      <c r="AD389" s="37"/>
      <c r="AE389" s="37"/>
      <c r="AF389" s="168"/>
      <c r="AG389" s="37"/>
      <c r="AH389" s="37"/>
      <c r="AI389" s="37"/>
      <c r="AJ389" s="37"/>
      <c r="AK389" s="37"/>
      <c r="AL389" s="37"/>
      <c r="AM389" s="37"/>
      <c r="AN389" s="37"/>
      <c r="AO389" s="37"/>
      <c r="AP389" s="37"/>
      <c r="AQ389" s="37"/>
      <c r="AR389" s="37" t="s">
        <v>1124</v>
      </c>
      <c r="AS389" s="37"/>
      <c r="AT389" s="37"/>
      <c r="AU389" s="37"/>
      <c r="AV389" s="37"/>
      <c r="AW389" s="37"/>
      <c r="AX389" s="37"/>
      <c r="AY389" s="37"/>
      <c r="AZ389" s="37"/>
      <c r="BA389" s="37"/>
      <c r="BB389" s="37"/>
      <c r="BC389" s="37"/>
      <c r="BD389" s="37" t="s">
        <v>1124</v>
      </c>
      <c r="BE389" s="37"/>
      <c r="BF389" s="37"/>
      <c r="BG389" s="37"/>
      <c r="BH389" s="37"/>
      <c r="BI389" s="37"/>
      <c r="BJ389" s="37"/>
      <c r="BK389" s="37"/>
      <c r="BL389" s="37"/>
      <c r="BM389" s="37"/>
      <c r="BN389" s="37"/>
      <c r="BO389" s="37"/>
      <c r="BP389" s="37">
        <v>0</v>
      </c>
      <c r="BQ389" s="37"/>
      <c r="BR389" s="37"/>
      <c r="BS389" s="37"/>
      <c r="BT389" s="37"/>
      <c r="BU389" s="37"/>
      <c r="BV389" s="37"/>
      <c r="BW389" s="37"/>
      <c r="BX389" s="37"/>
      <c r="BY389" s="37"/>
      <c r="BZ389" s="37"/>
      <c r="CA389" s="37"/>
      <c r="CB389" s="37" t="s">
        <v>1124</v>
      </c>
      <c r="CC389" s="37"/>
      <c r="CD389" s="37"/>
      <c r="CE389" s="37"/>
      <c r="CF389" s="37"/>
      <c r="CG389" s="37"/>
      <c r="CH389" s="37"/>
      <c r="CI389" s="37"/>
      <c r="CJ389" s="37"/>
      <c r="CK389" s="37"/>
      <c r="CL389" s="37"/>
      <c r="CM389" s="37"/>
      <c r="CN389" s="37" t="s">
        <v>1124</v>
      </c>
      <c r="CO389" s="37"/>
      <c r="CP389" s="37"/>
      <c r="CQ389" s="37"/>
      <c r="CR389" s="37"/>
      <c r="CS389" s="37"/>
      <c r="CT389" s="37"/>
      <c r="CU389" s="37"/>
      <c r="CV389" s="37"/>
      <c r="CW389" s="37"/>
      <c r="CX389" s="37"/>
      <c r="CY389" s="37"/>
      <c r="CZ389" s="37" t="s">
        <v>1124</v>
      </c>
      <c r="DA389" s="37"/>
      <c r="DB389" s="37"/>
      <c r="DC389" s="37"/>
      <c r="DD389" s="37"/>
      <c r="DE389" s="37"/>
      <c r="DF389" s="37"/>
      <c r="DG389" s="37"/>
      <c r="DH389" s="37"/>
      <c r="DI389" s="37"/>
      <c r="DJ389" s="37"/>
      <c r="DK389" s="37"/>
      <c r="DL389" s="37" t="s">
        <v>1124</v>
      </c>
      <c r="DM389" s="37"/>
      <c r="DN389" s="37"/>
      <c r="DO389" s="37"/>
      <c r="DP389" s="37"/>
      <c r="DQ389" s="37"/>
      <c r="DR389" s="37"/>
      <c r="DS389" s="37"/>
      <c r="DT389" s="37"/>
      <c r="DU389" s="37"/>
      <c r="DV389" s="37"/>
      <c r="DW389" s="37"/>
      <c r="DX389" s="37" t="s">
        <v>1124</v>
      </c>
      <c r="DY389" s="37"/>
      <c r="DZ389" s="37"/>
      <c r="EA389" s="37"/>
      <c r="EB389" s="37"/>
      <c r="EC389" s="37"/>
      <c r="ED389" s="37"/>
      <c r="EE389" s="37"/>
      <c r="EF389" s="37"/>
      <c r="EG389" s="37"/>
      <c r="EH389" s="37"/>
      <c r="EI389" s="37"/>
      <c r="EJ389" s="37" t="s">
        <v>1124</v>
      </c>
      <c r="EK389" s="161"/>
      <c r="EL389" s="294"/>
    </row>
    <row r="390" spans="1:142" ht="15" customHeight="1" x14ac:dyDescent="0.35">
      <c r="A390" s="34"/>
      <c r="B390" s="313">
        <v>76030</v>
      </c>
      <c r="C390" s="8" t="s">
        <v>750</v>
      </c>
      <c r="D390" s="18">
        <v>15</v>
      </c>
      <c r="E390" s="155"/>
      <c r="F390" s="36"/>
      <c r="G390" s="37"/>
      <c r="H390" s="37"/>
      <c r="I390" s="37"/>
      <c r="J390" s="37"/>
      <c r="K390" s="37"/>
      <c r="L390" s="37"/>
      <c r="M390" s="37" t="s">
        <v>1124</v>
      </c>
      <c r="N390" s="37" t="s">
        <v>1124</v>
      </c>
      <c r="O390" s="37"/>
      <c r="P390" s="37"/>
      <c r="Q390" s="37"/>
      <c r="R390" s="37"/>
      <c r="S390" s="37"/>
      <c r="T390" s="37"/>
      <c r="U390" s="37"/>
      <c r="V390" s="37"/>
      <c r="W390" s="37"/>
      <c r="X390" s="37"/>
      <c r="Y390" s="37"/>
      <c r="Z390" s="37"/>
      <c r="AA390" s="37" t="s">
        <v>1124</v>
      </c>
      <c r="AB390" s="37" t="s">
        <v>1124</v>
      </c>
      <c r="AC390" s="37"/>
      <c r="AD390" s="37"/>
      <c r="AE390" s="37"/>
      <c r="AF390" s="168"/>
      <c r="AG390" s="37"/>
      <c r="AH390" s="37"/>
      <c r="AI390" s="37"/>
      <c r="AJ390" s="37"/>
      <c r="AK390" s="37"/>
      <c r="AL390" s="37"/>
      <c r="AM390" s="37"/>
      <c r="AN390" s="37"/>
      <c r="AO390" s="37"/>
      <c r="AP390" s="37"/>
      <c r="AQ390" s="37"/>
      <c r="AR390" s="37" t="s">
        <v>1124</v>
      </c>
      <c r="AS390" s="37"/>
      <c r="AT390" s="37"/>
      <c r="AU390" s="37"/>
      <c r="AV390" s="37"/>
      <c r="AW390" s="37"/>
      <c r="AX390" s="37"/>
      <c r="AY390" s="37"/>
      <c r="AZ390" s="37"/>
      <c r="BA390" s="37"/>
      <c r="BB390" s="37"/>
      <c r="BC390" s="37"/>
      <c r="BD390" s="37" t="s">
        <v>1124</v>
      </c>
      <c r="BE390" s="37"/>
      <c r="BF390" s="37"/>
      <c r="BG390" s="37"/>
      <c r="BH390" s="37"/>
      <c r="BI390" s="37"/>
      <c r="BJ390" s="37"/>
      <c r="BK390" s="37"/>
      <c r="BL390" s="37"/>
      <c r="BM390" s="37"/>
      <c r="BN390" s="37"/>
      <c r="BO390" s="37"/>
      <c r="BP390" s="37">
        <v>0</v>
      </c>
      <c r="BQ390" s="37"/>
      <c r="BR390" s="37"/>
      <c r="BS390" s="37"/>
      <c r="BT390" s="37"/>
      <c r="BU390" s="37"/>
      <c r="BV390" s="37"/>
      <c r="BW390" s="37"/>
      <c r="BX390" s="37"/>
      <c r="BY390" s="37"/>
      <c r="BZ390" s="37"/>
      <c r="CA390" s="37"/>
      <c r="CB390" s="37" t="s">
        <v>1124</v>
      </c>
      <c r="CC390" s="37"/>
      <c r="CD390" s="37"/>
      <c r="CE390" s="37"/>
      <c r="CF390" s="37"/>
      <c r="CG390" s="37"/>
      <c r="CH390" s="37"/>
      <c r="CI390" s="37"/>
      <c r="CJ390" s="37"/>
      <c r="CK390" s="37"/>
      <c r="CL390" s="37"/>
      <c r="CM390" s="37"/>
      <c r="CN390" s="37" t="s">
        <v>1124</v>
      </c>
      <c r="CO390" s="37"/>
      <c r="CP390" s="37"/>
      <c r="CQ390" s="37"/>
      <c r="CR390" s="37"/>
      <c r="CS390" s="37"/>
      <c r="CT390" s="37"/>
      <c r="CU390" s="37"/>
      <c r="CV390" s="37"/>
      <c r="CW390" s="37"/>
      <c r="CX390" s="37"/>
      <c r="CY390" s="37"/>
      <c r="CZ390" s="37" t="s">
        <v>1124</v>
      </c>
      <c r="DA390" s="37"/>
      <c r="DB390" s="37"/>
      <c r="DC390" s="37"/>
      <c r="DD390" s="37"/>
      <c r="DE390" s="37"/>
      <c r="DF390" s="37"/>
      <c r="DG390" s="37"/>
      <c r="DH390" s="37"/>
      <c r="DI390" s="37"/>
      <c r="DJ390" s="37"/>
      <c r="DK390" s="37"/>
      <c r="DL390" s="37" t="s">
        <v>1124</v>
      </c>
      <c r="DM390" s="37"/>
      <c r="DN390" s="37"/>
      <c r="DO390" s="37"/>
      <c r="DP390" s="37"/>
      <c r="DQ390" s="37"/>
      <c r="DR390" s="37"/>
      <c r="DS390" s="37"/>
      <c r="DT390" s="37"/>
      <c r="DU390" s="37"/>
      <c r="DV390" s="37"/>
      <c r="DW390" s="37"/>
      <c r="DX390" s="37" t="s">
        <v>1124</v>
      </c>
      <c r="DY390" s="37"/>
      <c r="DZ390" s="37"/>
      <c r="EA390" s="37"/>
      <c r="EB390" s="37"/>
      <c r="EC390" s="37"/>
      <c r="ED390" s="37"/>
      <c r="EE390" s="37"/>
      <c r="EF390" s="37"/>
      <c r="EG390" s="37"/>
      <c r="EH390" s="37"/>
      <c r="EI390" s="37"/>
      <c r="EJ390" s="37" t="s">
        <v>1124</v>
      </c>
      <c r="EK390" s="161"/>
      <c r="EL390" s="294"/>
    </row>
    <row r="391" spans="1:142" ht="15" customHeight="1" x14ac:dyDescent="0.35">
      <c r="A391" s="34"/>
      <c r="B391" s="313">
        <v>74005</v>
      </c>
      <c r="C391" s="8" t="s">
        <v>741</v>
      </c>
      <c r="D391" s="18">
        <v>15</v>
      </c>
      <c r="E391" s="155">
        <v>3021226</v>
      </c>
      <c r="F391" s="36">
        <v>2678822</v>
      </c>
      <c r="G391" s="37">
        <v>477245</v>
      </c>
      <c r="H391" s="37">
        <v>783596</v>
      </c>
      <c r="I391" s="37">
        <v>1695937</v>
      </c>
      <c r="J391" s="37">
        <v>2786650</v>
      </c>
      <c r="K391" s="37">
        <v>453183.89999999997</v>
      </c>
      <c r="L391" s="37">
        <v>401823.3</v>
      </c>
      <c r="M391" s="37">
        <v>5647591.9000000004</v>
      </c>
      <c r="N391" s="37">
        <v>6650891.2999999998</v>
      </c>
      <c r="O391" s="37">
        <v>526586</v>
      </c>
      <c r="P391" s="37">
        <v>700613</v>
      </c>
      <c r="Q391" s="37">
        <v>4905767</v>
      </c>
      <c r="R391" s="37">
        <v>0</v>
      </c>
      <c r="S391" s="37">
        <v>36645</v>
      </c>
      <c r="T391" s="37">
        <v>870833</v>
      </c>
      <c r="U391" s="37">
        <v>134019</v>
      </c>
      <c r="V391" s="37">
        <v>72033</v>
      </c>
      <c r="W391" s="37">
        <v>44574.900000000373</v>
      </c>
      <c r="X391" s="37">
        <v>5007412.3</v>
      </c>
      <c r="Y391" s="37">
        <v>0</v>
      </c>
      <c r="Z391" s="37">
        <v>0</v>
      </c>
      <c r="AA391" s="37">
        <v>5647591.9000000004</v>
      </c>
      <c r="AB391" s="37">
        <v>6650891.2999999998</v>
      </c>
      <c r="AC391" s="37">
        <v>0</v>
      </c>
      <c r="AD391" s="37">
        <v>0</v>
      </c>
      <c r="AE391" s="37">
        <v>312583</v>
      </c>
      <c r="AF391" s="168">
        <v>0.02</v>
      </c>
      <c r="AG391" s="37">
        <v>122718875.27</v>
      </c>
      <c r="AH391" s="37">
        <v>4220862.8899999997</v>
      </c>
      <c r="AI391" s="37">
        <v>944609.24</v>
      </c>
      <c r="AJ391" s="37">
        <v>882955.74</v>
      </c>
      <c r="AK391" s="37">
        <v>900614.85</v>
      </c>
      <c r="AL391" s="37">
        <v>918627.15</v>
      </c>
      <c r="AM391" s="37">
        <v>1138019.69</v>
      </c>
      <c r="AN391" s="37">
        <v>955739.69</v>
      </c>
      <c r="AO391" s="37">
        <v>974854.48</v>
      </c>
      <c r="AP391" s="37">
        <v>994351.57</v>
      </c>
      <c r="AQ391" s="37">
        <v>1014238.6</v>
      </c>
      <c r="AR391" s="37">
        <v>12944873.899999999</v>
      </c>
      <c r="AS391" s="37">
        <v>7580557.2800000003</v>
      </c>
      <c r="AT391" s="37">
        <v>1678665</v>
      </c>
      <c r="AU391" s="37">
        <v>2371799.88</v>
      </c>
      <c r="AV391" s="37">
        <v>881757.73</v>
      </c>
      <c r="AW391" s="37">
        <v>65108.29</v>
      </c>
      <c r="AX391" s="37">
        <v>112616.24</v>
      </c>
      <c r="AY391" s="37">
        <v>114868.57</v>
      </c>
      <c r="AZ391" s="37">
        <v>0</v>
      </c>
      <c r="BA391" s="37">
        <v>0</v>
      </c>
      <c r="BB391" s="37">
        <v>0</v>
      </c>
      <c r="BC391" s="37">
        <v>0</v>
      </c>
      <c r="BD391" s="37">
        <v>5224815.71</v>
      </c>
      <c r="BE391" s="37">
        <v>160000</v>
      </c>
      <c r="BF391" s="37">
        <v>3500000</v>
      </c>
      <c r="BG391" s="37">
        <v>4380900</v>
      </c>
      <c r="BH391" s="37">
        <v>5746700</v>
      </c>
      <c r="BI391" s="37">
        <v>902000</v>
      </c>
      <c r="BJ391" s="37">
        <v>0</v>
      </c>
      <c r="BK391" s="37">
        <v>0</v>
      </c>
      <c r="BL391" s="37">
        <v>0</v>
      </c>
      <c r="BM391" s="37">
        <v>0</v>
      </c>
      <c r="BN391" s="37">
        <v>0</v>
      </c>
      <c r="BO391" s="37">
        <v>0</v>
      </c>
      <c r="BP391" s="37">
        <v>14529600</v>
      </c>
      <c r="BQ391" s="37">
        <v>0</v>
      </c>
      <c r="BR391" s="37">
        <v>0</v>
      </c>
      <c r="BS391" s="37">
        <v>0</v>
      </c>
      <c r="BT391" s="37">
        <v>0</v>
      </c>
      <c r="BU391" s="37">
        <v>0</v>
      </c>
      <c r="BV391" s="37">
        <v>0</v>
      </c>
      <c r="BW391" s="37">
        <v>0</v>
      </c>
      <c r="BX391" s="37">
        <v>0</v>
      </c>
      <c r="BY391" s="37">
        <v>0</v>
      </c>
      <c r="BZ391" s="37">
        <v>0</v>
      </c>
      <c r="CA391" s="37">
        <v>0</v>
      </c>
      <c r="CB391" s="37">
        <v>0</v>
      </c>
      <c r="CC391" s="37">
        <v>0</v>
      </c>
      <c r="CD391" s="37">
        <v>0</v>
      </c>
      <c r="CE391" s="37">
        <v>0</v>
      </c>
      <c r="CF391" s="37">
        <v>0</v>
      </c>
      <c r="CG391" s="37">
        <v>0</v>
      </c>
      <c r="CH391" s="37">
        <v>0</v>
      </c>
      <c r="CI391" s="37">
        <v>0</v>
      </c>
      <c r="CJ391" s="37">
        <v>0</v>
      </c>
      <c r="CK391" s="37">
        <v>0</v>
      </c>
      <c r="CL391" s="37">
        <v>0</v>
      </c>
      <c r="CM391" s="37">
        <v>0</v>
      </c>
      <c r="CN391" s="37">
        <v>0</v>
      </c>
      <c r="CO391" s="37">
        <v>0</v>
      </c>
      <c r="CP391" s="37">
        <v>585750</v>
      </c>
      <c r="CQ391" s="37">
        <v>3702700</v>
      </c>
      <c r="CR391" s="37">
        <v>400300</v>
      </c>
      <c r="CS391" s="37">
        <v>60000</v>
      </c>
      <c r="CT391" s="37">
        <v>0</v>
      </c>
      <c r="CU391" s="37">
        <v>0</v>
      </c>
      <c r="CV391" s="37">
        <v>0</v>
      </c>
      <c r="CW391" s="37">
        <v>0</v>
      </c>
      <c r="CX391" s="37">
        <v>0</v>
      </c>
      <c r="CY391" s="37">
        <v>0</v>
      </c>
      <c r="CZ391" s="37">
        <v>4748750</v>
      </c>
      <c r="DA391" s="37">
        <v>0</v>
      </c>
      <c r="DB391" s="37">
        <v>0</v>
      </c>
      <c r="DC391" s="37">
        <v>0</v>
      </c>
      <c r="DD391" s="37">
        <v>0</v>
      </c>
      <c r="DE391" s="37">
        <v>0</v>
      </c>
      <c r="DF391" s="37">
        <v>0</v>
      </c>
      <c r="DG391" s="37">
        <v>0</v>
      </c>
      <c r="DH391" s="37">
        <v>0</v>
      </c>
      <c r="DI391" s="37">
        <v>0</v>
      </c>
      <c r="DJ391" s="37">
        <v>0</v>
      </c>
      <c r="DK391" s="37">
        <v>0</v>
      </c>
      <c r="DL391" s="37">
        <v>0</v>
      </c>
      <c r="DM391" s="37">
        <v>0</v>
      </c>
      <c r="DN391" s="37">
        <v>0</v>
      </c>
      <c r="DO391" s="37">
        <v>0</v>
      </c>
      <c r="DP391" s="37">
        <v>0</v>
      </c>
      <c r="DQ391" s="37">
        <v>0</v>
      </c>
      <c r="DR391" s="37">
        <v>0</v>
      </c>
      <c r="DS391" s="37">
        <v>0</v>
      </c>
      <c r="DT391" s="37">
        <v>0</v>
      </c>
      <c r="DU391" s="37">
        <v>0</v>
      </c>
      <c r="DV391" s="37">
        <v>0</v>
      </c>
      <c r="DW391" s="37">
        <v>0</v>
      </c>
      <c r="DX391" s="37">
        <v>0</v>
      </c>
      <c r="DY391" s="37">
        <v>0</v>
      </c>
      <c r="DZ391" s="37">
        <v>0</v>
      </c>
      <c r="EA391" s="37">
        <v>0</v>
      </c>
      <c r="EB391" s="37">
        <v>0</v>
      </c>
      <c r="EC391" s="37">
        <v>0</v>
      </c>
      <c r="ED391" s="37">
        <v>0</v>
      </c>
      <c r="EE391" s="37">
        <v>0</v>
      </c>
      <c r="EF391" s="37">
        <v>0</v>
      </c>
      <c r="EG391" s="37">
        <v>0</v>
      </c>
      <c r="EH391" s="37">
        <v>0</v>
      </c>
      <c r="EI391" s="37">
        <v>0</v>
      </c>
      <c r="EJ391" s="37">
        <v>0</v>
      </c>
      <c r="EK391" s="161" t="s">
        <v>2205</v>
      </c>
      <c r="EL391" s="294" t="s">
        <v>1124</v>
      </c>
    </row>
    <row r="392" spans="1:142" ht="15" customHeight="1" x14ac:dyDescent="0.35">
      <c r="A392" s="34"/>
      <c r="B392" s="313">
        <v>85075</v>
      </c>
      <c r="C392" s="8" t="s">
        <v>883</v>
      </c>
      <c r="D392" s="18">
        <v>8</v>
      </c>
      <c r="E392" s="155"/>
      <c r="F392" s="36"/>
      <c r="G392" s="37"/>
      <c r="H392" s="37"/>
      <c r="I392" s="37"/>
      <c r="J392" s="37"/>
      <c r="K392" s="37"/>
      <c r="L392" s="37"/>
      <c r="M392" s="37" t="s">
        <v>1124</v>
      </c>
      <c r="N392" s="37" t="s">
        <v>1124</v>
      </c>
      <c r="O392" s="37"/>
      <c r="P392" s="37"/>
      <c r="Q392" s="37"/>
      <c r="R392" s="37"/>
      <c r="S392" s="37"/>
      <c r="T392" s="37"/>
      <c r="U392" s="37"/>
      <c r="V392" s="37"/>
      <c r="W392" s="37"/>
      <c r="X392" s="37"/>
      <c r="Y392" s="37"/>
      <c r="Z392" s="37"/>
      <c r="AA392" s="37" t="s">
        <v>1124</v>
      </c>
      <c r="AB392" s="37" t="s">
        <v>1124</v>
      </c>
      <c r="AC392" s="37"/>
      <c r="AD392" s="37"/>
      <c r="AE392" s="37"/>
      <c r="AF392" s="168"/>
      <c r="AG392" s="37"/>
      <c r="AH392" s="37"/>
      <c r="AI392" s="37"/>
      <c r="AJ392" s="37"/>
      <c r="AK392" s="37"/>
      <c r="AL392" s="37"/>
      <c r="AM392" s="37"/>
      <c r="AN392" s="37"/>
      <c r="AO392" s="37"/>
      <c r="AP392" s="37"/>
      <c r="AQ392" s="37"/>
      <c r="AR392" s="37" t="s">
        <v>1124</v>
      </c>
      <c r="AS392" s="37"/>
      <c r="AT392" s="37"/>
      <c r="AU392" s="37"/>
      <c r="AV392" s="37"/>
      <c r="AW392" s="37"/>
      <c r="AX392" s="37"/>
      <c r="AY392" s="37"/>
      <c r="AZ392" s="37"/>
      <c r="BA392" s="37"/>
      <c r="BB392" s="37"/>
      <c r="BC392" s="37"/>
      <c r="BD392" s="37" t="s">
        <v>1124</v>
      </c>
      <c r="BE392" s="37"/>
      <c r="BF392" s="37"/>
      <c r="BG392" s="37"/>
      <c r="BH392" s="37"/>
      <c r="BI392" s="37"/>
      <c r="BJ392" s="37"/>
      <c r="BK392" s="37"/>
      <c r="BL392" s="37"/>
      <c r="BM392" s="37"/>
      <c r="BN392" s="37"/>
      <c r="BO392" s="37"/>
      <c r="BP392" s="37">
        <v>0</v>
      </c>
      <c r="BQ392" s="37"/>
      <c r="BR392" s="37"/>
      <c r="BS392" s="37"/>
      <c r="BT392" s="37"/>
      <c r="BU392" s="37"/>
      <c r="BV392" s="37"/>
      <c r="BW392" s="37"/>
      <c r="BX392" s="37"/>
      <c r="BY392" s="37"/>
      <c r="BZ392" s="37"/>
      <c r="CA392" s="37"/>
      <c r="CB392" s="37" t="s">
        <v>1124</v>
      </c>
      <c r="CC392" s="37"/>
      <c r="CD392" s="37"/>
      <c r="CE392" s="37"/>
      <c r="CF392" s="37"/>
      <c r="CG392" s="37"/>
      <c r="CH392" s="37"/>
      <c r="CI392" s="37"/>
      <c r="CJ392" s="37"/>
      <c r="CK392" s="37"/>
      <c r="CL392" s="37"/>
      <c r="CM392" s="37"/>
      <c r="CN392" s="37" t="s">
        <v>1124</v>
      </c>
      <c r="CO392" s="37"/>
      <c r="CP392" s="37"/>
      <c r="CQ392" s="37"/>
      <c r="CR392" s="37"/>
      <c r="CS392" s="37"/>
      <c r="CT392" s="37"/>
      <c r="CU392" s="37"/>
      <c r="CV392" s="37"/>
      <c r="CW392" s="37"/>
      <c r="CX392" s="37"/>
      <c r="CY392" s="37"/>
      <c r="CZ392" s="37" t="s">
        <v>1124</v>
      </c>
      <c r="DA392" s="37"/>
      <c r="DB392" s="37"/>
      <c r="DC392" s="37"/>
      <c r="DD392" s="37"/>
      <c r="DE392" s="37"/>
      <c r="DF392" s="37"/>
      <c r="DG392" s="37"/>
      <c r="DH392" s="37"/>
      <c r="DI392" s="37"/>
      <c r="DJ392" s="37"/>
      <c r="DK392" s="37"/>
      <c r="DL392" s="37" t="s">
        <v>1124</v>
      </c>
      <c r="DM392" s="37"/>
      <c r="DN392" s="37"/>
      <c r="DO392" s="37"/>
      <c r="DP392" s="37"/>
      <c r="DQ392" s="37"/>
      <c r="DR392" s="37"/>
      <c r="DS392" s="37"/>
      <c r="DT392" s="37"/>
      <c r="DU392" s="37"/>
      <c r="DV392" s="37"/>
      <c r="DW392" s="37"/>
      <c r="DX392" s="37" t="s">
        <v>1124</v>
      </c>
      <c r="DY392" s="37"/>
      <c r="DZ392" s="37"/>
      <c r="EA392" s="37"/>
      <c r="EB392" s="37"/>
      <c r="EC392" s="37"/>
      <c r="ED392" s="37"/>
      <c r="EE392" s="37"/>
      <c r="EF392" s="37"/>
      <c r="EG392" s="37"/>
      <c r="EH392" s="37"/>
      <c r="EI392" s="37"/>
      <c r="EJ392" s="37" t="s">
        <v>1124</v>
      </c>
      <c r="EK392" s="161"/>
      <c r="EL392" s="294"/>
    </row>
    <row r="393" spans="1:142" ht="15" customHeight="1" x14ac:dyDescent="0.35">
      <c r="A393" s="34"/>
      <c r="B393" s="313">
        <v>78055</v>
      </c>
      <c r="C393" s="8" t="s">
        <v>774</v>
      </c>
      <c r="D393" s="18">
        <v>15</v>
      </c>
      <c r="E393" s="155"/>
      <c r="F393" s="36"/>
      <c r="G393" s="37"/>
      <c r="H393" s="37"/>
      <c r="I393" s="37"/>
      <c r="J393" s="37"/>
      <c r="K393" s="37"/>
      <c r="L393" s="37"/>
      <c r="M393" s="37" t="s">
        <v>1124</v>
      </c>
      <c r="N393" s="37" t="s">
        <v>1124</v>
      </c>
      <c r="O393" s="37"/>
      <c r="P393" s="37"/>
      <c r="Q393" s="37"/>
      <c r="R393" s="37"/>
      <c r="S393" s="37"/>
      <c r="T393" s="37"/>
      <c r="U393" s="37"/>
      <c r="V393" s="37"/>
      <c r="W393" s="37"/>
      <c r="X393" s="37"/>
      <c r="Y393" s="37"/>
      <c r="Z393" s="37"/>
      <c r="AA393" s="37" t="s">
        <v>1124</v>
      </c>
      <c r="AB393" s="37" t="s">
        <v>1124</v>
      </c>
      <c r="AC393" s="37"/>
      <c r="AD393" s="37"/>
      <c r="AE393" s="37"/>
      <c r="AF393" s="168"/>
      <c r="AG393" s="37"/>
      <c r="AH393" s="37"/>
      <c r="AI393" s="37"/>
      <c r="AJ393" s="37"/>
      <c r="AK393" s="37"/>
      <c r="AL393" s="37"/>
      <c r="AM393" s="37"/>
      <c r="AN393" s="37"/>
      <c r="AO393" s="37"/>
      <c r="AP393" s="37"/>
      <c r="AQ393" s="37"/>
      <c r="AR393" s="37" t="s">
        <v>1124</v>
      </c>
      <c r="AS393" s="37"/>
      <c r="AT393" s="37"/>
      <c r="AU393" s="37"/>
      <c r="AV393" s="37"/>
      <c r="AW393" s="37"/>
      <c r="AX393" s="37"/>
      <c r="AY393" s="37"/>
      <c r="AZ393" s="37"/>
      <c r="BA393" s="37"/>
      <c r="BB393" s="37"/>
      <c r="BC393" s="37"/>
      <c r="BD393" s="37" t="s">
        <v>1124</v>
      </c>
      <c r="BE393" s="37"/>
      <c r="BF393" s="37"/>
      <c r="BG393" s="37"/>
      <c r="BH393" s="37"/>
      <c r="BI393" s="37"/>
      <c r="BJ393" s="37"/>
      <c r="BK393" s="37"/>
      <c r="BL393" s="37"/>
      <c r="BM393" s="37"/>
      <c r="BN393" s="37"/>
      <c r="BO393" s="37"/>
      <c r="BP393" s="37">
        <v>0</v>
      </c>
      <c r="BQ393" s="37"/>
      <c r="BR393" s="37"/>
      <c r="BS393" s="37"/>
      <c r="BT393" s="37"/>
      <c r="BU393" s="37"/>
      <c r="BV393" s="37"/>
      <c r="BW393" s="37"/>
      <c r="BX393" s="37"/>
      <c r="BY393" s="37"/>
      <c r="BZ393" s="37"/>
      <c r="CA393" s="37"/>
      <c r="CB393" s="37" t="s">
        <v>1124</v>
      </c>
      <c r="CC393" s="37"/>
      <c r="CD393" s="37"/>
      <c r="CE393" s="37"/>
      <c r="CF393" s="37"/>
      <c r="CG393" s="37"/>
      <c r="CH393" s="37"/>
      <c r="CI393" s="37"/>
      <c r="CJ393" s="37"/>
      <c r="CK393" s="37"/>
      <c r="CL393" s="37"/>
      <c r="CM393" s="37"/>
      <c r="CN393" s="37" t="s">
        <v>1124</v>
      </c>
      <c r="CO393" s="37"/>
      <c r="CP393" s="37"/>
      <c r="CQ393" s="37"/>
      <c r="CR393" s="37"/>
      <c r="CS393" s="37"/>
      <c r="CT393" s="37"/>
      <c r="CU393" s="37"/>
      <c r="CV393" s="37"/>
      <c r="CW393" s="37"/>
      <c r="CX393" s="37"/>
      <c r="CY393" s="37"/>
      <c r="CZ393" s="37" t="s">
        <v>1124</v>
      </c>
      <c r="DA393" s="37"/>
      <c r="DB393" s="37"/>
      <c r="DC393" s="37"/>
      <c r="DD393" s="37"/>
      <c r="DE393" s="37"/>
      <c r="DF393" s="37"/>
      <c r="DG393" s="37"/>
      <c r="DH393" s="37"/>
      <c r="DI393" s="37"/>
      <c r="DJ393" s="37"/>
      <c r="DK393" s="37"/>
      <c r="DL393" s="37" t="s">
        <v>1124</v>
      </c>
      <c r="DM393" s="37"/>
      <c r="DN393" s="37"/>
      <c r="DO393" s="37"/>
      <c r="DP393" s="37"/>
      <c r="DQ393" s="37"/>
      <c r="DR393" s="37"/>
      <c r="DS393" s="37"/>
      <c r="DT393" s="37"/>
      <c r="DU393" s="37"/>
      <c r="DV393" s="37"/>
      <c r="DW393" s="37"/>
      <c r="DX393" s="37" t="s">
        <v>1124</v>
      </c>
      <c r="DY393" s="37"/>
      <c r="DZ393" s="37"/>
      <c r="EA393" s="37"/>
      <c r="EB393" s="37"/>
      <c r="EC393" s="37"/>
      <c r="ED393" s="37"/>
      <c r="EE393" s="37"/>
      <c r="EF393" s="37"/>
      <c r="EG393" s="37"/>
      <c r="EH393" s="37"/>
      <c r="EI393" s="37"/>
      <c r="EJ393" s="37" t="s">
        <v>1124</v>
      </c>
      <c r="EK393" s="161"/>
      <c r="EL393" s="294"/>
    </row>
    <row r="394" spans="1:142" ht="15" customHeight="1" x14ac:dyDescent="0.35">
      <c r="A394" s="34"/>
      <c r="B394" s="313">
        <v>14005</v>
      </c>
      <c r="C394" s="8" t="s">
        <v>60</v>
      </c>
      <c r="D394" s="18">
        <v>1</v>
      </c>
      <c r="E394" s="155">
        <v>125291</v>
      </c>
      <c r="F394" s="36">
        <v>36378</v>
      </c>
      <c r="G394" s="37">
        <v>14891</v>
      </c>
      <c r="H394" s="37">
        <v>11208</v>
      </c>
      <c r="I394" s="37">
        <v>10327</v>
      </c>
      <c r="J394" s="37">
        <v>0</v>
      </c>
      <c r="K394" s="37">
        <v>18794</v>
      </c>
      <c r="L394" s="37">
        <v>5457</v>
      </c>
      <c r="M394" s="37">
        <v>169303</v>
      </c>
      <c r="N394" s="37">
        <v>53043</v>
      </c>
      <c r="O394" s="37">
        <v>0</v>
      </c>
      <c r="P394" s="37">
        <v>0</v>
      </c>
      <c r="Q394" s="37">
        <v>92258</v>
      </c>
      <c r="R394" s="37">
        <v>45846</v>
      </c>
      <c r="S394" s="37">
        <v>0</v>
      </c>
      <c r="T394" s="37">
        <v>0</v>
      </c>
      <c r="U394" s="37">
        <v>22624</v>
      </c>
      <c r="V394" s="37">
        <v>0</v>
      </c>
      <c r="W394" s="37">
        <v>30809</v>
      </c>
      <c r="X394" s="37">
        <v>30809</v>
      </c>
      <c r="Y394" s="37">
        <v>0</v>
      </c>
      <c r="Z394" s="37">
        <v>0</v>
      </c>
      <c r="AA394" s="37">
        <v>145691</v>
      </c>
      <c r="AB394" s="37">
        <v>76655</v>
      </c>
      <c r="AC394" s="37">
        <v>0</v>
      </c>
      <c r="AD394" s="37">
        <v>0</v>
      </c>
      <c r="AE394" s="37">
        <v>42643</v>
      </c>
      <c r="AF394" s="168">
        <v>0.02</v>
      </c>
      <c r="AG394" s="37">
        <v>20736397.390000001</v>
      </c>
      <c r="AH394" s="37">
        <v>118891.85</v>
      </c>
      <c r="AI394" s="37">
        <v>121269.69</v>
      </c>
      <c r="AJ394" s="37">
        <v>123695.08</v>
      </c>
      <c r="AK394" s="37">
        <v>126168.98</v>
      </c>
      <c r="AL394" s="37">
        <v>128692.36</v>
      </c>
      <c r="AM394" s="37">
        <v>131266.21</v>
      </c>
      <c r="AN394" s="37">
        <v>133891.53</v>
      </c>
      <c r="AO394" s="37">
        <v>136569.35999999999</v>
      </c>
      <c r="AP394" s="37">
        <v>139300.75</v>
      </c>
      <c r="AQ394" s="37">
        <v>142086.76999999999</v>
      </c>
      <c r="AR394" s="37">
        <v>1301832.58</v>
      </c>
      <c r="AS394" s="37">
        <v>2090163.6</v>
      </c>
      <c r="AT394" s="37">
        <v>0</v>
      </c>
      <c r="AU394" s="37">
        <v>0</v>
      </c>
      <c r="AV394" s="37">
        <v>0</v>
      </c>
      <c r="AW394" s="37">
        <v>0</v>
      </c>
      <c r="AX394" s="37">
        <v>0</v>
      </c>
      <c r="AY394" s="37">
        <v>0</v>
      </c>
      <c r="AZ394" s="37">
        <v>0</v>
      </c>
      <c r="BA394" s="37">
        <v>0</v>
      </c>
      <c r="BB394" s="37">
        <v>0</v>
      </c>
      <c r="BC394" s="37">
        <v>0</v>
      </c>
      <c r="BD394" s="37">
        <v>0</v>
      </c>
      <c r="BE394" s="37">
        <v>7700</v>
      </c>
      <c r="BF394" s="37">
        <v>36050.647896213501</v>
      </c>
      <c r="BG394" s="37">
        <v>38858.048589670063</v>
      </c>
      <c r="BH394" s="37">
        <v>47835.977639572273</v>
      </c>
      <c r="BI394" s="37">
        <v>56813.925874544206</v>
      </c>
      <c r="BJ394" s="37">
        <v>30852.641782228133</v>
      </c>
      <c r="BK394" s="37">
        <v>149400.59769883921</v>
      </c>
      <c r="BL394" s="37">
        <v>194290.24294835032</v>
      </c>
      <c r="BM394" s="37">
        <v>239179.88819786135</v>
      </c>
      <c r="BN394" s="37">
        <v>284069.62937272101</v>
      </c>
      <c r="BO394" s="37">
        <v>0</v>
      </c>
      <c r="BP394" s="37">
        <v>1077351.6000000001</v>
      </c>
      <c r="BQ394" s="37">
        <v>0</v>
      </c>
      <c r="BR394" s="37">
        <v>0</v>
      </c>
      <c r="BS394" s="37">
        <v>0</v>
      </c>
      <c r="BT394" s="37">
        <v>0</v>
      </c>
      <c r="BU394" s="37">
        <v>0</v>
      </c>
      <c r="BV394" s="37">
        <v>10094.71395246957</v>
      </c>
      <c r="BW394" s="37">
        <v>48882.565996876801</v>
      </c>
      <c r="BX394" s="37">
        <v>63570.064442558483</v>
      </c>
      <c r="BY394" s="37">
        <v>78257.562888240136</v>
      </c>
      <c r="BZ394" s="37">
        <v>92945.092719855034</v>
      </c>
      <c r="CA394" s="37">
        <v>0</v>
      </c>
      <c r="CB394" s="37">
        <v>293750.00000000006</v>
      </c>
      <c r="CC394" s="37">
        <v>0</v>
      </c>
      <c r="CD394" s="37">
        <v>11795.455989869286</v>
      </c>
      <c r="CE394" s="37">
        <v>12714.012888511697</v>
      </c>
      <c r="CF394" s="37">
        <v>15651.512577648027</v>
      </c>
      <c r="CG394" s="37">
        <v>18589.018543971008</v>
      </c>
      <c r="CH394" s="37">
        <v>0</v>
      </c>
      <c r="CI394" s="37">
        <v>0</v>
      </c>
      <c r="CJ394" s="37">
        <v>0</v>
      </c>
      <c r="CK394" s="37">
        <v>0</v>
      </c>
      <c r="CL394" s="37">
        <v>0</v>
      </c>
      <c r="CM394" s="37">
        <v>0</v>
      </c>
      <c r="CN394" s="37">
        <v>58750.000000000015</v>
      </c>
      <c r="CO394" s="37">
        <v>0</v>
      </c>
      <c r="CP394" s="37">
        <v>0</v>
      </c>
      <c r="CQ394" s="37">
        <v>0</v>
      </c>
      <c r="CR394" s="37">
        <v>0</v>
      </c>
      <c r="CS394" s="37">
        <v>0</v>
      </c>
      <c r="CT394" s="37">
        <v>0</v>
      </c>
      <c r="CU394" s="37">
        <v>0</v>
      </c>
      <c r="CV394" s="37">
        <v>0</v>
      </c>
      <c r="CW394" s="37">
        <v>0</v>
      </c>
      <c r="CX394" s="37">
        <v>0</v>
      </c>
      <c r="CY394" s="37">
        <v>0</v>
      </c>
      <c r="CZ394" s="37">
        <v>0</v>
      </c>
      <c r="DA394" s="37">
        <v>0</v>
      </c>
      <c r="DB394" s="37">
        <v>0</v>
      </c>
      <c r="DC394" s="37">
        <v>0</v>
      </c>
      <c r="DD394" s="37">
        <v>0</v>
      </c>
      <c r="DE394" s="37">
        <v>0</v>
      </c>
      <c r="DF394" s="37">
        <v>0</v>
      </c>
      <c r="DG394" s="37">
        <v>0</v>
      </c>
      <c r="DH394" s="37">
        <v>0</v>
      </c>
      <c r="DI394" s="37">
        <v>0</v>
      </c>
      <c r="DJ394" s="37">
        <v>0</v>
      </c>
      <c r="DK394" s="37">
        <v>0</v>
      </c>
      <c r="DL394" s="37">
        <v>0</v>
      </c>
      <c r="DM394" s="37">
        <v>0</v>
      </c>
      <c r="DN394" s="37">
        <v>0</v>
      </c>
      <c r="DO394" s="37">
        <v>0</v>
      </c>
      <c r="DP394" s="37">
        <v>0</v>
      </c>
      <c r="DQ394" s="37">
        <v>0</v>
      </c>
      <c r="DR394" s="37">
        <v>0</v>
      </c>
      <c r="DS394" s="37">
        <v>0</v>
      </c>
      <c r="DT394" s="37">
        <v>0</v>
      </c>
      <c r="DU394" s="37">
        <v>0</v>
      </c>
      <c r="DV394" s="37">
        <v>0</v>
      </c>
      <c r="DW394" s="37">
        <v>0</v>
      </c>
      <c r="DX394" s="37">
        <v>0</v>
      </c>
      <c r="DY394" s="37">
        <v>0</v>
      </c>
      <c r="DZ394" s="37">
        <v>0</v>
      </c>
      <c r="EA394" s="37">
        <v>0</v>
      </c>
      <c r="EB394" s="37">
        <v>0</v>
      </c>
      <c r="EC394" s="37">
        <v>0</v>
      </c>
      <c r="ED394" s="37">
        <v>0</v>
      </c>
      <c r="EE394" s="37">
        <v>0</v>
      </c>
      <c r="EF394" s="37">
        <v>0</v>
      </c>
      <c r="EG394" s="37">
        <v>0</v>
      </c>
      <c r="EH394" s="37">
        <v>0</v>
      </c>
      <c r="EI394" s="37">
        <v>0</v>
      </c>
      <c r="EJ394" s="37">
        <v>0</v>
      </c>
      <c r="EK394" s="161" t="s">
        <v>2209</v>
      </c>
      <c r="EL394" s="294" t="s">
        <v>1124</v>
      </c>
    </row>
    <row r="395" spans="1:142" ht="15" customHeight="1" x14ac:dyDescent="0.35">
      <c r="A395" s="34"/>
      <c r="B395" s="313">
        <v>83088</v>
      </c>
      <c r="C395" s="8" t="s">
        <v>849</v>
      </c>
      <c r="D395" s="18">
        <v>7</v>
      </c>
      <c r="E395" s="155"/>
      <c r="F395" s="36"/>
      <c r="G395" s="37"/>
      <c r="H395" s="37"/>
      <c r="I395" s="37"/>
      <c r="J395" s="37"/>
      <c r="K395" s="37"/>
      <c r="L395" s="37"/>
      <c r="M395" s="37" t="s">
        <v>1124</v>
      </c>
      <c r="N395" s="37" t="s">
        <v>1124</v>
      </c>
      <c r="O395" s="37"/>
      <c r="P395" s="37"/>
      <c r="Q395" s="37"/>
      <c r="R395" s="37"/>
      <c r="S395" s="37"/>
      <c r="T395" s="37"/>
      <c r="U395" s="37"/>
      <c r="V395" s="37"/>
      <c r="W395" s="37"/>
      <c r="X395" s="37"/>
      <c r="Y395" s="37"/>
      <c r="Z395" s="37"/>
      <c r="AA395" s="37" t="s">
        <v>1124</v>
      </c>
      <c r="AB395" s="37" t="s">
        <v>1124</v>
      </c>
      <c r="AC395" s="37"/>
      <c r="AD395" s="37"/>
      <c r="AE395" s="37"/>
      <c r="AF395" s="168"/>
      <c r="AG395" s="37"/>
      <c r="AH395" s="37"/>
      <c r="AI395" s="37"/>
      <c r="AJ395" s="37"/>
      <c r="AK395" s="37"/>
      <c r="AL395" s="37"/>
      <c r="AM395" s="37"/>
      <c r="AN395" s="37"/>
      <c r="AO395" s="37"/>
      <c r="AP395" s="37"/>
      <c r="AQ395" s="37"/>
      <c r="AR395" s="37" t="s">
        <v>1124</v>
      </c>
      <c r="AS395" s="37"/>
      <c r="AT395" s="37"/>
      <c r="AU395" s="37"/>
      <c r="AV395" s="37"/>
      <c r="AW395" s="37"/>
      <c r="AX395" s="37"/>
      <c r="AY395" s="37"/>
      <c r="AZ395" s="37"/>
      <c r="BA395" s="37"/>
      <c r="BB395" s="37"/>
      <c r="BC395" s="37"/>
      <c r="BD395" s="37" t="s">
        <v>1124</v>
      </c>
      <c r="BE395" s="37"/>
      <c r="BF395" s="37"/>
      <c r="BG395" s="37"/>
      <c r="BH395" s="37"/>
      <c r="BI395" s="37"/>
      <c r="BJ395" s="37"/>
      <c r="BK395" s="37"/>
      <c r="BL395" s="37"/>
      <c r="BM395" s="37"/>
      <c r="BN395" s="37"/>
      <c r="BO395" s="37"/>
      <c r="BP395" s="37">
        <v>0</v>
      </c>
      <c r="BQ395" s="37"/>
      <c r="BR395" s="37"/>
      <c r="BS395" s="37"/>
      <c r="BT395" s="37"/>
      <c r="BU395" s="37"/>
      <c r="BV395" s="37"/>
      <c r="BW395" s="37"/>
      <c r="BX395" s="37"/>
      <c r="BY395" s="37"/>
      <c r="BZ395" s="37"/>
      <c r="CA395" s="37"/>
      <c r="CB395" s="37" t="s">
        <v>1124</v>
      </c>
      <c r="CC395" s="37"/>
      <c r="CD395" s="37"/>
      <c r="CE395" s="37"/>
      <c r="CF395" s="37"/>
      <c r="CG395" s="37"/>
      <c r="CH395" s="37"/>
      <c r="CI395" s="37"/>
      <c r="CJ395" s="37"/>
      <c r="CK395" s="37"/>
      <c r="CL395" s="37"/>
      <c r="CM395" s="37"/>
      <c r="CN395" s="37" t="s">
        <v>1124</v>
      </c>
      <c r="CO395" s="37"/>
      <c r="CP395" s="37"/>
      <c r="CQ395" s="37"/>
      <c r="CR395" s="37"/>
      <c r="CS395" s="37"/>
      <c r="CT395" s="37"/>
      <c r="CU395" s="37"/>
      <c r="CV395" s="37"/>
      <c r="CW395" s="37"/>
      <c r="CX395" s="37"/>
      <c r="CY395" s="37"/>
      <c r="CZ395" s="37" t="s">
        <v>1124</v>
      </c>
      <c r="DA395" s="37"/>
      <c r="DB395" s="37"/>
      <c r="DC395" s="37"/>
      <c r="DD395" s="37"/>
      <c r="DE395" s="37"/>
      <c r="DF395" s="37"/>
      <c r="DG395" s="37"/>
      <c r="DH395" s="37"/>
      <c r="DI395" s="37"/>
      <c r="DJ395" s="37"/>
      <c r="DK395" s="37"/>
      <c r="DL395" s="37" t="s">
        <v>1124</v>
      </c>
      <c r="DM395" s="37"/>
      <c r="DN395" s="37"/>
      <c r="DO395" s="37"/>
      <c r="DP395" s="37"/>
      <c r="DQ395" s="37"/>
      <c r="DR395" s="37"/>
      <c r="DS395" s="37"/>
      <c r="DT395" s="37"/>
      <c r="DU395" s="37"/>
      <c r="DV395" s="37"/>
      <c r="DW395" s="37"/>
      <c r="DX395" s="37" t="s">
        <v>1124</v>
      </c>
      <c r="DY395" s="37"/>
      <c r="DZ395" s="37"/>
      <c r="EA395" s="37"/>
      <c r="EB395" s="37"/>
      <c r="EC395" s="37"/>
      <c r="ED395" s="37"/>
      <c r="EE395" s="37"/>
      <c r="EF395" s="37"/>
      <c r="EG395" s="37"/>
      <c r="EH395" s="37"/>
      <c r="EI395" s="37"/>
      <c r="EJ395" s="37" t="s">
        <v>1124</v>
      </c>
      <c r="EK395" s="161"/>
      <c r="EL395" s="294"/>
    </row>
    <row r="396" spans="1:142" ht="15" customHeight="1" x14ac:dyDescent="0.35">
      <c r="A396" s="34"/>
      <c r="B396" s="313">
        <v>80010</v>
      </c>
      <c r="C396" s="8" t="s">
        <v>804</v>
      </c>
      <c r="D396" s="18">
        <v>7</v>
      </c>
      <c r="E396" s="155"/>
      <c r="F396" s="36"/>
      <c r="G396" s="37"/>
      <c r="H396" s="37"/>
      <c r="I396" s="37"/>
      <c r="J396" s="37"/>
      <c r="K396" s="37"/>
      <c r="L396" s="37"/>
      <c r="M396" s="37" t="s">
        <v>1124</v>
      </c>
      <c r="N396" s="37" t="s">
        <v>1124</v>
      </c>
      <c r="O396" s="37"/>
      <c r="P396" s="37"/>
      <c r="Q396" s="37"/>
      <c r="R396" s="37"/>
      <c r="S396" s="37"/>
      <c r="T396" s="37"/>
      <c r="U396" s="37"/>
      <c r="V396" s="37"/>
      <c r="W396" s="37"/>
      <c r="X396" s="37"/>
      <c r="Y396" s="37"/>
      <c r="Z396" s="37"/>
      <c r="AA396" s="37" t="s">
        <v>1124</v>
      </c>
      <c r="AB396" s="37" t="s">
        <v>1124</v>
      </c>
      <c r="AC396" s="37"/>
      <c r="AD396" s="37"/>
      <c r="AE396" s="37"/>
      <c r="AF396" s="168"/>
      <c r="AG396" s="37"/>
      <c r="AH396" s="37"/>
      <c r="AI396" s="37"/>
      <c r="AJ396" s="37"/>
      <c r="AK396" s="37"/>
      <c r="AL396" s="37"/>
      <c r="AM396" s="37"/>
      <c r="AN396" s="37"/>
      <c r="AO396" s="37"/>
      <c r="AP396" s="37"/>
      <c r="AQ396" s="37"/>
      <c r="AR396" s="37" t="s">
        <v>1124</v>
      </c>
      <c r="AS396" s="37"/>
      <c r="AT396" s="37"/>
      <c r="AU396" s="37"/>
      <c r="AV396" s="37"/>
      <c r="AW396" s="37"/>
      <c r="AX396" s="37"/>
      <c r="AY396" s="37"/>
      <c r="AZ396" s="37"/>
      <c r="BA396" s="37"/>
      <c r="BB396" s="37"/>
      <c r="BC396" s="37"/>
      <c r="BD396" s="37" t="s">
        <v>1124</v>
      </c>
      <c r="BE396" s="37"/>
      <c r="BF396" s="37"/>
      <c r="BG396" s="37"/>
      <c r="BH396" s="37"/>
      <c r="BI396" s="37"/>
      <c r="BJ396" s="37"/>
      <c r="BK396" s="37"/>
      <c r="BL396" s="37"/>
      <c r="BM396" s="37"/>
      <c r="BN396" s="37"/>
      <c r="BO396" s="37"/>
      <c r="BP396" s="37">
        <v>0</v>
      </c>
      <c r="BQ396" s="37"/>
      <c r="BR396" s="37"/>
      <c r="BS396" s="37"/>
      <c r="BT396" s="37"/>
      <c r="BU396" s="37"/>
      <c r="BV396" s="37"/>
      <c r="BW396" s="37"/>
      <c r="BX396" s="37"/>
      <c r="BY396" s="37"/>
      <c r="BZ396" s="37"/>
      <c r="CA396" s="37"/>
      <c r="CB396" s="37" t="s">
        <v>1124</v>
      </c>
      <c r="CC396" s="37"/>
      <c r="CD396" s="37"/>
      <c r="CE396" s="37"/>
      <c r="CF396" s="37"/>
      <c r="CG396" s="37"/>
      <c r="CH396" s="37"/>
      <c r="CI396" s="37"/>
      <c r="CJ396" s="37"/>
      <c r="CK396" s="37"/>
      <c r="CL396" s="37"/>
      <c r="CM396" s="37"/>
      <c r="CN396" s="37" t="s">
        <v>1124</v>
      </c>
      <c r="CO396" s="37"/>
      <c r="CP396" s="37"/>
      <c r="CQ396" s="37"/>
      <c r="CR396" s="37"/>
      <c r="CS396" s="37"/>
      <c r="CT396" s="37"/>
      <c r="CU396" s="37"/>
      <c r="CV396" s="37"/>
      <c r="CW396" s="37"/>
      <c r="CX396" s="37"/>
      <c r="CY396" s="37"/>
      <c r="CZ396" s="37" t="s">
        <v>1124</v>
      </c>
      <c r="DA396" s="37"/>
      <c r="DB396" s="37"/>
      <c r="DC396" s="37"/>
      <c r="DD396" s="37"/>
      <c r="DE396" s="37"/>
      <c r="DF396" s="37"/>
      <c r="DG396" s="37"/>
      <c r="DH396" s="37"/>
      <c r="DI396" s="37"/>
      <c r="DJ396" s="37"/>
      <c r="DK396" s="37"/>
      <c r="DL396" s="37" t="s">
        <v>1124</v>
      </c>
      <c r="DM396" s="37"/>
      <c r="DN396" s="37"/>
      <c r="DO396" s="37"/>
      <c r="DP396" s="37"/>
      <c r="DQ396" s="37"/>
      <c r="DR396" s="37"/>
      <c r="DS396" s="37"/>
      <c r="DT396" s="37"/>
      <c r="DU396" s="37"/>
      <c r="DV396" s="37"/>
      <c r="DW396" s="37"/>
      <c r="DX396" s="37" t="s">
        <v>1124</v>
      </c>
      <c r="DY396" s="37"/>
      <c r="DZ396" s="37"/>
      <c r="EA396" s="37"/>
      <c r="EB396" s="37"/>
      <c r="EC396" s="37"/>
      <c r="ED396" s="37"/>
      <c r="EE396" s="37"/>
      <c r="EF396" s="37"/>
      <c r="EG396" s="37"/>
      <c r="EH396" s="37"/>
      <c r="EI396" s="37"/>
      <c r="EJ396" s="37" t="s">
        <v>1124</v>
      </c>
      <c r="EK396" s="161"/>
      <c r="EL396" s="294"/>
    </row>
    <row r="397" spans="1:142" ht="15" customHeight="1" x14ac:dyDescent="0.35">
      <c r="A397" s="34"/>
      <c r="B397" s="313">
        <v>9077</v>
      </c>
      <c r="C397" s="8" t="s">
        <v>1110</v>
      </c>
      <c r="D397" s="18">
        <v>1</v>
      </c>
      <c r="E397" s="155">
        <v>983121</v>
      </c>
      <c r="F397" s="36">
        <v>478221</v>
      </c>
      <c r="G397" s="37">
        <v>37326</v>
      </c>
      <c r="H397" s="37">
        <v>31246</v>
      </c>
      <c r="I397" s="37">
        <v>169203</v>
      </c>
      <c r="J397" s="37">
        <v>182268</v>
      </c>
      <c r="K397" s="37">
        <v>65411</v>
      </c>
      <c r="L397" s="37">
        <v>63248</v>
      </c>
      <c r="M397" s="37">
        <v>1255061</v>
      </c>
      <c r="N397" s="37">
        <v>754983</v>
      </c>
      <c r="O397" s="37">
        <v>0</v>
      </c>
      <c r="P397" s="37">
        <v>0</v>
      </c>
      <c r="Q397" s="37">
        <v>718400</v>
      </c>
      <c r="R397" s="37">
        <v>374980</v>
      </c>
      <c r="S397" s="37">
        <v>135040</v>
      </c>
      <c r="T397" s="37">
        <v>0</v>
      </c>
      <c r="U397" s="37">
        <v>59438</v>
      </c>
      <c r="V397" s="37">
        <v>3286</v>
      </c>
      <c r="W397" s="37">
        <v>342183</v>
      </c>
      <c r="X397" s="37">
        <v>376717</v>
      </c>
      <c r="Y397" s="37">
        <v>0</v>
      </c>
      <c r="Z397" s="37">
        <v>0</v>
      </c>
      <c r="AA397" s="37">
        <v>1255061</v>
      </c>
      <c r="AB397" s="37">
        <v>754983</v>
      </c>
      <c r="AC397" s="37">
        <v>0</v>
      </c>
      <c r="AD397" s="37">
        <v>0</v>
      </c>
      <c r="AE397" s="37">
        <v>0</v>
      </c>
      <c r="AF397" s="168">
        <v>0.02</v>
      </c>
      <c r="AG397" s="37">
        <v>105432677.31</v>
      </c>
      <c r="AH397" s="37">
        <v>1012265.34</v>
      </c>
      <c r="AI397" s="37">
        <v>1032510.65</v>
      </c>
      <c r="AJ397" s="37">
        <v>1053160.8600000001</v>
      </c>
      <c r="AK397" s="37">
        <v>1074224.08</v>
      </c>
      <c r="AL397" s="37">
        <v>1095708.56</v>
      </c>
      <c r="AM397" s="37">
        <v>1117622.73</v>
      </c>
      <c r="AN397" s="37">
        <v>1139975.18</v>
      </c>
      <c r="AO397" s="37">
        <v>1162774.69</v>
      </c>
      <c r="AP397" s="37">
        <v>1186030.18</v>
      </c>
      <c r="AQ397" s="37">
        <v>1209750.79</v>
      </c>
      <c r="AR397" s="37">
        <v>11084023.060000001</v>
      </c>
      <c r="AS397" s="37">
        <v>4102365.08</v>
      </c>
      <c r="AT397" s="37">
        <v>1239300</v>
      </c>
      <c r="AU397" s="37">
        <v>104038.96</v>
      </c>
      <c r="AV397" s="37">
        <v>1591812</v>
      </c>
      <c r="AW397" s="37">
        <v>0</v>
      </c>
      <c r="AX397" s="37">
        <v>0</v>
      </c>
      <c r="AY397" s="37">
        <v>0</v>
      </c>
      <c r="AZ397" s="37">
        <v>0</v>
      </c>
      <c r="BA397" s="37">
        <v>0</v>
      </c>
      <c r="BB397" s="37">
        <v>0</v>
      </c>
      <c r="BC397" s="37">
        <v>0</v>
      </c>
      <c r="BD397" s="37">
        <v>2935150.96</v>
      </c>
      <c r="BE397" s="37">
        <v>0</v>
      </c>
      <c r="BF397" s="37">
        <v>800141</v>
      </c>
      <c r="BG397" s="37">
        <v>3061343</v>
      </c>
      <c r="BH397" s="37">
        <v>1619756</v>
      </c>
      <c r="BI397" s="37">
        <v>0</v>
      </c>
      <c r="BJ397" s="37">
        <v>0</v>
      </c>
      <c r="BK397" s="37">
        <v>0</v>
      </c>
      <c r="BL397" s="37">
        <v>0</v>
      </c>
      <c r="BM397" s="37">
        <v>0</v>
      </c>
      <c r="BN397" s="37">
        <v>0</v>
      </c>
      <c r="BO397" s="37">
        <v>0</v>
      </c>
      <c r="BP397" s="37">
        <v>5481240</v>
      </c>
      <c r="BQ397" s="37">
        <v>0</v>
      </c>
      <c r="BR397" s="37">
        <v>400070</v>
      </c>
      <c r="BS397" s="37">
        <v>1009825</v>
      </c>
      <c r="BT397" s="37">
        <v>404939</v>
      </c>
      <c r="BU397" s="37">
        <v>0</v>
      </c>
      <c r="BV397" s="37">
        <v>0</v>
      </c>
      <c r="BW397" s="37">
        <v>0</v>
      </c>
      <c r="BX397" s="37">
        <v>0</v>
      </c>
      <c r="BY397" s="37">
        <v>0</v>
      </c>
      <c r="BZ397" s="37">
        <v>0</v>
      </c>
      <c r="CA397" s="37">
        <v>0</v>
      </c>
      <c r="CB397" s="37">
        <v>1814834</v>
      </c>
      <c r="CC397" s="37">
        <v>0</v>
      </c>
      <c r="CD397" s="37">
        <v>323550</v>
      </c>
      <c r="CE397" s="37">
        <v>0</v>
      </c>
      <c r="CF397" s="37">
        <v>0</v>
      </c>
      <c r="CG397" s="37">
        <v>0</v>
      </c>
      <c r="CH397" s="37">
        <v>0</v>
      </c>
      <c r="CI397" s="37">
        <v>0</v>
      </c>
      <c r="CJ397" s="37">
        <v>0</v>
      </c>
      <c r="CK397" s="37">
        <v>0</v>
      </c>
      <c r="CL397" s="37">
        <v>0</v>
      </c>
      <c r="CM397" s="37">
        <v>0</v>
      </c>
      <c r="CN397" s="37">
        <v>323550</v>
      </c>
      <c r="CO397" s="37">
        <v>0</v>
      </c>
      <c r="CP397" s="37">
        <v>1000000</v>
      </c>
      <c r="CQ397" s="37">
        <v>0</v>
      </c>
      <c r="CR397" s="37">
        <v>0</v>
      </c>
      <c r="CS397" s="37">
        <v>0</v>
      </c>
      <c r="CT397" s="37">
        <v>0</v>
      </c>
      <c r="CU397" s="37">
        <v>0</v>
      </c>
      <c r="CV397" s="37">
        <v>0</v>
      </c>
      <c r="CW397" s="37">
        <v>0</v>
      </c>
      <c r="CX397" s="37">
        <v>0</v>
      </c>
      <c r="CY397" s="37">
        <v>0</v>
      </c>
      <c r="CZ397" s="37">
        <v>1000000</v>
      </c>
      <c r="DA397" s="37">
        <v>0</v>
      </c>
      <c r="DB397" s="37">
        <v>200000</v>
      </c>
      <c r="DC397" s="37">
        <v>0</v>
      </c>
      <c r="DD397" s="37">
        <v>0</v>
      </c>
      <c r="DE397" s="37">
        <v>0</v>
      </c>
      <c r="DF397" s="37">
        <v>0</v>
      </c>
      <c r="DG397" s="37">
        <v>0</v>
      </c>
      <c r="DH397" s="37">
        <v>0</v>
      </c>
      <c r="DI397" s="37">
        <v>0</v>
      </c>
      <c r="DJ397" s="37">
        <v>0</v>
      </c>
      <c r="DK397" s="37">
        <v>0</v>
      </c>
      <c r="DL397" s="37">
        <v>200000</v>
      </c>
      <c r="DM397" s="37">
        <v>0</v>
      </c>
      <c r="DN397" s="37">
        <v>15000</v>
      </c>
      <c r="DO397" s="37">
        <v>0</v>
      </c>
      <c r="DP397" s="37">
        <v>0</v>
      </c>
      <c r="DQ397" s="37">
        <v>0</v>
      </c>
      <c r="DR397" s="37">
        <v>0</v>
      </c>
      <c r="DS397" s="37">
        <v>0</v>
      </c>
      <c r="DT397" s="37">
        <v>0</v>
      </c>
      <c r="DU397" s="37">
        <v>0</v>
      </c>
      <c r="DV397" s="37">
        <v>0</v>
      </c>
      <c r="DW397" s="37">
        <v>0</v>
      </c>
      <c r="DX397" s="37">
        <v>15000</v>
      </c>
      <c r="DY397" s="37">
        <v>0</v>
      </c>
      <c r="DZ397" s="37">
        <v>0</v>
      </c>
      <c r="EA397" s="37">
        <v>0</v>
      </c>
      <c r="EB397" s="37">
        <v>0</v>
      </c>
      <c r="EC397" s="37">
        <v>0</v>
      </c>
      <c r="ED397" s="37">
        <v>0</v>
      </c>
      <c r="EE397" s="37">
        <v>0</v>
      </c>
      <c r="EF397" s="37">
        <v>0</v>
      </c>
      <c r="EG397" s="37">
        <v>0</v>
      </c>
      <c r="EH397" s="37">
        <v>0</v>
      </c>
      <c r="EI397" s="37">
        <v>0</v>
      </c>
      <c r="EJ397" s="37">
        <v>0</v>
      </c>
      <c r="EK397" s="161" t="s">
        <v>2215</v>
      </c>
      <c r="EL397" s="294" t="s">
        <v>1124</v>
      </c>
    </row>
    <row r="398" spans="1:142" ht="15" customHeight="1" x14ac:dyDescent="0.35">
      <c r="A398" s="34"/>
      <c r="B398" s="313">
        <v>79088</v>
      </c>
      <c r="C398" s="8" t="s">
        <v>798</v>
      </c>
      <c r="D398" s="18">
        <v>15</v>
      </c>
      <c r="E398" s="155"/>
      <c r="F398" s="36"/>
      <c r="G398" s="37"/>
      <c r="H398" s="37"/>
      <c r="I398" s="37"/>
      <c r="J398" s="37"/>
      <c r="K398" s="37"/>
      <c r="L398" s="37"/>
      <c r="M398" s="37" t="s">
        <v>1124</v>
      </c>
      <c r="N398" s="37" t="s">
        <v>1124</v>
      </c>
      <c r="O398" s="37"/>
      <c r="P398" s="37"/>
      <c r="Q398" s="37"/>
      <c r="R398" s="37"/>
      <c r="S398" s="37"/>
      <c r="T398" s="37"/>
      <c r="U398" s="37"/>
      <c r="V398" s="37"/>
      <c r="W398" s="37"/>
      <c r="X398" s="37"/>
      <c r="Y398" s="37"/>
      <c r="Z398" s="37"/>
      <c r="AA398" s="37" t="s">
        <v>1124</v>
      </c>
      <c r="AB398" s="37" t="s">
        <v>1124</v>
      </c>
      <c r="AC398" s="37"/>
      <c r="AD398" s="37"/>
      <c r="AE398" s="37"/>
      <c r="AF398" s="168"/>
      <c r="AG398" s="37"/>
      <c r="AH398" s="37"/>
      <c r="AI398" s="37"/>
      <c r="AJ398" s="37"/>
      <c r="AK398" s="37"/>
      <c r="AL398" s="37"/>
      <c r="AM398" s="37"/>
      <c r="AN398" s="37"/>
      <c r="AO398" s="37"/>
      <c r="AP398" s="37"/>
      <c r="AQ398" s="37"/>
      <c r="AR398" s="37" t="s">
        <v>1124</v>
      </c>
      <c r="AS398" s="37"/>
      <c r="AT398" s="37"/>
      <c r="AU398" s="37"/>
      <c r="AV398" s="37"/>
      <c r="AW398" s="37"/>
      <c r="AX398" s="37"/>
      <c r="AY398" s="37"/>
      <c r="AZ398" s="37"/>
      <c r="BA398" s="37"/>
      <c r="BB398" s="37"/>
      <c r="BC398" s="37"/>
      <c r="BD398" s="37" t="s">
        <v>1124</v>
      </c>
      <c r="BE398" s="37"/>
      <c r="BF398" s="37"/>
      <c r="BG398" s="37"/>
      <c r="BH398" s="37"/>
      <c r="BI398" s="37"/>
      <c r="BJ398" s="37"/>
      <c r="BK398" s="37"/>
      <c r="BL398" s="37"/>
      <c r="BM398" s="37"/>
      <c r="BN398" s="37"/>
      <c r="BO398" s="37"/>
      <c r="BP398" s="37">
        <v>0</v>
      </c>
      <c r="BQ398" s="37"/>
      <c r="BR398" s="37"/>
      <c r="BS398" s="37"/>
      <c r="BT398" s="37"/>
      <c r="BU398" s="37"/>
      <c r="BV398" s="37"/>
      <c r="BW398" s="37"/>
      <c r="BX398" s="37"/>
      <c r="BY398" s="37"/>
      <c r="BZ398" s="37"/>
      <c r="CA398" s="37"/>
      <c r="CB398" s="37" t="s">
        <v>1124</v>
      </c>
      <c r="CC398" s="37"/>
      <c r="CD398" s="37"/>
      <c r="CE398" s="37"/>
      <c r="CF398" s="37"/>
      <c r="CG398" s="37"/>
      <c r="CH398" s="37"/>
      <c r="CI398" s="37"/>
      <c r="CJ398" s="37"/>
      <c r="CK398" s="37"/>
      <c r="CL398" s="37"/>
      <c r="CM398" s="37"/>
      <c r="CN398" s="37" t="s">
        <v>1124</v>
      </c>
      <c r="CO398" s="37"/>
      <c r="CP398" s="37"/>
      <c r="CQ398" s="37"/>
      <c r="CR398" s="37"/>
      <c r="CS398" s="37"/>
      <c r="CT398" s="37"/>
      <c r="CU398" s="37"/>
      <c r="CV398" s="37"/>
      <c r="CW398" s="37"/>
      <c r="CX398" s="37"/>
      <c r="CY398" s="37"/>
      <c r="CZ398" s="37" t="s">
        <v>1124</v>
      </c>
      <c r="DA398" s="37"/>
      <c r="DB398" s="37"/>
      <c r="DC398" s="37"/>
      <c r="DD398" s="37"/>
      <c r="DE398" s="37"/>
      <c r="DF398" s="37"/>
      <c r="DG398" s="37"/>
      <c r="DH398" s="37"/>
      <c r="DI398" s="37"/>
      <c r="DJ398" s="37"/>
      <c r="DK398" s="37"/>
      <c r="DL398" s="37" t="s">
        <v>1124</v>
      </c>
      <c r="DM398" s="37"/>
      <c r="DN398" s="37"/>
      <c r="DO398" s="37"/>
      <c r="DP398" s="37"/>
      <c r="DQ398" s="37"/>
      <c r="DR398" s="37"/>
      <c r="DS398" s="37"/>
      <c r="DT398" s="37"/>
      <c r="DU398" s="37"/>
      <c r="DV398" s="37"/>
      <c r="DW398" s="37"/>
      <c r="DX398" s="37" t="s">
        <v>1124</v>
      </c>
      <c r="DY398" s="37"/>
      <c r="DZ398" s="37"/>
      <c r="EA398" s="37"/>
      <c r="EB398" s="37"/>
      <c r="EC398" s="37"/>
      <c r="ED398" s="37"/>
      <c r="EE398" s="37"/>
      <c r="EF398" s="37"/>
      <c r="EG398" s="37"/>
      <c r="EH398" s="37"/>
      <c r="EI398" s="37"/>
      <c r="EJ398" s="37" t="s">
        <v>1124</v>
      </c>
      <c r="EK398" s="161"/>
      <c r="EL398" s="294"/>
    </row>
    <row r="399" spans="1:142" ht="15" customHeight="1" x14ac:dyDescent="0.35">
      <c r="A399" s="34"/>
      <c r="B399" s="313">
        <v>18050</v>
      </c>
      <c r="C399" s="8" t="s">
        <v>113</v>
      </c>
      <c r="D399" s="18">
        <v>12</v>
      </c>
      <c r="E399" s="155">
        <v>1351281</v>
      </c>
      <c r="F399" s="36">
        <v>613712</v>
      </c>
      <c r="G399" s="37">
        <v>85567</v>
      </c>
      <c r="H399" s="37">
        <v>84725</v>
      </c>
      <c r="I399" s="37">
        <v>336604.01</v>
      </c>
      <c r="J399" s="37">
        <v>383218.96</v>
      </c>
      <c r="K399" s="37">
        <v>202692</v>
      </c>
      <c r="L399" s="37">
        <v>92057</v>
      </c>
      <c r="M399" s="37">
        <v>1976144.01</v>
      </c>
      <c r="N399" s="37">
        <v>1173712.96</v>
      </c>
      <c r="O399" s="37">
        <v>169947</v>
      </c>
      <c r="P399" s="37">
        <v>0</v>
      </c>
      <c r="Q399" s="37">
        <v>1490759</v>
      </c>
      <c r="R399" s="37">
        <v>0</v>
      </c>
      <c r="S399" s="37">
        <v>64397</v>
      </c>
      <c r="T399" s="37">
        <v>64398</v>
      </c>
      <c r="U399" s="37">
        <v>23944</v>
      </c>
      <c r="V399" s="37">
        <v>24340</v>
      </c>
      <c r="W399" s="37">
        <v>0</v>
      </c>
      <c r="X399" s="37">
        <v>1174936</v>
      </c>
      <c r="Y399" s="37">
        <v>30000</v>
      </c>
      <c r="Z399" s="37">
        <v>145000</v>
      </c>
      <c r="AA399" s="37">
        <v>1779047</v>
      </c>
      <c r="AB399" s="37">
        <v>1408674</v>
      </c>
      <c r="AC399" s="37">
        <v>37864</v>
      </c>
      <c r="AD399" s="37">
        <v>0</v>
      </c>
      <c r="AE399" s="37">
        <v>805557</v>
      </c>
      <c r="AF399" s="168">
        <v>0.02</v>
      </c>
      <c r="AG399" s="37">
        <v>171021280.75</v>
      </c>
      <c r="AH399" s="37">
        <v>1453763.16</v>
      </c>
      <c r="AI399" s="37">
        <v>1222634.3799999999</v>
      </c>
      <c r="AJ399" s="37">
        <v>1318718.6100000001</v>
      </c>
      <c r="AK399" s="37">
        <v>1379730.81</v>
      </c>
      <c r="AL399" s="37">
        <v>1379171.37</v>
      </c>
      <c r="AM399" s="37">
        <v>1427025.72</v>
      </c>
      <c r="AN399" s="37">
        <v>1648890.03</v>
      </c>
      <c r="AO399" s="37">
        <v>1496628.48</v>
      </c>
      <c r="AP399" s="37">
        <v>1483896.25</v>
      </c>
      <c r="AQ399" s="37">
        <v>1544658.53</v>
      </c>
      <c r="AR399" s="37">
        <v>14355117.34</v>
      </c>
      <c r="AS399" s="37">
        <v>8509258.1999999993</v>
      </c>
      <c r="AT399" s="37">
        <v>1040.4000000000001</v>
      </c>
      <c r="AU399" s="37">
        <v>620765.06000000006</v>
      </c>
      <c r="AV399" s="37">
        <v>455389.82</v>
      </c>
      <c r="AW399" s="37">
        <v>260459.16</v>
      </c>
      <c r="AX399" s="37">
        <v>116617.43</v>
      </c>
      <c r="AY399" s="37">
        <v>225007.25</v>
      </c>
      <c r="AZ399" s="37">
        <v>0</v>
      </c>
      <c r="BA399" s="37">
        <v>0</v>
      </c>
      <c r="BB399" s="37">
        <v>0</v>
      </c>
      <c r="BC399" s="37">
        <v>0</v>
      </c>
      <c r="BD399" s="37">
        <v>1679279.1199999999</v>
      </c>
      <c r="BE399" s="37">
        <v>1308500</v>
      </c>
      <c r="BF399" s="37">
        <v>1040050</v>
      </c>
      <c r="BG399" s="37">
        <v>903462</v>
      </c>
      <c r="BH399" s="37">
        <v>845175</v>
      </c>
      <c r="BI399" s="37">
        <v>65000</v>
      </c>
      <c r="BJ399" s="37">
        <v>65000</v>
      </c>
      <c r="BK399" s="37">
        <v>65000</v>
      </c>
      <c r="BL399" s="37">
        <v>0</v>
      </c>
      <c r="BM399" s="37">
        <v>0</v>
      </c>
      <c r="BN399" s="37">
        <v>0</v>
      </c>
      <c r="BO399" s="37">
        <v>0</v>
      </c>
      <c r="BP399" s="37">
        <v>2983687</v>
      </c>
      <c r="BQ399" s="37">
        <v>938000</v>
      </c>
      <c r="BR399" s="37">
        <v>523650</v>
      </c>
      <c r="BS399" s="37">
        <v>362000</v>
      </c>
      <c r="BT399" s="37">
        <v>2079825</v>
      </c>
      <c r="BU399" s="37">
        <v>2050000</v>
      </c>
      <c r="BV399" s="37">
        <v>2800000</v>
      </c>
      <c r="BW399" s="37">
        <v>2650000</v>
      </c>
      <c r="BX399" s="37">
        <v>0</v>
      </c>
      <c r="BY399" s="37">
        <v>0</v>
      </c>
      <c r="BZ399" s="37">
        <v>0</v>
      </c>
      <c r="CA399" s="37">
        <v>0</v>
      </c>
      <c r="CB399" s="37">
        <v>10465475</v>
      </c>
      <c r="CC399" s="37">
        <v>43000</v>
      </c>
      <c r="CD399" s="37">
        <v>46000</v>
      </c>
      <c r="CE399" s="37">
        <v>0</v>
      </c>
      <c r="CF399" s="37">
        <v>0</v>
      </c>
      <c r="CG399" s="37">
        <v>0</v>
      </c>
      <c r="CH399" s="37">
        <v>0</v>
      </c>
      <c r="CI399" s="37">
        <v>0</v>
      </c>
      <c r="CJ399" s="37">
        <v>0</v>
      </c>
      <c r="CK399" s="37">
        <v>0</v>
      </c>
      <c r="CL399" s="37">
        <v>0</v>
      </c>
      <c r="CM399" s="37">
        <v>0</v>
      </c>
      <c r="CN399" s="37">
        <v>46000</v>
      </c>
      <c r="CO399" s="37">
        <v>680000</v>
      </c>
      <c r="CP399" s="37">
        <v>0</v>
      </c>
      <c r="CQ399" s="37">
        <v>560000</v>
      </c>
      <c r="CR399" s="37">
        <v>60000</v>
      </c>
      <c r="CS399" s="37">
        <v>60000</v>
      </c>
      <c r="CT399" s="37">
        <v>0</v>
      </c>
      <c r="CU399" s="37">
        <v>0</v>
      </c>
      <c r="CV399" s="37">
        <v>0</v>
      </c>
      <c r="CW399" s="37">
        <v>0</v>
      </c>
      <c r="CX399" s="37">
        <v>0</v>
      </c>
      <c r="CY399" s="37">
        <v>0</v>
      </c>
      <c r="CZ399" s="37">
        <v>680000</v>
      </c>
      <c r="DA399" s="37">
        <v>320000</v>
      </c>
      <c r="DB399" s="37">
        <v>0</v>
      </c>
      <c r="DC399" s="37">
        <v>0</v>
      </c>
      <c r="DD399" s="37">
        <v>475000</v>
      </c>
      <c r="DE399" s="37">
        <v>0</v>
      </c>
      <c r="DF399" s="37">
        <v>0</v>
      </c>
      <c r="DG399" s="37">
        <v>0</v>
      </c>
      <c r="DH399" s="37">
        <v>0</v>
      </c>
      <c r="DI399" s="37">
        <v>0</v>
      </c>
      <c r="DJ399" s="37">
        <v>0</v>
      </c>
      <c r="DK399" s="37">
        <v>0</v>
      </c>
      <c r="DL399" s="37">
        <v>475000</v>
      </c>
      <c r="DM399" s="37">
        <v>0</v>
      </c>
      <c r="DN399" s="37">
        <v>18000</v>
      </c>
      <c r="DO399" s="37">
        <v>35000</v>
      </c>
      <c r="DP399" s="37">
        <v>55000</v>
      </c>
      <c r="DQ399" s="37">
        <v>80000</v>
      </c>
      <c r="DR399" s="37">
        <v>55000</v>
      </c>
      <c r="DS399" s="37">
        <v>55000</v>
      </c>
      <c r="DT399" s="37">
        <v>0</v>
      </c>
      <c r="DU399" s="37">
        <v>0</v>
      </c>
      <c r="DV399" s="37">
        <v>0</v>
      </c>
      <c r="DW399" s="37">
        <v>0</v>
      </c>
      <c r="DX399" s="37">
        <v>298000</v>
      </c>
      <c r="DY399" s="37">
        <v>0</v>
      </c>
      <c r="DZ399" s="37">
        <v>0</v>
      </c>
      <c r="EA399" s="37">
        <v>0</v>
      </c>
      <c r="EB399" s="37">
        <v>313415</v>
      </c>
      <c r="EC399" s="37">
        <v>313415</v>
      </c>
      <c r="ED399" s="37">
        <v>0</v>
      </c>
      <c r="EE399" s="37">
        <v>0</v>
      </c>
      <c r="EF399" s="37">
        <v>0</v>
      </c>
      <c r="EG399" s="37">
        <v>0</v>
      </c>
      <c r="EH399" s="37">
        <v>0</v>
      </c>
      <c r="EI399" s="37">
        <v>0</v>
      </c>
      <c r="EJ399" s="37">
        <v>626830</v>
      </c>
      <c r="EK399" s="161" t="s">
        <v>2219</v>
      </c>
      <c r="EL399" s="294" t="s">
        <v>1124</v>
      </c>
    </row>
    <row r="400" spans="1:142" ht="15" customHeight="1" x14ac:dyDescent="0.35">
      <c r="A400" s="34"/>
      <c r="B400" s="313">
        <v>80090</v>
      </c>
      <c r="C400" s="8" t="s">
        <v>817</v>
      </c>
      <c r="D400" s="18">
        <v>7</v>
      </c>
      <c r="E400" s="155">
        <v>14288</v>
      </c>
      <c r="F400" s="36">
        <v>0</v>
      </c>
      <c r="G400" s="37">
        <v>3568</v>
      </c>
      <c r="H400" s="37">
        <v>0</v>
      </c>
      <c r="I400" s="37">
        <v>10018</v>
      </c>
      <c r="J400" s="37">
        <v>0</v>
      </c>
      <c r="K400" s="37">
        <v>2143.1999999999998</v>
      </c>
      <c r="L400" s="37">
        <v>0</v>
      </c>
      <c r="M400" s="37">
        <v>30017.200000000001</v>
      </c>
      <c r="N400" s="37">
        <v>0</v>
      </c>
      <c r="O400" s="37">
        <v>0</v>
      </c>
      <c r="P400" s="37">
        <v>0</v>
      </c>
      <c r="Q400" s="37">
        <v>49190</v>
      </c>
      <c r="R400" s="37">
        <v>0</v>
      </c>
      <c r="S400" s="37">
        <v>0</v>
      </c>
      <c r="T400" s="37">
        <v>0</v>
      </c>
      <c r="U400" s="37">
        <v>0</v>
      </c>
      <c r="V400" s="37">
        <v>0</v>
      </c>
      <c r="W400" s="37">
        <v>0</v>
      </c>
      <c r="X400" s="37">
        <v>0</v>
      </c>
      <c r="Y400" s="37">
        <v>0</v>
      </c>
      <c r="Z400" s="37">
        <v>0</v>
      </c>
      <c r="AA400" s="37">
        <v>49190</v>
      </c>
      <c r="AB400" s="37">
        <v>0</v>
      </c>
      <c r="AC400" s="37">
        <v>19173</v>
      </c>
      <c r="AD400" s="37">
        <v>0</v>
      </c>
      <c r="AE400" s="37">
        <v>0</v>
      </c>
      <c r="AF400" s="168">
        <v>0.02</v>
      </c>
      <c r="AG400" s="37">
        <v>1112324.28</v>
      </c>
      <c r="AH400" s="37">
        <v>9905.18</v>
      </c>
      <c r="AI400" s="37">
        <v>9572.68</v>
      </c>
      <c r="AJ400" s="37">
        <v>9764.1299999999992</v>
      </c>
      <c r="AK400" s="37">
        <v>9959.41</v>
      </c>
      <c r="AL400" s="37">
        <v>10158.6</v>
      </c>
      <c r="AM400" s="37">
        <v>10361.77</v>
      </c>
      <c r="AN400" s="37">
        <v>10569.01</v>
      </c>
      <c r="AO400" s="37">
        <v>10780.39</v>
      </c>
      <c r="AP400" s="37">
        <v>10995.99</v>
      </c>
      <c r="AQ400" s="37">
        <v>11215.91</v>
      </c>
      <c r="AR400" s="37">
        <v>103283.07</v>
      </c>
      <c r="AS400" s="37">
        <v>0</v>
      </c>
      <c r="AT400" s="37">
        <v>0</v>
      </c>
      <c r="AU400" s="37">
        <v>0</v>
      </c>
      <c r="AV400" s="37">
        <v>0</v>
      </c>
      <c r="AW400" s="37">
        <v>0</v>
      </c>
      <c r="AX400" s="37">
        <v>0</v>
      </c>
      <c r="AY400" s="37">
        <v>0</v>
      </c>
      <c r="AZ400" s="37">
        <v>0</v>
      </c>
      <c r="BA400" s="37">
        <v>0</v>
      </c>
      <c r="BB400" s="37">
        <v>0</v>
      </c>
      <c r="BC400" s="37">
        <v>0</v>
      </c>
      <c r="BD400" s="37">
        <v>0</v>
      </c>
      <c r="BE400" s="37">
        <v>0</v>
      </c>
      <c r="BF400" s="37">
        <v>0</v>
      </c>
      <c r="BG400" s="37">
        <v>0</v>
      </c>
      <c r="BH400" s="37">
        <v>0</v>
      </c>
      <c r="BI400" s="37">
        <v>0</v>
      </c>
      <c r="BJ400" s="37">
        <v>0</v>
      </c>
      <c r="BK400" s="37">
        <v>0</v>
      </c>
      <c r="BL400" s="37">
        <v>0</v>
      </c>
      <c r="BM400" s="37">
        <v>0</v>
      </c>
      <c r="BN400" s="37">
        <v>0</v>
      </c>
      <c r="BO400" s="37">
        <v>0</v>
      </c>
      <c r="BP400" s="37">
        <v>0</v>
      </c>
      <c r="BQ400" s="37">
        <v>0</v>
      </c>
      <c r="BR400" s="37">
        <v>0</v>
      </c>
      <c r="BS400" s="37">
        <v>0</v>
      </c>
      <c r="BT400" s="37">
        <v>0</v>
      </c>
      <c r="BU400" s="37">
        <v>0</v>
      </c>
      <c r="BV400" s="37">
        <v>0</v>
      </c>
      <c r="BW400" s="37">
        <v>0</v>
      </c>
      <c r="BX400" s="37">
        <v>0</v>
      </c>
      <c r="BY400" s="37">
        <v>0</v>
      </c>
      <c r="BZ400" s="37">
        <v>0</v>
      </c>
      <c r="CA400" s="37">
        <v>0</v>
      </c>
      <c r="CB400" s="37">
        <v>0</v>
      </c>
      <c r="CC400" s="37">
        <v>0</v>
      </c>
      <c r="CD400" s="37">
        <v>0</v>
      </c>
      <c r="CE400" s="37">
        <v>0</v>
      </c>
      <c r="CF400" s="37">
        <v>0</v>
      </c>
      <c r="CG400" s="37">
        <v>0</v>
      </c>
      <c r="CH400" s="37">
        <v>0</v>
      </c>
      <c r="CI400" s="37">
        <v>0</v>
      </c>
      <c r="CJ400" s="37">
        <v>0</v>
      </c>
      <c r="CK400" s="37">
        <v>0</v>
      </c>
      <c r="CL400" s="37">
        <v>0</v>
      </c>
      <c r="CM400" s="37">
        <v>0</v>
      </c>
      <c r="CN400" s="37">
        <v>0</v>
      </c>
      <c r="CO400" s="37">
        <v>0</v>
      </c>
      <c r="CP400" s="37">
        <v>0</v>
      </c>
      <c r="CQ400" s="37">
        <v>0</v>
      </c>
      <c r="CR400" s="37">
        <v>0</v>
      </c>
      <c r="CS400" s="37">
        <v>0</v>
      </c>
      <c r="CT400" s="37">
        <v>0</v>
      </c>
      <c r="CU400" s="37">
        <v>0</v>
      </c>
      <c r="CV400" s="37">
        <v>0</v>
      </c>
      <c r="CW400" s="37">
        <v>0</v>
      </c>
      <c r="CX400" s="37">
        <v>0</v>
      </c>
      <c r="CY400" s="37">
        <v>0</v>
      </c>
      <c r="CZ400" s="37">
        <v>0</v>
      </c>
      <c r="DA400" s="37">
        <v>0</v>
      </c>
      <c r="DB400" s="37">
        <v>0</v>
      </c>
      <c r="DC400" s="37">
        <v>0</v>
      </c>
      <c r="DD400" s="37">
        <v>0</v>
      </c>
      <c r="DE400" s="37">
        <v>0</v>
      </c>
      <c r="DF400" s="37">
        <v>0</v>
      </c>
      <c r="DG400" s="37">
        <v>0</v>
      </c>
      <c r="DH400" s="37">
        <v>0</v>
      </c>
      <c r="DI400" s="37">
        <v>0</v>
      </c>
      <c r="DJ400" s="37">
        <v>0</v>
      </c>
      <c r="DK400" s="37">
        <v>0</v>
      </c>
      <c r="DL400" s="37">
        <v>0</v>
      </c>
      <c r="DM400" s="37">
        <v>0</v>
      </c>
      <c r="DN400" s="37">
        <v>0</v>
      </c>
      <c r="DO400" s="37">
        <v>0</v>
      </c>
      <c r="DP400" s="37">
        <v>0</v>
      </c>
      <c r="DQ400" s="37">
        <v>0</v>
      </c>
      <c r="DR400" s="37">
        <v>0</v>
      </c>
      <c r="DS400" s="37">
        <v>0</v>
      </c>
      <c r="DT400" s="37">
        <v>0</v>
      </c>
      <c r="DU400" s="37">
        <v>0</v>
      </c>
      <c r="DV400" s="37">
        <v>0</v>
      </c>
      <c r="DW400" s="37">
        <v>0</v>
      </c>
      <c r="DX400" s="37">
        <v>0</v>
      </c>
      <c r="DY400" s="37">
        <v>0</v>
      </c>
      <c r="DZ400" s="37">
        <v>0</v>
      </c>
      <c r="EA400" s="37">
        <v>0</v>
      </c>
      <c r="EB400" s="37">
        <v>0</v>
      </c>
      <c r="EC400" s="37">
        <v>0</v>
      </c>
      <c r="ED400" s="37">
        <v>0</v>
      </c>
      <c r="EE400" s="37">
        <v>0</v>
      </c>
      <c r="EF400" s="37">
        <v>0</v>
      </c>
      <c r="EG400" s="37">
        <v>0</v>
      </c>
      <c r="EH400" s="37">
        <v>0</v>
      </c>
      <c r="EI400" s="37">
        <v>0</v>
      </c>
      <c r="EJ400" s="37">
        <v>0</v>
      </c>
      <c r="EK400" s="161" t="s">
        <v>1543</v>
      </c>
      <c r="EL400" s="294" t="s">
        <v>1124</v>
      </c>
    </row>
    <row r="401" spans="1:142" ht="15" customHeight="1" x14ac:dyDescent="0.35">
      <c r="A401" s="34"/>
      <c r="B401" s="313">
        <v>66023</v>
      </c>
      <c r="C401" s="8" t="s">
        <v>648</v>
      </c>
      <c r="D401" s="18">
        <v>6</v>
      </c>
      <c r="E401" s="155">
        <v>134909301.34871298</v>
      </c>
      <c r="F401" s="36">
        <v>93058739.334574029</v>
      </c>
      <c r="G401" s="37">
        <v>14413991.939999999</v>
      </c>
      <c r="H401" s="37">
        <v>13845374.239999998</v>
      </c>
      <c r="I401" s="37">
        <v>32971528.859999999</v>
      </c>
      <c r="J401" s="37">
        <v>24713838.699999999</v>
      </c>
      <c r="K401" s="37">
        <v>19974846.98</v>
      </c>
      <c r="L401" s="37">
        <v>13539996.23</v>
      </c>
      <c r="M401" s="37">
        <v>202269669.12871298</v>
      </c>
      <c r="N401" s="37">
        <v>145157948.50457403</v>
      </c>
      <c r="O401" s="37">
        <v>13074905.493799999</v>
      </c>
      <c r="P401" s="37">
        <v>2994680.9613999999</v>
      </c>
      <c r="Q401" s="37">
        <v>12972560</v>
      </c>
      <c r="R401" s="37">
        <v>0</v>
      </c>
      <c r="S401" s="37">
        <v>2206569.2992000002</v>
      </c>
      <c r="T401" s="37">
        <v>363822.88</v>
      </c>
      <c r="U401" s="37">
        <v>212407.875</v>
      </c>
      <c r="V401" s="37">
        <v>0</v>
      </c>
      <c r="W401" s="37">
        <v>201744101.68719739</v>
      </c>
      <c r="X401" s="37">
        <v>170121887.93166441</v>
      </c>
      <c r="Y401" s="37">
        <v>0</v>
      </c>
      <c r="Z401" s="37">
        <v>0</v>
      </c>
      <c r="AA401" s="37">
        <v>230210544.35519737</v>
      </c>
      <c r="AB401" s="37">
        <v>173480391.7730644</v>
      </c>
      <c r="AC401" s="37">
        <v>56263318</v>
      </c>
      <c r="AD401" s="37">
        <v>-7930045.5999999996</v>
      </c>
      <c r="AE401" s="37">
        <v>24415525.899999999</v>
      </c>
      <c r="AF401" s="168">
        <v>0</v>
      </c>
      <c r="AG401" s="37">
        <v>30040190117</v>
      </c>
      <c r="AH401" s="37">
        <v>304459633.10000002</v>
      </c>
      <c r="AI401" s="37">
        <v>279265809.7049697</v>
      </c>
      <c r="AJ401" s="37">
        <v>272429828.20572931</v>
      </c>
      <c r="AK401" s="37">
        <v>279777946.31268889</v>
      </c>
      <c r="AL401" s="37">
        <v>281314630.06768888</v>
      </c>
      <c r="AM401" s="37">
        <v>297629442.02557778</v>
      </c>
      <c r="AN401" s="37">
        <v>299127995.80476964</v>
      </c>
      <c r="AO401" s="37">
        <v>291941526.25779998</v>
      </c>
      <c r="AP401" s="37">
        <v>298077359.72580004</v>
      </c>
      <c r="AQ401" s="37">
        <v>298182369.25380003</v>
      </c>
      <c r="AR401" s="37">
        <v>2902206540.4588242</v>
      </c>
      <c r="AS401" s="37">
        <v>2746358503.3000002</v>
      </c>
      <c r="AT401" s="37">
        <v>156225688.5</v>
      </c>
      <c r="AU401" s="37">
        <v>208009108.51566666</v>
      </c>
      <c r="AV401" s="37">
        <v>358738450.40588886</v>
      </c>
      <c r="AW401" s="37">
        <v>377936906.20211107</v>
      </c>
      <c r="AX401" s="37">
        <v>179310300.40211111</v>
      </c>
      <c r="AY401" s="37">
        <v>393188506.72222227</v>
      </c>
      <c r="AZ401" s="37">
        <v>373936303.86666667</v>
      </c>
      <c r="BA401" s="37">
        <v>367027062.19999999</v>
      </c>
      <c r="BB401" s="37">
        <v>378039435.69999999</v>
      </c>
      <c r="BC401" s="37">
        <v>357612160.09999996</v>
      </c>
      <c r="BD401" s="37">
        <v>3150023922.6146669</v>
      </c>
      <c r="BE401" s="37">
        <v>119050443.2</v>
      </c>
      <c r="BF401" s="37">
        <v>151692570.19999999</v>
      </c>
      <c r="BG401" s="37">
        <v>161799969.69186229</v>
      </c>
      <c r="BH401" s="37">
        <v>121759591.83471489</v>
      </c>
      <c r="BI401" s="37">
        <v>90385004.320000008</v>
      </c>
      <c r="BJ401" s="37">
        <v>112476982.32000001</v>
      </c>
      <c r="BK401" s="37">
        <v>94536982.320000008</v>
      </c>
      <c r="BL401" s="37">
        <v>94536982.320000008</v>
      </c>
      <c r="BM401" s="37">
        <v>81446254.200000003</v>
      </c>
      <c r="BN401" s="37">
        <v>78624000</v>
      </c>
      <c r="BO401" s="37">
        <v>78624000</v>
      </c>
      <c r="BP401" s="37">
        <v>1065882337.2065773</v>
      </c>
      <c r="BQ401" s="37">
        <v>117146286.89999999</v>
      </c>
      <c r="BR401" s="37">
        <v>102874367.09999999</v>
      </c>
      <c r="BS401" s="37">
        <v>167146383.20813769</v>
      </c>
      <c r="BT401" s="37">
        <v>132605058.5652851</v>
      </c>
      <c r="BU401" s="37">
        <v>146933824.78</v>
      </c>
      <c r="BV401" s="37">
        <v>171875129.18000001</v>
      </c>
      <c r="BW401" s="37">
        <v>166622493.38</v>
      </c>
      <c r="BX401" s="37">
        <v>180480566.68000001</v>
      </c>
      <c r="BY401" s="37">
        <v>190452616.79999998</v>
      </c>
      <c r="BZ401" s="37">
        <v>189219872.59999999</v>
      </c>
      <c r="CA401" s="37">
        <v>204388148.19999999</v>
      </c>
      <c r="CB401" s="37">
        <v>1652598460.4934227</v>
      </c>
      <c r="CC401" s="37">
        <v>75074080.799999997</v>
      </c>
      <c r="CD401" s="37">
        <v>69233227</v>
      </c>
      <c r="CE401" s="37">
        <v>71228760.299999997</v>
      </c>
      <c r="CF401" s="37">
        <v>65852686.200000003</v>
      </c>
      <c r="CG401" s="37">
        <v>65442236.200000003</v>
      </c>
      <c r="CH401" s="37">
        <v>66263136.200000003</v>
      </c>
      <c r="CI401" s="37">
        <v>66673586.200000003</v>
      </c>
      <c r="CJ401" s="37">
        <v>66673586.200000003</v>
      </c>
      <c r="CK401" s="37">
        <v>66673586.200000003</v>
      </c>
      <c r="CL401" s="37">
        <v>66673586.200000003</v>
      </c>
      <c r="CM401" s="37">
        <v>66673586.200000003</v>
      </c>
      <c r="CN401" s="37">
        <v>671387976.89999998</v>
      </c>
      <c r="CO401" s="37">
        <v>22069896.5</v>
      </c>
      <c r="CP401" s="37">
        <v>12043423.9</v>
      </c>
      <c r="CQ401" s="37">
        <v>30656510.5</v>
      </c>
      <c r="CR401" s="37">
        <v>96301715.503099993</v>
      </c>
      <c r="CS401" s="37">
        <v>11295584</v>
      </c>
      <c r="CT401" s="37">
        <v>6895560</v>
      </c>
      <c r="CU401" s="37">
        <v>9522440</v>
      </c>
      <c r="CV401" s="37">
        <v>6567200</v>
      </c>
      <c r="CW401" s="37">
        <v>0</v>
      </c>
      <c r="CX401" s="37">
        <v>0</v>
      </c>
      <c r="CY401" s="37">
        <v>0</v>
      </c>
      <c r="CZ401" s="37">
        <v>173282433.90309998</v>
      </c>
      <c r="DA401" s="37">
        <v>57777404.699999996</v>
      </c>
      <c r="DB401" s="37">
        <v>24820732.399999999</v>
      </c>
      <c r="DC401" s="37">
        <v>24887225.299999997</v>
      </c>
      <c r="DD401" s="37">
        <v>107187080.99689999</v>
      </c>
      <c r="DE401" s="37">
        <v>190968429.69999999</v>
      </c>
      <c r="DF401" s="37">
        <v>14326346.799999999</v>
      </c>
      <c r="DG401" s="37">
        <v>26872982.399999999</v>
      </c>
      <c r="DH401" s="37">
        <v>10505878.199999999</v>
      </c>
      <c r="DI401" s="37">
        <v>8819749.5999999996</v>
      </c>
      <c r="DJ401" s="37">
        <v>19914213.099999998</v>
      </c>
      <c r="DK401" s="37">
        <v>0</v>
      </c>
      <c r="DL401" s="37">
        <v>428302638.4968999</v>
      </c>
      <c r="DM401" s="37">
        <v>5329282.8</v>
      </c>
      <c r="DN401" s="37">
        <v>4655323.8999999994</v>
      </c>
      <c r="DO401" s="37">
        <v>158433.69999999998</v>
      </c>
      <c r="DP401" s="37">
        <v>0</v>
      </c>
      <c r="DQ401" s="37">
        <v>0</v>
      </c>
      <c r="DR401" s="37">
        <v>0</v>
      </c>
      <c r="DS401" s="37">
        <v>0</v>
      </c>
      <c r="DT401" s="37">
        <v>0</v>
      </c>
      <c r="DU401" s="37">
        <v>0</v>
      </c>
      <c r="DV401" s="37">
        <v>0</v>
      </c>
      <c r="DW401" s="37">
        <v>0</v>
      </c>
      <c r="DX401" s="37">
        <v>4813757.5999999996</v>
      </c>
      <c r="DY401" s="37">
        <v>0</v>
      </c>
      <c r="DZ401" s="37">
        <v>0</v>
      </c>
      <c r="EA401" s="37">
        <v>0</v>
      </c>
      <c r="EB401" s="37">
        <v>0</v>
      </c>
      <c r="EC401" s="37">
        <v>0</v>
      </c>
      <c r="ED401" s="37">
        <v>0</v>
      </c>
      <c r="EE401" s="37">
        <v>0</v>
      </c>
      <c r="EF401" s="37">
        <v>0</v>
      </c>
      <c r="EG401" s="37">
        <v>0</v>
      </c>
      <c r="EH401" s="37">
        <v>0</v>
      </c>
      <c r="EI401" s="37">
        <v>0</v>
      </c>
      <c r="EJ401" s="37">
        <v>0</v>
      </c>
      <c r="EK401" s="161" t="s">
        <v>2232</v>
      </c>
      <c r="EL401" s="294" t="s">
        <v>1124</v>
      </c>
    </row>
    <row r="402" spans="1:142" ht="15" customHeight="1" x14ac:dyDescent="0.35">
      <c r="A402" s="34"/>
      <c r="B402" s="313">
        <v>66007</v>
      </c>
      <c r="C402" s="8" t="s">
        <v>647</v>
      </c>
      <c r="D402" s="18">
        <v>6</v>
      </c>
      <c r="E402" s="155"/>
      <c r="F402" s="36"/>
      <c r="G402" s="37"/>
      <c r="H402" s="37"/>
      <c r="I402" s="37"/>
      <c r="J402" s="37"/>
      <c r="K402" s="37"/>
      <c r="L402" s="37"/>
      <c r="M402" s="37" t="s">
        <v>1124</v>
      </c>
      <c r="N402" s="37" t="s">
        <v>1124</v>
      </c>
      <c r="O402" s="37"/>
      <c r="P402" s="37"/>
      <c r="Q402" s="37"/>
      <c r="R402" s="37"/>
      <c r="S402" s="37"/>
      <c r="T402" s="37"/>
      <c r="U402" s="37"/>
      <c r="V402" s="37"/>
      <c r="W402" s="37"/>
      <c r="X402" s="37"/>
      <c r="Y402" s="37"/>
      <c r="Z402" s="37"/>
      <c r="AA402" s="37" t="s">
        <v>1124</v>
      </c>
      <c r="AB402" s="37" t="s">
        <v>1124</v>
      </c>
      <c r="AC402" s="37"/>
      <c r="AD402" s="37"/>
      <c r="AE402" s="37"/>
      <c r="AF402" s="168"/>
      <c r="AG402" s="37"/>
      <c r="AH402" s="37"/>
      <c r="AI402" s="37"/>
      <c r="AJ402" s="37"/>
      <c r="AK402" s="37"/>
      <c r="AL402" s="37"/>
      <c r="AM402" s="37"/>
      <c r="AN402" s="37"/>
      <c r="AO402" s="37"/>
      <c r="AP402" s="37"/>
      <c r="AQ402" s="37"/>
      <c r="AR402" s="37" t="s">
        <v>1124</v>
      </c>
      <c r="AS402" s="37"/>
      <c r="AT402" s="37"/>
      <c r="AU402" s="37"/>
      <c r="AV402" s="37"/>
      <c r="AW402" s="37"/>
      <c r="AX402" s="37"/>
      <c r="AY402" s="37"/>
      <c r="AZ402" s="37"/>
      <c r="BA402" s="37"/>
      <c r="BB402" s="37"/>
      <c r="BC402" s="37"/>
      <c r="BD402" s="37" t="s">
        <v>1124</v>
      </c>
      <c r="BE402" s="37"/>
      <c r="BF402" s="37"/>
      <c r="BG402" s="37"/>
      <c r="BH402" s="37"/>
      <c r="BI402" s="37"/>
      <c r="BJ402" s="37"/>
      <c r="BK402" s="37"/>
      <c r="BL402" s="37"/>
      <c r="BM402" s="37"/>
      <c r="BN402" s="37"/>
      <c r="BO402" s="37"/>
      <c r="BP402" s="37">
        <v>0</v>
      </c>
      <c r="BQ402" s="37"/>
      <c r="BR402" s="37"/>
      <c r="BS402" s="37"/>
      <c r="BT402" s="37"/>
      <c r="BU402" s="37"/>
      <c r="BV402" s="37"/>
      <c r="BW402" s="37"/>
      <c r="BX402" s="37"/>
      <c r="BY402" s="37"/>
      <c r="BZ402" s="37"/>
      <c r="CA402" s="37"/>
      <c r="CB402" s="37" t="s">
        <v>1124</v>
      </c>
      <c r="CC402" s="37"/>
      <c r="CD402" s="37"/>
      <c r="CE402" s="37"/>
      <c r="CF402" s="37"/>
      <c r="CG402" s="37"/>
      <c r="CH402" s="37"/>
      <c r="CI402" s="37"/>
      <c r="CJ402" s="37"/>
      <c r="CK402" s="37"/>
      <c r="CL402" s="37"/>
      <c r="CM402" s="37"/>
      <c r="CN402" s="37" t="s">
        <v>1124</v>
      </c>
      <c r="CO402" s="37"/>
      <c r="CP402" s="37"/>
      <c r="CQ402" s="37"/>
      <c r="CR402" s="37"/>
      <c r="CS402" s="37"/>
      <c r="CT402" s="37"/>
      <c r="CU402" s="37"/>
      <c r="CV402" s="37"/>
      <c r="CW402" s="37"/>
      <c r="CX402" s="37"/>
      <c r="CY402" s="37"/>
      <c r="CZ402" s="37" t="s">
        <v>1124</v>
      </c>
      <c r="DA402" s="37"/>
      <c r="DB402" s="37"/>
      <c r="DC402" s="37"/>
      <c r="DD402" s="37"/>
      <c r="DE402" s="37"/>
      <c r="DF402" s="37"/>
      <c r="DG402" s="37"/>
      <c r="DH402" s="37"/>
      <c r="DI402" s="37"/>
      <c r="DJ402" s="37"/>
      <c r="DK402" s="37"/>
      <c r="DL402" s="37" t="s">
        <v>1124</v>
      </c>
      <c r="DM402" s="37"/>
      <c r="DN402" s="37"/>
      <c r="DO402" s="37"/>
      <c r="DP402" s="37"/>
      <c r="DQ402" s="37"/>
      <c r="DR402" s="37"/>
      <c r="DS402" s="37"/>
      <c r="DT402" s="37"/>
      <c r="DU402" s="37"/>
      <c r="DV402" s="37"/>
      <c r="DW402" s="37"/>
      <c r="DX402" s="37" t="s">
        <v>1124</v>
      </c>
      <c r="DY402" s="37"/>
      <c r="DZ402" s="37"/>
      <c r="EA402" s="37"/>
      <c r="EB402" s="37"/>
      <c r="EC402" s="37"/>
      <c r="ED402" s="37"/>
      <c r="EE402" s="37"/>
      <c r="EF402" s="37"/>
      <c r="EG402" s="37"/>
      <c r="EH402" s="37"/>
      <c r="EI402" s="37"/>
      <c r="EJ402" s="37" t="s">
        <v>1124</v>
      </c>
      <c r="EK402" s="161"/>
      <c r="EL402" s="294"/>
    </row>
    <row r="403" spans="1:142" ht="15" customHeight="1" x14ac:dyDescent="0.35">
      <c r="A403" s="34"/>
      <c r="B403" s="313">
        <v>66047</v>
      </c>
      <c r="C403" s="8" t="s">
        <v>650</v>
      </c>
      <c r="D403" s="18">
        <v>6</v>
      </c>
      <c r="E403" s="155">
        <v>567557.77431550936</v>
      </c>
      <c r="F403" s="36">
        <v>259294.48401657643</v>
      </c>
      <c r="G403" s="37">
        <v>184646.70873476952</v>
      </c>
      <c r="H403" s="37">
        <v>184779.59803963656</v>
      </c>
      <c r="I403" s="37">
        <v>573678.11455307761</v>
      </c>
      <c r="J403" s="37">
        <v>553000.38310147508</v>
      </c>
      <c r="K403" s="37">
        <v>32493.414242406154</v>
      </c>
      <c r="L403" s="37">
        <v>30606.103370092227</v>
      </c>
      <c r="M403" s="37">
        <v>1358376.0118457626</v>
      </c>
      <c r="N403" s="37">
        <v>1027680.5685277804</v>
      </c>
      <c r="O403" s="37">
        <v>411435.1455817325</v>
      </c>
      <c r="P403" s="37">
        <v>10314.602065170533</v>
      </c>
      <c r="Q403" s="37">
        <v>29405.11</v>
      </c>
      <c r="R403" s="37">
        <v>0</v>
      </c>
      <c r="S403" s="37">
        <v>3798.6209876004382</v>
      </c>
      <c r="T403" s="37">
        <v>1253.1178705760783</v>
      </c>
      <c r="U403" s="37">
        <v>27828.598034773375</v>
      </c>
      <c r="V403" s="37">
        <v>4101</v>
      </c>
      <c r="W403" s="37">
        <v>910335.53103448439</v>
      </c>
      <c r="X403" s="37">
        <v>1026416.2914916656</v>
      </c>
      <c r="Y403" s="37">
        <v>0</v>
      </c>
      <c r="Z403" s="37">
        <v>0</v>
      </c>
      <c r="AA403" s="37">
        <v>1382803.0056385905</v>
      </c>
      <c r="AB403" s="37">
        <v>1042085.0114274123</v>
      </c>
      <c r="AC403" s="37">
        <v>38831</v>
      </c>
      <c r="AD403" s="37">
        <v>7962.0485639490889</v>
      </c>
      <c r="AE403" s="37">
        <v>49341.51615393308</v>
      </c>
      <c r="AF403" s="168">
        <v>0.02</v>
      </c>
      <c r="AG403" s="37">
        <v>132007133.18000001</v>
      </c>
      <c r="AH403" s="37">
        <v>1155613.5</v>
      </c>
      <c r="AI403" s="37">
        <v>1118904.17</v>
      </c>
      <c r="AJ403" s="37">
        <v>1116295.8700000001</v>
      </c>
      <c r="AK403" s="37">
        <v>1166017.26</v>
      </c>
      <c r="AL403" s="37">
        <v>1195181.29</v>
      </c>
      <c r="AM403" s="37">
        <v>1282367.6200000001</v>
      </c>
      <c r="AN403" s="37">
        <v>1313943.8899999999</v>
      </c>
      <c r="AO403" s="37">
        <v>1311221.3799999999</v>
      </c>
      <c r="AP403" s="37">
        <v>1362702.53</v>
      </c>
      <c r="AQ403" s="37">
        <v>1390397.47</v>
      </c>
      <c r="AR403" s="37">
        <v>12412644.979999999</v>
      </c>
      <c r="AS403" s="37">
        <v>6740554.2599999998</v>
      </c>
      <c r="AT403" s="37">
        <v>443484.13</v>
      </c>
      <c r="AU403" s="37">
        <v>637888.07999999996</v>
      </c>
      <c r="AV403" s="37">
        <v>1201580.68</v>
      </c>
      <c r="AW403" s="37">
        <v>1297188.53</v>
      </c>
      <c r="AX403" s="37">
        <v>567796.28</v>
      </c>
      <c r="AY403" s="37">
        <v>1408753.61</v>
      </c>
      <c r="AZ403" s="37">
        <v>1360758.76</v>
      </c>
      <c r="BA403" s="37">
        <v>1360091.31</v>
      </c>
      <c r="BB403" s="37">
        <v>1432623</v>
      </c>
      <c r="BC403" s="37">
        <v>1375509.67</v>
      </c>
      <c r="BD403" s="37">
        <v>11085674.050000001</v>
      </c>
      <c r="BE403" s="37">
        <v>1036269.3360401933</v>
      </c>
      <c r="BF403" s="37">
        <v>86739.959461942533</v>
      </c>
      <c r="BG403" s="37">
        <v>853498.84152140096</v>
      </c>
      <c r="BH403" s="37">
        <v>745751.3127067649</v>
      </c>
      <c r="BI403" s="37">
        <v>652060.54678035504</v>
      </c>
      <c r="BJ403" s="37">
        <v>54809.204191207507</v>
      </c>
      <c r="BK403" s="37">
        <v>54809.204191207507</v>
      </c>
      <c r="BL403" s="37">
        <v>54809.204191207507</v>
      </c>
      <c r="BM403" s="37">
        <v>9720.71127942364</v>
      </c>
      <c r="BN403" s="37">
        <v>0</v>
      </c>
      <c r="BO403" s="37">
        <v>0</v>
      </c>
      <c r="BP403" s="37">
        <v>2512198.9843235095</v>
      </c>
      <c r="BQ403" s="37">
        <v>2036264.0087859745</v>
      </c>
      <c r="BR403" s="37">
        <v>354330.95311986358</v>
      </c>
      <c r="BS403" s="37">
        <v>1854510.3968767994</v>
      </c>
      <c r="BT403" s="37">
        <v>1527947.4333028062</v>
      </c>
      <c r="BU403" s="37">
        <v>2245417.241080564</v>
      </c>
      <c r="BV403" s="37">
        <v>392589.50124788488</v>
      </c>
      <c r="BW403" s="37">
        <v>396372.60528856807</v>
      </c>
      <c r="BX403" s="37">
        <v>461508.15669755073</v>
      </c>
      <c r="BY403" s="37">
        <v>587404.6566965736</v>
      </c>
      <c r="BZ403" s="37">
        <v>503887.96973566158</v>
      </c>
      <c r="CA403" s="37">
        <v>574245.78808271734</v>
      </c>
      <c r="CB403" s="37">
        <v>8898214.7021289878</v>
      </c>
      <c r="CC403" s="37">
        <v>41597.179855404473</v>
      </c>
      <c r="CD403" s="37">
        <v>39668.871218823057</v>
      </c>
      <c r="CE403" s="37">
        <v>46559.323047780417</v>
      </c>
      <c r="CF403" s="37">
        <v>28042.470758965577</v>
      </c>
      <c r="CG403" s="37">
        <v>26628.754749741664</v>
      </c>
      <c r="CH403" s="37">
        <v>29456.186768189495</v>
      </c>
      <c r="CI403" s="37">
        <v>30869.902777413408</v>
      </c>
      <c r="CJ403" s="37">
        <v>30869.902777413408</v>
      </c>
      <c r="CK403" s="37">
        <v>30869.902777413408</v>
      </c>
      <c r="CL403" s="37">
        <v>30869.902777413408</v>
      </c>
      <c r="CM403" s="37">
        <v>30869.902777413408</v>
      </c>
      <c r="CN403" s="37">
        <v>324705.12043056724</v>
      </c>
      <c r="CO403" s="37">
        <v>76015.509815969912</v>
      </c>
      <c r="CP403" s="37">
        <v>41481.255142648115</v>
      </c>
      <c r="CQ403" s="37">
        <v>105590.44872893421</v>
      </c>
      <c r="CR403" s="37">
        <v>331692.71999624645</v>
      </c>
      <c r="CS403" s="37">
        <v>38905.464573842139</v>
      </c>
      <c r="CT403" s="37">
        <v>23750.428954961772</v>
      </c>
      <c r="CU403" s="37">
        <v>32798.211413994832</v>
      </c>
      <c r="CV403" s="37">
        <v>22619.456147582641</v>
      </c>
      <c r="CW403" s="37">
        <v>0</v>
      </c>
      <c r="CX403" s="37">
        <v>0</v>
      </c>
      <c r="CY403" s="37">
        <v>0</v>
      </c>
      <c r="CZ403" s="37">
        <v>596837.98495821015</v>
      </c>
      <c r="DA403" s="37">
        <v>199003.14775441363</v>
      </c>
      <c r="DB403" s="37">
        <v>85490.234509788585</v>
      </c>
      <c r="DC403" s="37">
        <v>85719.256503282857</v>
      </c>
      <c r="DD403" s="37">
        <v>369185.26589669386</v>
      </c>
      <c r="DE403" s="37">
        <v>657753.992747574</v>
      </c>
      <c r="DF403" s="37">
        <v>49344.34358595153</v>
      </c>
      <c r="DG403" s="37">
        <v>92558.81455590816</v>
      </c>
      <c r="DH403" s="37">
        <v>36185.474972095326</v>
      </c>
      <c r="DI403" s="37">
        <v>30377.929606203485</v>
      </c>
      <c r="DJ403" s="37">
        <v>68590.673335525906</v>
      </c>
      <c r="DK403" s="37">
        <v>0</v>
      </c>
      <c r="DL403" s="37">
        <v>1475205.9857130237</v>
      </c>
      <c r="DM403" s="37">
        <v>18355.688663763314</v>
      </c>
      <c r="DN403" s="37">
        <v>16034.366976617644</v>
      </c>
      <c r="DO403" s="37">
        <v>545.69437956043123</v>
      </c>
      <c r="DP403" s="37">
        <v>0</v>
      </c>
      <c r="DQ403" s="37">
        <v>0</v>
      </c>
      <c r="DR403" s="37">
        <v>0</v>
      </c>
      <c r="DS403" s="37">
        <v>0</v>
      </c>
      <c r="DT403" s="37">
        <v>0</v>
      </c>
      <c r="DU403" s="37">
        <v>0</v>
      </c>
      <c r="DV403" s="37">
        <v>0</v>
      </c>
      <c r="DW403" s="37">
        <v>0</v>
      </c>
      <c r="DX403" s="37">
        <v>16580.061356178077</v>
      </c>
      <c r="DY403" s="37">
        <v>0</v>
      </c>
      <c r="DZ403" s="37">
        <v>0</v>
      </c>
      <c r="EA403" s="37">
        <v>0</v>
      </c>
      <c r="EB403" s="37">
        <v>0</v>
      </c>
      <c r="EC403" s="37">
        <v>0</v>
      </c>
      <c r="ED403" s="37">
        <v>0</v>
      </c>
      <c r="EE403" s="37">
        <v>0</v>
      </c>
      <c r="EF403" s="37">
        <v>0</v>
      </c>
      <c r="EG403" s="37">
        <v>0</v>
      </c>
      <c r="EH403" s="37">
        <v>0</v>
      </c>
      <c r="EI403" s="37">
        <v>0</v>
      </c>
      <c r="EJ403" s="37">
        <v>0</v>
      </c>
      <c r="EK403" s="161" t="s">
        <v>2239</v>
      </c>
      <c r="EL403" s="294" t="s">
        <v>1124</v>
      </c>
    </row>
    <row r="404" spans="1:142" ht="15" customHeight="1" x14ac:dyDescent="0.35">
      <c r="A404" s="34"/>
      <c r="B404" s="313">
        <v>66072</v>
      </c>
      <c r="C404" s="8" t="s">
        <v>653</v>
      </c>
      <c r="D404" s="18">
        <v>6</v>
      </c>
      <c r="E404" s="155">
        <v>7630631.3283639001</v>
      </c>
      <c r="F404" s="36">
        <v>2468271.8488722006</v>
      </c>
      <c r="G404" s="37">
        <v>242941.58199999999</v>
      </c>
      <c r="H404" s="37">
        <v>197159.272</v>
      </c>
      <c r="I404" s="37">
        <v>996908.65800000005</v>
      </c>
      <c r="J404" s="37">
        <v>399948.61</v>
      </c>
      <c r="K404" s="37">
        <v>1137034.094</v>
      </c>
      <c r="L404" s="37">
        <v>363119.36900000001</v>
      </c>
      <c r="M404" s="37">
        <v>10007515.6623639</v>
      </c>
      <c r="N404" s="37">
        <v>3428499.0998722007</v>
      </c>
      <c r="O404" s="37">
        <v>2507066.3981400002</v>
      </c>
      <c r="P404" s="37">
        <v>77593.938420000006</v>
      </c>
      <c r="Q404" s="37">
        <v>0</v>
      </c>
      <c r="R404" s="37">
        <v>0</v>
      </c>
      <c r="S404" s="37">
        <v>57290.989759999997</v>
      </c>
      <c r="T404" s="37">
        <v>9426.8639999999996</v>
      </c>
      <c r="U404" s="37">
        <v>58540.612500000003</v>
      </c>
      <c r="V404" s="37">
        <v>0</v>
      </c>
      <c r="W404" s="37">
        <v>7568377.682004516</v>
      </c>
      <c r="X404" s="37">
        <v>3449838.9931209749</v>
      </c>
      <c r="Y404" s="37">
        <v>0</v>
      </c>
      <c r="Z404" s="37">
        <v>0</v>
      </c>
      <c r="AA404" s="37">
        <v>10191275.682404516</v>
      </c>
      <c r="AB404" s="37">
        <v>3536859.7955409749</v>
      </c>
      <c r="AC404" s="37">
        <v>292120</v>
      </c>
      <c r="AD404" s="37">
        <v>59896.32</v>
      </c>
      <c r="AE404" s="37">
        <v>371182.77</v>
      </c>
      <c r="AF404" s="168">
        <v>0.02</v>
      </c>
      <c r="AG404" s="37">
        <v>593077703.82000005</v>
      </c>
      <c r="AH404" s="37">
        <v>4756554.71</v>
      </c>
      <c r="AI404" s="37">
        <v>4401664.17</v>
      </c>
      <c r="AJ404" s="37">
        <v>4301731.74</v>
      </c>
      <c r="AK404" s="37">
        <v>4593855.0199999996</v>
      </c>
      <c r="AL404" s="37">
        <v>4729692.6100000003</v>
      </c>
      <c r="AM404" s="37">
        <v>5300344.9800000004</v>
      </c>
      <c r="AN404" s="37">
        <v>5450953.5099999998</v>
      </c>
      <c r="AO404" s="37">
        <v>5341803</v>
      </c>
      <c r="AP404" s="37">
        <v>5638638.5099999998</v>
      </c>
      <c r="AQ404" s="37">
        <v>5754727.9900000002</v>
      </c>
      <c r="AR404" s="37">
        <v>50269966.240000002</v>
      </c>
      <c r="AS404" s="37">
        <v>40895028.409999996</v>
      </c>
      <c r="AT404" s="37">
        <v>3336210.14</v>
      </c>
      <c r="AU404" s="37">
        <v>4798658.05</v>
      </c>
      <c r="AV404" s="37">
        <v>9039163.7300000004</v>
      </c>
      <c r="AW404" s="37">
        <v>9758395.5700000003</v>
      </c>
      <c r="AX404" s="37">
        <v>4271376.58</v>
      </c>
      <c r="AY404" s="37">
        <v>10597669.26</v>
      </c>
      <c r="AZ404" s="37">
        <v>10236617.039999999</v>
      </c>
      <c r="BA404" s="37">
        <v>10231595.99</v>
      </c>
      <c r="BB404" s="37">
        <v>10777232.1</v>
      </c>
      <c r="BC404" s="37">
        <v>10347584.109999999</v>
      </c>
      <c r="BD404" s="37">
        <v>83394502.569999993</v>
      </c>
      <c r="BE404" s="37">
        <v>120132.96</v>
      </c>
      <c r="BF404" s="37">
        <v>652521.06000000006</v>
      </c>
      <c r="BG404" s="37">
        <v>738723.10475808394</v>
      </c>
      <c r="BH404" s="37">
        <v>894086.01330781553</v>
      </c>
      <c r="BI404" s="37">
        <v>445921.29600000009</v>
      </c>
      <c r="BJ404" s="37">
        <v>412314.69600000011</v>
      </c>
      <c r="BK404" s="37">
        <v>412314.69600000011</v>
      </c>
      <c r="BL404" s="37">
        <v>412314.69600000011</v>
      </c>
      <c r="BM404" s="37">
        <v>73126.260000000009</v>
      </c>
      <c r="BN404" s="37">
        <v>0</v>
      </c>
      <c r="BO404" s="37">
        <v>0</v>
      </c>
      <c r="BP404" s="37">
        <v>4041321.8220658996</v>
      </c>
      <c r="BQ404" s="37">
        <v>1930061.07</v>
      </c>
      <c r="BR404" s="37">
        <v>2665535.13</v>
      </c>
      <c r="BS404" s="37">
        <v>5119157.7652419154</v>
      </c>
      <c r="BT404" s="37">
        <v>3046309.1066921842</v>
      </c>
      <c r="BU404" s="37">
        <v>3350752.4339999999</v>
      </c>
      <c r="BV404" s="37">
        <v>2953343.7540000002</v>
      </c>
      <c r="BW404" s="37">
        <v>2981803.014</v>
      </c>
      <c r="BX404" s="37">
        <v>3471800.0040000002</v>
      </c>
      <c r="BY404" s="37">
        <v>4418885.04</v>
      </c>
      <c r="BZ404" s="37">
        <v>3790611.7800000003</v>
      </c>
      <c r="CA404" s="37">
        <v>4319894.46</v>
      </c>
      <c r="CB404" s="37">
        <v>36118092.487934105</v>
      </c>
      <c r="CC404" s="37">
        <v>312924.24</v>
      </c>
      <c r="CD404" s="37">
        <v>298418.10000000003</v>
      </c>
      <c r="CE404" s="37">
        <v>350253.09</v>
      </c>
      <c r="CF404" s="37">
        <v>210955.86000000002</v>
      </c>
      <c r="CG404" s="37">
        <v>200320.86000000002</v>
      </c>
      <c r="CH404" s="37">
        <v>221590.86000000002</v>
      </c>
      <c r="CI404" s="37">
        <v>232225.86000000002</v>
      </c>
      <c r="CJ404" s="37">
        <v>232225.86000000002</v>
      </c>
      <c r="CK404" s="37">
        <v>232225.86000000002</v>
      </c>
      <c r="CL404" s="37">
        <v>232225.86000000002</v>
      </c>
      <c r="CM404" s="37">
        <v>232225.86000000002</v>
      </c>
      <c r="CN404" s="37">
        <v>2442668.0700000003</v>
      </c>
      <c r="CO404" s="37">
        <v>571843.95000000007</v>
      </c>
      <c r="CP404" s="37">
        <v>312052.17</v>
      </c>
      <c r="CQ404" s="37">
        <v>794328.15</v>
      </c>
      <c r="CR404" s="37">
        <v>2495233.8759300001</v>
      </c>
      <c r="CS404" s="37">
        <v>292675.20000000001</v>
      </c>
      <c r="CT404" s="37">
        <v>178668</v>
      </c>
      <c r="CU404" s="37">
        <v>246732</v>
      </c>
      <c r="CV404" s="37">
        <v>170160</v>
      </c>
      <c r="CW404" s="37">
        <v>0</v>
      </c>
      <c r="CX404" s="37">
        <v>0</v>
      </c>
      <c r="CY404" s="37">
        <v>0</v>
      </c>
      <c r="CZ404" s="37">
        <v>4489849.3959300006</v>
      </c>
      <c r="DA404" s="37">
        <v>1497046.4100000001</v>
      </c>
      <c r="DB404" s="37">
        <v>643119.72</v>
      </c>
      <c r="DC404" s="37">
        <v>644842.59</v>
      </c>
      <c r="DD404" s="37">
        <v>2777280.0740700001</v>
      </c>
      <c r="DE404" s="37">
        <v>4948103.91</v>
      </c>
      <c r="DF404" s="37">
        <v>371204.04000000004</v>
      </c>
      <c r="DG404" s="37">
        <v>696294.72</v>
      </c>
      <c r="DH404" s="37">
        <v>272213.46000000002</v>
      </c>
      <c r="DI404" s="37">
        <v>228524.88</v>
      </c>
      <c r="DJ404" s="37">
        <v>515988.93</v>
      </c>
      <c r="DK404" s="37">
        <v>0</v>
      </c>
      <c r="DL404" s="37">
        <v>11097572.324070001</v>
      </c>
      <c r="DM404" s="37">
        <v>138084.84</v>
      </c>
      <c r="DN404" s="37">
        <v>120622.17</v>
      </c>
      <c r="DO404" s="37">
        <v>4105.1100000000006</v>
      </c>
      <c r="DP404" s="37">
        <v>0</v>
      </c>
      <c r="DQ404" s="37">
        <v>0</v>
      </c>
      <c r="DR404" s="37">
        <v>0</v>
      </c>
      <c r="DS404" s="37">
        <v>0</v>
      </c>
      <c r="DT404" s="37">
        <v>0</v>
      </c>
      <c r="DU404" s="37">
        <v>0</v>
      </c>
      <c r="DV404" s="37">
        <v>0</v>
      </c>
      <c r="DW404" s="37">
        <v>0</v>
      </c>
      <c r="DX404" s="37">
        <v>124727.28</v>
      </c>
      <c r="DY404" s="37">
        <v>0</v>
      </c>
      <c r="DZ404" s="37">
        <v>0</v>
      </c>
      <c r="EA404" s="37">
        <v>0</v>
      </c>
      <c r="EB404" s="37">
        <v>0</v>
      </c>
      <c r="EC404" s="37">
        <v>0</v>
      </c>
      <c r="ED404" s="37">
        <v>0</v>
      </c>
      <c r="EE404" s="37">
        <v>0</v>
      </c>
      <c r="EF404" s="37">
        <v>0</v>
      </c>
      <c r="EG404" s="37">
        <v>0</v>
      </c>
      <c r="EH404" s="37">
        <v>0</v>
      </c>
      <c r="EI404" s="37">
        <v>0</v>
      </c>
      <c r="EJ404" s="37">
        <v>0</v>
      </c>
      <c r="EK404" s="161" t="s">
        <v>2242</v>
      </c>
      <c r="EL404" s="294" t="s">
        <v>1124</v>
      </c>
    </row>
    <row r="405" spans="1:142" ht="15" customHeight="1" x14ac:dyDescent="0.35">
      <c r="A405" s="34"/>
      <c r="B405" s="313">
        <v>56097</v>
      </c>
      <c r="C405" s="8" t="s">
        <v>579</v>
      </c>
      <c r="D405" s="18">
        <v>16</v>
      </c>
      <c r="E405" s="155"/>
      <c r="F405" s="36"/>
      <c r="G405" s="37"/>
      <c r="H405" s="37"/>
      <c r="I405" s="37"/>
      <c r="J405" s="37"/>
      <c r="K405" s="37"/>
      <c r="L405" s="37"/>
      <c r="M405" s="37" t="s">
        <v>1124</v>
      </c>
      <c r="N405" s="37" t="s">
        <v>1124</v>
      </c>
      <c r="O405" s="37"/>
      <c r="P405" s="37"/>
      <c r="Q405" s="37"/>
      <c r="R405" s="37"/>
      <c r="S405" s="37"/>
      <c r="T405" s="37"/>
      <c r="U405" s="37"/>
      <c r="V405" s="37"/>
      <c r="W405" s="37"/>
      <c r="X405" s="37"/>
      <c r="Y405" s="37"/>
      <c r="Z405" s="37"/>
      <c r="AA405" s="37" t="s">
        <v>1124</v>
      </c>
      <c r="AB405" s="37" t="s">
        <v>1124</v>
      </c>
      <c r="AC405" s="37"/>
      <c r="AD405" s="37"/>
      <c r="AE405" s="37"/>
      <c r="AF405" s="168"/>
      <c r="AG405" s="37"/>
      <c r="AH405" s="37"/>
      <c r="AI405" s="37"/>
      <c r="AJ405" s="37"/>
      <c r="AK405" s="37"/>
      <c r="AL405" s="37"/>
      <c r="AM405" s="37"/>
      <c r="AN405" s="37"/>
      <c r="AO405" s="37"/>
      <c r="AP405" s="37"/>
      <c r="AQ405" s="37"/>
      <c r="AR405" s="37" t="s">
        <v>1124</v>
      </c>
      <c r="AS405" s="37"/>
      <c r="AT405" s="37"/>
      <c r="AU405" s="37"/>
      <c r="AV405" s="37"/>
      <c r="AW405" s="37"/>
      <c r="AX405" s="37"/>
      <c r="AY405" s="37"/>
      <c r="AZ405" s="37"/>
      <c r="BA405" s="37"/>
      <c r="BB405" s="37"/>
      <c r="BC405" s="37"/>
      <c r="BD405" s="37" t="s">
        <v>1124</v>
      </c>
      <c r="BE405" s="37"/>
      <c r="BF405" s="37"/>
      <c r="BG405" s="37"/>
      <c r="BH405" s="37"/>
      <c r="BI405" s="37"/>
      <c r="BJ405" s="37"/>
      <c r="BK405" s="37"/>
      <c r="BL405" s="37"/>
      <c r="BM405" s="37"/>
      <c r="BN405" s="37"/>
      <c r="BO405" s="37"/>
      <c r="BP405" s="37">
        <v>0</v>
      </c>
      <c r="BQ405" s="37"/>
      <c r="BR405" s="37"/>
      <c r="BS405" s="37"/>
      <c r="BT405" s="37"/>
      <c r="BU405" s="37"/>
      <c r="BV405" s="37"/>
      <c r="BW405" s="37"/>
      <c r="BX405" s="37"/>
      <c r="BY405" s="37"/>
      <c r="BZ405" s="37"/>
      <c r="CA405" s="37"/>
      <c r="CB405" s="37" t="s">
        <v>1124</v>
      </c>
      <c r="CC405" s="37"/>
      <c r="CD405" s="37"/>
      <c r="CE405" s="37"/>
      <c r="CF405" s="37"/>
      <c r="CG405" s="37"/>
      <c r="CH405" s="37"/>
      <c r="CI405" s="37"/>
      <c r="CJ405" s="37"/>
      <c r="CK405" s="37"/>
      <c r="CL405" s="37"/>
      <c r="CM405" s="37"/>
      <c r="CN405" s="37" t="s">
        <v>1124</v>
      </c>
      <c r="CO405" s="37"/>
      <c r="CP405" s="37"/>
      <c r="CQ405" s="37"/>
      <c r="CR405" s="37"/>
      <c r="CS405" s="37"/>
      <c r="CT405" s="37"/>
      <c r="CU405" s="37"/>
      <c r="CV405" s="37"/>
      <c r="CW405" s="37"/>
      <c r="CX405" s="37"/>
      <c r="CY405" s="37"/>
      <c r="CZ405" s="37" t="s">
        <v>1124</v>
      </c>
      <c r="DA405" s="37"/>
      <c r="DB405" s="37"/>
      <c r="DC405" s="37"/>
      <c r="DD405" s="37"/>
      <c r="DE405" s="37"/>
      <c r="DF405" s="37"/>
      <c r="DG405" s="37"/>
      <c r="DH405" s="37"/>
      <c r="DI405" s="37"/>
      <c r="DJ405" s="37"/>
      <c r="DK405" s="37"/>
      <c r="DL405" s="37" t="s">
        <v>1124</v>
      </c>
      <c r="DM405" s="37"/>
      <c r="DN405" s="37"/>
      <c r="DO405" s="37"/>
      <c r="DP405" s="37"/>
      <c r="DQ405" s="37"/>
      <c r="DR405" s="37"/>
      <c r="DS405" s="37"/>
      <c r="DT405" s="37"/>
      <c r="DU405" s="37"/>
      <c r="DV405" s="37"/>
      <c r="DW405" s="37"/>
      <c r="DX405" s="37" t="s">
        <v>1124</v>
      </c>
      <c r="DY405" s="37"/>
      <c r="DZ405" s="37"/>
      <c r="EA405" s="37"/>
      <c r="EB405" s="37"/>
      <c r="EC405" s="37"/>
      <c r="ED405" s="37"/>
      <c r="EE405" s="37"/>
      <c r="EF405" s="37"/>
      <c r="EG405" s="37"/>
      <c r="EH405" s="37"/>
      <c r="EI405" s="37"/>
      <c r="EJ405" s="37" t="s">
        <v>1124</v>
      </c>
      <c r="EK405" s="161"/>
      <c r="EL405" s="294"/>
    </row>
    <row r="406" spans="1:142" ht="15" customHeight="1" x14ac:dyDescent="0.35">
      <c r="A406" s="34"/>
      <c r="B406" s="313">
        <v>57035</v>
      </c>
      <c r="C406" s="8" t="s">
        <v>587</v>
      </c>
      <c r="D406" s="18">
        <v>16</v>
      </c>
      <c r="E406" s="155">
        <v>2485895</v>
      </c>
      <c r="F406" s="36">
        <v>1323135</v>
      </c>
      <c r="G406" s="37">
        <v>307318</v>
      </c>
      <c r="H406" s="37">
        <v>263175</v>
      </c>
      <c r="I406" s="37">
        <v>704860</v>
      </c>
      <c r="J406" s="37">
        <v>217018</v>
      </c>
      <c r="K406" s="37">
        <v>372884.25</v>
      </c>
      <c r="L406" s="37">
        <v>198470.25</v>
      </c>
      <c r="M406" s="37">
        <v>3870957.25</v>
      </c>
      <c r="N406" s="37">
        <v>2001798.25</v>
      </c>
      <c r="O406" s="37">
        <v>174325</v>
      </c>
      <c r="P406" s="37">
        <v>54626</v>
      </c>
      <c r="Q406" s="37">
        <v>2456624</v>
      </c>
      <c r="R406" s="37">
        <v>1421324</v>
      </c>
      <c r="S406" s="37">
        <v>132361</v>
      </c>
      <c r="T406" s="37">
        <v>15897</v>
      </c>
      <c r="U406" s="37">
        <v>135405</v>
      </c>
      <c r="V406" s="37">
        <v>51968</v>
      </c>
      <c r="W406" s="37">
        <v>972242</v>
      </c>
      <c r="X406" s="37">
        <v>457984</v>
      </c>
      <c r="Y406" s="37">
        <v>0</v>
      </c>
      <c r="Z406" s="37">
        <v>0</v>
      </c>
      <c r="AA406" s="37">
        <v>3870957</v>
      </c>
      <c r="AB406" s="37">
        <v>2001799</v>
      </c>
      <c r="AC406" s="37">
        <v>0</v>
      </c>
      <c r="AD406" s="37">
        <v>0</v>
      </c>
      <c r="AE406" s="37">
        <v>0</v>
      </c>
      <c r="AF406" s="168">
        <v>0.02</v>
      </c>
      <c r="AG406" s="37">
        <v>259810984.15000001</v>
      </c>
      <c r="AH406" s="37">
        <v>2532261.56</v>
      </c>
      <c r="AI406" s="37">
        <v>2688443.93</v>
      </c>
      <c r="AJ406" s="37">
        <v>2742212.81</v>
      </c>
      <c r="AK406" s="37">
        <v>2687256.23</v>
      </c>
      <c r="AL406" s="37">
        <v>2741001.36</v>
      </c>
      <c r="AM406" s="37">
        <v>2795821.38</v>
      </c>
      <c r="AN406" s="37">
        <v>2851737.81</v>
      </c>
      <c r="AO406" s="37">
        <v>2908772.57</v>
      </c>
      <c r="AP406" s="37">
        <v>2966948.02</v>
      </c>
      <c r="AQ406" s="37">
        <v>3026286.98</v>
      </c>
      <c r="AR406" s="37">
        <v>27940742.649999999</v>
      </c>
      <c r="AS406" s="37">
        <v>6107615.1399999997</v>
      </c>
      <c r="AT406" s="37">
        <v>1329111</v>
      </c>
      <c r="AU406" s="37">
        <v>1355693.22</v>
      </c>
      <c r="AV406" s="37">
        <v>1382807.08</v>
      </c>
      <c r="AW406" s="37">
        <v>1410463.23</v>
      </c>
      <c r="AX406" s="37">
        <v>1438672.49</v>
      </c>
      <c r="AY406" s="37">
        <v>1467445.94</v>
      </c>
      <c r="AZ406" s="37">
        <v>1496794.86</v>
      </c>
      <c r="BA406" s="37">
        <v>1526730.76</v>
      </c>
      <c r="BB406" s="37">
        <v>1557265.37</v>
      </c>
      <c r="BC406" s="37">
        <v>1588410.68</v>
      </c>
      <c r="BD406" s="37">
        <v>14553394.630000001</v>
      </c>
      <c r="BE406" s="37">
        <v>0</v>
      </c>
      <c r="BF406" s="37">
        <v>1138380</v>
      </c>
      <c r="BG406" s="37">
        <v>1689252</v>
      </c>
      <c r="BH406" s="37">
        <v>1171160</v>
      </c>
      <c r="BI406" s="37">
        <v>0</v>
      </c>
      <c r="BJ406" s="37">
        <v>0</v>
      </c>
      <c r="BK406" s="37">
        <v>0</v>
      </c>
      <c r="BL406" s="37">
        <v>0</v>
      </c>
      <c r="BM406" s="37">
        <v>0</v>
      </c>
      <c r="BN406" s="37">
        <v>0</v>
      </c>
      <c r="BO406" s="37">
        <v>0</v>
      </c>
      <c r="BP406" s="37">
        <v>3998792</v>
      </c>
      <c r="BQ406" s="37">
        <v>0</v>
      </c>
      <c r="BR406" s="37">
        <v>284595</v>
      </c>
      <c r="BS406" s="37">
        <v>422313</v>
      </c>
      <c r="BT406" s="37">
        <v>292790</v>
      </c>
      <c r="BU406" s="37">
        <v>0</v>
      </c>
      <c r="BV406" s="37">
        <v>0</v>
      </c>
      <c r="BW406" s="37">
        <v>0</v>
      </c>
      <c r="BX406" s="37">
        <v>0</v>
      </c>
      <c r="BY406" s="37">
        <v>0</v>
      </c>
      <c r="BZ406" s="37">
        <v>0</v>
      </c>
      <c r="CA406" s="37">
        <v>0</v>
      </c>
      <c r="CB406" s="37">
        <v>999698</v>
      </c>
      <c r="CC406" s="37">
        <v>0</v>
      </c>
      <c r="CD406" s="37">
        <v>0</v>
      </c>
      <c r="CE406" s="37">
        <v>0</v>
      </c>
      <c r="CF406" s="37">
        <v>0</v>
      </c>
      <c r="CG406" s="37">
        <v>0</v>
      </c>
      <c r="CH406" s="37">
        <v>0</v>
      </c>
      <c r="CI406" s="37">
        <v>0</v>
      </c>
      <c r="CJ406" s="37">
        <v>0</v>
      </c>
      <c r="CK406" s="37">
        <v>0</v>
      </c>
      <c r="CL406" s="37">
        <v>0</v>
      </c>
      <c r="CM406" s="37">
        <v>0</v>
      </c>
      <c r="CN406" s="37">
        <v>0</v>
      </c>
      <c r="CO406" s="37">
        <v>0</v>
      </c>
      <c r="CP406" s="37">
        <v>0</v>
      </c>
      <c r="CQ406" s="37">
        <v>0</v>
      </c>
      <c r="CR406" s="37">
        <v>0</v>
      </c>
      <c r="CS406" s="37">
        <v>0</v>
      </c>
      <c r="CT406" s="37">
        <v>0</v>
      </c>
      <c r="CU406" s="37">
        <v>0</v>
      </c>
      <c r="CV406" s="37">
        <v>0</v>
      </c>
      <c r="CW406" s="37">
        <v>0</v>
      </c>
      <c r="CX406" s="37">
        <v>0</v>
      </c>
      <c r="CY406" s="37">
        <v>0</v>
      </c>
      <c r="CZ406" s="37">
        <v>0</v>
      </c>
      <c r="DA406" s="37">
        <v>0</v>
      </c>
      <c r="DB406" s="37">
        <v>0</v>
      </c>
      <c r="DC406" s="37">
        <v>0</v>
      </c>
      <c r="DD406" s="37">
        <v>0</v>
      </c>
      <c r="DE406" s="37">
        <v>0</v>
      </c>
      <c r="DF406" s="37">
        <v>0</v>
      </c>
      <c r="DG406" s="37">
        <v>0</v>
      </c>
      <c r="DH406" s="37">
        <v>0</v>
      </c>
      <c r="DI406" s="37">
        <v>0</v>
      </c>
      <c r="DJ406" s="37">
        <v>0</v>
      </c>
      <c r="DK406" s="37">
        <v>0</v>
      </c>
      <c r="DL406" s="37">
        <v>0</v>
      </c>
      <c r="DM406" s="37">
        <v>0</v>
      </c>
      <c r="DN406" s="37">
        <v>0</v>
      </c>
      <c r="DO406" s="37">
        <v>0</v>
      </c>
      <c r="DP406" s="37">
        <v>0</v>
      </c>
      <c r="DQ406" s="37">
        <v>0</v>
      </c>
      <c r="DR406" s="37">
        <v>0</v>
      </c>
      <c r="DS406" s="37">
        <v>0</v>
      </c>
      <c r="DT406" s="37">
        <v>0</v>
      </c>
      <c r="DU406" s="37">
        <v>0</v>
      </c>
      <c r="DV406" s="37">
        <v>0</v>
      </c>
      <c r="DW406" s="37">
        <v>0</v>
      </c>
      <c r="DX406" s="37">
        <v>0</v>
      </c>
      <c r="DY406" s="37">
        <v>0</v>
      </c>
      <c r="DZ406" s="37">
        <v>0</v>
      </c>
      <c r="EA406" s="37">
        <v>0</v>
      </c>
      <c r="EB406" s="37">
        <v>0</v>
      </c>
      <c r="EC406" s="37">
        <v>0</v>
      </c>
      <c r="ED406" s="37">
        <v>0</v>
      </c>
      <c r="EE406" s="37">
        <v>0</v>
      </c>
      <c r="EF406" s="37">
        <v>0</v>
      </c>
      <c r="EG406" s="37">
        <v>0</v>
      </c>
      <c r="EH406" s="37">
        <v>0</v>
      </c>
      <c r="EI406" s="37">
        <v>0</v>
      </c>
      <c r="EJ406" s="37">
        <v>0</v>
      </c>
      <c r="EK406" s="161" t="s">
        <v>2246</v>
      </c>
      <c r="EL406" s="294" t="s">
        <v>1124</v>
      </c>
    </row>
    <row r="407" spans="1:142" ht="15" customHeight="1" x14ac:dyDescent="0.35">
      <c r="A407" s="34"/>
      <c r="B407" s="313">
        <v>79110</v>
      </c>
      <c r="C407" s="8" t="s">
        <v>801</v>
      </c>
      <c r="D407" s="18">
        <v>15</v>
      </c>
      <c r="E407" s="155">
        <v>40996</v>
      </c>
      <c r="F407" s="36">
        <v>0</v>
      </c>
      <c r="G407" s="37">
        <v>44351</v>
      </c>
      <c r="H407" s="37">
        <v>0</v>
      </c>
      <c r="I407" s="37">
        <v>73740</v>
      </c>
      <c r="J407" s="37">
        <v>0</v>
      </c>
      <c r="K407" s="37">
        <v>30605</v>
      </c>
      <c r="L407" s="37">
        <v>0</v>
      </c>
      <c r="M407" s="37">
        <v>189692</v>
      </c>
      <c r="N407" s="37">
        <v>0</v>
      </c>
      <c r="O407" s="37">
        <v>0</v>
      </c>
      <c r="P407" s="37">
        <v>0</v>
      </c>
      <c r="Q407" s="37">
        <v>0</v>
      </c>
      <c r="R407" s="37">
        <v>0</v>
      </c>
      <c r="S407" s="37">
        <v>0</v>
      </c>
      <c r="T407" s="37">
        <v>0</v>
      </c>
      <c r="U407" s="37">
        <v>24753</v>
      </c>
      <c r="V407" s="37">
        <v>0</v>
      </c>
      <c r="W407" s="37">
        <v>164939</v>
      </c>
      <c r="X407" s="37">
        <v>0</v>
      </c>
      <c r="Y407" s="37">
        <v>0</v>
      </c>
      <c r="Z407" s="37">
        <v>0</v>
      </c>
      <c r="AA407" s="37">
        <v>189692</v>
      </c>
      <c r="AB407" s="37">
        <v>0</v>
      </c>
      <c r="AC407" s="37">
        <v>0</v>
      </c>
      <c r="AD407" s="37">
        <v>0</v>
      </c>
      <c r="AE407" s="37">
        <v>0</v>
      </c>
      <c r="AF407" s="168">
        <v>0.02</v>
      </c>
      <c r="AG407" s="37">
        <v>4521361.2</v>
      </c>
      <c r="AH407" s="37">
        <v>33016.79</v>
      </c>
      <c r="AI407" s="37">
        <v>33677.120000000003</v>
      </c>
      <c r="AJ407" s="37">
        <v>34350.660000000003</v>
      </c>
      <c r="AK407" s="37">
        <v>35037.68</v>
      </c>
      <c r="AL407" s="37">
        <v>35738.43</v>
      </c>
      <c r="AM407" s="37">
        <v>36453.199999999997</v>
      </c>
      <c r="AN407" s="37">
        <v>37182.26</v>
      </c>
      <c r="AO407" s="37">
        <v>37925.910000000003</v>
      </c>
      <c r="AP407" s="37">
        <v>38684.43</v>
      </c>
      <c r="AQ407" s="37">
        <v>39458.120000000003</v>
      </c>
      <c r="AR407" s="37">
        <v>361524.59999999992</v>
      </c>
      <c r="AS407" s="37">
        <v>0</v>
      </c>
      <c r="AT407" s="37">
        <v>0</v>
      </c>
      <c r="AU407" s="37">
        <v>0</v>
      </c>
      <c r="AV407" s="37">
        <v>0</v>
      </c>
      <c r="AW407" s="37">
        <v>0</v>
      </c>
      <c r="AX407" s="37">
        <v>0</v>
      </c>
      <c r="AY407" s="37">
        <v>0</v>
      </c>
      <c r="AZ407" s="37">
        <v>0</v>
      </c>
      <c r="BA407" s="37">
        <v>0</v>
      </c>
      <c r="BB407" s="37">
        <v>0</v>
      </c>
      <c r="BC407" s="37">
        <v>0</v>
      </c>
      <c r="BD407" s="37">
        <v>0</v>
      </c>
      <c r="BE407" s="37">
        <v>0</v>
      </c>
      <c r="BF407" s="37">
        <v>0</v>
      </c>
      <c r="BG407" s="37">
        <v>0</v>
      </c>
      <c r="BH407" s="37">
        <v>0</v>
      </c>
      <c r="BI407" s="37">
        <v>0</v>
      </c>
      <c r="BJ407" s="37">
        <v>0</v>
      </c>
      <c r="BK407" s="37">
        <v>0</v>
      </c>
      <c r="BL407" s="37">
        <v>0</v>
      </c>
      <c r="BM407" s="37">
        <v>0</v>
      </c>
      <c r="BN407" s="37">
        <v>0</v>
      </c>
      <c r="BO407" s="37">
        <v>0</v>
      </c>
      <c r="BP407" s="37">
        <v>0</v>
      </c>
      <c r="BQ407" s="37">
        <v>0</v>
      </c>
      <c r="BR407" s="37">
        <v>0</v>
      </c>
      <c r="BS407" s="37">
        <v>0</v>
      </c>
      <c r="BT407" s="37">
        <v>0</v>
      </c>
      <c r="BU407" s="37">
        <v>0</v>
      </c>
      <c r="BV407" s="37">
        <v>0</v>
      </c>
      <c r="BW407" s="37">
        <v>0</v>
      </c>
      <c r="BX407" s="37">
        <v>0</v>
      </c>
      <c r="BY407" s="37">
        <v>0</v>
      </c>
      <c r="BZ407" s="37">
        <v>0</v>
      </c>
      <c r="CA407" s="37">
        <v>0</v>
      </c>
      <c r="CB407" s="37">
        <v>0</v>
      </c>
      <c r="CC407" s="37">
        <v>0</v>
      </c>
      <c r="CD407" s="37">
        <v>0</v>
      </c>
      <c r="CE407" s="37">
        <v>0</v>
      </c>
      <c r="CF407" s="37">
        <v>0</v>
      </c>
      <c r="CG407" s="37">
        <v>0</v>
      </c>
      <c r="CH407" s="37">
        <v>0</v>
      </c>
      <c r="CI407" s="37">
        <v>0</v>
      </c>
      <c r="CJ407" s="37">
        <v>0</v>
      </c>
      <c r="CK407" s="37">
        <v>0</v>
      </c>
      <c r="CL407" s="37">
        <v>0</v>
      </c>
      <c r="CM407" s="37">
        <v>0</v>
      </c>
      <c r="CN407" s="37">
        <v>0</v>
      </c>
      <c r="CO407" s="37">
        <v>0</v>
      </c>
      <c r="CP407" s="37">
        <v>0</v>
      </c>
      <c r="CQ407" s="37">
        <v>0</v>
      </c>
      <c r="CR407" s="37">
        <v>0</v>
      </c>
      <c r="CS407" s="37">
        <v>0</v>
      </c>
      <c r="CT407" s="37">
        <v>0</v>
      </c>
      <c r="CU407" s="37">
        <v>0</v>
      </c>
      <c r="CV407" s="37">
        <v>0</v>
      </c>
      <c r="CW407" s="37">
        <v>0</v>
      </c>
      <c r="CX407" s="37">
        <v>0</v>
      </c>
      <c r="CY407" s="37">
        <v>0</v>
      </c>
      <c r="CZ407" s="37">
        <v>0</v>
      </c>
      <c r="DA407" s="37">
        <v>0</v>
      </c>
      <c r="DB407" s="37">
        <v>0</v>
      </c>
      <c r="DC407" s="37">
        <v>0</v>
      </c>
      <c r="DD407" s="37">
        <v>0</v>
      </c>
      <c r="DE407" s="37">
        <v>0</v>
      </c>
      <c r="DF407" s="37">
        <v>0</v>
      </c>
      <c r="DG407" s="37">
        <v>0</v>
      </c>
      <c r="DH407" s="37">
        <v>0</v>
      </c>
      <c r="DI407" s="37">
        <v>0</v>
      </c>
      <c r="DJ407" s="37">
        <v>0</v>
      </c>
      <c r="DK407" s="37">
        <v>0</v>
      </c>
      <c r="DL407" s="37">
        <v>0</v>
      </c>
      <c r="DM407" s="37">
        <v>0</v>
      </c>
      <c r="DN407" s="37">
        <v>0</v>
      </c>
      <c r="DO407" s="37">
        <v>0</v>
      </c>
      <c r="DP407" s="37">
        <v>0</v>
      </c>
      <c r="DQ407" s="37">
        <v>0</v>
      </c>
      <c r="DR407" s="37">
        <v>0</v>
      </c>
      <c r="DS407" s="37">
        <v>0</v>
      </c>
      <c r="DT407" s="37">
        <v>0</v>
      </c>
      <c r="DU407" s="37">
        <v>0</v>
      </c>
      <c r="DV407" s="37">
        <v>0</v>
      </c>
      <c r="DW407" s="37">
        <v>0</v>
      </c>
      <c r="DX407" s="37">
        <v>0</v>
      </c>
      <c r="DY407" s="37">
        <v>0</v>
      </c>
      <c r="DZ407" s="37">
        <v>0</v>
      </c>
      <c r="EA407" s="37">
        <v>0</v>
      </c>
      <c r="EB407" s="37">
        <v>0</v>
      </c>
      <c r="EC407" s="37">
        <v>0</v>
      </c>
      <c r="ED407" s="37">
        <v>0</v>
      </c>
      <c r="EE407" s="37">
        <v>0</v>
      </c>
      <c r="EF407" s="37">
        <v>0</v>
      </c>
      <c r="EG407" s="37">
        <v>0</v>
      </c>
      <c r="EH407" s="37">
        <v>0</v>
      </c>
      <c r="EI407" s="37">
        <v>0</v>
      </c>
      <c r="EJ407" s="37">
        <v>0</v>
      </c>
      <c r="EK407" s="161" t="s">
        <v>1453</v>
      </c>
      <c r="EL407" s="294" t="s">
        <v>1124</v>
      </c>
    </row>
    <row r="408" spans="1:142" ht="15" customHeight="1" x14ac:dyDescent="0.35">
      <c r="A408" s="34"/>
      <c r="B408" s="313">
        <v>4015</v>
      </c>
      <c r="C408" s="8" t="s">
        <v>1038</v>
      </c>
      <c r="D408" s="18">
        <v>11</v>
      </c>
      <c r="E408" s="155">
        <v>37891</v>
      </c>
      <c r="F408" s="36">
        <v>26666</v>
      </c>
      <c r="G408" s="37">
        <v>15743</v>
      </c>
      <c r="H408" s="37">
        <v>293</v>
      </c>
      <c r="I408" s="37">
        <v>190300</v>
      </c>
      <c r="J408" s="37">
        <v>170400</v>
      </c>
      <c r="K408" s="37">
        <v>5684</v>
      </c>
      <c r="L408" s="37">
        <v>4000</v>
      </c>
      <c r="M408" s="37">
        <v>249618</v>
      </c>
      <c r="N408" s="37">
        <v>201359</v>
      </c>
      <c r="O408" s="37">
        <v>0</v>
      </c>
      <c r="P408" s="37">
        <v>0</v>
      </c>
      <c r="Q408" s="37">
        <v>102898</v>
      </c>
      <c r="R408" s="37">
        <v>48356</v>
      </c>
      <c r="S408" s="37">
        <v>0</v>
      </c>
      <c r="T408" s="37">
        <v>0</v>
      </c>
      <c r="U408" s="37">
        <v>0</v>
      </c>
      <c r="V408" s="37">
        <v>0</v>
      </c>
      <c r="W408" s="37">
        <v>146720</v>
      </c>
      <c r="X408" s="37">
        <v>153003</v>
      </c>
      <c r="Y408" s="37">
        <v>0</v>
      </c>
      <c r="Z408" s="37">
        <v>0</v>
      </c>
      <c r="AA408" s="37">
        <v>249618</v>
      </c>
      <c r="AB408" s="37">
        <v>201359</v>
      </c>
      <c r="AC408" s="37">
        <v>0</v>
      </c>
      <c r="AD408" s="37">
        <v>0</v>
      </c>
      <c r="AE408" s="37">
        <v>0</v>
      </c>
      <c r="AF408" s="168">
        <v>0.02</v>
      </c>
      <c r="AG408" s="37">
        <v>11205053.050000001</v>
      </c>
      <c r="AH408" s="37">
        <v>108474.91</v>
      </c>
      <c r="AI408" s="37">
        <v>110644.41</v>
      </c>
      <c r="AJ408" s="37">
        <v>112857.3</v>
      </c>
      <c r="AK408" s="37">
        <v>115114.44</v>
      </c>
      <c r="AL408" s="37">
        <v>117416.73</v>
      </c>
      <c r="AM408" s="37">
        <v>119765.07</v>
      </c>
      <c r="AN408" s="37">
        <v>122160.37</v>
      </c>
      <c r="AO408" s="37">
        <v>124603.58</v>
      </c>
      <c r="AP408" s="37">
        <v>127095.65</v>
      </c>
      <c r="AQ408" s="37">
        <v>129637.56</v>
      </c>
      <c r="AR408" s="37">
        <v>1187770.0199999998</v>
      </c>
      <c r="AS408" s="37">
        <v>0</v>
      </c>
      <c r="AT408" s="37">
        <v>0</v>
      </c>
      <c r="AU408" s="37">
        <v>0</v>
      </c>
      <c r="AV408" s="37">
        <v>0</v>
      </c>
      <c r="AW408" s="37">
        <v>0</v>
      </c>
      <c r="AX408" s="37">
        <v>0</v>
      </c>
      <c r="AY408" s="37">
        <v>0</v>
      </c>
      <c r="AZ408" s="37">
        <v>0</v>
      </c>
      <c r="BA408" s="37">
        <v>0</v>
      </c>
      <c r="BB408" s="37">
        <v>0</v>
      </c>
      <c r="BC408" s="37">
        <v>0</v>
      </c>
      <c r="BD408" s="37">
        <v>0</v>
      </c>
      <c r="BE408" s="37">
        <v>200138</v>
      </c>
      <c r="BF408" s="37">
        <v>0</v>
      </c>
      <c r="BG408" s="37">
        <v>0</v>
      </c>
      <c r="BH408" s="37">
        <v>0</v>
      </c>
      <c r="BI408" s="37">
        <v>0</v>
      </c>
      <c r="BJ408" s="37">
        <v>0</v>
      </c>
      <c r="BK408" s="37">
        <v>0</v>
      </c>
      <c r="BL408" s="37">
        <v>0</v>
      </c>
      <c r="BM408" s="37">
        <v>0</v>
      </c>
      <c r="BN408" s="37">
        <v>0</v>
      </c>
      <c r="BO408" s="37">
        <v>0</v>
      </c>
      <c r="BP408" s="37">
        <v>0</v>
      </c>
      <c r="BQ408" s="37">
        <v>0</v>
      </c>
      <c r="BR408" s="37">
        <v>0</v>
      </c>
      <c r="BS408" s="37">
        <v>0</v>
      </c>
      <c r="BT408" s="37">
        <v>0</v>
      </c>
      <c r="BU408" s="37">
        <v>0</v>
      </c>
      <c r="BV408" s="37">
        <v>0</v>
      </c>
      <c r="BW408" s="37">
        <v>0</v>
      </c>
      <c r="BX408" s="37">
        <v>0</v>
      </c>
      <c r="BY408" s="37">
        <v>0</v>
      </c>
      <c r="BZ408" s="37">
        <v>0</v>
      </c>
      <c r="CA408" s="37">
        <v>0</v>
      </c>
      <c r="CB408" s="37">
        <v>0</v>
      </c>
      <c r="CC408" s="37">
        <v>0</v>
      </c>
      <c r="CD408" s="37">
        <v>0</v>
      </c>
      <c r="CE408" s="37">
        <v>0</v>
      </c>
      <c r="CF408" s="37">
        <v>0</v>
      </c>
      <c r="CG408" s="37">
        <v>0</v>
      </c>
      <c r="CH408" s="37">
        <v>0</v>
      </c>
      <c r="CI408" s="37">
        <v>0</v>
      </c>
      <c r="CJ408" s="37">
        <v>0</v>
      </c>
      <c r="CK408" s="37">
        <v>0</v>
      </c>
      <c r="CL408" s="37">
        <v>0</v>
      </c>
      <c r="CM408" s="37">
        <v>0</v>
      </c>
      <c r="CN408" s="37">
        <v>0</v>
      </c>
      <c r="CO408" s="37">
        <v>0</v>
      </c>
      <c r="CP408" s="37">
        <v>0</v>
      </c>
      <c r="CQ408" s="37">
        <v>0</v>
      </c>
      <c r="CR408" s="37">
        <v>0</v>
      </c>
      <c r="CS408" s="37">
        <v>0</v>
      </c>
      <c r="CT408" s="37">
        <v>0</v>
      </c>
      <c r="CU408" s="37">
        <v>0</v>
      </c>
      <c r="CV408" s="37">
        <v>0</v>
      </c>
      <c r="CW408" s="37">
        <v>0</v>
      </c>
      <c r="CX408" s="37">
        <v>0</v>
      </c>
      <c r="CY408" s="37">
        <v>0</v>
      </c>
      <c r="CZ408" s="37">
        <v>0</v>
      </c>
      <c r="DA408" s="37">
        <v>0</v>
      </c>
      <c r="DB408" s="37">
        <v>0</v>
      </c>
      <c r="DC408" s="37">
        <v>0</v>
      </c>
      <c r="DD408" s="37">
        <v>0</v>
      </c>
      <c r="DE408" s="37">
        <v>0</v>
      </c>
      <c r="DF408" s="37">
        <v>0</v>
      </c>
      <c r="DG408" s="37">
        <v>0</v>
      </c>
      <c r="DH408" s="37">
        <v>0</v>
      </c>
      <c r="DI408" s="37">
        <v>0</v>
      </c>
      <c r="DJ408" s="37">
        <v>0</v>
      </c>
      <c r="DK408" s="37">
        <v>0</v>
      </c>
      <c r="DL408" s="37">
        <v>0</v>
      </c>
      <c r="DM408" s="37">
        <v>0</v>
      </c>
      <c r="DN408" s="37">
        <v>0</v>
      </c>
      <c r="DO408" s="37">
        <v>0</v>
      </c>
      <c r="DP408" s="37">
        <v>0</v>
      </c>
      <c r="DQ408" s="37">
        <v>0</v>
      </c>
      <c r="DR408" s="37">
        <v>0</v>
      </c>
      <c r="DS408" s="37">
        <v>0</v>
      </c>
      <c r="DT408" s="37">
        <v>0</v>
      </c>
      <c r="DU408" s="37">
        <v>0</v>
      </c>
      <c r="DV408" s="37">
        <v>0</v>
      </c>
      <c r="DW408" s="37">
        <v>0</v>
      </c>
      <c r="DX408" s="37">
        <v>0</v>
      </c>
      <c r="DY408" s="37">
        <v>0</v>
      </c>
      <c r="DZ408" s="37">
        <v>0</v>
      </c>
      <c r="EA408" s="37">
        <v>0</v>
      </c>
      <c r="EB408" s="37">
        <v>0</v>
      </c>
      <c r="EC408" s="37">
        <v>0</v>
      </c>
      <c r="ED408" s="37">
        <v>0</v>
      </c>
      <c r="EE408" s="37">
        <v>0</v>
      </c>
      <c r="EF408" s="37">
        <v>0</v>
      </c>
      <c r="EG408" s="37">
        <v>0</v>
      </c>
      <c r="EH408" s="37">
        <v>0</v>
      </c>
      <c r="EI408" s="37">
        <v>0</v>
      </c>
      <c r="EJ408" s="37">
        <v>0</v>
      </c>
      <c r="EK408" s="161" t="s">
        <v>2251</v>
      </c>
      <c r="EL408" s="294" t="s">
        <v>1124</v>
      </c>
    </row>
    <row r="409" spans="1:142" ht="15" customHeight="1" x14ac:dyDescent="0.35">
      <c r="A409" s="34"/>
      <c r="B409" s="314">
        <v>78102</v>
      </c>
      <c r="C409" s="8" t="s">
        <v>781</v>
      </c>
      <c r="D409" s="18">
        <v>15</v>
      </c>
      <c r="E409" s="155">
        <v>1097500</v>
      </c>
      <c r="F409" s="36">
        <v>1202503</v>
      </c>
      <c r="G409" s="37">
        <v>138142</v>
      </c>
      <c r="H409" s="37">
        <v>17292</v>
      </c>
      <c r="I409" s="37">
        <v>265360</v>
      </c>
      <c r="J409" s="37">
        <v>134470</v>
      </c>
      <c r="K409" s="37">
        <v>164625</v>
      </c>
      <c r="L409" s="37">
        <v>180375.44999999998</v>
      </c>
      <c r="M409" s="37">
        <v>1665627</v>
      </c>
      <c r="N409" s="37">
        <v>1534640.45</v>
      </c>
      <c r="O409" s="37">
        <v>202065</v>
      </c>
      <c r="P409" s="37">
        <v>0</v>
      </c>
      <c r="Q409" s="37">
        <v>1253470</v>
      </c>
      <c r="R409" s="37">
        <v>423744</v>
      </c>
      <c r="S409" s="37">
        <v>3840</v>
      </c>
      <c r="T409" s="37">
        <v>443108</v>
      </c>
      <c r="U409" s="37">
        <v>50171</v>
      </c>
      <c r="V409" s="37">
        <v>0</v>
      </c>
      <c r="W409" s="37">
        <v>156081</v>
      </c>
      <c r="X409" s="37">
        <v>667788.44999999995</v>
      </c>
      <c r="Y409" s="37">
        <v>0</v>
      </c>
      <c r="Z409" s="37">
        <v>0</v>
      </c>
      <c r="AA409" s="37">
        <v>1665627</v>
      </c>
      <c r="AB409" s="37">
        <v>1534640.45</v>
      </c>
      <c r="AC409" s="37">
        <v>0</v>
      </c>
      <c r="AD409" s="37">
        <v>0</v>
      </c>
      <c r="AE409" s="37">
        <v>3096554</v>
      </c>
      <c r="AF409" s="168">
        <v>0.02</v>
      </c>
      <c r="AG409" s="37">
        <v>71270251.170000002</v>
      </c>
      <c r="AH409" s="37">
        <v>404612.95</v>
      </c>
      <c r="AI409" s="37">
        <v>412705.21</v>
      </c>
      <c r="AJ409" s="37">
        <v>420959.31</v>
      </c>
      <c r="AK409" s="37">
        <v>429378.5</v>
      </c>
      <c r="AL409" s="37">
        <v>437966.07</v>
      </c>
      <c r="AM409" s="37">
        <v>446725.39</v>
      </c>
      <c r="AN409" s="37">
        <v>455659.9</v>
      </c>
      <c r="AO409" s="37">
        <v>464773.1</v>
      </c>
      <c r="AP409" s="37">
        <v>474068.56</v>
      </c>
      <c r="AQ409" s="37">
        <v>483549.93</v>
      </c>
      <c r="AR409" s="37">
        <v>4430398.92</v>
      </c>
      <c r="AS409" s="37">
        <v>3584230.02</v>
      </c>
      <c r="AT409" s="37">
        <v>2517579.83</v>
      </c>
      <c r="AU409" s="37">
        <v>0</v>
      </c>
      <c r="AV409" s="37">
        <v>0</v>
      </c>
      <c r="AW409" s="37">
        <v>0</v>
      </c>
      <c r="AX409" s="37">
        <v>0</v>
      </c>
      <c r="AY409" s="37">
        <v>0</v>
      </c>
      <c r="AZ409" s="37">
        <v>0</v>
      </c>
      <c r="BA409" s="37">
        <v>0</v>
      </c>
      <c r="BB409" s="37">
        <v>0</v>
      </c>
      <c r="BC409" s="37">
        <v>0</v>
      </c>
      <c r="BD409" s="37">
        <v>2517579.83</v>
      </c>
      <c r="BE409" s="37">
        <v>0</v>
      </c>
      <c r="BF409" s="37">
        <v>484875</v>
      </c>
      <c r="BG409" s="37">
        <v>0</v>
      </c>
      <c r="BH409" s="37">
        <v>0</v>
      </c>
      <c r="BI409" s="37">
        <v>0</v>
      </c>
      <c r="BJ409" s="37">
        <v>0</v>
      </c>
      <c r="BK409" s="37">
        <v>0</v>
      </c>
      <c r="BL409" s="37">
        <v>0</v>
      </c>
      <c r="BM409" s="37">
        <v>0</v>
      </c>
      <c r="BN409" s="37">
        <v>0</v>
      </c>
      <c r="BO409" s="37">
        <v>0</v>
      </c>
      <c r="BP409" s="37">
        <v>484875</v>
      </c>
      <c r="BQ409" s="37">
        <v>0</v>
      </c>
      <c r="BR409" s="37">
        <v>0</v>
      </c>
      <c r="BS409" s="37">
        <v>0</v>
      </c>
      <c r="BT409" s="37">
        <v>0</v>
      </c>
      <c r="BU409" s="37">
        <v>0</v>
      </c>
      <c r="BV409" s="37">
        <v>0</v>
      </c>
      <c r="BW409" s="37">
        <v>0</v>
      </c>
      <c r="BX409" s="37">
        <v>0</v>
      </c>
      <c r="BY409" s="37">
        <v>0</v>
      </c>
      <c r="BZ409" s="37">
        <v>0</v>
      </c>
      <c r="CA409" s="37">
        <v>0</v>
      </c>
      <c r="CB409" s="37">
        <v>0</v>
      </c>
      <c r="CC409" s="37">
        <v>0</v>
      </c>
      <c r="CD409" s="37">
        <v>0</v>
      </c>
      <c r="CE409" s="37">
        <v>0</v>
      </c>
      <c r="CF409" s="37">
        <v>0</v>
      </c>
      <c r="CG409" s="37">
        <v>0</v>
      </c>
      <c r="CH409" s="37">
        <v>0</v>
      </c>
      <c r="CI409" s="37">
        <v>0</v>
      </c>
      <c r="CJ409" s="37">
        <v>0</v>
      </c>
      <c r="CK409" s="37">
        <v>0</v>
      </c>
      <c r="CL409" s="37">
        <v>0</v>
      </c>
      <c r="CM409" s="37">
        <v>0</v>
      </c>
      <c r="CN409" s="37">
        <v>0</v>
      </c>
      <c r="CO409" s="37">
        <v>0</v>
      </c>
      <c r="CP409" s="37">
        <v>2371820</v>
      </c>
      <c r="CQ409" s="37">
        <v>0</v>
      </c>
      <c r="CR409" s="37">
        <v>0</v>
      </c>
      <c r="CS409" s="37">
        <v>0</v>
      </c>
      <c r="CT409" s="37">
        <v>0</v>
      </c>
      <c r="CU409" s="37">
        <v>0</v>
      </c>
      <c r="CV409" s="37">
        <v>0</v>
      </c>
      <c r="CW409" s="37">
        <v>0</v>
      </c>
      <c r="CX409" s="37">
        <v>0</v>
      </c>
      <c r="CY409" s="37">
        <v>0</v>
      </c>
      <c r="CZ409" s="37">
        <v>2371820</v>
      </c>
      <c r="DA409" s="37">
        <v>0</v>
      </c>
      <c r="DB409" s="37">
        <v>0</v>
      </c>
      <c r="DC409" s="37">
        <v>0</v>
      </c>
      <c r="DD409" s="37">
        <v>0</v>
      </c>
      <c r="DE409" s="37">
        <v>0</v>
      </c>
      <c r="DF409" s="37">
        <v>0</v>
      </c>
      <c r="DG409" s="37">
        <v>0</v>
      </c>
      <c r="DH409" s="37">
        <v>0</v>
      </c>
      <c r="DI409" s="37">
        <v>0</v>
      </c>
      <c r="DJ409" s="37">
        <v>0</v>
      </c>
      <c r="DK409" s="37">
        <v>0</v>
      </c>
      <c r="DL409" s="37">
        <v>0</v>
      </c>
      <c r="DM409" s="37">
        <v>0</v>
      </c>
      <c r="DN409" s="37">
        <v>0</v>
      </c>
      <c r="DO409" s="37">
        <v>0</v>
      </c>
      <c r="DP409" s="37">
        <v>0</v>
      </c>
      <c r="DQ409" s="37">
        <v>0</v>
      </c>
      <c r="DR409" s="37">
        <v>0</v>
      </c>
      <c r="DS409" s="37">
        <v>0</v>
      </c>
      <c r="DT409" s="37">
        <v>0</v>
      </c>
      <c r="DU409" s="37">
        <v>0</v>
      </c>
      <c r="DV409" s="37">
        <v>0</v>
      </c>
      <c r="DW409" s="37">
        <v>0</v>
      </c>
      <c r="DX409" s="37">
        <v>0</v>
      </c>
      <c r="DY409" s="37">
        <v>0</v>
      </c>
      <c r="DZ409" s="37">
        <v>0</v>
      </c>
      <c r="EA409" s="37">
        <v>0</v>
      </c>
      <c r="EB409" s="37">
        <v>0</v>
      </c>
      <c r="EC409" s="37">
        <v>0</v>
      </c>
      <c r="ED409" s="37">
        <v>0</v>
      </c>
      <c r="EE409" s="37">
        <v>0</v>
      </c>
      <c r="EF409" s="37">
        <v>0</v>
      </c>
      <c r="EG409" s="37">
        <v>0</v>
      </c>
      <c r="EH409" s="37">
        <v>0</v>
      </c>
      <c r="EI409" s="37">
        <v>0</v>
      </c>
      <c r="EJ409" s="37">
        <v>0</v>
      </c>
      <c r="EK409" s="161" t="s">
        <v>2257</v>
      </c>
      <c r="EL409" s="294" t="s">
        <v>1124</v>
      </c>
    </row>
    <row r="410" spans="1:142" ht="15" customHeight="1" x14ac:dyDescent="0.35">
      <c r="A410" s="34"/>
      <c r="B410" s="313">
        <v>77050</v>
      </c>
      <c r="C410" s="8" t="s">
        <v>762</v>
      </c>
      <c r="D410" s="18">
        <v>15</v>
      </c>
      <c r="E410" s="155">
        <v>287640</v>
      </c>
      <c r="F410" s="36">
        <v>0</v>
      </c>
      <c r="G410" s="37">
        <v>136726</v>
      </c>
      <c r="H410" s="37">
        <v>0</v>
      </c>
      <c r="I410" s="37">
        <v>305135</v>
      </c>
      <c r="J410" s="37">
        <v>0</v>
      </c>
      <c r="K410" s="37">
        <v>112500</v>
      </c>
      <c r="L410" s="37">
        <v>0</v>
      </c>
      <c r="M410" s="37">
        <v>842001</v>
      </c>
      <c r="N410" s="37">
        <v>0</v>
      </c>
      <c r="O410" s="37">
        <v>24046</v>
      </c>
      <c r="P410" s="37">
        <v>0</v>
      </c>
      <c r="Q410" s="37">
        <v>343568</v>
      </c>
      <c r="R410" s="37">
        <v>0</v>
      </c>
      <c r="S410" s="37">
        <v>0</v>
      </c>
      <c r="T410" s="37">
        <v>0</v>
      </c>
      <c r="U410" s="37">
        <v>34878</v>
      </c>
      <c r="V410" s="37">
        <v>0</v>
      </c>
      <c r="W410" s="37">
        <v>439509</v>
      </c>
      <c r="X410" s="37">
        <v>0</v>
      </c>
      <c r="Y410" s="37">
        <v>0</v>
      </c>
      <c r="Z410" s="37">
        <v>0</v>
      </c>
      <c r="AA410" s="37">
        <v>842001</v>
      </c>
      <c r="AB410" s="37">
        <v>0</v>
      </c>
      <c r="AC410" s="37">
        <v>0</v>
      </c>
      <c r="AD410" s="37">
        <v>0</v>
      </c>
      <c r="AE410" s="37">
        <v>0</v>
      </c>
      <c r="AF410" s="168">
        <v>0.02</v>
      </c>
      <c r="AG410" s="37">
        <v>29452326.34</v>
      </c>
      <c r="AH410" s="37">
        <v>356617.09</v>
      </c>
      <c r="AI410" s="37">
        <v>1095984.4099999999</v>
      </c>
      <c r="AJ410" s="37">
        <v>964159.68</v>
      </c>
      <c r="AK410" s="37">
        <v>794017.24</v>
      </c>
      <c r="AL410" s="37">
        <v>340663.25</v>
      </c>
      <c r="AM410" s="37">
        <v>347476.51</v>
      </c>
      <c r="AN410" s="37">
        <v>354426.04</v>
      </c>
      <c r="AO410" s="37">
        <v>361514.56</v>
      </c>
      <c r="AP410" s="37">
        <v>368744.86</v>
      </c>
      <c r="AQ410" s="37">
        <v>376119.75</v>
      </c>
      <c r="AR410" s="37">
        <v>5359723.3899999997</v>
      </c>
      <c r="AS410" s="37">
        <v>1495679.04</v>
      </c>
      <c r="AT410" s="37">
        <v>51000</v>
      </c>
      <c r="AU410" s="37">
        <v>104040</v>
      </c>
      <c r="AV410" s="37">
        <v>0</v>
      </c>
      <c r="AW410" s="37">
        <v>0</v>
      </c>
      <c r="AX410" s="37">
        <v>0</v>
      </c>
      <c r="AY410" s="37">
        <v>0</v>
      </c>
      <c r="AZ410" s="37">
        <v>0</v>
      </c>
      <c r="BA410" s="37">
        <v>0</v>
      </c>
      <c r="BB410" s="37">
        <v>0</v>
      </c>
      <c r="BC410" s="37">
        <v>0</v>
      </c>
      <c r="BD410" s="37">
        <v>155040</v>
      </c>
      <c r="BE410" s="37">
        <v>0</v>
      </c>
      <c r="BF410" s="37">
        <v>61000</v>
      </c>
      <c r="BG410" s="37">
        <v>985000</v>
      </c>
      <c r="BH410" s="37">
        <v>0</v>
      </c>
      <c r="BI410" s="37">
        <v>337900</v>
      </c>
      <c r="BJ410" s="37">
        <v>0</v>
      </c>
      <c r="BK410" s="37">
        <v>0</v>
      </c>
      <c r="BL410" s="37">
        <v>0</v>
      </c>
      <c r="BM410" s="37">
        <v>0</v>
      </c>
      <c r="BN410" s="37">
        <v>0</v>
      </c>
      <c r="BO410" s="37">
        <v>0</v>
      </c>
      <c r="BP410" s="37">
        <v>1383900</v>
      </c>
      <c r="BQ410" s="37">
        <v>0</v>
      </c>
      <c r="BR410" s="37">
        <v>1865561</v>
      </c>
      <c r="BS410" s="37">
        <v>662065</v>
      </c>
      <c r="BT410" s="37">
        <v>1291012</v>
      </c>
      <c r="BU410" s="37">
        <v>333984</v>
      </c>
      <c r="BV410" s="37">
        <v>340663</v>
      </c>
      <c r="BW410" s="37">
        <v>347477</v>
      </c>
      <c r="BX410" s="37">
        <v>0</v>
      </c>
      <c r="BY410" s="37">
        <v>0</v>
      </c>
      <c r="BZ410" s="37">
        <v>0</v>
      </c>
      <c r="CA410" s="37">
        <v>0</v>
      </c>
      <c r="CB410" s="37">
        <v>4840762</v>
      </c>
      <c r="CC410" s="37">
        <v>0</v>
      </c>
      <c r="CD410" s="37">
        <v>0</v>
      </c>
      <c r="CE410" s="37">
        <v>0</v>
      </c>
      <c r="CF410" s="37">
        <v>0</v>
      </c>
      <c r="CG410" s="37">
        <v>0</v>
      </c>
      <c r="CH410" s="37">
        <v>0</v>
      </c>
      <c r="CI410" s="37">
        <v>0</v>
      </c>
      <c r="CJ410" s="37">
        <v>0</v>
      </c>
      <c r="CK410" s="37">
        <v>0</v>
      </c>
      <c r="CL410" s="37">
        <v>0</v>
      </c>
      <c r="CM410" s="37">
        <v>0</v>
      </c>
      <c r="CN410" s="37">
        <v>0</v>
      </c>
      <c r="CO410" s="37">
        <v>0</v>
      </c>
      <c r="CP410" s="37">
        <v>0</v>
      </c>
      <c r="CQ410" s="37">
        <v>0</v>
      </c>
      <c r="CR410" s="37">
        <v>0</v>
      </c>
      <c r="CS410" s="37">
        <v>0</v>
      </c>
      <c r="CT410" s="37">
        <v>0</v>
      </c>
      <c r="CU410" s="37">
        <v>0</v>
      </c>
      <c r="CV410" s="37">
        <v>0</v>
      </c>
      <c r="CW410" s="37">
        <v>0</v>
      </c>
      <c r="CX410" s="37">
        <v>0</v>
      </c>
      <c r="CY410" s="37">
        <v>0</v>
      </c>
      <c r="CZ410" s="37">
        <v>0</v>
      </c>
      <c r="DA410" s="37">
        <v>0</v>
      </c>
      <c r="DB410" s="37">
        <v>0</v>
      </c>
      <c r="DC410" s="37">
        <v>0</v>
      </c>
      <c r="DD410" s="37">
        <v>0</v>
      </c>
      <c r="DE410" s="37">
        <v>0</v>
      </c>
      <c r="DF410" s="37">
        <v>0</v>
      </c>
      <c r="DG410" s="37">
        <v>0</v>
      </c>
      <c r="DH410" s="37">
        <v>0</v>
      </c>
      <c r="DI410" s="37">
        <v>0</v>
      </c>
      <c r="DJ410" s="37">
        <v>0</v>
      </c>
      <c r="DK410" s="37">
        <v>0</v>
      </c>
      <c r="DL410" s="37">
        <v>0</v>
      </c>
      <c r="DM410" s="37">
        <v>0</v>
      </c>
      <c r="DN410" s="37">
        <v>0</v>
      </c>
      <c r="DO410" s="37">
        <v>0</v>
      </c>
      <c r="DP410" s="37">
        <v>0</v>
      </c>
      <c r="DQ410" s="37">
        <v>0</v>
      </c>
      <c r="DR410" s="37">
        <v>0</v>
      </c>
      <c r="DS410" s="37">
        <v>0</v>
      </c>
      <c r="DT410" s="37">
        <v>0</v>
      </c>
      <c r="DU410" s="37">
        <v>0</v>
      </c>
      <c r="DV410" s="37">
        <v>0</v>
      </c>
      <c r="DW410" s="37">
        <v>0</v>
      </c>
      <c r="DX410" s="37">
        <v>0</v>
      </c>
      <c r="DY410" s="37">
        <v>0</v>
      </c>
      <c r="DZ410" s="37">
        <v>0</v>
      </c>
      <c r="EA410" s="37">
        <v>0</v>
      </c>
      <c r="EB410" s="37">
        <v>0</v>
      </c>
      <c r="EC410" s="37">
        <v>0</v>
      </c>
      <c r="ED410" s="37">
        <v>0</v>
      </c>
      <c r="EE410" s="37">
        <v>0</v>
      </c>
      <c r="EF410" s="37">
        <v>0</v>
      </c>
      <c r="EG410" s="37">
        <v>0</v>
      </c>
      <c r="EH410" s="37">
        <v>0</v>
      </c>
      <c r="EI410" s="37">
        <v>0</v>
      </c>
      <c r="EJ410" s="37">
        <v>0</v>
      </c>
      <c r="EK410" s="161" t="s">
        <v>4615</v>
      </c>
      <c r="EL410" s="294" t="s">
        <v>1124</v>
      </c>
    </row>
    <row r="411" spans="1:142" ht="15" customHeight="1" x14ac:dyDescent="0.35">
      <c r="A411" s="34"/>
      <c r="B411" s="313">
        <v>80085</v>
      </c>
      <c r="C411" s="8" t="s">
        <v>816</v>
      </c>
      <c r="D411" s="18">
        <v>7</v>
      </c>
      <c r="E411" s="155"/>
      <c r="F411" s="36"/>
      <c r="G411" s="37"/>
      <c r="H411" s="37"/>
      <c r="I411" s="37"/>
      <c r="J411" s="37"/>
      <c r="K411" s="37"/>
      <c r="L411" s="37"/>
      <c r="M411" s="37" t="s">
        <v>1124</v>
      </c>
      <c r="N411" s="37" t="s">
        <v>1124</v>
      </c>
      <c r="O411" s="37"/>
      <c r="P411" s="37"/>
      <c r="Q411" s="37"/>
      <c r="R411" s="37"/>
      <c r="S411" s="37"/>
      <c r="T411" s="37"/>
      <c r="U411" s="37"/>
      <c r="V411" s="37"/>
      <c r="W411" s="37"/>
      <c r="X411" s="37"/>
      <c r="Y411" s="37"/>
      <c r="Z411" s="37"/>
      <c r="AA411" s="37" t="s">
        <v>1124</v>
      </c>
      <c r="AB411" s="37" t="s">
        <v>1124</v>
      </c>
      <c r="AC411" s="37"/>
      <c r="AD411" s="37"/>
      <c r="AE411" s="37"/>
      <c r="AF411" s="168"/>
      <c r="AG411" s="37"/>
      <c r="AH411" s="37"/>
      <c r="AI411" s="37"/>
      <c r="AJ411" s="37"/>
      <c r="AK411" s="37"/>
      <c r="AL411" s="37"/>
      <c r="AM411" s="37"/>
      <c r="AN411" s="37"/>
      <c r="AO411" s="37"/>
      <c r="AP411" s="37"/>
      <c r="AQ411" s="37"/>
      <c r="AR411" s="37" t="s">
        <v>1124</v>
      </c>
      <c r="AS411" s="37"/>
      <c r="AT411" s="37"/>
      <c r="AU411" s="37"/>
      <c r="AV411" s="37"/>
      <c r="AW411" s="37"/>
      <c r="AX411" s="37"/>
      <c r="AY411" s="37"/>
      <c r="AZ411" s="37"/>
      <c r="BA411" s="37"/>
      <c r="BB411" s="37"/>
      <c r="BC411" s="37"/>
      <c r="BD411" s="37" t="s">
        <v>1124</v>
      </c>
      <c r="BE411" s="37"/>
      <c r="BF411" s="37"/>
      <c r="BG411" s="37"/>
      <c r="BH411" s="37"/>
      <c r="BI411" s="37"/>
      <c r="BJ411" s="37"/>
      <c r="BK411" s="37"/>
      <c r="BL411" s="37"/>
      <c r="BM411" s="37"/>
      <c r="BN411" s="37"/>
      <c r="BO411" s="37"/>
      <c r="BP411" s="37">
        <v>0</v>
      </c>
      <c r="BQ411" s="37"/>
      <c r="BR411" s="37"/>
      <c r="BS411" s="37"/>
      <c r="BT411" s="37"/>
      <c r="BU411" s="37"/>
      <c r="BV411" s="37"/>
      <c r="BW411" s="37"/>
      <c r="BX411" s="37"/>
      <c r="BY411" s="37"/>
      <c r="BZ411" s="37"/>
      <c r="CA411" s="37"/>
      <c r="CB411" s="37" t="s">
        <v>1124</v>
      </c>
      <c r="CC411" s="37"/>
      <c r="CD411" s="37"/>
      <c r="CE411" s="37"/>
      <c r="CF411" s="37"/>
      <c r="CG411" s="37"/>
      <c r="CH411" s="37"/>
      <c r="CI411" s="37"/>
      <c r="CJ411" s="37"/>
      <c r="CK411" s="37"/>
      <c r="CL411" s="37"/>
      <c r="CM411" s="37"/>
      <c r="CN411" s="37" t="s">
        <v>1124</v>
      </c>
      <c r="CO411" s="37"/>
      <c r="CP411" s="37"/>
      <c r="CQ411" s="37"/>
      <c r="CR411" s="37"/>
      <c r="CS411" s="37"/>
      <c r="CT411" s="37"/>
      <c r="CU411" s="37"/>
      <c r="CV411" s="37"/>
      <c r="CW411" s="37"/>
      <c r="CX411" s="37"/>
      <c r="CY411" s="37"/>
      <c r="CZ411" s="37" t="s">
        <v>1124</v>
      </c>
      <c r="DA411" s="37"/>
      <c r="DB411" s="37"/>
      <c r="DC411" s="37"/>
      <c r="DD411" s="37"/>
      <c r="DE411" s="37"/>
      <c r="DF411" s="37"/>
      <c r="DG411" s="37"/>
      <c r="DH411" s="37"/>
      <c r="DI411" s="37"/>
      <c r="DJ411" s="37"/>
      <c r="DK411" s="37"/>
      <c r="DL411" s="37" t="s">
        <v>1124</v>
      </c>
      <c r="DM411" s="37"/>
      <c r="DN411" s="37"/>
      <c r="DO411" s="37"/>
      <c r="DP411" s="37"/>
      <c r="DQ411" s="37"/>
      <c r="DR411" s="37"/>
      <c r="DS411" s="37"/>
      <c r="DT411" s="37"/>
      <c r="DU411" s="37"/>
      <c r="DV411" s="37"/>
      <c r="DW411" s="37"/>
      <c r="DX411" s="37" t="s">
        <v>1124</v>
      </c>
      <c r="DY411" s="37"/>
      <c r="DZ411" s="37"/>
      <c r="EA411" s="37"/>
      <c r="EB411" s="37"/>
      <c r="EC411" s="37"/>
      <c r="ED411" s="37"/>
      <c r="EE411" s="37"/>
      <c r="EF411" s="37"/>
      <c r="EG411" s="37"/>
      <c r="EH411" s="37"/>
      <c r="EI411" s="37"/>
      <c r="EJ411" s="37" t="s">
        <v>1124</v>
      </c>
      <c r="EK411" s="161"/>
      <c r="EL411" s="294"/>
    </row>
    <row r="412" spans="1:142" ht="15" customHeight="1" x14ac:dyDescent="0.35">
      <c r="A412" s="34"/>
      <c r="B412" s="313">
        <v>3025</v>
      </c>
      <c r="C412" s="8" t="s">
        <v>1035</v>
      </c>
      <c r="D412" s="18">
        <v>11</v>
      </c>
      <c r="E412" s="155">
        <v>96709</v>
      </c>
      <c r="F412" s="36">
        <v>31264</v>
      </c>
      <c r="G412" s="37">
        <v>0</v>
      </c>
      <c r="H412" s="37">
        <v>0</v>
      </c>
      <c r="I412" s="37">
        <v>0</v>
      </c>
      <c r="J412" s="37">
        <v>0</v>
      </c>
      <c r="K412" s="37">
        <v>14506</v>
      </c>
      <c r="L412" s="37">
        <v>4690</v>
      </c>
      <c r="M412" s="37">
        <v>111215</v>
      </c>
      <c r="N412" s="37">
        <v>35954</v>
      </c>
      <c r="O412" s="37">
        <v>0</v>
      </c>
      <c r="P412" s="37">
        <v>0</v>
      </c>
      <c r="Q412" s="37">
        <v>0</v>
      </c>
      <c r="R412" s="37">
        <v>0</v>
      </c>
      <c r="S412" s="37">
        <v>0</v>
      </c>
      <c r="T412" s="37">
        <v>0</v>
      </c>
      <c r="U412" s="37">
        <v>0</v>
      </c>
      <c r="V412" s="37">
        <v>0</v>
      </c>
      <c r="W412" s="37">
        <v>111215</v>
      </c>
      <c r="X412" s="37">
        <v>35954</v>
      </c>
      <c r="Y412" s="37">
        <v>0</v>
      </c>
      <c r="Z412" s="37">
        <v>0</v>
      </c>
      <c r="AA412" s="37">
        <v>111215</v>
      </c>
      <c r="AB412" s="37">
        <v>35954</v>
      </c>
      <c r="AC412" s="37">
        <v>0</v>
      </c>
      <c r="AD412" s="37">
        <v>0</v>
      </c>
      <c r="AE412" s="37">
        <v>0</v>
      </c>
      <c r="AF412" s="168">
        <v>0.02</v>
      </c>
      <c r="AG412" s="37">
        <v>39704012.869999997</v>
      </c>
      <c r="AH412" s="37">
        <v>304058.39</v>
      </c>
      <c r="AI412" s="37">
        <v>310139.56</v>
      </c>
      <c r="AJ412" s="37">
        <v>316342.34999999998</v>
      </c>
      <c r="AK412" s="37">
        <v>322669.2</v>
      </c>
      <c r="AL412" s="37">
        <v>329122.58</v>
      </c>
      <c r="AM412" s="37">
        <v>335705.03</v>
      </c>
      <c r="AN412" s="37">
        <v>342419.14</v>
      </c>
      <c r="AO412" s="37">
        <v>349267.52</v>
      </c>
      <c r="AP412" s="37">
        <v>356252.87</v>
      </c>
      <c r="AQ412" s="37">
        <v>363377.93</v>
      </c>
      <c r="AR412" s="37">
        <v>3329354.5700000003</v>
      </c>
      <c r="AS412" s="37">
        <v>1653342.93</v>
      </c>
      <c r="AT412" s="37">
        <v>0</v>
      </c>
      <c r="AU412" s="37">
        <v>0</v>
      </c>
      <c r="AV412" s="37">
        <v>0</v>
      </c>
      <c r="AW412" s="37">
        <v>0</v>
      </c>
      <c r="AX412" s="37">
        <v>0</v>
      </c>
      <c r="AY412" s="37">
        <v>0</v>
      </c>
      <c r="AZ412" s="37">
        <v>0</v>
      </c>
      <c r="BA412" s="37">
        <v>0</v>
      </c>
      <c r="BB412" s="37">
        <v>0</v>
      </c>
      <c r="BC412" s="37">
        <v>0</v>
      </c>
      <c r="BD412" s="37">
        <v>0</v>
      </c>
      <c r="BE412" s="37">
        <v>430726</v>
      </c>
      <c r="BF412" s="37">
        <v>663663</v>
      </c>
      <c r="BG412" s="37">
        <v>488000</v>
      </c>
      <c r="BH412" s="37">
        <v>394000</v>
      </c>
      <c r="BI412" s="37">
        <v>0</v>
      </c>
      <c r="BJ412" s="37">
        <v>0</v>
      </c>
      <c r="BK412" s="37">
        <v>0</v>
      </c>
      <c r="BL412" s="37">
        <v>0</v>
      </c>
      <c r="BM412" s="37">
        <v>0</v>
      </c>
      <c r="BN412" s="37">
        <v>0</v>
      </c>
      <c r="BO412" s="37">
        <v>0</v>
      </c>
      <c r="BP412" s="37">
        <v>1545663</v>
      </c>
      <c r="BQ412" s="37">
        <v>86145.200000000012</v>
      </c>
      <c r="BR412" s="37">
        <v>132732.6</v>
      </c>
      <c r="BS412" s="37">
        <v>97600</v>
      </c>
      <c r="BT412" s="37">
        <v>78800</v>
      </c>
      <c r="BU412" s="37">
        <v>0</v>
      </c>
      <c r="BV412" s="37">
        <v>0</v>
      </c>
      <c r="BW412" s="37">
        <v>0</v>
      </c>
      <c r="BX412" s="37">
        <v>0</v>
      </c>
      <c r="BY412" s="37">
        <v>0</v>
      </c>
      <c r="BZ412" s="37">
        <v>0</v>
      </c>
      <c r="CA412" s="37">
        <v>0</v>
      </c>
      <c r="CB412" s="37">
        <v>309132.59999999998</v>
      </c>
      <c r="CC412" s="37">
        <v>0</v>
      </c>
      <c r="CD412" s="37">
        <v>0</v>
      </c>
      <c r="CE412" s="37">
        <v>0</v>
      </c>
      <c r="CF412" s="37">
        <v>0</v>
      </c>
      <c r="CG412" s="37">
        <v>0</v>
      </c>
      <c r="CH412" s="37">
        <v>0</v>
      </c>
      <c r="CI412" s="37">
        <v>0</v>
      </c>
      <c r="CJ412" s="37">
        <v>0</v>
      </c>
      <c r="CK412" s="37">
        <v>0</v>
      </c>
      <c r="CL412" s="37">
        <v>0</v>
      </c>
      <c r="CM412" s="37">
        <v>0</v>
      </c>
      <c r="CN412" s="37">
        <v>0</v>
      </c>
      <c r="CO412" s="37">
        <v>0</v>
      </c>
      <c r="CP412" s="37">
        <v>0</v>
      </c>
      <c r="CQ412" s="37">
        <v>0</v>
      </c>
      <c r="CR412" s="37">
        <v>0</v>
      </c>
      <c r="CS412" s="37">
        <v>0</v>
      </c>
      <c r="CT412" s="37">
        <v>0</v>
      </c>
      <c r="CU412" s="37">
        <v>0</v>
      </c>
      <c r="CV412" s="37">
        <v>0</v>
      </c>
      <c r="CW412" s="37">
        <v>0</v>
      </c>
      <c r="CX412" s="37">
        <v>0</v>
      </c>
      <c r="CY412" s="37">
        <v>0</v>
      </c>
      <c r="CZ412" s="37">
        <v>0</v>
      </c>
      <c r="DA412" s="37">
        <v>0</v>
      </c>
      <c r="DB412" s="37">
        <v>0</v>
      </c>
      <c r="DC412" s="37">
        <v>0</v>
      </c>
      <c r="DD412" s="37">
        <v>0</v>
      </c>
      <c r="DE412" s="37">
        <v>0</v>
      </c>
      <c r="DF412" s="37">
        <v>0</v>
      </c>
      <c r="DG412" s="37">
        <v>0</v>
      </c>
      <c r="DH412" s="37">
        <v>0</v>
      </c>
      <c r="DI412" s="37">
        <v>0</v>
      </c>
      <c r="DJ412" s="37">
        <v>0</v>
      </c>
      <c r="DK412" s="37">
        <v>0</v>
      </c>
      <c r="DL412" s="37">
        <v>0</v>
      </c>
      <c r="DM412" s="37">
        <v>0</v>
      </c>
      <c r="DN412" s="37">
        <v>0</v>
      </c>
      <c r="DO412" s="37">
        <v>0</v>
      </c>
      <c r="DP412" s="37">
        <v>0</v>
      </c>
      <c r="DQ412" s="37">
        <v>0</v>
      </c>
      <c r="DR412" s="37">
        <v>0</v>
      </c>
      <c r="DS412" s="37">
        <v>0</v>
      </c>
      <c r="DT412" s="37">
        <v>0</v>
      </c>
      <c r="DU412" s="37">
        <v>0</v>
      </c>
      <c r="DV412" s="37">
        <v>0</v>
      </c>
      <c r="DW412" s="37">
        <v>0</v>
      </c>
      <c r="DX412" s="37">
        <v>0</v>
      </c>
      <c r="DY412" s="37">
        <v>0</v>
      </c>
      <c r="DZ412" s="37">
        <v>0</v>
      </c>
      <c r="EA412" s="37">
        <v>0</v>
      </c>
      <c r="EB412" s="37">
        <v>0</v>
      </c>
      <c r="EC412" s="37">
        <v>0</v>
      </c>
      <c r="ED412" s="37">
        <v>0</v>
      </c>
      <c r="EE412" s="37">
        <v>0</v>
      </c>
      <c r="EF412" s="37">
        <v>0</v>
      </c>
      <c r="EG412" s="37">
        <v>0</v>
      </c>
      <c r="EH412" s="37">
        <v>0</v>
      </c>
      <c r="EI412" s="37">
        <v>0</v>
      </c>
      <c r="EJ412" s="37">
        <v>0</v>
      </c>
      <c r="EK412" s="161" t="s">
        <v>2262</v>
      </c>
      <c r="EL412" s="294" t="s">
        <v>1124</v>
      </c>
    </row>
    <row r="413" spans="1:142" ht="15" customHeight="1" x14ac:dyDescent="0.35">
      <c r="A413" s="34"/>
      <c r="B413" s="313">
        <v>80110</v>
      </c>
      <c r="C413" s="8" t="s">
        <v>820</v>
      </c>
      <c r="D413" s="18">
        <v>7</v>
      </c>
      <c r="E413" s="155"/>
      <c r="F413" s="36"/>
      <c r="G413" s="37"/>
      <c r="H413" s="37"/>
      <c r="I413" s="37"/>
      <c r="J413" s="37"/>
      <c r="K413" s="37"/>
      <c r="L413" s="37"/>
      <c r="M413" s="37" t="s">
        <v>1124</v>
      </c>
      <c r="N413" s="37" t="s">
        <v>1124</v>
      </c>
      <c r="O413" s="37"/>
      <c r="P413" s="37"/>
      <c r="Q413" s="37"/>
      <c r="R413" s="37"/>
      <c r="S413" s="37"/>
      <c r="T413" s="37"/>
      <c r="U413" s="37"/>
      <c r="V413" s="37"/>
      <c r="W413" s="37"/>
      <c r="X413" s="37"/>
      <c r="Y413" s="37"/>
      <c r="Z413" s="37"/>
      <c r="AA413" s="37" t="s">
        <v>1124</v>
      </c>
      <c r="AB413" s="37" t="s">
        <v>1124</v>
      </c>
      <c r="AC413" s="37"/>
      <c r="AD413" s="37"/>
      <c r="AE413" s="37"/>
      <c r="AF413" s="168"/>
      <c r="AG413" s="37"/>
      <c r="AH413" s="37"/>
      <c r="AI413" s="37"/>
      <c r="AJ413" s="37"/>
      <c r="AK413" s="37"/>
      <c r="AL413" s="37"/>
      <c r="AM413" s="37"/>
      <c r="AN413" s="37"/>
      <c r="AO413" s="37"/>
      <c r="AP413" s="37"/>
      <c r="AQ413" s="37"/>
      <c r="AR413" s="37" t="s">
        <v>1124</v>
      </c>
      <c r="AS413" s="37"/>
      <c r="AT413" s="37"/>
      <c r="AU413" s="37"/>
      <c r="AV413" s="37"/>
      <c r="AW413" s="37"/>
      <c r="AX413" s="37"/>
      <c r="AY413" s="37"/>
      <c r="AZ413" s="37"/>
      <c r="BA413" s="37"/>
      <c r="BB413" s="37"/>
      <c r="BC413" s="37"/>
      <c r="BD413" s="37" t="s">
        <v>1124</v>
      </c>
      <c r="BE413" s="37"/>
      <c r="BF413" s="37"/>
      <c r="BG413" s="37"/>
      <c r="BH413" s="37"/>
      <c r="BI413" s="37"/>
      <c r="BJ413" s="37"/>
      <c r="BK413" s="37"/>
      <c r="BL413" s="37"/>
      <c r="BM413" s="37"/>
      <c r="BN413" s="37"/>
      <c r="BO413" s="37"/>
      <c r="BP413" s="37">
        <v>0</v>
      </c>
      <c r="BQ413" s="37"/>
      <c r="BR413" s="37"/>
      <c r="BS413" s="37"/>
      <c r="BT413" s="37"/>
      <c r="BU413" s="37"/>
      <c r="BV413" s="37"/>
      <c r="BW413" s="37"/>
      <c r="BX413" s="37"/>
      <c r="BY413" s="37"/>
      <c r="BZ413" s="37"/>
      <c r="CA413" s="37"/>
      <c r="CB413" s="37" t="s">
        <v>1124</v>
      </c>
      <c r="CC413" s="37"/>
      <c r="CD413" s="37"/>
      <c r="CE413" s="37"/>
      <c r="CF413" s="37"/>
      <c r="CG413" s="37"/>
      <c r="CH413" s="37"/>
      <c r="CI413" s="37"/>
      <c r="CJ413" s="37"/>
      <c r="CK413" s="37"/>
      <c r="CL413" s="37"/>
      <c r="CM413" s="37"/>
      <c r="CN413" s="37" t="s">
        <v>1124</v>
      </c>
      <c r="CO413" s="37"/>
      <c r="CP413" s="37"/>
      <c r="CQ413" s="37"/>
      <c r="CR413" s="37"/>
      <c r="CS413" s="37"/>
      <c r="CT413" s="37"/>
      <c r="CU413" s="37"/>
      <c r="CV413" s="37"/>
      <c r="CW413" s="37"/>
      <c r="CX413" s="37"/>
      <c r="CY413" s="37"/>
      <c r="CZ413" s="37" t="s">
        <v>1124</v>
      </c>
      <c r="DA413" s="37"/>
      <c r="DB413" s="37"/>
      <c r="DC413" s="37"/>
      <c r="DD413" s="37"/>
      <c r="DE413" s="37"/>
      <c r="DF413" s="37"/>
      <c r="DG413" s="37"/>
      <c r="DH413" s="37"/>
      <c r="DI413" s="37"/>
      <c r="DJ413" s="37"/>
      <c r="DK413" s="37"/>
      <c r="DL413" s="37" t="s">
        <v>1124</v>
      </c>
      <c r="DM413" s="37"/>
      <c r="DN413" s="37"/>
      <c r="DO413" s="37"/>
      <c r="DP413" s="37"/>
      <c r="DQ413" s="37"/>
      <c r="DR413" s="37"/>
      <c r="DS413" s="37"/>
      <c r="DT413" s="37"/>
      <c r="DU413" s="37"/>
      <c r="DV413" s="37"/>
      <c r="DW413" s="37"/>
      <c r="DX413" s="37" t="s">
        <v>1124</v>
      </c>
      <c r="DY413" s="37"/>
      <c r="DZ413" s="37"/>
      <c r="EA413" s="37"/>
      <c r="EB413" s="37"/>
      <c r="EC413" s="37"/>
      <c r="ED413" s="37"/>
      <c r="EE413" s="37"/>
      <c r="EF413" s="37"/>
      <c r="EG413" s="37"/>
      <c r="EH413" s="37"/>
      <c r="EI413" s="37"/>
      <c r="EJ413" s="37" t="s">
        <v>1124</v>
      </c>
      <c r="EK413" s="161"/>
      <c r="EL413" s="294"/>
    </row>
    <row r="414" spans="1:142" ht="15" customHeight="1" x14ac:dyDescent="0.35">
      <c r="A414" s="34"/>
      <c r="B414" s="313">
        <v>30045</v>
      </c>
      <c r="C414" s="8" t="s">
        <v>225</v>
      </c>
      <c r="D414" s="18">
        <v>5</v>
      </c>
      <c r="E414" s="155">
        <v>54489</v>
      </c>
      <c r="F414" s="36">
        <v>81505</v>
      </c>
      <c r="G414" s="37">
        <v>53180</v>
      </c>
      <c r="H414" s="37">
        <v>8032</v>
      </c>
      <c r="I414" s="37">
        <v>26830</v>
      </c>
      <c r="J414" s="37">
        <v>64944</v>
      </c>
      <c r="K414" s="37">
        <v>8173.3499999999995</v>
      </c>
      <c r="L414" s="37">
        <v>12225.75</v>
      </c>
      <c r="M414" s="37">
        <v>142672.35</v>
      </c>
      <c r="N414" s="37">
        <v>166706.75</v>
      </c>
      <c r="O414" s="37">
        <v>0</v>
      </c>
      <c r="P414" s="37">
        <v>0</v>
      </c>
      <c r="Q414" s="37">
        <v>44786</v>
      </c>
      <c r="R414" s="37">
        <v>41300</v>
      </c>
      <c r="S414" s="37">
        <v>0</v>
      </c>
      <c r="T414" s="37">
        <v>0</v>
      </c>
      <c r="U414" s="37">
        <v>0</v>
      </c>
      <c r="V414" s="37">
        <v>0</v>
      </c>
      <c r="W414" s="37">
        <v>97886.35</v>
      </c>
      <c r="X414" s="37">
        <v>125406.75</v>
      </c>
      <c r="Y414" s="37">
        <v>0</v>
      </c>
      <c r="Z414" s="37">
        <v>0</v>
      </c>
      <c r="AA414" s="37">
        <v>142672.35</v>
      </c>
      <c r="AB414" s="37">
        <v>166706.75</v>
      </c>
      <c r="AC414" s="37">
        <v>0</v>
      </c>
      <c r="AD414" s="37">
        <v>0</v>
      </c>
      <c r="AE414" s="37">
        <v>0</v>
      </c>
      <c r="AF414" s="168">
        <v>0.02</v>
      </c>
      <c r="AG414" s="37">
        <v>12769329.66</v>
      </c>
      <c r="AH414" s="37">
        <v>96172.1</v>
      </c>
      <c r="AI414" s="37">
        <v>98095.54</v>
      </c>
      <c r="AJ414" s="37">
        <v>100057.45</v>
      </c>
      <c r="AK414" s="37">
        <v>102058.6</v>
      </c>
      <c r="AL414" s="37">
        <v>104099.77</v>
      </c>
      <c r="AM414" s="37">
        <v>106181.77</v>
      </c>
      <c r="AN414" s="37">
        <v>108305.41</v>
      </c>
      <c r="AO414" s="37">
        <v>110471.51</v>
      </c>
      <c r="AP414" s="37">
        <v>112680.94</v>
      </c>
      <c r="AQ414" s="37">
        <v>114934.56</v>
      </c>
      <c r="AR414" s="37">
        <v>1053057.6500000001</v>
      </c>
      <c r="AS414" s="37">
        <v>915552</v>
      </c>
      <c r="AT414" s="37">
        <v>0</v>
      </c>
      <c r="AU414" s="37">
        <v>0</v>
      </c>
      <c r="AV414" s="37">
        <v>0</v>
      </c>
      <c r="AW414" s="37">
        <v>0</v>
      </c>
      <c r="AX414" s="37">
        <v>0</v>
      </c>
      <c r="AY414" s="37">
        <v>0</v>
      </c>
      <c r="AZ414" s="37">
        <v>0</v>
      </c>
      <c r="BA414" s="37">
        <v>0</v>
      </c>
      <c r="BB414" s="37">
        <v>0</v>
      </c>
      <c r="BC414" s="37">
        <v>0</v>
      </c>
      <c r="BD414" s="37">
        <v>0</v>
      </c>
      <c r="BE414" s="37">
        <v>0</v>
      </c>
      <c r="BF414" s="37">
        <v>101224.89351580125</v>
      </c>
      <c r="BG414" s="37">
        <v>533949.58378663287</v>
      </c>
      <c r="BH414" s="37">
        <v>102860.62174365899</v>
      </c>
      <c r="BI414" s="37">
        <v>122165.70095390709</v>
      </c>
      <c r="BJ414" s="37">
        <v>13268.3476861946</v>
      </c>
      <c r="BK414" s="37">
        <v>64250.54582960657</v>
      </c>
      <c r="BL414" s="37">
        <v>83555.583786632807</v>
      </c>
      <c r="BM414" s="37">
        <v>102860.62174365899</v>
      </c>
      <c r="BN414" s="37">
        <v>122165.70095390709</v>
      </c>
      <c r="BO414" s="37">
        <v>0</v>
      </c>
      <c r="BP414" s="37">
        <v>1246301.6000000003</v>
      </c>
      <c r="BQ414" s="37">
        <v>0</v>
      </c>
      <c r="BR414" s="37">
        <v>5926</v>
      </c>
      <c r="BS414" s="37">
        <v>112599</v>
      </c>
      <c r="BT414" s="37">
        <v>0</v>
      </c>
      <c r="BU414" s="37">
        <v>0</v>
      </c>
      <c r="BV414" s="37">
        <v>0</v>
      </c>
      <c r="BW414" s="37">
        <v>0</v>
      </c>
      <c r="BX414" s="37">
        <v>0</v>
      </c>
      <c r="BY414" s="37">
        <v>0</v>
      </c>
      <c r="BZ414" s="37">
        <v>0</v>
      </c>
      <c r="CA414" s="37">
        <v>0</v>
      </c>
      <c r="CB414" s="37">
        <v>118525</v>
      </c>
      <c r="CC414" s="37">
        <v>0</v>
      </c>
      <c r="CD414" s="37">
        <v>0</v>
      </c>
      <c r="CE414" s="37">
        <v>0</v>
      </c>
      <c r="CF414" s="37">
        <v>0</v>
      </c>
      <c r="CG414" s="37">
        <v>0</v>
      </c>
      <c r="CH414" s="37">
        <v>0</v>
      </c>
      <c r="CI414" s="37">
        <v>0</v>
      </c>
      <c r="CJ414" s="37">
        <v>0</v>
      </c>
      <c r="CK414" s="37">
        <v>0</v>
      </c>
      <c r="CL414" s="37">
        <v>0</v>
      </c>
      <c r="CM414" s="37">
        <v>0</v>
      </c>
      <c r="CN414" s="37">
        <v>0</v>
      </c>
      <c r="CO414" s="37">
        <v>0</v>
      </c>
      <c r="CP414" s="37">
        <v>0</v>
      </c>
      <c r="CQ414" s="37">
        <v>0</v>
      </c>
      <c r="CR414" s="37">
        <v>0</v>
      </c>
      <c r="CS414" s="37">
        <v>0</v>
      </c>
      <c r="CT414" s="37">
        <v>0</v>
      </c>
      <c r="CU414" s="37">
        <v>0</v>
      </c>
      <c r="CV414" s="37">
        <v>0</v>
      </c>
      <c r="CW414" s="37">
        <v>0</v>
      </c>
      <c r="CX414" s="37">
        <v>0</v>
      </c>
      <c r="CY414" s="37">
        <v>0</v>
      </c>
      <c r="CZ414" s="37">
        <v>0</v>
      </c>
      <c r="DA414" s="37">
        <v>0</v>
      </c>
      <c r="DB414" s="37">
        <v>0</v>
      </c>
      <c r="DC414" s="37">
        <v>0</v>
      </c>
      <c r="DD414" s="37">
        <v>0</v>
      </c>
      <c r="DE414" s="37">
        <v>0</v>
      </c>
      <c r="DF414" s="37">
        <v>0</v>
      </c>
      <c r="DG414" s="37">
        <v>0</v>
      </c>
      <c r="DH414" s="37">
        <v>0</v>
      </c>
      <c r="DI414" s="37">
        <v>0</v>
      </c>
      <c r="DJ414" s="37">
        <v>0</v>
      </c>
      <c r="DK414" s="37">
        <v>0</v>
      </c>
      <c r="DL414" s="37">
        <v>0</v>
      </c>
      <c r="DM414" s="37">
        <v>0</v>
      </c>
      <c r="DN414" s="37">
        <v>0</v>
      </c>
      <c r="DO414" s="37">
        <v>0</v>
      </c>
      <c r="DP414" s="37">
        <v>0</v>
      </c>
      <c r="DQ414" s="37">
        <v>0</v>
      </c>
      <c r="DR414" s="37">
        <v>0</v>
      </c>
      <c r="DS414" s="37">
        <v>0</v>
      </c>
      <c r="DT414" s="37">
        <v>0</v>
      </c>
      <c r="DU414" s="37">
        <v>0</v>
      </c>
      <c r="DV414" s="37">
        <v>0</v>
      </c>
      <c r="DW414" s="37">
        <v>0</v>
      </c>
      <c r="DX414" s="37">
        <v>0</v>
      </c>
      <c r="DY414" s="37">
        <v>0</v>
      </c>
      <c r="DZ414" s="37">
        <v>0</v>
      </c>
      <c r="EA414" s="37">
        <v>0</v>
      </c>
      <c r="EB414" s="37">
        <v>0</v>
      </c>
      <c r="EC414" s="37">
        <v>0</v>
      </c>
      <c r="ED414" s="37">
        <v>0</v>
      </c>
      <c r="EE414" s="37">
        <v>0</v>
      </c>
      <c r="EF414" s="37">
        <v>0</v>
      </c>
      <c r="EG414" s="37">
        <v>0</v>
      </c>
      <c r="EH414" s="37">
        <v>0</v>
      </c>
      <c r="EI414" s="37">
        <v>0</v>
      </c>
      <c r="EJ414" s="37">
        <v>0</v>
      </c>
      <c r="EK414" s="161" t="s">
        <v>2268</v>
      </c>
      <c r="EL414" s="294" t="s">
        <v>1124</v>
      </c>
    </row>
    <row r="415" spans="1:142" ht="15" customHeight="1" x14ac:dyDescent="0.35">
      <c r="A415" s="34"/>
      <c r="B415" s="313">
        <v>68030</v>
      </c>
      <c r="C415" s="8" t="s">
        <v>678</v>
      </c>
      <c r="D415" s="18">
        <v>16</v>
      </c>
      <c r="E415" s="155">
        <v>499861</v>
      </c>
      <c r="F415" s="36">
        <v>120453</v>
      </c>
      <c r="G415" s="37">
        <v>42854</v>
      </c>
      <c r="H415" s="37">
        <v>17347</v>
      </c>
      <c r="I415" s="37">
        <v>78600</v>
      </c>
      <c r="J415" s="37">
        <v>5043</v>
      </c>
      <c r="K415" s="37">
        <v>74979</v>
      </c>
      <c r="L415" s="37">
        <v>18068</v>
      </c>
      <c r="M415" s="37">
        <v>696294</v>
      </c>
      <c r="N415" s="37">
        <v>160911</v>
      </c>
      <c r="O415" s="37">
        <v>0</v>
      </c>
      <c r="P415" s="37">
        <v>0</v>
      </c>
      <c r="Q415" s="37">
        <v>488388</v>
      </c>
      <c r="R415" s="37">
        <v>241224</v>
      </c>
      <c r="S415" s="37">
        <v>11430</v>
      </c>
      <c r="T415" s="37">
        <v>0</v>
      </c>
      <c r="U415" s="37">
        <v>0</v>
      </c>
      <c r="V415" s="37">
        <v>0</v>
      </c>
      <c r="W415" s="37">
        <v>165787</v>
      </c>
      <c r="X415" s="37">
        <v>10108</v>
      </c>
      <c r="Y415" s="37">
        <v>0</v>
      </c>
      <c r="Z415" s="37">
        <v>0</v>
      </c>
      <c r="AA415" s="37">
        <v>665605</v>
      </c>
      <c r="AB415" s="37">
        <v>251332</v>
      </c>
      <c r="AC415" s="37">
        <v>59732</v>
      </c>
      <c r="AD415" s="37">
        <v>59732</v>
      </c>
      <c r="AE415" s="37">
        <v>498791</v>
      </c>
      <c r="AF415" s="168">
        <v>0.02</v>
      </c>
      <c r="AG415" s="37">
        <v>80795552.810000002</v>
      </c>
      <c r="AH415" s="37">
        <v>594858.54</v>
      </c>
      <c r="AI415" s="37">
        <v>735245.11</v>
      </c>
      <c r="AJ415" s="37">
        <v>749950.01</v>
      </c>
      <c r="AK415" s="37">
        <v>631268.64</v>
      </c>
      <c r="AL415" s="37">
        <v>643894.01</v>
      </c>
      <c r="AM415" s="37">
        <v>656771.89</v>
      </c>
      <c r="AN415" s="37">
        <v>669907.32999999996</v>
      </c>
      <c r="AO415" s="37">
        <v>683305.48</v>
      </c>
      <c r="AP415" s="37">
        <v>696971.59</v>
      </c>
      <c r="AQ415" s="37">
        <v>710911.02</v>
      </c>
      <c r="AR415" s="37">
        <v>6773083.6200000001</v>
      </c>
      <c r="AS415" s="37">
        <v>2945071.72</v>
      </c>
      <c r="AT415" s="37">
        <v>0</v>
      </c>
      <c r="AU415" s="37">
        <v>72828</v>
      </c>
      <c r="AV415" s="37">
        <v>74284.56</v>
      </c>
      <c r="AW415" s="37">
        <v>1945130.59</v>
      </c>
      <c r="AX415" s="37">
        <v>0</v>
      </c>
      <c r="AY415" s="37">
        <v>0</v>
      </c>
      <c r="AZ415" s="37">
        <v>0</v>
      </c>
      <c r="BA415" s="37">
        <v>0</v>
      </c>
      <c r="BB415" s="37">
        <v>0</v>
      </c>
      <c r="BC415" s="37">
        <v>0</v>
      </c>
      <c r="BD415" s="37">
        <v>2092243.1500000001</v>
      </c>
      <c r="BE415" s="37">
        <v>0</v>
      </c>
      <c r="BF415" s="37">
        <v>0</v>
      </c>
      <c r="BG415" s="37">
        <v>797000</v>
      </c>
      <c r="BH415" s="37">
        <v>0</v>
      </c>
      <c r="BI415" s="37">
        <v>0</v>
      </c>
      <c r="BJ415" s="37">
        <v>0</v>
      </c>
      <c r="BK415" s="37">
        <v>0</v>
      </c>
      <c r="BL415" s="37">
        <v>0</v>
      </c>
      <c r="BM415" s="37">
        <v>0</v>
      </c>
      <c r="BN415" s="37">
        <v>0</v>
      </c>
      <c r="BO415" s="37">
        <v>0</v>
      </c>
      <c r="BP415" s="37">
        <v>797000</v>
      </c>
      <c r="BQ415" s="37">
        <v>0</v>
      </c>
      <c r="BR415" s="37">
        <v>491000</v>
      </c>
      <c r="BS415" s="37">
        <v>0</v>
      </c>
      <c r="BT415" s="37">
        <v>0</v>
      </c>
      <c r="BU415" s="37">
        <v>0</v>
      </c>
      <c r="BV415" s="37">
        <v>0</v>
      </c>
      <c r="BW415" s="37">
        <v>0</v>
      </c>
      <c r="BX415" s="37">
        <v>0</v>
      </c>
      <c r="BY415" s="37">
        <v>0</v>
      </c>
      <c r="BZ415" s="37">
        <v>0</v>
      </c>
      <c r="CA415" s="37">
        <v>0</v>
      </c>
      <c r="CB415" s="37">
        <v>491000</v>
      </c>
      <c r="CC415" s="37">
        <v>0</v>
      </c>
      <c r="CD415" s="37">
        <v>0</v>
      </c>
      <c r="CE415" s="37">
        <v>0</v>
      </c>
      <c r="CF415" s="37">
        <v>0</v>
      </c>
      <c r="CG415" s="37">
        <v>0</v>
      </c>
      <c r="CH415" s="37">
        <v>0</v>
      </c>
      <c r="CI415" s="37">
        <v>0</v>
      </c>
      <c r="CJ415" s="37">
        <v>0</v>
      </c>
      <c r="CK415" s="37">
        <v>0</v>
      </c>
      <c r="CL415" s="37">
        <v>0</v>
      </c>
      <c r="CM415" s="37">
        <v>0</v>
      </c>
      <c r="CN415" s="37">
        <v>0</v>
      </c>
      <c r="CO415" s="37">
        <v>0</v>
      </c>
      <c r="CP415" s="37">
        <v>0</v>
      </c>
      <c r="CQ415" s="37">
        <v>140000</v>
      </c>
      <c r="CR415" s="37">
        <v>0</v>
      </c>
      <c r="CS415" s="37">
        <v>0</v>
      </c>
      <c r="CT415" s="37">
        <v>0</v>
      </c>
      <c r="CU415" s="37">
        <v>0</v>
      </c>
      <c r="CV415" s="37">
        <v>0</v>
      </c>
      <c r="CW415" s="37">
        <v>0</v>
      </c>
      <c r="CX415" s="37">
        <v>0</v>
      </c>
      <c r="CY415" s="37">
        <v>0</v>
      </c>
      <c r="CZ415" s="37">
        <v>140000</v>
      </c>
      <c r="DA415" s="37">
        <v>0</v>
      </c>
      <c r="DB415" s="37">
        <v>0</v>
      </c>
      <c r="DC415" s="37">
        <v>0</v>
      </c>
      <c r="DD415" s="37">
        <v>0</v>
      </c>
      <c r="DE415" s="37">
        <v>1797000</v>
      </c>
      <c r="DF415" s="37">
        <v>0</v>
      </c>
      <c r="DG415" s="37">
        <v>0</v>
      </c>
      <c r="DH415" s="37">
        <v>0</v>
      </c>
      <c r="DI415" s="37">
        <v>0</v>
      </c>
      <c r="DJ415" s="37">
        <v>0</v>
      </c>
      <c r="DK415" s="37">
        <v>0</v>
      </c>
      <c r="DL415" s="37">
        <v>1797000</v>
      </c>
      <c r="DM415" s="37">
        <v>0</v>
      </c>
      <c r="DN415" s="37">
        <v>0</v>
      </c>
      <c r="DO415" s="37">
        <v>0</v>
      </c>
      <c r="DP415" s="37">
        <v>0</v>
      </c>
      <c r="DQ415" s="37">
        <v>0</v>
      </c>
      <c r="DR415" s="37">
        <v>0</v>
      </c>
      <c r="DS415" s="37">
        <v>0</v>
      </c>
      <c r="DT415" s="37">
        <v>0</v>
      </c>
      <c r="DU415" s="37">
        <v>0</v>
      </c>
      <c r="DV415" s="37">
        <v>0</v>
      </c>
      <c r="DW415" s="37">
        <v>0</v>
      </c>
      <c r="DX415" s="37">
        <v>0</v>
      </c>
      <c r="DY415" s="37">
        <v>0</v>
      </c>
      <c r="DZ415" s="37">
        <v>0</v>
      </c>
      <c r="EA415" s="37">
        <v>0</v>
      </c>
      <c r="EB415" s="37">
        <v>0</v>
      </c>
      <c r="EC415" s="37">
        <v>0</v>
      </c>
      <c r="ED415" s="37">
        <v>0</v>
      </c>
      <c r="EE415" s="37">
        <v>0</v>
      </c>
      <c r="EF415" s="37">
        <v>0</v>
      </c>
      <c r="EG415" s="37">
        <v>0</v>
      </c>
      <c r="EH415" s="37">
        <v>0</v>
      </c>
      <c r="EI415" s="37">
        <v>0</v>
      </c>
      <c r="EJ415" s="37">
        <v>0</v>
      </c>
      <c r="EK415" s="161" t="s">
        <v>2273</v>
      </c>
      <c r="EL415" s="294" t="s">
        <v>1124</v>
      </c>
    </row>
    <row r="416" spans="1:142" ht="15" customHeight="1" x14ac:dyDescent="0.35">
      <c r="A416" s="34"/>
      <c r="B416" s="313">
        <v>98025</v>
      </c>
      <c r="C416" s="8" t="s">
        <v>1012</v>
      </c>
      <c r="D416" s="18">
        <v>9</v>
      </c>
      <c r="E416" s="155"/>
      <c r="F416" s="36"/>
      <c r="G416" s="37"/>
      <c r="H416" s="37"/>
      <c r="I416" s="37"/>
      <c r="J416" s="37"/>
      <c r="K416" s="37"/>
      <c r="L416" s="37"/>
      <c r="M416" s="37" t="s">
        <v>1124</v>
      </c>
      <c r="N416" s="37" t="s">
        <v>1124</v>
      </c>
      <c r="O416" s="37"/>
      <c r="P416" s="37"/>
      <c r="Q416" s="37"/>
      <c r="R416" s="37"/>
      <c r="S416" s="37"/>
      <c r="T416" s="37"/>
      <c r="U416" s="37"/>
      <c r="V416" s="37"/>
      <c r="W416" s="37"/>
      <c r="X416" s="37"/>
      <c r="Y416" s="37"/>
      <c r="Z416" s="37"/>
      <c r="AA416" s="37" t="s">
        <v>1124</v>
      </c>
      <c r="AB416" s="37" t="s">
        <v>1124</v>
      </c>
      <c r="AC416" s="37"/>
      <c r="AD416" s="37"/>
      <c r="AE416" s="37"/>
      <c r="AF416" s="168"/>
      <c r="AG416" s="37"/>
      <c r="AH416" s="37"/>
      <c r="AI416" s="37"/>
      <c r="AJ416" s="37"/>
      <c r="AK416" s="37"/>
      <c r="AL416" s="37"/>
      <c r="AM416" s="37"/>
      <c r="AN416" s="37"/>
      <c r="AO416" s="37"/>
      <c r="AP416" s="37"/>
      <c r="AQ416" s="37"/>
      <c r="AR416" s="37" t="s">
        <v>1124</v>
      </c>
      <c r="AS416" s="37"/>
      <c r="AT416" s="37"/>
      <c r="AU416" s="37"/>
      <c r="AV416" s="37"/>
      <c r="AW416" s="37"/>
      <c r="AX416" s="37"/>
      <c r="AY416" s="37"/>
      <c r="AZ416" s="37"/>
      <c r="BA416" s="37"/>
      <c r="BB416" s="37"/>
      <c r="BC416" s="37"/>
      <c r="BD416" s="37" t="s">
        <v>1124</v>
      </c>
      <c r="BE416" s="37"/>
      <c r="BF416" s="37"/>
      <c r="BG416" s="37"/>
      <c r="BH416" s="37"/>
      <c r="BI416" s="37"/>
      <c r="BJ416" s="37"/>
      <c r="BK416" s="37"/>
      <c r="BL416" s="37"/>
      <c r="BM416" s="37"/>
      <c r="BN416" s="37"/>
      <c r="BO416" s="37"/>
      <c r="BP416" s="37">
        <v>0</v>
      </c>
      <c r="BQ416" s="37"/>
      <c r="BR416" s="37"/>
      <c r="BS416" s="37"/>
      <c r="BT416" s="37"/>
      <c r="BU416" s="37"/>
      <c r="BV416" s="37"/>
      <c r="BW416" s="37"/>
      <c r="BX416" s="37"/>
      <c r="BY416" s="37"/>
      <c r="BZ416" s="37"/>
      <c r="CA416" s="37"/>
      <c r="CB416" s="37" t="s">
        <v>1124</v>
      </c>
      <c r="CC416" s="37"/>
      <c r="CD416" s="37"/>
      <c r="CE416" s="37"/>
      <c r="CF416" s="37"/>
      <c r="CG416" s="37"/>
      <c r="CH416" s="37"/>
      <c r="CI416" s="37"/>
      <c r="CJ416" s="37"/>
      <c r="CK416" s="37"/>
      <c r="CL416" s="37"/>
      <c r="CM416" s="37"/>
      <c r="CN416" s="37" t="s">
        <v>1124</v>
      </c>
      <c r="CO416" s="37"/>
      <c r="CP416" s="37"/>
      <c r="CQ416" s="37"/>
      <c r="CR416" s="37"/>
      <c r="CS416" s="37"/>
      <c r="CT416" s="37"/>
      <c r="CU416" s="37"/>
      <c r="CV416" s="37"/>
      <c r="CW416" s="37"/>
      <c r="CX416" s="37"/>
      <c r="CY416" s="37"/>
      <c r="CZ416" s="37" t="s">
        <v>1124</v>
      </c>
      <c r="DA416" s="37"/>
      <c r="DB416" s="37"/>
      <c r="DC416" s="37"/>
      <c r="DD416" s="37"/>
      <c r="DE416" s="37"/>
      <c r="DF416" s="37"/>
      <c r="DG416" s="37"/>
      <c r="DH416" s="37"/>
      <c r="DI416" s="37"/>
      <c r="DJ416" s="37"/>
      <c r="DK416" s="37"/>
      <c r="DL416" s="37" t="s">
        <v>1124</v>
      </c>
      <c r="DM416" s="37"/>
      <c r="DN416" s="37"/>
      <c r="DO416" s="37"/>
      <c r="DP416" s="37"/>
      <c r="DQ416" s="37"/>
      <c r="DR416" s="37"/>
      <c r="DS416" s="37"/>
      <c r="DT416" s="37"/>
      <c r="DU416" s="37"/>
      <c r="DV416" s="37"/>
      <c r="DW416" s="37"/>
      <c r="DX416" s="37" t="s">
        <v>1124</v>
      </c>
      <c r="DY416" s="37"/>
      <c r="DZ416" s="37"/>
      <c r="EA416" s="37"/>
      <c r="EB416" s="37"/>
      <c r="EC416" s="37"/>
      <c r="ED416" s="37"/>
      <c r="EE416" s="37"/>
      <c r="EF416" s="37"/>
      <c r="EG416" s="37"/>
      <c r="EH416" s="37"/>
      <c r="EI416" s="37"/>
      <c r="EJ416" s="37" t="s">
        <v>1124</v>
      </c>
      <c r="EK416" s="161"/>
      <c r="EL416" s="294"/>
    </row>
    <row r="417" spans="1:142" ht="15" customHeight="1" x14ac:dyDescent="0.35">
      <c r="A417" s="34"/>
      <c r="B417" s="313">
        <v>85100</v>
      </c>
      <c r="C417" s="8" t="s">
        <v>887</v>
      </c>
      <c r="D417" s="18">
        <v>8</v>
      </c>
      <c r="E417" s="155">
        <v>62049</v>
      </c>
      <c r="F417" s="36">
        <v>784</v>
      </c>
      <c r="G417" s="37">
        <v>0</v>
      </c>
      <c r="H417" s="37">
        <v>0</v>
      </c>
      <c r="I417" s="37">
        <v>0</v>
      </c>
      <c r="J417" s="37">
        <v>0</v>
      </c>
      <c r="K417" s="37">
        <v>6204.9</v>
      </c>
      <c r="L417" s="37">
        <v>78.400000000000006</v>
      </c>
      <c r="M417" s="37">
        <v>68253.899999999994</v>
      </c>
      <c r="N417" s="37">
        <v>862.4</v>
      </c>
      <c r="O417" s="37">
        <v>0</v>
      </c>
      <c r="P417" s="37">
        <v>0</v>
      </c>
      <c r="Q417" s="37">
        <v>11660</v>
      </c>
      <c r="R417" s="37">
        <v>10223</v>
      </c>
      <c r="S417" s="37">
        <v>0</v>
      </c>
      <c r="T417" s="37">
        <v>0</v>
      </c>
      <c r="U417" s="37">
        <v>15046</v>
      </c>
      <c r="V417" s="37">
        <v>0</v>
      </c>
      <c r="W417" s="37">
        <v>16093.5</v>
      </c>
      <c r="X417" s="37">
        <v>16093.5</v>
      </c>
      <c r="Y417" s="37">
        <v>0</v>
      </c>
      <c r="Z417" s="37">
        <v>0</v>
      </c>
      <c r="AA417" s="37">
        <v>42799.5</v>
      </c>
      <c r="AB417" s="37">
        <v>26316.5</v>
      </c>
      <c r="AC417" s="37">
        <v>0</v>
      </c>
      <c r="AD417" s="37">
        <v>0</v>
      </c>
      <c r="AE417" s="37">
        <v>0</v>
      </c>
      <c r="AF417" s="168">
        <v>0.02</v>
      </c>
      <c r="AG417" s="37">
        <v>2257369.9700000002</v>
      </c>
      <c r="AH417" s="37">
        <v>15609.32</v>
      </c>
      <c r="AI417" s="37">
        <v>15921.51</v>
      </c>
      <c r="AJ417" s="37">
        <v>16239.94</v>
      </c>
      <c r="AK417" s="37">
        <v>16564.740000000002</v>
      </c>
      <c r="AL417" s="37">
        <v>16896.03</v>
      </c>
      <c r="AM417" s="37">
        <v>17233.96</v>
      </c>
      <c r="AN417" s="37">
        <v>17578.63</v>
      </c>
      <c r="AO417" s="37">
        <v>17930.21</v>
      </c>
      <c r="AP417" s="37">
        <v>18288.810000000001</v>
      </c>
      <c r="AQ417" s="37">
        <v>18654.59</v>
      </c>
      <c r="AR417" s="37">
        <v>170917.74000000002</v>
      </c>
      <c r="AS417" s="37">
        <v>893542.34</v>
      </c>
      <c r="AT417" s="37">
        <v>340000</v>
      </c>
      <c r="AU417" s="37">
        <v>346800</v>
      </c>
      <c r="AV417" s="37">
        <v>353736</v>
      </c>
      <c r="AW417" s="37">
        <v>0</v>
      </c>
      <c r="AX417" s="37">
        <v>0</v>
      </c>
      <c r="AY417" s="37">
        <v>0</v>
      </c>
      <c r="AZ417" s="37">
        <v>0</v>
      </c>
      <c r="BA417" s="37">
        <v>0</v>
      </c>
      <c r="BB417" s="37">
        <v>0</v>
      </c>
      <c r="BC417" s="37">
        <v>0</v>
      </c>
      <c r="BD417" s="37">
        <v>1040536</v>
      </c>
      <c r="BE417" s="37">
        <v>0</v>
      </c>
      <c r="BF417" s="37">
        <v>100801.94309033563</v>
      </c>
      <c r="BG417" s="37">
        <v>108651.77274522239</v>
      </c>
      <c r="BH417" s="37">
        <v>133755.14108863479</v>
      </c>
      <c r="BI417" s="37">
        <v>158858.56307580732</v>
      </c>
      <c r="BJ417" s="37">
        <v>17253.538688525619</v>
      </c>
      <c r="BK417" s="37">
        <v>83548.404401809908</v>
      </c>
      <c r="BL417" s="37">
        <v>108651.77274522239</v>
      </c>
      <c r="BM417" s="37">
        <v>133755.14108863479</v>
      </c>
      <c r="BN417" s="37">
        <v>158858.56307580732</v>
      </c>
      <c r="BO417" s="37">
        <v>0</v>
      </c>
      <c r="BP417" s="37">
        <v>1004134.8400000001</v>
      </c>
      <c r="BQ417" s="37">
        <v>0</v>
      </c>
      <c r="BR417" s="37">
        <v>0</v>
      </c>
      <c r="BS417" s="37">
        <v>0</v>
      </c>
      <c r="BT417" s="37">
        <v>0</v>
      </c>
      <c r="BU417" s="37">
        <v>0</v>
      </c>
      <c r="BV417" s="37">
        <v>0</v>
      </c>
      <c r="BW417" s="37">
        <v>0</v>
      </c>
      <c r="BX417" s="37">
        <v>0</v>
      </c>
      <c r="BY417" s="37">
        <v>0</v>
      </c>
      <c r="BZ417" s="37">
        <v>0</v>
      </c>
      <c r="CA417" s="37">
        <v>0</v>
      </c>
      <c r="CB417" s="37">
        <v>0</v>
      </c>
      <c r="CC417" s="37">
        <v>0</v>
      </c>
      <c r="CD417" s="37">
        <v>0</v>
      </c>
      <c r="CE417" s="37">
        <v>0</v>
      </c>
      <c r="CF417" s="37">
        <v>0</v>
      </c>
      <c r="CG417" s="37">
        <v>0</v>
      </c>
      <c r="CH417" s="37">
        <v>0</v>
      </c>
      <c r="CI417" s="37">
        <v>0</v>
      </c>
      <c r="CJ417" s="37">
        <v>0</v>
      </c>
      <c r="CK417" s="37">
        <v>0</v>
      </c>
      <c r="CL417" s="37">
        <v>0</v>
      </c>
      <c r="CM417" s="37">
        <v>0</v>
      </c>
      <c r="CN417" s="37">
        <v>0</v>
      </c>
      <c r="CO417" s="37">
        <v>0</v>
      </c>
      <c r="CP417" s="37">
        <v>0</v>
      </c>
      <c r="CQ417" s="37">
        <v>0</v>
      </c>
      <c r="CR417" s="37">
        <v>0</v>
      </c>
      <c r="CS417" s="37">
        <v>0</v>
      </c>
      <c r="CT417" s="37">
        <v>0</v>
      </c>
      <c r="CU417" s="37">
        <v>0</v>
      </c>
      <c r="CV417" s="37">
        <v>0</v>
      </c>
      <c r="CW417" s="37">
        <v>0</v>
      </c>
      <c r="CX417" s="37">
        <v>0</v>
      </c>
      <c r="CY417" s="37">
        <v>0</v>
      </c>
      <c r="CZ417" s="37">
        <v>0</v>
      </c>
      <c r="DA417" s="37">
        <v>0</v>
      </c>
      <c r="DB417" s="37">
        <v>0</v>
      </c>
      <c r="DC417" s="37">
        <v>0</v>
      </c>
      <c r="DD417" s="37">
        <v>0</v>
      </c>
      <c r="DE417" s="37">
        <v>0</v>
      </c>
      <c r="DF417" s="37">
        <v>0</v>
      </c>
      <c r="DG417" s="37">
        <v>0</v>
      </c>
      <c r="DH417" s="37">
        <v>0</v>
      </c>
      <c r="DI417" s="37">
        <v>0</v>
      </c>
      <c r="DJ417" s="37">
        <v>0</v>
      </c>
      <c r="DK417" s="37">
        <v>0</v>
      </c>
      <c r="DL417" s="37">
        <v>0</v>
      </c>
      <c r="DM417" s="37">
        <v>0</v>
      </c>
      <c r="DN417" s="37">
        <v>12788.783964505512</v>
      </c>
      <c r="DO417" s="37">
        <v>13784.695080271893</v>
      </c>
      <c r="DP417" s="37">
        <v>16969.569743229535</v>
      </c>
      <c r="DQ417" s="37">
        <v>20154.451211993077</v>
      </c>
      <c r="DR417" s="37">
        <v>2188.9635471912529</v>
      </c>
      <c r="DS417" s="37">
        <v>10599.820417314246</v>
      </c>
      <c r="DT417" s="37">
        <v>13784.695080271893</v>
      </c>
      <c r="DU417" s="37">
        <v>16969.569743229535</v>
      </c>
      <c r="DV417" s="37">
        <v>20154.451211993077</v>
      </c>
      <c r="DW417" s="37">
        <v>0</v>
      </c>
      <c r="DX417" s="37">
        <v>127395.00000000003</v>
      </c>
      <c r="DY417" s="37">
        <v>14490</v>
      </c>
      <c r="DZ417" s="37">
        <v>0</v>
      </c>
      <c r="EA417" s="37">
        <v>0</v>
      </c>
      <c r="EB417" s="37">
        <v>0</v>
      </c>
      <c r="EC417" s="37">
        <v>0</v>
      </c>
      <c r="ED417" s="37">
        <v>0</v>
      </c>
      <c r="EE417" s="37">
        <v>0</v>
      </c>
      <c r="EF417" s="37">
        <v>0</v>
      </c>
      <c r="EG417" s="37">
        <v>0</v>
      </c>
      <c r="EH417" s="37">
        <v>0</v>
      </c>
      <c r="EI417" s="37">
        <v>0</v>
      </c>
      <c r="EJ417" s="37">
        <v>0</v>
      </c>
      <c r="EK417" s="161" t="s">
        <v>2276</v>
      </c>
      <c r="EL417" s="294" t="s">
        <v>1124</v>
      </c>
    </row>
    <row r="418" spans="1:142" ht="15" customHeight="1" x14ac:dyDescent="0.35">
      <c r="A418" s="34"/>
      <c r="B418" s="313">
        <v>34007</v>
      </c>
      <c r="C418" s="8" t="s">
        <v>285</v>
      </c>
      <c r="D418" s="18">
        <v>3</v>
      </c>
      <c r="E418" s="155">
        <v>192750</v>
      </c>
      <c r="F418" s="36">
        <v>102225</v>
      </c>
      <c r="G418" s="37">
        <v>26532</v>
      </c>
      <c r="H418" s="37">
        <v>8492</v>
      </c>
      <c r="I418" s="37">
        <v>297877</v>
      </c>
      <c r="J418" s="37">
        <v>132702</v>
      </c>
      <c r="K418" s="37">
        <v>28912.5</v>
      </c>
      <c r="L418" s="37">
        <v>15333.75</v>
      </c>
      <c r="M418" s="37">
        <v>546071.5</v>
      </c>
      <c r="N418" s="37">
        <v>258752.75</v>
      </c>
      <c r="O418" s="37">
        <v>0</v>
      </c>
      <c r="P418" s="37">
        <v>0</v>
      </c>
      <c r="Q418" s="37">
        <v>489644</v>
      </c>
      <c r="R418" s="37">
        <v>249191</v>
      </c>
      <c r="S418" s="37">
        <v>0</v>
      </c>
      <c r="T418" s="37">
        <v>462</v>
      </c>
      <c r="U418" s="37">
        <v>14615</v>
      </c>
      <c r="V418" s="37">
        <v>1670</v>
      </c>
      <c r="W418" s="37">
        <v>41812.5</v>
      </c>
      <c r="X418" s="37">
        <v>7429.75</v>
      </c>
      <c r="Y418" s="37">
        <v>0</v>
      </c>
      <c r="Z418" s="37">
        <v>0</v>
      </c>
      <c r="AA418" s="37">
        <v>546071.5</v>
      </c>
      <c r="AB418" s="37">
        <v>258752.75</v>
      </c>
      <c r="AC418" s="37">
        <v>0</v>
      </c>
      <c r="AD418" s="37">
        <v>0</v>
      </c>
      <c r="AE418" s="37">
        <v>0</v>
      </c>
      <c r="AF418" s="168">
        <v>0.02</v>
      </c>
      <c r="AG418" s="37">
        <v>28586966.629999999</v>
      </c>
      <c r="AH418" s="37">
        <v>258963.98</v>
      </c>
      <c r="AI418" s="37">
        <v>344795.07</v>
      </c>
      <c r="AJ418" s="37">
        <v>267261.26</v>
      </c>
      <c r="AK418" s="37">
        <v>248316.71</v>
      </c>
      <c r="AL418" s="37">
        <v>250467.64</v>
      </c>
      <c r="AM418" s="37">
        <v>255476.99</v>
      </c>
      <c r="AN418" s="37">
        <v>251994.36</v>
      </c>
      <c r="AO418" s="37">
        <v>257034.25</v>
      </c>
      <c r="AP418" s="37">
        <v>262174.93</v>
      </c>
      <c r="AQ418" s="37">
        <v>267418.43</v>
      </c>
      <c r="AR418" s="37">
        <v>2663903.6199999996</v>
      </c>
      <c r="AS418" s="37">
        <v>53060.4</v>
      </c>
      <c r="AT418" s="37">
        <v>11310794.949999999</v>
      </c>
      <c r="AU418" s="37">
        <v>14856.91</v>
      </c>
      <c r="AV418" s="37">
        <v>0</v>
      </c>
      <c r="AW418" s="37">
        <v>0</v>
      </c>
      <c r="AX418" s="37">
        <v>0</v>
      </c>
      <c r="AY418" s="37">
        <v>0</v>
      </c>
      <c r="AZ418" s="37">
        <v>0</v>
      </c>
      <c r="BA418" s="37">
        <v>0</v>
      </c>
      <c r="BB418" s="37">
        <v>0</v>
      </c>
      <c r="BC418" s="37">
        <v>0</v>
      </c>
      <c r="BD418" s="37">
        <v>11325651.859999999</v>
      </c>
      <c r="BE418" s="37">
        <v>0</v>
      </c>
      <c r="BF418" s="37">
        <v>0</v>
      </c>
      <c r="BG418" s="37">
        <v>0</v>
      </c>
      <c r="BH418" s="37">
        <v>0</v>
      </c>
      <c r="BI418" s="37">
        <v>0</v>
      </c>
      <c r="BJ418" s="37">
        <v>0</v>
      </c>
      <c r="BK418" s="37">
        <v>0</v>
      </c>
      <c r="BL418" s="37">
        <v>0</v>
      </c>
      <c r="BM418" s="37">
        <v>0</v>
      </c>
      <c r="BN418" s="37">
        <v>0</v>
      </c>
      <c r="BO418" s="37">
        <v>0</v>
      </c>
      <c r="BP418" s="37">
        <v>0</v>
      </c>
      <c r="BQ418" s="37">
        <v>0</v>
      </c>
      <c r="BR418" s="37">
        <v>0</v>
      </c>
      <c r="BS418" s="37">
        <v>0</v>
      </c>
      <c r="BT418" s="37">
        <v>0</v>
      </c>
      <c r="BU418" s="37">
        <v>0</v>
      </c>
      <c r="BV418" s="37">
        <v>0</v>
      </c>
      <c r="BW418" s="37">
        <v>0</v>
      </c>
      <c r="BX418" s="37">
        <v>0</v>
      </c>
      <c r="BY418" s="37">
        <v>0</v>
      </c>
      <c r="BZ418" s="37">
        <v>0</v>
      </c>
      <c r="CA418" s="37">
        <v>0</v>
      </c>
      <c r="CB418" s="37">
        <v>0</v>
      </c>
      <c r="CC418" s="37">
        <v>0</v>
      </c>
      <c r="CD418" s="37">
        <v>0</v>
      </c>
      <c r="CE418" s="37">
        <v>0</v>
      </c>
      <c r="CF418" s="37">
        <v>0</v>
      </c>
      <c r="CG418" s="37">
        <v>0</v>
      </c>
      <c r="CH418" s="37">
        <v>0</v>
      </c>
      <c r="CI418" s="37">
        <v>0</v>
      </c>
      <c r="CJ418" s="37">
        <v>0</v>
      </c>
      <c r="CK418" s="37">
        <v>0</v>
      </c>
      <c r="CL418" s="37">
        <v>0</v>
      </c>
      <c r="CM418" s="37">
        <v>0</v>
      </c>
      <c r="CN418" s="37">
        <v>0</v>
      </c>
      <c r="CO418" s="37">
        <v>7464414</v>
      </c>
      <c r="CP418" s="37">
        <v>0</v>
      </c>
      <c r="CQ418" s="37">
        <v>0</v>
      </c>
      <c r="CR418" s="37">
        <v>0</v>
      </c>
      <c r="CS418" s="37">
        <v>0</v>
      </c>
      <c r="CT418" s="37">
        <v>0</v>
      </c>
      <c r="CU418" s="37">
        <v>0</v>
      </c>
      <c r="CV418" s="37">
        <v>0</v>
      </c>
      <c r="CW418" s="37">
        <v>0</v>
      </c>
      <c r="CX418" s="37">
        <v>0</v>
      </c>
      <c r="CY418" s="37">
        <v>0</v>
      </c>
      <c r="CZ418" s="37">
        <v>0</v>
      </c>
      <c r="DA418" s="37">
        <v>1528848</v>
      </c>
      <c r="DB418" s="37">
        <v>0</v>
      </c>
      <c r="DC418" s="37">
        <v>0</v>
      </c>
      <c r="DD418" s="37">
        <v>0</v>
      </c>
      <c r="DE418" s="37">
        <v>0</v>
      </c>
      <c r="DF418" s="37">
        <v>0</v>
      </c>
      <c r="DG418" s="37">
        <v>0</v>
      </c>
      <c r="DH418" s="37">
        <v>0</v>
      </c>
      <c r="DI418" s="37">
        <v>0</v>
      </c>
      <c r="DJ418" s="37">
        <v>0</v>
      </c>
      <c r="DK418" s="37">
        <v>0</v>
      </c>
      <c r="DL418" s="37">
        <v>0</v>
      </c>
      <c r="DM418" s="37">
        <v>0</v>
      </c>
      <c r="DN418" s="37">
        <v>0</v>
      </c>
      <c r="DO418" s="37">
        <v>0</v>
      </c>
      <c r="DP418" s="37">
        <v>0</v>
      </c>
      <c r="DQ418" s="37">
        <v>0</v>
      </c>
      <c r="DR418" s="37">
        <v>0</v>
      </c>
      <c r="DS418" s="37">
        <v>0</v>
      </c>
      <c r="DT418" s="37">
        <v>0</v>
      </c>
      <c r="DU418" s="37">
        <v>0</v>
      </c>
      <c r="DV418" s="37">
        <v>0</v>
      </c>
      <c r="DW418" s="37">
        <v>0</v>
      </c>
      <c r="DX418" s="37">
        <v>0</v>
      </c>
      <c r="DY418" s="37">
        <v>0</v>
      </c>
      <c r="DZ418" s="37">
        <v>0</v>
      </c>
      <c r="EA418" s="37">
        <v>0</v>
      </c>
      <c r="EB418" s="37">
        <v>0</v>
      </c>
      <c r="EC418" s="37">
        <v>0</v>
      </c>
      <c r="ED418" s="37">
        <v>0</v>
      </c>
      <c r="EE418" s="37">
        <v>0</v>
      </c>
      <c r="EF418" s="37">
        <v>0</v>
      </c>
      <c r="EG418" s="37">
        <v>0</v>
      </c>
      <c r="EH418" s="37">
        <v>0</v>
      </c>
      <c r="EI418" s="37">
        <v>0</v>
      </c>
      <c r="EJ418" s="37">
        <v>0</v>
      </c>
      <c r="EK418" s="161" t="s">
        <v>1124</v>
      </c>
      <c r="EL418" s="294" t="s">
        <v>1124</v>
      </c>
    </row>
    <row r="419" spans="1:142" ht="15" customHeight="1" x14ac:dyDescent="0.35">
      <c r="A419" s="34"/>
      <c r="B419" s="313">
        <v>5040</v>
      </c>
      <c r="C419" s="8" t="s">
        <v>1049</v>
      </c>
      <c r="D419" s="18">
        <v>11</v>
      </c>
      <c r="E419" s="155">
        <v>105022</v>
      </c>
      <c r="F419" s="36">
        <v>78791</v>
      </c>
      <c r="G419" s="37">
        <v>3048</v>
      </c>
      <c r="H419" s="37">
        <v>0</v>
      </c>
      <c r="I419" s="37">
        <v>46465</v>
      </c>
      <c r="J419" s="37">
        <v>0</v>
      </c>
      <c r="K419" s="37">
        <v>15753.3</v>
      </c>
      <c r="L419" s="37">
        <v>11818.65</v>
      </c>
      <c r="M419" s="37">
        <v>170288.3</v>
      </c>
      <c r="N419" s="37">
        <v>90609.65</v>
      </c>
      <c r="O419" s="37">
        <v>0</v>
      </c>
      <c r="P419" s="37">
        <v>0</v>
      </c>
      <c r="Q419" s="37">
        <v>81500</v>
      </c>
      <c r="R419" s="37">
        <v>66330</v>
      </c>
      <c r="S419" s="37">
        <v>0</v>
      </c>
      <c r="T419" s="37">
        <v>8955</v>
      </c>
      <c r="U419" s="37">
        <v>46573</v>
      </c>
      <c r="V419" s="37">
        <v>0</v>
      </c>
      <c r="W419" s="37">
        <v>28770</v>
      </c>
      <c r="X419" s="37">
        <v>28770</v>
      </c>
      <c r="Y419" s="37">
        <v>0</v>
      </c>
      <c r="Z419" s="37">
        <v>0</v>
      </c>
      <c r="AA419" s="37">
        <v>156843</v>
      </c>
      <c r="AB419" s="37">
        <v>104055</v>
      </c>
      <c r="AC419" s="37">
        <v>0</v>
      </c>
      <c r="AD419" s="37">
        <v>0</v>
      </c>
      <c r="AE419" s="37">
        <v>0</v>
      </c>
      <c r="AF419" s="168">
        <v>0.02</v>
      </c>
      <c r="AG419" s="37">
        <v>35157262.609999999</v>
      </c>
      <c r="AH419" s="37">
        <v>301130.95</v>
      </c>
      <c r="AI419" s="37">
        <v>307153.57</v>
      </c>
      <c r="AJ419" s="37">
        <v>313296.64000000001</v>
      </c>
      <c r="AK419" s="37">
        <v>319562.57</v>
      </c>
      <c r="AL419" s="37">
        <v>325953.83</v>
      </c>
      <c r="AM419" s="37">
        <v>332472.90000000002</v>
      </c>
      <c r="AN419" s="37">
        <v>339122.36</v>
      </c>
      <c r="AO419" s="37">
        <v>345904.81</v>
      </c>
      <c r="AP419" s="37">
        <v>352822.9</v>
      </c>
      <c r="AQ419" s="37">
        <v>359879.36</v>
      </c>
      <c r="AR419" s="37">
        <v>3297299.89</v>
      </c>
      <c r="AS419" s="37">
        <v>7150117.79</v>
      </c>
      <c r="AT419" s="37">
        <v>182070</v>
      </c>
      <c r="AU419" s="37">
        <v>185711.4</v>
      </c>
      <c r="AV419" s="37">
        <v>0</v>
      </c>
      <c r="AW419" s="37">
        <v>0</v>
      </c>
      <c r="AX419" s="37">
        <v>0</v>
      </c>
      <c r="AY419" s="37">
        <v>0</v>
      </c>
      <c r="AZ419" s="37">
        <v>0</v>
      </c>
      <c r="BA419" s="37">
        <v>0</v>
      </c>
      <c r="BB419" s="37">
        <v>0</v>
      </c>
      <c r="BC419" s="37">
        <v>0</v>
      </c>
      <c r="BD419" s="37">
        <v>367781.4</v>
      </c>
      <c r="BE419" s="37">
        <v>521956</v>
      </c>
      <c r="BF419" s="37">
        <v>0</v>
      </c>
      <c r="BG419" s="37">
        <v>814400</v>
      </c>
      <c r="BH419" s="37">
        <v>0</v>
      </c>
      <c r="BI419" s="37">
        <v>0</v>
      </c>
      <c r="BJ419" s="37">
        <v>0</v>
      </c>
      <c r="BK419" s="37">
        <v>0</v>
      </c>
      <c r="BL419" s="37">
        <v>0</v>
      </c>
      <c r="BM419" s="37">
        <v>0</v>
      </c>
      <c r="BN419" s="37">
        <v>0</v>
      </c>
      <c r="BO419" s="37">
        <v>0</v>
      </c>
      <c r="BP419" s="37">
        <v>814400</v>
      </c>
      <c r="BQ419" s="37">
        <v>0</v>
      </c>
      <c r="BR419" s="37">
        <v>0</v>
      </c>
      <c r="BS419" s="37">
        <v>203600</v>
      </c>
      <c r="BT419" s="37">
        <v>0</v>
      </c>
      <c r="BU419" s="37">
        <v>0</v>
      </c>
      <c r="BV419" s="37">
        <v>0</v>
      </c>
      <c r="BW419" s="37">
        <v>0</v>
      </c>
      <c r="BX419" s="37">
        <v>0</v>
      </c>
      <c r="BY419" s="37">
        <v>0</v>
      </c>
      <c r="BZ419" s="37">
        <v>0</v>
      </c>
      <c r="CA419" s="37">
        <v>0</v>
      </c>
      <c r="CB419" s="37">
        <v>203600</v>
      </c>
      <c r="CC419" s="37">
        <v>0</v>
      </c>
      <c r="CD419" s="37">
        <v>0</v>
      </c>
      <c r="CE419" s="37">
        <v>0</v>
      </c>
      <c r="CF419" s="37">
        <v>0</v>
      </c>
      <c r="CG419" s="37">
        <v>0</v>
      </c>
      <c r="CH419" s="37">
        <v>0</v>
      </c>
      <c r="CI419" s="37">
        <v>0</v>
      </c>
      <c r="CJ419" s="37">
        <v>0</v>
      </c>
      <c r="CK419" s="37">
        <v>0</v>
      </c>
      <c r="CL419" s="37">
        <v>0</v>
      </c>
      <c r="CM419" s="37">
        <v>0</v>
      </c>
      <c r="CN419" s="37">
        <v>0</v>
      </c>
      <c r="CO419" s="37">
        <v>0</v>
      </c>
      <c r="CP419" s="37">
        <v>0</v>
      </c>
      <c r="CQ419" s="37">
        <v>0</v>
      </c>
      <c r="CR419" s="37">
        <v>0</v>
      </c>
      <c r="CS419" s="37">
        <v>0</v>
      </c>
      <c r="CT419" s="37">
        <v>0</v>
      </c>
      <c r="CU419" s="37">
        <v>0</v>
      </c>
      <c r="CV419" s="37">
        <v>0</v>
      </c>
      <c r="CW419" s="37">
        <v>0</v>
      </c>
      <c r="CX419" s="37">
        <v>0</v>
      </c>
      <c r="CY419" s="37">
        <v>0</v>
      </c>
      <c r="CZ419" s="37">
        <v>0</v>
      </c>
      <c r="DA419" s="37">
        <v>0</v>
      </c>
      <c r="DB419" s="37">
        <v>0</v>
      </c>
      <c r="DC419" s="37">
        <v>0</v>
      </c>
      <c r="DD419" s="37">
        <v>0</v>
      </c>
      <c r="DE419" s="37">
        <v>0</v>
      </c>
      <c r="DF419" s="37">
        <v>0</v>
      </c>
      <c r="DG419" s="37">
        <v>0</v>
      </c>
      <c r="DH419" s="37">
        <v>0</v>
      </c>
      <c r="DI419" s="37">
        <v>0</v>
      </c>
      <c r="DJ419" s="37">
        <v>0</v>
      </c>
      <c r="DK419" s="37">
        <v>0</v>
      </c>
      <c r="DL419" s="37">
        <v>0</v>
      </c>
      <c r="DM419" s="37">
        <v>0</v>
      </c>
      <c r="DN419" s="37">
        <v>0</v>
      </c>
      <c r="DO419" s="37">
        <v>0</v>
      </c>
      <c r="DP419" s="37">
        <v>0</v>
      </c>
      <c r="DQ419" s="37">
        <v>0</v>
      </c>
      <c r="DR419" s="37">
        <v>0</v>
      </c>
      <c r="DS419" s="37">
        <v>0</v>
      </c>
      <c r="DT419" s="37">
        <v>0</v>
      </c>
      <c r="DU419" s="37">
        <v>0</v>
      </c>
      <c r="DV419" s="37">
        <v>0</v>
      </c>
      <c r="DW419" s="37">
        <v>0</v>
      </c>
      <c r="DX419" s="37">
        <v>0</v>
      </c>
      <c r="DY419" s="37">
        <v>0</v>
      </c>
      <c r="DZ419" s="37">
        <v>0</v>
      </c>
      <c r="EA419" s="37">
        <v>0</v>
      </c>
      <c r="EB419" s="37">
        <v>0</v>
      </c>
      <c r="EC419" s="37">
        <v>0</v>
      </c>
      <c r="ED419" s="37">
        <v>0</v>
      </c>
      <c r="EE419" s="37">
        <v>0</v>
      </c>
      <c r="EF419" s="37">
        <v>0</v>
      </c>
      <c r="EG419" s="37">
        <v>0</v>
      </c>
      <c r="EH419" s="37">
        <v>0</v>
      </c>
      <c r="EI419" s="37">
        <v>0</v>
      </c>
      <c r="EJ419" s="37">
        <v>0</v>
      </c>
      <c r="EK419" s="161" t="s">
        <v>2283</v>
      </c>
      <c r="EL419" s="294" t="s">
        <v>1124</v>
      </c>
    </row>
    <row r="420" spans="1:142" ht="15" customHeight="1" x14ac:dyDescent="0.35">
      <c r="A420" s="34"/>
      <c r="B420" s="313">
        <v>5070</v>
      </c>
      <c r="C420" s="8" t="s">
        <v>1055</v>
      </c>
      <c r="D420" s="18">
        <v>11</v>
      </c>
      <c r="E420" s="155">
        <v>158952</v>
      </c>
      <c r="F420" s="36">
        <v>222857</v>
      </c>
      <c r="G420" s="37">
        <v>66956</v>
      </c>
      <c r="H420" s="37">
        <v>66955</v>
      </c>
      <c r="I420" s="37">
        <v>268195</v>
      </c>
      <c r="J420" s="37">
        <v>268195</v>
      </c>
      <c r="K420" s="37">
        <v>23843</v>
      </c>
      <c r="L420" s="37">
        <v>33429</v>
      </c>
      <c r="M420" s="37">
        <v>517946</v>
      </c>
      <c r="N420" s="37">
        <v>591436</v>
      </c>
      <c r="O420" s="37">
        <v>0</v>
      </c>
      <c r="P420" s="37">
        <v>0</v>
      </c>
      <c r="Q420" s="37">
        <v>187164</v>
      </c>
      <c r="R420" s="37">
        <v>62543</v>
      </c>
      <c r="S420" s="37">
        <v>0</v>
      </c>
      <c r="T420" s="37">
        <v>0</v>
      </c>
      <c r="U420" s="37">
        <v>1315</v>
      </c>
      <c r="V420" s="37">
        <v>0</v>
      </c>
      <c r="W420" s="37">
        <v>429180</v>
      </c>
      <c r="X420" s="37">
        <v>429180</v>
      </c>
      <c r="Y420" s="37">
        <v>0</v>
      </c>
      <c r="Z420" s="37">
        <v>0</v>
      </c>
      <c r="AA420" s="37">
        <v>617659</v>
      </c>
      <c r="AB420" s="37">
        <v>491723</v>
      </c>
      <c r="AC420" s="37">
        <v>0</v>
      </c>
      <c r="AD420" s="37">
        <v>0</v>
      </c>
      <c r="AE420" s="37">
        <v>0</v>
      </c>
      <c r="AF420" s="168">
        <v>0.02</v>
      </c>
      <c r="AG420" s="37">
        <v>56642778.149999999</v>
      </c>
      <c r="AH420" s="37">
        <v>466941.13</v>
      </c>
      <c r="AI420" s="37">
        <v>476279.95</v>
      </c>
      <c r="AJ420" s="37">
        <v>485805.55</v>
      </c>
      <c r="AK420" s="37">
        <v>495521.66</v>
      </c>
      <c r="AL420" s="37">
        <v>505432.09</v>
      </c>
      <c r="AM420" s="37">
        <v>515540.73</v>
      </c>
      <c r="AN420" s="37">
        <v>525851.55000000005</v>
      </c>
      <c r="AO420" s="37">
        <v>536368.57999999996</v>
      </c>
      <c r="AP420" s="37">
        <v>547095.94999999995</v>
      </c>
      <c r="AQ420" s="37">
        <v>558037.87</v>
      </c>
      <c r="AR420" s="37">
        <v>5112875.0599999996</v>
      </c>
      <c r="AS420" s="37">
        <v>5119592</v>
      </c>
      <c r="AT420" s="37">
        <v>0</v>
      </c>
      <c r="AU420" s="37">
        <v>1040400</v>
      </c>
      <c r="AV420" s="37">
        <v>0</v>
      </c>
      <c r="AW420" s="37">
        <v>0</v>
      </c>
      <c r="AX420" s="37">
        <v>0</v>
      </c>
      <c r="AY420" s="37">
        <v>0</v>
      </c>
      <c r="AZ420" s="37">
        <v>1171659.3799999999</v>
      </c>
      <c r="BA420" s="37">
        <v>0</v>
      </c>
      <c r="BB420" s="37">
        <v>0</v>
      </c>
      <c r="BC420" s="37">
        <v>0</v>
      </c>
      <c r="BD420" s="37">
        <v>2212059.38</v>
      </c>
      <c r="BE420" s="37">
        <v>0</v>
      </c>
      <c r="BF420" s="37">
        <v>1044500</v>
      </c>
      <c r="BG420" s="37">
        <v>0</v>
      </c>
      <c r="BH420" s="37">
        <v>0</v>
      </c>
      <c r="BI420" s="37">
        <v>0</v>
      </c>
      <c r="BJ420" s="37">
        <v>0</v>
      </c>
      <c r="BK420" s="37">
        <v>0</v>
      </c>
      <c r="BL420" s="37">
        <v>0</v>
      </c>
      <c r="BM420" s="37">
        <v>0</v>
      </c>
      <c r="BN420" s="37">
        <v>0</v>
      </c>
      <c r="BO420" s="37">
        <v>0</v>
      </c>
      <c r="BP420" s="37">
        <v>1044500</v>
      </c>
      <c r="BQ420" s="37">
        <v>0</v>
      </c>
      <c r="BR420" s="37">
        <v>261125</v>
      </c>
      <c r="BS420" s="37">
        <v>1250000</v>
      </c>
      <c r="BT420" s="37">
        <v>0</v>
      </c>
      <c r="BU420" s="37">
        <v>0</v>
      </c>
      <c r="BV420" s="37">
        <v>0</v>
      </c>
      <c r="BW420" s="37">
        <v>0</v>
      </c>
      <c r="BX420" s="37">
        <v>0</v>
      </c>
      <c r="BY420" s="37">
        <v>0</v>
      </c>
      <c r="BZ420" s="37">
        <v>0</v>
      </c>
      <c r="CA420" s="37">
        <v>0</v>
      </c>
      <c r="CB420" s="37">
        <v>1511125</v>
      </c>
      <c r="CC420" s="37">
        <v>0</v>
      </c>
      <c r="CD420" s="37">
        <v>114000</v>
      </c>
      <c r="CE420" s="37">
        <v>0</v>
      </c>
      <c r="CF420" s="37">
        <v>0</v>
      </c>
      <c r="CG420" s="37">
        <v>0</v>
      </c>
      <c r="CH420" s="37">
        <v>0</v>
      </c>
      <c r="CI420" s="37">
        <v>0</v>
      </c>
      <c r="CJ420" s="37">
        <v>0</v>
      </c>
      <c r="CK420" s="37">
        <v>0</v>
      </c>
      <c r="CL420" s="37">
        <v>0</v>
      </c>
      <c r="CM420" s="37">
        <v>0</v>
      </c>
      <c r="CN420" s="37">
        <v>114000</v>
      </c>
      <c r="CO420" s="37">
        <v>0</v>
      </c>
      <c r="CP420" s="37">
        <v>0</v>
      </c>
      <c r="CQ420" s="37">
        <v>0</v>
      </c>
      <c r="CR420" s="37">
        <v>0</v>
      </c>
      <c r="CS420" s="37">
        <v>0</v>
      </c>
      <c r="CT420" s="37">
        <v>0</v>
      </c>
      <c r="CU420" s="37">
        <v>0</v>
      </c>
      <c r="CV420" s="37">
        <v>0</v>
      </c>
      <c r="CW420" s="37">
        <v>0</v>
      </c>
      <c r="CX420" s="37">
        <v>0</v>
      </c>
      <c r="CY420" s="37">
        <v>0</v>
      </c>
      <c r="CZ420" s="37">
        <v>0</v>
      </c>
      <c r="DA420" s="37">
        <v>0</v>
      </c>
      <c r="DB420" s="37">
        <v>0</v>
      </c>
      <c r="DC420" s="37">
        <v>0</v>
      </c>
      <c r="DD420" s="37">
        <v>0</v>
      </c>
      <c r="DE420" s="37">
        <v>0</v>
      </c>
      <c r="DF420" s="37">
        <v>0</v>
      </c>
      <c r="DG420" s="37">
        <v>0</v>
      </c>
      <c r="DH420" s="37">
        <v>0</v>
      </c>
      <c r="DI420" s="37">
        <v>0</v>
      </c>
      <c r="DJ420" s="37">
        <v>0</v>
      </c>
      <c r="DK420" s="37">
        <v>0</v>
      </c>
      <c r="DL420" s="37">
        <v>0</v>
      </c>
      <c r="DM420" s="37">
        <v>0</v>
      </c>
      <c r="DN420" s="37">
        <v>0</v>
      </c>
      <c r="DO420" s="37">
        <v>0</v>
      </c>
      <c r="DP420" s="37">
        <v>0</v>
      </c>
      <c r="DQ420" s="37">
        <v>0</v>
      </c>
      <c r="DR420" s="37">
        <v>0</v>
      </c>
      <c r="DS420" s="37">
        <v>0</v>
      </c>
      <c r="DT420" s="37">
        <v>0</v>
      </c>
      <c r="DU420" s="37">
        <v>0</v>
      </c>
      <c r="DV420" s="37">
        <v>0</v>
      </c>
      <c r="DW420" s="37">
        <v>0</v>
      </c>
      <c r="DX420" s="37">
        <v>0</v>
      </c>
      <c r="DY420" s="37">
        <v>0</v>
      </c>
      <c r="DZ420" s="37">
        <v>0</v>
      </c>
      <c r="EA420" s="37">
        <v>0</v>
      </c>
      <c r="EB420" s="37">
        <v>0</v>
      </c>
      <c r="EC420" s="37">
        <v>0</v>
      </c>
      <c r="ED420" s="37">
        <v>0</v>
      </c>
      <c r="EE420" s="37">
        <v>0</v>
      </c>
      <c r="EF420" s="37">
        <v>0</v>
      </c>
      <c r="EG420" s="37">
        <v>0</v>
      </c>
      <c r="EH420" s="37">
        <v>0</v>
      </c>
      <c r="EI420" s="37">
        <v>0</v>
      </c>
      <c r="EJ420" s="37">
        <v>0</v>
      </c>
      <c r="EK420" s="161" t="s">
        <v>2287</v>
      </c>
      <c r="EL420" s="294" t="s">
        <v>1124</v>
      </c>
    </row>
    <row r="421" spans="1:142" ht="15" customHeight="1" x14ac:dyDescent="0.35">
      <c r="A421" s="34"/>
      <c r="B421" s="313">
        <v>41037</v>
      </c>
      <c r="C421" s="8" t="s">
        <v>368</v>
      </c>
      <c r="D421" s="18">
        <v>5</v>
      </c>
      <c r="E421" s="155"/>
      <c r="F421" s="36"/>
      <c r="G421" s="37"/>
      <c r="H421" s="37"/>
      <c r="I421" s="37"/>
      <c r="J421" s="37"/>
      <c r="K421" s="37"/>
      <c r="L421" s="37"/>
      <c r="M421" s="37" t="s">
        <v>1124</v>
      </c>
      <c r="N421" s="37" t="s">
        <v>1124</v>
      </c>
      <c r="O421" s="37"/>
      <c r="P421" s="37"/>
      <c r="Q421" s="37"/>
      <c r="R421" s="37"/>
      <c r="S421" s="37"/>
      <c r="T421" s="37"/>
      <c r="U421" s="37"/>
      <c r="V421" s="37"/>
      <c r="W421" s="37"/>
      <c r="X421" s="37"/>
      <c r="Y421" s="37"/>
      <c r="Z421" s="37"/>
      <c r="AA421" s="37" t="s">
        <v>1124</v>
      </c>
      <c r="AB421" s="37" t="s">
        <v>1124</v>
      </c>
      <c r="AC421" s="37"/>
      <c r="AD421" s="37"/>
      <c r="AE421" s="37"/>
      <c r="AF421" s="168"/>
      <c r="AG421" s="37"/>
      <c r="AH421" s="37"/>
      <c r="AI421" s="37"/>
      <c r="AJ421" s="37"/>
      <c r="AK421" s="37"/>
      <c r="AL421" s="37"/>
      <c r="AM421" s="37"/>
      <c r="AN421" s="37"/>
      <c r="AO421" s="37"/>
      <c r="AP421" s="37"/>
      <c r="AQ421" s="37"/>
      <c r="AR421" s="37" t="s">
        <v>1124</v>
      </c>
      <c r="AS421" s="37"/>
      <c r="AT421" s="37"/>
      <c r="AU421" s="37"/>
      <c r="AV421" s="37"/>
      <c r="AW421" s="37"/>
      <c r="AX421" s="37"/>
      <c r="AY421" s="37"/>
      <c r="AZ421" s="37"/>
      <c r="BA421" s="37"/>
      <c r="BB421" s="37"/>
      <c r="BC421" s="37"/>
      <c r="BD421" s="37" t="s">
        <v>1124</v>
      </c>
      <c r="BE421" s="37"/>
      <c r="BF421" s="37"/>
      <c r="BG421" s="37"/>
      <c r="BH421" s="37"/>
      <c r="BI421" s="37"/>
      <c r="BJ421" s="37"/>
      <c r="BK421" s="37"/>
      <c r="BL421" s="37"/>
      <c r="BM421" s="37"/>
      <c r="BN421" s="37"/>
      <c r="BO421" s="37"/>
      <c r="BP421" s="37">
        <v>0</v>
      </c>
      <c r="BQ421" s="37"/>
      <c r="BR421" s="37"/>
      <c r="BS421" s="37"/>
      <c r="BT421" s="37"/>
      <c r="BU421" s="37"/>
      <c r="BV421" s="37"/>
      <c r="BW421" s="37"/>
      <c r="BX421" s="37"/>
      <c r="BY421" s="37"/>
      <c r="BZ421" s="37"/>
      <c r="CA421" s="37"/>
      <c r="CB421" s="37" t="s">
        <v>1124</v>
      </c>
      <c r="CC421" s="37"/>
      <c r="CD421" s="37"/>
      <c r="CE421" s="37"/>
      <c r="CF421" s="37"/>
      <c r="CG421" s="37"/>
      <c r="CH421" s="37"/>
      <c r="CI421" s="37"/>
      <c r="CJ421" s="37"/>
      <c r="CK421" s="37"/>
      <c r="CL421" s="37"/>
      <c r="CM421" s="37"/>
      <c r="CN421" s="37" t="s">
        <v>1124</v>
      </c>
      <c r="CO421" s="37"/>
      <c r="CP421" s="37"/>
      <c r="CQ421" s="37"/>
      <c r="CR421" s="37"/>
      <c r="CS421" s="37"/>
      <c r="CT421" s="37"/>
      <c r="CU421" s="37"/>
      <c r="CV421" s="37"/>
      <c r="CW421" s="37"/>
      <c r="CX421" s="37"/>
      <c r="CY421" s="37"/>
      <c r="CZ421" s="37" t="s">
        <v>1124</v>
      </c>
      <c r="DA421" s="37"/>
      <c r="DB421" s="37"/>
      <c r="DC421" s="37"/>
      <c r="DD421" s="37"/>
      <c r="DE421" s="37"/>
      <c r="DF421" s="37"/>
      <c r="DG421" s="37"/>
      <c r="DH421" s="37"/>
      <c r="DI421" s="37"/>
      <c r="DJ421" s="37"/>
      <c r="DK421" s="37"/>
      <c r="DL421" s="37" t="s">
        <v>1124</v>
      </c>
      <c r="DM421" s="37"/>
      <c r="DN421" s="37"/>
      <c r="DO421" s="37"/>
      <c r="DP421" s="37"/>
      <c r="DQ421" s="37"/>
      <c r="DR421" s="37"/>
      <c r="DS421" s="37"/>
      <c r="DT421" s="37"/>
      <c r="DU421" s="37"/>
      <c r="DV421" s="37"/>
      <c r="DW421" s="37"/>
      <c r="DX421" s="37" t="s">
        <v>1124</v>
      </c>
      <c r="DY421" s="37"/>
      <c r="DZ421" s="37"/>
      <c r="EA421" s="37"/>
      <c r="EB421" s="37"/>
      <c r="EC421" s="37"/>
      <c r="ED421" s="37"/>
      <c r="EE421" s="37"/>
      <c r="EF421" s="37"/>
      <c r="EG421" s="37"/>
      <c r="EH421" s="37"/>
      <c r="EI421" s="37"/>
      <c r="EJ421" s="37" t="s">
        <v>1124</v>
      </c>
      <c r="EK421" s="161"/>
      <c r="EL421" s="294"/>
    </row>
    <row r="422" spans="1:142" ht="15" customHeight="1" x14ac:dyDescent="0.35">
      <c r="A422" s="34"/>
      <c r="B422" s="313">
        <v>50072</v>
      </c>
      <c r="C422" s="8" t="s">
        <v>491</v>
      </c>
      <c r="D422" s="18">
        <v>17</v>
      </c>
      <c r="E422" s="155">
        <v>1527552</v>
      </c>
      <c r="F422" s="36">
        <v>776286</v>
      </c>
      <c r="G422" s="37">
        <v>59438</v>
      </c>
      <c r="H422" s="37">
        <v>33387</v>
      </c>
      <c r="I422" s="37">
        <v>67271.539999999994</v>
      </c>
      <c r="J422" s="37">
        <v>120097.75</v>
      </c>
      <c r="K422" s="37">
        <v>229132.79999999999</v>
      </c>
      <c r="L422" s="37">
        <v>116442.9</v>
      </c>
      <c r="M422" s="37">
        <v>1883394.3399999999</v>
      </c>
      <c r="N422" s="37">
        <v>1046213.65</v>
      </c>
      <c r="O422" s="37">
        <v>805995.52000000002</v>
      </c>
      <c r="P422" s="37">
        <v>0</v>
      </c>
      <c r="Q422" s="37">
        <v>337239.34</v>
      </c>
      <c r="R422" s="37">
        <v>799871.99</v>
      </c>
      <c r="S422" s="37">
        <v>377335</v>
      </c>
      <c r="T422" s="37">
        <v>19083</v>
      </c>
      <c r="U422" s="37">
        <v>33157</v>
      </c>
      <c r="V422" s="37">
        <v>0</v>
      </c>
      <c r="W422" s="37">
        <v>329667.88000000006</v>
      </c>
      <c r="X422" s="37">
        <v>227258.65000000002</v>
      </c>
      <c r="Y422" s="37">
        <v>0</v>
      </c>
      <c r="Z422" s="37">
        <v>0</v>
      </c>
      <c r="AA422" s="37">
        <v>1883394.7400000002</v>
      </c>
      <c r="AB422" s="37">
        <v>1046213.64</v>
      </c>
      <c r="AC422" s="37">
        <v>0</v>
      </c>
      <c r="AD422" s="37">
        <v>0</v>
      </c>
      <c r="AE422" s="37">
        <v>489931</v>
      </c>
      <c r="AF422" s="168">
        <v>0.02</v>
      </c>
      <c r="AG422" s="37">
        <v>192937149.99000001</v>
      </c>
      <c r="AH422" s="37">
        <v>2455277.2200000002</v>
      </c>
      <c r="AI422" s="37">
        <v>1792749.17</v>
      </c>
      <c r="AJ422" s="37">
        <v>1799420.93</v>
      </c>
      <c r="AK422" s="37">
        <v>1835409.35</v>
      </c>
      <c r="AL422" s="37">
        <v>1872117.54</v>
      </c>
      <c r="AM422" s="37">
        <v>1909559.89</v>
      </c>
      <c r="AN422" s="37">
        <v>1947751.08</v>
      </c>
      <c r="AO422" s="37">
        <v>1986706.11</v>
      </c>
      <c r="AP422" s="37">
        <v>2026440.23</v>
      </c>
      <c r="AQ422" s="37">
        <v>2066969.03</v>
      </c>
      <c r="AR422" s="37">
        <v>19692400.549999997</v>
      </c>
      <c r="AS422" s="37">
        <v>3928446.36</v>
      </c>
      <c r="AT422" s="37">
        <v>1014821.46</v>
      </c>
      <c r="AU422" s="37">
        <v>1035117.89</v>
      </c>
      <c r="AV422" s="37">
        <v>1055820.25</v>
      </c>
      <c r="AW422" s="37">
        <v>1076936.6499999999</v>
      </c>
      <c r="AX422" s="37">
        <v>1098475.3899999999</v>
      </c>
      <c r="AY422" s="37">
        <v>1120444.8899999999</v>
      </c>
      <c r="AZ422" s="37">
        <v>0</v>
      </c>
      <c r="BA422" s="37">
        <v>0</v>
      </c>
      <c r="BB422" s="37">
        <v>0</v>
      </c>
      <c r="BC422" s="37">
        <v>0</v>
      </c>
      <c r="BD422" s="37">
        <v>6401616.5299999993</v>
      </c>
      <c r="BE422" s="37">
        <v>335303</v>
      </c>
      <c r="BF422" s="37">
        <v>606137.0622323628</v>
      </c>
      <c r="BG422" s="37">
        <v>653339.25437436835</v>
      </c>
      <c r="BH422" s="37">
        <v>804289.53839991253</v>
      </c>
      <c r="BI422" s="37">
        <v>955240.14499335713</v>
      </c>
      <c r="BJ422" s="37">
        <v>103748.09188353822</v>
      </c>
      <c r="BK422" s="37">
        <v>502388.97034882399</v>
      </c>
      <c r="BL422" s="37">
        <v>653339.25437436835</v>
      </c>
      <c r="BM422" s="37">
        <v>804289.53839991253</v>
      </c>
      <c r="BN422" s="37">
        <v>955240.14499335713</v>
      </c>
      <c r="BO422" s="37">
        <v>0</v>
      </c>
      <c r="BP422" s="37">
        <v>6038012.0000000009</v>
      </c>
      <c r="BQ422" s="37">
        <v>0</v>
      </c>
      <c r="BR422" s="37">
        <v>474076.94393325702</v>
      </c>
      <c r="BS422" s="37">
        <v>510995.11375316157</v>
      </c>
      <c r="BT422" s="37">
        <v>629057.60125908768</v>
      </c>
      <c r="BU422" s="37">
        <v>747120.34105449426</v>
      </c>
      <c r="BV422" s="37">
        <v>81144.317686021357</v>
      </c>
      <c r="BW422" s="37">
        <v>392932.62624723522</v>
      </c>
      <c r="BX422" s="37">
        <v>510995.11375316157</v>
      </c>
      <c r="BY422" s="37">
        <v>629057.60125908768</v>
      </c>
      <c r="BZ422" s="37">
        <v>747120.34105449426</v>
      </c>
      <c r="CA422" s="37">
        <v>0</v>
      </c>
      <c r="CB422" s="37">
        <v>4722500.0000000009</v>
      </c>
      <c r="CC422" s="37">
        <v>0</v>
      </c>
      <c r="CD422" s="37">
        <v>0</v>
      </c>
      <c r="CE422" s="37">
        <v>0</v>
      </c>
      <c r="CF422" s="37">
        <v>0</v>
      </c>
      <c r="CG422" s="37">
        <v>0</v>
      </c>
      <c r="CH422" s="37">
        <v>0</v>
      </c>
      <c r="CI422" s="37">
        <v>0</v>
      </c>
      <c r="CJ422" s="37">
        <v>0</v>
      </c>
      <c r="CK422" s="37">
        <v>0</v>
      </c>
      <c r="CL422" s="37">
        <v>0</v>
      </c>
      <c r="CM422" s="37">
        <v>0</v>
      </c>
      <c r="CN422" s="37">
        <v>0</v>
      </c>
      <c r="CO422" s="37">
        <v>0</v>
      </c>
      <c r="CP422" s="37">
        <v>0</v>
      </c>
      <c r="CQ422" s="37">
        <v>0</v>
      </c>
      <c r="CR422" s="37">
        <v>0</v>
      </c>
      <c r="CS422" s="37">
        <v>0</v>
      </c>
      <c r="CT422" s="37">
        <v>0</v>
      </c>
      <c r="CU422" s="37">
        <v>0</v>
      </c>
      <c r="CV422" s="37">
        <v>0</v>
      </c>
      <c r="CW422" s="37">
        <v>0</v>
      </c>
      <c r="CX422" s="37">
        <v>0</v>
      </c>
      <c r="CY422" s="37">
        <v>0</v>
      </c>
      <c r="CZ422" s="37">
        <v>0</v>
      </c>
      <c r="DA422" s="37">
        <v>0</v>
      </c>
      <c r="DB422" s="37">
        <v>0</v>
      </c>
      <c r="DC422" s="37">
        <v>0</v>
      </c>
      <c r="DD422" s="37">
        <v>0</v>
      </c>
      <c r="DE422" s="37">
        <v>0</v>
      </c>
      <c r="DF422" s="37">
        <v>0</v>
      </c>
      <c r="DG422" s="37">
        <v>0</v>
      </c>
      <c r="DH422" s="37">
        <v>0</v>
      </c>
      <c r="DI422" s="37">
        <v>0</v>
      </c>
      <c r="DJ422" s="37">
        <v>0</v>
      </c>
      <c r="DK422" s="37">
        <v>0</v>
      </c>
      <c r="DL422" s="37">
        <v>0</v>
      </c>
      <c r="DM422" s="37">
        <v>0</v>
      </c>
      <c r="DN422" s="37">
        <v>0</v>
      </c>
      <c r="DO422" s="37">
        <v>0</v>
      </c>
      <c r="DP422" s="37">
        <v>0</v>
      </c>
      <c r="DQ422" s="37">
        <v>0</v>
      </c>
      <c r="DR422" s="37">
        <v>0</v>
      </c>
      <c r="DS422" s="37">
        <v>0</v>
      </c>
      <c r="DT422" s="37">
        <v>0</v>
      </c>
      <c r="DU422" s="37">
        <v>0</v>
      </c>
      <c r="DV422" s="37">
        <v>0</v>
      </c>
      <c r="DW422" s="37">
        <v>0</v>
      </c>
      <c r="DX422" s="37">
        <v>0</v>
      </c>
      <c r="DY422" s="37">
        <v>0</v>
      </c>
      <c r="DZ422" s="37">
        <v>0</v>
      </c>
      <c r="EA422" s="37">
        <v>0</v>
      </c>
      <c r="EB422" s="37">
        <v>0</v>
      </c>
      <c r="EC422" s="37">
        <v>0</v>
      </c>
      <c r="ED422" s="37">
        <v>0</v>
      </c>
      <c r="EE422" s="37">
        <v>0</v>
      </c>
      <c r="EF422" s="37">
        <v>0</v>
      </c>
      <c r="EG422" s="37">
        <v>0</v>
      </c>
      <c r="EH422" s="37">
        <v>0</v>
      </c>
      <c r="EI422" s="37">
        <v>0</v>
      </c>
      <c r="EJ422" s="37">
        <v>0</v>
      </c>
      <c r="EK422" s="161" t="s">
        <v>2292</v>
      </c>
      <c r="EL422" s="294" t="s">
        <v>1124</v>
      </c>
    </row>
    <row r="423" spans="1:142" ht="15" customHeight="1" x14ac:dyDescent="0.35">
      <c r="A423" s="34"/>
      <c r="B423" s="313">
        <v>79030</v>
      </c>
      <c r="C423" s="8" t="s">
        <v>791</v>
      </c>
      <c r="D423" s="18">
        <v>15</v>
      </c>
      <c r="E423" s="155">
        <v>135003</v>
      </c>
      <c r="F423" s="36">
        <v>0</v>
      </c>
      <c r="G423" s="37">
        <v>90841</v>
      </c>
      <c r="H423" s="37">
        <v>0</v>
      </c>
      <c r="I423" s="37">
        <v>156816</v>
      </c>
      <c r="J423" s="37">
        <v>0</v>
      </c>
      <c r="K423" s="37">
        <v>20250.45</v>
      </c>
      <c r="L423" s="37">
        <v>0</v>
      </c>
      <c r="M423" s="37">
        <v>402910.45</v>
      </c>
      <c r="N423" s="37">
        <v>0</v>
      </c>
      <c r="O423" s="37">
        <v>0</v>
      </c>
      <c r="P423" s="37">
        <v>0</v>
      </c>
      <c r="Q423" s="37">
        <v>145498</v>
      </c>
      <c r="R423" s="37">
        <v>0</v>
      </c>
      <c r="S423" s="37">
        <v>0</v>
      </c>
      <c r="T423" s="37">
        <v>0</v>
      </c>
      <c r="U423" s="37">
        <v>110470</v>
      </c>
      <c r="V423" s="37">
        <v>0</v>
      </c>
      <c r="W423" s="37">
        <v>292440.45</v>
      </c>
      <c r="X423" s="37">
        <v>0</v>
      </c>
      <c r="Y423" s="37">
        <v>0</v>
      </c>
      <c r="Z423" s="37">
        <v>0</v>
      </c>
      <c r="AA423" s="37">
        <v>548408.44999999995</v>
      </c>
      <c r="AB423" s="37">
        <v>0</v>
      </c>
      <c r="AC423" s="37">
        <v>0</v>
      </c>
      <c r="AD423" s="37">
        <v>0</v>
      </c>
      <c r="AE423" s="37">
        <v>0</v>
      </c>
      <c r="AF423" s="168">
        <v>0.02</v>
      </c>
      <c r="AG423" s="37">
        <v>16925267.960000001</v>
      </c>
      <c r="AH423" s="37">
        <v>201161.34</v>
      </c>
      <c r="AI423" s="37">
        <v>221102.69</v>
      </c>
      <c r="AJ423" s="37">
        <v>209288.26</v>
      </c>
      <c r="AK423" s="37">
        <v>213474.02</v>
      </c>
      <c r="AL423" s="37">
        <v>217743.5</v>
      </c>
      <c r="AM423" s="37">
        <v>222098.37</v>
      </c>
      <c r="AN423" s="37">
        <v>226540.34</v>
      </c>
      <c r="AO423" s="37">
        <v>231071.15</v>
      </c>
      <c r="AP423" s="37">
        <v>235692.57</v>
      </c>
      <c r="AQ423" s="37">
        <v>240406.42</v>
      </c>
      <c r="AR423" s="37">
        <v>2218578.66</v>
      </c>
      <c r="AS423" s="37">
        <v>0</v>
      </c>
      <c r="AT423" s="37">
        <v>0</v>
      </c>
      <c r="AU423" s="37">
        <v>0</v>
      </c>
      <c r="AV423" s="37">
        <v>16236.48</v>
      </c>
      <c r="AW423" s="37">
        <v>0</v>
      </c>
      <c r="AX423" s="37">
        <v>0</v>
      </c>
      <c r="AY423" s="37">
        <v>0</v>
      </c>
      <c r="AZ423" s="37">
        <v>0</v>
      </c>
      <c r="BA423" s="37">
        <v>0</v>
      </c>
      <c r="BB423" s="37">
        <v>0</v>
      </c>
      <c r="BC423" s="37">
        <v>0</v>
      </c>
      <c r="BD423" s="37">
        <v>16236.48</v>
      </c>
      <c r="BE423" s="37">
        <v>0</v>
      </c>
      <c r="BF423" s="37">
        <v>0</v>
      </c>
      <c r="BG423" s="37">
        <v>0</v>
      </c>
      <c r="BH423" s="37">
        <v>0</v>
      </c>
      <c r="BI423" s="37">
        <v>0</v>
      </c>
      <c r="BJ423" s="37">
        <v>0</v>
      </c>
      <c r="BK423" s="37">
        <v>0</v>
      </c>
      <c r="BL423" s="37">
        <v>0</v>
      </c>
      <c r="BM423" s="37">
        <v>0</v>
      </c>
      <c r="BN423" s="37">
        <v>0</v>
      </c>
      <c r="BO423" s="37">
        <v>0</v>
      </c>
      <c r="BP423" s="37">
        <v>0</v>
      </c>
      <c r="BQ423" s="37">
        <v>0</v>
      </c>
      <c r="BR423" s="37">
        <v>0</v>
      </c>
      <c r="BS423" s="37">
        <v>0</v>
      </c>
      <c r="BT423" s="37">
        <v>0</v>
      </c>
      <c r="BU423" s="37">
        <v>0</v>
      </c>
      <c r="BV423" s="37">
        <v>0</v>
      </c>
      <c r="BW423" s="37">
        <v>0</v>
      </c>
      <c r="BX423" s="37">
        <v>0</v>
      </c>
      <c r="BY423" s="37">
        <v>0</v>
      </c>
      <c r="BZ423" s="37">
        <v>0</v>
      </c>
      <c r="CA423" s="37">
        <v>0</v>
      </c>
      <c r="CB423" s="37">
        <v>0</v>
      </c>
      <c r="CC423" s="37">
        <v>0</v>
      </c>
      <c r="CD423" s="37">
        <v>0</v>
      </c>
      <c r="CE423" s="37">
        <v>0</v>
      </c>
      <c r="CF423" s="37">
        <v>0</v>
      </c>
      <c r="CG423" s="37">
        <v>0</v>
      </c>
      <c r="CH423" s="37">
        <v>0</v>
      </c>
      <c r="CI423" s="37">
        <v>0</v>
      </c>
      <c r="CJ423" s="37">
        <v>0</v>
      </c>
      <c r="CK423" s="37">
        <v>0</v>
      </c>
      <c r="CL423" s="37">
        <v>0</v>
      </c>
      <c r="CM423" s="37">
        <v>0</v>
      </c>
      <c r="CN423" s="37">
        <v>0</v>
      </c>
      <c r="CO423" s="37">
        <v>127702</v>
      </c>
      <c r="CP423" s="37">
        <v>0</v>
      </c>
      <c r="CQ423" s="37">
        <v>0</v>
      </c>
      <c r="CR423" s="37">
        <v>0</v>
      </c>
      <c r="CS423" s="37">
        <v>0</v>
      </c>
      <c r="CT423" s="37">
        <v>0</v>
      </c>
      <c r="CU423" s="37">
        <v>0</v>
      </c>
      <c r="CV423" s="37">
        <v>0</v>
      </c>
      <c r="CW423" s="37">
        <v>0</v>
      </c>
      <c r="CX423" s="37">
        <v>0</v>
      </c>
      <c r="CY423" s="37">
        <v>0</v>
      </c>
      <c r="CZ423" s="37">
        <v>0</v>
      </c>
      <c r="DA423" s="37">
        <v>0</v>
      </c>
      <c r="DB423" s="37">
        <v>0</v>
      </c>
      <c r="DC423" s="37">
        <v>0</v>
      </c>
      <c r="DD423" s="37">
        <v>0</v>
      </c>
      <c r="DE423" s="37">
        <v>0</v>
      </c>
      <c r="DF423" s="37">
        <v>0</v>
      </c>
      <c r="DG423" s="37">
        <v>0</v>
      </c>
      <c r="DH423" s="37">
        <v>0</v>
      </c>
      <c r="DI423" s="37">
        <v>0</v>
      </c>
      <c r="DJ423" s="37">
        <v>0</v>
      </c>
      <c r="DK423" s="37">
        <v>0</v>
      </c>
      <c r="DL423" s="37">
        <v>0</v>
      </c>
      <c r="DM423" s="37">
        <v>0</v>
      </c>
      <c r="DN423" s="37">
        <v>0</v>
      </c>
      <c r="DO423" s="37">
        <v>0</v>
      </c>
      <c r="DP423" s="37">
        <v>0</v>
      </c>
      <c r="DQ423" s="37">
        <v>0</v>
      </c>
      <c r="DR423" s="37">
        <v>0</v>
      </c>
      <c r="DS423" s="37">
        <v>0</v>
      </c>
      <c r="DT423" s="37">
        <v>0</v>
      </c>
      <c r="DU423" s="37">
        <v>0</v>
      </c>
      <c r="DV423" s="37">
        <v>0</v>
      </c>
      <c r="DW423" s="37">
        <v>0</v>
      </c>
      <c r="DX423" s="37">
        <v>0</v>
      </c>
      <c r="DY423" s="37">
        <v>0</v>
      </c>
      <c r="DZ423" s="37">
        <v>0</v>
      </c>
      <c r="EA423" s="37">
        <v>0</v>
      </c>
      <c r="EB423" s="37">
        <v>0</v>
      </c>
      <c r="EC423" s="37">
        <v>0</v>
      </c>
      <c r="ED423" s="37">
        <v>0</v>
      </c>
      <c r="EE423" s="37">
        <v>0</v>
      </c>
      <c r="EF423" s="37">
        <v>0</v>
      </c>
      <c r="EG423" s="37">
        <v>0</v>
      </c>
      <c r="EH423" s="37">
        <v>0</v>
      </c>
      <c r="EI423" s="37">
        <v>0</v>
      </c>
      <c r="EJ423" s="37">
        <v>0</v>
      </c>
      <c r="EK423" s="161" t="s">
        <v>2296</v>
      </c>
      <c r="EL423" s="294" t="s">
        <v>1124</v>
      </c>
    </row>
    <row r="424" spans="1:142" ht="15" customHeight="1" x14ac:dyDescent="0.35">
      <c r="A424" s="34"/>
      <c r="B424" s="313">
        <v>92040</v>
      </c>
      <c r="C424" s="8" t="s">
        <v>951</v>
      </c>
      <c r="D424" s="18">
        <v>2</v>
      </c>
      <c r="E424" s="155"/>
      <c r="F424" s="36"/>
      <c r="G424" s="37"/>
      <c r="H424" s="37"/>
      <c r="I424" s="37"/>
      <c r="J424" s="37"/>
      <c r="K424" s="37"/>
      <c r="L424" s="37"/>
      <c r="M424" s="37" t="s">
        <v>1124</v>
      </c>
      <c r="N424" s="37" t="s">
        <v>1124</v>
      </c>
      <c r="O424" s="37"/>
      <c r="P424" s="37"/>
      <c r="Q424" s="37"/>
      <c r="R424" s="37"/>
      <c r="S424" s="37"/>
      <c r="T424" s="37"/>
      <c r="U424" s="37"/>
      <c r="V424" s="37"/>
      <c r="W424" s="37"/>
      <c r="X424" s="37"/>
      <c r="Y424" s="37"/>
      <c r="Z424" s="37"/>
      <c r="AA424" s="37" t="s">
        <v>1124</v>
      </c>
      <c r="AB424" s="37" t="s">
        <v>1124</v>
      </c>
      <c r="AC424" s="37"/>
      <c r="AD424" s="37"/>
      <c r="AE424" s="37"/>
      <c r="AF424" s="168"/>
      <c r="AG424" s="37"/>
      <c r="AH424" s="37"/>
      <c r="AI424" s="37"/>
      <c r="AJ424" s="37"/>
      <c r="AK424" s="37"/>
      <c r="AL424" s="37"/>
      <c r="AM424" s="37"/>
      <c r="AN424" s="37"/>
      <c r="AO424" s="37"/>
      <c r="AP424" s="37"/>
      <c r="AQ424" s="37"/>
      <c r="AR424" s="37" t="s">
        <v>1124</v>
      </c>
      <c r="AS424" s="37"/>
      <c r="AT424" s="37"/>
      <c r="AU424" s="37"/>
      <c r="AV424" s="37"/>
      <c r="AW424" s="37"/>
      <c r="AX424" s="37"/>
      <c r="AY424" s="37"/>
      <c r="AZ424" s="37"/>
      <c r="BA424" s="37"/>
      <c r="BB424" s="37"/>
      <c r="BC424" s="37"/>
      <c r="BD424" s="37" t="s">
        <v>1124</v>
      </c>
      <c r="BE424" s="37"/>
      <c r="BF424" s="37"/>
      <c r="BG424" s="37"/>
      <c r="BH424" s="37"/>
      <c r="BI424" s="37"/>
      <c r="BJ424" s="37"/>
      <c r="BK424" s="37"/>
      <c r="BL424" s="37"/>
      <c r="BM424" s="37"/>
      <c r="BN424" s="37"/>
      <c r="BO424" s="37"/>
      <c r="BP424" s="37">
        <v>0</v>
      </c>
      <c r="BQ424" s="37"/>
      <c r="BR424" s="37"/>
      <c r="BS424" s="37"/>
      <c r="BT424" s="37"/>
      <c r="BU424" s="37"/>
      <c r="BV424" s="37"/>
      <c r="BW424" s="37"/>
      <c r="BX424" s="37"/>
      <c r="BY424" s="37"/>
      <c r="BZ424" s="37"/>
      <c r="CA424" s="37"/>
      <c r="CB424" s="37" t="s">
        <v>1124</v>
      </c>
      <c r="CC424" s="37"/>
      <c r="CD424" s="37"/>
      <c r="CE424" s="37"/>
      <c r="CF424" s="37"/>
      <c r="CG424" s="37"/>
      <c r="CH424" s="37"/>
      <c r="CI424" s="37"/>
      <c r="CJ424" s="37"/>
      <c r="CK424" s="37"/>
      <c r="CL424" s="37"/>
      <c r="CM424" s="37"/>
      <c r="CN424" s="37" t="s">
        <v>1124</v>
      </c>
      <c r="CO424" s="37"/>
      <c r="CP424" s="37"/>
      <c r="CQ424" s="37"/>
      <c r="CR424" s="37"/>
      <c r="CS424" s="37"/>
      <c r="CT424" s="37"/>
      <c r="CU424" s="37"/>
      <c r="CV424" s="37"/>
      <c r="CW424" s="37"/>
      <c r="CX424" s="37"/>
      <c r="CY424" s="37"/>
      <c r="CZ424" s="37" t="s">
        <v>1124</v>
      </c>
      <c r="DA424" s="37"/>
      <c r="DB424" s="37"/>
      <c r="DC424" s="37"/>
      <c r="DD424" s="37"/>
      <c r="DE424" s="37"/>
      <c r="DF424" s="37"/>
      <c r="DG424" s="37"/>
      <c r="DH424" s="37"/>
      <c r="DI424" s="37"/>
      <c r="DJ424" s="37"/>
      <c r="DK424" s="37"/>
      <c r="DL424" s="37" t="s">
        <v>1124</v>
      </c>
      <c r="DM424" s="37"/>
      <c r="DN424" s="37"/>
      <c r="DO424" s="37"/>
      <c r="DP424" s="37"/>
      <c r="DQ424" s="37"/>
      <c r="DR424" s="37"/>
      <c r="DS424" s="37"/>
      <c r="DT424" s="37"/>
      <c r="DU424" s="37"/>
      <c r="DV424" s="37"/>
      <c r="DW424" s="37"/>
      <c r="DX424" s="37" t="s">
        <v>1124</v>
      </c>
      <c r="DY424" s="37"/>
      <c r="DZ424" s="37"/>
      <c r="EA424" s="37"/>
      <c r="EB424" s="37"/>
      <c r="EC424" s="37"/>
      <c r="ED424" s="37"/>
      <c r="EE424" s="37"/>
      <c r="EF424" s="37"/>
      <c r="EG424" s="37"/>
      <c r="EH424" s="37"/>
      <c r="EI424" s="37"/>
      <c r="EJ424" s="37" t="s">
        <v>1124</v>
      </c>
      <c r="EK424" s="161"/>
      <c r="EL424" s="294"/>
    </row>
    <row r="425" spans="1:142" ht="15" customHeight="1" x14ac:dyDescent="0.35">
      <c r="A425" s="34"/>
      <c r="B425" s="313">
        <v>87115</v>
      </c>
      <c r="C425" s="8" t="s">
        <v>909</v>
      </c>
      <c r="D425" s="18">
        <v>8</v>
      </c>
      <c r="E425" s="155"/>
      <c r="F425" s="36"/>
      <c r="G425" s="37"/>
      <c r="H425" s="37"/>
      <c r="I425" s="37"/>
      <c r="J425" s="37"/>
      <c r="K425" s="37"/>
      <c r="L425" s="37"/>
      <c r="M425" s="37" t="s">
        <v>1124</v>
      </c>
      <c r="N425" s="37" t="s">
        <v>1124</v>
      </c>
      <c r="O425" s="37"/>
      <c r="P425" s="37"/>
      <c r="Q425" s="37"/>
      <c r="R425" s="37"/>
      <c r="S425" s="37"/>
      <c r="T425" s="37"/>
      <c r="U425" s="37"/>
      <c r="V425" s="37"/>
      <c r="W425" s="37"/>
      <c r="X425" s="37"/>
      <c r="Y425" s="37"/>
      <c r="Z425" s="37"/>
      <c r="AA425" s="37" t="s">
        <v>1124</v>
      </c>
      <c r="AB425" s="37" t="s">
        <v>1124</v>
      </c>
      <c r="AC425" s="37"/>
      <c r="AD425" s="37"/>
      <c r="AE425" s="37"/>
      <c r="AF425" s="168"/>
      <c r="AG425" s="37"/>
      <c r="AH425" s="37"/>
      <c r="AI425" s="37"/>
      <c r="AJ425" s="37"/>
      <c r="AK425" s="37"/>
      <c r="AL425" s="37"/>
      <c r="AM425" s="37"/>
      <c r="AN425" s="37"/>
      <c r="AO425" s="37"/>
      <c r="AP425" s="37"/>
      <c r="AQ425" s="37"/>
      <c r="AR425" s="37" t="s">
        <v>1124</v>
      </c>
      <c r="AS425" s="37"/>
      <c r="AT425" s="37"/>
      <c r="AU425" s="37"/>
      <c r="AV425" s="37"/>
      <c r="AW425" s="37"/>
      <c r="AX425" s="37"/>
      <c r="AY425" s="37"/>
      <c r="AZ425" s="37"/>
      <c r="BA425" s="37"/>
      <c r="BB425" s="37"/>
      <c r="BC425" s="37"/>
      <c r="BD425" s="37" t="s">
        <v>1124</v>
      </c>
      <c r="BE425" s="37"/>
      <c r="BF425" s="37"/>
      <c r="BG425" s="37"/>
      <c r="BH425" s="37"/>
      <c r="BI425" s="37"/>
      <c r="BJ425" s="37"/>
      <c r="BK425" s="37"/>
      <c r="BL425" s="37"/>
      <c r="BM425" s="37"/>
      <c r="BN425" s="37"/>
      <c r="BO425" s="37"/>
      <c r="BP425" s="37">
        <v>0</v>
      </c>
      <c r="BQ425" s="37"/>
      <c r="BR425" s="37"/>
      <c r="BS425" s="37"/>
      <c r="BT425" s="37"/>
      <c r="BU425" s="37"/>
      <c r="BV425" s="37"/>
      <c r="BW425" s="37"/>
      <c r="BX425" s="37"/>
      <c r="BY425" s="37"/>
      <c r="BZ425" s="37"/>
      <c r="CA425" s="37"/>
      <c r="CB425" s="37" t="s">
        <v>1124</v>
      </c>
      <c r="CC425" s="37"/>
      <c r="CD425" s="37"/>
      <c r="CE425" s="37"/>
      <c r="CF425" s="37"/>
      <c r="CG425" s="37"/>
      <c r="CH425" s="37"/>
      <c r="CI425" s="37"/>
      <c r="CJ425" s="37"/>
      <c r="CK425" s="37"/>
      <c r="CL425" s="37"/>
      <c r="CM425" s="37"/>
      <c r="CN425" s="37" t="s">
        <v>1124</v>
      </c>
      <c r="CO425" s="37"/>
      <c r="CP425" s="37"/>
      <c r="CQ425" s="37"/>
      <c r="CR425" s="37"/>
      <c r="CS425" s="37"/>
      <c r="CT425" s="37"/>
      <c r="CU425" s="37"/>
      <c r="CV425" s="37"/>
      <c r="CW425" s="37"/>
      <c r="CX425" s="37"/>
      <c r="CY425" s="37"/>
      <c r="CZ425" s="37" t="s">
        <v>1124</v>
      </c>
      <c r="DA425" s="37"/>
      <c r="DB425" s="37"/>
      <c r="DC425" s="37"/>
      <c r="DD425" s="37"/>
      <c r="DE425" s="37"/>
      <c r="DF425" s="37"/>
      <c r="DG425" s="37"/>
      <c r="DH425" s="37"/>
      <c r="DI425" s="37"/>
      <c r="DJ425" s="37"/>
      <c r="DK425" s="37"/>
      <c r="DL425" s="37" t="s">
        <v>1124</v>
      </c>
      <c r="DM425" s="37"/>
      <c r="DN425" s="37"/>
      <c r="DO425" s="37"/>
      <c r="DP425" s="37"/>
      <c r="DQ425" s="37"/>
      <c r="DR425" s="37"/>
      <c r="DS425" s="37"/>
      <c r="DT425" s="37"/>
      <c r="DU425" s="37"/>
      <c r="DV425" s="37"/>
      <c r="DW425" s="37"/>
      <c r="DX425" s="37" t="s">
        <v>1124</v>
      </c>
      <c r="DY425" s="37"/>
      <c r="DZ425" s="37"/>
      <c r="EA425" s="37"/>
      <c r="EB425" s="37"/>
      <c r="EC425" s="37"/>
      <c r="ED425" s="37"/>
      <c r="EE425" s="37"/>
      <c r="EF425" s="37"/>
      <c r="EG425" s="37"/>
      <c r="EH425" s="37"/>
      <c r="EI425" s="37"/>
      <c r="EJ425" s="37" t="s">
        <v>1124</v>
      </c>
      <c r="EK425" s="161"/>
      <c r="EL425" s="294"/>
    </row>
    <row r="426" spans="1:142" ht="15" customHeight="1" x14ac:dyDescent="0.35">
      <c r="A426" s="34"/>
      <c r="B426" s="313">
        <v>45050</v>
      </c>
      <c r="C426" s="8" t="s">
        <v>416</v>
      </c>
      <c r="D426" s="18">
        <v>5</v>
      </c>
      <c r="E426" s="155"/>
      <c r="F426" s="36"/>
      <c r="G426" s="37"/>
      <c r="H426" s="37"/>
      <c r="I426" s="37"/>
      <c r="J426" s="37"/>
      <c r="K426" s="37"/>
      <c r="L426" s="37"/>
      <c r="M426" s="37" t="s">
        <v>1124</v>
      </c>
      <c r="N426" s="37" t="s">
        <v>1124</v>
      </c>
      <c r="O426" s="37"/>
      <c r="P426" s="37"/>
      <c r="Q426" s="37"/>
      <c r="R426" s="37"/>
      <c r="S426" s="37"/>
      <c r="T426" s="37"/>
      <c r="U426" s="37"/>
      <c r="V426" s="37"/>
      <c r="W426" s="37"/>
      <c r="X426" s="37"/>
      <c r="Y426" s="37"/>
      <c r="Z426" s="37"/>
      <c r="AA426" s="37" t="s">
        <v>1124</v>
      </c>
      <c r="AB426" s="37" t="s">
        <v>1124</v>
      </c>
      <c r="AC426" s="37"/>
      <c r="AD426" s="37"/>
      <c r="AE426" s="37"/>
      <c r="AF426" s="168"/>
      <c r="AG426" s="37"/>
      <c r="AH426" s="37"/>
      <c r="AI426" s="37"/>
      <c r="AJ426" s="37"/>
      <c r="AK426" s="37"/>
      <c r="AL426" s="37"/>
      <c r="AM426" s="37"/>
      <c r="AN426" s="37"/>
      <c r="AO426" s="37"/>
      <c r="AP426" s="37"/>
      <c r="AQ426" s="37"/>
      <c r="AR426" s="37" t="s">
        <v>1124</v>
      </c>
      <c r="AS426" s="37"/>
      <c r="AT426" s="37"/>
      <c r="AU426" s="37"/>
      <c r="AV426" s="37"/>
      <c r="AW426" s="37"/>
      <c r="AX426" s="37"/>
      <c r="AY426" s="37"/>
      <c r="AZ426" s="37"/>
      <c r="BA426" s="37"/>
      <c r="BB426" s="37"/>
      <c r="BC426" s="37"/>
      <c r="BD426" s="37" t="s">
        <v>1124</v>
      </c>
      <c r="BE426" s="37"/>
      <c r="BF426" s="37"/>
      <c r="BG426" s="37"/>
      <c r="BH426" s="37"/>
      <c r="BI426" s="37"/>
      <c r="BJ426" s="37"/>
      <c r="BK426" s="37"/>
      <c r="BL426" s="37"/>
      <c r="BM426" s="37"/>
      <c r="BN426" s="37"/>
      <c r="BO426" s="37"/>
      <c r="BP426" s="37">
        <v>0</v>
      </c>
      <c r="BQ426" s="37"/>
      <c r="BR426" s="37"/>
      <c r="BS426" s="37"/>
      <c r="BT426" s="37"/>
      <c r="BU426" s="37"/>
      <c r="BV426" s="37"/>
      <c r="BW426" s="37"/>
      <c r="BX426" s="37"/>
      <c r="BY426" s="37"/>
      <c r="BZ426" s="37"/>
      <c r="CA426" s="37"/>
      <c r="CB426" s="37" t="s">
        <v>1124</v>
      </c>
      <c r="CC426" s="37"/>
      <c r="CD426" s="37"/>
      <c r="CE426" s="37"/>
      <c r="CF426" s="37"/>
      <c r="CG426" s="37"/>
      <c r="CH426" s="37"/>
      <c r="CI426" s="37"/>
      <c r="CJ426" s="37"/>
      <c r="CK426" s="37"/>
      <c r="CL426" s="37"/>
      <c r="CM426" s="37"/>
      <c r="CN426" s="37" t="s">
        <v>1124</v>
      </c>
      <c r="CO426" s="37"/>
      <c r="CP426" s="37"/>
      <c r="CQ426" s="37"/>
      <c r="CR426" s="37"/>
      <c r="CS426" s="37"/>
      <c r="CT426" s="37"/>
      <c r="CU426" s="37"/>
      <c r="CV426" s="37"/>
      <c r="CW426" s="37"/>
      <c r="CX426" s="37"/>
      <c r="CY426" s="37"/>
      <c r="CZ426" s="37" t="s">
        <v>1124</v>
      </c>
      <c r="DA426" s="37"/>
      <c r="DB426" s="37"/>
      <c r="DC426" s="37"/>
      <c r="DD426" s="37"/>
      <c r="DE426" s="37"/>
      <c r="DF426" s="37"/>
      <c r="DG426" s="37"/>
      <c r="DH426" s="37"/>
      <c r="DI426" s="37"/>
      <c r="DJ426" s="37"/>
      <c r="DK426" s="37"/>
      <c r="DL426" s="37" t="s">
        <v>1124</v>
      </c>
      <c r="DM426" s="37"/>
      <c r="DN426" s="37"/>
      <c r="DO426" s="37"/>
      <c r="DP426" s="37"/>
      <c r="DQ426" s="37"/>
      <c r="DR426" s="37"/>
      <c r="DS426" s="37"/>
      <c r="DT426" s="37"/>
      <c r="DU426" s="37"/>
      <c r="DV426" s="37"/>
      <c r="DW426" s="37"/>
      <c r="DX426" s="37" t="s">
        <v>1124</v>
      </c>
      <c r="DY426" s="37"/>
      <c r="DZ426" s="37"/>
      <c r="EA426" s="37"/>
      <c r="EB426" s="37"/>
      <c r="EC426" s="37"/>
      <c r="ED426" s="37"/>
      <c r="EE426" s="37"/>
      <c r="EF426" s="37"/>
      <c r="EG426" s="37"/>
      <c r="EH426" s="37"/>
      <c r="EI426" s="37"/>
      <c r="EJ426" s="37" t="s">
        <v>1124</v>
      </c>
      <c r="EK426" s="161"/>
      <c r="EL426" s="294"/>
    </row>
    <row r="427" spans="1:142" ht="15" customHeight="1" x14ac:dyDescent="0.35">
      <c r="A427" s="34"/>
      <c r="B427" s="313">
        <v>19010</v>
      </c>
      <c r="C427" s="8" t="s">
        <v>119</v>
      </c>
      <c r="D427" s="18">
        <v>12</v>
      </c>
      <c r="E427" s="155">
        <v>104002</v>
      </c>
      <c r="F427" s="36">
        <v>70796</v>
      </c>
      <c r="G427" s="37">
        <v>33684</v>
      </c>
      <c r="H427" s="37">
        <v>30514</v>
      </c>
      <c r="I427" s="37">
        <v>50119</v>
      </c>
      <c r="J427" s="37">
        <v>46507</v>
      </c>
      <c r="K427" s="37">
        <v>5200.1000000000004</v>
      </c>
      <c r="L427" s="37">
        <v>3539.8</v>
      </c>
      <c r="M427" s="37">
        <v>193005.1</v>
      </c>
      <c r="N427" s="37">
        <v>151356.79999999999</v>
      </c>
      <c r="O427" s="37">
        <v>0</v>
      </c>
      <c r="P427" s="37">
        <v>0</v>
      </c>
      <c r="Q427" s="37">
        <v>94977</v>
      </c>
      <c r="R427" s="37">
        <v>84184</v>
      </c>
      <c r="S427" s="37">
        <v>16145</v>
      </c>
      <c r="T427" s="37">
        <v>4677</v>
      </c>
      <c r="U427" s="37">
        <v>48894</v>
      </c>
      <c r="V427" s="37">
        <v>28271</v>
      </c>
      <c r="W427" s="37">
        <v>32989.1</v>
      </c>
      <c r="X427" s="37">
        <v>34224.800000000003</v>
      </c>
      <c r="Y427" s="37">
        <v>0</v>
      </c>
      <c r="Z427" s="37">
        <v>0</v>
      </c>
      <c r="AA427" s="37">
        <v>193005.1</v>
      </c>
      <c r="AB427" s="37">
        <v>151356.79999999999</v>
      </c>
      <c r="AC427" s="37">
        <v>0</v>
      </c>
      <c r="AD427" s="37">
        <v>0</v>
      </c>
      <c r="AE427" s="37">
        <v>0</v>
      </c>
      <c r="AF427" s="168">
        <v>0.02</v>
      </c>
      <c r="AG427" s="37">
        <v>15482179.560000001</v>
      </c>
      <c r="AH427" s="37">
        <v>134355.18</v>
      </c>
      <c r="AI427" s="37">
        <v>121124.16</v>
      </c>
      <c r="AJ427" s="37">
        <v>123546.64</v>
      </c>
      <c r="AK427" s="37">
        <v>126017.57</v>
      </c>
      <c r="AL427" s="37">
        <v>128537.93</v>
      </c>
      <c r="AM427" s="37">
        <v>131108.68</v>
      </c>
      <c r="AN427" s="37">
        <v>133730.85999999999</v>
      </c>
      <c r="AO427" s="37">
        <v>136405.48000000001</v>
      </c>
      <c r="AP427" s="37">
        <v>139133.59</v>
      </c>
      <c r="AQ427" s="37">
        <v>141916.26</v>
      </c>
      <c r="AR427" s="37">
        <v>1315876.3499999996</v>
      </c>
      <c r="AS427" s="37">
        <v>26010</v>
      </c>
      <c r="AT427" s="37">
        <v>2512.5700000000002</v>
      </c>
      <c r="AU427" s="37">
        <v>0</v>
      </c>
      <c r="AV427" s="37">
        <v>0</v>
      </c>
      <c r="AW427" s="37">
        <v>0</v>
      </c>
      <c r="AX427" s="37">
        <v>0</v>
      </c>
      <c r="AY427" s="37">
        <v>0</v>
      </c>
      <c r="AZ427" s="37">
        <v>0</v>
      </c>
      <c r="BA427" s="37">
        <v>0</v>
      </c>
      <c r="BB427" s="37">
        <v>0</v>
      </c>
      <c r="BC427" s="37">
        <v>0</v>
      </c>
      <c r="BD427" s="37">
        <v>2512.5700000000002</v>
      </c>
      <c r="BE427" s="37">
        <v>350716</v>
      </c>
      <c r="BF427" s="37">
        <v>0</v>
      </c>
      <c r="BG427" s="37">
        <v>0</v>
      </c>
      <c r="BH427" s="37">
        <v>0</v>
      </c>
      <c r="BI427" s="37">
        <v>0</v>
      </c>
      <c r="BJ427" s="37">
        <v>0</v>
      </c>
      <c r="BK427" s="37">
        <v>0</v>
      </c>
      <c r="BL427" s="37">
        <v>0</v>
      </c>
      <c r="BM427" s="37">
        <v>0</v>
      </c>
      <c r="BN427" s="37">
        <v>0</v>
      </c>
      <c r="BO427" s="37">
        <v>0</v>
      </c>
      <c r="BP427" s="37">
        <v>0</v>
      </c>
      <c r="BQ427" s="37">
        <v>0</v>
      </c>
      <c r="BR427" s="37">
        <v>0</v>
      </c>
      <c r="BS427" s="37">
        <v>0</v>
      </c>
      <c r="BT427" s="37">
        <v>0</v>
      </c>
      <c r="BU427" s="37">
        <v>0</v>
      </c>
      <c r="BV427" s="37">
        <v>0</v>
      </c>
      <c r="BW427" s="37">
        <v>0</v>
      </c>
      <c r="BX427" s="37">
        <v>0</v>
      </c>
      <c r="BY427" s="37">
        <v>0</v>
      </c>
      <c r="BZ427" s="37">
        <v>0</v>
      </c>
      <c r="CA427" s="37">
        <v>0</v>
      </c>
      <c r="CB427" s="37">
        <v>0</v>
      </c>
      <c r="CC427" s="37">
        <v>0</v>
      </c>
      <c r="CD427" s="37">
        <v>0</v>
      </c>
      <c r="CE427" s="37">
        <v>0</v>
      </c>
      <c r="CF427" s="37">
        <v>0</v>
      </c>
      <c r="CG427" s="37">
        <v>0</v>
      </c>
      <c r="CH427" s="37">
        <v>0</v>
      </c>
      <c r="CI427" s="37">
        <v>0</v>
      </c>
      <c r="CJ427" s="37">
        <v>0</v>
      </c>
      <c r="CK427" s="37">
        <v>0</v>
      </c>
      <c r="CL427" s="37">
        <v>0</v>
      </c>
      <c r="CM427" s="37">
        <v>0</v>
      </c>
      <c r="CN427" s="37">
        <v>0</v>
      </c>
      <c r="CO427" s="37">
        <v>164399</v>
      </c>
      <c r="CP427" s="37">
        <v>0</v>
      </c>
      <c r="CQ427" s="37">
        <v>0</v>
      </c>
      <c r="CR427" s="37">
        <v>0</v>
      </c>
      <c r="CS427" s="37">
        <v>0</v>
      </c>
      <c r="CT427" s="37">
        <v>0</v>
      </c>
      <c r="CU427" s="37">
        <v>0</v>
      </c>
      <c r="CV427" s="37">
        <v>0</v>
      </c>
      <c r="CW427" s="37">
        <v>0</v>
      </c>
      <c r="CX427" s="37">
        <v>0</v>
      </c>
      <c r="CY427" s="37">
        <v>0</v>
      </c>
      <c r="CZ427" s="37">
        <v>0</v>
      </c>
      <c r="DA427" s="37">
        <v>0</v>
      </c>
      <c r="DB427" s="37">
        <v>0</v>
      </c>
      <c r="DC427" s="37">
        <v>0</v>
      </c>
      <c r="DD427" s="37">
        <v>0</v>
      </c>
      <c r="DE427" s="37">
        <v>0</v>
      </c>
      <c r="DF427" s="37">
        <v>0</v>
      </c>
      <c r="DG427" s="37">
        <v>0</v>
      </c>
      <c r="DH427" s="37">
        <v>0</v>
      </c>
      <c r="DI427" s="37">
        <v>0</v>
      </c>
      <c r="DJ427" s="37">
        <v>0</v>
      </c>
      <c r="DK427" s="37">
        <v>0</v>
      </c>
      <c r="DL427" s="37">
        <v>0</v>
      </c>
      <c r="DM427" s="37">
        <v>0</v>
      </c>
      <c r="DN427" s="37">
        <v>0</v>
      </c>
      <c r="DO427" s="37">
        <v>0</v>
      </c>
      <c r="DP427" s="37">
        <v>0</v>
      </c>
      <c r="DQ427" s="37">
        <v>0</v>
      </c>
      <c r="DR427" s="37">
        <v>0</v>
      </c>
      <c r="DS427" s="37">
        <v>0</v>
      </c>
      <c r="DT427" s="37">
        <v>0</v>
      </c>
      <c r="DU427" s="37">
        <v>0</v>
      </c>
      <c r="DV427" s="37">
        <v>0</v>
      </c>
      <c r="DW427" s="37">
        <v>0</v>
      </c>
      <c r="DX427" s="37">
        <v>0</v>
      </c>
      <c r="DY427" s="37">
        <v>0</v>
      </c>
      <c r="DZ427" s="37">
        <v>0</v>
      </c>
      <c r="EA427" s="37">
        <v>0</v>
      </c>
      <c r="EB427" s="37">
        <v>0</v>
      </c>
      <c r="EC427" s="37">
        <v>0</v>
      </c>
      <c r="ED427" s="37">
        <v>0</v>
      </c>
      <c r="EE427" s="37">
        <v>0</v>
      </c>
      <c r="EF427" s="37">
        <v>0</v>
      </c>
      <c r="EG427" s="37">
        <v>0</v>
      </c>
      <c r="EH427" s="37">
        <v>0</v>
      </c>
      <c r="EI427" s="37">
        <v>0</v>
      </c>
      <c r="EJ427" s="37">
        <v>0</v>
      </c>
      <c r="EK427" s="161" t="s">
        <v>2300</v>
      </c>
      <c r="EL427" s="294" t="s">
        <v>1124</v>
      </c>
    </row>
    <row r="428" spans="1:142" ht="15" customHeight="1" x14ac:dyDescent="0.35">
      <c r="A428" s="34"/>
      <c r="B428" s="313">
        <v>80015</v>
      </c>
      <c r="C428" s="8" t="s">
        <v>805</v>
      </c>
      <c r="D428" s="18">
        <v>7</v>
      </c>
      <c r="E428" s="155">
        <v>46270</v>
      </c>
      <c r="F428" s="36">
        <v>10945</v>
      </c>
      <c r="G428" s="37">
        <v>0</v>
      </c>
      <c r="H428" s="37">
        <v>0</v>
      </c>
      <c r="I428" s="37">
        <v>0</v>
      </c>
      <c r="J428" s="37">
        <v>0</v>
      </c>
      <c r="K428" s="37">
        <v>0</v>
      </c>
      <c r="L428" s="37">
        <v>0</v>
      </c>
      <c r="M428" s="37">
        <v>46270</v>
      </c>
      <c r="N428" s="37">
        <v>10945</v>
      </c>
      <c r="O428" s="37">
        <v>522</v>
      </c>
      <c r="P428" s="37">
        <v>0</v>
      </c>
      <c r="Q428" s="37">
        <v>19804</v>
      </c>
      <c r="R428" s="37">
        <v>0</v>
      </c>
      <c r="S428" s="37">
        <v>0</v>
      </c>
      <c r="T428" s="37">
        <v>0</v>
      </c>
      <c r="U428" s="37">
        <v>0</v>
      </c>
      <c r="V428" s="37">
        <v>0</v>
      </c>
      <c r="W428" s="37">
        <v>36889</v>
      </c>
      <c r="X428" s="37">
        <v>0</v>
      </c>
      <c r="Y428" s="37">
        <v>0</v>
      </c>
      <c r="Z428" s="37">
        <v>0</v>
      </c>
      <c r="AA428" s="37">
        <v>57215</v>
      </c>
      <c r="AB428" s="37">
        <v>0</v>
      </c>
      <c r="AC428" s="37">
        <v>0</v>
      </c>
      <c r="AD428" s="37">
        <v>0</v>
      </c>
      <c r="AE428" s="37">
        <v>5926</v>
      </c>
      <c r="AF428" s="168">
        <v>0.02</v>
      </c>
      <c r="AG428" s="37">
        <v>461097.63</v>
      </c>
      <c r="AH428" s="37">
        <v>4624.58</v>
      </c>
      <c r="AI428" s="37">
        <v>4717.07</v>
      </c>
      <c r="AJ428" s="37">
        <v>4811.41</v>
      </c>
      <c r="AK428" s="37">
        <v>4907.6400000000003</v>
      </c>
      <c r="AL428" s="37">
        <v>5005.79</v>
      </c>
      <c r="AM428" s="37">
        <v>5105.91</v>
      </c>
      <c r="AN428" s="37">
        <v>5208.03</v>
      </c>
      <c r="AO428" s="37">
        <v>5312.19</v>
      </c>
      <c r="AP428" s="37">
        <v>5418.43</v>
      </c>
      <c r="AQ428" s="37">
        <v>5526.8</v>
      </c>
      <c r="AR428" s="37">
        <v>50637.85</v>
      </c>
      <c r="AS428" s="37">
        <v>0</v>
      </c>
      <c r="AT428" s="37">
        <v>0</v>
      </c>
      <c r="AU428" s="37">
        <v>0</v>
      </c>
      <c r="AV428" s="37">
        <v>0</v>
      </c>
      <c r="AW428" s="37">
        <v>0</v>
      </c>
      <c r="AX428" s="37">
        <v>0</v>
      </c>
      <c r="AY428" s="37">
        <v>0</v>
      </c>
      <c r="AZ428" s="37">
        <v>0</v>
      </c>
      <c r="BA428" s="37">
        <v>0</v>
      </c>
      <c r="BB428" s="37">
        <v>0</v>
      </c>
      <c r="BC428" s="37">
        <v>0</v>
      </c>
      <c r="BD428" s="37">
        <v>0</v>
      </c>
      <c r="BE428" s="37">
        <v>0</v>
      </c>
      <c r="BF428" s="37">
        <v>0</v>
      </c>
      <c r="BG428" s="37">
        <v>0</v>
      </c>
      <c r="BH428" s="37">
        <v>0</v>
      </c>
      <c r="BI428" s="37">
        <v>0</v>
      </c>
      <c r="BJ428" s="37">
        <v>0</v>
      </c>
      <c r="BK428" s="37">
        <v>0</v>
      </c>
      <c r="BL428" s="37">
        <v>0</v>
      </c>
      <c r="BM428" s="37">
        <v>0</v>
      </c>
      <c r="BN428" s="37">
        <v>0</v>
      </c>
      <c r="BO428" s="37">
        <v>0</v>
      </c>
      <c r="BP428" s="37">
        <v>0</v>
      </c>
      <c r="BQ428" s="37">
        <v>0</v>
      </c>
      <c r="BR428" s="37">
        <v>0</v>
      </c>
      <c r="BS428" s="37">
        <v>0</v>
      </c>
      <c r="BT428" s="37">
        <v>0</v>
      </c>
      <c r="BU428" s="37">
        <v>0</v>
      </c>
      <c r="BV428" s="37">
        <v>0</v>
      </c>
      <c r="BW428" s="37">
        <v>0</v>
      </c>
      <c r="BX428" s="37">
        <v>0</v>
      </c>
      <c r="BY428" s="37">
        <v>0</v>
      </c>
      <c r="BZ428" s="37">
        <v>0</v>
      </c>
      <c r="CA428" s="37">
        <v>0</v>
      </c>
      <c r="CB428" s="37">
        <v>0</v>
      </c>
      <c r="CC428" s="37">
        <v>0</v>
      </c>
      <c r="CD428" s="37">
        <v>4624.58</v>
      </c>
      <c r="CE428" s="37">
        <v>4717.07</v>
      </c>
      <c r="CF428" s="37">
        <v>4811.41</v>
      </c>
      <c r="CG428" s="37">
        <v>4907.6400000000003</v>
      </c>
      <c r="CH428" s="37">
        <v>5005.79</v>
      </c>
      <c r="CI428" s="37">
        <v>5105.91</v>
      </c>
      <c r="CJ428" s="37">
        <v>5208.03</v>
      </c>
      <c r="CK428" s="37">
        <v>5312.19</v>
      </c>
      <c r="CL428" s="37">
        <v>5418.43</v>
      </c>
      <c r="CM428" s="37">
        <v>5526.8</v>
      </c>
      <c r="CN428" s="37">
        <v>50637.85</v>
      </c>
      <c r="CO428" s="37">
        <v>0</v>
      </c>
      <c r="CP428" s="37">
        <v>0</v>
      </c>
      <c r="CQ428" s="37">
        <v>0</v>
      </c>
      <c r="CR428" s="37">
        <v>0</v>
      </c>
      <c r="CS428" s="37">
        <v>0</v>
      </c>
      <c r="CT428" s="37">
        <v>0</v>
      </c>
      <c r="CU428" s="37">
        <v>0</v>
      </c>
      <c r="CV428" s="37">
        <v>0</v>
      </c>
      <c r="CW428" s="37">
        <v>0</v>
      </c>
      <c r="CX428" s="37">
        <v>0</v>
      </c>
      <c r="CY428" s="37">
        <v>0</v>
      </c>
      <c r="CZ428" s="37">
        <v>0</v>
      </c>
      <c r="DA428" s="37">
        <v>0</v>
      </c>
      <c r="DB428" s="37">
        <v>0</v>
      </c>
      <c r="DC428" s="37">
        <v>0</v>
      </c>
      <c r="DD428" s="37">
        <v>0</v>
      </c>
      <c r="DE428" s="37">
        <v>0</v>
      </c>
      <c r="DF428" s="37">
        <v>0</v>
      </c>
      <c r="DG428" s="37">
        <v>0</v>
      </c>
      <c r="DH428" s="37">
        <v>0</v>
      </c>
      <c r="DI428" s="37">
        <v>0</v>
      </c>
      <c r="DJ428" s="37">
        <v>0</v>
      </c>
      <c r="DK428" s="37">
        <v>0</v>
      </c>
      <c r="DL428" s="37">
        <v>0</v>
      </c>
      <c r="DM428" s="37">
        <v>0</v>
      </c>
      <c r="DN428" s="37">
        <v>0</v>
      </c>
      <c r="DO428" s="37">
        <v>0</v>
      </c>
      <c r="DP428" s="37">
        <v>0</v>
      </c>
      <c r="DQ428" s="37">
        <v>0</v>
      </c>
      <c r="DR428" s="37">
        <v>0</v>
      </c>
      <c r="DS428" s="37">
        <v>0</v>
      </c>
      <c r="DT428" s="37">
        <v>0</v>
      </c>
      <c r="DU428" s="37">
        <v>0</v>
      </c>
      <c r="DV428" s="37">
        <v>0</v>
      </c>
      <c r="DW428" s="37">
        <v>0</v>
      </c>
      <c r="DX428" s="37">
        <v>0</v>
      </c>
      <c r="DY428" s="37">
        <v>0</v>
      </c>
      <c r="DZ428" s="37">
        <v>0</v>
      </c>
      <c r="EA428" s="37">
        <v>0</v>
      </c>
      <c r="EB428" s="37">
        <v>0</v>
      </c>
      <c r="EC428" s="37">
        <v>0</v>
      </c>
      <c r="ED428" s="37">
        <v>0</v>
      </c>
      <c r="EE428" s="37">
        <v>0</v>
      </c>
      <c r="EF428" s="37">
        <v>0</v>
      </c>
      <c r="EG428" s="37">
        <v>0</v>
      </c>
      <c r="EH428" s="37">
        <v>0</v>
      </c>
      <c r="EI428" s="37">
        <v>0</v>
      </c>
      <c r="EJ428" s="37">
        <v>0</v>
      </c>
      <c r="EK428" s="161" t="s">
        <v>1124</v>
      </c>
      <c r="EL428" s="294" t="s">
        <v>1124</v>
      </c>
    </row>
    <row r="429" spans="1:142" ht="15" customHeight="1" x14ac:dyDescent="0.35">
      <c r="A429" s="34"/>
      <c r="B429" s="313">
        <v>39015</v>
      </c>
      <c r="C429" s="8" t="s">
        <v>339</v>
      </c>
      <c r="D429" s="18">
        <v>17</v>
      </c>
      <c r="E429" s="155">
        <v>31065</v>
      </c>
      <c r="F429" s="36">
        <v>0</v>
      </c>
      <c r="G429" s="37">
        <v>0</v>
      </c>
      <c r="H429" s="37">
        <v>0</v>
      </c>
      <c r="I429" s="37">
        <v>0</v>
      </c>
      <c r="J429" s="37">
        <v>0</v>
      </c>
      <c r="K429" s="37">
        <v>4659.75</v>
      </c>
      <c r="L429" s="37">
        <v>0</v>
      </c>
      <c r="M429" s="37">
        <v>35724.75</v>
      </c>
      <c r="N429" s="37">
        <v>0</v>
      </c>
      <c r="O429" s="37">
        <v>0</v>
      </c>
      <c r="P429" s="37">
        <v>0</v>
      </c>
      <c r="Q429" s="37">
        <v>7935</v>
      </c>
      <c r="R429" s="37">
        <v>0</v>
      </c>
      <c r="S429" s="37">
        <v>0</v>
      </c>
      <c r="T429" s="37">
        <v>0</v>
      </c>
      <c r="U429" s="37">
        <v>0</v>
      </c>
      <c r="V429" s="37">
        <v>0</v>
      </c>
      <c r="W429" s="37">
        <v>27789.75</v>
      </c>
      <c r="X429" s="37">
        <v>0</v>
      </c>
      <c r="Y429" s="37">
        <v>0</v>
      </c>
      <c r="Z429" s="37">
        <v>0</v>
      </c>
      <c r="AA429" s="37">
        <v>35724.75</v>
      </c>
      <c r="AB429" s="37">
        <v>0</v>
      </c>
      <c r="AC429" s="37">
        <v>0</v>
      </c>
      <c r="AD429" s="37">
        <v>0</v>
      </c>
      <c r="AE429" s="37">
        <v>0</v>
      </c>
      <c r="AF429" s="168">
        <v>0.02</v>
      </c>
      <c r="AG429" s="37">
        <v>2317024.87</v>
      </c>
      <c r="AH429" s="37">
        <v>16843.099999999999</v>
      </c>
      <c r="AI429" s="37">
        <v>17179.97</v>
      </c>
      <c r="AJ429" s="37">
        <v>17523.560000000001</v>
      </c>
      <c r="AK429" s="37">
        <v>17874.04</v>
      </c>
      <c r="AL429" s="37">
        <v>18231.52</v>
      </c>
      <c r="AM429" s="37">
        <v>18596.150000000001</v>
      </c>
      <c r="AN429" s="37">
        <v>18968.07</v>
      </c>
      <c r="AO429" s="37">
        <v>19347.43</v>
      </c>
      <c r="AP429" s="37">
        <v>19734.38</v>
      </c>
      <c r="AQ429" s="37">
        <v>20129.07</v>
      </c>
      <c r="AR429" s="37">
        <v>184427.29</v>
      </c>
      <c r="AS429" s="37">
        <v>0</v>
      </c>
      <c r="AT429" s="37">
        <v>10404</v>
      </c>
      <c r="AU429" s="37">
        <v>0</v>
      </c>
      <c r="AV429" s="37">
        <v>0</v>
      </c>
      <c r="AW429" s="37">
        <v>0</v>
      </c>
      <c r="AX429" s="37">
        <v>0</v>
      </c>
      <c r="AY429" s="37">
        <v>0</v>
      </c>
      <c r="AZ429" s="37">
        <v>0</v>
      </c>
      <c r="BA429" s="37">
        <v>0</v>
      </c>
      <c r="BB429" s="37">
        <v>0</v>
      </c>
      <c r="BC429" s="37">
        <v>0</v>
      </c>
      <c r="BD429" s="37">
        <v>10404</v>
      </c>
      <c r="BE429" s="37">
        <v>0</v>
      </c>
      <c r="BF429" s="37">
        <v>0</v>
      </c>
      <c r="BG429" s="37">
        <v>0</v>
      </c>
      <c r="BH429" s="37">
        <v>0</v>
      </c>
      <c r="BI429" s="37">
        <v>0</v>
      </c>
      <c r="BJ429" s="37">
        <v>0</v>
      </c>
      <c r="BK429" s="37">
        <v>0</v>
      </c>
      <c r="BL429" s="37">
        <v>0</v>
      </c>
      <c r="BM429" s="37">
        <v>0</v>
      </c>
      <c r="BN429" s="37">
        <v>0</v>
      </c>
      <c r="BO429" s="37">
        <v>0</v>
      </c>
      <c r="BP429" s="37">
        <v>0</v>
      </c>
      <c r="BQ429" s="37">
        <v>0</v>
      </c>
      <c r="BR429" s="37">
        <v>0</v>
      </c>
      <c r="BS429" s="37">
        <v>0</v>
      </c>
      <c r="BT429" s="37">
        <v>0</v>
      </c>
      <c r="BU429" s="37">
        <v>0</v>
      </c>
      <c r="BV429" s="37">
        <v>0</v>
      </c>
      <c r="BW429" s="37">
        <v>0</v>
      </c>
      <c r="BX429" s="37">
        <v>0</v>
      </c>
      <c r="BY429" s="37">
        <v>0</v>
      </c>
      <c r="BZ429" s="37">
        <v>0</v>
      </c>
      <c r="CA429" s="37">
        <v>0</v>
      </c>
      <c r="CB429" s="37">
        <v>0</v>
      </c>
      <c r="CC429" s="37">
        <v>0</v>
      </c>
      <c r="CD429" s="37">
        <v>0</v>
      </c>
      <c r="CE429" s="37">
        <v>0</v>
      </c>
      <c r="CF429" s="37">
        <v>0</v>
      </c>
      <c r="CG429" s="37">
        <v>0</v>
      </c>
      <c r="CH429" s="37">
        <v>0</v>
      </c>
      <c r="CI429" s="37">
        <v>0</v>
      </c>
      <c r="CJ429" s="37">
        <v>0</v>
      </c>
      <c r="CK429" s="37">
        <v>0</v>
      </c>
      <c r="CL429" s="37">
        <v>0</v>
      </c>
      <c r="CM429" s="37">
        <v>0</v>
      </c>
      <c r="CN429" s="37">
        <v>0</v>
      </c>
      <c r="CO429" s="37">
        <v>0</v>
      </c>
      <c r="CP429" s="37">
        <v>0</v>
      </c>
      <c r="CQ429" s="37">
        <v>0</v>
      </c>
      <c r="CR429" s="37">
        <v>0</v>
      </c>
      <c r="CS429" s="37">
        <v>0</v>
      </c>
      <c r="CT429" s="37">
        <v>0</v>
      </c>
      <c r="CU429" s="37">
        <v>0</v>
      </c>
      <c r="CV429" s="37">
        <v>0</v>
      </c>
      <c r="CW429" s="37">
        <v>0</v>
      </c>
      <c r="CX429" s="37">
        <v>0</v>
      </c>
      <c r="CY429" s="37">
        <v>0</v>
      </c>
      <c r="CZ429" s="37">
        <v>0</v>
      </c>
      <c r="DA429" s="37">
        <v>0</v>
      </c>
      <c r="DB429" s="37">
        <v>0</v>
      </c>
      <c r="DC429" s="37">
        <v>0</v>
      </c>
      <c r="DD429" s="37">
        <v>0</v>
      </c>
      <c r="DE429" s="37">
        <v>0</v>
      </c>
      <c r="DF429" s="37">
        <v>0</v>
      </c>
      <c r="DG429" s="37">
        <v>0</v>
      </c>
      <c r="DH429" s="37">
        <v>0</v>
      </c>
      <c r="DI429" s="37">
        <v>0</v>
      </c>
      <c r="DJ429" s="37">
        <v>0</v>
      </c>
      <c r="DK429" s="37">
        <v>0</v>
      </c>
      <c r="DL429" s="37">
        <v>0</v>
      </c>
      <c r="DM429" s="37">
        <v>0</v>
      </c>
      <c r="DN429" s="37">
        <v>0</v>
      </c>
      <c r="DO429" s="37">
        <v>0</v>
      </c>
      <c r="DP429" s="37">
        <v>0</v>
      </c>
      <c r="DQ429" s="37">
        <v>0</v>
      </c>
      <c r="DR429" s="37">
        <v>0</v>
      </c>
      <c r="DS429" s="37">
        <v>0</v>
      </c>
      <c r="DT429" s="37">
        <v>0</v>
      </c>
      <c r="DU429" s="37">
        <v>0</v>
      </c>
      <c r="DV429" s="37">
        <v>0</v>
      </c>
      <c r="DW429" s="37">
        <v>0</v>
      </c>
      <c r="DX429" s="37">
        <v>0</v>
      </c>
      <c r="DY429" s="37">
        <v>0</v>
      </c>
      <c r="DZ429" s="37">
        <v>0</v>
      </c>
      <c r="EA429" s="37">
        <v>0</v>
      </c>
      <c r="EB429" s="37">
        <v>0</v>
      </c>
      <c r="EC429" s="37">
        <v>0</v>
      </c>
      <c r="ED429" s="37">
        <v>0</v>
      </c>
      <c r="EE429" s="37">
        <v>0</v>
      </c>
      <c r="EF429" s="37">
        <v>0</v>
      </c>
      <c r="EG429" s="37">
        <v>0</v>
      </c>
      <c r="EH429" s="37">
        <v>0</v>
      </c>
      <c r="EI429" s="37">
        <v>0</v>
      </c>
      <c r="EJ429" s="37">
        <v>0</v>
      </c>
      <c r="EK429" s="161" t="s">
        <v>1738</v>
      </c>
      <c r="EL429" s="294" t="s">
        <v>1124</v>
      </c>
    </row>
    <row r="430" spans="1:142" ht="15" customHeight="1" x14ac:dyDescent="0.35">
      <c r="A430" s="34"/>
      <c r="B430" s="313">
        <v>62055</v>
      </c>
      <c r="C430" s="8" t="s">
        <v>627</v>
      </c>
      <c r="D430" s="18">
        <v>14</v>
      </c>
      <c r="E430" s="155"/>
      <c r="F430" s="36"/>
      <c r="G430" s="37"/>
      <c r="H430" s="37"/>
      <c r="I430" s="37"/>
      <c r="J430" s="37"/>
      <c r="K430" s="37"/>
      <c r="L430" s="37"/>
      <c r="M430" s="37" t="s">
        <v>1124</v>
      </c>
      <c r="N430" s="37" t="s">
        <v>1124</v>
      </c>
      <c r="O430" s="37"/>
      <c r="P430" s="37"/>
      <c r="Q430" s="37"/>
      <c r="R430" s="37"/>
      <c r="S430" s="37"/>
      <c r="T430" s="37"/>
      <c r="U430" s="37"/>
      <c r="V430" s="37"/>
      <c r="W430" s="37"/>
      <c r="X430" s="37"/>
      <c r="Y430" s="37"/>
      <c r="Z430" s="37"/>
      <c r="AA430" s="37" t="s">
        <v>1124</v>
      </c>
      <c r="AB430" s="37" t="s">
        <v>1124</v>
      </c>
      <c r="AC430" s="37"/>
      <c r="AD430" s="37"/>
      <c r="AE430" s="37"/>
      <c r="AF430" s="168"/>
      <c r="AG430" s="37"/>
      <c r="AH430" s="37"/>
      <c r="AI430" s="37"/>
      <c r="AJ430" s="37"/>
      <c r="AK430" s="37"/>
      <c r="AL430" s="37"/>
      <c r="AM430" s="37"/>
      <c r="AN430" s="37"/>
      <c r="AO430" s="37"/>
      <c r="AP430" s="37"/>
      <c r="AQ430" s="37"/>
      <c r="AR430" s="37" t="s">
        <v>1124</v>
      </c>
      <c r="AS430" s="37"/>
      <c r="AT430" s="37"/>
      <c r="AU430" s="37"/>
      <c r="AV430" s="37"/>
      <c r="AW430" s="37"/>
      <c r="AX430" s="37"/>
      <c r="AY430" s="37"/>
      <c r="AZ430" s="37"/>
      <c r="BA430" s="37"/>
      <c r="BB430" s="37"/>
      <c r="BC430" s="37"/>
      <c r="BD430" s="37" t="s">
        <v>1124</v>
      </c>
      <c r="BE430" s="37"/>
      <c r="BF430" s="37"/>
      <c r="BG430" s="37"/>
      <c r="BH430" s="37"/>
      <c r="BI430" s="37"/>
      <c r="BJ430" s="37"/>
      <c r="BK430" s="37"/>
      <c r="BL430" s="37"/>
      <c r="BM430" s="37"/>
      <c r="BN430" s="37"/>
      <c r="BO430" s="37"/>
      <c r="BP430" s="37">
        <v>0</v>
      </c>
      <c r="BQ430" s="37"/>
      <c r="BR430" s="37"/>
      <c r="BS430" s="37"/>
      <c r="BT430" s="37"/>
      <c r="BU430" s="37"/>
      <c r="BV430" s="37"/>
      <c r="BW430" s="37"/>
      <c r="BX430" s="37"/>
      <c r="BY430" s="37"/>
      <c r="BZ430" s="37"/>
      <c r="CA430" s="37"/>
      <c r="CB430" s="37" t="s">
        <v>1124</v>
      </c>
      <c r="CC430" s="37"/>
      <c r="CD430" s="37"/>
      <c r="CE430" s="37"/>
      <c r="CF430" s="37"/>
      <c r="CG430" s="37"/>
      <c r="CH430" s="37"/>
      <c r="CI430" s="37"/>
      <c r="CJ430" s="37"/>
      <c r="CK430" s="37"/>
      <c r="CL430" s="37"/>
      <c r="CM430" s="37"/>
      <c r="CN430" s="37" t="s">
        <v>1124</v>
      </c>
      <c r="CO430" s="37"/>
      <c r="CP430" s="37"/>
      <c r="CQ430" s="37"/>
      <c r="CR430" s="37"/>
      <c r="CS430" s="37"/>
      <c r="CT430" s="37"/>
      <c r="CU430" s="37"/>
      <c r="CV430" s="37"/>
      <c r="CW430" s="37"/>
      <c r="CX430" s="37"/>
      <c r="CY430" s="37"/>
      <c r="CZ430" s="37" t="s">
        <v>1124</v>
      </c>
      <c r="DA430" s="37"/>
      <c r="DB430" s="37"/>
      <c r="DC430" s="37"/>
      <c r="DD430" s="37"/>
      <c r="DE430" s="37"/>
      <c r="DF430" s="37"/>
      <c r="DG430" s="37"/>
      <c r="DH430" s="37"/>
      <c r="DI430" s="37"/>
      <c r="DJ430" s="37"/>
      <c r="DK430" s="37"/>
      <c r="DL430" s="37" t="s">
        <v>1124</v>
      </c>
      <c r="DM430" s="37"/>
      <c r="DN430" s="37"/>
      <c r="DO430" s="37"/>
      <c r="DP430" s="37"/>
      <c r="DQ430" s="37"/>
      <c r="DR430" s="37"/>
      <c r="DS430" s="37"/>
      <c r="DT430" s="37"/>
      <c r="DU430" s="37"/>
      <c r="DV430" s="37"/>
      <c r="DW430" s="37"/>
      <c r="DX430" s="37" t="s">
        <v>1124</v>
      </c>
      <c r="DY430" s="37"/>
      <c r="DZ430" s="37"/>
      <c r="EA430" s="37"/>
      <c r="EB430" s="37"/>
      <c r="EC430" s="37"/>
      <c r="ED430" s="37"/>
      <c r="EE430" s="37"/>
      <c r="EF430" s="37"/>
      <c r="EG430" s="37"/>
      <c r="EH430" s="37"/>
      <c r="EI430" s="37"/>
      <c r="EJ430" s="37" t="s">
        <v>1124</v>
      </c>
      <c r="EK430" s="161"/>
      <c r="EL430" s="294"/>
    </row>
    <row r="431" spans="1:142" ht="15" customHeight="1" x14ac:dyDescent="0.35">
      <c r="A431" s="34"/>
      <c r="B431" s="313">
        <v>80020</v>
      </c>
      <c r="C431" s="8" t="s">
        <v>806</v>
      </c>
      <c r="D431" s="18">
        <v>7</v>
      </c>
      <c r="E431" s="155"/>
      <c r="F431" s="36"/>
      <c r="G431" s="37"/>
      <c r="H431" s="37"/>
      <c r="I431" s="37"/>
      <c r="J431" s="37"/>
      <c r="K431" s="37"/>
      <c r="L431" s="37"/>
      <c r="M431" s="37" t="s">
        <v>1124</v>
      </c>
      <c r="N431" s="37" t="s">
        <v>1124</v>
      </c>
      <c r="O431" s="37"/>
      <c r="P431" s="37"/>
      <c r="Q431" s="37"/>
      <c r="R431" s="37"/>
      <c r="S431" s="37"/>
      <c r="T431" s="37"/>
      <c r="U431" s="37"/>
      <c r="V431" s="37"/>
      <c r="W431" s="37"/>
      <c r="X431" s="37"/>
      <c r="Y431" s="37"/>
      <c r="Z431" s="37"/>
      <c r="AA431" s="37" t="s">
        <v>1124</v>
      </c>
      <c r="AB431" s="37" t="s">
        <v>1124</v>
      </c>
      <c r="AC431" s="37"/>
      <c r="AD431" s="37"/>
      <c r="AE431" s="37"/>
      <c r="AF431" s="168"/>
      <c r="AG431" s="37"/>
      <c r="AH431" s="37"/>
      <c r="AI431" s="37"/>
      <c r="AJ431" s="37"/>
      <c r="AK431" s="37"/>
      <c r="AL431" s="37"/>
      <c r="AM431" s="37"/>
      <c r="AN431" s="37"/>
      <c r="AO431" s="37"/>
      <c r="AP431" s="37"/>
      <c r="AQ431" s="37"/>
      <c r="AR431" s="37" t="s">
        <v>1124</v>
      </c>
      <c r="AS431" s="37"/>
      <c r="AT431" s="37"/>
      <c r="AU431" s="37"/>
      <c r="AV431" s="37"/>
      <c r="AW431" s="37"/>
      <c r="AX431" s="37"/>
      <c r="AY431" s="37"/>
      <c r="AZ431" s="37"/>
      <c r="BA431" s="37"/>
      <c r="BB431" s="37"/>
      <c r="BC431" s="37"/>
      <c r="BD431" s="37" t="s">
        <v>1124</v>
      </c>
      <c r="BE431" s="37"/>
      <c r="BF431" s="37"/>
      <c r="BG431" s="37"/>
      <c r="BH431" s="37"/>
      <c r="BI431" s="37"/>
      <c r="BJ431" s="37"/>
      <c r="BK431" s="37"/>
      <c r="BL431" s="37"/>
      <c r="BM431" s="37"/>
      <c r="BN431" s="37"/>
      <c r="BO431" s="37"/>
      <c r="BP431" s="37">
        <v>0</v>
      </c>
      <c r="BQ431" s="37"/>
      <c r="BR431" s="37"/>
      <c r="BS431" s="37"/>
      <c r="BT431" s="37"/>
      <c r="BU431" s="37"/>
      <c r="BV431" s="37"/>
      <c r="BW431" s="37"/>
      <c r="BX431" s="37"/>
      <c r="BY431" s="37"/>
      <c r="BZ431" s="37"/>
      <c r="CA431" s="37"/>
      <c r="CB431" s="37" t="s">
        <v>1124</v>
      </c>
      <c r="CC431" s="37"/>
      <c r="CD431" s="37"/>
      <c r="CE431" s="37"/>
      <c r="CF431" s="37"/>
      <c r="CG431" s="37"/>
      <c r="CH431" s="37"/>
      <c r="CI431" s="37"/>
      <c r="CJ431" s="37"/>
      <c r="CK431" s="37"/>
      <c r="CL431" s="37"/>
      <c r="CM431" s="37"/>
      <c r="CN431" s="37" t="s">
        <v>1124</v>
      </c>
      <c r="CO431" s="37"/>
      <c r="CP431" s="37"/>
      <c r="CQ431" s="37"/>
      <c r="CR431" s="37"/>
      <c r="CS431" s="37"/>
      <c r="CT431" s="37"/>
      <c r="CU431" s="37"/>
      <c r="CV431" s="37"/>
      <c r="CW431" s="37"/>
      <c r="CX431" s="37"/>
      <c r="CY431" s="37"/>
      <c r="CZ431" s="37" t="s">
        <v>1124</v>
      </c>
      <c r="DA431" s="37"/>
      <c r="DB431" s="37"/>
      <c r="DC431" s="37"/>
      <c r="DD431" s="37"/>
      <c r="DE431" s="37"/>
      <c r="DF431" s="37"/>
      <c r="DG431" s="37"/>
      <c r="DH431" s="37"/>
      <c r="DI431" s="37"/>
      <c r="DJ431" s="37"/>
      <c r="DK431" s="37"/>
      <c r="DL431" s="37" t="s">
        <v>1124</v>
      </c>
      <c r="DM431" s="37"/>
      <c r="DN431" s="37"/>
      <c r="DO431" s="37"/>
      <c r="DP431" s="37"/>
      <c r="DQ431" s="37"/>
      <c r="DR431" s="37"/>
      <c r="DS431" s="37"/>
      <c r="DT431" s="37"/>
      <c r="DU431" s="37"/>
      <c r="DV431" s="37"/>
      <c r="DW431" s="37"/>
      <c r="DX431" s="37" t="s">
        <v>1124</v>
      </c>
      <c r="DY431" s="37"/>
      <c r="DZ431" s="37"/>
      <c r="EA431" s="37"/>
      <c r="EB431" s="37"/>
      <c r="EC431" s="37"/>
      <c r="ED431" s="37"/>
      <c r="EE431" s="37"/>
      <c r="EF431" s="37"/>
      <c r="EG431" s="37"/>
      <c r="EH431" s="37"/>
      <c r="EI431" s="37"/>
      <c r="EJ431" s="37" t="s">
        <v>1124</v>
      </c>
      <c r="EK431" s="161"/>
      <c r="EL431" s="294"/>
    </row>
    <row r="432" spans="1:142" ht="15" customHeight="1" x14ac:dyDescent="0.35">
      <c r="A432" s="34"/>
      <c r="B432" s="313">
        <v>82010</v>
      </c>
      <c r="C432" s="8" t="s">
        <v>829</v>
      </c>
      <c r="D432" s="18">
        <v>7</v>
      </c>
      <c r="E432" s="155"/>
      <c r="F432" s="36"/>
      <c r="G432" s="37"/>
      <c r="H432" s="37"/>
      <c r="I432" s="37"/>
      <c r="J432" s="37"/>
      <c r="K432" s="37"/>
      <c r="L432" s="37"/>
      <c r="M432" s="37" t="s">
        <v>1124</v>
      </c>
      <c r="N432" s="37" t="s">
        <v>1124</v>
      </c>
      <c r="O432" s="37"/>
      <c r="P432" s="37"/>
      <c r="Q432" s="37"/>
      <c r="R432" s="37"/>
      <c r="S432" s="37"/>
      <c r="T432" s="37"/>
      <c r="U432" s="37"/>
      <c r="V432" s="37"/>
      <c r="W432" s="37"/>
      <c r="X432" s="37"/>
      <c r="Y432" s="37"/>
      <c r="Z432" s="37"/>
      <c r="AA432" s="37" t="s">
        <v>1124</v>
      </c>
      <c r="AB432" s="37" t="s">
        <v>1124</v>
      </c>
      <c r="AC432" s="37"/>
      <c r="AD432" s="37"/>
      <c r="AE432" s="37"/>
      <c r="AF432" s="168"/>
      <c r="AG432" s="37"/>
      <c r="AH432" s="37"/>
      <c r="AI432" s="37"/>
      <c r="AJ432" s="37"/>
      <c r="AK432" s="37"/>
      <c r="AL432" s="37"/>
      <c r="AM432" s="37"/>
      <c r="AN432" s="37"/>
      <c r="AO432" s="37"/>
      <c r="AP432" s="37"/>
      <c r="AQ432" s="37"/>
      <c r="AR432" s="37" t="s">
        <v>1124</v>
      </c>
      <c r="AS432" s="37"/>
      <c r="AT432" s="37"/>
      <c r="AU432" s="37"/>
      <c r="AV432" s="37"/>
      <c r="AW432" s="37"/>
      <c r="AX432" s="37"/>
      <c r="AY432" s="37"/>
      <c r="AZ432" s="37"/>
      <c r="BA432" s="37"/>
      <c r="BB432" s="37"/>
      <c r="BC432" s="37"/>
      <c r="BD432" s="37" t="s">
        <v>1124</v>
      </c>
      <c r="BE432" s="37"/>
      <c r="BF432" s="37"/>
      <c r="BG432" s="37"/>
      <c r="BH432" s="37"/>
      <c r="BI432" s="37"/>
      <c r="BJ432" s="37"/>
      <c r="BK432" s="37"/>
      <c r="BL432" s="37"/>
      <c r="BM432" s="37"/>
      <c r="BN432" s="37"/>
      <c r="BO432" s="37"/>
      <c r="BP432" s="37">
        <v>0</v>
      </c>
      <c r="BQ432" s="37"/>
      <c r="BR432" s="37"/>
      <c r="BS432" s="37"/>
      <c r="BT432" s="37"/>
      <c r="BU432" s="37"/>
      <c r="BV432" s="37"/>
      <c r="BW432" s="37"/>
      <c r="BX432" s="37"/>
      <c r="BY432" s="37"/>
      <c r="BZ432" s="37"/>
      <c r="CA432" s="37"/>
      <c r="CB432" s="37" t="s">
        <v>1124</v>
      </c>
      <c r="CC432" s="37"/>
      <c r="CD432" s="37"/>
      <c r="CE432" s="37"/>
      <c r="CF432" s="37"/>
      <c r="CG432" s="37"/>
      <c r="CH432" s="37"/>
      <c r="CI432" s="37"/>
      <c r="CJ432" s="37"/>
      <c r="CK432" s="37"/>
      <c r="CL432" s="37"/>
      <c r="CM432" s="37"/>
      <c r="CN432" s="37" t="s">
        <v>1124</v>
      </c>
      <c r="CO432" s="37"/>
      <c r="CP432" s="37"/>
      <c r="CQ432" s="37"/>
      <c r="CR432" s="37"/>
      <c r="CS432" s="37"/>
      <c r="CT432" s="37"/>
      <c r="CU432" s="37"/>
      <c r="CV432" s="37"/>
      <c r="CW432" s="37"/>
      <c r="CX432" s="37"/>
      <c r="CY432" s="37"/>
      <c r="CZ432" s="37" t="s">
        <v>1124</v>
      </c>
      <c r="DA432" s="37"/>
      <c r="DB432" s="37"/>
      <c r="DC432" s="37"/>
      <c r="DD432" s="37"/>
      <c r="DE432" s="37"/>
      <c r="DF432" s="37"/>
      <c r="DG432" s="37"/>
      <c r="DH432" s="37"/>
      <c r="DI432" s="37"/>
      <c r="DJ432" s="37"/>
      <c r="DK432" s="37"/>
      <c r="DL432" s="37" t="s">
        <v>1124</v>
      </c>
      <c r="DM432" s="37"/>
      <c r="DN432" s="37"/>
      <c r="DO432" s="37"/>
      <c r="DP432" s="37"/>
      <c r="DQ432" s="37"/>
      <c r="DR432" s="37"/>
      <c r="DS432" s="37"/>
      <c r="DT432" s="37"/>
      <c r="DU432" s="37"/>
      <c r="DV432" s="37"/>
      <c r="DW432" s="37"/>
      <c r="DX432" s="37" t="s">
        <v>1124</v>
      </c>
      <c r="DY432" s="37"/>
      <c r="DZ432" s="37"/>
      <c r="EA432" s="37"/>
      <c r="EB432" s="37"/>
      <c r="EC432" s="37"/>
      <c r="ED432" s="37"/>
      <c r="EE432" s="37"/>
      <c r="EF432" s="37"/>
      <c r="EG432" s="37"/>
      <c r="EH432" s="37"/>
      <c r="EI432" s="37"/>
      <c r="EJ432" s="37" t="s">
        <v>1124</v>
      </c>
      <c r="EK432" s="161"/>
      <c r="EL432" s="294"/>
    </row>
    <row r="433" spans="1:142" ht="15" customHeight="1" x14ac:dyDescent="0.35">
      <c r="A433" s="34"/>
      <c r="B433" s="313">
        <v>71065</v>
      </c>
      <c r="C433" s="8" t="s">
        <v>714</v>
      </c>
      <c r="D433" s="18">
        <v>16</v>
      </c>
      <c r="E433" s="155">
        <v>1033101</v>
      </c>
      <c r="F433" s="36">
        <v>794630</v>
      </c>
      <c r="G433" s="37">
        <v>2846</v>
      </c>
      <c r="H433" s="37">
        <v>114642</v>
      </c>
      <c r="I433" s="37">
        <v>17002</v>
      </c>
      <c r="J433" s="37">
        <v>1001800</v>
      </c>
      <c r="K433" s="37">
        <v>103310.1</v>
      </c>
      <c r="L433" s="37">
        <v>79463</v>
      </c>
      <c r="M433" s="37">
        <v>1156259.1000000001</v>
      </c>
      <c r="N433" s="37">
        <v>1990535</v>
      </c>
      <c r="O433" s="37">
        <v>201319</v>
      </c>
      <c r="P433" s="37">
        <v>0</v>
      </c>
      <c r="Q433" s="37">
        <v>929659</v>
      </c>
      <c r="R433" s="37">
        <v>704687</v>
      </c>
      <c r="S433" s="37">
        <v>29046</v>
      </c>
      <c r="T433" s="37">
        <v>81572</v>
      </c>
      <c r="U433" s="37">
        <v>0</v>
      </c>
      <c r="V433" s="37">
        <v>0</v>
      </c>
      <c r="W433" s="37">
        <v>0</v>
      </c>
      <c r="X433" s="37">
        <v>5093077</v>
      </c>
      <c r="Y433" s="37">
        <v>0</v>
      </c>
      <c r="Z433" s="37">
        <v>0</v>
      </c>
      <c r="AA433" s="37">
        <v>1160024</v>
      </c>
      <c r="AB433" s="37">
        <v>5879336</v>
      </c>
      <c r="AC433" s="37">
        <v>3892566</v>
      </c>
      <c r="AD433" s="37">
        <v>0</v>
      </c>
      <c r="AE433" s="37">
        <v>0</v>
      </c>
      <c r="AF433" s="168">
        <v>0.02</v>
      </c>
      <c r="AG433" s="37">
        <v>199423934.19999999</v>
      </c>
      <c r="AH433" s="37">
        <v>1986420.58</v>
      </c>
      <c r="AI433" s="37">
        <v>1926395.44</v>
      </c>
      <c r="AJ433" s="37">
        <v>1956805.11</v>
      </c>
      <c r="AK433" s="37">
        <v>1988580.67</v>
      </c>
      <c r="AL433" s="37">
        <v>2028352.29</v>
      </c>
      <c r="AM433" s="37">
        <v>2068919.33</v>
      </c>
      <c r="AN433" s="37">
        <v>2063821.9</v>
      </c>
      <c r="AO433" s="37">
        <v>2105098.33</v>
      </c>
      <c r="AP433" s="37">
        <v>2147200.2999999998</v>
      </c>
      <c r="AQ433" s="37">
        <v>2190144.31</v>
      </c>
      <c r="AR433" s="37">
        <v>20461738.259999998</v>
      </c>
      <c r="AS433" s="37">
        <v>411545.83</v>
      </c>
      <c r="AT433" s="37">
        <v>0</v>
      </c>
      <c r="AU433" s="37">
        <v>0</v>
      </c>
      <c r="AV433" s="37">
        <v>0</v>
      </c>
      <c r="AW433" s="37">
        <v>0</v>
      </c>
      <c r="AX433" s="37">
        <v>0</v>
      </c>
      <c r="AY433" s="37">
        <v>0</v>
      </c>
      <c r="AZ433" s="37">
        <v>0</v>
      </c>
      <c r="BA433" s="37">
        <v>0</v>
      </c>
      <c r="BB433" s="37">
        <v>0</v>
      </c>
      <c r="BC433" s="37">
        <v>0</v>
      </c>
      <c r="BD433" s="37">
        <v>0</v>
      </c>
      <c r="BE433" s="37">
        <v>1683964</v>
      </c>
      <c r="BF433" s="37">
        <v>2051250</v>
      </c>
      <c r="BG433" s="37">
        <v>1777974</v>
      </c>
      <c r="BH433" s="37">
        <v>152232</v>
      </c>
      <c r="BI433" s="37">
        <v>0</v>
      </c>
      <c r="BJ433" s="37">
        <v>0</v>
      </c>
      <c r="BK433" s="37">
        <v>0</v>
      </c>
      <c r="BL433" s="37">
        <v>0</v>
      </c>
      <c r="BM433" s="37">
        <v>0</v>
      </c>
      <c r="BN433" s="37">
        <v>0</v>
      </c>
      <c r="BO433" s="37">
        <v>0</v>
      </c>
      <c r="BP433" s="37">
        <v>3981456</v>
      </c>
      <c r="BQ433" s="37">
        <v>0</v>
      </c>
      <c r="BR433" s="37">
        <v>512813</v>
      </c>
      <c r="BS433" s="37">
        <v>0</v>
      </c>
      <c r="BT433" s="37">
        <v>0</v>
      </c>
      <c r="BU433" s="37">
        <v>0</v>
      </c>
      <c r="BV433" s="37">
        <v>0</v>
      </c>
      <c r="BW433" s="37">
        <v>0</v>
      </c>
      <c r="BX433" s="37">
        <v>0</v>
      </c>
      <c r="BY433" s="37">
        <v>0</v>
      </c>
      <c r="BZ433" s="37">
        <v>0</v>
      </c>
      <c r="CA433" s="37">
        <v>0</v>
      </c>
      <c r="CB433" s="37">
        <v>512813</v>
      </c>
      <c r="CC433" s="37">
        <v>0</v>
      </c>
      <c r="CD433" s="37">
        <v>0</v>
      </c>
      <c r="CE433" s="37">
        <v>0</v>
      </c>
      <c r="CF433" s="37">
        <v>0</v>
      </c>
      <c r="CG433" s="37">
        <v>0</v>
      </c>
      <c r="CH433" s="37">
        <v>0</v>
      </c>
      <c r="CI433" s="37">
        <v>0</v>
      </c>
      <c r="CJ433" s="37">
        <v>0</v>
      </c>
      <c r="CK433" s="37">
        <v>0</v>
      </c>
      <c r="CL433" s="37">
        <v>0</v>
      </c>
      <c r="CM433" s="37">
        <v>0</v>
      </c>
      <c r="CN433" s="37">
        <v>0</v>
      </c>
      <c r="CO433" s="37">
        <v>0</v>
      </c>
      <c r="CP433" s="37">
        <v>0</v>
      </c>
      <c r="CQ433" s="37">
        <v>0</v>
      </c>
      <c r="CR433" s="37">
        <v>0</v>
      </c>
      <c r="CS433" s="37">
        <v>0</v>
      </c>
      <c r="CT433" s="37">
        <v>0</v>
      </c>
      <c r="CU433" s="37">
        <v>0</v>
      </c>
      <c r="CV433" s="37">
        <v>0</v>
      </c>
      <c r="CW433" s="37">
        <v>0</v>
      </c>
      <c r="CX433" s="37">
        <v>0</v>
      </c>
      <c r="CY433" s="37">
        <v>0</v>
      </c>
      <c r="CZ433" s="37">
        <v>0</v>
      </c>
      <c r="DA433" s="37">
        <v>0</v>
      </c>
      <c r="DB433" s="37">
        <v>0</v>
      </c>
      <c r="DC433" s="37">
        <v>0</v>
      </c>
      <c r="DD433" s="37">
        <v>0</v>
      </c>
      <c r="DE433" s="37">
        <v>0</v>
      </c>
      <c r="DF433" s="37">
        <v>0</v>
      </c>
      <c r="DG433" s="37">
        <v>0</v>
      </c>
      <c r="DH433" s="37">
        <v>0</v>
      </c>
      <c r="DI433" s="37">
        <v>0</v>
      </c>
      <c r="DJ433" s="37">
        <v>0</v>
      </c>
      <c r="DK433" s="37">
        <v>0</v>
      </c>
      <c r="DL433" s="37">
        <v>0</v>
      </c>
      <c r="DM433" s="37">
        <v>0</v>
      </c>
      <c r="DN433" s="37">
        <v>0</v>
      </c>
      <c r="DO433" s="37">
        <v>0</v>
      </c>
      <c r="DP433" s="37">
        <v>0</v>
      </c>
      <c r="DQ433" s="37">
        <v>0</v>
      </c>
      <c r="DR433" s="37">
        <v>0</v>
      </c>
      <c r="DS433" s="37">
        <v>0</v>
      </c>
      <c r="DT433" s="37">
        <v>0</v>
      </c>
      <c r="DU433" s="37">
        <v>0</v>
      </c>
      <c r="DV433" s="37">
        <v>0</v>
      </c>
      <c r="DW433" s="37">
        <v>0</v>
      </c>
      <c r="DX433" s="37">
        <v>0</v>
      </c>
      <c r="DY433" s="37">
        <v>0</v>
      </c>
      <c r="DZ433" s="37">
        <v>0</v>
      </c>
      <c r="EA433" s="37">
        <v>0</v>
      </c>
      <c r="EB433" s="37">
        <v>0</v>
      </c>
      <c r="EC433" s="37">
        <v>0</v>
      </c>
      <c r="ED433" s="37">
        <v>0</v>
      </c>
      <c r="EE433" s="37">
        <v>0</v>
      </c>
      <c r="EF433" s="37">
        <v>0</v>
      </c>
      <c r="EG433" s="37">
        <v>0</v>
      </c>
      <c r="EH433" s="37">
        <v>0</v>
      </c>
      <c r="EI433" s="37">
        <v>0</v>
      </c>
      <c r="EJ433" s="37">
        <v>0</v>
      </c>
      <c r="EK433" s="161" t="s">
        <v>2306</v>
      </c>
      <c r="EL433" s="294" t="s">
        <v>1124</v>
      </c>
    </row>
    <row r="434" spans="1:142" ht="15" customHeight="1" x14ac:dyDescent="0.35">
      <c r="A434" s="34"/>
      <c r="B434" s="313">
        <v>92060</v>
      </c>
      <c r="C434" s="8" t="s">
        <v>955</v>
      </c>
      <c r="D434" s="18">
        <v>2</v>
      </c>
      <c r="E434" s="155"/>
      <c r="F434" s="36"/>
      <c r="G434" s="37"/>
      <c r="H434" s="37"/>
      <c r="I434" s="37"/>
      <c r="J434" s="37"/>
      <c r="K434" s="37"/>
      <c r="L434" s="37"/>
      <c r="M434" s="37" t="s">
        <v>1124</v>
      </c>
      <c r="N434" s="37" t="s">
        <v>1124</v>
      </c>
      <c r="O434" s="37"/>
      <c r="P434" s="37"/>
      <c r="Q434" s="37"/>
      <c r="R434" s="37"/>
      <c r="S434" s="37"/>
      <c r="T434" s="37"/>
      <c r="U434" s="37"/>
      <c r="V434" s="37"/>
      <c r="W434" s="37"/>
      <c r="X434" s="37"/>
      <c r="Y434" s="37"/>
      <c r="Z434" s="37"/>
      <c r="AA434" s="37" t="s">
        <v>1124</v>
      </c>
      <c r="AB434" s="37" t="s">
        <v>1124</v>
      </c>
      <c r="AC434" s="37"/>
      <c r="AD434" s="37"/>
      <c r="AE434" s="37"/>
      <c r="AF434" s="168"/>
      <c r="AG434" s="37"/>
      <c r="AH434" s="37"/>
      <c r="AI434" s="37"/>
      <c r="AJ434" s="37"/>
      <c r="AK434" s="37"/>
      <c r="AL434" s="37"/>
      <c r="AM434" s="37"/>
      <c r="AN434" s="37"/>
      <c r="AO434" s="37"/>
      <c r="AP434" s="37"/>
      <c r="AQ434" s="37"/>
      <c r="AR434" s="37" t="s">
        <v>1124</v>
      </c>
      <c r="AS434" s="37"/>
      <c r="AT434" s="37"/>
      <c r="AU434" s="37"/>
      <c r="AV434" s="37"/>
      <c r="AW434" s="37"/>
      <c r="AX434" s="37"/>
      <c r="AY434" s="37"/>
      <c r="AZ434" s="37"/>
      <c r="BA434" s="37"/>
      <c r="BB434" s="37"/>
      <c r="BC434" s="37"/>
      <c r="BD434" s="37" t="s">
        <v>1124</v>
      </c>
      <c r="BE434" s="37"/>
      <c r="BF434" s="37"/>
      <c r="BG434" s="37"/>
      <c r="BH434" s="37"/>
      <c r="BI434" s="37"/>
      <c r="BJ434" s="37"/>
      <c r="BK434" s="37"/>
      <c r="BL434" s="37"/>
      <c r="BM434" s="37"/>
      <c r="BN434" s="37"/>
      <c r="BO434" s="37"/>
      <c r="BP434" s="37">
        <v>0</v>
      </c>
      <c r="BQ434" s="37"/>
      <c r="BR434" s="37"/>
      <c r="BS434" s="37"/>
      <c r="BT434" s="37"/>
      <c r="BU434" s="37"/>
      <c r="BV434" s="37"/>
      <c r="BW434" s="37"/>
      <c r="BX434" s="37"/>
      <c r="BY434" s="37"/>
      <c r="BZ434" s="37"/>
      <c r="CA434" s="37"/>
      <c r="CB434" s="37" t="s">
        <v>1124</v>
      </c>
      <c r="CC434" s="37"/>
      <c r="CD434" s="37"/>
      <c r="CE434" s="37"/>
      <c r="CF434" s="37"/>
      <c r="CG434" s="37"/>
      <c r="CH434" s="37"/>
      <c r="CI434" s="37"/>
      <c r="CJ434" s="37"/>
      <c r="CK434" s="37"/>
      <c r="CL434" s="37"/>
      <c r="CM434" s="37"/>
      <c r="CN434" s="37" t="s">
        <v>1124</v>
      </c>
      <c r="CO434" s="37"/>
      <c r="CP434" s="37"/>
      <c r="CQ434" s="37"/>
      <c r="CR434" s="37"/>
      <c r="CS434" s="37"/>
      <c r="CT434" s="37"/>
      <c r="CU434" s="37"/>
      <c r="CV434" s="37"/>
      <c r="CW434" s="37"/>
      <c r="CX434" s="37"/>
      <c r="CY434" s="37"/>
      <c r="CZ434" s="37" t="s">
        <v>1124</v>
      </c>
      <c r="DA434" s="37"/>
      <c r="DB434" s="37"/>
      <c r="DC434" s="37"/>
      <c r="DD434" s="37"/>
      <c r="DE434" s="37"/>
      <c r="DF434" s="37"/>
      <c r="DG434" s="37"/>
      <c r="DH434" s="37"/>
      <c r="DI434" s="37"/>
      <c r="DJ434" s="37"/>
      <c r="DK434" s="37"/>
      <c r="DL434" s="37" t="s">
        <v>1124</v>
      </c>
      <c r="DM434" s="37"/>
      <c r="DN434" s="37"/>
      <c r="DO434" s="37"/>
      <c r="DP434" s="37"/>
      <c r="DQ434" s="37"/>
      <c r="DR434" s="37"/>
      <c r="DS434" s="37"/>
      <c r="DT434" s="37"/>
      <c r="DU434" s="37"/>
      <c r="DV434" s="37"/>
      <c r="DW434" s="37"/>
      <c r="DX434" s="37" t="s">
        <v>1124</v>
      </c>
      <c r="DY434" s="37"/>
      <c r="DZ434" s="37"/>
      <c r="EA434" s="37"/>
      <c r="EB434" s="37"/>
      <c r="EC434" s="37"/>
      <c r="ED434" s="37"/>
      <c r="EE434" s="37"/>
      <c r="EF434" s="37"/>
      <c r="EG434" s="37"/>
      <c r="EH434" s="37"/>
      <c r="EI434" s="37"/>
      <c r="EJ434" s="37" t="s">
        <v>1124</v>
      </c>
      <c r="EK434" s="161"/>
      <c r="EL434" s="294"/>
    </row>
    <row r="435" spans="1:142" ht="15" customHeight="1" x14ac:dyDescent="0.35">
      <c r="A435" s="34"/>
      <c r="B435" s="313">
        <v>61045</v>
      </c>
      <c r="C435" s="8" t="s">
        <v>617</v>
      </c>
      <c r="D435" s="18">
        <v>14</v>
      </c>
      <c r="E435" s="155">
        <v>39756</v>
      </c>
      <c r="F435" s="36">
        <v>88377</v>
      </c>
      <c r="G435" s="37">
        <v>19539</v>
      </c>
      <c r="H435" s="37">
        <v>11198</v>
      </c>
      <c r="I435" s="37">
        <v>93355</v>
      </c>
      <c r="J435" s="37">
        <v>83799</v>
      </c>
      <c r="K435" s="37">
        <v>15000</v>
      </c>
      <c r="L435" s="37">
        <v>18000</v>
      </c>
      <c r="M435" s="37">
        <v>167650</v>
      </c>
      <c r="N435" s="37">
        <v>201374</v>
      </c>
      <c r="O435" s="37">
        <v>0</v>
      </c>
      <c r="P435" s="37">
        <v>0</v>
      </c>
      <c r="Q435" s="37">
        <v>54212</v>
      </c>
      <c r="R435" s="37">
        <v>68197</v>
      </c>
      <c r="S435" s="37">
        <v>0</v>
      </c>
      <c r="T435" s="37">
        <v>0</v>
      </c>
      <c r="U435" s="37">
        <v>72969</v>
      </c>
      <c r="V435" s="37">
        <v>0</v>
      </c>
      <c r="W435" s="37">
        <v>39518</v>
      </c>
      <c r="X435" s="37">
        <v>132226</v>
      </c>
      <c r="Y435" s="37">
        <v>951</v>
      </c>
      <c r="Z435" s="37">
        <v>951</v>
      </c>
      <c r="AA435" s="37">
        <v>167650</v>
      </c>
      <c r="AB435" s="37">
        <v>201374</v>
      </c>
      <c r="AC435" s="37">
        <v>0</v>
      </c>
      <c r="AD435" s="37">
        <v>0</v>
      </c>
      <c r="AE435" s="37">
        <v>46262</v>
      </c>
      <c r="AF435" s="168">
        <v>0.02</v>
      </c>
      <c r="AG435" s="37">
        <v>10177424.720000001</v>
      </c>
      <c r="AH435" s="37">
        <v>164045.56</v>
      </c>
      <c r="AI435" s="37">
        <v>93041.91</v>
      </c>
      <c r="AJ435" s="37">
        <v>94902.74</v>
      </c>
      <c r="AK435" s="37">
        <v>96800.8</v>
      </c>
      <c r="AL435" s="37">
        <v>98736.82</v>
      </c>
      <c r="AM435" s="37">
        <v>100711.55</v>
      </c>
      <c r="AN435" s="37">
        <v>102725.78</v>
      </c>
      <c r="AO435" s="37">
        <v>104780.3</v>
      </c>
      <c r="AP435" s="37">
        <v>106875.9</v>
      </c>
      <c r="AQ435" s="37">
        <v>109013.42</v>
      </c>
      <c r="AR435" s="37">
        <v>1071634.78</v>
      </c>
      <c r="AS435" s="37">
        <v>0</v>
      </c>
      <c r="AT435" s="37">
        <v>306000</v>
      </c>
      <c r="AU435" s="37">
        <v>1704175.2</v>
      </c>
      <c r="AV435" s="37">
        <v>0</v>
      </c>
      <c r="AW435" s="37">
        <v>0</v>
      </c>
      <c r="AX435" s="37">
        <v>0</v>
      </c>
      <c r="AY435" s="37">
        <v>0</v>
      </c>
      <c r="AZ435" s="37">
        <v>0</v>
      </c>
      <c r="BA435" s="37">
        <v>0</v>
      </c>
      <c r="BB435" s="37">
        <v>0</v>
      </c>
      <c r="BC435" s="37">
        <v>0</v>
      </c>
      <c r="BD435" s="37">
        <v>2010175.2</v>
      </c>
      <c r="BE435" s="37">
        <v>0</v>
      </c>
      <c r="BF435" s="37">
        <v>0</v>
      </c>
      <c r="BG435" s="37">
        <v>0</v>
      </c>
      <c r="BH435" s="37">
        <v>0</v>
      </c>
      <c r="BI435" s="37">
        <v>0</v>
      </c>
      <c r="BJ435" s="37">
        <v>0</v>
      </c>
      <c r="BK435" s="37">
        <v>0</v>
      </c>
      <c r="BL435" s="37">
        <v>0</v>
      </c>
      <c r="BM435" s="37">
        <v>0</v>
      </c>
      <c r="BN435" s="37">
        <v>0</v>
      </c>
      <c r="BO435" s="37">
        <v>0</v>
      </c>
      <c r="BP435" s="37">
        <v>0</v>
      </c>
      <c r="BQ435" s="37">
        <v>0</v>
      </c>
      <c r="BR435" s="37">
        <v>0</v>
      </c>
      <c r="BS435" s="37">
        <v>0</v>
      </c>
      <c r="BT435" s="37">
        <v>0</v>
      </c>
      <c r="BU435" s="37">
        <v>0</v>
      </c>
      <c r="BV435" s="37">
        <v>0</v>
      </c>
      <c r="BW435" s="37">
        <v>0</v>
      </c>
      <c r="BX435" s="37">
        <v>0</v>
      </c>
      <c r="BY435" s="37">
        <v>0</v>
      </c>
      <c r="BZ435" s="37">
        <v>0</v>
      </c>
      <c r="CA435" s="37">
        <v>0</v>
      </c>
      <c r="CB435" s="37">
        <v>0</v>
      </c>
      <c r="CC435" s="37">
        <v>0</v>
      </c>
      <c r="CD435" s="37">
        <v>71400</v>
      </c>
      <c r="CE435" s="37">
        <v>0</v>
      </c>
      <c r="CF435" s="37">
        <v>0</v>
      </c>
      <c r="CG435" s="37">
        <v>0</v>
      </c>
      <c r="CH435" s="37">
        <v>0</v>
      </c>
      <c r="CI435" s="37">
        <v>0</v>
      </c>
      <c r="CJ435" s="37">
        <v>0</v>
      </c>
      <c r="CK435" s="37">
        <v>0</v>
      </c>
      <c r="CL435" s="37">
        <v>0</v>
      </c>
      <c r="CM435" s="37">
        <v>0</v>
      </c>
      <c r="CN435" s="37">
        <v>71400</v>
      </c>
      <c r="CO435" s="37">
        <v>55012</v>
      </c>
      <c r="CP435" s="37">
        <v>74943.882229491312</v>
      </c>
      <c r="CQ435" s="37">
        <v>80780.046604320742</v>
      </c>
      <c r="CR435" s="37">
        <v>99443.812629210122</v>
      </c>
      <c r="CS435" s="37">
        <v>118107.61853697793</v>
      </c>
      <c r="CT435" s="37">
        <v>0</v>
      </c>
      <c r="CU435" s="37">
        <v>0</v>
      </c>
      <c r="CV435" s="37">
        <v>0</v>
      </c>
      <c r="CW435" s="37">
        <v>0</v>
      </c>
      <c r="CX435" s="37">
        <v>0</v>
      </c>
      <c r="CY435" s="37">
        <v>0</v>
      </c>
      <c r="CZ435" s="37">
        <v>373275.3600000001</v>
      </c>
      <c r="DA435" s="37">
        <v>0</v>
      </c>
      <c r="DB435" s="37">
        <v>20097.449269547502</v>
      </c>
      <c r="DC435" s="37">
        <v>21662.513874723758</v>
      </c>
      <c r="DD435" s="37">
        <v>26667.513345064981</v>
      </c>
      <c r="DE435" s="37">
        <v>31672.523510663792</v>
      </c>
      <c r="DF435" s="37">
        <v>0</v>
      </c>
      <c r="DG435" s="37">
        <v>0</v>
      </c>
      <c r="DH435" s="37">
        <v>0</v>
      </c>
      <c r="DI435" s="37">
        <v>0</v>
      </c>
      <c r="DJ435" s="37">
        <v>0</v>
      </c>
      <c r="DK435" s="37">
        <v>0</v>
      </c>
      <c r="DL435" s="37">
        <v>100100.00000000003</v>
      </c>
      <c r="DM435" s="37">
        <v>0</v>
      </c>
      <c r="DN435" s="37">
        <v>0</v>
      </c>
      <c r="DO435" s="37">
        <v>0</v>
      </c>
      <c r="DP435" s="37">
        <v>0</v>
      </c>
      <c r="DQ435" s="37">
        <v>0</v>
      </c>
      <c r="DR435" s="37">
        <v>0</v>
      </c>
      <c r="DS435" s="37">
        <v>0</v>
      </c>
      <c r="DT435" s="37">
        <v>0</v>
      </c>
      <c r="DU435" s="37">
        <v>0</v>
      </c>
      <c r="DV435" s="37">
        <v>0</v>
      </c>
      <c r="DW435" s="37">
        <v>0</v>
      </c>
      <c r="DX435" s="37">
        <v>0</v>
      </c>
      <c r="DY435" s="37">
        <v>0</v>
      </c>
      <c r="DZ435" s="37">
        <v>0</v>
      </c>
      <c r="EA435" s="37">
        <v>0</v>
      </c>
      <c r="EB435" s="37">
        <v>0</v>
      </c>
      <c r="EC435" s="37">
        <v>0</v>
      </c>
      <c r="ED435" s="37">
        <v>0</v>
      </c>
      <c r="EE435" s="37">
        <v>0</v>
      </c>
      <c r="EF435" s="37">
        <v>0</v>
      </c>
      <c r="EG435" s="37">
        <v>0</v>
      </c>
      <c r="EH435" s="37">
        <v>0</v>
      </c>
      <c r="EI435" s="37">
        <v>0</v>
      </c>
      <c r="EJ435" s="37">
        <v>0</v>
      </c>
      <c r="EK435" s="161" t="s">
        <v>2310</v>
      </c>
      <c r="EL435" s="294" t="s">
        <v>1124</v>
      </c>
    </row>
    <row r="436" spans="1:142" ht="15" customHeight="1" x14ac:dyDescent="0.35">
      <c r="A436" s="34"/>
      <c r="B436" s="313">
        <v>32080</v>
      </c>
      <c r="C436" s="8" t="s">
        <v>265</v>
      </c>
      <c r="D436" s="18">
        <v>17</v>
      </c>
      <c r="E436" s="155"/>
      <c r="F436" s="36"/>
      <c r="G436" s="37"/>
      <c r="H436" s="37"/>
      <c r="I436" s="37"/>
      <c r="J436" s="37"/>
      <c r="K436" s="37"/>
      <c r="L436" s="37"/>
      <c r="M436" s="37" t="s">
        <v>1124</v>
      </c>
      <c r="N436" s="37" t="s">
        <v>1124</v>
      </c>
      <c r="O436" s="37"/>
      <c r="P436" s="37"/>
      <c r="Q436" s="37"/>
      <c r="R436" s="37"/>
      <c r="S436" s="37"/>
      <c r="T436" s="37"/>
      <c r="U436" s="37"/>
      <c r="V436" s="37"/>
      <c r="W436" s="37"/>
      <c r="X436" s="37"/>
      <c r="Y436" s="37"/>
      <c r="Z436" s="37"/>
      <c r="AA436" s="37" t="s">
        <v>1124</v>
      </c>
      <c r="AB436" s="37" t="s">
        <v>1124</v>
      </c>
      <c r="AC436" s="37"/>
      <c r="AD436" s="37"/>
      <c r="AE436" s="37"/>
      <c r="AF436" s="168"/>
      <c r="AG436" s="37"/>
      <c r="AH436" s="37"/>
      <c r="AI436" s="37"/>
      <c r="AJ436" s="37"/>
      <c r="AK436" s="37"/>
      <c r="AL436" s="37"/>
      <c r="AM436" s="37"/>
      <c r="AN436" s="37"/>
      <c r="AO436" s="37"/>
      <c r="AP436" s="37"/>
      <c r="AQ436" s="37"/>
      <c r="AR436" s="37" t="s">
        <v>1124</v>
      </c>
      <c r="AS436" s="37"/>
      <c r="AT436" s="37"/>
      <c r="AU436" s="37"/>
      <c r="AV436" s="37"/>
      <c r="AW436" s="37"/>
      <c r="AX436" s="37"/>
      <c r="AY436" s="37"/>
      <c r="AZ436" s="37"/>
      <c r="BA436" s="37"/>
      <c r="BB436" s="37"/>
      <c r="BC436" s="37"/>
      <c r="BD436" s="37" t="s">
        <v>1124</v>
      </c>
      <c r="BE436" s="37"/>
      <c r="BF436" s="37"/>
      <c r="BG436" s="37"/>
      <c r="BH436" s="37"/>
      <c r="BI436" s="37"/>
      <c r="BJ436" s="37"/>
      <c r="BK436" s="37"/>
      <c r="BL436" s="37"/>
      <c r="BM436" s="37"/>
      <c r="BN436" s="37"/>
      <c r="BO436" s="37"/>
      <c r="BP436" s="37">
        <v>0</v>
      </c>
      <c r="BQ436" s="37"/>
      <c r="BR436" s="37"/>
      <c r="BS436" s="37"/>
      <c r="BT436" s="37"/>
      <c r="BU436" s="37"/>
      <c r="BV436" s="37"/>
      <c r="BW436" s="37"/>
      <c r="BX436" s="37"/>
      <c r="BY436" s="37"/>
      <c r="BZ436" s="37"/>
      <c r="CA436" s="37"/>
      <c r="CB436" s="37" t="s">
        <v>1124</v>
      </c>
      <c r="CC436" s="37"/>
      <c r="CD436" s="37"/>
      <c r="CE436" s="37"/>
      <c r="CF436" s="37"/>
      <c r="CG436" s="37"/>
      <c r="CH436" s="37"/>
      <c r="CI436" s="37"/>
      <c r="CJ436" s="37"/>
      <c r="CK436" s="37"/>
      <c r="CL436" s="37"/>
      <c r="CM436" s="37"/>
      <c r="CN436" s="37" t="s">
        <v>1124</v>
      </c>
      <c r="CO436" s="37"/>
      <c r="CP436" s="37"/>
      <c r="CQ436" s="37"/>
      <c r="CR436" s="37"/>
      <c r="CS436" s="37"/>
      <c r="CT436" s="37"/>
      <c r="CU436" s="37"/>
      <c r="CV436" s="37"/>
      <c r="CW436" s="37"/>
      <c r="CX436" s="37"/>
      <c r="CY436" s="37"/>
      <c r="CZ436" s="37" t="s">
        <v>1124</v>
      </c>
      <c r="DA436" s="37"/>
      <c r="DB436" s="37"/>
      <c r="DC436" s="37"/>
      <c r="DD436" s="37"/>
      <c r="DE436" s="37"/>
      <c r="DF436" s="37"/>
      <c r="DG436" s="37"/>
      <c r="DH436" s="37"/>
      <c r="DI436" s="37"/>
      <c r="DJ436" s="37"/>
      <c r="DK436" s="37"/>
      <c r="DL436" s="37" t="s">
        <v>1124</v>
      </c>
      <c r="DM436" s="37"/>
      <c r="DN436" s="37"/>
      <c r="DO436" s="37"/>
      <c r="DP436" s="37"/>
      <c r="DQ436" s="37"/>
      <c r="DR436" s="37"/>
      <c r="DS436" s="37"/>
      <c r="DT436" s="37"/>
      <c r="DU436" s="37"/>
      <c r="DV436" s="37"/>
      <c r="DW436" s="37"/>
      <c r="DX436" s="37" t="s">
        <v>1124</v>
      </c>
      <c r="DY436" s="37"/>
      <c r="DZ436" s="37"/>
      <c r="EA436" s="37"/>
      <c r="EB436" s="37"/>
      <c r="EC436" s="37"/>
      <c r="ED436" s="37"/>
      <c r="EE436" s="37"/>
      <c r="EF436" s="37"/>
      <c r="EG436" s="37"/>
      <c r="EH436" s="37"/>
      <c r="EI436" s="37"/>
      <c r="EJ436" s="37" t="s">
        <v>1124</v>
      </c>
      <c r="EK436" s="161"/>
      <c r="EL436" s="294"/>
    </row>
    <row r="437" spans="1:142" ht="15" customHeight="1" x14ac:dyDescent="0.35">
      <c r="A437" s="34"/>
      <c r="B437" s="313">
        <v>35005</v>
      </c>
      <c r="C437" s="8" t="s">
        <v>303</v>
      </c>
      <c r="D437" s="18">
        <v>4</v>
      </c>
      <c r="E437" s="155"/>
      <c r="F437" s="36"/>
      <c r="G437" s="37"/>
      <c r="H437" s="37"/>
      <c r="I437" s="37"/>
      <c r="J437" s="37"/>
      <c r="K437" s="37"/>
      <c r="L437" s="37"/>
      <c r="M437" s="37" t="s">
        <v>1124</v>
      </c>
      <c r="N437" s="37" t="s">
        <v>1124</v>
      </c>
      <c r="O437" s="37"/>
      <c r="P437" s="37"/>
      <c r="Q437" s="37"/>
      <c r="R437" s="37"/>
      <c r="S437" s="37"/>
      <c r="T437" s="37"/>
      <c r="U437" s="37"/>
      <c r="V437" s="37"/>
      <c r="W437" s="37"/>
      <c r="X437" s="37"/>
      <c r="Y437" s="37"/>
      <c r="Z437" s="37"/>
      <c r="AA437" s="37" t="s">
        <v>1124</v>
      </c>
      <c r="AB437" s="37" t="s">
        <v>1124</v>
      </c>
      <c r="AC437" s="37"/>
      <c r="AD437" s="37"/>
      <c r="AE437" s="37"/>
      <c r="AF437" s="168"/>
      <c r="AG437" s="37"/>
      <c r="AH437" s="37"/>
      <c r="AI437" s="37"/>
      <c r="AJ437" s="37"/>
      <c r="AK437" s="37"/>
      <c r="AL437" s="37"/>
      <c r="AM437" s="37"/>
      <c r="AN437" s="37"/>
      <c r="AO437" s="37"/>
      <c r="AP437" s="37"/>
      <c r="AQ437" s="37"/>
      <c r="AR437" s="37" t="s">
        <v>1124</v>
      </c>
      <c r="AS437" s="37"/>
      <c r="AT437" s="37"/>
      <c r="AU437" s="37"/>
      <c r="AV437" s="37"/>
      <c r="AW437" s="37"/>
      <c r="AX437" s="37"/>
      <c r="AY437" s="37"/>
      <c r="AZ437" s="37"/>
      <c r="BA437" s="37"/>
      <c r="BB437" s="37"/>
      <c r="BC437" s="37"/>
      <c r="BD437" s="37" t="s">
        <v>1124</v>
      </c>
      <c r="BE437" s="37"/>
      <c r="BF437" s="37"/>
      <c r="BG437" s="37"/>
      <c r="BH437" s="37"/>
      <c r="BI437" s="37"/>
      <c r="BJ437" s="37"/>
      <c r="BK437" s="37"/>
      <c r="BL437" s="37"/>
      <c r="BM437" s="37"/>
      <c r="BN437" s="37"/>
      <c r="BO437" s="37"/>
      <c r="BP437" s="37">
        <v>0</v>
      </c>
      <c r="BQ437" s="37"/>
      <c r="BR437" s="37"/>
      <c r="BS437" s="37"/>
      <c r="BT437" s="37"/>
      <c r="BU437" s="37"/>
      <c r="BV437" s="37"/>
      <c r="BW437" s="37"/>
      <c r="BX437" s="37"/>
      <c r="BY437" s="37"/>
      <c r="BZ437" s="37"/>
      <c r="CA437" s="37"/>
      <c r="CB437" s="37" t="s">
        <v>1124</v>
      </c>
      <c r="CC437" s="37"/>
      <c r="CD437" s="37"/>
      <c r="CE437" s="37"/>
      <c r="CF437" s="37"/>
      <c r="CG437" s="37"/>
      <c r="CH437" s="37"/>
      <c r="CI437" s="37"/>
      <c r="CJ437" s="37"/>
      <c r="CK437" s="37"/>
      <c r="CL437" s="37"/>
      <c r="CM437" s="37"/>
      <c r="CN437" s="37" t="s">
        <v>1124</v>
      </c>
      <c r="CO437" s="37"/>
      <c r="CP437" s="37"/>
      <c r="CQ437" s="37"/>
      <c r="CR437" s="37"/>
      <c r="CS437" s="37"/>
      <c r="CT437" s="37"/>
      <c r="CU437" s="37"/>
      <c r="CV437" s="37"/>
      <c r="CW437" s="37"/>
      <c r="CX437" s="37"/>
      <c r="CY437" s="37"/>
      <c r="CZ437" s="37" t="s">
        <v>1124</v>
      </c>
      <c r="DA437" s="37"/>
      <c r="DB437" s="37"/>
      <c r="DC437" s="37"/>
      <c r="DD437" s="37"/>
      <c r="DE437" s="37"/>
      <c r="DF437" s="37"/>
      <c r="DG437" s="37"/>
      <c r="DH437" s="37"/>
      <c r="DI437" s="37"/>
      <c r="DJ437" s="37"/>
      <c r="DK437" s="37"/>
      <c r="DL437" s="37" t="s">
        <v>1124</v>
      </c>
      <c r="DM437" s="37"/>
      <c r="DN437" s="37"/>
      <c r="DO437" s="37"/>
      <c r="DP437" s="37"/>
      <c r="DQ437" s="37"/>
      <c r="DR437" s="37"/>
      <c r="DS437" s="37"/>
      <c r="DT437" s="37"/>
      <c r="DU437" s="37"/>
      <c r="DV437" s="37"/>
      <c r="DW437" s="37"/>
      <c r="DX437" s="37" t="s">
        <v>1124</v>
      </c>
      <c r="DY437" s="37"/>
      <c r="DZ437" s="37"/>
      <c r="EA437" s="37"/>
      <c r="EB437" s="37"/>
      <c r="EC437" s="37"/>
      <c r="ED437" s="37"/>
      <c r="EE437" s="37"/>
      <c r="EF437" s="37"/>
      <c r="EG437" s="37"/>
      <c r="EH437" s="37"/>
      <c r="EI437" s="37"/>
      <c r="EJ437" s="37" t="s">
        <v>1124</v>
      </c>
      <c r="EK437" s="161"/>
      <c r="EL437" s="294"/>
    </row>
    <row r="438" spans="1:142" ht="15" customHeight="1" x14ac:dyDescent="0.35">
      <c r="A438" s="34"/>
      <c r="B438" s="313">
        <v>79010</v>
      </c>
      <c r="C438" s="8" t="s">
        <v>787</v>
      </c>
      <c r="D438" s="18">
        <v>15</v>
      </c>
      <c r="E438" s="155">
        <v>35497</v>
      </c>
      <c r="F438" s="36">
        <v>0</v>
      </c>
      <c r="G438" s="37">
        <v>45800</v>
      </c>
      <c r="H438" s="37">
        <v>0</v>
      </c>
      <c r="I438" s="37">
        <v>217600</v>
      </c>
      <c r="J438" s="37">
        <v>0</v>
      </c>
      <c r="K438" s="37">
        <v>5324.55</v>
      </c>
      <c r="L438" s="37">
        <v>0</v>
      </c>
      <c r="M438" s="37">
        <v>304221.55</v>
      </c>
      <c r="N438" s="37">
        <v>0</v>
      </c>
      <c r="O438" s="37">
        <v>0</v>
      </c>
      <c r="P438" s="37">
        <v>0</v>
      </c>
      <c r="Q438" s="37">
        <v>59171</v>
      </c>
      <c r="R438" s="37">
        <v>0</v>
      </c>
      <c r="S438" s="37">
        <v>0</v>
      </c>
      <c r="T438" s="37">
        <v>0</v>
      </c>
      <c r="U438" s="37">
        <v>0</v>
      </c>
      <c r="V438" s="37">
        <v>0</v>
      </c>
      <c r="W438" s="37">
        <v>245051</v>
      </c>
      <c r="X438" s="37">
        <v>0</v>
      </c>
      <c r="Y438" s="37">
        <v>0</v>
      </c>
      <c r="Z438" s="37">
        <v>0</v>
      </c>
      <c r="AA438" s="37">
        <v>304222</v>
      </c>
      <c r="AB438" s="37">
        <v>0</v>
      </c>
      <c r="AC438" s="37">
        <v>0</v>
      </c>
      <c r="AD438" s="37">
        <v>0</v>
      </c>
      <c r="AE438" s="37">
        <v>0</v>
      </c>
      <c r="AF438" s="168">
        <v>0.02</v>
      </c>
      <c r="AG438" s="37">
        <v>4419583.58</v>
      </c>
      <c r="AH438" s="37">
        <v>26053.55</v>
      </c>
      <c r="AI438" s="37">
        <v>26574.63</v>
      </c>
      <c r="AJ438" s="37">
        <v>27106.12</v>
      </c>
      <c r="AK438" s="37">
        <v>27648.240000000002</v>
      </c>
      <c r="AL438" s="37">
        <v>28201.200000000001</v>
      </c>
      <c r="AM438" s="37">
        <v>28765.23</v>
      </c>
      <c r="AN438" s="37">
        <v>29340.53</v>
      </c>
      <c r="AO438" s="37">
        <v>29927.34</v>
      </c>
      <c r="AP438" s="37">
        <v>30525.89</v>
      </c>
      <c r="AQ438" s="37">
        <v>31136.41</v>
      </c>
      <c r="AR438" s="37">
        <v>285279.14</v>
      </c>
      <c r="AS438" s="37">
        <v>0</v>
      </c>
      <c r="AT438" s="37">
        <v>0</v>
      </c>
      <c r="AU438" s="37">
        <v>0</v>
      </c>
      <c r="AV438" s="37">
        <v>0</v>
      </c>
      <c r="AW438" s="37">
        <v>0</v>
      </c>
      <c r="AX438" s="37">
        <v>0</v>
      </c>
      <c r="AY438" s="37">
        <v>0</v>
      </c>
      <c r="AZ438" s="37">
        <v>0</v>
      </c>
      <c r="BA438" s="37">
        <v>0</v>
      </c>
      <c r="BB438" s="37">
        <v>0</v>
      </c>
      <c r="BC438" s="37">
        <v>0</v>
      </c>
      <c r="BD438" s="37">
        <v>0</v>
      </c>
      <c r="BE438" s="37">
        <v>0</v>
      </c>
      <c r="BF438" s="37">
        <v>0</v>
      </c>
      <c r="BG438" s="37">
        <v>0</v>
      </c>
      <c r="BH438" s="37">
        <v>0</v>
      </c>
      <c r="BI438" s="37">
        <v>0</v>
      </c>
      <c r="BJ438" s="37">
        <v>0</v>
      </c>
      <c r="BK438" s="37">
        <v>0</v>
      </c>
      <c r="BL438" s="37">
        <v>0</v>
      </c>
      <c r="BM438" s="37">
        <v>0</v>
      </c>
      <c r="BN438" s="37">
        <v>0</v>
      </c>
      <c r="BO438" s="37">
        <v>0</v>
      </c>
      <c r="BP438" s="37">
        <v>0</v>
      </c>
      <c r="BQ438" s="37">
        <v>0</v>
      </c>
      <c r="BR438" s="37">
        <v>0</v>
      </c>
      <c r="BS438" s="37">
        <v>0</v>
      </c>
      <c r="BT438" s="37">
        <v>0</v>
      </c>
      <c r="BU438" s="37">
        <v>0</v>
      </c>
      <c r="BV438" s="37">
        <v>0</v>
      </c>
      <c r="BW438" s="37">
        <v>0</v>
      </c>
      <c r="BX438" s="37">
        <v>0</v>
      </c>
      <c r="BY438" s="37">
        <v>0</v>
      </c>
      <c r="BZ438" s="37">
        <v>0</v>
      </c>
      <c r="CA438" s="37">
        <v>0</v>
      </c>
      <c r="CB438" s="37">
        <v>0</v>
      </c>
      <c r="CC438" s="37">
        <v>0</v>
      </c>
      <c r="CD438" s="37">
        <v>0</v>
      </c>
      <c r="CE438" s="37">
        <v>0</v>
      </c>
      <c r="CF438" s="37">
        <v>0</v>
      </c>
      <c r="CG438" s="37">
        <v>0</v>
      </c>
      <c r="CH438" s="37">
        <v>0</v>
      </c>
      <c r="CI438" s="37">
        <v>0</v>
      </c>
      <c r="CJ438" s="37">
        <v>0</v>
      </c>
      <c r="CK438" s="37">
        <v>0</v>
      </c>
      <c r="CL438" s="37">
        <v>0</v>
      </c>
      <c r="CM438" s="37">
        <v>0</v>
      </c>
      <c r="CN438" s="37">
        <v>0</v>
      </c>
      <c r="CO438" s="37">
        <v>0</v>
      </c>
      <c r="CP438" s="37">
        <v>0</v>
      </c>
      <c r="CQ438" s="37">
        <v>0</v>
      </c>
      <c r="CR438" s="37">
        <v>0</v>
      </c>
      <c r="CS438" s="37">
        <v>0</v>
      </c>
      <c r="CT438" s="37">
        <v>0</v>
      </c>
      <c r="CU438" s="37">
        <v>0</v>
      </c>
      <c r="CV438" s="37">
        <v>0</v>
      </c>
      <c r="CW438" s="37">
        <v>0</v>
      </c>
      <c r="CX438" s="37">
        <v>0</v>
      </c>
      <c r="CY438" s="37">
        <v>0</v>
      </c>
      <c r="CZ438" s="37">
        <v>0</v>
      </c>
      <c r="DA438" s="37">
        <v>0</v>
      </c>
      <c r="DB438" s="37">
        <v>0</v>
      </c>
      <c r="DC438" s="37">
        <v>0</v>
      </c>
      <c r="DD438" s="37">
        <v>0</v>
      </c>
      <c r="DE438" s="37">
        <v>0</v>
      </c>
      <c r="DF438" s="37">
        <v>0</v>
      </c>
      <c r="DG438" s="37">
        <v>0</v>
      </c>
      <c r="DH438" s="37">
        <v>0</v>
      </c>
      <c r="DI438" s="37">
        <v>0</v>
      </c>
      <c r="DJ438" s="37">
        <v>0</v>
      </c>
      <c r="DK438" s="37">
        <v>0</v>
      </c>
      <c r="DL438" s="37">
        <v>0</v>
      </c>
      <c r="DM438" s="37">
        <v>0</v>
      </c>
      <c r="DN438" s="37">
        <v>0</v>
      </c>
      <c r="DO438" s="37">
        <v>0</v>
      </c>
      <c r="DP438" s="37">
        <v>0</v>
      </c>
      <c r="DQ438" s="37">
        <v>0</v>
      </c>
      <c r="DR438" s="37">
        <v>0</v>
      </c>
      <c r="DS438" s="37">
        <v>0</v>
      </c>
      <c r="DT438" s="37">
        <v>0</v>
      </c>
      <c r="DU438" s="37">
        <v>0</v>
      </c>
      <c r="DV438" s="37">
        <v>0</v>
      </c>
      <c r="DW438" s="37">
        <v>0</v>
      </c>
      <c r="DX438" s="37">
        <v>0</v>
      </c>
      <c r="DY438" s="37">
        <v>0</v>
      </c>
      <c r="DZ438" s="37">
        <v>0</v>
      </c>
      <c r="EA438" s="37">
        <v>0</v>
      </c>
      <c r="EB438" s="37">
        <v>0</v>
      </c>
      <c r="EC438" s="37">
        <v>0</v>
      </c>
      <c r="ED438" s="37">
        <v>0</v>
      </c>
      <c r="EE438" s="37">
        <v>0</v>
      </c>
      <c r="EF438" s="37">
        <v>0</v>
      </c>
      <c r="EG438" s="37">
        <v>0</v>
      </c>
      <c r="EH438" s="37">
        <v>0</v>
      </c>
      <c r="EI438" s="37">
        <v>0</v>
      </c>
      <c r="EJ438" s="37">
        <v>0</v>
      </c>
      <c r="EK438" s="161" t="s">
        <v>1124</v>
      </c>
      <c r="EL438" s="294" t="s">
        <v>1124</v>
      </c>
    </row>
    <row r="439" spans="1:142" ht="15" customHeight="1" x14ac:dyDescent="0.35">
      <c r="A439" s="34"/>
      <c r="B439" s="313">
        <v>23015</v>
      </c>
      <c r="C439" s="8" t="s">
        <v>162</v>
      </c>
      <c r="D439" s="18">
        <v>3</v>
      </c>
      <c r="E439" s="155"/>
      <c r="F439" s="36"/>
      <c r="G439" s="37"/>
      <c r="H439" s="37"/>
      <c r="I439" s="37"/>
      <c r="J439" s="37"/>
      <c r="K439" s="37"/>
      <c r="L439" s="37"/>
      <c r="M439" s="37" t="s">
        <v>1124</v>
      </c>
      <c r="N439" s="37" t="s">
        <v>1124</v>
      </c>
      <c r="O439" s="37"/>
      <c r="P439" s="37"/>
      <c r="Q439" s="37"/>
      <c r="R439" s="37"/>
      <c r="S439" s="37"/>
      <c r="T439" s="37"/>
      <c r="U439" s="37"/>
      <c r="V439" s="37"/>
      <c r="W439" s="37"/>
      <c r="X439" s="37"/>
      <c r="Y439" s="37"/>
      <c r="Z439" s="37"/>
      <c r="AA439" s="37" t="s">
        <v>1124</v>
      </c>
      <c r="AB439" s="37" t="s">
        <v>1124</v>
      </c>
      <c r="AC439" s="37"/>
      <c r="AD439" s="37"/>
      <c r="AE439" s="37"/>
      <c r="AF439" s="168"/>
      <c r="AG439" s="37"/>
      <c r="AH439" s="37"/>
      <c r="AI439" s="37"/>
      <c r="AJ439" s="37"/>
      <c r="AK439" s="37"/>
      <c r="AL439" s="37"/>
      <c r="AM439" s="37"/>
      <c r="AN439" s="37"/>
      <c r="AO439" s="37"/>
      <c r="AP439" s="37"/>
      <c r="AQ439" s="37"/>
      <c r="AR439" s="37" t="s">
        <v>1124</v>
      </c>
      <c r="AS439" s="37"/>
      <c r="AT439" s="37"/>
      <c r="AU439" s="37"/>
      <c r="AV439" s="37"/>
      <c r="AW439" s="37"/>
      <c r="AX439" s="37"/>
      <c r="AY439" s="37"/>
      <c r="AZ439" s="37"/>
      <c r="BA439" s="37"/>
      <c r="BB439" s="37"/>
      <c r="BC439" s="37"/>
      <c r="BD439" s="37" t="s">
        <v>1124</v>
      </c>
      <c r="BE439" s="37"/>
      <c r="BF439" s="37"/>
      <c r="BG439" s="37"/>
      <c r="BH439" s="37"/>
      <c r="BI439" s="37"/>
      <c r="BJ439" s="37"/>
      <c r="BK439" s="37"/>
      <c r="BL439" s="37"/>
      <c r="BM439" s="37"/>
      <c r="BN439" s="37"/>
      <c r="BO439" s="37"/>
      <c r="BP439" s="37">
        <v>0</v>
      </c>
      <c r="BQ439" s="37"/>
      <c r="BR439" s="37"/>
      <c r="BS439" s="37"/>
      <c r="BT439" s="37"/>
      <c r="BU439" s="37"/>
      <c r="BV439" s="37"/>
      <c r="BW439" s="37"/>
      <c r="BX439" s="37"/>
      <c r="BY439" s="37"/>
      <c r="BZ439" s="37"/>
      <c r="CA439" s="37"/>
      <c r="CB439" s="37" t="s">
        <v>1124</v>
      </c>
      <c r="CC439" s="37"/>
      <c r="CD439" s="37"/>
      <c r="CE439" s="37"/>
      <c r="CF439" s="37"/>
      <c r="CG439" s="37"/>
      <c r="CH439" s="37"/>
      <c r="CI439" s="37"/>
      <c r="CJ439" s="37"/>
      <c r="CK439" s="37"/>
      <c r="CL439" s="37"/>
      <c r="CM439" s="37"/>
      <c r="CN439" s="37" t="s">
        <v>1124</v>
      </c>
      <c r="CO439" s="37"/>
      <c r="CP439" s="37"/>
      <c r="CQ439" s="37"/>
      <c r="CR439" s="37"/>
      <c r="CS439" s="37"/>
      <c r="CT439" s="37"/>
      <c r="CU439" s="37"/>
      <c r="CV439" s="37"/>
      <c r="CW439" s="37"/>
      <c r="CX439" s="37"/>
      <c r="CY439" s="37"/>
      <c r="CZ439" s="37" t="s">
        <v>1124</v>
      </c>
      <c r="DA439" s="37"/>
      <c r="DB439" s="37"/>
      <c r="DC439" s="37"/>
      <c r="DD439" s="37"/>
      <c r="DE439" s="37"/>
      <c r="DF439" s="37"/>
      <c r="DG439" s="37"/>
      <c r="DH439" s="37"/>
      <c r="DI439" s="37"/>
      <c r="DJ439" s="37"/>
      <c r="DK439" s="37"/>
      <c r="DL439" s="37" t="s">
        <v>1124</v>
      </c>
      <c r="DM439" s="37"/>
      <c r="DN439" s="37"/>
      <c r="DO439" s="37"/>
      <c r="DP439" s="37"/>
      <c r="DQ439" s="37"/>
      <c r="DR439" s="37"/>
      <c r="DS439" s="37"/>
      <c r="DT439" s="37"/>
      <c r="DU439" s="37"/>
      <c r="DV439" s="37"/>
      <c r="DW439" s="37"/>
      <c r="DX439" s="37" t="s">
        <v>1124</v>
      </c>
      <c r="DY439" s="37"/>
      <c r="DZ439" s="37"/>
      <c r="EA439" s="37"/>
      <c r="EB439" s="37"/>
      <c r="EC439" s="37"/>
      <c r="ED439" s="37"/>
      <c r="EE439" s="37"/>
      <c r="EF439" s="37"/>
      <c r="EG439" s="37"/>
      <c r="EH439" s="37"/>
      <c r="EI439" s="37"/>
      <c r="EJ439" s="37" t="s">
        <v>1124</v>
      </c>
      <c r="EK439" s="161"/>
      <c r="EL439" s="294"/>
    </row>
    <row r="440" spans="1:142" ht="15" customHeight="1" x14ac:dyDescent="0.35">
      <c r="A440" s="34"/>
      <c r="B440" s="313">
        <v>30010</v>
      </c>
      <c r="C440" s="8" t="s">
        <v>218</v>
      </c>
      <c r="D440" s="18">
        <v>5</v>
      </c>
      <c r="E440" s="155">
        <v>10929</v>
      </c>
      <c r="F440" s="36">
        <v>14698</v>
      </c>
      <c r="G440" s="37">
        <v>6128</v>
      </c>
      <c r="H440" s="37">
        <v>5881</v>
      </c>
      <c r="I440" s="37">
        <v>30315.24</v>
      </c>
      <c r="J440" s="37">
        <v>12484.76</v>
      </c>
      <c r="K440" s="37">
        <v>210</v>
      </c>
      <c r="L440" s="37">
        <v>210</v>
      </c>
      <c r="M440" s="37">
        <v>47582.240000000005</v>
      </c>
      <c r="N440" s="37">
        <v>33273.760000000002</v>
      </c>
      <c r="O440" s="37">
        <v>0</v>
      </c>
      <c r="P440" s="37">
        <v>0</v>
      </c>
      <c r="Q440" s="37">
        <v>28488.32</v>
      </c>
      <c r="R440" s="37">
        <v>20000</v>
      </c>
      <c r="S440" s="37">
        <v>0</v>
      </c>
      <c r="T440" s="37">
        <v>0</v>
      </c>
      <c r="U440" s="37">
        <v>0</v>
      </c>
      <c r="V440" s="37">
        <v>0</v>
      </c>
      <c r="W440" s="37">
        <v>19430.370000000003</v>
      </c>
      <c r="X440" s="37">
        <v>13798.660000000003</v>
      </c>
      <c r="Y440" s="37">
        <v>0</v>
      </c>
      <c r="Z440" s="37">
        <v>0</v>
      </c>
      <c r="AA440" s="37">
        <v>47918.69</v>
      </c>
      <c r="AB440" s="37">
        <v>33798.660000000003</v>
      </c>
      <c r="AC440" s="37">
        <v>861</v>
      </c>
      <c r="AD440" s="37">
        <v>0</v>
      </c>
      <c r="AE440" s="37">
        <v>0</v>
      </c>
      <c r="AF440" s="168">
        <v>0.02</v>
      </c>
      <c r="AG440" s="37">
        <v>6595054.4199999999</v>
      </c>
      <c r="AH440" s="37">
        <v>37545.43</v>
      </c>
      <c r="AI440" s="37">
        <v>38296.339999999997</v>
      </c>
      <c r="AJ440" s="37">
        <v>39062.269999999997</v>
      </c>
      <c r="AK440" s="37">
        <v>39843.51</v>
      </c>
      <c r="AL440" s="37">
        <v>44581.95</v>
      </c>
      <c r="AM440" s="37">
        <v>41453.19</v>
      </c>
      <c r="AN440" s="37">
        <v>42282.25</v>
      </c>
      <c r="AO440" s="37">
        <v>43127.9</v>
      </c>
      <c r="AP440" s="37">
        <v>50085.43</v>
      </c>
      <c r="AQ440" s="37">
        <v>44870.27</v>
      </c>
      <c r="AR440" s="37">
        <v>421148.54</v>
      </c>
      <c r="AS440" s="37">
        <v>0</v>
      </c>
      <c r="AT440" s="37">
        <v>0</v>
      </c>
      <c r="AU440" s="37">
        <v>0</v>
      </c>
      <c r="AV440" s="37">
        <v>0</v>
      </c>
      <c r="AW440" s="37">
        <v>0</v>
      </c>
      <c r="AX440" s="37">
        <v>0</v>
      </c>
      <c r="AY440" s="37">
        <v>0</v>
      </c>
      <c r="AZ440" s="37">
        <v>0</v>
      </c>
      <c r="BA440" s="37">
        <v>0</v>
      </c>
      <c r="BB440" s="37">
        <v>0</v>
      </c>
      <c r="BC440" s="37">
        <v>0</v>
      </c>
      <c r="BD440" s="37">
        <v>0</v>
      </c>
      <c r="BE440" s="37">
        <v>0</v>
      </c>
      <c r="BF440" s="37">
        <v>0</v>
      </c>
      <c r="BG440" s="37">
        <v>0</v>
      </c>
      <c r="BH440" s="37">
        <v>0</v>
      </c>
      <c r="BI440" s="37">
        <v>0</v>
      </c>
      <c r="BJ440" s="37">
        <v>0</v>
      </c>
      <c r="BK440" s="37">
        <v>0</v>
      </c>
      <c r="BL440" s="37">
        <v>0</v>
      </c>
      <c r="BM440" s="37">
        <v>0</v>
      </c>
      <c r="BN440" s="37">
        <v>0</v>
      </c>
      <c r="BO440" s="37">
        <v>0</v>
      </c>
      <c r="BP440" s="37">
        <v>0</v>
      </c>
      <c r="BQ440" s="37">
        <v>0</v>
      </c>
      <c r="BR440" s="37">
        <v>0</v>
      </c>
      <c r="BS440" s="37">
        <v>0</v>
      </c>
      <c r="BT440" s="37">
        <v>0</v>
      </c>
      <c r="BU440" s="37">
        <v>0</v>
      </c>
      <c r="BV440" s="37">
        <v>0</v>
      </c>
      <c r="BW440" s="37">
        <v>0</v>
      </c>
      <c r="BX440" s="37">
        <v>0</v>
      </c>
      <c r="BY440" s="37">
        <v>0</v>
      </c>
      <c r="BZ440" s="37">
        <v>0</v>
      </c>
      <c r="CA440" s="37">
        <v>0</v>
      </c>
      <c r="CB440" s="37">
        <v>0</v>
      </c>
      <c r="CC440" s="37">
        <v>0</v>
      </c>
      <c r="CD440" s="37">
        <v>0</v>
      </c>
      <c r="CE440" s="37">
        <v>0</v>
      </c>
      <c r="CF440" s="37">
        <v>0</v>
      </c>
      <c r="CG440" s="37">
        <v>0</v>
      </c>
      <c r="CH440" s="37">
        <v>0</v>
      </c>
      <c r="CI440" s="37">
        <v>0</v>
      </c>
      <c r="CJ440" s="37">
        <v>0</v>
      </c>
      <c r="CK440" s="37">
        <v>0</v>
      </c>
      <c r="CL440" s="37">
        <v>0</v>
      </c>
      <c r="CM440" s="37">
        <v>0</v>
      </c>
      <c r="CN440" s="37">
        <v>0</v>
      </c>
      <c r="CO440" s="37">
        <v>0</v>
      </c>
      <c r="CP440" s="37">
        <v>0</v>
      </c>
      <c r="CQ440" s="37">
        <v>0</v>
      </c>
      <c r="CR440" s="37">
        <v>0</v>
      </c>
      <c r="CS440" s="37">
        <v>0</v>
      </c>
      <c r="CT440" s="37">
        <v>0</v>
      </c>
      <c r="CU440" s="37">
        <v>0</v>
      </c>
      <c r="CV440" s="37">
        <v>0</v>
      </c>
      <c r="CW440" s="37">
        <v>0</v>
      </c>
      <c r="CX440" s="37">
        <v>0</v>
      </c>
      <c r="CY440" s="37">
        <v>0</v>
      </c>
      <c r="CZ440" s="37">
        <v>0</v>
      </c>
      <c r="DA440" s="37">
        <v>0</v>
      </c>
      <c r="DB440" s="37">
        <v>0</v>
      </c>
      <c r="DC440" s="37">
        <v>0</v>
      </c>
      <c r="DD440" s="37">
        <v>0</v>
      </c>
      <c r="DE440" s="37">
        <v>0</v>
      </c>
      <c r="DF440" s="37">
        <v>0</v>
      </c>
      <c r="DG440" s="37">
        <v>0</v>
      </c>
      <c r="DH440" s="37">
        <v>0</v>
      </c>
      <c r="DI440" s="37">
        <v>0</v>
      </c>
      <c r="DJ440" s="37">
        <v>0</v>
      </c>
      <c r="DK440" s="37">
        <v>0</v>
      </c>
      <c r="DL440" s="37">
        <v>0</v>
      </c>
      <c r="DM440" s="37">
        <v>0</v>
      </c>
      <c r="DN440" s="37">
        <v>0</v>
      </c>
      <c r="DO440" s="37">
        <v>0</v>
      </c>
      <c r="DP440" s="37">
        <v>0</v>
      </c>
      <c r="DQ440" s="37">
        <v>0</v>
      </c>
      <c r="DR440" s="37">
        <v>0</v>
      </c>
      <c r="DS440" s="37">
        <v>0</v>
      </c>
      <c r="DT440" s="37">
        <v>0</v>
      </c>
      <c r="DU440" s="37">
        <v>0</v>
      </c>
      <c r="DV440" s="37">
        <v>0</v>
      </c>
      <c r="DW440" s="37">
        <v>0</v>
      </c>
      <c r="DX440" s="37">
        <v>0</v>
      </c>
      <c r="DY440" s="37">
        <v>0</v>
      </c>
      <c r="DZ440" s="37">
        <v>0</v>
      </c>
      <c r="EA440" s="37">
        <v>0</v>
      </c>
      <c r="EB440" s="37">
        <v>0</v>
      </c>
      <c r="EC440" s="37">
        <v>0</v>
      </c>
      <c r="ED440" s="37">
        <v>0</v>
      </c>
      <c r="EE440" s="37">
        <v>0</v>
      </c>
      <c r="EF440" s="37">
        <v>0</v>
      </c>
      <c r="EG440" s="37">
        <v>0</v>
      </c>
      <c r="EH440" s="37">
        <v>0</v>
      </c>
      <c r="EI440" s="37">
        <v>0</v>
      </c>
      <c r="EJ440" s="37">
        <v>0</v>
      </c>
      <c r="EK440" s="161" t="s">
        <v>2317</v>
      </c>
      <c r="EL440" s="294" t="s">
        <v>1124</v>
      </c>
    </row>
    <row r="441" spans="1:142" ht="15" customHeight="1" x14ac:dyDescent="0.35">
      <c r="A441" s="34"/>
      <c r="B441" s="313">
        <v>15025</v>
      </c>
      <c r="C441" s="8" t="s">
        <v>79</v>
      </c>
      <c r="D441" s="18">
        <v>3</v>
      </c>
      <c r="E441" s="155">
        <v>21203</v>
      </c>
      <c r="F441" s="36">
        <v>29918</v>
      </c>
      <c r="G441" s="37">
        <v>0</v>
      </c>
      <c r="H441" s="37">
        <v>0</v>
      </c>
      <c r="I441" s="37">
        <v>0</v>
      </c>
      <c r="J441" s="37">
        <v>0</v>
      </c>
      <c r="K441" s="37">
        <v>3180.45</v>
      </c>
      <c r="L441" s="37">
        <v>4487.7</v>
      </c>
      <c r="M441" s="37">
        <v>24383.45</v>
      </c>
      <c r="N441" s="37">
        <v>34405.699999999997</v>
      </c>
      <c r="O441" s="37">
        <v>0</v>
      </c>
      <c r="P441" s="37">
        <v>0</v>
      </c>
      <c r="Q441" s="37">
        <v>35175</v>
      </c>
      <c r="R441" s="37">
        <v>14484</v>
      </c>
      <c r="S441" s="37">
        <v>0</v>
      </c>
      <c r="T441" s="37">
        <v>0</v>
      </c>
      <c r="U441" s="37">
        <v>0</v>
      </c>
      <c r="V441" s="37">
        <v>0</v>
      </c>
      <c r="W441" s="37">
        <v>9130.1499999999942</v>
      </c>
      <c r="X441" s="37">
        <v>0</v>
      </c>
      <c r="Y441" s="37">
        <v>0</v>
      </c>
      <c r="Z441" s="37">
        <v>0</v>
      </c>
      <c r="AA441" s="37">
        <v>44305.149999999994</v>
      </c>
      <c r="AB441" s="37">
        <v>14484</v>
      </c>
      <c r="AC441" s="37">
        <v>0</v>
      </c>
      <c r="AD441" s="37">
        <v>0</v>
      </c>
      <c r="AE441" s="37">
        <v>0</v>
      </c>
      <c r="AF441" s="168">
        <v>0.02</v>
      </c>
      <c r="AG441" s="37">
        <v>10035972.359999999</v>
      </c>
      <c r="AH441" s="37">
        <v>87066.41</v>
      </c>
      <c r="AI441" s="37">
        <v>88807.74</v>
      </c>
      <c r="AJ441" s="37">
        <v>90583.89</v>
      </c>
      <c r="AK441" s="37">
        <v>92395.57</v>
      </c>
      <c r="AL441" s="37">
        <v>94243.48</v>
      </c>
      <c r="AM441" s="37">
        <v>96128.35</v>
      </c>
      <c r="AN441" s="37">
        <v>98050.92</v>
      </c>
      <c r="AO441" s="37">
        <v>100011.93</v>
      </c>
      <c r="AP441" s="37">
        <v>102012.17</v>
      </c>
      <c r="AQ441" s="37">
        <v>104052.42</v>
      </c>
      <c r="AR441" s="37">
        <v>953352.88000000012</v>
      </c>
      <c r="AS441" s="37">
        <v>81242.559999999998</v>
      </c>
      <c r="AT441" s="37">
        <v>0</v>
      </c>
      <c r="AU441" s="37">
        <v>0</v>
      </c>
      <c r="AV441" s="37">
        <v>0</v>
      </c>
      <c r="AW441" s="37">
        <v>0</v>
      </c>
      <c r="AX441" s="37">
        <v>0</v>
      </c>
      <c r="AY441" s="37">
        <v>0</v>
      </c>
      <c r="AZ441" s="37">
        <v>0</v>
      </c>
      <c r="BA441" s="37">
        <v>0</v>
      </c>
      <c r="BB441" s="37">
        <v>0</v>
      </c>
      <c r="BC441" s="37">
        <v>0</v>
      </c>
      <c r="BD441" s="37">
        <v>0</v>
      </c>
      <c r="BE441" s="37">
        <v>0</v>
      </c>
      <c r="BF441" s="37">
        <v>0</v>
      </c>
      <c r="BG441" s="37">
        <v>0</v>
      </c>
      <c r="BH441" s="37">
        <v>0</v>
      </c>
      <c r="BI441" s="37">
        <v>0</v>
      </c>
      <c r="BJ441" s="37">
        <v>0</v>
      </c>
      <c r="BK441" s="37">
        <v>0</v>
      </c>
      <c r="BL441" s="37">
        <v>0</v>
      </c>
      <c r="BM441" s="37">
        <v>0</v>
      </c>
      <c r="BN441" s="37">
        <v>0</v>
      </c>
      <c r="BO441" s="37">
        <v>0</v>
      </c>
      <c r="BP441" s="37">
        <v>0</v>
      </c>
      <c r="BQ441" s="37">
        <v>0</v>
      </c>
      <c r="BR441" s="37">
        <v>0</v>
      </c>
      <c r="BS441" s="37">
        <v>0</v>
      </c>
      <c r="BT441" s="37">
        <v>0</v>
      </c>
      <c r="BU441" s="37">
        <v>0</v>
      </c>
      <c r="BV441" s="37">
        <v>0</v>
      </c>
      <c r="BW441" s="37">
        <v>0</v>
      </c>
      <c r="BX441" s="37">
        <v>0</v>
      </c>
      <c r="BY441" s="37">
        <v>0</v>
      </c>
      <c r="BZ441" s="37">
        <v>0</v>
      </c>
      <c r="CA441" s="37">
        <v>0</v>
      </c>
      <c r="CB441" s="37">
        <v>0</v>
      </c>
      <c r="CC441" s="37">
        <v>0</v>
      </c>
      <c r="CD441" s="37">
        <v>0</v>
      </c>
      <c r="CE441" s="37">
        <v>0</v>
      </c>
      <c r="CF441" s="37">
        <v>0</v>
      </c>
      <c r="CG441" s="37">
        <v>0</v>
      </c>
      <c r="CH441" s="37">
        <v>0</v>
      </c>
      <c r="CI441" s="37">
        <v>0</v>
      </c>
      <c r="CJ441" s="37">
        <v>0</v>
      </c>
      <c r="CK441" s="37">
        <v>0</v>
      </c>
      <c r="CL441" s="37">
        <v>0</v>
      </c>
      <c r="CM441" s="37">
        <v>0</v>
      </c>
      <c r="CN441" s="37">
        <v>0</v>
      </c>
      <c r="CO441" s="37">
        <v>0</v>
      </c>
      <c r="CP441" s="37">
        <v>0</v>
      </c>
      <c r="CQ441" s="37">
        <v>0</v>
      </c>
      <c r="CR441" s="37">
        <v>0</v>
      </c>
      <c r="CS441" s="37">
        <v>0</v>
      </c>
      <c r="CT441" s="37">
        <v>0</v>
      </c>
      <c r="CU441" s="37">
        <v>0</v>
      </c>
      <c r="CV441" s="37">
        <v>0</v>
      </c>
      <c r="CW441" s="37">
        <v>0</v>
      </c>
      <c r="CX441" s="37">
        <v>0</v>
      </c>
      <c r="CY441" s="37">
        <v>0</v>
      </c>
      <c r="CZ441" s="37">
        <v>0</v>
      </c>
      <c r="DA441" s="37">
        <v>0</v>
      </c>
      <c r="DB441" s="37">
        <v>0</v>
      </c>
      <c r="DC441" s="37">
        <v>0</v>
      </c>
      <c r="DD441" s="37">
        <v>0</v>
      </c>
      <c r="DE441" s="37">
        <v>0</v>
      </c>
      <c r="DF441" s="37">
        <v>0</v>
      </c>
      <c r="DG441" s="37">
        <v>0</v>
      </c>
      <c r="DH441" s="37">
        <v>0</v>
      </c>
      <c r="DI441" s="37">
        <v>0</v>
      </c>
      <c r="DJ441" s="37">
        <v>0</v>
      </c>
      <c r="DK441" s="37">
        <v>0</v>
      </c>
      <c r="DL441" s="37">
        <v>0</v>
      </c>
      <c r="DM441" s="37">
        <v>0</v>
      </c>
      <c r="DN441" s="37">
        <v>0</v>
      </c>
      <c r="DO441" s="37">
        <v>0</v>
      </c>
      <c r="DP441" s="37">
        <v>0</v>
      </c>
      <c r="DQ441" s="37">
        <v>0</v>
      </c>
      <c r="DR441" s="37">
        <v>0</v>
      </c>
      <c r="DS441" s="37">
        <v>0</v>
      </c>
      <c r="DT441" s="37">
        <v>0</v>
      </c>
      <c r="DU441" s="37">
        <v>0</v>
      </c>
      <c r="DV441" s="37">
        <v>0</v>
      </c>
      <c r="DW441" s="37">
        <v>0</v>
      </c>
      <c r="DX441" s="37">
        <v>0</v>
      </c>
      <c r="DY441" s="37">
        <v>0</v>
      </c>
      <c r="DZ441" s="37">
        <v>0</v>
      </c>
      <c r="EA441" s="37">
        <v>0</v>
      </c>
      <c r="EB441" s="37">
        <v>0</v>
      </c>
      <c r="EC441" s="37">
        <v>0</v>
      </c>
      <c r="ED441" s="37">
        <v>0</v>
      </c>
      <c r="EE441" s="37">
        <v>0</v>
      </c>
      <c r="EF441" s="37">
        <v>0</v>
      </c>
      <c r="EG441" s="37">
        <v>0</v>
      </c>
      <c r="EH441" s="37">
        <v>0</v>
      </c>
      <c r="EI441" s="37">
        <v>0</v>
      </c>
      <c r="EJ441" s="37">
        <v>0</v>
      </c>
      <c r="EK441" s="161" t="s">
        <v>2320</v>
      </c>
      <c r="EL441" s="294" t="s">
        <v>1124</v>
      </c>
    </row>
    <row r="442" spans="1:142" ht="15" customHeight="1" x14ac:dyDescent="0.35">
      <c r="A442" s="34"/>
      <c r="B442" s="313">
        <v>11045</v>
      </c>
      <c r="C442" s="8" t="s">
        <v>25</v>
      </c>
      <c r="D442" s="18">
        <v>1</v>
      </c>
      <c r="E442" s="155">
        <v>162034</v>
      </c>
      <c r="F442" s="36">
        <v>149030</v>
      </c>
      <c r="G442" s="37">
        <v>3613</v>
      </c>
      <c r="H442" s="37">
        <v>0</v>
      </c>
      <c r="I442" s="37">
        <v>38233</v>
      </c>
      <c r="J442" s="37">
        <v>0</v>
      </c>
      <c r="K442" s="37">
        <v>24305</v>
      </c>
      <c r="L442" s="37">
        <v>22355</v>
      </c>
      <c r="M442" s="37">
        <v>228185</v>
      </c>
      <c r="N442" s="37">
        <v>171385</v>
      </c>
      <c r="O442" s="37">
        <v>0</v>
      </c>
      <c r="P442" s="37">
        <v>0</v>
      </c>
      <c r="Q442" s="37">
        <v>204909</v>
      </c>
      <c r="R442" s="37">
        <v>93900</v>
      </c>
      <c r="S442" s="37">
        <v>15524</v>
      </c>
      <c r="T442" s="37">
        <v>0</v>
      </c>
      <c r="U442" s="37">
        <v>16720</v>
      </c>
      <c r="V442" s="37">
        <v>83598</v>
      </c>
      <c r="W442" s="37">
        <v>0</v>
      </c>
      <c r="X442" s="37">
        <v>0</v>
      </c>
      <c r="Y442" s="37">
        <v>0</v>
      </c>
      <c r="Z442" s="37">
        <v>0</v>
      </c>
      <c r="AA442" s="37">
        <v>237153</v>
      </c>
      <c r="AB442" s="37">
        <v>177498</v>
      </c>
      <c r="AC442" s="37">
        <v>15081</v>
      </c>
      <c r="AD442" s="37">
        <v>0</v>
      </c>
      <c r="AE442" s="37">
        <v>0</v>
      </c>
      <c r="AF442" s="168">
        <v>0.02</v>
      </c>
      <c r="AG442" s="37">
        <v>17350623.190000001</v>
      </c>
      <c r="AH442" s="37">
        <v>187855.03</v>
      </c>
      <c r="AI442" s="37">
        <v>191612.13</v>
      </c>
      <c r="AJ442" s="37">
        <v>195444.37</v>
      </c>
      <c r="AK442" s="37">
        <v>199353.26</v>
      </c>
      <c r="AL442" s="37">
        <v>203340.32</v>
      </c>
      <c r="AM442" s="37">
        <v>207407.13</v>
      </c>
      <c r="AN442" s="37">
        <v>211555.27</v>
      </c>
      <c r="AO442" s="37">
        <v>215786.38</v>
      </c>
      <c r="AP442" s="37">
        <v>220102.11</v>
      </c>
      <c r="AQ442" s="37">
        <v>224504.15</v>
      </c>
      <c r="AR442" s="37">
        <v>2056960.1499999997</v>
      </c>
      <c r="AS442" s="37">
        <v>352831.53</v>
      </c>
      <c r="AT442" s="37">
        <v>178500</v>
      </c>
      <c r="AU442" s="37">
        <v>0</v>
      </c>
      <c r="AV442" s="37">
        <v>280158.90999999997</v>
      </c>
      <c r="AW442" s="37">
        <v>0</v>
      </c>
      <c r="AX442" s="37">
        <v>0</v>
      </c>
      <c r="AY442" s="37">
        <v>0</v>
      </c>
      <c r="AZ442" s="37">
        <v>0</v>
      </c>
      <c r="BA442" s="37">
        <v>0</v>
      </c>
      <c r="BB442" s="37">
        <v>0</v>
      </c>
      <c r="BC442" s="37">
        <v>0</v>
      </c>
      <c r="BD442" s="37">
        <v>458658.91</v>
      </c>
      <c r="BE442" s="37">
        <v>0</v>
      </c>
      <c r="BF442" s="37">
        <v>0</v>
      </c>
      <c r="BG442" s="37">
        <v>0</v>
      </c>
      <c r="BH442" s="37">
        <v>0</v>
      </c>
      <c r="BI442" s="37">
        <v>0</v>
      </c>
      <c r="BJ442" s="37">
        <v>0</v>
      </c>
      <c r="BK442" s="37">
        <v>0</v>
      </c>
      <c r="BL442" s="37">
        <v>0</v>
      </c>
      <c r="BM442" s="37">
        <v>0</v>
      </c>
      <c r="BN442" s="37">
        <v>0</v>
      </c>
      <c r="BO442" s="37">
        <v>0</v>
      </c>
      <c r="BP442" s="37">
        <v>0</v>
      </c>
      <c r="BQ442" s="37">
        <v>0</v>
      </c>
      <c r="BR442" s="37">
        <v>0</v>
      </c>
      <c r="BS442" s="37">
        <v>0</v>
      </c>
      <c r="BT442" s="37">
        <v>0</v>
      </c>
      <c r="BU442" s="37">
        <v>0</v>
      </c>
      <c r="BV442" s="37">
        <v>0</v>
      </c>
      <c r="BW442" s="37">
        <v>0</v>
      </c>
      <c r="BX442" s="37">
        <v>0</v>
      </c>
      <c r="BY442" s="37">
        <v>0</v>
      </c>
      <c r="BZ442" s="37">
        <v>0</v>
      </c>
      <c r="CA442" s="37">
        <v>0</v>
      </c>
      <c r="CB442" s="37">
        <v>0</v>
      </c>
      <c r="CC442" s="37">
        <v>0</v>
      </c>
      <c r="CD442" s="37">
        <v>19500</v>
      </c>
      <c r="CE442" s="37">
        <v>0</v>
      </c>
      <c r="CF442" s="37">
        <v>0</v>
      </c>
      <c r="CG442" s="37">
        <v>0</v>
      </c>
      <c r="CH442" s="37">
        <v>0</v>
      </c>
      <c r="CI442" s="37">
        <v>0</v>
      </c>
      <c r="CJ442" s="37">
        <v>0</v>
      </c>
      <c r="CK442" s="37">
        <v>0</v>
      </c>
      <c r="CL442" s="37">
        <v>0</v>
      </c>
      <c r="CM442" s="37">
        <v>0</v>
      </c>
      <c r="CN442" s="37">
        <v>19500</v>
      </c>
      <c r="CO442" s="37">
        <v>0</v>
      </c>
      <c r="CP442" s="37">
        <v>175000</v>
      </c>
      <c r="CQ442" s="37">
        <v>0</v>
      </c>
      <c r="CR442" s="37">
        <v>0</v>
      </c>
      <c r="CS442" s="37">
        <v>0</v>
      </c>
      <c r="CT442" s="37">
        <v>0</v>
      </c>
      <c r="CU442" s="37">
        <v>0</v>
      </c>
      <c r="CV442" s="37">
        <v>0</v>
      </c>
      <c r="CW442" s="37">
        <v>0</v>
      </c>
      <c r="CX442" s="37">
        <v>0</v>
      </c>
      <c r="CY442" s="37">
        <v>0</v>
      </c>
      <c r="CZ442" s="37">
        <v>175000</v>
      </c>
      <c r="DA442" s="37">
        <v>0</v>
      </c>
      <c r="DB442" s="37">
        <v>0</v>
      </c>
      <c r="DC442" s="37">
        <v>0</v>
      </c>
      <c r="DD442" s="37">
        <v>0</v>
      </c>
      <c r="DE442" s="37">
        <v>0</v>
      </c>
      <c r="DF442" s="37">
        <v>0</v>
      </c>
      <c r="DG442" s="37">
        <v>0</v>
      </c>
      <c r="DH442" s="37">
        <v>0</v>
      </c>
      <c r="DI442" s="37">
        <v>0</v>
      </c>
      <c r="DJ442" s="37">
        <v>0</v>
      </c>
      <c r="DK442" s="37">
        <v>0</v>
      </c>
      <c r="DL442" s="37">
        <v>0</v>
      </c>
      <c r="DM442" s="37">
        <v>0</v>
      </c>
      <c r="DN442" s="37">
        <v>2000</v>
      </c>
      <c r="DO442" s="37">
        <v>12000</v>
      </c>
      <c r="DP442" s="37">
        <v>250000</v>
      </c>
      <c r="DQ442" s="37">
        <v>0</v>
      </c>
      <c r="DR442" s="37">
        <v>0</v>
      </c>
      <c r="DS442" s="37">
        <v>0</v>
      </c>
      <c r="DT442" s="37">
        <v>0</v>
      </c>
      <c r="DU442" s="37">
        <v>0</v>
      </c>
      <c r="DV442" s="37">
        <v>0</v>
      </c>
      <c r="DW442" s="37">
        <v>0</v>
      </c>
      <c r="DX442" s="37">
        <v>264000</v>
      </c>
      <c r="DY442" s="37">
        <v>0</v>
      </c>
      <c r="DZ442" s="37">
        <v>0</v>
      </c>
      <c r="EA442" s="37">
        <v>0</v>
      </c>
      <c r="EB442" s="37">
        <v>0</v>
      </c>
      <c r="EC442" s="37">
        <v>0</v>
      </c>
      <c r="ED442" s="37">
        <v>0</v>
      </c>
      <c r="EE442" s="37">
        <v>0</v>
      </c>
      <c r="EF442" s="37">
        <v>0</v>
      </c>
      <c r="EG442" s="37">
        <v>0</v>
      </c>
      <c r="EH442" s="37">
        <v>0</v>
      </c>
      <c r="EI442" s="37">
        <v>0</v>
      </c>
      <c r="EJ442" s="37">
        <v>0</v>
      </c>
      <c r="EK442" s="161" t="s">
        <v>2324</v>
      </c>
      <c r="EL442" s="294" t="s">
        <v>1124</v>
      </c>
    </row>
    <row r="443" spans="1:142" ht="15" customHeight="1" x14ac:dyDescent="0.35">
      <c r="A443" s="34"/>
      <c r="B443" s="313">
        <v>29120</v>
      </c>
      <c r="C443" s="8" t="s">
        <v>215</v>
      </c>
      <c r="D443" s="18">
        <v>12</v>
      </c>
      <c r="E443" s="155">
        <v>137137</v>
      </c>
      <c r="F443" s="36">
        <v>137878</v>
      </c>
      <c r="G443" s="37">
        <v>10785</v>
      </c>
      <c r="H443" s="37">
        <v>7111</v>
      </c>
      <c r="I443" s="37">
        <v>53650</v>
      </c>
      <c r="J443" s="37">
        <v>6850</v>
      </c>
      <c r="K443" s="37">
        <v>20570.55</v>
      </c>
      <c r="L443" s="37">
        <v>20681.7</v>
      </c>
      <c r="M443" s="37">
        <v>222142.55</v>
      </c>
      <c r="N443" s="37">
        <v>172520.7</v>
      </c>
      <c r="O443" s="37">
        <v>80310</v>
      </c>
      <c r="P443" s="37">
        <v>80632</v>
      </c>
      <c r="Q443" s="37">
        <v>23091</v>
      </c>
      <c r="R443" s="37">
        <v>23184</v>
      </c>
      <c r="S443" s="37">
        <v>9975</v>
      </c>
      <c r="T443" s="37">
        <v>0</v>
      </c>
      <c r="U443" s="37">
        <v>6530</v>
      </c>
      <c r="V443" s="37">
        <v>4842</v>
      </c>
      <c r="W443" s="37">
        <v>102237</v>
      </c>
      <c r="X443" s="37">
        <v>63863</v>
      </c>
      <c r="Y443" s="37">
        <v>0</v>
      </c>
      <c r="Z443" s="37">
        <v>0</v>
      </c>
      <c r="AA443" s="37">
        <v>222143</v>
      </c>
      <c r="AB443" s="37">
        <v>172521</v>
      </c>
      <c r="AC443" s="37">
        <v>1</v>
      </c>
      <c r="AD443" s="37">
        <v>0</v>
      </c>
      <c r="AE443" s="37">
        <v>0</v>
      </c>
      <c r="AF443" s="168">
        <v>0.02</v>
      </c>
      <c r="AG443" s="37">
        <v>21935883.399999999</v>
      </c>
      <c r="AH443" s="37">
        <v>184072.68</v>
      </c>
      <c r="AI443" s="37">
        <v>187754.13</v>
      </c>
      <c r="AJ443" s="37">
        <v>191509.21</v>
      </c>
      <c r="AK443" s="37">
        <v>195339.4</v>
      </c>
      <c r="AL443" s="37">
        <v>199246.18</v>
      </c>
      <c r="AM443" s="37">
        <v>203231.11</v>
      </c>
      <c r="AN443" s="37">
        <v>207295.73</v>
      </c>
      <c r="AO443" s="37">
        <v>211441.64</v>
      </c>
      <c r="AP443" s="37">
        <v>215670.48</v>
      </c>
      <c r="AQ443" s="37">
        <v>219983.89</v>
      </c>
      <c r="AR443" s="37">
        <v>2015544.4499999995</v>
      </c>
      <c r="AS443" s="37">
        <v>8060984.8700000001</v>
      </c>
      <c r="AT443" s="37">
        <v>0</v>
      </c>
      <c r="AU443" s="37">
        <v>0</v>
      </c>
      <c r="AV443" s="37">
        <v>0</v>
      </c>
      <c r="AW443" s="37">
        <v>0</v>
      </c>
      <c r="AX443" s="37">
        <v>0</v>
      </c>
      <c r="AY443" s="37">
        <v>0</v>
      </c>
      <c r="AZ443" s="37">
        <v>0</v>
      </c>
      <c r="BA443" s="37">
        <v>0</v>
      </c>
      <c r="BB443" s="37">
        <v>0</v>
      </c>
      <c r="BC443" s="37">
        <v>0</v>
      </c>
      <c r="BD443" s="37">
        <v>0</v>
      </c>
      <c r="BE443" s="37">
        <v>71683</v>
      </c>
      <c r="BF443" s="37">
        <v>145066</v>
      </c>
      <c r="BG443" s="37">
        <v>1870324</v>
      </c>
      <c r="BH443" s="37">
        <v>1510624</v>
      </c>
      <c r="BI443" s="37">
        <v>0</v>
      </c>
      <c r="BJ443" s="37">
        <v>0</v>
      </c>
      <c r="BK443" s="37">
        <v>0</v>
      </c>
      <c r="BL443" s="37">
        <v>0</v>
      </c>
      <c r="BM443" s="37">
        <v>0</v>
      </c>
      <c r="BN443" s="37">
        <v>0</v>
      </c>
      <c r="BO443" s="37">
        <v>0</v>
      </c>
      <c r="BP443" s="37">
        <v>3526014</v>
      </c>
      <c r="BQ443" s="37">
        <v>0</v>
      </c>
      <c r="BR443" s="37">
        <v>0</v>
      </c>
      <c r="BS443" s="37">
        <v>467583</v>
      </c>
      <c r="BT443" s="37">
        <v>377657</v>
      </c>
      <c r="BU443" s="37">
        <v>0</v>
      </c>
      <c r="BV443" s="37">
        <v>0</v>
      </c>
      <c r="BW443" s="37">
        <v>0</v>
      </c>
      <c r="BX443" s="37">
        <v>0</v>
      </c>
      <c r="BY443" s="37">
        <v>0</v>
      </c>
      <c r="BZ443" s="37">
        <v>0</v>
      </c>
      <c r="CA443" s="37">
        <v>0</v>
      </c>
      <c r="CB443" s="37">
        <v>845240</v>
      </c>
      <c r="CC443" s="37">
        <v>0</v>
      </c>
      <c r="CD443" s="37">
        <v>0</v>
      </c>
      <c r="CE443" s="37">
        <v>0</v>
      </c>
      <c r="CF443" s="37">
        <v>0</v>
      </c>
      <c r="CG443" s="37">
        <v>0</v>
      </c>
      <c r="CH443" s="37">
        <v>0</v>
      </c>
      <c r="CI443" s="37">
        <v>0</v>
      </c>
      <c r="CJ443" s="37">
        <v>0</v>
      </c>
      <c r="CK443" s="37">
        <v>0</v>
      </c>
      <c r="CL443" s="37">
        <v>0</v>
      </c>
      <c r="CM443" s="37">
        <v>0</v>
      </c>
      <c r="CN443" s="37">
        <v>0</v>
      </c>
      <c r="CO443" s="37">
        <v>0</v>
      </c>
      <c r="CP443" s="37">
        <v>0</v>
      </c>
      <c r="CQ443" s="37">
        <v>0</v>
      </c>
      <c r="CR443" s="37">
        <v>0</v>
      </c>
      <c r="CS443" s="37">
        <v>0</v>
      </c>
      <c r="CT443" s="37">
        <v>0</v>
      </c>
      <c r="CU443" s="37">
        <v>0</v>
      </c>
      <c r="CV443" s="37">
        <v>0</v>
      </c>
      <c r="CW443" s="37">
        <v>0</v>
      </c>
      <c r="CX443" s="37">
        <v>0</v>
      </c>
      <c r="CY443" s="37">
        <v>0</v>
      </c>
      <c r="CZ443" s="37">
        <v>0</v>
      </c>
      <c r="DA443" s="37">
        <v>0</v>
      </c>
      <c r="DB443" s="37">
        <v>0</v>
      </c>
      <c r="DC443" s="37">
        <v>0</v>
      </c>
      <c r="DD443" s="37">
        <v>0</v>
      </c>
      <c r="DE443" s="37">
        <v>0</v>
      </c>
      <c r="DF443" s="37">
        <v>0</v>
      </c>
      <c r="DG443" s="37">
        <v>0</v>
      </c>
      <c r="DH443" s="37">
        <v>0</v>
      </c>
      <c r="DI443" s="37">
        <v>0</v>
      </c>
      <c r="DJ443" s="37">
        <v>0</v>
      </c>
      <c r="DK443" s="37">
        <v>0</v>
      </c>
      <c r="DL443" s="37">
        <v>0</v>
      </c>
      <c r="DM443" s="37">
        <v>0</v>
      </c>
      <c r="DN443" s="37">
        <v>0</v>
      </c>
      <c r="DO443" s="37">
        <v>0</v>
      </c>
      <c r="DP443" s="37">
        <v>0</v>
      </c>
      <c r="DQ443" s="37">
        <v>0</v>
      </c>
      <c r="DR443" s="37">
        <v>0</v>
      </c>
      <c r="DS443" s="37">
        <v>0</v>
      </c>
      <c r="DT443" s="37">
        <v>0</v>
      </c>
      <c r="DU443" s="37">
        <v>0</v>
      </c>
      <c r="DV443" s="37">
        <v>0</v>
      </c>
      <c r="DW443" s="37">
        <v>0</v>
      </c>
      <c r="DX443" s="37">
        <v>0</v>
      </c>
      <c r="DY443" s="37">
        <v>0</v>
      </c>
      <c r="DZ443" s="37">
        <v>0</v>
      </c>
      <c r="EA443" s="37">
        <v>0</v>
      </c>
      <c r="EB443" s="37">
        <v>0</v>
      </c>
      <c r="EC443" s="37">
        <v>0</v>
      </c>
      <c r="ED443" s="37">
        <v>0</v>
      </c>
      <c r="EE443" s="37">
        <v>0</v>
      </c>
      <c r="EF443" s="37">
        <v>0</v>
      </c>
      <c r="EG443" s="37">
        <v>0</v>
      </c>
      <c r="EH443" s="37">
        <v>0</v>
      </c>
      <c r="EI443" s="37">
        <v>0</v>
      </c>
      <c r="EJ443" s="37">
        <v>0</v>
      </c>
      <c r="EK443" s="161" t="s">
        <v>2327</v>
      </c>
      <c r="EL443" s="294" t="s">
        <v>1124</v>
      </c>
    </row>
    <row r="444" spans="1:142" ht="15" customHeight="1" x14ac:dyDescent="0.35">
      <c r="A444" s="34"/>
      <c r="B444" s="313">
        <v>61030</v>
      </c>
      <c r="C444" s="8" t="s">
        <v>614</v>
      </c>
      <c r="D444" s="18">
        <v>14</v>
      </c>
      <c r="E444" s="155">
        <v>666224</v>
      </c>
      <c r="F444" s="36">
        <v>534420</v>
      </c>
      <c r="G444" s="37">
        <v>126649</v>
      </c>
      <c r="H444" s="37">
        <v>194311</v>
      </c>
      <c r="I444" s="37">
        <v>385400</v>
      </c>
      <c r="J444" s="37">
        <v>590633</v>
      </c>
      <c r="K444" s="37">
        <v>99933.599999999991</v>
      </c>
      <c r="L444" s="37">
        <v>80163</v>
      </c>
      <c r="M444" s="37">
        <v>1278206.6000000001</v>
      </c>
      <c r="N444" s="37">
        <v>1399527</v>
      </c>
      <c r="O444" s="37">
        <v>44063</v>
      </c>
      <c r="P444" s="37">
        <v>65125</v>
      </c>
      <c r="Q444" s="37">
        <v>1022412</v>
      </c>
      <c r="R444" s="37">
        <v>523056</v>
      </c>
      <c r="S444" s="37">
        <v>183</v>
      </c>
      <c r="T444" s="37">
        <v>29614</v>
      </c>
      <c r="U444" s="37">
        <v>29614</v>
      </c>
      <c r="V444" s="37">
        <v>24657</v>
      </c>
      <c r="W444" s="37">
        <v>181935</v>
      </c>
      <c r="X444" s="37">
        <v>757075</v>
      </c>
      <c r="Y444" s="37">
        <v>0</v>
      </c>
      <c r="Z444" s="37">
        <v>0</v>
      </c>
      <c r="AA444" s="37">
        <v>1278207</v>
      </c>
      <c r="AB444" s="37">
        <v>1399527</v>
      </c>
      <c r="AC444" s="37">
        <v>0.39999999990686774</v>
      </c>
      <c r="AD444" s="37">
        <v>0</v>
      </c>
      <c r="AE444" s="37">
        <v>0</v>
      </c>
      <c r="AF444" s="168">
        <v>0.02</v>
      </c>
      <c r="AG444" s="37">
        <v>189095229</v>
      </c>
      <c r="AH444" s="37">
        <v>1839276.24</v>
      </c>
      <c r="AI444" s="37">
        <v>1889296.17</v>
      </c>
      <c r="AJ444" s="37">
        <v>1927082.1</v>
      </c>
      <c r="AK444" s="37">
        <v>1951854.66</v>
      </c>
      <c r="AL444" s="37">
        <v>1990891.75</v>
      </c>
      <c r="AM444" s="37">
        <v>2030709.59</v>
      </c>
      <c r="AN444" s="37">
        <v>2071323.78</v>
      </c>
      <c r="AO444" s="37">
        <v>2112750.2599999998</v>
      </c>
      <c r="AP444" s="37">
        <v>2155005.2599999998</v>
      </c>
      <c r="AQ444" s="37">
        <v>2198105.37</v>
      </c>
      <c r="AR444" s="37">
        <v>20166295.179999996</v>
      </c>
      <c r="AS444" s="37">
        <v>4151600.94</v>
      </c>
      <c r="AT444" s="37">
        <v>1271695.71</v>
      </c>
      <c r="AU444" s="37">
        <v>2178598.12</v>
      </c>
      <c r="AV444" s="37">
        <v>723.74</v>
      </c>
      <c r="AW444" s="37">
        <v>4844622.13</v>
      </c>
      <c r="AX444" s="37">
        <v>0</v>
      </c>
      <c r="AY444" s="37">
        <v>0</v>
      </c>
      <c r="AZ444" s="37">
        <v>0</v>
      </c>
      <c r="BA444" s="37">
        <v>0</v>
      </c>
      <c r="BB444" s="37">
        <v>0</v>
      </c>
      <c r="BC444" s="37">
        <v>0</v>
      </c>
      <c r="BD444" s="37">
        <v>8295639.7000000002</v>
      </c>
      <c r="BE444" s="37">
        <v>840</v>
      </c>
      <c r="BF444" s="37">
        <v>0</v>
      </c>
      <c r="BG444" s="37">
        <v>0</v>
      </c>
      <c r="BH444" s="37">
        <v>0</v>
      </c>
      <c r="BI444" s="37">
        <v>0</v>
      </c>
      <c r="BJ444" s="37">
        <v>0</v>
      </c>
      <c r="BK444" s="37">
        <v>0</v>
      </c>
      <c r="BL444" s="37">
        <v>0</v>
      </c>
      <c r="BM444" s="37">
        <v>0</v>
      </c>
      <c r="BN444" s="37">
        <v>0</v>
      </c>
      <c r="BO444" s="37">
        <v>0</v>
      </c>
      <c r="BP444" s="37">
        <v>0</v>
      </c>
      <c r="BQ444" s="37">
        <v>0</v>
      </c>
      <c r="BR444" s="37">
        <v>2432507</v>
      </c>
      <c r="BS444" s="37">
        <v>320000</v>
      </c>
      <c r="BT444" s="37">
        <v>25441</v>
      </c>
      <c r="BU444" s="37">
        <v>2773000</v>
      </c>
      <c r="BV444" s="37">
        <v>0</v>
      </c>
      <c r="BW444" s="37">
        <v>0</v>
      </c>
      <c r="BX444" s="37">
        <v>0</v>
      </c>
      <c r="BY444" s="37">
        <v>0</v>
      </c>
      <c r="BZ444" s="37">
        <v>0</v>
      </c>
      <c r="CA444" s="37">
        <v>0</v>
      </c>
      <c r="CB444" s="37">
        <v>5550948</v>
      </c>
      <c r="CC444" s="37">
        <v>0</v>
      </c>
      <c r="CD444" s="37">
        <v>0</v>
      </c>
      <c r="CE444" s="37">
        <v>0</v>
      </c>
      <c r="CF444" s="37">
        <v>0</v>
      </c>
      <c r="CG444" s="37">
        <v>0</v>
      </c>
      <c r="CH444" s="37">
        <v>0</v>
      </c>
      <c r="CI444" s="37">
        <v>0</v>
      </c>
      <c r="CJ444" s="37">
        <v>0</v>
      </c>
      <c r="CK444" s="37">
        <v>0</v>
      </c>
      <c r="CL444" s="37">
        <v>0</v>
      </c>
      <c r="CM444" s="37">
        <v>0</v>
      </c>
      <c r="CN444" s="37">
        <v>0</v>
      </c>
      <c r="CO444" s="37">
        <v>0</v>
      </c>
      <c r="CP444" s="37">
        <v>792000</v>
      </c>
      <c r="CQ444" s="37">
        <v>0</v>
      </c>
      <c r="CR444" s="37">
        <v>0</v>
      </c>
      <c r="CS444" s="37">
        <v>0</v>
      </c>
      <c r="CT444" s="37">
        <v>0</v>
      </c>
      <c r="CU444" s="37">
        <v>0</v>
      </c>
      <c r="CV444" s="37">
        <v>0</v>
      </c>
      <c r="CW444" s="37">
        <v>0</v>
      </c>
      <c r="CX444" s="37">
        <v>0</v>
      </c>
      <c r="CY444" s="37">
        <v>0</v>
      </c>
      <c r="CZ444" s="37">
        <v>792000</v>
      </c>
      <c r="DA444" s="37">
        <v>0</v>
      </c>
      <c r="DB444" s="37">
        <v>228000</v>
      </c>
      <c r="DC444" s="37">
        <v>2320761</v>
      </c>
      <c r="DD444" s="37">
        <v>0</v>
      </c>
      <c r="DE444" s="37">
        <v>4626364</v>
      </c>
      <c r="DF444" s="37">
        <v>0</v>
      </c>
      <c r="DG444" s="37">
        <v>0</v>
      </c>
      <c r="DH444" s="37">
        <v>0</v>
      </c>
      <c r="DI444" s="37">
        <v>0</v>
      </c>
      <c r="DJ444" s="37">
        <v>0</v>
      </c>
      <c r="DK444" s="37">
        <v>0</v>
      </c>
      <c r="DL444" s="37">
        <v>7175125</v>
      </c>
      <c r="DM444" s="37">
        <v>0</v>
      </c>
      <c r="DN444" s="37">
        <v>0</v>
      </c>
      <c r="DO444" s="37">
        <v>0</v>
      </c>
      <c r="DP444" s="37">
        <v>0</v>
      </c>
      <c r="DQ444" s="37">
        <v>0</v>
      </c>
      <c r="DR444" s="37">
        <v>0</v>
      </c>
      <c r="DS444" s="37">
        <v>0</v>
      </c>
      <c r="DT444" s="37">
        <v>0</v>
      </c>
      <c r="DU444" s="37">
        <v>0</v>
      </c>
      <c r="DV444" s="37">
        <v>0</v>
      </c>
      <c r="DW444" s="37">
        <v>0</v>
      </c>
      <c r="DX444" s="37">
        <v>0</v>
      </c>
      <c r="DY444" s="37">
        <v>0</v>
      </c>
      <c r="DZ444" s="37">
        <v>0</v>
      </c>
      <c r="EA444" s="37">
        <v>0</v>
      </c>
      <c r="EB444" s="37">
        <v>0</v>
      </c>
      <c r="EC444" s="37">
        <v>0</v>
      </c>
      <c r="ED444" s="37">
        <v>0</v>
      </c>
      <c r="EE444" s="37">
        <v>0</v>
      </c>
      <c r="EF444" s="37">
        <v>0</v>
      </c>
      <c r="EG444" s="37">
        <v>0</v>
      </c>
      <c r="EH444" s="37">
        <v>0</v>
      </c>
      <c r="EI444" s="37">
        <v>0</v>
      </c>
      <c r="EJ444" s="37">
        <v>0</v>
      </c>
      <c r="EK444" s="161" t="s">
        <v>2331</v>
      </c>
      <c r="EL444" s="294" t="s">
        <v>1124</v>
      </c>
    </row>
    <row r="445" spans="1:142" ht="15" customHeight="1" x14ac:dyDescent="0.35">
      <c r="A445" s="34"/>
      <c r="B445" s="313">
        <v>12045</v>
      </c>
      <c r="C445" s="8" t="s">
        <v>36</v>
      </c>
      <c r="D445" s="18">
        <v>1</v>
      </c>
      <c r="E445" s="155"/>
      <c r="F445" s="36"/>
      <c r="G445" s="37"/>
      <c r="H445" s="37"/>
      <c r="I445" s="37"/>
      <c r="J445" s="37"/>
      <c r="K445" s="37"/>
      <c r="L445" s="37"/>
      <c r="M445" s="37" t="s">
        <v>1124</v>
      </c>
      <c r="N445" s="37" t="s">
        <v>1124</v>
      </c>
      <c r="O445" s="37"/>
      <c r="P445" s="37"/>
      <c r="Q445" s="37"/>
      <c r="R445" s="37"/>
      <c r="S445" s="37"/>
      <c r="T445" s="37"/>
      <c r="U445" s="37"/>
      <c r="V445" s="37"/>
      <c r="W445" s="37"/>
      <c r="X445" s="37"/>
      <c r="Y445" s="37"/>
      <c r="Z445" s="37"/>
      <c r="AA445" s="37" t="s">
        <v>1124</v>
      </c>
      <c r="AB445" s="37" t="s">
        <v>1124</v>
      </c>
      <c r="AC445" s="37"/>
      <c r="AD445" s="37"/>
      <c r="AE445" s="37"/>
      <c r="AF445" s="168"/>
      <c r="AG445" s="37"/>
      <c r="AH445" s="37"/>
      <c r="AI445" s="37"/>
      <c r="AJ445" s="37"/>
      <c r="AK445" s="37"/>
      <c r="AL445" s="37"/>
      <c r="AM445" s="37"/>
      <c r="AN445" s="37"/>
      <c r="AO445" s="37"/>
      <c r="AP445" s="37"/>
      <c r="AQ445" s="37"/>
      <c r="AR445" s="37" t="s">
        <v>1124</v>
      </c>
      <c r="AS445" s="37"/>
      <c r="AT445" s="37"/>
      <c r="AU445" s="37"/>
      <c r="AV445" s="37"/>
      <c r="AW445" s="37"/>
      <c r="AX445" s="37"/>
      <c r="AY445" s="37"/>
      <c r="AZ445" s="37"/>
      <c r="BA445" s="37"/>
      <c r="BB445" s="37"/>
      <c r="BC445" s="37"/>
      <c r="BD445" s="37" t="s">
        <v>1124</v>
      </c>
      <c r="BE445" s="37"/>
      <c r="BF445" s="37"/>
      <c r="BG445" s="37"/>
      <c r="BH445" s="37"/>
      <c r="BI445" s="37"/>
      <c r="BJ445" s="37"/>
      <c r="BK445" s="37"/>
      <c r="BL445" s="37"/>
      <c r="BM445" s="37"/>
      <c r="BN445" s="37"/>
      <c r="BO445" s="37"/>
      <c r="BP445" s="37">
        <v>0</v>
      </c>
      <c r="BQ445" s="37"/>
      <c r="BR445" s="37"/>
      <c r="BS445" s="37"/>
      <c r="BT445" s="37"/>
      <c r="BU445" s="37"/>
      <c r="BV445" s="37"/>
      <c r="BW445" s="37"/>
      <c r="BX445" s="37"/>
      <c r="BY445" s="37"/>
      <c r="BZ445" s="37"/>
      <c r="CA445" s="37"/>
      <c r="CB445" s="37" t="s">
        <v>1124</v>
      </c>
      <c r="CC445" s="37"/>
      <c r="CD445" s="37"/>
      <c r="CE445" s="37"/>
      <c r="CF445" s="37"/>
      <c r="CG445" s="37"/>
      <c r="CH445" s="37"/>
      <c r="CI445" s="37"/>
      <c r="CJ445" s="37"/>
      <c r="CK445" s="37"/>
      <c r="CL445" s="37"/>
      <c r="CM445" s="37"/>
      <c r="CN445" s="37" t="s">
        <v>1124</v>
      </c>
      <c r="CO445" s="37"/>
      <c r="CP445" s="37"/>
      <c r="CQ445" s="37"/>
      <c r="CR445" s="37"/>
      <c r="CS445" s="37"/>
      <c r="CT445" s="37"/>
      <c r="CU445" s="37"/>
      <c r="CV445" s="37"/>
      <c r="CW445" s="37"/>
      <c r="CX445" s="37"/>
      <c r="CY445" s="37"/>
      <c r="CZ445" s="37" t="s">
        <v>1124</v>
      </c>
      <c r="DA445" s="37"/>
      <c r="DB445" s="37"/>
      <c r="DC445" s="37"/>
      <c r="DD445" s="37"/>
      <c r="DE445" s="37"/>
      <c r="DF445" s="37"/>
      <c r="DG445" s="37"/>
      <c r="DH445" s="37"/>
      <c r="DI445" s="37"/>
      <c r="DJ445" s="37"/>
      <c r="DK445" s="37"/>
      <c r="DL445" s="37" t="s">
        <v>1124</v>
      </c>
      <c r="DM445" s="37"/>
      <c r="DN445" s="37"/>
      <c r="DO445" s="37"/>
      <c r="DP445" s="37"/>
      <c r="DQ445" s="37"/>
      <c r="DR445" s="37"/>
      <c r="DS445" s="37"/>
      <c r="DT445" s="37"/>
      <c r="DU445" s="37"/>
      <c r="DV445" s="37"/>
      <c r="DW445" s="37"/>
      <c r="DX445" s="37" t="s">
        <v>1124</v>
      </c>
      <c r="DY445" s="37"/>
      <c r="DZ445" s="37"/>
      <c r="EA445" s="37"/>
      <c r="EB445" s="37"/>
      <c r="EC445" s="37"/>
      <c r="ED445" s="37"/>
      <c r="EE445" s="37"/>
      <c r="EF445" s="37"/>
      <c r="EG445" s="37"/>
      <c r="EH445" s="37"/>
      <c r="EI445" s="37"/>
      <c r="EJ445" s="37" t="s">
        <v>1124</v>
      </c>
      <c r="EK445" s="161"/>
      <c r="EL445" s="294"/>
    </row>
    <row r="446" spans="1:142" ht="15" customHeight="1" x14ac:dyDescent="0.35">
      <c r="A446" s="34"/>
      <c r="B446" s="313">
        <v>46100</v>
      </c>
      <c r="C446" s="8" t="s">
        <v>445</v>
      </c>
      <c r="D446" s="18">
        <v>5</v>
      </c>
      <c r="E446" s="155"/>
      <c r="F446" s="36"/>
      <c r="G446" s="37"/>
      <c r="H446" s="37"/>
      <c r="I446" s="37"/>
      <c r="J446" s="37"/>
      <c r="K446" s="37"/>
      <c r="L446" s="37"/>
      <c r="M446" s="37" t="s">
        <v>1124</v>
      </c>
      <c r="N446" s="37" t="s">
        <v>1124</v>
      </c>
      <c r="O446" s="37"/>
      <c r="P446" s="37"/>
      <c r="Q446" s="37"/>
      <c r="R446" s="37"/>
      <c r="S446" s="37"/>
      <c r="T446" s="37"/>
      <c r="U446" s="37"/>
      <c r="V446" s="37"/>
      <c r="W446" s="37"/>
      <c r="X446" s="37"/>
      <c r="Y446" s="37"/>
      <c r="Z446" s="37"/>
      <c r="AA446" s="37" t="s">
        <v>1124</v>
      </c>
      <c r="AB446" s="37" t="s">
        <v>1124</v>
      </c>
      <c r="AC446" s="37"/>
      <c r="AD446" s="37"/>
      <c r="AE446" s="37"/>
      <c r="AF446" s="168"/>
      <c r="AG446" s="37"/>
      <c r="AH446" s="37"/>
      <c r="AI446" s="37"/>
      <c r="AJ446" s="37"/>
      <c r="AK446" s="37"/>
      <c r="AL446" s="37"/>
      <c r="AM446" s="37"/>
      <c r="AN446" s="37"/>
      <c r="AO446" s="37"/>
      <c r="AP446" s="37"/>
      <c r="AQ446" s="37"/>
      <c r="AR446" s="37" t="s">
        <v>1124</v>
      </c>
      <c r="AS446" s="37"/>
      <c r="AT446" s="37"/>
      <c r="AU446" s="37"/>
      <c r="AV446" s="37"/>
      <c r="AW446" s="37"/>
      <c r="AX446" s="37"/>
      <c r="AY446" s="37"/>
      <c r="AZ446" s="37"/>
      <c r="BA446" s="37"/>
      <c r="BB446" s="37"/>
      <c r="BC446" s="37"/>
      <c r="BD446" s="37" t="s">
        <v>1124</v>
      </c>
      <c r="BE446" s="37"/>
      <c r="BF446" s="37"/>
      <c r="BG446" s="37"/>
      <c r="BH446" s="37"/>
      <c r="BI446" s="37"/>
      <c r="BJ446" s="37"/>
      <c r="BK446" s="37"/>
      <c r="BL446" s="37"/>
      <c r="BM446" s="37"/>
      <c r="BN446" s="37"/>
      <c r="BO446" s="37"/>
      <c r="BP446" s="37">
        <v>0</v>
      </c>
      <c r="BQ446" s="37"/>
      <c r="BR446" s="37"/>
      <c r="BS446" s="37"/>
      <c r="BT446" s="37"/>
      <c r="BU446" s="37"/>
      <c r="BV446" s="37"/>
      <c r="BW446" s="37"/>
      <c r="BX446" s="37"/>
      <c r="BY446" s="37"/>
      <c r="BZ446" s="37"/>
      <c r="CA446" s="37"/>
      <c r="CB446" s="37" t="s">
        <v>1124</v>
      </c>
      <c r="CC446" s="37"/>
      <c r="CD446" s="37"/>
      <c r="CE446" s="37"/>
      <c r="CF446" s="37"/>
      <c r="CG446" s="37"/>
      <c r="CH446" s="37"/>
      <c r="CI446" s="37"/>
      <c r="CJ446" s="37"/>
      <c r="CK446" s="37"/>
      <c r="CL446" s="37"/>
      <c r="CM446" s="37"/>
      <c r="CN446" s="37" t="s">
        <v>1124</v>
      </c>
      <c r="CO446" s="37"/>
      <c r="CP446" s="37"/>
      <c r="CQ446" s="37"/>
      <c r="CR446" s="37"/>
      <c r="CS446" s="37"/>
      <c r="CT446" s="37"/>
      <c r="CU446" s="37"/>
      <c r="CV446" s="37"/>
      <c r="CW446" s="37"/>
      <c r="CX446" s="37"/>
      <c r="CY446" s="37"/>
      <c r="CZ446" s="37" t="s">
        <v>1124</v>
      </c>
      <c r="DA446" s="37"/>
      <c r="DB446" s="37"/>
      <c r="DC446" s="37"/>
      <c r="DD446" s="37"/>
      <c r="DE446" s="37"/>
      <c r="DF446" s="37"/>
      <c r="DG446" s="37"/>
      <c r="DH446" s="37"/>
      <c r="DI446" s="37"/>
      <c r="DJ446" s="37"/>
      <c r="DK446" s="37"/>
      <c r="DL446" s="37" t="s">
        <v>1124</v>
      </c>
      <c r="DM446" s="37"/>
      <c r="DN446" s="37"/>
      <c r="DO446" s="37"/>
      <c r="DP446" s="37"/>
      <c r="DQ446" s="37"/>
      <c r="DR446" s="37"/>
      <c r="DS446" s="37"/>
      <c r="DT446" s="37"/>
      <c r="DU446" s="37"/>
      <c r="DV446" s="37"/>
      <c r="DW446" s="37"/>
      <c r="DX446" s="37" t="s">
        <v>1124</v>
      </c>
      <c r="DY446" s="37"/>
      <c r="DZ446" s="37"/>
      <c r="EA446" s="37"/>
      <c r="EB446" s="37"/>
      <c r="EC446" s="37"/>
      <c r="ED446" s="37"/>
      <c r="EE446" s="37"/>
      <c r="EF446" s="37"/>
      <c r="EG446" s="37"/>
      <c r="EH446" s="37"/>
      <c r="EI446" s="37"/>
      <c r="EJ446" s="37" t="s">
        <v>1124</v>
      </c>
      <c r="EK446" s="161"/>
      <c r="EL446" s="294"/>
    </row>
    <row r="447" spans="1:142" ht="15" customHeight="1" x14ac:dyDescent="0.35">
      <c r="A447" s="34"/>
      <c r="B447" s="313">
        <v>49080</v>
      </c>
      <c r="C447" s="8" t="s">
        <v>474</v>
      </c>
      <c r="D447" s="18">
        <v>17</v>
      </c>
      <c r="E447" s="155"/>
      <c r="F447" s="36"/>
      <c r="G447" s="37"/>
      <c r="H447" s="37"/>
      <c r="I447" s="37"/>
      <c r="J447" s="37"/>
      <c r="K447" s="37"/>
      <c r="L447" s="37"/>
      <c r="M447" s="37" t="s">
        <v>1124</v>
      </c>
      <c r="N447" s="37" t="s">
        <v>1124</v>
      </c>
      <c r="O447" s="37"/>
      <c r="P447" s="37"/>
      <c r="Q447" s="37"/>
      <c r="R447" s="37"/>
      <c r="S447" s="37"/>
      <c r="T447" s="37"/>
      <c r="U447" s="37"/>
      <c r="V447" s="37"/>
      <c r="W447" s="37"/>
      <c r="X447" s="37"/>
      <c r="Y447" s="37"/>
      <c r="Z447" s="37"/>
      <c r="AA447" s="37" t="s">
        <v>1124</v>
      </c>
      <c r="AB447" s="37" t="s">
        <v>1124</v>
      </c>
      <c r="AC447" s="37"/>
      <c r="AD447" s="37"/>
      <c r="AE447" s="37"/>
      <c r="AF447" s="168"/>
      <c r="AG447" s="37"/>
      <c r="AH447" s="37"/>
      <c r="AI447" s="37"/>
      <c r="AJ447" s="37"/>
      <c r="AK447" s="37"/>
      <c r="AL447" s="37"/>
      <c r="AM447" s="37"/>
      <c r="AN447" s="37"/>
      <c r="AO447" s="37"/>
      <c r="AP447" s="37"/>
      <c r="AQ447" s="37"/>
      <c r="AR447" s="37" t="s">
        <v>1124</v>
      </c>
      <c r="AS447" s="37"/>
      <c r="AT447" s="37"/>
      <c r="AU447" s="37"/>
      <c r="AV447" s="37"/>
      <c r="AW447" s="37"/>
      <c r="AX447" s="37"/>
      <c r="AY447" s="37"/>
      <c r="AZ447" s="37"/>
      <c r="BA447" s="37"/>
      <c r="BB447" s="37"/>
      <c r="BC447" s="37"/>
      <c r="BD447" s="37" t="s">
        <v>1124</v>
      </c>
      <c r="BE447" s="37"/>
      <c r="BF447" s="37"/>
      <c r="BG447" s="37"/>
      <c r="BH447" s="37"/>
      <c r="BI447" s="37"/>
      <c r="BJ447" s="37"/>
      <c r="BK447" s="37"/>
      <c r="BL447" s="37"/>
      <c r="BM447" s="37"/>
      <c r="BN447" s="37"/>
      <c r="BO447" s="37"/>
      <c r="BP447" s="37">
        <v>0</v>
      </c>
      <c r="BQ447" s="37"/>
      <c r="BR447" s="37"/>
      <c r="BS447" s="37"/>
      <c r="BT447" s="37"/>
      <c r="BU447" s="37"/>
      <c r="BV447" s="37"/>
      <c r="BW447" s="37"/>
      <c r="BX447" s="37"/>
      <c r="BY447" s="37"/>
      <c r="BZ447" s="37"/>
      <c r="CA447" s="37"/>
      <c r="CB447" s="37" t="s">
        <v>1124</v>
      </c>
      <c r="CC447" s="37"/>
      <c r="CD447" s="37"/>
      <c r="CE447" s="37"/>
      <c r="CF447" s="37"/>
      <c r="CG447" s="37"/>
      <c r="CH447" s="37"/>
      <c r="CI447" s="37"/>
      <c r="CJ447" s="37"/>
      <c r="CK447" s="37"/>
      <c r="CL447" s="37"/>
      <c r="CM447" s="37"/>
      <c r="CN447" s="37" t="s">
        <v>1124</v>
      </c>
      <c r="CO447" s="37"/>
      <c r="CP447" s="37"/>
      <c r="CQ447" s="37"/>
      <c r="CR447" s="37"/>
      <c r="CS447" s="37"/>
      <c r="CT447" s="37"/>
      <c r="CU447" s="37"/>
      <c r="CV447" s="37"/>
      <c r="CW447" s="37"/>
      <c r="CX447" s="37"/>
      <c r="CY447" s="37"/>
      <c r="CZ447" s="37" t="s">
        <v>1124</v>
      </c>
      <c r="DA447" s="37"/>
      <c r="DB447" s="37"/>
      <c r="DC447" s="37"/>
      <c r="DD447" s="37"/>
      <c r="DE447" s="37"/>
      <c r="DF447" s="37"/>
      <c r="DG447" s="37"/>
      <c r="DH447" s="37"/>
      <c r="DI447" s="37"/>
      <c r="DJ447" s="37"/>
      <c r="DK447" s="37"/>
      <c r="DL447" s="37" t="s">
        <v>1124</v>
      </c>
      <c r="DM447" s="37"/>
      <c r="DN447" s="37"/>
      <c r="DO447" s="37"/>
      <c r="DP447" s="37"/>
      <c r="DQ447" s="37"/>
      <c r="DR447" s="37"/>
      <c r="DS447" s="37"/>
      <c r="DT447" s="37"/>
      <c r="DU447" s="37"/>
      <c r="DV447" s="37"/>
      <c r="DW447" s="37"/>
      <c r="DX447" s="37" t="s">
        <v>1124</v>
      </c>
      <c r="DY447" s="37"/>
      <c r="DZ447" s="37"/>
      <c r="EA447" s="37"/>
      <c r="EB447" s="37"/>
      <c r="EC447" s="37"/>
      <c r="ED447" s="37"/>
      <c r="EE447" s="37"/>
      <c r="EF447" s="37"/>
      <c r="EG447" s="37"/>
      <c r="EH447" s="37"/>
      <c r="EI447" s="37"/>
      <c r="EJ447" s="37" t="s">
        <v>1124</v>
      </c>
      <c r="EK447" s="161"/>
      <c r="EL447" s="294"/>
    </row>
    <row r="448" spans="1:142" ht="15" customHeight="1" x14ac:dyDescent="0.35">
      <c r="A448" s="34"/>
      <c r="B448" s="313">
        <v>49075</v>
      </c>
      <c r="C448" s="8" t="s">
        <v>473</v>
      </c>
      <c r="D448" s="18">
        <v>17</v>
      </c>
      <c r="E448" s="155">
        <v>151320</v>
      </c>
      <c r="F448" s="36">
        <v>200642</v>
      </c>
      <c r="G448" s="37">
        <v>0</v>
      </c>
      <c r="H448" s="37">
        <v>56569</v>
      </c>
      <c r="I448" s="37">
        <v>0</v>
      </c>
      <c r="J448" s="37">
        <v>6079.27</v>
      </c>
      <c r="K448" s="37">
        <v>22698</v>
      </c>
      <c r="L448" s="37">
        <v>30096.3</v>
      </c>
      <c r="M448" s="37">
        <v>174018</v>
      </c>
      <c r="N448" s="37">
        <v>293386.57</v>
      </c>
      <c r="O448" s="37">
        <v>355570</v>
      </c>
      <c r="P448" s="37">
        <v>0</v>
      </c>
      <c r="Q448" s="37">
        <v>112464</v>
      </c>
      <c r="R448" s="37">
        <v>101578</v>
      </c>
      <c r="S448" s="37">
        <v>6266</v>
      </c>
      <c r="T448" s="37">
        <v>0</v>
      </c>
      <c r="U448" s="37">
        <v>11104</v>
      </c>
      <c r="V448" s="37">
        <v>24068</v>
      </c>
      <c r="W448" s="37">
        <v>0</v>
      </c>
      <c r="X448" s="37">
        <v>0</v>
      </c>
      <c r="Y448" s="37">
        <v>0</v>
      </c>
      <c r="Z448" s="37">
        <v>0</v>
      </c>
      <c r="AA448" s="37">
        <v>485404</v>
      </c>
      <c r="AB448" s="37">
        <v>125646</v>
      </c>
      <c r="AC448" s="37">
        <v>143645</v>
      </c>
      <c r="AD448" s="37">
        <v>0</v>
      </c>
      <c r="AE448" s="37">
        <v>0</v>
      </c>
      <c r="AF448" s="168">
        <v>0.02</v>
      </c>
      <c r="AG448" s="37">
        <v>28284963.02</v>
      </c>
      <c r="AH448" s="37">
        <v>218492.98</v>
      </c>
      <c r="AI448" s="37">
        <v>222862.84</v>
      </c>
      <c r="AJ448" s="37">
        <v>227320.1</v>
      </c>
      <c r="AK448" s="37">
        <v>231866.5</v>
      </c>
      <c r="AL448" s="37">
        <v>236503.83</v>
      </c>
      <c r="AM448" s="37">
        <v>298668.19</v>
      </c>
      <c r="AN448" s="37">
        <v>503823.65</v>
      </c>
      <c r="AO448" s="37">
        <v>250979.76</v>
      </c>
      <c r="AP448" s="37">
        <v>255999.35</v>
      </c>
      <c r="AQ448" s="37">
        <v>261119.34</v>
      </c>
      <c r="AR448" s="37">
        <v>2707636.54</v>
      </c>
      <c r="AS448" s="37">
        <v>380310.06</v>
      </c>
      <c r="AT448" s="37">
        <v>0</v>
      </c>
      <c r="AU448" s="37">
        <v>104040</v>
      </c>
      <c r="AV448" s="37">
        <v>106120.8</v>
      </c>
      <c r="AW448" s="37">
        <v>108243.22</v>
      </c>
      <c r="AX448" s="37">
        <v>0</v>
      </c>
      <c r="AY448" s="37">
        <v>28717.14</v>
      </c>
      <c r="AZ448" s="37">
        <v>29291.48</v>
      </c>
      <c r="BA448" s="37">
        <v>29877.31</v>
      </c>
      <c r="BB448" s="37">
        <v>30474.86</v>
      </c>
      <c r="BC448" s="37">
        <v>0</v>
      </c>
      <c r="BD448" s="37">
        <v>436764.81</v>
      </c>
      <c r="BE448" s="37">
        <v>0</v>
      </c>
      <c r="BF448" s="37">
        <v>0</v>
      </c>
      <c r="BG448" s="37">
        <v>0</v>
      </c>
      <c r="BH448" s="37">
        <v>0</v>
      </c>
      <c r="BI448" s="37">
        <v>0</v>
      </c>
      <c r="BJ448" s="37">
        <v>0</v>
      </c>
      <c r="BK448" s="37">
        <v>0</v>
      </c>
      <c r="BL448" s="37">
        <v>0</v>
      </c>
      <c r="BM448" s="37">
        <v>0</v>
      </c>
      <c r="BN448" s="37">
        <v>0</v>
      </c>
      <c r="BO448" s="37">
        <v>0</v>
      </c>
      <c r="BP448" s="37">
        <v>0</v>
      </c>
      <c r="BQ448" s="37">
        <v>0</v>
      </c>
      <c r="BR448" s="37">
        <v>0</v>
      </c>
      <c r="BS448" s="37">
        <v>0</v>
      </c>
      <c r="BT448" s="37">
        <v>0</v>
      </c>
      <c r="BU448" s="37">
        <v>0</v>
      </c>
      <c r="BV448" s="37">
        <v>0</v>
      </c>
      <c r="BW448" s="37">
        <v>0</v>
      </c>
      <c r="BX448" s="37">
        <v>0</v>
      </c>
      <c r="BY448" s="37">
        <v>0</v>
      </c>
      <c r="BZ448" s="37">
        <v>0</v>
      </c>
      <c r="CA448" s="37">
        <v>0</v>
      </c>
      <c r="CB448" s="37">
        <v>0</v>
      </c>
      <c r="CC448" s="37">
        <v>0</v>
      </c>
      <c r="CD448" s="37">
        <v>0</v>
      </c>
      <c r="CE448" s="37">
        <v>0</v>
      </c>
      <c r="CF448" s="37">
        <v>0</v>
      </c>
      <c r="CG448" s="37">
        <v>0</v>
      </c>
      <c r="CH448" s="37">
        <v>0</v>
      </c>
      <c r="CI448" s="37">
        <v>0</v>
      </c>
      <c r="CJ448" s="37">
        <v>0</v>
      </c>
      <c r="CK448" s="37">
        <v>0</v>
      </c>
      <c r="CL448" s="37">
        <v>0</v>
      </c>
      <c r="CM448" s="37">
        <v>0</v>
      </c>
      <c r="CN448" s="37">
        <v>0</v>
      </c>
      <c r="CO448" s="37">
        <v>0</v>
      </c>
      <c r="CP448" s="37">
        <v>56725.964083719162</v>
      </c>
      <c r="CQ448" s="37">
        <v>61143.430071129391</v>
      </c>
      <c r="CR448" s="37">
        <v>75270.268576143411</v>
      </c>
      <c r="CS448" s="37">
        <v>89397.137269008133</v>
      </c>
      <c r="CT448" s="37">
        <v>0</v>
      </c>
      <c r="CU448" s="37">
        <v>0</v>
      </c>
      <c r="CV448" s="37">
        <v>0</v>
      </c>
      <c r="CW448" s="37">
        <v>0</v>
      </c>
      <c r="CX448" s="37">
        <v>0</v>
      </c>
      <c r="CY448" s="37">
        <v>0</v>
      </c>
      <c r="CZ448" s="37">
        <v>282536.8000000001</v>
      </c>
      <c r="DA448" s="37">
        <v>0</v>
      </c>
      <c r="DB448" s="37">
        <v>0</v>
      </c>
      <c r="DC448" s="37">
        <v>0</v>
      </c>
      <c r="DD448" s="37">
        <v>0</v>
      </c>
      <c r="DE448" s="37">
        <v>0</v>
      </c>
      <c r="DF448" s="37">
        <v>0</v>
      </c>
      <c r="DG448" s="37">
        <v>0</v>
      </c>
      <c r="DH448" s="37">
        <v>0</v>
      </c>
      <c r="DI448" s="37">
        <v>0</v>
      </c>
      <c r="DJ448" s="37">
        <v>0</v>
      </c>
      <c r="DK448" s="37">
        <v>0</v>
      </c>
      <c r="DL448" s="37">
        <v>0</v>
      </c>
      <c r="DM448" s="37">
        <v>0</v>
      </c>
      <c r="DN448" s="37">
        <v>22332.060761755929</v>
      </c>
      <c r="DO448" s="37">
        <v>24071.143039815423</v>
      </c>
      <c r="DP448" s="37">
        <v>29632.642451264514</v>
      </c>
      <c r="DQ448" s="37">
        <v>35194.153747164179</v>
      </c>
      <c r="DR448" s="37">
        <v>0</v>
      </c>
      <c r="DS448" s="37">
        <v>0</v>
      </c>
      <c r="DT448" s="37">
        <v>0</v>
      </c>
      <c r="DU448" s="37">
        <v>0</v>
      </c>
      <c r="DV448" s="37">
        <v>0</v>
      </c>
      <c r="DW448" s="37">
        <v>0</v>
      </c>
      <c r="DX448" s="37">
        <v>111230.00000000004</v>
      </c>
      <c r="DY448" s="37">
        <v>0</v>
      </c>
      <c r="DZ448" s="37">
        <v>0</v>
      </c>
      <c r="EA448" s="37">
        <v>0</v>
      </c>
      <c r="EB448" s="37">
        <v>0</v>
      </c>
      <c r="EC448" s="37">
        <v>0</v>
      </c>
      <c r="ED448" s="37">
        <v>0</v>
      </c>
      <c r="EE448" s="37">
        <v>0</v>
      </c>
      <c r="EF448" s="37">
        <v>0</v>
      </c>
      <c r="EG448" s="37">
        <v>0</v>
      </c>
      <c r="EH448" s="37">
        <v>0</v>
      </c>
      <c r="EI448" s="37">
        <v>0</v>
      </c>
      <c r="EJ448" s="37">
        <v>0</v>
      </c>
      <c r="EK448" s="161" t="s">
        <v>2335</v>
      </c>
      <c r="EL448" s="294" t="s">
        <v>1124</v>
      </c>
    </row>
    <row r="449" spans="1:142" ht="15" customHeight="1" x14ac:dyDescent="0.35">
      <c r="A449" s="34"/>
      <c r="B449" s="313">
        <v>79005</v>
      </c>
      <c r="C449" s="8" t="s">
        <v>786</v>
      </c>
      <c r="D449" s="18">
        <v>15</v>
      </c>
      <c r="E449" s="155"/>
      <c r="F449" s="36"/>
      <c r="G449" s="37"/>
      <c r="H449" s="37"/>
      <c r="I449" s="37"/>
      <c r="J449" s="37"/>
      <c r="K449" s="37"/>
      <c r="L449" s="37"/>
      <c r="M449" s="37" t="s">
        <v>1124</v>
      </c>
      <c r="N449" s="37" t="s">
        <v>1124</v>
      </c>
      <c r="O449" s="37"/>
      <c r="P449" s="37"/>
      <c r="Q449" s="37"/>
      <c r="R449" s="37"/>
      <c r="S449" s="37"/>
      <c r="T449" s="37"/>
      <c r="U449" s="37"/>
      <c r="V449" s="37"/>
      <c r="W449" s="37"/>
      <c r="X449" s="37"/>
      <c r="Y449" s="37"/>
      <c r="Z449" s="37"/>
      <c r="AA449" s="37" t="s">
        <v>1124</v>
      </c>
      <c r="AB449" s="37" t="s">
        <v>1124</v>
      </c>
      <c r="AC449" s="37"/>
      <c r="AD449" s="37"/>
      <c r="AE449" s="37"/>
      <c r="AF449" s="168"/>
      <c r="AG449" s="37"/>
      <c r="AH449" s="37"/>
      <c r="AI449" s="37"/>
      <c r="AJ449" s="37"/>
      <c r="AK449" s="37"/>
      <c r="AL449" s="37"/>
      <c r="AM449" s="37"/>
      <c r="AN449" s="37"/>
      <c r="AO449" s="37"/>
      <c r="AP449" s="37"/>
      <c r="AQ449" s="37"/>
      <c r="AR449" s="37" t="s">
        <v>1124</v>
      </c>
      <c r="AS449" s="37"/>
      <c r="AT449" s="37"/>
      <c r="AU449" s="37"/>
      <c r="AV449" s="37"/>
      <c r="AW449" s="37"/>
      <c r="AX449" s="37"/>
      <c r="AY449" s="37"/>
      <c r="AZ449" s="37"/>
      <c r="BA449" s="37"/>
      <c r="BB449" s="37"/>
      <c r="BC449" s="37"/>
      <c r="BD449" s="37" t="s">
        <v>1124</v>
      </c>
      <c r="BE449" s="37"/>
      <c r="BF449" s="37"/>
      <c r="BG449" s="37"/>
      <c r="BH449" s="37"/>
      <c r="BI449" s="37"/>
      <c r="BJ449" s="37"/>
      <c r="BK449" s="37"/>
      <c r="BL449" s="37"/>
      <c r="BM449" s="37"/>
      <c r="BN449" s="37"/>
      <c r="BO449" s="37"/>
      <c r="BP449" s="37">
        <v>0</v>
      </c>
      <c r="BQ449" s="37"/>
      <c r="BR449" s="37"/>
      <c r="BS449" s="37"/>
      <c r="BT449" s="37"/>
      <c r="BU449" s="37"/>
      <c r="BV449" s="37"/>
      <c r="BW449" s="37"/>
      <c r="BX449" s="37"/>
      <c r="BY449" s="37"/>
      <c r="BZ449" s="37"/>
      <c r="CA449" s="37"/>
      <c r="CB449" s="37" t="s">
        <v>1124</v>
      </c>
      <c r="CC449" s="37"/>
      <c r="CD449" s="37"/>
      <c r="CE449" s="37"/>
      <c r="CF449" s="37"/>
      <c r="CG449" s="37"/>
      <c r="CH449" s="37"/>
      <c r="CI449" s="37"/>
      <c r="CJ449" s="37"/>
      <c r="CK449" s="37"/>
      <c r="CL449" s="37"/>
      <c r="CM449" s="37"/>
      <c r="CN449" s="37" t="s">
        <v>1124</v>
      </c>
      <c r="CO449" s="37"/>
      <c r="CP449" s="37"/>
      <c r="CQ449" s="37"/>
      <c r="CR449" s="37"/>
      <c r="CS449" s="37"/>
      <c r="CT449" s="37"/>
      <c r="CU449" s="37"/>
      <c r="CV449" s="37"/>
      <c r="CW449" s="37"/>
      <c r="CX449" s="37"/>
      <c r="CY449" s="37"/>
      <c r="CZ449" s="37" t="s">
        <v>1124</v>
      </c>
      <c r="DA449" s="37"/>
      <c r="DB449" s="37"/>
      <c r="DC449" s="37"/>
      <c r="DD449" s="37"/>
      <c r="DE449" s="37"/>
      <c r="DF449" s="37"/>
      <c r="DG449" s="37"/>
      <c r="DH449" s="37"/>
      <c r="DI449" s="37"/>
      <c r="DJ449" s="37"/>
      <c r="DK449" s="37"/>
      <c r="DL449" s="37" t="s">
        <v>1124</v>
      </c>
      <c r="DM449" s="37"/>
      <c r="DN449" s="37"/>
      <c r="DO449" s="37"/>
      <c r="DP449" s="37"/>
      <c r="DQ449" s="37"/>
      <c r="DR449" s="37"/>
      <c r="DS449" s="37"/>
      <c r="DT449" s="37"/>
      <c r="DU449" s="37"/>
      <c r="DV449" s="37"/>
      <c r="DW449" s="37"/>
      <c r="DX449" s="37" t="s">
        <v>1124</v>
      </c>
      <c r="DY449" s="37"/>
      <c r="DZ449" s="37"/>
      <c r="EA449" s="37"/>
      <c r="EB449" s="37"/>
      <c r="EC449" s="37"/>
      <c r="ED449" s="37"/>
      <c r="EE449" s="37"/>
      <c r="EF449" s="37"/>
      <c r="EG449" s="37"/>
      <c r="EH449" s="37"/>
      <c r="EI449" s="37"/>
      <c r="EJ449" s="37" t="s">
        <v>1124</v>
      </c>
      <c r="EK449" s="161"/>
      <c r="EL449" s="294"/>
    </row>
    <row r="450" spans="1:142" ht="15" customHeight="1" x14ac:dyDescent="0.35">
      <c r="A450" s="34"/>
      <c r="B450" s="313">
        <v>37235</v>
      </c>
      <c r="C450" s="8" t="s">
        <v>321</v>
      </c>
      <c r="D450" s="18">
        <v>4</v>
      </c>
      <c r="E450" s="155">
        <v>498660</v>
      </c>
      <c r="F450" s="36">
        <v>0</v>
      </c>
      <c r="G450" s="37">
        <v>77216</v>
      </c>
      <c r="H450" s="37">
        <v>0</v>
      </c>
      <c r="I450" s="37">
        <v>174577.51</v>
      </c>
      <c r="J450" s="37">
        <v>0</v>
      </c>
      <c r="K450" s="37">
        <v>74799</v>
      </c>
      <c r="L450" s="37">
        <v>0</v>
      </c>
      <c r="M450" s="37">
        <v>825252.51</v>
      </c>
      <c r="N450" s="37">
        <v>0</v>
      </c>
      <c r="O450" s="37">
        <v>12369.18</v>
      </c>
      <c r="P450" s="37">
        <v>0</v>
      </c>
      <c r="Q450" s="37">
        <v>681882.82</v>
      </c>
      <c r="R450" s="37">
        <v>0</v>
      </c>
      <c r="S450" s="37">
        <v>0</v>
      </c>
      <c r="T450" s="37">
        <v>0</v>
      </c>
      <c r="U450" s="37">
        <v>48065</v>
      </c>
      <c r="V450" s="37">
        <v>0</v>
      </c>
      <c r="W450" s="37">
        <v>82935.510000000009</v>
      </c>
      <c r="X450" s="37">
        <v>0</v>
      </c>
      <c r="Y450" s="37">
        <v>0</v>
      </c>
      <c r="Z450" s="37">
        <v>0</v>
      </c>
      <c r="AA450" s="37">
        <v>825252.51</v>
      </c>
      <c r="AB450" s="37">
        <v>0</v>
      </c>
      <c r="AC450" s="37">
        <v>0</v>
      </c>
      <c r="AD450" s="37">
        <v>0</v>
      </c>
      <c r="AE450" s="37">
        <v>0</v>
      </c>
      <c r="AF450" s="168">
        <v>0.02</v>
      </c>
      <c r="AG450" s="37">
        <v>60013427.969999999</v>
      </c>
      <c r="AH450" s="37">
        <v>577078.89</v>
      </c>
      <c r="AI450" s="37">
        <v>588620.47</v>
      </c>
      <c r="AJ450" s="37">
        <v>605805.04</v>
      </c>
      <c r="AK450" s="37">
        <v>612400.73</v>
      </c>
      <c r="AL450" s="37">
        <v>624648.75</v>
      </c>
      <c r="AM450" s="37">
        <v>637141.72</v>
      </c>
      <c r="AN450" s="37">
        <v>649884.56000000006</v>
      </c>
      <c r="AO450" s="37">
        <v>662882.25</v>
      </c>
      <c r="AP450" s="37">
        <v>676139.89</v>
      </c>
      <c r="AQ450" s="37">
        <v>689662.69</v>
      </c>
      <c r="AR450" s="37">
        <v>6324264.9899999993</v>
      </c>
      <c r="AS450" s="37">
        <v>909153.54</v>
      </c>
      <c r="AT450" s="37">
        <v>0</v>
      </c>
      <c r="AU450" s="37">
        <v>18727.2</v>
      </c>
      <c r="AV450" s="37">
        <v>19101.740000000002</v>
      </c>
      <c r="AW450" s="37">
        <v>19483.78</v>
      </c>
      <c r="AX450" s="37">
        <v>19873.45</v>
      </c>
      <c r="AY450" s="37">
        <v>20270.919999999998</v>
      </c>
      <c r="AZ450" s="37">
        <v>0</v>
      </c>
      <c r="BA450" s="37">
        <v>0</v>
      </c>
      <c r="BB450" s="37">
        <v>0</v>
      </c>
      <c r="BC450" s="37">
        <v>0</v>
      </c>
      <c r="BD450" s="37">
        <v>97457.09</v>
      </c>
      <c r="BE450" s="37">
        <v>0</v>
      </c>
      <c r="BF450" s="37">
        <v>339834.50958828098</v>
      </c>
      <c r="BG450" s="37">
        <v>376215.15075399273</v>
      </c>
      <c r="BH450" s="37">
        <v>463137.50155535317</v>
      </c>
      <c r="BI450" s="37">
        <v>550060.03810237395</v>
      </c>
      <c r="BJ450" s="37">
        <v>59741.709635648207</v>
      </c>
      <c r="BK450" s="37">
        <v>289292.79995263211</v>
      </c>
      <c r="BL450" s="37">
        <v>376215.15075399273</v>
      </c>
      <c r="BM450" s="37">
        <v>463137.50155535317</v>
      </c>
      <c r="BN450" s="37">
        <v>550060.03810237395</v>
      </c>
      <c r="BO450" s="37">
        <v>0</v>
      </c>
      <c r="BP450" s="37">
        <v>3467694.4000000008</v>
      </c>
      <c r="BQ450" s="37">
        <v>0</v>
      </c>
      <c r="BR450" s="37">
        <v>0</v>
      </c>
      <c r="BS450" s="37">
        <v>0</v>
      </c>
      <c r="BT450" s="37">
        <v>0</v>
      </c>
      <c r="BU450" s="37">
        <v>0</v>
      </c>
      <c r="BV450" s="37">
        <v>0</v>
      </c>
      <c r="BW450" s="37">
        <v>0</v>
      </c>
      <c r="BX450" s="37">
        <v>0</v>
      </c>
      <c r="BY450" s="37">
        <v>0</v>
      </c>
      <c r="BZ450" s="37">
        <v>0</v>
      </c>
      <c r="CA450" s="37">
        <v>0</v>
      </c>
      <c r="CB450" s="37">
        <v>0</v>
      </c>
      <c r="CC450" s="37">
        <v>0</v>
      </c>
      <c r="CD450" s="37">
        <v>0</v>
      </c>
      <c r="CE450" s="37">
        <v>0</v>
      </c>
      <c r="CF450" s="37">
        <v>0</v>
      </c>
      <c r="CG450" s="37">
        <v>0</v>
      </c>
      <c r="CH450" s="37">
        <v>0</v>
      </c>
      <c r="CI450" s="37">
        <v>0</v>
      </c>
      <c r="CJ450" s="37">
        <v>0</v>
      </c>
      <c r="CK450" s="37">
        <v>0</v>
      </c>
      <c r="CL450" s="37">
        <v>0</v>
      </c>
      <c r="CM450" s="37">
        <v>0</v>
      </c>
      <c r="CN450" s="37">
        <v>0</v>
      </c>
      <c r="CO450" s="37">
        <v>0</v>
      </c>
      <c r="CP450" s="37">
        <v>9200</v>
      </c>
      <c r="CQ450" s="37">
        <v>0</v>
      </c>
      <c r="CR450" s="37">
        <v>0</v>
      </c>
      <c r="CS450" s="37">
        <v>0</v>
      </c>
      <c r="CT450" s="37">
        <v>0</v>
      </c>
      <c r="CU450" s="37">
        <v>0</v>
      </c>
      <c r="CV450" s="37">
        <v>0</v>
      </c>
      <c r="CW450" s="37">
        <v>0</v>
      </c>
      <c r="CX450" s="37">
        <v>0</v>
      </c>
      <c r="CY450" s="37">
        <v>0</v>
      </c>
      <c r="CZ450" s="37">
        <v>9200</v>
      </c>
      <c r="DA450" s="37">
        <v>0</v>
      </c>
      <c r="DB450" s="37">
        <v>0</v>
      </c>
      <c r="DC450" s="37">
        <v>0</v>
      </c>
      <c r="DD450" s="37">
        <v>0</v>
      </c>
      <c r="DE450" s="37">
        <v>0</v>
      </c>
      <c r="DF450" s="37">
        <v>0</v>
      </c>
      <c r="DG450" s="37">
        <v>0</v>
      </c>
      <c r="DH450" s="37">
        <v>0</v>
      </c>
      <c r="DI450" s="37">
        <v>0</v>
      </c>
      <c r="DJ450" s="37">
        <v>0</v>
      </c>
      <c r="DK450" s="37">
        <v>0</v>
      </c>
      <c r="DL450" s="37">
        <v>0</v>
      </c>
      <c r="DM450" s="37">
        <v>0</v>
      </c>
      <c r="DN450" s="37">
        <v>0</v>
      </c>
      <c r="DO450" s="37">
        <v>0</v>
      </c>
      <c r="DP450" s="37">
        <v>0</v>
      </c>
      <c r="DQ450" s="37">
        <v>0</v>
      </c>
      <c r="DR450" s="37">
        <v>0</v>
      </c>
      <c r="DS450" s="37">
        <v>0</v>
      </c>
      <c r="DT450" s="37">
        <v>0</v>
      </c>
      <c r="DU450" s="37">
        <v>0</v>
      </c>
      <c r="DV450" s="37">
        <v>0</v>
      </c>
      <c r="DW450" s="37">
        <v>0</v>
      </c>
      <c r="DX450" s="37">
        <v>0</v>
      </c>
      <c r="DY450" s="37">
        <v>0</v>
      </c>
      <c r="DZ450" s="37">
        <v>0</v>
      </c>
      <c r="EA450" s="37">
        <v>0</v>
      </c>
      <c r="EB450" s="37">
        <v>0</v>
      </c>
      <c r="EC450" s="37">
        <v>0</v>
      </c>
      <c r="ED450" s="37">
        <v>0</v>
      </c>
      <c r="EE450" s="37">
        <v>0</v>
      </c>
      <c r="EF450" s="37">
        <v>0</v>
      </c>
      <c r="EG450" s="37">
        <v>0</v>
      </c>
      <c r="EH450" s="37">
        <v>0</v>
      </c>
      <c r="EI450" s="37">
        <v>0</v>
      </c>
      <c r="EJ450" s="37">
        <v>0</v>
      </c>
      <c r="EK450" s="161" t="s">
        <v>2338</v>
      </c>
      <c r="EL450" s="294" t="s">
        <v>1124</v>
      </c>
    </row>
    <row r="451" spans="1:142" ht="15" customHeight="1" x14ac:dyDescent="0.35">
      <c r="A451" s="34"/>
      <c r="B451" s="313">
        <v>85090</v>
      </c>
      <c r="C451" s="8" t="s">
        <v>885</v>
      </c>
      <c r="D451" s="18">
        <v>8</v>
      </c>
      <c r="E451" s="155">
        <v>149378</v>
      </c>
      <c r="F451" s="36">
        <v>185501</v>
      </c>
      <c r="G451" s="37">
        <v>2913</v>
      </c>
      <c r="H451" s="37">
        <v>1468</v>
      </c>
      <c r="I451" s="37">
        <v>8600</v>
      </c>
      <c r="J451" s="37">
        <v>6900</v>
      </c>
      <c r="K451" s="37">
        <v>22406</v>
      </c>
      <c r="L451" s="37">
        <v>27825</v>
      </c>
      <c r="M451" s="37">
        <v>183297</v>
      </c>
      <c r="N451" s="37">
        <v>221694</v>
      </c>
      <c r="O451" s="37">
        <v>0</v>
      </c>
      <c r="P451" s="37">
        <v>0</v>
      </c>
      <c r="Q451" s="37">
        <v>63187</v>
      </c>
      <c r="R451" s="37">
        <v>69918</v>
      </c>
      <c r="S451" s="37">
        <v>0</v>
      </c>
      <c r="T451" s="37">
        <v>29431</v>
      </c>
      <c r="U451" s="37">
        <v>0</v>
      </c>
      <c r="V451" s="37">
        <v>0</v>
      </c>
      <c r="W451" s="37">
        <v>121228</v>
      </c>
      <c r="X451" s="37">
        <v>121227</v>
      </c>
      <c r="Y451" s="37">
        <v>0</v>
      </c>
      <c r="Z451" s="37">
        <v>0</v>
      </c>
      <c r="AA451" s="37">
        <v>184415</v>
      </c>
      <c r="AB451" s="37">
        <v>220576</v>
      </c>
      <c r="AC451" s="37">
        <v>0</v>
      </c>
      <c r="AD451" s="37">
        <v>0</v>
      </c>
      <c r="AE451" s="37">
        <v>0</v>
      </c>
      <c r="AF451" s="168">
        <v>0.02</v>
      </c>
      <c r="AG451" s="37">
        <v>10230558.34</v>
      </c>
      <c r="AH451" s="37">
        <v>70114.11</v>
      </c>
      <c r="AI451" s="37">
        <v>71516.399999999994</v>
      </c>
      <c r="AJ451" s="37">
        <v>72946.720000000001</v>
      </c>
      <c r="AK451" s="37">
        <v>74405.66</v>
      </c>
      <c r="AL451" s="37">
        <v>75893.77</v>
      </c>
      <c r="AM451" s="37">
        <v>77411.649999999994</v>
      </c>
      <c r="AN451" s="37">
        <v>78959.88</v>
      </c>
      <c r="AO451" s="37">
        <v>80539.08</v>
      </c>
      <c r="AP451" s="37">
        <v>82149.86</v>
      </c>
      <c r="AQ451" s="37">
        <v>83792.86</v>
      </c>
      <c r="AR451" s="37">
        <v>767729.99</v>
      </c>
      <c r="AS451" s="37">
        <v>70331.039999999994</v>
      </c>
      <c r="AT451" s="37">
        <v>1625451.6</v>
      </c>
      <c r="AU451" s="37">
        <v>1414944</v>
      </c>
      <c r="AV451" s="37">
        <v>1443242.88</v>
      </c>
      <c r="AW451" s="37">
        <v>0</v>
      </c>
      <c r="AX451" s="37">
        <v>0</v>
      </c>
      <c r="AY451" s="37">
        <v>0</v>
      </c>
      <c r="AZ451" s="37">
        <v>0</v>
      </c>
      <c r="BA451" s="37">
        <v>0</v>
      </c>
      <c r="BB451" s="37">
        <v>0</v>
      </c>
      <c r="BC451" s="37">
        <v>0</v>
      </c>
      <c r="BD451" s="37">
        <v>4483638.4800000004</v>
      </c>
      <c r="BE451" s="37">
        <v>188657</v>
      </c>
      <c r="BF451" s="37">
        <v>0</v>
      </c>
      <c r="BG451" s="37">
        <v>0</v>
      </c>
      <c r="BH451" s="37">
        <v>0</v>
      </c>
      <c r="BI451" s="37">
        <v>0</v>
      </c>
      <c r="BJ451" s="37">
        <v>0</v>
      </c>
      <c r="BK451" s="37">
        <v>0</v>
      </c>
      <c r="BL451" s="37">
        <v>0</v>
      </c>
      <c r="BM451" s="37">
        <v>0</v>
      </c>
      <c r="BN451" s="37">
        <v>0</v>
      </c>
      <c r="BO451" s="37">
        <v>0</v>
      </c>
      <c r="BP451" s="37">
        <v>0</v>
      </c>
      <c r="BQ451" s="37">
        <v>0</v>
      </c>
      <c r="BR451" s="37">
        <v>0</v>
      </c>
      <c r="BS451" s="37">
        <v>0</v>
      </c>
      <c r="BT451" s="37">
        <v>0</v>
      </c>
      <c r="BU451" s="37">
        <v>0</v>
      </c>
      <c r="BV451" s="37">
        <v>0</v>
      </c>
      <c r="BW451" s="37">
        <v>0</v>
      </c>
      <c r="BX451" s="37">
        <v>0</v>
      </c>
      <c r="BY451" s="37">
        <v>0</v>
      </c>
      <c r="BZ451" s="37">
        <v>0</v>
      </c>
      <c r="CA451" s="37">
        <v>0</v>
      </c>
      <c r="CB451" s="37">
        <v>0</v>
      </c>
      <c r="CC451" s="37">
        <v>0</v>
      </c>
      <c r="CD451" s="37">
        <v>0</v>
      </c>
      <c r="CE451" s="37">
        <v>0</v>
      </c>
      <c r="CF451" s="37">
        <v>0</v>
      </c>
      <c r="CG451" s="37">
        <v>0</v>
      </c>
      <c r="CH451" s="37">
        <v>0</v>
      </c>
      <c r="CI451" s="37">
        <v>0</v>
      </c>
      <c r="CJ451" s="37">
        <v>0</v>
      </c>
      <c r="CK451" s="37">
        <v>0</v>
      </c>
      <c r="CL451" s="37">
        <v>0</v>
      </c>
      <c r="CM451" s="37">
        <v>0</v>
      </c>
      <c r="CN451" s="37">
        <v>0</v>
      </c>
      <c r="CO451" s="37">
        <v>36924</v>
      </c>
      <c r="CP451" s="37">
        <v>0</v>
      </c>
      <c r="CQ451" s="37">
        <v>3300000</v>
      </c>
      <c r="CR451" s="37">
        <v>550000</v>
      </c>
      <c r="CS451" s="37">
        <v>0</v>
      </c>
      <c r="CT451" s="37">
        <v>0</v>
      </c>
      <c r="CU451" s="37">
        <v>0</v>
      </c>
      <c r="CV451" s="37">
        <v>0</v>
      </c>
      <c r="CW451" s="37">
        <v>0</v>
      </c>
      <c r="CX451" s="37">
        <v>0</v>
      </c>
      <c r="CY451" s="37">
        <v>0</v>
      </c>
      <c r="CZ451" s="37">
        <v>3850000</v>
      </c>
      <c r="DA451" s="37">
        <v>0</v>
      </c>
      <c r="DB451" s="37">
        <v>0</v>
      </c>
      <c r="DC451" s="37">
        <v>0</v>
      </c>
      <c r="DD451" s="37">
        <v>0</v>
      </c>
      <c r="DE451" s="37">
        <v>0</v>
      </c>
      <c r="DF451" s="37">
        <v>0</v>
      </c>
      <c r="DG451" s="37">
        <v>0</v>
      </c>
      <c r="DH451" s="37">
        <v>0</v>
      </c>
      <c r="DI451" s="37">
        <v>0</v>
      </c>
      <c r="DJ451" s="37">
        <v>0</v>
      </c>
      <c r="DK451" s="37">
        <v>0</v>
      </c>
      <c r="DL451" s="37">
        <v>0</v>
      </c>
      <c r="DM451" s="37">
        <v>0</v>
      </c>
      <c r="DN451" s="37">
        <v>0</v>
      </c>
      <c r="DO451" s="37">
        <v>0</v>
      </c>
      <c r="DP451" s="37">
        <v>0</v>
      </c>
      <c r="DQ451" s="37">
        <v>0</v>
      </c>
      <c r="DR451" s="37">
        <v>0</v>
      </c>
      <c r="DS451" s="37">
        <v>0</v>
      </c>
      <c r="DT451" s="37">
        <v>0</v>
      </c>
      <c r="DU451" s="37">
        <v>0</v>
      </c>
      <c r="DV451" s="37">
        <v>0</v>
      </c>
      <c r="DW451" s="37">
        <v>0</v>
      </c>
      <c r="DX451" s="37">
        <v>0</v>
      </c>
      <c r="DY451" s="37">
        <v>0</v>
      </c>
      <c r="DZ451" s="37">
        <v>0</v>
      </c>
      <c r="EA451" s="37">
        <v>0</v>
      </c>
      <c r="EB451" s="37">
        <v>0</v>
      </c>
      <c r="EC451" s="37">
        <v>0</v>
      </c>
      <c r="ED451" s="37">
        <v>0</v>
      </c>
      <c r="EE451" s="37">
        <v>0</v>
      </c>
      <c r="EF451" s="37">
        <v>0</v>
      </c>
      <c r="EG451" s="37">
        <v>0</v>
      </c>
      <c r="EH451" s="37">
        <v>0</v>
      </c>
      <c r="EI451" s="37">
        <v>0</v>
      </c>
      <c r="EJ451" s="37">
        <v>0</v>
      </c>
      <c r="EK451" s="161" t="s">
        <v>2341</v>
      </c>
      <c r="EL451" s="294" t="s">
        <v>1124</v>
      </c>
    </row>
    <row r="452" spans="1:142" ht="15" customHeight="1" x14ac:dyDescent="0.35">
      <c r="A452" s="34"/>
      <c r="B452" s="313">
        <v>12080</v>
      </c>
      <c r="C452" s="8" t="s">
        <v>40</v>
      </c>
      <c r="D452" s="18">
        <v>1</v>
      </c>
      <c r="E452" s="155">
        <v>57361</v>
      </c>
      <c r="F452" s="36">
        <v>86889</v>
      </c>
      <c r="G452" s="37">
        <v>72071</v>
      </c>
      <c r="H452" s="37">
        <v>71761</v>
      </c>
      <c r="I452" s="37">
        <v>103700</v>
      </c>
      <c r="J452" s="37">
        <v>162520</v>
      </c>
      <c r="K452" s="37">
        <v>18300</v>
      </c>
      <c r="L452" s="37">
        <v>28680</v>
      </c>
      <c r="M452" s="37">
        <v>251432</v>
      </c>
      <c r="N452" s="37">
        <v>349850</v>
      </c>
      <c r="O452" s="37">
        <v>0</v>
      </c>
      <c r="P452" s="37">
        <v>0</v>
      </c>
      <c r="Q452" s="37">
        <v>34147</v>
      </c>
      <c r="R452" s="37">
        <v>33565</v>
      </c>
      <c r="S452" s="37">
        <v>0</v>
      </c>
      <c r="T452" s="37">
        <v>0</v>
      </c>
      <c r="U452" s="37">
        <v>138355</v>
      </c>
      <c r="V452" s="37">
        <v>0</v>
      </c>
      <c r="W452" s="37">
        <v>197608</v>
      </c>
      <c r="X452" s="37">
        <v>197608</v>
      </c>
      <c r="Y452" s="37">
        <v>81621</v>
      </c>
      <c r="Z452" s="37">
        <v>0</v>
      </c>
      <c r="AA452" s="37">
        <v>451731</v>
      </c>
      <c r="AB452" s="37">
        <v>231173</v>
      </c>
      <c r="AC452" s="37">
        <v>81622</v>
      </c>
      <c r="AD452" s="37">
        <v>81622</v>
      </c>
      <c r="AE452" s="37">
        <v>118779</v>
      </c>
      <c r="AF452" s="168">
        <v>0.02</v>
      </c>
      <c r="AG452" s="37">
        <v>6423774.6100000003</v>
      </c>
      <c r="AH452" s="37">
        <v>43250.87</v>
      </c>
      <c r="AI452" s="37">
        <v>46026.06</v>
      </c>
      <c r="AJ452" s="37">
        <v>46080.639999999999</v>
      </c>
      <c r="AK452" s="37">
        <v>46004.61</v>
      </c>
      <c r="AL452" s="37">
        <v>49177.03</v>
      </c>
      <c r="AM452" s="37">
        <v>47001.68</v>
      </c>
      <c r="AN452" s="37">
        <v>47941.72</v>
      </c>
      <c r="AO452" s="37">
        <v>48900.55</v>
      </c>
      <c r="AP452" s="37">
        <v>49878.559999999998</v>
      </c>
      <c r="AQ452" s="37">
        <v>50876.13</v>
      </c>
      <c r="AR452" s="37">
        <v>475137.85</v>
      </c>
      <c r="AS452" s="37">
        <v>2080.8000000000002</v>
      </c>
      <c r="AT452" s="37">
        <v>36108</v>
      </c>
      <c r="AU452" s="37">
        <v>44653.97</v>
      </c>
      <c r="AV452" s="37">
        <v>1558927.29</v>
      </c>
      <c r="AW452" s="37">
        <v>28684.45</v>
      </c>
      <c r="AX452" s="37">
        <v>29258.14</v>
      </c>
      <c r="AY452" s="37">
        <v>28154.06</v>
      </c>
      <c r="AZ452" s="37">
        <v>0</v>
      </c>
      <c r="BA452" s="37">
        <v>0</v>
      </c>
      <c r="BB452" s="37">
        <v>0</v>
      </c>
      <c r="BC452" s="37">
        <v>0</v>
      </c>
      <c r="BD452" s="37">
        <v>1725785.91</v>
      </c>
      <c r="BE452" s="37">
        <v>0</v>
      </c>
      <c r="BF452" s="37">
        <v>0</v>
      </c>
      <c r="BG452" s="37">
        <v>0</v>
      </c>
      <c r="BH452" s="37">
        <v>0</v>
      </c>
      <c r="BI452" s="37">
        <v>0</v>
      </c>
      <c r="BJ452" s="37">
        <v>0</v>
      </c>
      <c r="BK452" s="37">
        <v>0</v>
      </c>
      <c r="BL452" s="37">
        <v>0</v>
      </c>
      <c r="BM452" s="37">
        <v>0</v>
      </c>
      <c r="BN452" s="37">
        <v>0</v>
      </c>
      <c r="BO452" s="37">
        <v>0</v>
      </c>
      <c r="BP452" s="37">
        <v>0</v>
      </c>
      <c r="BQ452" s="37">
        <v>0</v>
      </c>
      <c r="BR452" s="37">
        <v>0</v>
      </c>
      <c r="BS452" s="37">
        <v>0</v>
      </c>
      <c r="BT452" s="37">
        <v>0</v>
      </c>
      <c r="BU452" s="37">
        <v>0</v>
      </c>
      <c r="BV452" s="37">
        <v>0</v>
      </c>
      <c r="BW452" s="37">
        <v>0</v>
      </c>
      <c r="BX452" s="37">
        <v>0</v>
      </c>
      <c r="BY452" s="37">
        <v>0</v>
      </c>
      <c r="BZ452" s="37">
        <v>0</v>
      </c>
      <c r="CA452" s="37">
        <v>0</v>
      </c>
      <c r="CB452" s="37">
        <v>0</v>
      </c>
      <c r="CC452" s="37">
        <v>19469</v>
      </c>
      <c r="CD452" s="37">
        <v>0</v>
      </c>
      <c r="CE452" s="37">
        <v>0</v>
      </c>
      <c r="CF452" s="37">
        <v>0</v>
      </c>
      <c r="CG452" s="37">
        <v>0</v>
      </c>
      <c r="CH452" s="37">
        <v>0</v>
      </c>
      <c r="CI452" s="37">
        <v>0</v>
      </c>
      <c r="CJ452" s="37">
        <v>0</v>
      </c>
      <c r="CK452" s="37">
        <v>0</v>
      </c>
      <c r="CL452" s="37">
        <v>0</v>
      </c>
      <c r="CM452" s="37">
        <v>0</v>
      </c>
      <c r="CN452" s="37">
        <v>0</v>
      </c>
      <c r="CO452" s="37">
        <v>0</v>
      </c>
      <c r="CP452" s="37">
        <v>0</v>
      </c>
      <c r="CQ452" s="37">
        <v>32000</v>
      </c>
      <c r="CR452" s="37">
        <v>0</v>
      </c>
      <c r="CS452" s="37">
        <v>0</v>
      </c>
      <c r="CT452" s="37">
        <v>0</v>
      </c>
      <c r="CU452" s="37">
        <v>0</v>
      </c>
      <c r="CV452" s="37">
        <v>0</v>
      </c>
      <c r="CW452" s="37">
        <v>0</v>
      </c>
      <c r="CX452" s="37">
        <v>0</v>
      </c>
      <c r="CY452" s="37">
        <v>0</v>
      </c>
      <c r="CZ452" s="37">
        <v>32000</v>
      </c>
      <c r="DA452" s="37">
        <v>0</v>
      </c>
      <c r="DB452" s="37">
        <v>0</v>
      </c>
      <c r="DC452" s="37">
        <v>50000</v>
      </c>
      <c r="DD452" s="37">
        <v>0</v>
      </c>
      <c r="DE452" s="37">
        <v>0</v>
      </c>
      <c r="DF452" s="37">
        <v>0</v>
      </c>
      <c r="DG452" s="37">
        <v>0</v>
      </c>
      <c r="DH452" s="37">
        <v>0</v>
      </c>
      <c r="DI452" s="37">
        <v>0</v>
      </c>
      <c r="DJ452" s="37">
        <v>0</v>
      </c>
      <c r="DK452" s="37">
        <v>0</v>
      </c>
      <c r="DL452" s="37">
        <v>50000</v>
      </c>
      <c r="DM452" s="37">
        <v>0</v>
      </c>
      <c r="DN452" s="37">
        <v>16000</v>
      </c>
      <c r="DO452" s="37">
        <v>47500</v>
      </c>
      <c r="DP452" s="37">
        <v>90000</v>
      </c>
      <c r="DQ452" s="37">
        <v>0</v>
      </c>
      <c r="DR452" s="37">
        <v>0</v>
      </c>
      <c r="DS452" s="37">
        <v>0</v>
      </c>
      <c r="DT452" s="37">
        <v>0</v>
      </c>
      <c r="DU452" s="37">
        <v>0</v>
      </c>
      <c r="DV452" s="37">
        <v>0</v>
      </c>
      <c r="DW452" s="37">
        <v>0</v>
      </c>
      <c r="DX452" s="37">
        <v>153500</v>
      </c>
      <c r="DY452" s="37">
        <v>0</v>
      </c>
      <c r="DZ452" s="37">
        <v>0</v>
      </c>
      <c r="EA452" s="37">
        <v>0</v>
      </c>
      <c r="EB452" s="37">
        <v>0</v>
      </c>
      <c r="EC452" s="37">
        <v>0</v>
      </c>
      <c r="ED452" s="37">
        <v>0</v>
      </c>
      <c r="EE452" s="37">
        <v>0</v>
      </c>
      <c r="EF452" s="37">
        <v>0</v>
      </c>
      <c r="EG452" s="37">
        <v>0</v>
      </c>
      <c r="EH452" s="37">
        <v>0</v>
      </c>
      <c r="EI452" s="37">
        <v>0</v>
      </c>
      <c r="EJ452" s="37">
        <v>0</v>
      </c>
      <c r="EK452" s="161" t="s">
        <v>2345</v>
      </c>
      <c r="EL452" s="294" t="s">
        <v>1124</v>
      </c>
    </row>
    <row r="453" spans="1:142" ht="15" customHeight="1" x14ac:dyDescent="0.35">
      <c r="A453" s="34"/>
      <c r="B453" s="313">
        <v>18040</v>
      </c>
      <c r="C453" s="8" t="s">
        <v>111</v>
      </c>
      <c r="D453" s="18">
        <v>12</v>
      </c>
      <c r="E453" s="155">
        <v>42940</v>
      </c>
      <c r="F453" s="36">
        <v>58851</v>
      </c>
      <c r="G453" s="37">
        <v>20797</v>
      </c>
      <c r="H453" s="37">
        <v>20796</v>
      </c>
      <c r="I453" s="37">
        <v>195000</v>
      </c>
      <c r="J453" s="37">
        <v>195000</v>
      </c>
      <c r="K453" s="37">
        <v>6441</v>
      </c>
      <c r="L453" s="37">
        <v>8828</v>
      </c>
      <c r="M453" s="37">
        <v>265178</v>
      </c>
      <c r="N453" s="37">
        <v>283475</v>
      </c>
      <c r="O453" s="37">
        <v>0</v>
      </c>
      <c r="P453" s="37">
        <v>0</v>
      </c>
      <c r="Q453" s="37">
        <v>31610</v>
      </c>
      <c r="R453" s="37">
        <v>25750</v>
      </c>
      <c r="S453" s="37">
        <v>0</v>
      </c>
      <c r="T453" s="37">
        <v>0</v>
      </c>
      <c r="U453" s="37">
        <v>14605</v>
      </c>
      <c r="V453" s="37">
        <v>14604</v>
      </c>
      <c r="W453" s="37">
        <v>231042</v>
      </c>
      <c r="X453" s="37">
        <v>231042</v>
      </c>
      <c r="Y453" s="37">
        <v>0</v>
      </c>
      <c r="Z453" s="37">
        <v>0</v>
      </c>
      <c r="AA453" s="37">
        <v>277257</v>
      </c>
      <c r="AB453" s="37">
        <v>271396</v>
      </c>
      <c r="AC453" s="37">
        <v>0</v>
      </c>
      <c r="AD453" s="37">
        <v>0</v>
      </c>
      <c r="AE453" s="37">
        <v>0</v>
      </c>
      <c r="AF453" s="168">
        <v>0.02</v>
      </c>
      <c r="AG453" s="37">
        <v>10810917.810000001</v>
      </c>
      <c r="AH453" s="37">
        <v>76839.42</v>
      </c>
      <c r="AI453" s="37">
        <v>78376.210000000006</v>
      </c>
      <c r="AJ453" s="37">
        <v>79943.73</v>
      </c>
      <c r="AK453" s="37">
        <v>81542.61</v>
      </c>
      <c r="AL453" s="37">
        <v>83173.460000000006</v>
      </c>
      <c r="AM453" s="37">
        <v>84836.93</v>
      </c>
      <c r="AN453" s="37">
        <v>86533.67</v>
      </c>
      <c r="AO453" s="37">
        <v>88264.34</v>
      </c>
      <c r="AP453" s="37">
        <v>90029.63</v>
      </c>
      <c r="AQ453" s="37">
        <v>91830.22</v>
      </c>
      <c r="AR453" s="37">
        <v>841370.22</v>
      </c>
      <c r="AS453" s="37">
        <v>0</v>
      </c>
      <c r="AT453" s="37">
        <v>622200</v>
      </c>
      <c r="AU453" s="37">
        <v>0</v>
      </c>
      <c r="AV453" s="37">
        <v>0</v>
      </c>
      <c r="AW453" s="37">
        <v>1082432.1599999999</v>
      </c>
      <c r="AX453" s="37">
        <v>0</v>
      </c>
      <c r="AY453" s="37">
        <v>0</v>
      </c>
      <c r="AZ453" s="37">
        <v>0</v>
      </c>
      <c r="BA453" s="37">
        <v>52724.67</v>
      </c>
      <c r="BB453" s="37">
        <v>0</v>
      </c>
      <c r="BC453" s="37">
        <v>0</v>
      </c>
      <c r="BD453" s="37">
        <v>1757356.8299999998</v>
      </c>
      <c r="BE453" s="37">
        <v>0</v>
      </c>
      <c r="BF453" s="37">
        <v>610000</v>
      </c>
      <c r="BG453" s="37">
        <v>0</v>
      </c>
      <c r="BH453" s="37">
        <v>0</v>
      </c>
      <c r="BI453" s="37">
        <v>0</v>
      </c>
      <c r="BJ453" s="37">
        <v>0</v>
      </c>
      <c r="BK453" s="37">
        <v>0</v>
      </c>
      <c r="BL453" s="37">
        <v>0</v>
      </c>
      <c r="BM453" s="37">
        <v>0</v>
      </c>
      <c r="BN453" s="37">
        <v>0</v>
      </c>
      <c r="BO453" s="37">
        <v>0</v>
      </c>
      <c r="BP453" s="37">
        <v>610000</v>
      </c>
      <c r="BQ453" s="37">
        <v>0</v>
      </c>
      <c r="BR453" s="37">
        <v>0</v>
      </c>
      <c r="BS453" s="37">
        <v>0</v>
      </c>
      <c r="BT453" s="37">
        <v>0</v>
      </c>
      <c r="BU453" s="37">
        <v>0</v>
      </c>
      <c r="BV453" s="37">
        <v>0</v>
      </c>
      <c r="BW453" s="37">
        <v>0</v>
      </c>
      <c r="BX453" s="37">
        <v>0</v>
      </c>
      <c r="BY453" s="37">
        <v>0</v>
      </c>
      <c r="BZ453" s="37">
        <v>0</v>
      </c>
      <c r="CA453" s="37">
        <v>0</v>
      </c>
      <c r="CB453" s="37">
        <v>0</v>
      </c>
      <c r="CC453" s="37">
        <v>0</v>
      </c>
      <c r="CD453" s="37">
        <v>0</v>
      </c>
      <c r="CE453" s="37">
        <v>0</v>
      </c>
      <c r="CF453" s="37">
        <v>0</v>
      </c>
      <c r="CG453" s="37">
        <v>0</v>
      </c>
      <c r="CH453" s="37">
        <v>0</v>
      </c>
      <c r="CI453" s="37">
        <v>0</v>
      </c>
      <c r="CJ453" s="37">
        <v>0</v>
      </c>
      <c r="CK453" s="37">
        <v>0</v>
      </c>
      <c r="CL453" s="37">
        <v>0</v>
      </c>
      <c r="CM453" s="37">
        <v>0</v>
      </c>
      <c r="CN453" s="37">
        <v>0</v>
      </c>
      <c r="CO453" s="37">
        <v>0</v>
      </c>
      <c r="CP453" s="37">
        <v>0</v>
      </c>
      <c r="CQ453" s="37">
        <v>0</v>
      </c>
      <c r="CR453" s="37">
        <v>0</v>
      </c>
      <c r="CS453" s="37">
        <v>0</v>
      </c>
      <c r="CT453" s="37">
        <v>0</v>
      </c>
      <c r="CU453" s="37">
        <v>0</v>
      </c>
      <c r="CV453" s="37">
        <v>0</v>
      </c>
      <c r="CW453" s="37">
        <v>0</v>
      </c>
      <c r="CX453" s="37">
        <v>0</v>
      </c>
      <c r="CY453" s="37">
        <v>0</v>
      </c>
      <c r="CZ453" s="37">
        <v>0</v>
      </c>
      <c r="DA453" s="37">
        <v>0</v>
      </c>
      <c r="DB453" s="37">
        <v>0</v>
      </c>
      <c r="DC453" s="37">
        <v>0</v>
      </c>
      <c r="DD453" s="37">
        <v>0</v>
      </c>
      <c r="DE453" s="37">
        <v>0</v>
      </c>
      <c r="DF453" s="37">
        <v>0</v>
      </c>
      <c r="DG453" s="37">
        <v>0</v>
      </c>
      <c r="DH453" s="37">
        <v>0</v>
      </c>
      <c r="DI453" s="37">
        <v>0</v>
      </c>
      <c r="DJ453" s="37">
        <v>0</v>
      </c>
      <c r="DK453" s="37">
        <v>0</v>
      </c>
      <c r="DL453" s="37">
        <v>0</v>
      </c>
      <c r="DM453" s="37">
        <v>0</v>
      </c>
      <c r="DN453" s="37">
        <v>0</v>
      </c>
      <c r="DO453" s="37">
        <v>0</v>
      </c>
      <c r="DP453" s="37">
        <v>0</v>
      </c>
      <c r="DQ453" s="37">
        <v>0</v>
      </c>
      <c r="DR453" s="37">
        <v>0</v>
      </c>
      <c r="DS453" s="37">
        <v>0</v>
      </c>
      <c r="DT453" s="37">
        <v>0</v>
      </c>
      <c r="DU453" s="37">
        <v>0</v>
      </c>
      <c r="DV453" s="37">
        <v>0</v>
      </c>
      <c r="DW453" s="37">
        <v>0</v>
      </c>
      <c r="DX453" s="37">
        <v>0</v>
      </c>
      <c r="DY453" s="37">
        <v>0</v>
      </c>
      <c r="DZ453" s="37">
        <v>0</v>
      </c>
      <c r="EA453" s="37">
        <v>0</v>
      </c>
      <c r="EB453" s="37">
        <v>0</v>
      </c>
      <c r="EC453" s="37">
        <v>0</v>
      </c>
      <c r="ED453" s="37">
        <v>0</v>
      </c>
      <c r="EE453" s="37">
        <v>0</v>
      </c>
      <c r="EF453" s="37">
        <v>0</v>
      </c>
      <c r="EG453" s="37">
        <v>0</v>
      </c>
      <c r="EH453" s="37">
        <v>0</v>
      </c>
      <c r="EI453" s="37">
        <v>0</v>
      </c>
      <c r="EJ453" s="37">
        <v>0</v>
      </c>
      <c r="EK453" s="161" t="s">
        <v>2347</v>
      </c>
      <c r="EL453" s="294" t="s">
        <v>1124</v>
      </c>
    </row>
    <row r="454" spans="1:142" ht="15" customHeight="1" x14ac:dyDescent="0.35">
      <c r="A454" s="34"/>
      <c r="B454" s="313">
        <v>33085</v>
      </c>
      <c r="C454" s="8" t="s">
        <v>279</v>
      </c>
      <c r="D454" s="18">
        <v>12</v>
      </c>
      <c r="E454" s="155"/>
      <c r="F454" s="36"/>
      <c r="G454" s="37"/>
      <c r="H454" s="37"/>
      <c r="I454" s="37"/>
      <c r="J454" s="37"/>
      <c r="K454" s="37"/>
      <c r="L454" s="37"/>
      <c r="M454" s="37" t="s">
        <v>1124</v>
      </c>
      <c r="N454" s="37" t="s">
        <v>1124</v>
      </c>
      <c r="O454" s="37"/>
      <c r="P454" s="37"/>
      <c r="Q454" s="37"/>
      <c r="R454" s="37"/>
      <c r="S454" s="37"/>
      <c r="T454" s="37"/>
      <c r="U454" s="37"/>
      <c r="V454" s="37"/>
      <c r="W454" s="37"/>
      <c r="X454" s="37"/>
      <c r="Y454" s="37"/>
      <c r="Z454" s="37"/>
      <c r="AA454" s="37" t="s">
        <v>1124</v>
      </c>
      <c r="AB454" s="37" t="s">
        <v>1124</v>
      </c>
      <c r="AC454" s="37"/>
      <c r="AD454" s="37"/>
      <c r="AE454" s="37"/>
      <c r="AF454" s="168"/>
      <c r="AG454" s="37"/>
      <c r="AH454" s="37"/>
      <c r="AI454" s="37"/>
      <c r="AJ454" s="37"/>
      <c r="AK454" s="37"/>
      <c r="AL454" s="37"/>
      <c r="AM454" s="37"/>
      <c r="AN454" s="37"/>
      <c r="AO454" s="37"/>
      <c r="AP454" s="37"/>
      <c r="AQ454" s="37"/>
      <c r="AR454" s="37" t="s">
        <v>1124</v>
      </c>
      <c r="AS454" s="37"/>
      <c r="AT454" s="37"/>
      <c r="AU454" s="37"/>
      <c r="AV454" s="37"/>
      <c r="AW454" s="37"/>
      <c r="AX454" s="37"/>
      <c r="AY454" s="37"/>
      <c r="AZ454" s="37"/>
      <c r="BA454" s="37"/>
      <c r="BB454" s="37"/>
      <c r="BC454" s="37"/>
      <c r="BD454" s="37" t="s">
        <v>1124</v>
      </c>
      <c r="BE454" s="37"/>
      <c r="BF454" s="37"/>
      <c r="BG454" s="37"/>
      <c r="BH454" s="37"/>
      <c r="BI454" s="37"/>
      <c r="BJ454" s="37"/>
      <c r="BK454" s="37"/>
      <c r="BL454" s="37"/>
      <c r="BM454" s="37"/>
      <c r="BN454" s="37"/>
      <c r="BO454" s="37"/>
      <c r="BP454" s="37">
        <v>0</v>
      </c>
      <c r="BQ454" s="37"/>
      <c r="BR454" s="37"/>
      <c r="BS454" s="37"/>
      <c r="BT454" s="37"/>
      <c r="BU454" s="37"/>
      <c r="BV454" s="37"/>
      <c r="BW454" s="37"/>
      <c r="BX454" s="37"/>
      <c r="BY454" s="37"/>
      <c r="BZ454" s="37"/>
      <c r="CA454" s="37"/>
      <c r="CB454" s="37" t="s">
        <v>1124</v>
      </c>
      <c r="CC454" s="37"/>
      <c r="CD454" s="37"/>
      <c r="CE454" s="37"/>
      <c r="CF454" s="37"/>
      <c r="CG454" s="37"/>
      <c r="CH454" s="37"/>
      <c r="CI454" s="37"/>
      <c r="CJ454" s="37"/>
      <c r="CK454" s="37"/>
      <c r="CL454" s="37"/>
      <c r="CM454" s="37"/>
      <c r="CN454" s="37" t="s">
        <v>1124</v>
      </c>
      <c r="CO454" s="37"/>
      <c r="CP454" s="37"/>
      <c r="CQ454" s="37"/>
      <c r="CR454" s="37"/>
      <c r="CS454" s="37"/>
      <c r="CT454" s="37"/>
      <c r="CU454" s="37"/>
      <c r="CV454" s="37"/>
      <c r="CW454" s="37"/>
      <c r="CX454" s="37"/>
      <c r="CY454" s="37"/>
      <c r="CZ454" s="37" t="s">
        <v>1124</v>
      </c>
      <c r="DA454" s="37"/>
      <c r="DB454" s="37"/>
      <c r="DC454" s="37"/>
      <c r="DD454" s="37"/>
      <c r="DE454" s="37"/>
      <c r="DF454" s="37"/>
      <c r="DG454" s="37"/>
      <c r="DH454" s="37"/>
      <c r="DI454" s="37"/>
      <c r="DJ454" s="37"/>
      <c r="DK454" s="37"/>
      <c r="DL454" s="37" t="s">
        <v>1124</v>
      </c>
      <c r="DM454" s="37"/>
      <c r="DN454" s="37"/>
      <c r="DO454" s="37"/>
      <c r="DP454" s="37"/>
      <c r="DQ454" s="37"/>
      <c r="DR454" s="37"/>
      <c r="DS454" s="37"/>
      <c r="DT454" s="37"/>
      <c r="DU454" s="37"/>
      <c r="DV454" s="37"/>
      <c r="DW454" s="37"/>
      <c r="DX454" s="37" t="s">
        <v>1124</v>
      </c>
      <c r="DY454" s="37"/>
      <c r="DZ454" s="37"/>
      <c r="EA454" s="37"/>
      <c r="EB454" s="37"/>
      <c r="EC454" s="37"/>
      <c r="ED454" s="37"/>
      <c r="EE454" s="37"/>
      <c r="EF454" s="37"/>
      <c r="EG454" s="37"/>
      <c r="EH454" s="37"/>
      <c r="EI454" s="37"/>
      <c r="EJ454" s="37" t="s">
        <v>1124</v>
      </c>
      <c r="EK454" s="161"/>
      <c r="EL454" s="294"/>
    </row>
    <row r="455" spans="1:142" ht="15" customHeight="1" x14ac:dyDescent="0.35">
      <c r="A455" s="34"/>
      <c r="B455" s="313">
        <v>6020</v>
      </c>
      <c r="C455" s="8" t="s">
        <v>1059</v>
      </c>
      <c r="D455" s="18">
        <v>11</v>
      </c>
      <c r="E455" s="155"/>
      <c r="F455" s="36"/>
      <c r="G455" s="37"/>
      <c r="H455" s="37"/>
      <c r="I455" s="37"/>
      <c r="J455" s="37"/>
      <c r="K455" s="37"/>
      <c r="L455" s="37"/>
      <c r="M455" s="37" t="s">
        <v>1124</v>
      </c>
      <c r="N455" s="37" t="s">
        <v>1124</v>
      </c>
      <c r="O455" s="37"/>
      <c r="P455" s="37"/>
      <c r="Q455" s="37"/>
      <c r="R455" s="37"/>
      <c r="S455" s="37"/>
      <c r="T455" s="37"/>
      <c r="U455" s="37"/>
      <c r="V455" s="37"/>
      <c r="W455" s="37"/>
      <c r="X455" s="37"/>
      <c r="Y455" s="37"/>
      <c r="Z455" s="37"/>
      <c r="AA455" s="37" t="s">
        <v>1124</v>
      </c>
      <c r="AB455" s="37" t="s">
        <v>1124</v>
      </c>
      <c r="AC455" s="37"/>
      <c r="AD455" s="37"/>
      <c r="AE455" s="37"/>
      <c r="AF455" s="168"/>
      <c r="AG455" s="37"/>
      <c r="AH455" s="37"/>
      <c r="AI455" s="37"/>
      <c r="AJ455" s="37"/>
      <c r="AK455" s="37"/>
      <c r="AL455" s="37"/>
      <c r="AM455" s="37"/>
      <c r="AN455" s="37"/>
      <c r="AO455" s="37"/>
      <c r="AP455" s="37"/>
      <c r="AQ455" s="37"/>
      <c r="AR455" s="37" t="s">
        <v>1124</v>
      </c>
      <c r="AS455" s="37"/>
      <c r="AT455" s="37"/>
      <c r="AU455" s="37"/>
      <c r="AV455" s="37"/>
      <c r="AW455" s="37"/>
      <c r="AX455" s="37"/>
      <c r="AY455" s="37"/>
      <c r="AZ455" s="37"/>
      <c r="BA455" s="37"/>
      <c r="BB455" s="37"/>
      <c r="BC455" s="37"/>
      <c r="BD455" s="37" t="s">
        <v>1124</v>
      </c>
      <c r="BE455" s="37"/>
      <c r="BF455" s="37"/>
      <c r="BG455" s="37"/>
      <c r="BH455" s="37"/>
      <c r="BI455" s="37"/>
      <c r="BJ455" s="37"/>
      <c r="BK455" s="37"/>
      <c r="BL455" s="37"/>
      <c r="BM455" s="37"/>
      <c r="BN455" s="37"/>
      <c r="BO455" s="37"/>
      <c r="BP455" s="37">
        <v>0</v>
      </c>
      <c r="BQ455" s="37"/>
      <c r="BR455" s="37"/>
      <c r="BS455" s="37"/>
      <c r="BT455" s="37"/>
      <c r="BU455" s="37"/>
      <c r="BV455" s="37"/>
      <c r="BW455" s="37"/>
      <c r="BX455" s="37"/>
      <c r="BY455" s="37"/>
      <c r="BZ455" s="37"/>
      <c r="CA455" s="37"/>
      <c r="CB455" s="37" t="s">
        <v>1124</v>
      </c>
      <c r="CC455" s="37"/>
      <c r="CD455" s="37"/>
      <c r="CE455" s="37"/>
      <c r="CF455" s="37"/>
      <c r="CG455" s="37"/>
      <c r="CH455" s="37"/>
      <c r="CI455" s="37"/>
      <c r="CJ455" s="37"/>
      <c r="CK455" s="37"/>
      <c r="CL455" s="37"/>
      <c r="CM455" s="37"/>
      <c r="CN455" s="37" t="s">
        <v>1124</v>
      </c>
      <c r="CO455" s="37"/>
      <c r="CP455" s="37"/>
      <c r="CQ455" s="37"/>
      <c r="CR455" s="37"/>
      <c r="CS455" s="37"/>
      <c r="CT455" s="37"/>
      <c r="CU455" s="37"/>
      <c r="CV455" s="37"/>
      <c r="CW455" s="37"/>
      <c r="CX455" s="37"/>
      <c r="CY455" s="37"/>
      <c r="CZ455" s="37" t="s">
        <v>1124</v>
      </c>
      <c r="DA455" s="37"/>
      <c r="DB455" s="37"/>
      <c r="DC455" s="37"/>
      <c r="DD455" s="37"/>
      <c r="DE455" s="37"/>
      <c r="DF455" s="37"/>
      <c r="DG455" s="37"/>
      <c r="DH455" s="37"/>
      <c r="DI455" s="37"/>
      <c r="DJ455" s="37"/>
      <c r="DK455" s="37"/>
      <c r="DL455" s="37" t="s">
        <v>1124</v>
      </c>
      <c r="DM455" s="37"/>
      <c r="DN455" s="37"/>
      <c r="DO455" s="37"/>
      <c r="DP455" s="37"/>
      <c r="DQ455" s="37"/>
      <c r="DR455" s="37"/>
      <c r="DS455" s="37"/>
      <c r="DT455" s="37"/>
      <c r="DU455" s="37"/>
      <c r="DV455" s="37"/>
      <c r="DW455" s="37"/>
      <c r="DX455" s="37" t="s">
        <v>1124</v>
      </c>
      <c r="DY455" s="37"/>
      <c r="DZ455" s="37"/>
      <c r="EA455" s="37"/>
      <c r="EB455" s="37"/>
      <c r="EC455" s="37"/>
      <c r="ED455" s="37"/>
      <c r="EE455" s="37"/>
      <c r="EF455" s="37"/>
      <c r="EG455" s="37"/>
      <c r="EH455" s="37"/>
      <c r="EI455" s="37"/>
      <c r="EJ455" s="37" t="s">
        <v>1124</v>
      </c>
      <c r="EK455" s="161"/>
      <c r="EL455" s="294"/>
    </row>
    <row r="456" spans="1:142" ht="15" customHeight="1" x14ac:dyDescent="0.35">
      <c r="A456" s="34"/>
      <c r="B456" s="313">
        <v>56015</v>
      </c>
      <c r="C456" s="8" t="s">
        <v>569</v>
      </c>
      <c r="D456" s="18">
        <v>16</v>
      </c>
      <c r="E456" s="155"/>
      <c r="F456" s="36"/>
      <c r="G456" s="37"/>
      <c r="H456" s="37"/>
      <c r="I456" s="37"/>
      <c r="J456" s="37"/>
      <c r="K456" s="37"/>
      <c r="L456" s="37"/>
      <c r="M456" s="37" t="s">
        <v>1124</v>
      </c>
      <c r="N456" s="37" t="s">
        <v>1124</v>
      </c>
      <c r="O456" s="37"/>
      <c r="P456" s="37"/>
      <c r="Q456" s="37"/>
      <c r="R456" s="37"/>
      <c r="S456" s="37"/>
      <c r="T456" s="37"/>
      <c r="U456" s="37"/>
      <c r="V456" s="37"/>
      <c r="W456" s="37"/>
      <c r="X456" s="37"/>
      <c r="Y456" s="37"/>
      <c r="Z456" s="37"/>
      <c r="AA456" s="37" t="s">
        <v>1124</v>
      </c>
      <c r="AB456" s="37" t="s">
        <v>1124</v>
      </c>
      <c r="AC456" s="37"/>
      <c r="AD456" s="37"/>
      <c r="AE456" s="37"/>
      <c r="AF456" s="168"/>
      <c r="AG456" s="37"/>
      <c r="AH456" s="37"/>
      <c r="AI456" s="37"/>
      <c r="AJ456" s="37"/>
      <c r="AK456" s="37"/>
      <c r="AL456" s="37"/>
      <c r="AM456" s="37"/>
      <c r="AN456" s="37"/>
      <c r="AO456" s="37"/>
      <c r="AP456" s="37"/>
      <c r="AQ456" s="37"/>
      <c r="AR456" s="37" t="s">
        <v>1124</v>
      </c>
      <c r="AS456" s="37"/>
      <c r="AT456" s="37"/>
      <c r="AU456" s="37"/>
      <c r="AV456" s="37"/>
      <c r="AW456" s="37"/>
      <c r="AX456" s="37"/>
      <c r="AY456" s="37"/>
      <c r="AZ456" s="37"/>
      <c r="BA456" s="37"/>
      <c r="BB456" s="37"/>
      <c r="BC456" s="37"/>
      <c r="BD456" s="37" t="s">
        <v>1124</v>
      </c>
      <c r="BE456" s="37"/>
      <c r="BF456" s="37"/>
      <c r="BG456" s="37"/>
      <c r="BH456" s="37"/>
      <c r="BI456" s="37"/>
      <c r="BJ456" s="37"/>
      <c r="BK456" s="37"/>
      <c r="BL456" s="37"/>
      <c r="BM456" s="37"/>
      <c r="BN456" s="37"/>
      <c r="BO456" s="37"/>
      <c r="BP456" s="37">
        <v>0</v>
      </c>
      <c r="BQ456" s="37"/>
      <c r="BR456" s="37"/>
      <c r="BS456" s="37"/>
      <c r="BT456" s="37"/>
      <c r="BU456" s="37"/>
      <c r="BV456" s="37"/>
      <c r="BW456" s="37"/>
      <c r="BX456" s="37"/>
      <c r="BY456" s="37"/>
      <c r="BZ456" s="37"/>
      <c r="CA456" s="37"/>
      <c r="CB456" s="37" t="s">
        <v>1124</v>
      </c>
      <c r="CC456" s="37"/>
      <c r="CD456" s="37"/>
      <c r="CE456" s="37"/>
      <c r="CF456" s="37"/>
      <c r="CG456" s="37"/>
      <c r="CH456" s="37"/>
      <c r="CI456" s="37"/>
      <c r="CJ456" s="37"/>
      <c r="CK456" s="37"/>
      <c r="CL456" s="37"/>
      <c r="CM456" s="37"/>
      <c r="CN456" s="37" t="s">
        <v>1124</v>
      </c>
      <c r="CO456" s="37"/>
      <c r="CP456" s="37"/>
      <c r="CQ456" s="37"/>
      <c r="CR456" s="37"/>
      <c r="CS456" s="37"/>
      <c r="CT456" s="37"/>
      <c r="CU456" s="37"/>
      <c r="CV456" s="37"/>
      <c r="CW456" s="37"/>
      <c r="CX456" s="37"/>
      <c r="CY456" s="37"/>
      <c r="CZ456" s="37" t="s">
        <v>1124</v>
      </c>
      <c r="DA456" s="37"/>
      <c r="DB456" s="37"/>
      <c r="DC456" s="37"/>
      <c r="DD456" s="37"/>
      <c r="DE456" s="37"/>
      <c r="DF456" s="37"/>
      <c r="DG456" s="37"/>
      <c r="DH456" s="37"/>
      <c r="DI456" s="37"/>
      <c r="DJ456" s="37"/>
      <c r="DK456" s="37"/>
      <c r="DL456" s="37" t="s">
        <v>1124</v>
      </c>
      <c r="DM456" s="37"/>
      <c r="DN456" s="37"/>
      <c r="DO456" s="37"/>
      <c r="DP456" s="37"/>
      <c r="DQ456" s="37"/>
      <c r="DR456" s="37"/>
      <c r="DS456" s="37"/>
      <c r="DT456" s="37"/>
      <c r="DU456" s="37"/>
      <c r="DV456" s="37"/>
      <c r="DW456" s="37"/>
      <c r="DX456" s="37" t="s">
        <v>1124</v>
      </c>
      <c r="DY456" s="37"/>
      <c r="DZ456" s="37"/>
      <c r="EA456" s="37"/>
      <c r="EB456" s="37"/>
      <c r="EC456" s="37"/>
      <c r="ED456" s="37"/>
      <c r="EE456" s="37"/>
      <c r="EF456" s="37"/>
      <c r="EG456" s="37"/>
      <c r="EH456" s="37"/>
      <c r="EI456" s="37"/>
      <c r="EJ456" s="37" t="s">
        <v>1124</v>
      </c>
      <c r="EK456" s="161"/>
      <c r="EL456" s="294"/>
    </row>
    <row r="457" spans="1:142" ht="15" customHeight="1" x14ac:dyDescent="0.35">
      <c r="A457" s="34"/>
      <c r="B457" s="313">
        <v>45020</v>
      </c>
      <c r="C457" s="8" t="s">
        <v>411</v>
      </c>
      <c r="D457" s="18">
        <v>5</v>
      </c>
      <c r="E457" s="155"/>
      <c r="F457" s="36"/>
      <c r="G457" s="37"/>
      <c r="H457" s="37"/>
      <c r="I457" s="37"/>
      <c r="J457" s="37"/>
      <c r="K457" s="37"/>
      <c r="L457" s="37"/>
      <c r="M457" s="37" t="s">
        <v>1124</v>
      </c>
      <c r="N457" s="37" t="s">
        <v>1124</v>
      </c>
      <c r="O457" s="37"/>
      <c r="P457" s="37"/>
      <c r="Q457" s="37"/>
      <c r="R457" s="37"/>
      <c r="S457" s="37"/>
      <c r="T457" s="37"/>
      <c r="U457" s="37"/>
      <c r="V457" s="37"/>
      <c r="W457" s="37"/>
      <c r="X457" s="37"/>
      <c r="Y457" s="37"/>
      <c r="Z457" s="37"/>
      <c r="AA457" s="37" t="s">
        <v>1124</v>
      </c>
      <c r="AB457" s="37" t="s">
        <v>1124</v>
      </c>
      <c r="AC457" s="37"/>
      <c r="AD457" s="37"/>
      <c r="AE457" s="37"/>
      <c r="AF457" s="168"/>
      <c r="AG457" s="37"/>
      <c r="AH457" s="37"/>
      <c r="AI457" s="37"/>
      <c r="AJ457" s="37"/>
      <c r="AK457" s="37"/>
      <c r="AL457" s="37"/>
      <c r="AM457" s="37"/>
      <c r="AN457" s="37"/>
      <c r="AO457" s="37"/>
      <c r="AP457" s="37"/>
      <c r="AQ457" s="37"/>
      <c r="AR457" s="37" t="s">
        <v>1124</v>
      </c>
      <c r="AS457" s="37"/>
      <c r="AT457" s="37"/>
      <c r="AU457" s="37"/>
      <c r="AV457" s="37"/>
      <c r="AW457" s="37"/>
      <c r="AX457" s="37"/>
      <c r="AY457" s="37"/>
      <c r="AZ457" s="37"/>
      <c r="BA457" s="37"/>
      <c r="BB457" s="37"/>
      <c r="BC457" s="37"/>
      <c r="BD457" s="37" t="s">
        <v>1124</v>
      </c>
      <c r="BE457" s="37"/>
      <c r="BF457" s="37"/>
      <c r="BG457" s="37"/>
      <c r="BH457" s="37"/>
      <c r="BI457" s="37"/>
      <c r="BJ457" s="37"/>
      <c r="BK457" s="37"/>
      <c r="BL457" s="37"/>
      <c r="BM457" s="37"/>
      <c r="BN457" s="37"/>
      <c r="BO457" s="37"/>
      <c r="BP457" s="37">
        <v>0</v>
      </c>
      <c r="BQ457" s="37"/>
      <c r="BR457" s="37"/>
      <c r="BS457" s="37"/>
      <c r="BT457" s="37"/>
      <c r="BU457" s="37"/>
      <c r="BV457" s="37"/>
      <c r="BW457" s="37"/>
      <c r="BX457" s="37"/>
      <c r="BY457" s="37"/>
      <c r="BZ457" s="37"/>
      <c r="CA457" s="37"/>
      <c r="CB457" s="37" t="s">
        <v>1124</v>
      </c>
      <c r="CC457" s="37"/>
      <c r="CD457" s="37"/>
      <c r="CE457" s="37"/>
      <c r="CF457" s="37"/>
      <c r="CG457" s="37"/>
      <c r="CH457" s="37"/>
      <c r="CI457" s="37"/>
      <c r="CJ457" s="37"/>
      <c r="CK457" s="37"/>
      <c r="CL457" s="37"/>
      <c r="CM457" s="37"/>
      <c r="CN457" s="37" t="s">
        <v>1124</v>
      </c>
      <c r="CO457" s="37"/>
      <c r="CP457" s="37"/>
      <c r="CQ457" s="37"/>
      <c r="CR457" s="37"/>
      <c r="CS457" s="37"/>
      <c r="CT457" s="37"/>
      <c r="CU457" s="37"/>
      <c r="CV457" s="37"/>
      <c r="CW457" s="37"/>
      <c r="CX457" s="37"/>
      <c r="CY457" s="37"/>
      <c r="CZ457" s="37" t="s">
        <v>1124</v>
      </c>
      <c r="DA457" s="37"/>
      <c r="DB457" s="37"/>
      <c r="DC457" s="37"/>
      <c r="DD457" s="37"/>
      <c r="DE457" s="37"/>
      <c r="DF457" s="37"/>
      <c r="DG457" s="37"/>
      <c r="DH457" s="37"/>
      <c r="DI457" s="37"/>
      <c r="DJ457" s="37"/>
      <c r="DK457" s="37"/>
      <c r="DL457" s="37" t="s">
        <v>1124</v>
      </c>
      <c r="DM457" s="37"/>
      <c r="DN457" s="37"/>
      <c r="DO457" s="37"/>
      <c r="DP457" s="37"/>
      <c r="DQ457" s="37"/>
      <c r="DR457" s="37"/>
      <c r="DS457" s="37"/>
      <c r="DT457" s="37"/>
      <c r="DU457" s="37"/>
      <c r="DV457" s="37"/>
      <c r="DW457" s="37"/>
      <c r="DX457" s="37" t="s">
        <v>1124</v>
      </c>
      <c r="DY457" s="37"/>
      <c r="DZ457" s="37"/>
      <c r="EA457" s="37"/>
      <c r="EB457" s="37"/>
      <c r="EC457" s="37"/>
      <c r="ED457" s="37"/>
      <c r="EE457" s="37"/>
      <c r="EF457" s="37"/>
      <c r="EG457" s="37"/>
      <c r="EH457" s="37"/>
      <c r="EI457" s="37"/>
      <c r="EJ457" s="37" t="s">
        <v>1124</v>
      </c>
      <c r="EK457" s="161"/>
      <c r="EL457" s="294"/>
    </row>
    <row r="458" spans="1:142" ht="15" customHeight="1" x14ac:dyDescent="0.35">
      <c r="A458" s="34"/>
      <c r="B458" s="313">
        <v>72032</v>
      </c>
      <c r="C458" s="8" t="s">
        <v>732</v>
      </c>
      <c r="D458" s="18">
        <v>15</v>
      </c>
      <c r="E458" s="155">
        <v>436904</v>
      </c>
      <c r="F458" s="36">
        <v>254949</v>
      </c>
      <c r="G458" s="37">
        <v>18596</v>
      </c>
      <c r="H458" s="37">
        <v>25689</v>
      </c>
      <c r="I458" s="37">
        <v>160500</v>
      </c>
      <c r="J458" s="37">
        <v>26400</v>
      </c>
      <c r="K458" s="37">
        <v>60280.3</v>
      </c>
      <c r="L458" s="37">
        <v>132344.54999999999</v>
      </c>
      <c r="M458" s="37">
        <v>676280.3</v>
      </c>
      <c r="N458" s="37">
        <v>439382.55</v>
      </c>
      <c r="O458" s="37">
        <v>55015</v>
      </c>
      <c r="P458" s="37">
        <v>0</v>
      </c>
      <c r="Q458" s="37">
        <v>390594</v>
      </c>
      <c r="R458" s="37">
        <v>215490</v>
      </c>
      <c r="S458" s="37">
        <v>32541</v>
      </c>
      <c r="T458" s="37">
        <v>57879</v>
      </c>
      <c r="U458" s="37">
        <v>16688</v>
      </c>
      <c r="V458" s="37">
        <v>23805</v>
      </c>
      <c r="W458" s="37">
        <v>181442</v>
      </c>
      <c r="X458" s="37">
        <v>170862</v>
      </c>
      <c r="Y458" s="37">
        <v>0</v>
      </c>
      <c r="Z458" s="37">
        <v>0</v>
      </c>
      <c r="AA458" s="37">
        <v>676280</v>
      </c>
      <c r="AB458" s="37">
        <v>468036</v>
      </c>
      <c r="AC458" s="37">
        <v>28653</v>
      </c>
      <c r="AD458" s="37">
        <v>0</v>
      </c>
      <c r="AE458" s="37">
        <v>0</v>
      </c>
      <c r="AF458" s="168">
        <v>0.02</v>
      </c>
      <c r="AG458" s="37">
        <v>92314566.390000001</v>
      </c>
      <c r="AH458" s="37">
        <v>707783.9</v>
      </c>
      <c r="AI458" s="37">
        <v>721939.57</v>
      </c>
      <c r="AJ458" s="37">
        <v>736378.37</v>
      </c>
      <c r="AK458" s="37">
        <v>1032646.54</v>
      </c>
      <c r="AL458" s="37">
        <v>766128.05</v>
      </c>
      <c r="AM458" s="37">
        <v>781450.61</v>
      </c>
      <c r="AN458" s="37">
        <v>797079.63</v>
      </c>
      <c r="AO458" s="37">
        <v>813021.22</v>
      </c>
      <c r="AP458" s="37">
        <v>829281.64</v>
      </c>
      <c r="AQ458" s="37">
        <v>845867.28</v>
      </c>
      <c r="AR458" s="37">
        <v>8031576.8100000005</v>
      </c>
      <c r="AS458" s="37">
        <v>9971623.2899999991</v>
      </c>
      <c r="AT458" s="37">
        <v>0</v>
      </c>
      <c r="AU458" s="37">
        <v>0</v>
      </c>
      <c r="AV458" s="37">
        <v>0</v>
      </c>
      <c r="AW458" s="37">
        <v>0</v>
      </c>
      <c r="AX458" s="37">
        <v>3923549.87</v>
      </c>
      <c r="AY458" s="37">
        <v>0</v>
      </c>
      <c r="AZ458" s="37">
        <v>0</v>
      </c>
      <c r="BA458" s="37">
        <v>0</v>
      </c>
      <c r="BB458" s="37">
        <v>0</v>
      </c>
      <c r="BC458" s="37">
        <v>0</v>
      </c>
      <c r="BD458" s="37">
        <v>3923549.87</v>
      </c>
      <c r="BE458" s="37">
        <v>0</v>
      </c>
      <c r="BF458" s="37">
        <v>1036364</v>
      </c>
      <c r="BG458" s="37">
        <v>542350</v>
      </c>
      <c r="BH458" s="37">
        <v>125000</v>
      </c>
      <c r="BI458" s="37">
        <v>125000</v>
      </c>
      <c r="BJ458" s="37">
        <v>0</v>
      </c>
      <c r="BK458" s="37">
        <v>0</v>
      </c>
      <c r="BL458" s="37">
        <v>0</v>
      </c>
      <c r="BM458" s="37">
        <v>0</v>
      </c>
      <c r="BN458" s="37">
        <v>0</v>
      </c>
      <c r="BO458" s="37">
        <v>0</v>
      </c>
      <c r="BP458" s="37">
        <v>1828714</v>
      </c>
      <c r="BQ458" s="37">
        <v>692000</v>
      </c>
      <c r="BR458" s="37">
        <v>75000</v>
      </c>
      <c r="BS458" s="37">
        <v>0</v>
      </c>
      <c r="BT458" s="37">
        <v>0</v>
      </c>
      <c r="BU458" s="37">
        <v>0</v>
      </c>
      <c r="BV458" s="37">
        <v>0</v>
      </c>
      <c r="BW458" s="37">
        <v>0</v>
      </c>
      <c r="BX458" s="37">
        <v>0</v>
      </c>
      <c r="BY458" s="37">
        <v>0</v>
      </c>
      <c r="BZ458" s="37">
        <v>0</v>
      </c>
      <c r="CA458" s="37">
        <v>0</v>
      </c>
      <c r="CB458" s="37">
        <v>75000</v>
      </c>
      <c r="CC458" s="37">
        <v>0</v>
      </c>
      <c r="CD458" s="37">
        <v>0</v>
      </c>
      <c r="CE458" s="37">
        <v>0</v>
      </c>
      <c r="CF458" s="37">
        <v>0</v>
      </c>
      <c r="CG458" s="37">
        <v>0</v>
      </c>
      <c r="CH458" s="37">
        <v>0</v>
      </c>
      <c r="CI458" s="37">
        <v>0</v>
      </c>
      <c r="CJ458" s="37">
        <v>0</v>
      </c>
      <c r="CK458" s="37">
        <v>0</v>
      </c>
      <c r="CL458" s="37">
        <v>0</v>
      </c>
      <c r="CM458" s="37">
        <v>0</v>
      </c>
      <c r="CN458" s="37">
        <v>0</v>
      </c>
      <c r="CO458" s="37">
        <v>0</v>
      </c>
      <c r="CP458" s="37">
        <v>0</v>
      </c>
      <c r="CQ458" s="37">
        <v>0</v>
      </c>
      <c r="CR458" s="37">
        <v>0</v>
      </c>
      <c r="CS458" s="37">
        <v>0</v>
      </c>
      <c r="CT458" s="37">
        <v>0</v>
      </c>
      <c r="CU458" s="37">
        <v>0</v>
      </c>
      <c r="CV458" s="37">
        <v>0</v>
      </c>
      <c r="CW458" s="37">
        <v>0</v>
      </c>
      <c r="CX458" s="37">
        <v>0</v>
      </c>
      <c r="CY458" s="37">
        <v>0</v>
      </c>
      <c r="CZ458" s="37">
        <v>0</v>
      </c>
      <c r="DA458" s="37">
        <v>0</v>
      </c>
      <c r="DB458" s="37">
        <v>0</v>
      </c>
      <c r="DC458" s="37">
        <v>0</v>
      </c>
      <c r="DD458" s="37">
        <v>0</v>
      </c>
      <c r="DE458" s="37">
        <v>0</v>
      </c>
      <c r="DF458" s="37">
        <v>3553680</v>
      </c>
      <c r="DG458" s="37">
        <v>0</v>
      </c>
      <c r="DH458" s="37">
        <v>0</v>
      </c>
      <c r="DI458" s="37">
        <v>0</v>
      </c>
      <c r="DJ458" s="37">
        <v>0</v>
      </c>
      <c r="DK458" s="37">
        <v>0</v>
      </c>
      <c r="DL458" s="37">
        <v>3553680</v>
      </c>
      <c r="DM458" s="37">
        <v>0</v>
      </c>
      <c r="DN458" s="37">
        <v>0</v>
      </c>
      <c r="DO458" s="37">
        <v>0</v>
      </c>
      <c r="DP458" s="37">
        <v>0</v>
      </c>
      <c r="DQ458" s="37">
        <v>0</v>
      </c>
      <c r="DR458" s="37">
        <v>0</v>
      </c>
      <c r="DS458" s="37">
        <v>0</v>
      </c>
      <c r="DT458" s="37">
        <v>0</v>
      </c>
      <c r="DU458" s="37">
        <v>0</v>
      </c>
      <c r="DV458" s="37">
        <v>0</v>
      </c>
      <c r="DW458" s="37">
        <v>0</v>
      </c>
      <c r="DX458" s="37">
        <v>0</v>
      </c>
      <c r="DY458" s="37">
        <v>0</v>
      </c>
      <c r="DZ458" s="37">
        <v>0</v>
      </c>
      <c r="EA458" s="37">
        <v>0</v>
      </c>
      <c r="EB458" s="37">
        <v>0</v>
      </c>
      <c r="EC458" s="37">
        <v>0</v>
      </c>
      <c r="ED458" s="37">
        <v>0</v>
      </c>
      <c r="EE458" s="37">
        <v>0</v>
      </c>
      <c r="EF458" s="37">
        <v>0</v>
      </c>
      <c r="EG458" s="37">
        <v>0</v>
      </c>
      <c r="EH458" s="37">
        <v>0</v>
      </c>
      <c r="EI458" s="37">
        <v>0</v>
      </c>
      <c r="EJ458" s="37">
        <v>0</v>
      </c>
      <c r="EK458" s="161" t="s">
        <v>2353</v>
      </c>
      <c r="EL458" s="294" t="s">
        <v>1124</v>
      </c>
    </row>
    <row r="459" spans="1:142" ht="15" customHeight="1" x14ac:dyDescent="0.35">
      <c r="A459" s="34"/>
      <c r="B459" s="313">
        <v>45115</v>
      </c>
      <c r="C459" s="8" t="s">
        <v>426</v>
      </c>
      <c r="D459" s="18">
        <v>5</v>
      </c>
      <c r="E459" s="155">
        <v>223896</v>
      </c>
      <c r="F459" s="36">
        <v>247177</v>
      </c>
      <c r="G459" s="37">
        <v>89508</v>
      </c>
      <c r="H459" s="37">
        <v>67762</v>
      </c>
      <c r="I459" s="37">
        <v>426254</v>
      </c>
      <c r="J459" s="37">
        <v>588963</v>
      </c>
      <c r="K459" s="37">
        <v>44779.200000000004</v>
      </c>
      <c r="L459" s="37">
        <v>37076.549999999996</v>
      </c>
      <c r="M459" s="37">
        <v>784437.2</v>
      </c>
      <c r="N459" s="37">
        <v>940978.55</v>
      </c>
      <c r="O459" s="37">
        <v>0</v>
      </c>
      <c r="P459" s="37">
        <v>0</v>
      </c>
      <c r="Q459" s="37">
        <v>215706</v>
      </c>
      <c r="R459" s="37">
        <v>260970</v>
      </c>
      <c r="S459" s="37">
        <v>0</v>
      </c>
      <c r="T459" s="37">
        <v>0</v>
      </c>
      <c r="U459" s="37">
        <v>22330</v>
      </c>
      <c r="V459" s="37">
        <v>0</v>
      </c>
      <c r="W459" s="37">
        <v>546401.19999999995</v>
      </c>
      <c r="X459" s="37">
        <v>680008.55</v>
      </c>
      <c r="Y459" s="37">
        <v>33354</v>
      </c>
      <c r="Z459" s="37">
        <v>0</v>
      </c>
      <c r="AA459" s="37">
        <v>817791.2</v>
      </c>
      <c r="AB459" s="37">
        <v>940978.55</v>
      </c>
      <c r="AC459" s="37">
        <v>33354</v>
      </c>
      <c r="AD459" s="37">
        <v>33354</v>
      </c>
      <c r="AE459" s="37">
        <v>33354</v>
      </c>
      <c r="AF459" s="168">
        <v>0.02</v>
      </c>
      <c r="AG459" s="37">
        <v>64894336.049999997</v>
      </c>
      <c r="AH459" s="37">
        <v>683020.89</v>
      </c>
      <c r="AI459" s="37">
        <v>666925.87</v>
      </c>
      <c r="AJ459" s="37">
        <v>640256.85</v>
      </c>
      <c r="AK459" s="37">
        <v>653061.98</v>
      </c>
      <c r="AL459" s="37">
        <v>666123.22</v>
      </c>
      <c r="AM459" s="37">
        <v>796566.58</v>
      </c>
      <c r="AN459" s="37">
        <v>693034.6</v>
      </c>
      <c r="AO459" s="37">
        <v>706895.29</v>
      </c>
      <c r="AP459" s="37">
        <v>721033.2</v>
      </c>
      <c r="AQ459" s="37">
        <v>735453.86</v>
      </c>
      <c r="AR459" s="37">
        <v>6962372.3399999999</v>
      </c>
      <c r="AS459" s="37">
        <v>1076834.3999999999</v>
      </c>
      <c r="AT459" s="37">
        <v>0</v>
      </c>
      <c r="AU459" s="37">
        <v>0</v>
      </c>
      <c r="AV459" s="37">
        <v>243547.24</v>
      </c>
      <c r="AW459" s="37">
        <v>248418.18</v>
      </c>
      <c r="AX459" s="37">
        <v>0</v>
      </c>
      <c r="AY459" s="37">
        <v>0</v>
      </c>
      <c r="AZ459" s="37">
        <v>0</v>
      </c>
      <c r="BA459" s="37">
        <v>0</v>
      </c>
      <c r="BB459" s="37">
        <v>0</v>
      </c>
      <c r="BC459" s="37">
        <v>0</v>
      </c>
      <c r="BD459" s="37">
        <v>491965.42</v>
      </c>
      <c r="BE459" s="37">
        <v>568000</v>
      </c>
      <c r="BF459" s="37">
        <v>567000</v>
      </c>
      <c r="BG459" s="37">
        <v>419000</v>
      </c>
      <c r="BH459" s="37">
        <v>0</v>
      </c>
      <c r="BI459" s="37">
        <v>0</v>
      </c>
      <c r="BJ459" s="37">
        <v>31164.349366588558</v>
      </c>
      <c r="BK459" s="37">
        <v>150910.00813245508</v>
      </c>
      <c r="BL459" s="37">
        <v>196253.1783339715</v>
      </c>
      <c r="BM459" s="37">
        <v>241596.34853548786</v>
      </c>
      <c r="BN459" s="37">
        <v>286939.615631497</v>
      </c>
      <c r="BO459" s="37">
        <v>0</v>
      </c>
      <c r="BP459" s="37">
        <v>1892863.5</v>
      </c>
      <c r="BQ459" s="37">
        <v>0</v>
      </c>
      <c r="BR459" s="37">
        <v>0</v>
      </c>
      <c r="BS459" s="37">
        <v>0</v>
      </c>
      <c r="BT459" s="37">
        <v>0</v>
      </c>
      <c r="BU459" s="37">
        <v>0</v>
      </c>
      <c r="BV459" s="37">
        <v>0</v>
      </c>
      <c r="BW459" s="37">
        <v>0</v>
      </c>
      <c r="BX459" s="37">
        <v>0</v>
      </c>
      <c r="BY459" s="37">
        <v>0</v>
      </c>
      <c r="BZ459" s="37">
        <v>0</v>
      </c>
      <c r="CA459" s="37">
        <v>0</v>
      </c>
      <c r="CB459" s="37">
        <v>0</v>
      </c>
      <c r="CC459" s="37">
        <v>0</v>
      </c>
      <c r="CD459" s="37">
        <v>0</v>
      </c>
      <c r="CE459" s="37">
        <v>0</v>
      </c>
      <c r="CF459" s="37">
        <v>0</v>
      </c>
      <c r="CG459" s="37">
        <v>0</v>
      </c>
      <c r="CH459" s="37">
        <v>0</v>
      </c>
      <c r="CI459" s="37">
        <v>0</v>
      </c>
      <c r="CJ459" s="37">
        <v>0</v>
      </c>
      <c r="CK459" s="37">
        <v>0</v>
      </c>
      <c r="CL459" s="37">
        <v>0</v>
      </c>
      <c r="CM459" s="37">
        <v>0</v>
      </c>
      <c r="CN459" s="37">
        <v>0</v>
      </c>
      <c r="CO459" s="37">
        <v>0</v>
      </c>
      <c r="CP459" s="37">
        <v>0</v>
      </c>
      <c r="CQ459" s="37">
        <v>0</v>
      </c>
      <c r="CR459" s="37">
        <v>0</v>
      </c>
      <c r="CS459" s="37">
        <v>0</v>
      </c>
      <c r="CT459" s="37">
        <v>0</v>
      </c>
      <c r="CU459" s="37">
        <v>0</v>
      </c>
      <c r="CV459" s="37">
        <v>0</v>
      </c>
      <c r="CW459" s="37">
        <v>0</v>
      </c>
      <c r="CX459" s="37">
        <v>0</v>
      </c>
      <c r="CY459" s="37">
        <v>0</v>
      </c>
      <c r="CZ459" s="37">
        <v>0</v>
      </c>
      <c r="DA459" s="37">
        <v>0</v>
      </c>
      <c r="DB459" s="37">
        <v>0</v>
      </c>
      <c r="DC459" s="37">
        <v>0</v>
      </c>
      <c r="DD459" s="37">
        <v>0</v>
      </c>
      <c r="DE459" s="37">
        <v>0</v>
      </c>
      <c r="DF459" s="37">
        <v>0</v>
      </c>
      <c r="DG459" s="37">
        <v>0</v>
      </c>
      <c r="DH459" s="37">
        <v>0</v>
      </c>
      <c r="DI459" s="37">
        <v>0</v>
      </c>
      <c r="DJ459" s="37">
        <v>0</v>
      </c>
      <c r="DK459" s="37">
        <v>0</v>
      </c>
      <c r="DL459" s="37">
        <v>0</v>
      </c>
      <c r="DM459" s="37">
        <v>0</v>
      </c>
      <c r="DN459" s="37">
        <v>0</v>
      </c>
      <c r="DO459" s="37">
        <v>0</v>
      </c>
      <c r="DP459" s="37">
        <v>0</v>
      </c>
      <c r="DQ459" s="37">
        <v>0</v>
      </c>
      <c r="DR459" s="37">
        <v>0</v>
      </c>
      <c r="DS459" s="37">
        <v>0</v>
      </c>
      <c r="DT459" s="37">
        <v>0</v>
      </c>
      <c r="DU459" s="37">
        <v>0</v>
      </c>
      <c r="DV459" s="37">
        <v>0</v>
      </c>
      <c r="DW459" s="37">
        <v>0</v>
      </c>
      <c r="DX459" s="37">
        <v>0</v>
      </c>
      <c r="DY459" s="37">
        <v>0</v>
      </c>
      <c r="DZ459" s="37">
        <v>0</v>
      </c>
      <c r="EA459" s="37">
        <v>0</v>
      </c>
      <c r="EB459" s="37">
        <v>0</v>
      </c>
      <c r="EC459" s="37">
        <v>0</v>
      </c>
      <c r="ED459" s="37">
        <v>0</v>
      </c>
      <c r="EE459" s="37">
        <v>0</v>
      </c>
      <c r="EF459" s="37">
        <v>0</v>
      </c>
      <c r="EG459" s="37">
        <v>0</v>
      </c>
      <c r="EH459" s="37">
        <v>0</v>
      </c>
      <c r="EI459" s="37">
        <v>0</v>
      </c>
      <c r="EJ459" s="37">
        <v>0</v>
      </c>
      <c r="EK459" s="161" t="s">
        <v>2358</v>
      </c>
      <c r="EL459" s="294" t="s">
        <v>1124</v>
      </c>
    </row>
    <row r="460" spans="1:142" ht="15" customHeight="1" x14ac:dyDescent="0.35">
      <c r="A460" s="34"/>
      <c r="B460" s="313">
        <v>69037</v>
      </c>
      <c r="C460" s="8" t="s">
        <v>689</v>
      </c>
      <c r="D460" s="18">
        <v>16</v>
      </c>
      <c r="E460" s="155"/>
      <c r="F460" s="36"/>
      <c r="G460" s="37"/>
      <c r="H460" s="37"/>
      <c r="I460" s="37"/>
      <c r="J460" s="37"/>
      <c r="K460" s="37"/>
      <c r="L460" s="37"/>
      <c r="M460" s="37" t="s">
        <v>1124</v>
      </c>
      <c r="N460" s="37" t="s">
        <v>1124</v>
      </c>
      <c r="O460" s="37"/>
      <c r="P460" s="37"/>
      <c r="Q460" s="37"/>
      <c r="R460" s="37"/>
      <c r="S460" s="37"/>
      <c r="T460" s="37"/>
      <c r="U460" s="37"/>
      <c r="V460" s="37"/>
      <c r="W460" s="37"/>
      <c r="X460" s="37"/>
      <c r="Y460" s="37"/>
      <c r="Z460" s="37"/>
      <c r="AA460" s="37" t="s">
        <v>1124</v>
      </c>
      <c r="AB460" s="37" t="s">
        <v>1124</v>
      </c>
      <c r="AC460" s="37"/>
      <c r="AD460" s="37"/>
      <c r="AE460" s="37"/>
      <c r="AF460" s="168"/>
      <c r="AG460" s="37"/>
      <c r="AH460" s="37"/>
      <c r="AI460" s="37"/>
      <c r="AJ460" s="37"/>
      <c r="AK460" s="37"/>
      <c r="AL460" s="37"/>
      <c r="AM460" s="37"/>
      <c r="AN460" s="37"/>
      <c r="AO460" s="37"/>
      <c r="AP460" s="37"/>
      <c r="AQ460" s="37"/>
      <c r="AR460" s="37" t="s">
        <v>1124</v>
      </c>
      <c r="AS460" s="37"/>
      <c r="AT460" s="37"/>
      <c r="AU460" s="37"/>
      <c r="AV460" s="37"/>
      <c r="AW460" s="37"/>
      <c r="AX460" s="37"/>
      <c r="AY460" s="37"/>
      <c r="AZ460" s="37"/>
      <c r="BA460" s="37"/>
      <c r="BB460" s="37"/>
      <c r="BC460" s="37"/>
      <c r="BD460" s="37" t="s">
        <v>1124</v>
      </c>
      <c r="BE460" s="37"/>
      <c r="BF460" s="37"/>
      <c r="BG460" s="37"/>
      <c r="BH460" s="37"/>
      <c r="BI460" s="37"/>
      <c r="BJ460" s="37"/>
      <c r="BK460" s="37"/>
      <c r="BL460" s="37"/>
      <c r="BM460" s="37"/>
      <c r="BN460" s="37"/>
      <c r="BO460" s="37"/>
      <c r="BP460" s="37">
        <v>0</v>
      </c>
      <c r="BQ460" s="37"/>
      <c r="BR460" s="37"/>
      <c r="BS460" s="37"/>
      <c r="BT460" s="37"/>
      <c r="BU460" s="37"/>
      <c r="BV460" s="37"/>
      <c r="BW460" s="37"/>
      <c r="BX460" s="37"/>
      <c r="BY460" s="37"/>
      <c r="BZ460" s="37"/>
      <c r="CA460" s="37"/>
      <c r="CB460" s="37" t="s">
        <v>1124</v>
      </c>
      <c r="CC460" s="37"/>
      <c r="CD460" s="37"/>
      <c r="CE460" s="37"/>
      <c r="CF460" s="37"/>
      <c r="CG460" s="37"/>
      <c r="CH460" s="37"/>
      <c r="CI460" s="37"/>
      <c r="CJ460" s="37"/>
      <c r="CK460" s="37"/>
      <c r="CL460" s="37"/>
      <c r="CM460" s="37"/>
      <c r="CN460" s="37" t="s">
        <v>1124</v>
      </c>
      <c r="CO460" s="37"/>
      <c r="CP460" s="37"/>
      <c r="CQ460" s="37"/>
      <c r="CR460" s="37"/>
      <c r="CS460" s="37"/>
      <c r="CT460" s="37"/>
      <c r="CU460" s="37"/>
      <c r="CV460" s="37"/>
      <c r="CW460" s="37"/>
      <c r="CX460" s="37"/>
      <c r="CY460" s="37"/>
      <c r="CZ460" s="37" t="s">
        <v>1124</v>
      </c>
      <c r="DA460" s="37"/>
      <c r="DB460" s="37"/>
      <c r="DC460" s="37"/>
      <c r="DD460" s="37"/>
      <c r="DE460" s="37"/>
      <c r="DF460" s="37"/>
      <c r="DG460" s="37"/>
      <c r="DH460" s="37"/>
      <c r="DI460" s="37"/>
      <c r="DJ460" s="37"/>
      <c r="DK460" s="37"/>
      <c r="DL460" s="37" t="s">
        <v>1124</v>
      </c>
      <c r="DM460" s="37"/>
      <c r="DN460" s="37"/>
      <c r="DO460" s="37"/>
      <c r="DP460" s="37"/>
      <c r="DQ460" s="37"/>
      <c r="DR460" s="37"/>
      <c r="DS460" s="37"/>
      <c r="DT460" s="37"/>
      <c r="DU460" s="37"/>
      <c r="DV460" s="37"/>
      <c r="DW460" s="37"/>
      <c r="DX460" s="37" t="s">
        <v>1124</v>
      </c>
      <c r="DY460" s="37"/>
      <c r="DZ460" s="37"/>
      <c r="EA460" s="37"/>
      <c r="EB460" s="37"/>
      <c r="EC460" s="37"/>
      <c r="ED460" s="37"/>
      <c r="EE460" s="37"/>
      <c r="EF460" s="37"/>
      <c r="EG460" s="37"/>
      <c r="EH460" s="37"/>
      <c r="EI460" s="37"/>
      <c r="EJ460" s="37" t="s">
        <v>1124</v>
      </c>
      <c r="EK460" s="161"/>
      <c r="EL460" s="294"/>
    </row>
    <row r="461" spans="1:142" ht="15" customHeight="1" x14ac:dyDescent="0.35">
      <c r="A461" s="34"/>
      <c r="B461" s="313">
        <v>84055</v>
      </c>
      <c r="C461" s="8" t="s">
        <v>862</v>
      </c>
      <c r="D461" s="18">
        <v>7</v>
      </c>
      <c r="E461" s="155"/>
      <c r="F461" s="36"/>
      <c r="G461" s="37"/>
      <c r="H461" s="37"/>
      <c r="I461" s="37"/>
      <c r="J461" s="37"/>
      <c r="K461" s="37"/>
      <c r="L461" s="37"/>
      <c r="M461" s="37" t="s">
        <v>1124</v>
      </c>
      <c r="N461" s="37" t="s">
        <v>1124</v>
      </c>
      <c r="O461" s="37"/>
      <c r="P461" s="37"/>
      <c r="Q461" s="37"/>
      <c r="R461" s="37"/>
      <c r="S461" s="37"/>
      <c r="T461" s="37"/>
      <c r="U461" s="37"/>
      <c r="V461" s="37"/>
      <c r="W461" s="37"/>
      <c r="X461" s="37"/>
      <c r="Y461" s="37"/>
      <c r="Z461" s="37"/>
      <c r="AA461" s="37" t="s">
        <v>1124</v>
      </c>
      <c r="AB461" s="37" t="s">
        <v>1124</v>
      </c>
      <c r="AC461" s="37"/>
      <c r="AD461" s="37"/>
      <c r="AE461" s="37"/>
      <c r="AF461" s="168"/>
      <c r="AG461" s="37"/>
      <c r="AH461" s="37"/>
      <c r="AI461" s="37"/>
      <c r="AJ461" s="37"/>
      <c r="AK461" s="37"/>
      <c r="AL461" s="37"/>
      <c r="AM461" s="37"/>
      <c r="AN461" s="37"/>
      <c r="AO461" s="37"/>
      <c r="AP461" s="37"/>
      <c r="AQ461" s="37"/>
      <c r="AR461" s="37" t="s">
        <v>1124</v>
      </c>
      <c r="AS461" s="37"/>
      <c r="AT461" s="37"/>
      <c r="AU461" s="37"/>
      <c r="AV461" s="37"/>
      <c r="AW461" s="37"/>
      <c r="AX461" s="37"/>
      <c r="AY461" s="37"/>
      <c r="AZ461" s="37"/>
      <c r="BA461" s="37"/>
      <c r="BB461" s="37"/>
      <c r="BC461" s="37"/>
      <c r="BD461" s="37" t="s">
        <v>1124</v>
      </c>
      <c r="BE461" s="37"/>
      <c r="BF461" s="37"/>
      <c r="BG461" s="37"/>
      <c r="BH461" s="37"/>
      <c r="BI461" s="37"/>
      <c r="BJ461" s="37"/>
      <c r="BK461" s="37"/>
      <c r="BL461" s="37"/>
      <c r="BM461" s="37"/>
      <c r="BN461" s="37"/>
      <c r="BO461" s="37"/>
      <c r="BP461" s="37">
        <v>0</v>
      </c>
      <c r="BQ461" s="37"/>
      <c r="BR461" s="37"/>
      <c r="BS461" s="37"/>
      <c r="BT461" s="37"/>
      <c r="BU461" s="37"/>
      <c r="BV461" s="37"/>
      <c r="BW461" s="37"/>
      <c r="BX461" s="37"/>
      <c r="BY461" s="37"/>
      <c r="BZ461" s="37"/>
      <c r="CA461" s="37"/>
      <c r="CB461" s="37" t="s">
        <v>1124</v>
      </c>
      <c r="CC461" s="37"/>
      <c r="CD461" s="37"/>
      <c r="CE461" s="37"/>
      <c r="CF461" s="37"/>
      <c r="CG461" s="37"/>
      <c r="CH461" s="37"/>
      <c r="CI461" s="37"/>
      <c r="CJ461" s="37"/>
      <c r="CK461" s="37"/>
      <c r="CL461" s="37"/>
      <c r="CM461" s="37"/>
      <c r="CN461" s="37" t="s">
        <v>1124</v>
      </c>
      <c r="CO461" s="37"/>
      <c r="CP461" s="37"/>
      <c r="CQ461" s="37"/>
      <c r="CR461" s="37"/>
      <c r="CS461" s="37"/>
      <c r="CT461" s="37"/>
      <c r="CU461" s="37"/>
      <c r="CV461" s="37"/>
      <c r="CW461" s="37"/>
      <c r="CX461" s="37"/>
      <c r="CY461" s="37"/>
      <c r="CZ461" s="37" t="s">
        <v>1124</v>
      </c>
      <c r="DA461" s="37"/>
      <c r="DB461" s="37"/>
      <c r="DC461" s="37"/>
      <c r="DD461" s="37"/>
      <c r="DE461" s="37"/>
      <c r="DF461" s="37"/>
      <c r="DG461" s="37"/>
      <c r="DH461" s="37"/>
      <c r="DI461" s="37"/>
      <c r="DJ461" s="37"/>
      <c r="DK461" s="37"/>
      <c r="DL461" s="37" t="s">
        <v>1124</v>
      </c>
      <c r="DM461" s="37"/>
      <c r="DN461" s="37"/>
      <c r="DO461" s="37"/>
      <c r="DP461" s="37"/>
      <c r="DQ461" s="37"/>
      <c r="DR461" s="37"/>
      <c r="DS461" s="37"/>
      <c r="DT461" s="37"/>
      <c r="DU461" s="37"/>
      <c r="DV461" s="37"/>
      <c r="DW461" s="37"/>
      <c r="DX461" s="37" t="s">
        <v>1124</v>
      </c>
      <c r="DY461" s="37"/>
      <c r="DZ461" s="37"/>
      <c r="EA461" s="37"/>
      <c r="EB461" s="37"/>
      <c r="EC461" s="37"/>
      <c r="ED461" s="37"/>
      <c r="EE461" s="37"/>
      <c r="EF461" s="37"/>
      <c r="EG461" s="37"/>
      <c r="EH461" s="37"/>
      <c r="EI461" s="37"/>
      <c r="EJ461" s="37" t="s">
        <v>1124</v>
      </c>
      <c r="EK461" s="161"/>
      <c r="EL461" s="294"/>
    </row>
    <row r="462" spans="1:142" ht="15" customHeight="1" x14ac:dyDescent="0.35">
      <c r="A462" s="34"/>
      <c r="B462" s="313">
        <v>57030</v>
      </c>
      <c r="C462" s="8" t="s">
        <v>585</v>
      </c>
      <c r="D462" s="18">
        <v>16</v>
      </c>
      <c r="E462" s="155"/>
      <c r="F462" s="36"/>
      <c r="G462" s="37"/>
      <c r="H462" s="37"/>
      <c r="I462" s="37"/>
      <c r="J462" s="37"/>
      <c r="K462" s="37"/>
      <c r="L462" s="37"/>
      <c r="M462" s="37" t="s">
        <v>1124</v>
      </c>
      <c r="N462" s="37" t="s">
        <v>1124</v>
      </c>
      <c r="O462" s="37"/>
      <c r="P462" s="37"/>
      <c r="Q462" s="37"/>
      <c r="R462" s="37"/>
      <c r="S462" s="37"/>
      <c r="T462" s="37"/>
      <c r="U462" s="37"/>
      <c r="V462" s="37"/>
      <c r="W462" s="37"/>
      <c r="X462" s="37"/>
      <c r="Y462" s="37"/>
      <c r="Z462" s="37"/>
      <c r="AA462" s="37" t="s">
        <v>1124</v>
      </c>
      <c r="AB462" s="37" t="s">
        <v>1124</v>
      </c>
      <c r="AC462" s="37"/>
      <c r="AD462" s="37"/>
      <c r="AE462" s="37"/>
      <c r="AF462" s="168"/>
      <c r="AG462" s="37"/>
      <c r="AH462" s="37"/>
      <c r="AI462" s="37"/>
      <c r="AJ462" s="37"/>
      <c r="AK462" s="37"/>
      <c r="AL462" s="37"/>
      <c r="AM462" s="37"/>
      <c r="AN462" s="37"/>
      <c r="AO462" s="37"/>
      <c r="AP462" s="37"/>
      <c r="AQ462" s="37"/>
      <c r="AR462" s="37" t="s">
        <v>1124</v>
      </c>
      <c r="AS462" s="37"/>
      <c r="AT462" s="37"/>
      <c r="AU462" s="37"/>
      <c r="AV462" s="37"/>
      <c r="AW462" s="37"/>
      <c r="AX462" s="37"/>
      <c r="AY462" s="37"/>
      <c r="AZ462" s="37"/>
      <c r="BA462" s="37"/>
      <c r="BB462" s="37"/>
      <c r="BC462" s="37"/>
      <c r="BD462" s="37" t="s">
        <v>1124</v>
      </c>
      <c r="BE462" s="37"/>
      <c r="BF462" s="37"/>
      <c r="BG462" s="37"/>
      <c r="BH462" s="37"/>
      <c r="BI462" s="37"/>
      <c r="BJ462" s="37"/>
      <c r="BK462" s="37"/>
      <c r="BL462" s="37"/>
      <c r="BM462" s="37"/>
      <c r="BN462" s="37"/>
      <c r="BO462" s="37"/>
      <c r="BP462" s="37">
        <v>0</v>
      </c>
      <c r="BQ462" s="37"/>
      <c r="BR462" s="37"/>
      <c r="BS462" s="37"/>
      <c r="BT462" s="37"/>
      <c r="BU462" s="37"/>
      <c r="BV462" s="37"/>
      <c r="BW462" s="37"/>
      <c r="BX462" s="37"/>
      <c r="BY462" s="37"/>
      <c r="BZ462" s="37"/>
      <c r="CA462" s="37"/>
      <c r="CB462" s="37" t="s">
        <v>1124</v>
      </c>
      <c r="CC462" s="37"/>
      <c r="CD462" s="37"/>
      <c r="CE462" s="37"/>
      <c r="CF462" s="37"/>
      <c r="CG462" s="37"/>
      <c r="CH462" s="37"/>
      <c r="CI462" s="37"/>
      <c r="CJ462" s="37"/>
      <c r="CK462" s="37"/>
      <c r="CL462" s="37"/>
      <c r="CM462" s="37"/>
      <c r="CN462" s="37" t="s">
        <v>1124</v>
      </c>
      <c r="CO462" s="37"/>
      <c r="CP462" s="37"/>
      <c r="CQ462" s="37"/>
      <c r="CR462" s="37"/>
      <c r="CS462" s="37"/>
      <c r="CT462" s="37"/>
      <c r="CU462" s="37"/>
      <c r="CV462" s="37"/>
      <c r="CW462" s="37"/>
      <c r="CX462" s="37"/>
      <c r="CY462" s="37"/>
      <c r="CZ462" s="37" t="s">
        <v>1124</v>
      </c>
      <c r="DA462" s="37"/>
      <c r="DB462" s="37"/>
      <c r="DC462" s="37"/>
      <c r="DD462" s="37"/>
      <c r="DE462" s="37"/>
      <c r="DF462" s="37"/>
      <c r="DG462" s="37"/>
      <c r="DH462" s="37"/>
      <c r="DI462" s="37"/>
      <c r="DJ462" s="37"/>
      <c r="DK462" s="37"/>
      <c r="DL462" s="37" t="s">
        <v>1124</v>
      </c>
      <c r="DM462" s="37"/>
      <c r="DN462" s="37"/>
      <c r="DO462" s="37"/>
      <c r="DP462" s="37"/>
      <c r="DQ462" s="37"/>
      <c r="DR462" s="37"/>
      <c r="DS462" s="37"/>
      <c r="DT462" s="37"/>
      <c r="DU462" s="37"/>
      <c r="DV462" s="37"/>
      <c r="DW462" s="37"/>
      <c r="DX462" s="37" t="s">
        <v>1124</v>
      </c>
      <c r="DY462" s="37"/>
      <c r="DZ462" s="37"/>
      <c r="EA462" s="37"/>
      <c r="EB462" s="37"/>
      <c r="EC462" s="37"/>
      <c r="ED462" s="37"/>
      <c r="EE462" s="37"/>
      <c r="EF462" s="37"/>
      <c r="EG462" s="37"/>
      <c r="EH462" s="37"/>
      <c r="EI462" s="37"/>
      <c r="EJ462" s="37" t="s">
        <v>1124</v>
      </c>
      <c r="EK462" s="161"/>
      <c r="EL462" s="294"/>
    </row>
    <row r="463" spans="1:142" ht="15" customHeight="1" x14ac:dyDescent="0.35">
      <c r="A463" s="34"/>
      <c r="B463" s="313">
        <v>13015</v>
      </c>
      <c r="C463" s="8" t="s">
        <v>43</v>
      </c>
      <c r="D463" s="18">
        <v>1</v>
      </c>
      <c r="E463" s="155"/>
      <c r="F463" s="36"/>
      <c r="G463" s="37"/>
      <c r="H463" s="37"/>
      <c r="I463" s="37"/>
      <c r="J463" s="37"/>
      <c r="K463" s="37"/>
      <c r="L463" s="37"/>
      <c r="M463" s="37" t="s">
        <v>1124</v>
      </c>
      <c r="N463" s="37" t="s">
        <v>1124</v>
      </c>
      <c r="O463" s="37"/>
      <c r="P463" s="37"/>
      <c r="Q463" s="37"/>
      <c r="R463" s="37"/>
      <c r="S463" s="37"/>
      <c r="T463" s="37"/>
      <c r="U463" s="37"/>
      <c r="V463" s="37"/>
      <c r="W463" s="37"/>
      <c r="X463" s="37"/>
      <c r="Y463" s="37"/>
      <c r="Z463" s="37"/>
      <c r="AA463" s="37" t="s">
        <v>1124</v>
      </c>
      <c r="AB463" s="37" t="s">
        <v>1124</v>
      </c>
      <c r="AC463" s="37"/>
      <c r="AD463" s="37"/>
      <c r="AE463" s="37"/>
      <c r="AF463" s="168"/>
      <c r="AG463" s="37"/>
      <c r="AH463" s="37"/>
      <c r="AI463" s="37"/>
      <c r="AJ463" s="37"/>
      <c r="AK463" s="37"/>
      <c r="AL463" s="37"/>
      <c r="AM463" s="37"/>
      <c r="AN463" s="37"/>
      <c r="AO463" s="37"/>
      <c r="AP463" s="37"/>
      <c r="AQ463" s="37"/>
      <c r="AR463" s="37" t="s">
        <v>1124</v>
      </c>
      <c r="AS463" s="37"/>
      <c r="AT463" s="37"/>
      <c r="AU463" s="37"/>
      <c r="AV463" s="37"/>
      <c r="AW463" s="37"/>
      <c r="AX463" s="37"/>
      <c r="AY463" s="37"/>
      <c r="AZ463" s="37"/>
      <c r="BA463" s="37"/>
      <c r="BB463" s="37"/>
      <c r="BC463" s="37"/>
      <c r="BD463" s="37" t="s">
        <v>1124</v>
      </c>
      <c r="BE463" s="37"/>
      <c r="BF463" s="37"/>
      <c r="BG463" s="37"/>
      <c r="BH463" s="37"/>
      <c r="BI463" s="37"/>
      <c r="BJ463" s="37"/>
      <c r="BK463" s="37"/>
      <c r="BL463" s="37"/>
      <c r="BM463" s="37"/>
      <c r="BN463" s="37"/>
      <c r="BO463" s="37"/>
      <c r="BP463" s="37">
        <v>0</v>
      </c>
      <c r="BQ463" s="37"/>
      <c r="BR463" s="37"/>
      <c r="BS463" s="37"/>
      <c r="BT463" s="37"/>
      <c r="BU463" s="37"/>
      <c r="BV463" s="37"/>
      <c r="BW463" s="37"/>
      <c r="BX463" s="37"/>
      <c r="BY463" s="37"/>
      <c r="BZ463" s="37"/>
      <c r="CA463" s="37"/>
      <c r="CB463" s="37" t="s">
        <v>1124</v>
      </c>
      <c r="CC463" s="37"/>
      <c r="CD463" s="37"/>
      <c r="CE463" s="37"/>
      <c r="CF463" s="37"/>
      <c r="CG463" s="37"/>
      <c r="CH463" s="37"/>
      <c r="CI463" s="37"/>
      <c r="CJ463" s="37"/>
      <c r="CK463" s="37"/>
      <c r="CL463" s="37"/>
      <c r="CM463" s="37"/>
      <c r="CN463" s="37" t="s">
        <v>1124</v>
      </c>
      <c r="CO463" s="37"/>
      <c r="CP463" s="37"/>
      <c r="CQ463" s="37"/>
      <c r="CR463" s="37"/>
      <c r="CS463" s="37"/>
      <c r="CT463" s="37"/>
      <c r="CU463" s="37"/>
      <c r="CV463" s="37"/>
      <c r="CW463" s="37"/>
      <c r="CX463" s="37"/>
      <c r="CY463" s="37"/>
      <c r="CZ463" s="37" t="s">
        <v>1124</v>
      </c>
      <c r="DA463" s="37"/>
      <c r="DB463" s="37"/>
      <c r="DC463" s="37"/>
      <c r="DD463" s="37"/>
      <c r="DE463" s="37"/>
      <c r="DF463" s="37"/>
      <c r="DG463" s="37"/>
      <c r="DH463" s="37"/>
      <c r="DI463" s="37"/>
      <c r="DJ463" s="37"/>
      <c r="DK463" s="37"/>
      <c r="DL463" s="37" t="s">
        <v>1124</v>
      </c>
      <c r="DM463" s="37"/>
      <c r="DN463" s="37"/>
      <c r="DO463" s="37"/>
      <c r="DP463" s="37"/>
      <c r="DQ463" s="37"/>
      <c r="DR463" s="37"/>
      <c r="DS463" s="37"/>
      <c r="DT463" s="37"/>
      <c r="DU463" s="37"/>
      <c r="DV463" s="37"/>
      <c r="DW463" s="37"/>
      <c r="DX463" s="37" t="s">
        <v>1124</v>
      </c>
      <c r="DY463" s="37"/>
      <c r="DZ463" s="37"/>
      <c r="EA463" s="37"/>
      <c r="EB463" s="37"/>
      <c r="EC463" s="37"/>
      <c r="ED463" s="37"/>
      <c r="EE463" s="37"/>
      <c r="EF463" s="37"/>
      <c r="EG463" s="37"/>
      <c r="EH463" s="37"/>
      <c r="EI463" s="37"/>
      <c r="EJ463" s="37" t="s">
        <v>1124</v>
      </c>
      <c r="EK463" s="161"/>
      <c r="EL463" s="294"/>
    </row>
    <row r="464" spans="1:142" ht="15" customHeight="1" x14ac:dyDescent="0.35">
      <c r="A464" s="34"/>
      <c r="B464" s="313">
        <v>9040</v>
      </c>
      <c r="C464" s="8" t="s">
        <v>1104</v>
      </c>
      <c r="D464" s="18">
        <v>1</v>
      </c>
      <c r="E464" s="155"/>
      <c r="F464" s="36"/>
      <c r="G464" s="37"/>
      <c r="H464" s="37"/>
      <c r="I464" s="37"/>
      <c r="J464" s="37"/>
      <c r="K464" s="37"/>
      <c r="L464" s="37"/>
      <c r="M464" s="37" t="s">
        <v>1124</v>
      </c>
      <c r="N464" s="37" t="s">
        <v>1124</v>
      </c>
      <c r="O464" s="37"/>
      <c r="P464" s="37"/>
      <c r="Q464" s="37"/>
      <c r="R464" s="37"/>
      <c r="S464" s="37"/>
      <c r="T464" s="37"/>
      <c r="U464" s="37"/>
      <c r="V464" s="37"/>
      <c r="W464" s="37"/>
      <c r="X464" s="37"/>
      <c r="Y464" s="37"/>
      <c r="Z464" s="37"/>
      <c r="AA464" s="37" t="s">
        <v>1124</v>
      </c>
      <c r="AB464" s="37" t="s">
        <v>1124</v>
      </c>
      <c r="AC464" s="37"/>
      <c r="AD464" s="37"/>
      <c r="AE464" s="37"/>
      <c r="AF464" s="168"/>
      <c r="AG464" s="37"/>
      <c r="AH464" s="37"/>
      <c r="AI464" s="37"/>
      <c r="AJ464" s="37"/>
      <c r="AK464" s="37"/>
      <c r="AL464" s="37"/>
      <c r="AM464" s="37"/>
      <c r="AN464" s="37"/>
      <c r="AO464" s="37"/>
      <c r="AP464" s="37"/>
      <c r="AQ464" s="37"/>
      <c r="AR464" s="37" t="s">
        <v>1124</v>
      </c>
      <c r="AS464" s="37"/>
      <c r="AT464" s="37"/>
      <c r="AU464" s="37"/>
      <c r="AV464" s="37"/>
      <c r="AW464" s="37"/>
      <c r="AX464" s="37"/>
      <c r="AY464" s="37"/>
      <c r="AZ464" s="37"/>
      <c r="BA464" s="37"/>
      <c r="BB464" s="37"/>
      <c r="BC464" s="37"/>
      <c r="BD464" s="37" t="s">
        <v>1124</v>
      </c>
      <c r="BE464" s="37"/>
      <c r="BF464" s="37"/>
      <c r="BG464" s="37"/>
      <c r="BH464" s="37"/>
      <c r="BI464" s="37"/>
      <c r="BJ464" s="37"/>
      <c r="BK464" s="37"/>
      <c r="BL464" s="37"/>
      <c r="BM464" s="37"/>
      <c r="BN464" s="37"/>
      <c r="BO464" s="37"/>
      <c r="BP464" s="37">
        <v>0</v>
      </c>
      <c r="BQ464" s="37"/>
      <c r="BR464" s="37"/>
      <c r="BS464" s="37"/>
      <c r="BT464" s="37"/>
      <c r="BU464" s="37"/>
      <c r="BV464" s="37"/>
      <c r="BW464" s="37"/>
      <c r="BX464" s="37"/>
      <c r="BY464" s="37"/>
      <c r="BZ464" s="37"/>
      <c r="CA464" s="37"/>
      <c r="CB464" s="37" t="s">
        <v>1124</v>
      </c>
      <c r="CC464" s="37"/>
      <c r="CD464" s="37"/>
      <c r="CE464" s="37"/>
      <c r="CF464" s="37"/>
      <c r="CG464" s="37"/>
      <c r="CH464" s="37"/>
      <c r="CI464" s="37"/>
      <c r="CJ464" s="37"/>
      <c r="CK464" s="37"/>
      <c r="CL464" s="37"/>
      <c r="CM464" s="37"/>
      <c r="CN464" s="37" t="s">
        <v>1124</v>
      </c>
      <c r="CO464" s="37"/>
      <c r="CP464" s="37"/>
      <c r="CQ464" s="37"/>
      <c r="CR464" s="37"/>
      <c r="CS464" s="37"/>
      <c r="CT464" s="37"/>
      <c r="CU464" s="37"/>
      <c r="CV464" s="37"/>
      <c r="CW464" s="37"/>
      <c r="CX464" s="37"/>
      <c r="CY464" s="37"/>
      <c r="CZ464" s="37" t="s">
        <v>1124</v>
      </c>
      <c r="DA464" s="37"/>
      <c r="DB464" s="37"/>
      <c r="DC464" s="37"/>
      <c r="DD464" s="37"/>
      <c r="DE464" s="37"/>
      <c r="DF464" s="37"/>
      <c r="DG464" s="37"/>
      <c r="DH464" s="37"/>
      <c r="DI464" s="37"/>
      <c r="DJ464" s="37"/>
      <c r="DK464" s="37"/>
      <c r="DL464" s="37" t="s">
        <v>1124</v>
      </c>
      <c r="DM464" s="37"/>
      <c r="DN464" s="37"/>
      <c r="DO464" s="37"/>
      <c r="DP464" s="37"/>
      <c r="DQ464" s="37"/>
      <c r="DR464" s="37"/>
      <c r="DS464" s="37"/>
      <c r="DT464" s="37"/>
      <c r="DU464" s="37"/>
      <c r="DV464" s="37"/>
      <c r="DW464" s="37"/>
      <c r="DX464" s="37" t="s">
        <v>1124</v>
      </c>
      <c r="DY464" s="37"/>
      <c r="DZ464" s="37"/>
      <c r="EA464" s="37"/>
      <c r="EB464" s="37"/>
      <c r="EC464" s="37"/>
      <c r="ED464" s="37"/>
      <c r="EE464" s="37"/>
      <c r="EF464" s="37"/>
      <c r="EG464" s="37"/>
      <c r="EH464" s="37"/>
      <c r="EI464" s="37"/>
      <c r="EJ464" s="37" t="s">
        <v>1124</v>
      </c>
      <c r="EK464" s="161"/>
      <c r="EL464" s="294"/>
    </row>
    <row r="465" spans="1:142" ht="15" customHeight="1" x14ac:dyDescent="0.35">
      <c r="A465" s="34"/>
      <c r="B465" s="313">
        <v>87025</v>
      </c>
      <c r="C465" s="8" t="s">
        <v>894</v>
      </c>
      <c r="D465" s="18">
        <v>8</v>
      </c>
      <c r="E465" s="155"/>
      <c r="F465" s="36"/>
      <c r="G465" s="37"/>
      <c r="H465" s="37"/>
      <c r="I465" s="37"/>
      <c r="J465" s="37"/>
      <c r="K465" s="37"/>
      <c r="L465" s="37"/>
      <c r="M465" s="37" t="s">
        <v>1124</v>
      </c>
      <c r="N465" s="37" t="s">
        <v>1124</v>
      </c>
      <c r="O465" s="37"/>
      <c r="P465" s="37"/>
      <c r="Q465" s="37"/>
      <c r="R465" s="37"/>
      <c r="S465" s="37"/>
      <c r="T465" s="37"/>
      <c r="U465" s="37"/>
      <c r="V465" s="37"/>
      <c r="W465" s="37"/>
      <c r="X465" s="37"/>
      <c r="Y465" s="37"/>
      <c r="Z465" s="37"/>
      <c r="AA465" s="37" t="s">
        <v>1124</v>
      </c>
      <c r="AB465" s="37" t="s">
        <v>1124</v>
      </c>
      <c r="AC465" s="37"/>
      <c r="AD465" s="37"/>
      <c r="AE465" s="37"/>
      <c r="AF465" s="168"/>
      <c r="AG465" s="37"/>
      <c r="AH465" s="37"/>
      <c r="AI465" s="37"/>
      <c r="AJ465" s="37"/>
      <c r="AK465" s="37"/>
      <c r="AL465" s="37"/>
      <c r="AM465" s="37"/>
      <c r="AN465" s="37"/>
      <c r="AO465" s="37"/>
      <c r="AP465" s="37"/>
      <c r="AQ465" s="37"/>
      <c r="AR465" s="37" t="s">
        <v>1124</v>
      </c>
      <c r="AS465" s="37"/>
      <c r="AT465" s="37"/>
      <c r="AU465" s="37"/>
      <c r="AV465" s="37"/>
      <c r="AW465" s="37"/>
      <c r="AX465" s="37"/>
      <c r="AY465" s="37"/>
      <c r="AZ465" s="37"/>
      <c r="BA465" s="37"/>
      <c r="BB465" s="37"/>
      <c r="BC465" s="37"/>
      <c r="BD465" s="37" t="s">
        <v>1124</v>
      </c>
      <c r="BE465" s="37"/>
      <c r="BF465" s="37"/>
      <c r="BG465" s="37"/>
      <c r="BH465" s="37"/>
      <c r="BI465" s="37"/>
      <c r="BJ465" s="37"/>
      <c r="BK465" s="37"/>
      <c r="BL465" s="37"/>
      <c r="BM465" s="37"/>
      <c r="BN465" s="37"/>
      <c r="BO465" s="37"/>
      <c r="BP465" s="37">
        <v>0</v>
      </c>
      <c r="BQ465" s="37"/>
      <c r="BR465" s="37"/>
      <c r="BS465" s="37"/>
      <c r="BT465" s="37"/>
      <c r="BU465" s="37"/>
      <c r="BV465" s="37"/>
      <c r="BW465" s="37"/>
      <c r="BX465" s="37"/>
      <c r="BY465" s="37"/>
      <c r="BZ465" s="37"/>
      <c r="CA465" s="37"/>
      <c r="CB465" s="37" t="s">
        <v>1124</v>
      </c>
      <c r="CC465" s="37"/>
      <c r="CD465" s="37"/>
      <c r="CE465" s="37"/>
      <c r="CF465" s="37"/>
      <c r="CG465" s="37"/>
      <c r="CH465" s="37"/>
      <c r="CI465" s="37"/>
      <c r="CJ465" s="37"/>
      <c r="CK465" s="37"/>
      <c r="CL465" s="37"/>
      <c r="CM465" s="37"/>
      <c r="CN465" s="37" t="s">
        <v>1124</v>
      </c>
      <c r="CO465" s="37"/>
      <c r="CP465" s="37"/>
      <c r="CQ465" s="37"/>
      <c r="CR465" s="37"/>
      <c r="CS465" s="37"/>
      <c r="CT465" s="37"/>
      <c r="CU465" s="37"/>
      <c r="CV465" s="37"/>
      <c r="CW465" s="37"/>
      <c r="CX465" s="37"/>
      <c r="CY465" s="37"/>
      <c r="CZ465" s="37" t="s">
        <v>1124</v>
      </c>
      <c r="DA465" s="37"/>
      <c r="DB465" s="37"/>
      <c r="DC465" s="37"/>
      <c r="DD465" s="37"/>
      <c r="DE465" s="37"/>
      <c r="DF465" s="37"/>
      <c r="DG465" s="37"/>
      <c r="DH465" s="37"/>
      <c r="DI465" s="37"/>
      <c r="DJ465" s="37"/>
      <c r="DK465" s="37"/>
      <c r="DL465" s="37" t="s">
        <v>1124</v>
      </c>
      <c r="DM465" s="37"/>
      <c r="DN465" s="37"/>
      <c r="DO465" s="37"/>
      <c r="DP465" s="37"/>
      <c r="DQ465" s="37"/>
      <c r="DR465" s="37"/>
      <c r="DS465" s="37"/>
      <c r="DT465" s="37"/>
      <c r="DU465" s="37"/>
      <c r="DV465" s="37"/>
      <c r="DW465" s="37"/>
      <c r="DX465" s="37" t="s">
        <v>1124</v>
      </c>
      <c r="DY465" s="37"/>
      <c r="DZ465" s="37"/>
      <c r="EA465" s="37"/>
      <c r="EB465" s="37"/>
      <c r="EC465" s="37"/>
      <c r="ED465" s="37"/>
      <c r="EE465" s="37"/>
      <c r="EF465" s="37"/>
      <c r="EG465" s="37"/>
      <c r="EH465" s="37"/>
      <c r="EI465" s="37"/>
      <c r="EJ465" s="37" t="s">
        <v>1124</v>
      </c>
      <c r="EK465" s="161"/>
      <c r="EL465" s="294"/>
    </row>
    <row r="466" spans="1:142" ht="15" customHeight="1" x14ac:dyDescent="0.35">
      <c r="A466" s="34"/>
      <c r="B466" s="313">
        <v>80037</v>
      </c>
      <c r="C466" s="8" t="s">
        <v>808</v>
      </c>
      <c r="D466" s="18">
        <v>7</v>
      </c>
      <c r="E466" s="155">
        <v>137604</v>
      </c>
      <c r="F466" s="38">
        <v>218375</v>
      </c>
      <c r="G466" s="37">
        <v>60498</v>
      </c>
      <c r="H466" s="37">
        <v>7464</v>
      </c>
      <c r="I466" s="37">
        <v>229686</v>
      </c>
      <c r="J466" s="37">
        <v>46758</v>
      </c>
      <c r="K466" s="37">
        <v>20640.599999999999</v>
      </c>
      <c r="L466" s="37">
        <v>32756.25</v>
      </c>
      <c r="M466" s="37">
        <v>448428.6</v>
      </c>
      <c r="N466" s="37">
        <v>305353.25</v>
      </c>
      <c r="O466" s="37">
        <v>0</v>
      </c>
      <c r="P466" s="37">
        <v>0</v>
      </c>
      <c r="Q466" s="37">
        <v>118228</v>
      </c>
      <c r="R466" s="37">
        <v>192346</v>
      </c>
      <c r="S466" s="37">
        <v>0</v>
      </c>
      <c r="T466" s="37">
        <v>0</v>
      </c>
      <c r="U466" s="37">
        <v>41862</v>
      </c>
      <c r="V466" s="37">
        <v>0</v>
      </c>
      <c r="W466" s="37">
        <v>288338.59999999998</v>
      </c>
      <c r="X466" s="37">
        <v>14280.25</v>
      </c>
      <c r="Y466" s="37">
        <v>70881</v>
      </c>
      <c r="Z466" s="37">
        <v>98727</v>
      </c>
      <c r="AA466" s="37">
        <v>519309.6</v>
      </c>
      <c r="AB466" s="37">
        <v>305353.25</v>
      </c>
      <c r="AC466" s="37">
        <v>70881</v>
      </c>
      <c r="AD466" s="37">
        <v>70881</v>
      </c>
      <c r="AE466" s="37">
        <v>70881</v>
      </c>
      <c r="AF466" s="168">
        <v>0.02</v>
      </c>
      <c r="AG466" s="37">
        <v>41872434.82</v>
      </c>
      <c r="AH466" s="37">
        <v>358415.96</v>
      </c>
      <c r="AI466" s="37">
        <v>365584.28</v>
      </c>
      <c r="AJ466" s="37">
        <v>372895.97</v>
      </c>
      <c r="AK466" s="37">
        <v>380353.89</v>
      </c>
      <c r="AL466" s="37">
        <v>387960.96</v>
      </c>
      <c r="AM466" s="37">
        <v>395720.18</v>
      </c>
      <c r="AN466" s="37">
        <v>403634.59</v>
      </c>
      <c r="AO466" s="37">
        <v>411707.28</v>
      </c>
      <c r="AP466" s="37">
        <v>419941.42</v>
      </c>
      <c r="AQ466" s="37">
        <v>428340.25</v>
      </c>
      <c r="AR466" s="37">
        <v>3924554.7800000003</v>
      </c>
      <c r="AS466" s="37">
        <v>2149270.56</v>
      </c>
      <c r="AT466" s="37">
        <v>0</v>
      </c>
      <c r="AU466" s="37">
        <v>0</v>
      </c>
      <c r="AV466" s="37">
        <v>0</v>
      </c>
      <c r="AW466" s="37">
        <v>0</v>
      </c>
      <c r="AX466" s="37">
        <v>0</v>
      </c>
      <c r="AY466" s="37">
        <v>0</v>
      </c>
      <c r="AZ466" s="37">
        <v>0</v>
      </c>
      <c r="BA466" s="37">
        <v>0</v>
      </c>
      <c r="BB466" s="37">
        <v>0</v>
      </c>
      <c r="BC466" s="37">
        <v>0</v>
      </c>
      <c r="BD466" s="37">
        <v>0</v>
      </c>
      <c r="BE466" s="37">
        <v>161154</v>
      </c>
      <c r="BF466" s="37">
        <v>0</v>
      </c>
      <c r="BG466" s="37">
        <v>0</v>
      </c>
      <c r="BH466" s="37">
        <v>0</v>
      </c>
      <c r="BI466" s="37">
        <v>0</v>
      </c>
      <c r="BJ466" s="37">
        <v>0</v>
      </c>
      <c r="BK466" s="37">
        <v>0</v>
      </c>
      <c r="BL466" s="37">
        <v>0</v>
      </c>
      <c r="BM466" s="37">
        <v>0</v>
      </c>
      <c r="BN466" s="37">
        <v>0</v>
      </c>
      <c r="BO466" s="37">
        <v>0</v>
      </c>
      <c r="BP466" s="37">
        <v>0</v>
      </c>
      <c r="BQ466" s="37">
        <v>0</v>
      </c>
      <c r="BR466" s="37">
        <v>0</v>
      </c>
      <c r="BS466" s="37">
        <v>0</v>
      </c>
      <c r="BT466" s="37">
        <v>0</v>
      </c>
      <c r="BU466" s="37">
        <v>0</v>
      </c>
      <c r="BV466" s="37">
        <v>0</v>
      </c>
      <c r="BW466" s="37">
        <v>0</v>
      </c>
      <c r="BX466" s="37">
        <v>0</v>
      </c>
      <c r="BY466" s="37">
        <v>0</v>
      </c>
      <c r="BZ466" s="37">
        <v>0</v>
      </c>
      <c r="CA466" s="37">
        <v>0</v>
      </c>
      <c r="CB466" s="37">
        <v>0</v>
      </c>
      <c r="CC466" s="37">
        <v>0</v>
      </c>
      <c r="CD466" s="37">
        <v>0</v>
      </c>
      <c r="CE466" s="37">
        <v>0</v>
      </c>
      <c r="CF466" s="37">
        <v>0</v>
      </c>
      <c r="CG466" s="37">
        <v>0</v>
      </c>
      <c r="CH466" s="37">
        <v>0</v>
      </c>
      <c r="CI466" s="37">
        <v>0</v>
      </c>
      <c r="CJ466" s="37">
        <v>0</v>
      </c>
      <c r="CK466" s="37">
        <v>0</v>
      </c>
      <c r="CL466" s="37">
        <v>0</v>
      </c>
      <c r="CM466" s="37">
        <v>0</v>
      </c>
      <c r="CN466" s="37">
        <v>0</v>
      </c>
      <c r="CO466" s="37">
        <v>0</v>
      </c>
      <c r="CP466" s="37">
        <v>0</v>
      </c>
      <c r="CQ466" s="37">
        <v>0</v>
      </c>
      <c r="CR466" s="37">
        <v>0</v>
      </c>
      <c r="CS466" s="37">
        <v>0</v>
      </c>
      <c r="CT466" s="37">
        <v>0</v>
      </c>
      <c r="CU466" s="37">
        <v>0</v>
      </c>
      <c r="CV466" s="37">
        <v>0</v>
      </c>
      <c r="CW466" s="37">
        <v>0</v>
      </c>
      <c r="CX466" s="37">
        <v>0</v>
      </c>
      <c r="CY466" s="37">
        <v>0</v>
      </c>
      <c r="CZ466" s="37">
        <v>0</v>
      </c>
      <c r="DA466" s="37">
        <v>0</v>
      </c>
      <c r="DB466" s="37">
        <v>0</v>
      </c>
      <c r="DC466" s="37">
        <v>0</v>
      </c>
      <c r="DD466" s="37">
        <v>0</v>
      </c>
      <c r="DE466" s="37">
        <v>0</v>
      </c>
      <c r="DF466" s="37">
        <v>0</v>
      </c>
      <c r="DG466" s="37">
        <v>0</v>
      </c>
      <c r="DH466" s="37">
        <v>0</v>
      </c>
      <c r="DI466" s="37">
        <v>0</v>
      </c>
      <c r="DJ466" s="37">
        <v>0</v>
      </c>
      <c r="DK466" s="37">
        <v>0</v>
      </c>
      <c r="DL466" s="37">
        <v>0</v>
      </c>
      <c r="DM466" s="37">
        <v>0</v>
      </c>
      <c r="DN466" s="37">
        <v>0</v>
      </c>
      <c r="DO466" s="37">
        <v>0</v>
      </c>
      <c r="DP466" s="37">
        <v>0</v>
      </c>
      <c r="DQ466" s="37">
        <v>0</v>
      </c>
      <c r="DR466" s="37">
        <v>0</v>
      </c>
      <c r="DS466" s="37">
        <v>0</v>
      </c>
      <c r="DT466" s="37">
        <v>0</v>
      </c>
      <c r="DU466" s="37">
        <v>0</v>
      </c>
      <c r="DV466" s="37">
        <v>0</v>
      </c>
      <c r="DW466" s="37">
        <v>0</v>
      </c>
      <c r="DX466" s="37">
        <v>0</v>
      </c>
      <c r="DY466" s="37">
        <v>0</v>
      </c>
      <c r="DZ466" s="37">
        <v>0</v>
      </c>
      <c r="EA466" s="37">
        <v>0</v>
      </c>
      <c r="EB466" s="37">
        <v>0</v>
      </c>
      <c r="EC466" s="37">
        <v>0</v>
      </c>
      <c r="ED466" s="37">
        <v>0</v>
      </c>
      <c r="EE466" s="37">
        <v>0</v>
      </c>
      <c r="EF466" s="37">
        <v>0</v>
      </c>
      <c r="EG466" s="37">
        <v>0</v>
      </c>
      <c r="EH466" s="37">
        <v>0</v>
      </c>
      <c r="EI466" s="37">
        <v>0</v>
      </c>
      <c r="EJ466" s="37">
        <v>0</v>
      </c>
      <c r="EK466" s="161" t="s">
        <v>1738</v>
      </c>
      <c r="EL466" s="294" t="s">
        <v>1124</v>
      </c>
    </row>
    <row r="467" spans="1:142" ht="15" customHeight="1" x14ac:dyDescent="0.35">
      <c r="A467" s="34"/>
      <c r="B467" s="313">
        <v>38055</v>
      </c>
      <c r="C467" s="8" t="s">
        <v>333</v>
      </c>
      <c r="D467" s="18">
        <v>17</v>
      </c>
      <c r="E467" s="155">
        <v>40022</v>
      </c>
      <c r="F467" s="36">
        <v>44732</v>
      </c>
      <c r="G467" s="37">
        <v>1367</v>
      </c>
      <c r="H467" s="37">
        <v>0</v>
      </c>
      <c r="I467" s="37">
        <v>200000</v>
      </c>
      <c r="J467" s="37">
        <v>0</v>
      </c>
      <c r="K467" s="37">
        <v>6003</v>
      </c>
      <c r="L467" s="37">
        <v>6710</v>
      </c>
      <c r="M467" s="37">
        <v>247392</v>
      </c>
      <c r="N467" s="37">
        <v>51442</v>
      </c>
      <c r="O467" s="37">
        <v>0</v>
      </c>
      <c r="P467" s="37">
        <v>0</v>
      </c>
      <c r="Q467" s="37">
        <v>89519</v>
      </c>
      <c r="R467" s="37">
        <v>27164</v>
      </c>
      <c r="S467" s="37">
        <v>5682</v>
      </c>
      <c r="T467" s="37">
        <v>0</v>
      </c>
      <c r="U467" s="37">
        <v>0</v>
      </c>
      <c r="V467" s="37">
        <v>14960</v>
      </c>
      <c r="W467" s="37">
        <v>152191</v>
      </c>
      <c r="X467" s="37">
        <v>9318</v>
      </c>
      <c r="Y467" s="37">
        <v>0</v>
      </c>
      <c r="Z467" s="37">
        <v>0</v>
      </c>
      <c r="AA467" s="37">
        <v>247392</v>
      </c>
      <c r="AB467" s="37">
        <v>51442</v>
      </c>
      <c r="AC467" s="37">
        <v>0</v>
      </c>
      <c r="AD467" s="37">
        <v>0</v>
      </c>
      <c r="AE467" s="37">
        <v>0</v>
      </c>
      <c r="AF467" s="168">
        <v>0.02</v>
      </c>
      <c r="AG467" s="37">
        <v>15213123.93</v>
      </c>
      <c r="AH467" s="37">
        <v>134167.74</v>
      </c>
      <c r="AI467" s="37">
        <v>136851.09</v>
      </c>
      <c r="AJ467" s="37">
        <v>139588.12</v>
      </c>
      <c r="AK467" s="37">
        <v>142379.88</v>
      </c>
      <c r="AL467" s="37">
        <v>145227.48000000001</v>
      </c>
      <c r="AM467" s="37">
        <v>148132.03</v>
      </c>
      <c r="AN467" s="37">
        <v>151094.67000000001</v>
      </c>
      <c r="AO467" s="37">
        <v>154116.56</v>
      </c>
      <c r="AP467" s="37">
        <v>157198.89000000001</v>
      </c>
      <c r="AQ467" s="37">
        <v>160342.87</v>
      </c>
      <c r="AR467" s="37">
        <v>1469099.33</v>
      </c>
      <c r="AS467" s="37">
        <v>3135757.44</v>
      </c>
      <c r="AT467" s="37">
        <v>510000</v>
      </c>
      <c r="AU467" s="37">
        <v>0</v>
      </c>
      <c r="AV467" s="37">
        <v>0</v>
      </c>
      <c r="AW467" s="37">
        <v>0</v>
      </c>
      <c r="AX467" s="37">
        <v>0</v>
      </c>
      <c r="AY467" s="37">
        <v>0</v>
      </c>
      <c r="AZ467" s="37">
        <v>0</v>
      </c>
      <c r="BA467" s="37">
        <v>0</v>
      </c>
      <c r="BB467" s="37">
        <v>0</v>
      </c>
      <c r="BC467" s="37">
        <v>0</v>
      </c>
      <c r="BD467" s="37">
        <v>510000</v>
      </c>
      <c r="BE467" s="37">
        <v>0</v>
      </c>
      <c r="BF467" s="37">
        <v>773740</v>
      </c>
      <c r="BG467" s="37">
        <v>2755380</v>
      </c>
      <c r="BH467" s="37">
        <v>0</v>
      </c>
      <c r="BI467" s="37">
        <v>0</v>
      </c>
      <c r="BJ467" s="37">
        <v>0</v>
      </c>
      <c r="BK467" s="37">
        <v>0</v>
      </c>
      <c r="BL467" s="37">
        <v>0</v>
      </c>
      <c r="BM467" s="37">
        <v>0</v>
      </c>
      <c r="BN467" s="37">
        <v>0</v>
      </c>
      <c r="BO467" s="37">
        <v>0</v>
      </c>
      <c r="BP467" s="37">
        <v>3529120</v>
      </c>
      <c r="BQ467" s="37">
        <v>0</v>
      </c>
      <c r="BR467" s="37">
        <v>193435</v>
      </c>
      <c r="BS467" s="37">
        <v>889951</v>
      </c>
      <c r="BT467" s="37">
        <v>0</v>
      </c>
      <c r="BU467" s="37">
        <v>0</v>
      </c>
      <c r="BV467" s="37">
        <v>0</v>
      </c>
      <c r="BW467" s="37">
        <v>0</v>
      </c>
      <c r="BX467" s="37">
        <v>0</v>
      </c>
      <c r="BY467" s="37">
        <v>0</v>
      </c>
      <c r="BZ467" s="37">
        <v>0</v>
      </c>
      <c r="CA467" s="37">
        <v>0</v>
      </c>
      <c r="CB467" s="37">
        <v>1083386</v>
      </c>
      <c r="CC467" s="37">
        <v>0</v>
      </c>
      <c r="CD467" s="37">
        <v>0</v>
      </c>
      <c r="CE467" s="37">
        <v>0</v>
      </c>
      <c r="CF467" s="37">
        <v>0</v>
      </c>
      <c r="CG467" s="37">
        <v>0</v>
      </c>
      <c r="CH467" s="37">
        <v>0</v>
      </c>
      <c r="CI467" s="37">
        <v>0</v>
      </c>
      <c r="CJ467" s="37">
        <v>0</v>
      </c>
      <c r="CK467" s="37">
        <v>0</v>
      </c>
      <c r="CL467" s="37">
        <v>0</v>
      </c>
      <c r="CM467" s="37">
        <v>0</v>
      </c>
      <c r="CN467" s="37">
        <v>0</v>
      </c>
      <c r="CO467" s="37">
        <v>0</v>
      </c>
      <c r="CP467" s="37">
        <v>0</v>
      </c>
      <c r="CQ467" s="37">
        <v>500000</v>
      </c>
      <c r="CR467" s="37">
        <v>0</v>
      </c>
      <c r="CS467" s="37">
        <v>0</v>
      </c>
      <c r="CT467" s="37">
        <v>0</v>
      </c>
      <c r="CU467" s="37">
        <v>0</v>
      </c>
      <c r="CV467" s="37">
        <v>0</v>
      </c>
      <c r="CW467" s="37">
        <v>0</v>
      </c>
      <c r="CX467" s="37">
        <v>0</v>
      </c>
      <c r="CY467" s="37">
        <v>0</v>
      </c>
      <c r="CZ467" s="37">
        <v>500000</v>
      </c>
      <c r="DA467" s="37">
        <v>0</v>
      </c>
      <c r="DB467" s="37">
        <v>0</v>
      </c>
      <c r="DC467" s="37">
        <v>0</v>
      </c>
      <c r="DD467" s="37">
        <v>0</v>
      </c>
      <c r="DE467" s="37">
        <v>0</v>
      </c>
      <c r="DF467" s="37">
        <v>0</v>
      </c>
      <c r="DG467" s="37">
        <v>0</v>
      </c>
      <c r="DH467" s="37">
        <v>0</v>
      </c>
      <c r="DI467" s="37">
        <v>0</v>
      </c>
      <c r="DJ467" s="37">
        <v>0</v>
      </c>
      <c r="DK467" s="37">
        <v>0</v>
      </c>
      <c r="DL467" s="37">
        <v>0</v>
      </c>
      <c r="DM467" s="37">
        <v>0</v>
      </c>
      <c r="DN467" s="37">
        <v>0</v>
      </c>
      <c r="DO467" s="37">
        <v>0</v>
      </c>
      <c r="DP467" s="37">
        <v>0</v>
      </c>
      <c r="DQ467" s="37">
        <v>0</v>
      </c>
      <c r="DR467" s="37">
        <v>0</v>
      </c>
      <c r="DS467" s="37">
        <v>0</v>
      </c>
      <c r="DT467" s="37">
        <v>0</v>
      </c>
      <c r="DU467" s="37">
        <v>0</v>
      </c>
      <c r="DV467" s="37">
        <v>0</v>
      </c>
      <c r="DW467" s="37">
        <v>0</v>
      </c>
      <c r="DX467" s="37">
        <v>0</v>
      </c>
      <c r="DY467" s="37">
        <v>0</v>
      </c>
      <c r="DZ467" s="37">
        <v>0</v>
      </c>
      <c r="EA467" s="37">
        <v>0</v>
      </c>
      <c r="EB467" s="37">
        <v>0</v>
      </c>
      <c r="EC467" s="37">
        <v>0</v>
      </c>
      <c r="ED467" s="37">
        <v>0</v>
      </c>
      <c r="EE467" s="37">
        <v>0</v>
      </c>
      <c r="EF467" s="37">
        <v>0</v>
      </c>
      <c r="EG467" s="37">
        <v>0</v>
      </c>
      <c r="EH467" s="37">
        <v>0</v>
      </c>
      <c r="EI467" s="37">
        <v>0</v>
      </c>
      <c r="EJ467" s="37">
        <v>0</v>
      </c>
      <c r="EK467" s="161" t="s">
        <v>2361</v>
      </c>
      <c r="EL467" s="294" t="s">
        <v>1124</v>
      </c>
    </row>
    <row r="468" spans="1:142" ht="15" customHeight="1" x14ac:dyDescent="0.35">
      <c r="A468" s="34"/>
      <c r="B468" s="313">
        <v>5032</v>
      </c>
      <c r="C468" s="8" t="s">
        <v>1048</v>
      </c>
      <c r="D468" s="18">
        <v>11</v>
      </c>
      <c r="E468" s="155">
        <v>177059</v>
      </c>
      <c r="F468" s="36">
        <v>172677</v>
      </c>
      <c r="G468" s="37">
        <v>22095</v>
      </c>
      <c r="H468" s="37">
        <v>22095</v>
      </c>
      <c r="I468" s="37">
        <v>50867</v>
      </c>
      <c r="J468" s="37">
        <v>50867</v>
      </c>
      <c r="K468" s="37">
        <v>26559</v>
      </c>
      <c r="L468" s="37">
        <v>25902</v>
      </c>
      <c r="M468" s="37">
        <v>276580</v>
      </c>
      <c r="N468" s="37">
        <v>271541</v>
      </c>
      <c r="O468" s="37">
        <v>29299</v>
      </c>
      <c r="P468" s="37">
        <v>0</v>
      </c>
      <c r="Q468" s="37">
        <v>395582</v>
      </c>
      <c r="R468" s="37">
        <v>194752</v>
      </c>
      <c r="S468" s="37">
        <v>0</v>
      </c>
      <c r="T468" s="37">
        <v>25000</v>
      </c>
      <c r="U468" s="37">
        <v>10407</v>
      </c>
      <c r="V468" s="37">
        <v>0</v>
      </c>
      <c r="W468" s="37">
        <v>0</v>
      </c>
      <c r="X468" s="37">
        <v>0</v>
      </c>
      <c r="Y468" s="37">
        <v>0</v>
      </c>
      <c r="Z468" s="37">
        <v>0</v>
      </c>
      <c r="AA468" s="37">
        <v>435288</v>
      </c>
      <c r="AB468" s="37">
        <v>219752</v>
      </c>
      <c r="AC468" s="37">
        <v>106919</v>
      </c>
      <c r="AD468" s="37">
        <v>0</v>
      </c>
      <c r="AE468" s="37">
        <v>0</v>
      </c>
      <c r="AF468" s="168">
        <v>0.02</v>
      </c>
      <c r="AG468" s="37">
        <v>68161162.75</v>
      </c>
      <c r="AH468" s="37">
        <v>667463.75</v>
      </c>
      <c r="AI468" s="37">
        <v>679772.63</v>
      </c>
      <c r="AJ468" s="37">
        <v>693368.08</v>
      </c>
      <c r="AK468" s="37">
        <v>707235.44</v>
      </c>
      <c r="AL468" s="37">
        <v>721380.15</v>
      </c>
      <c r="AM468" s="37">
        <v>735807.75</v>
      </c>
      <c r="AN468" s="37">
        <v>750523.91</v>
      </c>
      <c r="AO468" s="37">
        <v>765534.38</v>
      </c>
      <c r="AP468" s="37">
        <v>780845.07</v>
      </c>
      <c r="AQ468" s="37">
        <v>796461.97</v>
      </c>
      <c r="AR468" s="37">
        <v>7298393.1299999999</v>
      </c>
      <c r="AS468" s="37">
        <v>4227067.17</v>
      </c>
      <c r="AT468" s="37">
        <v>5202</v>
      </c>
      <c r="AU468" s="37">
        <v>1441058.04</v>
      </c>
      <c r="AV468" s="37">
        <v>0</v>
      </c>
      <c r="AW468" s="37">
        <v>0</v>
      </c>
      <c r="AX468" s="37">
        <v>331224.24</v>
      </c>
      <c r="AY468" s="37">
        <v>0</v>
      </c>
      <c r="AZ468" s="37">
        <v>0</v>
      </c>
      <c r="BA468" s="37">
        <v>0</v>
      </c>
      <c r="BB468" s="37">
        <v>0</v>
      </c>
      <c r="BC468" s="37">
        <v>0</v>
      </c>
      <c r="BD468" s="37">
        <v>1777484.28</v>
      </c>
      <c r="BE468" s="37">
        <v>0</v>
      </c>
      <c r="BF468" s="37">
        <v>0</v>
      </c>
      <c r="BG468" s="37">
        <v>3108000</v>
      </c>
      <c r="BH468" s="37">
        <v>0</v>
      </c>
      <c r="BI468" s="37">
        <v>0</v>
      </c>
      <c r="BJ468" s="37">
        <v>0</v>
      </c>
      <c r="BK468" s="37">
        <v>0</v>
      </c>
      <c r="BL468" s="37">
        <v>0</v>
      </c>
      <c r="BM468" s="37">
        <v>0</v>
      </c>
      <c r="BN468" s="37">
        <v>0</v>
      </c>
      <c r="BO468" s="37">
        <v>0</v>
      </c>
      <c r="BP468" s="37">
        <v>3108000</v>
      </c>
      <c r="BQ468" s="37">
        <v>0</v>
      </c>
      <c r="BR468" s="37">
        <v>2118444</v>
      </c>
      <c r="BS468" s="37">
        <v>0</v>
      </c>
      <c r="BT468" s="37">
        <v>0</v>
      </c>
      <c r="BU468" s="37">
        <v>0</v>
      </c>
      <c r="BV468" s="37">
        <v>0</v>
      </c>
      <c r="BW468" s="37">
        <v>0</v>
      </c>
      <c r="BX468" s="37">
        <v>0</v>
      </c>
      <c r="BY468" s="37">
        <v>0</v>
      </c>
      <c r="BZ468" s="37">
        <v>0</v>
      </c>
      <c r="CA468" s="37">
        <v>0</v>
      </c>
      <c r="CB468" s="37">
        <v>2118444</v>
      </c>
      <c r="CC468" s="37">
        <v>0</v>
      </c>
      <c r="CD468" s="37">
        <v>0</v>
      </c>
      <c r="CE468" s="37">
        <v>0</v>
      </c>
      <c r="CF468" s="37">
        <v>0</v>
      </c>
      <c r="CG468" s="37">
        <v>0</v>
      </c>
      <c r="CH468" s="37">
        <v>0</v>
      </c>
      <c r="CI468" s="37">
        <v>0</v>
      </c>
      <c r="CJ468" s="37">
        <v>0</v>
      </c>
      <c r="CK468" s="37">
        <v>0</v>
      </c>
      <c r="CL468" s="37">
        <v>0</v>
      </c>
      <c r="CM468" s="37">
        <v>0</v>
      </c>
      <c r="CN468" s="37">
        <v>0</v>
      </c>
      <c r="CO468" s="37">
        <v>0</v>
      </c>
      <c r="CP468" s="37">
        <v>0</v>
      </c>
      <c r="CQ468" s="37">
        <v>1380000</v>
      </c>
      <c r="CR468" s="37">
        <v>0</v>
      </c>
      <c r="CS468" s="37">
        <v>0</v>
      </c>
      <c r="CT468" s="37">
        <v>0</v>
      </c>
      <c r="CU468" s="37">
        <v>0</v>
      </c>
      <c r="CV468" s="37">
        <v>0</v>
      </c>
      <c r="CW468" s="37">
        <v>0</v>
      </c>
      <c r="CX468" s="37">
        <v>0</v>
      </c>
      <c r="CY468" s="37">
        <v>0</v>
      </c>
      <c r="CZ468" s="37">
        <v>1380000</v>
      </c>
      <c r="DA468" s="37">
        <v>0</v>
      </c>
      <c r="DB468" s="37">
        <v>0</v>
      </c>
      <c r="DC468" s="37">
        <v>0</v>
      </c>
      <c r="DD468" s="37">
        <v>0</v>
      </c>
      <c r="DE468" s="37">
        <v>0</v>
      </c>
      <c r="DF468" s="37">
        <v>0</v>
      </c>
      <c r="DG468" s="37">
        <v>0</v>
      </c>
      <c r="DH468" s="37">
        <v>0</v>
      </c>
      <c r="DI468" s="37">
        <v>0</v>
      </c>
      <c r="DJ468" s="37">
        <v>0</v>
      </c>
      <c r="DK468" s="37">
        <v>0</v>
      </c>
      <c r="DL468" s="37">
        <v>0</v>
      </c>
      <c r="DM468" s="37">
        <v>0</v>
      </c>
      <c r="DN468" s="37">
        <v>10200</v>
      </c>
      <c r="DO468" s="37">
        <v>0</v>
      </c>
      <c r="DP468" s="37">
        <v>0</v>
      </c>
      <c r="DQ468" s="37">
        <v>0</v>
      </c>
      <c r="DR468" s="37">
        <v>0</v>
      </c>
      <c r="DS468" s="37">
        <v>0</v>
      </c>
      <c r="DT468" s="37">
        <v>0</v>
      </c>
      <c r="DU468" s="37">
        <v>0</v>
      </c>
      <c r="DV468" s="37">
        <v>0</v>
      </c>
      <c r="DW468" s="37">
        <v>0</v>
      </c>
      <c r="DX468" s="37">
        <v>10200</v>
      </c>
      <c r="DY468" s="37">
        <v>0</v>
      </c>
      <c r="DZ468" s="37">
        <v>0</v>
      </c>
      <c r="EA468" s="37">
        <v>0</v>
      </c>
      <c r="EB468" s="37">
        <v>0</v>
      </c>
      <c r="EC468" s="37">
        <v>0</v>
      </c>
      <c r="ED468" s="37">
        <v>0</v>
      </c>
      <c r="EE468" s="37">
        <v>0</v>
      </c>
      <c r="EF468" s="37">
        <v>0</v>
      </c>
      <c r="EG468" s="37">
        <v>0</v>
      </c>
      <c r="EH468" s="37">
        <v>0</v>
      </c>
      <c r="EI468" s="37">
        <v>0</v>
      </c>
      <c r="EJ468" s="37">
        <v>0</v>
      </c>
      <c r="EK468" s="161" t="s">
        <v>2366</v>
      </c>
      <c r="EL468" s="294" t="s">
        <v>1124</v>
      </c>
    </row>
    <row r="469" spans="1:142" ht="15" customHeight="1" x14ac:dyDescent="0.35">
      <c r="A469" s="34"/>
      <c r="B469" s="313">
        <v>2005</v>
      </c>
      <c r="C469" s="8" t="s">
        <v>1026</v>
      </c>
      <c r="D469" s="18">
        <v>11</v>
      </c>
      <c r="E469" s="155">
        <v>219707</v>
      </c>
      <c r="F469" s="36">
        <v>227078</v>
      </c>
      <c r="G469" s="37">
        <v>217467</v>
      </c>
      <c r="H469" s="37">
        <v>0</v>
      </c>
      <c r="I469" s="37">
        <v>573500</v>
      </c>
      <c r="J469" s="37">
        <v>0</v>
      </c>
      <c r="K469" s="37">
        <v>32956.049999999996</v>
      </c>
      <c r="L469" s="37">
        <v>34061.699999999997</v>
      </c>
      <c r="M469" s="37">
        <v>1043630.05</v>
      </c>
      <c r="N469" s="37">
        <v>261139.7</v>
      </c>
      <c r="O469" s="37">
        <v>0</v>
      </c>
      <c r="P469" s="37">
        <v>0</v>
      </c>
      <c r="Q469" s="37">
        <v>254879</v>
      </c>
      <c r="R469" s="37">
        <v>203800</v>
      </c>
      <c r="S469" s="37">
        <v>0</v>
      </c>
      <c r="T469" s="37">
        <v>0</v>
      </c>
      <c r="U469" s="37">
        <v>394248</v>
      </c>
      <c r="V469" s="37">
        <v>0</v>
      </c>
      <c r="W469" s="37">
        <v>225921.5</v>
      </c>
      <c r="X469" s="37">
        <v>225921.5</v>
      </c>
      <c r="Y469" s="37">
        <v>0</v>
      </c>
      <c r="Z469" s="37">
        <v>0</v>
      </c>
      <c r="AA469" s="37">
        <v>875048.5</v>
      </c>
      <c r="AB469" s="37">
        <v>429721.5</v>
      </c>
      <c r="AC469" s="37">
        <v>0</v>
      </c>
      <c r="AD469" s="37">
        <v>0</v>
      </c>
      <c r="AE469" s="37">
        <v>0</v>
      </c>
      <c r="AF469" s="168">
        <v>0.02</v>
      </c>
      <c r="AG469" s="37">
        <v>27035142.890000001</v>
      </c>
      <c r="AH469" s="37">
        <v>378993.46</v>
      </c>
      <c r="AI469" s="37">
        <v>251799.91</v>
      </c>
      <c r="AJ469" s="37">
        <v>256835.91</v>
      </c>
      <c r="AK469" s="37">
        <v>261972.63</v>
      </c>
      <c r="AL469" s="37">
        <v>267212.08</v>
      </c>
      <c r="AM469" s="37">
        <v>272556.32</v>
      </c>
      <c r="AN469" s="37">
        <v>278007.45</v>
      </c>
      <c r="AO469" s="37">
        <v>283567.59999999998</v>
      </c>
      <c r="AP469" s="37">
        <v>289238.95</v>
      </c>
      <c r="AQ469" s="37">
        <v>295023.73</v>
      </c>
      <c r="AR469" s="37">
        <v>2835208.0400000005</v>
      </c>
      <c r="AS469" s="37">
        <v>0</v>
      </c>
      <c r="AT469" s="37">
        <v>0</v>
      </c>
      <c r="AU469" s="37">
        <v>0</v>
      </c>
      <c r="AV469" s="37">
        <v>1273449.6000000001</v>
      </c>
      <c r="AW469" s="37">
        <v>0</v>
      </c>
      <c r="AX469" s="37">
        <v>0</v>
      </c>
      <c r="AY469" s="37">
        <v>0</v>
      </c>
      <c r="AZ469" s="37">
        <v>0</v>
      </c>
      <c r="BA469" s="37">
        <v>0</v>
      </c>
      <c r="BB469" s="37">
        <v>0</v>
      </c>
      <c r="BC469" s="37">
        <v>0</v>
      </c>
      <c r="BD469" s="37">
        <v>1273449.6000000001</v>
      </c>
      <c r="BE469" s="37">
        <v>0</v>
      </c>
      <c r="BF469" s="37">
        <v>440000</v>
      </c>
      <c r="BG469" s="37">
        <v>959849</v>
      </c>
      <c r="BH469" s="37">
        <v>0</v>
      </c>
      <c r="BI469" s="37">
        <v>0</v>
      </c>
      <c r="BJ469" s="37">
        <v>0</v>
      </c>
      <c r="BK469" s="37">
        <v>0</v>
      </c>
      <c r="BL469" s="37">
        <v>0</v>
      </c>
      <c r="BM469" s="37">
        <v>0</v>
      </c>
      <c r="BN469" s="37">
        <v>0</v>
      </c>
      <c r="BO469" s="37">
        <v>0</v>
      </c>
      <c r="BP469" s="37">
        <v>1399849</v>
      </c>
      <c r="BQ469" s="37">
        <v>0</v>
      </c>
      <c r="BR469" s="37">
        <v>0</v>
      </c>
      <c r="BS469" s="37">
        <v>480151</v>
      </c>
      <c r="BT469" s="37">
        <v>0</v>
      </c>
      <c r="BU469" s="37">
        <v>0</v>
      </c>
      <c r="BV469" s="37">
        <v>0</v>
      </c>
      <c r="BW469" s="37">
        <v>0</v>
      </c>
      <c r="BX469" s="37">
        <v>0</v>
      </c>
      <c r="BY469" s="37">
        <v>0</v>
      </c>
      <c r="BZ469" s="37">
        <v>0</v>
      </c>
      <c r="CA469" s="37">
        <v>0</v>
      </c>
      <c r="CB469" s="37">
        <v>480151</v>
      </c>
      <c r="CC469" s="37">
        <v>0</v>
      </c>
      <c r="CD469" s="37">
        <v>0</v>
      </c>
      <c r="CE469" s="37">
        <v>0</v>
      </c>
      <c r="CF469" s="37">
        <v>0</v>
      </c>
      <c r="CG469" s="37">
        <v>0</v>
      </c>
      <c r="CH469" s="37">
        <v>0</v>
      </c>
      <c r="CI469" s="37">
        <v>0</v>
      </c>
      <c r="CJ469" s="37">
        <v>0</v>
      </c>
      <c r="CK469" s="37">
        <v>0</v>
      </c>
      <c r="CL469" s="37">
        <v>0</v>
      </c>
      <c r="CM469" s="37">
        <v>0</v>
      </c>
      <c r="CN469" s="37">
        <v>0</v>
      </c>
      <c r="CO469" s="37">
        <v>0</v>
      </c>
      <c r="CP469" s="37">
        <v>0</v>
      </c>
      <c r="CQ469" s="37">
        <v>0</v>
      </c>
      <c r="CR469" s="37">
        <v>0</v>
      </c>
      <c r="CS469" s="37">
        <v>0</v>
      </c>
      <c r="CT469" s="37">
        <v>0</v>
      </c>
      <c r="CU469" s="37">
        <v>0</v>
      </c>
      <c r="CV469" s="37">
        <v>0</v>
      </c>
      <c r="CW469" s="37">
        <v>0</v>
      </c>
      <c r="CX469" s="37">
        <v>0</v>
      </c>
      <c r="CY469" s="37">
        <v>0</v>
      </c>
      <c r="CZ469" s="37">
        <v>0</v>
      </c>
      <c r="DA469" s="37">
        <v>0</v>
      </c>
      <c r="DB469" s="37">
        <v>0</v>
      </c>
      <c r="DC469" s="37">
        <v>0</v>
      </c>
      <c r="DD469" s="37">
        <v>0</v>
      </c>
      <c r="DE469" s="37">
        <v>0</v>
      </c>
      <c r="DF469" s="37">
        <v>0</v>
      </c>
      <c r="DG469" s="37">
        <v>0</v>
      </c>
      <c r="DH469" s="37">
        <v>0</v>
      </c>
      <c r="DI469" s="37">
        <v>0</v>
      </c>
      <c r="DJ469" s="37">
        <v>0</v>
      </c>
      <c r="DK469" s="37">
        <v>0</v>
      </c>
      <c r="DL469" s="37">
        <v>0</v>
      </c>
      <c r="DM469" s="37">
        <v>0</v>
      </c>
      <c r="DN469" s="37">
        <v>0</v>
      </c>
      <c r="DO469" s="37">
        <v>1200000</v>
      </c>
      <c r="DP469" s="37">
        <v>0</v>
      </c>
      <c r="DQ469" s="37">
        <v>0</v>
      </c>
      <c r="DR469" s="37">
        <v>0</v>
      </c>
      <c r="DS469" s="37">
        <v>0</v>
      </c>
      <c r="DT469" s="37">
        <v>0</v>
      </c>
      <c r="DU469" s="37">
        <v>0</v>
      </c>
      <c r="DV469" s="37">
        <v>0</v>
      </c>
      <c r="DW469" s="37">
        <v>0</v>
      </c>
      <c r="DX469" s="37">
        <v>1200000</v>
      </c>
      <c r="DY469" s="37">
        <v>0</v>
      </c>
      <c r="DZ469" s="37">
        <v>0</v>
      </c>
      <c r="EA469" s="37">
        <v>0</v>
      </c>
      <c r="EB469" s="37">
        <v>0</v>
      </c>
      <c r="EC469" s="37">
        <v>0</v>
      </c>
      <c r="ED469" s="37">
        <v>0</v>
      </c>
      <c r="EE469" s="37">
        <v>0</v>
      </c>
      <c r="EF469" s="37">
        <v>0</v>
      </c>
      <c r="EG469" s="37">
        <v>0</v>
      </c>
      <c r="EH469" s="37">
        <v>0</v>
      </c>
      <c r="EI469" s="37">
        <v>0</v>
      </c>
      <c r="EJ469" s="37">
        <v>0</v>
      </c>
      <c r="EK469" s="161" t="s">
        <v>2371</v>
      </c>
      <c r="EL469" s="294" t="s">
        <v>1124</v>
      </c>
    </row>
    <row r="470" spans="1:142" ht="15" customHeight="1" x14ac:dyDescent="0.35">
      <c r="A470" s="34"/>
      <c r="B470" s="313">
        <v>92010</v>
      </c>
      <c r="C470" s="8" t="s">
        <v>947</v>
      </c>
      <c r="D470" s="18">
        <v>2</v>
      </c>
      <c r="E470" s="155"/>
      <c r="F470" s="36"/>
      <c r="G470" s="37"/>
      <c r="H470" s="37"/>
      <c r="I470" s="37"/>
      <c r="J470" s="37"/>
      <c r="K470" s="37"/>
      <c r="L470" s="37"/>
      <c r="M470" s="37" t="s">
        <v>1124</v>
      </c>
      <c r="N470" s="37" t="s">
        <v>1124</v>
      </c>
      <c r="O470" s="37"/>
      <c r="P470" s="37"/>
      <c r="Q470" s="37"/>
      <c r="R470" s="37"/>
      <c r="S470" s="37"/>
      <c r="T470" s="37"/>
      <c r="U470" s="37"/>
      <c r="V470" s="37"/>
      <c r="W470" s="37"/>
      <c r="X470" s="37"/>
      <c r="Y470" s="37"/>
      <c r="Z470" s="37"/>
      <c r="AA470" s="37" t="s">
        <v>1124</v>
      </c>
      <c r="AB470" s="37" t="s">
        <v>1124</v>
      </c>
      <c r="AC470" s="37"/>
      <c r="AD470" s="37"/>
      <c r="AE470" s="37"/>
      <c r="AF470" s="168"/>
      <c r="AG470" s="37"/>
      <c r="AH470" s="37"/>
      <c r="AI470" s="37"/>
      <c r="AJ470" s="37"/>
      <c r="AK470" s="37"/>
      <c r="AL470" s="37"/>
      <c r="AM470" s="37"/>
      <c r="AN470" s="37"/>
      <c r="AO470" s="37"/>
      <c r="AP470" s="37"/>
      <c r="AQ470" s="37"/>
      <c r="AR470" s="37" t="s">
        <v>1124</v>
      </c>
      <c r="AS470" s="37"/>
      <c r="AT470" s="37"/>
      <c r="AU470" s="37"/>
      <c r="AV470" s="37"/>
      <c r="AW470" s="37"/>
      <c r="AX470" s="37"/>
      <c r="AY470" s="37"/>
      <c r="AZ470" s="37"/>
      <c r="BA470" s="37"/>
      <c r="BB470" s="37"/>
      <c r="BC470" s="37"/>
      <c r="BD470" s="37" t="s">
        <v>1124</v>
      </c>
      <c r="BE470" s="37"/>
      <c r="BF470" s="37"/>
      <c r="BG470" s="37"/>
      <c r="BH470" s="37"/>
      <c r="BI470" s="37"/>
      <c r="BJ470" s="37"/>
      <c r="BK470" s="37"/>
      <c r="BL470" s="37"/>
      <c r="BM470" s="37"/>
      <c r="BN470" s="37"/>
      <c r="BO470" s="37"/>
      <c r="BP470" s="37">
        <v>0</v>
      </c>
      <c r="BQ470" s="37"/>
      <c r="BR470" s="37"/>
      <c r="BS470" s="37"/>
      <c r="BT470" s="37"/>
      <c r="BU470" s="37"/>
      <c r="BV470" s="37"/>
      <c r="BW470" s="37"/>
      <c r="BX470" s="37"/>
      <c r="BY470" s="37"/>
      <c r="BZ470" s="37"/>
      <c r="CA470" s="37"/>
      <c r="CB470" s="37" t="s">
        <v>1124</v>
      </c>
      <c r="CC470" s="37"/>
      <c r="CD470" s="37"/>
      <c r="CE470" s="37"/>
      <c r="CF470" s="37"/>
      <c r="CG470" s="37"/>
      <c r="CH470" s="37"/>
      <c r="CI470" s="37"/>
      <c r="CJ470" s="37"/>
      <c r="CK470" s="37"/>
      <c r="CL470" s="37"/>
      <c r="CM470" s="37"/>
      <c r="CN470" s="37" t="s">
        <v>1124</v>
      </c>
      <c r="CO470" s="37"/>
      <c r="CP470" s="37"/>
      <c r="CQ470" s="37"/>
      <c r="CR470" s="37"/>
      <c r="CS470" s="37"/>
      <c r="CT470" s="37"/>
      <c r="CU470" s="37"/>
      <c r="CV470" s="37"/>
      <c r="CW470" s="37"/>
      <c r="CX470" s="37"/>
      <c r="CY470" s="37"/>
      <c r="CZ470" s="37" t="s">
        <v>1124</v>
      </c>
      <c r="DA470" s="37"/>
      <c r="DB470" s="37"/>
      <c r="DC470" s="37"/>
      <c r="DD470" s="37"/>
      <c r="DE470" s="37"/>
      <c r="DF470" s="37"/>
      <c r="DG470" s="37"/>
      <c r="DH470" s="37"/>
      <c r="DI470" s="37"/>
      <c r="DJ470" s="37"/>
      <c r="DK470" s="37"/>
      <c r="DL470" s="37" t="s">
        <v>1124</v>
      </c>
      <c r="DM470" s="37"/>
      <c r="DN470" s="37"/>
      <c r="DO470" s="37"/>
      <c r="DP470" s="37"/>
      <c r="DQ470" s="37"/>
      <c r="DR470" s="37"/>
      <c r="DS470" s="37"/>
      <c r="DT470" s="37"/>
      <c r="DU470" s="37"/>
      <c r="DV470" s="37"/>
      <c r="DW470" s="37"/>
      <c r="DX470" s="37" t="s">
        <v>1124</v>
      </c>
      <c r="DY470" s="37"/>
      <c r="DZ470" s="37"/>
      <c r="EA470" s="37"/>
      <c r="EB470" s="37"/>
      <c r="EC470" s="37"/>
      <c r="ED470" s="37"/>
      <c r="EE470" s="37"/>
      <c r="EF470" s="37"/>
      <c r="EG470" s="37"/>
      <c r="EH470" s="37"/>
      <c r="EI470" s="37"/>
      <c r="EJ470" s="37" t="s">
        <v>1124</v>
      </c>
      <c r="EK470" s="161"/>
      <c r="EL470" s="294"/>
    </row>
    <row r="471" spans="1:142" ht="15" customHeight="1" x14ac:dyDescent="0.35">
      <c r="A471" s="34"/>
      <c r="B471" s="313">
        <v>16005</v>
      </c>
      <c r="C471" s="8" t="s">
        <v>84</v>
      </c>
      <c r="D471" s="18">
        <v>3</v>
      </c>
      <c r="E471" s="155">
        <v>56025</v>
      </c>
      <c r="F471" s="36">
        <v>49807</v>
      </c>
      <c r="G471" s="37">
        <v>133091</v>
      </c>
      <c r="H471" s="37">
        <v>188484</v>
      </c>
      <c r="I471" s="37">
        <v>346130</v>
      </c>
      <c r="J471" s="37">
        <v>661872</v>
      </c>
      <c r="K471" s="37">
        <v>15874</v>
      </c>
      <c r="L471" s="37">
        <v>15874</v>
      </c>
      <c r="M471" s="37">
        <v>551120</v>
      </c>
      <c r="N471" s="37">
        <v>916037</v>
      </c>
      <c r="O471" s="37">
        <v>0</v>
      </c>
      <c r="P471" s="37">
        <v>0</v>
      </c>
      <c r="Q471" s="37">
        <v>0</v>
      </c>
      <c r="R471" s="37">
        <v>0</v>
      </c>
      <c r="S471" s="37">
        <v>0</v>
      </c>
      <c r="T471" s="37">
        <v>13625</v>
      </c>
      <c r="U471" s="37">
        <v>83734</v>
      </c>
      <c r="V471" s="37">
        <v>125602</v>
      </c>
      <c r="W471" s="37">
        <v>467386</v>
      </c>
      <c r="X471" s="37">
        <v>776810</v>
      </c>
      <c r="Y471" s="37">
        <v>0</v>
      </c>
      <c r="Z471" s="37">
        <v>0</v>
      </c>
      <c r="AA471" s="37">
        <v>551120</v>
      </c>
      <c r="AB471" s="37">
        <v>916037</v>
      </c>
      <c r="AC471" s="37">
        <v>0</v>
      </c>
      <c r="AD471" s="37">
        <v>0</v>
      </c>
      <c r="AE471" s="37">
        <v>0</v>
      </c>
      <c r="AF471" s="168">
        <v>0.02</v>
      </c>
      <c r="AG471" s="37">
        <v>9783795.1300000008</v>
      </c>
      <c r="AH471" s="37">
        <v>116215.16</v>
      </c>
      <c r="AI471" s="37">
        <v>65147.18</v>
      </c>
      <c r="AJ471" s="37">
        <v>66450.12</v>
      </c>
      <c r="AK471" s="37">
        <v>67779.12</v>
      </c>
      <c r="AL471" s="37">
        <v>69134.710000000006</v>
      </c>
      <c r="AM471" s="37">
        <v>70517.399999999994</v>
      </c>
      <c r="AN471" s="37">
        <v>71927.75</v>
      </c>
      <c r="AO471" s="37">
        <v>73366.3</v>
      </c>
      <c r="AP471" s="37">
        <v>74833.63</v>
      </c>
      <c r="AQ471" s="37">
        <v>76330.3</v>
      </c>
      <c r="AR471" s="37">
        <v>751701.67</v>
      </c>
      <c r="AS471" s="37">
        <v>0</v>
      </c>
      <c r="AT471" s="37">
        <v>0</v>
      </c>
      <c r="AU471" s="37">
        <v>0</v>
      </c>
      <c r="AV471" s="37">
        <v>0</v>
      </c>
      <c r="AW471" s="37">
        <v>0</v>
      </c>
      <c r="AX471" s="37">
        <v>0</v>
      </c>
      <c r="AY471" s="37">
        <v>0</v>
      </c>
      <c r="AZ471" s="37">
        <v>0</v>
      </c>
      <c r="BA471" s="37">
        <v>0</v>
      </c>
      <c r="BB471" s="37">
        <v>0</v>
      </c>
      <c r="BC471" s="37">
        <v>0</v>
      </c>
      <c r="BD471" s="37">
        <v>0</v>
      </c>
      <c r="BE471" s="37">
        <v>0</v>
      </c>
      <c r="BF471" s="37">
        <v>0</v>
      </c>
      <c r="BG471" s="37">
        <v>0</v>
      </c>
      <c r="BH471" s="37">
        <v>0</v>
      </c>
      <c r="BI471" s="37">
        <v>0</v>
      </c>
      <c r="BJ471" s="37">
        <v>0</v>
      </c>
      <c r="BK471" s="37">
        <v>0</v>
      </c>
      <c r="BL471" s="37">
        <v>0</v>
      </c>
      <c r="BM471" s="37">
        <v>0</v>
      </c>
      <c r="BN471" s="37">
        <v>0</v>
      </c>
      <c r="BO471" s="37">
        <v>0</v>
      </c>
      <c r="BP471" s="37">
        <v>0</v>
      </c>
      <c r="BQ471" s="37">
        <v>0</v>
      </c>
      <c r="BR471" s="37">
        <v>0</v>
      </c>
      <c r="BS471" s="37">
        <v>0</v>
      </c>
      <c r="BT471" s="37">
        <v>0</v>
      </c>
      <c r="BU471" s="37">
        <v>0</v>
      </c>
      <c r="BV471" s="37">
        <v>0</v>
      </c>
      <c r="BW471" s="37">
        <v>0</v>
      </c>
      <c r="BX471" s="37">
        <v>0</v>
      </c>
      <c r="BY471" s="37">
        <v>0</v>
      </c>
      <c r="BZ471" s="37">
        <v>0</v>
      </c>
      <c r="CA471" s="37">
        <v>0</v>
      </c>
      <c r="CB471" s="37">
        <v>0</v>
      </c>
      <c r="CC471" s="37">
        <v>0</v>
      </c>
      <c r="CD471" s="37">
        <v>56819</v>
      </c>
      <c r="CE471" s="37">
        <v>0</v>
      </c>
      <c r="CF471" s="37">
        <v>0</v>
      </c>
      <c r="CG471" s="37">
        <v>0</v>
      </c>
      <c r="CH471" s="37">
        <v>0</v>
      </c>
      <c r="CI471" s="37">
        <v>0</v>
      </c>
      <c r="CJ471" s="37">
        <v>0</v>
      </c>
      <c r="CK471" s="37">
        <v>0</v>
      </c>
      <c r="CL471" s="37">
        <v>0</v>
      </c>
      <c r="CM471" s="37">
        <v>0</v>
      </c>
      <c r="CN471" s="37">
        <v>56819</v>
      </c>
      <c r="CO471" s="37">
        <v>0</v>
      </c>
      <c r="CP471" s="37">
        <v>0</v>
      </c>
      <c r="CQ471" s="37">
        <v>0</v>
      </c>
      <c r="CR471" s="37">
        <v>0</v>
      </c>
      <c r="CS471" s="37">
        <v>0</v>
      </c>
      <c r="CT471" s="37">
        <v>0</v>
      </c>
      <c r="CU471" s="37">
        <v>0</v>
      </c>
      <c r="CV471" s="37">
        <v>0</v>
      </c>
      <c r="CW471" s="37">
        <v>0</v>
      </c>
      <c r="CX471" s="37">
        <v>0</v>
      </c>
      <c r="CY471" s="37">
        <v>0</v>
      </c>
      <c r="CZ471" s="37">
        <v>0</v>
      </c>
      <c r="DA471" s="37">
        <v>0</v>
      </c>
      <c r="DB471" s="37">
        <v>0</v>
      </c>
      <c r="DC471" s="37">
        <v>0</v>
      </c>
      <c r="DD471" s="37">
        <v>0</v>
      </c>
      <c r="DE471" s="37">
        <v>0</v>
      </c>
      <c r="DF471" s="37">
        <v>0</v>
      </c>
      <c r="DG471" s="37">
        <v>0</v>
      </c>
      <c r="DH471" s="37">
        <v>0</v>
      </c>
      <c r="DI471" s="37">
        <v>0</v>
      </c>
      <c r="DJ471" s="37">
        <v>0</v>
      </c>
      <c r="DK471" s="37">
        <v>0</v>
      </c>
      <c r="DL471" s="37">
        <v>0</v>
      </c>
      <c r="DM471" s="37">
        <v>0</v>
      </c>
      <c r="DN471" s="37">
        <v>0</v>
      </c>
      <c r="DO471" s="37">
        <v>0</v>
      </c>
      <c r="DP471" s="37">
        <v>0</v>
      </c>
      <c r="DQ471" s="37">
        <v>0</v>
      </c>
      <c r="DR471" s="37">
        <v>0</v>
      </c>
      <c r="DS471" s="37">
        <v>0</v>
      </c>
      <c r="DT471" s="37">
        <v>0</v>
      </c>
      <c r="DU471" s="37">
        <v>0</v>
      </c>
      <c r="DV471" s="37">
        <v>0</v>
      </c>
      <c r="DW471" s="37">
        <v>0</v>
      </c>
      <c r="DX471" s="37">
        <v>0</v>
      </c>
      <c r="DY471" s="37">
        <v>0</v>
      </c>
      <c r="DZ471" s="37">
        <v>0</v>
      </c>
      <c r="EA471" s="37">
        <v>0</v>
      </c>
      <c r="EB471" s="37">
        <v>0</v>
      </c>
      <c r="EC471" s="37">
        <v>0</v>
      </c>
      <c r="ED471" s="37">
        <v>0</v>
      </c>
      <c r="EE471" s="37">
        <v>0</v>
      </c>
      <c r="EF471" s="37">
        <v>0</v>
      </c>
      <c r="EG471" s="37">
        <v>0</v>
      </c>
      <c r="EH471" s="37">
        <v>0</v>
      </c>
      <c r="EI471" s="37">
        <v>0</v>
      </c>
      <c r="EJ471" s="37">
        <v>0</v>
      </c>
      <c r="EK471" s="161" t="s">
        <v>2374</v>
      </c>
      <c r="EL471" s="294" t="s">
        <v>1124</v>
      </c>
    </row>
    <row r="472" spans="1:142" ht="15" customHeight="1" x14ac:dyDescent="0.35">
      <c r="A472" s="34"/>
      <c r="B472" s="313">
        <v>3015</v>
      </c>
      <c r="C472" s="8" t="s">
        <v>1033</v>
      </c>
      <c r="D472" s="18">
        <v>11</v>
      </c>
      <c r="E472" s="155">
        <v>36887</v>
      </c>
      <c r="F472" s="36">
        <v>0</v>
      </c>
      <c r="G472" s="37">
        <v>0</v>
      </c>
      <c r="H472" s="37">
        <v>0</v>
      </c>
      <c r="I472" s="37">
        <v>0</v>
      </c>
      <c r="J472" s="37">
        <v>0</v>
      </c>
      <c r="K472" s="37">
        <v>5533</v>
      </c>
      <c r="L472" s="37">
        <v>0</v>
      </c>
      <c r="M472" s="37">
        <v>42420</v>
      </c>
      <c r="N472" s="37">
        <v>0</v>
      </c>
      <c r="O472" s="37">
        <v>0</v>
      </c>
      <c r="P472" s="37">
        <v>0</v>
      </c>
      <c r="Q472" s="37">
        <v>36680</v>
      </c>
      <c r="R472" s="37">
        <v>0</v>
      </c>
      <c r="S472" s="37">
        <v>0</v>
      </c>
      <c r="T472" s="37">
        <v>0</v>
      </c>
      <c r="U472" s="37">
        <v>0</v>
      </c>
      <c r="V472" s="37">
        <v>0</v>
      </c>
      <c r="W472" s="37">
        <v>5740</v>
      </c>
      <c r="X472" s="37">
        <v>0</v>
      </c>
      <c r="Y472" s="37">
        <v>0</v>
      </c>
      <c r="Z472" s="37">
        <v>0</v>
      </c>
      <c r="AA472" s="37">
        <v>42420</v>
      </c>
      <c r="AB472" s="37">
        <v>0</v>
      </c>
      <c r="AC472" s="37">
        <v>0</v>
      </c>
      <c r="AD472" s="37">
        <v>0</v>
      </c>
      <c r="AE472" s="37">
        <v>0</v>
      </c>
      <c r="AF472" s="168">
        <v>0.02</v>
      </c>
      <c r="AG472" s="37">
        <v>6512903.0899999999</v>
      </c>
      <c r="AH472" s="37">
        <v>364127.19</v>
      </c>
      <c r="AI472" s="37">
        <v>56761.56</v>
      </c>
      <c r="AJ472" s="37">
        <v>57896.79</v>
      </c>
      <c r="AK472" s="37">
        <v>59054.73</v>
      </c>
      <c r="AL472" s="37">
        <v>60235.82</v>
      </c>
      <c r="AM472" s="37">
        <v>61440.54</v>
      </c>
      <c r="AN472" s="37">
        <v>62669.35</v>
      </c>
      <c r="AO472" s="37">
        <v>63922.74</v>
      </c>
      <c r="AP472" s="37">
        <v>65201.19</v>
      </c>
      <c r="AQ472" s="37">
        <v>66505.22</v>
      </c>
      <c r="AR472" s="37">
        <v>917815.12999999989</v>
      </c>
      <c r="AS472" s="37">
        <v>0</v>
      </c>
      <c r="AT472" s="37">
        <v>82711.8</v>
      </c>
      <c r="AU472" s="37">
        <v>0</v>
      </c>
      <c r="AV472" s="37">
        <v>0</v>
      </c>
      <c r="AW472" s="37">
        <v>0</v>
      </c>
      <c r="AX472" s="37">
        <v>0</v>
      </c>
      <c r="AY472" s="37">
        <v>0</v>
      </c>
      <c r="AZ472" s="37">
        <v>0</v>
      </c>
      <c r="BA472" s="37">
        <v>0</v>
      </c>
      <c r="BB472" s="37">
        <v>0</v>
      </c>
      <c r="BC472" s="37">
        <v>0</v>
      </c>
      <c r="BD472" s="37">
        <v>82711.8</v>
      </c>
      <c r="BE472" s="37">
        <v>296625</v>
      </c>
      <c r="BF472" s="37">
        <v>0</v>
      </c>
      <c r="BG472" s="37">
        <v>0</v>
      </c>
      <c r="BH472" s="37">
        <v>0</v>
      </c>
      <c r="BI472" s="37">
        <v>0</v>
      </c>
      <c r="BJ472" s="37">
        <v>0</v>
      </c>
      <c r="BK472" s="37">
        <v>0</v>
      </c>
      <c r="BL472" s="37">
        <v>0</v>
      </c>
      <c r="BM472" s="37">
        <v>0</v>
      </c>
      <c r="BN472" s="37">
        <v>0</v>
      </c>
      <c r="BO472" s="37">
        <v>0</v>
      </c>
      <c r="BP472" s="37">
        <v>0</v>
      </c>
      <c r="BQ472" s="37">
        <v>0</v>
      </c>
      <c r="BR472" s="37">
        <v>0</v>
      </c>
      <c r="BS472" s="37">
        <v>0</v>
      </c>
      <c r="BT472" s="37">
        <v>0</v>
      </c>
      <c r="BU472" s="37">
        <v>0</v>
      </c>
      <c r="BV472" s="37">
        <v>0</v>
      </c>
      <c r="BW472" s="37">
        <v>0</v>
      </c>
      <c r="BX472" s="37">
        <v>0</v>
      </c>
      <c r="BY472" s="37">
        <v>0</v>
      </c>
      <c r="BZ472" s="37">
        <v>0</v>
      </c>
      <c r="CA472" s="37">
        <v>0</v>
      </c>
      <c r="CB472" s="37">
        <v>0</v>
      </c>
      <c r="CC472" s="37">
        <v>0</v>
      </c>
      <c r="CD472" s="37">
        <v>0</v>
      </c>
      <c r="CE472" s="37">
        <v>0</v>
      </c>
      <c r="CF472" s="37">
        <v>0</v>
      </c>
      <c r="CG472" s="37">
        <v>0</v>
      </c>
      <c r="CH472" s="37">
        <v>0</v>
      </c>
      <c r="CI472" s="37">
        <v>0</v>
      </c>
      <c r="CJ472" s="37">
        <v>0</v>
      </c>
      <c r="CK472" s="37">
        <v>0</v>
      </c>
      <c r="CL472" s="37">
        <v>0</v>
      </c>
      <c r="CM472" s="37">
        <v>0</v>
      </c>
      <c r="CN472" s="37">
        <v>0</v>
      </c>
      <c r="CO472" s="37">
        <v>0</v>
      </c>
      <c r="CP472" s="37">
        <v>0</v>
      </c>
      <c r="CQ472" s="37">
        <v>0</v>
      </c>
      <c r="CR472" s="37">
        <v>0</v>
      </c>
      <c r="CS472" s="37">
        <v>0</v>
      </c>
      <c r="CT472" s="37">
        <v>0</v>
      </c>
      <c r="CU472" s="37">
        <v>0</v>
      </c>
      <c r="CV472" s="37">
        <v>0</v>
      </c>
      <c r="CW472" s="37">
        <v>0</v>
      </c>
      <c r="CX472" s="37">
        <v>0</v>
      </c>
      <c r="CY472" s="37">
        <v>0</v>
      </c>
      <c r="CZ472" s="37">
        <v>0</v>
      </c>
      <c r="DA472" s="37">
        <v>0</v>
      </c>
      <c r="DB472" s="37">
        <v>0</v>
      </c>
      <c r="DC472" s="37">
        <v>0</v>
      </c>
      <c r="DD472" s="37">
        <v>0</v>
      </c>
      <c r="DE472" s="37">
        <v>0</v>
      </c>
      <c r="DF472" s="37">
        <v>0</v>
      </c>
      <c r="DG472" s="37">
        <v>0</v>
      </c>
      <c r="DH472" s="37">
        <v>0</v>
      </c>
      <c r="DI472" s="37">
        <v>0</v>
      </c>
      <c r="DJ472" s="37">
        <v>0</v>
      </c>
      <c r="DK472" s="37">
        <v>0</v>
      </c>
      <c r="DL472" s="37">
        <v>0</v>
      </c>
      <c r="DM472" s="37">
        <v>0</v>
      </c>
      <c r="DN472" s="37">
        <v>0</v>
      </c>
      <c r="DO472" s="37">
        <v>0</v>
      </c>
      <c r="DP472" s="37">
        <v>0</v>
      </c>
      <c r="DQ472" s="37">
        <v>0</v>
      </c>
      <c r="DR472" s="37">
        <v>0</v>
      </c>
      <c r="DS472" s="37">
        <v>0</v>
      </c>
      <c r="DT472" s="37">
        <v>0</v>
      </c>
      <c r="DU472" s="37">
        <v>0</v>
      </c>
      <c r="DV472" s="37">
        <v>0</v>
      </c>
      <c r="DW472" s="37">
        <v>0</v>
      </c>
      <c r="DX472" s="37">
        <v>0</v>
      </c>
      <c r="DY472" s="37">
        <v>0</v>
      </c>
      <c r="DZ472" s="37">
        <v>0</v>
      </c>
      <c r="EA472" s="37">
        <v>0</v>
      </c>
      <c r="EB472" s="37">
        <v>0</v>
      </c>
      <c r="EC472" s="37">
        <v>0</v>
      </c>
      <c r="ED472" s="37">
        <v>0</v>
      </c>
      <c r="EE472" s="37">
        <v>0</v>
      </c>
      <c r="EF472" s="37">
        <v>0</v>
      </c>
      <c r="EG472" s="37">
        <v>0</v>
      </c>
      <c r="EH472" s="37">
        <v>0</v>
      </c>
      <c r="EI472" s="37">
        <v>0</v>
      </c>
      <c r="EJ472" s="37">
        <v>0</v>
      </c>
      <c r="EK472" s="161" t="s">
        <v>2377</v>
      </c>
      <c r="EL472" s="294" t="s">
        <v>1124</v>
      </c>
    </row>
    <row r="473" spans="1:142" ht="15" customHeight="1" x14ac:dyDescent="0.35">
      <c r="A473" s="34"/>
      <c r="B473" s="313">
        <v>94205</v>
      </c>
      <c r="C473" s="8" t="s">
        <v>973</v>
      </c>
      <c r="D473" s="18">
        <v>2</v>
      </c>
      <c r="E473" s="155">
        <v>41008</v>
      </c>
      <c r="F473" s="36">
        <v>60008</v>
      </c>
      <c r="G473" s="37">
        <v>12764</v>
      </c>
      <c r="H473" s="37">
        <v>0</v>
      </c>
      <c r="I473" s="37">
        <v>36800</v>
      </c>
      <c r="J473" s="37">
        <v>0</v>
      </c>
      <c r="K473" s="37">
        <v>4100.8</v>
      </c>
      <c r="L473" s="37">
        <v>6000.8</v>
      </c>
      <c r="M473" s="37">
        <v>94672.8</v>
      </c>
      <c r="N473" s="37">
        <v>66008.800000000003</v>
      </c>
      <c r="O473" s="37">
        <v>0</v>
      </c>
      <c r="P473" s="37">
        <v>0</v>
      </c>
      <c r="Q473" s="37">
        <v>62115</v>
      </c>
      <c r="R473" s="37">
        <v>62115</v>
      </c>
      <c r="S473" s="37">
        <v>0</v>
      </c>
      <c r="T473" s="37">
        <v>0</v>
      </c>
      <c r="U473" s="37">
        <v>795</v>
      </c>
      <c r="V473" s="37">
        <v>0</v>
      </c>
      <c r="W473" s="37">
        <v>17829</v>
      </c>
      <c r="X473" s="37">
        <v>17828</v>
      </c>
      <c r="Y473" s="37">
        <v>0</v>
      </c>
      <c r="Z473" s="37">
        <v>0</v>
      </c>
      <c r="AA473" s="37">
        <v>80739</v>
      </c>
      <c r="AB473" s="37">
        <v>79943</v>
      </c>
      <c r="AC473" s="37">
        <v>0.39999999999417923</v>
      </c>
      <c r="AD473" s="37">
        <v>0</v>
      </c>
      <c r="AE473" s="37">
        <v>0</v>
      </c>
      <c r="AF473" s="168">
        <v>0.02</v>
      </c>
      <c r="AG473" s="37">
        <v>14578455.380000001</v>
      </c>
      <c r="AH473" s="37">
        <v>106445.02</v>
      </c>
      <c r="AI473" s="37">
        <v>110696.33</v>
      </c>
      <c r="AJ473" s="37">
        <v>110745.4</v>
      </c>
      <c r="AK473" s="37">
        <v>112960.3</v>
      </c>
      <c r="AL473" s="37">
        <v>115219.51</v>
      </c>
      <c r="AM473" s="37">
        <v>117523.9</v>
      </c>
      <c r="AN473" s="37">
        <v>119874.38</v>
      </c>
      <c r="AO473" s="37">
        <v>122271.87</v>
      </c>
      <c r="AP473" s="37">
        <v>124717.3</v>
      </c>
      <c r="AQ473" s="37">
        <v>127211.65</v>
      </c>
      <c r="AR473" s="37">
        <v>1167665.6600000001</v>
      </c>
      <c r="AS473" s="37">
        <v>162890.74</v>
      </c>
      <c r="AT473" s="37">
        <v>0</v>
      </c>
      <c r="AU473" s="37">
        <v>0</v>
      </c>
      <c r="AV473" s="37">
        <v>0</v>
      </c>
      <c r="AW473" s="37">
        <v>0</v>
      </c>
      <c r="AX473" s="37">
        <v>0</v>
      </c>
      <c r="AY473" s="37">
        <v>0</v>
      </c>
      <c r="AZ473" s="37">
        <v>0</v>
      </c>
      <c r="BA473" s="37">
        <v>0</v>
      </c>
      <c r="BB473" s="37">
        <v>0</v>
      </c>
      <c r="BC473" s="37">
        <v>0</v>
      </c>
      <c r="BD473" s="37">
        <v>0</v>
      </c>
      <c r="BE473" s="37">
        <v>0</v>
      </c>
      <c r="BF473" s="37">
        <v>433424</v>
      </c>
      <c r="BG473" s="37">
        <v>0</v>
      </c>
      <c r="BH473" s="37">
        <v>0</v>
      </c>
      <c r="BI473" s="37">
        <v>0</v>
      </c>
      <c r="BJ473" s="37">
        <v>6461.6908353201497</v>
      </c>
      <c r="BK473" s="37">
        <v>31290.042510979543</v>
      </c>
      <c r="BL473" s="37">
        <v>40691.604016050464</v>
      </c>
      <c r="BM473" s="37">
        <v>50093.165521121373</v>
      </c>
      <c r="BN473" s="37">
        <v>59494.747116528481</v>
      </c>
      <c r="BO473" s="37">
        <v>0</v>
      </c>
      <c r="BP473" s="37">
        <v>621455.25</v>
      </c>
      <c r="BQ473" s="37">
        <v>0</v>
      </c>
      <c r="BR473" s="37">
        <v>108358</v>
      </c>
      <c r="BS473" s="37">
        <v>0</v>
      </c>
      <c r="BT473" s="37">
        <v>0</v>
      </c>
      <c r="BU473" s="37">
        <v>0</v>
      </c>
      <c r="BV473" s="37">
        <v>1359.5646663645189</v>
      </c>
      <c r="BW473" s="37">
        <v>6583.5455906431944</v>
      </c>
      <c r="BX473" s="37">
        <v>8561.6703813062795</v>
      </c>
      <c r="BY473" s="37">
        <v>10539.795171969363</v>
      </c>
      <c r="BZ473" s="37">
        <v>12517.924189716645</v>
      </c>
      <c r="CA473" s="37">
        <v>0</v>
      </c>
      <c r="CB473" s="37">
        <v>147920.5</v>
      </c>
      <c r="CC473" s="37">
        <v>0</v>
      </c>
      <c r="CD473" s="37">
        <v>0</v>
      </c>
      <c r="CE473" s="37">
        <v>0</v>
      </c>
      <c r="CF473" s="37">
        <v>0</v>
      </c>
      <c r="CG473" s="37">
        <v>0</v>
      </c>
      <c r="CH473" s="37">
        <v>0</v>
      </c>
      <c r="CI473" s="37">
        <v>0</v>
      </c>
      <c r="CJ473" s="37">
        <v>0</v>
      </c>
      <c r="CK473" s="37">
        <v>0</v>
      </c>
      <c r="CL473" s="37">
        <v>0</v>
      </c>
      <c r="CM473" s="37">
        <v>0</v>
      </c>
      <c r="CN473" s="37">
        <v>0</v>
      </c>
      <c r="CO473" s="37">
        <v>0</v>
      </c>
      <c r="CP473" s="37">
        <v>0</v>
      </c>
      <c r="CQ473" s="37">
        <v>0</v>
      </c>
      <c r="CR473" s="37">
        <v>0</v>
      </c>
      <c r="CS473" s="37">
        <v>0</v>
      </c>
      <c r="CT473" s="37">
        <v>0</v>
      </c>
      <c r="CU473" s="37">
        <v>0</v>
      </c>
      <c r="CV473" s="37">
        <v>0</v>
      </c>
      <c r="CW473" s="37">
        <v>0</v>
      </c>
      <c r="CX473" s="37">
        <v>0</v>
      </c>
      <c r="CY473" s="37">
        <v>0</v>
      </c>
      <c r="CZ473" s="37">
        <v>0</v>
      </c>
      <c r="DA473" s="37">
        <v>0</v>
      </c>
      <c r="DB473" s="37">
        <v>0</v>
      </c>
      <c r="DC473" s="37">
        <v>0</v>
      </c>
      <c r="DD473" s="37">
        <v>0</v>
      </c>
      <c r="DE473" s="37">
        <v>0</v>
      </c>
      <c r="DF473" s="37">
        <v>0</v>
      </c>
      <c r="DG473" s="37">
        <v>0</v>
      </c>
      <c r="DH473" s="37">
        <v>0</v>
      </c>
      <c r="DI473" s="37">
        <v>0</v>
      </c>
      <c r="DJ473" s="37">
        <v>0</v>
      </c>
      <c r="DK473" s="37">
        <v>0</v>
      </c>
      <c r="DL473" s="37">
        <v>0</v>
      </c>
      <c r="DM473" s="37">
        <v>0</v>
      </c>
      <c r="DN473" s="37">
        <v>0</v>
      </c>
      <c r="DO473" s="37">
        <v>0</v>
      </c>
      <c r="DP473" s="37">
        <v>0</v>
      </c>
      <c r="DQ473" s="37">
        <v>0</v>
      </c>
      <c r="DR473" s="37">
        <v>0</v>
      </c>
      <c r="DS473" s="37">
        <v>0</v>
      </c>
      <c r="DT473" s="37">
        <v>0</v>
      </c>
      <c r="DU473" s="37">
        <v>0</v>
      </c>
      <c r="DV473" s="37">
        <v>0</v>
      </c>
      <c r="DW473" s="37">
        <v>0</v>
      </c>
      <c r="DX473" s="37">
        <v>0</v>
      </c>
      <c r="DY473" s="37">
        <v>0</v>
      </c>
      <c r="DZ473" s="37">
        <v>0</v>
      </c>
      <c r="EA473" s="37">
        <v>0</v>
      </c>
      <c r="EB473" s="37">
        <v>0</v>
      </c>
      <c r="EC473" s="37">
        <v>0</v>
      </c>
      <c r="ED473" s="37">
        <v>0</v>
      </c>
      <c r="EE473" s="37">
        <v>0</v>
      </c>
      <c r="EF473" s="37">
        <v>0</v>
      </c>
      <c r="EG473" s="37">
        <v>0</v>
      </c>
      <c r="EH473" s="37">
        <v>0</v>
      </c>
      <c r="EI473" s="37">
        <v>0</v>
      </c>
      <c r="EJ473" s="37">
        <v>0</v>
      </c>
      <c r="EK473" s="161" t="s">
        <v>2381</v>
      </c>
      <c r="EL473" s="294" t="s">
        <v>1124</v>
      </c>
    </row>
    <row r="474" spans="1:142" ht="15" customHeight="1" x14ac:dyDescent="0.35">
      <c r="A474" s="34"/>
      <c r="B474" s="313">
        <v>77030</v>
      </c>
      <c r="C474" s="8" t="s">
        <v>759</v>
      </c>
      <c r="D474" s="18">
        <v>15</v>
      </c>
      <c r="E474" s="155">
        <v>453361</v>
      </c>
      <c r="F474" s="36">
        <v>155052</v>
      </c>
      <c r="G474" s="37">
        <v>42957</v>
      </c>
      <c r="H474" s="37">
        <v>11991</v>
      </c>
      <c r="I474" s="37">
        <v>520500</v>
      </c>
      <c r="J474" s="37">
        <v>267600</v>
      </c>
      <c r="K474" s="37">
        <v>68004.149999999994</v>
      </c>
      <c r="L474" s="37">
        <v>23257.8</v>
      </c>
      <c r="M474" s="37">
        <v>1084822.1499999999</v>
      </c>
      <c r="N474" s="37">
        <v>457900.79999999999</v>
      </c>
      <c r="O474" s="37">
        <v>36093.5</v>
      </c>
      <c r="P474" s="37">
        <v>0</v>
      </c>
      <c r="Q474" s="37">
        <v>267500</v>
      </c>
      <c r="R474" s="37">
        <v>429975</v>
      </c>
      <c r="S474" s="37">
        <v>4800</v>
      </c>
      <c r="T474" s="37">
        <v>0</v>
      </c>
      <c r="U474" s="37">
        <v>0</v>
      </c>
      <c r="V474" s="37">
        <v>0</v>
      </c>
      <c r="W474" s="37">
        <v>776428</v>
      </c>
      <c r="X474" s="37">
        <v>46081</v>
      </c>
      <c r="Y474" s="37">
        <v>0</v>
      </c>
      <c r="Z474" s="37">
        <v>0</v>
      </c>
      <c r="AA474" s="37">
        <v>1084821.5</v>
      </c>
      <c r="AB474" s="37">
        <v>476056</v>
      </c>
      <c r="AC474" s="37">
        <v>18155</v>
      </c>
      <c r="AD474" s="37">
        <v>0</v>
      </c>
      <c r="AE474" s="37">
        <v>0</v>
      </c>
      <c r="AF474" s="168">
        <v>0.02</v>
      </c>
      <c r="AG474" s="37">
        <v>33808577.57</v>
      </c>
      <c r="AH474" s="37">
        <v>299677.84999999998</v>
      </c>
      <c r="AI474" s="37">
        <v>305671.40000000002</v>
      </c>
      <c r="AJ474" s="37">
        <v>311784.83</v>
      </c>
      <c r="AK474" s="37">
        <v>318020.53000000003</v>
      </c>
      <c r="AL474" s="37">
        <v>324380.94</v>
      </c>
      <c r="AM474" s="37">
        <v>330868.56</v>
      </c>
      <c r="AN474" s="37">
        <v>337485.93</v>
      </c>
      <c r="AO474" s="37">
        <v>344235.65</v>
      </c>
      <c r="AP474" s="37">
        <v>351120.36</v>
      </c>
      <c r="AQ474" s="37">
        <v>358142.77</v>
      </c>
      <c r="AR474" s="37">
        <v>3281388.8200000003</v>
      </c>
      <c r="AS474" s="37">
        <v>743131.2</v>
      </c>
      <c r="AT474" s="37">
        <v>624750</v>
      </c>
      <c r="AU474" s="37">
        <v>88434</v>
      </c>
      <c r="AV474" s="37">
        <v>0</v>
      </c>
      <c r="AW474" s="37">
        <v>0</v>
      </c>
      <c r="AX474" s="37">
        <v>0</v>
      </c>
      <c r="AY474" s="37">
        <v>0</v>
      </c>
      <c r="AZ474" s="37">
        <v>0</v>
      </c>
      <c r="BA474" s="37">
        <v>0</v>
      </c>
      <c r="BB474" s="37">
        <v>0</v>
      </c>
      <c r="BC474" s="37">
        <v>0</v>
      </c>
      <c r="BD474" s="37">
        <v>713184</v>
      </c>
      <c r="BE474" s="37">
        <v>133070</v>
      </c>
      <c r="BF474" s="37">
        <v>0</v>
      </c>
      <c r="BG474" s="37">
        <v>0</v>
      </c>
      <c r="BH474" s="37">
        <v>0</v>
      </c>
      <c r="BI474" s="37">
        <v>0</v>
      </c>
      <c r="BJ474" s="37">
        <v>0</v>
      </c>
      <c r="BK474" s="37">
        <v>0</v>
      </c>
      <c r="BL474" s="37">
        <v>0</v>
      </c>
      <c r="BM474" s="37">
        <v>0</v>
      </c>
      <c r="BN474" s="37">
        <v>0</v>
      </c>
      <c r="BO474" s="37">
        <v>0</v>
      </c>
      <c r="BP474" s="37">
        <v>0</v>
      </c>
      <c r="BQ474" s="37">
        <v>250000</v>
      </c>
      <c r="BR474" s="37">
        <v>0</v>
      </c>
      <c r="BS474" s="37">
        <v>1030000</v>
      </c>
      <c r="BT474" s="37">
        <v>0</v>
      </c>
      <c r="BU474" s="37">
        <v>0</v>
      </c>
      <c r="BV474" s="37">
        <v>0</v>
      </c>
      <c r="BW474" s="37">
        <v>0</v>
      </c>
      <c r="BX474" s="37">
        <v>0</v>
      </c>
      <c r="BY474" s="37">
        <v>0</v>
      </c>
      <c r="BZ474" s="37">
        <v>0</v>
      </c>
      <c r="CA474" s="37">
        <v>0</v>
      </c>
      <c r="CB474" s="37">
        <v>1030000</v>
      </c>
      <c r="CC474" s="37">
        <v>0</v>
      </c>
      <c r="CD474" s="37">
        <v>0</v>
      </c>
      <c r="CE474" s="37">
        <v>85000</v>
      </c>
      <c r="CF474" s="37">
        <v>0</v>
      </c>
      <c r="CG474" s="37">
        <v>0</v>
      </c>
      <c r="CH474" s="37">
        <v>0</v>
      </c>
      <c r="CI474" s="37">
        <v>0</v>
      </c>
      <c r="CJ474" s="37">
        <v>0</v>
      </c>
      <c r="CK474" s="37">
        <v>0</v>
      </c>
      <c r="CL474" s="37">
        <v>0</v>
      </c>
      <c r="CM474" s="37">
        <v>0</v>
      </c>
      <c r="CN474" s="37">
        <v>85000</v>
      </c>
      <c r="CO474" s="37">
        <v>0</v>
      </c>
      <c r="CP474" s="37">
        <v>0</v>
      </c>
      <c r="CQ474" s="37">
        <v>0</v>
      </c>
      <c r="CR474" s="37">
        <v>0</v>
      </c>
      <c r="CS474" s="37">
        <v>0</v>
      </c>
      <c r="CT474" s="37">
        <v>0</v>
      </c>
      <c r="CU474" s="37">
        <v>0</v>
      </c>
      <c r="CV474" s="37">
        <v>0</v>
      </c>
      <c r="CW474" s="37">
        <v>0</v>
      </c>
      <c r="CX474" s="37">
        <v>0</v>
      </c>
      <c r="CY474" s="37">
        <v>0</v>
      </c>
      <c r="CZ474" s="37">
        <v>0</v>
      </c>
      <c r="DA474" s="37">
        <v>0</v>
      </c>
      <c r="DB474" s="37">
        <v>0</v>
      </c>
      <c r="DC474" s="37">
        <v>0</v>
      </c>
      <c r="DD474" s="37">
        <v>0</v>
      </c>
      <c r="DE474" s="37">
        <v>0</v>
      </c>
      <c r="DF474" s="37">
        <v>0</v>
      </c>
      <c r="DG474" s="37">
        <v>0</v>
      </c>
      <c r="DH474" s="37">
        <v>0</v>
      </c>
      <c r="DI474" s="37">
        <v>0</v>
      </c>
      <c r="DJ474" s="37">
        <v>0</v>
      </c>
      <c r="DK474" s="37">
        <v>0</v>
      </c>
      <c r="DL474" s="37">
        <v>0</v>
      </c>
      <c r="DM474" s="37">
        <v>0</v>
      </c>
      <c r="DN474" s="37">
        <v>0</v>
      </c>
      <c r="DO474" s="37">
        <v>0</v>
      </c>
      <c r="DP474" s="37">
        <v>5250</v>
      </c>
      <c r="DQ474" s="37">
        <v>0</v>
      </c>
      <c r="DR474" s="37">
        <v>0</v>
      </c>
      <c r="DS474" s="37">
        <v>0</v>
      </c>
      <c r="DT474" s="37">
        <v>0</v>
      </c>
      <c r="DU474" s="37">
        <v>0</v>
      </c>
      <c r="DV474" s="37">
        <v>0</v>
      </c>
      <c r="DW474" s="37">
        <v>0</v>
      </c>
      <c r="DX474" s="37">
        <v>5250</v>
      </c>
      <c r="DY474" s="37">
        <v>0</v>
      </c>
      <c r="DZ474" s="37">
        <v>0</v>
      </c>
      <c r="EA474" s="37">
        <v>0</v>
      </c>
      <c r="EB474" s="37">
        <v>0</v>
      </c>
      <c r="EC474" s="37">
        <v>0</v>
      </c>
      <c r="ED474" s="37">
        <v>0</v>
      </c>
      <c r="EE474" s="37">
        <v>0</v>
      </c>
      <c r="EF474" s="37">
        <v>0</v>
      </c>
      <c r="EG474" s="37">
        <v>0</v>
      </c>
      <c r="EH474" s="37">
        <v>0</v>
      </c>
      <c r="EI474" s="37">
        <v>0</v>
      </c>
      <c r="EJ474" s="37">
        <v>0</v>
      </c>
      <c r="EK474" s="161" t="s">
        <v>2386</v>
      </c>
      <c r="EL474" s="294" t="s">
        <v>1124</v>
      </c>
    </row>
    <row r="475" spans="1:142" ht="15" customHeight="1" x14ac:dyDescent="0.35">
      <c r="A475" s="34"/>
      <c r="B475" s="313">
        <v>50113</v>
      </c>
      <c r="C475" s="8" t="s">
        <v>496</v>
      </c>
      <c r="D475" s="18">
        <v>17</v>
      </c>
      <c r="E475" s="155"/>
      <c r="F475" s="36"/>
      <c r="G475" s="37"/>
      <c r="H475" s="37"/>
      <c r="I475" s="37"/>
      <c r="J475" s="37"/>
      <c r="K475" s="37"/>
      <c r="L475" s="37"/>
      <c r="M475" s="37" t="s">
        <v>1124</v>
      </c>
      <c r="N475" s="37" t="s">
        <v>1124</v>
      </c>
      <c r="O475" s="37"/>
      <c r="P475" s="37"/>
      <c r="Q475" s="37"/>
      <c r="R475" s="37"/>
      <c r="S475" s="37"/>
      <c r="T475" s="37"/>
      <c r="U475" s="37"/>
      <c r="V475" s="37"/>
      <c r="W475" s="37"/>
      <c r="X475" s="37"/>
      <c r="Y475" s="37"/>
      <c r="Z475" s="37"/>
      <c r="AA475" s="37" t="s">
        <v>1124</v>
      </c>
      <c r="AB475" s="37" t="s">
        <v>1124</v>
      </c>
      <c r="AC475" s="37"/>
      <c r="AD475" s="37"/>
      <c r="AE475" s="37"/>
      <c r="AF475" s="168"/>
      <c r="AG475" s="37"/>
      <c r="AH475" s="37"/>
      <c r="AI475" s="37"/>
      <c r="AJ475" s="37"/>
      <c r="AK475" s="37"/>
      <c r="AL475" s="37"/>
      <c r="AM475" s="37"/>
      <c r="AN475" s="37"/>
      <c r="AO475" s="37"/>
      <c r="AP475" s="37"/>
      <c r="AQ475" s="37"/>
      <c r="AR475" s="37" t="s">
        <v>1124</v>
      </c>
      <c r="AS475" s="37"/>
      <c r="AT475" s="37"/>
      <c r="AU475" s="37"/>
      <c r="AV475" s="37"/>
      <c r="AW475" s="37"/>
      <c r="AX475" s="37"/>
      <c r="AY475" s="37"/>
      <c r="AZ475" s="37"/>
      <c r="BA475" s="37"/>
      <c r="BB475" s="37"/>
      <c r="BC475" s="37"/>
      <c r="BD475" s="37" t="s">
        <v>1124</v>
      </c>
      <c r="BE475" s="37"/>
      <c r="BF475" s="37"/>
      <c r="BG475" s="37"/>
      <c r="BH475" s="37"/>
      <c r="BI475" s="37"/>
      <c r="BJ475" s="37"/>
      <c r="BK475" s="37"/>
      <c r="BL475" s="37"/>
      <c r="BM475" s="37"/>
      <c r="BN475" s="37"/>
      <c r="BO475" s="37"/>
      <c r="BP475" s="37">
        <v>0</v>
      </c>
      <c r="BQ475" s="37"/>
      <c r="BR475" s="37"/>
      <c r="BS475" s="37"/>
      <c r="BT475" s="37"/>
      <c r="BU475" s="37"/>
      <c r="BV475" s="37"/>
      <c r="BW475" s="37"/>
      <c r="BX475" s="37"/>
      <c r="BY475" s="37"/>
      <c r="BZ475" s="37"/>
      <c r="CA475" s="37"/>
      <c r="CB475" s="37" t="s">
        <v>1124</v>
      </c>
      <c r="CC475" s="37"/>
      <c r="CD475" s="37"/>
      <c r="CE475" s="37"/>
      <c r="CF475" s="37"/>
      <c r="CG475" s="37"/>
      <c r="CH475" s="37"/>
      <c r="CI475" s="37"/>
      <c r="CJ475" s="37"/>
      <c r="CK475" s="37"/>
      <c r="CL475" s="37"/>
      <c r="CM475" s="37"/>
      <c r="CN475" s="37" t="s">
        <v>1124</v>
      </c>
      <c r="CO475" s="37"/>
      <c r="CP475" s="37"/>
      <c r="CQ475" s="37"/>
      <c r="CR475" s="37"/>
      <c r="CS475" s="37"/>
      <c r="CT475" s="37"/>
      <c r="CU475" s="37"/>
      <c r="CV475" s="37"/>
      <c r="CW475" s="37"/>
      <c r="CX475" s="37"/>
      <c r="CY475" s="37"/>
      <c r="CZ475" s="37" t="s">
        <v>1124</v>
      </c>
      <c r="DA475" s="37"/>
      <c r="DB475" s="37"/>
      <c r="DC475" s="37"/>
      <c r="DD475" s="37"/>
      <c r="DE475" s="37"/>
      <c r="DF475" s="37"/>
      <c r="DG475" s="37"/>
      <c r="DH475" s="37"/>
      <c r="DI475" s="37"/>
      <c r="DJ475" s="37"/>
      <c r="DK475" s="37"/>
      <c r="DL475" s="37" t="s">
        <v>1124</v>
      </c>
      <c r="DM475" s="37"/>
      <c r="DN475" s="37"/>
      <c r="DO475" s="37"/>
      <c r="DP475" s="37"/>
      <c r="DQ475" s="37"/>
      <c r="DR475" s="37"/>
      <c r="DS475" s="37"/>
      <c r="DT475" s="37"/>
      <c r="DU475" s="37"/>
      <c r="DV475" s="37"/>
      <c r="DW475" s="37"/>
      <c r="DX475" s="37" t="s">
        <v>1124</v>
      </c>
      <c r="DY475" s="37"/>
      <c r="DZ475" s="37"/>
      <c r="EA475" s="37"/>
      <c r="EB475" s="37"/>
      <c r="EC475" s="37"/>
      <c r="ED475" s="37"/>
      <c r="EE475" s="37"/>
      <c r="EF475" s="37"/>
      <c r="EG475" s="37"/>
      <c r="EH475" s="37"/>
      <c r="EI475" s="37"/>
      <c r="EJ475" s="37" t="s">
        <v>1124</v>
      </c>
      <c r="EK475" s="161"/>
      <c r="EL475" s="294"/>
    </row>
    <row r="476" spans="1:142" ht="15" customHeight="1" x14ac:dyDescent="0.35">
      <c r="A476" s="34"/>
      <c r="B476" s="313">
        <v>46025</v>
      </c>
      <c r="C476" s="8" t="s">
        <v>430</v>
      </c>
      <c r="D476" s="18">
        <v>5</v>
      </c>
      <c r="E476" s="155"/>
      <c r="F476" s="36"/>
      <c r="G476" s="37"/>
      <c r="H476" s="37"/>
      <c r="I476" s="37"/>
      <c r="J476" s="37"/>
      <c r="K476" s="37"/>
      <c r="L476" s="37"/>
      <c r="M476" s="37" t="s">
        <v>1124</v>
      </c>
      <c r="N476" s="37" t="s">
        <v>1124</v>
      </c>
      <c r="O476" s="37"/>
      <c r="P476" s="37"/>
      <c r="Q476" s="37"/>
      <c r="R476" s="37"/>
      <c r="S476" s="37"/>
      <c r="T476" s="37"/>
      <c r="U476" s="37"/>
      <c r="V476" s="37"/>
      <c r="W476" s="37"/>
      <c r="X476" s="37"/>
      <c r="Y476" s="37"/>
      <c r="Z476" s="37"/>
      <c r="AA476" s="37" t="s">
        <v>1124</v>
      </c>
      <c r="AB476" s="37" t="s">
        <v>1124</v>
      </c>
      <c r="AC476" s="37"/>
      <c r="AD476" s="37"/>
      <c r="AE476" s="37"/>
      <c r="AF476" s="168"/>
      <c r="AG476" s="37"/>
      <c r="AH476" s="37"/>
      <c r="AI476" s="37"/>
      <c r="AJ476" s="37"/>
      <c r="AK476" s="37"/>
      <c r="AL476" s="37"/>
      <c r="AM476" s="37"/>
      <c r="AN476" s="37"/>
      <c r="AO476" s="37"/>
      <c r="AP476" s="37"/>
      <c r="AQ476" s="37"/>
      <c r="AR476" s="37" t="s">
        <v>1124</v>
      </c>
      <c r="AS476" s="37"/>
      <c r="AT476" s="37"/>
      <c r="AU476" s="37"/>
      <c r="AV476" s="37"/>
      <c r="AW476" s="37"/>
      <c r="AX476" s="37"/>
      <c r="AY476" s="37"/>
      <c r="AZ476" s="37"/>
      <c r="BA476" s="37"/>
      <c r="BB476" s="37"/>
      <c r="BC476" s="37"/>
      <c r="BD476" s="37" t="s">
        <v>1124</v>
      </c>
      <c r="BE476" s="37"/>
      <c r="BF476" s="37"/>
      <c r="BG476" s="37"/>
      <c r="BH476" s="37"/>
      <c r="BI476" s="37"/>
      <c r="BJ476" s="37"/>
      <c r="BK476" s="37"/>
      <c r="BL476" s="37"/>
      <c r="BM476" s="37"/>
      <c r="BN476" s="37"/>
      <c r="BO476" s="37"/>
      <c r="BP476" s="37">
        <v>0</v>
      </c>
      <c r="BQ476" s="37"/>
      <c r="BR476" s="37"/>
      <c r="BS476" s="37"/>
      <c r="BT476" s="37"/>
      <c r="BU476" s="37"/>
      <c r="BV476" s="37"/>
      <c r="BW476" s="37"/>
      <c r="BX476" s="37"/>
      <c r="BY476" s="37"/>
      <c r="BZ476" s="37"/>
      <c r="CA476" s="37"/>
      <c r="CB476" s="37" t="s">
        <v>1124</v>
      </c>
      <c r="CC476" s="37"/>
      <c r="CD476" s="37"/>
      <c r="CE476" s="37"/>
      <c r="CF476" s="37"/>
      <c r="CG476" s="37"/>
      <c r="CH476" s="37"/>
      <c r="CI476" s="37"/>
      <c r="CJ476" s="37"/>
      <c r="CK476" s="37"/>
      <c r="CL476" s="37"/>
      <c r="CM476" s="37"/>
      <c r="CN476" s="37" t="s">
        <v>1124</v>
      </c>
      <c r="CO476" s="37"/>
      <c r="CP476" s="37"/>
      <c r="CQ476" s="37"/>
      <c r="CR476" s="37"/>
      <c r="CS476" s="37"/>
      <c r="CT476" s="37"/>
      <c r="CU476" s="37"/>
      <c r="CV476" s="37"/>
      <c r="CW476" s="37"/>
      <c r="CX476" s="37"/>
      <c r="CY476" s="37"/>
      <c r="CZ476" s="37" t="s">
        <v>1124</v>
      </c>
      <c r="DA476" s="37"/>
      <c r="DB476" s="37"/>
      <c r="DC476" s="37"/>
      <c r="DD476" s="37"/>
      <c r="DE476" s="37"/>
      <c r="DF476" s="37"/>
      <c r="DG476" s="37"/>
      <c r="DH476" s="37"/>
      <c r="DI476" s="37"/>
      <c r="DJ476" s="37"/>
      <c r="DK476" s="37"/>
      <c r="DL476" s="37" t="s">
        <v>1124</v>
      </c>
      <c r="DM476" s="37"/>
      <c r="DN476" s="37"/>
      <c r="DO476" s="37"/>
      <c r="DP476" s="37"/>
      <c r="DQ476" s="37"/>
      <c r="DR476" s="37"/>
      <c r="DS476" s="37"/>
      <c r="DT476" s="37"/>
      <c r="DU476" s="37"/>
      <c r="DV476" s="37"/>
      <c r="DW476" s="37"/>
      <c r="DX476" s="37" t="s">
        <v>1124</v>
      </c>
      <c r="DY476" s="37"/>
      <c r="DZ476" s="37"/>
      <c r="EA476" s="37"/>
      <c r="EB476" s="37"/>
      <c r="EC476" s="37"/>
      <c r="ED476" s="37"/>
      <c r="EE476" s="37"/>
      <c r="EF476" s="37"/>
      <c r="EG476" s="37"/>
      <c r="EH476" s="37"/>
      <c r="EI476" s="37"/>
      <c r="EJ476" s="37" t="s">
        <v>1124</v>
      </c>
      <c r="EK476" s="161"/>
      <c r="EL476" s="294"/>
    </row>
    <row r="477" spans="1:142" ht="15" customHeight="1" x14ac:dyDescent="0.35">
      <c r="A477" s="34"/>
      <c r="B477" s="313">
        <v>71070</v>
      </c>
      <c r="C477" s="8" t="s">
        <v>715</v>
      </c>
      <c r="D477" s="18">
        <v>16</v>
      </c>
      <c r="E477" s="155">
        <v>1593152</v>
      </c>
      <c r="F477" s="36">
        <v>1852194</v>
      </c>
      <c r="G477" s="37">
        <v>0</v>
      </c>
      <c r="H477" s="37">
        <v>113915</v>
      </c>
      <c r="I477" s="37">
        <v>0</v>
      </c>
      <c r="J477" s="37">
        <v>136000</v>
      </c>
      <c r="K477" s="37">
        <v>238973</v>
      </c>
      <c r="L477" s="37">
        <v>277829</v>
      </c>
      <c r="M477" s="37">
        <v>1832125</v>
      </c>
      <c r="N477" s="37">
        <v>2379938</v>
      </c>
      <c r="O477" s="37">
        <v>0</v>
      </c>
      <c r="P477" s="37">
        <v>0</v>
      </c>
      <c r="Q477" s="37">
        <v>1228596</v>
      </c>
      <c r="R477" s="37">
        <v>1445070</v>
      </c>
      <c r="S477" s="37">
        <v>35172</v>
      </c>
      <c r="T477" s="37">
        <v>446720</v>
      </c>
      <c r="U477" s="37">
        <v>0</v>
      </c>
      <c r="V477" s="37">
        <v>23881</v>
      </c>
      <c r="W477" s="37">
        <v>568357</v>
      </c>
      <c r="X477" s="37">
        <v>464267</v>
      </c>
      <c r="Y477" s="37">
        <v>0</v>
      </c>
      <c r="Z477" s="37">
        <v>0</v>
      </c>
      <c r="AA477" s="37">
        <v>1832125</v>
      </c>
      <c r="AB477" s="37">
        <v>2379938</v>
      </c>
      <c r="AC477" s="37">
        <v>0</v>
      </c>
      <c r="AD477" s="37">
        <v>0</v>
      </c>
      <c r="AE477" s="37">
        <v>0</v>
      </c>
      <c r="AF477" s="168">
        <v>0.02</v>
      </c>
      <c r="AG477" s="37">
        <v>248373407.50999999</v>
      </c>
      <c r="AH477" s="37">
        <v>3005023.07</v>
      </c>
      <c r="AI477" s="37">
        <v>2980934.36</v>
      </c>
      <c r="AJ477" s="37">
        <v>3024316.57</v>
      </c>
      <c r="AK477" s="37">
        <v>3084802.9</v>
      </c>
      <c r="AL477" s="37">
        <v>3146498.96</v>
      </c>
      <c r="AM477" s="37">
        <v>3209428.94</v>
      </c>
      <c r="AN477" s="37">
        <v>3273617.52</v>
      </c>
      <c r="AO477" s="37">
        <v>3319171.66</v>
      </c>
      <c r="AP477" s="37">
        <v>3385555.09</v>
      </c>
      <c r="AQ477" s="37">
        <v>3453266.19</v>
      </c>
      <c r="AR477" s="37">
        <v>31882615.259999998</v>
      </c>
      <c r="AS477" s="37">
        <v>9158456.0099999998</v>
      </c>
      <c r="AT477" s="37">
        <v>702270</v>
      </c>
      <c r="AU477" s="37">
        <v>530604</v>
      </c>
      <c r="AV477" s="37">
        <v>0</v>
      </c>
      <c r="AW477" s="37">
        <v>0</v>
      </c>
      <c r="AX477" s="37">
        <v>0</v>
      </c>
      <c r="AY477" s="37">
        <v>0</v>
      </c>
      <c r="AZ477" s="37">
        <v>0</v>
      </c>
      <c r="BA477" s="37">
        <v>0</v>
      </c>
      <c r="BB477" s="37">
        <v>0</v>
      </c>
      <c r="BC477" s="37">
        <v>0</v>
      </c>
      <c r="BD477" s="37">
        <v>1232874</v>
      </c>
      <c r="BE477" s="37">
        <v>3352835</v>
      </c>
      <c r="BF477" s="37">
        <v>0</v>
      </c>
      <c r="BG477" s="37">
        <v>5377348</v>
      </c>
      <c r="BH477" s="37">
        <v>0</v>
      </c>
      <c r="BI477" s="37">
        <v>0</v>
      </c>
      <c r="BJ477" s="37">
        <v>0</v>
      </c>
      <c r="BK477" s="37">
        <v>0</v>
      </c>
      <c r="BL477" s="37">
        <v>0</v>
      </c>
      <c r="BM477" s="37">
        <v>0</v>
      </c>
      <c r="BN477" s="37">
        <v>0</v>
      </c>
      <c r="BO477" s="37">
        <v>0</v>
      </c>
      <c r="BP477" s="37">
        <v>5377348</v>
      </c>
      <c r="BQ477" s="37">
        <v>0</v>
      </c>
      <c r="BR477" s="37">
        <v>0</v>
      </c>
      <c r="BS477" s="37">
        <v>1622652</v>
      </c>
      <c r="BT477" s="37">
        <v>10000000</v>
      </c>
      <c r="BU477" s="37">
        <v>4000000</v>
      </c>
      <c r="BV477" s="37">
        <v>0</v>
      </c>
      <c r="BW477" s="37">
        <v>0</v>
      </c>
      <c r="BX477" s="37">
        <v>0</v>
      </c>
      <c r="BY477" s="37">
        <v>0</v>
      </c>
      <c r="BZ477" s="37">
        <v>0</v>
      </c>
      <c r="CA477" s="37">
        <v>0</v>
      </c>
      <c r="CB477" s="37">
        <v>15622652</v>
      </c>
      <c r="CC477" s="37">
        <v>0</v>
      </c>
      <c r="CD477" s="37">
        <v>0</v>
      </c>
      <c r="CE477" s="37">
        <v>0</v>
      </c>
      <c r="CF477" s="37">
        <v>0</v>
      </c>
      <c r="CG477" s="37">
        <v>0</v>
      </c>
      <c r="CH477" s="37">
        <v>0</v>
      </c>
      <c r="CI477" s="37">
        <v>0</v>
      </c>
      <c r="CJ477" s="37">
        <v>0</v>
      </c>
      <c r="CK477" s="37">
        <v>0</v>
      </c>
      <c r="CL477" s="37">
        <v>0</v>
      </c>
      <c r="CM477" s="37">
        <v>0</v>
      </c>
      <c r="CN477" s="37">
        <v>0</v>
      </c>
      <c r="CO477" s="37">
        <v>0</v>
      </c>
      <c r="CP477" s="37">
        <v>0</v>
      </c>
      <c r="CQ477" s="37">
        <v>0</v>
      </c>
      <c r="CR477" s="37">
        <v>0</v>
      </c>
      <c r="CS477" s="37">
        <v>0</v>
      </c>
      <c r="CT477" s="37">
        <v>0</v>
      </c>
      <c r="CU477" s="37">
        <v>0</v>
      </c>
      <c r="CV477" s="37">
        <v>0</v>
      </c>
      <c r="CW477" s="37">
        <v>0</v>
      </c>
      <c r="CX477" s="37">
        <v>0</v>
      </c>
      <c r="CY477" s="37">
        <v>0</v>
      </c>
      <c r="CZ477" s="37">
        <v>0</v>
      </c>
      <c r="DA477" s="37">
        <v>0</v>
      </c>
      <c r="DB477" s="37">
        <v>0</v>
      </c>
      <c r="DC477" s="37">
        <v>0</v>
      </c>
      <c r="DD477" s="37">
        <v>0</v>
      </c>
      <c r="DE477" s="37">
        <v>0</v>
      </c>
      <c r="DF477" s="37">
        <v>0</v>
      </c>
      <c r="DG477" s="37">
        <v>0</v>
      </c>
      <c r="DH477" s="37">
        <v>0</v>
      </c>
      <c r="DI477" s="37">
        <v>0</v>
      </c>
      <c r="DJ477" s="37">
        <v>0</v>
      </c>
      <c r="DK477" s="37">
        <v>0</v>
      </c>
      <c r="DL477" s="37">
        <v>0</v>
      </c>
      <c r="DM477" s="37">
        <v>0</v>
      </c>
      <c r="DN477" s="37">
        <v>0</v>
      </c>
      <c r="DO477" s="37">
        <v>0</v>
      </c>
      <c r="DP477" s="37">
        <v>0</v>
      </c>
      <c r="DQ477" s="37">
        <v>0</v>
      </c>
      <c r="DR477" s="37">
        <v>0</v>
      </c>
      <c r="DS477" s="37">
        <v>0</v>
      </c>
      <c r="DT477" s="37">
        <v>0</v>
      </c>
      <c r="DU477" s="37">
        <v>0</v>
      </c>
      <c r="DV477" s="37">
        <v>0</v>
      </c>
      <c r="DW477" s="37">
        <v>0</v>
      </c>
      <c r="DX477" s="37">
        <v>0</v>
      </c>
      <c r="DY477" s="37">
        <v>0</v>
      </c>
      <c r="DZ477" s="37">
        <v>0</v>
      </c>
      <c r="EA477" s="37">
        <v>0</v>
      </c>
      <c r="EB477" s="37">
        <v>0</v>
      </c>
      <c r="EC477" s="37">
        <v>0</v>
      </c>
      <c r="ED477" s="37">
        <v>0</v>
      </c>
      <c r="EE477" s="37">
        <v>0</v>
      </c>
      <c r="EF477" s="37">
        <v>0</v>
      </c>
      <c r="EG477" s="37">
        <v>0</v>
      </c>
      <c r="EH477" s="37">
        <v>0</v>
      </c>
      <c r="EI477" s="37">
        <v>0</v>
      </c>
      <c r="EJ477" s="37">
        <v>0</v>
      </c>
      <c r="EK477" s="161" t="s">
        <v>2389</v>
      </c>
      <c r="EL477" s="294" t="s">
        <v>1124</v>
      </c>
    </row>
    <row r="478" spans="1:142" ht="15" customHeight="1" x14ac:dyDescent="0.35">
      <c r="A478" s="34"/>
      <c r="B478" s="313">
        <v>30020</v>
      </c>
      <c r="C478" s="8" t="s">
        <v>220</v>
      </c>
      <c r="D478" s="18">
        <v>5</v>
      </c>
      <c r="E478" s="155">
        <v>7654</v>
      </c>
      <c r="F478" s="36">
        <v>32720</v>
      </c>
      <c r="G478" s="37">
        <v>22063</v>
      </c>
      <c r="H478" s="37">
        <v>0</v>
      </c>
      <c r="I478" s="37">
        <v>5808</v>
      </c>
      <c r="J478" s="37">
        <v>0</v>
      </c>
      <c r="K478" s="37">
        <v>8087.7905308420986</v>
      </c>
      <c r="L478" s="37">
        <v>8763.3594691579019</v>
      </c>
      <c r="M478" s="37">
        <v>43612.790530842103</v>
      </c>
      <c r="N478" s="37">
        <v>41483.359469157906</v>
      </c>
      <c r="O478" s="37">
        <v>0</v>
      </c>
      <c r="P478" s="37">
        <v>0</v>
      </c>
      <c r="Q478" s="37">
        <v>48484</v>
      </c>
      <c r="R478" s="37">
        <v>14507</v>
      </c>
      <c r="S478" s="37">
        <v>0</v>
      </c>
      <c r="T478" s="37">
        <v>713</v>
      </c>
      <c r="U478" s="37">
        <v>0</v>
      </c>
      <c r="V478" s="37">
        <v>0</v>
      </c>
      <c r="W478" s="37">
        <v>49841.771191761902</v>
      </c>
      <c r="X478" s="37">
        <v>15646.628808238102</v>
      </c>
      <c r="Y478" s="37">
        <v>0</v>
      </c>
      <c r="Z478" s="37">
        <v>0</v>
      </c>
      <c r="AA478" s="37">
        <v>98325.771191761902</v>
      </c>
      <c r="AB478" s="37">
        <v>30866.6288082381</v>
      </c>
      <c r="AC478" s="37">
        <v>44096.25</v>
      </c>
      <c r="AD478" s="37">
        <v>0</v>
      </c>
      <c r="AE478" s="37">
        <v>0</v>
      </c>
      <c r="AF478" s="168">
        <v>0.02</v>
      </c>
      <c r="AG478" s="37">
        <v>3159362.2</v>
      </c>
      <c r="AH478" s="37">
        <v>44668.65</v>
      </c>
      <c r="AI478" s="37">
        <v>29643.9</v>
      </c>
      <c r="AJ478" s="37">
        <v>30236.78</v>
      </c>
      <c r="AK478" s="37">
        <v>30841.51</v>
      </c>
      <c r="AL478" s="37">
        <v>31458.35</v>
      </c>
      <c r="AM478" s="37">
        <v>32087.51</v>
      </c>
      <c r="AN478" s="37">
        <v>32729.26</v>
      </c>
      <c r="AO478" s="37">
        <v>33383.85</v>
      </c>
      <c r="AP478" s="37">
        <v>34051.519999999997</v>
      </c>
      <c r="AQ478" s="37">
        <v>34732.550000000003</v>
      </c>
      <c r="AR478" s="37">
        <v>333833.88000000006</v>
      </c>
      <c r="AS478" s="37">
        <v>0</v>
      </c>
      <c r="AT478" s="37">
        <v>0</v>
      </c>
      <c r="AU478" s="37">
        <v>0</v>
      </c>
      <c r="AV478" s="37">
        <v>0</v>
      </c>
      <c r="AW478" s="37">
        <v>0</v>
      </c>
      <c r="AX478" s="37">
        <v>0</v>
      </c>
      <c r="AY478" s="37">
        <v>0</v>
      </c>
      <c r="AZ478" s="37">
        <v>0</v>
      </c>
      <c r="BA478" s="37">
        <v>0</v>
      </c>
      <c r="BB478" s="37">
        <v>0</v>
      </c>
      <c r="BC478" s="37">
        <v>0</v>
      </c>
      <c r="BD478" s="37">
        <v>0</v>
      </c>
      <c r="BE478" s="37">
        <v>10000</v>
      </c>
      <c r="BF478" s="37">
        <v>27460.223091853652</v>
      </c>
      <c r="BG478" s="37">
        <v>29598.654821915261</v>
      </c>
      <c r="BH478" s="37">
        <v>36437.254098214056</v>
      </c>
      <c r="BI478" s="37">
        <v>43275.867988017068</v>
      </c>
      <c r="BJ478" s="37">
        <v>4700.1675462371686</v>
      </c>
      <c r="BK478" s="37">
        <v>22760.055545616458</v>
      </c>
      <c r="BL478" s="37">
        <v>29598.654821915261</v>
      </c>
      <c r="BM478" s="37">
        <v>36437.254098214056</v>
      </c>
      <c r="BN478" s="37">
        <v>43275.867988017068</v>
      </c>
      <c r="BO478" s="37">
        <v>0</v>
      </c>
      <c r="BP478" s="37">
        <v>273544.00000000006</v>
      </c>
      <c r="BQ478" s="37">
        <v>0</v>
      </c>
      <c r="BR478" s="37">
        <v>0</v>
      </c>
      <c r="BS478" s="37">
        <v>0</v>
      </c>
      <c r="BT478" s="37">
        <v>0</v>
      </c>
      <c r="BU478" s="37">
        <v>0</v>
      </c>
      <c r="BV478" s="37">
        <v>0</v>
      </c>
      <c r="BW478" s="37">
        <v>0</v>
      </c>
      <c r="BX478" s="37">
        <v>0</v>
      </c>
      <c r="BY478" s="37">
        <v>0</v>
      </c>
      <c r="BZ478" s="37">
        <v>0</v>
      </c>
      <c r="CA478" s="37">
        <v>0</v>
      </c>
      <c r="CB478" s="37">
        <v>0</v>
      </c>
      <c r="CC478" s="37">
        <v>0</v>
      </c>
      <c r="CD478" s="37">
        <v>0</v>
      </c>
      <c r="CE478" s="37">
        <v>0</v>
      </c>
      <c r="CF478" s="37">
        <v>0</v>
      </c>
      <c r="CG478" s="37">
        <v>0</v>
      </c>
      <c r="CH478" s="37">
        <v>0</v>
      </c>
      <c r="CI478" s="37">
        <v>0</v>
      </c>
      <c r="CJ478" s="37">
        <v>0</v>
      </c>
      <c r="CK478" s="37">
        <v>0</v>
      </c>
      <c r="CL478" s="37">
        <v>0</v>
      </c>
      <c r="CM478" s="37">
        <v>0</v>
      </c>
      <c r="CN478" s="37">
        <v>0</v>
      </c>
      <c r="CO478" s="37">
        <v>0</v>
      </c>
      <c r="CP478" s="37">
        <v>0</v>
      </c>
      <c r="CQ478" s="37">
        <v>0</v>
      </c>
      <c r="CR478" s="37">
        <v>0</v>
      </c>
      <c r="CS478" s="37">
        <v>0</v>
      </c>
      <c r="CT478" s="37">
        <v>0</v>
      </c>
      <c r="CU478" s="37">
        <v>0</v>
      </c>
      <c r="CV478" s="37">
        <v>0</v>
      </c>
      <c r="CW478" s="37">
        <v>0</v>
      </c>
      <c r="CX478" s="37">
        <v>0</v>
      </c>
      <c r="CY478" s="37">
        <v>0</v>
      </c>
      <c r="CZ478" s="37">
        <v>0</v>
      </c>
      <c r="DA478" s="37">
        <v>0</v>
      </c>
      <c r="DB478" s="37">
        <v>0</v>
      </c>
      <c r="DC478" s="37">
        <v>0</v>
      </c>
      <c r="DD478" s="37">
        <v>0</v>
      </c>
      <c r="DE478" s="37">
        <v>0</v>
      </c>
      <c r="DF478" s="37">
        <v>0</v>
      </c>
      <c r="DG478" s="37">
        <v>0</v>
      </c>
      <c r="DH478" s="37">
        <v>0</v>
      </c>
      <c r="DI478" s="37">
        <v>0</v>
      </c>
      <c r="DJ478" s="37">
        <v>0</v>
      </c>
      <c r="DK478" s="37">
        <v>0</v>
      </c>
      <c r="DL478" s="37">
        <v>0</v>
      </c>
      <c r="DM478" s="37">
        <v>0</v>
      </c>
      <c r="DN478" s="37">
        <v>0</v>
      </c>
      <c r="DO478" s="37">
        <v>0</v>
      </c>
      <c r="DP478" s="37">
        <v>0</v>
      </c>
      <c r="DQ478" s="37">
        <v>0</v>
      </c>
      <c r="DR478" s="37">
        <v>0</v>
      </c>
      <c r="DS478" s="37">
        <v>0</v>
      </c>
      <c r="DT478" s="37">
        <v>0</v>
      </c>
      <c r="DU478" s="37">
        <v>0</v>
      </c>
      <c r="DV478" s="37">
        <v>0</v>
      </c>
      <c r="DW478" s="37">
        <v>0</v>
      </c>
      <c r="DX478" s="37">
        <v>0</v>
      </c>
      <c r="DY478" s="37">
        <v>0</v>
      </c>
      <c r="DZ478" s="37">
        <v>0</v>
      </c>
      <c r="EA478" s="37">
        <v>0</v>
      </c>
      <c r="EB478" s="37">
        <v>0</v>
      </c>
      <c r="EC478" s="37">
        <v>0</v>
      </c>
      <c r="ED478" s="37">
        <v>0</v>
      </c>
      <c r="EE478" s="37">
        <v>0</v>
      </c>
      <c r="EF478" s="37">
        <v>0</v>
      </c>
      <c r="EG478" s="37">
        <v>0</v>
      </c>
      <c r="EH478" s="37">
        <v>0</v>
      </c>
      <c r="EI478" s="37">
        <v>0</v>
      </c>
      <c r="EJ478" s="37">
        <v>0</v>
      </c>
      <c r="EK478" s="161" t="s">
        <v>1124</v>
      </c>
      <c r="EL478" s="294" t="s">
        <v>1124</v>
      </c>
    </row>
    <row r="479" spans="1:142" ht="15" customHeight="1" x14ac:dyDescent="0.35">
      <c r="A479" s="34"/>
      <c r="B479" s="313">
        <v>80045</v>
      </c>
      <c r="C479" s="8" t="s">
        <v>809</v>
      </c>
      <c r="D479" s="18">
        <v>7</v>
      </c>
      <c r="E479" s="155"/>
      <c r="F479" s="36"/>
      <c r="G479" s="37"/>
      <c r="H479" s="37"/>
      <c r="I479" s="37"/>
      <c r="J479" s="37"/>
      <c r="K479" s="37"/>
      <c r="L479" s="37"/>
      <c r="M479" s="37" t="s">
        <v>1124</v>
      </c>
      <c r="N479" s="37" t="s">
        <v>1124</v>
      </c>
      <c r="O479" s="37"/>
      <c r="P479" s="37"/>
      <c r="Q479" s="37"/>
      <c r="R479" s="37"/>
      <c r="S479" s="37"/>
      <c r="T479" s="37"/>
      <c r="U479" s="37"/>
      <c r="V479" s="37"/>
      <c r="W479" s="37"/>
      <c r="X479" s="37"/>
      <c r="Y479" s="37"/>
      <c r="Z479" s="37"/>
      <c r="AA479" s="37" t="s">
        <v>1124</v>
      </c>
      <c r="AB479" s="37" t="s">
        <v>1124</v>
      </c>
      <c r="AC479" s="37"/>
      <c r="AD479" s="37"/>
      <c r="AE479" s="37"/>
      <c r="AF479" s="168"/>
      <c r="AG479" s="37"/>
      <c r="AH479" s="37"/>
      <c r="AI479" s="37"/>
      <c r="AJ479" s="37"/>
      <c r="AK479" s="37"/>
      <c r="AL479" s="37"/>
      <c r="AM479" s="37"/>
      <c r="AN479" s="37"/>
      <c r="AO479" s="37"/>
      <c r="AP479" s="37"/>
      <c r="AQ479" s="37"/>
      <c r="AR479" s="37" t="s">
        <v>1124</v>
      </c>
      <c r="AS479" s="37"/>
      <c r="AT479" s="37"/>
      <c r="AU479" s="37"/>
      <c r="AV479" s="37"/>
      <c r="AW479" s="37"/>
      <c r="AX479" s="37"/>
      <c r="AY479" s="37"/>
      <c r="AZ479" s="37"/>
      <c r="BA479" s="37"/>
      <c r="BB479" s="37"/>
      <c r="BC479" s="37"/>
      <c r="BD479" s="37" t="s">
        <v>1124</v>
      </c>
      <c r="BE479" s="37"/>
      <c r="BF479" s="37"/>
      <c r="BG479" s="37"/>
      <c r="BH479" s="37"/>
      <c r="BI479" s="37"/>
      <c r="BJ479" s="37"/>
      <c r="BK479" s="37"/>
      <c r="BL479" s="37"/>
      <c r="BM479" s="37"/>
      <c r="BN479" s="37"/>
      <c r="BO479" s="37"/>
      <c r="BP479" s="37">
        <v>0</v>
      </c>
      <c r="BQ479" s="37"/>
      <c r="BR479" s="37"/>
      <c r="BS479" s="37"/>
      <c r="BT479" s="37"/>
      <c r="BU479" s="37"/>
      <c r="BV479" s="37"/>
      <c r="BW479" s="37"/>
      <c r="BX479" s="37"/>
      <c r="BY479" s="37"/>
      <c r="BZ479" s="37"/>
      <c r="CA479" s="37"/>
      <c r="CB479" s="37" t="s">
        <v>1124</v>
      </c>
      <c r="CC479" s="37"/>
      <c r="CD479" s="37"/>
      <c r="CE479" s="37"/>
      <c r="CF479" s="37"/>
      <c r="CG479" s="37"/>
      <c r="CH479" s="37"/>
      <c r="CI479" s="37"/>
      <c r="CJ479" s="37"/>
      <c r="CK479" s="37"/>
      <c r="CL479" s="37"/>
      <c r="CM479" s="37"/>
      <c r="CN479" s="37" t="s">
        <v>1124</v>
      </c>
      <c r="CO479" s="37"/>
      <c r="CP479" s="37"/>
      <c r="CQ479" s="37"/>
      <c r="CR479" s="37"/>
      <c r="CS479" s="37"/>
      <c r="CT479" s="37"/>
      <c r="CU479" s="37"/>
      <c r="CV479" s="37"/>
      <c r="CW479" s="37"/>
      <c r="CX479" s="37"/>
      <c r="CY479" s="37"/>
      <c r="CZ479" s="37" t="s">
        <v>1124</v>
      </c>
      <c r="DA479" s="37"/>
      <c r="DB479" s="37"/>
      <c r="DC479" s="37"/>
      <c r="DD479" s="37"/>
      <c r="DE479" s="37"/>
      <c r="DF479" s="37"/>
      <c r="DG479" s="37"/>
      <c r="DH479" s="37"/>
      <c r="DI479" s="37"/>
      <c r="DJ479" s="37"/>
      <c r="DK479" s="37"/>
      <c r="DL479" s="37" t="s">
        <v>1124</v>
      </c>
      <c r="DM479" s="37"/>
      <c r="DN479" s="37"/>
      <c r="DO479" s="37"/>
      <c r="DP479" s="37"/>
      <c r="DQ479" s="37"/>
      <c r="DR479" s="37"/>
      <c r="DS479" s="37"/>
      <c r="DT479" s="37"/>
      <c r="DU479" s="37"/>
      <c r="DV479" s="37"/>
      <c r="DW479" s="37"/>
      <c r="DX479" s="37" t="s">
        <v>1124</v>
      </c>
      <c r="DY479" s="37"/>
      <c r="DZ479" s="37"/>
      <c r="EA479" s="37"/>
      <c r="EB479" s="37"/>
      <c r="EC479" s="37"/>
      <c r="ED479" s="37"/>
      <c r="EE479" s="37"/>
      <c r="EF479" s="37"/>
      <c r="EG479" s="37"/>
      <c r="EH479" s="37"/>
      <c r="EI479" s="37"/>
      <c r="EJ479" s="37" t="s">
        <v>1124</v>
      </c>
      <c r="EK479" s="161"/>
      <c r="EL479" s="294"/>
    </row>
    <row r="480" spans="1:142" ht="15" customHeight="1" x14ac:dyDescent="0.35">
      <c r="A480" s="34"/>
      <c r="B480" s="313">
        <v>32045</v>
      </c>
      <c r="C480" s="8" t="s">
        <v>260</v>
      </c>
      <c r="D480" s="18">
        <v>17</v>
      </c>
      <c r="E480" s="155"/>
      <c r="F480" s="36"/>
      <c r="G480" s="37"/>
      <c r="H480" s="37"/>
      <c r="I480" s="37"/>
      <c r="J480" s="37"/>
      <c r="K480" s="37"/>
      <c r="L480" s="37"/>
      <c r="M480" s="37" t="s">
        <v>1124</v>
      </c>
      <c r="N480" s="37" t="s">
        <v>1124</v>
      </c>
      <c r="O480" s="37"/>
      <c r="P480" s="37"/>
      <c r="Q480" s="37"/>
      <c r="R480" s="37"/>
      <c r="S480" s="37"/>
      <c r="T480" s="37"/>
      <c r="U480" s="37"/>
      <c r="V480" s="37"/>
      <c r="W480" s="37"/>
      <c r="X480" s="37"/>
      <c r="Y480" s="37"/>
      <c r="Z480" s="37"/>
      <c r="AA480" s="37" t="s">
        <v>1124</v>
      </c>
      <c r="AB480" s="37" t="s">
        <v>1124</v>
      </c>
      <c r="AC480" s="37"/>
      <c r="AD480" s="37"/>
      <c r="AE480" s="37"/>
      <c r="AF480" s="168"/>
      <c r="AG480" s="37"/>
      <c r="AH480" s="37"/>
      <c r="AI480" s="37"/>
      <c r="AJ480" s="37"/>
      <c r="AK480" s="37"/>
      <c r="AL480" s="37"/>
      <c r="AM480" s="37"/>
      <c r="AN480" s="37"/>
      <c r="AO480" s="37"/>
      <c r="AP480" s="37"/>
      <c r="AQ480" s="37"/>
      <c r="AR480" s="37" t="s">
        <v>1124</v>
      </c>
      <c r="AS480" s="37"/>
      <c r="AT480" s="37"/>
      <c r="AU480" s="37"/>
      <c r="AV480" s="37"/>
      <c r="AW480" s="37"/>
      <c r="AX480" s="37"/>
      <c r="AY480" s="37"/>
      <c r="AZ480" s="37"/>
      <c r="BA480" s="37"/>
      <c r="BB480" s="37"/>
      <c r="BC480" s="37"/>
      <c r="BD480" s="37" t="s">
        <v>1124</v>
      </c>
      <c r="BE480" s="37"/>
      <c r="BF480" s="37"/>
      <c r="BG480" s="37"/>
      <c r="BH480" s="37"/>
      <c r="BI480" s="37"/>
      <c r="BJ480" s="37"/>
      <c r="BK480" s="37"/>
      <c r="BL480" s="37"/>
      <c r="BM480" s="37"/>
      <c r="BN480" s="37"/>
      <c r="BO480" s="37"/>
      <c r="BP480" s="37">
        <v>0</v>
      </c>
      <c r="BQ480" s="37"/>
      <c r="BR480" s="37"/>
      <c r="BS480" s="37"/>
      <c r="BT480" s="37"/>
      <c r="BU480" s="37"/>
      <c r="BV480" s="37"/>
      <c r="BW480" s="37"/>
      <c r="BX480" s="37"/>
      <c r="BY480" s="37"/>
      <c r="BZ480" s="37"/>
      <c r="CA480" s="37"/>
      <c r="CB480" s="37" t="s">
        <v>1124</v>
      </c>
      <c r="CC480" s="37"/>
      <c r="CD480" s="37"/>
      <c r="CE480" s="37"/>
      <c r="CF480" s="37"/>
      <c r="CG480" s="37"/>
      <c r="CH480" s="37"/>
      <c r="CI480" s="37"/>
      <c r="CJ480" s="37"/>
      <c r="CK480" s="37"/>
      <c r="CL480" s="37"/>
      <c r="CM480" s="37"/>
      <c r="CN480" s="37" t="s">
        <v>1124</v>
      </c>
      <c r="CO480" s="37"/>
      <c r="CP480" s="37"/>
      <c r="CQ480" s="37"/>
      <c r="CR480" s="37"/>
      <c r="CS480" s="37"/>
      <c r="CT480" s="37"/>
      <c r="CU480" s="37"/>
      <c r="CV480" s="37"/>
      <c r="CW480" s="37"/>
      <c r="CX480" s="37"/>
      <c r="CY480" s="37"/>
      <c r="CZ480" s="37" t="s">
        <v>1124</v>
      </c>
      <c r="DA480" s="37"/>
      <c r="DB480" s="37"/>
      <c r="DC480" s="37"/>
      <c r="DD480" s="37"/>
      <c r="DE480" s="37"/>
      <c r="DF480" s="37"/>
      <c r="DG480" s="37"/>
      <c r="DH480" s="37"/>
      <c r="DI480" s="37"/>
      <c r="DJ480" s="37"/>
      <c r="DK480" s="37"/>
      <c r="DL480" s="37" t="s">
        <v>1124</v>
      </c>
      <c r="DM480" s="37"/>
      <c r="DN480" s="37"/>
      <c r="DO480" s="37"/>
      <c r="DP480" s="37"/>
      <c r="DQ480" s="37"/>
      <c r="DR480" s="37"/>
      <c r="DS480" s="37"/>
      <c r="DT480" s="37"/>
      <c r="DU480" s="37"/>
      <c r="DV480" s="37"/>
      <c r="DW480" s="37"/>
      <c r="DX480" s="37" t="s">
        <v>1124</v>
      </c>
      <c r="DY480" s="37"/>
      <c r="DZ480" s="37"/>
      <c r="EA480" s="37"/>
      <c r="EB480" s="37"/>
      <c r="EC480" s="37"/>
      <c r="ED480" s="37"/>
      <c r="EE480" s="37"/>
      <c r="EF480" s="37"/>
      <c r="EG480" s="37"/>
      <c r="EH480" s="37"/>
      <c r="EI480" s="37"/>
      <c r="EJ480" s="37" t="s">
        <v>1124</v>
      </c>
      <c r="EK480" s="161"/>
      <c r="EL480" s="294"/>
    </row>
    <row r="481" spans="1:142" ht="15" customHeight="1" x14ac:dyDescent="0.35">
      <c r="A481" s="34"/>
      <c r="B481" s="313">
        <v>32040</v>
      </c>
      <c r="C481" s="8" t="s">
        <v>259</v>
      </c>
      <c r="D481" s="18">
        <v>17</v>
      </c>
      <c r="E481" s="155">
        <v>1073321</v>
      </c>
      <c r="F481" s="36">
        <v>695992</v>
      </c>
      <c r="G481" s="37">
        <v>52984</v>
      </c>
      <c r="H481" s="37">
        <v>92564</v>
      </c>
      <c r="I481" s="37">
        <v>55417</v>
      </c>
      <c r="J481" s="37">
        <v>0</v>
      </c>
      <c r="K481" s="37">
        <v>160998.15</v>
      </c>
      <c r="L481" s="37">
        <v>104398.8</v>
      </c>
      <c r="M481" s="37">
        <v>1342720.15</v>
      </c>
      <c r="N481" s="37">
        <v>892954.8</v>
      </c>
      <c r="O481" s="37">
        <v>275915</v>
      </c>
      <c r="P481" s="37">
        <v>0</v>
      </c>
      <c r="Q481" s="37">
        <v>642160</v>
      </c>
      <c r="R481" s="37">
        <v>525403</v>
      </c>
      <c r="S481" s="37">
        <v>360676</v>
      </c>
      <c r="T481" s="37">
        <v>370621</v>
      </c>
      <c r="U481" s="37">
        <v>14086</v>
      </c>
      <c r="V481" s="37">
        <v>35730</v>
      </c>
      <c r="W481" s="37">
        <v>11084</v>
      </c>
      <c r="X481" s="37">
        <v>0</v>
      </c>
      <c r="Y481" s="37">
        <v>0</v>
      </c>
      <c r="Z481" s="37">
        <v>0</v>
      </c>
      <c r="AA481" s="37">
        <v>1303921</v>
      </c>
      <c r="AB481" s="37">
        <v>931754</v>
      </c>
      <c r="AC481" s="37">
        <v>0</v>
      </c>
      <c r="AD481" s="37">
        <v>0</v>
      </c>
      <c r="AE481" s="37">
        <v>0</v>
      </c>
      <c r="AF481" s="168">
        <v>0.02</v>
      </c>
      <c r="AG481" s="37">
        <v>179403677.97999999</v>
      </c>
      <c r="AH481" s="37">
        <v>1730817.05</v>
      </c>
      <c r="AI481" s="37">
        <v>2038694.45</v>
      </c>
      <c r="AJ481" s="37">
        <v>2111941.2999999998</v>
      </c>
      <c r="AK481" s="37">
        <v>1884232.37</v>
      </c>
      <c r="AL481" s="37">
        <v>1913470.8</v>
      </c>
      <c r="AM481" s="37">
        <v>1934509.93</v>
      </c>
      <c r="AN481" s="37">
        <v>1911688.01</v>
      </c>
      <c r="AO481" s="37">
        <v>1949921.77</v>
      </c>
      <c r="AP481" s="37">
        <v>1988920.21</v>
      </c>
      <c r="AQ481" s="37">
        <v>2028698.61</v>
      </c>
      <c r="AR481" s="37">
        <v>19492894.5</v>
      </c>
      <c r="AS481" s="37">
        <v>8893048.9299999997</v>
      </c>
      <c r="AT481" s="37">
        <v>9242083.7100000009</v>
      </c>
      <c r="AU481" s="37">
        <v>5932291.0899999999</v>
      </c>
      <c r="AV481" s="37">
        <v>2982536.76</v>
      </c>
      <c r="AW481" s="37">
        <v>2208161.61</v>
      </c>
      <c r="AX481" s="37">
        <v>2280478.9</v>
      </c>
      <c r="AY481" s="37">
        <v>2326088.48</v>
      </c>
      <c r="AZ481" s="37">
        <v>2343318.7599999998</v>
      </c>
      <c r="BA481" s="37">
        <v>2390185.14</v>
      </c>
      <c r="BB481" s="37">
        <v>2437988.84</v>
      </c>
      <c r="BC481" s="37">
        <v>0</v>
      </c>
      <c r="BD481" s="37">
        <v>32143133.290000003</v>
      </c>
      <c r="BE481" s="37">
        <v>655769</v>
      </c>
      <c r="BF481" s="37">
        <v>4030228</v>
      </c>
      <c r="BG481" s="37">
        <v>506969.04573992122</v>
      </c>
      <c r="BH481" s="37">
        <v>624101.33334428666</v>
      </c>
      <c r="BI481" s="37">
        <v>741233.87125037448</v>
      </c>
      <c r="BJ481" s="37">
        <v>80504.991529862236</v>
      </c>
      <c r="BK481" s="37">
        <v>389836.7581355556</v>
      </c>
      <c r="BL481" s="37">
        <v>506969.04573992122</v>
      </c>
      <c r="BM481" s="37">
        <v>624101.33334428666</v>
      </c>
      <c r="BN481" s="37">
        <v>741233.87125037448</v>
      </c>
      <c r="BO481" s="37">
        <v>0</v>
      </c>
      <c r="BP481" s="37">
        <v>8245178.2503345832</v>
      </c>
      <c r="BQ481" s="37">
        <v>193364</v>
      </c>
      <c r="BR481" s="37">
        <v>1221278</v>
      </c>
      <c r="BS481" s="37">
        <v>357128.50671091792</v>
      </c>
      <c r="BT481" s="37">
        <v>439640.99797895586</v>
      </c>
      <c r="BU481" s="37">
        <v>522153.66556916002</v>
      </c>
      <c r="BV481" s="37">
        <v>56710.814298086501</v>
      </c>
      <c r="BW481" s="37">
        <v>274616.01544287981</v>
      </c>
      <c r="BX481" s="37">
        <v>357128.50671091792</v>
      </c>
      <c r="BY481" s="37">
        <v>439640.99797895586</v>
      </c>
      <c r="BZ481" s="37">
        <v>522153.66556916002</v>
      </c>
      <c r="CA481" s="37">
        <v>0</v>
      </c>
      <c r="CB481" s="37">
        <v>4190451.1702590343</v>
      </c>
      <c r="CC481" s="37">
        <v>0</v>
      </c>
      <c r="CD481" s="37">
        <v>0</v>
      </c>
      <c r="CE481" s="37">
        <v>0</v>
      </c>
      <c r="CF481" s="37">
        <v>0</v>
      </c>
      <c r="CG481" s="37">
        <v>0</v>
      </c>
      <c r="CH481" s="37">
        <v>0</v>
      </c>
      <c r="CI481" s="37">
        <v>0</v>
      </c>
      <c r="CJ481" s="37">
        <v>0</v>
      </c>
      <c r="CK481" s="37">
        <v>0</v>
      </c>
      <c r="CL481" s="37">
        <v>0</v>
      </c>
      <c r="CM481" s="37">
        <v>0</v>
      </c>
      <c r="CN481" s="37">
        <v>0</v>
      </c>
      <c r="CO481" s="37">
        <v>0</v>
      </c>
      <c r="CP481" s="37">
        <v>0</v>
      </c>
      <c r="CQ481" s="37">
        <v>0</v>
      </c>
      <c r="CR481" s="37">
        <v>0</v>
      </c>
      <c r="CS481" s="37">
        <v>0</v>
      </c>
      <c r="CT481" s="37">
        <v>0</v>
      </c>
      <c r="CU481" s="37">
        <v>0</v>
      </c>
      <c r="CV481" s="37">
        <v>0</v>
      </c>
      <c r="CW481" s="37">
        <v>0</v>
      </c>
      <c r="CX481" s="37">
        <v>0</v>
      </c>
      <c r="CY481" s="37">
        <v>0</v>
      </c>
      <c r="CZ481" s="37">
        <v>0</v>
      </c>
      <c r="DA481" s="37">
        <v>0</v>
      </c>
      <c r="DB481" s="37">
        <v>0</v>
      </c>
      <c r="DC481" s="37">
        <v>0</v>
      </c>
      <c r="DD481" s="37">
        <v>0</v>
      </c>
      <c r="DE481" s="37">
        <v>0</v>
      </c>
      <c r="DF481" s="37">
        <v>0</v>
      </c>
      <c r="DG481" s="37">
        <v>0</v>
      </c>
      <c r="DH481" s="37">
        <v>0</v>
      </c>
      <c r="DI481" s="37">
        <v>0</v>
      </c>
      <c r="DJ481" s="37">
        <v>0</v>
      </c>
      <c r="DK481" s="37">
        <v>0</v>
      </c>
      <c r="DL481" s="37">
        <v>0</v>
      </c>
      <c r="DM481" s="37">
        <v>0</v>
      </c>
      <c r="DN481" s="37">
        <v>0</v>
      </c>
      <c r="DO481" s="37">
        <v>0</v>
      </c>
      <c r="DP481" s="37">
        <v>0</v>
      </c>
      <c r="DQ481" s="37">
        <v>0</v>
      </c>
      <c r="DR481" s="37">
        <v>0</v>
      </c>
      <c r="DS481" s="37">
        <v>0</v>
      </c>
      <c r="DT481" s="37">
        <v>0</v>
      </c>
      <c r="DU481" s="37">
        <v>0</v>
      </c>
      <c r="DV481" s="37">
        <v>0</v>
      </c>
      <c r="DW481" s="37">
        <v>0</v>
      </c>
      <c r="DX481" s="37">
        <v>0</v>
      </c>
      <c r="DY481" s="37">
        <v>0</v>
      </c>
      <c r="DZ481" s="37">
        <v>0</v>
      </c>
      <c r="EA481" s="37">
        <v>0</v>
      </c>
      <c r="EB481" s="37">
        <v>0</v>
      </c>
      <c r="EC481" s="37">
        <v>0</v>
      </c>
      <c r="ED481" s="37">
        <v>0</v>
      </c>
      <c r="EE481" s="37">
        <v>0</v>
      </c>
      <c r="EF481" s="37">
        <v>0</v>
      </c>
      <c r="EG481" s="37">
        <v>0</v>
      </c>
      <c r="EH481" s="37">
        <v>0</v>
      </c>
      <c r="EI481" s="37">
        <v>0</v>
      </c>
      <c r="EJ481" s="37">
        <v>0</v>
      </c>
      <c r="EK481" s="161" t="s">
        <v>2398</v>
      </c>
      <c r="EL481" s="294" t="s">
        <v>1124</v>
      </c>
    </row>
    <row r="482" spans="1:142" ht="15" customHeight="1" x14ac:dyDescent="0.35">
      <c r="A482" s="34"/>
      <c r="B482" s="313">
        <v>13095</v>
      </c>
      <c r="C482" s="8" t="s">
        <v>58</v>
      </c>
      <c r="D482" s="18">
        <v>1</v>
      </c>
      <c r="E482" s="155">
        <v>296427</v>
      </c>
      <c r="F482" s="36">
        <v>262022</v>
      </c>
      <c r="G482" s="37">
        <v>15776</v>
      </c>
      <c r="H482" s="37">
        <v>12612</v>
      </c>
      <c r="I482" s="37">
        <v>91194</v>
      </c>
      <c r="J482" s="37">
        <v>12000</v>
      </c>
      <c r="K482" s="37">
        <v>44464</v>
      </c>
      <c r="L482" s="37">
        <v>39303</v>
      </c>
      <c r="M482" s="37">
        <v>447861</v>
      </c>
      <c r="N482" s="37">
        <v>325937</v>
      </c>
      <c r="O482" s="37">
        <v>0</v>
      </c>
      <c r="P482" s="37">
        <v>0</v>
      </c>
      <c r="Q482" s="37">
        <v>280146</v>
      </c>
      <c r="R482" s="37">
        <v>281207</v>
      </c>
      <c r="S482" s="37">
        <v>4661</v>
      </c>
      <c r="T482" s="37">
        <v>3948</v>
      </c>
      <c r="U482" s="37">
        <v>8797</v>
      </c>
      <c r="V482" s="37">
        <v>62988</v>
      </c>
      <c r="W482" s="37">
        <v>66025.5</v>
      </c>
      <c r="X482" s="37">
        <v>66025.5</v>
      </c>
      <c r="Y482" s="37">
        <v>0</v>
      </c>
      <c r="Z482" s="37">
        <v>0</v>
      </c>
      <c r="AA482" s="37">
        <v>359629.5</v>
      </c>
      <c r="AB482" s="37">
        <v>414168.5</v>
      </c>
      <c r="AC482" s="37">
        <v>0</v>
      </c>
      <c r="AD482" s="37">
        <v>0</v>
      </c>
      <c r="AE482" s="37">
        <v>112887</v>
      </c>
      <c r="AF482" s="168">
        <v>0.02</v>
      </c>
      <c r="AG482" s="37">
        <v>58399465.060000002</v>
      </c>
      <c r="AH482" s="37">
        <v>536449.13</v>
      </c>
      <c r="AI482" s="37">
        <v>547178.12</v>
      </c>
      <c r="AJ482" s="37">
        <v>591316.26</v>
      </c>
      <c r="AK482" s="37">
        <v>603142.59</v>
      </c>
      <c r="AL482" s="37">
        <v>615205.43999999994</v>
      </c>
      <c r="AM482" s="37">
        <v>625786.52</v>
      </c>
      <c r="AN482" s="37">
        <v>638302.25</v>
      </c>
      <c r="AO482" s="37">
        <v>651068.30000000005</v>
      </c>
      <c r="AP482" s="37">
        <v>664089.66</v>
      </c>
      <c r="AQ482" s="37">
        <v>677371.46</v>
      </c>
      <c r="AR482" s="37">
        <v>6149909.7299999995</v>
      </c>
      <c r="AS482" s="37">
        <v>6822058.8600000003</v>
      </c>
      <c r="AT482" s="37">
        <v>0</v>
      </c>
      <c r="AU482" s="37">
        <v>0</v>
      </c>
      <c r="AV482" s="37">
        <v>0</v>
      </c>
      <c r="AW482" s="37">
        <v>0</v>
      </c>
      <c r="AX482" s="37">
        <v>0</v>
      </c>
      <c r="AY482" s="37">
        <v>0</v>
      </c>
      <c r="AZ482" s="37">
        <v>0</v>
      </c>
      <c r="BA482" s="37">
        <v>0</v>
      </c>
      <c r="BB482" s="37">
        <v>0</v>
      </c>
      <c r="BC482" s="37">
        <v>0</v>
      </c>
      <c r="BD482" s="37">
        <v>0</v>
      </c>
      <c r="BE482" s="37">
        <v>165037</v>
      </c>
      <c r="BF482" s="37">
        <v>1370000</v>
      </c>
      <c r="BG482" s="37">
        <v>2633000</v>
      </c>
      <c r="BH482" s="37">
        <v>877000</v>
      </c>
      <c r="BI482" s="37">
        <v>0</v>
      </c>
      <c r="BJ482" s="37">
        <v>0</v>
      </c>
      <c r="BK482" s="37">
        <v>0</v>
      </c>
      <c r="BL482" s="37">
        <v>0</v>
      </c>
      <c r="BM482" s="37">
        <v>0</v>
      </c>
      <c r="BN482" s="37">
        <v>0</v>
      </c>
      <c r="BO482" s="37">
        <v>0</v>
      </c>
      <c r="BP482" s="37">
        <v>4880000</v>
      </c>
      <c r="BQ482" s="37">
        <v>0</v>
      </c>
      <c r="BR482" s="37">
        <v>280000</v>
      </c>
      <c r="BS482" s="37">
        <v>600000</v>
      </c>
      <c r="BT482" s="37">
        <v>200000</v>
      </c>
      <c r="BU482" s="37">
        <v>0</v>
      </c>
      <c r="BV482" s="37">
        <v>0</v>
      </c>
      <c r="BW482" s="37">
        <v>0</v>
      </c>
      <c r="BX482" s="37">
        <v>0</v>
      </c>
      <c r="BY482" s="37">
        <v>0</v>
      </c>
      <c r="BZ482" s="37">
        <v>0</v>
      </c>
      <c r="CA482" s="37">
        <v>0</v>
      </c>
      <c r="CB482" s="37">
        <v>1080000</v>
      </c>
      <c r="CC482" s="37">
        <v>0</v>
      </c>
      <c r="CD482" s="37">
        <v>6000</v>
      </c>
      <c r="CE482" s="37">
        <v>0</v>
      </c>
      <c r="CF482" s="37">
        <v>0</v>
      </c>
      <c r="CG482" s="37">
        <v>0</v>
      </c>
      <c r="CH482" s="37">
        <v>0</v>
      </c>
      <c r="CI482" s="37">
        <v>0</v>
      </c>
      <c r="CJ482" s="37">
        <v>0</v>
      </c>
      <c r="CK482" s="37">
        <v>0</v>
      </c>
      <c r="CL482" s="37">
        <v>0</v>
      </c>
      <c r="CM482" s="37">
        <v>0</v>
      </c>
      <c r="CN482" s="37">
        <v>6000</v>
      </c>
      <c r="CO482" s="37">
        <v>0</v>
      </c>
      <c r="CP482" s="37">
        <v>0</v>
      </c>
      <c r="CQ482" s="37">
        <v>0</v>
      </c>
      <c r="CR482" s="37">
        <v>0</v>
      </c>
      <c r="CS482" s="37">
        <v>0</v>
      </c>
      <c r="CT482" s="37">
        <v>0</v>
      </c>
      <c r="CU482" s="37">
        <v>0</v>
      </c>
      <c r="CV482" s="37">
        <v>0</v>
      </c>
      <c r="CW482" s="37">
        <v>0</v>
      </c>
      <c r="CX482" s="37">
        <v>0</v>
      </c>
      <c r="CY482" s="37">
        <v>0</v>
      </c>
      <c r="CZ482" s="37">
        <v>0</v>
      </c>
      <c r="DA482" s="37">
        <v>0</v>
      </c>
      <c r="DB482" s="37">
        <v>0</v>
      </c>
      <c r="DC482" s="37">
        <v>0</v>
      </c>
      <c r="DD482" s="37">
        <v>0</v>
      </c>
      <c r="DE482" s="37">
        <v>0</v>
      </c>
      <c r="DF482" s="37">
        <v>0</v>
      </c>
      <c r="DG482" s="37">
        <v>0</v>
      </c>
      <c r="DH482" s="37">
        <v>0</v>
      </c>
      <c r="DI482" s="37">
        <v>0</v>
      </c>
      <c r="DJ482" s="37">
        <v>0</v>
      </c>
      <c r="DK482" s="37">
        <v>0</v>
      </c>
      <c r="DL482" s="37">
        <v>0</v>
      </c>
      <c r="DM482" s="37">
        <v>0</v>
      </c>
      <c r="DN482" s="37">
        <v>0</v>
      </c>
      <c r="DO482" s="37">
        <v>0</v>
      </c>
      <c r="DP482" s="37">
        <v>0</v>
      </c>
      <c r="DQ482" s="37">
        <v>0</v>
      </c>
      <c r="DR482" s="37">
        <v>0</v>
      </c>
      <c r="DS482" s="37">
        <v>0</v>
      </c>
      <c r="DT482" s="37">
        <v>0</v>
      </c>
      <c r="DU482" s="37">
        <v>0</v>
      </c>
      <c r="DV482" s="37">
        <v>0</v>
      </c>
      <c r="DW482" s="37">
        <v>0</v>
      </c>
      <c r="DX482" s="37">
        <v>0</v>
      </c>
      <c r="DY482" s="37">
        <v>0</v>
      </c>
      <c r="DZ482" s="37">
        <v>0</v>
      </c>
      <c r="EA482" s="37">
        <v>0</v>
      </c>
      <c r="EB482" s="37">
        <v>0</v>
      </c>
      <c r="EC482" s="37">
        <v>0</v>
      </c>
      <c r="ED482" s="37">
        <v>0</v>
      </c>
      <c r="EE482" s="37">
        <v>0</v>
      </c>
      <c r="EF482" s="37">
        <v>0</v>
      </c>
      <c r="EG482" s="37">
        <v>0</v>
      </c>
      <c r="EH482" s="37">
        <v>0</v>
      </c>
      <c r="EI482" s="37">
        <v>0</v>
      </c>
      <c r="EJ482" s="37">
        <v>0</v>
      </c>
      <c r="EK482" s="161" t="s">
        <v>2404</v>
      </c>
      <c r="EL482" s="294" t="s">
        <v>1124</v>
      </c>
    </row>
    <row r="483" spans="1:142" ht="15" customHeight="1" x14ac:dyDescent="0.35">
      <c r="A483" s="34"/>
      <c r="B483" s="313">
        <v>6030</v>
      </c>
      <c r="C483" s="8" t="s">
        <v>1061</v>
      </c>
      <c r="D483" s="18">
        <v>11</v>
      </c>
      <c r="E483" s="155"/>
      <c r="F483" s="36"/>
      <c r="G483" s="37"/>
      <c r="H483" s="37"/>
      <c r="I483" s="37"/>
      <c r="J483" s="37"/>
      <c r="K483" s="37"/>
      <c r="L483" s="37"/>
      <c r="M483" s="37" t="s">
        <v>1124</v>
      </c>
      <c r="N483" s="37" t="s">
        <v>1124</v>
      </c>
      <c r="O483" s="37"/>
      <c r="P483" s="37"/>
      <c r="Q483" s="37"/>
      <c r="R483" s="37"/>
      <c r="S483" s="37"/>
      <c r="T483" s="37"/>
      <c r="U483" s="37"/>
      <c r="V483" s="37"/>
      <c r="W483" s="37"/>
      <c r="X483" s="37"/>
      <c r="Y483" s="37"/>
      <c r="Z483" s="37"/>
      <c r="AA483" s="37" t="s">
        <v>1124</v>
      </c>
      <c r="AB483" s="37" t="s">
        <v>1124</v>
      </c>
      <c r="AC483" s="37"/>
      <c r="AD483" s="37"/>
      <c r="AE483" s="37"/>
      <c r="AF483" s="168"/>
      <c r="AG483" s="37"/>
      <c r="AH483" s="37"/>
      <c r="AI483" s="37"/>
      <c r="AJ483" s="37"/>
      <c r="AK483" s="37"/>
      <c r="AL483" s="37"/>
      <c r="AM483" s="37"/>
      <c r="AN483" s="37"/>
      <c r="AO483" s="37"/>
      <c r="AP483" s="37"/>
      <c r="AQ483" s="37"/>
      <c r="AR483" s="37" t="s">
        <v>1124</v>
      </c>
      <c r="AS483" s="37"/>
      <c r="AT483" s="37"/>
      <c r="AU483" s="37"/>
      <c r="AV483" s="37"/>
      <c r="AW483" s="37"/>
      <c r="AX483" s="37"/>
      <c r="AY483" s="37"/>
      <c r="AZ483" s="37"/>
      <c r="BA483" s="37"/>
      <c r="BB483" s="37"/>
      <c r="BC483" s="37"/>
      <c r="BD483" s="37" t="s">
        <v>1124</v>
      </c>
      <c r="BE483" s="37"/>
      <c r="BF483" s="37"/>
      <c r="BG483" s="37"/>
      <c r="BH483" s="37"/>
      <c r="BI483" s="37"/>
      <c r="BJ483" s="37"/>
      <c r="BK483" s="37"/>
      <c r="BL483" s="37"/>
      <c r="BM483" s="37"/>
      <c r="BN483" s="37"/>
      <c r="BO483" s="37"/>
      <c r="BP483" s="37">
        <v>0</v>
      </c>
      <c r="BQ483" s="37"/>
      <c r="BR483" s="37"/>
      <c r="BS483" s="37"/>
      <c r="BT483" s="37"/>
      <c r="BU483" s="37"/>
      <c r="BV483" s="37"/>
      <c r="BW483" s="37"/>
      <c r="BX483" s="37"/>
      <c r="BY483" s="37"/>
      <c r="BZ483" s="37"/>
      <c r="CA483" s="37"/>
      <c r="CB483" s="37" t="s">
        <v>1124</v>
      </c>
      <c r="CC483" s="37"/>
      <c r="CD483" s="37"/>
      <c r="CE483" s="37"/>
      <c r="CF483" s="37"/>
      <c r="CG483" s="37"/>
      <c r="CH483" s="37"/>
      <c r="CI483" s="37"/>
      <c r="CJ483" s="37"/>
      <c r="CK483" s="37"/>
      <c r="CL483" s="37"/>
      <c r="CM483" s="37"/>
      <c r="CN483" s="37" t="s">
        <v>1124</v>
      </c>
      <c r="CO483" s="37"/>
      <c r="CP483" s="37"/>
      <c r="CQ483" s="37"/>
      <c r="CR483" s="37"/>
      <c r="CS483" s="37"/>
      <c r="CT483" s="37"/>
      <c r="CU483" s="37"/>
      <c r="CV483" s="37"/>
      <c r="CW483" s="37"/>
      <c r="CX483" s="37"/>
      <c r="CY483" s="37"/>
      <c r="CZ483" s="37" t="s">
        <v>1124</v>
      </c>
      <c r="DA483" s="37"/>
      <c r="DB483" s="37"/>
      <c r="DC483" s="37"/>
      <c r="DD483" s="37"/>
      <c r="DE483" s="37"/>
      <c r="DF483" s="37"/>
      <c r="DG483" s="37"/>
      <c r="DH483" s="37"/>
      <c r="DI483" s="37"/>
      <c r="DJ483" s="37"/>
      <c r="DK483" s="37"/>
      <c r="DL483" s="37" t="s">
        <v>1124</v>
      </c>
      <c r="DM483" s="37"/>
      <c r="DN483" s="37"/>
      <c r="DO483" s="37"/>
      <c r="DP483" s="37"/>
      <c r="DQ483" s="37"/>
      <c r="DR483" s="37"/>
      <c r="DS483" s="37"/>
      <c r="DT483" s="37"/>
      <c r="DU483" s="37"/>
      <c r="DV483" s="37"/>
      <c r="DW483" s="37"/>
      <c r="DX483" s="37" t="s">
        <v>1124</v>
      </c>
      <c r="DY483" s="37"/>
      <c r="DZ483" s="37"/>
      <c r="EA483" s="37"/>
      <c r="EB483" s="37"/>
      <c r="EC483" s="37"/>
      <c r="ED483" s="37"/>
      <c r="EE483" s="37"/>
      <c r="EF483" s="37"/>
      <c r="EG483" s="37"/>
      <c r="EH483" s="37"/>
      <c r="EI483" s="37"/>
      <c r="EJ483" s="37" t="s">
        <v>1124</v>
      </c>
      <c r="EK483" s="161"/>
      <c r="EL483" s="294"/>
    </row>
    <row r="484" spans="1:142" ht="15" customHeight="1" x14ac:dyDescent="0.35">
      <c r="A484" s="34"/>
      <c r="B484" s="314">
        <v>96030</v>
      </c>
      <c r="C484" s="8" t="s">
        <v>999</v>
      </c>
      <c r="D484" s="18">
        <v>9</v>
      </c>
      <c r="E484" s="155">
        <v>118242</v>
      </c>
      <c r="F484" s="36">
        <v>86495</v>
      </c>
      <c r="G484" s="37">
        <v>0</v>
      </c>
      <c r="H484" s="37">
        <v>0</v>
      </c>
      <c r="I484" s="37">
        <v>0</v>
      </c>
      <c r="J484" s="37">
        <v>0</v>
      </c>
      <c r="K484" s="37">
        <v>5912.1</v>
      </c>
      <c r="L484" s="37">
        <v>4324.75</v>
      </c>
      <c r="M484" s="37">
        <v>124154.1</v>
      </c>
      <c r="N484" s="37">
        <v>90819.75</v>
      </c>
      <c r="O484" s="37">
        <v>2185</v>
      </c>
      <c r="P484" s="37">
        <v>0</v>
      </c>
      <c r="Q484" s="37">
        <v>140788</v>
      </c>
      <c r="R484" s="37">
        <v>90645</v>
      </c>
      <c r="S484" s="37">
        <v>0</v>
      </c>
      <c r="T484" s="37">
        <v>0</v>
      </c>
      <c r="U484" s="37">
        <v>0</v>
      </c>
      <c r="V484" s="37">
        <v>0</v>
      </c>
      <c r="W484" s="37">
        <v>0</v>
      </c>
      <c r="X484" s="37">
        <v>0</v>
      </c>
      <c r="Y484" s="37">
        <v>0</v>
      </c>
      <c r="Z484" s="37">
        <v>0</v>
      </c>
      <c r="AA484" s="37">
        <v>142973</v>
      </c>
      <c r="AB484" s="37">
        <v>90645</v>
      </c>
      <c r="AC484" s="37">
        <v>18644</v>
      </c>
      <c r="AD484" s="37">
        <v>0</v>
      </c>
      <c r="AE484" s="37">
        <v>0</v>
      </c>
      <c r="AF484" s="168">
        <v>0.02</v>
      </c>
      <c r="AG484" s="37">
        <v>19759955.699999999</v>
      </c>
      <c r="AH484" s="37">
        <v>178762.57</v>
      </c>
      <c r="AI484" s="37">
        <v>182337.82</v>
      </c>
      <c r="AJ484" s="37">
        <v>185984.58</v>
      </c>
      <c r="AK484" s="37">
        <v>189704.27</v>
      </c>
      <c r="AL484" s="37">
        <v>193498.35</v>
      </c>
      <c r="AM484" s="37">
        <v>197368.32000000001</v>
      </c>
      <c r="AN484" s="37">
        <v>201315.69</v>
      </c>
      <c r="AO484" s="37">
        <v>205342</v>
      </c>
      <c r="AP484" s="37">
        <v>209448.84</v>
      </c>
      <c r="AQ484" s="37">
        <v>213637.82</v>
      </c>
      <c r="AR484" s="37">
        <v>1957400.2600000002</v>
      </c>
      <c r="AS484" s="37">
        <v>0</v>
      </c>
      <c r="AT484" s="37">
        <v>0</v>
      </c>
      <c r="AU484" s="37">
        <v>159181.20000000001</v>
      </c>
      <c r="AV484" s="37">
        <v>162364.82</v>
      </c>
      <c r="AW484" s="37">
        <v>0</v>
      </c>
      <c r="AX484" s="37">
        <v>0</v>
      </c>
      <c r="AY484" s="37">
        <v>195276.56</v>
      </c>
      <c r="AZ484" s="37">
        <v>175748.91</v>
      </c>
      <c r="BA484" s="37">
        <v>0</v>
      </c>
      <c r="BB484" s="37">
        <v>0</v>
      </c>
      <c r="BC484" s="37">
        <v>0</v>
      </c>
      <c r="BD484" s="37">
        <v>692571.49</v>
      </c>
      <c r="BE484" s="37">
        <v>0</v>
      </c>
      <c r="BF484" s="37">
        <v>112878.83966399179</v>
      </c>
      <c r="BG484" s="37">
        <v>121669.14306329761</v>
      </c>
      <c r="BH484" s="37">
        <v>149780.10008842911</v>
      </c>
      <c r="BI484" s="37">
        <v>177891.11718428158</v>
      </c>
      <c r="BJ484" s="37">
        <v>19320.653625825635</v>
      </c>
      <c r="BK484" s="37">
        <v>93558.186038166052</v>
      </c>
      <c r="BL484" s="37">
        <v>121669.14306329761</v>
      </c>
      <c r="BM484" s="37">
        <v>149780.10008842911</v>
      </c>
      <c r="BN484" s="37">
        <v>177891.11718428158</v>
      </c>
      <c r="BO484" s="37">
        <v>0</v>
      </c>
      <c r="BP484" s="37">
        <v>1124438.4000000001</v>
      </c>
      <c r="BQ484" s="37">
        <v>0</v>
      </c>
      <c r="BR484" s="37">
        <v>0</v>
      </c>
      <c r="BS484" s="37">
        <v>0</v>
      </c>
      <c r="BT484" s="37">
        <v>0</v>
      </c>
      <c r="BU484" s="37">
        <v>0</v>
      </c>
      <c r="BV484" s="37">
        <v>0</v>
      </c>
      <c r="BW484" s="37">
        <v>0</v>
      </c>
      <c r="BX484" s="37">
        <v>0</v>
      </c>
      <c r="BY484" s="37">
        <v>0</v>
      </c>
      <c r="BZ484" s="37">
        <v>0</v>
      </c>
      <c r="CA484" s="37">
        <v>0</v>
      </c>
      <c r="CB484" s="37">
        <v>0</v>
      </c>
      <c r="CC484" s="37">
        <v>0</v>
      </c>
      <c r="CD484" s="37">
        <v>0</v>
      </c>
      <c r="CE484" s="37">
        <v>0</v>
      </c>
      <c r="CF484" s="37">
        <v>0</v>
      </c>
      <c r="CG484" s="37">
        <v>0</v>
      </c>
      <c r="CH484" s="37">
        <v>0</v>
      </c>
      <c r="CI484" s="37">
        <v>0</v>
      </c>
      <c r="CJ484" s="37">
        <v>0</v>
      </c>
      <c r="CK484" s="37">
        <v>0</v>
      </c>
      <c r="CL484" s="37">
        <v>0</v>
      </c>
      <c r="CM484" s="37">
        <v>0</v>
      </c>
      <c r="CN484" s="37">
        <v>0</v>
      </c>
      <c r="CO484" s="37">
        <v>0</v>
      </c>
      <c r="CP484" s="37">
        <v>0</v>
      </c>
      <c r="CQ484" s="37">
        <v>0</v>
      </c>
      <c r="CR484" s="37">
        <v>0</v>
      </c>
      <c r="CS484" s="37">
        <v>0</v>
      </c>
      <c r="CT484" s="37">
        <v>0</v>
      </c>
      <c r="CU484" s="37">
        <v>0</v>
      </c>
      <c r="CV484" s="37">
        <v>0</v>
      </c>
      <c r="CW484" s="37">
        <v>0</v>
      </c>
      <c r="CX484" s="37">
        <v>0</v>
      </c>
      <c r="CY484" s="37">
        <v>0</v>
      </c>
      <c r="CZ484" s="37">
        <v>0</v>
      </c>
      <c r="DA484" s="37">
        <v>0</v>
      </c>
      <c r="DB484" s="37">
        <v>0</v>
      </c>
      <c r="DC484" s="37">
        <v>0</v>
      </c>
      <c r="DD484" s="37">
        <v>0</v>
      </c>
      <c r="DE484" s="37">
        <v>0</v>
      </c>
      <c r="DF484" s="37">
        <v>0</v>
      </c>
      <c r="DG484" s="37">
        <v>0</v>
      </c>
      <c r="DH484" s="37">
        <v>0</v>
      </c>
      <c r="DI484" s="37">
        <v>0</v>
      </c>
      <c r="DJ484" s="37">
        <v>0</v>
      </c>
      <c r="DK484" s="37">
        <v>0</v>
      </c>
      <c r="DL484" s="37">
        <v>0</v>
      </c>
      <c r="DM484" s="37">
        <v>0</v>
      </c>
      <c r="DN484" s="37">
        <v>0</v>
      </c>
      <c r="DO484" s="37">
        <v>0</v>
      </c>
      <c r="DP484" s="37">
        <v>0</v>
      </c>
      <c r="DQ484" s="37">
        <v>0</v>
      </c>
      <c r="DR484" s="37">
        <v>0</v>
      </c>
      <c r="DS484" s="37">
        <v>0</v>
      </c>
      <c r="DT484" s="37">
        <v>0</v>
      </c>
      <c r="DU484" s="37">
        <v>0</v>
      </c>
      <c r="DV484" s="37">
        <v>0</v>
      </c>
      <c r="DW484" s="37">
        <v>0</v>
      </c>
      <c r="DX484" s="37">
        <v>0</v>
      </c>
      <c r="DY484" s="37">
        <v>0</v>
      </c>
      <c r="DZ484" s="37">
        <v>0</v>
      </c>
      <c r="EA484" s="37">
        <v>0</v>
      </c>
      <c r="EB484" s="37">
        <v>0</v>
      </c>
      <c r="EC484" s="37">
        <v>0</v>
      </c>
      <c r="ED484" s="37">
        <v>0</v>
      </c>
      <c r="EE484" s="37">
        <v>0</v>
      </c>
      <c r="EF484" s="37">
        <v>0</v>
      </c>
      <c r="EG484" s="37">
        <v>0</v>
      </c>
      <c r="EH484" s="37">
        <v>0</v>
      </c>
      <c r="EI484" s="37">
        <v>0</v>
      </c>
      <c r="EJ484" s="37">
        <v>0</v>
      </c>
      <c r="EK484" s="161" t="s">
        <v>2409</v>
      </c>
      <c r="EL484" s="294" t="s">
        <v>1124</v>
      </c>
    </row>
    <row r="485" spans="1:142" ht="15" customHeight="1" x14ac:dyDescent="0.35">
      <c r="A485" s="34"/>
      <c r="B485" s="313">
        <v>72020</v>
      </c>
      <c r="C485" s="8" t="s">
        <v>730</v>
      </c>
      <c r="D485" s="18">
        <v>15</v>
      </c>
      <c r="E485" s="155">
        <v>172274</v>
      </c>
      <c r="F485" s="36">
        <v>260210</v>
      </c>
      <c r="G485" s="37">
        <v>0</v>
      </c>
      <c r="H485" s="37">
        <v>36331</v>
      </c>
      <c r="I485" s="37">
        <v>0</v>
      </c>
      <c r="J485" s="37">
        <v>0</v>
      </c>
      <c r="K485" s="37">
        <v>25841.1</v>
      </c>
      <c r="L485" s="37">
        <v>39031.5</v>
      </c>
      <c r="M485" s="37">
        <v>198115.1</v>
      </c>
      <c r="N485" s="37">
        <v>335572.5</v>
      </c>
      <c r="O485" s="37">
        <v>5155</v>
      </c>
      <c r="P485" s="37">
        <v>5762</v>
      </c>
      <c r="Q485" s="37">
        <v>325041</v>
      </c>
      <c r="R485" s="37">
        <v>54197</v>
      </c>
      <c r="S485" s="37">
        <v>12000</v>
      </c>
      <c r="T485" s="37">
        <v>15227</v>
      </c>
      <c r="U485" s="37">
        <v>0</v>
      </c>
      <c r="V485" s="37">
        <v>0</v>
      </c>
      <c r="W485" s="37">
        <v>0</v>
      </c>
      <c r="X485" s="37">
        <v>116306</v>
      </c>
      <c r="Y485" s="37">
        <v>0</v>
      </c>
      <c r="Z485" s="37">
        <v>0</v>
      </c>
      <c r="AA485" s="37">
        <v>342196</v>
      </c>
      <c r="AB485" s="37">
        <v>191492</v>
      </c>
      <c r="AC485" s="37">
        <v>0</v>
      </c>
      <c r="AD485" s="37">
        <v>0</v>
      </c>
      <c r="AE485" s="37">
        <v>0</v>
      </c>
      <c r="AF485" s="168">
        <v>0.02</v>
      </c>
      <c r="AG485" s="37">
        <v>39465151.280000001</v>
      </c>
      <c r="AH485" s="37">
        <v>566725.91</v>
      </c>
      <c r="AI485" s="37">
        <v>578060.43000000005</v>
      </c>
      <c r="AJ485" s="37">
        <v>589621.64</v>
      </c>
      <c r="AK485" s="37">
        <v>601414.06999999995</v>
      </c>
      <c r="AL485" s="37">
        <v>613442.35</v>
      </c>
      <c r="AM485" s="37">
        <v>625711.19999999995</v>
      </c>
      <c r="AN485" s="37">
        <v>524965.01</v>
      </c>
      <c r="AO485" s="37">
        <v>535464.31999999995</v>
      </c>
      <c r="AP485" s="37">
        <v>546173.6</v>
      </c>
      <c r="AQ485" s="37">
        <v>557097.06999999995</v>
      </c>
      <c r="AR485" s="37">
        <v>5738675.5999999996</v>
      </c>
      <c r="AS485" s="37">
        <v>0</v>
      </c>
      <c r="AT485" s="37">
        <v>132407.73000000001</v>
      </c>
      <c r="AU485" s="37">
        <v>135055.88</v>
      </c>
      <c r="AV485" s="37">
        <v>0</v>
      </c>
      <c r="AW485" s="37">
        <v>0</v>
      </c>
      <c r="AX485" s="37">
        <v>0</v>
      </c>
      <c r="AY485" s="37">
        <v>0</v>
      </c>
      <c r="AZ485" s="37">
        <v>0</v>
      </c>
      <c r="BA485" s="37">
        <v>0</v>
      </c>
      <c r="BB485" s="37">
        <v>0</v>
      </c>
      <c r="BC485" s="37">
        <v>0</v>
      </c>
      <c r="BD485" s="37">
        <v>267463.61</v>
      </c>
      <c r="BE485" s="37">
        <v>0</v>
      </c>
      <c r="BF485" s="37">
        <v>0</v>
      </c>
      <c r="BG485" s="37">
        <v>0</v>
      </c>
      <c r="BH485" s="37">
        <v>0</v>
      </c>
      <c r="BI485" s="37">
        <v>0</v>
      </c>
      <c r="BJ485" s="37">
        <v>0</v>
      </c>
      <c r="BK485" s="37">
        <v>0</v>
      </c>
      <c r="BL485" s="37">
        <v>0</v>
      </c>
      <c r="BM485" s="37">
        <v>0</v>
      </c>
      <c r="BN485" s="37">
        <v>0</v>
      </c>
      <c r="BO485" s="37">
        <v>0</v>
      </c>
      <c r="BP485" s="37">
        <v>0</v>
      </c>
      <c r="BQ485" s="37">
        <v>0</v>
      </c>
      <c r="BR485" s="37">
        <v>0</v>
      </c>
      <c r="BS485" s="37">
        <v>0</v>
      </c>
      <c r="BT485" s="37">
        <v>0</v>
      </c>
      <c r="BU485" s="37">
        <v>0</v>
      </c>
      <c r="BV485" s="37">
        <v>0</v>
      </c>
      <c r="BW485" s="37">
        <v>0</v>
      </c>
      <c r="BX485" s="37">
        <v>0</v>
      </c>
      <c r="BY485" s="37">
        <v>0</v>
      </c>
      <c r="BZ485" s="37">
        <v>0</v>
      </c>
      <c r="CA485" s="37">
        <v>0</v>
      </c>
      <c r="CB485" s="37">
        <v>0</v>
      </c>
      <c r="CC485" s="37">
        <v>0</v>
      </c>
      <c r="CD485" s="37">
        <v>0</v>
      </c>
      <c r="CE485" s="37">
        <v>0</v>
      </c>
      <c r="CF485" s="37">
        <v>0</v>
      </c>
      <c r="CG485" s="37">
        <v>0</v>
      </c>
      <c r="CH485" s="37">
        <v>0</v>
      </c>
      <c r="CI485" s="37">
        <v>0</v>
      </c>
      <c r="CJ485" s="37">
        <v>0</v>
      </c>
      <c r="CK485" s="37">
        <v>0</v>
      </c>
      <c r="CL485" s="37">
        <v>0</v>
      </c>
      <c r="CM485" s="37">
        <v>0</v>
      </c>
      <c r="CN485" s="37">
        <v>0</v>
      </c>
      <c r="CO485" s="37">
        <v>0</v>
      </c>
      <c r="CP485" s="37">
        <v>0</v>
      </c>
      <c r="CQ485" s="37">
        <v>0</v>
      </c>
      <c r="CR485" s="37">
        <v>0</v>
      </c>
      <c r="CS485" s="37">
        <v>0</v>
      </c>
      <c r="CT485" s="37">
        <v>0</v>
      </c>
      <c r="CU485" s="37">
        <v>0</v>
      </c>
      <c r="CV485" s="37">
        <v>0</v>
      </c>
      <c r="CW485" s="37">
        <v>0</v>
      </c>
      <c r="CX485" s="37">
        <v>0</v>
      </c>
      <c r="CY485" s="37">
        <v>0</v>
      </c>
      <c r="CZ485" s="37">
        <v>0</v>
      </c>
      <c r="DA485" s="37">
        <v>0</v>
      </c>
      <c r="DB485" s="37">
        <v>259623</v>
      </c>
      <c r="DC485" s="37">
        <v>0</v>
      </c>
      <c r="DD485" s="37">
        <v>0</v>
      </c>
      <c r="DE485" s="37">
        <v>0</v>
      </c>
      <c r="DF485" s="37">
        <v>0</v>
      </c>
      <c r="DG485" s="37">
        <v>0</v>
      </c>
      <c r="DH485" s="37">
        <v>0</v>
      </c>
      <c r="DI485" s="37">
        <v>0</v>
      </c>
      <c r="DJ485" s="37">
        <v>0</v>
      </c>
      <c r="DK485" s="37">
        <v>0</v>
      </c>
      <c r="DL485" s="37">
        <v>259623</v>
      </c>
      <c r="DM485" s="37">
        <v>0</v>
      </c>
      <c r="DN485" s="37">
        <v>0</v>
      </c>
      <c r="DO485" s="37">
        <v>0</v>
      </c>
      <c r="DP485" s="37">
        <v>0</v>
      </c>
      <c r="DQ485" s="37">
        <v>0</v>
      </c>
      <c r="DR485" s="37">
        <v>0</v>
      </c>
      <c r="DS485" s="37">
        <v>0</v>
      </c>
      <c r="DT485" s="37">
        <v>0</v>
      </c>
      <c r="DU485" s="37">
        <v>0</v>
      </c>
      <c r="DV485" s="37">
        <v>0</v>
      </c>
      <c r="DW485" s="37">
        <v>0</v>
      </c>
      <c r="DX485" s="37">
        <v>0</v>
      </c>
      <c r="DY485" s="37">
        <v>0</v>
      </c>
      <c r="DZ485" s="37">
        <v>0</v>
      </c>
      <c r="EA485" s="37">
        <v>0</v>
      </c>
      <c r="EB485" s="37">
        <v>0</v>
      </c>
      <c r="EC485" s="37">
        <v>0</v>
      </c>
      <c r="ED485" s="37">
        <v>0</v>
      </c>
      <c r="EE485" s="37">
        <v>0</v>
      </c>
      <c r="EF485" s="37">
        <v>0</v>
      </c>
      <c r="EG485" s="37">
        <v>0</v>
      </c>
      <c r="EH485" s="37">
        <v>0</v>
      </c>
      <c r="EI485" s="37">
        <v>0</v>
      </c>
      <c r="EJ485" s="37">
        <v>0</v>
      </c>
      <c r="EK485" s="161" t="s">
        <v>2413</v>
      </c>
      <c r="EL485" s="294" t="s">
        <v>1124</v>
      </c>
    </row>
    <row r="486" spans="1:142" ht="15" customHeight="1" x14ac:dyDescent="0.35">
      <c r="A486" s="34"/>
      <c r="B486" s="313">
        <v>66097</v>
      </c>
      <c r="C486" s="8" t="s">
        <v>656</v>
      </c>
      <c r="D486" s="18">
        <v>6</v>
      </c>
      <c r="E486" s="155">
        <v>3276679.9705349999</v>
      </c>
      <c r="F486" s="36">
        <v>1962749.6989300007</v>
      </c>
      <c r="G486" s="37">
        <v>254034.3</v>
      </c>
      <c r="H486" s="37">
        <v>249234.8</v>
      </c>
      <c r="I486" s="37">
        <v>628139.69999999995</v>
      </c>
      <c r="J486" s="37">
        <v>467877.5</v>
      </c>
      <c r="K486" s="37">
        <v>482438.1</v>
      </c>
      <c r="L486" s="37">
        <v>285875.09999999998</v>
      </c>
      <c r="M486" s="37">
        <v>4641292.0705349995</v>
      </c>
      <c r="N486" s="37">
        <v>2965737.0989300003</v>
      </c>
      <c r="O486" s="37">
        <v>435815.19099999999</v>
      </c>
      <c r="P486" s="37">
        <v>93025.172999999995</v>
      </c>
      <c r="Q486" s="37">
        <v>134350</v>
      </c>
      <c r="R486" s="37">
        <v>0</v>
      </c>
      <c r="S486" s="37">
        <v>34258.943999999996</v>
      </c>
      <c r="T486" s="37">
        <v>11301.6</v>
      </c>
      <c r="U486" s="37">
        <v>92387.125</v>
      </c>
      <c r="V486" s="37">
        <v>0</v>
      </c>
      <c r="W486" s="37">
        <v>4164785.4890040033</v>
      </c>
      <c r="X486" s="37">
        <v>2991320.891964497</v>
      </c>
      <c r="Y486" s="37">
        <v>0</v>
      </c>
      <c r="Z486" s="37">
        <v>0</v>
      </c>
      <c r="AA486" s="37">
        <v>4861596.7490040027</v>
      </c>
      <c r="AB486" s="37">
        <v>3095647.6649644971</v>
      </c>
      <c r="AC486" s="37">
        <v>350215</v>
      </c>
      <c r="AD486" s="37">
        <v>71807.999999999985</v>
      </c>
      <c r="AE486" s="37">
        <v>445000.5</v>
      </c>
      <c r="AF486" s="168">
        <v>0.02</v>
      </c>
      <c r="AG486" s="37">
        <v>1115562792.0899999</v>
      </c>
      <c r="AH486" s="37">
        <v>10823641.1</v>
      </c>
      <c r="AI486" s="37">
        <v>10500628.689999999</v>
      </c>
      <c r="AJ486" s="37">
        <v>10485308.27</v>
      </c>
      <c r="AK486" s="37">
        <v>10942073.17</v>
      </c>
      <c r="AL486" s="37">
        <v>11213614.41</v>
      </c>
      <c r="AM486" s="37">
        <v>12008584.890000001</v>
      </c>
      <c r="AN486" s="37">
        <v>12302224.960000001</v>
      </c>
      <c r="AO486" s="37">
        <v>12286728.109999999</v>
      </c>
      <c r="AP486" s="37">
        <v>12760233.710000001</v>
      </c>
      <c r="AQ486" s="37">
        <v>13019414.449999999</v>
      </c>
      <c r="AR486" s="37">
        <v>116342451.75999999</v>
      </c>
      <c r="AS486" s="37">
        <v>56894583.969999999</v>
      </c>
      <c r="AT486" s="37">
        <v>3999443.45</v>
      </c>
      <c r="AU486" s="37">
        <v>5752623.6900000004</v>
      </c>
      <c r="AV486" s="37">
        <v>10836135.220000001</v>
      </c>
      <c r="AW486" s="37">
        <v>11698349.210000001</v>
      </c>
      <c r="AX486" s="37">
        <v>5120519.51</v>
      </c>
      <c r="AY486" s="37">
        <v>12704469.18</v>
      </c>
      <c r="AZ486" s="37">
        <v>12271640.359999999</v>
      </c>
      <c r="BA486" s="37">
        <v>12265621.130000001</v>
      </c>
      <c r="BB486" s="37">
        <v>12919728.84</v>
      </c>
      <c r="BC486" s="37">
        <v>12404667.5</v>
      </c>
      <c r="BD486" s="37">
        <v>99973198.089999989</v>
      </c>
      <c r="BE486" s="37">
        <v>283131</v>
      </c>
      <c r="BF486" s="37">
        <v>915163</v>
      </c>
      <c r="BG486" s="37">
        <v>1022810.1876507353</v>
      </c>
      <c r="BH486" s="37">
        <v>1117278.3742054205</v>
      </c>
      <c r="BI486" s="37">
        <v>581606.40000000002</v>
      </c>
      <c r="BJ486" s="37">
        <v>542993.40000000014</v>
      </c>
      <c r="BK486" s="37">
        <v>544731.40000000014</v>
      </c>
      <c r="BL486" s="37">
        <v>546531.40000000014</v>
      </c>
      <c r="BM486" s="37">
        <v>141757</v>
      </c>
      <c r="BN486" s="37">
        <v>56024</v>
      </c>
      <c r="BO486" s="37">
        <v>58030</v>
      </c>
      <c r="BP486" s="37">
        <v>5526925.1618561568</v>
      </c>
      <c r="BQ486" s="37">
        <v>2313895.4999999995</v>
      </c>
      <c r="BR486" s="37">
        <v>3195634.5</v>
      </c>
      <c r="BS486" s="37">
        <v>4099131.312349264</v>
      </c>
      <c r="BT486" s="37">
        <v>3652133.6257945788</v>
      </c>
      <c r="BU486" s="37">
        <v>4017122.1</v>
      </c>
      <c r="BV486" s="37">
        <v>3540680.1</v>
      </c>
      <c r="BW486" s="37">
        <v>3574799.1</v>
      </c>
      <c r="BX486" s="37">
        <v>4162242.6</v>
      </c>
      <c r="BY486" s="37">
        <v>5297675.9999999991</v>
      </c>
      <c r="BZ486" s="37">
        <v>4544456.9999999991</v>
      </c>
      <c r="CA486" s="37">
        <v>5178998.9999999991</v>
      </c>
      <c r="CB486" s="37">
        <v>41262875.338143848</v>
      </c>
      <c r="CC486" s="37">
        <v>446720</v>
      </c>
      <c r="CD486" s="37">
        <v>484465</v>
      </c>
      <c r="CE486" s="37">
        <v>419908.5</v>
      </c>
      <c r="CF486" s="37">
        <v>252909</v>
      </c>
      <c r="CG486" s="37">
        <v>240159</v>
      </c>
      <c r="CH486" s="37">
        <v>265659</v>
      </c>
      <c r="CI486" s="37">
        <v>278408.99999999994</v>
      </c>
      <c r="CJ486" s="37">
        <v>278408.99999999994</v>
      </c>
      <c r="CK486" s="37">
        <v>278408.99999999994</v>
      </c>
      <c r="CL486" s="37">
        <v>278408.99999999994</v>
      </c>
      <c r="CM486" s="37">
        <v>278408.99999999994</v>
      </c>
      <c r="CN486" s="37">
        <v>3055145.5</v>
      </c>
      <c r="CO486" s="37">
        <v>685567.5</v>
      </c>
      <c r="CP486" s="37">
        <v>374110.5</v>
      </c>
      <c r="CQ486" s="37">
        <v>952297.5</v>
      </c>
      <c r="CR486" s="37">
        <v>2991465.1544999997</v>
      </c>
      <c r="CS486" s="37">
        <v>350880</v>
      </c>
      <c r="CT486" s="37">
        <v>214200</v>
      </c>
      <c r="CU486" s="37">
        <v>295799.99999999994</v>
      </c>
      <c r="CV486" s="37">
        <v>204000</v>
      </c>
      <c r="CW486" s="37">
        <v>0</v>
      </c>
      <c r="CX486" s="37">
        <v>0</v>
      </c>
      <c r="CY486" s="37">
        <v>0</v>
      </c>
      <c r="CZ486" s="37">
        <v>5382753.1545000002</v>
      </c>
      <c r="DA486" s="37">
        <v>1794766.5</v>
      </c>
      <c r="DB486" s="37">
        <v>771018</v>
      </c>
      <c r="DC486" s="37">
        <v>773083.5</v>
      </c>
      <c r="DD486" s="37">
        <v>3329602.3454999994</v>
      </c>
      <c r="DE486" s="37">
        <v>5932141.5</v>
      </c>
      <c r="DF486" s="37">
        <v>445026</v>
      </c>
      <c r="DG486" s="37">
        <v>834768</v>
      </c>
      <c r="DH486" s="37">
        <v>326348.99999999994</v>
      </c>
      <c r="DI486" s="37">
        <v>273971.99999999994</v>
      </c>
      <c r="DJ486" s="37">
        <v>618604.49999999988</v>
      </c>
      <c r="DK486" s="37">
        <v>0</v>
      </c>
      <c r="DL486" s="37">
        <v>13304564.8455</v>
      </c>
      <c r="DM486" s="37">
        <v>237109.99999999997</v>
      </c>
      <c r="DN486" s="37">
        <v>271310.5</v>
      </c>
      <c r="DO486" s="37">
        <v>4921.4999999999991</v>
      </c>
      <c r="DP486" s="37">
        <v>0</v>
      </c>
      <c r="DQ486" s="37">
        <v>0</v>
      </c>
      <c r="DR486" s="37">
        <v>0</v>
      </c>
      <c r="DS486" s="37">
        <v>0</v>
      </c>
      <c r="DT486" s="37">
        <v>0</v>
      </c>
      <c r="DU486" s="37">
        <v>0</v>
      </c>
      <c r="DV486" s="37">
        <v>0</v>
      </c>
      <c r="DW486" s="37">
        <v>0</v>
      </c>
      <c r="DX486" s="37">
        <v>276232</v>
      </c>
      <c r="DY486" s="37">
        <v>0</v>
      </c>
      <c r="DZ486" s="37">
        <v>0</v>
      </c>
      <c r="EA486" s="37">
        <v>0</v>
      </c>
      <c r="EB486" s="37">
        <v>0</v>
      </c>
      <c r="EC486" s="37">
        <v>0</v>
      </c>
      <c r="ED486" s="37">
        <v>0</v>
      </c>
      <c r="EE486" s="37">
        <v>0</v>
      </c>
      <c r="EF486" s="37">
        <v>0</v>
      </c>
      <c r="EG486" s="37">
        <v>0</v>
      </c>
      <c r="EH486" s="37">
        <v>0</v>
      </c>
      <c r="EI486" s="37">
        <v>0</v>
      </c>
      <c r="EJ486" s="37">
        <v>0</v>
      </c>
      <c r="EK486" s="161" t="s">
        <v>2416</v>
      </c>
      <c r="EL486" s="294" t="s">
        <v>1124</v>
      </c>
    </row>
    <row r="487" spans="1:142" ht="15" customHeight="1" x14ac:dyDescent="0.35">
      <c r="A487" s="34"/>
      <c r="B487" s="313">
        <v>71055</v>
      </c>
      <c r="C487" s="8" t="s">
        <v>712</v>
      </c>
      <c r="D487" s="18">
        <v>16</v>
      </c>
      <c r="E487" s="155">
        <v>104825</v>
      </c>
      <c r="F487" s="36">
        <v>92596</v>
      </c>
      <c r="G487" s="37">
        <v>19416</v>
      </c>
      <c r="H487" s="37">
        <v>919</v>
      </c>
      <c r="I487" s="37">
        <v>36539</v>
      </c>
      <c r="J487" s="37">
        <v>36539</v>
      </c>
      <c r="K487" s="37">
        <v>15723.75</v>
      </c>
      <c r="L487" s="37">
        <v>13889.4</v>
      </c>
      <c r="M487" s="37">
        <v>176503.75</v>
      </c>
      <c r="N487" s="37">
        <v>143943.4</v>
      </c>
      <c r="O487" s="37">
        <v>0</v>
      </c>
      <c r="P487" s="37">
        <v>0</v>
      </c>
      <c r="Q487" s="37">
        <v>232498</v>
      </c>
      <c r="R487" s="37">
        <v>166228</v>
      </c>
      <c r="S487" s="37">
        <v>0</v>
      </c>
      <c r="T487" s="37">
        <v>7500</v>
      </c>
      <c r="U487" s="37">
        <v>3942</v>
      </c>
      <c r="V487" s="37">
        <v>0</v>
      </c>
      <c r="W487" s="37">
        <v>0</v>
      </c>
      <c r="X487" s="37">
        <v>0</v>
      </c>
      <c r="Y487" s="37">
        <v>0</v>
      </c>
      <c r="Z487" s="37">
        <v>0</v>
      </c>
      <c r="AA487" s="37">
        <v>236440</v>
      </c>
      <c r="AB487" s="37">
        <v>173728</v>
      </c>
      <c r="AC487" s="37">
        <v>89721</v>
      </c>
      <c r="AD487" s="37">
        <v>0</v>
      </c>
      <c r="AE487" s="37">
        <v>0</v>
      </c>
      <c r="AF487" s="168">
        <v>0.02</v>
      </c>
      <c r="AG487" s="37">
        <v>31099313.59</v>
      </c>
      <c r="AH487" s="37">
        <v>913189.25</v>
      </c>
      <c r="AI487" s="37">
        <v>832760.69</v>
      </c>
      <c r="AJ487" s="37">
        <v>849415.91</v>
      </c>
      <c r="AK487" s="37">
        <v>866404.22</v>
      </c>
      <c r="AL487" s="37">
        <v>883732.31</v>
      </c>
      <c r="AM487" s="37">
        <v>901406.96</v>
      </c>
      <c r="AN487" s="37">
        <v>919435.09</v>
      </c>
      <c r="AO487" s="37">
        <v>937823.8</v>
      </c>
      <c r="AP487" s="37">
        <v>956580.27</v>
      </c>
      <c r="AQ487" s="37">
        <v>975711.88</v>
      </c>
      <c r="AR487" s="37">
        <v>9036460.379999999</v>
      </c>
      <c r="AS487" s="37">
        <v>844076.52</v>
      </c>
      <c r="AT487" s="37">
        <v>2913120</v>
      </c>
      <c r="AU487" s="37">
        <v>6367248</v>
      </c>
      <c r="AV487" s="37">
        <v>0</v>
      </c>
      <c r="AW487" s="37">
        <v>0</v>
      </c>
      <c r="AX487" s="37">
        <v>0</v>
      </c>
      <c r="AY487" s="37">
        <v>0</v>
      </c>
      <c r="AZ487" s="37">
        <v>0</v>
      </c>
      <c r="BA487" s="37">
        <v>0</v>
      </c>
      <c r="BB487" s="37">
        <v>0</v>
      </c>
      <c r="BC487" s="37">
        <v>0</v>
      </c>
      <c r="BD487" s="37">
        <v>9280368</v>
      </c>
      <c r="BE487" s="37">
        <v>250000</v>
      </c>
      <c r="BF487" s="37">
        <v>352640</v>
      </c>
      <c r="BG487" s="37">
        <v>528960</v>
      </c>
      <c r="BH487" s="37">
        <v>0</v>
      </c>
      <c r="BI487" s="37">
        <v>0</v>
      </c>
      <c r="BJ487" s="37">
        <v>0</v>
      </c>
      <c r="BK487" s="37">
        <v>0</v>
      </c>
      <c r="BL487" s="37">
        <v>0</v>
      </c>
      <c r="BM487" s="37">
        <v>0</v>
      </c>
      <c r="BN487" s="37">
        <v>0</v>
      </c>
      <c r="BO487" s="37">
        <v>0</v>
      </c>
      <c r="BP487" s="37">
        <v>881600</v>
      </c>
      <c r="BQ487" s="37">
        <v>450000</v>
      </c>
      <c r="BR487" s="37">
        <v>88160</v>
      </c>
      <c r="BS487" s="37">
        <v>132240</v>
      </c>
      <c r="BT487" s="37">
        <v>0</v>
      </c>
      <c r="BU487" s="37">
        <v>0</v>
      </c>
      <c r="BV487" s="37">
        <v>0</v>
      </c>
      <c r="BW487" s="37">
        <v>0</v>
      </c>
      <c r="BX487" s="37">
        <v>0</v>
      </c>
      <c r="BY487" s="37">
        <v>0</v>
      </c>
      <c r="BZ487" s="37">
        <v>0</v>
      </c>
      <c r="CA487" s="37">
        <v>0</v>
      </c>
      <c r="CB487" s="37">
        <v>220400</v>
      </c>
      <c r="CC487" s="37">
        <v>75000</v>
      </c>
      <c r="CD487" s="37">
        <v>5000</v>
      </c>
      <c r="CE487" s="37">
        <v>0</v>
      </c>
      <c r="CF487" s="37">
        <v>0</v>
      </c>
      <c r="CG487" s="37">
        <v>0</v>
      </c>
      <c r="CH487" s="37">
        <v>0</v>
      </c>
      <c r="CI487" s="37">
        <v>0</v>
      </c>
      <c r="CJ487" s="37">
        <v>0</v>
      </c>
      <c r="CK487" s="37">
        <v>0</v>
      </c>
      <c r="CL487" s="37">
        <v>0</v>
      </c>
      <c r="CM487" s="37">
        <v>0</v>
      </c>
      <c r="CN487" s="37">
        <v>5000</v>
      </c>
      <c r="CO487" s="37">
        <v>0</v>
      </c>
      <c r="CP487" s="37">
        <v>0</v>
      </c>
      <c r="CQ487" s="37">
        <v>0</v>
      </c>
      <c r="CR487" s="37">
        <v>0</v>
      </c>
      <c r="CS487" s="37">
        <v>0</v>
      </c>
      <c r="CT487" s="37">
        <v>0</v>
      </c>
      <c r="CU487" s="37">
        <v>0</v>
      </c>
      <c r="CV487" s="37">
        <v>0</v>
      </c>
      <c r="CW487" s="37">
        <v>0</v>
      </c>
      <c r="CX487" s="37">
        <v>0</v>
      </c>
      <c r="CY487" s="37">
        <v>0</v>
      </c>
      <c r="CZ487" s="37">
        <v>0</v>
      </c>
      <c r="DA487" s="37">
        <v>0</v>
      </c>
      <c r="DB487" s="37">
        <v>0</v>
      </c>
      <c r="DC487" s="37">
        <v>0</v>
      </c>
      <c r="DD487" s="37">
        <v>0</v>
      </c>
      <c r="DE487" s="37">
        <v>0</v>
      </c>
      <c r="DF487" s="37">
        <v>0</v>
      </c>
      <c r="DG487" s="37">
        <v>0</v>
      </c>
      <c r="DH487" s="37">
        <v>0</v>
      </c>
      <c r="DI487" s="37">
        <v>0</v>
      </c>
      <c r="DJ487" s="37">
        <v>0</v>
      </c>
      <c r="DK487" s="37">
        <v>0</v>
      </c>
      <c r="DL487" s="37">
        <v>0</v>
      </c>
      <c r="DM487" s="37">
        <v>0</v>
      </c>
      <c r="DN487" s="37">
        <v>0</v>
      </c>
      <c r="DO487" s="37">
        <v>0</v>
      </c>
      <c r="DP487" s="37">
        <v>0</v>
      </c>
      <c r="DQ487" s="37">
        <v>0</v>
      </c>
      <c r="DR487" s="37">
        <v>0</v>
      </c>
      <c r="DS487" s="37">
        <v>0</v>
      </c>
      <c r="DT487" s="37">
        <v>0</v>
      </c>
      <c r="DU487" s="37">
        <v>0</v>
      </c>
      <c r="DV487" s="37">
        <v>0</v>
      </c>
      <c r="DW487" s="37">
        <v>0</v>
      </c>
      <c r="DX487" s="37">
        <v>0</v>
      </c>
      <c r="DY487" s="37">
        <v>0</v>
      </c>
      <c r="DZ487" s="37">
        <v>0</v>
      </c>
      <c r="EA487" s="37">
        <v>0</v>
      </c>
      <c r="EB487" s="37">
        <v>0</v>
      </c>
      <c r="EC487" s="37">
        <v>0</v>
      </c>
      <c r="ED487" s="37">
        <v>0</v>
      </c>
      <c r="EE487" s="37">
        <v>0</v>
      </c>
      <c r="EF487" s="37">
        <v>0</v>
      </c>
      <c r="EG487" s="37">
        <v>0</v>
      </c>
      <c r="EH487" s="37">
        <v>0</v>
      </c>
      <c r="EI487" s="37">
        <v>0</v>
      </c>
      <c r="EJ487" s="37">
        <v>0</v>
      </c>
      <c r="EK487" s="161" t="s">
        <v>2420</v>
      </c>
      <c r="EL487" s="294" t="s">
        <v>1124</v>
      </c>
    </row>
    <row r="488" spans="1:142" ht="15" customHeight="1" x14ac:dyDescent="0.35">
      <c r="A488" s="34"/>
      <c r="B488" s="313">
        <v>71140</v>
      </c>
      <c r="C488" s="8" t="s">
        <v>726</v>
      </c>
      <c r="D488" s="18">
        <v>16</v>
      </c>
      <c r="E488" s="155"/>
      <c r="F488" s="36"/>
      <c r="G488" s="37"/>
      <c r="H488" s="37"/>
      <c r="I488" s="37"/>
      <c r="J488" s="37"/>
      <c r="K488" s="37"/>
      <c r="L488" s="37"/>
      <c r="M488" s="37" t="s">
        <v>1124</v>
      </c>
      <c r="N488" s="37" t="s">
        <v>1124</v>
      </c>
      <c r="O488" s="37"/>
      <c r="P488" s="37"/>
      <c r="Q488" s="37"/>
      <c r="R488" s="37"/>
      <c r="S488" s="37"/>
      <c r="T488" s="37"/>
      <c r="U488" s="37"/>
      <c r="V488" s="37"/>
      <c r="W488" s="37"/>
      <c r="X488" s="37"/>
      <c r="Y488" s="37"/>
      <c r="Z488" s="37"/>
      <c r="AA488" s="37" t="s">
        <v>1124</v>
      </c>
      <c r="AB488" s="37" t="s">
        <v>1124</v>
      </c>
      <c r="AC488" s="37"/>
      <c r="AD488" s="37"/>
      <c r="AE488" s="37"/>
      <c r="AF488" s="168"/>
      <c r="AG488" s="37"/>
      <c r="AH488" s="37"/>
      <c r="AI488" s="37"/>
      <c r="AJ488" s="37"/>
      <c r="AK488" s="37"/>
      <c r="AL488" s="37"/>
      <c r="AM488" s="37"/>
      <c r="AN488" s="37"/>
      <c r="AO488" s="37"/>
      <c r="AP488" s="37"/>
      <c r="AQ488" s="37"/>
      <c r="AR488" s="37" t="s">
        <v>1124</v>
      </c>
      <c r="AS488" s="37"/>
      <c r="AT488" s="37"/>
      <c r="AU488" s="37"/>
      <c r="AV488" s="37"/>
      <c r="AW488" s="37"/>
      <c r="AX488" s="37"/>
      <c r="AY488" s="37"/>
      <c r="AZ488" s="37"/>
      <c r="BA488" s="37"/>
      <c r="BB488" s="37"/>
      <c r="BC488" s="37"/>
      <c r="BD488" s="37" t="s">
        <v>1124</v>
      </c>
      <c r="BE488" s="37"/>
      <c r="BF488" s="37"/>
      <c r="BG488" s="37"/>
      <c r="BH488" s="37"/>
      <c r="BI488" s="37"/>
      <c r="BJ488" s="37"/>
      <c r="BK488" s="37"/>
      <c r="BL488" s="37"/>
      <c r="BM488" s="37"/>
      <c r="BN488" s="37"/>
      <c r="BO488" s="37"/>
      <c r="BP488" s="37">
        <v>0</v>
      </c>
      <c r="BQ488" s="37"/>
      <c r="BR488" s="37"/>
      <c r="BS488" s="37"/>
      <c r="BT488" s="37"/>
      <c r="BU488" s="37"/>
      <c r="BV488" s="37"/>
      <c r="BW488" s="37"/>
      <c r="BX488" s="37"/>
      <c r="BY488" s="37"/>
      <c r="BZ488" s="37"/>
      <c r="CA488" s="37"/>
      <c r="CB488" s="37" t="s">
        <v>1124</v>
      </c>
      <c r="CC488" s="37"/>
      <c r="CD488" s="37"/>
      <c r="CE488" s="37"/>
      <c r="CF488" s="37"/>
      <c r="CG488" s="37"/>
      <c r="CH488" s="37"/>
      <c r="CI488" s="37"/>
      <c r="CJ488" s="37"/>
      <c r="CK488" s="37"/>
      <c r="CL488" s="37"/>
      <c r="CM488" s="37"/>
      <c r="CN488" s="37" t="s">
        <v>1124</v>
      </c>
      <c r="CO488" s="37"/>
      <c r="CP488" s="37"/>
      <c r="CQ488" s="37"/>
      <c r="CR488" s="37"/>
      <c r="CS488" s="37"/>
      <c r="CT488" s="37"/>
      <c r="CU488" s="37"/>
      <c r="CV488" s="37"/>
      <c r="CW488" s="37"/>
      <c r="CX488" s="37"/>
      <c r="CY488" s="37"/>
      <c r="CZ488" s="37" t="s">
        <v>1124</v>
      </c>
      <c r="DA488" s="37"/>
      <c r="DB488" s="37"/>
      <c r="DC488" s="37"/>
      <c r="DD488" s="37"/>
      <c r="DE488" s="37"/>
      <c r="DF488" s="37"/>
      <c r="DG488" s="37"/>
      <c r="DH488" s="37"/>
      <c r="DI488" s="37"/>
      <c r="DJ488" s="37"/>
      <c r="DK488" s="37"/>
      <c r="DL488" s="37" t="s">
        <v>1124</v>
      </c>
      <c r="DM488" s="37"/>
      <c r="DN488" s="37"/>
      <c r="DO488" s="37"/>
      <c r="DP488" s="37"/>
      <c r="DQ488" s="37"/>
      <c r="DR488" s="37"/>
      <c r="DS488" s="37"/>
      <c r="DT488" s="37"/>
      <c r="DU488" s="37"/>
      <c r="DV488" s="37"/>
      <c r="DW488" s="37"/>
      <c r="DX488" s="37" t="s">
        <v>1124</v>
      </c>
      <c r="DY488" s="37"/>
      <c r="DZ488" s="37"/>
      <c r="EA488" s="37"/>
      <c r="EB488" s="37"/>
      <c r="EC488" s="37"/>
      <c r="ED488" s="37"/>
      <c r="EE488" s="37"/>
      <c r="EF488" s="37"/>
      <c r="EG488" s="37"/>
      <c r="EH488" s="37"/>
      <c r="EI488" s="37"/>
      <c r="EJ488" s="37" t="s">
        <v>1124</v>
      </c>
      <c r="EK488" s="161"/>
      <c r="EL488" s="294"/>
    </row>
    <row r="489" spans="1:142" ht="15" customHeight="1" x14ac:dyDescent="0.35">
      <c r="A489" s="34"/>
      <c r="B489" s="313">
        <v>96025</v>
      </c>
      <c r="C489" s="8" t="s">
        <v>998</v>
      </c>
      <c r="D489" s="18">
        <v>9</v>
      </c>
      <c r="E489" s="155"/>
      <c r="F489" s="36"/>
      <c r="G489" s="37"/>
      <c r="H489" s="37"/>
      <c r="I489" s="37"/>
      <c r="J489" s="37"/>
      <c r="K489" s="37"/>
      <c r="L489" s="37"/>
      <c r="M489" s="37" t="s">
        <v>1124</v>
      </c>
      <c r="N489" s="37" t="s">
        <v>1124</v>
      </c>
      <c r="O489" s="37"/>
      <c r="P489" s="37"/>
      <c r="Q489" s="37"/>
      <c r="R489" s="37"/>
      <c r="S489" s="37"/>
      <c r="T489" s="37"/>
      <c r="U489" s="37"/>
      <c r="V489" s="37"/>
      <c r="W489" s="37"/>
      <c r="X489" s="37"/>
      <c r="Y489" s="37"/>
      <c r="Z489" s="37"/>
      <c r="AA489" s="37" t="s">
        <v>1124</v>
      </c>
      <c r="AB489" s="37" t="s">
        <v>1124</v>
      </c>
      <c r="AC489" s="37"/>
      <c r="AD489" s="37"/>
      <c r="AE489" s="37"/>
      <c r="AF489" s="168"/>
      <c r="AG489" s="37"/>
      <c r="AH489" s="37"/>
      <c r="AI489" s="37"/>
      <c r="AJ489" s="37"/>
      <c r="AK489" s="37"/>
      <c r="AL489" s="37"/>
      <c r="AM489" s="37"/>
      <c r="AN489" s="37"/>
      <c r="AO489" s="37"/>
      <c r="AP489" s="37"/>
      <c r="AQ489" s="37"/>
      <c r="AR489" s="37" t="s">
        <v>1124</v>
      </c>
      <c r="AS489" s="37"/>
      <c r="AT489" s="37"/>
      <c r="AU489" s="37"/>
      <c r="AV489" s="37"/>
      <c r="AW489" s="37"/>
      <c r="AX489" s="37"/>
      <c r="AY489" s="37"/>
      <c r="AZ489" s="37"/>
      <c r="BA489" s="37"/>
      <c r="BB489" s="37"/>
      <c r="BC489" s="37"/>
      <c r="BD489" s="37" t="s">
        <v>1124</v>
      </c>
      <c r="BE489" s="37"/>
      <c r="BF489" s="37"/>
      <c r="BG489" s="37"/>
      <c r="BH489" s="37"/>
      <c r="BI489" s="37"/>
      <c r="BJ489" s="37"/>
      <c r="BK489" s="37"/>
      <c r="BL489" s="37"/>
      <c r="BM489" s="37"/>
      <c r="BN489" s="37"/>
      <c r="BO489" s="37"/>
      <c r="BP489" s="37">
        <v>0</v>
      </c>
      <c r="BQ489" s="37"/>
      <c r="BR489" s="37"/>
      <c r="BS489" s="37"/>
      <c r="BT489" s="37"/>
      <c r="BU489" s="37"/>
      <c r="BV489" s="37"/>
      <c r="BW489" s="37"/>
      <c r="BX489" s="37"/>
      <c r="BY489" s="37"/>
      <c r="BZ489" s="37"/>
      <c r="CA489" s="37"/>
      <c r="CB489" s="37" t="s">
        <v>1124</v>
      </c>
      <c r="CC489" s="37"/>
      <c r="CD489" s="37"/>
      <c r="CE489" s="37"/>
      <c r="CF489" s="37"/>
      <c r="CG489" s="37"/>
      <c r="CH489" s="37"/>
      <c r="CI489" s="37"/>
      <c r="CJ489" s="37"/>
      <c r="CK489" s="37"/>
      <c r="CL489" s="37"/>
      <c r="CM489" s="37"/>
      <c r="CN489" s="37" t="s">
        <v>1124</v>
      </c>
      <c r="CO489" s="37"/>
      <c r="CP489" s="37"/>
      <c r="CQ489" s="37"/>
      <c r="CR489" s="37"/>
      <c r="CS489" s="37"/>
      <c r="CT489" s="37"/>
      <c r="CU489" s="37"/>
      <c r="CV489" s="37"/>
      <c r="CW489" s="37"/>
      <c r="CX489" s="37"/>
      <c r="CY489" s="37"/>
      <c r="CZ489" s="37" t="s">
        <v>1124</v>
      </c>
      <c r="DA489" s="37"/>
      <c r="DB489" s="37"/>
      <c r="DC489" s="37"/>
      <c r="DD489" s="37"/>
      <c r="DE489" s="37"/>
      <c r="DF489" s="37"/>
      <c r="DG489" s="37"/>
      <c r="DH489" s="37"/>
      <c r="DI489" s="37"/>
      <c r="DJ489" s="37"/>
      <c r="DK489" s="37"/>
      <c r="DL489" s="37" t="s">
        <v>1124</v>
      </c>
      <c r="DM489" s="37"/>
      <c r="DN489" s="37"/>
      <c r="DO489" s="37"/>
      <c r="DP489" s="37"/>
      <c r="DQ489" s="37"/>
      <c r="DR489" s="37"/>
      <c r="DS489" s="37"/>
      <c r="DT489" s="37"/>
      <c r="DU489" s="37"/>
      <c r="DV489" s="37"/>
      <c r="DW489" s="37"/>
      <c r="DX489" s="37" t="s">
        <v>1124</v>
      </c>
      <c r="DY489" s="37"/>
      <c r="DZ489" s="37"/>
      <c r="EA489" s="37"/>
      <c r="EB489" s="37"/>
      <c r="EC489" s="37"/>
      <c r="ED489" s="37"/>
      <c r="EE489" s="37"/>
      <c r="EF489" s="37"/>
      <c r="EG489" s="37"/>
      <c r="EH489" s="37"/>
      <c r="EI489" s="37"/>
      <c r="EJ489" s="37" t="s">
        <v>1124</v>
      </c>
      <c r="EK489" s="161"/>
      <c r="EL489" s="294"/>
    </row>
    <row r="490" spans="1:142" ht="15" customHeight="1" x14ac:dyDescent="0.35">
      <c r="A490" s="34"/>
      <c r="B490" s="313">
        <v>82030</v>
      </c>
      <c r="C490" s="8" t="s">
        <v>833</v>
      </c>
      <c r="D490" s="18">
        <v>7</v>
      </c>
      <c r="E490" s="155">
        <v>180371</v>
      </c>
      <c r="F490" s="36">
        <v>86161</v>
      </c>
      <c r="G490" s="37">
        <v>56926</v>
      </c>
      <c r="H490" s="37">
        <v>29825</v>
      </c>
      <c r="I490" s="37">
        <v>182600</v>
      </c>
      <c r="J490" s="37">
        <v>180275</v>
      </c>
      <c r="K490" s="37">
        <v>9493</v>
      </c>
      <c r="L490" s="37">
        <v>4534</v>
      </c>
      <c r="M490" s="37">
        <v>429390</v>
      </c>
      <c r="N490" s="37">
        <v>300795</v>
      </c>
      <c r="O490" s="37">
        <v>0</v>
      </c>
      <c r="P490" s="37">
        <v>0</v>
      </c>
      <c r="Q490" s="37">
        <v>194848</v>
      </c>
      <c r="R490" s="37">
        <v>98148</v>
      </c>
      <c r="S490" s="37">
        <v>0</v>
      </c>
      <c r="T490" s="37">
        <v>5137</v>
      </c>
      <c r="U490" s="37">
        <v>165222</v>
      </c>
      <c r="V490" s="37">
        <v>184566</v>
      </c>
      <c r="W490" s="37">
        <v>0</v>
      </c>
      <c r="X490" s="37">
        <v>0</v>
      </c>
      <c r="Y490" s="37">
        <v>0</v>
      </c>
      <c r="Z490" s="37">
        <v>7205</v>
      </c>
      <c r="AA490" s="37">
        <v>360070</v>
      </c>
      <c r="AB490" s="37">
        <v>295056</v>
      </c>
      <c r="AC490" s="37">
        <v>0</v>
      </c>
      <c r="AD490" s="37">
        <v>0</v>
      </c>
      <c r="AE490" s="37">
        <v>0</v>
      </c>
      <c r="AF490" s="168">
        <v>0.02</v>
      </c>
      <c r="AG490" s="37">
        <v>22526499.059999999</v>
      </c>
      <c r="AH490" s="37">
        <v>1180133</v>
      </c>
      <c r="AI490" s="37">
        <v>108066.35</v>
      </c>
      <c r="AJ490" s="37">
        <v>37704.720000000001</v>
      </c>
      <c r="AK490" s="37">
        <v>1452530.62</v>
      </c>
      <c r="AL490" s="37">
        <v>25338.65</v>
      </c>
      <c r="AM490" s="37">
        <v>31588.86</v>
      </c>
      <c r="AN490" s="37">
        <v>0</v>
      </c>
      <c r="AO490" s="37">
        <v>0</v>
      </c>
      <c r="AP490" s="37">
        <v>0</v>
      </c>
      <c r="AQ490" s="37">
        <v>0</v>
      </c>
      <c r="AR490" s="37">
        <v>2835362.2</v>
      </c>
      <c r="AS490" s="37">
        <v>451949.76</v>
      </c>
      <c r="AT490" s="37">
        <v>130050</v>
      </c>
      <c r="AU490" s="37">
        <v>31836.240000000002</v>
      </c>
      <c r="AV490" s="37">
        <v>0</v>
      </c>
      <c r="AW490" s="37">
        <v>0</v>
      </c>
      <c r="AX490" s="37">
        <v>0</v>
      </c>
      <c r="AY490" s="37">
        <v>0</v>
      </c>
      <c r="AZ490" s="37">
        <v>0</v>
      </c>
      <c r="BA490" s="37">
        <v>0</v>
      </c>
      <c r="BB490" s="37">
        <v>0</v>
      </c>
      <c r="BC490" s="37">
        <v>0</v>
      </c>
      <c r="BD490" s="37">
        <v>161886.24</v>
      </c>
      <c r="BE490" s="37">
        <v>0</v>
      </c>
      <c r="BF490" s="37">
        <v>1900000</v>
      </c>
      <c r="BG490" s="37">
        <v>0</v>
      </c>
      <c r="BH490" s="37">
        <v>0</v>
      </c>
      <c r="BI490" s="37">
        <v>0</v>
      </c>
      <c r="BJ490" s="37">
        <v>0</v>
      </c>
      <c r="BK490" s="37">
        <v>0</v>
      </c>
      <c r="BL490" s="37">
        <v>0</v>
      </c>
      <c r="BM490" s="37">
        <v>0</v>
      </c>
      <c r="BN490" s="37">
        <v>0</v>
      </c>
      <c r="BO490" s="37">
        <v>0</v>
      </c>
      <c r="BP490" s="37">
        <v>1900000</v>
      </c>
      <c r="BQ490" s="37">
        <v>0</v>
      </c>
      <c r="BR490" s="37">
        <v>0</v>
      </c>
      <c r="BS490" s="37">
        <v>0</v>
      </c>
      <c r="BT490" s="37">
        <v>0</v>
      </c>
      <c r="BU490" s="37">
        <v>0</v>
      </c>
      <c r="BV490" s="37">
        <v>0</v>
      </c>
      <c r="BW490" s="37">
        <v>0</v>
      </c>
      <c r="BX490" s="37">
        <v>0</v>
      </c>
      <c r="BY490" s="37">
        <v>0</v>
      </c>
      <c r="BZ490" s="37">
        <v>0</v>
      </c>
      <c r="CA490" s="37">
        <v>0</v>
      </c>
      <c r="CB490" s="37">
        <v>0</v>
      </c>
      <c r="CC490" s="37">
        <v>0</v>
      </c>
      <c r="CD490" s="37">
        <v>0</v>
      </c>
      <c r="CE490" s="37">
        <v>0</v>
      </c>
      <c r="CF490" s="37">
        <v>0</v>
      </c>
      <c r="CG490" s="37">
        <v>0</v>
      </c>
      <c r="CH490" s="37">
        <v>0</v>
      </c>
      <c r="CI490" s="37">
        <v>0</v>
      </c>
      <c r="CJ490" s="37">
        <v>0</v>
      </c>
      <c r="CK490" s="37">
        <v>0</v>
      </c>
      <c r="CL490" s="37">
        <v>0</v>
      </c>
      <c r="CM490" s="37">
        <v>0</v>
      </c>
      <c r="CN490" s="37">
        <v>0</v>
      </c>
      <c r="CO490" s="37">
        <v>2000</v>
      </c>
      <c r="CP490" s="37">
        <v>0</v>
      </c>
      <c r="CQ490" s="37">
        <v>0</v>
      </c>
      <c r="CR490" s="37">
        <v>0</v>
      </c>
      <c r="CS490" s="37">
        <v>0</v>
      </c>
      <c r="CT490" s="37">
        <v>0</v>
      </c>
      <c r="CU490" s="37">
        <v>0</v>
      </c>
      <c r="CV490" s="37">
        <v>0</v>
      </c>
      <c r="CW490" s="37">
        <v>0</v>
      </c>
      <c r="CX490" s="37">
        <v>0</v>
      </c>
      <c r="CY490" s="37">
        <v>0</v>
      </c>
      <c r="CZ490" s="37">
        <v>0</v>
      </c>
      <c r="DA490" s="37">
        <v>0</v>
      </c>
      <c r="DB490" s="37">
        <v>0</v>
      </c>
      <c r="DC490" s="37">
        <v>0</v>
      </c>
      <c r="DD490" s="37">
        <v>0</v>
      </c>
      <c r="DE490" s="37">
        <v>0</v>
      </c>
      <c r="DF490" s="37">
        <v>0</v>
      </c>
      <c r="DG490" s="37">
        <v>0</v>
      </c>
      <c r="DH490" s="37">
        <v>0</v>
      </c>
      <c r="DI490" s="37">
        <v>0</v>
      </c>
      <c r="DJ490" s="37">
        <v>0</v>
      </c>
      <c r="DK490" s="37">
        <v>0</v>
      </c>
      <c r="DL490" s="37">
        <v>0</v>
      </c>
      <c r="DM490" s="37">
        <v>0</v>
      </c>
      <c r="DN490" s="37">
        <v>0</v>
      </c>
      <c r="DO490" s="37">
        <v>0</v>
      </c>
      <c r="DP490" s="37">
        <v>0</v>
      </c>
      <c r="DQ490" s="37">
        <v>0</v>
      </c>
      <c r="DR490" s="37">
        <v>0</v>
      </c>
      <c r="DS490" s="37">
        <v>0</v>
      </c>
      <c r="DT490" s="37">
        <v>0</v>
      </c>
      <c r="DU490" s="37">
        <v>0</v>
      </c>
      <c r="DV490" s="37">
        <v>0</v>
      </c>
      <c r="DW490" s="37">
        <v>0</v>
      </c>
      <c r="DX490" s="37">
        <v>0</v>
      </c>
      <c r="DY490" s="37">
        <v>0</v>
      </c>
      <c r="DZ490" s="37">
        <v>0</v>
      </c>
      <c r="EA490" s="37">
        <v>0</v>
      </c>
      <c r="EB490" s="37">
        <v>0</v>
      </c>
      <c r="EC490" s="37">
        <v>0</v>
      </c>
      <c r="ED490" s="37">
        <v>0</v>
      </c>
      <c r="EE490" s="37">
        <v>0</v>
      </c>
      <c r="EF490" s="37">
        <v>0</v>
      </c>
      <c r="EG490" s="37">
        <v>0</v>
      </c>
      <c r="EH490" s="37">
        <v>0</v>
      </c>
      <c r="EI490" s="37">
        <v>0</v>
      </c>
      <c r="EJ490" s="37">
        <v>0</v>
      </c>
      <c r="EK490" s="161" t="s">
        <v>2424</v>
      </c>
      <c r="EL490" s="294" t="s">
        <v>1124</v>
      </c>
    </row>
    <row r="491" spans="1:142" ht="15" customHeight="1" x14ac:dyDescent="0.35">
      <c r="A491" s="34"/>
      <c r="B491" s="313">
        <v>34017</v>
      </c>
      <c r="C491" s="8" t="s">
        <v>286</v>
      </c>
      <c r="D491" s="18">
        <v>3</v>
      </c>
      <c r="E491" s="155">
        <v>555769</v>
      </c>
      <c r="F491" s="36">
        <v>528794</v>
      </c>
      <c r="G491" s="37">
        <v>78952</v>
      </c>
      <c r="H491" s="37">
        <v>104562</v>
      </c>
      <c r="I491" s="37">
        <v>122040</v>
      </c>
      <c r="J491" s="37">
        <v>182863</v>
      </c>
      <c r="K491" s="37">
        <v>83365.349999999991</v>
      </c>
      <c r="L491" s="37">
        <v>79319.099999999991</v>
      </c>
      <c r="M491" s="37">
        <v>840126.35</v>
      </c>
      <c r="N491" s="37">
        <v>895538.1</v>
      </c>
      <c r="O491" s="37">
        <v>94264.13</v>
      </c>
      <c r="P491" s="37">
        <v>64564.85</v>
      </c>
      <c r="Q491" s="37">
        <v>778873.68</v>
      </c>
      <c r="R491" s="37">
        <v>675952.41</v>
      </c>
      <c r="S491" s="37">
        <v>8822</v>
      </c>
      <c r="T491" s="37">
        <v>6791</v>
      </c>
      <c r="U491" s="37">
        <v>23618</v>
      </c>
      <c r="V491" s="37">
        <v>0</v>
      </c>
      <c r="W491" s="37">
        <v>0</v>
      </c>
      <c r="X491" s="37">
        <v>82778.449999999953</v>
      </c>
      <c r="Y491" s="37">
        <v>0</v>
      </c>
      <c r="Z491" s="37">
        <v>0</v>
      </c>
      <c r="AA491" s="37">
        <v>905577.81</v>
      </c>
      <c r="AB491" s="37">
        <v>830086.71</v>
      </c>
      <c r="AC491" s="37">
        <v>1</v>
      </c>
      <c r="AD491" s="37">
        <v>0</v>
      </c>
      <c r="AE491" s="37">
        <v>0</v>
      </c>
      <c r="AF491" s="168">
        <v>0.02</v>
      </c>
      <c r="AG491" s="37">
        <v>110701822.64</v>
      </c>
      <c r="AH491" s="37">
        <v>999218.09</v>
      </c>
      <c r="AI491" s="37">
        <v>1010712.78</v>
      </c>
      <c r="AJ491" s="37">
        <v>1020102.72</v>
      </c>
      <c r="AK491" s="37">
        <v>1040504.77</v>
      </c>
      <c r="AL491" s="37">
        <v>1061314.8700000001</v>
      </c>
      <c r="AM491" s="37">
        <v>1082541.17</v>
      </c>
      <c r="AN491" s="37">
        <v>1104191.99</v>
      </c>
      <c r="AO491" s="37">
        <v>1126275.83</v>
      </c>
      <c r="AP491" s="37">
        <v>1148801.3400000001</v>
      </c>
      <c r="AQ491" s="37">
        <v>1171777.3700000001</v>
      </c>
      <c r="AR491" s="37">
        <v>10765440.93</v>
      </c>
      <c r="AS491" s="37">
        <v>1930242.68</v>
      </c>
      <c r="AT491" s="37">
        <v>520200</v>
      </c>
      <c r="AU491" s="37">
        <v>0</v>
      </c>
      <c r="AV491" s="37">
        <v>0</v>
      </c>
      <c r="AW491" s="37">
        <v>0</v>
      </c>
      <c r="AX491" s="37">
        <v>0</v>
      </c>
      <c r="AY491" s="37">
        <v>0</v>
      </c>
      <c r="AZ491" s="37">
        <v>0</v>
      </c>
      <c r="BA491" s="37">
        <v>0</v>
      </c>
      <c r="BB491" s="37">
        <v>0</v>
      </c>
      <c r="BC491" s="37">
        <v>0</v>
      </c>
      <c r="BD491" s="37">
        <v>520200</v>
      </c>
      <c r="BE491" s="37">
        <v>0</v>
      </c>
      <c r="BF491" s="37">
        <v>24032.580869473986</v>
      </c>
      <c r="BG491" s="37">
        <v>1928803</v>
      </c>
      <c r="BH491" s="37">
        <v>151341.85295262476</v>
      </c>
      <c r="BI491" s="37">
        <v>186308.51925224441</v>
      </c>
      <c r="BJ491" s="37">
        <v>221275.26027265182</v>
      </c>
      <c r="BK491" s="37">
        <v>24032.580869473986</v>
      </c>
      <c r="BL491" s="37">
        <v>116375.18665300508</v>
      </c>
      <c r="BM491" s="37">
        <v>151341.85295262476</v>
      </c>
      <c r="BN491" s="37">
        <v>186308.51925224441</v>
      </c>
      <c r="BO491" s="37">
        <v>221275.26027265182</v>
      </c>
      <c r="BP491" s="37">
        <v>3211094.6133469949</v>
      </c>
      <c r="BQ491" s="37">
        <v>0</v>
      </c>
      <c r="BR491" s="37">
        <v>0</v>
      </c>
      <c r="BS491" s="37">
        <v>453109</v>
      </c>
      <c r="BT491" s="37">
        <v>0</v>
      </c>
      <c r="BU491" s="37">
        <v>0</v>
      </c>
      <c r="BV491" s="37">
        <v>0</v>
      </c>
      <c r="BW491" s="37">
        <v>0</v>
      </c>
      <c r="BX491" s="37">
        <v>0</v>
      </c>
      <c r="BY491" s="37">
        <v>0</v>
      </c>
      <c r="BZ491" s="37">
        <v>0</v>
      </c>
      <c r="CA491" s="37">
        <v>0</v>
      </c>
      <c r="CB491" s="37">
        <v>453109</v>
      </c>
      <c r="CC491" s="37">
        <v>0</v>
      </c>
      <c r="CD491" s="37">
        <v>0</v>
      </c>
      <c r="CE491" s="37">
        <v>0</v>
      </c>
      <c r="CF491" s="37">
        <v>0</v>
      </c>
      <c r="CG491" s="37">
        <v>0</v>
      </c>
      <c r="CH491" s="37">
        <v>0</v>
      </c>
      <c r="CI491" s="37">
        <v>0</v>
      </c>
      <c r="CJ491" s="37">
        <v>0</v>
      </c>
      <c r="CK491" s="37">
        <v>0</v>
      </c>
      <c r="CL491" s="37">
        <v>0</v>
      </c>
      <c r="CM491" s="37">
        <v>0</v>
      </c>
      <c r="CN491" s="37">
        <v>0</v>
      </c>
      <c r="CO491" s="37">
        <v>0</v>
      </c>
      <c r="CP491" s="37">
        <v>0</v>
      </c>
      <c r="CQ491" s="37">
        <v>0</v>
      </c>
      <c r="CR491" s="37">
        <v>0</v>
      </c>
      <c r="CS491" s="37">
        <v>0</v>
      </c>
      <c r="CT491" s="37">
        <v>0</v>
      </c>
      <c r="CU491" s="37">
        <v>0</v>
      </c>
      <c r="CV491" s="37">
        <v>0</v>
      </c>
      <c r="CW491" s="37">
        <v>0</v>
      </c>
      <c r="CX491" s="37">
        <v>0</v>
      </c>
      <c r="CY491" s="37">
        <v>0</v>
      </c>
      <c r="CZ491" s="37">
        <v>0</v>
      </c>
      <c r="DA491" s="37">
        <v>0</v>
      </c>
      <c r="DB491" s="37">
        <v>0</v>
      </c>
      <c r="DC491" s="37">
        <v>0</v>
      </c>
      <c r="DD491" s="37">
        <v>0</v>
      </c>
      <c r="DE491" s="37">
        <v>0</v>
      </c>
      <c r="DF491" s="37">
        <v>0</v>
      </c>
      <c r="DG491" s="37">
        <v>0</v>
      </c>
      <c r="DH491" s="37">
        <v>0</v>
      </c>
      <c r="DI491" s="37">
        <v>0</v>
      </c>
      <c r="DJ491" s="37">
        <v>0</v>
      </c>
      <c r="DK491" s="37">
        <v>0</v>
      </c>
      <c r="DL491" s="37">
        <v>0</v>
      </c>
      <c r="DM491" s="37">
        <v>0</v>
      </c>
      <c r="DN491" s="37">
        <v>0</v>
      </c>
      <c r="DO491" s="37">
        <v>0</v>
      </c>
      <c r="DP491" s="37">
        <v>0</v>
      </c>
      <c r="DQ491" s="37">
        <v>0</v>
      </c>
      <c r="DR491" s="37">
        <v>0</v>
      </c>
      <c r="DS491" s="37">
        <v>0</v>
      </c>
      <c r="DT491" s="37">
        <v>0</v>
      </c>
      <c r="DU491" s="37">
        <v>0</v>
      </c>
      <c r="DV491" s="37">
        <v>0</v>
      </c>
      <c r="DW491" s="37">
        <v>0</v>
      </c>
      <c r="DX491" s="37">
        <v>0</v>
      </c>
      <c r="DY491" s="37">
        <v>0</v>
      </c>
      <c r="DZ491" s="37">
        <v>0</v>
      </c>
      <c r="EA491" s="37">
        <v>0</v>
      </c>
      <c r="EB491" s="37">
        <v>0</v>
      </c>
      <c r="EC491" s="37">
        <v>0</v>
      </c>
      <c r="ED491" s="37">
        <v>0</v>
      </c>
      <c r="EE491" s="37">
        <v>0</v>
      </c>
      <c r="EF491" s="37">
        <v>0</v>
      </c>
      <c r="EG491" s="37">
        <v>0</v>
      </c>
      <c r="EH491" s="37">
        <v>0</v>
      </c>
      <c r="EI491" s="37">
        <v>0</v>
      </c>
      <c r="EJ491" s="37">
        <v>0</v>
      </c>
      <c r="EK491" s="161" t="s">
        <v>2427</v>
      </c>
      <c r="EL491" s="294" t="s">
        <v>1124</v>
      </c>
    </row>
    <row r="492" spans="1:142" ht="15" customHeight="1" x14ac:dyDescent="0.35">
      <c r="A492" s="34"/>
      <c r="B492" s="313">
        <v>84020</v>
      </c>
      <c r="C492" s="8" t="s">
        <v>855</v>
      </c>
      <c r="D492" s="18">
        <v>7</v>
      </c>
      <c r="E492" s="155"/>
      <c r="F492" s="36"/>
      <c r="G492" s="37"/>
      <c r="H492" s="37"/>
      <c r="I492" s="37"/>
      <c r="J492" s="37"/>
      <c r="K492" s="37"/>
      <c r="L492" s="37"/>
      <c r="M492" s="37" t="s">
        <v>1124</v>
      </c>
      <c r="N492" s="37" t="s">
        <v>1124</v>
      </c>
      <c r="O492" s="37"/>
      <c r="P492" s="37"/>
      <c r="Q492" s="37"/>
      <c r="R492" s="37"/>
      <c r="S492" s="37"/>
      <c r="T492" s="37"/>
      <c r="U492" s="37"/>
      <c r="V492" s="37"/>
      <c r="W492" s="37"/>
      <c r="X492" s="37"/>
      <c r="Y492" s="37"/>
      <c r="Z492" s="37"/>
      <c r="AA492" s="37" t="s">
        <v>1124</v>
      </c>
      <c r="AB492" s="37" t="s">
        <v>1124</v>
      </c>
      <c r="AC492" s="37"/>
      <c r="AD492" s="37"/>
      <c r="AE492" s="37"/>
      <c r="AF492" s="168"/>
      <c r="AG492" s="37"/>
      <c r="AH492" s="37"/>
      <c r="AI492" s="37"/>
      <c r="AJ492" s="37"/>
      <c r="AK492" s="37"/>
      <c r="AL492" s="37"/>
      <c r="AM492" s="37"/>
      <c r="AN492" s="37"/>
      <c r="AO492" s="37"/>
      <c r="AP492" s="37"/>
      <c r="AQ492" s="37"/>
      <c r="AR492" s="37" t="s">
        <v>1124</v>
      </c>
      <c r="AS492" s="37"/>
      <c r="AT492" s="37"/>
      <c r="AU492" s="37"/>
      <c r="AV492" s="37"/>
      <c r="AW492" s="37"/>
      <c r="AX492" s="37"/>
      <c r="AY492" s="37"/>
      <c r="AZ492" s="37"/>
      <c r="BA492" s="37"/>
      <c r="BB492" s="37"/>
      <c r="BC492" s="37"/>
      <c r="BD492" s="37" t="s">
        <v>1124</v>
      </c>
      <c r="BE492" s="37"/>
      <c r="BF492" s="37"/>
      <c r="BG492" s="37"/>
      <c r="BH492" s="37"/>
      <c r="BI492" s="37"/>
      <c r="BJ492" s="37"/>
      <c r="BK492" s="37"/>
      <c r="BL492" s="37"/>
      <c r="BM492" s="37"/>
      <c r="BN492" s="37"/>
      <c r="BO492" s="37"/>
      <c r="BP492" s="37">
        <v>0</v>
      </c>
      <c r="BQ492" s="37"/>
      <c r="BR492" s="37"/>
      <c r="BS492" s="37"/>
      <c r="BT492" s="37"/>
      <c r="BU492" s="37"/>
      <c r="BV492" s="37"/>
      <c r="BW492" s="37"/>
      <c r="BX492" s="37"/>
      <c r="BY492" s="37"/>
      <c r="BZ492" s="37"/>
      <c r="CA492" s="37"/>
      <c r="CB492" s="37" t="s">
        <v>1124</v>
      </c>
      <c r="CC492" s="37"/>
      <c r="CD492" s="37"/>
      <c r="CE492" s="37"/>
      <c r="CF492" s="37"/>
      <c r="CG492" s="37"/>
      <c r="CH492" s="37"/>
      <c r="CI492" s="37"/>
      <c r="CJ492" s="37"/>
      <c r="CK492" s="37"/>
      <c r="CL492" s="37"/>
      <c r="CM492" s="37"/>
      <c r="CN492" s="37" t="s">
        <v>1124</v>
      </c>
      <c r="CO492" s="37"/>
      <c r="CP492" s="37"/>
      <c r="CQ492" s="37"/>
      <c r="CR492" s="37"/>
      <c r="CS492" s="37"/>
      <c r="CT492" s="37"/>
      <c r="CU492" s="37"/>
      <c r="CV492" s="37"/>
      <c r="CW492" s="37"/>
      <c r="CX492" s="37"/>
      <c r="CY492" s="37"/>
      <c r="CZ492" s="37" t="s">
        <v>1124</v>
      </c>
      <c r="DA492" s="37"/>
      <c r="DB492" s="37"/>
      <c r="DC492" s="37"/>
      <c r="DD492" s="37"/>
      <c r="DE492" s="37"/>
      <c r="DF492" s="37"/>
      <c r="DG492" s="37"/>
      <c r="DH492" s="37"/>
      <c r="DI492" s="37"/>
      <c r="DJ492" s="37"/>
      <c r="DK492" s="37"/>
      <c r="DL492" s="37" t="s">
        <v>1124</v>
      </c>
      <c r="DM492" s="37"/>
      <c r="DN492" s="37"/>
      <c r="DO492" s="37"/>
      <c r="DP492" s="37"/>
      <c r="DQ492" s="37"/>
      <c r="DR492" s="37"/>
      <c r="DS492" s="37"/>
      <c r="DT492" s="37"/>
      <c r="DU492" s="37"/>
      <c r="DV492" s="37"/>
      <c r="DW492" s="37"/>
      <c r="DX492" s="37" t="s">
        <v>1124</v>
      </c>
      <c r="DY492" s="37"/>
      <c r="DZ492" s="37"/>
      <c r="EA492" s="37"/>
      <c r="EB492" s="37"/>
      <c r="EC492" s="37"/>
      <c r="ED492" s="37"/>
      <c r="EE492" s="37"/>
      <c r="EF492" s="37"/>
      <c r="EG492" s="37"/>
      <c r="EH492" s="37"/>
      <c r="EI492" s="37"/>
      <c r="EJ492" s="37" t="s">
        <v>1124</v>
      </c>
      <c r="EK492" s="161"/>
      <c r="EL492" s="294"/>
    </row>
    <row r="493" spans="1:142" ht="15" customHeight="1" x14ac:dyDescent="0.35">
      <c r="A493" s="34"/>
      <c r="B493" s="313">
        <v>97022</v>
      </c>
      <c r="C493" s="8" t="s">
        <v>1003</v>
      </c>
      <c r="D493" s="18">
        <v>9</v>
      </c>
      <c r="E493" s="155">
        <v>1749663</v>
      </c>
      <c r="F493" s="36">
        <v>673595</v>
      </c>
      <c r="G493" s="37">
        <v>68517</v>
      </c>
      <c r="H493" s="37">
        <v>154208</v>
      </c>
      <c r="I493" s="37">
        <v>360091</v>
      </c>
      <c r="J493" s="37">
        <v>402100</v>
      </c>
      <c r="K493" s="37">
        <v>217827.1</v>
      </c>
      <c r="L493" s="37">
        <v>122990.3</v>
      </c>
      <c r="M493" s="37">
        <v>2396098.1</v>
      </c>
      <c r="N493" s="37">
        <v>1352893.3</v>
      </c>
      <c r="O493" s="37">
        <v>0</v>
      </c>
      <c r="P493" s="37">
        <v>0</v>
      </c>
      <c r="Q493" s="37">
        <v>1016097</v>
      </c>
      <c r="R493" s="37">
        <v>0</v>
      </c>
      <c r="S493" s="37">
        <v>36851</v>
      </c>
      <c r="T493" s="37">
        <v>0</v>
      </c>
      <c r="U493" s="37">
        <v>0</v>
      </c>
      <c r="V493" s="37">
        <v>233930</v>
      </c>
      <c r="W493" s="37">
        <v>2014547.9060977034</v>
      </c>
      <c r="X493" s="37">
        <v>447565.49390229693</v>
      </c>
      <c r="Y493" s="37">
        <v>0</v>
      </c>
      <c r="Z493" s="37">
        <v>0</v>
      </c>
      <c r="AA493" s="37">
        <v>3067495.9060977036</v>
      </c>
      <c r="AB493" s="37">
        <v>681495.49390229699</v>
      </c>
      <c r="AC493" s="37">
        <v>0</v>
      </c>
      <c r="AD493" s="37">
        <v>0</v>
      </c>
      <c r="AE493" s="37">
        <v>0</v>
      </c>
      <c r="AF493" s="168">
        <v>0.02</v>
      </c>
      <c r="AG493" s="37">
        <v>186939487.27000001</v>
      </c>
      <c r="AH493" s="37">
        <v>1596928.99</v>
      </c>
      <c r="AI493" s="37">
        <v>1612949.45</v>
      </c>
      <c r="AJ493" s="37">
        <v>1680387.49</v>
      </c>
      <c r="AK493" s="37">
        <v>1658791.2</v>
      </c>
      <c r="AL493" s="37">
        <v>1691967.02</v>
      </c>
      <c r="AM493" s="37">
        <v>1754523.5</v>
      </c>
      <c r="AN493" s="37">
        <v>1789613.97</v>
      </c>
      <c r="AO493" s="37">
        <v>1915038.2</v>
      </c>
      <c r="AP493" s="37">
        <v>1831439.52</v>
      </c>
      <c r="AQ493" s="37">
        <v>1868068.31</v>
      </c>
      <c r="AR493" s="37">
        <v>17399707.649999999</v>
      </c>
      <c r="AS493" s="37">
        <v>92075.4</v>
      </c>
      <c r="AT493" s="37">
        <v>0</v>
      </c>
      <c r="AU493" s="37">
        <v>159181.20000000001</v>
      </c>
      <c r="AV493" s="37">
        <v>9597565.1500000004</v>
      </c>
      <c r="AW493" s="37">
        <v>9568700.2899999991</v>
      </c>
      <c r="AX493" s="37">
        <v>1201239.9099999999</v>
      </c>
      <c r="AY493" s="37">
        <v>0</v>
      </c>
      <c r="AZ493" s="37">
        <v>0</v>
      </c>
      <c r="BA493" s="37">
        <v>0</v>
      </c>
      <c r="BB493" s="37">
        <v>60949.72</v>
      </c>
      <c r="BC493" s="37">
        <v>0</v>
      </c>
      <c r="BD493" s="37">
        <v>20587636.27</v>
      </c>
      <c r="BE493" s="37">
        <v>0</v>
      </c>
      <c r="BF493" s="37">
        <v>480512.14317389176</v>
      </c>
      <c r="BG493" s="37">
        <v>517931.44636767352</v>
      </c>
      <c r="BH493" s="37">
        <v>637596.53370400309</v>
      </c>
      <c r="BI493" s="37">
        <v>757261.87675443233</v>
      </c>
      <c r="BJ493" s="37">
        <v>82245.784142547505</v>
      </c>
      <c r="BK493" s="37">
        <v>398266.35903134377</v>
      </c>
      <c r="BL493" s="37">
        <v>517931.44636767352</v>
      </c>
      <c r="BM493" s="37">
        <v>637596.53370400309</v>
      </c>
      <c r="BN493" s="37">
        <v>757261.87675443233</v>
      </c>
      <c r="BO493" s="37">
        <v>0</v>
      </c>
      <c r="BP493" s="37">
        <v>4786604.0000000009</v>
      </c>
      <c r="BQ493" s="37">
        <v>0</v>
      </c>
      <c r="BR493" s="37">
        <v>0</v>
      </c>
      <c r="BS493" s="37">
        <v>0</v>
      </c>
      <c r="BT493" s="37">
        <v>0</v>
      </c>
      <c r="BU493" s="37">
        <v>0</v>
      </c>
      <c r="BV493" s="37">
        <v>0</v>
      </c>
      <c r="BW493" s="37">
        <v>0</v>
      </c>
      <c r="BX493" s="37">
        <v>0</v>
      </c>
      <c r="BY493" s="37">
        <v>0</v>
      </c>
      <c r="BZ493" s="37">
        <v>0</v>
      </c>
      <c r="CA493" s="37">
        <v>0</v>
      </c>
      <c r="CB493" s="37">
        <v>0</v>
      </c>
      <c r="CC493" s="37">
        <v>0</v>
      </c>
      <c r="CD493" s="37">
        <v>0</v>
      </c>
      <c r="CE493" s="37">
        <v>0</v>
      </c>
      <c r="CF493" s="37">
        <v>0</v>
      </c>
      <c r="CG493" s="37">
        <v>0</v>
      </c>
      <c r="CH493" s="37">
        <v>0</v>
      </c>
      <c r="CI493" s="37">
        <v>0</v>
      </c>
      <c r="CJ493" s="37">
        <v>0</v>
      </c>
      <c r="CK493" s="37">
        <v>0</v>
      </c>
      <c r="CL493" s="37">
        <v>0</v>
      </c>
      <c r="CM493" s="37">
        <v>0</v>
      </c>
      <c r="CN493" s="37">
        <v>0</v>
      </c>
      <c r="CO493" s="37">
        <v>2616399</v>
      </c>
      <c r="CP493" s="37">
        <v>6681571</v>
      </c>
      <c r="CQ493" s="37">
        <v>686529</v>
      </c>
      <c r="CR493" s="37">
        <v>0</v>
      </c>
      <c r="CS493" s="37">
        <v>0</v>
      </c>
      <c r="CT493" s="37">
        <v>0</v>
      </c>
      <c r="CU493" s="37">
        <v>0</v>
      </c>
      <c r="CV493" s="37">
        <v>0</v>
      </c>
      <c r="CW493" s="37">
        <v>0</v>
      </c>
      <c r="CX493" s="37">
        <v>0</v>
      </c>
      <c r="CY493" s="37">
        <v>0</v>
      </c>
      <c r="CZ493" s="37">
        <v>7368100</v>
      </c>
      <c r="DA493" s="37">
        <v>1308199</v>
      </c>
      <c r="DB493" s="37">
        <v>3205822</v>
      </c>
      <c r="DC493" s="37">
        <v>0</v>
      </c>
      <c r="DD493" s="37">
        <v>0</v>
      </c>
      <c r="DE493" s="37">
        <v>0</v>
      </c>
      <c r="DF493" s="37">
        <v>0</v>
      </c>
      <c r="DG493" s="37">
        <v>0</v>
      </c>
      <c r="DH493" s="37">
        <v>0</v>
      </c>
      <c r="DI493" s="37">
        <v>0</v>
      </c>
      <c r="DJ493" s="37">
        <v>0</v>
      </c>
      <c r="DK493" s="37">
        <v>0</v>
      </c>
      <c r="DL493" s="37">
        <v>3205822</v>
      </c>
      <c r="DM493" s="37">
        <v>0</v>
      </c>
      <c r="DN493" s="37">
        <v>0</v>
      </c>
      <c r="DO493" s="37">
        <v>0</v>
      </c>
      <c r="DP493" s="37">
        <v>0</v>
      </c>
      <c r="DQ493" s="37">
        <v>0</v>
      </c>
      <c r="DR493" s="37">
        <v>0</v>
      </c>
      <c r="DS493" s="37">
        <v>0</v>
      </c>
      <c r="DT493" s="37">
        <v>0</v>
      </c>
      <c r="DU493" s="37">
        <v>0</v>
      </c>
      <c r="DV493" s="37">
        <v>0</v>
      </c>
      <c r="DW493" s="37">
        <v>0</v>
      </c>
      <c r="DX493" s="37">
        <v>0</v>
      </c>
      <c r="DY493" s="37">
        <v>0</v>
      </c>
      <c r="DZ493" s="37">
        <v>0</v>
      </c>
      <c r="EA493" s="37">
        <v>0</v>
      </c>
      <c r="EB493" s="37">
        <v>0</v>
      </c>
      <c r="EC493" s="37">
        <v>0</v>
      </c>
      <c r="ED493" s="37">
        <v>0</v>
      </c>
      <c r="EE493" s="37">
        <v>0</v>
      </c>
      <c r="EF493" s="37">
        <v>0</v>
      </c>
      <c r="EG493" s="37">
        <v>0</v>
      </c>
      <c r="EH493" s="37">
        <v>0</v>
      </c>
      <c r="EI493" s="37">
        <v>0</v>
      </c>
      <c r="EJ493" s="37">
        <v>0</v>
      </c>
      <c r="EK493" s="161" t="s">
        <v>3730</v>
      </c>
      <c r="EL493" s="294" t="s">
        <v>1124</v>
      </c>
    </row>
    <row r="494" spans="1:142" ht="15" customHeight="1" x14ac:dyDescent="0.35">
      <c r="A494" s="34"/>
      <c r="B494" s="313">
        <v>2047</v>
      </c>
      <c r="C494" s="8" t="s">
        <v>1030</v>
      </c>
      <c r="D494" s="18">
        <v>11</v>
      </c>
      <c r="E494" s="155">
        <v>158428</v>
      </c>
      <c r="F494" s="36">
        <v>139573</v>
      </c>
      <c r="G494" s="37">
        <v>258</v>
      </c>
      <c r="H494" s="37">
        <v>0</v>
      </c>
      <c r="I494" s="37">
        <v>94032</v>
      </c>
      <c r="J494" s="37">
        <v>0</v>
      </c>
      <c r="K494" s="37">
        <v>23764</v>
      </c>
      <c r="L494" s="37">
        <v>20936</v>
      </c>
      <c r="M494" s="37">
        <v>276482</v>
      </c>
      <c r="N494" s="37">
        <v>160509</v>
      </c>
      <c r="O494" s="37">
        <v>0</v>
      </c>
      <c r="P494" s="37">
        <v>0</v>
      </c>
      <c r="Q494" s="37">
        <v>86010</v>
      </c>
      <c r="R494" s="37">
        <v>101248</v>
      </c>
      <c r="S494" s="37">
        <v>15600</v>
      </c>
      <c r="T494" s="37">
        <v>38325</v>
      </c>
      <c r="U494" s="37">
        <v>68135</v>
      </c>
      <c r="V494" s="37">
        <v>0</v>
      </c>
      <c r="W494" s="37">
        <v>85739</v>
      </c>
      <c r="X494" s="37">
        <v>20936</v>
      </c>
      <c r="Y494" s="37">
        <v>20998</v>
      </c>
      <c r="Z494" s="37">
        <v>0</v>
      </c>
      <c r="AA494" s="37">
        <v>276482</v>
      </c>
      <c r="AB494" s="37">
        <v>160509</v>
      </c>
      <c r="AC494" s="37">
        <v>0</v>
      </c>
      <c r="AD494" s="37">
        <v>0</v>
      </c>
      <c r="AE494" s="37">
        <v>0</v>
      </c>
      <c r="AF494" s="168">
        <v>0.02</v>
      </c>
      <c r="AG494" s="37">
        <v>15532024.689999999</v>
      </c>
      <c r="AH494" s="37">
        <v>132440.82999999999</v>
      </c>
      <c r="AI494" s="37">
        <v>135089.64000000001</v>
      </c>
      <c r="AJ494" s="37">
        <v>137791.44</v>
      </c>
      <c r="AK494" s="37">
        <v>140547.26999999999</v>
      </c>
      <c r="AL494" s="37">
        <v>143358.21</v>
      </c>
      <c r="AM494" s="37">
        <v>146225.38</v>
      </c>
      <c r="AN494" s="37">
        <v>149149.88</v>
      </c>
      <c r="AO494" s="37">
        <v>152132.88</v>
      </c>
      <c r="AP494" s="37">
        <v>155175.54</v>
      </c>
      <c r="AQ494" s="37">
        <v>158279.04999999999</v>
      </c>
      <c r="AR494" s="37">
        <v>1450190.12</v>
      </c>
      <c r="AS494" s="37">
        <v>0</v>
      </c>
      <c r="AT494" s="37">
        <v>14586000</v>
      </c>
      <c r="AU494" s="37">
        <v>14877720</v>
      </c>
      <c r="AV494" s="37">
        <v>0</v>
      </c>
      <c r="AW494" s="37">
        <v>0</v>
      </c>
      <c r="AX494" s="37">
        <v>0</v>
      </c>
      <c r="AY494" s="37">
        <v>0</v>
      </c>
      <c r="AZ494" s="37">
        <v>0</v>
      </c>
      <c r="BA494" s="37">
        <v>0</v>
      </c>
      <c r="BB494" s="37">
        <v>0</v>
      </c>
      <c r="BC494" s="37">
        <v>0</v>
      </c>
      <c r="BD494" s="37">
        <v>29463720</v>
      </c>
      <c r="BE494" s="37">
        <v>0</v>
      </c>
      <c r="BF494" s="37">
        <v>0</v>
      </c>
      <c r="BG494" s="37">
        <v>0</v>
      </c>
      <c r="BH494" s="37">
        <v>0</v>
      </c>
      <c r="BI494" s="37">
        <v>0</v>
      </c>
      <c r="BJ494" s="37">
        <v>0</v>
      </c>
      <c r="BK494" s="37">
        <v>0</v>
      </c>
      <c r="BL494" s="37">
        <v>0</v>
      </c>
      <c r="BM494" s="37">
        <v>0</v>
      </c>
      <c r="BN494" s="37">
        <v>0</v>
      </c>
      <c r="BO494" s="37">
        <v>0</v>
      </c>
      <c r="BP494" s="37">
        <v>0</v>
      </c>
      <c r="BQ494" s="37">
        <v>0</v>
      </c>
      <c r="BR494" s="37">
        <v>0</v>
      </c>
      <c r="BS494" s="37">
        <v>0</v>
      </c>
      <c r="BT494" s="37">
        <v>0</v>
      </c>
      <c r="BU494" s="37">
        <v>0</v>
      </c>
      <c r="BV494" s="37">
        <v>0</v>
      </c>
      <c r="BW494" s="37">
        <v>0</v>
      </c>
      <c r="BX494" s="37">
        <v>0</v>
      </c>
      <c r="BY494" s="37">
        <v>0</v>
      </c>
      <c r="BZ494" s="37">
        <v>0</v>
      </c>
      <c r="CA494" s="37">
        <v>0</v>
      </c>
      <c r="CB494" s="37">
        <v>0</v>
      </c>
      <c r="CC494" s="37">
        <v>0</v>
      </c>
      <c r="CD494" s="37">
        <v>0</v>
      </c>
      <c r="CE494" s="37">
        <v>0</v>
      </c>
      <c r="CF494" s="37">
        <v>0</v>
      </c>
      <c r="CG494" s="37">
        <v>0</v>
      </c>
      <c r="CH494" s="37">
        <v>0</v>
      </c>
      <c r="CI494" s="37">
        <v>0</v>
      </c>
      <c r="CJ494" s="37">
        <v>0</v>
      </c>
      <c r="CK494" s="37">
        <v>0</v>
      </c>
      <c r="CL494" s="37">
        <v>0</v>
      </c>
      <c r="CM494" s="37">
        <v>0</v>
      </c>
      <c r="CN494" s="37">
        <v>0</v>
      </c>
      <c r="CO494" s="37">
        <v>507819</v>
      </c>
      <c r="CP494" s="37">
        <v>1185097</v>
      </c>
      <c r="CQ494" s="37">
        <v>0</v>
      </c>
      <c r="CR494" s="37">
        <v>0</v>
      </c>
      <c r="CS494" s="37">
        <v>0</v>
      </c>
      <c r="CT494" s="37">
        <v>0</v>
      </c>
      <c r="CU494" s="37">
        <v>0</v>
      </c>
      <c r="CV494" s="37">
        <v>0</v>
      </c>
      <c r="CW494" s="37">
        <v>0</v>
      </c>
      <c r="CX494" s="37">
        <v>0</v>
      </c>
      <c r="CY494" s="37">
        <v>0</v>
      </c>
      <c r="CZ494" s="37">
        <v>1185097</v>
      </c>
      <c r="DA494" s="37">
        <v>0</v>
      </c>
      <c r="DB494" s="37">
        <v>13707451.5</v>
      </c>
      <c r="DC494" s="37">
        <v>13707451.5</v>
      </c>
      <c r="DD494" s="37">
        <v>0</v>
      </c>
      <c r="DE494" s="37">
        <v>0</v>
      </c>
      <c r="DF494" s="37">
        <v>0</v>
      </c>
      <c r="DG494" s="37">
        <v>0</v>
      </c>
      <c r="DH494" s="37">
        <v>0</v>
      </c>
      <c r="DI494" s="37">
        <v>0</v>
      </c>
      <c r="DJ494" s="37">
        <v>0</v>
      </c>
      <c r="DK494" s="37">
        <v>0</v>
      </c>
      <c r="DL494" s="37">
        <v>27414903</v>
      </c>
      <c r="DM494" s="37">
        <v>0</v>
      </c>
      <c r="DN494" s="37">
        <v>0</v>
      </c>
      <c r="DO494" s="37">
        <v>0</v>
      </c>
      <c r="DP494" s="37">
        <v>0</v>
      </c>
      <c r="DQ494" s="37">
        <v>0</v>
      </c>
      <c r="DR494" s="37">
        <v>0</v>
      </c>
      <c r="DS494" s="37">
        <v>0</v>
      </c>
      <c r="DT494" s="37">
        <v>0</v>
      </c>
      <c r="DU494" s="37">
        <v>0</v>
      </c>
      <c r="DV494" s="37">
        <v>0</v>
      </c>
      <c r="DW494" s="37">
        <v>0</v>
      </c>
      <c r="DX494" s="37">
        <v>0</v>
      </c>
      <c r="DY494" s="37">
        <v>0</v>
      </c>
      <c r="DZ494" s="37">
        <v>0</v>
      </c>
      <c r="EA494" s="37">
        <v>0</v>
      </c>
      <c r="EB494" s="37">
        <v>0</v>
      </c>
      <c r="EC494" s="37">
        <v>0</v>
      </c>
      <c r="ED494" s="37">
        <v>0</v>
      </c>
      <c r="EE494" s="37">
        <v>0</v>
      </c>
      <c r="EF494" s="37">
        <v>0</v>
      </c>
      <c r="EG494" s="37">
        <v>0</v>
      </c>
      <c r="EH494" s="37">
        <v>0</v>
      </c>
      <c r="EI494" s="37">
        <v>0</v>
      </c>
      <c r="EJ494" s="37">
        <v>0</v>
      </c>
      <c r="EK494" s="161" t="s">
        <v>2433</v>
      </c>
      <c r="EL494" s="294" t="s">
        <v>1124</v>
      </c>
    </row>
    <row r="495" spans="1:142" ht="15" customHeight="1" x14ac:dyDescent="0.35">
      <c r="A495" s="34"/>
      <c r="B495" s="313">
        <v>34048</v>
      </c>
      <c r="C495" s="8" t="s">
        <v>290</v>
      </c>
      <c r="D495" s="18">
        <v>3</v>
      </c>
      <c r="E495" s="155">
        <v>256980</v>
      </c>
      <c r="F495" s="36">
        <v>484404</v>
      </c>
      <c r="G495" s="37">
        <v>78701</v>
      </c>
      <c r="H495" s="37">
        <v>83643</v>
      </c>
      <c r="I495" s="37">
        <v>214554</v>
      </c>
      <c r="J495" s="37">
        <v>232202</v>
      </c>
      <c r="K495" s="37">
        <v>38547</v>
      </c>
      <c r="L495" s="37">
        <v>72661</v>
      </c>
      <c r="M495" s="37">
        <v>588782</v>
      </c>
      <c r="N495" s="37">
        <v>872910</v>
      </c>
      <c r="O495" s="37">
        <v>0</v>
      </c>
      <c r="P495" s="37">
        <v>0</v>
      </c>
      <c r="Q495" s="37">
        <v>178652</v>
      </c>
      <c r="R495" s="37">
        <v>118627</v>
      </c>
      <c r="S495" s="37">
        <v>1117</v>
      </c>
      <c r="T495" s="37">
        <v>0</v>
      </c>
      <c r="U495" s="37">
        <v>1083524</v>
      </c>
      <c r="V495" s="37">
        <v>29373</v>
      </c>
      <c r="W495" s="37">
        <v>0</v>
      </c>
      <c r="X495" s="37">
        <v>50399</v>
      </c>
      <c r="Y495" s="37">
        <v>0</v>
      </c>
      <c r="Z495" s="37">
        <v>0</v>
      </c>
      <c r="AA495" s="37">
        <v>1263293</v>
      </c>
      <c r="AB495" s="37">
        <v>198399</v>
      </c>
      <c r="AC495" s="37">
        <v>0</v>
      </c>
      <c r="AD495" s="37">
        <v>0</v>
      </c>
      <c r="AE495" s="37">
        <v>17670</v>
      </c>
      <c r="AF495" s="168">
        <v>0.02</v>
      </c>
      <c r="AG495" s="37">
        <v>87765379.780000001</v>
      </c>
      <c r="AH495" s="37">
        <v>786579.47</v>
      </c>
      <c r="AI495" s="37">
        <v>802311.06</v>
      </c>
      <c r="AJ495" s="37">
        <v>818357.28</v>
      </c>
      <c r="AK495" s="37">
        <v>834724.42</v>
      </c>
      <c r="AL495" s="37">
        <v>851418.91</v>
      </c>
      <c r="AM495" s="37">
        <v>868447.29</v>
      </c>
      <c r="AN495" s="37">
        <v>885816.24</v>
      </c>
      <c r="AO495" s="37">
        <v>903532.56</v>
      </c>
      <c r="AP495" s="37">
        <v>921603.21</v>
      </c>
      <c r="AQ495" s="37">
        <v>940035.28</v>
      </c>
      <c r="AR495" s="37">
        <v>8612825.7200000007</v>
      </c>
      <c r="AS495" s="37">
        <v>545279.88</v>
      </c>
      <c r="AT495" s="37">
        <v>0</v>
      </c>
      <c r="AU495" s="37">
        <v>2865664.23</v>
      </c>
      <c r="AV495" s="37">
        <v>0</v>
      </c>
      <c r="AW495" s="37">
        <v>0</v>
      </c>
      <c r="AX495" s="37">
        <v>0</v>
      </c>
      <c r="AY495" s="37">
        <v>0</v>
      </c>
      <c r="AZ495" s="37">
        <v>0</v>
      </c>
      <c r="BA495" s="37">
        <v>0</v>
      </c>
      <c r="BB495" s="37">
        <v>0</v>
      </c>
      <c r="BC495" s="37">
        <v>0</v>
      </c>
      <c r="BD495" s="37">
        <v>2865664.23</v>
      </c>
      <c r="BE495" s="37">
        <v>0</v>
      </c>
      <c r="BF495" s="37">
        <v>0</v>
      </c>
      <c r="BG495" s="37">
        <v>0</v>
      </c>
      <c r="BH495" s="37">
        <v>2180918</v>
      </c>
      <c r="BI495" s="37">
        <v>0</v>
      </c>
      <c r="BJ495" s="37">
        <v>0</v>
      </c>
      <c r="BK495" s="37">
        <v>0</v>
      </c>
      <c r="BL495" s="37">
        <v>0</v>
      </c>
      <c r="BM495" s="37">
        <v>0</v>
      </c>
      <c r="BN495" s="37">
        <v>0</v>
      </c>
      <c r="BO495" s="37">
        <v>0</v>
      </c>
      <c r="BP495" s="37">
        <v>2180918</v>
      </c>
      <c r="BQ495" s="37">
        <v>0</v>
      </c>
      <c r="BR495" s="37">
        <v>0</v>
      </c>
      <c r="BS495" s="37">
        <v>0</v>
      </c>
      <c r="BT495" s="37">
        <v>545231</v>
      </c>
      <c r="BU495" s="37">
        <v>0</v>
      </c>
      <c r="BV495" s="37">
        <v>0</v>
      </c>
      <c r="BW495" s="37">
        <v>0</v>
      </c>
      <c r="BX495" s="37">
        <v>0</v>
      </c>
      <c r="BY495" s="37">
        <v>0</v>
      </c>
      <c r="BZ495" s="37">
        <v>0</v>
      </c>
      <c r="CA495" s="37">
        <v>0</v>
      </c>
      <c r="CB495" s="37">
        <v>545231</v>
      </c>
      <c r="CC495" s="37">
        <v>0</v>
      </c>
      <c r="CD495" s="37">
        <v>0</v>
      </c>
      <c r="CE495" s="37">
        <v>0</v>
      </c>
      <c r="CF495" s="37">
        <v>0</v>
      </c>
      <c r="CG495" s="37">
        <v>0</v>
      </c>
      <c r="CH495" s="37">
        <v>0</v>
      </c>
      <c r="CI495" s="37">
        <v>0</v>
      </c>
      <c r="CJ495" s="37">
        <v>0</v>
      </c>
      <c r="CK495" s="37">
        <v>0</v>
      </c>
      <c r="CL495" s="37">
        <v>0</v>
      </c>
      <c r="CM495" s="37">
        <v>0</v>
      </c>
      <c r="CN495" s="37">
        <v>0</v>
      </c>
      <c r="CO495" s="37">
        <v>200000</v>
      </c>
      <c r="CP495" s="37">
        <v>0</v>
      </c>
      <c r="CQ495" s="37">
        <v>2286141</v>
      </c>
      <c r="CR495" s="37">
        <v>0</v>
      </c>
      <c r="CS495" s="37">
        <v>0</v>
      </c>
      <c r="CT495" s="37">
        <v>0</v>
      </c>
      <c r="CU495" s="37">
        <v>0</v>
      </c>
      <c r="CV495" s="37">
        <v>0</v>
      </c>
      <c r="CW495" s="37">
        <v>0</v>
      </c>
      <c r="CX495" s="37">
        <v>0</v>
      </c>
      <c r="CY495" s="37">
        <v>0</v>
      </c>
      <c r="CZ495" s="37">
        <v>2286141</v>
      </c>
      <c r="DA495" s="37">
        <v>0</v>
      </c>
      <c r="DB495" s="37">
        <v>0</v>
      </c>
      <c r="DC495" s="37">
        <v>468246</v>
      </c>
      <c r="DD495" s="37">
        <v>0</v>
      </c>
      <c r="DE495" s="37">
        <v>0</v>
      </c>
      <c r="DF495" s="37">
        <v>0</v>
      </c>
      <c r="DG495" s="37">
        <v>0</v>
      </c>
      <c r="DH495" s="37">
        <v>0</v>
      </c>
      <c r="DI495" s="37">
        <v>0</v>
      </c>
      <c r="DJ495" s="37">
        <v>0</v>
      </c>
      <c r="DK495" s="37">
        <v>0</v>
      </c>
      <c r="DL495" s="37">
        <v>468246</v>
      </c>
      <c r="DM495" s="37">
        <v>0</v>
      </c>
      <c r="DN495" s="37">
        <v>0</v>
      </c>
      <c r="DO495" s="37">
        <v>0</v>
      </c>
      <c r="DP495" s="37">
        <v>0</v>
      </c>
      <c r="DQ495" s="37">
        <v>0</v>
      </c>
      <c r="DR495" s="37">
        <v>0</v>
      </c>
      <c r="DS495" s="37">
        <v>0</v>
      </c>
      <c r="DT495" s="37">
        <v>0</v>
      </c>
      <c r="DU495" s="37">
        <v>0</v>
      </c>
      <c r="DV495" s="37">
        <v>0</v>
      </c>
      <c r="DW495" s="37">
        <v>0</v>
      </c>
      <c r="DX495" s="37">
        <v>0</v>
      </c>
      <c r="DY495" s="37">
        <v>0</v>
      </c>
      <c r="DZ495" s="37">
        <v>0</v>
      </c>
      <c r="EA495" s="37">
        <v>0</v>
      </c>
      <c r="EB495" s="37">
        <v>0</v>
      </c>
      <c r="EC495" s="37">
        <v>0</v>
      </c>
      <c r="ED495" s="37">
        <v>0</v>
      </c>
      <c r="EE495" s="37">
        <v>0</v>
      </c>
      <c r="EF495" s="37">
        <v>0</v>
      </c>
      <c r="EG495" s="37">
        <v>0</v>
      </c>
      <c r="EH495" s="37">
        <v>0</v>
      </c>
      <c r="EI495" s="37">
        <v>0</v>
      </c>
      <c r="EJ495" s="37">
        <v>0</v>
      </c>
      <c r="EK495" s="161" t="s">
        <v>2439</v>
      </c>
      <c r="EL495" s="294" t="s">
        <v>1124</v>
      </c>
    </row>
    <row r="496" spans="1:142" ht="15" customHeight="1" x14ac:dyDescent="0.35">
      <c r="A496" s="34"/>
      <c r="B496" s="313">
        <v>95040</v>
      </c>
      <c r="C496" s="8" t="s">
        <v>991</v>
      </c>
      <c r="D496" s="18">
        <v>9</v>
      </c>
      <c r="E496" s="155">
        <v>98908</v>
      </c>
      <c r="F496" s="36">
        <v>80907</v>
      </c>
      <c r="G496" s="37">
        <v>28829</v>
      </c>
      <c r="H496" s="37">
        <v>0</v>
      </c>
      <c r="I496" s="37">
        <v>498200</v>
      </c>
      <c r="J496" s="37">
        <v>0</v>
      </c>
      <c r="K496" s="37">
        <v>14836.199999999999</v>
      </c>
      <c r="L496" s="37">
        <v>12136.05</v>
      </c>
      <c r="M496" s="37">
        <v>640773.19999999995</v>
      </c>
      <c r="N496" s="37">
        <v>93043.05</v>
      </c>
      <c r="O496" s="37">
        <v>0</v>
      </c>
      <c r="P496" s="37">
        <v>0</v>
      </c>
      <c r="Q496" s="37">
        <v>104427</v>
      </c>
      <c r="R496" s="37">
        <v>89897</v>
      </c>
      <c r="S496" s="37">
        <v>0</v>
      </c>
      <c r="T496" s="37">
        <v>0</v>
      </c>
      <c r="U496" s="37">
        <v>0</v>
      </c>
      <c r="V496" s="37">
        <v>22229</v>
      </c>
      <c r="W496" s="37">
        <v>517263.24999999994</v>
      </c>
      <c r="X496" s="37">
        <v>0</v>
      </c>
      <c r="Y496" s="37">
        <v>0</v>
      </c>
      <c r="Z496" s="37">
        <v>0</v>
      </c>
      <c r="AA496" s="37">
        <v>621690.25</v>
      </c>
      <c r="AB496" s="37">
        <v>112126</v>
      </c>
      <c r="AC496" s="37">
        <v>0</v>
      </c>
      <c r="AD496" s="37">
        <v>8000</v>
      </c>
      <c r="AE496" s="37">
        <v>133250.88</v>
      </c>
      <c r="AF496" s="168">
        <v>0.02</v>
      </c>
      <c r="AG496" s="37">
        <v>19234677.579999998</v>
      </c>
      <c r="AH496" s="37">
        <v>158326.44</v>
      </c>
      <c r="AI496" s="37">
        <v>161492.97</v>
      </c>
      <c r="AJ496" s="37">
        <v>164722.82999999999</v>
      </c>
      <c r="AK496" s="37">
        <v>168017.28</v>
      </c>
      <c r="AL496" s="37">
        <v>171377.63</v>
      </c>
      <c r="AM496" s="37">
        <v>174805.18</v>
      </c>
      <c r="AN496" s="37">
        <v>178301.29</v>
      </c>
      <c r="AO496" s="37">
        <v>181867.31</v>
      </c>
      <c r="AP496" s="37">
        <v>185504.66</v>
      </c>
      <c r="AQ496" s="37">
        <v>189214.75</v>
      </c>
      <c r="AR496" s="37">
        <v>1733630.34</v>
      </c>
      <c r="AS496" s="37">
        <v>2625028.14</v>
      </c>
      <c r="AT496" s="37">
        <v>0</v>
      </c>
      <c r="AU496" s="37">
        <v>0</v>
      </c>
      <c r="AV496" s="37">
        <v>0</v>
      </c>
      <c r="AW496" s="37">
        <v>0</v>
      </c>
      <c r="AX496" s="37">
        <v>0</v>
      </c>
      <c r="AY496" s="37">
        <v>0</v>
      </c>
      <c r="AZ496" s="37">
        <v>0</v>
      </c>
      <c r="BA496" s="37">
        <v>0</v>
      </c>
      <c r="BB496" s="37">
        <v>0</v>
      </c>
      <c r="BC496" s="37">
        <v>0</v>
      </c>
      <c r="BD496" s="37">
        <v>0</v>
      </c>
      <c r="BE496" s="37">
        <v>147507</v>
      </c>
      <c r="BF496" s="37">
        <v>75125.710940345176</v>
      </c>
      <c r="BG496" s="37">
        <v>80976.035006573526</v>
      </c>
      <c r="BH496" s="37">
        <v>99685.083026670924</v>
      </c>
      <c r="BI496" s="37">
        <v>118394.17102641046</v>
      </c>
      <c r="BJ496" s="37">
        <v>12858.723953868992</v>
      </c>
      <c r="BK496" s="37">
        <v>62266.986986476113</v>
      </c>
      <c r="BL496" s="37">
        <v>80976.035006573526</v>
      </c>
      <c r="BM496" s="37">
        <v>99685.083026670924</v>
      </c>
      <c r="BN496" s="37">
        <v>118394.17102641046</v>
      </c>
      <c r="BO496" s="37">
        <v>0</v>
      </c>
      <c r="BP496" s="37">
        <v>748362.00000000023</v>
      </c>
      <c r="BQ496" s="37">
        <v>0</v>
      </c>
      <c r="BR496" s="37">
        <v>0</v>
      </c>
      <c r="BS496" s="37">
        <v>0</v>
      </c>
      <c r="BT496" s="37">
        <v>0</v>
      </c>
      <c r="BU496" s="37">
        <v>0</v>
      </c>
      <c r="BV496" s="37">
        <v>0</v>
      </c>
      <c r="BW496" s="37">
        <v>0</v>
      </c>
      <c r="BX496" s="37">
        <v>0</v>
      </c>
      <c r="BY496" s="37">
        <v>0</v>
      </c>
      <c r="BZ496" s="37">
        <v>0</v>
      </c>
      <c r="CA496" s="37">
        <v>0</v>
      </c>
      <c r="CB496" s="37">
        <v>0</v>
      </c>
      <c r="CC496" s="37">
        <v>0</v>
      </c>
      <c r="CD496" s="37">
        <v>0</v>
      </c>
      <c r="CE496" s="37">
        <v>0</v>
      </c>
      <c r="CF496" s="37">
        <v>0</v>
      </c>
      <c r="CG496" s="37">
        <v>0</v>
      </c>
      <c r="CH496" s="37">
        <v>0</v>
      </c>
      <c r="CI496" s="37">
        <v>0</v>
      </c>
      <c r="CJ496" s="37">
        <v>0</v>
      </c>
      <c r="CK496" s="37">
        <v>0</v>
      </c>
      <c r="CL496" s="37">
        <v>0</v>
      </c>
      <c r="CM496" s="37">
        <v>0</v>
      </c>
      <c r="CN496" s="37">
        <v>0</v>
      </c>
      <c r="CO496" s="37">
        <v>0</v>
      </c>
      <c r="CP496" s="37">
        <v>0</v>
      </c>
      <c r="CQ496" s="37">
        <v>0</v>
      </c>
      <c r="CR496" s="37">
        <v>0</v>
      </c>
      <c r="CS496" s="37">
        <v>0</v>
      </c>
      <c r="CT496" s="37">
        <v>0</v>
      </c>
      <c r="CU496" s="37">
        <v>0</v>
      </c>
      <c r="CV496" s="37">
        <v>0</v>
      </c>
      <c r="CW496" s="37">
        <v>0</v>
      </c>
      <c r="CX496" s="37">
        <v>0</v>
      </c>
      <c r="CY496" s="37">
        <v>0</v>
      </c>
      <c r="CZ496" s="37">
        <v>0</v>
      </c>
      <c r="DA496" s="37">
        <v>0</v>
      </c>
      <c r="DB496" s="37">
        <v>0</v>
      </c>
      <c r="DC496" s="37">
        <v>0</v>
      </c>
      <c r="DD496" s="37">
        <v>0</v>
      </c>
      <c r="DE496" s="37">
        <v>0</v>
      </c>
      <c r="DF496" s="37">
        <v>0</v>
      </c>
      <c r="DG496" s="37">
        <v>0</v>
      </c>
      <c r="DH496" s="37">
        <v>0</v>
      </c>
      <c r="DI496" s="37">
        <v>0</v>
      </c>
      <c r="DJ496" s="37">
        <v>0</v>
      </c>
      <c r="DK496" s="37">
        <v>0</v>
      </c>
      <c r="DL496" s="37">
        <v>0</v>
      </c>
      <c r="DM496" s="37">
        <v>0</v>
      </c>
      <c r="DN496" s="37">
        <v>0</v>
      </c>
      <c r="DO496" s="37">
        <v>0</v>
      </c>
      <c r="DP496" s="37">
        <v>0</v>
      </c>
      <c r="DQ496" s="37">
        <v>0</v>
      </c>
      <c r="DR496" s="37">
        <v>0</v>
      </c>
      <c r="DS496" s="37">
        <v>0</v>
      </c>
      <c r="DT496" s="37">
        <v>0</v>
      </c>
      <c r="DU496" s="37">
        <v>0</v>
      </c>
      <c r="DV496" s="37">
        <v>0</v>
      </c>
      <c r="DW496" s="37">
        <v>0</v>
      </c>
      <c r="DX496" s="37">
        <v>0</v>
      </c>
      <c r="DY496" s="37">
        <v>0</v>
      </c>
      <c r="DZ496" s="37">
        <v>0</v>
      </c>
      <c r="EA496" s="37">
        <v>0</v>
      </c>
      <c r="EB496" s="37">
        <v>0</v>
      </c>
      <c r="EC496" s="37">
        <v>0</v>
      </c>
      <c r="ED496" s="37">
        <v>0</v>
      </c>
      <c r="EE496" s="37">
        <v>0</v>
      </c>
      <c r="EF496" s="37">
        <v>0</v>
      </c>
      <c r="EG496" s="37">
        <v>0</v>
      </c>
      <c r="EH496" s="37">
        <v>0</v>
      </c>
      <c r="EI496" s="37">
        <v>0</v>
      </c>
      <c r="EJ496" s="37">
        <v>0</v>
      </c>
      <c r="EK496" s="161" t="s">
        <v>2444</v>
      </c>
      <c r="EL496" s="294" t="s">
        <v>1124</v>
      </c>
    </row>
    <row r="497" spans="1:142" ht="15" customHeight="1" x14ac:dyDescent="0.35">
      <c r="A497" s="34"/>
      <c r="B497" s="313">
        <v>45030</v>
      </c>
      <c r="C497" s="8" t="s">
        <v>413</v>
      </c>
      <c r="D497" s="18">
        <v>5</v>
      </c>
      <c r="E497" s="155">
        <v>193547</v>
      </c>
      <c r="F497" s="36">
        <v>106841</v>
      </c>
      <c r="G497" s="37">
        <v>0</v>
      </c>
      <c r="H497" s="37">
        <v>0</v>
      </c>
      <c r="I497" s="37">
        <v>0</v>
      </c>
      <c r="J497" s="37">
        <v>0</v>
      </c>
      <c r="K497" s="37">
        <v>29032.05</v>
      </c>
      <c r="L497" s="37">
        <v>16026.15</v>
      </c>
      <c r="M497" s="37">
        <v>222579.05</v>
      </c>
      <c r="N497" s="37">
        <v>122867.15</v>
      </c>
      <c r="O497" s="37">
        <v>36705.24</v>
      </c>
      <c r="P497" s="37">
        <v>0</v>
      </c>
      <c r="Q497" s="37">
        <v>225835.69</v>
      </c>
      <c r="R497" s="37">
        <v>85500.68</v>
      </c>
      <c r="S497" s="37">
        <v>0</v>
      </c>
      <c r="T497" s="37">
        <v>0</v>
      </c>
      <c r="U497" s="37">
        <v>0</v>
      </c>
      <c r="V497" s="37">
        <v>0</v>
      </c>
      <c r="W497" s="37">
        <v>0</v>
      </c>
      <c r="X497" s="37">
        <v>0</v>
      </c>
      <c r="Y497" s="37">
        <v>0</v>
      </c>
      <c r="Z497" s="37">
        <v>0</v>
      </c>
      <c r="AA497" s="37">
        <v>262540.93</v>
      </c>
      <c r="AB497" s="37">
        <v>85500.68</v>
      </c>
      <c r="AC497" s="37">
        <v>2595.4100000000326</v>
      </c>
      <c r="AD497" s="37">
        <v>0</v>
      </c>
      <c r="AE497" s="37">
        <v>0</v>
      </c>
      <c r="AF497" s="168">
        <v>0.02</v>
      </c>
      <c r="AG497" s="37">
        <v>19498626.25</v>
      </c>
      <c r="AH497" s="37">
        <v>152867.42000000001</v>
      </c>
      <c r="AI497" s="37">
        <v>155924.76</v>
      </c>
      <c r="AJ497" s="37">
        <v>159043.26</v>
      </c>
      <c r="AK497" s="37">
        <v>162224.12</v>
      </c>
      <c r="AL497" s="37">
        <v>165468.60999999999</v>
      </c>
      <c r="AM497" s="37">
        <v>168777.98</v>
      </c>
      <c r="AN497" s="37">
        <v>172153.54</v>
      </c>
      <c r="AO497" s="37">
        <v>175596.61</v>
      </c>
      <c r="AP497" s="37">
        <v>179108.54</v>
      </c>
      <c r="AQ497" s="37">
        <v>182690.71</v>
      </c>
      <c r="AR497" s="37">
        <v>1673855.5499999998</v>
      </c>
      <c r="AS497" s="37">
        <v>0</v>
      </c>
      <c r="AT497" s="37">
        <v>41616</v>
      </c>
      <c r="AU497" s="37">
        <v>1347734.16</v>
      </c>
      <c r="AV497" s="37">
        <v>0</v>
      </c>
      <c r="AW497" s="37">
        <v>0</v>
      </c>
      <c r="AX497" s="37">
        <v>0</v>
      </c>
      <c r="AY497" s="37">
        <v>854081.58</v>
      </c>
      <c r="AZ497" s="37">
        <v>0</v>
      </c>
      <c r="BA497" s="37">
        <v>0</v>
      </c>
      <c r="BB497" s="37">
        <v>0</v>
      </c>
      <c r="BC497" s="37">
        <v>0</v>
      </c>
      <c r="BD497" s="37">
        <v>2243431.7399999998</v>
      </c>
      <c r="BE497" s="37">
        <v>0</v>
      </c>
      <c r="BF497" s="37">
        <v>0</v>
      </c>
      <c r="BG497" s="37">
        <v>0</v>
      </c>
      <c r="BH497" s="37">
        <v>0</v>
      </c>
      <c r="BI497" s="37">
        <v>0</v>
      </c>
      <c r="BJ497" s="37">
        <v>0</v>
      </c>
      <c r="BK497" s="37">
        <v>0</v>
      </c>
      <c r="BL497" s="37">
        <v>0</v>
      </c>
      <c r="BM497" s="37">
        <v>0</v>
      </c>
      <c r="BN497" s="37">
        <v>0</v>
      </c>
      <c r="BO497" s="37">
        <v>0</v>
      </c>
      <c r="BP497" s="37">
        <v>0</v>
      </c>
      <c r="BQ497" s="37">
        <v>0</v>
      </c>
      <c r="BR497" s="37">
        <v>0</v>
      </c>
      <c r="BS497" s="37">
        <v>0</v>
      </c>
      <c r="BT497" s="37">
        <v>0</v>
      </c>
      <c r="BU497" s="37">
        <v>0</v>
      </c>
      <c r="BV497" s="37">
        <v>0</v>
      </c>
      <c r="BW497" s="37">
        <v>0</v>
      </c>
      <c r="BX497" s="37">
        <v>0</v>
      </c>
      <c r="BY497" s="37">
        <v>0</v>
      </c>
      <c r="BZ497" s="37">
        <v>0</v>
      </c>
      <c r="CA497" s="37">
        <v>0</v>
      </c>
      <c r="CB497" s="37">
        <v>0</v>
      </c>
      <c r="CC497" s="37">
        <v>15300</v>
      </c>
      <c r="CD497" s="37">
        <v>0</v>
      </c>
      <c r="CE497" s="37">
        <v>0</v>
      </c>
      <c r="CF497" s="37">
        <v>0</v>
      </c>
      <c r="CG497" s="37">
        <v>0</v>
      </c>
      <c r="CH497" s="37">
        <v>0</v>
      </c>
      <c r="CI497" s="37">
        <v>0</v>
      </c>
      <c r="CJ497" s="37">
        <v>0</v>
      </c>
      <c r="CK497" s="37">
        <v>0</v>
      </c>
      <c r="CL497" s="37">
        <v>0</v>
      </c>
      <c r="CM497" s="37">
        <v>0</v>
      </c>
      <c r="CN497" s="37">
        <v>0</v>
      </c>
      <c r="CO497" s="37">
        <v>0</v>
      </c>
      <c r="CP497" s="37">
        <v>0</v>
      </c>
      <c r="CQ497" s="37">
        <v>0</v>
      </c>
      <c r="CR497" s="37">
        <v>0</v>
      </c>
      <c r="CS497" s="37">
        <v>0</v>
      </c>
      <c r="CT497" s="37">
        <v>0</v>
      </c>
      <c r="CU497" s="37">
        <v>0</v>
      </c>
      <c r="CV497" s="37">
        <v>0</v>
      </c>
      <c r="CW497" s="37">
        <v>0</v>
      </c>
      <c r="CX497" s="37">
        <v>0</v>
      </c>
      <c r="CY497" s="37">
        <v>0</v>
      </c>
      <c r="CZ497" s="37">
        <v>0</v>
      </c>
      <c r="DA497" s="37">
        <v>278000</v>
      </c>
      <c r="DB497" s="37">
        <v>20400</v>
      </c>
      <c r="DC497" s="37">
        <v>1295400</v>
      </c>
      <c r="DD497" s="37">
        <v>0</v>
      </c>
      <c r="DE497" s="37">
        <v>0</v>
      </c>
      <c r="DF497" s="37">
        <v>0</v>
      </c>
      <c r="DG497" s="37">
        <v>0</v>
      </c>
      <c r="DH497" s="37">
        <v>0</v>
      </c>
      <c r="DI497" s="37">
        <v>0</v>
      </c>
      <c r="DJ497" s="37">
        <v>0</v>
      </c>
      <c r="DK497" s="37">
        <v>0</v>
      </c>
      <c r="DL497" s="37">
        <v>1315800</v>
      </c>
      <c r="DM497" s="37">
        <v>0</v>
      </c>
      <c r="DN497" s="37">
        <v>0</v>
      </c>
      <c r="DO497" s="37">
        <v>0</v>
      </c>
      <c r="DP497" s="37">
        <v>0</v>
      </c>
      <c r="DQ497" s="37">
        <v>0</v>
      </c>
      <c r="DR497" s="37">
        <v>0</v>
      </c>
      <c r="DS497" s="37">
        <v>0</v>
      </c>
      <c r="DT497" s="37">
        <v>0</v>
      </c>
      <c r="DU497" s="37">
        <v>0</v>
      </c>
      <c r="DV497" s="37">
        <v>0</v>
      </c>
      <c r="DW497" s="37">
        <v>0</v>
      </c>
      <c r="DX497" s="37">
        <v>0</v>
      </c>
      <c r="DY497" s="37">
        <v>0</v>
      </c>
      <c r="DZ497" s="37">
        <v>0</v>
      </c>
      <c r="EA497" s="37">
        <v>0</v>
      </c>
      <c r="EB497" s="37">
        <v>0</v>
      </c>
      <c r="EC497" s="37">
        <v>0</v>
      </c>
      <c r="ED497" s="37">
        <v>0</v>
      </c>
      <c r="EE497" s="37">
        <v>0</v>
      </c>
      <c r="EF497" s="37">
        <v>0</v>
      </c>
      <c r="EG497" s="37">
        <v>0</v>
      </c>
      <c r="EH497" s="37">
        <v>0</v>
      </c>
      <c r="EI497" s="37">
        <v>0</v>
      </c>
      <c r="EJ497" s="37">
        <v>0</v>
      </c>
      <c r="EK497" s="161" t="s">
        <v>2449</v>
      </c>
      <c r="EL497" s="294" t="s">
        <v>1124</v>
      </c>
    </row>
    <row r="498" spans="1:142" ht="15" customHeight="1" x14ac:dyDescent="0.35">
      <c r="A498" s="34"/>
      <c r="B498" s="313">
        <v>87035</v>
      </c>
      <c r="C498" s="8" t="s">
        <v>896</v>
      </c>
      <c r="D498" s="18">
        <v>8</v>
      </c>
      <c r="E498" s="155"/>
      <c r="F498" s="36"/>
      <c r="G498" s="37"/>
      <c r="H498" s="37"/>
      <c r="I498" s="37"/>
      <c r="J498" s="37"/>
      <c r="K498" s="37"/>
      <c r="L498" s="37"/>
      <c r="M498" s="37" t="s">
        <v>1124</v>
      </c>
      <c r="N498" s="37" t="s">
        <v>1124</v>
      </c>
      <c r="O498" s="37"/>
      <c r="P498" s="37"/>
      <c r="Q498" s="37"/>
      <c r="R498" s="37"/>
      <c r="S498" s="37"/>
      <c r="T498" s="37"/>
      <c r="U498" s="37"/>
      <c r="V498" s="37"/>
      <c r="W498" s="37"/>
      <c r="X498" s="37"/>
      <c r="Y498" s="37"/>
      <c r="Z498" s="37"/>
      <c r="AA498" s="37" t="s">
        <v>1124</v>
      </c>
      <c r="AB498" s="37" t="s">
        <v>1124</v>
      </c>
      <c r="AC498" s="37"/>
      <c r="AD498" s="37"/>
      <c r="AE498" s="37"/>
      <c r="AF498" s="168"/>
      <c r="AG498" s="37"/>
      <c r="AH498" s="37"/>
      <c r="AI498" s="37"/>
      <c r="AJ498" s="37"/>
      <c r="AK498" s="37"/>
      <c r="AL498" s="37"/>
      <c r="AM498" s="37"/>
      <c r="AN498" s="37"/>
      <c r="AO498" s="37"/>
      <c r="AP498" s="37"/>
      <c r="AQ498" s="37"/>
      <c r="AR498" s="37" t="s">
        <v>1124</v>
      </c>
      <c r="AS498" s="37"/>
      <c r="AT498" s="37"/>
      <c r="AU498" s="37"/>
      <c r="AV498" s="37"/>
      <c r="AW498" s="37"/>
      <c r="AX498" s="37"/>
      <c r="AY498" s="37"/>
      <c r="AZ498" s="37"/>
      <c r="BA498" s="37"/>
      <c r="BB498" s="37"/>
      <c r="BC498" s="37"/>
      <c r="BD498" s="37" t="s">
        <v>1124</v>
      </c>
      <c r="BE498" s="37"/>
      <c r="BF498" s="37"/>
      <c r="BG498" s="37"/>
      <c r="BH498" s="37"/>
      <c r="BI498" s="37"/>
      <c r="BJ498" s="37"/>
      <c r="BK498" s="37"/>
      <c r="BL498" s="37"/>
      <c r="BM498" s="37"/>
      <c r="BN498" s="37"/>
      <c r="BO498" s="37"/>
      <c r="BP498" s="37">
        <v>0</v>
      </c>
      <c r="BQ498" s="37"/>
      <c r="BR498" s="37"/>
      <c r="BS498" s="37"/>
      <c r="BT498" s="37"/>
      <c r="BU498" s="37"/>
      <c r="BV498" s="37"/>
      <c r="BW498" s="37"/>
      <c r="BX498" s="37"/>
      <c r="BY498" s="37"/>
      <c r="BZ498" s="37"/>
      <c r="CA498" s="37"/>
      <c r="CB498" s="37" t="s">
        <v>1124</v>
      </c>
      <c r="CC498" s="37"/>
      <c r="CD498" s="37"/>
      <c r="CE498" s="37"/>
      <c r="CF498" s="37"/>
      <c r="CG498" s="37"/>
      <c r="CH498" s="37"/>
      <c r="CI498" s="37"/>
      <c r="CJ498" s="37"/>
      <c r="CK498" s="37"/>
      <c r="CL498" s="37"/>
      <c r="CM498" s="37"/>
      <c r="CN498" s="37" t="s">
        <v>1124</v>
      </c>
      <c r="CO498" s="37"/>
      <c r="CP498" s="37"/>
      <c r="CQ498" s="37"/>
      <c r="CR498" s="37"/>
      <c r="CS498" s="37"/>
      <c r="CT498" s="37"/>
      <c r="CU498" s="37"/>
      <c r="CV498" s="37"/>
      <c r="CW498" s="37"/>
      <c r="CX498" s="37"/>
      <c r="CY498" s="37"/>
      <c r="CZ498" s="37" t="s">
        <v>1124</v>
      </c>
      <c r="DA498" s="37"/>
      <c r="DB498" s="37"/>
      <c r="DC498" s="37"/>
      <c r="DD498" s="37"/>
      <c r="DE498" s="37"/>
      <c r="DF498" s="37"/>
      <c r="DG498" s="37"/>
      <c r="DH498" s="37"/>
      <c r="DI498" s="37"/>
      <c r="DJ498" s="37"/>
      <c r="DK498" s="37"/>
      <c r="DL498" s="37" t="s">
        <v>1124</v>
      </c>
      <c r="DM498" s="37"/>
      <c r="DN498" s="37"/>
      <c r="DO498" s="37"/>
      <c r="DP498" s="37"/>
      <c r="DQ498" s="37"/>
      <c r="DR498" s="37"/>
      <c r="DS498" s="37"/>
      <c r="DT498" s="37"/>
      <c r="DU498" s="37"/>
      <c r="DV498" s="37"/>
      <c r="DW498" s="37"/>
      <c r="DX498" s="37" t="s">
        <v>1124</v>
      </c>
      <c r="DY498" s="37"/>
      <c r="DZ498" s="37"/>
      <c r="EA498" s="37"/>
      <c r="EB498" s="37"/>
      <c r="EC498" s="37"/>
      <c r="ED498" s="37"/>
      <c r="EE498" s="37"/>
      <c r="EF498" s="37"/>
      <c r="EG498" s="37"/>
      <c r="EH498" s="37"/>
      <c r="EI498" s="37"/>
      <c r="EJ498" s="37" t="s">
        <v>1124</v>
      </c>
      <c r="EK498" s="161"/>
      <c r="EL498" s="294"/>
    </row>
    <row r="499" spans="1:142" ht="15" customHeight="1" x14ac:dyDescent="0.35">
      <c r="A499" s="34"/>
      <c r="B499" s="313">
        <v>88090</v>
      </c>
      <c r="C499" s="8" t="s">
        <v>927</v>
      </c>
      <c r="D499" s="18">
        <v>8</v>
      </c>
      <c r="E499" s="155"/>
      <c r="F499" s="36"/>
      <c r="G499" s="37"/>
      <c r="H499" s="37"/>
      <c r="I499" s="37"/>
      <c r="J499" s="37"/>
      <c r="K499" s="37"/>
      <c r="L499" s="37"/>
      <c r="M499" s="37" t="s">
        <v>1124</v>
      </c>
      <c r="N499" s="37" t="s">
        <v>1124</v>
      </c>
      <c r="O499" s="37"/>
      <c r="P499" s="37"/>
      <c r="Q499" s="37"/>
      <c r="R499" s="37"/>
      <c r="S499" s="37"/>
      <c r="T499" s="37"/>
      <c r="U499" s="37"/>
      <c r="V499" s="37"/>
      <c r="W499" s="37"/>
      <c r="X499" s="37"/>
      <c r="Y499" s="37"/>
      <c r="Z499" s="37"/>
      <c r="AA499" s="37" t="s">
        <v>1124</v>
      </c>
      <c r="AB499" s="37" t="s">
        <v>1124</v>
      </c>
      <c r="AC499" s="37"/>
      <c r="AD499" s="37"/>
      <c r="AE499" s="37"/>
      <c r="AF499" s="168"/>
      <c r="AG499" s="37"/>
      <c r="AH499" s="37"/>
      <c r="AI499" s="37"/>
      <c r="AJ499" s="37"/>
      <c r="AK499" s="37"/>
      <c r="AL499" s="37"/>
      <c r="AM499" s="37"/>
      <c r="AN499" s="37"/>
      <c r="AO499" s="37"/>
      <c r="AP499" s="37"/>
      <c r="AQ499" s="37"/>
      <c r="AR499" s="37" t="s">
        <v>1124</v>
      </c>
      <c r="AS499" s="37"/>
      <c r="AT499" s="37"/>
      <c r="AU499" s="37"/>
      <c r="AV499" s="37"/>
      <c r="AW499" s="37"/>
      <c r="AX499" s="37"/>
      <c r="AY499" s="37"/>
      <c r="AZ499" s="37"/>
      <c r="BA499" s="37"/>
      <c r="BB499" s="37"/>
      <c r="BC499" s="37"/>
      <c r="BD499" s="37" t="s">
        <v>1124</v>
      </c>
      <c r="BE499" s="37"/>
      <c r="BF499" s="37"/>
      <c r="BG499" s="37"/>
      <c r="BH499" s="37"/>
      <c r="BI499" s="37"/>
      <c r="BJ499" s="37"/>
      <c r="BK499" s="37"/>
      <c r="BL499" s="37"/>
      <c r="BM499" s="37"/>
      <c r="BN499" s="37"/>
      <c r="BO499" s="37"/>
      <c r="BP499" s="37">
        <v>0</v>
      </c>
      <c r="BQ499" s="37"/>
      <c r="BR499" s="37"/>
      <c r="BS499" s="37"/>
      <c r="BT499" s="37"/>
      <c r="BU499" s="37"/>
      <c r="BV499" s="37"/>
      <c r="BW499" s="37"/>
      <c r="BX499" s="37"/>
      <c r="BY499" s="37"/>
      <c r="BZ499" s="37"/>
      <c r="CA499" s="37"/>
      <c r="CB499" s="37" t="s">
        <v>1124</v>
      </c>
      <c r="CC499" s="37"/>
      <c r="CD499" s="37"/>
      <c r="CE499" s="37"/>
      <c r="CF499" s="37"/>
      <c r="CG499" s="37"/>
      <c r="CH499" s="37"/>
      <c r="CI499" s="37"/>
      <c r="CJ499" s="37"/>
      <c r="CK499" s="37"/>
      <c r="CL499" s="37"/>
      <c r="CM499" s="37"/>
      <c r="CN499" s="37" t="s">
        <v>1124</v>
      </c>
      <c r="CO499" s="37"/>
      <c r="CP499" s="37"/>
      <c r="CQ499" s="37"/>
      <c r="CR499" s="37"/>
      <c r="CS499" s="37"/>
      <c r="CT499" s="37"/>
      <c r="CU499" s="37"/>
      <c r="CV499" s="37"/>
      <c r="CW499" s="37"/>
      <c r="CX499" s="37"/>
      <c r="CY499" s="37"/>
      <c r="CZ499" s="37" t="s">
        <v>1124</v>
      </c>
      <c r="DA499" s="37"/>
      <c r="DB499" s="37"/>
      <c r="DC499" s="37"/>
      <c r="DD499" s="37"/>
      <c r="DE499" s="37"/>
      <c r="DF499" s="37"/>
      <c r="DG499" s="37"/>
      <c r="DH499" s="37"/>
      <c r="DI499" s="37"/>
      <c r="DJ499" s="37"/>
      <c r="DK499" s="37"/>
      <c r="DL499" s="37" t="s">
        <v>1124</v>
      </c>
      <c r="DM499" s="37"/>
      <c r="DN499" s="37"/>
      <c r="DO499" s="37"/>
      <c r="DP499" s="37"/>
      <c r="DQ499" s="37"/>
      <c r="DR499" s="37"/>
      <c r="DS499" s="37"/>
      <c r="DT499" s="37"/>
      <c r="DU499" s="37"/>
      <c r="DV499" s="37"/>
      <c r="DW499" s="37"/>
      <c r="DX499" s="37" t="s">
        <v>1124</v>
      </c>
      <c r="DY499" s="37"/>
      <c r="DZ499" s="37"/>
      <c r="EA499" s="37"/>
      <c r="EB499" s="37"/>
      <c r="EC499" s="37"/>
      <c r="ED499" s="37"/>
      <c r="EE499" s="37"/>
      <c r="EF499" s="37"/>
      <c r="EG499" s="37"/>
      <c r="EH499" s="37"/>
      <c r="EI499" s="37"/>
      <c r="EJ499" s="37" t="s">
        <v>1124</v>
      </c>
      <c r="EK499" s="161"/>
      <c r="EL499" s="294"/>
    </row>
    <row r="500" spans="1:142" ht="15" customHeight="1" x14ac:dyDescent="0.35">
      <c r="A500" s="34"/>
      <c r="B500" s="313">
        <v>75040</v>
      </c>
      <c r="C500" s="8" t="s">
        <v>745</v>
      </c>
      <c r="D500" s="18">
        <v>15</v>
      </c>
      <c r="E500" s="155">
        <v>645069</v>
      </c>
      <c r="F500" s="36">
        <v>363728</v>
      </c>
      <c r="G500" s="37">
        <v>204648</v>
      </c>
      <c r="H500" s="37">
        <v>122394</v>
      </c>
      <c r="I500" s="37">
        <v>723520</v>
      </c>
      <c r="J500" s="37">
        <v>357520</v>
      </c>
      <c r="K500" s="37">
        <v>96760.349999999991</v>
      </c>
      <c r="L500" s="37">
        <v>54559.199999999997</v>
      </c>
      <c r="M500" s="37">
        <v>1669997.35</v>
      </c>
      <c r="N500" s="37">
        <v>898201.2</v>
      </c>
      <c r="O500" s="37">
        <v>0</v>
      </c>
      <c r="P500" s="37">
        <v>0</v>
      </c>
      <c r="Q500" s="37">
        <v>640455</v>
      </c>
      <c r="R500" s="37">
        <v>421146</v>
      </c>
      <c r="S500" s="37">
        <v>0</v>
      </c>
      <c r="T500" s="37">
        <v>0</v>
      </c>
      <c r="U500" s="37">
        <v>81188</v>
      </c>
      <c r="V500" s="37">
        <v>6084</v>
      </c>
      <c r="W500" s="37">
        <v>948355</v>
      </c>
      <c r="X500" s="37">
        <v>470971</v>
      </c>
      <c r="Y500" s="37">
        <v>0</v>
      </c>
      <c r="Z500" s="37">
        <v>0</v>
      </c>
      <c r="AA500" s="37">
        <v>1669998</v>
      </c>
      <c r="AB500" s="37">
        <v>898201</v>
      </c>
      <c r="AC500" s="37">
        <v>0</v>
      </c>
      <c r="AD500" s="37">
        <v>0</v>
      </c>
      <c r="AE500" s="37">
        <v>790505</v>
      </c>
      <c r="AF500" s="168">
        <v>0.02</v>
      </c>
      <c r="AG500" s="37">
        <v>113183114.84</v>
      </c>
      <c r="AH500" s="37">
        <v>946601.41</v>
      </c>
      <c r="AI500" s="37">
        <v>965533.44</v>
      </c>
      <c r="AJ500" s="37">
        <v>984844.11</v>
      </c>
      <c r="AK500" s="37">
        <v>1004540.99</v>
      </c>
      <c r="AL500" s="37">
        <v>1024631.81</v>
      </c>
      <c r="AM500" s="37">
        <v>1045124.45</v>
      </c>
      <c r="AN500" s="37">
        <v>1066026.94</v>
      </c>
      <c r="AO500" s="37">
        <v>1087347.47</v>
      </c>
      <c r="AP500" s="37">
        <v>1109094.42</v>
      </c>
      <c r="AQ500" s="37">
        <v>1131276.31</v>
      </c>
      <c r="AR500" s="37">
        <v>10365021.350000001</v>
      </c>
      <c r="AS500" s="37">
        <v>3194983.09</v>
      </c>
      <c r="AT500" s="37">
        <v>3607230</v>
      </c>
      <c r="AU500" s="37">
        <v>3640359.6</v>
      </c>
      <c r="AV500" s="37">
        <v>2164864.3199999998</v>
      </c>
      <c r="AW500" s="37">
        <v>0</v>
      </c>
      <c r="AX500" s="37">
        <v>0</v>
      </c>
      <c r="AY500" s="37">
        <v>0</v>
      </c>
      <c r="AZ500" s="37">
        <v>0</v>
      </c>
      <c r="BA500" s="37">
        <v>0</v>
      </c>
      <c r="BB500" s="37">
        <v>0</v>
      </c>
      <c r="BC500" s="37">
        <v>0</v>
      </c>
      <c r="BD500" s="37">
        <v>9412453.9199999999</v>
      </c>
      <c r="BE500" s="37">
        <v>1545860</v>
      </c>
      <c r="BF500" s="37">
        <v>0</v>
      </c>
      <c r="BG500" s="37">
        <v>0</v>
      </c>
      <c r="BH500" s="37">
        <v>0</v>
      </c>
      <c r="BI500" s="37">
        <v>0</v>
      </c>
      <c r="BJ500" s="37">
        <v>0</v>
      </c>
      <c r="BK500" s="37">
        <v>0</v>
      </c>
      <c r="BL500" s="37">
        <v>0</v>
      </c>
      <c r="BM500" s="37">
        <v>0</v>
      </c>
      <c r="BN500" s="37">
        <v>0</v>
      </c>
      <c r="BO500" s="37">
        <v>0</v>
      </c>
      <c r="BP500" s="37">
        <v>0</v>
      </c>
      <c r="BQ500" s="37">
        <v>0</v>
      </c>
      <c r="BR500" s="37">
        <v>0</v>
      </c>
      <c r="BS500" s="37">
        <v>0</v>
      </c>
      <c r="BT500" s="37">
        <v>0</v>
      </c>
      <c r="BU500" s="37">
        <v>0</v>
      </c>
      <c r="BV500" s="37">
        <v>0</v>
      </c>
      <c r="BW500" s="37">
        <v>0</v>
      </c>
      <c r="BX500" s="37">
        <v>0</v>
      </c>
      <c r="BY500" s="37">
        <v>0</v>
      </c>
      <c r="BZ500" s="37">
        <v>0</v>
      </c>
      <c r="CA500" s="37">
        <v>0</v>
      </c>
      <c r="CB500" s="37">
        <v>0</v>
      </c>
      <c r="CC500" s="37">
        <v>0</v>
      </c>
      <c r="CD500" s="37">
        <v>0</v>
      </c>
      <c r="CE500" s="37">
        <v>0</v>
      </c>
      <c r="CF500" s="37">
        <v>0</v>
      </c>
      <c r="CG500" s="37">
        <v>0</v>
      </c>
      <c r="CH500" s="37">
        <v>0</v>
      </c>
      <c r="CI500" s="37">
        <v>0</v>
      </c>
      <c r="CJ500" s="37">
        <v>0</v>
      </c>
      <c r="CK500" s="37">
        <v>0</v>
      </c>
      <c r="CL500" s="37">
        <v>0</v>
      </c>
      <c r="CM500" s="37">
        <v>0</v>
      </c>
      <c r="CN500" s="37">
        <v>0</v>
      </c>
      <c r="CO500" s="37">
        <v>86862</v>
      </c>
      <c r="CP500" s="37">
        <v>0</v>
      </c>
      <c r="CQ500" s="37">
        <v>0</v>
      </c>
      <c r="CR500" s="37">
        <v>0</v>
      </c>
      <c r="CS500" s="37">
        <v>0</v>
      </c>
      <c r="CT500" s="37">
        <v>0</v>
      </c>
      <c r="CU500" s="37">
        <v>0</v>
      </c>
      <c r="CV500" s="37">
        <v>0</v>
      </c>
      <c r="CW500" s="37">
        <v>0</v>
      </c>
      <c r="CX500" s="37">
        <v>0</v>
      </c>
      <c r="CY500" s="37">
        <v>0</v>
      </c>
      <c r="CZ500" s="37">
        <v>0</v>
      </c>
      <c r="DA500" s="37">
        <v>0</v>
      </c>
      <c r="DB500" s="37">
        <v>0</v>
      </c>
      <c r="DC500" s="37">
        <v>0</v>
      </c>
      <c r="DD500" s="37">
        <v>0</v>
      </c>
      <c r="DE500" s="37">
        <v>0</v>
      </c>
      <c r="DF500" s="37">
        <v>0</v>
      </c>
      <c r="DG500" s="37">
        <v>0</v>
      </c>
      <c r="DH500" s="37">
        <v>0</v>
      </c>
      <c r="DI500" s="37">
        <v>0</v>
      </c>
      <c r="DJ500" s="37">
        <v>0</v>
      </c>
      <c r="DK500" s="37">
        <v>0</v>
      </c>
      <c r="DL500" s="37">
        <v>0</v>
      </c>
      <c r="DM500" s="37">
        <v>0</v>
      </c>
      <c r="DN500" s="37">
        <v>0</v>
      </c>
      <c r="DO500" s="37">
        <v>0</v>
      </c>
      <c r="DP500" s="37">
        <v>0</v>
      </c>
      <c r="DQ500" s="37">
        <v>0</v>
      </c>
      <c r="DR500" s="37">
        <v>0</v>
      </c>
      <c r="DS500" s="37">
        <v>0</v>
      </c>
      <c r="DT500" s="37">
        <v>0</v>
      </c>
      <c r="DU500" s="37">
        <v>0</v>
      </c>
      <c r="DV500" s="37">
        <v>0</v>
      </c>
      <c r="DW500" s="37">
        <v>0</v>
      </c>
      <c r="DX500" s="37">
        <v>0</v>
      </c>
      <c r="DY500" s="37">
        <v>0</v>
      </c>
      <c r="DZ500" s="37">
        <v>0</v>
      </c>
      <c r="EA500" s="37">
        <v>0</v>
      </c>
      <c r="EB500" s="37">
        <v>0</v>
      </c>
      <c r="EC500" s="37">
        <v>0</v>
      </c>
      <c r="ED500" s="37">
        <v>0</v>
      </c>
      <c r="EE500" s="37">
        <v>0</v>
      </c>
      <c r="EF500" s="37">
        <v>0</v>
      </c>
      <c r="EG500" s="37">
        <v>0</v>
      </c>
      <c r="EH500" s="37">
        <v>0</v>
      </c>
      <c r="EI500" s="37">
        <v>0</v>
      </c>
      <c r="EJ500" s="37">
        <v>0</v>
      </c>
      <c r="EK500" s="161" t="s">
        <v>2458</v>
      </c>
      <c r="EL500" s="294" t="s">
        <v>1124</v>
      </c>
    </row>
    <row r="501" spans="1:142" ht="15" customHeight="1" x14ac:dyDescent="0.35">
      <c r="A501" s="34"/>
      <c r="B501" s="313">
        <v>9065</v>
      </c>
      <c r="C501" s="8" t="s">
        <v>1108</v>
      </c>
      <c r="D501" s="18">
        <v>1</v>
      </c>
      <c r="E501" s="155">
        <v>187392</v>
      </c>
      <c r="F501" s="36">
        <v>79685</v>
      </c>
      <c r="G501" s="37">
        <v>128733</v>
      </c>
      <c r="H501" s="37">
        <v>24172</v>
      </c>
      <c r="I501" s="37">
        <v>41700</v>
      </c>
      <c r="J501" s="37">
        <v>115500</v>
      </c>
      <c r="K501" s="37">
        <v>28109</v>
      </c>
      <c r="L501" s="37">
        <v>11953</v>
      </c>
      <c r="M501" s="37">
        <v>385934</v>
      </c>
      <c r="N501" s="37">
        <v>231310</v>
      </c>
      <c r="O501" s="37">
        <v>59576</v>
      </c>
      <c r="P501" s="37">
        <v>0</v>
      </c>
      <c r="Q501" s="37">
        <v>156755</v>
      </c>
      <c r="R501" s="37">
        <v>152073</v>
      </c>
      <c r="S501" s="37">
        <v>62255</v>
      </c>
      <c r="T501" s="37">
        <v>1079</v>
      </c>
      <c r="U501" s="37">
        <v>0</v>
      </c>
      <c r="V501" s="37">
        <v>0</v>
      </c>
      <c r="W501" s="37">
        <v>92753</v>
      </c>
      <c r="X501" s="37">
        <v>92753</v>
      </c>
      <c r="Y501" s="37">
        <v>0</v>
      </c>
      <c r="Z501" s="37">
        <v>0</v>
      </c>
      <c r="AA501" s="37">
        <v>371339</v>
      </c>
      <c r="AB501" s="37">
        <v>245905</v>
      </c>
      <c r="AC501" s="37">
        <v>0</v>
      </c>
      <c r="AD501" s="37">
        <v>0</v>
      </c>
      <c r="AE501" s="37">
        <v>0</v>
      </c>
      <c r="AF501" s="168">
        <v>0.02</v>
      </c>
      <c r="AG501" s="37">
        <v>38947816.100000001</v>
      </c>
      <c r="AH501" s="37">
        <v>332063.15000000002</v>
      </c>
      <c r="AI501" s="37">
        <v>338704.41</v>
      </c>
      <c r="AJ501" s="37">
        <v>345478.5</v>
      </c>
      <c r="AK501" s="37">
        <v>352388.07</v>
      </c>
      <c r="AL501" s="37">
        <v>359435.83</v>
      </c>
      <c r="AM501" s="37">
        <v>366624.55</v>
      </c>
      <c r="AN501" s="37">
        <v>373957.04</v>
      </c>
      <c r="AO501" s="37">
        <v>381436.18</v>
      </c>
      <c r="AP501" s="37">
        <v>389064.9</v>
      </c>
      <c r="AQ501" s="37">
        <v>396846.2</v>
      </c>
      <c r="AR501" s="37">
        <v>3635998.83</v>
      </c>
      <c r="AS501" s="37">
        <v>375603.96</v>
      </c>
      <c r="AT501" s="37">
        <v>408000</v>
      </c>
      <c r="AU501" s="37">
        <v>520200</v>
      </c>
      <c r="AV501" s="37">
        <v>0</v>
      </c>
      <c r="AW501" s="37">
        <v>0</v>
      </c>
      <c r="AX501" s="37">
        <v>0</v>
      </c>
      <c r="AY501" s="37">
        <v>574342.82999999996</v>
      </c>
      <c r="AZ501" s="37">
        <v>0</v>
      </c>
      <c r="BA501" s="37">
        <v>0</v>
      </c>
      <c r="BB501" s="37">
        <v>0</v>
      </c>
      <c r="BC501" s="37">
        <v>0</v>
      </c>
      <c r="BD501" s="37">
        <v>1502542.83</v>
      </c>
      <c r="BE501" s="37">
        <v>0</v>
      </c>
      <c r="BF501" s="37">
        <v>0</v>
      </c>
      <c r="BG501" s="37">
        <v>0</v>
      </c>
      <c r="BH501" s="37">
        <v>0</v>
      </c>
      <c r="BI501" s="37">
        <v>0</v>
      </c>
      <c r="BJ501" s="37">
        <v>0</v>
      </c>
      <c r="BK501" s="37">
        <v>0</v>
      </c>
      <c r="BL501" s="37">
        <v>0</v>
      </c>
      <c r="BM501" s="37">
        <v>0</v>
      </c>
      <c r="BN501" s="37">
        <v>0</v>
      </c>
      <c r="BO501" s="37">
        <v>0</v>
      </c>
      <c r="BP501" s="37">
        <v>0</v>
      </c>
      <c r="BQ501" s="37">
        <v>0</v>
      </c>
      <c r="BR501" s="37">
        <v>0</v>
      </c>
      <c r="BS501" s="37">
        <v>0</v>
      </c>
      <c r="BT501" s="37">
        <v>0</v>
      </c>
      <c r="BU501" s="37">
        <v>0</v>
      </c>
      <c r="BV501" s="37">
        <v>0</v>
      </c>
      <c r="BW501" s="37">
        <v>0</v>
      </c>
      <c r="BX501" s="37">
        <v>0</v>
      </c>
      <c r="BY501" s="37">
        <v>0</v>
      </c>
      <c r="BZ501" s="37">
        <v>0</v>
      </c>
      <c r="CA501" s="37">
        <v>0</v>
      </c>
      <c r="CB501" s="37">
        <v>0</v>
      </c>
      <c r="CC501" s="37">
        <v>0</v>
      </c>
      <c r="CD501" s="37">
        <v>0</v>
      </c>
      <c r="CE501" s="37">
        <v>0</v>
      </c>
      <c r="CF501" s="37">
        <v>0</v>
      </c>
      <c r="CG501" s="37">
        <v>0</v>
      </c>
      <c r="CH501" s="37">
        <v>0</v>
      </c>
      <c r="CI501" s="37">
        <v>0</v>
      </c>
      <c r="CJ501" s="37">
        <v>0</v>
      </c>
      <c r="CK501" s="37">
        <v>0</v>
      </c>
      <c r="CL501" s="37">
        <v>0</v>
      </c>
      <c r="CM501" s="37">
        <v>0</v>
      </c>
      <c r="CN501" s="37">
        <v>0</v>
      </c>
      <c r="CO501" s="37">
        <v>0</v>
      </c>
      <c r="CP501" s="37">
        <v>0</v>
      </c>
      <c r="CQ501" s="37">
        <v>0</v>
      </c>
      <c r="CR501" s="37">
        <v>0</v>
      </c>
      <c r="CS501" s="37">
        <v>0</v>
      </c>
      <c r="CT501" s="37">
        <v>0</v>
      </c>
      <c r="CU501" s="37">
        <v>0</v>
      </c>
      <c r="CV501" s="37">
        <v>0</v>
      </c>
      <c r="CW501" s="37">
        <v>0</v>
      </c>
      <c r="CX501" s="37">
        <v>0</v>
      </c>
      <c r="CY501" s="37">
        <v>0</v>
      </c>
      <c r="CZ501" s="37">
        <v>0</v>
      </c>
      <c r="DA501" s="37">
        <v>0</v>
      </c>
      <c r="DB501" s="37">
        <v>400000</v>
      </c>
      <c r="DC501" s="37">
        <v>500000</v>
      </c>
      <c r="DD501" s="37">
        <v>0</v>
      </c>
      <c r="DE501" s="37">
        <v>0</v>
      </c>
      <c r="DF501" s="37">
        <v>0</v>
      </c>
      <c r="DG501" s="37">
        <v>0</v>
      </c>
      <c r="DH501" s="37">
        <v>0</v>
      </c>
      <c r="DI501" s="37">
        <v>0</v>
      </c>
      <c r="DJ501" s="37">
        <v>0</v>
      </c>
      <c r="DK501" s="37">
        <v>0</v>
      </c>
      <c r="DL501" s="37">
        <v>900000</v>
      </c>
      <c r="DM501" s="37">
        <v>0</v>
      </c>
      <c r="DN501" s="37">
        <v>0</v>
      </c>
      <c r="DO501" s="37">
        <v>0</v>
      </c>
      <c r="DP501" s="37">
        <v>0</v>
      </c>
      <c r="DQ501" s="37">
        <v>0</v>
      </c>
      <c r="DR501" s="37">
        <v>0</v>
      </c>
      <c r="DS501" s="37">
        <v>0</v>
      </c>
      <c r="DT501" s="37">
        <v>0</v>
      </c>
      <c r="DU501" s="37">
        <v>0</v>
      </c>
      <c r="DV501" s="37">
        <v>0</v>
      </c>
      <c r="DW501" s="37">
        <v>0</v>
      </c>
      <c r="DX501" s="37">
        <v>0</v>
      </c>
      <c r="DY501" s="37">
        <v>0</v>
      </c>
      <c r="DZ501" s="37">
        <v>0</v>
      </c>
      <c r="EA501" s="37">
        <v>0</v>
      </c>
      <c r="EB501" s="37">
        <v>0</v>
      </c>
      <c r="EC501" s="37">
        <v>0</v>
      </c>
      <c r="ED501" s="37">
        <v>0</v>
      </c>
      <c r="EE501" s="37">
        <v>0</v>
      </c>
      <c r="EF501" s="37">
        <v>0</v>
      </c>
      <c r="EG501" s="37">
        <v>0</v>
      </c>
      <c r="EH501" s="37">
        <v>0</v>
      </c>
      <c r="EI501" s="37">
        <v>0</v>
      </c>
      <c r="EJ501" s="37">
        <v>0</v>
      </c>
      <c r="EK501" s="161" t="s">
        <v>2461</v>
      </c>
      <c r="EL501" s="294" t="s">
        <v>1124</v>
      </c>
    </row>
    <row r="502" spans="1:142" ht="15" customHeight="1" x14ac:dyDescent="0.35">
      <c r="A502" s="34"/>
      <c r="B502" s="313">
        <v>32033</v>
      </c>
      <c r="C502" s="8" t="s">
        <v>258</v>
      </c>
      <c r="D502" s="18">
        <v>17</v>
      </c>
      <c r="E502" s="155">
        <v>336300</v>
      </c>
      <c r="F502" s="36">
        <v>292882</v>
      </c>
      <c r="G502" s="37">
        <v>17327</v>
      </c>
      <c r="H502" s="37">
        <v>37935</v>
      </c>
      <c r="I502" s="37">
        <v>54105</v>
      </c>
      <c r="J502" s="37">
        <v>128364</v>
      </c>
      <c r="K502" s="37">
        <v>53009</v>
      </c>
      <c r="L502" s="37">
        <v>59694</v>
      </c>
      <c r="M502" s="37">
        <v>460741</v>
      </c>
      <c r="N502" s="37">
        <v>518875</v>
      </c>
      <c r="O502" s="37">
        <v>121619</v>
      </c>
      <c r="P502" s="37">
        <v>368251</v>
      </c>
      <c r="Q502" s="37">
        <v>340774</v>
      </c>
      <c r="R502" s="37">
        <v>48598</v>
      </c>
      <c r="S502" s="37">
        <v>1786</v>
      </c>
      <c r="T502" s="37">
        <v>3072</v>
      </c>
      <c r="U502" s="37">
        <v>17223</v>
      </c>
      <c r="V502" s="37">
        <v>9715</v>
      </c>
      <c r="W502" s="37">
        <v>0</v>
      </c>
      <c r="X502" s="37">
        <v>90376</v>
      </c>
      <c r="Y502" s="37">
        <v>13043</v>
      </c>
      <c r="Z502" s="37">
        <v>12116</v>
      </c>
      <c r="AA502" s="37">
        <v>494445</v>
      </c>
      <c r="AB502" s="37">
        <v>532128</v>
      </c>
      <c r="AC502" s="37">
        <v>46957</v>
      </c>
      <c r="AD502" s="37">
        <v>46957</v>
      </c>
      <c r="AE502" s="37">
        <v>382701</v>
      </c>
      <c r="AF502" s="168">
        <v>0.02</v>
      </c>
      <c r="AG502" s="37">
        <v>87037539.180000007</v>
      </c>
      <c r="AH502" s="37">
        <v>1290177.03</v>
      </c>
      <c r="AI502" s="37">
        <v>942227.28</v>
      </c>
      <c r="AJ502" s="37">
        <v>863852.43</v>
      </c>
      <c r="AK502" s="37">
        <v>881129.48</v>
      </c>
      <c r="AL502" s="37">
        <v>898752.07</v>
      </c>
      <c r="AM502" s="37">
        <v>916727.11</v>
      </c>
      <c r="AN502" s="37">
        <v>736381.15</v>
      </c>
      <c r="AO502" s="37">
        <v>751108.78</v>
      </c>
      <c r="AP502" s="37">
        <v>766130.95</v>
      </c>
      <c r="AQ502" s="37">
        <v>781453.57</v>
      </c>
      <c r="AR502" s="37">
        <v>8827939.8499999996</v>
      </c>
      <c r="AS502" s="37">
        <v>2739836.18</v>
      </c>
      <c r="AT502" s="37">
        <v>419900.34</v>
      </c>
      <c r="AU502" s="37">
        <v>1443380.21</v>
      </c>
      <c r="AV502" s="37">
        <v>0</v>
      </c>
      <c r="AW502" s="37">
        <v>0</v>
      </c>
      <c r="AX502" s="37">
        <v>0</v>
      </c>
      <c r="AY502" s="37">
        <v>0</v>
      </c>
      <c r="AZ502" s="37">
        <v>0</v>
      </c>
      <c r="BA502" s="37">
        <v>0</v>
      </c>
      <c r="BB502" s="37">
        <v>0</v>
      </c>
      <c r="BC502" s="37">
        <v>0</v>
      </c>
      <c r="BD502" s="37">
        <v>1863280.55</v>
      </c>
      <c r="BE502" s="37">
        <v>1423533</v>
      </c>
      <c r="BF502" s="37">
        <v>53333</v>
      </c>
      <c r="BG502" s="37">
        <v>1146667</v>
      </c>
      <c r="BH502" s="37">
        <v>0</v>
      </c>
      <c r="BI502" s="37">
        <v>0</v>
      </c>
      <c r="BJ502" s="37">
        <v>0</v>
      </c>
      <c r="BK502" s="37">
        <v>0</v>
      </c>
      <c r="BL502" s="37">
        <v>0</v>
      </c>
      <c r="BM502" s="37">
        <v>0</v>
      </c>
      <c r="BN502" s="37">
        <v>0</v>
      </c>
      <c r="BO502" s="37">
        <v>0</v>
      </c>
      <c r="BP502" s="37">
        <v>1200000</v>
      </c>
      <c r="BQ502" s="37">
        <v>0</v>
      </c>
      <c r="BR502" s="37">
        <v>0</v>
      </c>
      <c r="BS502" s="37">
        <v>0</v>
      </c>
      <c r="BT502" s="37">
        <v>0</v>
      </c>
      <c r="BU502" s="37">
        <v>0</v>
      </c>
      <c r="BV502" s="37">
        <v>0</v>
      </c>
      <c r="BW502" s="37">
        <v>0</v>
      </c>
      <c r="BX502" s="37">
        <v>0</v>
      </c>
      <c r="BY502" s="37">
        <v>0</v>
      </c>
      <c r="BZ502" s="37">
        <v>0</v>
      </c>
      <c r="CA502" s="37">
        <v>0</v>
      </c>
      <c r="CB502" s="37">
        <v>0</v>
      </c>
      <c r="CC502" s="37">
        <v>0</v>
      </c>
      <c r="CD502" s="37">
        <v>397020</v>
      </c>
      <c r="CE502" s="37">
        <v>0</v>
      </c>
      <c r="CF502" s="37">
        <v>0</v>
      </c>
      <c r="CG502" s="37">
        <v>0</v>
      </c>
      <c r="CH502" s="37">
        <v>0</v>
      </c>
      <c r="CI502" s="37">
        <v>0</v>
      </c>
      <c r="CJ502" s="37">
        <v>0</v>
      </c>
      <c r="CK502" s="37">
        <v>0</v>
      </c>
      <c r="CL502" s="37">
        <v>0</v>
      </c>
      <c r="CM502" s="37">
        <v>0</v>
      </c>
      <c r="CN502" s="37">
        <v>397020</v>
      </c>
      <c r="CO502" s="37">
        <v>0</v>
      </c>
      <c r="CP502" s="37">
        <v>26667</v>
      </c>
      <c r="CQ502" s="37">
        <v>573333</v>
      </c>
      <c r="CR502" s="37">
        <v>0</v>
      </c>
      <c r="CS502" s="37">
        <v>0</v>
      </c>
      <c r="CT502" s="37">
        <v>0</v>
      </c>
      <c r="CU502" s="37">
        <v>0</v>
      </c>
      <c r="CV502" s="37">
        <v>0</v>
      </c>
      <c r="CW502" s="37">
        <v>0</v>
      </c>
      <c r="CX502" s="37">
        <v>0</v>
      </c>
      <c r="CY502" s="37">
        <v>0</v>
      </c>
      <c r="CZ502" s="37">
        <v>600000</v>
      </c>
      <c r="DA502" s="37">
        <v>0</v>
      </c>
      <c r="DB502" s="37">
        <v>814000</v>
      </c>
      <c r="DC502" s="37">
        <v>385000</v>
      </c>
      <c r="DD502" s="37">
        <v>0</v>
      </c>
      <c r="DE502" s="37">
        <v>0</v>
      </c>
      <c r="DF502" s="37">
        <v>0</v>
      </c>
      <c r="DG502" s="37">
        <v>0</v>
      </c>
      <c r="DH502" s="37">
        <v>0</v>
      </c>
      <c r="DI502" s="37">
        <v>0</v>
      </c>
      <c r="DJ502" s="37">
        <v>0</v>
      </c>
      <c r="DK502" s="37">
        <v>0</v>
      </c>
      <c r="DL502" s="37">
        <v>1199000</v>
      </c>
      <c r="DM502" s="37">
        <v>0</v>
      </c>
      <c r="DN502" s="37">
        <v>0</v>
      </c>
      <c r="DO502" s="37">
        <v>0</v>
      </c>
      <c r="DP502" s="37">
        <v>0</v>
      </c>
      <c r="DQ502" s="37">
        <v>0</v>
      </c>
      <c r="DR502" s="37">
        <v>0</v>
      </c>
      <c r="DS502" s="37">
        <v>0</v>
      </c>
      <c r="DT502" s="37">
        <v>0</v>
      </c>
      <c r="DU502" s="37">
        <v>0</v>
      </c>
      <c r="DV502" s="37">
        <v>0</v>
      </c>
      <c r="DW502" s="37">
        <v>0</v>
      </c>
      <c r="DX502" s="37">
        <v>0</v>
      </c>
      <c r="DY502" s="37">
        <v>0</v>
      </c>
      <c r="DZ502" s="37">
        <v>0</v>
      </c>
      <c r="EA502" s="37">
        <v>0</v>
      </c>
      <c r="EB502" s="37">
        <v>0</v>
      </c>
      <c r="EC502" s="37">
        <v>0</v>
      </c>
      <c r="ED502" s="37">
        <v>0</v>
      </c>
      <c r="EE502" s="37">
        <v>0</v>
      </c>
      <c r="EF502" s="37">
        <v>0</v>
      </c>
      <c r="EG502" s="37">
        <v>0</v>
      </c>
      <c r="EH502" s="37">
        <v>0</v>
      </c>
      <c r="EI502" s="37">
        <v>0</v>
      </c>
      <c r="EJ502" s="37">
        <v>0</v>
      </c>
      <c r="EK502" s="161" t="s">
        <v>2465</v>
      </c>
      <c r="EL502" s="294" t="s">
        <v>1124</v>
      </c>
    </row>
    <row r="503" spans="1:142" ht="15" customHeight="1" x14ac:dyDescent="0.35">
      <c r="A503" s="34"/>
      <c r="B503" s="313">
        <v>23027</v>
      </c>
      <c r="C503" s="8" t="s">
        <v>163</v>
      </c>
      <c r="D503" s="18">
        <v>3</v>
      </c>
      <c r="E503" s="155">
        <v>69149803</v>
      </c>
      <c r="F503" s="36">
        <v>27418963</v>
      </c>
      <c r="G503" s="37">
        <v>8941645</v>
      </c>
      <c r="H503" s="37">
        <v>12329431</v>
      </c>
      <c r="I503" s="37">
        <v>21673291.75</v>
      </c>
      <c r="J503" s="37">
        <v>39744606.740000002</v>
      </c>
      <c r="K503" s="37">
        <v>10372470.449999999</v>
      </c>
      <c r="L503" s="37">
        <v>4112844.4499999997</v>
      </c>
      <c r="M503" s="37">
        <v>110137210.2</v>
      </c>
      <c r="N503" s="37">
        <v>83605845.189999998</v>
      </c>
      <c r="O503" s="37">
        <v>2108162</v>
      </c>
      <c r="P503" s="37">
        <v>2226248</v>
      </c>
      <c r="Q503" s="37">
        <v>50924984</v>
      </c>
      <c r="R503" s="37">
        <v>57995150</v>
      </c>
      <c r="S503" s="37">
        <v>2332340</v>
      </c>
      <c r="T503" s="37">
        <v>2675419</v>
      </c>
      <c r="U503" s="37">
        <v>2638014</v>
      </c>
      <c r="V503" s="37">
        <v>2300618</v>
      </c>
      <c r="W503" s="37">
        <v>52133710.199999988</v>
      </c>
      <c r="X503" s="37">
        <v>18408410.189999998</v>
      </c>
      <c r="Y503" s="37">
        <v>0</v>
      </c>
      <c r="Z503" s="37">
        <v>0</v>
      </c>
      <c r="AA503" s="37">
        <v>110137210.19999999</v>
      </c>
      <c r="AB503" s="37">
        <v>83605845.189999998</v>
      </c>
      <c r="AC503" s="37">
        <v>0</v>
      </c>
      <c r="AD503" s="37">
        <v>0</v>
      </c>
      <c r="AE503" s="37">
        <v>0</v>
      </c>
      <c r="AF503" s="168">
        <v>1.9E-2</v>
      </c>
      <c r="AG503" s="37">
        <v>9202078208</v>
      </c>
      <c r="AH503" s="37">
        <v>55565832</v>
      </c>
      <c r="AI503" s="37">
        <v>48275000</v>
      </c>
      <c r="AJ503" s="37">
        <v>47700000</v>
      </c>
      <c r="AK503" s="37">
        <v>51525000</v>
      </c>
      <c r="AL503" s="37">
        <v>50850000</v>
      </c>
      <c r="AM503" s="37">
        <v>55100000</v>
      </c>
      <c r="AN503" s="37">
        <v>42600000</v>
      </c>
      <c r="AO503" s="37">
        <v>42600000</v>
      </c>
      <c r="AP503" s="37">
        <v>42600000</v>
      </c>
      <c r="AQ503" s="37">
        <v>42600000</v>
      </c>
      <c r="AR503" s="37">
        <v>479415832</v>
      </c>
      <c r="AS503" s="37">
        <v>419553116</v>
      </c>
      <c r="AT503" s="37">
        <v>32500000</v>
      </c>
      <c r="AU503" s="37">
        <v>41250000</v>
      </c>
      <c r="AV503" s="37">
        <v>44300000</v>
      </c>
      <c r="AW503" s="37">
        <v>36000000</v>
      </c>
      <c r="AX503" s="37">
        <v>33000000</v>
      </c>
      <c r="AY503" s="37">
        <v>30000000</v>
      </c>
      <c r="AZ503" s="37">
        <v>33000000</v>
      </c>
      <c r="BA503" s="37">
        <v>33000000</v>
      </c>
      <c r="BB503" s="37">
        <v>30000000</v>
      </c>
      <c r="BC503" s="37">
        <v>30000000</v>
      </c>
      <c r="BD503" s="37">
        <v>343050000</v>
      </c>
      <c r="BE503" s="37">
        <v>27218944</v>
      </c>
      <c r="BF503" s="37">
        <v>35204678</v>
      </c>
      <c r="BG503" s="37">
        <v>18779438</v>
      </c>
      <c r="BH503" s="37">
        <v>18607821</v>
      </c>
      <c r="BI503" s="37">
        <v>21384165</v>
      </c>
      <c r="BJ503" s="37">
        <v>0</v>
      </c>
      <c r="BK503" s="37">
        <v>0</v>
      </c>
      <c r="BL503" s="37">
        <v>0</v>
      </c>
      <c r="BM503" s="37">
        <v>0</v>
      </c>
      <c r="BN503" s="37">
        <v>0</v>
      </c>
      <c r="BO503" s="37">
        <v>0</v>
      </c>
      <c r="BP503" s="37">
        <v>93976102</v>
      </c>
      <c r="BQ503" s="37">
        <v>28345440</v>
      </c>
      <c r="BR503" s="37">
        <v>24995322</v>
      </c>
      <c r="BS503" s="37">
        <v>23520563</v>
      </c>
      <c r="BT503" s="37">
        <v>27392179</v>
      </c>
      <c r="BU503" s="37">
        <v>30515835</v>
      </c>
      <c r="BV503" s="37">
        <v>56900000</v>
      </c>
      <c r="BW503" s="37">
        <v>37400000</v>
      </c>
      <c r="BX503" s="37">
        <v>32000000</v>
      </c>
      <c r="BY503" s="37">
        <v>37700000</v>
      </c>
      <c r="BZ503" s="37">
        <v>37600000</v>
      </c>
      <c r="CA503" s="37">
        <v>37600000</v>
      </c>
      <c r="CB503" s="37">
        <v>345623899</v>
      </c>
      <c r="CC503" s="37">
        <v>0</v>
      </c>
      <c r="CD503" s="37">
        <v>0</v>
      </c>
      <c r="CE503" s="37">
        <v>0</v>
      </c>
      <c r="CF503" s="37">
        <v>0</v>
      </c>
      <c r="CG503" s="37">
        <v>0</v>
      </c>
      <c r="CH503" s="37">
        <v>0</v>
      </c>
      <c r="CI503" s="37">
        <v>0</v>
      </c>
      <c r="CJ503" s="37">
        <v>0</v>
      </c>
      <c r="CK503" s="37">
        <v>0</v>
      </c>
      <c r="CL503" s="37">
        <v>0</v>
      </c>
      <c r="CM503" s="37">
        <v>0</v>
      </c>
      <c r="CN503" s="37">
        <v>0</v>
      </c>
      <c r="CO503" s="37">
        <v>10181056</v>
      </c>
      <c r="CP503" s="37">
        <v>14795322</v>
      </c>
      <c r="CQ503" s="37">
        <v>16737229</v>
      </c>
      <c r="CR503" s="37">
        <v>16908846</v>
      </c>
      <c r="CS503" s="37">
        <v>14132502</v>
      </c>
      <c r="CT503" s="37">
        <v>0</v>
      </c>
      <c r="CU503" s="37">
        <v>0</v>
      </c>
      <c r="CV503" s="37">
        <v>0</v>
      </c>
      <c r="CW503" s="37">
        <v>0</v>
      </c>
      <c r="CX503" s="37">
        <v>0</v>
      </c>
      <c r="CY503" s="37">
        <v>0</v>
      </c>
      <c r="CZ503" s="37">
        <v>62573899</v>
      </c>
      <c r="DA503" s="37">
        <v>6538518</v>
      </c>
      <c r="DB503" s="37">
        <v>10504678</v>
      </c>
      <c r="DC503" s="37">
        <v>20962771</v>
      </c>
      <c r="DD503" s="37">
        <v>24891154</v>
      </c>
      <c r="DE503" s="37">
        <v>20167498</v>
      </c>
      <c r="DF503" s="37">
        <v>26800000</v>
      </c>
      <c r="DG503" s="37">
        <v>22900000</v>
      </c>
      <c r="DH503" s="37">
        <v>25200000</v>
      </c>
      <c r="DI503" s="37">
        <v>19000000</v>
      </c>
      <c r="DJ503" s="37">
        <v>17100000</v>
      </c>
      <c r="DK503" s="37">
        <v>17100000</v>
      </c>
      <c r="DL503" s="37">
        <v>204626101</v>
      </c>
      <c r="DM503" s="37">
        <v>0</v>
      </c>
      <c r="DN503" s="37">
        <v>0</v>
      </c>
      <c r="DO503" s="37">
        <v>0</v>
      </c>
      <c r="DP503" s="37">
        <v>0</v>
      </c>
      <c r="DQ503" s="37">
        <v>0</v>
      </c>
      <c r="DR503" s="37">
        <v>0</v>
      </c>
      <c r="DS503" s="37">
        <v>0</v>
      </c>
      <c r="DT503" s="37">
        <v>0</v>
      </c>
      <c r="DU503" s="37">
        <v>0</v>
      </c>
      <c r="DV503" s="37">
        <v>0</v>
      </c>
      <c r="DW503" s="37">
        <v>0</v>
      </c>
      <c r="DX503" s="37">
        <v>0</v>
      </c>
      <c r="DY503" s="37">
        <v>0</v>
      </c>
      <c r="DZ503" s="37">
        <v>0</v>
      </c>
      <c r="EA503" s="37">
        <v>0</v>
      </c>
      <c r="EB503" s="37">
        <v>0</v>
      </c>
      <c r="EC503" s="37">
        <v>0</v>
      </c>
      <c r="ED503" s="37">
        <v>0</v>
      </c>
      <c r="EE503" s="37">
        <v>0</v>
      </c>
      <c r="EF503" s="37">
        <v>0</v>
      </c>
      <c r="EG503" s="37">
        <v>0</v>
      </c>
      <c r="EH503" s="37">
        <v>0</v>
      </c>
      <c r="EI503" s="37">
        <v>0</v>
      </c>
      <c r="EJ503" s="37">
        <v>0</v>
      </c>
      <c r="EK503" s="161" t="s">
        <v>2470</v>
      </c>
      <c r="EL503" s="294" t="s">
        <v>1124</v>
      </c>
    </row>
    <row r="504" spans="1:142" ht="15" customHeight="1" x14ac:dyDescent="0.35">
      <c r="A504" s="34"/>
      <c r="B504" s="313">
        <v>42032</v>
      </c>
      <c r="C504" s="8" t="s">
        <v>382</v>
      </c>
      <c r="D504" s="18">
        <v>5</v>
      </c>
      <c r="E504" s="155">
        <v>53837</v>
      </c>
      <c r="F504" s="36">
        <v>35113</v>
      </c>
      <c r="G504" s="37">
        <v>32070</v>
      </c>
      <c r="H504" s="37">
        <v>12782</v>
      </c>
      <c r="I504" s="37">
        <v>110630.48871845179</v>
      </c>
      <c r="J504" s="37">
        <v>44093.511281548206</v>
      </c>
      <c r="K504" s="37">
        <v>5383.7000000000007</v>
      </c>
      <c r="L504" s="37">
        <v>3511.3</v>
      </c>
      <c r="M504" s="37">
        <v>201921.18871845177</v>
      </c>
      <c r="N504" s="37">
        <v>95499.811281548202</v>
      </c>
      <c r="O504" s="37">
        <v>0</v>
      </c>
      <c r="P504" s="37">
        <v>0</v>
      </c>
      <c r="Q504" s="37">
        <v>64137.78</v>
      </c>
      <c r="R504" s="37">
        <v>42561.16</v>
      </c>
      <c r="S504" s="37">
        <v>0</v>
      </c>
      <c r="T504" s="37">
        <v>0</v>
      </c>
      <c r="U504" s="37">
        <v>5333</v>
      </c>
      <c r="V504" s="37">
        <v>0</v>
      </c>
      <c r="W504" s="37">
        <v>132450.4087184518</v>
      </c>
      <c r="X504" s="37">
        <v>52938.651281548213</v>
      </c>
      <c r="Y504" s="37">
        <v>0</v>
      </c>
      <c r="Z504" s="37">
        <v>0</v>
      </c>
      <c r="AA504" s="37">
        <v>201921.1887184518</v>
      </c>
      <c r="AB504" s="37">
        <v>95499.811281548216</v>
      </c>
      <c r="AC504" s="37">
        <v>0</v>
      </c>
      <c r="AD504" s="37">
        <v>0</v>
      </c>
      <c r="AE504" s="37">
        <v>0</v>
      </c>
      <c r="AF504" s="168">
        <v>0.02</v>
      </c>
      <c r="AG504" s="37">
        <v>10919102.08</v>
      </c>
      <c r="AH504" s="37">
        <v>86768.83</v>
      </c>
      <c r="AI504" s="37">
        <v>107909.23</v>
      </c>
      <c r="AJ504" s="37">
        <v>110067.41</v>
      </c>
      <c r="AK504" s="37">
        <v>92079.78</v>
      </c>
      <c r="AL504" s="37">
        <v>93921.37</v>
      </c>
      <c r="AM504" s="37">
        <v>95799.8</v>
      </c>
      <c r="AN504" s="37">
        <v>97715.79</v>
      </c>
      <c r="AO504" s="37">
        <v>99670.11</v>
      </c>
      <c r="AP504" s="37">
        <v>101663.51</v>
      </c>
      <c r="AQ504" s="37">
        <v>103696.78</v>
      </c>
      <c r="AR504" s="37">
        <v>989292.61</v>
      </c>
      <c r="AS504" s="37">
        <v>153000</v>
      </c>
      <c r="AT504" s="37">
        <v>0</v>
      </c>
      <c r="AU504" s="37">
        <v>16480.98</v>
      </c>
      <c r="AV504" s="37">
        <v>16322.55</v>
      </c>
      <c r="AW504" s="37">
        <v>0</v>
      </c>
      <c r="AX504" s="37">
        <v>0</v>
      </c>
      <c r="AY504" s="37">
        <v>0</v>
      </c>
      <c r="AZ504" s="37">
        <v>0</v>
      </c>
      <c r="BA504" s="37">
        <v>0</v>
      </c>
      <c r="BB504" s="37">
        <v>0</v>
      </c>
      <c r="BC504" s="37">
        <v>0</v>
      </c>
      <c r="BD504" s="37">
        <v>32803.53</v>
      </c>
      <c r="BE504" s="37">
        <v>0</v>
      </c>
      <c r="BF504" s="37">
        <v>19093.721216268292</v>
      </c>
      <c r="BG504" s="37">
        <v>20580.62171074867</v>
      </c>
      <c r="BH504" s="37">
        <v>25335.65620754267</v>
      </c>
      <c r="BI504" s="37">
        <v>30090.700865440398</v>
      </c>
      <c r="BJ504" s="37">
        <v>3268.1340023136104</v>
      </c>
      <c r="BK504" s="37">
        <v>15825.587213954663</v>
      </c>
      <c r="BL504" s="37">
        <v>20580.62171074867</v>
      </c>
      <c r="BM504" s="37">
        <v>25335.65620754267</v>
      </c>
      <c r="BN504" s="37">
        <v>30090.700865440398</v>
      </c>
      <c r="BO504" s="37">
        <v>0</v>
      </c>
      <c r="BP504" s="37">
        <v>190201.40000000005</v>
      </c>
      <c r="BQ504" s="37">
        <v>0</v>
      </c>
      <c r="BR504" s="37">
        <v>0</v>
      </c>
      <c r="BS504" s="37">
        <v>0</v>
      </c>
      <c r="BT504" s="37">
        <v>0</v>
      </c>
      <c r="BU504" s="37">
        <v>0</v>
      </c>
      <c r="BV504" s="37">
        <v>0</v>
      </c>
      <c r="BW504" s="37">
        <v>0</v>
      </c>
      <c r="BX504" s="37">
        <v>0</v>
      </c>
      <c r="BY504" s="37">
        <v>0</v>
      </c>
      <c r="BZ504" s="37">
        <v>0</v>
      </c>
      <c r="CA504" s="37">
        <v>0</v>
      </c>
      <c r="CB504" s="37">
        <v>0</v>
      </c>
      <c r="CC504" s="37">
        <v>0</v>
      </c>
      <c r="CD504" s="37">
        <v>0</v>
      </c>
      <c r="CE504" s="37">
        <v>0</v>
      </c>
      <c r="CF504" s="37">
        <v>0</v>
      </c>
      <c r="CG504" s="37">
        <v>0</v>
      </c>
      <c r="CH504" s="37">
        <v>0</v>
      </c>
      <c r="CI504" s="37">
        <v>0</v>
      </c>
      <c r="CJ504" s="37">
        <v>0</v>
      </c>
      <c r="CK504" s="37">
        <v>0</v>
      </c>
      <c r="CL504" s="37">
        <v>0</v>
      </c>
      <c r="CM504" s="37">
        <v>0</v>
      </c>
      <c r="CN504" s="37">
        <v>0</v>
      </c>
      <c r="CO504" s="37">
        <v>0</v>
      </c>
      <c r="CP504" s="37">
        <v>0</v>
      </c>
      <c r="CQ504" s="37">
        <v>0</v>
      </c>
      <c r="CR504" s="37">
        <v>0</v>
      </c>
      <c r="CS504" s="37">
        <v>0</v>
      </c>
      <c r="CT504" s="37">
        <v>0</v>
      </c>
      <c r="CU504" s="37">
        <v>0</v>
      </c>
      <c r="CV504" s="37">
        <v>0</v>
      </c>
      <c r="CW504" s="37">
        <v>0</v>
      </c>
      <c r="CX504" s="37">
        <v>0</v>
      </c>
      <c r="CY504" s="37">
        <v>0</v>
      </c>
      <c r="CZ504" s="37">
        <v>0</v>
      </c>
      <c r="DA504" s="37">
        <v>0</v>
      </c>
      <c r="DB504" s="37">
        <v>0</v>
      </c>
      <c r="DC504" s="37">
        <v>0</v>
      </c>
      <c r="DD504" s="37">
        <v>0</v>
      </c>
      <c r="DE504" s="37">
        <v>0</v>
      </c>
      <c r="DF504" s="37">
        <v>0</v>
      </c>
      <c r="DG504" s="37">
        <v>0</v>
      </c>
      <c r="DH504" s="37">
        <v>0</v>
      </c>
      <c r="DI504" s="37">
        <v>0</v>
      </c>
      <c r="DJ504" s="37">
        <v>0</v>
      </c>
      <c r="DK504" s="37">
        <v>0</v>
      </c>
      <c r="DL504" s="37">
        <v>0</v>
      </c>
      <c r="DM504" s="37">
        <v>0</v>
      </c>
      <c r="DN504" s="37">
        <v>0</v>
      </c>
      <c r="DO504" s="37">
        <v>0</v>
      </c>
      <c r="DP504" s="37">
        <v>0</v>
      </c>
      <c r="DQ504" s="37">
        <v>0</v>
      </c>
      <c r="DR504" s="37">
        <v>0</v>
      </c>
      <c r="DS504" s="37">
        <v>0</v>
      </c>
      <c r="DT504" s="37">
        <v>0</v>
      </c>
      <c r="DU504" s="37">
        <v>0</v>
      </c>
      <c r="DV504" s="37">
        <v>0</v>
      </c>
      <c r="DW504" s="37">
        <v>0</v>
      </c>
      <c r="DX504" s="37">
        <v>0</v>
      </c>
      <c r="DY504" s="37">
        <v>0</v>
      </c>
      <c r="DZ504" s="37">
        <v>0</v>
      </c>
      <c r="EA504" s="37">
        <v>0</v>
      </c>
      <c r="EB504" s="37">
        <v>0</v>
      </c>
      <c r="EC504" s="37">
        <v>0</v>
      </c>
      <c r="ED504" s="37">
        <v>0</v>
      </c>
      <c r="EE504" s="37">
        <v>0</v>
      </c>
      <c r="EF504" s="37">
        <v>0</v>
      </c>
      <c r="EG504" s="37">
        <v>0</v>
      </c>
      <c r="EH504" s="37">
        <v>0</v>
      </c>
      <c r="EI504" s="37">
        <v>0</v>
      </c>
      <c r="EJ504" s="37">
        <v>0</v>
      </c>
      <c r="EK504" s="161" t="s">
        <v>2474</v>
      </c>
      <c r="EL504" s="294" t="s">
        <v>1124</v>
      </c>
    </row>
    <row r="505" spans="1:142" ht="15" customHeight="1" x14ac:dyDescent="0.35">
      <c r="A505" s="34"/>
      <c r="B505" s="313">
        <v>96040</v>
      </c>
      <c r="C505" s="8" t="s">
        <v>1001</v>
      </c>
      <c r="D505" s="18">
        <v>9</v>
      </c>
      <c r="E505" s="155">
        <v>71807</v>
      </c>
      <c r="F505" s="36">
        <v>27709</v>
      </c>
      <c r="G505" s="37">
        <v>0</v>
      </c>
      <c r="H505" s="37">
        <v>382</v>
      </c>
      <c r="I505" s="37">
        <v>0</v>
      </c>
      <c r="J505" s="37">
        <v>7400</v>
      </c>
      <c r="K505" s="37">
        <v>5744.56</v>
      </c>
      <c r="L505" s="37">
        <v>2216.7200000000003</v>
      </c>
      <c r="M505" s="37">
        <v>77551.56</v>
      </c>
      <c r="N505" s="37">
        <v>37707.72</v>
      </c>
      <c r="O505" s="37">
        <v>0</v>
      </c>
      <c r="P505" s="37">
        <v>0</v>
      </c>
      <c r="Q505" s="37">
        <v>127921</v>
      </c>
      <c r="R505" s="37">
        <v>31763</v>
      </c>
      <c r="S505" s="37">
        <v>50000</v>
      </c>
      <c r="T505" s="37">
        <v>304</v>
      </c>
      <c r="U505" s="37">
        <v>0</v>
      </c>
      <c r="V505" s="37">
        <v>0</v>
      </c>
      <c r="W505" s="37">
        <v>0</v>
      </c>
      <c r="X505" s="37">
        <v>0</v>
      </c>
      <c r="Y505" s="37">
        <v>0</v>
      </c>
      <c r="Z505" s="37">
        <v>0</v>
      </c>
      <c r="AA505" s="37">
        <v>177921</v>
      </c>
      <c r="AB505" s="37">
        <v>32067</v>
      </c>
      <c r="AC505" s="37">
        <v>94729</v>
      </c>
      <c r="AD505" s="37">
        <v>0</v>
      </c>
      <c r="AE505" s="37">
        <v>0</v>
      </c>
      <c r="AF505" s="168">
        <v>0.02</v>
      </c>
      <c r="AG505" s="37">
        <v>22937796.629999999</v>
      </c>
      <c r="AH505" s="37">
        <v>251937.05</v>
      </c>
      <c r="AI505" s="37">
        <v>256975.79</v>
      </c>
      <c r="AJ505" s="37">
        <v>262115.31</v>
      </c>
      <c r="AK505" s="37">
        <v>267357.62</v>
      </c>
      <c r="AL505" s="37">
        <v>272704.77</v>
      </c>
      <c r="AM505" s="37">
        <v>278158.86</v>
      </c>
      <c r="AN505" s="37">
        <v>283722.03999999998</v>
      </c>
      <c r="AO505" s="37">
        <v>289396.47999999998</v>
      </c>
      <c r="AP505" s="37">
        <v>295184.40999999997</v>
      </c>
      <c r="AQ505" s="37">
        <v>301088.09999999998</v>
      </c>
      <c r="AR505" s="37">
        <v>2758640.43</v>
      </c>
      <c r="AS505" s="37">
        <v>28611</v>
      </c>
      <c r="AT505" s="37">
        <v>0</v>
      </c>
      <c r="AU505" s="37">
        <v>26010</v>
      </c>
      <c r="AV505" s="37">
        <v>0</v>
      </c>
      <c r="AW505" s="37">
        <v>0</v>
      </c>
      <c r="AX505" s="37">
        <v>0</v>
      </c>
      <c r="AY505" s="37">
        <v>0</v>
      </c>
      <c r="AZ505" s="37">
        <v>0</v>
      </c>
      <c r="BA505" s="37">
        <v>0</v>
      </c>
      <c r="BB505" s="37">
        <v>0</v>
      </c>
      <c r="BC505" s="37">
        <v>0</v>
      </c>
      <c r="BD505" s="37">
        <v>26010</v>
      </c>
      <c r="BE505" s="37">
        <v>0</v>
      </c>
      <c r="BF505" s="37">
        <v>0</v>
      </c>
      <c r="BG505" s="37">
        <v>0</v>
      </c>
      <c r="BH505" s="37">
        <v>0</v>
      </c>
      <c r="BI505" s="37">
        <v>0</v>
      </c>
      <c r="BJ505" s="37">
        <v>0</v>
      </c>
      <c r="BK505" s="37">
        <v>0</v>
      </c>
      <c r="BL505" s="37">
        <v>0</v>
      </c>
      <c r="BM505" s="37">
        <v>0</v>
      </c>
      <c r="BN505" s="37">
        <v>0</v>
      </c>
      <c r="BO505" s="37">
        <v>0</v>
      </c>
      <c r="BP505" s="37">
        <v>0</v>
      </c>
      <c r="BQ505" s="37">
        <v>0</v>
      </c>
      <c r="BR505" s="37">
        <v>0</v>
      </c>
      <c r="BS505" s="37">
        <v>0</v>
      </c>
      <c r="BT505" s="37">
        <v>0</v>
      </c>
      <c r="BU505" s="37">
        <v>0</v>
      </c>
      <c r="BV505" s="37">
        <v>0</v>
      </c>
      <c r="BW505" s="37">
        <v>0</v>
      </c>
      <c r="BX505" s="37">
        <v>0</v>
      </c>
      <c r="BY505" s="37">
        <v>0</v>
      </c>
      <c r="BZ505" s="37">
        <v>0</v>
      </c>
      <c r="CA505" s="37">
        <v>0</v>
      </c>
      <c r="CB505" s="37">
        <v>0</v>
      </c>
      <c r="CC505" s="37">
        <v>0</v>
      </c>
      <c r="CD505" s="37">
        <v>0</v>
      </c>
      <c r="CE505" s="37">
        <v>0</v>
      </c>
      <c r="CF505" s="37">
        <v>0</v>
      </c>
      <c r="CG505" s="37">
        <v>0</v>
      </c>
      <c r="CH505" s="37">
        <v>0</v>
      </c>
      <c r="CI505" s="37">
        <v>0</v>
      </c>
      <c r="CJ505" s="37">
        <v>0</v>
      </c>
      <c r="CK505" s="37">
        <v>0</v>
      </c>
      <c r="CL505" s="37">
        <v>0</v>
      </c>
      <c r="CM505" s="37">
        <v>0</v>
      </c>
      <c r="CN505" s="37">
        <v>0</v>
      </c>
      <c r="CO505" s="37">
        <v>0</v>
      </c>
      <c r="CP505" s="37">
        <v>0</v>
      </c>
      <c r="CQ505" s="37">
        <v>25000</v>
      </c>
      <c r="CR505" s="37">
        <v>0</v>
      </c>
      <c r="CS505" s="37">
        <v>0</v>
      </c>
      <c r="CT505" s="37">
        <v>0</v>
      </c>
      <c r="CU505" s="37">
        <v>0</v>
      </c>
      <c r="CV505" s="37">
        <v>0</v>
      </c>
      <c r="CW505" s="37">
        <v>0</v>
      </c>
      <c r="CX505" s="37">
        <v>0</v>
      </c>
      <c r="CY505" s="37">
        <v>0</v>
      </c>
      <c r="CZ505" s="37">
        <v>25000</v>
      </c>
      <c r="DA505" s="37">
        <v>0</v>
      </c>
      <c r="DB505" s="37">
        <v>0</v>
      </c>
      <c r="DC505" s="37">
        <v>0</v>
      </c>
      <c r="DD505" s="37">
        <v>0</v>
      </c>
      <c r="DE505" s="37">
        <v>0</v>
      </c>
      <c r="DF505" s="37">
        <v>0</v>
      </c>
      <c r="DG505" s="37">
        <v>0</v>
      </c>
      <c r="DH505" s="37">
        <v>0</v>
      </c>
      <c r="DI505" s="37">
        <v>0</v>
      </c>
      <c r="DJ505" s="37">
        <v>0</v>
      </c>
      <c r="DK505" s="37">
        <v>0</v>
      </c>
      <c r="DL505" s="37">
        <v>0</v>
      </c>
      <c r="DM505" s="37">
        <v>0</v>
      </c>
      <c r="DN505" s="37">
        <v>0</v>
      </c>
      <c r="DO505" s="37">
        <v>0</v>
      </c>
      <c r="DP505" s="37">
        <v>0</v>
      </c>
      <c r="DQ505" s="37">
        <v>0</v>
      </c>
      <c r="DR505" s="37">
        <v>0</v>
      </c>
      <c r="DS505" s="37">
        <v>0</v>
      </c>
      <c r="DT505" s="37">
        <v>0</v>
      </c>
      <c r="DU505" s="37">
        <v>0</v>
      </c>
      <c r="DV505" s="37">
        <v>0</v>
      </c>
      <c r="DW505" s="37">
        <v>0</v>
      </c>
      <c r="DX505" s="37">
        <v>0</v>
      </c>
      <c r="DY505" s="37">
        <v>0</v>
      </c>
      <c r="DZ505" s="37">
        <v>0</v>
      </c>
      <c r="EA505" s="37">
        <v>0</v>
      </c>
      <c r="EB505" s="37">
        <v>0</v>
      </c>
      <c r="EC505" s="37">
        <v>0</v>
      </c>
      <c r="ED505" s="37">
        <v>0</v>
      </c>
      <c r="EE505" s="37">
        <v>0</v>
      </c>
      <c r="EF505" s="37">
        <v>0</v>
      </c>
      <c r="EG505" s="37">
        <v>0</v>
      </c>
      <c r="EH505" s="37">
        <v>0</v>
      </c>
      <c r="EI505" s="37">
        <v>0</v>
      </c>
      <c r="EJ505" s="37">
        <v>0</v>
      </c>
      <c r="EK505" s="161" t="s">
        <v>2478</v>
      </c>
      <c r="EL505" s="294" t="s">
        <v>1124</v>
      </c>
    </row>
    <row r="506" spans="1:142" ht="15" customHeight="1" x14ac:dyDescent="0.35">
      <c r="A506" s="34"/>
      <c r="B506" s="313">
        <v>87010</v>
      </c>
      <c r="C506" s="8" t="s">
        <v>891</v>
      </c>
      <c r="D506" s="18">
        <v>8</v>
      </c>
      <c r="E506" s="155"/>
      <c r="F506" s="36"/>
      <c r="G506" s="37"/>
      <c r="H506" s="37"/>
      <c r="I506" s="37"/>
      <c r="J506" s="37"/>
      <c r="K506" s="37"/>
      <c r="L506" s="37"/>
      <c r="M506" s="37" t="s">
        <v>1124</v>
      </c>
      <c r="N506" s="37" t="s">
        <v>1124</v>
      </c>
      <c r="O506" s="37"/>
      <c r="P506" s="37"/>
      <c r="Q506" s="37"/>
      <c r="R506" s="37"/>
      <c r="S506" s="37"/>
      <c r="T506" s="37"/>
      <c r="U506" s="37"/>
      <c r="V506" s="37"/>
      <c r="W506" s="37"/>
      <c r="X506" s="37"/>
      <c r="Y506" s="37"/>
      <c r="Z506" s="37"/>
      <c r="AA506" s="37" t="s">
        <v>1124</v>
      </c>
      <c r="AB506" s="37" t="s">
        <v>1124</v>
      </c>
      <c r="AC506" s="37"/>
      <c r="AD506" s="37"/>
      <c r="AE506" s="37"/>
      <c r="AF506" s="168"/>
      <c r="AG506" s="37"/>
      <c r="AH506" s="37"/>
      <c r="AI506" s="37"/>
      <c r="AJ506" s="37"/>
      <c r="AK506" s="37"/>
      <c r="AL506" s="37"/>
      <c r="AM506" s="37"/>
      <c r="AN506" s="37"/>
      <c r="AO506" s="37"/>
      <c r="AP506" s="37"/>
      <c r="AQ506" s="37"/>
      <c r="AR506" s="37" t="s">
        <v>1124</v>
      </c>
      <c r="AS506" s="37"/>
      <c r="AT506" s="37"/>
      <c r="AU506" s="37"/>
      <c r="AV506" s="37"/>
      <c r="AW506" s="37"/>
      <c r="AX506" s="37"/>
      <c r="AY506" s="37"/>
      <c r="AZ506" s="37"/>
      <c r="BA506" s="37"/>
      <c r="BB506" s="37"/>
      <c r="BC506" s="37"/>
      <c r="BD506" s="37" t="s">
        <v>1124</v>
      </c>
      <c r="BE506" s="37"/>
      <c r="BF506" s="37"/>
      <c r="BG506" s="37"/>
      <c r="BH506" s="37"/>
      <c r="BI506" s="37"/>
      <c r="BJ506" s="37"/>
      <c r="BK506" s="37"/>
      <c r="BL506" s="37"/>
      <c r="BM506" s="37"/>
      <c r="BN506" s="37"/>
      <c r="BO506" s="37"/>
      <c r="BP506" s="37">
        <v>0</v>
      </c>
      <c r="BQ506" s="37"/>
      <c r="BR506" s="37"/>
      <c r="BS506" s="37"/>
      <c r="BT506" s="37"/>
      <c r="BU506" s="37"/>
      <c r="BV506" s="37"/>
      <c r="BW506" s="37"/>
      <c r="BX506" s="37"/>
      <c r="BY506" s="37"/>
      <c r="BZ506" s="37"/>
      <c r="CA506" s="37"/>
      <c r="CB506" s="37" t="s">
        <v>1124</v>
      </c>
      <c r="CC506" s="37"/>
      <c r="CD506" s="37"/>
      <c r="CE506" s="37"/>
      <c r="CF506" s="37"/>
      <c r="CG506" s="37"/>
      <c r="CH506" s="37"/>
      <c r="CI506" s="37"/>
      <c r="CJ506" s="37"/>
      <c r="CK506" s="37"/>
      <c r="CL506" s="37"/>
      <c r="CM506" s="37"/>
      <c r="CN506" s="37" t="s">
        <v>1124</v>
      </c>
      <c r="CO506" s="37"/>
      <c r="CP506" s="37"/>
      <c r="CQ506" s="37"/>
      <c r="CR506" s="37"/>
      <c r="CS506" s="37"/>
      <c r="CT506" s="37"/>
      <c r="CU506" s="37"/>
      <c r="CV506" s="37"/>
      <c r="CW506" s="37"/>
      <c r="CX506" s="37"/>
      <c r="CY506" s="37"/>
      <c r="CZ506" s="37" t="s">
        <v>1124</v>
      </c>
      <c r="DA506" s="37"/>
      <c r="DB506" s="37"/>
      <c r="DC506" s="37"/>
      <c r="DD506" s="37"/>
      <c r="DE506" s="37"/>
      <c r="DF506" s="37"/>
      <c r="DG506" s="37"/>
      <c r="DH506" s="37"/>
      <c r="DI506" s="37"/>
      <c r="DJ506" s="37"/>
      <c r="DK506" s="37"/>
      <c r="DL506" s="37" t="s">
        <v>1124</v>
      </c>
      <c r="DM506" s="37"/>
      <c r="DN506" s="37"/>
      <c r="DO506" s="37"/>
      <c r="DP506" s="37"/>
      <c r="DQ506" s="37"/>
      <c r="DR506" s="37"/>
      <c r="DS506" s="37"/>
      <c r="DT506" s="37"/>
      <c r="DU506" s="37"/>
      <c r="DV506" s="37"/>
      <c r="DW506" s="37"/>
      <c r="DX506" s="37" t="s">
        <v>1124</v>
      </c>
      <c r="DY506" s="37"/>
      <c r="DZ506" s="37"/>
      <c r="EA506" s="37"/>
      <c r="EB506" s="37"/>
      <c r="EC506" s="37"/>
      <c r="ED506" s="37"/>
      <c r="EE506" s="37"/>
      <c r="EF506" s="37"/>
      <c r="EG506" s="37"/>
      <c r="EH506" s="37"/>
      <c r="EI506" s="37"/>
      <c r="EJ506" s="37" t="s">
        <v>1124</v>
      </c>
      <c r="EK506" s="161"/>
      <c r="EL506" s="294"/>
    </row>
    <row r="507" spans="1:142" ht="15" customHeight="1" x14ac:dyDescent="0.35">
      <c r="A507" s="34"/>
      <c r="B507" s="313">
        <v>84100</v>
      </c>
      <c r="C507" s="8" t="s">
        <v>869</v>
      </c>
      <c r="D507" s="18">
        <v>7</v>
      </c>
      <c r="E507" s="155"/>
      <c r="F507" s="36"/>
      <c r="G507" s="37"/>
      <c r="H507" s="37"/>
      <c r="I507" s="37"/>
      <c r="J507" s="37"/>
      <c r="K507" s="37"/>
      <c r="L507" s="37"/>
      <c r="M507" s="37" t="s">
        <v>1124</v>
      </c>
      <c r="N507" s="37" t="s">
        <v>1124</v>
      </c>
      <c r="O507" s="37"/>
      <c r="P507" s="37"/>
      <c r="Q507" s="37"/>
      <c r="R507" s="37"/>
      <c r="S507" s="37"/>
      <c r="T507" s="37"/>
      <c r="U507" s="37"/>
      <c r="V507" s="37"/>
      <c r="W507" s="37"/>
      <c r="X507" s="37"/>
      <c r="Y507" s="37"/>
      <c r="Z507" s="37"/>
      <c r="AA507" s="37" t="s">
        <v>1124</v>
      </c>
      <c r="AB507" s="37" t="s">
        <v>1124</v>
      </c>
      <c r="AC507" s="37"/>
      <c r="AD507" s="37"/>
      <c r="AE507" s="37"/>
      <c r="AF507" s="168"/>
      <c r="AG507" s="37"/>
      <c r="AH507" s="37"/>
      <c r="AI507" s="37"/>
      <c r="AJ507" s="37"/>
      <c r="AK507" s="37"/>
      <c r="AL507" s="37"/>
      <c r="AM507" s="37"/>
      <c r="AN507" s="37"/>
      <c r="AO507" s="37"/>
      <c r="AP507" s="37"/>
      <c r="AQ507" s="37"/>
      <c r="AR507" s="37" t="s">
        <v>1124</v>
      </c>
      <c r="AS507" s="37"/>
      <c r="AT507" s="37"/>
      <c r="AU507" s="37"/>
      <c r="AV507" s="37"/>
      <c r="AW507" s="37"/>
      <c r="AX507" s="37"/>
      <c r="AY507" s="37"/>
      <c r="AZ507" s="37"/>
      <c r="BA507" s="37"/>
      <c r="BB507" s="37"/>
      <c r="BC507" s="37"/>
      <c r="BD507" s="37" t="s">
        <v>1124</v>
      </c>
      <c r="BE507" s="37"/>
      <c r="BF507" s="37"/>
      <c r="BG507" s="37"/>
      <c r="BH507" s="37"/>
      <c r="BI507" s="37"/>
      <c r="BJ507" s="37"/>
      <c r="BK507" s="37"/>
      <c r="BL507" s="37"/>
      <c r="BM507" s="37"/>
      <c r="BN507" s="37"/>
      <c r="BO507" s="37"/>
      <c r="BP507" s="37">
        <v>0</v>
      </c>
      <c r="BQ507" s="37"/>
      <c r="BR507" s="37"/>
      <c r="BS507" s="37"/>
      <c r="BT507" s="37"/>
      <c r="BU507" s="37"/>
      <c r="BV507" s="37"/>
      <c r="BW507" s="37"/>
      <c r="BX507" s="37"/>
      <c r="BY507" s="37"/>
      <c r="BZ507" s="37"/>
      <c r="CA507" s="37"/>
      <c r="CB507" s="37" t="s">
        <v>1124</v>
      </c>
      <c r="CC507" s="37"/>
      <c r="CD507" s="37"/>
      <c r="CE507" s="37"/>
      <c r="CF507" s="37"/>
      <c r="CG507" s="37"/>
      <c r="CH507" s="37"/>
      <c r="CI507" s="37"/>
      <c r="CJ507" s="37"/>
      <c r="CK507" s="37"/>
      <c r="CL507" s="37"/>
      <c r="CM507" s="37"/>
      <c r="CN507" s="37" t="s">
        <v>1124</v>
      </c>
      <c r="CO507" s="37"/>
      <c r="CP507" s="37"/>
      <c r="CQ507" s="37"/>
      <c r="CR507" s="37"/>
      <c r="CS507" s="37"/>
      <c r="CT507" s="37"/>
      <c r="CU507" s="37"/>
      <c r="CV507" s="37"/>
      <c r="CW507" s="37"/>
      <c r="CX507" s="37"/>
      <c r="CY507" s="37"/>
      <c r="CZ507" s="37" t="s">
        <v>1124</v>
      </c>
      <c r="DA507" s="37"/>
      <c r="DB507" s="37"/>
      <c r="DC507" s="37"/>
      <c r="DD507" s="37"/>
      <c r="DE507" s="37"/>
      <c r="DF507" s="37"/>
      <c r="DG507" s="37"/>
      <c r="DH507" s="37"/>
      <c r="DI507" s="37"/>
      <c r="DJ507" s="37"/>
      <c r="DK507" s="37"/>
      <c r="DL507" s="37" t="s">
        <v>1124</v>
      </c>
      <c r="DM507" s="37"/>
      <c r="DN507" s="37"/>
      <c r="DO507" s="37"/>
      <c r="DP507" s="37"/>
      <c r="DQ507" s="37"/>
      <c r="DR507" s="37"/>
      <c r="DS507" s="37"/>
      <c r="DT507" s="37"/>
      <c r="DU507" s="37"/>
      <c r="DV507" s="37"/>
      <c r="DW507" s="37"/>
      <c r="DX507" s="37" t="s">
        <v>1124</v>
      </c>
      <c r="DY507" s="37"/>
      <c r="DZ507" s="37"/>
      <c r="EA507" s="37"/>
      <c r="EB507" s="37"/>
      <c r="EC507" s="37"/>
      <c r="ED507" s="37"/>
      <c r="EE507" s="37"/>
      <c r="EF507" s="37"/>
      <c r="EG507" s="37"/>
      <c r="EH507" s="37"/>
      <c r="EI507" s="37"/>
      <c r="EJ507" s="37" t="s">
        <v>1124</v>
      </c>
      <c r="EK507" s="161"/>
      <c r="EL507" s="294"/>
    </row>
    <row r="508" spans="1:142" ht="15" customHeight="1" x14ac:dyDescent="0.35">
      <c r="A508" s="34"/>
      <c r="B508" s="313">
        <v>62037</v>
      </c>
      <c r="C508" s="8" t="s">
        <v>624</v>
      </c>
      <c r="D508" s="18">
        <v>14</v>
      </c>
      <c r="E508" s="155">
        <v>773943</v>
      </c>
      <c r="F508" s="36">
        <v>308193</v>
      </c>
      <c r="G508" s="37">
        <v>267485</v>
      </c>
      <c r="H508" s="37">
        <v>46834</v>
      </c>
      <c r="I508" s="37">
        <v>770175</v>
      </c>
      <c r="J508" s="37">
        <v>81172</v>
      </c>
      <c r="K508" s="37">
        <v>271740.45</v>
      </c>
      <c r="L508" s="37">
        <v>65429.85</v>
      </c>
      <c r="M508" s="37">
        <v>2083343.45</v>
      </c>
      <c r="N508" s="37">
        <v>501628.85</v>
      </c>
      <c r="O508" s="37">
        <v>0</v>
      </c>
      <c r="P508" s="37">
        <v>0</v>
      </c>
      <c r="Q508" s="37">
        <v>1441110</v>
      </c>
      <c r="R508" s="37">
        <v>309230</v>
      </c>
      <c r="S508" s="37">
        <v>39899</v>
      </c>
      <c r="T508" s="37">
        <v>36334</v>
      </c>
      <c r="U508" s="37">
        <v>254037</v>
      </c>
      <c r="V508" s="37">
        <v>0</v>
      </c>
      <c r="W508" s="37">
        <v>359872.45</v>
      </c>
      <c r="X508" s="37">
        <v>90026.85</v>
      </c>
      <c r="Y508" s="37">
        <v>58764</v>
      </c>
      <c r="Z508" s="37">
        <v>3364</v>
      </c>
      <c r="AA508" s="37">
        <v>2153682.4500000002</v>
      </c>
      <c r="AB508" s="37">
        <v>438954.85</v>
      </c>
      <c r="AC508" s="37">
        <v>7665</v>
      </c>
      <c r="AD508" s="37">
        <v>0</v>
      </c>
      <c r="AE508" s="37">
        <v>0</v>
      </c>
      <c r="AF508" s="168">
        <v>0.02</v>
      </c>
      <c r="AG508" s="37">
        <v>105976773.86</v>
      </c>
      <c r="AH508" s="37">
        <v>0</v>
      </c>
      <c r="AI508" s="37">
        <v>668561.04</v>
      </c>
      <c r="AJ508" s="37">
        <v>0</v>
      </c>
      <c r="AK508" s="37">
        <v>0</v>
      </c>
      <c r="AL508" s="37">
        <v>2161951.41</v>
      </c>
      <c r="AM508" s="37">
        <v>1889013.58</v>
      </c>
      <c r="AN508" s="37">
        <v>0</v>
      </c>
      <c r="AO508" s="37">
        <v>0</v>
      </c>
      <c r="AP508" s="37">
        <v>0</v>
      </c>
      <c r="AQ508" s="37">
        <v>1484588.92</v>
      </c>
      <c r="AR508" s="37">
        <v>6204114.9500000002</v>
      </c>
      <c r="AS508" s="37">
        <v>18804102.899999999</v>
      </c>
      <c r="AT508" s="37">
        <v>0</v>
      </c>
      <c r="AU508" s="37">
        <v>0</v>
      </c>
      <c r="AV508" s="37">
        <v>649459.30000000005</v>
      </c>
      <c r="AW508" s="37">
        <v>0</v>
      </c>
      <c r="AX508" s="37">
        <v>0</v>
      </c>
      <c r="AY508" s="37">
        <v>0</v>
      </c>
      <c r="AZ508" s="37">
        <v>0</v>
      </c>
      <c r="BA508" s="37">
        <v>0</v>
      </c>
      <c r="BB508" s="37">
        <v>0</v>
      </c>
      <c r="BC508" s="37">
        <v>0</v>
      </c>
      <c r="BD508" s="37">
        <v>649459.30000000005</v>
      </c>
      <c r="BE508" s="37">
        <v>46333</v>
      </c>
      <c r="BF508" s="37">
        <v>1247534</v>
      </c>
      <c r="BG508" s="37">
        <v>700000</v>
      </c>
      <c r="BH508" s="37">
        <v>1494500</v>
      </c>
      <c r="BI508" s="37">
        <v>0</v>
      </c>
      <c r="BJ508" s="37">
        <v>0</v>
      </c>
      <c r="BK508" s="37">
        <v>0</v>
      </c>
      <c r="BL508" s="37">
        <v>0</v>
      </c>
      <c r="BM508" s="37">
        <v>0</v>
      </c>
      <c r="BN508" s="37">
        <v>0</v>
      </c>
      <c r="BO508" s="37">
        <v>0</v>
      </c>
      <c r="BP508" s="37">
        <v>3442034</v>
      </c>
      <c r="BQ508" s="37">
        <v>41692</v>
      </c>
      <c r="BR508" s="37">
        <v>195408</v>
      </c>
      <c r="BS508" s="37">
        <v>668561.04</v>
      </c>
      <c r="BT508" s="37">
        <v>0</v>
      </c>
      <c r="BU508" s="37">
        <v>0</v>
      </c>
      <c r="BV508" s="37">
        <v>2161951.41</v>
      </c>
      <c r="BW508" s="37">
        <v>1889013.58</v>
      </c>
      <c r="BX508" s="37">
        <v>0</v>
      </c>
      <c r="BY508" s="37">
        <v>0</v>
      </c>
      <c r="BZ508" s="37">
        <v>0</v>
      </c>
      <c r="CA508" s="37">
        <v>1484588.92</v>
      </c>
      <c r="CB508" s="37">
        <v>6399522.9500000002</v>
      </c>
      <c r="CC508" s="37">
        <v>0</v>
      </c>
      <c r="CD508" s="37">
        <v>0</v>
      </c>
      <c r="CE508" s="37">
        <v>0</v>
      </c>
      <c r="CF508" s="37">
        <v>0</v>
      </c>
      <c r="CG508" s="37">
        <v>0</v>
      </c>
      <c r="CH508" s="37">
        <v>0</v>
      </c>
      <c r="CI508" s="37">
        <v>0</v>
      </c>
      <c r="CJ508" s="37">
        <v>0</v>
      </c>
      <c r="CK508" s="37">
        <v>0</v>
      </c>
      <c r="CL508" s="37">
        <v>0</v>
      </c>
      <c r="CM508" s="37">
        <v>0</v>
      </c>
      <c r="CN508" s="37">
        <v>0</v>
      </c>
      <c r="CO508" s="37">
        <v>0</v>
      </c>
      <c r="CP508" s="37">
        <v>0</v>
      </c>
      <c r="CQ508" s="37">
        <v>0</v>
      </c>
      <c r="CR508" s="37">
        <v>0</v>
      </c>
      <c r="CS508" s="37">
        <v>0</v>
      </c>
      <c r="CT508" s="37">
        <v>0</v>
      </c>
      <c r="CU508" s="37">
        <v>0</v>
      </c>
      <c r="CV508" s="37">
        <v>0</v>
      </c>
      <c r="CW508" s="37">
        <v>0</v>
      </c>
      <c r="CX508" s="37">
        <v>0</v>
      </c>
      <c r="CY508" s="37">
        <v>0</v>
      </c>
      <c r="CZ508" s="37">
        <v>0</v>
      </c>
      <c r="DA508" s="37">
        <v>448355</v>
      </c>
      <c r="DB508" s="37">
        <v>0</v>
      </c>
      <c r="DC508" s="37">
        <v>0</v>
      </c>
      <c r="DD508" s="37">
        <v>649459</v>
      </c>
      <c r="DE508" s="37">
        <v>0</v>
      </c>
      <c r="DF508" s="37">
        <v>0</v>
      </c>
      <c r="DG508" s="37">
        <v>0</v>
      </c>
      <c r="DH508" s="37">
        <v>0</v>
      </c>
      <c r="DI508" s="37">
        <v>0</v>
      </c>
      <c r="DJ508" s="37">
        <v>0</v>
      </c>
      <c r="DK508" s="37">
        <v>0</v>
      </c>
      <c r="DL508" s="37">
        <v>649459</v>
      </c>
      <c r="DM508" s="37">
        <v>28559</v>
      </c>
      <c r="DN508" s="37">
        <v>0</v>
      </c>
      <c r="DO508" s="37">
        <v>0</v>
      </c>
      <c r="DP508" s="37">
        <v>0</v>
      </c>
      <c r="DQ508" s="37">
        <v>0</v>
      </c>
      <c r="DR508" s="37">
        <v>0</v>
      </c>
      <c r="DS508" s="37">
        <v>0</v>
      </c>
      <c r="DT508" s="37">
        <v>0</v>
      </c>
      <c r="DU508" s="37">
        <v>0</v>
      </c>
      <c r="DV508" s="37">
        <v>0</v>
      </c>
      <c r="DW508" s="37">
        <v>0</v>
      </c>
      <c r="DX508" s="37">
        <v>0</v>
      </c>
      <c r="DY508" s="37">
        <v>25359</v>
      </c>
      <c r="DZ508" s="37">
        <v>0</v>
      </c>
      <c r="EA508" s="37">
        <v>0</v>
      </c>
      <c r="EB508" s="37">
        <v>0</v>
      </c>
      <c r="EC508" s="37">
        <v>0</v>
      </c>
      <c r="ED508" s="37">
        <v>0</v>
      </c>
      <c r="EE508" s="37">
        <v>0</v>
      </c>
      <c r="EF508" s="37">
        <v>0</v>
      </c>
      <c r="EG508" s="37">
        <v>0</v>
      </c>
      <c r="EH508" s="37">
        <v>0</v>
      </c>
      <c r="EI508" s="37">
        <v>0</v>
      </c>
      <c r="EJ508" s="37">
        <v>0</v>
      </c>
      <c r="EK508" s="161" t="s">
        <v>2484</v>
      </c>
      <c r="EL508" s="294" t="s">
        <v>1124</v>
      </c>
    </row>
    <row r="509" spans="1:142" ht="15" customHeight="1" x14ac:dyDescent="0.35">
      <c r="A509" s="34"/>
      <c r="B509" s="313">
        <v>85105</v>
      </c>
      <c r="C509" s="8" t="s">
        <v>888</v>
      </c>
      <c r="D509" s="18">
        <v>8</v>
      </c>
      <c r="E509" s="155"/>
      <c r="F509" s="36"/>
      <c r="G509" s="37"/>
      <c r="H509" s="37"/>
      <c r="I509" s="37"/>
      <c r="J509" s="37"/>
      <c r="K509" s="37"/>
      <c r="L509" s="37"/>
      <c r="M509" s="37" t="s">
        <v>1124</v>
      </c>
      <c r="N509" s="37" t="s">
        <v>1124</v>
      </c>
      <c r="O509" s="37"/>
      <c r="P509" s="37"/>
      <c r="Q509" s="37"/>
      <c r="R509" s="37"/>
      <c r="S509" s="37"/>
      <c r="T509" s="37"/>
      <c r="U509" s="37"/>
      <c r="V509" s="37"/>
      <c r="W509" s="37"/>
      <c r="X509" s="37"/>
      <c r="Y509" s="37"/>
      <c r="Z509" s="37"/>
      <c r="AA509" s="37" t="s">
        <v>1124</v>
      </c>
      <c r="AB509" s="37" t="s">
        <v>1124</v>
      </c>
      <c r="AC509" s="37"/>
      <c r="AD509" s="37"/>
      <c r="AE509" s="37"/>
      <c r="AF509" s="168"/>
      <c r="AG509" s="37"/>
      <c r="AH509" s="37"/>
      <c r="AI509" s="37"/>
      <c r="AJ509" s="37"/>
      <c r="AK509" s="37"/>
      <c r="AL509" s="37"/>
      <c r="AM509" s="37"/>
      <c r="AN509" s="37"/>
      <c r="AO509" s="37"/>
      <c r="AP509" s="37"/>
      <c r="AQ509" s="37"/>
      <c r="AR509" s="37" t="s">
        <v>1124</v>
      </c>
      <c r="AS509" s="37"/>
      <c r="AT509" s="37"/>
      <c r="AU509" s="37"/>
      <c r="AV509" s="37"/>
      <c r="AW509" s="37"/>
      <c r="AX509" s="37"/>
      <c r="AY509" s="37"/>
      <c r="AZ509" s="37"/>
      <c r="BA509" s="37"/>
      <c r="BB509" s="37"/>
      <c r="BC509" s="37"/>
      <c r="BD509" s="37" t="s">
        <v>1124</v>
      </c>
      <c r="BE509" s="37"/>
      <c r="BF509" s="37"/>
      <c r="BG509" s="37"/>
      <c r="BH509" s="37"/>
      <c r="BI509" s="37"/>
      <c r="BJ509" s="37"/>
      <c r="BK509" s="37"/>
      <c r="BL509" s="37"/>
      <c r="BM509" s="37"/>
      <c r="BN509" s="37"/>
      <c r="BO509" s="37"/>
      <c r="BP509" s="37">
        <v>0</v>
      </c>
      <c r="BQ509" s="37"/>
      <c r="BR509" s="37"/>
      <c r="BS509" s="37"/>
      <c r="BT509" s="37"/>
      <c r="BU509" s="37"/>
      <c r="BV509" s="37"/>
      <c r="BW509" s="37"/>
      <c r="BX509" s="37"/>
      <c r="BY509" s="37"/>
      <c r="BZ509" s="37"/>
      <c r="CA509" s="37"/>
      <c r="CB509" s="37" t="s">
        <v>1124</v>
      </c>
      <c r="CC509" s="37"/>
      <c r="CD509" s="37"/>
      <c r="CE509" s="37"/>
      <c r="CF509" s="37"/>
      <c r="CG509" s="37"/>
      <c r="CH509" s="37"/>
      <c r="CI509" s="37"/>
      <c r="CJ509" s="37"/>
      <c r="CK509" s="37"/>
      <c r="CL509" s="37"/>
      <c r="CM509" s="37"/>
      <c r="CN509" s="37" t="s">
        <v>1124</v>
      </c>
      <c r="CO509" s="37"/>
      <c r="CP509" s="37"/>
      <c r="CQ509" s="37"/>
      <c r="CR509" s="37"/>
      <c r="CS509" s="37"/>
      <c r="CT509" s="37"/>
      <c r="CU509" s="37"/>
      <c r="CV509" s="37"/>
      <c r="CW509" s="37"/>
      <c r="CX509" s="37"/>
      <c r="CY509" s="37"/>
      <c r="CZ509" s="37" t="s">
        <v>1124</v>
      </c>
      <c r="DA509" s="37"/>
      <c r="DB509" s="37"/>
      <c r="DC509" s="37"/>
      <c r="DD509" s="37"/>
      <c r="DE509" s="37"/>
      <c r="DF509" s="37"/>
      <c r="DG509" s="37"/>
      <c r="DH509" s="37"/>
      <c r="DI509" s="37"/>
      <c r="DJ509" s="37"/>
      <c r="DK509" s="37"/>
      <c r="DL509" s="37" t="s">
        <v>1124</v>
      </c>
      <c r="DM509" s="37"/>
      <c r="DN509" s="37"/>
      <c r="DO509" s="37"/>
      <c r="DP509" s="37"/>
      <c r="DQ509" s="37"/>
      <c r="DR509" s="37"/>
      <c r="DS509" s="37"/>
      <c r="DT509" s="37"/>
      <c r="DU509" s="37"/>
      <c r="DV509" s="37"/>
      <c r="DW509" s="37"/>
      <c r="DX509" s="37" t="s">
        <v>1124</v>
      </c>
      <c r="DY509" s="37"/>
      <c r="DZ509" s="37"/>
      <c r="EA509" s="37"/>
      <c r="EB509" s="37"/>
      <c r="EC509" s="37"/>
      <c r="ED509" s="37"/>
      <c r="EE509" s="37"/>
      <c r="EF509" s="37"/>
      <c r="EG509" s="37"/>
      <c r="EH509" s="37"/>
      <c r="EI509" s="37"/>
      <c r="EJ509" s="37" t="s">
        <v>1124</v>
      </c>
      <c r="EK509" s="161"/>
      <c r="EL509" s="294"/>
    </row>
    <row r="510" spans="1:142" ht="15" customHeight="1" x14ac:dyDescent="0.35">
      <c r="A510" s="34"/>
      <c r="B510" s="313">
        <v>60013</v>
      </c>
      <c r="C510" s="8" t="s">
        <v>606</v>
      </c>
      <c r="D510" s="18">
        <v>14</v>
      </c>
      <c r="E510" s="155">
        <v>5479002</v>
      </c>
      <c r="F510" s="36">
        <v>5695841</v>
      </c>
      <c r="G510" s="37">
        <v>1217563</v>
      </c>
      <c r="H510" s="37">
        <v>1536943</v>
      </c>
      <c r="I510" s="37">
        <v>2391547</v>
      </c>
      <c r="J510" s="37">
        <v>3760620</v>
      </c>
      <c r="K510" s="37">
        <v>1259477</v>
      </c>
      <c r="L510" s="37">
        <v>1523283</v>
      </c>
      <c r="M510" s="37">
        <v>10347589</v>
      </c>
      <c r="N510" s="37">
        <v>12516687</v>
      </c>
      <c r="O510" s="37">
        <v>5371911</v>
      </c>
      <c r="P510" s="37">
        <v>218836</v>
      </c>
      <c r="Q510" s="37">
        <v>154063</v>
      </c>
      <c r="R510" s="37">
        <v>5093862</v>
      </c>
      <c r="S510" s="37">
        <v>1213448</v>
      </c>
      <c r="T510" s="37">
        <v>230059</v>
      </c>
      <c r="U510" s="37">
        <v>365586</v>
      </c>
      <c r="V510" s="37">
        <v>156384</v>
      </c>
      <c r="W510" s="37">
        <v>3242581</v>
      </c>
      <c r="X510" s="37">
        <v>6817546</v>
      </c>
      <c r="Y510" s="37">
        <v>0</v>
      </c>
      <c r="Z510" s="37">
        <v>0</v>
      </c>
      <c r="AA510" s="37">
        <v>10347589</v>
      </c>
      <c r="AB510" s="37">
        <v>12516687</v>
      </c>
      <c r="AC510" s="37">
        <v>0</v>
      </c>
      <c r="AD510" s="37">
        <v>0</v>
      </c>
      <c r="AE510" s="37">
        <v>0</v>
      </c>
      <c r="AF510" s="168">
        <v>0.02</v>
      </c>
      <c r="AG510" s="37">
        <v>1133010828.54</v>
      </c>
      <c r="AH510" s="37">
        <v>9369195.1699999999</v>
      </c>
      <c r="AI510" s="37">
        <v>10405545.470000001</v>
      </c>
      <c r="AJ510" s="37">
        <v>11208994.07</v>
      </c>
      <c r="AK510" s="37">
        <v>13061693.140000001</v>
      </c>
      <c r="AL510" s="37">
        <v>12027840.220000001</v>
      </c>
      <c r="AM510" s="37">
        <v>11435599.91</v>
      </c>
      <c r="AN510" s="37">
        <v>10082571.75</v>
      </c>
      <c r="AO510" s="37">
        <v>10284223.18</v>
      </c>
      <c r="AP510" s="37">
        <v>10489907.640000001</v>
      </c>
      <c r="AQ510" s="37">
        <v>10699705.800000001</v>
      </c>
      <c r="AR510" s="37">
        <v>109065276.35000001</v>
      </c>
      <c r="AS510" s="37">
        <v>13563885.189999999</v>
      </c>
      <c r="AT510" s="37">
        <v>0</v>
      </c>
      <c r="AU510" s="37">
        <v>0</v>
      </c>
      <c r="AV510" s="37">
        <v>0</v>
      </c>
      <c r="AW510" s="37">
        <v>0</v>
      </c>
      <c r="AX510" s="37">
        <v>0</v>
      </c>
      <c r="AY510" s="37">
        <v>0</v>
      </c>
      <c r="AZ510" s="37">
        <v>0</v>
      </c>
      <c r="BA510" s="37">
        <v>0</v>
      </c>
      <c r="BB510" s="37">
        <v>0</v>
      </c>
      <c r="BC510" s="37">
        <v>0</v>
      </c>
      <c r="BD510" s="37">
        <v>0</v>
      </c>
      <c r="BE510" s="37">
        <v>7710816</v>
      </c>
      <c r="BF510" s="37">
        <v>2206359</v>
      </c>
      <c r="BG510" s="37">
        <v>1317548.1998765497</v>
      </c>
      <c r="BH510" s="37">
        <v>1621960.1476618689</v>
      </c>
      <c r="BI510" s="37">
        <v>0</v>
      </c>
      <c r="BJ510" s="37">
        <v>0</v>
      </c>
      <c r="BK510" s="37">
        <v>0</v>
      </c>
      <c r="BL510" s="37">
        <v>0</v>
      </c>
      <c r="BM510" s="37">
        <v>0</v>
      </c>
      <c r="BN510" s="37">
        <v>0</v>
      </c>
      <c r="BO510" s="37">
        <v>0</v>
      </c>
      <c r="BP510" s="37">
        <v>5145867.3475384191</v>
      </c>
      <c r="BQ510" s="37">
        <v>5187736</v>
      </c>
      <c r="BR510" s="37">
        <v>2371242</v>
      </c>
      <c r="BS510" s="37">
        <v>740666</v>
      </c>
      <c r="BT510" s="37">
        <v>740666</v>
      </c>
      <c r="BU510" s="37">
        <v>8050000</v>
      </c>
      <c r="BV510" s="37">
        <v>8050000</v>
      </c>
      <c r="BW510" s="37">
        <v>18666625.25</v>
      </c>
      <c r="BX510" s="37">
        <v>18666625.25</v>
      </c>
      <c r="BY510" s="37">
        <v>18666625.25</v>
      </c>
      <c r="BZ510" s="37">
        <v>18666625.25</v>
      </c>
      <c r="CA510" s="37">
        <v>18666625.25</v>
      </c>
      <c r="CB510" s="37">
        <v>113285700.25</v>
      </c>
      <c r="CC510" s="37">
        <v>0</v>
      </c>
      <c r="CD510" s="37">
        <v>0</v>
      </c>
      <c r="CE510" s="37">
        <v>0</v>
      </c>
      <c r="CF510" s="37">
        <v>0</v>
      </c>
      <c r="CG510" s="37">
        <v>0</v>
      </c>
      <c r="CH510" s="37">
        <v>0</v>
      </c>
      <c r="CI510" s="37">
        <v>0</v>
      </c>
      <c r="CJ510" s="37">
        <v>0</v>
      </c>
      <c r="CK510" s="37">
        <v>0</v>
      </c>
      <c r="CL510" s="37">
        <v>0</v>
      </c>
      <c r="CM510" s="37">
        <v>0</v>
      </c>
      <c r="CN510" s="37">
        <v>0</v>
      </c>
      <c r="CO510" s="37">
        <v>0</v>
      </c>
      <c r="CP510" s="37">
        <v>0</v>
      </c>
      <c r="CQ510" s="37">
        <v>0</v>
      </c>
      <c r="CR510" s="37">
        <v>0</v>
      </c>
      <c r="CS510" s="37">
        <v>0</v>
      </c>
      <c r="CT510" s="37">
        <v>0</v>
      </c>
      <c r="CU510" s="37">
        <v>0</v>
      </c>
      <c r="CV510" s="37">
        <v>0</v>
      </c>
      <c r="CW510" s="37">
        <v>0</v>
      </c>
      <c r="CX510" s="37">
        <v>0</v>
      </c>
      <c r="CY510" s="37">
        <v>0</v>
      </c>
      <c r="CZ510" s="37">
        <v>0</v>
      </c>
      <c r="DA510" s="37">
        <v>0</v>
      </c>
      <c r="DB510" s="37">
        <v>0</v>
      </c>
      <c r="DC510" s="37">
        <v>0</v>
      </c>
      <c r="DD510" s="37">
        <v>0</v>
      </c>
      <c r="DE510" s="37">
        <v>0</v>
      </c>
      <c r="DF510" s="37">
        <v>0</v>
      </c>
      <c r="DG510" s="37">
        <v>0</v>
      </c>
      <c r="DH510" s="37">
        <v>0</v>
      </c>
      <c r="DI510" s="37">
        <v>0</v>
      </c>
      <c r="DJ510" s="37">
        <v>0</v>
      </c>
      <c r="DK510" s="37">
        <v>0</v>
      </c>
      <c r="DL510" s="37">
        <v>0</v>
      </c>
      <c r="DM510" s="37">
        <v>0</v>
      </c>
      <c r="DN510" s="37">
        <v>0</v>
      </c>
      <c r="DO510" s="37">
        <v>0</v>
      </c>
      <c r="DP510" s="37">
        <v>0</v>
      </c>
      <c r="DQ510" s="37">
        <v>0</v>
      </c>
      <c r="DR510" s="37">
        <v>0</v>
      </c>
      <c r="DS510" s="37">
        <v>0</v>
      </c>
      <c r="DT510" s="37">
        <v>0</v>
      </c>
      <c r="DU510" s="37">
        <v>0</v>
      </c>
      <c r="DV510" s="37">
        <v>0</v>
      </c>
      <c r="DW510" s="37">
        <v>0</v>
      </c>
      <c r="DX510" s="37">
        <v>0</v>
      </c>
      <c r="DY510" s="37">
        <v>0</v>
      </c>
      <c r="DZ510" s="37">
        <v>0</v>
      </c>
      <c r="EA510" s="37">
        <v>0</v>
      </c>
      <c r="EB510" s="37">
        <v>0</v>
      </c>
      <c r="EC510" s="37">
        <v>0</v>
      </c>
      <c r="ED510" s="37">
        <v>0</v>
      </c>
      <c r="EE510" s="37">
        <v>0</v>
      </c>
      <c r="EF510" s="37">
        <v>0</v>
      </c>
      <c r="EG510" s="37">
        <v>0</v>
      </c>
      <c r="EH510" s="37">
        <v>0</v>
      </c>
      <c r="EI510" s="37">
        <v>0</v>
      </c>
      <c r="EJ510" s="37">
        <v>0</v>
      </c>
      <c r="EK510" s="161" t="s">
        <v>2487</v>
      </c>
      <c r="EL510" s="294" t="s">
        <v>1124</v>
      </c>
    </row>
    <row r="511" spans="1:142" ht="15" customHeight="1" x14ac:dyDescent="0.35">
      <c r="A511" s="34"/>
      <c r="B511" s="313">
        <v>55057</v>
      </c>
      <c r="C511" s="8" t="s">
        <v>565</v>
      </c>
      <c r="D511" s="18">
        <v>16</v>
      </c>
      <c r="E511" s="155"/>
      <c r="F511" s="36"/>
      <c r="G511" s="37"/>
      <c r="H511" s="37"/>
      <c r="I511" s="37"/>
      <c r="J511" s="37"/>
      <c r="K511" s="37"/>
      <c r="L511" s="37"/>
      <c r="M511" s="37" t="s">
        <v>1124</v>
      </c>
      <c r="N511" s="37" t="s">
        <v>1124</v>
      </c>
      <c r="O511" s="37"/>
      <c r="P511" s="37"/>
      <c r="Q511" s="37"/>
      <c r="R511" s="37"/>
      <c r="S511" s="37"/>
      <c r="T511" s="37"/>
      <c r="U511" s="37"/>
      <c r="V511" s="37"/>
      <c r="W511" s="37"/>
      <c r="X511" s="37"/>
      <c r="Y511" s="37"/>
      <c r="Z511" s="37"/>
      <c r="AA511" s="37" t="s">
        <v>1124</v>
      </c>
      <c r="AB511" s="37" t="s">
        <v>1124</v>
      </c>
      <c r="AC511" s="37"/>
      <c r="AD511" s="37"/>
      <c r="AE511" s="37"/>
      <c r="AF511" s="168"/>
      <c r="AG511" s="37"/>
      <c r="AH511" s="37"/>
      <c r="AI511" s="37"/>
      <c r="AJ511" s="37"/>
      <c r="AK511" s="37"/>
      <c r="AL511" s="37"/>
      <c r="AM511" s="37"/>
      <c r="AN511" s="37"/>
      <c r="AO511" s="37"/>
      <c r="AP511" s="37"/>
      <c r="AQ511" s="37"/>
      <c r="AR511" s="37" t="s">
        <v>1124</v>
      </c>
      <c r="AS511" s="37"/>
      <c r="AT511" s="37"/>
      <c r="AU511" s="37"/>
      <c r="AV511" s="37"/>
      <c r="AW511" s="37"/>
      <c r="AX511" s="37"/>
      <c r="AY511" s="37"/>
      <c r="AZ511" s="37"/>
      <c r="BA511" s="37"/>
      <c r="BB511" s="37"/>
      <c r="BC511" s="37"/>
      <c r="BD511" s="37" t="s">
        <v>1124</v>
      </c>
      <c r="BE511" s="37"/>
      <c r="BF511" s="37"/>
      <c r="BG511" s="37"/>
      <c r="BH511" s="37"/>
      <c r="BI511" s="37"/>
      <c r="BJ511" s="37"/>
      <c r="BK511" s="37"/>
      <c r="BL511" s="37"/>
      <c r="BM511" s="37"/>
      <c r="BN511" s="37"/>
      <c r="BO511" s="37"/>
      <c r="BP511" s="37">
        <v>0</v>
      </c>
      <c r="BQ511" s="37"/>
      <c r="BR511" s="37"/>
      <c r="BS511" s="37"/>
      <c r="BT511" s="37"/>
      <c r="BU511" s="37"/>
      <c r="BV511" s="37"/>
      <c r="BW511" s="37"/>
      <c r="BX511" s="37"/>
      <c r="BY511" s="37"/>
      <c r="BZ511" s="37"/>
      <c r="CA511" s="37"/>
      <c r="CB511" s="37" t="s">
        <v>1124</v>
      </c>
      <c r="CC511" s="37"/>
      <c r="CD511" s="37"/>
      <c r="CE511" s="37"/>
      <c r="CF511" s="37"/>
      <c r="CG511" s="37"/>
      <c r="CH511" s="37"/>
      <c r="CI511" s="37"/>
      <c r="CJ511" s="37"/>
      <c r="CK511" s="37"/>
      <c r="CL511" s="37"/>
      <c r="CM511" s="37"/>
      <c r="CN511" s="37" t="s">
        <v>1124</v>
      </c>
      <c r="CO511" s="37"/>
      <c r="CP511" s="37"/>
      <c r="CQ511" s="37"/>
      <c r="CR511" s="37"/>
      <c r="CS511" s="37"/>
      <c r="CT511" s="37"/>
      <c r="CU511" s="37"/>
      <c r="CV511" s="37"/>
      <c r="CW511" s="37"/>
      <c r="CX511" s="37"/>
      <c r="CY511" s="37"/>
      <c r="CZ511" s="37" t="s">
        <v>1124</v>
      </c>
      <c r="DA511" s="37"/>
      <c r="DB511" s="37"/>
      <c r="DC511" s="37"/>
      <c r="DD511" s="37"/>
      <c r="DE511" s="37"/>
      <c r="DF511" s="37"/>
      <c r="DG511" s="37"/>
      <c r="DH511" s="37"/>
      <c r="DI511" s="37"/>
      <c r="DJ511" s="37"/>
      <c r="DK511" s="37"/>
      <c r="DL511" s="37" t="s">
        <v>1124</v>
      </c>
      <c r="DM511" s="37"/>
      <c r="DN511" s="37"/>
      <c r="DO511" s="37"/>
      <c r="DP511" s="37"/>
      <c r="DQ511" s="37"/>
      <c r="DR511" s="37"/>
      <c r="DS511" s="37"/>
      <c r="DT511" s="37"/>
      <c r="DU511" s="37"/>
      <c r="DV511" s="37"/>
      <c r="DW511" s="37"/>
      <c r="DX511" s="37" t="s">
        <v>1124</v>
      </c>
      <c r="DY511" s="37"/>
      <c r="DZ511" s="37"/>
      <c r="EA511" s="37"/>
      <c r="EB511" s="37"/>
      <c r="EC511" s="37"/>
      <c r="ED511" s="37"/>
      <c r="EE511" s="37"/>
      <c r="EF511" s="37"/>
      <c r="EG511" s="37"/>
      <c r="EH511" s="37"/>
      <c r="EI511" s="37"/>
      <c r="EJ511" s="37" t="s">
        <v>1124</v>
      </c>
      <c r="EK511" s="161"/>
      <c r="EL511" s="294"/>
    </row>
    <row r="512" spans="1:142" ht="15" customHeight="1" x14ac:dyDescent="0.35">
      <c r="A512" s="34"/>
      <c r="B512" s="313">
        <v>42098</v>
      </c>
      <c r="C512" s="8" t="s">
        <v>394</v>
      </c>
      <c r="D512" s="18">
        <v>5</v>
      </c>
      <c r="E512" s="155">
        <v>388894</v>
      </c>
      <c r="F512" s="36">
        <v>320688</v>
      </c>
      <c r="G512" s="37">
        <v>18007</v>
      </c>
      <c r="H512" s="37">
        <v>22255</v>
      </c>
      <c r="I512" s="37">
        <v>70410</v>
      </c>
      <c r="J512" s="37">
        <v>10790</v>
      </c>
      <c r="K512" s="37">
        <v>58334.1</v>
      </c>
      <c r="L512" s="37">
        <v>48103.199999999997</v>
      </c>
      <c r="M512" s="37">
        <v>535645.1</v>
      </c>
      <c r="N512" s="37">
        <v>401836.2</v>
      </c>
      <c r="O512" s="37">
        <v>54486</v>
      </c>
      <c r="P512" s="37">
        <v>44518</v>
      </c>
      <c r="Q512" s="37">
        <v>241374</v>
      </c>
      <c r="R512" s="37">
        <v>362531</v>
      </c>
      <c r="S512" s="37">
        <v>0</v>
      </c>
      <c r="T512" s="37">
        <v>0</v>
      </c>
      <c r="U512" s="37">
        <v>17764</v>
      </c>
      <c r="V512" s="37">
        <v>0</v>
      </c>
      <c r="W512" s="37">
        <v>216808.29999999993</v>
      </c>
      <c r="X512" s="37">
        <v>0</v>
      </c>
      <c r="Y512" s="37">
        <v>0</v>
      </c>
      <c r="Z512" s="37">
        <v>0</v>
      </c>
      <c r="AA512" s="37">
        <v>530432.29999999993</v>
      </c>
      <c r="AB512" s="37">
        <v>407049</v>
      </c>
      <c r="AC512" s="37">
        <v>0</v>
      </c>
      <c r="AD512" s="37">
        <v>0</v>
      </c>
      <c r="AE512" s="37">
        <v>0</v>
      </c>
      <c r="AF512" s="168">
        <v>0.02</v>
      </c>
      <c r="AG512" s="37">
        <v>87329155.599999994</v>
      </c>
      <c r="AH512" s="37">
        <v>744147.82</v>
      </c>
      <c r="AI512" s="37">
        <v>738222.77</v>
      </c>
      <c r="AJ512" s="37">
        <v>752987.23</v>
      </c>
      <c r="AK512" s="37">
        <v>768046.97</v>
      </c>
      <c r="AL512" s="37">
        <v>783407.91</v>
      </c>
      <c r="AM512" s="37">
        <v>968000.43</v>
      </c>
      <c r="AN512" s="37">
        <v>815057.59</v>
      </c>
      <c r="AO512" s="37">
        <v>831358.74</v>
      </c>
      <c r="AP512" s="37">
        <v>847985.92</v>
      </c>
      <c r="AQ512" s="37">
        <v>864945.64</v>
      </c>
      <c r="AR512" s="37">
        <v>8114161.0199999996</v>
      </c>
      <c r="AS512" s="37">
        <v>8991300</v>
      </c>
      <c r="AT512" s="37">
        <v>127500</v>
      </c>
      <c r="AU512" s="37">
        <v>234090</v>
      </c>
      <c r="AV512" s="37">
        <v>0</v>
      </c>
      <c r="AW512" s="37">
        <v>27060.799999999999</v>
      </c>
      <c r="AX512" s="37">
        <v>0</v>
      </c>
      <c r="AY512" s="37">
        <v>0</v>
      </c>
      <c r="AZ512" s="37">
        <v>0</v>
      </c>
      <c r="BA512" s="37">
        <v>0</v>
      </c>
      <c r="BB512" s="37">
        <v>0</v>
      </c>
      <c r="BC512" s="37">
        <v>0</v>
      </c>
      <c r="BD512" s="37">
        <v>388650.8</v>
      </c>
      <c r="BE512" s="37">
        <v>0</v>
      </c>
      <c r="BF512" s="37">
        <v>292867.62000242347</v>
      </c>
      <c r="BG512" s="37">
        <v>1285860</v>
      </c>
      <c r="BH512" s="37">
        <v>704283</v>
      </c>
      <c r="BI512" s="37">
        <v>461544</v>
      </c>
      <c r="BJ512" s="37">
        <v>50128.029851566302</v>
      </c>
      <c r="BK512" s="37">
        <v>242739.59015085688</v>
      </c>
      <c r="BL512" s="37">
        <v>315674.33243246924</v>
      </c>
      <c r="BM512" s="37">
        <v>388609.07471408154</v>
      </c>
      <c r="BN512" s="37">
        <v>461543.97285102616</v>
      </c>
      <c r="BO512" s="37">
        <v>0</v>
      </c>
      <c r="BP512" s="37">
        <v>4203249.6200024234</v>
      </c>
      <c r="BQ512" s="37">
        <v>2100000</v>
      </c>
      <c r="BR512" s="37">
        <v>115000</v>
      </c>
      <c r="BS512" s="37">
        <v>1364140</v>
      </c>
      <c r="BT512" s="37">
        <v>557469</v>
      </c>
      <c r="BU512" s="37">
        <v>258031.39783163159</v>
      </c>
      <c r="BV512" s="37">
        <v>28024.644181238928</v>
      </c>
      <c r="BW512" s="37">
        <v>135706.32364409542</v>
      </c>
      <c r="BX512" s="37">
        <v>176481.31932904321</v>
      </c>
      <c r="BY512" s="37">
        <v>217256.31501399091</v>
      </c>
      <c r="BZ512" s="37">
        <v>258031.39783163159</v>
      </c>
      <c r="CA512" s="37">
        <v>0</v>
      </c>
      <c r="CB512" s="37">
        <v>3110140.3978316318</v>
      </c>
      <c r="CC512" s="37">
        <v>300000</v>
      </c>
      <c r="CD512" s="37">
        <v>20000</v>
      </c>
      <c r="CE512" s="37">
        <v>0</v>
      </c>
      <c r="CF512" s="37">
        <v>0</v>
      </c>
      <c r="CG512" s="37">
        <v>0</v>
      </c>
      <c r="CH512" s="37">
        <v>0</v>
      </c>
      <c r="CI512" s="37">
        <v>0</v>
      </c>
      <c r="CJ512" s="37">
        <v>0</v>
      </c>
      <c r="CK512" s="37">
        <v>0</v>
      </c>
      <c r="CL512" s="37">
        <v>0</v>
      </c>
      <c r="CM512" s="37">
        <v>0</v>
      </c>
      <c r="CN512" s="37">
        <v>20000</v>
      </c>
      <c r="CO512" s="37">
        <v>0</v>
      </c>
      <c r="CP512" s="37">
        <v>15000</v>
      </c>
      <c r="CQ512" s="37">
        <v>0</v>
      </c>
      <c r="CR512" s="37">
        <v>0</v>
      </c>
      <c r="CS512" s="37">
        <v>0</v>
      </c>
      <c r="CT512" s="37">
        <v>0</v>
      </c>
      <c r="CU512" s="37">
        <v>0</v>
      </c>
      <c r="CV512" s="37">
        <v>0</v>
      </c>
      <c r="CW512" s="37">
        <v>0</v>
      </c>
      <c r="CX512" s="37">
        <v>0</v>
      </c>
      <c r="CY512" s="37">
        <v>0</v>
      </c>
      <c r="CZ512" s="37">
        <v>15000</v>
      </c>
      <c r="DA512" s="37">
        <v>0</v>
      </c>
      <c r="DB512" s="37">
        <v>0</v>
      </c>
      <c r="DC512" s="37">
        <v>0</v>
      </c>
      <c r="DD512" s="37">
        <v>0</v>
      </c>
      <c r="DE512" s="37">
        <v>0</v>
      </c>
      <c r="DF512" s="37">
        <v>0</v>
      </c>
      <c r="DG512" s="37">
        <v>0</v>
      </c>
      <c r="DH512" s="37">
        <v>0</v>
      </c>
      <c r="DI512" s="37">
        <v>0</v>
      </c>
      <c r="DJ512" s="37">
        <v>0</v>
      </c>
      <c r="DK512" s="37">
        <v>0</v>
      </c>
      <c r="DL512" s="37">
        <v>0</v>
      </c>
      <c r="DM512" s="37">
        <v>0</v>
      </c>
      <c r="DN512" s="37">
        <v>0</v>
      </c>
      <c r="DO512" s="37">
        <v>0</v>
      </c>
      <c r="DP512" s="37">
        <v>0</v>
      </c>
      <c r="DQ512" s="37">
        <v>0</v>
      </c>
      <c r="DR512" s="37">
        <v>0</v>
      </c>
      <c r="DS512" s="37">
        <v>0</v>
      </c>
      <c r="DT512" s="37">
        <v>0</v>
      </c>
      <c r="DU512" s="37">
        <v>0</v>
      </c>
      <c r="DV512" s="37">
        <v>0</v>
      </c>
      <c r="DW512" s="37">
        <v>0</v>
      </c>
      <c r="DX512" s="37">
        <v>0</v>
      </c>
      <c r="DY512" s="37">
        <v>0</v>
      </c>
      <c r="DZ512" s="37">
        <v>55000</v>
      </c>
      <c r="EA512" s="37">
        <v>225000</v>
      </c>
      <c r="EB512" s="37">
        <v>0</v>
      </c>
      <c r="EC512" s="37">
        <v>25000</v>
      </c>
      <c r="ED512" s="37">
        <v>0</v>
      </c>
      <c r="EE512" s="37">
        <v>0</v>
      </c>
      <c r="EF512" s="37">
        <v>0</v>
      </c>
      <c r="EG512" s="37">
        <v>0</v>
      </c>
      <c r="EH512" s="37">
        <v>0</v>
      </c>
      <c r="EI512" s="37">
        <v>0</v>
      </c>
      <c r="EJ512" s="37">
        <v>305000</v>
      </c>
      <c r="EK512" s="161" t="s">
        <v>2491</v>
      </c>
      <c r="EL512" s="294" t="s">
        <v>1124</v>
      </c>
    </row>
    <row r="513" spans="1:142" ht="15" customHeight="1" x14ac:dyDescent="0.35">
      <c r="A513" s="34"/>
      <c r="B513" s="313">
        <v>71133</v>
      </c>
      <c r="C513" s="8" t="s">
        <v>725</v>
      </c>
      <c r="D513" s="18">
        <v>16</v>
      </c>
      <c r="E513" s="155"/>
      <c r="F513" s="36"/>
      <c r="G513" s="37"/>
      <c r="H513" s="37"/>
      <c r="I513" s="37"/>
      <c r="J513" s="37"/>
      <c r="K513" s="37"/>
      <c r="L513" s="37"/>
      <c r="M513" s="37" t="s">
        <v>1124</v>
      </c>
      <c r="N513" s="37" t="s">
        <v>1124</v>
      </c>
      <c r="O513" s="37"/>
      <c r="P513" s="37"/>
      <c r="Q513" s="37"/>
      <c r="R513" s="37"/>
      <c r="S513" s="37"/>
      <c r="T513" s="37"/>
      <c r="U513" s="37"/>
      <c r="V513" s="37"/>
      <c r="W513" s="37"/>
      <c r="X513" s="37"/>
      <c r="Y513" s="37"/>
      <c r="Z513" s="37"/>
      <c r="AA513" s="37" t="s">
        <v>1124</v>
      </c>
      <c r="AB513" s="37" t="s">
        <v>1124</v>
      </c>
      <c r="AC513" s="37"/>
      <c r="AD513" s="37"/>
      <c r="AE513" s="37"/>
      <c r="AF513" s="168"/>
      <c r="AG513" s="37"/>
      <c r="AH513" s="37"/>
      <c r="AI513" s="37"/>
      <c r="AJ513" s="37"/>
      <c r="AK513" s="37"/>
      <c r="AL513" s="37"/>
      <c r="AM513" s="37"/>
      <c r="AN513" s="37"/>
      <c r="AO513" s="37"/>
      <c r="AP513" s="37"/>
      <c r="AQ513" s="37"/>
      <c r="AR513" s="37" t="s">
        <v>1124</v>
      </c>
      <c r="AS513" s="37"/>
      <c r="AT513" s="37"/>
      <c r="AU513" s="37"/>
      <c r="AV513" s="37"/>
      <c r="AW513" s="37"/>
      <c r="AX513" s="37"/>
      <c r="AY513" s="37"/>
      <c r="AZ513" s="37"/>
      <c r="BA513" s="37"/>
      <c r="BB513" s="37"/>
      <c r="BC513" s="37"/>
      <c r="BD513" s="37" t="s">
        <v>1124</v>
      </c>
      <c r="BE513" s="37"/>
      <c r="BF513" s="37"/>
      <c r="BG513" s="37"/>
      <c r="BH513" s="37"/>
      <c r="BI513" s="37"/>
      <c r="BJ513" s="37"/>
      <c r="BK513" s="37"/>
      <c r="BL513" s="37"/>
      <c r="BM513" s="37"/>
      <c r="BN513" s="37"/>
      <c r="BO513" s="37"/>
      <c r="BP513" s="37">
        <v>0</v>
      </c>
      <c r="BQ513" s="37"/>
      <c r="BR513" s="37"/>
      <c r="BS513" s="37"/>
      <c r="BT513" s="37"/>
      <c r="BU513" s="37"/>
      <c r="BV513" s="37"/>
      <c r="BW513" s="37"/>
      <c r="BX513" s="37"/>
      <c r="BY513" s="37"/>
      <c r="BZ513" s="37"/>
      <c r="CA513" s="37"/>
      <c r="CB513" s="37" t="s">
        <v>1124</v>
      </c>
      <c r="CC513" s="37"/>
      <c r="CD513" s="37"/>
      <c r="CE513" s="37"/>
      <c r="CF513" s="37"/>
      <c r="CG513" s="37"/>
      <c r="CH513" s="37"/>
      <c r="CI513" s="37"/>
      <c r="CJ513" s="37"/>
      <c r="CK513" s="37"/>
      <c r="CL513" s="37"/>
      <c r="CM513" s="37"/>
      <c r="CN513" s="37" t="s">
        <v>1124</v>
      </c>
      <c r="CO513" s="37"/>
      <c r="CP513" s="37"/>
      <c r="CQ513" s="37"/>
      <c r="CR513" s="37"/>
      <c r="CS513" s="37"/>
      <c r="CT513" s="37"/>
      <c r="CU513" s="37"/>
      <c r="CV513" s="37"/>
      <c r="CW513" s="37"/>
      <c r="CX513" s="37"/>
      <c r="CY513" s="37"/>
      <c r="CZ513" s="37" t="s">
        <v>1124</v>
      </c>
      <c r="DA513" s="37"/>
      <c r="DB513" s="37"/>
      <c r="DC513" s="37"/>
      <c r="DD513" s="37"/>
      <c r="DE513" s="37"/>
      <c r="DF513" s="37"/>
      <c r="DG513" s="37"/>
      <c r="DH513" s="37"/>
      <c r="DI513" s="37"/>
      <c r="DJ513" s="37"/>
      <c r="DK513" s="37"/>
      <c r="DL513" s="37" t="s">
        <v>1124</v>
      </c>
      <c r="DM513" s="37"/>
      <c r="DN513" s="37"/>
      <c r="DO513" s="37"/>
      <c r="DP513" s="37"/>
      <c r="DQ513" s="37"/>
      <c r="DR513" s="37"/>
      <c r="DS513" s="37"/>
      <c r="DT513" s="37"/>
      <c r="DU513" s="37"/>
      <c r="DV513" s="37"/>
      <c r="DW513" s="37"/>
      <c r="DX513" s="37" t="s">
        <v>1124</v>
      </c>
      <c r="DY513" s="37"/>
      <c r="DZ513" s="37"/>
      <c r="EA513" s="37"/>
      <c r="EB513" s="37"/>
      <c r="EC513" s="37"/>
      <c r="ED513" s="37"/>
      <c r="EE513" s="37"/>
      <c r="EF513" s="37"/>
      <c r="EG513" s="37"/>
      <c r="EH513" s="37"/>
      <c r="EI513" s="37"/>
      <c r="EJ513" s="37" t="s">
        <v>1124</v>
      </c>
      <c r="EK513" s="161"/>
      <c r="EL513" s="294"/>
    </row>
    <row r="514" spans="1:142" ht="15" customHeight="1" x14ac:dyDescent="0.35">
      <c r="A514" s="34"/>
      <c r="B514" s="313">
        <v>10043</v>
      </c>
      <c r="C514" s="8" t="s">
        <v>13</v>
      </c>
      <c r="D514" s="18">
        <v>1</v>
      </c>
      <c r="E514" s="155">
        <v>2736371</v>
      </c>
      <c r="F514" s="36">
        <v>4029917</v>
      </c>
      <c r="G514" s="37">
        <v>523058</v>
      </c>
      <c r="H514" s="37">
        <v>690940</v>
      </c>
      <c r="I514" s="37">
        <v>1777359</v>
      </c>
      <c r="J514" s="37">
        <v>1560088</v>
      </c>
      <c r="K514" s="37">
        <v>906622</v>
      </c>
      <c r="L514" s="37">
        <v>1130570</v>
      </c>
      <c r="M514" s="37">
        <v>5943410</v>
      </c>
      <c r="N514" s="37">
        <v>7411515</v>
      </c>
      <c r="O514" s="37">
        <v>107689</v>
      </c>
      <c r="P514" s="37">
        <v>94601</v>
      </c>
      <c r="Q514" s="37">
        <v>6513270</v>
      </c>
      <c r="R514" s="37">
        <v>2509891</v>
      </c>
      <c r="S514" s="37">
        <v>301052</v>
      </c>
      <c r="T514" s="37">
        <v>12216</v>
      </c>
      <c r="U514" s="37">
        <v>512443</v>
      </c>
      <c r="V514" s="37">
        <v>126954</v>
      </c>
      <c r="W514" s="37">
        <v>1969622</v>
      </c>
      <c r="X514" s="37">
        <v>1207187</v>
      </c>
      <c r="Y514" s="37">
        <v>0</v>
      </c>
      <c r="Z514" s="37">
        <v>0</v>
      </c>
      <c r="AA514" s="37">
        <v>9404076</v>
      </c>
      <c r="AB514" s="37">
        <v>3950849</v>
      </c>
      <c r="AC514" s="37">
        <v>0</v>
      </c>
      <c r="AD514" s="37">
        <v>0</v>
      </c>
      <c r="AE514" s="37">
        <v>2205735</v>
      </c>
      <c r="AF514" s="168">
        <v>0.02</v>
      </c>
      <c r="AG514" s="37">
        <v>698073135.08000004</v>
      </c>
      <c r="AH514" s="37">
        <v>5674348.4199999999</v>
      </c>
      <c r="AI514" s="37">
        <v>5769576.3700000001</v>
      </c>
      <c r="AJ514" s="37">
        <v>6013734.8799999999</v>
      </c>
      <c r="AK514" s="37">
        <v>8414488.4700000007</v>
      </c>
      <c r="AL514" s="37">
        <v>5992604.6799999997</v>
      </c>
      <c r="AM514" s="37">
        <v>5997588.21</v>
      </c>
      <c r="AN514" s="37">
        <v>6117539.9699999997</v>
      </c>
      <c r="AO514" s="37">
        <v>6239890.7699999996</v>
      </c>
      <c r="AP514" s="37">
        <v>16116643.949999999</v>
      </c>
      <c r="AQ514" s="37">
        <v>6491981.8499999996</v>
      </c>
      <c r="AR514" s="37">
        <v>72828397.570000008</v>
      </c>
      <c r="AS514" s="37">
        <v>20851532.420000002</v>
      </c>
      <c r="AT514" s="37">
        <v>2415360</v>
      </c>
      <c r="AU514" s="37">
        <v>2913120</v>
      </c>
      <c r="AV514" s="37">
        <v>2971382.4</v>
      </c>
      <c r="AW514" s="37">
        <v>3030810.05</v>
      </c>
      <c r="AX514" s="37">
        <v>2760202.01</v>
      </c>
      <c r="AY514" s="37">
        <v>2815406.05</v>
      </c>
      <c r="AZ514" s="37">
        <v>2871714.17</v>
      </c>
      <c r="BA514" s="37">
        <v>3163480.33</v>
      </c>
      <c r="BB514" s="37">
        <v>3226749.94</v>
      </c>
      <c r="BC514" s="37">
        <v>3291284.93</v>
      </c>
      <c r="BD514" s="37">
        <v>29459509.879999999</v>
      </c>
      <c r="BE514" s="37">
        <v>2218898</v>
      </c>
      <c r="BF514" s="37">
        <v>7936910</v>
      </c>
      <c r="BG514" s="37">
        <v>8148519</v>
      </c>
      <c r="BH514" s="37">
        <v>4693162</v>
      </c>
      <c r="BI514" s="37">
        <v>5573984</v>
      </c>
      <c r="BJ514" s="37">
        <v>0</v>
      </c>
      <c r="BK514" s="37">
        <v>0</v>
      </c>
      <c r="BL514" s="37">
        <v>0</v>
      </c>
      <c r="BM514" s="37">
        <v>0</v>
      </c>
      <c r="BN514" s="37">
        <v>0</v>
      </c>
      <c r="BO514" s="37">
        <v>0</v>
      </c>
      <c r="BP514" s="37">
        <v>26352575</v>
      </c>
      <c r="BQ514" s="37">
        <v>2210000</v>
      </c>
      <c r="BR514" s="37">
        <v>100000</v>
      </c>
      <c r="BS514" s="37">
        <v>1000000</v>
      </c>
      <c r="BT514" s="37">
        <v>1000000</v>
      </c>
      <c r="BU514" s="37">
        <v>100000</v>
      </c>
      <c r="BV514" s="37">
        <v>0</v>
      </c>
      <c r="BW514" s="37">
        <v>0</v>
      </c>
      <c r="BX514" s="37">
        <v>0</v>
      </c>
      <c r="BY514" s="37">
        <v>0</v>
      </c>
      <c r="BZ514" s="37">
        <v>0</v>
      </c>
      <c r="CA514" s="37">
        <v>0</v>
      </c>
      <c r="CB514" s="37">
        <v>2200000</v>
      </c>
      <c r="CC514" s="37">
        <v>1200000</v>
      </c>
      <c r="CD514" s="37">
        <v>1200000</v>
      </c>
      <c r="CE514" s="37">
        <v>1200000</v>
      </c>
      <c r="CF514" s="37">
        <v>1200000</v>
      </c>
      <c r="CG514" s="37">
        <v>1200000</v>
      </c>
      <c r="CH514" s="37">
        <v>1300000</v>
      </c>
      <c r="CI514" s="37">
        <v>1300000</v>
      </c>
      <c r="CJ514" s="37">
        <v>1300000</v>
      </c>
      <c r="CK514" s="37">
        <v>1400000</v>
      </c>
      <c r="CL514" s="37">
        <v>1400000</v>
      </c>
      <c r="CM514" s="37">
        <v>1400000</v>
      </c>
      <c r="CN514" s="37">
        <v>12900000</v>
      </c>
      <c r="CO514" s="37">
        <v>300000</v>
      </c>
      <c r="CP514" s="37">
        <v>300000</v>
      </c>
      <c r="CQ514" s="37">
        <v>300000</v>
      </c>
      <c r="CR514" s="37">
        <v>300000</v>
      </c>
      <c r="CS514" s="37">
        <v>300000</v>
      </c>
      <c r="CT514" s="37">
        <v>0</v>
      </c>
      <c r="CU514" s="37">
        <v>0</v>
      </c>
      <c r="CV514" s="37">
        <v>0</v>
      </c>
      <c r="CW514" s="37">
        <v>0</v>
      </c>
      <c r="CX514" s="37">
        <v>0</v>
      </c>
      <c r="CY514" s="37">
        <v>0</v>
      </c>
      <c r="CZ514" s="37">
        <v>1200000</v>
      </c>
      <c r="DA514" s="37">
        <v>1400000</v>
      </c>
      <c r="DB514" s="37">
        <v>570000</v>
      </c>
      <c r="DC514" s="37">
        <v>500000</v>
      </c>
      <c r="DD514" s="37">
        <v>500000</v>
      </c>
      <c r="DE514" s="37">
        <v>500000</v>
      </c>
      <c r="DF514" s="37">
        <v>500000</v>
      </c>
      <c r="DG514" s="37">
        <v>500000</v>
      </c>
      <c r="DH514" s="37">
        <v>500000</v>
      </c>
      <c r="DI514" s="37">
        <v>500000</v>
      </c>
      <c r="DJ514" s="37">
        <v>500000</v>
      </c>
      <c r="DK514" s="37">
        <v>500000</v>
      </c>
      <c r="DL514" s="37">
        <v>5070000</v>
      </c>
      <c r="DM514" s="37">
        <v>627000</v>
      </c>
      <c r="DN514" s="37">
        <v>680000</v>
      </c>
      <c r="DO514" s="37">
        <v>500000</v>
      </c>
      <c r="DP514" s="37">
        <v>500000</v>
      </c>
      <c r="DQ514" s="37">
        <v>500000</v>
      </c>
      <c r="DR514" s="37">
        <v>500000</v>
      </c>
      <c r="DS514" s="37">
        <v>500000</v>
      </c>
      <c r="DT514" s="37">
        <v>500000</v>
      </c>
      <c r="DU514" s="37">
        <v>500000</v>
      </c>
      <c r="DV514" s="37">
        <v>500000</v>
      </c>
      <c r="DW514" s="37">
        <v>500000</v>
      </c>
      <c r="DX514" s="37">
        <v>5180000</v>
      </c>
      <c r="DY514" s="37">
        <v>977000</v>
      </c>
      <c r="DZ514" s="37">
        <v>818000</v>
      </c>
      <c r="EA514" s="37">
        <v>1500000</v>
      </c>
      <c r="EB514" s="37">
        <v>1500000</v>
      </c>
      <c r="EC514" s="37">
        <v>1500000</v>
      </c>
      <c r="ED514" s="37">
        <v>1500000</v>
      </c>
      <c r="EE514" s="37">
        <v>1500000</v>
      </c>
      <c r="EF514" s="37">
        <v>1500000</v>
      </c>
      <c r="EG514" s="37">
        <v>1700000</v>
      </c>
      <c r="EH514" s="37">
        <v>1700000</v>
      </c>
      <c r="EI514" s="37">
        <v>1700000</v>
      </c>
      <c r="EJ514" s="37">
        <v>14918000</v>
      </c>
      <c r="EK514" s="161" t="s">
        <v>1124</v>
      </c>
      <c r="EL514" s="294" t="s">
        <v>1124</v>
      </c>
    </row>
    <row r="515" spans="1:142" ht="15" customHeight="1" x14ac:dyDescent="0.35">
      <c r="A515" s="34"/>
      <c r="B515" s="313">
        <v>80078</v>
      </c>
      <c r="C515" s="8" t="s">
        <v>815</v>
      </c>
      <c r="D515" s="18">
        <v>7</v>
      </c>
      <c r="E515" s="155"/>
      <c r="F515" s="36"/>
      <c r="G515" s="37"/>
      <c r="H515" s="37"/>
      <c r="I515" s="37"/>
      <c r="J515" s="37"/>
      <c r="K515" s="37"/>
      <c r="L515" s="37"/>
      <c r="M515" s="37" t="s">
        <v>1124</v>
      </c>
      <c r="N515" s="37" t="s">
        <v>1124</v>
      </c>
      <c r="O515" s="37"/>
      <c r="P515" s="37"/>
      <c r="Q515" s="37"/>
      <c r="R515" s="37"/>
      <c r="S515" s="37"/>
      <c r="T515" s="37"/>
      <c r="U515" s="37"/>
      <c r="V515" s="37"/>
      <c r="W515" s="37"/>
      <c r="X515" s="37"/>
      <c r="Y515" s="37"/>
      <c r="Z515" s="37"/>
      <c r="AA515" s="37" t="s">
        <v>1124</v>
      </c>
      <c r="AB515" s="37" t="s">
        <v>1124</v>
      </c>
      <c r="AC515" s="37"/>
      <c r="AD515" s="37"/>
      <c r="AE515" s="37"/>
      <c r="AF515" s="168"/>
      <c r="AG515" s="37"/>
      <c r="AH515" s="37"/>
      <c r="AI515" s="37"/>
      <c r="AJ515" s="37"/>
      <c r="AK515" s="37"/>
      <c r="AL515" s="37"/>
      <c r="AM515" s="37"/>
      <c r="AN515" s="37"/>
      <c r="AO515" s="37"/>
      <c r="AP515" s="37"/>
      <c r="AQ515" s="37"/>
      <c r="AR515" s="37" t="s">
        <v>1124</v>
      </c>
      <c r="AS515" s="37"/>
      <c r="AT515" s="37"/>
      <c r="AU515" s="37"/>
      <c r="AV515" s="37"/>
      <c r="AW515" s="37"/>
      <c r="AX515" s="37"/>
      <c r="AY515" s="37"/>
      <c r="AZ515" s="37"/>
      <c r="BA515" s="37"/>
      <c r="BB515" s="37"/>
      <c r="BC515" s="37"/>
      <c r="BD515" s="37" t="s">
        <v>1124</v>
      </c>
      <c r="BE515" s="37"/>
      <c r="BF515" s="37"/>
      <c r="BG515" s="37"/>
      <c r="BH515" s="37"/>
      <c r="BI515" s="37"/>
      <c r="BJ515" s="37"/>
      <c r="BK515" s="37"/>
      <c r="BL515" s="37"/>
      <c r="BM515" s="37"/>
      <c r="BN515" s="37"/>
      <c r="BO515" s="37"/>
      <c r="BP515" s="37">
        <v>0</v>
      </c>
      <c r="BQ515" s="37"/>
      <c r="BR515" s="37"/>
      <c r="BS515" s="37"/>
      <c r="BT515" s="37"/>
      <c r="BU515" s="37"/>
      <c r="BV515" s="37"/>
      <c r="BW515" s="37"/>
      <c r="BX515" s="37"/>
      <c r="BY515" s="37"/>
      <c r="BZ515" s="37"/>
      <c r="CA515" s="37"/>
      <c r="CB515" s="37" t="s">
        <v>1124</v>
      </c>
      <c r="CC515" s="37"/>
      <c r="CD515" s="37"/>
      <c r="CE515" s="37"/>
      <c r="CF515" s="37"/>
      <c r="CG515" s="37"/>
      <c r="CH515" s="37"/>
      <c r="CI515" s="37"/>
      <c r="CJ515" s="37"/>
      <c r="CK515" s="37"/>
      <c r="CL515" s="37"/>
      <c r="CM515" s="37"/>
      <c r="CN515" s="37" t="s">
        <v>1124</v>
      </c>
      <c r="CO515" s="37"/>
      <c r="CP515" s="37"/>
      <c r="CQ515" s="37"/>
      <c r="CR515" s="37"/>
      <c r="CS515" s="37"/>
      <c r="CT515" s="37"/>
      <c r="CU515" s="37"/>
      <c r="CV515" s="37"/>
      <c r="CW515" s="37"/>
      <c r="CX515" s="37"/>
      <c r="CY515" s="37"/>
      <c r="CZ515" s="37" t="s">
        <v>1124</v>
      </c>
      <c r="DA515" s="37"/>
      <c r="DB515" s="37"/>
      <c r="DC515" s="37"/>
      <c r="DD515" s="37"/>
      <c r="DE515" s="37"/>
      <c r="DF515" s="37"/>
      <c r="DG515" s="37"/>
      <c r="DH515" s="37"/>
      <c r="DI515" s="37"/>
      <c r="DJ515" s="37"/>
      <c r="DK515" s="37"/>
      <c r="DL515" s="37" t="s">
        <v>1124</v>
      </c>
      <c r="DM515" s="37"/>
      <c r="DN515" s="37"/>
      <c r="DO515" s="37"/>
      <c r="DP515" s="37"/>
      <c r="DQ515" s="37"/>
      <c r="DR515" s="37"/>
      <c r="DS515" s="37"/>
      <c r="DT515" s="37"/>
      <c r="DU515" s="37"/>
      <c r="DV515" s="37"/>
      <c r="DW515" s="37"/>
      <c r="DX515" s="37" t="s">
        <v>1124</v>
      </c>
      <c r="DY515" s="37"/>
      <c r="DZ515" s="37"/>
      <c r="EA515" s="37"/>
      <c r="EB515" s="37"/>
      <c r="EC515" s="37"/>
      <c r="ED515" s="37"/>
      <c r="EE515" s="37"/>
      <c r="EF515" s="37"/>
      <c r="EG515" s="37"/>
      <c r="EH515" s="37"/>
      <c r="EI515" s="37"/>
      <c r="EJ515" s="37" t="s">
        <v>1124</v>
      </c>
      <c r="EK515" s="161"/>
      <c r="EL515" s="294"/>
    </row>
    <row r="516" spans="1:142" ht="15" customHeight="1" x14ac:dyDescent="0.35">
      <c r="A516" s="34"/>
      <c r="B516" s="313">
        <v>6035</v>
      </c>
      <c r="C516" s="8" t="s">
        <v>1062</v>
      </c>
      <c r="D516" s="18">
        <v>11</v>
      </c>
      <c r="E516" s="155"/>
      <c r="F516" s="36"/>
      <c r="G516" s="37"/>
      <c r="H516" s="37"/>
      <c r="I516" s="37"/>
      <c r="J516" s="37"/>
      <c r="K516" s="37"/>
      <c r="L516" s="37"/>
      <c r="M516" s="37" t="s">
        <v>1124</v>
      </c>
      <c r="N516" s="37" t="s">
        <v>1124</v>
      </c>
      <c r="O516" s="37"/>
      <c r="P516" s="37"/>
      <c r="Q516" s="37"/>
      <c r="R516" s="37"/>
      <c r="S516" s="37"/>
      <c r="T516" s="37"/>
      <c r="U516" s="37"/>
      <c r="V516" s="37"/>
      <c r="W516" s="37"/>
      <c r="X516" s="37"/>
      <c r="Y516" s="37"/>
      <c r="Z516" s="37"/>
      <c r="AA516" s="37" t="s">
        <v>1124</v>
      </c>
      <c r="AB516" s="37" t="s">
        <v>1124</v>
      </c>
      <c r="AC516" s="37"/>
      <c r="AD516" s="37"/>
      <c r="AE516" s="37"/>
      <c r="AF516" s="168"/>
      <c r="AG516" s="37"/>
      <c r="AH516" s="37"/>
      <c r="AI516" s="37"/>
      <c r="AJ516" s="37"/>
      <c r="AK516" s="37"/>
      <c r="AL516" s="37"/>
      <c r="AM516" s="37"/>
      <c r="AN516" s="37"/>
      <c r="AO516" s="37"/>
      <c r="AP516" s="37"/>
      <c r="AQ516" s="37"/>
      <c r="AR516" s="37" t="s">
        <v>1124</v>
      </c>
      <c r="AS516" s="37"/>
      <c r="AT516" s="37"/>
      <c r="AU516" s="37"/>
      <c r="AV516" s="37"/>
      <c r="AW516" s="37"/>
      <c r="AX516" s="37"/>
      <c r="AY516" s="37"/>
      <c r="AZ516" s="37"/>
      <c r="BA516" s="37"/>
      <c r="BB516" s="37"/>
      <c r="BC516" s="37"/>
      <c r="BD516" s="37" t="s">
        <v>1124</v>
      </c>
      <c r="BE516" s="37"/>
      <c r="BF516" s="37"/>
      <c r="BG516" s="37"/>
      <c r="BH516" s="37"/>
      <c r="BI516" s="37"/>
      <c r="BJ516" s="37"/>
      <c r="BK516" s="37"/>
      <c r="BL516" s="37"/>
      <c r="BM516" s="37"/>
      <c r="BN516" s="37"/>
      <c r="BO516" s="37"/>
      <c r="BP516" s="37">
        <v>0</v>
      </c>
      <c r="BQ516" s="37"/>
      <c r="BR516" s="37"/>
      <c r="BS516" s="37"/>
      <c r="BT516" s="37"/>
      <c r="BU516" s="37"/>
      <c r="BV516" s="37"/>
      <c r="BW516" s="37"/>
      <c r="BX516" s="37"/>
      <c r="BY516" s="37"/>
      <c r="BZ516" s="37"/>
      <c r="CA516" s="37"/>
      <c r="CB516" s="37" t="s">
        <v>1124</v>
      </c>
      <c r="CC516" s="37"/>
      <c r="CD516" s="37"/>
      <c r="CE516" s="37"/>
      <c r="CF516" s="37"/>
      <c r="CG516" s="37"/>
      <c r="CH516" s="37"/>
      <c r="CI516" s="37"/>
      <c r="CJ516" s="37"/>
      <c r="CK516" s="37"/>
      <c r="CL516" s="37"/>
      <c r="CM516" s="37"/>
      <c r="CN516" s="37" t="s">
        <v>1124</v>
      </c>
      <c r="CO516" s="37"/>
      <c r="CP516" s="37"/>
      <c r="CQ516" s="37"/>
      <c r="CR516" s="37"/>
      <c r="CS516" s="37"/>
      <c r="CT516" s="37"/>
      <c r="CU516" s="37"/>
      <c r="CV516" s="37"/>
      <c r="CW516" s="37"/>
      <c r="CX516" s="37"/>
      <c r="CY516" s="37"/>
      <c r="CZ516" s="37" t="s">
        <v>1124</v>
      </c>
      <c r="DA516" s="37"/>
      <c r="DB516" s="37"/>
      <c r="DC516" s="37"/>
      <c r="DD516" s="37"/>
      <c r="DE516" s="37"/>
      <c r="DF516" s="37"/>
      <c r="DG516" s="37"/>
      <c r="DH516" s="37"/>
      <c r="DI516" s="37"/>
      <c r="DJ516" s="37"/>
      <c r="DK516" s="37"/>
      <c r="DL516" s="37" t="s">
        <v>1124</v>
      </c>
      <c r="DM516" s="37"/>
      <c r="DN516" s="37"/>
      <c r="DO516" s="37"/>
      <c r="DP516" s="37"/>
      <c r="DQ516" s="37"/>
      <c r="DR516" s="37"/>
      <c r="DS516" s="37"/>
      <c r="DT516" s="37"/>
      <c r="DU516" s="37"/>
      <c r="DV516" s="37"/>
      <c r="DW516" s="37"/>
      <c r="DX516" s="37" t="s">
        <v>1124</v>
      </c>
      <c r="DY516" s="37"/>
      <c r="DZ516" s="37"/>
      <c r="EA516" s="37"/>
      <c r="EB516" s="37"/>
      <c r="EC516" s="37"/>
      <c r="ED516" s="37"/>
      <c r="EE516" s="37"/>
      <c r="EF516" s="37"/>
      <c r="EG516" s="37"/>
      <c r="EH516" s="37"/>
      <c r="EI516" s="37"/>
      <c r="EJ516" s="37" t="s">
        <v>1124</v>
      </c>
      <c r="EK516" s="161"/>
      <c r="EL516" s="294"/>
    </row>
    <row r="517" spans="1:142" ht="15" customHeight="1" x14ac:dyDescent="0.35">
      <c r="A517" s="34"/>
      <c r="B517" s="313">
        <v>4020</v>
      </c>
      <c r="C517" s="8" t="s">
        <v>1039</v>
      </c>
      <c r="D517" s="18">
        <v>11</v>
      </c>
      <c r="E517" s="155"/>
      <c r="F517" s="36"/>
      <c r="G517" s="37"/>
      <c r="H517" s="37"/>
      <c r="I517" s="37"/>
      <c r="J517" s="37"/>
      <c r="K517" s="37"/>
      <c r="L517" s="37"/>
      <c r="M517" s="37" t="s">
        <v>1124</v>
      </c>
      <c r="N517" s="37" t="s">
        <v>1124</v>
      </c>
      <c r="O517" s="37"/>
      <c r="P517" s="37"/>
      <c r="Q517" s="37"/>
      <c r="R517" s="37"/>
      <c r="S517" s="37"/>
      <c r="T517" s="37"/>
      <c r="U517" s="37"/>
      <c r="V517" s="37"/>
      <c r="W517" s="37"/>
      <c r="X517" s="37"/>
      <c r="Y517" s="37"/>
      <c r="Z517" s="37"/>
      <c r="AA517" s="37" t="s">
        <v>1124</v>
      </c>
      <c r="AB517" s="37" t="s">
        <v>1124</v>
      </c>
      <c r="AC517" s="37"/>
      <c r="AD517" s="37"/>
      <c r="AE517" s="37"/>
      <c r="AF517" s="168"/>
      <c r="AG517" s="37"/>
      <c r="AH517" s="37"/>
      <c r="AI517" s="37"/>
      <c r="AJ517" s="37"/>
      <c r="AK517" s="37"/>
      <c r="AL517" s="37"/>
      <c r="AM517" s="37"/>
      <c r="AN517" s="37"/>
      <c r="AO517" s="37"/>
      <c r="AP517" s="37"/>
      <c r="AQ517" s="37"/>
      <c r="AR517" s="37" t="s">
        <v>1124</v>
      </c>
      <c r="AS517" s="37"/>
      <c r="AT517" s="37"/>
      <c r="AU517" s="37"/>
      <c r="AV517" s="37"/>
      <c r="AW517" s="37"/>
      <c r="AX517" s="37"/>
      <c r="AY517" s="37"/>
      <c r="AZ517" s="37"/>
      <c r="BA517" s="37"/>
      <c r="BB517" s="37"/>
      <c r="BC517" s="37"/>
      <c r="BD517" s="37" t="s">
        <v>1124</v>
      </c>
      <c r="BE517" s="37"/>
      <c r="BF517" s="37"/>
      <c r="BG517" s="37"/>
      <c r="BH517" s="37"/>
      <c r="BI517" s="37"/>
      <c r="BJ517" s="37"/>
      <c r="BK517" s="37"/>
      <c r="BL517" s="37"/>
      <c r="BM517" s="37"/>
      <c r="BN517" s="37"/>
      <c r="BO517" s="37"/>
      <c r="BP517" s="37">
        <v>0</v>
      </c>
      <c r="BQ517" s="37"/>
      <c r="BR517" s="37"/>
      <c r="BS517" s="37"/>
      <c r="BT517" s="37"/>
      <c r="BU517" s="37"/>
      <c r="BV517" s="37"/>
      <c r="BW517" s="37"/>
      <c r="BX517" s="37"/>
      <c r="BY517" s="37"/>
      <c r="BZ517" s="37"/>
      <c r="CA517" s="37"/>
      <c r="CB517" s="37" t="s">
        <v>1124</v>
      </c>
      <c r="CC517" s="37"/>
      <c r="CD517" s="37"/>
      <c r="CE517" s="37"/>
      <c r="CF517" s="37"/>
      <c r="CG517" s="37"/>
      <c r="CH517" s="37"/>
      <c r="CI517" s="37"/>
      <c r="CJ517" s="37"/>
      <c r="CK517" s="37"/>
      <c r="CL517" s="37"/>
      <c r="CM517" s="37"/>
      <c r="CN517" s="37" t="s">
        <v>1124</v>
      </c>
      <c r="CO517" s="37"/>
      <c r="CP517" s="37"/>
      <c r="CQ517" s="37"/>
      <c r="CR517" s="37"/>
      <c r="CS517" s="37"/>
      <c r="CT517" s="37"/>
      <c r="CU517" s="37"/>
      <c r="CV517" s="37"/>
      <c r="CW517" s="37"/>
      <c r="CX517" s="37"/>
      <c r="CY517" s="37"/>
      <c r="CZ517" s="37" t="s">
        <v>1124</v>
      </c>
      <c r="DA517" s="37"/>
      <c r="DB517" s="37"/>
      <c r="DC517" s="37"/>
      <c r="DD517" s="37"/>
      <c r="DE517" s="37"/>
      <c r="DF517" s="37"/>
      <c r="DG517" s="37"/>
      <c r="DH517" s="37"/>
      <c r="DI517" s="37"/>
      <c r="DJ517" s="37"/>
      <c r="DK517" s="37"/>
      <c r="DL517" s="37" t="s">
        <v>1124</v>
      </c>
      <c r="DM517" s="37"/>
      <c r="DN517" s="37"/>
      <c r="DO517" s="37"/>
      <c r="DP517" s="37"/>
      <c r="DQ517" s="37"/>
      <c r="DR517" s="37"/>
      <c r="DS517" s="37"/>
      <c r="DT517" s="37"/>
      <c r="DU517" s="37"/>
      <c r="DV517" s="37"/>
      <c r="DW517" s="37"/>
      <c r="DX517" s="37" t="s">
        <v>1124</v>
      </c>
      <c r="DY517" s="37"/>
      <c r="DZ517" s="37"/>
      <c r="EA517" s="37"/>
      <c r="EB517" s="37"/>
      <c r="EC517" s="37"/>
      <c r="ED517" s="37"/>
      <c r="EE517" s="37"/>
      <c r="EF517" s="37"/>
      <c r="EG517" s="37"/>
      <c r="EH517" s="37"/>
      <c r="EI517" s="37"/>
      <c r="EJ517" s="37" t="s">
        <v>1124</v>
      </c>
      <c r="EK517" s="161"/>
      <c r="EL517" s="294"/>
    </row>
    <row r="518" spans="1:142" ht="15" customHeight="1" x14ac:dyDescent="0.35">
      <c r="A518" s="34"/>
      <c r="B518" s="313">
        <v>34135</v>
      </c>
      <c r="C518" s="8" t="s">
        <v>302</v>
      </c>
      <c r="D518" s="18">
        <v>3</v>
      </c>
      <c r="E518" s="155">
        <v>29557</v>
      </c>
      <c r="F518" s="36">
        <v>30729</v>
      </c>
      <c r="G518" s="37">
        <v>23287</v>
      </c>
      <c r="H518" s="37">
        <v>0</v>
      </c>
      <c r="I518" s="37">
        <v>23287</v>
      </c>
      <c r="J518" s="37">
        <v>0</v>
      </c>
      <c r="K518" s="37">
        <v>4433.55</v>
      </c>
      <c r="L518" s="37">
        <v>4609</v>
      </c>
      <c r="M518" s="37">
        <v>80564.55</v>
      </c>
      <c r="N518" s="37">
        <v>35338</v>
      </c>
      <c r="O518" s="37">
        <v>0</v>
      </c>
      <c r="P518" s="37">
        <v>0</v>
      </c>
      <c r="Q518" s="37">
        <v>36762</v>
      </c>
      <c r="R518" s="37">
        <v>0</v>
      </c>
      <c r="S518" s="37">
        <v>130</v>
      </c>
      <c r="T518" s="37">
        <v>5696</v>
      </c>
      <c r="U518" s="37">
        <v>3301</v>
      </c>
      <c r="V518" s="37">
        <v>0</v>
      </c>
      <c r="W518" s="37">
        <v>40372</v>
      </c>
      <c r="X518" s="37">
        <v>29642</v>
      </c>
      <c r="Y518" s="37">
        <v>0</v>
      </c>
      <c r="Z518" s="37">
        <v>0</v>
      </c>
      <c r="AA518" s="37">
        <v>80565</v>
      </c>
      <c r="AB518" s="37">
        <v>35338</v>
      </c>
      <c r="AC518" s="37">
        <v>0</v>
      </c>
      <c r="AD518" s="37">
        <v>0</v>
      </c>
      <c r="AE518" s="37">
        <v>0</v>
      </c>
      <c r="AF518" s="168">
        <v>0.02</v>
      </c>
      <c r="AG518" s="37">
        <v>4724036.68</v>
      </c>
      <c r="AH518" s="37">
        <v>56968.09</v>
      </c>
      <c r="AI518" s="37">
        <v>44582.26</v>
      </c>
      <c r="AJ518" s="37">
        <v>45473.9</v>
      </c>
      <c r="AK518" s="37">
        <v>46383.38</v>
      </c>
      <c r="AL518" s="37">
        <v>47311.05</v>
      </c>
      <c r="AM518" s="37">
        <v>48257.27</v>
      </c>
      <c r="AN518" s="37">
        <v>49222.41</v>
      </c>
      <c r="AO518" s="37">
        <v>50206.86</v>
      </c>
      <c r="AP518" s="37">
        <v>51211</v>
      </c>
      <c r="AQ518" s="37">
        <v>52235.22</v>
      </c>
      <c r="AR518" s="37">
        <v>491851.44000000006</v>
      </c>
      <c r="AS518" s="37">
        <v>607244.43999999994</v>
      </c>
      <c r="AT518" s="37">
        <v>0</v>
      </c>
      <c r="AU518" s="37">
        <v>0</v>
      </c>
      <c r="AV518" s="37">
        <v>0</v>
      </c>
      <c r="AW518" s="37">
        <v>0</v>
      </c>
      <c r="AX518" s="37">
        <v>0</v>
      </c>
      <c r="AY518" s="37">
        <v>0</v>
      </c>
      <c r="AZ518" s="37">
        <v>0</v>
      </c>
      <c r="BA518" s="37">
        <v>0</v>
      </c>
      <c r="BB518" s="37">
        <v>0</v>
      </c>
      <c r="BC518" s="37">
        <v>0</v>
      </c>
      <c r="BD518" s="37">
        <v>0</v>
      </c>
      <c r="BE518" s="37">
        <v>0</v>
      </c>
      <c r="BF518" s="37">
        <v>0</v>
      </c>
      <c r="BG518" s="37">
        <v>625000</v>
      </c>
      <c r="BH518" s="37">
        <v>0</v>
      </c>
      <c r="BI518" s="37">
        <v>0</v>
      </c>
      <c r="BJ518" s="37">
        <v>0</v>
      </c>
      <c r="BK518" s="37">
        <v>0</v>
      </c>
      <c r="BL518" s="37">
        <v>0</v>
      </c>
      <c r="BM518" s="37">
        <v>0</v>
      </c>
      <c r="BN518" s="37">
        <v>0</v>
      </c>
      <c r="BO518" s="37">
        <v>0</v>
      </c>
      <c r="BP518" s="37">
        <v>625000</v>
      </c>
      <c r="BQ518" s="37">
        <v>0</v>
      </c>
      <c r="BR518" s="37">
        <v>0</v>
      </c>
      <c r="BS518" s="37">
        <v>0</v>
      </c>
      <c r="BT518" s="37">
        <v>0</v>
      </c>
      <c r="BU518" s="37">
        <v>0</v>
      </c>
      <c r="BV518" s="37">
        <v>0</v>
      </c>
      <c r="BW518" s="37">
        <v>0</v>
      </c>
      <c r="BX518" s="37">
        <v>0</v>
      </c>
      <c r="BY518" s="37">
        <v>0</v>
      </c>
      <c r="BZ518" s="37">
        <v>0</v>
      </c>
      <c r="CA518" s="37">
        <v>0</v>
      </c>
      <c r="CB518" s="37">
        <v>0</v>
      </c>
      <c r="CC518" s="37">
        <v>0</v>
      </c>
      <c r="CD518" s="37">
        <v>13000</v>
      </c>
      <c r="CE518" s="37">
        <v>0</v>
      </c>
      <c r="CF518" s="37">
        <v>0</v>
      </c>
      <c r="CG518" s="37">
        <v>0</v>
      </c>
      <c r="CH518" s="37">
        <v>0</v>
      </c>
      <c r="CI518" s="37">
        <v>0</v>
      </c>
      <c r="CJ518" s="37">
        <v>0</v>
      </c>
      <c r="CK518" s="37">
        <v>0</v>
      </c>
      <c r="CL518" s="37">
        <v>0</v>
      </c>
      <c r="CM518" s="37">
        <v>0</v>
      </c>
      <c r="CN518" s="37">
        <v>13000</v>
      </c>
      <c r="CO518" s="37">
        <v>0</v>
      </c>
      <c r="CP518" s="37">
        <v>0</v>
      </c>
      <c r="CQ518" s="37">
        <v>0</v>
      </c>
      <c r="CR518" s="37">
        <v>0</v>
      </c>
      <c r="CS518" s="37">
        <v>0</v>
      </c>
      <c r="CT518" s="37">
        <v>0</v>
      </c>
      <c r="CU518" s="37">
        <v>0</v>
      </c>
      <c r="CV518" s="37">
        <v>0</v>
      </c>
      <c r="CW518" s="37">
        <v>0</v>
      </c>
      <c r="CX518" s="37">
        <v>0</v>
      </c>
      <c r="CY518" s="37">
        <v>0</v>
      </c>
      <c r="CZ518" s="37">
        <v>0</v>
      </c>
      <c r="DA518" s="37">
        <v>0</v>
      </c>
      <c r="DB518" s="37">
        <v>0</v>
      </c>
      <c r="DC518" s="37">
        <v>0</v>
      </c>
      <c r="DD518" s="37">
        <v>0</v>
      </c>
      <c r="DE518" s="37">
        <v>0</v>
      </c>
      <c r="DF518" s="37">
        <v>0</v>
      </c>
      <c r="DG518" s="37">
        <v>0</v>
      </c>
      <c r="DH518" s="37">
        <v>0</v>
      </c>
      <c r="DI518" s="37">
        <v>0</v>
      </c>
      <c r="DJ518" s="37">
        <v>0</v>
      </c>
      <c r="DK518" s="37">
        <v>0</v>
      </c>
      <c r="DL518" s="37">
        <v>0</v>
      </c>
      <c r="DM518" s="37">
        <v>0</v>
      </c>
      <c r="DN518" s="37">
        <v>0</v>
      </c>
      <c r="DO518" s="37">
        <v>0</v>
      </c>
      <c r="DP518" s="37">
        <v>0</v>
      </c>
      <c r="DQ518" s="37">
        <v>0</v>
      </c>
      <c r="DR518" s="37">
        <v>0</v>
      </c>
      <c r="DS518" s="37">
        <v>0</v>
      </c>
      <c r="DT518" s="37">
        <v>0</v>
      </c>
      <c r="DU518" s="37">
        <v>0</v>
      </c>
      <c r="DV518" s="37">
        <v>0</v>
      </c>
      <c r="DW518" s="37">
        <v>0</v>
      </c>
      <c r="DX518" s="37">
        <v>0</v>
      </c>
      <c r="DY518" s="37">
        <v>0</v>
      </c>
      <c r="DZ518" s="37">
        <v>0</v>
      </c>
      <c r="EA518" s="37">
        <v>0</v>
      </c>
      <c r="EB518" s="37">
        <v>0</v>
      </c>
      <c r="EC518" s="37">
        <v>0</v>
      </c>
      <c r="ED518" s="37">
        <v>0</v>
      </c>
      <c r="EE518" s="37">
        <v>0</v>
      </c>
      <c r="EF518" s="37">
        <v>0</v>
      </c>
      <c r="EG518" s="37">
        <v>0</v>
      </c>
      <c r="EH518" s="37">
        <v>0</v>
      </c>
      <c r="EI518" s="37">
        <v>0</v>
      </c>
      <c r="EJ518" s="37">
        <v>0</v>
      </c>
      <c r="EK518" s="161" t="s">
        <v>2251</v>
      </c>
      <c r="EL518" s="294" t="s">
        <v>1124</v>
      </c>
    </row>
    <row r="519" spans="1:142" ht="15" customHeight="1" x14ac:dyDescent="0.35">
      <c r="A519" s="34"/>
      <c r="B519" s="313">
        <v>98055</v>
      </c>
      <c r="C519" s="8" t="s">
        <v>1018</v>
      </c>
      <c r="D519" s="18">
        <v>9</v>
      </c>
      <c r="E519" s="155">
        <v>65740</v>
      </c>
      <c r="F519" s="36">
        <v>57153</v>
      </c>
      <c r="G519" s="37">
        <v>10123</v>
      </c>
      <c r="H519" s="37">
        <v>0</v>
      </c>
      <c r="I519" s="37">
        <v>315239.73</v>
      </c>
      <c r="J519" s="37">
        <v>0</v>
      </c>
      <c r="K519" s="37">
        <v>9861</v>
      </c>
      <c r="L519" s="37">
        <v>8572.9499999999989</v>
      </c>
      <c r="M519" s="37">
        <v>400963.73</v>
      </c>
      <c r="N519" s="37">
        <v>65725.95</v>
      </c>
      <c r="O519" s="37">
        <v>0</v>
      </c>
      <c r="P519" s="37">
        <v>0</v>
      </c>
      <c r="Q519" s="37">
        <v>42208</v>
      </c>
      <c r="R519" s="37">
        <v>46672</v>
      </c>
      <c r="S519" s="37">
        <v>0</v>
      </c>
      <c r="T519" s="37">
        <v>0</v>
      </c>
      <c r="U519" s="37">
        <v>0</v>
      </c>
      <c r="V519" s="37">
        <v>0</v>
      </c>
      <c r="W519" s="37">
        <v>377810</v>
      </c>
      <c r="X519" s="37">
        <v>0</v>
      </c>
      <c r="Y519" s="37">
        <v>0</v>
      </c>
      <c r="Z519" s="37">
        <v>0</v>
      </c>
      <c r="AA519" s="37">
        <v>420018</v>
      </c>
      <c r="AB519" s="37">
        <v>46672</v>
      </c>
      <c r="AC519" s="37">
        <v>0</v>
      </c>
      <c r="AD519" s="37">
        <v>0</v>
      </c>
      <c r="AE519" s="37">
        <v>0</v>
      </c>
      <c r="AF519" s="168">
        <v>0.02</v>
      </c>
      <c r="AG519" s="37">
        <v>32647690.82</v>
      </c>
      <c r="AH519" s="37">
        <v>208374.02</v>
      </c>
      <c r="AI519" s="37">
        <v>212541.5</v>
      </c>
      <c r="AJ519" s="37">
        <v>216792.33</v>
      </c>
      <c r="AK519" s="37">
        <v>221128.18</v>
      </c>
      <c r="AL519" s="37">
        <v>225550.74</v>
      </c>
      <c r="AM519" s="37">
        <v>230061.76</v>
      </c>
      <c r="AN519" s="37">
        <v>234662.99</v>
      </c>
      <c r="AO519" s="37">
        <v>239356.25</v>
      </c>
      <c r="AP519" s="37">
        <v>244143.38</v>
      </c>
      <c r="AQ519" s="37">
        <v>249026.25</v>
      </c>
      <c r="AR519" s="37">
        <v>2281637.4</v>
      </c>
      <c r="AS519" s="37">
        <v>0</v>
      </c>
      <c r="AT519" s="37">
        <v>0</v>
      </c>
      <c r="AU519" s="37">
        <v>0</v>
      </c>
      <c r="AV519" s="37">
        <v>0</v>
      </c>
      <c r="AW519" s="37">
        <v>0</v>
      </c>
      <c r="AX519" s="37">
        <v>0</v>
      </c>
      <c r="AY519" s="37">
        <v>0</v>
      </c>
      <c r="AZ519" s="37">
        <v>0</v>
      </c>
      <c r="BA519" s="37">
        <v>0</v>
      </c>
      <c r="BB519" s="37">
        <v>0</v>
      </c>
      <c r="BC519" s="37">
        <v>0</v>
      </c>
      <c r="BD519" s="37">
        <v>0</v>
      </c>
      <c r="BE519" s="37">
        <v>4587</v>
      </c>
      <c r="BF519" s="37">
        <v>260000</v>
      </c>
      <c r="BG519" s="37">
        <v>100413</v>
      </c>
      <c r="BH519" s="37">
        <v>0</v>
      </c>
      <c r="BI519" s="37">
        <v>0</v>
      </c>
      <c r="BJ519" s="37">
        <v>0</v>
      </c>
      <c r="BK519" s="37">
        <v>0</v>
      </c>
      <c r="BL519" s="37">
        <v>0</v>
      </c>
      <c r="BM519" s="37">
        <v>0</v>
      </c>
      <c r="BN519" s="37">
        <v>0</v>
      </c>
      <c r="BO519" s="37">
        <v>0</v>
      </c>
      <c r="BP519" s="37">
        <v>360413</v>
      </c>
      <c r="BQ519" s="37">
        <v>0</v>
      </c>
      <c r="BR519" s="37">
        <v>0</v>
      </c>
      <c r="BS519" s="37">
        <v>0</v>
      </c>
      <c r="BT519" s="37">
        <v>0</v>
      </c>
      <c r="BU519" s="37">
        <v>0</v>
      </c>
      <c r="BV519" s="37">
        <v>0</v>
      </c>
      <c r="BW519" s="37">
        <v>0</v>
      </c>
      <c r="BX519" s="37">
        <v>0</v>
      </c>
      <c r="BY519" s="37">
        <v>0</v>
      </c>
      <c r="BZ519" s="37">
        <v>0</v>
      </c>
      <c r="CA519" s="37">
        <v>0</v>
      </c>
      <c r="CB519" s="37">
        <v>0</v>
      </c>
      <c r="CC519" s="37">
        <v>0</v>
      </c>
      <c r="CD519" s="37">
        <v>0</v>
      </c>
      <c r="CE519" s="37">
        <v>0</v>
      </c>
      <c r="CF519" s="37">
        <v>0</v>
      </c>
      <c r="CG519" s="37">
        <v>0</v>
      </c>
      <c r="CH519" s="37">
        <v>0</v>
      </c>
      <c r="CI519" s="37">
        <v>0</v>
      </c>
      <c r="CJ519" s="37">
        <v>0</v>
      </c>
      <c r="CK519" s="37">
        <v>0</v>
      </c>
      <c r="CL519" s="37">
        <v>0</v>
      </c>
      <c r="CM519" s="37">
        <v>0</v>
      </c>
      <c r="CN519" s="37">
        <v>0</v>
      </c>
      <c r="CO519" s="37">
        <v>0</v>
      </c>
      <c r="CP519" s="37">
        <v>0</v>
      </c>
      <c r="CQ519" s="37">
        <v>0</v>
      </c>
      <c r="CR519" s="37">
        <v>0</v>
      </c>
      <c r="CS519" s="37">
        <v>0</v>
      </c>
      <c r="CT519" s="37">
        <v>0</v>
      </c>
      <c r="CU519" s="37">
        <v>0</v>
      </c>
      <c r="CV519" s="37">
        <v>0</v>
      </c>
      <c r="CW519" s="37">
        <v>0</v>
      </c>
      <c r="CX519" s="37">
        <v>0</v>
      </c>
      <c r="CY519" s="37">
        <v>0</v>
      </c>
      <c r="CZ519" s="37">
        <v>0</v>
      </c>
      <c r="DA519" s="37">
        <v>0</v>
      </c>
      <c r="DB519" s="37">
        <v>0</v>
      </c>
      <c r="DC519" s="37">
        <v>0</v>
      </c>
      <c r="DD519" s="37">
        <v>0</v>
      </c>
      <c r="DE519" s="37">
        <v>0</v>
      </c>
      <c r="DF519" s="37">
        <v>0</v>
      </c>
      <c r="DG519" s="37">
        <v>0</v>
      </c>
      <c r="DH519" s="37">
        <v>0</v>
      </c>
      <c r="DI519" s="37">
        <v>0</v>
      </c>
      <c r="DJ519" s="37">
        <v>0</v>
      </c>
      <c r="DK519" s="37">
        <v>0</v>
      </c>
      <c r="DL519" s="37">
        <v>0</v>
      </c>
      <c r="DM519" s="37">
        <v>0</v>
      </c>
      <c r="DN519" s="37">
        <v>0</v>
      </c>
      <c r="DO519" s="37">
        <v>0</v>
      </c>
      <c r="DP519" s="37">
        <v>0</v>
      </c>
      <c r="DQ519" s="37">
        <v>0</v>
      </c>
      <c r="DR519" s="37">
        <v>0</v>
      </c>
      <c r="DS519" s="37">
        <v>0</v>
      </c>
      <c r="DT519" s="37">
        <v>0</v>
      </c>
      <c r="DU519" s="37">
        <v>0</v>
      </c>
      <c r="DV519" s="37">
        <v>0</v>
      </c>
      <c r="DW519" s="37">
        <v>0</v>
      </c>
      <c r="DX519" s="37">
        <v>0</v>
      </c>
      <c r="DY519" s="37">
        <v>0</v>
      </c>
      <c r="DZ519" s="37">
        <v>0</v>
      </c>
      <c r="EA519" s="37">
        <v>0</v>
      </c>
      <c r="EB519" s="37">
        <v>0</v>
      </c>
      <c r="EC519" s="37">
        <v>0</v>
      </c>
      <c r="ED519" s="37">
        <v>0</v>
      </c>
      <c r="EE519" s="37">
        <v>0</v>
      </c>
      <c r="EF519" s="37">
        <v>0</v>
      </c>
      <c r="EG519" s="37">
        <v>0</v>
      </c>
      <c r="EH519" s="37">
        <v>0</v>
      </c>
      <c r="EI519" s="37">
        <v>0</v>
      </c>
      <c r="EJ519" s="37">
        <v>0</v>
      </c>
      <c r="EK519" s="161" t="s">
        <v>2508</v>
      </c>
      <c r="EL519" s="294" t="s">
        <v>1124</v>
      </c>
    </row>
    <row r="520" spans="1:142" ht="15" customHeight="1" x14ac:dyDescent="0.35">
      <c r="A520" s="34"/>
      <c r="B520" s="313">
        <v>71005</v>
      </c>
      <c r="C520" s="8" t="s">
        <v>704</v>
      </c>
      <c r="D520" s="18">
        <v>16</v>
      </c>
      <c r="E520" s="155"/>
      <c r="F520" s="36"/>
      <c r="G520" s="37"/>
      <c r="H520" s="37"/>
      <c r="I520" s="37"/>
      <c r="J520" s="37"/>
      <c r="K520" s="37"/>
      <c r="L520" s="37"/>
      <c r="M520" s="37" t="s">
        <v>1124</v>
      </c>
      <c r="N520" s="37" t="s">
        <v>1124</v>
      </c>
      <c r="O520" s="37"/>
      <c r="P520" s="37"/>
      <c r="Q520" s="37"/>
      <c r="R520" s="37"/>
      <c r="S520" s="37"/>
      <c r="T520" s="37"/>
      <c r="U520" s="37"/>
      <c r="V520" s="37"/>
      <c r="W520" s="37"/>
      <c r="X520" s="37"/>
      <c r="Y520" s="37"/>
      <c r="Z520" s="37"/>
      <c r="AA520" s="37" t="s">
        <v>1124</v>
      </c>
      <c r="AB520" s="37" t="s">
        <v>1124</v>
      </c>
      <c r="AC520" s="37"/>
      <c r="AD520" s="37"/>
      <c r="AE520" s="37"/>
      <c r="AF520" s="168"/>
      <c r="AG520" s="37"/>
      <c r="AH520" s="37"/>
      <c r="AI520" s="37"/>
      <c r="AJ520" s="37"/>
      <c r="AK520" s="37"/>
      <c r="AL520" s="37"/>
      <c r="AM520" s="37"/>
      <c r="AN520" s="37"/>
      <c r="AO520" s="37"/>
      <c r="AP520" s="37"/>
      <c r="AQ520" s="37"/>
      <c r="AR520" s="37" t="s">
        <v>1124</v>
      </c>
      <c r="AS520" s="37"/>
      <c r="AT520" s="37"/>
      <c r="AU520" s="37"/>
      <c r="AV520" s="37"/>
      <c r="AW520" s="37"/>
      <c r="AX520" s="37"/>
      <c r="AY520" s="37"/>
      <c r="AZ520" s="37"/>
      <c r="BA520" s="37"/>
      <c r="BB520" s="37"/>
      <c r="BC520" s="37"/>
      <c r="BD520" s="37" t="s">
        <v>1124</v>
      </c>
      <c r="BE520" s="37"/>
      <c r="BF520" s="37"/>
      <c r="BG520" s="37"/>
      <c r="BH520" s="37"/>
      <c r="BI520" s="37"/>
      <c r="BJ520" s="37"/>
      <c r="BK520" s="37"/>
      <c r="BL520" s="37"/>
      <c r="BM520" s="37"/>
      <c r="BN520" s="37"/>
      <c r="BO520" s="37"/>
      <c r="BP520" s="37">
        <v>0</v>
      </c>
      <c r="BQ520" s="37"/>
      <c r="BR520" s="37"/>
      <c r="BS520" s="37"/>
      <c r="BT520" s="37"/>
      <c r="BU520" s="37"/>
      <c r="BV520" s="37"/>
      <c r="BW520" s="37"/>
      <c r="BX520" s="37"/>
      <c r="BY520" s="37"/>
      <c r="BZ520" s="37"/>
      <c r="CA520" s="37"/>
      <c r="CB520" s="37" t="s">
        <v>1124</v>
      </c>
      <c r="CC520" s="37"/>
      <c r="CD520" s="37"/>
      <c r="CE520" s="37"/>
      <c r="CF520" s="37"/>
      <c r="CG520" s="37"/>
      <c r="CH520" s="37"/>
      <c r="CI520" s="37"/>
      <c r="CJ520" s="37"/>
      <c r="CK520" s="37"/>
      <c r="CL520" s="37"/>
      <c r="CM520" s="37"/>
      <c r="CN520" s="37" t="s">
        <v>1124</v>
      </c>
      <c r="CO520" s="37"/>
      <c r="CP520" s="37"/>
      <c r="CQ520" s="37"/>
      <c r="CR520" s="37"/>
      <c r="CS520" s="37"/>
      <c r="CT520" s="37"/>
      <c r="CU520" s="37"/>
      <c r="CV520" s="37"/>
      <c r="CW520" s="37"/>
      <c r="CX520" s="37"/>
      <c r="CY520" s="37"/>
      <c r="CZ520" s="37" t="s">
        <v>1124</v>
      </c>
      <c r="DA520" s="37"/>
      <c r="DB520" s="37"/>
      <c r="DC520" s="37"/>
      <c r="DD520" s="37"/>
      <c r="DE520" s="37"/>
      <c r="DF520" s="37"/>
      <c r="DG520" s="37"/>
      <c r="DH520" s="37"/>
      <c r="DI520" s="37"/>
      <c r="DJ520" s="37"/>
      <c r="DK520" s="37"/>
      <c r="DL520" s="37" t="s">
        <v>1124</v>
      </c>
      <c r="DM520" s="37"/>
      <c r="DN520" s="37"/>
      <c r="DO520" s="37"/>
      <c r="DP520" s="37"/>
      <c r="DQ520" s="37"/>
      <c r="DR520" s="37"/>
      <c r="DS520" s="37"/>
      <c r="DT520" s="37"/>
      <c r="DU520" s="37"/>
      <c r="DV520" s="37"/>
      <c r="DW520" s="37"/>
      <c r="DX520" s="37" t="s">
        <v>1124</v>
      </c>
      <c r="DY520" s="37"/>
      <c r="DZ520" s="37"/>
      <c r="EA520" s="37"/>
      <c r="EB520" s="37"/>
      <c r="EC520" s="37"/>
      <c r="ED520" s="37"/>
      <c r="EE520" s="37"/>
      <c r="EF520" s="37"/>
      <c r="EG520" s="37"/>
      <c r="EH520" s="37"/>
      <c r="EI520" s="37"/>
      <c r="EJ520" s="37" t="s">
        <v>1124</v>
      </c>
      <c r="EK520" s="161"/>
      <c r="EL520" s="294"/>
    </row>
    <row r="521" spans="1:142" ht="15" customHeight="1" x14ac:dyDescent="0.35">
      <c r="A521" s="34"/>
      <c r="B521" s="313">
        <v>13025</v>
      </c>
      <c r="C521" s="8" t="s">
        <v>45</v>
      </c>
      <c r="D521" s="18">
        <v>1</v>
      </c>
      <c r="E521" s="155">
        <v>118009</v>
      </c>
      <c r="F521" s="36">
        <v>87828</v>
      </c>
      <c r="G521" s="37">
        <v>60384</v>
      </c>
      <c r="H521" s="37">
        <v>0</v>
      </c>
      <c r="I521" s="37">
        <v>254610</v>
      </c>
      <c r="J521" s="37">
        <v>0</v>
      </c>
      <c r="K521" s="37">
        <v>17701</v>
      </c>
      <c r="L521" s="37">
        <v>13174</v>
      </c>
      <c r="M521" s="37">
        <v>450704</v>
      </c>
      <c r="N521" s="37">
        <v>101002</v>
      </c>
      <c r="O521" s="37">
        <v>0</v>
      </c>
      <c r="P521" s="37">
        <v>0</v>
      </c>
      <c r="Q521" s="37">
        <v>174673</v>
      </c>
      <c r="R521" s="37">
        <v>130205</v>
      </c>
      <c r="S521" s="37">
        <v>0</v>
      </c>
      <c r="T521" s="37">
        <v>6945</v>
      </c>
      <c r="U521" s="37">
        <v>59690</v>
      </c>
      <c r="V521" s="37">
        <v>4277</v>
      </c>
      <c r="W521" s="37">
        <v>141500</v>
      </c>
      <c r="X521" s="37">
        <v>60994</v>
      </c>
      <c r="Y521" s="37">
        <v>0</v>
      </c>
      <c r="Z521" s="37">
        <v>0</v>
      </c>
      <c r="AA521" s="37">
        <v>375863</v>
      </c>
      <c r="AB521" s="37">
        <v>202421</v>
      </c>
      <c r="AC521" s="37">
        <v>26578</v>
      </c>
      <c r="AD521" s="37">
        <v>26578</v>
      </c>
      <c r="AE521" s="37">
        <v>198632</v>
      </c>
      <c r="AF521" s="168">
        <v>0.02</v>
      </c>
      <c r="AG521" s="37">
        <v>15266202.640000001</v>
      </c>
      <c r="AH521" s="37">
        <v>146535.03</v>
      </c>
      <c r="AI521" s="37">
        <v>149465.73000000001</v>
      </c>
      <c r="AJ521" s="37">
        <v>152455.04999999999</v>
      </c>
      <c r="AK521" s="37">
        <v>155504.15</v>
      </c>
      <c r="AL521" s="37">
        <v>158614.23000000001</v>
      </c>
      <c r="AM521" s="37">
        <v>161786.51999999999</v>
      </c>
      <c r="AN521" s="37">
        <v>165022.25</v>
      </c>
      <c r="AO521" s="37">
        <v>168322.69</v>
      </c>
      <c r="AP521" s="37">
        <v>171689.15</v>
      </c>
      <c r="AQ521" s="37">
        <v>175122.93</v>
      </c>
      <c r="AR521" s="37">
        <v>1604517.73</v>
      </c>
      <c r="AS521" s="37">
        <v>923216.63</v>
      </c>
      <c r="AT521" s="37">
        <v>552838.39</v>
      </c>
      <c r="AU521" s="37">
        <v>636480.72</v>
      </c>
      <c r="AV521" s="37">
        <v>0</v>
      </c>
      <c r="AW521" s="37">
        <v>671225.92</v>
      </c>
      <c r="AX521" s="37">
        <v>0</v>
      </c>
      <c r="AY521" s="37">
        <v>0</v>
      </c>
      <c r="AZ521" s="37">
        <v>0</v>
      </c>
      <c r="BA521" s="37">
        <v>0</v>
      </c>
      <c r="BB521" s="37">
        <v>0</v>
      </c>
      <c r="BC521" s="37">
        <v>0</v>
      </c>
      <c r="BD521" s="37">
        <v>1860545.0300000003</v>
      </c>
      <c r="BE521" s="37">
        <v>15223</v>
      </c>
      <c r="BF521" s="37">
        <v>910332.65</v>
      </c>
      <c r="BG521" s="37">
        <v>0</v>
      </c>
      <c r="BH521" s="37">
        <v>0</v>
      </c>
      <c r="BI521" s="37">
        <v>0</v>
      </c>
      <c r="BJ521" s="37">
        <v>0</v>
      </c>
      <c r="BK521" s="37">
        <v>0</v>
      </c>
      <c r="BL521" s="37">
        <v>0</v>
      </c>
      <c r="BM521" s="37">
        <v>0</v>
      </c>
      <c r="BN521" s="37">
        <v>0</v>
      </c>
      <c r="BO521" s="37">
        <v>0</v>
      </c>
      <c r="BP521" s="37">
        <v>910332.65</v>
      </c>
      <c r="BQ521" s="37">
        <v>0</v>
      </c>
      <c r="BR521" s="37">
        <v>194872.35</v>
      </c>
      <c r="BS521" s="37">
        <v>0</v>
      </c>
      <c r="BT521" s="37">
        <v>0</v>
      </c>
      <c r="BU521" s="37">
        <v>0</v>
      </c>
      <c r="BV521" s="37">
        <v>0</v>
      </c>
      <c r="BW521" s="37">
        <v>0</v>
      </c>
      <c r="BX521" s="37">
        <v>0</v>
      </c>
      <c r="BY521" s="37">
        <v>0</v>
      </c>
      <c r="BZ521" s="37">
        <v>0</v>
      </c>
      <c r="CA521" s="37">
        <v>0</v>
      </c>
      <c r="CB521" s="37">
        <v>194872.35</v>
      </c>
      <c r="CC521" s="37">
        <v>0</v>
      </c>
      <c r="CD521" s="37">
        <v>0</v>
      </c>
      <c r="CE521" s="37">
        <v>0</v>
      </c>
      <c r="CF521" s="37">
        <v>0</v>
      </c>
      <c r="CG521" s="37">
        <v>0</v>
      </c>
      <c r="CH521" s="37">
        <v>0</v>
      </c>
      <c r="CI521" s="37">
        <v>0</v>
      </c>
      <c r="CJ521" s="37">
        <v>0</v>
      </c>
      <c r="CK521" s="37">
        <v>0</v>
      </c>
      <c r="CL521" s="37">
        <v>0</v>
      </c>
      <c r="CM521" s="37">
        <v>0</v>
      </c>
      <c r="CN521" s="37">
        <v>0</v>
      </c>
      <c r="CO521" s="37">
        <v>492864</v>
      </c>
      <c r="CP521" s="37">
        <v>0</v>
      </c>
      <c r="CQ521" s="37">
        <v>0</v>
      </c>
      <c r="CR521" s="37">
        <v>0</v>
      </c>
      <c r="CS521" s="37">
        <v>0</v>
      </c>
      <c r="CT521" s="37">
        <v>0</v>
      </c>
      <c r="CU521" s="37">
        <v>0</v>
      </c>
      <c r="CV521" s="37">
        <v>0</v>
      </c>
      <c r="CW521" s="37">
        <v>0</v>
      </c>
      <c r="CX521" s="37">
        <v>0</v>
      </c>
      <c r="CY521" s="37">
        <v>0</v>
      </c>
      <c r="CZ521" s="37">
        <v>0</v>
      </c>
      <c r="DA521" s="37">
        <v>0</v>
      </c>
      <c r="DB521" s="37">
        <v>0</v>
      </c>
      <c r="DC521" s="37">
        <v>0</v>
      </c>
      <c r="DD521" s="37">
        <v>0</v>
      </c>
      <c r="DE521" s="37">
        <v>0</v>
      </c>
      <c r="DF521" s="37">
        <v>0</v>
      </c>
      <c r="DG521" s="37">
        <v>0</v>
      </c>
      <c r="DH521" s="37">
        <v>0</v>
      </c>
      <c r="DI521" s="37">
        <v>0</v>
      </c>
      <c r="DJ521" s="37">
        <v>0</v>
      </c>
      <c r="DK521" s="37">
        <v>0</v>
      </c>
      <c r="DL521" s="37">
        <v>0</v>
      </c>
      <c r="DM521" s="37">
        <v>0</v>
      </c>
      <c r="DN521" s="37">
        <v>0</v>
      </c>
      <c r="DO521" s="37">
        <v>0</v>
      </c>
      <c r="DP521" s="37">
        <v>0</v>
      </c>
      <c r="DQ521" s="37">
        <v>0</v>
      </c>
      <c r="DR521" s="37">
        <v>0</v>
      </c>
      <c r="DS521" s="37">
        <v>0</v>
      </c>
      <c r="DT521" s="37">
        <v>0</v>
      </c>
      <c r="DU521" s="37">
        <v>0</v>
      </c>
      <c r="DV521" s="37">
        <v>0</v>
      </c>
      <c r="DW521" s="37">
        <v>0</v>
      </c>
      <c r="DX521" s="37">
        <v>0</v>
      </c>
      <c r="DY521" s="37">
        <v>0</v>
      </c>
      <c r="DZ521" s="37">
        <v>0</v>
      </c>
      <c r="EA521" s="37">
        <v>0</v>
      </c>
      <c r="EB521" s="37">
        <v>0</v>
      </c>
      <c r="EC521" s="37">
        <v>0</v>
      </c>
      <c r="ED521" s="37">
        <v>0</v>
      </c>
      <c r="EE521" s="37">
        <v>0</v>
      </c>
      <c r="EF521" s="37">
        <v>0</v>
      </c>
      <c r="EG521" s="37">
        <v>0</v>
      </c>
      <c r="EH521" s="37">
        <v>0</v>
      </c>
      <c r="EI521" s="37">
        <v>0</v>
      </c>
      <c r="EJ521" s="37">
        <v>0</v>
      </c>
      <c r="EK521" s="161" t="s">
        <v>2511</v>
      </c>
      <c r="EL521" s="294" t="s">
        <v>1124</v>
      </c>
    </row>
    <row r="522" spans="1:142" ht="15" customHeight="1" x14ac:dyDescent="0.35">
      <c r="A522" s="34"/>
      <c r="B522" s="313">
        <v>12072</v>
      </c>
      <c r="C522" s="8" t="s">
        <v>39</v>
      </c>
      <c r="D522" s="18">
        <v>1</v>
      </c>
      <c r="E522" s="155">
        <v>2156436</v>
      </c>
      <c r="F522" s="36">
        <v>1389783</v>
      </c>
      <c r="G522" s="37">
        <v>266430</v>
      </c>
      <c r="H522" s="37">
        <v>216993</v>
      </c>
      <c r="I522" s="37">
        <v>479700</v>
      </c>
      <c r="J522" s="37">
        <v>8634</v>
      </c>
      <c r="K522" s="37">
        <v>323456</v>
      </c>
      <c r="L522" s="37">
        <v>208467</v>
      </c>
      <c r="M522" s="37">
        <v>3226022</v>
      </c>
      <c r="N522" s="37">
        <v>1823877</v>
      </c>
      <c r="O522" s="37">
        <v>0</v>
      </c>
      <c r="P522" s="37">
        <v>0</v>
      </c>
      <c r="Q522" s="37">
        <v>2686933</v>
      </c>
      <c r="R522" s="37">
        <v>1932756</v>
      </c>
      <c r="S522" s="37">
        <v>63715</v>
      </c>
      <c r="T522" s="37">
        <v>0</v>
      </c>
      <c r="U522" s="37">
        <v>21595</v>
      </c>
      <c r="V522" s="37">
        <v>64619</v>
      </c>
      <c r="W522" s="37">
        <v>140140.5</v>
      </c>
      <c r="X522" s="37">
        <v>140140.5</v>
      </c>
      <c r="Y522" s="37">
        <v>0</v>
      </c>
      <c r="Z522" s="37">
        <v>0</v>
      </c>
      <c r="AA522" s="37">
        <v>2912383.5</v>
      </c>
      <c r="AB522" s="37">
        <v>2137515.5</v>
      </c>
      <c r="AC522" s="37">
        <v>0</v>
      </c>
      <c r="AD522" s="37">
        <v>0</v>
      </c>
      <c r="AE522" s="37">
        <v>0</v>
      </c>
      <c r="AF522" s="168">
        <v>0.02</v>
      </c>
      <c r="AG522" s="37">
        <v>652620039.38</v>
      </c>
      <c r="AH522" s="37">
        <v>4988129.21</v>
      </c>
      <c r="AI522" s="37">
        <v>5087891.8</v>
      </c>
      <c r="AJ522" s="37">
        <v>5189649.63</v>
      </c>
      <c r="AK522" s="37">
        <v>5293442.63</v>
      </c>
      <c r="AL522" s="37">
        <v>5399311.4800000004</v>
      </c>
      <c r="AM522" s="37">
        <v>5507297.71</v>
      </c>
      <c r="AN522" s="37">
        <v>5617443.6600000001</v>
      </c>
      <c r="AO522" s="37">
        <v>5729792.5300000003</v>
      </c>
      <c r="AP522" s="37">
        <v>5844388.3899999997</v>
      </c>
      <c r="AQ522" s="37">
        <v>5961276.1500000004</v>
      </c>
      <c r="AR522" s="37">
        <v>54618623.190000005</v>
      </c>
      <c r="AS522" s="37">
        <v>9830587.6999999993</v>
      </c>
      <c r="AT522" s="37">
        <v>582517.92000000004</v>
      </c>
      <c r="AU522" s="37">
        <v>8719306.2899999991</v>
      </c>
      <c r="AV522" s="37">
        <v>6207634.8899999997</v>
      </c>
      <c r="AW522" s="37">
        <v>0</v>
      </c>
      <c r="AX522" s="37">
        <v>0</v>
      </c>
      <c r="AY522" s="37">
        <v>0</v>
      </c>
      <c r="AZ522" s="37">
        <v>0</v>
      </c>
      <c r="BA522" s="37">
        <v>0</v>
      </c>
      <c r="BB522" s="37">
        <v>0</v>
      </c>
      <c r="BC522" s="37">
        <v>0</v>
      </c>
      <c r="BD522" s="37">
        <v>15509459.1</v>
      </c>
      <c r="BE522" s="37">
        <v>0</v>
      </c>
      <c r="BF522" s="37">
        <v>1416970</v>
      </c>
      <c r="BG522" s="37">
        <v>819390</v>
      </c>
      <c r="BH522" s="37">
        <v>3333076</v>
      </c>
      <c r="BI522" s="37">
        <v>0</v>
      </c>
      <c r="BJ522" s="37">
        <v>0</v>
      </c>
      <c r="BK522" s="37">
        <v>0</v>
      </c>
      <c r="BL522" s="37">
        <v>0</v>
      </c>
      <c r="BM522" s="37">
        <v>0</v>
      </c>
      <c r="BN522" s="37">
        <v>0</v>
      </c>
      <c r="BO522" s="37">
        <v>0</v>
      </c>
      <c r="BP522" s="37">
        <v>5569436</v>
      </c>
      <c r="BQ522" s="37">
        <v>9271539</v>
      </c>
      <c r="BR522" s="37">
        <v>4936256</v>
      </c>
      <c r="BS522" s="37">
        <v>3121236</v>
      </c>
      <c r="BT522" s="37">
        <v>2035462</v>
      </c>
      <c r="BU522" s="37">
        <v>0</v>
      </c>
      <c r="BV522" s="37">
        <v>0</v>
      </c>
      <c r="BW522" s="37">
        <v>0</v>
      </c>
      <c r="BX522" s="37">
        <v>0</v>
      </c>
      <c r="BY522" s="37">
        <v>0</v>
      </c>
      <c r="BZ522" s="37">
        <v>0</v>
      </c>
      <c r="CA522" s="37">
        <v>0</v>
      </c>
      <c r="CB522" s="37">
        <v>10092954</v>
      </c>
      <c r="CC522" s="37">
        <v>0</v>
      </c>
      <c r="CD522" s="37">
        <v>2124940</v>
      </c>
      <c r="CE522" s="37">
        <v>2615613</v>
      </c>
      <c r="CF522" s="37">
        <v>1507626</v>
      </c>
      <c r="CG522" s="37">
        <v>0</v>
      </c>
      <c r="CH522" s="37">
        <v>0</v>
      </c>
      <c r="CI522" s="37">
        <v>0</v>
      </c>
      <c r="CJ522" s="37">
        <v>0</v>
      </c>
      <c r="CK522" s="37">
        <v>0</v>
      </c>
      <c r="CL522" s="37">
        <v>0</v>
      </c>
      <c r="CM522" s="37">
        <v>0</v>
      </c>
      <c r="CN522" s="37">
        <v>6248179</v>
      </c>
      <c r="CO522" s="37">
        <v>0</v>
      </c>
      <c r="CP522" s="37">
        <v>0</v>
      </c>
      <c r="CQ522" s="37">
        <v>0</v>
      </c>
      <c r="CR522" s="37">
        <v>2610000</v>
      </c>
      <c r="CS522" s="37">
        <v>0</v>
      </c>
      <c r="CT522" s="37">
        <v>0</v>
      </c>
      <c r="CU522" s="37">
        <v>0</v>
      </c>
      <c r="CV522" s="37">
        <v>0</v>
      </c>
      <c r="CW522" s="37">
        <v>0</v>
      </c>
      <c r="CX522" s="37">
        <v>0</v>
      </c>
      <c r="CY522" s="37">
        <v>0</v>
      </c>
      <c r="CZ522" s="37">
        <v>2610000</v>
      </c>
      <c r="DA522" s="37">
        <v>0</v>
      </c>
      <c r="DB522" s="37">
        <v>571096</v>
      </c>
      <c r="DC522" s="37">
        <v>8380725</v>
      </c>
      <c r="DD522" s="37">
        <v>2679593</v>
      </c>
      <c r="DE522" s="37">
        <v>0</v>
      </c>
      <c r="DF522" s="37">
        <v>0</v>
      </c>
      <c r="DG522" s="37">
        <v>0</v>
      </c>
      <c r="DH522" s="37">
        <v>0</v>
      </c>
      <c r="DI522" s="37">
        <v>0</v>
      </c>
      <c r="DJ522" s="37">
        <v>0</v>
      </c>
      <c r="DK522" s="37">
        <v>0</v>
      </c>
      <c r="DL522" s="37">
        <v>11631414</v>
      </c>
      <c r="DM522" s="37">
        <v>0</v>
      </c>
      <c r="DN522" s="37">
        <v>0</v>
      </c>
      <c r="DO522" s="37">
        <v>0</v>
      </c>
      <c r="DP522" s="37">
        <v>560000</v>
      </c>
      <c r="DQ522" s="37">
        <v>0</v>
      </c>
      <c r="DR522" s="37">
        <v>0</v>
      </c>
      <c r="DS522" s="37">
        <v>0</v>
      </c>
      <c r="DT522" s="37">
        <v>0</v>
      </c>
      <c r="DU522" s="37">
        <v>0</v>
      </c>
      <c r="DV522" s="37">
        <v>0</v>
      </c>
      <c r="DW522" s="37">
        <v>0</v>
      </c>
      <c r="DX522" s="37">
        <v>560000</v>
      </c>
      <c r="DY522" s="37">
        <v>0</v>
      </c>
      <c r="DZ522" s="37">
        <v>0</v>
      </c>
      <c r="EA522" s="37">
        <v>0</v>
      </c>
      <c r="EB522" s="37">
        <v>0</v>
      </c>
      <c r="EC522" s="37">
        <v>0</v>
      </c>
      <c r="ED522" s="37">
        <v>0</v>
      </c>
      <c r="EE522" s="37">
        <v>0</v>
      </c>
      <c r="EF522" s="37">
        <v>0</v>
      </c>
      <c r="EG522" s="37">
        <v>0</v>
      </c>
      <c r="EH522" s="37">
        <v>0</v>
      </c>
      <c r="EI522" s="37">
        <v>0</v>
      </c>
      <c r="EJ522" s="37">
        <v>0</v>
      </c>
      <c r="EK522" s="161" t="s">
        <v>1965</v>
      </c>
      <c r="EL522" s="294" t="s">
        <v>1124</v>
      </c>
    </row>
    <row r="523" spans="1:142" ht="15" customHeight="1" x14ac:dyDescent="0.35">
      <c r="A523" s="34"/>
      <c r="B523" s="313">
        <v>94215</v>
      </c>
      <c r="C523" s="8" t="s">
        <v>975</v>
      </c>
      <c r="D523" s="18">
        <v>2</v>
      </c>
      <c r="E523" s="155"/>
      <c r="F523" s="36"/>
      <c r="G523" s="37"/>
      <c r="H523" s="37"/>
      <c r="I523" s="37"/>
      <c r="J523" s="37"/>
      <c r="K523" s="37"/>
      <c r="L523" s="37"/>
      <c r="M523" s="37" t="s">
        <v>1124</v>
      </c>
      <c r="N523" s="37" t="s">
        <v>1124</v>
      </c>
      <c r="O523" s="37"/>
      <c r="P523" s="37"/>
      <c r="Q523" s="37"/>
      <c r="R523" s="37"/>
      <c r="S523" s="37"/>
      <c r="T523" s="37"/>
      <c r="U523" s="37"/>
      <c r="V523" s="37"/>
      <c r="W523" s="37"/>
      <c r="X523" s="37"/>
      <c r="Y523" s="37"/>
      <c r="Z523" s="37"/>
      <c r="AA523" s="37" t="s">
        <v>1124</v>
      </c>
      <c r="AB523" s="37" t="s">
        <v>1124</v>
      </c>
      <c r="AC523" s="37"/>
      <c r="AD523" s="37"/>
      <c r="AE523" s="37"/>
      <c r="AF523" s="168"/>
      <c r="AG523" s="37"/>
      <c r="AH523" s="37"/>
      <c r="AI523" s="37"/>
      <c r="AJ523" s="37"/>
      <c r="AK523" s="37"/>
      <c r="AL523" s="37"/>
      <c r="AM523" s="37"/>
      <c r="AN523" s="37"/>
      <c r="AO523" s="37"/>
      <c r="AP523" s="37"/>
      <c r="AQ523" s="37"/>
      <c r="AR523" s="37" t="s">
        <v>1124</v>
      </c>
      <c r="AS523" s="37"/>
      <c r="AT523" s="37"/>
      <c r="AU523" s="37"/>
      <c r="AV523" s="37"/>
      <c r="AW523" s="37"/>
      <c r="AX523" s="37"/>
      <c r="AY523" s="37"/>
      <c r="AZ523" s="37"/>
      <c r="BA523" s="37"/>
      <c r="BB523" s="37"/>
      <c r="BC523" s="37"/>
      <c r="BD523" s="37" t="s">
        <v>1124</v>
      </c>
      <c r="BE523" s="37"/>
      <c r="BF523" s="37"/>
      <c r="BG523" s="37"/>
      <c r="BH523" s="37"/>
      <c r="BI523" s="37"/>
      <c r="BJ523" s="37"/>
      <c r="BK523" s="37"/>
      <c r="BL523" s="37"/>
      <c r="BM523" s="37"/>
      <c r="BN523" s="37"/>
      <c r="BO523" s="37"/>
      <c r="BP523" s="37">
        <v>0</v>
      </c>
      <c r="BQ523" s="37"/>
      <c r="BR523" s="37"/>
      <c r="BS523" s="37"/>
      <c r="BT523" s="37"/>
      <c r="BU523" s="37"/>
      <c r="BV523" s="37"/>
      <c r="BW523" s="37"/>
      <c r="BX523" s="37"/>
      <c r="BY523" s="37"/>
      <c r="BZ523" s="37"/>
      <c r="CA523" s="37"/>
      <c r="CB523" s="37" t="s">
        <v>1124</v>
      </c>
      <c r="CC523" s="37"/>
      <c r="CD523" s="37"/>
      <c r="CE523" s="37"/>
      <c r="CF523" s="37"/>
      <c r="CG523" s="37"/>
      <c r="CH523" s="37"/>
      <c r="CI523" s="37"/>
      <c r="CJ523" s="37"/>
      <c r="CK523" s="37"/>
      <c r="CL523" s="37"/>
      <c r="CM523" s="37"/>
      <c r="CN523" s="37" t="s">
        <v>1124</v>
      </c>
      <c r="CO523" s="37"/>
      <c r="CP523" s="37"/>
      <c r="CQ523" s="37"/>
      <c r="CR523" s="37"/>
      <c r="CS523" s="37"/>
      <c r="CT523" s="37"/>
      <c r="CU523" s="37"/>
      <c r="CV523" s="37"/>
      <c r="CW523" s="37"/>
      <c r="CX523" s="37"/>
      <c r="CY523" s="37"/>
      <c r="CZ523" s="37" t="s">
        <v>1124</v>
      </c>
      <c r="DA523" s="37"/>
      <c r="DB523" s="37"/>
      <c r="DC523" s="37"/>
      <c r="DD523" s="37"/>
      <c r="DE523" s="37"/>
      <c r="DF523" s="37"/>
      <c r="DG523" s="37"/>
      <c r="DH523" s="37"/>
      <c r="DI523" s="37"/>
      <c r="DJ523" s="37"/>
      <c r="DK523" s="37"/>
      <c r="DL523" s="37" t="s">
        <v>1124</v>
      </c>
      <c r="DM523" s="37"/>
      <c r="DN523" s="37"/>
      <c r="DO523" s="37"/>
      <c r="DP523" s="37"/>
      <c r="DQ523" s="37"/>
      <c r="DR523" s="37"/>
      <c r="DS523" s="37"/>
      <c r="DT523" s="37"/>
      <c r="DU523" s="37"/>
      <c r="DV523" s="37"/>
      <c r="DW523" s="37"/>
      <c r="DX523" s="37" t="s">
        <v>1124</v>
      </c>
      <c r="DY523" s="37"/>
      <c r="DZ523" s="37"/>
      <c r="EA523" s="37"/>
      <c r="EB523" s="37"/>
      <c r="EC523" s="37"/>
      <c r="ED523" s="37"/>
      <c r="EE523" s="37"/>
      <c r="EF523" s="37"/>
      <c r="EG523" s="37"/>
      <c r="EH523" s="37"/>
      <c r="EI523" s="37"/>
      <c r="EJ523" s="37" t="s">
        <v>1124</v>
      </c>
      <c r="EK523" s="161"/>
      <c r="EL523" s="294"/>
    </row>
    <row r="524" spans="1:142" ht="15" customHeight="1" x14ac:dyDescent="0.35">
      <c r="A524" s="34"/>
      <c r="B524" s="313">
        <v>89010</v>
      </c>
      <c r="C524" s="8" t="s">
        <v>929</v>
      </c>
      <c r="D524" s="18">
        <v>8</v>
      </c>
      <c r="E524" s="155">
        <v>9013</v>
      </c>
      <c r="F524" s="36">
        <v>0</v>
      </c>
      <c r="G524" s="37">
        <v>3144</v>
      </c>
      <c r="H524" s="37">
        <v>0</v>
      </c>
      <c r="I524" s="37">
        <v>63700</v>
      </c>
      <c r="J524" s="37">
        <v>0</v>
      </c>
      <c r="K524" s="37">
        <v>1351.95</v>
      </c>
      <c r="L524" s="37">
        <v>0</v>
      </c>
      <c r="M524" s="37">
        <v>77208.95</v>
      </c>
      <c r="N524" s="37">
        <v>0</v>
      </c>
      <c r="O524" s="37">
        <v>0</v>
      </c>
      <c r="P524" s="37">
        <v>0</v>
      </c>
      <c r="Q524" s="37">
        <v>11920</v>
      </c>
      <c r="R524" s="37">
        <v>0</v>
      </c>
      <c r="S524" s="37">
        <v>0</v>
      </c>
      <c r="T524" s="37">
        <v>0</v>
      </c>
      <c r="U524" s="37">
        <v>0</v>
      </c>
      <c r="V524" s="37">
        <v>0</v>
      </c>
      <c r="W524" s="37">
        <v>65289</v>
      </c>
      <c r="X524" s="37">
        <v>0</v>
      </c>
      <c r="Y524" s="37">
        <v>0</v>
      </c>
      <c r="Z524" s="37">
        <v>0</v>
      </c>
      <c r="AA524" s="37">
        <v>77209</v>
      </c>
      <c r="AB524" s="37">
        <v>0</v>
      </c>
      <c r="AC524" s="37">
        <v>0</v>
      </c>
      <c r="AD524" s="37">
        <v>0</v>
      </c>
      <c r="AE524" s="37">
        <v>0</v>
      </c>
      <c r="AF524" s="168">
        <v>0.02</v>
      </c>
      <c r="AG524" s="37">
        <v>2336653.13</v>
      </c>
      <c r="AH524" s="37">
        <v>24729.63</v>
      </c>
      <c r="AI524" s="37">
        <v>20022.22</v>
      </c>
      <c r="AJ524" s="37">
        <v>20422.66</v>
      </c>
      <c r="AK524" s="37">
        <v>20831.12</v>
      </c>
      <c r="AL524" s="37">
        <v>21247.74</v>
      </c>
      <c r="AM524" s="37">
        <v>21672.69</v>
      </c>
      <c r="AN524" s="37">
        <v>22106.15</v>
      </c>
      <c r="AO524" s="37">
        <v>22548.27</v>
      </c>
      <c r="AP524" s="37">
        <v>22999.24</v>
      </c>
      <c r="AQ524" s="37">
        <v>23459.22</v>
      </c>
      <c r="AR524" s="37">
        <v>220038.94</v>
      </c>
      <c r="AS524" s="37">
        <v>0</v>
      </c>
      <c r="AT524" s="37">
        <v>48727.44</v>
      </c>
      <c r="AU524" s="37">
        <v>0</v>
      </c>
      <c r="AV524" s="37">
        <v>0</v>
      </c>
      <c r="AW524" s="37">
        <v>0</v>
      </c>
      <c r="AX524" s="37">
        <v>0</v>
      </c>
      <c r="AY524" s="37">
        <v>0</v>
      </c>
      <c r="AZ524" s="37">
        <v>0</v>
      </c>
      <c r="BA524" s="37">
        <v>0</v>
      </c>
      <c r="BB524" s="37">
        <v>0</v>
      </c>
      <c r="BC524" s="37">
        <v>0</v>
      </c>
      <c r="BD524" s="37">
        <v>48727.44</v>
      </c>
      <c r="BE524" s="37">
        <v>0</v>
      </c>
      <c r="BF524" s="37">
        <v>0</v>
      </c>
      <c r="BG524" s="37">
        <v>0</v>
      </c>
      <c r="BH524" s="37">
        <v>0</v>
      </c>
      <c r="BI524" s="37">
        <v>0</v>
      </c>
      <c r="BJ524" s="37">
        <v>0</v>
      </c>
      <c r="BK524" s="37">
        <v>0</v>
      </c>
      <c r="BL524" s="37">
        <v>0</v>
      </c>
      <c r="BM524" s="37">
        <v>0</v>
      </c>
      <c r="BN524" s="37">
        <v>0</v>
      </c>
      <c r="BO524" s="37">
        <v>0</v>
      </c>
      <c r="BP524" s="37">
        <v>0</v>
      </c>
      <c r="BQ524" s="37">
        <v>0</v>
      </c>
      <c r="BR524" s="37">
        <v>0</v>
      </c>
      <c r="BS524" s="37">
        <v>0</v>
      </c>
      <c r="BT524" s="37">
        <v>0</v>
      </c>
      <c r="BU524" s="37">
        <v>0</v>
      </c>
      <c r="BV524" s="37">
        <v>0</v>
      </c>
      <c r="BW524" s="37">
        <v>0</v>
      </c>
      <c r="BX524" s="37">
        <v>0</v>
      </c>
      <c r="BY524" s="37">
        <v>0</v>
      </c>
      <c r="BZ524" s="37">
        <v>0</v>
      </c>
      <c r="CA524" s="37">
        <v>0</v>
      </c>
      <c r="CB524" s="37">
        <v>0</v>
      </c>
      <c r="CC524" s="37">
        <v>0</v>
      </c>
      <c r="CD524" s="37">
        <v>5000</v>
      </c>
      <c r="CE524" s="37">
        <v>0</v>
      </c>
      <c r="CF524" s="37">
        <v>0</v>
      </c>
      <c r="CG524" s="37">
        <v>0</v>
      </c>
      <c r="CH524" s="37">
        <v>0</v>
      </c>
      <c r="CI524" s="37">
        <v>0</v>
      </c>
      <c r="CJ524" s="37">
        <v>0</v>
      </c>
      <c r="CK524" s="37">
        <v>0</v>
      </c>
      <c r="CL524" s="37">
        <v>0</v>
      </c>
      <c r="CM524" s="37">
        <v>0</v>
      </c>
      <c r="CN524" s="37">
        <v>5000</v>
      </c>
      <c r="CO524" s="37">
        <v>0</v>
      </c>
      <c r="CP524" s="37">
        <v>0</v>
      </c>
      <c r="CQ524" s="37">
        <v>0</v>
      </c>
      <c r="CR524" s="37">
        <v>0</v>
      </c>
      <c r="CS524" s="37">
        <v>0</v>
      </c>
      <c r="CT524" s="37">
        <v>0</v>
      </c>
      <c r="CU524" s="37">
        <v>0</v>
      </c>
      <c r="CV524" s="37">
        <v>0</v>
      </c>
      <c r="CW524" s="37">
        <v>0</v>
      </c>
      <c r="CX524" s="37">
        <v>0</v>
      </c>
      <c r="CY524" s="37">
        <v>0</v>
      </c>
      <c r="CZ524" s="37">
        <v>0</v>
      </c>
      <c r="DA524" s="37">
        <v>0</v>
      </c>
      <c r="DB524" s="37">
        <v>0</v>
      </c>
      <c r="DC524" s="37">
        <v>0</v>
      </c>
      <c r="DD524" s="37">
        <v>0</v>
      </c>
      <c r="DE524" s="37">
        <v>0</v>
      </c>
      <c r="DF524" s="37">
        <v>0</v>
      </c>
      <c r="DG524" s="37">
        <v>0</v>
      </c>
      <c r="DH524" s="37">
        <v>0</v>
      </c>
      <c r="DI524" s="37">
        <v>0</v>
      </c>
      <c r="DJ524" s="37">
        <v>0</v>
      </c>
      <c r="DK524" s="37">
        <v>0</v>
      </c>
      <c r="DL524" s="37">
        <v>0</v>
      </c>
      <c r="DM524" s="37">
        <v>0</v>
      </c>
      <c r="DN524" s="37">
        <v>47772</v>
      </c>
      <c r="DO524" s="37">
        <v>0</v>
      </c>
      <c r="DP524" s="37">
        <v>0</v>
      </c>
      <c r="DQ524" s="37">
        <v>0</v>
      </c>
      <c r="DR524" s="37">
        <v>0</v>
      </c>
      <c r="DS524" s="37">
        <v>0</v>
      </c>
      <c r="DT524" s="37">
        <v>0</v>
      </c>
      <c r="DU524" s="37">
        <v>0</v>
      </c>
      <c r="DV524" s="37">
        <v>0</v>
      </c>
      <c r="DW524" s="37">
        <v>0</v>
      </c>
      <c r="DX524" s="37">
        <v>47772</v>
      </c>
      <c r="DY524" s="37">
        <v>0</v>
      </c>
      <c r="DZ524" s="37">
        <v>0</v>
      </c>
      <c r="EA524" s="37">
        <v>0</v>
      </c>
      <c r="EB524" s="37">
        <v>0</v>
      </c>
      <c r="EC524" s="37">
        <v>0</v>
      </c>
      <c r="ED524" s="37">
        <v>0</v>
      </c>
      <c r="EE524" s="37">
        <v>0</v>
      </c>
      <c r="EF524" s="37">
        <v>0</v>
      </c>
      <c r="EG524" s="37">
        <v>0</v>
      </c>
      <c r="EH524" s="37">
        <v>0</v>
      </c>
      <c r="EI524" s="37">
        <v>0</v>
      </c>
      <c r="EJ524" s="37">
        <v>0</v>
      </c>
      <c r="EK524" s="161" t="s">
        <v>2518</v>
      </c>
      <c r="EL524" s="294" t="s">
        <v>1124</v>
      </c>
    </row>
    <row r="525" spans="1:142" ht="15" customHeight="1" x14ac:dyDescent="0.35">
      <c r="A525" s="34"/>
      <c r="B525" s="313">
        <v>14065</v>
      </c>
      <c r="C525" s="8" t="s">
        <v>71</v>
      </c>
      <c r="D525" s="18">
        <v>1</v>
      </c>
      <c r="E525" s="155">
        <v>156242</v>
      </c>
      <c r="F525" s="36">
        <v>37907</v>
      </c>
      <c r="G525" s="37">
        <v>21655</v>
      </c>
      <c r="H525" s="37">
        <v>17613</v>
      </c>
      <c r="I525" s="37">
        <v>89636</v>
      </c>
      <c r="J525" s="37">
        <v>57624</v>
      </c>
      <c r="K525" s="37">
        <v>23436</v>
      </c>
      <c r="L525" s="37">
        <v>5686</v>
      </c>
      <c r="M525" s="37">
        <v>290969</v>
      </c>
      <c r="N525" s="37">
        <v>118830</v>
      </c>
      <c r="O525" s="37">
        <v>0</v>
      </c>
      <c r="P525" s="37">
        <v>0</v>
      </c>
      <c r="Q525" s="37">
        <v>144327</v>
      </c>
      <c r="R525" s="37">
        <v>61527</v>
      </c>
      <c r="S525" s="37">
        <v>0</v>
      </c>
      <c r="T525" s="37">
        <v>0</v>
      </c>
      <c r="U525" s="37">
        <v>26655</v>
      </c>
      <c r="V525" s="37">
        <v>0</v>
      </c>
      <c r="W525" s="37">
        <v>36635</v>
      </c>
      <c r="X525" s="37">
        <v>0</v>
      </c>
      <c r="Y525" s="37">
        <v>94660</v>
      </c>
      <c r="Z525" s="37">
        <v>53826</v>
      </c>
      <c r="AA525" s="37">
        <v>302277</v>
      </c>
      <c r="AB525" s="37">
        <v>115353</v>
      </c>
      <c r="AC525" s="37">
        <v>7831</v>
      </c>
      <c r="AD525" s="37">
        <v>7831</v>
      </c>
      <c r="AE525" s="37">
        <v>12970</v>
      </c>
      <c r="AF525" s="168">
        <v>0.02</v>
      </c>
      <c r="AG525" s="37">
        <v>39851243.350000001</v>
      </c>
      <c r="AH525" s="37">
        <v>332046.65999999997</v>
      </c>
      <c r="AI525" s="37">
        <v>338687.59</v>
      </c>
      <c r="AJ525" s="37">
        <v>345461.35</v>
      </c>
      <c r="AK525" s="37">
        <v>352370.57</v>
      </c>
      <c r="AL525" s="37">
        <v>359417.98</v>
      </c>
      <c r="AM525" s="37">
        <v>366606.34</v>
      </c>
      <c r="AN525" s="37">
        <v>373938.47</v>
      </c>
      <c r="AO525" s="37">
        <v>381417.24</v>
      </c>
      <c r="AP525" s="37">
        <v>389045.58</v>
      </c>
      <c r="AQ525" s="37">
        <v>396826.5</v>
      </c>
      <c r="AR525" s="37">
        <v>3635818.28</v>
      </c>
      <c r="AS525" s="37">
        <v>0</v>
      </c>
      <c r="AT525" s="37">
        <v>17062.560000000001</v>
      </c>
      <c r="AU525" s="37">
        <v>0</v>
      </c>
      <c r="AV525" s="37">
        <v>1061208</v>
      </c>
      <c r="AW525" s="37">
        <v>0</v>
      </c>
      <c r="AX525" s="37">
        <v>0</v>
      </c>
      <c r="AY525" s="37">
        <v>0</v>
      </c>
      <c r="AZ525" s="37">
        <v>0</v>
      </c>
      <c r="BA525" s="37">
        <v>0</v>
      </c>
      <c r="BB525" s="37">
        <v>0</v>
      </c>
      <c r="BC525" s="37">
        <v>0</v>
      </c>
      <c r="BD525" s="37">
        <v>1078270.56</v>
      </c>
      <c r="BE525" s="37">
        <v>0</v>
      </c>
      <c r="BF525" s="37">
        <v>0</v>
      </c>
      <c r="BG525" s="37">
        <v>0</v>
      </c>
      <c r="BH525" s="37">
        <v>0</v>
      </c>
      <c r="BI525" s="37">
        <v>0</v>
      </c>
      <c r="BJ525" s="37">
        <v>0</v>
      </c>
      <c r="BK525" s="37">
        <v>0</v>
      </c>
      <c r="BL525" s="37">
        <v>0</v>
      </c>
      <c r="BM525" s="37">
        <v>0</v>
      </c>
      <c r="BN525" s="37">
        <v>0</v>
      </c>
      <c r="BO525" s="37">
        <v>0</v>
      </c>
      <c r="BP525" s="37">
        <v>0</v>
      </c>
      <c r="BQ525" s="37">
        <v>0</v>
      </c>
      <c r="BR525" s="37">
        <v>0</v>
      </c>
      <c r="BS525" s="37">
        <v>0</v>
      </c>
      <c r="BT525" s="37">
        <v>0</v>
      </c>
      <c r="BU525" s="37">
        <v>0</v>
      </c>
      <c r="BV525" s="37">
        <v>0</v>
      </c>
      <c r="BW525" s="37">
        <v>0</v>
      </c>
      <c r="BX525" s="37">
        <v>0</v>
      </c>
      <c r="BY525" s="37">
        <v>0</v>
      </c>
      <c r="BZ525" s="37">
        <v>0</v>
      </c>
      <c r="CA525" s="37">
        <v>0</v>
      </c>
      <c r="CB525" s="37">
        <v>0</v>
      </c>
      <c r="CC525" s="37">
        <v>0</v>
      </c>
      <c r="CD525" s="37">
        <v>12000</v>
      </c>
      <c r="CE525" s="37">
        <v>0</v>
      </c>
      <c r="CF525" s="37">
        <v>0</v>
      </c>
      <c r="CG525" s="37">
        <v>0</v>
      </c>
      <c r="CH525" s="37">
        <v>0</v>
      </c>
      <c r="CI525" s="37">
        <v>0</v>
      </c>
      <c r="CJ525" s="37">
        <v>0</v>
      </c>
      <c r="CK525" s="37">
        <v>0</v>
      </c>
      <c r="CL525" s="37">
        <v>0</v>
      </c>
      <c r="CM525" s="37">
        <v>0</v>
      </c>
      <c r="CN525" s="37">
        <v>12000</v>
      </c>
      <c r="CO525" s="37">
        <v>0</v>
      </c>
      <c r="CP525" s="37">
        <v>0</v>
      </c>
      <c r="CQ525" s="37">
        <v>0</v>
      </c>
      <c r="CR525" s="37">
        <v>0</v>
      </c>
      <c r="CS525" s="37">
        <v>0</v>
      </c>
      <c r="CT525" s="37">
        <v>0</v>
      </c>
      <c r="CU525" s="37">
        <v>0</v>
      </c>
      <c r="CV525" s="37">
        <v>0</v>
      </c>
      <c r="CW525" s="37">
        <v>0</v>
      </c>
      <c r="CX525" s="37">
        <v>0</v>
      </c>
      <c r="CY525" s="37">
        <v>0</v>
      </c>
      <c r="CZ525" s="37">
        <v>0</v>
      </c>
      <c r="DA525" s="37">
        <v>0</v>
      </c>
      <c r="DB525" s="37">
        <v>0</v>
      </c>
      <c r="DC525" s="37">
        <v>0</v>
      </c>
      <c r="DD525" s="37">
        <v>0</v>
      </c>
      <c r="DE525" s="37">
        <v>0</v>
      </c>
      <c r="DF525" s="37">
        <v>0</v>
      </c>
      <c r="DG525" s="37">
        <v>0</v>
      </c>
      <c r="DH525" s="37">
        <v>0</v>
      </c>
      <c r="DI525" s="37">
        <v>0</v>
      </c>
      <c r="DJ525" s="37">
        <v>0</v>
      </c>
      <c r="DK525" s="37">
        <v>0</v>
      </c>
      <c r="DL525" s="37">
        <v>0</v>
      </c>
      <c r="DM525" s="37">
        <v>0</v>
      </c>
      <c r="DN525" s="37">
        <v>0</v>
      </c>
      <c r="DO525" s="37">
        <v>0</v>
      </c>
      <c r="DP525" s="37">
        <v>0</v>
      </c>
      <c r="DQ525" s="37">
        <v>0</v>
      </c>
      <c r="DR525" s="37">
        <v>0</v>
      </c>
      <c r="DS525" s="37">
        <v>0</v>
      </c>
      <c r="DT525" s="37">
        <v>0</v>
      </c>
      <c r="DU525" s="37">
        <v>0</v>
      </c>
      <c r="DV525" s="37">
        <v>0</v>
      </c>
      <c r="DW525" s="37">
        <v>0</v>
      </c>
      <c r="DX525" s="37">
        <v>0</v>
      </c>
      <c r="DY525" s="37">
        <v>0</v>
      </c>
      <c r="DZ525" s="37">
        <v>0</v>
      </c>
      <c r="EA525" s="37">
        <v>0</v>
      </c>
      <c r="EB525" s="37">
        <v>0</v>
      </c>
      <c r="EC525" s="37">
        <v>0</v>
      </c>
      <c r="ED525" s="37">
        <v>0</v>
      </c>
      <c r="EE525" s="37">
        <v>0</v>
      </c>
      <c r="EF525" s="37">
        <v>0</v>
      </c>
      <c r="EG525" s="37">
        <v>0</v>
      </c>
      <c r="EH525" s="37">
        <v>0</v>
      </c>
      <c r="EI525" s="37">
        <v>0</v>
      </c>
      <c r="EJ525" s="37">
        <v>0</v>
      </c>
      <c r="EK525" s="161" t="s">
        <v>2521</v>
      </c>
      <c r="EL525" s="294" t="s">
        <v>1124</v>
      </c>
    </row>
    <row r="526" spans="1:142" ht="15" customHeight="1" x14ac:dyDescent="0.35">
      <c r="A526" s="34"/>
      <c r="B526" s="313">
        <v>79037</v>
      </c>
      <c r="C526" s="8" t="s">
        <v>792</v>
      </c>
      <c r="D526" s="18">
        <v>15</v>
      </c>
      <c r="E526" s="155">
        <v>294551</v>
      </c>
      <c r="F526" s="36">
        <v>156732</v>
      </c>
      <c r="G526" s="37">
        <v>57310</v>
      </c>
      <c r="H526" s="37">
        <v>10282</v>
      </c>
      <c r="I526" s="37">
        <v>156036</v>
      </c>
      <c r="J526" s="37">
        <v>19503</v>
      </c>
      <c r="K526" s="37">
        <v>7226</v>
      </c>
      <c r="L526" s="37">
        <v>4153</v>
      </c>
      <c r="M526" s="37">
        <v>515123</v>
      </c>
      <c r="N526" s="37">
        <v>190670</v>
      </c>
      <c r="O526" s="37">
        <v>0</v>
      </c>
      <c r="P526" s="37">
        <v>0</v>
      </c>
      <c r="Q526" s="37">
        <v>457520</v>
      </c>
      <c r="R526" s="37">
        <v>207857</v>
      </c>
      <c r="S526" s="37">
        <v>0</v>
      </c>
      <c r="T526" s="37">
        <v>12500</v>
      </c>
      <c r="U526" s="37">
        <v>0</v>
      </c>
      <c r="V526" s="37">
        <v>0</v>
      </c>
      <c r="W526" s="37">
        <v>295014</v>
      </c>
      <c r="X526" s="37">
        <v>169570</v>
      </c>
      <c r="Y526" s="37">
        <v>0</v>
      </c>
      <c r="Z526" s="37">
        <v>0</v>
      </c>
      <c r="AA526" s="37">
        <v>752534</v>
      </c>
      <c r="AB526" s="37">
        <v>389927</v>
      </c>
      <c r="AC526" s="37">
        <v>436668</v>
      </c>
      <c r="AD526" s="37">
        <v>0</v>
      </c>
      <c r="AE526" s="37">
        <v>0</v>
      </c>
      <c r="AF526" s="168">
        <v>0.02</v>
      </c>
      <c r="AG526" s="37">
        <v>60746420.93</v>
      </c>
      <c r="AH526" s="37">
        <v>587560.71</v>
      </c>
      <c r="AI526" s="37">
        <v>599311.93000000005</v>
      </c>
      <c r="AJ526" s="37">
        <v>611298.17000000004</v>
      </c>
      <c r="AK526" s="37">
        <v>623524.13</v>
      </c>
      <c r="AL526" s="37">
        <v>635994.61</v>
      </c>
      <c r="AM526" s="37">
        <v>648714.5</v>
      </c>
      <c r="AN526" s="37">
        <v>661688.79</v>
      </c>
      <c r="AO526" s="37">
        <v>674922.57</v>
      </c>
      <c r="AP526" s="37">
        <v>688421.02</v>
      </c>
      <c r="AQ526" s="37">
        <v>702189.44</v>
      </c>
      <c r="AR526" s="37">
        <v>6433625.8699999992</v>
      </c>
      <c r="AS526" s="37">
        <v>8189460.6600000001</v>
      </c>
      <c r="AT526" s="37">
        <v>0</v>
      </c>
      <c r="AU526" s="37">
        <v>0</v>
      </c>
      <c r="AV526" s="37">
        <v>0</v>
      </c>
      <c r="AW526" s="37">
        <v>0</v>
      </c>
      <c r="AX526" s="37">
        <v>0</v>
      </c>
      <c r="AY526" s="37">
        <v>0</v>
      </c>
      <c r="AZ526" s="37">
        <v>0</v>
      </c>
      <c r="BA526" s="37">
        <v>0</v>
      </c>
      <c r="BB526" s="37">
        <v>0</v>
      </c>
      <c r="BC526" s="37">
        <v>0</v>
      </c>
      <c r="BD526" s="37">
        <v>0</v>
      </c>
      <c r="BE526" s="37">
        <v>0</v>
      </c>
      <c r="BF526" s="37">
        <v>0</v>
      </c>
      <c r="BG526" s="37">
        <v>505000</v>
      </c>
      <c r="BH526" s="37">
        <v>5598855</v>
      </c>
      <c r="BI526" s="37">
        <v>0</v>
      </c>
      <c r="BJ526" s="37">
        <v>0</v>
      </c>
      <c r="BK526" s="37">
        <v>0</v>
      </c>
      <c r="BL526" s="37">
        <v>0</v>
      </c>
      <c r="BM526" s="37">
        <v>0</v>
      </c>
      <c r="BN526" s="37">
        <v>0</v>
      </c>
      <c r="BO526" s="37">
        <v>0</v>
      </c>
      <c r="BP526" s="37">
        <v>6103855</v>
      </c>
      <c r="BQ526" s="37">
        <v>0</v>
      </c>
      <c r="BR526" s="37">
        <v>0</v>
      </c>
      <c r="BS526" s="37">
        <v>0</v>
      </c>
      <c r="BT526" s="37">
        <v>0</v>
      </c>
      <c r="BU526" s="37">
        <v>0</v>
      </c>
      <c r="BV526" s="37">
        <v>0</v>
      </c>
      <c r="BW526" s="37">
        <v>0</v>
      </c>
      <c r="BX526" s="37">
        <v>0</v>
      </c>
      <c r="BY526" s="37">
        <v>0</v>
      </c>
      <c r="BZ526" s="37">
        <v>0</v>
      </c>
      <c r="CA526" s="37">
        <v>0</v>
      </c>
      <c r="CB526" s="37">
        <v>0</v>
      </c>
      <c r="CC526" s="37">
        <v>0</v>
      </c>
      <c r="CD526" s="37">
        <v>0</v>
      </c>
      <c r="CE526" s="37">
        <v>0</v>
      </c>
      <c r="CF526" s="37">
        <v>0</v>
      </c>
      <c r="CG526" s="37">
        <v>0</v>
      </c>
      <c r="CH526" s="37">
        <v>0</v>
      </c>
      <c r="CI526" s="37">
        <v>0</v>
      </c>
      <c r="CJ526" s="37">
        <v>0</v>
      </c>
      <c r="CK526" s="37">
        <v>0</v>
      </c>
      <c r="CL526" s="37">
        <v>0</v>
      </c>
      <c r="CM526" s="37">
        <v>0</v>
      </c>
      <c r="CN526" s="37">
        <v>0</v>
      </c>
      <c r="CO526" s="37">
        <v>0</v>
      </c>
      <c r="CP526" s="37">
        <v>0</v>
      </c>
      <c r="CQ526" s="37">
        <v>0</v>
      </c>
      <c r="CR526" s="37">
        <v>0</v>
      </c>
      <c r="CS526" s="37">
        <v>0</v>
      </c>
      <c r="CT526" s="37">
        <v>0</v>
      </c>
      <c r="CU526" s="37">
        <v>0</v>
      </c>
      <c r="CV526" s="37">
        <v>0</v>
      </c>
      <c r="CW526" s="37">
        <v>0</v>
      </c>
      <c r="CX526" s="37">
        <v>0</v>
      </c>
      <c r="CY526" s="37">
        <v>0</v>
      </c>
      <c r="CZ526" s="37">
        <v>0</v>
      </c>
      <c r="DA526" s="37">
        <v>0</v>
      </c>
      <c r="DB526" s="37">
        <v>0</v>
      </c>
      <c r="DC526" s="37">
        <v>0</v>
      </c>
      <c r="DD526" s="37">
        <v>0</v>
      </c>
      <c r="DE526" s="37">
        <v>0</v>
      </c>
      <c r="DF526" s="37">
        <v>0</v>
      </c>
      <c r="DG526" s="37">
        <v>0</v>
      </c>
      <c r="DH526" s="37">
        <v>0</v>
      </c>
      <c r="DI526" s="37">
        <v>0</v>
      </c>
      <c r="DJ526" s="37">
        <v>0</v>
      </c>
      <c r="DK526" s="37">
        <v>0</v>
      </c>
      <c r="DL526" s="37">
        <v>0</v>
      </c>
      <c r="DM526" s="37">
        <v>0</v>
      </c>
      <c r="DN526" s="37">
        <v>0</v>
      </c>
      <c r="DO526" s="37">
        <v>201000</v>
      </c>
      <c r="DP526" s="37">
        <v>0</v>
      </c>
      <c r="DQ526" s="37">
        <v>0</v>
      </c>
      <c r="DR526" s="37">
        <v>0</v>
      </c>
      <c r="DS526" s="37">
        <v>0</v>
      </c>
      <c r="DT526" s="37">
        <v>0</v>
      </c>
      <c r="DU526" s="37">
        <v>0</v>
      </c>
      <c r="DV526" s="37">
        <v>0</v>
      </c>
      <c r="DW526" s="37">
        <v>0</v>
      </c>
      <c r="DX526" s="37">
        <v>201000</v>
      </c>
      <c r="DY526" s="37">
        <v>0</v>
      </c>
      <c r="DZ526" s="37">
        <v>0</v>
      </c>
      <c r="EA526" s="37">
        <v>0</v>
      </c>
      <c r="EB526" s="37">
        <v>0</v>
      </c>
      <c r="EC526" s="37">
        <v>0</v>
      </c>
      <c r="ED526" s="37">
        <v>0</v>
      </c>
      <c r="EE526" s="37">
        <v>0</v>
      </c>
      <c r="EF526" s="37">
        <v>0</v>
      </c>
      <c r="EG526" s="37">
        <v>0</v>
      </c>
      <c r="EH526" s="37">
        <v>0</v>
      </c>
      <c r="EI526" s="37">
        <v>0</v>
      </c>
      <c r="EJ526" s="37">
        <v>0</v>
      </c>
      <c r="EK526" s="161" t="s">
        <v>3690</v>
      </c>
      <c r="EL526" s="294" t="s">
        <v>1124</v>
      </c>
    </row>
    <row r="527" spans="1:142" ht="15" customHeight="1" x14ac:dyDescent="0.35">
      <c r="A527" s="34"/>
      <c r="B527" s="313">
        <v>98050</v>
      </c>
      <c r="C527" s="8" t="s">
        <v>1017</v>
      </c>
      <c r="D527" s="18">
        <v>9</v>
      </c>
      <c r="E527" s="155">
        <v>59257</v>
      </c>
      <c r="F527" s="36">
        <v>18582</v>
      </c>
      <c r="G527" s="37">
        <v>0</v>
      </c>
      <c r="H527" s="37">
        <v>0</v>
      </c>
      <c r="I527" s="37">
        <v>0</v>
      </c>
      <c r="J527" s="37">
        <v>0</v>
      </c>
      <c r="K527" s="37">
        <v>0</v>
      </c>
      <c r="L527" s="37">
        <v>0</v>
      </c>
      <c r="M527" s="37">
        <v>59257</v>
      </c>
      <c r="N527" s="37">
        <v>18582</v>
      </c>
      <c r="O527" s="37">
        <v>0</v>
      </c>
      <c r="P527" s="37">
        <v>0</v>
      </c>
      <c r="Q527" s="37">
        <v>39208</v>
      </c>
      <c r="R527" s="37">
        <v>0</v>
      </c>
      <c r="S527" s="37">
        <v>0</v>
      </c>
      <c r="T527" s="37">
        <v>0</v>
      </c>
      <c r="U527" s="37">
        <v>0</v>
      </c>
      <c r="V527" s="37">
        <v>0</v>
      </c>
      <c r="W527" s="37">
        <v>20049</v>
      </c>
      <c r="X527" s="37">
        <v>18582</v>
      </c>
      <c r="Y527" s="37">
        <v>0</v>
      </c>
      <c r="Z527" s="37">
        <v>0</v>
      </c>
      <c r="AA527" s="37">
        <v>59257</v>
      </c>
      <c r="AB527" s="37">
        <v>18582</v>
      </c>
      <c r="AC527" s="37">
        <v>0</v>
      </c>
      <c r="AD527" s="37">
        <v>0</v>
      </c>
      <c r="AE527" s="37">
        <v>0</v>
      </c>
      <c r="AF527" s="168">
        <v>0.02</v>
      </c>
      <c r="AG527" s="37">
        <v>4949318</v>
      </c>
      <c r="AH527" s="37">
        <v>28595.7</v>
      </c>
      <c r="AI527" s="37">
        <v>34473.65</v>
      </c>
      <c r="AJ527" s="37">
        <v>29750.97</v>
      </c>
      <c r="AK527" s="37">
        <v>30345.99</v>
      </c>
      <c r="AL527" s="37">
        <v>30952.91</v>
      </c>
      <c r="AM527" s="37">
        <v>31571.96</v>
      </c>
      <c r="AN527" s="37">
        <v>32203.4</v>
      </c>
      <c r="AO527" s="37">
        <v>32847.47</v>
      </c>
      <c r="AP527" s="37">
        <v>33504.42</v>
      </c>
      <c r="AQ527" s="37">
        <v>34174.51</v>
      </c>
      <c r="AR527" s="37">
        <v>318420.98</v>
      </c>
      <c r="AS527" s="37">
        <v>0</v>
      </c>
      <c r="AT527" s="37">
        <v>0</v>
      </c>
      <c r="AU527" s="37">
        <v>596773.43999999994</v>
      </c>
      <c r="AV527" s="37">
        <v>0</v>
      </c>
      <c r="AW527" s="37">
        <v>0</v>
      </c>
      <c r="AX527" s="37">
        <v>0</v>
      </c>
      <c r="AY527" s="37">
        <v>0</v>
      </c>
      <c r="AZ527" s="37">
        <v>0</v>
      </c>
      <c r="BA527" s="37">
        <v>0</v>
      </c>
      <c r="BB527" s="37">
        <v>0</v>
      </c>
      <c r="BC527" s="37">
        <v>0</v>
      </c>
      <c r="BD527" s="37">
        <v>596773.43999999994</v>
      </c>
      <c r="BE527" s="37">
        <v>0</v>
      </c>
      <c r="BF527" s="37">
        <v>0</v>
      </c>
      <c r="BG527" s="37">
        <v>0</v>
      </c>
      <c r="BH527" s="37">
        <v>0</v>
      </c>
      <c r="BI527" s="37">
        <v>0</v>
      </c>
      <c r="BJ527" s="37">
        <v>0</v>
      </c>
      <c r="BK527" s="37">
        <v>0</v>
      </c>
      <c r="BL527" s="37">
        <v>0</v>
      </c>
      <c r="BM527" s="37">
        <v>0</v>
      </c>
      <c r="BN527" s="37">
        <v>0</v>
      </c>
      <c r="BO527" s="37">
        <v>0</v>
      </c>
      <c r="BP527" s="37">
        <v>0</v>
      </c>
      <c r="BQ527" s="37">
        <v>0</v>
      </c>
      <c r="BR527" s="37">
        <v>0</v>
      </c>
      <c r="BS527" s="37">
        <v>0</v>
      </c>
      <c r="BT527" s="37">
        <v>0</v>
      </c>
      <c r="BU527" s="37">
        <v>0</v>
      </c>
      <c r="BV527" s="37">
        <v>0</v>
      </c>
      <c r="BW527" s="37">
        <v>0</v>
      </c>
      <c r="BX527" s="37">
        <v>0</v>
      </c>
      <c r="BY527" s="37">
        <v>0</v>
      </c>
      <c r="BZ527" s="37">
        <v>0</v>
      </c>
      <c r="CA527" s="37">
        <v>0</v>
      </c>
      <c r="CB527" s="37">
        <v>0</v>
      </c>
      <c r="CC527" s="37">
        <v>0</v>
      </c>
      <c r="CD527" s="37">
        <v>0</v>
      </c>
      <c r="CE527" s="37">
        <v>0</v>
      </c>
      <c r="CF527" s="37">
        <v>0</v>
      </c>
      <c r="CG527" s="37">
        <v>0</v>
      </c>
      <c r="CH527" s="37">
        <v>0</v>
      </c>
      <c r="CI527" s="37">
        <v>0</v>
      </c>
      <c r="CJ527" s="37">
        <v>0</v>
      </c>
      <c r="CK527" s="37">
        <v>0</v>
      </c>
      <c r="CL527" s="37">
        <v>0</v>
      </c>
      <c r="CM527" s="37">
        <v>0</v>
      </c>
      <c r="CN527" s="37">
        <v>0</v>
      </c>
      <c r="CO527" s="37">
        <v>1019</v>
      </c>
      <c r="CP527" s="37">
        <v>0</v>
      </c>
      <c r="CQ527" s="37">
        <v>243000</v>
      </c>
      <c r="CR527" s="37">
        <v>0</v>
      </c>
      <c r="CS527" s="37">
        <v>0</v>
      </c>
      <c r="CT527" s="37">
        <v>0</v>
      </c>
      <c r="CU527" s="37">
        <v>0</v>
      </c>
      <c r="CV527" s="37">
        <v>0</v>
      </c>
      <c r="CW527" s="37">
        <v>0</v>
      </c>
      <c r="CX527" s="37">
        <v>0</v>
      </c>
      <c r="CY527" s="37">
        <v>0</v>
      </c>
      <c r="CZ527" s="37">
        <v>243000</v>
      </c>
      <c r="DA527" s="37">
        <v>0</v>
      </c>
      <c r="DB527" s="37">
        <v>0</v>
      </c>
      <c r="DC527" s="37">
        <v>300000</v>
      </c>
      <c r="DD527" s="37">
        <v>0</v>
      </c>
      <c r="DE527" s="37">
        <v>0</v>
      </c>
      <c r="DF527" s="37">
        <v>0</v>
      </c>
      <c r="DG527" s="37">
        <v>0</v>
      </c>
      <c r="DH527" s="37">
        <v>0</v>
      </c>
      <c r="DI527" s="37">
        <v>0</v>
      </c>
      <c r="DJ527" s="37">
        <v>0</v>
      </c>
      <c r="DK527" s="37">
        <v>0</v>
      </c>
      <c r="DL527" s="37">
        <v>300000</v>
      </c>
      <c r="DM527" s="37">
        <v>0</v>
      </c>
      <c r="DN527" s="37">
        <v>0</v>
      </c>
      <c r="DO527" s="37">
        <v>0</v>
      </c>
      <c r="DP527" s="37">
        <v>0</v>
      </c>
      <c r="DQ527" s="37">
        <v>0</v>
      </c>
      <c r="DR527" s="37">
        <v>0</v>
      </c>
      <c r="DS527" s="37">
        <v>0</v>
      </c>
      <c r="DT527" s="37">
        <v>0</v>
      </c>
      <c r="DU527" s="37">
        <v>0</v>
      </c>
      <c r="DV527" s="37">
        <v>0</v>
      </c>
      <c r="DW527" s="37">
        <v>0</v>
      </c>
      <c r="DX527" s="37">
        <v>0</v>
      </c>
      <c r="DY527" s="37">
        <v>0</v>
      </c>
      <c r="DZ527" s="37">
        <v>0</v>
      </c>
      <c r="EA527" s="37">
        <v>0</v>
      </c>
      <c r="EB527" s="37">
        <v>0</v>
      </c>
      <c r="EC527" s="37">
        <v>0</v>
      </c>
      <c r="ED527" s="37">
        <v>0</v>
      </c>
      <c r="EE527" s="37">
        <v>0</v>
      </c>
      <c r="EF527" s="37">
        <v>0</v>
      </c>
      <c r="EG527" s="37">
        <v>0</v>
      </c>
      <c r="EH527" s="37">
        <v>0</v>
      </c>
      <c r="EI527" s="37">
        <v>0</v>
      </c>
      <c r="EJ527" s="37">
        <v>0</v>
      </c>
      <c r="EK527" s="161" t="s">
        <v>2524</v>
      </c>
      <c r="EL527" s="294" t="s">
        <v>1124</v>
      </c>
    </row>
    <row r="528" spans="1:142" ht="15" customHeight="1" x14ac:dyDescent="0.35">
      <c r="A528" s="34"/>
      <c r="B528" s="313">
        <v>91025</v>
      </c>
      <c r="C528" s="8" t="s">
        <v>941</v>
      </c>
      <c r="D528" s="18">
        <v>2</v>
      </c>
      <c r="E528" s="155">
        <v>885173</v>
      </c>
      <c r="F528" s="36">
        <v>1082494</v>
      </c>
      <c r="G528" s="37">
        <v>43875</v>
      </c>
      <c r="H528" s="37">
        <v>82725</v>
      </c>
      <c r="I528" s="37">
        <v>126315</v>
      </c>
      <c r="J528" s="37">
        <v>238162</v>
      </c>
      <c r="K528" s="37">
        <v>19459</v>
      </c>
      <c r="L528" s="37">
        <v>19458</v>
      </c>
      <c r="M528" s="37">
        <v>1074822</v>
      </c>
      <c r="N528" s="37">
        <v>1422839</v>
      </c>
      <c r="O528" s="37">
        <v>143644</v>
      </c>
      <c r="P528" s="37">
        <v>0</v>
      </c>
      <c r="Q528" s="37">
        <v>992829</v>
      </c>
      <c r="R528" s="37">
        <v>614709</v>
      </c>
      <c r="S528" s="37">
        <v>53348</v>
      </c>
      <c r="T528" s="37">
        <v>0</v>
      </c>
      <c r="U528" s="37">
        <v>14769</v>
      </c>
      <c r="V528" s="37">
        <v>38961</v>
      </c>
      <c r="W528" s="37">
        <v>319701</v>
      </c>
      <c r="X528" s="37">
        <v>319700</v>
      </c>
      <c r="Y528" s="37">
        <v>0</v>
      </c>
      <c r="Z528" s="37">
        <v>0</v>
      </c>
      <c r="AA528" s="37">
        <v>1524291</v>
      </c>
      <c r="AB528" s="37">
        <v>973370</v>
      </c>
      <c r="AC528" s="37">
        <v>0</v>
      </c>
      <c r="AD528" s="37">
        <v>0</v>
      </c>
      <c r="AE528" s="37">
        <v>0</v>
      </c>
      <c r="AF528" s="168">
        <v>0.02</v>
      </c>
      <c r="AG528" s="37">
        <v>151222156.63999999</v>
      </c>
      <c r="AH528" s="37">
        <v>1467201.29</v>
      </c>
      <c r="AI528" s="37">
        <v>1461067.68</v>
      </c>
      <c r="AJ528" s="37">
        <v>1337050.6000000001</v>
      </c>
      <c r="AK528" s="37">
        <v>1330669.19</v>
      </c>
      <c r="AL528" s="37">
        <v>1357282.57</v>
      </c>
      <c r="AM528" s="37">
        <v>1390059.03</v>
      </c>
      <c r="AN528" s="37">
        <v>1412116.79</v>
      </c>
      <c r="AO528" s="37">
        <v>1446334.58</v>
      </c>
      <c r="AP528" s="37">
        <v>1469166.3</v>
      </c>
      <c r="AQ528" s="37">
        <v>1504644.6</v>
      </c>
      <c r="AR528" s="37">
        <v>14175592.629999999</v>
      </c>
      <c r="AS528" s="37">
        <v>3944518.51</v>
      </c>
      <c r="AT528" s="37">
        <v>0</v>
      </c>
      <c r="AU528" s="37">
        <v>185710.34</v>
      </c>
      <c r="AV528" s="37">
        <v>0</v>
      </c>
      <c r="AW528" s="37">
        <v>27602.02</v>
      </c>
      <c r="AX528" s="37">
        <v>28154.06</v>
      </c>
      <c r="AY528" s="37">
        <v>51690.86</v>
      </c>
      <c r="AZ528" s="37">
        <v>0</v>
      </c>
      <c r="BA528" s="37">
        <v>0</v>
      </c>
      <c r="BB528" s="37">
        <v>755774.1</v>
      </c>
      <c r="BC528" s="37">
        <v>0</v>
      </c>
      <c r="BD528" s="37">
        <v>1048931.3800000001</v>
      </c>
      <c r="BE528" s="37">
        <v>0</v>
      </c>
      <c r="BF528" s="37">
        <v>3981705</v>
      </c>
      <c r="BG528" s="37">
        <v>420000</v>
      </c>
      <c r="BH528" s="37">
        <v>1450000</v>
      </c>
      <c r="BI528" s="37">
        <v>130000</v>
      </c>
      <c r="BJ528" s="37">
        <v>0</v>
      </c>
      <c r="BK528" s="37">
        <v>0</v>
      </c>
      <c r="BL528" s="37">
        <v>0</v>
      </c>
      <c r="BM528" s="37">
        <v>0</v>
      </c>
      <c r="BN528" s="37">
        <v>0</v>
      </c>
      <c r="BO528" s="37">
        <v>0</v>
      </c>
      <c r="BP528" s="37">
        <v>5981705</v>
      </c>
      <c r="BQ528" s="37">
        <v>0</v>
      </c>
      <c r="BR528" s="37">
        <v>2688195</v>
      </c>
      <c r="BS528" s="37">
        <v>1500000</v>
      </c>
      <c r="BT528" s="37">
        <v>2000000</v>
      </c>
      <c r="BU528" s="37">
        <v>0</v>
      </c>
      <c r="BV528" s="37">
        <v>0</v>
      </c>
      <c r="BW528" s="37">
        <v>0</v>
      </c>
      <c r="BX528" s="37">
        <v>0</v>
      </c>
      <c r="BY528" s="37">
        <v>0</v>
      </c>
      <c r="BZ528" s="37">
        <v>0</v>
      </c>
      <c r="CA528" s="37">
        <v>0</v>
      </c>
      <c r="CB528" s="37">
        <v>6188195</v>
      </c>
      <c r="CC528" s="37">
        <v>0</v>
      </c>
      <c r="CD528" s="37">
        <v>250000</v>
      </c>
      <c r="CE528" s="37">
        <v>0</v>
      </c>
      <c r="CF528" s="37">
        <v>0</v>
      </c>
      <c r="CG528" s="37">
        <v>0</v>
      </c>
      <c r="CH528" s="37">
        <v>0</v>
      </c>
      <c r="CI528" s="37">
        <v>0</v>
      </c>
      <c r="CJ528" s="37">
        <v>0</v>
      </c>
      <c r="CK528" s="37">
        <v>0</v>
      </c>
      <c r="CL528" s="37">
        <v>0</v>
      </c>
      <c r="CM528" s="37">
        <v>0</v>
      </c>
      <c r="CN528" s="37">
        <v>250000</v>
      </c>
      <c r="CO528" s="37">
        <v>0</v>
      </c>
      <c r="CP528" s="37">
        <v>0</v>
      </c>
      <c r="CQ528" s="37">
        <v>0</v>
      </c>
      <c r="CR528" s="37">
        <v>0</v>
      </c>
      <c r="CS528" s="37">
        <v>0</v>
      </c>
      <c r="CT528" s="37">
        <v>0</v>
      </c>
      <c r="CU528" s="37">
        <v>0</v>
      </c>
      <c r="CV528" s="37">
        <v>0</v>
      </c>
      <c r="CW528" s="37">
        <v>0</v>
      </c>
      <c r="CX528" s="37">
        <v>0</v>
      </c>
      <c r="CY528" s="37">
        <v>0</v>
      </c>
      <c r="CZ528" s="37">
        <v>0</v>
      </c>
      <c r="DA528" s="37">
        <v>0</v>
      </c>
      <c r="DB528" s="37">
        <v>0</v>
      </c>
      <c r="DC528" s="37">
        <v>0</v>
      </c>
      <c r="DD528" s="37">
        <v>0</v>
      </c>
      <c r="DE528" s="37">
        <v>0</v>
      </c>
      <c r="DF528" s="37">
        <v>0</v>
      </c>
      <c r="DG528" s="37">
        <v>0</v>
      </c>
      <c r="DH528" s="37">
        <v>0</v>
      </c>
      <c r="DI528" s="37">
        <v>0</v>
      </c>
      <c r="DJ528" s="37">
        <v>0</v>
      </c>
      <c r="DK528" s="37">
        <v>0</v>
      </c>
      <c r="DL528" s="37">
        <v>0</v>
      </c>
      <c r="DM528" s="37">
        <v>0</v>
      </c>
      <c r="DN528" s="37">
        <v>0</v>
      </c>
      <c r="DO528" s="37">
        <v>0</v>
      </c>
      <c r="DP528" s="37">
        <v>0</v>
      </c>
      <c r="DQ528" s="37">
        <v>0</v>
      </c>
      <c r="DR528" s="37">
        <v>0</v>
      </c>
      <c r="DS528" s="37">
        <v>0</v>
      </c>
      <c r="DT528" s="37">
        <v>0</v>
      </c>
      <c r="DU528" s="37">
        <v>0</v>
      </c>
      <c r="DV528" s="37">
        <v>0</v>
      </c>
      <c r="DW528" s="37">
        <v>0</v>
      </c>
      <c r="DX528" s="37">
        <v>0</v>
      </c>
      <c r="DY528" s="37">
        <v>0</v>
      </c>
      <c r="DZ528" s="37">
        <v>0</v>
      </c>
      <c r="EA528" s="37">
        <v>0</v>
      </c>
      <c r="EB528" s="37">
        <v>0</v>
      </c>
      <c r="EC528" s="37">
        <v>0</v>
      </c>
      <c r="ED528" s="37">
        <v>0</v>
      </c>
      <c r="EE528" s="37">
        <v>0</v>
      </c>
      <c r="EF528" s="37">
        <v>0</v>
      </c>
      <c r="EG528" s="37">
        <v>0</v>
      </c>
      <c r="EH528" s="37">
        <v>0</v>
      </c>
      <c r="EI528" s="37">
        <v>0</v>
      </c>
      <c r="EJ528" s="37">
        <v>0</v>
      </c>
      <c r="EK528" s="161" t="s">
        <v>2528</v>
      </c>
      <c r="EL528" s="294" t="s">
        <v>1124</v>
      </c>
    </row>
    <row r="529" spans="1:142" ht="15" customHeight="1" x14ac:dyDescent="0.35">
      <c r="A529" s="34"/>
      <c r="B529" s="313">
        <v>88010</v>
      </c>
      <c r="C529" s="8" t="s">
        <v>912</v>
      </c>
      <c r="D529" s="18">
        <v>8</v>
      </c>
      <c r="E529" s="155"/>
      <c r="F529" s="36"/>
      <c r="G529" s="37"/>
      <c r="H529" s="37"/>
      <c r="I529" s="37"/>
      <c r="J529" s="37"/>
      <c r="K529" s="37"/>
      <c r="L529" s="37"/>
      <c r="M529" s="37" t="s">
        <v>1124</v>
      </c>
      <c r="N529" s="37" t="s">
        <v>1124</v>
      </c>
      <c r="O529" s="37"/>
      <c r="P529" s="37"/>
      <c r="Q529" s="37"/>
      <c r="R529" s="37"/>
      <c r="S529" s="37"/>
      <c r="T529" s="37"/>
      <c r="U529" s="37"/>
      <c r="V529" s="37"/>
      <c r="W529" s="37"/>
      <c r="X529" s="37"/>
      <c r="Y529" s="37"/>
      <c r="Z529" s="37"/>
      <c r="AA529" s="37" t="s">
        <v>1124</v>
      </c>
      <c r="AB529" s="37" t="s">
        <v>1124</v>
      </c>
      <c r="AC529" s="37"/>
      <c r="AD529" s="37"/>
      <c r="AE529" s="37"/>
      <c r="AF529" s="168"/>
      <c r="AG529" s="37"/>
      <c r="AH529" s="37"/>
      <c r="AI529" s="37"/>
      <c r="AJ529" s="37"/>
      <c r="AK529" s="37"/>
      <c r="AL529" s="37"/>
      <c r="AM529" s="37"/>
      <c r="AN529" s="37"/>
      <c r="AO529" s="37"/>
      <c r="AP529" s="37"/>
      <c r="AQ529" s="37"/>
      <c r="AR529" s="37" t="s">
        <v>1124</v>
      </c>
      <c r="AS529" s="37"/>
      <c r="AT529" s="37"/>
      <c r="AU529" s="37"/>
      <c r="AV529" s="37"/>
      <c r="AW529" s="37"/>
      <c r="AX529" s="37"/>
      <c r="AY529" s="37"/>
      <c r="AZ529" s="37"/>
      <c r="BA529" s="37"/>
      <c r="BB529" s="37"/>
      <c r="BC529" s="37"/>
      <c r="BD529" s="37" t="s">
        <v>1124</v>
      </c>
      <c r="BE529" s="37"/>
      <c r="BF529" s="37"/>
      <c r="BG529" s="37"/>
      <c r="BH529" s="37"/>
      <c r="BI529" s="37"/>
      <c r="BJ529" s="37"/>
      <c r="BK529" s="37"/>
      <c r="BL529" s="37"/>
      <c r="BM529" s="37"/>
      <c r="BN529" s="37"/>
      <c r="BO529" s="37"/>
      <c r="BP529" s="37">
        <v>0</v>
      </c>
      <c r="BQ529" s="37"/>
      <c r="BR529" s="37"/>
      <c r="BS529" s="37"/>
      <c r="BT529" s="37"/>
      <c r="BU529" s="37"/>
      <c r="BV529" s="37"/>
      <c r="BW529" s="37"/>
      <c r="BX529" s="37"/>
      <c r="BY529" s="37"/>
      <c r="BZ529" s="37"/>
      <c r="CA529" s="37"/>
      <c r="CB529" s="37" t="s">
        <v>1124</v>
      </c>
      <c r="CC529" s="37"/>
      <c r="CD529" s="37"/>
      <c r="CE529" s="37"/>
      <c r="CF529" s="37"/>
      <c r="CG529" s="37"/>
      <c r="CH529" s="37"/>
      <c r="CI529" s="37"/>
      <c r="CJ529" s="37"/>
      <c r="CK529" s="37"/>
      <c r="CL529" s="37"/>
      <c r="CM529" s="37"/>
      <c r="CN529" s="37" t="s">
        <v>1124</v>
      </c>
      <c r="CO529" s="37"/>
      <c r="CP529" s="37"/>
      <c r="CQ529" s="37"/>
      <c r="CR529" s="37"/>
      <c r="CS529" s="37"/>
      <c r="CT529" s="37"/>
      <c r="CU529" s="37"/>
      <c r="CV529" s="37"/>
      <c r="CW529" s="37"/>
      <c r="CX529" s="37"/>
      <c r="CY529" s="37"/>
      <c r="CZ529" s="37" t="s">
        <v>1124</v>
      </c>
      <c r="DA529" s="37"/>
      <c r="DB529" s="37"/>
      <c r="DC529" s="37"/>
      <c r="DD529" s="37"/>
      <c r="DE529" s="37"/>
      <c r="DF529" s="37"/>
      <c r="DG529" s="37"/>
      <c r="DH529" s="37"/>
      <c r="DI529" s="37"/>
      <c r="DJ529" s="37"/>
      <c r="DK529" s="37"/>
      <c r="DL529" s="37" t="s">
        <v>1124</v>
      </c>
      <c r="DM529" s="37"/>
      <c r="DN529" s="37"/>
      <c r="DO529" s="37"/>
      <c r="DP529" s="37"/>
      <c r="DQ529" s="37"/>
      <c r="DR529" s="37"/>
      <c r="DS529" s="37"/>
      <c r="DT529" s="37"/>
      <c r="DU529" s="37"/>
      <c r="DV529" s="37"/>
      <c r="DW529" s="37"/>
      <c r="DX529" s="37" t="s">
        <v>1124</v>
      </c>
      <c r="DY529" s="37"/>
      <c r="DZ529" s="37"/>
      <c r="EA529" s="37"/>
      <c r="EB529" s="37"/>
      <c r="EC529" s="37"/>
      <c r="ED529" s="37"/>
      <c r="EE529" s="37"/>
      <c r="EF529" s="37"/>
      <c r="EG529" s="37"/>
      <c r="EH529" s="37"/>
      <c r="EI529" s="37"/>
      <c r="EJ529" s="37" t="s">
        <v>1124</v>
      </c>
      <c r="EK529" s="161"/>
      <c r="EL529" s="294"/>
    </row>
    <row r="530" spans="1:142" ht="15" customHeight="1" x14ac:dyDescent="0.35">
      <c r="A530" s="34"/>
      <c r="B530" s="313">
        <v>87015</v>
      </c>
      <c r="C530" s="8" t="s">
        <v>892</v>
      </c>
      <c r="D530" s="18">
        <v>8</v>
      </c>
      <c r="E530" s="155"/>
      <c r="F530" s="36"/>
      <c r="G530" s="37"/>
      <c r="H530" s="37"/>
      <c r="I530" s="37"/>
      <c r="J530" s="37"/>
      <c r="K530" s="37"/>
      <c r="L530" s="37"/>
      <c r="M530" s="37" t="s">
        <v>1124</v>
      </c>
      <c r="N530" s="37" t="s">
        <v>1124</v>
      </c>
      <c r="O530" s="37"/>
      <c r="P530" s="37"/>
      <c r="Q530" s="37"/>
      <c r="R530" s="37"/>
      <c r="S530" s="37"/>
      <c r="T530" s="37"/>
      <c r="U530" s="37"/>
      <c r="V530" s="37"/>
      <c r="W530" s="37"/>
      <c r="X530" s="37"/>
      <c r="Y530" s="37"/>
      <c r="Z530" s="37"/>
      <c r="AA530" s="37" t="s">
        <v>1124</v>
      </c>
      <c r="AB530" s="37" t="s">
        <v>1124</v>
      </c>
      <c r="AC530" s="37"/>
      <c r="AD530" s="37"/>
      <c r="AE530" s="37"/>
      <c r="AF530" s="168"/>
      <c r="AG530" s="37"/>
      <c r="AH530" s="37"/>
      <c r="AI530" s="37"/>
      <c r="AJ530" s="37"/>
      <c r="AK530" s="37"/>
      <c r="AL530" s="37"/>
      <c r="AM530" s="37"/>
      <c r="AN530" s="37"/>
      <c r="AO530" s="37"/>
      <c r="AP530" s="37"/>
      <c r="AQ530" s="37"/>
      <c r="AR530" s="37" t="s">
        <v>1124</v>
      </c>
      <c r="AS530" s="37"/>
      <c r="AT530" s="37"/>
      <c r="AU530" s="37"/>
      <c r="AV530" s="37"/>
      <c r="AW530" s="37"/>
      <c r="AX530" s="37"/>
      <c r="AY530" s="37"/>
      <c r="AZ530" s="37"/>
      <c r="BA530" s="37"/>
      <c r="BB530" s="37"/>
      <c r="BC530" s="37"/>
      <c r="BD530" s="37" t="s">
        <v>1124</v>
      </c>
      <c r="BE530" s="37"/>
      <c r="BF530" s="37"/>
      <c r="BG530" s="37"/>
      <c r="BH530" s="37"/>
      <c r="BI530" s="37"/>
      <c r="BJ530" s="37"/>
      <c r="BK530" s="37"/>
      <c r="BL530" s="37"/>
      <c r="BM530" s="37"/>
      <c r="BN530" s="37"/>
      <c r="BO530" s="37"/>
      <c r="BP530" s="37">
        <v>0</v>
      </c>
      <c r="BQ530" s="37"/>
      <c r="BR530" s="37"/>
      <c r="BS530" s="37"/>
      <c r="BT530" s="37"/>
      <c r="BU530" s="37"/>
      <c r="BV530" s="37"/>
      <c r="BW530" s="37"/>
      <c r="BX530" s="37"/>
      <c r="BY530" s="37"/>
      <c r="BZ530" s="37"/>
      <c r="CA530" s="37"/>
      <c r="CB530" s="37" t="s">
        <v>1124</v>
      </c>
      <c r="CC530" s="37"/>
      <c r="CD530" s="37"/>
      <c r="CE530" s="37"/>
      <c r="CF530" s="37"/>
      <c r="CG530" s="37"/>
      <c r="CH530" s="37"/>
      <c r="CI530" s="37"/>
      <c r="CJ530" s="37"/>
      <c r="CK530" s="37"/>
      <c r="CL530" s="37"/>
      <c r="CM530" s="37"/>
      <c r="CN530" s="37" t="s">
        <v>1124</v>
      </c>
      <c r="CO530" s="37"/>
      <c r="CP530" s="37"/>
      <c r="CQ530" s="37"/>
      <c r="CR530" s="37"/>
      <c r="CS530" s="37"/>
      <c r="CT530" s="37"/>
      <c r="CU530" s="37"/>
      <c r="CV530" s="37"/>
      <c r="CW530" s="37"/>
      <c r="CX530" s="37"/>
      <c r="CY530" s="37"/>
      <c r="CZ530" s="37" t="s">
        <v>1124</v>
      </c>
      <c r="DA530" s="37"/>
      <c r="DB530" s="37"/>
      <c r="DC530" s="37"/>
      <c r="DD530" s="37"/>
      <c r="DE530" s="37"/>
      <c r="DF530" s="37"/>
      <c r="DG530" s="37"/>
      <c r="DH530" s="37"/>
      <c r="DI530" s="37"/>
      <c r="DJ530" s="37"/>
      <c r="DK530" s="37"/>
      <c r="DL530" s="37" t="s">
        <v>1124</v>
      </c>
      <c r="DM530" s="37"/>
      <c r="DN530" s="37"/>
      <c r="DO530" s="37"/>
      <c r="DP530" s="37"/>
      <c r="DQ530" s="37"/>
      <c r="DR530" s="37"/>
      <c r="DS530" s="37"/>
      <c r="DT530" s="37"/>
      <c r="DU530" s="37"/>
      <c r="DV530" s="37"/>
      <c r="DW530" s="37"/>
      <c r="DX530" s="37" t="s">
        <v>1124</v>
      </c>
      <c r="DY530" s="37"/>
      <c r="DZ530" s="37"/>
      <c r="EA530" s="37"/>
      <c r="EB530" s="37"/>
      <c r="EC530" s="37"/>
      <c r="ED530" s="37"/>
      <c r="EE530" s="37"/>
      <c r="EF530" s="37"/>
      <c r="EG530" s="37"/>
      <c r="EH530" s="37"/>
      <c r="EI530" s="37"/>
      <c r="EJ530" s="37" t="s">
        <v>1124</v>
      </c>
      <c r="EK530" s="161"/>
      <c r="EL530" s="294"/>
    </row>
    <row r="531" spans="1:142" ht="15" customHeight="1" x14ac:dyDescent="0.35">
      <c r="A531" s="34"/>
      <c r="B531" s="313">
        <v>73020</v>
      </c>
      <c r="C531" s="8" t="s">
        <v>737</v>
      </c>
      <c r="D531" s="18">
        <v>15</v>
      </c>
      <c r="E531" s="155">
        <v>2240425</v>
      </c>
      <c r="F531" s="36">
        <v>1813763</v>
      </c>
      <c r="G531" s="37">
        <v>235461</v>
      </c>
      <c r="H531" s="37">
        <v>297309</v>
      </c>
      <c r="I531" s="37">
        <v>1014880</v>
      </c>
      <c r="J531" s="37">
        <v>557580</v>
      </c>
      <c r="K531" s="37">
        <v>336063.75</v>
      </c>
      <c r="L531" s="37">
        <v>272064.45</v>
      </c>
      <c r="M531" s="37">
        <v>3826829.75</v>
      </c>
      <c r="N531" s="37">
        <v>2940716.45</v>
      </c>
      <c r="O531" s="37">
        <v>1036589</v>
      </c>
      <c r="P531" s="37">
        <v>0</v>
      </c>
      <c r="Q531" s="37">
        <v>878254.13</v>
      </c>
      <c r="R531" s="37">
        <v>0</v>
      </c>
      <c r="S531" s="37">
        <v>1192031</v>
      </c>
      <c r="T531" s="37">
        <v>16908</v>
      </c>
      <c r="U531" s="37">
        <v>97639</v>
      </c>
      <c r="V531" s="37">
        <v>26202</v>
      </c>
      <c r="W531" s="37">
        <v>1006382.2377777819</v>
      </c>
      <c r="X531" s="37">
        <v>2904303.8322222186</v>
      </c>
      <c r="Y531" s="37">
        <v>134700</v>
      </c>
      <c r="Z531" s="37">
        <v>0</v>
      </c>
      <c r="AA531" s="37">
        <v>4345595.3677777816</v>
      </c>
      <c r="AB531" s="37">
        <v>2947413.8322222186</v>
      </c>
      <c r="AC531" s="37">
        <v>525463</v>
      </c>
      <c r="AD531" s="37">
        <v>525463</v>
      </c>
      <c r="AE531" s="37">
        <v>1139937</v>
      </c>
      <c r="AF531" s="168">
        <v>0.02</v>
      </c>
      <c r="AG531" s="37">
        <v>261851382.71000001</v>
      </c>
      <c r="AH531" s="37">
        <v>2161699.06</v>
      </c>
      <c r="AI531" s="37">
        <v>2204933.04</v>
      </c>
      <c r="AJ531" s="37">
        <v>2249031.7000000002</v>
      </c>
      <c r="AK531" s="37">
        <v>2294012.34</v>
      </c>
      <c r="AL531" s="37">
        <v>2339892.58</v>
      </c>
      <c r="AM531" s="37">
        <v>2386690.4300000002</v>
      </c>
      <c r="AN531" s="37">
        <v>2434424.2400000002</v>
      </c>
      <c r="AO531" s="37">
        <v>2483112.73</v>
      </c>
      <c r="AP531" s="37">
        <v>2532774.98</v>
      </c>
      <c r="AQ531" s="37">
        <v>2583430.48</v>
      </c>
      <c r="AR531" s="37">
        <v>23670001.579999998</v>
      </c>
      <c r="AS531" s="37">
        <v>16713937.039999999</v>
      </c>
      <c r="AT531" s="37">
        <v>0</v>
      </c>
      <c r="AU531" s="37">
        <v>0</v>
      </c>
      <c r="AV531" s="37">
        <v>328974.48</v>
      </c>
      <c r="AW531" s="37">
        <v>0</v>
      </c>
      <c r="AX531" s="37">
        <v>0</v>
      </c>
      <c r="AY531" s="37">
        <v>0</v>
      </c>
      <c r="AZ531" s="37">
        <v>0</v>
      </c>
      <c r="BA531" s="37">
        <v>0</v>
      </c>
      <c r="BB531" s="37">
        <v>0</v>
      </c>
      <c r="BC531" s="37">
        <v>0</v>
      </c>
      <c r="BD531" s="37">
        <v>328974.48</v>
      </c>
      <c r="BE531" s="37">
        <v>382500</v>
      </c>
      <c r="BF531" s="37">
        <v>935000</v>
      </c>
      <c r="BG531" s="37">
        <v>2500000</v>
      </c>
      <c r="BH531" s="37">
        <v>1650000</v>
      </c>
      <c r="BI531" s="37">
        <v>0</v>
      </c>
      <c r="BJ531" s="37">
        <v>171454.67000586877</v>
      </c>
      <c r="BK531" s="37">
        <v>830250.78882836993</v>
      </c>
      <c r="BL531" s="37">
        <v>1079712.0624288963</v>
      </c>
      <c r="BM531" s="37">
        <v>1329173.3360294222</v>
      </c>
      <c r="BN531" s="37">
        <v>1578635.1427074431</v>
      </c>
      <c r="BO531" s="37">
        <v>0</v>
      </c>
      <c r="BP531" s="37">
        <v>10074226</v>
      </c>
      <c r="BQ531" s="37">
        <v>191500</v>
      </c>
      <c r="BR531" s="37">
        <v>0</v>
      </c>
      <c r="BS531" s="37">
        <v>0</v>
      </c>
      <c r="BT531" s="37">
        <v>0</v>
      </c>
      <c r="BU531" s="37">
        <v>0</v>
      </c>
      <c r="BV531" s="37">
        <v>0</v>
      </c>
      <c r="BW531" s="37">
        <v>0</v>
      </c>
      <c r="BX531" s="37">
        <v>0</v>
      </c>
      <c r="BY531" s="37">
        <v>0</v>
      </c>
      <c r="BZ531" s="37">
        <v>0</v>
      </c>
      <c r="CA531" s="37">
        <v>0</v>
      </c>
      <c r="CB531" s="37">
        <v>0</v>
      </c>
      <c r="CC531" s="37">
        <v>0</v>
      </c>
      <c r="CD531" s="37">
        <v>0</v>
      </c>
      <c r="CE531" s="37">
        <v>0</v>
      </c>
      <c r="CF531" s="37">
        <v>0</v>
      </c>
      <c r="CG531" s="37">
        <v>0</v>
      </c>
      <c r="CH531" s="37">
        <v>0</v>
      </c>
      <c r="CI531" s="37">
        <v>0</v>
      </c>
      <c r="CJ531" s="37">
        <v>0</v>
      </c>
      <c r="CK531" s="37">
        <v>0</v>
      </c>
      <c r="CL531" s="37">
        <v>0</v>
      </c>
      <c r="CM531" s="37">
        <v>0</v>
      </c>
      <c r="CN531" s="37">
        <v>0</v>
      </c>
      <c r="CO531" s="37">
        <v>0</v>
      </c>
      <c r="CP531" s="37">
        <v>0</v>
      </c>
      <c r="CQ531" s="37">
        <v>0</v>
      </c>
      <c r="CR531" s="37">
        <v>0</v>
      </c>
      <c r="CS531" s="37">
        <v>0</v>
      </c>
      <c r="CT531" s="37">
        <v>0</v>
      </c>
      <c r="CU531" s="37">
        <v>0</v>
      </c>
      <c r="CV531" s="37">
        <v>0</v>
      </c>
      <c r="CW531" s="37">
        <v>0</v>
      </c>
      <c r="CX531" s="37">
        <v>0</v>
      </c>
      <c r="CY531" s="37">
        <v>0</v>
      </c>
      <c r="CZ531" s="37">
        <v>0</v>
      </c>
      <c r="DA531" s="37">
        <v>0</v>
      </c>
      <c r="DB531" s="37">
        <v>0</v>
      </c>
      <c r="DC531" s="37">
        <v>0</v>
      </c>
      <c r="DD531" s="37">
        <v>0</v>
      </c>
      <c r="DE531" s="37">
        <v>0</v>
      </c>
      <c r="DF531" s="37">
        <v>0</v>
      </c>
      <c r="DG531" s="37">
        <v>0</v>
      </c>
      <c r="DH531" s="37">
        <v>0</v>
      </c>
      <c r="DI531" s="37">
        <v>0</v>
      </c>
      <c r="DJ531" s="37">
        <v>0</v>
      </c>
      <c r="DK531" s="37">
        <v>0</v>
      </c>
      <c r="DL531" s="37">
        <v>0</v>
      </c>
      <c r="DM531" s="37">
        <v>0</v>
      </c>
      <c r="DN531" s="37">
        <v>0</v>
      </c>
      <c r="DO531" s="37">
        <v>0</v>
      </c>
      <c r="DP531" s="37">
        <v>0</v>
      </c>
      <c r="DQ531" s="37">
        <v>0</v>
      </c>
      <c r="DR531" s="37">
        <v>0</v>
      </c>
      <c r="DS531" s="37">
        <v>0</v>
      </c>
      <c r="DT531" s="37">
        <v>0</v>
      </c>
      <c r="DU531" s="37">
        <v>0</v>
      </c>
      <c r="DV531" s="37">
        <v>0</v>
      </c>
      <c r="DW531" s="37">
        <v>0</v>
      </c>
      <c r="DX531" s="37">
        <v>0</v>
      </c>
      <c r="DY531" s="37">
        <v>0</v>
      </c>
      <c r="DZ531" s="37">
        <v>0</v>
      </c>
      <c r="EA531" s="37">
        <v>0</v>
      </c>
      <c r="EB531" s="37">
        <v>0</v>
      </c>
      <c r="EC531" s="37">
        <v>0</v>
      </c>
      <c r="ED531" s="37">
        <v>0</v>
      </c>
      <c r="EE531" s="37">
        <v>0</v>
      </c>
      <c r="EF531" s="37">
        <v>0</v>
      </c>
      <c r="EG531" s="37">
        <v>0</v>
      </c>
      <c r="EH531" s="37">
        <v>0</v>
      </c>
      <c r="EI531" s="37">
        <v>0</v>
      </c>
      <c r="EJ531" s="37">
        <v>0</v>
      </c>
      <c r="EK531" s="161" t="s">
        <v>2534</v>
      </c>
      <c r="EL531" s="294" t="s">
        <v>1124</v>
      </c>
    </row>
    <row r="532" spans="1:142" ht="15" customHeight="1" x14ac:dyDescent="0.35">
      <c r="A532" s="34"/>
      <c r="B532" s="313">
        <v>55037</v>
      </c>
      <c r="C532" s="8" t="s">
        <v>563</v>
      </c>
      <c r="D532" s="18">
        <v>16</v>
      </c>
      <c r="E532" s="155"/>
      <c r="F532" s="36"/>
      <c r="G532" s="37"/>
      <c r="H532" s="37"/>
      <c r="I532" s="37"/>
      <c r="J532" s="37"/>
      <c r="K532" s="37"/>
      <c r="L532" s="37"/>
      <c r="M532" s="37" t="s">
        <v>1124</v>
      </c>
      <c r="N532" s="37" t="s">
        <v>1124</v>
      </c>
      <c r="O532" s="37"/>
      <c r="P532" s="37"/>
      <c r="Q532" s="37"/>
      <c r="R532" s="37"/>
      <c r="S532" s="37"/>
      <c r="T532" s="37"/>
      <c r="U532" s="37"/>
      <c r="V532" s="37"/>
      <c r="W532" s="37"/>
      <c r="X532" s="37"/>
      <c r="Y532" s="37"/>
      <c r="Z532" s="37"/>
      <c r="AA532" s="37" t="s">
        <v>1124</v>
      </c>
      <c r="AB532" s="37" t="s">
        <v>1124</v>
      </c>
      <c r="AC532" s="37"/>
      <c r="AD532" s="37"/>
      <c r="AE532" s="37"/>
      <c r="AF532" s="168"/>
      <c r="AG532" s="37"/>
      <c r="AH532" s="37"/>
      <c r="AI532" s="37"/>
      <c r="AJ532" s="37"/>
      <c r="AK532" s="37"/>
      <c r="AL532" s="37"/>
      <c r="AM532" s="37"/>
      <c r="AN532" s="37"/>
      <c r="AO532" s="37"/>
      <c r="AP532" s="37"/>
      <c r="AQ532" s="37"/>
      <c r="AR532" s="37" t="s">
        <v>1124</v>
      </c>
      <c r="AS532" s="37"/>
      <c r="AT532" s="37"/>
      <c r="AU532" s="37"/>
      <c r="AV532" s="37"/>
      <c r="AW532" s="37"/>
      <c r="AX532" s="37"/>
      <c r="AY532" s="37"/>
      <c r="AZ532" s="37"/>
      <c r="BA532" s="37"/>
      <c r="BB532" s="37"/>
      <c r="BC532" s="37"/>
      <c r="BD532" s="37" t="s">
        <v>1124</v>
      </c>
      <c r="BE532" s="37"/>
      <c r="BF532" s="37"/>
      <c r="BG532" s="37"/>
      <c r="BH532" s="37"/>
      <c r="BI532" s="37"/>
      <c r="BJ532" s="37"/>
      <c r="BK532" s="37"/>
      <c r="BL532" s="37"/>
      <c r="BM532" s="37"/>
      <c r="BN532" s="37"/>
      <c r="BO532" s="37"/>
      <c r="BP532" s="37">
        <v>0</v>
      </c>
      <c r="BQ532" s="37"/>
      <c r="BR532" s="37"/>
      <c r="BS532" s="37"/>
      <c r="BT532" s="37"/>
      <c r="BU532" s="37"/>
      <c r="BV532" s="37"/>
      <c r="BW532" s="37"/>
      <c r="BX532" s="37"/>
      <c r="BY532" s="37"/>
      <c r="BZ532" s="37"/>
      <c r="CA532" s="37"/>
      <c r="CB532" s="37" t="s">
        <v>1124</v>
      </c>
      <c r="CC532" s="37"/>
      <c r="CD532" s="37"/>
      <c r="CE532" s="37"/>
      <c r="CF532" s="37"/>
      <c r="CG532" s="37"/>
      <c r="CH532" s="37"/>
      <c r="CI532" s="37"/>
      <c r="CJ532" s="37"/>
      <c r="CK532" s="37"/>
      <c r="CL532" s="37"/>
      <c r="CM532" s="37"/>
      <c r="CN532" s="37" t="s">
        <v>1124</v>
      </c>
      <c r="CO532" s="37"/>
      <c r="CP532" s="37"/>
      <c r="CQ532" s="37"/>
      <c r="CR532" s="37"/>
      <c r="CS532" s="37"/>
      <c r="CT532" s="37"/>
      <c r="CU532" s="37"/>
      <c r="CV532" s="37"/>
      <c r="CW532" s="37"/>
      <c r="CX532" s="37"/>
      <c r="CY532" s="37"/>
      <c r="CZ532" s="37" t="s">
        <v>1124</v>
      </c>
      <c r="DA532" s="37"/>
      <c r="DB532" s="37"/>
      <c r="DC532" s="37"/>
      <c r="DD532" s="37"/>
      <c r="DE532" s="37"/>
      <c r="DF532" s="37"/>
      <c r="DG532" s="37"/>
      <c r="DH532" s="37"/>
      <c r="DI532" s="37"/>
      <c r="DJ532" s="37"/>
      <c r="DK532" s="37"/>
      <c r="DL532" s="37" t="s">
        <v>1124</v>
      </c>
      <c r="DM532" s="37"/>
      <c r="DN532" s="37"/>
      <c r="DO532" s="37"/>
      <c r="DP532" s="37"/>
      <c r="DQ532" s="37"/>
      <c r="DR532" s="37"/>
      <c r="DS532" s="37"/>
      <c r="DT532" s="37"/>
      <c r="DU532" s="37"/>
      <c r="DV532" s="37"/>
      <c r="DW532" s="37"/>
      <c r="DX532" s="37" t="s">
        <v>1124</v>
      </c>
      <c r="DY532" s="37"/>
      <c r="DZ532" s="37"/>
      <c r="EA532" s="37"/>
      <c r="EB532" s="37"/>
      <c r="EC532" s="37"/>
      <c r="ED532" s="37"/>
      <c r="EE532" s="37"/>
      <c r="EF532" s="37"/>
      <c r="EG532" s="37"/>
      <c r="EH532" s="37"/>
      <c r="EI532" s="37"/>
      <c r="EJ532" s="37" t="s">
        <v>1124</v>
      </c>
      <c r="EK532" s="161"/>
      <c r="EL532" s="294"/>
    </row>
    <row r="533" spans="1:142" ht="15" customHeight="1" x14ac:dyDescent="0.35">
      <c r="A533" s="34"/>
      <c r="B533" s="313">
        <v>86042</v>
      </c>
      <c r="C533" s="8" t="s">
        <v>889</v>
      </c>
      <c r="D533" s="18">
        <v>8</v>
      </c>
      <c r="E533" s="155">
        <v>3419247</v>
      </c>
      <c r="F533" s="36">
        <v>3282045</v>
      </c>
      <c r="G533" s="37">
        <v>381308</v>
      </c>
      <c r="H533" s="37">
        <v>824280</v>
      </c>
      <c r="I533" s="37">
        <v>722442</v>
      </c>
      <c r="J533" s="37">
        <v>1502310</v>
      </c>
      <c r="K533" s="37">
        <v>0</v>
      </c>
      <c r="L533" s="37">
        <v>0</v>
      </c>
      <c r="M533" s="37">
        <v>4522997</v>
      </c>
      <c r="N533" s="37">
        <v>5608635</v>
      </c>
      <c r="O533" s="37">
        <v>3665943</v>
      </c>
      <c r="P533" s="37">
        <v>1221981</v>
      </c>
      <c r="Q533" s="37">
        <v>942293</v>
      </c>
      <c r="R533" s="37">
        <v>2826880</v>
      </c>
      <c r="S533" s="37">
        <v>128871</v>
      </c>
      <c r="T533" s="37">
        <v>154003</v>
      </c>
      <c r="U533" s="37">
        <v>810044</v>
      </c>
      <c r="V533" s="37">
        <v>1043697</v>
      </c>
      <c r="W533" s="37">
        <v>0</v>
      </c>
      <c r="X533" s="37">
        <v>0</v>
      </c>
      <c r="Y533" s="37">
        <v>0</v>
      </c>
      <c r="Z533" s="37">
        <v>0</v>
      </c>
      <c r="AA533" s="37">
        <v>5547151</v>
      </c>
      <c r="AB533" s="37">
        <v>5246561</v>
      </c>
      <c r="AC533" s="37">
        <v>662080</v>
      </c>
      <c r="AD533" s="37">
        <v>0</v>
      </c>
      <c r="AE533" s="37">
        <v>0</v>
      </c>
      <c r="AF533" s="168">
        <v>0.02</v>
      </c>
      <c r="AG533" s="37">
        <v>1101988353</v>
      </c>
      <c r="AH533" s="37">
        <v>12203856.300000001</v>
      </c>
      <c r="AI533" s="37">
        <v>12547291.630000001</v>
      </c>
      <c r="AJ533" s="37">
        <v>12816277.99</v>
      </c>
      <c r="AK533" s="37">
        <v>13357391.460000001</v>
      </c>
      <c r="AL533" s="37">
        <v>13616258.68</v>
      </c>
      <c r="AM533" s="37">
        <v>13888583.85</v>
      </c>
      <c r="AN533" s="37">
        <v>13736632.220000001</v>
      </c>
      <c r="AO533" s="37">
        <v>14011364.869999999</v>
      </c>
      <c r="AP533" s="37">
        <v>14291592.16</v>
      </c>
      <c r="AQ533" s="37">
        <v>14577424.01</v>
      </c>
      <c r="AR533" s="37">
        <v>135046673.16999999</v>
      </c>
      <c r="AS533" s="37">
        <v>36664684.380000003</v>
      </c>
      <c r="AT533" s="37">
        <v>6157706</v>
      </c>
      <c r="AU533" s="37">
        <v>10683193.07</v>
      </c>
      <c r="AV533" s="37">
        <v>9440880.6199999992</v>
      </c>
      <c r="AW533" s="37">
        <v>7216.21</v>
      </c>
      <c r="AX533" s="37">
        <v>7360.54</v>
      </c>
      <c r="AY533" s="37">
        <v>63815.87</v>
      </c>
      <c r="AZ533" s="37">
        <v>57434.28</v>
      </c>
      <c r="BA533" s="37">
        <v>0</v>
      </c>
      <c r="BB533" s="37">
        <v>0</v>
      </c>
      <c r="BC533" s="37">
        <v>0</v>
      </c>
      <c r="BD533" s="37">
        <v>26417606.59</v>
      </c>
      <c r="BE533" s="37">
        <v>751100</v>
      </c>
      <c r="BF533" s="37">
        <v>4712016</v>
      </c>
      <c r="BG533" s="37">
        <v>8908514</v>
      </c>
      <c r="BH533" s="37">
        <v>1403000</v>
      </c>
      <c r="BI533" s="37">
        <v>0</v>
      </c>
      <c r="BJ533" s="37">
        <v>0</v>
      </c>
      <c r="BK533" s="37">
        <v>0</v>
      </c>
      <c r="BL533" s="37">
        <v>0</v>
      </c>
      <c r="BM533" s="37">
        <v>0</v>
      </c>
      <c r="BN533" s="37">
        <v>0</v>
      </c>
      <c r="BO533" s="37">
        <v>0</v>
      </c>
      <c r="BP533" s="37">
        <v>15023530</v>
      </c>
      <c r="BQ533" s="37">
        <v>375550</v>
      </c>
      <c r="BR533" s="37">
        <v>3213565</v>
      </c>
      <c r="BS533" s="37">
        <v>2555091</v>
      </c>
      <c r="BT533" s="37">
        <v>1750200</v>
      </c>
      <c r="BU533" s="37">
        <v>0</v>
      </c>
      <c r="BV533" s="37">
        <v>0</v>
      </c>
      <c r="BW533" s="37">
        <v>0</v>
      </c>
      <c r="BX533" s="37">
        <v>0</v>
      </c>
      <c r="BY533" s="37">
        <v>0</v>
      </c>
      <c r="BZ533" s="37">
        <v>0</v>
      </c>
      <c r="CA533" s="37">
        <v>0</v>
      </c>
      <c r="CB533" s="37">
        <v>7518856</v>
      </c>
      <c r="CC533" s="37">
        <v>0</v>
      </c>
      <c r="CD533" s="37">
        <v>0</v>
      </c>
      <c r="CE533" s="37">
        <v>0</v>
      </c>
      <c r="CF533" s="37">
        <v>0</v>
      </c>
      <c r="CG533" s="37">
        <v>0</v>
      </c>
      <c r="CH533" s="37">
        <v>0</v>
      </c>
      <c r="CI533" s="37">
        <v>0</v>
      </c>
      <c r="CJ533" s="37">
        <v>0</v>
      </c>
      <c r="CK533" s="37">
        <v>0</v>
      </c>
      <c r="CL533" s="37">
        <v>0</v>
      </c>
      <c r="CM533" s="37">
        <v>0</v>
      </c>
      <c r="CN533" s="37">
        <v>0</v>
      </c>
      <c r="CO533" s="37">
        <v>0</v>
      </c>
      <c r="CP533" s="37">
        <v>0</v>
      </c>
      <c r="CQ533" s="37">
        <v>0</v>
      </c>
      <c r="CR533" s="37">
        <v>0</v>
      </c>
      <c r="CS533" s="37">
        <v>0</v>
      </c>
      <c r="CT533" s="37">
        <v>0</v>
      </c>
      <c r="CU533" s="37">
        <v>0</v>
      </c>
      <c r="CV533" s="37">
        <v>0</v>
      </c>
      <c r="CW533" s="37">
        <v>0</v>
      </c>
      <c r="CX533" s="37">
        <v>0</v>
      </c>
      <c r="CY533" s="37">
        <v>0</v>
      </c>
      <c r="CZ533" s="37">
        <v>0</v>
      </c>
      <c r="DA533" s="37">
        <v>0</v>
      </c>
      <c r="DB533" s="37">
        <v>0</v>
      </c>
      <c r="DC533" s="37">
        <v>0</v>
      </c>
      <c r="DD533" s="37">
        <v>0</v>
      </c>
      <c r="DE533" s="37">
        <v>0</v>
      </c>
      <c r="DF533" s="37">
        <v>0</v>
      </c>
      <c r="DG533" s="37">
        <v>0</v>
      </c>
      <c r="DH533" s="37">
        <v>0</v>
      </c>
      <c r="DI533" s="37">
        <v>0</v>
      </c>
      <c r="DJ533" s="37">
        <v>0</v>
      </c>
      <c r="DK533" s="37">
        <v>0</v>
      </c>
      <c r="DL533" s="37">
        <v>0</v>
      </c>
      <c r="DM533" s="37">
        <v>0</v>
      </c>
      <c r="DN533" s="37">
        <v>0</v>
      </c>
      <c r="DO533" s="37">
        <v>0</v>
      </c>
      <c r="DP533" s="37">
        <v>0</v>
      </c>
      <c r="DQ533" s="37">
        <v>0</v>
      </c>
      <c r="DR533" s="37">
        <v>0</v>
      </c>
      <c r="DS533" s="37">
        <v>0</v>
      </c>
      <c r="DT533" s="37">
        <v>0</v>
      </c>
      <c r="DU533" s="37">
        <v>0</v>
      </c>
      <c r="DV533" s="37">
        <v>0</v>
      </c>
      <c r="DW533" s="37">
        <v>0</v>
      </c>
      <c r="DX533" s="37">
        <v>0</v>
      </c>
      <c r="DY533" s="37">
        <v>0</v>
      </c>
      <c r="DZ533" s="37">
        <v>0</v>
      </c>
      <c r="EA533" s="37">
        <v>0</v>
      </c>
      <c r="EB533" s="37">
        <v>0</v>
      </c>
      <c r="EC533" s="37">
        <v>0</v>
      </c>
      <c r="ED533" s="37">
        <v>0</v>
      </c>
      <c r="EE533" s="37">
        <v>0</v>
      </c>
      <c r="EF533" s="37">
        <v>0</v>
      </c>
      <c r="EG533" s="37">
        <v>0</v>
      </c>
      <c r="EH533" s="37">
        <v>0</v>
      </c>
      <c r="EI533" s="37">
        <v>0</v>
      </c>
      <c r="EJ533" s="37">
        <v>0</v>
      </c>
      <c r="EK533" s="161" t="s">
        <v>3740</v>
      </c>
      <c r="EL533" s="294" t="s">
        <v>1124</v>
      </c>
    </row>
    <row r="534" spans="1:142" ht="15" customHeight="1" x14ac:dyDescent="0.35">
      <c r="A534" s="34"/>
      <c r="B534" s="313">
        <v>48015</v>
      </c>
      <c r="C534" s="8" t="s">
        <v>458</v>
      </c>
      <c r="D534" s="18">
        <v>16</v>
      </c>
      <c r="E534" s="155"/>
      <c r="F534" s="36"/>
      <c r="G534" s="37"/>
      <c r="H534" s="37"/>
      <c r="I534" s="37"/>
      <c r="J534" s="37"/>
      <c r="K534" s="37"/>
      <c r="L534" s="37"/>
      <c r="M534" s="37" t="s">
        <v>1124</v>
      </c>
      <c r="N534" s="37" t="s">
        <v>1124</v>
      </c>
      <c r="O534" s="37"/>
      <c r="P534" s="37"/>
      <c r="Q534" s="37"/>
      <c r="R534" s="37"/>
      <c r="S534" s="37"/>
      <c r="T534" s="37"/>
      <c r="U534" s="37"/>
      <c r="V534" s="37"/>
      <c r="W534" s="37"/>
      <c r="X534" s="37"/>
      <c r="Y534" s="37"/>
      <c r="Z534" s="37"/>
      <c r="AA534" s="37" t="s">
        <v>1124</v>
      </c>
      <c r="AB534" s="37" t="s">
        <v>1124</v>
      </c>
      <c r="AC534" s="37"/>
      <c r="AD534" s="37"/>
      <c r="AE534" s="37"/>
      <c r="AF534" s="168"/>
      <c r="AG534" s="37"/>
      <c r="AH534" s="37"/>
      <c r="AI534" s="37"/>
      <c r="AJ534" s="37"/>
      <c r="AK534" s="37"/>
      <c r="AL534" s="37"/>
      <c r="AM534" s="37"/>
      <c r="AN534" s="37"/>
      <c r="AO534" s="37"/>
      <c r="AP534" s="37"/>
      <c r="AQ534" s="37"/>
      <c r="AR534" s="37" t="s">
        <v>1124</v>
      </c>
      <c r="AS534" s="37"/>
      <c r="AT534" s="37"/>
      <c r="AU534" s="37"/>
      <c r="AV534" s="37"/>
      <c r="AW534" s="37"/>
      <c r="AX534" s="37"/>
      <c r="AY534" s="37"/>
      <c r="AZ534" s="37"/>
      <c r="BA534" s="37"/>
      <c r="BB534" s="37"/>
      <c r="BC534" s="37"/>
      <c r="BD534" s="37" t="s">
        <v>1124</v>
      </c>
      <c r="BE534" s="37"/>
      <c r="BF534" s="37"/>
      <c r="BG534" s="37"/>
      <c r="BH534" s="37"/>
      <c r="BI534" s="37"/>
      <c r="BJ534" s="37"/>
      <c r="BK534" s="37"/>
      <c r="BL534" s="37"/>
      <c r="BM534" s="37"/>
      <c r="BN534" s="37"/>
      <c r="BO534" s="37"/>
      <c r="BP534" s="37">
        <v>0</v>
      </c>
      <c r="BQ534" s="37"/>
      <c r="BR534" s="37"/>
      <c r="BS534" s="37"/>
      <c r="BT534" s="37"/>
      <c r="BU534" s="37"/>
      <c r="BV534" s="37"/>
      <c r="BW534" s="37"/>
      <c r="BX534" s="37"/>
      <c r="BY534" s="37"/>
      <c r="BZ534" s="37"/>
      <c r="CA534" s="37"/>
      <c r="CB534" s="37" t="s">
        <v>1124</v>
      </c>
      <c r="CC534" s="37"/>
      <c r="CD534" s="37"/>
      <c r="CE534" s="37"/>
      <c r="CF534" s="37"/>
      <c r="CG534" s="37"/>
      <c r="CH534" s="37"/>
      <c r="CI534" s="37"/>
      <c r="CJ534" s="37"/>
      <c r="CK534" s="37"/>
      <c r="CL534" s="37"/>
      <c r="CM534" s="37"/>
      <c r="CN534" s="37" t="s">
        <v>1124</v>
      </c>
      <c r="CO534" s="37"/>
      <c r="CP534" s="37"/>
      <c r="CQ534" s="37"/>
      <c r="CR534" s="37"/>
      <c r="CS534" s="37"/>
      <c r="CT534" s="37"/>
      <c r="CU534" s="37"/>
      <c r="CV534" s="37"/>
      <c r="CW534" s="37"/>
      <c r="CX534" s="37"/>
      <c r="CY534" s="37"/>
      <c r="CZ534" s="37" t="s">
        <v>1124</v>
      </c>
      <c r="DA534" s="37"/>
      <c r="DB534" s="37"/>
      <c r="DC534" s="37"/>
      <c r="DD534" s="37"/>
      <c r="DE534" s="37"/>
      <c r="DF534" s="37"/>
      <c r="DG534" s="37"/>
      <c r="DH534" s="37"/>
      <c r="DI534" s="37"/>
      <c r="DJ534" s="37"/>
      <c r="DK534" s="37"/>
      <c r="DL534" s="37" t="s">
        <v>1124</v>
      </c>
      <c r="DM534" s="37"/>
      <c r="DN534" s="37"/>
      <c r="DO534" s="37"/>
      <c r="DP534" s="37"/>
      <c r="DQ534" s="37"/>
      <c r="DR534" s="37"/>
      <c r="DS534" s="37"/>
      <c r="DT534" s="37"/>
      <c r="DU534" s="37"/>
      <c r="DV534" s="37"/>
      <c r="DW534" s="37"/>
      <c r="DX534" s="37" t="s">
        <v>1124</v>
      </c>
      <c r="DY534" s="37"/>
      <c r="DZ534" s="37"/>
      <c r="EA534" s="37"/>
      <c r="EB534" s="37"/>
      <c r="EC534" s="37"/>
      <c r="ED534" s="37"/>
      <c r="EE534" s="37"/>
      <c r="EF534" s="37"/>
      <c r="EG534" s="37"/>
      <c r="EH534" s="37"/>
      <c r="EI534" s="37"/>
      <c r="EJ534" s="37" t="s">
        <v>1124</v>
      </c>
      <c r="EK534" s="161"/>
      <c r="EL534" s="294"/>
    </row>
    <row r="535" spans="1:142" ht="15" customHeight="1" x14ac:dyDescent="0.35">
      <c r="A535" s="34"/>
      <c r="B535" s="313">
        <v>48010</v>
      </c>
      <c r="C535" s="8" t="s">
        <v>457</v>
      </c>
      <c r="D535" s="18">
        <v>16</v>
      </c>
      <c r="E535" s="155"/>
      <c r="F535" s="36"/>
      <c r="G535" s="37"/>
      <c r="H535" s="37"/>
      <c r="I535" s="37"/>
      <c r="J535" s="37"/>
      <c r="K535" s="37"/>
      <c r="L535" s="37"/>
      <c r="M535" s="37" t="s">
        <v>1124</v>
      </c>
      <c r="N535" s="37" t="s">
        <v>1124</v>
      </c>
      <c r="O535" s="37"/>
      <c r="P535" s="37"/>
      <c r="Q535" s="37"/>
      <c r="R535" s="37"/>
      <c r="S535" s="37"/>
      <c r="T535" s="37"/>
      <c r="U535" s="37"/>
      <c r="V535" s="37"/>
      <c r="W535" s="37"/>
      <c r="X535" s="37"/>
      <c r="Y535" s="37"/>
      <c r="Z535" s="37"/>
      <c r="AA535" s="37" t="s">
        <v>1124</v>
      </c>
      <c r="AB535" s="37" t="s">
        <v>1124</v>
      </c>
      <c r="AC535" s="37"/>
      <c r="AD535" s="37"/>
      <c r="AE535" s="37"/>
      <c r="AF535" s="168"/>
      <c r="AG535" s="37"/>
      <c r="AH535" s="37"/>
      <c r="AI535" s="37"/>
      <c r="AJ535" s="37"/>
      <c r="AK535" s="37"/>
      <c r="AL535" s="37"/>
      <c r="AM535" s="37"/>
      <c r="AN535" s="37"/>
      <c r="AO535" s="37"/>
      <c r="AP535" s="37"/>
      <c r="AQ535" s="37"/>
      <c r="AR535" s="37" t="s">
        <v>1124</v>
      </c>
      <c r="AS535" s="37"/>
      <c r="AT535" s="37"/>
      <c r="AU535" s="37"/>
      <c r="AV535" s="37"/>
      <c r="AW535" s="37"/>
      <c r="AX535" s="37"/>
      <c r="AY535" s="37"/>
      <c r="AZ535" s="37"/>
      <c r="BA535" s="37"/>
      <c r="BB535" s="37"/>
      <c r="BC535" s="37"/>
      <c r="BD535" s="37" t="s">
        <v>1124</v>
      </c>
      <c r="BE535" s="37"/>
      <c r="BF535" s="37"/>
      <c r="BG535" s="37"/>
      <c r="BH535" s="37"/>
      <c r="BI535" s="37"/>
      <c r="BJ535" s="37"/>
      <c r="BK535" s="37"/>
      <c r="BL535" s="37"/>
      <c r="BM535" s="37"/>
      <c r="BN535" s="37"/>
      <c r="BO535" s="37"/>
      <c r="BP535" s="37">
        <v>0</v>
      </c>
      <c r="BQ535" s="37"/>
      <c r="BR535" s="37"/>
      <c r="BS535" s="37"/>
      <c r="BT535" s="37"/>
      <c r="BU535" s="37"/>
      <c r="BV535" s="37"/>
      <c r="BW535" s="37"/>
      <c r="BX535" s="37"/>
      <c r="BY535" s="37"/>
      <c r="BZ535" s="37"/>
      <c r="CA535" s="37"/>
      <c r="CB535" s="37" t="s">
        <v>1124</v>
      </c>
      <c r="CC535" s="37"/>
      <c r="CD535" s="37"/>
      <c r="CE535" s="37"/>
      <c r="CF535" s="37"/>
      <c r="CG535" s="37"/>
      <c r="CH535" s="37"/>
      <c r="CI535" s="37"/>
      <c r="CJ535" s="37"/>
      <c r="CK535" s="37"/>
      <c r="CL535" s="37"/>
      <c r="CM535" s="37"/>
      <c r="CN535" s="37" t="s">
        <v>1124</v>
      </c>
      <c r="CO535" s="37"/>
      <c r="CP535" s="37"/>
      <c r="CQ535" s="37"/>
      <c r="CR535" s="37"/>
      <c r="CS535" s="37"/>
      <c r="CT535" s="37"/>
      <c r="CU535" s="37"/>
      <c r="CV535" s="37"/>
      <c r="CW535" s="37"/>
      <c r="CX535" s="37"/>
      <c r="CY535" s="37"/>
      <c r="CZ535" s="37" t="s">
        <v>1124</v>
      </c>
      <c r="DA535" s="37"/>
      <c r="DB535" s="37"/>
      <c r="DC535" s="37"/>
      <c r="DD535" s="37"/>
      <c r="DE535" s="37"/>
      <c r="DF535" s="37"/>
      <c r="DG535" s="37"/>
      <c r="DH535" s="37"/>
      <c r="DI535" s="37"/>
      <c r="DJ535" s="37"/>
      <c r="DK535" s="37"/>
      <c r="DL535" s="37" t="s">
        <v>1124</v>
      </c>
      <c r="DM535" s="37"/>
      <c r="DN535" s="37"/>
      <c r="DO535" s="37"/>
      <c r="DP535" s="37"/>
      <c r="DQ535" s="37"/>
      <c r="DR535" s="37"/>
      <c r="DS535" s="37"/>
      <c r="DT535" s="37"/>
      <c r="DU535" s="37"/>
      <c r="DV535" s="37"/>
      <c r="DW535" s="37"/>
      <c r="DX535" s="37" t="s">
        <v>1124</v>
      </c>
      <c r="DY535" s="37"/>
      <c r="DZ535" s="37"/>
      <c r="EA535" s="37"/>
      <c r="EB535" s="37"/>
      <c r="EC535" s="37"/>
      <c r="ED535" s="37"/>
      <c r="EE535" s="37"/>
      <c r="EF535" s="37"/>
      <c r="EG535" s="37"/>
      <c r="EH535" s="37"/>
      <c r="EI535" s="37"/>
      <c r="EJ535" s="37" t="s">
        <v>1124</v>
      </c>
      <c r="EK535" s="161"/>
      <c r="EL535" s="294"/>
    </row>
    <row r="536" spans="1:142" ht="15" customHeight="1" x14ac:dyDescent="0.35">
      <c r="A536" s="34"/>
      <c r="B536" s="313">
        <v>47047</v>
      </c>
      <c r="C536" s="8" t="s">
        <v>454</v>
      </c>
      <c r="D536" s="18">
        <v>5</v>
      </c>
      <c r="E536" s="155">
        <v>213267</v>
      </c>
      <c r="F536" s="36">
        <v>165836</v>
      </c>
      <c r="G536" s="37">
        <v>73788</v>
      </c>
      <c r="H536" s="37">
        <v>107290</v>
      </c>
      <c r="I536" s="37">
        <v>616860.5</v>
      </c>
      <c r="J536" s="37">
        <v>616860.5</v>
      </c>
      <c r="K536" s="37">
        <v>31990.05</v>
      </c>
      <c r="L536" s="37">
        <v>24875.399999999998</v>
      </c>
      <c r="M536" s="37">
        <v>935905.55</v>
      </c>
      <c r="N536" s="37">
        <v>914861.9</v>
      </c>
      <c r="O536" s="37">
        <v>0</v>
      </c>
      <c r="P536" s="37">
        <v>0</v>
      </c>
      <c r="Q536" s="37">
        <v>349238.5</v>
      </c>
      <c r="R536" s="37">
        <v>349238.5</v>
      </c>
      <c r="S536" s="37">
        <v>0</v>
      </c>
      <c r="T536" s="37">
        <v>0</v>
      </c>
      <c r="U536" s="37">
        <v>49850</v>
      </c>
      <c r="V536" s="37">
        <v>34089</v>
      </c>
      <c r="W536" s="37">
        <v>523317</v>
      </c>
      <c r="X536" s="37">
        <v>531534</v>
      </c>
      <c r="Y536" s="37">
        <v>13500</v>
      </c>
      <c r="Z536" s="37">
        <v>0</v>
      </c>
      <c r="AA536" s="37">
        <v>935905.5</v>
      </c>
      <c r="AB536" s="37">
        <v>914861.5</v>
      </c>
      <c r="AC536" s="37">
        <v>0</v>
      </c>
      <c r="AD536" s="37">
        <v>0</v>
      </c>
      <c r="AE536" s="37">
        <v>16790</v>
      </c>
      <c r="AF536" s="168">
        <v>0.02</v>
      </c>
      <c r="AG536" s="37">
        <v>52846962.729999997</v>
      </c>
      <c r="AH536" s="37">
        <v>624787.68999999994</v>
      </c>
      <c r="AI536" s="37">
        <v>667190.78</v>
      </c>
      <c r="AJ536" s="37">
        <v>650029.12</v>
      </c>
      <c r="AK536" s="37">
        <v>663029.69999999995</v>
      </c>
      <c r="AL536" s="37">
        <v>676290.29</v>
      </c>
      <c r="AM536" s="37">
        <v>689816.1</v>
      </c>
      <c r="AN536" s="37">
        <v>703612.42</v>
      </c>
      <c r="AO536" s="37">
        <v>717684.67</v>
      </c>
      <c r="AP536" s="37">
        <v>732038.36</v>
      </c>
      <c r="AQ536" s="37">
        <v>584146.54</v>
      </c>
      <c r="AR536" s="37">
        <v>6708625.6699999999</v>
      </c>
      <c r="AS536" s="37">
        <v>95349.6</v>
      </c>
      <c r="AT536" s="37">
        <v>7820</v>
      </c>
      <c r="AU536" s="37">
        <v>7976.4</v>
      </c>
      <c r="AV536" s="37">
        <v>8135.93</v>
      </c>
      <c r="AW536" s="37">
        <v>0</v>
      </c>
      <c r="AX536" s="37">
        <v>0</v>
      </c>
      <c r="AY536" s="37">
        <v>0</v>
      </c>
      <c r="AZ536" s="37">
        <v>0</v>
      </c>
      <c r="BA536" s="37">
        <v>0</v>
      </c>
      <c r="BB536" s="37">
        <v>0</v>
      </c>
      <c r="BC536" s="37">
        <v>0</v>
      </c>
      <c r="BD536" s="37">
        <v>23932.33</v>
      </c>
      <c r="BE536" s="37">
        <v>158382</v>
      </c>
      <c r="BF536" s="37">
        <v>0</v>
      </c>
      <c r="BG536" s="37">
        <v>0</v>
      </c>
      <c r="BH536" s="37">
        <v>0</v>
      </c>
      <c r="BI536" s="37">
        <v>0</v>
      </c>
      <c r="BJ536" s="37">
        <v>0</v>
      </c>
      <c r="BK536" s="37">
        <v>0</v>
      </c>
      <c r="BL536" s="37">
        <v>0</v>
      </c>
      <c r="BM536" s="37">
        <v>0</v>
      </c>
      <c r="BN536" s="37">
        <v>0</v>
      </c>
      <c r="BO536" s="37">
        <v>0</v>
      </c>
      <c r="BP536" s="37">
        <v>0</v>
      </c>
      <c r="BQ536" s="37">
        <v>0</v>
      </c>
      <c r="BR536" s="37">
        <v>0</v>
      </c>
      <c r="BS536" s="37">
        <v>0</v>
      </c>
      <c r="BT536" s="37">
        <v>0</v>
      </c>
      <c r="BU536" s="37">
        <v>0</v>
      </c>
      <c r="BV536" s="37">
        <v>0</v>
      </c>
      <c r="BW536" s="37">
        <v>0</v>
      </c>
      <c r="BX536" s="37">
        <v>0</v>
      </c>
      <c r="BY536" s="37">
        <v>0</v>
      </c>
      <c r="BZ536" s="37">
        <v>0</v>
      </c>
      <c r="CA536" s="37">
        <v>0</v>
      </c>
      <c r="CB536" s="37">
        <v>0</v>
      </c>
      <c r="CC536" s="37">
        <v>0</v>
      </c>
      <c r="CD536" s="37">
        <v>0</v>
      </c>
      <c r="CE536" s="37">
        <v>0</v>
      </c>
      <c r="CF536" s="37">
        <v>0</v>
      </c>
      <c r="CG536" s="37">
        <v>0</v>
      </c>
      <c r="CH536" s="37">
        <v>0</v>
      </c>
      <c r="CI536" s="37">
        <v>0</v>
      </c>
      <c r="CJ536" s="37">
        <v>0</v>
      </c>
      <c r="CK536" s="37">
        <v>0</v>
      </c>
      <c r="CL536" s="37">
        <v>0</v>
      </c>
      <c r="CM536" s="37">
        <v>0</v>
      </c>
      <c r="CN536" s="37">
        <v>0</v>
      </c>
      <c r="CO536" s="37">
        <v>0</v>
      </c>
      <c r="CP536" s="37">
        <v>0</v>
      </c>
      <c r="CQ536" s="37">
        <v>0</v>
      </c>
      <c r="CR536" s="37">
        <v>0</v>
      </c>
      <c r="CS536" s="37">
        <v>0</v>
      </c>
      <c r="CT536" s="37">
        <v>0</v>
      </c>
      <c r="CU536" s="37">
        <v>0</v>
      </c>
      <c r="CV536" s="37">
        <v>0</v>
      </c>
      <c r="CW536" s="37">
        <v>0</v>
      </c>
      <c r="CX536" s="37">
        <v>0</v>
      </c>
      <c r="CY536" s="37">
        <v>0</v>
      </c>
      <c r="CZ536" s="37">
        <v>0</v>
      </c>
      <c r="DA536" s="37">
        <v>0</v>
      </c>
      <c r="DB536" s="37">
        <v>0</v>
      </c>
      <c r="DC536" s="37">
        <v>0</v>
      </c>
      <c r="DD536" s="37">
        <v>0</v>
      </c>
      <c r="DE536" s="37">
        <v>0</v>
      </c>
      <c r="DF536" s="37">
        <v>0</v>
      </c>
      <c r="DG536" s="37">
        <v>0</v>
      </c>
      <c r="DH536" s="37">
        <v>0</v>
      </c>
      <c r="DI536" s="37">
        <v>0</v>
      </c>
      <c r="DJ536" s="37">
        <v>0</v>
      </c>
      <c r="DK536" s="37">
        <v>0</v>
      </c>
      <c r="DL536" s="37">
        <v>0</v>
      </c>
      <c r="DM536" s="37">
        <v>0</v>
      </c>
      <c r="DN536" s="37">
        <v>0</v>
      </c>
      <c r="DO536" s="37">
        <v>0</v>
      </c>
      <c r="DP536" s="37">
        <v>0</v>
      </c>
      <c r="DQ536" s="37">
        <v>0</v>
      </c>
      <c r="DR536" s="37">
        <v>0</v>
      </c>
      <c r="DS536" s="37">
        <v>0</v>
      </c>
      <c r="DT536" s="37">
        <v>0</v>
      </c>
      <c r="DU536" s="37">
        <v>0</v>
      </c>
      <c r="DV536" s="37">
        <v>0</v>
      </c>
      <c r="DW536" s="37">
        <v>0</v>
      </c>
      <c r="DX536" s="37">
        <v>0</v>
      </c>
      <c r="DY536" s="37">
        <v>0</v>
      </c>
      <c r="DZ536" s="37">
        <v>0</v>
      </c>
      <c r="EA536" s="37">
        <v>0</v>
      </c>
      <c r="EB536" s="37">
        <v>0</v>
      </c>
      <c r="EC536" s="37">
        <v>0</v>
      </c>
      <c r="ED536" s="37">
        <v>0</v>
      </c>
      <c r="EE536" s="37">
        <v>0</v>
      </c>
      <c r="EF536" s="37">
        <v>0</v>
      </c>
      <c r="EG536" s="37">
        <v>0</v>
      </c>
      <c r="EH536" s="37">
        <v>0</v>
      </c>
      <c r="EI536" s="37">
        <v>0</v>
      </c>
      <c r="EJ536" s="37">
        <v>0</v>
      </c>
      <c r="EK536" s="161" t="s">
        <v>1543</v>
      </c>
      <c r="EL536" s="294" t="s">
        <v>1124</v>
      </c>
    </row>
    <row r="537" spans="1:142" ht="15" customHeight="1" x14ac:dyDescent="0.35">
      <c r="A537" s="34"/>
      <c r="B537" s="313">
        <v>95010</v>
      </c>
      <c r="C537" s="8" t="s">
        <v>987</v>
      </c>
      <c r="D537" s="18">
        <v>9</v>
      </c>
      <c r="E537" s="155"/>
      <c r="F537" s="36"/>
      <c r="G537" s="37"/>
      <c r="H537" s="37"/>
      <c r="I537" s="37"/>
      <c r="J537" s="37"/>
      <c r="K537" s="37"/>
      <c r="L537" s="37"/>
      <c r="M537" s="37" t="s">
        <v>1124</v>
      </c>
      <c r="N537" s="37" t="s">
        <v>1124</v>
      </c>
      <c r="O537" s="37"/>
      <c r="P537" s="37"/>
      <c r="Q537" s="37"/>
      <c r="R537" s="37"/>
      <c r="S537" s="37"/>
      <c r="T537" s="37"/>
      <c r="U537" s="37"/>
      <c r="V537" s="37"/>
      <c r="W537" s="37"/>
      <c r="X537" s="37"/>
      <c r="Y537" s="37"/>
      <c r="Z537" s="37"/>
      <c r="AA537" s="37" t="s">
        <v>1124</v>
      </c>
      <c r="AB537" s="37" t="s">
        <v>1124</v>
      </c>
      <c r="AC537" s="37"/>
      <c r="AD537" s="37"/>
      <c r="AE537" s="37"/>
      <c r="AF537" s="168"/>
      <c r="AG537" s="37"/>
      <c r="AH537" s="37"/>
      <c r="AI537" s="37"/>
      <c r="AJ537" s="37"/>
      <c r="AK537" s="37"/>
      <c r="AL537" s="37"/>
      <c r="AM537" s="37"/>
      <c r="AN537" s="37"/>
      <c r="AO537" s="37"/>
      <c r="AP537" s="37"/>
      <c r="AQ537" s="37"/>
      <c r="AR537" s="37" t="s">
        <v>1124</v>
      </c>
      <c r="AS537" s="37"/>
      <c r="AT537" s="37"/>
      <c r="AU537" s="37"/>
      <c r="AV537" s="37"/>
      <c r="AW537" s="37"/>
      <c r="AX537" s="37"/>
      <c r="AY537" s="37"/>
      <c r="AZ537" s="37"/>
      <c r="BA537" s="37"/>
      <c r="BB537" s="37"/>
      <c r="BC537" s="37"/>
      <c r="BD537" s="37" t="s">
        <v>1124</v>
      </c>
      <c r="BE537" s="37"/>
      <c r="BF537" s="37"/>
      <c r="BG537" s="37"/>
      <c r="BH537" s="37"/>
      <c r="BI537" s="37"/>
      <c r="BJ537" s="37"/>
      <c r="BK537" s="37"/>
      <c r="BL537" s="37"/>
      <c r="BM537" s="37"/>
      <c r="BN537" s="37"/>
      <c r="BO537" s="37"/>
      <c r="BP537" s="37">
        <v>0</v>
      </c>
      <c r="BQ537" s="37"/>
      <c r="BR537" s="37"/>
      <c r="BS537" s="37"/>
      <c r="BT537" s="37"/>
      <c r="BU537" s="37"/>
      <c r="BV537" s="37"/>
      <c r="BW537" s="37"/>
      <c r="BX537" s="37"/>
      <c r="BY537" s="37"/>
      <c r="BZ537" s="37"/>
      <c r="CA537" s="37"/>
      <c r="CB537" s="37" t="s">
        <v>1124</v>
      </c>
      <c r="CC537" s="37"/>
      <c r="CD537" s="37"/>
      <c r="CE537" s="37"/>
      <c r="CF537" s="37"/>
      <c r="CG537" s="37"/>
      <c r="CH537" s="37"/>
      <c r="CI537" s="37"/>
      <c r="CJ537" s="37"/>
      <c r="CK537" s="37"/>
      <c r="CL537" s="37"/>
      <c r="CM537" s="37"/>
      <c r="CN537" s="37" t="s">
        <v>1124</v>
      </c>
      <c r="CO537" s="37"/>
      <c r="CP537" s="37"/>
      <c r="CQ537" s="37"/>
      <c r="CR537" s="37"/>
      <c r="CS537" s="37"/>
      <c r="CT537" s="37"/>
      <c r="CU537" s="37"/>
      <c r="CV537" s="37"/>
      <c r="CW537" s="37"/>
      <c r="CX537" s="37"/>
      <c r="CY537" s="37"/>
      <c r="CZ537" s="37" t="s">
        <v>1124</v>
      </c>
      <c r="DA537" s="37"/>
      <c r="DB537" s="37"/>
      <c r="DC537" s="37"/>
      <c r="DD537" s="37"/>
      <c r="DE537" s="37"/>
      <c r="DF537" s="37"/>
      <c r="DG537" s="37"/>
      <c r="DH537" s="37"/>
      <c r="DI537" s="37"/>
      <c r="DJ537" s="37"/>
      <c r="DK537" s="37"/>
      <c r="DL537" s="37" t="s">
        <v>1124</v>
      </c>
      <c r="DM537" s="37"/>
      <c r="DN537" s="37"/>
      <c r="DO537" s="37"/>
      <c r="DP537" s="37"/>
      <c r="DQ537" s="37"/>
      <c r="DR537" s="37"/>
      <c r="DS537" s="37"/>
      <c r="DT537" s="37"/>
      <c r="DU537" s="37"/>
      <c r="DV537" s="37"/>
      <c r="DW537" s="37"/>
      <c r="DX537" s="37" t="s">
        <v>1124</v>
      </c>
      <c r="DY537" s="37"/>
      <c r="DZ537" s="37"/>
      <c r="EA537" s="37"/>
      <c r="EB537" s="37"/>
      <c r="EC537" s="37"/>
      <c r="ED537" s="37"/>
      <c r="EE537" s="37"/>
      <c r="EF537" s="37"/>
      <c r="EG537" s="37"/>
      <c r="EH537" s="37"/>
      <c r="EI537" s="37"/>
      <c r="EJ537" s="37" t="s">
        <v>1124</v>
      </c>
      <c r="EK537" s="161"/>
      <c r="EL537" s="294"/>
    </row>
    <row r="538" spans="1:142" ht="15" customHeight="1" x14ac:dyDescent="0.35">
      <c r="A538" s="34"/>
      <c r="B538" s="313">
        <v>31130</v>
      </c>
      <c r="C538" s="8" t="s">
        <v>253</v>
      </c>
      <c r="D538" s="18">
        <v>12</v>
      </c>
      <c r="E538" s="155"/>
      <c r="F538" s="36"/>
      <c r="G538" s="37"/>
      <c r="H538" s="37"/>
      <c r="I538" s="37"/>
      <c r="J538" s="37"/>
      <c r="K538" s="37"/>
      <c r="L538" s="37"/>
      <c r="M538" s="37" t="s">
        <v>1124</v>
      </c>
      <c r="N538" s="37" t="s">
        <v>1124</v>
      </c>
      <c r="O538" s="37"/>
      <c r="P538" s="37"/>
      <c r="Q538" s="37"/>
      <c r="R538" s="37"/>
      <c r="S538" s="37"/>
      <c r="T538" s="37"/>
      <c r="U538" s="37"/>
      <c r="V538" s="37"/>
      <c r="W538" s="37"/>
      <c r="X538" s="37"/>
      <c r="Y538" s="37"/>
      <c r="Z538" s="37"/>
      <c r="AA538" s="37" t="s">
        <v>1124</v>
      </c>
      <c r="AB538" s="37" t="s">
        <v>1124</v>
      </c>
      <c r="AC538" s="37"/>
      <c r="AD538" s="37"/>
      <c r="AE538" s="37"/>
      <c r="AF538" s="168"/>
      <c r="AG538" s="37"/>
      <c r="AH538" s="37"/>
      <c r="AI538" s="37"/>
      <c r="AJ538" s="37"/>
      <c r="AK538" s="37"/>
      <c r="AL538" s="37"/>
      <c r="AM538" s="37"/>
      <c r="AN538" s="37"/>
      <c r="AO538" s="37"/>
      <c r="AP538" s="37"/>
      <c r="AQ538" s="37"/>
      <c r="AR538" s="37" t="s">
        <v>1124</v>
      </c>
      <c r="AS538" s="37"/>
      <c r="AT538" s="37"/>
      <c r="AU538" s="37"/>
      <c r="AV538" s="37"/>
      <c r="AW538" s="37"/>
      <c r="AX538" s="37"/>
      <c r="AY538" s="37"/>
      <c r="AZ538" s="37"/>
      <c r="BA538" s="37"/>
      <c r="BB538" s="37"/>
      <c r="BC538" s="37"/>
      <c r="BD538" s="37" t="s">
        <v>1124</v>
      </c>
      <c r="BE538" s="37"/>
      <c r="BF538" s="37"/>
      <c r="BG538" s="37"/>
      <c r="BH538" s="37"/>
      <c r="BI538" s="37"/>
      <c r="BJ538" s="37"/>
      <c r="BK538" s="37"/>
      <c r="BL538" s="37"/>
      <c r="BM538" s="37"/>
      <c r="BN538" s="37"/>
      <c r="BO538" s="37"/>
      <c r="BP538" s="37">
        <v>0</v>
      </c>
      <c r="BQ538" s="37"/>
      <c r="BR538" s="37"/>
      <c r="BS538" s="37"/>
      <c r="BT538" s="37"/>
      <c r="BU538" s="37"/>
      <c r="BV538" s="37"/>
      <c r="BW538" s="37"/>
      <c r="BX538" s="37"/>
      <c r="BY538" s="37"/>
      <c r="BZ538" s="37"/>
      <c r="CA538" s="37"/>
      <c r="CB538" s="37" t="s">
        <v>1124</v>
      </c>
      <c r="CC538" s="37"/>
      <c r="CD538" s="37"/>
      <c r="CE538" s="37"/>
      <c r="CF538" s="37"/>
      <c r="CG538" s="37"/>
      <c r="CH538" s="37"/>
      <c r="CI538" s="37"/>
      <c r="CJ538" s="37"/>
      <c r="CK538" s="37"/>
      <c r="CL538" s="37"/>
      <c r="CM538" s="37"/>
      <c r="CN538" s="37" t="s">
        <v>1124</v>
      </c>
      <c r="CO538" s="37"/>
      <c r="CP538" s="37"/>
      <c r="CQ538" s="37"/>
      <c r="CR538" s="37"/>
      <c r="CS538" s="37"/>
      <c r="CT538" s="37"/>
      <c r="CU538" s="37"/>
      <c r="CV538" s="37"/>
      <c r="CW538" s="37"/>
      <c r="CX538" s="37"/>
      <c r="CY538" s="37"/>
      <c r="CZ538" s="37" t="s">
        <v>1124</v>
      </c>
      <c r="DA538" s="37"/>
      <c r="DB538" s="37"/>
      <c r="DC538" s="37"/>
      <c r="DD538" s="37"/>
      <c r="DE538" s="37"/>
      <c r="DF538" s="37"/>
      <c r="DG538" s="37"/>
      <c r="DH538" s="37"/>
      <c r="DI538" s="37"/>
      <c r="DJ538" s="37"/>
      <c r="DK538" s="37"/>
      <c r="DL538" s="37" t="s">
        <v>1124</v>
      </c>
      <c r="DM538" s="37"/>
      <c r="DN538" s="37"/>
      <c r="DO538" s="37"/>
      <c r="DP538" s="37"/>
      <c r="DQ538" s="37"/>
      <c r="DR538" s="37"/>
      <c r="DS538" s="37"/>
      <c r="DT538" s="37"/>
      <c r="DU538" s="37"/>
      <c r="DV538" s="37"/>
      <c r="DW538" s="37"/>
      <c r="DX538" s="37" t="s">
        <v>1124</v>
      </c>
      <c r="DY538" s="37"/>
      <c r="DZ538" s="37"/>
      <c r="EA538" s="37"/>
      <c r="EB538" s="37"/>
      <c r="EC538" s="37"/>
      <c r="ED538" s="37"/>
      <c r="EE538" s="37"/>
      <c r="EF538" s="37"/>
      <c r="EG538" s="37"/>
      <c r="EH538" s="37"/>
      <c r="EI538" s="37"/>
      <c r="EJ538" s="37" t="s">
        <v>1124</v>
      </c>
      <c r="EK538" s="161"/>
      <c r="EL538" s="294"/>
    </row>
    <row r="539" spans="1:142" ht="15" customHeight="1" x14ac:dyDescent="0.35">
      <c r="A539" s="34"/>
      <c r="B539" s="313">
        <v>94068</v>
      </c>
      <c r="C539" s="8" t="s">
        <v>972</v>
      </c>
      <c r="D539" s="18">
        <v>2</v>
      </c>
      <c r="E539" s="155">
        <v>13194742</v>
      </c>
      <c r="F539" s="36">
        <v>6813561</v>
      </c>
      <c r="G539" s="37">
        <v>1861167</v>
      </c>
      <c r="H539" s="37">
        <v>742909</v>
      </c>
      <c r="I539" s="37">
        <v>4503809</v>
      </c>
      <c r="J539" s="37">
        <v>1797754</v>
      </c>
      <c r="K539" s="37">
        <v>1319474.2000000002</v>
      </c>
      <c r="L539" s="37">
        <v>681356.10000000009</v>
      </c>
      <c r="M539" s="37">
        <v>20879192.199999999</v>
      </c>
      <c r="N539" s="37">
        <v>10035580.1</v>
      </c>
      <c r="O539" s="37">
        <v>1533021.43</v>
      </c>
      <c r="P539" s="37">
        <v>0</v>
      </c>
      <c r="Q539" s="37">
        <v>11967978.1</v>
      </c>
      <c r="R539" s="37">
        <v>10765138.49</v>
      </c>
      <c r="S539" s="37">
        <v>5986.17</v>
      </c>
      <c r="T539" s="37">
        <v>0</v>
      </c>
      <c r="U539" s="37">
        <v>489573</v>
      </c>
      <c r="V539" s="37">
        <v>191661</v>
      </c>
      <c r="W539" s="37">
        <v>6882633</v>
      </c>
      <c r="X539" s="37">
        <v>0</v>
      </c>
      <c r="Y539" s="37">
        <v>0</v>
      </c>
      <c r="Z539" s="37">
        <v>0</v>
      </c>
      <c r="AA539" s="37">
        <v>20879191.699999999</v>
      </c>
      <c r="AB539" s="37">
        <v>10956799.49</v>
      </c>
      <c r="AC539" s="37">
        <v>921219</v>
      </c>
      <c r="AD539" s="37">
        <v>0</v>
      </c>
      <c r="AE539" s="37">
        <v>0</v>
      </c>
      <c r="AF539" s="168">
        <v>0.02</v>
      </c>
      <c r="AG539" s="37">
        <v>2386273194.9200001</v>
      </c>
      <c r="AH539" s="37">
        <v>19498932.23</v>
      </c>
      <c r="AI539" s="37">
        <v>19888910.879999999</v>
      </c>
      <c r="AJ539" s="37">
        <v>20286689.100000001</v>
      </c>
      <c r="AK539" s="37">
        <v>20692422.879999999</v>
      </c>
      <c r="AL539" s="37">
        <v>21106271.34</v>
      </c>
      <c r="AM539" s="37">
        <v>21528396.760000002</v>
      </c>
      <c r="AN539" s="37">
        <v>21958964.699999999</v>
      </c>
      <c r="AO539" s="37">
        <v>22398143.989999998</v>
      </c>
      <c r="AP539" s="37">
        <v>22846106.870000001</v>
      </c>
      <c r="AQ539" s="37">
        <v>23303029.010000002</v>
      </c>
      <c r="AR539" s="37">
        <v>213507867.75999999</v>
      </c>
      <c r="AS539" s="37">
        <v>33286817.699999999</v>
      </c>
      <c r="AT539" s="37">
        <v>0</v>
      </c>
      <c r="AU539" s="37">
        <v>0</v>
      </c>
      <c r="AV539" s="37">
        <v>0</v>
      </c>
      <c r="AW539" s="37">
        <v>0</v>
      </c>
      <c r="AX539" s="37">
        <v>0</v>
      </c>
      <c r="AY539" s="37">
        <v>0</v>
      </c>
      <c r="AZ539" s="37">
        <v>0</v>
      </c>
      <c r="BA539" s="37">
        <v>0</v>
      </c>
      <c r="BB539" s="37">
        <v>0</v>
      </c>
      <c r="BC539" s="37">
        <v>0</v>
      </c>
      <c r="BD539" s="37">
        <v>0</v>
      </c>
      <c r="BE539" s="37">
        <v>2193275</v>
      </c>
      <c r="BF539" s="37">
        <v>15200000</v>
      </c>
      <c r="BG539" s="37">
        <v>12195000</v>
      </c>
      <c r="BH539" s="37">
        <v>12000000</v>
      </c>
      <c r="BI539" s="37">
        <v>10000000</v>
      </c>
      <c r="BJ539" s="37">
        <v>6000000</v>
      </c>
      <c r="BK539" s="37">
        <v>4400000</v>
      </c>
      <c r="BL539" s="37">
        <v>0</v>
      </c>
      <c r="BM539" s="37">
        <v>0</v>
      </c>
      <c r="BN539" s="37">
        <v>0</v>
      </c>
      <c r="BO539" s="37">
        <v>0</v>
      </c>
      <c r="BP539" s="37">
        <v>59795000</v>
      </c>
      <c r="BQ539" s="37">
        <v>1145000</v>
      </c>
      <c r="BR539" s="37">
        <v>2033000</v>
      </c>
      <c r="BS539" s="37">
        <v>14850500</v>
      </c>
      <c r="BT539" s="37">
        <v>15655500</v>
      </c>
      <c r="BU539" s="37">
        <v>15556000</v>
      </c>
      <c r="BV539" s="37">
        <v>7500000</v>
      </c>
      <c r="BW539" s="37">
        <v>1600000</v>
      </c>
      <c r="BX539" s="37">
        <v>0</v>
      </c>
      <c r="BY539" s="37">
        <v>0</v>
      </c>
      <c r="BZ539" s="37">
        <v>0</v>
      </c>
      <c r="CA539" s="37">
        <v>0</v>
      </c>
      <c r="CB539" s="37">
        <v>57195000</v>
      </c>
      <c r="CC539" s="37">
        <v>0</v>
      </c>
      <c r="CD539" s="37">
        <v>0</v>
      </c>
      <c r="CE539" s="37">
        <v>0</v>
      </c>
      <c r="CF539" s="37">
        <v>0</v>
      </c>
      <c r="CG539" s="37">
        <v>0</v>
      </c>
      <c r="CH539" s="37">
        <v>0</v>
      </c>
      <c r="CI539" s="37">
        <v>0</v>
      </c>
      <c r="CJ539" s="37">
        <v>0</v>
      </c>
      <c r="CK539" s="37">
        <v>0</v>
      </c>
      <c r="CL539" s="37">
        <v>0</v>
      </c>
      <c r="CM539" s="37">
        <v>0</v>
      </c>
      <c r="CN539" s="37">
        <v>0</v>
      </c>
      <c r="CO539" s="37">
        <v>0</v>
      </c>
      <c r="CP539" s="37">
        <v>0</v>
      </c>
      <c r="CQ539" s="37">
        <v>0</v>
      </c>
      <c r="CR539" s="37">
        <v>0</v>
      </c>
      <c r="CS539" s="37">
        <v>0</v>
      </c>
      <c r="CT539" s="37">
        <v>0</v>
      </c>
      <c r="CU539" s="37">
        <v>0</v>
      </c>
      <c r="CV539" s="37">
        <v>0</v>
      </c>
      <c r="CW539" s="37">
        <v>0</v>
      </c>
      <c r="CX539" s="37">
        <v>0</v>
      </c>
      <c r="CY539" s="37">
        <v>0</v>
      </c>
      <c r="CZ539" s="37">
        <v>0</v>
      </c>
      <c r="DA539" s="37">
        <v>0</v>
      </c>
      <c r="DB539" s="37">
        <v>0</v>
      </c>
      <c r="DC539" s="37">
        <v>0</v>
      </c>
      <c r="DD539" s="37">
        <v>0</v>
      </c>
      <c r="DE539" s="37">
        <v>0</v>
      </c>
      <c r="DF539" s="37">
        <v>0</v>
      </c>
      <c r="DG539" s="37">
        <v>0</v>
      </c>
      <c r="DH539" s="37">
        <v>0</v>
      </c>
      <c r="DI539" s="37">
        <v>0</v>
      </c>
      <c r="DJ539" s="37">
        <v>0</v>
      </c>
      <c r="DK539" s="37">
        <v>0</v>
      </c>
      <c r="DL539" s="37">
        <v>0</v>
      </c>
      <c r="DM539" s="37">
        <v>0</v>
      </c>
      <c r="DN539" s="37">
        <v>0</v>
      </c>
      <c r="DO539" s="37">
        <v>0</v>
      </c>
      <c r="DP539" s="37">
        <v>0</v>
      </c>
      <c r="DQ539" s="37">
        <v>0</v>
      </c>
      <c r="DR539" s="37">
        <v>0</v>
      </c>
      <c r="DS539" s="37">
        <v>0</v>
      </c>
      <c r="DT539" s="37">
        <v>0</v>
      </c>
      <c r="DU539" s="37">
        <v>0</v>
      </c>
      <c r="DV539" s="37">
        <v>0</v>
      </c>
      <c r="DW539" s="37">
        <v>0</v>
      </c>
      <c r="DX539" s="37">
        <v>0</v>
      </c>
      <c r="DY539" s="37">
        <v>0</v>
      </c>
      <c r="DZ539" s="37">
        <v>0</v>
      </c>
      <c r="EA539" s="37">
        <v>0</v>
      </c>
      <c r="EB539" s="37">
        <v>0</v>
      </c>
      <c r="EC539" s="37">
        <v>0</v>
      </c>
      <c r="ED539" s="37">
        <v>0</v>
      </c>
      <c r="EE539" s="37">
        <v>0</v>
      </c>
      <c r="EF539" s="37">
        <v>0</v>
      </c>
      <c r="EG539" s="37">
        <v>0</v>
      </c>
      <c r="EH539" s="37">
        <v>0</v>
      </c>
      <c r="EI539" s="37">
        <v>0</v>
      </c>
      <c r="EJ539" s="37">
        <v>0</v>
      </c>
      <c r="EK539" s="161" t="s">
        <v>1124</v>
      </c>
      <c r="EL539" s="294" t="s">
        <v>1124</v>
      </c>
    </row>
    <row r="540" spans="1:142" ht="15" customHeight="1" x14ac:dyDescent="0.35">
      <c r="A540" s="34"/>
      <c r="B540" s="313">
        <v>17015</v>
      </c>
      <c r="C540" s="8" t="s">
        <v>92</v>
      </c>
      <c r="D540" s="18">
        <v>12</v>
      </c>
      <c r="E540" s="155"/>
      <c r="F540" s="36"/>
      <c r="G540" s="37"/>
      <c r="H540" s="37"/>
      <c r="I540" s="37"/>
      <c r="J540" s="37"/>
      <c r="K540" s="37"/>
      <c r="L540" s="37"/>
      <c r="M540" s="37" t="s">
        <v>1124</v>
      </c>
      <c r="N540" s="37" t="s">
        <v>1124</v>
      </c>
      <c r="O540" s="37"/>
      <c r="P540" s="37"/>
      <c r="Q540" s="37"/>
      <c r="R540" s="37"/>
      <c r="S540" s="37"/>
      <c r="T540" s="37"/>
      <c r="U540" s="37"/>
      <c r="V540" s="37"/>
      <c r="W540" s="37"/>
      <c r="X540" s="37"/>
      <c r="Y540" s="37"/>
      <c r="Z540" s="37"/>
      <c r="AA540" s="37" t="s">
        <v>1124</v>
      </c>
      <c r="AB540" s="37" t="s">
        <v>1124</v>
      </c>
      <c r="AC540" s="37"/>
      <c r="AD540" s="37"/>
      <c r="AE540" s="37"/>
      <c r="AF540" s="168"/>
      <c r="AG540" s="37"/>
      <c r="AH540" s="37"/>
      <c r="AI540" s="37"/>
      <c r="AJ540" s="37"/>
      <c r="AK540" s="37"/>
      <c r="AL540" s="37"/>
      <c r="AM540" s="37"/>
      <c r="AN540" s="37"/>
      <c r="AO540" s="37"/>
      <c r="AP540" s="37"/>
      <c r="AQ540" s="37"/>
      <c r="AR540" s="37" t="s">
        <v>1124</v>
      </c>
      <c r="AS540" s="37"/>
      <c r="AT540" s="37"/>
      <c r="AU540" s="37"/>
      <c r="AV540" s="37"/>
      <c r="AW540" s="37"/>
      <c r="AX540" s="37"/>
      <c r="AY540" s="37"/>
      <c r="AZ540" s="37"/>
      <c r="BA540" s="37"/>
      <c r="BB540" s="37"/>
      <c r="BC540" s="37"/>
      <c r="BD540" s="37" t="s">
        <v>1124</v>
      </c>
      <c r="BE540" s="37"/>
      <c r="BF540" s="37"/>
      <c r="BG540" s="37"/>
      <c r="BH540" s="37"/>
      <c r="BI540" s="37"/>
      <c r="BJ540" s="37"/>
      <c r="BK540" s="37"/>
      <c r="BL540" s="37"/>
      <c r="BM540" s="37"/>
      <c r="BN540" s="37"/>
      <c r="BO540" s="37"/>
      <c r="BP540" s="37">
        <v>0</v>
      </c>
      <c r="BQ540" s="37"/>
      <c r="BR540" s="37"/>
      <c r="BS540" s="37"/>
      <c r="BT540" s="37"/>
      <c r="BU540" s="37"/>
      <c r="BV540" s="37"/>
      <c r="BW540" s="37"/>
      <c r="BX540" s="37"/>
      <c r="BY540" s="37"/>
      <c r="BZ540" s="37"/>
      <c r="CA540" s="37"/>
      <c r="CB540" s="37" t="s">
        <v>1124</v>
      </c>
      <c r="CC540" s="37"/>
      <c r="CD540" s="37"/>
      <c r="CE540" s="37"/>
      <c r="CF540" s="37"/>
      <c r="CG540" s="37"/>
      <c r="CH540" s="37"/>
      <c r="CI540" s="37"/>
      <c r="CJ540" s="37"/>
      <c r="CK540" s="37"/>
      <c r="CL540" s="37"/>
      <c r="CM540" s="37"/>
      <c r="CN540" s="37" t="s">
        <v>1124</v>
      </c>
      <c r="CO540" s="37"/>
      <c r="CP540" s="37"/>
      <c r="CQ540" s="37"/>
      <c r="CR540" s="37"/>
      <c r="CS540" s="37"/>
      <c r="CT540" s="37"/>
      <c r="CU540" s="37"/>
      <c r="CV540" s="37"/>
      <c r="CW540" s="37"/>
      <c r="CX540" s="37"/>
      <c r="CY540" s="37"/>
      <c r="CZ540" s="37" t="s">
        <v>1124</v>
      </c>
      <c r="DA540" s="37"/>
      <c r="DB540" s="37"/>
      <c r="DC540" s="37"/>
      <c r="DD540" s="37"/>
      <c r="DE540" s="37"/>
      <c r="DF540" s="37"/>
      <c r="DG540" s="37"/>
      <c r="DH540" s="37"/>
      <c r="DI540" s="37"/>
      <c r="DJ540" s="37"/>
      <c r="DK540" s="37"/>
      <c r="DL540" s="37" t="s">
        <v>1124</v>
      </c>
      <c r="DM540" s="37"/>
      <c r="DN540" s="37"/>
      <c r="DO540" s="37"/>
      <c r="DP540" s="37"/>
      <c r="DQ540" s="37"/>
      <c r="DR540" s="37"/>
      <c r="DS540" s="37"/>
      <c r="DT540" s="37"/>
      <c r="DU540" s="37"/>
      <c r="DV540" s="37"/>
      <c r="DW540" s="37"/>
      <c r="DX540" s="37" t="s">
        <v>1124</v>
      </c>
      <c r="DY540" s="37"/>
      <c r="DZ540" s="37"/>
      <c r="EA540" s="37"/>
      <c r="EB540" s="37"/>
      <c r="EC540" s="37"/>
      <c r="ED540" s="37"/>
      <c r="EE540" s="37"/>
      <c r="EF540" s="37"/>
      <c r="EG540" s="37"/>
      <c r="EH540" s="37"/>
      <c r="EI540" s="37"/>
      <c r="EJ540" s="37" t="s">
        <v>1124</v>
      </c>
      <c r="EK540" s="161"/>
      <c r="EL540" s="294"/>
    </row>
    <row r="541" spans="1:142" ht="15" customHeight="1" x14ac:dyDescent="0.35">
      <c r="A541" s="34"/>
      <c r="B541" s="313">
        <v>8030</v>
      </c>
      <c r="C541" s="8" t="s">
        <v>1090</v>
      </c>
      <c r="D541" s="18">
        <v>1</v>
      </c>
      <c r="E541" s="155">
        <v>68983</v>
      </c>
      <c r="F541" s="36">
        <v>9310</v>
      </c>
      <c r="G541" s="37">
        <v>27870</v>
      </c>
      <c r="H541" s="37">
        <v>0</v>
      </c>
      <c r="I541" s="37">
        <v>303341</v>
      </c>
      <c r="J541" s="37">
        <v>0</v>
      </c>
      <c r="K541" s="37">
        <v>40000</v>
      </c>
      <c r="L541" s="37">
        <v>900</v>
      </c>
      <c r="M541" s="37">
        <v>440194</v>
      </c>
      <c r="N541" s="37">
        <v>10210</v>
      </c>
      <c r="O541" s="37">
        <v>0</v>
      </c>
      <c r="P541" s="37">
        <v>0</v>
      </c>
      <c r="Q541" s="37">
        <v>54880</v>
      </c>
      <c r="R541" s="37">
        <v>6399</v>
      </c>
      <c r="S541" s="37">
        <v>3780</v>
      </c>
      <c r="T541" s="37">
        <v>0</v>
      </c>
      <c r="U541" s="37">
        <v>22863</v>
      </c>
      <c r="V541" s="37">
        <v>0</v>
      </c>
      <c r="W541" s="37">
        <v>362482</v>
      </c>
      <c r="X541" s="37">
        <v>0</v>
      </c>
      <c r="Y541" s="37">
        <v>0</v>
      </c>
      <c r="Z541" s="37">
        <v>0</v>
      </c>
      <c r="AA541" s="37">
        <v>444005</v>
      </c>
      <c r="AB541" s="37">
        <v>6399</v>
      </c>
      <c r="AC541" s="37">
        <v>0</v>
      </c>
      <c r="AD541" s="37">
        <v>0</v>
      </c>
      <c r="AE541" s="37">
        <v>0</v>
      </c>
      <c r="AF541" s="168">
        <v>0.02</v>
      </c>
      <c r="AG541" s="37">
        <v>14760954.880000001</v>
      </c>
      <c r="AH541" s="37">
        <v>50336.59</v>
      </c>
      <c r="AI541" s="37">
        <v>665782.64</v>
      </c>
      <c r="AJ541" s="37">
        <v>50205.32</v>
      </c>
      <c r="AK541" s="37">
        <v>51209.43</v>
      </c>
      <c r="AL541" s="37">
        <v>52233.62</v>
      </c>
      <c r="AM541" s="37">
        <v>53278.29</v>
      </c>
      <c r="AN541" s="37">
        <v>54343.86</v>
      </c>
      <c r="AO541" s="37">
        <v>55430.73</v>
      </c>
      <c r="AP541" s="37">
        <v>56539.35</v>
      </c>
      <c r="AQ541" s="37">
        <v>57670.49</v>
      </c>
      <c r="AR541" s="37">
        <v>1147030.32</v>
      </c>
      <c r="AS541" s="37">
        <v>277973.03000000003</v>
      </c>
      <c r="AT541" s="37">
        <v>0</v>
      </c>
      <c r="AU541" s="37">
        <v>0</v>
      </c>
      <c r="AV541" s="37">
        <v>0</v>
      </c>
      <c r="AW541" s="37">
        <v>0</v>
      </c>
      <c r="AX541" s="37">
        <v>0</v>
      </c>
      <c r="AY541" s="37">
        <v>0</v>
      </c>
      <c r="AZ541" s="37">
        <v>0</v>
      </c>
      <c r="BA541" s="37">
        <v>0</v>
      </c>
      <c r="BB541" s="37">
        <v>0</v>
      </c>
      <c r="BC541" s="37">
        <v>0</v>
      </c>
      <c r="BD541" s="37">
        <v>0</v>
      </c>
      <c r="BE541" s="37">
        <v>149059</v>
      </c>
      <c r="BF541" s="37">
        <v>0</v>
      </c>
      <c r="BG541" s="37">
        <v>0</v>
      </c>
      <c r="BH541" s="37">
        <v>0</v>
      </c>
      <c r="BI541" s="37">
        <v>0</v>
      </c>
      <c r="BJ541" s="37">
        <v>0</v>
      </c>
      <c r="BK541" s="37">
        <v>0</v>
      </c>
      <c r="BL541" s="37">
        <v>0</v>
      </c>
      <c r="BM541" s="37">
        <v>0</v>
      </c>
      <c r="BN541" s="37">
        <v>0</v>
      </c>
      <c r="BO541" s="37">
        <v>0</v>
      </c>
      <c r="BP541" s="37">
        <v>0</v>
      </c>
      <c r="BQ541" s="37">
        <v>0</v>
      </c>
      <c r="BR541" s="37">
        <v>0</v>
      </c>
      <c r="BS541" s="37">
        <v>581400</v>
      </c>
      <c r="BT541" s="37">
        <v>0</v>
      </c>
      <c r="BU541" s="37">
        <v>0</v>
      </c>
      <c r="BV541" s="37">
        <v>0</v>
      </c>
      <c r="BW541" s="37">
        <v>0</v>
      </c>
      <c r="BX541" s="37">
        <v>0</v>
      </c>
      <c r="BY541" s="37">
        <v>0</v>
      </c>
      <c r="BZ541" s="37">
        <v>0</v>
      </c>
      <c r="CA541" s="37">
        <v>0</v>
      </c>
      <c r="CB541" s="37">
        <v>581400</v>
      </c>
      <c r="CC541" s="37">
        <v>0</v>
      </c>
      <c r="CD541" s="37">
        <v>0</v>
      </c>
      <c r="CE541" s="37">
        <v>0</v>
      </c>
      <c r="CF541" s="37">
        <v>0</v>
      </c>
      <c r="CG541" s="37">
        <v>0</v>
      </c>
      <c r="CH541" s="37">
        <v>0</v>
      </c>
      <c r="CI541" s="37">
        <v>0</v>
      </c>
      <c r="CJ541" s="37">
        <v>0</v>
      </c>
      <c r="CK541" s="37">
        <v>0</v>
      </c>
      <c r="CL541" s="37">
        <v>0</v>
      </c>
      <c r="CM541" s="37">
        <v>0</v>
      </c>
      <c r="CN541" s="37">
        <v>0</v>
      </c>
      <c r="CO541" s="37">
        <v>126165</v>
      </c>
      <c r="CP541" s="37">
        <v>0</v>
      </c>
      <c r="CQ541" s="37">
        <v>0</v>
      </c>
      <c r="CR541" s="37">
        <v>0</v>
      </c>
      <c r="CS541" s="37">
        <v>0</v>
      </c>
      <c r="CT541" s="37">
        <v>0</v>
      </c>
      <c r="CU541" s="37">
        <v>0</v>
      </c>
      <c r="CV541" s="37">
        <v>0</v>
      </c>
      <c r="CW541" s="37">
        <v>0</v>
      </c>
      <c r="CX541" s="37">
        <v>0</v>
      </c>
      <c r="CY541" s="37">
        <v>0</v>
      </c>
      <c r="CZ541" s="37">
        <v>0</v>
      </c>
      <c r="DA541" s="37">
        <v>0</v>
      </c>
      <c r="DB541" s="37">
        <v>0</v>
      </c>
      <c r="DC541" s="37">
        <v>0</v>
      </c>
      <c r="DD541" s="37">
        <v>0</v>
      </c>
      <c r="DE541" s="37">
        <v>0</v>
      </c>
      <c r="DF541" s="37">
        <v>0</v>
      </c>
      <c r="DG541" s="37">
        <v>0</v>
      </c>
      <c r="DH541" s="37">
        <v>0</v>
      </c>
      <c r="DI541" s="37">
        <v>0</v>
      </c>
      <c r="DJ541" s="37">
        <v>0</v>
      </c>
      <c r="DK541" s="37">
        <v>0</v>
      </c>
      <c r="DL541" s="37">
        <v>0</v>
      </c>
      <c r="DM541" s="37">
        <v>0</v>
      </c>
      <c r="DN541" s="37">
        <v>0</v>
      </c>
      <c r="DO541" s="37">
        <v>0</v>
      </c>
      <c r="DP541" s="37">
        <v>0</v>
      </c>
      <c r="DQ541" s="37">
        <v>0</v>
      </c>
      <c r="DR541" s="37">
        <v>0</v>
      </c>
      <c r="DS541" s="37">
        <v>0</v>
      </c>
      <c r="DT541" s="37">
        <v>0</v>
      </c>
      <c r="DU541" s="37">
        <v>0</v>
      </c>
      <c r="DV541" s="37">
        <v>0</v>
      </c>
      <c r="DW541" s="37">
        <v>0</v>
      </c>
      <c r="DX541" s="37">
        <v>0</v>
      </c>
      <c r="DY541" s="37">
        <v>0</v>
      </c>
      <c r="DZ541" s="37">
        <v>0</v>
      </c>
      <c r="EA541" s="37">
        <v>0</v>
      </c>
      <c r="EB541" s="37">
        <v>0</v>
      </c>
      <c r="EC541" s="37">
        <v>0</v>
      </c>
      <c r="ED541" s="37">
        <v>0</v>
      </c>
      <c r="EE541" s="37">
        <v>0</v>
      </c>
      <c r="EF541" s="37">
        <v>0</v>
      </c>
      <c r="EG541" s="37">
        <v>0</v>
      </c>
      <c r="EH541" s="37">
        <v>0</v>
      </c>
      <c r="EI541" s="37">
        <v>0</v>
      </c>
      <c r="EJ541" s="37">
        <v>0</v>
      </c>
      <c r="EK541" s="161" t="s">
        <v>2555</v>
      </c>
      <c r="EL541" s="294" t="s">
        <v>1124</v>
      </c>
    </row>
    <row r="542" spans="1:142" ht="15" customHeight="1" x14ac:dyDescent="0.35">
      <c r="A542" s="34"/>
      <c r="B542" s="313">
        <v>35015</v>
      </c>
      <c r="C542" s="8" t="s">
        <v>305</v>
      </c>
      <c r="D542" s="18">
        <v>4</v>
      </c>
      <c r="E542" s="155">
        <v>42096</v>
      </c>
      <c r="F542" s="36">
        <v>30624</v>
      </c>
      <c r="G542" s="37">
        <v>0</v>
      </c>
      <c r="H542" s="37">
        <v>0</v>
      </c>
      <c r="I542" s="37">
        <v>0</v>
      </c>
      <c r="J542" s="37">
        <v>0</v>
      </c>
      <c r="K542" s="37">
        <v>6314.4</v>
      </c>
      <c r="L542" s="37">
        <v>4593.5999999999995</v>
      </c>
      <c r="M542" s="37">
        <v>48410.400000000001</v>
      </c>
      <c r="N542" s="37">
        <v>35217.599999999999</v>
      </c>
      <c r="O542" s="37">
        <v>0</v>
      </c>
      <c r="P542" s="37">
        <v>0</v>
      </c>
      <c r="Q542" s="37">
        <v>33919</v>
      </c>
      <c r="R542" s="37">
        <v>28800</v>
      </c>
      <c r="S542" s="37">
        <v>0</v>
      </c>
      <c r="T542" s="37">
        <v>0</v>
      </c>
      <c r="U542" s="37">
        <v>0</v>
      </c>
      <c r="V542" s="37">
        <v>0</v>
      </c>
      <c r="W542" s="37">
        <v>14491.400000000001</v>
      </c>
      <c r="X542" s="37">
        <v>6417.5999999999985</v>
      </c>
      <c r="Y542" s="37">
        <v>0</v>
      </c>
      <c r="Z542" s="37">
        <v>0</v>
      </c>
      <c r="AA542" s="37">
        <v>48410.400000000001</v>
      </c>
      <c r="AB542" s="37">
        <v>35217.599999999999</v>
      </c>
      <c r="AC542" s="37">
        <v>0</v>
      </c>
      <c r="AD542" s="37">
        <v>0</v>
      </c>
      <c r="AE542" s="37">
        <v>0</v>
      </c>
      <c r="AF542" s="168">
        <v>0.02</v>
      </c>
      <c r="AG542" s="37">
        <v>17260773.489999998</v>
      </c>
      <c r="AH542" s="37">
        <v>185773.21</v>
      </c>
      <c r="AI542" s="37">
        <v>165507.46</v>
      </c>
      <c r="AJ542" s="37">
        <v>172606.12</v>
      </c>
      <c r="AK542" s="37">
        <v>175782.22</v>
      </c>
      <c r="AL542" s="37">
        <v>191354.43</v>
      </c>
      <c r="AM542" s="37">
        <v>201358.52</v>
      </c>
      <c r="AN542" s="37">
        <v>213587.3</v>
      </c>
      <c r="AO542" s="37">
        <v>189296.34</v>
      </c>
      <c r="AP542" s="37">
        <v>193082.27</v>
      </c>
      <c r="AQ542" s="37">
        <v>222308.75</v>
      </c>
      <c r="AR542" s="37">
        <v>1910656.6199999996</v>
      </c>
      <c r="AS542" s="37">
        <v>78970.44</v>
      </c>
      <c r="AT542" s="37">
        <v>1040.4000000000001</v>
      </c>
      <c r="AU542" s="37">
        <v>0</v>
      </c>
      <c r="AV542" s="37">
        <v>661123.03</v>
      </c>
      <c r="AW542" s="37">
        <v>0</v>
      </c>
      <c r="AX542" s="37">
        <v>11261.62</v>
      </c>
      <c r="AY542" s="37">
        <v>0</v>
      </c>
      <c r="AZ542" s="37">
        <v>0</v>
      </c>
      <c r="BA542" s="37">
        <v>0</v>
      </c>
      <c r="BB542" s="37">
        <v>0</v>
      </c>
      <c r="BC542" s="37">
        <v>0</v>
      </c>
      <c r="BD542" s="37">
        <v>673425.05</v>
      </c>
      <c r="BE542" s="37">
        <v>0</v>
      </c>
      <c r="BF542" s="37">
        <v>47086.552814348419</v>
      </c>
      <c r="BG542" s="37">
        <v>50753.361283479018</v>
      </c>
      <c r="BH542" s="37">
        <v>62479.634042535174</v>
      </c>
      <c r="BI542" s="37">
        <v>74205.93185963748</v>
      </c>
      <c r="BJ542" s="37">
        <v>28783.801035448309</v>
      </c>
      <c r="BK542" s="37">
        <v>139382.45901579587</v>
      </c>
      <c r="BL542" s="37">
        <v>181262.00458385362</v>
      </c>
      <c r="BM542" s="37">
        <v>223141.5501519113</v>
      </c>
      <c r="BN542" s="37">
        <v>265021.18521299097</v>
      </c>
      <c r="BO542" s="37">
        <v>0</v>
      </c>
      <c r="BP542" s="37">
        <v>1072116.4800000002</v>
      </c>
      <c r="BQ542" s="37">
        <v>0</v>
      </c>
      <c r="BR542" s="37">
        <v>0</v>
      </c>
      <c r="BS542" s="37">
        <v>0</v>
      </c>
      <c r="BT542" s="37">
        <v>0</v>
      </c>
      <c r="BU542" s="37">
        <v>0</v>
      </c>
      <c r="BV542" s="37">
        <v>0</v>
      </c>
      <c r="BW542" s="37">
        <v>0</v>
      </c>
      <c r="BX542" s="37">
        <v>0</v>
      </c>
      <c r="BY542" s="37">
        <v>0</v>
      </c>
      <c r="BZ542" s="37">
        <v>0</v>
      </c>
      <c r="CA542" s="37">
        <v>0</v>
      </c>
      <c r="CB542" s="37">
        <v>0</v>
      </c>
      <c r="CC542" s="37">
        <v>0</v>
      </c>
      <c r="CD542" s="37">
        <v>47550</v>
      </c>
      <c r="CE542" s="37">
        <v>47550</v>
      </c>
      <c r="CF542" s="37">
        <v>47550</v>
      </c>
      <c r="CG542" s="37">
        <v>47550</v>
      </c>
      <c r="CH542" s="37">
        <v>47550</v>
      </c>
      <c r="CI542" s="37">
        <v>0</v>
      </c>
      <c r="CJ542" s="37">
        <v>0</v>
      </c>
      <c r="CK542" s="37">
        <v>0</v>
      </c>
      <c r="CL542" s="37">
        <v>0</v>
      </c>
      <c r="CM542" s="37">
        <v>0</v>
      </c>
      <c r="CN542" s="37">
        <v>237750</v>
      </c>
      <c r="CO542" s="37">
        <v>0</v>
      </c>
      <c r="CP542" s="37">
        <v>0</v>
      </c>
      <c r="CQ542" s="37">
        <v>602591</v>
      </c>
      <c r="CR542" s="37">
        <v>0</v>
      </c>
      <c r="CS542" s="37">
        <v>0</v>
      </c>
      <c r="CT542" s="37">
        <v>0</v>
      </c>
      <c r="CU542" s="37">
        <v>0</v>
      </c>
      <c r="CV542" s="37">
        <v>0</v>
      </c>
      <c r="CW542" s="37">
        <v>0</v>
      </c>
      <c r="CX542" s="37">
        <v>0</v>
      </c>
      <c r="CY542" s="37">
        <v>0</v>
      </c>
      <c r="CZ542" s="37">
        <v>602591</v>
      </c>
      <c r="DA542" s="37">
        <v>0</v>
      </c>
      <c r="DB542" s="37">
        <v>0</v>
      </c>
      <c r="DC542" s="37">
        <v>0</v>
      </c>
      <c r="DD542" s="37">
        <v>0</v>
      </c>
      <c r="DE542" s="37">
        <v>0</v>
      </c>
      <c r="DF542" s="37">
        <v>0</v>
      </c>
      <c r="DG542" s="37">
        <v>0</v>
      </c>
      <c r="DH542" s="37">
        <v>0</v>
      </c>
      <c r="DI542" s="37">
        <v>0</v>
      </c>
      <c r="DJ542" s="37">
        <v>0</v>
      </c>
      <c r="DK542" s="37">
        <v>0</v>
      </c>
      <c r="DL542" s="37">
        <v>0</v>
      </c>
      <c r="DM542" s="37">
        <v>0</v>
      </c>
      <c r="DN542" s="37">
        <v>0</v>
      </c>
      <c r="DO542" s="37">
        <v>0</v>
      </c>
      <c r="DP542" s="37">
        <v>0</v>
      </c>
      <c r="DQ542" s="37">
        <v>0</v>
      </c>
      <c r="DR542" s="37">
        <v>0</v>
      </c>
      <c r="DS542" s="37">
        <v>0</v>
      </c>
      <c r="DT542" s="37">
        <v>0</v>
      </c>
      <c r="DU542" s="37">
        <v>0</v>
      </c>
      <c r="DV542" s="37">
        <v>0</v>
      </c>
      <c r="DW542" s="37">
        <v>0</v>
      </c>
      <c r="DX542" s="37">
        <v>0</v>
      </c>
      <c r="DY542" s="37">
        <v>0</v>
      </c>
      <c r="DZ542" s="37">
        <v>0</v>
      </c>
      <c r="EA542" s="37">
        <v>0</v>
      </c>
      <c r="EB542" s="37">
        <v>0</v>
      </c>
      <c r="EC542" s="37">
        <v>0</v>
      </c>
      <c r="ED542" s="37">
        <v>0</v>
      </c>
      <c r="EE542" s="37">
        <v>0</v>
      </c>
      <c r="EF542" s="37">
        <v>0</v>
      </c>
      <c r="EG542" s="37">
        <v>0</v>
      </c>
      <c r="EH542" s="37">
        <v>0</v>
      </c>
      <c r="EI542" s="37">
        <v>0</v>
      </c>
      <c r="EJ542" s="37">
        <v>0</v>
      </c>
      <c r="EK542" s="161" t="s">
        <v>2559</v>
      </c>
      <c r="EL542" s="294" t="s">
        <v>1124</v>
      </c>
    </row>
    <row r="543" spans="1:142" ht="15" customHeight="1" x14ac:dyDescent="0.35">
      <c r="A543" s="34"/>
      <c r="B543" s="315">
        <v>77065</v>
      </c>
      <c r="C543" s="9" t="s">
        <v>765</v>
      </c>
      <c r="D543" s="23">
        <v>15</v>
      </c>
      <c r="E543" s="155">
        <v>247278</v>
      </c>
      <c r="F543" s="36">
        <v>297844</v>
      </c>
      <c r="G543" s="37">
        <v>97826</v>
      </c>
      <c r="H543" s="37">
        <v>37121</v>
      </c>
      <c r="I543" s="37">
        <v>187036</v>
      </c>
      <c r="J543" s="37">
        <v>135536</v>
      </c>
      <c r="K543" s="37">
        <v>37092</v>
      </c>
      <c r="L543" s="37">
        <v>44677</v>
      </c>
      <c r="M543" s="37">
        <v>569232</v>
      </c>
      <c r="N543" s="37">
        <v>515178</v>
      </c>
      <c r="O543" s="37">
        <v>0</v>
      </c>
      <c r="P543" s="37">
        <v>0</v>
      </c>
      <c r="Q543" s="37">
        <v>315348</v>
      </c>
      <c r="R543" s="37">
        <v>326330</v>
      </c>
      <c r="S543" s="37">
        <v>0</v>
      </c>
      <c r="T543" s="37">
        <v>0</v>
      </c>
      <c r="U543" s="37">
        <v>17940</v>
      </c>
      <c r="V543" s="37">
        <v>17940</v>
      </c>
      <c r="W543" s="37">
        <v>277306</v>
      </c>
      <c r="X543" s="37">
        <v>212270</v>
      </c>
      <c r="Y543" s="37">
        <v>0</v>
      </c>
      <c r="Z543" s="37">
        <v>0</v>
      </c>
      <c r="AA543" s="37">
        <v>610594</v>
      </c>
      <c r="AB543" s="37">
        <v>556540</v>
      </c>
      <c r="AC543" s="37">
        <v>82724</v>
      </c>
      <c r="AD543" s="37">
        <v>82724</v>
      </c>
      <c r="AE543" s="37">
        <v>510829</v>
      </c>
      <c r="AF543" s="168">
        <v>0.02</v>
      </c>
      <c r="AG543" s="37">
        <v>44594113.539999999</v>
      </c>
      <c r="AH543" s="37">
        <v>363480.9</v>
      </c>
      <c r="AI543" s="37">
        <v>360138.44</v>
      </c>
      <c r="AJ543" s="37">
        <v>367341.21</v>
      </c>
      <c r="AK543" s="37">
        <v>374688.03</v>
      </c>
      <c r="AL543" s="37">
        <v>382181.79</v>
      </c>
      <c r="AM543" s="37">
        <v>389825.43</v>
      </c>
      <c r="AN543" s="37">
        <v>397621.94</v>
      </c>
      <c r="AO543" s="37">
        <v>405574.38</v>
      </c>
      <c r="AP543" s="37">
        <v>413685.87</v>
      </c>
      <c r="AQ543" s="37">
        <v>421959.58</v>
      </c>
      <c r="AR543" s="37">
        <v>3876497.5700000003</v>
      </c>
      <c r="AS543" s="37">
        <v>5560536.1200000001</v>
      </c>
      <c r="AT543" s="37">
        <v>20808</v>
      </c>
      <c r="AU543" s="37">
        <v>31836.240000000002</v>
      </c>
      <c r="AV543" s="37">
        <v>0</v>
      </c>
      <c r="AW543" s="37">
        <v>49683.64</v>
      </c>
      <c r="AX543" s="37">
        <v>1013546.18</v>
      </c>
      <c r="AY543" s="37">
        <v>0</v>
      </c>
      <c r="AZ543" s="37">
        <v>0</v>
      </c>
      <c r="BA543" s="37">
        <v>0</v>
      </c>
      <c r="BB543" s="37">
        <v>0</v>
      </c>
      <c r="BC543" s="37">
        <v>0</v>
      </c>
      <c r="BD543" s="37">
        <v>1115874.06</v>
      </c>
      <c r="BE543" s="37">
        <v>346178</v>
      </c>
      <c r="BF543" s="37">
        <v>1761574</v>
      </c>
      <c r="BG543" s="37">
        <v>2143630</v>
      </c>
      <c r="BH543" s="37">
        <v>0</v>
      </c>
      <c r="BI543" s="37">
        <v>0</v>
      </c>
      <c r="BJ543" s="37">
        <v>0</v>
      </c>
      <c r="BK543" s="37">
        <v>0</v>
      </c>
      <c r="BL543" s="37">
        <v>0</v>
      </c>
      <c r="BM543" s="37">
        <v>0</v>
      </c>
      <c r="BN543" s="37">
        <v>0</v>
      </c>
      <c r="BO543" s="37">
        <v>0</v>
      </c>
      <c r="BP543" s="37">
        <v>3905204</v>
      </c>
      <c r="BQ543" s="37">
        <v>0</v>
      </c>
      <c r="BR543" s="37">
        <v>450594</v>
      </c>
      <c r="BS543" s="37">
        <v>1149864</v>
      </c>
      <c r="BT543" s="37">
        <v>2500000</v>
      </c>
      <c r="BU543" s="37">
        <v>0</v>
      </c>
      <c r="BV543" s="37">
        <v>0</v>
      </c>
      <c r="BW543" s="37">
        <v>0</v>
      </c>
      <c r="BX543" s="37">
        <v>0</v>
      </c>
      <c r="BY543" s="37">
        <v>0</v>
      </c>
      <c r="BZ543" s="37">
        <v>0</v>
      </c>
      <c r="CA543" s="37">
        <v>0</v>
      </c>
      <c r="CB543" s="37">
        <v>4100458</v>
      </c>
      <c r="CC543" s="37">
        <v>0</v>
      </c>
      <c r="CD543" s="37">
        <v>0</v>
      </c>
      <c r="CE543" s="37">
        <v>0</v>
      </c>
      <c r="CF543" s="37">
        <v>0</v>
      </c>
      <c r="CG543" s="37">
        <v>0</v>
      </c>
      <c r="CH543" s="37">
        <v>0</v>
      </c>
      <c r="CI543" s="37">
        <v>0</v>
      </c>
      <c r="CJ543" s="37">
        <v>0</v>
      </c>
      <c r="CK543" s="37">
        <v>0</v>
      </c>
      <c r="CL543" s="37">
        <v>0</v>
      </c>
      <c r="CM543" s="37">
        <v>0</v>
      </c>
      <c r="CN543" s="37">
        <v>0</v>
      </c>
      <c r="CO543" s="37">
        <v>0</v>
      </c>
      <c r="CP543" s="37">
        <v>0</v>
      </c>
      <c r="CQ543" s="37">
        <v>0</v>
      </c>
      <c r="CR543" s="37">
        <v>0</v>
      </c>
      <c r="CS543" s="37">
        <v>0</v>
      </c>
      <c r="CT543" s="37">
        <v>0</v>
      </c>
      <c r="CU543" s="37">
        <v>0</v>
      </c>
      <c r="CV543" s="37">
        <v>0</v>
      </c>
      <c r="CW543" s="37">
        <v>0</v>
      </c>
      <c r="CX543" s="37">
        <v>0</v>
      </c>
      <c r="CY543" s="37">
        <v>0</v>
      </c>
      <c r="CZ543" s="37">
        <v>0</v>
      </c>
      <c r="DA543" s="37">
        <v>0</v>
      </c>
      <c r="DB543" s="37">
        <v>20400</v>
      </c>
      <c r="DC543" s="37">
        <v>30600</v>
      </c>
      <c r="DD543" s="37">
        <v>0</v>
      </c>
      <c r="DE543" s="37">
        <v>45900</v>
      </c>
      <c r="DF543" s="37">
        <v>918000</v>
      </c>
      <c r="DG543" s="37">
        <v>0</v>
      </c>
      <c r="DH543" s="37">
        <v>0</v>
      </c>
      <c r="DI543" s="37">
        <v>0</v>
      </c>
      <c r="DJ543" s="37">
        <v>0</v>
      </c>
      <c r="DK543" s="37">
        <v>0</v>
      </c>
      <c r="DL543" s="37">
        <v>1014900</v>
      </c>
      <c r="DM543" s="37">
        <v>0</v>
      </c>
      <c r="DN543" s="37">
        <v>0</v>
      </c>
      <c r="DO543" s="37">
        <v>0</v>
      </c>
      <c r="DP543" s="37">
        <v>0</v>
      </c>
      <c r="DQ543" s="37">
        <v>0</v>
      </c>
      <c r="DR543" s="37">
        <v>0</v>
      </c>
      <c r="DS543" s="37">
        <v>0</v>
      </c>
      <c r="DT543" s="37">
        <v>0</v>
      </c>
      <c r="DU543" s="37">
        <v>0</v>
      </c>
      <c r="DV543" s="37">
        <v>0</v>
      </c>
      <c r="DW543" s="37">
        <v>0</v>
      </c>
      <c r="DX543" s="37">
        <v>0</v>
      </c>
      <c r="DY543" s="37">
        <v>0</v>
      </c>
      <c r="DZ543" s="37">
        <v>0</v>
      </c>
      <c r="EA543" s="37">
        <v>0</v>
      </c>
      <c r="EB543" s="37">
        <v>0</v>
      </c>
      <c r="EC543" s="37">
        <v>0</v>
      </c>
      <c r="ED543" s="37">
        <v>0</v>
      </c>
      <c r="EE543" s="37">
        <v>0</v>
      </c>
      <c r="EF543" s="37">
        <v>0</v>
      </c>
      <c r="EG543" s="37">
        <v>0</v>
      </c>
      <c r="EH543" s="37">
        <v>0</v>
      </c>
      <c r="EI543" s="37">
        <v>0</v>
      </c>
      <c r="EJ543" s="37">
        <v>0</v>
      </c>
      <c r="EK543" s="161" t="s">
        <v>2565</v>
      </c>
      <c r="EL543" s="294" t="s">
        <v>1124</v>
      </c>
    </row>
    <row r="544" spans="1:142" ht="15" customHeight="1" x14ac:dyDescent="0.35">
      <c r="A544" s="34"/>
      <c r="B544" s="313">
        <v>40010</v>
      </c>
      <c r="C544" s="8" t="s">
        <v>359</v>
      </c>
      <c r="D544" s="18">
        <v>5</v>
      </c>
      <c r="E544" s="155"/>
      <c r="F544" s="36"/>
      <c r="G544" s="37"/>
      <c r="H544" s="37"/>
      <c r="I544" s="37"/>
      <c r="J544" s="37"/>
      <c r="K544" s="37"/>
      <c r="L544" s="37"/>
      <c r="M544" s="37" t="s">
        <v>1124</v>
      </c>
      <c r="N544" s="37" t="s">
        <v>1124</v>
      </c>
      <c r="O544" s="37"/>
      <c r="P544" s="37"/>
      <c r="Q544" s="37"/>
      <c r="R544" s="37"/>
      <c r="S544" s="37"/>
      <c r="T544" s="37"/>
      <c r="U544" s="37"/>
      <c r="V544" s="37"/>
      <c r="W544" s="37"/>
      <c r="X544" s="37"/>
      <c r="Y544" s="37"/>
      <c r="Z544" s="37"/>
      <c r="AA544" s="37" t="s">
        <v>1124</v>
      </c>
      <c r="AB544" s="37" t="s">
        <v>1124</v>
      </c>
      <c r="AC544" s="37"/>
      <c r="AD544" s="37"/>
      <c r="AE544" s="37"/>
      <c r="AF544" s="168"/>
      <c r="AG544" s="37"/>
      <c r="AH544" s="37"/>
      <c r="AI544" s="37"/>
      <c r="AJ544" s="37"/>
      <c r="AK544" s="37"/>
      <c r="AL544" s="37"/>
      <c r="AM544" s="37"/>
      <c r="AN544" s="37"/>
      <c r="AO544" s="37"/>
      <c r="AP544" s="37"/>
      <c r="AQ544" s="37"/>
      <c r="AR544" s="37" t="s">
        <v>1124</v>
      </c>
      <c r="AS544" s="37"/>
      <c r="AT544" s="37"/>
      <c r="AU544" s="37"/>
      <c r="AV544" s="37"/>
      <c r="AW544" s="37"/>
      <c r="AX544" s="37"/>
      <c r="AY544" s="37"/>
      <c r="AZ544" s="37"/>
      <c r="BA544" s="37"/>
      <c r="BB544" s="37"/>
      <c r="BC544" s="37"/>
      <c r="BD544" s="37" t="s">
        <v>1124</v>
      </c>
      <c r="BE544" s="37"/>
      <c r="BF544" s="37"/>
      <c r="BG544" s="37"/>
      <c r="BH544" s="37"/>
      <c r="BI544" s="37"/>
      <c r="BJ544" s="37"/>
      <c r="BK544" s="37"/>
      <c r="BL544" s="37"/>
      <c r="BM544" s="37"/>
      <c r="BN544" s="37"/>
      <c r="BO544" s="37"/>
      <c r="BP544" s="37">
        <v>0</v>
      </c>
      <c r="BQ544" s="37"/>
      <c r="BR544" s="37"/>
      <c r="BS544" s="37"/>
      <c r="BT544" s="37"/>
      <c r="BU544" s="37"/>
      <c r="BV544" s="37"/>
      <c r="BW544" s="37"/>
      <c r="BX544" s="37"/>
      <c r="BY544" s="37"/>
      <c r="BZ544" s="37"/>
      <c r="CA544" s="37"/>
      <c r="CB544" s="37" t="s">
        <v>1124</v>
      </c>
      <c r="CC544" s="37"/>
      <c r="CD544" s="37"/>
      <c r="CE544" s="37"/>
      <c r="CF544" s="37"/>
      <c r="CG544" s="37"/>
      <c r="CH544" s="37"/>
      <c r="CI544" s="37"/>
      <c r="CJ544" s="37"/>
      <c r="CK544" s="37"/>
      <c r="CL544" s="37"/>
      <c r="CM544" s="37"/>
      <c r="CN544" s="37" t="s">
        <v>1124</v>
      </c>
      <c r="CO544" s="37"/>
      <c r="CP544" s="37"/>
      <c r="CQ544" s="37"/>
      <c r="CR544" s="37"/>
      <c r="CS544" s="37"/>
      <c r="CT544" s="37"/>
      <c r="CU544" s="37"/>
      <c r="CV544" s="37"/>
      <c r="CW544" s="37"/>
      <c r="CX544" s="37"/>
      <c r="CY544" s="37"/>
      <c r="CZ544" s="37" t="s">
        <v>1124</v>
      </c>
      <c r="DA544" s="37"/>
      <c r="DB544" s="37"/>
      <c r="DC544" s="37"/>
      <c r="DD544" s="37"/>
      <c r="DE544" s="37"/>
      <c r="DF544" s="37"/>
      <c r="DG544" s="37"/>
      <c r="DH544" s="37"/>
      <c r="DI544" s="37"/>
      <c r="DJ544" s="37"/>
      <c r="DK544" s="37"/>
      <c r="DL544" s="37" t="s">
        <v>1124</v>
      </c>
      <c r="DM544" s="37"/>
      <c r="DN544" s="37"/>
      <c r="DO544" s="37"/>
      <c r="DP544" s="37"/>
      <c r="DQ544" s="37"/>
      <c r="DR544" s="37"/>
      <c r="DS544" s="37"/>
      <c r="DT544" s="37"/>
      <c r="DU544" s="37"/>
      <c r="DV544" s="37"/>
      <c r="DW544" s="37"/>
      <c r="DX544" s="37" t="s">
        <v>1124</v>
      </c>
      <c r="DY544" s="37"/>
      <c r="DZ544" s="37"/>
      <c r="EA544" s="37"/>
      <c r="EB544" s="37"/>
      <c r="EC544" s="37"/>
      <c r="ED544" s="37"/>
      <c r="EE544" s="37"/>
      <c r="EF544" s="37"/>
      <c r="EG544" s="37"/>
      <c r="EH544" s="37"/>
      <c r="EI544" s="37"/>
      <c r="EJ544" s="37" t="s">
        <v>1124</v>
      </c>
      <c r="EK544" s="161"/>
      <c r="EL544" s="294"/>
    </row>
    <row r="545" spans="1:142" ht="15" customHeight="1" x14ac:dyDescent="0.35">
      <c r="A545" s="34"/>
      <c r="B545" s="313">
        <v>31095</v>
      </c>
      <c r="C545" s="8" t="s">
        <v>249</v>
      </c>
      <c r="D545" s="18">
        <v>12</v>
      </c>
      <c r="E545" s="155">
        <v>20261</v>
      </c>
      <c r="F545" s="36">
        <v>14120</v>
      </c>
      <c r="G545" s="37">
        <v>0</v>
      </c>
      <c r="H545" s="37">
        <v>0</v>
      </c>
      <c r="I545" s="37">
        <v>0</v>
      </c>
      <c r="J545" s="37">
        <v>0</v>
      </c>
      <c r="K545" s="37">
        <v>3039.15</v>
      </c>
      <c r="L545" s="37">
        <v>2118</v>
      </c>
      <c r="M545" s="37">
        <v>23300.15</v>
      </c>
      <c r="N545" s="37">
        <v>16238</v>
      </c>
      <c r="O545" s="37">
        <v>0</v>
      </c>
      <c r="P545" s="37">
        <v>0</v>
      </c>
      <c r="Q545" s="37">
        <v>21056</v>
      </c>
      <c r="R545" s="37">
        <v>0</v>
      </c>
      <c r="S545" s="37">
        <v>0</v>
      </c>
      <c r="T545" s="37">
        <v>0</v>
      </c>
      <c r="U545" s="37">
        <v>0</v>
      </c>
      <c r="V545" s="37">
        <v>0</v>
      </c>
      <c r="W545" s="37">
        <v>2244.1500000000015</v>
      </c>
      <c r="X545" s="37">
        <v>16238</v>
      </c>
      <c r="Y545" s="37">
        <v>0</v>
      </c>
      <c r="Z545" s="37">
        <v>0</v>
      </c>
      <c r="AA545" s="37">
        <v>23300.15</v>
      </c>
      <c r="AB545" s="37">
        <v>16238</v>
      </c>
      <c r="AC545" s="37">
        <v>0</v>
      </c>
      <c r="AD545" s="37">
        <v>0</v>
      </c>
      <c r="AE545" s="37">
        <v>0</v>
      </c>
      <c r="AF545" s="168">
        <v>0.02</v>
      </c>
      <c r="AG545" s="37">
        <v>1362221.11</v>
      </c>
      <c r="AH545" s="37">
        <v>3208.62</v>
      </c>
      <c r="AI545" s="37">
        <v>3272.79</v>
      </c>
      <c r="AJ545" s="37">
        <v>3338.25</v>
      </c>
      <c r="AK545" s="37">
        <v>3405.01</v>
      </c>
      <c r="AL545" s="37">
        <v>3473.11</v>
      </c>
      <c r="AM545" s="37">
        <v>3542.57</v>
      </c>
      <c r="AN545" s="37">
        <v>3613.42</v>
      </c>
      <c r="AO545" s="37">
        <v>3685.69</v>
      </c>
      <c r="AP545" s="37">
        <v>3759.41</v>
      </c>
      <c r="AQ545" s="37">
        <v>3834.59</v>
      </c>
      <c r="AR545" s="37">
        <v>35133.460000000006</v>
      </c>
      <c r="AS545" s="37">
        <v>10404</v>
      </c>
      <c r="AT545" s="37">
        <v>0</v>
      </c>
      <c r="AU545" s="37">
        <v>2387718</v>
      </c>
      <c r="AV545" s="37">
        <v>0</v>
      </c>
      <c r="AW545" s="37">
        <v>0</v>
      </c>
      <c r="AX545" s="37">
        <v>0</v>
      </c>
      <c r="AY545" s="37">
        <v>0</v>
      </c>
      <c r="AZ545" s="37">
        <v>0</v>
      </c>
      <c r="BA545" s="37">
        <v>0</v>
      </c>
      <c r="BB545" s="37">
        <v>0</v>
      </c>
      <c r="BC545" s="37">
        <v>0</v>
      </c>
      <c r="BD545" s="37">
        <v>2387718</v>
      </c>
      <c r="BE545" s="37">
        <v>1700</v>
      </c>
      <c r="BF545" s="37">
        <v>0</v>
      </c>
      <c r="BG545" s="37">
        <v>0</v>
      </c>
      <c r="BH545" s="37">
        <v>0</v>
      </c>
      <c r="BI545" s="37">
        <v>0</v>
      </c>
      <c r="BJ545" s="37">
        <v>0</v>
      </c>
      <c r="BK545" s="37">
        <v>0</v>
      </c>
      <c r="BL545" s="37">
        <v>0</v>
      </c>
      <c r="BM545" s="37">
        <v>0</v>
      </c>
      <c r="BN545" s="37">
        <v>0</v>
      </c>
      <c r="BO545" s="37">
        <v>0</v>
      </c>
      <c r="BP545" s="37">
        <v>0</v>
      </c>
      <c r="BQ545" s="37">
        <v>300</v>
      </c>
      <c r="BR545" s="37">
        <v>0</v>
      </c>
      <c r="BS545" s="37">
        <v>0</v>
      </c>
      <c r="BT545" s="37">
        <v>0</v>
      </c>
      <c r="BU545" s="37">
        <v>0</v>
      </c>
      <c r="BV545" s="37">
        <v>0</v>
      </c>
      <c r="BW545" s="37">
        <v>0</v>
      </c>
      <c r="BX545" s="37">
        <v>0</v>
      </c>
      <c r="BY545" s="37">
        <v>0</v>
      </c>
      <c r="BZ545" s="37">
        <v>0</v>
      </c>
      <c r="CA545" s="37">
        <v>0</v>
      </c>
      <c r="CB545" s="37">
        <v>0</v>
      </c>
      <c r="CC545" s="37">
        <v>0</v>
      </c>
      <c r="CD545" s="37">
        <v>0</v>
      </c>
      <c r="CE545" s="37">
        <v>0</v>
      </c>
      <c r="CF545" s="37">
        <v>0</v>
      </c>
      <c r="CG545" s="37">
        <v>0</v>
      </c>
      <c r="CH545" s="37">
        <v>0</v>
      </c>
      <c r="CI545" s="37">
        <v>0</v>
      </c>
      <c r="CJ545" s="37">
        <v>0</v>
      </c>
      <c r="CK545" s="37">
        <v>0</v>
      </c>
      <c r="CL545" s="37">
        <v>0</v>
      </c>
      <c r="CM545" s="37">
        <v>0</v>
      </c>
      <c r="CN545" s="37">
        <v>0</v>
      </c>
      <c r="CO545" s="37">
        <v>0</v>
      </c>
      <c r="CP545" s="37">
        <v>0</v>
      </c>
      <c r="CQ545" s="37">
        <v>0</v>
      </c>
      <c r="CR545" s="37">
        <v>0</v>
      </c>
      <c r="CS545" s="37">
        <v>0</v>
      </c>
      <c r="CT545" s="37">
        <v>0</v>
      </c>
      <c r="CU545" s="37">
        <v>0</v>
      </c>
      <c r="CV545" s="37">
        <v>0</v>
      </c>
      <c r="CW545" s="37">
        <v>0</v>
      </c>
      <c r="CX545" s="37">
        <v>0</v>
      </c>
      <c r="CY545" s="37">
        <v>0</v>
      </c>
      <c r="CZ545" s="37">
        <v>0</v>
      </c>
      <c r="DA545" s="37">
        <v>0</v>
      </c>
      <c r="DB545" s="37">
        <v>0</v>
      </c>
      <c r="DC545" s="37">
        <v>0</v>
      </c>
      <c r="DD545" s="37">
        <v>0</v>
      </c>
      <c r="DE545" s="37">
        <v>0</v>
      </c>
      <c r="DF545" s="37">
        <v>0</v>
      </c>
      <c r="DG545" s="37">
        <v>0</v>
      </c>
      <c r="DH545" s="37">
        <v>0</v>
      </c>
      <c r="DI545" s="37">
        <v>0</v>
      </c>
      <c r="DJ545" s="37">
        <v>0</v>
      </c>
      <c r="DK545" s="37">
        <v>0</v>
      </c>
      <c r="DL545" s="37">
        <v>0</v>
      </c>
      <c r="DM545" s="37">
        <v>0</v>
      </c>
      <c r="DN545" s="37">
        <v>0</v>
      </c>
      <c r="DO545" s="37">
        <v>0</v>
      </c>
      <c r="DP545" s="37">
        <v>0</v>
      </c>
      <c r="DQ545" s="37">
        <v>0</v>
      </c>
      <c r="DR545" s="37">
        <v>0</v>
      </c>
      <c r="DS545" s="37">
        <v>0</v>
      </c>
      <c r="DT545" s="37">
        <v>0</v>
      </c>
      <c r="DU545" s="37">
        <v>0</v>
      </c>
      <c r="DV545" s="37">
        <v>0</v>
      </c>
      <c r="DW545" s="37">
        <v>0</v>
      </c>
      <c r="DX545" s="37">
        <v>0</v>
      </c>
      <c r="DY545" s="37">
        <v>0</v>
      </c>
      <c r="DZ545" s="37">
        <v>0</v>
      </c>
      <c r="EA545" s="37">
        <v>0</v>
      </c>
      <c r="EB545" s="37">
        <v>0</v>
      </c>
      <c r="EC545" s="37">
        <v>0</v>
      </c>
      <c r="ED545" s="37">
        <v>0</v>
      </c>
      <c r="EE545" s="37">
        <v>0</v>
      </c>
      <c r="EF545" s="37">
        <v>0</v>
      </c>
      <c r="EG545" s="37">
        <v>0</v>
      </c>
      <c r="EH545" s="37">
        <v>0</v>
      </c>
      <c r="EI545" s="37">
        <v>0</v>
      </c>
      <c r="EJ545" s="37">
        <v>0</v>
      </c>
      <c r="EK545" s="161" t="s">
        <v>2569</v>
      </c>
      <c r="EL545" s="294" t="s">
        <v>1124</v>
      </c>
    </row>
    <row r="546" spans="1:142" ht="15" customHeight="1" x14ac:dyDescent="0.35">
      <c r="A546" s="34"/>
      <c r="B546" s="313">
        <v>33045</v>
      </c>
      <c r="C546" s="8" t="s">
        <v>273</v>
      </c>
      <c r="D546" s="18">
        <v>12</v>
      </c>
      <c r="E546" s="155">
        <v>387364</v>
      </c>
      <c r="F546" s="36">
        <v>233647</v>
      </c>
      <c r="G546" s="37">
        <v>70081</v>
      </c>
      <c r="H546" s="37">
        <v>16808</v>
      </c>
      <c r="I546" s="37">
        <v>222838</v>
      </c>
      <c r="J546" s="37">
        <v>120254</v>
      </c>
      <c r="K546" s="37">
        <v>58104.6</v>
      </c>
      <c r="L546" s="37">
        <v>35047.049999999996</v>
      </c>
      <c r="M546" s="37">
        <v>738387.6</v>
      </c>
      <c r="N546" s="37">
        <v>405756.05</v>
      </c>
      <c r="O546" s="37">
        <v>272716</v>
      </c>
      <c r="P546" s="37">
        <v>0</v>
      </c>
      <c r="Q546" s="37">
        <v>231860</v>
      </c>
      <c r="R546" s="37">
        <v>378542</v>
      </c>
      <c r="S546" s="37">
        <v>0</v>
      </c>
      <c r="T546" s="37">
        <v>1000</v>
      </c>
      <c r="U546" s="37">
        <v>0</v>
      </c>
      <c r="V546" s="37">
        <v>0</v>
      </c>
      <c r="W546" s="37">
        <v>130013</v>
      </c>
      <c r="X546" s="37">
        <v>130013</v>
      </c>
      <c r="Y546" s="37">
        <v>0</v>
      </c>
      <c r="Z546" s="37">
        <v>0</v>
      </c>
      <c r="AA546" s="37">
        <v>634589</v>
      </c>
      <c r="AB546" s="37">
        <v>509555</v>
      </c>
      <c r="AC546" s="37">
        <v>0.35000000009313226</v>
      </c>
      <c r="AD546" s="37">
        <v>0</v>
      </c>
      <c r="AE546" s="37">
        <v>0</v>
      </c>
      <c r="AF546" s="168">
        <v>0.02</v>
      </c>
      <c r="AG546" s="37">
        <v>45242088.859999999</v>
      </c>
      <c r="AH546" s="37">
        <v>332176.17</v>
      </c>
      <c r="AI546" s="37">
        <v>338819.69</v>
      </c>
      <c r="AJ546" s="37">
        <v>345596.08</v>
      </c>
      <c r="AK546" s="37">
        <v>352508.01</v>
      </c>
      <c r="AL546" s="37">
        <v>359558.17</v>
      </c>
      <c r="AM546" s="37">
        <v>366749.33</v>
      </c>
      <c r="AN546" s="37">
        <v>374084.32</v>
      </c>
      <c r="AO546" s="37">
        <v>381566</v>
      </c>
      <c r="AP546" s="37">
        <v>389197.32</v>
      </c>
      <c r="AQ546" s="37">
        <v>396981.27</v>
      </c>
      <c r="AR546" s="37">
        <v>3637236.36</v>
      </c>
      <c r="AS546" s="37">
        <v>1010540.52</v>
      </c>
      <c r="AT546" s="37">
        <v>842724</v>
      </c>
      <c r="AU546" s="37">
        <v>0</v>
      </c>
      <c r="AV546" s="37">
        <v>4329728.6399999997</v>
      </c>
      <c r="AW546" s="37">
        <v>0</v>
      </c>
      <c r="AX546" s="37">
        <v>0</v>
      </c>
      <c r="AY546" s="37">
        <v>0</v>
      </c>
      <c r="AZ546" s="37">
        <v>0</v>
      </c>
      <c r="BA546" s="37">
        <v>0</v>
      </c>
      <c r="BB546" s="37">
        <v>0</v>
      </c>
      <c r="BC546" s="37">
        <v>0</v>
      </c>
      <c r="BD546" s="37">
        <v>5172452.6399999997</v>
      </c>
      <c r="BE546" s="37">
        <v>0</v>
      </c>
      <c r="BF546" s="37">
        <v>0</v>
      </c>
      <c r="BG546" s="37">
        <v>808560</v>
      </c>
      <c r="BH546" s="37">
        <v>0</v>
      </c>
      <c r="BI546" s="37">
        <v>0</v>
      </c>
      <c r="BJ546" s="37">
        <v>45320.198873396366</v>
      </c>
      <c r="BK546" s="37">
        <v>219458.18602204297</v>
      </c>
      <c r="BL546" s="37">
        <v>285397.68204393383</v>
      </c>
      <c r="BM546" s="37">
        <v>351337.17806582461</v>
      </c>
      <c r="BN546" s="37">
        <v>417276.81499480235</v>
      </c>
      <c r="BO546" s="37">
        <v>0</v>
      </c>
      <c r="BP546" s="37">
        <v>2127350.06</v>
      </c>
      <c r="BQ546" s="37">
        <v>0</v>
      </c>
      <c r="BR546" s="37">
        <v>0</v>
      </c>
      <c r="BS546" s="37">
        <v>202140</v>
      </c>
      <c r="BT546" s="37">
        <v>0</v>
      </c>
      <c r="BU546" s="37">
        <v>0</v>
      </c>
      <c r="BV546" s="37">
        <v>37981.898199036572</v>
      </c>
      <c r="BW546" s="37">
        <v>183923.25469973817</v>
      </c>
      <c r="BX546" s="37">
        <v>239185.74885153279</v>
      </c>
      <c r="BY546" s="37">
        <v>294448.24300332734</v>
      </c>
      <c r="BZ546" s="37">
        <v>349710.85524636519</v>
      </c>
      <c r="CA546" s="37">
        <v>0</v>
      </c>
      <c r="CB546" s="37">
        <v>1307390</v>
      </c>
      <c r="CC546" s="37">
        <v>0</v>
      </c>
      <c r="CD546" s="37">
        <v>0</v>
      </c>
      <c r="CE546" s="37">
        <v>0</v>
      </c>
      <c r="CF546" s="37">
        <v>0</v>
      </c>
      <c r="CG546" s="37">
        <v>0</v>
      </c>
      <c r="CH546" s="37">
        <v>0</v>
      </c>
      <c r="CI546" s="37">
        <v>0</v>
      </c>
      <c r="CJ546" s="37">
        <v>0</v>
      </c>
      <c r="CK546" s="37">
        <v>0</v>
      </c>
      <c r="CL546" s="37">
        <v>0</v>
      </c>
      <c r="CM546" s="37">
        <v>0</v>
      </c>
      <c r="CN546" s="37">
        <v>0</v>
      </c>
      <c r="CO546" s="37">
        <v>0</v>
      </c>
      <c r="CP546" s="37">
        <v>0</v>
      </c>
      <c r="CQ546" s="37">
        <v>0</v>
      </c>
      <c r="CR546" s="37">
        <v>1318790</v>
      </c>
      <c r="CS546" s="37">
        <v>0</v>
      </c>
      <c r="CT546" s="37">
        <v>0</v>
      </c>
      <c r="CU546" s="37">
        <v>0</v>
      </c>
      <c r="CV546" s="37">
        <v>0</v>
      </c>
      <c r="CW546" s="37">
        <v>0</v>
      </c>
      <c r="CX546" s="37">
        <v>0</v>
      </c>
      <c r="CY546" s="37">
        <v>0</v>
      </c>
      <c r="CZ546" s="37">
        <v>1318790</v>
      </c>
      <c r="DA546" s="37">
        <v>0</v>
      </c>
      <c r="DB546" s="37">
        <v>0</v>
      </c>
      <c r="DC546" s="37">
        <v>0</v>
      </c>
      <c r="DD546" s="37">
        <v>1105205</v>
      </c>
      <c r="DE546" s="37">
        <v>0</v>
      </c>
      <c r="DF546" s="37">
        <v>0</v>
      </c>
      <c r="DG546" s="37">
        <v>0</v>
      </c>
      <c r="DH546" s="37">
        <v>0</v>
      </c>
      <c r="DI546" s="37">
        <v>0</v>
      </c>
      <c r="DJ546" s="37">
        <v>0</v>
      </c>
      <c r="DK546" s="37">
        <v>0</v>
      </c>
      <c r="DL546" s="37">
        <v>1105205</v>
      </c>
      <c r="DM546" s="37">
        <v>0</v>
      </c>
      <c r="DN546" s="37">
        <v>0</v>
      </c>
      <c r="DO546" s="37">
        <v>0</v>
      </c>
      <c r="DP546" s="37">
        <v>0</v>
      </c>
      <c r="DQ546" s="37">
        <v>0</v>
      </c>
      <c r="DR546" s="37">
        <v>0</v>
      </c>
      <c r="DS546" s="37">
        <v>0</v>
      </c>
      <c r="DT546" s="37">
        <v>0</v>
      </c>
      <c r="DU546" s="37">
        <v>0</v>
      </c>
      <c r="DV546" s="37">
        <v>0</v>
      </c>
      <c r="DW546" s="37">
        <v>0</v>
      </c>
      <c r="DX546" s="37">
        <v>0</v>
      </c>
      <c r="DY546" s="37">
        <v>0</v>
      </c>
      <c r="DZ546" s="37">
        <v>0</v>
      </c>
      <c r="EA546" s="37">
        <v>0</v>
      </c>
      <c r="EB546" s="37">
        <v>0</v>
      </c>
      <c r="EC546" s="37">
        <v>0</v>
      </c>
      <c r="ED546" s="37">
        <v>0</v>
      </c>
      <c r="EE546" s="37">
        <v>0</v>
      </c>
      <c r="EF546" s="37">
        <v>0</v>
      </c>
      <c r="EG546" s="37">
        <v>0</v>
      </c>
      <c r="EH546" s="37">
        <v>0</v>
      </c>
      <c r="EI546" s="37">
        <v>0</v>
      </c>
      <c r="EJ546" s="37">
        <v>0</v>
      </c>
      <c r="EK546" s="161" t="s">
        <v>2572</v>
      </c>
      <c r="EL546" s="294" t="s">
        <v>1124</v>
      </c>
    </row>
    <row r="547" spans="1:142" ht="15" customHeight="1" x14ac:dyDescent="0.35">
      <c r="A547" s="34"/>
      <c r="B547" s="313">
        <v>53015</v>
      </c>
      <c r="C547" s="8" t="s">
        <v>532</v>
      </c>
      <c r="D547" s="18">
        <v>16</v>
      </c>
      <c r="E547" s="155">
        <v>94692</v>
      </c>
      <c r="F547" s="36">
        <v>0</v>
      </c>
      <c r="G547" s="37">
        <v>0</v>
      </c>
      <c r="H547" s="37">
        <v>0</v>
      </c>
      <c r="I547" s="37">
        <v>0</v>
      </c>
      <c r="J547" s="37">
        <v>0</v>
      </c>
      <c r="K547" s="37">
        <v>14204</v>
      </c>
      <c r="L547" s="37">
        <v>0</v>
      </c>
      <c r="M547" s="37">
        <v>108896</v>
      </c>
      <c r="N547" s="37">
        <v>0</v>
      </c>
      <c r="O547" s="37">
        <v>76732.490000000005</v>
      </c>
      <c r="P547" s="37">
        <v>0</v>
      </c>
      <c r="Q547" s="37">
        <v>12100</v>
      </c>
      <c r="R547" s="37">
        <v>0</v>
      </c>
      <c r="S547" s="37">
        <v>7446</v>
      </c>
      <c r="T547" s="37">
        <v>0</v>
      </c>
      <c r="U547" s="37">
        <v>0</v>
      </c>
      <c r="V547" s="37">
        <v>0</v>
      </c>
      <c r="W547" s="37">
        <v>12618</v>
      </c>
      <c r="X547" s="37">
        <v>0</v>
      </c>
      <c r="Y547" s="37">
        <v>0</v>
      </c>
      <c r="Z547" s="37">
        <v>0</v>
      </c>
      <c r="AA547" s="37">
        <v>108896.49</v>
      </c>
      <c r="AB547" s="37">
        <v>0</v>
      </c>
      <c r="AC547" s="37">
        <v>0.49000000000523869</v>
      </c>
      <c r="AD547" s="37">
        <v>0</v>
      </c>
      <c r="AE547" s="37">
        <v>0</v>
      </c>
      <c r="AF547" s="168">
        <v>0.02</v>
      </c>
      <c r="AG547" s="37">
        <v>3061252.97</v>
      </c>
      <c r="AH547" s="37">
        <v>27589.29</v>
      </c>
      <c r="AI547" s="37">
        <v>28141.07</v>
      </c>
      <c r="AJ547" s="37">
        <v>28703.89</v>
      </c>
      <c r="AK547" s="37">
        <v>29277.97</v>
      </c>
      <c r="AL547" s="37">
        <v>29863.53</v>
      </c>
      <c r="AM547" s="37">
        <v>30460.799999999999</v>
      </c>
      <c r="AN547" s="37">
        <v>31070.02</v>
      </c>
      <c r="AO547" s="37">
        <v>31691.42</v>
      </c>
      <c r="AP547" s="37">
        <v>32325.25</v>
      </c>
      <c r="AQ547" s="37">
        <v>32971.75</v>
      </c>
      <c r="AR547" s="37">
        <v>302094.99</v>
      </c>
      <c r="AS547" s="37">
        <v>0</v>
      </c>
      <c r="AT547" s="37">
        <v>0</v>
      </c>
      <c r="AU547" s="37">
        <v>0</v>
      </c>
      <c r="AV547" s="37">
        <v>0</v>
      </c>
      <c r="AW547" s="37">
        <v>0</v>
      </c>
      <c r="AX547" s="37">
        <v>0</v>
      </c>
      <c r="AY547" s="37">
        <v>0</v>
      </c>
      <c r="AZ547" s="37">
        <v>0</v>
      </c>
      <c r="BA547" s="37">
        <v>0</v>
      </c>
      <c r="BB547" s="37">
        <v>0</v>
      </c>
      <c r="BC547" s="37">
        <v>0</v>
      </c>
      <c r="BD547" s="37">
        <v>0</v>
      </c>
      <c r="BE547" s="37">
        <v>0</v>
      </c>
      <c r="BF547" s="37">
        <v>0</v>
      </c>
      <c r="BG547" s="37">
        <v>0</v>
      </c>
      <c r="BH547" s="37">
        <v>0</v>
      </c>
      <c r="BI547" s="37">
        <v>0</v>
      </c>
      <c r="BJ547" s="37">
        <v>0</v>
      </c>
      <c r="BK547" s="37">
        <v>0</v>
      </c>
      <c r="BL547" s="37">
        <v>0</v>
      </c>
      <c r="BM547" s="37">
        <v>0</v>
      </c>
      <c r="BN547" s="37">
        <v>0</v>
      </c>
      <c r="BO547" s="37">
        <v>0</v>
      </c>
      <c r="BP547" s="37">
        <v>0</v>
      </c>
      <c r="BQ547" s="37">
        <v>0</v>
      </c>
      <c r="BR547" s="37">
        <v>0</v>
      </c>
      <c r="BS547" s="37">
        <v>0</v>
      </c>
      <c r="BT547" s="37">
        <v>0</v>
      </c>
      <c r="BU547" s="37">
        <v>0</v>
      </c>
      <c r="BV547" s="37">
        <v>0</v>
      </c>
      <c r="BW547" s="37">
        <v>0</v>
      </c>
      <c r="BX547" s="37">
        <v>0</v>
      </c>
      <c r="BY547" s="37">
        <v>0</v>
      </c>
      <c r="BZ547" s="37">
        <v>0</v>
      </c>
      <c r="CA547" s="37">
        <v>0</v>
      </c>
      <c r="CB547" s="37">
        <v>0</v>
      </c>
      <c r="CC547" s="37">
        <v>0</v>
      </c>
      <c r="CD547" s="37">
        <v>0</v>
      </c>
      <c r="CE547" s="37">
        <v>0</v>
      </c>
      <c r="CF547" s="37">
        <v>0</v>
      </c>
      <c r="CG547" s="37">
        <v>0</v>
      </c>
      <c r="CH547" s="37">
        <v>0</v>
      </c>
      <c r="CI547" s="37">
        <v>0</v>
      </c>
      <c r="CJ547" s="37">
        <v>0</v>
      </c>
      <c r="CK547" s="37">
        <v>0</v>
      </c>
      <c r="CL547" s="37">
        <v>0</v>
      </c>
      <c r="CM547" s="37">
        <v>0</v>
      </c>
      <c r="CN547" s="37">
        <v>0</v>
      </c>
      <c r="CO547" s="37">
        <v>0</v>
      </c>
      <c r="CP547" s="37">
        <v>0</v>
      </c>
      <c r="CQ547" s="37">
        <v>0</v>
      </c>
      <c r="CR547" s="37">
        <v>0</v>
      </c>
      <c r="CS547" s="37">
        <v>0</v>
      </c>
      <c r="CT547" s="37">
        <v>0</v>
      </c>
      <c r="CU547" s="37">
        <v>0</v>
      </c>
      <c r="CV547" s="37">
        <v>0</v>
      </c>
      <c r="CW547" s="37">
        <v>0</v>
      </c>
      <c r="CX547" s="37">
        <v>0</v>
      </c>
      <c r="CY547" s="37">
        <v>0</v>
      </c>
      <c r="CZ547" s="37">
        <v>0</v>
      </c>
      <c r="DA547" s="37">
        <v>0</v>
      </c>
      <c r="DB547" s="37">
        <v>0</v>
      </c>
      <c r="DC547" s="37">
        <v>0</v>
      </c>
      <c r="DD547" s="37">
        <v>0</v>
      </c>
      <c r="DE547" s="37">
        <v>0</v>
      </c>
      <c r="DF547" s="37">
        <v>0</v>
      </c>
      <c r="DG547" s="37">
        <v>0</v>
      </c>
      <c r="DH547" s="37">
        <v>0</v>
      </c>
      <c r="DI547" s="37">
        <v>0</v>
      </c>
      <c r="DJ547" s="37">
        <v>0</v>
      </c>
      <c r="DK547" s="37">
        <v>0</v>
      </c>
      <c r="DL547" s="37">
        <v>0</v>
      </c>
      <c r="DM547" s="37">
        <v>0</v>
      </c>
      <c r="DN547" s="37">
        <v>0</v>
      </c>
      <c r="DO547" s="37">
        <v>0</v>
      </c>
      <c r="DP547" s="37">
        <v>0</v>
      </c>
      <c r="DQ547" s="37">
        <v>0</v>
      </c>
      <c r="DR547" s="37">
        <v>0</v>
      </c>
      <c r="DS547" s="37">
        <v>0</v>
      </c>
      <c r="DT547" s="37">
        <v>0</v>
      </c>
      <c r="DU547" s="37">
        <v>0</v>
      </c>
      <c r="DV547" s="37">
        <v>0</v>
      </c>
      <c r="DW547" s="37">
        <v>0</v>
      </c>
      <c r="DX547" s="37">
        <v>0</v>
      </c>
      <c r="DY547" s="37">
        <v>0</v>
      </c>
      <c r="DZ547" s="37">
        <v>0</v>
      </c>
      <c r="EA547" s="37">
        <v>0</v>
      </c>
      <c r="EB547" s="37">
        <v>0</v>
      </c>
      <c r="EC547" s="37">
        <v>0</v>
      </c>
      <c r="ED547" s="37">
        <v>0</v>
      </c>
      <c r="EE547" s="37">
        <v>0</v>
      </c>
      <c r="EF547" s="37">
        <v>0</v>
      </c>
      <c r="EG547" s="37">
        <v>0</v>
      </c>
      <c r="EH547" s="37">
        <v>0</v>
      </c>
      <c r="EI547" s="37">
        <v>0</v>
      </c>
      <c r="EJ547" s="37">
        <v>0</v>
      </c>
      <c r="EK547" s="161" t="s">
        <v>2575</v>
      </c>
      <c r="EL547" s="294" t="s">
        <v>1124</v>
      </c>
    </row>
    <row r="548" spans="1:142" ht="15" customHeight="1" x14ac:dyDescent="0.35">
      <c r="A548" s="34"/>
      <c r="B548" s="313">
        <v>15030</v>
      </c>
      <c r="C548" s="8" t="s">
        <v>80</v>
      </c>
      <c r="D548" s="18">
        <v>3</v>
      </c>
      <c r="E548" s="155"/>
      <c r="F548" s="36"/>
      <c r="G548" s="37"/>
      <c r="H548" s="37"/>
      <c r="I548" s="37"/>
      <c r="J548" s="37"/>
      <c r="K548" s="37"/>
      <c r="L548" s="37"/>
      <c r="M548" s="37" t="s">
        <v>1124</v>
      </c>
      <c r="N548" s="37" t="s">
        <v>1124</v>
      </c>
      <c r="O548" s="37"/>
      <c r="P548" s="37"/>
      <c r="Q548" s="37"/>
      <c r="R548" s="37"/>
      <c r="S548" s="37"/>
      <c r="T548" s="37"/>
      <c r="U548" s="37"/>
      <c r="V548" s="37"/>
      <c r="W548" s="37"/>
      <c r="X548" s="37"/>
      <c r="Y548" s="37"/>
      <c r="Z548" s="37"/>
      <c r="AA548" s="37" t="s">
        <v>1124</v>
      </c>
      <c r="AB548" s="37" t="s">
        <v>1124</v>
      </c>
      <c r="AC548" s="37"/>
      <c r="AD548" s="37"/>
      <c r="AE548" s="37"/>
      <c r="AF548" s="168"/>
      <c r="AG548" s="37"/>
      <c r="AH548" s="37"/>
      <c r="AI548" s="37"/>
      <c r="AJ548" s="37"/>
      <c r="AK548" s="37"/>
      <c r="AL548" s="37"/>
      <c r="AM548" s="37"/>
      <c r="AN548" s="37"/>
      <c r="AO548" s="37"/>
      <c r="AP548" s="37"/>
      <c r="AQ548" s="37"/>
      <c r="AR548" s="37" t="s">
        <v>1124</v>
      </c>
      <c r="AS548" s="37"/>
      <c r="AT548" s="37"/>
      <c r="AU548" s="37"/>
      <c r="AV548" s="37"/>
      <c r="AW548" s="37"/>
      <c r="AX548" s="37"/>
      <c r="AY548" s="37"/>
      <c r="AZ548" s="37"/>
      <c r="BA548" s="37"/>
      <c r="BB548" s="37"/>
      <c r="BC548" s="37"/>
      <c r="BD548" s="37" t="s">
        <v>1124</v>
      </c>
      <c r="BE548" s="37"/>
      <c r="BF548" s="37"/>
      <c r="BG548" s="37"/>
      <c r="BH548" s="37"/>
      <c r="BI548" s="37"/>
      <c r="BJ548" s="37"/>
      <c r="BK548" s="37"/>
      <c r="BL548" s="37"/>
      <c r="BM548" s="37"/>
      <c r="BN548" s="37"/>
      <c r="BO548" s="37"/>
      <c r="BP548" s="37">
        <v>0</v>
      </c>
      <c r="BQ548" s="37"/>
      <c r="BR548" s="37"/>
      <c r="BS548" s="37"/>
      <c r="BT548" s="37"/>
      <c r="BU548" s="37"/>
      <c r="BV548" s="37"/>
      <c r="BW548" s="37"/>
      <c r="BX548" s="37"/>
      <c r="BY548" s="37"/>
      <c r="BZ548" s="37"/>
      <c r="CA548" s="37"/>
      <c r="CB548" s="37" t="s">
        <v>1124</v>
      </c>
      <c r="CC548" s="37"/>
      <c r="CD548" s="37"/>
      <c r="CE548" s="37"/>
      <c r="CF548" s="37"/>
      <c r="CG548" s="37"/>
      <c r="CH548" s="37"/>
      <c r="CI548" s="37"/>
      <c r="CJ548" s="37"/>
      <c r="CK548" s="37"/>
      <c r="CL548" s="37"/>
      <c r="CM548" s="37"/>
      <c r="CN548" s="37" t="s">
        <v>1124</v>
      </c>
      <c r="CO548" s="37"/>
      <c r="CP548" s="37"/>
      <c r="CQ548" s="37"/>
      <c r="CR548" s="37"/>
      <c r="CS548" s="37"/>
      <c r="CT548" s="37"/>
      <c r="CU548" s="37"/>
      <c r="CV548" s="37"/>
      <c r="CW548" s="37"/>
      <c r="CX548" s="37"/>
      <c r="CY548" s="37"/>
      <c r="CZ548" s="37" t="s">
        <v>1124</v>
      </c>
      <c r="DA548" s="37"/>
      <c r="DB548" s="37"/>
      <c r="DC548" s="37"/>
      <c r="DD548" s="37"/>
      <c r="DE548" s="37"/>
      <c r="DF548" s="37"/>
      <c r="DG548" s="37"/>
      <c r="DH548" s="37"/>
      <c r="DI548" s="37"/>
      <c r="DJ548" s="37"/>
      <c r="DK548" s="37"/>
      <c r="DL548" s="37" t="s">
        <v>1124</v>
      </c>
      <c r="DM548" s="37"/>
      <c r="DN548" s="37"/>
      <c r="DO548" s="37"/>
      <c r="DP548" s="37"/>
      <c r="DQ548" s="37"/>
      <c r="DR548" s="37"/>
      <c r="DS548" s="37"/>
      <c r="DT548" s="37"/>
      <c r="DU548" s="37"/>
      <c r="DV548" s="37"/>
      <c r="DW548" s="37"/>
      <c r="DX548" s="37" t="s">
        <v>1124</v>
      </c>
      <c r="DY548" s="37"/>
      <c r="DZ548" s="37"/>
      <c r="EA548" s="37"/>
      <c r="EB548" s="37"/>
      <c r="EC548" s="37"/>
      <c r="ED548" s="37"/>
      <c r="EE548" s="37"/>
      <c r="EF548" s="37"/>
      <c r="EG548" s="37"/>
      <c r="EH548" s="37"/>
      <c r="EI548" s="37"/>
      <c r="EJ548" s="37" t="s">
        <v>1124</v>
      </c>
      <c r="EK548" s="161"/>
      <c r="EL548" s="294"/>
    </row>
    <row r="549" spans="1:142" ht="15" customHeight="1" x14ac:dyDescent="0.35">
      <c r="A549" s="34"/>
      <c r="B549" s="313">
        <v>79022</v>
      </c>
      <c r="C549" s="8" t="s">
        <v>789</v>
      </c>
      <c r="D549" s="18">
        <v>15</v>
      </c>
      <c r="E549" s="155">
        <v>20870</v>
      </c>
      <c r="F549" s="36">
        <v>0</v>
      </c>
      <c r="G549" s="37">
        <v>0</v>
      </c>
      <c r="H549" s="37">
        <v>0</v>
      </c>
      <c r="I549" s="37">
        <v>0</v>
      </c>
      <c r="J549" s="37">
        <v>0</v>
      </c>
      <c r="K549" s="37">
        <v>1500</v>
      </c>
      <c r="L549" s="37">
        <v>0</v>
      </c>
      <c r="M549" s="37">
        <v>22370</v>
      </c>
      <c r="N549" s="37">
        <v>0</v>
      </c>
      <c r="O549" s="37">
        <v>0</v>
      </c>
      <c r="P549" s="37">
        <v>0</v>
      </c>
      <c r="Q549" s="37">
        <v>15573</v>
      </c>
      <c r="R549" s="37">
        <v>0</v>
      </c>
      <c r="S549" s="37">
        <v>0</v>
      </c>
      <c r="T549" s="37">
        <v>0</v>
      </c>
      <c r="U549" s="37">
        <v>0</v>
      </c>
      <c r="V549" s="37">
        <v>0</v>
      </c>
      <c r="W549" s="37">
        <v>6797</v>
      </c>
      <c r="X549" s="37">
        <v>0</v>
      </c>
      <c r="Y549" s="37">
        <v>0</v>
      </c>
      <c r="Z549" s="37">
        <v>0</v>
      </c>
      <c r="AA549" s="37">
        <v>22370</v>
      </c>
      <c r="AB549" s="37">
        <v>0</v>
      </c>
      <c r="AC549" s="37">
        <v>0</v>
      </c>
      <c r="AD549" s="37">
        <v>0</v>
      </c>
      <c r="AE549" s="37">
        <v>0</v>
      </c>
      <c r="AF549" s="168">
        <v>0.02</v>
      </c>
      <c r="AG549" s="37">
        <v>2233035.9900000002</v>
      </c>
      <c r="AH549" s="37">
        <v>12963.11</v>
      </c>
      <c r="AI549" s="37">
        <v>66282.77</v>
      </c>
      <c r="AJ549" s="37">
        <v>13486.82</v>
      </c>
      <c r="AK549" s="37">
        <v>13756.55</v>
      </c>
      <c r="AL549" s="37">
        <v>14031.68</v>
      </c>
      <c r="AM549" s="37">
        <v>14312.32</v>
      </c>
      <c r="AN549" s="37">
        <v>14598.56</v>
      </c>
      <c r="AO549" s="37">
        <v>14890.54</v>
      </c>
      <c r="AP549" s="37">
        <v>15188.35</v>
      </c>
      <c r="AQ549" s="37">
        <v>15492.11</v>
      </c>
      <c r="AR549" s="37">
        <v>195002.81</v>
      </c>
      <c r="AS549" s="37">
        <v>0</v>
      </c>
      <c r="AT549" s="37">
        <v>0</v>
      </c>
      <c r="AU549" s="37">
        <v>0</v>
      </c>
      <c r="AV549" s="37">
        <v>0</v>
      </c>
      <c r="AW549" s="37">
        <v>0</v>
      </c>
      <c r="AX549" s="37">
        <v>0</v>
      </c>
      <c r="AY549" s="37">
        <v>0</v>
      </c>
      <c r="AZ549" s="37">
        <v>0</v>
      </c>
      <c r="BA549" s="37">
        <v>0</v>
      </c>
      <c r="BB549" s="37">
        <v>0</v>
      </c>
      <c r="BC549" s="37">
        <v>0</v>
      </c>
      <c r="BD549" s="37">
        <v>0</v>
      </c>
      <c r="BE549" s="37">
        <v>1658</v>
      </c>
      <c r="BF549" s="37">
        <v>0</v>
      </c>
      <c r="BG549" s="37">
        <v>51000</v>
      </c>
      <c r="BH549" s="37">
        <v>0</v>
      </c>
      <c r="BI549" s="37">
        <v>0</v>
      </c>
      <c r="BJ549" s="37">
        <v>0</v>
      </c>
      <c r="BK549" s="37">
        <v>0</v>
      </c>
      <c r="BL549" s="37">
        <v>0</v>
      </c>
      <c r="BM549" s="37">
        <v>0</v>
      </c>
      <c r="BN549" s="37">
        <v>0</v>
      </c>
      <c r="BO549" s="37">
        <v>0</v>
      </c>
      <c r="BP549" s="37">
        <v>51000</v>
      </c>
      <c r="BQ549" s="37">
        <v>0</v>
      </c>
      <c r="BR549" s="37">
        <v>0</v>
      </c>
      <c r="BS549" s="37">
        <v>0</v>
      </c>
      <c r="BT549" s="37">
        <v>0</v>
      </c>
      <c r="BU549" s="37">
        <v>0</v>
      </c>
      <c r="BV549" s="37">
        <v>0</v>
      </c>
      <c r="BW549" s="37">
        <v>0</v>
      </c>
      <c r="BX549" s="37">
        <v>0</v>
      </c>
      <c r="BY549" s="37">
        <v>0</v>
      </c>
      <c r="BZ549" s="37">
        <v>0</v>
      </c>
      <c r="CA549" s="37">
        <v>0</v>
      </c>
      <c r="CB549" s="37">
        <v>0</v>
      </c>
      <c r="CC549" s="37">
        <v>0</v>
      </c>
      <c r="CD549" s="37">
        <v>0</v>
      </c>
      <c r="CE549" s="37">
        <v>0</v>
      </c>
      <c r="CF549" s="37">
        <v>0</v>
      </c>
      <c r="CG549" s="37">
        <v>0</v>
      </c>
      <c r="CH549" s="37">
        <v>0</v>
      </c>
      <c r="CI549" s="37">
        <v>0</v>
      </c>
      <c r="CJ549" s="37">
        <v>0</v>
      </c>
      <c r="CK549" s="37">
        <v>0</v>
      </c>
      <c r="CL549" s="37">
        <v>0</v>
      </c>
      <c r="CM549" s="37">
        <v>0</v>
      </c>
      <c r="CN549" s="37">
        <v>0</v>
      </c>
      <c r="CO549" s="37">
        <v>0</v>
      </c>
      <c r="CP549" s="37">
        <v>0</v>
      </c>
      <c r="CQ549" s="37">
        <v>0</v>
      </c>
      <c r="CR549" s="37">
        <v>0</v>
      </c>
      <c r="CS549" s="37">
        <v>0</v>
      </c>
      <c r="CT549" s="37">
        <v>0</v>
      </c>
      <c r="CU549" s="37">
        <v>0</v>
      </c>
      <c r="CV549" s="37">
        <v>0</v>
      </c>
      <c r="CW549" s="37">
        <v>0</v>
      </c>
      <c r="CX549" s="37">
        <v>0</v>
      </c>
      <c r="CY549" s="37">
        <v>0</v>
      </c>
      <c r="CZ549" s="37">
        <v>0</v>
      </c>
      <c r="DA549" s="37">
        <v>0</v>
      </c>
      <c r="DB549" s="37">
        <v>0</v>
      </c>
      <c r="DC549" s="37">
        <v>0</v>
      </c>
      <c r="DD549" s="37">
        <v>0</v>
      </c>
      <c r="DE549" s="37">
        <v>0</v>
      </c>
      <c r="DF549" s="37">
        <v>0</v>
      </c>
      <c r="DG549" s="37">
        <v>0</v>
      </c>
      <c r="DH549" s="37">
        <v>0</v>
      </c>
      <c r="DI549" s="37">
        <v>0</v>
      </c>
      <c r="DJ549" s="37">
        <v>0</v>
      </c>
      <c r="DK549" s="37">
        <v>0</v>
      </c>
      <c r="DL549" s="37">
        <v>0</v>
      </c>
      <c r="DM549" s="37">
        <v>0</v>
      </c>
      <c r="DN549" s="37">
        <v>0</v>
      </c>
      <c r="DO549" s="37">
        <v>0</v>
      </c>
      <c r="DP549" s="37">
        <v>0</v>
      </c>
      <c r="DQ549" s="37">
        <v>0</v>
      </c>
      <c r="DR549" s="37">
        <v>0</v>
      </c>
      <c r="DS549" s="37">
        <v>0</v>
      </c>
      <c r="DT549" s="37">
        <v>0</v>
      </c>
      <c r="DU549" s="37">
        <v>0</v>
      </c>
      <c r="DV549" s="37">
        <v>0</v>
      </c>
      <c r="DW549" s="37">
        <v>0</v>
      </c>
      <c r="DX549" s="37">
        <v>0</v>
      </c>
      <c r="DY549" s="37">
        <v>0</v>
      </c>
      <c r="DZ549" s="37">
        <v>0</v>
      </c>
      <c r="EA549" s="37">
        <v>0</v>
      </c>
      <c r="EB549" s="37">
        <v>0</v>
      </c>
      <c r="EC549" s="37">
        <v>0</v>
      </c>
      <c r="ED549" s="37">
        <v>0</v>
      </c>
      <c r="EE549" s="37">
        <v>0</v>
      </c>
      <c r="EF549" s="37">
        <v>0</v>
      </c>
      <c r="EG549" s="37">
        <v>0</v>
      </c>
      <c r="EH549" s="37">
        <v>0</v>
      </c>
      <c r="EI549" s="37">
        <v>0</v>
      </c>
      <c r="EJ549" s="37">
        <v>0</v>
      </c>
      <c r="EK549" s="161" t="s">
        <v>2577</v>
      </c>
      <c r="EL549" s="294" t="s">
        <v>1124</v>
      </c>
    </row>
    <row r="550" spans="1:142" ht="15" customHeight="1" x14ac:dyDescent="0.35">
      <c r="A550" s="34"/>
      <c r="B550" s="313">
        <v>34097</v>
      </c>
      <c r="C550" s="8" t="s">
        <v>297</v>
      </c>
      <c r="D550" s="18">
        <v>3</v>
      </c>
      <c r="E550" s="155">
        <v>72625</v>
      </c>
      <c r="F550" s="36">
        <v>16295</v>
      </c>
      <c r="G550" s="37">
        <v>10141</v>
      </c>
      <c r="H550" s="37">
        <v>8793</v>
      </c>
      <c r="I550" s="37">
        <v>22026</v>
      </c>
      <c r="J550" s="37">
        <v>92549</v>
      </c>
      <c r="K550" s="37">
        <v>10894</v>
      </c>
      <c r="L550" s="37">
        <v>2444</v>
      </c>
      <c r="M550" s="37">
        <v>115686</v>
      </c>
      <c r="N550" s="37">
        <v>120081</v>
      </c>
      <c r="O550" s="37">
        <v>0</v>
      </c>
      <c r="P550" s="37">
        <v>0</v>
      </c>
      <c r="Q550" s="37">
        <v>60866</v>
      </c>
      <c r="R550" s="37">
        <v>19013</v>
      </c>
      <c r="S550" s="37">
        <v>186</v>
      </c>
      <c r="T550" s="37">
        <v>0</v>
      </c>
      <c r="U550" s="37">
        <v>3829</v>
      </c>
      <c r="V550" s="37">
        <v>0</v>
      </c>
      <c r="W550" s="37">
        <v>50805</v>
      </c>
      <c r="X550" s="37">
        <v>101068</v>
      </c>
      <c r="Y550" s="37">
        <v>0</v>
      </c>
      <c r="Z550" s="37">
        <v>0</v>
      </c>
      <c r="AA550" s="37">
        <v>115686</v>
      </c>
      <c r="AB550" s="37">
        <v>120081</v>
      </c>
      <c r="AC550" s="37">
        <v>0</v>
      </c>
      <c r="AD550" s="37">
        <v>0</v>
      </c>
      <c r="AE550" s="37">
        <v>150000</v>
      </c>
      <c r="AF550" s="168">
        <v>0.02</v>
      </c>
      <c r="AG550" s="37">
        <v>19286904.350000001</v>
      </c>
      <c r="AH550" s="37">
        <v>179218.08</v>
      </c>
      <c r="AI550" s="37">
        <v>182802.44</v>
      </c>
      <c r="AJ550" s="37">
        <v>151096.71</v>
      </c>
      <c r="AK550" s="37">
        <v>154118.64000000001</v>
      </c>
      <c r="AL550" s="37">
        <v>157201.01</v>
      </c>
      <c r="AM550" s="37">
        <v>160345.03</v>
      </c>
      <c r="AN550" s="37">
        <v>163551.93</v>
      </c>
      <c r="AO550" s="37">
        <v>166822.97</v>
      </c>
      <c r="AP550" s="37">
        <v>170159.43</v>
      </c>
      <c r="AQ550" s="37">
        <v>173562.62</v>
      </c>
      <c r="AR550" s="37">
        <v>1658878.8599999999</v>
      </c>
      <c r="AS550" s="37">
        <v>0</v>
      </c>
      <c r="AT550" s="37">
        <v>408000</v>
      </c>
      <c r="AU550" s="37">
        <v>639846</v>
      </c>
      <c r="AV550" s="37">
        <v>0</v>
      </c>
      <c r="AW550" s="37">
        <v>0</v>
      </c>
      <c r="AX550" s="37">
        <v>0</v>
      </c>
      <c r="AY550" s="37">
        <v>0</v>
      </c>
      <c r="AZ550" s="37">
        <v>0</v>
      </c>
      <c r="BA550" s="37">
        <v>0</v>
      </c>
      <c r="BB550" s="37">
        <v>0</v>
      </c>
      <c r="BC550" s="37">
        <v>0</v>
      </c>
      <c r="BD550" s="37">
        <v>1047846</v>
      </c>
      <c r="BE550" s="37">
        <v>0</v>
      </c>
      <c r="BF550" s="37">
        <v>200000</v>
      </c>
      <c r="BG550" s="37">
        <v>520690</v>
      </c>
      <c r="BH550" s="37">
        <v>0</v>
      </c>
      <c r="BI550" s="37">
        <v>0</v>
      </c>
      <c r="BJ550" s="37">
        <v>0</v>
      </c>
      <c r="BK550" s="37">
        <v>0</v>
      </c>
      <c r="BL550" s="37">
        <v>0</v>
      </c>
      <c r="BM550" s="37">
        <v>0</v>
      </c>
      <c r="BN550" s="37">
        <v>0</v>
      </c>
      <c r="BO550" s="37">
        <v>0</v>
      </c>
      <c r="BP550" s="37">
        <v>720690</v>
      </c>
      <c r="BQ550" s="37">
        <v>0</v>
      </c>
      <c r="BR550" s="37">
        <v>150000</v>
      </c>
      <c r="BS550" s="37">
        <v>0</v>
      </c>
      <c r="BT550" s="37">
        <v>0</v>
      </c>
      <c r="BU550" s="37">
        <v>0</v>
      </c>
      <c r="BV550" s="37">
        <v>0</v>
      </c>
      <c r="BW550" s="37">
        <v>0</v>
      </c>
      <c r="BX550" s="37">
        <v>0</v>
      </c>
      <c r="BY550" s="37">
        <v>0</v>
      </c>
      <c r="BZ550" s="37">
        <v>0</v>
      </c>
      <c r="CA550" s="37">
        <v>0</v>
      </c>
      <c r="CB550" s="37">
        <v>150000</v>
      </c>
      <c r="CC550" s="37">
        <v>0</v>
      </c>
      <c r="CD550" s="37">
        <v>0</v>
      </c>
      <c r="CE550" s="37">
        <v>0</v>
      </c>
      <c r="CF550" s="37">
        <v>0</v>
      </c>
      <c r="CG550" s="37">
        <v>0</v>
      </c>
      <c r="CH550" s="37">
        <v>0</v>
      </c>
      <c r="CI550" s="37">
        <v>0</v>
      </c>
      <c r="CJ550" s="37">
        <v>0</v>
      </c>
      <c r="CK550" s="37">
        <v>0</v>
      </c>
      <c r="CL550" s="37">
        <v>0</v>
      </c>
      <c r="CM550" s="37">
        <v>0</v>
      </c>
      <c r="CN550" s="37">
        <v>0</v>
      </c>
      <c r="CO550" s="37">
        <v>0</v>
      </c>
      <c r="CP550" s="37">
        <v>28800</v>
      </c>
      <c r="CQ550" s="37">
        <v>357600</v>
      </c>
      <c r="CR550" s="37">
        <v>0</v>
      </c>
      <c r="CS550" s="37">
        <v>0</v>
      </c>
      <c r="CT550" s="37">
        <v>0</v>
      </c>
      <c r="CU550" s="37">
        <v>0</v>
      </c>
      <c r="CV550" s="37">
        <v>0</v>
      </c>
      <c r="CW550" s="37">
        <v>0</v>
      </c>
      <c r="CX550" s="37">
        <v>0</v>
      </c>
      <c r="CY550" s="37">
        <v>0</v>
      </c>
      <c r="CZ550" s="37">
        <v>386400</v>
      </c>
      <c r="DA550" s="37">
        <v>0</v>
      </c>
      <c r="DB550" s="37">
        <v>407200</v>
      </c>
      <c r="DC550" s="37">
        <v>89400</v>
      </c>
      <c r="DD550" s="37">
        <v>0</v>
      </c>
      <c r="DE550" s="37">
        <v>0</v>
      </c>
      <c r="DF550" s="37">
        <v>0</v>
      </c>
      <c r="DG550" s="37">
        <v>0</v>
      </c>
      <c r="DH550" s="37">
        <v>0</v>
      </c>
      <c r="DI550" s="37">
        <v>0</v>
      </c>
      <c r="DJ550" s="37">
        <v>0</v>
      </c>
      <c r="DK550" s="37">
        <v>0</v>
      </c>
      <c r="DL550" s="37">
        <v>496600</v>
      </c>
      <c r="DM550" s="37">
        <v>0</v>
      </c>
      <c r="DN550" s="37">
        <v>0</v>
      </c>
      <c r="DO550" s="37">
        <v>15000</v>
      </c>
      <c r="DP550" s="37">
        <v>0</v>
      </c>
      <c r="DQ550" s="37">
        <v>0</v>
      </c>
      <c r="DR550" s="37">
        <v>0</v>
      </c>
      <c r="DS550" s="37">
        <v>0</v>
      </c>
      <c r="DT550" s="37">
        <v>0</v>
      </c>
      <c r="DU550" s="37">
        <v>0</v>
      </c>
      <c r="DV550" s="37">
        <v>0</v>
      </c>
      <c r="DW550" s="37">
        <v>0</v>
      </c>
      <c r="DX550" s="37">
        <v>15000</v>
      </c>
      <c r="DY550" s="37">
        <v>0</v>
      </c>
      <c r="DZ550" s="37">
        <v>0</v>
      </c>
      <c r="EA550" s="37">
        <v>0</v>
      </c>
      <c r="EB550" s="37">
        <v>0</v>
      </c>
      <c r="EC550" s="37">
        <v>0</v>
      </c>
      <c r="ED550" s="37">
        <v>0</v>
      </c>
      <c r="EE550" s="37">
        <v>0</v>
      </c>
      <c r="EF550" s="37">
        <v>0</v>
      </c>
      <c r="EG550" s="37">
        <v>0</v>
      </c>
      <c r="EH550" s="37">
        <v>0</v>
      </c>
      <c r="EI550" s="37">
        <v>0</v>
      </c>
      <c r="EJ550" s="37">
        <v>0</v>
      </c>
      <c r="EK550" s="161" t="s">
        <v>2439</v>
      </c>
      <c r="EL550" s="294" t="s">
        <v>1124</v>
      </c>
    </row>
    <row r="551" spans="1:142" ht="15" customHeight="1" x14ac:dyDescent="0.35">
      <c r="A551" s="34"/>
      <c r="B551" s="313">
        <v>39085</v>
      </c>
      <c r="C551" s="8" t="s">
        <v>348</v>
      </c>
      <c r="D551" s="18">
        <v>17</v>
      </c>
      <c r="E551" s="155"/>
      <c r="F551" s="36"/>
      <c r="G551" s="37"/>
      <c r="H551" s="37"/>
      <c r="I551" s="37"/>
      <c r="J551" s="37"/>
      <c r="K551" s="37"/>
      <c r="L551" s="37"/>
      <c r="M551" s="37" t="s">
        <v>1124</v>
      </c>
      <c r="N551" s="37" t="s">
        <v>1124</v>
      </c>
      <c r="O551" s="37"/>
      <c r="P551" s="37"/>
      <c r="Q551" s="37"/>
      <c r="R551" s="37"/>
      <c r="S551" s="37"/>
      <c r="T551" s="37"/>
      <c r="U551" s="37"/>
      <c r="V551" s="37"/>
      <c r="W551" s="37"/>
      <c r="X551" s="37"/>
      <c r="Y551" s="37"/>
      <c r="Z551" s="37"/>
      <c r="AA551" s="37" t="s">
        <v>1124</v>
      </c>
      <c r="AB551" s="37" t="s">
        <v>1124</v>
      </c>
      <c r="AC551" s="37"/>
      <c r="AD551" s="37"/>
      <c r="AE551" s="37"/>
      <c r="AF551" s="168"/>
      <c r="AG551" s="37"/>
      <c r="AH551" s="37"/>
      <c r="AI551" s="37"/>
      <c r="AJ551" s="37"/>
      <c r="AK551" s="37"/>
      <c r="AL551" s="37"/>
      <c r="AM551" s="37"/>
      <c r="AN551" s="37"/>
      <c r="AO551" s="37"/>
      <c r="AP551" s="37"/>
      <c r="AQ551" s="37"/>
      <c r="AR551" s="37" t="s">
        <v>1124</v>
      </c>
      <c r="AS551" s="37"/>
      <c r="AT551" s="37"/>
      <c r="AU551" s="37"/>
      <c r="AV551" s="37"/>
      <c r="AW551" s="37"/>
      <c r="AX551" s="37"/>
      <c r="AY551" s="37"/>
      <c r="AZ551" s="37"/>
      <c r="BA551" s="37"/>
      <c r="BB551" s="37"/>
      <c r="BC551" s="37"/>
      <c r="BD551" s="37" t="s">
        <v>1124</v>
      </c>
      <c r="BE551" s="37"/>
      <c r="BF551" s="37"/>
      <c r="BG551" s="37"/>
      <c r="BH551" s="37"/>
      <c r="BI551" s="37"/>
      <c r="BJ551" s="37"/>
      <c r="BK551" s="37"/>
      <c r="BL551" s="37"/>
      <c r="BM551" s="37"/>
      <c r="BN551" s="37"/>
      <c r="BO551" s="37"/>
      <c r="BP551" s="37">
        <v>0</v>
      </c>
      <c r="BQ551" s="37"/>
      <c r="BR551" s="37"/>
      <c r="BS551" s="37"/>
      <c r="BT551" s="37"/>
      <c r="BU551" s="37"/>
      <c r="BV551" s="37"/>
      <c r="BW551" s="37"/>
      <c r="BX551" s="37"/>
      <c r="BY551" s="37"/>
      <c r="BZ551" s="37"/>
      <c r="CA551" s="37"/>
      <c r="CB551" s="37" t="s">
        <v>1124</v>
      </c>
      <c r="CC551" s="37"/>
      <c r="CD551" s="37"/>
      <c r="CE551" s="37"/>
      <c r="CF551" s="37"/>
      <c r="CG551" s="37"/>
      <c r="CH551" s="37"/>
      <c r="CI551" s="37"/>
      <c r="CJ551" s="37"/>
      <c r="CK551" s="37"/>
      <c r="CL551" s="37"/>
      <c r="CM551" s="37"/>
      <c r="CN551" s="37" t="s">
        <v>1124</v>
      </c>
      <c r="CO551" s="37"/>
      <c r="CP551" s="37"/>
      <c r="CQ551" s="37"/>
      <c r="CR551" s="37"/>
      <c r="CS551" s="37"/>
      <c r="CT551" s="37"/>
      <c r="CU551" s="37"/>
      <c r="CV551" s="37"/>
      <c r="CW551" s="37"/>
      <c r="CX551" s="37"/>
      <c r="CY551" s="37"/>
      <c r="CZ551" s="37" t="s">
        <v>1124</v>
      </c>
      <c r="DA551" s="37"/>
      <c r="DB551" s="37"/>
      <c r="DC551" s="37"/>
      <c r="DD551" s="37"/>
      <c r="DE551" s="37"/>
      <c r="DF551" s="37"/>
      <c r="DG551" s="37"/>
      <c r="DH551" s="37"/>
      <c r="DI551" s="37"/>
      <c r="DJ551" s="37"/>
      <c r="DK551" s="37"/>
      <c r="DL551" s="37" t="s">
        <v>1124</v>
      </c>
      <c r="DM551" s="37"/>
      <c r="DN551" s="37"/>
      <c r="DO551" s="37"/>
      <c r="DP551" s="37"/>
      <c r="DQ551" s="37"/>
      <c r="DR551" s="37"/>
      <c r="DS551" s="37"/>
      <c r="DT551" s="37"/>
      <c r="DU551" s="37"/>
      <c r="DV551" s="37"/>
      <c r="DW551" s="37"/>
      <c r="DX551" s="37" t="s">
        <v>1124</v>
      </c>
      <c r="DY551" s="37"/>
      <c r="DZ551" s="37"/>
      <c r="EA551" s="37"/>
      <c r="EB551" s="37"/>
      <c r="EC551" s="37"/>
      <c r="ED551" s="37"/>
      <c r="EE551" s="37"/>
      <c r="EF551" s="37"/>
      <c r="EG551" s="37"/>
      <c r="EH551" s="37"/>
      <c r="EI551" s="37"/>
      <c r="EJ551" s="37" t="s">
        <v>1124</v>
      </c>
      <c r="EK551" s="161"/>
      <c r="EL551" s="294"/>
    </row>
    <row r="552" spans="1:142" ht="15" customHeight="1" x14ac:dyDescent="0.35">
      <c r="A552" s="34"/>
      <c r="B552" s="313">
        <v>56055</v>
      </c>
      <c r="C552" s="8" t="s">
        <v>575</v>
      </c>
      <c r="D552" s="18">
        <v>16</v>
      </c>
      <c r="E552" s="155">
        <v>143711</v>
      </c>
      <c r="F552" s="36">
        <v>137110</v>
      </c>
      <c r="G552" s="37">
        <v>4871.71</v>
      </c>
      <c r="H552" s="37">
        <v>12101.38</v>
      </c>
      <c r="I552" s="37">
        <v>17998.72</v>
      </c>
      <c r="J552" s="37">
        <v>37901.279999999999</v>
      </c>
      <c r="K552" s="37">
        <v>0</v>
      </c>
      <c r="L552" s="37">
        <v>0</v>
      </c>
      <c r="M552" s="37">
        <v>166581.43</v>
      </c>
      <c r="N552" s="37">
        <v>187112.66</v>
      </c>
      <c r="O552" s="37">
        <v>44725</v>
      </c>
      <c r="P552" s="37">
        <v>0</v>
      </c>
      <c r="Q552" s="37">
        <v>114582.86</v>
      </c>
      <c r="R552" s="37">
        <v>173662.59</v>
      </c>
      <c r="S552" s="37">
        <v>0</v>
      </c>
      <c r="T552" s="37">
        <v>0</v>
      </c>
      <c r="U552" s="37">
        <v>8913.08</v>
      </c>
      <c r="V552" s="37">
        <v>8312.92</v>
      </c>
      <c r="W552" s="37">
        <v>2684.63</v>
      </c>
      <c r="X552" s="37">
        <v>2503.87</v>
      </c>
      <c r="Y552" s="37">
        <v>0</v>
      </c>
      <c r="Z552" s="37">
        <v>0</v>
      </c>
      <c r="AA552" s="37">
        <v>170905.57</v>
      </c>
      <c r="AB552" s="37">
        <v>184479.38</v>
      </c>
      <c r="AC552" s="37">
        <v>1690.859999999986</v>
      </c>
      <c r="AD552" s="37">
        <v>0</v>
      </c>
      <c r="AE552" s="37">
        <v>172867</v>
      </c>
      <c r="AF552" s="168">
        <v>0.02</v>
      </c>
      <c r="AG552" s="37">
        <v>27065342.199999999</v>
      </c>
      <c r="AH552" s="37">
        <v>249754.99</v>
      </c>
      <c r="AI552" s="37">
        <v>225885.23</v>
      </c>
      <c r="AJ552" s="37">
        <v>230402.93</v>
      </c>
      <c r="AK552" s="37">
        <v>235010.99</v>
      </c>
      <c r="AL552" s="37">
        <v>239711.21</v>
      </c>
      <c r="AM552" s="37">
        <v>244505.44</v>
      </c>
      <c r="AN552" s="37">
        <v>249395.54</v>
      </c>
      <c r="AO552" s="37">
        <v>254383.46</v>
      </c>
      <c r="AP552" s="37">
        <v>259471.12</v>
      </c>
      <c r="AQ552" s="37">
        <v>264660.55</v>
      </c>
      <c r="AR552" s="37">
        <v>2453181.46</v>
      </c>
      <c r="AS552" s="37">
        <v>378031.38</v>
      </c>
      <c r="AT552" s="37">
        <v>309041.3</v>
      </c>
      <c r="AU552" s="37">
        <v>300365.21000000002</v>
      </c>
      <c r="AV552" s="37">
        <v>550450.36</v>
      </c>
      <c r="AW552" s="37">
        <v>0</v>
      </c>
      <c r="AX552" s="37">
        <v>0</v>
      </c>
      <c r="AY552" s="37">
        <v>0</v>
      </c>
      <c r="AZ552" s="37">
        <v>0</v>
      </c>
      <c r="BA552" s="37">
        <v>0</v>
      </c>
      <c r="BB552" s="37">
        <v>0</v>
      </c>
      <c r="BC552" s="37">
        <v>0</v>
      </c>
      <c r="BD552" s="37">
        <v>1159856.8700000001</v>
      </c>
      <c r="BE552" s="37">
        <v>32474</v>
      </c>
      <c r="BF552" s="37">
        <v>305619</v>
      </c>
      <c r="BG552" s="37">
        <v>0</v>
      </c>
      <c r="BH552" s="37">
        <v>325000</v>
      </c>
      <c r="BI552" s="37">
        <v>0</v>
      </c>
      <c r="BJ552" s="37">
        <v>0</v>
      </c>
      <c r="BK552" s="37">
        <v>0</v>
      </c>
      <c r="BL552" s="37">
        <v>0</v>
      </c>
      <c r="BM552" s="37">
        <v>0</v>
      </c>
      <c r="BN552" s="37">
        <v>0</v>
      </c>
      <c r="BO552" s="37">
        <v>0</v>
      </c>
      <c r="BP552" s="37">
        <v>630619</v>
      </c>
      <c r="BQ552" s="37">
        <v>0</v>
      </c>
      <c r="BR552" s="37">
        <v>0</v>
      </c>
      <c r="BS552" s="37">
        <v>0</v>
      </c>
      <c r="BT552" s="37">
        <v>0</v>
      </c>
      <c r="BU552" s="37">
        <v>0</v>
      </c>
      <c r="BV552" s="37">
        <v>0</v>
      </c>
      <c r="BW552" s="37">
        <v>0</v>
      </c>
      <c r="BX552" s="37">
        <v>0</v>
      </c>
      <c r="BY552" s="37">
        <v>0</v>
      </c>
      <c r="BZ552" s="37">
        <v>0</v>
      </c>
      <c r="CA552" s="37">
        <v>0</v>
      </c>
      <c r="CB552" s="37">
        <v>0</v>
      </c>
      <c r="CC552" s="37">
        <v>0</v>
      </c>
      <c r="CD552" s="37">
        <v>0</v>
      </c>
      <c r="CE552" s="37">
        <v>0</v>
      </c>
      <c r="CF552" s="37">
        <v>0</v>
      </c>
      <c r="CG552" s="37">
        <v>0</v>
      </c>
      <c r="CH552" s="37">
        <v>0</v>
      </c>
      <c r="CI552" s="37">
        <v>0</v>
      </c>
      <c r="CJ552" s="37">
        <v>0</v>
      </c>
      <c r="CK552" s="37">
        <v>0</v>
      </c>
      <c r="CL552" s="37">
        <v>0</v>
      </c>
      <c r="CM552" s="37">
        <v>0</v>
      </c>
      <c r="CN552" s="37">
        <v>0</v>
      </c>
      <c r="CO552" s="37">
        <v>0</v>
      </c>
      <c r="CP552" s="37">
        <v>80000</v>
      </c>
      <c r="CQ552" s="37">
        <v>0</v>
      </c>
      <c r="CR552" s="37">
        <v>786105</v>
      </c>
      <c r="CS552" s="37">
        <v>0</v>
      </c>
      <c r="CT552" s="37">
        <v>0</v>
      </c>
      <c r="CU552" s="37">
        <v>0</v>
      </c>
      <c r="CV552" s="37">
        <v>0</v>
      </c>
      <c r="CW552" s="37">
        <v>0</v>
      </c>
      <c r="CX552" s="37">
        <v>0</v>
      </c>
      <c r="CY552" s="37">
        <v>0</v>
      </c>
      <c r="CZ552" s="37">
        <v>866105</v>
      </c>
      <c r="DA552" s="37">
        <v>0</v>
      </c>
      <c r="DB552" s="37">
        <v>0</v>
      </c>
      <c r="DC552" s="37">
        <v>0</v>
      </c>
      <c r="DD552" s="37">
        <v>0</v>
      </c>
      <c r="DE552" s="37">
        <v>0</v>
      </c>
      <c r="DF552" s="37">
        <v>0</v>
      </c>
      <c r="DG552" s="37">
        <v>0</v>
      </c>
      <c r="DH552" s="37">
        <v>0</v>
      </c>
      <c r="DI552" s="37">
        <v>0</v>
      </c>
      <c r="DJ552" s="37">
        <v>0</v>
      </c>
      <c r="DK552" s="37">
        <v>0</v>
      </c>
      <c r="DL552" s="37">
        <v>0</v>
      </c>
      <c r="DM552" s="37">
        <v>0</v>
      </c>
      <c r="DN552" s="37">
        <v>0</v>
      </c>
      <c r="DO552" s="37">
        <v>0</v>
      </c>
      <c r="DP552" s="37">
        <v>0</v>
      </c>
      <c r="DQ552" s="37">
        <v>0</v>
      </c>
      <c r="DR552" s="37">
        <v>0</v>
      </c>
      <c r="DS552" s="37">
        <v>0</v>
      </c>
      <c r="DT552" s="37">
        <v>0</v>
      </c>
      <c r="DU552" s="37">
        <v>0</v>
      </c>
      <c r="DV552" s="37">
        <v>0</v>
      </c>
      <c r="DW552" s="37">
        <v>0</v>
      </c>
      <c r="DX552" s="37">
        <v>0</v>
      </c>
      <c r="DY552" s="37">
        <v>0</v>
      </c>
      <c r="DZ552" s="37">
        <v>0</v>
      </c>
      <c r="EA552" s="37">
        <v>0</v>
      </c>
      <c r="EB552" s="37">
        <v>0</v>
      </c>
      <c r="EC552" s="37">
        <v>0</v>
      </c>
      <c r="ED552" s="37">
        <v>0</v>
      </c>
      <c r="EE552" s="37">
        <v>0</v>
      </c>
      <c r="EF552" s="37">
        <v>0</v>
      </c>
      <c r="EG552" s="37">
        <v>0</v>
      </c>
      <c r="EH552" s="37">
        <v>0</v>
      </c>
      <c r="EI552" s="37">
        <v>0</v>
      </c>
      <c r="EJ552" s="37">
        <v>0</v>
      </c>
      <c r="EK552" s="161" t="s">
        <v>2585</v>
      </c>
      <c r="EL552" s="294" t="s">
        <v>1124</v>
      </c>
    </row>
    <row r="553" spans="1:142" ht="15" customHeight="1" x14ac:dyDescent="0.35">
      <c r="A553" s="34"/>
      <c r="B553" s="313">
        <v>14035</v>
      </c>
      <c r="C553" s="8" t="s">
        <v>65</v>
      </c>
      <c r="D553" s="18">
        <v>1</v>
      </c>
      <c r="E553" s="155">
        <v>185621</v>
      </c>
      <c r="F553" s="36">
        <v>415774</v>
      </c>
      <c r="G553" s="37">
        <v>17769</v>
      </c>
      <c r="H553" s="37">
        <v>18070</v>
      </c>
      <c r="I553" s="37">
        <v>15380</v>
      </c>
      <c r="J553" s="37">
        <v>15380</v>
      </c>
      <c r="K553" s="37">
        <v>27843</v>
      </c>
      <c r="L553" s="37">
        <v>62366</v>
      </c>
      <c r="M553" s="37">
        <v>246613</v>
      </c>
      <c r="N553" s="37">
        <v>511590</v>
      </c>
      <c r="O553" s="37">
        <v>0</v>
      </c>
      <c r="P553" s="37">
        <v>0</v>
      </c>
      <c r="Q553" s="37">
        <v>140157</v>
      </c>
      <c r="R553" s="37">
        <v>397663</v>
      </c>
      <c r="S553" s="37">
        <v>1574</v>
      </c>
      <c r="T553" s="37">
        <v>0</v>
      </c>
      <c r="U553" s="37">
        <v>58301</v>
      </c>
      <c r="V553" s="37">
        <v>18711</v>
      </c>
      <c r="W553" s="37">
        <v>70898.5</v>
      </c>
      <c r="X553" s="37">
        <v>70898.5</v>
      </c>
      <c r="Y553" s="37">
        <v>0</v>
      </c>
      <c r="Z553" s="37">
        <v>0</v>
      </c>
      <c r="AA553" s="37">
        <v>270930.5</v>
      </c>
      <c r="AB553" s="37">
        <v>487272.5</v>
      </c>
      <c r="AC553" s="37">
        <v>0</v>
      </c>
      <c r="AD553" s="37">
        <v>0</v>
      </c>
      <c r="AE553" s="37">
        <v>90455</v>
      </c>
      <c r="AF553" s="168">
        <v>0.02</v>
      </c>
      <c r="AG553" s="37">
        <v>38873999.43</v>
      </c>
      <c r="AH553" s="37">
        <v>463779.11</v>
      </c>
      <c r="AI553" s="37">
        <v>321768.88</v>
      </c>
      <c r="AJ553" s="37">
        <v>328204.26</v>
      </c>
      <c r="AK553" s="37">
        <v>334768.34000000003</v>
      </c>
      <c r="AL553" s="37">
        <v>341463.71</v>
      </c>
      <c r="AM553" s="37">
        <v>348292.98</v>
      </c>
      <c r="AN553" s="37">
        <v>355258.84</v>
      </c>
      <c r="AO553" s="37">
        <v>362364.02</v>
      </c>
      <c r="AP553" s="37">
        <v>369611.3</v>
      </c>
      <c r="AQ553" s="37">
        <v>377003.77</v>
      </c>
      <c r="AR553" s="37">
        <v>3602515.2099999995</v>
      </c>
      <c r="AS553" s="37">
        <v>1720913.4</v>
      </c>
      <c r="AT553" s="37">
        <v>0</v>
      </c>
      <c r="AU553" s="37">
        <v>0</v>
      </c>
      <c r="AV553" s="37">
        <v>84494.44</v>
      </c>
      <c r="AW553" s="37">
        <v>0</v>
      </c>
      <c r="AX553" s="37">
        <v>0</v>
      </c>
      <c r="AY553" s="37">
        <v>0</v>
      </c>
      <c r="AZ553" s="37">
        <v>0</v>
      </c>
      <c r="BA553" s="37">
        <v>0</v>
      </c>
      <c r="BB553" s="37">
        <v>0</v>
      </c>
      <c r="BC553" s="37">
        <v>0</v>
      </c>
      <c r="BD553" s="37">
        <v>84494.44</v>
      </c>
      <c r="BE553" s="37">
        <v>0</v>
      </c>
      <c r="BF553" s="37">
        <v>370000</v>
      </c>
      <c r="BG553" s="37">
        <v>0</v>
      </c>
      <c r="BH553" s="37">
        <v>750000</v>
      </c>
      <c r="BI553" s="37">
        <v>0</v>
      </c>
      <c r="BJ553" s="37">
        <v>0</v>
      </c>
      <c r="BK553" s="37">
        <v>0</v>
      </c>
      <c r="BL553" s="37">
        <v>0</v>
      </c>
      <c r="BM553" s="37">
        <v>0</v>
      </c>
      <c r="BN553" s="37">
        <v>0</v>
      </c>
      <c r="BO553" s="37">
        <v>0</v>
      </c>
      <c r="BP553" s="37">
        <v>1120000</v>
      </c>
      <c r="BQ553" s="37">
        <v>77248</v>
      </c>
      <c r="BR553" s="37">
        <v>0</v>
      </c>
      <c r="BS553" s="37">
        <v>1500000</v>
      </c>
      <c r="BT553" s="37">
        <v>0</v>
      </c>
      <c r="BU553" s="37">
        <v>0</v>
      </c>
      <c r="BV553" s="37">
        <v>0</v>
      </c>
      <c r="BW553" s="37">
        <v>0</v>
      </c>
      <c r="BX553" s="37">
        <v>0</v>
      </c>
      <c r="BY553" s="37">
        <v>0</v>
      </c>
      <c r="BZ553" s="37">
        <v>0</v>
      </c>
      <c r="CA553" s="37">
        <v>0</v>
      </c>
      <c r="CB553" s="37">
        <v>1500000</v>
      </c>
      <c r="CC553" s="37">
        <v>0</v>
      </c>
      <c r="CD553" s="37">
        <v>0</v>
      </c>
      <c r="CE553" s="37">
        <v>0</v>
      </c>
      <c r="CF553" s="37">
        <v>6635</v>
      </c>
      <c r="CG553" s="37">
        <v>0</v>
      </c>
      <c r="CH553" s="37">
        <v>0</v>
      </c>
      <c r="CI553" s="37">
        <v>0</v>
      </c>
      <c r="CJ553" s="37">
        <v>0</v>
      </c>
      <c r="CK553" s="37">
        <v>0</v>
      </c>
      <c r="CL553" s="37">
        <v>0</v>
      </c>
      <c r="CM553" s="37">
        <v>0</v>
      </c>
      <c r="CN553" s="37">
        <v>6635</v>
      </c>
      <c r="CO553" s="37">
        <v>0</v>
      </c>
      <c r="CP553" s="37">
        <v>0</v>
      </c>
      <c r="CQ553" s="37">
        <v>0</v>
      </c>
      <c r="CR553" s="37">
        <v>79621</v>
      </c>
      <c r="CS553" s="37">
        <v>0</v>
      </c>
      <c r="CT553" s="37">
        <v>0</v>
      </c>
      <c r="CU553" s="37">
        <v>0</v>
      </c>
      <c r="CV553" s="37">
        <v>0</v>
      </c>
      <c r="CW553" s="37">
        <v>0</v>
      </c>
      <c r="CX553" s="37">
        <v>0</v>
      </c>
      <c r="CY553" s="37">
        <v>0</v>
      </c>
      <c r="CZ553" s="37">
        <v>79621</v>
      </c>
      <c r="DA553" s="37">
        <v>0</v>
      </c>
      <c r="DB553" s="37">
        <v>0</v>
      </c>
      <c r="DC553" s="37">
        <v>0</v>
      </c>
      <c r="DD553" s="37">
        <v>0</v>
      </c>
      <c r="DE553" s="37">
        <v>0</v>
      </c>
      <c r="DF553" s="37">
        <v>0</v>
      </c>
      <c r="DG553" s="37">
        <v>0</v>
      </c>
      <c r="DH553" s="37">
        <v>0</v>
      </c>
      <c r="DI553" s="37">
        <v>0</v>
      </c>
      <c r="DJ553" s="37">
        <v>0</v>
      </c>
      <c r="DK553" s="37">
        <v>0</v>
      </c>
      <c r="DL553" s="37">
        <v>0</v>
      </c>
      <c r="DM553" s="37">
        <v>0</v>
      </c>
      <c r="DN553" s="37">
        <v>0</v>
      </c>
      <c r="DO553" s="37">
        <v>0</v>
      </c>
      <c r="DP553" s="37">
        <v>0</v>
      </c>
      <c r="DQ553" s="37">
        <v>0</v>
      </c>
      <c r="DR553" s="37">
        <v>0</v>
      </c>
      <c r="DS553" s="37">
        <v>0</v>
      </c>
      <c r="DT553" s="37">
        <v>0</v>
      </c>
      <c r="DU553" s="37">
        <v>0</v>
      </c>
      <c r="DV553" s="37">
        <v>0</v>
      </c>
      <c r="DW553" s="37">
        <v>0</v>
      </c>
      <c r="DX553" s="37">
        <v>0</v>
      </c>
      <c r="DY553" s="37">
        <v>0</v>
      </c>
      <c r="DZ553" s="37">
        <v>0</v>
      </c>
      <c r="EA553" s="37">
        <v>0</v>
      </c>
      <c r="EB553" s="37">
        <v>0</v>
      </c>
      <c r="EC553" s="37">
        <v>0</v>
      </c>
      <c r="ED553" s="37">
        <v>0</v>
      </c>
      <c r="EE553" s="37">
        <v>0</v>
      </c>
      <c r="EF553" s="37">
        <v>0</v>
      </c>
      <c r="EG553" s="37">
        <v>0</v>
      </c>
      <c r="EH553" s="37">
        <v>0</v>
      </c>
      <c r="EI553" s="37">
        <v>0</v>
      </c>
      <c r="EJ553" s="37">
        <v>0</v>
      </c>
      <c r="EK553" s="161" t="s">
        <v>2590</v>
      </c>
      <c r="EL553" s="294" t="s">
        <v>1124</v>
      </c>
    </row>
    <row r="554" spans="1:142" ht="15" customHeight="1" x14ac:dyDescent="0.35">
      <c r="A554" s="34"/>
      <c r="B554" s="313">
        <v>7065</v>
      </c>
      <c r="C554" s="8" t="s">
        <v>1077</v>
      </c>
      <c r="D554" s="18">
        <v>1</v>
      </c>
      <c r="E554" s="155">
        <v>18961</v>
      </c>
      <c r="F554" s="36">
        <v>0</v>
      </c>
      <c r="G554" s="37">
        <v>24060</v>
      </c>
      <c r="H554" s="37">
        <v>0</v>
      </c>
      <c r="I554" s="37">
        <v>51446</v>
      </c>
      <c r="J554" s="37">
        <v>0</v>
      </c>
      <c r="K554" s="37">
        <v>2844.15</v>
      </c>
      <c r="L554" s="37">
        <v>0</v>
      </c>
      <c r="M554" s="37">
        <v>97311.15</v>
      </c>
      <c r="N554" s="37">
        <v>0</v>
      </c>
      <c r="O554" s="37">
        <v>0</v>
      </c>
      <c r="P554" s="37">
        <v>0</v>
      </c>
      <c r="Q554" s="37">
        <v>35625</v>
      </c>
      <c r="R554" s="37">
        <v>800</v>
      </c>
      <c r="S554" s="37">
        <v>219</v>
      </c>
      <c r="T554" s="37">
        <v>0</v>
      </c>
      <c r="U554" s="37">
        <v>48240</v>
      </c>
      <c r="V554" s="37">
        <v>0</v>
      </c>
      <c r="W554" s="37">
        <v>12427.149999999994</v>
      </c>
      <c r="X554" s="37">
        <v>0</v>
      </c>
      <c r="Y554" s="37">
        <v>0</v>
      </c>
      <c r="Z554" s="37">
        <v>0</v>
      </c>
      <c r="AA554" s="37">
        <v>96511.15</v>
      </c>
      <c r="AB554" s="37">
        <v>800</v>
      </c>
      <c r="AC554" s="37">
        <v>0</v>
      </c>
      <c r="AD554" s="37">
        <v>0</v>
      </c>
      <c r="AE554" s="37">
        <v>0</v>
      </c>
      <c r="AF554" s="168">
        <v>0.02</v>
      </c>
      <c r="AG554" s="37">
        <v>2716159.2</v>
      </c>
      <c r="AH554" s="37">
        <v>21851.97</v>
      </c>
      <c r="AI554" s="37">
        <v>22289.35</v>
      </c>
      <c r="AJ554" s="37">
        <v>22735.14</v>
      </c>
      <c r="AK554" s="37">
        <v>23189.84</v>
      </c>
      <c r="AL554" s="37">
        <v>23653.64</v>
      </c>
      <c r="AM554" s="37">
        <v>24126.71</v>
      </c>
      <c r="AN554" s="37">
        <v>24609.24</v>
      </c>
      <c r="AO554" s="37">
        <v>25101.43</v>
      </c>
      <c r="AP554" s="37">
        <v>25603.46</v>
      </c>
      <c r="AQ554" s="37">
        <v>26115.53</v>
      </c>
      <c r="AR554" s="37">
        <v>239276.31</v>
      </c>
      <c r="AS554" s="37">
        <v>0</v>
      </c>
      <c r="AT554" s="37">
        <v>0</v>
      </c>
      <c r="AU554" s="37">
        <v>0</v>
      </c>
      <c r="AV554" s="37">
        <v>0</v>
      </c>
      <c r="AW554" s="37">
        <v>0</v>
      </c>
      <c r="AX554" s="37">
        <v>0</v>
      </c>
      <c r="AY554" s="37">
        <v>0</v>
      </c>
      <c r="AZ554" s="37">
        <v>0</v>
      </c>
      <c r="BA554" s="37">
        <v>0</v>
      </c>
      <c r="BB554" s="37">
        <v>0</v>
      </c>
      <c r="BC554" s="37">
        <v>0</v>
      </c>
      <c r="BD554" s="37">
        <v>0</v>
      </c>
      <c r="BE554" s="37">
        <v>0</v>
      </c>
      <c r="BF554" s="37">
        <v>0</v>
      </c>
      <c r="BG554" s="37">
        <v>0</v>
      </c>
      <c r="BH554" s="37">
        <v>0</v>
      </c>
      <c r="BI554" s="37">
        <v>0</v>
      </c>
      <c r="BJ554" s="37">
        <v>0</v>
      </c>
      <c r="BK554" s="37">
        <v>0</v>
      </c>
      <c r="BL554" s="37">
        <v>0</v>
      </c>
      <c r="BM554" s="37">
        <v>0</v>
      </c>
      <c r="BN554" s="37">
        <v>0</v>
      </c>
      <c r="BO554" s="37">
        <v>0</v>
      </c>
      <c r="BP554" s="37">
        <v>0</v>
      </c>
      <c r="BQ554" s="37">
        <v>0</v>
      </c>
      <c r="BR554" s="37">
        <v>0</v>
      </c>
      <c r="BS554" s="37">
        <v>0</v>
      </c>
      <c r="BT554" s="37">
        <v>0</v>
      </c>
      <c r="BU554" s="37">
        <v>0</v>
      </c>
      <c r="BV554" s="37">
        <v>0</v>
      </c>
      <c r="BW554" s="37">
        <v>0</v>
      </c>
      <c r="BX554" s="37">
        <v>0</v>
      </c>
      <c r="BY554" s="37">
        <v>0</v>
      </c>
      <c r="BZ554" s="37">
        <v>0</v>
      </c>
      <c r="CA554" s="37">
        <v>0</v>
      </c>
      <c r="CB554" s="37">
        <v>0</v>
      </c>
      <c r="CC554" s="37">
        <v>0</v>
      </c>
      <c r="CD554" s="37">
        <v>0</v>
      </c>
      <c r="CE554" s="37">
        <v>0</v>
      </c>
      <c r="CF554" s="37">
        <v>0</v>
      </c>
      <c r="CG554" s="37">
        <v>0</v>
      </c>
      <c r="CH554" s="37">
        <v>0</v>
      </c>
      <c r="CI554" s="37">
        <v>0</v>
      </c>
      <c r="CJ554" s="37">
        <v>0</v>
      </c>
      <c r="CK554" s="37">
        <v>0</v>
      </c>
      <c r="CL554" s="37">
        <v>0</v>
      </c>
      <c r="CM554" s="37">
        <v>0</v>
      </c>
      <c r="CN554" s="37">
        <v>0</v>
      </c>
      <c r="CO554" s="37">
        <v>0</v>
      </c>
      <c r="CP554" s="37">
        <v>0</v>
      </c>
      <c r="CQ554" s="37">
        <v>0</v>
      </c>
      <c r="CR554" s="37">
        <v>0</v>
      </c>
      <c r="CS554" s="37">
        <v>0</v>
      </c>
      <c r="CT554" s="37">
        <v>0</v>
      </c>
      <c r="CU554" s="37">
        <v>0</v>
      </c>
      <c r="CV554" s="37">
        <v>0</v>
      </c>
      <c r="CW554" s="37">
        <v>0</v>
      </c>
      <c r="CX554" s="37">
        <v>0</v>
      </c>
      <c r="CY554" s="37">
        <v>0</v>
      </c>
      <c r="CZ554" s="37">
        <v>0</v>
      </c>
      <c r="DA554" s="37">
        <v>0</v>
      </c>
      <c r="DB554" s="37">
        <v>0</v>
      </c>
      <c r="DC554" s="37">
        <v>0</v>
      </c>
      <c r="DD554" s="37">
        <v>0</v>
      </c>
      <c r="DE554" s="37">
        <v>0</v>
      </c>
      <c r="DF554" s="37">
        <v>0</v>
      </c>
      <c r="DG554" s="37">
        <v>0</v>
      </c>
      <c r="DH554" s="37">
        <v>0</v>
      </c>
      <c r="DI554" s="37">
        <v>0</v>
      </c>
      <c r="DJ554" s="37">
        <v>0</v>
      </c>
      <c r="DK554" s="37">
        <v>0</v>
      </c>
      <c r="DL554" s="37">
        <v>0</v>
      </c>
      <c r="DM554" s="37">
        <v>0</v>
      </c>
      <c r="DN554" s="37">
        <v>0</v>
      </c>
      <c r="DO554" s="37">
        <v>0</v>
      </c>
      <c r="DP554" s="37">
        <v>0</v>
      </c>
      <c r="DQ554" s="37">
        <v>0</v>
      </c>
      <c r="DR554" s="37">
        <v>0</v>
      </c>
      <c r="DS554" s="37">
        <v>0</v>
      </c>
      <c r="DT554" s="37">
        <v>0</v>
      </c>
      <c r="DU554" s="37">
        <v>0</v>
      </c>
      <c r="DV554" s="37">
        <v>0</v>
      </c>
      <c r="DW554" s="37">
        <v>0</v>
      </c>
      <c r="DX554" s="37">
        <v>0</v>
      </c>
      <c r="DY554" s="37">
        <v>0</v>
      </c>
      <c r="DZ554" s="37">
        <v>0</v>
      </c>
      <c r="EA554" s="37">
        <v>0</v>
      </c>
      <c r="EB554" s="37">
        <v>0</v>
      </c>
      <c r="EC554" s="37">
        <v>0</v>
      </c>
      <c r="ED554" s="37">
        <v>0</v>
      </c>
      <c r="EE554" s="37">
        <v>0</v>
      </c>
      <c r="EF554" s="37">
        <v>0</v>
      </c>
      <c r="EG554" s="37">
        <v>0</v>
      </c>
      <c r="EH554" s="37">
        <v>0</v>
      </c>
      <c r="EI554" s="37">
        <v>0</v>
      </c>
      <c r="EJ554" s="37">
        <v>0</v>
      </c>
      <c r="EK554" s="161" t="s">
        <v>2594</v>
      </c>
      <c r="EL554" s="294" t="s">
        <v>1124</v>
      </c>
    </row>
    <row r="555" spans="1:142" ht="15" customHeight="1" x14ac:dyDescent="0.35">
      <c r="A555" s="34"/>
      <c r="B555" s="313">
        <v>63023</v>
      </c>
      <c r="C555" s="8" t="s">
        <v>636</v>
      </c>
      <c r="D555" s="18">
        <v>14</v>
      </c>
      <c r="E555" s="155">
        <v>56433</v>
      </c>
      <c r="F555" s="36">
        <v>29678</v>
      </c>
      <c r="G555" s="37">
        <v>0</v>
      </c>
      <c r="H555" s="37">
        <v>677</v>
      </c>
      <c r="I555" s="37">
        <v>0</v>
      </c>
      <c r="J555" s="37">
        <v>53700</v>
      </c>
      <c r="K555" s="37">
        <v>5600</v>
      </c>
      <c r="L555" s="37">
        <v>8400</v>
      </c>
      <c r="M555" s="37">
        <v>62033</v>
      </c>
      <c r="N555" s="37">
        <v>92455</v>
      </c>
      <c r="O555" s="37">
        <v>0</v>
      </c>
      <c r="P555" s="37">
        <v>0</v>
      </c>
      <c r="Q555" s="37">
        <v>68120</v>
      </c>
      <c r="R555" s="37">
        <v>41360</v>
      </c>
      <c r="S555" s="37">
        <v>0</v>
      </c>
      <c r="T555" s="37">
        <v>0</v>
      </c>
      <c r="U555" s="37">
        <v>0</v>
      </c>
      <c r="V555" s="37">
        <v>46500</v>
      </c>
      <c r="W555" s="37">
        <v>0</v>
      </c>
      <c r="X555" s="37">
        <v>8740</v>
      </c>
      <c r="Y555" s="37">
        <v>0</v>
      </c>
      <c r="Z555" s="37">
        <v>0</v>
      </c>
      <c r="AA555" s="37">
        <v>68120</v>
      </c>
      <c r="AB555" s="37">
        <v>96600</v>
      </c>
      <c r="AC555" s="37">
        <v>10232</v>
      </c>
      <c r="AD555" s="37">
        <v>0</v>
      </c>
      <c r="AE555" s="37">
        <v>0</v>
      </c>
      <c r="AF555" s="168">
        <v>0.02</v>
      </c>
      <c r="AG555" s="37">
        <v>7684751.8600000003</v>
      </c>
      <c r="AH555" s="37">
        <v>299200.05</v>
      </c>
      <c r="AI555" s="37">
        <v>305184.05</v>
      </c>
      <c r="AJ555" s="37">
        <v>83127.61</v>
      </c>
      <c r="AK555" s="37">
        <v>84790.16</v>
      </c>
      <c r="AL555" s="37">
        <v>86485.96</v>
      </c>
      <c r="AM555" s="37">
        <v>88215.679999999993</v>
      </c>
      <c r="AN555" s="37">
        <v>89979.99</v>
      </c>
      <c r="AO555" s="37">
        <v>91779.59</v>
      </c>
      <c r="AP555" s="37">
        <v>93615.19</v>
      </c>
      <c r="AQ555" s="37">
        <v>95487.49</v>
      </c>
      <c r="AR555" s="37">
        <v>1317865.77</v>
      </c>
      <c r="AS555" s="37">
        <v>1725431.61</v>
      </c>
      <c r="AT555" s="37">
        <v>0</v>
      </c>
      <c r="AU555" s="37">
        <v>1659438</v>
      </c>
      <c r="AV555" s="37">
        <v>0</v>
      </c>
      <c r="AW555" s="37">
        <v>0</v>
      </c>
      <c r="AX555" s="37">
        <v>0</v>
      </c>
      <c r="AY555" s="37">
        <v>0</v>
      </c>
      <c r="AZ555" s="37">
        <v>0</v>
      </c>
      <c r="BA555" s="37">
        <v>0</v>
      </c>
      <c r="BB555" s="37">
        <v>0</v>
      </c>
      <c r="BC555" s="37">
        <v>0</v>
      </c>
      <c r="BD555" s="37">
        <v>1659438</v>
      </c>
      <c r="BE555" s="37">
        <v>0</v>
      </c>
      <c r="BF555" s="37">
        <v>0</v>
      </c>
      <c r="BG555" s="37">
        <v>0</v>
      </c>
      <c r="BH555" s="37">
        <v>0</v>
      </c>
      <c r="BI555" s="37">
        <v>0</v>
      </c>
      <c r="BJ555" s="37">
        <v>0</v>
      </c>
      <c r="BK555" s="37">
        <v>0</v>
      </c>
      <c r="BL555" s="37">
        <v>0</v>
      </c>
      <c r="BM555" s="37">
        <v>0</v>
      </c>
      <c r="BN555" s="37">
        <v>0</v>
      </c>
      <c r="BO555" s="37">
        <v>0</v>
      </c>
      <c r="BP555" s="37">
        <v>0</v>
      </c>
      <c r="BQ555" s="37">
        <v>0</v>
      </c>
      <c r="BR555" s="37">
        <v>2121600</v>
      </c>
      <c r="BS555" s="37">
        <v>0</v>
      </c>
      <c r="BT555" s="37">
        <v>0</v>
      </c>
      <c r="BU555" s="37">
        <v>0</v>
      </c>
      <c r="BV555" s="37">
        <v>0</v>
      </c>
      <c r="BW555" s="37">
        <v>0</v>
      </c>
      <c r="BX555" s="37">
        <v>0</v>
      </c>
      <c r="BY555" s="37">
        <v>0</v>
      </c>
      <c r="BZ555" s="37">
        <v>0</v>
      </c>
      <c r="CA555" s="37">
        <v>0</v>
      </c>
      <c r="CB555" s="37">
        <v>2121600</v>
      </c>
      <c r="CC555" s="37">
        <v>0</v>
      </c>
      <c r="CD555" s="37">
        <v>0</v>
      </c>
      <c r="CE555" s="37">
        <v>0</v>
      </c>
      <c r="CF555" s="37">
        <v>0</v>
      </c>
      <c r="CG555" s="37">
        <v>0</v>
      </c>
      <c r="CH555" s="37">
        <v>0</v>
      </c>
      <c r="CI555" s="37">
        <v>0</v>
      </c>
      <c r="CJ555" s="37">
        <v>0</v>
      </c>
      <c r="CK555" s="37">
        <v>0</v>
      </c>
      <c r="CL555" s="37">
        <v>0</v>
      </c>
      <c r="CM555" s="37">
        <v>0</v>
      </c>
      <c r="CN555" s="37">
        <v>0</v>
      </c>
      <c r="CO555" s="37">
        <v>0</v>
      </c>
      <c r="CP555" s="37">
        <v>0</v>
      </c>
      <c r="CQ555" s="37">
        <v>1276000</v>
      </c>
      <c r="CR555" s="37">
        <v>0</v>
      </c>
      <c r="CS555" s="37">
        <v>0</v>
      </c>
      <c r="CT555" s="37">
        <v>0</v>
      </c>
      <c r="CU555" s="37">
        <v>0</v>
      </c>
      <c r="CV555" s="37">
        <v>0</v>
      </c>
      <c r="CW555" s="37">
        <v>0</v>
      </c>
      <c r="CX555" s="37">
        <v>0</v>
      </c>
      <c r="CY555" s="37">
        <v>0</v>
      </c>
      <c r="CZ555" s="37">
        <v>1276000</v>
      </c>
      <c r="DA555" s="37">
        <v>0</v>
      </c>
      <c r="DB555" s="37">
        <v>0</v>
      </c>
      <c r="DC555" s="37">
        <v>319000</v>
      </c>
      <c r="DD555" s="37">
        <v>0</v>
      </c>
      <c r="DE555" s="37">
        <v>0</v>
      </c>
      <c r="DF555" s="37">
        <v>0</v>
      </c>
      <c r="DG555" s="37">
        <v>0</v>
      </c>
      <c r="DH555" s="37">
        <v>0</v>
      </c>
      <c r="DI555" s="37">
        <v>0</v>
      </c>
      <c r="DJ555" s="37">
        <v>0</v>
      </c>
      <c r="DK555" s="37">
        <v>0</v>
      </c>
      <c r="DL555" s="37">
        <v>319000</v>
      </c>
      <c r="DM555" s="37">
        <v>0</v>
      </c>
      <c r="DN555" s="37">
        <v>0</v>
      </c>
      <c r="DO555" s="37">
        <v>0</v>
      </c>
      <c r="DP555" s="37">
        <v>0</v>
      </c>
      <c r="DQ555" s="37">
        <v>0</v>
      </c>
      <c r="DR555" s="37">
        <v>0</v>
      </c>
      <c r="DS555" s="37">
        <v>0</v>
      </c>
      <c r="DT555" s="37">
        <v>0</v>
      </c>
      <c r="DU555" s="37">
        <v>0</v>
      </c>
      <c r="DV555" s="37">
        <v>0</v>
      </c>
      <c r="DW555" s="37">
        <v>0</v>
      </c>
      <c r="DX555" s="37">
        <v>0</v>
      </c>
      <c r="DY555" s="37">
        <v>0</v>
      </c>
      <c r="DZ555" s="37">
        <v>0</v>
      </c>
      <c r="EA555" s="37">
        <v>0</v>
      </c>
      <c r="EB555" s="37">
        <v>0</v>
      </c>
      <c r="EC555" s="37">
        <v>0</v>
      </c>
      <c r="ED555" s="37">
        <v>0</v>
      </c>
      <c r="EE555" s="37">
        <v>0</v>
      </c>
      <c r="EF555" s="37">
        <v>0</v>
      </c>
      <c r="EG555" s="37">
        <v>0</v>
      </c>
      <c r="EH555" s="37">
        <v>0</v>
      </c>
      <c r="EI555" s="37">
        <v>0</v>
      </c>
      <c r="EJ555" s="37">
        <v>0</v>
      </c>
      <c r="EK555" s="161" t="s">
        <v>2599</v>
      </c>
      <c r="EL555" s="294" t="s">
        <v>1124</v>
      </c>
    </row>
    <row r="556" spans="1:142" ht="15" customHeight="1" x14ac:dyDescent="0.35">
      <c r="A556" s="34"/>
      <c r="B556" s="313">
        <v>6050</v>
      </c>
      <c r="C556" s="8" t="s">
        <v>1065</v>
      </c>
      <c r="D556" s="18">
        <v>11</v>
      </c>
      <c r="E556" s="155">
        <v>43837</v>
      </c>
      <c r="F556" s="36">
        <v>0</v>
      </c>
      <c r="G556" s="37">
        <v>44662</v>
      </c>
      <c r="H556" s="37">
        <v>0</v>
      </c>
      <c r="I556" s="37">
        <v>93500</v>
      </c>
      <c r="J556" s="37">
        <v>0</v>
      </c>
      <c r="K556" s="37">
        <v>7000</v>
      </c>
      <c r="L556" s="37">
        <v>0</v>
      </c>
      <c r="M556" s="37">
        <v>188999</v>
      </c>
      <c r="N556" s="37">
        <v>0</v>
      </c>
      <c r="O556" s="37">
        <v>0</v>
      </c>
      <c r="P556" s="37">
        <v>0</v>
      </c>
      <c r="Q556" s="37">
        <v>28425</v>
      </c>
      <c r="R556" s="37">
        <v>0</v>
      </c>
      <c r="S556" s="37">
        <v>0</v>
      </c>
      <c r="T556" s="37">
        <v>0</v>
      </c>
      <c r="U556" s="37">
        <v>30842</v>
      </c>
      <c r="V556" s="37">
        <v>0</v>
      </c>
      <c r="W556" s="37">
        <v>129732</v>
      </c>
      <c r="X556" s="37">
        <v>0</v>
      </c>
      <c r="Y556" s="37">
        <v>0</v>
      </c>
      <c r="Z556" s="37">
        <v>0</v>
      </c>
      <c r="AA556" s="37">
        <v>188999</v>
      </c>
      <c r="AB556" s="37">
        <v>0</v>
      </c>
      <c r="AC556" s="37">
        <v>0</v>
      </c>
      <c r="AD556" s="37">
        <v>0</v>
      </c>
      <c r="AE556" s="37">
        <v>0</v>
      </c>
      <c r="AF556" s="168">
        <v>0.02</v>
      </c>
      <c r="AG556" s="37">
        <v>6214788.5099999998</v>
      </c>
      <c r="AH556" s="37">
        <v>43806.46</v>
      </c>
      <c r="AI556" s="37">
        <v>44682.59</v>
      </c>
      <c r="AJ556" s="37">
        <v>45576.24</v>
      </c>
      <c r="AK556" s="37">
        <v>46487.76</v>
      </c>
      <c r="AL556" s="37">
        <v>112616.24</v>
      </c>
      <c r="AM556" s="37">
        <v>114868.57</v>
      </c>
      <c r="AN556" s="37">
        <v>117165.94</v>
      </c>
      <c r="AO556" s="37">
        <v>119509.26</v>
      </c>
      <c r="AP556" s="37">
        <v>51326.25</v>
      </c>
      <c r="AQ556" s="37">
        <v>52352.77</v>
      </c>
      <c r="AR556" s="37">
        <v>748392.08</v>
      </c>
      <c r="AS556" s="37">
        <v>0</v>
      </c>
      <c r="AT556" s="37">
        <v>0</v>
      </c>
      <c r="AU556" s="37">
        <v>0</v>
      </c>
      <c r="AV556" s="37">
        <v>0</v>
      </c>
      <c r="AW556" s="37">
        <v>0</v>
      </c>
      <c r="AX556" s="37">
        <v>0</v>
      </c>
      <c r="AY556" s="37">
        <v>0</v>
      </c>
      <c r="AZ556" s="37">
        <v>0</v>
      </c>
      <c r="BA556" s="37">
        <v>0</v>
      </c>
      <c r="BB556" s="37">
        <v>0</v>
      </c>
      <c r="BC556" s="37">
        <v>0</v>
      </c>
      <c r="BD556" s="37">
        <v>0</v>
      </c>
      <c r="BE556" s="37">
        <v>0</v>
      </c>
      <c r="BF556" s="37">
        <v>0</v>
      </c>
      <c r="BG556" s="37">
        <v>0</v>
      </c>
      <c r="BH556" s="37">
        <v>0</v>
      </c>
      <c r="BI556" s="37">
        <v>0</v>
      </c>
      <c r="BJ556" s="37">
        <v>0</v>
      </c>
      <c r="BK556" s="37">
        <v>0</v>
      </c>
      <c r="BL556" s="37">
        <v>0</v>
      </c>
      <c r="BM556" s="37">
        <v>0</v>
      </c>
      <c r="BN556" s="37">
        <v>0</v>
      </c>
      <c r="BO556" s="37">
        <v>0</v>
      </c>
      <c r="BP556" s="37">
        <v>0</v>
      </c>
      <c r="BQ556" s="37">
        <v>0</v>
      </c>
      <c r="BR556" s="37">
        <v>0</v>
      </c>
      <c r="BS556" s="37">
        <v>0</v>
      </c>
      <c r="BT556" s="37">
        <v>0</v>
      </c>
      <c r="BU556" s="37">
        <v>0</v>
      </c>
      <c r="BV556" s="37">
        <v>0</v>
      </c>
      <c r="BW556" s="37">
        <v>0</v>
      </c>
      <c r="BX556" s="37">
        <v>0</v>
      </c>
      <c r="BY556" s="37">
        <v>0</v>
      </c>
      <c r="BZ556" s="37">
        <v>0</v>
      </c>
      <c r="CA556" s="37">
        <v>0</v>
      </c>
      <c r="CB556" s="37">
        <v>0</v>
      </c>
      <c r="CC556" s="37">
        <v>0</v>
      </c>
      <c r="CD556" s="37">
        <v>0</v>
      </c>
      <c r="CE556" s="37">
        <v>0</v>
      </c>
      <c r="CF556" s="37">
        <v>0</v>
      </c>
      <c r="CG556" s="37">
        <v>0</v>
      </c>
      <c r="CH556" s="37">
        <v>0</v>
      </c>
      <c r="CI556" s="37">
        <v>0</v>
      </c>
      <c r="CJ556" s="37">
        <v>0</v>
      </c>
      <c r="CK556" s="37">
        <v>0</v>
      </c>
      <c r="CL556" s="37">
        <v>0</v>
      </c>
      <c r="CM556" s="37">
        <v>0</v>
      </c>
      <c r="CN556" s="37">
        <v>0</v>
      </c>
      <c r="CO556" s="37">
        <v>0</v>
      </c>
      <c r="CP556" s="37">
        <v>0</v>
      </c>
      <c r="CQ556" s="37">
        <v>0</v>
      </c>
      <c r="CR556" s="37">
        <v>0</v>
      </c>
      <c r="CS556" s="37">
        <v>0</v>
      </c>
      <c r="CT556" s="37">
        <v>0</v>
      </c>
      <c r="CU556" s="37">
        <v>0</v>
      </c>
      <c r="CV556" s="37">
        <v>0</v>
      </c>
      <c r="CW556" s="37">
        <v>0</v>
      </c>
      <c r="CX556" s="37">
        <v>0</v>
      </c>
      <c r="CY556" s="37">
        <v>0</v>
      </c>
      <c r="CZ556" s="37">
        <v>0</v>
      </c>
      <c r="DA556" s="37">
        <v>0</v>
      </c>
      <c r="DB556" s="37">
        <v>0</v>
      </c>
      <c r="DC556" s="37">
        <v>0</v>
      </c>
      <c r="DD556" s="37">
        <v>0</v>
      </c>
      <c r="DE556" s="37">
        <v>0</v>
      </c>
      <c r="DF556" s="37">
        <v>0</v>
      </c>
      <c r="DG556" s="37">
        <v>0</v>
      </c>
      <c r="DH556" s="37">
        <v>0</v>
      </c>
      <c r="DI556" s="37">
        <v>0</v>
      </c>
      <c r="DJ556" s="37">
        <v>0</v>
      </c>
      <c r="DK556" s="37">
        <v>0</v>
      </c>
      <c r="DL556" s="37">
        <v>0</v>
      </c>
      <c r="DM556" s="37">
        <v>0</v>
      </c>
      <c r="DN556" s="37">
        <v>0</v>
      </c>
      <c r="DO556" s="37">
        <v>0</v>
      </c>
      <c r="DP556" s="37">
        <v>0</v>
      </c>
      <c r="DQ556" s="37">
        <v>0</v>
      </c>
      <c r="DR556" s="37">
        <v>0</v>
      </c>
      <c r="DS556" s="37">
        <v>0</v>
      </c>
      <c r="DT556" s="37">
        <v>0</v>
      </c>
      <c r="DU556" s="37">
        <v>0</v>
      </c>
      <c r="DV556" s="37">
        <v>0</v>
      </c>
      <c r="DW556" s="37">
        <v>0</v>
      </c>
      <c r="DX556" s="37">
        <v>0</v>
      </c>
      <c r="DY556" s="37">
        <v>0</v>
      </c>
      <c r="DZ556" s="37">
        <v>0</v>
      </c>
      <c r="EA556" s="37">
        <v>0</v>
      </c>
      <c r="EB556" s="37">
        <v>0</v>
      </c>
      <c r="EC556" s="37">
        <v>0</v>
      </c>
      <c r="ED556" s="37">
        <v>0</v>
      </c>
      <c r="EE556" s="37">
        <v>0</v>
      </c>
      <c r="EF556" s="37">
        <v>0</v>
      </c>
      <c r="EG556" s="37">
        <v>0</v>
      </c>
      <c r="EH556" s="37">
        <v>0</v>
      </c>
      <c r="EI556" s="37">
        <v>0</v>
      </c>
      <c r="EJ556" s="37">
        <v>0</v>
      </c>
      <c r="EK556" s="161" t="s">
        <v>2603</v>
      </c>
      <c r="EL556" s="294" t="s">
        <v>1124</v>
      </c>
    </row>
    <row r="557" spans="1:142" ht="15" customHeight="1" x14ac:dyDescent="0.35">
      <c r="A557" s="34"/>
      <c r="B557" s="313">
        <v>51065</v>
      </c>
      <c r="C557" s="8" t="s">
        <v>509</v>
      </c>
      <c r="D557" s="18">
        <v>4</v>
      </c>
      <c r="E557" s="155"/>
      <c r="F557" s="36"/>
      <c r="G557" s="37"/>
      <c r="H557" s="37"/>
      <c r="I557" s="37"/>
      <c r="J557" s="37"/>
      <c r="K557" s="37"/>
      <c r="L557" s="37"/>
      <c r="M557" s="37" t="s">
        <v>1124</v>
      </c>
      <c r="N557" s="37" t="s">
        <v>1124</v>
      </c>
      <c r="O557" s="37"/>
      <c r="P557" s="37"/>
      <c r="Q557" s="37"/>
      <c r="R557" s="37"/>
      <c r="S557" s="37"/>
      <c r="T557" s="37"/>
      <c r="U557" s="37"/>
      <c r="V557" s="37"/>
      <c r="W557" s="37"/>
      <c r="X557" s="37"/>
      <c r="Y557" s="37"/>
      <c r="Z557" s="37"/>
      <c r="AA557" s="37" t="s">
        <v>1124</v>
      </c>
      <c r="AB557" s="37" t="s">
        <v>1124</v>
      </c>
      <c r="AC557" s="37"/>
      <c r="AD557" s="37"/>
      <c r="AE557" s="37"/>
      <c r="AF557" s="168"/>
      <c r="AG557" s="37"/>
      <c r="AH557" s="37"/>
      <c r="AI557" s="37"/>
      <c r="AJ557" s="37"/>
      <c r="AK557" s="37"/>
      <c r="AL557" s="37"/>
      <c r="AM557" s="37"/>
      <c r="AN557" s="37"/>
      <c r="AO557" s="37"/>
      <c r="AP557" s="37"/>
      <c r="AQ557" s="37"/>
      <c r="AR557" s="37" t="s">
        <v>1124</v>
      </c>
      <c r="AS557" s="37"/>
      <c r="AT557" s="37"/>
      <c r="AU557" s="37"/>
      <c r="AV557" s="37"/>
      <c r="AW557" s="37"/>
      <c r="AX557" s="37"/>
      <c r="AY557" s="37"/>
      <c r="AZ557" s="37"/>
      <c r="BA557" s="37"/>
      <c r="BB557" s="37"/>
      <c r="BC557" s="37"/>
      <c r="BD557" s="37" t="s">
        <v>1124</v>
      </c>
      <c r="BE557" s="37"/>
      <c r="BF557" s="37"/>
      <c r="BG557" s="37"/>
      <c r="BH557" s="37"/>
      <c r="BI557" s="37"/>
      <c r="BJ557" s="37"/>
      <c r="BK557" s="37"/>
      <c r="BL557" s="37"/>
      <c r="BM557" s="37"/>
      <c r="BN557" s="37"/>
      <c r="BO557" s="37"/>
      <c r="BP557" s="37">
        <v>0</v>
      </c>
      <c r="BQ557" s="37"/>
      <c r="BR557" s="37"/>
      <c r="BS557" s="37"/>
      <c r="BT557" s="37"/>
      <c r="BU557" s="37"/>
      <c r="BV557" s="37"/>
      <c r="BW557" s="37"/>
      <c r="BX557" s="37"/>
      <c r="BY557" s="37"/>
      <c r="BZ557" s="37"/>
      <c r="CA557" s="37"/>
      <c r="CB557" s="37" t="s">
        <v>1124</v>
      </c>
      <c r="CC557" s="37"/>
      <c r="CD557" s="37"/>
      <c r="CE557" s="37"/>
      <c r="CF557" s="37"/>
      <c r="CG557" s="37"/>
      <c r="CH557" s="37"/>
      <c r="CI557" s="37"/>
      <c r="CJ557" s="37"/>
      <c r="CK557" s="37"/>
      <c r="CL557" s="37"/>
      <c r="CM557" s="37"/>
      <c r="CN557" s="37" t="s">
        <v>1124</v>
      </c>
      <c r="CO557" s="37"/>
      <c r="CP557" s="37"/>
      <c r="CQ557" s="37"/>
      <c r="CR557" s="37"/>
      <c r="CS557" s="37"/>
      <c r="CT557" s="37"/>
      <c r="CU557" s="37"/>
      <c r="CV557" s="37"/>
      <c r="CW557" s="37"/>
      <c r="CX557" s="37"/>
      <c r="CY557" s="37"/>
      <c r="CZ557" s="37" t="s">
        <v>1124</v>
      </c>
      <c r="DA557" s="37"/>
      <c r="DB557" s="37"/>
      <c r="DC557" s="37"/>
      <c r="DD557" s="37"/>
      <c r="DE557" s="37"/>
      <c r="DF557" s="37"/>
      <c r="DG557" s="37"/>
      <c r="DH557" s="37"/>
      <c r="DI557" s="37"/>
      <c r="DJ557" s="37"/>
      <c r="DK557" s="37"/>
      <c r="DL557" s="37" t="s">
        <v>1124</v>
      </c>
      <c r="DM557" s="37"/>
      <c r="DN557" s="37"/>
      <c r="DO557" s="37"/>
      <c r="DP557" s="37"/>
      <c r="DQ557" s="37"/>
      <c r="DR557" s="37"/>
      <c r="DS557" s="37"/>
      <c r="DT557" s="37"/>
      <c r="DU557" s="37"/>
      <c r="DV557" s="37"/>
      <c r="DW557" s="37"/>
      <c r="DX557" s="37" t="s">
        <v>1124</v>
      </c>
      <c r="DY557" s="37"/>
      <c r="DZ557" s="37"/>
      <c r="EA557" s="37"/>
      <c r="EB557" s="37"/>
      <c r="EC557" s="37"/>
      <c r="ED557" s="37"/>
      <c r="EE557" s="37"/>
      <c r="EF557" s="37"/>
      <c r="EG557" s="37"/>
      <c r="EH557" s="37"/>
      <c r="EI557" s="37"/>
      <c r="EJ557" s="37" t="s">
        <v>1124</v>
      </c>
      <c r="EK557" s="161"/>
      <c r="EL557" s="294"/>
    </row>
    <row r="558" spans="1:142" ht="15" customHeight="1" x14ac:dyDescent="0.35">
      <c r="A558" s="34"/>
      <c r="B558" s="313">
        <v>27015</v>
      </c>
      <c r="C558" s="8" t="s">
        <v>179</v>
      </c>
      <c r="D558" s="18">
        <v>12</v>
      </c>
      <c r="E558" s="155"/>
      <c r="F558" s="36"/>
      <c r="G558" s="37"/>
      <c r="H558" s="37"/>
      <c r="I558" s="37"/>
      <c r="J558" s="37"/>
      <c r="K558" s="37"/>
      <c r="L558" s="37"/>
      <c r="M558" s="37" t="s">
        <v>1124</v>
      </c>
      <c r="N558" s="37" t="s">
        <v>1124</v>
      </c>
      <c r="O558" s="37"/>
      <c r="P558" s="37"/>
      <c r="Q558" s="37"/>
      <c r="R558" s="37"/>
      <c r="S558" s="37"/>
      <c r="T558" s="37"/>
      <c r="U558" s="37"/>
      <c r="V558" s="37"/>
      <c r="W558" s="37"/>
      <c r="X558" s="37"/>
      <c r="Y558" s="37"/>
      <c r="Z558" s="37"/>
      <c r="AA558" s="37" t="s">
        <v>1124</v>
      </c>
      <c r="AB558" s="37" t="s">
        <v>1124</v>
      </c>
      <c r="AC558" s="37"/>
      <c r="AD558" s="37"/>
      <c r="AE558" s="37"/>
      <c r="AF558" s="168"/>
      <c r="AG558" s="37"/>
      <c r="AH558" s="37"/>
      <c r="AI558" s="37"/>
      <c r="AJ558" s="37"/>
      <c r="AK558" s="37"/>
      <c r="AL558" s="37"/>
      <c r="AM558" s="37"/>
      <c r="AN558" s="37"/>
      <c r="AO558" s="37"/>
      <c r="AP558" s="37"/>
      <c r="AQ558" s="37"/>
      <c r="AR558" s="37" t="s">
        <v>1124</v>
      </c>
      <c r="AS558" s="37"/>
      <c r="AT558" s="37"/>
      <c r="AU558" s="37"/>
      <c r="AV558" s="37"/>
      <c r="AW558" s="37"/>
      <c r="AX558" s="37"/>
      <c r="AY558" s="37"/>
      <c r="AZ558" s="37"/>
      <c r="BA558" s="37"/>
      <c r="BB558" s="37"/>
      <c r="BC558" s="37"/>
      <c r="BD558" s="37" t="s">
        <v>1124</v>
      </c>
      <c r="BE558" s="37"/>
      <c r="BF558" s="37"/>
      <c r="BG558" s="37"/>
      <c r="BH558" s="37"/>
      <c r="BI558" s="37"/>
      <c r="BJ558" s="37"/>
      <c r="BK558" s="37"/>
      <c r="BL558" s="37"/>
      <c r="BM558" s="37"/>
      <c r="BN558" s="37"/>
      <c r="BO558" s="37"/>
      <c r="BP558" s="37">
        <v>0</v>
      </c>
      <c r="BQ558" s="37"/>
      <c r="BR558" s="37"/>
      <c r="BS558" s="37"/>
      <c r="BT558" s="37"/>
      <c r="BU558" s="37"/>
      <c r="BV558" s="37"/>
      <c r="BW558" s="37"/>
      <c r="BX558" s="37"/>
      <c r="BY558" s="37"/>
      <c r="BZ558" s="37"/>
      <c r="CA558" s="37"/>
      <c r="CB558" s="37" t="s">
        <v>1124</v>
      </c>
      <c r="CC558" s="37"/>
      <c r="CD558" s="37"/>
      <c r="CE558" s="37"/>
      <c r="CF558" s="37"/>
      <c r="CG558" s="37"/>
      <c r="CH558" s="37"/>
      <c r="CI558" s="37"/>
      <c r="CJ558" s="37"/>
      <c r="CK558" s="37"/>
      <c r="CL558" s="37"/>
      <c r="CM558" s="37"/>
      <c r="CN558" s="37" t="s">
        <v>1124</v>
      </c>
      <c r="CO558" s="37"/>
      <c r="CP558" s="37"/>
      <c r="CQ558" s="37"/>
      <c r="CR558" s="37"/>
      <c r="CS558" s="37"/>
      <c r="CT558" s="37"/>
      <c r="CU558" s="37"/>
      <c r="CV558" s="37"/>
      <c r="CW558" s="37"/>
      <c r="CX558" s="37"/>
      <c r="CY558" s="37"/>
      <c r="CZ558" s="37" t="s">
        <v>1124</v>
      </c>
      <c r="DA558" s="37"/>
      <c r="DB558" s="37"/>
      <c r="DC558" s="37"/>
      <c r="DD558" s="37"/>
      <c r="DE558" s="37"/>
      <c r="DF558" s="37"/>
      <c r="DG558" s="37"/>
      <c r="DH558" s="37"/>
      <c r="DI558" s="37"/>
      <c r="DJ558" s="37"/>
      <c r="DK558" s="37"/>
      <c r="DL558" s="37" t="s">
        <v>1124</v>
      </c>
      <c r="DM558" s="37"/>
      <c r="DN558" s="37"/>
      <c r="DO558" s="37"/>
      <c r="DP558" s="37"/>
      <c r="DQ558" s="37"/>
      <c r="DR558" s="37"/>
      <c r="DS558" s="37"/>
      <c r="DT558" s="37"/>
      <c r="DU558" s="37"/>
      <c r="DV558" s="37"/>
      <c r="DW558" s="37"/>
      <c r="DX558" s="37" t="s">
        <v>1124</v>
      </c>
      <c r="DY558" s="37"/>
      <c r="DZ558" s="37"/>
      <c r="EA558" s="37"/>
      <c r="EB558" s="37"/>
      <c r="EC558" s="37"/>
      <c r="ED558" s="37"/>
      <c r="EE558" s="37"/>
      <c r="EF558" s="37"/>
      <c r="EG558" s="37"/>
      <c r="EH558" s="37"/>
      <c r="EI558" s="37"/>
      <c r="EJ558" s="37" t="s">
        <v>1124</v>
      </c>
      <c r="EK558" s="161"/>
      <c r="EL558" s="294"/>
    </row>
    <row r="559" spans="1:142" ht="15" customHeight="1" x14ac:dyDescent="0.35">
      <c r="A559" s="34"/>
      <c r="B559" s="313">
        <v>5065</v>
      </c>
      <c r="C559" s="8" t="s">
        <v>1054</v>
      </c>
      <c r="D559" s="18">
        <v>11</v>
      </c>
      <c r="E559" s="155">
        <v>82569</v>
      </c>
      <c r="F559" s="36">
        <v>13722</v>
      </c>
      <c r="G559" s="37">
        <v>956</v>
      </c>
      <c r="H559" s="37">
        <v>1636</v>
      </c>
      <c r="I559" s="37">
        <v>16250</v>
      </c>
      <c r="J559" s="37">
        <v>16250</v>
      </c>
      <c r="K559" s="37">
        <v>123583</v>
      </c>
      <c r="L559" s="37">
        <v>2058</v>
      </c>
      <c r="M559" s="37">
        <v>223358</v>
      </c>
      <c r="N559" s="37">
        <v>33666</v>
      </c>
      <c r="O559" s="37">
        <v>0</v>
      </c>
      <c r="P559" s="37">
        <v>0</v>
      </c>
      <c r="Q559" s="37">
        <v>66779</v>
      </c>
      <c r="R559" s="37">
        <v>43920</v>
      </c>
      <c r="S559" s="37">
        <v>0</v>
      </c>
      <c r="T559" s="37">
        <v>0</v>
      </c>
      <c r="U559" s="37">
        <v>0</v>
      </c>
      <c r="V559" s="37">
        <v>0</v>
      </c>
      <c r="W559" s="37">
        <v>73162.5</v>
      </c>
      <c r="X559" s="37">
        <v>73162.5</v>
      </c>
      <c r="Y559" s="37">
        <v>0</v>
      </c>
      <c r="Z559" s="37">
        <v>0</v>
      </c>
      <c r="AA559" s="37">
        <v>139941.5</v>
      </c>
      <c r="AB559" s="37">
        <v>117082.5</v>
      </c>
      <c r="AC559" s="37">
        <v>0</v>
      </c>
      <c r="AD559" s="37">
        <v>0</v>
      </c>
      <c r="AE559" s="37">
        <v>0</v>
      </c>
      <c r="AF559" s="168">
        <v>0.02</v>
      </c>
      <c r="AG559" s="37">
        <v>10396656.140000001</v>
      </c>
      <c r="AH559" s="37">
        <v>95415.79</v>
      </c>
      <c r="AI559" s="37">
        <v>97324.1</v>
      </c>
      <c r="AJ559" s="37">
        <v>99270.58</v>
      </c>
      <c r="AK559" s="37">
        <v>101256</v>
      </c>
      <c r="AL559" s="37">
        <v>103281.12</v>
      </c>
      <c r="AM559" s="37">
        <v>105346.74</v>
      </c>
      <c r="AN559" s="37">
        <v>107453.67</v>
      </c>
      <c r="AO559" s="37">
        <v>109602.75</v>
      </c>
      <c r="AP559" s="37">
        <v>111794.8</v>
      </c>
      <c r="AQ559" s="37">
        <v>114030.7</v>
      </c>
      <c r="AR559" s="37">
        <v>1044776.25</v>
      </c>
      <c r="AS559" s="37">
        <v>737762.12</v>
      </c>
      <c r="AT559" s="37">
        <v>0</v>
      </c>
      <c r="AU559" s="37">
        <v>0</v>
      </c>
      <c r="AV559" s="37">
        <v>0</v>
      </c>
      <c r="AW559" s="37">
        <v>0</v>
      </c>
      <c r="AX559" s="37">
        <v>0</v>
      </c>
      <c r="AY559" s="37">
        <v>0</v>
      </c>
      <c r="AZ559" s="37">
        <v>0</v>
      </c>
      <c r="BA559" s="37">
        <v>0</v>
      </c>
      <c r="BB559" s="37">
        <v>0</v>
      </c>
      <c r="BC559" s="37">
        <v>0</v>
      </c>
      <c r="BD559" s="37">
        <v>0</v>
      </c>
      <c r="BE559" s="37">
        <v>481052</v>
      </c>
      <c r="BF559" s="37">
        <v>0</v>
      </c>
      <c r="BG559" s="37">
        <v>0</v>
      </c>
      <c r="BH559" s="37">
        <v>10000</v>
      </c>
      <c r="BI559" s="37">
        <v>0</v>
      </c>
      <c r="BJ559" s="37">
        <v>0</v>
      </c>
      <c r="BK559" s="37">
        <v>0</v>
      </c>
      <c r="BL559" s="37">
        <v>0</v>
      </c>
      <c r="BM559" s="37">
        <v>0</v>
      </c>
      <c r="BN559" s="37">
        <v>0</v>
      </c>
      <c r="BO559" s="37">
        <v>0</v>
      </c>
      <c r="BP559" s="37">
        <v>10000</v>
      </c>
      <c r="BQ559" s="37">
        <v>0</v>
      </c>
      <c r="BR559" s="37">
        <v>0</v>
      </c>
      <c r="BS559" s="37">
        <v>0</v>
      </c>
      <c r="BT559" s="37">
        <v>0</v>
      </c>
      <c r="BU559" s="37">
        <v>0</v>
      </c>
      <c r="BV559" s="37">
        <v>0</v>
      </c>
      <c r="BW559" s="37">
        <v>0</v>
      </c>
      <c r="BX559" s="37">
        <v>0</v>
      </c>
      <c r="BY559" s="37">
        <v>0</v>
      </c>
      <c r="BZ559" s="37">
        <v>0</v>
      </c>
      <c r="CA559" s="37">
        <v>0</v>
      </c>
      <c r="CB559" s="37">
        <v>0</v>
      </c>
      <c r="CC559" s="37">
        <v>0</v>
      </c>
      <c r="CD559" s="37">
        <v>0</v>
      </c>
      <c r="CE559" s="37">
        <v>0</v>
      </c>
      <c r="CF559" s="37">
        <v>0</v>
      </c>
      <c r="CG559" s="37">
        <v>0</v>
      </c>
      <c r="CH559" s="37">
        <v>0</v>
      </c>
      <c r="CI559" s="37">
        <v>0</v>
      </c>
      <c r="CJ559" s="37">
        <v>0</v>
      </c>
      <c r="CK559" s="37">
        <v>0</v>
      </c>
      <c r="CL559" s="37">
        <v>0</v>
      </c>
      <c r="CM559" s="37">
        <v>0</v>
      </c>
      <c r="CN559" s="37">
        <v>0</v>
      </c>
      <c r="CO559" s="37">
        <v>0</v>
      </c>
      <c r="CP559" s="37">
        <v>0</v>
      </c>
      <c r="CQ559" s="37">
        <v>0</v>
      </c>
      <c r="CR559" s="37">
        <v>0</v>
      </c>
      <c r="CS559" s="37">
        <v>0</v>
      </c>
      <c r="CT559" s="37">
        <v>0</v>
      </c>
      <c r="CU559" s="37">
        <v>0</v>
      </c>
      <c r="CV559" s="37">
        <v>0</v>
      </c>
      <c r="CW559" s="37">
        <v>0</v>
      </c>
      <c r="CX559" s="37">
        <v>0</v>
      </c>
      <c r="CY559" s="37">
        <v>0</v>
      </c>
      <c r="CZ559" s="37">
        <v>0</v>
      </c>
      <c r="DA559" s="37">
        <v>0</v>
      </c>
      <c r="DB559" s="37">
        <v>0</v>
      </c>
      <c r="DC559" s="37">
        <v>0</v>
      </c>
      <c r="DD559" s="37">
        <v>0</v>
      </c>
      <c r="DE559" s="37">
        <v>0</v>
      </c>
      <c r="DF559" s="37">
        <v>0</v>
      </c>
      <c r="DG559" s="37">
        <v>0</v>
      </c>
      <c r="DH559" s="37">
        <v>0</v>
      </c>
      <c r="DI559" s="37">
        <v>0</v>
      </c>
      <c r="DJ559" s="37">
        <v>0</v>
      </c>
      <c r="DK559" s="37">
        <v>0</v>
      </c>
      <c r="DL559" s="37">
        <v>0</v>
      </c>
      <c r="DM559" s="37">
        <v>0</v>
      </c>
      <c r="DN559" s="37">
        <v>0</v>
      </c>
      <c r="DO559" s="37">
        <v>0</v>
      </c>
      <c r="DP559" s="37">
        <v>0</v>
      </c>
      <c r="DQ559" s="37">
        <v>0</v>
      </c>
      <c r="DR559" s="37">
        <v>0</v>
      </c>
      <c r="DS559" s="37">
        <v>0</v>
      </c>
      <c r="DT559" s="37">
        <v>0</v>
      </c>
      <c r="DU559" s="37">
        <v>0</v>
      </c>
      <c r="DV559" s="37">
        <v>0</v>
      </c>
      <c r="DW559" s="37">
        <v>0</v>
      </c>
      <c r="DX559" s="37">
        <v>0</v>
      </c>
      <c r="DY559" s="37">
        <v>0</v>
      </c>
      <c r="DZ559" s="37">
        <v>0</v>
      </c>
      <c r="EA559" s="37">
        <v>0</v>
      </c>
      <c r="EB559" s="37">
        <v>0</v>
      </c>
      <c r="EC559" s="37">
        <v>0</v>
      </c>
      <c r="ED559" s="37">
        <v>0</v>
      </c>
      <c r="EE559" s="37">
        <v>0</v>
      </c>
      <c r="EF559" s="37">
        <v>0</v>
      </c>
      <c r="EG559" s="37">
        <v>0</v>
      </c>
      <c r="EH559" s="37">
        <v>0</v>
      </c>
      <c r="EI559" s="37">
        <v>0</v>
      </c>
      <c r="EJ559" s="37">
        <v>0</v>
      </c>
      <c r="EK559" s="161" t="s">
        <v>2607</v>
      </c>
      <c r="EL559" s="294" t="s">
        <v>1124</v>
      </c>
    </row>
    <row r="560" spans="1:142" ht="15" customHeight="1" x14ac:dyDescent="0.35">
      <c r="A560" s="34"/>
      <c r="B560" s="313">
        <v>47010</v>
      </c>
      <c r="C560" s="8" t="s">
        <v>448</v>
      </c>
      <c r="D560" s="18">
        <v>5</v>
      </c>
      <c r="E560" s="155"/>
      <c r="F560" s="36"/>
      <c r="G560" s="37"/>
      <c r="H560" s="37"/>
      <c r="I560" s="37"/>
      <c r="J560" s="37"/>
      <c r="K560" s="37"/>
      <c r="L560" s="37"/>
      <c r="M560" s="37" t="s">
        <v>1124</v>
      </c>
      <c r="N560" s="37" t="s">
        <v>1124</v>
      </c>
      <c r="O560" s="37"/>
      <c r="P560" s="37"/>
      <c r="Q560" s="37"/>
      <c r="R560" s="37"/>
      <c r="S560" s="37"/>
      <c r="T560" s="37"/>
      <c r="U560" s="37"/>
      <c r="V560" s="37"/>
      <c r="W560" s="37"/>
      <c r="X560" s="37"/>
      <c r="Y560" s="37"/>
      <c r="Z560" s="37"/>
      <c r="AA560" s="37" t="s">
        <v>1124</v>
      </c>
      <c r="AB560" s="37" t="s">
        <v>1124</v>
      </c>
      <c r="AC560" s="37"/>
      <c r="AD560" s="37"/>
      <c r="AE560" s="37"/>
      <c r="AF560" s="168"/>
      <c r="AG560" s="37"/>
      <c r="AH560" s="37"/>
      <c r="AI560" s="37"/>
      <c r="AJ560" s="37"/>
      <c r="AK560" s="37"/>
      <c r="AL560" s="37"/>
      <c r="AM560" s="37"/>
      <c r="AN560" s="37"/>
      <c r="AO560" s="37"/>
      <c r="AP560" s="37"/>
      <c r="AQ560" s="37"/>
      <c r="AR560" s="37" t="s">
        <v>1124</v>
      </c>
      <c r="AS560" s="37"/>
      <c r="AT560" s="37"/>
      <c r="AU560" s="37"/>
      <c r="AV560" s="37"/>
      <c r="AW560" s="37"/>
      <c r="AX560" s="37"/>
      <c r="AY560" s="37"/>
      <c r="AZ560" s="37"/>
      <c r="BA560" s="37"/>
      <c r="BB560" s="37"/>
      <c r="BC560" s="37"/>
      <c r="BD560" s="37" t="s">
        <v>1124</v>
      </c>
      <c r="BE560" s="37"/>
      <c r="BF560" s="37"/>
      <c r="BG560" s="37"/>
      <c r="BH560" s="37"/>
      <c r="BI560" s="37"/>
      <c r="BJ560" s="37"/>
      <c r="BK560" s="37"/>
      <c r="BL560" s="37"/>
      <c r="BM560" s="37"/>
      <c r="BN560" s="37"/>
      <c r="BO560" s="37"/>
      <c r="BP560" s="37">
        <v>0</v>
      </c>
      <c r="BQ560" s="37"/>
      <c r="BR560" s="37"/>
      <c r="BS560" s="37"/>
      <c r="BT560" s="37"/>
      <c r="BU560" s="37"/>
      <c r="BV560" s="37"/>
      <c r="BW560" s="37"/>
      <c r="BX560" s="37"/>
      <c r="BY560" s="37"/>
      <c r="BZ560" s="37"/>
      <c r="CA560" s="37"/>
      <c r="CB560" s="37" t="s">
        <v>1124</v>
      </c>
      <c r="CC560" s="37"/>
      <c r="CD560" s="37"/>
      <c r="CE560" s="37"/>
      <c r="CF560" s="37"/>
      <c r="CG560" s="37"/>
      <c r="CH560" s="37"/>
      <c r="CI560" s="37"/>
      <c r="CJ560" s="37"/>
      <c r="CK560" s="37"/>
      <c r="CL560" s="37"/>
      <c r="CM560" s="37"/>
      <c r="CN560" s="37" t="s">
        <v>1124</v>
      </c>
      <c r="CO560" s="37"/>
      <c r="CP560" s="37"/>
      <c r="CQ560" s="37"/>
      <c r="CR560" s="37"/>
      <c r="CS560" s="37"/>
      <c r="CT560" s="37"/>
      <c r="CU560" s="37"/>
      <c r="CV560" s="37"/>
      <c r="CW560" s="37"/>
      <c r="CX560" s="37"/>
      <c r="CY560" s="37"/>
      <c r="CZ560" s="37" t="s">
        <v>1124</v>
      </c>
      <c r="DA560" s="37"/>
      <c r="DB560" s="37"/>
      <c r="DC560" s="37"/>
      <c r="DD560" s="37"/>
      <c r="DE560" s="37"/>
      <c r="DF560" s="37"/>
      <c r="DG560" s="37"/>
      <c r="DH560" s="37"/>
      <c r="DI560" s="37"/>
      <c r="DJ560" s="37"/>
      <c r="DK560" s="37"/>
      <c r="DL560" s="37" t="s">
        <v>1124</v>
      </c>
      <c r="DM560" s="37"/>
      <c r="DN560" s="37"/>
      <c r="DO560" s="37"/>
      <c r="DP560" s="37"/>
      <c r="DQ560" s="37"/>
      <c r="DR560" s="37"/>
      <c r="DS560" s="37"/>
      <c r="DT560" s="37"/>
      <c r="DU560" s="37"/>
      <c r="DV560" s="37"/>
      <c r="DW560" s="37"/>
      <c r="DX560" s="37" t="s">
        <v>1124</v>
      </c>
      <c r="DY560" s="37"/>
      <c r="DZ560" s="37"/>
      <c r="EA560" s="37"/>
      <c r="EB560" s="37"/>
      <c r="EC560" s="37"/>
      <c r="ED560" s="37"/>
      <c r="EE560" s="37"/>
      <c r="EF560" s="37"/>
      <c r="EG560" s="37"/>
      <c r="EH560" s="37"/>
      <c r="EI560" s="37"/>
      <c r="EJ560" s="37" t="s">
        <v>1124</v>
      </c>
      <c r="EK560" s="161"/>
      <c r="EL560" s="294"/>
    </row>
    <row r="561" spans="1:142" ht="15" customHeight="1" x14ac:dyDescent="0.35">
      <c r="A561" s="34"/>
      <c r="B561" s="313">
        <v>62025</v>
      </c>
      <c r="C561" s="8" t="s">
        <v>622</v>
      </c>
      <c r="D561" s="18">
        <v>14</v>
      </c>
      <c r="E561" s="155">
        <v>195901</v>
      </c>
      <c r="F561" s="36">
        <v>74971</v>
      </c>
      <c r="G561" s="37">
        <v>251617</v>
      </c>
      <c r="H561" s="37">
        <v>225857</v>
      </c>
      <c r="I561" s="37">
        <v>20700</v>
      </c>
      <c r="J561" s="37">
        <v>0</v>
      </c>
      <c r="K561" s="37">
        <v>29385.149999999998</v>
      </c>
      <c r="L561" s="37">
        <v>11245.65</v>
      </c>
      <c r="M561" s="37">
        <v>497603.15</v>
      </c>
      <c r="N561" s="37">
        <v>312073.65000000002</v>
      </c>
      <c r="O561" s="37">
        <v>0</v>
      </c>
      <c r="P561" s="37">
        <v>0</v>
      </c>
      <c r="Q561" s="37">
        <v>190375</v>
      </c>
      <c r="R561" s="37">
        <v>65807</v>
      </c>
      <c r="S561" s="37">
        <v>0</v>
      </c>
      <c r="T561" s="37">
        <v>0</v>
      </c>
      <c r="U561" s="37">
        <v>4391</v>
      </c>
      <c r="V561" s="37">
        <v>4391</v>
      </c>
      <c r="W561" s="37">
        <v>302837</v>
      </c>
      <c r="X561" s="37">
        <v>241876</v>
      </c>
      <c r="Y561" s="37">
        <v>0</v>
      </c>
      <c r="Z561" s="37">
        <v>0</v>
      </c>
      <c r="AA561" s="37">
        <v>497603</v>
      </c>
      <c r="AB561" s="37">
        <v>312074</v>
      </c>
      <c r="AC561" s="37">
        <v>0</v>
      </c>
      <c r="AD561" s="37">
        <v>0</v>
      </c>
      <c r="AE561" s="37">
        <v>0</v>
      </c>
      <c r="AF561" s="168">
        <v>0.02</v>
      </c>
      <c r="AG561" s="37">
        <v>28445453.800000001</v>
      </c>
      <c r="AH561" s="37">
        <v>264412.95</v>
      </c>
      <c r="AI561" s="37">
        <v>269701.21000000002</v>
      </c>
      <c r="AJ561" s="37">
        <v>275095.23</v>
      </c>
      <c r="AK561" s="37">
        <v>280597.13</v>
      </c>
      <c r="AL561" s="37">
        <v>286209.08</v>
      </c>
      <c r="AM561" s="37">
        <v>291933.26</v>
      </c>
      <c r="AN561" s="37">
        <v>297771.92</v>
      </c>
      <c r="AO561" s="37">
        <v>303727.35999999999</v>
      </c>
      <c r="AP561" s="37">
        <v>309801.90999999997</v>
      </c>
      <c r="AQ561" s="37">
        <v>315997.95</v>
      </c>
      <c r="AR561" s="37">
        <v>2895248</v>
      </c>
      <c r="AS561" s="37">
        <v>0</v>
      </c>
      <c r="AT561" s="37">
        <v>546210</v>
      </c>
      <c r="AU561" s="37">
        <v>212241.6</v>
      </c>
      <c r="AV561" s="37">
        <v>0</v>
      </c>
      <c r="AW561" s="37">
        <v>0</v>
      </c>
      <c r="AX561" s="37">
        <v>0</v>
      </c>
      <c r="AY561" s="37">
        <v>0</v>
      </c>
      <c r="AZ561" s="37">
        <v>0</v>
      </c>
      <c r="BA561" s="37">
        <v>0</v>
      </c>
      <c r="BB561" s="37">
        <v>0</v>
      </c>
      <c r="BC561" s="37">
        <v>0</v>
      </c>
      <c r="BD561" s="37">
        <v>758451.6</v>
      </c>
      <c r="BE561" s="37">
        <v>727012</v>
      </c>
      <c r="BF561" s="37">
        <v>0</v>
      </c>
      <c r="BG561" s="37">
        <v>0</v>
      </c>
      <c r="BH561" s="37">
        <v>288606.93067185301</v>
      </c>
      <c r="BI561" s="37">
        <v>342773.23418819462</v>
      </c>
      <c r="BJ561" s="37">
        <v>37228.407099684533</v>
      </c>
      <c r="BK561" s="37">
        <v>180274.55513622804</v>
      </c>
      <c r="BL561" s="37">
        <v>234440.74290404032</v>
      </c>
      <c r="BM561" s="37">
        <v>288606.93067185255</v>
      </c>
      <c r="BN561" s="37">
        <v>342773.23418819462</v>
      </c>
      <c r="BO561" s="37">
        <v>0</v>
      </c>
      <c r="BP561" s="37">
        <v>1714704.0348600475</v>
      </c>
      <c r="BQ561" s="37">
        <v>17250</v>
      </c>
      <c r="BR561" s="37">
        <v>0</v>
      </c>
      <c r="BS561" s="37">
        <v>0</v>
      </c>
      <c r="BT561" s="37">
        <v>161012.43806075977</v>
      </c>
      <c r="BU561" s="37">
        <v>191231.56193835536</v>
      </c>
      <c r="BV561" s="37">
        <v>20769.551785484255</v>
      </c>
      <c r="BW561" s="37">
        <v>100574.3194566805</v>
      </c>
      <c r="BX561" s="37">
        <v>130793.37875872017</v>
      </c>
      <c r="BY561" s="37">
        <v>161012.43806075977</v>
      </c>
      <c r="BZ561" s="37">
        <v>191231.56193835501</v>
      </c>
      <c r="CA561" s="37">
        <v>0</v>
      </c>
      <c r="CB561" s="37">
        <v>956625.24999911489</v>
      </c>
      <c r="CC561" s="37">
        <v>0</v>
      </c>
      <c r="CD561" s="37">
        <v>0</v>
      </c>
      <c r="CE561" s="37">
        <v>0</v>
      </c>
      <c r="CF561" s="37">
        <v>0</v>
      </c>
      <c r="CG561" s="37">
        <v>0</v>
      </c>
      <c r="CH561" s="37">
        <v>0</v>
      </c>
      <c r="CI561" s="37">
        <v>0</v>
      </c>
      <c r="CJ561" s="37">
        <v>0</v>
      </c>
      <c r="CK561" s="37">
        <v>0</v>
      </c>
      <c r="CL561" s="37">
        <v>0</v>
      </c>
      <c r="CM561" s="37">
        <v>0</v>
      </c>
      <c r="CN561" s="37">
        <v>0</v>
      </c>
      <c r="CO561" s="37">
        <v>0</v>
      </c>
      <c r="CP561" s="37">
        <v>217502.96223591277</v>
      </c>
      <c r="CQ561" s="37">
        <v>234441</v>
      </c>
      <c r="CR561" s="37">
        <v>0</v>
      </c>
      <c r="CS561" s="37">
        <v>0</v>
      </c>
      <c r="CT561" s="37">
        <v>0</v>
      </c>
      <c r="CU561" s="37">
        <v>0</v>
      </c>
      <c r="CV561" s="37">
        <v>0</v>
      </c>
      <c r="CW561" s="37">
        <v>0</v>
      </c>
      <c r="CX561" s="37">
        <v>0</v>
      </c>
      <c r="CY561" s="37">
        <v>0</v>
      </c>
      <c r="CZ561" s="37">
        <v>451943.9622359128</v>
      </c>
      <c r="DA561" s="37">
        <v>0</v>
      </c>
      <c r="DB561" s="37">
        <v>121344</v>
      </c>
      <c r="DC561" s="37">
        <v>130793</v>
      </c>
      <c r="DD561" s="37">
        <v>0</v>
      </c>
      <c r="DE561" s="37">
        <v>0</v>
      </c>
      <c r="DF561" s="37">
        <v>0</v>
      </c>
      <c r="DG561" s="37">
        <v>0</v>
      </c>
      <c r="DH561" s="37">
        <v>0</v>
      </c>
      <c r="DI561" s="37">
        <v>0</v>
      </c>
      <c r="DJ561" s="37">
        <v>0</v>
      </c>
      <c r="DK561" s="37">
        <v>0</v>
      </c>
      <c r="DL561" s="37">
        <v>252137</v>
      </c>
      <c r="DM561" s="37">
        <v>0</v>
      </c>
      <c r="DN561" s="37">
        <v>0</v>
      </c>
      <c r="DO561" s="37">
        <v>0</v>
      </c>
      <c r="DP561" s="37">
        <v>0</v>
      </c>
      <c r="DQ561" s="37">
        <v>0</v>
      </c>
      <c r="DR561" s="37">
        <v>0</v>
      </c>
      <c r="DS561" s="37">
        <v>0</v>
      </c>
      <c r="DT561" s="37">
        <v>0</v>
      </c>
      <c r="DU561" s="37">
        <v>0</v>
      </c>
      <c r="DV561" s="37">
        <v>0</v>
      </c>
      <c r="DW561" s="37">
        <v>0</v>
      </c>
      <c r="DX561" s="37">
        <v>0</v>
      </c>
      <c r="DY561" s="37">
        <v>0</v>
      </c>
      <c r="DZ561" s="37">
        <v>0</v>
      </c>
      <c r="EA561" s="37">
        <v>0</v>
      </c>
      <c r="EB561" s="37">
        <v>0</v>
      </c>
      <c r="EC561" s="37">
        <v>0</v>
      </c>
      <c r="ED561" s="37">
        <v>0</v>
      </c>
      <c r="EE561" s="37">
        <v>0</v>
      </c>
      <c r="EF561" s="37">
        <v>0</v>
      </c>
      <c r="EG561" s="37">
        <v>0</v>
      </c>
      <c r="EH561" s="37">
        <v>0</v>
      </c>
      <c r="EI561" s="37">
        <v>0</v>
      </c>
      <c r="EJ561" s="37">
        <v>0</v>
      </c>
      <c r="EK561" s="161" t="s">
        <v>2611</v>
      </c>
      <c r="EL561" s="294" t="s">
        <v>1124</v>
      </c>
    </row>
    <row r="562" spans="1:142" ht="15" customHeight="1" x14ac:dyDescent="0.35">
      <c r="A562" s="34"/>
      <c r="B562" s="313">
        <v>59015</v>
      </c>
      <c r="C562" s="8" t="s">
        <v>600</v>
      </c>
      <c r="D562" s="18">
        <v>16</v>
      </c>
      <c r="E562" s="155"/>
      <c r="F562" s="36"/>
      <c r="G562" s="37"/>
      <c r="H562" s="37"/>
      <c r="I562" s="37"/>
      <c r="J562" s="37"/>
      <c r="K562" s="37"/>
      <c r="L562" s="37"/>
      <c r="M562" s="37" t="s">
        <v>1124</v>
      </c>
      <c r="N562" s="37" t="s">
        <v>1124</v>
      </c>
      <c r="O562" s="37"/>
      <c r="P562" s="37"/>
      <c r="Q562" s="37"/>
      <c r="R562" s="37"/>
      <c r="S562" s="37"/>
      <c r="T562" s="37"/>
      <c r="U562" s="37"/>
      <c r="V562" s="37"/>
      <c r="W562" s="37"/>
      <c r="X562" s="37"/>
      <c r="Y562" s="37"/>
      <c r="Z562" s="37"/>
      <c r="AA562" s="37" t="s">
        <v>1124</v>
      </c>
      <c r="AB562" s="37" t="s">
        <v>1124</v>
      </c>
      <c r="AC562" s="37"/>
      <c r="AD562" s="37"/>
      <c r="AE562" s="37"/>
      <c r="AF562" s="168"/>
      <c r="AG562" s="37"/>
      <c r="AH562" s="37"/>
      <c r="AI562" s="37"/>
      <c r="AJ562" s="37"/>
      <c r="AK562" s="37"/>
      <c r="AL562" s="37"/>
      <c r="AM562" s="37"/>
      <c r="AN562" s="37"/>
      <c r="AO562" s="37"/>
      <c r="AP562" s="37"/>
      <c r="AQ562" s="37"/>
      <c r="AR562" s="37" t="s">
        <v>1124</v>
      </c>
      <c r="AS562" s="37"/>
      <c r="AT562" s="37"/>
      <c r="AU562" s="37"/>
      <c r="AV562" s="37"/>
      <c r="AW562" s="37"/>
      <c r="AX562" s="37"/>
      <c r="AY562" s="37"/>
      <c r="AZ562" s="37"/>
      <c r="BA562" s="37"/>
      <c r="BB562" s="37"/>
      <c r="BC562" s="37"/>
      <c r="BD562" s="37" t="s">
        <v>1124</v>
      </c>
      <c r="BE562" s="37"/>
      <c r="BF562" s="37"/>
      <c r="BG562" s="37"/>
      <c r="BH562" s="37"/>
      <c r="BI562" s="37"/>
      <c r="BJ562" s="37"/>
      <c r="BK562" s="37"/>
      <c r="BL562" s="37"/>
      <c r="BM562" s="37"/>
      <c r="BN562" s="37"/>
      <c r="BO562" s="37"/>
      <c r="BP562" s="37">
        <v>0</v>
      </c>
      <c r="BQ562" s="37"/>
      <c r="BR562" s="37"/>
      <c r="BS562" s="37"/>
      <c r="BT562" s="37"/>
      <c r="BU562" s="37"/>
      <c r="BV562" s="37"/>
      <c r="BW562" s="37"/>
      <c r="BX562" s="37"/>
      <c r="BY562" s="37"/>
      <c r="BZ562" s="37"/>
      <c r="CA562" s="37"/>
      <c r="CB562" s="37" t="s">
        <v>1124</v>
      </c>
      <c r="CC562" s="37"/>
      <c r="CD562" s="37"/>
      <c r="CE562" s="37"/>
      <c r="CF562" s="37"/>
      <c r="CG562" s="37"/>
      <c r="CH562" s="37"/>
      <c r="CI562" s="37"/>
      <c r="CJ562" s="37"/>
      <c r="CK562" s="37"/>
      <c r="CL562" s="37"/>
      <c r="CM562" s="37"/>
      <c r="CN562" s="37" t="s">
        <v>1124</v>
      </c>
      <c r="CO562" s="37"/>
      <c r="CP562" s="37"/>
      <c r="CQ562" s="37"/>
      <c r="CR562" s="37"/>
      <c r="CS562" s="37"/>
      <c r="CT562" s="37"/>
      <c r="CU562" s="37"/>
      <c r="CV562" s="37"/>
      <c r="CW562" s="37"/>
      <c r="CX562" s="37"/>
      <c r="CY562" s="37"/>
      <c r="CZ562" s="37" t="s">
        <v>1124</v>
      </c>
      <c r="DA562" s="37"/>
      <c r="DB562" s="37"/>
      <c r="DC562" s="37"/>
      <c r="DD562" s="37"/>
      <c r="DE562" s="37"/>
      <c r="DF562" s="37"/>
      <c r="DG562" s="37"/>
      <c r="DH562" s="37"/>
      <c r="DI562" s="37"/>
      <c r="DJ562" s="37"/>
      <c r="DK562" s="37"/>
      <c r="DL562" s="37" t="s">
        <v>1124</v>
      </c>
      <c r="DM562" s="37"/>
      <c r="DN562" s="37"/>
      <c r="DO562" s="37"/>
      <c r="DP562" s="37"/>
      <c r="DQ562" s="37"/>
      <c r="DR562" s="37"/>
      <c r="DS562" s="37"/>
      <c r="DT562" s="37"/>
      <c r="DU562" s="37"/>
      <c r="DV562" s="37"/>
      <c r="DW562" s="37"/>
      <c r="DX562" s="37" t="s">
        <v>1124</v>
      </c>
      <c r="DY562" s="37"/>
      <c r="DZ562" s="37"/>
      <c r="EA562" s="37"/>
      <c r="EB562" s="37"/>
      <c r="EC562" s="37"/>
      <c r="ED562" s="37"/>
      <c r="EE562" s="37"/>
      <c r="EF562" s="37"/>
      <c r="EG562" s="37"/>
      <c r="EH562" s="37"/>
      <c r="EI562" s="37"/>
      <c r="EJ562" s="37" t="s">
        <v>1124</v>
      </c>
      <c r="EK562" s="161"/>
      <c r="EL562" s="294"/>
    </row>
    <row r="563" spans="1:142" ht="15" customHeight="1" x14ac:dyDescent="0.35">
      <c r="A563" s="34"/>
      <c r="B563" s="313">
        <v>94255</v>
      </c>
      <c r="C563" s="8" t="s">
        <v>983</v>
      </c>
      <c r="D563" s="18">
        <v>2</v>
      </c>
      <c r="E563" s="155"/>
      <c r="F563" s="36"/>
      <c r="G563" s="37"/>
      <c r="H563" s="37"/>
      <c r="I563" s="37"/>
      <c r="J563" s="37"/>
      <c r="K563" s="37"/>
      <c r="L563" s="37"/>
      <c r="M563" s="37" t="s">
        <v>1124</v>
      </c>
      <c r="N563" s="37" t="s">
        <v>1124</v>
      </c>
      <c r="O563" s="37"/>
      <c r="P563" s="37"/>
      <c r="Q563" s="37"/>
      <c r="R563" s="37"/>
      <c r="S563" s="37"/>
      <c r="T563" s="37"/>
      <c r="U563" s="37"/>
      <c r="V563" s="37"/>
      <c r="W563" s="37"/>
      <c r="X563" s="37"/>
      <c r="Y563" s="37"/>
      <c r="Z563" s="37"/>
      <c r="AA563" s="37" t="s">
        <v>1124</v>
      </c>
      <c r="AB563" s="37" t="s">
        <v>1124</v>
      </c>
      <c r="AC563" s="37"/>
      <c r="AD563" s="37"/>
      <c r="AE563" s="37"/>
      <c r="AF563" s="168"/>
      <c r="AG563" s="37"/>
      <c r="AH563" s="37"/>
      <c r="AI563" s="37"/>
      <c r="AJ563" s="37"/>
      <c r="AK563" s="37"/>
      <c r="AL563" s="37"/>
      <c r="AM563" s="37"/>
      <c r="AN563" s="37"/>
      <c r="AO563" s="37"/>
      <c r="AP563" s="37"/>
      <c r="AQ563" s="37"/>
      <c r="AR563" s="37" t="s">
        <v>1124</v>
      </c>
      <c r="AS563" s="37"/>
      <c r="AT563" s="37"/>
      <c r="AU563" s="37"/>
      <c r="AV563" s="37"/>
      <c r="AW563" s="37"/>
      <c r="AX563" s="37"/>
      <c r="AY563" s="37"/>
      <c r="AZ563" s="37"/>
      <c r="BA563" s="37"/>
      <c r="BB563" s="37"/>
      <c r="BC563" s="37"/>
      <c r="BD563" s="37" t="s">
        <v>1124</v>
      </c>
      <c r="BE563" s="37"/>
      <c r="BF563" s="37"/>
      <c r="BG563" s="37"/>
      <c r="BH563" s="37"/>
      <c r="BI563" s="37"/>
      <c r="BJ563" s="37"/>
      <c r="BK563" s="37"/>
      <c r="BL563" s="37"/>
      <c r="BM563" s="37"/>
      <c r="BN563" s="37"/>
      <c r="BO563" s="37"/>
      <c r="BP563" s="37">
        <v>0</v>
      </c>
      <c r="BQ563" s="37"/>
      <c r="BR563" s="37"/>
      <c r="BS563" s="37"/>
      <c r="BT563" s="37"/>
      <c r="BU563" s="37"/>
      <c r="BV563" s="37"/>
      <c r="BW563" s="37"/>
      <c r="BX563" s="37"/>
      <c r="BY563" s="37"/>
      <c r="BZ563" s="37"/>
      <c r="CA563" s="37"/>
      <c r="CB563" s="37" t="s">
        <v>1124</v>
      </c>
      <c r="CC563" s="37"/>
      <c r="CD563" s="37"/>
      <c r="CE563" s="37"/>
      <c r="CF563" s="37"/>
      <c r="CG563" s="37"/>
      <c r="CH563" s="37"/>
      <c r="CI563" s="37"/>
      <c r="CJ563" s="37"/>
      <c r="CK563" s="37"/>
      <c r="CL563" s="37"/>
      <c r="CM563" s="37"/>
      <c r="CN563" s="37" t="s">
        <v>1124</v>
      </c>
      <c r="CO563" s="37"/>
      <c r="CP563" s="37"/>
      <c r="CQ563" s="37"/>
      <c r="CR563" s="37"/>
      <c r="CS563" s="37"/>
      <c r="CT563" s="37"/>
      <c r="CU563" s="37"/>
      <c r="CV563" s="37"/>
      <c r="CW563" s="37"/>
      <c r="CX563" s="37"/>
      <c r="CY563" s="37"/>
      <c r="CZ563" s="37" t="s">
        <v>1124</v>
      </c>
      <c r="DA563" s="37"/>
      <c r="DB563" s="37"/>
      <c r="DC563" s="37"/>
      <c r="DD563" s="37"/>
      <c r="DE563" s="37"/>
      <c r="DF563" s="37"/>
      <c r="DG563" s="37"/>
      <c r="DH563" s="37"/>
      <c r="DI563" s="37"/>
      <c r="DJ563" s="37"/>
      <c r="DK563" s="37"/>
      <c r="DL563" s="37" t="s">
        <v>1124</v>
      </c>
      <c r="DM563" s="37"/>
      <c r="DN563" s="37"/>
      <c r="DO563" s="37"/>
      <c r="DP563" s="37"/>
      <c r="DQ563" s="37"/>
      <c r="DR563" s="37"/>
      <c r="DS563" s="37"/>
      <c r="DT563" s="37"/>
      <c r="DU563" s="37"/>
      <c r="DV563" s="37"/>
      <c r="DW563" s="37"/>
      <c r="DX563" s="37" t="s">
        <v>1124</v>
      </c>
      <c r="DY563" s="37"/>
      <c r="DZ563" s="37"/>
      <c r="EA563" s="37"/>
      <c r="EB563" s="37"/>
      <c r="EC563" s="37"/>
      <c r="ED563" s="37"/>
      <c r="EE563" s="37"/>
      <c r="EF563" s="37"/>
      <c r="EG563" s="37"/>
      <c r="EH563" s="37"/>
      <c r="EI563" s="37"/>
      <c r="EJ563" s="37" t="s">
        <v>1124</v>
      </c>
      <c r="EK563" s="161"/>
      <c r="EL563" s="294"/>
    </row>
    <row r="564" spans="1:142" ht="15" customHeight="1" x14ac:dyDescent="0.35">
      <c r="A564" s="34"/>
      <c r="B564" s="313">
        <v>61040</v>
      </c>
      <c r="C564" s="8" t="s">
        <v>616</v>
      </c>
      <c r="D564" s="18">
        <v>14</v>
      </c>
      <c r="E564" s="155">
        <v>236975</v>
      </c>
      <c r="F564" s="36">
        <v>147174</v>
      </c>
      <c r="G564" s="37">
        <v>25589</v>
      </c>
      <c r="H564" s="37">
        <v>26773</v>
      </c>
      <c r="I564" s="37">
        <v>32132</v>
      </c>
      <c r="J564" s="37">
        <v>15659</v>
      </c>
      <c r="K564" s="37">
        <v>35546.25</v>
      </c>
      <c r="L564" s="37">
        <v>22076.1</v>
      </c>
      <c r="M564" s="37">
        <v>330242.25</v>
      </c>
      <c r="N564" s="37">
        <v>211682.1</v>
      </c>
      <c r="O564" s="37">
        <v>0</v>
      </c>
      <c r="P564" s="37">
        <v>0</v>
      </c>
      <c r="Q564" s="37">
        <v>348888</v>
      </c>
      <c r="R564" s="37">
        <v>292502</v>
      </c>
      <c r="S564" s="37">
        <v>0</v>
      </c>
      <c r="T564" s="37">
        <v>0</v>
      </c>
      <c r="U564" s="37">
        <v>9194</v>
      </c>
      <c r="V564" s="37">
        <v>0</v>
      </c>
      <c r="W564" s="37">
        <v>0</v>
      </c>
      <c r="X564" s="37">
        <v>0</v>
      </c>
      <c r="Y564" s="37">
        <v>0</v>
      </c>
      <c r="Z564" s="37">
        <v>0</v>
      </c>
      <c r="AA564" s="37">
        <v>358082</v>
      </c>
      <c r="AB564" s="37">
        <v>292502</v>
      </c>
      <c r="AC564" s="37">
        <v>108659.65000000002</v>
      </c>
      <c r="AD564" s="37">
        <v>0</v>
      </c>
      <c r="AE564" s="37">
        <v>107529</v>
      </c>
      <c r="AF564" s="168">
        <v>0.02</v>
      </c>
      <c r="AG564" s="37">
        <v>51156546.25</v>
      </c>
      <c r="AH564" s="37">
        <v>415001.84</v>
      </c>
      <c r="AI564" s="37">
        <v>423301.87</v>
      </c>
      <c r="AJ564" s="37">
        <v>1811338.31</v>
      </c>
      <c r="AK564" s="37">
        <v>440403.27</v>
      </c>
      <c r="AL564" s="37">
        <v>449211.34</v>
      </c>
      <c r="AM564" s="37">
        <v>458195.56</v>
      </c>
      <c r="AN564" s="37">
        <v>467359.47</v>
      </c>
      <c r="AO564" s="37">
        <v>476706.66</v>
      </c>
      <c r="AP564" s="37">
        <v>486240.8</v>
      </c>
      <c r="AQ564" s="37">
        <v>495965.61</v>
      </c>
      <c r="AR564" s="37">
        <v>5923724.7299999995</v>
      </c>
      <c r="AS564" s="37">
        <v>569458.51</v>
      </c>
      <c r="AT564" s="37">
        <v>3786648</v>
      </c>
      <c r="AU564" s="37">
        <v>0</v>
      </c>
      <c r="AV564" s="37">
        <v>1273449.6000000001</v>
      </c>
      <c r="AW564" s="37">
        <v>0</v>
      </c>
      <c r="AX564" s="37">
        <v>0</v>
      </c>
      <c r="AY564" s="37">
        <v>0</v>
      </c>
      <c r="AZ564" s="37">
        <v>0</v>
      </c>
      <c r="BA564" s="37">
        <v>0</v>
      </c>
      <c r="BB564" s="37">
        <v>0</v>
      </c>
      <c r="BC564" s="37">
        <v>0</v>
      </c>
      <c r="BD564" s="37">
        <v>5060097.5999999996</v>
      </c>
      <c r="BE564" s="37">
        <v>384844</v>
      </c>
      <c r="BF564" s="37">
        <v>0</v>
      </c>
      <c r="BG564" s="37">
        <v>0</v>
      </c>
      <c r="BH564" s="37">
        <v>0</v>
      </c>
      <c r="BI564" s="37">
        <v>0</v>
      </c>
      <c r="BJ564" s="37">
        <v>0</v>
      </c>
      <c r="BK564" s="37">
        <v>0</v>
      </c>
      <c r="BL564" s="37">
        <v>0</v>
      </c>
      <c r="BM564" s="37">
        <v>0</v>
      </c>
      <c r="BN564" s="37">
        <v>0</v>
      </c>
      <c r="BO564" s="37">
        <v>0</v>
      </c>
      <c r="BP564" s="37">
        <v>0</v>
      </c>
      <c r="BQ564" s="37">
        <v>0</v>
      </c>
      <c r="BR564" s="37">
        <v>0</v>
      </c>
      <c r="BS564" s="37">
        <v>0</v>
      </c>
      <c r="BT564" s="37">
        <v>1300000</v>
      </c>
      <c r="BU564" s="37">
        <v>0</v>
      </c>
      <c r="BV564" s="37">
        <v>0</v>
      </c>
      <c r="BW564" s="37">
        <v>0</v>
      </c>
      <c r="BX564" s="37">
        <v>0</v>
      </c>
      <c r="BY564" s="37">
        <v>0</v>
      </c>
      <c r="BZ564" s="37">
        <v>0</v>
      </c>
      <c r="CA564" s="37">
        <v>0</v>
      </c>
      <c r="CB564" s="37">
        <v>1300000</v>
      </c>
      <c r="CC564" s="37">
        <v>0</v>
      </c>
      <c r="CD564" s="37">
        <v>0</v>
      </c>
      <c r="CE564" s="37">
        <v>0</v>
      </c>
      <c r="CF564" s="37">
        <v>0</v>
      </c>
      <c r="CG564" s="37">
        <v>0</v>
      </c>
      <c r="CH564" s="37">
        <v>0</v>
      </c>
      <c r="CI564" s="37">
        <v>0</v>
      </c>
      <c r="CJ564" s="37">
        <v>0</v>
      </c>
      <c r="CK564" s="37">
        <v>0</v>
      </c>
      <c r="CL564" s="37">
        <v>0</v>
      </c>
      <c r="CM564" s="37">
        <v>0</v>
      </c>
      <c r="CN564" s="37">
        <v>0</v>
      </c>
      <c r="CO564" s="37">
        <v>0</v>
      </c>
      <c r="CP564" s="37">
        <v>0</v>
      </c>
      <c r="CQ564" s="37">
        <v>0</v>
      </c>
      <c r="CR564" s="37">
        <v>0</v>
      </c>
      <c r="CS564" s="37">
        <v>0</v>
      </c>
      <c r="CT564" s="37">
        <v>0</v>
      </c>
      <c r="CU564" s="37">
        <v>0</v>
      </c>
      <c r="CV564" s="37">
        <v>0</v>
      </c>
      <c r="CW564" s="37">
        <v>0</v>
      </c>
      <c r="CX564" s="37">
        <v>0</v>
      </c>
      <c r="CY564" s="37">
        <v>0</v>
      </c>
      <c r="CZ564" s="37">
        <v>0</v>
      </c>
      <c r="DA564" s="37">
        <v>0</v>
      </c>
      <c r="DB564" s="37">
        <v>3712400</v>
      </c>
      <c r="DC564" s="37">
        <v>0</v>
      </c>
      <c r="DD564" s="37">
        <v>1200000</v>
      </c>
      <c r="DE564" s="37">
        <v>0</v>
      </c>
      <c r="DF564" s="37">
        <v>0</v>
      </c>
      <c r="DG564" s="37">
        <v>0</v>
      </c>
      <c r="DH564" s="37">
        <v>0</v>
      </c>
      <c r="DI564" s="37">
        <v>0</v>
      </c>
      <c r="DJ564" s="37">
        <v>0</v>
      </c>
      <c r="DK564" s="37">
        <v>0</v>
      </c>
      <c r="DL564" s="37">
        <v>4912400</v>
      </c>
      <c r="DM564" s="37">
        <v>0</v>
      </c>
      <c r="DN564" s="37">
        <v>0</v>
      </c>
      <c r="DO564" s="37">
        <v>0</v>
      </c>
      <c r="DP564" s="37">
        <v>0</v>
      </c>
      <c r="DQ564" s="37">
        <v>0</v>
      </c>
      <c r="DR564" s="37">
        <v>0</v>
      </c>
      <c r="DS564" s="37">
        <v>0</v>
      </c>
      <c r="DT564" s="37">
        <v>0</v>
      </c>
      <c r="DU564" s="37">
        <v>0</v>
      </c>
      <c r="DV564" s="37">
        <v>0</v>
      </c>
      <c r="DW564" s="37">
        <v>0</v>
      </c>
      <c r="DX564" s="37">
        <v>0</v>
      </c>
      <c r="DY564" s="37">
        <v>0</v>
      </c>
      <c r="DZ564" s="37">
        <v>0</v>
      </c>
      <c r="EA564" s="37">
        <v>0</v>
      </c>
      <c r="EB564" s="37">
        <v>0</v>
      </c>
      <c r="EC564" s="37">
        <v>0</v>
      </c>
      <c r="ED564" s="37">
        <v>0</v>
      </c>
      <c r="EE564" s="37">
        <v>0</v>
      </c>
      <c r="EF564" s="37">
        <v>0</v>
      </c>
      <c r="EG564" s="37">
        <v>0</v>
      </c>
      <c r="EH564" s="37">
        <v>0</v>
      </c>
      <c r="EI564" s="37">
        <v>0</v>
      </c>
      <c r="EJ564" s="37">
        <v>0</v>
      </c>
      <c r="EK564" s="161" t="s">
        <v>2617</v>
      </c>
      <c r="EL564" s="294" t="s">
        <v>1124</v>
      </c>
    </row>
    <row r="565" spans="1:142" ht="15" customHeight="1" x14ac:dyDescent="0.35">
      <c r="A565" s="34"/>
      <c r="B565" s="313">
        <v>10030</v>
      </c>
      <c r="C565" s="8" t="s">
        <v>12</v>
      </c>
      <c r="D565" s="18">
        <v>1</v>
      </c>
      <c r="E565" s="155">
        <v>86448</v>
      </c>
      <c r="F565" s="36">
        <v>71682</v>
      </c>
      <c r="G565" s="37">
        <v>17837</v>
      </c>
      <c r="H565" s="37">
        <v>17837</v>
      </c>
      <c r="I565" s="37">
        <v>6500</v>
      </c>
      <c r="J565" s="37">
        <v>127100</v>
      </c>
      <c r="K565" s="37">
        <v>12967</v>
      </c>
      <c r="L565" s="37">
        <v>10752</v>
      </c>
      <c r="M565" s="37">
        <v>123752</v>
      </c>
      <c r="N565" s="37">
        <v>227371</v>
      </c>
      <c r="O565" s="37">
        <v>0</v>
      </c>
      <c r="P565" s="37">
        <v>0</v>
      </c>
      <c r="Q565" s="37">
        <v>132800</v>
      </c>
      <c r="R565" s="37">
        <v>122482</v>
      </c>
      <c r="S565" s="37">
        <v>0</v>
      </c>
      <c r="T565" s="37">
        <v>0</v>
      </c>
      <c r="U565" s="37">
        <v>0</v>
      </c>
      <c r="V565" s="37">
        <v>0</v>
      </c>
      <c r="W565" s="37">
        <v>0</v>
      </c>
      <c r="X565" s="37">
        <v>254132</v>
      </c>
      <c r="Y565" s="37">
        <v>0</v>
      </c>
      <c r="Z565" s="37">
        <v>0</v>
      </c>
      <c r="AA565" s="37">
        <v>132800</v>
      </c>
      <c r="AB565" s="37">
        <v>376614</v>
      </c>
      <c r="AC565" s="37">
        <v>158291</v>
      </c>
      <c r="AD565" s="37">
        <v>0</v>
      </c>
      <c r="AE565" s="37">
        <v>66717</v>
      </c>
      <c r="AF565" s="168">
        <v>0.02</v>
      </c>
      <c r="AG565" s="37">
        <v>25418642.149999999</v>
      </c>
      <c r="AH565" s="37">
        <v>256901.7</v>
      </c>
      <c r="AI565" s="37">
        <v>262039.74</v>
      </c>
      <c r="AJ565" s="37">
        <v>267280.53000000003</v>
      </c>
      <c r="AK565" s="37">
        <v>272626.14</v>
      </c>
      <c r="AL565" s="37">
        <v>278078.65999999997</v>
      </c>
      <c r="AM565" s="37">
        <v>283640.24</v>
      </c>
      <c r="AN565" s="37">
        <v>289313.03999999998</v>
      </c>
      <c r="AO565" s="37">
        <v>295099.3</v>
      </c>
      <c r="AP565" s="37">
        <v>301001.28999999998</v>
      </c>
      <c r="AQ565" s="37">
        <v>307021.31</v>
      </c>
      <c r="AR565" s="37">
        <v>2813001.95</v>
      </c>
      <c r="AS565" s="37">
        <v>537321.81999999995</v>
      </c>
      <c r="AT565" s="37">
        <v>0</v>
      </c>
      <c r="AU565" s="37">
        <v>0</v>
      </c>
      <c r="AV565" s="37">
        <v>0</v>
      </c>
      <c r="AW565" s="37">
        <v>1623648.24</v>
      </c>
      <c r="AX565" s="37">
        <v>220816.16</v>
      </c>
      <c r="AY565" s="37">
        <v>225232.48</v>
      </c>
      <c r="AZ565" s="37">
        <v>0</v>
      </c>
      <c r="BA565" s="37">
        <v>0</v>
      </c>
      <c r="BB565" s="37">
        <v>0</v>
      </c>
      <c r="BC565" s="37">
        <v>0</v>
      </c>
      <c r="BD565" s="37">
        <v>2069696.88</v>
      </c>
      <c r="BE565" s="37">
        <v>58088</v>
      </c>
      <c r="BF565" s="37">
        <v>0</v>
      </c>
      <c r="BG565" s="37">
        <v>0</v>
      </c>
      <c r="BH565" s="37">
        <v>0</v>
      </c>
      <c r="BI565" s="37">
        <v>0</v>
      </c>
      <c r="BJ565" s="37">
        <v>0</v>
      </c>
      <c r="BK565" s="37">
        <v>0</v>
      </c>
      <c r="BL565" s="37">
        <v>0</v>
      </c>
      <c r="BM565" s="37">
        <v>0</v>
      </c>
      <c r="BN565" s="37">
        <v>0</v>
      </c>
      <c r="BO565" s="37">
        <v>0</v>
      </c>
      <c r="BP565" s="37">
        <v>0</v>
      </c>
      <c r="BQ565" s="37">
        <v>0</v>
      </c>
      <c r="BR565" s="37">
        <v>0</v>
      </c>
      <c r="BS565" s="37">
        <v>0</v>
      </c>
      <c r="BT565" s="37">
        <v>0</v>
      </c>
      <c r="BU565" s="37">
        <v>0</v>
      </c>
      <c r="BV565" s="37">
        <v>0</v>
      </c>
      <c r="BW565" s="37">
        <v>0</v>
      </c>
      <c r="BX565" s="37">
        <v>0</v>
      </c>
      <c r="BY565" s="37">
        <v>0</v>
      </c>
      <c r="BZ565" s="37">
        <v>0</v>
      </c>
      <c r="CA565" s="37">
        <v>0</v>
      </c>
      <c r="CB565" s="37">
        <v>0</v>
      </c>
      <c r="CC565" s="37">
        <v>0</v>
      </c>
      <c r="CD565" s="37">
        <v>0</v>
      </c>
      <c r="CE565" s="37">
        <v>0</v>
      </c>
      <c r="CF565" s="37">
        <v>0</v>
      </c>
      <c r="CG565" s="37">
        <v>0</v>
      </c>
      <c r="CH565" s="37">
        <v>0</v>
      </c>
      <c r="CI565" s="37">
        <v>0</v>
      </c>
      <c r="CJ565" s="37">
        <v>0</v>
      </c>
      <c r="CK565" s="37">
        <v>0</v>
      </c>
      <c r="CL565" s="37">
        <v>0</v>
      </c>
      <c r="CM565" s="37">
        <v>0</v>
      </c>
      <c r="CN565" s="37">
        <v>0</v>
      </c>
      <c r="CO565" s="37">
        <v>1248486</v>
      </c>
      <c r="CP565" s="37">
        <v>0</v>
      </c>
      <c r="CQ565" s="37">
        <v>0</v>
      </c>
      <c r="CR565" s="37">
        <v>0</v>
      </c>
      <c r="CS565" s="37">
        <v>0</v>
      </c>
      <c r="CT565" s="37">
        <v>500000</v>
      </c>
      <c r="CU565" s="37">
        <v>0</v>
      </c>
      <c r="CV565" s="37">
        <v>0</v>
      </c>
      <c r="CW565" s="37">
        <v>0</v>
      </c>
      <c r="CX565" s="37">
        <v>0</v>
      </c>
      <c r="CY565" s="37">
        <v>0</v>
      </c>
      <c r="CZ565" s="37">
        <v>500000</v>
      </c>
      <c r="DA565" s="37">
        <v>396000</v>
      </c>
      <c r="DB565" s="37">
        <v>0</v>
      </c>
      <c r="DC565" s="37">
        <v>0</v>
      </c>
      <c r="DD565" s="37">
        <v>0</v>
      </c>
      <c r="DE565" s="37">
        <v>0</v>
      </c>
      <c r="DF565" s="37">
        <v>0</v>
      </c>
      <c r="DG565" s="37">
        <v>0</v>
      </c>
      <c r="DH565" s="37">
        <v>0</v>
      </c>
      <c r="DI565" s="37">
        <v>0</v>
      </c>
      <c r="DJ565" s="37">
        <v>0</v>
      </c>
      <c r="DK565" s="37">
        <v>0</v>
      </c>
      <c r="DL565" s="37">
        <v>0</v>
      </c>
      <c r="DM565" s="37">
        <v>0</v>
      </c>
      <c r="DN565" s="37">
        <v>0</v>
      </c>
      <c r="DO565" s="37">
        <v>0</v>
      </c>
      <c r="DP565" s="37">
        <v>0</v>
      </c>
      <c r="DQ565" s="37">
        <v>0</v>
      </c>
      <c r="DR565" s="37">
        <v>0</v>
      </c>
      <c r="DS565" s="37">
        <v>0</v>
      </c>
      <c r="DT565" s="37">
        <v>0</v>
      </c>
      <c r="DU565" s="37">
        <v>0</v>
      </c>
      <c r="DV565" s="37">
        <v>0</v>
      </c>
      <c r="DW565" s="37">
        <v>0</v>
      </c>
      <c r="DX565" s="37">
        <v>0</v>
      </c>
      <c r="DY565" s="37">
        <v>0</v>
      </c>
      <c r="DZ565" s="37">
        <v>0</v>
      </c>
      <c r="EA565" s="37">
        <v>0</v>
      </c>
      <c r="EB565" s="37">
        <v>0</v>
      </c>
      <c r="EC565" s="37">
        <v>0</v>
      </c>
      <c r="ED565" s="37">
        <v>0</v>
      </c>
      <c r="EE565" s="37">
        <v>0</v>
      </c>
      <c r="EF565" s="37">
        <v>0</v>
      </c>
      <c r="EG565" s="37">
        <v>0</v>
      </c>
      <c r="EH565" s="37">
        <v>0</v>
      </c>
      <c r="EI565" s="37">
        <v>0</v>
      </c>
      <c r="EJ565" s="37">
        <v>0</v>
      </c>
      <c r="EK565" s="161" t="s">
        <v>2621</v>
      </c>
      <c r="EL565" s="294" t="s">
        <v>1124</v>
      </c>
    </row>
    <row r="566" spans="1:142" ht="15" customHeight="1" x14ac:dyDescent="0.35">
      <c r="A566" s="34"/>
      <c r="B566" s="313">
        <v>14040</v>
      </c>
      <c r="C566" s="8" t="s">
        <v>66</v>
      </c>
      <c r="D566" s="18">
        <v>1</v>
      </c>
      <c r="E566" s="155">
        <v>40758</v>
      </c>
      <c r="F566" s="36">
        <v>37590</v>
      </c>
      <c r="G566" s="37">
        <v>14997</v>
      </c>
      <c r="H566" s="37">
        <v>7688</v>
      </c>
      <c r="I566" s="37">
        <v>9520</v>
      </c>
      <c r="J566" s="37">
        <v>67024</v>
      </c>
      <c r="K566" s="37">
        <v>6114</v>
      </c>
      <c r="L566" s="37">
        <v>5639</v>
      </c>
      <c r="M566" s="37">
        <v>71389</v>
      </c>
      <c r="N566" s="37">
        <v>117941</v>
      </c>
      <c r="O566" s="37">
        <v>47397</v>
      </c>
      <c r="P566" s="37">
        <v>0</v>
      </c>
      <c r="Q566" s="37">
        <v>0</v>
      </c>
      <c r="R566" s="37">
        <v>44115</v>
      </c>
      <c r="S566" s="37">
        <v>200</v>
      </c>
      <c r="T566" s="37">
        <v>0</v>
      </c>
      <c r="U566" s="37">
        <v>4699</v>
      </c>
      <c r="V566" s="37">
        <v>0</v>
      </c>
      <c r="W566" s="37">
        <v>46460</v>
      </c>
      <c r="X566" s="37">
        <v>46459</v>
      </c>
      <c r="Y566" s="37">
        <v>0</v>
      </c>
      <c r="Z566" s="37">
        <v>0</v>
      </c>
      <c r="AA566" s="37">
        <v>98756</v>
      </c>
      <c r="AB566" s="37">
        <v>90574</v>
      </c>
      <c r="AC566" s="37">
        <v>0</v>
      </c>
      <c r="AD566" s="37">
        <v>0</v>
      </c>
      <c r="AE566" s="37">
        <v>20731</v>
      </c>
      <c r="AF566" s="168">
        <v>0.02</v>
      </c>
      <c r="AG566" s="37">
        <v>9552071.6899999995</v>
      </c>
      <c r="AH566" s="37">
        <v>68733.98</v>
      </c>
      <c r="AI566" s="37">
        <v>70108.66</v>
      </c>
      <c r="AJ566" s="37">
        <v>71510.83</v>
      </c>
      <c r="AK566" s="37">
        <v>72941.05</v>
      </c>
      <c r="AL566" s="37">
        <v>74399.87</v>
      </c>
      <c r="AM566" s="37">
        <v>75887.87</v>
      </c>
      <c r="AN566" s="37">
        <v>77405.63</v>
      </c>
      <c r="AO566" s="37">
        <v>78953.740000000005</v>
      </c>
      <c r="AP566" s="37">
        <v>80532.81</v>
      </c>
      <c r="AQ566" s="37">
        <v>82143.47</v>
      </c>
      <c r="AR566" s="37">
        <v>752617.91</v>
      </c>
      <c r="AS566" s="37">
        <v>0</v>
      </c>
      <c r="AT566" s="37">
        <v>63750</v>
      </c>
      <c r="AU566" s="37">
        <v>65025</v>
      </c>
      <c r="AV566" s="37">
        <v>0</v>
      </c>
      <c r="AW566" s="37">
        <v>0</v>
      </c>
      <c r="AX566" s="37">
        <v>0</v>
      </c>
      <c r="AY566" s="37">
        <v>0</v>
      </c>
      <c r="AZ566" s="37">
        <v>0</v>
      </c>
      <c r="BA566" s="37">
        <v>0</v>
      </c>
      <c r="BB566" s="37">
        <v>0</v>
      </c>
      <c r="BC566" s="37">
        <v>0</v>
      </c>
      <c r="BD566" s="37">
        <v>128775</v>
      </c>
      <c r="BE566" s="37">
        <v>0</v>
      </c>
      <c r="BF566" s="37">
        <v>0</v>
      </c>
      <c r="BG566" s="37">
        <v>0</v>
      </c>
      <c r="BH566" s="37">
        <v>0</v>
      </c>
      <c r="BI566" s="37">
        <v>0</v>
      </c>
      <c r="BJ566" s="37">
        <v>0</v>
      </c>
      <c r="BK566" s="37">
        <v>0</v>
      </c>
      <c r="BL566" s="37">
        <v>0</v>
      </c>
      <c r="BM566" s="37">
        <v>0</v>
      </c>
      <c r="BN566" s="37">
        <v>0</v>
      </c>
      <c r="BO566" s="37">
        <v>0</v>
      </c>
      <c r="BP566" s="37">
        <v>0</v>
      </c>
      <c r="BQ566" s="37">
        <v>0</v>
      </c>
      <c r="BR566" s="37">
        <v>0</v>
      </c>
      <c r="BS566" s="37">
        <v>0</v>
      </c>
      <c r="BT566" s="37">
        <v>0</v>
      </c>
      <c r="BU566" s="37">
        <v>0</v>
      </c>
      <c r="BV566" s="37">
        <v>0</v>
      </c>
      <c r="BW566" s="37">
        <v>0</v>
      </c>
      <c r="BX566" s="37">
        <v>0</v>
      </c>
      <c r="BY566" s="37">
        <v>0</v>
      </c>
      <c r="BZ566" s="37">
        <v>0</v>
      </c>
      <c r="CA566" s="37">
        <v>0</v>
      </c>
      <c r="CB566" s="37">
        <v>0</v>
      </c>
      <c r="CC566" s="37">
        <v>0</v>
      </c>
      <c r="CD566" s="37">
        <v>0</v>
      </c>
      <c r="CE566" s="37">
        <v>0</v>
      </c>
      <c r="CF566" s="37">
        <v>0</v>
      </c>
      <c r="CG566" s="37">
        <v>0</v>
      </c>
      <c r="CH566" s="37">
        <v>0</v>
      </c>
      <c r="CI566" s="37">
        <v>0</v>
      </c>
      <c r="CJ566" s="37">
        <v>0</v>
      </c>
      <c r="CK566" s="37">
        <v>0</v>
      </c>
      <c r="CL566" s="37">
        <v>0</v>
      </c>
      <c r="CM566" s="37">
        <v>0</v>
      </c>
      <c r="CN566" s="37">
        <v>0</v>
      </c>
      <c r="CO566" s="37">
        <v>0</v>
      </c>
      <c r="CP566" s="37">
        <v>125000</v>
      </c>
      <c r="CQ566" s="37">
        <v>0</v>
      </c>
      <c r="CR566" s="37">
        <v>0</v>
      </c>
      <c r="CS566" s="37">
        <v>0</v>
      </c>
      <c r="CT566" s="37">
        <v>0</v>
      </c>
      <c r="CU566" s="37">
        <v>0</v>
      </c>
      <c r="CV566" s="37">
        <v>0</v>
      </c>
      <c r="CW566" s="37">
        <v>0</v>
      </c>
      <c r="CX566" s="37">
        <v>0</v>
      </c>
      <c r="CY566" s="37">
        <v>0</v>
      </c>
      <c r="CZ566" s="37">
        <v>125000</v>
      </c>
      <c r="DA566" s="37">
        <v>0</v>
      </c>
      <c r="DB566" s="37">
        <v>0</v>
      </c>
      <c r="DC566" s="37">
        <v>0</v>
      </c>
      <c r="DD566" s="37">
        <v>0</v>
      </c>
      <c r="DE566" s="37">
        <v>0</v>
      </c>
      <c r="DF566" s="37">
        <v>0</v>
      </c>
      <c r="DG566" s="37">
        <v>0</v>
      </c>
      <c r="DH566" s="37">
        <v>0</v>
      </c>
      <c r="DI566" s="37">
        <v>0</v>
      </c>
      <c r="DJ566" s="37">
        <v>0</v>
      </c>
      <c r="DK566" s="37">
        <v>0</v>
      </c>
      <c r="DL566" s="37">
        <v>0</v>
      </c>
      <c r="DM566" s="37">
        <v>0</v>
      </c>
      <c r="DN566" s="37">
        <v>0</v>
      </c>
      <c r="DO566" s="37">
        <v>0</v>
      </c>
      <c r="DP566" s="37">
        <v>0</v>
      </c>
      <c r="DQ566" s="37">
        <v>0</v>
      </c>
      <c r="DR566" s="37">
        <v>0</v>
      </c>
      <c r="DS566" s="37">
        <v>0</v>
      </c>
      <c r="DT566" s="37">
        <v>0</v>
      </c>
      <c r="DU566" s="37">
        <v>0</v>
      </c>
      <c r="DV566" s="37">
        <v>0</v>
      </c>
      <c r="DW566" s="37">
        <v>0</v>
      </c>
      <c r="DX566" s="37">
        <v>0</v>
      </c>
      <c r="DY566" s="37">
        <v>0</v>
      </c>
      <c r="DZ566" s="37">
        <v>0</v>
      </c>
      <c r="EA566" s="37">
        <v>0</v>
      </c>
      <c r="EB566" s="37">
        <v>0</v>
      </c>
      <c r="EC566" s="37">
        <v>0</v>
      </c>
      <c r="ED566" s="37">
        <v>0</v>
      </c>
      <c r="EE566" s="37">
        <v>0</v>
      </c>
      <c r="EF566" s="37">
        <v>0</v>
      </c>
      <c r="EG566" s="37">
        <v>0</v>
      </c>
      <c r="EH566" s="37">
        <v>0</v>
      </c>
      <c r="EI566" s="37">
        <v>0</v>
      </c>
      <c r="EJ566" s="37">
        <v>0</v>
      </c>
      <c r="EK566" s="161" t="s">
        <v>2623</v>
      </c>
      <c r="EL566" s="294" t="s">
        <v>1124</v>
      </c>
    </row>
    <row r="567" spans="1:142" ht="15" customHeight="1" x14ac:dyDescent="0.35">
      <c r="A567" s="34"/>
      <c r="B567" s="313">
        <v>80027</v>
      </c>
      <c r="C567" s="8" t="s">
        <v>807</v>
      </c>
      <c r="D567" s="18">
        <v>7</v>
      </c>
      <c r="E567" s="155"/>
      <c r="F567" s="36"/>
      <c r="G567" s="37"/>
      <c r="H567" s="37"/>
      <c r="I567" s="37"/>
      <c r="J567" s="37"/>
      <c r="K567" s="37"/>
      <c r="L567" s="37"/>
      <c r="M567" s="37" t="s">
        <v>1124</v>
      </c>
      <c r="N567" s="37" t="s">
        <v>1124</v>
      </c>
      <c r="O567" s="37"/>
      <c r="P567" s="37"/>
      <c r="Q567" s="37"/>
      <c r="R567" s="37"/>
      <c r="S567" s="37"/>
      <c r="T567" s="37"/>
      <c r="U567" s="37"/>
      <c r="V567" s="37"/>
      <c r="W567" s="37"/>
      <c r="X567" s="37"/>
      <c r="Y567" s="37"/>
      <c r="Z567" s="37"/>
      <c r="AA567" s="37" t="s">
        <v>1124</v>
      </c>
      <c r="AB567" s="37" t="s">
        <v>1124</v>
      </c>
      <c r="AC567" s="37"/>
      <c r="AD567" s="37"/>
      <c r="AE567" s="37"/>
      <c r="AF567" s="168"/>
      <c r="AG567" s="37"/>
      <c r="AH567" s="37"/>
      <c r="AI567" s="37"/>
      <c r="AJ567" s="37"/>
      <c r="AK567" s="37"/>
      <c r="AL567" s="37"/>
      <c r="AM567" s="37"/>
      <c r="AN567" s="37"/>
      <c r="AO567" s="37"/>
      <c r="AP567" s="37"/>
      <c r="AQ567" s="37"/>
      <c r="AR567" s="37" t="s">
        <v>1124</v>
      </c>
      <c r="AS567" s="37"/>
      <c r="AT567" s="37"/>
      <c r="AU567" s="37"/>
      <c r="AV567" s="37"/>
      <c r="AW567" s="37"/>
      <c r="AX567" s="37"/>
      <c r="AY567" s="37"/>
      <c r="AZ567" s="37"/>
      <c r="BA567" s="37"/>
      <c r="BB567" s="37"/>
      <c r="BC567" s="37"/>
      <c r="BD567" s="37" t="s">
        <v>1124</v>
      </c>
      <c r="BE567" s="37"/>
      <c r="BF567" s="37"/>
      <c r="BG567" s="37"/>
      <c r="BH567" s="37"/>
      <c r="BI567" s="37"/>
      <c r="BJ567" s="37"/>
      <c r="BK567" s="37"/>
      <c r="BL567" s="37"/>
      <c r="BM567" s="37"/>
      <c r="BN567" s="37"/>
      <c r="BO567" s="37"/>
      <c r="BP567" s="37">
        <v>0</v>
      </c>
      <c r="BQ567" s="37"/>
      <c r="BR567" s="37"/>
      <c r="BS567" s="37"/>
      <c r="BT567" s="37"/>
      <c r="BU567" s="37"/>
      <c r="BV567" s="37"/>
      <c r="BW567" s="37"/>
      <c r="BX567" s="37"/>
      <c r="BY567" s="37"/>
      <c r="BZ567" s="37"/>
      <c r="CA567" s="37"/>
      <c r="CB567" s="37" t="s">
        <v>1124</v>
      </c>
      <c r="CC567" s="37"/>
      <c r="CD567" s="37"/>
      <c r="CE567" s="37"/>
      <c r="CF567" s="37"/>
      <c r="CG567" s="37"/>
      <c r="CH567" s="37"/>
      <c r="CI567" s="37"/>
      <c r="CJ567" s="37"/>
      <c r="CK567" s="37"/>
      <c r="CL567" s="37"/>
      <c r="CM567" s="37"/>
      <c r="CN567" s="37" t="s">
        <v>1124</v>
      </c>
      <c r="CO567" s="37"/>
      <c r="CP567" s="37"/>
      <c r="CQ567" s="37"/>
      <c r="CR567" s="37"/>
      <c r="CS567" s="37"/>
      <c r="CT567" s="37"/>
      <c r="CU567" s="37"/>
      <c r="CV567" s="37"/>
      <c r="CW567" s="37"/>
      <c r="CX567" s="37"/>
      <c r="CY567" s="37"/>
      <c r="CZ567" s="37" t="s">
        <v>1124</v>
      </c>
      <c r="DA567" s="37"/>
      <c r="DB567" s="37"/>
      <c r="DC567" s="37"/>
      <c r="DD567" s="37"/>
      <c r="DE567" s="37"/>
      <c r="DF567" s="37"/>
      <c r="DG567" s="37"/>
      <c r="DH567" s="37"/>
      <c r="DI567" s="37"/>
      <c r="DJ567" s="37"/>
      <c r="DK567" s="37"/>
      <c r="DL567" s="37" t="s">
        <v>1124</v>
      </c>
      <c r="DM567" s="37"/>
      <c r="DN567" s="37"/>
      <c r="DO567" s="37"/>
      <c r="DP567" s="37"/>
      <c r="DQ567" s="37"/>
      <c r="DR567" s="37"/>
      <c r="DS567" s="37"/>
      <c r="DT567" s="37"/>
      <c r="DU567" s="37"/>
      <c r="DV567" s="37"/>
      <c r="DW567" s="37"/>
      <c r="DX567" s="37" t="s">
        <v>1124</v>
      </c>
      <c r="DY567" s="37"/>
      <c r="DZ567" s="37"/>
      <c r="EA567" s="37"/>
      <c r="EB567" s="37"/>
      <c r="EC567" s="37"/>
      <c r="ED567" s="37"/>
      <c r="EE567" s="37"/>
      <c r="EF567" s="37"/>
      <c r="EG567" s="37"/>
      <c r="EH567" s="37"/>
      <c r="EI567" s="37"/>
      <c r="EJ567" s="37" t="s">
        <v>1124</v>
      </c>
      <c r="EK567" s="161"/>
      <c r="EL567" s="294"/>
    </row>
    <row r="568" spans="1:142" ht="15" customHeight="1" x14ac:dyDescent="0.35">
      <c r="A568" s="34"/>
      <c r="B568" s="313">
        <v>76008</v>
      </c>
      <c r="C568" s="8" t="s">
        <v>747</v>
      </c>
      <c r="D568" s="18">
        <v>15</v>
      </c>
      <c r="E568" s="155"/>
      <c r="F568" s="36"/>
      <c r="G568" s="37"/>
      <c r="H568" s="37"/>
      <c r="I568" s="37"/>
      <c r="J568" s="37"/>
      <c r="K568" s="37"/>
      <c r="L568" s="37"/>
      <c r="M568" s="37" t="s">
        <v>1124</v>
      </c>
      <c r="N568" s="37" t="s">
        <v>1124</v>
      </c>
      <c r="O568" s="37"/>
      <c r="P568" s="37"/>
      <c r="Q568" s="37"/>
      <c r="R568" s="37"/>
      <c r="S568" s="37"/>
      <c r="T568" s="37"/>
      <c r="U568" s="37"/>
      <c r="V568" s="37"/>
      <c r="W568" s="37"/>
      <c r="X568" s="37"/>
      <c r="Y568" s="37"/>
      <c r="Z568" s="37"/>
      <c r="AA568" s="37" t="s">
        <v>1124</v>
      </c>
      <c r="AB568" s="37" t="s">
        <v>1124</v>
      </c>
      <c r="AC568" s="37"/>
      <c r="AD568" s="37"/>
      <c r="AE568" s="37"/>
      <c r="AF568" s="168"/>
      <c r="AG568" s="37"/>
      <c r="AH568" s="37"/>
      <c r="AI568" s="37"/>
      <c r="AJ568" s="37"/>
      <c r="AK568" s="37"/>
      <c r="AL568" s="37"/>
      <c r="AM568" s="37"/>
      <c r="AN568" s="37"/>
      <c r="AO568" s="37"/>
      <c r="AP568" s="37"/>
      <c r="AQ568" s="37"/>
      <c r="AR568" s="37" t="s">
        <v>1124</v>
      </c>
      <c r="AS568" s="37"/>
      <c r="AT568" s="37"/>
      <c r="AU568" s="37"/>
      <c r="AV568" s="37"/>
      <c r="AW568" s="37"/>
      <c r="AX568" s="37"/>
      <c r="AY568" s="37"/>
      <c r="AZ568" s="37"/>
      <c r="BA568" s="37"/>
      <c r="BB568" s="37"/>
      <c r="BC568" s="37"/>
      <c r="BD568" s="37" t="s">
        <v>1124</v>
      </c>
      <c r="BE568" s="37"/>
      <c r="BF568" s="37"/>
      <c r="BG568" s="37"/>
      <c r="BH568" s="37"/>
      <c r="BI568" s="37"/>
      <c r="BJ568" s="37"/>
      <c r="BK568" s="37"/>
      <c r="BL568" s="37"/>
      <c r="BM568" s="37"/>
      <c r="BN568" s="37"/>
      <c r="BO568" s="37"/>
      <c r="BP568" s="37">
        <v>0</v>
      </c>
      <c r="BQ568" s="37"/>
      <c r="BR568" s="37"/>
      <c r="BS568" s="37"/>
      <c r="BT568" s="37"/>
      <c r="BU568" s="37"/>
      <c r="BV568" s="37"/>
      <c r="BW568" s="37"/>
      <c r="BX568" s="37"/>
      <c r="BY568" s="37"/>
      <c r="BZ568" s="37"/>
      <c r="CA568" s="37"/>
      <c r="CB568" s="37" t="s">
        <v>1124</v>
      </c>
      <c r="CC568" s="37"/>
      <c r="CD568" s="37"/>
      <c r="CE568" s="37"/>
      <c r="CF568" s="37"/>
      <c r="CG568" s="37"/>
      <c r="CH568" s="37"/>
      <c r="CI568" s="37"/>
      <c r="CJ568" s="37"/>
      <c r="CK568" s="37"/>
      <c r="CL568" s="37"/>
      <c r="CM568" s="37"/>
      <c r="CN568" s="37" t="s">
        <v>1124</v>
      </c>
      <c r="CO568" s="37"/>
      <c r="CP568" s="37"/>
      <c r="CQ568" s="37"/>
      <c r="CR568" s="37"/>
      <c r="CS568" s="37"/>
      <c r="CT568" s="37"/>
      <c r="CU568" s="37"/>
      <c r="CV568" s="37"/>
      <c r="CW568" s="37"/>
      <c r="CX568" s="37"/>
      <c r="CY568" s="37"/>
      <c r="CZ568" s="37" t="s">
        <v>1124</v>
      </c>
      <c r="DA568" s="37"/>
      <c r="DB568" s="37"/>
      <c r="DC568" s="37"/>
      <c r="DD568" s="37"/>
      <c r="DE568" s="37"/>
      <c r="DF568" s="37"/>
      <c r="DG568" s="37"/>
      <c r="DH568" s="37"/>
      <c r="DI568" s="37"/>
      <c r="DJ568" s="37"/>
      <c r="DK568" s="37"/>
      <c r="DL568" s="37" t="s">
        <v>1124</v>
      </c>
      <c r="DM568" s="37"/>
      <c r="DN568" s="37"/>
      <c r="DO568" s="37"/>
      <c r="DP568" s="37"/>
      <c r="DQ568" s="37"/>
      <c r="DR568" s="37"/>
      <c r="DS568" s="37"/>
      <c r="DT568" s="37"/>
      <c r="DU568" s="37"/>
      <c r="DV568" s="37"/>
      <c r="DW568" s="37"/>
      <c r="DX568" s="37" t="s">
        <v>1124</v>
      </c>
      <c r="DY568" s="37"/>
      <c r="DZ568" s="37"/>
      <c r="EA568" s="37"/>
      <c r="EB568" s="37"/>
      <c r="EC568" s="37"/>
      <c r="ED568" s="37"/>
      <c r="EE568" s="37"/>
      <c r="EF568" s="37"/>
      <c r="EG568" s="37"/>
      <c r="EH568" s="37"/>
      <c r="EI568" s="37"/>
      <c r="EJ568" s="37" t="s">
        <v>1124</v>
      </c>
      <c r="EK568" s="161"/>
      <c r="EL568" s="294"/>
    </row>
    <row r="569" spans="1:142" ht="15" customHeight="1" x14ac:dyDescent="0.35">
      <c r="A569" s="34"/>
      <c r="B569" s="313">
        <v>6040</v>
      </c>
      <c r="C569" s="8" t="s">
        <v>1063</v>
      </c>
      <c r="D569" s="18">
        <v>11</v>
      </c>
      <c r="E569" s="155"/>
      <c r="F569" s="36"/>
      <c r="G569" s="37"/>
      <c r="H569" s="37"/>
      <c r="I569" s="37"/>
      <c r="J569" s="37"/>
      <c r="K569" s="37"/>
      <c r="L569" s="37"/>
      <c r="M569" s="37" t="s">
        <v>1124</v>
      </c>
      <c r="N569" s="37" t="s">
        <v>1124</v>
      </c>
      <c r="O569" s="37"/>
      <c r="P569" s="37"/>
      <c r="Q569" s="37"/>
      <c r="R569" s="37"/>
      <c r="S569" s="37"/>
      <c r="T569" s="37"/>
      <c r="U569" s="37"/>
      <c r="V569" s="37"/>
      <c r="W569" s="37"/>
      <c r="X569" s="37"/>
      <c r="Y569" s="37"/>
      <c r="Z569" s="37"/>
      <c r="AA569" s="37" t="s">
        <v>1124</v>
      </c>
      <c r="AB569" s="37" t="s">
        <v>1124</v>
      </c>
      <c r="AC569" s="37"/>
      <c r="AD569" s="37"/>
      <c r="AE569" s="37"/>
      <c r="AF569" s="168"/>
      <c r="AG569" s="37"/>
      <c r="AH569" s="37"/>
      <c r="AI569" s="37"/>
      <c r="AJ569" s="37"/>
      <c r="AK569" s="37"/>
      <c r="AL569" s="37"/>
      <c r="AM569" s="37"/>
      <c r="AN569" s="37"/>
      <c r="AO569" s="37"/>
      <c r="AP569" s="37"/>
      <c r="AQ569" s="37"/>
      <c r="AR569" s="37" t="s">
        <v>1124</v>
      </c>
      <c r="AS569" s="37"/>
      <c r="AT569" s="37"/>
      <c r="AU569" s="37"/>
      <c r="AV569" s="37"/>
      <c r="AW569" s="37"/>
      <c r="AX569" s="37"/>
      <c r="AY569" s="37"/>
      <c r="AZ569" s="37"/>
      <c r="BA569" s="37"/>
      <c r="BB569" s="37"/>
      <c r="BC569" s="37"/>
      <c r="BD569" s="37" t="s">
        <v>1124</v>
      </c>
      <c r="BE569" s="37"/>
      <c r="BF569" s="37"/>
      <c r="BG569" s="37"/>
      <c r="BH569" s="37"/>
      <c r="BI569" s="37"/>
      <c r="BJ569" s="37"/>
      <c r="BK569" s="37"/>
      <c r="BL569" s="37"/>
      <c r="BM569" s="37"/>
      <c r="BN569" s="37"/>
      <c r="BO569" s="37"/>
      <c r="BP569" s="37">
        <v>0</v>
      </c>
      <c r="BQ569" s="37"/>
      <c r="BR569" s="37"/>
      <c r="BS569" s="37"/>
      <c r="BT569" s="37"/>
      <c r="BU569" s="37"/>
      <c r="BV569" s="37"/>
      <c r="BW569" s="37"/>
      <c r="BX569" s="37"/>
      <c r="BY569" s="37"/>
      <c r="BZ569" s="37"/>
      <c r="CA569" s="37"/>
      <c r="CB569" s="37" t="s">
        <v>1124</v>
      </c>
      <c r="CC569" s="37"/>
      <c r="CD569" s="37"/>
      <c r="CE569" s="37"/>
      <c r="CF569" s="37"/>
      <c r="CG569" s="37"/>
      <c r="CH569" s="37"/>
      <c r="CI569" s="37"/>
      <c r="CJ569" s="37"/>
      <c r="CK569" s="37"/>
      <c r="CL569" s="37"/>
      <c r="CM569" s="37"/>
      <c r="CN569" s="37" t="s">
        <v>1124</v>
      </c>
      <c r="CO569" s="37"/>
      <c r="CP569" s="37"/>
      <c r="CQ569" s="37"/>
      <c r="CR569" s="37"/>
      <c r="CS569" s="37"/>
      <c r="CT569" s="37"/>
      <c r="CU569" s="37"/>
      <c r="CV569" s="37"/>
      <c r="CW569" s="37"/>
      <c r="CX569" s="37"/>
      <c r="CY569" s="37"/>
      <c r="CZ569" s="37" t="s">
        <v>1124</v>
      </c>
      <c r="DA569" s="37"/>
      <c r="DB569" s="37"/>
      <c r="DC569" s="37"/>
      <c r="DD569" s="37"/>
      <c r="DE569" s="37"/>
      <c r="DF569" s="37"/>
      <c r="DG569" s="37"/>
      <c r="DH569" s="37"/>
      <c r="DI569" s="37"/>
      <c r="DJ569" s="37"/>
      <c r="DK569" s="37"/>
      <c r="DL569" s="37" t="s">
        <v>1124</v>
      </c>
      <c r="DM569" s="37"/>
      <c r="DN569" s="37"/>
      <c r="DO569" s="37"/>
      <c r="DP569" s="37"/>
      <c r="DQ569" s="37"/>
      <c r="DR569" s="37"/>
      <c r="DS569" s="37"/>
      <c r="DT569" s="37"/>
      <c r="DU569" s="37"/>
      <c r="DV569" s="37"/>
      <c r="DW569" s="37"/>
      <c r="DX569" s="37" t="s">
        <v>1124</v>
      </c>
      <c r="DY569" s="37"/>
      <c r="DZ569" s="37"/>
      <c r="EA569" s="37"/>
      <c r="EB569" s="37"/>
      <c r="EC569" s="37"/>
      <c r="ED569" s="37"/>
      <c r="EE569" s="37"/>
      <c r="EF569" s="37"/>
      <c r="EG569" s="37"/>
      <c r="EH569" s="37"/>
      <c r="EI569" s="37"/>
      <c r="EJ569" s="37" t="s">
        <v>1124</v>
      </c>
      <c r="EK569" s="161"/>
      <c r="EL569" s="294"/>
    </row>
    <row r="570" spans="1:142" ht="15" customHeight="1" x14ac:dyDescent="0.35">
      <c r="A570" s="34"/>
      <c r="B570" s="313">
        <v>91010</v>
      </c>
      <c r="C570" s="8" t="s">
        <v>938</v>
      </c>
      <c r="D570" s="18">
        <v>2</v>
      </c>
      <c r="E570" s="155">
        <v>30159</v>
      </c>
      <c r="F570" s="36">
        <v>13137</v>
      </c>
      <c r="G570" s="37">
        <v>3195</v>
      </c>
      <c r="H570" s="37">
        <v>0</v>
      </c>
      <c r="I570" s="37">
        <v>20700</v>
      </c>
      <c r="J570" s="37">
        <v>0</v>
      </c>
      <c r="K570" s="37">
        <v>4524</v>
      </c>
      <c r="L570" s="37">
        <v>1971</v>
      </c>
      <c r="M570" s="37">
        <v>58578</v>
      </c>
      <c r="N570" s="37">
        <v>15108</v>
      </c>
      <c r="O570" s="37">
        <v>0</v>
      </c>
      <c r="P570" s="37">
        <v>0</v>
      </c>
      <c r="Q570" s="37">
        <v>43882</v>
      </c>
      <c r="R570" s="37">
        <v>14512</v>
      </c>
      <c r="S570" s="37">
        <v>0</v>
      </c>
      <c r="T570" s="37">
        <v>0</v>
      </c>
      <c r="U570" s="37">
        <v>10058</v>
      </c>
      <c r="V570" s="37">
        <v>0</v>
      </c>
      <c r="W570" s="37">
        <v>2617</v>
      </c>
      <c r="X570" s="37">
        <v>2617</v>
      </c>
      <c r="Y570" s="37">
        <v>0</v>
      </c>
      <c r="Z570" s="37">
        <v>0</v>
      </c>
      <c r="AA570" s="37">
        <v>56557</v>
      </c>
      <c r="AB570" s="37">
        <v>17129</v>
      </c>
      <c r="AC570" s="37">
        <v>0</v>
      </c>
      <c r="AD570" s="37">
        <v>0</v>
      </c>
      <c r="AE570" s="37">
        <v>0</v>
      </c>
      <c r="AF570" s="168">
        <v>0.02</v>
      </c>
      <c r="AG570" s="37">
        <v>3771412.37</v>
      </c>
      <c r="AH570" s="37">
        <v>21320.04</v>
      </c>
      <c r="AI570" s="37">
        <v>21746.44</v>
      </c>
      <c r="AJ570" s="37">
        <v>22181.37</v>
      </c>
      <c r="AK570" s="37">
        <v>22625</v>
      </c>
      <c r="AL570" s="37">
        <v>23077.5</v>
      </c>
      <c r="AM570" s="37">
        <v>23539.05</v>
      </c>
      <c r="AN570" s="37">
        <v>24009.83</v>
      </c>
      <c r="AO570" s="37">
        <v>24490.02</v>
      </c>
      <c r="AP570" s="37">
        <v>24979.82</v>
      </c>
      <c r="AQ570" s="37">
        <v>25479.42</v>
      </c>
      <c r="AR570" s="37">
        <v>233448.49</v>
      </c>
      <c r="AS570" s="37">
        <v>413814</v>
      </c>
      <c r="AT570" s="37">
        <v>0</v>
      </c>
      <c r="AU570" s="37">
        <v>1061208</v>
      </c>
      <c r="AV570" s="37">
        <v>2122416</v>
      </c>
      <c r="AW570" s="37">
        <v>2164864.3199999998</v>
      </c>
      <c r="AX570" s="37">
        <v>0</v>
      </c>
      <c r="AY570" s="37">
        <v>0</v>
      </c>
      <c r="AZ570" s="37">
        <v>0</v>
      </c>
      <c r="BA570" s="37">
        <v>0</v>
      </c>
      <c r="BB570" s="37">
        <v>0</v>
      </c>
      <c r="BC570" s="37">
        <v>0</v>
      </c>
      <c r="BD570" s="37">
        <v>5348488.32</v>
      </c>
      <c r="BE570" s="37">
        <v>444101</v>
      </c>
      <c r="BF570" s="37">
        <v>0</v>
      </c>
      <c r="BG570" s="37">
        <v>0</v>
      </c>
      <c r="BH570" s="37">
        <v>0</v>
      </c>
      <c r="BI570" s="37">
        <v>0</v>
      </c>
      <c r="BJ570" s="37">
        <v>0</v>
      </c>
      <c r="BK570" s="37">
        <v>0</v>
      </c>
      <c r="BL570" s="37">
        <v>0</v>
      </c>
      <c r="BM570" s="37">
        <v>0</v>
      </c>
      <c r="BN570" s="37">
        <v>0</v>
      </c>
      <c r="BO570" s="37">
        <v>0</v>
      </c>
      <c r="BP570" s="37">
        <v>0</v>
      </c>
      <c r="BQ570" s="37">
        <v>21119</v>
      </c>
      <c r="BR570" s="37">
        <v>0</v>
      </c>
      <c r="BS570" s="37">
        <v>0</v>
      </c>
      <c r="BT570" s="37">
        <v>0</v>
      </c>
      <c r="BU570" s="37">
        <v>0</v>
      </c>
      <c r="BV570" s="37">
        <v>0</v>
      </c>
      <c r="BW570" s="37">
        <v>0</v>
      </c>
      <c r="BX570" s="37">
        <v>0</v>
      </c>
      <c r="BY570" s="37">
        <v>0</v>
      </c>
      <c r="BZ570" s="37">
        <v>0</v>
      </c>
      <c r="CA570" s="37">
        <v>0</v>
      </c>
      <c r="CB570" s="37">
        <v>0</v>
      </c>
      <c r="CC570" s="37">
        <v>0</v>
      </c>
      <c r="CD570" s="37">
        <v>0</v>
      </c>
      <c r="CE570" s="37">
        <v>0</v>
      </c>
      <c r="CF570" s="37">
        <v>0</v>
      </c>
      <c r="CG570" s="37">
        <v>0</v>
      </c>
      <c r="CH570" s="37">
        <v>0</v>
      </c>
      <c r="CI570" s="37">
        <v>0</v>
      </c>
      <c r="CJ570" s="37">
        <v>0</v>
      </c>
      <c r="CK570" s="37">
        <v>0</v>
      </c>
      <c r="CL570" s="37">
        <v>0</v>
      </c>
      <c r="CM570" s="37">
        <v>0</v>
      </c>
      <c r="CN570" s="37">
        <v>0</v>
      </c>
      <c r="CO570" s="37">
        <v>0</v>
      </c>
      <c r="CP570" s="37">
        <v>0</v>
      </c>
      <c r="CQ570" s="37">
        <v>0</v>
      </c>
      <c r="CR570" s="37">
        <v>0</v>
      </c>
      <c r="CS570" s="37">
        <v>0</v>
      </c>
      <c r="CT570" s="37">
        <v>0</v>
      </c>
      <c r="CU570" s="37">
        <v>0</v>
      </c>
      <c r="CV570" s="37">
        <v>0</v>
      </c>
      <c r="CW570" s="37">
        <v>0</v>
      </c>
      <c r="CX570" s="37">
        <v>0</v>
      </c>
      <c r="CY570" s="37">
        <v>0</v>
      </c>
      <c r="CZ570" s="37">
        <v>0</v>
      </c>
      <c r="DA570" s="37">
        <v>0</v>
      </c>
      <c r="DB570" s="37">
        <v>0</v>
      </c>
      <c r="DC570" s="37">
        <v>0</v>
      </c>
      <c r="DD570" s="37">
        <v>0</v>
      </c>
      <c r="DE570" s="37">
        <v>0</v>
      </c>
      <c r="DF570" s="37">
        <v>0</v>
      </c>
      <c r="DG570" s="37">
        <v>0</v>
      </c>
      <c r="DH570" s="37">
        <v>0</v>
      </c>
      <c r="DI570" s="37">
        <v>0</v>
      </c>
      <c r="DJ570" s="37">
        <v>0</v>
      </c>
      <c r="DK570" s="37">
        <v>0</v>
      </c>
      <c r="DL570" s="37">
        <v>0</v>
      </c>
      <c r="DM570" s="37">
        <v>0</v>
      </c>
      <c r="DN570" s="37">
        <v>0</v>
      </c>
      <c r="DO570" s="37">
        <v>0</v>
      </c>
      <c r="DP570" s="37">
        <v>0</v>
      </c>
      <c r="DQ570" s="37">
        <v>0</v>
      </c>
      <c r="DR570" s="37">
        <v>0</v>
      </c>
      <c r="DS570" s="37">
        <v>0</v>
      </c>
      <c r="DT570" s="37">
        <v>0</v>
      </c>
      <c r="DU570" s="37">
        <v>0</v>
      </c>
      <c r="DV570" s="37">
        <v>0</v>
      </c>
      <c r="DW570" s="37">
        <v>0</v>
      </c>
      <c r="DX570" s="37">
        <v>0</v>
      </c>
      <c r="DY570" s="37">
        <v>0</v>
      </c>
      <c r="DZ570" s="37">
        <v>0</v>
      </c>
      <c r="EA570" s="37">
        <v>0</v>
      </c>
      <c r="EB570" s="37">
        <v>0</v>
      </c>
      <c r="EC570" s="37">
        <v>0</v>
      </c>
      <c r="ED570" s="37">
        <v>0</v>
      </c>
      <c r="EE570" s="37">
        <v>0</v>
      </c>
      <c r="EF570" s="37">
        <v>0</v>
      </c>
      <c r="EG570" s="37">
        <v>0</v>
      </c>
      <c r="EH570" s="37">
        <v>0</v>
      </c>
      <c r="EI570" s="37">
        <v>0</v>
      </c>
      <c r="EJ570" s="37">
        <v>0</v>
      </c>
      <c r="EK570" s="161" t="s">
        <v>2626</v>
      </c>
      <c r="EL570" s="294" t="s">
        <v>1124</v>
      </c>
    </row>
    <row r="571" spans="1:142" ht="15" customHeight="1" x14ac:dyDescent="0.35">
      <c r="A571" s="34"/>
      <c r="B571" s="313">
        <v>69070</v>
      </c>
      <c r="C571" s="8" t="s">
        <v>695</v>
      </c>
      <c r="D571" s="18">
        <v>16</v>
      </c>
      <c r="E571" s="155"/>
      <c r="F571" s="36"/>
      <c r="G571" s="37"/>
      <c r="H571" s="37"/>
      <c r="I571" s="37"/>
      <c r="J571" s="37"/>
      <c r="K571" s="37"/>
      <c r="L571" s="37"/>
      <c r="M571" s="37" t="s">
        <v>1124</v>
      </c>
      <c r="N571" s="37" t="s">
        <v>1124</v>
      </c>
      <c r="O571" s="37"/>
      <c r="P571" s="37"/>
      <c r="Q571" s="37"/>
      <c r="R571" s="37"/>
      <c r="S571" s="37"/>
      <c r="T571" s="37"/>
      <c r="U571" s="37"/>
      <c r="V571" s="37"/>
      <c r="W571" s="37"/>
      <c r="X571" s="37"/>
      <c r="Y571" s="37"/>
      <c r="Z571" s="37"/>
      <c r="AA571" s="37" t="s">
        <v>1124</v>
      </c>
      <c r="AB571" s="37" t="s">
        <v>1124</v>
      </c>
      <c r="AC571" s="37"/>
      <c r="AD571" s="37"/>
      <c r="AE571" s="37"/>
      <c r="AF571" s="168"/>
      <c r="AG571" s="37"/>
      <c r="AH571" s="37"/>
      <c r="AI571" s="37"/>
      <c r="AJ571" s="37"/>
      <c r="AK571" s="37"/>
      <c r="AL571" s="37"/>
      <c r="AM571" s="37"/>
      <c r="AN571" s="37"/>
      <c r="AO571" s="37"/>
      <c r="AP571" s="37"/>
      <c r="AQ571" s="37"/>
      <c r="AR571" s="37" t="s">
        <v>1124</v>
      </c>
      <c r="AS571" s="37"/>
      <c r="AT571" s="37"/>
      <c r="AU571" s="37"/>
      <c r="AV571" s="37"/>
      <c r="AW571" s="37"/>
      <c r="AX571" s="37"/>
      <c r="AY571" s="37"/>
      <c r="AZ571" s="37"/>
      <c r="BA571" s="37"/>
      <c r="BB571" s="37"/>
      <c r="BC571" s="37"/>
      <c r="BD571" s="37" t="s">
        <v>1124</v>
      </c>
      <c r="BE571" s="37"/>
      <c r="BF571" s="37"/>
      <c r="BG571" s="37"/>
      <c r="BH571" s="37"/>
      <c r="BI571" s="37"/>
      <c r="BJ571" s="37"/>
      <c r="BK571" s="37"/>
      <c r="BL571" s="37"/>
      <c r="BM571" s="37"/>
      <c r="BN571" s="37"/>
      <c r="BO571" s="37"/>
      <c r="BP571" s="37">
        <v>0</v>
      </c>
      <c r="BQ571" s="37"/>
      <c r="BR571" s="37"/>
      <c r="BS571" s="37"/>
      <c r="BT571" s="37"/>
      <c r="BU571" s="37"/>
      <c r="BV571" s="37"/>
      <c r="BW571" s="37"/>
      <c r="BX571" s="37"/>
      <c r="BY571" s="37"/>
      <c r="BZ571" s="37"/>
      <c r="CA571" s="37"/>
      <c r="CB571" s="37" t="s">
        <v>1124</v>
      </c>
      <c r="CC571" s="37"/>
      <c r="CD571" s="37"/>
      <c r="CE571" s="37"/>
      <c r="CF571" s="37"/>
      <c r="CG571" s="37"/>
      <c r="CH571" s="37"/>
      <c r="CI571" s="37"/>
      <c r="CJ571" s="37"/>
      <c r="CK571" s="37"/>
      <c r="CL571" s="37"/>
      <c r="CM571" s="37"/>
      <c r="CN571" s="37" t="s">
        <v>1124</v>
      </c>
      <c r="CO571" s="37"/>
      <c r="CP571" s="37"/>
      <c r="CQ571" s="37"/>
      <c r="CR571" s="37"/>
      <c r="CS571" s="37"/>
      <c r="CT571" s="37"/>
      <c r="CU571" s="37"/>
      <c r="CV571" s="37"/>
      <c r="CW571" s="37"/>
      <c r="CX571" s="37"/>
      <c r="CY571" s="37"/>
      <c r="CZ571" s="37" t="s">
        <v>1124</v>
      </c>
      <c r="DA571" s="37"/>
      <c r="DB571" s="37"/>
      <c r="DC571" s="37"/>
      <c r="DD571" s="37"/>
      <c r="DE571" s="37"/>
      <c r="DF571" s="37"/>
      <c r="DG571" s="37"/>
      <c r="DH571" s="37"/>
      <c r="DI571" s="37"/>
      <c r="DJ571" s="37"/>
      <c r="DK571" s="37"/>
      <c r="DL571" s="37" t="s">
        <v>1124</v>
      </c>
      <c r="DM571" s="37"/>
      <c r="DN571" s="37"/>
      <c r="DO571" s="37"/>
      <c r="DP571" s="37"/>
      <c r="DQ571" s="37"/>
      <c r="DR571" s="37"/>
      <c r="DS571" s="37"/>
      <c r="DT571" s="37"/>
      <c r="DU571" s="37"/>
      <c r="DV571" s="37"/>
      <c r="DW571" s="37"/>
      <c r="DX571" s="37" t="s">
        <v>1124</v>
      </c>
      <c r="DY571" s="37"/>
      <c r="DZ571" s="37"/>
      <c r="EA571" s="37"/>
      <c r="EB571" s="37"/>
      <c r="EC571" s="37"/>
      <c r="ED571" s="37"/>
      <c r="EE571" s="37"/>
      <c r="EF571" s="37"/>
      <c r="EG571" s="37"/>
      <c r="EH571" s="37"/>
      <c r="EI571" s="37"/>
      <c r="EJ571" s="37" t="s">
        <v>1124</v>
      </c>
      <c r="EK571" s="161"/>
      <c r="EL571" s="294"/>
    </row>
    <row r="572" spans="1:142" ht="15" customHeight="1" x14ac:dyDescent="0.35">
      <c r="A572" s="34"/>
      <c r="B572" s="313">
        <v>19062</v>
      </c>
      <c r="C572" s="8" t="s">
        <v>128</v>
      </c>
      <c r="D572" s="18">
        <v>12</v>
      </c>
      <c r="E572" s="155">
        <v>506848</v>
      </c>
      <c r="F572" s="36">
        <v>114245</v>
      </c>
      <c r="G572" s="37">
        <v>153178</v>
      </c>
      <c r="H572" s="37">
        <v>92712</v>
      </c>
      <c r="I572" s="37">
        <v>466558</v>
      </c>
      <c r="J572" s="37">
        <v>160529</v>
      </c>
      <c r="K572" s="37">
        <v>76027.199999999997</v>
      </c>
      <c r="L572" s="37">
        <v>17136.75</v>
      </c>
      <c r="M572" s="37">
        <v>1202611.2</v>
      </c>
      <c r="N572" s="37">
        <v>384622.75</v>
      </c>
      <c r="O572" s="37">
        <v>414647</v>
      </c>
      <c r="P572" s="37">
        <v>0</v>
      </c>
      <c r="Q572" s="37">
        <v>391625</v>
      </c>
      <c r="R572" s="37">
        <v>121665</v>
      </c>
      <c r="S572" s="37">
        <v>32797</v>
      </c>
      <c r="T572" s="37">
        <v>-4241</v>
      </c>
      <c r="U572" s="37">
        <v>7903</v>
      </c>
      <c r="V572" s="37">
        <v>29660</v>
      </c>
      <c r="W572" s="37">
        <v>378466</v>
      </c>
      <c r="X572" s="37">
        <v>378465</v>
      </c>
      <c r="Y572" s="37">
        <v>0</v>
      </c>
      <c r="Z572" s="37">
        <v>0</v>
      </c>
      <c r="AA572" s="37">
        <v>1225438</v>
      </c>
      <c r="AB572" s="37">
        <v>525549</v>
      </c>
      <c r="AC572" s="37">
        <v>163753.05000000005</v>
      </c>
      <c r="AD572" s="37">
        <v>163753</v>
      </c>
      <c r="AE572" s="37">
        <v>804083</v>
      </c>
      <c r="AF572" s="168">
        <v>0.02</v>
      </c>
      <c r="AG572" s="37">
        <v>90966050.829999998</v>
      </c>
      <c r="AH572" s="37">
        <v>660558.34</v>
      </c>
      <c r="AI572" s="37">
        <v>684381.58</v>
      </c>
      <c r="AJ572" s="37">
        <v>687244.89</v>
      </c>
      <c r="AK572" s="37">
        <v>700989.79</v>
      </c>
      <c r="AL572" s="37">
        <v>715009.59</v>
      </c>
      <c r="AM572" s="37">
        <v>729309.78</v>
      </c>
      <c r="AN572" s="37">
        <v>743895.98</v>
      </c>
      <c r="AO572" s="37">
        <v>758773.9</v>
      </c>
      <c r="AP572" s="37">
        <v>773949.37</v>
      </c>
      <c r="AQ572" s="37">
        <v>789428.36</v>
      </c>
      <c r="AR572" s="37">
        <v>7243541.5799999991</v>
      </c>
      <c r="AS572" s="37">
        <v>2722350.18</v>
      </c>
      <c r="AT572" s="37">
        <v>0</v>
      </c>
      <c r="AU572" s="37">
        <v>1661848.61</v>
      </c>
      <c r="AV572" s="37">
        <v>75770.25</v>
      </c>
      <c r="AW572" s="37">
        <v>0</v>
      </c>
      <c r="AX572" s="37">
        <v>1127286.33</v>
      </c>
      <c r="AY572" s="37">
        <v>0</v>
      </c>
      <c r="AZ572" s="37">
        <v>0</v>
      </c>
      <c r="BA572" s="37">
        <v>0</v>
      </c>
      <c r="BB572" s="37">
        <v>5041758.4800000004</v>
      </c>
      <c r="BC572" s="37">
        <v>0</v>
      </c>
      <c r="BD572" s="37">
        <v>7906663.6700000009</v>
      </c>
      <c r="BE572" s="37">
        <v>0</v>
      </c>
      <c r="BF572" s="37">
        <v>268353.67092706234</v>
      </c>
      <c r="BG572" s="37">
        <v>289251.38916006469</v>
      </c>
      <c r="BH572" s="37">
        <v>356081.26208773052</v>
      </c>
      <c r="BI572" s="37">
        <v>422911.27782514284</v>
      </c>
      <c r="BJ572" s="37">
        <v>45932.154694663303</v>
      </c>
      <c r="BK572" s="37">
        <v>222421.51623239878</v>
      </c>
      <c r="BL572" s="37">
        <v>289251.38916006469</v>
      </c>
      <c r="BM572" s="37">
        <v>356081.26208773052</v>
      </c>
      <c r="BN572" s="37">
        <v>422911.27782514284</v>
      </c>
      <c r="BO572" s="37">
        <v>0</v>
      </c>
      <c r="BP572" s="37">
        <v>2673195.2000000007</v>
      </c>
      <c r="BQ572" s="37">
        <v>0</v>
      </c>
      <c r="BR572" s="37">
        <v>101666.79194672442</v>
      </c>
      <c r="BS572" s="37">
        <v>109583.97066246996</v>
      </c>
      <c r="BT572" s="37">
        <v>134902.71798308971</v>
      </c>
      <c r="BU572" s="37">
        <v>160221.51940771606</v>
      </c>
      <c r="BV572" s="37">
        <v>17401.568604874141</v>
      </c>
      <c r="BW572" s="37">
        <v>84265.223341850186</v>
      </c>
      <c r="BX572" s="37">
        <v>109583.97066246996</v>
      </c>
      <c r="BY572" s="37">
        <v>134902.71798308971</v>
      </c>
      <c r="BZ572" s="37">
        <v>160221.51940771606</v>
      </c>
      <c r="CA572" s="37">
        <v>0</v>
      </c>
      <c r="CB572" s="37">
        <v>1012750.0000000002</v>
      </c>
      <c r="CC572" s="37">
        <v>0</v>
      </c>
      <c r="CD572" s="37">
        <v>0</v>
      </c>
      <c r="CE572" s="37">
        <v>0</v>
      </c>
      <c r="CF572" s="37">
        <v>0</v>
      </c>
      <c r="CG572" s="37">
        <v>0</v>
      </c>
      <c r="CH572" s="37">
        <v>0</v>
      </c>
      <c r="CI572" s="37">
        <v>0</v>
      </c>
      <c r="CJ572" s="37">
        <v>0</v>
      </c>
      <c r="CK572" s="37">
        <v>0</v>
      </c>
      <c r="CL572" s="37">
        <v>0</v>
      </c>
      <c r="CM572" s="37">
        <v>0</v>
      </c>
      <c r="CN572" s="37">
        <v>0</v>
      </c>
      <c r="CO572" s="37">
        <v>0</v>
      </c>
      <c r="CP572" s="37">
        <v>3433098</v>
      </c>
      <c r="CQ572" s="37">
        <v>0</v>
      </c>
      <c r="CR572" s="37">
        <v>0</v>
      </c>
      <c r="CS572" s="37">
        <v>0</v>
      </c>
      <c r="CT572" s="37">
        <v>0</v>
      </c>
      <c r="CU572" s="37">
        <v>0</v>
      </c>
      <c r="CV572" s="37">
        <v>0</v>
      </c>
      <c r="CW572" s="37">
        <v>0</v>
      </c>
      <c r="CX572" s="37">
        <v>0</v>
      </c>
      <c r="CY572" s="37">
        <v>0</v>
      </c>
      <c r="CZ572" s="37">
        <v>3433098</v>
      </c>
      <c r="DA572" s="37">
        <v>0</v>
      </c>
      <c r="DB572" s="37">
        <v>858275</v>
      </c>
      <c r="DC572" s="37">
        <v>0</v>
      </c>
      <c r="DD572" s="37">
        <v>0</v>
      </c>
      <c r="DE572" s="37">
        <v>0</v>
      </c>
      <c r="DF572" s="37">
        <v>0</v>
      </c>
      <c r="DG572" s="37">
        <v>0</v>
      </c>
      <c r="DH572" s="37">
        <v>0</v>
      </c>
      <c r="DI572" s="37">
        <v>0</v>
      </c>
      <c r="DJ572" s="37">
        <v>0</v>
      </c>
      <c r="DK572" s="37">
        <v>0</v>
      </c>
      <c r="DL572" s="37">
        <v>858275</v>
      </c>
      <c r="DM572" s="37">
        <v>0</v>
      </c>
      <c r="DN572" s="37">
        <v>0</v>
      </c>
      <c r="DO572" s="37">
        <v>0</v>
      </c>
      <c r="DP572" s="37">
        <v>0</v>
      </c>
      <c r="DQ572" s="37">
        <v>0</v>
      </c>
      <c r="DR572" s="37">
        <v>0</v>
      </c>
      <c r="DS572" s="37">
        <v>0</v>
      </c>
      <c r="DT572" s="37">
        <v>0</v>
      </c>
      <c r="DU572" s="37">
        <v>0</v>
      </c>
      <c r="DV572" s="37">
        <v>0</v>
      </c>
      <c r="DW572" s="37">
        <v>0</v>
      </c>
      <c r="DX572" s="37">
        <v>0</v>
      </c>
      <c r="DY572" s="37">
        <v>0</v>
      </c>
      <c r="DZ572" s="37">
        <v>0</v>
      </c>
      <c r="EA572" s="37">
        <v>0</v>
      </c>
      <c r="EB572" s="37">
        <v>0</v>
      </c>
      <c r="EC572" s="37">
        <v>0</v>
      </c>
      <c r="ED572" s="37">
        <v>0</v>
      </c>
      <c r="EE572" s="37">
        <v>0</v>
      </c>
      <c r="EF572" s="37">
        <v>0</v>
      </c>
      <c r="EG572" s="37">
        <v>0</v>
      </c>
      <c r="EH572" s="37">
        <v>0</v>
      </c>
      <c r="EI572" s="37">
        <v>0</v>
      </c>
      <c r="EJ572" s="37">
        <v>0</v>
      </c>
      <c r="EK572" s="161" t="s">
        <v>2629</v>
      </c>
      <c r="EL572" s="294" t="s">
        <v>1124</v>
      </c>
    </row>
    <row r="573" spans="1:142" ht="15" customHeight="1" x14ac:dyDescent="0.35">
      <c r="A573" s="34"/>
      <c r="B573" s="313">
        <v>18070</v>
      </c>
      <c r="C573" s="8" t="s">
        <v>117</v>
      </c>
      <c r="D573" s="18">
        <v>12</v>
      </c>
      <c r="E573" s="155"/>
      <c r="F573" s="36"/>
      <c r="G573" s="37"/>
      <c r="H573" s="37"/>
      <c r="I573" s="37"/>
      <c r="J573" s="37"/>
      <c r="K573" s="37"/>
      <c r="L573" s="37"/>
      <c r="M573" s="37" t="s">
        <v>1124</v>
      </c>
      <c r="N573" s="37" t="s">
        <v>1124</v>
      </c>
      <c r="O573" s="37"/>
      <c r="P573" s="37"/>
      <c r="Q573" s="37"/>
      <c r="R573" s="37"/>
      <c r="S573" s="37"/>
      <c r="T573" s="37"/>
      <c r="U573" s="37"/>
      <c r="V573" s="37"/>
      <c r="W573" s="37"/>
      <c r="X573" s="37"/>
      <c r="Y573" s="37"/>
      <c r="Z573" s="37"/>
      <c r="AA573" s="37" t="s">
        <v>1124</v>
      </c>
      <c r="AB573" s="37" t="s">
        <v>1124</v>
      </c>
      <c r="AC573" s="37"/>
      <c r="AD573" s="37"/>
      <c r="AE573" s="37"/>
      <c r="AF573" s="168"/>
      <c r="AG573" s="37"/>
      <c r="AH573" s="37"/>
      <c r="AI573" s="37"/>
      <c r="AJ573" s="37"/>
      <c r="AK573" s="37"/>
      <c r="AL573" s="37"/>
      <c r="AM573" s="37"/>
      <c r="AN573" s="37"/>
      <c r="AO573" s="37"/>
      <c r="AP573" s="37"/>
      <c r="AQ573" s="37"/>
      <c r="AR573" s="37" t="s">
        <v>1124</v>
      </c>
      <c r="AS573" s="37"/>
      <c r="AT573" s="37"/>
      <c r="AU573" s="37"/>
      <c r="AV573" s="37"/>
      <c r="AW573" s="37"/>
      <c r="AX573" s="37"/>
      <c r="AY573" s="37"/>
      <c r="AZ573" s="37"/>
      <c r="BA573" s="37"/>
      <c r="BB573" s="37"/>
      <c r="BC573" s="37"/>
      <c r="BD573" s="37" t="s">
        <v>1124</v>
      </c>
      <c r="BE573" s="37"/>
      <c r="BF573" s="37"/>
      <c r="BG573" s="37"/>
      <c r="BH573" s="37"/>
      <c r="BI573" s="37"/>
      <c r="BJ573" s="37"/>
      <c r="BK573" s="37"/>
      <c r="BL573" s="37"/>
      <c r="BM573" s="37"/>
      <c r="BN573" s="37"/>
      <c r="BO573" s="37"/>
      <c r="BP573" s="37">
        <v>0</v>
      </c>
      <c r="BQ573" s="37"/>
      <c r="BR573" s="37"/>
      <c r="BS573" s="37"/>
      <c r="BT573" s="37"/>
      <c r="BU573" s="37"/>
      <c r="BV573" s="37"/>
      <c r="BW573" s="37"/>
      <c r="BX573" s="37"/>
      <c r="BY573" s="37"/>
      <c r="BZ573" s="37"/>
      <c r="CA573" s="37"/>
      <c r="CB573" s="37" t="s">
        <v>1124</v>
      </c>
      <c r="CC573" s="37"/>
      <c r="CD573" s="37"/>
      <c r="CE573" s="37"/>
      <c r="CF573" s="37"/>
      <c r="CG573" s="37"/>
      <c r="CH573" s="37"/>
      <c r="CI573" s="37"/>
      <c r="CJ573" s="37"/>
      <c r="CK573" s="37"/>
      <c r="CL573" s="37"/>
      <c r="CM573" s="37"/>
      <c r="CN573" s="37" t="s">
        <v>1124</v>
      </c>
      <c r="CO573" s="37"/>
      <c r="CP573" s="37"/>
      <c r="CQ573" s="37"/>
      <c r="CR573" s="37"/>
      <c r="CS573" s="37"/>
      <c r="CT573" s="37"/>
      <c r="CU573" s="37"/>
      <c r="CV573" s="37"/>
      <c r="CW573" s="37"/>
      <c r="CX573" s="37"/>
      <c r="CY573" s="37"/>
      <c r="CZ573" s="37" t="s">
        <v>1124</v>
      </c>
      <c r="DA573" s="37"/>
      <c r="DB573" s="37"/>
      <c r="DC573" s="37"/>
      <c r="DD573" s="37"/>
      <c r="DE573" s="37"/>
      <c r="DF573" s="37"/>
      <c r="DG573" s="37"/>
      <c r="DH573" s="37"/>
      <c r="DI573" s="37"/>
      <c r="DJ573" s="37"/>
      <c r="DK573" s="37"/>
      <c r="DL573" s="37" t="s">
        <v>1124</v>
      </c>
      <c r="DM573" s="37"/>
      <c r="DN573" s="37"/>
      <c r="DO573" s="37"/>
      <c r="DP573" s="37"/>
      <c r="DQ573" s="37"/>
      <c r="DR573" s="37"/>
      <c r="DS573" s="37"/>
      <c r="DT573" s="37"/>
      <c r="DU573" s="37"/>
      <c r="DV573" s="37"/>
      <c r="DW573" s="37"/>
      <c r="DX573" s="37" t="s">
        <v>1124</v>
      </c>
      <c r="DY573" s="37"/>
      <c r="DZ573" s="37"/>
      <c r="EA573" s="37"/>
      <c r="EB573" s="37"/>
      <c r="EC573" s="37"/>
      <c r="ED573" s="37"/>
      <c r="EE573" s="37"/>
      <c r="EF573" s="37"/>
      <c r="EG573" s="37"/>
      <c r="EH573" s="37"/>
      <c r="EI573" s="37"/>
      <c r="EJ573" s="37" t="s">
        <v>1124</v>
      </c>
      <c r="EK573" s="161"/>
      <c r="EL573" s="294"/>
    </row>
    <row r="574" spans="1:142" ht="15" customHeight="1" x14ac:dyDescent="0.35">
      <c r="A574" s="34"/>
      <c r="B574" s="313">
        <v>33095</v>
      </c>
      <c r="C574" s="8" t="s">
        <v>281</v>
      </c>
      <c r="D574" s="18">
        <v>12</v>
      </c>
      <c r="E574" s="155"/>
      <c r="F574" s="36"/>
      <c r="G574" s="37"/>
      <c r="H574" s="37"/>
      <c r="I574" s="37"/>
      <c r="J574" s="37"/>
      <c r="K574" s="37"/>
      <c r="L574" s="37"/>
      <c r="M574" s="37" t="s">
        <v>1124</v>
      </c>
      <c r="N574" s="37" t="s">
        <v>1124</v>
      </c>
      <c r="O574" s="37"/>
      <c r="P574" s="37"/>
      <c r="Q574" s="37"/>
      <c r="R574" s="37"/>
      <c r="S574" s="37"/>
      <c r="T574" s="37"/>
      <c r="U574" s="37"/>
      <c r="V574" s="37"/>
      <c r="W574" s="37"/>
      <c r="X574" s="37"/>
      <c r="Y574" s="37"/>
      <c r="Z574" s="37"/>
      <c r="AA574" s="37" t="s">
        <v>1124</v>
      </c>
      <c r="AB574" s="37" t="s">
        <v>1124</v>
      </c>
      <c r="AC574" s="37"/>
      <c r="AD574" s="37"/>
      <c r="AE574" s="37"/>
      <c r="AF574" s="168"/>
      <c r="AG574" s="37"/>
      <c r="AH574" s="37"/>
      <c r="AI574" s="37"/>
      <c r="AJ574" s="37"/>
      <c r="AK574" s="37"/>
      <c r="AL574" s="37"/>
      <c r="AM574" s="37"/>
      <c r="AN574" s="37"/>
      <c r="AO574" s="37"/>
      <c r="AP574" s="37"/>
      <c r="AQ574" s="37"/>
      <c r="AR574" s="37" t="s">
        <v>1124</v>
      </c>
      <c r="AS574" s="37"/>
      <c r="AT574" s="37"/>
      <c r="AU574" s="37"/>
      <c r="AV574" s="37"/>
      <c r="AW574" s="37"/>
      <c r="AX574" s="37"/>
      <c r="AY574" s="37"/>
      <c r="AZ574" s="37"/>
      <c r="BA574" s="37"/>
      <c r="BB574" s="37"/>
      <c r="BC574" s="37"/>
      <c r="BD574" s="37" t="s">
        <v>1124</v>
      </c>
      <c r="BE574" s="37"/>
      <c r="BF574" s="37"/>
      <c r="BG574" s="37"/>
      <c r="BH574" s="37"/>
      <c r="BI574" s="37"/>
      <c r="BJ574" s="37"/>
      <c r="BK574" s="37"/>
      <c r="BL574" s="37"/>
      <c r="BM574" s="37"/>
      <c r="BN574" s="37"/>
      <c r="BO574" s="37"/>
      <c r="BP574" s="37">
        <v>0</v>
      </c>
      <c r="BQ574" s="37"/>
      <c r="BR574" s="37"/>
      <c r="BS574" s="37"/>
      <c r="BT574" s="37"/>
      <c r="BU574" s="37"/>
      <c r="BV574" s="37"/>
      <c r="BW574" s="37"/>
      <c r="BX574" s="37"/>
      <c r="BY574" s="37"/>
      <c r="BZ574" s="37"/>
      <c r="CA574" s="37"/>
      <c r="CB574" s="37" t="s">
        <v>1124</v>
      </c>
      <c r="CC574" s="37"/>
      <c r="CD574" s="37"/>
      <c r="CE574" s="37"/>
      <c r="CF574" s="37"/>
      <c r="CG574" s="37"/>
      <c r="CH574" s="37"/>
      <c r="CI574" s="37"/>
      <c r="CJ574" s="37"/>
      <c r="CK574" s="37"/>
      <c r="CL574" s="37"/>
      <c r="CM574" s="37"/>
      <c r="CN574" s="37" t="s">
        <v>1124</v>
      </c>
      <c r="CO574" s="37"/>
      <c r="CP574" s="37"/>
      <c r="CQ574" s="37"/>
      <c r="CR574" s="37"/>
      <c r="CS574" s="37"/>
      <c r="CT574" s="37"/>
      <c r="CU574" s="37"/>
      <c r="CV574" s="37"/>
      <c r="CW574" s="37"/>
      <c r="CX574" s="37"/>
      <c r="CY574" s="37"/>
      <c r="CZ574" s="37" t="s">
        <v>1124</v>
      </c>
      <c r="DA574" s="37"/>
      <c r="DB574" s="37"/>
      <c r="DC574" s="37"/>
      <c r="DD574" s="37"/>
      <c r="DE574" s="37"/>
      <c r="DF574" s="37"/>
      <c r="DG574" s="37"/>
      <c r="DH574" s="37"/>
      <c r="DI574" s="37"/>
      <c r="DJ574" s="37"/>
      <c r="DK574" s="37"/>
      <c r="DL574" s="37" t="s">
        <v>1124</v>
      </c>
      <c r="DM574" s="37"/>
      <c r="DN574" s="37"/>
      <c r="DO574" s="37"/>
      <c r="DP574" s="37"/>
      <c r="DQ574" s="37"/>
      <c r="DR574" s="37"/>
      <c r="DS574" s="37"/>
      <c r="DT574" s="37"/>
      <c r="DU574" s="37"/>
      <c r="DV574" s="37"/>
      <c r="DW574" s="37"/>
      <c r="DX574" s="37" t="s">
        <v>1124</v>
      </c>
      <c r="DY574" s="37"/>
      <c r="DZ574" s="37"/>
      <c r="EA574" s="37"/>
      <c r="EB574" s="37"/>
      <c r="EC574" s="37"/>
      <c r="ED574" s="37"/>
      <c r="EE574" s="37"/>
      <c r="EF574" s="37"/>
      <c r="EG574" s="37"/>
      <c r="EH574" s="37"/>
      <c r="EI574" s="37"/>
      <c r="EJ574" s="37" t="s">
        <v>1124</v>
      </c>
      <c r="EK574" s="161"/>
      <c r="EL574" s="294"/>
    </row>
    <row r="575" spans="1:142" ht="15" customHeight="1" x14ac:dyDescent="0.35">
      <c r="A575" s="34"/>
      <c r="B575" s="313">
        <v>57075</v>
      </c>
      <c r="C575" s="8" t="s">
        <v>593</v>
      </c>
      <c r="D575" s="18">
        <v>16</v>
      </c>
      <c r="E575" s="155">
        <v>814</v>
      </c>
      <c r="F575" s="36">
        <v>18329</v>
      </c>
      <c r="G575" s="37">
        <v>0</v>
      </c>
      <c r="H575" s="37">
        <v>0</v>
      </c>
      <c r="I575" s="37">
        <v>0</v>
      </c>
      <c r="J575" s="37">
        <v>0</v>
      </c>
      <c r="K575" s="37">
        <v>0</v>
      </c>
      <c r="L575" s="37">
        <v>0</v>
      </c>
      <c r="M575" s="37">
        <v>814</v>
      </c>
      <c r="N575" s="37">
        <v>18329</v>
      </c>
      <c r="O575" s="37">
        <v>0</v>
      </c>
      <c r="P575" s="37">
        <v>0</v>
      </c>
      <c r="Q575" s="37">
        <v>0</v>
      </c>
      <c r="R575" s="37">
        <v>29729</v>
      </c>
      <c r="S575" s="37">
        <v>528184</v>
      </c>
      <c r="T575" s="37">
        <v>0</v>
      </c>
      <c r="U575" s="37">
        <v>0</v>
      </c>
      <c r="V575" s="37">
        <v>0</v>
      </c>
      <c r="W575" s="37">
        <v>0</v>
      </c>
      <c r="X575" s="37">
        <v>0</v>
      </c>
      <c r="Y575" s="37">
        <v>0</v>
      </c>
      <c r="Z575" s="37">
        <v>0</v>
      </c>
      <c r="AA575" s="37">
        <v>528184</v>
      </c>
      <c r="AB575" s="37">
        <v>29729</v>
      </c>
      <c r="AC575" s="37">
        <v>538770</v>
      </c>
      <c r="AD575" s="37">
        <v>0</v>
      </c>
      <c r="AE575" s="37">
        <v>0</v>
      </c>
      <c r="AF575" s="168">
        <v>0.02</v>
      </c>
      <c r="AG575" s="37">
        <v>61815349</v>
      </c>
      <c r="AH575" s="37">
        <v>685090.48</v>
      </c>
      <c r="AI575" s="37">
        <v>698792.29</v>
      </c>
      <c r="AJ575" s="37">
        <v>712768.14</v>
      </c>
      <c r="AK575" s="37">
        <v>727023.5</v>
      </c>
      <c r="AL575" s="37">
        <v>741563.97</v>
      </c>
      <c r="AM575" s="37">
        <v>756395.25</v>
      </c>
      <c r="AN575" s="37">
        <v>771523.16</v>
      </c>
      <c r="AO575" s="37">
        <v>786953.62</v>
      </c>
      <c r="AP575" s="37">
        <v>802692.69</v>
      </c>
      <c r="AQ575" s="37">
        <v>818746.55</v>
      </c>
      <c r="AR575" s="37">
        <v>7501549.6500000004</v>
      </c>
      <c r="AS575" s="37">
        <v>173226.6</v>
      </c>
      <c r="AT575" s="37">
        <v>0</v>
      </c>
      <c r="AU575" s="37">
        <v>0</v>
      </c>
      <c r="AV575" s="37">
        <v>0</v>
      </c>
      <c r="AW575" s="37">
        <v>0</v>
      </c>
      <c r="AX575" s="37">
        <v>0</v>
      </c>
      <c r="AY575" s="37">
        <v>0</v>
      </c>
      <c r="AZ575" s="37">
        <v>0</v>
      </c>
      <c r="BA575" s="37">
        <v>0</v>
      </c>
      <c r="BB575" s="37">
        <v>0</v>
      </c>
      <c r="BC575" s="37">
        <v>0</v>
      </c>
      <c r="BD575" s="37">
        <v>0</v>
      </c>
      <c r="BE575" s="37">
        <v>606001</v>
      </c>
      <c r="BF575" s="37">
        <v>524149</v>
      </c>
      <c r="BG575" s="37">
        <v>524149</v>
      </c>
      <c r="BH575" s="37">
        <v>0</v>
      </c>
      <c r="BI575" s="37">
        <v>0</v>
      </c>
      <c r="BJ575" s="37">
        <v>0</v>
      </c>
      <c r="BK575" s="37">
        <v>0</v>
      </c>
      <c r="BL575" s="37">
        <v>0</v>
      </c>
      <c r="BM575" s="37">
        <v>0</v>
      </c>
      <c r="BN575" s="37">
        <v>0</v>
      </c>
      <c r="BO575" s="37">
        <v>0</v>
      </c>
      <c r="BP575" s="37">
        <v>1048298</v>
      </c>
      <c r="BQ575" s="37">
        <v>0</v>
      </c>
      <c r="BR575" s="37">
        <v>0</v>
      </c>
      <c r="BS575" s="37">
        <v>0</v>
      </c>
      <c r="BT575" s="37">
        <v>0</v>
      </c>
      <c r="BU575" s="37">
        <v>0</v>
      </c>
      <c r="BV575" s="37">
        <v>0</v>
      </c>
      <c r="BW575" s="37">
        <v>0</v>
      </c>
      <c r="BX575" s="37">
        <v>0</v>
      </c>
      <c r="BY575" s="37">
        <v>0</v>
      </c>
      <c r="BZ575" s="37">
        <v>0</v>
      </c>
      <c r="CA575" s="37">
        <v>0</v>
      </c>
      <c r="CB575" s="37">
        <v>0</v>
      </c>
      <c r="CC575" s="37">
        <v>0</v>
      </c>
      <c r="CD575" s="37">
        <v>0</v>
      </c>
      <c r="CE575" s="37">
        <v>0</v>
      </c>
      <c r="CF575" s="37">
        <v>0</v>
      </c>
      <c r="CG575" s="37">
        <v>0</v>
      </c>
      <c r="CH575" s="37">
        <v>0</v>
      </c>
      <c r="CI575" s="37">
        <v>0</v>
      </c>
      <c r="CJ575" s="37">
        <v>0</v>
      </c>
      <c r="CK575" s="37">
        <v>0</v>
      </c>
      <c r="CL575" s="37">
        <v>0</v>
      </c>
      <c r="CM575" s="37">
        <v>0</v>
      </c>
      <c r="CN575" s="37">
        <v>0</v>
      </c>
      <c r="CO575" s="37">
        <v>0</v>
      </c>
      <c r="CP575" s="37">
        <v>0</v>
      </c>
      <c r="CQ575" s="37">
        <v>0</v>
      </c>
      <c r="CR575" s="37">
        <v>0</v>
      </c>
      <c r="CS575" s="37">
        <v>0</v>
      </c>
      <c r="CT575" s="37">
        <v>0</v>
      </c>
      <c r="CU575" s="37">
        <v>0</v>
      </c>
      <c r="CV575" s="37">
        <v>0</v>
      </c>
      <c r="CW575" s="37">
        <v>0</v>
      </c>
      <c r="CX575" s="37">
        <v>0</v>
      </c>
      <c r="CY575" s="37">
        <v>0</v>
      </c>
      <c r="CZ575" s="37">
        <v>0</v>
      </c>
      <c r="DA575" s="37">
        <v>0</v>
      </c>
      <c r="DB575" s="37">
        <v>0</v>
      </c>
      <c r="DC575" s="37">
        <v>0</v>
      </c>
      <c r="DD575" s="37">
        <v>0</v>
      </c>
      <c r="DE575" s="37">
        <v>0</v>
      </c>
      <c r="DF575" s="37">
        <v>0</v>
      </c>
      <c r="DG575" s="37">
        <v>0</v>
      </c>
      <c r="DH575" s="37">
        <v>0</v>
      </c>
      <c r="DI575" s="37">
        <v>0</v>
      </c>
      <c r="DJ575" s="37">
        <v>0</v>
      </c>
      <c r="DK575" s="37">
        <v>0</v>
      </c>
      <c r="DL575" s="37">
        <v>0</v>
      </c>
      <c r="DM575" s="37">
        <v>0</v>
      </c>
      <c r="DN575" s="37">
        <v>0</v>
      </c>
      <c r="DO575" s="37">
        <v>0</v>
      </c>
      <c r="DP575" s="37">
        <v>0</v>
      </c>
      <c r="DQ575" s="37">
        <v>0</v>
      </c>
      <c r="DR575" s="37">
        <v>0</v>
      </c>
      <c r="DS575" s="37">
        <v>0</v>
      </c>
      <c r="DT575" s="37">
        <v>0</v>
      </c>
      <c r="DU575" s="37">
        <v>0</v>
      </c>
      <c r="DV575" s="37">
        <v>0</v>
      </c>
      <c r="DW575" s="37">
        <v>0</v>
      </c>
      <c r="DX575" s="37">
        <v>0</v>
      </c>
      <c r="DY575" s="37">
        <v>0</v>
      </c>
      <c r="DZ575" s="37">
        <v>0</v>
      </c>
      <c r="EA575" s="37">
        <v>0</v>
      </c>
      <c r="EB575" s="37">
        <v>0</v>
      </c>
      <c r="EC575" s="37">
        <v>0</v>
      </c>
      <c r="ED575" s="37">
        <v>0</v>
      </c>
      <c r="EE575" s="37">
        <v>0</v>
      </c>
      <c r="EF575" s="37">
        <v>0</v>
      </c>
      <c r="EG575" s="37">
        <v>0</v>
      </c>
      <c r="EH575" s="37">
        <v>0</v>
      </c>
      <c r="EI575" s="37">
        <v>0</v>
      </c>
      <c r="EJ575" s="37">
        <v>0</v>
      </c>
      <c r="EK575" s="161" t="s">
        <v>2631</v>
      </c>
      <c r="EL575" s="294" t="s">
        <v>1124</v>
      </c>
    </row>
    <row r="576" spans="1:142" ht="15" customHeight="1" x14ac:dyDescent="0.35">
      <c r="A576" s="34"/>
      <c r="B576" s="313">
        <v>12015</v>
      </c>
      <c r="C576" s="8" t="s">
        <v>30</v>
      </c>
      <c r="D576" s="18">
        <v>1</v>
      </c>
      <c r="E576" s="155">
        <v>151219</v>
      </c>
      <c r="F576" s="36">
        <v>204964</v>
      </c>
      <c r="G576" s="37">
        <v>26505</v>
      </c>
      <c r="H576" s="37">
        <v>6128</v>
      </c>
      <c r="I576" s="37">
        <v>175100</v>
      </c>
      <c r="J576" s="37">
        <v>474500</v>
      </c>
      <c r="K576" s="37">
        <v>22683</v>
      </c>
      <c r="L576" s="37">
        <v>30745</v>
      </c>
      <c r="M576" s="37">
        <v>375507</v>
      </c>
      <c r="N576" s="37">
        <v>716337</v>
      </c>
      <c r="O576" s="37">
        <v>0</v>
      </c>
      <c r="P576" s="37">
        <v>0</v>
      </c>
      <c r="Q576" s="37">
        <v>160413</v>
      </c>
      <c r="R576" s="37">
        <v>207505</v>
      </c>
      <c r="S576" s="37">
        <v>0</v>
      </c>
      <c r="T576" s="37">
        <v>0</v>
      </c>
      <c r="U576" s="37">
        <v>13065</v>
      </c>
      <c r="V576" s="37">
        <v>25771</v>
      </c>
      <c r="W576" s="37">
        <v>234408</v>
      </c>
      <c r="X576" s="37">
        <v>234408</v>
      </c>
      <c r="Y576" s="37">
        <v>94009</v>
      </c>
      <c r="Z576" s="37">
        <v>122265</v>
      </c>
      <c r="AA576" s="37">
        <v>501895</v>
      </c>
      <c r="AB576" s="37">
        <v>589949</v>
      </c>
      <c r="AC576" s="37">
        <v>0</v>
      </c>
      <c r="AD576" s="37">
        <v>0</v>
      </c>
      <c r="AE576" s="37">
        <v>183180</v>
      </c>
      <c r="AF576" s="168">
        <v>0.02</v>
      </c>
      <c r="AG576" s="37">
        <v>46006000.990000002</v>
      </c>
      <c r="AH576" s="37">
        <v>441387.8</v>
      </c>
      <c r="AI576" s="37">
        <v>450215.56</v>
      </c>
      <c r="AJ576" s="37">
        <v>459219.87</v>
      </c>
      <c r="AK576" s="37">
        <v>468404.26</v>
      </c>
      <c r="AL576" s="37">
        <v>477772.35</v>
      </c>
      <c r="AM576" s="37">
        <v>487327.8</v>
      </c>
      <c r="AN576" s="37">
        <v>497074.35</v>
      </c>
      <c r="AO576" s="37">
        <v>507015.84</v>
      </c>
      <c r="AP576" s="37">
        <v>517156.16</v>
      </c>
      <c r="AQ576" s="37">
        <v>527499.28</v>
      </c>
      <c r="AR576" s="37">
        <v>4833073.2699999996</v>
      </c>
      <c r="AS576" s="37">
        <v>0</v>
      </c>
      <c r="AT576" s="37">
        <v>681499.74</v>
      </c>
      <c r="AU576" s="37">
        <v>0</v>
      </c>
      <c r="AV576" s="37">
        <v>0</v>
      </c>
      <c r="AW576" s="37">
        <v>0</v>
      </c>
      <c r="AX576" s="37">
        <v>0</v>
      </c>
      <c r="AY576" s="37">
        <v>172302.85</v>
      </c>
      <c r="AZ576" s="37">
        <v>175748.91</v>
      </c>
      <c r="BA576" s="37">
        <v>179263.89</v>
      </c>
      <c r="BB576" s="37">
        <v>0</v>
      </c>
      <c r="BC576" s="37">
        <v>0</v>
      </c>
      <c r="BD576" s="37">
        <v>1208815.3900000001</v>
      </c>
      <c r="BE576" s="37">
        <v>0</v>
      </c>
      <c r="BF576" s="37">
        <v>0</v>
      </c>
      <c r="BG576" s="37">
        <v>0</v>
      </c>
      <c r="BH576" s="37">
        <v>0</v>
      </c>
      <c r="BI576" s="37">
        <v>0</v>
      </c>
      <c r="BJ576" s="37">
        <v>0</v>
      </c>
      <c r="BK576" s="37">
        <v>0</v>
      </c>
      <c r="BL576" s="37">
        <v>0</v>
      </c>
      <c r="BM576" s="37">
        <v>0</v>
      </c>
      <c r="BN576" s="37">
        <v>0</v>
      </c>
      <c r="BO576" s="37">
        <v>0</v>
      </c>
      <c r="BP576" s="37">
        <v>0</v>
      </c>
      <c r="BQ576" s="37">
        <v>0</v>
      </c>
      <c r="BR576" s="37">
        <v>0</v>
      </c>
      <c r="BS576" s="37">
        <v>0</v>
      </c>
      <c r="BT576" s="37">
        <v>0</v>
      </c>
      <c r="BU576" s="37">
        <v>0</v>
      </c>
      <c r="BV576" s="37">
        <v>0</v>
      </c>
      <c r="BW576" s="37">
        <v>0</v>
      </c>
      <c r="BX576" s="37">
        <v>0</v>
      </c>
      <c r="BY576" s="37">
        <v>0</v>
      </c>
      <c r="BZ576" s="37">
        <v>0</v>
      </c>
      <c r="CA576" s="37">
        <v>0</v>
      </c>
      <c r="CB576" s="37">
        <v>0</v>
      </c>
      <c r="CC576" s="37">
        <v>0</v>
      </c>
      <c r="CD576" s="37">
        <v>0</v>
      </c>
      <c r="CE576" s="37">
        <v>0</v>
      </c>
      <c r="CF576" s="37">
        <v>0</v>
      </c>
      <c r="CG576" s="37">
        <v>0</v>
      </c>
      <c r="CH576" s="37">
        <v>0</v>
      </c>
      <c r="CI576" s="37">
        <v>0</v>
      </c>
      <c r="CJ576" s="37">
        <v>0</v>
      </c>
      <c r="CK576" s="37">
        <v>0</v>
      </c>
      <c r="CL576" s="37">
        <v>0</v>
      </c>
      <c r="CM576" s="37">
        <v>0</v>
      </c>
      <c r="CN576" s="37">
        <v>0</v>
      </c>
      <c r="CO576" s="37">
        <v>0</v>
      </c>
      <c r="CP576" s="37">
        <v>0</v>
      </c>
      <c r="CQ576" s="37">
        <v>0</v>
      </c>
      <c r="CR576" s="37">
        <v>0</v>
      </c>
      <c r="CS576" s="37">
        <v>0</v>
      </c>
      <c r="CT576" s="37">
        <v>0</v>
      </c>
      <c r="CU576" s="37">
        <v>0</v>
      </c>
      <c r="CV576" s="37">
        <v>0</v>
      </c>
      <c r="CW576" s="37">
        <v>0</v>
      </c>
      <c r="CX576" s="37">
        <v>0</v>
      </c>
      <c r="CY576" s="37">
        <v>0</v>
      </c>
      <c r="CZ576" s="37">
        <v>0</v>
      </c>
      <c r="DA576" s="37">
        <v>0</v>
      </c>
      <c r="DB576" s="37">
        <v>0</v>
      </c>
      <c r="DC576" s="37">
        <v>150000</v>
      </c>
      <c r="DD576" s="37">
        <v>0</v>
      </c>
      <c r="DE576" s="37">
        <v>0</v>
      </c>
      <c r="DF576" s="37">
        <v>0</v>
      </c>
      <c r="DG576" s="37">
        <v>0</v>
      </c>
      <c r="DH576" s="37">
        <v>0</v>
      </c>
      <c r="DI576" s="37">
        <v>0</v>
      </c>
      <c r="DJ576" s="37">
        <v>0</v>
      </c>
      <c r="DK576" s="37">
        <v>0</v>
      </c>
      <c r="DL576" s="37">
        <v>150000</v>
      </c>
      <c r="DM576" s="37">
        <v>0</v>
      </c>
      <c r="DN576" s="37">
        <v>0</v>
      </c>
      <c r="DO576" s="37">
        <v>20000</v>
      </c>
      <c r="DP576" s="37">
        <v>0</v>
      </c>
      <c r="DQ576" s="37">
        <v>0</v>
      </c>
      <c r="DR576" s="37">
        <v>0</v>
      </c>
      <c r="DS576" s="37">
        <v>0</v>
      </c>
      <c r="DT576" s="37">
        <v>0</v>
      </c>
      <c r="DU576" s="37">
        <v>0</v>
      </c>
      <c r="DV576" s="37">
        <v>0</v>
      </c>
      <c r="DW576" s="37">
        <v>0</v>
      </c>
      <c r="DX576" s="37">
        <v>20000</v>
      </c>
      <c r="DY576" s="37">
        <v>0</v>
      </c>
      <c r="DZ576" s="37">
        <v>668137</v>
      </c>
      <c r="EA576" s="37">
        <v>0</v>
      </c>
      <c r="EB576" s="37">
        <v>0</v>
      </c>
      <c r="EC576" s="37">
        <v>0</v>
      </c>
      <c r="ED576" s="37">
        <v>0</v>
      </c>
      <c r="EE576" s="37">
        <v>0</v>
      </c>
      <c r="EF576" s="37">
        <v>0</v>
      </c>
      <c r="EG576" s="37">
        <v>0</v>
      </c>
      <c r="EH576" s="37">
        <v>0</v>
      </c>
      <c r="EI576" s="37">
        <v>0</v>
      </c>
      <c r="EJ576" s="37">
        <v>668137</v>
      </c>
      <c r="EK576" s="161" t="s">
        <v>2635</v>
      </c>
      <c r="EL576" s="294" t="s">
        <v>1124</v>
      </c>
    </row>
    <row r="577" spans="1:142" ht="15" customHeight="1" x14ac:dyDescent="0.35">
      <c r="A577" s="34"/>
      <c r="B577" s="313">
        <v>33090</v>
      </c>
      <c r="C577" s="8" t="s">
        <v>280</v>
      </c>
      <c r="D577" s="18">
        <v>12</v>
      </c>
      <c r="E577" s="155">
        <v>575658</v>
      </c>
      <c r="F577" s="36">
        <v>342238</v>
      </c>
      <c r="G577" s="37">
        <v>47962</v>
      </c>
      <c r="H577" s="37">
        <v>76323</v>
      </c>
      <c r="I577" s="37">
        <v>48720</v>
      </c>
      <c r="J577" s="37">
        <v>118650</v>
      </c>
      <c r="K577" s="37">
        <v>86349</v>
      </c>
      <c r="L577" s="37">
        <v>51336</v>
      </c>
      <c r="M577" s="37">
        <v>758689</v>
      </c>
      <c r="N577" s="37">
        <v>588547</v>
      </c>
      <c r="O577" s="37">
        <v>513949</v>
      </c>
      <c r="P577" s="37">
        <v>0</v>
      </c>
      <c r="Q577" s="37">
        <v>316490</v>
      </c>
      <c r="R577" s="37">
        <v>0</v>
      </c>
      <c r="S577" s="37">
        <v>1710</v>
      </c>
      <c r="T577" s="37">
        <v>0</v>
      </c>
      <c r="U577" s="37">
        <v>19424</v>
      </c>
      <c r="V577" s="37">
        <v>15700</v>
      </c>
      <c r="W577" s="37">
        <v>239981.5</v>
      </c>
      <c r="X577" s="37">
        <v>239981.5</v>
      </c>
      <c r="Y577" s="37">
        <v>0</v>
      </c>
      <c r="Z577" s="37">
        <v>0</v>
      </c>
      <c r="AA577" s="37">
        <v>1091554.5</v>
      </c>
      <c r="AB577" s="37">
        <v>255681.5</v>
      </c>
      <c r="AC577" s="37">
        <v>0</v>
      </c>
      <c r="AD577" s="37">
        <v>0</v>
      </c>
      <c r="AE577" s="37">
        <v>0</v>
      </c>
      <c r="AF577" s="168">
        <v>0.02</v>
      </c>
      <c r="AG577" s="37">
        <v>71270251.170000002</v>
      </c>
      <c r="AH577" s="37">
        <v>404612.95</v>
      </c>
      <c r="AI577" s="37">
        <v>412705.21</v>
      </c>
      <c r="AJ577" s="37">
        <v>420959.31</v>
      </c>
      <c r="AK577" s="37">
        <v>429378.5</v>
      </c>
      <c r="AL577" s="37">
        <v>437966.07</v>
      </c>
      <c r="AM577" s="37">
        <v>446725.39</v>
      </c>
      <c r="AN577" s="37">
        <v>455659.9</v>
      </c>
      <c r="AO577" s="37">
        <v>464773.1</v>
      </c>
      <c r="AP577" s="37">
        <v>474068.56</v>
      </c>
      <c r="AQ577" s="37">
        <v>483549.93</v>
      </c>
      <c r="AR577" s="37">
        <v>4430398.92</v>
      </c>
      <c r="AS577" s="37">
        <v>3584230.02</v>
      </c>
      <c r="AT577" s="37">
        <v>2517579.83</v>
      </c>
      <c r="AU577" s="37">
        <v>0</v>
      </c>
      <c r="AV577" s="37">
        <v>0</v>
      </c>
      <c r="AW577" s="37">
        <v>0</v>
      </c>
      <c r="AX577" s="37">
        <v>0</v>
      </c>
      <c r="AY577" s="37">
        <v>0</v>
      </c>
      <c r="AZ577" s="37">
        <v>0</v>
      </c>
      <c r="BA577" s="37">
        <v>0</v>
      </c>
      <c r="BB577" s="37">
        <v>0</v>
      </c>
      <c r="BC577" s="37">
        <v>0</v>
      </c>
      <c r="BD577" s="37">
        <v>2517579.83</v>
      </c>
      <c r="BE577" s="37">
        <v>0</v>
      </c>
      <c r="BF577" s="37">
        <v>1417574</v>
      </c>
      <c r="BG577" s="37">
        <v>493643</v>
      </c>
      <c r="BH577" s="37">
        <v>493643</v>
      </c>
      <c r="BI577" s="37">
        <v>493643</v>
      </c>
      <c r="BJ577" s="37">
        <v>493643</v>
      </c>
      <c r="BK577" s="37">
        <v>0</v>
      </c>
      <c r="BL577" s="37">
        <v>0</v>
      </c>
      <c r="BM577" s="37">
        <v>0</v>
      </c>
      <c r="BN577" s="37">
        <v>0</v>
      </c>
      <c r="BO577" s="37">
        <v>0</v>
      </c>
      <c r="BP577" s="37">
        <v>3392146</v>
      </c>
      <c r="BQ577" s="37">
        <v>2428185</v>
      </c>
      <c r="BR577" s="37">
        <v>0</v>
      </c>
      <c r="BS577" s="37">
        <v>0</v>
      </c>
      <c r="BT577" s="37">
        <v>0</v>
      </c>
      <c r="BU577" s="37">
        <v>0</v>
      </c>
      <c r="BV577" s="37">
        <v>0</v>
      </c>
      <c r="BW577" s="37">
        <v>0</v>
      </c>
      <c r="BX577" s="37">
        <v>0</v>
      </c>
      <c r="BY577" s="37">
        <v>0</v>
      </c>
      <c r="BZ577" s="37">
        <v>0</v>
      </c>
      <c r="CA577" s="37">
        <v>0</v>
      </c>
      <c r="CB577" s="37">
        <v>0</v>
      </c>
      <c r="CC577" s="37">
        <v>852010</v>
      </c>
      <c r="CD577" s="37">
        <v>869050</v>
      </c>
      <c r="CE577" s="37">
        <v>886431</v>
      </c>
      <c r="CF577" s="37">
        <v>904160</v>
      </c>
      <c r="CG577" s="37">
        <v>922243</v>
      </c>
      <c r="CH577" s="37">
        <v>940688</v>
      </c>
      <c r="CI577" s="37">
        <v>0</v>
      </c>
      <c r="CJ577" s="37">
        <v>0</v>
      </c>
      <c r="CK577" s="37">
        <v>0</v>
      </c>
      <c r="CL577" s="37">
        <v>0</v>
      </c>
      <c r="CM577" s="37">
        <v>0</v>
      </c>
      <c r="CN577" s="37">
        <v>4522572</v>
      </c>
      <c r="CO577" s="37">
        <v>0</v>
      </c>
      <c r="CP577" s="37">
        <v>0</v>
      </c>
      <c r="CQ577" s="37">
        <v>0</v>
      </c>
      <c r="CR577" s="37">
        <v>0</v>
      </c>
      <c r="CS577" s="37">
        <v>0</v>
      </c>
      <c r="CT577" s="37">
        <v>0</v>
      </c>
      <c r="CU577" s="37">
        <v>0</v>
      </c>
      <c r="CV577" s="37">
        <v>0</v>
      </c>
      <c r="CW577" s="37">
        <v>0</v>
      </c>
      <c r="CX577" s="37">
        <v>0</v>
      </c>
      <c r="CY577" s="37">
        <v>0</v>
      </c>
      <c r="CZ577" s="37">
        <v>0</v>
      </c>
      <c r="DA577" s="37">
        <v>2210600</v>
      </c>
      <c r="DB577" s="37">
        <v>0</v>
      </c>
      <c r="DC577" s="37">
        <v>0</v>
      </c>
      <c r="DD577" s="37">
        <v>0</v>
      </c>
      <c r="DE577" s="37">
        <v>0</v>
      </c>
      <c r="DF577" s="37">
        <v>0</v>
      </c>
      <c r="DG577" s="37">
        <v>0</v>
      </c>
      <c r="DH577" s="37">
        <v>0</v>
      </c>
      <c r="DI577" s="37">
        <v>0</v>
      </c>
      <c r="DJ577" s="37">
        <v>0</v>
      </c>
      <c r="DK577" s="37">
        <v>0</v>
      </c>
      <c r="DL577" s="37">
        <v>0</v>
      </c>
      <c r="DM577" s="37">
        <v>0</v>
      </c>
      <c r="DN577" s="37">
        <v>0</v>
      </c>
      <c r="DO577" s="37">
        <v>0</v>
      </c>
      <c r="DP577" s="37">
        <v>0</v>
      </c>
      <c r="DQ577" s="37">
        <v>0</v>
      </c>
      <c r="DR577" s="37">
        <v>0</v>
      </c>
      <c r="DS577" s="37">
        <v>0</v>
      </c>
      <c r="DT577" s="37">
        <v>0</v>
      </c>
      <c r="DU577" s="37">
        <v>0</v>
      </c>
      <c r="DV577" s="37">
        <v>0</v>
      </c>
      <c r="DW577" s="37">
        <v>0</v>
      </c>
      <c r="DX577" s="37">
        <v>0</v>
      </c>
      <c r="DY577" s="37">
        <v>125750.13</v>
      </c>
      <c r="DZ577" s="37">
        <v>0</v>
      </c>
      <c r="EA577" s="37">
        <v>0</v>
      </c>
      <c r="EB577" s="37">
        <v>0</v>
      </c>
      <c r="EC577" s="37">
        <v>0</v>
      </c>
      <c r="ED577" s="37">
        <v>0</v>
      </c>
      <c r="EE577" s="37">
        <v>0</v>
      </c>
      <c r="EF577" s="37">
        <v>0</v>
      </c>
      <c r="EG577" s="37">
        <v>0</v>
      </c>
      <c r="EH577" s="37">
        <v>0</v>
      </c>
      <c r="EI577" s="37">
        <v>0</v>
      </c>
      <c r="EJ577" s="37">
        <v>0</v>
      </c>
      <c r="EK577" s="161" t="s">
        <v>2638</v>
      </c>
      <c r="EL577" s="294" t="s">
        <v>1124</v>
      </c>
    </row>
    <row r="578" spans="1:142" ht="15" customHeight="1" x14ac:dyDescent="0.35">
      <c r="A578" s="34"/>
      <c r="B578" s="313">
        <v>46017</v>
      </c>
      <c r="C578" s="8" t="s">
        <v>429</v>
      </c>
      <c r="D578" s="18">
        <v>5</v>
      </c>
      <c r="E578" s="155"/>
      <c r="F578" s="36"/>
      <c r="G578" s="37"/>
      <c r="H578" s="37"/>
      <c r="I578" s="37"/>
      <c r="J578" s="37"/>
      <c r="K578" s="37"/>
      <c r="L578" s="37"/>
      <c r="M578" s="37" t="s">
        <v>1124</v>
      </c>
      <c r="N578" s="37" t="s">
        <v>1124</v>
      </c>
      <c r="O578" s="37"/>
      <c r="P578" s="37"/>
      <c r="Q578" s="37"/>
      <c r="R578" s="37"/>
      <c r="S578" s="37"/>
      <c r="T578" s="37"/>
      <c r="U578" s="37"/>
      <c r="V578" s="37"/>
      <c r="W578" s="37"/>
      <c r="X578" s="37"/>
      <c r="Y578" s="37"/>
      <c r="Z578" s="37"/>
      <c r="AA578" s="37" t="s">
        <v>1124</v>
      </c>
      <c r="AB578" s="37" t="s">
        <v>1124</v>
      </c>
      <c r="AC578" s="37"/>
      <c r="AD578" s="37"/>
      <c r="AE578" s="37"/>
      <c r="AF578" s="168"/>
      <c r="AG578" s="37"/>
      <c r="AH578" s="37"/>
      <c r="AI578" s="37"/>
      <c r="AJ578" s="37"/>
      <c r="AK578" s="37"/>
      <c r="AL578" s="37"/>
      <c r="AM578" s="37"/>
      <c r="AN578" s="37"/>
      <c r="AO578" s="37"/>
      <c r="AP578" s="37"/>
      <c r="AQ578" s="37"/>
      <c r="AR578" s="37" t="s">
        <v>1124</v>
      </c>
      <c r="AS578" s="37"/>
      <c r="AT578" s="37"/>
      <c r="AU578" s="37"/>
      <c r="AV578" s="37"/>
      <c r="AW578" s="37"/>
      <c r="AX578" s="37"/>
      <c r="AY578" s="37"/>
      <c r="AZ578" s="37"/>
      <c r="BA578" s="37"/>
      <c r="BB578" s="37"/>
      <c r="BC578" s="37"/>
      <c r="BD578" s="37" t="s">
        <v>1124</v>
      </c>
      <c r="BE578" s="37"/>
      <c r="BF578" s="37"/>
      <c r="BG578" s="37"/>
      <c r="BH578" s="37"/>
      <c r="BI578" s="37"/>
      <c r="BJ578" s="37"/>
      <c r="BK578" s="37"/>
      <c r="BL578" s="37"/>
      <c r="BM578" s="37"/>
      <c r="BN578" s="37"/>
      <c r="BO578" s="37"/>
      <c r="BP578" s="37">
        <v>0</v>
      </c>
      <c r="BQ578" s="37"/>
      <c r="BR578" s="37"/>
      <c r="BS578" s="37"/>
      <c r="BT578" s="37"/>
      <c r="BU578" s="37"/>
      <c r="BV578" s="37"/>
      <c r="BW578" s="37"/>
      <c r="BX578" s="37"/>
      <c r="BY578" s="37"/>
      <c r="BZ578" s="37"/>
      <c r="CA578" s="37"/>
      <c r="CB578" s="37" t="s">
        <v>1124</v>
      </c>
      <c r="CC578" s="37"/>
      <c r="CD578" s="37"/>
      <c r="CE578" s="37"/>
      <c r="CF578" s="37"/>
      <c r="CG578" s="37"/>
      <c r="CH578" s="37"/>
      <c r="CI578" s="37"/>
      <c r="CJ578" s="37"/>
      <c r="CK578" s="37"/>
      <c r="CL578" s="37"/>
      <c r="CM578" s="37"/>
      <c r="CN578" s="37" t="s">
        <v>1124</v>
      </c>
      <c r="CO578" s="37"/>
      <c r="CP578" s="37"/>
      <c r="CQ578" s="37"/>
      <c r="CR578" s="37"/>
      <c r="CS578" s="37"/>
      <c r="CT578" s="37"/>
      <c r="CU578" s="37"/>
      <c r="CV578" s="37"/>
      <c r="CW578" s="37"/>
      <c r="CX578" s="37"/>
      <c r="CY578" s="37"/>
      <c r="CZ578" s="37" t="s">
        <v>1124</v>
      </c>
      <c r="DA578" s="37"/>
      <c r="DB578" s="37"/>
      <c r="DC578" s="37"/>
      <c r="DD578" s="37"/>
      <c r="DE578" s="37"/>
      <c r="DF578" s="37"/>
      <c r="DG578" s="37"/>
      <c r="DH578" s="37"/>
      <c r="DI578" s="37"/>
      <c r="DJ578" s="37"/>
      <c r="DK578" s="37"/>
      <c r="DL578" s="37" t="s">
        <v>1124</v>
      </c>
      <c r="DM578" s="37"/>
      <c r="DN578" s="37"/>
      <c r="DO578" s="37"/>
      <c r="DP578" s="37"/>
      <c r="DQ578" s="37"/>
      <c r="DR578" s="37"/>
      <c r="DS578" s="37"/>
      <c r="DT578" s="37"/>
      <c r="DU578" s="37"/>
      <c r="DV578" s="37"/>
      <c r="DW578" s="37"/>
      <c r="DX578" s="37" t="s">
        <v>1124</v>
      </c>
      <c r="DY578" s="37"/>
      <c r="DZ578" s="37"/>
      <c r="EA578" s="37"/>
      <c r="EB578" s="37"/>
      <c r="EC578" s="37"/>
      <c r="ED578" s="37"/>
      <c r="EE578" s="37"/>
      <c r="EF578" s="37"/>
      <c r="EG578" s="37"/>
      <c r="EH578" s="37"/>
      <c r="EI578" s="37"/>
      <c r="EJ578" s="37" t="s">
        <v>1124</v>
      </c>
      <c r="EK578" s="161"/>
      <c r="EL578" s="294"/>
    </row>
    <row r="579" spans="1:142" ht="15" customHeight="1" x14ac:dyDescent="0.35">
      <c r="A579" s="34"/>
      <c r="B579" s="313">
        <v>12065</v>
      </c>
      <c r="C579" s="8" t="s">
        <v>38</v>
      </c>
      <c r="D579" s="18">
        <v>1</v>
      </c>
      <c r="E579" s="155">
        <v>13031</v>
      </c>
      <c r="F579" s="36">
        <v>29188</v>
      </c>
      <c r="G579" s="37">
        <v>5488</v>
      </c>
      <c r="H579" s="37">
        <v>0</v>
      </c>
      <c r="I579" s="37">
        <v>28900</v>
      </c>
      <c r="J579" s="37">
        <v>0</v>
      </c>
      <c r="K579" s="37">
        <v>13030</v>
      </c>
      <c r="L579" s="37">
        <v>4378</v>
      </c>
      <c r="M579" s="37">
        <v>60449</v>
      </c>
      <c r="N579" s="37">
        <v>33566</v>
      </c>
      <c r="O579" s="37">
        <v>15259</v>
      </c>
      <c r="P579" s="37">
        <v>0</v>
      </c>
      <c r="Q579" s="37">
        <v>67078</v>
      </c>
      <c r="R579" s="37">
        <v>58464</v>
      </c>
      <c r="S579" s="37">
        <v>4877</v>
      </c>
      <c r="T579" s="37">
        <v>0</v>
      </c>
      <c r="U579" s="37">
        <v>0</v>
      </c>
      <c r="V579" s="37">
        <v>0</v>
      </c>
      <c r="W579" s="37">
        <v>0</v>
      </c>
      <c r="X579" s="37">
        <v>0</v>
      </c>
      <c r="Y579" s="37">
        <v>0</v>
      </c>
      <c r="Z579" s="37">
        <v>0</v>
      </c>
      <c r="AA579" s="37">
        <v>87214</v>
      </c>
      <c r="AB579" s="37">
        <v>58464</v>
      </c>
      <c r="AC579" s="37">
        <v>51663</v>
      </c>
      <c r="AD579" s="37">
        <v>38298</v>
      </c>
      <c r="AE579" s="37">
        <v>38298</v>
      </c>
      <c r="AF579" s="168">
        <v>0.02</v>
      </c>
      <c r="AG579" s="37">
        <v>15734331.300000001</v>
      </c>
      <c r="AH579" s="37">
        <v>138193.99</v>
      </c>
      <c r="AI579" s="37">
        <v>140957.87</v>
      </c>
      <c r="AJ579" s="37">
        <v>143777.01999999999</v>
      </c>
      <c r="AK579" s="37">
        <v>146652.56</v>
      </c>
      <c r="AL579" s="37">
        <v>149585.62</v>
      </c>
      <c r="AM579" s="37">
        <v>152577.32999999999</v>
      </c>
      <c r="AN579" s="37">
        <v>155628.87</v>
      </c>
      <c r="AO579" s="37">
        <v>158741.45000000001</v>
      </c>
      <c r="AP579" s="37">
        <v>161916.28</v>
      </c>
      <c r="AQ579" s="37">
        <v>165154.60999999999</v>
      </c>
      <c r="AR579" s="37">
        <v>1513185.5999999999</v>
      </c>
      <c r="AS579" s="37">
        <v>1157455.3999999999</v>
      </c>
      <c r="AT579" s="37">
        <v>0</v>
      </c>
      <c r="AU579" s="37">
        <v>0</v>
      </c>
      <c r="AV579" s="37">
        <v>0</v>
      </c>
      <c r="AW579" s="37">
        <v>0</v>
      </c>
      <c r="AX579" s="37">
        <v>0</v>
      </c>
      <c r="AY579" s="37">
        <v>0</v>
      </c>
      <c r="AZ579" s="37">
        <v>0</v>
      </c>
      <c r="BA579" s="37">
        <v>0</v>
      </c>
      <c r="BB579" s="37">
        <v>0</v>
      </c>
      <c r="BC579" s="37">
        <v>0</v>
      </c>
      <c r="BD579" s="37">
        <v>0</v>
      </c>
      <c r="BE579" s="37">
        <v>173032</v>
      </c>
      <c r="BF579" s="37">
        <v>448950</v>
      </c>
      <c r="BG579" s="37">
        <v>0</v>
      </c>
      <c r="BH579" s="37">
        <v>0</v>
      </c>
      <c r="BI579" s="37">
        <v>0</v>
      </c>
      <c r="BJ579" s="37">
        <v>0</v>
      </c>
      <c r="BK579" s="37">
        <v>0</v>
      </c>
      <c r="BL579" s="37">
        <v>0</v>
      </c>
      <c r="BM579" s="37">
        <v>0</v>
      </c>
      <c r="BN579" s="37">
        <v>0</v>
      </c>
      <c r="BO579" s="37">
        <v>0</v>
      </c>
      <c r="BP579" s="37">
        <v>448950</v>
      </c>
      <c r="BQ579" s="37">
        <v>0</v>
      </c>
      <c r="BR579" s="37">
        <v>204800</v>
      </c>
      <c r="BS579" s="37">
        <v>0</v>
      </c>
      <c r="BT579" s="37">
        <v>0</v>
      </c>
      <c r="BU579" s="37">
        <v>0</v>
      </c>
      <c r="BV579" s="37">
        <v>0</v>
      </c>
      <c r="BW579" s="37">
        <v>0</v>
      </c>
      <c r="BX579" s="37">
        <v>0</v>
      </c>
      <c r="BY579" s="37">
        <v>0</v>
      </c>
      <c r="BZ579" s="37">
        <v>0</v>
      </c>
      <c r="CA579" s="37">
        <v>0</v>
      </c>
      <c r="CB579" s="37">
        <v>204800</v>
      </c>
      <c r="CC579" s="37">
        <v>21545</v>
      </c>
      <c r="CD579" s="37">
        <v>0</v>
      </c>
      <c r="CE579" s="37">
        <v>0</v>
      </c>
      <c r="CF579" s="37">
        <v>0</v>
      </c>
      <c r="CG579" s="37">
        <v>0</v>
      </c>
      <c r="CH579" s="37">
        <v>0</v>
      </c>
      <c r="CI579" s="37">
        <v>0</v>
      </c>
      <c r="CJ579" s="37">
        <v>0</v>
      </c>
      <c r="CK579" s="37">
        <v>0</v>
      </c>
      <c r="CL579" s="37">
        <v>0</v>
      </c>
      <c r="CM579" s="37">
        <v>0</v>
      </c>
      <c r="CN579" s="37">
        <v>0</v>
      </c>
      <c r="CO579" s="37">
        <v>0</v>
      </c>
      <c r="CP579" s="37">
        <v>0</v>
      </c>
      <c r="CQ579" s="37">
        <v>0</v>
      </c>
      <c r="CR579" s="37">
        <v>0</v>
      </c>
      <c r="CS579" s="37">
        <v>0</v>
      </c>
      <c r="CT579" s="37">
        <v>0</v>
      </c>
      <c r="CU579" s="37">
        <v>0</v>
      </c>
      <c r="CV579" s="37">
        <v>0</v>
      </c>
      <c r="CW579" s="37">
        <v>0</v>
      </c>
      <c r="CX579" s="37">
        <v>0</v>
      </c>
      <c r="CY579" s="37">
        <v>0</v>
      </c>
      <c r="CZ579" s="37">
        <v>0</v>
      </c>
      <c r="DA579" s="37">
        <v>0</v>
      </c>
      <c r="DB579" s="37">
        <v>0</v>
      </c>
      <c r="DC579" s="37">
        <v>0</v>
      </c>
      <c r="DD579" s="37">
        <v>0</v>
      </c>
      <c r="DE579" s="37">
        <v>0</v>
      </c>
      <c r="DF579" s="37">
        <v>0</v>
      </c>
      <c r="DG579" s="37">
        <v>0</v>
      </c>
      <c r="DH579" s="37">
        <v>0</v>
      </c>
      <c r="DI579" s="37">
        <v>0</v>
      </c>
      <c r="DJ579" s="37">
        <v>0</v>
      </c>
      <c r="DK579" s="37">
        <v>0</v>
      </c>
      <c r="DL579" s="37">
        <v>0</v>
      </c>
      <c r="DM579" s="37">
        <v>0</v>
      </c>
      <c r="DN579" s="37">
        <v>0</v>
      </c>
      <c r="DO579" s="37">
        <v>0</v>
      </c>
      <c r="DP579" s="37">
        <v>0</v>
      </c>
      <c r="DQ579" s="37">
        <v>0</v>
      </c>
      <c r="DR579" s="37">
        <v>0</v>
      </c>
      <c r="DS579" s="37">
        <v>0</v>
      </c>
      <c r="DT579" s="37">
        <v>0</v>
      </c>
      <c r="DU579" s="37">
        <v>0</v>
      </c>
      <c r="DV579" s="37">
        <v>0</v>
      </c>
      <c r="DW579" s="37">
        <v>0</v>
      </c>
      <c r="DX579" s="37">
        <v>0</v>
      </c>
      <c r="DY579" s="37">
        <v>0</v>
      </c>
      <c r="DZ579" s="37">
        <v>0</v>
      </c>
      <c r="EA579" s="37">
        <v>0</v>
      </c>
      <c r="EB579" s="37">
        <v>0</v>
      </c>
      <c r="EC579" s="37">
        <v>0</v>
      </c>
      <c r="ED579" s="37">
        <v>0</v>
      </c>
      <c r="EE579" s="37">
        <v>0</v>
      </c>
      <c r="EF579" s="37">
        <v>0</v>
      </c>
      <c r="EG579" s="37">
        <v>0</v>
      </c>
      <c r="EH579" s="37">
        <v>0</v>
      </c>
      <c r="EI579" s="37">
        <v>0</v>
      </c>
      <c r="EJ579" s="37">
        <v>0</v>
      </c>
      <c r="EK579" s="161" t="s">
        <v>2641</v>
      </c>
      <c r="EL579" s="294" t="s">
        <v>1124</v>
      </c>
    </row>
    <row r="580" spans="1:142" ht="15" customHeight="1" x14ac:dyDescent="0.35">
      <c r="A580" s="34"/>
      <c r="B580" s="313">
        <v>13100</v>
      </c>
      <c r="C580" s="8" t="s">
        <v>59</v>
      </c>
      <c r="D580" s="18">
        <v>1</v>
      </c>
      <c r="E580" s="155"/>
      <c r="F580" s="36"/>
      <c r="G580" s="37"/>
      <c r="H580" s="37"/>
      <c r="I580" s="37"/>
      <c r="J580" s="37"/>
      <c r="K580" s="37"/>
      <c r="L580" s="37"/>
      <c r="M580" s="37" t="s">
        <v>1124</v>
      </c>
      <c r="N580" s="37" t="s">
        <v>1124</v>
      </c>
      <c r="O580" s="37"/>
      <c r="P580" s="37"/>
      <c r="Q580" s="37"/>
      <c r="R580" s="37"/>
      <c r="S580" s="37"/>
      <c r="T580" s="37"/>
      <c r="U580" s="37"/>
      <c r="V580" s="37"/>
      <c r="W580" s="37"/>
      <c r="X580" s="37"/>
      <c r="Y580" s="37"/>
      <c r="Z580" s="37"/>
      <c r="AA580" s="37" t="s">
        <v>1124</v>
      </c>
      <c r="AB580" s="37" t="s">
        <v>1124</v>
      </c>
      <c r="AC580" s="37"/>
      <c r="AD580" s="37"/>
      <c r="AE580" s="37"/>
      <c r="AF580" s="168"/>
      <c r="AG580" s="37"/>
      <c r="AH580" s="37"/>
      <c r="AI580" s="37"/>
      <c r="AJ580" s="37"/>
      <c r="AK580" s="37"/>
      <c r="AL580" s="37"/>
      <c r="AM580" s="37"/>
      <c r="AN580" s="37"/>
      <c r="AO580" s="37"/>
      <c r="AP580" s="37"/>
      <c r="AQ580" s="37"/>
      <c r="AR580" s="37" t="s">
        <v>1124</v>
      </c>
      <c r="AS580" s="37"/>
      <c r="AT580" s="37"/>
      <c r="AU580" s="37"/>
      <c r="AV580" s="37"/>
      <c r="AW580" s="37"/>
      <c r="AX580" s="37"/>
      <c r="AY580" s="37"/>
      <c r="AZ580" s="37"/>
      <c r="BA580" s="37"/>
      <c r="BB580" s="37"/>
      <c r="BC580" s="37"/>
      <c r="BD580" s="37" t="s">
        <v>1124</v>
      </c>
      <c r="BE580" s="37"/>
      <c r="BF580" s="37"/>
      <c r="BG580" s="37"/>
      <c r="BH580" s="37"/>
      <c r="BI580" s="37"/>
      <c r="BJ580" s="37"/>
      <c r="BK580" s="37"/>
      <c r="BL580" s="37"/>
      <c r="BM580" s="37"/>
      <c r="BN580" s="37"/>
      <c r="BO580" s="37"/>
      <c r="BP580" s="37">
        <v>0</v>
      </c>
      <c r="BQ580" s="37"/>
      <c r="BR580" s="37"/>
      <c r="BS580" s="37"/>
      <c r="BT580" s="37"/>
      <c r="BU580" s="37"/>
      <c r="BV580" s="37"/>
      <c r="BW580" s="37"/>
      <c r="BX580" s="37"/>
      <c r="BY580" s="37"/>
      <c r="BZ580" s="37"/>
      <c r="CA580" s="37"/>
      <c r="CB580" s="37" t="s">
        <v>1124</v>
      </c>
      <c r="CC580" s="37"/>
      <c r="CD580" s="37"/>
      <c r="CE580" s="37"/>
      <c r="CF580" s="37"/>
      <c r="CG580" s="37"/>
      <c r="CH580" s="37"/>
      <c r="CI580" s="37"/>
      <c r="CJ580" s="37"/>
      <c r="CK580" s="37"/>
      <c r="CL580" s="37"/>
      <c r="CM580" s="37"/>
      <c r="CN580" s="37" t="s">
        <v>1124</v>
      </c>
      <c r="CO580" s="37"/>
      <c r="CP580" s="37"/>
      <c r="CQ580" s="37"/>
      <c r="CR580" s="37"/>
      <c r="CS580" s="37"/>
      <c r="CT580" s="37"/>
      <c r="CU580" s="37"/>
      <c r="CV580" s="37"/>
      <c r="CW580" s="37"/>
      <c r="CX580" s="37"/>
      <c r="CY580" s="37"/>
      <c r="CZ580" s="37" t="s">
        <v>1124</v>
      </c>
      <c r="DA580" s="37"/>
      <c r="DB580" s="37"/>
      <c r="DC580" s="37"/>
      <c r="DD580" s="37"/>
      <c r="DE580" s="37"/>
      <c r="DF580" s="37"/>
      <c r="DG580" s="37"/>
      <c r="DH580" s="37"/>
      <c r="DI580" s="37"/>
      <c r="DJ580" s="37"/>
      <c r="DK580" s="37"/>
      <c r="DL580" s="37" t="s">
        <v>1124</v>
      </c>
      <c r="DM580" s="37"/>
      <c r="DN580" s="37"/>
      <c r="DO580" s="37"/>
      <c r="DP580" s="37"/>
      <c r="DQ580" s="37"/>
      <c r="DR580" s="37"/>
      <c r="DS580" s="37"/>
      <c r="DT580" s="37"/>
      <c r="DU580" s="37"/>
      <c r="DV580" s="37"/>
      <c r="DW580" s="37"/>
      <c r="DX580" s="37" t="s">
        <v>1124</v>
      </c>
      <c r="DY580" s="37"/>
      <c r="DZ580" s="37"/>
      <c r="EA580" s="37"/>
      <c r="EB580" s="37"/>
      <c r="EC580" s="37"/>
      <c r="ED580" s="37"/>
      <c r="EE580" s="37"/>
      <c r="EF580" s="37"/>
      <c r="EG580" s="37"/>
      <c r="EH580" s="37"/>
      <c r="EI580" s="37"/>
      <c r="EJ580" s="37" t="s">
        <v>1124</v>
      </c>
      <c r="EK580" s="161"/>
      <c r="EL580" s="294"/>
    </row>
    <row r="581" spans="1:142" ht="15" customHeight="1" x14ac:dyDescent="0.35">
      <c r="A581" s="34"/>
      <c r="B581" s="313">
        <v>17055</v>
      </c>
      <c r="C581" s="8" t="s">
        <v>99</v>
      </c>
      <c r="D581" s="18">
        <v>12</v>
      </c>
      <c r="E581" s="155"/>
      <c r="F581" s="36"/>
      <c r="G581" s="37"/>
      <c r="H581" s="37"/>
      <c r="I581" s="37"/>
      <c r="J581" s="37"/>
      <c r="K581" s="37"/>
      <c r="L581" s="37"/>
      <c r="M581" s="37" t="s">
        <v>1124</v>
      </c>
      <c r="N581" s="37" t="s">
        <v>1124</v>
      </c>
      <c r="O581" s="37"/>
      <c r="P581" s="37"/>
      <c r="Q581" s="37"/>
      <c r="R581" s="37"/>
      <c r="S581" s="37"/>
      <c r="T581" s="37"/>
      <c r="U581" s="37"/>
      <c r="V581" s="37"/>
      <c r="W581" s="37"/>
      <c r="X581" s="37"/>
      <c r="Y581" s="37"/>
      <c r="Z581" s="37"/>
      <c r="AA581" s="37" t="s">
        <v>1124</v>
      </c>
      <c r="AB581" s="37" t="s">
        <v>1124</v>
      </c>
      <c r="AC581" s="37"/>
      <c r="AD581" s="37"/>
      <c r="AE581" s="37"/>
      <c r="AF581" s="168"/>
      <c r="AG581" s="37"/>
      <c r="AH581" s="37"/>
      <c r="AI581" s="37"/>
      <c r="AJ581" s="37"/>
      <c r="AK581" s="37"/>
      <c r="AL581" s="37"/>
      <c r="AM581" s="37"/>
      <c r="AN581" s="37"/>
      <c r="AO581" s="37"/>
      <c r="AP581" s="37"/>
      <c r="AQ581" s="37"/>
      <c r="AR581" s="37" t="s">
        <v>1124</v>
      </c>
      <c r="AS581" s="37"/>
      <c r="AT581" s="37"/>
      <c r="AU581" s="37"/>
      <c r="AV581" s="37"/>
      <c r="AW581" s="37"/>
      <c r="AX581" s="37"/>
      <c r="AY581" s="37"/>
      <c r="AZ581" s="37"/>
      <c r="BA581" s="37"/>
      <c r="BB581" s="37"/>
      <c r="BC581" s="37"/>
      <c r="BD581" s="37" t="s">
        <v>1124</v>
      </c>
      <c r="BE581" s="37"/>
      <c r="BF581" s="37"/>
      <c r="BG581" s="37"/>
      <c r="BH581" s="37"/>
      <c r="BI581" s="37"/>
      <c r="BJ581" s="37"/>
      <c r="BK581" s="37"/>
      <c r="BL581" s="37"/>
      <c r="BM581" s="37"/>
      <c r="BN581" s="37"/>
      <c r="BO581" s="37"/>
      <c r="BP581" s="37">
        <v>0</v>
      </c>
      <c r="BQ581" s="37"/>
      <c r="BR581" s="37"/>
      <c r="BS581" s="37"/>
      <c r="BT581" s="37"/>
      <c r="BU581" s="37"/>
      <c r="BV581" s="37"/>
      <c r="BW581" s="37"/>
      <c r="BX581" s="37"/>
      <c r="BY581" s="37"/>
      <c r="BZ581" s="37"/>
      <c r="CA581" s="37"/>
      <c r="CB581" s="37" t="s">
        <v>1124</v>
      </c>
      <c r="CC581" s="37"/>
      <c r="CD581" s="37"/>
      <c r="CE581" s="37"/>
      <c r="CF581" s="37"/>
      <c r="CG581" s="37"/>
      <c r="CH581" s="37"/>
      <c r="CI581" s="37"/>
      <c r="CJ581" s="37"/>
      <c r="CK581" s="37"/>
      <c r="CL581" s="37"/>
      <c r="CM581" s="37"/>
      <c r="CN581" s="37" t="s">
        <v>1124</v>
      </c>
      <c r="CO581" s="37"/>
      <c r="CP581" s="37"/>
      <c r="CQ581" s="37"/>
      <c r="CR581" s="37"/>
      <c r="CS581" s="37"/>
      <c r="CT581" s="37"/>
      <c r="CU581" s="37"/>
      <c r="CV581" s="37"/>
      <c r="CW581" s="37"/>
      <c r="CX581" s="37"/>
      <c r="CY581" s="37"/>
      <c r="CZ581" s="37" t="s">
        <v>1124</v>
      </c>
      <c r="DA581" s="37"/>
      <c r="DB581" s="37"/>
      <c r="DC581" s="37"/>
      <c r="DD581" s="37"/>
      <c r="DE581" s="37"/>
      <c r="DF581" s="37"/>
      <c r="DG581" s="37"/>
      <c r="DH581" s="37"/>
      <c r="DI581" s="37"/>
      <c r="DJ581" s="37"/>
      <c r="DK581" s="37"/>
      <c r="DL581" s="37" t="s">
        <v>1124</v>
      </c>
      <c r="DM581" s="37"/>
      <c r="DN581" s="37"/>
      <c r="DO581" s="37"/>
      <c r="DP581" s="37"/>
      <c r="DQ581" s="37"/>
      <c r="DR581" s="37"/>
      <c r="DS581" s="37"/>
      <c r="DT581" s="37"/>
      <c r="DU581" s="37"/>
      <c r="DV581" s="37"/>
      <c r="DW581" s="37"/>
      <c r="DX581" s="37" t="s">
        <v>1124</v>
      </c>
      <c r="DY581" s="37"/>
      <c r="DZ581" s="37"/>
      <c r="EA581" s="37"/>
      <c r="EB581" s="37"/>
      <c r="EC581" s="37"/>
      <c r="ED581" s="37"/>
      <c r="EE581" s="37"/>
      <c r="EF581" s="37"/>
      <c r="EG581" s="37"/>
      <c r="EH581" s="37"/>
      <c r="EI581" s="37"/>
      <c r="EJ581" s="37" t="s">
        <v>1124</v>
      </c>
      <c r="EK581" s="161"/>
      <c r="EL581" s="294"/>
    </row>
    <row r="582" spans="1:142" ht="15" customHeight="1" x14ac:dyDescent="0.35">
      <c r="A582" s="34"/>
      <c r="B582" s="313">
        <v>92005</v>
      </c>
      <c r="C582" s="8" t="s">
        <v>946</v>
      </c>
      <c r="D582" s="18">
        <v>2</v>
      </c>
      <c r="E582" s="155">
        <v>43559</v>
      </c>
      <c r="F582" s="36">
        <v>3074</v>
      </c>
      <c r="G582" s="37">
        <v>3646</v>
      </c>
      <c r="H582" s="37">
        <v>0</v>
      </c>
      <c r="I582" s="37">
        <v>110220</v>
      </c>
      <c r="J582" s="37">
        <v>0</v>
      </c>
      <c r="K582" s="37">
        <v>2177.9500000000003</v>
      </c>
      <c r="L582" s="37">
        <v>153.70000000000002</v>
      </c>
      <c r="M582" s="37">
        <v>159602.95000000001</v>
      </c>
      <c r="N582" s="37">
        <v>3227.7</v>
      </c>
      <c r="O582" s="37">
        <v>0</v>
      </c>
      <c r="P582" s="37">
        <v>0</v>
      </c>
      <c r="Q582" s="37">
        <v>54012</v>
      </c>
      <c r="R582" s="37">
        <v>19426</v>
      </c>
      <c r="S582" s="37">
        <v>0</v>
      </c>
      <c r="T582" s="37">
        <v>0</v>
      </c>
      <c r="U582" s="37">
        <v>0</v>
      </c>
      <c r="V582" s="37">
        <v>0</v>
      </c>
      <c r="W582" s="37">
        <v>44697</v>
      </c>
      <c r="X582" s="37">
        <v>44696</v>
      </c>
      <c r="Y582" s="37">
        <v>0</v>
      </c>
      <c r="Z582" s="37">
        <v>0</v>
      </c>
      <c r="AA582" s="37">
        <v>98709</v>
      </c>
      <c r="AB582" s="37">
        <v>64122</v>
      </c>
      <c r="AC582" s="37">
        <v>0.34999999997671694</v>
      </c>
      <c r="AD582" s="37">
        <v>0</v>
      </c>
      <c r="AE582" s="37">
        <v>0</v>
      </c>
      <c r="AF582" s="168">
        <v>0.02</v>
      </c>
      <c r="AG582" s="37">
        <v>11287140.01</v>
      </c>
      <c r="AH582" s="37">
        <v>104629.84</v>
      </c>
      <c r="AI582" s="37">
        <v>106722.44</v>
      </c>
      <c r="AJ582" s="37">
        <v>108856.88</v>
      </c>
      <c r="AK582" s="37">
        <v>111034.02</v>
      </c>
      <c r="AL582" s="37">
        <v>113254.7</v>
      </c>
      <c r="AM582" s="37">
        <v>115519.8</v>
      </c>
      <c r="AN582" s="37">
        <v>117830.19</v>
      </c>
      <c r="AO582" s="37">
        <v>120186.8</v>
      </c>
      <c r="AP582" s="37">
        <v>122590.53</v>
      </c>
      <c r="AQ582" s="37">
        <v>125042.34</v>
      </c>
      <c r="AR582" s="37">
        <v>1145667.54</v>
      </c>
      <c r="AS582" s="37">
        <v>391777.12</v>
      </c>
      <c r="AT582" s="37">
        <v>0</v>
      </c>
      <c r="AU582" s="37">
        <v>0</v>
      </c>
      <c r="AV582" s="37">
        <v>0</v>
      </c>
      <c r="AW582" s="37">
        <v>0</v>
      </c>
      <c r="AX582" s="37">
        <v>0</v>
      </c>
      <c r="AY582" s="37">
        <v>0</v>
      </c>
      <c r="AZ582" s="37">
        <v>0</v>
      </c>
      <c r="BA582" s="37">
        <v>0</v>
      </c>
      <c r="BB582" s="37">
        <v>0</v>
      </c>
      <c r="BC582" s="37">
        <v>0</v>
      </c>
      <c r="BD582" s="37">
        <v>0</v>
      </c>
      <c r="BE582" s="37">
        <v>0</v>
      </c>
      <c r="BF582" s="37">
        <v>27255.192970034856</v>
      </c>
      <c r="BG582" s="37">
        <v>29377.658226821677</v>
      </c>
      <c r="BH582" s="37">
        <v>36165.197508523946</v>
      </c>
      <c r="BI582" s="37">
        <v>42952.751294619564</v>
      </c>
      <c r="BJ582" s="37">
        <v>4665.0740249154251</v>
      </c>
      <c r="BK582" s="37">
        <v>22590.1189451194</v>
      </c>
      <c r="BL582" s="37">
        <v>29377.658226821677</v>
      </c>
      <c r="BM582" s="37">
        <v>36165.197508523946</v>
      </c>
      <c r="BN582" s="37">
        <v>42952.751294619564</v>
      </c>
      <c r="BO582" s="37">
        <v>0</v>
      </c>
      <c r="BP582" s="37">
        <v>271501.60000000003</v>
      </c>
      <c r="BQ582" s="37">
        <v>0</v>
      </c>
      <c r="BR582" s="37">
        <v>0</v>
      </c>
      <c r="BS582" s="37">
        <v>0</v>
      </c>
      <c r="BT582" s="37">
        <v>0</v>
      </c>
      <c r="BU582" s="37">
        <v>0</v>
      </c>
      <c r="BV582" s="37">
        <v>0</v>
      </c>
      <c r="BW582" s="37">
        <v>0</v>
      </c>
      <c r="BX582" s="37">
        <v>0</v>
      </c>
      <c r="BY582" s="37">
        <v>0</v>
      </c>
      <c r="BZ582" s="37">
        <v>0</v>
      </c>
      <c r="CA582" s="37">
        <v>0</v>
      </c>
      <c r="CB582" s="37">
        <v>0</v>
      </c>
      <c r="CC582" s="37">
        <v>0</v>
      </c>
      <c r="CD582" s="37">
        <v>0</v>
      </c>
      <c r="CE582" s="37">
        <v>0</v>
      </c>
      <c r="CF582" s="37">
        <v>0</v>
      </c>
      <c r="CG582" s="37">
        <v>0</v>
      </c>
      <c r="CH582" s="37">
        <v>0</v>
      </c>
      <c r="CI582" s="37">
        <v>0</v>
      </c>
      <c r="CJ582" s="37">
        <v>0</v>
      </c>
      <c r="CK582" s="37">
        <v>0</v>
      </c>
      <c r="CL582" s="37">
        <v>0</v>
      </c>
      <c r="CM582" s="37">
        <v>0</v>
      </c>
      <c r="CN582" s="37">
        <v>0</v>
      </c>
      <c r="CO582" s="37">
        <v>0</v>
      </c>
      <c r="CP582" s="37">
        <v>0</v>
      </c>
      <c r="CQ582" s="37">
        <v>0</v>
      </c>
      <c r="CR582" s="37">
        <v>0</v>
      </c>
      <c r="CS582" s="37">
        <v>0</v>
      </c>
      <c r="CT582" s="37">
        <v>0</v>
      </c>
      <c r="CU582" s="37">
        <v>0</v>
      </c>
      <c r="CV582" s="37">
        <v>0</v>
      </c>
      <c r="CW582" s="37">
        <v>0</v>
      </c>
      <c r="CX582" s="37">
        <v>0</v>
      </c>
      <c r="CY582" s="37">
        <v>0</v>
      </c>
      <c r="CZ582" s="37">
        <v>0</v>
      </c>
      <c r="DA582" s="37">
        <v>0</v>
      </c>
      <c r="DB582" s="37">
        <v>0</v>
      </c>
      <c r="DC582" s="37">
        <v>0</v>
      </c>
      <c r="DD582" s="37">
        <v>0</v>
      </c>
      <c r="DE582" s="37">
        <v>0</v>
      </c>
      <c r="DF582" s="37">
        <v>0</v>
      </c>
      <c r="DG582" s="37">
        <v>0</v>
      </c>
      <c r="DH582" s="37">
        <v>0</v>
      </c>
      <c r="DI582" s="37">
        <v>0</v>
      </c>
      <c r="DJ582" s="37">
        <v>0</v>
      </c>
      <c r="DK582" s="37">
        <v>0</v>
      </c>
      <c r="DL582" s="37">
        <v>0</v>
      </c>
      <c r="DM582" s="37">
        <v>0</v>
      </c>
      <c r="DN582" s="37">
        <v>0</v>
      </c>
      <c r="DO582" s="37">
        <v>0</v>
      </c>
      <c r="DP582" s="37">
        <v>0</v>
      </c>
      <c r="DQ582" s="37">
        <v>0</v>
      </c>
      <c r="DR582" s="37">
        <v>0</v>
      </c>
      <c r="DS582" s="37">
        <v>0</v>
      </c>
      <c r="DT582" s="37">
        <v>0</v>
      </c>
      <c r="DU582" s="37">
        <v>0</v>
      </c>
      <c r="DV582" s="37">
        <v>0</v>
      </c>
      <c r="DW582" s="37">
        <v>0</v>
      </c>
      <c r="DX582" s="37">
        <v>0</v>
      </c>
      <c r="DY582" s="37">
        <v>0</v>
      </c>
      <c r="DZ582" s="37">
        <v>0</v>
      </c>
      <c r="EA582" s="37">
        <v>0</v>
      </c>
      <c r="EB582" s="37">
        <v>0</v>
      </c>
      <c r="EC582" s="37">
        <v>0</v>
      </c>
      <c r="ED582" s="37">
        <v>0</v>
      </c>
      <c r="EE582" s="37">
        <v>0</v>
      </c>
      <c r="EF582" s="37">
        <v>0</v>
      </c>
      <c r="EG582" s="37">
        <v>0</v>
      </c>
      <c r="EH582" s="37">
        <v>0</v>
      </c>
      <c r="EI582" s="37">
        <v>0</v>
      </c>
      <c r="EJ582" s="37">
        <v>0</v>
      </c>
      <c r="EK582" s="161" t="s">
        <v>2644</v>
      </c>
      <c r="EL582" s="294" t="s">
        <v>1124</v>
      </c>
    </row>
    <row r="583" spans="1:142" ht="15" customHeight="1" x14ac:dyDescent="0.35">
      <c r="A583" s="34"/>
      <c r="B583" s="313">
        <v>98012</v>
      </c>
      <c r="C583" s="8" t="s">
        <v>1008</v>
      </c>
      <c r="D583" s="18">
        <v>9</v>
      </c>
      <c r="E583" s="155">
        <v>180485</v>
      </c>
      <c r="F583" s="36">
        <v>27513</v>
      </c>
      <c r="G583" s="37">
        <v>0</v>
      </c>
      <c r="H583" s="37">
        <v>0</v>
      </c>
      <c r="I583" s="37">
        <v>0</v>
      </c>
      <c r="J583" s="37">
        <v>0</v>
      </c>
      <c r="K583" s="37">
        <v>27072.75</v>
      </c>
      <c r="L583" s="37">
        <v>4126.95</v>
      </c>
      <c r="M583" s="37">
        <v>207557.75</v>
      </c>
      <c r="N583" s="37">
        <v>31639.95</v>
      </c>
      <c r="O583" s="37">
        <v>0</v>
      </c>
      <c r="P583" s="37">
        <v>0</v>
      </c>
      <c r="Q583" s="37">
        <v>0</v>
      </c>
      <c r="R583" s="37">
        <v>0</v>
      </c>
      <c r="S583" s="37">
        <v>0</v>
      </c>
      <c r="T583" s="37">
        <v>0</v>
      </c>
      <c r="U583" s="37">
        <v>0</v>
      </c>
      <c r="V583" s="37">
        <v>0</v>
      </c>
      <c r="W583" s="37">
        <v>207558</v>
      </c>
      <c r="X583" s="37">
        <v>31640</v>
      </c>
      <c r="Y583" s="37">
        <v>0</v>
      </c>
      <c r="Z583" s="37">
        <v>0</v>
      </c>
      <c r="AA583" s="37">
        <v>207558</v>
      </c>
      <c r="AB583" s="37">
        <v>31640</v>
      </c>
      <c r="AC583" s="37">
        <v>0.29999999998835847</v>
      </c>
      <c r="AD583" s="37">
        <v>0</v>
      </c>
      <c r="AE583" s="37">
        <v>0</v>
      </c>
      <c r="AF583" s="168">
        <v>0.02</v>
      </c>
      <c r="AG583" s="37">
        <v>21874368.690000001</v>
      </c>
      <c r="AH583" s="37">
        <v>171325.49</v>
      </c>
      <c r="AI583" s="37">
        <v>214183.16</v>
      </c>
      <c r="AJ583" s="37">
        <v>223348.38</v>
      </c>
      <c r="AK583" s="37">
        <v>208872.79</v>
      </c>
      <c r="AL583" s="37">
        <v>185448.23</v>
      </c>
      <c r="AM583" s="37">
        <v>189157.19</v>
      </c>
      <c r="AN583" s="37">
        <v>192940.33</v>
      </c>
      <c r="AO583" s="37">
        <v>196799.14</v>
      </c>
      <c r="AP583" s="37">
        <v>200735.12</v>
      </c>
      <c r="AQ583" s="37">
        <v>204749.83</v>
      </c>
      <c r="AR583" s="37">
        <v>1987559.6599999997</v>
      </c>
      <c r="AS583" s="37">
        <v>0</v>
      </c>
      <c r="AT583" s="37">
        <v>379746</v>
      </c>
      <c r="AU583" s="37">
        <v>0</v>
      </c>
      <c r="AV583" s="37">
        <v>13265.1</v>
      </c>
      <c r="AW583" s="37">
        <v>13530.4</v>
      </c>
      <c r="AX583" s="37">
        <v>0</v>
      </c>
      <c r="AY583" s="37">
        <v>0</v>
      </c>
      <c r="AZ583" s="37">
        <v>0</v>
      </c>
      <c r="BA583" s="37">
        <v>0</v>
      </c>
      <c r="BB583" s="37">
        <v>0</v>
      </c>
      <c r="BC583" s="37">
        <v>0</v>
      </c>
      <c r="BD583" s="37">
        <v>406541.5</v>
      </c>
      <c r="BE583" s="37">
        <v>0</v>
      </c>
      <c r="BF583" s="37">
        <v>0</v>
      </c>
      <c r="BG583" s="37">
        <v>75000</v>
      </c>
      <c r="BH583" s="37">
        <v>75000</v>
      </c>
      <c r="BI583" s="37">
        <v>0</v>
      </c>
      <c r="BJ583" s="37">
        <v>0</v>
      </c>
      <c r="BK583" s="37">
        <v>19572.355137604052</v>
      </c>
      <c r="BL583" s="37">
        <v>94777.02352271034</v>
      </c>
      <c r="BM583" s="37">
        <v>123254.19850908655</v>
      </c>
      <c r="BN583" s="37">
        <v>151731.3734954627</v>
      </c>
      <c r="BO583" s="37">
        <v>180208.6093351364</v>
      </c>
      <c r="BP583" s="37">
        <v>719543.56</v>
      </c>
      <c r="BQ583" s="37">
        <v>0</v>
      </c>
      <c r="BR583" s="37">
        <v>0</v>
      </c>
      <c r="BS583" s="37">
        <v>0</v>
      </c>
      <c r="BT583" s="37">
        <v>0</v>
      </c>
      <c r="BU583" s="37">
        <v>0</v>
      </c>
      <c r="BV583" s="37">
        <v>0</v>
      </c>
      <c r="BW583" s="37">
        <v>0</v>
      </c>
      <c r="BX583" s="37">
        <v>0</v>
      </c>
      <c r="BY583" s="37">
        <v>0</v>
      </c>
      <c r="BZ583" s="37">
        <v>0</v>
      </c>
      <c r="CA583" s="37">
        <v>0</v>
      </c>
      <c r="CB583" s="37">
        <v>0</v>
      </c>
      <c r="CC583" s="37">
        <v>0</v>
      </c>
      <c r="CD583" s="37">
        <v>0</v>
      </c>
      <c r="CE583" s="37">
        <v>0</v>
      </c>
      <c r="CF583" s="37">
        <v>0</v>
      </c>
      <c r="CG583" s="37">
        <v>0</v>
      </c>
      <c r="CH583" s="37">
        <v>0</v>
      </c>
      <c r="CI583" s="37">
        <v>0</v>
      </c>
      <c r="CJ583" s="37">
        <v>0</v>
      </c>
      <c r="CK583" s="37">
        <v>0</v>
      </c>
      <c r="CL583" s="37">
        <v>0</v>
      </c>
      <c r="CM583" s="37">
        <v>0</v>
      </c>
      <c r="CN583" s="37">
        <v>0</v>
      </c>
      <c r="CO583" s="37">
        <v>0</v>
      </c>
      <c r="CP583" s="37">
        <v>300000</v>
      </c>
      <c r="CQ583" s="37">
        <v>0</v>
      </c>
      <c r="CR583" s="37">
        <v>0</v>
      </c>
      <c r="CS583" s="37">
        <v>0</v>
      </c>
      <c r="CT583" s="37">
        <v>0</v>
      </c>
      <c r="CU583" s="37">
        <v>0</v>
      </c>
      <c r="CV583" s="37">
        <v>0</v>
      </c>
      <c r="CW583" s="37">
        <v>0</v>
      </c>
      <c r="CX583" s="37">
        <v>0</v>
      </c>
      <c r="CY583" s="37">
        <v>0</v>
      </c>
      <c r="CZ583" s="37">
        <v>300000</v>
      </c>
      <c r="DA583" s="37">
        <v>0</v>
      </c>
      <c r="DB583" s="37">
        <v>0</v>
      </c>
      <c r="DC583" s="37">
        <v>0</v>
      </c>
      <c r="DD583" s="37">
        <v>0</v>
      </c>
      <c r="DE583" s="37">
        <v>0</v>
      </c>
      <c r="DF583" s="37">
        <v>0</v>
      </c>
      <c r="DG583" s="37">
        <v>0</v>
      </c>
      <c r="DH583" s="37">
        <v>0</v>
      </c>
      <c r="DI583" s="37">
        <v>0</v>
      </c>
      <c r="DJ583" s="37">
        <v>0</v>
      </c>
      <c r="DK583" s="37">
        <v>0</v>
      </c>
      <c r="DL583" s="37">
        <v>0</v>
      </c>
      <c r="DM583" s="37">
        <v>0</v>
      </c>
      <c r="DN583" s="37">
        <v>0</v>
      </c>
      <c r="DO583" s="37">
        <v>0</v>
      </c>
      <c r="DP583" s="37">
        <v>0</v>
      </c>
      <c r="DQ583" s="37">
        <v>0</v>
      </c>
      <c r="DR583" s="37">
        <v>0</v>
      </c>
      <c r="DS583" s="37">
        <v>0</v>
      </c>
      <c r="DT583" s="37">
        <v>0</v>
      </c>
      <c r="DU583" s="37">
        <v>0</v>
      </c>
      <c r="DV583" s="37">
        <v>0</v>
      </c>
      <c r="DW583" s="37">
        <v>0</v>
      </c>
      <c r="DX583" s="37">
        <v>0</v>
      </c>
      <c r="DY583" s="37">
        <v>0</v>
      </c>
      <c r="DZ583" s="37">
        <v>0</v>
      </c>
      <c r="EA583" s="37">
        <v>0</v>
      </c>
      <c r="EB583" s="37">
        <v>0</v>
      </c>
      <c r="EC583" s="37">
        <v>0</v>
      </c>
      <c r="ED583" s="37">
        <v>0</v>
      </c>
      <c r="EE583" s="37">
        <v>0</v>
      </c>
      <c r="EF583" s="37">
        <v>0</v>
      </c>
      <c r="EG583" s="37">
        <v>0</v>
      </c>
      <c r="EH583" s="37">
        <v>0</v>
      </c>
      <c r="EI583" s="37">
        <v>0</v>
      </c>
      <c r="EJ583" s="37">
        <v>0</v>
      </c>
      <c r="EK583" s="161" t="s">
        <v>2646</v>
      </c>
      <c r="EL583" s="294" t="s">
        <v>1124</v>
      </c>
    </row>
    <row r="584" spans="1:142" ht="15" customHeight="1" x14ac:dyDescent="0.35">
      <c r="A584" s="34"/>
      <c r="B584" s="313">
        <v>23072</v>
      </c>
      <c r="C584" s="8" t="s">
        <v>165</v>
      </c>
      <c r="D584" s="18">
        <v>3</v>
      </c>
      <c r="E584" s="155"/>
      <c r="F584" s="36"/>
      <c r="G584" s="37"/>
      <c r="H584" s="37"/>
      <c r="I584" s="37"/>
      <c r="J584" s="37"/>
      <c r="K584" s="37"/>
      <c r="L584" s="37"/>
      <c r="M584" s="37" t="s">
        <v>1124</v>
      </c>
      <c r="N584" s="37" t="s">
        <v>1124</v>
      </c>
      <c r="O584" s="37"/>
      <c r="P584" s="37"/>
      <c r="Q584" s="37"/>
      <c r="R584" s="37"/>
      <c r="S584" s="37"/>
      <c r="T584" s="37"/>
      <c r="U584" s="37"/>
      <c r="V584" s="37"/>
      <c r="W584" s="37"/>
      <c r="X584" s="37"/>
      <c r="Y584" s="37"/>
      <c r="Z584" s="37"/>
      <c r="AA584" s="37" t="s">
        <v>1124</v>
      </c>
      <c r="AB584" s="37" t="s">
        <v>1124</v>
      </c>
      <c r="AC584" s="37"/>
      <c r="AD584" s="37"/>
      <c r="AE584" s="37"/>
      <c r="AF584" s="168"/>
      <c r="AG584" s="37"/>
      <c r="AH584" s="37"/>
      <c r="AI584" s="37"/>
      <c r="AJ584" s="37"/>
      <c r="AK584" s="37"/>
      <c r="AL584" s="37"/>
      <c r="AM584" s="37"/>
      <c r="AN584" s="37"/>
      <c r="AO584" s="37"/>
      <c r="AP584" s="37"/>
      <c r="AQ584" s="37"/>
      <c r="AR584" s="37" t="s">
        <v>1124</v>
      </c>
      <c r="AS584" s="37"/>
      <c r="AT584" s="37"/>
      <c r="AU584" s="37"/>
      <c r="AV584" s="37"/>
      <c r="AW584" s="37"/>
      <c r="AX584" s="37"/>
      <c r="AY584" s="37"/>
      <c r="AZ584" s="37"/>
      <c r="BA584" s="37"/>
      <c r="BB584" s="37"/>
      <c r="BC584" s="37"/>
      <c r="BD584" s="37" t="s">
        <v>1124</v>
      </c>
      <c r="BE584" s="37"/>
      <c r="BF584" s="37"/>
      <c r="BG584" s="37"/>
      <c r="BH584" s="37"/>
      <c r="BI584" s="37"/>
      <c r="BJ584" s="37"/>
      <c r="BK584" s="37"/>
      <c r="BL584" s="37"/>
      <c r="BM584" s="37"/>
      <c r="BN584" s="37"/>
      <c r="BO584" s="37"/>
      <c r="BP584" s="37">
        <v>0</v>
      </c>
      <c r="BQ584" s="37"/>
      <c r="BR584" s="37"/>
      <c r="BS584" s="37"/>
      <c r="BT584" s="37"/>
      <c r="BU584" s="37"/>
      <c r="BV584" s="37"/>
      <c r="BW584" s="37"/>
      <c r="BX584" s="37"/>
      <c r="BY584" s="37"/>
      <c r="BZ584" s="37"/>
      <c r="CA584" s="37"/>
      <c r="CB584" s="37" t="s">
        <v>1124</v>
      </c>
      <c r="CC584" s="37"/>
      <c r="CD584" s="37"/>
      <c r="CE584" s="37"/>
      <c r="CF584" s="37"/>
      <c r="CG584" s="37"/>
      <c r="CH584" s="37"/>
      <c r="CI584" s="37"/>
      <c r="CJ584" s="37"/>
      <c r="CK584" s="37"/>
      <c r="CL584" s="37"/>
      <c r="CM584" s="37"/>
      <c r="CN584" s="37" t="s">
        <v>1124</v>
      </c>
      <c r="CO584" s="37"/>
      <c r="CP584" s="37"/>
      <c r="CQ584" s="37"/>
      <c r="CR584" s="37"/>
      <c r="CS584" s="37"/>
      <c r="CT584" s="37"/>
      <c r="CU584" s="37"/>
      <c r="CV584" s="37"/>
      <c r="CW584" s="37"/>
      <c r="CX584" s="37"/>
      <c r="CY584" s="37"/>
      <c r="CZ584" s="37" t="s">
        <v>1124</v>
      </c>
      <c r="DA584" s="37"/>
      <c r="DB584" s="37"/>
      <c r="DC584" s="37"/>
      <c r="DD584" s="37"/>
      <c r="DE584" s="37"/>
      <c r="DF584" s="37"/>
      <c r="DG584" s="37"/>
      <c r="DH584" s="37"/>
      <c r="DI584" s="37"/>
      <c r="DJ584" s="37"/>
      <c r="DK584" s="37"/>
      <c r="DL584" s="37" t="s">
        <v>1124</v>
      </c>
      <c r="DM584" s="37"/>
      <c r="DN584" s="37"/>
      <c r="DO584" s="37"/>
      <c r="DP584" s="37"/>
      <c r="DQ584" s="37"/>
      <c r="DR584" s="37"/>
      <c r="DS584" s="37"/>
      <c r="DT584" s="37"/>
      <c r="DU584" s="37"/>
      <c r="DV584" s="37"/>
      <c r="DW584" s="37"/>
      <c r="DX584" s="37" t="s">
        <v>1124</v>
      </c>
      <c r="DY584" s="37"/>
      <c r="DZ584" s="37"/>
      <c r="EA584" s="37"/>
      <c r="EB584" s="37"/>
      <c r="EC584" s="37"/>
      <c r="ED584" s="37"/>
      <c r="EE584" s="37"/>
      <c r="EF584" s="37"/>
      <c r="EG584" s="37"/>
      <c r="EH584" s="37"/>
      <c r="EI584" s="37"/>
      <c r="EJ584" s="37" t="s">
        <v>1124</v>
      </c>
      <c r="EK584" s="161"/>
      <c r="EL584" s="294"/>
    </row>
    <row r="585" spans="1:142" ht="15" customHeight="1" x14ac:dyDescent="0.35">
      <c r="A585" s="34"/>
      <c r="B585" s="313">
        <v>30005</v>
      </c>
      <c r="C585" s="8" t="s">
        <v>217</v>
      </c>
      <c r="D585" s="18">
        <v>5</v>
      </c>
      <c r="E585" s="155"/>
      <c r="F585" s="36"/>
      <c r="G585" s="37"/>
      <c r="H585" s="37"/>
      <c r="I585" s="37"/>
      <c r="J585" s="37"/>
      <c r="K585" s="37"/>
      <c r="L585" s="37"/>
      <c r="M585" s="37" t="s">
        <v>1124</v>
      </c>
      <c r="N585" s="37" t="s">
        <v>1124</v>
      </c>
      <c r="O585" s="37"/>
      <c r="P585" s="37"/>
      <c r="Q585" s="37"/>
      <c r="R585" s="37"/>
      <c r="S585" s="37"/>
      <c r="T585" s="37"/>
      <c r="U585" s="37"/>
      <c r="V585" s="37"/>
      <c r="W585" s="37"/>
      <c r="X585" s="37"/>
      <c r="Y585" s="37"/>
      <c r="Z585" s="37"/>
      <c r="AA585" s="37" t="s">
        <v>1124</v>
      </c>
      <c r="AB585" s="37" t="s">
        <v>1124</v>
      </c>
      <c r="AC585" s="37"/>
      <c r="AD585" s="37"/>
      <c r="AE585" s="37"/>
      <c r="AF585" s="168"/>
      <c r="AG585" s="37"/>
      <c r="AH585" s="37"/>
      <c r="AI585" s="37"/>
      <c r="AJ585" s="37"/>
      <c r="AK585" s="37"/>
      <c r="AL585" s="37"/>
      <c r="AM585" s="37"/>
      <c r="AN585" s="37"/>
      <c r="AO585" s="37"/>
      <c r="AP585" s="37"/>
      <c r="AQ585" s="37"/>
      <c r="AR585" s="37" t="s">
        <v>1124</v>
      </c>
      <c r="AS585" s="37"/>
      <c r="AT585" s="37"/>
      <c r="AU585" s="37"/>
      <c r="AV585" s="37"/>
      <c r="AW585" s="37"/>
      <c r="AX585" s="37"/>
      <c r="AY585" s="37"/>
      <c r="AZ585" s="37"/>
      <c r="BA585" s="37"/>
      <c r="BB585" s="37"/>
      <c r="BC585" s="37"/>
      <c r="BD585" s="37" t="s">
        <v>1124</v>
      </c>
      <c r="BE585" s="37"/>
      <c r="BF585" s="37"/>
      <c r="BG585" s="37"/>
      <c r="BH585" s="37"/>
      <c r="BI585" s="37"/>
      <c r="BJ585" s="37"/>
      <c r="BK585" s="37"/>
      <c r="BL585" s="37"/>
      <c r="BM585" s="37"/>
      <c r="BN585" s="37"/>
      <c r="BO585" s="37"/>
      <c r="BP585" s="37">
        <v>0</v>
      </c>
      <c r="BQ585" s="37"/>
      <c r="BR585" s="37"/>
      <c r="BS585" s="37"/>
      <c r="BT585" s="37"/>
      <c r="BU585" s="37"/>
      <c r="BV585" s="37"/>
      <c r="BW585" s="37"/>
      <c r="BX585" s="37"/>
      <c r="BY585" s="37"/>
      <c r="BZ585" s="37"/>
      <c r="CA585" s="37"/>
      <c r="CB585" s="37" t="s">
        <v>1124</v>
      </c>
      <c r="CC585" s="37"/>
      <c r="CD585" s="37"/>
      <c r="CE585" s="37"/>
      <c r="CF585" s="37"/>
      <c r="CG585" s="37"/>
      <c r="CH585" s="37"/>
      <c r="CI585" s="37"/>
      <c r="CJ585" s="37"/>
      <c r="CK585" s="37"/>
      <c r="CL585" s="37"/>
      <c r="CM585" s="37"/>
      <c r="CN585" s="37" t="s">
        <v>1124</v>
      </c>
      <c r="CO585" s="37"/>
      <c r="CP585" s="37"/>
      <c r="CQ585" s="37"/>
      <c r="CR585" s="37"/>
      <c r="CS585" s="37"/>
      <c r="CT585" s="37"/>
      <c r="CU585" s="37"/>
      <c r="CV585" s="37"/>
      <c r="CW585" s="37"/>
      <c r="CX585" s="37"/>
      <c r="CY585" s="37"/>
      <c r="CZ585" s="37" t="s">
        <v>1124</v>
      </c>
      <c r="DA585" s="37"/>
      <c r="DB585" s="37"/>
      <c r="DC585" s="37"/>
      <c r="DD585" s="37"/>
      <c r="DE585" s="37"/>
      <c r="DF585" s="37"/>
      <c r="DG585" s="37"/>
      <c r="DH585" s="37"/>
      <c r="DI585" s="37"/>
      <c r="DJ585" s="37"/>
      <c r="DK585" s="37"/>
      <c r="DL585" s="37" t="s">
        <v>1124</v>
      </c>
      <c r="DM585" s="37"/>
      <c r="DN585" s="37"/>
      <c r="DO585" s="37"/>
      <c r="DP585" s="37"/>
      <c r="DQ585" s="37"/>
      <c r="DR585" s="37"/>
      <c r="DS585" s="37"/>
      <c r="DT585" s="37"/>
      <c r="DU585" s="37"/>
      <c r="DV585" s="37"/>
      <c r="DW585" s="37"/>
      <c r="DX585" s="37" t="s">
        <v>1124</v>
      </c>
      <c r="DY585" s="37"/>
      <c r="DZ585" s="37"/>
      <c r="EA585" s="37"/>
      <c r="EB585" s="37"/>
      <c r="EC585" s="37"/>
      <c r="ED585" s="37"/>
      <c r="EE585" s="37"/>
      <c r="EF585" s="37"/>
      <c r="EG585" s="37"/>
      <c r="EH585" s="37"/>
      <c r="EI585" s="37"/>
      <c r="EJ585" s="37" t="s">
        <v>1124</v>
      </c>
      <c r="EK585" s="161"/>
      <c r="EL585" s="294"/>
    </row>
    <row r="586" spans="1:142" ht="15" customHeight="1" x14ac:dyDescent="0.35">
      <c r="A586" s="34"/>
      <c r="B586" s="313">
        <v>51025</v>
      </c>
      <c r="C586" s="8" t="s">
        <v>501</v>
      </c>
      <c r="D586" s="18">
        <v>4</v>
      </c>
      <c r="E586" s="155"/>
      <c r="F586" s="36"/>
      <c r="G586" s="37"/>
      <c r="H586" s="37"/>
      <c r="I586" s="37"/>
      <c r="J586" s="37"/>
      <c r="K586" s="37"/>
      <c r="L586" s="37"/>
      <c r="M586" s="37" t="s">
        <v>1124</v>
      </c>
      <c r="N586" s="37" t="s">
        <v>1124</v>
      </c>
      <c r="O586" s="37"/>
      <c r="P586" s="37"/>
      <c r="Q586" s="37"/>
      <c r="R586" s="37"/>
      <c r="S586" s="37"/>
      <c r="T586" s="37"/>
      <c r="U586" s="37"/>
      <c r="V586" s="37"/>
      <c r="W586" s="37"/>
      <c r="X586" s="37"/>
      <c r="Y586" s="37"/>
      <c r="Z586" s="37"/>
      <c r="AA586" s="37" t="s">
        <v>1124</v>
      </c>
      <c r="AB586" s="37" t="s">
        <v>1124</v>
      </c>
      <c r="AC586" s="37"/>
      <c r="AD586" s="37"/>
      <c r="AE586" s="37"/>
      <c r="AF586" s="168"/>
      <c r="AG586" s="37"/>
      <c r="AH586" s="37"/>
      <c r="AI586" s="37"/>
      <c r="AJ586" s="37"/>
      <c r="AK586" s="37"/>
      <c r="AL586" s="37"/>
      <c r="AM586" s="37"/>
      <c r="AN586" s="37"/>
      <c r="AO586" s="37"/>
      <c r="AP586" s="37"/>
      <c r="AQ586" s="37"/>
      <c r="AR586" s="37" t="s">
        <v>1124</v>
      </c>
      <c r="AS586" s="37"/>
      <c r="AT586" s="37"/>
      <c r="AU586" s="37"/>
      <c r="AV586" s="37"/>
      <c r="AW586" s="37"/>
      <c r="AX586" s="37"/>
      <c r="AY586" s="37"/>
      <c r="AZ586" s="37"/>
      <c r="BA586" s="37"/>
      <c r="BB586" s="37"/>
      <c r="BC586" s="37"/>
      <c r="BD586" s="37" t="s">
        <v>1124</v>
      </c>
      <c r="BE586" s="37"/>
      <c r="BF586" s="37"/>
      <c r="BG586" s="37"/>
      <c r="BH586" s="37"/>
      <c r="BI586" s="37"/>
      <c r="BJ586" s="37"/>
      <c r="BK586" s="37"/>
      <c r="BL586" s="37"/>
      <c r="BM586" s="37"/>
      <c r="BN586" s="37"/>
      <c r="BO586" s="37"/>
      <c r="BP586" s="37">
        <v>0</v>
      </c>
      <c r="BQ586" s="37"/>
      <c r="BR586" s="37"/>
      <c r="BS586" s="37"/>
      <c r="BT586" s="37"/>
      <c r="BU586" s="37"/>
      <c r="BV586" s="37"/>
      <c r="BW586" s="37"/>
      <c r="BX586" s="37"/>
      <c r="BY586" s="37"/>
      <c r="BZ586" s="37"/>
      <c r="CA586" s="37"/>
      <c r="CB586" s="37" t="s">
        <v>1124</v>
      </c>
      <c r="CC586" s="37"/>
      <c r="CD586" s="37"/>
      <c r="CE586" s="37"/>
      <c r="CF586" s="37"/>
      <c r="CG586" s="37"/>
      <c r="CH586" s="37"/>
      <c r="CI586" s="37"/>
      <c r="CJ586" s="37"/>
      <c r="CK586" s="37"/>
      <c r="CL586" s="37"/>
      <c r="CM586" s="37"/>
      <c r="CN586" s="37" t="s">
        <v>1124</v>
      </c>
      <c r="CO586" s="37"/>
      <c r="CP586" s="37"/>
      <c r="CQ586" s="37"/>
      <c r="CR586" s="37"/>
      <c r="CS586" s="37"/>
      <c r="CT586" s="37"/>
      <c r="CU586" s="37"/>
      <c r="CV586" s="37"/>
      <c r="CW586" s="37"/>
      <c r="CX586" s="37"/>
      <c r="CY586" s="37"/>
      <c r="CZ586" s="37" t="s">
        <v>1124</v>
      </c>
      <c r="DA586" s="37"/>
      <c r="DB586" s="37"/>
      <c r="DC586" s="37"/>
      <c r="DD586" s="37"/>
      <c r="DE586" s="37"/>
      <c r="DF586" s="37"/>
      <c r="DG586" s="37"/>
      <c r="DH586" s="37"/>
      <c r="DI586" s="37"/>
      <c r="DJ586" s="37"/>
      <c r="DK586" s="37"/>
      <c r="DL586" s="37" t="s">
        <v>1124</v>
      </c>
      <c r="DM586" s="37"/>
      <c r="DN586" s="37"/>
      <c r="DO586" s="37"/>
      <c r="DP586" s="37"/>
      <c r="DQ586" s="37"/>
      <c r="DR586" s="37"/>
      <c r="DS586" s="37"/>
      <c r="DT586" s="37"/>
      <c r="DU586" s="37"/>
      <c r="DV586" s="37"/>
      <c r="DW586" s="37"/>
      <c r="DX586" s="37" t="s">
        <v>1124</v>
      </c>
      <c r="DY586" s="37"/>
      <c r="DZ586" s="37"/>
      <c r="EA586" s="37"/>
      <c r="EB586" s="37"/>
      <c r="EC586" s="37"/>
      <c r="ED586" s="37"/>
      <c r="EE586" s="37"/>
      <c r="EF586" s="37"/>
      <c r="EG586" s="37"/>
      <c r="EH586" s="37"/>
      <c r="EI586" s="37"/>
      <c r="EJ586" s="37" t="s">
        <v>1124</v>
      </c>
      <c r="EK586" s="161"/>
      <c r="EL586" s="294"/>
    </row>
    <row r="587" spans="1:142" ht="15" customHeight="1" x14ac:dyDescent="0.35">
      <c r="A587" s="34"/>
      <c r="B587" s="313">
        <v>54105</v>
      </c>
      <c r="C587" s="8" t="s">
        <v>554</v>
      </c>
      <c r="D587" s="18">
        <v>16</v>
      </c>
      <c r="E587" s="155"/>
      <c r="F587" s="36"/>
      <c r="G587" s="37"/>
      <c r="H587" s="37"/>
      <c r="I587" s="37"/>
      <c r="J587" s="37"/>
      <c r="K587" s="37"/>
      <c r="L587" s="37"/>
      <c r="M587" s="37" t="s">
        <v>1124</v>
      </c>
      <c r="N587" s="37" t="s">
        <v>1124</v>
      </c>
      <c r="O587" s="37"/>
      <c r="P587" s="37"/>
      <c r="Q587" s="37"/>
      <c r="R587" s="37"/>
      <c r="S587" s="37"/>
      <c r="T587" s="37"/>
      <c r="U587" s="37"/>
      <c r="V587" s="37"/>
      <c r="W587" s="37"/>
      <c r="X587" s="37"/>
      <c r="Y587" s="37"/>
      <c r="Z587" s="37"/>
      <c r="AA587" s="37" t="s">
        <v>1124</v>
      </c>
      <c r="AB587" s="37" t="s">
        <v>1124</v>
      </c>
      <c r="AC587" s="37"/>
      <c r="AD587" s="37"/>
      <c r="AE587" s="37"/>
      <c r="AF587" s="168"/>
      <c r="AG587" s="37"/>
      <c r="AH587" s="37"/>
      <c r="AI587" s="37"/>
      <c r="AJ587" s="37"/>
      <c r="AK587" s="37"/>
      <c r="AL587" s="37"/>
      <c r="AM587" s="37"/>
      <c r="AN587" s="37"/>
      <c r="AO587" s="37"/>
      <c r="AP587" s="37"/>
      <c r="AQ587" s="37"/>
      <c r="AR587" s="37" t="s">
        <v>1124</v>
      </c>
      <c r="AS587" s="37"/>
      <c r="AT587" s="37"/>
      <c r="AU587" s="37"/>
      <c r="AV587" s="37"/>
      <c r="AW587" s="37"/>
      <c r="AX587" s="37"/>
      <c r="AY587" s="37"/>
      <c r="AZ587" s="37"/>
      <c r="BA587" s="37"/>
      <c r="BB587" s="37"/>
      <c r="BC587" s="37"/>
      <c r="BD587" s="37" t="s">
        <v>1124</v>
      </c>
      <c r="BE587" s="37"/>
      <c r="BF587" s="37"/>
      <c r="BG587" s="37"/>
      <c r="BH587" s="37"/>
      <c r="BI587" s="37"/>
      <c r="BJ587" s="37"/>
      <c r="BK587" s="37"/>
      <c r="BL587" s="37"/>
      <c r="BM587" s="37"/>
      <c r="BN587" s="37"/>
      <c r="BO587" s="37"/>
      <c r="BP587" s="37">
        <v>0</v>
      </c>
      <c r="BQ587" s="37"/>
      <c r="BR587" s="37"/>
      <c r="BS587" s="37"/>
      <c r="BT587" s="37"/>
      <c r="BU587" s="37"/>
      <c r="BV587" s="37"/>
      <c r="BW587" s="37"/>
      <c r="BX587" s="37"/>
      <c r="BY587" s="37"/>
      <c r="BZ587" s="37"/>
      <c r="CA587" s="37"/>
      <c r="CB587" s="37" t="s">
        <v>1124</v>
      </c>
      <c r="CC587" s="37"/>
      <c r="CD587" s="37"/>
      <c r="CE587" s="37"/>
      <c r="CF587" s="37"/>
      <c r="CG587" s="37"/>
      <c r="CH587" s="37"/>
      <c r="CI587" s="37"/>
      <c r="CJ587" s="37"/>
      <c r="CK587" s="37"/>
      <c r="CL587" s="37"/>
      <c r="CM587" s="37"/>
      <c r="CN587" s="37" t="s">
        <v>1124</v>
      </c>
      <c r="CO587" s="37"/>
      <c r="CP587" s="37"/>
      <c r="CQ587" s="37"/>
      <c r="CR587" s="37"/>
      <c r="CS587" s="37"/>
      <c r="CT587" s="37"/>
      <c r="CU587" s="37"/>
      <c r="CV587" s="37"/>
      <c r="CW587" s="37"/>
      <c r="CX587" s="37"/>
      <c r="CY587" s="37"/>
      <c r="CZ587" s="37" t="s">
        <v>1124</v>
      </c>
      <c r="DA587" s="37"/>
      <c r="DB587" s="37"/>
      <c r="DC587" s="37"/>
      <c r="DD587" s="37"/>
      <c r="DE587" s="37"/>
      <c r="DF587" s="37"/>
      <c r="DG587" s="37"/>
      <c r="DH587" s="37"/>
      <c r="DI587" s="37"/>
      <c r="DJ587" s="37"/>
      <c r="DK587" s="37"/>
      <c r="DL587" s="37" t="s">
        <v>1124</v>
      </c>
      <c r="DM587" s="37"/>
      <c r="DN587" s="37"/>
      <c r="DO587" s="37"/>
      <c r="DP587" s="37"/>
      <c r="DQ587" s="37"/>
      <c r="DR587" s="37"/>
      <c r="DS587" s="37"/>
      <c r="DT587" s="37"/>
      <c r="DU587" s="37"/>
      <c r="DV587" s="37"/>
      <c r="DW587" s="37"/>
      <c r="DX587" s="37" t="s">
        <v>1124</v>
      </c>
      <c r="DY587" s="37"/>
      <c r="DZ587" s="37"/>
      <c r="EA587" s="37"/>
      <c r="EB587" s="37"/>
      <c r="EC587" s="37"/>
      <c r="ED587" s="37"/>
      <c r="EE587" s="37"/>
      <c r="EF587" s="37"/>
      <c r="EG587" s="37"/>
      <c r="EH587" s="37"/>
      <c r="EI587" s="37"/>
      <c r="EJ587" s="37" t="s">
        <v>1124</v>
      </c>
      <c r="EK587" s="161"/>
      <c r="EL587" s="294"/>
    </row>
    <row r="588" spans="1:142" ht="15" customHeight="1" x14ac:dyDescent="0.35">
      <c r="A588" s="34"/>
      <c r="B588" s="313">
        <v>52055</v>
      </c>
      <c r="C588" s="8" t="s">
        <v>522</v>
      </c>
      <c r="D588" s="18">
        <v>14</v>
      </c>
      <c r="E588" s="157">
        <v>137788</v>
      </c>
      <c r="F588" s="36">
        <v>33377</v>
      </c>
      <c r="G588" s="37">
        <v>20002</v>
      </c>
      <c r="H588" s="37">
        <v>59772</v>
      </c>
      <c r="I588" s="37">
        <v>38600</v>
      </c>
      <c r="J588" s="37">
        <v>69300</v>
      </c>
      <c r="K588" s="37">
        <v>20668.2</v>
      </c>
      <c r="L588" s="37">
        <v>5006.55</v>
      </c>
      <c r="M588" s="37">
        <v>217058.2</v>
      </c>
      <c r="N588" s="37">
        <v>167455.54999999999</v>
      </c>
      <c r="O588" s="37">
        <v>78897</v>
      </c>
      <c r="P588" s="37">
        <v>0</v>
      </c>
      <c r="Q588" s="37">
        <v>147126</v>
      </c>
      <c r="R588" s="37">
        <v>33790</v>
      </c>
      <c r="S588" s="37">
        <v>1484</v>
      </c>
      <c r="T588" s="37">
        <v>0</v>
      </c>
      <c r="U588" s="37">
        <v>20888</v>
      </c>
      <c r="V588" s="37">
        <v>75465</v>
      </c>
      <c r="W588" s="37">
        <v>0</v>
      </c>
      <c r="X588" s="37">
        <v>26864</v>
      </c>
      <c r="Y588" s="37">
        <v>0</v>
      </c>
      <c r="Z588" s="37">
        <v>0</v>
      </c>
      <c r="AA588" s="37">
        <v>248395</v>
      </c>
      <c r="AB588" s="37">
        <v>136119</v>
      </c>
      <c r="AC588" s="37">
        <v>0</v>
      </c>
      <c r="AD588" s="37">
        <v>0</v>
      </c>
      <c r="AE588" s="37">
        <v>88236</v>
      </c>
      <c r="AF588" s="168">
        <v>0.02</v>
      </c>
      <c r="AG588" s="37">
        <v>43311054.490000002</v>
      </c>
      <c r="AH588" s="37">
        <v>373310.74</v>
      </c>
      <c r="AI588" s="37">
        <v>380776.96000000002</v>
      </c>
      <c r="AJ588" s="37">
        <v>388392.5</v>
      </c>
      <c r="AK588" s="37">
        <v>396160.35</v>
      </c>
      <c r="AL588" s="37">
        <v>404083.56</v>
      </c>
      <c r="AM588" s="37">
        <v>412165.23</v>
      </c>
      <c r="AN588" s="37">
        <v>420408.53</v>
      </c>
      <c r="AO588" s="37">
        <v>428816.7</v>
      </c>
      <c r="AP588" s="37">
        <v>437393.04</v>
      </c>
      <c r="AQ588" s="37">
        <v>446140.9</v>
      </c>
      <c r="AR588" s="37">
        <v>4087648.51</v>
      </c>
      <c r="AS588" s="37">
        <v>5236446.4400000004</v>
      </c>
      <c r="AT588" s="37">
        <v>0</v>
      </c>
      <c r="AU588" s="37">
        <v>2340900</v>
      </c>
      <c r="AV588" s="37">
        <v>0</v>
      </c>
      <c r="AW588" s="37">
        <v>0</v>
      </c>
      <c r="AX588" s="37">
        <v>0</v>
      </c>
      <c r="AY588" s="37">
        <v>0</v>
      </c>
      <c r="AZ588" s="37">
        <v>0</v>
      </c>
      <c r="BA588" s="37">
        <v>0</v>
      </c>
      <c r="BB588" s="37">
        <v>0</v>
      </c>
      <c r="BC588" s="37">
        <v>0</v>
      </c>
      <c r="BD588" s="37">
        <v>2340900</v>
      </c>
      <c r="BE588" s="37">
        <v>0</v>
      </c>
      <c r="BF588" s="37">
        <v>1572374</v>
      </c>
      <c r="BG588" s="37">
        <v>0</v>
      </c>
      <c r="BH588" s="37">
        <v>0</v>
      </c>
      <c r="BI588" s="37">
        <v>0</v>
      </c>
      <c r="BJ588" s="37">
        <v>0</v>
      </c>
      <c r="BK588" s="37">
        <v>0</v>
      </c>
      <c r="BL588" s="37">
        <v>0</v>
      </c>
      <c r="BM588" s="37">
        <v>0</v>
      </c>
      <c r="BN588" s="37">
        <v>0</v>
      </c>
      <c r="BO588" s="37">
        <v>0</v>
      </c>
      <c r="BP588" s="37">
        <v>1572374</v>
      </c>
      <c r="BQ588" s="37">
        <v>0</v>
      </c>
      <c r="BR588" s="37">
        <v>393095</v>
      </c>
      <c r="BS588" s="37">
        <v>0</v>
      </c>
      <c r="BT588" s="37">
        <v>0</v>
      </c>
      <c r="BU588" s="37">
        <v>0</v>
      </c>
      <c r="BV588" s="37">
        <v>0</v>
      </c>
      <c r="BW588" s="37">
        <v>0</v>
      </c>
      <c r="BX588" s="37">
        <v>0</v>
      </c>
      <c r="BY588" s="37">
        <v>0</v>
      </c>
      <c r="BZ588" s="37">
        <v>0</v>
      </c>
      <c r="CA588" s="37">
        <v>0</v>
      </c>
      <c r="CB588" s="37">
        <v>393095</v>
      </c>
      <c r="CC588" s="37">
        <v>0</v>
      </c>
      <c r="CD588" s="37">
        <v>0</v>
      </c>
      <c r="CE588" s="37">
        <v>0</v>
      </c>
      <c r="CF588" s="37">
        <v>0</v>
      </c>
      <c r="CG588" s="37">
        <v>0</v>
      </c>
      <c r="CH588" s="37">
        <v>0</v>
      </c>
      <c r="CI588" s="37">
        <v>0</v>
      </c>
      <c r="CJ588" s="37">
        <v>0</v>
      </c>
      <c r="CK588" s="37">
        <v>0</v>
      </c>
      <c r="CL588" s="37">
        <v>0</v>
      </c>
      <c r="CM588" s="37">
        <v>0</v>
      </c>
      <c r="CN588" s="37">
        <v>0</v>
      </c>
      <c r="CO588" s="37">
        <v>0</v>
      </c>
      <c r="CP588" s="37">
        <v>0</v>
      </c>
      <c r="CQ588" s="37">
        <v>0</v>
      </c>
      <c r="CR588" s="37">
        <v>0</v>
      </c>
      <c r="CS588" s="37">
        <v>0</v>
      </c>
      <c r="CT588" s="37">
        <v>0</v>
      </c>
      <c r="CU588" s="37">
        <v>0</v>
      </c>
      <c r="CV588" s="37">
        <v>0</v>
      </c>
      <c r="CW588" s="37">
        <v>0</v>
      </c>
      <c r="CX588" s="37">
        <v>0</v>
      </c>
      <c r="CY588" s="37">
        <v>0</v>
      </c>
      <c r="CZ588" s="37">
        <v>0</v>
      </c>
      <c r="DA588" s="37">
        <v>0</v>
      </c>
      <c r="DB588" s="37">
        <v>0</v>
      </c>
      <c r="DC588" s="37">
        <v>0</v>
      </c>
      <c r="DD588" s="37">
        <v>0</v>
      </c>
      <c r="DE588" s="37">
        <v>0</v>
      </c>
      <c r="DF588" s="37">
        <v>0</v>
      </c>
      <c r="DG588" s="37">
        <v>0</v>
      </c>
      <c r="DH588" s="37">
        <v>0</v>
      </c>
      <c r="DI588" s="37">
        <v>0</v>
      </c>
      <c r="DJ588" s="37">
        <v>0</v>
      </c>
      <c r="DK588" s="37">
        <v>0</v>
      </c>
      <c r="DL588" s="37">
        <v>0</v>
      </c>
      <c r="DM588" s="37">
        <v>0</v>
      </c>
      <c r="DN588" s="37">
        <v>0</v>
      </c>
      <c r="DO588" s="37">
        <v>0</v>
      </c>
      <c r="DP588" s="37">
        <v>0</v>
      </c>
      <c r="DQ588" s="37">
        <v>0</v>
      </c>
      <c r="DR588" s="37">
        <v>0</v>
      </c>
      <c r="DS588" s="37">
        <v>0</v>
      </c>
      <c r="DT588" s="37">
        <v>0</v>
      </c>
      <c r="DU588" s="37">
        <v>0</v>
      </c>
      <c r="DV588" s="37">
        <v>0</v>
      </c>
      <c r="DW588" s="37">
        <v>0</v>
      </c>
      <c r="DX588" s="37">
        <v>0</v>
      </c>
      <c r="DY588" s="37">
        <v>0</v>
      </c>
      <c r="DZ588" s="37">
        <v>0</v>
      </c>
      <c r="EA588" s="37">
        <v>0</v>
      </c>
      <c r="EB588" s="37">
        <v>0</v>
      </c>
      <c r="EC588" s="37">
        <v>0</v>
      </c>
      <c r="ED588" s="37">
        <v>0</v>
      </c>
      <c r="EE588" s="37">
        <v>0</v>
      </c>
      <c r="EF588" s="37">
        <v>0</v>
      </c>
      <c r="EG588" s="37">
        <v>0</v>
      </c>
      <c r="EH588" s="37">
        <v>0</v>
      </c>
      <c r="EI588" s="37">
        <v>0</v>
      </c>
      <c r="EJ588" s="37">
        <v>0</v>
      </c>
      <c r="EK588" s="161" t="s">
        <v>2650</v>
      </c>
      <c r="EL588" s="294" t="s">
        <v>1124</v>
      </c>
    </row>
    <row r="589" spans="1:142" ht="15" customHeight="1" x14ac:dyDescent="0.35">
      <c r="A589" s="34"/>
      <c r="B589" s="313">
        <v>34038</v>
      </c>
      <c r="C589" s="8" t="s">
        <v>289</v>
      </c>
      <c r="D589" s="18">
        <v>3</v>
      </c>
      <c r="E589" s="155"/>
      <c r="F589" s="36"/>
      <c r="G589" s="37"/>
      <c r="H589" s="37"/>
      <c r="I589" s="37"/>
      <c r="J589" s="37"/>
      <c r="K589" s="37"/>
      <c r="L589" s="37"/>
      <c r="M589" s="37" t="s">
        <v>1124</v>
      </c>
      <c r="N589" s="37" t="s">
        <v>1124</v>
      </c>
      <c r="O589" s="37"/>
      <c r="P589" s="37"/>
      <c r="Q589" s="37"/>
      <c r="R589" s="37"/>
      <c r="S589" s="37"/>
      <c r="T589" s="37"/>
      <c r="U589" s="37"/>
      <c r="V589" s="37"/>
      <c r="W589" s="37"/>
      <c r="X589" s="37"/>
      <c r="Y589" s="37"/>
      <c r="Z589" s="37"/>
      <c r="AA589" s="37" t="s">
        <v>1124</v>
      </c>
      <c r="AB589" s="37" t="s">
        <v>1124</v>
      </c>
      <c r="AC589" s="37"/>
      <c r="AD589" s="37"/>
      <c r="AE589" s="37"/>
      <c r="AF589" s="168"/>
      <c r="AG589" s="37"/>
      <c r="AH589" s="37"/>
      <c r="AI589" s="37"/>
      <c r="AJ589" s="37"/>
      <c r="AK589" s="37"/>
      <c r="AL589" s="37"/>
      <c r="AM589" s="37"/>
      <c r="AN589" s="37"/>
      <c r="AO589" s="37"/>
      <c r="AP589" s="37"/>
      <c r="AQ589" s="37"/>
      <c r="AR589" s="37" t="s">
        <v>1124</v>
      </c>
      <c r="AS589" s="37"/>
      <c r="AT589" s="37"/>
      <c r="AU589" s="37"/>
      <c r="AV589" s="37"/>
      <c r="AW589" s="37"/>
      <c r="AX589" s="37"/>
      <c r="AY589" s="37"/>
      <c r="AZ589" s="37"/>
      <c r="BA589" s="37"/>
      <c r="BB589" s="37"/>
      <c r="BC589" s="37"/>
      <c r="BD589" s="37" t="s">
        <v>1124</v>
      </c>
      <c r="BE589" s="37"/>
      <c r="BF589" s="37"/>
      <c r="BG589" s="37"/>
      <c r="BH589" s="37"/>
      <c r="BI589" s="37"/>
      <c r="BJ589" s="37"/>
      <c r="BK589" s="37"/>
      <c r="BL589" s="37"/>
      <c r="BM589" s="37"/>
      <c r="BN589" s="37"/>
      <c r="BO589" s="37"/>
      <c r="BP589" s="37">
        <v>0</v>
      </c>
      <c r="BQ589" s="37"/>
      <c r="BR589" s="37"/>
      <c r="BS589" s="37"/>
      <c r="BT589" s="37"/>
      <c r="BU589" s="37"/>
      <c r="BV589" s="37"/>
      <c r="BW589" s="37"/>
      <c r="BX589" s="37"/>
      <c r="BY589" s="37"/>
      <c r="BZ589" s="37"/>
      <c r="CA589" s="37"/>
      <c r="CB589" s="37" t="s">
        <v>1124</v>
      </c>
      <c r="CC589" s="37"/>
      <c r="CD589" s="37"/>
      <c r="CE589" s="37"/>
      <c r="CF589" s="37"/>
      <c r="CG589" s="37"/>
      <c r="CH589" s="37"/>
      <c r="CI589" s="37"/>
      <c r="CJ589" s="37"/>
      <c r="CK589" s="37"/>
      <c r="CL589" s="37"/>
      <c r="CM589" s="37"/>
      <c r="CN589" s="37" t="s">
        <v>1124</v>
      </c>
      <c r="CO589" s="37"/>
      <c r="CP589" s="37"/>
      <c r="CQ589" s="37"/>
      <c r="CR589" s="37"/>
      <c r="CS589" s="37"/>
      <c r="CT589" s="37"/>
      <c r="CU589" s="37"/>
      <c r="CV589" s="37"/>
      <c r="CW589" s="37"/>
      <c r="CX589" s="37"/>
      <c r="CY589" s="37"/>
      <c r="CZ589" s="37" t="s">
        <v>1124</v>
      </c>
      <c r="DA589" s="37"/>
      <c r="DB589" s="37"/>
      <c r="DC589" s="37"/>
      <c r="DD589" s="37"/>
      <c r="DE589" s="37"/>
      <c r="DF589" s="37"/>
      <c r="DG589" s="37"/>
      <c r="DH589" s="37"/>
      <c r="DI589" s="37"/>
      <c r="DJ589" s="37"/>
      <c r="DK589" s="37"/>
      <c r="DL589" s="37" t="s">
        <v>1124</v>
      </c>
      <c r="DM589" s="37"/>
      <c r="DN589" s="37"/>
      <c r="DO589" s="37"/>
      <c r="DP589" s="37"/>
      <c r="DQ589" s="37"/>
      <c r="DR589" s="37"/>
      <c r="DS589" s="37"/>
      <c r="DT589" s="37"/>
      <c r="DU589" s="37"/>
      <c r="DV589" s="37"/>
      <c r="DW589" s="37"/>
      <c r="DX589" s="37" t="s">
        <v>1124</v>
      </c>
      <c r="DY589" s="37"/>
      <c r="DZ589" s="37"/>
      <c r="EA589" s="37"/>
      <c r="EB589" s="37"/>
      <c r="EC589" s="37"/>
      <c r="ED589" s="37"/>
      <c r="EE589" s="37"/>
      <c r="EF589" s="37"/>
      <c r="EG589" s="37"/>
      <c r="EH589" s="37"/>
      <c r="EI589" s="37"/>
      <c r="EJ589" s="37" t="s">
        <v>1124</v>
      </c>
      <c r="EK589" s="161"/>
      <c r="EL589" s="294"/>
    </row>
    <row r="590" spans="1:142" ht="15" customHeight="1" x14ac:dyDescent="0.35">
      <c r="A590" s="34"/>
      <c r="B590" s="313">
        <v>57020</v>
      </c>
      <c r="C590" s="8" t="s">
        <v>583</v>
      </c>
      <c r="D590" s="18">
        <v>16</v>
      </c>
      <c r="E590" s="155">
        <v>1187507</v>
      </c>
      <c r="F590" s="36">
        <v>637618</v>
      </c>
      <c r="G590" s="37">
        <v>103254</v>
      </c>
      <c r="H590" s="37">
        <v>294998</v>
      </c>
      <c r="I590" s="37">
        <v>1022375</v>
      </c>
      <c r="J590" s="37">
        <v>2920939</v>
      </c>
      <c r="K590" s="37">
        <v>178126</v>
      </c>
      <c r="L590" s="37">
        <v>95643</v>
      </c>
      <c r="M590" s="37">
        <v>2491262</v>
      </c>
      <c r="N590" s="37">
        <v>3949198</v>
      </c>
      <c r="O590" s="37">
        <v>7387.3</v>
      </c>
      <c r="P590" s="37">
        <v>0</v>
      </c>
      <c r="Q590" s="37">
        <v>1715755</v>
      </c>
      <c r="R590" s="37">
        <v>897336</v>
      </c>
      <c r="S590" s="37">
        <v>26943</v>
      </c>
      <c r="T590" s="37">
        <v>66079</v>
      </c>
      <c r="U590" s="37">
        <v>0</v>
      </c>
      <c r="V590" s="37">
        <v>1789</v>
      </c>
      <c r="W590" s="37">
        <v>741177</v>
      </c>
      <c r="X590" s="37">
        <v>2983994</v>
      </c>
      <c r="Y590" s="37">
        <v>0</v>
      </c>
      <c r="Z590" s="37">
        <v>0</v>
      </c>
      <c r="AA590" s="37">
        <v>2491262.2999999998</v>
      </c>
      <c r="AB590" s="37">
        <v>3949198</v>
      </c>
      <c r="AC590" s="37">
        <v>0</v>
      </c>
      <c r="AD590" s="37">
        <v>0</v>
      </c>
      <c r="AE590" s="37">
        <v>0</v>
      </c>
      <c r="AF590" s="168">
        <v>0.02</v>
      </c>
      <c r="AG590" s="37">
        <v>244525684.97999999</v>
      </c>
      <c r="AH590" s="37">
        <v>2090995.02</v>
      </c>
      <c r="AI590" s="37">
        <v>2400239.33</v>
      </c>
      <c r="AJ590" s="37">
        <v>2448244.12</v>
      </c>
      <c r="AK590" s="37">
        <v>2497209</v>
      </c>
      <c r="AL590" s="37">
        <v>2547153.1800000002</v>
      </c>
      <c r="AM590" s="37">
        <v>2598096.25</v>
      </c>
      <c r="AN590" s="37">
        <v>2354800.0099999998</v>
      </c>
      <c r="AO590" s="37">
        <v>2401896.0099999998</v>
      </c>
      <c r="AP590" s="37">
        <v>2449933.9300000002</v>
      </c>
      <c r="AQ590" s="37">
        <v>2498932.61</v>
      </c>
      <c r="AR590" s="37">
        <v>24287499.459999997</v>
      </c>
      <c r="AS590" s="37">
        <v>16663082.810000001</v>
      </c>
      <c r="AT590" s="37">
        <v>0</v>
      </c>
      <c r="AU590" s="37">
        <v>1481446.37</v>
      </c>
      <c r="AV590" s="37">
        <v>4694699.3</v>
      </c>
      <c r="AW590" s="37">
        <v>1541296.8</v>
      </c>
      <c r="AX590" s="37">
        <v>1572122.74</v>
      </c>
      <c r="AY590" s="37">
        <v>1603565.19</v>
      </c>
      <c r="AZ590" s="37">
        <v>0</v>
      </c>
      <c r="BA590" s="37">
        <v>0</v>
      </c>
      <c r="BB590" s="37">
        <v>0</v>
      </c>
      <c r="BC590" s="37">
        <v>0</v>
      </c>
      <c r="BD590" s="37">
        <v>10893130.399999999</v>
      </c>
      <c r="BE590" s="37">
        <v>0</v>
      </c>
      <c r="BF590" s="37">
        <v>0</v>
      </c>
      <c r="BG590" s="37">
        <v>3405552</v>
      </c>
      <c r="BH590" s="37">
        <v>1188925</v>
      </c>
      <c r="BI590" s="37">
        <v>0</v>
      </c>
      <c r="BJ590" s="37">
        <v>0</v>
      </c>
      <c r="BK590" s="37">
        <v>0</v>
      </c>
      <c r="BL590" s="37">
        <v>0</v>
      </c>
      <c r="BM590" s="37">
        <v>0</v>
      </c>
      <c r="BN590" s="37">
        <v>0</v>
      </c>
      <c r="BO590" s="37">
        <v>0</v>
      </c>
      <c r="BP590" s="37">
        <v>4594477</v>
      </c>
      <c r="BQ590" s="37">
        <v>2789424</v>
      </c>
      <c r="BR590" s="37">
        <v>0</v>
      </c>
      <c r="BS590" s="37">
        <v>1536525</v>
      </c>
      <c r="BT590" s="37">
        <v>3000000</v>
      </c>
      <c r="BU590" s="37">
        <v>0</v>
      </c>
      <c r="BV590" s="37">
        <v>0</v>
      </c>
      <c r="BW590" s="37">
        <v>0</v>
      </c>
      <c r="BX590" s="37">
        <v>0</v>
      </c>
      <c r="BY590" s="37">
        <v>0</v>
      </c>
      <c r="BZ590" s="37">
        <v>0</v>
      </c>
      <c r="CA590" s="37">
        <v>0</v>
      </c>
      <c r="CB590" s="37">
        <v>4536525</v>
      </c>
      <c r="CC590" s="37">
        <v>0</v>
      </c>
      <c r="CD590" s="37">
        <v>0</v>
      </c>
      <c r="CE590" s="37">
        <v>0</v>
      </c>
      <c r="CF590" s="37">
        <v>0</v>
      </c>
      <c r="CG590" s="37">
        <v>0</v>
      </c>
      <c r="CH590" s="37">
        <v>0</v>
      </c>
      <c r="CI590" s="37">
        <v>0</v>
      </c>
      <c r="CJ590" s="37">
        <v>0</v>
      </c>
      <c r="CK590" s="37">
        <v>0</v>
      </c>
      <c r="CL590" s="37">
        <v>0</v>
      </c>
      <c r="CM590" s="37">
        <v>0</v>
      </c>
      <c r="CN590" s="37">
        <v>0</v>
      </c>
      <c r="CO590" s="37">
        <v>0</v>
      </c>
      <c r="CP590" s="37">
        <v>0</v>
      </c>
      <c r="CQ590" s="37">
        <v>0</v>
      </c>
      <c r="CR590" s="37">
        <v>0</v>
      </c>
      <c r="CS590" s="37">
        <v>0</v>
      </c>
      <c r="CT590" s="37">
        <v>0</v>
      </c>
      <c r="CU590" s="37">
        <v>0</v>
      </c>
      <c r="CV590" s="37">
        <v>0</v>
      </c>
      <c r="CW590" s="37">
        <v>0</v>
      </c>
      <c r="CX590" s="37">
        <v>0</v>
      </c>
      <c r="CY590" s="37">
        <v>0</v>
      </c>
      <c r="CZ590" s="37">
        <v>0</v>
      </c>
      <c r="DA590" s="37">
        <v>0</v>
      </c>
      <c r="DB590" s="37">
        <v>0</v>
      </c>
      <c r="DC590" s="37">
        <v>0</v>
      </c>
      <c r="DD590" s="37">
        <v>0</v>
      </c>
      <c r="DE590" s="37">
        <v>0</v>
      </c>
      <c r="DF590" s="37">
        <v>0</v>
      </c>
      <c r="DG590" s="37">
        <v>0</v>
      </c>
      <c r="DH590" s="37">
        <v>0</v>
      </c>
      <c r="DI590" s="37">
        <v>0</v>
      </c>
      <c r="DJ590" s="37">
        <v>0</v>
      </c>
      <c r="DK590" s="37">
        <v>0</v>
      </c>
      <c r="DL590" s="37">
        <v>0</v>
      </c>
      <c r="DM590" s="37">
        <v>0</v>
      </c>
      <c r="DN590" s="37">
        <v>0</v>
      </c>
      <c r="DO590" s="37">
        <v>0</v>
      </c>
      <c r="DP590" s="37">
        <v>0</v>
      </c>
      <c r="DQ590" s="37">
        <v>0</v>
      </c>
      <c r="DR590" s="37">
        <v>0</v>
      </c>
      <c r="DS590" s="37">
        <v>0</v>
      </c>
      <c r="DT590" s="37">
        <v>0</v>
      </c>
      <c r="DU590" s="37">
        <v>0</v>
      </c>
      <c r="DV590" s="37">
        <v>0</v>
      </c>
      <c r="DW590" s="37">
        <v>0</v>
      </c>
      <c r="DX590" s="37">
        <v>0</v>
      </c>
      <c r="DY590" s="37">
        <v>0</v>
      </c>
      <c r="DZ590" s="37">
        <v>0</v>
      </c>
      <c r="EA590" s="37">
        <v>0</v>
      </c>
      <c r="EB590" s="37">
        <v>0</v>
      </c>
      <c r="EC590" s="37">
        <v>0</v>
      </c>
      <c r="ED590" s="37">
        <v>0</v>
      </c>
      <c r="EE590" s="37">
        <v>0</v>
      </c>
      <c r="EF590" s="37">
        <v>0</v>
      </c>
      <c r="EG590" s="37">
        <v>0</v>
      </c>
      <c r="EH590" s="37">
        <v>0</v>
      </c>
      <c r="EI590" s="37">
        <v>0</v>
      </c>
      <c r="EJ590" s="37">
        <v>0</v>
      </c>
      <c r="EK590" s="161" t="s">
        <v>1453</v>
      </c>
      <c r="EL590" s="294" t="s">
        <v>1124</v>
      </c>
    </row>
    <row r="591" spans="1:142" ht="15" customHeight="1" x14ac:dyDescent="0.35">
      <c r="A591" s="34"/>
      <c r="B591" s="313">
        <v>28025</v>
      </c>
      <c r="C591" s="8" t="s">
        <v>191</v>
      </c>
      <c r="D591" s="18">
        <v>12</v>
      </c>
      <c r="E591" s="155"/>
      <c r="F591" s="36"/>
      <c r="G591" s="37"/>
      <c r="H591" s="37"/>
      <c r="I591" s="37"/>
      <c r="J591" s="37"/>
      <c r="K591" s="37"/>
      <c r="L591" s="37"/>
      <c r="M591" s="37" t="s">
        <v>1124</v>
      </c>
      <c r="N591" s="37" t="s">
        <v>1124</v>
      </c>
      <c r="O591" s="37"/>
      <c r="P591" s="37"/>
      <c r="Q591" s="37"/>
      <c r="R591" s="37"/>
      <c r="S591" s="37"/>
      <c r="T591" s="37"/>
      <c r="U591" s="37"/>
      <c r="V591" s="37"/>
      <c r="W591" s="37"/>
      <c r="X591" s="37"/>
      <c r="Y591" s="37"/>
      <c r="Z591" s="37"/>
      <c r="AA591" s="37" t="s">
        <v>1124</v>
      </c>
      <c r="AB591" s="37" t="s">
        <v>1124</v>
      </c>
      <c r="AC591" s="37"/>
      <c r="AD591" s="37"/>
      <c r="AE591" s="37"/>
      <c r="AF591" s="168"/>
      <c r="AG591" s="37"/>
      <c r="AH591" s="37"/>
      <c r="AI591" s="37"/>
      <c r="AJ591" s="37"/>
      <c r="AK591" s="37"/>
      <c r="AL591" s="37"/>
      <c r="AM591" s="37"/>
      <c r="AN591" s="37"/>
      <c r="AO591" s="37"/>
      <c r="AP591" s="37"/>
      <c r="AQ591" s="37"/>
      <c r="AR591" s="37" t="s">
        <v>1124</v>
      </c>
      <c r="AS591" s="37"/>
      <c r="AT591" s="37"/>
      <c r="AU591" s="37"/>
      <c r="AV591" s="37"/>
      <c r="AW591" s="37"/>
      <c r="AX591" s="37"/>
      <c r="AY591" s="37"/>
      <c r="AZ591" s="37"/>
      <c r="BA591" s="37"/>
      <c r="BB591" s="37"/>
      <c r="BC591" s="37"/>
      <c r="BD591" s="37" t="s">
        <v>1124</v>
      </c>
      <c r="BE591" s="37"/>
      <c r="BF591" s="37"/>
      <c r="BG591" s="37"/>
      <c r="BH591" s="37"/>
      <c r="BI591" s="37"/>
      <c r="BJ591" s="37"/>
      <c r="BK591" s="37"/>
      <c r="BL591" s="37"/>
      <c r="BM591" s="37"/>
      <c r="BN591" s="37"/>
      <c r="BO591" s="37"/>
      <c r="BP591" s="37">
        <v>0</v>
      </c>
      <c r="BQ591" s="37"/>
      <c r="BR591" s="37"/>
      <c r="BS591" s="37"/>
      <c r="BT591" s="37"/>
      <c r="BU591" s="37"/>
      <c r="BV591" s="37"/>
      <c r="BW591" s="37"/>
      <c r="BX591" s="37"/>
      <c r="BY591" s="37"/>
      <c r="BZ591" s="37"/>
      <c r="CA591" s="37"/>
      <c r="CB591" s="37" t="s">
        <v>1124</v>
      </c>
      <c r="CC591" s="37"/>
      <c r="CD591" s="37"/>
      <c r="CE591" s="37"/>
      <c r="CF591" s="37"/>
      <c r="CG591" s="37"/>
      <c r="CH591" s="37"/>
      <c r="CI591" s="37"/>
      <c r="CJ591" s="37"/>
      <c r="CK591" s="37"/>
      <c r="CL591" s="37"/>
      <c r="CM591" s="37"/>
      <c r="CN591" s="37" t="s">
        <v>1124</v>
      </c>
      <c r="CO591" s="37"/>
      <c r="CP591" s="37"/>
      <c r="CQ591" s="37"/>
      <c r="CR591" s="37"/>
      <c r="CS591" s="37"/>
      <c r="CT591" s="37"/>
      <c r="CU591" s="37"/>
      <c r="CV591" s="37"/>
      <c r="CW591" s="37"/>
      <c r="CX591" s="37"/>
      <c r="CY591" s="37"/>
      <c r="CZ591" s="37" t="s">
        <v>1124</v>
      </c>
      <c r="DA591" s="37"/>
      <c r="DB591" s="37"/>
      <c r="DC591" s="37"/>
      <c r="DD591" s="37"/>
      <c r="DE591" s="37"/>
      <c r="DF591" s="37"/>
      <c r="DG591" s="37"/>
      <c r="DH591" s="37"/>
      <c r="DI591" s="37"/>
      <c r="DJ591" s="37"/>
      <c r="DK591" s="37"/>
      <c r="DL591" s="37" t="s">
        <v>1124</v>
      </c>
      <c r="DM591" s="37"/>
      <c r="DN591" s="37"/>
      <c r="DO591" s="37"/>
      <c r="DP591" s="37"/>
      <c r="DQ591" s="37"/>
      <c r="DR591" s="37"/>
      <c r="DS591" s="37"/>
      <c r="DT591" s="37"/>
      <c r="DU591" s="37"/>
      <c r="DV591" s="37"/>
      <c r="DW591" s="37"/>
      <c r="DX591" s="37" t="s">
        <v>1124</v>
      </c>
      <c r="DY591" s="37"/>
      <c r="DZ591" s="37"/>
      <c r="EA591" s="37"/>
      <c r="EB591" s="37"/>
      <c r="EC591" s="37"/>
      <c r="ED591" s="37"/>
      <c r="EE591" s="37"/>
      <c r="EF591" s="37"/>
      <c r="EG591" s="37"/>
      <c r="EH591" s="37"/>
      <c r="EI591" s="37"/>
      <c r="EJ591" s="37" t="s">
        <v>1124</v>
      </c>
      <c r="EK591" s="161"/>
      <c r="EL591" s="294"/>
    </row>
    <row r="592" spans="1:142" ht="15" customHeight="1" x14ac:dyDescent="0.35">
      <c r="A592" s="34"/>
      <c r="B592" s="313">
        <v>45080</v>
      </c>
      <c r="C592" s="8" t="s">
        <v>420</v>
      </c>
      <c r="D592" s="18">
        <v>5</v>
      </c>
      <c r="E592" s="155"/>
      <c r="F592" s="36"/>
      <c r="G592" s="37"/>
      <c r="H592" s="37"/>
      <c r="I592" s="37"/>
      <c r="J592" s="37"/>
      <c r="K592" s="37"/>
      <c r="L592" s="37"/>
      <c r="M592" s="37" t="s">
        <v>1124</v>
      </c>
      <c r="N592" s="37" t="s">
        <v>1124</v>
      </c>
      <c r="O592" s="37"/>
      <c r="P592" s="37"/>
      <c r="Q592" s="37"/>
      <c r="R592" s="37"/>
      <c r="S592" s="37"/>
      <c r="T592" s="37"/>
      <c r="U592" s="37"/>
      <c r="V592" s="37"/>
      <c r="W592" s="37"/>
      <c r="X592" s="37"/>
      <c r="Y592" s="37"/>
      <c r="Z592" s="37"/>
      <c r="AA592" s="37" t="s">
        <v>1124</v>
      </c>
      <c r="AB592" s="37" t="s">
        <v>1124</v>
      </c>
      <c r="AC592" s="37"/>
      <c r="AD592" s="37"/>
      <c r="AE592" s="37"/>
      <c r="AF592" s="168"/>
      <c r="AG592" s="37"/>
      <c r="AH592" s="37"/>
      <c r="AI592" s="37"/>
      <c r="AJ592" s="37"/>
      <c r="AK592" s="37"/>
      <c r="AL592" s="37"/>
      <c r="AM592" s="37"/>
      <c r="AN592" s="37"/>
      <c r="AO592" s="37"/>
      <c r="AP592" s="37"/>
      <c r="AQ592" s="37"/>
      <c r="AR592" s="37" t="s">
        <v>1124</v>
      </c>
      <c r="AS592" s="37"/>
      <c r="AT592" s="37"/>
      <c r="AU592" s="37"/>
      <c r="AV592" s="37"/>
      <c r="AW592" s="37"/>
      <c r="AX592" s="37"/>
      <c r="AY592" s="37"/>
      <c r="AZ592" s="37"/>
      <c r="BA592" s="37"/>
      <c r="BB592" s="37"/>
      <c r="BC592" s="37"/>
      <c r="BD592" s="37" t="s">
        <v>1124</v>
      </c>
      <c r="BE592" s="37"/>
      <c r="BF592" s="37"/>
      <c r="BG592" s="37"/>
      <c r="BH592" s="37"/>
      <c r="BI592" s="37"/>
      <c r="BJ592" s="37"/>
      <c r="BK592" s="37"/>
      <c r="BL592" s="37"/>
      <c r="BM592" s="37"/>
      <c r="BN592" s="37"/>
      <c r="BO592" s="37"/>
      <c r="BP592" s="37">
        <v>0</v>
      </c>
      <c r="BQ592" s="37"/>
      <c r="BR592" s="37"/>
      <c r="BS592" s="37"/>
      <c r="BT592" s="37"/>
      <c r="BU592" s="37"/>
      <c r="BV592" s="37"/>
      <c r="BW592" s="37"/>
      <c r="BX592" s="37"/>
      <c r="BY592" s="37"/>
      <c r="BZ592" s="37"/>
      <c r="CA592" s="37"/>
      <c r="CB592" s="37" t="s">
        <v>1124</v>
      </c>
      <c r="CC592" s="37"/>
      <c r="CD592" s="37"/>
      <c r="CE592" s="37"/>
      <c r="CF592" s="37"/>
      <c r="CG592" s="37"/>
      <c r="CH592" s="37"/>
      <c r="CI592" s="37"/>
      <c r="CJ592" s="37"/>
      <c r="CK592" s="37"/>
      <c r="CL592" s="37"/>
      <c r="CM592" s="37"/>
      <c r="CN592" s="37" t="s">
        <v>1124</v>
      </c>
      <c r="CO592" s="37"/>
      <c r="CP592" s="37"/>
      <c r="CQ592" s="37"/>
      <c r="CR592" s="37"/>
      <c r="CS592" s="37"/>
      <c r="CT592" s="37"/>
      <c r="CU592" s="37"/>
      <c r="CV592" s="37"/>
      <c r="CW592" s="37"/>
      <c r="CX592" s="37"/>
      <c r="CY592" s="37"/>
      <c r="CZ592" s="37" t="s">
        <v>1124</v>
      </c>
      <c r="DA592" s="37"/>
      <c r="DB592" s="37"/>
      <c r="DC592" s="37"/>
      <c r="DD592" s="37"/>
      <c r="DE592" s="37"/>
      <c r="DF592" s="37"/>
      <c r="DG592" s="37"/>
      <c r="DH592" s="37"/>
      <c r="DI592" s="37"/>
      <c r="DJ592" s="37"/>
      <c r="DK592" s="37"/>
      <c r="DL592" s="37" t="s">
        <v>1124</v>
      </c>
      <c r="DM592" s="37"/>
      <c r="DN592" s="37"/>
      <c r="DO592" s="37"/>
      <c r="DP592" s="37"/>
      <c r="DQ592" s="37"/>
      <c r="DR592" s="37"/>
      <c r="DS592" s="37"/>
      <c r="DT592" s="37"/>
      <c r="DU592" s="37"/>
      <c r="DV592" s="37"/>
      <c r="DW592" s="37"/>
      <c r="DX592" s="37" t="s">
        <v>1124</v>
      </c>
      <c r="DY592" s="37"/>
      <c r="DZ592" s="37"/>
      <c r="EA592" s="37"/>
      <c r="EB592" s="37"/>
      <c r="EC592" s="37"/>
      <c r="ED592" s="37"/>
      <c r="EE592" s="37"/>
      <c r="EF592" s="37"/>
      <c r="EG592" s="37"/>
      <c r="EH592" s="37"/>
      <c r="EI592" s="37"/>
      <c r="EJ592" s="37" t="s">
        <v>1124</v>
      </c>
      <c r="EK592" s="161"/>
      <c r="EL592" s="294"/>
    </row>
    <row r="593" spans="1:142" ht="15" customHeight="1" x14ac:dyDescent="0.35">
      <c r="A593" s="34"/>
      <c r="B593" s="313">
        <v>29100</v>
      </c>
      <c r="C593" s="8" t="s">
        <v>213</v>
      </c>
      <c r="D593" s="18">
        <v>12</v>
      </c>
      <c r="E593" s="155">
        <v>94633</v>
      </c>
      <c r="F593" s="36">
        <v>66396</v>
      </c>
      <c r="G593" s="37">
        <v>62396</v>
      </c>
      <c r="H593" s="37">
        <v>0</v>
      </c>
      <c r="I593" s="37">
        <v>285200</v>
      </c>
      <c r="J593" s="37">
        <v>0</v>
      </c>
      <c r="K593" s="37">
        <v>9463.3000000000011</v>
      </c>
      <c r="L593" s="37">
        <v>6639.6</v>
      </c>
      <c r="M593" s="37">
        <v>451692.3</v>
      </c>
      <c r="N593" s="37">
        <v>73035.600000000006</v>
      </c>
      <c r="O593" s="37">
        <v>31863</v>
      </c>
      <c r="P593" s="37">
        <v>0</v>
      </c>
      <c r="Q593" s="37">
        <v>123176</v>
      </c>
      <c r="R593" s="37">
        <v>122670</v>
      </c>
      <c r="S593" s="37">
        <v>0</v>
      </c>
      <c r="T593" s="37">
        <v>0</v>
      </c>
      <c r="U593" s="37">
        <v>73829</v>
      </c>
      <c r="V593" s="37">
        <v>0</v>
      </c>
      <c r="W593" s="37">
        <v>173190</v>
      </c>
      <c r="X593" s="37">
        <v>0</v>
      </c>
      <c r="Y593" s="37">
        <v>0</v>
      </c>
      <c r="Z593" s="37">
        <v>0</v>
      </c>
      <c r="AA593" s="37">
        <v>402058</v>
      </c>
      <c r="AB593" s="37">
        <v>122670</v>
      </c>
      <c r="AC593" s="37">
        <v>9.9999999976716936E-2</v>
      </c>
      <c r="AD593" s="37">
        <v>0</v>
      </c>
      <c r="AE593" s="37">
        <v>0</v>
      </c>
      <c r="AF593" s="168">
        <v>0.02</v>
      </c>
      <c r="AG593" s="37">
        <v>23319137</v>
      </c>
      <c r="AH593" s="37">
        <v>147303.73000000001</v>
      </c>
      <c r="AI593" s="37">
        <v>133270.47</v>
      </c>
      <c r="AJ593" s="37">
        <v>135935.88</v>
      </c>
      <c r="AK593" s="37">
        <v>138654.6</v>
      </c>
      <c r="AL593" s="37">
        <v>141427.69</v>
      </c>
      <c r="AM593" s="37">
        <v>144256.25</v>
      </c>
      <c r="AN593" s="37">
        <v>147141.37</v>
      </c>
      <c r="AO593" s="37">
        <v>150084.20000000001</v>
      </c>
      <c r="AP593" s="37">
        <v>153085.88</v>
      </c>
      <c r="AQ593" s="37">
        <v>156147.6</v>
      </c>
      <c r="AR593" s="37">
        <v>1447307.67</v>
      </c>
      <c r="AS593" s="37">
        <v>0</v>
      </c>
      <c r="AT593" s="37">
        <v>0</v>
      </c>
      <c r="AU593" s="37">
        <v>0</v>
      </c>
      <c r="AV593" s="37">
        <v>0</v>
      </c>
      <c r="AW593" s="37">
        <v>0</v>
      </c>
      <c r="AX593" s="37">
        <v>0</v>
      </c>
      <c r="AY593" s="37">
        <v>0</v>
      </c>
      <c r="AZ593" s="37">
        <v>0</v>
      </c>
      <c r="BA593" s="37">
        <v>0</v>
      </c>
      <c r="BB593" s="37">
        <v>0</v>
      </c>
      <c r="BC593" s="37">
        <v>0</v>
      </c>
      <c r="BD593" s="37">
        <v>0</v>
      </c>
      <c r="BE593" s="37">
        <v>0</v>
      </c>
      <c r="BF593" s="37">
        <v>0</v>
      </c>
      <c r="BG593" s="37">
        <v>0</v>
      </c>
      <c r="BH593" s="37">
        <v>0</v>
      </c>
      <c r="BI593" s="37">
        <v>0</v>
      </c>
      <c r="BJ593" s="37">
        <v>0</v>
      </c>
      <c r="BK593" s="37">
        <v>0</v>
      </c>
      <c r="BL593" s="37">
        <v>0</v>
      </c>
      <c r="BM593" s="37">
        <v>0</v>
      </c>
      <c r="BN593" s="37">
        <v>0</v>
      </c>
      <c r="BO593" s="37">
        <v>0</v>
      </c>
      <c r="BP593" s="37">
        <v>0</v>
      </c>
      <c r="BQ593" s="37">
        <v>0</v>
      </c>
      <c r="BR593" s="37">
        <v>0</v>
      </c>
      <c r="BS593" s="37">
        <v>0</v>
      </c>
      <c r="BT593" s="37">
        <v>0</v>
      </c>
      <c r="BU593" s="37">
        <v>0</v>
      </c>
      <c r="BV593" s="37">
        <v>0</v>
      </c>
      <c r="BW593" s="37">
        <v>0</v>
      </c>
      <c r="BX593" s="37">
        <v>0</v>
      </c>
      <c r="BY593" s="37">
        <v>0</v>
      </c>
      <c r="BZ593" s="37">
        <v>0</v>
      </c>
      <c r="CA593" s="37">
        <v>0</v>
      </c>
      <c r="CB593" s="37">
        <v>0</v>
      </c>
      <c r="CC593" s="37">
        <v>0</v>
      </c>
      <c r="CD593" s="37">
        <v>0</v>
      </c>
      <c r="CE593" s="37">
        <v>0</v>
      </c>
      <c r="CF593" s="37">
        <v>0</v>
      </c>
      <c r="CG593" s="37">
        <v>0</v>
      </c>
      <c r="CH593" s="37">
        <v>0</v>
      </c>
      <c r="CI593" s="37">
        <v>0</v>
      </c>
      <c r="CJ593" s="37">
        <v>0</v>
      </c>
      <c r="CK593" s="37">
        <v>0</v>
      </c>
      <c r="CL593" s="37">
        <v>0</v>
      </c>
      <c r="CM593" s="37">
        <v>0</v>
      </c>
      <c r="CN593" s="37">
        <v>0</v>
      </c>
      <c r="CO593" s="37">
        <v>0</v>
      </c>
      <c r="CP593" s="37">
        <v>0</v>
      </c>
      <c r="CQ593" s="37">
        <v>0</v>
      </c>
      <c r="CR593" s="37">
        <v>0</v>
      </c>
      <c r="CS593" s="37">
        <v>0</v>
      </c>
      <c r="CT593" s="37">
        <v>0</v>
      </c>
      <c r="CU593" s="37">
        <v>0</v>
      </c>
      <c r="CV593" s="37">
        <v>0</v>
      </c>
      <c r="CW593" s="37">
        <v>0</v>
      </c>
      <c r="CX593" s="37">
        <v>0</v>
      </c>
      <c r="CY593" s="37">
        <v>0</v>
      </c>
      <c r="CZ593" s="37">
        <v>0</v>
      </c>
      <c r="DA593" s="37">
        <v>0</v>
      </c>
      <c r="DB593" s="37">
        <v>0</v>
      </c>
      <c r="DC593" s="37">
        <v>0</v>
      </c>
      <c r="DD593" s="37">
        <v>0</v>
      </c>
      <c r="DE593" s="37">
        <v>0</v>
      </c>
      <c r="DF593" s="37">
        <v>0</v>
      </c>
      <c r="DG593" s="37">
        <v>0</v>
      </c>
      <c r="DH593" s="37">
        <v>0</v>
      </c>
      <c r="DI593" s="37">
        <v>0</v>
      </c>
      <c r="DJ593" s="37">
        <v>0</v>
      </c>
      <c r="DK593" s="37">
        <v>0</v>
      </c>
      <c r="DL593" s="37">
        <v>0</v>
      </c>
      <c r="DM593" s="37">
        <v>0</v>
      </c>
      <c r="DN593" s="37">
        <v>0</v>
      </c>
      <c r="DO593" s="37">
        <v>0</v>
      </c>
      <c r="DP593" s="37">
        <v>0</v>
      </c>
      <c r="DQ593" s="37">
        <v>0</v>
      </c>
      <c r="DR593" s="37">
        <v>0</v>
      </c>
      <c r="DS593" s="37">
        <v>0</v>
      </c>
      <c r="DT593" s="37">
        <v>0</v>
      </c>
      <c r="DU593" s="37">
        <v>0</v>
      </c>
      <c r="DV593" s="37">
        <v>0</v>
      </c>
      <c r="DW593" s="37">
        <v>0</v>
      </c>
      <c r="DX593" s="37">
        <v>0</v>
      </c>
      <c r="DY593" s="37">
        <v>0</v>
      </c>
      <c r="DZ593" s="37">
        <v>0</v>
      </c>
      <c r="EA593" s="37">
        <v>0</v>
      </c>
      <c r="EB593" s="37">
        <v>0</v>
      </c>
      <c r="EC593" s="37">
        <v>0</v>
      </c>
      <c r="ED593" s="37">
        <v>0</v>
      </c>
      <c r="EE593" s="37">
        <v>0</v>
      </c>
      <c r="EF593" s="37">
        <v>0</v>
      </c>
      <c r="EG593" s="37">
        <v>0</v>
      </c>
      <c r="EH593" s="37">
        <v>0</v>
      </c>
      <c r="EI593" s="37">
        <v>0</v>
      </c>
      <c r="EJ593" s="37">
        <v>0</v>
      </c>
      <c r="EK593" s="161" t="s">
        <v>2656</v>
      </c>
      <c r="EL593" s="294" t="s">
        <v>1124</v>
      </c>
    </row>
    <row r="594" spans="1:142" ht="15" customHeight="1" x14ac:dyDescent="0.35">
      <c r="A594" s="34"/>
      <c r="B594" s="313">
        <v>26055</v>
      </c>
      <c r="C594" s="8" t="s">
        <v>175</v>
      </c>
      <c r="D594" s="18">
        <v>12</v>
      </c>
      <c r="E594" s="155">
        <v>96915</v>
      </c>
      <c r="F594" s="36">
        <v>173654</v>
      </c>
      <c r="G594" s="37">
        <v>0</v>
      </c>
      <c r="H594" s="37">
        <v>0</v>
      </c>
      <c r="I594" s="37">
        <v>0</v>
      </c>
      <c r="J594" s="37">
        <v>0</v>
      </c>
      <c r="K594" s="37">
        <v>14537.25</v>
      </c>
      <c r="L594" s="37">
        <v>26048.1</v>
      </c>
      <c r="M594" s="37">
        <v>111452.25</v>
      </c>
      <c r="N594" s="37">
        <v>199702.1</v>
      </c>
      <c r="O594" s="37">
        <v>157433</v>
      </c>
      <c r="P594" s="37">
        <v>151913</v>
      </c>
      <c r="Q594" s="37">
        <v>0</v>
      </c>
      <c r="R594" s="37">
        <v>0</v>
      </c>
      <c r="S594" s="37">
        <v>0</v>
      </c>
      <c r="T594" s="37">
        <v>0</v>
      </c>
      <c r="U594" s="37">
        <v>0</v>
      </c>
      <c r="V594" s="37">
        <v>0</v>
      </c>
      <c r="W594" s="37">
        <v>904.17499999998836</v>
      </c>
      <c r="X594" s="37">
        <v>904.17499999998836</v>
      </c>
      <c r="Y594" s="37">
        <v>0</v>
      </c>
      <c r="Z594" s="37">
        <v>0</v>
      </c>
      <c r="AA594" s="37">
        <v>158337.17499999999</v>
      </c>
      <c r="AB594" s="37">
        <v>152817.17499999999</v>
      </c>
      <c r="AC594" s="37">
        <v>0</v>
      </c>
      <c r="AD594" s="37">
        <v>0</v>
      </c>
      <c r="AE594" s="37">
        <v>0</v>
      </c>
      <c r="AF594" s="168">
        <v>0.02</v>
      </c>
      <c r="AG594" s="37">
        <v>8115456.9800000004</v>
      </c>
      <c r="AH594" s="37">
        <v>33656.94</v>
      </c>
      <c r="AI594" s="37">
        <v>34330.080000000002</v>
      </c>
      <c r="AJ594" s="37">
        <v>35016.68</v>
      </c>
      <c r="AK594" s="37">
        <v>35717.01</v>
      </c>
      <c r="AL594" s="37">
        <v>36431.35</v>
      </c>
      <c r="AM594" s="37">
        <v>37159.980000000003</v>
      </c>
      <c r="AN594" s="37">
        <v>37903.18</v>
      </c>
      <c r="AO594" s="37">
        <v>38661.24</v>
      </c>
      <c r="AP594" s="37">
        <v>39434.47</v>
      </c>
      <c r="AQ594" s="37">
        <v>40223.160000000003</v>
      </c>
      <c r="AR594" s="37">
        <v>368534.09</v>
      </c>
      <c r="AS594" s="37">
        <v>25489.8</v>
      </c>
      <c r="AT594" s="37">
        <v>4161600</v>
      </c>
      <c r="AU594" s="37">
        <v>2653020</v>
      </c>
      <c r="AV594" s="37">
        <v>2706080.4</v>
      </c>
      <c r="AW594" s="37">
        <v>0</v>
      </c>
      <c r="AX594" s="37">
        <v>0</v>
      </c>
      <c r="AY594" s="37">
        <v>0</v>
      </c>
      <c r="AZ594" s="37">
        <v>0</v>
      </c>
      <c r="BA594" s="37">
        <v>0</v>
      </c>
      <c r="BB594" s="37">
        <v>0</v>
      </c>
      <c r="BC594" s="37">
        <v>0</v>
      </c>
      <c r="BD594" s="37">
        <v>9520700.4000000004</v>
      </c>
      <c r="BE594" s="37">
        <v>45687</v>
      </c>
      <c r="BF594" s="37">
        <v>0</v>
      </c>
      <c r="BG594" s="37">
        <v>0</v>
      </c>
      <c r="BH594" s="37">
        <v>0</v>
      </c>
      <c r="BI594" s="37">
        <v>0</v>
      </c>
      <c r="BJ594" s="37">
        <v>0</v>
      </c>
      <c r="BK594" s="37">
        <v>0</v>
      </c>
      <c r="BL594" s="37">
        <v>0</v>
      </c>
      <c r="BM594" s="37">
        <v>0</v>
      </c>
      <c r="BN594" s="37">
        <v>0</v>
      </c>
      <c r="BO594" s="37">
        <v>0</v>
      </c>
      <c r="BP594" s="37">
        <v>0</v>
      </c>
      <c r="BQ594" s="37">
        <v>0</v>
      </c>
      <c r="BR594" s="37">
        <v>0</v>
      </c>
      <c r="BS594" s="37">
        <v>0</v>
      </c>
      <c r="BT594" s="37">
        <v>0</v>
      </c>
      <c r="BU594" s="37">
        <v>0</v>
      </c>
      <c r="BV594" s="37">
        <v>0</v>
      </c>
      <c r="BW594" s="37">
        <v>0</v>
      </c>
      <c r="BX594" s="37">
        <v>0</v>
      </c>
      <c r="BY594" s="37">
        <v>0</v>
      </c>
      <c r="BZ594" s="37">
        <v>0</v>
      </c>
      <c r="CA594" s="37">
        <v>0</v>
      </c>
      <c r="CB594" s="37">
        <v>0</v>
      </c>
      <c r="CC594" s="37">
        <v>0</v>
      </c>
      <c r="CD594" s="37">
        <v>0</v>
      </c>
      <c r="CE594" s="37">
        <v>0</v>
      </c>
      <c r="CF594" s="37">
        <v>0</v>
      </c>
      <c r="CG594" s="37">
        <v>0</v>
      </c>
      <c r="CH594" s="37">
        <v>0</v>
      </c>
      <c r="CI594" s="37">
        <v>0</v>
      </c>
      <c r="CJ594" s="37">
        <v>0</v>
      </c>
      <c r="CK594" s="37">
        <v>0</v>
      </c>
      <c r="CL594" s="37">
        <v>0</v>
      </c>
      <c r="CM594" s="37">
        <v>0</v>
      </c>
      <c r="CN594" s="37">
        <v>0</v>
      </c>
      <c r="CO594" s="37">
        <v>137000</v>
      </c>
      <c r="CP594" s="37">
        <v>155900</v>
      </c>
      <c r="CQ594" s="37">
        <v>0</v>
      </c>
      <c r="CR594" s="37">
        <v>0</v>
      </c>
      <c r="CS594" s="37">
        <v>0</v>
      </c>
      <c r="CT594" s="37">
        <v>0</v>
      </c>
      <c r="CU594" s="37">
        <v>0</v>
      </c>
      <c r="CV594" s="37">
        <v>0</v>
      </c>
      <c r="CW594" s="37">
        <v>0</v>
      </c>
      <c r="CX594" s="37">
        <v>0</v>
      </c>
      <c r="CY594" s="37">
        <v>0</v>
      </c>
      <c r="CZ594" s="37">
        <v>155900</v>
      </c>
      <c r="DA594" s="37">
        <v>68500</v>
      </c>
      <c r="DB594" s="37">
        <v>0</v>
      </c>
      <c r="DC594" s="37">
        <v>0</v>
      </c>
      <c r="DD594" s="37">
        <v>0</v>
      </c>
      <c r="DE594" s="37">
        <v>0</v>
      </c>
      <c r="DF594" s="37">
        <v>0</v>
      </c>
      <c r="DG594" s="37">
        <v>0</v>
      </c>
      <c r="DH594" s="37">
        <v>0</v>
      </c>
      <c r="DI594" s="37">
        <v>0</v>
      </c>
      <c r="DJ594" s="37">
        <v>0</v>
      </c>
      <c r="DK594" s="37">
        <v>0</v>
      </c>
      <c r="DL594" s="37">
        <v>0</v>
      </c>
      <c r="DM594" s="37">
        <v>0</v>
      </c>
      <c r="DN594" s="37">
        <v>0</v>
      </c>
      <c r="DO594" s="37">
        <v>0</v>
      </c>
      <c r="DP594" s="37">
        <v>0</v>
      </c>
      <c r="DQ594" s="37">
        <v>0</v>
      </c>
      <c r="DR594" s="37">
        <v>0</v>
      </c>
      <c r="DS594" s="37">
        <v>0</v>
      </c>
      <c r="DT594" s="37">
        <v>0</v>
      </c>
      <c r="DU594" s="37">
        <v>0</v>
      </c>
      <c r="DV594" s="37">
        <v>0</v>
      </c>
      <c r="DW594" s="37">
        <v>0</v>
      </c>
      <c r="DX594" s="37">
        <v>0</v>
      </c>
      <c r="DY594" s="37">
        <v>0</v>
      </c>
      <c r="DZ594" s="37">
        <v>0</v>
      </c>
      <c r="EA594" s="37">
        <v>0</v>
      </c>
      <c r="EB594" s="37">
        <v>0</v>
      </c>
      <c r="EC594" s="37">
        <v>0</v>
      </c>
      <c r="ED594" s="37">
        <v>0</v>
      </c>
      <c r="EE594" s="37">
        <v>0</v>
      </c>
      <c r="EF594" s="37">
        <v>0</v>
      </c>
      <c r="EG594" s="37">
        <v>0</v>
      </c>
      <c r="EH594" s="37">
        <v>0</v>
      </c>
      <c r="EI594" s="37">
        <v>0</v>
      </c>
      <c r="EJ594" s="37">
        <v>0</v>
      </c>
      <c r="EK594" s="161" t="s">
        <v>2660</v>
      </c>
      <c r="EL594" s="294" t="s">
        <v>1124</v>
      </c>
    </row>
    <row r="595" spans="1:142" ht="15" customHeight="1" x14ac:dyDescent="0.35">
      <c r="A595" s="34"/>
      <c r="B595" s="313">
        <v>68005</v>
      </c>
      <c r="C595" s="8" t="s">
        <v>673</v>
      </c>
      <c r="D595" s="18">
        <v>16</v>
      </c>
      <c r="E595" s="155"/>
      <c r="F595" s="36"/>
      <c r="G595" s="37"/>
      <c r="H595" s="37"/>
      <c r="I595" s="37"/>
      <c r="J595" s="37"/>
      <c r="K595" s="37"/>
      <c r="L595" s="37"/>
      <c r="M595" s="37" t="s">
        <v>1124</v>
      </c>
      <c r="N595" s="37" t="s">
        <v>1124</v>
      </c>
      <c r="O595" s="37"/>
      <c r="P595" s="37"/>
      <c r="Q595" s="37"/>
      <c r="R595" s="37"/>
      <c r="S595" s="37"/>
      <c r="T595" s="37"/>
      <c r="U595" s="37"/>
      <c r="V595" s="37"/>
      <c r="W595" s="37"/>
      <c r="X595" s="37"/>
      <c r="Y595" s="37"/>
      <c r="Z595" s="37"/>
      <c r="AA595" s="37" t="s">
        <v>1124</v>
      </c>
      <c r="AB595" s="37" t="s">
        <v>1124</v>
      </c>
      <c r="AC595" s="37"/>
      <c r="AD595" s="37"/>
      <c r="AE595" s="37"/>
      <c r="AF595" s="168"/>
      <c r="AG595" s="37"/>
      <c r="AH595" s="37"/>
      <c r="AI595" s="37"/>
      <c r="AJ595" s="37"/>
      <c r="AK595" s="37"/>
      <c r="AL595" s="37"/>
      <c r="AM595" s="37"/>
      <c r="AN595" s="37"/>
      <c r="AO595" s="37"/>
      <c r="AP595" s="37"/>
      <c r="AQ595" s="37"/>
      <c r="AR595" s="37" t="s">
        <v>1124</v>
      </c>
      <c r="AS595" s="37"/>
      <c r="AT595" s="37"/>
      <c r="AU595" s="37"/>
      <c r="AV595" s="37"/>
      <c r="AW595" s="37"/>
      <c r="AX595" s="37"/>
      <c r="AY595" s="37"/>
      <c r="AZ595" s="37"/>
      <c r="BA595" s="37"/>
      <c r="BB595" s="37"/>
      <c r="BC595" s="37"/>
      <c r="BD595" s="37" t="s">
        <v>1124</v>
      </c>
      <c r="BE595" s="37"/>
      <c r="BF595" s="37"/>
      <c r="BG595" s="37"/>
      <c r="BH595" s="37"/>
      <c r="BI595" s="37"/>
      <c r="BJ595" s="37"/>
      <c r="BK595" s="37"/>
      <c r="BL595" s="37"/>
      <c r="BM595" s="37"/>
      <c r="BN595" s="37"/>
      <c r="BO595" s="37"/>
      <c r="BP595" s="37">
        <v>0</v>
      </c>
      <c r="BQ595" s="37"/>
      <c r="BR595" s="37"/>
      <c r="BS595" s="37"/>
      <c r="BT595" s="37"/>
      <c r="BU595" s="37"/>
      <c r="BV595" s="37"/>
      <c r="BW595" s="37"/>
      <c r="BX595" s="37"/>
      <c r="BY595" s="37"/>
      <c r="BZ595" s="37"/>
      <c r="CA595" s="37"/>
      <c r="CB595" s="37" t="s">
        <v>1124</v>
      </c>
      <c r="CC595" s="37"/>
      <c r="CD595" s="37"/>
      <c r="CE595" s="37"/>
      <c r="CF595" s="37"/>
      <c r="CG595" s="37"/>
      <c r="CH595" s="37"/>
      <c r="CI595" s="37"/>
      <c r="CJ595" s="37"/>
      <c r="CK595" s="37"/>
      <c r="CL595" s="37"/>
      <c r="CM595" s="37"/>
      <c r="CN595" s="37" t="s">
        <v>1124</v>
      </c>
      <c r="CO595" s="37"/>
      <c r="CP595" s="37"/>
      <c r="CQ595" s="37"/>
      <c r="CR595" s="37"/>
      <c r="CS595" s="37"/>
      <c r="CT595" s="37"/>
      <c r="CU595" s="37"/>
      <c r="CV595" s="37"/>
      <c r="CW595" s="37"/>
      <c r="CX595" s="37"/>
      <c r="CY595" s="37"/>
      <c r="CZ595" s="37" t="s">
        <v>1124</v>
      </c>
      <c r="DA595" s="37"/>
      <c r="DB595" s="37"/>
      <c r="DC595" s="37"/>
      <c r="DD595" s="37"/>
      <c r="DE595" s="37"/>
      <c r="DF595" s="37"/>
      <c r="DG595" s="37"/>
      <c r="DH595" s="37"/>
      <c r="DI595" s="37"/>
      <c r="DJ595" s="37"/>
      <c r="DK595" s="37"/>
      <c r="DL595" s="37" t="s">
        <v>1124</v>
      </c>
      <c r="DM595" s="37"/>
      <c r="DN595" s="37"/>
      <c r="DO595" s="37"/>
      <c r="DP595" s="37"/>
      <c r="DQ595" s="37"/>
      <c r="DR595" s="37"/>
      <c r="DS595" s="37"/>
      <c r="DT595" s="37"/>
      <c r="DU595" s="37"/>
      <c r="DV595" s="37"/>
      <c r="DW595" s="37"/>
      <c r="DX595" s="37" t="s">
        <v>1124</v>
      </c>
      <c r="DY595" s="37"/>
      <c r="DZ595" s="37"/>
      <c r="EA595" s="37"/>
      <c r="EB595" s="37"/>
      <c r="EC595" s="37"/>
      <c r="ED595" s="37"/>
      <c r="EE595" s="37"/>
      <c r="EF595" s="37"/>
      <c r="EG595" s="37"/>
      <c r="EH595" s="37"/>
      <c r="EI595" s="37"/>
      <c r="EJ595" s="37" t="s">
        <v>1124</v>
      </c>
      <c r="EK595" s="161"/>
      <c r="EL595" s="294"/>
    </row>
    <row r="596" spans="1:142" ht="15" customHeight="1" x14ac:dyDescent="0.35">
      <c r="A596" s="34"/>
      <c r="B596" s="313">
        <v>54115</v>
      </c>
      <c r="C596" s="8" t="s">
        <v>556</v>
      </c>
      <c r="D596" s="18">
        <v>16</v>
      </c>
      <c r="E596" s="155">
        <v>113632</v>
      </c>
      <c r="F596" s="36">
        <v>60445</v>
      </c>
      <c r="G596" s="37">
        <v>0</v>
      </c>
      <c r="H596" s="37">
        <v>52865</v>
      </c>
      <c r="I596" s="37">
        <v>0</v>
      </c>
      <c r="J596" s="37">
        <v>2900</v>
      </c>
      <c r="K596" s="37">
        <v>0</v>
      </c>
      <c r="L596" s="37">
        <v>215000</v>
      </c>
      <c r="M596" s="37">
        <v>113632</v>
      </c>
      <c r="N596" s="37">
        <v>331210</v>
      </c>
      <c r="O596" s="37">
        <v>73161</v>
      </c>
      <c r="P596" s="37">
        <v>0</v>
      </c>
      <c r="Q596" s="37">
        <v>0</v>
      </c>
      <c r="R596" s="37">
        <v>117974</v>
      </c>
      <c r="S596" s="37">
        <v>2240</v>
      </c>
      <c r="T596" s="37">
        <v>0</v>
      </c>
      <c r="U596" s="37">
        <v>0</v>
      </c>
      <c r="V596" s="37">
        <v>187937</v>
      </c>
      <c r="W596" s="37">
        <v>50000</v>
      </c>
      <c r="X596" s="37">
        <v>19946</v>
      </c>
      <c r="Y596" s="37">
        <v>0</v>
      </c>
      <c r="Z596" s="37">
        <v>0</v>
      </c>
      <c r="AA596" s="37">
        <v>125401</v>
      </c>
      <c r="AB596" s="37">
        <v>325857</v>
      </c>
      <c r="AC596" s="37">
        <v>6416</v>
      </c>
      <c r="AD596" s="37">
        <v>0</v>
      </c>
      <c r="AE596" s="37">
        <v>0</v>
      </c>
      <c r="AF596" s="168">
        <v>0.02</v>
      </c>
      <c r="AG596" s="37">
        <v>3781587.37</v>
      </c>
      <c r="AH596" s="37">
        <v>17108.34</v>
      </c>
      <c r="AI596" s="37">
        <v>17450.5</v>
      </c>
      <c r="AJ596" s="37">
        <v>17799.509999999998</v>
      </c>
      <c r="AK596" s="37">
        <v>18155.5</v>
      </c>
      <c r="AL596" s="37">
        <v>18518.61</v>
      </c>
      <c r="AM596" s="37">
        <v>18888.990000000002</v>
      </c>
      <c r="AN596" s="37">
        <v>19266.77</v>
      </c>
      <c r="AO596" s="37">
        <v>19652.099999999999</v>
      </c>
      <c r="AP596" s="37">
        <v>20045.14</v>
      </c>
      <c r="AQ596" s="37">
        <v>20446.05</v>
      </c>
      <c r="AR596" s="37">
        <v>187331.51</v>
      </c>
      <c r="AS596" s="37">
        <v>0</v>
      </c>
      <c r="AT596" s="37">
        <v>0</v>
      </c>
      <c r="AU596" s="37">
        <v>0</v>
      </c>
      <c r="AV596" s="37">
        <v>0</v>
      </c>
      <c r="AW596" s="37">
        <v>0</v>
      </c>
      <c r="AX596" s="37">
        <v>0</v>
      </c>
      <c r="AY596" s="37">
        <v>0</v>
      </c>
      <c r="AZ596" s="37">
        <v>0</v>
      </c>
      <c r="BA596" s="37">
        <v>0</v>
      </c>
      <c r="BB596" s="37">
        <v>0</v>
      </c>
      <c r="BC596" s="37">
        <v>0</v>
      </c>
      <c r="BD596" s="37">
        <v>0</v>
      </c>
      <c r="BE596" s="37">
        <v>0</v>
      </c>
      <c r="BF596" s="37">
        <v>0</v>
      </c>
      <c r="BG596" s="37">
        <v>0</v>
      </c>
      <c r="BH596" s="37">
        <v>0</v>
      </c>
      <c r="BI596" s="37">
        <v>0</v>
      </c>
      <c r="BJ596" s="37">
        <v>0</v>
      </c>
      <c r="BK596" s="37">
        <v>0</v>
      </c>
      <c r="BL596" s="37">
        <v>0</v>
      </c>
      <c r="BM596" s="37">
        <v>0</v>
      </c>
      <c r="BN596" s="37">
        <v>0</v>
      </c>
      <c r="BO596" s="37">
        <v>0</v>
      </c>
      <c r="BP596" s="37">
        <v>0</v>
      </c>
      <c r="BQ596" s="37">
        <v>0</v>
      </c>
      <c r="BR596" s="37">
        <v>0</v>
      </c>
      <c r="BS596" s="37">
        <v>0</v>
      </c>
      <c r="BT596" s="37">
        <v>0</v>
      </c>
      <c r="BU596" s="37">
        <v>0</v>
      </c>
      <c r="BV596" s="37">
        <v>0</v>
      </c>
      <c r="BW596" s="37">
        <v>0</v>
      </c>
      <c r="BX596" s="37">
        <v>0</v>
      </c>
      <c r="BY596" s="37">
        <v>0</v>
      </c>
      <c r="BZ596" s="37">
        <v>0</v>
      </c>
      <c r="CA596" s="37">
        <v>0</v>
      </c>
      <c r="CB596" s="37">
        <v>0</v>
      </c>
      <c r="CC596" s="37">
        <v>0</v>
      </c>
      <c r="CD596" s="37">
        <v>0</v>
      </c>
      <c r="CE596" s="37">
        <v>0</v>
      </c>
      <c r="CF596" s="37">
        <v>0</v>
      </c>
      <c r="CG596" s="37">
        <v>0</v>
      </c>
      <c r="CH596" s="37">
        <v>0</v>
      </c>
      <c r="CI596" s="37">
        <v>0</v>
      </c>
      <c r="CJ596" s="37">
        <v>0</v>
      </c>
      <c r="CK596" s="37">
        <v>0</v>
      </c>
      <c r="CL596" s="37">
        <v>0</v>
      </c>
      <c r="CM596" s="37">
        <v>0</v>
      </c>
      <c r="CN596" s="37">
        <v>0</v>
      </c>
      <c r="CO596" s="37">
        <v>0</v>
      </c>
      <c r="CP596" s="37">
        <v>0</v>
      </c>
      <c r="CQ596" s="37">
        <v>0</v>
      </c>
      <c r="CR596" s="37">
        <v>0</v>
      </c>
      <c r="CS596" s="37">
        <v>0</v>
      </c>
      <c r="CT596" s="37">
        <v>0</v>
      </c>
      <c r="CU596" s="37">
        <v>0</v>
      </c>
      <c r="CV596" s="37">
        <v>0</v>
      </c>
      <c r="CW596" s="37">
        <v>0</v>
      </c>
      <c r="CX596" s="37">
        <v>0</v>
      </c>
      <c r="CY596" s="37">
        <v>0</v>
      </c>
      <c r="CZ596" s="37">
        <v>0</v>
      </c>
      <c r="DA596" s="37">
        <v>0</v>
      </c>
      <c r="DB596" s="37">
        <v>0</v>
      </c>
      <c r="DC596" s="37">
        <v>0</v>
      </c>
      <c r="DD596" s="37">
        <v>0</v>
      </c>
      <c r="DE596" s="37">
        <v>0</v>
      </c>
      <c r="DF596" s="37">
        <v>0</v>
      </c>
      <c r="DG596" s="37">
        <v>0</v>
      </c>
      <c r="DH596" s="37">
        <v>0</v>
      </c>
      <c r="DI596" s="37">
        <v>0</v>
      </c>
      <c r="DJ596" s="37">
        <v>0</v>
      </c>
      <c r="DK596" s="37">
        <v>0</v>
      </c>
      <c r="DL596" s="37">
        <v>0</v>
      </c>
      <c r="DM596" s="37">
        <v>0</v>
      </c>
      <c r="DN596" s="37">
        <v>0</v>
      </c>
      <c r="DO596" s="37">
        <v>0</v>
      </c>
      <c r="DP596" s="37">
        <v>0</v>
      </c>
      <c r="DQ596" s="37">
        <v>0</v>
      </c>
      <c r="DR596" s="37">
        <v>0</v>
      </c>
      <c r="DS596" s="37">
        <v>0</v>
      </c>
      <c r="DT596" s="37">
        <v>0</v>
      </c>
      <c r="DU596" s="37">
        <v>0</v>
      </c>
      <c r="DV596" s="37">
        <v>0</v>
      </c>
      <c r="DW596" s="37">
        <v>0</v>
      </c>
      <c r="DX596" s="37">
        <v>0</v>
      </c>
      <c r="DY596" s="37">
        <v>0</v>
      </c>
      <c r="DZ596" s="37">
        <v>0</v>
      </c>
      <c r="EA596" s="37">
        <v>0</v>
      </c>
      <c r="EB596" s="37">
        <v>0</v>
      </c>
      <c r="EC596" s="37">
        <v>0</v>
      </c>
      <c r="ED596" s="37">
        <v>0</v>
      </c>
      <c r="EE596" s="37">
        <v>0</v>
      </c>
      <c r="EF596" s="37">
        <v>0</v>
      </c>
      <c r="EG596" s="37">
        <v>0</v>
      </c>
      <c r="EH596" s="37">
        <v>0</v>
      </c>
      <c r="EI596" s="37">
        <v>0</v>
      </c>
      <c r="EJ596" s="37">
        <v>0</v>
      </c>
      <c r="EK596" s="161" t="s">
        <v>2662</v>
      </c>
      <c r="EL596" s="294" t="s">
        <v>1124</v>
      </c>
    </row>
    <row r="597" spans="1:142" ht="15" customHeight="1" x14ac:dyDescent="0.35">
      <c r="A597" s="34"/>
      <c r="B597" s="313">
        <v>56065</v>
      </c>
      <c r="C597" s="8" t="s">
        <v>577</v>
      </c>
      <c r="D597" s="18">
        <v>16</v>
      </c>
      <c r="E597" s="155"/>
      <c r="F597" s="36"/>
      <c r="G597" s="37"/>
      <c r="H597" s="37"/>
      <c r="I597" s="37"/>
      <c r="J597" s="37"/>
      <c r="K597" s="37"/>
      <c r="L597" s="37"/>
      <c r="M597" s="37" t="s">
        <v>1124</v>
      </c>
      <c r="N597" s="37" t="s">
        <v>1124</v>
      </c>
      <c r="O597" s="37"/>
      <c r="P597" s="37"/>
      <c r="Q597" s="37"/>
      <c r="R597" s="37"/>
      <c r="S597" s="37"/>
      <c r="T597" s="37"/>
      <c r="U597" s="37"/>
      <c r="V597" s="37"/>
      <c r="W597" s="37"/>
      <c r="X597" s="37"/>
      <c r="Y597" s="37"/>
      <c r="Z597" s="37"/>
      <c r="AA597" s="37" t="s">
        <v>1124</v>
      </c>
      <c r="AB597" s="37" t="s">
        <v>1124</v>
      </c>
      <c r="AC597" s="37"/>
      <c r="AD597" s="37"/>
      <c r="AE597" s="37"/>
      <c r="AF597" s="168"/>
      <c r="AG597" s="37"/>
      <c r="AH597" s="37"/>
      <c r="AI597" s="37"/>
      <c r="AJ597" s="37"/>
      <c r="AK597" s="37"/>
      <c r="AL597" s="37"/>
      <c r="AM597" s="37"/>
      <c r="AN597" s="37"/>
      <c r="AO597" s="37"/>
      <c r="AP597" s="37"/>
      <c r="AQ597" s="37"/>
      <c r="AR597" s="37" t="s">
        <v>1124</v>
      </c>
      <c r="AS597" s="37"/>
      <c r="AT597" s="37"/>
      <c r="AU597" s="37"/>
      <c r="AV597" s="37"/>
      <c r="AW597" s="37"/>
      <c r="AX597" s="37"/>
      <c r="AY597" s="37"/>
      <c r="AZ597" s="37"/>
      <c r="BA597" s="37"/>
      <c r="BB597" s="37"/>
      <c r="BC597" s="37"/>
      <c r="BD597" s="37" t="s">
        <v>1124</v>
      </c>
      <c r="BE597" s="37"/>
      <c r="BF597" s="37"/>
      <c r="BG597" s="37"/>
      <c r="BH597" s="37"/>
      <c r="BI597" s="37"/>
      <c r="BJ597" s="37"/>
      <c r="BK597" s="37"/>
      <c r="BL597" s="37"/>
      <c r="BM597" s="37"/>
      <c r="BN597" s="37"/>
      <c r="BO597" s="37"/>
      <c r="BP597" s="37">
        <v>0</v>
      </c>
      <c r="BQ597" s="37"/>
      <c r="BR597" s="37"/>
      <c r="BS597" s="37"/>
      <c r="BT597" s="37"/>
      <c r="BU597" s="37"/>
      <c r="BV597" s="37"/>
      <c r="BW597" s="37"/>
      <c r="BX597" s="37"/>
      <c r="BY597" s="37"/>
      <c r="BZ597" s="37"/>
      <c r="CA597" s="37"/>
      <c r="CB597" s="37" t="s">
        <v>1124</v>
      </c>
      <c r="CC597" s="37"/>
      <c r="CD597" s="37"/>
      <c r="CE597" s="37"/>
      <c r="CF597" s="37"/>
      <c r="CG597" s="37"/>
      <c r="CH597" s="37"/>
      <c r="CI597" s="37"/>
      <c r="CJ597" s="37"/>
      <c r="CK597" s="37"/>
      <c r="CL597" s="37"/>
      <c r="CM597" s="37"/>
      <c r="CN597" s="37" t="s">
        <v>1124</v>
      </c>
      <c r="CO597" s="37"/>
      <c r="CP597" s="37"/>
      <c r="CQ597" s="37"/>
      <c r="CR597" s="37"/>
      <c r="CS597" s="37"/>
      <c r="CT597" s="37"/>
      <c r="CU597" s="37"/>
      <c r="CV597" s="37"/>
      <c r="CW597" s="37"/>
      <c r="CX597" s="37"/>
      <c r="CY597" s="37"/>
      <c r="CZ597" s="37" t="s">
        <v>1124</v>
      </c>
      <c r="DA597" s="37"/>
      <c r="DB597" s="37"/>
      <c r="DC597" s="37"/>
      <c r="DD597" s="37"/>
      <c r="DE597" s="37"/>
      <c r="DF597" s="37"/>
      <c r="DG597" s="37"/>
      <c r="DH597" s="37"/>
      <c r="DI597" s="37"/>
      <c r="DJ597" s="37"/>
      <c r="DK597" s="37"/>
      <c r="DL597" s="37" t="s">
        <v>1124</v>
      </c>
      <c r="DM597" s="37"/>
      <c r="DN597" s="37"/>
      <c r="DO597" s="37"/>
      <c r="DP597" s="37"/>
      <c r="DQ597" s="37"/>
      <c r="DR597" s="37"/>
      <c r="DS597" s="37"/>
      <c r="DT597" s="37"/>
      <c r="DU597" s="37"/>
      <c r="DV597" s="37"/>
      <c r="DW597" s="37"/>
      <c r="DX597" s="37" t="s">
        <v>1124</v>
      </c>
      <c r="DY597" s="37"/>
      <c r="DZ597" s="37"/>
      <c r="EA597" s="37"/>
      <c r="EB597" s="37"/>
      <c r="EC597" s="37"/>
      <c r="ED597" s="37"/>
      <c r="EE597" s="37"/>
      <c r="EF597" s="37"/>
      <c r="EG597" s="37"/>
      <c r="EH597" s="37"/>
      <c r="EI597" s="37"/>
      <c r="EJ597" s="37" t="s">
        <v>1124</v>
      </c>
      <c r="EK597" s="161"/>
      <c r="EL597" s="294"/>
    </row>
    <row r="598" spans="1:142" ht="15" customHeight="1" x14ac:dyDescent="0.35">
      <c r="A598" s="34"/>
      <c r="B598" s="313">
        <v>49125</v>
      </c>
      <c r="C598" s="8" t="s">
        <v>480</v>
      </c>
      <c r="D598" s="18">
        <v>17</v>
      </c>
      <c r="E598" s="155"/>
      <c r="F598" s="36"/>
      <c r="G598" s="37"/>
      <c r="H598" s="37"/>
      <c r="I598" s="37"/>
      <c r="J598" s="37"/>
      <c r="K598" s="37"/>
      <c r="L598" s="37"/>
      <c r="M598" s="37" t="s">
        <v>1124</v>
      </c>
      <c r="N598" s="37" t="s">
        <v>1124</v>
      </c>
      <c r="O598" s="37"/>
      <c r="P598" s="37"/>
      <c r="Q598" s="37"/>
      <c r="R598" s="37"/>
      <c r="S598" s="37"/>
      <c r="T598" s="37"/>
      <c r="U598" s="37"/>
      <c r="V598" s="37"/>
      <c r="W598" s="37"/>
      <c r="X598" s="37"/>
      <c r="Y598" s="37"/>
      <c r="Z598" s="37"/>
      <c r="AA598" s="37" t="s">
        <v>1124</v>
      </c>
      <c r="AB598" s="37" t="s">
        <v>1124</v>
      </c>
      <c r="AC598" s="37"/>
      <c r="AD598" s="37"/>
      <c r="AE598" s="37"/>
      <c r="AF598" s="168"/>
      <c r="AG598" s="37"/>
      <c r="AH598" s="37"/>
      <c r="AI598" s="37"/>
      <c r="AJ598" s="37"/>
      <c r="AK598" s="37"/>
      <c r="AL598" s="37"/>
      <c r="AM598" s="37"/>
      <c r="AN598" s="37"/>
      <c r="AO598" s="37"/>
      <c r="AP598" s="37"/>
      <c r="AQ598" s="37"/>
      <c r="AR598" s="37" t="s">
        <v>1124</v>
      </c>
      <c r="AS598" s="37"/>
      <c r="AT598" s="37"/>
      <c r="AU598" s="37"/>
      <c r="AV598" s="37"/>
      <c r="AW598" s="37"/>
      <c r="AX598" s="37"/>
      <c r="AY598" s="37"/>
      <c r="AZ598" s="37"/>
      <c r="BA598" s="37"/>
      <c r="BB598" s="37"/>
      <c r="BC598" s="37"/>
      <c r="BD598" s="37" t="s">
        <v>1124</v>
      </c>
      <c r="BE598" s="37"/>
      <c r="BF598" s="37"/>
      <c r="BG598" s="37"/>
      <c r="BH598" s="37"/>
      <c r="BI598" s="37"/>
      <c r="BJ598" s="37"/>
      <c r="BK598" s="37"/>
      <c r="BL598" s="37"/>
      <c r="BM598" s="37"/>
      <c r="BN598" s="37"/>
      <c r="BO598" s="37"/>
      <c r="BP598" s="37">
        <v>0</v>
      </c>
      <c r="BQ598" s="37"/>
      <c r="BR598" s="37"/>
      <c r="BS598" s="37"/>
      <c r="BT598" s="37"/>
      <c r="BU598" s="37"/>
      <c r="BV598" s="37"/>
      <c r="BW598" s="37"/>
      <c r="BX598" s="37"/>
      <c r="BY598" s="37"/>
      <c r="BZ598" s="37"/>
      <c r="CA598" s="37"/>
      <c r="CB598" s="37" t="s">
        <v>1124</v>
      </c>
      <c r="CC598" s="37"/>
      <c r="CD598" s="37"/>
      <c r="CE598" s="37"/>
      <c r="CF598" s="37"/>
      <c r="CG598" s="37"/>
      <c r="CH598" s="37"/>
      <c r="CI598" s="37"/>
      <c r="CJ598" s="37"/>
      <c r="CK598" s="37"/>
      <c r="CL598" s="37"/>
      <c r="CM598" s="37"/>
      <c r="CN598" s="37" t="s">
        <v>1124</v>
      </c>
      <c r="CO598" s="37"/>
      <c r="CP598" s="37"/>
      <c r="CQ598" s="37"/>
      <c r="CR598" s="37"/>
      <c r="CS598" s="37"/>
      <c r="CT598" s="37"/>
      <c r="CU598" s="37"/>
      <c r="CV598" s="37"/>
      <c r="CW598" s="37"/>
      <c r="CX598" s="37"/>
      <c r="CY598" s="37"/>
      <c r="CZ598" s="37" t="s">
        <v>1124</v>
      </c>
      <c r="DA598" s="37"/>
      <c r="DB598" s="37"/>
      <c r="DC598" s="37"/>
      <c r="DD598" s="37"/>
      <c r="DE598" s="37"/>
      <c r="DF598" s="37"/>
      <c r="DG598" s="37"/>
      <c r="DH598" s="37"/>
      <c r="DI598" s="37"/>
      <c r="DJ598" s="37"/>
      <c r="DK598" s="37"/>
      <c r="DL598" s="37" t="s">
        <v>1124</v>
      </c>
      <c r="DM598" s="37"/>
      <c r="DN598" s="37"/>
      <c r="DO598" s="37"/>
      <c r="DP598" s="37"/>
      <c r="DQ598" s="37"/>
      <c r="DR598" s="37"/>
      <c r="DS598" s="37"/>
      <c r="DT598" s="37"/>
      <c r="DU598" s="37"/>
      <c r="DV598" s="37"/>
      <c r="DW598" s="37"/>
      <c r="DX598" s="37" t="s">
        <v>1124</v>
      </c>
      <c r="DY598" s="37"/>
      <c r="DZ598" s="37"/>
      <c r="EA598" s="37"/>
      <c r="EB598" s="37"/>
      <c r="EC598" s="37"/>
      <c r="ED598" s="37"/>
      <c r="EE598" s="37"/>
      <c r="EF598" s="37"/>
      <c r="EG598" s="37"/>
      <c r="EH598" s="37"/>
      <c r="EI598" s="37"/>
      <c r="EJ598" s="37" t="s">
        <v>1124</v>
      </c>
      <c r="EK598" s="161"/>
      <c r="EL598" s="294"/>
    </row>
    <row r="599" spans="1:142" ht="15" customHeight="1" x14ac:dyDescent="0.35">
      <c r="A599" s="34"/>
      <c r="B599" s="313">
        <v>51085</v>
      </c>
      <c r="C599" s="8" t="s">
        <v>513</v>
      </c>
      <c r="D599" s="18">
        <v>4</v>
      </c>
      <c r="E599" s="155"/>
      <c r="F599" s="36"/>
      <c r="G599" s="37"/>
      <c r="H599" s="37"/>
      <c r="I599" s="37"/>
      <c r="J599" s="37"/>
      <c r="K599" s="37"/>
      <c r="L599" s="37"/>
      <c r="M599" s="37" t="s">
        <v>1124</v>
      </c>
      <c r="N599" s="37" t="s">
        <v>1124</v>
      </c>
      <c r="O599" s="37"/>
      <c r="P599" s="37"/>
      <c r="Q599" s="37"/>
      <c r="R599" s="37"/>
      <c r="S599" s="37"/>
      <c r="T599" s="37"/>
      <c r="U599" s="37"/>
      <c r="V599" s="37"/>
      <c r="W599" s="37"/>
      <c r="X599" s="37"/>
      <c r="Y599" s="37"/>
      <c r="Z599" s="37"/>
      <c r="AA599" s="37" t="s">
        <v>1124</v>
      </c>
      <c r="AB599" s="37" t="s">
        <v>1124</v>
      </c>
      <c r="AC599" s="37"/>
      <c r="AD599" s="37"/>
      <c r="AE599" s="37"/>
      <c r="AF599" s="168"/>
      <c r="AG599" s="37"/>
      <c r="AH599" s="37"/>
      <c r="AI599" s="37"/>
      <c r="AJ599" s="37"/>
      <c r="AK599" s="37"/>
      <c r="AL599" s="37"/>
      <c r="AM599" s="37"/>
      <c r="AN599" s="37"/>
      <c r="AO599" s="37"/>
      <c r="AP599" s="37"/>
      <c r="AQ599" s="37"/>
      <c r="AR599" s="37" t="s">
        <v>1124</v>
      </c>
      <c r="AS599" s="37"/>
      <c r="AT599" s="37"/>
      <c r="AU599" s="37"/>
      <c r="AV599" s="37"/>
      <c r="AW599" s="37"/>
      <c r="AX599" s="37"/>
      <c r="AY599" s="37"/>
      <c r="AZ599" s="37"/>
      <c r="BA599" s="37"/>
      <c r="BB599" s="37"/>
      <c r="BC599" s="37"/>
      <c r="BD599" s="37" t="s">
        <v>1124</v>
      </c>
      <c r="BE599" s="37"/>
      <c r="BF599" s="37"/>
      <c r="BG599" s="37"/>
      <c r="BH599" s="37"/>
      <c r="BI599" s="37"/>
      <c r="BJ599" s="37"/>
      <c r="BK599" s="37"/>
      <c r="BL599" s="37"/>
      <c r="BM599" s="37"/>
      <c r="BN599" s="37"/>
      <c r="BO599" s="37"/>
      <c r="BP599" s="37">
        <v>0</v>
      </c>
      <c r="BQ599" s="37"/>
      <c r="BR599" s="37"/>
      <c r="BS599" s="37"/>
      <c r="BT599" s="37"/>
      <c r="BU599" s="37"/>
      <c r="BV599" s="37"/>
      <c r="BW599" s="37"/>
      <c r="BX599" s="37"/>
      <c r="BY599" s="37"/>
      <c r="BZ599" s="37"/>
      <c r="CA599" s="37"/>
      <c r="CB599" s="37" t="s">
        <v>1124</v>
      </c>
      <c r="CC599" s="37"/>
      <c r="CD599" s="37"/>
      <c r="CE599" s="37"/>
      <c r="CF599" s="37"/>
      <c r="CG599" s="37"/>
      <c r="CH599" s="37"/>
      <c r="CI599" s="37"/>
      <c r="CJ599" s="37"/>
      <c r="CK599" s="37"/>
      <c r="CL599" s="37"/>
      <c r="CM599" s="37"/>
      <c r="CN599" s="37" t="s">
        <v>1124</v>
      </c>
      <c r="CO599" s="37"/>
      <c r="CP599" s="37"/>
      <c r="CQ599" s="37"/>
      <c r="CR599" s="37"/>
      <c r="CS599" s="37"/>
      <c r="CT599" s="37"/>
      <c r="CU599" s="37"/>
      <c r="CV599" s="37"/>
      <c r="CW599" s="37"/>
      <c r="CX599" s="37"/>
      <c r="CY599" s="37"/>
      <c r="CZ599" s="37" t="s">
        <v>1124</v>
      </c>
      <c r="DA599" s="37"/>
      <c r="DB599" s="37"/>
      <c r="DC599" s="37"/>
      <c r="DD599" s="37"/>
      <c r="DE599" s="37"/>
      <c r="DF599" s="37"/>
      <c r="DG599" s="37"/>
      <c r="DH599" s="37"/>
      <c r="DI599" s="37"/>
      <c r="DJ599" s="37"/>
      <c r="DK599" s="37"/>
      <c r="DL599" s="37" t="s">
        <v>1124</v>
      </c>
      <c r="DM599" s="37"/>
      <c r="DN599" s="37"/>
      <c r="DO599" s="37"/>
      <c r="DP599" s="37"/>
      <c r="DQ599" s="37"/>
      <c r="DR599" s="37"/>
      <c r="DS599" s="37"/>
      <c r="DT599" s="37"/>
      <c r="DU599" s="37"/>
      <c r="DV599" s="37"/>
      <c r="DW599" s="37"/>
      <c r="DX599" s="37" t="s">
        <v>1124</v>
      </c>
      <c r="DY599" s="37"/>
      <c r="DZ599" s="37"/>
      <c r="EA599" s="37"/>
      <c r="EB599" s="37"/>
      <c r="EC599" s="37"/>
      <c r="ED599" s="37"/>
      <c r="EE599" s="37"/>
      <c r="EF599" s="37"/>
      <c r="EG599" s="37"/>
      <c r="EH599" s="37"/>
      <c r="EI599" s="37"/>
      <c r="EJ599" s="37" t="s">
        <v>1124</v>
      </c>
      <c r="EK599" s="161"/>
      <c r="EL599" s="294"/>
    </row>
    <row r="600" spans="1:142" ht="15" customHeight="1" x14ac:dyDescent="0.35">
      <c r="A600" s="34"/>
      <c r="B600" s="313">
        <v>93030</v>
      </c>
      <c r="C600" s="8" t="s">
        <v>962</v>
      </c>
      <c r="D600" s="18">
        <v>2</v>
      </c>
      <c r="E600" s="155">
        <v>516132</v>
      </c>
      <c r="F600" s="36">
        <v>210171</v>
      </c>
      <c r="G600" s="37">
        <v>267887</v>
      </c>
      <c r="H600" s="37">
        <v>55433</v>
      </c>
      <c r="I600" s="37">
        <v>1130942</v>
      </c>
      <c r="J600" s="37">
        <v>393944</v>
      </c>
      <c r="K600" s="37">
        <v>77420</v>
      </c>
      <c r="L600" s="37">
        <v>31526</v>
      </c>
      <c r="M600" s="37">
        <v>1992381</v>
      </c>
      <c r="N600" s="37">
        <v>691074</v>
      </c>
      <c r="O600" s="37">
        <v>47807</v>
      </c>
      <c r="P600" s="37">
        <v>52407</v>
      </c>
      <c r="Q600" s="37">
        <v>1239850</v>
      </c>
      <c r="R600" s="37">
        <v>149131</v>
      </c>
      <c r="S600" s="37">
        <v>260053</v>
      </c>
      <c r="T600" s="37">
        <v>52407</v>
      </c>
      <c r="U600" s="37">
        <v>77179</v>
      </c>
      <c r="V600" s="37">
        <v>32445</v>
      </c>
      <c r="W600" s="37">
        <v>386088</v>
      </c>
      <c r="X600" s="37">
        <v>386088</v>
      </c>
      <c r="Y600" s="37">
        <v>0</v>
      </c>
      <c r="Z600" s="37">
        <v>0</v>
      </c>
      <c r="AA600" s="37">
        <v>2010977</v>
      </c>
      <c r="AB600" s="37">
        <v>672478</v>
      </c>
      <c r="AC600" s="37">
        <v>0</v>
      </c>
      <c r="AD600" s="37">
        <v>0</v>
      </c>
      <c r="AE600" s="37">
        <v>0</v>
      </c>
      <c r="AF600" s="168">
        <v>0.02</v>
      </c>
      <c r="AG600" s="37">
        <v>77604469.709999993</v>
      </c>
      <c r="AH600" s="37">
        <v>707124.18</v>
      </c>
      <c r="AI600" s="37">
        <v>725511.5</v>
      </c>
      <c r="AJ600" s="37">
        <v>735692</v>
      </c>
      <c r="AK600" s="37">
        <v>838732.3</v>
      </c>
      <c r="AL600" s="37">
        <v>765413.95</v>
      </c>
      <c r="AM600" s="37">
        <v>780722.23</v>
      </c>
      <c r="AN600" s="37">
        <v>796336.68</v>
      </c>
      <c r="AO600" s="37">
        <v>812263.41</v>
      </c>
      <c r="AP600" s="37">
        <v>828508.68</v>
      </c>
      <c r="AQ600" s="37">
        <v>845078.85</v>
      </c>
      <c r="AR600" s="37">
        <v>7835383.7800000003</v>
      </c>
      <c r="AS600" s="37">
        <v>3079056.66</v>
      </c>
      <c r="AT600" s="37">
        <v>400554</v>
      </c>
      <c r="AU600" s="37">
        <v>289709.78000000003</v>
      </c>
      <c r="AV600" s="37">
        <v>573689.04</v>
      </c>
      <c r="AW600" s="37">
        <v>33122.42</v>
      </c>
      <c r="AX600" s="37">
        <v>0</v>
      </c>
      <c r="AY600" s="37">
        <v>0</v>
      </c>
      <c r="AZ600" s="37">
        <v>0</v>
      </c>
      <c r="BA600" s="37">
        <v>0</v>
      </c>
      <c r="BB600" s="37">
        <v>0</v>
      </c>
      <c r="BC600" s="37">
        <v>0</v>
      </c>
      <c r="BD600" s="37">
        <v>1297075.2400000002</v>
      </c>
      <c r="BE600" s="37">
        <v>572881</v>
      </c>
      <c r="BF600" s="37">
        <v>0</v>
      </c>
      <c r="BG600" s="37">
        <v>0</v>
      </c>
      <c r="BH600" s="37">
        <v>0</v>
      </c>
      <c r="BI600" s="37">
        <v>0</v>
      </c>
      <c r="BJ600" s="37">
        <v>0</v>
      </c>
      <c r="BK600" s="37">
        <v>0</v>
      </c>
      <c r="BL600" s="37">
        <v>0</v>
      </c>
      <c r="BM600" s="37">
        <v>0</v>
      </c>
      <c r="BN600" s="37">
        <v>0</v>
      </c>
      <c r="BO600" s="37">
        <v>0</v>
      </c>
      <c r="BP600" s="37">
        <v>0</v>
      </c>
      <c r="BQ600" s="37">
        <v>0</v>
      </c>
      <c r="BR600" s="37">
        <v>300000</v>
      </c>
      <c r="BS600" s="37">
        <v>345000</v>
      </c>
      <c r="BT600" s="37">
        <v>0</v>
      </c>
      <c r="BU600" s="37">
        <v>0</v>
      </c>
      <c r="BV600" s="37">
        <v>0</v>
      </c>
      <c r="BW600" s="37">
        <v>0</v>
      </c>
      <c r="BX600" s="37">
        <v>0</v>
      </c>
      <c r="BY600" s="37">
        <v>0</v>
      </c>
      <c r="BZ600" s="37">
        <v>0</v>
      </c>
      <c r="CA600" s="37">
        <v>0</v>
      </c>
      <c r="CB600" s="37">
        <v>645000</v>
      </c>
      <c r="CC600" s="37">
        <v>0</v>
      </c>
      <c r="CD600" s="37">
        <v>13250</v>
      </c>
      <c r="CE600" s="37">
        <v>0</v>
      </c>
      <c r="CF600" s="37">
        <v>0</v>
      </c>
      <c r="CG600" s="37">
        <v>0</v>
      </c>
      <c r="CH600" s="37">
        <v>0</v>
      </c>
      <c r="CI600" s="37">
        <v>0</v>
      </c>
      <c r="CJ600" s="37">
        <v>0</v>
      </c>
      <c r="CK600" s="37">
        <v>0</v>
      </c>
      <c r="CL600" s="37">
        <v>0</v>
      </c>
      <c r="CM600" s="37">
        <v>0</v>
      </c>
      <c r="CN600" s="37">
        <v>13250</v>
      </c>
      <c r="CO600" s="37">
        <v>0</v>
      </c>
      <c r="CP600" s="37">
        <v>0</v>
      </c>
      <c r="CQ600" s="37">
        <v>0</v>
      </c>
      <c r="CR600" s="37">
        <v>0</v>
      </c>
      <c r="CS600" s="37">
        <v>0</v>
      </c>
      <c r="CT600" s="37">
        <v>0</v>
      </c>
      <c r="CU600" s="37">
        <v>0</v>
      </c>
      <c r="CV600" s="37">
        <v>0</v>
      </c>
      <c r="CW600" s="37">
        <v>0</v>
      </c>
      <c r="CX600" s="37">
        <v>0</v>
      </c>
      <c r="CY600" s="37">
        <v>0</v>
      </c>
      <c r="CZ600" s="37">
        <v>0</v>
      </c>
      <c r="DA600" s="37">
        <v>0</v>
      </c>
      <c r="DB600" s="37">
        <v>0</v>
      </c>
      <c r="DC600" s="37">
        <v>0</v>
      </c>
      <c r="DD600" s="37">
        <v>0</v>
      </c>
      <c r="DE600" s="37">
        <v>0</v>
      </c>
      <c r="DF600" s="37">
        <v>0</v>
      </c>
      <c r="DG600" s="37">
        <v>0</v>
      </c>
      <c r="DH600" s="37">
        <v>0</v>
      </c>
      <c r="DI600" s="37">
        <v>0</v>
      </c>
      <c r="DJ600" s="37">
        <v>0</v>
      </c>
      <c r="DK600" s="37">
        <v>0</v>
      </c>
      <c r="DL600" s="37">
        <v>0</v>
      </c>
      <c r="DM600" s="37">
        <v>0</v>
      </c>
      <c r="DN600" s="37">
        <v>0</v>
      </c>
      <c r="DO600" s="37">
        <v>0</v>
      </c>
      <c r="DP600" s="37">
        <v>0</v>
      </c>
      <c r="DQ600" s="37">
        <v>0</v>
      </c>
      <c r="DR600" s="37">
        <v>0</v>
      </c>
      <c r="DS600" s="37">
        <v>0</v>
      </c>
      <c r="DT600" s="37">
        <v>0</v>
      </c>
      <c r="DU600" s="37">
        <v>0</v>
      </c>
      <c r="DV600" s="37">
        <v>0</v>
      </c>
      <c r="DW600" s="37">
        <v>0</v>
      </c>
      <c r="DX600" s="37">
        <v>0</v>
      </c>
      <c r="DY600" s="37">
        <v>0</v>
      </c>
      <c r="DZ600" s="37">
        <v>0</v>
      </c>
      <c r="EA600" s="37">
        <v>0</v>
      </c>
      <c r="EB600" s="37">
        <v>0</v>
      </c>
      <c r="EC600" s="37">
        <v>0</v>
      </c>
      <c r="ED600" s="37">
        <v>0</v>
      </c>
      <c r="EE600" s="37">
        <v>0</v>
      </c>
      <c r="EF600" s="37">
        <v>0</v>
      </c>
      <c r="EG600" s="37">
        <v>0</v>
      </c>
      <c r="EH600" s="37">
        <v>0</v>
      </c>
      <c r="EI600" s="37">
        <v>0</v>
      </c>
      <c r="EJ600" s="37">
        <v>0</v>
      </c>
      <c r="EK600" s="161" t="s">
        <v>2667</v>
      </c>
      <c r="EL600" s="294" t="s">
        <v>1124</v>
      </c>
    </row>
    <row r="601" spans="1:142" ht="15" customHeight="1" x14ac:dyDescent="0.35">
      <c r="A601" s="34"/>
      <c r="B601" s="313">
        <v>85045</v>
      </c>
      <c r="C601" s="8" t="s">
        <v>877</v>
      </c>
      <c r="D601" s="18">
        <v>8</v>
      </c>
      <c r="E601" s="155">
        <v>71663</v>
      </c>
      <c r="F601" s="36">
        <v>120039</v>
      </c>
      <c r="G601" s="37">
        <v>0</v>
      </c>
      <c r="H601" s="37">
        <v>0</v>
      </c>
      <c r="I601" s="37">
        <v>0</v>
      </c>
      <c r="J601" s="37">
        <v>0</v>
      </c>
      <c r="K601" s="37">
        <v>10749.45</v>
      </c>
      <c r="L601" s="37">
        <v>18005</v>
      </c>
      <c r="M601" s="37">
        <v>82412.45</v>
      </c>
      <c r="N601" s="37">
        <v>138044</v>
      </c>
      <c r="O601" s="37">
        <v>13600</v>
      </c>
      <c r="P601" s="37">
        <v>0</v>
      </c>
      <c r="Q601" s="37">
        <v>36507</v>
      </c>
      <c r="R601" s="37">
        <v>38445</v>
      </c>
      <c r="S601" s="37">
        <v>0</v>
      </c>
      <c r="T601" s="37">
        <v>0</v>
      </c>
      <c r="U601" s="37">
        <v>6489</v>
      </c>
      <c r="V601" s="37">
        <v>9086</v>
      </c>
      <c r="W601" s="37">
        <v>58165</v>
      </c>
      <c r="X601" s="37">
        <v>58165</v>
      </c>
      <c r="Y601" s="37">
        <v>0</v>
      </c>
      <c r="Z601" s="37">
        <v>0</v>
      </c>
      <c r="AA601" s="37">
        <v>114761</v>
      </c>
      <c r="AB601" s="37">
        <v>105696</v>
      </c>
      <c r="AC601" s="37">
        <v>1</v>
      </c>
      <c r="AD601" s="37">
        <v>0</v>
      </c>
      <c r="AE601" s="37">
        <v>0</v>
      </c>
      <c r="AF601" s="168">
        <v>0.02</v>
      </c>
      <c r="AG601" s="37">
        <v>5328764.25</v>
      </c>
      <c r="AH601" s="37">
        <v>49722.91</v>
      </c>
      <c r="AI601" s="37">
        <v>34799.25</v>
      </c>
      <c r="AJ601" s="37">
        <v>47168.52</v>
      </c>
      <c r="AK601" s="37">
        <v>48111.89</v>
      </c>
      <c r="AL601" s="37">
        <v>36929.24</v>
      </c>
      <c r="AM601" s="37">
        <v>37667.83</v>
      </c>
      <c r="AN601" s="37">
        <v>38421.18</v>
      </c>
      <c r="AO601" s="37">
        <v>39189.61</v>
      </c>
      <c r="AP601" s="37">
        <v>39973.4</v>
      </c>
      <c r="AQ601" s="37">
        <v>40772.870000000003</v>
      </c>
      <c r="AR601" s="37">
        <v>412756.70000000007</v>
      </c>
      <c r="AS601" s="37">
        <v>156060</v>
      </c>
      <c r="AT601" s="37">
        <v>23902.68</v>
      </c>
      <c r="AU601" s="37">
        <v>13005</v>
      </c>
      <c r="AV601" s="37">
        <v>13265.1</v>
      </c>
      <c r="AW601" s="37">
        <v>0</v>
      </c>
      <c r="AX601" s="37">
        <v>0</v>
      </c>
      <c r="AY601" s="37">
        <v>0</v>
      </c>
      <c r="AZ601" s="37">
        <v>0</v>
      </c>
      <c r="BA601" s="37">
        <v>0</v>
      </c>
      <c r="BB601" s="37">
        <v>0</v>
      </c>
      <c r="BC601" s="37">
        <v>0</v>
      </c>
      <c r="BD601" s="37">
        <v>50172.78</v>
      </c>
      <c r="BE601" s="37">
        <v>41000</v>
      </c>
      <c r="BF601" s="37">
        <v>0</v>
      </c>
      <c r="BG601" s="37">
        <v>0</v>
      </c>
      <c r="BH601" s="37">
        <v>0</v>
      </c>
      <c r="BI601" s="37">
        <v>0</v>
      </c>
      <c r="BJ601" s="37">
        <v>0</v>
      </c>
      <c r="BK601" s="37">
        <v>0</v>
      </c>
      <c r="BL601" s="37">
        <v>0</v>
      </c>
      <c r="BM601" s="37">
        <v>0</v>
      </c>
      <c r="BN601" s="37">
        <v>0</v>
      </c>
      <c r="BO601" s="37">
        <v>0</v>
      </c>
      <c r="BP601" s="37">
        <v>0</v>
      </c>
      <c r="BQ601" s="37">
        <v>0</v>
      </c>
      <c r="BR601" s="37">
        <v>0</v>
      </c>
      <c r="BS601" s="37">
        <v>0</v>
      </c>
      <c r="BT601" s="37">
        <v>0</v>
      </c>
      <c r="BU601" s="37">
        <v>0</v>
      </c>
      <c r="BV601" s="37">
        <v>0</v>
      </c>
      <c r="BW601" s="37">
        <v>0</v>
      </c>
      <c r="BX601" s="37">
        <v>0</v>
      </c>
      <c r="BY601" s="37">
        <v>0</v>
      </c>
      <c r="BZ601" s="37">
        <v>0</v>
      </c>
      <c r="CA601" s="37">
        <v>0</v>
      </c>
      <c r="CB601" s="37">
        <v>0</v>
      </c>
      <c r="CC601" s="37">
        <v>40000</v>
      </c>
      <c r="CD601" s="37">
        <v>0</v>
      </c>
      <c r="CE601" s="37">
        <v>0</v>
      </c>
      <c r="CF601" s="37">
        <v>0</v>
      </c>
      <c r="CG601" s="37">
        <v>0</v>
      </c>
      <c r="CH601" s="37">
        <v>0</v>
      </c>
      <c r="CI601" s="37">
        <v>0</v>
      </c>
      <c r="CJ601" s="37">
        <v>0</v>
      </c>
      <c r="CK601" s="37">
        <v>0</v>
      </c>
      <c r="CL601" s="37">
        <v>0</v>
      </c>
      <c r="CM601" s="37">
        <v>0</v>
      </c>
      <c r="CN601" s="37">
        <v>0</v>
      </c>
      <c r="CO601" s="37">
        <v>46868</v>
      </c>
      <c r="CP601" s="37">
        <v>0</v>
      </c>
      <c r="CQ601" s="37">
        <v>24000</v>
      </c>
      <c r="CR601" s="37">
        <v>0</v>
      </c>
      <c r="CS601" s="37">
        <v>25000</v>
      </c>
      <c r="CT601" s="37">
        <v>0</v>
      </c>
      <c r="CU601" s="37">
        <v>0</v>
      </c>
      <c r="CV601" s="37">
        <v>0</v>
      </c>
      <c r="CW601" s="37">
        <v>0</v>
      </c>
      <c r="CX601" s="37">
        <v>0</v>
      </c>
      <c r="CY601" s="37">
        <v>0</v>
      </c>
      <c r="CZ601" s="37">
        <v>49000</v>
      </c>
      <c r="DA601" s="37">
        <v>0</v>
      </c>
      <c r="DB601" s="37">
        <v>0</v>
      </c>
      <c r="DC601" s="37">
        <v>0</v>
      </c>
      <c r="DD601" s="37">
        <v>0</v>
      </c>
      <c r="DE601" s="37">
        <v>0</v>
      </c>
      <c r="DF601" s="37">
        <v>0</v>
      </c>
      <c r="DG601" s="37">
        <v>0</v>
      </c>
      <c r="DH601" s="37">
        <v>0</v>
      </c>
      <c r="DI601" s="37">
        <v>0</v>
      </c>
      <c r="DJ601" s="37">
        <v>0</v>
      </c>
      <c r="DK601" s="37">
        <v>0</v>
      </c>
      <c r="DL601" s="37">
        <v>0</v>
      </c>
      <c r="DM601" s="37">
        <v>0</v>
      </c>
      <c r="DN601" s="37">
        <v>0</v>
      </c>
      <c r="DO601" s="37">
        <v>0</v>
      </c>
      <c r="DP601" s="37">
        <v>0</v>
      </c>
      <c r="DQ601" s="37">
        <v>0</v>
      </c>
      <c r="DR601" s="37">
        <v>0</v>
      </c>
      <c r="DS601" s="37">
        <v>0</v>
      </c>
      <c r="DT601" s="37">
        <v>0</v>
      </c>
      <c r="DU601" s="37">
        <v>0</v>
      </c>
      <c r="DV601" s="37">
        <v>0</v>
      </c>
      <c r="DW601" s="37">
        <v>0</v>
      </c>
      <c r="DX601" s="37">
        <v>0</v>
      </c>
      <c r="DY601" s="37">
        <v>0</v>
      </c>
      <c r="DZ601" s="37">
        <v>0</v>
      </c>
      <c r="EA601" s="37">
        <v>0</v>
      </c>
      <c r="EB601" s="37">
        <v>0</v>
      </c>
      <c r="EC601" s="37">
        <v>0</v>
      </c>
      <c r="ED601" s="37">
        <v>0</v>
      </c>
      <c r="EE601" s="37">
        <v>0</v>
      </c>
      <c r="EF601" s="37">
        <v>0</v>
      </c>
      <c r="EG601" s="37">
        <v>0</v>
      </c>
      <c r="EH601" s="37">
        <v>0</v>
      </c>
      <c r="EI601" s="37">
        <v>0</v>
      </c>
      <c r="EJ601" s="37">
        <v>0</v>
      </c>
      <c r="EK601" s="161" t="s">
        <v>2672</v>
      </c>
      <c r="EL601" s="294" t="s">
        <v>1124</v>
      </c>
    </row>
    <row r="602" spans="1:142" ht="15" customHeight="1" x14ac:dyDescent="0.35">
      <c r="A602" s="34"/>
      <c r="B602" s="313">
        <v>14010</v>
      </c>
      <c r="C602" s="8" t="s">
        <v>61</v>
      </c>
      <c r="D602" s="18">
        <v>1</v>
      </c>
      <c r="E602" s="155"/>
      <c r="F602" s="36"/>
      <c r="G602" s="37"/>
      <c r="H602" s="37"/>
      <c r="I602" s="37"/>
      <c r="J602" s="37"/>
      <c r="K602" s="37"/>
      <c r="L602" s="37"/>
      <c r="M602" s="37" t="s">
        <v>1124</v>
      </c>
      <c r="N602" s="37" t="s">
        <v>1124</v>
      </c>
      <c r="O602" s="37"/>
      <c r="P602" s="37"/>
      <c r="Q602" s="37"/>
      <c r="R602" s="37"/>
      <c r="S602" s="37"/>
      <c r="T602" s="37"/>
      <c r="U602" s="37"/>
      <c r="V602" s="37"/>
      <c r="W602" s="37"/>
      <c r="X602" s="37"/>
      <c r="Y602" s="37"/>
      <c r="Z602" s="37"/>
      <c r="AA602" s="37" t="s">
        <v>1124</v>
      </c>
      <c r="AB602" s="37" t="s">
        <v>1124</v>
      </c>
      <c r="AC602" s="37"/>
      <c r="AD602" s="37"/>
      <c r="AE602" s="37"/>
      <c r="AF602" s="168"/>
      <c r="AG602" s="37"/>
      <c r="AH602" s="37"/>
      <c r="AI602" s="37"/>
      <c r="AJ602" s="37"/>
      <c r="AK602" s="37"/>
      <c r="AL602" s="37"/>
      <c r="AM602" s="37"/>
      <c r="AN602" s="37"/>
      <c r="AO602" s="37"/>
      <c r="AP602" s="37"/>
      <c r="AQ602" s="37"/>
      <c r="AR602" s="37" t="s">
        <v>1124</v>
      </c>
      <c r="AS602" s="37"/>
      <c r="AT602" s="37"/>
      <c r="AU602" s="37"/>
      <c r="AV602" s="37"/>
      <c r="AW602" s="37"/>
      <c r="AX602" s="37"/>
      <c r="AY602" s="37"/>
      <c r="AZ602" s="37"/>
      <c r="BA602" s="37"/>
      <c r="BB602" s="37"/>
      <c r="BC602" s="37"/>
      <c r="BD602" s="37" t="s">
        <v>1124</v>
      </c>
      <c r="BE602" s="37"/>
      <c r="BF602" s="37"/>
      <c r="BG602" s="37"/>
      <c r="BH602" s="37"/>
      <c r="BI602" s="37"/>
      <c r="BJ602" s="37"/>
      <c r="BK602" s="37"/>
      <c r="BL602" s="37"/>
      <c r="BM602" s="37"/>
      <c r="BN602" s="37"/>
      <c r="BO602" s="37"/>
      <c r="BP602" s="37">
        <v>0</v>
      </c>
      <c r="BQ602" s="37"/>
      <c r="BR602" s="37"/>
      <c r="BS602" s="37"/>
      <c r="BT602" s="37"/>
      <c r="BU602" s="37"/>
      <c r="BV602" s="37"/>
      <c r="BW602" s="37"/>
      <c r="BX602" s="37"/>
      <c r="BY602" s="37"/>
      <c r="BZ602" s="37"/>
      <c r="CA602" s="37"/>
      <c r="CB602" s="37" t="s">
        <v>1124</v>
      </c>
      <c r="CC602" s="37"/>
      <c r="CD602" s="37"/>
      <c r="CE602" s="37"/>
      <c r="CF602" s="37"/>
      <c r="CG602" s="37"/>
      <c r="CH602" s="37"/>
      <c r="CI602" s="37"/>
      <c r="CJ602" s="37"/>
      <c r="CK602" s="37"/>
      <c r="CL602" s="37"/>
      <c r="CM602" s="37"/>
      <c r="CN602" s="37" t="s">
        <v>1124</v>
      </c>
      <c r="CO602" s="37"/>
      <c r="CP602" s="37"/>
      <c r="CQ602" s="37"/>
      <c r="CR602" s="37"/>
      <c r="CS602" s="37"/>
      <c r="CT602" s="37"/>
      <c r="CU602" s="37"/>
      <c r="CV602" s="37"/>
      <c r="CW602" s="37"/>
      <c r="CX602" s="37"/>
      <c r="CY602" s="37"/>
      <c r="CZ602" s="37" t="s">
        <v>1124</v>
      </c>
      <c r="DA602" s="37"/>
      <c r="DB602" s="37"/>
      <c r="DC602" s="37"/>
      <c r="DD602" s="37"/>
      <c r="DE602" s="37"/>
      <c r="DF602" s="37"/>
      <c r="DG602" s="37"/>
      <c r="DH602" s="37"/>
      <c r="DI602" s="37"/>
      <c r="DJ602" s="37"/>
      <c r="DK602" s="37"/>
      <c r="DL602" s="37" t="s">
        <v>1124</v>
      </c>
      <c r="DM602" s="37"/>
      <c r="DN602" s="37"/>
      <c r="DO602" s="37"/>
      <c r="DP602" s="37"/>
      <c r="DQ602" s="37"/>
      <c r="DR602" s="37"/>
      <c r="DS602" s="37"/>
      <c r="DT602" s="37"/>
      <c r="DU602" s="37"/>
      <c r="DV602" s="37"/>
      <c r="DW602" s="37"/>
      <c r="DX602" s="37" t="s">
        <v>1124</v>
      </c>
      <c r="DY602" s="37"/>
      <c r="DZ602" s="37"/>
      <c r="EA602" s="37"/>
      <c r="EB602" s="37"/>
      <c r="EC602" s="37"/>
      <c r="ED602" s="37"/>
      <c r="EE602" s="37"/>
      <c r="EF602" s="37"/>
      <c r="EG602" s="37"/>
      <c r="EH602" s="37"/>
      <c r="EI602" s="37"/>
      <c r="EJ602" s="37" t="s">
        <v>1124</v>
      </c>
      <c r="EK602" s="161"/>
      <c r="EL602" s="294"/>
    </row>
    <row r="603" spans="1:142" ht="15" customHeight="1" x14ac:dyDescent="0.35">
      <c r="A603" s="34"/>
      <c r="B603" s="313">
        <v>58037</v>
      </c>
      <c r="C603" s="8" t="s">
        <v>597</v>
      </c>
      <c r="D603" s="18">
        <v>16</v>
      </c>
      <c r="E603" s="155"/>
      <c r="F603" s="36"/>
      <c r="G603" s="37"/>
      <c r="H603" s="37"/>
      <c r="I603" s="37"/>
      <c r="J603" s="37"/>
      <c r="K603" s="37"/>
      <c r="L603" s="37"/>
      <c r="M603" s="37" t="s">
        <v>1124</v>
      </c>
      <c r="N603" s="37" t="s">
        <v>1124</v>
      </c>
      <c r="O603" s="37"/>
      <c r="P603" s="37"/>
      <c r="Q603" s="37"/>
      <c r="R603" s="37"/>
      <c r="S603" s="37"/>
      <c r="T603" s="37"/>
      <c r="U603" s="37"/>
      <c r="V603" s="37"/>
      <c r="W603" s="37"/>
      <c r="X603" s="37"/>
      <c r="Y603" s="37"/>
      <c r="Z603" s="37"/>
      <c r="AA603" s="37" t="s">
        <v>1124</v>
      </c>
      <c r="AB603" s="37" t="s">
        <v>1124</v>
      </c>
      <c r="AC603" s="37"/>
      <c r="AD603" s="37"/>
      <c r="AE603" s="37"/>
      <c r="AF603" s="168"/>
      <c r="AG603" s="37"/>
      <c r="AH603" s="37"/>
      <c r="AI603" s="37"/>
      <c r="AJ603" s="37"/>
      <c r="AK603" s="37"/>
      <c r="AL603" s="37"/>
      <c r="AM603" s="37"/>
      <c r="AN603" s="37"/>
      <c r="AO603" s="37"/>
      <c r="AP603" s="37"/>
      <c r="AQ603" s="37"/>
      <c r="AR603" s="37" t="s">
        <v>1124</v>
      </c>
      <c r="AS603" s="37"/>
      <c r="AT603" s="37"/>
      <c r="AU603" s="37"/>
      <c r="AV603" s="37"/>
      <c r="AW603" s="37"/>
      <c r="AX603" s="37"/>
      <c r="AY603" s="37"/>
      <c r="AZ603" s="37"/>
      <c r="BA603" s="37"/>
      <c r="BB603" s="37"/>
      <c r="BC603" s="37"/>
      <c r="BD603" s="37" t="s">
        <v>1124</v>
      </c>
      <c r="BE603" s="37"/>
      <c r="BF603" s="37"/>
      <c r="BG603" s="37"/>
      <c r="BH603" s="37"/>
      <c r="BI603" s="37"/>
      <c r="BJ603" s="37"/>
      <c r="BK603" s="37"/>
      <c r="BL603" s="37"/>
      <c r="BM603" s="37"/>
      <c r="BN603" s="37"/>
      <c r="BO603" s="37"/>
      <c r="BP603" s="37">
        <v>0</v>
      </c>
      <c r="BQ603" s="37"/>
      <c r="BR603" s="37"/>
      <c r="BS603" s="37"/>
      <c r="BT603" s="37"/>
      <c r="BU603" s="37"/>
      <c r="BV603" s="37"/>
      <c r="BW603" s="37"/>
      <c r="BX603" s="37"/>
      <c r="BY603" s="37"/>
      <c r="BZ603" s="37"/>
      <c r="CA603" s="37"/>
      <c r="CB603" s="37" t="s">
        <v>1124</v>
      </c>
      <c r="CC603" s="37"/>
      <c r="CD603" s="37"/>
      <c r="CE603" s="37"/>
      <c r="CF603" s="37"/>
      <c r="CG603" s="37"/>
      <c r="CH603" s="37"/>
      <c r="CI603" s="37"/>
      <c r="CJ603" s="37"/>
      <c r="CK603" s="37"/>
      <c r="CL603" s="37"/>
      <c r="CM603" s="37"/>
      <c r="CN603" s="37" t="s">
        <v>1124</v>
      </c>
      <c r="CO603" s="37"/>
      <c r="CP603" s="37"/>
      <c r="CQ603" s="37"/>
      <c r="CR603" s="37"/>
      <c r="CS603" s="37"/>
      <c r="CT603" s="37"/>
      <c r="CU603" s="37"/>
      <c r="CV603" s="37"/>
      <c r="CW603" s="37"/>
      <c r="CX603" s="37"/>
      <c r="CY603" s="37"/>
      <c r="CZ603" s="37" t="s">
        <v>1124</v>
      </c>
      <c r="DA603" s="37"/>
      <c r="DB603" s="37"/>
      <c r="DC603" s="37"/>
      <c r="DD603" s="37"/>
      <c r="DE603" s="37"/>
      <c r="DF603" s="37"/>
      <c r="DG603" s="37"/>
      <c r="DH603" s="37"/>
      <c r="DI603" s="37"/>
      <c r="DJ603" s="37"/>
      <c r="DK603" s="37"/>
      <c r="DL603" s="37" t="s">
        <v>1124</v>
      </c>
      <c r="DM603" s="37"/>
      <c r="DN603" s="37"/>
      <c r="DO603" s="37"/>
      <c r="DP603" s="37"/>
      <c r="DQ603" s="37"/>
      <c r="DR603" s="37"/>
      <c r="DS603" s="37"/>
      <c r="DT603" s="37"/>
      <c r="DU603" s="37"/>
      <c r="DV603" s="37"/>
      <c r="DW603" s="37"/>
      <c r="DX603" s="37" t="s">
        <v>1124</v>
      </c>
      <c r="DY603" s="37"/>
      <c r="DZ603" s="37"/>
      <c r="EA603" s="37"/>
      <c r="EB603" s="37"/>
      <c r="EC603" s="37"/>
      <c r="ED603" s="37"/>
      <c r="EE603" s="37"/>
      <c r="EF603" s="37"/>
      <c r="EG603" s="37"/>
      <c r="EH603" s="37"/>
      <c r="EI603" s="37"/>
      <c r="EJ603" s="37" t="s">
        <v>1124</v>
      </c>
      <c r="EK603" s="161"/>
      <c r="EL603" s="294"/>
    </row>
    <row r="604" spans="1:142" ht="15" customHeight="1" x14ac:dyDescent="0.35">
      <c r="A604" s="34"/>
      <c r="B604" s="313">
        <v>63055</v>
      </c>
      <c r="C604" s="8" t="s">
        <v>641</v>
      </c>
      <c r="D604" s="18">
        <v>14</v>
      </c>
      <c r="E604" s="155">
        <v>184718</v>
      </c>
      <c r="F604" s="36">
        <v>145247</v>
      </c>
      <c r="G604" s="37">
        <v>110767</v>
      </c>
      <c r="H604" s="37">
        <v>0</v>
      </c>
      <c r="I604" s="37">
        <v>77694</v>
      </c>
      <c r="J604" s="37">
        <v>0</v>
      </c>
      <c r="K604" s="37">
        <v>27707.7</v>
      </c>
      <c r="L604" s="37">
        <v>21787.05</v>
      </c>
      <c r="M604" s="37">
        <v>400886.7</v>
      </c>
      <c r="N604" s="37">
        <v>167034.04999999999</v>
      </c>
      <c r="O604" s="37">
        <v>0</v>
      </c>
      <c r="P604" s="37">
        <v>0</v>
      </c>
      <c r="Q604" s="37">
        <v>172252</v>
      </c>
      <c r="R604" s="37">
        <v>79702</v>
      </c>
      <c r="S604" s="37">
        <v>0</v>
      </c>
      <c r="T604" s="37">
        <v>0</v>
      </c>
      <c r="U604" s="37">
        <v>50511</v>
      </c>
      <c r="V604" s="37">
        <v>0</v>
      </c>
      <c r="W604" s="37">
        <v>178124</v>
      </c>
      <c r="X604" s="37">
        <v>87332</v>
      </c>
      <c r="Y604" s="37">
        <v>0</v>
      </c>
      <c r="Z604" s="37">
        <v>0</v>
      </c>
      <c r="AA604" s="37">
        <v>400887</v>
      </c>
      <c r="AB604" s="37">
        <v>167034</v>
      </c>
      <c r="AC604" s="37">
        <v>0</v>
      </c>
      <c r="AD604" s="37">
        <v>0</v>
      </c>
      <c r="AE604" s="37">
        <v>0</v>
      </c>
      <c r="AF604" s="168">
        <v>0.02</v>
      </c>
      <c r="AG604" s="37">
        <v>52624212</v>
      </c>
      <c r="AH604" s="37">
        <v>386831.6</v>
      </c>
      <c r="AI604" s="37">
        <v>295730.23</v>
      </c>
      <c r="AJ604" s="37">
        <v>301644.84000000003</v>
      </c>
      <c r="AK604" s="37">
        <v>284225.03999999998</v>
      </c>
      <c r="AL604" s="37">
        <v>289909.53999999998</v>
      </c>
      <c r="AM604" s="37">
        <v>287261.51</v>
      </c>
      <c r="AN604" s="37">
        <v>293006.74</v>
      </c>
      <c r="AO604" s="37">
        <v>298866.87</v>
      </c>
      <c r="AP604" s="37">
        <v>304844.21000000002</v>
      </c>
      <c r="AQ604" s="37">
        <v>310941.09999999998</v>
      </c>
      <c r="AR604" s="37">
        <v>3053261.68</v>
      </c>
      <c r="AS604" s="37">
        <v>5255958</v>
      </c>
      <c r="AT604" s="37">
        <v>0</v>
      </c>
      <c r="AU604" s="37">
        <v>1202182.2</v>
      </c>
      <c r="AV604" s="37">
        <v>0</v>
      </c>
      <c r="AW604" s="37">
        <v>0</v>
      </c>
      <c r="AX604" s="37">
        <v>0</v>
      </c>
      <c r="AY604" s="37">
        <v>0</v>
      </c>
      <c r="AZ604" s="37">
        <v>0</v>
      </c>
      <c r="BA604" s="37">
        <v>0</v>
      </c>
      <c r="BB604" s="37">
        <v>0</v>
      </c>
      <c r="BC604" s="37">
        <v>0</v>
      </c>
      <c r="BD604" s="37">
        <v>1202182.2</v>
      </c>
      <c r="BE604" s="37">
        <v>0</v>
      </c>
      <c r="BF604" s="37">
        <v>0</v>
      </c>
      <c r="BG604" s="37">
        <v>0</v>
      </c>
      <c r="BH604" s="37">
        <v>0</v>
      </c>
      <c r="BI604" s="37">
        <v>0</v>
      </c>
      <c r="BJ604" s="37">
        <v>0</v>
      </c>
      <c r="BK604" s="37">
        <v>0</v>
      </c>
      <c r="BL604" s="37">
        <v>0</v>
      </c>
      <c r="BM604" s="37">
        <v>0</v>
      </c>
      <c r="BN604" s="37">
        <v>0</v>
      </c>
      <c r="BO604" s="37">
        <v>0</v>
      </c>
      <c r="BP604" s="37">
        <v>0</v>
      </c>
      <c r="BQ604" s="37">
        <v>0</v>
      </c>
      <c r="BR604" s="37">
        <v>0</v>
      </c>
      <c r="BS604" s="37">
        <v>12417000</v>
      </c>
      <c r="BT604" s="37">
        <v>0</v>
      </c>
      <c r="BU604" s="37">
        <v>0</v>
      </c>
      <c r="BV604" s="37">
        <v>0</v>
      </c>
      <c r="BW604" s="37">
        <v>0</v>
      </c>
      <c r="BX604" s="37">
        <v>0</v>
      </c>
      <c r="BY604" s="37">
        <v>0</v>
      </c>
      <c r="BZ604" s="37">
        <v>0</v>
      </c>
      <c r="CA604" s="37">
        <v>0</v>
      </c>
      <c r="CB604" s="37">
        <v>12417000</v>
      </c>
      <c r="CC604" s="37">
        <v>0</v>
      </c>
      <c r="CD604" s="37">
        <v>0</v>
      </c>
      <c r="CE604" s="37">
        <v>0</v>
      </c>
      <c r="CF604" s="37">
        <v>0</v>
      </c>
      <c r="CG604" s="37">
        <v>15000</v>
      </c>
      <c r="CH604" s="37">
        <v>0</v>
      </c>
      <c r="CI604" s="37">
        <v>0</v>
      </c>
      <c r="CJ604" s="37">
        <v>0</v>
      </c>
      <c r="CK604" s="37">
        <v>0</v>
      </c>
      <c r="CL604" s="37">
        <v>0</v>
      </c>
      <c r="CM604" s="37">
        <v>0</v>
      </c>
      <c r="CN604" s="37">
        <v>15000</v>
      </c>
      <c r="CO604" s="37">
        <v>0</v>
      </c>
      <c r="CP604" s="37">
        <v>0</v>
      </c>
      <c r="CQ604" s="37">
        <v>0</v>
      </c>
      <c r="CR604" s="37">
        <v>0</v>
      </c>
      <c r="CS604" s="37">
        <v>0</v>
      </c>
      <c r="CT604" s="37">
        <v>0</v>
      </c>
      <c r="CU604" s="37">
        <v>0</v>
      </c>
      <c r="CV604" s="37">
        <v>0</v>
      </c>
      <c r="CW604" s="37">
        <v>0</v>
      </c>
      <c r="CX604" s="37">
        <v>0</v>
      </c>
      <c r="CY604" s="37">
        <v>0</v>
      </c>
      <c r="CZ604" s="37">
        <v>0</v>
      </c>
      <c r="DA604" s="37">
        <v>0</v>
      </c>
      <c r="DB604" s="37">
        <v>0</v>
      </c>
      <c r="DC604" s="37">
        <v>1155500</v>
      </c>
      <c r="DD604" s="37">
        <v>0</v>
      </c>
      <c r="DE604" s="37">
        <v>0</v>
      </c>
      <c r="DF604" s="37">
        <v>0</v>
      </c>
      <c r="DG604" s="37">
        <v>0</v>
      </c>
      <c r="DH604" s="37">
        <v>0</v>
      </c>
      <c r="DI604" s="37">
        <v>0</v>
      </c>
      <c r="DJ604" s="37">
        <v>0</v>
      </c>
      <c r="DK604" s="37">
        <v>0</v>
      </c>
      <c r="DL604" s="37">
        <v>1155500</v>
      </c>
      <c r="DM604" s="37">
        <v>0</v>
      </c>
      <c r="DN604" s="37">
        <v>0</v>
      </c>
      <c r="DO604" s="37">
        <v>0</v>
      </c>
      <c r="DP604" s="37">
        <v>0</v>
      </c>
      <c r="DQ604" s="37">
        <v>0</v>
      </c>
      <c r="DR604" s="37">
        <v>0</v>
      </c>
      <c r="DS604" s="37">
        <v>0</v>
      </c>
      <c r="DT604" s="37">
        <v>0</v>
      </c>
      <c r="DU604" s="37">
        <v>0</v>
      </c>
      <c r="DV604" s="37">
        <v>0</v>
      </c>
      <c r="DW604" s="37">
        <v>0</v>
      </c>
      <c r="DX604" s="37">
        <v>0</v>
      </c>
      <c r="DY604" s="37">
        <v>0</v>
      </c>
      <c r="DZ604" s="37">
        <v>0</v>
      </c>
      <c r="EA604" s="37">
        <v>0</v>
      </c>
      <c r="EB604" s="37">
        <v>0</v>
      </c>
      <c r="EC604" s="37">
        <v>0</v>
      </c>
      <c r="ED604" s="37">
        <v>0</v>
      </c>
      <c r="EE604" s="37">
        <v>0</v>
      </c>
      <c r="EF604" s="37">
        <v>0</v>
      </c>
      <c r="EG604" s="37">
        <v>0</v>
      </c>
      <c r="EH604" s="37">
        <v>0</v>
      </c>
      <c r="EI604" s="37">
        <v>0</v>
      </c>
      <c r="EJ604" s="37">
        <v>0</v>
      </c>
      <c r="EK604" s="161" t="s">
        <v>2675</v>
      </c>
      <c r="EL604" s="294" t="s">
        <v>1124</v>
      </c>
    </row>
    <row r="605" spans="1:142" ht="15" customHeight="1" x14ac:dyDescent="0.35">
      <c r="A605" s="34"/>
      <c r="B605" s="313">
        <v>40025</v>
      </c>
      <c r="C605" s="8" t="s">
        <v>361</v>
      </c>
      <c r="D605" s="18">
        <v>5</v>
      </c>
      <c r="E605" s="155"/>
      <c r="F605" s="36"/>
      <c r="G605" s="37"/>
      <c r="H605" s="37"/>
      <c r="I605" s="37"/>
      <c r="J605" s="37"/>
      <c r="K605" s="37"/>
      <c r="L605" s="37"/>
      <c r="M605" s="37" t="s">
        <v>1124</v>
      </c>
      <c r="N605" s="37" t="s">
        <v>1124</v>
      </c>
      <c r="O605" s="37"/>
      <c r="P605" s="37"/>
      <c r="Q605" s="37"/>
      <c r="R605" s="37"/>
      <c r="S605" s="37"/>
      <c r="T605" s="37"/>
      <c r="U605" s="37"/>
      <c r="V605" s="37"/>
      <c r="W605" s="37"/>
      <c r="X605" s="37"/>
      <c r="Y605" s="37"/>
      <c r="Z605" s="37"/>
      <c r="AA605" s="37" t="s">
        <v>1124</v>
      </c>
      <c r="AB605" s="37" t="s">
        <v>1124</v>
      </c>
      <c r="AC605" s="37"/>
      <c r="AD605" s="37"/>
      <c r="AE605" s="37"/>
      <c r="AF605" s="168"/>
      <c r="AG605" s="37"/>
      <c r="AH605" s="37"/>
      <c r="AI605" s="37"/>
      <c r="AJ605" s="37"/>
      <c r="AK605" s="37"/>
      <c r="AL605" s="37"/>
      <c r="AM605" s="37"/>
      <c r="AN605" s="37"/>
      <c r="AO605" s="37"/>
      <c r="AP605" s="37"/>
      <c r="AQ605" s="37"/>
      <c r="AR605" s="37" t="s">
        <v>1124</v>
      </c>
      <c r="AS605" s="37"/>
      <c r="AT605" s="37"/>
      <c r="AU605" s="37"/>
      <c r="AV605" s="37"/>
      <c r="AW605" s="37"/>
      <c r="AX605" s="37"/>
      <c r="AY605" s="37"/>
      <c r="AZ605" s="37"/>
      <c r="BA605" s="37"/>
      <c r="BB605" s="37"/>
      <c r="BC605" s="37"/>
      <c r="BD605" s="37" t="s">
        <v>1124</v>
      </c>
      <c r="BE605" s="37"/>
      <c r="BF605" s="37"/>
      <c r="BG605" s="37"/>
      <c r="BH605" s="37"/>
      <c r="BI605" s="37"/>
      <c r="BJ605" s="37"/>
      <c r="BK605" s="37"/>
      <c r="BL605" s="37"/>
      <c r="BM605" s="37"/>
      <c r="BN605" s="37"/>
      <c r="BO605" s="37"/>
      <c r="BP605" s="37">
        <v>0</v>
      </c>
      <c r="BQ605" s="37"/>
      <c r="BR605" s="37"/>
      <c r="BS605" s="37"/>
      <c r="BT605" s="37"/>
      <c r="BU605" s="37"/>
      <c r="BV605" s="37"/>
      <c r="BW605" s="37"/>
      <c r="BX605" s="37"/>
      <c r="BY605" s="37"/>
      <c r="BZ605" s="37"/>
      <c r="CA605" s="37"/>
      <c r="CB605" s="37" t="s">
        <v>1124</v>
      </c>
      <c r="CC605" s="37"/>
      <c r="CD605" s="37"/>
      <c r="CE605" s="37"/>
      <c r="CF605" s="37"/>
      <c r="CG605" s="37"/>
      <c r="CH605" s="37"/>
      <c r="CI605" s="37"/>
      <c r="CJ605" s="37"/>
      <c r="CK605" s="37"/>
      <c r="CL605" s="37"/>
      <c r="CM605" s="37"/>
      <c r="CN605" s="37" t="s">
        <v>1124</v>
      </c>
      <c r="CO605" s="37"/>
      <c r="CP605" s="37"/>
      <c r="CQ605" s="37"/>
      <c r="CR605" s="37"/>
      <c r="CS605" s="37"/>
      <c r="CT605" s="37"/>
      <c r="CU605" s="37"/>
      <c r="CV605" s="37"/>
      <c r="CW605" s="37"/>
      <c r="CX605" s="37"/>
      <c r="CY605" s="37"/>
      <c r="CZ605" s="37" t="s">
        <v>1124</v>
      </c>
      <c r="DA605" s="37"/>
      <c r="DB605" s="37"/>
      <c r="DC605" s="37"/>
      <c r="DD605" s="37"/>
      <c r="DE605" s="37"/>
      <c r="DF605" s="37"/>
      <c r="DG605" s="37"/>
      <c r="DH605" s="37"/>
      <c r="DI605" s="37"/>
      <c r="DJ605" s="37"/>
      <c r="DK605" s="37"/>
      <c r="DL605" s="37" t="s">
        <v>1124</v>
      </c>
      <c r="DM605" s="37"/>
      <c r="DN605" s="37"/>
      <c r="DO605" s="37"/>
      <c r="DP605" s="37"/>
      <c r="DQ605" s="37"/>
      <c r="DR605" s="37"/>
      <c r="DS605" s="37"/>
      <c r="DT605" s="37"/>
      <c r="DU605" s="37"/>
      <c r="DV605" s="37"/>
      <c r="DW605" s="37"/>
      <c r="DX605" s="37" t="s">
        <v>1124</v>
      </c>
      <c r="DY605" s="37"/>
      <c r="DZ605" s="37"/>
      <c r="EA605" s="37"/>
      <c r="EB605" s="37"/>
      <c r="EC605" s="37"/>
      <c r="ED605" s="37"/>
      <c r="EE605" s="37"/>
      <c r="EF605" s="37"/>
      <c r="EG605" s="37"/>
      <c r="EH605" s="37"/>
      <c r="EI605" s="37"/>
      <c r="EJ605" s="37" t="s">
        <v>1124</v>
      </c>
      <c r="EK605" s="161"/>
      <c r="EL605" s="294"/>
    </row>
    <row r="606" spans="1:142" ht="15" customHeight="1" x14ac:dyDescent="0.35">
      <c r="A606" s="34"/>
      <c r="B606" s="313">
        <v>28070</v>
      </c>
      <c r="C606" s="8" t="s">
        <v>199</v>
      </c>
      <c r="D606" s="18">
        <v>12</v>
      </c>
      <c r="E606" s="155"/>
      <c r="F606" s="36"/>
      <c r="G606" s="37"/>
      <c r="H606" s="37"/>
      <c r="I606" s="37"/>
      <c r="J606" s="37"/>
      <c r="K606" s="37"/>
      <c r="L606" s="37"/>
      <c r="M606" s="37" t="s">
        <v>1124</v>
      </c>
      <c r="N606" s="37" t="s">
        <v>1124</v>
      </c>
      <c r="O606" s="37"/>
      <c r="P606" s="37"/>
      <c r="Q606" s="37"/>
      <c r="R606" s="37"/>
      <c r="S606" s="37"/>
      <c r="T606" s="37"/>
      <c r="U606" s="37"/>
      <c r="V606" s="37"/>
      <c r="W606" s="37"/>
      <c r="X606" s="37"/>
      <c r="Y606" s="37"/>
      <c r="Z606" s="37"/>
      <c r="AA606" s="37" t="s">
        <v>1124</v>
      </c>
      <c r="AB606" s="37" t="s">
        <v>1124</v>
      </c>
      <c r="AC606" s="37"/>
      <c r="AD606" s="37"/>
      <c r="AE606" s="37"/>
      <c r="AF606" s="168"/>
      <c r="AG606" s="37"/>
      <c r="AH606" s="37"/>
      <c r="AI606" s="37"/>
      <c r="AJ606" s="37"/>
      <c r="AK606" s="37"/>
      <c r="AL606" s="37"/>
      <c r="AM606" s="37"/>
      <c r="AN606" s="37"/>
      <c r="AO606" s="37"/>
      <c r="AP606" s="37"/>
      <c r="AQ606" s="37"/>
      <c r="AR606" s="37" t="s">
        <v>1124</v>
      </c>
      <c r="AS606" s="37"/>
      <c r="AT606" s="37"/>
      <c r="AU606" s="37"/>
      <c r="AV606" s="37"/>
      <c r="AW606" s="37"/>
      <c r="AX606" s="37"/>
      <c r="AY606" s="37"/>
      <c r="AZ606" s="37"/>
      <c r="BA606" s="37"/>
      <c r="BB606" s="37"/>
      <c r="BC606" s="37"/>
      <c r="BD606" s="37" t="s">
        <v>1124</v>
      </c>
      <c r="BE606" s="37"/>
      <c r="BF606" s="37"/>
      <c r="BG606" s="37"/>
      <c r="BH606" s="37"/>
      <c r="BI606" s="37"/>
      <c r="BJ606" s="37"/>
      <c r="BK606" s="37"/>
      <c r="BL606" s="37"/>
      <c r="BM606" s="37"/>
      <c r="BN606" s="37"/>
      <c r="BO606" s="37"/>
      <c r="BP606" s="37">
        <v>0</v>
      </c>
      <c r="BQ606" s="37"/>
      <c r="BR606" s="37"/>
      <c r="BS606" s="37"/>
      <c r="BT606" s="37"/>
      <c r="BU606" s="37"/>
      <c r="BV606" s="37"/>
      <c r="BW606" s="37"/>
      <c r="BX606" s="37"/>
      <c r="BY606" s="37"/>
      <c r="BZ606" s="37"/>
      <c r="CA606" s="37"/>
      <c r="CB606" s="37" t="s">
        <v>1124</v>
      </c>
      <c r="CC606" s="37"/>
      <c r="CD606" s="37"/>
      <c r="CE606" s="37"/>
      <c r="CF606" s="37"/>
      <c r="CG606" s="37"/>
      <c r="CH606" s="37"/>
      <c r="CI606" s="37"/>
      <c r="CJ606" s="37"/>
      <c r="CK606" s="37"/>
      <c r="CL606" s="37"/>
      <c r="CM606" s="37"/>
      <c r="CN606" s="37" t="s">
        <v>1124</v>
      </c>
      <c r="CO606" s="37"/>
      <c r="CP606" s="37"/>
      <c r="CQ606" s="37"/>
      <c r="CR606" s="37"/>
      <c r="CS606" s="37"/>
      <c r="CT606" s="37"/>
      <c r="CU606" s="37"/>
      <c r="CV606" s="37"/>
      <c r="CW606" s="37"/>
      <c r="CX606" s="37"/>
      <c r="CY606" s="37"/>
      <c r="CZ606" s="37" t="s">
        <v>1124</v>
      </c>
      <c r="DA606" s="37"/>
      <c r="DB606" s="37"/>
      <c r="DC606" s="37"/>
      <c r="DD606" s="37"/>
      <c r="DE606" s="37"/>
      <c r="DF606" s="37"/>
      <c r="DG606" s="37"/>
      <c r="DH606" s="37"/>
      <c r="DI606" s="37"/>
      <c r="DJ606" s="37"/>
      <c r="DK606" s="37"/>
      <c r="DL606" s="37" t="s">
        <v>1124</v>
      </c>
      <c r="DM606" s="37"/>
      <c r="DN606" s="37"/>
      <c r="DO606" s="37"/>
      <c r="DP606" s="37"/>
      <c r="DQ606" s="37"/>
      <c r="DR606" s="37"/>
      <c r="DS606" s="37"/>
      <c r="DT606" s="37"/>
      <c r="DU606" s="37"/>
      <c r="DV606" s="37"/>
      <c r="DW606" s="37"/>
      <c r="DX606" s="37" t="s">
        <v>1124</v>
      </c>
      <c r="DY606" s="37"/>
      <c r="DZ606" s="37"/>
      <c r="EA606" s="37"/>
      <c r="EB606" s="37"/>
      <c r="EC606" s="37"/>
      <c r="ED606" s="37"/>
      <c r="EE606" s="37"/>
      <c r="EF606" s="37"/>
      <c r="EG606" s="37"/>
      <c r="EH606" s="37"/>
      <c r="EI606" s="37"/>
      <c r="EJ606" s="37" t="s">
        <v>1124</v>
      </c>
      <c r="EK606" s="161"/>
      <c r="EL606" s="294"/>
    </row>
    <row r="607" spans="1:142" ht="15" customHeight="1" x14ac:dyDescent="0.35">
      <c r="A607" s="34"/>
      <c r="B607" s="313">
        <v>34078</v>
      </c>
      <c r="C607" s="8" t="s">
        <v>294</v>
      </c>
      <c r="D607" s="18">
        <v>3</v>
      </c>
      <c r="E607" s="155">
        <v>278508</v>
      </c>
      <c r="F607" s="36">
        <v>39503</v>
      </c>
      <c r="G607" s="37">
        <v>34574</v>
      </c>
      <c r="H607" s="37">
        <v>0</v>
      </c>
      <c r="I607" s="37">
        <v>153472</v>
      </c>
      <c r="J607" s="37">
        <v>0</v>
      </c>
      <c r="K607" s="37">
        <v>41776.199999999997</v>
      </c>
      <c r="L607" s="37">
        <v>5925.45</v>
      </c>
      <c r="M607" s="37">
        <v>508330.2</v>
      </c>
      <c r="N607" s="37">
        <v>45428.45</v>
      </c>
      <c r="O607" s="37">
        <v>0</v>
      </c>
      <c r="P607" s="37">
        <v>0</v>
      </c>
      <c r="Q607" s="37">
        <v>457147</v>
      </c>
      <c r="R607" s="37">
        <v>63430</v>
      </c>
      <c r="S607" s="37">
        <v>64313</v>
      </c>
      <c r="T607" s="37">
        <v>0</v>
      </c>
      <c r="U607" s="37">
        <v>0</v>
      </c>
      <c r="V607" s="37">
        <v>0</v>
      </c>
      <c r="W607" s="37">
        <v>0</v>
      </c>
      <c r="X607" s="37">
        <v>0</v>
      </c>
      <c r="Y607" s="37">
        <v>0</v>
      </c>
      <c r="Z607" s="37">
        <v>0</v>
      </c>
      <c r="AA607" s="37">
        <v>521460</v>
      </c>
      <c r="AB607" s="37">
        <v>63430</v>
      </c>
      <c r="AC607" s="37">
        <v>31131</v>
      </c>
      <c r="AD607" s="37">
        <v>0</v>
      </c>
      <c r="AE607" s="37">
        <v>0</v>
      </c>
      <c r="AF607" s="168">
        <v>0.02</v>
      </c>
      <c r="AG607" s="37">
        <v>47815595.18</v>
      </c>
      <c r="AH607" s="37">
        <v>173961.55</v>
      </c>
      <c r="AI607" s="37">
        <v>177440.78</v>
      </c>
      <c r="AJ607" s="37">
        <v>180989.59</v>
      </c>
      <c r="AK607" s="37">
        <v>184609.39</v>
      </c>
      <c r="AL607" s="37">
        <v>188301.57</v>
      </c>
      <c r="AM607" s="37">
        <v>192067.61</v>
      </c>
      <c r="AN607" s="37">
        <v>195908.96</v>
      </c>
      <c r="AO607" s="37">
        <v>199827.14</v>
      </c>
      <c r="AP607" s="37">
        <v>203823.68</v>
      </c>
      <c r="AQ607" s="37">
        <v>207900.15</v>
      </c>
      <c r="AR607" s="37">
        <v>1904830.4200000002</v>
      </c>
      <c r="AS607" s="37">
        <v>4473447.66</v>
      </c>
      <c r="AT607" s="37">
        <v>0</v>
      </c>
      <c r="AU607" s="37">
        <v>0</v>
      </c>
      <c r="AV607" s="37">
        <v>248959.4</v>
      </c>
      <c r="AW607" s="37">
        <v>0</v>
      </c>
      <c r="AX607" s="37">
        <v>0</v>
      </c>
      <c r="AY607" s="37">
        <v>0</v>
      </c>
      <c r="AZ607" s="37">
        <v>285591.96999999997</v>
      </c>
      <c r="BA607" s="37">
        <v>0</v>
      </c>
      <c r="BB607" s="37">
        <v>0</v>
      </c>
      <c r="BC607" s="37">
        <v>0</v>
      </c>
      <c r="BD607" s="37">
        <v>534551.37</v>
      </c>
      <c r="BE607" s="37">
        <v>169303</v>
      </c>
      <c r="BF607" s="37">
        <v>0</v>
      </c>
      <c r="BG607" s="37">
        <v>962564</v>
      </c>
      <c r="BH607" s="37">
        <v>0</v>
      </c>
      <c r="BI607" s="37">
        <v>0</v>
      </c>
      <c r="BJ607" s="37">
        <v>0</v>
      </c>
      <c r="BK607" s="37">
        <v>0</v>
      </c>
      <c r="BL607" s="37">
        <v>0</v>
      </c>
      <c r="BM607" s="37">
        <v>0</v>
      </c>
      <c r="BN607" s="37">
        <v>0</v>
      </c>
      <c r="BO607" s="37">
        <v>0</v>
      </c>
      <c r="BP607" s="37">
        <v>962564</v>
      </c>
      <c r="BQ607" s="37">
        <v>29877</v>
      </c>
      <c r="BR607" s="37">
        <v>856000</v>
      </c>
      <c r="BS607" s="37">
        <v>537436</v>
      </c>
      <c r="BT607" s="37">
        <v>0</v>
      </c>
      <c r="BU607" s="37">
        <v>0</v>
      </c>
      <c r="BV607" s="37">
        <v>0</v>
      </c>
      <c r="BW607" s="37">
        <v>0</v>
      </c>
      <c r="BX607" s="37">
        <v>0</v>
      </c>
      <c r="BY607" s="37">
        <v>0</v>
      </c>
      <c r="BZ607" s="37">
        <v>0</v>
      </c>
      <c r="CA607" s="37">
        <v>0</v>
      </c>
      <c r="CB607" s="37">
        <v>1393436</v>
      </c>
      <c r="CC607" s="37">
        <v>0</v>
      </c>
      <c r="CD607" s="37">
        <v>0</v>
      </c>
      <c r="CE607" s="37">
        <v>0</v>
      </c>
      <c r="CF607" s="37">
        <v>0</v>
      </c>
      <c r="CG607" s="37">
        <v>0</v>
      </c>
      <c r="CH607" s="37">
        <v>0</v>
      </c>
      <c r="CI607" s="37">
        <v>0</v>
      </c>
      <c r="CJ607" s="37">
        <v>0</v>
      </c>
      <c r="CK607" s="37">
        <v>0</v>
      </c>
      <c r="CL607" s="37">
        <v>0</v>
      </c>
      <c r="CM607" s="37">
        <v>0</v>
      </c>
      <c r="CN607" s="37">
        <v>0</v>
      </c>
      <c r="CO607" s="37">
        <v>0</v>
      </c>
      <c r="CP607" s="37">
        <v>0</v>
      </c>
      <c r="CQ607" s="37">
        <v>0</v>
      </c>
      <c r="CR607" s="37">
        <v>0</v>
      </c>
      <c r="CS607" s="37">
        <v>0</v>
      </c>
      <c r="CT607" s="37">
        <v>0</v>
      </c>
      <c r="CU607" s="37">
        <v>0</v>
      </c>
      <c r="CV607" s="37">
        <v>0</v>
      </c>
      <c r="CW607" s="37">
        <v>0</v>
      </c>
      <c r="CX607" s="37">
        <v>0</v>
      </c>
      <c r="CY607" s="37">
        <v>0</v>
      </c>
      <c r="CZ607" s="37">
        <v>0</v>
      </c>
      <c r="DA607" s="37">
        <v>0</v>
      </c>
      <c r="DB607" s="37">
        <v>0</v>
      </c>
      <c r="DC607" s="37">
        <v>0</v>
      </c>
      <c r="DD607" s="37">
        <v>0</v>
      </c>
      <c r="DE607" s="37">
        <v>0</v>
      </c>
      <c r="DF607" s="37">
        <v>0</v>
      </c>
      <c r="DG607" s="37">
        <v>0</v>
      </c>
      <c r="DH607" s="37">
        <v>0</v>
      </c>
      <c r="DI607" s="37">
        <v>0</v>
      </c>
      <c r="DJ607" s="37">
        <v>0</v>
      </c>
      <c r="DK607" s="37">
        <v>0</v>
      </c>
      <c r="DL607" s="37">
        <v>0</v>
      </c>
      <c r="DM607" s="37">
        <v>0</v>
      </c>
      <c r="DN607" s="37">
        <v>0</v>
      </c>
      <c r="DO607" s="37">
        <v>0</v>
      </c>
      <c r="DP607" s="37">
        <v>0</v>
      </c>
      <c r="DQ607" s="37">
        <v>0</v>
      </c>
      <c r="DR607" s="37">
        <v>0</v>
      </c>
      <c r="DS607" s="37">
        <v>0</v>
      </c>
      <c r="DT607" s="37">
        <v>0</v>
      </c>
      <c r="DU607" s="37">
        <v>0</v>
      </c>
      <c r="DV607" s="37">
        <v>0</v>
      </c>
      <c r="DW607" s="37">
        <v>0</v>
      </c>
      <c r="DX607" s="37">
        <v>0</v>
      </c>
      <c r="DY607" s="37">
        <v>0</v>
      </c>
      <c r="DZ607" s="37">
        <v>0</v>
      </c>
      <c r="EA607" s="37">
        <v>0</v>
      </c>
      <c r="EB607" s="37">
        <v>0</v>
      </c>
      <c r="EC607" s="37">
        <v>0</v>
      </c>
      <c r="ED607" s="37">
        <v>0</v>
      </c>
      <c r="EE607" s="37">
        <v>0</v>
      </c>
      <c r="EF607" s="37">
        <v>0</v>
      </c>
      <c r="EG607" s="37">
        <v>0</v>
      </c>
      <c r="EH607" s="37">
        <v>0</v>
      </c>
      <c r="EI607" s="37">
        <v>0</v>
      </c>
      <c r="EJ607" s="37">
        <v>0</v>
      </c>
      <c r="EK607" s="161" t="s">
        <v>2680</v>
      </c>
      <c r="EL607" s="294" t="s">
        <v>1124</v>
      </c>
    </row>
    <row r="608" spans="1:142" ht="15" customHeight="1" x14ac:dyDescent="0.35">
      <c r="A608" s="34"/>
      <c r="B608" s="313">
        <v>50035</v>
      </c>
      <c r="C608" s="8" t="s">
        <v>486</v>
      </c>
      <c r="D608" s="18">
        <v>17</v>
      </c>
      <c r="E608" s="155"/>
      <c r="F608" s="36"/>
      <c r="G608" s="37"/>
      <c r="H608" s="37"/>
      <c r="I608" s="37"/>
      <c r="J608" s="37"/>
      <c r="K608" s="37"/>
      <c r="L608" s="37"/>
      <c r="M608" s="37" t="s">
        <v>1124</v>
      </c>
      <c r="N608" s="37" t="s">
        <v>1124</v>
      </c>
      <c r="O608" s="37"/>
      <c r="P608" s="37"/>
      <c r="Q608" s="37"/>
      <c r="R608" s="37"/>
      <c r="S608" s="37"/>
      <c r="T608" s="37"/>
      <c r="U608" s="37"/>
      <c r="V608" s="37"/>
      <c r="W608" s="37"/>
      <c r="X608" s="37"/>
      <c r="Y608" s="37"/>
      <c r="Z608" s="37"/>
      <c r="AA608" s="37" t="s">
        <v>1124</v>
      </c>
      <c r="AB608" s="37" t="s">
        <v>1124</v>
      </c>
      <c r="AC608" s="37"/>
      <c r="AD608" s="37"/>
      <c r="AE608" s="37"/>
      <c r="AF608" s="168"/>
      <c r="AG608" s="37"/>
      <c r="AH608" s="37"/>
      <c r="AI608" s="37"/>
      <c r="AJ608" s="37"/>
      <c r="AK608" s="37"/>
      <c r="AL608" s="37"/>
      <c r="AM608" s="37"/>
      <c r="AN608" s="37"/>
      <c r="AO608" s="37"/>
      <c r="AP608" s="37"/>
      <c r="AQ608" s="37"/>
      <c r="AR608" s="37" t="s">
        <v>1124</v>
      </c>
      <c r="AS608" s="37"/>
      <c r="AT608" s="37"/>
      <c r="AU608" s="37"/>
      <c r="AV608" s="37"/>
      <c r="AW608" s="37"/>
      <c r="AX608" s="37"/>
      <c r="AY608" s="37"/>
      <c r="AZ608" s="37"/>
      <c r="BA608" s="37"/>
      <c r="BB608" s="37"/>
      <c r="BC608" s="37"/>
      <c r="BD608" s="37" t="s">
        <v>1124</v>
      </c>
      <c r="BE608" s="37"/>
      <c r="BF608" s="37"/>
      <c r="BG608" s="37"/>
      <c r="BH608" s="37"/>
      <c r="BI608" s="37"/>
      <c r="BJ608" s="37"/>
      <c r="BK608" s="37"/>
      <c r="BL608" s="37"/>
      <c r="BM608" s="37"/>
      <c r="BN608" s="37"/>
      <c r="BO608" s="37"/>
      <c r="BP608" s="37">
        <v>0</v>
      </c>
      <c r="BQ608" s="37"/>
      <c r="BR608" s="37"/>
      <c r="BS608" s="37"/>
      <c r="BT608" s="37"/>
      <c r="BU608" s="37"/>
      <c r="BV608" s="37"/>
      <c r="BW608" s="37"/>
      <c r="BX608" s="37"/>
      <c r="BY608" s="37"/>
      <c r="BZ608" s="37"/>
      <c r="CA608" s="37"/>
      <c r="CB608" s="37" t="s">
        <v>1124</v>
      </c>
      <c r="CC608" s="37"/>
      <c r="CD608" s="37"/>
      <c r="CE608" s="37"/>
      <c r="CF608" s="37"/>
      <c r="CG608" s="37"/>
      <c r="CH608" s="37"/>
      <c r="CI608" s="37"/>
      <c r="CJ608" s="37"/>
      <c r="CK608" s="37"/>
      <c r="CL608" s="37"/>
      <c r="CM608" s="37"/>
      <c r="CN608" s="37" t="s">
        <v>1124</v>
      </c>
      <c r="CO608" s="37"/>
      <c r="CP608" s="37"/>
      <c r="CQ608" s="37"/>
      <c r="CR608" s="37"/>
      <c r="CS608" s="37"/>
      <c r="CT608" s="37"/>
      <c r="CU608" s="37"/>
      <c r="CV608" s="37"/>
      <c r="CW608" s="37"/>
      <c r="CX608" s="37"/>
      <c r="CY608" s="37"/>
      <c r="CZ608" s="37" t="s">
        <v>1124</v>
      </c>
      <c r="DA608" s="37"/>
      <c r="DB608" s="37"/>
      <c r="DC608" s="37"/>
      <c r="DD608" s="37"/>
      <c r="DE608" s="37"/>
      <c r="DF608" s="37"/>
      <c r="DG608" s="37"/>
      <c r="DH608" s="37"/>
      <c r="DI608" s="37"/>
      <c r="DJ608" s="37"/>
      <c r="DK608" s="37"/>
      <c r="DL608" s="37" t="s">
        <v>1124</v>
      </c>
      <c r="DM608" s="37"/>
      <c r="DN608" s="37"/>
      <c r="DO608" s="37"/>
      <c r="DP608" s="37"/>
      <c r="DQ608" s="37"/>
      <c r="DR608" s="37"/>
      <c r="DS608" s="37"/>
      <c r="DT608" s="37"/>
      <c r="DU608" s="37"/>
      <c r="DV608" s="37"/>
      <c r="DW608" s="37"/>
      <c r="DX608" s="37" t="s">
        <v>1124</v>
      </c>
      <c r="DY608" s="37"/>
      <c r="DZ608" s="37"/>
      <c r="EA608" s="37"/>
      <c r="EB608" s="37"/>
      <c r="EC608" s="37"/>
      <c r="ED608" s="37"/>
      <c r="EE608" s="37"/>
      <c r="EF608" s="37"/>
      <c r="EG608" s="37"/>
      <c r="EH608" s="37"/>
      <c r="EI608" s="37"/>
      <c r="EJ608" s="37" t="s">
        <v>1124</v>
      </c>
      <c r="EK608" s="161"/>
      <c r="EL608" s="294"/>
    </row>
    <row r="609" spans="1:142" ht="15" customHeight="1" x14ac:dyDescent="0.35">
      <c r="A609" s="34"/>
      <c r="B609" s="313">
        <v>50030</v>
      </c>
      <c r="C609" s="8" t="s">
        <v>485</v>
      </c>
      <c r="D609" s="18">
        <v>17</v>
      </c>
      <c r="E609" s="155">
        <v>181584</v>
      </c>
      <c r="F609" s="36">
        <v>50192</v>
      </c>
      <c r="G609" s="37">
        <v>42203</v>
      </c>
      <c r="H609" s="37">
        <v>2816</v>
      </c>
      <c r="I609" s="37">
        <v>59066</v>
      </c>
      <c r="J609" s="37">
        <v>9166</v>
      </c>
      <c r="K609" s="37">
        <v>13009</v>
      </c>
      <c r="L609" s="37">
        <v>29270</v>
      </c>
      <c r="M609" s="37">
        <v>295862</v>
      </c>
      <c r="N609" s="37">
        <v>91444</v>
      </c>
      <c r="O609" s="37">
        <v>0</v>
      </c>
      <c r="P609" s="37">
        <v>0</v>
      </c>
      <c r="Q609" s="37">
        <v>164178</v>
      </c>
      <c r="R609" s="37">
        <v>55639</v>
      </c>
      <c r="S609" s="37">
        <v>21554</v>
      </c>
      <c r="T609" s="37">
        <v>257</v>
      </c>
      <c r="U609" s="37">
        <v>43324</v>
      </c>
      <c r="V609" s="37">
        <v>0</v>
      </c>
      <c r="W609" s="37">
        <v>66806</v>
      </c>
      <c r="X609" s="37">
        <v>35548</v>
      </c>
      <c r="Y609" s="37">
        <v>0</v>
      </c>
      <c r="Z609" s="37">
        <v>0</v>
      </c>
      <c r="AA609" s="37">
        <v>295862</v>
      </c>
      <c r="AB609" s="37">
        <v>91444</v>
      </c>
      <c r="AC609" s="37">
        <v>0</v>
      </c>
      <c r="AD609" s="37">
        <v>0</v>
      </c>
      <c r="AE609" s="37">
        <v>85852</v>
      </c>
      <c r="AF609" s="168">
        <v>0.02</v>
      </c>
      <c r="AG609" s="37">
        <v>14546923.32</v>
      </c>
      <c r="AH609" s="37">
        <v>108612.18</v>
      </c>
      <c r="AI609" s="37">
        <v>110784.42</v>
      </c>
      <c r="AJ609" s="37">
        <v>113000.11</v>
      </c>
      <c r="AK609" s="37">
        <v>115260.12</v>
      </c>
      <c r="AL609" s="37">
        <v>117565.32</v>
      </c>
      <c r="AM609" s="37">
        <v>119916.62</v>
      </c>
      <c r="AN609" s="37">
        <v>122314.96</v>
      </c>
      <c r="AO609" s="37">
        <v>124761.26</v>
      </c>
      <c r="AP609" s="37">
        <v>127256.48</v>
      </c>
      <c r="AQ609" s="37">
        <v>129801.61</v>
      </c>
      <c r="AR609" s="37">
        <v>1189273.0799999998</v>
      </c>
      <c r="AS609" s="37">
        <v>3001025.68</v>
      </c>
      <c r="AT609" s="37">
        <v>136612.68</v>
      </c>
      <c r="AU609" s="37">
        <v>0</v>
      </c>
      <c r="AV609" s="37">
        <v>0</v>
      </c>
      <c r="AW609" s="37">
        <v>0</v>
      </c>
      <c r="AX609" s="37">
        <v>0</v>
      </c>
      <c r="AY609" s="37">
        <v>0</v>
      </c>
      <c r="AZ609" s="37">
        <v>0</v>
      </c>
      <c r="BA609" s="37">
        <v>0</v>
      </c>
      <c r="BB609" s="37">
        <v>0</v>
      </c>
      <c r="BC609" s="37">
        <v>0</v>
      </c>
      <c r="BD609" s="37">
        <v>136612.68</v>
      </c>
      <c r="BE609" s="37">
        <v>2826</v>
      </c>
      <c r="BF609" s="37">
        <v>1633520</v>
      </c>
      <c r="BG609" s="37">
        <v>0</v>
      </c>
      <c r="BH609" s="37">
        <v>0</v>
      </c>
      <c r="BI609" s="37">
        <v>0</v>
      </c>
      <c r="BJ609" s="37">
        <v>0</v>
      </c>
      <c r="BK609" s="37">
        <v>0</v>
      </c>
      <c r="BL609" s="37">
        <v>0</v>
      </c>
      <c r="BM609" s="37">
        <v>0</v>
      </c>
      <c r="BN609" s="37">
        <v>0</v>
      </c>
      <c r="BO609" s="37">
        <v>0</v>
      </c>
      <c r="BP609" s="37">
        <v>1633520</v>
      </c>
      <c r="BQ609" s="37">
        <v>0</v>
      </c>
      <c r="BR609" s="37">
        <v>0</v>
      </c>
      <c r="BS609" s="37">
        <v>0</v>
      </c>
      <c r="BT609" s="37">
        <v>0</v>
      </c>
      <c r="BU609" s="37">
        <v>0</v>
      </c>
      <c r="BV609" s="37">
        <v>0</v>
      </c>
      <c r="BW609" s="37">
        <v>0</v>
      </c>
      <c r="BX609" s="37">
        <v>0</v>
      </c>
      <c r="BY609" s="37">
        <v>0</v>
      </c>
      <c r="BZ609" s="37">
        <v>0</v>
      </c>
      <c r="CA609" s="37">
        <v>0</v>
      </c>
      <c r="CB609" s="37">
        <v>0</v>
      </c>
      <c r="CC609" s="37">
        <v>0</v>
      </c>
      <c r="CD609" s="37">
        <v>408381</v>
      </c>
      <c r="CE609" s="37">
        <v>0</v>
      </c>
      <c r="CF609" s="37">
        <v>0</v>
      </c>
      <c r="CG609" s="37">
        <v>0</v>
      </c>
      <c r="CH609" s="37">
        <v>0</v>
      </c>
      <c r="CI609" s="37">
        <v>0</v>
      </c>
      <c r="CJ609" s="37">
        <v>0</v>
      </c>
      <c r="CK609" s="37">
        <v>0</v>
      </c>
      <c r="CL609" s="37">
        <v>0</v>
      </c>
      <c r="CM609" s="37">
        <v>0</v>
      </c>
      <c r="CN609" s="37">
        <v>408381</v>
      </c>
      <c r="CO609" s="37">
        <v>4792</v>
      </c>
      <c r="CP609" s="37">
        <v>0</v>
      </c>
      <c r="CQ609" s="37">
        <v>0</v>
      </c>
      <c r="CR609" s="37">
        <v>0</v>
      </c>
      <c r="CS609" s="37">
        <v>0</v>
      </c>
      <c r="CT609" s="37">
        <v>0</v>
      </c>
      <c r="CU609" s="37">
        <v>0</v>
      </c>
      <c r="CV609" s="37">
        <v>0</v>
      </c>
      <c r="CW609" s="37">
        <v>0</v>
      </c>
      <c r="CX609" s="37">
        <v>0</v>
      </c>
      <c r="CY609" s="37">
        <v>0</v>
      </c>
      <c r="CZ609" s="37">
        <v>0</v>
      </c>
      <c r="DA609" s="37">
        <v>0</v>
      </c>
      <c r="DB609" s="37">
        <v>0</v>
      </c>
      <c r="DC609" s="37">
        <v>0</v>
      </c>
      <c r="DD609" s="37">
        <v>0</v>
      </c>
      <c r="DE609" s="37">
        <v>0</v>
      </c>
      <c r="DF609" s="37">
        <v>0</v>
      </c>
      <c r="DG609" s="37">
        <v>0</v>
      </c>
      <c r="DH609" s="37">
        <v>0</v>
      </c>
      <c r="DI609" s="37">
        <v>0</v>
      </c>
      <c r="DJ609" s="37">
        <v>0</v>
      </c>
      <c r="DK609" s="37">
        <v>0</v>
      </c>
      <c r="DL609" s="37">
        <v>0</v>
      </c>
      <c r="DM609" s="37">
        <v>982</v>
      </c>
      <c r="DN609" s="37">
        <v>0</v>
      </c>
      <c r="DO609" s="37">
        <v>0</v>
      </c>
      <c r="DP609" s="37">
        <v>0</v>
      </c>
      <c r="DQ609" s="37">
        <v>0</v>
      </c>
      <c r="DR609" s="37">
        <v>0</v>
      </c>
      <c r="DS609" s="37">
        <v>0</v>
      </c>
      <c r="DT609" s="37">
        <v>0</v>
      </c>
      <c r="DU609" s="37">
        <v>0</v>
      </c>
      <c r="DV609" s="37">
        <v>0</v>
      </c>
      <c r="DW609" s="37">
        <v>0</v>
      </c>
      <c r="DX609" s="37">
        <v>0</v>
      </c>
      <c r="DY609" s="37">
        <v>0</v>
      </c>
      <c r="DZ609" s="37">
        <v>0</v>
      </c>
      <c r="EA609" s="37">
        <v>0</v>
      </c>
      <c r="EB609" s="37">
        <v>0</v>
      </c>
      <c r="EC609" s="37">
        <v>0</v>
      </c>
      <c r="ED609" s="37">
        <v>0</v>
      </c>
      <c r="EE609" s="37">
        <v>0</v>
      </c>
      <c r="EF609" s="37">
        <v>0</v>
      </c>
      <c r="EG609" s="37">
        <v>0</v>
      </c>
      <c r="EH609" s="37">
        <v>0</v>
      </c>
      <c r="EI609" s="37">
        <v>0</v>
      </c>
      <c r="EJ609" s="37">
        <v>0</v>
      </c>
      <c r="EK609" s="161" t="s">
        <v>2683</v>
      </c>
      <c r="EL609" s="294" t="s">
        <v>1124</v>
      </c>
    </row>
    <row r="610" spans="1:142" ht="15" customHeight="1" x14ac:dyDescent="0.35">
      <c r="A610" s="34"/>
      <c r="B610" s="313">
        <v>55023</v>
      </c>
      <c r="C610" s="8" t="s">
        <v>561</v>
      </c>
      <c r="D610" s="18">
        <v>16</v>
      </c>
      <c r="E610" s="155">
        <v>492150</v>
      </c>
      <c r="F610" s="36">
        <v>531244</v>
      </c>
      <c r="G610" s="37">
        <v>60227</v>
      </c>
      <c r="H610" s="37">
        <v>35267</v>
      </c>
      <c r="I610" s="37">
        <v>240305</v>
      </c>
      <c r="J610" s="37">
        <v>69395</v>
      </c>
      <c r="K610" s="37">
        <v>0</v>
      </c>
      <c r="L610" s="37">
        <v>0</v>
      </c>
      <c r="M610" s="37">
        <v>792682</v>
      </c>
      <c r="N610" s="37">
        <v>635906</v>
      </c>
      <c r="O610" s="37">
        <v>724703</v>
      </c>
      <c r="P610" s="37">
        <v>442780</v>
      </c>
      <c r="Q610" s="37">
        <v>0</v>
      </c>
      <c r="R610" s="37">
        <v>0</v>
      </c>
      <c r="S610" s="37">
        <v>3427</v>
      </c>
      <c r="T610" s="37">
        <v>0</v>
      </c>
      <c r="U610" s="37">
        <v>0</v>
      </c>
      <c r="V610" s="37">
        <v>0</v>
      </c>
      <c r="W610" s="37">
        <v>64552</v>
      </c>
      <c r="X610" s="37">
        <v>193126</v>
      </c>
      <c r="Y610" s="37">
        <v>0</v>
      </c>
      <c r="Z610" s="37">
        <v>0</v>
      </c>
      <c r="AA610" s="37">
        <v>792682</v>
      </c>
      <c r="AB610" s="37">
        <v>635906</v>
      </c>
      <c r="AC610" s="37">
        <v>0</v>
      </c>
      <c r="AD610" s="37">
        <v>0</v>
      </c>
      <c r="AE610" s="37">
        <v>0</v>
      </c>
      <c r="AF610" s="168">
        <v>0.02</v>
      </c>
      <c r="AG610" s="37">
        <v>76289677.219999999</v>
      </c>
      <c r="AH610" s="37">
        <v>668147.80000000005</v>
      </c>
      <c r="AI610" s="37">
        <v>6351690.75</v>
      </c>
      <c r="AJ610" s="37">
        <v>695140.97</v>
      </c>
      <c r="AK610" s="37">
        <v>709043.79</v>
      </c>
      <c r="AL610" s="37">
        <v>723224.67</v>
      </c>
      <c r="AM610" s="37">
        <v>737689.16</v>
      </c>
      <c r="AN610" s="37">
        <v>752442.94</v>
      </c>
      <c r="AO610" s="37">
        <v>767491.8</v>
      </c>
      <c r="AP610" s="37">
        <v>782841.64</v>
      </c>
      <c r="AQ610" s="37">
        <v>798498.47</v>
      </c>
      <c r="AR610" s="37">
        <v>12986211.99</v>
      </c>
      <c r="AS610" s="37">
        <v>2067345.55</v>
      </c>
      <c r="AT610" s="37">
        <v>84966</v>
      </c>
      <c r="AU610" s="37">
        <v>86665.32</v>
      </c>
      <c r="AV610" s="37">
        <v>88398.63</v>
      </c>
      <c r="AW610" s="37">
        <v>16561.21</v>
      </c>
      <c r="AX610" s="37">
        <v>16892.439999999999</v>
      </c>
      <c r="AY610" s="37">
        <v>17230.29</v>
      </c>
      <c r="AZ610" s="37">
        <v>17574.89</v>
      </c>
      <c r="BA610" s="37">
        <v>17926.39</v>
      </c>
      <c r="BB610" s="37">
        <v>18284.919999999998</v>
      </c>
      <c r="BC610" s="37">
        <v>18650.61</v>
      </c>
      <c r="BD610" s="37">
        <v>383150.7</v>
      </c>
      <c r="BE610" s="37">
        <v>1493643</v>
      </c>
      <c r="BF610" s="37">
        <v>0</v>
      </c>
      <c r="BG610" s="37">
        <v>5541660</v>
      </c>
      <c r="BH610" s="37">
        <v>0</v>
      </c>
      <c r="BI610" s="37">
        <v>0</v>
      </c>
      <c r="BJ610" s="37">
        <v>0</v>
      </c>
      <c r="BK610" s="37">
        <v>0</v>
      </c>
      <c r="BL610" s="37">
        <v>0</v>
      </c>
      <c r="BM610" s="37">
        <v>0</v>
      </c>
      <c r="BN610" s="37">
        <v>0</v>
      </c>
      <c r="BO610" s="37">
        <v>0</v>
      </c>
      <c r="BP610" s="37">
        <v>5541660</v>
      </c>
      <c r="BQ610" s="37">
        <v>0</v>
      </c>
      <c r="BR610" s="37">
        <v>0</v>
      </c>
      <c r="BS610" s="37">
        <v>1090000</v>
      </c>
      <c r="BT610" s="37">
        <v>1500000</v>
      </c>
      <c r="BU610" s="37">
        <v>0</v>
      </c>
      <c r="BV610" s="37">
        <v>0</v>
      </c>
      <c r="BW610" s="37">
        <v>0</v>
      </c>
      <c r="BX610" s="37">
        <v>0</v>
      </c>
      <c r="BY610" s="37">
        <v>0</v>
      </c>
      <c r="BZ610" s="37">
        <v>0</v>
      </c>
      <c r="CA610" s="37">
        <v>0</v>
      </c>
      <c r="CB610" s="37">
        <v>2590000</v>
      </c>
      <c r="CC610" s="37">
        <v>0</v>
      </c>
      <c r="CD610" s="37">
        <v>0</v>
      </c>
      <c r="CE610" s="37">
        <v>0</v>
      </c>
      <c r="CF610" s="37">
        <v>0</v>
      </c>
      <c r="CG610" s="37">
        <v>0</v>
      </c>
      <c r="CH610" s="37">
        <v>0</v>
      </c>
      <c r="CI610" s="37">
        <v>0</v>
      </c>
      <c r="CJ610" s="37">
        <v>0</v>
      </c>
      <c r="CK610" s="37">
        <v>0</v>
      </c>
      <c r="CL610" s="37">
        <v>0</v>
      </c>
      <c r="CM610" s="37">
        <v>0</v>
      </c>
      <c r="CN610" s="37">
        <v>0</v>
      </c>
      <c r="CO610" s="37">
        <v>0</v>
      </c>
      <c r="CP610" s="37">
        <v>0</v>
      </c>
      <c r="CQ610" s="37">
        <v>0</v>
      </c>
      <c r="CR610" s="37">
        <v>0</v>
      </c>
      <c r="CS610" s="37">
        <v>0</v>
      </c>
      <c r="CT610" s="37">
        <v>0</v>
      </c>
      <c r="CU610" s="37">
        <v>0</v>
      </c>
      <c r="CV610" s="37">
        <v>0</v>
      </c>
      <c r="CW610" s="37">
        <v>0</v>
      </c>
      <c r="CX610" s="37">
        <v>0</v>
      </c>
      <c r="CY610" s="37">
        <v>0</v>
      </c>
      <c r="CZ610" s="37">
        <v>0</v>
      </c>
      <c r="DA610" s="37">
        <v>0</v>
      </c>
      <c r="DB610" s="37">
        <v>0</v>
      </c>
      <c r="DC610" s="37">
        <v>0</v>
      </c>
      <c r="DD610" s="37">
        <v>0</v>
      </c>
      <c r="DE610" s="37">
        <v>0</v>
      </c>
      <c r="DF610" s="37">
        <v>0</v>
      </c>
      <c r="DG610" s="37">
        <v>0</v>
      </c>
      <c r="DH610" s="37">
        <v>0</v>
      </c>
      <c r="DI610" s="37">
        <v>0</v>
      </c>
      <c r="DJ610" s="37">
        <v>0</v>
      </c>
      <c r="DK610" s="37">
        <v>0</v>
      </c>
      <c r="DL610" s="37">
        <v>0</v>
      </c>
      <c r="DM610" s="37">
        <v>0</v>
      </c>
      <c r="DN610" s="37">
        <v>0</v>
      </c>
      <c r="DO610" s="37">
        <v>0</v>
      </c>
      <c r="DP610" s="37">
        <v>0</v>
      </c>
      <c r="DQ610" s="37">
        <v>0</v>
      </c>
      <c r="DR610" s="37">
        <v>0</v>
      </c>
      <c r="DS610" s="37">
        <v>0</v>
      </c>
      <c r="DT610" s="37">
        <v>0</v>
      </c>
      <c r="DU610" s="37">
        <v>0</v>
      </c>
      <c r="DV610" s="37">
        <v>0</v>
      </c>
      <c r="DW610" s="37">
        <v>0</v>
      </c>
      <c r="DX610" s="37">
        <v>0</v>
      </c>
      <c r="DY610" s="37">
        <v>0</v>
      </c>
      <c r="DZ610" s="37">
        <v>0</v>
      </c>
      <c r="EA610" s="37">
        <v>0</v>
      </c>
      <c r="EB610" s="37">
        <v>0</v>
      </c>
      <c r="EC610" s="37">
        <v>0</v>
      </c>
      <c r="ED610" s="37">
        <v>0</v>
      </c>
      <c r="EE610" s="37">
        <v>0</v>
      </c>
      <c r="EF610" s="37">
        <v>0</v>
      </c>
      <c r="EG610" s="37">
        <v>0</v>
      </c>
      <c r="EH610" s="37">
        <v>0</v>
      </c>
      <c r="EI610" s="37">
        <v>0</v>
      </c>
      <c r="EJ610" s="37">
        <v>0</v>
      </c>
      <c r="EK610" s="161" t="s">
        <v>2685</v>
      </c>
      <c r="EL610" s="294" t="s">
        <v>1124</v>
      </c>
    </row>
    <row r="611" spans="1:142" ht="15" customHeight="1" x14ac:dyDescent="0.35">
      <c r="A611" s="34"/>
      <c r="B611" s="313">
        <v>61035</v>
      </c>
      <c r="C611" s="8" t="s">
        <v>615</v>
      </c>
      <c r="D611" s="18">
        <v>14</v>
      </c>
      <c r="E611" s="155">
        <v>768148</v>
      </c>
      <c r="F611" s="36">
        <v>715220</v>
      </c>
      <c r="G611" s="37">
        <v>137478</v>
      </c>
      <c r="H611" s="37">
        <v>221200</v>
      </c>
      <c r="I611" s="37">
        <v>0</v>
      </c>
      <c r="J611" s="37">
        <v>0</v>
      </c>
      <c r="K611" s="37">
        <v>115222.2</v>
      </c>
      <c r="L611" s="37">
        <v>107283</v>
      </c>
      <c r="M611" s="37">
        <v>1020848.2</v>
      </c>
      <c r="N611" s="37">
        <v>1043703</v>
      </c>
      <c r="O611" s="37">
        <v>98038.8</v>
      </c>
      <c r="P611" s="37">
        <v>86849</v>
      </c>
      <c r="Q611" s="37">
        <v>844445</v>
      </c>
      <c r="R611" s="37">
        <v>631805</v>
      </c>
      <c r="S611" s="37">
        <v>79993</v>
      </c>
      <c r="T611" s="37">
        <v>2800</v>
      </c>
      <c r="U611" s="37">
        <v>102228</v>
      </c>
      <c r="V611" s="37">
        <v>77949</v>
      </c>
      <c r="W611" s="37">
        <v>0</v>
      </c>
      <c r="X611" s="37">
        <v>140443.39999999991</v>
      </c>
      <c r="Y611" s="37">
        <v>0</v>
      </c>
      <c r="Z611" s="37">
        <v>0</v>
      </c>
      <c r="AA611" s="37">
        <v>1124704.8</v>
      </c>
      <c r="AB611" s="37">
        <v>939846.39999999991</v>
      </c>
      <c r="AC611" s="37">
        <v>0</v>
      </c>
      <c r="AD611" s="37">
        <v>0</v>
      </c>
      <c r="AE611" s="37">
        <v>997730</v>
      </c>
      <c r="AF611" s="168">
        <v>0.02</v>
      </c>
      <c r="AG611" s="37">
        <v>119346182.66</v>
      </c>
      <c r="AH611" s="37">
        <v>7903034.5</v>
      </c>
      <c r="AI611" s="37">
        <v>976361.35</v>
      </c>
      <c r="AJ611" s="37">
        <v>995888.58</v>
      </c>
      <c r="AK611" s="37">
        <v>1015806.35</v>
      </c>
      <c r="AL611" s="37">
        <v>1036122.48</v>
      </c>
      <c r="AM611" s="37">
        <v>1056844.93</v>
      </c>
      <c r="AN611" s="37">
        <v>1077981.83</v>
      </c>
      <c r="AO611" s="37">
        <v>1099541.46</v>
      </c>
      <c r="AP611" s="37">
        <v>1121532.29</v>
      </c>
      <c r="AQ611" s="37">
        <v>1143962.94</v>
      </c>
      <c r="AR611" s="37">
        <v>17427076.710000001</v>
      </c>
      <c r="AS611" s="37">
        <v>2695212.06</v>
      </c>
      <c r="AT611" s="37">
        <v>0</v>
      </c>
      <c r="AU611" s="37">
        <v>4249.34</v>
      </c>
      <c r="AV611" s="37">
        <v>11558.21</v>
      </c>
      <c r="AW611" s="37">
        <v>7368.36</v>
      </c>
      <c r="AX611" s="37">
        <v>0</v>
      </c>
      <c r="AY611" s="37">
        <v>0</v>
      </c>
      <c r="AZ611" s="37">
        <v>0</v>
      </c>
      <c r="BA611" s="37">
        <v>0</v>
      </c>
      <c r="BB611" s="37">
        <v>0</v>
      </c>
      <c r="BC611" s="37">
        <v>0</v>
      </c>
      <c r="BD611" s="37">
        <v>23175.91</v>
      </c>
      <c r="BE611" s="37">
        <v>91908</v>
      </c>
      <c r="BF611" s="37">
        <v>1187328.21307535</v>
      </c>
      <c r="BG611" s="37">
        <v>5573764.3416225202</v>
      </c>
      <c r="BH611" s="37">
        <v>4034314.4147473797</v>
      </c>
      <c r="BI611" s="37">
        <v>1607079.0305547421</v>
      </c>
      <c r="BJ611" s="37">
        <v>0</v>
      </c>
      <c r="BK611" s="37">
        <v>0</v>
      </c>
      <c r="BL611" s="37">
        <v>0</v>
      </c>
      <c r="BM611" s="37">
        <v>0</v>
      </c>
      <c r="BN611" s="37">
        <v>0</v>
      </c>
      <c r="BO611" s="37">
        <v>0</v>
      </c>
      <c r="BP611" s="37">
        <v>12402485.999999993</v>
      </c>
      <c r="BQ611" s="37">
        <v>45954</v>
      </c>
      <c r="BR611" s="37">
        <v>874511.45030981104</v>
      </c>
      <c r="BS611" s="37">
        <v>2096631.0846361332</v>
      </c>
      <c r="BT611" s="37">
        <v>2389815.1262969901</v>
      </c>
      <c r="BU611" s="37">
        <v>1246138.5887570675</v>
      </c>
      <c r="BV611" s="37">
        <v>0</v>
      </c>
      <c r="BW611" s="37">
        <v>0</v>
      </c>
      <c r="BX611" s="37">
        <v>0</v>
      </c>
      <c r="BY611" s="37">
        <v>0</v>
      </c>
      <c r="BZ611" s="37">
        <v>0</v>
      </c>
      <c r="CA611" s="37">
        <v>0</v>
      </c>
      <c r="CB611" s="37">
        <v>6607096.2500000019</v>
      </c>
      <c r="CC611" s="37">
        <v>0</v>
      </c>
      <c r="CD611" s="37">
        <v>0</v>
      </c>
      <c r="CE611" s="37">
        <v>0</v>
      </c>
      <c r="CF611" s="37">
        <v>0</v>
      </c>
      <c r="CG611" s="37">
        <v>0</v>
      </c>
      <c r="CH611" s="37">
        <v>0</v>
      </c>
      <c r="CI611" s="37">
        <v>0</v>
      </c>
      <c r="CJ611" s="37">
        <v>0</v>
      </c>
      <c r="CK611" s="37">
        <v>0</v>
      </c>
      <c r="CL611" s="37">
        <v>0</v>
      </c>
      <c r="CM611" s="37">
        <v>0</v>
      </c>
      <c r="CN611" s="37">
        <v>0</v>
      </c>
      <c r="CO611" s="37">
        <v>697500</v>
      </c>
      <c r="CP611" s="37">
        <v>0</v>
      </c>
      <c r="CQ611" s="37">
        <v>0</v>
      </c>
      <c r="CR611" s="37">
        <v>0</v>
      </c>
      <c r="CS611" s="37">
        <v>0</v>
      </c>
      <c r="CT611" s="37">
        <v>0</v>
      </c>
      <c r="CU611" s="37">
        <v>0</v>
      </c>
      <c r="CV611" s="37">
        <v>0</v>
      </c>
      <c r="CW611" s="37">
        <v>0</v>
      </c>
      <c r="CX611" s="37">
        <v>0</v>
      </c>
      <c r="CY611" s="37">
        <v>0</v>
      </c>
      <c r="CZ611" s="37">
        <v>0</v>
      </c>
      <c r="DA611" s="37">
        <v>697500</v>
      </c>
      <c r="DB611" s="37">
        <v>0</v>
      </c>
      <c r="DC611" s="37">
        <v>0</v>
      </c>
      <c r="DD611" s="37">
        <v>0</v>
      </c>
      <c r="DE611" s="37">
        <v>0</v>
      </c>
      <c r="DF611" s="37">
        <v>0</v>
      </c>
      <c r="DG611" s="37">
        <v>0</v>
      </c>
      <c r="DH611" s="37">
        <v>0</v>
      </c>
      <c r="DI611" s="37">
        <v>0</v>
      </c>
      <c r="DJ611" s="37">
        <v>0</v>
      </c>
      <c r="DK611" s="37">
        <v>0</v>
      </c>
      <c r="DL611" s="37">
        <v>0</v>
      </c>
      <c r="DM611" s="37">
        <v>0</v>
      </c>
      <c r="DN611" s="37">
        <v>0</v>
      </c>
      <c r="DO611" s="37">
        <v>0</v>
      </c>
      <c r="DP611" s="37">
        <v>0</v>
      </c>
      <c r="DQ611" s="37">
        <v>0</v>
      </c>
      <c r="DR611" s="37">
        <v>0</v>
      </c>
      <c r="DS611" s="37">
        <v>0</v>
      </c>
      <c r="DT611" s="37">
        <v>0</v>
      </c>
      <c r="DU611" s="37">
        <v>0</v>
      </c>
      <c r="DV611" s="37">
        <v>0</v>
      </c>
      <c r="DW611" s="37">
        <v>0</v>
      </c>
      <c r="DX611" s="37">
        <v>0</v>
      </c>
      <c r="DY611" s="37">
        <v>621855</v>
      </c>
      <c r="DZ611" s="37">
        <v>0</v>
      </c>
      <c r="EA611" s="37">
        <v>0</v>
      </c>
      <c r="EB611" s="37">
        <v>0</v>
      </c>
      <c r="EC611" s="37">
        <v>0</v>
      </c>
      <c r="ED611" s="37">
        <v>0</v>
      </c>
      <c r="EE611" s="37">
        <v>0</v>
      </c>
      <c r="EF611" s="37">
        <v>0</v>
      </c>
      <c r="EG611" s="37">
        <v>0</v>
      </c>
      <c r="EH611" s="37">
        <v>0</v>
      </c>
      <c r="EI611" s="37">
        <v>0</v>
      </c>
      <c r="EJ611" s="37">
        <v>0</v>
      </c>
      <c r="EK611" s="161" t="s">
        <v>2689</v>
      </c>
      <c r="EL611" s="294" t="s">
        <v>1124</v>
      </c>
    </row>
    <row r="612" spans="1:142" ht="15" customHeight="1" x14ac:dyDescent="0.35">
      <c r="A612" s="34"/>
      <c r="B612" s="313">
        <v>19097</v>
      </c>
      <c r="C612" s="8" t="s">
        <v>134</v>
      </c>
      <c r="D612" s="18">
        <v>12</v>
      </c>
      <c r="E612" s="155">
        <v>216805</v>
      </c>
      <c r="F612" s="36">
        <v>198480</v>
      </c>
      <c r="G612" s="37">
        <v>109517</v>
      </c>
      <c r="H612" s="37">
        <v>0</v>
      </c>
      <c r="I612" s="37">
        <v>264647</v>
      </c>
      <c r="J612" s="37">
        <v>0</v>
      </c>
      <c r="K612" s="37">
        <v>32520.75</v>
      </c>
      <c r="L612" s="37">
        <v>29772</v>
      </c>
      <c r="M612" s="37">
        <v>623489.75</v>
      </c>
      <c r="N612" s="37">
        <v>228252</v>
      </c>
      <c r="O612" s="37">
        <v>95289.44</v>
      </c>
      <c r="P612" s="37">
        <v>0</v>
      </c>
      <c r="Q612" s="37">
        <v>115442</v>
      </c>
      <c r="R612" s="37">
        <v>215053</v>
      </c>
      <c r="S612" s="37">
        <v>3478</v>
      </c>
      <c r="T612" s="37">
        <v>31472</v>
      </c>
      <c r="U612" s="37">
        <v>68541</v>
      </c>
      <c r="V612" s="37">
        <v>0</v>
      </c>
      <c r="W612" s="37">
        <v>161233.375</v>
      </c>
      <c r="X612" s="37">
        <v>161233.375</v>
      </c>
      <c r="Y612" s="37">
        <v>0</v>
      </c>
      <c r="Z612" s="37">
        <v>0</v>
      </c>
      <c r="AA612" s="37">
        <v>443983.815</v>
      </c>
      <c r="AB612" s="37">
        <v>407758.375</v>
      </c>
      <c r="AC612" s="37">
        <v>0</v>
      </c>
      <c r="AD612" s="37">
        <v>0</v>
      </c>
      <c r="AE612" s="37">
        <v>0</v>
      </c>
      <c r="AF612" s="168">
        <v>0.02</v>
      </c>
      <c r="AG612" s="37">
        <v>45984988.289999999</v>
      </c>
      <c r="AH612" s="37">
        <v>390080.64</v>
      </c>
      <c r="AI612" s="37">
        <v>355433.93</v>
      </c>
      <c r="AJ612" s="37">
        <v>362542.61</v>
      </c>
      <c r="AK612" s="37">
        <v>369793.46</v>
      </c>
      <c r="AL612" s="37">
        <v>377189.33</v>
      </c>
      <c r="AM612" s="37">
        <v>384733.12</v>
      </c>
      <c r="AN612" s="37">
        <v>392427.78</v>
      </c>
      <c r="AO612" s="37">
        <v>400276.34</v>
      </c>
      <c r="AP612" s="37">
        <v>408281.86</v>
      </c>
      <c r="AQ612" s="37">
        <v>416447.5</v>
      </c>
      <c r="AR612" s="37">
        <v>3857206.5700000003</v>
      </c>
      <c r="AS612" s="37">
        <v>722496.42</v>
      </c>
      <c r="AT612" s="37">
        <v>26010</v>
      </c>
      <c r="AU612" s="37">
        <v>0</v>
      </c>
      <c r="AV612" s="37">
        <v>0</v>
      </c>
      <c r="AW612" s="37">
        <v>0</v>
      </c>
      <c r="AX612" s="37">
        <v>322833.23</v>
      </c>
      <c r="AY612" s="37">
        <v>329289.89</v>
      </c>
      <c r="AZ612" s="37">
        <v>335875.69</v>
      </c>
      <c r="BA612" s="37">
        <v>0</v>
      </c>
      <c r="BB612" s="37">
        <v>0</v>
      </c>
      <c r="BC612" s="37">
        <v>0</v>
      </c>
      <c r="BD612" s="37">
        <v>1014008.8099999999</v>
      </c>
      <c r="BE612" s="37">
        <v>539046</v>
      </c>
      <c r="BF612" s="37">
        <v>0</v>
      </c>
      <c r="BG612" s="37">
        <v>0</v>
      </c>
      <c r="BH612" s="37">
        <v>0</v>
      </c>
      <c r="BI612" s="37">
        <v>0</v>
      </c>
      <c r="BJ612" s="37">
        <v>0</v>
      </c>
      <c r="BK612" s="37">
        <v>0</v>
      </c>
      <c r="BL612" s="37">
        <v>0</v>
      </c>
      <c r="BM612" s="37">
        <v>0</v>
      </c>
      <c r="BN612" s="37">
        <v>0</v>
      </c>
      <c r="BO612" s="37">
        <v>0</v>
      </c>
      <c r="BP612" s="37">
        <v>0</v>
      </c>
      <c r="BQ612" s="37">
        <v>0</v>
      </c>
      <c r="BR612" s="37">
        <v>0</v>
      </c>
      <c r="BS612" s="37">
        <v>0</v>
      </c>
      <c r="BT612" s="37">
        <v>0</v>
      </c>
      <c r="BU612" s="37">
        <v>0</v>
      </c>
      <c r="BV612" s="37">
        <v>0</v>
      </c>
      <c r="BW612" s="37">
        <v>0</v>
      </c>
      <c r="BX612" s="37">
        <v>0</v>
      </c>
      <c r="BY612" s="37">
        <v>0</v>
      </c>
      <c r="BZ612" s="37">
        <v>0</v>
      </c>
      <c r="CA612" s="37">
        <v>0</v>
      </c>
      <c r="CB612" s="37">
        <v>0</v>
      </c>
      <c r="CC612" s="37">
        <v>0</v>
      </c>
      <c r="CD612" s="37">
        <v>0</v>
      </c>
      <c r="CE612" s="37">
        <v>0</v>
      </c>
      <c r="CF612" s="37">
        <v>0</v>
      </c>
      <c r="CG612" s="37">
        <v>0</v>
      </c>
      <c r="CH612" s="37">
        <v>0</v>
      </c>
      <c r="CI612" s="37">
        <v>0</v>
      </c>
      <c r="CJ612" s="37">
        <v>0</v>
      </c>
      <c r="CK612" s="37">
        <v>0</v>
      </c>
      <c r="CL612" s="37">
        <v>0</v>
      </c>
      <c r="CM612" s="37">
        <v>0</v>
      </c>
      <c r="CN612" s="37">
        <v>0</v>
      </c>
      <c r="CO612" s="37">
        <v>0</v>
      </c>
      <c r="CP612" s="37">
        <v>0</v>
      </c>
      <c r="CQ612" s="37">
        <v>0</v>
      </c>
      <c r="CR612" s="37">
        <v>0</v>
      </c>
      <c r="CS612" s="37">
        <v>0</v>
      </c>
      <c r="CT612" s="37">
        <v>0</v>
      </c>
      <c r="CU612" s="37">
        <v>0</v>
      </c>
      <c r="CV612" s="37">
        <v>0</v>
      </c>
      <c r="CW612" s="37">
        <v>0</v>
      </c>
      <c r="CX612" s="37">
        <v>0</v>
      </c>
      <c r="CY612" s="37">
        <v>0</v>
      </c>
      <c r="CZ612" s="37">
        <v>0</v>
      </c>
      <c r="DA612" s="37">
        <v>0</v>
      </c>
      <c r="DB612" s="37">
        <v>0</v>
      </c>
      <c r="DC612" s="37">
        <v>0</v>
      </c>
      <c r="DD612" s="37">
        <v>0</v>
      </c>
      <c r="DE612" s="37">
        <v>0</v>
      </c>
      <c r="DF612" s="37">
        <v>0</v>
      </c>
      <c r="DG612" s="37">
        <v>0</v>
      </c>
      <c r="DH612" s="37">
        <v>0</v>
      </c>
      <c r="DI612" s="37">
        <v>0</v>
      </c>
      <c r="DJ612" s="37">
        <v>0</v>
      </c>
      <c r="DK612" s="37">
        <v>0</v>
      </c>
      <c r="DL612" s="37">
        <v>0</v>
      </c>
      <c r="DM612" s="37">
        <v>0</v>
      </c>
      <c r="DN612" s="37">
        <v>0</v>
      </c>
      <c r="DO612" s="37">
        <v>0</v>
      </c>
      <c r="DP612" s="37">
        <v>0</v>
      </c>
      <c r="DQ612" s="37">
        <v>0</v>
      </c>
      <c r="DR612" s="37">
        <v>0</v>
      </c>
      <c r="DS612" s="37">
        <v>0</v>
      </c>
      <c r="DT612" s="37">
        <v>0</v>
      </c>
      <c r="DU612" s="37">
        <v>0</v>
      </c>
      <c r="DV612" s="37">
        <v>0</v>
      </c>
      <c r="DW612" s="37">
        <v>0</v>
      </c>
      <c r="DX612" s="37">
        <v>0</v>
      </c>
      <c r="DY612" s="37">
        <v>0</v>
      </c>
      <c r="DZ612" s="37">
        <v>0</v>
      </c>
      <c r="EA612" s="37">
        <v>0</v>
      </c>
      <c r="EB612" s="37">
        <v>0</v>
      </c>
      <c r="EC612" s="37">
        <v>0</v>
      </c>
      <c r="ED612" s="37">
        <v>0</v>
      </c>
      <c r="EE612" s="37">
        <v>0</v>
      </c>
      <c r="EF612" s="37">
        <v>0</v>
      </c>
      <c r="EG612" s="37">
        <v>0</v>
      </c>
      <c r="EH612" s="37">
        <v>0</v>
      </c>
      <c r="EI612" s="37">
        <v>0</v>
      </c>
      <c r="EJ612" s="37">
        <v>0</v>
      </c>
      <c r="EK612" s="161" t="s">
        <v>2692</v>
      </c>
      <c r="EL612" s="294" t="s">
        <v>1124</v>
      </c>
    </row>
    <row r="613" spans="1:142" ht="15" customHeight="1" x14ac:dyDescent="0.35">
      <c r="A613" s="34"/>
      <c r="B613" s="313">
        <v>94260</v>
      </c>
      <c r="C613" s="8" t="s">
        <v>984</v>
      </c>
      <c r="D613" s="18">
        <v>2</v>
      </c>
      <c r="E613" s="155">
        <v>78581</v>
      </c>
      <c r="F613" s="36">
        <v>33138</v>
      </c>
      <c r="G613" s="37">
        <v>0</v>
      </c>
      <c r="H613" s="37">
        <v>0</v>
      </c>
      <c r="I613" s="37">
        <v>0</v>
      </c>
      <c r="J613" s="37">
        <v>0</v>
      </c>
      <c r="K613" s="37">
        <v>11787.15</v>
      </c>
      <c r="L613" s="37">
        <v>4970.7</v>
      </c>
      <c r="M613" s="37">
        <v>90368.15</v>
      </c>
      <c r="N613" s="37">
        <v>38108.699999999997</v>
      </c>
      <c r="O613" s="37">
        <v>0</v>
      </c>
      <c r="P613" s="37">
        <v>0</v>
      </c>
      <c r="Q613" s="37">
        <v>69750</v>
      </c>
      <c r="R613" s="37">
        <v>56375</v>
      </c>
      <c r="S613" s="37">
        <v>0</v>
      </c>
      <c r="T613" s="37">
        <v>8975</v>
      </c>
      <c r="U613" s="37">
        <v>0</v>
      </c>
      <c r="V613" s="37">
        <v>0</v>
      </c>
      <c r="W613" s="37">
        <v>0</v>
      </c>
      <c r="X613" s="37">
        <v>0</v>
      </c>
      <c r="Y613" s="37">
        <v>0</v>
      </c>
      <c r="Z613" s="37">
        <v>0</v>
      </c>
      <c r="AA613" s="37">
        <v>69750</v>
      </c>
      <c r="AB613" s="37">
        <v>65350</v>
      </c>
      <c r="AC613" s="37">
        <v>6623.1500000000087</v>
      </c>
      <c r="AD613" s="37">
        <v>0</v>
      </c>
      <c r="AE613" s="37">
        <v>0</v>
      </c>
      <c r="AF613" s="168">
        <v>0.02</v>
      </c>
      <c r="AG613" s="37">
        <v>20919617.149999999</v>
      </c>
      <c r="AH613" s="37">
        <v>220793.28</v>
      </c>
      <c r="AI613" s="37">
        <v>203984.99</v>
      </c>
      <c r="AJ613" s="37">
        <v>208064.69</v>
      </c>
      <c r="AK613" s="37">
        <v>212225.98</v>
      </c>
      <c r="AL613" s="37">
        <v>216470.5</v>
      </c>
      <c r="AM613" s="37">
        <v>220799.91</v>
      </c>
      <c r="AN613" s="37">
        <v>225215.91</v>
      </c>
      <c r="AO613" s="37">
        <v>229720.22</v>
      </c>
      <c r="AP613" s="37">
        <v>234314.63</v>
      </c>
      <c r="AQ613" s="37">
        <v>239000.92</v>
      </c>
      <c r="AR613" s="37">
        <v>2210591.0299999998</v>
      </c>
      <c r="AS613" s="37">
        <v>2826556.49</v>
      </c>
      <c r="AT613" s="37">
        <v>0</v>
      </c>
      <c r="AU613" s="37">
        <v>0</v>
      </c>
      <c r="AV613" s="37">
        <v>0</v>
      </c>
      <c r="AW613" s="37">
        <v>0</v>
      </c>
      <c r="AX613" s="37">
        <v>0</v>
      </c>
      <c r="AY613" s="37">
        <v>0</v>
      </c>
      <c r="AZ613" s="37">
        <v>0</v>
      </c>
      <c r="BA613" s="37">
        <v>0</v>
      </c>
      <c r="BB613" s="37">
        <v>0</v>
      </c>
      <c r="BC613" s="37">
        <v>0</v>
      </c>
      <c r="BD613" s="37">
        <v>0</v>
      </c>
      <c r="BE613" s="37">
        <v>0</v>
      </c>
      <c r="BF613" s="37">
        <v>157859.94273502374</v>
      </c>
      <c r="BG613" s="37">
        <v>170153.09524587964</v>
      </c>
      <c r="BH613" s="37">
        <v>209465.99108555543</v>
      </c>
      <c r="BI613" s="37">
        <v>248778.97093354136</v>
      </c>
      <c r="BJ613" s="37">
        <v>27019.743328819812</v>
      </c>
      <c r="BK613" s="37">
        <v>130840.19940620378</v>
      </c>
      <c r="BL613" s="37">
        <v>170153.09524587964</v>
      </c>
      <c r="BM613" s="37">
        <v>209465.99108555543</v>
      </c>
      <c r="BN613" s="37">
        <v>248778.97093354136</v>
      </c>
      <c r="BO613" s="37">
        <v>0</v>
      </c>
      <c r="BP613" s="37">
        <v>1572516.0000000002</v>
      </c>
      <c r="BQ613" s="37">
        <v>0</v>
      </c>
      <c r="BR613" s="37">
        <v>0</v>
      </c>
      <c r="BS613" s="37">
        <v>0</v>
      </c>
      <c r="BT613" s="37">
        <v>0</v>
      </c>
      <c r="BU613" s="37">
        <v>0</v>
      </c>
      <c r="BV613" s="37">
        <v>0</v>
      </c>
      <c r="BW613" s="37">
        <v>0</v>
      </c>
      <c r="BX613" s="37">
        <v>0</v>
      </c>
      <c r="BY613" s="37">
        <v>0</v>
      </c>
      <c r="BZ613" s="37">
        <v>0</v>
      </c>
      <c r="CA613" s="37">
        <v>0</v>
      </c>
      <c r="CB613" s="37">
        <v>0</v>
      </c>
      <c r="CC613" s="37">
        <v>0</v>
      </c>
      <c r="CD613" s="37">
        <v>38147.006605534712</v>
      </c>
      <c r="CE613" s="37">
        <v>41117.658703271867</v>
      </c>
      <c r="CF613" s="37">
        <v>50617.657697925533</v>
      </c>
      <c r="CG613" s="37">
        <v>60117.676993267931</v>
      </c>
      <c r="CH613" s="37">
        <v>6529.3468969164887</v>
      </c>
      <c r="CI613" s="37">
        <v>31617.659708618186</v>
      </c>
      <c r="CJ613" s="37">
        <v>41117.658703271867</v>
      </c>
      <c r="CK613" s="37">
        <v>50617.657697925533</v>
      </c>
      <c r="CL613" s="37">
        <v>60117.676993267931</v>
      </c>
      <c r="CM613" s="37">
        <v>0</v>
      </c>
      <c r="CN613" s="37">
        <v>380000.00000000006</v>
      </c>
      <c r="CO613" s="37">
        <v>0</v>
      </c>
      <c r="CP613" s="37">
        <v>0</v>
      </c>
      <c r="CQ613" s="37">
        <v>0</v>
      </c>
      <c r="CR613" s="37">
        <v>0</v>
      </c>
      <c r="CS613" s="37">
        <v>0</v>
      </c>
      <c r="CT613" s="37">
        <v>0</v>
      </c>
      <c r="CU613" s="37">
        <v>0</v>
      </c>
      <c r="CV613" s="37">
        <v>0</v>
      </c>
      <c r="CW613" s="37">
        <v>0</v>
      </c>
      <c r="CX613" s="37">
        <v>0</v>
      </c>
      <c r="CY613" s="37">
        <v>0</v>
      </c>
      <c r="CZ613" s="37">
        <v>0</v>
      </c>
      <c r="DA613" s="37">
        <v>0</v>
      </c>
      <c r="DB613" s="37">
        <v>0</v>
      </c>
      <c r="DC613" s="37">
        <v>0</v>
      </c>
      <c r="DD613" s="37">
        <v>0</v>
      </c>
      <c r="DE613" s="37">
        <v>0</v>
      </c>
      <c r="DF613" s="37">
        <v>0</v>
      </c>
      <c r="DG613" s="37">
        <v>0</v>
      </c>
      <c r="DH613" s="37">
        <v>0</v>
      </c>
      <c r="DI613" s="37">
        <v>0</v>
      </c>
      <c r="DJ613" s="37">
        <v>0</v>
      </c>
      <c r="DK613" s="37">
        <v>0</v>
      </c>
      <c r="DL613" s="37">
        <v>0</v>
      </c>
      <c r="DM613" s="37">
        <v>0</v>
      </c>
      <c r="DN613" s="37">
        <v>0</v>
      </c>
      <c r="DO613" s="37">
        <v>0</v>
      </c>
      <c r="DP613" s="37">
        <v>0</v>
      </c>
      <c r="DQ613" s="37">
        <v>0</v>
      </c>
      <c r="DR613" s="37">
        <v>0</v>
      </c>
      <c r="DS613" s="37">
        <v>0</v>
      </c>
      <c r="DT613" s="37">
        <v>0</v>
      </c>
      <c r="DU613" s="37">
        <v>0</v>
      </c>
      <c r="DV613" s="37">
        <v>0</v>
      </c>
      <c r="DW613" s="37">
        <v>0</v>
      </c>
      <c r="DX613" s="37">
        <v>0</v>
      </c>
      <c r="DY613" s="37">
        <v>0</v>
      </c>
      <c r="DZ613" s="37">
        <v>0</v>
      </c>
      <c r="EA613" s="37">
        <v>0</v>
      </c>
      <c r="EB613" s="37">
        <v>0</v>
      </c>
      <c r="EC613" s="37">
        <v>0</v>
      </c>
      <c r="ED613" s="37">
        <v>0</v>
      </c>
      <c r="EE613" s="37">
        <v>0</v>
      </c>
      <c r="EF613" s="37">
        <v>0</v>
      </c>
      <c r="EG613" s="37">
        <v>0</v>
      </c>
      <c r="EH613" s="37">
        <v>0</v>
      </c>
      <c r="EI613" s="37">
        <v>0</v>
      </c>
      <c r="EJ613" s="37">
        <v>0</v>
      </c>
      <c r="EK613" s="161" t="s">
        <v>2695</v>
      </c>
      <c r="EL613" s="294" t="s">
        <v>1124</v>
      </c>
    </row>
    <row r="614" spans="1:142" ht="15" customHeight="1" x14ac:dyDescent="0.35">
      <c r="A614" s="34"/>
      <c r="B614" s="313">
        <v>9010</v>
      </c>
      <c r="C614" s="8" t="s">
        <v>1098</v>
      </c>
      <c r="D614" s="18">
        <v>1</v>
      </c>
      <c r="E614" s="155"/>
      <c r="F614" s="36"/>
      <c r="G614" s="37"/>
      <c r="H614" s="37"/>
      <c r="I614" s="37"/>
      <c r="J614" s="37"/>
      <c r="K614" s="37"/>
      <c r="L614" s="37"/>
      <c r="M614" s="37" t="s">
        <v>1124</v>
      </c>
      <c r="N614" s="37" t="s">
        <v>1124</v>
      </c>
      <c r="O614" s="37"/>
      <c r="P614" s="37"/>
      <c r="Q614" s="37"/>
      <c r="R614" s="37"/>
      <c r="S614" s="37"/>
      <c r="T614" s="37"/>
      <c r="U614" s="37"/>
      <c r="V614" s="37"/>
      <c r="W614" s="37"/>
      <c r="X614" s="37"/>
      <c r="Y614" s="37"/>
      <c r="Z614" s="37"/>
      <c r="AA614" s="37" t="s">
        <v>1124</v>
      </c>
      <c r="AB614" s="37" t="s">
        <v>1124</v>
      </c>
      <c r="AC614" s="37"/>
      <c r="AD614" s="37"/>
      <c r="AE614" s="37"/>
      <c r="AF614" s="168"/>
      <c r="AG614" s="37"/>
      <c r="AH614" s="37"/>
      <c r="AI614" s="37"/>
      <c r="AJ614" s="37"/>
      <c r="AK614" s="37"/>
      <c r="AL614" s="37"/>
      <c r="AM614" s="37"/>
      <c r="AN614" s="37"/>
      <c r="AO614" s="37"/>
      <c r="AP614" s="37"/>
      <c r="AQ614" s="37"/>
      <c r="AR614" s="37" t="s">
        <v>1124</v>
      </c>
      <c r="AS614" s="37"/>
      <c r="AT614" s="37"/>
      <c r="AU614" s="37"/>
      <c r="AV614" s="37"/>
      <c r="AW614" s="37"/>
      <c r="AX614" s="37"/>
      <c r="AY614" s="37"/>
      <c r="AZ614" s="37"/>
      <c r="BA614" s="37"/>
      <c r="BB614" s="37"/>
      <c r="BC614" s="37"/>
      <c r="BD614" s="37" t="s">
        <v>1124</v>
      </c>
      <c r="BE614" s="37"/>
      <c r="BF614" s="37"/>
      <c r="BG614" s="37"/>
      <c r="BH614" s="37"/>
      <c r="BI614" s="37"/>
      <c r="BJ614" s="37"/>
      <c r="BK614" s="37"/>
      <c r="BL614" s="37"/>
      <c r="BM614" s="37"/>
      <c r="BN614" s="37"/>
      <c r="BO614" s="37"/>
      <c r="BP614" s="37">
        <v>0</v>
      </c>
      <c r="BQ614" s="37"/>
      <c r="BR614" s="37"/>
      <c r="BS614" s="37"/>
      <c r="BT614" s="37"/>
      <c r="BU614" s="37"/>
      <c r="BV614" s="37"/>
      <c r="BW614" s="37"/>
      <c r="BX614" s="37"/>
      <c r="BY614" s="37"/>
      <c r="BZ614" s="37"/>
      <c r="CA614" s="37"/>
      <c r="CB614" s="37" t="s">
        <v>1124</v>
      </c>
      <c r="CC614" s="37"/>
      <c r="CD614" s="37"/>
      <c r="CE614" s="37"/>
      <c r="CF614" s="37"/>
      <c r="CG614" s="37"/>
      <c r="CH614" s="37"/>
      <c r="CI614" s="37"/>
      <c r="CJ614" s="37"/>
      <c r="CK614" s="37"/>
      <c r="CL614" s="37"/>
      <c r="CM614" s="37"/>
      <c r="CN614" s="37" t="s">
        <v>1124</v>
      </c>
      <c r="CO614" s="37"/>
      <c r="CP614" s="37"/>
      <c r="CQ614" s="37"/>
      <c r="CR614" s="37"/>
      <c r="CS614" s="37"/>
      <c r="CT614" s="37"/>
      <c r="CU614" s="37"/>
      <c r="CV614" s="37"/>
      <c r="CW614" s="37"/>
      <c r="CX614" s="37"/>
      <c r="CY614" s="37"/>
      <c r="CZ614" s="37" t="s">
        <v>1124</v>
      </c>
      <c r="DA614" s="37"/>
      <c r="DB614" s="37"/>
      <c r="DC614" s="37"/>
      <c r="DD614" s="37"/>
      <c r="DE614" s="37"/>
      <c r="DF614" s="37"/>
      <c r="DG614" s="37"/>
      <c r="DH614" s="37"/>
      <c r="DI614" s="37"/>
      <c r="DJ614" s="37"/>
      <c r="DK614" s="37"/>
      <c r="DL614" s="37" t="s">
        <v>1124</v>
      </c>
      <c r="DM614" s="37"/>
      <c r="DN614" s="37"/>
      <c r="DO614" s="37"/>
      <c r="DP614" s="37"/>
      <c r="DQ614" s="37"/>
      <c r="DR614" s="37"/>
      <c r="DS614" s="37"/>
      <c r="DT614" s="37"/>
      <c r="DU614" s="37"/>
      <c r="DV614" s="37"/>
      <c r="DW614" s="37"/>
      <c r="DX614" s="37" t="s">
        <v>1124</v>
      </c>
      <c r="DY614" s="37"/>
      <c r="DZ614" s="37"/>
      <c r="EA614" s="37"/>
      <c r="EB614" s="37"/>
      <c r="EC614" s="37"/>
      <c r="ED614" s="37"/>
      <c r="EE614" s="37"/>
      <c r="EF614" s="37"/>
      <c r="EG614" s="37"/>
      <c r="EH614" s="37"/>
      <c r="EI614" s="37"/>
      <c r="EJ614" s="37" t="s">
        <v>1124</v>
      </c>
      <c r="EK614" s="161"/>
      <c r="EL614" s="294"/>
    </row>
    <row r="615" spans="1:142" ht="15" customHeight="1" x14ac:dyDescent="0.35">
      <c r="A615" s="34"/>
      <c r="B615" s="313">
        <v>57057</v>
      </c>
      <c r="C615" s="8" t="s">
        <v>591</v>
      </c>
      <c r="D615" s="18">
        <v>16</v>
      </c>
      <c r="E615" s="155">
        <v>16599</v>
      </c>
      <c r="F615" s="36">
        <v>82603</v>
      </c>
      <c r="G615" s="37">
        <v>0</v>
      </c>
      <c r="H615" s="37">
        <v>87898</v>
      </c>
      <c r="I615" s="37">
        <v>0</v>
      </c>
      <c r="J615" s="37">
        <v>66913.147472665965</v>
      </c>
      <c r="K615" s="37">
        <v>2489.85</v>
      </c>
      <c r="L615" s="37">
        <v>12390.449999999999</v>
      </c>
      <c r="M615" s="37">
        <v>19088.849999999999</v>
      </c>
      <c r="N615" s="37">
        <v>249804.59747266595</v>
      </c>
      <c r="O615" s="37">
        <v>0</v>
      </c>
      <c r="P615" s="37">
        <v>0</v>
      </c>
      <c r="Q615" s="37">
        <v>0</v>
      </c>
      <c r="R615" s="37">
        <v>0</v>
      </c>
      <c r="S615" s="37">
        <v>496493</v>
      </c>
      <c r="T615" s="37">
        <v>46374</v>
      </c>
      <c r="U615" s="37">
        <v>0</v>
      </c>
      <c r="V615" s="37">
        <v>30722</v>
      </c>
      <c r="W615" s="37">
        <v>0</v>
      </c>
      <c r="X615" s="37">
        <v>0</v>
      </c>
      <c r="Y615" s="37">
        <v>0</v>
      </c>
      <c r="Z615" s="37">
        <v>0</v>
      </c>
      <c r="AA615" s="37">
        <v>496493</v>
      </c>
      <c r="AB615" s="37">
        <v>77096</v>
      </c>
      <c r="AC615" s="37">
        <v>304696</v>
      </c>
      <c r="AD615" s="37">
        <v>0</v>
      </c>
      <c r="AE615" s="37">
        <v>0</v>
      </c>
      <c r="AF615" s="168">
        <v>0.02</v>
      </c>
      <c r="AG615" s="37">
        <v>62191482.200000003</v>
      </c>
      <c r="AH615" s="37">
        <v>651470.30000000005</v>
      </c>
      <c r="AI615" s="37">
        <v>664499.71</v>
      </c>
      <c r="AJ615" s="37">
        <v>677789.7</v>
      </c>
      <c r="AK615" s="37">
        <v>691345.5</v>
      </c>
      <c r="AL615" s="37">
        <v>705172.41</v>
      </c>
      <c r="AM615" s="37">
        <v>719275.86</v>
      </c>
      <c r="AN615" s="37">
        <v>733661.37</v>
      </c>
      <c r="AO615" s="37">
        <v>748334.6</v>
      </c>
      <c r="AP615" s="37">
        <v>763301.29</v>
      </c>
      <c r="AQ615" s="37">
        <v>778567.32</v>
      </c>
      <c r="AR615" s="37">
        <v>7133418.0600000005</v>
      </c>
      <c r="AS615" s="37">
        <v>0</v>
      </c>
      <c r="AT615" s="37">
        <v>0</v>
      </c>
      <c r="AU615" s="37">
        <v>0</v>
      </c>
      <c r="AV615" s="37">
        <v>0</v>
      </c>
      <c r="AW615" s="37">
        <v>0</v>
      </c>
      <c r="AX615" s="37">
        <v>0</v>
      </c>
      <c r="AY615" s="37">
        <v>0</v>
      </c>
      <c r="AZ615" s="37">
        <v>0</v>
      </c>
      <c r="BA615" s="37">
        <v>0</v>
      </c>
      <c r="BB615" s="37">
        <v>0</v>
      </c>
      <c r="BC615" s="37">
        <v>0</v>
      </c>
      <c r="BD615" s="37">
        <v>0</v>
      </c>
      <c r="BE615" s="37">
        <v>0</v>
      </c>
      <c r="BF615" s="37">
        <v>53035.8836705344</v>
      </c>
      <c r="BG615" s="37">
        <v>57165.989099523889</v>
      </c>
      <c r="BH615" s="37">
        <v>70373.862701788239</v>
      </c>
      <c r="BI615" s="37">
        <v>83581.764528153552</v>
      </c>
      <c r="BJ615" s="37">
        <v>9077.7681732748279</v>
      </c>
      <c r="BK615" s="37">
        <v>43958.115497259518</v>
      </c>
      <c r="BL615" s="37">
        <v>57165.989099523889</v>
      </c>
      <c r="BM615" s="37">
        <v>70373.862701788239</v>
      </c>
      <c r="BN615" s="37">
        <v>83581.764528153552</v>
      </c>
      <c r="BO615" s="37">
        <v>0</v>
      </c>
      <c r="BP615" s="37">
        <v>528315.00000000012</v>
      </c>
      <c r="BQ615" s="37">
        <v>0</v>
      </c>
      <c r="BR615" s="37">
        <v>0</v>
      </c>
      <c r="BS615" s="37">
        <v>0</v>
      </c>
      <c r="BT615" s="37">
        <v>0</v>
      </c>
      <c r="BU615" s="37">
        <v>0</v>
      </c>
      <c r="BV615" s="37">
        <v>0</v>
      </c>
      <c r="BW615" s="37">
        <v>0</v>
      </c>
      <c r="BX615" s="37">
        <v>0</v>
      </c>
      <c r="BY615" s="37">
        <v>0</v>
      </c>
      <c r="BZ615" s="37">
        <v>0</v>
      </c>
      <c r="CA615" s="37">
        <v>0</v>
      </c>
      <c r="CB615" s="37">
        <v>0</v>
      </c>
      <c r="CC615" s="37">
        <v>0</v>
      </c>
      <c r="CD615" s="37">
        <v>0</v>
      </c>
      <c r="CE615" s="37">
        <v>0</v>
      </c>
      <c r="CF615" s="37">
        <v>0</v>
      </c>
      <c r="CG615" s="37">
        <v>0</v>
      </c>
      <c r="CH615" s="37">
        <v>0</v>
      </c>
      <c r="CI615" s="37">
        <v>0</v>
      </c>
      <c r="CJ615" s="37">
        <v>0</v>
      </c>
      <c r="CK615" s="37">
        <v>0</v>
      </c>
      <c r="CL615" s="37">
        <v>0</v>
      </c>
      <c r="CM615" s="37">
        <v>0</v>
      </c>
      <c r="CN615" s="37">
        <v>0</v>
      </c>
      <c r="CO615" s="37">
        <v>0</v>
      </c>
      <c r="CP615" s="37">
        <v>0</v>
      </c>
      <c r="CQ615" s="37">
        <v>0</v>
      </c>
      <c r="CR615" s="37">
        <v>0</v>
      </c>
      <c r="CS615" s="37">
        <v>0</v>
      </c>
      <c r="CT615" s="37">
        <v>0</v>
      </c>
      <c r="CU615" s="37">
        <v>0</v>
      </c>
      <c r="CV615" s="37">
        <v>0</v>
      </c>
      <c r="CW615" s="37">
        <v>0</v>
      </c>
      <c r="CX615" s="37">
        <v>0</v>
      </c>
      <c r="CY615" s="37">
        <v>0</v>
      </c>
      <c r="CZ615" s="37">
        <v>0</v>
      </c>
      <c r="DA615" s="37">
        <v>0</v>
      </c>
      <c r="DB615" s="37">
        <v>0</v>
      </c>
      <c r="DC615" s="37">
        <v>0</v>
      </c>
      <c r="DD615" s="37">
        <v>0</v>
      </c>
      <c r="DE615" s="37">
        <v>0</v>
      </c>
      <c r="DF615" s="37">
        <v>0</v>
      </c>
      <c r="DG615" s="37">
        <v>0</v>
      </c>
      <c r="DH615" s="37">
        <v>0</v>
      </c>
      <c r="DI615" s="37">
        <v>0</v>
      </c>
      <c r="DJ615" s="37">
        <v>0</v>
      </c>
      <c r="DK615" s="37">
        <v>0</v>
      </c>
      <c r="DL615" s="37">
        <v>0</v>
      </c>
      <c r="DM615" s="37">
        <v>0</v>
      </c>
      <c r="DN615" s="37">
        <v>0</v>
      </c>
      <c r="DO615" s="37">
        <v>0</v>
      </c>
      <c r="DP615" s="37">
        <v>0</v>
      </c>
      <c r="DQ615" s="37">
        <v>0</v>
      </c>
      <c r="DR615" s="37">
        <v>0</v>
      </c>
      <c r="DS615" s="37">
        <v>0</v>
      </c>
      <c r="DT615" s="37">
        <v>0</v>
      </c>
      <c r="DU615" s="37">
        <v>0</v>
      </c>
      <c r="DV615" s="37">
        <v>0</v>
      </c>
      <c r="DW615" s="37">
        <v>0</v>
      </c>
      <c r="DX615" s="37">
        <v>0</v>
      </c>
      <c r="DY615" s="37">
        <v>0</v>
      </c>
      <c r="DZ615" s="37">
        <v>0</v>
      </c>
      <c r="EA615" s="37">
        <v>0</v>
      </c>
      <c r="EB615" s="37">
        <v>0</v>
      </c>
      <c r="EC615" s="37">
        <v>0</v>
      </c>
      <c r="ED615" s="37">
        <v>0</v>
      </c>
      <c r="EE615" s="37">
        <v>0</v>
      </c>
      <c r="EF615" s="37">
        <v>0</v>
      </c>
      <c r="EG615" s="37">
        <v>0</v>
      </c>
      <c r="EH615" s="37">
        <v>0</v>
      </c>
      <c r="EI615" s="37">
        <v>0</v>
      </c>
      <c r="EJ615" s="37">
        <v>0</v>
      </c>
      <c r="EK615" s="161" t="s">
        <v>2696</v>
      </c>
      <c r="EL615" s="294" t="s">
        <v>1124</v>
      </c>
    </row>
    <row r="616" spans="1:142" ht="15" customHeight="1" x14ac:dyDescent="0.35">
      <c r="A616" s="34"/>
      <c r="B616" s="313">
        <v>39060</v>
      </c>
      <c r="C616" s="8" t="s">
        <v>345</v>
      </c>
      <c r="D616" s="18">
        <v>17</v>
      </c>
      <c r="E616" s="155">
        <v>61993</v>
      </c>
      <c r="F616" s="36">
        <v>0</v>
      </c>
      <c r="G616" s="37">
        <v>700</v>
      </c>
      <c r="H616" s="37">
        <v>0</v>
      </c>
      <c r="I616" s="37">
        <v>18500</v>
      </c>
      <c r="J616" s="37">
        <v>0</v>
      </c>
      <c r="K616" s="37">
        <v>4959.4400000000005</v>
      </c>
      <c r="L616" s="37">
        <v>0</v>
      </c>
      <c r="M616" s="37">
        <v>86152.44</v>
      </c>
      <c r="N616" s="37">
        <v>0</v>
      </c>
      <c r="O616" s="37">
        <v>0</v>
      </c>
      <c r="P616" s="37">
        <v>0</v>
      </c>
      <c r="Q616" s="37">
        <v>62432</v>
      </c>
      <c r="R616" s="37">
        <v>0</v>
      </c>
      <c r="S616" s="37">
        <v>11240</v>
      </c>
      <c r="T616" s="37">
        <v>0</v>
      </c>
      <c r="U616" s="37">
        <v>0</v>
      </c>
      <c r="V616" s="37">
        <v>0</v>
      </c>
      <c r="W616" s="37">
        <v>12480.440000000002</v>
      </c>
      <c r="X616" s="37">
        <v>0</v>
      </c>
      <c r="Y616" s="37">
        <v>0</v>
      </c>
      <c r="Z616" s="37">
        <v>0</v>
      </c>
      <c r="AA616" s="37">
        <v>86152.44</v>
      </c>
      <c r="AB616" s="37">
        <v>0</v>
      </c>
      <c r="AC616" s="37">
        <v>0</v>
      </c>
      <c r="AD616" s="37">
        <v>0</v>
      </c>
      <c r="AE616" s="37">
        <v>0</v>
      </c>
      <c r="AF616" s="168">
        <v>0.02</v>
      </c>
      <c r="AG616" s="37">
        <v>15149541.67</v>
      </c>
      <c r="AH616" s="37">
        <v>75801.350000000006</v>
      </c>
      <c r="AI616" s="37">
        <v>77317.38</v>
      </c>
      <c r="AJ616" s="37">
        <v>78863.72</v>
      </c>
      <c r="AK616" s="37">
        <v>80441</v>
      </c>
      <c r="AL616" s="37">
        <v>82049.820000000007</v>
      </c>
      <c r="AM616" s="37">
        <v>83690.81</v>
      </c>
      <c r="AN616" s="37">
        <v>85364.63</v>
      </c>
      <c r="AO616" s="37">
        <v>87071.92</v>
      </c>
      <c r="AP616" s="37">
        <v>88813.36</v>
      </c>
      <c r="AQ616" s="37">
        <v>90589.63</v>
      </c>
      <c r="AR616" s="37">
        <v>830003.61999999988</v>
      </c>
      <c r="AS616" s="37">
        <v>0</v>
      </c>
      <c r="AT616" s="37">
        <v>1996140</v>
      </c>
      <c r="AU616" s="37">
        <v>371422.8</v>
      </c>
      <c r="AV616" s="37">
        <v>378851.26</v>
      </c>
      <c r="AW616" s="37">
        <v>386428.28</v>
      </c>
      <c r="AX616" s="37">
        <v>197078.42</v>
      </c>
      <c r="AY616" s="37">
        <v>8647238.1400000006</v>
      </c>
      <c r="AZ616" s="37">
        <v>205040.39</v>
      </c>
      <c r="BA616" s="37">
        <v>209141.2</v>
      </c>
      <c r="BB616" s="37">
        <v>213324.02</v>
      </c>
      <c r="BC616" s="37">
        <v>0</v>
      </c>
      <c r="BD616" s="37">
        <v>12604664.51</v>
      </c>
      <c r="BE616" s="37">
        <v>0</v>
      </c>
      <c r="BF616" s="37">
        <v>70734.73951289941</v>
      </c>
      <c r="BG616" s="37">
        <v>76243.121978914423</v>
      </c>
      <c r="BH616" s="37">
        <v>93858.657614733776</v>
      </c>
      <c r="BI616" s="37">
        <v>111474.23089345248</v>
      </c>
      <c r="BJ616" s="37">
        <v>12107.15316980432</v>
      </c>
      <c r="BK616" s="37">
        <v>58627.586343095027</v>
      </c>
      <c r="BL616" s="37">
        <v>76243.121978914423</v>
      </c>
      <c r="BM616" s="37">
        <v>93858.657614733776</v>
      </c>
      <c r="BN616" s="37">
        <v>111474.23089345248</v>
      </c>
      <c r="BO616" s="37">
        <v>0</v>
      </c>
      <c r="BP616" s="37">
        <v>704621.50000000023</v>
      </c>
      <c r="BQ616" s="37">
        <v>0</v>
      </c>
      <c r="BR616" s="37">
        <v>0</v>
      </c>
      <c r="BS616" s="37">
        <v>0</v>
      </c>
      <c r="BT616" s="37">
        <v>0</v>
      </c>
      <c r="BU616" s="37">
        <v>0</v>
      </c>
      <c r="BV616" s="37">
        <v>0</v>
      </c>
      <c r="BW616" s="37">
        <v>0</v>
      </c>
      <c r="BX616" s="37">
        <v>0</v>
      </c>
      <c r="BY616" s="37">
        <v>0</v>
      </c>
      <c r="BZ616" s="37">
        <v>0</v>
      </c>
      <c r="CA616" s="37">
        <v>0</v>
      </c>
      <c r="CB616" s="37">
        <v>0</v>
      </c>
      <c r="CC616" s="37">
        <v>0</v>
      </c>
      <c r="CD616" s="37">
        <v>0</v>
      </c>
      <c r="CE616" s="37">
        <v>0</v>
      </c>
      <c r="CF616" s="37">
        <v>0</v>
      </c>
      <c r="CG616" s="37">
        <v>0</v>
      </c>
      <c r="CH616" s="37">
        <v>0</v>
      </c>
      <c r="CI616" s="37">
        <v>0</v>
      </c>
      <c r="CJ616" s="37">
        <v>0</v>
      </c>
      <c r="CK616" s="37">
        <v>0</v>
      </c>
      <c r="CL616" s="37">
        <v>0</v>
      </c>
      <c r="CM616" s="37">
        <v>0</v>
      </c>
      <c r="CN616" s="37">
        <v>0</v>
      </c>
      <c r="CO616" s="37">
        <v>95042</v>
      </c>
      <c r="CP616" s="37">
        <v>1300000</v>
      </c>
      <c r="CQ616" s="37">
        <v>0</v>
      </c>
      <c r="CR616" s="37">
        <v>0</v>
      </c>
      <c r="CS616" s="37">
        <v>0</v>
      </c>
      <c r="CT616" s="37">
        <v>0</v>
      </c>
      <c r="CU616" s="37">
        <v>0</v>
      </c>
      <c r="CV616" s="37">
        <v>0</v>
      </c>
      <c r="CW616" s="37">
        <v>0</v>
      </c>
      <c r="CX616" s="37">
        <v>0</v>
      </c>
      <c r="CY616" s="37">
        <v>0</v>
      </c>
      <c r="CZ616" s="37">
        <v>1300000</v>
      </c>
      <c r="DA616" s="37">
        <v>0</v>
      </c>
      <c r="DB616" s="37">
        <v>0</v>
      </c>
      <c r="DC616" s="37">
        <v>0</v>
      </c>
      <c r="DD616" s="37">
        <v>0</v>
      </c>
      <c r="DE616" s="37">
        <v>0</v>
      </c>
      <c r="DF616" s="37">
        <v>0</v>
      </c>
      <c r="DG616" s="37">
        <v>0</v>
      </c>
      <c r="DH616" s="37">
        <v>0</v>
      </c>
      <c r="DI616" s="37">
        <v>0</v>
      </c>
      <c r="DJ616" s="37">
        <v>0</v>
      </c>
      <c r="DK616" s="37">
        <v>0</v>
      </c>
      <c r="DL616" s="37">
        <v>0</v>
      </c>
      <c r="DM616" s="37">
        <v>0</v>
      </c>
      <c r="DN616" s="37">
        <v>0</v>
      </c>
      <c r="DO616" s="37">
        <v>0</v>
      </c>
      <c r="DP616" s="37">
        <v>0</v>
      </c>
      <c r="DQ616" s="37">
        <v>0</v>
      </c>
      <c r="DR616" s="37">
        <v>0</v>
      </c>
      <c r="DS616" s="37">
        <v>0</v>
      </c>
      <c r="DT616" s="37">
        <v>0</v>
      </c>
      <c r="DU616" s="37">
        <v>0</v>
      </c>
      <c r="DV616" s="37">
        <v>0</v>
      </c>
      <c r="DW616" s="37">
        <v>0</v>
      </c>
      <c r="DX616" s="37">
        <v>0</v>
      </c>
      <c r="DY616" s="37">
        <v>0</v>
      </c>
      <c r="DZ616" s="37">
        <v>300000</v>
      </c>
      <c r="EA616" s="37">
        <v>0</v>
      </c>
      <c r="EB616" s="37">
        <v>0</v>
      </c>
      <c r="EC616" s="37">
        <v>0</v>
      </c>
      <c r="ED616" s="37">
        <v>0</v>
      </c>
      <c r="EE616" s="37">
        <v>0</v>
      </c>
      <c r="EF616" s="37">
        <v>0</v>
      </c>
      <c r="EG616" s="37">
        <v>0</v>
      </c>
      <c r="EH616" s="37">
        <v>0</v>
      </c>
      <c r="EI616" s="37">
        <v>0</v>
      </c>
      <c r="EJ616" s="37">
        <v>300000</v>
      </c>
      <c r="EK616" s="161" t="s">
        <v>2699</v>
      </c>
      <c r="EL616" s="294" t="s">
        <v>1124</v>
      </c>
    </row>
    <row r="617" spans="1:142" ht="15" customHeight="1" x14ac:dyDescent="0.35">
      <c r="A617" s="34"/>
      <c r="B617" s="313">
        <v>69017</v>
      </c>
      <c r="C617" s="8" t="s">
        <v>686</v>
      </c>
      <c r="D617" s="18">
        <v>16</v>
      </c>
      <c r="E617" s="155">
        <v>76675</v>
      </c>
      <c r="F617" s="36">
        <v>65969</v>
      </c>
      <c r="G617" s="37">
        <v>15253</v>
      </c>
      <c r="H617" s="37">
        <v>15252</v>
      </c>
      <c r="I617" s="37">
        <v>76465</v>
      </c>
      <c r="J617" s="37">
        <v>103440</v>
      </c>
      <c r="K617" s="37">
        <v>7667.5</v>
      </c>
      <c r="L617" s="37">
        <v>6596.9000000000005</v>
      </c>
      <c r="M617" s="37">
        <v>176060.5</v>
      </c>
      <c r="N617" s="37">
        <v>191257.9</v>
      </c>
      <c r="O617" s="37">
        <v>0</v>
      </c>
      <c r="P617" s="37">
        <v>0</v>
      </c>
      <c r="Q617" s="37">
        <v>104442</v>
      </c>
      <c r="R617" s="37">
        <v>98955</v>
      </c>
      <c r="S617" s="37">
        <v>0</v>
      </c>
      <c r="T617" s="37">
        <v>0</v>
      </c>
      <c r="U617" s="37">
        <v>0</v>
      </c>
      <c r="V617" s="37">
        <v>0</v>
      </c>
      <c r="W617" s="37">
        <v>71619</v>
      </c>
      <c r="X617" s="37">
        <v>92302</v>
      </c>
      <c r="Y617" s="37">
        <v>0</v>
      </c>
      <c r="Z617" s="37">
        <v>0</v>
      </c>
      <c r="AA617" s="37">
        <v>176061</v>
      </c>
      <c r="AB617" s="37">
        <v>191257</v>
      </c>
      <c r="AC617" s="37">
        <v>0</v>
      </c>
      <c r="AD617" s="37">
        <v>0</v>
      </c>
      <c r="AE617" s="37">
        <v>276013</v>
      </c>
      <c r="AF617" s="168">
        <v>0.02</v>
      </c>
      <c r="AG617" s="37">
        <v>24610356.16</v>
      </c>
      <c r="AH617" s="37">
        <v>218425.22</v>
      </c>
      <c r="AI617" s="37">
        <v>222793.72</v>
      </c>
      <c r="AJ617" s="37">
        <v>227249.59</v>
      </c>
      <c r="AK617" s="37">
        <v>231794.59</v>
      </c>
      <c r="AL617" s="37">
        <v>236430.48</v>
      </c>
      <c r="AM617" s="37">
        <v>241159.09</v>
      </c>
      <c r="AN617" s="37">
        <v>245982.27</v>
      </c>
      <c r="AO617" s="37">
        <v>250901.91</v>
      </c>
      <c r="AP617" s="37">
        <v>255919.95</v>
      </c>
      <c r="AQ617" s="37">
        <v>261038.35</v>
      </c>
      <c r="AR617" s="37">
        <v>2391695.1700000009</v>
      </c>
      <c r="AS617" s="37">
        <v>1170617.5</v>
      </c>
      <c r="AT617" s="37">
        <v>0</v>
      </c>
      <c r="AU617" s="37">
        <v>0</v>
      </c>
      <c r="AV617" s="37">
        <v>0</v>
      </c>
      <c r="AW617" s="37">
        <v>0</v>
      </c>
      <c r="AX617" s="37">
        <v>0</v>
      </c>
      <c r="AY617" s="37">
        <v>0</v>
      </c>
      <c r="AZ617" s="37">
        <v>0</v>
      </c>
      <c r="BA617" s="37">
        <v>0</v>
      </c>
      <c r="BB617" s="37">
        <v>0</v>
      </c>
      <c r="BC617" s="37">
        <v>0</v>
      </c>
      <c r="BD617" s="37">
        <v>0</v>
      </c>
      <c r="BE617" s="37">
        <v>795591</v>
      </c>
      <c r="BF617" s="37">
        <v>0</v>
      </c>
      <c r="BG617" s="37">
        <v>0</v>
      </c>
      <c r="BH617" s="37">
        <v>0</v>
      </c>
      <c r="BI617" s="37">
        <v>0</v>
      </c>
      <c r="BJ617" s="37">
        <v>0</v>
      </c>
      <c r="BK617" s="37">
        <v>0</v>
      </c>
      <c r="BL617" s="37">
        <v>0</v>
      </c>
      <c r="BM617" s="37">
        <v>0</v>
      </c>
      <c r="BN617" s="37">
        <v>0</v>
      </c>
      <c r="BO617" s="37">
        <v>0</v>
      </c>
      <c r="BP617" s="37">
        <v>0</v>
      </c>
      <c r="BQ617" s="37">
        <v>268368.78000000003</v>
      </c>
      <c r="BR617" s="37">
        <v>0</v>
      </c>
      <c r="BS617" s="37">
        <v>0</v>
      </c>
      <c r="BT617" s="37">
        <v>0</v>
      </c>
      <c r="BU617" s="37">
        <v>0</v>
      </c>
      <c r="BV617" s="37">
        <v>0</v>
      </c>
      <c r="BW617" s="37">
        <v>0</v>
      </c>
      <c r="BX617" s="37">
        <v>0</v>
      </c>
      <c r="BY617" s="37">
        <v>0</v>
      </c>
      <c r="BZ617" s="37">
        <v>0</v>
      </c>
      <c r="CA617" s="37">
        <v>0</v>
      </c>
      <c r="CB617" s="37">
        <v>0</v>
      </c>
      <c r="CC617" s="37">
        <v>0</v>
      </c>
      <c r="CD617" s="37">
        <v>0</v>
      </c>
      <c r="CE617" s="37">
        <v>0</v>
      </c>
      <c r="CF617" s="37">
        <v>0</v>
      </c>
      <c r="CG617" s="37">
        <v>0</v>
      </c>
      <c r="CH617" s="37">
        <v>0</v>
      </c>
      <c r="CI617" s="37">
        <v>0</v>
      </c>
      <c r="CJ617" s="37">
        <v>0</v>
      </c>
      <c r="CK617" s="37">
        <v>0</v>
      </c>
      <c r="CL617" s="37">
        <v>0</v>
      </c>
      <c r="CM617" s="37">
        <v>0</v>
      </c>
      <c r="CN617" s="37">
        <v>0</v>
      </c>
      <c r="CO617" s="37">
        <v>0</v>
      </c>
      <c r="CP617" s="37">
        <v>0</v>
      </c>
      <c r="CQ617" s="37">
        <v>0</v>
      </c>
      <c r="CR617" s="37">
        <v>0</v>
      </c>
      <c r="CS617" s="37">
        <v>0</v>
      </c>
      <c r="CT617" s="37">
        <v>0</v>
      </c>
      <c r="CU617" s="37">
        <v>0</v>
      </c>
      <c r="CV617" s="37">
        <v>0</v>
      </c>
      <c r="CW617" s="37">
        <v>0</v>
      </c>
      <c r="CX617" s="37">
        <v>0</v>
      </c>
      <c r="CY617" s="37">
        <v>0</v>
      </c>
      <c r="CZ617" s="37">
        <v>0</v>
      </c>
      <c r="DA617" s="37">
        <v>0</v>
      </c>
      <c r="DB617" s="37">
        <v>0</v>
      </c>
      <c r="DC617" s="37">
        <v>0</v>
      </c>
      <c r="DD617" s="37">
        <v>0</v>
      </c>
      <c r="DE617" s="37">
        <v>0</v>
      </c>
      <c r="DF617" s="37">
        <v>0</v>
      </c>
      <c r="DG617" s="37">
        <v>0</v>
      </c>
      <c r="DH617" s="37">
        <v>0</v>
      </c>
      <c r="DI617" s="37">
        <v>0</v>
      </c>
      <c r="DJ617" s="37">
        <v>0</v>
      </c>
      <c r="DK617" s="37">
        <v>0</v>
      </c>
      <c r="DL617" s="37">
        <v>0</v>
      </c>
      <c r="DM617" s="37">
        <v>0</v>
      </c>
      <c r="DN617" s="37">
        <v>0</v>
      </c>
      <c r="DO617" s="37">
        <v>0</v>
      </c>
      <c r="DP617" s="37">
        <v>0</v>
      </c>
      <c r="DQ617" s="37">
        <v>0</v>
      </c>
      <c r="DR617" s="37">
        <v>0</v>
      </c>
      <c r="DS617" s="37">
        <v>0</v>
      </c>
      <c r="DT617" s="37">
        <v>0</v>
      </c>
      <c r="DU617" s="37">
        <v>0</v>
      </c>
      <c r="DV617" s="37">
        <v>0</v>
      </c>
      <c r="DW617" s="37">
        <v>0</v>
      </c>
      <c r="DX617" s="37">
        <v>0</v>
      </c>
      <c r="DY617" s="37">
        <v>0</v>
      </c>
      <c r="DZ617" s="37">
        <v>0</v>
      </c>
      <c r="EA617" s="37">
        <v>0</v>
      </c>
      <c r="EB617" s="37">
        <v>0</v>
      </c>
      <c r="EC617" s="37">
        <v>0</v>
      </c>
      <c r="ED617" s="37">
        <v>0</v>
      </c>
      <c r="EE617" s="37">
        <v>0</v>
      </c>
      <c r="EF617" s="37">
        <v>0</v>
      </c>
      <c r="EG617" s="37">
        <v>0</v>
      </c>
      <c r="EH617" s="37">
        <v>0</v>
      </c>
      <c r="EI617" s="37">
        <v>0</v>
      </c>
      <c r="EJ617" s="37">
        <v>0</v>
      </c>
      <c r="EK617" s="161" t="s">
        <v>2702</v>
      </c>
      <c r="EL617" s="294" t="s">
        <v>1124</v>
      </c>
    </row>
    <row r="618" spans="1:142" ht="15" customHeight="1" x14ac:dyDescent="0.35">
      <c r="A618" s="34"/>
      <c r="B618" s="313">
        <v>42100</v>
      </c>
      <c r="C618" s="8" t="s">
        <v>395</v>
      </c>
      <c r="D618" s="18">
        <v>5</v>
      </c>
      <c r="E618" s="155"/>
      <c r="F618" s="36"/>
      <c r="G618" s="37"/>
      <c r="H618" s="37"/>
      <c r="I618" s="37"/>
      <c r="J618" s="37"/>
      <c r="K618" s="37"/>
      <c r="L618" s="37"/>
      <c r="M618" s="37" t="s">
        <v>1124</v>
      </c>
      <c r="N618" s="37" t="s">
        <v>1124</v>
      </c>
      <c r="O618" s="37"/>
      <c r="P618" s="37"/>
      <c r="Q618" s="37"/>
      <c r="R618" s="37"/>
      <c r="S618" s="37"/>
      <c r="T618" s="37"/>
      <c r="U618" s="37"/>
      <c r="V618" s="37"/>
      <c r="W618" s="37"/>
      <c r="X618" s="37"/>
      <c r="Y618" s="37"/>
      <c r="Z618" s="37"/>
      <c r="AA618" s="37" t="s">
        <v>1124</v>
      </c>
      <c r="AB618" s="37" t="s">
        <v>1124</v>
      </c>
      <c r="AC618" s="37"/>
      <c r="AD618" s="37"/>
      <c r="AE618" s="37"/>
      <c r="AF618" s="168"/>
      <c r="AG618" s="37"/>
      <c r="AH618" s="37"/>
      <c r="AI618" s="37"/>
      <c r="AJ618" s="37"/>
      <c r="AK618" s="37"/>
      <c r="AL618" s="37"/>
      <c r="AM618" s="37"/>
      <c r="AN618" s="37"/>
      <c r="AO618" s="37"/>
      <c r="AP618" s="37"/>
      <c r="AQ618" s="37"/>
      <c r="AR618" s="37" t="s">
        <v>1124</v>
      </c>
      <c r="AS618" s="37"/>
      <c r="AT618" s="37"/>
      <c r="AU618" s="37"/>
      <c r="AV618" s="37"/>
      <c r="AW618" s="37"/>
      <c r="AX618" s="37"/>
      <c r="AY618" s="37"/>
      <c r="AZ618" s="37"/>
      <c r="BA618" s="37"/>
      <c r="BB618" s="37"/>
      <c r="BC618" s="37"/>
      <c r="BD618" s="37" t="s">
        <v>1124</v>
      </c>
      <c r="BE618" s="37"/>
      <c r="BF618" s="37"/>
      <c r="BG618" s="37"/>
      <c r="BH618" s="37"/>
      <c r="BI618" s="37"/>
      <c r="BJ618" s="37"/>
      <c r="BK618" s="37"/>
      <c r="BL618" s="37"/>
      <c r="BM618" s="37"/>
      <c r="BN618" s="37"/>
      <c r="BO618" s="37"/>
      <c r="BP618" s="37">
        <v>0</v>
      </c>
      <c r="BQ618" s="37"/>
      <c r="BR618" s="37"/>
      <c r="BS618" s="37"/>
      <c r="BT618" s="37"/>
      <c r="BU618" s="37"/>
      <c r="BV618" s="37"/>
      <c r="BW618" s="37"/>
      <c r="BX618" s="37"/>
      <c r="BY618" s="37"/>
      <c r="BZ618" s="37"/>
      <c r="CA618" s="37"/>
      <c r="CB618" s="37" t="s">
        <v>1124</v>
      </c>
      <c r="CC618" s="37"/>
      <c r="CD618" s="37"/>
      <c r="CE618" s="37"/>
      <c r="CF618" s="37"/>
      <c r="CG618" s="37"/>
      <c r="CH618" s="37"/>
      <c r="CI618" s="37"/>
      <c r="CJ618" s="37"/>
      <c r="CK618" s="37"/>
      <c r="CL618" s="37"/>
      <c r="CM618" s="37"/>
      <c r="CN618" s="37" t="s">
        <v>1124</v>
      </c>
      <c r="CO618" s="37"/>
      <c r="CP618" s="37"/>
      <c r="CQ618" s="37"/>
      <c r="CR618" s="37"/>
      <c r="CS618" s="37"/>
      <c r="CT618" s="37"/>
      <c r="CU618" s="37"/>
      <c r="CV618" s="37"/>
      <c r="CW618" s="37"/>
      <c r="CX618" s="37"/>
      <c r="CY618" s="37"/>
      <c r="CZ618" s="37" t="s">
        <v>1124</v>
      </c>
      <c r="DA618" s="37"/>
      <c r="DB618" s="37"/>
      <c r="DC618" s="37"/>
      <c r="DD618" s="37"/>
      <c r="DE618" s="37"/>
      <c r="DF618" s="37"/>
      <c r="DG618" s="37"/>
      <c r="DH618" s="37"/>
      <c r="DI618" s="37"/>
      <c r="DJ618" s="37"/>
      <c r="DK618" s="37"/>
      <c r="DL618" s="37" t="s">
        <v>1124</v>
      </c>
      <c r="DM618" s="37"/>
      <c r="DN618" s="37"/>
      <c r="DO618" s="37"/>
      <c r="DP618" s="37"/>
      <c r="DQ618" s="37"/>
      <c r="DR618" s="37"/>
      <c r="DS618" s="37"/>
      <c r="DT618" s="37"/>
      <c r="DU618" s="37"/>
      <c r="DV618" s="37"/>
      <c r="DW618" s="37"/>
      <c r="DX618" s="37" t="s">
        <v>1124</v>
      </c>
      <c r="DY618" s="37"/>
      <c r="DZ618" s="37"/>
      <c r="EA618" s="37"/>
      <c r="EB618" s="37"/>
      <c r="EC618" s="37"/>
      <c r="ED618" s="37"/>
      <c r="EE618" s="37"/>
      <c r="EF618" s="37"/>
      <c r="EG618" s="37"/>
      <c r="EH618" s="37"/>
      <c r="EI618" s="37"/>
      <c r="EJ618" s="37" t="s">
        <v>1124</v>
      </c>
      <c r="EK618" s="161"/>
      <c r="EL618" s="294"/>
    </row>
    <row r="619" spans="1:142" ht="15" customHeight="1" x14ac:dyDescent="0.35">
      <c r="A619" s="34"/>
      <c r="B619" s="313">
        <v>11005</v>
      </c>
      <c r="C619" s="8" t="s">
        <v>17</v>
      </c>
      <c r="D619" s="18">
        <v>1</v>
      </c>
      <c r="E619" s="155">
        <v>36152</v>
      </c>
      <c r="F619" s="36">
        <v>16046</v>
      </c>
      <c r="G619" s="37">
        <v>0</v>
      </c>
      <c r="H619" s="37">
        <v>32460</v>
      </c>
      <c r="I619" s="37">
        <v>0</v>
      </c>
      <c r="J619" s="37">
        <v>53099</v>
      </c>
      <c r="K619" s="37">
        <v>5422.8</v>
      </c>
      <c r="L619" s="37">
        <v>2406.9</v>
      </c>
      <c r="M619" s="37">
        <v>41574.800000000003</v>
      </c>
      <c r="N619" s="37">
        <v>104011.9</v>
      </c>
      <c r="O619" s="37">
        <v>0</v>
      </c>
      <c r="P619" s="37">
        <v>0</v>
      </c>
      <c r="Q619" s="37">
        <v>33469</v>
      </c>
      <c r="R619" s="37">
        <v>46713</v>
      </c>
      <c r="S619" s="37">
        <v>0</v>
      </c>
      <c r="T619" s="37">
        <v>0</v>
      </c>
      <c r="U619" s="37">
        <v>23466</v>
      </c>
      <c r="V619" s="37">
        <v>38850</v>
      </c>
      <c r="W619" s="37">
        <v>1545</v>
      </c>
      <c r="X619" s="37">
        <v>1544</v>
      </c>
      <c r="Y619" s="37">
        <v>0</v>
      </c>
      <c r="Z619" s="37">
        <v>0</v>
      </c>
      <c r="AA619" s="37">
        <v>58480</v>
      </c>
      <c r="AB619" s="37">
        <v>87107</v>
      </c>
      <c r="AC619" s="37">
        <v>0</v>
      </c>
      <c r="AD619" s="37">
        <v>0</v>
      </c>
      <c r="AE619" s="37">
        <v>0</v>
      </c>
      <c r="AF619" s="168">
        <v>0.02</v>
      </c>
      <c r="AG619" s="37">
        <v>8053303.7699999996</v>
      </c>
      <c r="AH619" s="37">
        <v>22634.19</v>
      </c>
      <c r="AI619" s="37">
        <v>23086.87</v>
      </c>
      <c r="AJ619" s="37">
        <v>23548.61</v>
      </c>
      <c r="AK619" s="37">
        <v>24019.58</v>
      </c>
      <c r="AL619" s="37">
        <v>24499.97</v>
      </c>
      <c r="AM619" s="37">
        <v>24989.97</v>
      </c>
      <c r="AN619" s="37">
        <v>25489.77</v>
      </c>
      <c r="AO619" s="37">
        <v>25999.57</v>
      </c>
      <c r="AP619" s="37">
        <v>26519.56</v>
      </c>
      <c r="AQ619" s="37">
        <v>27049.95</v>
      </c>
      <c r="AR619" s="37">
        <v>247838.03999999998</v>
      </c>
      <c r="AS619" s="37">
        <v>2601</v>
      </c>
      <c r="AT619" s="37">
        <v>0</v>
      </c>
      <c r="AU619" s="37">
        <v>18571.14</v>
      </c>
      <c r="AV619" s="37">
        <v>8118.24</v>
      </c>
      <c r="AW619" s="37">
        <v>1656.12</v>
      </c>
      <c r="AX619" s="37">
        <v>0</v>
      </c>
      <c r="AY619" s="37">
        <v>0</v>
      </c>
      <c r="AZ619" s="37">
        <v>0</v>
      </c>
      <c r="BA619" s="37">
        <v>0</v>
      </c>
      <c r="BB619" s="37">
        <v>0</v>
      </c>
      <c r="BC619" s="37">
        <v>0</v>
      </c>
      <c r="BD619" s="37">
        <v>28345.5</v>
      </c>
      <c r="BE619" s="37">
        <v>0</v>
      </c>
      <c r="BF619" s="37">
        <v>0</v>
      </c>
      <c r="BG619" s="37">
        <v>0</v>
      </c>
      <c r="BH619" s="37">
        <v>0</v>
      </c>
      <c r="BI619" s="37">
        <v>0</v>
      </c>
      <c r="BJ619" s="37">
        <v>0</v>
      </c>
      <c r="BK619" s="37">
        <v>0</v>
      </c>
      <c r="BL619" s="37">
        <v>0</v>
      </c>
      <c r="BM619" s="37">
        <v>0</v>
      </c>
      <c r="BN619" s="37">
        <v>0</v>
      </c>
      <c r="BO619" s="37">
        <v>0</v>
      </c>
      <c r="BP619" s="37">
        <v>0</v>
      </c>
      <c r="BQ619" s="37">
        <v>38587</v>
      </c>
      <c r="BR619" s="37">
        <v>0</v>
      </c>
      <c r="BS619" s="37">
        <v>0</v>
      </c>
      <c r="BT619" s="37">
        <v>0</v>
      </c>
      <c r="BU619" s="37">
        <v>0</v>
      </c>
      <c r="BV619" s="37">
        <v>0</v>
      </c>
      <c r="BW619" s="37">
        <v>0</v>
      </c>
      <c r="BX619" s="37">
        <v>0</v>
      </c>
      <c r="BY619" s="37">
        <v>0</v>
      </c>
      <c r="BZ619" s="37">
        <v>0</v>
      </c>
      <c r="CA619" s="37">
        <v>0</v>
      </c>
      <c r="CB619" s="37">
        <v>0</v>
      </c>
      <c r="CC619" s="37">
        <v>0</v>
      </c>
      <c r="CD619" s="37">
        <v>0</v>
      </c>
      <c r="CE619" s="37">
        <v>0</v>
      </c>
      <c r="CF619" s="37">
        <v>0</v>
      </c>
      <c r="CG619" s="37">
        <v>0</v>
      </c>
      <c r="CH619" s="37">
        <v>0</v>
      </c>
      <c r="CI619" s="37">
        <v>0</v>
      </c>
      <c r="CJ619" s="37">
        <v>0</v>
      </c>
      <c r="CK619" s="37">
        <v>0</v>
      </c>
      <c r="CL619" s="37">
        <v>0</v>
      </c>
      <c r="CM619" s="37">
        <v>0</v>
      </c>
      <c r="CN619" s="37">
        <v>0</v>
      </c>
      <c r="CO619" s="37">
        <v>0</v>
      </c>
      <c r="CP619" s="37">
        <v>0</v>
      </c>
      <c r="CQ619" s="37">
        <v>0</v>
      </c>
      <c r="CR619" s="37">
        <v>0</v>
      </c>
      <c r="CS619" s="37">
        <v>0</v>
      </c>
      <c r="CT619" s="37">
        <v>0</v>
      </c>
      <c r="CU619" s="37">
        <v>0</v>
      </c>
      <c r="CV619" s="37">
        <v>0</v>
      </c>
      <c r="CW619" s="37">
        <v>0</v>
      </c>
      <c r="CX619" s="37">
        <v>0</v>
      </c>
      <c r="CY619" s="37">
        <v>0</v>
      </c>
      <c r="CZ619" s="37">
        <v>0</v>
      </c>
      <c r="DA619" s="37">
        <v>0</v>
      </c>
      <c r="DB619" s="37">
        <v>0</v>
      </c>
      <c r="DC619" s="37">
        <v>0</v>
      </c>
      <c r="DD619" s="37">
        <v>0</v>
      </c>
      <c r="DE619" s="37">
        <v>0</v>
      </c>
      <c r="DF619" s="37">
        <v>0</v>
      </c>
      <c r="DG619" s="37">
        <v>0</v>
      </c>
      <c r="DH619" s="37">
        <v>0</v>
      </c>
      <c r="DI619" s="37">
        <v>0</v>
      </c>
      <c r="DJ619" s="37">
        <v>0</v>
      </c>
      <c r="DK619" s="37">
        <v>0</v>
      </c>
      <c r="DL619" s="37">
        <v>0</v>
      </c>
      <c r="DM619" s="37">
        <v>0</v>
      </c>
      <c r="DN619" s="37">
        <v>0</v>
      </c>
      <c r="DO619" s="37">
        <v>0</v>
      </c>
      <c r="DP619" s="37">
        <v>0</v>
      </c>
      <c r="DQ619" s="37">
        <v>0</v>
      </c>
      <c r="DR619" s="37">
        <v>0</v>
      </c>
      <c r="DS619" s="37">
        <v>0</v>
      </c>
      <c r="DT619" s="37">
        <v>0</v>
      </c>
      <c r="DU619" s="37">
        <v>0</v>
      </c>
      <c r="DV619" s="37">
        <v>0</v>
      </c>
      <c r="DW619" s="37">
        <v>0</v>
      </c>
      <c r="DX619" s="37">
        <v>0</v>
      </c>
      <c r="DY619" s="37">
        <v>0</v>
      </c>
      <c r="DZ619" s="37">
        <v>0</v>
      </c>
      <c r="EA619" s="37">
        <v>0</v>
      </c>
      <c r="EB619" s="37">
        <v>0</v>
      </c>
      <c r="EC619" s="37">
        <v>0</v>
      </c>
      <c r="ED619" s="37">
        <v>0</v>
      </c>
      <c r="EE619" s="37">
        <v>0</v>
      </c>
      <c r="EF619" s="37">
        <v>0</v>
      </c>
      <c r="EG619" s="37">
        <v>0</v>
      </c>
      <c r="EH619" s="37">
        <v>0</v>
      </c>
      <c r="EI619" s="37">
        <v>0</v>
      </c>
      <c r="EJ619" s="37">
        <v>0</v>
      </c>
      <c r="EK619" s="161" t="s">
        <v>1978</v>
      </c>
      <c r="EL619" s="294" t="s">
        <v>1124</v>
      </c>
    </row>
    <row r="620" spans="1:142" ht="15" customHeight="1" x14ac:dyDescent="0.35">
      <c r="A620" s="34"/>
      <c r="B620" s="313">
        <v>7090</v>
      </c>
      <c r="C620" s="8" t="s">
        <v>1082</v>
      </c>
      <c r="D620" s="18">
        <v>1</v>
      </c>
      <c r="E620" s="155">
        <v>31484</v>
      </c>
      <c r="F620" s="36">
        <v>5022</v>
      </c>
      <c r="G620" s="37">
        <v>0</v>
      </c>
      <c r="H620" s="37">
        <v>0</v>
      </c>
      <c r="I620" s="37">
        <v>0</v>
      </c>
      <c r="J620" s="37">
        <v>0</v>
      </c>
      <c r="K620" s="37">
        <v>4722.5999999999995</v>
      </c>
      <c r="L620" s="37">
        <v>753.3</v>
      </c>
      <c r="M620" s="37">
        <v>36206.6</v>
      </c>
      <c r="N620" s="37">
        <v>5775.3</v>
      </c>
      <c r="O620" s="37">
        <v>0</v>
      </c>
      <c r="P620" s="37">
        <v>0</v>
      </c>
      <c r="Q620" s="37">
        <v>10120</v>
      </c>
      <c r="R620" s="37">
        <v>5750</v>
      </c>
      <c r="S620" s="37">
        <v>0</v>
      </c>
      <c r="T620" s="37">
        <v>0</v>
      </c>
      <c r="U620" s="37">
        <v>0</v>
      </c>
      <c r="V620" s="37">
        <v>0</v>
      </c>
      <c r="W620" s="37">
        <v>26086.6</v>
      </c>
      <c r="X620" s="37">
        <v>25.300000000000182</v>
      </c>
      <c r="Y620" s="37">
        <v>0</v>
      </c>
      <c r="Z620" s="37">
        <v>0</v>
      </c>
      <c r="AA620" s="37">
        <v>36206.6</v>
      </c>
      <c r="AB620" s="37">
        <v>5775.3</v>
      </c>
      <c r="AC620" s="37">
        <v>0</v>
      </c>
      <c r="AD620" s="37">
        <v>0</v>
      </c>
      <c r="AE620" s="37">
        <v>0</v>
      </c>
      <c r="AF620" s="168">
        <v>0.02</v>
      </c>
      <c r="AG620" s="37">
        <v>8232807.0599999996</v>
      </c>
      <c r="AH620" s="37">
        <v>92695.15</v>
      </c>
      <c r="AI620" s="37">
        <v>47731.05</v>
      </c>
      <c r="AJ620" s="37">
        <v>48685.67</v>
      </c>
      <c r="AK620" s="37">
        <v>49659.38</v>
      </c>
      <c r="AL620" s="37">
        <v>50652.57</v>
      </c>
      <c r="AM620" s="37">
        <v>80957.11</v>
      </c>
      <c r="AN620" s="37">
        <v>52698.94</v>
      </c>
      <c r="AO620" s="37">
        <v>53752.91</v>
      </c>
      <c r="AP620" s="37">
        <v>54827.97</v>
      </c>
      <c r="AQ620" s="37">
        <v>55924.53</v>
      </c>
      <c r="AR620" s="37">
        <v>587585.27999999991</v>
      </c>
      <c r="AS620" s="37">
        <v>320242</v>
      </c>
      <c r="AT620" s="37">
        <v>0</v>
      </c>
      <c r="AU620" s="37">
        <v>0</v>
      </c>
      <c r="AV620" s="37">
        <v>0</v>
      </c>
      <c r="AW620" s="37">
        <v>0</v>
      </c>
      <c r="AX620" s="37">
        <v>0</v>
      </c>
      <c r="AY620" s="37">
        <v>0</v>
      </c>
      <c r="AZ620" s="37">
        <v>1155865.3400000001</v>
      </c>
      <c r="BA620" s="37">
        <v>1178982.6399999999</v>
      </c>
      <c r="BB620" s="37">
        <v>1202562.3</v>
      </c>
      <c r="BC620" s="37">
        <v>0</v>
      </c>
      <c r="BD620" s="37">
        <v>3537410.2800000003</v>
      </c>
      <c r="BE620" s="37">
        <v>0</v>
      </c>
      <c r="BF620" s="37">
        <v>90000</v>
      </c>
      <c r="BG620" s="37">
        <v>0</v>
      </c>
      <c r="BH620" s="37">
        <v>0</v>
      </c>
      <c r="BI620" s="37">
        <v>0</v>
      </c>
      <c r="BJ620" s="37">
        <v>0</v>
      </c>
      <c r="BK620" s="37">
        <v>0</v>
      </c>
      <c r="BL620" s="37">
        <v>0</v>
      </c>
      <c r="BM620" s="37">
        <v>0</v>
      </c>
      <c r="BN620" s="37">
        <v>0</v>
      </c>
      <c r="BO620" s="37">
        <v>0</v>
      </c>
      <c r="BP620" s="37">
        <v>90000</v>
      </c>
      <c r="BQ620" s="37">
        <v>0</v>
      </c>
      <c r="BR620" s="37">
        <v>0</v>
      </c>
      <c r="BS620" s="37">
        <v>0</v>
      </c>
      <c r="BT620" s="37">
        <v>0</v>
      </c>
      <c r="BU620" s="37">
        <v>0</v>
      </c>
      <c r="BV620" s="37">
        <v>0</v>
      </c>
      <c r="BW620" s="37">
        <v>0</v>
      </c>
      <c r="BX620" s="37">
        <v>0</v>
      </c>
      <c r="BY620" s="37">
        <v>0</v>
      </c>
      <c r="BZ620" s="37">
        <v>0</v>
      </c>
      <c r="CA620" s="37">
        <v>0</v>
      </c>
      <c r="CB620" s="37">
        <v>0</v>
      </c>
      <c r="CC620" s="37">
        <v>0</v>
      </c>
      <c r="CD620" s="37">
        <v>0</v>
      </c>
      <c r="CE620" s="37">
        <v>0</v>
      </c>
      <c r="CF620" s="37">
        <v>0</v>
      </c>
      <c r="CG620" s="37">
        <v>0</v>
      </c>
      <c r="CH620" s="37">
        <v>0</v>
      </c>
      <c r="CI620" s="37">
        <v>0</v>
      </c>
      <c r="CJ620" s="37">
        <v>0</v>
      </c>
      <c r="CK620" s="37">
        <v>0</v>
      </c>
      <c r="CL620" s="37">
        <v>0</v>
      </c>
      <c r="CM620" s="37">
        <v>0</v>
      </c>
      <c r="CN620" s="37">
        <v>0</v>
      </c>
      <c r="CO620" s="37">
        <v>0</v>
      </c>
      <c r="CP620" s="37">
        <v>0</v>
      </c>
      <c r="CQ620" s="37">
        <v>0</v>
      </c>
      <c r="CR620" s="37">
        <v>0</v>
      </c>
      <c r="CS620" s="37">
        <v>0</v>
      </c>
      <c r="CT620" s="37">
        <v>0</v>
      </c>
      <c r="CU620" s="37">
        <v>0</v>
      </c>
      <c r="CV620" s="37">
        <v>0</v>
      </c>
      <c r="CW620" s="37">
        <v>0</v>
      </c>
      <c r="CX620" s="37">
        <v>0</v>
      </c>
      <c r="CY620" s="37">
        <v>0</v>
      </c>
      <c r="CZ620" s="37">
        <v>0</v>
      </c>
      <c r="DA620" s="37">
        <v>0</v>
      </c>
      <c r="DB620" s="37">
        <v>0</v>
      </c>
      <c r="DC620" s="37">
        <v>0</v>
      </c>
      <c r="DD620" s="37">
        <v>0</v>
      </c>
      <c r="DE620" s="37">
        <v>0</v>
      </c>
      <c r="DF620" s="37">
        <v>0</v>
      </c>
      <c r="DG620" s="37">
        <v>0</v>
      </c>
      <c r="DH620" s="37">
        <v>0</v>
      </c>
      <c r="DI620" s="37">
        <v>0</v>
      </c>
      <c r="DJ620" s="37">
        <v>0</v>
      </c>
      <c r="DK620" s="37">
        <v>0</v>
      </c>
      <c r="DL620" s="37">
        <v>0</v>
      </c>
      <c r="DM620" s="37">
        <v>0</v>
      </c>
      <c r="DN620" s="37">
        <v>0</v>
      </c>
      <c r="DO620" s="37">
        <v>0</v>
      </c>
      <c r="DP620" s="37">
        <v>0</v>
      </c>
      <c r="DQ620" s="37">
        <v>0</v>
      </c>
      <c r="DR620" s="37">
        <v>0</v>
      </c>
      <c r="DS620" s="37">
        <v>0</v>
      </c>
      <c r="DT620" s="37">
        <v>0</v>
      </c>
      <c r="DU620" s="37">
        <v>0</v>
      </c>
      <c r="DV620" s="37">
        <v>0</v>
      </c>
      <c r="DW620" s="37">
        <v>0</v>
      </c>
      <c r="DX620" s="37">
        <v>0</v>
      </c>
      <c r="DY620" s="37">
        <v>0</v>
      </c>
      <c r="DZ620" s="37">
        <v>0</v>
      </c>
      <c r="EA620" s="37">
        <v>0</v>
      </c>
      <c r="EB620" s="37">
        <v>0</v>
      </c>
      <c r="EC620" s="37">
        <v>0</v>
      </c>
      <c r="ED620" s="37">
        <v>0</v>
      </c>
      <c r="EE620" s="37">
        <v>0</v>
      </c>
      <c r="EF620" s="37">
        <v>0</v>
      </c>
      <c r="EG620" s="37">
        <v>0</v>
      </c>
      <c r="EH620" s="37">
        <v>0</v>
      </c>
      <c r="EI620" s="37">
        <v>0</v>
      </c>
      <c r="EJ620" s="37">
        <v>0</v>
      </c>
      <c r="EK620" s="161" t="s">
        <v>2710</v>
      </c>
      <c r="EL620" s="294" t="s">
        <v>1124</v>
      </c>
    </row>
    <row r="621" spans="1:142" ht="15" customHeight="1" x14ac:dyDescent="0.35">
      <c r="A621" s="34"/>
      <c r="B621" s="313">
        <v>52075</v>
      </c>
      <c r="C621" s="8" t="s">
        <v>525</v>
      </c>
      <c r="D621" s="18">
        <v>14</v>
      </c>
      <c r="E621" s="155"/>
      <c r="F621" s="36"/>
      <c r="G621" s="37"/>
      <c r="H621" s="37"/>
      <c r="I621" s="37"/>
      <c r="J621" s="37"/>
      <c r="K621" s="37"/>
      <c r="L621" s="37"/>
      <c r="M621" s="37" t="s">
        <v>1124</v>
      </c>
      <c r="N621" s="37" t="s">
        <v>1124</v>
      </c>
      <c r="O621" s="37"/>
      <c r="P621" s="37"/>
      <c r="Q621" s="37"/>
      <c r="R621" s="37"/>
      <c r="S621" s="37"/>
      <c r="T621" s="37"/>
      <c r="U621" s="37"/>
      <c r="V621" s="37"/>
      <c r="W621" s="37"/>
      <c r="X621" s="37"/>
      <c r="Y621" s="37"/>
      <c r="Z621" s="37"/>
      <c r="AA621" s="37" t="s">
        <v>1124</v>
      </c>
      <c r="AB621" s="37" t="s">
        <v>1124</v>
      </c>
      <c r="AC621" s="37"/>
      <c r="AD621" s="37"/>
      <c r="AE621" s="37"/>
      <c r="AF621" s="168"/>
      <c r="AG621" s="37"/>
      <c r="AH621" s="37"/>
      <c r="AI621" s="37"/>
      <c r="AJ621" s="37"/>
      <c r="AK621" s="37"/>
      <c r="AL621" s="37"/>
      <c r="AM621" s="37"/>
      <c r="AN621" s="37"/>
      <c r="AO621" s="37"/>
      <c r="AP621" s="37"/>
      <c r="AQ621" s="37"/>
      <c r="AR621" s="37" t="s">
        <v>1124</v>
      </c>
      <c r="AS621" s="37"/>
      <c r="AT621" s="37"/>
      <c r="AU621" s="37"/>
      <c r="AV621" s="37"/>
      <c r="AW621" s="37"/>
      <c r="AX621" s="37"/>
      <c r="AY621" s="37"/>
      <c r="AZ621" s="37"/>
      <c r="BA621" s="37"/>
      <c r="BB621" s="37"/>
      <c r="BC621" s="37"/>
      <c r="BD621" s="37" t="s">
        <v>1124</v>
      </c>
      <c r="BE621" s="37"/>
      <c r="BF621" s="37"/>
      <c r="BG621" s="37"/>
      <c r="BH621" s="37"/>
      <c r="BI621" s="37"/>
      <c r="BJ621" s="37"/>
      <c r="BK621" s="37"/>
      <c r="BL621" s="37"/>
      <c r="BM621" s="37"/>
      <c r="BN621" s="37"/>
      <c r="BO621" s="37"/>
      <c r="BP621" s="37">
        <v>0</v>
      </c>
      <c r="BQ621" s="37"/>
      <c r="BR621" s="37"/>
      <c r="BS621" s="37"/>
      <c r="BT621" s="37"/>
      <c r="BU621" s="37"/>
      <c r="BV621" s="37"/>
      <c r="BW621" s="37"/>
      <c r="BX621" s="37"/>
      <c r="BY621" s="37"/>
      <c r="BZ621" s="37"/>
      <c r="CA621" s="37"/>
      <c r="CB621" s="37" t="s">
        <v>1124</v>
      </c>
      <c r="CC621" s="37"/>
      <c r="CD621" s="37"/>
      <c r="CE621" s="37"/>
      <c r="CF621" s="37"/>
      <c r="CG621" s="37"/>
      <c r="CH621" s="37"/>
      <c r="CI621" s="37"/>
      <c r="CJ621" s="37"/>
      <c r="CK621" s="37"/>
      <c r="CL621" s="37"/>
      <c r="CM621" s="37"/>
      <c r="CN621" s="37" t="s">
        <v>1124</v>
      </c>
      <c r="CO621" s="37"/>
      <c r="CP621" s="37"/>
      <c r="CQ621" s="37"/>
      <c r="CR621" s="37"/>
      <c r="CS621" s="37"/>
      <c r="CT621" s="37"/>
      <c r="CU621" s="37"/>
      <c r="CV621" s="37"/>
      <c r="CW621" s="37"/>
      <c r="CX621" s="37"/>
      <c r="CY621" s="37"/>
      <c r="CZ621" s="37" t="s">
        <v>1124</v>
      </c>
      <c r="DA621" s="37"/>
      <c r="DB621" s="37"/>
      <c r="DC621" s="37"/>
      <c r="DD621" s="37"/>
      <c r="DE621" s="37"/>
      <c r="DF621" s="37"/>
      <c r="DG621" s="37"/>
      <c r="DH621" s="37"/>
      <c r="DI621" s="37"/>
      <c r="DJ621" s="37"/>
      <c r="DK621" s="37"/>
      <c r="DL621" s="37" t="s">
        <v>1124</v>
      </c>
      <c r="DM621" s="37"/>
      <c r="DN621" s="37"/>
      <c r="DO621" s="37"/>
      <c r="DP621" s="37"/>
      <c r="DQ621" s="37"/>
      <c r="DR621" s="37"/>
      <c r="DS621" s="37"/>
      <c r="DT621" s="37"/>
      <c r="DU621" s="37"/>
      <c r="DV621" s="37"/>
      <c r="DW621" s="37"/>
      <c r="DX621" s="37" t="s">
        <v>1124</v>
      </c>
      <c r="DY621" s="37"/>
      <c r="DZ621" s="37"/>
      <c r="EA621" s="37"/>
      <c r="EB621" s="37"/>
      <c r="EC621" s="37"/>
      <c r="ED621" s="37"/>
      <c r="EE621" s="37"/>
      <c r="EF621" s="37"/>
      <c r="EG621" s="37"/>
      <c r="EH621" s="37"/>
      <c r="EI621" s="37"/>
      <c r="EJ621" s="37" t="s">
        <v>1124</v>
      </c>
      <c r="EK621" s="161"/>
      <c r="EL621" s="294"/>
    </row>
    <row r="622" spans="1:142" ht="15" customHeight="1" x14ac:dyDescent="0.35">
      <c r="A622" s="34"/>
      <c r="B622" s="313">
        <v>71045</v>
      </c>
      <c r="C622" s="8" t="s">
        <v>710</v>
      </c>
      <c r="D622" s="18">
        <v>16</v>
      </c>
      <c r="E622" s="155"/>
      <c r="F622" s="36"/>
      <c r="G622" s="37"/>
      <c r="H622" s="37"/>
      <c r="I622" s="37"/>
      <c r="J622" s="37"/>
      <c r="K622" s="37"/>
      <c r="L622" s="37"/>
      <c r="M622" s="37" t="s">
        <v>1124</v>
      </c>
      <c r="N622" s="37" t="s">
        <v>1124</v>
      </c>
      <c r="O622" s="37"/>
      <c r="P622" s="37"/>
      <c r="Q622" s="37"/>
      <c r="R622" s="37"/>
      <c r="S622" s="37"/>
      <c r="T622" s="37"/>
      <c r="U622" s="37"/>
      <c r="V622" s="37"/>
      <c r="W622" s="37"/>
      <c r="X622" s="37"/>
      <c r="Y622" s="37"/>
      <c r="Z622" s="37"/>
      <c r="AA622" s="37" t="s">
        <v>1124</v>
      </c>
      <c r="AB622" s="37" t="s">
        <v>1124</v>
      </c>
      <c r="AC622" s="37"/>
      <c r="AD622" s="37"/>
      <c r="AE622" s="37"/>
      <c r="AF622" s="168"/>
      <c r="AG622" s="37"/>
      <c r="AH622" s="37"/>
      <c r="AI622" s="37"/>
      <c r="AJ622" s="37"/>
      <c r="AK622" s="37"/>
      <c r="AL622" s="37"/>
      <c r="AM622" s="37"/>
      <c r="AN622" s="37"/>
      <c r="AO622" s="37"/>
      <c r="AP622" s="37"/>
      <c r="AQ622" s="37"/>
      <c r="AR622" s="37" t="s">
        <v>1124</v>
      </c>
      <c r="AS622" s="37"/>
      <c r="AT622" s="37"/>
      <c r="AU622" s="37"/>
      <c r="AV622" s="37"/>
      <c r="AW622" s="37"/>
      <c r="AX622" s="37"/>
      <c r="AY622" s="37"/>
      <c r="AZ622" s="37"/>
      <c r="BA622" s="37"/>
      <c r="BB622" s="37"/>
      <c r="BC622" s="37"/>
      <c r="BD622" s="37" t="s">
        <v>1124</v>
      </c>
      <c r="BE622" s="37"/>
      <c r="BF622" s="37"/>
      <c r="BG622" s="37"/>
      <c r="BH622" s="37"/>
      <c r="BI622" s="37"/>
      <c r="BJ622" s="37"/>
      <c r="BK622" s="37"/>
      <c r="BL622" s="37"/>
      <c r="BM622" s="37"/>
      <c r="BN622" s="37"/>
      <c r="BO622" s="37"/>
      <c r="BP622" s="37">
        <v>0</v>
      </c>
      <c r="BQ622" s="37"/>
      <c r="BR622" s="37"/>
      <c r="BS622" s="37"/>
      <c r="BT622" s="37"/>
      <c r="BU622" s="37"/>
      <c r="BV622" s="37"/>
      <c r="BW622" s="37"/>
      <c r="BX622" s="37"/>
      <c r="BY622" s="37"/>
      <c r="BZ622" s="37"/>
      <c r="CA622" s="37"/>
      <c r="CB622" s="37" t="s">
        <v>1124</v>
      </c>
      <c r="CC622" s="37"/>
      <c r="CD622" s="37"/>
      <c r="CE622" s="37"/>
      <c r="CF622" s="37"/>
      <c r="CG622" s="37"/>
      <c r="CH622" s="37"/>
      <c r="CI622" s="37"/>
      <c r="CJ622" s="37"/>
      <c r="CK622" s="37"/>
      <c r="CL622" s="37"/>
      <c r="CM622" s="37"/>
      <c r="CN622" s="37" t="s">
        <v>1124</v>
      </c>
      <c r="CO622" s="37"/>
      <c r="CP622" s="37"/>
      <c r="CQ622" s="37"/>
      <c r="CR622" s="37"/>
      <c r="CS622" s="37"/>
      <c r="CT622" s="37"/>
      <c r="CU622" s="37"/>
      <c r="CV622" s="37"/>
      <c r="CW622" s="37"/>
      <c r="CX622" s="37"/>
      <c r="CY622" s="37"/>
      <c r="CZ622" s="37" t="s">
        <v>1124</v>
      </c>
      <c r="DA622" s="37"/>
      <c r="DB622" s="37"/>
      <c r="DC622" s="37"/>
      <c r="DD622" s="37"/>
      <c r="DE622" s="37"/>
      <c r="DF622" s="37"/>
      <c r="DG622" s="37"/>
      <c r="DH622" s="37"/>
      <c r="DI622" s="37"/>
      <c r="DJ622" s="37"/>
      <c r="DK622" s="37"/>
      <c r="DL622" s="37" t="s">
        <v>1124</v>
      </c>
      <c r="DM622" s="37"/>
      <c r="DN622" s="37"/>
      <c r="DO622" s="37"/>
      <c r="DP622" s="37"/>
      <c r="DQ622" s="37"/>
      <c r="DR622" s="37"/>
      <c r="DS622" s="37"/>
      <c r="DT622" s="37"/>
      <c r="DU622" s="37"/>
      <c r="DV622" s="37"/>
      <c r="DW622" s="37"/>
      <c r="DX622" s="37" t="s">
        <v>1124</v>
      </c>
      <c r="DY622" s="37"/>
      <c r="DZ622" s="37"/>
      <c r="EA622" s="37"/>
      <c r="EB622" s="37"/>
      <c r="EC622" s="37"/>
      <c r="ED622" s="37"/>
      <c r="EE622" s="37"/>
      <c r="EF622" s="37"/>
      <c r="EG622" s="37"/>
      <c r="EH622" s="37"/>
      <c r="EI622" s="37"/>
      <c r="EJ622" s="37" t="s">
        <v>1124</v>
      </c>
      <c r="EK622" s="161"/>
      <c r="EL622" s="294"/>
    </row>
    <row r="623" spans="1:142" ht="15" customHeight="1" x14ac:dyDescent="0.35">
      <c r="A623" s="34"/>
      <c r="B623" s="313">
        <v>75005</v>
      </c>
      <c r="C623" s="8" t="s">
        <v>742</v>
      </c>
      <c r="D623" s="18">
        <v>15</v>
      </c>
      <c r="E623" s="155"/>
      <c r="F623" s="36"/>
      <c r="G623" s="37"/>
      <c r="H623" s="37"/>
      <c r="I623" s="37"/>
      <c r="J623" s="37"/>
      <c r="K623" s="37"/>
      <c r="L623" s="37"/>
      <c r="M623" s="37" t="s">
        <v>1124</v>
      </c>
      <c r="N623" s="37" t="s">
        <v>1124</v>
      </c>
      <c r="O623" s="37"/>
      <c r="P623" s="37"/>
      <c r="Q623" s="37"/>
      <c r="R623" s="37"/>
      <c r="S623" s="37"/>
      <c r="T623" s="37"/>
      <c r="U623" s="37"/>
      <c r="V623" s="37"/>
      <c r="W623" s="37"/>
      <c r="X623" s="37"/>
      <c r="Y623" s="37"/>
      <c r="Z623" s="37"/>
      <c r="AA623" s="37" t="s">
        <v>1124</v>
      </c>
      <c r="AB623" s="37" t="s">
        <v>1124</v>
      </c>
      <c r="AC623" s="37"/>
      <c r="AD623" s="37"/>
      <c r="AE623" s="37"/>
      <c r="AF623" s="168"/>
      <c r="AG623" s="37"/>
      <c r="AH623" s="37"/>
      <c r="AI623" s="37"/>
      <c r="AJ623" s="37"/>
      <c r="AK623" s="37"/>
      <c r="AL623" s="37"/>
      <c r="AM623" s="37"/>
      <c r="AN623" s="37"/>
      <c r="AO623" s="37"/>
      <c r="AP623" s="37"/>
      <c r="AQ623" s="37"/>
      <c r="AR623" s="37" t="s">
        <v>1124</v>
      </c>
      <c r="AS623" s="37"/>
      <c r="AT623" s="37"/>
      <c r="AU623" s="37"/>
      <c r="AV623" s="37"/>
      <c r="AW623" s="37"/>
      <c r="AX623" s="37"/>
      <c r="AY623" s="37"/>
      <c r="AZ623" s="37"/>
      <c r="BA623" s="37"/>
      <c r="BB623" s="37"/>
      <c r="BC623" s="37"/>
      <c r="BD623" s="37" t="s">
        <v>1124</v>
      </c>
      <c r="BE623" s="37"/>
      <c r="BF623" s="37"/>
      <c r="BG623" s="37"/>
      <c r="BH623" s="37"/>
      <c r="BI623" s="37"/>
      <c r="BJ623" s="37"/>
      <c r="BK623" s="37"/>
      <c r="BL623" s="37"/>
      <c r="BM623" s="37"/>
      <c r="BN623" s="37"/>
      <c r="BO623" s="37"/>
      <c r="BP623" s="37">
        <v>0</v>
      </c>
      <c r="BQ623" s="37"/>
      <c r="BR623" s="37"/>
      <c r="BS623" s="37"/>
      <c r="BT623" s="37"/>
      <c r="BU623" s="37"/>
      <c r="BV623" s="37"/>
      <c r="BW623" s="37"/>
      <c r="BX623" s="37"/>
      <c r="BY623" s="37"/>
      <c r="BZ623" s="37"/>
      <c r="CA623" s="37"/>
      <c r="CB623" s="37" t="s">
        <v>1124</v>
      </c>
      <c r="CC623" s="37"/>
      <c r="CD623" s="37"/>
      <c r="CE623" s="37"/>
      <c r="CF623" s="37"/>
      <c r="CG623" s="37"/>
      <c r="CH623" s="37"/>
      <c r="CI623" s="37"/>
      <c r="CJ623" s="37"/>
      <c r="CK623" s="37"/>
      <c r="CL623" s="37"/>
      <c r="CM623" s="37"/>
      <c r="CN623" s="37" t="s">
        <v>1124</v>
      </c>
      <c r="CO623" s="37"/>
      <c r="CP623" s="37"/>
      <c r="CQ623" s="37"/>
      <c r="CR623" s="37"/>
      <c r="CS623" s="37"/>
      <c r="CT623" s="37"/>
      <c r="CU623" s="37"/>
      <c r="CV623" s="37"/>
      <c r="CW623" s="37"/>
      <c r="CX623" s="37"/>
      <c r="CY623" s="37"/>
      <c r="CZ623" s="37" t="s">
        <v>1124</v>
      </c>
      <c r="DA623" s="37"/>
      <c r="DB623" s="37"/>
      <c r="DC623" s="37"/>
      <c r="DD623" s="37"/>
      <c r="DE623" s="37"/>
      <c r="DF623" s="37"/>
      <c r="DG623" s="37"/>
      <c r="DH623" s="37"/>
      <c r="DI623" s="37"/>
      <c r="DJ623" s="37"/>
      <c r="DK623" s="37"/>
      <c r="DL623" s="37" t="s">
        <v>1124</v>
      </c>
      <c r="DM623" s="37"/>
      <c r="DN623" s="37"/>
      <c r="DO623" s="37"/>
      <c r="DP623" s="37"/>
      <c r="DQ623" s="37"/>
      <c r="DR623" s="37"/>
      <c r="DS623" s="37"/>
      <c r="DT623" s="37"/>
      <c r="DU623" s="37"/>
      <c r="DV623" s="37"/>
      <c r="DW623" s="37"/>
      <c r="DX623" s="37" t="s">
        <v>1124</v>
      </c>
      <c r="DY623" s="37"/>
      <c r="DZ623" s="37"/>
      <c r="EA623" s="37"/>
      <c r="EB623" s="37"/>
      <c r="EC623" s="37"/>
      <c r="ED623" s="37"/>
      <c r="EE623" s="37"/>
      <c r="EF623" s="37"/>
      <c r="EG623" s="37"/>
      <c r="EH623" s="37"/>
      <c r="EI623" s="37"/>
      <c r="EJ623" s="37" t="s">
        <v>1124</v>
      </c>
      <c r="EK623" s="161"/>
      <c r="EL623" s="294"/>
    </row>
    <row r="624" spans="1:142" ht="15" customHeight="1" x14ac:dyDescent="0.35">
      <c r="A624" s="34"/>
      <c r="B624" s="313">
        <v>62065</v>
      </c>
      <c r="C624" s="8" t="s">
        <v>629</v>
      </c>
      <c r="D624" s="18">
        <v>14</v>
      </c>
      <c r="E624" s="155">
        <v>136910</v>
      </c>
      <c r="F624" s="36">
        <v>120397</v>
      </c>
      <c r="G624" s="37">
        <v>7427</v>
      </c>
      <c r="H624" s="37">
        <v>16743</v>
      </c>
      <c r="I624" s="37">
        <v>28800</v>
      </c>
      <c r="J624" s="37">
        <v>25500</v>
      </c>
      <c r="K624" s="37">
        <v>20537</v>
      </c>
      <c r="L624" s="37">
        <v>18060</v>
      </c>
      <c r="M624" s="37">
        <v>193674</v>
      </c>
      <c r="N624" s="37">
        <v>180700</v>
      </c>
      <c r="O624" s="37">
        <v>0</v>
      </c>
      <c r="P624" s="37">
        <v>0</v>
      </c>
      <c r="Q624" s="37">
        <v>99664</v>
      </c>
      <c r="R624" s="37">
        <v>78811</v>
      </c>
      <c r="S624" s="37">
        <v>0</v>
      </c>
      <c r="T624" s="37">
        <v>0</v>
      </c>
      <c r="U624" s="37">
        <v>9725</v>
      </c>
      <c r="V624" s="37">
        <v>0</v>
      </c>
      <c r="W624" s="37">
        <v>842845</v>
      </c>
      <c r="X624" s="37">
        <v>101889</v>
      </c>
      <c r="Y624" s="37">
        <v>0</v>
      </c>
      <c r="Z624" s="37">
        <v>0</v>
      </c>
      <c r="AA624" s="37">
        <v>952234</v>
      </c>
      <c r="AB624" s="37">
        <v>180700</v>
      </c>
      <c r="AC624" s="37">
        <v>758560</v>
      </c>
      <c r="AD624" s="37">
        <v>0</v>
      </c>
      <c r="AE624" s="37">
        <v>0</v>
      </c>
      <c r="AF624" s="168">
        <v>0.02</v>
      </c>
      <c r="AG624" s="37">
        <v>16788936.289999999</v>
      </c>
      <c r="AH624" s="37">
        <v>176803.20000000001</v>
      </c>
      <c r="AI624" s="37">
        <v>180339.26</v>
      </c>
      <c r="AJ624" s="37">
        <v>183946.05</v>
      </c>
      <c r="AK624" s="37">
        <v>187624.97</v>
      </c>
      <c r="AL624" s="37">
        <v>191377.47</v>
      </c>
      <c r="AM624" s="37">
        <v>195205.02</v>
      </c>
      <c r="AN624" s="37">
        <v>199109.12</v>
      </c>
      <c r="AO624" s="37">
        <v>203091.3</v>
      </c>
      <c r="AP624" s="37">
        <v>207153.13</v>
      </c>
      <c r="AQ624" s="37">
        <v>211296.19</v>
      </c>
      <c r="AR624" s="37">
        <v>1935945.71</v>
      </c>
      <c r="AS624" s="37">
        <v>0</v>
      </c>
      <c r="AT624" s="37">
        <v>0</v>
      </c>
      <c r="AU624" s="37">
        <v>175099.32</v>
      </c>
      <c r="AV624" s="37">
        <v>0</v>
      </c>
      <c r="AW624" s="37">
        <v>0</v>
      </c>
      <c r="AX624" s="37">
        <v>0</v>
      </c>
      <c r="AY624" s="37">
        <v>0</v>
      </c>
      <c r="AZ624" s="37">
        <v>0</v>
      </c>
      <c r="BA624" s="37">
        <v>0</v>
      </c>
      <c r="BB624" s="37">
        <v>0</v>
      </c>
      <c r="BC624" s="37">
        <v>0</v>
      </c>
      <c r="BD624" s="37">
        <v>175099.32</v>
      </c>
      <c r="BE624" s="37">
        <v>0</v>
      </c>
      <c r="BF624" s="37">
        <v>0</v>
      </c>
      <c r="BG624" s="37">
        <v>127500</v>
      </c>
      <c r="BH624" s="37">
        <v>0</v>
      </c>
      <c r="BI624" s="37">
        <v>0</v>
      </c>
      <c r="BJ624" s="37">
        <v>0</v>
      </c>
      <c r="BK624" s="37">
        <v>0</v>
      </c>
      <c r="BL624" s="37">
        <v>0</v>
      </c>
      <c r="BM624" s="37">
        <v>0</v>
      </c>
      <c r="BN624" s="37">
        <v>0</v>
      </c>
      <c r="BO624" s="37">
        <v>0</v>
      </c>
      <c r="BP624" s="37">
        <v>127500</v>
      </c>
      <c r="BQ624" s="37">
        <v>0</v>
      </c>
      <c r="BR624" s="37">
        <v>0</v>
      </c>
      <c r="BS624" s="37">
        <v>0</v>
      </c>
      <c r="BT624" s="37">
        <v>0</v>
      </c>
      <c r="BU624" s="37">
        <v>0</v>
      </c>
      <c r="BV624" s="37">
        <v>0</v>
      </c>
      <c r="BW624" s="37">
        <v>0</v>
      </c>
      <c r="BX624" s="37">
        <v>0</v>
      </c>
      <c r="BY624" s="37">
        <v>0</v>
      </c>
      <c r="BZ624" s="37">
        <v>0</v>
      </c>
      <c r="CA624" s="37">
        <v>0</v>
      </c>
      <c r="CB624" s="37">
        <v>0</v>
      </c>
      <c r="CC624" s="37">
        <v>0</v>
      </c>
      <c r="CD624" s="37">
        <v>0</v>
      </c>
      <c r="CE624" s="37">
        <v>0</v>
      </c>
      <c r="CF624" s="37">
        <v>0</v>
      </c>
      <c r="CG624" s="37">
        <v>0</v>
      </c>
      <c r="CH624" s="37">
        <v>0</v>
      </c>
      <c r="CI624" s="37">
        <v>0</v>
      </c>
      <c r="CJ624" s="37">
        <v>0</v>
      </c>
      <c r="CK624" s="37">
        <v>0</v>
      </c>
      <c r="CL624" s="37">
        <v>0</v>
      </c>
      <c r="CM624" s="37">
        <v>0</v>
      </c>
      <c r="CN624" s="37">
        <v>0</v>
      </c>
      <c r="CO624" s="37">
        <v>0</v>
      </c>
      <c r="CP624" s="37">
        <v>0</v>
      </c>
      <c r="CQ624" s="37">
        <v>0</v>
      </c>
      <c r="CR624" s="37">
        <v>0</v>
      </c>
      <c r="CS624" s="37">
        <v>0</v>
      </c>
      <c r="CT624" s="37">
        <v>0</v>
      </c>
      <c r="CU624" s="37">
        <v>0</v>
      </c>
      <c r="CV624" s="37">
        <v>0</v>
      </c>
      <c r="CW624" s="37">
        <v>0</v>
      </c>
      <c r="CX624" s="37">
        <v>0</v>
      </c>
      <c r="CY624" s="37">
        <v>0</v>
      </c>
      <c r="CZ624" s="37">
        <v>0</v>
      </c>
      <c r="DA624" s="37">
        <v>0</v>
      </c>
      <c r="DB624" s="37">
        <v>0</v>
      </c>
      <c r="DC624" s="37">
        <v>0</v>
      </c>
      <c r="DD624" s="37">
        <v>0</v>
      </c>
      <c r="DE624" s="37">
        <v>0</v>
      </c>
      <c r="DF624" s="37">
        <v>0</v>
      </c>
      <c r="DG624" s="37">
        <v>0</v>
      </c>
      <c r="DH624" s="37">
        <v>0</v>
      </c>
      <c r="DI624" s="37">
        <v>0</v>
      </c>
      <c r="DJ624" s="37">
        <v>0</v>
      </c>
      <c r="DK624" s="37">
        <v>0</v>
      </c>
      <c r="DL624" s="37">
        <v>0</v>
      </c>
      <c r="DM624" s="37">
        <v>0</v>
      </c>
      <c r="DN624" s="37">
        <v>0</v>
      </c>
      <c r="DO624" s="37">
        <v>0</v>
      </c>
      <c r="DP624" s="37">
        <v>0</v>
      </c>
      <c r="DQ624" s="37">
        <v>0</v>
      </c>
      <c r="DR624" s="37">
        <v>0</v>
      </c>
      <c r="DS624" s="37">
        <v>0</v>
      </c>
      <c r="DT624" s="37">
        <v>0</v>
      </c>
      <c r="DU624" s="37">
        <v>0</v>
      </c>
      <c r="DV624" s="37">
        <v>0</v>
      </c>
      <c r="DW624" s="37">
        <v>0</v>
      </c>
      <c r="DX624" s="37">
        <v>0</v>
      </c>
      <c r="DY624" s="37">
        <v>0</v>
      </c>
      <c r="DZ624" s="37">
        <v>0</v>
      </c>
      <c r="EA624" s="37">
        <v>0</v>
      </c>
      <c r="EB624" s="37">
        <v>0</v>
      </c>
      <c r="EC624" s="37">
        <v>0</v>
      </c>
      <c r="ED624" s="37">
        <v>0</v>
      </c>
      <c r="EE624" s="37">
        <v>0</v>
      </c>
      <c r="EF624" s="37">
        <v>0</v>
      </c>
      <c r="EG624" s="37">
        <v>0</v>
      </c>
      <c r="EH624" s="37">
        <v>0</v>
      </c>
      <c r="EI624" s="37">
        <v>0</v>
      </c>
      <c r="EJ624" s="37">
        <v>0</v>
      </c>
      <c r="EK624" s="161" t="s">
        <v>2715</v>
      </c>
      <c r="EL624" s="294" t="s">
        <v>1124</v>
      </c>
    </row>
    <row r="625" spans="1:142" ht="15" customHeight="1" x14ac:dyDescent="0.35">
      <c r="A625" s="34"/>
      <c r="B625" s="313">
        <v>29057</v>
      </c>
      <c r="C625" s="8" t="s">
        <v>209</v>
      </c>
      <c r="D625" s="18">
        <v>12</v>
      </c>
      <c r="E625" s="155">
        <v>318625</v>
      </c>
      <c r="F625" s="36">
        <v>139958</v>
      </c>
      <c r="G625" s="37">
        <v>69891</v>
      </c>
      <c r="H625" s="37">
        <v>25387</v>
      </c>
      <c r="I625" s="37">
        <v>538628</v>
      </c>
      <c r="J625" s="37">
        <v>179543</v>
      </c>
      <c r="K625" s="37">
        <v>41421.25</v>
      </c>
      <c r="L625" s="37">
        <v>18194.54</v>
      </c>
      <c r="M625" s="37">
        <v>968565.25</v>
      </c>
      <c r="N625" s="37">
        <v>363082.54000000004</v>
      </c>
      <c r="O625" s="37">
        <v>88899</v>
      </c>
      <c r="P625" s="37">
        <v>0</v>
      </c>
      <c r="Q625" s="37">
        <v>574877</v>
      </c>
      <c r="R625" s="37">
        <v>218628</v>
      </c>
      <c r="S625" s="37">
        <v>2545</v>
      </c>
      <c r="T625" s="37">
        <v>0</v>
      </c>
      <c r="U625" s="37">
        <v>108094</v>
      </c>
      <c r="V625" s="37">
        <v>61858</v>
      </c>
      <c r="W625" s="37">
        <v>138374</v>
      </c>
      <c r="X625" s="37">
        <v>138373</v>
      </c>
      <c r="Y625" s="37">
        <v>0</v>
      </c>
      <c r="Z625" s="37">
        <v>0</v>
      </c>
      <c r="AA625" s="37">
        <v>912789</v>
      </c>
      <c r="AB625" s="37">
        <v>418859</v>
      </c>
      <c r="AC625" s="37">
        <v>0.2099999999627471</v>
      </c>
      <c r="AD625" s="37">
        <v>0</v>
      </c>
      <c r="AE625" s="37">
        <v>0</v>
      </c>
      <c r="AF625" s="168">
        <v>0.02</v>
      </c>
      <c r="AG625" s="37">
        <v>51765571.130000003</v>
      </c>
      <c r="AH625" s="37">
        <v>478923.07</v>
      </c>
      <c r="AI625" s="37">
        <v>488501.54</v>
      </c>
      <c r="AJ625" s="37">
        <v>498271.57</v>
      </c>
      <c r="AK625" s="37">
        <v>508237</v>
      </c>
      <c r="AL625" s="37">
        <v>518401.74</v>
      </c>
      <c r="AM625" s="37">
        <v>528769.77</v>
      </c>
      <c r="AN625" s="37">
        <v>539345.17000000004</v>
      </c>
      <c r="AO625" s="37">
        <v>550132.06999999995</v>
      </c>
      <c r="AP625" s="37">
        <v>561134.71</v>
      </c>
      <c r="AQ625" s="37">
        <v>572357.41</v>
      </c>
      <c r="AR625" s="37">
        <v>5244074.05</v>
      </c>
      <c r="AS625" s="37">
        <v>5031252</v>
      </c>
      <c r="AT625" s="37">
        <v>0</v>
      </c>
      <c r="AU625" s="37">
        <v>260100</v>
      </c>
      <c r="AV625" s="37">
        <v>265302</v>
      </c>
      <c r="AW625" s="37">
        <v>0</v>
      </c>
      <c r="AX625" s="37">
        <v>0</v>
      </c>
      <c r="AY625" s="37">
        <v>0</v>
      </c>
      <c r="AZ625" s="37">
        <v>0</v>
      </c>
      <c r="BA625" s="37">
        <v>0</v>
      </c>
      <c r="BB625" s="37">
        <v>0</v>
      </c>
      <c r="BC625" s="37">
        <v>0</v>
      </c>
      <c r="BD625" s="37">
        <v>525402</v>
      </c>
      <c r="BE625" s="37">
        <v>2888259</v>
      </c>
      <c r="BF625" s="37">
        <v>175882.4759284367</v>
      </c>
      <c r="BG625" s="37">
        <v>189579.11145936744</v>
      </c>
      <c r="BH625" s="37">
        <v>233380.27682406787</v>
      </c>
      <c r="BI625" s="37">
        <v>277181.53578812815</v>
      </c>
      <c r="BJ625" s="37">
        <v>30104.52983376964</v>
      </c>
      <c r="BK625" s="37">
        <v>145777.9460946669</v>
      </c>
      <c r="BL625" s="37">
        <v>189579.11145936744</v>
      </c>
      <c r="BM625" s="37">
        <v>233380.27682406787</v>
      </c>
      <c r="BN625" s="37">
        <v>277181.53578812815</v>
      </c>
      <c r="BO625" s="37">
        <v>0</v>
      </c>
      <c r="BP625" s="37">
        <v>1752046.8</v>
      </c>
      <c r="BQ625" s="37">
        <v>1444129</v>
      </c>
      <c r="BR625" s="37">
        <v>0</v>
      </c>
      <c r="BS625" s="37">
        <v>0</v>
      </c>
      <c r="BT625" s="37">
        <v>0</v>
      </c>
      <c r="BU625" s="37">
        <v>0</v>
      </c>
      <c r="BV625" s="37">
        <v>0</v>
      </c>
      <c r="BW625" s="37">
        <v>0</v>
      </c>
      <c r="BX625" s="37">
        <v>0</v>
      </c>
      <c r="BY625" s="37">
        <v>0</v>
      </c>
      <c r="BZ625" s="37">
        <v>0</v>
      </c>
      <c r="CA625" s="37">
        <v>0</v>
      </c>
      <c r="CB625" s="37">
        <v>0</v>
      </c>
      <c r="CC625" s="37">
        <v>0</v>
      </c>
      <c r="CD625" s="37">
        <v>0</v>
      </c>
      <c r="CE625" s="37">
        <v>0</v>
      </c>
      <c r="CF625" s="37">
        <v>0</v>
      </c>
      <c r="CG625" s="37">
        <v>0</v>
      </c>
      <c r="CH625" s="37">
        <v>0</v>
      </c>
      <c r="CI625" s="37">
        <v>0</v>
      </c>
      <c r="CJ625" s="37">
        <v>0</v>
      </c>
      <c r="CK625" s="37">
        <v>0</v>
      </c>
      <c r="CL625" s="37">
        <v>0</v>
      </c>
      <c r="CM625" s="37">
        <v>0</v>
      </c>
      <c r="CN625" s="37">
        <v>0</v>
      </c>
      <c r="CO625" s="37">
        <v>0</v>
      </c>
      <c r="CP625" s="37">
        <v>0</v>
      </c>
      <c r="CQ625" s="37">
        <v>0</v>
      </c>
      <c r="CR625" s="37">
        <v>0</v>
      </c>
      <c r="CS625" s="37">
        <v>0</v>
      </c>
      <c r="CT625" s="37">
        <v>0</v>
      </c>
      <c r="CU625" s="37">
        <v>0</v>
      </c>
      <c r="CV625" s="37">
        <v>0</v>
      </c>
      <c r="CW625" s="37">
        <v>0</v>
      </c>
      <c r="CX625" s="37">
        <v>0</v>
      </c>
      <c r="CY625" s="37">
        <v>0</v>
      </c>
      <c r="CZ625" s="37">
        <v>0</v>
      </c>
      <c r="DA625" s="37">
        <v>0</v>
      </c>
      <c r="DB625" s="37">
        <v>0</v>
      </c>
      <c r="DC625" s="37">
        <v>0</v>
      </c>
      <c r="DD625" s="37">
        <v>0</v>
      </c>
      <c r="DE625" s="37">
        <v>0</v>
      </c>
      <c r="DF625" s="37">
        <v>0</v>
      </c>
      <c r="DG625" s="37">
        <v>0</v>
      </c>
      <c r="DH625" s="37">
        <v>0</v>
      </c>
      <c r="DI625" s="37">
        <v>0</v>
      </c>
      <c r="DJ625" s="37">
        <v>0</v>
      </c>
      <c r="DK625" s="37">
        <v>0</v>
      </c>
      <c r="DL625" s="37">
        <v>0</v>
      </c>
      <c r="DM625" s="37">
        <v>0</v>
      </c>
      <c r="DN625" s="37">
        <v>0</v>
      </c>
      <c r="DO625" s="37">
        <v>0</v>
      </c>
      <c r="DP625" s="37">
        <v>0</v>
      </c>
      <c r="DQ625" s="37">
        <v>0</v>
      </c>
      <c r="DR625" s="37">
        <v>0</v>
      </c>
      <c r="DS625" s="37">
        <v>0</v>
      </c>
      <c r="DT625" s="37">
        <v>0</v>
      </c>
      <c r="DU625" s="37">
        <v>0</v>
      </c>
      <c r="DV625" s="37">
        <v>0</v>
      </c>
      <c r="DW625" s="37">
        <v>0</v>
      </c>
      <c r="DX625" s="37">
        <v>0</v>
      </c>
      <c r="DY625" s="37">
        <v>0</v>
      </c>
      <c r="DZ625" s="37">
        <v>0</v>
      </c>
      <c r="EA625" s="37">
        <v>0</v>
      </c>
      <c r="EB625" s="37">
        <v>0</v>
      </c>
      <c r="EC625" s="37">
        <v>0</v>
      </c>
      <c r="ED625" s="37">
        <v>0</v>
      </c>
      <c r="EE625" s="37">
        <v>0</v>
      </c>
      <c r="EF625" s="37">
        <v>0</v>
      </c>
      <c r="EG625" s="37">
        <v>0</v>
      </c>
      <c r="EH625" s="37">
        <v>0</v>
      </c>
      <c r="EI625" s="37">
        <v>0</v>
      </c>
      <c r="EJ625" s="37">
        <v>0</v>
      </c>
      <c r="EK625" s="161" t="s">
        <v>2720</v>
      </c>
      <c r="EL625" s="294" t="s">
        <v>1124</v>
      </c>
    </row>
    <row r="626" spans="1:142" ht="15" customHeight="1" x14ac:dyDescent="0.35">
      <c r="A626" s="34"/>
      <c r="B626" s="313">
        <v>67035</v>
      </c>
      <c r="C626" s="8" t="s">
        <v>668</v>
      </c>
      <c r="D626" s="18">
        <v>16</v>
      </c>
      <c r="E626" s="155"/>
      <c r="F626" s="36"/>
      <c r="G626" s="37"/>
      <c r="H626" s="37"/>
      <c r="I626" s="37"/>
      <c r="J626" s="37"/>
      <c r="K626" s="37"/>
      <c r="L626" s="37"/>
      <c r="M626" s="37" t="s">
        <v>1124</v>
      </c>
      <c r="N626" s="37" t="s">
        <v>1124</v>
      </c>
      <c r="O626" s="37"/>
      <c r="P626" s="37"/>
      <c r="Q626" s="37"/>
      <c r="R626" s="37"/>
      <c r="S626" s="37"/>
      <c r="T626" s="37"/>
      <c r="U626" s="37"/>
      <c r="V626" s="37"/>
      <c r="W626" s="37"/>
      <c r="X626" s="37"/>
      <c r="Y626" s="37"/>
      <c r="Z626" s="37"/>
      <c r="AA626" s="37" t="s">
        <v>1124</v>
      </c>
      <c r="AB626" s="37" t="s">
        <v>1124</v>
      </c>
      <c r="AC626" s="37"/>
      <c r="AD626" s="37"/>
      <c r="AE626" s="37"/>
      <c r="AF626" s="168"/>
      <c r="AG626" s="37"/>
      <c r="AH626" s="37"/>
      <c r="AI626" s="37"/>
      <c r="AJ626" s="37"/>
      <c r="AK626" s="37"/>
      <c r="AL626" s="37"/>
      <c r="AM626" s="37"/>
      <c r="AN626" s="37"/>
      <c r="AO626" s="37"/>
      <c r="AP626" s="37"/>
      <c r="AQ626" s="37"/>
      <c r="AR626" s="37" t="s">
        <v>1124</v>
      </c>
      <c r="AS626" s="37"/>
      <c r="AT626" s="37"/>
      <c r="AU626" s="37"/>
      <c r="AV626" s="37"/>
      <c r="AW626" s="37"/>
      <c r="AX626" s="37"/>
      <c r="AY626" s="37"/>
      <c r="AZ626" s="37"/>
      <c r="BA626" s="37"/>
      <c r="BB626" s="37"/>
      <c r="BC626" s="37"/>
      <c r="BD626" s="37" t="s">
        <v>1124</v>
      </c>
      <c r="BE626" s="37"/>
      <c r="BF626" s="37"/>
      <c r="BG626" s="37"/>
      <c r="BH626" s="37"/>
      <c r="BI626" s="37"/>
      <c r="BJ626" s="37"/>
      <c r="BK626" s="37"/>
      <c r="BL626" s="37"/>
      <c r="BM626" s="37"/>
      <c r="BN626" s="37"/>
      <c r="BO626" s="37"/>
      <c r="BP626" s="37">
        <v>0</v>
      </c>
      <c r="BQ626" s="37"/>
      <c r="BR626" s="37"/>
      <c r="BS626" s="37"/>
      <c r="BT626" s="37"/>
      <c r="BU626" s="37"/>
      <c r="BV626" s="37"/>
      <c r="BW626" s="37"/>
      <c r="BX626" s="37"/>
      <c r="BY626" s="37"/>
      <c r="BZ626" s="37"/>
      <c r="CA626" s="37"/>
      <c r="CB626" s="37" t="s">
        <v>1124</v>
      </c>
      <c r="CC626" s="37"/>
      <c r="CD626" s="37"/>
      <c r="CE626" s="37"/>
      <c r="CF626" s="37"/>
      <c r="CG626" s="37"/>
      <c r="CH626" s="37"/>
      <c r="CI626" s="37"/>
      <c r="CJ626" s="37"/>
      <c r="CK626" s="37"/>
      <c r="CL626" s="37"/>
      <c r="CM626" s="37"/>
      <c r="CN626" s="37" t="s">
        <v>1124</v>
      </c>
      <c r="CO626" s="37"/>
      <c r="CP626" s="37"/>
      <c r="CQ626" s="37"/>
      <c r="CR626" s="37"/>
      <c r="CS626" s="37"/>
      <c r="CT626" s="37"/>
      <c r="CU626" s="37"/>
      <c r="CV626" s="37"/>
      <c r="CW626" s="37"/>
      <c r="CX626" s="37"/>
      <c r="CY626" s="37"/>
      <c r="CZ626" s="37" t="s">
        <v>1124</v>
      </c>
      <c r="DA626" s="37"/>
      <c r="DB626" s="37"/>
      <c r="DC626" s="37"/>
      <c r="DD626" s="37"/>
      <c r="DE626" s="37"/>
      <c r="DF626" s="37"/>
      <c r="DG626" s="37"/>
      <c r="DH626" s="37"/>
      <c r="DI626" s="37"/>
      <c r="DJ626" s="37"/>
      <c r="DK626" s="37"/>
      <c r="DL626" s="37" t="s">
        <v>1124</v>
      </c>
      <c r="DM626" s="37"/>
      <c r="DN626" s="37"/>
      <c r="DO626" s="37"/>
      <c r="DP626" s="37"/>
      <c r="DQ626" s="37"/>
      <c r="DR626" s="37"/>
      <c r="DS626" s="37"/>
      <c r="DT626" s="37"/>
      <c r="DU626" s="37"/>
      <c r="DV626" s="37"/>
      <c r="DW626" s="37"/>
      <c r="DX626" s="37" t="s">
        <v>1124</v>
      </c>
      <c r="DY626" s="37"/>
      <c r="DZ626" s="37"/>
      <c r="EA626" s="37"/>
      <c r="EB626" s="37"/>
      <c r="EC626" s="37"/>
      <c r="ED626" s="37"/>
      <c r="EE626" s="37"/>
      <c r="EF626" s="37"/>
      <c r="EG626" s="37"/>
      <c r="EH626" s="37"/>
      <c r="EI626" s="37"/>
      <c r="EJ626" s="37" t="s">
        <v>1124</v>
      </c>
      <c r="EK626" s="161"/>
      <c r="EL626" s="294"/>
    </row>
    <row r="627" spans="1:142" ht="15" customHeight="1" x14ac:dyDescent="0.35">
      <c r="A627" s="34"/>
      <c r="B627" s="313">
        <v>52062</v>
      </c>
      <c r="C627" s="8" t="s">
        <v>523</v>
      </c>
      <c r="D627" s="18">
        <v>14</v>
      </c>
      <c r="E627" s="155"/>
      <c r="F627" s="36"/>
      <c r="G627" s="37"/>
      <c r="H627" s="37"/>
      <c r="I627" s="37"/>
      <c r="J627" s="37"/>
      <c r="K627" s="37"/>
      <c r="L627" s="37"/>
      <c r="M627" s="37" t="s">
        <v>1124</v>
      </c>
      <c r="N627" s="37" t="s">
        <v>1124</v>
      </c>
      <c r="O627" s="37"/>
      <c r="P627" s="37"/>
      <c r="Q627" s="37"/>
      <c r="R627" s="37"/>
      <c r="S627" s="37"/>
      <c r="T627" s="37"/>
      <c r="U627" s="37"/>
      <c r="V627" s="37"/>
      <c r="W627" s="37"/>
      <c r="X627" s="37"/>
      <c r="Y627" s="37"/>
      <c r="Z627" s="37"/>
      <c r="AA627" s="37" t="s">
        <v>1124</v>
      </c>
      <c r="AB627" s="37" t="s">
        <v>1124</v>
      </c>
      <c r="AC627" s="37"/>
      <c r="AD627" s="37"/>
      <c r="AE627" s="37"/>
      <c r="AF627" s="168"/>
      <c r="AG627" s="37"/>
      <c r="AH627" s="37"/>
      <c r="AI627" s="37"/>
      <c r="AJ627" s="37"/>
      <c r="AK627" s="37"/>
      <c r="AL627" s="37"/>
      <c r="AM627" s="37"/>
      <c r="AN627" s="37"/>
      <c r="AO627" s="37"/>
      <c r="AP627" s="37"/>
      <c r="AQ627" s="37"/>
      <c r="AR627" s="37" t="s">
        <v>1124</v>
      </c>
      <c r="AS627" s="37"/>
      <c r="AT627" s="37"/>
      <c r="AU627" s="37"/>
      <c r="AV627" s="37"/>
      <c r="AW627" s="37"/>
      <c r="AX627" s="37"/>
      <c r="AY627" s="37"/>
      <c r="AZ627" s="37"/>
      <c r="BA627" s="37"/>
      <c r="BB627" s="37"/>
      <c r="BC627" s="37"/>
      <c r="BD627" s="37" t="s">
        <v>1124</v>
      </c>
      <c r="BE627" s="37"/>
      <c r="BF627" s="37"/>
      <c r="BG627" s="37"/>
      <c r="BH627" s="37"/>
      <c r="BI627" s="37"/>
      <c r="BJ627" s="37"/>
      <c r="BK627" s="37"/>
      <c r="BL627" s="37"/>
      <c r="BM627" s="37"/>
      <c r="BN627" s="37"/>
      <c r="BO627" s="37"/>
      <c r="BP627" s="37">
        <v>0</v>
      </c>
      <c r="BQ627" s="37"/>
      <c r="BR627" s="37"/>
      <c r="BS627" s="37"/>
      <c r="BT627" s="37"/>
      <c r="BU627" s="37"/>
      <c r="BV627" s="37"/>
      <c r="BW627" s="37"/>
      <c r="BX627" s="37"/>
      <c r="BY627" s="37"/>
      <c r="BZ627" s="37"/>
      <c r="CA627" s="37"/>
      <c r="CB627" s="37" t="s">
        <v>1124</v>
      </c>
      <c r="CC627" s="37"/>
      <c r="CD627" s="37"/>
      <c r="CE627" s="37"/>
      <c r="CF627" s="37"/>
      <c r="CG627" s="37"/>
      <c r="CH627" s="37"/>
      <c r="CI627" s="37"/>
      <c r="CJ627" s="37"/>
      <c r="CK627" s="37"/>
      <c r="CL627" s="37"/>
      <c r="CM627" s="37"/>
      <c r="CN627" s="37" t="s">
        <v>1124</v>
      </c>
      <c r="CO627" s="37"/>
      <c r="CP627" s="37"/>
      <c r="CQ627" s="37"/>
      <c r="CR627" s="37"/>
      <c r="CS627" s="37"/>
      <c r="CT627" s="37"/>
      <c r="CU627" s="37"/>
      <c r="CV627" s="37"/>
      <c r="CW627" s="37"/>
      <c r="CX627" s="37"/>
      <c r="CY627" s="37"/>
      <c r="CZ627" s="37" t="s">
        <v>1124</v>
      </c>
      <c r="DA627" s="37"/>
      <c r="DB627" s="37"/>
      <c r="DC627" s="37"/>
      <c r="DD627" s="37"/>
      <c r="DE627" s="37"/>
      <c r="DF627" s="37"/>
      <c r="DG627" s="37"/>
      <c r="DH627" s="37"/>
      <c r="DI627" s="37"/>
      <c r="DJ627" s="37"/>
      <c r="DK627" s="37"/>
      <c r="DL627" s="37" t="s">
        <v>1124</v>
      </c>
      <c r="DM627" s="37"/>
      <c r="DN627" s="37"/>
      <c r="DO627" s="37"/>
      <c r="DP627" s="37"/>
      <c r="DQ627" s="37"/>
      <c r="DR627" s="37"/>
      <c r="DS627" s="37"/>
      <c r="DT627" s="37"/>
      <c r="DU627" s="37"/>
      <c r="DV627" s="37"/>
      <c r="DW627" s="37"/>
      <c r="DX627" s="37" t="s">
        <v>1124</v>
      </c>
      <c r="DY627" s="37"/>
      <c r="DZ627" s="37"/>
      <c r="EA627" s="37"/>
      <c r="EB627" s="37"/>
      <c r="EC627" s="37"/>
      <c r="ED627" s="37"/>
      <c r="EE627" s="37"/>
      <c r="EF627" s="37"/>
      <c r="EG627" s="37"/>
      <c r="EH627" s="37"/>
      <c r="EI627" s="37"/>
      <c r="EJ627" s="37" t="s">
        <v>1124</v>
      </c>
      <c r="EK627" s="161"/>
      <c r="EL627" s="294"/>
    </row>
    <row r="628" spans="1:142" ht="15" customHeight="1" x14ac:dyDescent="0.35">
      <c r="A628" s="34"/>
      <c r="B628" s="313">
        <v>12005</v>
      </c>
      <c r="C628" s="8" t="s">
        <v>28</v>
      </c>
      <c r="D628" s="18">
        <v>1</v>
      </c>
      <c r="E628" s="155">
        <v>72970</v>
      </c>
      <c r="F628" s="36">
        <v>41473</v>
      </c>
      <c r="G628" s="37">
        <v>29373</v>
      </c>
      <c r="H628" s="37">
        <v>1738</v>
      </c>
      <c r="I628" s="37">
        <v>47954.84</v>
      </c>
      <c r="J628" s="37">
        <v>14111.68</v>
      </c>
      <c r="K628" s="37">
        <v>10945.5</v>
      </c>
      <c r="L628" s="37">
        <v>6220.95</v>
      </c>
      <c r="M628" s="37">
        <v>161243.34</v>
      </c>
      <c r="N628" s="37">
        <v>63543.630000000005</v>
      </c>
      <c r="O628" s="37">
        <v>7096</v>
      </c>
      <c r="P628" s="37">
        <v>0</v>
      </c>
      <c r="Q628" s="37">
        <v>109964.77</v>
      </c>
      <c r="R628" s="37">
        <v>63653.38</v>
      </c>
      <c r="S628" s="37">
        <v>0</v>
      </c>
      <c r="T628" s="37">
        <v>0</v>
      </c>
      <c r="U628" s="37">
        <v>18588</v>
      </c>
      <c r="V628" s="37">
        <v>0</v>
      </c>
      <c r="W628" s="37">
        <v>12743</v>
      </c>
      <c r="X628" s="37">
        <v>12742</v>
      </c>
      <c r="Y628" s="37">
        <v>0</v>
      </c>
      <c r="Z628" s="37">
        <v>0</v>
      </c>
      <c r="AA628" s="37">
        <v>148391.77000000002</v>
      </c>
      <c r="AB628" s="37">
        <v>76395.38</v>
      </c>
      <c r="AC628" s="37">
        <v>0.18000000002211891</v>
      </c>
      <c r="AD628" s="37">
        <v>0</v>
      </c>
      <c r="AE628" s="37">
        <v>15000</v>
      </c>
      <c r="AF628" s="168">
        <v>0.02</v>
      </c>
      <c r="AG628" s="37">
        <v>17989316.5</v>
      </c>
      <c r="AH628" s="37">
        <v>146432.07999999999</v>
      </c>
      <c r="AI628" s="37">
        <v>149360.72</v>
      </c>
      <c r="AJ628" s="37">
        <v>152347.93</v>
      </c>
      <c r="AK628" s="37">
        <v>155394.89000000001</v>
      </c>
      <c r="AL628" s="37">
        <v>158502.79</v>
      </c>
      <c r="AM628" s="37">
        <v>1310358.51</v>
      </c>
      <c r="AN628" s="37">
        <v>164906.29999999999</v>
      </c>
      <c r="AO628" s="37">
        <v>168204.43</v>
      </c>
      <c r="AP628" s="37">
        <v>171568.51</v>
      </c>
      <c r="AQ628" s="37">
        <v>174999.88</v>
      </c>
      <c r="AR628" s="37">
        <v>2752076.0400000005</v>
      </c>
      <c r="AS628" s="37">
        <v>181575.81</v>
      </c>
      <c r="AT628" s="37">
        <v>0</v>
      </c>
      <c r="AU628" s="37">
        <v>0</v>
      </c>
      <c r="AV628" s="37">
        <v>0</v>
      </c>
      <c r="AW628" s="37">
        <v>0</v>
      </c>
      <c r="AX628" s="37">
        <v>0</v>
      </c>
      <c r="AY628" s="37">
        <v>0</v>
      </c>
      <c r="AZ628" s="37">
        <v>0</v>
      </c>
      <c r="BA628" s="37">
        <v>0</v>
      </c>
      <c r="BB628" s="37">
        <v>0</v>
      </c>
      <c r="BC628" s="37">
        <v>0</v>
      </c>
      <c r="BD628" s="37">
        <v>0</v>
      </c>
      <c r="BE628" s="37">
        <v>143225</v>
      </c>
      <c r="BF628" s="37">
        <v>129826.49963293764</v>
      </c>
      <c r="BG628" s="37">
        <v>139936.58159728505</v>
      </c>
      <c r="BH628" s="37">
        <v>172268.12542576902</v>
      </c>
      <c r="BI628" s="37">
        <v>204599.73834400845</v>
      </c>
      <c r="BJ628" s="37">
        <v>22221.461864136454</v>
      </c>
      <c r="BK628" s="37">
        <v>107605.03776880108</v>
      </c>
      <c r="BL628" s="37">
        <v>139936.58159728505</v>
      </c>
      <c r="BM628" s="37">
        <v>172268.12542576902</v>
      </c>
      <c r="BN628" s="37">
        <v>204599.73834400845</v>
      </c>
      <c r="BO628" s="37">
        <v>0</v>
      </c>
      <c r="BP628" s="37">
        <v>1293261.8900000001</v>
      </c>
      <c r="BQ628" s="37">
        <v>0</v>
      </c>
      <c r="BR628" s="37">
        <v>0</v>
      </c>
      <c r="BS628" s="37">
        <v>0</v>
      </c>
      <c r="BT628" s="37">
        <v>0</v>
      </c>
      <c r="BU628" s="37">
        <v>0</v>
      </c>
      <c r="BV628" s="37">
        <v>0</v>
      </c>
      <c r="BW628" s="37">
        <v>0</v>
      </c>
      <c r="BX628" s="37">
        <v>0</v>
      </c>
      <c r="BY628" s="37">
        <v>0</v>
      </c>
      <c r="BZ628" s="37">
        <v>0</v>
      </c>
      <c r="CA628" s="37">
        <v>0</v>
      </c>
      <c r="CB628" s="37">
        <v>0</v>
      </c>
      <c r="CC628" s="37">
        <v>0</v>
      </c>
      <c r="CD628" s="37">
        <v>5340.5809247748603</v>
      </c>
      <c r="CE628" s="37">
        <v>5756.4722184580614</v>
      </c>
      <c r="CF628" s="37">
        <v>7086.4720777095754</v>
      </c>
      <c r="CG628" s="37">
        <v>8416.4747790575111</v>
      </c>
      <c r="CH628" s="37">
        <v>914.10856556830845</v>
      </c>
      <c r="CI628" s="37">
        <v>4426.4723592065466</v>
      </c>
      <c r="CJ628" s="37">
        <v>5756.4722184580614</v>
      </c>
      <c r="CK628" s="37">
        <v>7086.4720777095754</v>
      </c>
      <c r="CL628" s="37">
        <v>8416.4747790575111</v>
      </c>
      <c r="CM628" s="37">
        <v>0</v>
      </c>
      <c r="CN628" s="37">
        <v>53200.000000000007</v>
      </c>
      <c r="CO628" s="37">
        <v>0</v>
      </c>
      <c r="CP628" s="37">
        <v>0</v>
      </c>
      <c r="CQ628" s="37">
        <v>0</v>
      </c>
      <c r="CR628" s="37">
        <v>0</v>
      </c>
      <c r="CS628" s="37">
        <v>0</v>
      </c>
      <c r="CT628" s="37">
        <v>0</v>
      </c>
      <c r="CU628" s="37">
        <v>0</v>
      </c>
      <c r="CV628" s="37">
        <v>0</v>
      </c>
      <c r="CW628" s="37">
        <v>0</v>
      </c>
      <c r="CX628" s="37">
        <v>0</v>
      </c>
      <c r="CY628" s="37">
        <v>0</v>
      </c>
      <c r="CZ628" s="37">
        <v>0</v>
      </c>
      <c r="DA628" s="37">
        <v>0</v>
      </c>
      <c r="DB628" s="37">
        <v>0</v>
      </c>
      <c r="DC628" s="37">
        <v>0</v>
      </c>
      <c r="DD628" s="37">
        <v>0</v>
      </c>
      <c r="DE628" s="37">
        <v>0</v>
      </c>
      <c r="DF628" s="37">
        <v>0</v>
      </c>
      <c r="DG628" s="37">
        <v>0</v>
      </c>
      <c r="DH628" s="37">
        <v>0</v>
      </c>
      <c r="DI628" s="37">
        <v>0</v>
      </c>
      <c r="DJ628" s="37">
        <v>0</v>
      </c>
      <c r="DK628" s="37">
        <v>0</v>
      </c>
      <c r="DL628" s="37">
        <v>0</v>
      </c>
      <c r="DM628" s="37">
        <v>0</v>
      </c>
      <c r="DN628" s="37">
        <v>0</v>
      </c>
      <c r="DO628" s="37">
        <v>0</v>
      </c>
      <c r="DP628" s="37">
        <v>0</v>
      </c>
      <c r="DQ628" s="37">
        <v>0</v>
      </c>
      <c r="DR628" s="37">
        <v>0</v>
      </c>
      <c r="DS628" s="37">
        <v>0</v>
      </c>
      <c r="DT628" s="37">
        <v>0</v>
      </c>
      <c r="DU628" s="37">
        <v>0</v>
      </c>
      <c r="DV628" s="37">
        <v>0</v>
      </c>
      <c r="DW628" s="37">
        <v>0</v>
      </c>
      <c r="DX628" s="37">
        <v>0</v>
      </c>
      <c r="DY628" s="37">
        <v>0</v>
      </c>
      <c r="DZ628" s="37">
        <v>0</v>
      </c>
      <c r="EA628" s="37">
        <v>0</v>
      </c>
      <c r="EB628" s="37">
        <v>0</v>
      </c>
      <c r="EC628" s="37">
        <v>0</v>
      </c>
      <c r="ED628" s="37">
        <v>0</v>
      </c>
      <c r="EE628" s="37">
        <v>0</v>
      </c>
      <c r="EF628" s="37">
        <v>0</v>
      </c>
      <c r="EG628" s="37">
        <v>0</v>
      </c>
      <c r="EH628" s="37">
        <v>0</v>
      </c>
      <c r="EI628" s="37">
        <v>0</v>
      </c>
      <c r="EJ628" s="37">
        <v>0</v>
      </c>
      <c r="EK628" s="161" t="s">
        <v>2723</v>
      </c>
      <c r="EL628" s="294" t="s">
        <v>1124</v>
      </c>
    </row>
    <row r="629" spans="1:142" ht="15" customHeight="1" x14ac:dyDescent="0.35">
      <c r="A629" s="34"/>
      <c r="B629" s="313">
        <v>28040</v>
      </c>
      <c r="C629" s="8" t="s">
        <v>194</v>
      </c>
      <c r="D629" s="18">
        <v>12</v>
      </c>
      <c r="E629" s="155"/>
      <c r="F629" s="36"/>
      <c r="G629" s="37"/>
      <c r="H629" s="37"/>
      <c r="I629" s="37"/>
      <c r="J629" s="37"/>
      <c r="K629" s="37"/>
      <c r="L629" s="37"/>
      <c r="M629" s="37" t="s">
        <v>1124</v>
      </c>
      <c r="N629" s="37" t="s">
        <v>1124</v>
      </c>
      <c r="O629" s="37"/>
      <c r="P629" s="37"/>
      <c r="Q629" s="37"/>
      <c r="R629" s="37"/>
      <c r="S629" s="37"/>
      <c r="T629" s="37"/>
      <c r="U629" s="37"/>
      <c r="V629" s="37"/>
      <c r="W629" s="37"/>
      <c r="X629" s="37"/>
      <c r="Y629" s="37"/>
      <c r="Z629" s="37"/>
      <c r="AA629" s="37" t="s">
        <v>1124</v>
      </c>
      <c r="AB629" s="37" t="s">
        <v>1124</v>
      </c>
      <c r="AC629" s="37"/>
      <c r="AD629" s="37"/>
      <c r="AE629" s="37"/>
      <c r="AF629" s="168"/>
      <c r="AG629" s="37"/>
      <c r="AH629" s="37"/>
      <c r="AI629" s="37"/>
      <c r="AJ629" s="37"/>
      <c r="AK629" s="37"/>
      <c r="AL629" s="37"/>
      <c r="AM629" s="37"/>
      <c r="AN629" s="37"/>
      <c r="AO629" s="37"/>
      <c r="AP629" s="37"/>
      <c r="AQ629" s="37"/>
      <c r="AR629" s="37" t="s">
        <v>1124</v>
      </c>
      <c r="AS629" s="37"/>
      <c r="AT629" s="37"/>
      <c r="AU629" s="37"/>
      <c r="AV629" s="37"/>
      <c r="AW629" s="37"/>
      <c r="AX629" s="37"/>
      <c r="AY629" s="37"/>
      <c r="AZ629" s="37"/>
      <c r="BA629" s="37"/>
      <c r="BB629" s="37"/>
      <c r="BC629" s="37"/>
      <c r="BD629" s="37" t="s">
        <v>1124</v>
      </c>
      <c r="BE629" s="37"/>
      <c r="BF629" s="37"/>
      <c r="BG629" s="37"/>
      <c r="BH629" s="37"/>
      <c r="BI629" s="37"/>
      <c r="BJ629" s="37"/>
      <c r="BK629" s="37"/>
      <c r="BL629" s="37"/>
      <c r="BM629" s="37"/>
      <c r="BN629" s="37"/>
      <c r="BO629" s="37"/>
      <c r="BP629" s="37">
        <v>0</v>
      </c>
      <c r="BQ629" s="37"/>
      <c r="BR629" s="37"/>
      <c r="BS629" s="37"/>
      <c r="BT629" s="37"/>
      <c r="BU629" s="37"/>
      <c r="BV629" s="37"/>
      <c r="BW629" s="37"/>
      <c r="BX629" s="37"/>
      <c r="BY629" s="37"/>
      <c r="BZ629" s="37"/>
      <c r="CA629" s="37"/>
      <c r="CB629" s="37" t="s">
        <v>1124</v>
      </c>
      <c r="CC629" s="37"/>
      <c r="CD629" s="37"/>
      <c r="CE629" s="37"/>
      <c r="CF629" s="37"/>
      <c r="CG629" s="37"/>
      <c r="CH629" s="37"/>
      <c r="CI629" s="37"/>
      <c r="CJ629" s="37"/>
      <c r="CK629" s="37"/>
      <c r="CL629" s="37"/>
      <c r="CM629" s="37"/>
      <c r="CN629" s="37" t="s">
        <v>1124</v>
      </c>
      <c r="CO629" s="37"/>
      <c r="CP629" s="37"/>
      <c r="CQ629" s="37"/>
      <c r="CR629" s="37"/>
      <c r="CS629" s="37"/>
      <c r="CT629" s="37"/>
      <c r="CU629" s="37"/>
      <c r="CV629" s="37"/>
      <c r="CW629" s="37"/>
      <c r="CX629" s="37"/>
      <c r="CY629" s="37"/>
      <c r="CZ629" s="37" t="s">
        <v>1124</v>
      </c>
      <c r="DA629" s="37"/>
      <c r="DB629" s="37"/>
      <c r="DC629" s="37"/>
      <c r="DD629" s="37"/>
      <c r="DE629" s="37"/>
      <c r="DF629" s="37"/>
      <c r="DG629" s="37"/>
      <c r="DH629" s="37"/>
      <c r="DI629" s="37"/>
      <c r="DJ629" s="37"/>
      <c r="DK629" s="37"/>
      <c r="DL629" s="37" t="s">
        <v>1124</v>
      </c>
      <c r="DM629" s="37"/>
      <c r="DN629" s="37"/>
      <c r="DO629" s="37"/>
      <c r="DP629" s="37"/>
      <c r="DQ629" s="37"/>
      <c r="DR629" s="37"/>
      <c r="DS629" s="37"/>
      <c r="DT629" s="37"/>
      <c r="DU629" s="37"/>
      <c r="DV629" s="37"/>
      <c r="DW629" s="37"/>
      <c r="DX629" s="37" t="s">
        <v>1124</v>
      </c>
      <c r="DY629" s="37"/>
      <c r="DZ629" s="37"/>
      <c r="EA629" s="37"/>
      <c r="EB629" s="37"/>
      <c r="EC629" s="37"/>
      <c r="ED629" s="37"/>
      <c r="EE629" s="37"/>
      <c r="EF629" s="37"/>
      <c r="EG629" s="37"/>
      <c r="EH629" s="37"/>
      <c r="EI629" s="37"/>
      <c r="EJ629" s="37" t="s">
        <v>1124</v>
      </c>
      <c r="EK629" s="161"/>
      <c r="EL629" s="294"/>
    </row>
    <row r="630" spans="1:142" ht="15" customHeight="1" x14ac:dyDescent="0.35">
      <c r="A630" s="34"/>
      <c r="B630" s="313">
        <v>68035</v>
      </c>
      <c r="C630" s="8" t="s">
        <v>679</v>
      </c>
      <c r="D630" s="18">
        <v>16</v>
      </c>
      <c r="E630" s="155">
        <v>43480</v>
      </c>
      <c r="F630" s="36">
        <v>74510</v>
      </c>
      <c r="G630" s="37">
        <v>9550</v>
      </c>
      <c r="H630" s="37">
        <v>3308</v>
      </c>
      <c r="I630" s="37">
        <v>9400</v>
      </c>
      <c r="J630" s="37">
        <v>58700</v>
      </c>
      <c r="K630" s="37">
        <v>25000</v>
      </c>
      <c r="L630" s="37">
        <v>25000</v>
      </c>
      <c r="M630" s="37">
        <v>87430</v>
      </c>
      <c r="N630" s="37">
        <v>161518</v>
      </c>
      <c r="O630" s="37">
        <v>0</v>
      </c>
      <c r="P630" s="37">
        <v>0</v>
      </c>
      <c r="Q630" s="37">
        <v>51670</v>
      </c>
      <c r="R630" s="37">
        <v>77606</v>
      </c>
      <c r="S630" s="37">
        <v>0</v>
      </c>
      <c r="T630" s="37">
        <v>0</v>
      </c>
      <c r="U630" s="37">
        <v>0</v>
      </c>
      <c r="V630" s="37">
        <v>0</v>
      </c>
      <c r="W630" s="37">
        <v>45260</v>
      </c>
      <c r="X630" s="37">
        <v>74912</v>
      </c>
      <c r="Y630" s="37">
        <v>5000</v>
      </c>
      <c r="Z630" s="37">
        <v>9000</v>
      </c>
      <c r="AA630" s="37">
        <v>101930</v>
      </c>
      <c r="AB630" s="37">
        <v>161518</v>
      </c>
      <c r="AC630" s="37">
        <v>14500</v>
      </c>
      <c r="AD630" s="37">
        <v>14500</v>
      </c>
      <c r="AE630" s="37">
        <v>90426</v>
      </c>
      <c r="AF630" s="168">
        <v>0.02</v>
      </c>
      <c r="AG630" s="37">
        <v>9565597.3200000003</v>
      </c>
      <c r="AH630" s="37">
        <v>203589.63</v>
      </c>
      <c r="AI630" s="37">
        <v>207661.43</v>
      </c>
      <c r="AJ630" s="37">
        <v>211814.65</v>
      </c>
      <c r="AK630" s="37">
        <v>216050.95</v>
      </c>
      <c r="AL630" s="37">
        <v>220371.97</v>
      </c>
      <c r="AM630" s="37">
        <v>224779.41</v>
      </c>
      <c r="AN630" s="37">
        <v>229274.99</v>
      </c>
      <c r="AO630" s="37">
        <v>233860.49</v>
      </c>
      <c r="AP630" s="37">
        <v>238537.7</v>
      </c>
      <c r="AQ630" s="37">
        <v>243308.46</v>
      </c>
      <c r="AR630" s="37">
        <v>2229249.6799999997</v>
      </c>
      <c r="AS630" s="37">
        <v>653371.19999999995</v>
      </c>
      <c r="AT630" s="37">
        <v>10404</v>
      </c>
      <c r="AU630" s="37">
        <v>1414944</v>
      </c>
      <c r="AV630" s="37">
        <v>1443242.88</v>
      </c>
      <c r="AW630" s="37">
        <v>1472107.74</v>
      </c>
      <c r="AX630" s="37">
        <v>0</v>
      </c>
      <c r="AY630" s="37">
        <v>895974.82</v>
      </c>
      <c r="AZ630" s="37">
        <v>328064.63</v>
      </c>
      <c r="BA630" s="37">
        <v>334625.91999999998</v>
      </c>
      <c r="BB630" s="37">
        <v>0</v>
      </c>
      <c r="BC630" s="37">
        <v>0</v>
      </c>
      <c r="BD630" s="37">
        <v>5899363.9900000002</v>
      </c>
      <c r="BE630" s="37">
        <v>69421</v>
      </c>
      <c r="BF630" s="37">
        <v>37174</v>
      </c>
      <c r="BG630" s="37">
        <v>257366</v>
      </c>
      <c r="BH630" s="37">
        <v>0</v>
      </c>
      <c r="BI630" s="37">
        <v>0</v>
      </c>
      <c r="BJ630" s="37">
        <v>0</v>
      </c>
      <c r="BK630" s="37">
        <v>0</v>
      </c>
      <c r="BL630" s="37">
        <v>0</v>
      </c>
      <c r="BM630" s="37">
        <v>0</v>
      </c>
      <c r="BN630" s="37">
        <v>0</v>
      </c>
      <c r="BO630" s="37">
        <v>0</v>
      </c>
      <c r="BP630" s="37">
        <v>294540</v>
      </c>
      <c r="BQ630" s="37">
        <v>0</v>
      </c>
      <c r="BR630" s="37">
        <v>0</v>
      </c>
      <c r="BS630" s="37">
        <v>0</v>
      </c>
      <c r="BT630" s="37">
        <v>0</v>
      </c>
      <c r="BU630" s="37">
        <v>0</v>
      </c>
      <c r="BV630" s="37">
        <v>0</v>
      </c>
      <c r="BW630" s="37">
        <v>0</v>
      </c>
      <c r="BX630" s="37">
        <v>0</v>
      </c>
      <c r="BY630" s="37">
        <v>0</v>
      </c>
      <c r="BZ630" s="37">
        <v>0</v>
      </c>
      <c r="CA630" s="37">
        <v>0</v>
      </c>
      <c r="CB630" s="37">
        <v>0</v>
      </c>
      <c r="CC630" s="37">
        <v>15000</v>
      </c>
      <c r="CD630" s="37">
        <v>0</v>
      </c>
      <c r="CE630" s="37">
        <v>0</v>
      </c>
      <c r="CF630" s="37">
        <v>0</v>
      </c>
      <c r="CG630" s="37">
        <v>0</v>
      </c>
      <c r="CH630" s="37">
        <v>0</v>
      </c>
      <c r="CI630" s="37">
        <v>0</v>
      </c>
      <c r="CJ630" s="37">
        <v>0</v>
      </c>
      <c r="CK630" s="37">
        <v>0</v>
      </c>
      <c r="CL630" s="37">
        <v>0</v>
      </c>
      <c r="CM630" s="37">
        <v>0</v>
      </c>
      <c r="CN630" s="37">
        <v>0</v>
      </c>
      <c r="CO630" s="37">
        <v>0</v>
      </c>
      <c r="CP630" s="37">
        <v>0</v>
      </c>
      <c r="CQ630" s="37">
        <v>0</v>
      </c>
      <c r="CR630" s="37">
        <v>0</v>
      </c>
      <c r="CS630" s="37">
        <v>0</v>
      </c>
      <c r="CT630" s="37">
        <v>0</v>
      </c>
      <c r="CU630" s="37">
        <v>0</v>
      </c>
      <c r="CV630" s="37">
        <v>0</v>
      </c>
      <c r="CW630" s="37">
        <v>0</v>
      </c>
      <c r="CX630" s="37">
        <v>0</v>
      </c>
      <c r="CY630" s="37">
        <v>0</v>
      </c>
      <c r="CZ630" s="37">
        <v>0</v>
      </c>
      <c r="DA630" s="37">
        <v>0</v>
      </c>
      <c r="DB630" s="37">
        <v>0</v>
      </c>
      <c r="DC630" s="37">
        <v>0</v>
      </c>
      <c r="DD630" s="37">
        <v>0</v>
      </c>
      <c r="DE630" s="37">
        <v>0</v>
      </c>
      <c r="DF630" s="37">
        <v>0</v>
      </c>
      <c r="DG630" s="37">
        <v>0</v>
      </c>
      <c r="DH630" s="37">
        <v>0</v>
      </c>
      <c r="DI630" s="37">
        <v>0</v>
      </c>
      <c r="DJ630" s="37">
        <v>0</v>
      </c>
      <c r="DK630" s="37">
        <v>0</v>
      </c>
      <c r="DL630" s="37">
        <v>0</v>
      </c>
      <c r="DM630" s="37">
        <v>0</v>
      </c>
      <c r="DN630" s="37">
        <v>0</v>
      </c>
      <c r="DO630" s="37">
        <v>0</v>
      </c>
      <c r="DP630" s="37">
        <v>0</v>
      </c>
      <c r="DQ630" s="37">
        <v>0</v>
      </c>
      <c r="DR630" s="37">
        <v>0</v>
      </c>
      <c r="DS630" s="37">
        <v>0</v>
      </c>
      <c r="DT630" s="37">
        <v>0</v>
      </c>
      <c r="DU630" s="37">
        <v>0</v>
      </c>
      <c r="DV630" s="37">
        <v>0</v>
      </c>
      <c r="DW630" s="37">
        <v>0</v>
      </c>
      <c r="DX630" s="37">
        <v>0</v>
      </c>
      <c r="DY630" s="37">
        <v>0</v>
      </c>
      <c r="DZ630" s="37">
        <v>0</v>
      </c>
      <c r="EA630" s="37">
        <v>0</v>
      </c>
      <c r="EB630" s="37">
        <v>0</v>
      </c>
      <c r="EC630" s="37">
        <v>0</v>
      </c>
      <c r="ED630" s="37">
        <v>0</v>
      </c>
      <c r="EE630" s="37">
        <v>0</v>
      </c>
      <c r="EF630" s="37">
        <v>0</v>
      </c>
      <c r="EG630" s="37">
        <v>0</v>
      </c>
      <c r="EH630" s="37">
        <v>0</v>
      </c>
      <c r="EI630" s="37">
        <v>0</v>
      </c>
      <c r="EJ630" s="37">
        <v>0</v>
      </c>
      <c r="EK630" s="161" t="s">
        <v>2728</v>
      </c>
      <c r="EL630" s="294" t="s">
        <v>1124</v>
      </c>
    </row>
    <row r="631" spans="1:142" ht="15" customHeight="1" x14ac:dyDescent="0.35">
      <c r="A631" s="34"/>
      <c r="B631" s="313">
        <v>17045</v>
      </c>
      <c r="C631" s="8" t="s">
        <v>98</v>
      </c>
      <c r="D631" s="18">
        <v>12</v>
      </c>
      <c r="E631" s="155"/>
      <c r="F631" s="36"/>
      <c r="G631" s="37"/>
      <c r="H631" s="37"/>
      <c r="I631" s="37"/>
      <c r="J631" s="37"/>
      <c r="K631" s="37"/>
      <c r="L631" s="37"/>
      <c r="M631" s="37" t="s">
        <v>1124</v>
      </c>
      <c r="N631" s="37" t="s">
        <v>1124</v>
      </c>
      <c r="O631" s="37"/>
      <c r="P631" s="37"/>
      <c r="Q631" s="37"/>
      <c r="R631" s="37"/>
      <c r="S631" s="37"/>
      <c r="T631" s="37"/>
      <c r="U631" s="37"/>
      <c r="V631" s="37"/>
      <c r="W631" s="37"/>
      <c r="X631" s="37"/>
      <c r="Y631" s="37"/>
      <c r="Z631" s="37"/>
      <c r="AA631" s="37" t="s">
        <v>1124</v>
      </c>
      <c r="AB631" s="37" t="s">
        <v>1124</v>
      </c>
      <c r="AC631" s="37"/>
      <c r="AD631" s="37"/>
      <c r="AE631" s="37"/>
      <c r="AF631" s="168"/>
      <c r="AG631" s="37"/>
      <c r="AH631" s="37"/>
      <c r="AI631" s="37"/>
      <c r="AJ631" s="37"/>
      <c r="AK631" s="37"/>
      <c r="AL631" s="37"/>
      <c r="AM631" s="37"/>
      <c r="AN631" s="37"/>
      <c r="AO631" s="37"/>
      <c r="AP631" s="37"/>
      <c r="AQ631" s="37"/>
      <c r="AR631" s="37" t="s">
        <v>1124</v>
      </c>
      <c r="AS631" s="37"/>
      <c r="AT631" s="37"/>
      <c r="AU631" s="37"/>
      <c r="AV631" s="37"/>
      <c r="AW631" s="37"/>
      <c r="AX631" s="37"/>
      <c r="AY631" s="37"/>
      <c r="AZ631" s="37"/>
      <c r="BA631" s="37"/>
      <c r="BB631" s="37"/>
      <c r="BC631" s="37"/>
      <c r="BD631" s="37" t="s">
        <v>1124</v>
      </c>
      <c r="BE631" s="37"/>
      <c r="BF631" s="37"/>
      <c r="BG631" s="37"/>
      <c r="BH631" s="37"/>
      <c r="BI631" s="37"/>
      <c r="BJ631" s="37"/>
      <c r="BK631" s="37"/>
      <c r="BL631" s="37"/>
      <c r="BM631" s="37"/>
      <c r="BN631" s="37"/>
      <c r="BO631" s="37"/>
      <c r="BP631" s="37">
        <v>0</v>
      </c>
      <c r="BQ631" s="37"/>
      <c r="BR631" s="37"/>
      <c r="BS631" s="37"/>
      <c r="BT631" s="37"/>
      <c r="BU631" s="37"/>
      <c r="BV631" s="37"/>
      <c r="BW631" s="37"/>
      <c r="BX631" s="37"/>
      <c r="BY631" s="37"/>
      <c r="BZ631" s="37"/>
      <c r="CA631" s="37"/>
      <c r="CB631" s="37" t="s">
        <v>1124</v>
      </c>
      <c r="CC631" s="37"/>
      <c r="CD631" s="37"/>
      <c r="CE631" s="37"/>
      <c r="CF631" s="37"/>
      <c r="CG631" s="37"/>
      <c r="CH631" s="37"/>
      <c r="CI631" s="37"/>
      <c r="CJ631" s="37"/>
      <c r="CK631" s="37"/>
      <c r="CL631" s="37"/>
      <c r="CM631" s="37"/>
      <c r="CN631" s="37" t="s">
        <v>1124</v>
      </c>
      <c r="CO631" s="37"/>
      <c r="CP631" s="37"/>
      <c r="CQ631" s="37"/>
      <c r="CR631" s="37"/>
      <c r="CS631" s="37"/>
      <c r="CT631" s="37"/>
      <c r="CU631" s="37"/>
      <c r="CV631" s="37"/>
      <c r="CW631" s="37"/>
      <c r="CX631" s="37"/>
      <c r="CY631" s="37"/>
      <c r="CZ631" s="37" t="s">
        <v>1124</v>
      </c>
      <c r="DA631" s="37"/>
      <c r="DB631" s="37"/>
      <c r="DC631" s="37"/>
      <c r="DD631" s="37"/>
      <c r="DE631" s="37"/>
      <c r="DF631" s="37"/>
      <c r="DG631" s="37"/>
      <c r="DH631" s="37"/>
      <c r="DI631" s="37"/>
      <c r="DJ631" s="37"/>
      <c r="DK631" s="37"/>
      <c r="DL631" s="37" t="s">
        <v>1124</v>
      </c>
      <c r="DM631" s="37"/>
      <c r="DN631" s="37"/>
      <c r="DO631" s="37"/>
      <c r="DP631" s="37"/>
      <c r="DQ631" s="37"/>
      <c r="DR631" s="37"/>
      <c r="DS631" s="37"/>
      <c r="DT631" s="37"/>
      <c r="DU631" s="37"/>
      <c r="DV631" s="37"/>
      <c r="DW631" s="37"/>
      <c r="DX631" s="37" t="s">
        <v>1124</v>
      </c>
      <c r="DY631" s="37"/>
      <c r="DZ631" s="37"/>
      <c r="EA631" s="37"/>
      <c r="EB631" s="37"/>
      <c r="EC631" s="37"/>
      <c r="ED631" s="37"/>
      <c r="EE631" s="37"/>
      <c r="EF631" s="37"/>
      <c r="EG631" s="37"/>
      <c r="EH631" s="37"/>
      <c r="EI631" s="37"/>
      <c r="EJ631" s="37" t="s">
        <v>1124</v>
      </c>
      <c r="EK631" s="161"/>
      <c r="EL631" s="294"/>
    </row>
    <row r="632" spans="1:142" ht="15" customHeight="1" x14ac:dyDescent="0.35">
      <c r="A632" s="34"/>
      <c r="B632" s="313">
        <v>49070</v>
      </c>
      <c r="C632" s="8" t="s">
        <v>472</v>
      </c>
      <c r="D632" s="18">
        <v>17</v>
      </c>
      <c r="E632" s="155">
        <v>210411</v>
      </c>
      <c r="F632" s="36">
        <v>325635</v>
      </c>
      <c r="G632" s="37">
        <v>167937</v>
      </c>
      <c r="H632" s="37">
        <v>158283</v>
      </c>
      <c r="I632" s="37">
        <v>134400</v>
      </c>
      <c r="J632" s="37">
        <v>82800</v>
      </c>
      <c r="K632" s="37">
        <v>31562</v>
      </c>
      <c r="L632" s="37">
        <v>48845</v>
      </c>
      <c r="M632" s="37">
        <v>544310</v>
      </c>
      <c r="N632" s="37">
        <v>615563</v>
      </c>
      <c r="O632" s="37">
        <v>154368.08000000002</v>
      </c>
      <c r="P632" s="37">
        <v>0</v>
      </c>
      <c r="Q632" s="37">
        <v>48897</v>
      </c>
      <c r="R632" s="37">
        <v>325866.16000000003</v>
      </c>
      <c r="S632" s="37">
        <v>16208</v>
      </c>
      <c r="T632" s="37">
        <v>187633</v>
      </c>
      <c r="U632" s="37">
        <v>0</v>
      </c>
      <c r="V632" s="37">
        <v>24499</v>
      </c>
      <c r="W632" s="37">
        <v>324853</v>
      </c>
      <c r="X632" s="37">
        <v>77582</v>
      </c>
      <c r="Y632" s="37">
        <v>0</v>
      </c>
      <c r="Z632" s="37">
        <v>0</v>
      </c>
      <c r="AA632" s="37">
        <v>544326.08000000007</v>
      </c>
      <c r="AB632" s="37">
        <v>615580.16000000003</v>
      </c>
      <c r="AC632" s="37">
        <v>33.240000000223517</v>
      </c>
      <c r="AD632" s="37">
        <v>33</v>
      </c>
      <c r="AE632" s="37">
        <v>3202</v>
      </c>
      <c r="AF632" s="168">
        <v>0.02</v>
      </c>
      <c r="AG632" s="37">
        <v>29705880.670000002</v>
      </c>
      <c r="AH632" s="37">
        <v>219200.04</v>
      </c>
      <c r="AI632" s="37">
        <v>223584.04</v>
      </c>
      <c r="AJ632" s="37">
        <v>228055.72</v>
      </c>
      <c r="AK632" s="37">
        <v>232616.84</v>
      </c>
      <c r="AL632" s="37">
        <v>237269.17</v>
      </c>
      <c r="AM632" s="37">
        <v>242014.56</v>
      </c>
      <c r="AN632" s="37">
        <v>246854.85</v>
      </c>
      <c r="AO632" s="37">
        <v>251791.94</v>
      </c>
      <c r="AP632" s="37">
        <v>256827.78</v>
      </c>
      <c r="AQ632" s="37">
        <v>261964.34</v>
      </c>
      <c r="AR632" s="37">
        <v>2400179.2800000003</v>
      </c>
      <c r="AS632" s="37">
        <v>2352498.42</v>
      </c>
      <c r="AT632" s="37">
        <v>0</v>
      </c>
      <c r="AU632" s="37">
        <v>0</v>
      </c>
      <c r="AV632" s="37">
        <v>1591812</v>
      </c>
      <c r="AW632" s="37">
        <v>0</v>
      </c>
      <c r="AX632" s="37">
        <v>0</v>
      </c>
      <c r="AY632" s="37">
        <v>0</v>
      </c>
      <c r="AZ632" s="37">
        <v>0</v>
      </c>
      <c r="BA632" s="37">
        <v>0</v>
      </c>
      <c r="BB632" s="37">
        <v>0</v>
      </c>
      <c r="BC632" s="37">
        <v>0</v>
      </c>
      <c r="BD632" s="37">
        <v>1591812</v>
      </c>
      <c r="BE632" s="37">
        <v>0</v>
      </c>
      <c r="BF632" s="37">
        <v>300859.0966483326</v>
      </c>
      <c r="BG632" s="37">
        <v>1876688.1356768371</v>
      </c>
      <c r="BH632" s="37">
        <v>399213.04774783738</v>
      </c>
      <c r="BI632" s="37">
        <v>474138.11992699374</v>
      </c>
      <c r="BJ632" s="37">
        <v>0</v>
      </c>
      <c r="BK632" s="37">
        <v>0</v>
      </c>
      <c r="BL632" s="37">
        <v>0</v>
      </c>
      <c r="BM632" s="37">
        <v>0</v>
      </c>
      <c r="BN632" s="37">
        <v>0</v>
      </c>
      <c r="BO632" s="37">
        <v>0</v>
      </c>
      <c r="BP632" s="37">
        <v>3050898.4000000008</v>
      </c>
      <c r="BQ632" s="37">
        <v>0</v>
      </c>
      <c r="BR632" s="37">
        <v>0</v>
      </c>
      <c r="BS632" s="37">
        <v>0</v>
      </c>
      <c r="BT632" s="37">
        <v>0</v>
      </c>
      <c r="BU632" s="37">
        <v>0</v>
      </c>
      <c r="BV632" s="37">
        <v>0</v>
      </c>
      <c r="BW632" s="37">
        <v>0</v>
      </c>
      <c r="BX632" s="37">
        <v>0</v>
      </c>
      <c r="BY632" s="37">
        <v>0</v>
      </c>
      <c r="BZ632" s="37">
        <v>0</v>
      </c>
      <c r="CA632" s="37">
        <v>0</v>
      </c>
      <c r="CB632" s="37">
        <v>0</v>
      </c>
      <c r="CC632" s="37">
        <v>46683.53</v>
      </c>
      <c r="CD632" s="37">
        <v>38500</v>
      </c>
      <c r="CE632" s="37">
        <v>1542600</v>
      </c>
      <c r="CF632" s="37">
        <v>39000</v>
      </c>
      <c r="CG632" s="37">
        <v>39000</v>
      </c>
      <c r="CH632" s="37">
        <v>39000</v>
      </c>
      <c r="CI632" s="37">
        <v>39000</v>
      </c>
      <c r="CJ632" s="37">
        <v>39000</v>
      </c>
      <c r="CK632" s="37">
        <v>39000</v>
      </c>
      <c r="CL632" s="37">
        <v>39000</v>
      </c>
      <c r="CM632" s="37">
        <v>39000</v>
      </c>
      <c r="CN632" s="37">
        <v>1893100</v>
      </c>
      <c r="CO632" s="37">
        <v>240865</v>
      </c>
      <c r="CP632" s="37">
        <v>0</v>
      </c>
      <c r="CQ632" s="37">
        <v>0</v>
      </c>
      <c r="CR632" s="37">
        <v>0</v>
      </c>
      <c r="CS632" s="37">
        <v>0</v>
      </c>
      <c r="CT632" s="37">
        <v>0</v>
      </c>
      <c r="CU632" s="37">
        <v>0</v>
      </c>
      <c r="CV632" s="37">
        <v>0</v>
      </c>
      <c r="CW632" s="37">
        <v>0</v>
      </c>
      <c r="CX632" s="37">
        <v>0</v>
      </c>
      <c r="CY632" s="37">
        <v>0</v>
      </c>
      <c r="CZ632" s="37">
        <v>0</v>
      </c>
      <c r="DA632" s="37">
        <v>15170000</v>
      </c>
      <c r="DB632" s="37">
        <v>0</v>
      </c>
      <c r="DC632" s="37">
        <v>0</v>
      </c>
      <c r="DD632" s="37">
        <v>1500000</v>
      </c>
      <c r="DE632" s="37">
        <v>0</v>
      </c>
      <c r="DF632" s="37">
        <v>0</v>
      </c>
      <c r="DG632" s="37">
        <v>0</v>
      </c>
      <c r="DH632" s="37">
        <v>0</v>
      </c>
      <c r="DI632" s="37">
        <v>0</v>
      </c>
      <c r="DJ632" s="37">
        <v>0</v>
      </c>
      <c r="DK632" s="37">
        <v>0</v>
      </c>
      <c r="DL632" s="37">
        <v>1500000</v>
      </c>
      <c r="DM632" s="37">
        <v>0</v>
      </c>
      <c r="DN632" s="37">
        <v>0</v>
      </c>
      <c r="DO632" s="37">
        <v>0</v>
      </c>
      <c r="DP632" s="37">
        <v>0</v>
      </c>
      <c r="DQ632" s="37">
        <v>0</v>
      </c>
      <c r="DR632" s="37">
        <v>0</v>
      </c>
      <c r="DS632" s="37">
        <v>0</v>
      </c>
      <c r="DT632" s="37">
        <v>0</v>
      </c>
      <c r="DU632" s="37">
        <v>0</v>
      </c>
      <c r="DV632" s="37">
        <v>0</v>
      </c>
      <c r="DW632" s="37">
        <v>0</v>
      </c>
      <c r="DX632" s="37">
        <v>0</v>
      </c>
      <c r="DY632" s="37">
        <v>0</v>
      </c>
      <c r="DZ632" s="37">
        <v>0</v>
      </c>
      <c r="EA632" s="37">
        <v>0</v>
      </c>
      <c r="EB632" s="37">
        <v>0</v>
      </c>
      <c r="EC632" s="37">
        <v>0</v>
      </c>
      <c r="ED632" s="37">
        <v>0</v>
      </c>
      <c r="EE632" s="37">
        <v>0</v>
      </c>
      <c r="EF632" s="37">
        <v>0</v>
      </c>
      <c r="EG632" s="37">
        <v>0</v>
      </c>
      <c r="EH632" s="37">
        <v>0</v>
      </c>
      <c r="EI632" s="37">
        <v>0</v>
      </c>
      <c r="EJ632" s="37">
        <v>0</v>
      </c>
      <c r="EK632" s="161" t="s">
        <v>2733</v>
      </c>
      <c r="EL632" s="294" t="s">
        <v>1124</v>
      </c>
    </row>
    <row r="633" spans="1:142" ht="15" customHeight="1" x14ac:dyDescent="0.35">
      <c r="A633" s="34"/>
      <c r="B633" s="313">
        <v>7105</v>
      </c>
      <c r="C633" s="8" t="s">
        <v>1085</v>
      </c>
      <c r="D633" s="18">
        <v>1</v>
      </c>
      <c r="E633" s="155">
        <v>44518</v>
      </c>
      <c r="F633" s="36">
        <v>9711</v>
      </c>
      <c r="G633" s="37">
        <v>37093</v>
      </c>
      <c r="H633" s="37">
        <v>0</v>
      </c>
      <c r="I633" s="37">
        <v>52100</v>
      </c>
      <c r="J633" s="37">
        <v>0</v>
      </c>
      <c r="K633" s="37">
        <v>6678</v>
      </c>
      <c r="L633" s="37">
        <v>1457</v>
      </c>
      <c r="M633" s="37">
        <v>140389</v>
      </c>
      <c r="N633" s="37">
        <v>11168</v>
      </c>
      <c r="O633" s="37">
        <v>0</v>
      </c>
      <c r="P633" s="37">
        <v>0</v>
      </c>
      <c r="Q633" s="37">
        <v>18609</v>
      </c>
      <c r="R633" s="37">
        <v>18234</v>
      </c>
      <c r="S633" s="37">
        <v>0</v>
      </c>
      <c r="T633" s="37">
        <v>0</v>
      </c>
      <c r="U633" s="37">
        <v>27920</v>
      </c>
      <c r="V633" s="37">
        <v>0</v>
      </c>
      <c r="W633" s="37">
        <v>43397</v>
      </c>
      <c r="X633" s="37">
        <v>43397</v>
      </c>
      <c r="Y633" s="37">
        <v>0</v>
      </c>
      <c r="Z633" s="37">
        <v>0</v>
      </c>
      <c r="AA633" s="37">
        <v>89926</v>
      </c>
      <c r="AB633" s="37">
        <v>61631</v>
      </c>
      <c r="AC633" s="37">
        <v>0</v>
      </c>
      <c r="AD633" s="37">
        <v>0</v>
      </c>
      <c r="AE633" s="37">
        <v>0</v>
      </c>
      <c r="AF633" s="168">
        <v>0.02</v>
      </c>
      <c r="AG633" s="37">
        <v>5015949.7699999996</v>
      </c>
      <c r="AH633" s="37">
        <v>40882.6</v>
      </c>
      <c r="AI633" s="37">
        <v>37455.42</v>
      </c>
      <c r="AJ633" s="37">
        <v>38204.53</v>
      </c>
      <c r="AK633" s="37">
        <v>38968.620000000003</v>
      </c>
      <c r="AL633" s="37">
        <v>39747.99</v>
      </c>
      <c r="AM633" s="37">
        <v>40542.949999999997</v>
      </c>
      <c r="AN633" s="37">
        <v>41353.81</v>
      </c>
      <c r="AO633" s="37">
        <v>42180.89</v>
      </c>
      <c r="AP633" s="37">
        <v>43024.5</v>
      </c>
      <c r="AQ633" s="37">
        <v>43884.99</v>
      </c>
      <c r="AR633" s="37">
        <v>406246.3</v>
      </c>
      <c r="AS633" s="37">
        <v>2080.8000000000002</v>
      </c>
      <c r="AT633" s="37">
        <v>0</v>
      </c>
      <c r="AU633" s="37">
        <v>0</v>
      </c>
      <c r="AV633" s="37">
        <v>0</v>
      </c>
      <c r="AW633" s="37">
        <v>0</v>
      </c>
      <c r="AX633" s="37">
        <v>0</v>
      </c>
      <c r="AY633" s="37">
        <v>0</v>
      </c>
      <c r="AZ633" s="37">
        <v>0</v>
      </c>
      <c r="BA633" s="37">
        <v>0</v>
      </c>
      <c r="BB633" s="37">
        <v>0</v>
      </c>
      <c r="BC633" s="37">
        <v>0</v>
      </c>
      <c r="BD633" s="37">
        <v>0</v>
      </c>
      <c r="BE633" s="37">
        <v>0</v>
      </c>
      <c r="BF633" s="37">
        <v>0</v>
      </c>
      <c r="BG633" s="37">
        <v>0</v>
      </c>
      <c r="BH633" s="37">
        <v>0</v>
      </c>
      <c r="BI633" s="37">
        <v>0</v>
      </c>
      <c r="BJ633" s="37">
        <v>0</v>
      </c>
      <c r="BK633" s="37">
        <v>0</v>
      </c>
      <c r="BL633" s="37">
        <v>0</v>
      </c>
      <c r="BM633" s="37">
        <v>0</v>
      </c>
      <c r="BN633" s="37">
        <v>0</v>
      </c>
      <c r="BO633" s="37">
        <v>0</v>
      </c>
      <c r="BP633" s="37">
        <v>0</v>
      </c>
      <c r="BQ633" s="37">
        <v>0</v>
      </c>
      <c r="BR633" s="37">
        <v>0</v>
      </c>
      <c r="BS633" s="37">
        <v>0</v>
      </c>
      <c r="BT633" s="37">
        <v>0</v>
      </c>
      <c r="BU633" s="37">
        <v>0</v>
      </c>
      <c r="BV633" s="37">
        <v>0</v>
      </c>
      <c r="BW633" s="37">
        <v>0</v>
      </c>
      <c r="BX633" s="37">
        <v>0</v>
      </c>
      <c r="BY633" s="37">
        <v>0</v>
      </c>
      <c r="BZ633" s="37">
        <v>0</v>
      </c>
      <c r="CA633" s="37">
        <v>0</v>
      </c>
      <c r="CB633" s="37">
        <v>0</v>
      </c>
      <c r="CC633" s="37">
        <v>0</v>
      </c>
      <c r="CD633" s="37">
        <v>0</v>
      </c>
      <c r="CE633" s="37">
        <v>0</v>
      </c>
      <c r="CF633" s="37">
        <v>0</v>
      </c>
      <c r="CG633" s="37">
        <v>0</v>
      </c>
      <c r="CH633" s="37">
        <v>0</v>
      </c>
      <c r="CI633" s="37">
        <v>0</v>
      </c>
      <c r="CJ633" s="37">
        <v>0</v>
      </c>
      <c r="CK633" s="37">
        <v>0</v>
      </c>
      <c r="CL633" s="37">
        <v>0</v>
      </c>
      <c r="CM633" s="37">
        <v>0</v>
      </c>
      <c r="CN633" s="37">
        <v>0</v>
      </c>
      <c r="CO633" s="37">
        <v>0</v>
      </c>
      <c r="CP633" s="37">
        <v>0</v>
      </c>
      <c r="CQ633" s="37">
        <v>0</v>
      </c>
      <c r="CR633" s="37">
        <v>0</v>
      </c>
      <c r="CS633" s="37">
        <v>0</v>
      </c>
      <c r="CT633" s="37">
        <v>0</v>
      </c>
      <c r="CU633" s="37">
        <v>0</v>
      </c>
      <c r="CV633" s="37">
        <v>0</v>
      </c>
      <c r="CW633" s="37">
        <v>0</v>
      </c>
      <c r="CX633" s="37">
        <v>0</v>
      </c>
      <c r="CY633" s="37">
        <v>0</v>
      </c>
      <c r="CZ633" s="37">
        <v>0</v>
      </c>
      <c r="DA633" s="37">
        <v>0</v>
      </c>
      <c r="DB633" s="37">
        <v>0</v>
      </c>
      <c r="DC633" s="37">
        <v>0</v>
      </c>
      <c r="DD633" s="37">
        <v>0</v>
      </c>
      <c r="DE633" s="37">
        <v>0</v>
      </c>
      <c r="DF633" s="37">
        <v>0</v>
      </c>
      <c r="DG633" s="37">
        <v>0</v>
      </c>
      <c r="DH633" s="37">
        <v>0</v>
      </c>
      <c r="DI633" s="37">
        <v>0</v>
      </c>
      <c r="DJ633" s="37">
        <v>0</v>
      </c>
      <c r="DK633" s="37">
        <v>0</v>
      </c>
      <c r="DL633" s="37">
        <v>0</v>
      </c>
      <c r="DM633" s="37">
        <v>0</v>
      </c>
      <c r="DN633" s="37">
        <v>0</v>
      </c>
      <c r="DO633" s="37">
        <v>0</v>
      </c>
      <c r="DP633" s="37">
        <v>0</v>
      </c>
      <c r="DQ633" s="37">
        <v>0</v>
      </c>
      <c r="DR633" s="37">
        <v>0</v>
      </c>
      <c r="DS633" s="37">
        <v>0</v>
      </c>
      <c r="DT633" s="37">
        <v>0</v>
      </c>
      <c r="DU633" s="37">
        <v>0</v>
      </c>
      <c r="DV633" s="37">
        <v>0</v>
      </c>
      <c r="DW633" s="37">
        <v>0</v>
      </c>
      <c r="DX633" s="37">
        <v>0</v>
      </c>
      <c r="DY633" s="37">
        <v>0</v>
      </c>
      <c r="DZ633" s="37">
        <v>0</v>
      </c>
      <c r="EA633" s="37">
        <v>0</v>
      </c>
      <c r="EB633" s="37">
        <v>0</v>
      </c>
      <c r="EC633" s="37">
        <v>0</v>
      </c>
      <c r="ED633" s="37">
        <v>0</v>
      </c>
      <c r="EE633" s="37">
        <v>0</v>
      </c>
      <c r="EF633" s="37">
        <v>0</v>
      </c>
      <c r="EG633" s="37">
        <v>0</v>
      </c>
      <c r="EH633" s="37">
        <v>0</v>
      </c>
      <c r="EI633" s="37">
        <v>0</v>
      </c>
      <c r="EJ633" s="37">
        <v>0</v>
      </c>
      <c r="EK633" s="161" t="s">
        <v>2736</v>
      </c>
      <c r="EL633" s="294" t="s">
        <v>1124</v>
      </c>
    </row>
    <row r="634" spans="1:142" ht="15" customHeight="1" x14ac:dyDescent="0.35">
      <c r="A634" s="34"/>
      <c r="B634" s="313">
        <v>54017</v>
      </c>
      <c r="C634" s="8" t="s">
        <v>543</v>
      </c>
      <c r="D634" s="18">
        <v>16</v>
      </c>
      <c r="E634" s="155">
        <v>696761</v>
      </c>
      <c r="F634" s="36">
        <v>540348</v>
      </c>
      <c r="G634" s="37">
        <v>43244</v>
      </c>
      <c r="H634" s="37">
        <v>49879</v>
      </c>
      <c r="I634" s="37">
        <v>76100</v>
      </c>
      <c r="J634" s="37">
        <v>76100</v>
      </c>
      <c r="K634" s="37">
        <v>69676.100000000006</v>
      </c>
      <c r="L634" s="37">
        <v>54034.8</v>
      </c>
      <c r="M634" s="37">
        <v>885781.1</v>
      </c>
      <c r="N634" s="37">
        <v>720361.8</v>
      </c>
      <c r="O634" s="37">
        <v>906494</v>
      </c>
      <c r="P634" s="37">
        <v>56225</v>
      </c>
      <c r="Q634" s="37">
        <v>21542</v>
      </c>
      <c r="R634" s="37">
        <v>501595</v>
      </c>
      <c r="S634" s="37">
        <v>0</v>
      </c>
      <c r="T634" s="37">
        <v>0</v>
      </c>
      <c r="U634" s="37">
        <v>0</v>
      </c>
      <c r="V634" s="37">
        <v>0</v>
      </c>
      <c r="W634" s="37">
        <v>0</v>
      </c>
      <c r="X634" s="37">
        <v>162542</v>
      </c>
      <c r="Y634" s="37">
        <v>0</v>
      </c>
      <c r="Z634" s="37">
        <v>0</v>
      </c>
      <c r="AA634" s="37">
        <v>928036</v>
      </c>
      <c r="AB634" s="37">
        <v>720362</v>
      </c>
      <c r="AC634" s="37">
        <v>42255</v>
      </c>
      <c r="AD634" s="37">
        <v>0</v>
      </c>
      <c r="AE634" s="37">
        <v>0</v>
      </c>
      <c r="AF634" s="168">
        <v>0.02</v>
      </c>
      <c r="AG634" s="37">
        <v>87315025.25</v>
      </c>
      <c r="AH634" s="37">
        <v>1869077.56</v>
      </c>
      <c r="AI634" s="37">
        <v>1906459.11</v>
      </c>
      <c r="AJ634" s="37">
        <v>730180.59</v>
      </c>
      <c r="AK634" s="37">
        <v>744784.2</v>
      </c>
      <c r="AL634" s="37">
        <v>759679.89</v>
      </c>
      <c r="AM634" s="37">
        <v>774873.49</v>
      </c>
      <c r="AN634" s="37">
        <v>790370.96</v>
      </c>
      <c r="AO634" s="37">
        <v>806178.37</v>
      </c>
      <c r="AP634" s="37">
        <v>822301.94</v>
      </c>
      <c r="AQ634" s="37">
        <v>838747.98</v>
      </c>
      <c r="AR634" s="37">
        <v>10042654.09</v>
      </c>
      <c r="AS634" s="37">
        <v>0</v>
      </c>
      <c r="AT634" s="37">
        <v>0</v>
      </c>
      <c r="AU634" s="37">
        <v>0</v>
      </c>
      <c r="AV634" s="37">
        <v>0</v>
      </c>
      <c r="AW634" s="37">
        <v>0</v>
      </c>
      <c r="AX634" s="37">
        <v>0</v>
      </c>
      <c r="AY634" s="37">
        <v>0</v>
      </c>
      <c r="AZ634" s="37">
        <v>0</v>
      </c>
      <c r="BA634" s="37">
        <v>0</v>
      </c>
      <c r="BB634" s="37">
        <v>0</v>
      </c>
      <c r="BC634" s="37">
        <v>0</v>
      </c>
      <c r="BD634" s="37">
        <v>0</v>
      </c>
      <c r="BE634" s="37">
        <v>54578</v>
      </c>
      <c r="BF634" s="37">
        <v>2170556</v>
      </c>
      <c r="BG634" s="37">
        <v>0</v>
      </c>
      <c r="BH634" s="37">
        <v>0</v>
      </c>
      <c r="BI634" s="37">
        <v>0</v>
      </c>
      <c r="BJ634" s="37">
        <v>0</v>
      </c>
      <c r="BK634" s="37">
        <v>0</v>
      </c>
      <c r="BL634" s="37">
        <v>0</v>
      </c>
      <c r="BM634" s="37">
        <v>0</v>
      </c>
      <c r="BN634" s="37">
        <v>0</v>
      </c>
      <c r="BO634" s="37">
        <v>0</v>
      </c>
      <c r="BP634" s="37">
        <v>2170556</v>
      </c>
      <c r="BQ634" s="37">
        <v>27290</v>
      </c>
      <c r="BR634" s="37">
        <v>544079</v>
      </c>
      <c r="BS634" s="37">
        <v>0</v>
      </c>
      <c r="BT634" s="37">
        <v>0</v>
      </c>
      <c r="BU634" s="37">
        <v>0</v>
      </c>
      <c r="BV634" s="37">
        <v>0</v>
      </c>
      <c r="BW634" s="37">
        <v>0</v>
      </c>
      <c r="BX634" s="37">
        <v>0</v>
      </c>
      <c r="BY634" s="37">
        <v>0</v>
      </c>
      <c r="BZ634" s="37">
        <v>0</v>
      </c>
      <c r="CA634" s="37">
        <v>0</v>
      </c>
      <c r="CB634" s="37">
        <v>544079</v>
      </c>
      <c r="CC634" s="37">
        <v>0</v>
      </c>
      <c r="CD634" s="37">
        <v>0</v>
      </c>
      <c r="CE634" s="37">
        <v>0</v>
      </c>
      <c r="CF634" s="37">
        <v>0</v>
      </c>
      <c r="CG634" s="37">
        <v>0</v>
      </c>
      <c r="CH634" s="37">
        <v>0</v>
      </c>
      <c r="CI634" s="37">
        <v>0</v>
      </c>
      <c r="CJ634" s="37">
        <v>0</v>
      </c>
      <c r="CK634" s="37">
        <v>0</v>
      </c>
      <c r="CL634" s="37">
        <v>0</v>
      </c>
      <c r="CM634" s="37">
        <v>0</v>
      </c>
      <c r="CN634" s="37">
        <v>0</v>
      </c>
      <c r="CO634" s="37">
        <v>0</v>
      </c>
      <c r="CP634" s="37">
        <v>0</v>
      </c>
      <c r="CQ634" s="37">
        <v>0</v>
      </c>
      <c r="CR634" s="37">
        <v>0</v>
      </c>
      <c r="CS634" s="37">
        <v>0</v>
      </c>
      <c r="CT634" s="37">
        <v>0</v>
      </c>
      <c r="CU634" s="37">
        <v>0</v>
      </c>
      <c r="CV634" s="37">
        <v>0</v>
      </c>
      <c r="CW634" s="37">
        <v>0</v>
      </c>
      <c r="CX634" s="37">
        <v>0</v>
      </c>
      <c r="CY634" s="37">
        <v>0</v>
      </c>
      <c r="CZ634" s="37">
        <v>0</v>
      </c>
      <c r="DA634" s="37">
        <v>0</v>
      </c>
      <c r="DB634" s="37">
        <v>0</v>
      </c>
      <c r="DC634" s="37">
        <v>0</v>
      </c>
      <c r="DD634" s="37">
        <v>0</v>
      </c>
      <c r="DE634" s="37">
        <v>0</v>
      </c>
      <c r="DF634" s="37">
        <v>0</v>
      </c>
      <c r="DG634" s="37">
        <v>0</v>
      </c>
      <c r="DH634" s="37">
        <v>0</v>
      </c>
      <c r="DI634" s="37">
        <v>0</v>
      </c>
      <c r="DJ634" s="37">
        <v>0</v>
      </c>
      <c r="DK634" s="37">
        <v>0</v>
      </c>
      <c r="DL634" s="37">
        <v>0</v>
      </c>
      <c r="DM634" s="37">
        <v>0</v>
      </c>
      <c r="DN634" s="37">
        <v>0</v>
      </c>
      <c r="DO634" s="37">
        <v>0</v>
      </c>
      <c r="DP634" s="37">
        <v>0</v>
      </c>
      <c r="DQ634" s="37">
        <v>0</v>
      </c>
      <c r="DR634" s="37">
        <v>0</v>
      </c>
      <c r="DS634" s="37">
        <v>0</v>
      </c>
      <c r="DT634" s="37">
        <v>0</v>
      </c>
      <c r="DU634" s="37">
        <v>0</v>
      </c>
      <c r="DV634" s="37">
        <v>0</v>
      </c>
      <c r="DW634" s="37">
        <v>0</v>
      </c>
      <c r="DX634" s="37">
        <v>0</v>
      </c>
      <c r="DY634" s="37">
        <v>0</v>
      </c>
      <c r="DZ634" s="37">
        <v>0</v>
      </c>
      <c r="EA634" s="37">
        <v>0</v>
      </c>
      <c r="EB634" s="37">
        <v>0</v>
      </c>
      <c r="EC634" s="37">
        <v>0</v>
      </c>
      <c r="ED634" s="37">
        <v>0</v>
      </c>
      <c r="EE634" s="37">
        <v>0</v>
      </c>
      <c r="EF634" s="37">
        <v>0</v>
      </c>
      <c r="EG634" s="37">
        <v>0</v>
      </c>
      <c r="EH634" s="37">
        <v>0</v>
      </c>
      <c r="EI634" s="37">
        <v>0</v>
      </c>
      <c r="EJ634" s="37">
        <v>0</v>
      </c>
      <c r="EK634" s="161" t="s">
        <v>2737</v>
      </c>
      <c r="EL634" s="294" t="s">
        <v>1124</v>
      </c>
    </row>
    <row r="635" spans="1:142" ht="15" customHeight="1" x14ac:dyDescent="0.35">
      <c r="A635" s="34"/>
      <c r="B635" s="313">
        <v>17040</v>
      </c>
      <c r="C635" s="8" t="s">
        <v>97</v>
      </c>
      <c r="D635" s="18">
        <v>12</v>
      </c>
      <c r="E635" s="155"/>
      <c r="F635" s="36"/>
      <c r="G635" s="37"/>
      <c r="H635" s="37"/>
      <c r="I635" s="37"/>
      <c r="J635" s="37"/>
      <c r="K635" s="37"/>
      <c r="L635" s="37"/>
      <c r="M635" s="37" t="s">
        <v>1124</v>
      </c>
      <c r="N635" s="37" t="s">
        <v>1124</v>
      </c>
      <c r="O635" s="37"/>
      <c r="P635" s="37"/>
      <c r="Q635" s="37"/>
      <c r="R635" s="37"/>
      <c r="S635" s="37"/>
      <c r="T635" s="37"/>
      <c r="U635" s="37"/>
      <c r="V635" s="37"/>
      <c r="W635" s="37"/>
      <c r="X635" s="37"/>
      <c r="Y635" s="37"/>
      <c r="Z635" s="37"/>
      <c r="AA635" s="37" t="s">
        <v>1124</v>
      </c>
      <c r="AB635" s="37" t="s">
        <v>1124</v>
      </c>
      <c r="AC635" s="37"/>
      <c r="AD635" s="37"/>
      <c r="AE635" s="37"/>
      <c r="AF635" s="168"/>
      <c r="AG635" s="37"/>
      <c r="AH635" s="37"/>
      <c r="AI635" s="37"/>
      <c r="AJ635" s="37"/>
      <c r="AK635" s="37"/>
      <c r="AL635" s="37"/>
      <c r="AM635" s="37"/>
      <c r="AN635" s="37"/>
      <c r="AO635" s="37"/>
      <c r="AP635" s="37"/>
      <c r="AQ635" s="37"/>
      <c r="AR635" s="37" t="s">
        <v>1124</v>
      </c>
      <c r="AS635" s="37"/>
      <c r="AT635" s="37"/>
      <c r="AU635" s="37"/>
      <c r="AV635" s="37"/>
      <c r="AW635" s="37"/>
      <c r="AX635" s="37"/>
      <c r="AY635" s="37"/>
      <c r="AZ635" s="37"/>
      <c r="BA635" s="37"/>
      <c r="BB635" s="37"/>
      <c r="BC635" s="37"/>
      <c r="BD635" s="37" t="s">
        <v>1124</v>
      </c>
      <c r="BE635" s="37"/>
      <c r="BF635" s="37"/>
      <c r="BG635" s="37"/>
      <c r="BH635" s="37"/>
      <c r="BI635" s="37"/>
      <c r="BJ635" s="37"/>
      <c r="BK635" s="37"/>
      <c r="BL635" s="37"/>
      <c r="BM635" s="37"/>
      <c r="BN635" s="37"/>
      <c r="BO635" s="37"/>
      <c r="BP635" s="37">
        <v>0</v>
      </c>
      <c r="BQ635" s="37"/>
      <c r="BR635" s="37"/>
      <c r="BS635" s="37"/>
      <c r="BT635" s="37"/>
      <c r="BU635" s="37"/>
      <c r="BV635" s="37"/>
      <c r="BW635" s="37"/>
      <c r="BX635" s="37"/>
      <c r="BY635" s="37"/>
      <c r="BZ635" s="37"/>
      <c r="CA635" s="37"/>
      <c r="CB635" s="37" t="s">
        <v>1124</v>
      </c>
      <c r="CC635" s="37"/>
      <c r="CD635" s="37"/>
      <c r="CE635" s="37"/>
      <c r="CF635" s="37"/>
      <c r="CG635" s="37"/>
      <c r="CH635" s="37"/>
      <c r="CI635" s="37"/>
      <c r="CJ635" s="37"/>
      <c r="CK635" s="37"/>
      <c r="CL635" s="37"/>
      <c r="CM635" s="37"/>
      <c r="CN635" s="37" t="s">
        <v>1124</v>
      </c>
      <c r="CO635" s="37"/>
      <c r="CP635" s="37"/>
      <c r="CQ635" s="37"/>
      <c r="CR635" s="37"/>
      <c r="CS635" s="37"/>
      <c r="CT635" s="37"/>
      <c r="CU635" s="37"/>
      <c r="CV635" s="37"/>
      <c r="CW635" s="37"/>
      <c r="CX635" s="37"/>
      <c r="CY635" s="37"/>
      <c r="CZ635" s="37" t="s">
        <v>1124</v>
      </c>
      <c r="DA635" s="37"/>
      <c r="DB635" s="37"/>
      <c r="DC635" s="37"/>
      <c r="DD635" s="37"/>
      <c r="DE635" s="37"/>
      <c r="DF635" s="37"/>
      <c r="DG635" s="37"/>
      <c r="DH635" s="37"/>
      <c r="DI635" s="37"/>
      <c r="DJ635" s="37"/>
      <c r="DK635" s="37"/>
      <c r="DL635" s="37" t="s">
        <v>1124</v>
      </c>
      <c r="DM635" s="37"/>
      <c r="DN635" s="37"/>
      <c r="DO635" s="37"/>
      <c r="DP635" s="37"/>
      <c r="DQ635" s="37"/>
      <c r="DR635" s="37"/>
      <c r="DS635" s="37"/>
      <c r="DT635" s="37"/>
      <c r="DU635" s="37"/>
      <c r="DV635" s="37"/>
      <c r="DW635" s="37"/>
      <c r="DX635" s="37" t="s">
        <v>1124</v>
      </c>
      <c r="DY635" s="37"/>
      <c r="DZ635" s="37"/>
      <c r="EA635" s="37"/>
      <c r="EB635" s="37"/>
      <c r="EC635" s="37"/>
      <c r="ED635" s="37"/>
      <c r="EE635" s="37"/>
      <c r="EF635" s="37"/>
      <c r="EG635" s="37"/>
      <c r="EH635" s="37"/>
      <c r="EI635" s="37"/>
      <c r="EJ635" s="37" t="s">
        <v>1124</v>
      </c>
      <c r="EK635" s="161"/>
      <c r="EL635" s="294"/>
    </row>
    <row r="636" spans="1:142" ht="15" customHeight="1" x14ac:dyDescent="0.35">
      <c r="A636" s="34"/>
      <c r="B636" s="313">
        <v>62075</v>
      </c>
      <c r="C636" s="8" t="s">
        <v>631</v>
      </c>
      <c r="D636" s="18">
        <v>14</v>
      </c>
      <c r="E636" s="155"/>
      <c r="F636" s="36"/>
      <c r="G636" s="37"/>
      <c r="H636" s="37"/>
      <c r="I636" s="37"/>
      <c r="J636" s="37"/>
      <c r="K636" s="37"/>
      <c r="L636" s="37"/>
      <c r="M636" s="37" t="s">
        <v>1124</v>
      </c>
      <c r="N636" s="37" t="s">
        <v>1124</v>
      </c>
      <c r="O636" s="37"/>
      <c r="P636" s="37"/>
      <c r="Q636" s="37"/>
      <c r="R636" s="37"/>
      <c r="S636" s="37"/>
      <c r="T636" s="37"/>
      <c r="U636" s="37"/>
      <c r="V636" s="37"/>
      <c r="W636" s="37"/>
      <c r="X636" s="37"/>
      <c r="Y636" s="37"/>
      <c r="Z636" s="37"/>
      <c r="AA636" s="37" t="s">
        <v>1124</v>
      </c>
      <c r="AB636" s="37" t="s">
        <v>1124</v>
      </c>
      <c r="AC636" s="37"/>
      <c r="AD636" s="37"/>
      <c r="AE636" s="37"/>
      <c r="AF636" s="168"/>
      <c r="AG636" s="37"/>
      <c r="AH636" s="37"/>
      <c r="AI636" s="37"/>
      <c r="AJ636" s="37"/>
      <c r="AK636" s="37"/>
      <c r="AL636" s="37"/>
      <c r="AM636" s="37"/>
      <c r="AN636" s="37"/>
      <c r="AO636" s="37"/>
      <c r="AP636" s="37"/>
      <c r="AQ636" s="37"/>
      <c r="AR636" s="37" t="s">
        <v>1124</v>
      </c>
      <c r="AS636" s="37"/>
      <c r="AT636" s="37"/>
      <c r="AU636" s="37"/>
      <c r="AV636" s="37"/>
      <c r="AW636" s="37"/>
      <c r="AX636" s="37"/>
      <c r="AY636" s="37"/>
      <c r="AZ636" s="37"/>
      <c r="BA636" s="37"/>
      <c r="BB636" s="37"/>
      <c r="BC636" s="37"/>
      <c r="BD636" s="37" t="s">
        <v>1124</v>
      </c>
      <c r="BE636" s="37"/>
      <c r="BF636" s="37"/>
      <c r="BG636" s="37"/>
      <c r="BH636" s="37"/>
      <c r="BI636" s="37"/>
      <c r="BJ636" s="37"/>
      <c r="BK636" s="37"/>
      <c r="BL636" s="37"/>
      <c r="BM636" s="37"/>
      <c r="BN636" s="37"/>
      <c r="BO636" s="37"/>
      <c r="BP636" s="37">
        <v>0</v>
      </c>
      <c r="BQ636" s="37"/>
      <c r="BR636" s="37"/>
      <c r="BS636" s="37"/>
      <c r="BT636" s="37"/>
      <c r="BU636" s="37"/>
      <c r="BV636" s="37"/>
      <c r="BW636" s="37"/>
      <c r="BX636" s="37"/>
      <c r="BY636" s="37"/>
      <c r="BZ636" s="37"/>
      <c r="CA636" s="37"/>
      <c r="CB636" s="37" t="s">
        <v>1124</v>
      </c>
      <c r="CC636" s="37"/>
      <c r="CD636" s="37"/>
      <c r="CE636" s="37"/>
      <c r="CF636" s="37"/>
      <c r="CG636" s="37"/>
      <c r="CH636" s="37"/>
      <c r="CI636" s="37"/>
      <c r="CJ636" s="37"/>
      <c r="CK636" s="37"/>
      <c r="CL636" s="37"/>
      <c r="CM636" s="37"/>
      <c r="CN636" s="37" t="s">
        <v>1124</v>
      </c>
      <c r="CO636" s="37"/>
      <c r="CP636" s="37"/>
      <c r="CQ636" s="37"/>
      <c r="CR636" s="37"/>
      <c r="CS636" s="37"/>
      <c r="CT636" s="37"/>
      <c r="CU636" s="37"/>
      <c r="CV636" s="37"/>
      <c r="CW636" s="37"/>
      <c r="CX636" s="37"/>
      <c r="CY636" s="37"/>
      <c r="CZ636" s="37" t="s">
        <v>1124</v>
      </c>
      <c r="DA636" s="37"/>
      <c r="DB636" s="37"/>
      <c r="DC636" s="37"/>
      <c r="DD636" s="37"/>
      <c r="DE636" s="37"/>
      <c r="DF636" s="37"/>
      <c r="DG636" s="37"/>
      <c r="DH636" s="37"/>
      <c r="DI636" s="37"/>
      <c r="DJ636" s="37"/>
      <c r="DK636" s="37"/>
      <c r="DL636" s="37" t="s">
        <v>1124</v>
      </c>
      <c r="DM636" s="37"/>
      <c r="DN636" s="37"/>
      <c r="DO636" s="37"/>
      <c r="DP636" s="37"/>
      <c r="DQ636" s="37"/>
      <c r="DR636" s="37"/>
      <c r="DS636" s="37"/>
      <c r="DT636" s="37"/>
      <c r="DU636" s="37"/>
      <c r="DV636" s="37"/>
      <c r="DW636" s="37"/>
      <c r="DX636" s="37" t="s">
        <v>1124</v>
      </c>
      <c r="DY636" s="37"/>
      <c r="DZ636" s="37"/>
      <c r="EA636" s="37"/>
      <c r="EB636" s="37"/>
      <c r="EC636" s="37"/>
      <c r="ED636" s="37"/>
      <c r="EE636" s="37"/>
      <c r="EF636" s="37"/>
      <c r="EG636" s="37"/>
      <c r="EH636" s="37"/>
      <c r="EI636" s="37"/>
      <c r="EJ636" s="37" t="s">
        <v>1124</v>
      </c>
      <c r="EK636" s="161"/>
      <c r="EL636" s="294"/>
    </row>
    <row r="637" spans="1:142" ht="15" customHeight="1" x14ac:dyDescent="0.35">
      <c r="A637" s="34"/>
      <c r="B637" s="313">
        <v>19030</v>
      </c>
      <c r="C637" s="8" t="s">
        <v>123</v>
      </c>
      <c r="D637" s="18">
        <v>12</v>
      </c>
      <c r="E637" s="155">
        <v>203226</v>
      </c>
      <c r="F637" s="36">
        <v>49234</v>
      </c>
      <c r="G637" s="37">
        <v>43513</v>
      </c>
      <c r="H637" s="37">
        <v>10662</v>
      </c>
      <c r="I637" s="37">
        <v>31051</v>
      </c>
      <c r="J637" s="37">
        <v>110061</v>
      </c>
      <c r="K637" s="37">
        <v>30483.899999999998</v>
      </c>
      <c r="L637" s="37">
        <v>7385.0999999999995</v>
      </c>
      <c r="M637" s="37">
        <v>308273.90000000002</v>
      </c>
      <c r="N637" s="37">
        <v>177342.1</v>
      </c>
      <c r="O637" s="37">
        <v>62718</v>
      </c>
      <c r="P637" s="37">
        <v>0</v>
      </c>
      <c r="Q637" s="37">
        <v>103556</v>
      </c>
      <c r="R637" s="37">
        <v>103556</v>
      </c>
      <c r="S637" s="37">
        <v>0</v>
      </c>
      <c r="T637" s="37">
        <v>3436</v>
      </c>
      <c r="U637" s="37">
        <v>0</v>
      </c>
      <c r="V637" s="37">
        <v>13227</v>
      </c>
      <c r="W637" s="37">
        <v>141999.90000000002</v>
      </c>
      <c r="X637" s="37">
        <v>57123.100000000006</v>
      </c>
      <c r="Y637" s="37">
        <v>0</v>
      </c>
      <c r="Z637" s="37">
        <v>0</v>
      </c>
      <c r="AA637" s="37">
        <v>308273.90000000002</v>
      </c>
      <c r="AB637" s="37">
        <v>177342.1</v>
      </c>
      <c r="AC637" s="37">
        <v>0</v>
      </c>
      <c r="AD637" s="37">
        <v>0</v>
      </c>
      <c r="AE637" s="37">
        <v>0</v>
      </c>
      <c r="AF637" s="168">
        <v>0.02</v>
      </c>
      <c r="AG637" s="37">
        <v>31191831.100000001</v>
      </c>
      <c r="AH637" s="37">
        <v>308728.52</v>
      </c>
      <c r="AI637" s="37">
        <v>309597.05</v>
      </c>
      <c r="AJ637" s="37">
        <v>315788.99</v>
      </c>
      <c r="AK637" s="37">
        <v>322104.77</v>
      </c>
      <c r="AL637" s="37">
        <v>328546.87</v>
      </c>
      <c r="AM637" s="37">
        <v>335117.81</v>
      </c>
      <c r="AN637" s="37">
        <v>341820.15999999997</v>
      </c>
      <c r="AO637" s="37">
        <v>348656.57</v>
      </c>
      <c r="AP637" s="37">
        <v>355629.7</v>
      </c>
      <c r="AQ637" s="37">
        <v>362742.29</v>
      </c>
      <c r="AR637" s="37">
        <v>3328732.73</v>
      </c>
      <c r="AS637" s="37">
        <v>691592.94</v>
      </c>
      <c r="AT637" s="37">
        <v>650250</v>
      </c>
      <c r="AU637" s="37">
        <v>39795.300000000003</v>
      </c>
      <c r="AV637" s="37">
        <v>67652.009999999995</v>
      </c>
      <c r="AW637" s="37">
        <v>55204.04</v>
      </c>
      <c r="AX637" s="37">
        <v>0</v>
      </c>
      <c r="AY637" s="37">
        <v>0</v>
      </c>
      <c r="AZ637" s="37">
        <v>0</v>
      </c>
      <c r="BA637" s="37">
        <v>0</v>
      </c>
      <c r="BB637" s="37">
        <v>0</v>
      </c>
      <c r="BC637" s="37">
        <v>0</v>
      </c>
      <c r="BD637" s="37">
        <v>812901.35</v>
      </c>
      <c r="BE637" s="37">
        <v>0</v>
      </c>
      <c r="BF637" s="37">
        <v>20370</v>
      </c>
      <c r="BG637" s="37">
        <v>0</v>
      </c>
      <c r="BH637" s="37">
        <v>0</v>
      </c>
      <c r="BI637" s="37">
        <v>0</v>
      </c>
      <c r="BJ637" s="37">
        <v>0</v>
      </c>
      <c r="BK637" s="37">
        <v>0</v>
      </c>
      <c r="BL637" s="37">
        <v>0</v>
      </c>
      <c r="BM637" s="37">
        <v>0</v>
      </c>
      <c r="BN637" s="37">
        <v>0</v>
      </c>
      <c r="BO637" s="37">
        <v>0</v>
      </c>
      <c r="BP637" s="37">
        <v>20370</v>
      </c>
      <c r="BQ637" s="37">
        <v>0</v>
      </c>
      <c r="BR637" s="37">
        <v>0</v>
      </c>
      <c r="BS637" s="37">
        <v>0</v>
      </c>
      <c r="BT637" s="37">
        <v>0</v>
      </c>
      <c r="BU637" s="37">
        <v>0</v>
      </c>
      <c r="BV637" s="37">
        <v>0</v>
      </c>
      <c r="BW637" s="37">
        <v>0</v>
      </c>
      <c r="BX637" s="37">
        <v>0</v>
      </c>
      <c r="BY637" s="37">
        <v>0</v>
      </c>
      <c r="BZ637" s="37">
        <v>0</v>
      </c>
      <c r="CA637" s="37">
        <v>0</v>
      </c>
      <c r="CB637" s="37">
        <v>0</v>
      </c>
      <c r="CC637" s="37">
        <v>0</v>
      </c>
      <c r="CD637" s="37">
        <v>0</v>
      </c>
      <c r="CE637" s="37">
        <v>0</v>
      </c>
      <c r="CF637" s="37">
        <v>0</v>
      </c>
      <c r="CG637" s="37">
        <v>0</v>
      </c>
      <c r="CH637" s="37">
        <v>0</v>
      </c>
      <c r="CI637" s="37">
        <v>0</v>
      </c>
      <c r="CJ637" s="37">
        <v>0</v>
      </c>
      <c r="CK637" s="37">
        <v>0</v>
      </c>
      <c r="CL637" s="37">
        <v>0</v>
      </c>
      <c r="CM637" s="37">
        <v>0</v>
      </c>
      <c r="CN637" s="37">
        <v>0</v>
      </c>
      <c r="CO637" s="37">
        <v>0</v>
      </c>
      <c r="CP637" s="37">
        <v>0</v>
      </c>
      <c r="CQ637" s="37">
        <v>0</v>
      </c>
      <c r="CR637" s="37">
        <v>0</v>
      </c>
      <c r="CS637" s="37">
        <v>0</v>
      </c>
      <c r="CT637" s="37">
        <v>0</v>
      </c>
      <c r="CU637" s="37">
        <v>0</v>
      </c>
      <c r="CV637" s="37">
        <v>0</v>
      </c>
      <c r="CW637" s="37">
        <v>0</v>
      </c>
      <c r="CX637" s="37">
        <v>0</v>
      </c>
      <c r="CY637" s="37">
        <v>0</v>
      </c>
      <c r="CZ637" s="37">
        <v>0</v>
      </c>
      <c r="DA637" s="37">
        <v>0</v>
      </c>
      <c r="DB637" s="37">
        <v>0</v>
      </c>
      <c r="DC637" s="37">
        <v>0</v>
      </c>
      <c r="DD637" s="37">
        <v>0</v>
      </c>
      <c r="DE637" s="37">
        <v>0</v>
      </c>
      <c r="DF637" s="37">
        <v>0</v>
      </c>
      <c r="DG637" s="37">
        <v>0</v>
      </c>
      <c r="DH637" s="37">
        <v>0</v>
      </c>
      <c r="DI637" s="37">
        <v>0</v>
      </c>
      <c r="DJ637" s="37">
        <v>0</v>
      </c>
      <c r="DK637" s="37">
        <v>0</v>
      </c>
      <c r="DL637" s="37">
        <v>0</v>
      </c>
      <c r="DM637" s="37">
        <v>0</v>
      </c>
      <c r="DN637" s="37">
        <v>0</v>
      </c>
      <c r="DO637" s="37">
        <v>0</v>
      </c>
      <c r="DP637" s="37">
        <v>0</v>
      </c>
      <c r="DQ637" s="37">
        <v>0</v>
      </c>
      <c r="DR637" s="37">
        <v>0</v>
      </c>
      <c r="DS637" s="37">
        <v>0</v>
      </c>
      <c r="DT637" s="37">
        <v>0</v>
      </c>
      <c r="DU637" s="37">
        <v>0</v>
      </c>
      <c r="DV637" s="37">
        <v>0</v>
      </c>
      <c r="DW637" s="37">
        <v>0</v>
      </c>
      <c r="DX637" s="37">
        <v>0</v>
      </c>
      <c r="DY637" s="37">
        <v>0</v>
      </c>
      <c r="DZ637" s="37">
        <v>0</v>
      </c>
      <c r="EA637" s="37">
        <v>0</v>
      </c>
      <c r="EB637" s="37">
        <v>0</v>
      </c>
      <c r="EC637" s="37">
        <v>0</v>
      </c>
      <c r="ED637" s="37">
        <v>0</v>
      </c>
      <c r="EE637" s="37">
        <v>0</v>
      </c>
      <c r="EF637" s="37">
        <v>0</v>
      </c>
      <c r="EG637" s="37">
        <v>0</v>
      </c>
      <c r="EH637" s="37">
        <v>0</v>
      </c>
      <c r="EI637" s="37">
        <v>0</v>
      </c>
      <c r="EJ637" s="37">
        <v>0</v>
      </c>
      <c r="EK637" s="161" t="s">
        <v>2741</v>
      </c>
      <c r="EL637" s="294" t="s">
        <v>1124</v>
      </c>
    </row>
    <row r="638" spans="1:142" ht="15" customHeight="1" x14ac:dyDescent="0.35">
      <c r="A638" s="34"/>
      <c r="B638" s="313">
        <v>53005</v>
      </c>
      <c r="C638" s="8" t="s">
        <v>530</v>
      </c>
      <c r="D638" s="18">
        <v>16</v>
      </c>
      <c r="E638" s="155">
        <v>131619</v>
      </c>
      <c r="F638" s="36">
        <v>32922</v>
      </c>
      <c r="G638" s="37">
        <v>0</v>
      </c>
      <c r="H638" s="37">
        <v>55978</v>
      </c>
      <c r="I638" s="37">
        <v>0</v>
      </c>
      <c r="J638" s="37">
        <v>239810</v>
      </c>
      <c r="K638" s="37">
        <v>13161.9</v>
      </c>
      <c r="L638" s="37">
        <v>3292.2000000000003</v>
      </c>
      <c r="M638" s="37">
        <v>144780.9</v>
      </c>
      <c r="N638" s="37">
        <v>332002.2</v>
      </c>
      <c r="O638" s="37">
        <v>94413</v>
      </c>
      <c r="P638" s="37">
        <v>188908</v>
      </c>
      <c r="Q638" s="37">
        <v>0</v>
      </c>
      <c r="R638" s="37">
        <v>0</v>
      </c>
      <c r="S638" s="37">
        <v>38806</v>
      </c>
      <c r="T638" s="37">
        <v>0</v>
      </c>
      <c r="U638" s="37">
        <v>0</v>
      </c>
      <c r="V638" s="37">
        <v>22203</v>
      </c>
      <c r="W638" s="37">
        <v>11562</v>
      </c>
      <c r="X638" s="37">
        <v>120891</v>
      </c>
      <c r="Y638" s="37">
        <v>0</v>
      </c>
      <c r="Z638" s="37">
        <v>0</v>
      </c>
      <c r="AA638" s="37">
        <v>144781</v>
      </c>
      <c r="AB638" s="37">
        <v>332002</v>
      </c>
      <c r="AC638" s="37">
        <v>0</v>
      </c>
      <c r="AD638" s="37">
        <v>0</v>
      </c>
      <c r="AE638" s="37">
        <v>12165</v>
      </c>
      <c r="AF638" s="168">
        <v>0.02</v>
      </c>
      <c r="AG638" s="37">
        <v>15441027.65</v>
      </c>
      <c r="AH638" s="37">
        <v>140514.31</v>
      </c>
      <c r="AI638" s="37">
        <v>143324.59</v>
      </c>
      <c r="AJ638" s="37">
        <v>146191.07999999999</v>
      </c>
      <c r="AK638" s="37">
        <v>149114.9</v>
      </c>
      <c r="AL638" s="37">
        <v>152097.20000000001</v>
      </c>
      <c r="AM638" s="37">
        <v>155139.15</v>
      </c>
      <c r="AN638" s="37">
        <v>158241.93</v>
      </c>
      <c r="AO638" s="37">
        <v>161406.76999999999</v>
      </c>
      <c r="AP638" s="37">
        <v>164634.9</v>
      </c>
      <c r="AQ638" s="37">
        <v>167927.6</v>
      </c>
      <c r="AR638" s="37">
        <v>1538592.4300000002</v>
      </c>
      <c r="AS638" s="37">
        <v>0</v>
      </c>
      <c r="AT638" s="37">
        <v>0</v>
      </c>
      <c r="AU638" s="37">
        <v>0</v>
      </c>
      <c r="AV638" s="37">
        <v>0</v>
      </c>
      <c r="AW638" s="37">
        <v>0</v>
      </c>
      <c r="AX638" s="37">
        <v>0</v>
      </c>
      <c r="AY638" s="37">
        <v>0</v>
      </c>
      <c r="AZ638" s="37">
        <v>0</v>
      </c>
      <c r="BA638" s="37">
        <v>0</v>
      </c>
      <c r="BB638" s="37">
        <v>0</v>
      </c>
      <c r="BC638" s="37">
        <v>0</v>
      </c>
      <c r="BD638" s="37">
        <v>0</v>
      </c>
      <c r="BE638" s="37">
        <v>0</v>
      </c>
      <c r="BF638" s="37">
        <v>0</v>
      </c>
      <c r="BG638" s="37">
        <v>0</v>
      </c>
      <c r="BH638" s="37">
        <v>0</v>
      </c>
      <c r="BI638" s="37">
        <v>0</v>
      </c>
      <c r="BJ638" s="37">
        <v>0</v>
      </c>
      <c r="BK638" s="37">
        <v>0</v>
      </c>
      <c r="BL638" s="37">
        <v>0</v>
      </c>
      <c r="BM638" s="37">
        <v>0</v>
      </c>
      <c r="BN638" s="37">
        <v>0</v>
      </c>
      <c r="BO638" s="37">
        <v>0</v>
      </c>
      <c r="BP638" s="37">
        <v>0</v>
      </c>
      <c r="BQ638" s="37">
        <v>0</v>
      </c>
      <c r="BR638" s="37">
        <v>0</v>
      </c>
      <c r="BS638" s="37">
        <v>0</v>
      </c>
      <c r="BT638" s="37">
        <v>0</v>
      </c>
      <c r="BU638" s="37">
        <v>0</v>
      </c>
      <c r="BV638" s="37">
        <v>0</v>
      </c>
      <c r="BW638" s="37">
        <v>0</v>
      </c>
      <c r="BX638" s="37">
        <v>0</v>
      </c>
      <c r="BY638" s="37">
        <v>0</v>
      </c>
      <c r="BZ638" s="37">
        <v>0</v>
      </c>
      <c r="CA638" s="37">
        <v>0</v>
      </c>
      <c r="CB638" s="37">
        <v>0</v>
      </c>
      <c r="CC638" s="37">
        <v>0</v>
      </c>
      <c r="CD638" s="37">
        <v>0</v>
      </c>
      <c r="CE638" s="37">
        <v>0</v>
      </c>
      <c r="CF638" s="37">
        <v>0</v>
      </c>
      <c r="CG638" s="37">
        <v>0</v>
      </c>
      <c r="CH638" s="37">
        <v>0</v>
      </c>
      <c r="CI638" s="37">
        <v>0</v>
      </c>
      <c r="CJ638" s="37">
        <v>0</v>
      </c>
      <c r="CK638" s="37">
        <v>0</v>
      </c>
      <c r="CL638" s="37">
        <v>0</v>
      </c>
      <c r="CM638" s="37">
        <v>0</v>
      </c>
      <c r="CN638" s="37">
        <v>0</v>
      </c>
      <c r="CO638" s="37">
        <v>0</v>
      </c>
      <c r="CP638" s="37">
        <v>0</v>
      </c>
      <c r="CQ638" s="37">
        <v>0</v>
      </c>
      <c r="CR638" s="37">
        <v>0</v>
      </c>
      <c r="CS638" s="37">
        <v>0</v>
      </c>
      <c r="CT638" s="37">
        <v>0</v>
      </c>
      <c r="CU638" s="37">
        <v>0</v>
      </c>
      <c r="CV638" s="37">
        <v>0</v>
      </c>
      <c r="CW638" s="37">
        <v>0</v>
      </c>
      <c r="CX638" s="37">
        <v>0</v>
      </c>
      <c r="CY638" s="37">
        <v>0</v>
      </c>
      <c r="CZ638" s="37">
        <v>0</v>
      </c>
      <c r="DA638" s="37">
        <v>0</v>
      </c>
      <c r="DB638" s="37">
        <v>0</v>
      </c>
      <c r="DC638" s="37">
        <v>0</v>
      </c>
      <c r="DD638" s="37">
        <v>0</v>
      </c>
      <c r="DE638" s="37">
        <v>0</v>
      </c>
      <c r="DF638" s="37">
        <v>0</v>
      </c>
      <c r="DG638" s="37">
        <v>0</v>
      </c>
      <c r="DH638" s="37">
        <v>0</v>
      </c>
      <c r="DI638" s="37">
        <v>0</v>
      </c>
      <c r="DJ638" s="37">
        <v>0</v>
      </c>
      <c r="DK638" s="37">
        <v>0</v>
      </c>
      <c r="DL638" s="37">
        <v>0</v>
      </c>
      <c r="DM638" s="37">
        <v>0</v>
      </c>
      <c r="DN638" s="37">
        <v>0</v>
      </c>
      <c r="DO638" s="37">
        <v>0</v>
      </c>
      <c r="DP638" s="37">
        <v>0</v>
      </c>
      <c r="DQ638" s="37">
        <v>0</v>
      </c>
      <c r="DR638" s="37">
        <v>0</v>
      </c>
      <c r="DS638" s="37">
        <v>0</v>
      </c>
      <c r="DT638" s="37">
        <v>0</v>
      </c>
      <c r="DU638" s="37">
        <v>0</v>
      </c>
      <c r="DV638" s="37">
        <v>0</v>
      </c>
      <c r="DW638" s="37">
        <v>0</v>
      </c>
      <c r="DX638" s="37">
        <v>0</v>
      </c>
      <c r="DY638" s="37">
        <v>0</v>
      </c>
      <c r="DZ638" s="37">
        <v>0</v>
      </c>
      <c r="EA638" s="37">
        <v>0</v>
      </c>
      <c r="EB638" s="37">
        <v>0</v>
      </c>
      <c r="EC638" s="37">
        <v>0</v>
      </c>
      <c r="ED638" s="37">
        <v>0</v>
      </c>
      <c r="EE638" s="37">
        <v>0</v>
      </c>
      <c r="EF638" s="37">
        <v>0</v>
      </c>
      <c r="EG638" s="37">
        <v>0</v>
      </c>
      <c r="EH638" s="37">
        <v>0</v>
      </c>
      <c r="EI638" s="37">
        <v>0</v>
      </c>
      <c r="EJ638" s="37">
        <v>0</v>
      </c>
      <c r="EK638" s="161" t="s">
        <v>2109</v>
      </c>
      <c r="EL638" s="294" t="s">
        <v>1124</v>
      </c>
    </row>
    <row r="639" spans="1:142" ht="15" customHeight="1" x14ac:dyDescent="0.35">
      <c r="A639" s="34"/>
      <c r="B639" s="313">
        <v>94245</v>
      </c>
      <c r="C639" s="8" t="s">
        <v>981</v>
      </c>
      <c r="D639" s="18">
        <v>2</v>
      </c>
      <c r="E639" s="155">
        <v>329273</v>
      </c>
      <c r="F639" s="36">
        <v>242629</v>
      </c>
      <c r="G639" s="37">
        <v>73976</v>
      </c>
      <c r="H639" s="37">
        <v>0</v>
      </c>
      <c r="I639" s="37">
        <v>242593</v>
      </c>
      <c r="J639" s="37">
        <v>0</v>
      </c>
      <c r="K639" s="37">
        <v>0</v>
      </c>
      <c r="L639" s="37">
        <v>0</v>
      </c>
      <c r="M639" s="37">
        <v>645842</v>
      </c>
      <c r="N639" s="37">
        <v>242629</v>
      </c>
      <c r="O639" s="37">
        <v>0</v>
      </c>
      <c r="P639" s="37">
        <v>0</v>
      </c>
      <c r="Q639" s="37">
        <v>318099</v>
      </c>
      <c r="R639" s="37">
        <v>64680</v>
      </c>
      <c r="S639" s="37">
        <v>0</v>
      </c>
      <c r="T639" s="37">
        <v>0</v>
      </c>
      <c r="U639" s="37">
        <v>0</v>
      </c>
      <c r="V639" s="37">
        <v>0</v>
      </c>
      <c r="W639" s="37">
        <v>404553</v>
      </c>
      <c r="X639" s="37">
        <v>101139</v>
      </c>
      <c r="Y639" s="37">
        <v>0</v>
      </c>
      <c r="Z639" s="37">
        <v>0</v>
      </c>
      <c r="AA639" s="37">
        <v>722652</v>
      </c>
      <c r="AB639" s="37">
        <v>165819</v>
      </c>
      <c r="AC639" s="37">
        <v>0</v>
      </c>
      <c r="AD639" s="37">
        <v>0</v>
      </c>
      <c r="AE639" s="37">
        <v>300000</v>
      </c>
      <c r="AF639" s="168">
        <v>0.02</v>
      </c>
      <c r="AG639" s="37">
        <v>37044148.5</v>
      </c>
      <c r="AH639" s="37">
        <v>438788.7</v>
      </c>
      <c r="AI639" s="37">
        <v>291566.90000000002</v>
      </c>
      <c r="AJ639" s="37">
        <v>319046.88</v>
      </c>
      <c r="AK639" s="37">
        <v>364070.64</v>
      </c>
      <c r="AL639" s="37">
        <v>309413.12</v>
      </c>
      <c r="AM639" s="37">
        <v>315601.39</v>
      </c>
      <c r="AN639" s="37">
        <v>321913.40999999997</v>
      </c>
      <c r="AO639" s="37">
        <v>328351.68</v>
      </c>
      <c r="AP639" s="37">
        <v>334918.71999999997</v>
      </c>
      <c r="AQ639" s="37">
        <v>341617.09</v>
      </c>
      <c r="AR639" s="37">
        <v>3365288.5300000003</v>
      </c>
      <c r="AS639" s="37">
        <v>0</v>
      </c>
      <c r="AT639" s="37">
        <v>0</v>
      </c>
      <c r="AU639" s="37">
        <v>0</v>
      </c>
      <c r="AV639" s="37">
        <v>0</v>
      </c>
      <c r="AW639" s="37">
        <v>0</v>
      </c>
      <c r="AX639" s="37">
        <v>0</v>
      </c>
      <c r="AY639" s="37">
        <v>0</v>
      </c>
      <c r="AZ639" s="37">
        <v>0</v>
      </c>
      <c r="BA639" s="37">
        <v>0</v>
      </c>
      <c r="BB639" s="37">
        <v>0</v>
      </c>
      <c r="BC639" s="37">
        <v>0</v>
      </c>
      <c r="BD639" s="37">
        <v>0</v>
      </c>
      <c r="BE639" s="37">
        <v>44409</v>
      </c>
      <c r="BF639" s="37">
        <v>350000</v>
      </c>
      <c r="BG639" s="37">
        <v>0</v>
      </c>
      <c r="BH639" s="37">
        <v>0</v>
      </c>
      <c r="BI639" s="37">
        <v>0</v>
      </c>
      <c r="BJ639" s="37">
        <v>0</v>
      </c>
      <c r="BK639" s="37">
        <v>0</v>
      </c>
      <c r="BL639" s="37">
        <v>0</v>
      </c>
      <c r="BM639" s="37">
        <v>0</v>
      </c>
      <c r="BN639" s="37">
        <v>0</v>
      </c>
      <c r="BO639" s="37">
        <v>0</v>
      </c>
      <c r="BP639" s="37">
        <v>350000</v>
      </c>
      <c r="BQ639" s="37">
        <v>0</v>
      </c>
      <c r="BR639" s="37">
        <v>0</v>
      </c>
      <c r="BS639" s="37">
        <v>0</v>
      </c>
      <c r="BT639" s="37">
        <v>0</v>
      </c>
      <c r="BU639" s="37">
        <v>0</v>
      </c>
      <c r="BV639" s="37">
        <v>0</v>
      </c>
      <c r="BW639" s="37">
        <v>0</v>
      </c>
      <c r="BX639" s="37">
        <v>0</v>
      </c>
      <c r="BY639" s="37">
        <v>0</v>
      </c>
      <c r="BZ639" s="37">
        <v>0</v>
      </c>
      <c r="CA639" s="37">
        <v>0</v>
      </c>
      <c r="CB639" s="37">
        <v>0</v>
      </c>
      <c r="CC639" s="37">
        <v>0</v>
      </c>
      <c r="CD639" s="37">
        <v>0</v>
      </c>
      <c r="CE639" s="37">
        <v>0</v>
      </c>
      <c r="CF639" s="37">
        <v>0</v>
      </c>
      <c r="CG639" s="37">
        <v>0</v>
      </c>
      <c r="CH639" s="37">
        <v>0</v>
      </c>
      <c r="CI639" s="37">
        <v>0</v>
      </c>
      <c r="CJ639" s="37">
        <v>0</v>
      </c>
      <c r="CK639" s="37">
        <v>0</v>
      </c>
      <c r="CL639" s="37">
        <v>0</v>
      </c>
      <c r="CM639" s="37">
        <v>0</v>
      </c>
      <c r="CN639" s="37">
        <v>0</v>
      </c>
      <c r="CO639" s="37">
        <v>0</v>
      </c>
      <c r="CP639" s="37">
        <v>0</v>
      </c>
      <c r="CQ639" s="37">
        <v>0</v>
      </c>
      <c r="CR639" s="37">
        <v>0</v>
      </c>
      <c r="CS639" s="37">
        <v>0</v>
      </c>
      <c r="CT639" s="37">
        <v>0</v>
      </c>
      <c r="CU639" s="37">
        <v>0</v>
      </c>
      <c r="CV639" s="37">
        <v>0</v>
      </c>
      <c r="CW639" s="37">
        <v>0</v>
      </c>
      <c r="CX639" s="37">
        <v>0</v>
      </c>
      <c r="CY639" s="37">
        <v>0</v>
      </c>
      <c r="CZ639" s="37">
        <v>0</v>
      </c>
      <c r="DA639" s="37">
        <v>0</v>
      </c>
      <c r="DB639" s="37">
        <v>0</v>
      </c>
      <c r="DC639" s="37">
        <v>0</v>
      </c>
      <c r="DD639" s="37">
        <v>0</v>
      </c>
      <c r="DE639" s="37">
        <v>0</v>
      </c>
      <c r="DF639" s="37">
        <v>0</v>
      </c>
      <c r="DG639" s="37">
        <v>0</v>
      </c>
      <c r="DH639" s="37">
        <v>0</v>
      </c>
      <c r="DI639" s="37">
        <v>0</v>
      </c>
      <c r="DJ639" s="37">
        <v>0</v>
      </c>
      <c r="DK639" s="37">
        <v>0</v>
      </c>
      <c r="DL639" s="37">
        <v>0</v>
      </c>
      <c r="DM639" s="37">
        <v>0</v>
      </c>
      <c r="DN639" s="37">
        <v>0</v>
      </c>
      <c r="DO639" s="37">
        <v>0</v>
      </c>
      <c r="DP639" s="37">
        <v>0</v>
      </c>
      <c r="DQ639" s="37">
        <v>0</v>
      </c>
      <c r="DR639" s="37">
        <v>0</v>
      </c>
      <c r="DS639" s="37">
        <v>0</v>
      </c>
      <c r="DT639" s="37">
        <v>0</v>
      </c>
      <c r="DU639" s="37">
        <v>0</v>
      </c>
      <c r="DV639" s="37">
        <v>0</v>
      </c>
      <c r="DW639" s="37">
        <v>0</v>
      </c>
      <c r="DX639" s="37">
        <v>0</v>
      </c>
      <c r="DY639" s="37">
        <v>0</v>
      </c>
      <c r="DZ639" s="37">
        <v>0</v>
      </c>
      <c r="EA639" s="37">
        <v>0</v>
      </c>
      <c r="EB639" s="37">
        <v>0</v>
      </c>
      <c r="EC639" s="37">
        <v>0</v>
      </c>
      <c r="ED639" s="37">
        <v>0</v>
      </c>
      <c r="EE639" s="37">
        <v>0</v>
      </c>
      <c r="EF639" s="37">
        <v>0</v>
      </c>
      <c r="EG639" s="37">
        <v>0</v>
      </c>
      <c r="EH639" s="37">
        <v>0</v>
      </c>
      <c r="EI639" s="37">
        <v>0</v>
      </c>
      <c r="EJ639" s="37">
        <v>0</v>
      </c>
      <c r="EK639" s="161" t="s">
        <v>2748</v>
      </c>
      <c r="EL639" s="294" t="s">
        <v>1124</v>
      </c>
    </row>
    <row r="640" spans="1:142" ht="15" customHeight="1" x14ac:dyDescent="0.35">
      <c r="A640" s="34"/>
      <c r="B640" s="314">
        <v>14055</v>
      </c>
      <c r="C640" s="8" t="s">
        <v>69</v>
      </c>
      <c r="D640" s="18">
        <v>1</v>
      </c>
      <c r="E640" s="155"/>
      <c r="F640" s="36"/>
      <c r="G640" s="37"/>
      <c r="H640" s="37"/>
      <c r="I640" s="37"/>
      <c r="J640" s="37"/>
      <c r="K640" s="37"/>
      <c r="L640" s="37"/>
      <c r="M640" s="37" t="s">
        <v>1124</v>
      </c>
      <c r="N640" s="37" t="s">
        <v>1124</v>
      </c>
      <c r="O640" s="37"/>
      <c r="P640" s="37"/>
      <c r="Q640" s="37"/>
      <c r="R640" s="37"/>
      <c r="S640" s="37"/>
      <c r="T640" s="37"/>
      <c r="U640" s="37"/>
      <c r="V640" s="37"/>
      <c r="W640" s="37"/>
      <c r="X640" s="37"/>
      <c r="Y640" s="37"/>
      <c r="Z640" s="37"/>
      <c r="AA640" s="37" t="s">
        <v>1124</v>
      </c>
      <c r="AB640" s="37" t="s">
        <v>1124</v>
      </c>
      <c r="AC640" s="37"/>
      <c r="AD640" s="37"/>
      <c r="AE640" s="37"/>
      <c r="AF640" s="168"/>
      <c r="AG640" s="37"/>
      <c r="AH640" s="37"/>
      <c r="AI640" s="37"/>
      <c r="AJ640" s="37"/>
      <c r="AK640" s="37"/>
      <c r="AL640" s="37"/>
      <c r="AM640" s="37"/>
      <c r="AN640" s="37"/>
      <c r="AO640" s="37"/>
      <c r="AP640" s="37"/>
      <c r="AQ640" s="37"/>
      <c r="AR640" s="37" t="s">
        <v>1124</v>
      </c>
      <c r="AS640" s="37"/>
      <c r="AT640" s="37"/>
      <c r="AU640" s="37"/>
      <c r="AV640" s="37"/>
      <c r="AW640" s="37"/>
      <c r="AX640" s="37"/>
      <c r="AY640" s="37"/>
      <c r="AZ640" s="37"/>
      <c r="BA640" s="37"/>
      <c r="BB640" s="37"/>
      <c r="BC640" s="37"/>
      <c r="BD640" s="37" t="s">
        <v>1124</v>
      </c>
      <c r="BE640" s="37"/>
      <c r="BF640" s="37"/>
      <c r="BG640" s="37"/>
      <c r="BH640" s="37"/>
      <c r="BI640" s="37"/>
      <c r="BJ640" s="37"/>
      <c r="BK640" s="37"/>
      <c r="BL640" s="37"/>
      <c r="BM640" s="37"/>
      <c r="BN640" s="37"/>
      <c r="BO640" s="37"/>
      <c r="BP640" s="37">
        <v>0</v>
      </c>
      <c r="BQ640" s="37"/>
      <c r="BR640" s="37"/>
      <c r="BS640" s="37"/>
      <c r="BT640" s="37"/>
      <c r="BU640" s="37"/>
      <c r="BV640" s="37"/>
      <c r="BW640" s="37"/>
      <c r="BX640" s="37"/>
      <c r="BY640" s="37"/>
      <c r="BZ640" s="37"/>
      <c r="CA640" s="37"/>
      <c r="CB640" s="37" t="s">
        <v>1124</v>
      </c>
      <c r="CC640" s="37"/>
      <c r="CD640" s="37"/>
      <c r="CE640" s="37"/>
      <c r="CF640" s="37"/>
      <c r="CG640" s="37"/>
      <c r="CH640" s="37"/>
      <c r="CI640" s="37"/>
      <c r="CJ640" s="37"/>
      <c r="CK640" s="37"/>
      <c r="CL640" s="37"/>
      <c r="CM640" s="37"/>
      <c r="CN640" s="37" t="s">
        <v>1124</v>
      </c>
      <c r="CO640" s="37"/>
      <c r="CP640" s="37"/>
      <c r="CQ640" s="37"/>
      <c r="CR640" s="37"/>
      <c r="CS640" s="37"/>
      <c r="CT640" s="37"/>
      <c r="CU640" s="37"/>
      <c r="CV640" s="37"/>
      <c r="CW640" s="37"/>
      <c r="CX640" s="37"/>
      <c r="CY640" s="37"/>
      <c r="CZ640" s="37" t="s">
        <v>1124</v>
      </c>
      <c r="DA640" s="37"/>
      <c r="DB640" s="37"/>
      <c r="DC640" s="37"/>
      <c r="DD640" s="37"/>
      <c r="DE640" s="37"/>
      <c r="DF640" s="37"/>
      <c r="DG640" s="37"/>
      <c r="DH640" s="37"/>
      <c r="DI640" s="37"/>
      <c r="DJ640" s="37"/>
      <c r="DK640" s="37"/>
      <c r="DL640" s="37" t="s">
        <v>1124</v>
      </c>
      <c r="DM640" s="37"/>
      <c r="DN640" s="37"/>
      <c r="DO640" s="37"/>
      <c r="DP640" s="37"/>
      <c r="DQ640" s="37"/>
      <c r="DR640" s="37"/>
      <c r="DS640" s="37"/>
      <c r="DT640" s="37"/>
      <c r="DU640" s="37"/>
      <c r="DV640" s="37"/>
      <c r="DW640" s="37"/>
      <c r="DX640" s="37" t="s">
        <v>1124</v>
      </c>
      <c r="DY640" s="37"/>
      <c r="DZ640" s="37"/>
      <c r="EA640" s="37"/>
      <c r="EB640" s="37"/>
      <c r="EC640" s="37"/>
      <c r="ED640" s="37"/>
      <c r="EE640" s="37"/>
      <c r="EF640" s="37"/>
      <c r="EG640" s="37"/>
      <c r="EH640" s="37"/>
      <c r="EI640" s="37"/>
      <c r="EJ640" s="37" t="s">
        <v>1124</v>
      </c>
      <c r="EK640" s="161"/>
      <c r="EL640" s="294"/>
    </row>
    <row r="641" spans="1:142" ht="15" customHeight="1" x14ac:dyDescent="0.35">
      <c r="A641" s="34"/>
      <c r="B641" s="313">
        <v>42025</v>
      </c>
      <c r="C641" s="8" t="s">
        <v>381</v>
      </c>
      <c r="D641" s="18">
        <v>5</v>
      </c>
      <c r="E641" s="155">
        <v>107805</v>
      </c>
      <c r="F641" s="36">
        <v>193231</v>
      </c>
      <c r="G641" s="37">
        <v>16178</v>
      </c>
      <c r="H641" s="37">
        <v>26609</v>
      </c>
      <c r="I641" s="37">
        <v>86900</v>
      </c>
      <c r="J641" s="37">
        <v>55000</v>
      </c>
      <c r="K641" s="37">
        <v>16170.75</v>
      </c>
      <c r="L641" s="37">
        <v>28984.649999999998</v>
      </c>
      <c r="M641" s="37">
        <v>227053.75</v>
      </c>
      <c r="N641" s="37">
        <v>303824.65000000002</v>
      </c>
      <c r="O641" s="37">
        <v>0</v>
      </c>
      <c r="P641" s="37">
        <v>0</v>
      </c>
      <c r="Q641" s="37">
        <v>99700</v>
      </c>
      <c r="R641" s="37">
        <v>146400</v>
      </c>
      <c r="S641" s="37">
        <v>0</v>
      </c>
      <c r="T641" s="37">
        <v>59231</v>
      </c>
      <c r="U641" s="37">
        <v>7061</v>
      </c>
      <c r="V641" s="37">
        <v>0</v>
      </c>
      <c r="W641" s="37">
        <v>120292.75</v>
      </c>
      <c r="X641" s="37">
        <v>98193.650000000023</v>
      </c>
      <c r="Y641" s="37">
        <v>0</v>
      </c>
      <c r="Z641" s="37">
        <v>39527</v>
      </c>
      <c r="AA641" s="37">
        <v>227053.75</v>
      </c>
      <c r="AB641" s="37">
        <v>343351.65</v>
      </c>
      <c r="AC641" s="37">
        <v>39527</v>
      </c>
      <c r="AD641" s="37">
        <v>39527</v>
      </c>
      <c r="AE641" s="37">
        <v>154527</v>
      </c>
      <c r="AF641" s="168">
        <v>0.02</v>
      </c>
      <c r="AG641" s="37">
        <v>27466435.800000001</v>
      </c>
      <c r="AH641" s="37">
        <v>1139027.96</v>
      </c>
      <c r="AI641" s="37">
        <v>204991.48</v>
      </c>
      <c r="AJ641" s="37">
        <v>209091.31</v>
      </c>
      <c r="AK641" s="37">
        <v>213273.13</v>
      </c>
      <c r="AL641" s="37">
        <v>217538.6</v>
      </c>
      <c r="AM641" s="37">
        <v>221889.37</v>
      </c>
      <c r="AN641" s="37">
        <v>226327.16</v>
      </c>
      <c r="AO641" s="37">
        <v>230853.7</v>
      </c>
      <c r="AP641" s="37">
        <v>235470.77</v>
      </c>
      <c r="AQ641" s="37">
        <v>240180.19</v>
      </c>
      <c r="AR641" s="37">
        <v>3138643.67</v>
      </c>
      <c r="AS641" s="37">
        <v>0</v>
      </c>
      <c r="AT641" s="37">
        <v>0</v>
      </c>
      <c r="AU641" s="37">
        <v>42448.32</v>
      </c>
      <c r="AV641" s="37">
        <v>0</v>
      </c>
      <c r="AW641" s="37">
        <v>0</v>
      </c>
      <c r="AX641" s="37">
        <v>0</v>
      </c>
      <c r="AY641" s="37">
        <v>0</v>
      </c>
      <c r="AZ641" s="37">
        <v>0</v>
      </c>
      <c r="BA641" s="37">
        <v>0</v>
      </c>
      <c r="BB641" s="37">
        <v>0</v>
      </c>
      <c r="BC641" s="37">
        <v>0</v>
      </c>
      <c r="BD641" s="37">
        <v>42448.32</v>
      </c>
      <c r="BE641" s="37">
        <v>0</v>
      </c>
      <c r="BF641" s="37">
        <v>100000</v>
      </c>
      <c r="BG641" s="37">
        <v>1240000</v>
      </c>
      <c r="BH641" s="37">
        <v>0</v>
      </c>
      <c r="BI641" s="37">
        <v>0</v>
      </c>
      <c r="BJ641" s="37">
        <v>0</v>
      </c>
      <c r="BK641" s="37">
        <v>0</v>
      </c>
      <c r="BL641" s="37">
        <v>0</v>
      </c>
      <c r="BM641" s="37">
        <v>0</v>
      </c>
      <c r="BN641" s="37">
        <v>0</v>
      </c>
      <c r="BO641" s="37">
        <v>0</v>
      </c>
      <c r="BP641" s="37">
        <v>1340000</v>
      </c>
      <c r="BQ641" s="37">
        <v>0</v>
      </c>
      <c r="BR641" s="37">
        <v>0</v>
      </c>
      <c r="BS641" s="37">
        <v>0</v>
      </c>
      <c r="BT641" s="37">
        <v>0</v>
      </c>
      <c r="BU641" s="37">
        <v>0</v>
      </c>
      <c r="BV641" s="37">
        <v>0</v>
      </c>
      <c r="BW641" s="37">
        <v>0</v>
      </c>
      <c r="BX641" s="37">
        <v>0</v>
      </c>
      <c r="BY641" s="37">
        <v>0</v>
      </c>
      <c r="BZ641" s="37">
        <v>0</v>
      </c>
      <c r="CA641" s="37">
        <v>0</v>
      </c>
      <c r="CB641" s="37">
        <v>0</v>
      </c>
      <c r="CC641" s="37">
        <v>0</v>
      </c>
      <c r="CD641" s="37">
        <v>0</v>
      </c>
      <c r="CE641" s="37">
        <v>0</v>
      </c>
      <c r="CF641" s="37">
        <v>0</v>
      </c>
      <c r="CG641" s="37">
        <v>0</v>
      </c>
      <c r="CH641" s="37">
        <v>0</v>
      </c>
      <c r="CI641" s="37">
        <v>0</v>
      </c>
      <c r="CJ641" s="37">
        <v>0</v>
      </c>
      <c r="CK641" s="37">
        <v>0</v>
      </c>
      <c r="CL641" s="37">
        <v>0</v>
      </c>
      <c r="CM641" s="37">
        <v>0</v>
      </c>
      <c r="CN641" s="37">
        <v>0</v>
      </c>
      <c r="CO641" s="37">
        <v>0</v>
      </c>
      <c r="CP641" s="37">
        <v>0</v>
      </c>
      <c r="CQ641" s="37">
        <v>40000</v>
      </c>
      <c r="CR641" s="37">
        <v>0</v>
      </c>
      <c r="CS641" s="37">
        <v>0</v>
      </c>
      <c r="CT641" s="37">
        <v>0</v>
      </c>
      <c r="CU641" s="37">
        <v>0</v>
      </c>
      <c r="CV641" s="37">
        <v>0</v>
      </c>
      <c r="CW641" s="37">
        <v>0</v>
      </c>
      <c r="CX641" s="37">
        <v>0</v>
      </c>
      <c r="CY641" s="37">
        <v>0</v>
      </c>
      <c r="CZ641" s="37">
        <v>40000</v>
      </c>
      <c r="DA641" s="37">
        <v>0</v>
      </c>
      <c r="DB641" s="37">
        <v>0</v>
      </c>
      <c r="DC641" s="37">
        <v>0</v>
      </c>
      <c r="DD641" s="37">
        <v>0</v>
      </c>
      <c r="DE641" s="37">
        <v>0</v>
      </c>
      <c r="DF641" s="37">
        <v>0</v>
      </c>
      <c r="DG641" s="37">
        <v>0</v>
      </c>
      <c r="DH641" s="37">
        <v>0</v>
      </c>
      <c r="DI641" s="37">
        <v>0</v>
      </c>
      <c r="DJ641" s="37">
        <v>0</v>
      </c>
      <c r="DK641" s="37">
        <v>0</v>
      </c>
      <c r="DL641" s="37">
        <v>0</v>
      </c>
      <c r="DM641" s="37">
        <v>0</v>
      </c>
      <c r="DN641" s="37">
        <v>0</v>
      </c>
      <c r="DO641" s="37">
        <v>0</v>
      </c>
      <c r="DP641" s="37">
        <v>0</v>
      </c>
      <c r="DQ641" s="37">
        <v>0</v>
      </c>
      <c r="DR641" s="37">
        <v>0</v>
      </c>
      <c r="DS641" s="37">
        <v>0</v>
      </c>
      <c r="DT641" s="37">
        <v>0</v>
      </c>
      <c r="DU641" s="37">
        <v>0</v>
      </c>
      <c r="DV641" s="37">
        <v>0</v>
      </c>
      <c r="DW641" s="37">
        <v>0</v>
      </c>
      <c r="DX641" s="37">
        <v>0</v>
      </c>
      <c r="DY641" s="37">
        <v>0</v>
      </c>
      <c r="DZ641" s="37">
        <v>0</v>
      </c>
      <c r="EA641" s="37">
        <v>0</v>
      </c>
      <c r="EB641" s="37">
        <v>0</v>
      </c>
      <c r="EC641" s="37">
        <v>0</v>
      </c>
      <c r="ED641" s="37">
        <v>0</v>
      </c>
      <c r="EE641" s="37">
        <v>0</v>
      </c>
      <c r="EF641" s="37">
        <v>0</v>
      </c>
      <c r="EG641" s="37">
        <v>0</v>
      </c>
      <c r="EH641" s="37">
        <v>0</v>
      </c>
      <c r="EI641" s="37">
        <v>0</v>
      </c>
      <c r="EJ641" s="37">
        <v>0</v>
      </c>
      <c r="EK641" s="161" t="s">
        <v>2752</v>
      </c>
      <c r="EL641" s="294" t="s">
        <v>1124</v>
      </c>
    </row>
    <row r="642" spans="1:142" ht="15" customHeight="1" x14ac:dyDescent="0.35">
      <c r="A642" s="34"/>
      <c r="B642" s="313">
        <v>57068</v>
      </c>
      <c r="C642" s="8" t="s">
        <v>592</v>
      </c>
      <c r="D642" s="18">
        <v>16</v>
      </c>
      <c r="E642" s="155">
        <v>40650</v>
      </c>
      <c r="F642" s="36">
        <v>147628</v>
      </c>
      <c r="G642" s="37">
        <v>0</v>
      </c>
      <c r="H642" s="37">
        <v>146582</v>
      </c>
      <c r="I642" s="37">
        <v>0</v>
      </c>
      <c r="J642" s="37">
        <v>0</v>
      </c>
      <c r="K642" s="37">
        <v>6097.5</v>
      </c>
      <c r="L642" s="37">
        <v>22144.2</v>
      </c>
      <c r="M642" s="37">
        <v>46747.5</v>
      </c>
      <c r="N642" s="37">
        <v>316354.2</v>
      </c>
      <c r="O642" s="37">
        <v>720840</v>
      </c>
      <c r="P642" s="37">
        <v>0</v>
      </c>
      <c r="Q642" s="37">
        <v>0</v>
      </c>
      <c r="R642" s="37">
        <v>346502</v>
      </c>
      <c r="S642" s="37">
        <v>1121393</v>
      </c>
      <c r="T642" s="37">
        <v>0</v>
      </c>
      <c r="U642" s="37">
        <v>0</v>
      </c>
      <c r="V642" s="37">
        <v>0</v>
      </c>
      <c r="W642" s="37">
        <v>0</v>
      </c>
      <c r="X642" s="37">
        <v>0</v>
      </c>
      <c r="Y642" s="37">
        <v>0</v>
      </c>
      <c r="Z642" s="37">
        <v>0</v>
      </c>
      <c r="AA642" s="37">
        <v>1842233</v>
      </c>
      <c r="AB642" s="37">
        <v>346502</v>
      </c>
      <c r="AC642" s="37">
        <v>1825633</v>
      </c>
      <c r="AD642" s="37">
        <v>0</v>
      </c>
      <c r="AE642" s="37">
        <v>0</v>
      </c>
      <c r="AF642" s="168">
        <v>0.02</v>
      </c>
      <c r="AG642" s="37">
        <v>71223186.060000002</v>
      </c>
      <c r="AH642" s="37">
        <v>740706.13</v>
      </c>
      <c r="AI642" s="37">
        <v>755520.25</v>
      </c>
      <c r="AJ642" s="37">
        <v>770630.65</v>
      </c>
      <c r="AK642" s="37">
        <v>786043.27</v>
      </c>
      <c r="AL642" s="37">
        <v>801764.13</v>
      </c>
      <c r="AM642" s="37">
        <v>817799.42</v>
      </c>
      <c r="AN642" s="37">
        <v>834155.4</v>
      </c>
      <c r="AO642" s="37">
        <v>850838.51</v>
      </c>
      <c r="AP642" s="37">
        <v>867855.28</v>
      </c>
      <c r="AQ642" s="37">
        <v>885212.39</v>
      </c>
      <c r="AR642" s="37">
        <v>8110525.4300000006</v>
      </c>
      <c r="AS642" s="37">
        <v>178954</v>
      </c>
      <c r="AT642" s="37">
        <v>0</v>
      </c>
      <c r="AU642" s="37">
        <v>0</v>
      </c>
      <c r="AV642" s="37">
        <v>0</v>
      </c>
      <c r="AW642" s="37">
        <v>0</v>
      </c>
      <c r="AX642" s="37">
        <v>0</v>
      </c>
      <c r="AY642" s="37">
        <v>0</v>
      </c>
      <c r="AZ642" s="37">
        <v>0</v>
      </c>
      <c r="BA642" s="37">
        <v>0</v>
      </c>
      <c r="BB642" s="37">
        <v>0</v>
      </c>
      <c r="BC642" s="37">
        <v>0</v>
      </c>
      <c r="BD642" s="37">
        <v>0</v>
      </c>
      <c r="BE642" s="37">
        <v>925079</v>
      </c>
      <c r="BF642" s="37">
        <v>1410174</v>
      </c>
      <c r="BG642" s="37">
        <v>0</v>
      </c>
      <c r="BH642" s="37">
        <v>0</v>
      </c>
      <c r="BI642" s="37">
        <v>0</v>
      </c>
      <c r="BJ642" s="37">
        <v>0</v>
      </c>
      <c r="BK642" s="37">
        <v>0</v>
      </c>
      <c r="BL642" s="37">
        <v>0</v>
      </c>
      <c r="BM642" s="37">
        <v>0</v>
      </c>
      <c r="BN642" s="37">
        <v>0</v>
      </c>
      <c r="BO642" s="37">
        <v>0</v>
      </c>
      <c r="BP642" s="37">
        <v>1410174</v>
      </c>
      <c r="BQ642" s="37">
        <v>0</v>
      </c>
      <c r="BR642" s="37">
        <v>352545</v>
      </c>
      <c r="BS642" s="37">
        <v>0</v>
      </c>
      <c r="BT642" s="37">
        <v>0</v>
      </c>
      <c r="BU642" s="37">
        <v>0</v>
      </c>
      <c r="BV642" s="37">
        <v>0</v>
      </c>
      <c r="BW642" s="37">
        <v>0</v>
      </c>
      <c r="BX642" s="37">
        <v>0</v>
      </c>
      <c r="BY642" s="37">
        <v>0</v>
      </c>
      <c r="BZ642" s="37">
        <v>0</v>
      </c>
      <c r="CA642" s="37">
        <v>0</v>
      </c>
      <c r="CB642" s="37">
        <v>352545</v>
      </c>
      <c r="CC642" s="37">
        <v>0</v>
      </c>
      <c r="CD642" s="37">
        <v>0</v>
      </c>
      <c r="CE642" s="37">
        <v>0</v>
      </c>
      <c r="CF642" s="37">
        <v>0</v>
      </c>
      <c r="CG642" s="37">
        <v>0</v>
      </c>
      <c r="CH642" s="37">
        <v>0</v>
      </c>
      <c r="CI642" s="37">
        <v>0</v>
      </c>
      <c r="CJ642" s="37">
        <v>0</v>
      </c>
      <c r="CK642" s="37">
        <v>0</v>
      </c>
      <c r="CL642" s="37">
        <v>0</v>
      </c>
      <c r="CM642" s="37">
        <v>0</v>
      </c>
      <c r="CN642" s="37">
        <v>0</v>
      </c>
      <c r="CO642" s="37">
        <v>0</v>
      </c>
      <c r="CP642" s="37">
        <v>0</v>
      </c>
      <c r="CQ642" s="37">
        <v>0</v>
      </c>
      <c r="CR642" s="37">
        <v>0</v>
      </c>
      <c r="CS642" s="37">
        <v>0</v>
      </c>
      <c r="CT642" s="37">
        <v>0</v>
      </c>
      <c r="CU642" s="37">
        <v>0</v>
      </c>
      <c r="CV642" s="37">
        <v>0</v>
      </c>
      <c r="CW642" s="37">
        <v>0</v>
      </c>
      <c r="CX642" s="37">
        <v>0</v>
      </c>
      <c r="CY642" s="37">
        <v>0</v>
      </c>
      <c r="CZ642" s="37">
        <v>0</v>
      </c>
      <c r="DA642" s="37">
        <v>0</v>
      </c>
      <c r="DB642" s="37">
        <v>0</v>
      </c>
      <c r="DC642" s="37">
        <v>0</v>
      </c>
      <c r="DD642" s="37">
        <v>0</v>
      </c>
      <c r="DE642" s="37">
        <v>0</v>
      </c>
      <c r="DF642" s="37">
        <v>0</v>
      </c>
      <c r="DG642" s="37">
        <v>0</v>
      </c>
      <c r="DH642" s="37">
        <v>0</v>
      </c>
      <c r="DI642" s="37">
        <v>0</v>
      </c>
      <c r="DJ642" s="37">
        <v>0</v>
      </c>
      <c r="DK642" s="37">
        <v>0</v>
      </c>
      <c r="DL642" s="37">
        <v>0</v>
      </c>
      <c r="DM642" s="37">
        <v>0</v>
      </c>
      <c r="DN642" s="37">
        <v>0</v>
      </c>
      <c r="DO642" s="37">
        <v>0</v>
      </c>
      <c r="DP642" s="37">
        <v>0</v>
      </c>
      <c r="DQ642" s="37">
        <v>0</v>
      </c>
      <c r="DR642" s="37">
        <v>0</v>
      </c>
      <c r="DS642" s="37">
        <v>0</v>
      </c>
      <c r="DT642" s="37">
        <v>0</v>
      </c>
      <c r="DU642" s="37">
        <v>0</v>
      </c>
      <c r="DV642" s="37">
        <v>0</v>
      </c>
      <c r="DW642" s="37">
        <v>0</v>
      </c>
      <c r="DX642" s="37">
        <v>0</v>
      </c>
      <c r="DY642" s="37">
        <v>0</v>
      </c>
      <c r="DZ642" s="37">
        <v>0</v>
      </c>
      <c r="EA642" s="37">
        <v>0</v>
      </c>
      <c r="EB642" s="37">
        <v>0</v>
      </c>
      <c r="EC642" s="37">
        <v>0</v>
      </c>
      <c r="ED642" s="37">
        <v>0</v>
      </c>
      <c r="EE642" s="37">
        <v>0</v>
      </c>
      <c r="EF642" s="37">
        <v>0</v>
      </c>
      <c r="EG642" s="37">
        <v>0</v>
      </c>
      <c r="EH642" s="37">
        <v>0</v>
      </c>
      <c r="EI642" s="37">
        <v>0</v>
      </c>
      <c r="EJ642" s="37">
        <v>0</v>
      </c>
      <c r="EK642" s="161" t="s">
        <v>2753</v>
      </c>
      <c r="EL642" s="294" t="s">
        <v>1124</v>
      </c>
    </row>
    <row r="643" spans="1:142" ht="15" customHeight="1" x14ac:dyDescent="0.35">
      <c r="A643" s="34"/>
      <c r="B643" s="313">
        <v>52090</v>
      </c>
      <c r="C643" s="8" t="s">
        <v>528</v>
      </c>
      <c r="D643" s="18">
        <v>14</v>
      </c>
      <c r="E643" s="155">
        <v>11440</v>
      </c>
      <c r="F643" s="36">
        <v>0</v>
      </c>
      <c r="G643" s="37">
        <v>0</v>
      </c>
      <c r="H643" s="37">
        <v>0</v>
      </c>
      <c r="I643" s="37">
        <v>0</v>
      </c>
      <c r="J643" s="37">
        <v>0</v>
      </c>
      <c r="K643" s="37">
        <v>0</v>
      </c>
      <c r="L643" s="37">
        <v>0</v>
      </c>
      <c r="M643" s="37">
        <v>11440</v>
      </c>
      <c r="N643" s="37">
        <v>0</v>
      </c>
      <c r="O643" s="37">
        <v>0</v>
      </c>
      <c r="P643" s="37">
        <v>0</v>
      </c>
      <c r="Q643" s="37">
        <v>15655</v>
      </c>
      <c r="R643" s="37">
        <v>0</v>
      </c>
      <c r="S643" s="37">
        <v>698</v>
      </c>
      <c r="T643" s="37">
        <v>0</v>
      </c>
      <c r="U643" s="37">
        <v>1148</v>
      </c>
      <c r="V643" s="37">
        <v>1979</v>
      </c>
      <c r="W643" s="37">
        <v>0</v>
      </c>
      <c r="X643" s="37">
        <v>0</v>
      </c>
      <c r="Y643" s="37">
        <v>0</v>
      </c>
      <c r="Z643" s="37">
        <v>0</v>
      </c>
      <c r="AA643" s="37">
        <v>17501</v>
      </c>
      <c r="AB643" s="37">
        <v>1979</v>
      </c>
      <c r="AC643" s="37">
        <v>8040</v>
      </c>
      <c r="AD643" s="37">
        <v>8040</v>
      </c>
      <c r="AE643" s="37">
        <v>18664</v>
      </c>
      <c r="AF643" s="168">
        <v>0.02</v>
      </c>
      <c r="AG643" s="37">
        <v>1237975.76</v>
      </c>
      <c r="AH643" s="37">
        <v>116524.8</v>
      </c>
      <c r="AI643" s="37">
        <v>7964.85</v>
      </c>
      <c r="AJ643" s="37">
        <v>8124.15</v>
      </c>
      <c r="AK643" s="37">
        <v>8286.6299999999992</v>
      </c>
      <c r="AL643" s="37">
        <v>8452.3700000000008</v>
      </c>
      <c r="AM643" s="37">
        <v>8621.41</v>
      </c>
      <c r="AN643" s="37">
        <v>8793.84</v>
      </c>
      <c r="AO643" s="37">
        <v>8969.7199999999993</v>
      </c>
      <c r="AP643" s="37">
        <v>9149.11</v>
      </c>
      <c r="AQ643" s="37">
        <v>9332.6200000000008</v>
      </c>
      <c r="AR643" s="37">
        <v>194219.5</v>
      </c>
      <c r="AS643" s="37">
        <v>20808</v>
      </c>
      <c r="AT643" s="37">
        <v>0</v>
      </c>
      <c r="AU643" s="37">
        <v>0</v>
      </c>
      <c r="AV643" s="37">
        <v>0</v>
      </c>
      <c r="AW643" s="37">
        <v>0</v>
      </c>
      <c r="AX643" s="37">
        <v>0</v>
      </c>
      <c r="AY643" s="37">
        <v>0</v>
      </c>
      <c r="AZ643" s="37">
        <v>0</v>
      </c>
      <c r="BA643" s="37">
        <v>0</v>
      </c>
      <c r="BB643" s="37">
        <v>0</v>
      </c>
      <c r="BC643" s="37">
        <v>0</v>
      </c>
      <c r="BD643" s="37">
        <v>0</v>
      </c>
      <c r="BE643" s="37">
        <v>0</v>
      </c>
      <c r="BF643" s="37">
        <v>30708.621400662014</v>
      </c>
      <c r="BG643" s="37">
        <v>33100.018228355875</v>
      </c>
      <c r="BH643" s="37">
        <v>40747.58741904467</v>
      </c>
      <c r="BI643" s="37">
        <v>48395.172951937479</v>
      </c>
      <c r="BJ643" s="37">
        <v>0</v>
      </c>
      <c r="BK643" s="37">
        <v>0</v>
      </c>
      <c r="BL643" s="37">
        <v>0</v>
      </c>
      <c r="BM643" s="37">
        <v>0</v>
      </c>
      <c r="BN643" s="37">
        <v>0</v>
      </c>
      <c r="BO643" s="37">
        <v>0</v>
      </c>
      <c r="BP643" s="37">
        <v>152951.40000000002</v>
      </c>
      <c r="BQ643" s="37">
        <v>0</v>
      </c>
      <c r="BR643" s="37">
        <v>0</v>
      </c>
      <c r="BS643" s="37">
        <v>0</v>
      </c>
      <c r="BT643" s="37">
        <v>0</v>
      </c>
      <c r="BU643" s="37">
        <v>0</v>
      </c>
      <c r="BV643" s="37">
        <v>0</v>
      </c>
      <c r="BW643" s="37">
        <v>0</v>
      </c>
      <c r="BX643" s="37">
        <v>0</v>
      </c>
      <c r="BY643" s="37">
        <v>0</v>
      </c>
      <c r="BZ643" s="37">
        <v>0</v>
      </c>
      <c r="CA643" s="37">
        <v>0</v>
      </c>
      <c r="CB643" s="37">
        <v>0</v>
      </c>
      <c r="CC643" s="37">
        <v>0</v>
      </c>
      <c r="CD643" s="37">
        <v>6826.3064452009485</v>
      </c>
      <c r="CE643" s="37">
        <v>7357.8968205854926</v>
      </c>
      <c r="CF643" s="37">
        <v>9057.8966406814125</v>
      </c>
      <c r="CG643" s="37">
        <v>10757.900093532158</v>
      </c>
      <c r="CH643" s="37">
        <v>0</v>
      </c>
      <c r="CI643" s="37">
        <v>0</v>
      </c>
      <c r="CJ643" s="37">
        <v>0</v>
      </c>
      <c r="CK643" s="37">
        <v>0</v>
      </c>
      <c r="CL643" s="37">
        <v>0</v>
      </c>
      <c r="CM643" s="37">
        <v>0</v>
      </c>
      <c r="CN643" s="37">
        <v>34000.000000000015</v>
      </c>
      <c r="CO643" s="37">
        <v>0</v>
      </c>
      <c r="CP643" s="37">
        <v>0</v>
      </c>
      <c r="CQ643" s="37">
        <v>0</v>
      </c>
      <c r="CR643" s="37">
        <v>0</v>
      </c>
      <c r="CS643" s="37">
        <v>0</v>
      </c>
      <c r="CT643" s="37">
        <v>0</v>
      </c>
      <c r="CU643" s="37">
        <v>0</v>
      </c>
      <c r="CV643" s="37">
        <v>0</v>
      </c>
      <c r="CW643" s="37">
        <v>0</v>
      </c>
      <c r="CX643" s="37">
        <v>0</v>
      </c>
      <c r="CY643" s="37">
        <v>0</v>
      </c>
      <c r="CZ643" s="37">
        <v>0</v>
      </c>
      <c r="DA643" s="37">
        <v>0</v>
      </c>
      <c r="DB643" s="37">
        <v>0</v>
      </c>
      <c r="DC643" s="37">
        <v>0</v>
      </c>
      <c r="DD643" s="37">
        <v>0</v>
      </c>
      <c r="DE643" s="37">
        <v>0</v>
      </c>
      <c r="DF643" s="37">
        <v>0</v>
      </c>
      <c r="DG643" s="37">
        <v>0</v>
      </c>
      <c r="DH643" s="37">
        <v>0</v>
      </c>
      <c r="DI643" s="37">
        <v>0</v>
      </c>
      <c r="DJ643" s="37">
        <v>0</v>
      </c>
      <c r="DK643" s="37">
        <v>0</v>
      </c>
      <c r="DL643" s="37">
        <v>0</v>
      </c>
      <c r="DM643" s="37">
        <v>0</v>
      </c>
      <c r="DN643" s="37">
        <v>0</v>
      </c>
      <c r="DO643" s="37">
        <v>0</v>
      </c>
      <c r="DP643" s="37">
        <v>0</v>
      </c>
      <c r="DQ643" s="37">
        <v>0</v>
      </c>
      <c r="DR643" s="37">
        <v>0</v>
      </c>
      <c r="DS643" s="37">
        <v>0</v>
      </c>
      <c r="DT643" s="37">
        <v>0</v>
      </c>
      <c r="DU643" s="37">
        <v>0</v>
      </c>
      <c r="DV643" s="37">
        <v>0</v>
      </c>
      <c r="DW643" s="37">
        <v>0</v>
      </c>
      <c r="DX643" s="37">
        <v>0</v>
      </c>
      <c r="DY643" s="37">
        <v>0</v>
      </c>
      <c r="DZ643" s="37">
        <v>0</v>
      </c>
      <c r="EA643" s="37">
        <v>0</v>
      </c>
      <c r="EB643" s="37">
        <v>0</v>
      </c>
      <c r="EC643" s="37">
        <v>0</v>
      </c>
      <c r="ED643" s="37">
        <v>0</v>
      </c>
      <c r="EE643" s="37">
        <v>0</v>
      </c>
      <c r="EF643" s="37">
        <v>0</v>
      </c>
      <c r="EG643" s="37">
        <v>0</v>
      </c>
      <c r="EH643" s="37">
        <v>0</v>
      </c>
      <c r="EI643" s="37">
        <v>0</v>
      </c>
      <c r="EJ643" s="37">
        <v>0</v>
      </c>
      <c r="EK643" s="161" t="s">
        <v>2756</v>
      </c>
      <c r="EL643" s="294" t="s">
        <v>1124</v>
      </c>
    </row>
    <row r="644" spans="1:142" ht="15" customHeight="1" x14ac:dyDescent="0.35">
      <c r="A644" s="34"/>
      <c r="B644" s="313">
        <v>54060</v>
      </c>
      <c r="C644" s="8" t="s">
        <v>548</v>
      </c>
      <c r="D644" s="18">
        <v>16</v>
      </c>
      <c r="E644" s="155">
        <v>327394</v>
      </c>
      <c r="F644" s="36">
        <v>279060</v>
      </c>
      <c r="G644" s="37">
        <v>13149</v>
      </c>
      <c r="H644" s="37">
        <v>2589</v>
      </c>
      <c r="I644" s="37">
        <v>52670</v>
      </c>
      <c r="J644" s="37">
        <v>9799</v>
      </c>
      <c r="K644" s="37">
        <v>32739.4</v>
      </c>
      <c r="L644" s="37">
        <v>27906</v>
      </c>
      <c r="M644" s="37">
        <v>425952.4</v>
      </c>
      <c r="N644" s="37">
        <v>319354</v>
      </c>
      <c r="O644" s="37">
        <v>52670</v>
      </c>
      <c r="P644" s="37">
        <v>0</v>
      </c>
      <c r="Q644" s="37">
        <v>164181</v>
      </c>
      <c r="R644" s="37">
        <v>162875</v>
      </c>
      <c r="S644" s="37">
        <v>0</v>
      </c>
      <c r="T644" s="37">
        <v>0</v>
      </c>
      <c r="U644" s="37">
        <v>9201</v>
      </c>
      <c r="V644" s="37">
        <v>3083</v>
      </c>
      <c r="W644" s="37">
        <v>199900</v>
      </c>
      <c r="X644" s="37">
        <v>153396</v>
      </c>
      <c r="Y644" s="37">
        <v>0</v>
      </c>
      <c r="Z644" s="37">
        <v>0</v>
      </c>
      <c r="AA644" s="37">
        <v>425952</v>
      </c>
      <c r="AB644" s="37">
        <v>319354</v>
      </c>
      <c r="AC644" s="37">
        <v>0</v>
      </c>
      <c r="AD644" s="37">
        <v>0</v>
      </c>
      <c r="AE644" s="37">
        <v>0</v>
      </c>
      <c r="AF644" s="168">
        <v>0.02</v>
      </c>
      <c r="AG644" s="37">
        <v>23809864.079999998</v>
      </c>
      <c r="AH644" s="37">
        <v>325660.81</v>
      </c>
      <c r="AI644" s="37">
        <v>330051.61</v>
      </c>
      <c r="AJ644" s="37">
        <v>336652.64</v>
      </c>
      <c r="AK644" s="37">
        <v>343385.69</v>
      </c>
      <c r="AL644" s="37">
        <v>350253.4</v>
      </c>
      <c r="AM644" s="37">
        <v>357258.47</v>
      </c>
      <c r="AN644" s="37">
        <v>364403.64</v>
      </c>
      <c r="AO644" s="37">
        <v>371691.72</v>
      </c>
      <c r="AP644" s="37">
        <v>379125.55</v>
      </c>
      <c r="AQ644" s="37">
        <v>386708.06</v>
      </c>
      <c r="AR644" s="37">
        <v>3545191.59</v>
      </c>
      <c r="AS644" s="37">
        <v>0</v>
      </c>
      <c r="AT644" s="37">
        <v>0</v>
      </c>
      <c r="AU644" s="37">
        <v>0</v>
      </c>
      <c r="AV644" s="37">
        <v>0</v>
      </c>
      <c r="AW644" s="37">
        <v>0</v>
      </c>
      <c r="AX644" s="37">
        <v>0</v>
      </c>
      <c r="AY644" s="37">
        <v>0</v>
      </c>
      <c r="AZ644" s="37">
        <v>0</v>
      </c>
      <c r="BA644" s="37">
        <v>0</v>
      </c>
      <c r="BB644" s="37">
        <v>0</v>
      </c>
      <c r="BC644" s="37">
        <v>0</v>
      </c>
      <c r="BD644" s="37">
        <v>0</v>
      </c>
      <c r="BE644" s="37">
        <v>0</v>
      </c>
      <c r="BF644" s="37">
        <v>518785</v>
      </c>
      <c r="BG644" s="37">
        <v>0</v>
      </c>
      <c r="BH644" s="37">
        <v>0</v>
      </c>
      <c r="BI644" s="37">
        <v>0</v>
      </c>
      <c r="BJ644" s="37">
        <v>0</v>
      </c>
      <c r="BK644" s="37">
        <v>0</v>
      </c>
      <c r="BL644" s="37">
        <v>0</v>
      </c>
      <c r="BM644" s="37">
        <v>0</v>
      </c>
      <c r="BN644" s="37">
        <v>0</v>
      </c>
      <c r="BO644" s="37">
        <v>0</v>
      </c>
      <c r="BP644" s="37">
        <v>518785</v>
      </c>
      <c r="BQ644" s="37">
        <v>86176</v>
      </c>
      <c r="BR644" s="37">
        <v>0</v>
      </c>
      <c r="BS644" s="37">
        <v>0</v>
      </c>
      <c r="BT644" s="37">
        <v>0</v>
      </c>
      <c r="BU644" s="37">
        <v>0</v>
      </c>
      <c r="BV644" s="37">
        <v>0</v>
      </c>
      <c r="BW644" s="37">
        <v>0</v>
      </c>
      <c r="BX644" s="37">
        <v>0</v>
      </c>
      <c r="BY644" s="37">
        <v>0</v>
      </c>
      <c r="BZ644" s="37">
        <v>0</v>
      </c>
      <c r="CA644" s="37">
        <v>0</v>
      </c>
      <c r="CB644" s="37">
        <v>0</v>
      </c>
      <c r="CC644" s="37">
        <v>0</v>
      </c>
      <c r="CD644" s="37">
        <v>0</v>
      </c>
      <c r="CE644" s="37">
        <v>0</v>
      </c>
      <c r="CF644" s="37">
        <v>0</v>
      </c>
      <c r="CG644" s="37">
        <v>0</v>
      </c>
      <c r="CH644" s="37">
        <v>0</v>
      </c>
      <c r="CI644" s="37">
        <v>0</v>
      </c>
      <c r="CJ644" s="37">
        <v>0</v>
      </c>
      <c r="CK644" s="37">
        <v>0</v>
      </c>
      <c r="CL644" s="37">
        <v>0</v>
      </c>
      <c r="CM644" s="37">
        <v>0</v>
      </c>
      <c r="CN644" s="37">
        <v>0</v>
      </c>
      <c r="CO644" s="37">
        <v>0</v>
      </c>
      <c r="CP644" s="37">
        <v>0</v>
      </c>
      <c r="CQ644" s="37">
        <v>0</v>
      </c>
      <c r="CR644" s="37">
        <v>0</v>
      </c>
      <c r="CS644" s="37">
        <v>0</v>
      </c>
      <c r="CT644" s="37">
        <v>0</v>
      </c>
      <c r="CU644" s="37">
        <v>0</v>
      </c>
      <c r="CV644" s="37">
        <v>0</v>
      </c>
      <c r="CW644" s="37">
        <v>0</v>
      </c>
      <c r="CX644" s="37">
        <v>0</v>
      </c>
      <c r="CY644" s="37">
        <v>0</v>
      </c>
      <c r="CZ644" s="37">
        <v>0</v>
      </c>
      <c r="DA644" s="37">
        <v>0</v>
      </c>
      <c r="DB644" s="37">
        <v>0</v>
      </c>
      <c r="DC644" s="37">
        <v>0</v>
      </c>
      <c r="DD644" s="37">
        <v>0</v>
      </c>
      <c r="DE644" s="37">
        <v>0</v>
      </c>
      <c r="DF644" s="37">
        <v>0</v>
      </c>
      <c r="DG644" s="37">
        <v>0</v>
      </c>
      <c r="DH644" s="37">
        <v>0</v>
      </c>
      <c r="DI644" s="37">
        <v>0</v>
      </c>
      <c r="DJ644" s="37">
        <v>0</v>
      </c>
      <c r="DK644" s="37">
        <v>0</v>
      </c>
      <c r="DL644" s="37">
        <v>0</v>
      </c>
      <c r="DM644" s="37">
        <v>0</v>
      </c>
      <c r="DN644" s="37">
        <v>0</v>
      </c>
      <c r="DO644" s="37">
        <v>0</v>
      </c>
      <c r="DP644" s="37">
        <v>0</v>
      </c>
      <c r="DQ644" s="37">
        <v>0</v>
      </c>
      <c r="DR644" s="37">
        <v>0</v>
      </c>
      <c r="DS644" s="37">
        <v>0</v>
      </c>
      <c r="DT644" s="37">
        <v>0</v>
      </c>
      <c r="DU644" s="37">
        <v>0</v>
      </c>
      <c r="DV644" s="37">
        <v>0</v>
      </c>
      <c r="DW644" s="37">
        <v>0</v>
      </c>
      <c r="DX644" s="37">
        <v>0</v>
      </c>
      <c r="DY644" s="37">
        <v>0</v>
      </c>
      <c r="DZ644" s="37">
        <v>0</v>
      </c>
      <c r="EA644" s="37">
        <v>0</v>
      </c>
      <c r="EB644" s="37">
        <v>0</v>
      </c>
      <c r="EC644" s="37">
        <v>0</v>
      </c>
      <c r="ED644" s="37">
        <v>0</v>
      </c>
      <c r="EE644" s="37">
        <v>0</v>
      </c>
      <c r="EF644" s="37">
        <v>0</v>
      </c>
      <c r="EG644" s="37">
        <v>0</v>
      </c>
      <c r="EH644" s="37">
        <v>0</v>
      </c>
      <c r="EI644" s="37">
        <v>0</v>
      </c>
      <c r="EJ644" s="37">
        <v>0</v>
      </c>
      <c r="EK644" s="161" t="s">
        <v>2759</v>
      </c>
      <c r="EL644" s="294" t="s">
        <v>1124</v>
      </c>
    </row>
    <row r="645" spans="1:142" ht="15" customHeight="1" x14ac:dyDescent="0.35">
      <c r="A645" s="34"/>
      <c r="B645" s="313">
        <v>88065</v>
      </c>
      <c r="C645" s="8" t="s">
        <v>922</v>
      </c>
      <c r="D645" s="18">
        <v>8</v>
      </c>
      <c r="E645" s="155"/>
      <c r="F645" s="36"/>
      <c r="G645" s="37"/>
      <c r="H645" s="37"/>
      <c r="I645" s="37"/>
      <c r="J645" s="37"/>
      <c r="K645" s="37"/>
      <c r="L645" s="37"/>
      <c r="M645" s="37" t="s">
        <v>1124</v>
      </c>
      <c r="N645" s="37" t="s">
        <v>1124</v>
      </c>
      <c r="O645" s="37"/>
      <c r="P645" s="37"/>
      <c r="Q645" s="37"/>
      <c r="R645" s="37"/>
      <c r="S645" s="37"/>
      <c r="T645" s="37"/>
      <c r="U645" s="37"/>
      <c r="V645" s="37"/>
      <c r="W645" s="37"/>
      <c r="X645" s="37"/>
      <c r="Y645" s="37"/>
      <c r="Z645" s="37"/>
      <c r="AA645" s="37" t="s">
        <v>1124</v>
      </c>
      <c r="AB645" s="37" t="s">
        <v>1124</v>
      </c>
      <c r="AC645" s="37"/>
      <c r="AD645" s="37"/>
      <c r="AE645" s="37"/>
      <c r="AF645" s="168"/>
      <c r="AG645" s="37"/>
      <c r="AH645" s="37"/>
      <c r="AI645" s="37"/>
      <c r="AJ645" s="37"/>
      <c r="AK645" s="37"/>
      <c r="AL645" s="37"/>
      <c r="AM645" s="37"/>
      <c r="AN645" s="37"/>
      <c r="AO645" s="37"/>
      <c r="AP645" s="37"/>
      <c r="AQ645" s="37"/>
      <c r="AR645" s="37" t="s">
        <v>1124</v>
      </c>
      <c r="AS645" s="37"/>
      <c r="AT645" s="37"/>
      <c r="AU645" s="37"/>
      <c r="AV645" s="37"/>
      <c r="AW645" s="37"/>
      <c r="AX645" s="37"/>
      <c r="AY645" s="37"/>
      <c r="AZ645" s="37"/>
      <c r="BA645" s="37"/>
      <c r="BB645" s="37"/>
      <c r="BC645" s="37"/>
      <c r="BD645" s="37" t="s">
        <v>1124</v>
      </c>
      <c r="BE645" s="37"/>
      <c r="BF645" s="37"/>
      <c r="BG645" s="37"/>
      <c r="BH645" s="37"/>
      <c r="BI645" s="37"/>
      <c r="BJ645" s="37"/>
      <c r="BK645" s="37"/>
      <c r="BL645" s="37"/>
      <c r="BM645" s="37"/>
      <c r="BN645" s="37"/>
      <c r="BO645" s="37"/>
      <c r="BP645" s="37">
        <v>0</v>
      </c>
      <c r="BQ645" s="37"/>
      <c r="BR645" s="37"/>
      <c r="BS645" s="37"/>
      <c r="BT645" s="37"/>
      <c r="BU645" s="37"/>
      <c r="BV645" s="37"/>
      <c r="BW645" s="37"/>
      <c r="BX645" s="37"/>
      <c r="BY645" s="37"/>
      <c r="BZ645" s="37"/>
      <c r="CA645" s="37"/>
      <c r="CB645" s="37" t="s">
        <v>1124</v>
      </c>
      <c r="CC645" s="37"/>
      <c r="CD645" s="37"/>
      <c r="CE645" s="37"/>
      <c r="CF645" s="37"/>
      <c r="CG645" s="37"/>
      <c r="CH645" s="37"/>
      <c r="CI645" s="37"/>
      <c r="CJ645" s="37"/>
      <c r="CK645" s="37"/>
      <c r="CL645" s="37"/>
      <c r="CM645" s="37"/>
      <c r="CN645" s="37" t="s">
        <v>1124</v>
      </c>
      <c r="CO645" s="37"/>
      <c r="CP645" s="37"/>
      <c r="CQ645" s="37"/>
      <c r="CR645" s="37"/>
      <c r="CS645" s="37"/>
      <c r="CT645" s="37"/>
      <c r="CU645" s="37"/>
      <c r="CV645" s="37"/>
      <c r="CW645" s="37"/>
      <c r="CX645" s="37"/>
      <c r="CY645" s="37"/>
      <c r="CZ645" s="37" t="s">
        <v>1124</v>
      </c>
      <c r="DA645" s="37"/>
      <c r="DB645" s="37"/>
      <c r="DC645" s="37"/>
      <c r="DD645" s="37"/>
      <c r="DE645" s="37"/>
      <c r="DF645" s="37"/>
      <c r="DG645" s="37"/>
      <c r="DH645" s="37"/>
      <c r="DI645" s="37"/>
      <c r="DJ645" s="37"/>
      <c r="DK645" s="37"/>
      <c r="DL645" s="37" t="s">
        <v>1124</v>
      </c>
      <c r="DM645" s="37"/>
      <c r="DN645" s="37"/>
      <c r="DO645" s="37"/>
      <c r="DP645" s="37"/>
      <c r="DQ645" s="37"/>
      <c r="DR645" s="37"/>
      <c r="DS645" s="37"/>
      <c r="DT645" s="37"/>
      <c r="DU645" s="37"/>
      <c r="DV645" s="37"/>
      <c r="DW645" s="37"/>
      <c r="DX645" s="37" t="s">
        <v>1124</v>
      </c>
      <c r="DY645" s="37"/>
      <c r="DZ645" s="37"/>
      <c r="EA645" s="37"/>
      <c r="EB645" s="37"/>
      <c r="EC645" s="37"/>
      <c r="ED645" s="37"/>
      <c r="EE645" s="37"/>
      <c r="EF645" s="37"/>
      <c r="EG645" s="37"/>
      <c r="EH645" s="37"/>
      <c r="EI645" s="37"/>
      <c r="EJ645" s="37" t="s">
        <v>1124</v>
      </c>
      <c r="EK645" s="161"/>
      <c r="EL645" s="294"/>
    </row>
    <row r="646" spans="1:142" ht="15" customHeight="1" x14ac:dyDescent="0.35">
      <c r="A646" s="34"/>
      <c r="B646" s="313">
        <v>9030</v>
      </c>
      <c r="C646" s="8" t="s">
        <v>1102</v>
      </c>
      <c r="D646" s="18">
        <v>1</v>
      </c>
      <c r="E646" s="155"/>
      <c r="F646" s="36"/>
      <c r="G646" s="37"/>
      <c r="H646" s="37"/>
      <c r="I646" s="37"/>
      <c r="J646" s="37"/>
      <c r="K646" s="37"/>
      <c r="L646" s="37"/>
      <c r="M646" s="37" t="s">
        <v>1124</v>
      </c>
      <c r="N646" s="37" t="s">
        <v>1124</v>
      </c>
      <c r="O646" s="37"/>
      <c r="P646" s="37"/>
      <c r="Q646" s="37"/>
      <c r="R646" s="37"/>
      <c r="S646" s="37"/>
      <c r="T646" s="37"/>
      <c r="U646" s="37"/>
      <c r="V646" s="37"/>
      <c r="W646" s="37"/>
      <c r="X646" s="37"/>
      <c r="Y646" s="37"/>
      <c r="Z646" s="37"/>
      <c r="AA646" s="37" t="s">
        <v>1124</v>
      </c>
      <c r="AB646" s="37" t="s">
        <v>1124</v>
      </c>
      <c r="AC646" s="37"/>
      <c r="AD646" s="37"/>
      <c r="AE646" s="37"/>
      <c r="AF646" s="168"/>
      <c r="AG646" s="37"/>
      <c r="AH646" s="37"/>
      <c r="AI646" s="37"/>
      <c r="AJ646" s="37"/>
      <c r="AK646" s="37"/>
      <c r="AL646" s="37"/>
      <c r="AM646" s="37"/>
      <c r="AN646" s="37"/>
      <c r="AO646" s="37"/>
      <c r="AP646" s="37"/>
      <c r="AQ646" s="37"/>
      <c r="AR646" s="37" t="s">
        <v>1124</v>
      </c>
      <c r="AS646" s="37"/>
      <c r="AT646" s="37"/>
      <c r="AU646" s="37"/>
      <c r="AV646" s="37"/>
      <c r="AW646" s="37"/>
      <c r="AX646" s="37"/>
      <c r="AY646" s="37"/>
      <c r="AZ646" s="37"/>
      <c r="BA646" s="37"/>
      <c r="BB646" s="37"/>
      <c r="BC646" s="37"/>
      <c r="BD646" s="37" t="s">
        <v>1124</v>
      </c>
      <c r="BE646" s="37"/>
      <c r="BF646" s="37"/>
      <c r="BG646" s="37"/>
      <c r="BH646" s="37"/>
      <c r="BI646" s="37"/>
      <c r="BJ646" s="37"/>
      <c r="BK646" s="37"/>
      <c r="BL646" s="37"/>
      <c r="BM646" s="37"/>
      <c r="BN646" s="37"/>
      <c r="BO646" s="37"/>
      <c r="BP646" s="37">
        <v>0</v>
      </c>
      <c r="BQ646" s="37"/>
      <c r="BR646" s="37"/>
      <c r="BS646" s="37"/>
      <c r="BT646" s="37"/>
      <c r="BU646" s="37"/>
      <c r="BV646" s="37"/>
      <c r="BW646" s="37"/>
      <c r="BX646" s="37"/>
      <c r="BY646" s="37"/>
      <c r="BZ646" s="37"/>
      <c r="CA646" s="37"/>
      <c r="CB646" s="37" t="s">
        <v>1124</v>
      </c>
      <c r="CC646" s="37"/>
      <c r="CD646" s="37"/>
      <c r="CE646" s="37"/>
      <c r="CF646" s="37"/>
      <c r="CG646" s="37"/>
      <c r="CH646" s="37"/>
      <c r="CI646" s="37"/>
      <c r="CJ646" s="37"/>
      <c r="CK646" s="37"/>
      <c r="CL646" s="37"/>
      <c r="CM646" s="37"/>
      <c r="CN646" s="37" t="s">
        <v>1124</v>
      </c>
      <c r="CO646" s="37"/>
      <c r="CP646" s="37"/>
      <c r="CQ646" s="37"/>
      <c r="CR646" s="37"/>
      <c r="CS646" s="37"/>
      <c r="CT646" s="37"/>
      <c r="CU646" s="37"/>
      <c r="CV646" s="37"/>
      <c r="CW646" s="37"/>
      <c r="CX646" s="37"/>
      <c r="CY646" s="37"/>
      <c r="CZ646" s="37" t="s">
        <v>1124</v>
      </c>
      <c r="DA646" s="37"/>
      <c r="DB646" s="37"/>
      <c r="DC646" s="37"/>
      <c r="DD646" s="37"/>
      <c r="DE646" s="37"/>
      <c r="DF646" s="37"/>
      <c r="DG646" s="37"/>
      <c r="DH646" s="37"/>
      <c r="DI646" s="37"/>
      <c r="DJ646" s="37"/>
      <c r="DK646" s="37"/>
      <c r="DL646" s="37" t="s">
        <v>1124</v>
      </c>
      <c r="DM646" s="37"/>
      <c r="DN646" s="37"/>
      <c r="DO646" s="37"/>
      <c r="DP646" s="37"/>
      <c r="DQ646" s="37"/>
      <c r="DR646" s="37"/>
      <c r="DS646" s="37"/>
      <c r="DT646" s="37"/>
      <c r="DU646" s="37"/>
      <c r="DV646" s="37"/>
      <c r="DW646" s="37"/>
      <c r="DX646" s="37" t="s">
        <v>1124</v>
      </c>
      <c r="DY646" s="37"/>
      <c r="DZ646" s="37"/>
      <c r="EA646" s="37"/>
      <c r="EB646" s="37"/>
      <c r="EC646" s="37"/>
      <c r="ED646" s="37"/>
      <c r="EE646" s="37"/>
      <c r="EF646" s="37"/>
      <c r="EG646" s="37"/>
      <c r="EH646" s="37"/>
      <c r="EI646" s="37"/>
      <c r="EJ646" s="37" t="s">
        <v>1124</v>
      </c>
      <c r="EK646" s="161"/>
      <c r="EL646" s="294"/>
    </row>
    <row r="647" spans="1:142" ht="15" customHeight="1" x14ac:dyDescent="0.35">
      <c r="A647" s="34"/>
      <c r="B647" s="313">
        <v>62060</v>
      </c>
      <c r="C647" s="8" t="s">
        <v>628</v>
      </c>
      <c r="D647" s="18">
        <v>14</v>
      </c>
      <c r="E647" s="155"/>
      <c r="F647" s="36"/>
      <c r="G647" s="37"/>
      <c r="H647" s="37"/>
      <c r="I647" s="37"/>
      <c r="J647" s="37"/>
      <c r="K647" s="37"/>
      <c r="L647" s="37"/>
      <c r="M647" s="37" t="s">
        <v>1124</v>
      </c>
      <c r="N647" s="37" t="s">
        <v>1124</v>
      </c>
      <c r="O647" s="37"/>
      <c r="P647" s="37"/>
      <c r="Q647" s="37"/>
      <c r="R647" s="37"/>
      <c r="S647" s="37"/>
      <c r="T647" s="37"/>
      <c r="U647" s="37"/>
      <c r="V647" s="37"/>
      <c r="W647" s="37"/>
      <c r="X647" s="37"/>
      <c r="Y647" s="37"/>
      <c r="Z647" s="37"/>
      <c r="AA647" s="37" t="s">
        <v>1124</v>
      </c>
      <c r="AB647" s="37" t="s">
        <v>1124</v>
      </c>
      <c r="AC647" s="37"/>
      <c r="AD647" s="37"/>
      <c r="AE647" s="37"/>
      <c r="AF647" s="168"/>
      <c r="AG647" s="37"/>
      <c r="AH647" s="37"/>
      <c r="AI647" s="37"/>
      <c r="AJ647" s="37"/>
      <c r="AK647" s="37"/>
      <c r="AL647" s="37"/>
      <c r="AM647" s="37"/>
      <c r="AN647" s="37"/>
      <c r="AO647" s="37"/>
      <c r="AP647" s="37"/>
      <c r="AQ647" s="37"/>
      <c r="AR647" s="37" t="s">
        <v>1124</v>
      </c>
      <c r="AS647" s="37"/>
      <c r="AT647" s="37"/>
      <c r="AU647" s="37"/>
      <c r="AV647" s="37"/>
      <c r="AW647" s="37"/>
      <c r="AX647" s="37"/>
      <c r="AY647" s="37"/>
      <c r="AZ647" s="37"/>
      <c r="BA647" s="37"/>
      <c r="BB647" s="37"/>
      <c r="BC647" s="37"/>
      <c r="BD647" s="37" t="s">
        <v>1124</v>
      </c>
      <c r="BE647" s="37"/>
      <c r="BF647" s="37"/>
      <c r="BG647" s="37"/>
      <c r="BH647" s="37"/>
      <c r="BI647" s="37"/>
      <c r="BJ647" s="37"/>
      <c r="BK647" s="37"/>
      <c r="BL647" s="37"/>
      <c r="BM647" s="37"/>
      <c r="BN647" s="37"/>
      <c r="BO647" s="37"/>
      <c r="BP647" s="37">
        <v>0</v>
      </c>
      <c r="BQ647" s="37"/>
      <c r="BR647" s="37"/>
      <c r="BS647" s="37"/>
      <c r="BT647" s="37"/>
      <c r="BU647" s="37"/>
      <c r="BV647" s="37"/>
      <c r="BW647" s="37"/>
      <c r="BX647" s="37"/>
      <c r="BY647" s="37"/>
      <c r="BZ647" s="37"/>
      <c r="CA647" s="37"/>
      <c r="CB647" s="37" t="s">
        <v>1124</v>
      </c>
      <c r="CC647" s="37"/>
      <c r="CD647" s="37"/>
      <c r="CE647" s="37"/>
      <c r="CF647" s="37"/>
      <c r="CG647" s="37"/>
      <c r="CH647" s="37"/>
      <c r="CI647" s="37"/>
      <c r="CJ647" s="37"/>
      <c r="CK647" s="37"/>
      <c r="CL647" s="37"/>
      <c r="CM647" s="37"/>
      <c r="CN647" s="37" t="s">
        <v>1124</v>
      </c>
      <c r="CO647" s="37"/>
      <c r="CP647" s="37"/>
      <c r="CQ647" s="37"/>
      <c r="CR647" s="37"/>
      <c r="CS647" s="37"/>
      <c r="CT647" s="37"/>
      <c r="CU647" s="37"/>
      <c r="CV647" s="37"/>
      <c r="CW647" s="37"/>
      <c r="CX647" s="37"/>
      <c r="CY647" s="37"/>
      <c r="CZ647" s="37" t="s">
        <v>1124</v>
      </c>
      <c r="DA647" s="37"/>
      <c r="DB647" s="37"/>
      <c r="DC647" s="37"/>
      <c r="DD647" s="37"/>
      <c r="DE647" s="37"/>
      <c r="DF647" s="37"/>
      <c r="DG647" s="37"/>
      <c r="DH647" s="37"/>
      <c r="DI647" s="37"/>
      <c r="DJ647" s="37"/>
      <c r="DK647" s="37"/>
      <c r="DL647" s="37" t="s">
        <v>1124</v>
      </c>
      <c r="DM647" s="37"/>
      <c r="DN647" s="37"/>
      <c r="DO647" s="37"/>
      <c r="DP647" s="37"/>
      <c r="DQ647" s="37"/>
      <c r="DR647" s="37"/>
      <c r="DS647" s="37"/>
      <c r="DT647" s="37"/>
      <c r="DU647" s="37"/>
      <c r="DV647" s="37"/>
      <c r="DW647" s="37"/>
      <c r="DX647" s="37" t="s">
        <v>1124</v>
      </c>
      <c r="DY647" s="37"/>
      <c r="DZ647" s="37"/>
      <c r="EA647" s="37"/>
      <c r="EB647" s="37"/>
      <c r="EC647" s="37"/>
      <c r="ED647" s="37"/>
      <c r="EE647" s="37"/>
      <c r="EF647" s="37"/>
      <c r="EG647" s="37"/>
      <c r="EH647" s="37"/>
      <c r="EI647" s="37"/>
      <c r="EJ647" s="37" t="s">
        <v>1124</v>
      </c>
      <c r="EK647" s="161"/>
      <c r="EL647" s="294"/>
    </row>
    <row r="648" spans="1:142" ht="15" customHeight="1" x14ac:dyDescent="0.35">
      <c r="A648" s="34"/>
      <c r="B648" s="313">
        <v>77022</v>
      </c>
      <c r="C648" s="8" t="s">
        <v>758</v>
      </c>
      <c r="D648" s="18">
        <v>15</v>
      </c>
      <c r="E648" s="155">
        <v>1976808</v>
      </c>
      <c r="F648" s="36">
        <v>1264152</v>
      </c>
      <c r="G648" s="37">
        <v>255087</v>
      </c>
      <c r="H648" s="37">
        <v>165873</v>
      </c>
      <c r="I648" s="37">
        <v>582387</v>
      </c>
      <c r="J648" s="37">
        <v>450608</v>
      </c>
      <c r="K648" s="37">
        <v>296521.2</v>
      </c>
      <c r="L648" s="37">
        <v>189622.8</v>
      </c>
      <c r="M648" s="37">
        <v>3110803.2</v>
      </c>
      <c r="N648" s="37">
        <v>2070255.8</v>
      </c>
      <c r="O648" s="37">
        <v>0</v>
      </c>
      <c r="P648" s="37">
        <v>0</v>
      </c>
      <c r="Q648" s="37">
        <v>1951168</v>
      </c>
      <c r="R648" s="37">
        <v>0</v>
      </c>
      <c r="S648" s="37">
        <v>31905</v>
      </c>
      <c r="T648" s="37">
        <v>10313</v>
      </c>
      <c r="U648" s="37">
        <v>21732</v>
      </c>
      <c r="V648" s="37">
        <v>65510</v>
      </c>
      <c r="W648" s="37">
        <v>1105998</v>
      </c>
      <c r="X648" s="37">
        <v>1994433</v>
      </c>
      <c r="Y648" s="37">
        <v>0</v>
      </c>
      <c r="Z648" s="37">
        <v>0</v>
      </c>
      <c r="AA648" s="37">
        <v>3110803</v>
      </c>
      <c r="AB648" s="37">
        <v>2070256</v>
      </c>
      <c r="AC648" s="37">
        <v>0</v>
      </c>
      <c r="AD648" s="37">
        <v>0</v>
      </c>
      <c r="AE648" s="37">
        <v>0</v>
      </c>
      <c r="AF648" s="168">
        <v>0.02</v>
      </c>
      <c r="AG648" s="37">
        <v>179339929.06999999</v>
      </c>
      <c r="AH648" s="37">
        <v>1703348.76</v>
      </c>
      <c r="AI648" s="37">
        <v>1737415.74</v>
      </c>
      <c r="AJ648" s="37">
        <v>1774328.92</v>
      </c>
      <c r="AK648" s="37">
        <v>1820856.3</v>
      </c>
      <c r="AL648" s="37">
        <v>2018314.65</v>
      </c>
      <c r="AM648" s="37">
        <v>3303856.21</v>
      </c>
      <c r="AN648" s="37">
        <v>1918247.36</v>
      </c>
      <c r="AO648" s="37">
        <v>1956612.31</v>
      </c>
      <c r="AP648" s="37">
        <v>2163965.79</v>
      </c>
      <c r="AQ648" s="37">
        <v>1945860.19</v>
      </c>
      <c r="AR648" s="37">
        <v>20342806.230000004</v>
      </c>
      <c r="AS648" s="37">
        <v>14872623.43</v>
      </c>
      <c r="AT648" s="37">
        <v>2388367.91</v>
      </c>
      <c r="AU648" s="37">
        <v>3326887.08</v>
      </c>
      <c r="AV648" s="37">
        <v>2919893.95</v>
      </c>
      <c r="AW648" s="37">
        <v>1263536.57</v>
      </c>
      <c r="AX648" s="37">
        <v>844508.83</v>
      </c>
      <c r="AY648" s="37">
        <v>259164.93</v>
      </c>
      <c r="AZ648" s="37">
        <v>0</v>
      </c>
      <c r="BA648" s="37">
        <v>0</v>
      </c>
      <c r="BB648" s="37">
        <v>316280.69</v>
      </c>
      <c r="BC648" s="37">
        <v>0</v>
      </c>
      <c r="BD648" s="37">
        <v>11318639.960000001</v>
      </c>
      <c r="BE648" s="37">
        <v>2090534</v>
      </c>
      <c r="BF648" s="37">
        <v>827784</v>
      </c>
      <c r="BG648" s="37">
        <v>0</v>
      </c>
      <c r="BH648" s="37">
        <v>100000</v>
      </c>
      <c r="BI648" s="37">
        <v>1260000</v>
      </c>
      <c r="BJ648" s="37">
        <v>0</v>
      </c>
      <c r="BK648" s="37">
        <v>0</v>
      </c>
      <c r="BL648" s="37">
        <v>0</v>
      </c>
      <c r="BM648" s="37">
        <v>0</v>
      </c>
      <c r="BN648" s="37">
        <v>0</v>
      </c>
      <c r="BO648" s="37">
        <v>0</v>
      </c>
      <c r="BP648" s="37">
        <v>2187784</v>
      </c>
      <c r="BQ648" s="37">
        <v>5923650</v>
      </c>
      <c r="BR648" s="37">
        <v>2653540</v>
      </c>
      <c r="BS648" s="37">
        <v>6320000</v>
      </c>
      <c r="BT648" s="37">
        <v>0</v>
      </c>
      <c r="BU648" s="37">
        <v>0</v>
      </c>
      <c r="BV648" s="37">
        <v>0</v>
      </c>
      <c r="BW648" s="37">
        <v>0</v>
      </c>
      <c r="BX648" s="37">
        <v>0</v>
      </c>
      <c r="BY648" s="37">
        <v>0</v>
      </c>
      <c r="BZ648" s="37">
        <v>0</v>
      </c>
      <c r="CA648" s="37">
        <v>0</v>
      </c>
      <c r="CB648" s="37">
        <v>8973540</v>
      </c>
      <c r="CC648" s="37">
        <v>50000</v>
      </c>
      <c r="CD648" s="37">
        <v>50000</v>
      </c>
      <c r="CE648" s="37">
        <v>0</v>
      </c>
      <c r="CF648" s="37">
        <v>0</v>
      </c>
      <c r="CG648" s="37">
        <v>0</v>
      </c>
      <c r="CH648" s="37">
        <v>0</v>
      </c>
      <c r="CI648" s="37">
        <v>0</v>
      </c>
      <c r="CJ648" s="37">
        <v>0</v>
      </c>
      <c r="CK648" s="37">
        <v>0</v>
      </c>
      <c r="CL648" s="37">
        <v>0</v>
      </c>
      <c r="CM648" s="37">
        <v>0</v>
      </c>
      <c r="CN648" s="37">
        <v>50000</v>
      </c>
      <c r="CO648" s="37">
        <v>269061</v>
      </c>
      <c r="CP648" s="37">
        <v>317023</v>
      </c>
      <c r="CQ648" s="37">
        <v>0</v>
      </c>
      <c r="CR648" s="37">
        <v>327932</v>
      </c>
      <c r="CS648" s="37">
        <v>0</v>
      </c>
      <c r="CT648" s="37">
        <v>0</v>
      </c>
      <c r="CU648" s="37">
        <v>0</v>
      </c>
      <c r="CV648" s="37">
        <v>0</v>
      </c>
      <c r="CW648" s="37">
        <v>0</v>
      </c>
      <c r="CX648" s="37">
        <v>0</v>
      </c>
      <c r="CY648" s="37">
        <v>0</v>
      </c>
      <c r="CZ648" s="37">
        <v>644955</v>
      </c>
      <c r="DA648" s="37">
        <v>0</v>
      </c>
      <c r="DB648" s="37">
        <v>0</v>
      </c>
      <c r="DC648" s="37">
        <v>0</v>
      </c>
      <c r="DD648" s="37">
        <v>0</v>
      </c>
      <c r="DE648" s="37">
        <v>0</v>
      </c>
      <c r="DF648" s="37">
        <v>0</v>
      </c>
      <c r="DG648" s="37">
        <v>0</v>
      </c>
      <c r="DH648" s="37">
        <v>0</v>
      </c>
      <c r="DI648" s="37">
        <v>0</v>
      </c>
      <c r="DJ648" s="37">
        <v>0</v>
      </c>
      <c r="DK648" s="37">
        <v>0</v>
      </c>
      <c r="DL648" s="37">
        <v>0</v>
      </c>
      <c r="DM648" s="37">
        <v>0</v>
      </c>
      <c r="DN648" s="37">
        <v>0</v>
      </c>
      <c r="DO648" s="37">
        <v>0</v>
      </c>
      <c r="DP648" s="37">
        <v>0</v>
      </c>
      <c r="DQ648" s="37">
        <v>0</v>
      </c>
      <c r="DR648" s="37">
        <v>0</v>
      </c>
      <c r="DS648" s="37">
        <v>0</v>
      </c>
      <c r="DT648" s="37">
        <v>0</v>
      </c>
      <c r="DU648" s="37">
        <v>0</v>
      </c>
      <c r="DV648" s="37">
        <v>0</v>
      </c>
      <c r="DW648" s="37">
        <v>0</v>
      </c>
      <c r="DX648" s="37">
        <v>0</v>
      </c>
      <c r="DY648" s="37">
        <v>0</v>
      </c>
      <c r="DZ648" s="37">
        <v>0</v>
      </c>
      <c r="EA648" s="37">
        <v>0</v>
      </c>
      <c r="EB648" s="37">
        <v>0</v>
      </c>
      <c r="EC648" s="37">
        <v>0</v>
      </c>
      <c r="ED648" s="37">
        <v>0</v>
      </c>
      <c r="EE648" s="37">
        <v>0</v>
      </c>
      <c r="EF648" s="37">
        <v>0</v>
      </c>
      <c r="EG648" s="37">
        <v>0</v>
      </c>
      <c r="EH648" s="37">
        <v>0</v>
      </c>
      <c r="EI648" s="37">
        <v>0</v>
      </c>
      <c r="EJ648" s="37">
        <v>0</v>
      </c>
      <c r="EK648" s="161" t="s">
        <v>1124</v>
      </c>
      <c r="EL648" s="294" t="s">
        <v>1124</v>
      </c>
    </row>
    <row r="649" spans="1:142" ht="15" customHeight="1" x14ac:dyDescent="0.35">
      <c r="A649" s="34"/>
      <c r="B649" s="313">
        <v>33017</v>
      </c>
      <c r="C649" s="8" t="s">
        <v>268</v>
      </c>
      <c r="D649" s="18">
        <v>12</v>
      </c>
      <c r="E649" s="155">
        <v>80597</v>
      </c>
      <c r="F649" s="36">
        <v>35686</v>
      </c>
      <c r="G649" s="37">
        <v>5306</v>
      </c>
      <c r="H649" s="37">
        <v>8346</v>
      </c>
      <c r="I649" s="37">
        <v>49800</v>
      </c>
      <c r="J649" s="37">
        <v>25177</v>
      </c>
      <c r="K649" s="37">
        <v>8059.7000000000007</v>
      </c>
      <c r="L649" s="37">
        <v>3568.6000000000004</v>
      </c>
      <c r="M649" s="37">
        <v>143762.70000000001</v>
      </c>
      <c r="N649" s="37">
        <v>72777.600000000006</v>
      </c>
      <c r="O649" s="37">
        <v>0</v>
      </c>
      <c r="P649" s="37">
        <v>0</v>
      </c>
      <c r="Q649" s="37">
        <v>142352</v>
      </c>
      <c r="R649" s="37">
        <v>100256</v>
      </c>
      <c r="S649" s="37">
        <v>0</v>
      </c>
      <c r="T649" s="37">
        <v>0</v>
      </c>
      <c r="U649" s="37">
        <v>9918</v>
      </c>
      <c r="V649" s="37">
        <v>93</v>
      </c>
      <c r="W649" s="37">
        <v>0</v>
      </c>
      <c r="X649" s="37">
        <v>0</v>
      </c>
      <c r="Y649" s="37">
        <v>1930</v>
      </c>
      <c r="Z649" s="37">
        <v>0</v>
      </c>
      <c r="AA649" s="37">
        <v>154200</v>
      </c>
      <c r="AB649" s="37">
        <v>100349</v>
      </c>
      <c r="AC649" s="37">
        <v>38008.699999999983</v>
      </c>
      <c r="AD649" s="37">
        <v>0</v>
      </c>
      <c r="AE649" s="37">
        <v>0</v>
      </c>
      <c r="AF649" s="168">
        <v>0.02</v>
      </c>
      <c r="AG649" s="37">
        <v>12437845.76</v>
      </c>
      <c r="AH649" s="37">
        <v>87714.4</v>
      </c>
      <c r="AI649" s="37">
        <v>89468.69</v>
      </c>
      <c r="AJ649" s="37">
        <v>91258.06</v>
      </c>
      <c r="AK649" s="37">
        <v>93083.23</v>
      </c>
      <c r="AL649" s="37">
        <v>94944.89</v>
      </c>
      <c r="AM649" s="37">
        <v>96843.79</v>
      </c>
      <c r="AN649" s="37">
        <v>98780.66</v>
      </c>
      <c r="AO649" s="37">
        <v>100756.28</v>
      </c>
      <c r="AP649" s="37">
        <v>102771.4</v>
      </c>
      <c r="AQ649" s="37">
        <v>104826.83</v>
      </c>
      <c r="AR649" s="37">
        <v>960448.2300000001</v>
      </c>
      <c r="AS649" s="37">
        <v>212241.6</v>
      </c>
      <c r="AT649" s="37">
        <v>128177.28</v>
      </c>
      <c r="AU649" s="37">
        <v>0</v>
      </c>
      <c r="AV649" s="37">
        <v>875043.57</v>
      </c>
      <c r="AW649" s="37">
        <v>0</v>
      </c>
      <c r="AX649" s="37">
        <v>885918.19</v>
      </c>
      <c r="AY649" s="37">
        <v>0</v>
      </c>
      <c r="AZ649" s="37">
        <v>379969.14</v>
      </c>
      <c r="BA649" s="37">
        <v>0</v>
      </c>
      <c r="BB649" s="37">
        <v>0</v>
      </c>
      <c r="BC649" s="37">
        <v>0</v>
      </c>
      <c r="BD649" s="37">
        <v>2269108.1799999997</v>
      </c>
      <c r="BE649" s="37">
        <v>0</v>
      </c>
      <c r="BF649" s="37">
        <v>0</v>
      </c>
      <c r="BG649" s="37">
        <v>0</v>
      </c>
      <c r="BH649" s="37">
        <v>0</v>
      </c>
      <c r="BI649" s="37">
        <v>0</v>
      </c>
      <c r="BJ649" s="37">
        <v>0</v>
      </c>
      <c r="BK649" s="37">
        <v>0</v>
      </c>
      <c r="BL649" s="37">
        <v>0</v>
      </c>
      <c r="BM649" s="37">
        <v>0</v>
      </c>
      <c r="BN649" s="37">
        <v>0</v>
      </c>
      <c r="BO649" s="37">
        <v>0</v>
      </c>
      <c r="BP649" s="37">
        <v>0</v>
      </c>
      <c r="BQ649" s="37">
        <v>0</v>
      </c>
      <c r="BR649" s="37">
        <v>0</v>
      </c>
      <c r="BS649" s="37">
        <v>0</v>
      </c>
      <c r="BT649" s="37">
        <v>0</v>
      </c>
      <c r="BU649" s="37">
        <v>0</v>
      </c>
      <c r="BV649" s="37">
        <v>0</v>
      </c>
      <c r="BW649" s="37">
        <v>0</v>
      </c>
      <c r="BX649" s="37">
        <v>0</v>
      </c>
      <c r="BY649" s="37">
        <v>0</v>
      </c>
      <c r="BZ649" s="37">
        <v>0</v>
      </c>
      <c r="CA649" s="37">
        <v>0</v>
      </c>
      <c r="CB649" s="37">
        <v>0</v>
      </c>
      <c r="CC649" s="37">
        <v>0</v>
      </c>
      <c r="CD649" s="37">
        <v>0</v>
      </c>
      <c r="CE649" s="37">
        <v>0</v>
      </c>
      <c r="CF649" s="37">
        <v>0</v>
      </c>
      <c r="CG649" s="37">
        <v>0</v>
      </c>
      <c r="CH649" s="37">
        <v>0</v>
      </c>
      <c r="CI649" s="37">
        <v>0</v>
      </c>
      <c r="CJ649" s="37">
        <v>0</v>
      </c>
      <c r="CK649" s="37">
        <v>0</v>
      </c>
      <c r="CL649" s="37">
        <v>0</v>
      </c>
      <c r="CM649" s="37">
        <v>0</v>
      </c>
      <c r="CN649" s="37">
        <v>0</v>
      </c>
      <c r="CO649" s="37">
        <v>0</v>
      </c>
      <c r="CP649" s="37">
        <v>0</v>
      </c>
      <c r="CQ649" s="37">
        <v>1087698</v>
      </c>
      <c r="CR649" s="37">
        <v>0</v>
      </c>
      <c r="CS649" s="37">
        <v>0</v>
      </c>
      <c r="CT649" s="37">
        <v>0</v>
      </c>
      <c r="CU649" s="37">
        <v>0</v>
      </c>
      <c r="CV649" s="37">
        <v>0</v>
      </c>
      <c r="CW649" s="37">
        <v>0</v>
      </c>
      <c r="CX649" s="37">
        <v>0</v>
      </c>
      <c r="CY649" s="37">
        <v>0</v>
      </c>
      <c r="CZ649" s="37">
        <v>1087698</v>
      </c>
      <c r="DA649" s="37">
        <v>0</v>
      </c>
      <c r="DB649" s="37">
        <v>400000</v>
      </c>
      <c r="DC649" s="37">
        <v>271926</v>
      </c>
      <c r="DD649" s="37">
        <v>0</v>
      </c>
      <c r="DE649" s="37">
        <v>0</v>
      </c>
      <c r="DF649" s="37">
        <v>0</v>
      </c>
      <c r="DG649" s="37">
        <v>0</v>
      </c>
      <c r="DH649" s="37">
        <v>0</v>
      </c>
      <c r="DI649" s="37">
        <v>0</v>
      </c>
      <c r="DJ649" s="37">
        <v>0</v>
      </c>
      <c r="DK649" s="37">
        <v>0</v>
      </c>
      <c r="DL649" s="37">
        <v>671926</v>
      </c>
      <c r="DM649" s="37">
        <v>0</v>
      </c>
      <c r="DN649" s="37">
        <v>0</v>
      </c>
      <c r="DO649" s="37">
        <v>0</v>
      </c>
      <c r="DP649" s="37">
        <v>0</v>
      </c>
      <c r="DQ649" s="37">
        <v>0</v>
      </c>
      <c r="DR649" s="37">
        <v>0</v>
      </c>
      <c r="DS649" s="37">
        <v>0</v>
      </c>
      <c r="DT649" s="37">
        <v>0</v>
      </c>
      <c r="DU649" s="37">
        <v>0</v>
      </c>
      <c r="DV649" s="37">
        <v>0</v>
      </c>
      <c r="DW649" s="37">
        <v>0</v>
      </c>
      <c r="DX649" s="37">
        <v>0</v>
      </c>
      <c r="DY649" s="37">
        <v>0</v>
      </c>
      <c r="DZ649" s="37">
        <v>0</v>
      </c>
      <c r="EA649" s="37">
        <v>0</v>
      </c>
      <c r="EB649" s="37">
        <v>0</v>
      </c>
      <c r="EC649" s="37">
        <v>0</v>
      </c>
      <c r="ED649" s="37">
        <v>0</v>
      </c>
      <c r="EE649" s="37">
        <v>0</v>
      </c>
      <c r="EF649" s="37">
        <v>0</v>
      </c>
      <c r="EG649" s="37">
        <v>0</v>
      </c>
      <c r="EH649" s="37">
        <v>0</v>
      </c>
      <c r="EI649" s="37">
        <v>0</v>
      </c>
      <c r="EJ649" s="37">
        <v>0</v>
      </c>
      <c r="EK649" s="161" t="s">
        <v>2764</v>
      </c>
      <c r="EL649" s="294" t="s">
        <v>1124</v>
      </c>
    </row>
    <row r="650" spans="1:142" ht="15" customHeight="1" x14ac:dyDescent="0.35">
      <c r="A650" s="34"/>
      <c r="B650" s="313">
        <v>78032</v>
      </c>
      <c r="C650" s="8" t="s">
        <v>770</v>
      </c>
      <c r="D650" s="18">
        <v>15</v>
      </c>
      <c r="E650" s="155">
        <v>1838980</v>
      </c>
      <c r="F650" s="36">
        <v>1505043</v>
      </c>
      <c r="G650" s="37">
        <v>490309</v>
      </c>
      <c r="H650" s="37">
        <v>153903</v>
      </c>
      <c r="I650" s="37">
        <v>1773178</v>
      </c>
      <c r="J650" s="37">
        <v>610739</v>
      </c>
      <c r="K650" s="37">
        <v>0</v>
      </c>
      <c r="L650" s="37">
        <v>0</v>
      </c>
      <c r="M650" s="37">
        <v>4102467</v>
      </c>
      <c r="N650" s="37">
        <v>2269685</v>
      </c>
      <c r="O650" s="37">
        <v>0</v>
      </c>
      <c r="P650" s="37">
        <v>0</v>
      </c>
      <c r="Q650" s="37">
        <v>2114307</v>
      </c>
      <c r="R650" s="37">
        <v>1625904</v>
      </c>
      <c r="S650" s="37">
        <v>8084</v>
      </c>
      <c r="T650" s="37">
        <v>0</v>
      </c>
      <c r="U650" s="37">
        <v>1341904</v>
      </c>
      <c r="V650" s="37">
        <v>1588263</v>
      </c>
      <c r="W650" s="37">
        <v>831438</v>
      </c>
      <c r="X650" s="37">
        <v>524756</v>
      </c>
      <c r="Y650" s="37">
        <v>215963</v>
      </c>
      <c r="Z650" s="37">
        <v>114115</v>
      </c>
      <c r="AA650" s="37">
        <v>4511696</v>
      </c>
      <c r="AB650" s="37">
        <v>3853038</v>
      </c>
      <c r="AC650" s="37">
        <v>1992582</v>
      </c>
      <c r="AD650" s="37">
        <v>1396960</v>
      </c>
      <c r="AE650" s="37">
        <v>2028247</v>
      </c>
      <c r="AF650" s="168">
        <v>0.02</v>
      </c>
      <c r="AG650" s="37">
        <v>181264769.75999999</v>
      </c>
      <c r="AH650" s="37">
        <v>1468515.54</v>
      </c>
      <c r="AI650" s="37">
        <v>1402377.13</v>
      </c>
      <c r="AJ650" s="37">
        <v>1430424.67</v>
      </c>
      <c r="AK650" s="37">
        <v>1459033.16</v>
      </c>
      <c r="AL650" s="37">
        <v>1488213.83</v>
      </c>
      <c r="AM650" s="37">
        <v>1517978.1</v>
      </c>
      <c r="AN650" s="37">
        <v>1548337.67</v>
      </c>
      <c r="AO650" s="37">
        <v>1579304.42</v>
      </c>
      <c r="AP650" s="37">
        <v>1610890.51</v>
      </c>
      <c r="AQ650" s="37">
        <v>1643108.32</v>
      </c>
      <c r="AR650" s="37">
        <v>15148183.349999998</v>
      </c>
      <c r="AS650" s="37">
        <v>5486483.1600000001</v>
      </c>
      <c r="AT650" s="37">
        <v>0</v>
      </c>
      <c r="AU650" s="37">
        <v>774681.84</v>
      </c>
      <c r="AV650" s="37">
        <v>270608.03999999998</v>
      </c>
      <c r="AW650" s="37">
        <v>0</v>
      </c>
      <c r="AX650" s="37">
        <v>0</v>
      </c>
      <c r="AY650" s="37">
        <v>0</v>
      </c>
      <c r="AZ650" s="37">
        <v>0</v>
      </c>
      <c r="BA650" s="37">
        <v>0</v>
      </c>
      <c r="BB650" s="37">
        <v>0</v>
      </c>
      <c r="BC650" s="37">
        <v>0</v>
      </c>
      <c r="BD650" s="37">
        <v>1045289.8799999999</v>
      </c>
      <c r="BE650" s="37">
        <v>1032996</v>
      </c>
      <c r="BF650" s="37">
        <v>2878500</v>
      </c>
      <c r="BG650" s="37">
        <v>3893478</v>
      </c>
      <c r="BH650" s="37">
        <v>600000</v>
      </c>
      <c r="BI650" s="37">
        <v>400000</v>
      </c>
      <c r="BJ650" s="37">
        <v>0</v>
      </c>
      <c r="BK650" s="37">
        <v>0</v>
      </c>
      <c r="BL650" s="37">
        <v>0</v>
      </c>
      <c r="BM650" s="37">
        <v>0</v>
      </c>
      <c r="BN650" s="37">
        <v>0</v>
      </c>
      <c r="BO650" s="37">
        <v>0</v>
      </c>
      <c r="BP650" s="37">
        <v>7771978</v>
      </c>
      <c r="BQ650" s="37">
        <v>223500</v>
      </c>
      <c r="BR650" s="37">
        <v>3254522</v>
      </c>
      <c r="BS650" s="37">
        <v>725000</v>
      </c>
      <c r="BT650" s="37">
        <v>1100000</v>
      </c>
      <c r="BU650" s="37">
        <v>500000</v>
      </c>
      <c r="BV650" s="37">
        <v>0</v>
      </c>
      <c r="BW650" s="37">
        <v>0</v>
      </c>
      <c r="BX650" s="37">
        <v>0</v>
      </c>
      <c r="BY650" s="37">
        <v>0</v>
      </c>
      <c r="BZ650" s="37">
        <v>0</v>
      </c>
      <c r="CA650" s="37">
        <v>0</v>
      </c>
      <c r="CB650" s="37">
        <v>5579522</v>
      </c>
      <c r="CC650" s="37">
        <v>262653</v>
      </c>
      <c r="CD650" s="37">
        <v>0</v>
      </c>
      <c r="CE650" s="37">
        <v>0</v>
      </c>
      <c r="CF650" s="37">
        <v>0</v>
      </c>
      <c r="CG650" s="37">
        <v>0</v>
      </c>
      <c r="CH650" s="37">
        <v>0</v>
      </c>
      <c r="CI650" s="37">
        <v>0</v>
      </c>
      <c r="CJ650" s="37">
        <v>0</v>
      </c>
      <c r="CK650" s="37">
        <v>0</v>
      </c>
      <c r="CL650" s="37">
        <v>0</v>
      </c>
      <c r="CM650" s="37">
        <v>0</v>
      </c>
      <c r="CN650" s="37">
        <v>0</v>
      </c>
      <c r="CO650" s="37">
        <v>0</v>
      </c>
      <c r="CP650" s="37">
        <v>0</v>
      </c>
      <c r="CQ650" s="37">
        <v>0</v>
      </c>
      <c r="CR650" s="37">
        <v>0</v>
      </c>
      <c r="CS650" s="37">
        <v>0</v>
      </c>
      <c r="CT650" s="37">
        <v>0</v>
      </c>
      <c r="CU650" s="37">
        <v>0</v>
      </c>
      <c r="CV650" s="37">
        <v>0</v>
      </c>
      <c r="CW650" s="37">
        <v>0</v>
      </c>
      <c r="CX650" s="37">
        <v>0</v>
      </c>
      <c r="CY650" s="37">
        <v>0</v>
      </c>
      <c r="CZ650" s="37">
        <v>0</v>
      </c>
      <c r="DA650" s="37">
        <v>0</v>
      </c>
      <c r="DB650" s="37">
        <v>245000</v>
      </c>
      <c r="DC650" s="37">
        <v>0</v>
      </c>
      <c r="DD650" s="37">
        <v>0</v>
      </c>
      <c r="DE650" s="37">
        <v>0</v>
      </c>
      <c r="DF650" s="37">
        <v>0</v>
      </c>
      <c r="DG650" s="37">
        <v>0</v>
      </c>
      <c r="DH650" s="37">
        <v>0</v>
      </c>
      <c r="DI650" s="37">
        <v>0</v>
      </c>
      <c r="DJ650" s="37">
        <v>0</v>
      </c>
      <c r="DK650" s="37">
        <v>0</v>
      </c>
      <c r="DL650" s="37">
        <v>245000</v>
      </c>
      <c r="DM650" s="37">
        <v>0</v>
      </c>
      <c r="DN650" s="37">
        <v>0</v>
      </c>
      <c r="DO650" s="37">
        <v>0</v>
      </c>
      <c r="DP650" s="37">
        <v>0</v>
      </c>
      <c r="DQ650" s="37">
        <v>0</v>
      </c>
      <c r="DR650" s="37">
        <v>0</v>
      </c>
      <c r="DS650" s="37">
        <v>0</v>
      </c>
      <c r="DT650" s="37">
        <v>0</v>
      </c>
      <c r="DU650" s="37">
        <v>0</v>
      </c>
      <c r="DV650" s="37">
        <v>0</v>
      </c>
      <c r="DW650" s="37">
        <v>0</v>
      </c>
      <c r="DX650" s="37">
        <v>0</v>
      </c>
      <c r="DY650" s="37">
        <v>0</v>
      </c>
      <c r="DZ650" s="37">
        <v>0</v>
      </c>
      <c r="EA650" s="37">
        <v>0</v>
      </c>
      <c r="EB650" s="37">
        <v>0</v>
      </c>
      <c r="EC650" s="37">
        <v>0</v>
      </c>
      <c r="ED650" s="37">
        <v>0</v>
      </c>
      <c r="EE650" s="37">
        <v>0</v>
      </c>
      <c r="EF650" s="37">
        <v>0</v>
      </c>
      <c r="EG650" s="37">
        <v>0</v>
      </c>
      <c r="EH650" s="37">
        <v>0</v>
      </c>
      <c r="EI650" s="37">
        <v>0</v>
      </c>
      <c r="EJ650" s="37">
        <v>0</v>
      </c>
      <c r="EK650" s="161" t="s">
        <v>1124</v>
      </c>
      <c r="EL650" s="294" t="s">
        <v>1124</v>
      </c>
    </row>
    <row r="651" spans="1:142" ht="15" customHeight="1" x14ac:dyDescent="0.35">
      <c r="A651" s="34"/>
      <c r="B651" s="314">
        <v>9035</v>
      </c>
      <c r="C651" s="8" t="s">
        <v>1103</v>
      </c>
      <c r="D651" s="18">
        <v>1</v>
      </c>
      <c r="E651" s="155">
        <v>28700</v>
      </c>
      <c r="F651" s="36">
        <v>43682</v>
      </c>
      <c r="G651" s="37">
        <v>14225</v>
      </c>
      <c r="H651" s="37">
        <v>0</v>
      </c>
      <c r="I651" s="37">
        <v>74500</v>
      </c>
      <c r="J651" s="37">
        <v>0</v>
      </c>
      <c r="K651" s="37">
        <v>4305</v>
      </c>
      <c r="L651" s="37">
        <v>6552</v>
      </c>
      <c r="M651" s="37">
        <v>121730</v>
      </c>
      <c r="N651" s="37">
        <v>50234</v>
      </c>
      <c r="O651" s="37">
        <v>0</v>
      </c>
      <c r="P651" s="37">
        <v>0</v>
      </c>
      <c r="Q651" s="37">
        <v>34306</v>
      </c>
      <c r="R651" s="37">
        <v>45805</v>
      </c>
      <c r="S651" s="37">
        <v>0</v>
      </c>
      <c r="T651" s="37">
        <v>0</v>
      </c>
      <c r="U651" s="37">
        <v>0</v>
      </c>
      <c r="V651" s="37">
        <v>0</v>
      </c>
      <c r="W651" s="37">
        <v>38736</v>
      </c>
      <c r="X651" s="37">
        <v>38736</v>
      </c>
      <c r="Y651" s="37">
        <v>14381</v>
      </c>
      <c r="Z651" s="37">
        <v>0</v>
      </c>
      <c r="AA651" s="37">
        <v>87423</v>
      </c>
      <c r="AB651" s="37">
        <v>84541</v>
      </c>
      <c r="AC651" s="37">
        <v>0</v>
      </c>
      <c r="AD651" s="37">
        <v>0</v>
      </c>
      <c r="AE651" s="37">
        <v>86989</v>
      </c>
      <c r="AF651" s="168">
        <v>0.02</v>
      </c>
      <c r="AG651" s="37">
        <v>13253741.279999999</v>
      </c>
      <c r="AH651" s="37">
        <v>96849.279999999999</v>
      </c>
      <c r="AI651" s="37">
        <v>98786.26</v>
      </c>
      <c r="AJ651" s="37">
        <v>125970.75</v>
      </c>
      <c r="AK651" s="37">
        <v>102777.23</v>
      </c>
      <c r="AL651" s="37">
        <v>104832.77</v>
      </c>
      <c r="AM651" s="37">
        <v>118416.28</v>
      </c>
      <c r="AN651" s="37">
        <v>137286.26</v>
      </c>
      <c r="AO651" s="37">
        <v>111249.37</v>
      </c>
      <c r="AP651" s="37">
        <v>113474.36</v>
      </c>
      <c r="AQ651" s="37">
        <v>115743.85</v>
      </c>
      <c r="AR651" s="37">
        <v>1125386.4099999999</v>
      </c>
      <c r="AS651" s="37">
        <v>295473.59999999998</v>
      </c>
      <c r="AT651" s="37">
        <v>0</v>
      </c>
      <c r="AU651" s="37">
        <v>0</v>
      </c>
      <c r="AV651" s="37">
        <v>0</v>
      </c>
      <c r="AW651" s="37">
        <v>22081.62</v>
      </c>
      <c r="AX651" s="37">
        <v>0</v>
      </c>
      <c r="AY651" s="37">
        <v>0</v>
      </c>
      <c r="AZ651" s="37">
        <v>0</v>
      </c>
      <c r="BA651" s="37">
        <v>0</v>
      </c>
      <c r="BB651" s="37">
        <v>0</v>
      </c>
      <c r="BC651" s="37">
        <v>0</v>
      </c>
      <c r="BD651" s="37">
        <v>22081.62</v>
      </c>
      <c r="BE651" s="37">
        <v>0</v>
      </c>
      <c r="BF651" s="37">
        <v>195000</v>
      </c>
      <c r="BG651" s="37">
        <v>30750</v>
      </c>
      <c r="BH651" s="37">
        <v>135000</v>
      </c>
      <c r="BI651" s="37">
        <v>25000</v>
      </c>
      <c r="BJ651" s="37">
        <v>25000</v>
      </c>
      <c r="BK651" s="37">
        <v>0</v>
      </c>
      <c r="BL651" s="37">
        <v>0</v>
      </c>
      <c r="BM651" s="37">
        <v>0</v>
      </c>
      <c r="BN651" s="37">
        <v>0</v>
      </c>
      <c r="BO651" s="37">
        <v>0</v>
      </c>
      <c r="BP651" s="37">
        <v>410750</v>
      </c>
      <c r="BQ651" s="37">
        <v>0</v>
      </c>
      <c r="BR651" s="37">
        <v>0</v>
      </c>
      <c r="BS651" s="37">
        <v>0</v>
      </c>
      <c r="BT651" s="37">
        <v>0</v>
      </c>
      <c r="BU651" s="37">
        <v>0</v>
      </c>
      <c r="BV651" s="37">
        <v>0</v>
      </c>
      <c r="BW651" s="37">
        <v>0</v>
      </c>
      <c r="BX651" s="37">
        <v>0</v>
      </c>
      <c r="BY651" s="37">
        <v>0</v>
      </c>
      <c r="BZ651" s="37">
        <v>0</v>
      </c>
      <c r="CA651" s="37">
        <v>0</v>
      </c>
      <c r="CB651" s="37">
        <v>0</v>
      </c>
      <c r="CC651" s="37">
        <v>8500</v>
      </c>
      <c r="CD651" s="37">
        <v>0</v>
      </c>
      <c r="CE651" s="37">
        <v>0</v>
      </c>
      <c r="CF651" s="37">
        <v>0</v>
      </c>
      <c r="CG651" s="37">
        <v>0</v>
      </c>
      <c r="CH651" s="37">
        <v>0</v>
      </c>
      <c r="CI651" s="37">
        <v>0</v>
      </c>
      <c r="CJ651" s="37">
        <v>0</v>
      </c>
      <c r="CK651" s="37">
        <v>0</v>
      </c>
      <c r="CL651" s="37">
        <v>0</v>
      </c>
      <c r="CM651" s="37">
        <v>0</v>
      </c>
      <c r="CN651" s="37">
        <v>0</v>
      </c>
      <c r="CO651" s="37">
        <v>0</v>
      </c>
      <c r="CP651" s="37">
        <v>0</v>
      </c>
      <c r="CQ651" s="37">
        <v>0</v>
      </c>
      <c r="CR651" s="37">
        <v>0</v>
      </c>
      <c r="CS651" s="37">
        <v>0</v>
      </c>
      <c r="CT651" s="37">
        <v>0</v>
      </c>
      <c r="CU651" s="37">
        <v>0</v>
      </c>
      <c r="CV651" s="37">
        <v>0</v>
      </c>
      <c r="CW651" s="37">
        <v>0</v>
      </c>
      <c r="CX651" s="37">
        <v>0</v>
      </c>
      <c r="CY651" s="37">
        <v>0</v>
      </c>
      <c r="CZ651" s="37">
        <v>0</v>
      </c>
      <c r="DA651" s="37">
        <v>0</v>
      </c>
      <c r="DB651" s="37">
        <v>0</v>
      </c>
      <c r="DC651" s="37">
        <v>0</v>
      </c>
      <c r="DD651" s="37">
        <v>0</v>
      </c>
      <c r="DE651" s="37">
        <v>0</v>
      </c>
      <c r="DF651" s="37">
        <v>0</v>
      </c>
      <c r="DG651" s="37">
        <v>0</v>
      </c>
      <c r="DH651" s="37">
        <v>0</v>
      </c>
      <c r="DI651" s="37">
        <v>0</v>
      </c>
      <c r="DJ651" s="37">
        <v>0</v>
      </c>
      <c r="DK651" s="37">
        <v>0</v>
      </c>
      <c r="DL651" s="37">
        <v>0</v>
      </c>
      <c r="DM651" s="37">
        <v>0</v>
      </c>
      <c r="DN651" s="37">
        <v>0</v>
      </c>
      <c r="DO651" s="37">
        <v>0</v>
      </c>
      <c r="DP651" s="37">
        <v>0</v>
      </c>
      <c r="DQ651" s="37">
        <v>0</v>
      </c>
      <c r="DR651" s="37">
        <v>0</v>
      </c>
      <c r="DS651" s="37">
        <v>0</v>
      </c>
      <c r="DT651" s="37">
        <v>0</v>
      </c>
      <c r="DU651" s="37">
        <v>0</v>
      </c>
      <c r="DV651" s="37">
        <v>0</v>
      </c>
      <c r="DW651" s="37">
        <v>0</v>
      </c>
      <c r="DX651" s="37">
        <v>0</v>
      </c>
      <c r="DY651" s="37">
        <v>0</v>
      </c>
      <c r="DZ651" s="37">
        <v>0</v>
      </c>
      <c r="EA651" s="37">
        <v>0</v>
      </c>
      <c r="EB651" s="37">
        <v>0</v>
      </c>
      <c r="EC651" s="37">
        <v>0</v>
      </c>
      <c r="ED651" s="37">
        <v>0</v>
      </c>
      <c r="EE651" s="37">
        <v>0</v>
      </c>
      <c r="EF651" s="37">
        <v>0</v>
      </c>
      <c r="EG651" s="37">
        <v>0</v>
      </c>
      <c r="EH651" s="37">
        <v>0</v>
      </c>
      <c r="EI651" s="37">
        <v>0</v>
      </c>
      <c r="EJ651" s="37">
        <v>0</v>
      </c>
      <c r="EK651" s="161" t="s">
        <v>2768</v>
      </c>
      <c r="EL651" s="294" t="s">
        <v>1124</v>
      </c>
    </row>
    <row r="652" spans="1:142" ht="15" customHeight="1" x14ac:dyDescent="0.35">
      <c r="A652" s="34"/>
      <c r="B652" s="313">
        <v>55030</v>
      </c>
      <c r="C652" s="8" t="s">
        <v>562</v>
      </c>
      <c r="D652" s="18">
        <v>16</v>
      </c>
      <c r="E652" s="155">
        <v>120754</v>
      </c>
      <c r="F652" s="36">
        <v>129310</v>
      </c>
      <c r="G652" s="37">
        <v>0</v>
      </c>
      <c r="H652" s="37">
        <v>5020</v>
      </c>
      <c r="I652" s="37">
        <v>0</v>
      </c>
      <c r="J652" s="37">
        <v>57217</v>
      </c>
      <c r="K652" s="37">
        <v>0</v>
      </c>
      <c r="L652" s="37">
        <v>0</v>
      </c>
      <c r="M652" s="37">
        <v>120754</v>
      </c>
      <c r="N652" s="37">
        <v>191547</v>
      </c>
      <c r="O652" s="37">
        <v>17735</v>
      </c>
      <c r="P652" s="37">
        <v>0</v>
      </c>
      <c r="Q652" s="37">
        <v>102169</v>
      </c>
      <c r="R652" s="37">
        <v>51928</v>
      </c>
      <c r="S652" s="37">
        <v>7918</v>
      </c>
      <c r="T652" s="37">
        <v>24511</v>
      </c>
      <c r="U652" s="37">
        <v>1794</v>
      </c>
      <c r="V652" s="37">
        <v>0</v>
      </c>
      <c r="W652" s="37">
        <v>8862</v>
      </c>
      <c r="X652" s="37">
        <v>115108</v>
      </c>
      <c r="Y652" s="37">
        <v>0</v>
      </c>
      <c r="Z652" s="37">
        <v>0</v>
      </c>
      <c r="AA652" s="37">
        <v>138478</v>
      </c>
      <c r="AB652" s="37">
        <v>191547</v>
      </c>
      <c r="AC652" s="37">
        <v>17724</v>
      </c>
      <c r="AD652" s="37">
        <v>0</v>
      </c>
      <c r="AE652" s="37">
        <v>0</v>
      </c>
      <c r="AF652" s="168">
        <v>0.02</v>
      </c>
      <c r="AG652" s="37">
        <v>13912194.369999999</v>
      </c>
      <c r="AH652" s="37">
        <v>96967.89</v>
      </c>
      <c r="AI652" s="37">
        <v>254967.25</v>
      </c>
      <c r="AJ652" s="37">
        <v>737610.19</v>
      </c>
      <c r="AK652" s="37">
        <v>612079.18999999994</v>
      </c>
      <c r="AL652" s="37">
        <v>601797.53</v>
      </c>
      <c r="AM652" s="37">
        <v>613833.48</v>
      </c>
      <c r="AN652" s="37">
        <v>109201.60000000001</v>
      </c>
      <c r="AO652" s="37">
        <v>111385.63</v>
      </c>
      <c r="AP652" s="37">
        <v>113613.34</v>
      </c>
      <c r="AQ652" s="37">
        <v>115885.61</v>
      </c>
      <c r="AR652" s="37">
        <v>3367341.71</v>
      </c>
      <c r="AS652" s="37">
        <v>308998.8</v>
      </c>
      <c r="AT652" s="37">
        <v>0</v>
      </c>
      <c r="AU652" s="37">
        <v>208080</v>
      </c>
      <c r="AV652" s="37">
        <v>477543.6</v>
      </c>
      <c r="AW652" s="37">
        <v>2435472.36</v>
      </c>
      <c r="AX652" s="37">
        <v>0</v>
      </c>
      <c r="AY652" s="37">
        <v>0</v>
      </c>
      <c r="AZ652" s="37">
        <v>2239937.0499999998</v>
      </c>
      <c r="BA652" s="37">
        <v>0</v>
      </c>
      <c r="BB652" s="37">
        <v>0</v>
      </c>
      <c r="BC652" s="37">
        <v>0</v>
      </c>
      <c r="BD652" s="37">
        <v>5361033.01</v>
      </c>
      <c r="BE652" s="37">
        <v>10988</v>
      </c>
      <c r="BF652" s="37">
        <v>63724</v>
      </c>
      <c r="BG652" s="37">
        <v>5608</v>
      </c>
      <c r="BH652" s="37">
        <v>5331</v>
      </c>
      <c r="BI652" s="37">
        <v>0</v>
      </c>
      <c r="BJ652" s="37">
        <v>0</v>
      </c>
      <c r="BK652" s="37">
        <v>0</v>
      </c>
      <c r="BL652" s="37">
        <v>0</v>
      </c>
      <c r="BM652" s="37">
        <v>0</v>
      </c>
      <c r="BN652" s="37">
        <v>0</v>
      </c>
      <c r="BO652" s="37">
        <v>0</v>
      </c>
      <c r="BP652" s="37">
        <v>74663</v>
      </c>
      <c r="BQ652" s="37">
        <v>0</v>
      </c>
      <c r="BR652" s="37">
        <v>0</v>
      </c>
      <c r="BS652" s="37">
        <v>0</v>
      </c>
      <c r="BT652" s="37">
        <v>0</v>
      </c>
      <c r="BU652" s="37">
        <v>0</v>
      </c>
      <c r="BV652" s="37">
        <v>0</v>
      </c>
      <c r="BW652" s="37">
        <v>0</v>
      </c>
      <c r="BX652" s="37">
        <v>0</v>
      </c>
      <c r="BY652" s="37">
        <v>0</v>
      </c>
      <c r="BZ652" s="37">
        <v>0</v>
      </c>
      <c r="CA652" s="37">
        <v>0</v>
      </c>
      <c r="CB652" s="37">
        <v>0</v>
      </c>
      <c r="CC652" s="37">
        <v>0</v>
      </c>
      <c r="CD652" s="37">
        <v>0</v>
      </c>
      <c r="CE652" s="37">
        <v>0</v>
      </c>
      <c r="CF652" s="37">
        <v>0</v>
      </c>
      <c r="CG652" s="37">
        <v>0</v>
      </c>
      <c r="CH652" s="37">
        <v>0</v>
      </c>
      <c r="CI652" s="37">
        <v>0</v>
      </c>
      <c r="CJ652" s="37">
        <v>0</v>
      </c>
      <c r="CK652" s="37">
        <v>0</v>
      </c>
      <c r="CL652" s="37">
        <v>0</v>
      </c>
      <c r="CM652" s="37">
        <v>0</v>
      </c>
      <c r="CN652" s="37">
        <v>0</v>
      </c>
      <c r="CO652" s="37">
        <v>0</v>
      </c>
      <c r="CP652" s="37">
        <v>755000</v>
      </c>
      <c r="CQ652" s="37">
        <v>0</v>
      </c>
      <c r="CR652" s="37">
        <v>0</v>
      </c>
      <c r="CS652" s="37">
        <v>0</v>
      </c>
      <c r="CT652" s="37">
        <v>0</v>
      </c>
      <c r="CU652" s="37">
        <v>0</v>
      </c>
      <c r="CV652" s="37">
        <v>0</v>
      </c>
      <c r="CW652" s="37">
        <v>0</v>
      </c>
      <c r="CX652" s="37">
        <v>0</v>
      </c>
      <c r="CY652" s="37">
        <v>0</v>
      </c>
      <c r="CZ652" s="37">
        <v>755000</v>
      </c>
      <c r="DA652" s="37">
        <v>0</v>
      </c>
      <c r="DB652" s="37">
        <v>0</v>
      </c>
      <c r="DC652" s="37">
        <v>0</v>
      </c>
      <c r="DD652" s="37">
        <v>0</v>
      </c>
      <c r="DE652" s="37">
        <v>0</v>
      </c>
      <c r="DF652" s="37">
        <v>0</v>
      </c>
      <c r="DG652" s="37">
        <v>0</v>
      </c>
      <c r="DH652" s="37">
        <v>0</v>
      </c>
      <c r="DI652" s="37">
        <v>0</v>
      </c>
      <c r="DJ652" s="37">
        <v>0</v>
      </c>
      <c r="DK652" s="37">
        <v>0</v>
      </c>
      <c r="DL652" s="37">
        <v>0</v>
      </c>
      <c r="DM652" s="37">
        <v>0</v>
      </c>
      <c r="DN652" s="37">
        <v>0</v>
      </c>
      <c r="DO652" s="37">
        <v>0</v>
      </c>
      <c r="DP652" s="37">
        <v>0</v>
      </c>
      <c r="DQ652" s="37">
        <v>0</v>
      </c>
      <c r="DR652" s="37">
        <v>0</v>
      </c>
      <c r="DS652" s="37">
        <v>0</v>
      </c>
      <c r="DT652" s="37">
        <v>0</v>
      </c>
      <c r="DU652" s="37">
        <v>0</v>
      </c>
      <c r="DV652" s="37">
        <v>0</v>
      </c>
      <c r="DW652" s="37">
        <v>0</v>
      </c>
      <c r="DX652" s="37">
        <v>0</v>
      </c>
      <c r="DY652" s="37">
        <v>0</v>
      </c>
      <c r="DZ652" s="37">
        <v>0</v>
      </c>
      <c r="EA652" s="37">
        <v>0</v>
      </c>
      <c r="EB652" s="37">
        <v>0</v>
      </c>
      <c r="EC652" s="37">
        <v>0</v>
      </c>
      <c r="ED652" s="37">
        <v>0</v>
      </c>
      <c r="EE652" s="37">
        <v>0</v>
      </c>
      <c r="EF652" s="37">
        <v>0</v>
      </c>
      <c r="EG652" s="37">
        <v>0</v>
      </c>
      <c r="EH652" s="37">
        <v>0</v>
      </c>
      <c r="EI652" s="37">
        <v>0</v>
      </c>
      <c r="EJ652" s="37">
        <v>0</v>
      </c>
      <c r="EK652" s="161" t="s">
        <v>2772</v>
      </c>
      <c r="EL652" s="294" t="s">
        <v>1124</v>
      </c>
    </row>
    <row r="653" spans="1:142" ht="15" customHeight="1" x14ac:dyDescent="0.35">
      <c r="A653" s="34"/>
      <c r="B653" s="313">
        <v>51055</v>
      </c>
      <c r="C653" s="8" t="s">
        <v>507</v>
      </c>
      <c r="D653" s="18">
        <v>4</v>
      </c>
      <c r="E653" s="155">
        <v>44989</v>
      </c>
      <c r="F653" s="36">
        <v>13914</v>
      </c>
      <c r="G653" s="37">
        <v>0</v>
      </c>
      <c r="H653" s="37">
        <v>28545</v>
      </c>
      <c r="I653" s="37">
        <v>0</v>
      </c>
      <c r="J653" s="37">
        <v>262458</v>
      </c>
      <c r="K653" s="37">
        <v>4498.9000000000005</v>
      </c>
      <c r="L653" s="37">
        <v>1391.4</v>
      </c>
      <c r="M653" s="37">
        <v>49487.9</v>
      </c>
      <c r="N653" s="37">
        <v>306308.40000000002</v>
      </c>
      <c r="O653" s="37">
        <v>2900.47</v>
      </c>
      <c r="P653" s="37">
        <v>0</v>
      </c>
      <c r="Q653" s="37">
        <v>60654</v>
      </c>
      <c r="R653" s="37">
        <v>59532</v>
      </c>
      <c r="S653" s="37">
        <v>1294</v>
      </c>
      <c r="T653" s="37">
        <v>0</v>
      </c>
      <c r="U653" s="37">
        <v>0</v>
      </c>
      <c r="V653" s="37">
        <v>244066</v>
      </c>
      <c r="W653" s="37">
        <v>0</v>
      </c>
      <c r="X653" s="37">
        <v>0</v>
      </c>
      <c r="Y653" s="37">
        <v>0</v>
      </c>
      <c r="Z653" s="37">
        <v>0</v>
      </c>
      <c r="AA653" s="37">
        <v>64848.47</v>
      </c>
      <c r="AB653" s="37">
        <v>303598</v>
      </c>
      <c r="AC653" s="37">
        <v>12650.169999999925</v>
      </c>
      <c r="AD653" s="37">
        <v>0</v>
      </c>
      <c r="AE653" s="37">
        <v>80000</v>
      </c>
      <c r="AF653" s="168">
        <v>0.02</v>
      </c>
      <c r="AG653" s="37">
        <v>12961323.91</v>
      </c>
      <c r="AH653" s="37">
        <v>125819.81</v>
      </c>
      <c r="AI653" s="37">
        <v>128336.2</v>
      </c>
      <c r="AJ653" s="37">
        <v>130902.93</v>
      </c>
      <c r="AK653" s="37">
        <v>132784.93</v>
      </c>
      <c r="AL653" s="37">
        <v>135440.63</v>
      </c>
      <c r="AM653" s="37">
        <v>138149.44</v>
      </c>
      <c r="AN653" s="37">
        <v>140912.43</v>
      </c>
      <c r="AO653" s="37">
        <v>143730.68</v>
      </c>
      <c r="AP653" s="37">
        <v>146605.29</v>
      </c>
      <c r="AQ653" s="37">
        <v>149537.4</v>
      </c>
      <c r="AR653" s="37">
        <v>1372219.74</v>
      </c>
      <c r="AS653" s="37">
        <v>20048.41</v>
      </c>
      <c r="AT653" s="37">
        <v>967.57</v>
      </c>
      <c r="AU653" s="37">
        <v>260100</v>
      </c>
      <c r="AV653" s="37">
        <v>0</v>
      </c>
      <c r="AW653" s="37">
        <v>0</v>
      </c>
      <c r="AX653" s="37">
        <v>0</v>
      </c>
      <c r="AY653" s="37">
        <v>0</v>
      </c>
      <c r="AZ653" s="37">
        <v>0</v>
      </c>
      <c r="BA653" s="37">
        <v>0</v>
      </c>
      <c r="BB653" s="37">
        <v>0</v>
      </c>
      <c r="BC653" s="37">
        <v>0</v>
      </c>
      <c r="BD653" s="37">
        <v>261067.57</v>
      </c>
      <c r="BE653" s="37">
        <v>0</v>
      </c>
      <c r="BF653" s="37">
        <v>37603.361567976099</v>
      </c>
      <c r="BG653" s="37">
        <v>40531.677964567738</v>
      </c>
      <c r="BH653" s="37">
        <v>49896.28947354891</v>
      </c>
      <c r="BI653" s="37">
        <v>59260.920993907297</v>
      </c>
      <c r="BJ653" s="37">
        <v>6436.2951123895118</v>
      </c>
      <c r="BK653" s="37">
        <v>31167.066455586551</v>
      </c>
      <c r="BL653" s="37">
        <v>40531.677964567738</v>
      </c>
      <c r="BM653" s="37">
        <v>49896.28947354891</v>
      </c>
      <c r="BN653" s="37">
        <v>59260.920993907297</v>
      </c>
      <c r="BO653" s="37">
        <v>0</v>
      </c>
      <c r="BP653" s="37">
        <v>374584.5</v>
      </c>
      <c r="BQ653" s="37">
        <v>0</v>
      </c>
      <c r="BR653" s="37">
        <v>5640.5042351964148</v>
      </c>
      <c r="BS653" s="37">
        <v>6079.7516946851601</v>
      </c>
      <c r="BT653" s="37">
        <v>7484.4434210323361</v>
      </c>
      <c r="BU653" s="37">
        <v>8889.1381490860949</v>
      </c>
      <c r="BV653" s="37">
        <v>965.44426685842677</v>
      </c>
      <c r="BW653" s="37">
        <v>4675.0599683379824</v>
      </c>
      <c r="BX653" s="37">
        <v>6079.7516946851601</v>
      </c>
      <c r="BY653" s="37">
        <v>7484.4434210323361</v>
      </c>
      <c r="BZ653" s="37">
        <v>8889.1381490860949</v>
      </c>
      <c r="CA653" s="37">
        <v>0</v>
      </c>
      <c r="CB653" s="37">
        <v>56187.675000000003</v>
      </c>
      <c r="CC653" s="37">
        <v>0</v>
      </c>
      <c r="CD653" s="37">
        <v>0</v>
      </c>
      <c r="CE653" s="37">
        <v>0</v>
      </c>
      <c r="CF653" s="37">
        <v>0</v>
      </c>
      <c r="CG653" s="37">
        <v>0</v>
      </c>
      <c r="CH653" s="37">
        <v>0</v>
      </c>
      <c r="CI653" s="37">
        <v>0</v>
      </c>
      <c r="CJ653" s="37">
        <v>0</v>
      </c>
      <c r="CK653" s="37">
        <v>0</v>
      </c>
      <c r="CL653" s="37">
        <v>0</v>
      </c>
      <c r="CM653" s="37">
        <v>0</v>
      </c>
      <c r="CN653" s="37">
        <v>0</v>
      </c>
      <c r="CO653" s="37">
        <v>0</v>
      </c>
      <c r="CP653" s="37">
        <v>0</v>
      </c>
      <c r="CQ653" s="37">
        <v>260000</v>
      </c>
      <c r="CR653" s="37">
        <v>0</v>
      </c>
      <c r="CS653" s="37">
        <v>0</v>
      </c>
      <c r="CT653" s="37">
        <v>0</v>
      </c>
      <c r="CU653" s="37">
        <v>0</v>
      </c>
      <c r="CV653" s="37">
        <v>0</v>
      </c>
      <c r="CW653" s="37">
        <v>0</v>
      </c>
      <c r="CX653" s="37">
        <v>0</v>
      </c>
      <c r="CY653" s="37">
        <v>0</v>
      </c>
      <c r="CZ653" s="37">
        <v>260000</v>
      </c>
      <c r="DA653" s="37">
        <v>0</v>
      </c>
      <c r="DB653" s="37">
        <v>0</v>
      </c>
      <c r="DC653" s="37">
        <v>0</v>
      </c>
      <c r="DD653" s="37">
        <v>0</v>
      </c>
      <c r="DE653" s="37">
        <v>0</v>
      </c>
      <c r="DF653" s="37">
        <v>0</v>
      </c>
      <c r="DG653" s="37">
        <v>0</v>
      </c>
      <c r="DH653" s="37">
        <v>0</v>
      </c>
      <c r="DI653" s="37">
        <v>0</v>
      </c>
      <c r="DJ653" s="37">
        <v>0</v>
      </c>
      <c r="DK653" s="37">
        <v>0</v>
      </c>
      <c r="DL653" s="37">
        <v>0</v>
      </c>
      <c r="DM653" s="37">
        <v>0</v>
      </c>
      <c r="DN653" s="37">
        <v>0</v>
      </c>
      <c r="DO653" s="37">
        <v>0</v>
      </c>
      <c r="DP653" s="37">
        <v>0</v>
      </c>
      <c r="DQ653" s="37">
        <v>0</v>
      </c>
      <c r="DR653" s="37">
        <v>0</v>
      </c>
      <c r="DS653" s="37">
        <v>0</v>
      </c>
      <c r="DT653" s="37">
        <v>0</v>
      </c>
      <c r="DU653" s="37">
        <v>0</v>
      </c>
      <c r="DV653" s="37">
        <v>0</v>
      </c>
      <c r="DW653" s="37">
        <v>0</v>
      </c>
      <c r="DX653" s="37">
        <v>0</v>
      </c>
      <c r="DY653" s="37">
        <v>0</v>
      </c>
      <c r="DZ653" s="37">
        <v>0</v>
      </c>
      <c r="EA653" s="37">
        <v>0</v>
      </c>
      <c r="EB653" s="37">
        <v>0</v>
      </c>
      <c r="EC653" s="37">
        <v>0</v>
      </c>
      <c r="ED653" s="37">
        <v>0</v>
      </c>
      <c r="EE653" s="37">
        <v>0</v>
      </c>
      <c r="EF653" s="37">
        <v>0</v>
      </c>
      <c r="EG653" s="37">
        <v>0</v>
      </c>
      <c r="EH653" s="37">
        <v>0</v>
      </c>
      <c r="EI653" s="37">
        <v>0</v>
      </c>
      <c r="EJ653" s="37">
        <v>0</v>
      </c>
      <c r="EK653" s="161" t="s">
        <v>2776</v>
      </c>
      <c r="EL653" s="294" t="s">
        <v>1124</v>
      </c>
    </row>
    <row r="654" spans="1:142" ht="15" customHeight="1" x14ac:dyDescent="0.35">
      <c r="A654" s="34"/>
      <c r="B654" s="313">
        <v>21030</v>
      </c>
      <c r="C654" s="8" t="s">
        <v>149</v>
      </c>
      <c r="D654" s="18">
        <v>3</v>
      </c>
      <c r="E654" s="155">
        <v>341209</v>
      </c>
      <c r="F654" s="36">
        <v>433434</v>
      </c>
      <c r="G654" s="37">
        <v>0</v>
      </c>
      <c r="H654" s="37">
        <v>2148</v>
      </c>
      <c r="I654" s="37">
        <v>8500</v>
      </c>
      <c r="J654" s="37">
        <v>47487</v>
      </c>
      <c r="K654" s="37">
        <v>51181.35</v>
      </c>
      <c r="L654" s="37">
        <v>65015.1</v>
      </c>
      <c r="M654" s="37">
        <v>400890.35</v>
      </c>
      <c r="N654" s="37">
        <v>548084.1</v>
      </c>
      <c r="O654" s="37">
        <v>0</v>
      </c>
      <c r="P654" s="37">
        <v>0</v>
      </c>
      <c r="Q654" s="37">
        <v>159889</v>
      </c>
      <c r="R654" s="37">
        <v>198619</v>
      </c>
      <c r="S654" s="37">
        <v>13846</v>
      </c>
      <c r="T654" s="37">
        <v>0</v>
      </c>
      <c r="U654" s="37">
        <v>12480</v>
      </c>
      <c r="V654" s="37">
        <v>1337</v>
      </c>
      <c r="W654" s="37">
        <v>214675</v>
      </c>
      <c r="X654" s="37">
        <v>348128</v>
      </c>
      <c r="Y654" s="37">
        <v>0</v>
      </c>
      <c r="Z654" s="37">
        <v>0</v>
      </c>
      <c r="AA654" s="37">
        <v>400890</v>
      </c>
      <c r="AB654" s="37">
        <v>548084</v>
      </c>
      <c r="AC654" s="37">
        <v>0</v>
      </c>
      <c r="AD654" s="37">
        <v>0</v>
      </c>
      <c r="AE654" s="37">
        <v>0</v>
      </c>
      <c r="AF654" s="168">
        <v>0.02</v>
      </c>
      <c r="AG654" s="37">
        <v>90836136.200000003</v>
      </c>
      <c r="AH654" s="37">
        <v>732790.26</v>
      </c>
      <c r="AI654" s="37">
        <v>747446.06</v>
      </c>
      <c r="AJ654" s="37">
        <v>762394.98</v>
      </c>
      <c r="AK654" s="37">
        <v>777642.88</v>
      </c>
      <c r="AL654" s="37">
        <v>793195.74</v>
      </c>
      <c r="AM654" s="37">
        <v>809059.66</v>
      </c>
      <c r="AN654" s="37">
        <v>825240.85</v>
      </c>
      <c r="AO654" s="37">
        <v>841745.67</v>
      </c>
      <c r="AP654" s="37">
        <v>858580.58</v>
      </c>
      <c r="AQ654" s="37">
        <v>875752.19</v>
      </c>
      <c r="AR654" s="37">
        <v>8023848.870000001</v>
      </c>
      <c r="AS654" s="37">
        <v>3954916.22</v>
      </c>
      <c r="AT654" s="37">
        <v>4122676.21</v>
      </c>
      <c r="AU654" s="37">
        <v>2554339.1</v>
      </c>
      <c r="AV654" s="37">
        <v>0</v>
      </c>
      <c r="AW654" s="37">
        <v>0</v>
      </c>
      <c r="AX654" s="37">
        <v>0</v>
      </c>
      <c r="AY654" s="37">
        <v>0</v>
      </c>
      <c r="AZ654" s="37">
        <v>0</v>
      </c>
      <c r="BA654" s="37">
        <v>0</v>
      </c>
      <c r="BB654" s="37">
        <v>0</v>
      </c>
      <c r="BC654" s="37">
        <v>0</v>
      </c>
      <c r="BD654" s="37">
        <v>6677015.3100000005</v>
      </c>
      <c r="BE654" s="37">
        <v>552279</v>
      </c>
      <c r="BF654" s="37">
        <v>168413</v>
      </c>
      <c r="BG654" s="37">
        <v>219015</v>
      </c>
      <c r="BH654" s="37">
        <v>269617</v>
      </c>
      <c r="BI654" s="37">
        <v>320220</v>
      </c>
      <c r="BJ654" s="37">
        <v>34779</v>
      </c>
      <c r="BK654" s="37">
        <v>168413</v>
      </c>
      <c r="BL654" s="37">
        <v>219015</v>
      </c>
      <c r="BM654" s="37">
        <v>269617</v>
      </c>
      <c r="BN654" s="37">
        <v>320220</v>
      </c>
      <c r="BO654" s="37">
        <v>369405</v>
      </c>
      <c r="BP654" s="37">
        <v>2358714</v>
      </c>
      <c r="BQ654" s="37">
        <v>18491</v>
      </c>
      <c r="BR654" s="37">
        <v>89541</v>
      </c>
      <c r="BS654" s="37">
        <v>116444</v>
      </c>
      <c r="BT654" s="37">
        <v>143348</v>
      </c>
      <c r="BU654" s="37">
        <v>170252</v>
      </c>
      <c r="BV654" s="37">
        <v>18491</v>
      </c>
      <c r="BW654" s="37">
        <v>89541</v>
      </c>
      <c r="BX654" s="37">
        <v>116444</v>
      </c>
      <c r="BY654" s="37">
        <v>143348</v>
      </c>
      <c r="BZ654" s="37">
        <v>170252</v>
      </c>
      <c r="CA654" s="37">
        <v>195785</v>
      </c>
      <c r="CB654" s="37">
        <v>1253446</v>
      </c>
      <c r="CC654" s="37">
        <v>0</v>
      </c>
      <c r="CD654" s="37">
        <v>0</v>
      </c>
      <c r="CE654" s="37">
        <v>0</v>
      </c>
      <c r="CF654" s="37">
        <v>0</v>
      </c>
      <c r="CG654" s="37">
        <v>0</v>
      </c>
      <c r="CH654" s="37">
        <v>0</v>
      </c>
      <c r="CI654" s="37">
        <v>0</v>
      </c>
      <c r="CJ654" s="37">
        <v>0</v>
      </c>
      <c r="CK654" s="37">
        <v>0</v>
      </c>
      <c r="CL654" s="37">
        <v>0</v>
      </c>
      <c r="CM654" s="37">
        <v>0</v>
      </c>
      <c r="CN654" s="37">
        <v>0</v>
      </c>
      <c r="CO654" s="37">
        <v>3994660</v>
      </c>
      <c r="CP654" s="37">
        <v>3994660</v>
      </c>
      <c r="CQ654" s="37">
        <v>0</v>
      </c>
      <c r="CR654" s="37">
        <v>0</v>
      </c>
      <c r="CS654" s="37">
        <v>0</v>
      </c>
      <c r="CT654" s="37">
        <v>0</v>
      </c>
      <c r="CU654" s="37">
        <v>0</v>
      </c>
      <c r="CV654" s="37">
        <v>0</v>
      </c>
      <c r="CW654" s="37">
        <v>0</v>
      </c>
      <c r="CX654" s="37">
        <v>0</v>
      </c>
      <c r="CY654" s="37">
        <v>0</v>
      </c>
      <c r="CZ654" s="37">
        <v>3994660</v>
      </c>
      <c r="DA654" s="37">
        <v>7616000</v>
      </c>
      <c r="DB654" s="37">
        <v>6272000</v>
      </c>
      <c r="DC654" s="37">
        <v>1500000</v>
      </c>
      <c r="DD654" s="37">
        <v>0</v>
      </c>
      <c r="DE654" s="37">
        <v>0</v>
      </c>
      <c r="DF654" s="37">
        <v>0</v>
      </c>
      <c r="DG654" s="37">
        <v>0</v>
      </c>
      <c r="DH654" s="37">
        <v>0</v>
      </c>
      <c r="DI654" s="37">
        <v>0</v>
      </c>
      <c r="DJ654" s="37">
        <v>0</v>
      </c>
      <c r="DK654" s="37">
        <v>0</v>
      </c>
      <c r="DL654" s="37">
        <v>7772000</v>
      </c>
      <c r="DM654" s="37">
        <v>0</v>
      </c>
      <c r="DN654" s="37">
        <v>0</v>
      </c>
      <c r="DO654" s="37">
        <v>0</v>
      </c>
      <c r="DP654" s="37">
        <v>0</v>
      </c>
      <c r="DQ654" s="37">
        <v>0</v>
      </c>
      <c r="DR654" s="37">
        <v>0</v>
      </c>
      <c r="DS654" s="37">
        <v>0</v>
      </c>
      <c r="DT654" s="37">
        <v>0</v>
      </c>
      <c r="DU654" s="37">
        <v>0</v>
      </c>
      <c r="DV654" s="37">
        <v>0</v>
      </c>
      <c r="DW654" s="37">
        <v>0</v>
      </c>
      <c r="DX654" s="37">
        <v>0</v>
      </c>
      <c r="DY654" s="37">
        <v>0</v>
      </c>
      <c r="DZ654" s="37">
        <v>0</v>
      </c>
      <c r="EA654" s="37">
        <v>0</v>
      </c>
      <c r="EB654" s="37">
        <v>0</v>
      </c>
      <c r="EC654" s="37">
        <v>0</v>
      </c>
      <c r="ED654" s="37">
        <v>0</v>
      </c>
      <c r="EE654" s="37">
        <v>0</v>
      </c>
      <c r="EF654" s="37">
        <v>0</v>
      </c>
      <c r="EG654" s="37">
        <v>0</v>
      </c>
      <c r="EH654" s="37">
        <v>0</v>
      </c>
      <c r="EI654" s="37">
        <v>0</v>
      </c>
      <c r="EJ654" s="37">
        <v>0</v>
      </c>
      <c r="EK654" s="161" t="s">
        <v>4599</v>
      </c>
      <c r="EL654" s="294" t="s">
        <v>1124</v>
      </c>
    </row>
    <row r="655" spans="1:142" ht="15" customHeight="1" x14ac:dyDescent="0.35">
      <c r="A655" s="34"/>
      <c r="B655" s="313">
        <v>66117</v>
      </c>
      <c r="C655" s="8" t="s">
        <v>660</v>
      </c>
      <c r="D655" s="18">
        <v>6</v>
      </c>
      <c r="E655" s="155">
        <v>857483.33077969996</v>
      </c>
      <c r="F655" s="36">
        <v>301485.60724060005</v>
      </c>
      <c r="G655" s="37">
        <v>19595.186000000002</v>
      </c>
      <c r="H655" s="37">
        <v>19699.056</v>
      </c>
      <c r="I655" s="37">
        <v>40764.334000000003</v>
      </c>
      <c r="J655" s="37">
        <v>38991.03</v>
      </c>
      <c r="K655" s="37">
        <v>127836.962</v>
      </c>
      <c r="L655" s="37">
        <v>44482.937000000005</v>
      </c>
      <c r="M655" s="37">
        <v>1045679.8127796999</v>
      </c>
      <c r="N655" s="37">
        <v>404658.63024060003</v>
      </c>
      <c r="O655" s="37">
        <v>356979.82322000002</v>
      </c>
      <c r="P655" s="37">
        <v>8062.1816599999993</v>
      </c>
      <c r="Q655" s="37">
        <v>30220</v>
      </c>
      <c r="R655" s="37">
        <v>0</v>
      </c>
      <c r="S655" s="37">
        <v>2969.1084799999999</v>
      </c>
      <c r="T655" s="37">
        <v>979.47199999999998</v>
      </c>
      <c r="U655" s="37">
        <v>571.83749999999998</v>
      </c>
      <c r="V655" s="37">
        <v>0</v>
      </c>
      <c r="W655" s="37">
        <v>674032.11571368028</v>
      </c>
      <c r="X655" s="37">
        <v>406875.89230358973</v>
      </c>
      <c r="Y655" s="37">
        <v>0</v>
      </c>
      <c r="Z655" s="37">
        <v>0</v>
      </c>
      <c r="AA655" s="37">
        <v>1064772.8849136804</v>
      </c>
      <c r="AB655" s="37">
        <v>415917.54596358974</v>
      </c>
      <c r="AC655" s="37">
        <v>30352</v>
      </c>
      <c r="AD655" s="37">
        <v>6223.36</v>
      </c>
      <c r="AE655" s="37">
        <v>38566.71</v>
      </c>
      <c r="AF655" s="168">
        <v>0.02</v>
      </c>
      <c r="AG655" s="37">
        <v>166876636.05000001</v>
      </c>
      <c r="AH655" s="37">
        <v>1612511.41</v>
      </c>
      <c r="AI655" s="37">
        <v>1598038.93</v>
      </c>
      <c r="AJ655" s="37">
        <v>1610484.49</v>
      </c>
      <c r="AK655" s="37">
        <v>1664090.98</v>
      </c>
      <c r="AL655" s="37">
        <v>1701936.92</v>
      </c>
      <c r="AM655" s="37">
        <v>1785401.6</v>
      </c>
      <c r="AN655" s="37">
        <v>1825740.32</v>
      </c>
      <c r="AO655" s="37">
        <v>1839604.05</v>
      </c>
      <c r="AP655" s="37">
        <v>1896122.49</v>
      </c>
      <c r="AQ655" s="37">
        <v>1934389.3</v>
      </c>
      <c r="AR655" s="37">
        <v>17468320.489999998</v>
      </c>
      <c r="AS655" s="37">
        <v>4783866.74</v>
      </c>
      <c r="AT655" s="37">
        <v>238968.61</v>
      </c>
      <c r="AU655" s="37">
        <v>264669.99</v>
      </c>
      <c r="AV655" s="37">
        <v>669836.75</v>
      </c>
      <c r="AW655" s="37">
        <v>697018.88</v>
      </c>
      <c r="AX655" s="37">
        <v>209892.07</v>
      </c>
      <c r="AY655" s="37">
        <v>887652.22</v>
      </c>
      <c r="AZ655" s="37">
        <v>848450.62</v>
      </c>
      <c r="BA655" s="37">
        <v>843642.35</v>
      </c>
      <c r="BB655" s="37">
        <v>896183.28</v>
      </c>
      <c r="BC655" s="37">
        <v>848803.4</v>
      </c>
      <c r="BD655" s="37">
        <v>6405118.1700000009</v>
      </c>
      <c r="BE655" s="37">
        <v>928749.08</v>
      </c>
      <c r="BF655" s="37">
        <v>365339.38</v>
      </c>
      <c r="BG655" s="37">
        <v>364196.96292973042</v>
      </c>
      <c r="BH655" s="37">
        <v>185184.51243113645</v>
      </c>
      <c r="BI655" s="37">
        <v>625332.20799999998</v>
      </c>
      <c r="BJ655" s="37">
        <v>42840.40800000001</v>
      </c>
      <c r="BK655" s="37">
        <v>42840.40800000001</v>
      </c>
      <c r="BL655" s="37">
        <v>42840.40800000001</v>
      </c>
      <c r="BM655" s="37">
        <v>7597.98</v>
      </c>
      <c r="BN655" s="37">
        <v>0</v>
      </c>
      <c r="BO655" s="37">
        <v>0</v>
      </c>
      <c r="BP655" s="37">
        <v>1676172.267360867</v>
      </c>
      <c r="BQ655" s="37">
        <v>2537186.54</v>
      </c>
      <c r="BR655" s="37">
        <v>929657.19</v>
      </c>
      <c r="BS655" s="37">
        <v>3067816.0470702695</v>
      </c>
      <c r="BT655" s="37">
        <v>1524231.2475688634</v>
      </c>
      <c r="BU655" s="37">
        <v>1114150.5819999999</v>
      </c>
      <c r="BV655" s="37">
        <v>306858.94199999998</v>
      </c>
      <c r="BW655" s="37">
        <v>309815.92200000002</v>
      </c>
      <c r="BX655" s="37">
        <v>360727.69200000004</v>
      </c>
      <c r="BY655" s="37">
        <v>459131.92</v>
      </c>
      <c r="BZ655" s="37">
        <v>393852.94</v>
      </c>
      <c r="CA655" s="37">
        <v>448846.58</v>
      </c>
      <c r="CB655" s="37">
        <v>8915089.0626391321</v>
      </c>
      <c r="CC655" s="37">
        <v>32513.52</v>
      </c>
      <c r="CD655" s="37">
        <v>31006.3</v>
      </c>
      <c r="CE655" s="37">
        <v>36392.07</v>
      </c>
      <c r="CF655" s="37">
        <v>21918.78</v>
      </c>
      <c r="CG655" s="37">
        <v>20813.78</v>
      </c>
      <c r="CH655" s="37">
        <v>23023.78</v>
      </c>
      <c r="CI655" s="37">
        <v>24128.78</v>
      </c>
      <c r="CJ655" s="37">
        <v>24128.78</v>
      </c>
      <c r="CK655" s="37">
        <v>24128.78</v>
      </c>
      <c r="CL655" s="37">
        <v>24128.78</v>
      </c>
      <c r="CM655" s="37">
        <v>24128.78</v>
      </c>
      <c r="CN655" s="37">
        <v>253798.61</v>
      </c>
      <c r="CO655" s="37">
        <v>59415.85</v>
      </c>
      <c r="CP655" s="37">
        <v>32422.91</v>
      </c>
      <c r="CQ655" s="37">
        <v>82532.45</v>
      </c>
      <c r="CR655" s="37">
        <v>259260.31339000002</v>
      </c>
      <c r="CS655" s="37">
        <v>30409.599999999999</v>
      </c>
      <c r="CT655" s="37">
        <v>18564</v>
      </c>
      <c r="CU655" s="37">
        <v>25636</v>
      </c>
      <c r="CV655" s="37">
        <v>17680</v>
      </c>
      <c r="CW655" s="37">
        <v>0</v>
      </c>
      <c r="CX655" s="37">
        <v>0</v>
      </c>
      <c r="CY655" s="37">
        <v>0</v>
      </c>
      <c r="CZ655" s="37">
        <v>466505.27338999999</v>
      </c>
      <c r="DA655" s="37">
        <v>155546.43</v>
      </c>
      <c r="DB655" s="37">
        <v>66821.56</v>
      </c>
      <c r="DC655" s="37">
        <v>67000.570000000007</v>
      </c>
      <c r="DD655" s="37">
        <v>288565.53661000001</v>
      </c>
      <c r="DE655" s="37">
        <v>514118.93</v>
      </c>
      <c r="DF655" s="37">
        <v>38568.92</v>
      </c>
      <c r="DG655" s="37">
        <v>72346.559999999998</v>
      </c>
      <c r="DH655" s="37">
        <v>28283.58</v>
      </c>
      <c r="DI655" s="37">
        <v>23744.240000000002</v>
      </c>
      <c r="DJ655" s="37">
        <v>53612.39</v>
      </c>
      <c r="DK655" s="37">
        <v>0</v>
      </c>
      <c r="DL655" s="37">
        <v>1153062.2866100001</v>
      </c>
      <c r="DM655" s="37">
        <v>14347.32</v>
      </c>
      <c r="DN655" s="37">
        <v>12532.91</v>
      </c>
      <c r="DO655" s="37">
        <v>426.53</v>
      </c>
      <c r="DP655" s="37">
        <v>0</v>
      </c>
      <c r="DQ655" s="37">
        <v>0</v>
      </c>
      <c r="DR655" s="37">
        <v>0</v>
      </c>
      <c r="DS655" s="37">
        <v>0</v>
      </c>
      <c r="DT655" s="37">
        <v>0</v>
      </c>
      <c r="DU655" s="37">
        <v>0</v>
      </c>
      <c r="DV655" s="37">
        <v>0</v>
      </c>
      <c r="DW655" s="37">
        <v>0</v>
      </c>
      <c r="DX655" s="37">
        <v>12959.44</v>
      </c>
      <c r="DY655" s="37">
        <v>0</v>
      </c>
      <c r="DZ655" s="37">
        <v>0</v>
      </c>
      <c r="EA655" s="37">
        <v>0</v>
      </c>
      <c r="EB655" s="37">
        <v>0</v>
      </c>
      <c r="EC655" s="37">
        <v>0</v>
      </c>
      <c r="ED655" s="37">
        <v>0</v>
      </c>
      <c r="EE655" s="37">
        <v>0</v>
      </c>
      <c r="EF655" s="37">
        <v>0</v>
      </c>
      <c r="EG655" s="37">
        <v>0</v>
      </c>
      <c r="EH655" s="37">
        <v>0</v>
      </c>
      <c r="EI655" s="37">
        <v>0</v>
      </c>
      <c r="EJ655" s="37">
        <v>0</v>
      </c>
      <c r="EK655" s="161" t="s">
        <v>2780</v>
      </c>
      <c r="EL655" s="294" t="s">
        <v>1124</v>
      </c>
    </row>
    <row r="656" spans="1:142" ht="15" customHeight="1" x14ac:dyDescent="0.35">
      <c r="A656" s="34"/>
      <c r="B656" s="313">
        <v>37205</v>
      </c>
      <c r="C656" s="8" t="s">
        <v>315</v>
      </c>
      <c r="D656" s="18">
        <v>4</v>
      </c>
      <c r="E656" s="155"/>
      <c r="F656" s="36"/>
      <c r="G656" s="37"/>
      <c r="H656" s="37"/>
      <c r="I656" s="37"/>
      <c r="J656" s="37"/>
      <c r="K656" s="37"/>
      <c r="L656" s="37"/>
      <c r="M656" s="37" t="s">
        <v>1124</v>
      </c>
      <c r="N656" s="37" t="s">
        <v>1124</v>
      </c>
      <c r="O656" s="37"/>
      <c r="P656" s="37"/>
      <c r="Q656" s="37"/>
      <c r="R656" s="37"/>
      <c r="S656" s="37"/>
      <c r="T656" s="37"/>
      <c r="U656" s="37"/>
      <c r="V656" s="37"/>
      <c r="W656" s="37"/>
      <c r="X656" s="37"/>
      <c r="Y656" s="37"/>
      <c r="Z656" s="37"/>
      <c r="AA656" s="37" t="s">
        <v>1124</v>
      </c>
      <c r="AB656" s="37" t="s">
        <v>1124</v>
      </c>
      <c r="AC656" s="37"/>
      <c r="AD656" s="37"/>
      <c r="AE656" s="37"/>
      <c r="AF656" s="168"/>
      <c r="AG656" s="37"/>
      <c r="AH656" s="37"/>
      <c r="AI656" s="37"/>
      <c r="AJ656" s="37"/>
      <c r="AK656" s="37"/>
      <c r="AL656" s="37"/>
      <c r="AM656" s="37"/>
      <c r="AN656" s="37"/>
      <c r="AO656" s="37"/>
      <c r="AP656" s="37"/>
      <c r="AQ656" s="37"/>
      <c r="AR656" s="37" t="s">
        <v>1124</v>
      </c>
      <c r="AS656" s="37"/>
      <c r="AT656" s="37"/>
      <c r="AU656" s="37"/>
      <c r="AV656" s="37"/>
      <c r="AW656" s="37"/>
      <c r="AX656" s="37"/>
      <c r="AY656" s="37"/>
      <c r="AZ656" s="37"/>
      <c r="BA656" s="37"/>
      <c r="BB656" s="37"/>
      <c r="BC656" s="37"/>
      <c r="BD656" s="37" t="s">
        <v>1124</v>
      </c>
      <c r="BE656" s="37"/>
      <c r="BF656" s="37"/>
      <c r="BG656" s="37"/>
      <c r="BH656" s="37"/>
      <c r="BI656" s="37"/>
      <c r="BJ656" s="37"/>
      <c r="BK656" s="37"/>
      <c r="BL656" s="37"/>
      <c r="BM656" s="37"/>
      <c r="BN656" s="37"/>
      <c r="BO656" s="37"/>
      <c r="BP656" s="37">
        <v>0</v>
      </c>
      <c r="BQ656" s="37"/>
      <c r="BR656" s="37"/>
      <c r="BS656" s="37"/>
      <c r="BT656" s="37"/>
      <c r="BU656" s="37"/>
      <c r="BV656" s="37"/>
      <c r="BW656" s="37"/>
      <c r="BX656" s="37"/>
      <c r="BY656" s="37"/>
      <c r="BZ656" s="37"/>
      <c r="CA656" s="37"/>
      <c r="CB656" s="37" t="s">
        <v>1124</v>
      </c>
      <c r="CC656" s="37"/>
      <c r="CD656" s="37"/>
      <c r="CE656" s="37"/>
      <c r="CF656" s="37"/>
      <c r="CG656" s="37"/>
      <c r="CH656" s="37"/>
      <c r="CI656" s="37"/>
      <c r="CJ656" s="37"/>
      <c r="CK656" s="37"/>
      <c r="CL656" s="37"/>
      <c r="CM656" s="37"/>
      <c r="CN656" s="37" t="s">
        <v>1124</v>
      </c>
      <c r="CO656" s="37"/>
      <c r="CP656" s="37"/>
      <c r="CQ656" s="37"/>
      <c r="CR656" s="37"/>
      <c r="CS656" s="37"/>
      <c r="CT656" s="37"/>
      <c r="CU656" s="37"/>
      <c r="CV656" s="37"/>
      <c r="CW656" s="37"/>
      <c r="CX656" s="37"/>
      <c r="CY656" s="37"/>
      <c r="CZ656" s="37" t="s">
        <v>1124</v>
      </c>
      <c r="DA656" s="37"/>
      <c r="DB656" s="37"/>
      <c r="DC656" s="37"/>
      <c r="DD656" s="37"/>
      <c r="DE656" s="37"/>
      <c r="DF656" s="37"/>
      <c r="DG656" s="37"/>
      <c r="DH656" s="37"/>
      <c r="DI656" s="37"/>
      <c r="DJ656" s="37"/>
      <c r="DK656" s="37"/>
      <c r="DL656" s="37" t="s">
        <v>1124</v>
      </c>
      <c r="DM656" s="37"/>
      <c r="DN656" s="37"/>
      <c r="DO656" s="37"/>
      <c r="DP656" s="37"/>
      <c r="DQ656" s="37"/>
      <c r="DR656" s="37"/>
      <c r="DS656" s="37"/>
      <c r="DT656" s="37"/>
      <c r="DU656" s="37"/>
      <c r="DV656" s="37"/>
      <c r="DW656" s="37"/>
      <c r="DX656" s="37" t="s">
        <v>1124</v>
      </c>
      <c r="DY656" s="37"/>
      <c r="DZ656" s="37"/>
      <c r="EA656" s="37"/>
      <c r="EB656" s="37"/>
      <c r="EC656" s="37"/>
      <c r="ED656" s="37"/>
      <c r="EE656" s="37"/>
      <c r="EF656" s="37"/>
      <c r="EG656" s="37"/>
      <c r="EH656" s="37"/>
      <c r="EI656" s="37"/>
      <c r="EJ656" s="37" t="s">
        <v>1124</v>
      </c>
      <c r="EK656" s="161"/>
      <c r="EL656" s="294"/>
    </row>
    <row r="657" spans="1:142" ht="15" customHeight="1" x14ac:dyDescent="0.35">
      <c r="A657" s="34"/>
      <c r="B657" s="313">
        <v>14090</v>
      </c>
      <c r="C657" s="8" t="s">
        <v>76</v>
      </c>
      <c r="D657" s="18">
        <v>1</v>
      </c>
      <c r="E657" s="155">
        <v>46470</v>
      </c>
      <c r="F657" s="36">
        <v>20381</v>
      </c>
      <c r="G657" s="37">
        <v>2428</v>
      </c>
      <c r="H657" s="37">
        <v>6437</v>
      </c>
      <c r="I657" s="37">
        <v>26278</v>
      </c>
      <c r="J657" s="37">
        <v>34391</v>
      </c>
      <c r="K657" s="37">
        <v>6971</v>
      </c>
      <c r="L657" s="37">
        <v>3057</v>
      </c>
      <c r="M657" s="37">
        <v>82147</v>
      </c>
      <c r="N657" s="37">
        <v>64266</v>
      </c>
      <c r="O657" s="37">
        <v>56195</v>
      </c>
      <c r="P657" s="37">
        <v>0</v>
      </c>
      <c r="Q657" s="37">
        <v>0</v>
      </c>
      <c r="R657" s="37">
        <v>22925</v>
      </c>
      <c r="S657" s="37">
        <v>30</v>
      </c>
      <c r="T657" s="37">
        <v>0</v>
      </c>
      <c r="U657" s="37">
        <v>0</v>
      </c>
      <c r="V657" s="37">
        <v>732</v>
      </c>
      <c r="W657" s="37">
        <v>39811</v>
      </c>
      <c r="X657" s="37">
        <v>39811</v>
      </c>
      <c r="Y657" s="37">
        <v>0</v>
      </c>
      <c r="Z657" s="37">
        <v>2267</v>
      </c>
      <c r="AA657" s="37">
        <v>96036</v>
      </c>
      <c r="AB657" s="37">
        <v>65735</v>
      </c>
      <c r="AC657" s="37">
        <v>15358</v>
      </c>
      <c r="AD657" s="37">
        <v>15358</v>
      </c>
      <c r="AE657" s="37">
        <v>24182</v>
      </c>
      <c r="AF657" s="168">
        <v>0.02</v>
      </c>
      <c r="AG657" s="37">
        <v>22368107.100000001</v>
      </c>
      <c r="AH657" s="37">
        <v>92918.12</v>
      </c>
      <c r="AI657" s="37">
        <v>94776.49</v>
      </c>
      <c r="AJ657" s="37">
        <v>96672.02</v>
      </c>
      <c r="AK657" s="37">
        <v>98605.46</v>
      </c>
      <c r="AL657" s="37">
        <v>100577.57</v>
      </c>
      <c r="AM657" s="37">
        <v>102589.12</v>
      </c>
      <c r="AN657" s="37">
        <v>104640.9</v>
      </c>
      <c r="AO657" s="37">
        <v>106733.72</v>
      </c>
      <c r="AP657" s="37">
        <v>108868.39</v>
      </c>
      <c r="AQ657" s="37">
        <v>111045.75999999999</v>
      </c>
      <c r="AR657" s="37">
        <v>1017427.55</v>
      </c>
      <c r="AS657" s="37">
        <v>0</v>
      </c>
      <c r="AT657" s="37">
        <v>339660</v>
      </c>
      <c r="AU657" s="37">
        <v>988380</v>
      </c>
      <c r="AV657" s="37">
        <v>0</v>
      </c>
      <c r="AW657" s="37">
        <v>0</v>
      </c>
      <c r="AX657" s="37">
        <v>0</v>
      </c>
      <c r="AY657" s="37">
        <v>0</v>
      </c>
      <c r="AZ657" s="37">
        <v>0</v>
      </c>
      <c r="BA657" s="37">
        <v>0</v>
      </c>
      <c r="BB657" s="37">
        <v>0</v>
      </c>
      <c r="BC657" s="37">
        <v>0</v>
      </c>
      <c r="BD657" s="37">
        <v>1328040</v>
      </c>
      <c r="BE657" s="37">
        <v>0</v>
      </c>
      <c r="BF657" s="37">
        <v>0</v>
      </c>
      <c r="BG657" s="37">
        <v>0</v>
      </c>
      <c r="BH657" s="37">
        <v>0</v>
      </c>
      <c r="BI657" s="37">
        <v>0</v>
      </c>
      <c r="BJ657" s="37">
        <v>0</v>
      </c>
      <c r="BK657" s="37">
        <v>0</v>
      </c>
      <c r="BL657" s="37">
        <v>0</v>
      </c>
      <c r="BM657" s="37">
        <v>0</v>
      </c>
      <c r="BN657" s="37">
        <v>0</v>
      </c>
      <c r="BO657" s="37">
        <v>0</v>
      </c>
      <c r="BP657" s="37">
        <v>0</v>
      </c>
      <c r="BQ657" s="37">
        <v>0</v>
      </c>
      <c r="BR657" s="37">
        <v>0</v>
      </c>
      <c r="BS657" s="37">
        <v>0</v>
      </c>
      <c r="BT657" s="37">
        <v>0</v>
      </c>
      <c r="BU657" s="37">
        <v>0</v>
      </c>
      <c r="BV657" s="37">
        <v>0</v>
      </c>
      <c r="BW657" s="37">
        <v>0</v>
      </c>
      <c r="BX657" s="37">
        <v>0</v>
      </c>
      <c r="BY657" s="37">
        <v>0</v>
      </c>
      <c r="BZ657" s="37">
        <v>0</v>
      </c>
      <c r="CA657" s="37">
        <v>0</v>
      </c>
      <c r="CB657" s="37">
        <v>0</v>
      </c>
      <c r="CC657" s="37">
        <v>0</v>
      </c>
      <c r="CD657" s="37">
        <v>0</v>
      </c>
      <c r="CE657" s="37">
        <v>0</v>
      </c>
      <c r="CF657" s="37">
        <v>0</v>
      </c>
      <c r="CG657" s="37">
        <v>0</v>
      </c>
      <c r="CH657" s="37">
        <v>0</v>
      </c>
      <c r="CI657" s="37">
        <v>0</v>
      </c>
      <c r="CJ657" s="37">
        <v>0</v>
      </c>
      <c r="CK657" s="37">
        <v>0</v>
      </c>
      <c r="CL657" s="37">
        <v>0</v>
      </c>
      <c r="CM657" s="37">
        <v>0</v>
      </c>
      <c r="CN657" s="37">
        <v>0</v>
      </c>
      <c r="CO657" s="37">
        <v>9067239</v>
      </c>
      <c r="CP657" s="37">
        <v>240000</v>
      </c>
      <c r="CQ657" s="37">
        <v>0</v>
      </c>
      <c r="CR657" s="37">
        <v>0</v>
      </c>
      <c r="CS657" s="37">
        <v>0</v>
      </c>
      <c r="CT657" s="37">
        <v>0</v>
      </c>
      <c r="CU657" s="37">
        <v>0</v>
      </c>
      <c r="CV657" s="37">
        <v>0</v>
      </c>
      <c r="CW657" s="37">
        <v>0</v>
      </c>
      <c r="CX657" s="37">
        <v>0</v>
      </c>
      <c r="CY657" s="37">
        <v>0</v>
      </c>
      <c r="CZ657" s="37">
        <v>240000</v>
      </c>
      <c r="DA657" s="37">
        <v>0</v>
      </c>
      <c r="DB657" s="37">
        <v>0</v>
      </c>
      <c r="DC657" s="37">
        <v>0</v>
      </c>
      <c r="DD657" s="37">
        <v>0</v>
      </c>
      <c r="DE657" s="37">
        <v>0</v>
      </c>
      <c r="DF657" s="37">
        <v>0</v>
      </c>
      <c r="DG657" s="37">
        <v>0</v>
      </c>
      <c r="DH657" s="37">
        <v>0</v>
      </c>
      <c r="DI657" s="37">
        <v>0</v>
      </c>
      <c r="DJ657" s="37">
        <v>0</v>
      </c>
      <c r="DK657" s="37">
        <v>0</v>
      </c>
      <c r="DL657" s="37">
        <v>0</v>
      </c>
      <c r="DM657" s="37">
        <v>0</v>
      </c>
      <c r="DN657" s="37">
        <v>0</v>
      </c>
      <c r="DO657" s="37">
        <v>0</v>
      </c>
      <c r="DP657" s="37">
        <v>0</v>
      </c>
      <c r="DQ657" s="37">
        <v>0</v>
      </c>
      <c r="DR657" s="37">
        <v>0</v>
      </c>
      <c r="DS657" s="37">
        <v>0</v>
      </c>
      <c r="DT657" s="37">
        <v>0</v>
      </c>
      <c r="DU657" s="37">
        <v>0</v>
      </c>
      <c r="DV657" s="37">
        <v>0</v>
      </c>
      <c r="DW657" s="37">
        <v>0</v>
      </c>
      <c r="DX657" s="37">
        <v>0</v>
      </c>
      <c r="DY657" s="37">
        <v>0</v>
      </c>
      <c r="DZ657" s="37">
        <v>0</v>
      </c>
      <c r="EA657" s="37">
        <v>0</v>
      </c>
      <c r="EB657" s="37">
        <v>0</v>
      </c>
      <c r="EC657" s="37">
        <v>0</v>
      </c>
      <c r="ED657" s="37">
        <v>0</v>
      </c>
      <c r="EE657" s="37">
        <v>0</v>
      </c>
      <c r="EF657" s="37">
        <v>0</v>
      </c>
      <c r="EG657" s="37">
        <v>0</v>
      </c>
      <c r="EH657" s="37">
        <v>0</v>
      </c>
      <c r="EI657" s="37">
        <v>0</v>
      </c>
      <c r="EJ657" s="37">
        <v>0</v>
      </c>
      <c r="EK657" s="161" t="s">
        <v>2786</v>
      </c>
      <c r="EL657" s="294" t="s">
        <v>1124</v>
      </c>
    </row>
    <row r="658" spans="1:142" ht="15" customHeight="1" x14ac:dyDescent="0.35">
      <c r="A658" s="34"/>
      <c r="B658" s="313">
        <v>42050</v>
      </c>
      <c r="C658" s="8" t="s">
        <v>385</v>
      </c>
      <c r="D658" s="18">
        <v>5</v>
      </c>
      <c r="E658" s="155"/>
      <c r="F658" s="36"/>
      <c r="G658" s="37"/>
      <c r="H658" s="37"/>
      <c r="I658" s="37"/>
      <c r="J658" s="37"/>
      <c r="K658" s="37"/>
      <c r="L658" s="37"/>
      <c r="M658" s="37" t="s">
        <v>1124</v>
      </c>
      <c r="N658" s="37" t="s">
        <v>1124</v>
      </c>
      <c r="O658" s="37"/>
      <c r="P658" s="37"/>
      <c r="Q658" s="37"/>
      <c r="R658" s="37"/>
      <c r="S658" s="37"/>
      <c r="T658" s="37"/>
      <c r="U658" s="37"/>
      <c r="V658" s="37"/>
      <c r="W658" s="37"/>
      <c r="X658" s="37"/>
      <c r="Y658" s="37"/>
      <c r="Z658" s="37"/>
      <c r="AA658" s="37" t="s">
        <v>1124</v>
      </c>
      <c r="AB658" s="37" t="s">
        <v>1124</v>
      </c>
      <c r="AC658" s="37"/>
      <c r="AD658" s="37"/>
      <c r="AE658" s="37"/>
      <c r="AF658" s="168"/>
      <c r="AG658" s="37"/>
      <c r="AH658" s="37"/>
      <c r="AI658" s="37"/>
      <c r="AJ658" s="37"/>
      <c r="AK658" s="37"/>
      <c r="AL658" s="37"/>
      <c r="AM658" s="37"/>
      <c r="AN658" s="37"/>
      <c r="AO658" s="37"/>
      <c r="AP658" s="37"/>
      <c r="AQ658" s="37"/>
      <c r="AR658" s="37" t="s">
        <v>1124</v>
      </c>
      <c r="AS658" s="37"/>
      <c r="AT658" s="37"/>
      <c r="AU658" s="37"/>
      <c r="AV658" s="37"/>
      <c r="AW658" s="37"/>
      <c r="AX658" s="37"/>
      <c r="AY658" s="37"/>
      <c r="AZ658" s="37"/>
      <c r="BA658" s="37"/>
      <c r="BB658" s="37"/>
      <c r="BC658" s="37"/>
      <c r="BD658" s="37" t="s">
        <v>1124</v>
      </c>
      <c r="BE658" s="37"/>
      <c r="BF658" s="37"/>
      <c r="BG658" s="37"/>
      <c r="BH658" s="37"/>
      <c r="BI658" s="37"/>
      <c r="BJ658" s="37"/>
      <c r="BK658" s="37"/>
      <c r="BL658" s="37"/>
      <c r="BM658" s="37"/>
      <c r="BN658" s="37"/>
      <c r="BO658" s="37"/>
      <c r="BP658" s="37">
        <v>0</v>
      </c>
      <c r="BQ658" s="37"/>
      <c r="BR658" s="37"/>
      <c r="BS658" s="37"/>
      <c r="BT658" s="37"/>
      <c r="BU658" s="37"/>
      <c r="BV658" s="37"/>
      <c r="BW658" s="37"/>
      <c r="BX658" s="37"/>
      <c r="BY658" s="37"/>
      <c r="BZ658" s="37"/>
      <c r="CA658" s="37"/>
      <c r="CB658" s="37" t="s">
        <v>1124</v>
      </c>
      <c r="CC658" s="37"/>
      <c r="CD658" s="37"/>
      <c r="CE658" s="37"/>
      <c r="CF658" s="37"/>
      <c r="CG658" s="37"/>
      <c r="CH658" s="37"/>
      <c r="CI658" s="37"/>
      <c r="CJ658" s="37"/>
      <c r="CK658" s="37"/>
      <c r="CL658" s="37"/>
      <c r="CM658" s="37"/>
      <c r="CN658" s="37" t="s">
        <v>1124</v>
      </c>
      <c r="CO658" s="37"/>
      <c r="CP658" s="37"/>
      <c r="CQ658" s="37"/>
      <c r="CR658" s="37"/>
      <c r="CS658" s="37"/>
      <c r="CT658" s="37"/>
      <c r="CU658" s="37"/>
      <c r="CV658" s="37"/>
      <c r="CW658" s="37"/>
      <c r="CX658" s="37"/>
      <c r="CY658" s="37"/>
      <c r="CZ658" s="37" t="s">
        <v>1124</v>
      </c>
      <c r="DA658" s="37"/>
      <c r="DB658" s="37"/>
      <c r="DC658" s="37"/>
      <c r="DD658" s="37"/>
      <c r="DE658" s="37"/>
      <c r="DF658" s="37"/>
      <c r="DG658" s="37"/>
      <c r="DH658" s="37"/>
      <c r="DI658" s="37"/>
      <c r="DJ658" s="37"/>
      <c r="DK658" s="37"/>
      <c r="DL658" s="37" t="s">
        <v>1124</v>
      </c>
      <c r="DM658" s="37"/>
      <c r="DN658" s="37"/>
      <c r="DO658" s="37"/>
      <c r="DP658" s="37"/>
      <c r="DQ658" s="37"/>
      <c r="DR658" s="37"/>
      <c r="DS658" s="37"/>
      <c r="DT658" s="37"/>
      <c r="DU658" s="37"/>
      <c r="DV658" s="37"/>
      <c r="DW658" s="37"/>
      <c r="DX658" s="37" t="s">
        <v>1124</v>
      </c>
      <c r="DY658" s="37"/>
      <c r="DZ658" s="37"/>
      <c r="EA658" s="37"/>
      <c r="EB658" s="37"/>
      <c r="EC658" s="37"/>
      <c r="ED658" s="37"/>
      <c r="EE658" s="37"/>
      <c r="EF658" s="37"/>
      <c r="EG658" s="37"/>
      <c r="EH658" s="37"/>
      <c r="EI658" s="37"/>
      <c r="EJ658" s="37" t="s">
        <v>1124</v>
      </c>
      <c r="EK658" s="161"/>
      <c r="EL658" s="294"/>
    </row>
    <row r="659" spans="1:142" ht="15" customHeight="1" x14ac:dyDescent="0.35">
      <c r="A659" s="34"/>
      <c r="B659" s="313">
        <v>56060</v>
      </c>
      <c r="C659" s="8" t="s">
        <v>576</v>
      </c>
      <c r="D659" s="18">
        <v>16</v>
      </c>
      <c r="E659" s="155"/>
      <c r="F659" s="36"/>
      <c r="G659" s="37"/>
      <c r="H659" s="37"/>
      <c r="I659" s="37"/>
      <c r="J659" s="37"/>
      <c r="K659" s="37"/>
      <c r="L659" s="37"/>
      <c r="M659" s="37" t="s">
        <v>1124</v>
      </c>
      <c r="N659" s="37" t="s">
        <v>1124</v>
      </c>
      <c r="O659" s="37"/>
      <c r="P659" s="37"/>
      <c r="Q659" s="37"/>
      <c r="R659" s="37"/>
      <c r="S659" s="37"/>
      <c r="T659" s="37"/>
      <c r="U659" s="37"/>
      <c r="V659" s="37"/>
      <c r="W659" s="37"/>
      <c r="X659" s="37"/>
      <c r="Y659" s="37"/>
      <c r="Z659" s="37"/>
      <c r="AA659" s="37" t="s">
        <v>1124</v>
      </c>
      <c r="AB659" s="37" t="s">
        <v>1124</v>
      </c>
      <c r="AC659" s="37"/>
      <c r="AD659" s="37"/>
      <c r="AE659" s="37"/>
      <c r="AF659" s="168"/>
      <c r="AG659" s="37"/>
      <c r="AH659" s="37"/>
      <c r="AI659" s="37"/>
      <c r="AJ659" s="37"/>
      <c r="AK659" s="37"/>
      <c r="AL659" s="37"/>
      <c r="AM659" s="37"/>
      <c r="AN659" s="37"/>
      <c r="AO659" s="37"/>
      <c r="AP659" s="37"/>
      <c r="AQ659" s="37"/>
      <c r="AR659" s="37" t="s">
        <v>1124</v>
      </c>
      <c r="AS659" s="37"/>
      <c r="AT659" s="37"/>
      <c r="AU659" s="37"/>
      <c r="AV659" s="37"/>
      <c r="AW659" s="37"/>
      <c r="AX659" s="37"/>
      <c r="AY659" s="37"/>
      <c r="AZ659" s="37"/>
      <c r="BA659" s="37"/>
      <c r="BB659" s="37"/>
      <c r="BC659" s="37"/>
      <c r="BD659" s="37" t="s">
        <v>1124</v>
      </c>
      <c r="BE659" s="37"/>
      <c r="BF659" s="37"/>
      <c r="BG659" s="37"/>
      <c r="BH659" s="37"/>
      <c r="BI659" s="37"/>
      <c r="BJ659" s="37"/>
      <c r="BK659" s="37"/>
      <c r="BL659" s="37"/>
      <c r="BM659" s="37"/>
      <c r="BN659" s="37"/>
      <c r="BO659" s="37"/>
      <c r="BP659" s="37">
        <v>0</v>
      </c>
      <c r="BQ659" s="37"/>
      <c r="BR659" s="37"/>
      <c r="BS659" s="37"/>
      <c r="BT659" s="37"/>
      <c r="BU659" s="37"/>
      <c r="BV659" s="37"/>
      <c r="BW659" s="37"/>
      <c r="BX659" s="37"/>
      <c r="BY659" s="37"/>
      <c r="BZ659" s="37"/>
      <c r="CA659" s="37"/>
      <c r="CB659" s="37" t="s">
        <v>1124</v>
      </c>
      <c r="CC659" s="37"/>
      <c r="CD659" s="37"/>
      <c r="CE659" s="37"/>
      <c r="CF659" s="37"/>
      <c r="CG659" s="37"/>
      <c r="CH659" s="37"/>
      <c r="CI659" s="37"/>
      <c r="CJ659" s="37"/>
      <c r="CK659" s="37"/>
      <c r="CL659" s="37"/>
      <c r="CM659" s="37"/>
      <c r="CN659" s="37" t="s">
        <v>1124</v>
      </c>
      <c r="CO659" s="37"/>
      <c r="CP659" s="37"/>
      <c r="CQ659" s="37"/>
      <c r="CR659" s="37"/>
      <c r="CS659" s="37"/>
      <c r="CT659" s="37"/>
      <c r="CU659" s="37"/>
      <c r="CV659" s="37"/>
      <c r="CW659" s="37"/>
      <c r="CX659" s="37"/>
      <c r="CY659" s="37"/>
      <c r="CZ659" s="37" t="s">
        <v>1124</v>
      </c>
      <c r="DA659" s="37"/>
      <c r="DB659" s="37"/>
      <c r="DC659" s="37"/>
      <c r="DD659" s="37"/>
      <c r="DE659" s="37"/>
      <c r="DF659" s="37"/>
      <c r="DG659" s="37"/>
      <c r="DH659" s="37"/>
      <c r="DI659" s="37"/>
      <c r="DJ659" s="37"/>
      <c r="DK659" s="37"/>
      <c r="DL659" s="37" t="s">
        <v>1124</v>
      </c>
      <c r="DM659" s="37"/>
      <c r="DN659" s="37"/>
      <c r="DO659" s="37"/>
      <c r="DP659" s="37"/>
      <c r="DQ659" s="37"/>
      <c r="DR659" s="37"/>
      <c r="DS659" s="37"/>
      <c r="DT659" s="37"/>
      <c r="DU659" s="37"/>
      <c r="DV659" s="37"/>
      <c r="DW659" s="37"/>
      <c r="DX659" s="37" t="s">
        <v>1124</v>
      </c>
      <c r="DY659" s="37"/>
      <c r="DZ659" s="37"/>
      <c r="EA659" s="37"/>
      <c r="EB659" s="37"/>
      <c r="EC659" s="37"/>
      <c r="ED659" s="37"/>
      <c r="EE659" s="37"/>
      <c r="EF659" s="37"/>
      <c r="EG659" s="37"/>
      <c r="EH659" s="37"/>
      <c r="EI659" s="37"/>
      <c r="EJ659" s="37" t="s">
        <v>1124</v>
      </c>
      <c r="EK659" s="161"/>
      <c r="EL659" s="294"/>
    </row>
    <row r="660" spans="1:142" ht="15" customHeight="1" x14ac:dyDescent="0.35">
      <c r="A660" s="34"/>
      <c r="B660" s="313">
        <v>77035</v>
      </c>
      <c r="C660" s="8" t="s">
        <v>760</v>
      </c>
      <c r="D660" s="18">
        <v>15</v>
      </c>
      <c r="E660" s="155"/>
      <c r="F660" s="36"/>
      <c r="G660" s="37"/>
      <c r="H660" s="37"/>
      <c r="I660" s="37"/>
      <c r="J660" s="37"/>
      <c r="K660" s="37"/>
      <c r="L660" s="37"/>
      <c r="M660" s="37" t="s">
        <v>1124</v>
      </c>
      <c r="N660" s="37" t="s">
        <v>1124</v>
      </c>
      <c r="O660" s="37"/>
      <c r="P660" s="37"/>
      <c r="Q660" s="37"/>
      <c r="R660" s="37"/>
      <c r="S660" s="37"/>
      <c r="T660" s="37"/>
      <c r="U660" s="37"/>
      <c r="V660" s="37"/>
      <c r="W660" s="37"/>
      <c r="X660" s="37"/>
      <c r="Y660" s="37"/>
      <c r="Z660" s="37"/>
      <c r="AA660" s="37" t="s">
        <v>1124</v>
      </c>
      <c r="AB660" s="37" t="s">
        <v>1124</v>
      </c>
      <c r="AC660" s="37"/>
      <c r="AD660" s="37"/>
      <c r="AE660" s="37"/>
      <c r="AF660" s="168"/>
      <c r="AG660" s="37"/>
      <c r="AH660" s="37"/>
      <c r="AI660" s="37"/>
      <c r="AJ660" s="37"/>
      <c r="AK660" s="37"/>
      <c r="AL660" s="37"/>
      <c r="AM660" s="37"/>
      <c r="AN660" s="37"/>
      <c r="AO660" s="37"/>
      <c r="AP660" s="37"/>
      <c r="AQ660" s="37"/>
      <c r="AR660" s="37" t="s">
        <v>1124</v>
      </c>
      <c r="AS660" s="37"/>
      <c r="AT660" s="37"/>
      <c r="AU660" s="37"/>
      <c r="AV660" s="37"/>
      <c r="AW660" s="37"/>
      <c r="AX660" s="37"/>
      <c r="AY660" s="37"/>
      <c r="AZ660" s="37"/>
      <c r="BA660" s="37"/>
      <c r="BB660" s="37"/>
      <c r="BC660" s="37"/>
      <c r="BD660" s="37" t="s">
        <v>1124</v>
      </c>
      <c r="BE660" s="37"/>
      <c r="BF660" s="37"/>
      <c r="BG660" s="37"/>
      <c r="BH660" s="37"/>
      <c r="BI660" s="37"/>
      <c r="BJ660" s="37"/>
      <c r="BK660" s="37"/>
      <c r="BL660" s="37"/>
      <c r="BM660" s="37"/>
      <c r="BN660" s="37"/>
      <c r="BO660" s="37"/>
      <c r="BP660" s="37">
        <v>0</v>
      </c>
      <c r="BQ660" s="37"/>
      <c r="BR660" s="37"/>
      <c r="BS660" s="37"/>
      <c r="BT660" s="37"/>
      <c r="BU660" s="37"/>
      <c r="BV660" s="37"/>
      <c r="BW660" s="37"/>
      <c r="BX660" s="37"/>
      <c r="BY660" s="37"/>
      <c r="BZ660" s="37"/>
      <c r="CA660" s="37"/>
      <c r="CB660" s="37" t="s">
        <v>1124</v>
      </c>
      <c r="CC660" s="37"/>
      <c r="CD660" s="37"/>
      <c r="CE660" s="37"/>
      <c r="CF660" s="37"/>
      <c r="CG660" s="37"/>
      <c r="CH660" s="37"/>
      <c r="CI660" s="37"/>
      <c r="CJ660" s="37"/>
      <c r="CK660" s="37"/>
      <c r="CL660" s="37"/>
      <c r="CM660" s="37"/>
      <c r="CN660" s="37" t="s">
        <v>1124</v>
      </c>
      <c r="CO660" s="37"/>
      <c r="CP660" s="37"/>
      <c r="CQ660" s="37"/>
      <c r="CR660" s="37"/>
      <c r="CS660" s="37"/>
      <c r="CT660" s="37"/>
      <c r="CU660" s="37"/>
      <c r="CV660" s="37"/>
      <c r="CW660" s="37"/>
      <c r="CX660" s="37"/>
      <c r="CY660" s="37"/>
      <c r="CZ660" s="37" t="s">
        <v>1124</v>
      </c>
      <c r="DA660" s="37"/>
      <c r="DB660" s="37"/>
      <c r="DC660" s="37"/>
      <c r="DD660" s="37"/>
      <c r="DE660" s="37"/>
      <c r="DF660" s="37"/>
      <c r="DG660" s="37"/>
      <c r="DH660" s="37"/>
      <c r="DI660" s="37"/>
      <c r="DJ660" s="37"/>
      <c r="DK660" s="37"/>
      <c r="DL660" s="37" t="s">
        <v>1124</v>
      </c>
      <c r="DM660" s="37"/>
      <c r="DN660" s="37"/>
      <c r="DO660" s="37"/>
      <c r="DP660" s="37"/>
      <c r="DQ660" s="37"/>
      <c r="DR660" s="37"/>
      <c r="DS660" s="37"/>
      <c r="DT660" s="37"/>
      <c r="DU660" s="37"/>
      <c r="DV660" s="37"/>
      <c r="DW660" s="37"/>
      <c r="DX660" s="37" t="s">
        <v>1124</v>
      </c>
      <c r="DY660" s="37"/>
      <c r="DZ660" s="37"/>
      <c r="EA660" s="37"/>
      <c r="EB660" s="37"/>
      <c r="EC660" s="37"/>
      <c r="ED660" s="37"/>
      <c r="EE660" s="37"/>
      <c r="EF660" s="37"/>
      <c r="EG660" s="37"/>
      <c r="EH660" s="37"/>
      <c r="EI660" s="37"/>
      <c r="EJ660" s="37" t="s">
        <v>1124</v>
      </c>
      <c r="EK660" s="161"/>
      <c r="EL660" s="294"/>
    </row>
    <row r="661" spans="1:142" ht="15" customHeight="1" x14ac:dyDescent="0.35">
      <c r="A661" s="34"/>
      <c r="B661" s="313">
        <v>4037</v>
      </c>
      <c r="C661" s="8" t="s">
        <v>1042</v>
      </c>
      <c r="D661" s="18">
        <v>11</v>
      </c>
      <c r="E661" s="155">
        <v>530692</v>
      </c>
      <c r="F661" s="36">
        <v>425313</v>
      </c>
      <c r="G661" s="37">
        <v>0</v>
      </c>
      <c r="H661" s="37">
        <v>107301</v>
      </c>
      <c r="I661" s="37">
        <v>0</v>
      </c>
      <c r="J661" s="37">
        <v>185000</v>
      </c>
      <c r="K661" s="37">
        <v>79603.8</v>
      </c>
      <c r="L661" s="37">
        <v>63796.95</v>
      </c>
      <c r="M661" s="37">
        <v>610295.80000000005</v>
      </c>
      <c r="N661" s="37">
        <v>781410.95</v>
      </c>
      <c r="O661" s="37">
        <v>0</v>
      </c>
      <c r="P661" s="37">
        <v>0</v>
      </c>
      <c r="Q661" s="37">
        <v>354083</v>
      </c>
      <c r="R661" s="37">
        <v>684430</v>
      </c>
      <c r="S661" s="37">
        <v>0</v>
      </c>
      <c r="T661" s="37">
        <v>0</v>
      </c>
      <c r="U661" s="37">
        <v>18177</v>
      </c>
      <c r="V661" s="37">
        <v>575404</v>
      </c>
      <c r="W661" s="37">
        <v>0</v>
      </c>
      <c r="X661" s="37">
        <v>0</v>
      </c>
      <c r="Y661" s="37">
        <v>0</v>
      </c>
      <c r="Z661" s="37">
        <v>0</v>
      </c>
      <c r="AA661" s="37">
        <v>372260</v>
      </c>
      <c r="AB661" s="37">
        <v>1259834</v>
      </c>
      <c r="AC661" s="37">
        <v>240387</v>
      </c>
      <c r="AD661" s="37">
        <v>57500</v>
      </c>
      <c r="AE661" s="37">
        <v>57500</v>
      </c>
      <c r="AF661" s="168">
        <v>0.02</v>
      </c>
      <c r="AG661" s="37">
        <v>172397623.56</v>
      </c>
      <c r="AH661" s="37">
        <v>1290531.69</v>
      </c>
      <c r="AI661" s="37">
        <v>1475523.52</v>
      </c>
      <c r="AJ661" s="37">
        <v>1342669.17</v>
      </c>
      <c r="AK661" s="37">
        <v>1504826.57</v>
      </c>
      <c r="AL661" s="37">
        <v>1396913</v>
      </c>
      <c r="AM661" s="37">
        <v>1424851.26</v>
      </c>
      <c r="AN661" s="37">
        <v>1453348.29</v>
      </c>
      <c r="AO661" s="37">
        <v>1482415.25</v>
      </c>
      <c r="AP661" s="37">
        <v>1512063.56</v>
      </c>
      <c r="AQ661" s="37">
        <v>1542304.83</v>
      </c>
      <c r="AR661" s="37">
        <v>14425447.140000001</v>
      </c>
      <c r="AS661" s="37">
        <v>2449522.96</v>
      </c>
      <c r="AT661" s="37">
        <v>0</v>
      </c>
      <c r="AU661" s="37">
        <v>26010</v>
      </c>
      <c r="AV661" s="37">
        <v>26530.2</v>
      </c>
      <c r="AW661" s="37">
        <v>27060.799999999999</v>
      </c>
      <c r="AX661" s="37">
        <v>0</v>
      </c>
      <c r="AY661" s="37">
        <v>0</v>
      </c>
      <c r="AZ661" s="37">
        <v>0</v>
      </c>
      <c r="BA661" s="37">
        <v>0</v>
      </c>
      <c r="BB661" s="37">
        <v>0</v>
      </c>
      <c r="BC661" s="37">
        <v>0</v>
      </c>
      <c r="BD661" s="37">
        <v>79601</v>
      </c>
      <c r="BE661" s="37">
        <v>0</v>
      </c>
      <c r="BF661" s="37">
        <v>358400</v>
      </c>
      <c r="BG661" s="37">
        <v>448000</v>
      </c>
      <c r="BH661" s="37">
        <v>850000</v>
      </c>
      <c r="BI661" s="37">
        <v>475000</v>
      </c>
      <c r="BJ661" s="37">
        <v>0</v>
      </c>
      <c r="BK661" s="37">
        <v>0</v>
      </c>
      <c r="BL661" s="37">
        <v>0</v>
      </c>
      <c r="BM661" s="37">
        <v>0</v>
      </c>
      <c r="BN661" s="37">
        <v>0</v>
      </c>
      <c r="BO661" s="37">
        <v>0</v>
      </c>
      <c r="BP661" s="37">
        <v>2131400</v>
      </c>
      <c r="BQ661" s="37">
        <v>760662</v>
      </c>
      <c r="BR661" s="37">
        <v>89600</v>
      </c>
      <c r="BS661" s="37">
        <v>0</v>
      </c>
      <c r="BT661" s="37">
        <v>0</v>
      </c>
      <c r="BU661" s="37">
        <v>0</v>
      </c>
      <c r="BV661" s="37">
        <v>0</v>
      </c>
      <c r="BW661" s="37">
        <v>0</v>
      </c>
      <c r="BX661" s="37">
        <v>0</v>
      </c>
      <c r="BY661" s="37">
        <v>0</v>
      </c>
      <c r="BZ661" s="37">
        <v>0</v>
      </c>
      <c r="CA661" s="37">
        <v>0</v>
      </c>
      <c r="CB661" s="37">
        <v>89600</v>
      </c>
      <c r="CC661" s="37">
        <v>0</v>
      </c>
      <c r="CD661" s="37">
        <v>0</v>
      </c>
      <c r="CE661" s="37">
        <v>0</v>
      </c>
      <c r="CF661" s="37">
        <v>0</v>
      </c>
      <c r="CG661" s="37">
        <v>0</v>
      </c>
      <c r="CH661" s="37">
        <v>0</v>
      </c>
      <c r="CI661" s="37">
        <v>0</v>
      </c>
      <c r="CJ661" s="37">
        <v>0</v>
      </c>
      <c r="CK661" s="37">
        <v>0</v>
      </c>
      <c r="CL661" s="37">
        <v>0</v>
      </c>
      <c r="CM661" s="37">
        <v>0</v>
      </c>
      <c r="CN661" s="37">
        <v>0</v>
      </c>
      <c r="CO661" s="37">
        <v>0</v>
      </c>
      <c r="CP661" s="37">
        <v>0</v>
      </c>
      <c r="CQ661" s="37">
        <v>0</v>
      </c>
      <c r="CR661" s="37">
        <v>0</v>
      </c>
      <c r="CS661" s="37">
        <v>0</v>
      </c>
      <c r="CT661" s="37">
        <v>0</v>
      </c>
      <c r="CU661" s="37">
        <v>0</v>
      </c>
      <c r="CV661" s="37">
        <v>0</v>
      </c>
      <c r="CW661" s="37">
        <v>0</v>
      </c>
      <c r="CX661" s="37">
        <v>0</v>
      </c>
      <c r="CY661" s="37">
        <v>0</v>
      </c>
      <c r="CZ661" s="37">
        <v>0</v>
      </c>
      <c r="DA661" s="37">
        <v>0</v>
      </c>
      <c r="DB661" s="37">
        <v>0</v>
      </c>
      <c r="DC661" s="37">
        <v>0</v>
      </c>
      <c r="DD661" s="37">
        <v>0</v>
      </c>
      <c r="DE661" s="37">
        <v>0</v>
      </c>
      <c r="DF661" s="37">
        <v>0</v>
      </c>
      <c r="DG661" s="37">
        <v>0</v>
      </c>
      <c r="DH661" s="37">
        <v>0</v>
      </c>
      <c r="DI661" s="37">
        <v>0</v>
      </c>
      <c r="DJ661" s="37">
        <v>0</v>
      </c>
      <c r="DK661" s="37">
        <v>0</v>
      </c>
      <c r="DL661" s="37">
        <v>0</v>
      </c>
      <c r="DM661" s="37">
        <v>0</v>
      </c>
      <c r="DN661" s="37">
        <v>0</v>
      </c>
      <c r="DO661" s="37">
        <v>25000</v>
      </c>
      <c r="DP661" s="37">
        <v>25000</v>
      </c>
      <c r="DQ661" s="37">
        <v>25000</v>
      </c>
      <c r="DR661" s="37">
        <v>0</v>
      </c>
      <c r="DS661" s="37">
        <v>0</v>
      </c>
      <c r="DT661" s="37">
        <v>0</v>
      </c>
      <c r="DU661" s="37">
        <v>0</v>
      </c>
      <c r="DV661" s="37">
        <v>0</v>
      </c>
      <c r="DW661" s="37">
        <v>0</v>
      </c>
      <c r="DX661" s="37">
        <v>75000</v>
      </c>
      <c r="DY661" s="37">
        <v>0</v>
      </c>
      <c r="DZ661" s="37">
        <v>0</v>
      </c>
      <c r="EA661" s="37">
        <v>0</v>
      </c>
      <c r="EB661" s="37">
        <v>0</v>
      </c>
      <c r="EC661" s="37">
        <v>0</v>
      </c>
      <c r="ED661" s="37">
        <v>0</v>
      </c>
      <c r="EE661" s="37">
        <v>0</v>
      </c>
      <c r="EF661" s="37">
        <v>0</v>
      </c>
      <c r="EG661" s="37">
        <v>0</v>
      </c>
      <c r="EH661" s="37">
        <v>0</v>
      </c>
      <c r="EI661" s="37">
        <v>0</v>
      </c>
      <c r="EJ661" s="37">
        <v>0</v>
      </c>
      <c r="EK661" s="161" t="s">
        <v>2791</v>
      </c>
      <c r="EL661" s="294" t="s">
        <v>1124</v>
      </c>
    </row>
    <row r="662" spans="1:142" ht="15" customHeight="1" x14ac:dyDescent="0.35">
      <c r="A662" s="34"/>
      <c r="B662" s="313">
        <v>53065</v>
      </c>
      <c r="C662" s="8" t="s">
        <v>539</v>
      </c>
      <c r="D662" s="18">
        <v>16</v>
      </c>
      <c r="E662" s="155">
        <v>170855</v>
      </c>
      <c r="F662" s="36">
        <v>209431</v>
      </c>
      <c r="G662" s="37">
        <v>83204</v>
      </c>
      <c r="H662" s="37">
        <v>1971</v>
      </c>
      <c r="I662" s="37">
        <v>258424</v>
      </c>
      <c r="J662" s="37">
        <v>112220</v>
      </c>
      <c r="K662" s="37">
        <v>17085.5</v>
      </c>
      <c r="L662" s="37">
        <v>20943.100000000002</v>
      </c>
      <c r="M662" s="37">
        <v>529568.5</v>
      </c>
      <c r="N662" s="37">
        <v>344565.1</v>
      </c>
      <c r="O662" s="37">
        <v>130460</v>
      </c>
      <c r="P662" s="37">
        <v>0</v>
      </c>
      <c r="Q662" s="37">
        <v>119794</v>
      </c>
      <c r="R662" s="37">
        <v>213192</v>
      </c>
      <c r="S662" s="37">
        <v>0</v>
      </c>
      <c r="T662" s="37">
        <v>0</v>
      </c>
      <c r="U662" s="37">
        <v>261510</v>
      </c>
      <c r="V662" s="37">
        <v>0</v>
      </c>
      <c r="W662" s="37">
        <v>17804.5</v>
      </c>
      <c r="X662" s="37">
        <v>131373.09999999998</v>
      </c>
      <c r="Y662" s="37">
        <v>0</v>
      </c>
      <c r="Z662" s="37">
        <v>0</v>
      </c>
      <c r="AA662" s="37">
        <v>529568.5</v>
      </c>
      <c r="AB662" s="37">
        <v>344565.1</v>
      </c>
      <c r="AC662" s="37">
        <v>0</v>
      </c>
      <c r="AD662" s="37">
        <v>0</v>
      </c>
      <c r="AE662" s="37">
        <v>0</v>
      </c>
      <c r="AF662" s="168">
        <v>0.02</v>
      </c>
      <c r="AG662" s="37">
        <v>38191093.549999997</v>
      </c>
      <c r="AH662" s="37">
        <v>328566.7</v>
      </c>
      <c r="AI662" s="37">
        <v>335138.03000000003</v>
      </c>
      <c r="AJ662" s="37">
        <v>341840.79</v>
      </c>
      <c r="AK662" s="37">
        <v>348677.61</v>
      </c>
      <c r="AL662" s="37">
        <v>355651.16</v>
      </c>
      <c r="AM662" s="37">
        <v>362764.18</v>
      </c>
      <c r="AN662" s="37">
        <v>370019.46</v>
      </c>
      <c r="AO662" s="37">
        <v>377419.85</v>
      </c>
      <c r="AP662" s="37">
        <v>384968.25</v>
      </c>
      <c r="AQ662" s="37">
        <v>392667.62</v>
      </c>
      <c r="AR662" s="37">
        <v>3597713.6500000004</v>
      </c>
      <c r="AS662" s="37">
        <v>1306851.6399999999</v>
      </c>
      <c r="AT662" s="37">
        <v>52907.4</v>
      </c>
      <c r="AU662" s="37">
        <v>0</v>
      </c>
      <c r="AV662" s="37">
        <v>0</v>
      </c>
      <c r="AW662" s="37">
        <v>0</v>
      </c>
      <c r="AX662" s="37">
        <v>0</v>
      </c>
      <c r="AY662" s="37">
        <v>0</v>
      </c>
      <c r="AZ662" s="37">
        <v>0</v>
      </c>
      <c r="BA662" s="37">
        <v>0</v>
      </c>
      <c r="BB662" s="37">
        <v>0</v>
      </c>
      <c r="BC662" s="37">
        <v>0</v>
      </c>
      <c r="BD662" s="37">
        <v>52907.4</v>
      </c>
      <c r="BE662" s="37">
        <v>0</v>
      </c>
      <c r="BF662" s="37">
        <v>1440310</v>
      </c>
      <c r="BG662" s="37">
        <v>0</v>
      </c>
      <c r="BH662" s="37">
        <v>0</v>
      </c>
      <c r="BI662" s="37">
        <v>0</v>
      </c>
      <c r="BJ662" s="37">
        <v>0</v>
      </c>
      <c r="BK662" s="37">
        <v>0</v>
      </c>
      <c r="BL662" s="37">
        <v>0</v>
      </c>
      <c r="BM662" s="37">
        <v>0</v>
      </c>
      <c r="BN662" s="37">
        <v>0</v>
      </c>
      <c r="BO662" s="37">
        <v>0</v>
      </c>
      <c r="BP662" s="37">
        <v>1440310</v>
      </c>
      <c r="BQ662" s="37">
        <v>0</v>
      </c>
      <c r="BR662" s="37">
        <v>360078</v>
      </c>
      <c r="BS662" s="37">
        <v>0</v>
      </c>
      <c r="BT662" s="37">
        <v>0</v>
      </c>
      <c r="BU662" s="37">
        <v>0</v>
      </c>
      <c r="BV662" s="37">
        <v>0</v>
      </c>
      <c r="BW662" s="37">
        <v>0</v>
      </c>
      <c r="BX662" s="37">
        <v>0</v>
      </c>
      <c r="BY662" s="37">
        <v>0</v>
      </c>
      <c r="BZ662" s="37">
        <v>0</v>
      </c>
      <c r="CA662" s="37">
        <v>0</v>
      </c>
      <c r="CB662" s="37">
        <v>360078</v>
      </c>
      <c r="CC662" s="37">
        <v>0</v>
      </c>
      <c r="CD662" s="37">
        <v>0</v>
      </c>
      <c r="CE662" s="37">
        <v>0</v>
      </c>
      <c r="CF662" s="37">
        <v>0</v>
      </c>
      <c r="CG662" s="37">
        <v>0</v>
      </c>
      <c r="CH662" s="37">
        <v>0</v>
      </c>
      <c r="CI662" s="37">
        <v>0</v>
      </c>
      <c r="CJ662" s="37">
        <v>0</v>
      </c>
      <c r="CK662" s="37">
        <v>0</v>
      </c>
      <c r="CL662" s="37">
        <v>0</v>
      </c>
      <c r="CM662" s="37">
        <v>0</v>
      </c>
      <c r="CN662" s="37">
        <v>0</v>
      </c>
      <c r="CO662" s="37">
        <v>521789</v>
      </c>
      <c r="CP662" s="37">
        <v>43052</v>
      </c>
      <c r="CQ662" s="37">
        <v>0</v>
      </c>
      <c r="CR662" s="37">
        <v>0</v>
      </c>
      <c r="CS662" s="37">
        <v>0</v>
      </c>
      <c r="CT662" s="37">
        <v>0</v>
      </c>
      <c r="CU662" s="37">
        <v>0</v>
      </c>
      <c r="CV662" s="37">
        <v>0</v>
      </c>
      <c r="CW662" s="37">
        <v>0</v>
      </c>
      <c r="CX662" s="37">
        <v>0</v>
      </c>
      <c r="CY662" s="37">
        <v>0</v>
      </c>
      <c r="CZ662" s="37">
        <v>43052</v>
      </c>
      <c r="DA662" s="37">
        <v>106877</v>
      </c>
      <c r="DB662" s="37">
        <v>8818</v>
      </c>
      <c r="DC662" s="37">
        <v>0</v>
      </c>
      <c r="DD662" s="37">
        <v>0</v>
      </c>
      <c r="DE662" s="37">
        <v>0</v>
      </c>
      <c r="DF662" s="37">
        <v>0</v>
      </c>
      <c r="DG662" s="37">
        <v>0</v>
      </c>
      <c r="DH662" s="37">
        <v>0</v>
      </c>
      <c r="DI662" s="37">
        <v>0</v>
      </c>
      <c r="DJ662" s="37">
        <v>0</v>
      </c>
      <c r="DK662" s="37">
        <v>0</v>
      </c>
      <c r="DL662" s="37">
        <v>8818</v>
      </c>
      <c r="DM662" s="37">
        <v>0</v>
      </c>
      <c r="DN662" s="37">
        <v>0</v>
      </c>
      <c r="DO662" s="37">
        <v>0</v>
      </c>
      <c r="DP662" s="37">
        <v>0</v>
      </c>
      <c r="DQ662" s="37">
        <v>0</v>
      </c>
      <c r="DR662" s="37">
        <v>0</v>
      </c>
      <c r="DS662" s="37">
        <v>0</v>
      </c>
      <c r="DT662" s="37">
        <v>0</v>
      </c>
      <c r="DU662" s="37">
        <v>0</v>
      </c>
      <c r="DV662" s="37">
        <v>0</v>
      </c>
      <c r="DW662" s="37">
        <v>0</v>
      </c>
      <c r="DX662" s="37">
        <v>0</v>
      </c>
      <c r="DY662" s="37">
        <v>0</v>
      </c>
      <c r="DZ662" s="37">
        <v>0</v>
      </c>
      <c r="EA662" s="37">
        <v>0</v>
      </c>
      <c r="EB662" s="37">
        <v>0</v>
      </c>
      <c r="EC662" s="37">
        <v>0</v>
      </c>
      <c r="ED662" s="37">
        <v>0</v>
      </c>
      <c r="EE662" s="37">
        <v>0</v>
      </c>
      <c r="EF662" s="37">
        <v>0</v>
      </c>
      <c r="EG662" s="37">
        <v>0</v>
      </c>
      <c r="EH662" s="37">
        <v>0</v>
      </c>
      <c r="EI662" s="37">
        <v>0</v>
      </c>
      <c r="EJ662" s="37">
        <v>0</v>
      </c>
      <c r="EK662" s="161" t="s">
        <v>2109</v>
      </c>
      <c r="EL662" s="294" t="s">
        <v>1124</v>
      </c>
    </row>
    <row r="663" spans="1:142" ht="15" customHeight="1" x14ac:dyDescent="0.35">
      <c r="A663" s="34"/>
      <c r="B663" s="313">
        <v>73035</v>
      </c>
      <c r="C663" s="8" t="s">
        <v>740</v>
      </c>
      <c r="D663" s="18">
        <v>15</v>
      </c>
      <c r="E663" s="155">
        <v>977658</v>
      </c>
      <c r="F663" s="36">
        <v>824227</v>
      </c>
      <c r="G663" s="37">
        <v>127984</v>
      </c>
      <c r="H663" s="37">
        <v>162641</v>
      </c>
      <c r="I663" s="37">
        <v>304145</v>
      </c>
      <c r="J663" s="37">
        <v>498826</v>
      </c>
      <c r="K663" s="37">
        <v>146649</v>
      </c>
      <c r="L663" s="37">
        <v>123634</v>
      </c>
      <c r="M663" s="37">
        <v>1556436</v>
      </c>
      <c r="N663" s="37">
        <v>1609328</v>
      </c>
      <c r="O663" s="37">
        <v>31932</v>
      </c>
      <c r="P663" s="37">
        <v>0</v>
      </c>
      <c r="Q663" s="37">
        <v>991457</v>
      </c>
      <c r="R663" s="37">
        <v>703240</v>
      </c>
      <c r="S663" s="37">
        <v>0</v>
      </c>
      <c r="T663" s="37">
        <v>46785</v>
      </c>
      <c r="U663" s="37">
        <v>37698</v>
      </c>
      <c r="V663" s="37">
        <v>15749</v>
      </c>
      <c r="W663" s="37">
        <v>495349</v>
      </c>
      <c r="X663" s="37">
        <v>843554</v>
      </c>
      <c r="Y663" s="37">
        <v>0</v>
      </c>
      <c r="Z663" s="37">
        <v>0</v>
      </c>
      <c r="AA663" s="37">
        <v>1556436</v>
      </c>
      <c r="AB663" s="37">
        <v>1609328</v>
      </c>
      <c r="AC663" s="37">
        <v>0</v>
      </c>
      <c r="AD663" s="37">
        <v>0</v>
      </c>
      <c r="AE663" s="37">
        <v>0</v>
      </c>
      <c r="AF663" s="168">
        <v>0.02</v>
      </c>
      <c r="AG663" s="37">
        <v>162625533.5</v>
      </c>
      <c r="AH663" s="37">
        <v>1381386.98</v>
      </c>
      <c r="AI663" s="37">
        <v>1409014.72</v>
      </c>
      <c r="AJ663" s="37">
        <v>1437195.02</v>
      </c>
      <c r="AK663" s="37">
        <v>1465938.92</v>
      </c>
      <c r="AL663" s="37">
        <v>1607873.94</v>
      </c>
      <c r="AM663" s="37">
        <v>1650082.42</v>
      </c>
      <c r="AN663" s="37">
        <v>1683084.07</v>
      </c>
      <c r="AO663" s="37">
        <v>1716745.75</v>
      </c>
      <c r="AP663" s="37">
        <v>1751080.66</v>
      </c>
      <c r="AQ663" s="37">
        <v>1775222.75</v>
      </c>
      <c r="AR663" s="37">
        <v>15877625.23</v>
      </c>
      <c r="AS663" s="37">
        <v>1228247.3400000001</v>
      </c>
      <c r="AT663" s="37">
        <v>7491932.8799999999</v>
      </c>
      <c r="AU663" s="37">
        <v>13393892.09</v>
      </c>
      <c r="AV663" s="37">
        <v>12247345.01</v>
      </c>
      <c r="AW663" s="37">
        <v>4764190</v>
      </c>
      <c r="AX663" s="37">
        <v>0</v>
      </c>
      <c r="AY663" s="37">
        <v>0</v>
      </c>
      <c r="AZ663" s="37">
        <v>0</v>
      </c>
      <c r="BA663" s="37">
        <v>0</v>
      </c>
      <c r="BB663" s="37">
        <v>0</v>
      </c>
      <c r="BC663" s="37">
        <v>0</v>
      </c>
      <c r="BD663" s="37">
        <v>37897359.979999997</v>
      </c>
      <c r="BE663" s="37">
        <v>697666</v>
      </c>
      <c r="BF663" s="37">
        <v>0</v>
      </c>
      <c r="BG663" s="37">
        <v>0</v>
      </c>
      <c r="BH663" s="37">
        <v>0</v>
      </c>
      <c r="BI663" s="37">
        <v>0</v>
      </c>
      <c r="BJ663" s="37">
        <v>0</v>
      </c>
      <c r="BK663" s="37">
        <v>0</v>
      </c>
      <c r="BL663" s="37">
        <v>0</v>
      </c>
      <c r="BM663" s="37">
        <v>0</v>
      </c>
      <c r="BN663" s="37">
        <v>0</v>
      </c>
      <c r="BO663" s="37">
        <v>0</v>
      </c>
      <c r="BP663" s="37">
        <v>0</v>
      </c>
      <c r="BQ663" s="37">
        <v>1253224</v>
      </c>
      <c r="BR663" s="37">
        <v>0</v>
      </c>
      <c r="BS663" s="37">
        <v>0</v>
      </c>
      <c r="BT663" s="37">
        <v>0</v>
      </c>
      <c r="BU663" s="37">
        <v>0</v>
      </c>
      <c r="BV663" s="37">
        <v>0</v>
      </c>
      <c r="BW663" s="37">
        <v>0</v>
      </c>
      <c r="BX663" s="37">
        <v>0</v>
      </c>
      <c r="BY663" s="37">
        <v>0</v>
      </c>
      <c r="BZ663" s="37">
        <v>0</v>
      </c>
      <c r="CA663" s="37">
        <v>0</v>
      </c>
      <c r="CB663" s="37">
        <v>0</v>
      </c>
      <c r="CC663" s="37">
        <v>0</v>
      </c>
      <c r="CD663" s="37">
        <v>0</v>
      </c>
      <c r="CE663" s="37">
        <v>0</v>
      </c>
      <c r="CF663" s="37">
        <v>0</v>
      </c>
      <c r="CG663" s="37">
        <v>0</v>
      </c>
      <c r="CH663" s="37">
        <v>0</v>
      </c>
      <c r="CI663" s="37">
        <v>0</v>
      </c>
      <c r="CJ663" s="37">
        <v>0</v>
      </c>
      <c r="CK663" s="37">
        <v>0</v>
      </c>
      <c r="CL663" s="37">
        <v>0</v>
      </c>
      <c r="CM663" s="37">
        <v>0</v>
      </c>
      <c r="CN663" s="37">
        <v>0</v>
      </c>
      <c r="CO663" s="37">
        <v>0</v>
      </c>
      <c r="CP663" s="37">
        <v>0</v>
      </c>
      <c r="CQ663" s="37">
        <v>2684750</v>
      </c>
      <c r="CR663" s="37">
        <v>2684750</v>
      </c>
      <c r="CS663" s="37">
        <v>0</v>
      </c>
      <c r="CT663" s="37">
        <v>0</v>
      </c>
      <c r="CU663" s="37">
        <v>0</v>
      </c>
      <c r="CV663" s="37">
        <v>0</v>
      </c>
      <c r="CW663" s="37">
        <v>0</v>
      </c>
      <c r="CX663" s="37">
        <v>0</v>
      </c>
      <c r="CY663" s="37">
        <v>0</v>
      </c>
      <c r="CZ663" s="37">
        <v>5369500</v>
      </c>
      <c r="DA663" s="37">
        <v>7750</v>
      </c>
      <c r="DB663" s="37">
        <v>7491933</v>
      </c>
      <c r="DC663" s="37">
        <v>10709142</v>
      </c>
      <c r="DD663" s="37">
        <v>9562595</v>
      </c>
      <c r="DE663" s="37">
        <v>0</v>
      </c>
      <c r="DF663" s="37">
        <v>0</v>
      </c>
      <c r="DG663" s="37">
        <v>0</v>
      </c>
      <c r="DH663" s="37">
        <v>0</v>
      </c>
      <c r="DI663" s="37">
        <v>0</v>
      </c>
      <c r="DJ663" s="37">
        <v>0</v>
      </c>
      <c r="DK663" s="37">
        <v>0</v>
      </c>
      <c r="DL663" s="37">
        <v>27763670</v>
      </c>
      <c r="DM663" s="37">
        <v>0</v>
      </c>
      <c r="DN663" s="37">
        <v>0</v>
      </c>
      <c r="DO663" s="37">
        <v>0</v>
      </c>
      <c r="DP663" s="37">
        <v>0</v>
      </c>
      <c r="DQ663" s="37">
        <v>0</v>
      </c>
      <c r="DR663" s="37">
        <v>0</v>
      </c>
      <c r="DS663" s="37">
        <v>0</v>
      </c>
      <c r="DT663" s="37">
        <v>0</v>
      </c>
      <c r="DU663" s="37">
        <v>0</v>
      </c>
      <c r="DV663" s="37">
        <v>0</v>
      </c>
      <c r="DW663" s="37">
        <v>0</v>
      </c>
      <c r="DX663" s="37">
        <v>0</v>
      </c>
      <c r="DY663" s="37">
        <v>29185</v>
      </c>
      <c r="DZ663" s="37">
        <v>0</v>
      </c>
      <c r="EA663" s="37">
        <v>0</v>
      </c>
      <c r="EB663" s="37">
        <v>0</v>
      </c>
      <c r="EC663" s="37">
        <v>0</v>
      </c>
      <c r="ED663" s="37">
        <v>0</v>
      </c>
      <c r="EE663" s="37">
        <v>0</v>
      </c>
      <c r="EF663" s="37">
        <v>0</v>
      </c>
      <c r="EG663" s="37">
        <v>0</v>
      </c>
      <c r="EH663" s="37">
        <v>0</v>
      </c>
      <c r="EI663" s="37">
        <v>0</v>
      </c>
      <c r="EJ663" s="37">
        <v>0</v>
      </c>
      <c r="EK663" s="161" t="s">
        <v>2798</v>
      </c>
      <c r="EL663" s="294" t="s">
        <v>1124</v>
      </c>
    </row>
    <row r="664" spans="1:142" ht="15" customHeight="1" x14ac:dyDescent="0.35">
      <c r="A664" s="34"/>
      <c r="B664" s="313">
        <v>79115</v>
      </c>
      <c r="C664" s="8" t="s">
        <v>802</v>
      </c>
      <c r="D664" s="18">
        <v>15</v>
      </c>
      <c r="E664" s="155">
        <v>70982</v>
      </c>
      <c r="F664" s="36">
        <v>23565</v>
      </c>
      <c r="G664" s="37">
        <v>8937</v>
      </c>
      <c r="H664" s="37">
        <v>0</v>
      </c>
      <c r="I664" s="37">
        <v>14900</v>
      </c>
      <c r="J664" s="37">
        <v>0</v>
      </c>
      <c r="K664" s="37">
        <v>10647.3</v>
      </c>
      <c r="L664" s="37">
        <v>3534.75</v>
      </c>
      <c r="M664" s="37">
        <v>105466.3</v>
      </c>
      <c r="N664" s="37">
        <v>27099.75</v>
      </c>
      <c r="O664" s="37">
        <v>0</v>
      </c>
      <c r="P664" s="37">
        <v>0</v>
      </c>
      <c r="Q664" s="37">
        <v>0</v>
      </c>
      <c r="R664" s="37">
        <v>0</v>
      </c>
      <c r="S664" s="37">
        <v>567</v>
      </c>
      <c r="T664" s="37">
        <v>0</v>
      </c>
      <c r="U664" s="37">
        <v>0</v>
      </c>
      <c r="V664" s="37">
        <v>0</v>
      </c>
      <c r="W664" s="37">
        <v>98388</v>
      </c>
      <c r="X664" s="37">
        <v>42905</v>
      </c>
      <c r="Y664" s="37">
        <v>0</v>
      </c>
      <c r="Z664" s="37">
        <v>0</v>
      </c>
      <c r="AA664" s="37">
        <v>98955</v>
      </c>
      <c r="AB664" s="37">
        <v>42905</v>
      </c>
      <c r="AC664" s="37">
        <v>9294</v>
      </c>
      <c r="AD664" s="37">
        <v>0</v>
      </c>
      <c r="AE664" s="37">
        <v>0</v>
      </c>
      <c r="AF664" s="168">
        <v>0.02</v>
      </c>
      <c r="AG664" s="37">
        <v>13606832.369999999</v>
      </c>
      <c r="AH664" s="37">
        <v>85909.5</v>
      </c>
      <c r="AI664" s="37">
        <v>87627.69</v>
      </c>
      <c r="AJ664" s="37">
        <v>90414.92</v>
      </c>
      <c r="AK664" s="37">
        <v>92764.44</v>
      </c>
      <c r="AL664" s="37">
        <v>94619.72</v>
      </c>
      <c r="AM664" s="37">
        <v>96512.12</v>
      </c>
      <c r="AN664" s="37">
        <v>98442.36</v>
      </c>
      <c r="AO664" s="37">
        <v>100411.21</v>
      </c>
      <c r="AP664" s="37">
        <v>102419.43</v>
      </c>
      <c r="AQ664" s="37">
        <v>104467.82</v>
      </c>
      <c r="AR664" s="37">
        <v>953589.2100000002</v>
      </c>
      <c r="AS664" s="37">
        <v>1306851.6399999999</v>
      </c>
      <c r="AT664" s="37">
        <v>0</v>
      </c>
      <c r="AU664" s="37">
        <v>0</v>
      </c>
      <c r="AV664" s="37">
        <v>0</v>
      </c>
      <c r="AW664" s="37">
        <v>49683.64</v>
      </c>
      <c r="AX664" s="37">
        <v>0</v>
      </c>
      <c r="AY664" s="37">
        <v>0</v>
      </c>
      <c r="AZ664" s="37">
        <v>0</v>
      </c>
      <c r="BA664" s="37">
        <v>0</v>
      </c>
      <c r="BB664" s="37">
        <v>0</v>
      </c>
      <c r="BC664" s="37">
        <v>0</v>
      </c>
      <c r="BD664" s="37">
        <v>49683.64</v>
      </c>
      <c r="BE664" s="37">
        <v>0</v>
      </c>
      <c r="BF664" s="37">
        <v>357400</v>
      </c>
      <c r="BG664" s="37">
        <v>0</v>
      </c>
      <c r="BH664" s="37">
        <v>0</v>
      </c>
      <c r="BI664" s="37">
        <v>0</v>
      </c>
      <c r="BJ664" s="37">
        <v>0</v>
      </c>
      <c r="BK664" s="37">
        <v>0</v>
      </c>
      <c r="BL664" s="37">
        <v>0</v>
      </c>
      <c r="BM664" s="37">
        <v>0</v>
      </c>
      <c r="BN664" s="37">
        <v>0</v>
      </c>
      <c r="BO664" s="37">
        <v>0</v>
      </c>
      <c r="BP664" s="37">
        <v>357400</v>
      </c>
      <c r="BQ664" s="37">
        <v>0</v>
      </c>
      <c r="BR664" s="37">
        <v>0</v>
      </c>
      <c r="BS664" s="37">
        <v>300000</v>
      </c>
      <c r="BT664" s="37">
        <v>400000</v>
      </c>
      <c r="BU664" s="37">
        <v>0</v>
      </c>
      <c r="BV664" s="37">
        <v>0</v>
      </c>
      <c r="BW664" s="37">
        <v>0</v>
      </c>
      <c r="BX664" s="37">
        <v>0</v>
      </c>
      <c r="BY664" s="37">
        <v>0</v>
      </c>
      <c r="BZ664" s="37">
        <v>0</v>
      </c>
      <c r="CA664" s="37">
        <v>0</v>
      </c>
      <c r="CB664" s="37">
        <v>700000</v>
      </c>
      <c r="CC664" s="37">
        <v>0</v>
      </c>
      <c r="CD664" s="37">
        <v>0</v>
      </c>
      <c r="CE664" s="37">
        <v>0</v>
      </c>
      <c r="CF664" s="37">
        <v>0</v>
      </c>
      <c r="CG664" s="37">
        <v>0</v>
      </c>
      <c r="CH664" s="37">
        <v>0</v>
      </c>
      <c r="CI664" s="37">
        <v>0</v>
      </c>
      <c r="CJ664" s="37">
        <v>0</v>
      </c>
      <c r="CK664" s="37">
        <v>0</v>
      </c>
      <c r="CL664" s="37">
        <v>0</v>
      </c>
      <c r="CM664" s="37">
        <v>0</v>
      </c>
      <c r="CN664" s="37">
        <v>0</v>
      </c>
      <c r="CO664" s="37">
        <v>0</v>
      </c>
      <c r="CP664" s="37">
        <v>0</v>
      </c>
      <c r="CQ664" s="37">
        <v>0</v>
      </c>
      <c r="CR664" s="37">
        <v>0</v>
      </c>
      <c r="CS664" s="37">
        <v>45900</v>
      </c>
      <c r="CT664" s="37">
        <v>0</v>
      </c>
      <c r="CU664" s="37">
        <v>0</v>
      </c>
      <c r="CV664" s="37">
        <v>0</v>
      </c>
      <c r="CW664" s="37">
        <v>0</v>
      </c>
      <c r="CX664" s="37">
        <v>0</v>
      </c>
      <c r="CY664" s="37">
        <v>0</v>
      </c>
      <c r="CZ664" s="37">
        <v>45900</v>
      </c>
      <c r="DA664" s="37">
        <v>0</v>
      </c>
      <c r="DB664" s="37">
        <v>0</v>
      </c>
      <c r="DC664" s="37">
        <v>0</v>
      </c>
      <c r="DD664" s="37">
        <v>0</v>
      </c>
      <c r="DE664" s="37">
        <v>0</v>
      </c>
      <c r="DF664" s="37">
        <v>0</v>
      </c>
      <c r="DG664" s="37">
        <v>0</v>
      </c>
      <c r="DH664" s="37">
        <v>0</v>
      </c>
      <c r="DI664" s="37">
        <v>0</v>
      </c>
      <c r="DJ664" s="37">
        <v>0</v>
      </c>
      <c r="DK664" s="37">
        <v>0</v>
      </c>
      <c r="DL664" s="37">
        <v>0</v>
      </c>
      <c r="DM664" s="37">
        <v>0</v>
      </c>
      <c r="DN664" s="37">
        <v>0</v>
      </c>
      <c r="DO664" s="37">
        <v>0</v>
      </c>
      <c r="DP664" s="37">
        <v>0</v>
      </c>
      <c r="DQ664" s="37">
        <v>0</v>
      </c>
      <c r="DR664" s="37">
        <v>0</v>
      </c>
      <c r="DS664" s="37">
        <v>0</v>
      </c>
      <c r="DT664" s="37">
        <v>0</v>
      </c>
      <c r="DU664" s="37">
        <v>0</v>
      </c>
      <c r="DV664" s="37">
        <v>0</v>
      </c>
      <c r="DW664" s="37">
        <v>0</v>
      </c>
      <c r="DX664" s="37">
        <v>0</v>
      </c>
      <c r="DY664" s="37">
        <v>0</v>
      </c>
      <c r="DZ664" s="37">
        <v>0</v>
      </c>
      <c r="EA664" s="37">
        <v>0</v>
      </c>
      <c r="EB664" s="37">
        <v>0</v>
      </c>
      <c r="EC664" s="37">
        <v>0</v>
      </c>
      <c r="ED664" s="37">
        <v>0</v>
      </c>
      <c r="EE664" s="37">
        <v>0</v>
      </c>
      <c r="EF664" s="37">
        <v>0</v>
      </c>
      <c r="EG664" s="37">
        <v>0</v>
      </c>
      <c r="EH664" s="37">
        <v>0</v>
      </c>
      <c r="EI664" s="37">
        <v>0</v>
      </c>
      <c r="EJ664" s="37">
        <v>0</v>
      </c>
      <c r="EK664" s="161" t="s">
        <v>2802</v>
      </c>
      <c r="EL664" s="294" t="s">
        <v>1124</v>
      </c>
    </row>
    <row r="665" spans="1:142" ht="15" customHeight="1" x14ac:dyDescent="0.35">
      <c r="A665" s="34"/>
      <c r="B665" s="313">
        <v>18025</v>
      </c>
      <c r="C665" s="8" t="s">
        <v>108</v>
      </c>
      <c r="D665" s="18">
        <v>12</v>
      </c>
      <c r="E665" s="155"/>
      <c r="F665" s="36"/>
      <c r="G665" s="37"/>
      <c r="H665" s="37"/>
      <c r="I665" s="37"/>
      <c r="J665" s="37"/>
      <c r="K665" s="37"/>
      <c r="L665" s="37"/>
      <c r="M665" s="37" t="s">
        <v>1124</v>
      </c>
      <c r="N665" s="37" t="s">
        <v>1124</v>
      </c>
      <c r="O665" s="37"/>
      <c r="P665" s="37"/>
      <c r="Q665" s="37"/>
      <c r="R665" s="37"/>
      <c r="S665" s="37"/>
      <c r="T665" s="37"/>
      <c r="U665" s="37"/>
      <c r="V665" s="37"/>
      <c r="W665" s="37"/>
      <c r="X665" s="37"/>
      <c r="Y665" s="37"/>
      <c r="Z665" s="37"/>
      <c r="AA665" s="37" t="s">
        <v>1124</v>
      </c>
      <c r="AB665" s="37" t="s">
        <v>1124</v>
      </c>
      <c r="AC665" s="37"/>
      <c r="AD665" s="37"/>
      <c r="AE665" s="37"/>
      <c r="AF665" s="168"/>
      <c r="AG665" s="37"/>
      <c r="AH665" s="37"/>
      <c r="AI665" s="37"/>
      <c r="AJ665" s="37"/>
      <c r="AK665" s="37"/>
      <c r="AL665" s="37"/>
      <c r="AM665" s="37"/>
      <c r="AN665" s="37"/>
      <c r="AO665" s="37"/>
      <c r="AP665" s="37"/>
      <c r="AQ665" s="37"/>
      <c r="AR665" s="37" t="s">
        <v>1124</v>
      </c>
      <c r="AS665" s="37"/>
      <c r="AT665" s="37"/>
      <c r="AU665" s="37"/>
      <c r="AV665" s="37"/>
      <c r="AW665" s="37"/>
      <c r="AX665" s="37"/>
      <c r="AY665" s="37"/>
      <c r="AZ665" s="37"/>
      <c r="BA665" s="37"/>
      <c r="BB665" s="37"/>
      <c r="BC665" s="37"/>
      <c r="BD665" s="37" t="s">
        <v>1124</v>
      </c>
      <c r="BE665" s="37"/>
      <c r="BF665" s="37"/>
      <c r="BG665" s="37"/>
      <c r="BH665" s="37"/>
      <c r="BI665" s="37"/>
      <c r="BJ665" s="37"/>
      <c r="BK665" s="37"/>
      <c r="BL665" s="37"/>
      <c r="BM665" s="37"/>
      <c r="BN665" s="37"/>
      <c r="BO665" s="37"/>
      <c r="BP665" s="37">
        <v>0</v>
      </c>
      <c r="BQ665" s="37"/>
      <c r="BR665" s="37"/>
      <c r="BS665" s="37"/>
      <c r="BT665" s="37"/>
      <c r="BU665" s="37"/>
      <c r="BV665" s="37"/>
      <c r="BW665" s="37"/>
      <c r="BX665" s="37"/>
      <c r="BY665" s="37"/>
      <c r="BZ665" s="37"/>
      <c r="CA665" s="37"/>
      <c r="CB665" s="37" t="s">
        <v>1124</v>
      </c>
      <c r="CC665" s="37"/>
      <c r="CD665" s="37"/>
      <c r="CE665" s="37"/>
      <c r="CF665" s="37"/>
      <c r="CG665" s="37"/>
      <c r="CH665" s="37"/>
      <c r="CI665" s="37"/>
      <c r="CJ665" s="37"/>
      <c r="CK665" s="37"/>
      <c r="CL665" s="37"/>
      <c r="CM665" s="37"/>
      <c r="CN665" s="37" t="s">
        <v>1124</v>
      </c>
      <c r="CO665" s="37"/>
      <c r="CP665" s="37"/>
      <c r="CQ665" s="37"/>
      <c r="CR665" s="37"/>
      <c r="CS665" s="37"/>
      <c r="CT665" s="37"/>
      <c r="CU665" s="37"/>
      <c r="CV665" s="37"/>
      <c r="CW665" s="37"/>
      <c r="CX665" s="37"/>
      <c r="CY665" s="37"/>
      <c r="CZ665" s="37" t="s">
        <v>1124</v>
      </c>
      <c r="DA665" s="37"/>
      <c r="DB665" s="37"/>
      <c r="DC665" s="37"/>
      <c r="DD665" s="37"/>
      <c r="DE665" s="37"/>
      <c r="DF665" s="37"/>
      <c r="DG665" s="37"/>
      <c r="DH665" s="37"/>
      <c r="DI665" s="37"/>
      <c r="DJ665" s="37"/>
      <c r="DK665" s="37"/>
      <c r="DL665" s="37" t="s">
        <v>1124</v>
      </c>
      <c r="DM665" s="37"/>
      <c r="DN665" s="37"/>
      <c r="DO665" s="37"/>
      <c r="DP665" s="37"/>
      <c r="DQ665" s="37"/>
      <c r="DR665" s="37"/>
      <c r="DS665" s="37"/>
      <c r="DT665" s="37"/>
      <c r="DU665" s="37"/>
      <c r="DV665" s="37"/>
      <c r="DW665" s="37"/>
      <c r="DX665" s="37" t="s">
        <v>1124</v>
      </c>
      <c r="DY665" s="37"/>
      <c r="DZ665" s="37"/>
      <c r="EA665" s="37"/>
      <c r="EB665" s="37"/>
      <c r="EC665" s="37"/>
      <c r="ED665" s="37"/>
      <c r="EE665" s="37"/>
      <c r="EF665" s="37"/>
      <c r="EG665" s="37"/>
      <c r="EH665" s="37"/>
      <c r="EI665" s="37"/>
      <c r="EJ665" s="37" t="s">
        <v>1124</v>
      </c>
      <c r="EK665" s="161"/>
      <c r="EL665" s="294"/>
    </row>
    <row r="666" spans="1:142" ht="15" customHeight="1" x14ac:dyDescent="0.35">
      <c r="A666" s="34"/>
      <c r="B666" s="313">
        <v>28015</v>
      </c>
      <c r="C666" s="8" t="s">
        <v>189</v>
      </c>
      <c r="D666" s="18">
        <v>12</v>
      </c>
      <c r="E666" s="155">
        <v>78920</v>
      </c>
      <c r="F666" s="36">
        <v>95851</v>
      </c>
      <c r="G666" s="37">
        <v>23019</v>
      </c>
      <c r="H666" s="37">
        <v>0</v>
      </c>
      <c r="I666" s="37">
        <v>24273</v>
      </c>
      <c r="J666" s="37">
        <v>0</v>
      </c>
      <c r="K666" s="37">
        <v>13927</v>
      </c>
      <c r="L666" s="37">
        <v>16915</v>
      </c>
      <c r="M666" s="37">
        <v>140139</v>
      </c>
      <c r="N666" s="37">
        <v>112766</v>
      </c>
      <c r="O666" s="37">
        <v>42910</v>
      </c>
      <c r="P666" s="37">
        <v>0</v>
      </c>
      <c r="Q666" s="37">
        <v>88276</v>
      </c>
      <c r="R666" s="37">
        <v>64003</v>
      </c>
      <c r="S666" s="37">
        <v>641</v>
      </c>
      <c r="T666" s="37">
        <v>1941</v>
      </c>
      <c r="U666" s="37">
        <v>14923</v>
      </c>
      <c r="V666" s="37">
        <v>0</v>
      </c>
      <c r="W666" s="37">
        <v>16413</v>
      </c>
      <c r="X666" s="37">
        <v>0</v>
      </c>
      <c r="Y666" s="37">
        <v>23798</v>
      </c>
      <c r="Z666" s="37">
        <v>0</v>
      </c>
      <c r="AA666" s="37">
        <v>186961</v>
      </c>
      <c r="AB666" s="37">
        <v>65944</v>
      </c>
      <c r="AC666" s="37">
        <v>0</v>
      </c>
      <c r="AD666" s="37">
        <v>0</v>
      </c>
      <c r="AE666" s="37">
        <v>0</v>
      </c>
      <c r="AF666" s="168">
        <v>0.02</v>
      </c>
      <c r="AG666" s="37">
        <v>15109431.52</v>
      </c>
      <c r="AH666" s="37">
        <v>155645.64000000001</v>
      </c>
      <c r="AI666" s="37">
        <v>129044.73</v>
      </c>
      <c r="AJ666" s="37">
        <v>131625.62</v>
      </c>
      <c r="AK666" s="37">
        <v>134258.13</v>
      </c>
      <c r="AL666" s="37">
        <v>136943.29999999999</v>
      </c>
      <c r="AM666" s="37">
        <v>139682.16</v>
      </c>
      <c r="AN666" s="37">
        <v>142475.79999999999</v>
      </c>
      <c r="AO666" s="37">
        <v>145325.32</v>
      </c>
      <c r="AP666" s="37">
        <v>148231.82999999999</v>
      </c>
      <c r="AQ666" s="37">
        <v>151196.46</v>
      </c>
      <c r="AR666" s="37">
        <v>1414428.9900000002</v>
      </c>
      <c r="AS666" s="37">
        <v>306918</v>
      </c>
      <c r="AT666" s="37">
        <v>152478.94</v>
      </c>
      <c r="AU666" s="37">
        <v>0</v>
      </c>
      <c r="AV666" s="37">
        <v>0</v>
      </c>
      <c r="AW666" s="37">
        <v>0</v>
      </c>
      <c r="AX666" s="37">
        <v>0</v>
      </c>
      <c r="AY666" s="37">
        <v>62029.03</v>
      </c>
      <c r="AZ666" s="37">
        <v>0</v>
      </c>
      <c r="BA666" s="37">
        <v>0</v>
      </c>
      <c r="BB666" s="37">
        <v>0</v>
      </c>
      <c r="BC666" s="37">
        <v>0</v>
      </c>
      <c r="BD666" s="37">
        <v>214507.97</v>
      </c>
      <c r="BE666" s="37">
        <v>0</v>
      </c>
      <c r="BF666" s="37">
        <v>22000</v>
      </c>
      <c r="BG666" s="37">
        <v>10000</v>
      </c>
      <c r="BH666" s="37">
        <v>0</v>
      </c>
      <c r="BI666" s="37">
        <v>0</v>
      </c>
      <c r="BJ666" s="37">
        <v>0</v>
      </c>
      <c r="BK666" s="37">
        <v>0</v>
      </c>
      <c r="BL666" s="37">
        <v>0</v>
      </c>
      <c r="BM666" s="37">
        <v>0</v>
      </c>
      <c r="BN666" s="37">
        <v>0</v>
      </c>
      <c r="BO666" s="37">
        <v>0</v>
      </c>
      <c r="BP666" s="37">
        <v>32000</v>
      </c>
      <c r="BQ666" s="37">
        <v>0</v>
      </c>
      <c r="BR666" s="37">
        <v>0</v>
      </c>
      <c r="BS666" s="37">
        <v>0</v>
      </c>
      <c r="BT666" s="37">
        <v>0</v>
      </c>
      <c r="BU666" s="37">
        <v>0</v>
      </c>
      <c r="BV666" s="37">
        <v>0</v>
      </c>
      <c r="BW666" s="37">
        <v>0</v>
      </c>
      <c r="BX666" s="37">
        <v>0</v>
      </c>
      <c r="BY666" s="37">
        <v>0</v>
      </c>
      <c r="BZ666" s="37">
        <v>0</v>
      </c>
      <c r="CA666" s="37">
        <v>0</v>
      </c>
      <c r="CB666" s="37">
        <v>0</v>
      </c>
      <c r="CC666" s="37">
        <v>0</v>
      </c>
      <c r="CD666" s="37">
        <v>0</v>
      </c>
      <c r="CE666" s="37">
        <v>0</v>
      </c>
      <c r="CF666" s="37">
        <v>0</v>
      </c>
      <c r="CG666" s="37">
        <v>0</v>
      </c>
      <c r="CH666" s="37">
        <v>0</v>
      </c>
      <c r="CI666" s="37">
        <v>0</v>
      </c>
      <c r="CJ666" s="37">
        <v>0</v>
      </c>
      <c r="CK666" s="37">
        <v>0</v>
      </c>
      <c r="CL666" s="37">
        <v>0</v>
      </c>
      <c r="CM666" s="37">
        <v>0</v>
      </c>
      <c r="CN666" s="37">
        <v>0</v>
      </c>
      <c r="CO666" s="37">
        <v>0</v>
      </c>
      <c r="CP666" s="37">
        <v>0</v>
      </c>
      <c r="CQ666" s="37">
        <v>0</v>
      </c>
      <c r="CR666" s="37">
        <v>0</v>
      </c>
      <c r="CS666" s="37">
        <v>0</v>
      </c>
      <c r="CT666" s="37">
        <v>0</v>
      </c>
      <c r="CU666" s="37">
        <v>0</v>
      </c>
      <c r="CV666" s="37">
        <v>0</v>
      </c>
      <c r="CW666" s="37">
        <v>0</v>
      </c>
      <c r="CX666" s="37">
        <v>0</v>
      </c>
      <c r="CY666" s="37">
        <v>0</v>
      </c>
      <c r="CZ666" s="37">
        <v>0</v>
      </c>
      <c r="DA666" s="37">
        <v>0</v>
      </c>
      <c r="DB666" s="37">
        <v>0</v>
      </c>
      <c r="DC666" s="37">
        <v>0</v>
      </c>
      <c r="DD666" s="37">
        <v>0</v>
      </c>
      <c r="DE666" s="37">
        <v>0</v>
      </c>
      <c r="DF666" s="37">
        <v>0</v>
      </c>
      <c r="DG666" s="37">
        <v>0</v>
      </c>
      <c r="DH666" s="37">
        <v>0</v>
      </c>
      <c r="DI666" s="37">
        <v>0</v>
      </c>
      <c r="DJ666" s="37">
        <v>0</v>
      </c>
      <c r="DK666" s="37">
        <v>0</v>
      </c>
      <c r="DL666" s="37">
        <v>0</v>
      </c>
      <c r="DM666" s="37">
        <v>0</v>
      </c>
      <c r="DN666" s="37">
        <v>0</v>
      </c>
      <c r="DO666" s="37">
        <v>0</v>
      </c>
      <c r="DP666" s="37">
        <v>0</v>
      </c>
      <c r="DQ666" s="37">
        <v>0</v>
      </c>
      <c r="DR666" s="37">
        <v>0</v>
      </c>
      <c r="DS666" s="37">
        <v>0</v>
      </c>
      <c r="DT666" s="37">
        <v>0</v>
      </c>
      <c r="DU666" s="37">
        <v>0</v>
      </c>
      <c r="DV666" s="37">
        <v>0</v>
      </c>
      <c r="DW666" s="37">
        <v>0</v>
      </c>
      <c r="DX666" s="37">
        <v>0</v>
      </c>
      <c r="DY666" s="37">
        <v>0</v>
      </c>
      <c r="DZ666" s="37">
        <v>0</v>
      </c>
      <c r="EA666" s="37">
        <v>0</v>
      </c>
      <c r="EB666" s="37">
        <v>0</v>
      </c>
      <c r="EC666" s="37">
        <v>0</v>
      </c>
      <c r="ED666" s="37">
        <v>0</v>
      </c>
      <c r="EE666" s="37">
        <v>0</v>
      </c>
      <c r="EF666" s="37">
        <v>0</v>
      </c>
      <c r="EG666" s="37">
        <v>0</v>
      </c>
      <c r="EH666" s="37">
        <v>0</v>
      </c>
      <c r="EI666" s="37">
        <v>0</v>
      </c>
      <c r="EJ666" s="37">
        <v>0</v>
      </c>
      <c r="EK666" s="161" t="s">
        <v>2805</v>
      </c>
      <c r="EL666" s="294" t="s">
        <v>1124</v>
      </c>
    </row>
    <row r="667" spans="1:142" ht="15" customHeight="1" x14ac:dyDescent="0.35">
      <c r="A667" s="34"/>
      <c r="B667" s="313">
        <v>69065</v>
      </c>
      <c r="C667" s="8" t="s">
        <v>694</v>
      </c>
      <c r="D667" s="18">
        <v>16</v>
      </c>
      <c r="E667" s="155"/>
      <c r="F667" s="36"/>
      <c r="G667" s="37"/>
      <c r="H667" s="37"/>
      <c r="I667" s="37"/>
      <c r="J667" s="37"/>
      <c r="K667" s="37"/>
      <c r="L667" s="37"/>
      <c r="M667" s="37" t="s">
        <v>1124</v>
      </c>
      <c r="N667" s="37" t="s">
        <v>1124</v>
      </c>
      <c r="O667" s="37"/>
      <c r="P667" s="37"/>
      <c r="Q667" s="37"/>
      <c r="R667" s="37"/>
      <c r="S667" s="37"/>
      <c r="T667" s="37"/>
      <c r="U667" s="37"/>
      <c r="V667" s="37"/>
      <c r="W667" s="37"/>
      <c r="X667" s="37"/>
      <c r="Y667" s="37"/>
      <c r="Z667" s="37"/>
      <c r="AA667" s="37" t="s">
        <v>1124</v>
      </c>
      <c r="AB667" s="37" t="s">
        <v>1124</v>
      </c>
      <c r="AC667" s="37"/>
      <c r="AD667" s="37"/>
      <c r="AE667" s="37"/>
      <c r="AF667" s="168"/>
      <c r="AG667" s="37"/>
      <c r="AH667" s="37"/>
      <c r="AI667" s="37"/>
      <c r="AJ667" s="37"/>
      <c r="AK667" s="37"/>
      <c r="AL667" s="37"/>
      <c r="AM667" s="37"/>
      <c r="AN667" s="37"/>
      <c r="AO667" s="37"/>
      <c r="AP667" s="37"/>
      <c r="AQ667" s="37"/>
      <c r="AR667" s="37" t="s">
        <v>1124</v>
      </c>
      <c r="AS667" s="37"/>
      <c r="AT667" s="37"/>
      <c r="AU667" s="37"/>
      <c r="AV667" s="37"/>
      <c r="AW667" s="37"/>
      <c r="AX667" s="37"/>
      <c r="AY667" s="37"/>
      <c r="AZ667" s="37"/>
      <c r="BA667" s="37"/>
      <c r="BB667" s="37"/>
      <c r="BC667" s="37"/>
      <c r="BD667" s="37" t="s">
        <v>1124</v>
      </c>
      <c r="BE667" s="37"/>
      <c r="BF667" s="37"/>
      <c r="BG667" s="37"/>
      <c r="BH667" s="37"/>
      <c r="BI667" s="37"/>
      <c r="BJ667" s="37"/>
      <c r="BK667" s="37"/>
      <c r="BL667" s="37"/>
      <c r="BM667" s="37"/>
      <c r="BN667" s="37"/>
      <c r="BO667" s="37"/>
      <c r="BP667" s="37">
        <v>0</v>
      </c>
      <c r="BQ667" s="37"/>
      <c r="BR667" s="37"/>
      <c r="BS667" s="37"/>
      <c r="BT667" s="37"/>
      <c r="BU667" s="37"/>
      <c r="BV667" s="37"/>
      <c r="BW667" s="37"/>
      <c r="BX667" s="37"/>
      <c r="BY667" s="37"/>
      <c r="BZ667" s="37"/>
      <c r="CA667" s="37"/>
      <c r="CB667" s="37" t="s">
        <v>1124</v>
      </c>
      <c r="CC667" s="37"/>
      <c r="CD667" s="37"/>
      <c r="CE667" s="37"/>
      <c r="CF667" s="37"/>
      <c r="CG667" s="37"/>
      <c r="CH667" s="37"/>
      <c r="CI667" s="37"/>
      <c r="CJ667" s="37"/>
      <c r="CK667" s="37"/>
      <c r="CL667" s="37"/>
      <c r="CM667" s="37"/>
      <c r="CN667" s="37" t="s">
        <v>1124</v>
      </c>
      <c r="CO667" s="37"/>
      <c r="CP667" s="37"/>
      <c r="CQ667" s="37"/>
      <c r="CR667" s="37"/>
      <c r="CS667" s="37"/>
      <c r="CT667" s="37"/>
      <c r="CU667" s="37"/>
      <c r="CV667" s="37"/>
      <c r="CW667" s="37"/>
      <c r="CX667" s="37"/>
      <c r="CY667" s="37"/>
      <c r="CZ667" s="37" t="s">
        <v>1124</v>
      </c>
      <c r="DA667" s="37"/>
      <c r="DB667" s="37"/>
      <c r="DC667" s="37"/>
      <c r="DD667" s="37"/>
      <c r="DE667" s="37"/>
      <c r="DF667" s="37"/>
      <c r="DG667" s="37"/>
      <c r="DH667" s="37"/>
      <c r="DI667" s="37"/>
      <c r="DJ667" s="37"/>
      <c r="DK667" s="37"/>
      <c r="DL667" s="37" t="s">
        <v>1124</v>
      </c>
      <c r="DM667" s="37"/>
      <c r="DN667" s="37"/>
      <c r="DO667" s="37"/>
      <c r="DP667" s="37"/>
      <c r="DQ667" s="37"/>
      <c r="DR667" s="37"/>
      <c r="DS667" s="37"/>
      <c r="DT667" s="37"/>
      <c r="DU667" s="37"/>
      <c r="DV667" s="37"/>
      <c r="DW667" s="37"/>
      <c r="DX667" s="37" t="s">
        <v>1124</v>
      </c>
      <c r="DY667" s="37"/>
      <c r="DZ667" s="37"/>
      <c r="EA667" s="37"/>
      <c r="EB667" s="37"/>
      <c r="EC667" s="37"/>
      <c r="ED667" s="37"/>
      <c r="EE667" s="37"/>
      <c r="EF667" s="37"/>
      <c r="EG667" s="37"/>
      <c r="EH667" s="37"/>
      <c r="EI667" s="37"/>
      <c r="EJ667" s="37" t="s">
        <v>1124</v>
      </c>
      <c r="EK667" s="161"/>
      <c r="EL667" s="294"/>
    </row>
    <row r="668" spans="1:142" ht="15" customHeight="1" x14ac:dyDescent="0.35">
      <c r="A668" s="34"/>
      <c r="B668" s="313">
        <v>62020</v>
      </c>
      <c r="C668" s="8" t="s">
        <v>621</v>
      </c>
      <c r="D668" s="18">
        <v>14</v>
      </c>
      <c r="E668" s="155">
        <v>79897</v>
      </c>
      <c r="F668" s="36">
        <v>28020</v>
      </c>
      <c r="G668" s="37">
        <v>8240</v>
      </c>
      <c r="H668" s="37">
        <v>17</v>
      </c>
      <c r="I668" s="37">
        <v>41203</v>
      </c>
      <c r="J668" s="37">
        <v>181</v>
      </c>
      <c r="K668" s="37">
        <v>9701.98</v>
      </c>
      <c r="L668" s="37">
        <v>2490.1799999999998</v>
      </c>
      <c r="M668" s="37">
        <v>139041.97999999998</v>
      </c>
      <c r="N668" s="37">
        <v>30708.18</v>
      </c>
      <c r="O668" s="37">
        <v>0</v>
      </c>
      <c r="P668" s="37">
        <v>0</v>
      </c>
      <c r="Q668" s="37">
        <v>88159.8</v>
      </c>
      <c r="R668" s="37">
        <v>39435</v>
      </c>
      <c r="S668" s="37">
        <v>0</v>
      </c>
      <c r="T668" s="37">
        <v>0</v>
      </c>
      <c r="U668" s="37">
        <v>5468</v>
      </c>
      <c r="V668" s="37">
        <v>0</v>
      </c>
      <c r="W668" s="37">
        <v>25814.316797306539</v>
      </c>
      <c r="X668" s="37">
        <v>10873.08320269346</v>
      </c>
      <c r="Y668" s="37">
        <v>0</v>
      </c>
      <c r="Z668" s="37">
        <v>0</v>
      </c>
      <c r="AA668" s="37">
        <v>119442.11679730655</v>
      </c>
      <c r="AB668" s="37">
        <v>50308.083202693459</v>
      </c>
      <c r="AC668" s="37">
        <v>4.0000000008149073E-2</v>
      </c>
      <c r="AD668" s="37">
        <v>0</v>
      </c>
      <c r="AE668" s="37">
        <v>0</v>
      </c>
      <c r="AF668" s="168">
        <v>0.02</v>
      </c>
      <c r="AG668" s="37">
        <v>5376194.1399999997</v>
      </c>
      <c r="AH668" s="37">
        <v>282963.57</v>
      </c>
      <c r="AI668" s="37">
        <v>292867.67</v>
      </c>
      <c r="AJ668" s="37">
        <v>305490.23</v>
      </c>
      <c r="AK668" s="37">
        <v>311600.03000000003</v>
      </c>
      <c r="AL668" s="37">
        <v>317832.03000000003</v>
      </c>
      <c r="AM668" s="37">
        <v>324188.67</v>
      </c>
      <c r="AN668" s="37">
        <v>88730.53</v>
      </c>
      <c r="AO668" s="37">
        <v>90505.14</v>
      </c>
      <c r="AP668" s="37">
        <v>92315.24</v>
      </c>
      <c r="AQ668" s="37">
        <v>94161.55</v>
      </c>
      <c r="AR668" s="37">
        <v>2200654.6599999997</v>
      </c>
      <c r="AS668" s="37">
        <v>378626.53</v>
      </c>
      <c r="AT668" s="37">
        <v>0</v>
      </c>
      <c r="AU668" s="37">
        <v>0</v>
      </c>
      <c r="AV668" s="37">
        <v>107404.33</v>
      </c>
      <c r="AW668" s="37">
        <v>58396.67</v>
      </c>
      <c r="AX668" s="37">
        <v>59564.61</v>
      </c>
      <c r="AY668" s="37">
        <v>60755.9</v>
      </c>
      <c r="AZ668" s="37">
        <v>0</v>
      </c>
      <c r="BA668" s="37">
        <v>0</v>
      </c>
      <c r="BB668" s="37">
        <v>0</v>
      </c>
      <c r="BC668" s="37">
        <v>0</v>
      </c>
      <c r="BD668" s="37">
        <v>286121.51</v>
      </c>
      <c r="BE668" s="37">
        <v>356955</v>
      </c>
      <c r="BF668" s="37">
        <v>200000</v>
      </c>
      <c r="BG668" s="37">
        <v>200000</v>
      </c>
      <c r="BH668" s="37">
        <v>200000</v>
      </c>
      <c r="BI668" s="37">
        <v>400000</v>
      </c>
      <c r="BJ668" s="37">
        <v>200000</v>
      </c>
      <c r="BK668" s="37">
        <v>200000</v>
      </c>
      <c r="BL668" s="37">
        <v>0</v>
      </c>
      <c r="BM668" s="37">
        <v>0</v>
      </c>
      <c r="BN668" s="37">
        <v>0</v>
      </c>
      <c r="BO668" s="37">
        <v>0</v>
      </c>
      <c r="BP668" s="37">
        <v>1400000</v>
      </c>
      <c r="BQ668" s="37">
        <v>0</v>
      </c>
      <c r="BR668" s="37">
        <v>0</v>
      </c>
      <c r="BS668" s="37">
        <v>0</v>
      </c>
      <c r="BT668" s="37">
        <v>0</v>
      </c>
      <c r="BU668" s="37">
        <v>0</v>
      </c>
      <c r="BV668" s="37">
        <v>0</v>
      </c>
      <c r="BW668" s="37">
        <v>0</v>
      </c>
      <c r="BX668" s="37">
        <v>0</v>
      </c>
      <c r="BY668" s="37">
        <v>0</v>
      </c>
      <c r="BZ668" s="37">
        <v>0</v>
      </c>
      <c r="CA668" s="37">
        <v>0</v>
      </c>
      <c r="CB668" s="37">
        <v>0</v>
      </c>
      <c r="CC668" s="37">
        <v>0</v>
      </c>
      <c r="CD668" s="37">
        <v>0</v>
      </c>
      <c r="CE668" s="37">
        <v>0</v>
      </c>
      <c r="CF668" s="37">
        <v>0</v>
      </c>
      <c r="CG668" s="37">
        <v>0</v>
      </c>
      <c r="CH668" s="37">
        <v>0</v>
      </c>
      <c r="CI668" s="37">
        <v>0</v>
      </c>
      <c r="CJ668" s="37">
        <v>0</v>
      </c>
      <c r="CK668" s="37">
        <v>0</v>
      </c>
      <c r="CL668" s="37">
        <v>0</v>
      </c>
      <c r="CM668" s="37">
        <v>0</v>
      </c>
      <c r="CN668" s="37">
        <v>0</v>
      </c>
      <c r="CO668" s="37">
        <v>0</v>
      </c>
      <c r="CP668" s="37">
        <v>0</v>
      </c>
      <c r="CQ668" s="37">
        <v>0</v>
      </c>
      <c r="CR668" s="37">
        <v>0</v>
      </c>
      <c r="CS668" s="37">
        <v>0</v>
      </c>
      <c r="CT668" s="37">
        <v>0</v>
      </c>
      <c r="CU668" s="37">
        <v>0</v>
      </c>
      <c r="CV668" s="37">
        <v>0</v>
      </c>
      <c r="CW668" s="37">
        <v>0</v>
      </c>
      <c r="CX668" s="37">
        <v>0</v>
      </c>
      <c r="CY668" s="37">
        <v>0</v>
      </c>
      <c r="CZ668" s="37">
        <v>0</v>
      </c>
      <c r="DA668" s="37">
        <v>0</v>
      </c>
      <c r="DB668" s="37">
        <v>0</v>
      </c>
      <c r="DC668" s="37">
        <v>0</v>
      </c>
      <c r="DD668" s="37">
        <v>0</v>
      </c>
      <c r="DE668" s="37">
        <v>0</v>
      </c>
      <c r="DF668" s="37">
        <v>0</v>
      </c>
      <c r="DG668" s="37">
        <v>0</v>
      </c>
      <c r="DH668" s="37">
        <v>0</v>
      </c>
      <c r="DI668" s="37">
        <v>0</v>
      </c>
      <c r="DJ668" s="37">
        <v>0</v>
      </c>
      <c r="DK668" s="37">
        <v>0</v>
      </c>
      <c r="DL668" s="37">
        <v>0</v>
      </c>
      <c r="DM668" s="37">
        <v>0</v>
      </c>
      <c r="DN668" s="37">
        <v>0</v>
      </c>
      <c r="DO668" s="37">
        <v>0</v>
      </c>
      <c r="DP668" s="37">
        <v>0</v>
      </c>
      <c r="DQ668" s="37">
        <v>0</v>
      </c>
      <c r="DR668" s="37">
        <v>0</v>
      </c>
      <c r="DS668" s="37">
        <v>0</v>
      </c>
      <c r="DT668" s="37">
        <v>0</v>
      </c>
      <c r="DU668" s="37">
        <v>0</v>
      </c>
      <c r="DV668" s="37">
        <v>0</v>
      </c>
      <c r="DW668" s="37">
        <v>0</v>
      </c>
      <c r="DX668" s="37">
        <v>0</v>
      </c>
      <c r="DY668" s="37">
        <v>0</v>
      </c>
      <c r="DZ668" s="37">
        <v>0</v>
      </c>
      <c r="EA668" s="37">
        <v>0</v>
      </c>
      <c r="EB668" s="37">
        <v>0</v>
      </c>
      <c r="EC668" s="37">
        <v>0</v>
      </c>
      <c r="ED668" s="37">
        <v>0</v>
      </c>
      <c r="EE668" s="37">
        <v>0</v>
      </c>
      <c r="EF668" s="37">
        <v>0</v>
      </c>
      <c r="EG668" s="37">
        <v>0</v>
      </c>
      <c r="EH668" s="37">
        <v>0</v>
      </c>
      <c r="EI668" s="37">
        <v>0</v>
      </c>
      <c r="EJ668" s="37">
        <v>0</v>
      </c>
      <c r="EK668" s="161" t="s">
        <v>2809</v>
      </c>
      <c r="EL668" s="294" t="s">
        <v>1124</v>
      </c>
    </row>
    <row r="669" spans="1:142" ht="15" customHeight="1" x14ac:dyDescent="0.35">
      <c r="A669" s="34"/>
      <c r="B669" s="313">
        <v>56105</v>
      </c>
      <c r="C669" s="8" t="s">
        <v>580</v>
      </c>
      <c r="D669" s="18">
        <v>16</v>
      </c>
      <c r="E669" s="155"/>
      <c r="F669" s="36"/>
      <c r="G669" s="37"/>
      <c r="H669" s="37"/>
      <c r="I669" s="37"/>
      <c r="J669" s="37"/>
      <c r="K669" s="37"/>
      <c r="L669" s="37"/>
      <c r="M669" s="37" t="s">
        <v>1124</v>
      </c>
      <c r="N669" s="37" t="s">
        <v>1124</v>
      </c>
      <c r="O669" s="37"/>
      <c r="P669" s="37"/>
      <c r="Q669" s="37"/>
      <c r="R669" s="37"/>
      <c r="S669" s="37"/>
      <c r="T669" s="37"/>
      <c r="U669" s="37"/>
      <c r="V669" s="37"/>
      <c r="W669" s="37"/>
      <c r="X669" s="37"/>
      <c r="Y669" s="37"/>
      <c r="Z669" s="37"/>
      <c r="AA669" s="37" t="s">
        <v>1124</v>
      </c>
      <c r="AB669" s="37" t="s">
        <v>1124</v>
      </c>
      <c r="AC669" s="37"/>
      <c r="AD669" s="37"/>
      <c r="AE669" s="37"/>
      <c r="AF669" s="168"/>
      <c r="AG669" s="37"/>
      <c r="AH669" s="37"/>
      <c r="AI669" s="37"/>
      <c r="AJ669" s="37"/>
      <c r="AK669" s="37"/>
      <c r="AL669" s="37"/>
      <c r="AM669" s="37"/>
      <c r="AN669" s="37"/>
      <c r="AO669" s="37"/>
      <c r="AP669" s="37"/>
      <c r="AQ669" s="37"/>
      <c r="AR669" s="37" t="s">
        <v>1124</v>
      </c>
      <c r="AS669" s="37"/>
      <c r="AT669" s="37"/>
      <c r="AU669" s="37"/>
      <c r="AV669" s="37"/>
      <c r="AW669" s="37"/>
      <c r="AX669" s="37"/>
      <c r="AY669" s="37"/>
      <c r="AZ669" s="37"/>
      <c r="BA669" s="37"/>
      <c r="BB669" s="37"/>
      <c r="BC669" s="37"/>
      <c r="BD669" s="37" t="s">
        <v>1124</v>
      </c>
      <c r="BE669" s="37"/>
      <c r="BF669" s="37"/>
      <c r="BG669" s="37"/>
      <c r="BH669" s="37"/>
      <c r="BI669" s="37"/>
      <c r="BJ669" s="37"/>
      <c r="BK669" s="37"/>
      <c r="BL669" s="37"/>
      <c r="BM669" s="37"/>
      <c r="BN669" s="37"/>
      <c r="BO669" s="37"/>
      <c r="BP669" s="37">
        <v>0</v>
      </c>
      <c r="BQ669" s="37"/>
      <c r="BR669" s="37"/>
      <c r="BS669" s="37"/>
      <c r="BT669" s="37"/>
      <c r="BU669" s="37"/>
      <c r="BV669" s="37"/>
      <c r="BW669" s="37"/>
      <c r="BX669" s="37"/>
      <c r="BY669" s="37"/>
      <c r="BZ669" s="37"/>
      <c r="CA669" s="37"/>
      <c r="CB669" s="37" t="s">
        <v>1124</v>
      </c>
      <c r="CC669" s="37"/>
      <c r="CD669" s="37"/>
      <c r="CE669" s="37"/>
      <c r="CF669" s="37"/>
      <c r="CG669" s="37"/>
      <c r="CH669" s="37"/>
      <c r="CI669" s="37"/>
      <c r="CJ669" s="37"/>
      <c r="CK669" s="37"/>
      <c r="CL669" s="37"/>
      <c r="CM669" s="37"/>
      <c r="CN669" s="37" t="s">
        <v>1124</v>
      </c>
      <c r="CO669" s="37"/>
      <c r="CP669" s="37"/>
      <c r="CQ669" s="37"/>
      <c r="CR669" s="37"/>
      <c r="CS669" s="37"/>
      <c r="CT669" s="37"/>
      <c r="CU669" s="37"/>
      <c r="CV669" s="37"/>
      <c r="CW669" s="37"/>
      <c r="CX669" s="37"/>
      <c r="CY669" s="37"/>
      <c r="CZ669" s="37" t="s">
        <v>1124</v>
      </c>
      <c r="DA669" s="37"/>
      <c r="DB669" s="37"/>
      <c r="DC669" s="37"/>
      <c r="DD669" s="37"/>
      <c r="DE669" s="37"/>
      <c r="DF669" s="37"/>
      <c r="DG669" s="37"/>
      <c r="DH669" s="37"/>
      <c r="DI669" s="37"/>
      <c r="DJ669" s="37"/>
      <c r="DK669" s="37"/>
      <c r="DL669" s="37" t="s">
        <v>1124</v>
      </c>
      <c r="DM669" s="37"/>
      <c r="DN669" s="37"/>
      <c r="DO669" s="37"/>
      <c r="DP669" s="37"/>
      <c r="DQ669" s="37"/>
      <c r="DR669" s="37"/>
      <c r="DS669" s="37"/>
      <c r="DT669" s="37"/>
      <c r="DU669" s="37"/>
      <c r="DV669" s="37"/>
      <c r="DW669" s="37"/>
      <c r="DX669" s="37" t="s">
        <v>1124</v>
      </c>
      <c r="DY669" s="37"/>
      <c r="DZ669" s="37"/>
      <c r="EA669" s="37"/>
      <c r="EB669" s="37"/>
      <c r="EC669" s="37"/>
      <c r="ED669" s="37"/>
      <c r="EE669" s="37"/>
      <c r="EF669" s="37"/>
      <c r="EG669" s="37"/>
      <c r="EH669" s="37"/>
      <c r="EI669" s="37"/>
      <c r="EJ669" s="37" t="s">
        <v>1124</v>
      </c>
      <c r="EK669" s="161"/>
      <c r="EL669" s="294"/>
    </row>
    <row r="670" spans="1:142" ht="15" customHeight="1" x14ac:dyDescent="0.35">
      <c r="A670" s="34"/>
      <c r="B670" s="313">
        <v>22045</v>
      </c>
      <c r="C670" s="8" t="s">
        <v>161</v>
      </c>
      <c r="D670" s="18">
        <v>3</v>
      </c>
      <c r="E670" s="155">
        <v>157877</v>
      </c>
      <c r="F670" s="36">
        <v>145886</v>
      </c>
      <c r="G670" s="37">
        <v>0</v>
      </c>
      <c r="H670" s="37">
        <v>0</v>
      </c>
      <c r="I670" s="37">
        <v>0</v>
      </c>
      <c r="J670" s="37">
        <v>0</v>
      </c>
      <c r="K670" s="37">
        <v>23682</v>
      </c>
      <c r="L670" s="37">
        <v>21883</v>
      </c>
      <c r="M670" s="37">
        <v>181559</v>
      </c>
      <c r="N670" s="37">
        <v>167769</v>
      </c>
      <c r="O670" s="37">
        <v>0</v>
      </c>
      <c r="P670" s="37">
        <v>0</v>
      </c>
      <c r="Q670" s="37">
        <v>486556</v>
      </c>
      <c r="R670" s="37">
        <v>279112</v>
      </c>
      <c r="S670" s="37">
        <v>425</v>
      </c>
      <c r="T670" s="37">
        <v>0</v>
      </c>
      <c r="U670" s="37">
        <v>0</v>
      </c>
      <c r="V670" s="37">
        <v>0</v>
      </c>
      <c r="W670" s="37">
        <v>0</v>
      </c>
      <c r="X670" s="37">
        <v>0</v>
      </c>
      <c r="Y670" s="37">
        <v>0</v>
      </c>
      <c r="Z670" s="37">
        <v>0</v>
      </c>
      <c r="AA670" s="37">
        <v>486981</v>
      </c>
      <c r="AB670" s="37">
        <v>279112</v>
      </c>
      <c r="AC670" s="37">
        <v>416765</v>
      </c>
      <c r="AD670" s="37">
        <v>0</v>
      </c>
      <c r="AE670" s="37">
        <v>18000</v>
      </c>
      <c r="AF670" s="168">
        <v>0.02</v>
      </c>
      <c r="AG670" s="37">
        <v>71969753.870000005</v>
      </c>
      <c r="AH670" s="37">
        <v>560687.76</v>
      </c>
      <c r="AI670" s="37">
        <v>564473.06000000006</v>
      </c>
      <c r="AJ670" s="37">
        <v>575762.52</v>
      </c>
      <c r="AK670" s="37">
        <v>587277.77</v>
      </c>
      <c r="AL670" s="37">
        <v>599023.32999999996</v>
      </c>
      <c r="AM670" s="37">
        <v>611003.80000000005</v>
      </c>
      <c r="AN670" s="37">
        <v>623223.87</v>
      </c>
      <c r="AO670" s="37">
        <v>635688.35</v>
      </c>
      <c r="AP670" s="37">
        <v>648402.12</v>
      </c>
      <c r="AQ670" s="37">
        <v>661370.16</v>
      </c>
      <c r="AR670" s="37">
        <v>6066912.7400000002</v>
      </c>
      <c r="AS670" s="37">
        <v>2557038</v>
      </c>
      <c r="AT670" s="37">
        <v>0</v>
      </c>
      <c r="AU670" s="37">
        <v>0</v>
      </c>
      <c r="AV670" s="37">
        <v>0</v>
      </c>
      <c r="AW670" s="37">
        <v>0</v>
      </c>
      <c r="AX670" s="37">
        <v>0</v>
      </c>
      <c r="AY670" s="37">
        <v>0</v>
      </c>
      <c r="AZ670" s="37">
        <v>0</v>
      </c>
      <c r="BA670" s="37">
        <v>0</v>
      </c>
      <c r="BB670" s="37">
        <v>0</v>
      </c>
      <c r="BC670" s="37">
        <v>0</v>
      </c>
      <c r="BD670" s="37">
        <v>0</v>
      </c>
      <c r="BE670" s="37">
        <v>0</v>
      </c>
      <c r="BF670" s="37">
        <v>587852</v>
      </c>
      <c r="BG670" s="37">
        <v>680796</v>
      </c>
      <c r="BH670" s="37">
        <v>1726184</v>
      </c>
      <c r="BI670" s="37">
        <v>0</v>
      </c>
      <c r="BJ670" s="37">
        <v>0</v>
      </c>
      <c r="BK670" s="37">
        <v>0</v>
      </c>
      <c r="BL670" s="37">
        <v>0</v>
      </c>
      <c r="BM670" s="37">
        <v>0</v>
      </c>
      <c r="BN670" s="37">
        <v>0</v>
      </c>
      <c r="BO670" s="37">
        <v>0</v>
      </c>
      <c r="BP670" s="37">
        <v>2994832</v>
      </c>
      <c r="BQ670" s="37">
        <v>394975</v>
      </c>
      <c r="BR670" s="37">
        <v>146963</v>
      </c>
      <c r="BS670" s="37">
        <v>170199</v>
      </c>
      <c r="BT670" s="37">
        <v>431546</v>
      </c>
      <c r="BU670" s="37">
        <v>0</v>
      </c>
      <c r="BV670" s="37">
        <v>0</v>
      </c>
      <c r="BW670" s="37">
        <v>0</v>
      </c>
      <c r="BX670" s="37">
        <v>0</v>
      </c>
      <c r="BY670" s="37">
        <v>0</v>
      </c>
      <c r="BZ670" s="37">
        <v>0</v>
      </c>
      <c r="CA670" s="37">
        <v>0</v>
      </c>
      <c r="CB670" s="37">
        <v>748708</v>
      </c>
      <c r="CC670" s="37">
        <v>0</v>
      </c>
      <c r="CD670" s="37">
        <v>0</v>
      </c>
      <c r="CE670" s="37">
        <v>0</v>
      </c>
      <c r="CF670" s="37">
        <v>0</v>
      </c>
      <c r="CG670" s="37">
        <v>0</v>
      </c>
      <c r="CH670" s="37">
        <v>0</v>
      </c>
      <c r="CI670" s="37">
        <v>0</v>
      </c>
      <c r="CJ670" s="37">
        <v>0</v>
      </c>
      <c r="CK670" s="37">
        <v>0</v>
      </c>
      <c r="CL670" s="37">
        <v>0</v>
      </c>
      <c r="CM670" s="37">
        <v>0</v>
      </c>
      <c r="CN670" s="37">
        <v>0</v>
      </c>
      <c r="CO670" s="37">
        <v>0</v>
      </c>
      <c r="CP670" s="37">
        <v>0</v>
      </c>
      <c r="CQ670" s="37">
        <v>0</v>
      </c>
      <c r="CR670" s="37">
        <v>0</v>
      </c>
      <c r="CS670" s="37">
        <v>0</v>
      </c>
      <c r="CT670" s="37">
        <v>0</v>
      </c>
      <c r="CU670" s="37">
        <v>0</v>
      </c>
      <c r="CV670" s="37">
        <v>0</v>
      </c>
      <c r="CW670" s="37">
        <v>0</v>
      </c>
      <c r="CX670" s="37">
        <v>0</v>
      </c>
      <c r="CY670" s="37">
        <v>0</v>
      </c>
      <c r="CZ670" s="37">
        <v>0</v>
      </c>
      <c r="DA670" s="37">
        <v>0</v>
      </c>
      <c r="DB670" s="37">
        <v>0</v>
      </c>
      <c r="DC670" s="37">
        <v>0</v>
      </c>
      <c r="DD670" s="37">
        <v>0</v>
      </c>
      <c r="DE670" s="37">
        <v>0</v>
      </c>
      <c r="DF670" s="37">
        <v>0</v>
      </c>
      <c r="DG670" s="37">
        <v>0</v>
      </c>
      <c r="DH670" s="37">
        <v>0</v>
      </c>
      <c r="DI670" s="37">
        <v>0</v>
      </c>
      <c r="DJ670" s="37">
        <v>0</v>
      </c>
      <c r="DK670" s="37">
        <v>0</v>
      </c>
      <c r="DL670" s="37">
        <v>0</v>
      </c>
      <c r="DM670" s="37">
        <v>0</v>
      </c>
      <c r="DN670" s="37">
        <v>0</v>
      </c>
      <c r="DO670" s="37">
        <v>0</v>
      </c>
      <c r="DP670" s="37">
        <v>0</v>
      </c>
      <c r="DQ670" s="37">
        <v>0</v>
      </c>
      <c r="DR670" s="37">
        <v>0</v>
      </c>
      <c r="DS670" s="37">
        <v>0</v>
      </c>
      <c r="DT670" s="37">
        <v>0</v>
      </c>
      <c r="DU670" s="37">
        <v>0</v>
      </c>
      <c r="DV670" s="37">
        <v>0</v>
      </c>
      <c r="DW670" s="37">
        <v>0</v>
      </c>
      <c r="DX670" s="37">
        <v>0</v>
      </c>
      <c r="DY670" s="37">
        <v>0</v>
      </c>
      <c r="DZ670" s="37">
        <v>0</v>
      </c>
      <c r="EA670" s="37">
        <v>0</v>
      </c>
      <c r="EB670" s="37">
        <v>0</v>
      </c>
      <c r="EC670" s="37">
        <v>0</v>
      </c>
      <c r="ED670" s="37">
        <v>0</v>
      </c>
      <c r="EE670" s="37">
        <v>0</v>
      </c>
      <c r="EF670" s="37">
        <v>0</v>
      </c>
      <c r="EG670" s="37">
        <v>0</v>
      </c>
      <c r="EH670" s="37">
        <v>0</v>
      </c>
      <c r="EI670" s="37">
        <v>0</v>
      </c>
      <c r="EJ670" s="37">
        <v>0</v>
      </c>
      <c r="EK670" s="161" t="s">
        <v>1629</v>
      </c>
      <c r="EL670" s="294" t="s">
        <v>1124</v>
      </c>
    </row>
    <row r="671" spans="1:142" ht="15" customHeight="1" x14ac:dyDescent="0.35">
      <c r="A671" s="34"/>
      <c r="B671" s="313">
        <v>49085</v>
      </c>
      <c r="C671" s="8" t="s">
        <v>475</v>
      </c>
      <c r="D671" s="18">
        <v>17</v>
      </c>
      <c r="E671" s="155">
        <v>40993</v>
      </c>
      <c r="F671" s="36">
        <v>55084</v>
      </c>
      <c r="G671" s="37">
        <v>111519</v>
      </c>
      <c r="H671" s="37">
        <v>0</v>
      </c>
      <c r="I671" s="37">
        <v>46886</v>
      </c>
      <c r="J671" s="37">
        <v>0</v>
      </c>
      <c r="K671" s="37">
        <v>6148.95</v>
      </c>
      <c r="L671" s="37">
        <v>8262.6</v>
      </c>
      <c r="M671" s="37">
        <v>205546.95</v>
      </c>
      <c r="N671" s="37">
        <v>63346.6</v>
      </c>
      <c r="O671" s="37">
        <v>1696.66</v>
      </c>
      <c r="P671" s="37">
        <v>0</v>
      </c>
      <c r="Q671" s="37">
        <v>33950</v>
      </c>
      <c r="R671" s="37">
        <v>21825</v>
      </c>
      <c r="S671" s="37">
        <v>0</v>
      </c>
      <c r="T671" s="37">
        <v>0</v>
      </c>
      <c r="U671" s="37">
        <v>0</v>
      </c>
      <c r="V671" s="37">
        <v>0</v>
      </c>
      <c r="W671" s="37">
        <v>169900.45</v>
      </c>
      <c r="X671" s="37">
        <v>41521.599999999999</v>
      </c>
      <c r="Y671" s="37">
        <v>0</v>
      </c>
      <c r="Z671" s="37">
        <v>0</v>
      </c>
      <c r="AA671" s="37">
        <v>205547.11000000002</v>
      </c>
      <c r="AB671" s="37">
        <v>63346.6</v>
      </c>
      <c r="AC671" s="37">
        <v>0</v>
      </c>
      <c r="AD671" s="37">
        <v>0</v>
      </c>
      <c r="AE671" s="37">
        <v>0</v>
      </c>
      <c r="AF671" s="168">
        <v>0.02</v>
      </c>
      <c r="AG671" s="37">
        <v>6149767.1900000004</v>
      </c>
      <c r="AH671" s="37">
        <v>50116.03</v>
      </c>
      <c r="AI671" s="37">
        <v>49037.55</v>
      </c>
      <c r="AJ671" s="37">
        <v>50018.3</v>
      </c>
      <c r="AK671" s="37">
        <v>51018.67</v>
      </c>
      <c r="AL671" s="37">
        <v>52039.040000000001</v>
      </c>
      <c r="AM671" s="37">
        <v>53079.83</v>
      </c>
      <c r="AN671" s="37">
        <v>54141.42</v>
      </c>
      <c r="AO671" s="37">
        <v>55224.25</v>
      </c>
      <c r="AP671" s="37">
        <v>56328.74</v>
      </c>
      <c r="AQ671" s="37">
        <v>57455.31</v>
      </c>
      <c r="AR671" s="37">
        <v>528459.1399999999</v>
      </c>
      <c r="AS671" s="37">
        <v>0</v>
      </c>
      <c r="AT671" s="37">
        <v>0</v>
      </c>
      <c r="AU671" s="37">
        <v>0</v>
      </c>
      <c r="AV671" s="37">
        <v>0</v>
      </c>
      <c r="AW671" s="37">
        <v>0</v>
      </c>
      <c r="AX671" s="37">
        <v>0</v>
      </c>
      <c r="AY671" s="37">
        <v>0</v>
      </c>
      <c r="AZ671" s="37">
        <v>0</v>
      </c>
      <c r="BA671" s="37">
        <v>0</v>
      </c>
      <c r="BB671" s="37">
        <v>0</v>
      </c>
      <c r="BC671" s="37">
        <v>0</v>
      </c>
      <c r="BD671" s="37">
        <v>0</v>
      </c>
      <c r="BE671" s="37">
        <v>0</v>
      </c>
      <c r="BF671" s="37">
        <v>0</v>
      </c>
      <c r="BG671" s="37">
        <v>0</v>
      </c>
      <c r="BH671" s="37">
        <v>0</v>
      </c>
      <c r="BI671" s="37">
        <v>0</v>
      </c>
      <c r="BJ671" s="37">
        <v>0</v>
      </c>
      <c r="BK671" s="37">
        <v>0</v>
      </c>
      <c r="BL671" s="37">
        <v>0</v>
      </c>
      <c r="BM671" s="37">
        <v>0</v>
      </c>
      <c r="BN671" s="37">
        <v>0</v>
      </c>
      <c r="BO671" s="37">
        <v>0</v>
      </c>
      <c r="BP671" s="37">
        <v>0</v>
      </c>
      <c r="BQ671" s="37">
        <v>0</v>
      </c>
      <c r="BR671" s="37">
        <v>0</v>
      </c>
      <c r="BS671" s="37">
        <v>0</v>
      </c>
      <c r="BT671" s="37">
        <v>0</v>
      </c>
      <c r="BU671" s="37">
        <v>0</v>
      </c>
      <c r="BV671" s="37">
        <v>0</v>
      </c>
      <c r="BW671" s="37">
        <v>0</v>
      </c>
      <c r="BX671" s="37">
        <v>0</v>
      </c>
      <c r="BY671" s="37">
        <v>0</v>
      </c>
      <c r="BZ671" s="37">
        <v>0</v>
      </c>
      <c r="CA671" s="37">
        <v>0</v>
      </c>
      <c r="CB671" s="37">
        <v>0</v>
      </c>
      <c r="CC671" s="37">
        <v>0</v>
      </c>
      <c r="CD671" s="37">
        <v>0</v>
      </c>
      <c r="CE671" s="37">
        <v>0</v>
      </c>
      <c r="CF671" s="37">
        <v>0</v>
      </c>
      <c r="CG671" s="37">
        <v>0</v>
      </c>
      <c r="CH671" s="37">
        <v>0</v>
      </c>
      <c r="CI671" s="37">
        <v>0</v>
      </c>
      <c r="CJ671" s="37">
        <v>0</v>
      </c>
      <c r="CK671" s="37">
        <v>0</v>
      </c>
      <c r="CL671" s="37">
        <v>0</v>
      </c>
      <c r="CM671" s="37">
        <v>0</v>
      </c>
      <c r="CN671" s="37">
        <v>0</v>
      </c>
      <c r="CO671" s="37">
        <v>0</v>
      </c>
      <c r="CP671" s="37">
        <v>0</v>
      </c>
      <c r="CQ671" s="37">
        <v>0</v>
      </c>
      <c r="CR671" s="37">
        <v>0</v>
      </c>
      <c r="CS671" s="37">
        <v>0</v>
      </c>
      <c r="CT671" s="37">
        <v>0</v>
      </c>
      <c r="CU671" s="37">
        <v>0</v>
      </c>
      <c r="CV671" s="37">
        <v>0</v>
      </c>
      <c r="CW671" s="37">
        <v>0</v>
      </c>
      <c r="CX671" s="37">
        <v>0</v>
      </c>
      <c r="CY671" s="37">
        <v>0</v>
      </c>
      <c r="CZ671" s="37">
        <v>0</v>
      </c>
      <c r="DA671" s="37">
        <v>0</v>
      </c>
      <c r="DB671" s="37">
        <v>0</v>
      </c>
      <c r="DC671" s="37">
        <v>0</v>
      </c>
      <c r="DD671" s="37">
        <v>0</v>
      </c>
      <c r="DE671" s="37">
        <v>0</v>
      </c>
      <c r="DF671" s="37">
        <v>0</v>
      </c>
      <c r="DG671" s="37">
        <v>0</v>
      </c>
      <c r="DH671" s="37">
        <v>0</v>
      </c>
      <c r="DI671" s="37">
        <v>0</v>
      </c>
      <c r="DJ671" s="37">
        <v>0</v>
      </c>
      <c r="DK671" s="37">
        <v>0</v>
      </c>
      <c r="DL671" s="37">
        <v>0</v>
      </c>
      <c r="DM671" s="37">
        <v>0</v>
      </c>
      <c r="DN671" s="37">
        <v>0</v>
      </c>
      <c r="DO671" s="37">
        <v>0</v>
      </c>
      <c r="DP671" s="37">
        <v>0</v>
      </c>
      <c r="DQ671" s="37">
        <v>0</v>
      </c>
      <c r="DR671" s="37">
        <v>0</v>
      </c>
      <c r="DS671" s="37">
        <v>0</v>
      </c>
      <c r="DT671" s="37">
        <v>0</v>
      </c>
      <c r="DU671" s="37">
        <v>0</v>
      </c>
      <c r="DV671" s="37">
        <v>0</v>
      </c>
      <c r="DW671" s="37">
        <v>0</v>
      </c>
      <c r="DX671" s="37">
        <v>0</v>
      </c>
      <c r="DY671" s="37">
        <v>0</v>
      </c>
      <c r="DZ671" s="37">
        <v>0</v>
      </c>
      <c r="EA671" s="37">
        <v>0</v>
      </c>
      <c r="EB671" s="37">
        <v>0</v>
      </c>
      <c r="EC671" s="37">
        <v>0</v>
      </c>
      <c r="ED671" s="37">
        <v>0</v>
      </c>
      <c r="EE671" s="37">
        <v>0</v>
      </c>
      <c r="EF671" s="37">
        <v>0</v>
      </c>
      <c r="EG671" s="37">
        <v>0</v>
      </c>
      <c r="EH671" s="37">
        <v>0</v>
      </c>
      <c r="EI671" s="37">
        <v>0</v>
      </c>
      <c r="EJ671" s="37">
        <v>0</v>
      </c>
      <c r="EK671" s="161" t="s">
        <v>1738</v>
      </c>
      <c r="EL671" s="294" t="s">
        <v>1124</v>
      </c>
    </row>
    <row r="672" spans="1:142" ht="15" customHeight="1" x14ac:dyDescent="0.35">
      <c r="A672" s="34"/>
      <c r="B672" s="313">
        <v>67030</v>
      </c>
      <c r="C672" s="8" t="s">
        <v>667</v>
      </c>
      <c r="D672" s="18">
        <v>16</v>
      </c>
      <c r="E672" s="155"/>
      <c r="F672" s="36"/>
      <c r="G672" s="37"/>
      <c r="H672" s="37"/>
      <c r="I672" s="37"/>
      <c r="J672" s="37"/>
      <c r="K672" s="37"/>
      <c r="L672" s="37"/>
      <c r="M672" s="37" t="s">
        <v>1124</v>
      </c>
      <c r="N672" s="37" t="s">
        <v>1124</v>
      </c>
      <c r="O672" s="37"/>
      <c r="P672" s="37"/>
      <c r="Q672" s="37"/>
      <c r="R672" s="37"/>
      <c r="S672" s="37"/>
      <c r="T672" s="37"/>
      <c r="U672" s="37"/>
      <c r="V672" s="37"/>
      <c r="W672" s="37"/>
      <c r="X672" s="37"/>
      <c r="Y672" s="37"/>
      <c r="Z672" s="37"/>
      <c r="AA672" s="37" t="s">
        <v>1124</v>
      </c>
      <c r="AB672" s="37" t="s">
        <v>1124</v>
      </c>
      <c r="AC672" s="37"/>
      <c r="AD672" s="37"/>
      <c r="AE672" s="37"/>
      <c r="AF672" s="168"/>
      <c r="AG672" s="37"/>
      <c r="AH672" s="37"/>
      <c r="AI672" s="37"/>
      <c r="AJ672" s="37"/>
      <c r="AK672" s="37"/>
      <c r="AL672" s="37"/>
      <c r="AM672" s="37"/>
      <c r="AN672" s="37"/>
      <c r="AO672" s="37"/>
      <c r="AP672" s="37"/>
      <c r="AQ672" s="37"/>
      <c r="AR672" s="37" t="s">
        <v>1124</v>
      </c>
      <c r="AS672" s="37"/>
      <c r="AT672" s="37"/>
      <c r="AU672" s="37"/>
      <c r="AV672" s="37"/>
      <c r="AW672" s="37"/>
      <c r="AX672" s="37"/>
      <c r="AY672" s="37"/>
      <c r="AZ672" s="37"/>
      <c r="BA672" s="37"/>
      <c r="BB672" s="37"/>
      <c r="BC672" s="37"/>
      <c r="BD672" s="37" t="s">
        <v>1124</v>
      </c>
      <c r="BE672" s="37"/>
      <c r="BF672" s="37"/>
      <c r="BG672" s="37"/>
      <c r="BH672" s="37"/>
      <c r="BI672" s="37"/>
      <c r="BJ672" s="37"/>
      <c r="BK672" s="37"/>
      <c r="BL672" s="37"/>
      <c r="BM672" s="37"/>
      <c r="BN672" s="37"/>
      <c r="BO672" s="37"/>
      <c r="BP672" s="37">
        <v>0</v>
      </c>
      <c r="BQ672" s="37"/>
      <c r="BR672" s="37"/>
      <c r="BS672" s="37"/>
      <c r="BT672" s="37"/>
      <c r="BU672" s="37"/>
      <c r="BV672" s="37"/>
      <c r="BW672" s="37"/>
      <c r="BX672" s="37"/>
      <c r="BY672" s="37"/>
      <c r="BZ672" s="37"/>
      <c r="CA672" s="37"/>
      <c r="CB672" s="37" t="s">
        <v>1124</v>
      </c>
      <c r="CC672" s="37"/>
      <c r="CD672" s="37"/>
      <c r="CE672" s="37"/>
      <c r="CF672" s="37"/>
      <c r="CG672" s="37"/>
      <c r="CH672" s="37"/>
      <c r="CI672" s="37"/>
      <c r="CJ672" s="37"/>
      <c r="CK672" s="37"/>
      <c r="CL672" s="37"/>
      <c r="CM672" s="37"/>
      <c r="CN672" s="37" t="s">
        <v>1124</v>
      </c>
      <c r="CO672" s="37"/>
      <c r="CP672" s="37"/>
      <c r="CQ672" s="37"/>
      <c r="CR672" s="37"/>
      <c r="CS672" s="37"/>
      <c r="CT672" s="37"/>
      <c r="CU672" s="37"/>
      <c r="CV672" s="37"/>
      <c r="CW672" s="37"/>
      <c r="CX672" s="37"/>
      <c r="CY672" s="37"/>
      <c r="CZ672" s="37" t="s">
        <v>1124</v>
      </c>
      <c r="DA672" s="37"/>
      <c r="DB672" s="37"/>
      <c r="DC672" s="37"/>
      <c r="DD672" s="37"/>
      <c r="DE672" s="37"/>
      <c r="DF672" s="37"/>
      <c r="DG672" s="37"/>
      <c r="DH672" s="37"/>
      <c r="DI672" s="37"/>
      <c r="DJ672" s="37"/>
      <c r="DK672" s="37"/>
      <c r="DL672" s="37" t="s">
        <v>1124</v>
      </c>
      <c r="DM672" s="37"/>
      <c r="DN672" s="37"/>
      <c r="DO672" s="37"/>
      <c r="DP672" s="37"/>
      <c r="DQ672" s="37"/>
      <c r="DR672" s="37"/>
      <c r="DS672" s="37"/>
      <c r="DT672" s="37"/>
      <c r="DU672" s="37"/>
      <c r="DV672" s="37"/>
      <c r="DW672" s="37"/>
      <c r="DX672" s="37" t="s">
        <v>1124</v>
      </c>
      <c r="DY672" s="37"/>
      <c r="DZ672" s="37"/>
      <c r="EA672" s="37"/>
      <c r="EB672" s="37"/>
      <c r="EC672" s="37"/>
      <c r="ED672" s="37"/>
      <c r="EE672" s="37"/>
      <c r="EF672" s="37"/>
      <c r="EG672" s="37"/>
      <c r="EH672" s="37"/>
      <c r="EI672" s="37"/>
      <c r="EJ672" s="37" t="s">
        <v>1124</v>
      </c>
      <c r="EK672" s="161"/>
      <c r="EL672" s="294"/>
    </row>
    <row r="673" spans="1:142" ht="15" customHeight="1" x14ac:dyDescent="0.35">
      <c r="A673" s="34"/>
      <c r="B673" s="313">
        <v>45060</v>
      </c>
      <c r="C673" s="8" t="s">
        <v>418</v>
      </c>
      <c r="D673" s="18">
        <v>5</v>
      </c>
      <c r="E673" s="155"/>
      <c r="F673" s="36"/>
      <c r="G673" s="37"/>
      <c r="H673" s="37"/>
      <c r="I673" s="37"/>
      <c r="J673" s="37"/>
      <c r="K673" s="37"/>
      <c r="L673" s="37"/>
      <c r="M673" s="37" t="s">
        <v>1124</v>
      </c>
      <c r="N673" s="37" t="s">
        <v>1124</v>
      </c>
      <c r="O673" s="37"/>
      <c r="P673" s="37"/>
      <c r="Q673" s="37"/>
      <c r="R673" s="37"/>
      <c r="S673" s="37"/>
      <c r="T673" s="37"/>
      <c r="U673" s="37"/>
      <c r="V673" s="37"/>
      <c r="W673" s="37"/>
      <c r="X673" s="37"/>
      <c r="Y673" s="37"/>
      <c r="Z673" s="37"/>
      <c r="AA673" s="37" t="s">
        <v>1124</v>
      </c>
      <c r="AB673" s="37" t="s">
        <v>1124</v>
      </c>
      <c r="AC673" s="37"/>
      <c r="AD673" s="37"/>
      <c r="AE673" s="37"/>
      <c r="AF673" s="168"/>
      <c r="AG673" s="37"/>
      <c r="AH673" s="37"/>
      <c r="AI673" s="37"/>
      <c r="AJ673" s="37"/>
      <c r="AK673" s="37"/>
      <c r="AL673" s="37"/>
      <c r="AM673" s="37"/>
      <c r="AN673" s="37"/>
      <c r="AO673" s="37"/>
      <c r="AP673" s="37"/>
      <c r="AQ673" s="37"/>
      <c r="AR673" s="37" t="s">
        <v>1124</v>
      </c>
      <c r="AS673" s="37"/>
      <c r="AT673" s="37"/>
      <c r="AU673" s="37"/>
      <c r="AV673" s="37"/>
      <c r="AW673" s="37"/>
      <c r="AX673" s="37"/>
      <c r="AY673" s="37"/>
      <c r="AZ673" s="37"/>
      <c r="BA673" s="37"/>
      <c r="BB673" s="37"/>
      <c r="BC673" s="37"/>
      <c r="BD673" s="37" t="s">
        <v>1124</v>
      </c>
      <c r="BE673" s="37"/>
      <c r="BF673" s="37"/>
      <c r="BG673" s="37"/>
      <c r="BH673" s="37"/>
      <c r="BI673" s="37"/>
      <c r="BJ673" s="37"/>
      <c r="BK673" s="37"/>
      <c r="BL673" s="37"/>
      <c r="BM673" s="37"/>
      <c r="BN673" s="37"/>
      <c r="BO673" s="37"/>
      <c r="BP673" s="37">
        <v>0</v>
      </c>
      <c r="BQ673" s="37"/>
      <c r="BR673" s="37"/>
      <c r="BS673" s="37"/>
      <c r="BT673" s="37"/>
      <c r="BU673" s="37"/>
      <c r="BV673" s="37"/>
      <c r="BW673" s="37"/>
      <c r="BX673" s="37"/>
      <c r="BY673" s="37"/>
      <c r="BZ673" s="37"/>
      <c r="CA673" s="37"/>
      <c r="CB673" s="37" t="s">
        <v>1124</v>
      </c>
      <c r="CC673" s="37"/>
      <c r="CD673" s="37"/>
      <c r="CE673" s="37"/>
      <c r="CF673" s="37"/>
      <c r="CG673" s="37"/>
      <c r="CH673" s="37"/>
      <c r="CI673" s="37"/>
      <c r="CJ673" s="37"/>
      <c r="CK673" s="37"/>
      <c r="CL673" s="37"/>
      <c r="CM673" s="37"/>
      <c r="CN673" s="37" t="s">
        <v>1124</v>
      </c>
      <c r="CO673" s="37"/>
      <c r="CP673" s="37"/>
      <c r="CQ673" s="37"/>
      <c r="CR673" s="37"/>
      <c r="CS673" s="37"/>
      <c r="CT673" s="37"/>
      <c r="CU673" s="37"/>
      <c r="CV673" s="37"/>
      <c r="CW673" s="37"/>
      <c r="CX673" s="37"/>
      <c r="CY673" s="37"/>
      <c r="CZ673" s="37" t="s">
        <v>1124</v>
      </c>
      <c r="DA673" s="37"/>
      <c r="DB673" s="37"/>
      <c r="DC673" s="37"/>
      <c r="DD673" s="37"/>
      <c r="DE673" s="37"/>
      <c r="DF673" s="37"/>
      <c r="DG673" s="37"/>
      <c r="DH673" s="37"/>
      <c r="DI673" s="37"/>
      <c r="DJ673" s="37"/>
      <c r="DK673" s="37"/>
      <c r="DL673" s="37" t="s">
        <v>1124</v>
      </c>
      <c r="DM673" s="37"/>
      <c r="DN673" s="37"/>
      <c r="DO673" s="37"/>
      <c r="DP673" s="37"/>
      <c r="DQ673" s="37"/>
      <c r="DR673" s="37"/>
      <c r="DS673" s="37"/>
      <c r="DT673" s="37"/>
      <c r="DU673" s="37"/>
      <c r="DV673" s="37"/>
      <c r="DW673" s="37"/>
      <c r="DX673" s="37" t="s">
        <v>1124</v>
      </c>
      <c r="DY673" s="37"/>
      <c r="DZ673" s="37"/>
      <c r="EA673" s="37"/>
      <c r="EB673" s="37"/>
      <c r="EC673" s="37"/>
      <c r="ED673" s="37"/>
      <c r="EE673" s="37"/>
      <c r="EF673" s="37"/>
      <c r="EG673" s="37"/>
      <c r="EH673" s="37"/>
      <c r="EI673" s="37"/>
      <c r="EJ673" s="37" t="s">
        <v>1124</v>
      </c>
      <c r="EK673" s="161"/>
      <c r="EL673" s="294"/>
    </row>
    <row r="674" spans="1:142" ht="15" customHeight="1" x14ac:dyDescent="0.35">
      <c r="A674" s="34"/>
      <c r="B674" s="313">
        <v>22005</v>
      </c>
      <c r="C674" s="8" t="s">
        <v>153</v>
      </c>
      <c r="D674" s="18">
        <v>3</v>
      </c>
      <c r="E674" s="155">
        <v>491528.97999999992</v>
      </c>
      <c r="F674" s="36">
        <v>228334.24</v>
      </c>
      <c r="G674" s="37">
        <v>110458</v>
      </c>
      <c r="H674" s="37">
        <v>124171</v>
      </c>
      <c r="I674" s="37">
        <v>204327.85</v>
      </c>
      <c r="J674" s="37">
        <v>119288.6</v>
      </c>
      <c r="K674" s="37">
        <v>120947.22449999998</v>
      </c>
      <c r="L674" s="37">
        <v>70769.075999999986</v>
      </c>
      <c r="M674" s="37">
        <v>927262.05449999985</v>
      </c>
      <c r="N674" s="37">
        <v>542562.91599999997</v>
      </c>
      <c r="O674" s="37">
        <v>69253</v>
      </c>
      <c r="P674" s="37">
        <v>0</v>
      </c>
      <c r="Q674" s="37">
        <v>363744.65</v>
      </c>
      <c r="R674" s="37">
        <v>282808.78999999998</v>
      </c>
      <c r="S674" s="37">
        <v>18242</v>
      </c>
      <c r="T674" s="37">
        <v>17316</v>
      </c>
      <c r="U674" s="37">
        <v>21218</v>
      </c>
      <c r="V674" s="37">
        <v>10391</v>
      </c>
      <c r="W674" s="37">
        <v>454804</v>
      </c>
      <c r="X674" s="37">
        <v>232048</v>
      </c>
      <c r="Y674" s="37">
        <v>0</v>
      </c>
      <c r="Z674" s="37">
        <v>0</v>
      </c>
      <c r="AA674" s="37">
        <v>927261.65</v>
      </c>
      <c r="AB674" s="37">
        <v>542563.79</v>
      </c>
      <c r="AC674" s="37">
        <v>0</v>
      </c>
      <c r="AD674" s="37">
        <v>0</v>
      </c>
      <c r="AE674" s="37">
        <v>0</v>
      </c>
      <c r="AF674" s="168">
        <v>0.02</v>
      </c>
      <c r="AG674" s="37">
        <v>68930732.629999995</v>
      </c>
      <c r="AH674" s="37">
        <v>607727.89</v>
      </c>
      <c r="AI674" s="37">
        <v>603964.32999999996</v>
      </c>
      <c r="AJ674" s="37">
        <v>637692.25</v>
      </c>
      <c r="AK674" s="37">
        <v>661486.91</v>
      </c>
      <c r="AL674" s="37">
        <v>714132.33</v>
      </c>
      <c r="AM674" s="37">
        <v>699697.84</v>
      </c>
      <c r="AN674" s="37">
        <v>688305.84</v>
      </c>
      <c r="AO674" s="37">
        <v>666219.18000000005</v>
      </c>
      <c r="AP674" s="37">
        <v>679543.56</v>
      </c>
      <c r="AQ674" s="37">
        <v>693134.43</v>
      </c>
      <c r="AR674" s="37">
        <v>6651904.5599999996</v>
      </c>
      <c r="AS674" s="37">
        <v>2786171.43</v>
      </c>
      <c r="AT674" s="37">
        <v>1269288</v>
      </c>
      <c r="AU674" s="37">
        <v>424483.2</v>
      </c>
      <c r="AV674" s="37">
        <v>1915904.92</v>
      </c>
      <c r="AW674" s="37">
        <v>4526731.29</v>
      </c>
      <c r="AX674" s="37">
        <v>563081.21</v>
      </c>
      <c r="AY674" s="37">
        <v>172302.85</v>
      </c>
      <c r="AZ674" s="37">
        <v>585829.68999999994</v>
      </c>
      <c r="BA674" s="37">
        <v>179263.89</v>
      </c>
      <c r="BB674" s="37">
        <v>609497.21</v>
      </c>
      <c r="BC674" s="37">
        <v>0</v>
      </c>
      <c r="BD674" s="37">
        <v>10246382.26</v>
      </c>
      <c r="BE674" s="37">
        <v>0</v>
      </c>
      <c r="BF674" s="37">
        <v>202316</v>
      </c>
      <c r="BG674" s="37">
        <v>997199</v>
      </c>
      <c r="BH674" s="37">
        <v>95625</v>
      </c>
      <c r="BI674" s="37">
        <v>2672029</v>
      </c>
      <c r="BJ674" s="37">
        <v>0</v>
      </c>
      <c r="BK674" s="37">
        <v>0</v>
      </c>
      <c r="BL674" s="37">
        <v>0</v>
      </c>
      <c r="BM674" s="37">
        <v>0</v>
      </c>
      <c r="BN674" s="37">
        <v>0</v>
      </c>
      <c r="BO674" s="37">
        <v>0</v>
      </c>
      <c r="BP674" s="37">
        <v>3967169</v>
      </c>
      <c r="BQ674" s="37">
        <v>0</v>
      </c>
      <c r="BR674" s="37">
        <v>50579</v>
      </c>
      <c r="BS674" s="37">
        <v>249301</v>
      </c>
      <c r="BT674" s="37">
        <v>23906</v>
      </c>
      <c r="BU674" s="37">
        <v>0</v>
      </c>
      <c r="BV674" s="37">
        <v>0</v>
      </c>
      <c r="BW674" s="37">
        <v>0</v>
      </c>
      <c r="BX674" s="37">
        <v>0</v>
      </c>
      <c r="BY674" s="37">
        <v>0</v>
      </c>
      <c r="BZ674" s="37">
        <v>0</v>
      </c>
      <c r="CA674" s="37">
        <v>0</v>
      </c>
      <c r="CB674" s="37">
        <v>323786</v>
      </c>
      <c r="CC674" s="37">
        <v>0</v>
      </c>
      <c r="CD674" s="37">
        <v>0</v>
      </c>
      <c r="CE674" s="37">
        <v>0</v>
      </c>
      <c r="CF674" s="37">
        <v>0</v>
      </c>
      <c r="CG674" s="37">
        <v>0</v>
      </c>
      <c r="CH674" s="37">
        <v>0</v>
      </c>
      <c r="CI674" s="37">
        <v>0</v>
      </c>
      <c r="CJ674" s="37">
        <v>0</v>
      </c>
      <c r="CK674" s="37">
        <v>0</v>
      </c>
      <c r="CL674" s="37">
        <v>0</v>
      </c>
      <c r="CM674" s="37">
        <v>0</v>
      </c>
      <c r="CN674" s="37">
        <v>0</v>
      </c>
      <c r="CO674" s="37">
        <v>0</v>
      </c>
      <c r="CP674" s="37">
        <v>0</v>
      </c>
      <c r="CQ674" s="37">
        <v>0</v>
      </c>
      <c r="CR674" s="37">
        <v>0</v>
      </c>
      <c r="CS674" s="37">
        <v>0</v>
      </c>
      <c r="CT674" s="37">
        <v>0</v>
      </c>
      <c r="CU674" s="37">
        <v>0</v>
      </c>
      <c r="CV674" s="37">
        <v>0</v>
      </c>
      <c r="CW674" s="37">
        <v>0</v>
      </c>
      <c r="CX674" s="37">
        <v>0</v>
      </c>
      <c r="CY674" s="37">
        <v>0</v>
      </c>
      <c r="CZ674" s="37">
        <v>0</v>
      </c>
      <c r="DA674" s="37">
        <v>0</v>
      </c>
      <c r="DB674" s="37">
        <v>0</v>
      </c>
      <c r="DC674" s="37">
        <v>0</v>
      </c>
      <c r="DD674" s="37">
        <v>0</v>
      </c>
      <c r="DE674" s="37">
        <v>0</v>
      </c>
      <c r="DF674" s="37">
        <v>0</v>
      </c>
      <c r="DG674" s="37">
        <v>0</v>
      </c>
      <c r="DH674" s="37">
        <v>0</v>
      </c>
      <c r="DI674" s="37">
        <v>0</v>
      </c>
      <c r="DJ674" s="37">
        <v>0</v>
      </c>
      <c r="DK674" s="37">
        <v>0</v>
      </c>
      <c r="DL674" s="37">
        <v>0</v>
      </c>
      <c r="DM674" s="37">
        <v>0</v>
      </c>
      <c r="DN674" s="37">
        <v>0</v>
      </c>
      <c r="DO674" s="37">
        <v>0</v>
      </c>
      <c r="DP674" s="37">
        <v>0</v>
      </c>
      <c r="DQ674" s="37">
        <v>0</v>
      </c>
      <c r="DR674" s="37">
        <v>0</v>
      </c>
      <c r="DS674" s="37">
        <v>0</v>
      </c>
      <c r="DT674" s="37">
        <v>0</v>
      </c>
      <c r="DU674" s="37">
        <v>0</v>
      </c>
      <c r="DV674" s="37">
        <v>0</v>
      </c>
      <c r="DW674" s="37">
        <v>0</v>
      </c>
      <c r="DX674" s="37">
        <v>0</v>
      </c>
      <c r="DY674" s="37">
        <v>0</v>
      </c>
      <c r="DZ674" s="37">
        <v>0</v>
      </c>
      <c r="EA674" s="37">
        <v>0</v>
      </c>
      <c r="EB674" s="37">
        <v>0</v>
      </c>
      <c r="EC674" s="37">
        <v>0</v>
      </c>
      <c r="ED674" s="37">
        <v>0</v>
      </c>
      <c r="EE674" s="37">
        <v>0</v>
      </c>
      <c r="EF674" s="37">
        <v>0</v>
      </c>
      <c r="EG674" s="37">
        <v>0</v>
      </c>
      <c r="EH674" s="37">
        <v>0</v>
      </c>
      <c r="EI674" s="37">
        <v>0</v>
      </c>
      <c r="EJ674" s="37">
        <v>0</v>
      </c>
      <c r="EK674" s="161" t="s">
        <v>2819</v>
      </c>
      <c r="EL674" s="294" t="s">
        <v>1124</v>
      </c>
    </row>
    <row r="675" spans="1:142" ht="15" customHeight="1" x14ac:dyDescent="0.35">
      <c r="A675" s="34"/>
      <c r="B675" s="313">
        <v>38060</v>
      </c>
      <c r="C675" s="8" t="s">
        <v>334</v>
      </c>
      <c r="D675" s="18">
        <v>17</v>
      </c>
      <c r="E675" s="155">
        <v>51652</v>
      </c>
      <c r="F675" s="36">
        <v>13214</v>
      </c>
      <c r="G675" s="37">
        <v>13045</v>
      </c>
      <c r="H675" s="37">
        <v>0</v>
      </c>
      <c r="I675" s="37">
        <v>20700</v>
      </c>
      <c r="J675" s="37">
        <v>0</v>
      </c>
      <c r="K675" s="37">
        <v>7747.7999999999993</v>
      </c>
      <c r="L675" s="37">
        <v>1982.1</v>
      </c>
      <c r="M675" s="37">
        <v>93144.8</v>
      </c>
      <c r="N675" s="37">
        <v>15196.1</v>
      </c>
      <c r="O675" s="37">
        <v>0</v>
      </c>
      <c r="P675" s="37">
        <v>0</v>
      </c>
      <c r="Q675" s="37">
        <v>72438</v>
      </c>
      <c r="R675" s="37">
        <v>32830</v>
      </c>
      <c r="S675" s="37">
        <v>1381</v>
      </c>
      <c r="T675" s="37">
        <v>4244</v>
      </c>
      <c r="U675" s="37">
        <v>0</v>
      </c>
      <c r="V675" s="37">
        <v>0</v>
      </c>
      <c r="W675" s="37">
        <v>0</v>
      </c>
      <c r="X675" s="37">
        <v>0</v>
      </c>
      <c r="Y675" s="37">
        <v>0</v>
      </c>
      <c r="Z675" s="37">
        <v>0</v>
      </c>
      <c r="AA675" s="37">
        <v>73819</v>
      </c>
      <c r="AB675" s="37">
        <v>37074</v>
      </c>
      <c r="AC675" s="37">
        <v>2552</v>
      </c>
      <c r="AD675" s="37">
        <v>2552</v>
      </c>
      <c r="AE675" s="37">
        <v>2552</v>
      </c>
      <c r="AF675" s="168">
        <v>0.02</v>
      </c>
      <c r="AG675" s="37">
        <v>12875475.449999999</v>
      </c>
      <c r="AH675" s="37">
        <v>154382.84</v>
      </c>
      <c r="AI675" s="37">
        <v>157470.49</v>
      </c>
      <c r="AJ675" s="37">
        <v>160619.9</v>
      </c>
      <c r="AK675" s="37">
        <v>163832.29999999999</v>
      </c>
      <c r="AL675" s="37">
        <v>167108.95000000001</v>
      </c>
      <c r="AM675" s="37">
        <v>170451.13</v>
      </c>
      <c r="AN675" s="37">
        <v>173860.15</v>
      </c>
      <c r="AO675" s="37">
        <v>177337.35</v>
      </c>
      <c r="AP675" s="37">
        <v>180884.1</v>
      </c>
      <c r="AQ675" s="37">
        <v>184501.78</v>
      </c>
      <c r="AR675" s="37">
        <v>1690448.99</v>
      </c>
      <c r="AS675" s="37">
        <v>804697.38</v>
      </c>
      <c r="AT675" s="37">
        <v>0</v>
      </c>
      <c r="AU675" s="37">
        <v>0</v>
      </c>
      <c r="AV675" s="37">
        <v>0</v>
      </c>
      <c r="AW675" s="37">
        <v>0</v>
      </c>
      <c r="AX675" s="37">
        <v>0</v>
      </c>
      <c r="AY675" s="37">
        <v>0</v>
      </c>
      <c r="AZ675" s="37">
        <v>0</v>
      </c>
      <c r="BA675" s="37">
        <v>0</v>
      </c>
      <c r="BB675" s="37">
        <v>0</v>
      </c>
      <c r="BC675" s="37">
        <v>0</v>
      </c>
      <c r="BD675" s="37">
        <v>0</v>
      </c>
      <c r="BE675" s="37">
        <v>0</v>
      </c>
      <c r="BF675" s="37">
        <v>0</v>
      </c>
      <c r="BG675" s="37">
        <v>0</v>
      </c>
      <c r="BH675" s="37">
        <v>0</v>
      </c>
      <c r="BI675" s="37">
        <v>0</v>
      </c>
      <c r="BJ675" s="37">
        <v>0</v>
      </c>
      <c r="BK675" s="37">
        <v>0</v>
      </c>
      <c r="BL675" s="37">
        <v>0</v>
      </c>
      <c r="BM675" s="37">
        <v>0</v>
      </c>
      <c r="BN675" s="37">
        <v>0</v>
      </c>
      <c r="BO675" s="37">
        <v>0</v>
      </c>
      <c r="BP675" s="37">
        <v>0</v>
      </c>
      <c r="BQ675" s="37">
        <v>0</v>
      </c>
      <c r="BR675" s="37">
        <v>0</v>
      </c>
      <c r="BS675" s="37">
        <v>0</v>
      </c>
      <c r="BT675" s="37">
        <v>0</v>
      </c>
      <c r="BU675" s="37">
        <v>0</v>
      </c>
      <c r="BV675" s="37">
        <v>0</v>
      </c>
      <c r="BW675" s="37">
        <v>0</v>
      </c>
      <c r="BX675" s="37">
        <v>0</v>
      </c>
      <c r="BY675" s="37">
        <v>0</v>
      </c>
      <c r="BZ675" s="37">
        <v>0</v>
      </c>
      <c r="CA675" s="37">
        <v>0</v>
      </c>
      <c r="CB675" s="37">
        <v>0</v>
      </c>
      <c r="CC675" s="37">
        <v>0</v>
      </c>
      <c r="CD675" s="37">
        <v>0</v>
      </c>
      <c r="CE675" s="37">
        <v>0</v>
      </c>
      <c r="CF675" s="37">
        <v>0</v>
      </c>
      <c r="CG675" s="37">
        <v>0</v>
      </c>
      <c r="CH675" s="37">
        <v>0</v>
      </c>
      <c r="CI675" s="37">
        <v>0</v>
      </c>
      <c r="CJ675" s="37">
        <v>0</v>
      </c>
      <c r="CK675" s="37">
        <v>0</v>
      </c>
      <c r="CL675" s="37">
        <v>0</v>
      </c>
      <c r="CM675" s="37">
        <v>0</v>
      </c>
      <c r="CN675" s="37">
        <v>0</v>
      </c>
      <c r="CO675" s="37">
        <v>0</v>
      </c>
      <c r="CP675" s="37">
        <v>0</v>
      </c>
      <c r="CQ675" s="37">
        <v>0</v>
      </c>
      <c r="CR675" s="37">
        <v>0</v>
      </c>
      <c r="CS675" s="37">
        <v>0</v>
      </c>
      <c r="CT675" s="37">
        <v>0</v>
      </c>
      <c r="CU675" s="37">
        <v>0</v>
      </c>
      <c r="CV675" s="37">
        <v>0</v>
      </c>
      <c r="CW675" s="37">
        <v>0</v>
      </c>
      <c r="CX675" s="37">
        <v>0</v>
      </c>
      <c r="CY675" s="37">
        <v>0</v>
      </c>
      <c r="CZ675" s="37">
        <v>0</v>
      </c>
      <c r="DA675" s="37">
        <v>0</v>
      </c>
      <c r="DB675" s="37">
        <v>0</v>
      </c>
      <c r="DC675" s="37">
        <v>0</v>
      </c>
      <c r="DD675" s="37">
        <v>0</v>
      </c>
      <c r="DE675" s="37">
        <v>0</v>
      </c>
      <c r="DF675" s="37">
        <v>0</v>
      </c>
      <c r="DG675" s="37">
        <v>0</v>
      </c>
      <c r="DH675" s="37">
        <v>0</v>
      </c>
      <c r="DI675" s="37">
        <v>0</v>
      </c>
      <c r="DJ675" s="37">
        <v>0</v>
      </c>
      <c r="DK675" s="37">
        <v>0</v>
      </c>
      <c r="DL675" s="37">
        <v>0</v>
      </c>
      <c r="DM675" s="37">
        <v>0</v>
      </c>
      <c r="DN675" s="37">
        <v>0</v>
      </c>
      <c r="DO675" s="37">
        <v>0</v>
      </c>
      <c r="DP675" s="37">
        <v>0</v>
      </c>
      <c r="DQ675" s="37">
        <v>0</v>
      </c>
      <c r="DR675" s="37">
        <v>0</v>
      </c>
      <c r="DS675" s="37">
        <v>0</v>
      </c>
      <c r="DT675" s="37">
        <v>0</v>
      </c>
      <c r="DU675" s="37">
        <v>0</v>
      </c>
      <c r="DV675" s="37">
        <v>0</v>
      </c>
      <c r="DW675" s="37">
        <v>0</v>
      </c>
      <c r="DX675" s="37">
        <v>0</v>
      </c>
      <c r="DY675" s="37">
        <v>0</v>
      </c>
      <c r="DZ675" s="37">
        <v>0</v>
      </c>
      <c r="EA675" s="37">
        <v>0</v>
      </c>
      <c r="EB675" s="37">
        <v>0</v>
      </c>
      <c r="EC675" s="37">
        <v>0</v>
      </c>
      <c r="ED675" s="37">
        <v>0</v>
      </c>
      <c r="EE675" s="37">
        <v>0</v>
      </c>
      <c r="EF675" s="37">
        <v>0</v>
      </c>
      <c r="EG675" s="37">
        <v>0</v>
      </c>
      <c r="EH675" s="37">
        <v>0</v>
      </c>
      <c r="EI675" s="37">
        <v>0</v>
      </c>
      <c r="EJ675" s="37">
        <v>0</v>
      </c>
      <c r="EK675" s="161" t="s">
        <v>1543</v>
      </c>
      <c r="EL675" s="294" t="s">
        <v>1124</v>
      </c>
    </row>
    <row r="676" spans="1:142" ht="15" customHeight="1" x14ac:dyDescent="0.35">
      <c r="A676" s="34"/>
      <c r="B676" s="313">
        <v>47055</v>
      </c>
      <c r="C676" s="8" t="s">
        <v>455</v>
      </c>
      <c r="D676" s="18">
        <v>5</v>
      </c>
      <c r="E676" s="155"/>
      <c r="F676" s="36"/>
      <c r="G676" s="37"/>
      <c r="H676" s="37"/>
      <c r="I676" s="37"/>
      <c r="J676" s="37"/>
      <c r="K676" s="37"/>
      <c r="L676" s="37"/>
      <c r="M676" s="37" t="s">
        <v>1124</v>
      </c>
      <c r="N676" s="37" t="s">
        <v>1124</v>
      </c>
      <c r="O676" s="37"/>
      <c r="P676" s="37"/>
      <c r="Q676" s="37"/>
      <c r="R676" s="37"/>
      <c r="S676" s="37"/>
      <c r="T676" s="37"/>
      <c r="U676" s="37"/>
      <c r="V676" s="37"/>
      <c r="W676" s="37"/>
      <c r="X676" s="37"/>
      <c r="Y676" s="37"/>
      <c r="Z676" s="37"/>
      <c r="AA676" s="37" t="s">
        <v>1124</v>
      </c>
      <c r="AB676" s="37" t="s">
        <v>1124</v>
      </c>
      <c r="AC676" s="37"/>
      <c r="AD676" s="37"/>
      <c r="AE676" s="37"/>
      <c r="AF676" s="168"/>
      <c r="AG676" s="37"/>
      <c r="AH676" s="37"/>
      <c r="AI676" s="37"/>
      <c r="AJ676" s="37"/>
      <c r="AK676" s="37"/>
      <c r="AL676" s="37"/>
      <c r="AM676" s="37"/>
      <c r="AN676" s="37"/>
      <c r="AO676" s="37"/>
      <c r="AP676" s="37"/>
      <c r="AQ676" s="37"/>
      <c r="AR676" s="37" t="s">
        <v>1124</v>
      </c>
      <c r="AS676" s="37"/>
      <c r="AT676" s="37"/>
      <c r="AU676" s="37"/>
      <c r="AV676" s="37"/>
      <c r="AW676" s="37"/>
      <c r="AX676" s="37"/>
      <c r="AY676" s="37"/>
      <c r="AZ676" s="37"/>
      <c r="BA676" s="37"/>
      <c r="BB676" s="37"/>
      <c r="BC676" s="37"/>
      <c r="BD676" s="37" t="s">
        <v>1124</v>
      </c>
      <c r="BE676" s="37"/>
      <c r="BF676" s="37"/>
      <c r="BG676" s="37"/>
      <c r="BH676" s="37"/>
      <c r="BI676" s="37"/>
      <c r="BJ676" s="37"/>
      <c r="BK676" s="37"/>
      <c r="BL676" s="37"/>
      <c r="BM676" s="37"/>
      <c r="BN676" s="37"/>
      <c r="BO676" s="37"/>
      <c r="BP676" s="37">
        <v>0</v>
      </c>
      <c r="BQ676" s="37"/>
      <c r="BR676" s="37"/>
      <c r="BS676" s="37"/>
      <c r="BT676" s="37"/>
      <c r="BU676" s="37"/>
      <c r="BV676" s="37"/>
      <c r="BW676" s="37"/>
      <c r="BX676" s="37"/>
      <c r="BY676" s="37"/>
      <c r="BZ676" s="37"/>
      <c r="CA676" s="37"/>
      <c r="CB676" s="37" t="s">
        <v>1124</v>
      </c>
      <c r="CC676" s="37"/>
      <c r="CD676" s="37"/>
      <c r="CE676" s="37"/>
      <c r="CF676" s="37"/>
      <c r="CG676" s="37"/>
      <c r="CH676" s="37"/>
      <c r="CI676" s="37"/>
      <c r="CJ676" s="37"/>
      <c r="CK676" s="37"/>
      <c r="CL676" s="37"/>
      <c r="CM676" s="37"/>
      <c r="CN676" s="37" t="s">
        <v>1124</v>
      </c>
      <c r="CO676" s="37"/>
      <c r="CP676" s="37"/>
      <c r="CQ676" s="37"/>
      <c r="CR676" s="37"/>
      <c r="CS676" s="37"/>
      <c r="CT676" s="37"/>
      <c r="CU676" s="37"/>
      <c r="CV676" s="37"/>
      <c r="CW676" s="37"/>
      <c r="CX676" s="37"/>
      <c r="CY676" s="37"/>
      <c r="CZ676" s="37" t="s">
        <v>1124</v>
      </c>
      <c r="DA676" s="37"/>
      <c r="DB676" s="37"/>
      <c r="DC676" s="37"/>
      <c r="DD676" s="37"/>
      <c r="DE676" s="37"/>
      <c r="DF676" s="37"/>
      <c r="DG676" s="37"/>
      <c r="DH676" s="37"/>
      <c r="DI676" s="37"/>
      <c r="DJ676" s="37"/>
      <c r="DK676" s="37"/>
      <c r="DL676" s="37" t="s">
        <v>1124</v>
      </c>
      <c r="DM676" s="37"/>
      <c r="DN676" s="37"/>
      <c r="DO676" s="37"/>
      <c r="DP676" s="37"/>
      <c r="DQ676" s="37"/>
      <c r="DR676" s="37"/>
      <c r="DS676" s="37"/>
      <c r="DT676" s="37"/>
      <c r="DU676" s="37"/>
      <c r="DV676" s="37"/>
      <c r="DW676" s="37"/>
      <c r="DX676" s="37" t="s">
        <v>1124</v>
      </c>
      <c r="DY676" s="37"/>
      <c r="DZ676" s="37"/>
      <c r="EA676" s="37"/>
      <c r="EB676" s="37"/>
      <c r="EC676" s="37"/>
      <c r="ED676" s="37"/>
      <c r="EE676" s="37"/>
      <c r="EF676" s="37"/>
      <c r="EG676" s="37"/>
      <c r="EH676" s="37"/>
      <c r="EI676" s="37"/>
      <c r="EJ676" s="37" t="s">
        <v>1124</v>
      </c>
      <c r="EK676" s="161"/>
      <c r="EL676" s="294"/>
    </row>
    <row r="677" spans="1:142" ht="15" customHeight="1" x14ac:dyDescent="0.35">
      <c r="A677" s="34"/>
      <c r="B677" s="313">
        <v>30050</v>
      </c>
      <c r="C677" s="8" t="s">
        <v>226</v>
      </c>
      <c r="D677" s="18">
        <v>5</v>
      </c>
      <c r="E677" s="155">
        <v>18487</v>
      </c>
      <c r="F677" s="36">
        <v>78804</v>
      </c>
      <c r="G677" s="37">
        <v>9614</v>
      </c>
      <c r="H677" s="37">
        <v>43834</v>
      </c>
      <c r="I677" s="37">
        <v>27250</v>
      </c>
      <c r="J677" s="37">
        <v>92685</v>
      </c>
      <c r="K677" s="37">
        <v>2773.0499999999997</v>
      </c>
      <c r="L677" s="37">
        <v>11820.6</v>
      </c>
      <c r="M677" s="37">
        <v>58124.05</v>
      </c>
      <c r="N677" s="37">
        <v>227143.6</v>
      </c>
      <c r="O677" s="37">
        <v>10219.5</v>
      </c>
      <c r="P677" s="37">
        <v>0</v>
      </c>
      <c r="Q677" s="37">
        <v>23196.51</v>
      </c>
      <c r="R677" s="37">
        <v>22726.85</v>
      </c>
      <c r="S677" s="37">
        <v>0</v>
      </c>
      <c r="T677" s="37">
        <v>0</v>
      </c>
      <c r="U677" s="37">
        <v>0</v>
      </c>
      <c r="V677" s="37">
        <v>0</v>
      </c>
      <c r="W677" s="37">
        <v>24708.040000000005</v>
      </c>
      <c r="X677" s="37">
        <v>204416.75</v>
      </c>
      <c r="Y677" s="37">
        <v>0</v>
      </c>
      <c r="Z677" s="37">
        <v>0</v>
      </c>
      <c r="AA677" s="37">
        <v>58124.05</v>
      </c>
      <c r="AB677" s="37">
        <v>227143.6</v>
      </c>
      <c r="AC677" s="37">
        <v>0</v>
      </c>
      <c r="AD677" s="37">
        <v>0</v>
      </c>
      <c r="AE677" s="37">
        <v>0</v>
      </c>
      <c r="AF677" s="168">
        <v>0.02</v>
      </c>
      <c r="AG677" s="37">
        <v>11231597.76</v>
      </c>
      <c r="AH677" s="37">
        <v>65652.240000000005</v>
      </c>
      <c r="AI677" s="37">
        <v>66965.279999999999</v>
      </c>
      <c r="AJ677" s="37">
        <v>68304.59</v>
      </c>
      <c r="AK677" s="37">
        <v>69670.679999999993</v>
      </c>
      <c r="AL677" s="37">
        <v>71064.09</v>
      </c>
      <c r="AM677" s="37">
        <v>72485.38</v>
      </c>
      <c r="AN677" s="37">
        <v>73935.08</v>
      </c>
      <c r="AO677" s="37">
        <v>75413.789999999994</v>
      </c>
      <c r="AP677" s="37">
        <v>76922.06</v>
      </c>
      <c r="AQ677" s="37">
        <v>78460.5</v>
      </c>
      <c r="AR677" s="37">
        <v>718873.69000000006</v>
      </c>
      <c r="AS677" s="37">
        <v>0</v>
      </c>
      <c r="AT677" s="37">
        <v>0</v>
      </c>
      <c r="AU677" s="37">
        <v>0</v>
      </c>
      <c r="AV677" s="37">
        <v>0</v>
      </c>
      <c r="AW677" s="37">
        <v>0</v>
      </c>
      <c r="AX677" s="37">
        <v>0</v>
      </c>
      <c r="AY677" s="37">
        <v>0</v>
      </c>
      <c r="AZ677" s="37">
        <v>0</v>
      </c>
      <c r="BA677" s="37">
        <v>0</v>
      </c>
      <c r="BB677" s="37">
        <v>0</v>
      </c>
      <c r="BC677" s="37">
        <v>0</v>
      </c>
      <c r="BD677" s="37">
        <v>0</v>
      </c>
      <c r="BE677" s="37">
        <v>5060</v>
      </c>
      <c r="BF677" s="37">
        <v>13122.77204168465</v>
      </c>
      <c r="BG677" s="37">
        <v>6936.6104957274756</v>
      </c>
      <c r="BH677" s="37">
        <v>4308.1754101603328</v>
      </c>
      <c r="BI677" s="37">
        <v>5116.7420524275458</v>
      </c>
      <c r="BJ677" s="37">
        <v>555.7264603900295</v>
      </c>
      <c r="BK677" s="37">
        <v>2691.045581294617</v>
      </c>
      <c r="BL677" s="37">
        <v>3499.6104957274756</v>
      </c>
      <c r="BM677" s="37">
        <v>4308.1754101603328</v>
      </c>
      <c r="BN677" s="37">
        <v>5116.7420524275458</v>
      </c>
      <c r="BO677" s="37">
        <v>0</v>
      </c>
      <c r="BP677" s="37">
        <v>45655.600000000006</v>
      </c>
      <c r="BQ677" s="37">
        <v>0</v>
      </c>
      <c r="BR677" s="37">
        <v>0</v>
      </c>
      <c r="BS677" s="37">
        <v>0</v>
      </c>
      <c r="BT677" s="37">
        <v>0</v>
      </c>
      <c r="BU677" s="37">
        <v>0</v>
      </c>
      <c r="BV677" s="37">
        <v>0</v>
      </c>
      <c r="BW677" s="37">
        <v>0</v>
      </c>
      <c r="BX677" s="37">
        <v>0</v>
      </c>
      <c r="BY677" s="37">
        <v>0</v>
      </c>
      <c r="BZ677" s="37">
        <v>0</v>
      </c>
      <c r="CA677" s="37">
        <v>0</v>
      </c>
      <c r="CB677" s="37">
        <v>0</v>
      </c>
      <c r="CC677" s="37">
        <v>0</v>
      </c>
      <c r="CD677" s="37">
        <v>0</v>
      </c>
      <c r="CE677" s="37">
        <v>0</v>
      </c>
      <c r="CF677" s="37">
        <v>0</v>
      </c>
      <c r="CG677" s="37">
        <v>0</v>
      </c>
      <c r="CH677" s="37">
        <v>0</v>
      </c>
      <c r="CI677" s="37">
        <v>0</v>
      </c>
      <c r="CJ677" s="37">
        <v>0</v>
      </c>
      <c r="CK677" s="37">
        <v>0</v>
      </c>
      <c r="CL677" s="37">
        <v>0</v>
      </c>
      <c r="CM677" s="37">
        <v>0</v>
      </c>
      <c r="CN677" s="37">
        <v>0</v>
      </c>
      <c r="CO677" s="37">
        <v>0</v>
      </c>
      <c r="CP677" s="37">
        <v>0</v>
      </c>
      <c r="CQ677" s="37">
        <v>0</v>
      </c>
      <c r="CR677" s="37">
        <v>0</v>
      </c>
      <c r="CS677" s="37">
        <v>0</v>
      </c>
      <c r="CT677" s="37">
        <v>0</v>
      </c>
      <c r="CU677" s="37">
        <v>0</v>
      </c>
      <c r="CV677" s="37">
        <v>0</v>
      </c>
      <c r="CW677" s="37">
        <v>0</v>
      </c>
      <c r="CX677" s="37">
        <v>0</v>
      </c>
      <c r="CY677" s="37">
        <v>0</v>
      </c>
      <c r="CZ677" s="37">
        <v>0</v>
      </c>
      <c r="DA677" s="37">
        <v>0</v>
      </c>
      <c r="DB677" s="37">
        <v>0</v>
      </c>
      <c r="DC677" s="37">
        <v>0</v>
      </c>
      <c r="DD677" s="37">
        <v>0</v>
      </c>
      <c r="DE677" s="37">
        <v>0</v>
      </c>
      <c r="DF677" s="37">
        <v>0</v>
      </c>
      <c r="DG677" s="37">
        <v>0</v>
      </c>
      <c r="DH677" s="37">
        <v>0</v>
      </c>
      <c r="DI677" s="37">
        <v>0</v>
      </c>
      <c r="DJ677" s="37">
        <v>0</v>
      </c>
      <c r="DK677" s="37">
        <v>0</v>
      </c>
      <c r="DL677" s="37">
        <v>0</v>
      </c>
      <c r="DM677" s="37">
        <v>0</v>
      </c>
      <c r="DN677" s="37">
        <v>0</v>
      </c>
      <c r="DO677" s="37">
        <v>0</v>
      </c>
      <c r="DP677" s="37">
        <v>0</v>
      </c>
      <c r="DQ677" s="37">
        <v>0</v>
      </c>
      <c r="DR677" s="37">
        <v>0</v>
      </c>
      <c r="DS677" s="37">
        <v>0</v>
      </c>
      <c r="DT677" s="37">
        <v>0</v>
      </c>
      <c r="DU677" s="37">
        <v>0</v>
      </c>
      <c r="DV677" s="37">
        <v>0</v>
      </c>
      <c r="DW677" s="37">
        <v>0</v>
      </c>
      <c r="DX677" s="37">
        <v>0</v>
      </c>
      <c r="DY677" s="37">
        <v>0</v>
      </c>
      <c r="DZ677" s="37">
        <v>0</v>
      </c>
      <c r="EA677" s="37">
        <v>0</v>
      </c>
      <c r="EB677" s="37">
        <v>0</v>
      </c>
      <c r="EC677" s="37">
        <v>0</v>
      </c>
      <c r="ED677" s="37">
        <v>0</v>
      </c>
      <c r="EE677" s="37">
        <v>0</v>
      </c>
      <c r="EF677" s="37">
        <v>0</v>
      </c>
      <c r="EG677" s="37">
        <v>0</v>
      </c>
      <c r="EH677" s="37">
        <v>0</v>
      </c>
      <c r="EI677" s="37">
        <v>0</v>
      </c>
      <c r="EJ677" s="37">
        <v>0</v>
      </c>
      <c r="EK677" s="161" t="s">
        <v>4284</v>
      </c>
      <c r="EL677" s="294" t="s">
        <v>1124</v>
      </c>
    </row>
    <row r="678" spans="1:142" ht="15" customHeight="1" x14ac:dyDescent="0.35">
      <c r="A678" s="34"/>
      <c r="B678" s="313">
        <v>48020</v>
      </c>
      <c r="C678" s="8" t="s">
        <v>459</v>
      </c>
      <c r="D678" s="18">
        <v>16</v>
      </c>
      <c r="E678" s="155"/>
      <c r="F678" s="36"/>
      <c r="G678" s="37"/>
      <c r="H678" s="37"/>
      <c r="I678" s="37"/>
      <c r="J678" s="37"/>
      <c r="K678" s="37"/>
      <c r="L678" s="37"/>
      <c r="M678" s="37" t="s">
        <v>1124</v>
      </c>
      <c r="N678" s="37" t="s">
        <v>1124</v>
      </c>
      <c r="O678" s="37"/>
      <c r="P678" s="37"/>
      <c r="Q678" s="37"/>
      <c r="R678" s="37"/>
      <c r="S678" s="37"/>
      <c r="T678" s="37"/>
      <c r="U678" s="37"/>
      <c r="V678" s="37"/>
      <c r="W678" s="37"/>
      <c r="X678" s="37"/>
      <c r="Y678" s="37"/>
      <c r="Z678" s="37"/>
      <c r="AA678" s="37" t="s">
        <v>1124</v>
      </c>
      <c r="AB678" s="37" t="s">
        <v>1124</v>
      </c>
      <c r="AC678" s="37"/>
      <c r="AD678" s="37"/>
      <c r="AE678" s="37"/>
      <c r="AF678" s="168"/>
      <c r="AG678" s="37"/>
      <c r="AH678" s="37"/>
      <c r="AI678" s="37"/>
      <c r="AJ678" s="37"/>
      <c r="AK678" s="37"/>
      <c r="AL678" s="37"/>
      <c r="AM678" s="37"/>
      <c r="AN678" s="37"/>
      <c r="AO678" s="37"/>
      <c r="AP678" s="37"/>
      <c r="AQ678" s="37"/>
      <c r="AR678" s="37" t="s">
        <v>1124</v>
      </c>
      <c r="AS678" s="37"/>
      <c r="AT678" s="37"/>
      <c r="AU678" s="37"/>
      <c r="AV678" s="37"/>
      <c r="AW678" s="37"/>
      <c r="AX678" s="37"/>
      <c r="AY678" s="37"/>
      <c r="AZ678" s="37"/>
      <c r="BA678" s="37"/>
      <c r="BB678" s="37"/>
      <c r="BC678" s="37"/>
      <c r="BD678" s="37" t="s">
        <v>1124</v>
      </c>
      <c r="BE678" s="37"/>
      <c r="BF678" s="37"/>
      <c r="BG678" s="37"/>
      <c r="BH678" s="37"/>
      <c r="BI678" s="37"/>
      <c r="BJ678" s="37"/>
      <c r="BK678" s="37"/>
      <c r="BL678" s="37"/>
      <c r="BM678" s="37"/>
      <c r="BN678" s="37"/>
      <c r="BO678" s="37"/>
      <c r="BP678" s="37">
        <v>0</v>
      </c>
      <c r="BQ678" s="37"/>
      <c r="BR678" s="37"/>
      <c r="BS678" s="37"/>
      <c r="BT678" s="37"/>
      <c r="BU678" s="37"/>
      <c r="BV678" s="37"/>
      <c r="BW678" s="37"/>
      <c r="BX678" s="37"/>
      <c r="BY678" s="37"/>
      <c r="BZ678" s="37"/>
      <c r="CA678" s="37"/>
      <c r="CB678" s="37" t="s">
        <v>1124</v>
      </c>
      <c r="CC678" s="37"/>
      <c r="CD678" s="37"/>
      <c r="CE678" s="37"/>
      <c r="CF678" s="37"/>
      <c r="CG678" s="37"/>
      <c r="CH678" s="37"/>
      <c r="CI678" s="37"/>
      <c r="CJ678" s="37"/>
      <c r="CK678" s="37"/>
      <c r="CL678" s="37"/>
      <c r="CM678" s="37"/>
      <c r="CN678" s="37" t="s">
        <v>1124</v>
      </c>
      <c r="CO678" s="37"/>
      <c r="CP678" s="37"/>
      <c r="CQ678" s="37"/>
      <c r="CR678" s="37"/>
      <c r="CS678" s="37"/>
      <c r="CT678" s="37"/>
      <c r="CU678" s="37"/>
      <c r="CV678" s="37"/>
      <c r="CW678" s="37"/>
      <c r="CX678" s="37"/>
      <c r="CY678" s="37"/>
      <c r="CZ678" s="37" t="s">
        <v>1124</v>
      </c>
      <c r="DA678" s="37"/>
      <c r="DB678" s="37"/>
      <c r="DC678" s="37"/>
      <c r="DD678" s="37"/>
      <c r="DE678" s="37"/>
      <c r="DF678" s="37"/>
      <c r="DG678" s="37"/>
      <c r="DH678" s="37"/>
      <c r="DI678" s="37"/>
      <c r="DJ678" s="37"/>
      <c r="DK678" s="37"/>
      <c r="DL678" s="37" t="s">
        <v>1124</v>
      </c>
      <c r="DM678" s="37"/>
      <c r="DN678" s="37"/>
      <c r="DO678" s="37"/>
      <c r="DP678" s="37"/>
      <c r="DQ678" s="37"/>
      <c r="DR678" s="37"/>
      <c r="DS678" s="37"/>
      <c r="DT678" s="37"/>
      <c r="DU678" s="37"/>
      <c r="DV678" s="37"/>
      <c r="DW678" s="37"/>
      <c r="DX678" s="37" t="s">
        <v>1124</v>
      </c>
      <c r="DY678" s="37"/>
      <c r="DZ678" s="37"/>
      <c r="EA678" s="37"/>
      <c r="EB678" s="37"/>
      <c r="EC678" s="37"/>
      <c r="ED678" s="37"/>
      <c r="EE678" s="37"/>
      <c r="EF678" s="37"/>
      <c r="EG678" s="37"/>
      <c r="EH678" s="37"/>
      <c r="EI678" s="37"/>
      <c r="EJ678" s="37" t="s">
        <v>1124</v>
      </c>
      <c r="EK678" s="161"/>
      <c r="EL678" s="294"/>
    </row>
    <row r="679" spans="1:142" ht="15" customHeight="1" x14ac:dyDescent="0.35">
      <c r="A679" s="34"/>
      <c r="B679" s="313">
        <v>34105</v>
      </c>
      <c r="C679" s="8" t="s">
        <v>298</v>
      </c>
      <c r="D679" s="18">
        <v>3</v>
      </c>
      <c r="E679" s="155"/>
      <c r="F679" s="36"/>
      <c r="G679" s="37"/>
      <c r="H679" s="37"/>
      <c r="I679" s="37"/>
      <c r="J679" s="37"/>
      <c r="K679" s="37"/>
      <c r="L679" s="37"/>
      <c r="M679" s="37" t="s">
        <v>1124</v>
      </c>
      <c r="N679" s="37" t="s">
        <v>1124</v>
      </c>
      <c r="O679" s="37"/>
      <c r="P679" s="37"/>
      <c r="Q679" s="37"/>
      <c r="R679" s="37"/>
      <c r="S679" s="37"/>
      <c r="T679" s="37"/>
      <c r="U679" s="37"/>
      <c r="V679" s="37"/>
      <c r="W679" s="37"/>
      <c r="X679" s="37"/>
      <c r="Y679" s="37"/>
      <c r="Z679" s="37"/>
      <c r="AA679" s="37" t="s">
        <v>1124</v>
      </c>
      <c r="AB679" s="37" t="s">
        <v>1124</v>
      </c>
      <c r="AC679" s="37"/>
      <c r="AD679" s="37"/>
      <c r="AE679" s="37"/>
      <c r="AF679" s="168"/>
      <c r="AG679" s="37"/>
      <c r="AH679" s="37"/>
      <c r="AI679" s="37"/>
      <c r="AJ679" s="37"/>
      <c r="AK679" s="37"/>
      <c r="AL679" s="37"/>
      <c r="AM679" s="37"/>
      <c r="AN679" s="37"/>
      <c r="AO679" s="37"/>
      <c r="AP679" s="37"/>
      <c r="AQ679" s="37"/>
      <c r="AR679" s="37" t="s">
        <v>1124</v>
      </c>
      <c r="AS679" s="37"/>
      <c r="AT679" s="37"/>
      <c r="AU679" s="37"/>
      <c r="AV679" s="37"/>
      <c r="AW679" s="37"/>
      <c r="AX679" s="37"/>
      <c r="AY679" s="37"/>
      <c r="AZ679" s="37"/>
      <c r="BA679" s="37"/>
      <c r="BB679" s="37"/>
      <c r="BC679" s="37"/>
      <c r="BD679" s="37" t="s">
        <v>1124</v>
      </c>
      <c r="BE679" s="37"/>
      <c r="BF679" s="37"/>
      <c r="BG679" s="37"/>
      <c r="BH679" s="37"/>
      <c r="BI679" s="37"/>
      <c r="BJ679" s="37"/>
      <c r="BK679" s="37"/>
      <c r="BL679" s="37"/>
      <c r="BM679" s="37"/>
      <c r="BN679" s="37"/>
      <c r="BO679" s="37"/>
      <c r="BP679" s="37">
        <v>0</v>
      </c>
      <c r="BQ679" s="37"/>
      <c r="BR679" s="37"/>
      <c r="BS679" s="37"/>
      <c r="BT679" s="37"/>
      <c r="BU679" s="37"/>
      <c r="BV679" s="37"/>
      <c r="BW679" s="37"/>
      <c r="BX679" s="37"/>
      <c r="BY679" s="37"/>
      <c r="BZ679" s="37"/>
      <c r="CA679" s="37"/>
      <c r="CB679" s="37" t="s">
        <v>1124</v>
      </c>
      <c r="CC679" s="37"/>
      <c r="CD679" s="37"/>
      <c r="CE679" s="37"/>
      <c r="CF679" s="37"/>
      <c r="CG679" s="37"/>
      <c r="CH679" s="37"/>
      <c r="CI679" s="37"/>
      <c r="CJ679" s="37"/>
      <c r="CK679" s="37"/>
      <c r="CL679" s="37"/>
      <c r="CM679" s="37"/>
      <c r="CN679" s="37" t="s">
        <v>1124</v>
      </c>
      <c r="CO679" s="37"/>
      <c r="CP679" s="37"/>
      <c r="CQ679" s="37"/>
      <c r="CR679" s="37"/>
      <c r="CS679" s="37"/>
      <c r="CT679" s="37"/>
      <c r="CU679" s="37"/>
      <c r="CV679" s="37"/>
      <c r="CW679" s="37"/>
      <c r="CX679" s="37"/>
      <c r="CY679" s="37"/>
      <c r="CZ679" s="37" t="s">
        <v>1124</v>
      </c>
      <c r="DA679" s="37"/>
      <c r="DB679" s="37"/>
      <c r="DC679" s="37"/>
      <c r="DD679" s="37"/>
      <c r="DE679" s="37"/>
      <c r="DF679" s="37"/>
      <c r="DG679" s="37"/>
      <c r="DH679" s="37"/>
      <c r="DI679" s="37"/>
      <c r="DJ679" s="37"/>
      <c r="DK679" s="37"/>
      <c r="DL679" s="37" t="s">
        <v>1124</v>
      </c>
      <c r="DM679" s="37"/>
      <c r="DN679" s="37"/>
      <c r="DO679" s="37"/>
      <c r="DP679" s="37"/>
      <c r="DQ679" s="37"/>
      <c r="DR679" s="37"/>
      <c r="DS679" s="37"/>
      <c r="DT679" s="37"/>
      <c r="DU679" s="37"/>
      <c r="DV679" s="37"/>
      <c r="DW679" s="37"/>
      <c r="DX679" s="37" t="s">
        <v>1124</v>
      </c>
      <c r="DY679" s="37"/>
      <c r="DZ679" s="37"/>
      <c r="EA679" s="37"/>
      <c r="EB679" s="37"/>
      <c r="EC679" s="37"/>
      <c r="ED679" s="37"/>
      <c r="EE679" s="37"/>
      <c r="EF679" s="37"/>
      <c r="EG679" s="37"/>
      <c r="EH679" s="37"/>
      <c r="EI679" s="37"/>
      <c r="EJ679" s="37" t="s">
        <v>1124</v>
      </c>
      <c r="EK679" s="161"/>
      <c r="EL679" s="294"/>
    </row>
    <row r="680" spans="1:142" ht="15" customHeight="1" x14ac:dyDescent="0.35">
      <c r="A680" s="34"/>
      <c r="B680" s="313">
        <v>19055</v>
      </c>
      <c r="C680" s="8" t="s">
        <v>127</v>
      </c>
      <c r="D680" s="18">
        <v>12</v>
      </c>
      <c r="E680" s="155">
        <v>406861</v>
      </c>
      <c r="F680" s="36">
        <v>206267</v>
      </c>
      <c r="G680" s="37">
        <v>28253</v>
      </c>
      <c r="H680" s="37">
        <v>28253</v>
      </c>
      <c r="I680" s="37">
        <v>82499</v>
      </c>
      <c r="J680" s="37">
        <v>82498</v>
      </c>
      <c r="K680" s="37">
        <v>61029</v>
      </c>
      <c r="L680" s="37">
        <v>30940</v>
      </c>
      <c r="M680" s="37">
        <v>578642</v>
      </c>
      <c r="N680" s="37">
        <v>347958</v>
      </c>
      <c r="O680" s="37">
        <v>497127</v>
      </c>
      <c r="P680" s="37">
        <v>0</v>
      </c>
      <c r="Q680" s="37">
        <v>0</v>
      </c>
      <c r="R680" s="37">
        <v>368699</v>
      </c>
      <c r="S680" s="37">
        <v>20361</v>
      </c>
      <c r="T680" s="37">
        <v>6289</v>
      </c>
      <c r="U680" s="37">
        <v>18327</v>
      </c>
      <c r="V680" s="37">
        <v>18750</v>
      </c>
      <c r="W680" s="37">
        <v>0</v>
      </c>
      <c r="X680" s="37">
        <v>0</v>
      </c>
      <c r="Y680" s="37">
        <v>58418</v>
      </c>
      <c r="Z680" s="37">
        <v>45554</v>
      </c>
      <c r="AA680" s="37">
        <v>594233</v>
      </c>
      <c r="AB680" s="37">
        <v>439292</v>
      </c>
      <c r="AC680" s="37">
        <v>106925</v>
      </c>
      <c r="AD680" s="37">
        <v>33575</v>
      </c>
      <c r="AE680" s="37">
        <v>319625</v>
      </c>
      <c r="AF680" s="168">
        <v>0.02</v>
      </c>
      <c r="AG680" s="37">
        <v>48698275.770000003</v>
      </c>
      <c r="AH680" s="37">
        <v>51000</v>
      </c>
      <c r="AI680" s="37">
        <v>2122413.88</v>
      </c>
      <c r="AJ680" s="37">
        <v>1082431.08</v>
      </c>
      <c r="AK680" s="37">
        <v>0</v>
      </c>
      <c r="AL680" s="37">
        <v>0</v>
      </c>
      <c r="AM680" s="37">
        <v>0</v>
      </c>
      <c r="AN680" s="37">
        <v>0</v>
      </c>
      <c r="AO680" s="37">
        <v>0</v>
      </c>
      <c r="AP680" s="37">
        <v>0</v>
      </c>
      <c r="AQ680" s="37">
        <v>0</v>
      </c>
      <c r="AR680" s="37">
        <v>3255844.96</v>
      </c>
      <c r="AS680" s="37">
        <v>1667597.7</v>
      </c>
      <c r="AT680" s="37">
        <v>0</v>
      </c>
      <c r="AU680" s="37">
        <v>2918322</v>
      </c>
      <c r="AV680" s="37">
        <v>2327229.14</v>
      </c>
      <c r="AW680" s="37">
        <v>0</v>
      </c>
      <c r="AX680" s="37">
        <v>0</v>
      </c>
      <c r="AY680" s="37">
        <v>0</v>
      </c>
      <c r="AZ680" s="37">
        <v>0</v>
      </c>
      <c r="BA680" s="37">
        <v>0</v>
      </c>
      <c r="BB680" s="37">
        <v>3352234.66</v>
      </c>
      <c r="BC680" s="37">
        <v>0</v>
      </c>
      <c r="BD680" s="37">
        <v>8597785.8000000007</v>
      </c>
      <c r="BE680" s="37">
        <v>0</v>
      </c>
      <c r="BF680" s="37">
        <v>688980</v>
      </c>
      <c r="BG680" s="37">
        <v>1746125</v>
      </c>
      <c r="BH680" s="37">
        <v>0</v>
      </c>
      <c r="BI680" s="37">
        <v>0</v>
      </c>
      <c r="BJ680" s="37">
        <v>0</v>
      </c>
      <c r="BK680" s="37">
        <v>0</v>
      </c>
      <c r="BL680" s="37">
        <v>0</v>
      </c>
      <c r="BM680" s="37">
        <v>0</v>
      </c>
      <c r="BN680" s="37">
        <v>0</v>
      </c>
      <c r="BO680" s="37">
        <v>0</v>
      </c>
      <c r="BP680" s="37">
        <v>2435105</v>
      </c>
      <c r="BQ680" s="37">
        <v>0</v>
      </c>
      <c r="BR680" s="37">
        <v>761020</v>
      </c>
      <c r="BS680" s="37">
        <v>437875</v>
      </c>
      <c r="BT680" s="37">
        <v>0</v>
      </c>
      <c r="BU680" s="37">
        <v>0</v>
      </c>
      <c r="BV680" s="37">
        <v>0</v>
      </c>
      <c r="BW680" s="37">
        <v>0</v>
      </c>
      <c r="BX680" s="37">
        <v>0</v>
      </c>
      <c r="BY680" s="37">
        <v>0</v>
      </c>
      <c r="BZ680" s="37">
        <v>0</v>
      </c>
      <c r="CA680" s="37">
        <v>0</v>
      </c>
      <c r="CB680" s="37">
        <v>1198895</v>
      </c>
      <c r="CC680" s="37">
        <v>0</v>
      </c>
      <c r="CD680" s="37">
        <v>50000</v>
      </c>
      <c r="CE680" s="37">
        <v>0</v>
      </c>
      <c r="CF680" s="37">
        <v>0</v>
      </c>
      <c r="CG680" s="37">
        <v>0</v>
      </c>
      <c r="CH680" s="37">
        <v>0</v>
      </c>
      <c r="CI680" s="37">
        <v>0</v>
      </c>
      <c r="CJ680" s="37">
        <v>0</v>
      </c>
      <c r="CK680" s="37">
        <v>0</v>
      </c>
      <c r="CL680" s="37">
        <v>0</v>
      </c>
      <c r="CM680" s="37">
        <v>0</v>
      </c>
      <c r="CN680" s="37">
        <v>50000</v>
      </c>
      <c r="CO680" s="37">
        <v>0</v>
      </c>
      <c r="CP680" s="37">
        <v>0</v>
      </c>
      <c r="CQ680" s="37">
        <v>0</v>
      </c>
      <c r="CR680" s="37">
        <v>0</v>
      </c>
      <c r="CS680" s="37">
        <v>0</v>
      </c>
      <c r="CT680" s="37">
        <v>0</v>
      </c>
      <c r="CU680" s="37">
        <v>0</v>
      </c>
      <c r="CV680" s="37">
        <v>0</v>
      </c>
      <c r="CW680" s="37">
        <v>0</v>
      </c>
      <c r="CX680" s="37">
        <v>0</v>
      </c>
      <c r="CY680" s="37">
        <v>0</v>
      </c>
      <c r="CZ680" s="37">
        <v>0</v>
      </c>
      <c r="DA680" s="37">
        <v>0</v>
      </c>
      <c r="DB680" s="37">
        <v>1850000</v>
      </c>
      <c r="DC680" s="37">
        <v>0</v>
      </c>
      <c r="DD680" s="37">
        <v>0</v>
      </c>
      <c r="DE680" s="37">
        <v>0</v>
      </c>
      <c r="DF680" s="37">
        <v>0</v>
      </c>
      <c r="DG680" s="37">
        <v>0</v>
      </c>
      <c r="DH680" s="37">
        <v>0</v>
      </c>
      <c r="DI680" s="37">
        <v>0</v>
      </c>
      <c r="DJ680" s="37">
        <v>0</v>
      </c>
      <c r="DK680" s="37">
        <v>0</v>
      </c>
      <c r="DL680" s="37">
        <v>1850000</v>
      </c>
      <c r="DM680" s="37">
        <v>0</v>
      </c>
      <c r="DN680" s="37">
        <v>0</v>
      </c>
      <c r="DO680" s="37">
        <v>0</v>
      </c>
      <c r="DP680" s="37">
        <v>0</v>
      </c>
      <c r="DQ680" s="37">
        <v>0</v>
      </c>
      <c r="DR680" s="37">
        <v>0</v>
      </c>
      <c r="DS680" s="37">
        <v>0</v>
      </c>
      <c r="DT680" s="37">
        <v>0</v>
      </c>
      <c r="DU680" s="37">
        <v>0</v>
      </c>
      <c r="DV680" s="37">
        <v>0</v>
      </c>
      <c r="DW680" s="37">
        <v>0</v>
      </c>
      <c r="DX680" s="37">
        <v>0</v>
      </c>
      <c r="DY680" s="37">
        <v>0</v>
      </c>
      <c r="DZ680" s="37">
        <v>0</v>
      </c>
      <c r="EA680" s="37">
        <v>0</v>
      </c>
      <c r="EB680" s="37">
        <v>0</v>
      </c>
      <c r="EC680" s="37">
        <v>0</v>
      </c>
      <c r="ED680" s="37">
        <v>0</v>
      </c>
      <c r="EE680" s="37">
        <v>0</v>
      </c>
      <c r="EF680" s="37">
        <v>0</v>
      </c>
      <c r="EG680" s="37">
        <v>0</v>
      </c>
      <c r="EH680" s="37">
        <v>0</v>
      </c>
      <c r="EI680" s="37">
        <v>0</v>
      </c>
      <c r="EJ680" s="37">
        <v>0</v>
      </c>
      <c r="EK680" s="161" t="s">
        <v>2826</v>
      </c>
      <c r="EL680" s="294" t="s">
        <v>1124</v>
      </c>
    </row>
    <row r="681" spans="1:142" ht="15" customHeight="1" x14ac:dyDescent="0.35">
      <c r="A681" s="34"/>
      <c r="B681" s="313">
        <v>68020</v>
      </c>
      <c r="C681" s="8" t="s">
        <v>676</v>
      </c>
      <c r="D681" s="18">
        <v>16</v>
      </c>
      <c r="E681" s="155"/>
      <c r="F681" s="36"/>
      <c r="G681" s="37"/>
      <c r="H681" s="37"/>
      <c r="I681" s="37"/>
      <c r="J681" s="37"/>
      <c r="K681" s="37"/>
      <c r="L681" s="37"/>
      <c r="M681" s="37" t="s">
        <v>1124</v>
      </c>
      <c r="N681" s="37" t="s">
        <v>1124</v>
      </c>
      <c r="O681" s="37"/>
      <c r="P681" s="37"/>
      <c r="Q681" s="37"/>
      <c r="R681" s="37"/>
      <c r="S681" s="37"/>
      <c r="T681" s="37"/>
      <c r="U681" s="37"/>
      <c r="V681" s="37"/>
      <c r="W681" s="37"/>
      <c r="X681" s="37"/>
      <c r="Y681" s="37"/>
      <c r="Z681" s="37"/>
      <c r="AA681" s="37" t="s">
        <v>1124</v>
      </c>
      <c r="AB681" s="37" t="s">
        <v>1124</v>
      </c>
      <c r="AC681" s="37"/>
      <c r="AD681" s="37"/>
      <c r="AE681" s="37"/>
      <c r="AF681" s="168"/>
      <c r="AG681" s="37"/>
      <c r="AH681" s="37"/>
      <c r="AI681" s="37"/>
      <c r="AJ681" s="37"/>
      <c r="AK681" s="37"/>
      <c r="AL681" s="37"/>
      <c r="AM681" s="37"/>
      <c r="AN681" s="37"/>
      <c r="AO681" s="37"/>
      <c r="AP681" s="37"/>
      <c r="AQ681" s="37"/>
      <c r="AR681" s="37" t="s">
        <v>1124</v>
      </c>
      <c r="AS681" s="37"/>
      <c r="AT681" s="37"/>
      <c r="AU681" s="37"/>
      <c r="AV681" s="37"/>
      <c r="AW681" s="37"/>
      <c r="AX681" s="37"/>
      <c r="AY681" s="37"/>
      <c r="AZ681" s="37"/>
      <c r="BA681" s="37"/>
      <c r="BB681" s="37"/>
      <c r="BC681" s="37"/>
      <c r="BD681" s="37" t="s">
        <v>1124</v>
      </c>
      <c r="BE681" s="37"/>
      <c r="BF681" s="37"/>
      <c r="BG681" s="37"/>
      <c r="BH681" s="37"/>
      <c r="BI681" s="37"/>
      <c r="BJ681" s="37"/>
      <c r="BK681" s="37"/>
      <c r="BL681" s="37"/>
      <c r="BM681" s="37"/>
      <c r="BN681" s="37"/>
      <c r="BO681" s="37"/>
      <c r="BP681" s="37">
        <v>0</v>
      </c>
      <c r="BQ681" s="37"/>
      <c r="BR681" s="37"/>
      <c r="BS681" s="37"/>
      <c r="BT681" s="37"/>
      <c r="BU681" s="37"/>
      <c r="BV681" s="37"/>
      <c r="BW681" s="37"/>
      <c r="BX681" s="37"/>
      <c r="BY681" s="37"/>
      <c r="BZ681" s="37"/>
      <c r="CA681" s="37"/>
      <c r="CB681" s="37" t="s">
        <v>1124</v>
      </c>
      <c r="CC681" s="37"/>
      <c r="CD681" s="37"/>
      <c r="CE681" s="37"/>
      <c r="CF681" s="37"/>
      <c r="CG681" s="37"/>
      <c r="CH681" s="37"/>
      <c r="CI681" s="37"/>
      <c r="CJ681" s="37"/>
      <c r="CK681" s="37"/>
      <c r="CL681" s="37"/>
      <c r="CM681" s="37"/>
      <c r="CN681" s="37" t="s">
        <v>1124</v>
      </c>
      <c r="CO681" s="37"/>
      <c r="CP681" s="37"/>
      <c r="CQ681" s="37"/>
      <c r="CR681" s="37"/>
      <c r="CS681" s="37"/>
      <c r="CT681" s="37"/>
      <c r="CU681" s="37"/>
      <c r="CV681" s="37"/>
      <c r="CW681" s="37"/>
      <c r="CX681" s="37"/>
      <c r="CY681" s="37"/>
      <c r="CZ681" s="37" t="s">
        <v>1124</v>
      </c>
      <c r="DA681" s="37"/>
      <c r="DB681" s="37"/>
      <c r="DC681" s="37"/>
      <c r="DD681" s="37"/>
      <c r="DE681" s="37"/>
      <c r="DF681" s="37"/>
      <c r="DG681" s="37"/>
      <c r="DH681" s="37"/>
      <c r="DI681" s="37"/>
      <c r="DJ681" s="37"/>
      <c r="DK681" s="37"/>
      <c r="DL681" s="37" t="s">
        <v>1124</v>
      </c>
      <c r="DM681" s="37"/>
      <c r="DN681" s="37"/>
      <c r="DO681" s="37"/>
      <c r="DP681" s="37"/>
      <c r="DQ681" s="37"/>
      <c r="DR681" s="37"/>
      <c r="DS681" s="37"/>
      <c r="DT681" s="37"/>
      <c r="DU681" s="37"/>
      <c r="DV681" s="37"/>
      <c r="DW681" s="37"/>
      <c r="DX681" s="37" t="s">
        <v>1124</v>
      </c>
      <c r="DY681" s="37"/>
      <c r="DZ681" s="37"/>
      <c r="EA681" s="37"/>
      <c r="EB681" s="37"/>
      <c r="EC681" s="37"/>
      <c r="ED681" s="37"/>
      <c r="EE681" s="37"/>
      <c r="EF681" s="37"/>
      <c r="EG681" s="37"/>
      <c r="EH681" s="37"/>
      <c r="EI681" s="37"/>
      <c r="EJ681" s="37" t="s">
        <v>1124</v>
      </c>
      <c r="EK681" s="161"/>
      <c r="EL681" s="294"/>
    </row>
    <row r="682" spans="1:142" ht="15" customHeight="1" x14ac:dyDescent="0.35">
      <c r="A682" s="34"/>
      <c r="B682" s="313">
        <v>31060</v>
      </c>
      <c r="C682" s="8" t="s">
        <v>247</v>
      </c>
      <c r="D682" s="18">
        <v>12</v>
      </c>
      <c r="E682" s="155"/>
      <c r="F682" s="36"/>
      <c r="G682" s="37"/>
      <c r="H682" s="37"/>
      <c r="I682" s="37"/>
      <c r="J682" s="37"/>
      <c r="K682" s="37"/>
      <c r="L682" s="37"/>
      <c r="M682" s="37" t="s">
        <v>1124</v>
      </c>
      <c r="N682" s="37" t="s">
        <v>1124</v>
      </c>
      <c r="O682" s="37"/>
      <c r="P682" s="37"/>
      <c r="Q682" s="37"/>
      <c r="R682" s="37"/>
      <c r="S682" s="37"/>
      <c r="T682" s="37"/>
      <c r="U682" s="37"/>
      <c r="V682" s="37"/>
      <c r="W682" s="37"/>
      <c r="X682" s="37"/>
      <c r="Y682" s="37"/>
      <c r="Z682" s="37"/>
      <c r="AA682" s="37" t="s">
        <v>1124</v>
      </c>
      <c r="AB682" s="37" t="s">
        <v>1124</v>
      </c>
      <c r="AC682" s="37"/>
      <c r="AD682" s="37"/>
      <c r="AE682" s="37"/>
      <c r="AF682" s="168"/>
      <c r="AG682" s="37"/>
      <c r="AH682" s="37"/>
      <c r="AI682" s="37"/>
      <c r="AJ682" s="37"/>
      <c r="AK682" s="37"/>
      <c r="AL682" s="37"/>
      <c r="AM682" s="37"/>
      <c r="AN682" s="37"/>
      <c r="AO682" s="37"/>
      <c r="AP682" s="37"/>
      <c r="AQ682" s="37"/>
      <c r="AR682" s="37" t="s">
        <v>1124</v>
      </c>
      <c r="AS682" s="37"/>
      <c r="AT682" s="37"/>
      <c r="AU682" s="37"/>
      <c r="AV682" s="37"/>
      <c r="AW682" s="37"/>
      <c r="AX682" s="37"/>
      <c r="AY682" s="37"/>
      <c r="AZ682" s="37"/>
      <c r="BA682" s="37"/>
      <c r="BB682" s="37"/>
      <c r="BC682" s="37"/>
      <c r="BD682" s="37" t="s">
        <v>1124</v>
      </c>
      <c r="BE682" s="37"/>
      <c r="BF682" s="37"/>
      <c r="BG682" s="37"/>
      <c r="BH682" s="37"/>
      <c r="BI682" s="37"/>
      <c r="BJ682" s="37"/>
      <c r="BK682" s="37"/>
      <c r="BL682" s="37"/>
      <c r="BM682" s="37"/>
      <c r="BN682" s="37"/>
      <c r="BO682" s="37"/>
      <c r="BP682" s="37">
        <v>0</v>
      </c>
      <c r="BQ682" s="37"/>
      <c r="BR682" s="37"/>
      <c r="BS682" s="37"/>
      <c r="BT682" s="37"/>
      <c r="BU682" s="37"/>
      <c r="BV682" s="37"/>
      <c r="BW682" s="37"/>
      <c r="BX682" s="37"/>
      <c r="BY682" s="37"/>
      <c r="BZ682" s="37"/>
      <c r="CA682" s="37"/>
      <c r="CB682" s="37" t="s">
        <v>1124</v>
      </c>
      <c r="CC682" s="37"/>
      <c r="CD682" s="37"/>
      <c r="CE682" s="37"/>
      <c r="CF682" s="37"/>
      <c r="CG682" s="37"/>
      <c r="CH682" s="37"/>
      <c r="CI682" s="37"/>
      <c r="CJ682" s="37"/>
      <c r="CK682" s="37"/>
      <c r="CL682" s="37"/>
      <c r="CM682" s="37"/>
      <c r="CN682" s="37" t="s">
        <v>1124</v>
      </c>
      <c r="CO682" s="37"/>
      <c r="CP682" s="37"/>
      <c r="CQ682" s="37"/>
      <c r="CR682" s="37"/>
      <c r="CS682" s="37"/>
      <c r="CT682" s="37"/>
      <c r="CU682" s="37"/>
      <c r="CV682" s="37"/>
      <c r="CW682" s="37"/>
      <c r="CX682" s="37"/>
      <c r="CY682" s="37"/>
      <c r="CZ682" s="37" t="s">
        <v>1124</v>
      </c>
      <c r="DA682" s="37"/>
      <c r="DB682" s="37"/>
      <c r="DC682" s="37"/>
      <c r="DD682" s="37"/>
      <c r="DE682" s="37"/>
      <c r="DF682" s="37"/>
      <c r="DG682" s="37"/>
      <c r="DH682" s="37"/>
      <c r="DI682" s="37"/>
      <c r="DJ682" s="37"/>
      <c r="DK682" s="37"/>
      <c r="DL682" s="37" t="s">
        <v>1124</v>
      </c>
      <c r="DM682" s="37"/>
      <c r="DN682" s="37"/>
      <c r="DO682" s="37"/>
      <c r="DP682" s="37"/>
      <c r="DQ682" s="37"/>
      <c r="DR682" s="37"/>
      <c r="DS682" s="37"/>
      <c r="DT682" s="37"/>
      <c r="DU682" s="37"/>
      <c r="DV682" s="37"/>
      <c r="DW682" s="37"/>
      <c r="DX682" s="37" t="s">
        <v>1124</v>
      </c>
      <c r="DY682" s="37"/>
      <c r="DZ682" s="37"/>
      <c r="EA682" s="37"/>
      <c r="EB682" s="37"/>
      <c r="EC682" s="37"/>
      <c r="ED682" s="37"/>
      <c r="EE682" s="37"/>
      <c r="EF682" s="37"/>
      <c r="EG682" s="37"/>
      <c r="EH682" s="37"/>
      <c r="EI682" s="37"/>
      <c r="EJ682" s="37" t="s">
        <v>1124</v>
      </c>
      <c r="EK682" s="161"/>
      <c r="EL682" s="294"/>
    </row>
    <row r="683" spans="1:142" ht="15" customHeight="1" x14ac:dyDescent="0.35">
      <c r="A683" s="34"/>
      <c r="B683" s="313">
        <v>39117</v>
      </c>
      <c r="C683" s="8" t="s">
        <v>352</v>
      </c>
      <c r="D683" s="18">
        <v>17</v>
      </c>
      <c r="E683" s="155">
        <v>65428</v>
      </c>
      <c r="F683" s="36">
        <v>51233</v>
      </c>
      <c r="G683" s="37">
        <v>815</v>
      </c>
      <c r="H683" s="37">
        <v>5908</v>
      </c>
      <c r="I683" s="37">
        <v>0</v>
      </c>
      <c r="J683" s="37">
        <v>31549</v>
      </c>
      <c r="K683" s="37">
        <v>9814</v>
      </c>
      <c r="L683" s="37">
        <v>7685</v>
      </c>
      <c r="M683" s="37">
        <v>76057</v>
      </c>
      <c r="N683" s="37">
        <v>96375</v>
      </c>
      <c r="O683" s="37">
        <v>0</v>
      </c>
      <c r="P683" s="37">
        <v>0</v>
      </c>
      <c r="Q683" s="37">
        <v>53052</v>
      </c>
      <c r="R683" s="37">
        <v>31671</v>
      </c>
      <c r="S683" s="37">
        <v>0</v>
      </c>
      <c r="T683" s="37">
        <v>0</v>
      </c>
      <c r="U683" s="37">
        <v>0</v>
      </c>
      <c r="V683" s="37">
        <v>3652</v>
      </c>
      <c r="W683" s="37">
        <v>23005</v>
      </c>
      <c r="X683" s="37">
        <v>61052</v>
      </c>
      <c r="Y683" s="37">
        <v>0</v>
      </c>
      <c r="Z683" s="37">
        <v>0</v>
      </c>
      <c r="AA683" s="37">
        <v>76057</v>
      </c>
      <c r="AB683" s="37">
        <v>96375</v>
      </c>
      <c r="AC683" s="37">
        <v>0</v>
      </c>
      <c r="AD683" s="37">
        <v>0</v>
      </c>
      <c r="AE683" s="37">
        <v>0</v>
      </c>
      <c r="AF683" s="168">
        <v>0.02</v>
      </c>
      <c r="AG683" s="37">
        <v>7754453.2699999996</v>
      </c>
      <c r="AH683" s="37">
        <v>61936.92</v>
      </c>
      <c r="AI683" s="37">
        <v>63175.66</v>
      </c>
      <c r="AJ683" s="37">
        <v>64439.18</v>
      </c>
      <c r="AK683" s="37">
        <v>65727.960000000006</v>
      </c>
      <c r="AL683" s="37">
        <v>67042.52</v>
      </c>
      <c r="AM683" s="37">
        <v>68383.37</v>
      </c>
      <c r="AN683" s="37">
        <v>69751.039999999994</v>
      </c>
      <c r="AO683" s="37">
        <v>71146.06</v>
      </c>
      <c r="AP683" s="37">
        <v>72568.98</v>
      </c>
      <c r="AQ683" s="37">
        <v>74020.36</v>
      </c>
      <c r="AR683" s="37">
        <v>678192.05000000016</v>
      </c>
      <c r="AS683" s="37">
        <v>865308.84</v>
      </c>
      <c r="AT683" s="37">
        <v>0</v>
      </c>
      <c r="AU683" s="37">
        <v>0</v>
      </c>
      <c r="AV683" s="37">
        <v>0</v>
      </c>
      <c r="AW683" s="37">
        <v>3247296.48</v>
      </c>
      <c r="AX683" s="37">
        <v>0</v>
      </c>
      <c r="AY683" s="37">
        <v>0</v>
      </c>
      <c r="AZ683" s="37">
        <v>0</v>
      </c>
      <c r="BA683" s="37">
        <v>0</v>
      </c>
      <c r="BB683" s="37">
        <v>0</v>
      </c>
      <c r="BC683" s="37">
        <v>0</v>
      </c>
      <c r="BD683" s="37">
        <v>3247296.48</v>
      </c>
      <c r="BE683" s="37">
        <v>0</v>
      </c>
      <c r="BF683" s="37">
        <v>0</v>
      </c>
      <c r="BG683" s="37">
        <v>2300736</v>
      </c>
      <c r="BH683" s="37">
        <v>0</v>
      </c>
      <c r="BI683" s="37">
        <v>0</v>
      </c>
      <c r="BJ683" s="37">
        <v>0</v>
      </c>
      <c r="BK683" s="37">
        <v>0</v>
      </c>
      <c r="BL683" s="37">
        <v>0</v>
      </c>
      <c r="BM683" s="37">
        <v>0</v>
      </c>
      <c r="BN683" s="37">
        <v>0</v>
      </c>
      <c r="BO683" s="37">
        <v>0</v>
      </c>
      <c r="BP683" s="37">
        <v>2300736</v>
      </c>
      <c r="BQ683" s="37">
        <v>0</v>
      </c>
      <c r="BR683" s="37">
        <v>0</v>
      </c>
      <c r="BS683" s="37">
        <v>342154</v>
      </c>
      <c r="BT683" s="37">
        <v>0</v>
      </c>
      <c r="BU683" s="37">
        <v>1132360</v>
      </c>
      <c r="BV683" s="37">
        <v>0</v>
      </c>
      <c r="BW683" s="37">
        <v>0</v>
      </c>
      <c r="BX683" s="37">
        <v>0</v>
      </c>
      <c r="BY683" s="37">
        <v>0</v>
      </c>
      <c r="BZ683" s="37">
        <v>0</v>
      </c>
      <c r="CA683" s="37">
        <v>0</v>
      </c>
      <c r="CB683" s="37">
        <v>1474514</v>
      </c>
      <c r="CC683" s="37">
        <v>0</v>
      </c>
      <c r="CD683" s="37">
        <v>0</v>
      </c>
      <c r="CE683" s="37">
        <v>0</v>
      </c>
      <c r="CF683" s="37">
        <v>0</v>
      </c>
      <c r="CG683" s="37">
        <v>0</v>
      </c>
      <c r="CH683" s="37">
        <v>0</v>
      </c>
      <c r="CI683" s="37">
        <v>0</v>
      </c>
      <c r="CJ683" s="37">
        <v>0</v>
      </c>
      <c r="CK683" s="37">
        <v>0</v>
      </c>
      <c r="CL683" s="37">
        <v>0</v>
      </c>
      <c r="CM683" s="37">
        <v>0</v>
      </c>
      <c r="CN683" s="37">
        <v>0</v>
      </c>
      <c r="CO683" s="37">
        <v>0</v>
      </c>
      <c r="CP683" s="37">
        <v>0</v>
      </c>
      <c r="CQ683" s="37">
        <v>0</v>
      </c>
      <c r="CR683" s="37">
        <v>0</v>
      </c>
      <c r="CS683" s="37">
        <v>0</v>
      </c>
      <c r="CT683" s="37">
        <v>0</v>
      </c>
      <c r="CU683" s="37">
        <v>0</v>
      </c>
      <c r="CV683" s="37">
        <v>0</v>
      </c>
      <c r="CW683" s="37">
        <v>0</v>
      </c>
      <c r="CX683" s="37">
        <v>0</v>
      </c>
      <c r="CY683" s="37">
        <v>0</v>
      </c>
      <c r="CZ683" s="37">
        <v>0</v>
      </c>
      <c r="DA683" s="37">
        <v>0</v>
      </c>
      <c r="DB683" s="37">
        <v>0</v>
      </c>
      <c r="DC683" s="37">
        <v>0</v>
      </c>
      <c r="DD683" s="37">
        <v>0</v>
      </c>
      <c r="DE683" s="37">
        <v>3000000</v>
      </c>
      <c r="DF683" s="37">
        <v>0</v>
      </c>
      <c r="DG683" s="37">
        <v>0</v>
      </c>
      <c r="DH683" s="37">
        <v>0</v>
      </c>
      <c r="DI683" s="37">
        <v>0</v>
      </c>
      <c r="DJ683" s="37">
        <v>0</v>
      </c>
      <c r="DK683" s="37">
        <v>0</v>
      </c>
      <c r="DL683" s="37">
        <v>3000000</v>
      </c>
      <c r="DM683" s="37">
        <v>0</v>
      </c>
      <c r="DN683" s="37">
        <v>0</v>
      </c>
      <c r="DO683" s="37">
        <v>0</v>
      </c>
      <c r="DP683" s="37">
        <v>0</v>
      </c>
      <c r="DQ683" s="37">
        <v>0</v>
      </c>
      <c r="DR683" s="37">
        <v>0</v>
      </c>
      <c r="DS683" s="37">
        <v>0</v>
      </c>
      <c r="DT683" s="37">
        <v>0</v>
      </c>
      <c r="DU683" s="37">
        <v>0</v>
      </c>
      <c r="DV683" s="37">
        <v>0</v>
      </c>
      <c r="DW683" s="37">
        <v>0</v>
      </c>
      <c r="DX683" s="37">
        <v>0</v>
      </c>
      <c r="DY683" s="37">
        <v>0</v>
      </c>
      <c r="DZ683" s="37">
        <v>0</v>
      </c>
      <c r="EA683" s="37">
        <v>0</v>
      </c>
      <c r="EB683" s="37">
        <v>0</v>
      </c>
      <c r="EC683" s="37">
        <v>0</v>
      </c>
      <c r="ED683" s="37">
        <v>0</v>
      </c>
      <c r="EE683" s="37">
        <v>0</v>
      </c>
      <c r="EF683" s="37">
        <v>0</v>
      </c>
      <c r="EG683" s="37">
        <v>0</v>
      </c>
      <c r="EH683" s="37">
        <v>0</v>
      </c>
      <c r="EI683" s="37">
        <v>0</v>
      </c>
      <c r="EJ683" s="37">
        <v>0</v>
      </c>
      <c r="EK683" s="161" t="s">
        <v>2830</v>
      </c>
      <c r="EL683" s="294" t="s">
        <v>1124</v>
      </c>
    </row>
    <row r="684" spans="1:142" ht="15" customHeight="1" x14ac:dyDescent="0.35">
      <c r="A684" s="34"/>
      <c r="B684" s="313">
        <v>33102</v>
      </c>
      <c r="C684" s="8" t="s">
        <v>282</v>
      </c>
      <c r="D684" s="18">
        <v>12</v>
      </c>
      <c r="E684" s="155">
        <v>336459</v>
      </c>
      <c r="F684" s="36">
        <v>71026</v>
      </c>
      <c r="G684" s="37">
        <v>36375</v>
      </c>
      <c r="H684" s="37">
        <v>4690</v>
      </c>
      <c r="I684" s="37">
        <v>73938</v>
      </c>
      <c r="J684" s="37">
        <v>14066</v>
      </c>
      <c r="K684" s="37">
        <v>50468.85</v>
      </c>
      <c r="L684" s="37">
        <v>10653.9</v>
      </c>
      <c r="M684" s="37">
        <v>497240.85</v>
      </c>
      <c r="N684" s="37">
        <v>100435.9</v>
      </c>
      <c r="O684" s="37">
        <v>10227</v>
      </c>
      <c r="P684" s="37">
        <v>0</v>
      </c>
      <c r="Q684" s="37">
        <v>277725</v>
      </c>
      <c r="R684" s="37">
        <v>197453</v>
      </c>
      <c r="S684" s="37">
        <v>16353</v>
      </c>
      <c r="T684" s="37">
        <v>5021</v>
      </c>
      <c r="U684" s="37">
        <v>5406</v>
      </c>
      <c r="V684" s="37">
        <v>7859</v>
      </c>
      <c r="W684" s="37">
        <v>38817</v>
      </c>
      <c r="X684" s="37">
        <v>38816</v>
      </c>
      <c r="Y684" s="37">
        <v>0</v>
      </c>
      <c r="Z684" s="37">
        <v>0</v>
      </c>
      <c r="AA684" s="37">
        <v>348528</v>
      </c>
      <c r="AB684" s="37">
        <v>249149</v>
      </c>
      <c r="AC684" s="37">
        <v>0.25</v>
      </c>
      <c r="AD684" s="37">
        <v>0</v>
      </c>
      <c r="AE684" s="37">
        <v>548878</v>
      </c>
      <c r="AF684" s="168">
        <v>0.02</v>
      </c>
      <c r="AG684" s="37">
        <v>32356443.710000001</v>
      </c>
      <c r="AH684" s="37">
        <v>221844.9</v>
      </c>
      <c r="AI684" s="37">
        <v>226281.8</v>
      </c>
      <c r="AJ684" s="37">
        <v>230807.43</v>
      </c>
      <c r="AK684" s="37">
        <v>235423.58</v>
      </c>
      <c r="AL684" s="37">
        <v>240132.05</v>
      </c>
      <c r="AM684" s="37">
        <v>244934.7</v>
      </c>
      <c r="AN684" s="37">
        <v>249833.39</v>
      </c>
      <c r="AO684" s="37">
        <v>254830.06</v>
      </c>
      <c r="AP684" s="37">
        <v>259926.66</v>
      </c>
      <c r="AQ684" s="37">
        <v>265125.19</v>
      </c>
      <c r="AR684" s="37">
        <v>2429139.7599999998</v>
      </c>
      <c r="AS684" s="37">
        <v>963459.36</v>
      </c>
      <c r="AT684" s="37">
        <v>0</v>
      </c>
      <c r="AU684" s="37">
        <v>2440778.4</v>
      </c>
      <c r="AV684" s="37">
        <v>2489593.9700000002</v>
      </c>
      <c r="AW684" s="37">
        <v>0</v>
      </c>
      <c r="AX684" s="37">
        <v>0</v>
      </c>
      <c r="AY684" s="37">
        <v>0</v>
      </c>
      <c r="AZ684" s="37">
        <v>0</v>
      </c>
      <c r="BA684" s="37">
        <v>0</v>
      </c>
      <c r="BB684" s="37">
        <v>0</v>
      </c>
      <c r="BC684" s="37">
        <v>0</v>
      </c>
      <c r="BD684" s="37">
        <v>4930372.37</v>
      </c>
      <c r="BE684" s="37">
        <v>0</v>
      </c>
      <c r="BF684" s="37">
        <v>50447.167570167127</v>
      </c>
      <c r="BG684" s="37">
        <v>54375.679857300856</v>
      </c>
      <c r="BH684" s="37">
        <v>66938.868527789586</v>
      </c>
      <c r="BI684" s="37">
        <v>79502.084044742514</v>
      </c>
      <c r="BJ684" s="37">
        <v>8634.6763833549758</v>
      </c>
      <c r="BK684" s="37">
        <v>41812.491186812098</v>
      </c>
      <c r="BL684" s="37">
        <v>54375.679857300856</v>
      </c>
      <c r="BM684" s="37">
        <v>66938.868527789586</v>
      </c>
      <c r="BN684" s="37">
        <v>79502.084044742514</v>
      </c>
      <c r="BO684" s="37">
        <v>0</v>
      </c>
      <c r="BP684" s="37">
        <v>502527.60000000009</v>
      </c>
      <c r="BQ684" s="37">
        <v>0</v>
      </c>
      <c r="BR684" s="37">
        <v>25187.063045601739</v>
      </c>
      <c r="BS684" s="37">
        <v>27148.475180660294</v>
      </c>
      <c r="BT684" s="37">
        <v>33420.974516867151</v>
      </c>
      <c r="BU684" s="37">
        <v>39693.48725687086</v>
      </c>
      <c r="BV684" s="37">
        <v>4311.0872011482816</v>
      </c>
      <c r="BW684" s="37">
        <v>20875.975844453431</v>
      </c>
      <c r="BX684" s="37">
        <v>27148.475180660294</v>
      </c>
      <c r="BY684" s="37">
        <v>33420.974516867151</v>
      </c>
      <c r="BZ684" s="37">
        <v>39693.48725687086</v>
      </c>
      <c r="CA684" s="37">
        <v>0</v>
      </c>
      <c r="CB684" s="37">
        <v>250900.00000000006</v>
      </c>
      <c r="CC684" s="37">
        <v>0</v>
      </c>
      <c r="CD684" s="37">
        <v>0</v>
      </c>
      <c r="CE684" s="37">
        <v>0</v>
      </c>
      <c r="CF684" s="37">
        <v>0</v>
      </c>
      <c r="CG684" s="37">
        <v>0</v>
      </c>
      <c r="CH684" s="37">
        <v>0</v>
      </c>
      <c r="CI684" s="37">
        <v>0</v>
      </c>
      <c r="CJ684" s="37">
        <v>0</v>
      </c>
      <c r="CK684" s="37">
        <v>0</v>
      </c>
      <c r="CL684" s="37">
        <v>0</v>
      </c>
      <c r="CM684" s="37">
        <v>0</v>
      </c>
      <c r="CN684" s="37">
        <v>0</v>
      </c>
      <c r="CO684" s="37">
        <v>0</v>
      </c>
      <c r="CP684" s="37">
        <v>0</v>
      </c>
      <c r="CQ684" s="37">
        <v>0</v>
      </c>
      <c r="CR684" s="37">
        <v>0</v>
      </c>
      <c r="CS684" s="37">
        <v>0</v>
      </c>
      <c r="CT684" s="37">
        <v>0</v>
      </c>
      <c r="CU684" s="37">
        <v>0</v>
      </c>
      <c r="CV684" s="37">
        <v>0</v>
      </c>
      <c r="CW684" s="37">
        <v>0</v>
      </c>
      <c r="CX684" s="37">
        <v>0</v>
      </c>
      <c r="CY684" s="37">
        <v>0</v>
      </c>
      <c r="CZ684" s="37">
        <v>0</v>
      </c>
      <c r="DA684" s="37">
        <v>0</v>
      </c>
      <c r="DB684" s="37">
        <v>0</v>
      </c>
      <c r="DC684" s="37">
        <v>0</v>
      </c>
      <c r="DD684" s="37">
        <v>0</v>
      </c>
      <c r="DE684" s="37">
        <v>0</v>
      </c>
      <c r="DF684" s="37">
        <v>0</v>
      </c>
      <c r="DG684" s="37">
        <v>0</v>
      </c>
      <c r="DH684" s="37">
        <v>0</v>
      </c>
      <c r="DI684" s="37">
        <v>0</v>
      </c>
      <c r="DJ684" s="37">
        <v>0</v>
      </c>
      <c r="DK684" s="37">
        <v>0</v>
      </c>
      <c r="DL684" s="37">
        <v>0</v>
      </c>
      <c r="DM684" s="37">
        <v>0</v>
      </c>
      <c r="DN684" s="37">
        <v>0</v>
      </c>
      <c r="DO684" s="37">
        <v>0</v>
      </c>
      <c r="DP684" s="37">
        <v>0</v>
      </c>
      <c r="DQ684" s="37">
        <v>0</v>
      </c>
      <c r="DR684" s="37">
        <v>0</v>
      </c>
      <c r="DS684" s="37">
        <v>0</v>
      </c>
      <c r="DT684" s="37">
        <v>0</v>
      </c>
      <c r="DU684" s="37">
        <v>0</v>
      </c>
      <c r="DV684" s="37">
        <v>0</v>
      </c>
      <c r="DW684" s="37">
        <v>0</v>
      </c>
      <c r="DX684" s="37">
        <v>0</v>
      </c>
      <c r="DY684" s="37">
        <v>0</v>
      </c>
      <c r="DZ684" s="37">
        <v>0</v>
      </c>
      <c r="EA684" s="37">
        <v>0</v>
      </c>
      <c r="EB684" s="37">
        <v>0</v>
      </c>
      <c r="EC684" s="37">
        <v>0</v>
      </c>
      <c r="ED684" s="37">
        <v>0</v>
      </c>
      <c r="EE684" s="37">
        <v>0</v>
      </c>
      <c r="EF684" s="37">
        <v>0</v>
      </c>
      <c r="EG684" s="37">
        <v>0</v>
      </c>
      <c r="EH684" s="37">
        <v>0</v>
      </c>
      <c r="EI684" s="37">
        <v>0</v>
      </c>
      <c r="EJ684" s="37">
        <v>0</v>
      </c>
      <c r="EK684" s="161" t="s">
        <v>2834</v>
      </c>
      <c r="EL684" s="294" t="s">
        <v>1124</v>
      </c>
    </row>
    <row r="685" spans="1:142" ht="15" customHeight="1" x14ac:dyDescent="0.35">
      <c r="A685" s="34"/>
      <c r="B685" s="313">
        <v>49100</v>
      </c>
      <c r="C685" s="8" t="s">
        <v>477</v>
      </c>
      <c r="D685" s="18">
        <v>17</v>
      </c>
      <c r="E685" s="155"/>
      <c r="F685" s="36"/>
      <c r="G685" s="37"/>
      <c r="H685" s="37"/>
      <c r="I685" s="37"/>
      <c r="J685" s="37"/>
      <c r="K685" s="37"/>
      <c r="L685" s="37"/>
      <c r="M685" s="37" t="s">
        <v>1124</v>
      </c>
      <c r="N685" s="37" t="s">
        <v>1124</v>
      </c>
      <c r="O685" s="37"/>
      <c r="P685" s="37"/>
      <c r="Q685" s="37"/>
      <c r="R685" s="37"/>
      <c r="S685" s="37"/>
      <c r="T685" s="37"/>
      <c r="U685" s="37"/>
      <c r="V685" s="37"/>
      <c r="W685" s="37"/>
      <c r="X685" s="37"/>
      <c r="Y685" s="37"/>
      <c r="Z685" s="37"/>
      <c r="AA685" s="37" t="s">
        <v>1124</v>
      </c>
      <c r="AB685" s="37" t="s">
        <v>1124</v>
      </c>
      <c r="AC685" s="37"/>
      <c r="AD685" s="37"/>
      <c r="AE685" s="37"/>
      <c r="AF685" s="168"/>
      <c r="AG685" s="37"/>
      <c r="AH685" s="37"/>
      <c r="AI685" s="37"/>
      <c r="AJ685" s="37"/>
      <c r="AK685" s="37"/>
      <c r="AL685" s="37"/>
      <c r="AM685" s="37"/>
      <c r="AN685" s="37"/>
      <c r="AO685" s="37"/>
      <c r="AP685" s="37"/>
      <c r="AQ685" s="37"/>
      <c r="AR685" s="37" t="s">
        <v>1124</v>
      </c>
      <c r="AS685" s="37"/>
      <c r="AT685" s="37"/>
      <c r="AU685" s="37"/>
      <c r="AV685" s="37"/>
      <c r="AW685" s="37"/>
      <c r="AX685" s="37"/>
      <c r="AY685" s="37"/>
      <c r="AZ685" s="37"/>
      <c r="BA685" s="37"/>
      <c r="BB685" s="37"/>
      <c r="BC685" s="37"/>
      <c r="BD685" s="37" t="s">
        <v>1124</v>
      </c>
      <c r="BE685" s="37"/>
      <c r="BF685" s="37"/>
      <c r="BG685" s="37"/>
      <c r="BH685" s="37"/>
      <c r="BI685" s="37"/>
      <c r="BJ685" s="37"/>
      <c r="BK685" s="37"/>
      <c r="BL685" s="37"/>
      <c r="BM685" s="37"/>
      <c r="BN685" s="37"/>
      <c r="BO685" s="37"/>
      <c r="BP685" s="37">
        <v>0</v>
      </c>
      <c r="BQ685" s="37"/>
      <c r="BR685" s="37"/>
      <c r="BS685" s="37"/>
      <c r="BT685" s="37"/>
      <c r="BU685" s="37"/>
      <c r="BV685" s="37"/>
      <c r="BW685" s="37"/>
      <c r="BX685" s="37"/>
      <c r="BY685" s="37"/>
      <c r="BZ685" s="37"/>
      <c r="CA685" s="37"/>
      <c r="CB685" s="37" t="s">
        <v>1124</v>
      </c>
      <c r="CC685" s="37"/>
      <c r="CD685" s="37"/>
      <c r="CE685" s="37"/>
      <c r="CF685" s="37"/>
      <c r="CG685" s="37"/>
      <c r="CH685" s="37"/>
      <c r="CI685" s="37"/>
      <c r="CJ685" s="37"/>
      <c r="CK685" s="37"/>
      <c r="CL685" s="37"/>
      <c r="CM685" s="37"/>
      <c r="CN685" s="37" t="s">
        <v>1124</v>
      </c>
      <c r="CO685" s="37"/>
      <c r="CP685" s="37"/>
      <c r="CQ685" s="37"/>
      <c r="CR685" s="37"/>
      <c r="CS685" s="37"/>
      <c r="CT685" s="37"/>
      <c r="CU685" s="37"/>
      <c r="CV685" s="37"/>
      <c r="CW685" s="37"/>
      <c r="CX685" s="37"/>
      <c r="CY685" s="37"/>
      <c r="CZ685" s="37" t="s">
        <v>1124</v>
      </c>
      <c r="DA685" s="37"/>
      <c r="DB685" s="37"/>
      <c r="DC685" s="37"/>
      <c r="DD685" s="37"/>
      <c r="DE685" s="37"/>
      <c r="DF685" s="37"/>
      <c r="DG685" s="37"/>
      <c r="DH685" s="37"/>
      <c r="DI685" s="37"/>
      <c r="DJ685" s="37"/>
      <c r="DK685" s="37"/>
      <c r="DL685" s="37" t="s">
        <v>1124</v>
      </c>
      <c r="DM685" s="37"/>
      <c r="DN685" s="37"/>
      <c r="DO685" s="37"/>
      <c r="DP685" s="37"/>
      <c r="DQ685" s="37"/>
      <c r="DR685" s="37"/>
      <c r="DS685" s="37"/>
      <c r="DT685" s="37"/>
      <c r="DU685" s="37"/>
      <c r="DV685" s="37"/>
      <c r="DW685" s="37"/>
      <c r="DX685" s="37" t="s">
        <v>1124</v>
      </c>
      <c r="DY685" s="37"/>
      <c r="DZ685" s="37"/>
      <c r="EA685" s="37"/>
      <c r="EB685" s="37"/>
      <c r="EC685" s="37"/>
      <c r="ED685" s="37"/>
      <c r="EE685" s="37"/>
      <c r="EF685" s="37"/>
      <c r="EG685" s="37"/>
      <c r="EH685" s="37"/>
      <c r="EI685" s="37"/>
      <c r="EJ685" s="37" t="s">
        <v>1124</v>
      </c>
      <c r="EK685" s="161"/>
      <c r="EL685" s="294"/>
    </row>
    <row r="686" spans="1:142" ht="15" customHeight="1" x14ac:dyDescent="0.35">
      <c r="A686" s="34"/>
      <c r="B686" s="314">
        <v>92050</v>
      </c>
      <c r="C686" s="8" t="s">
        <v>953</v>
      </c>
      <c r="D686" s="18">
        <v>2</v>
      </c>
      <c r="E686" s="155">
        <v>15609</v>
      </c>
      <c r="F686" s="36">
        <v>4493</v>
      </c>
      <c r="G686" s="37">
        <v>3300</v>
      </c>
      <c r="H686" s="37">
        <v>10227</v>
      </c>
      <c r="I686" s="37">
        <v>17000</v>
      </c>
      <c r="J686" s="37">
        <v>12000</v>
      </c>
      <c r="K686" s="37">
        <v>2755</v>
      </c>
      <c r="L686" s="37">
        <v>793</v>
      </c>
      <c r="M686" s="37">
        <v>38664</v>
      </c>
      <c r="N686" s="37">
        <v>27513</v>
      </c>
      <c r="O686" s="37">
        <v>0</v>
      </c>
      <c r="P686" s="37">
        <v>0</v>
      </c>
      <c r="Q686" s="37">
        <v>55100</v>
      </c>
      <c r="R686" s="37">
        <v>12555</v>
      </c>
      <c r="S686" s="37">
        <v>1330</v>
      </c>
      <c r="T686" s="37">
        <v>0</v>
      </c>
      <c r="U686" s="37">
        <v>0</v>
      </c>
      <c r="V686" s="37">
        <v>0</v>
      </c>
      <c r="W686" s="37">
        <v>0</v>
      </c>
      <c r="X686" s="37">
        <v>0</v>
      </c>
      <c r="Y686" s="37">
        <v>0</v>
      </c>
      <c r="Z686" s="37">
        <v>0</v>
      </c>
      <c r="AA686" s="37">
        <v>56430</v>
      </c>
      <c r="AB686" s="37">
        <v>12555</v>
      </c>
      <c r="AC686" s="37">
        <v>2808</v>
      </c>
      <c r="AD686" s="37">
        <v>0</v>
      </c>
      <c r="AE686" s="37">
        <v>0</v>
      </c>
      <c r="AF686" s="168">
        <v>0.02</v>
      </c>
      <c r="AG686" s="37">
        <v>8407677.9399999995</v>
      </c>
      <c r="AH686" s="37">
        <v>32181.200000000001</v>
      </c>
      <c r="AI686" s="37">
        <v>32824.82</v>
      </c>
      <c r="AJ686" s="37">
        <v>33481.32</v>
      </c>
      <c r="AK686" s="37">
        <v>34150.949999999997</v>
      </c>
      <c r="AL686" s="37">
        <v>34833.97</v>
      </c>
      <c r="AM686" s="37">
        <v>35530.639999999999</v>
      </c>
      <c r="AN686" s="37">
        <v>36241.26</v>
      </c>
      <c r="AO686" s="37">
        <v>36966.080000000002</v>
      </c>
      <c r="AP686" s="37">
        <v>37705.4</v>
      </c>
      <c r="AQ686" s="37">
        <v>38459.51</v>
      </c>
      <c r="AR686" s="37">
        <v>352375.15</v>
      </c>
      <c r="AS686" s="37">
        <v>16367.09</v>
      </c>
      <c r="AT686" s="37">
        <v>81600</v>
      </c>
      <c r="AU686" s="37">
        <v>884340</v>
      </c>
      <c r="AV686" s="37">
        <v>902026.8</v>
      </c>
      <c r="AW686" s="37">
        <v>920067.34</v>
      </c>
      <c r="AX686" s="37">
        <v>0</v>
      </c>
      <c r="AY686" s="37">
        <v>0</v>
      </c>
      <c r="AZ686" s="37">
        <v>0</v>
      </c>
      <c r="BA686" s="37">
        <v>0</v>
      </c>
      <c r="BB686" s="37">
        <v>0</v>
      </c>
      <c r="BC686" s="37">
        <v>0</v>
      </c>
      <c r="BD686" s="37">
        <v>2788034.14</v>
      </c>
      <c r="BE686" s="37">
        <v>281175</v>
      </c>
      <c r="BF686" s="37">
        <v>0</v>
      </c>
      <c r="BG686" s="37">
        <v>0</v>
      </c>
      <c r="BH686" s="37">
        <v>0</v>
      </c>
      <c r="BI686" s="37">
        <v>0</v>
      </c>
      <c r="BJ686" s="37">
        <v>0</v>
      </c>
      <c r="BK686" s="37">
        <v>0</v>
      </c>
      <c r="BL686" s="37">
        <v>0</v>
      </c>
      <c r="BM686" s="37">
        <v>0</v>
      </c>
      <c r="BN686" s="37">
        <v>0</v>
      </c>
      <c r="BO686" s="37">
        <v>0</v>
      </c>
      <c r="BP686" s="37">
        <v>0</v>
      </c>
      <c r="BQ686" s="37">
        <v>130000</v>
      </c>
      <c r="BR686" s="37">
        <v>0</v>
      </c>
      <c r="BS686" s="37">
        <v>0</v>
      </c>
      <c r="BT686" s="37">
        <v>0</v>
      </c>
      <c r="BU686" s="37">
        <v>0</v>
      </c>
      <c r="BV686" s="37">
        <v>0</v>
      </c>
      <c r="BW686" s="37">
        <v>0</v>
      </c>
      <c r="BX686" s="37">
        <v>0</v>
      </c>
      <c r="BY686" s="37">
        <v>0</v>
      </c>
      <c r="BZ686" s="37">
        <v>0</v>
      </c>
      <c r="CA686" s="37">
        <v>0</v>
      </c>
      <c r="CB686" s="37">
        <v>0</v>
      </c>
      <c r="CC686" s="37">
        <v>0</v>
      </c>
      <c r="CD686" s="37">
        <v>0</v>
      </c>
      <c r="CE686" s="37">
        <v>0</v>
      </c>
      <c r="CF686" s="37">
        <v>0</v>
      </c>
      <c r="CG686" s="37">
        <v>0</v>
      </c>
      <c r="CH686" s="37">
        <v>0</v>
      </c>
      <c r="CI686" s="37">
        <v>0</v>
      </c>
      <c r="CJ686" s="37">
        <v>0</v>
      </c>
      <c r="CK686" s="37">
        <v>0</v>
      </c>
      <c r="CL686" s="37">
        <v>0</v>
      </c>
      <c r="CM686" s="37">
        <v>0</v>
      </c>
      <c r="CN686" s="37">
        <v>0</v>
      </c>
      <c r="CO686" s="37">
        <v>0</v>
      </c>
      <c r="CP686" s="37">
        <v>115000</v>
      </c>
      <c r="CQ686" s="37">
        <v>2500000</v>
      </c>
      <c r="CR686" s="37">
        <v>0</v>
      </c>
      <c r="CS686" s="37">
        <v>0</v>
      </c>
      <c r="CT686" s="37">
        <v>0</v>
      </c>
      <c r="CU686" s="37">
        <v>0</v>
      </c>
      <c r="CV686" s="37">
        <v>0</v>
      </c>
      <c r="CW686" s="37">
        <v>0</v>
      </c>
      <c r="CX686" s="37">
        <v>0</v>
      </c>
      <c r="CY686" s="37">
        <v>0</v>
      </c>
      <c r="CZ686" s="37">
        <v>2615000</v>
      </c>
      <c r="DA686" s="37">
        <v>0</v>
      </c>
      <c r="DB686" s="37">
        <v>28750</v>
      </c>
      <c r="DC686" s="37">
        <v>0</v>
      </c>
      <c r="DD686" s="37">
        <v>0</v>
      </c>
      <c r="DE686" s="37">
        <v>0</v>
      </c>
      <c r="DF686" s="37">
        <v>0</v>
      </c>
      <c r="DG686" s="37">
        <v>0</v>
      </c>
      <c r="DH686" s="37">
        <v>0</v>
      </c>
      <c r="DI686" s="37">
        <v>0</v>
      </c>
      <c r="DJ686" s="37">
        <v>0</v>
      </c>
      <c r="DK686" s="37">
        <v>0</v>
      </c>
      <c r="DL686" s="37">
        <v>28750</v>
      </c>
      <c r="DM686" s="37">
        <v>0</v>
      </c>
      <c r="DN686" s="37">
        <v>0</v>
      </c>
      <c r="DO686" s="37">
        <v>0</v>
      </c>
      <c r="DP686" s="37">
        <v>0</v>
      </c>
      <c r="DQ686" s="37">
        <v>0</v>
      </c>
      <c r="DR686" s="37">
        <v>0</v>
      </c>
      <c r="DS686" s="37">
        <v>0</v>
      </c>
      <c r="DT686" s="37">
        <v>0</v>
      </c>
      <c r="DU686" s="37">
        <v>0</v>
      </c>
      <c r="DV686" s="37">
        <v>0</v>
      </c>
      <c r="DW686" s="37">
        <v>0</v>
      </c>
      <c r="DX686" s="37">
        <v>0</v>
      </c>
      <c r="DY686" s="37">
        <v>0</v>
      </c>
      <c r="DZ686" s="37">
        <v>0</v>
      </c>
      <c r="EA686" s="37">
        <v>0</v>
      </c>
      <c r="EB686" s="37">
        <v>0</v>
      </c>
      <c r="EC686" s="37">
        <v>0</v>
      </c>
      <c r="ED686" s="37">
        <v>0</v>
      </c>
      <c r="EE686" s="37">
        <v>0</v>
      </c>
      <c r="EF686" s="37">
        <v>0</v>
      </c>
      <c r="EG686" s="37">
        <v>0</v>
      </c>
      <c r="EH686" s="37">
        <v>0</v>
      </c>
      <c r="EI686" s="37">
        <v>0</v>
      </c>
      <c r="EJ686" s="37">
        <v>0</v>
      </c>
      <c r="EK686" s="161" t="s">
        <v>2837</v>
      </c>
      <c r="EL686" s="294" t="s">
        <v>1124</v>
      </c>
    </row>
    <row r="687" spans="1:142" ht="15" customHeight="1" x14ac:dyDescent="0.35">
      <c r="A687" s="34"/>
      <c r="B687" s="313">
        <v>68045</v>
      </c>
      <c r="C687" s="8" t="s">
        <v>681</v>
      </c>
      <c r="D687" s="18">
        <v>16</v>
      </c>
      <c r="E687" s="155"/>
      <c r="F687" s="36"/>
      <c r="G687" s="37"/>
      <c r="H687" s="37"/>
      <c r="I687" s="37"/>
      <c r="J687" s="37"/>
      <c r="K687" s="37"/>
      <c r="L687" s="37"/>
      <c r="M687" s="37" t="s">
        <v>1124</v>
      </c>
      <c r="N687" s="37" t="s">
        <v>1124</v>
      </c>
      <c r="O687" s="37"/>
      <c r="P687" s="37"/>
      <c r="Q687" s="37"/>
      <c r="R687" s="37"/>
      <c r="S687" s="37"/>
      <c r="T687" s="37"/>
      <c r="U687" s="37"/>
      <c r="V687" s="37"/>
      <c r="W687" s="37"/>
      <c r="X687" s="37"/>
      <c r="Y687" s="37"/>
      <c r="Z687" s="37"/>
      <c r="AA687" s="37" t="s">
        <v>1124</v>
      </c>
      <c r="AB687" s="37" t="s">
        <v>1124</v>
      </c>
      <c r="AC687" s="37"/>
      <c r="AD687" s="37"/>
      <c r="AE687" s="37"/>
      <c r="AF687" s="168"/>
      <c r="AG687" s="37"/>
      <c r="AH687" s="37"/>
      <c r="AI687" s="37"/>
      <c r="AJ687" s="37"/>
      <c r="AK687" s="37"/>
      <c r="AL687" s="37"/>
      <c r="AM687" s="37"/>
      <c r="AN687" s="37"/>
      <c r="AO687" s="37"/>
      <c r="AP687" s="37"/>
      <c r="AQ687" s="37"/>
      <c r="AR687" s="37" t="s">
        <v>1124</v>
      </c>
      <c r="AS687" s="37"/>
      <c r="AT687" s="37"/>
      <c r="AU687" s="37"/>
      <c r="AV687" s="37"/>
      <c r="AW687" s="37"/>
      <c r="AX687" s="37"/>
      <c r="AY687" s="37"/>
      <c r="AZ687" s="37"/>
      <c r="BA687" s="37"/>
      <c r="BB687" s="37"/>
      <c r="BC687" s="37"/>
      <c r="BD687" s="37" t="s">
        <v>1124</v>
      </c>
      <c r="BE687" s="37"/>
      <c r="BF687" s="37"/>
      <c r="BG687" s="37"/>
      <c r="BH687" s="37"/>
      <c r="BI687" s="37"/>
      <c r="BJ687" s="37"/>
      <c r="BK687" s="37"/>
      <c r="BL687" s="37"/>
      <c r="BM687" s="37"/>
      <c r="BN687" s="37"/>
      <c r="BO687" s="37"/>
      <c r="BP687" s="37">
        <v>0</v>
      </c>
      <c r="BQ687" s="37"/>
      <c r="BR687" s="37"/>
      <c r="BS687" s="37"/>
      <c r="BT687" s="37"/>
      <c r="BU687" s="37"/>
      <c r="BV687" s="37"/>
      <c r="BW687" s="37"/>
      <c r="BX687" s="37"/>
      <c r="BY687" s="37"/>
      <c r="BZ687" s="37"/>
      <c r="CA687" s="37"/>
      <c r="CB687" s="37" t="s">
        <v>1124</v>
      </c>
      <c r="CC687" s="37"/>
      <c r="CD687" s="37"/>
      <c r="CE687" s="37"/>
      <c r="CF687" s="37"/>
      <c r="CG687" s="37"/>
      <c r="CH687" s="37"/>
      <c r="CI687" s="37"/>
      <c r="CJ687" s="37"/>
      <c r="CK687" s="37"/>
      <c r="CL687" s="37"/>
      <c r="CM687" s="37"/>
      <c r="CN687" s="37" t="s">
        <v>1124</v>
      </c>
      <c r="CO687" s="37"/>
      <c r="CP687" s="37"/>
      <c r="CQ687" s="37"/>
      <c r="CR687" s="37"/>
      <c r="CS687" s="37"/>
      <c r="CT687" s="37"/>
      <c r="CU687" s="37"/>
      <c r="CV687" s="37"/>
      <c r="CW687" s="37"/>
      <c r="CX687" s="37"/>
      <c r="CY687" s="37"/>
      <c r="CZ687" s="37" t="s">
        <v>1124</v>
      </c>
      <c r="DA687" s="37"/>
      <c r="DB687" s="37"/>
      <c r="DC687" s="37"/>
      <c r="DD687" s="37"/>
      <c r="DE687" s="37"/>
      <c r="DF687" s="37"/>
      <c r="DG687" s="37"/>
      <c r="DH687" s="37"/>
      <c r="DI687" s="37"/>
      <c r="DJ687" s="37"/>
      <c r="DK687" s="37"/>
      <c r="DL687" s="37" t="s">
        <v>1124</v>
      </c>
      <c r="DM687" s="37"/>
      <c r="DN687" s="37"/>
      <c r="DO687" s="37"/>
      <c r="DP687" s="37"/>
      <c r="DQ687" s="37"/>
      <c r="DR687" s="37"/>
      <c r="DS687" s="37"/>
      <c r="DT687" s="37"/>
      <c r="DU687" s="37"/>
      <c r="DV687" s="37"/>
      <c r="DW687" s="37"/>
      <c r="DX687" s="37" t="s">
        <v>1124</v>
      </c>
      <c r="DY687" s="37"/>
      <c r="DZ687" s="37"/>
      <c r="EA687" s="37"/>
      <c r="EB687" s="37"/>
      <c r="EC687" s="37"/>
      <c r="ED687" s="37"/>
      <c r="EE687" s="37"/>
      <c r="EF687" s="37"/>
      <c r="EG687" s="37"/>
      <c r="EH687" s="37"/>
      <c r="EI687" s="37"/>
      <c r="EJ687" s="37" t="s">
        <v>1124</v>
      </c>
      <c r="EK687" s="161"/>
      <c r="EL687" s="294"/>
    </row>
    <row r="688" spans="1:142" ht="15" customHeight="1" x14ac:dyDescent="0.35">
      <c r="A688" s="34"/>
      <c r="B688" s="313">
        <v>85015</v>
      </c>
      <c r="C688" s="8" t="s">
        <v>872</v>
      </c>
      <c r="D688" s="18">
        <v>8</v>
      </c>
      <c r="E688" s="155">
        <v>116412</v>
      </c>
      <c r="F688" s="36">
        <v>77607</v>
      </c>
      <c r="G688" s="37">
        <v>12008</v>
      </c>
      <c r="H688" s="37">
        <v>0</v>
      </c>
      <c r="I688" s="37">
        <v>21100</v>
      </c>
      <c r="J688" s="37">
        <v>0</v>
      </c>
      <c r="K688" s="37">
        <v>58206</v>
      </c>
      <c r="L688" s="37">
        <v>11641</v>
      </c>
      <c r="M688" s="37">
        <v>207726</v>
      </c>
      <c r="N688" s="37">
        <v>89248</v>
      </c>
      <c r="O688" s="37">
        <v>0</v>
      </c>
      <c r="P688" s="37">
        <v>0</v>
      </c>
      <c r="Q688" s="37">
        <v>49128</v>
      </c>
      <c r="R688" s="37">
        <v>44943</v>
      </c>
      <c r="S688" s="37">
        <v>300</v>
      </c>
      <c r="T688" s="37">
        <v>0</v>
      </c>
      <c r="U688" s="37">
        <v>0</v>
      </c>
      <c r="V688" s="37">
        <v>0</v>
      </c>
      <c r="W688" s="37">
        <v>101302</v>
      </c>
      <c r="X688" s="37">
        <v>101301</v>
      </c>
      <c r="Y688" s="37">
        <v>0</v>
      </c>
      <c r="Z688" s="37">
        <v>0</v>
      </c>
      <c r="AA688" s="37">
        <v>150730</v>
      </c>
      <c r="AB688" s="37">
        <v>146244</v>
      </c>
      <c r="AC688" s="37">
        <v>0</v>
      </c>
      <c r="AD688" s="37">
        <v>0</v>
      </c>
      <c r="AE688" s="37">
        <v>0</v>
      </c>
      <c r="AF688" s="168">
        <v>0.02</v>
      </c>
      <c r="AG688" s="37">
        <v>14101129.109999999</v>
      </c>
      <c r="AH688" s="37">
        <v>126988.51</v>
      </c>
      <c r="AI688" s="37">
        <v>129528.28</v>
      </c>
      <c r="AJ688" s="37">
        <v>132118.84</v>
      </c>
      <c r="AK688" s="37">
        <v>134761.22</v>
      </c>
      <c r="AL688" s="37">
        <v>137456.45000000001</v>
      </c>
      <c r="AM688" s="37">
        <v>140205.57</v>
      </c>
      <c r="AN688" s="37">
        <v>143009.69</v>
      </c>
      <c r="AO688" s="37">
        <v>145869.88</v>
      </c>
      <c r="AP688" s="37">
        <v>148787.28</v>
      </c>
      <c r="AQ688" s="37">
        <v>151762.68</v>
      </c>
      <c r="AR688" s="37">
        <v>1390488.4000000001</v>
      </c>
      <c r="AS688" s="37">
        <v>292294.26</v>
      </c>
      <c r="AT688" s="37">
        <v>0</v>
      </c>
      <c r="AU688" s="37">
        <v>0</v>
      </c>
      <c r="AV688" s="37">
        <v>0</v>
      </c>
      <c r="AW688" s="37">
        <v>0</v>
      </c>
      <c r="AX688" s="37">
        <v>0</v>
      </c>
      <c r="AY688" s="37">
        <v>0</v>
      </c>
      <c r="AZ688" s="37">
        <v>0</v>
      </c>
      <c r="BA688" s="37">
        <v>0</v>
      </c>
      <c r="BB688" s="37">
        <v>0</v>
      </c>
      <c r="BC688" s="37">
        <v>0</v>
      </c>
      <c r="BD688" s="37">
        <v>0</v>
      </c>
      <c r="BE688" s="37">
        <v>254133</v>
      </c>
      <c r="BF688" s="37">
        <v>0</v>
      </c>
      <c r="BG688" s="37">
        <v>0</v>
      </c>
      <c r="BH688" s="37">
        <v>0</v>
      </c>
      <c r="BI688" s="37">
        <v>0</v>
      </c>
      <c r="BJ688" s="37">
        <v>0</v>
      </c>
      <c r="BK688" s="37">
        <v>0</v>
      </c>
      <c r="BL688" s="37">
        <v>0</v>
      </c>
      <c r="BM688" s="37">
        <v>0</v>
      </c>
      <c r="BN688" s="37">
        <v>0</v>
      </c>
      <c r="BO688" s="37">
        <v>0</v>
      </c>
      <c r="BP688" s="37">
        <v>0</v>
      </c>
      <c r="BQ688" s="37">
        <v>300000</v>
      </c>
      <c r="BR688" s="37">
        <v>0</v>
      </c>
      <c r="BS688" s="37">
        <v>0</v>
      </c>
      <c r="BT688" s="37">
        <v>0</v>
      </c>
      <c r="BU688" s="37">
        <v>0</v>
      </c>
      <c r="BV688" s="37">
        <v>0</v>
      </c>
      <c r="BW688" s="37">
        <v>0</v>
      </c>
      <c r="BX688" s="37">
        <v>0</v>
      </c>
      <c r="BY688" s="37">
        <v>0</v>
      </c>
      <c r="BZ688" s="37">
        <v>0</v>
      </c>
      <c r="CA688" s="37">
        <v>0</v>
      </c>
      <c r="CB688" s="37">
        <v>0</v>
      </c>
      <c r="CC688" s="37">
        <v>275000</v>
      </c>
      <c r="CD688" s="37">
        <v>0</v>
      </c>
      <c r="CE688" s="37">
        <v>0</v>
      </c>
      <c r="CF688" s="37">
        <v>0</v>
      </c>
      <c r="CG688" s="37">
        <v>0</v>
      </c>
      <c r="CH688" s="37">
        <v>0</v>
      </c>
      <c r="CI688" s="37">
        <v>0</v>
      </c>
      <c r="CJ688" s="37">
        <v>0</v>
      </c>
      <c r="CK688" s="37">
        <v>0</v>
      </c>
      <c r="CL688" s="37">
        <v>0</v>
      </c>
      <c r="CM688" s="37">
        <v>0</v>
      </c>
      <c r="CN688" s="37">
        <v>0</v>
      </c>
      <c r="CO688" s="37">
        <v>0</v>
      </c>
      <c r="CP688" s="37">
        <v>0</v>
      </c>
      <c r="CQ688" s="37">
        <v>0</v>
      </c>
      <c r="CR688" s="37">
        <v>0</v>
      </c>
      <c r="CS688" s="37">
        <v>0</v>
      </c>
      <c r="CT688" s="37">
        <v>0</v>
      </c>
      <c r="CU688" s="37">
        <v>0</v>
      </c>
      <c r="CV688" s="37">
        <v>0</v>
      </c>
      <c r="CW688" s="37">
        <v>0</v>
      </c>
      <c r="CX688" s="37">
        <v>0</v>
      </c>
      <c r="CY688" s="37">
        <v>0</v>
      </c>
      <c r="CZ688" s="37">
        <v>0</v>
      </c>
      <c r="DA688" s="37">
        <v>0</v>
      </c>
      <c r="DB688" s="37">
        <v>0</v>
      </c>
      <c r="DC688" s="37">
        <v>0</v>
      </c>
      <c r="DD688" s="37">
        <v>0</v>
      </c>
      <c r="DE688" s="37">
        <v>0</v>
      </c>
      <c r="DF688" s="37">
        <v>0</v>
      </c>
      <c r="DG688" s="37">
        <v>0</v>
      </c>
      <c r="DH688" s="37">
        <v>0</v>
      </c>
      <c r="DI688" s="37">
        <v>0</v>
      </c>
      <c r="DJ688" s="37">
        <v>0</v>
      </c>
      <c r="DK688" s="37">
        <v>0</v>
      </c>
      <c r="DL688" s="37">
        <v>0</v>
      </c>
      <c r="DM688" s="37">
        <v>18105</v>
      </c>
      <c r="DN688" s="37">
        <v>0</v>
      </c>
      <c r="DO688" s="37">
        <v>0</v>
      </c>
      <c r="DP688" s="37">
        <v>0</v>
      </c>
      <c r="DQ688" s="37">
        <v>0</v>
      </c>
      <c r="DR688" s="37">
        <v>0</v>
      </c>
      <c r="DS688" s="37">
        <v>0</v>
      </c>
      <c r="DT688" s="37">
        <v>0</v>
      </c>
      <c r="DU688" s="37">
        <v>0</v>
      </c>
      <c r="DV688" s="37">
        <v>0</v>
      </c>
      <c r="DW688" s="37">
        <v>0</v>
      </c>
      <c r="DX688" s="37">
        <v>0</v>
      </c>
      <c r="DY688" s="37">
        <v>0</v>
      </c>
      <c r="DZ688" s="37">
        <v>0</v>
      </c>
      <c r="EA688" s="37">
        <v>0</v>
      </c>
      <c r="EB688" s="37">
        <v>0</v>
      </c>
      <c r="EC688" s="37">
        <v>0</v>
      </c>
      <c r="ED688" s="37">
        <v>0</v>
      </c>
      <c r="EE688" s="37">
        <v>0</v>
      </c>
      <c r="EF688" s="37">
        <v>0</v>
      </c>
      <c r="EG688" s="37">
        <v>0</v>
      </c>
      <c r="EH688" s="37">
        <v>0</v>
      </c>
      <c r="EI688" s="37">
        <v>0</v>
      </c>
      <c r="EJ688" s="37">
        <v>0</v>
      </c>
      <c r="EK688" s="161" t="s">
        <v>2840</v>
      </c>
      <c r="EL688" s="294" t="s">
        <v>1124</v>
      </c>
    </row>
    <row r="689" spans="1:142" ht="15" customHeight="1" x14ac:dyDescent="0.35">
      <c r="A689" s="34"/>
      <c r="B689" s="313">
        <v>33080</v>
      </c>
      <c r="C689" s="8" t="s">
        <v>278</v>
      </c>
      <c r="D689" s="18">
        <v>12</v>
      </c>
      <c r="E689" s="155">
        <v>114601</v>
      </c>
      <c r="F689" s="36">
        <v>59667</v>
      </c>
      <c r="G689" s="37">
        <v>69354</v>
      </c>
      <c r="H689" s="37">
        <v>0</v>
      </c>
      <c r="I689" s="37">
        <v>147000</v>
      </c>
      <c r="J689" s="37">
        <v>0</v>
      </c>
      <c r="K689" s="37">
        <v>17190</v>
      </c>
      <c r="L689" s="37">
        <v>8950</v>
      </c>
      <c r="M689" s="37">
        <v>348145</v>
      </c>
      <c r="N689" s="37">
        <v>68617</v>
      </c>
      <c r="O689" s="37">
        <v>0</v>
      </c>
      <c r="P689" s="37">
        <v>0</v>
      </c>
      <c r="Q689" s="37">
        <v>116519</v>
      </c>
      <c r="R689" s="37">
        <v>46797</v>
      </c>
      <c r="S689" s="37">
        <v>487</v>
      </c>
      <c r="T689" s="37">
        <v>0</v>
      </c>
      <c r="U689" s="37">
        <v>10050</v>
      </c>
      <c r="V689" s="37">
        <v>461</v>
      </c>
      <c r="W689" s="37">
        <v>121224</v>
      </c>
      <c r="X689" s="37">
        <v>121224</v>
      </c>
      <c r="Y689" s="37">
        <v>0</v>
      </c>
      <c r="Z689" s="37">
        <v>0</v>
      </c>
      <c r="AA689" s="37">
        <v>248280</v>
      </c>
      <c r="AB689" s="37">
        <v>168482</v>
      </c>
      <c r="AC689" s="37">
        <v>0</v>
      </c>
      <c r="AD689" s="37">
        <v>0</v>
      </c>
      <c r="AE689" s="37">
        <v>0</v>
      </c>
      <c r="AF689" s="168">
        <v>0.02</v>
      </c>
      <c r="AG689" s="37">
        <v>20729236.870000001</v>
      </c>
      <c r="AH689" s="37">
        <v>182864.9</v>
      </c>
      <c r="AI689" s="37">
        <v>178032.54</v>
      </c>
      <c r="AJ689" s="37">
        <v>181593.19</v>
      </c>
      <c r="AK689" s="37">
        <v>185225.05</v>
      </c>
      <c r="AL689" s="37">
        <v>188929.55</v>
      </c>
      <c r="AM689" s="37">
        <v>192708.14</v>
      </c>
      <c r="AN689" s="37">
        <v>196562.31</v>
      </c>
      <c r="AO689" s="37">
        <v>200493.55</v>
      </c>
      <c r="AP689" s="37">
        <v>204503.42</v>
      </c>
      <c r="AQ689" s="37">
        <v>208593.49</v>
      </c>
      <c r="AR689" s="37">
        <v>1919506.14</v>
      </c>
      <c r="AS689" s="37">
        <v>0</v>
      </c>
      <c r="AT689" s="37">
        <v>0</v>
      </c>
      <c r="AU689" s="37">
        <v>530604</v>
      </c>
      <c r="AV689" s="37">
        <v>0</v>
      </c>
      <c r="AW689" s="37">
        <v>0</v>
      </c>
      <c r="AX689" s="37">
        <v>0</v>
      </c>
      <c r="AY689" s="37">
        <v>0</v>
      </c>
      <c r="AZ689" s="37">
        <v>0</v>
      </c>
      <c r="BA689" s="37">
        <v>0</v>
      </c>
      <c r="BB689" s="37">
        <v>0</v>
      </c>
      <c r="BC689" s="37">
        <v>0</v>
      </c>
      <c r="BD689" s="37">
        <v>530604</v>
      </c>
      <c r="BE689" s="37">
        <v>0</v>
      </c>
      <c r="BF689" s="37">
        <v>0</v>
      </c>
      <c r="BG689" s="37">
        <v>0</v>
      </c>
      <c r="BH689" s="37">
        <v>0</v>
      </c>
      <c r="BI689" s="37">
        <v>0</v>
      </c>
      <c r="BJ689" s="37">
        <v>0</v>
      </c>
      <c r="BK689" s="37">
        <v>0</v>
      </c>
      <c r="BL689" s="37">
        <v>0</v>
      </c>
      <c r="BM689" s="37">
        <v>0</v>
      </c>
      <c r="BN689" s="37">
        <v>0</v>
      </c>
      <c r="BO689" s="37">
        <v>0</v>
      </c>
      <c r="BP689" s="37">
        <v>0</v>
      </c>
      <c r="BQ689" s="37">
        <v>0</v>
      </c>
      <c r="BR689" s="37">
        <v>0</v>
      </c>
      <c r="BS689" s="37">
        <v>0</v>
      </c>
      <c r="BT689" s="37">
        <v>0</v>
      </c>
      <c r="BU689" s="37">
        <v>0</v>
      </c>
      <c r="BV689" s="37">
        <v>0</v>
      </c>
      <c r="BW689" s="37">
        <v>0</v>
      </c>
      <c r="BX689" s="37">
        <v>0</v>
      </c>
      <c r="BY689" s="37">
        <v>0</v>
      </c>
      <c r="BZ689" s="37">
        <v>0</v>
      </c>
      <c r="CA689" s="37">
        <v>0</v>
      </c>
      <c r="CB689" s="37">
        <v>0</v>
      </c>
      <c r="CC689" s="37">
        <v>0</v>
      </c>
      <c r="CD689" s="37">
        <v>0</v>
      </c>
      <c r="CE689" s="37">
        <v>0</v>
      </c>
      <c r="CF689" s="37">
        <v>0</v>
      </c>
      <c r="CG689" s="37">
        <v>0</v>
      </c>
      <c r="CH689" s="37">
        <v>0</v>
      </c>
      <c r="CI689" s="37">
        <v>0</v>
      </c>
      <c r="CJ689" s="37">
        <v>0</v>
      </c>
      <c r="CK689" s="37">
        <v>0</v>
      </c>
      <c r="CL689" s="37">
        <v>0</v>
      </c>
      <c r="CM689" s="37">
        <v>0</v>
      </c>
      <c r="CN689" s="37">
        <v>0</v>
      </c>
      <c r="CO689" s="37">
        <v>0</v>
      </c>
      <c r="CP689" s="37">
        <v>0</v>
      </c>
      <c r="CQ689" s="37">
        <v>0</v>
      </c>
      <c r="CR689" s="37">
        <v>0</v>
      </c>
      <c r="CS689" s="37">
        <v>0</v>
      </c>
      <c r="CT689" s="37">
        <v>0</v>
      </c>
      <c r="CU689" s="37">
        <v>0</v>
      </c>
      <c r="CV689" s="37">
        <v>0</v>
      </c>
      <c r="CW689" s="37">
        <v>0</v>
      </c>
      <c r="CX689" s="37">
        <v>0</v>
      </c>
      <c r="CY689" s="37">
        <v>0</v>
      </c>
      <c r="CZ689" s="37">
        <v>0</v>
      </c>
      <c r="DA689" s="37">
        <v>0</v>
      </c>
      <c r="DB689" s="37">
        <v>0</v>
      </c>
      <c r="DC689" s="37">
        <v>0</v>
      </c>
      <c r="DD689" s="37">
        <v>0</v>
      </c>
      <c r="DE689" s="37">
        <v>0</v>
      </c>
      <c r="DF689" s="37">
        <v>0</v>
      </c>
      <c r="DG689" s="37">
        <v>0</v>
      </c>
      <c r="DH689" s="37">
        <v>0</v>
      </c>
      <c r="DI689" s="37">
        <v>0</v>
      </c>
      <c r="DJ689" s="37">
        <v>0</v>
      </c>
      <c r="DK689" s="37">
        <v>0</v>
      </c>
      <c r="DL689" s="37">
        <v>0</v>
      </c>
      <c r="DM689" s="37">
        <v>0</v>
      </c>
      <c r="DN689" s="37">
        <v>0</v>
      </c>
      <c r="DO689" s="37">
        <v>0</v>
      </c>
      <c r="DP689" s="37">
        <v>0</v>
      </c>
      <c r="DQ689" s="37">
        <v>0</v>
      </c>
      <c r="DR689" s="37">
        <v>0</v>
      </c>
      <c r="DS689" s="37">
        <v>0</v>
      </c>
      <c r="DT689" s="37">
        <v>0</v>
      </c>
      <c r="DU689" s="37">
        <v>0</v>
      </c>
      <c r="DV689" s="37">
        <v>0</v>
      </c>
      <c r="DW689" s="37">
        <v>0</v>
      </c>
      <c r="DX689" s="37">
        <v>0</v>
      </c>
      <c r="DY689" s="37">
        <v>0</v>
      </c>
      <c r="DZ689" s="37">
        <v>0</v>
      </c>
      <c r="EA689" s="37">
        <v>0</v>
      </c>
      <c r="EB689" s="37">
        <v>0</v>
      </c>
      <c r="EC689" s="37">
        <v>0</v>
      </c>
      <c r="ED689" s="37">
        <v>0</v>
      </c>
      <c r="EE689" s="37">
        <v>0</v>
      </c>
      <c r="EF689" s="37">
        <v>0</v>
      </c>
      <c r="EG689" s="37">
        <v>0</v>
      </c>
      <c r="EH689" s="37">
        <v>0</v>
      </c>
      <c r="EI689" s="37">
        <v>0</v>
      </c>
      <c r="EJ689" s="37">
        <v>0</v>
      </c>
      <c r="EK689" s="161" t="s">
        <v>2843</v>
      </c>
      <c r="EL689" s="294" t="s">
        <v>1124</v>
      </c>
    </row>
    <row r="690" spans="1:142" ht="15" customHeight="1" x14ac:dyDescent="0.35">
      <c r="A690" s="34"/>
      <c r="B690" s="313">
        <v>51050</v>
      </c>
      <c r="C690" s="8" t="s">
        <v>506</v>
      </c>
      <c r="D690" s="18">
        <v>4</v>
      </c>
      <c r="E690" s="155">
        <v>52104</v>
      </c>
      <c r="F690" s="36">
        <v>35258</v>
      </c>
      <c r="G690" s="37">
        <v>10923</v>
      </c>
      <c r="H690" s="37">
        <v>5196</v>
      </c>
      <c r="I690" s="37">
        <v>24020.68</v>
      </c>
      <c r="J690" s="37">
        <v>20884.490000000002</v>
      </c>
      <c r="K690" s="37">
        <v>7815.5999999999995</v>
      </c>
      <c r="L690" s="37">
        <v>5288.7</v>
      </c>
      <c r="M690" s="37">
        <v>94863.28</v>
      </c>
      <c r="N690" s="37">
        <v>66627.19</v>
      </c>
      <c r="O690" s="37">
        <v>5638.38</v>
      </c>
      <c r="P690" s="37">
        <v>0</v>
      </c>
      <c r="Q690" s="37">
        <v>57524.58</v>
      </c>
      <c r="R690" s="37">
        <v>29167.66</v>
      </c>
      <c r="S690" s="37">
        <v>0</v>
      </c>
      <c r="T690" s="37">
        <v>587</v>
      </c>
      <c r="U690" s="37">
        <v>72472</v>
      </c>
      <c r="V690" s="37">
        <v>0</v>
      </c>
      <c r="W690" s="37">
        <v>0</v>
      </c>
      <c r="X690" s="37">
        <v>0</v>
      </c>
      <c r="Y690" s="37">
        <v>0</v>
      </c>
      <c r="Z690" s="37">
        <v>0</v>
      </c>
      <c r="AA690" s="37">
        <v>135634.96</v>
      </c>
      <c r="AB690" s="37">
        <v>29754.66</v>
      </c>
      <c r="AC690" s="37">
        <v>3899.1499999999942</v>
      </c>
      <c r="AD690" s="37">
        <v>0</v>
      </c>
      <c r="AE690" s="37">
        <v>42006</v>
      </c>
      <c r="AF690" s="168">
        <v>0.02</v>
      </c>
      <c r="AG690" s="37">
        <v>9038603.6899999995</v>
      </c>
      <c r="AH690" s="37">
        <v>0</v>
      </c>
      <c r="AI690" s="37">
        <v>0</v>
      </c>
      <c r="AJ690" s="37">
        <v>0</v>
      </c>
      <c r="AK690" s="37">
        <v>0</v>
      </c>
      <c r="AL690" s="37">
        <v>609452.6</v>
      </c>
      <c r="AM690" s="37">
        <v>621641.66</v>
      </c>
      <c r="AN690" s="37">
        <v>0</v>
      </c>
      <c r="AO690" s="37">
        <v>47302.39</v>
      </c>
      <c r="AP690" s="37">
        <v>61820.57</v>
      </c>
      <c r="AQ690" s="37">
        <v>63056.98</v>
      </c>
      <c r="AR690" s="37">
        <v>1403274.2000000002</v>
      </c>
      <c r="AS690" s="37">
        <v>0</v>
      </c>
      <c r="AT690" s="37">
        <v>0</v>
      </c>
      <c r="AU690" s="37">
        <v>0</v>
      </c>
      <c r="AV690" s="37">
        <v>0</v>
      </c>
      <c r="AW690" s="37">
        <v>0</v>
      </c>
      <c r="AX690" s="37">
        <v>0</v>
      </c>
      <c r="AY690" s="37">
        <v>0</v>
      </c>
      <c r="AZ690" s="37">
        <v>0</v>
      </c>
      <c r="BA690" s="37">
        <v>0</v>
      </c>
      <c r="BB690" s="37">
        <v>0</v>
      </c>
      <c r="BC690" s="37">
        <v>0</v>
      </c>
      <c r="BD690" s="37">
        <v>0</v>
      </c>
      <c r="BE690" s="37">
        <v>4000</v>
      </c>
      <c r="BF690" s="37">
        <v>12500</v>
      </c>
      <c r="BG690" s="37">
        <v>0</v>
      </c>
      <c r="BH690" s="37">
        <v>0</v>
      </c>
      <c r="BI690" s="37">
        <v>0</v>
      </c>
      <c r="BJ690" s="37">
        <v>552000</v>
      </c>
      <c r="BK690" s="37">
        <v>552000</v>
      </c>
      <c r="BL690" s="37">
        <v>0</v>
      </c>
      <c r="BM690" s="37">
        <v>0</v>
      </c>
      <c r="BN690" s="37">
        <v>0</v>
      </c>
      <c r="BO690" s="37">
        <v>0</v>
      </c>
      <c r="BP690" s="37">
        <v>1116500</v>
      </c>
      <c r="BQ690" s="37">
        <v>0</v>
      </c>
      <c r="BR690" s="37">
        <v>0</v>
      </c>
      <c r="BS690" s="37">
        <v>0</v>
      </c>
      <c r="BT690" s="37">
        <v>0</v>
      </c>
      <c r="BU690" s="37">
        <v>0</v>
      </c>
      <c r="BV690" s="37">
        <v>0</v>
      </c>
      <c r="BW690" s="37">
        <v>0</v>
      </c>
      <c r="BX690" s="37">
        <v>0</v>
      </c>
      <c r="BY690" s="37">
        <v>0</v>
      </c>
      <c r="BZ690" s="37">
        <v>0</v>
      </c>
      <c r="CA690" s="37">
        <v>0</v>
      </c>
      <c r="CB690" s="37">
        <v>0</v>
      </c>
      <c r="CC690" s="37">
        <v>0</v>
      </c>
      <c r="CD690" s="37">
        <v>0</v>
      </c>
      <c r="CE690" s="37">
        <v>0</v>
      </c>
      <c r="CF690" s="37">
        <v>0</v>
      </c>
      <c r="CG690" s="37">
        <v>0</v>
      </c>
      <c r="CH690" s="37">
        <v>0</v>
      </c>
      <c r="CI690" s="37">
        <v>0</v>
      </c>
      <c r="CJ690" s="37">
        <v>0</v>
      </c>
      <c r="CK690" s="37">
        <v>0</v>
      </c>
      <c r="CL690" s="37">
        <v>0</v>
      </c>
      <c r="CM690" s="37">
        <v>0</v>
      </c>
      <c r="CN690" s="37">
        <v>0</v>
      </c>
      <c r="CO690" s="37">
        <v>0</v>
      </c>
      <c r="CP690" s="37">
        <v>0</v>
      </c>
      <c r="CQ690" s="37">
        <v>0</v>
      </c>
      <c r="CR690" s="37">
        <v>0</v>
      </c>
      <c r="CS690" s="37">
        <v>0</v>
      </c>
      <c r="CT690" s="37">
        <v>0</v>
      </c>
      <c r="CU690" s="37">
        <v>0</v>
      </c>
      <c r="CV690" s="37">
        <v>0</v>
      </c>
      <c r="CW690" s="37">
        <v>0</v>
      </c>
      <c r="CX690" s="37">
        <v>0</v>
      </c>
      <c r="CY690" s="37">
        <v>0</v>
      </c>
      <c r="CZ690" s="37">
        <v>0</v>
      </c>
      <c r="DA690" s="37">
        <v>0</v>
      </c>
      <c r="DB690" s="37">
        <v>0</v>
      </c>
      <c r="DC690" s="37">
        <v>0</v>
      </c>
      <c r="DD690" s="37">
        <v>0</v>
      </c>
      <c r="DE690" s="37">
        <v>0</v>
      </c>
      <c r="DF690" s="37">
        <v>0</v>
      </c>
      <c r="DG690" s="37">
        <v>0</v>
      </c>
      <c r="DH690" s="37">
        <v>0</v>
      </c>
      <c r="DI690" s="37">
        <v>0</v>
      </c>
      <c r="DJ690" s="37">
        <v>0</v>
      </c>
      <c r="DK690" s="37">
        <v>0</v>
      </c>
      <c r="DL690" s="37">
        <v>0</v>
      </c>
      <c r="DM690" s="37">
        <v>0</v>
      </c>
      <c r="DN690" s="37">
        <v>0</v>
      </c>
      <c r="DO690" s="37">
        <v>0</v>
      </c>
      <c r="DP690" s="37">
        <v>0</v>
      </c>
      <c r="DQ690" s="37">
        <v>0</v>
      </c>
      <c r="DR690" s="37">
        <v>0</v>
      </c>
      <c r="DS690" s="37">
        <v>0</v>
      </c>
      <c r="DT690" s="37">
        <v>0</v>
      </c>
      <c r="DU690" s="37">
        <v>0</v>
      </c>
      <c r="DV690" s="37">
        <v>0</v>
      </c>
      <c r="DW690" s="37">
        <v>0</v>
      </c>
      <c r="DX690" s="37">
        <v>0</v>
      </c>
      <c r="DY690" s="37">
        <v>0</v>
      </c>
      <c r="DZ690" s="37">
        <v>0</v>
      </c>
      <c r="EA690" s="37">
        <v>0</v>
      </c>
      <c r="EB690" s="37">
        <v>0</v>
      </c>
      <c r="EC690" s="37">
        <v>0</v>
      </c>
      <c r="ED690" s="37">
        <v>0</v>
      </c>
      <c r="EE690" s="37">
        <v>0</v>
      </c>
      <c r="EF690" s="37">
        <v>0</v>
      </c>
      <c r="EG690" s="37">
        <v>0</v>
      </c>
      <c r="EH690" s="37">
        <v>0</v>
      </c>
      <c r="EI690" s="37">
        <v>0</v>
      </c>
      <c r="EJ690" s="37">
        <v>0</v>
      </c>
      <c r="EK690" s="161" t="s">
        <v>2846</v>
      </c>
      <c r="EL690" s="294" t="s">
        <v>1124</v>
      </c>
    </row>
    <row r="691" spans="1:142" ht="15" customHeight="1" x14ac:dyDescent="0.35">
      <c r="A691" s="34"/>
      <c r="B691" s="313">
        <v>44055</v>
      </c>
      <c r="C691" s="8" t="s">
        <v>406</v>
      </c>
      <c r="D691" s="18">
        <v>5</v>
      </c>
      <c r="E691" s="155"/>
      <c r="F691" s="36"/>
      <c r="G691" s="37"/>
      <c r="H691" s="37"/>
      <c r="I691" s="37"/>
      <c r="J691" s="37"/>
      <c r="K691" s="37"/>
      <c r="L691" s="37"/>
      <c r="M691" s="37" t="s">
        <v>1124</v>
      </c>
      <c r="N691" s="37" t="s">
        <v>1124</v>
      </c>
      <c r="O691" s="37"/>
      <c r="P691" s="37"/>
      <c r="Q691" s="37"/>
      <c r="R691" s="37"/>
      <c r="S691" s="37"/>
      <c r="T691" s="37"/>
      <c r="U691" s="37"/>
      <c r="V691" s="37"/>
      <c r="W691" s="37"/>
      <c r="X691" s="37"/>
      <c r="Y691" s="37"/>
      <c r="Z691" s="37"/>
      <c r="AA691" s="37" t="s">
        <v>1124</v>
      </c>
      <c r="AB691" s="37" t="s">
        <v>1124</v>
      </c>
      <c r="AC691" s="37"/>
      <c r="AD691" s="37"/>
      <c r="AE691" s="37"/>
      <c r="AF691" s="168"/>
      <c r="AG691" s="37"/>
      <c r="AH691" s="37"/>
      <c r="AI691" s="37"/>
      <c r="AJ691" s="37"/>
      <c r="AK691" s="37"/>
      <c r="AL691" s="37"/>
      <c r="AM691" s="37"/>
      <c r="AN691" s="37"/>
      <c r="AO691" s="37"/>
      <c r="AP691" s="37"/>
      <c r="AQ691" s="37"/>
      <c r="AR691" s="37" t="s">
        <v>1124</v>
      </c>
      <c r="AS691" s="37"/>
      <c r="AT691" s="37"/>
      <c r="AU691" s="37"/>
      <c r="AV691" s="37"/>
      <c r="AW691" s="37"/>
      <c r="AX691" s="37"/>
      <c r="AY691" s="37"/>
      <c r="AZ691" s="37"/>
      <c r="BA691" s="37"/>
      <c r="BB691" s="37"/>
      <c r="BC691" s="37"/>
      <c r="BD691" s="37" t="s">
        <v>1124</v>
      </c>
      <c r="BE691" s="37"/>
      <c r="BF691" s="37"/>
      <c r="BG691" s="37"/>
      <c r="BH691" s="37"/>
      <c r="BI691" s="37"/>
      <c r="BJ691" s="37"/>
      <c r="BK691" s="37"/>
      <c r="BL691" s="37"/>
      <c r="BM691" s="37"/>
      <c r="BN691" s="37"/>
      <c r="BO691" s="37"/>
      <c r="BP691" s="37">
        <v>0</v>
      </c>
      <c r="BQ691" s="37"/>
      <c r="BR691" s="37"/>
      <c r="BS691" s="37"/>
      <c r="BT691" s="37"/>
      <c r="BU691" s="37"/>
      <c r="BV691" s="37"/>
      <c r="BW691" s="37"/>
      <c r="BX691" s="37"/>
      <c r="BY691" s="37"/>
      <c r="BZ691" s="37"/>
      <c r="CA691" s="37"/>
      <c r="CB691" s="37" t="s">
        <v>1124</v>
      </c>
      <c r="CC691" s="37"/>
      <c r="CD691" s="37"/>
      <c r="CE691" s="37"/>
      <c r="CF691" s="37"/>
      <c r="CG691" s="37"/>
      <c r="CH691" s="37"/>
      <c r="CI691" s="37"/>
      <c r="CJ691" s="37"/>
      <c r="CK691" s="37"/>
      <c r="CL691" s="37"/>
      <c r="CM691" s="37"/>
      <c r="CN691" s="37" t="s">
        <v>1124</v>
      </c>
      <c r="CO691" s="37"/>
      <c r="CP691" s="37"/>
      <c r="CQ691" s="37"/>
      <c r="CR691" s="37"/>
      <c r="CS691" s="37"/>
      <c r="CT691" s="37"/>
      <c r="CU691" s="37"/>
      <c r="CV691" s="37"/>
      <c r="CW691" s="37"/>
      <c r="CX691" s="37"/>
      <c r="CY691" s="37"/>
      <c r="CZ691" s="37" t="s">
        <v>1124</v>
      </c>
      <c r="DA691" s="37"/>
      <c r="DB691" s="37"/>
      <c r="DC691" s="37"/>
      <c r="DD691" s="37"/>
      <c r="DE691" s="37"/>
      <c r="DF691" s="37"/>
      <c r="DG691" s="37"/>
      <c r="DH691" s="37"/>
      <c r="DI691" s="37"/>
      <c r="DJ691" s="37"/>
      <c r="DK691" s="37"/>
      <c r="DL691" s="37" t="s">
        <v>1124</v>
      </c>
      <c r="DM691" s="37"/>
      <c r="DN691" s="37"/>
      <c r="DO691" s="37"/>
      <c r="DP691" s="37"/>
      <c r="DQ691" s="37"/>
      <c r="DR691" s="37"/>
      <c r="DS691" s="37"/>
      <c r="DT691" s="37"/>
      <c r="DU691" s="37"/>
      <c r="DV691" s="37"/>
      <c r="DW691" s="37"/>
      <c r="DX691" s="37" t="s">
        <v>1124</v>
      </c>
      <c r="DY691" s="37"/>
      <c r="DZ691" s="37"/>
      <c r="EA691" s="37"/>
      <c r="EB691" s="37"/>
      <c r="EC691" s="37"/>
      <c r="ED691" s="37"/>
      <c r="EE691" s="37"/>
      <c r="EF691" s="37"/>
      <c r="EG691" s="37"/>
      <c r="EH691" s="37"/>
      <c r="EI691" s="37"/>
      <c r="EJ691" s="37" t="s">
        <v>1124</v>
      </c>
      <c r="EK691" s="161"/>
      <c r="EL691" s="294"/>
    </row>
    <row r="692" spans="1:142" ht="15" customHeight="1" x14ac:dyDescent="0.35">
      <c r="A692" s="34"/>
      <c r="B692" s="313">
        <v>52030</v>
      </c>
      <c r="C692" s="8" t="s">
        <v>517</v>
      </c>
      <c r="D692" s="18">
        <v>14</v>
      </c>
      <c r="E692" s="155">
        <v>130847</v>
      </c>
      <c r="F692" s="36">
        <v>50043</v>
      </c>
      <c r="G692" s="37">
        <v>44182</v>
      </c>
      <c r="H692" s="37">
        <v>8666</v>
      </c>
      <c r="I692" s="37">
        <v>345426</v>
      </c>
      <c r="J692" s="37">
        <v>41600</v>
      </c>
      <c r="K692" s="37">
        <v>19627</v>
      </c>
      <c r="L692" s="37">
        <v>7506</v>
      </c>
      <c r="M692" s="37">
        <v>540082</v>
      </c>
      <c r="N692" s="37">
        <v>107815</v>
      </c>
      <c r="O692" s="37">
        <v>0</v>
      </c>
      <c r="P692" s="37">
        <v>0</v>
      </c>
      <c r="Q692" s="37">
        <v>201363</v>
      </c>
      <c r="R692" s="37">
        <v>55055</v>
      </c>
      <c r="S692" s="37">
        <v>22000</v>
      </c>
      <c r="T692" s="37">
        <v>0</v>
      </c>
      <c r="U692" s="37">
        <v>15073</v>
      </c>
      <c r="V692" s="37">
        <v>18652</v>
      </c>
      <c r="W692" s="37">
        <v>301646</v>
      </c>
      <c r="X692" s="37">
        <v>34108</v>
      </c>
      <c r="Y692" s="37">
        <v>0</v>
      </c>
      <c r="Z692" s="37">
        <v>0</v>
      </c>
      <c r="AA692" s="37">
        <v>540082</v>
      </c>
      <c r="AB692" s="37">
        <v>107815</v>
      </c>
      <c r="AC692" s="37">
        <v>0</v>
      </c>
      <c r="AD692" s="37">
        <v>0</v>
      </c>
      <c r="AE692" s="37">
        <v>0</v>
      </c>
      <c r="AF692" s="168">
        <v>0.02</v>
      </c>
      <c r="AG692" s="37">
        <v>26754200.07</v>
      </c>
      <c r="AH692" s="37">
        <v>9598699.4400000013</v>
      </c>
      <c r="AI692" s="37">
        <v>479797.69</v>
      </c>
      <c r="AJ692" s="37">
        <v>489393.64</v>
      </c>
      <c r="AK692" s="37">
        <v>310293.49</v>
      </c>
      <c r="AL692" s="37">
        <v>316499.36</v>
      </c>
      <c r="AM692" s="37">
        <v>322829.34999999998</v>
      </c>
      <c r="AN692" s="37">
        <v>329285.94</v>
      </c>
      <c r="AO692" s="37">
        <v>335871.66</v>
      </c>
      <c r="AP692" s="37">
        <v>342589.09</v>
      </c>
      <c r="AQ692" s="37">
        <v>349440.87</v>
      </c>
      <c r="AR692" s="37">
        <v>12874700.530000001</v>
      </c>
      <c r="AS692" s="37">
        <v>1345200.45</v>
      </c>
      <c r="AT692" s="37">
        <v>0</v>
      </c>
      <c r="AU692" s="37">
        <v>0</v>
      </c>
      <c r="AV692" s="37">
        <v>0</v>
      </c>
      <c r="AW692" s="37">
        <v>0</v>
      </c>
      <c r="AX692" s="37">
        <v>0</v>
      </c>
      <c r="AY692" s="37">
        <v>0</v>
      </c>
      <c r="AZ692" s="37">
        <v>0</v>
      </c>
      <c r="BA692" s="37">
        <v>0</v>
      </c>
      <c r="BB692" s="37">
        <v>0</v>
      </c>
      <c r="BC692" s="37">
        <v>0</v>
      </c>
      <c r="BD692" s="37">
        <v>0</v>
      </c>
      <c r="BE692" s="37">
        <v>4148129</v>
      </c>
      <c r="BF692" s="37">
        <v>200000</v>
      </c>
      <c r="BG692" s="37">
        <v>250000</v>
      </c>
      <c r="BH692" s="37">
        <v>0</v>
      </c>
      <c r="BI692" s="37">
        <v>0</v>
      </c>
      <c r="BJ692" s="37">
        <v>0</v>
      </c>
      <c r="BK692" s="37">
        <v>0</v>
      </c>
      <c r="BL692" s="37">
        <v>0</v>
      </c>
      <c r="BM692" s="37">
        <v>0</v>
      </c>
      <c r="BN692" s="37">
        <v>0</v>
      </c>
      <c r="BO692" s="37">
        <v>0</v>
      </c>
      <c r="BP692" s="37">
        <v>450000</v>
      </c>
      <c r="BQ692" s="37">
        <v>849617</v>
      </c>
      <c r="BR692" s="37">
        <v>10323510</v>
      </c>
      <c r="BS692" s="37">
        <v>150000</v>
      </c>
      <c r="BT692" s="37">
        <v>0</v>
      </c>
      <c r="BU692" s="37">
        <v>0</v>
      </c>
      <c r="BV692" s="37">
        <v>0</v>
      </c>
      <c r="BW692" s="37">
        <v>0</v>
      </c>
      <c r="BX692" s="37">
        <v>0</v>
      </c>
      <c r="BY692" s="37">
        <v>0</v>
      </c>
      <c r="BZ692" s="37">
        <v>0</v>
      </c>
      <c r="CA692" s="37">
        <v>0</v>
      </c>
      <c r="CB692" s="37">
        <v>10473510</v>
      </c>
      <c r="CC692" s="37">
        <v>0</v>
      </c>
      <c r="CD692" s="37">
        <v>0</v>
      </c>
      <c r="CE692" s="37">
        <v>0</v>
      </c>
      <c r="CF692" s="37">
        <v>0</v>
      </c>
      <c r="CG692" s="37">
        <v>0</v>
      </c>
      <c r="CH692" s="37">
        <v>0</v>
      </c>
      <c r="CI692" s="37">
        <v>0</v>
      </c>
      <c r="CJ692" s="37">
        <v>0</v>
      </c>
      <c r="CK692" s="37">
        <v>0</v>
      </c>
      <c r="CL692" s="37">
        <v>0</v>
      </c>
      <c r="CM692" s="37">
        <v>0</v>
      </c>
      <c r="CN692" s="37">
        <v>0</v>
      </c>
      <c r="CO692" s="37">
        <v>0</v>
      </c>
      <c r="CP692" s="37">
        <v>0</v>
      </c>
      <c r="CQ692" s="37">
        <v>0</v>
      </c>
      <c r="CR692" s="37">
        <v>0</v>
      </c>
      <c r="CS692" s="37">
        <v>0</v>
      </c>
      <c r="CT692" s="37">
        <v>0</v>
      </c>
      <c r="CU692" s="37">
        <v>0</v>
      </c>
      <c r="CV692" s="37">
        <v>0</v>
      </c>
      <c r="CW692" s="37">
        <v>0</v>
      </c>
      <c r="CX692" s="37">
        <v>0</v>
      </c>
      <c r="CY692" s="37">
        <v>0</v>
      </c>
      <c r="CZ692" s="37">
        <v>0</v>
      </c>
      <c r="DA692" s="37">
        <v>0</v>
      </c>
      <c r="DB692" s="37">
        <v>0</v>
      </c>
      <c r="DC692" s="37">
        <v>0</v>
      </c>
      <c r="DD692" s="37">
        <v>0</v>
      </c>
      <c r="DE692" s="37">
        <v>0</v>
      </c>
      <c r="DF692" s="37">
        <v>0</v>
      </c>
      <c r="DG692" s="37">
        <v>0</v>
      </c>
      <c r="DH692" s="37">
        <v>0</v>
      </c>
      <c r="DI692" s="37">
        <v>0</v>
      </c>
      <c r="DJ692" s="37">
        <v>0</v>
      </c>
      <c r="DK692" s="37">
        <v>0</v>
      </c>
      <c r="DL692" s="37">
        <v>0</v>
      </c>
      <c r="DM692" s="37">
        <v>0</v>
      </c>
      <c r="DN692" s="37">
        <v>0</v>
      </c>
      <c r="DO692" s="37">
        <v>0</v>
      </c>
      <c r="DP692" s="37">
        <v>0</v>
      </c>
      <c r="DQ692" s="37">
        <v>0</v>
      </c>
      <c r="DR692" s="37">
        <v>0</v>
      </c>
      <c r="DS692" s="37">
        <v>0</v>
      </c>
      <c r="DT692" s="37">
        <v>0</v>
      </c>
      <c r="DU692" s="37">
        <v>0</v>
      </c>
      <c r="DV692" s="37">
        <v>0</v>
      </c>
      <c r="DW692" s="37">
        <v>0</v>
      </c>
      <c r="DX692" s="37">
        <v>0</v>
      </c>
      <c r="DY692" s="37">
        <v>0</v>
      </c>
      <c r="DZ692" s="37">
        <v>0</v>
      </c>
      <c r="EA692" s="37">
        <v>0</v>
      </c>
      <c r="EB692" s="37">
        <v>0</v>
      </c>
      <c r="EC692" s="37">
        <v>0</v>
      </c>
      <c r="ED692" s="37">
        <v>0</v>
      </c>
      <c r="EE692" s="37">
        <v>0</v>
      </c>
      <c r="EF692" s="37">
        <v>0</v>
      </c>
      <c r="EG692" s="37">
        <v>0</v>
      </c>
      <c r="EH692" s="37">
        <v>0</v>
      </c>
      <c r="EI692" s="37">
        <v>0</v>
      </c>
      <c r="EJ692" s="37">
        <v>0</v>
      </c>
      <c r="EK692" s="161" t="s">
        <v>2853</v>
      </c>
      <c r="EL692" s="294" t="s">
        <v>1124</v>
      </c>
    </row>
    <row r="693" spans="1:142" ht="15" customHeight="1" x14ac:dyDescent="0.35">
      <c r="A693" s="34"/>
      <c r="B693" s="313">
        <v>39090</v>
      </c>
      <c r="C693" s="8" t="s">
        <v>349</v>
      </c>
      <c r="D693" s="18">
        <v>17</v>
      </c>
      <c r="E693" s="155"/>
      <c r="F693" s="36"/>
      <c r="G693" s="37"/>
      <c r="H693" s="37"/>
      <c r="I693" s="37"/>
      <c r="J693" s="37"/>
      <c r="K693" s="37"/>
      <c r="L693" s="37"/>
      <c r="M693" s="37" t="s">
        <v>1124</v>
      </c>
      <c r="N693" s="37" t="s">
        <v>1124</v>
      </c>
      <c r="O693" s="37"/>
      <c r="P693" s="37"/>
      <c r="Q693" s="37"/>
      <c r="R693" s="37"/>
      <c r="S693" s="37"/>
      <c r="T693" s="37"/>
      <c r="U693" s="37"/>
      <c r="V693" s="37"/>
      <c r="W693" s="37"/>
      <c r="X693" s="37"/>
      <c r="Y693" s="37"/>
      <c r="Z693" s="37"/>
      <c r="AA693" s="37" t="s">
        <v>1124</v>
      </c>
      <c r="AB693" s="37" t="s">
        <v>1124</v>
      </c>
      <c r="AC693" s="37"/>
      <c r="AD693" s="37"/>
      <c r="AE693" s="37"/>
      <c r="AF693" s="168"/>
      <c r="AG693" s="37"/>
      <c r="AH693" s="37"/>
      <c r="AI693" s="37"/>
      <c r="AJ693" s="37"/>
      <c r="AK693" s="37"/>
      <c r="AL693" s="37"/>
      <c r="AM693" s="37"/>
      <c r="AN693" s="37"/>
      <c r="AO693" s="37"/>
      <c r="AP693" s="37"/>
      <c r="AQ693" s="37"/>
      <c r="AR693" s="37" t="s">
        <v>1124</v>
      </c>
      <c r="AS693" s="37"/>
      <c r="AT693" s="37"/>
      <c r="AU693" s="37"/>
      <c r="AV693" s="37"/>
      <c r="AW693" s="37"/>
      <c r="AX693" s="37"/>
      <c r="AY693" s="37"/>
      <c r="AZ693" s="37"/>
      <c r="BA693" s="37"/>
      <c r="BB693" s="37"/>
      <c r="BC693" s="37"/>
      <c r="BD693" s="37" t="s">
        <v>1124</v>
      </c>
      <c r="BE693" s="37"/>
      <c r="BF693" s="37"/>
      <c r="BG693" s="37"/>
      <c r="BH693" s="37"/>
      <c r="BI693" s="37"/>
      <c r="BJ693" s="37"/>
      <c r="BK693" s="37"/>
      <c r="BL693" s="37"/>
      <c r="BM693" s="37"/>
      <c r="BN693" s="37"/>
      <c r="BO693" s="37"/>
      <c r="BP693" s="37">
        <v>0</v>
      </c>
      <c r="BQ693" s="37"/>
      <c r="BR693" s="37"/>
      <c r="BS693" s="37"/>
      <c r="BT693" s="37"/>
      <c r="BU693" s="37"/>
      <c r="BV693" s="37"/>
      <c r="BW693" s="37"/>
      <c r="BX693" s="37"/>
      <c r="BY693" s="37"/>
      <c r="BZ693" s="37"/>
      <c r="CA693" s="37"/>
      <c r="CB693" s="37" t="s">
        <v>1124</v>
      </c>
      <c r="CC693" s="37"/>
      <c r="CD693" s="37"/>
      <c r="CE693" s="37"/>
      <c r="CF693" s="37"/>
      <c r="CG693" s="37"/>
      <c r="CH693" s="37"/>
      <c r="CI693" s="37"/>
      <c r="CJ693" s="37"/>
      <c r="CK693" s="37"/>
      <c r="CL693" s="37"/>
      <c r="CM693" s="37"/>
      <c r="CN693" s="37" t="s">
        <v>1124</v>
      </c>
      <c r="CO693" s="37"/>
      <c r="CP693" s="37"/>
      <c r="CQ693" s="37"/>
      <c r="CR693" s="37"/>
      <c r="CS693" s="37"/>
      <c r="CT693" s="37"/>
      <c r="CU693" s="37"/>
      <c r="CV693" s="37"/>
      <c r="CW693" s="37"/>
      <c r="CX693" s="37"/>
      <c r="CY693" s="37"/>
      <c r="CZ693" s="37" t="s">
        <v>1124</v>
      </c>
      <c r="DA693" s="37"/>
      <c r="DB693" s="37"/>
      <c r="DC693" s="37"/>
      <c r="DD693" s="37"/>
      <c r="DE693" s="37"/>
      <c r="DF693" s="37"/>
      <c r="DG693" s="37"/>
      <c r="DH693" s="37"/>
      <c r="DI693" s="37"/>
      <c r="DJ693" s="37"/>
      <c r="DK693" s="37"/>
      <c r="DL693" s="37" t="s">
        <v>1124</v>
      </c>
      <c r="DM693" s="37"/>
      <c r="DN693" s="37"/>
      <c r="DO693" s="37"/>
      <c r="DP693" s="37"/>
      <c r="DQ693" s="37"/>
      <c r="DR693" s="37"/>
      <c r="DS693" s="37"/>
      <c r="DT693" s="37"/>
      <c r="DU693" s="37"/>
      <c r="DV693" s="37"/>
      <c r="DW693" s="37"/>
      <c r="DX693" s="37" t="s">
        <v>1124</v>
      </c>
      <c r="DY693" s="37"/>
      <c r="DZ693" s="37"/>
      <c r="EA693" s="37"/>
      <c r="EB693" s="37"/>
      <c r="EC693" s="37"/>
      <c r="ED693" s="37"/>
      <c r="EE693" s="37"/>
      <c r="EF693" s="37"/>
      <c r="EG693" s="37"/>
      <c r="EH693" s="37"/>
      <c r="EI693" s="37"/>
      <c r="EJ693" s="37" t="s">
        <v>1124</v>
      </c>
      <c r="EK693" s="161"/>
      <c r="EL693" s="294"/>
    </row>
    <row r="694" spans="1:142" ht="15" customHeight="1" x14ac:dyDescent="0.35">
      <c r="A694" s="34"/>
      <c r="B694" s="313">
        <v>62070</v>
      </c>
      <c r="C694" s="8" t="s">
        <v>630</v>
      </c>
      <c r="D694" s="18">
        <v>14</v>
      </c>
      <c r="E694" s="155">
        <v>47803</v>
      </c>
      <c r="F694" s="36">
        <v>48427</v>
      </c>
      <c r="G694" s="37">
        <v>28243</v>
      </c>
      <c r="H694" s="37">
        <v>11282</v>
      </c>
      <c r="I694" s="37">
        <v>74289</v>
      </c>
      <c r="J694" s="37">
        <v>13067</v>
      </c>
      <c r="K694" s="37">
        <v>7170</v>
      </c>
      <c r="L694" s="37">
        <v>7264</v>
      </c>
      <c r="M694" s="37">
        <v>157505</v>
      </c>
      <c r="N694" s="37">
        <v>80040</v>
      </c>
      <c r="O694" s="37">
        <v>0</v>
      </c>
      <c r="P694" s="37">
        <v>0</v>
      </c>
      <c r="Q694" s="37">
        <v>46710</v>
      </c>
      <c r="R694" s="37">
        <v>0</v>
      </c>
      <c r="S694" s="37">
        <v>0</v>
      </c>
      <c r="T694" s="37">
        <v>0</v>
      </c>
      <c r="U694" s="37">
        <v>0</v>
      </c>
      <c r="V694" s="37">
        <v>0</v>
      </c>
      <c r="W694" s="37">
        <v>110795</v>
      </c>
      <c r="X694" s="37">
        <v>80040</v>
      </c>
      <c r="Y694" s="37">
        <v>0</v>
      </c>
      <c r="Z694" s="37">
        <v>0</v>
      </c>
      <c r="AA694" s="37">
        <v>157505</v>
      </c>
      <c r="AB694" s="37">
        <v>80040</v>
      </c>
      <c r="AC694" s="37">
        <v>0</v>
      </c>
      <c r="AD694" s="37">
        <v>0</v>
      </c>
      <c r="AE694" s="37">
        <v>0</v>
      </c>
      <c r="AF694" s="168">
        <v>0.02</v>
      </c>
      <c r="AG694" s="37">
        <v>6796196.4000000004</v>
      </c>
      <c r="AH694" s="37">
        <v>59053.73</v>
      </c>
      <c r="AI694" s="37">
        <v>62728.639999999999</v>
      </c>
      <c r="AJ694" s="37">
        <v>60194.7</v>
      </c>
      <c r="AK694" s="37">
        <v>61398.6</v>
      </c>
      <c r="AL694" s="37">
        <v>62626.57</v>
      </c>
      <c r="AM694" s="37">
        <v>63879.1</v>
      </c>
      <c r="AN694" s="37">
        <v>65156.68</v>
      </c>
      <c r="AO694" s="37">
        <v>66459.81</v>
      </c>
      <c r="AP694" s="37">
        <v>67789.009999999995</v>
      </c>
      <c r="AQ694" s="37">
        <v>69144.789999999994</v>
      </c>
      <c r="AR694" s="37">
        <v>638431.62999999989</v>
      </c>
      <c r="AS694" s="37">
        <v>1127847.44</v>
      </c>
      <c r="AT694" s="37">
        <v>0</v>
      </c>
      <c r="AU694" s="37">
        <v>0</v>
      </c>
      <c r="AV694" s="37">
        <v>0</v>
      </c>
      <c r="AW694" s="37">
        <v>0</v>
      </c>
      <c r="AX694" s="37">
        <v>0</v>
      </c>
      <c r="AY694" s="37">
        <v>0</v>
      </c>
      <c r="AZ694" s="37">
        <v>0</v>
      </c>
      <c r="BA694" s="37">
        <v>0</v>
      </c>
      <c r="BB694" s="37">
        <v>0</v>
      </c>
      <c r="BC694" s="37">
        <v>0</v>
      </c>
      <c r="BD694" s="37">
        <v>0</v>
      </c>
      <c r="BE694" s="37">
        <v>0</v>
      </c>
      <c r="BF694" s="37">
        <v>0</v>
      </c>
      <c r="BG694" s="37">
        <v>0</v>
      </c>
      <c r="BH694" s="37">
        <v>0</v>
      </c>
      <c r="BI694" s="37">
        <v>0</v>
      </c>
      <c r="BJ694" s="37">
        <v>0</v>
      </c>
      <c r="BK694" s="37">
        <v>0</v>
      </c>
      <c r="BL694" s="37">
        <v>0</v>
      </c>
      <c r="BM694" s="37">
        <v>0</v>
      </c>
      <c r="BN694" s="37">
        <v>0</v>
      </c>
      <c r="BO694" s="37">
        <v>0</v>
      </c>
      <c r="BP694" s="37">
        <v>0</v>
      </c>
      <c r="BQ694" s="37">
        <v>0</v>
      </c>
      <c r="BR694" s="37">
        <v>0</v>
      </c>
      <c r="BS694" s="37">
        <v>0</v>
      </c>
      <c r="BT694" s="37">
        <v>0</v>
      </c>
      <c r="BU694" s="37">
        <v>0</v>
      </c>
      <c r="BV694" s="37">
        <v>0</v>
      </c>
      <c r="BW694" s="37">
        <v>0</v>
      </c>
      <c r="BX694" s="37">
        <v>0</v>
      </c>
      <c r="BY694" s="37">
        <v>0</v>
      </c>
      <c r="BZ694" s="37">
        <v>0</v>
      </c>
      <c r="CA694" s="37">
        <v>0</v>
      </c>
      <c r="CB694" s="37">
        <v>0</v>
      </c>
      <c r="CC694" s="37">
        <v>0</v>
      </c>
      <c r="CD694" s="37">
        <v>0</v>
      </c>
      <c r="CE694" s="37">
        <v>0</v>
      </c>
      <c r="CF694" s="37">
        <v>0</v>
      </c>
      <c r="CG694" s="37">
        <v>0</v>
      </c>
      <c r="CH694" s="37">
        <v>0</v>
      </c>
      <c r="CI694" s="37">
        <v>0</v>
      </c>
      <c r="CJ694" s="37">
        <v>0</v>
      </c>
      <c r="CK694" s="37">
        <v>0</v>
      </c>
      <c r="CL694" s="37">
        <v>0</v>
      </c>
      <c r="CM694" s="37">
        <v>0</v>
      </c>
      <c r="CN694" s="37">
        <v>0</v>
      </c>
      <c r="CO694" s="37">
        <v>0</v>
      </c>
      <c r="CP694" s="37">
        <v>0</v>
      </c>
      <c r="CQ694" s="37">
        <v>0</v>
      </c>
      <c r="CR694" s="37">
        <v>0</v>
      </c>
      <c r="CS694" s="37">
        <v>0</v>
      </c>
      <c r="CT694" s="37">
        <v>0</v>
      </c>
      <c r="CU694" s="37">
        <v>0</v>
      </c>
      <c r="CV694" s="37">
        <v>0</v>
      </c>
      <c r="CW694" s="37">
        <v>0</v>
      </c>
      <c r="CX694" s="37">
        <v>0</v>
      </c>
      <c r="CY694" s="37">
        <v>0</v>
      </c>
      <c r="CZ694" s="37">
        <v>0</v>
      </c>
      <c r="DA694" s="37">
        <v>0</v>
      </c>
      <c r="DB694" s="37">
        <v>0</v>
      </c>
      <c r="DC694" s="37">
        <v>0</v>
      </c>
      <c r="DD694" s="37">
        <v>0</v>
      </c>
      <c r="DE694" s="37">
        <v>0</v>
      </c>
      <c r="DF694" s="37">
        <v>0</v>
      </c>
      <c r="DG694" s="37">
        <v>0</v>
      </c>
      <c r="DH694" s="37">
        <v>0</v>
      </c>
      <c r="DI694" s="37">
        <v>0</v>
      </c>
      <c r="DJ694" s="37">
        <v>0</v>
      </c>
      <c r="DK694" s="37">
        <v>0</v>
      </c>
      <c r="DL694" s="37">
        <v>0</v>
      </c>
      <c r="DM694" s="37">
        <v>0</v>
      </c>
      <c r="DN694" s="37">
        <v>0</v>
      </c>
      <c r="DO694" s="37">
        <v>0</v>
      </c>
      <c r="DP694" s="37">
        <v>0</v>
      </c>
      <c r="DQ694" s="37">
        <v>0</v>
      </c>
      <c r="DR694" s="37">
        <v>0</v>
      </c>
      <c r="DS694" s="37">
        <v>0</v>
      </c>
      <c r="DT694" s="37">
        <v>0</v>
      </c>
      <c r="DU694" s="37">
        <v>0</v>
      </c>
      <c r="DV694" s="37">
        <v>0</v>
      </c>
      <c r="DW694" s="37">
        <v>0</v>
      </c>
      <c r="DX694" s="37">
        <v>0</v>
      </c>
      <c r="DY694" s="37">
        <v>0</v>
      </c>
      <c r="DZ694" s="37">
        <v>0</v>
      </c>
      <c r="EA694" s="37">
        <v>0</v>
      </c>
      <c r="EB694" s="37">
        <v>0</v>
      </c>
      <c r="EC694" s="37">
        <v>0</v>
      </c>
      <c r="ED694" s="37">
        <v>0</v>
      </c>
      <c r="EE694" s="37">
        <v>0</v>
      </c>
      <c r="EF694" s="37">
        <v>0</v>
      </c>
      <c r="EG694" s="37">
        <v>0</v>
      </c>
      <c r="EH694" s="37">
        <v>0</v>
      </c>
      <c r="EI694" s="37">
        <v>0</v>
      </c>
      <c r="EJ694" s="37">
        <v>0</v>
      </c>
      <c r="EK694" s="161" t="s">
        <v>2857</v>
      </c>
      <c r="EL694" s="294" t="s">
        <v>1124</v>
      </c>
    </row>
    <row r="695" spans="1:142" ht="15" customHeight="1" x14ac:dyDescent="0.35">
      <c r="A695" s="34"/>
      <c r="B695" s="313">
        <v>50005</v>
      </c>
      <c r="C695" s="8" t="s">
        <v>482</v>
      </c>
      <c r="D695" s="18">
        <v>17</v>
      </c>
      <c r="E695" s="155">
        <v>146910</v>
      </c>
      <c r="F695" s="36">
        <v>57336</v>
      </c>
      <c r="G695" s="37">
        <v>15667</v>
      </c>
      <c r="H695" s="37">
        <v>12118</v>
      </c>
      <c r="I695" s="37">
        <v>71526</v>
      </c>
      <c r="J695" s="37">
        <v>37159</v>
      </c>
      <c r="K695" s="37">
        <v>22036.5</v>
      </c>
      <c r="L695" s="37">
        <v>8600.4</v>
      </c>
      <c r="M695" s="37">
        <v>256139.5</v>
      </c>
      <c r="N695" s="37">
        <v>115213.4</v>
      </c>
      <c r="O695" s="37">
        <v>10802</v>
      </c>
      <c r="P695" s="37">
        <v>0</v>
      </c>
      <c r="Q695" s="37">
        <v>118676</v>
      </c>
      <c r="R695" s="37">
        <v>50193</v>
      </c>
      <c r="S695" s="37">
        <v>56693</v>
      </c>
      <c r="T695" s="37">
        <v>0</v>
      </c>
      <c r="U695" s="37">
        <v>34680</v>
      </c>
      <c r="V695" s="37">
        <v>9799</v>
      </c>
      <c r="W695" s="37">
        <v>35288.5</v>
      </c>
      <c r="X695" s="37">
        <v>55221.399999999994</v>
      </c>
      <c r="Y695" s="37">
        <v>0</v>
      </c>
      <c r="Z695" s="37">
        <v>0</v>
      </c>
      <c r="AA695" s="37">
        <v>256139.5</v>
      </c>
      <c r="AB695" s="37">
        <v>115213.4</v>
      </c>
      <c r="AC695" s="37">
        <v>0</v>
      </c>
      <c r="AD695" s="37">
        <v>0</v>
      </c>
      <c r="AE695" s="37">
        <v>0</v>
      </c>
      <c r="AF695" s="168">
        <v>0.02</v>
      </c>
      <c r="AG695" s="37">
        <v>10297728.539999999</v>
      </c>
      <c r="AH695" s="37">
        <v>80483.02</v>
      </c>
      <c r="AI695" s="37">
        <v>113928.92</v>
      </c>
      <c r="AJ695" s="37">
        <v>105383.18</v>
      </c>
      <c r="AK695" s="37">
        <v>85409.22</v>
      </c>
      <c r="AL695" s="37">
        <v>87117.41</v>
      </c>
      <c r="AM695" s="37">
        <v>88859.76</v>
      </c>
      <c r="AN695" s="37">
        <v>90636.95</v>
      </c>
      <c r="AO695" s="37">
        <v>92449.69</v>
      </c>
      <c r="AP695" s="37">
        <v>94298.69</v>
      </c>
      <c r="AQ695" s="37">
        <v>96184.66</v>
      </c>
      <c r="AR695" s="37">
        <v>934751.50000000012</v>
      </c>
      <c r="AS695" s="37">
        <v>0</v>
      </c>
      <c r="AT695" s="37">
        <v>0</v>
      </c>
      <c r="AU695" s="37">
        <v>2936893.14</v>
      </c>
      <c r="AV695" s="37">
        <v>2995631</v>
      </c>
      <c r="AW695" s="37">
        <v>0</v>
      </c>
      <c r="AX695" s="37">
        <v>0</v>
      </c>
      <c r="AY695" s="37">
        <v>0</v>
      </c>
      <c r="AZ695" s="37">
        <v>0</v>
      </c>
      <c r="BA695" s="37">
        <v>0</v>
      </c>
      <c r="BB695" s="37">
        <v>0</v>
      </c>
      <c r="BC695" s="37">
        <v>0</v>
      </c>
      <c r="BD695" s="37">
        <v>5932524.1400000006</v>
      </c>
      <c r="BE695" s="37">
        <v>0</v>
      </c>
      <c r="BF695" s="37">
        <v>0</v>
      </c>
      <c r="BG695" s="37">
        <v>0</v>
      </c>
      <c r="BH695" s="37">
        <v>0</v>
      </c>
      <c r="BI695" s="37">
        <v>0</v>
      </c>
      <c r="BJ695" s="37">
        <v>0</v>
      </c>
      <c r="BK695" s="37">
        <v>0</v>
      </c>
      <c r="BL695" s="37">
        <v>0</v>
      </c>
      <c r="BM695" s="37">
        <v>0</v>
      </c>
      <c r="BN695" s="37">
        <v>0</v>
      </c>
      <c r="BO695" s="37">
        <v>0</v>
      </c>
      <c r="BP695" s="37">
        <v>0</v>
      </c>
      <c r="BQ695" s="37">
        <v>0</v>
      </c>
      <c r="BR695" s="37">
        <v>0</v>
      </c>
      <c r="BS695" s="37">
        <v>0</v>
      </c>
      <c r="BT695" s="37">
        <v>0</v>
      </c>
      <c r="BU695" s="37">
        <v>0</v>
      </c>
      <c r="BV695" s="37">
        <v>0</v>
      </c>
      <c r="BW695" s="37">
        <v>0</v>
      </c>
      <c r="BX695" s="37">
        <v>0</v>
      </c>
      <c r="BY695" s="37">
        <v>0</v>
      </c>
      <c r="BZ695" s="37">
        <v>0</v>
      </c>
      <c r="CA695" s="37">
        <v>0</v>
      </c>
      <c r="CB695" s="37">
        <v>0</v>
      </c>
      <c r="CC695" s="37">
        <v>0</v>
      </c>
      <c r="CD695" s="37">
        <v>0</v>
      </c>
      <c r="CE695" s="37">
        <v>0</v>
      </c>
      <c r="CF695" s="37">
        <v>0</v>
      </c>
      <c r="CG695" s="37">
        <v>0</v>
      </c>
      <c r="CH695" s="37">
        <v>0</v>
      </c>
      <c r="CI695" s="37">
        <v>0</v>
      </c>
      <c r="CJ695" s="37">
        <v>0</v>
      </c>
      <c r="CK695" s="37">
        <v>0</v>
      </c>
      <c r="CL695" s="37">
        <v>0</v>
      </c>
      <c r="CM695" s="37">
        <v>0</v>
      </c>
      <c r="CN695" s="37">
        <v>0</v>
      </c>
      <c r="CO695" s="37">
        <v>4090211</v>
      </c>
      <c r="CP695" s="37">
        <v>169461.25053864275</v>
      </c>
      <c r="CQ695" s="37">
        <v>182657.84089246468</v>
      </c>
      <c r="CR695" s="37">
        <v>224859.8864263935</v>
      </c>
      <c r="CS695" s="37">
        <v>267062.02214249928</v>
      </c>
      <c r="CT695" s="37">
        <v>29005.45518010679</v>
      </c>
      <c r="CU695" s="37">
        <v>140455.7953585358</v>
      </c>
      <c r="CV695" s="37">
        <v>182657.84089246468</v>
      </c>
      <c r="CW695" s="37">
        <v>224859.8864263935</v>
      </c>
      <c r="CX695" s="37">
        <v>267062.02214249928</v>
      </c>
      <c r="CY695" s="37">
        <v>0</v>
      </c>
      <c r="CZ695" s="37">
        <v>1688082.0000000002</v>
      </c>
      <c r="DA695" s="37">
        <v>837754</v>
      </c>
      <c r="DB695" s="37">
        <v>48938.594000521509</v>
      </c>
      <c r="DC695" s="37">
        <v>52749.627941697465</v>
      </c>
      <c r="DD695" s="37">
        <v>64937.126651943945</v>
      </c>
      <c r="DE695" s="37">
        <v>77124.651405837154</v>
      </c>
      <c r="DF695" s="37">
        <v>8376.4647690704951</v>
      </c>
      <c r="DG695" s="37">
        <v>40562.129231450963</v>
      </c>
      <c r="DH695" s="37">
        <v>52749.627941697465</v>
      </c>
      <c r="DI695" s="37">
        <v>64937.126651943945</v>
      </c>
      <c r="DJ695" s="37">
        <v>77124.651405837154</v>
      </c>
      <c r="DK695" s="37">
        <v>0</v>
      </c>
      <c r="DL695" s="37">
        <v>487500.00000000012</v>
      </c>
      <c r="DM695" s="37">
        <v>0</v>
      </c>
      <c r="DN695" s="37">
        <v>0</v>
      </c>
      <c r="DO695" s="37">
        <v>0</v>
      </c>
      <c r="DP695" s="37">
        <v>0</v>
      </c>
      <c r="DQ695" s="37">
        <v>0</v>
      </c>
      <c r="DR695" s="37">
        <v>0</v>
      </c>
      <c r="DS695" s="37">
        <v>0</v>
      </c>
      <c r="DT695" s="37">
        <v>0</v>
      </c>
      <c r="DU695" s="37">
        <v>0</v>
      </c>
      <c r="DV695" s="37">
        <v>0</v>
      </c>
      <c r="DW695" s="37">
        <v>0</v>
      </c>
      <c r="DX695" s="37">
        <v>0</v>
      </c>
      <c r="DY695" s="37">
        <v>0</v>
      </c>
      <c r="DZ695" s="37">
        <v>0</v>
      </c>
      <c r="EA695" s="37">
        <v>0</v>
      </c>
      <c r="EB695" s="37">
        <v>0</v>
      </c>
      <c r="EC695" s="37">
        <v>0</v>
      </c>
      <c r="ED695" s="37">
        <v>0</v>
      </c>
      <c r="EE695" s="37">
        <v>0</v>
      </c>
      <c r="EF695" s="37">
        <v>0</v>
      </c>
      <c r="EG695" s="37">
        <v>0</v>
      </c>
      <c r="EH695" s="37">
        <v>0</v>
      </c>
      <c r="EI695" s="37">
        <v>0</v>
      </c>
      <c r="EJ695" s="37">
        <v>0</v>
      </c>
      <c r="EK695" s="161" t="s">
        <v>2860</v>
      </c>
      <c r="EL695" s="294" t="s">
        <v>1124</v>
      </c>
    </row>
    <row r="696" spans="1:142" ht="15" customHeight="1" x14ac:dyDescent="0.35">
      <c r="A696" s="34"/>
      <c r="B696" s="313">
        <v>18035</v>
      </c>
      <c r="C696" s="8" t="s">
        <v>110</v>
      </c>
      <c r="D696" s="18">
        <v>12</v>
      </c>
      <c r="E696" s="155"/>
      <c r="F696" s="36"/>
      <c r="G696" s="37"/>
      <c r="H696" s="37"/>
      <c r="I696" s="37"/>
      <c r="J696" s="37"/>
      <c r="K696" s="37"/>
      <c r="L696" s="37"/>
      <c r="M696" s="37" t="s">
        <v>1124</v>
      </c>
      <c r="N696" s="37" t="s">
        <v>1124</v>
      </c>
      <c r="O696" s="37"/>
      <c r="P696" s="37"/>
      <c r="Q696" s="37"/>
      <c r="R696" s="37"/>
      <c r="S696" s="37"/>
      <c r="T696" s="37"/>
      <c r="U696" s="37"/>
      <c r="V696" s="37"/>
      <c r="W696" s="37"/>
      <c r="X696" s="37"/>
      <c r="Y696" s="37"/>
      <c r="Z696" s="37"/>
      <c r="AA696" s="37" t="s">
        <v>1124</v>
      </c>
      <c r="AB696" s="37" t="s">
        <v>1124</v>
      </c>
      <c r="AC696" s="37"/>
      <c r="AD696" s="37"/>
      <c r="AE696" s="37"/>
      <c r="AF696" s="168"/>
      <c r="AG696" s="37"/>
      <c r="AH696" s="37"/>
      <c r="AI696" s="37"/>
      <c r="AJ696" s="37"/>
      <c r="AK696" s="37"/>
      <c r="AL696" s="37"/>
      <c r="AM696" s="37"/>
      <c r="AN696" s="37"/>
      <c r="AO696" s="37"/>
      <c r="AP696" s="37"/>
      <c r="AQ696" s="37"/>
      <c r="AR696" s="37" t="s">
        <v>1124</v>
      </c>
      <c r="AS696" s="37"/>
      <c r="AT696" s="37"/>
      <c r="AU696" s="37"/>
      <c r="AV696" s="37"/>
      <c r="AW696" s="37"/>
      <c r="AX696" s="37"/>
      <c r="AY696" s="37"/>
      <c r="AZ696" s="37"/>
      <c r="BA696" s="37"/>
      <c r="BB696" s="37"/>
      <c r="BC696" s="37"/>
      <c r="BD696" s="37" t="s">
        <v>1124</v>
      </c>
      <c r="BE696" s="37"/>
      <c r="BF696" s="37"/>
      <c r="BG696" s="37"/>
      <c r="BH696" s="37"/>
      <c r="BI696" s="37"/>
      <c r="BJ696" s="37"/>
      <c r="BK696" s="37"/>
      <c r="BL696" s="37"/>
      <c r="BM696" s="37"/>
      <c r="BN696" s="37"/>
      <c r="BO696" s="37"/>
      <c r="BP696" s="37">
        <v>0</v>
      </c>
      <c r="BQ696" s="37"/>
      <c r="BR696" s="37"/>
      <c r="BS696" s="37"/>
      <c r="BT696" s="37"/>
      <c r="BU696" s="37"/>
      <c r="BV696" s="37"/>
      <c r="BW696" s="37"/>
      <c r="BX696" s="37"/>
      <c r="BY696" s="37"/>
      <c r="BZ696" s="37"/>
      <c r="CA696" s="37"/>
      <c r="CB696" s="37" t="s">
        <v>1124</v>
      </c>
      <c r="CC696" s="37"/>
      <c r="CD696" s="37"/>
      <c r="CE696" s="37"/>
      <c r="CF696" s="37"/>
      <c r="CG696" s="37"/>
      <c r="CH696" s="37"/>
      <c r="CI696" s="37"/>
      <c r="CJ696" s="37"/>
      <c r="CK696" s="37"/>
      <c r="CL696" s="37"/>
      <c r="CM696" s="37"/>
      <c r="CN696" s="37" t="s">
        <v>1124</v>
      </c>
      <c r="CO696" s="37"/>
      <c r="CP696" s="37"/>
      <c r="CQ696" s="37"/>
      <c r="CR696" s="37"/>
      <c r="CS696" s="37"/>
      <c r="CT696" s="37"/>
      <c r="CU696" s="37"/>
      <c r="CV696" s="37"/>
      <c r="CW696" s="37"/>
      <c r="CX696" s="37"/>
      <c r="CY696" s="37"/>
      <c r="CZ696" s="37" t="s">
        <v>1124</v>
      </c>
      <c r="DA696" s="37"/>
      <c r="DB696" s="37"/>
      <c r="DC696" s="37"/>
      <c r="DD696" s="37"/>
      <c r="DE696" s="37"/>
      <c r="DF696" s="37"/>
      <c r="DG696" s="37"/>
      <c r="DH696" s="37"/>
      <c r="DI696" s="37"/>
      <c r="DJ696" s="37"/>
      <c r="DK696" s="37"/>
      <c r="DL696" s="37" t="s">
        <v>1124</v>
      </c>
      <c r="DM696" s="37"/>
      <c r="DN696" s="37"/>
      <c r="DO696" s="37"/>
      <c r="DP696" s="37"/>
      <c r="DQ696" s="37"/>
      <c r="DR696" s="37"/>
      <c r="DS696" s="37"/>
      <c r="DT696" s="37"/>
      <c r="DU696" s="37"/>
      <c r="DV696" s="37"/>
      <c r="DW696" s="37"/>
      <c r="DX696" s="37" t="s">
        <v>1124</v>
      </c>
      <c r="DY696" s="37"/>
      <c r="DZ696" s="37"/>
      <c r="EA696" s="37"/>
      <c r="EB696" s="37"/>
      <c r="EC696" s="37"/>
      <c r="ED696" s="37"/>
      <c r="EE696" s="37"/>
      <c r="EF696" s="37"/>
      <c r="EG696" s="37"/>
      <c r="EH696" s="37"/>
      <c r="EI696" s="37"/>
      <c r="EJ696" s="37" t="s">
        <v>1124</v>
      </c>
      <c r="EK696" s="161"/>
      <c r="EL696" s="294"/>
    </row>
    <row r="697" spans="1:142" ht="15" customHeight="1" x14ac:dyDescent="0.35">
      <c r="A697" s="34"/>
      <c r="B697" s="316">
        <v>20010</v>
      </c>
      <c r="C697" s="10" t="s">
        <v>139</v>
      </c>
      <c r="D697" s="24">
        <v>3</v>
      </c>
      <c r="E697" s="155"/>
      <c r="F697" s="36"/>
      <c r="G697" s="37"/>
      <c r="H697" s="37"/>
      <c r="I697" s="37"/>
      <c r="J697" s="37"/>
      <c r="K697" s="37"/>
      <c r="L697" s="37"/>
      <c r="M697" s="37" t="s">
        <v>1124</v>
      </c>
      <c r="N697" s="37" t="s">
        <v>1124</v>
      </c>
      <c r="O697" s="37"/>
      <c r="P697" s="37"/>
      <c r="Q697" s="37"/>
      <c r="R697" s="37"/>
      <c r="S697" s="37"/>
      <c r="T697" s="37"/>
      <c r="U697" s="37"/>
      <c r="V697" s="37"/>
      <c r="W697" s="37"/>
      <c r="X697" s="37"/>
      <c r="Y697" s="37"/>
      <c r="Z697" s="37"/>
      <c r="AA697" s="37" t="s">
        <v>1124</v>
      </c>
      <c r="AB697" s="37" t="s">
        <v>1124</v>
      </c>
      <c r="AC697" s="37"/>
      <c r="AD697" s="37"/>
      <c r="AE697" s="37"/>
      <c r="AF697" s="168"/>
      <c r="AG697" s="37"/>
      <c r="AH697" s="37"/>
      <c r="AI697" s="37"/>
      <c r="AJ697" s="37"/>
      <c r="AK697" s="37"/>
      <c r="AL697" s="37"/>
      <c r="AM697" s="37"/>
      <c r="AN697" s="37"/>
      <c r="AO697" s="37"/>
      <c r="AP697" s="37"/>
      <c r="AQ697" s="37"/>
      <c r="AR697" s="37" t="s">
        <v>1124</v>
      </c>
      <c r="AS697" s="37"/>
      <c r="AT697" s="37"/>
      <c r="AU697" s="37"/>
      <c r="AV697" s="37"/>
      <c r="AW697" s="37"/>
      <c r="AX697" s="37"/>
      <c r="AY697" s="37"/>
      <c r="AZ697" s="37"/>
      <c r="BA697" s="37"/>
      <c r="BB697" s="37"/>
      <c r="BC697" s="37"/>
      <c r="BD697" s="37" t="s">
        <v>1124</v>
      </c>
      <c r="BE697" s="37"/>
      <c r="BF697" s="37"/>
      <c r="BG697" s="37"/>
      <c r="BH697" s="37"/>
      <c r="BI697" s="37"/>
      <c r="BJ697" s="37"/>
      <c r="BK697" s="37"/>
      <c r="BL697" s="37"/>
      <c r="BM697" s="37"/>
      <c r="BN697" s="37"/>
      <c r="BO697" s="37"/>
      <c r="BP697" s="37">
        <v>0</v>
      </c>
      <c r="BQ697" s="37"/>
      <c r="BR697" s="37"/>
      <c r="BS697" s="37"/>
      <c r="BT697" s="37"/>
      <c r="BU697" s="37"/>
      <c r="BV697" s="37"/>
      <c r="BW697" s="37"/>
      <c r="BX697" s="37"/>
      <c r="BY697" s="37"/>
      <c r="BZ697" s="37"/>
      <c r="CA697" s="37"/>
      <c r="CB697" s="37" t="s">
        <v>1124</v>
      </c>
      <c r="CC697" s="37"/>
      <c r="CD697" s="37"/>
      <c r="CE697" s="37"/>
      <c r="CF697" s="37"/>
      <c r="CG697" s="37"/>
      <c r="CH697" s="37"/>
      <c r="CI697" s="37"/>
      <c r="CJ697" s="37"/>
      <c r="CK697" s="37"/>
      <c r="CL697" s="37"/>
      <c r="CM697" s="37"/>
      <c r="CN697" s="37" t="s">
        <v>1124</v>
      </c>
      <c r="CO697" s="37"/>
      <c r="CP697" s="37"/>
      <c r="CQ697" s="37"/>
      <c r="CR697" s="37"/>
      <c r="CS697" s="37"/>
      <c r="CT697" s="37"/>
      <c r="CU697" s="37"/>
      <c r="CV697" s="37"/>
      <c r="CW697" s="37"/>
      <c r="CX697" s="37"/>
      <c r="CY697" s="37"/>
      <c r="CZ697" s="37" t="s">
        <v>1124</v>
      </c>
      <c r="DA697" s="37"/>
      <c r="DB697" s="37"/>
      <c r="DC697" s="37"/>
      <c r="DD697" s="37"/>
      <c r="DE697" s="37"/>
      <c r="DF697" s="37"/>
      <c r="DG697" s="37"/>
      <c r="DH697" s="37"/>
      <c r="DI697" s="37"/>
      <c r="DJ697" s="37"/>
      <c r="DK697" s="37"/>
      <c r="DL697" s="37" t="s">
        <v>1124</v>
      </c>
      <c r="DM697" s="37"/>
      <c r="DN697" s="37"/>
      <c r="DO697" s="37"/>
      <c r="DP697" s="37"/>
      <c r="DQ697" s="37"/>
      <c r="DR697" s="37"/>
      <c r="DS697" s="37"/>
      <c r="DT697" s="37"/>
      <c r="DU697" s="37"/>
      <c r="DV697" s="37"/>
      <c r="DW697" s="37"/>
      <c r="DX697" s="37" t="s">
        <v>1124</v>
      </c>
      <c r="DY697" s="37"/>
      <c r="DZ697" s="37"/>
      <c r="EA697" s="37"/>
      <c r="EB697" s="37"/>
      <c r="EC697" s="37"/>
      <c r="ED697" s="37"/>
      <c r="EE697" s="37"/>
      <c r="EF697" s="37"/>
      <c r="EG697" s="37"/>
      <c r="EH697" s="37"/>
      <c r="EI697" s="37"/>
      <c r="EJ697" s="37" t="s">
        <v>1124</v>
      </c>
      <c r="EK697" s="161"/>
      <c r="EL697" s="294"/>
    </row>
    <row r="698" spans="1:142" ht="15" customHeight="1" x14ac:dyDescent="0.35">
      <c r="A698" s="34"/>
      <c r="B698" s="313">
        <v>8023</v>
      </c>
      <c r="C698" s="8" t="s">
        <v>1089</v>
      </c>
      <c r="D698" s="18">
        <v>1</v>
      </c>
      <c r="E698" s="155">
        <v>56275</v>
      </c>
      <c r="F698" s="36">
        <v>56358</v>
      </c>
      <c r="G698" s="37">
        <v>1611</v>
      </c>
      <c r="H698" s="37">
        <v>761</v>
      </c>
      <c r="I698" s="37">
        <v>1380</v>
      </c>
      <c r="J698" s="37">
        <v>10408</v>
      </c>
      <c r="K698" s="37">
        <v>8441.25</v>
      </c>
      <c r="L698" s="37">
        <v>8453.6999999999989</v>
      </c>
      <c r="M698" s="37">
        <v>67707.25</v>
      </c>
      <c r="N698" s="37">
        <v>75980.7</v>
      </c>
      <c r="O698" s="37">
        <v>0</v>
      </c>
      <c r="P698" s="37">
        <v>0</v>
      </c>
      <c r="Q698" s="37">
        <v>58420</v>
      </c>
      <c r="R698" s="37">
        <v>42818</v>
      </c>
      <c r="S698" s="37">
        <v>0</v>
      </c>
      <c r="T698" s="37">
        <v>0</v>
      </c>
      <c r="U698" s="37">
        <v>0</v>
      </c>
      <c r="V698" s="37">
        <v>0</v>
      </c>
      <c r="W698" s="37">
        <v>9287</v>
      </c>
      <c r="X698" s="37">
        <v>33163</v>
      </c>
      <c r="Y698" s="37">
        <v>0</v>
      </c>
      <c r="Z698" s="37">
        <v>0</v>
      </c>
      <c r="AA698" s="37">
        <v>67707</v>
      </c>
      <c r="AB698" s="37">
        <v>75981</v>
      </c>
      <c r="AC698" s="37">
        <v>0</v>
      </c>
      <c r="AD698" s="37">
        <v>0</v>
      </c>
      <c r="AE698" s="37">
        <v>0</v>
      </c>
      <c r="AF698" s="168">
        <v>0.02</v>
      </c>
      <c r="AG698" s="37">
        <v>15670703.83</v>
      </c>
      <c r="AH698" s="37">
        <v>134060.60999999999</v>
      </c>
      <c r="AI698" s="37">
        <v>136741.82999999999</v>
      </c>
      <c r="AJ698" s="37">
        <v>139476.66</v>
      </c>
      <c r="AK698" s="37">
        <v>142266.20000000001</v>
      </c>
      <c r="AL698" s="37">
        <v>145111.51999999999</v>
      </c>
      <c r="AM698" s="37">
        <v>148013.75</v>
      </c>
      <c r="AN698" s="37">
        <v>150974.03</v>
      </c>
      <c r="AO698" s="37">
        <v>153993.51</v>
      </c>
      <c r="AP698" s="37">
        <v>157073.38</v>
      </c>
      <c r="AQ698" s="37">
        <v>160214.84</v>
      </c>
      <c r="AR698" s="37">
        <v>1467926.33</v>
      </c>
      <c r="AS698" s="37">
        <v>2550836.4</v>
      </c>
      <c r="AT698" s="37">
        <v>0</v>
      </c>
      <c r="AU698" s="37">
        <v>0</v>
      </c>
      <c r="AV698" s="37">
        <v>0</v>
      </c>
      <c r="AW698" s="37">
        <v>0</v>
      </c>
      <c r="AX698" s="37">
        <v>0</v>
      </c>
      <c r="AY698" s="37">
        <v>0</v>
      </c>
      <c r="AZ698" s="37">
        <v>0</v>
      </c>
      <c r="BA698" s="37">
        <v>0</v>
      </c>
      <c r="BB698" s="37">
        <v>0</v>
      </c>
      <c r="BC698" s="37">
        <v>0</v>
      </c>
      <c r="BD698" s="37">
        <v>0</v>
      </c>
      <c r="BE698" s="37">
        <v>515074</v>
      </c>
      <c r="BF698" s="37">
        <v>50000</v>
      </c>
      <c r="BG698" s="37">
        <v>446000</v>
      </c>
      <c r="BH698" s="37">
        <v>0</v>
      </c>
      <c r="BI698" s="37">
        <v>0</v>
      </c>
      <c r="BJ698" s="37">
        <v>0</v>
      </c>
      <c r="BK698" s="37">
        <v>0</v>
      </c>
      <c r="BL698" s="37">
        <v>0</v>
      </c>
      <c r="BM698" s="37">
        <v>0</v>
      </c>
      <c r="BN698" s="37">
        <v>0</v>
      </c>
      <c r="BO698" s="37">
        <v>0</v>
      </c>
      <c r="BP698" s="37">
        <v>496000</v>
      </c>
      <c r="BQ698" s="37">
        <v>0</v>
      </c>
      <c r="BR698" s="37">
        <v>0</v>
      </c>
      <c r="BS698" s="37">
        <v>500000</v>
      </c>
      <c r="BT698" s="37">
        <v>1000000</v>
      </c>
      <c r="BU698" s="37">
        <v>0</v>
      </c>
      <c r="BV698" s="37">
        <v>0</v>
      </c>
      <c r="BW698" s="37">
        <v>0</v>
      </c>
      <c r="BX698" s="37">
        <v>0</v>
      </c>
      <c r="BY698" s="37">
        <v>0</v>
      </c>
      <c r="BZ698" s="37">
        <v>0</v>
      </c>
      <c r="CA698" s="37">
        <v>0</v>
      </c>
      <c r="CB698" s="37">
        <v>1500000</v>
      </c>
      <c r="CC698" s="37">
        <v>0</v>
      </c>
      <c r="CD698" s="37">
        <v>0</v>
      </c>
      <c r="CE698" s="37">
        <v>0</v>
      </c>
      <c r="CF698" s="37">
        <v>0</v>
      </c>
      <c r="CG698" s="37">
        <v>0</v>
      </c>
      <c r="CH698" s="37">
        <v>0</v>
      </c>
      <c r="CI698" s="37">
        <v>0</v>
      </c>
      <c r="CJ698" s="37">
        <v>0</v>
      </c>
      <c r="CK698" s="37">
        <v>0</v>
      </c>
      <c r="CL698" s="37">
        <v>0</v>
      </c>
      <c r="CM698" s="37">
        <v>0</v>
      </c>
      <c r="CN698" s="37">
        <v>0</v>
      </c>
      <c r="CO698" s="37">
        <v>0</v>
      </c>
      <c r="CP698" s="37">
        <v>0</v>
      </c>
      <c r="CQ698" s="37">
        <v>0</v>
      </c>
      <c r="CR698" s="37">
        <v>0</v>
      </c>
      <c r="CS698" s="37">
        <v>0</v>
      </c>
      <c r="CT698" s="37">
        <v>0</v>
      </c>
      <c r="CU698" s="37">
        <v>0</v>
      </c>
      <c r="CV698" s="37">
        <v>0</v>
      </c>
      <c r="CW698" s="37">
        <v>0</v>
      </c>
      <c r="CX698" s="37">
        <v>0</v>
      </c>
      <c r="CY698" s="37">
        <v>0</v>
      </c>
      <c r="CZ698" s="37">
        <v>0</v>
      </c>
      <c r="DA698" s="37">
        <v>0</v>
      </c>
      <c r="DB698" s="37">
        <v>0</v>
      </c>
      <c r="DC698" s="37">
        <v>0</v>
      </c>
      <c r="DD698" s="37">
        <v>0</v>
      </c>
      <c r="DE698" s="37">
        <v>0</v>
      </c>
      <c r="DF698" s="37">
        <v>0</v>
      </c>
      <c r="DG698" s="37">
        <v>0</v>
      </c>
      <c r="DH698" s="37">
        <v>0</v>
      </c>
      <c r="DI698" s="37">
        <v>0</v>
      </c>
      <c r="DJ698" s="37">
        <v>0</v>
      </c>
      <c r="DK698" s="37">
        <v>0</v>
      </c>
      <c r="DL698" s="37">
        <v>0</v>
      </c>
      <c r="DM698" s="37">
        <v>0</v>
      </c>
      <c r="DN698" s="37">
        <v>0</v>
      </c>
      <c r="DO698" s="37">
        <v>0</v>
      </c>
      <c r="DP698" s="37">
        <v>0</v>
      </c>
      <c r="DQ698" s="37">
        <v>0</v>
      </c>
      <c r="DR698" s="37">
        <v>0</v>
      </c>
      <c r="DS698" s="37">
        <v>0</v>
      </c>
      <c r="DT698" s="37">
        <v>0</v>
      </c>
      <c r="DU698" s="37">
        <v>0</v>
      </c>
      <c r="DV698" s="37">
        <v>0</v>
      </c>
      <c r="DW698" s="37">
        <v>0</v>
      </c>
      <c r="DX698" s="37">
        <v>0</v>
      </c>
      <c r="DY698" s="37">
        <v>0</v>
      </c>
      <c r="DZ698" s="37">
        <v>0</v>
      </c>
      <c r="EA698" s="37">
        <v>0</v>
      </c>
      <c r="EB698" s="37">
        <v>0</v>
      </c>
      <c r="EC698" s="37">
        <v>0</v>
      </c>
      <c r="ED698" s="37">
        <v>0</v>
      </c>
      <c r="EE698" s="37">
        <v>0</v>
      </c>
      <c r="EF698" s="37">
        <v>0</v>
      </c>
      <c r="EG698" s="37">
        <v>0</v>
      </c>
      <c r="EH698" s="37">
        <v>0</v>
      </c>
      <c r="EI698" s="37">
        <v>0</v>
      </c>
      <c r="EJ698" s="37">
        <v>0</v>
      </c>
      <c r="EK698" s="161" t="s">
        <v>2865</v>
      </c>
      <c r="EL698" s="294" t="s">
        <v>1124</v>
      </c>
    </row>
    <row r="699" spans="1:142" ht="15" customHeight="1" x14ac:dyDescent="0.35">
      <c r="A699" s="34"/>
      <c r="B699" s="313">
        <v>17025</v>
      </c>
      <c r="C699" s="8" t="s">
        <v>94</v>
      </c>
      <c r="D699" s="18">
        <v>12</v>
      </c>
      <c r="E699" s="155"/>
      <c r="F699" s="36"/>
      <c r="G699" s="37"/>
      <c r="H699" s="37"/>
      <c r="I699" s="37"/>
      <c r="J699" s="37"/>
      <c r="K699" s="37"/>
      <c r="L699" s="37"/>
      <c r="M699" s="37" t="s">
        <v>1124</v>
      </c>
      <c r="N699" s="37" t="s">
        <v>1124</v>
      </c>
      <c r="O699" s="37"/>
      <c r="P699" s="37"/>
      <c r="Q699" s="37"/>
      <c r="R699" s="37"/>
      <c r="S699" s="37"/>
      <c r="T699" s="37"/>
      <c r="U699" s="37"/>
      <c r="V699" s="37"/>
      <c r="W699" s="37"/>
      <c r="X699" s="37"/>
      <c r="Y699" s="37"/>
      <c r="Z699" s="37"/>
      <c r="AA699" s="37" t="s">
        <v>1124</v>
      </c>
      <c r="AB699" s="37" t="s">
        <v>1124</v>
      </c>
      <c r="AC699" s="37"/>
      <c r="AD699" s="37"/>
      <c r="AE699" s="37"/>
      <c r="AF699" s="168"/>
      <c r="AG699" s="37"/>
      <c r="AH699" s="37"/>
      <c r="AI699" s="37"/>
      <c r="AJ699" s="37"/>
      <c r="AK699" s="37"/>
      <c r="AL699" s="37"/>
      <c r="AM699" s="37"/>
      <c r="AN699" s="37"/>
      <c r="AO699" s="37"/>
      <c r="AP699" s="37"/>
      <c r="AQ699" s="37"/>
      <c r="AR699" s="37" t="s">
        <v>1124</v>
      </c>
      <c r="AS699" s="37"/>
      <c r="AT699" s="37"/>
      <c r="AU699" s="37"/>
      <c r="AV699" s="37"/>
      <c r="AW699" s="37"/>
      <c r="AX699" s="37"/>
      <c r="AY699" s="37"/>
      <c r="AZ699" s="37"/>
      <c r="BA699" s="37"/>
      <c r="BB699" s="37"/>
      <c r="BC699" s="37"/>
      <c r="BD699" s="37" t="s">
        <v>1124</v>
      </c>
      <c r="BE699" s="37"/>
      <c r="BF699" s="37"/>
      <c r="BG699" s="37"/>
      <c r="BH699" s="37"/>
      <c r="BI699" s="37"/>
      <c r="BJ699" s="37"/>
      <c r="BK699" s="37"/>
      <c r="BL699" s="37"/>
      <c r="BM699" s="37"/>
      <c r="BN699" s="37"/>
      <c r="BO699" s="37"/>
      <c r="BP699" s="37">
        <v>0</v>
      </c>
      <c r="BQ699" s="37"/>
      <c r="BR699" s="37"/>
      <c r="BS699" s="37"/>
      <c r="BT699" s="37"/>
      <c r="BU699" s="37"/>
      <c r="BV699" s="37"/>
      <c r="BW699" s="37"/>
      <c r="BX699" s="37"/>
      <c r="BY699" s="37"/>
      <c r="BZ699" s="37"/>
      <c r="CA699" s="37"/>
      <c r="CB699" s="37" t="s">
        <v>1124</v>
      </c>
      <c r="CC699" s="37"/>
      <c r="CD699" s="37"/>
      <c r="CE699" s="37"/>
      <c r="CF699" s="37"/>
      <c r="CG699" s="37"/>
      <c r="CH699" s="37"/>
      <c r="CI699" s="37"/>
      <c r="CJ699" s="37"/>
      <c r="CK699" s="37"/>
      <c r="CL699" s="37"/>
      <c r="CM699" s="37"/>
      <c r="CN699" s="37" t="s">
        <v>1124</v>
      </c>
      <c r="CO699" s="37"/>
      <c r="CP699" s="37"/>
      <c r="CQ699" s="37"/>
      <c r="CR699" s="37"/>
      <c r="CS699" s="37"/>
      <c r="CT699" s="37"/>
      <c r="CU699" s="37"/>
      <c r="CV699" s="37"/>
      <c r="CW699" s="37"/>
      <c r="CX699" s="37"/>
      <c r="CY699" s="37"/>
      <c r="CZ699" s="37" t="s">
        <v>1124</v>
      </c>
      <c r="DA699" s="37"/>
      <c r="DB699" s="37"/>
      <c r="DC699" s="37"/>
      <c r="DD699" s="37"/>
      <c r="DE699" s="37"/>
      <c r="DF699" s="37"/>
      <c r="DG699" s="37"/>
      <c r="DH699" s="37"/>
      <c r="DI699" s="37"/>
      <c r="DJ699" s="37"/>
      <c r="DK699" s="37"/>
      <c r="DL699" s="37" t="s">
        <v>1124</v>
      </c>
      <c r="DM699" s="37"/>
      <c r="DN699" s="37"/>
      <c r="DO699" s="37"/>
      <c r="DP699" s="37"/>
      <c r="DQ699" s="37"/>
      <c r="DR699" s="37"/>
      <c r="DS699" s="37"/>
      <c r="DT699" s="37"/>
      <c r="DU699" s="37"/>
      <c r="DV699" s="37"/>
      <c r="DW699" s="37"/>
      <c r="DX699" s="37" t="s">
        <v>1124</v>
      </c>
      <c r="DY699" s="37"/>
      <c r="DZ699" s="37"/>
      <c r="EA699" s="37"/>
      <c r="EB699" s="37"/>
      <c r="EC699" s="37"/>
      <c r="ED699" s="37"/>
      <c r="EE699" s="37"/>
      <c r="EF699" s="37"/>
      <c r="EG699" s="37"/>
      <c r="EH699" s="37"/>
      <c r="EI699" s="37"/>
      <c r="EJ699" s="37" t="s">
        <v>1124</v>
      </c>
      <c r="EK699" s="161"/>
      <c r="EL699" s="294"/>
    </row>
    <row r="700" spans="1:142" ht="15" customHeight="1" x14ac:dyDescent="0.35">
      <c r="A700" s="34"/>
      <c r="B700" s="313">
        <v>9085</v>
      </c>
      <c r="C700" s="8" t="s">
        <v>1111</v>
      </c>
      <c r="D700" s="18">
        <v>1</v>
      </c>
      <c r="E700" s="155">
        <v>183488</v>
      </c>
      <c r="F700" s="36">
        <v>234511</v>
      </c>
      <c r="G700" s="37">
        <v>15087</v>
      </c>
      <c r="H700" s="37">
        <v>12594</v>
      </c>
      <c r="I700" s="37">
        <v>23450</v>
      </c>
      <c r="J700" s="37">
        <v>30681</v>
      </c>
      <c r="K700" s="37">
        <v>0</v>
      </c>
      <c r="L700" s="37">
        <v>0</v>
      </c>
      <c r="M700" s="37">
        <v>222025</v>
      </c>
      <c r="N700" s="37">
        <v>277786</v>
      </c>
      <c r="O700" s="37">
        <v>23936</v>
      </c>
      <c r="P700" s="37">
        <v>24412</v>
      </c>
      <c r="Q700" s="37">
        <v>173491</v>
      </c>
      <c r="R700" s="37">
        <v>101673</v>
      </c>
      <c r="S700" s="37">
        <v>25401</v>
      </c>
      <c r="T700" s="37">
        <v>138016</v>
      </c>
      <c r="U700" s="37">
        <v>0</v>
      </c>
      <c r="V700" s="37">
        <v>0</v>
      </c>
      <c r="W700" s="37">
        <v>2685</v>
      </c>
      <c r="X700" s="37">
        <v>2685</v>
      </c>
      <c r="Y700" s="37">
        <v>7512</v>
      </c>
      <c r="Z700" s="37">
        <v>0</v>
      </c>
      <c r="AA700" s="37">
        <v>233025</v>
      </c>
      <c r="AB700" s="37">
        <v>266786</v>
      </c>
      <c r="AC700" s="37">
        <v>0</v>
      </c>
      <c r="AD700" s="37">
        <v>0</v>
      </c>
      <c r="AE700" s="37">
        <v>27346</v>
      </c>
      <c r="AF700" s="168">
        <v>0.02</v>
      </c>
      <c r="AG700" s="37">
        <v>33400516.199999999</v>
      </c>
      <c r="AH700" s="37">
        <v>323691.76</v>
      </c>
      <c r="AI700" s="37">
        <v>330165.59000000003</v>
      </c>
      <c r="AJ700" s="37">
        <v>336768.9</v>
      </c>
      <c r="AK700" s="37">
        <v>343504.28</v>
      </c>
      <c r="AL700" s="37">
        <v>350374.37</v>
      </c>
      <c r="AM700" s="37">
        <v>357381.85</v>
      </c>
      <c r="AN700" s="37">
        <v>364529.49</v>
      </c>
      <c r="AO700" s="37">
        <v>371820.08</v>
      </c>
      <c r="AP700" s="37">
        <v>379256.48</v>
      </c>
      <c r="AQ700" s="37">
        <v>386841.61</v>
      </c>
      <c r="AR700" s="37">
        <v>3544334.41</v>
      </c>
      <c r="AS700" s="37">
        <v>0</v>
      </c>
      <c r="AT700" s="37">
        <v>701104.75</v>
      </c>
      <c r="AU700" s="37">
        <v>0</v>
      </c>
      <c r="AV700" s="37">
        <v>0</v>
      </c>
      <c r="AW700" s="37">
        <v>0</v>
      </c>
      <c r="AX700" s="37">
        <v>0</v>
      </c>
      <c r="AY700" s="37">
        <v>0</v>
      </c>
      <c r="AZ700" s="37">
        <v>0</v>
      </c>
      <c r="BA700" s="37">
        <v>0</v>
      </c>
      <c r="BB700" s="37">
        <v>0</v>
      </c>
      <c r="BC700" s="37">
        <v>0</v>
      </c>
      <c r="BD700" s="37">
        <v>701104.75</v>
      </c>
      <c r="BE700" s="37">
        <v>39575</v>
      </c>
      <c r="BF700" s="37">
        <v>0</v>
      </c>
      <c r="BG700" s="37">
        <v>0</v>
      </c>
      <c r="BH700" s="37">
        <v>0</v>
      </c>
      <c r="BI700" s="37">
        <v>0</v>
      </c>
      <c r="BJ700" s="37">
        <v>0</v>
      </c>
      <c r="BK700" s="37">
        <v>0</v>
      </c>
      <c r="BL700" s="37">
        <v>0</v>
      </c>
      <c r="BM700" s="37">
        <v>0</v>
      </c>
      <c r="BN700" s="37">
        <v>0</v>
      </c>
      <c r="BO700" s="37">
        <v>0</v>
      </c>
      <c r="BP700" s="37">
        <v>0</v>
      </c>
      <c r="BQ700" s="37">
        <v>0</v>
      </c>
      <c r="BR700" s="37">
        <v>0</v>
      </c>
      <c r="BS700" s="37">
        <v>0</v>
      </c>
      <c r="BT700" s="37">
        <v>0</v>
      </c>
      <c r="BU700" s="37">
        <v>0</v>
      </c>
      <c r="BV700" s="37">
        <v>0</v>
      </c>
      <c r="BW700" s="37">
        <v>0</v>
      </c>
      <c r="BX700" s="37">
        <v>0</v>
      </c>
      <c r="BY700" s="37">
        <v>0</v>
      </c>
      <c r="BZ700" s="37">
        <v>0</v>
      </c>
      <c r="CA700" s="37">
        <v>0</v>
      </c>
      <c r="CB700" s="37">
        <v>0</v>
      </c>
      <c r="CC700" s="37">
        <v>0</v>
      </c>
      <c r="CD700" s="37">
        <v>0</v>
      </c>
      <c r="CE700" s="37">
        <v>0</v>
      </c>
      <c r="CF700" s="37">
        <v>0</v>
      </c>
      <c r="CG700" s="37">
        <v>0</v>
      </c>
      <c r="CH700" s="37">
        <v>0</v>
      </c>
      <c r="CI700" s="37">
        <v>0</v>
      </c>
      <c r="CJ700" s="37">
        <v>0</v>
      </c>
      <c r="CK700" s="37">
        <v>0</v>
      </c>
      <c r="CL700" s="37">
        <v>0</v>
      </c>
      <c r="CM700" s="37">
        <v>0</v>
      </c>
      <c r="CN700" s="37">
        <v>0</v>
      </c>
      <c r="CO700" s="37">
        <v>269750</v>
      </c>
      <c r="CP700" s="37">
        <v>0</v>
      </c>
      <c r="CQ700" s="37">
        <v>0</v>
      </c>
      <c r="CR700" s="37">
        <v>0</v>
      </c>
      <c r="CS700" s="37">
        <v>0</v>
      </c>
      <c r="CT700" s="37">
        <v>0</v>
      </c>
      <c r="CU700" s="37">
        <v>0</v>
      </c>
      <c r="CV700" s="37">
        <v>0</v>
      </c>
      <c r="CW700" s="37">
        <v>0</v>
      </c>
      <c r="CX700" s="37">
        <v>0</v>
      </c>
      <c r="CY700" s="37">
        <v>0</v>
      </c>
      <c r="CZ700" s="37">
        <v>0</v>
      </c>
      <c r="DA700" s="37">
        <v>55250</v>
      </c>
      <c r="DB700" s="37">
        <v>0</v>
      </c>
      <c r="DC700" s="37">
        <v>0</v>
      </c>
      <c r="DD700" s="37">
        <v>0</v>
      </c>
      <c r="DE700" s="37">
        <v>0</v>
      </c>
      <c r="DF700" s="37">
        <v>0</v>
      </c>
      <c r="DG700" s="37">
        <v>0</v>
      </c>
      <c r="DH700" s="37">
        <v>0</v>
      </c>
      <c r="DI700" s="37">
        <v>0</v>
      </c>
      <c r="DJ700" s="37">
        <v>0</v>
      </c>
      <c r="DK700" s="37">
        <v>0</v>
      </c>
      <c r="DL700" s="37">
        <v>0</v>
      </c>
      <c r="DM700" s="37">
        <v>0</v>
      </c>
      <c r="DN700" s="37">
        <v>0</v>
      </c>
      <c r="DO700" s="37">
        <v>0</v>
      </c>
      <c r="DP700" s="37">
        <v>0</v>
      </c>
      <c r="DQ700" s="37">
        <v>0</v>
      </c>
      <c r="DR700" s="37">
        <v>0</v>
      </c>
      <c r="DS700" s="37">
        <v>0</v>
      </c>
      <c r="DT700" s="37">
        <v>0</v>
      </c>
      <c r="DU700" s="37">
        <v>0</v>
      </c>
      <c r="DV700" s="37">
        <v>0</v>
      </c>
      <c r="DW700" s="37">
        <v>0</v>
      </c>
      <c r="DX700" s="37">
        <v>0</v>
      </c>
      <c r="DY700" s="37">
        <v>0</v>
      </c>
      <c r="DZ700" s="37">
        <v>0</v>
      </c>
      <c r="EA700" s="37">
        <v>0</v>
      </c>
      <c r="EB700" s="37">
        <v>0</v>
      </c>
      <c r="EC700" s="37">
        <v>0</v>
      </c>
      <c r="ED700" s="37">
        <v>0</v>
      </c>
      <c r="EE700" s="37">
        <v>0</v>
      </c>
      <c r="EF700" s="37">
        <v>0</v>
      </c>
      <c r="EG700" s="37">
        <v>0</v>
      </c>
      <c r="EH700" s="37">
        <v>0</v>
      </c>
      <c r="EI700" s="37">
        <v>0</v>
      </c>
      <c r="EJ700" s="37">
        <v>0</v>
      </c>
      <c r="EK700" s="161" t="s">
        <v>2870</v>
      </c>
      <c r="EL700" s="294" t="s">
        <v>1124</v>
      </c>
    </row>
    <row r="701" spans="1:142" ht="15" customHeight="1" x14ac:dyDescent="0.35">
      <c r="A701" s="34"/>
      <c r="B701" s="313">
        <v>7010</v>
      </c>
      <c r="C701" s="8" t="s">
        <v>1069</v>
      </c>
      <c r="D701" s="18">
        <v>1</v>
      </c>
      <c r="E701" s="155"/>
      <c r="F701" s="36"/>
      <c r="G701" s="37"/>
      <c r="H701" s="37"/>
      <c r="I701" s="37"/>
      <c r="J701" s="37"/>
      <c r="K701" s="37"/>
      <c r="L701" s="37"/>
      <c r="M701" s="37" t="s">
        <v>1124</v>
      </c>
      <c r="N701" s="37" t="s">
        <v>1124</v>
      </c>
      <c r="O701" s="37"/>
      <c r="P701" s="37"/>
      <c r="Q701" s="37"/>
      <c r="R701" s="37"/>
      <c r="S701" s="37"/>
      <c r="T701" s="37"/>
      <c r="U701" s="37"/>
      <c r="V701" s="37"/>
      <c r="W701" s="37"/>
      <c r="X701" s="37"/>
      <c r="Y701" s="37"/>
      <c r="Z701" s="37"/>
      <c r="AA701" s="37" t="s">
        <v>1124</v>
      </c>
      <c r="AB701" s="37" t="s">
        <v>1124</v>
      </c>
      <c r="AC701" s="37"/>
      <c r="AD701" s="37"/>
      <c r="AE701" s="37"/>
      <c r="AF701" s="168"/>
      <c r="AG701" s="37"/>
      <c r="AH701" s="37"/>
      <c r="AI701" s="37"/>
      <c r="AJ701" s="37"/>
      <c r="AK701" s="37"/>
      <c r="AL701" s="37"/>
      <c r="AM701" s="37"/>
      <c r="AN701" s="37"/>
      <c r="AO701" s="37"/>
      <c r="AP701" s="37"/>
      <c r="AQ701" s="37"/>
      <c r="AR701" s="37" t="s">
        <v>1124</v>
      </c>
      <c r="AS701" s="37"/>
      <c r="AT701" s="37"/>
      <c r="AU701" s="37"/>
      <c r="AV701" s="37"/>
      <c r="AW701" s="37"/>
      <c r="AX701" s="37"/>
      <c r="AY701" s="37"/>
      <c r="AZ701" s="37"/>
      <c r="BA701" s="37"/>
      <c r="BB701" s="37"/>
      <c r="BC701" s="37"/>
      <c r="BD701" s="37" t="s">
        <v>1124</v>
      </c>
      <c r="BE701" s="37"/>
      <c r="BF701" s="37"/>
      <c r="BG701" s="37"/>
      <c r="BH701" s="37"/>
      <c r="BI701" s="37"/>
      <c r="BJ701" s="37"/>
      <c r="BK701" s="37"/>
      <c r="BL701" s="37"/>
      <c r="BM701" s="37"/>
      <c r="BN701" s="37"/>
      <c r="BO701" s="37"/>
      <c r="BP701" s="37">
        <v>0</v>
      </c>
      <c r="BQ701" s="37"/>
      <c r="BR701" s="37"/>
      <c r="BS701" s="37"/>
      <c r="BT701" s="37"/>
      <c r="BU701" s="37"/>
      <c r="BV701" s="37"/>
      <c r="BW701" s="37"/>
      <c r="BX701" s="37"/>
      <c r="BY701" s="37"/>
      <c r="BZ701" s="37"/>
      <c r="CA701" s="37"/>
      <c r="CB701" s="37" t="s">
        <v>1124</v>
      </c>
      <c r="CC701" s="37"/>
      <c r="CD701" s="37"/>
      <c r="CE701" s="37"/>
      <c r="CF701" s="37"/>
      <c r="CG701" s="37"/>
      <c r="CH701" s="37"/>
      <c r="CI701" s="37"/>
      <c r="CJ701" s="37"/>
      <c r="CK701" s="37"/>
      <c r="CL701" s="37"/>
      <c r="CM701" s="37"/>
      <c r="CN701" s="37" t="s">
        <v>1124</v>
      </c>
      <c r="CO701" s="37"/>
      <c r="CP701" s="37"/>
      <c r="CQ701" s="37"/>
      <c r="CR701" s="37"/>
      <c r="CS701" s="37"/>
      <c r="CT701" s="37"/>
      <c r="CU701" s="37"/>
      <c r="CV701" s="37"/>
      <c r="CW701" s="37"/>
      <c r="CX701" s="37"/>
      <c r="CY701" s="37"/>
      <c r="CZ701" s="37" t="s">
        <v>1124</v>
      </c>
      <c r="DA701" s="37"/>
      <c r="DB701" s="37"/>
      <c r="DC701" s="37"/>
      <c r="DD701" s="37"/>
      <c r="DE701" s="37"/>
      <c r="DF701" s="37"/>
      <c r="DG701" s="37"/>
      <c r="DH701" s="37"/>
      <c r="DI701" s="37"/>
      <c r="DJ701" s="37"/>
      <c r="DK701" s="37"/>
      <c r="DL701" s="37" t="s">
        <v>1124</v>
      </c>
      <c r="DM701" s="37"/>
      <c r="DN701" s="37"/>
      <c r="DO701" s="37"/>
      <c r="DP701" s="37"/>
      <c r="DQ701" s="37"/>
      <c r="DR701" s="37"/>
      <c r="DS701" s="37"/>
      <c r="DT701" s="37"/>
      <c r="DU701" s="37"/>
      <c r="DV701" s="37"/>
      <c r="DW701" s="37"/>
      <c r="DX701" s="37" t="s">
        <v>1124</v>
      </c>
      <c r="DY701" s="37"/>
      <c r="DZ701" s="37"/>
      <c r="EA701" s="37"/>
      <c r="EB701" s="37"/>
      <c r="EC701" s="37"/>
      <c r="ED701" s="37"/>
      <c r="EE701" s="37"/>
      <c r="EF701" s="37"/>
      <c r="EG701" s="37"/>
      <c r="EH701" s="37"/>
      <c r="EI701" s="37"/>
      <c r="EJ701" s="37" t="s">
        <v>1124</v>
      </c>
      <c r="EK701" s="161"/>
      <c r="EL701" s="294"/>
    </row>
    <row r="702" spans="1:142" ht="15" customHeight="1" x14ac:dyDescent="0.35">
      <c r="A702" s="34"/>
      <c r="B702" s="313">
        <v>11030</v>
      </c>
      <c r="C702" s="8" t="s">
        <v>22</v>
      </c>
      <c r="D702" s="18">
        <v>1</v>
      </c>
      <c r="E702" s="155">
        <v>30335</v>
      </c>
      <c r="F702" s="36">
        <v>12481</v>
      </c>
      <c r="G702" s="37">
        <v>0</v>
      </c>
      <c r="H702" s="37">
        <v>0</v>
      </c>
      <c r="I702" s="37">
        <v>0</v>
      </c>
      <c r="J702" s="37">
        <v>0</v>
      </c>
      <c r="K702" s="37">
        <v>4550.25</v>
      </c>
      <c r="L702" s="37">
        <v>1872.1499999999999</v>
      </c>
      <c r="M702" s="37">
        <v>34885.25</v>
      </c>
      <c r="N702" s="37">
        <v>14353.15</v>
      </c>
      <c r="O702" s="37">
        <v>0</v>
      </c>
      <c r="P702" s="37">
        <v>0</v>
      </c>
      <c r="Q702" s="37">
        <v>21930</v>
      </c>
      <c r="R702" s="37">
        <v>0</v>
      </c>
      <c r="S702" s="37">
        <v>0</v>
      </c>
      <c r="T702" s="37">
        <v>0</v>
      </c>
      <c r="U702" s="37">
        <v>66705</v>
      </c>
      <c r="V702" s="37">
        <v>4786</v>
      </c>
      <c r="W702" s="37">
        <v>0</v>
      </c>
      <c r="X702" s="37">
        <v>0</v>
      </c>
      <c r="Y702" s="37">
        <v>0</v>
      </c>
      <c r="Z702" s="37">
        <v>0</v>
      </c>
      <c r="AA702" s="37">
        <v>88635</v>
      </c>
      <c r="AB702" s="37">
        <v>4786</v>
      </c>
      <c r="AC702" s="37">
        <v>44183</v>
      </c>
      <c r="AD702" s="37">
        <v>0</v>
      </c>
      <c r="AE702" s="37">
        <v>0</v>
      </c>
      <c r="AF702" s="168">
        <v>0.02</v>
      </c>
      <c r="AG702" s="37">
        <v>6103506.5700000003</v>
      </c>
      <c r="AH702" s="37">
        <v>44458.94</v>
      </c>
      <c r="AI702" s="37">
        <v>45348.12</v>
      </c>
      <c r="AJ702" s="37">
        <v>46255.08</v>
      </c>
      <c r="AK702" s="37">
        <v>47180.18</v>
      </c>
      <c r="AL702" s="37">
        <v>48123.78</v>
      </c>
      <c r="AM702" s="37">
        <v>49086.26</v>
      </c>
      <c r="AN702" s="37">
        <v>50067.98</v>
      </c>
      <c r="AO702" s="37">
        <v>51069.34</v>
      </c>
      <c r="AP702" s="37">
        <v>52090.73</v>
      </c>
      <c r="AQ702" s="37">
        <v>53132.54</v>
      </c>
      <c r="AR702" s="37">
        <v>486812.95</v>
      </c>
      <c r="AS702" s="37">
        <v>3121200</v>
      </c>
      <c r="AT702" s="37">
        <v>0</v>
      </c>
      <c r="AU702" s="37">
        <v>0</v>
      </c>
      <c r="AV702" s="37">
        <v>0</v>
      </c>
      <c r="AW702" s="37">
        <v>0</v>
      </c>
      <c r="AX702" s="37">
        <v>0</v>
      </c>
      <c r="AY702" s="37">
        <v>0</v>
      </c>
      <c r="AZ702" s="37">
        <v>0</v>
      </c>
      <c r="BA702" s="37">
        <v>0</v>
      </c>
      <c r="BB702" s="37">
        <v>0</v>
      </c>
      <c r="BC702" s="37">
        <v>0</v>
      </c>
      <c r="BD702" s="37">
        <v>0</v>
      </c>
      <c r="BE702" s="37">
        <v>0</v>
      </c>
      <c r="BF702" s="37">
        <v>689235</v>
      </c>
      <c r="BG702" s="37">
        <v>0</v>
      </c>
      <c r="BH702" s="37">
        <v>0</v>
      </c>
      <c r="BI702" s="37">
        <v>0</v>
      </c>
      <c r="BJ702" s="37">
        <v>0</v>
      </c>
      <c r="BK702" s="37">
        <v>0</v>
      </c>
      <c r="BL702" s="37">
        <v>0</v>
      </c>
      <c r="BM702" s="37">
        <v>0</v>
      </c>
      <c r="BN702" s="37">
        <v>0</v>
      </c>
      <c r="BO702" s="37">
        <v>0</v>
      </c>
      <c r="BP702" s="37">
        <v>689235</v>
      </c>
      <c r="BQ702" s="37">
        <v>0</v>
      </c>
      <c r="BR702" s="37">
        <v>2310765</v>
      </c>
      <c r="BS702" s="37">
        <v>0</v>
      </c>
      <c r="BT702" s="37">
        <v>0</v>
      </c>
      <c r="BU702" s="37">
        <v>0</v>
      </c>
      <c r="BV702" s="37">
        <v>0</v>
      </c>
      <c r="BW702" s="37">
        <v>0</v>
      </c>
      <c r="BX702" s="37">
        <v>0</v>
      </c>
      <c r="BY702" s="37">
        <v>0</v>
      </c>
      <c r="BZ702" s="37">
        <v>0</v>
      </c>
      <c r="CA702" s="37">
        <v>0</v>
      </c>
      <c r="CB702" s="37">
        <v>2310765</v>
      </c>
      <c r="CC702" s="37">
        <v>0</v>
      </c>
      <c r="CD702" s="37">
        <v>0</v>
      </c>
      <c r="CE702" s="37">
        <v>0</v>
      </c>
      <c r="CF702" s="37">
        <v>0</v>
      </c>
      <c r="CG702" s="37">
        <v>0</v>
      </c>
      <c r="CH702" s="37">
        <v>0</v>
      </c>
      <c r="CI702" s="37">
        <v>0</v>
      </c>
      <c r="CJ702" s="37">
        <v>0</v>
      </c>
      <c r="CK702" s="37">
        <v>0</v>
      </c>
      <c r="CL702" s="37">
        <v>0</v>
      </c>
      <c r="CM702" s="37">
        <v>0</v>
      </c>
      <c r="CN702" s="37">
        <v>0</v>
      </c>
      <c r="CO702" s="37">
        <v>0</v>
      </c>
      <c r="CP702" s="37">
        <v>0</v>
      </c>
      <c r="CQ702" s="37">
        <v>0</v>
      </c>
      <c r="CR702" s="37">
        <v>0</v>
      </c>
      <c r="CS702" s="37">
        <v>0</v>
      </c>
      <c r="CT702" s="37">
        <v>0</v>
      </c>
      <c r="CU702" s="37">
        <v>0</v>
      </c>
      <c r="CV702" s="37">
        <v>0</v>
      </c>
      <c r="CW702" s="37">
        <v>0</v>
      </c>
      <c r="CX702" s="37">
        <v>0</v>
      </c>
      <c r="CY702" s="37">
        <v>0</v>
      </c>
      <c r="CZ702" s="37">
        <v>0</v>
      </c>
      <c r="DA702" s="37">
        <v>0</v>
      </c>
      <c r="DB702" s="37">
        <v>0</v>
      </c>
      <c r="DC702" s="37">
        <v>0</v>
      </c>
      <c r="DD702" s="37">
        <v>0</v>
      </c>
      <c r="DE702" s="37">
        <v>0</v>
      </c>
      <c r="DF702" s="37">
        <v>0</v>
      </c>
      <c r="DG702" s="37">
        <v>0</v>
      </c>
      <c r="DH702" s="37">
        <v>0</v>
      </c>
      <c r="DI702" s="37">
        <v>0</v>
      </c>
      <c r="DJ702" s="37">
        <v>0</v>
      </c>
      <c r="DK702" s="37">
        <v>0</v>
      </c>
      <c r="DL702" s="37">
        <v>0</v>
      </c>
      <c r="DM702" s="37">
        <v>0</v>
      </c>
      <c r="DN702" s="37">
        <v>0</v>
      </c>
      <c r="DO702" s="37">
        <v>0</v>
      </c>
      <c r="DP702" s="37">
        <v>0</v>
      </c>
      <c r="DQ702" s="37">
        <v>0</v>
      </c>
      <c r="DR702" s="37">
        <v>0</v>
      </c>
      <c r="DS702" s="37">
        <v>0</v>
      </c>
      <c r="DT702" s="37">
        <v>0</v>
      </c>
      <c r="DU702" s="37">
        <v>0</v>
      </c>
      <c r="DV702" s="37">
        <v>0</v>
      </c>
      <c r="DW702" s="37">
        <v>0</v>
      </c>
      <c r="DX702" s="37">
        <v>0</v>
      </c>
      <c r="DY702" s="37">
        <v>0</v>
      </c>
      <c r="DZ702" s="37">
        <v>0</v>
      </c>
      <c r="EA702" s="37">
        <v>0</v>
      </c>
      <c r="EB702" s="37">
        <v>0</v>
      </c>
      <c r="EC702" s="37">
        <v>0</v>
      </c>
      <c r="ED702" s="37">
        <v>0</v>
      </c>
      <c r="EE702" s="37">
        <v>0</v>
      </c>
      <c r="EF702" s="37">
        <v>0</v>
      </c>
      <c r="EG702" s="37">
        <v>0</v>
      </c>
      <c r="EH702" s="37">
        <v>0</v>
      </c>
      <c r="EI702" s="37">
        <v>0</v>
      </c>
      <c r="EJ702" s="37">
        <v>0</v>
      </c>
      <c r="EK702" s="161" t="s">
        <v>2874</v>
      </c>
      <c r="EL702" s="294" t="s">
        <v>1124</v>
      </c>
    </row>
    <row r="703" spans="1:142" ht="15" customHeight="1" x14ac:dyDescent="0.35">
      <c r="A703" s="34"/>
      <c r="B703" s="313">
        <v>38035</v>
      </c>
      <c r="C703" s="8" t="s">
        <v>330</v>
      </c>
      <c r="D703" s="18">
        <v>17</v>
      </c>
      <c r="E703" s="155"/>
      <c r="F703" s="36"/>
      <c r="G703" s="37"/>
      <c r="H703" s="37"/>
      <c r="I703" s="37"/>
      <c r="J703" s="37"/>
      <c r="K703" s="37"/>
      <c r="L703" s="37"/>
      <c r="M703" s="37" t="s">
        <v>1124</v>
      </c>
      <c r="N703" s="37" t="s">
        <v>1124</v>
      </c>
      <c r="O703" s="37"/>
      <c r="P703" s="37"/>
      <c r="Q703" s="37"/>
      <c r="R703" s="37"/>
      <c r="S703" s="37"/>
      <c r="T703" s="37"/>
      <c r="U703" s="37"/>
      <c r="V703" s="37"/>
      <c r="W703" s="37"/>
      <c r="X703" s="37"/>
      <c r="Y703" s="37"/>
      <c r="Z703" s="37"/>
      <c r="AA703" s="37" t="s">
        <v>1124</v>
      </c>
      <c r="AB703" s="37" t="s">
        <v>1124</v>
      </c>
      <c r="AC703" s="37"/>
      <c r="AD703" s="37"/>
      <c r="AE703" s="37"/>
      <c r="AF703" s="168"/>
      <c r="AG703" s="37"/>
      <c r="AH703" s="37"/>
      <c r="AI703" s="37"/>
      <c r="AJ703" s="37"/>
      <c r="AK703" s="37"/>
      <c r="AL703" s="37"/>
      <c r="AM703" s="37"/>
      <c r="AN703" s="37"/>
      <c r="AO703" s="37"/>
      <c r="AP703" s="37"/>
      <c r="AQ703" s="37"/>
      <c r="AR703" s="37" t="s">
        <v>1124</v>
      </c>
      <c r="AS703" s="37"/>
      <c r="AT703" s="37"/>
      <c r="AU703" s="37"/>
      <c r="AV703" s="37"/>
      <c r="AW703" s="37"/>
      <c r="AX703" s="37"/>
      <c r="AY703" s="37"/>
      <c r="AZ703" s="37"/>
      <c r="BA703" s="37"/>
      <c r="BB703" s="37"/>
      <c r="BC703" s="37"/>
      <c r="BD703" s="37" t="s">
        <v>1124</v>
      </c>
      <c r="BE703" s="37"/>
      <c r="BF703" s="37"/>
      <c r="BG703" s="37"/>
      <c r="BH703" s="37"/>
      <c r="BI703" s="37"/>
      <c r="BJ703" s="37"/>
      <c r="BK703" s="37"/>
      <c r="BL703" s="37"/>
      <c r="BM703" s="37"/>
      <c r="BN703" s="37"/>
      <c r="BO703" s="37"/>
      <c r="BP703" s="37">
        <v>0</v>
      </c>
      <c r="BQ703" s="37"/>
      <c r="BR703" s="37"/>
      <c r="BS703" s="37"/>
      <c r="BT703" s="37"/>
      <c r="BU703" s="37"/>
      <c r="BV703" s="37"/>
      <c r="BW703" s="37"/>
      <c r="BX703" s="37"/>
      <c r="BY703" s="37"/>
      <c r="BZ703" s="37"/>
      <c r="CA703" s="37"/>
      <c r="CB703" s="37" t="s">
        <v>1124</v>
      </c>
      <c r="CC703" s="37"/>
      <c r="CD703" s="37"/>
      <c r="CE703" s="37"/>
      <c r="CF703" s="37"/>
      <c r="CG703" s="37"/>
      <c r="CH703" s="37"/>
      <c r="CI703" s="37"/>
      <c r="CJ703" s="37"/>
      <c r="CK703" s="37"/>
      <c r="CL703" s="37"/>
      <c r="CM703" s="37"/>
      <c r="CN703" s="37" t="s">
        <v>1124</v>
      </c>
      <c r="CO703" s="37"/>
      <c r="CP703" s="37"/>
      <c r="CQ703" s="37"/>
      <c r="CR703" s="37"/>
      <c r="CS703" s="37"/>
      <c r="CT703" s="37"/>
      <c r="CU703" s="37"/>
      <c r="CV703" s="37"/>
      <c r="CW703" s="37"/>
      <c r="CX703" s="37"/>
      <c r="CY703" s="37"/>
      <c r="CZ703" s="37" t="s">
        <v>1124</v>
      </c>
      <c r="DA703" s="37"/>
      <c r="DB703" s="37"/>
      <c r="DC703" s="37"/>
      <c r="DD703" s="37"/>
      <c r="DE703" s="37"/>
      <c r="DF703" s="37"/>
      <c r="DG703" s="37"/>
      <c r="DH703" s="37"/>
      <c r="DI703" s="37"/>
      <c r="DJ703" s="37"/>
      <c r="DK703" s="37"/>
      <c r="DL703" s="37" t="s">
        <v>1124</v>
      </c>
      <c r="DM703" s="37"/>
      <c r="DN703" s="37"/>
      <c r="DO703" s="37"/>
      <c r="DP703" s="37"/>
      <c r="DQ703" s="37"/>
      <c r="DR703" s="37"/>
      <c r="DS703" s="37"/>
      <c r="DT703" s="37"/>
      <c r="DU703" s="37"/>
      <c r="DV703" s="37"/>
      <c r="DW703" s="37"/>
      <c r="DX703" s="37" t="s">
        <v>1124</v>
      </c>
      <c r="DY703" s="37"/>
      <c r="DZ703" s="37"/>
      <c r="EA703" s="37"/>
      <c r="EB703" s="37"/>
      <c r="EC703" s="37"/>
      <c r="ED703" s="37"/>
      <c r="EE703" s="37"/>
      <c r="EF703" s="37"/>
      <c r="EG703" s="37"/>
      <c r="EH703" s="37"/>
      <c r="EI703" s="37"/>
      <c r="EJ703" s="37" t="s">
        <v>1124</v>
      </c>
      <c r="EK703" s="161"/>
      <c r="EL703" s="294"/>
    </row>
    <row r="704" spans="1:142" ht="15" customHeight="1" x14ac:dyDescent="0.35">
      <c r="A704" s="34"/>
      <c r="B704" s="313">
        <v>37215</v>
      </c>
      <c r="C704" s="8" t="s">
        <v>317</v>
      </c>
      <c r="D704" s="18">
        <v>4</v>
      </c>
      <c r="E704" s="155">
        <v>85785</v>
      </c>
      <c r="F704" s="36">
        <v>45292</v>
      </c>
      <c r="G704" s="37">
        <v>52723</v>
      </c>
      <c r="H704" s="37">
        <v>60656</v>
      </c>
      <c r="I704" s="37">
        <v>50027</v>
      </c>
      <c r="J704" s="37">
        <v>41798</v>
      </c>
      <c r="K704" s="37">
        <v>12867.75</v>
      </c>
      <c r="L704" s="37">
        <v>6793.8</v>
      </c>
      <c r="M704" s="37">
        <v>201402.75</v>
      </c>
      <c r="N704" s="37">
        <v>154539.79999999999</v>
      </c>
      <c r="O704" s="37">
        <v>65760</v>
      </c>
      <c r="P704" s="37">
        <v>0</v>
      </c>
      <c r="Q704" s="37">
        <v>62101</v>
      </c>
      <c r="R704" s="37">
        <v>41229</v>
      </c>
      <c r="S704" s="37">
        <v>0</v>
      </c>
      <c r="T704" s="37">
        <v>0</v>
      </c>
      <c r="U704" s="37">
        <v>38663</v>
      </c>
      <c r="V704" s="37">
        <v>43073</v>
      </c>
      <c r="W704" s="37">
        <v>74720.492748136632</v>
      </c>
      <c r="X704" s="37">
        <v>100809.05725186336</v>
      </c>
      <c r="Y704" s="37">
        <v>0</v>
      </c>
      <c r="Z704" s="37">
        <v>0</v>
      </c>
      <c r="AA704" s="37">
        <v>241244.49274813663</v>
      </c>
      <c r="AB704" s="37">
        <v>185111.05725186336</v>
      </c>
      <c r="AC704" s="37">
        <v>70413</v>
      </c>
      <c r="AD704" s="37">
        <v>70413</v>
      </c>
      <c r="AE704" s="37">
        <v>216041</v>
      </c>
      <c r="AF704" s="168">
        <v>0.02</v>
      </c>
      <c r="AG704" s="37">
        <v>30131158.940000001</v>
      </c>
      <c r="AH704" s="37">
        <v>4465909.07</v>
      </c>
      <c r="AI704" s="37">
        <v>407875.9</v>
      </c>
      <c r="AJ704" s="37">
        <v>407670.55</v>
      </c>
      <c r="AK704" s="37">
        <v>415823.96</v>
      </c>
      <c r="AL704" s="37">
        <v>424140.44</v>
      </c>
      <c r="AM704" s="37">
        <v>432623.25</v>
      </c>
      <c r="AN704" s="37">
        <v>441275.71</v>
      </c>
      <c r="AO704" s="37">
        <v>450101.23</v>
      </c>
      <c r="AP704" s="37">
        <v>459103.25</v>
      </c>
      <c r="AQ704" s="37">
        <v>468285.32</v>
      </c>
      <c r="AR704" s="37">
        <v>8372808.6799999997</v>
      </c>
      <c r="AS704" s="37">
        <v>168579.13</v>
      </c>
      <c r="AT704" s="37">
        <v>0</v>
      </c>
      <c r="AU704" s="37">
        <v>318362.40000000002</v>
      </c>
      <c r="AV704" s="37">
        <v>0</v>
      </c>
      <c r="AW704" s="37">
        <v>0</v>
      </c>
      <c r="AX704" s="37">
        <v>0</v>
      </c>
      <c r="AY704" s="37">
        <v>0</v>
      </c>
      <c r="AZ704" s="37">
        <v>0</v>
      </c>
      <c r="BA704" s="37">
        <v>0</v>
      </c>
      <c r="BB704" s="37">
        <v>0</v>
      </c>
      <c r="BC704" s="37">
        <v>0</v>
      </c>
      <c r="BD704" s="37">
        <v>318362.40000000002</v>
      </c>
      <c r="BE704" s="37">
        <v>871772</v>
      </c>
      <c r="BF704" s="37">
        <v>0</v>
      </c>
      <c r="BG704" s="37">
        <v>3842648</v>
      </c>
      <c r="BH704" s="37">
        <v>400000</v>
      </c>
      <c r="BI704" s="37">
        <v>0</v>
      </c>
      <c r="BJ704" s="37">
        <v>0</v>
      </c>
      <c r="BK704" s="37">
        <v>0</v>
      </c>
      <c r="BL704" s="37">
        <v>0</v>
      </c>
      <c r="BM704" s="37">
        <v>0</v>
      </c>
      <c r="BN704" s="37">
        <v>0</v>
      </c>
      <c r="BO704" s="37">
        <v>0</v>
      </c>
      <c r="BP704" s="37">
        <v>4242648</v>
      </c>
      <c r="BQ704" s="37">
        <v>228228</v>
      </c>
      <c r="BR704" s="37">
        <v>0</v>
      </c>
      <c r="BS704" s="37">
        <v>960662</v>
      </c>
      <c r="BT704" s="37">
        <v>0</v>
      </c>
      <c r="BU704" s="37">
        <v>0</v>
      </c>
      <c r="BV704" s="37">
        <v>0</v>
      </c>
      <c r="BW704" s="37">
        <v>0</v>
      </c>
      <c r="BX704" s="37">
        <v>0</v>
      </c>
      <c r="BY704" s="37">
        <v>0</v>
      </c>
      <c r="BZ704" s="37">
        <v>0</v>
      </c>
      <c r="CA704" s="37">
        <v>0</v>
      </c>
      <c r="CB704" s="37">
        <v>960662</v>
      </c>
      <c r="CC704" s="37">
        <v>0</v>
      </c>
      <c r="CD704" s="37">
        <v>0</v>
      </c>
      <c r="CE704" s="37">
        <v>0</v>
      </c>
      <c r="CF704" s="37">
        <v>0</v>
      </c>
      <c r="CG704" s="37">
        <v>0</v>
      </c>
      <c r="CH704" s="37">
        <v>0</v>
      </c>
      <c r="CI704" s="37">
        <v>0</v>
      </c>
      <c r="CJ704" s="37">
        <v>0</v>
      </c>
      <c r="CK704" s="37">
        <v>0</v>
      </c>
      <c r="CL704" s="37">
        <v>0</v>
      </c>
      <c r="CM704" s="37">
        <v>0</v>
      </c>
      <c r="CN704" s="37">
        <v>0</v>
      </c>
      <c r="CO704" s="37">
        <v>0</v>
      </c>
      <c r="CP704" s="37">
        <v>0</v>
      </c>
      <c r="CQ704" s="37">
        <v>0</v>
      </c>
      <c r="CR704" s="37">
        <v>0</v>
      </c>
      <c r="CS704" s="37">
        <v>0</v>
      </c>
      <c r="CT704" s="37">
        <v>0</v>
      </c>
      <c r="CU704" s="37">
        <v>0</v>
      </c>
      <c r="CV704" s="37">
        <v>0</v>
      </c>
      <c r="CW704" s="37">
        <v>0</v>
      </c>
      <c r="CX704" s="37">
        <v>0</v>
      </c>
      <c r="CY704" s="37">
        <v>0</v>
      </c>
      <c r="CZ704" s="37">
        <v>0</v>
      </c>
      <c r="DA704" s="37">
        <v>0</v>
      </c>
      <c r="DB704" s="37">
        <v>121000</v>
      </c>
      <c r="DC704" s="37">
        <v>0</v>
      </c>
      <c r="DD704" s="37">
        <v>0</v>
      </c>
      <c r="DE704" s="37">
        <v>0</v>
      </c>
      <c r="DF704" s="37">
        <v>0</v>
      </c>
      <c r="DG704" s="37">
        <v>0</v>
      </c>
      <c r="DH704" s="37">
        <v>0</v>
      </c>
      <c r="DI704" s="37">
        <v>0</v>
      </c>
      <c r="DJ704" s="37">
        <v>0</v>
      </c>
      <c r="DK704" s="37">
        <v>0</v>
      </c>
      <c r="DL704" s="37">
        <v>121000</v>
      </c>
      <c r="DM704" s="37">
        <v>0</v>
      </c>
      <c r="DN704" s="37">
        <v>0</v>
      </c>
      <c r="DO704" s="37">
        <v>0</v>
      </c>
      <c r="DP704" s="37">
        <v>0</v>
      </c>
      <c r="DQ704" s="37">
        <v>0</v>
      </c>
      <c r="DR704" s="37">
        <v>0</v>
      </c>
      <c r="DS704" s="37">
        <v>0</v>
      </c>
      <c r="DT704" s="37">
        <v>0</v>
      </c>
      <c r="DU704" s="37">
        <v>0</v>
      </c>
      <c r="DV704" s="37">
        <v>0</v>
      </c>
      <c r="DW704" s="37">
        <v>0</v>
      </c>
      <c r="DX704" s="37">
        <v>0</v>
      </c>
      <c r="DY704" s="37">
        <v>0</v>
      </c>
      <c r="DZ704" s="37">
        <v>0</v>
      </c>
      <c r="EA704" s="37">
        <v>0</v>
      </c>
      <c r="EB704" s="37">
        <v>0</v>
      </c>
      <c r="EC704" s="37">
        <v>0</v>
      </c>
      <c r="ED704" s="37">
        <v>0</v>
      </c>
      <c r="EE704" s="37">
        <v>0</v>
      </c>
      <c r="EF704" s="37">
        <v>0</v>
      </c>
      <c r="EG704" s="37">
        <v>0</v>
      </c>
      <c r="EH704" s="37">
        <v>0</v>
      </c>
      <c r="EI704" s="37">
        <v>0</v>
      </c>
      <c r="EJ704" s="37">
        <v>0</v>
      </c>
      <c r="EK704" s="161" t="s">
        <v>2877</v>
      </c>
      <c r="EL704" s="294" t="s">
        <v>1124</v>
      </c>
    </row>
    <row r="705" spans="1:142" ht="15" customHeight="1" x14ac:dyDescent="0.35">
      <c r="A705" s="34"/>
      <c r="B705" s="313">
        <v>52040</v>
      </c>
      <c r="C705" s="8" t="s">
        <v>519</v>
      </c>
      <c r="D705" s="18">
        <v>14</v>
      </c>
      <c r="E705" s="155">
        <v>168280</v>
      </c>
      <c r="F705" s="36">
        <v>80218</v>
      </c>
      <c r="G705" s="37">
        <v>31345</v>
      </c>
      <c r="H705" s="37">
        <v>4993</v>
      </c>
      <c r="I705" s="37">
        <v>218828</v>
      </c>
      <c r="J705" s="37">
        <v>35623</v>
      </c>
      <c r="K705" s="37">
        <v>25242</v>
      </c>
      <c r="L705" s="37">
        <v>12032.699999999999</v>
      </c>
      <c r="M705" s="37">
        <v>443695</v>
      </c>
      <c r="N705" s="37">
        <v>132866.70000000001</v>
      </c>
      <c r="O705" s="37">
        <v>59619</v>
      </c>
      <c r="P705" s="37">
        <v>0</v>
      </c>
      <c r="Q705" s="37">
        <v>176271</v>
      </c>
      <c r="R705" s="37">
        <v>58301</v>
      </c>
      <c r="S705" s="37">
        <v>0</v>
      </c>
      <c r="T705" s="37">
        <v>0</v>
      </c>
      <c r="U705" s="37">
        <v>17373</v>
      </c>
      <c r="V705" s="37">
        <v>0</v>
      </c>
      <c r="W705" s="37">
        <v>199107</v>
      </c>
      <c r="X705" s="37">
        <v>83244</v>
      </c>
      <c r="Y705" s="37">
        <v>0</v>
      </c>
      <c r="Z705" s="37">
        <v>0</v>
      </c>
      <c r="AA705" s="37">
        <v>452370</v>
      </c>
      <c r="AB705" s="37">
        <v>141545</v>
      </c>
      <c r="AC705" s="37">
        <v>17353.300000000047</v>
      </c>
      <c r="AD705" s="37">
        <v>17353</v>
      </c>
      <c r="AE705" s="37">
        <v>21680</v>
      </c>
      <c r="AF705" s="168">
        <v>0.02</v>
      </c>
      <c r="AG705" s="37">
        <v>21951507.530000001</v>
      </c>
      <c r="AH705" s="37">
        <v>221717.11</v>
      </c>
      <c r="AI705" s="37">
        <v>226151.46</v>
      </c>
      <c r="AJ705" s="37">
        <v>230674.48</v>
      </c>
      <c r="AK705" s="37">
        <v>235287.97</v>
      </c>
      <c r="AL705" s="37">
        <v>239993.73</v>
      </c>
      <c r="AM705" s="37">
        <v>244793.61</v>
      </c>
      <c r="AN705" s="37">
        <v>249689.48</v>
      </c>
      <c r="AO705" s="37">
        <v>254683.27</v>
      </c>
      <c r="AP705" s="37">
        <v>259776.94</v>
      </c>
      <c r="AQ705" s="37">
        <v>264972.46999999997</v>
      </c>
      <c r="AR705" s="37">
        <v>2427740.52</v>
      </c>
      <c r="AS705" s="37">
        <v>1132137.27</v>
      </c>
      <c r="AT705" s="37">
        <v>0</v>
      </c>
      <c r="AU705" s="37">
        <v>0</v>
      </c>
      <c r="AV705" s="37">
        <v>0</v>
      </c>
      <c r="AW705" s="37">
        <v>0</v>
      </c>
      <c r="AX705" s="37">
        <v>0</v>
      </c>
      <c r="AY705" s="37">
        <v>0</v>
      </c>
      <c r="AZ705" s="37">
        <v>0</v>
      </c>
      <c r="BA705" s="37">
        <v>0</v>
      </c>
      <c r="BB705" s="37">
        <v>0</v>
      </c>
      <c r="BC705" s="37">
        <v>0</v>
      </c>
      <c r="BD705" s="37">
        <v>0</v>
      </c>
      <c r="BE705" s="37">
        <v>0</v>
      </c>
      <c r="BF705" s="37">
        <v>194968.14611857408</v>
      </c>
      <c r="BG705" s="37">
        <v>210151.05518004243</v>
      </c>
      <c r="BH705" s="37">
        <v>258705.25004174907</v>
      </c>
      <c r="BI705" s="37">
        <v>307259.54865963472</v>
      </c>
      <c r="BJ705" s="37">
        <v>33371.285800238162</v>
      </c>
      <c r="BK705" s="37">
        <v>161596.8603183357</v>
      </c>
      <c r="BL705" s="37">
        <v>210151.05518004243</v>
      </c>
      <c r="BM705" s="37">
        <v>258705.25004174907</v>
      </c>
      <c r="BN705" s="37">
        <v>307259.54865963472</v>
      </c>
      <c r="BO705" s="37">
        <v>0</v>
      </c>
      <c r="BP705" s="37">
        <v>1942168.0000000005</v>
      </c>
      <c r="BQ705" s="37">
        <v>0</v>
      </c>
      <c r="BR705" s="37">
        <v>0</v>
      </c>
      <c r="BS705" s="37">
        <v>0</v>
      </c>
      <c r="BT705" s="37">
        <v>0</v>
      </c>
      <c r="BU705" s="37">
        <v>0</v>
      </c>
      <c r="BV705" s="37">
        <v>0</v>
      </c>
      <c r="BW705" s="37">
        <v>0</v>
      </c>
      <c r="BX705" s="37">
        <v>0</v>
      </c>
      <c r="BY705" s="37">
        <v>0</v>
      </c>
      <c r="BZ705" s="37">
        <v>0</v>
      </c>
      <c r="CA705" s="37">
        <v>0</v>
      </c>
      <c r="CB705" s="37">
        <v>0</v>
      </c>
      <c r="CC705" s="37">
        <v>0</v>
      </c>
      <c r="CD705" s="37">
        <v>0</v>
      </c>
      <c r="CE705" s="37">
        <v>0</v>
      </c>
      <c r="CF705" s="37">
        <v>0</v>
      </c>
      <c r="CG705" s="37">
        <v>0</v>
      </c>
      <c r="CH705" s="37">
        <v>0</v>
      </c>
      <c r="CI705" s="37">
        <v>0</v>
      </c>
      <c r="CJ705" s="37">
        <v>0</v>
      </c>
      <c r="CK705" s="37">
        <v>0</v>
      </c>
      <c r="CL705" s="37">
        <v>0</v>
      </c>
      <c r="CM705" s="37">
        <v>0</v>
      </c>
      <c r="CN705" s="37">
        <v>0</v>
      </c>
      <c r="CO705" s="37">
        <v>0</v>
      </c>
      <c r="CP705" s="37">
        <v>0</v>
      </c>
      <c r="CQ705" s="37">
        <v>0</v>
      </c>
      <c r="CR705" s="37">
        <v>0</v>
      </c>
      <c r="CS705" s="37">
        <v>0</v>
      </c>
      <c r="CT705" s="37">
        <v>0</v>
      </c>
      <c r="CU705" s="37">
        <v>0</v>
      </c>
      <c r="CV705" s="37">
        <v>0</v>
      </c>
      <c r="CW705" s="37">
        <v>0</v>
      </c>
      <c r="CX705" s="37">
        <v>0</v>
      </c>
      <c r="CY705" s="37">
        <v>0</v>
      </c>
      <c r="CZ705" s="37">
        <v>0</v>
      </c>
      <c r="DA705" s="37">
        <v>0</v>
      </c>
      <c r="DB705" s="37">
        <v>0</v>
      </c>
      <c r="DC705" s="37">
        <v>0</v>
      </c>
      <c r="DD705" s="37">
        <v>0</v>
      </c>
      <c r="DE705" s="37">
        <v>0</v>
      </c>
      <c r="DF705" s="37">
        <v>0</v>
      </c>
      <c r="DG705" s="37">
        <v>0</v>
      </c>
      <c r="DH705" s="37">
        <v>0</v>
      </c>
      <c r="DI705" s="37">
        <v>0</v>
      </c>
      <c r="DJ705" s="37">
        <v>0</v>
      </c>
      <c r="DK705" s="37">
        <v>0</v>
      </c>
      <c r="DL705" s="37">
        <v>0</v>
      </c>
      <c r="DM705" s="37">
        <v>0</v>
      </c>
      <c r="DN705" s="37">
        <v>0</v>
      </c>
      <c r="DO705" s="37">
        <v>0</v>
      </c>
      <c r="DP705" s="37">
        <v>0</v>
      </c>
      <c r="DQ705" s="37">
        <v>0</v>
      </c>
      <c r="DR705" s="37">
        <v>0</v>
      </c>
      <c r="DS705" s="37">
        <v>0</v>
      </c>
      <c r="DT705" s="37">
        <v>0</v>
      </c>
      <c r="DU705" s="37">
        <v>0</v>
      </c>
      <c r="DV705" s="37">
        <v>0</v>
      </c>
      <c r="DW705" s="37">
        <v>0</v>
      </c>
      <c r="DX705" s="37">
        <v>0</v>
      </c>
      <c r="DY705" s="37">
        <v>0</v>
      </c>
      <c r="DZ705" s="37">
        <v>0</v>
      </c>
      <c r="EA705" s="37">
        <v>0</v>
      </c>
      <c r="EB705" s="37">
        <v>0</v>
      </c>
      <c r="EC705" s="37">
        <v>0</v>
      </c>
      <c r="ED705" s="37">
        <v>0</v>
      </c>
      <c r="EE705" s="37">
        <v>0</v>
      </c>
      <c r="EF705" s="37">
        <v>0</v>
      </c>
      <c r="EG705" s="37">
        <v>0</v>
      </c>
      <c r="EH705" s="37">
        <v>0</v>
      </c>
      <c r="EI705" s="37">
        <v>0</v>
      </c>
      <c r="EJ705" s="37">
        <v>0</v>
      </c>
      <c r="EK705" s="161" t="s">
        <v>2884</v>
      </c>
      <c r="EL705" s="294" t="s">
        <v>1124</v>
      </c>
    </row>
    <row r="706" spans="1:142" ht="15" customHeight="1" x14ac:dyDescent="0.35">
      <c r="A706" s="34"/>
      <c r="B706" s="313">
        <v>87030</v>
      </c>
      <c r="C706" s="8" t="s">
        <v>895</v>
      </c>
      <c r="D706" s="18">
        <v>8</v>
      </c>
      <c r="E706" s="155"/>
      <c r="F706" s="36"/>
      <c r="G706" s="37"/>
      <c r="H706" s="37"/>
      <c r="I706" s="37"/>
      <c r="J706" s="37"/>
      <c r="K706" s="37"/>
      <c r="L706" s="37"/>
      <c r="M706" s="37" t="s">
        <v>1124</v>
      </c>
      <c r="N706" s="37" t="s">
        <v>1124</v>
      </c>
      <c r="O706" s="37"/>
      <c r="P706" s="37"/>
      <c r="Q706" s="37"/>
      <c r="R706" s="37"/>
      <c r="S706" s="37"/>
      <c r="T706" s="37"/>
      <c r="U706" s="37"/>
      <c r="V706" s="37"/>
      <c r="W706" s="37"/>
      <c r="X706" s="37"/>
      <c r="Y706" s="37"/>
      <c r="Z706" s="37"/>
      <c r="AA706" s="37" t="s">
        <v>1124</v>
      </c>
      <c r="AB706" s="37" t="s">
        <v>1124</v>
      </c>
      <c r="AC706" s="37"/>
      <c r="AD706" s="37"/>
      <c r="AE706" s="37"/>
      <c r="AF706" s="168"/>
      <c r="AG706" s="37"/>
      <c r="AH706" s="37"/>
      <c r="AI706" s="37"/>
      <c r="AJ706" s="37"/>
      <c r="AK706" s="37"/>
      <c r="AL706" s="37"/>
      <c r="AM706" s="37"/>
      <c r="AN706" s="37"/>
      <c r="AO706" s="37"/>
      <c r="AP706" s="37"/>
      <c r="AQ706" s="37"/>
      <c r="AR706" s="37" t="s">
        <v>1124</v>
      </c>
      <c r="AS706" s="37"/>
      <c r="AT706" s="37"/>
      <c r="AU706" s="37"/>
      <c r="AV706" s="37"/>
      <c r="AW706" s="37"/>
      <c r="AX706" s="37"/>
      <c r="AY706" s="37"/>
      <c r="AZ706" s="37"/>
      <c r="BA706" s="37"/>
      <c r="BB706" s="37"/>
      <c r="BC706" s="37"/>
      <c r="BD706" s="37" t="s">
        <v>1124</v>
      </c>
      <c r="BE706" s="37"/>
      <c r="BF706" s="37"/>
      <c r="BG706" s="37"/>
      <c r="BH706" s="37"/>
      <c r="BI706" s="37"/>
      <c r="BJ706" s="37"/>
      <c r="BK706" s="37"/>
      <c r="BL706" s="37"/>
      <c r="BM706" s="37"/>
      <c r="BN706" s="37"/>
      <c r="BO706" s="37"/>
      <c r="BP706" s="37">
        <v>0</v>
      </c>
      <c r="BQ706" s="37"/>
      <c r="BR706" s="37"/>
      <c r="BS706" s="37"/>
      <c r="BT706" s="37"/>
      <c r="BU706" s="37"/>
      <c r="BV706" s="37"/>
      <c r="BW706" s="37"/>
      <c r="BX706" s="37"/>
      <c r="BY706" s="37"/>
      <c r="BZ706" s="37"/>
      <c r="CA706" s="37"/>
      <c r="CB706" s="37" t="s">
        <v>1124</v>
      </c>
      <c r="CC706" s="37"/>
      <c r="CD706" s="37"/>
      <c r="CE706" s="37"/>
      <c r="CF706" s="37"/>
      <c r="CG706" s="37"/>
      <c r="CH706" s="37"/>
      <c r="CI706" s="37"/>
      <c r="CJ706" s="37"/>
      <c r="CK706" s="37"/>
      <c r="CL706" s="37"/>
      <c r="CM706" s="37"/>
      <c r="CN706" s="37" t="s">
        <v>1124</v>
      </c>
      <c r="CO706" s="37"/>
      <c r="CP706" s="37"/>
      <c r="CQ706" s="37"/>
      <c r="CR706" s="37"/>
      <c r="CS706" s="37"/>
      <c r="CT706" s="37"/>
      <c r="CU706" s="37"/>
      <c r="CV706" s="37"/>
      <c r="CW706" s="37"/>
      <c r="CX706" s="37"/>
      <c r="CY706" s="37"/>
      <c r="CZ706" s="37" t="s">
        <v>1124</v>
      </c>
      <c r="DA706" s="37"/>
      <c r="DB706" s="37"/>
      <c r="DC706" s="37"/>
      <c r="DD706" s="37"/>
      <c r="DE706" s="37"/>
      <c r="DF706" s="37"/>
      <c r="DG706" s="37"/>
      <c r="DH706" s="37"/>
      <c r="DI706" s="37"/>
      <c r="DJ706" s="37"/>
      <c r="DK706" s="37"/>
      <c r="DL706" s="37" t="s">
        <v>1124</v>
      </c>
      <c r="DM706" s="37"/>
      <c r="DN706" s="37"/>
      <c r="DO706" s="37"/>
      <c r="DP706" s="37"/>
      <c r="DQ706" s="37"/>
      <c r="DR706" s="37"/>
      <c r="DS706" s="37"/>
      <c r="DT706" s="37"/>
      <c r="DU706" s="37"/>
      <c r="DV706" s="37"/>
      <c r="DW706" s="37"/>
      <c r="DX706" s="37" t="s">
        <v>1124</v>
      </c>
      <c r="DY706" s="37"/>
      <c r="DZ706" s="37"/>
      <c r="EA706" s="37"/>
      <c r="EB706" s="37"/>
      <c r="EC706" s="37"/>
      <c r="ED706" s="37"/>
      <c r="EE706" s="37"/>
      <c r="EF706" s="37"/>
      <c r="EG706" s="37"/>
      <c r="EH706" s="37"/>
      <c r="EI706" s="37"/>
      <c r="EJ706" s="37" t="s">
        <v>1124</v>
      </c>
      <c r="EK706" s="161"/>
      <c r="EL706" s="294"/>
    </row>
    <row r="707" spans="1:142" ht="15" customHeight="1" x14ac:dyDescent="0.35">
      <c r="A707" s="34"/>
      <c r="B707" s="313">
        <v>88085</v>
      </c>
      <c r="C707" s="8" t="s">
        <v>926</v>
      </c>
      <c r="D707" s="18">
        <v>8</v>
      </c>
      <c r="E707" s="155"/>
      <c r="F707" s="36"/>
      <c r="G707" s="37"/>
      <c r="H707" s="37"/>
      <c r="I707" s="37"/>
      <c r="J707" s="37"/>
      <c r="K707" s="37"/>
      <c r="L707" s="37"/>
      <c r="M707" s="37" t="s">
        <v>1124</v>
      </c>
      <c r="N707" s="37" t="s">
        <v>1124</v>
      </c>
      <c r="O707" s="37"/>
      <c r="P707" s="37"/>
      <c r="Q707" s="37"/>
      <c r="R707" s="37"/>
      <c r="S707" s="37"/>
      <c r="T707" s="37"/>
      <c r="U707" s="37"/>
      <c r="V707" s="37"/>
      <c r="W707" s="37"/>
      <c r="X707" s="37"/>
      <c r="Y707" s="37"/>
      <c r="Z707" s="37"/>
      <c r="AA707" s="37" t="s">
        <v>1124</v>
      </c>
      <c r="AB707" s="37" t="s">
        <v>1124</v>
      </c>
      <c r="AC707" s="37"/>
      <c r="AD707" s="37"/>
      <c r="AE707" s="37"/>
      <c r="AF707" s="168"/>
      <c r="AG707" s="37"/>
      <c r="AH707" s="37"/>
      <c r="AI707" s="37"/>
      <c r="AJ707" s="37"/>
      <c r="AK707" s="37"/>
      <c r="AL707" s="37"/>
      <c r="AM707" s="37"/>
      <c r="AN707" s="37"/>
      <c r="AO707" s="37"/>
      <c r="AP707" s="37"/>
      <c r="AQ707" s="37"/>
      <c r="AR707" s="37" t="s">
        <v>1124</v>
      </c>
      <c r="AS707" s="37"/>
      <c r="AT707" s="37"/>
      <c r="AU707" s="37"/>
      <c r="AV707" s="37"/>
      <c r="AW707" s="37"/>
      <c r="AX707" s="37"/>
      <c r="AY707" s="37"/>
      <c r="AZ707" s="37"/>
      <c r="BA707" s="37"/>
      <c r="BB707" s="37"/>
      <c r="BC707" s="37"/>
      <c r="BD707" s="37" t="s">
        <v>1124</v>
      </c>
      <c r="BE707" s="37"/>
      <c r="BF707" s="37"/>
      <c r="BG707" s="37"/>
      <c r="BH707" s="37"/>
      <c r="BI707" s="37"/>
      <c r="BJ707" s="37"/>
      <c r="BK707" s="37"/>
      <c r="BL707" s="37"/>
      <c r="BM707" s="37"/>
      <c r="BN707" s="37"/>
      <c r="BO707" s="37"/>
      <c r="BP707" s="37">
        <v>0</v>
      </c>
      <c r="BQ707" s="37"/>
      <c r="BR707" s="37"/>
      <c r="BS707" s="37"/>
      <c r="BT707" s="37"/>
      <c r="BU707" s="37"/>
      <c r="BV707" s="37"/>
      <c r="BW707" s="37"/>
      <c r="BX707" s="37"/>
      <c r="BY707" s="37"/>
      <c r="BZ707" s="37"/>
      <c r="CA707" s="37"/>
      <c r="CB707" s="37" t="s">
        <v>1124</v>
      </c>
      <c r="CC707" s="37"/>
      <c r="CD707" s="37"/>
      <c r="CE707" s="37"/>
      <c r="CF707" s="37"/>
      <c r="CG707" s="37"/>
      <c r="CH707" s="37"/>
      <c r="CI707" s="37"/>
      <c r="CJ707" s="37"/>
      <c r="CK707" s="37"/>
      <c r="CL707" s="37"/>
      <c r="CM707" s="37"/>
      <c r="CN707" s="37" t="s">
        <v>1124</v>
      </c>
      <c r="CO707" s="37"/>
      <c r="CP707" s="37"/>
      <c r="CQ707" s="37"/>
      <c r="CR707" s="37"/>
      <c r="CS707" s="37"/>
      <c r="CT707" s="37"/>
      <c r="CU707" s="37"/>
      <c r="CV707" s="37"/>
      <c r="CW707" s="37"/>
      <c r="CX707" s="37"/>
      <c r="CY707" s="37"/>
      <c r="CZ707" s="37" t="s">
        <v>1124</v>
      </c>
      <c r="DA707" s="37"/>
      <c r="DB707" s="37"/>
      <c r="DC707" s="37"/>
      <c r="DD707" s="37"/>
      <c r="DE707" s="37"/>
      <c r="DF707" s="37"/>
      <c r="DG707" s="37"/>
      <c r="DH707" s="37"/>
      <c r="DI707" s="37"/>
      <c r="DJ707" s="37"/>
      <c r="DK707" s="37"/>
      <c r="DL707" s="37" t="s">
        <v>1124</v>
      </c>
      <c r="DM707" s="37"/>
      <c r="DN707" s="37"/>
      <c r="DO707" s="37"/>
      <c r="DP707" s="37"/>
      <c r="DQ707" s="37"/>
      <c r="DR707" s="37"/>
      <c r="DS707" s="37"/>
      <c r="DT707" s="37"/>
      <c r="DU707" s="37"/>
      <c r="DV707" s="37"/>
      <c r="DW707" s="37"/>
      <c r="DX707" s="37" t="s">
        <v>1124</v>
      </c>
      <c r="DY707" s="37"/>
      <c r="DZ707" s="37"/>
      <c r="EA707" s="37"/>
      <c r="EB707" s="37"/>
      <c r="EC707" s="37"/>
      <c r="ED707" s="37"/>
      <c r="EE707" s="37"/>
      <c r="EF707" s="37"/>
      <c r="EG707" s="37"/>
      <c r="EH707" s="37"/>
      <c r="EI707" s="37"/>
      <c r="EJ707" s="37" t="s">
        <v>1124</v>
      </c>
      <c r="EK707" s="161"/>
      <c r="EL707" s="294"/>
    </row>
    <row r="708" spans="1:142" ht="15" customHeight="1" x14ac:dyDescent="0.35">
      <c r="A708" s="34"/>
      <c r="B708" s="313">
        <v>91030</v>
      </c>
      <c r="C708" s="8" t="s">
        <v>942</v>
      </c>
      <c r="D708" s="18">
        <v>2</v>
      </c>
      <c r="E708" s="155">
        <v>34300</v>
      </c>
      <c r="F708" s="36">
        <v>47085</v>
      </c>
      <c r="G708" s="37">
        <v>0</v>
      </c>
      <c r="H708" s="37">
        <v>0</v>
      </c>
      <c r="I708" s="37">
        <v>0</v>
      </c>
      <c r="J708" s="37">
        <v>0</v>
      </c>
      <c r="K708" s="37">
        <v>5145</v>
      </c>
      <c r="L708" s="37">
        <v>7062.75</v>
      </c>
      <c r="M708" s="37">
        <v>39445</v>
      </c>
      <c r="N708" s="37">
        <v>54147.75</v>
      </c>
      <c r="O708" s="37">
        <v>0</v>
      </c>
      <c r="P708" s="37">
        <v>0</v>
      </c>
      <c r="Q708" s="37">
        <v>51420</v>
      </c>
      <c r="R708" s="37">
        <v>44460</v>
      </c>
      <c r="S708" s="37">
        <v>0</v>
      </c>
      <c r="T708" s="37">
        <v>0</v>
      </c>
      <c r="U708" s="37">
        <v>0</v>
      </c>
      <c r="V708" s="37">
        <v>0</v>
      </c>
      <c r="W708" s="37">
        <v>0</v>
      </c>
      <c r="X708" s="37">
        <v>0</v>
      </c>
      <c r="Y708" s="37">
        <v>0</v>
      </c>
      <c r="Z708" s="37">
        <v>0</v>
      </c>
      <c r="AA708" s="37">
        <v>51420</v>
      </c>
      <c r="AB708" s="37">
        <v>44460</v>
      </c>
      <c r="AC708" s="37">
        <v>2287.25</v>
      </c>
      <c r="AD708" s="37">
        <v>0</v>
      </c>
      <c r="AE708" s="37">
        <v>0</v>
      </c>
      <c r="AF708" s="168">
        <v>0.02</v>
      </c>
      <c r="AG708" s="37">
        <v>11965920.449999999</v>
      </c>
      <c r="AH708" s="37">
        <v>92342.36</v>
      </c>
      <c r="AI708" s="37">
        <v>92066.79</v>
      </c>
      <c r="AJ708" s="37">
        <v>93908.13</v>
      </c>
      <c r="AK708" s="37">
        <v>95786.29</v>
      </c>
      <c r="AL708" s="37">
        <v>97702.02</v>
      </c>
      <c r="AM708" s="37">
        <v>99656.06</v>
      </c>
      <c r="AN708" s="37">
        <v>101649.18</v>
      </c>
      <c r="AO708" s="37">
        <v>103682.16</v>
      </c>
      <c r="AP708" s="37">
        <v>105755.8</v>
      </c>
      <c r="AQ708" s="37">
        <v>107870.92</v>
      </c>
      <c r="AR708" s="37">
        <v>990419.71000000008</v>
      </c>
      <c r="AS708" s="37">
        <v>0</v>
      </c>
      <c r="AT708" s="37">
        <v>0</v>
      </c>
      <c r="AU708" s="37">
        <v>0</v>
      </c>
      <c r="AV708" s="37">
        <v>0</v>
      </c>
      <c r="AW708" s="37">
        <v>0</v>
      </c>
      <c r="AX708" s="37">
        <v>0</v>
      </c>
      <c r="AY708" s="37">
        <v>0</v>
      </c>
      <c r="AZ708" s="37">
        <v>0</v>
      </c>
      <c r="BA708" s="37">
        <v>0</v>
      </c>
      <c r="BB708" s="37">
        <v>0</v>
      </c>
      <c r="BC708" s="37">
        <v>0</v>
      </c>
      <c r="BD708" s="37">
        <v>0</v>
      </c>
      <c r="BE708" s="37">
        <v>0</v>
      </c>
      <c r="BF708" s="37">
        <v>0</v>
      </c>
      <c r="BG708" s="37">
        <v>0</v>
      </c>
      <c r="BH708" s="37">
        <v>0</v>
      </c>
      <c r="BI708" s="37">
        <v>0</v>
      </c>
      <c r="BJ708" s="37">
        <v>2807.2617698439431</v>
      </c>
      <c r="BK708" s="37">
        <v>13593.863023858612</v>
      </c>
      <c r="BL708" s="37">
        <v>17678.342591614724</v>
      </c>
      <c r="BM708" s="37">
        <v>21762.822159370829</v>
      </c>
      <c r="BN708" s="37">
        <v>25847.310455311897</v>
      </c>
      <c r="BO708" s="37">
        <v>0</v>
      </c>
      <c r="BP708" s="37">
        <v>81689.600000000006</v>
      </c>
      <c r="BQ708" s="37">
        <v>0</v>
      </c>
      <c r="BR708" s="37">
        <v>0</v>
      </c>
      <c r="BS708" s="37">
        <v>0</v>
      </c>
      <c r="BT708" s="37">
        <v>0</v>
      </c>
      <c r="BU708" s="37">
        <v>0</v>
      </c>
      <c r="BV708" s="37">
        <v>0</v>
      </c>
      <c r="BW708" s="37">
        <v>0</v>
      </c>
      <c r="BX708" s="37">
        <v>0</v>
      </c>
      <c r="BY708" s="37">
        <v>0</v>
      </c>
      <c r="BZ708" s="37">
        <v>0</v>
      </c>
      <c r="CA708" s="37">
        <v>0</v>
      </c>
      <c r="CB708" s="37">
        <v>0</v>
      </c>
      <c r="CC708" s="37">
        <v>0</v>
      </c>
      <c r="CD708" s="37">
        <v>0</v>
      </c>
      <c r="CE708" s="37">
        <v>0</v>
      </c>
      <c r="CF708" s="37">
        <v>0</v>
      </c>
      <c r="CG708" s="37">
        <v>0</v>
      </c>
      <c r="CH708" s="37">
        <v>0</v>
      </c>
      <c r="CI708" s="37">
        <v>0</v>
      </c>
      <c r="CJ708" s="37">
        <v>0</v>
      </c>
      <c r="CK708" s="37">
        <v>0</v>
      </c>
      <c r="CL708" s="37">
        <v>0</v>
      </c>
      <c r="CM708" s="37">
        <v>0</v>
      </c>
      <c r="CN708" s="37">
        <v>0</v>
      </c>
      <c r="CO708" s="37">
        <v>0</v>
      </c>
      <c r="CP708" s="37">
        <v>0</v>
      </c>
      <c r="CQ708" s="37">
        <v>0</v>
      </c>
      <c r="CR708" s="37">
        <v>0</v>
      </c>
      <c r="CS708" s="37">
        <v>0</v>
      </c>
      <c r="CT708" s="37">
        <v>0</v>
      </c>
      <c r="CU708" s="37">
        <v>0</v>
      </c>
      <c r="CV708" s="37">
        <v>0</v>
      </c>
      <c r="CW708" s="37">
        <v>0</v>
      </c>
      <c r="CX708" s="37">
        <v>0</v>
      </c>
      <c r="CY708" s="37">
        <v>0</v>
      </c>
      <c r="CZ708" s="37">
        <v>0</v>
      </c>
      <c r="DA708" s="37">
        <v>0</v>
      </c>
      <c r="DB708" s="37">
        <v>0</v>
      </c>
      <c r="DC708" s="37">
        <v>0</v>
      </c>
      <c r="DD708" s="37">
        <v>0</v>
      </c>
      <c r="DE708" s="37">
        <v>0</v>
      </c>
      <c r="DF708" s="37">
        <v>0</v>
      </c>
      <c r="DG708" s="37">
        <v>0</v>
      </c>
      <c r="DH708" s="37">
        <v>0</v>
      </c>
      <c r="DI708" s="37">
        <v>0</v>
      </c>
      <c r="DJ708" s="37">
        <v>0</v>
      </c>
      <c r="DK708" s="37">
        <v>0</v>
      </c>
      <c r="DL708" s="37">
        <v>0</v>
      </c>
      <c r="DM708" s="37">
        <v>0</v>
      </c>
      <c r="DN708" s="37">
        <v>0</v>
      </c>
      <c r="DO708" s="37">
        <v>0</v>
      </c>
      <c r="DP708" s="37">
        <v>0</v>
      </c>
      <c r="DQ708" s="37">
        <v>0</v>
      </c>
      <c r="DR708" s="37">
        <v>0</v>
      </c>
      <c r="DS708" s="37">
        <v>0</v>
      </c>
      <c r="DT708" s="37">
        <v>0</v>
      </c>
      <c r="DU708" s="37">
        <v>0</v>
      </c>
      <c r="DV708" s="37">
        <v>0</v>
      </c>
      <c r="DW708" s="37">
        <v>0</v>
      </c>
      <c r="DX708" s="37">
        <v>0</v>
      </c>
      <c r="DY708" s="37">
        <v>0</v>
      </c>
      <c r="DZ708" s="37">
        <v>0</v>
      </c>
      <c r="EA708" s="37">
        <v>0</v>
      </c>
      <c r="EB708" s="37">
        <v>0</v>
      </c>
      <c r="EC708" s="37">
        <v>0</v>
      </c>
      <c r="ED708" s="37">
        <v>0</v>
      </c>
      <c r="EE708" s="37">
        <v>0</v>
      </c>
      <c r="EF708" s="37">
        <v>0</v>
      </c>
      <c r="EG708" s="37">
        <v>0</v>
      </c>
      <c r="EH708" s="37">
        <v>0</v>
      </c>
      <c r="EI708" s="37">
        <v>0</v>
      </c>
      <c r="EJ708" s="37">
        <v>0</v>
      </c>
      <c r="EK708" s="161" t="s">
        <v>2887</v>
      </c>
      <c r="EL708" s="294" t="s">
        <v>1124</v>
      </c>
    </row>
    <row r="709" spans="1:142" ht="15" customHeight="1" x14ac:dyDescent="0.35">
      <c r="A709" s="34"/>
      <c r="B709" s="313">
        <v>54095</v>
      </c>
      <c r="C709" s="8" t="s">
        <v>552</v>
      </c>
      <c r="D709" s="18">
        <v>16</v>
      </c>
      <c r="E709" s="155">
        <v>198356</v>
      </c>
      <c r="F709" s="36">
        <v>281807</v>
      </c>
      <c r="G709" s="37">
        <v>47325</v>
      </c>
      <c r="H709" s="37">
        <v>0</v>
      </c>
      <c r="I709" s="37">
        <v>97609</v>
      </c>
      <c r="J709" s="37">
        <v>0</v>
      </c>
      <c r="K709" s="37">
        <v>51494</v>
      </c>
      <c r="L709" s="37">
        <v>42271</v>
      </c>
      <c r="M709" s="37">
        <v>394784</v>
      </c>
      <c r="N709" s="37">
        <v>324078</v>
      </c>
      <c r="O709" s="37">
        <v>48963</v>
      </c>
      <c r="P709" s="37">
        <v>0</v>
      </c>
      <c r="Q709" s="37">
        <v>234110</v>
      </c>
      <c r="R709" s="37">
        <v>208015</v>
      </c>
      <c r="S709" s="37">
        <v>6685</v>
      </c>
      <c r="T709" s="37">
        <v>0</v>
      </c>
      <c r="U709" s="37">
        <v>9376</v>
      </c>
      <c r="V709" s="37">
        <v>0</v>
      </c>
      <c r="W709" s="37">
        <v>78606</v>
      </c>
      <c r="X709" s="37">
        <v>42271</v>
      </c>
      <c r="Y709" s="37">
        <v>17044</v>
      </c>
      <c r="Z709" s="37">
        <v>73792</v>
      </c>
      <c r="AA709" s="37">
        <v>394784</v>
      </c>
      <c r="AB709" s="37">
        <v>324078</v>
      </c>
      <c r="AC709" s="37">
        <v>0</v>
      </c>
      <c r="AD709" s="37">
        <v>0</v>
      </c>
      <c r="AE709" s="37">
        <v>70836</v>
      </c>
      <c r="AF709" s="168">
        <v>0.02</v>
      </c>
      <c r="AG709" s="37">
        <v>32322828.120000001</v>
      </c>
      <c r="AH709" s="37">
        <v>208383.85</v>
      </c>
      <c r="AI709" s="37">
        <v>212551.52</v>
      </c>
      <c r="AJ709" s="37">
        <v>216802.55</v>
      </c>
      <c r="AK709" s="37">
        <v>221138.61</v>
      </c>
      <c r="AL709" s="37">
        <v>225561.38</v>
      </c>
      <c r="AM709" s="37">
        <v>230072.6</v>
      </c>
      <c r="AN709" s="37">
        <v>234674.06</v>
      </c>
      <c r="AO709" s="37">
        <v>239367.54</v>
      </c>
      <c r="AP709" s="37">
        <v>244154.89</v>
      </c>
      <c r="AQ709" s="37">
        <v>249037.99</v>
      </c>
      <c r="AR709" s="37">
        <v>2281744.9899999998</v>
      </c>
      <c r="AS709" s="37">
        <v>2601000</v>
      </c>
      <c r="AT709" s="37">
        <v>0</v>
      </c>
      <c r="AU709" s="37">
        <v>0</v>
      </c>
      <c r="AV709" s="37">
        <v>0</v>
      </c>
      <c r="AW709" s="37">
        <v>0</v>
      </c>
      <c r="AX709" s="37">
        <v>0</v>
      </c>
      <c r="AY709" s="37">
        <v>0</v>
      </c>
      <c r="AZ709" s="37">
        <v>0</v>
      </c>
      <c r="BA709" s="37">
        <v>0</v>
      </c>
      <c r="BB709" s="37">
        <v>0</v>
      </c>
      <c r="BC709" s="37">
        <v>0</v>
      </c>
      <c r="BD709" s="37">
        <v>0</v>
      </c>
      <c r="BE709" s="37">
        <v>9376</v>
      </c>
      <c r="BF709" s="37">
        <v>6872</v>
      </c>
      <c r="BG709" s="37">
        <v>404295</v>
      </c>
      <c r="BH709" s="37">
        <v>310649</v>
      </c>
      <c r="BI709" s="37">
        <v>236354</v>
      </c>
      <c r="BJ709" s="37">
        <v>53596</v>
      </c>
      <c r="BK709" s="37">
        <v>51408</v>
      </c>
      <c r="BL709" s="37">
        <v>49144</v>
      </c>
      <c r="BM709" s="37">
        <v>46799</v>
      </c>
      <c r="BN709" s="37">
        <v>44373</v>
      </c>
      <c r="BO709" s="37">
        <v>41864</v>
      </c>
      <c r="BP709" s="37">
        <v>1245354</v>
      </c>
      <c r="BQ709" s="37">
        <v>135559</v>
      </c>
      <c r="BR709" s="37">
        <v>140575</v>
      </c>
      <c r="BS709" s="37">
        <v>193611</v>
      </c>
      <c r="BT709" s="37">
        <v>287448</v>
      </c>
      <c r="BU709" s="37">
        <v>286926</v>
      </c>
      <c r="BV709" s="37">
        <v>300289</v>
      </c>
      <c r="BW709" s="37">
        <v>290541</v>
      </c>
      <c r="BX709" s="37">
        <v>277638</v>
      </c>
      <c r="BY709" s="37">
        <v>272772</v>
      </c>
      <c r="BZ709" s="37">
        <v>267726</v>
      </c>
      <c r="CA709" s="37">
        <v>262103</v>
      </c>
      <c r="CB709" s="37">
        <v>2579629</v>
      </c>
      <c r="CC709" s="37">
        <v>0</v>
      </c>
      <c r="CD709" s="37">
        <v>0</v>
      </c>
      <c r="CE709" s="37">
        <v>0</v>
      </c>
      <c r="CF709" s="37">
        <v>0</v>
      </c>
      <c r="CG709" s="37">
        <v>0</v>
      </c>
      <c r="CH709" s="37">
        <v>0</v>
      </c>
      <c r="CI709" s="37">
        <v>0</v>
      </c>
      <c r="CJ709" s="37">
        <v>0</v>
      </c>
      <c r="CK709" s="37">
        <v>0</v>
      </c>
      <c r="CL709" s="37">
        <v>0</v>
      </c>
      <c r="CM709" s="37">
        <v>0</v>
      </c>
      <c r="CN709" s="37">
        <v>0</v>
      </c>
      <c r="CO709" s="37">
        <v>0</v>
      </c>
      <c r="CP709" s="37">
        <v>0</v>
      </c>
      <c r="CQ709" s="37">
        <v>0</v>
      </c>
      <c r="CR709" s="37">
        <v>0</v>
      </c>
      <c r="CS709" s="37">
        <v>0</v>
      </c>
      <c r="CT709" s="37">
        <v>0</v>
      </c>
      <c r="CU709" s="37">
        <v>0</v>
      </c>
      <c r="CV709" s="37">
        <v>0</v>
      </c>
      <c r="CW709" s="37">
        <v>0</v>
      </c>
      <c r="CX709" s="37">
        <v>0</v>
      </c>
      <c r="CY709" s="37">
        <v>0</v>
      </c>
      <c r="CZ709" s="37">
        <v>0</v>
      </c>
      <c r="DA709" s="37">
        <v>0</v>
      </c>
      <c r="DB709" s="37">
        <v>0</v>
      </c>
      <c r="DC709" s="37">
        <v>0</v>
      </c>
      <c r="DD709" s="37">
        <v>0</v>
      </c>
      <c r="DE709" s="37">
        <v>0</v>
      </c>
      <c r="DF709" s="37">
        <v>0</v>
      </c>
      <c r="DG709" s="37">
        <v>0</v>
      </c>
      <c r="DH709" s="37">
        <v>0</v>
      </c>
      <c r="DI709" s="37">
        <v>0</v>
      </c>
      <c r="DJ709" s="37">
        <v>0</v>
      </c>
      <c r="DK709" s="37">
        <v>0</v>
      </c>
      <c r="DL709" s="37">
        <v>0</v>
      </c>
      <c r="DM709" s="37">
        <v>0</v>
      </c>
      <c r="DN709" s="37">
        <v>0</v>
      </c>
      <c r="DO709" s="37">
        <v>0</v>
      </c>
      <c r="DP709" s="37">
        <v>0</v>
      </c>
      <c r="DQ709" s="37">
        <v>0</v>
      </c>
      <c r="DR709" s="37">
        <v>0</v>
      </c>
      <c r="DS709" s="37">
        <v>0</v>
      </c>
      <c r="DT709" s="37">
        <v>0</v>
      </c>
      <c r="DU709" s="37">
        <v>0</v>
      </c>
      <c r="DV709" s="37">
        <v>0</v>
      </c>
      <c r="DW709" s="37">
        <v>0</v>
      </c>
      <c r="DX709" s="37">
        <v>0</v>
      </c>
      <c r="DY709" s="37">
        <v>0</v>
      </c>
      <c r="DZ709" s="37">
        <v>0</v>
      </c>
      <c r="EA709" s="37">
        <v>0</v>
      </c>
      <c r="EB709" s="37">
        <v>0</v>
      </c>
      <c r="EC709" s="37">
        <v>0</v>
      </c>
      <c r="ED709" s="37">
        <v>0</v>
      </c>
      <c r="EE709" s="37">
        <v>0</v>
      </c>
      <c r="EF709" s="37">
        <v>0</v>
      </c>
      <c r="EG709" s="37">
        <v>0</v>
      </c>
      <c r="EH709" s="37">
        <v>0</v>
      </c>
      <c r="EI709" s="37">
        <v>0</v>
      </c>
      <c r="EJ709" s="37">
        <v>0</v>
      </c>
      <c r="EK709" s="161" t="s">
        <v>1124</v>
      </c>
      <c r="EL709" s="294" t="s">
        <v>1124</v>
      </c>
    </row>
    <row r="710" spans="1:142" ht="15" customHeight="1" x14ac:dyDescent="0.35">
      <c r="A710" s="34"/>
      <c r="B710" s="313">
        <v>39035</v>
      </c>
      <c r="C710" s="8" t="s">
        <v>343</v>
      </c>
      <c r="D710" s="18">
        <v>17</v>
      </c>
      <c r="E710" s="155"/>
      <c r="F710" s="36"/>
      <c r="G710" s="37"/>
      <c r="H710" s="37"/>
      <c r="I710" s="37"/>
      <c r="J710" s="37"/>
      <c r="K710" s="37"/>
      <c r="L710" s="37"/>
      <c r="M710" s="37" t="s">
        <v>1124</v>
      </c>
      <c r="N710" s="37" t="s">
        <v>1124</v>
      </c>
      <c r="O710" s="37"/>
      <c r="P710" s="37"/>
      <c r="Q710" s="37"/>
      <c r="R710" s="37"/>
      <c r="S710" s="37"/>
      <c r="T710" s="37"/>
      <c r="U710" s="37"/>
      <c r="V710" s="37"/>
      <c r="W710" s="37"/>
      <c r="X710" s="37"/>
      <c r="Y710" s="37"/>
      <c r="Z710" s="37"/>
      <c r="AA710" s="37" t="s">
        <v>1124</v>
      </c>
      <c r="AB710" s="37" t="s">
        <v>1124</v>
      </c>
      <c r="AC710" s="37"/>
      <c r="AD710" s="37"/>
      <c r="AE710" s="37"/>
      <c r="AF710" s="168"/>
      <c r="AG710" s="37"/>
      <c r="AH710" s="37"/>
      <c r="AI710" s="37"/>
      <c r="AJ710" s="37"/>
      <c r="AK710" s="37"/>
      <c r="AL710" s="37"/>
      <c r="AM710" s="37"/>
      <c r="AN710" s="37"/>
      <c r="AO710" s="37"/>
      <c r="AP710" s="37"/>
      <c r="AQ710" s="37"/>
      <c r="AR710" s="37" t="s">
        <v>1124</v>
      </c>
      <c r="AS710" s="37"/>
      <c r="AT710" s="37"/>
      <c r="AU710" s="37"/>
      <c r="AV710" s="37"/>
      <c r="AW710" s="37"/>
      <c r="AX710" s="37"/>
      <c r="AY710" s="37"/>
      <c r="AZ710" s="37"/>
      <c r="BA710" s="37"/>
      <c r="BB710" s="37"/>
      <c r="BC710" s="37"/>
      <c r="BD710" s="37" t="s">
        <v>1124</v>
      </c>
      <c r="BE710" s="37"/>
      <c r="BF710" s="37"/>
      <c r="BG710" s="37"/>
      <c r="BH710" s="37"/>
      <c r="BI710" s="37"/>
      <c r="BJ710" s="37"/>
      <c r="BK710" s="37"/>
      <c r="BL710" s="37"/>
      <c r="BM710" s="37"/>
      <c r="BN710" s="37"/>
      <c r="BO710" s="37"/>
      <c r="BP710" s="37">
        <v>0</v>
      </c>
      <c r="BQ710" s="37"/>
      <c r="BR710" s="37"/>
      <c r="BS710" s="37"/>
      <c r="BT710" s="37"/>
      <c r="BU710" s="37"/>
      <c r="BV710" s="37"/>
      <c r="BW710" s="37"/>
      <c r="BX710" s="37"/>
      <c r="BY710" s="37"/>
      <c r="BZ710" s="37"/>
      <c r="CA710" s="37"/>
      <c r="CB710" s="37" t="s">
        <v>1124</v>
      </c>
      <c r="CC710" s="37"/>
      <c r="CD710" s="37"/>
      <c r="CE710" s="37"/>
      <c r="CF710" s="37"/>
      <c r="CG710" s="37"/>
      <c r="CH710" s="37"/>
      <c r="CI710" s="37"/>
      <c r="CJ710" s="37"/>
      <c r="CK710" s="37"/>
      <c r="CL710" s="37"/>
      <c r="CM710" s="37"/>
      <c r="CN710" s="37" t="s">
        <v>1124</v>
      </c>
      <c r="CO710" s="37"/>
      <c r="CP710" s="37"/>
      <c r="CQ710" s="37"/>
      <c r="CR710" s="37"/>
      <c r="CS710" s="37"/>
      <c r="CT710" s="37"/>
      <c r="CU710" s="37"/>
      <c r="CV710" s="37"/>
      <c r="CW710" s="37"/>
      <c r="CX710" s="37"/>
      <c r="CY710" s="37"/>
      <c r="CZ710" s="37" t="s">
        <v>1124</v>
      </c>
      <c r="DA710" s="37"/>
      <c r="DB710" s="37"/>
      <c r="DC710" s="37"/>
      <c r="DD710" s="37"/>
      <c r="DE710" s="37"/>
      <c r="DF710" s="37"/>
      <c r="DG710" s="37"/>
      <c r="DH710" s="37"/>
      <c r="DI710" s="37"/>
      <c r="DJ710" s="37"/>
      <c r="DK710" s="37"/>
      <c r="DL710" s="37" t="s">
        <v>1124</v>
      </c>
      <c r="DM710" s="37"/>
      <c r="DN710" s="37"/>
      <c r="DO710" s="37"/>
      <c r="DP710" s="37"/>
      <c r="DQ710" s="37"/>
      <c r="DR710" s="37"/>
      <c r="DS710" s="37"/>
      <c r="DT710" s="37"/>
      <c r="DU710" s="37"/>
      <c r="DV710" s="37"/>
      <c r="DW710" s="37"/>
      <c r="DX710" s="37" t="s">
        <v>1124</v>
      </c>
      <c r="DY710" s="37"/>
      <c r="DZ710" s="37"/>
      <c r="EA710" s="37"/>
      <c r="EB710" s="37"/>
      <c r="EC710" s="37"/>
      <c r="ED710" s="37"/>
      <c r="EE710" s="37"/>
      <c r="EF710" s="37"/>
      <c r="EG710" s="37"/>
      <c r="EH710" s="37"/>
      <c r="EI710" s="37"/>
      <c r="EJ710" s="37" t="s">
        <v>1124</v>
      </c>
      <c r="EK710" s="161"/>
      <c r="EL710" s="294"/>
    </row>
    <row r="711" spans="1:142" ht="15" customHeight="1" x14ac:dyDescent="0.35">
      <c r="A711" s="34"/>
      <c r="B711" s="313">
        <v>14025</v>
      </c>
      <c r="C711" s="8" t="s">
        <v>63</v>
      </c>
      <c r="D711" s="18">
        <v>1</v>
      </c>
      <c r="E711" s="155">
        <v>41198</v>
      </c>
      <c r="F711" s="36">
        <v>62414</v>
      </c>
      <c r="G711" s="37">
        <v>2616.5</v>
      </c>
      <c r="H711" s="37">
        <v>2616</v>
      </c>
      <c r="I711" s="37">
        <v>6400</v>
      </c>
      <c r="J711" s="37">
        <v>6400</v>
      </c>
      <c r="K711" s="37">
        <v>6179.7</v>
      </c>
      <c r="L711" s="37">
        <v>9362.1</v>
      </c>
      <c r="M711" s="37">
        <v>56394.2</v>
      </c>
      <c r="N711" s="37">
        <v>80792.100000000006</v>
      </c>
      <c r="O711" s="37">
        <v>139.01999999999998</v>
      </c>
      <c r="P711" s="37">
        <v>0</v>
      </c>
      <c r="Q711" s="37">
        <v>73321</v>
      </c>
      <c r="R711" s="37">
        <v>74302</v>
      </c>
      <c r="S711" s="37">
        <v>1500</v>
      </c>
      <c r="T711" s="37">
        <v>0</v>
      </c>
      <c r="U711" s="37">
        <v>0</v>
      </c>
      <c r="V711" s="37">
        <v>0</v>
      </c>
      <c r="W711" s="37">
        <v>0</v>
      </c>
      <c r="X711" s="37">
        <v>0</v>
      </c>
      <c r="Y711" s="37">
        <v>0</v>
      </c>
      <c r="Z711" s="37">
        <v>0</v>
      </c>
      <c r="AA711" s="37">
        <v>74960.02</v>
      </c>
      <c r="AB711" s="37">
        <v>74302</v>
      </c>
      <c r="AC711" s="37">
        <v>12075.72000000003</v>
      </c>
      <c r="AD711" s="37">
        <v>0</v>
      </c>
      <c r="AE711" s="37">
        <v>0</v>
      </c>
      <c r="AF711" s="168">
        <v>0.02</v>
      </c>
      <c r="AG711" s="37">
        <v>15479356.6</v>
      </c>
      <c r="AH711" s="37">
        <v>132347.37</v>
      </c>
      <c r="AI711" s="37">
        <v>134994.31</v>
      </c>
      <c r="AJ711" s="37">
        <v>137694.20000000001</v>
      </c>
      <c r="AK711" s="37">
        <v>140448.07999999999</v>
      </c>
      <c r="AL711" s="37">
        <v>143257.04999999999</v>
      </c>
      <c r="AM711" s="37">
        <v>146122.19</v>
      </c>
      <c r="AN711" s="37">
        <v>149044.63</v>
      </c>
      <c r="AO711" s="37">
        <v>152025.51999999999</v>
      </c>
      <c r="AP711" s="37">
        <v>155066.03</v>
      </c>
      <c r="AQ711" s="37">
        <v>158167.35</v>
      </c>
      <c r="AR711" s="37">
        <v>1449166.73</v>
      </c>
      <c r="AS711" s="37">
        <v>0</v>
      </c>
      <c r="AT711" s="37">
        <v>0</v>
      </c>
      <c r="AU711" s="37">
        <v>0</v>
      </c>
      <c r="AV711" s="37">
        <v>0</v>
      </c>
      <c r="AW711" s="37">
        <v>0</v>
      </c>
      <c r="AX711" s="37">
        <v>0</v>
      </c>
      <c r="AY711" s="37">
        <v>0</v>
      </c>
      <c r="AZ711" s="37">
        <v>0</v>
      </c>
      <c r="BA711" s="37">
        <v>0</v>
      </c>
      <c r="BB711" s="37">
        <v>0</v>
      </c>
      <c r="BC711" s="37">
        <v>0</v>
      </c>
      <c r="BD711" s="37">
        <v>0</v>
      </c>
      <c r="BE711" s="37">
        <v>0</v>
      </c>
      <c r="BF711" s="37">
        <v>16573.81026939426</v>
      </c>
      <c r="BG711" s="37">
        <v>17864.475740302536</v>
      </c>
      <c r="BH711" s="37">
        <v>21991.9603035076</v>
      </c>
      <c r="BI711" s="37">
        <v>26119.453686795634</v>
      </c>
      <c r="BJ711" s="37">
        <v>2836.8190922967742</v>
      </c>
      <c r="BK711" s="37">
        <v>13736.991177097467</v>
      </c>
      <c r="BL711" s="37">
        <v>17864.475740302536</v>
      </c>
      <c r="BM711" s="37">
        <v>21991.9603035076</v>
      </c>
      <c r="BN711" s="37">
        <v>26119.453686795634</v>
      </c>
      <c r="BO711" s="37">
        <v>0</v>
      </c>
      <c r="BP711" s="37">
        <v>165099.40000000002</v>
      </c>
      <c r="BQ711" s="37">
        <v>0</v>
      </c>
      <c r="BR711" s="37">
        <v>0</v>
      </c>
      <c r="BS711" s="37">
        <v>0</v>
      </c>
      <c r="BT711" s="37">
        <v>0</v>
      </c>
      <c r="BU711" s="37">
        <v>0</v>
      </c>
      <c r="BV711" s="37">
        <v>0</v>
      </c>
      <c r="BW711" s="37">
        <v>0</v>
      </c>
      <c r="BX711" s="37">
        <v>0</v>
      </c>
      <c r="BY711" s="37">
        <v>0</v>
      </c>
      <c r="BZ711" s="37">
        <v>0</v>
      </c>
      <c r="CA711" s="37">
        <v>0</v>
      </c>
      <c r="CB711" s="37">
        <v>0</v>
      </c>
      <c r="CC711" s="37">
        <v>0</v>
      </c>
      <c r="CD711" s="37">
        <v>0</v>
      </c>
      <c r="CE711" s="37">
        <v>0</v>
      </c>
      <c r="CF711" s="37">
        <v>0</v>
      </c>
      <c r="CG711" s="37">
        <v>0</v>
      </c>
      <c r="CH711" s="37">
        <v>0</v>
      </c>
      <c r="CI711" s="37">
        <v>0</v>
      </c>
      <c r="CJ711" s="37">
        <v>0</v>
      </c>
      <c r="CK711" s="37">
        <v>0</v>
      </c>
      <c r="CL711" s="37">
        <v>0</v>
      </c>
      <c r="CM711" s="37">
        <v>0</v>
      </c>
      <c r="CN711" s="37">
        <v>0</v>
      </c>
      <c r="CO711" s="37">
        <v>0</v>
      </c>
      <c r="CP711" s="37">
        <v>0</v>
      </c>
      <c r="CQ711" s="37">
        <v>0</v>
      </c>
      <c r="CR711" s="37">
        <v>0</v>
      </c>
      <c r="CS711" s="37">
        <v>0</v>
      </c>
      <c r="CT711" s="37">
        <v>0</v>
      </c>
      <c r="CU711" s="37">
        <v>0</v>
      </c>
      <c r="CV711" s="37">
        <v>0</v>
      </c>
      <c r="CW711" s="37">
        <v>0</v>
      </c>
      <c r="CX711" s="37">
        <v>0</v>
      </c>
      <c r="CY711" s="37">
        <v>0</v>
      </c>
      <c r="CZ711" s="37">
        <v>0</v>
      </c>
      <c r="DA711" s="37">
        <v>0</v>
      </c>
      <c r="DB711" s="37">
        <v>0</v>
      </c>
      <c r="DC711" s="37">
        <v>0</v>
      </c>
      <c r="DD711" s="37">
        <v>0</v>
      </c>
      <c r="DE711" s="37">
        <v>0</v>
      </c>
      <c r="DF711" s="37">
        <v>0</v>
      </c>
      <c r="DG711" s="37">
        <v>0</v>
      </c>
      <c r="DH711" s="37">
        <v>0</v>
      </c>
      <c r="DI711" s="37">
        <v>0</v>
      </c>
      <c r="DJ711" s="37">
        <v>0</v>
      </c>
      <c r="DK711" s="37">
        <v>0</v>
      </c>
      <c r="DL711" s="37">
        <v>0</v>
      </c>
      <c r="DM711" s="37">
        <v>58330</v>
      </c>
      <c r="DN711" s="37">
        <v>0</v>
      </c>
      <c r="DO711" s="37">
        <v>0</v>
      </c>
      <c r="DP711" s="37">
        <v>0</v>
      </c>
      <c r="DQ711" s="37">
        <v>0</v>
      </c>
      <c r="DR711" s="37">
        <v>0</v>
      </c>
      <c r="DS711" s="37">
        <v>0</v>
      </c>
      <c r="DT711" s="37">
        <v>0</v>
      </c>
      <c r="DU711" s="37">
        <v>0</v>
      </c>
      <c r="DV711" s="37">
        <v>0</v>
      </c>
      <c r="DW711" s="37">
        <v>0</v>
      </c>
      <c r="DX711" s="37">
        <v>0</v>
      </c>
      <c r="DY711" s="37">
        <v>0</v>
      </c>
      <c r="DZ711" s="37">
        <v>0</v>
      </c>
      <c r="EA711" s="37">
        <v>0</v>
      </c>
      <c r="EB711" s="37">
        <v>0</v>
      </c>
      <c r="EC711" s="37">
        <v>0</v>
      </c>
      <c r="ED711" s="37">
        <v>0</v>
      </c>
      <c r="EE711" s="37">
        <v>0</v>
      </c>
      <c r="EF711" s="37">
        <v>0</v>
      </c>
      <c r="EG711" s="37">
        <v>0</v>
      </c>
      <c r="EH711" s="37">
        <v>0</v>
      </c>
      <c r="EI711" s="37">
        <v>0</v>
      </c>
      <c r="EJ711" s="37">
        <v>0</v>
      </c>
      <c r="EK711" s="161" t="s">
        <v>2893</v>
      </c>
      <c r="EL711" s="294" t="s">
        <v>1124</v>
      </c>
    </row>
    <row r="712" spans="1:142" ht="15" customHeight="1" x14ac:dyDescent="0.35">
      <c r="A712" s="34"/>
      <c r="B712" s="313">
        <v>87070</v>
      </c>
      <c r="C712" s="8" t="s">
        <v>900</v>
      </c>
      <c r="D712" s="18">
        <v>8</v>
      </c>
      <c r="E712" s="155"/>
      <c r="F712" s="36"/>
      <c r="G712" s="37"/>
      <c r="H712" s="37"/>
      <c r="I712" s="37"/>
      <c r="J712" s="37"/>
      <c r="K712" s="37"/>
      <c r="L712" s="37"/>
      <c r="M712" s="37" t="s">
        <v>1124</v>
      </c>
      <c r="N712" s="37" t="s">
        <v>1124</v>
      </c>
      <c r="O712" s="37"/>
      <c r="P712" s="37"/>
      <c r="Q712" s="37"/>
      <c r="R712" s="37"/>
      <c r="S712" s="37"/>
      <c r="T712" s="37"/>
      <c r="U712" s="37"/>
      <c r="V712" s="37"/>
      <c r="W712" s="37"/>
      <c r="X712" s="37"/>
      <c r="Y712" s="37"/>
      <c r="Z712" s="37"/>
      <c r="AA712" s="37" t="s">
        <v>1124</v>
      </c>
      <c r="AB712" s="37" t="s">
        <v>1124</v>
      </c>
      <c r="AC712" s="37"/>
      <c r="AD712" s="37"/>
      <c r="AE712" s="37"/>
      <c r="AF712" s="168"/>
      <c r="AG712" s="37"/>
      <c r="AH712" s="37"/>
      <c r="AI712" s="37"/>
      <c r="AJ712" s="37"/>
      <c r="AK712" s="37"/>
      <c r="AL712" s="37"/>
      <c r="AM712" s="37"/>
      <c r="AN712" s="37"/>
      <c r="AO712" s="37"/>
      <c r="AP712" s="37"/>
      <c r="AQ712" s="37"/>
      <c r="AR712" s="37" t="s">
        <v>1124</v>
      </c>
      <c r="AS712" s="37"/>
      <c r="AT712" s="37"/>
      <c r="AU712" s="37"/>
      <c r="AV712" s="37"/>
      <c r="AW712" s="37"/>
      <c r="AX712" s="37"/>
      <c r="AY712" s="37"/>
      <c r="AZ712" s="37"/>
      <c r="BA712" s="37"/>
      <c r="BB712" s="37"/>
      <c r="BC712" s="37"/>
      <c r="BD712" s="37" t="s">
        <v>1124</v>
      </c>
      <c r="BE712" s="37"/>
      <c r="BF712" s="37"/>
      <c r="BG712" s="37"/>
      <c r="BH712" s="37"/>
      <c r="BI712" s="37"/>
      <c r="BJ712" s="37"/>
      <c r="BK712" s="37"/>
      <c r="BL712" s="37"/>
      <c r="BM712" s="37"/>
      <c r="BN712" s="37"/>
      <c r="BO712" s="37"/>
      <c r="BP712" s="37">
        <v>0</v>
      </c>
      <c r="BQ712" s="37"/>
      <c r="BR712" s="37"/>
      <c r="BS712" s="37"/>
      <c r="BT712" s="37"/>
      <c r="BU712" s="37"/>
      <c r="BV712" s="37"/>
      <c r="BW712" s="37"/>
      <c r="BX712" s="37"/>
      <c r="BY712" s="37"/>
      <c r="BZ712" s="37"/>
      <c r="CA712" s="37"/>
      <c r="CB712" s="37" t="s">
        <v>1124</v>
      </c>
      <c r="CC712" s="37"/>
      <c r="CD712" s="37"/>
      <c r="CE712" s="37"/>
      <c r="CF712" s="37"/>
      <c r="CG712" s="37"/>
      <c r="CH712" s="37"/>
      <c r="CI712" s="37"/>
      <c r="CJ712" s="37"/>
      <c r="CK712" s="37"/>
      <c r="CL712" s="37"/>
      <c r="CM712" s="37"/>
      <c r="CN712" s="37" t="s">
        <v>1124</v>
      </c>
      <c r="CO712" s="37"/>
      <c r="CP712" s="37"/>
      <c r="CQ712" s="37"/>
      <c r="CR712" s="37"/>
      <c r="CS712" s="37"/>
      <c r="CT712" s="37"/>
      <c r="CU712" s="37"/>
      <c r="CV712" s="37"/>
      <c r="CW712" s="37"/>
      <c r="CX712" s="37"/>
      <c r="CY712" s="37"/>
      <c r="CZ712" s="37" t="s">
        <v>1124</v>
      </c>
      <c r="DA712" s="37"/>
      <c r="DB712" s="37"/>
      <c r="DC712" s="37"/>
      <c r="DD712" s="37"/>
      <c r="DE712" s="37"/>
      <c r="DF712" s="37"/>
      <c r="DG712" s="37"/>
      <c r="DH712" s="37"/>
      <c r="DI712" s="37"/>
      <c r="DJ712" s="37"/>
      <c r="DK712" s="37"/>
      <c r="DL712" s="37" t="s">
        <v>1124</v>
      </c>
      <c r="DM712" s="37"/>
      <c r="DN712" s="37"/>
      <c r="DO712" s="37"/>
      <c r="DP712" s="37"/>
      <c r="DQ712" s="37"/>
      <c r="DR712" s="37"/>
      <c r="DS712" s="37"/>
      <c r="DT712" s="37"/>
      <c r="DU712" s="37"/>
      <c r="DV712" s="37"/>
      <c r="DW712" s="37"/>
      <c r="DX712" s="37" t="s">
        <v>1124</v>
      </c>
      <c r="DY712" s="37"/>
      <c r="DZ712" s="37"/>
      <c r="EA712" s="37"/>
      <c r="EB712" s="37"/>
      <c r="EC712" s="37"/>
      <c r="ED712" s="37"/>
      <c r="EE712" s="37"/>
      <c r="EF712" s="37"/>
      <c r="EG712" s="37"/>
      <c r="EH712" s="37"/>
      <c r="EI712" s="37"/>
      <c r="EJ712" s="37" t="s">
        <v>1124</v>
      </c>
      <c r="EK712" s="161"/>
      <c r="EL712" s="294"/>
    </row>
    <row r="713" spans="1:142" ht="15" customHeight="1" x14ac:dyDescent="0.35">
      <c r="A713" s="34"/>
      <c r="B713" s="313">
        <v>26040</v>
      </c>
      <c r="C713" s="8" t="s">
        <v>173</v>
      </c>
      <c r="D713" s="18">
        <v>12</v>
      </c>
      <c r="E713" s="155">
        <v>88033</v>
      </c>
      <c r="F713" s="36">
        <v>35716</v>
      </c>
      <c r="G713" s="37">
        <v>6737</v>
      </c>
      <c r="H713" s="37">
        <v>3236</v>
      </c>
      <c r="I713" s="37">
        <v>49152</v>
      </c>
      <c r="J713" s="37">
        <v>32652</v>
      </c>
      <c r="K713" s="37">
        <v>7196</v>
      </c>
      <c r="L713" s="37">
        <v>3580</v>
      </c>
      <c r="M713" s="37">
        <v>151118</v>
      </c>
      <c r="N713" s="37">
        <v>75184</v>
      </c>
      <c r="O713" s="37">
        <v>5000</v>
      </c>
      <c r="P713" s="37">
        <v>2250</v>
      </c>
      <c r="Q713" s="37">
        <v>146234</v>
      </c>
      <c r="R713" s="37">
        <v>81675</v>
      </c>
      <c r="S713" s="37">
        <v>194</v>
      </c>
      <c r="T713" s="37">
        <v>0</v>
      </c>
      <c r="U713" s="37">
        <v>16277</v>
      </c>
      <c r="V713" s="37">
        <v>0</v>
      </c>
      <c r="W713" s="37">
        <v>0</v>
      </c>
      <c r="X713" s="37">
        <v>0</v>
      </c>
      <c r="Y713" s="37">
        <v>17560.5</v>
      </c>
      <c r="Z713" s="37">
        <v>17560.5</v>
      </c>
      <c r="AA713" s="37">
        <v>185265.5</v>
      </c>
      <c r="AB713" s="37">
        <v>101485.5</v>
      </c>
      <c r="AC713" s="37">
        <v>60449</v>
      </c>
      <c r="AD713" s="37">
        <v>60449</v>
      </c>
      <c r="AE713" s="37">
        <v>251006</v>
      </c>
      <c r="AF713" s="168">
        <v>0.02</v>
      </c>
      <c r="AG713" s="37">
        <v>13342141.970000001</v>
      </c>
      <c r="AH713" s="37">
        <v>190532.77</v>
      </c>
      <c r="AI713" s="37">
        <v>89920.56</v>
      </c>
      <c r="AJ713" s="37">
        <v>91718.97</v>
      </c>
      <c r="AK713" s="37">
        <v>93553.35</v>
      </c>
      <c r="AL713" s="37">
        <v>95424.41</v>
      </c>
      <c r="AM713" s="37">
        <v>105948.04</v>
      </c>
      <c r="AN713" s="37">
        <v>108067</v>
      </c>
      <c r="AO713" s="37">
        <v>101265.15</v>
      </c>
      <c r="AP713" s="37">
        <v>103290.45</v>
      </c>
      <c r="AQ713" s="37">
        <v>105356.26</v>
      </c>
      <c r="AR713" s="37">
        <v>1085076.96</v>
      </c>
      <c r="AS713" s="37">
        <v>3027918.89</v>
      </c>
      <c r="AT713" s="37">
        <v>0</v>
      </c>
      <c r="AU713" s="37">
        <v>0</v>
      </c>
      <c r="AV713" s="37">
        <v>0</v>
      </c>
      <c r="AW713" s="37">
        <v>0</v>
      </c>
      <c r="AX713" s="37">
        <v>0</v>
      </c>
      <c r="AY713" s="37">
        <v>1064257.27</v>
      </c>
      <c r="AZ713" s="37">
        <v>1757.49</v>
      </c>
      <c r="BA713" s="37">
        <v>0</v>
      </c>
      <c r="BB713" s="37">
        <v>0</v>
      </c>
      <c r="BC713" s="37">
        <v>0</v>
      </c>
      <c r="BD713" s="37">
        <v>1066014.76</v>
      </c>
      <c r="BE713" s="37">
        <v>0</v>
      </c>
      <c r="BF713" s="37">
        <v>0</v>
      </c>
      <c r="BG713" s="37">
        <v>735748</v>
      </c>
      <c r="BH713" s="37">
        <v>0</v>
      </c>
      <c r="BI713" s="37">
        <v>0</v>
      </c>
      <c r="BJ713" s="37">
        <v>0</v>
      </c>
      <c r="BK713" s="37">
        <v>0</v>
      </c>
      <c r="BL713" s="37">
        <v>0</v>
      </c>
      <c r="BM713" s="37">
        <v>0</v>
      </c>
      <c r="BN713" s="37">
        <v>0</v>
      </c>
      <c r="BO713" s="37">
        <v>0</v>
      </c>
      <c r="BP713" s="37">
        <v>735748</v>
      </c>
      <c r="BQ713" s="37">
        <v>0</v>
      </c>
      <c r="BR713" s="37">
        <v>0</v>
      </c>
      <c r="BS713" s="37">
        <v>183939</v>
      </c>
      <c r="BT713" s="37">
        <v>0</v>
      </c>
      <c r="BU713" s="37">
        <v>0</v>
      </c>
      <c r="BV713" s="37">
        <v>0</v>
      </c>
      <c r="BW713" s="37">
        <v>0</v>
      </c>
      <c r="BX713" s="37">
        <v>0</v>
      </c>
      <c r="BY713" s="37">
        <v>0</v>
      </c>
      <c r="BZ713" s="37">
        <v>0</v>
      </c>
      <c r="CA713" s="37">
        <v>0</v>
      </c>
      <c r="CB713" s="37">
        <v>183939</v>
      </c>
      <c r="CC713" s="37">
        <v>0</v>
      </c>
      <c r="CD713" s="37">
        <v>0</v>
      </c>
      <c r="CE713" s="37">
        <v>200000</v>
      </c>
      <c r="CF713" s="37">
        <v>0</v>
      </c>
      <c r="CG713" s="37">
        <v>0</v>
      </c>
      <c r="CH713" s="37">
        <v>0</v>
      </c>
      <c r="CI713" s="37">
        <v>0</v>
      </c>
      <c r="CJ713" s="37">
        <v>0</v>
      </c>
      <c r="CK713" s="37">
        <v>0</v>
      </c>
      <c r="CL713" s="37">
        <v>0</v>
      </c>
      <c r="CM713" s="37">
        <v>0</v>
      </c>
      <c r="CN713" s="37">
        <v>200000</v>
      </c>
      <c r="CO713" s="37">
        <v>0</v>
      </c>
      <c r="CP713" s="37">
        <v>0</v>
      </c>
      <c r="CQ713" s="37">
        <v>0</v>
      </c>
      <c r="CR713" s="37">
        <v>0</v>
      </c>
      <c r="CS713" s="37">
        <v>0</v>
      </c>
      <c r="CT713" s="37">
        <v>0</v>
      </c>
      <c r="CU713" s="37">
        <v>0</v>
      </c>
      <c r="CV713" s="37">
        <v>0</v>
      </c>
      <c r="CW713" s="37">
        <v>0</v>
      </c>
      <c r="CX713" s="37">
        <v>0</v>
      </c>
      <c r="CY713" s="37">
        <v>0</v>
      </c>
      <c r="CZ713" s="37">
        <v>0</v>
      </c>
      <c r="DA713" s="37">
        <v>0</v>
      </c>
      <c r="DB713" s="37">
        <v>0</v>
      </c>
      <c r="DC713" s="37">
        <v>0</v>
      </c>
      <c r="DD713" s="37">
        <v>0</v>
      </c>
      <c r="DE713" s="37">
        <v>0</v>
      </c>
      <c r="DF713" s="37">
        <v>0</v>
      </c>
      <c r="DG713" s="37">
        <v>0</v>
      </c>
      <c r="DH713" s="37">
        <v>0</v>
      </c>
      <c r="DI713" s="37">
        <v>0</v>
      </c>
      <c r="DJ713" s="37">
        <v>0</v>
      </c>
      <c r="DK713" s="37">
        <v>0</v>
      </c>
      <c r="DL713" s="37">
        <v>0</v>
      </c>
      <c r="DM713" s="37">
        <v>0</v>
      </c>
      <c r="DN713" s="37">
        <v>0</v>
      </c>
      <c r="DO713" s="37">
        <v>0</v>
      </c>
      <c r="DP713" s="37">
        <v>0</v>
      </c>
      <c r="DQ713" s="37">
        <v>0</v>
      </c>
      <c r="DR713" s="37">
        <v>0</v>
      </c>
      <c r="DS713" s="37">
        <v>0</v>
      </c>
      <c r="DT713" s="37">
        <v>0</v>
      </c>
      <c r="DU713" s="37">
        <v>0</v>
      </c>
      <c r="DV713" s="37">
        <v>0</v>
      </c>
      <c r="DW713" s="37">
        <v>0</v>
      </c>
      <c r="DX713" s="37">
        <v>0</v>
      </c>
      <c r="DY713" s="37">
        <v>0</v>
      </c>
      <c r="DZ713" s="37">
        <v>0</v>
      </c>
      <c r="EA713" s="37">
        <v>0</v>
      </c>
      <c r="EB713" s="37">
        <v>0</v>
      </c>
      <c r="EC713" s="37">
        <v>0</v>
      </c>
      <c r="ED713" s="37">
        <v>0</v>
      </c>
      <c r="EE713" s="37">
        <v>0</v>
      </c>
      <c r="EF713" s="37">
        <v>0</v>
      </c>
      <c r="EG713" s="37">
        <v>0</v>
      </c>
      <c r="EH713" s="37">
        <v>0</v>
      </c>
      <c r="EI713" s="37">
        <v>0</v>
      </c>
      <c r="EJ713" s="37">
        <v>0</v>
      </c>
      <c r="EK713" s="161" t="s">
        <v>2897</v>
      </c>
      <c r="EL713" s="294" t="s">
        <v>1124</v>
      </c>
    </row>
    <row r="714" spans="1:142" ht="15" customHeight="1" x14ac:dyDescent="0.35">
      <c r="A714" s="34"/>
      <c r="B714" s="313">
        <v>7040</v>
      </c>
      <c r="C714" s="8" t="s">
        <v>1074</v>
      </c>
      <c r="D714" s="18">
        <v>1</v>
      </c>
      <c r="E714" s="155">
        <v>93836</v>
      </c>
      <c r="F714" s="36">
        <v>30471</v>
      </c>
      <c r="G714" s="37">
        <v>8900</v>
      </c>
      <c r="H714" s="37">
        <v>1436</v>
      </c>
      <c r="I714" s="37">
        <v>12500</v>
      </c>
      <c r="J714" s="37">
        <v>9900</v>
      </c>
      <c r="K714" s="37">
        <v>14075</v>
      </c>
      <c r="L714" s="37">
        <v>4571</v>
      </c>
      <c r="M714" s="37">
        <v>129311</v>
      </c>
      <c r="N714" s="37">
        <v>46378</v>
      </c>
      <c r="O714" s="37">
        <v>0</v>
      </c>
      <c r="P714" s="37">
        <v>0</v>
      </c>
      <c r="Q714" s="37">
        <v>66206</v>
      </c>
      <c r="R714" s="37">
        <v>50823</v>
      </c>
      <c r="S714" s="37">
        <v>75</v>
      </c>
      <c r="T714" s="37">
        <v>0</v>
      </c>
      <c r="U714" s="37">
        <v>75648</v>
      </c>
      <c r="V714" s="37">
        <v>4668</v>
      </c>
      <c r="W714" s="37">
        <v>0</v>
      </c>
      <c r="X714" s="37">
        <v>0</v>
      </c>
      <c r="Y714" s="37">
        <v>0</v>
      </c>
      <c r="Z714" s="37">
        <v>0</v>
      </c>
      <c r="AA714" s="37">
        <v>141929</v>
      </c>
      <c r="AB714" s="37">
        <v>55491</v>
      </c>
      <c r="AC714" s="37">
        <v>21731</v>
      </c>
      <c r="AD714" s="37">
        <v>0</v>
      </c>
      <c r="AE714" s="37">
        <v>9245</v>
      </c>
      <c r="AF714" s="168">
        <v>0.02</v>
      </c>
      <c r="AG714" s="37">
        <v>4336895.12</v>
      </c>
      <c r="AH714" s="37">
        <v>533904.31000000006</v>
      </c>
      <c r="AI714" s="37">
        <v>24284.43</v>
      </c>
      <c r="AJ714" s="37">
        <v>24770.12</v>
      </c>
      <c r="AK714" s="37">
        <v>25265.53</v>
      </c>
      <c r="AL714" s="37">
        <v>25770.84</v>
      </c>
      <c r="AM714" s="37">
        <v>69361.960000000006</v>
      </c>
      <c r="AN714" s="37">
        <v>70749.2</v>
      </c>
      <c r="AO714" s="37">
        <v>27348.22</v>
      </c>
      <c r="AP714" s="37">
        <v>27895.18</v>
      </c>
      <c r="AQ714" s="37">
        <v>28453.08</v>
      </c>
      <c r="AR714" s="37">
        <v>857802.87000000011</v>
      </c>
      <c r="AS714" s="37">
        <v>145988.93</v>
      </c>
      <c r="AT714" s="37">
        <v>1632</v>
      </c>
      <c r="AU714" s="37">
        <v>0</v>
      </c>
      <c r="AV714" s="37">
        <v>0</v>
      </c>
      <c r="AW714" s="37">
        <v>0</v>
      </c>
      <c r="AX714" s="37">
        <v>0</v>
      </c>
      <c r="AY714" s="37">
        <v>0</v>
      </c>
      <c r="AZ714" s="37">
        <v>0</v>
      </c>
      <c r="BA714" s="37">
        <v>0</v>
      </c>
      <c r="BB714" s="37">
        <v>0</v>
      </c>
      <c r="BC714" s="37">
        <v>0</v>
      </c>
      <c r="BD714" s="37">
        <v>1632</v>
      </c>
      <c r="BE714" s="37">
        <v>75648</v>
      </c>
      <c r="BF714" s="37">
        <v>0</v>
      </c>
      <c r="BG714" s="37">
        <v>533248</v>
      </c>
      <c r="BH714" s="37">
        <v>0</v>
      </c>
      <c r="BI714" s="37">
        <v>0</v>
      </c>
      <c r="BJ714" s="37">
        <v>0</v>
      </c>
      <c r="BK714" s="37">
        <v>0</v>
      </c>
      <c r="BL714" s="37">
        <v>0</v>
      </c>
      <c r="BM714" s="37">
        <v>0</v>
      </c>
      <c r="BN714" s="37">
        <v>0</v>
      </c>
      <c r="BO714" s="37">
        <v>0</v>
      </c>
      <c r="BP714" s="37">
        <v>533248</v>
      </c>
      <c r="BQ714" s="37">
        <v>29793</v>
      </c>
      <c r="BR714" s="37">
        <v>0</v>
      </c>
      <c r="BS714" s="37">
        <v>133314</v>
      </c>
      <c r="BT714" s="37">
        <v>0</v>
      </c>
      <c r="BU714" s="37">
        <v>0</v>
      </c>
      <c r="BV714" s="37">
        <v>0</v>
      </c>
      <c r="BW714" s="37">
        <v>0</v>
      </c>
      <c r="BX714" s="37">
        <v>0</v>
      </c>
      <c r="BY714" s="37">
        <v>0</v>
      </c>
      <c r="BZ714" s="37">
        <v>0</v>
      </c>
      <c r="CA714" s="37">
        <v>0</v>
      </c>
      <c r="CB714" s="37">
        <v>133314</v>
      </c>
      <c r="CC714" s="37">
        <v>0</v>
      </c>
      <c r="CD714" s="37">
        <v>0</v>
      </c>
      <c r="CE714" s="37">
        <v>0</v>
      </c>
      <c r="CF714" s="37">
        <v>0</v>
      </c>
      <c r="CG714" s="37">
        <v>0</v>
      </c>
      <c r="CH714" s="37">
        <v>0</v>
      </c>
      <c r="CI714" s="37">
        <v>0</v>
      </c>
      <c r="CJ714" s="37">
        <v>0</v>
      </c>
      <c r="CK714" s="37">
        <v>0</v>
      </c>
      <c r="CL714" s="37">
        <v>0</v>
      </c>
      <c r="CM714" s="37">
        <v>0</v>
      </c>
      <c r="CN714" s="37">
        <v>0</v>
      </c>
      <c r="CO714" s="37">
        <v>0</v>
      </c>
      <c r="CP714" s="37">
        <v>0</v>
      </c>
      <c r="CQ714" s="37">
        <v>0</v>
      </c>
      <c r="CR714" s="37">
        <v>0</v>
      </c>
      <c r="CS714" s="37">
        <v>0</v>
      </c>
      <c r="CT714" s="37">
        <v>0</v>
      </c>
      <c r="CU714" s="37">
        <v>0</v>
      </c>
      <c r="CV714" s="37">
        <v>0</v>
      </c>
      <c r="CW714" s="37">
        <v>0</v>
      </c>
      <c r="CX714" s="37">
        <v>0</v>
      </c>
      <c r="CY714" s="37">
        <v>0</v>
      </c>
      <c r="CZ714" s="37">
        <v>0</v>
      </c>
      <c r="DA714" s="37">
        <v>0</v>
      </c>
      <c r="DB714" s="37">
        <v>0</v>
      </c>
      <c r="DC714" s="37">
        <v>0</v>
      </c>
      <c r="DD714" s="37">
        <v>0</v>
      </c>
      <c r="DE714" s="37">
        <v>0</v>
      </c>
      <c r="DF714" s="37">
        <v>0</v>
      </c>
      <c r="DG714" s="37">
        <v>0</v>
      </c>
      <c r="DH714" s="37">
        <v>0</v>
      </c>
      <c r="DI714" s="37">
        <v>0</v>
      </c>
      <c r="DJ714" s="37">
        <v>0</v>
      </c>
      <c r="DK714" s="37">
        <v>0</v>
      </c>
      <c r="DL714" s="37">
        <v>0</v>
      </c>
      <c r="DM714" s="37">
        <v>0</v>
      </c>
      <c r="DN714" s="37">
        <v>0</v>
      </c>
      <c r="DO714" s="37">
        <v>0</v>
      </c>
      <c r="DP714" s="37">
        <v>0</v>
      </c>
      <c r="DQ714" s="37">
        <v>0</v>
      </c>
      <c r="DR714" s="37">
        <v>0</v>
      </c>
      <c r="DS714" s="37">
        <v>0</v>
      </c>
      <c r="DT714" s="37">
        <v>0</v>
      </c>
      <c r="DU714" s="37">
        <v>0</v>
      </c>
      <c r="DV714" s="37">
        <v>0</v>
      </c>
      <c r="DW714" s="37">
        <v>0</v>
      </c>
      <c r="DX714" s="37">
        <v>0</v>
      </c>
      <c r="DY714" s="37">
        <v>0</v>
      </c>
      <c r="DZ714" s="37">
        <v>0</v>
      </c>
      <c r="EA714" s="37">
        <v>0</v>
      </c>
      <c r="EB714" s="37">
        <v>0</v>
      </c>
      <c r="EC714" s="37">
        <v>0</v>
      </c>
      <c r="ED714" s="37">
        <v>0</v>
      </c>
      <c r="EE714" s="37">
        <v>0</v>
      </c>
      <c r="EF714" s="37">
        <v>0</v>
      </c>
      <c r="EG714" s="37">
        <v>0</v>
      </c>
      <c r="EH714" s="37">
        <v>0</v>
      </c>
      <c r="EI714" s="37">
        <v>0</v>
      </c>
      <c r="EJ714" s="37">
        <v>0</v>
      </c>
      <c r="EK714" s="161" t="s">
        <v>2902</v>
      </c>
      <c r="EL714" s="294" t="s">
        <v>1124</v>
      </c>
    </row>
    <row r="715" spans="1:142" ht="15" customHeight="1" x14ac:dyDescent="0.35">
      <c r="A715" s="34"/>
      <c r="B715" s="313">
        <v>9020</v>
      </c>
      <c r="C715" s="8" t="s">
        <v>1100</v>
      </c>
      <c r="D715" s="18">
        <v>1</v>
      </c>
      <c r="E715" s="155"/>
      <c r="F715" s="36"/>
      <c r="G715" s="37"/>
      <c r="H715" s="37"/>
      <c r="I715" s="37"/>
      <c r="J715" s="37"/>
      <c r="K715" s="37"/>
      <c r="L715" s="37"/>
      <c r="M715" s="37" t="s">
        <v>1124</v>
      </c>
      <c r="N715" s="37" t="s">
        <v>1124</v>
      </c>
      <c r="O715" s="37"/>
      <c r="P715" s="37"/>
      <c r="Q715" s="37"/>
      <c r="R715" s="37"/>
      <c r="S715" s="37"/>
      <c r="T715" s="37"/>
      <c r="U715" s="37"/>
      <c r="V715" s="37"/>
      <c r="W715" s="37"/>
      <c r="X715" s="37"/>
      <c r="Y715" s="37"/>
      <c r="Z715" s="37"/>
      <c r="AA715" s="37" t="s">
        <v>1124</v>
      </c>
      <c r="AB715" s="37" t="s">
        <v>1124</v>
      </c>
      <c r="AC715" s="37"/>
      <c r="AD715" s="37"/>
      <c r="AE715" s="37"/>
      <c r="AF715" s="168"/>
      <c r="AG715" s="37"/>
      <c r="AH715" s="37"/>
      <c r="AI715" s="37"/>
      <c r="AJ715" s="37"/>
      <c r="AK715" s="37"/>
      <c r="AL715" s="37"/>
      <c r="AM715" s="37"/>
      <c r="AN715" s="37"/>
      <c r="AO715" s="37"/>
      <c r="AP715" s="37"/>
      <c r="AQ715" s="37"/>
      <c r="AR715" s="37" t="s">
        <v>1124</v>
      </c>
      <c r="AS715" s="37"/>
      <c r="AT715" s="37"/>
      <c r="AU715" s="37"/>
      <c r="AV715" s="37"/>
      <c r="AW715" s="37"/>
      <c r="AX715" s="37"/>
      <c r="AY715" s="37"/>
      <c r="AZ715" s="37"/>
      <c r="BA715" s="37"/>
      <c r="BB715" s="37"/>
      <c r="BC715" s="37"/>
      <c r="BD715" s="37" t="s">
        <v>1124</v>
      </c>
      <c r="BE715" s="37"/>
      <c r="BF715" s="37"/>
      <c r="BG715" s="37"/>
      <c r="BH715" s="37"/>
      <c r="BI715" s="37"/>
      <c r="BJ715" s="37"/>
      <c r="BK715" s="37"/>
      <c r="BL715" s="37"/>
      <c r="BM715" s="37"/>
      <c r="BN715" s="37"/>
      <c r="BO715" s="37"/>
      <c r="BP715" s="37">
        <v>0</v>
      </c>
      <c r="BQ715" s="37"/>
      <c r="BR715" s="37"/>
      <c r="BS715" s="37"/>
      <c r="BT715" s="37"/>
      <c r="BU715" s="37"/>
      <c r="BV715" s="37"/>
      <c r="BW715" s="37"/>
      <c r="BX715" s="37"/>
      <c r="BY715" s="37"/>
      <c r="BZ715" s="37"/>
      <c r="CA715" s="37"/>
      <c r="CB715" s="37" t="s">
        <v>1124</v>
      </c>
      <c r="CC715" s="37"/>
      <c r="CD715" s="37"/>
      <c r="CE715" s="37"/>
      <c r="CF715" s="37"/>
      <c r="CG715" s="37"/>
      <c r="CH715" s="37"/>
      <c r="CI715" s="37"/>
      <c r="CJ715" s="37"/>
      <c r="CK715" s="37"/>
      <c r="CL715" s="37"/>
      <c r="CM715" s="37"/>
      <c r="CN715" s="37" t="s">
        <v>1124</v>
      </c>
      <c r="CO715" s="37"/>
      <c r="CP715" s="37"/>
      <c r="CQ715" s="37"/>
      <c r="CR715" s="37"/>
      <c r="CS715" s="37"/>
      <c r="CT715" s="37"/>
      <c r="CU715" s="37"/>
      <c r="CV715" s="37"/>
      <c r="CW715" s="37"/>
      <c r="CX715" s="37"/>
      <c r="CY715" s="37"/>
      <c r="CZ715" s="37" t="s">
        <v>1124</v>
      </c>
      <c r="DA715" s="37"/>
      <c r="DB715" s="37"/>
      <c r="DC715" s="37"/>
      <c r="DD715" s="37"/>
      <c r="DE715" s="37"/>
      <c r="DF715" s="37"/>
      <c r="DG715" s="37"/>
      <c r="DH715" s="37"/>
      <c r="DI715" s="37"/>
      <c r="DJ715" s="37"/>
      <c r="DK715" s="37"/>
      <c r="DL715" s="37" t="s">
        <v>1124</v>
      </c>
      <c r="DM715" s="37"/>
      <c r="DN715" s="37"/>
      <c r="DO715" s="37"/>
      <c r="DP715" s="37"/>
      <c r="DQ715" s="37"/>
      <c r="DR715" s="37"/>
      <c r="DS715" s="37"/>
      <c r="DT715" s="37"/>
      <c r="DU715" s="37"/>
      <c r="DV715" s="37"/>
      <c r="DW715" s="37"/>
      <c r="DX715" s="37" t="s">
        <v>1124</v>
      </c>
      <c r="DY715" s="37"/>
      <c r="DZ715" s="37"/>
      <c r="EA715" s="37"/>
      <c r="EB715" s="37"/>
      <c r="EC715" s="37"/>
      <c r="ED715" s="37"/>
      <c r="EE715" s="37"/>
      <c r="EF715" s="37"/>
      <c r="EG715" s="37"/>
      <c r="EH715" s="37"/>
      <c r="EI715" s="37"/>
      <c r="EJ715" s="37" t="s">
        <v>1124</v>
      </c>
      <c r="EK715" s="161"/>
      <c r="EL715" s="294"/>
    </row>
    <row r="716" spans="1:142" ht="15" customHeight="1" x14ac:dyDescent="0.35">
      <c r="A716" s="34"/>
      <c r="B716" s="313">
        <v>92015</v>
      </c>
      <c r="C716" s="8" t="s">
        <v>948</v>
      </c>
      <c r="D716" s="18">
        <v>2</v>
      </c>
      <c r="E716" s="155"/>
      <c r="F716" s="36"/>
      <c r="G716" s="37"/>
      <c r="H716" s="37"/>
      <c r="I716" s="37"/>
      <c r="J716" s="37"/>
      <c r="K716" s="37"/>
      <c r="L716" s="37"/>
      <c r="M716" s="37" t="s">
        <v>1124</v>
      </c>
      <c r="N716" s="37" t="s">
        <v>1124</v>
      </c>
      <c r="O716" s="37"/>
      <c r="P716" s="37"/>
      <c r="Q716" s="37"/>
      <c r="R716" s="37"/>
      <c r="S716" s="37"/>
      <c r="T716" s="37"/>
      <c r="U716" s="37"/>
      <c r="V716" s="37"/>
      <c r="W716" s="37"/>
      <c r="X716" s="37"/>
      <c r="Y716" s="37"/>
      <c r="Z716" s="37"/>
      <c r="AA716" s="37" t="s">
        <v>1124</v>
      </c>
      <c r="AB716" s="37" t="s">
        <v>1124</v>
      </c>
      <c r="AC716" s="37"/>
      <c r="AD716" s="37"/>
      <c r="AE716" s="37"/>
      <c r="AF716" s="168"/>
      <c r="AG716" s="37"/>
      <c r="AH716" s="37"/>
      <c r="AI716" s="37"/>
      <c r="AJ716" s="37"/>
      <c r="AK716" s="37"/>
      <c r="AL716" s="37"/>
      <c r="AM716" s="37"/>
      <c r="AN716" s="37"/>
      <c r="AO716" s="37"/>
      <c r="AP716" s="37"/>
      <c r="AQ716" s="37"/>
      <c r="AR716" s="37" t="s">
        <v>1124</v>
      </c>
      <c r="AS716" s="37"/>
      <c r="AT716" s="37"/>
      <c r="AU716" s="37"/>
      <c r="AV716" s="37"/>
      <c r="AW716" s="37"/>
      <c r="AX716" s="37"/>
      <c r="AY716" s="37"/>
      <c r="AZ716" s="37"/>
      <c r="BA716" s="37"/>
      <c r="BB716" s="37"/>
      <c r="BC716" s="37"/>
      <c r="BD716" s="37" t="s">
        <v>1124</v>
      </c>
      <c r="BE716" s="37"/>
      <c r="BF716" s="37"/>
      <c r="BG716" s="37"/>
      <c r="BH716" s="37"/>
      <c r="BI716" s="37"/>
      <c r="BJ716" s="37"/>
      <c r="BK716" s="37"/>
      <c r="BL716" s="37"/>
      <c r="BM716" s="37"/>
      <c r="BN716" s="37"/>
      <c r="BO716" s="37"/>
      <c r="BP716" s="37">
        <v>0</v>
      </c>
      <c r="BQ716" s="37"/>
      <c r="BR716" s="37"/>
      <c r="BS716" s="37"/>
      <c r="BT716" s="37"/>
      <c r="BU716" s="37"/>
      <c r="BV716" s="37"/>
      <c r="BW716" s="37"/>
      <c r="BX716" s="37"/>
      <c r="BY716" s="37"/>
      <c r="BZ716" s="37"/>
      <c r="CA716" s="37"/>
      <c r="CB716" s="37" t="s">
        <v>1124</v>
      </c>
      <c r="CC716" s="37"/>
      <c r="CD716" s="37"/>
      <c r="CE716" s="37"/>
      <c r="CF716" s="37"/>
      <c r="CG716" s="37"/>
      <c r="CH716" s="37"/>
      <c r="CI716" s="37"/>
      <c r="CJ716" s="37"/>
      <c r="CK716" s="37"/>
      <c r="CL716" s="37"/>
      <c r="CM716" s="37"/>
      <c r="CN716" s="37" t="s">
        <v>1124</v>
      </c>
      <c r="CO716" s="37"/>
      <c r="CP716" s="37"/>
      <c r="CQ716" s="37"/>
      <c r="CR716" s="37"/>
      <c r="CS716" s="37"/>
      <c r="CT716" s="37"/>
      <c r="CU716" s="37"/>
      <c r="CV716" s="37"/>
      <c r="CW716" s="37"/>
      <c r="CX716" s="37"/>
      <c r="CY716" s="37"/>
      <c r="CZ716" s="37" t="s">
        <v>1124</v>
      </c>
      <c r="DA716" s="37"/>
      <c r="DB716" s="37"/>
      <c r="DC716" s="37"/>
      <c r="DD716" s="37"/>
      <c r="DE716" s="37"/>
      <c r="DF716" s="37"/>
      <c r="DG716" s="37"/>
      <c r="DH716" s="37"/>
      <c r="DI716" s="37"/>
      <c r="DJ716" s="37"/>
      <c r="DK716" s="37"/>
      <c r="DL716" s="37" t="s">
        <v>1124</v>
      </c>
      <c r="DM716" s="37"/>
      <c r="DN716" s="37"/>
      <c r="DO716" s="37"/>
      <c r="DP716" s="37"/>
      <c r="DQ716" s="37"/>
      <c r="DR716" s="37"/>
      <c r="DS716" s="37"/>
      <c r="DT716" s="37"/>
      <c r="DU716" s="37"/>
      <c r="DV716" s="37"/>
      <c r="DW716" s="37"/>
      <c r="DX716" s="37" t="s">
        <v>1124</v>
      </c>
      <c r="DY716" s="37"/>
      <c r="DZ716" s="37"/>
      <c r="EA716" s="37"/>
      <c r="EB716" s="37"/>
      <c r="EC716" s="37"/>
      <c r="ED716" s="37"/>
      <c r="EE716" s="37"/>
      <c r="EF716" s="37"/>
      <c r="EG716" s="37"/>
      <c r="EH716" s="37"/>
      <c r="EI716" s="37"/>
      <c r="EJ716" s="37" t="s">
        <v>1124</v>
      </c>
      <c r="EK716" s="161"/>
      <c r="EL716" s="294"/>
    </row>
    <row r="717" spans="1:142" ht="15" customHeight="1" x14ac:dyDescent="0.35">
      <c r="A717" s="34"/>
      <c r="B717" s="313">
        <v>59010</v>
      </c>
      <c r="C717" s="8" t="s">
        <v>599</v>
      </c>
      <c r="D717" s="18">
        <v>16</v>
      </c>
      <c r="E717" s="155">
        <v>2150249</v>
      </c>
      <c r="F717" s="36">
        <v>1461438</v>
      </c>
      <c r="G717" s="37">
        <v>76379</v>
      </c>
      <c r="H717" s="37">
        <v>267417</v>
      </c>
      <c r="I717" s="37">
        <v>405724</v>
      </c>
      <c r="J717" s="37">
        <v>1087992</v>
      </c>
      <c r="K717" s="37">
        <v>394853</v>
      </c>
      <c r="L717" s="37">
        <v>422527</v>
      </c>
      <c r="M717" s="37">
        <v>3027205</v>
      </c>
      <c r="N717" s="37">
        <v>3239374</v>
      </c>
      <c r="O717" s="37">
        <v>145299</v>
      </c>
      <c r="P717" s="37">
        <v>1197</v>
      </c>
      <c r="Q717" s="37">
        <v>2022537</v>
      </c>
      <c r="R717" s="37">
        <v>1329621</v>
      </c>
      <c r="S717" s="37">
        <v>23961</v>
      </c>
      <c r="T717" s="37">
        <v>15479</v>
      </c>
      <c r="U717" s="37">
        <v>187456</v>
      </c>
      <c r="V717" s="37">
        <v>362337</v>
      </c>
      <c r="W717" s="37">
        <v>647952</v>
      </c>
      <c r="X717" s="37">
        <v>1530740</v>
      </c>
      <c r="Y717" s="37">
        <v>0</v>
      </c>
      <c r="Z717" s="37">
        <v>0</v>
      </c>
      <c r="AA717" s="37">
        <v>3027205</v>
      </c>
      <c r="AB717" s="37">
        <v>3239374</v>
      </c>
      <c r="AC717" s="37">
        <v>0</v>
      </c>
      <c r="AD717" s="37">
        <v>0</v>
      </c>
      <c r="AE717" s="37">
        <v>0</v>
      </c>
      <c r="AF717" s="168">
        <v>0.02</v>
      </c>
      <c r="AG717" s="37">
        <v>376478515.57999998</v>
      </c>
      <c r="AH717" s="37">
        <v>5620204.0800000001</v>
      </c>
      <c r="AI717" s="37">
        <v>6067835.4500000002</v>
      </c>
      <c r="AJ717" s="37">
        <v>5138596.2300000004</v>
      </c>
      <c r="AK717" s="37">
        <v>5268537.21</v>
      </c>
      <c r="AL717" s="37">
        <v>5362867.1399999997</v>
      </c>
      <c r="AM717" s="37">
        <v>5453344.6699999999</v>
      </c>
      <c r="AN717" s="37">
        <v>5562411.5599999996</v>
      </c>
      <c r="AO717" s="37">
        <v>5673659.79</v>
      </c>
      <c r="AP717" s="37">
        <v>5805059.3700000001</v>
      </c>
      <c r="AQ717" s="37">
        <v>5958461.79</v>
      </c>
      <c r="AR717" s="37">
        <v>55910977.290000007</v>
      </c>
      <c r="AS717" s="37">
        <v>21206320.399999999</v>
      </c>
      <c r="AT717" s="37">
        <v>3763896.9</v>
      </c>
      <c r="AU717" s="37">
        <v>4056253.26</v>
      </c>
      <c r="AV717" s="37">
        <v>0</v>
      </c>
      <c r="AW717" s="37">
        <v>0</v>
      </c>
      <c r="AX717" s="37">
        <v>0</v>
      </c>
      <c r="AY717" s="37">
        <v>0</v>
      </c>
      <c r="AZ717" s="37">
        <v>0</v>
      </c>
      <c r="BA717" s="37">
        <v>0</v>
      </c>
      <c r="BB717" s="37">
        <v>0</v>
      </c>
      <c r="BC717" s="37">
        <v>0</v>
      </c>
      <c r="BD717" s="37">
        <v>7820150.1600000001</v>
      </c>
      <c r="BE717" s="37">
        <v>177430</v>
      </c>
      <c r="BF717" s="37">
        <v>3750578.4000000004</v>
      </c>
      <c r="BG717" s="37">
        <v>1819039.2000000002</v>
      </c>
      <c r="BH717" s="37">
        <v>1706539.2000000002</v>
      </c>
      <c r="BI717" s="37">
        <v>1706539.2000000002</v>
      </c>
      <c r="BJ717" s="37">
        <v>0</v>
      </c>
      <c r="BK717" s="37">
        <v>0</v>
      </c>
      <c r="BL717" s="37">
        <v>0</v>
      </c>
      <c r="BM717" s="37">
        <v>0</v>
      </c>
      <c r="BN717" s="37">
        <v>0</v>
      </c>
      <c r="BO717" s="37">
        <v>0</v>
      </c>
      <c r="BP717" s="37">
        <v>8982696</v>
      </c>
      <c r="BQ717" s="37">
        <v>1887496</v>
      </c>
      <c r="BR717" s="37">
        <v>2000000</v>
      </c>
      <c r="BS717" s="37">
        <v>2000000</v>
      </c>
      <c r="BT717" s="37">
        <v>2000000</v>
      </c>
      <c r="BU717" s="37">
        <v>2000000</v>
      </c>
      <c r="BV717" s="37">
        <v>2000000</v>
      </c>
      <c r="BW717" s="37">
        <v>2000000</v>
      </c>
      <c r="BX717" s="37">
        <v>2000000</v>
      </c>
      <c r="BY717" s="37">
        <v>2000000</v>
      </c>
      <c r="BZ717" s="37">
        <v>2000000</v>
      </c>
      <c r="CA717" s="37">
        <v>2000000</v>
      </c>
      <c r="CB717" s="37">
        <v>20000000</v>
      </c>
      <c r="CC717" s="37">
        <v>0</v>
      </c>
      <c r="CD717" s="37">
        <v>0</v>
      </c>
      <c r="CE717" s="37">
        <v>0</v>
      </c>
      <c r="CF717" s="37">
        <v>0</v>
      </c>
      <c r="CG717" s="37">
        <v>0</v>
      </c>
      <c r="CH717" s="37">
        <v>0</v>
      </c>
      <c r="CI717" s="37">
        <v>0</v>
      </c>
      <c r="CJ717" s="37">
        <v>0</v>
      </c>
      <c r="CK717" s="37">
        <v>0</v>
      </c>
      <c r="CL717" s="37">
        <v>0</v>
      </c>
      <c r="CM717" s="37">
        <v>0</v>
      </c>
      <c r="CN717" s="37">
        <v>0</v>
      </c>
      <c r="CO717" s="37">
        <v>0</v>
      </c>
      <c r="CP717" s="37">
        <v>0</v>
      </c>
      <c r="CQ717" s="37">
        <v>0</v>
      </c>
      <c r="CR717" s="37">
        <v>0</v>
      </c>
      <c r="CS717" s="37">
        <v>0</v>
      </c>
      <c r="CT717" s="37">
        <v>0</v>
      </c>
      <c r="CU717" s="37">
        <v>0</v>
      </c>
      <c r="CV717" s="37">
        <v>0</v>
      </c>
      <c r="CW717" s="37">
        <v>0</v>
      </c>
      <c r="CX717" s="37">
        <v>0</v>
      </c>
      <c r="CY717" s="37">
        <v>0</v>
      </c>
      <c r="CZ717" s="37">
        <v>0</v>
      </c>
      <c r="DA717" s="37">
        <v>0</v>
      </c>
      <c r="DB717" s="37">
        <v>0</v>
      </c>
      <c r="DC717" s="37">
        <v>0</v>
      </c>
      <c r="DD717" s="37">
        <v>0</v>
      </c>
      <c r="DE717" s="37">
        <v>0</v>
      </c>
      <c r="DF717" s="37">
        <v>0</v>
      </c>
      <c r="DG717" s="37">
        <v>0</v>
      </c>
      <c r="DH717" s="37">
        <v>0</v>
      </c>
      <c r="DI717" s="37">
        <v>0</v>
      </c>
      <c r="DJ717" s="37">
        <v>0</v>
      </c>
      <c r="DK717" s="37">
        <v>0</v>
      </c>
      <c r="DL717" s="37">
        <v>0</v>
      </c>
      <c r="DM717" s="37">
        <v>43024</v>
      </c>
      <c r="DN717" s="37">
        <v>0</v>
      </c>
      <c r="DO717" s="37">
        <v>0</v>
      </c>
      <c r="DP717" s="37">
        <v>0</v>
      </c>
      <c r="DQ717" s="37">
        <v>0</v>
      </c>
      <c r="DR717" s="37">
        <v>0</v>
      </c>
      <c r="DS717" s="37">
        <v>0</v>
      </c>
      <c r="DT717" s="37">
        <v>0</v>
      </c>
      <c r="DU717" s="37">
        <v>0</v>
      </c>
      <c r="DV717" s="37">
        <v>0</v>
      </c>
      <c r="DW717" s="37">
        <v>0</v>
      </c>
      <c r="DX717" s="37">
        <v>0</v>
      </c>
      <c r="DY717" s="37">
        <v>0</v>
      </c>
      <c r="DZ717" s="37">
        <v>3690095</v>
      </c>
      <c r="EA717" s="37">
        <v>3898744</v>
      </c>
      <c r="EB717" s="37">
        <v>0</v>
      </c>
      <c r="EC717" s="37">
        <v>0</v>
      </c>
      <c r="ED717" s="37">
        <v>0</v>
      </c>
      <c r="EE717" s="37">
        <v>0</v>
      </c>
      <c r="EF717" s="37">
        <v>0</v>
      </c>
      <c r="EG717" s="37">
        <v>0</v>
      </c>
      <c r="EH717" s="37">
        <v>0</v>
      </c>
      <c r="EI717" s="37">
        <v>0</v>
      </c>
      <c r="EJ717" s="37">
        <v>7588839</v>
      </c>
      <c r="EK717" s="161" t="s">
        <v>1124</v>
      </c>
      <c r="EL717" s="294" t="s">
        <v>1124</v>
      </c>
    </row>
    <row r="718" spans="1:142" ht="15" customHeight="1" x14ac:dyDescent="0.35">
      <c r="A718" s="34"/>
      <c r="B718" s="313">
        <v>63060</v>
      </c>
      <c r="C718" s="8" t="s">
        <v>642</v>
      </c>
      <c r="D718" s="18">
        <v>14</v>
      </c>
      <c r="E718" s="155"/>
      <c r="F718" s="36"/>
      <c r="G718" s="37"/>
      <c r="H718" s="37"/>
      <c r="I718" s="37"/>
      <c r="J718" s="37"/>
      <c r="K718" s="37"/>
      <c r="L718" s="37"/>
      <c r="M718" s="37" t="s">
        <v>1124</v>
      </c>
      <c r="N718" s="37" t="s">
        <v>1124</v>
      </c>
      <c r="O718" s="37"/>
      <c r="P718" s="37"/>
      <c r="Q718" s="37"/>
      <c r="R718" s="37"/>
      <c r="S718" s="37"/>
      <c r="T718" s="37"/>
      <c r="U718" s="37"/>
      <c r="V718" s="37"/>
      <c r="W718" s="37"/>
      <c r="X718" s="37"/>
      <c r="Y718" s="37"/>
      <c r="Z718" s="37"/>
      <c r="AA718" s="37" t="s">
        <v>1124</v>
      </c>
      <c r="AB718" s="37" t="s">
        <v>1124</v>
      </c>
      <c r="AC718" s="37"/>
      <c r="AD718" s="37"/>
      <c r="AE718" s="37"/>
      <c r="AF718" s="168"/>
      <c r="AG718" s="37"/>
      <c r="AH718" s="37"/>
      <c r="AI718" s="37"/>
      <c r="AJ718" s="37"/>
      <c r="AK718" s="37"/>
      <c r="AL718" s="37"/>
      <c r="AM718" s="37"/>
      <c r="AN718" s="37"/>
      <c r="AO718" s="37"/>
      <c r="AP718" s="37"/>
      <c r="AQ718" s="37"/>
      <c r="AR718" s="37" t="s">
        <v>1124</v>
      </c>
      <c r="AS718" s="37"/>
      <c r="AT718" s="37"/>
      <c r="AU718" s="37"/>
      <c r="AV718" s="37"/>
      <c r="AW718" s="37"/>
      <c r="AX718" s="37"/>
      <c r="AY718" s="37"/>
      <c r="AZ718" s="37"/>
      <c r="BA718" s="37"/>
      <c r="BB718" s="37"/>
      <c r="BC718" s="37"/>
      <c r="BD718" s="37" t="s">
        <v>1124</v>
      </c>
      <c r="BE718" s="37"/>
      <c r="BF718" s="37"/>
      <c r="BG718" s="37"/>
      <c r="BH718" s="37"/>
      <c r="BI718" s="37"/>
      <c r="BJ718" s="37"/>
      <c r="BK718" s="37"/>
      <c r="BL718" s="37"/>
      <c r="BM718" s="37"/>
      <c r="BN718" s="37"/>
      <c r="BO718" s="37"/>
      <c r="BP718" s="37">
        <v>0</v>
      </c>
      <c r="BQ718" s="37"/>
      <c r="BR718" s="37"/>
      <c r="BS718" s="37"/>
      <c r="BT718" s="37"/>
      <c r="BU718" s="37"/>
      <c r="BV718" s="37"/>
      <c r="BW718" s="37"/>
      <c r="BX718" s="37"/>
      <c r="BY718" s="37"/>
      <c r="BZ718" s="37"/>
      <c r="CA718" s="37"/>
      <c r="CB718" s="37" t="s">
        <v>1124</v>
      </c>
      <c r="CC718" s="37"/>
      <c r="CD718" s="37"/>
      <c r="CE718" s="37"/>
      <c r="CF718" s="37"/>
      <c r="CG718" s="37"/>
      <c r="CH718" s="37"/>
      <c r="CI718" s="37"/>
      <c r="CJ718" s="37"/>
      <c r="CK718" s="37"/>
      <c r="CL718" s="37"/>
      <c r="CM718" s="37"/>
      <c r="CN718" s="37" t="s">
        <v>1124</v>
      </c>
      <c r="CO718" s="37"/>
      <c r="CP718" s="37"/>
      <c r="CQ718" s="37"/>
      <c r="CR718" s="37"/>
      <c r="CS718" s="37"/>
      <c r="CT718" s="37"/>
      <c r="CU718" s="37"/>
      <c r="CV718" s="37"/>
      <c r="CW718" s="37"/>
      <c r="CX718" s="37"/>
      <c r="CY718" s="37"/>
      <c r="CZ718" s="37" t="s">
        <v>1124</v>
      </c>
      <c r="DA718" s="37"/>
      <c r="DB718" s="37"/>
      <c r="DC718" s="37"/>
      <c r="DD718" s="37"/>
      <c r="DE718" s="37"/>
      <c r="DF718" s="37"/>
      <c r="DG718" s="37"/>
      <c r="DH718" s="37"/>
      <c r="DI718" s="37"/>
      <c r="DJ718" s="37"/>
      <c r="DK718" s="37"/>
      <c r="DL718" s="37" t="s">
        <v>1124</v>
      </c>
      <c r="DM718" s="37"/>
      <c r="DN718" s="37"/>
      <c r="DO718" s="37"/>
      <c r="DP718" s="37"/>
      <c r="DQ718" s="37"/>
      <c r="DR718" s="37"/>
      <c r="DS718" s="37"/>
      <c r="DT718" s="37"/>
      <c r="DU718" s="37"/>
      <c r="DV718" s="37"/>
      <c r="DW718" s="37"/>
      <c r="DX718" s="37" t="s">
        <v>1124</v>
      </c>
      <c r="DY718" s="37"/>
      <c r="DZ718" s="37"/>
      <c r="EA718" s="37"/>
      <c r="EB718" s="37"/>
      <c r="EC718" s="37"/>
      <c r="ED718" s="37"/>
      <c r="EE718" s="37"/>
      <c r="EF718" s="37"/>
      <c r="EG718" s="37"/>
      <c r="EH718" s="37"/>
      <c r="EI718" s="37"/>
      <c r="EJ718" s="37" t="s">
        <v>1124</v>
      </c>
      <c r="EK718" s="161"/>
      <c r="EL718" s="294"/>
    </row>
    <row r="719" spans="1:142" ht="15" customHeight="1" x14ac:dyDescent="0.35">
      <c r="A719" s="34"/>
      <c r="B719" s="313">
        <v>28045</v>
      </c>
      <c r="C719" s="8" t="s">
        <v>195</v>
      </c>
      <c r="D719" s="18">
        <v>12</v>
      </c>
      <c r="E719" s="155">
        <v>126442</v>
      </c>
      <c r="F719" s="36">
        <v>68760</v>
      </c>
      <c r="G719" s="37">
        <v>12684</v>
      </c>
      <c r="H719" s="37">
        <v>0</v>
      </c>
      <c r="I719" s="37">
        <v>41900</v>
      </c>
      <c r="J719" s="37">
        <v>0</v>
      </c>
      <c r="K719" s="37">
        <v>18966.3</v>
      </c>
      <c r="L719" s="37">
        <v>10314</v>
      </c>
      <c r="M719" s="37">
        <v>199992.3</v>
      </c>
      <c r="N719" s="37">
        <v>79074</v>
      </c>
      <c r="O719" s="37">
        <v>0</v>
      </c>
      <c r="P719" s="37">
        <v>0</v>
      </c>
      <c r="Q719" s="37">
        <v>180080</v>
      </c>
      <c r="R719" s="37">
        <v>68968</v>
      </c>
      <c r="S719" s="37">
        <v>20</v>
      </c>
      <c r="T719" s="37">
        <v>0</v>
      </c>
      <c r="U719" s="37">
        <v>0</v>
      </c>
      <c r="V719" s="37">
        <v>0</v>
      </c>
      <c r="W719" s="37">
        <v>14999.149999999994</v>
      </c>
      <c r="X719" s="37">
        <v>14999.149999999994</v>
      </c>
      <c r="Y719" s="37">
        <v>0</v>
      </c>
      <c r="Z719" s="37">
        <v>0</v>
      </c>
      <c r="AA719" s="37">
        <v>195099.15</v>
      </c>
      <c r="AB719" s="37">
        <v>83967.15</v>
      </c>
      <c r="AC719" s="37">
        <v>0</v>
      </c>
      <c r="AD719" s="37">
        <v>0</v>
      </c>
      <c r="AE719" s="37">
        <v>0</v>
      </c>
      <c r="AF719" s="168">
        <v>0.02</v>
      </c>
      <c r="AG719" s="37">
        <v>31465315.57</v>
      </c>
      <c r="AH719" s="37">
        <v>200121.86</v>
      </c>
      <c r="AI719" s="37">
        <v>230654.5</v>
      </c>
      <c r="AJ719" s="37">
        <v>202794.62</v>
      </c>
      <c r="AK719" s="37">
        <v>206850.51</v>
      </c>
      <c r="AL719" s="37">
        <v>210987.51999999999</v>
      </c>
      <c r="AM719" s="37">
        <v>215207.28</v>
      </c>
      <c r="AN719" s="37">
        <v>219511.42</v>
      </c>
      <c r="AO719" s="37">
        <v>223901.65</v>
      </c>
      <c r="AP719" s="37">
        <v>228379.68</v>
      </c>
      <c r="AQ719" s="37">
        <v>232947.28</v>
      </c>
      <c r="AR719" s="37">
        <v>2171356.3199999998</v>
      </c>
      <c r="AS719" s="37">
        <v>3566907.36</v>
      </c>
      <c r="AT719" s="37">
        <v>0</v>
      </c>
      <c r="AU719" s="37">
        <v>0</v>
      </c>
      <c r="AV719" s="37">
        <v>0</v>
      </c>
      <c r="AW719" s="37">
        <v>0</v>
      </c>
      <c r="AX719" s="37">
        <v>0</v>
      </c>
      <c r="AY719" s="37">
        <v>0</v>
      </c>
      <c r="AZ719" s="37">
        <v>0</v>
      </c>
      <c r="BA719" s="37">
        <v>0</v>
      </c>
      <c r="BB719" s="37">
        <v>0</v>
      </c>
      <c r="BC719" s="37">
        <v>0</v>
      </c>
      <c r="BD719" s="37">
        <v>0</v>
      </c>
      <c r="BE719" s="37">
        <v>904619</v>
      </c>
      <c r="BF719" s="37">
        <v>0</v>
      </c>
      <c r="BG719" s="37">
        <v>0</v>
      </c>
      <c r="BH719" s="37">
        <v>0</v>
      </c>
      <c r="BI719" s="37">
        <v>0</v>
      </c>
      <c r="BJ719" s="37">
        <v>0</v>
      </c>
      <c r="BK719" s="37">
        <v>0</v>
      </c>
      <c r="BL719" s="37">
        <v>0</v>
      </c>
      <c r="BM719" s="37">
        <v>0</v>
      </c>
      <c r="BN719" s="37">
        <v>0</v>
      </c>
      <c r="BO719" s="37">
        <v>0</v>
      </c>
      <c r="BP719" s="37">
        <v>0</v>
      </c>
      <c r="BQ719" s="37">
        <v>115000</v>
      </c>
      <c r="BR719" s="37">
        <v>0</v>
      </c>
      <c r="BS719" s="37">
        <v>0</v>
      </c>
      <c r="BT719" s="37">
        <v>0</v>
      </c>
      <c r="BU719" s="37">
        <v>0</v>
      </c>
      <c r="BV719" s="37">
        <v>0</v>
      </c>
      <c r="BW719" s="37">
        <v>0</v>
      </c>
      <c r="BX719" s="37">
        <v>0</v>
      </c>
      <c r="BY719" s="37">
        <v>0</v>
      </c>
      <c r="BZ719" s="37">
        <v>0</v>
      </c>
      <c r="CA719" s="37">
        <v>0</v>
      </c>
      <c r="CB719" s="37">
        <v>0</v>
      </c>
      <c r="CC719" s="37">
        <v>474055</v>
      </c>
      <c r="CD719" s="37">
        <v>0</v>
      </c>
      <c r="CE719" s="37">
        <v>0</v>
      </c>
      <c r="CF719" s="37">
        <v>0</v>
      </c>
      <c r="CG719" s="37">
        <v>0</v>
      </c>
      <c r="CH719" s="37">
        <v>0</v>
      </c>
      <c r="CI719" s="37">
        <v>0</v>
      </c>
      <c r="CJ719" s="37">
        <v>0</v>
      </c>
      <c r="CK719" s="37">
        <v>0</v>
      </c>
      <c r="CL719" s="37">
        <v>0</v>
      </c>
      <c r="CM719" s="37">
        <v>0</v>
      </c>
      <c r="CN719" s="37">
        <v>0</v>
      </c>
      <c r="CO719" s="37">
        <v>0</v>
      </c>
      <c r="CP719" s="37">
        <v>0</v>
      </c>
      <c r="CQ719" s="37">
        <v>0</v>
      </c>
      <c r="CR719" s="37">
        <v>0</v>
      </c>
      <c r="CS719" s="37">
        <v>0</v>
      </c>
      <c r="CT719" s="37">
        <v>0</v>
      </c>
      <c r="CU719" s="37">
        <v>0</v>
      </c>
      <c r="CV719" s="37">
        <v>0</v>
      </c>
      <c r="CW719" s="37">
        <v>0</v>
      </c>
      <c r="CX719" s="37">
        <v>0</v>
      </c>
      <c r="CY719" s="37">
        <v>0</v>
      </c>
      <c r="CZ719" s="37">
        <v>0</v>
      </c>
      <c r="DA719" s="37">
        <v>0</v>
      </c>
      <c r="DB719" s="37">
        <v>0</v>
      </c>
      <c r="DC719" s="37">
        <v>0</v>
      </c>
      <c r="DD719" s="37">
        <v>0</v>
      </c>
      <c r="DE719" s="37">
        <v>0</v>
      </c>
      <c r="DF719" s="37">
        <v>0</v>
      </c>
      <c r="DG719" s="37">
        <v>0</v>
      </c>
      <c r="DH719" s="37">
        <v>0</v>
      </c>
      <c r="DI719" s="37">
        <v>0</v>
      </c>
      <c r="DJ719" s="37">
        <v>0</v>
      </c>
      <c r="DK719" s="37">
        <v>0</v>
      </c>
      <c r="DL719" s="37">
        <v>0</v>
      </c>
      <c r="DM719" s="37">
        <v>0</v>
      </c>
      <c r="DN719" s="37">
        <v>0</v>
      </c>
      <c r="DO719" s="37">
        <v>0</v>
      </c>
      <c r="DP719" s="37">
        <v>0</v>
      </c>
      <c r="DQ719" s="37">
        <v>0</v>
      </c>
      <c r="DR719" s="37">
        <v>0</v>
      </c>
      <c r="DS719" s="37">
        <v>0</v>
      </c>
      <c r="DT719" s="37">
        <v>0</v>
      </c>
      <c r="DU719" s="37">
        <v>0</v>
      </c>
      <c r="DV719" s="37">
        <v>0</v>
      </c>
      <c r="DW719" s="37">
        <v>0</v>
      </c>
      <c r="DX719" s="37">
        <v>0</v>
      </c>
      <c r="DY719" s="37">
        <v>0</v>
      </c>
      <c r="DZ719" s="37">
        <v>0</v>
      </c>
      <c r="EA719" s="37">
        <v>0</v>
      </c>
      <c r="EB719" s="37">
        <v>0</v>
      </c>
      <c r="EC719" s="37">
        <v>0</v>
      </c>
      <c r="ED719" s="37">
        <v>0</v>
      </c>
      <c r="EE719" s="37">
        <v>0</v>
      </c>
      <c r="EF719" s="37">
        <v>0</v>
      </c>
      <c r="EG719" s="37">
        <v>0</v>
      </c>
      <c r="EH719" s="37">
        <v>0</v>
      </c>
      <c r="EI719" s="37">
        <v>0</v>
      </c>
      <c r="EJ719" s="37">
        <v>0</v>
      </c>
      <c r="EK719" s="161" t="s">
        <v>2909</v>
      </c>
      <c r="EL719" s="294" t="s">
        <v>1124</v>
      </c>
    </row>
    <row r="720" spans="1:142" ht="15" customHeight="1" x14ac:dyDescent="0.35">
      <c r="A720" s="34"/>
      <c r="B720" s="313">
        <v>71115</v>
      </c>
      <c r="C720" s="8" t="s">
        <v>723</v>
      </c>
      <c r="D720" s="18">
        <v>16</v>
      </c>
      <c r="E720" s="155"/>
      <c r="F720" s="36"/>
      <c r="G720" s="37"/>
      <c r="H720" s="37"/>
      <c r="I720" s="37"/>
      <c r="J720" s="37"/>
      <c r="K720" s="37"/>
      <c r="L720" s="37"/>
      <c r="M720" s="37" t="s">
        <v>1124</v>
      </c>
      <c r="N720" s="37" t="s">
        <v>1124</v>
      </c>
      <c r="O720" s="37"/>
      <c r="P720" s="37"/>
      <c r="Q720" s="37"/>
      <c r="R720" s="37"/>
      <c r="S720" s="37"/>
      <c r="T720" s="37"/>
      <c r="U720" s="37"/>
      <c r="V720" s="37"/>
      <c r="W720" s="37"/>
      <c r="X720" s="37"/>
      <c r="Y720" s="37"/>
      <c r="Z720" s="37"/>
      <c r="AA720" s="37" t="s">
        <v>1124</v>
      </c>
      <c r="AB720" s="37" t="s">
        <v>1124</v>
      </c>
      <c r="AC720" s="37"/>
      <c r="AD720" s="37"/>
      <c r="AE720" s="37"/>
      <c r="AF720" s="168"/>
      <c r="AG720" s="37"/>
      <c r="AH720" s="37"/>
      <c r="AI720" s="37"/>
      <c r="AJ720" s="37"/>
      <c r="AK720" s="37"/>
      <c r="AL720" s="37"/>
      <c r="AM720" s="37"/>
      <c r="AN720" s="37"/>
      <c r="AO720" s="37"/>
      <c r="AP720" s="37"/>
      <c r="AQ720" s="37"/>
      <c r="AR720" s="37" t="s">
        <v>1124</v>
      </c>
      <c r="AS720" s="37"/>
      <c r="AT720" s="37"/>
      <c r="AU720" s="37"/>
      <c r="AV720" s="37"/>
      <c r="AW720" s="37"/>
      <c r="AX720" s="37"/>
      <c r="AY720" s="37"/>
      <c r="AZ720" s="37"/>
      <c r="BA720" s="37"/>
      <c r="BB720" s="37"/>
      <c r="BC720" s="37"/>
      <c r="BD720" s="37" t="s">
        <v>1124</v>
      </c>
      <c r="BE720" s="37"/>
      <c r="BF720" s="37"/>
      <c r="BG720" s="37"/>
      <c r="BH720" s="37"/>
      <c r="BI720" s="37"/>
      <c r="BJ720" s="37"/>
      <c r="BK720" s="37"/>
      <c r="BL720" s="37"/>
      <c r="BM720" s="37"/>
      <c r="BN720" s="37"/>
      <c r="BO720" s="37"/>
      <c r="BP720" s="37">
        <v>0</v>
      </c>
      <c r="BQ720" s="37"/>
      <c r="BR720" s="37"/>
      <c r="BS720" s="37"/>
      <c r="BT720" s="37"/>
      <c r="BU720" s="37"/>
      <c r="BV720" s="37"/>
      <c r="BW720" s="37"/>
      <c r="BX720" s="37"/>
      <c r="BY720" s="37"/>
      <c r="BZ720" s="37"/>
      <c r="CA720" s="37"/>
      <c r="CB720" s="37" t="s">
        <v>1124</v>
      </c>
      <c r="CC720" s="37"/>
      <c r="CD720" s="37"/>
      <c r="CE720" s="37"/>
      <c r="CF720" s="37"/>
      <c r="CG720" s="37"/>
      <c r="CH720" s="37"/>
      <c r="CI720" s="37"/>
      <c r="CJ720" s="37"/>
      <c r="CK720" s="37"/>
      <c r="CL720" s="37"/>
      <c r="CM720" s="37"/>
      <c r="CN720" s="37" t="s">
        <v>1124</v>
      </c>
      <c r="CO720" s="37"/>
      <c r="CP720" s="37"/>
      <c r="CQ720" s="37"/>
      <c r="CR720" s="37"/>
      <c r="CS720" s="37"/>
      <c r="CT720" s="37"/>
      <c r="CU720" s="37"/>
      <c r="CV720" s="37"/>
      <c r="CW720" s="37"/>
      <c r="CX720" s="37"/>
      <c r="CY720" s="37"/>
      <c r="CZ720" s="37" t="s">
        <v>1124</v>
      </c>
      <c r="DA720" s="37"/>
      <c r="DB720" s="37"/>
      <c r="DC720" s="37"/>
      <c r="DD720" s="37"/>
      <c r="DE720" s="37"/>
      <c r="DF720" s="37"/>
      <c r="DG720" s="37"/>
      <c r="DH720" s="37"/>
      <c r="DI720" s="37"/>
      <c r="DJ720" s="37"/>
      <c r="DK720" s="37"/>
      <c r="DL720" s="37" t="s">
        <v>1124</v>
      </c>
      <c r="DM720" s="37"/>
      <c r="DN720" s="37"/>
      <c r="DO720" s="37"/>
      <c r="DP720" s="37"/>
      <c r="DQ720" s="37"/>
      <c r="DR720" s="37"/>
      <c r="DS720" s="37"/>
      <c r="DT720" s="37"/>
      <c r="DU720" s="37"/>
      <c r="DV720" s="37"/>
      <c r="DW720" s="37"/>
      <c r="DX720" s="37" t="s">
        <v>1124</v>
      </c>
      <c r="DY720" s="37"/>
      <c r="DZ720" s="37"/>
      <c r="EA720" s="37"/>
      <c r="EB720" s="37"/>
      <c r="EC720" s="37"/>
      <c r="ED720" s="37"/>
      <c r="EE720" s="37"/>
      <c r="EF720" s="37"/>
      <c r="EG720" s="37"/>
      <c r="EH720" s="37"/>
      <c r="EI720" s="37"/>
      <c r="EJ720" s="37" t="s">
        <v>1124</v>
      </c>
      <c r="EK720" s="161"/>
      <c r="EL720" s="294"/>
    </row>
    <row r="721" spans="1:142" ht="15" customHeight="1" x14ac:dyDescent="0.35">
      <c r="A721" s="34"/>
      <c r="B721" s="313">
        <v>51075</v>
      </c>
      <c r="C721" s="8" t="s">
        <v>511</v>
      </c>
      <c r="D721" s="18">
        <v>4</v>
      </c>
      <c r="E721" s="155"/>
      <c r="F721" s="36"/>
      <c r="G721" s="37"/>
      <c r="H721" s="37"/>
      <c r="I721" s="37"/>
      <c r="J721" s="37"/>
      <c r="K721" s="37"/>
      <c r="L721" s="37"/>
      <c r="M721" s="37" t="s">
        <v>1124</v>
      </c>
      <c r="N721" s="37" t="s">
        <v>1124</v>
      </c>
      <c r="O721" s="37"/>
      <c r="P721" s="37"/>
      <c r="Q721" s="37"/>
      <c r="R721" s="37"/>
      <c r="S721" s="37"/>
      <c r="T721" s="37"/>
      <c r="U721" s="37"/>
      <c r="V721" s="37"/>
      <c r="W721" s="37"/>
      <c r="X721" s="37"/>
      <c r="Y721" s="37"/>
      <c r="Z721" s="37"/>
      <c r="AA721" s="37" t="s">
        <v>1124</v>
      </c>
      <c r="AB721" s="37" t="s">
        <v>1124</v>
      </c>
      <c r="AC721" s="37"/>
      <c r="AD721" s="37"/>
      <c r="AE721" s="37"/>
      <c r="AF721" s="168"/>
      <c r="AG721" s="37"/>
      <c r="AH721" s="37"/>
      <c r="AI721" s="37"/>
      <c r="AJ721" s="37"/>
      <c r="AK721" s="37"/>
      <c r="AL721" s="37"/>
      <c r="AM721" s="37"/>
      <c r="AN721" s="37"/>
      <c r="AO721" s="37"/>
      <c r="AP721" s="37"/>
      <c r="AQ721" s="37"/>
      <c r="AR721" s="37" t="s">
        <v>1124</v>
      </c>
      <c r="AS721" s="37"/>
      <c r="AT721" s="37"/>
      <c r="AU721" s="37"/>
      <c r="AV721" s="37"/>
      <c r="AW721" s="37"/>
      <c r="AX721" s="37"/>
      <c r="AY721" s="37"/>
      <c r="AZ721" s="37"/>
      <c r="BA721" s="37"/>
      <c r="BB721" s="37"/>
      <c r="BC721" s="37"/>
      <c r="BD721" s="37" t="s">
        <v>1124</v>
      </c>
      <c r="BE721" s="37"/>
      <c r="BF721" s="37"/>
      <c r="BG721" s="37"/>
      <c r="BH721" s="37"/>
      <c r="BI721" s="37"/>
      <c r="BJ721" s="37"/>
      <c r="BK721" s="37"/>
      <c r="BL721" s="37"/>
      <c r="BM721" s="37"/>
      <c r="BN721" s="37"/>
      <c r="BO721" s="37"/>
      <c r="BP721" s="37">
        <v>0</v>
      </c>
      <c r="BQ721" s="37"/>
      <c r="BR721" s="37"/>
      <c r="BS721" s="37"/>
      <c r="BT721" s="37"/>
      <c r="BU721" s="37"/>
      <c r="BV721" s="37"/>
      <c r="BW721" s="37"/>
      <c r="BX721" s="37"/>
      <c r="BY721" s="37"/>
      <c r="BZ721" s="37"/>
      <c r="CA721" s="37"/>
      <c r="CB721" s="37" t="s">
        <v>1124</v>
      </c>
      <c r="CC721" s="37"/>
      <c r="CD721" s="37"/>
      <c r="CE721" s="37"/>
      <c r="CF721" s="37"/>
      <c r="CG721" s="37"/>
      <c r="CH721" s="37"/>
      <c r="CI721" s="37"/>
      <c r="CJ721" s="37"/>
      <c r="CK721" s="37"/>
      <c r="CL721" s="37"/>
      <c r="CM721" s="37"/>
      <c r="CN721" s="37" t="s">
        <v>1124</v>
      </c>
      <c r="CO721" s="37"/>
      <c r="CP721" s="37"/>
      <c r="CQ721" s="37"/>
      <c r="CR721" s="37"/>
      <c r="CS721" s="37"/>
      <c r="CT721" s="37"/>
      <c r="CU721" s="37"/>
      <c r="CV721" s="37"/>
      <c r="CW721" s="37"/>
      <c r="CX721" s="37"/>
      <c r="CY721" s="37"/>
      <c r="CZ721" s="37" t="s">
        <v>1124</v>
      </c>
      <c r="DA721" s="37"/>
      <c r="DB721" s="37"/>
      <c r="DC721" s="37"/>
      <c r="DD721" s="37"/>
      <c r="DE721" s="37"/>
      <c r="DF721" s="37"/>
      <c r="DG721" s="37"/>
      <c r="DH721" s="37"/>
      <c r="DI721" s="37"/>
      <c r="DJ721" s="37"/>
      <c r="DK721" s="37"/>
      <c r="DL721" s="37" t="s">
        <v>1124</v>
      </c>
      <c r="DM721" s="37"/>
      <c r="DN721" s="37"/>
      <c r="DO721" s="37"/>
      <c r="DP721" s="37"/>
      <c r="DQ721" s="37"/>
      <c r="DR721" s="37"/>
      <c r="DS721" s="37"/>
      <c r="DT721" s="37"/>
      <c r="DU721" s="37"/>
      <c r="DV721" s="37"/>
      <c r="DW721" s="37"/>
      <c r="DX721" s="37" t="s">
        <v>1124</v>
      </c>
      <c r="DY721" s="37"/>
      <c r="DZ721" s="37"/>
      <c r="EA721" s="37"/>
      <c r="EB721" s="37"/>
      <c r="EC721" s="37"/>
      <c r="ED721" s="37"/>
      <c r="EE721" s="37"/>
      <c r="EF721" s="37"/>
      <c r="EG721" s="37"/>
      <c r="EH721" s="37"/>
      <c r="EI721" s="37"/>
      <c r="EJ721" s="37" t="s">
        <v>1124</v>
      </c>
      <c r="EK721" s="161"/>
      <c r="EL721" s="294"/>
    </row>
    <row r="722" spans="1:142" ht="15" customHeight="1" x14ac:dyDescent="0.35">
      <c r="A722" s="34"/>
      <c r="B722" s="313">
        <v>11035</v>
      </c>
      <c r="C722" s="8" t="s">
        <v>23</v>
      </c>
      <c r="D722" s="18">
        <v>1</v>
      </c>
      <c r="E722" s="155"/>
      <c r="F722" s="36"/>
      <c r="G722" s="37"/>
      <c r="H722" s="37"/>
      <c r="I722" s="37"/>
      <c r="J722" s="37"/>
      <c r="K722" s="37"/>
      <c r="L722" s="37"/>
      <c r="M722" s="37" t="s">
        <v>1124</v>
      </c>
      <c r="N722" s="37" t="s">
        <v>1124</v>
      </c>
      <c r="O722" s="37"/>
      <c r="P722" s="37"/>
      <c r="Q722" s="37"/>
      <c r="R722" s="37"/>
      <c r="S722" s="37"/>
      <c r="T722" s="37"/>
      <c r="U722" s="37"/>
      <c r="V722" s="37"/>
      <c r="W722" s="37"/>
      <c r="X722" s="37"/>
      <c r="Y722" s="37"/>
      <c r="Z722" s="37"/>
      <c r="AA722" s="37" t="s">
        <v>1124</v>
      </c>
      <c r="AB722" s="37" t="s">
        <v>1124</v>
      </c>
      <c r="AC722" s="37"/>
      <c r="AD722" s="37"/>
      <c r="AE722" s="37"/>
      <c r="AF722" s="168"/>
      <c r="AG722" s="37"/>
      <c r="AH722" s="37"/>
      <c r="AI722" s="37"/>
      <c r="AJ722" s="37"/>
      <c r="AK722" s="37"/>
      <c r="AL722" s="37"/>
      <c r="AM722" s="37"/>
      <c r="AN722" s="37"/>
      <c r="AO722" s="37"/>
      <c r="AP722" s="37"/>
      <c r="AQ722" s="37"/>
      <c r="AR722" s="37" t="s">
        <v>1124</v>
      </c>
      <c r="AS722" s="37"/>
      <c r="AT722" s="37"/>
      <c r="AU722" s="37"/>
      <c r="AV722" s="37"/>
      <c r="AW722" s="37"/>
      <c r="AX722" s="37"/>
      <c r="AY722" s="37"/>
      <c r="AZ722" s="37"/>
      <c r="BA722" s="37"/>
      <c r="BB722" s="37"/>
      <c r="BC722" s="37"/>
      <c r="BD722" s="37" t="s">
        <v>1124</v>
      </c>
      <c r="BE722" s="37"/>
      <c r="BF722" s="37"/>
      <c r="BG722" s="37"/>
      <c r="BH722" s="37"/>
      <c r="BI722" s="37"/>
      <c r="BJ722" s="37"/>
      <c r="BK722" s="37"/>
      <c r="BL722" s="37"/>
      <c r="BM722" s="37"/>
      <c r="BN722" s="37"/>
      <c r="BO722" s="37"/>
      <c r="BP722" s="37">
        <v>0</v>
      </c>
      <c r="BQ722" s="37"/>
      <c r="BR722" s="37"/>
      <c r="BS722" s="37"/>
      <c r="BT722" s="37"/>
      <c r="BU722" s="37"/>
      <c r="BV722" s="37"/>
      <c r="BW722" s="37"/>
      <c r="BX722" s="37"/>
      <c r="BY722" s="37"/>
      <c r="BZ722" s="37"/>
      <c r="CA722" s="37"/>
      <c r="CB722" s="37" t="s">
        <v>1124</v>
      </c>
      <c r="CC722" s="37"/>
      <c r="CD722" s="37"/>
      <c r="CE722" s="37"/>
      <c r="CF722" s="37"/>
      <c r="CG722" s="37"/>
      <c r="CH722" s="37"/>
      <c r="CI722" s="37"/>
      <c r="CJ722" s="37"/>
      <c r="CK722" s="37"/>
      <c r="CL722" s="37"/>
      <c r="CM722" s="37"/>
      <c r="CN722" s="37" t="s">
        <v>1124</v>
      </c>
      <c r="CO722" s="37"/>
      <c r="CP722" s="37"/>
      <c r="CQ722" s="37"/>
      <c r="CR722" s="37"/>
      <c r="CS722" s="37"/>
      <c r="CT722" s="37"/>
      <c r="CU722" s="37"/>
      <c r="CV722" s="37"/>
      <c r="CW722" s="37"/>
      <c r="CX722" s="37"/>
      <c r="CY722" s="37"/>
      <c r="CZ722" s="37" t="s">
        <v>1124</v>
      </c>
      <c r="DA722" s="37"/>
      <c r="DB722" s="37"/>
      <c r="DC722" s="37"/>
      <c r="DD722" s="37"/>
      <c r="DE722" s="37"/>
      <c r="DF722" s="37"/>
      <c r="DG722" s="37"/>
      <c r="DH722" s="37"/>
      <c r="DI722" s="37"/>
      <c r="DJ722" s="37"/>
      <c r="DK722" s="37"/>
      <c r="DL722" s="37" t="s">
        <v>1124</v>
      </c>
      <c r="DM722" s="37"/>
      <c r="DN722" s="37"/>
      <c r="DO722" s="37"/>
      <c r="DP722" s="37"/>
      <c r="DQ722" s="37"/>
      <c r="DR722" s="37"/>
      <c r="DS722" s="37"/>
      <c r="DT722" s="37"/>
      <c r="DU722" s="37"/>
      <c r="DV722" s="37"/>
      <c r="DW722" s="37"/>
      <c r="DX722" s="37" t="s">
        <v>1124</v>
      </c>
      <c r="DY722" s="37"/>
      <c r="DZ722" s="37"/>
      <c r="EA722" s="37"/>
      <c r="EB722" s="37"/>
      <c r="EC722" s="37"/>
      <c r="ED722" s="37"/>
      <c r="EE722" s="37"/>
      <c r="EF722" s="37"/>
      <c r="EG722" s="37"/>
      <c r="EH722" s="37"/>
      <c r="EI722" s="37"/>
      <c r="EJ722" s="37" t="s">
        <v>1124</v>
      </c>
      <c r="EK722" s="161"/>
      <c r="EL722" s="294"/>
    </row>
    <row r="723" spans="1:142" ht="15" customHeight="1" x14ac:dyDescent="0.35">
      <c r="A723" s="34"/>
      <c r="B723" s="313">
        <v>17060</v>
      </c>
      <c r="C723" s="8" t="s">
        <v>100</v>
      </c>
      <c r="D723" s="18">
        <v>12</v>
      </c>
      <c r="E723" s="155">
        <v>48846</v>
      </c>
      <c r="F723" s="36">
        <v>21799</v>
      </c>
      <c r="G723" s="37">
        <v>4755</v>
      </c>
      <c r="H723" s="37">
        <v>4754</v>
      </c>
      <c r="I723" s="37">
        <v>58300</v>
      </c>
      <c r="J723" s="37">
        <v>58300</v>
      </c>
      <c r="K723" s="37">
        <v>7326.9</v>
      </c>
      <c r="L723" s="37">
        <v>3269.85</v>
      </c>
      <c r="M723" s="37">
        <v>119227.9</v>
      </c>
      <c r="N723" s="37">
        <v>88122.85</v>
      </c>
      <c r="O723" s="37">
        <v>0</v>
      </c>
      <c r="P723" s="37">
        <v>0</v>
      </c>
      <c r="Q723" s="37">
        <v>29735</v>
      </c>
      <c r="R723" s="37">
        <v>44530</v>
      </c>
      <c r="S723" s="37">
        <v>0</v>
      </c>
      <c r="T723" s="37">
        <v>0</v>
      </c>
      <c r="U723" s="37">
        <v>0</v>
      </c>
      <c r="V723" s="37">
        <v>0</v>
      </c>
      <c r="W723" s="37">
        <v>89493</v>
      </c>
      <c r="X723" s="37">
        <v>43593</v>
      </c>
      <c r="Y723" s="37">
        <v>0</v>
      </c>
      <c r="Z723" s="37">
        <v>0</v>
      </c>
      <c r="AA723" s="37">
        <v>119228</v>
      </c>
      <c r="AB723" s="37">
        <v>88123</v>
      </c>
      <c r="AC723" s="37">
        <v>0</v>
      </c>
      <c r="AD723" s="37">
        <v>0</v>
      </c>
      <c r="AE723" s="37">
        <v>0</v>
      </c>
      <c r="AF723" s="168">
        <v>0.02</v>
      </c>
      <c r="AG723" s="37">
        <v>9436847.0999999996</v>
      </c>
      <c r="AH723" s="37">
        <v>61000.07</v>
      </c>
      <c r="AI723" s="37">
        <v>51945.08</v>
      </c>
      <c r="AJ723" s="37">
        <v>52983.98</v>
      </c>
      <c r="AK723" s="37">
        <v>54043.66</v>
      </c>
      <c r="AL723" s="37">
        <v>55124.53</v>
      </c>
      <c r="AM723" s="37">
        <v>56227.03</v>
      </c>
      <c r="AN723" s="37">
        <v>57351.57</v>
      </c>
      <c r="AO723" s="37">
        <v>58498.6</v>
      </c>
      <c r="AP723" s="37">
        <v>59668.57</v>
      </c>
      <c r="AQ723" s="37">
        <v>60861.94</v>
      </c>
      <c r="AR723" s="37">
        <v>567705.03</v>
      </c>
      <c r="AS723" s="37">
        <v>206554.08</v>
      </c>
      <c r="AT723" s="37">
        <v>0</v>
      </c>
      <c r="AU723" s="37">
        <v>0</v>
      </c>
      <c r="AV723" s="37">
        <v>0</v>
      </c>
      <c r="AW723" s="37">
        <v>0</v>
      </c>
      <c r="AX723" s="37">
        <v>0</v>
      </c>
      <c r="AY723" s="37">
        <v>0</v>
      </c>
      <c r="AZ723" s="37">
        <v>0</v>
      </c>
      <c r="BA723" s="37">
        <v>0</v>
      </c>
      <c r="BB723" s="37">
        <v>0</v>
      </c>
      <c r="BC723" s="37">
        <v>0</v>
      </c>
      <c r="BD723" s="37">
        <v>0</v>
      </c>
      <c r="BE723" s="37">
        <v>0</v>
      </c>
      <c r="BF723" s="37">
        <v>0</v>
      </c>
      <c r="BG723" s="37">
        <v>0</v>
      </c>
      <c r="BH723" s="37">
        <v>0</v>
      </c>
      <c r="BI723" s="37">
        <v>0</v>
      </c>
      <c r="BJ723" s="37">
        <v>0</v>
      </c>
      <c r="BK723" s="37">
        <v>0</v>
      </c>
      <c r="BL723" s="37">
        <v>0</v>
      </c>
      <c r="BM723" s="37">
        <v>0</v>
      </c>
      <c r="BN723" s="37">
        <v>0</v>
      </c>
      <c r="BO723" s="37">
        <v>0</v>
      </c>
      <c r="BP723" s="37">
        <v>0</v>
      </c>
      <c r="BQ723" s="37">
        <v>0</v>
      </c>
      <c r="BR723" s="37">
        <v>0</v>
      </c>
      <c r="BS723" s="37">
        <v>0</v>
      </c>
      <c r="BT723" s="37">
        <v>0</v>
      </c>
      <c r="BU723" s="37">
        <v>0</v>
      </c>
      <c r="BV723" s="37">
        <v>0</v>
      </c>
      <c r="BW723" s="37">
        <v>0</v>
      </c>
      <c r="BX723" s="37">
        <v>0</v>
      </c>
      <c r="BY723" s="37">
        <v>0</v>
      </c>
      <c r="BZ723" s="37">
        <v>0</v>
      </c>
      <c r="CA723" s="37">
        <v>0</v>
      </c>
      <c r="CB723" s="37">
        <v>0</v>
      </c>
      <c r="CC723" s="37">
        <v>0</v>
      </c>
      <c r="CD723" s="37">
        <v>0</v>
      </c>
      <c r="CE723" s="37">
        <v>0</v>
      </c>
      <c r="CF723" s="37">
        <v>0</v>
      </c>
      <c r="CG723" s="37">
        <v>0</v>
      </c>
      <c r="CH723" s="37">
        <v>0</v>
      </c>
      <c r="CI723" s="37">
        <v>0</v>
      </c>
      <c r="CJ723" s="37">
        <v>0</v>
      </c>
      <c r="CK723" s="37">
        <v>0</v>
      </c>
      <c r="CL723" s="37">
        <v>0</v>
      </c>
      <c r="CM723" s="37">
        <v>0</v>
      </c>
      <c r="CN723" s="37">
        <v>0</v>
      </c>
      <c r="CO723" s="37">
        <v>468272</v>
      </c>
      <c r="CP723" s="37">
        <v>0</v>
      </c>
      <c r="CQ723" s="37">
        <v>0</v>
      </c>
      <c r="CR723" s="37">
        <v>0</v>
      </c>
      <c r="CS723" s="37">
        <v>0</v>
      </c>
      <c r="CT723" s="37">
        <v>0</v>
      </c>
      <c r="CU723" s="37">
        <v>0</v>
      </c>
      <c r="CV723" s="37">
        <v>0</v>
      </c>
      <c r="CW723" s="37">
        <v>0</v>
      </c>
      <c r="CX723" s="37">
        <v>0</v>
      </c>
      <c r="CY723" s="37">
        <v>0</v>
      </c>
      <c r="CZ723" s="37">
        <v>0</v>
      </c>
      <c r="DA723" s="37">
        <v>0</v>
      </c>
      <c r="DB723" s="37">
        <v>0</v>
      </c>
      <c r="DC723" s="37">
        <v>0</v>
      </c>
      <c r="DD723" s="37">
        <v>0</v>
      </c>
      <c r="DE723" s="37">
        <v>0</v>
      </c>
      <c r="DF723" s="37">
        <v>0</v>
      </c>
      <c r="DG723" s="37">
        <v>0</v>
      </c>
      <c r="DH723" s="37">
        <v>0</v>
      </c>
      <c r="DI723" s="37">
        <v>0</v>
      </c>
      <c r="DJ723" s="37">
        <v>0</v>
      </c>
      <c r="DK723" s="37">
        <v>0</v>
      </c>
      <c r="DL723" s="37">
        <v>0</v>
      </c>
      <c r="DM723" s="37">
        <v>0</v>
      </c>
      <c r="DN723" s="37">
        <v>0</v>
      </c>
      <c r="DO723" s="37">
        <v>0</v>
      </c>
      <c r="DP723" s="37">
        <v>0</v>
      </c>
      <c r="DQ723" s="37">
        <v>0</v>
      </c>
      <c r="DR723" s="37">
        <v>0</v>
      </c>
      <c r="DS723" s="37">
        <v>0</v>
      </c>
      <c r="DT723" s="37">
        <v>0</v>
      </c>
      <c r="DU723" s="37">
        <v>0</v>
      </c>
      <c r="DV723" s="37">
        <v>0</v>
      </c>
      <c r="DW723" s="37">
        <v>0</v>
      </c>
      <c r="DX723" s="37">
        <v>0</v>
      </c>
      <c r="DY723" s="37">
        <v>0</v>
      </c>
      <c r="DZ723" s="37">
        <v>0</v>
      </c>
      <c r="EA723" s="37">
        <v>0</v>
      </c>
      <c r="EB723" s="37">
        <v>0</v>
      </c>
      <c r="EC723" s="37">
        <v>0</v>
      </c>
      <c r="ED723" s="37">
        <v>0</v>
      </c>
      <c r="EE723" s="37">
        <v>0</v>
      </c>
      <c r="EF723" s="37">
        <v>0</v>
      </c>
      <c r="EG723" s="37">
        <v>0</v>
      </c>
      <c r="EH723" s="37">
        <v>0</v>
      </c>
      <c r="EI723" s="37">
        <v>0</v>
      </c>
      <c r="EJ723" s="37">
        <v>0</v>
      </c>
      <c r="EK723" s="161" t="s">
        <v>2914</v>
      </c>
      <c r="EL723" s="294" t="s">
        <v>1124</v>
      </c>
    </row>
    <row r="724" spans="1:142" ht="15" customHeight="1" x14ac:dyDescent="0.35">
      <c r="A724" s="34"/>
      <c r="B724" s="313">
        <v>50095</v>
      </c>
      <c r="C724" s="8" t="s">
        <v>494</v>
      </c>
      <c r="D724" s="18">
        <v>17</v>
      </c>
      <c r="E724" s="155"/>
      <c r="F724" s="36"/>
      <c r="G724" s="37"/>
      <c r="H724" s="37"/>
      <c r="I724" s="37"/>
      <c r="J724" s="37"/>
      <c r="K724" s="37"/>
      <c r="L724" s="37"/>
      <c r="M724" s="37" t="s">
        <v>1124</v>
      </c>
      <c r="N724" s="37" t="s">
        <v>1124</v>
      </c>
      <c r="O724" s="37"/>
      <c r="P724" s="37"/>
      <c r="Q724" s="37"/>
      <c r="R724" s="37"/>
      <c r="S724" s="37"/>
      <c r="T724" s="37"/>
      <c r="U724" s="37"/>
      <c r="V724" s="37"/>
      <c r="W724" s="37"/>
      <c r="X724" s="37"/>
      <c r="Y724" s="37"/>
      <c r="Z724" s="37"/>
      <c r="AA724" s="37" t="s">
        <v>1124</v>
      </c>
      <c r="AB724" s="37" t="s">
        <v>1124</v>
      </c>
      <c r="AC724" s="37"/>
      <c r="AD724" s="37"/>
      <c r="AE724" s="37"/>
      <c r="AF724" s="168"/>
      <c r="AG724" s="37"/>
      <c r="AH724" s="37"/>
      <c r="AI724" s="37"/>
      <c r="AJ724" s="37"/>
      <c r="AK724" s="37"/>
      <c r="AL724" s="37"/>
      <c r="AM724" s="37"/>
      <c r="AN724" s="37"/>
      <c r="AO724" s="37"/>
      <c r="AP724" s="37"/>
      <c r="AQ724" s="37"/>
      <c r="AR724" s="37" t="s">
        <v>1124</v>
      </c>
      <c r="AS724" s="37"/>
      <c r="AT724" s="37"/>
      <c r="AU724" s="37"/>
      <c r="AV724" s="37"/>
      <c r="AW724" s="37"/>
      <c r="AX724" s="37"/>
      <c r="AY724" s="37"/>
      <c r="AZ724" s="37"/>
      <c r="BA724" s="37"/>
      <c r="BB724" s="37"/>
      <c r="BC724" s="37"/>
      <c r="BD724" s="37" t="s">
        <v>1124</v>
      </c>
      <c r="BE724" s="37"/>
      <c r="BF724" s="37"/>
      <c r="BG724" s="37"/>
      <c r="BH724" s="37"/>
      <c r="BI724" s="37"/>
      <c r="BJ724" s="37"/>
      <c r="BK724" s="37"/>
      <c r="BL724" s="37"/>
      <c r="BM724" s="37"/>
      <c r="BN724" s="37"/>
      <c r="BO724" s="37"/>
      <c r="BP724" s="37">
        <v>0</v>
      </c>
      <c r="BQ724" s="37"/>
      <c r="BR724" s="37"/>
      <c r="BS724" s="37"/>
      <c r="BT724" s="37"/>
      <c r="BU724" s="37"/>
      <c r="BV724" s="37"/>
      <c r="BW724" s="37"/>
      <c r="BX724" s="37"/>
      <c r="BY724" s="37"/>
      <c r="BZ724" s="37"/>
      <c r="CA724" s="37"/>
      <c r="CB724" s="37" t="s">
        <v>1124</v>
      </c>
      <c r="CC724" s="37"/>
      <c r="CD724" s="37"/>
      <c r="CE724" s="37"/>
      <c r="CF724" s="37"/>
      <c r="CG724" s="37"/>
      <c r="CH724" s="37"/>
      <c r="CI724" s="37"/>
      <c r="CJ724" s="37"/>
      <c r="CK724" s="37"/>
      <c r="CL724" s="37"/>
      <c r="CM724" s="37"/>
      <c r="CN724" s="37" t="s">
        <v>1124</v>
      </c>
      <c r="CO724" s="37"/>
      <c r="CP724" s="37"/>
      <c r="CQ724" s="37"/>
      <c r="CR724" s="37"/>
      <c r="CS724" s="37"/>
      <c r="CT724" s="37"/>
      <c r="CU724" s="37"/>
      <c r="CV724" s="37"/>
      <c r="CW724" s="37"/>
      <c r="CX724" s="37"/>
      <c r="CY724" s="37"/>
      <c r="CZ724" s="37" t="s">
        <v>1124</v>
      </c>
      <c r="DA724" s="37"/>
      <c r="DB724" s="37"/>
      <c r="DC724" s="37"/>
      <c r="DD724" s="37"/>
      <c r="DE724" s="37"/>
      <c r="DF724" s="37"/>
      <c r="DG724" s="37"/>
      <c r="DH724" s="37"/>
      <c r="DI724" s="37"/>
      <c r="DJ724" s="37"/>
      <c r="DK724" s="37"/>
      <c r="DL724" s="37" t="s">
        <v>1124</v>
      </c>
      <c r="DM724" s="37"/>
      <c r="DN724" s="37"/>
      <c r="DO724" s="37"/>
      <c r="DP724" s="37"/>
      <c r="DQ724" s="37"/>
      <c r="DR724" s="37"/>
      <c r="DS724" s="37"/>
      <c r="DT724" s="37"/>
      <c r="DU724" s="37"/>
      <c r="DV724" s="37"/>
      <c r="DW724" s="37"/>
      <c r="DX724" s="37" t="s">
        <v>1124</v>
      </c>
      <c r="DY724" s="37"/>
      <c r="DZ724" s="37"/>
      <c r="EA724" s="37"/>
      <c r="EB724" s="37"/>
      <c r="EC724" s="37"/>
      <c r="ED724" s="37"/>
      <c r="EE724" s="37"/>
      <c r="EF724" s="37"/>
      <c r="EG724" s="37"/>
      <c r="EH724" s="37"/>
      <c r="EI724" s="37"/>
      <c r="EJ724" s="37" t="s">
        <v>1124</v>
      </c>
      <c r="EK724" s="161"/>
      <c r="EL724" s="294"/>
    </row>
    <row r="725" spans="1:142" ht="15" customHeight="1" x14ac:dyDescent="0.35">
      <c r="A725" s="34"/>
      <c r="B725" s="313">
        <v>9092</v>
      </c>
      <c r="C725" s="8" t="s">
        <v>1112</v>
      </c>
      <c r="D725" s="18">
        <v>1</v>
      </c>
      <c r="E725" s="155">
        <v>192744</v>
      </c>
      <c r="F725" s="36">
        <v>110265</v>
      </c>
      <c r="G725" s="37">
        <v>41219</v>
      </c>
      <c r="H725" s="37">
        <v>57622</v>
      </c>
      <c r="I725" s="37">
        <v>178824</v>
      </c>
      <c r="J725" s="37">
        <v>224964</v>
      </c>
      <c r="K725" s="37">
        <v>28912</v>
      </c>
      <c r="L725" s="37">
        <v>16540</v>
      </c>
      <c r="M725" s="37">
        <v>441699</v>
      </c>
      <c r="N725" s="37">
        <v>409391</v>
      </c>
      <c r="O725" s="37">
        <v>0</v>
      </c>
      <c r="P725" s="37">
        <v>0</v>
      </c>
      <c r="Q725" s="37">
        <v>209285</v>
      </c>
      <c r="R725" s="37">
        <v>147040</v>
      </c>
      <c r="S725" s="37">
        <v>0</v>
      </c>
      <c r="T725" s="37">
        <v>0</v>
      </c>
      <c r="U725" s="37">
        <v>36176</v>
      </c>
      <c r="V725" s="37">
        <v>37628</v>
      </c>
      <c r="W725" s="37">
        <v>196238</v>
      </c>
      <c r="X725" s="37">
        <v>224723</v>
      </c>
      <c r="Y725" s="37">
        <v>0</v>
      </c>
      <c r="Z725" s="37">
        <v>0</v>
      </c>
      <c r="AA725" s="37">
        <v>441699</v>
      </c>
      <c r="AB725" s="37">
        <v>409391</v>
      </c>
      <c r="AC725" s="37">
        <v>0</v>
      </c>
      <c r="AD725" s="37">
        <v>0</v>
      </c>
      <c r="AE725" s="37">
        <v>0</v>
      </c>
      <c r="AF725" s="168">
        <v>0.02</v>
      </c>
      <c r="AG725" s="37">
        <v>58010628.299999997</v>
      </c>
      <c r="AH725" s="37">
        <v>505019.34</v>
      </c>
      <c r="AI725" s="37">
        <v>515119.73</v>
      </c>
      <c r="AJ725" s="37">
        <v>525422.12</v>
      </c>
      <c r="AK725" s="37">
        <v>535930.56000000006</v>
      </c>
      <c r="AL725" s="37">
        <v>546649.18000000005</v>
      </c>
      <c r="AM725" s="37">
        <v>557582.16</v>
      </c>
      <c r="AN725" s="37">
        <v>568733.80000000005</v>
      </c>
      <c r="AO725" s="37">
        <v>580108.48</v>
      </c>
      <c r="AP725" s="37">
        <v>591710.65</v>
      </c>
      <c r="AQ725" s="37">
        <v>603544.86</v>
      </c>
      <c r="AR725" s="37">
        <v>5529820.8800000008</v>
      </c>
      <c r="AS725" s="37">
        <v>3295479.97</v>
      </c>
      <c r="AT725" s="37">
        <v>0</v>
      </c>
      <c r="AU725" s="37">
        <v>0</v>
      </c>
      <c r="AV725" s="37">
        <v>0</v>
      </c>
      <c r="AW725" s="37">
        <v>0</v>
      </c>
      <c r="AX725" s="37">
        <v>0</v>
      </c>
      <c r="AY725" s="37">
        <v>0</v>
      </c>
      <c r="AZ725" s="37">
        <v>0</v>
      </c>
      <c r="BA725" s="37">
        <v>0</v>
      </c>
      <c r="BB725" s="37">
        <v>0</v>
      </c>
      <c r="BC725" s="37">
        <v>0</v>
      </c>
      <c r="BD725" s="37">
        <v>0</v>
      </c>
      <c r="BE725" s="37">
        <v>500000</v>
      </c>
      <c r="BF725" s="37">
        <v>500000</v>
      </c>
      <c r="BG725" s="37">
        <v>1125000</v>
      </c>
      <c r="BH725" s="37">
        <v>0</v>
      </c>
      <c r="BI725" s="37">
        <v>0</v>
      </c>
      <c r="BJ725" s="37">
        <v>0</v>
      </c>
      <c r="BK725" s="37">
        <v>0</v>
      </c>
      <c r="BL725" s="37">
        <v>0</v>
      </c>
      <c r="BM725" s="37">
        <v>0</v>
      </c>
      <c r="BN725" s="37">
        <v>0</v>
      </c>
      <c r="BO725" s="37">
        <v>0</v>
      </c>
      <c r="BP725" s="37">
        <v>1625000</v>
      </c>
      <c r="BQ725" s="37">
        <v>500000</v>
      </c>
      <c r="BR725" s="37">
        <v>500000</v>
      </c>
      <c r="BS725" s="37">
        <v>375000</v>
      </c>
      <c r="BT725" s="37">
        <v>0</v>
      </c>
      <c r="BU725" s="37">
        <v>0</v>
      </c>
      <c r="BV725" s="37">
        <v>0</v>
      </c>
      <c r="BW725" s="37">
        <v>0</v>
      </c>
      <c r="BX725" s="37">
        <v>0</v>
      </c>
      <c r="BY725" s="37">
        <v>0</v>
      </c>
      <c r="BZ725" s="37">
        <v>0</v>
      </c>
      <c r="CA725" s="37">
        <v>0</v>
      </c>
      <c r="CB725" s="37">
        <v>875000</v>
      </c>
      <c r="CC725" s="37">
        <v>0</v>
      </c>
      <c r="CD725" s="37">
        <v>80000</v>
      </c>
      <c r="CE725" s="37">
        <v>0</v>
      </c>
      <c r="CF725" s="37">
        <v>0</v>
      </c>
      <c r="CG725" s="37">
        <v>0</v>
      </c>
      <c r="CH725" s="37">
        <v>0</v>
      </c>
      <c r="CI725" s="37">
        <v>0</v>
      </c>
      <c r="CJ725" s="37">
        <v>0</v>
      </c>
      <c r="CK725" s="37">
        <v>0</v>
      </c>
      <c r="CL725" s="37">
        <v>0</v>
      </c>
      <c r="CM725" s="37">
        <v>0</v>
      </c>
      <c r="CN725" s="37">
        <v>80000</v>
      </c>
      <c r="CO725" s="37">
        <v>0</v>
      </c>
      <c r="CP725" s="37">
        <v>0</v>
      </c>
      <c r="CQ725" s="37">
        <v>0</v>
      </c>
      <c r="CR725" s="37">
        <v>0</v>
      </c>
      <c r="CS725" s="37">
        <v>0</v>
      </c>
      <c r="CT725" s="37">
        <v>0</v>
      </c>
      <c r="CU725" s="37">
        <v>0</v>
      </c>
      <c r="CV725" s="37">
        <v>0</v>
      </c>
      <c r="CW725" s="37">
        <v>0</v>
      </c>
      <c r="CX725" s="37">
        <v>0</v>
      </c>
      <c r="CY725" s="37">
        <v>0</v>
      </c>
      <c r="CZ725" s="37">
        <v>0</v>
      </c>
      <c r="DA725" s="37">
        <v>0</v>
      </c>
      <c r="DB725" s="37">
        <v>0</v>
      </c>
      <c r="DC725" s="37">
        <v>0</v>
      </c>
      <c r="DD725" s="37">
        <v>0</v>
      </c>
      <c r="DE725" s="37">
        <v>0</v>
      </c>
      <c r="DF725" s="37">
        <v>0</v>
      </c>
      <c r="DG725" s="37">
        <v>0</v>
      </c>
      <c r="DH725" s="37">
        <v>0</v>
      </c>
      <c r="DI725" s="37">
        <v>0</v>
      </c>
      <c r="DJ725" s="37">
        <v>0</v>
      </c>
      <c r="DK725" s="37">
        <v>0</v>
      </c>
      <c r="DL725" s="37">
        <v>0</v>
      </c>
      <c r="DM725" s="37">
        <v>0</v>
      </c>
      <c r="DN725" s="37">
        <v>0</v>
      </c>
      <c r="DO725" s="37">
        <v>0</v>
      </c>
      <c r="DP725" s="37">
        <v>0</v>
      </c>
      <c r="DQ725" s="37">
        <v>0</v>
      </c>
      <c r="DR725" s="37">
        <v>0</v>
      </c>
      <c r="DS725" s="37">
        <v>0</v>
      </c>
      <c r="DT725" s="37">
        <v>0</v>
      </c>
      <c r="DU725" s="37">
        <v>0</v>
      </c>
      <c r="DV725" s="37">
        <v>0</v>
      </c>
      <c r="DW725" s="37">
        <v>0</v>
      </c>
      <c r="DX725" s="37">
        <v>0</v>
      </c>
      <c r="DY725" s="37">
        <v>0</v>
      </c>
      <c r="DZ725" s="37">
        <v>0</v>
      </c>
      <c r="EA725" s="37">
        <v>0</v>
      </c>
      <c r="EB725" s="37">
        <v>0</v>
      </c>
      <c r="EC725" s="37">
        <v>0</v>
      </c>
      <c r="ED725" s="37">
        <v>0</v>
      </c>
      <c r="EE725" s="37">
        <v>0</v>
      </c>
      <c r="EF725" s="37">
        <v>0</v>
      </c>
      <c r="EG725" s="37">
        <v>0</v>
      </c>
      <c r="EH725" s="37">
        <v>0</v>
      </c>
      <c r="EI725" s="37">
        <v>0</v>
      </c>
      <c r="EJ725" s="37">
        <v>0</v>
      </c>
      <c r="EK725" s="161" t="s">
        <v>2920</v>
      </c>
      <c r="EL725" s="294" t="s">
        <v>1124</v>
      </c>
    </row>
    <row r="726" spans="1:142" ht="15" customHeight="1" x14ac:dyDescent="0.35">
      <c r="A726" s="34"/>
      <c r="B726" s="313">
        <v>18020</v>
      </c>
      <c r="C726" s="8" t="s">
        <v>107</v>
      </c>
      <c r="D726" s="18">
        <v>12</v>
      </c>
      <c r="E726" s="155"/>
      <c r="F726" s="36"/>
      <c r="G726" s="37"/>
      <c r="H726" s="37"/>
      <c r="I726" s="37"/>
      <c r="J726" s="37"/>
      <c r="K726" s="37"/>
      <c r="L726" s="37"/>
      <c r="M726" s="37" t="s">
        <v>1124</v>
      </c>
      <c r="N726" s="37" t="s">
        <v>1124</v>
      </c>
      <c r="O726" s="37"/>
      <c r="P726" s="37"/>
      <c r="Q726" s="37"/>
      <c r="R726" s="37"/>
      <c r="S726" s="37"/>
      <c r="T726" s="37"/>
      <c r="U726" s="37"/>
      <c r="V726" s="37"/>
      <c r="W726" s="37"/>
      <c r="X726" s="37"/>
      <c r="Y726" s="37"/>
      <c r="Z726" s="37"/>
      <c r="AA726" s="37" t="s">
        <v>1124</v>
      </c>
      <c r="AB726" s="37" t="s">
        <v>1124</v>
      </c>
      <c r="AC726" s="37"/>
      <c r="AD726" s="37"/>
      <c r="AE726" s="37"/>
      <c r="AF726" s="168"/>
      <c r="AG726" s="37"/>
      <c r="AH726" s="37"/>
      <c r="AI726" s="37"/>
      <c r="AJ726" s="37"/>
      <c r="AK726" s="37"/>
      <c r="AL726" s="37"/>
      <c r="AM726" s="37"/>
      <c r="AN726" s="37"/>
      <c r="AO726" s="37"/>
      <c r="AP726" s="37"/>
      <c r="AQ726" s="37"/>
      <c r="AR726" s="37" t="s">
        <v>1124</v>
      </c>
      <c r="AS726" s="37"/>
      <c r="AT726" s="37"/>
      <c r="AU726" s="37"/>
      <c r="AV726" s="37"/>
      <c r="AW726" s="37"/>
      <c r="AX726" s="37"/>
      <c r="AY726" s="37"/>
      <c r="AZ726" s="37"/>
      <c r="BA726" s="37"/>
      <c r="BB726" s="37"/>
      <c r="BC726" s="37"/>
      <c r="BD726" s="37" t="s">
        <v>1124</v>
      </c>
      <c r="BE726" s="37"/>
      <c r="BF726" s="37"/>
      <c r="BG726" s="37"/>
      <c r="BH726" s="37"/>
      <c r="BI726" s="37"/>
      <c r="BJ726" s="37"/>
      <c r="BK726" s="37"/>
      <c r="BL726" s="37"/>
      <c r="BM726" s="37"/>
      <c r="BN726" s="37"/>
      <c r="BO726" s="37"/>
      <c r="BP726" s="37">
        <v>0</v>
      </c>
      <c r="BQ726" s="37"/>
      <c r="BR726" s="37"/>
      <c r="BS726" s="37"/>
      <c r="BT726" s="37"/>
      <c r="BU726" s="37"/>
      <c r="BV726" s="37"/>
      <c r="BW726" s="37"/>
      <c r="BX726" s="37"/>
      <c r="BY726" s="37"/>
      <c r="BZ726" s="37"/>
      <c r="CA726" s="37"/>
      <c r="CB726" s="37" t="s">
        <v>1124</v>
      </c>
      <c r="CC726" s="37"/>
      <c r="CD726" s="37"/>
      <c r="CE726" s="37"/>
      <c r="CF726" s="37"/>
      <c r="CG726" s="37"/>
      <c r="CH726" s="37"/>
      <c r="CI726" s="37"/>
      <c r="CJ726" s="37"/>
      <c r="CK726" s="37"/>
      <c r="CL726" s="37"/>
      <c r="CM726" s="37"/>
      <c r="CN726" s="37" t="s">
        <v>1124</v>
      </c>
      <c r="CO726" s="37"/>
      <c r="CP726" s="37"/>
      <c r="CQ726" s="37"/>
      <c r="CR726" s="37"/>
      <c r="CS726" s="37"/>
      <c r="CT726" s="37"/>
      <c r="CU726" s="37"/>
      <c r="CV726" s="37"/>
      <c r="CW726" s="37"/>
      <c r="CX726" s="37"/>
      <c r="CY726" s="37"/>
      <c r="CZ726" s="37" t="s">
        <v>1124</v>
      </c>
      <c r="DA726" s="37"/>
      <c r="DB726" s="37"/>
      <c r="DC726" s="37"/>
      <c r="DD726" s="37"/>
      <c r="DE726" s="37"/>
      <c r="DF726" s="37"/>
      <c r="DG726" s="37"/>
      <c r="DH726" s="37"/>
      <c r="DI726" s="37"/>
      <c r="DJ726" s="37"/>
      <c r="DK726" s="37"/>
      <c r="DL726" s="37" t="s">
        <v>1124</v>
      </c>
      <c r="DM726" s="37"/>
      <c r="DN726" s="37"/>
      <c r="DO726" s="37"/>
      <c r="DP726" s="37"/>
      <c r="DQ726" s="37"/>
      <c r="DR726" s="37"/>
      <c r="DS726" s="37"/>
      <c r="DT726" s="37"/>
      <c r="DU726" s="37"/>
      <c r="DV726" s="37"/>
      <c r="DW726" s="37"/>
      <c r="DX726" s="37" t="s">
        <v>1124</v>
      </c>
      <c r="DY726" s="37"/>
      <c r="DZ726" s="37"/>
      <c r="EA726" s="37"/>
      <c r="EB726" s="37"/>
      <c r="EC726" s="37"/>
      <c r="ED726" s="37"/>
      <c r="EE726" s="37"/>
      <c r="EF726" s="37"/>
      <c r="EG726" s="37"/>
      <c r="EH726" s="37"/>
      <c r="EI726" s="37"/>
      <c r="EJ726" s="37" t="s">
        <v>1124</v>
      </c>
      <c r="EK726" s="161"/>
      <c r="EL726" s="294"/>
    </row>
    <row r="727" spans="1:142" ht="15" customHeight="1" x14ac:dyDescent="0.35">
      <c r="A727" s="34"/>
      <c r="B727" s="313">
        <v>78020</v>
      </c>
      <c r="C727" s="8" t="s">
        <v>769</v>
      </c>
      <c r="D727" s="18">
        <v>15</v>
      </c>
      <c r="E727" s="155">
        <v>71891</v>
      </c>
      <c r="F727" s="36">
        <v>43758</v>
      </c>
      <c r="G727" s="37">
        <v>6348</v>
      </c>
      <c r="H727" s="37">
        <v>0</v>
      </c>
      <c r="I727" s="37">
        <v>76488</v>
      </c>
      <c r="J727" s="37">
        <v>53928</v>
      </c>
      <c r="K727" s="37">
        <v>10783</v>
      </c>
      <c r="L727" s="37">
        <v>6563</v>
      </c>
      <c r="M727" s="37">
        <v>165510</v>
      </c>
      <c r="N727" s="37">
        <v>104249</v>
      </c>
      <c r="O727" s="37">
        <v>0</v>
      </c>
      <c r="P727" s="37">
        <v>0</v>
      </c>
      <c r="Q727" s="37">
        <v>75521</v>
      </c>
      <c r="R727" s="37">
        <v>47700</v>
      </c>
      <c r="S727" s="37">
        <v>585</v>
      </c>
      <c r="T727" s="37">
        <v>0</v>
      </c>
      <c r="U727" s="37">
        <v>38026</v>
      </c>
      <c r="V727" s="37">
        <v>0</v>
      </c>
      <c r="W727" s="37">
        <v>82836</v>
      </c>
      <c r="X727" s="37">
        <v>53928</v>
      </c>
      <c r="Y727" s="37">
        <v>13900</v>
      </c>
      <c r="Z727" s="37">
        <v>30900</v>
      </c>
      <c r="AA727" s="37">
        <v>210868</v>
      </c>
      <c r="AB727" s="37">
        <v>132528</v>
      </c>
      <c r="AC727" s="37">
        <v>73637</v>
      </c>
      <c r="AD727" s="37">
        <v>21200</v>
      </c>
      <c r="AE727" s="37">
        <v>66000</v>
      </c>
      <c r="AF727" s="168">
        <v>0.02</v>
      </c>
      <c r="AG727" s="37">
        <v>16360510.73</v>
      </c>
      <c r="AH727" s="37">
        <v>197426.1</v>
      </c>
      <c r="AI727" s="37">
        <v>201374.62</v>
      </c>
      <c r="AJ727" s="37">
        <v>205402.11</v>
      </c>
      <c r="AK727" s="37">
        <v>209510.16</v>
      </c>
      <c r="AL727" s="37">
        <v>213700.36</v>
      </c>
      <c r="AM727" s="37">
        <v>217974.37</v>
      </c>
      <c r="AN727" s="37">
        <v>222333.85</v>
      </c>
      <c r="AO727" s="37">
        <v>226780.53</v>
      </c>
      <c r="AP727" s="37">
        <v>231316.14</v>
      </c>
      <c r="AQ727" s="37">
        <v>235942.47</v>
      </c>
      <c r="AR727" s="37">
        <v>2161760.7100000004</v>
      </c>
      <c r="AS727" s="37">
        <v>3839026</v>
      </c>
      <c r="AT727" s="37">
        <v>399787.29</v>
      </c>
      <c r="AU727" s="37">
        <v>0</v>
      </c>
      <c r="AV727" s="37">
        <v>0</v>
      </c>
      <c r="AW727" s="37">
        <v>0</v>
      </c>
      <c r="AX727" s="37">
        <v>0</v>
      </c>
      <c r="AY727" s="37">
        <v>0</v>
      </c>
      <c r="AZ727" s="37">
        <v>0</v>
      </c>
      <c r="BA727" s="37">
        <v>0</v>
      </c>
      <c r="BB727" s="37">
        <v>0</v>
      </c>
      <c r="BC727" s="37">
        <v>0</v>
      </c>
      <c r="BD727" s="37">
        <v>399787.29</v>
      </c>
      <c r="BE727" s="37">
        <v>0</v>
      </c>
      <c r="BF727" s="37">
        <v>0</v>
      </c>
      <c r="BG727" s="37">
        <v>0</v>
      </c>
      <c r="BH727" s="37">
        <v>0</v>
      </c>
      <c r="BI727" s="37">
        <v>0</v>
      </c>
      <c r="BJ727" s="37">
        <v>0</v>
      </c>
      <c r="BK727" s="37">
        <v>0</v>
      </c>
      <c r="BL727" s="37">
        <v>0</v>
      </c>
      <c r="BM727" s="37">
        <v>0</v>
      </c>
      <c r="BN727" s="37">
        <v>0</v>
      </c>
      <c r="BO727" s="37">
        <v>0</v>
      </c>
      <c r="BP727" s="37">
        <v>0</v>
      </c>
      <c r="BQ727" s="37">
        <v>0</v>
      </c>
      <c r="BR727" s="37">
        <v>0</v>
      </c>
      <c r="BS727" s="37">
        <v>0</v>
      </c>
      <c r="BT727" s="37">
        <v>0</v>
      </c>
      <c r="BU727" s="37">
        <v>0</v>
      </c>
      <c r="BV727" s="37">
        <v>0</v>
      </c>
      <c r="BW727" s="37">
        <v>0</v>
      </c>
      <c r="BX727" s="37">
        <v>0</v>
      </c>
      <c r="BY727" s="37">
        <v>0</v>
      </c>
      <c r="BZ727" s="37">
        <v>0</v>
      </c>
      <c r="CA727" s="37">
        <v>0</v>
      </c>
      <c r="CB727" s="37">
        <v>0</v>
      </c>
      <c r="CC727" s="37">
        <v>0</v>
      </c>
      <c r="CD727" s="37">
        <v>0</v>
      </c>
      <c r="CE727" s="37">
        <v>0</v>
      </c>
      <c r="CF727" s="37">
        <v>0</v>
      </c>
      <c r="CG727" s="37">
        <v>0</v>
      </c>
      <c r="CH727" s="37">
        <v>0</v>
      </c>
      <c r="CI727" s="37">
        <v>0</v>
      </c>
      <c r="CJ727" s="37">
        <v>0</v>
      </c>
      <c r="CK727" s="37">
        <v>0</v>
      </c>
      <c r="CL727" s="37">
        <v>0</v>
      </c>
      <c r="CM727" s="37">
        <v>0</v>
      </c>
      <c r="CN727" s="37">
        <v>0</v>
      </c>
      <c r="CO727" s="37">
        <v>0</v>
      </c>
      <c r="CP727" s="37">
        <v>344298</v>
      </c>
      <c r="CQ727" s="37">
        <v>0</v>
      </c>
      <c r="CR727" s="37">
        <v>0</v>
      </c>
      <c r="CS727" s="37">
        <v>0</v>
      </c>
      <c r="CT727" s="37">
        <v>0</v>
      </c>
      <c r="CU727" s="37">
        <v>0</v>
      </c>
      <c r="CV727" s="37">
        <v>0</v>
      </c>
      <c r="CW727" s="37">
        <v>0</v>
      </c>
      <c r="CX727" s="37">
        <v>0</v>
      </c>
      <c r="CY727" s="37">
        <v>0</v>
      </c>
      <c r="CZ727" s="37">
        <v>344298</v>
      </c>
      <c r="DA727" s="37">
        <v>0</v>
      </c>
      <c r="DB727" s="37">
        <v>47650.32</v>
      </c>
      <c r="DC727" s="37">
        <v>0</v>
      </c>
      <c r="DD727" s="37">
        <v>0</v>
      </c>
      <c r="DE727" s="37">
        <v>0</v>
      </c>
      <c r="DF727" s="37">
        <v>0</v>
      </c>
      <c r="DG727" s="37">
        <v>0</v>
      </c>
      <c r="DH727" s="37">
        <v>0</v>
      </c>
      <c r="DI727" s="37">
        <v>0</v>
      </c>
      <c r="DJ727" s="37">
        <v>0</v>
      </c>
      <c r="DK727" s="37">
        <v>0</v>
      </c>
      <c r="DL727" s="37">
        <v>47650.32</v>
      </c>
      <c r="DM727" s="37">
        <v>0</v>
      </c>
      <c r="DN727" s="37">
        <v>0</v>
      </c>
      <c r="DO727" s="37">
        <v>0</v>
      </c>
      <c r="DP727" s="37">
        <v>0</v>
      </c>
      <c r="DQ727" s="37">
        <v>0</v>
      </c>
      <c r="DR727" s="37">
        <v>0</v>
      </c>
      <c r="DS727" s="37">
        <v>0</v>
      </c>
      <c r="DT727" s="37">
        <v>0</v>
      </c>
      <c r="DU727" s="37">
        <v>0</v>
      </c>
      <c r="DV727" s="37">
        <v>0</v>
      </c>
      <c r="DW727" s="37">
        <v>0</v>
      </c>
      <c r="DX727" s="37">
        <v>0</v>
      </c>
      <c r="DY727" s="37">
        <v>0</v>
      </c>
      <c r="DZ727" s="37">
        <v>0</v>
      </c>
      <c r="EA727" s="37">
        <v>0</v>
      </c>
      <c r="EB727" s="37">
        <v>0</v>
      </c>
      <c r="EC727" s="37">
        <v>0</v>
      </c>
      <c r="ED727" s="37">
        <v>0</v>
      </c>
      <c r="EE727" s="37">
        <v>0</v>
      </c>
      <c r="EF727" s="37">
        <v>0</v>
      </c>
      <c r="EG727" s="37">
        <v>0</v>
      </c>
      <c r="EH727" s="37">
        <v>0</v>
      </c>
      <c r="EI727" s="37">
        <v>0</v>
      </c>
      <c r="EJ727" s="37">
        <v>0</v>
      </c>
      <c r="EK727" s="161" t="s">
        <v>4607</v>
      </c>
      <c r="EL727" s="294" t="s">
        <v>1124</v>
      </c>
    </row>
    <row r="728" spans="1:142" ht="15" customHeight="1" x14ac:dyDescent="0.35">
      <c r="A728" s="34"/>
      <c r="B728" s="313">
        <v>5050</v>
      </c>
      <c r="C728" s="8" t="s">
        <v>1051</v>
      </c>
      <c r="D728" s="18">
        <v>11</v>
      </c>
      <c r="E728" s="155">
        <v>40114</v>
      </c>
      <c r="F728" s="36">
        <v>24125</v>
      </c>
      <c r="G728" s="37">
        <v>776</v>
      </c>
      <c r="H728" s="37">
        <v>776</v>
      </c>
      <c r="I728" s="37">
        <v>3873</v>
      </c>
      <c r="J728" s="37">
        <v>3873</v>
      </c>
      <c r="K728" s="37">
        <v>6017</v>
      </c>
      <c r="L728" s="37">
        <v>3619</v>
      </c>
      <c r="M728" s="37">
        <v>50780</v>
      </c>
      <c r="N728" s="37">
        <v>32393</v>
      </c>
      <c r="O728" s="37">
        <v>0</v>
      </c>
      <c r="P728" s="37">
        <v>0</v>
      </c>
      <c r="Q728" s="37">
        <v>20738</v>
      </c>
      <c r="R728" s="37">
        <v>11213</v>
      </c>
      <c r="S728" s="37">
        <v>0</v>
      </c>
      <c r="T728" s="37">
        <v>0</v>
      </c>
      <c r="U728" s="37">
        <v>328</v>
      </c>
      <c r="V728" s="37">
        <v>0</v>
      </c>
      <c r="W728" s="37">
        <v>25447</v>
      </c>
      <c r="X728" s="37">
        <v>25447</v>
      </c>
      <c r="Y728" s="37">
        <v>0</v>
      </c>
      <c r="Z728" s="37">
        <v>0</v>
      </c>
      <c r="AA728" s="37">
        <v>46513</v>
      </c>
      <c r="AB728" s="37">
        <v>36660</v>
      </c>
      <c r="AC728" s="37">
        <v>0</v>
      </c>
      <c r="AD728" s="37">
        <v>0</v>
      </c>
      <c r="AE728" s="37">
        <v>0</v>
      </c>
      <c r="AF728" s="168">
        <v>0.02</v>
      </c>
      <c r="AG728" s="37">
        <v>5531646.7999999998</v>
      </c>
      <c r="AH728" s="37">
        <v>54722.54</v>
      </c>
      <c r="AI728" s="37">
        <v>55816.99</v>
      </c>
      <c r="AJ728" s="37">
        <v>56933.33</v>
      </c>
      <c r="AK728" s="37">
        <v>58071.99</v>
      </c>
      <c r="AL728" s="37">
        <v>59233.43</v>
      </c>
      <c r="AM728" s="37">
        <v>60418.1</v>
      </c>
      <c r="AN728" s="37">
        <v>61626.46</v>
      </c>
      <c r="AO728" s="37">
        <v>62858.99</v>
      </c>
      <c r="AP728" s="37">
        <v>64116.17</v>
      </c>
      <c r="AQ728" s="37">
        <v>65398.5</v>
      </c>
      <c r="AR728" s="37">
        <v>599196.5</v>
      </c>
      <c r="AS728" s="37">
        <v>0</v>
      </c>
      <c r="AT728" s="37">
        <v>0</v>
      </c>
      <c r="AU728" s="37">
        <v>1560600</v>
      </c>
      <c r="AV728" s="37">
        <v>0</v>
      </c>
      <c r="AW728" s="37">
        <v>0</v>
      </c>
      <c r="AX728" s="37">
        <v>0</v>
      </c>
      <c r="AY728" s="37">
        <v>0</v>
      </c>
      <c r="AZ728" s="37">
        <v>0</v>
      </c>
      <c r="BA728" s="37">
        <v>0</v>
      </c>
      <c r="BB728" s="37">
        <v>0</v>
      </c>
      <c r="BC728" s="37">
        <v>0</v>
      </c>
      <c r="BD728" s="37">
        <v>1560600</v>
      </c>
      <c r="BE728" s="37">
        <v>0</v>
      </c>
      <c r="BF728" s="37">
        <v>0</v>
      </c>
      <c r="BG728" s="37">
        <v>0</v>
      </c>
      <c r="BH728" s="37">
        <v>0</v>
      </c>
      <c r="BI728" s="37">
        <v>0</v>
      </c>
      <c r="BJ728" s="37">
        <v>0</v>
      </c>
      <c r="BK728" s="37">
        <v>0</v>
      </c>
      <c r="BL728" s="37">
        <v>0</v>
      </c>
      <c r="BM728" s="37">
        <v>0</v>
      </c>
      <c r="BN728" s="37">
        <v>0</v>
      </c>
      <c r="BO728" s="37">
        <v>0</v>
      </c>
      <c r="BP728" s="37">
        <v>0</v>
      </c>
      <c r="BQ728" s="37">
        <v>0</v>
      </c>
      <c r="BR728" s="37">
        <v>0</v>
      </c>
      <c r="BS728" s="37">
        <v>0</v>
      </c>
      <c r="BT728" s="37">
        <v>0</v>
      </c>
      <c r="BU728" s="37">
        <v>0</v>
      </c>
      <c r="BV728" s="37">
        <v>0</v>
      </c>
      <c r="BW728" s="37">
        <v>0</v>
      </c>
      <c r="BX728" s="37">
        <v>0</v>
      </c>
      <c r="BY728" s="37">
        <v>0</v>
      </c>
      <c r="BZ728" s="37">
        <v>0</v>
      </c>
      <c r="CA728" s="37">
        <v>0</v>
      </c>
      <c r="CB728" s="37">
        <v>0</v>
      </c>
      <c r="CC728" s="37">
        <v>0</v>
      </c>
      <c r="CD728" s="37">
        <v>0</v>
      </c>
      <c r="CE728" s="37">
        <v>0</v>
      </c>
      <c r="CF728" s="37">
        <v>0</v>
      </c>
      <c r="CG728" s="37">
        <v>0</v>
      </c>
      <c r="CH728" s="37">
        <v>0</v>
      </c>
      <c r="CI728" s="37">
        <v>0</v>
      </c>
      <c r="CJ728" s="37">
        <v>0</v>
      </c>
      <c r="CK728" s="37">
        <v>0</v>
      </c>
      <c r="CL728" s="37">
        <v>0</v>
      </c>
      <c r="CM728" s="37">
        <v>0</v>
      </c>
      <c r="CN728" s="37">
        <v>0</v>
      </c>
      <c r="CO728" s="37">
        <v>0</v>
      </c>
      <c r="CP728" s="37">
        <v>0</v>
      </c>
      <c r="CQ728" s="37">
        <v>1500000</v>
      </c>
      <c r="CR728" s="37">
        <v>0</v>
      </c>
      <c r="CS728" s="37">
        <v>0</v>
      </c>
      <c r="CT728" s="37">
        <v>0</v>
      </c>
      <c r="CU728" s="37">
        <v>0</v>
      </c>
      <c r="CV728" s="37">
        <v>0</v>
      </c>
      <c r="CW728" s="37">
        <v>0</v>
      </c>
      <c r="CX728" s="37">
        <v>0</v>
      </c>
      <c r="CY728" s="37">
        <v>0</v>
      </c>
      <c r="CZ728" s="37">
        <v>1500000</v>
      </c>
      <c r="DA728" s="37">
        <v>0</v>
      </c>
      <c r="DB728" s="37">
        <v>0</v>
      </c>
      <c r="DC728" s="37">
        <v>0</v>
      </c>
      <c r="DD728" s="37">
        <v>0</v>
      </c>
      <c r="DE728" s="37">
        <v>0</v>
      </c>
      <c r="DF728" s="37">
        <v>0</v>
      </c>
      <c r="DG728" s="37">
        <v>0</v>
      </c>
      <c r="DH728" s="37">
        <v>0</v>
      </c>
      <c r="DI728" s="37">
        <v>0</v>
      </c>
      <c r="DJ728" s="37">
        <v>0</v>
      </c>
      <c r="DK728" s="37">
        <v>0</v>
      </c>
      <c r="DL728" s="37">
        <v>0</v>
      </c>
      <c r="DM728" s="37">
        <v>0</v>
      </c>
      <c r="DN728" s="37">
        <v>0</v>
      </c>
      <c r="DO728" s="37">
        <v>0</v>
      </c>
      <c r="DP728" s="37">
        <v>0</v>
      </c>
      <c r="DQ728" s="37">
        <v>0</v>
      </c>
      <c r="DR728" s="37">
        <v>0</v>
      </c>
      <c r="DS728" s="37">
        <v>0</v>
      </c>
      <c r="DT728" s="37">
        <v>0</v>
      </c>
      <c r="DU728" s="37">
        <v>0</v>
      </c>
      <c r="DV728" s="37">
        <v>0</v>
      </c>
      <c r="DW728" s="37">
        <v>0</v>
      </c>
      <c r="DX728" s="37">
        <v>0</v>
      </c>
      <c r="DY728" s="37">
        <v>0</v>
      </c>
      <c r="DZ728" s="37">
        <v>0</v>
      </c>
      <c r="EA728" s="37">
        <v>0</v>
      </c>
      <c r="EB728" s="37">
        <v>0</v>
      </c>
      <c r="EC728" s="37">
        <v>0</v>
      </c>
      <c r="ED728" s="37">
        <v>0</v>
      </c>
      <c r="EE728" s="37">
        <v>0</v>
      </c>
      <c r="EF728" s="37">
        <v>0</v>
      </c>
      <c r="EG728" s="37">
        <v>0</v>
      </c>
      <c r="EH728" s="37">
        <v>0</v>
      </c>
      <c r="EI728" s="37">
        <v>0</v>
      </c>
      <c r="EJ728" s="37">
        <v>0</v>
      </c>
      <c r="EK728" s="161" t="s">
        <v>2923</v>
      </c>
      <c r="EL728" s="294" t="s">
        <v>1124</v>
      </c>
    </row>
    <row r="729" spans="1:142" ht="15" customHeight="1" x14ac:dyDescent="0.35">
      <c r="A729" s="34"/>
      <c r="B729" s="313">
        <v>26022</v>
      </c>
      <c r="C729" s="8" t="s">
        <v>170</v>
      </c>
      <c r="D729" s="18">
        <v>12</v>
      </c>
      <c r="E729" s="155">
        <v>146366</v>
      </c>
      <c r="F729" s="36">
        <v>50801</v>
      </c>
      <c r="G729" s="37">
        <v>23740</v>
      </c>
      <c r="H729" s="37">
        <v>2772</v>
      </c>
      <c r="I729" s="37">
        <v>71635</v>
      </c>
      <c r="J729" s="37">
        <v>8365</v>
      </c>
      <c r="K729" s="37">
        <v>21954.899999999998</v>
      </c>
      <c r="L729" s="37">
        <v>7620.15</v>
      </c>
      <c r="M729" s="37">
        <v>263695.90000000002</v>
      </c>
      <c r="N729" s="37">
        <v>69558.149999999994</v>
      </c>
      <c r="O729" s="37">
        <v>0</v>
      </c>
      <c r="P729" s="37">
        <v>0</v>
      </c>
      <c r="Q729" s="37">
        <v>243918</v>
      </c>
      <c r="R729" s="37">
        <v>100400</v>
      </c>
      <c r="S729" s="37">
        <v>0</v>
      </c>
      <c r="T729" s="37">
        <v>0</v>
      </c>
      <c r="U729" s="37">
        <v>0</v>
      </c>
      <c r="V729" s="37">
        <v>0</v>
      </c>
      <c r="W729" s="37">
        <v>0</v>
      </c>
      <c r="X729" s="37">
        <v>0</v>
      </c>
      <c r="Y729" s="37">
        <v>0</v>
      </c>
      <c r="Z729" s="37">
        <v>0</v>
      </c>
      <c r="AA729" s="37">
        <v>243918</v>
      </c>
      <c r="AB729" s="37">
        <v>100400</v>
      </c>
      <c r="AC729" s="37">
        <v>11063.949999999953</v>
      </c>
      <c r="AD729" s="37">
        <v>4123</v>
      </c>
      <c r="AE729" s="37">
        <v>334015</v>
      </c>
      <c r="AF729" s="168">
        <v>0.02</v>
      </c>
      <c r="AG729" s="37">
        <v>33012212.23</v>
      </c>
      <c r="AH729" s="37">
        <v>251278.77</v>
      </c>
      <c r="AI729" s="37">
        <v>256304.34</v>
      </c>
      <c r="AJ729" s="37">
        <v>261430.43</v>
      </c>
      <c r="AK729" s="37">
        <v>266659.03999999998</v>
      </c>
      <c r="AL729" s="37">
        <v>271992.21999999997</v>
      </c>
      <c r="AM729" s="37">
        <v>277432.06</v>
      </c>
      <c r="AN729" s="37">
        <v>282980.71000000002</v>
      </c>
      <c r="AO729" s="37">
        <v>288640.32</v>
      </c>
      <c r="AP729" s="37">
        <v>294413.13</v>
      </c>
      <c r="AQ729" s="37">
        <v>300301.39</v>
      </c>
      <c r="AR729" s="37">
        <v>2751432.41</v>
      </c>
      <c r="AS729" s="37">
        <v>789663.6</v>
      </c>
      <c r="AT729" s="37">
        <v>1091400</v>
      </c>
      <c r="AU729" s="37">
        <v>2080800</v>
      </c>
      <c r="AV729" s="37">
        <v>0</v>
      </c>
      <c r="AW729" s="37">
        <v>0</v>
      </c>
      <c r="AX729" s="37">
        <v>0</v>
      </c>
      <c r="AY729" s="37">
        <v>0</v>
      </c>
      <c r="AZ729" s="37">
        <v>0</v>
      </c>
      <c r="BA729" s="37">
        <v>0</v>
      </c>
      <c r="BB729" s="37">
        <v>0</v>
      </c>
      <c r="BC729" s="37">
        <v>0</v>
      </c>
      <c r="BD729" s="37">
        <v>3172200</v>
      </c>
      <c r="BE729" s="37">
        <v>0</v>
      </c>
      <c r="BF729" s="37">
        <v>0</v>
      </c>
      <c r="BG729" s="37">
        <v>0</v>
      </c>
      <c r="BH729" s="37">
        <v>0</v>
      </c>
      <c r="BI729" s="37">
        <v>0</v>
      </c>
      <c r="BJ729" s="37">
        <v>21498.939972591244</v>
      </c>
      <c r="BK729" s="37">
        <v>104106.30326141995</v>
      </c>
      <c r="BL729" s="37">
        <v>135386.59995115316</v>
      </c>
      <c r="BM729" s="37">
        <v>166666.89664088632</v>
      </c>
      <c r="BN729" s="37">
        <v>197947.26017394935</v>
      </c>
      <c r="BO729" s="37">
        <v>0</v>
      </c>
      <c r="BP729" s="37">
        <v>625606</v>
      </c>
      <c r="BQ729" s="37">
        <v>0</v>
      </c>
      <c r="BR729" s="37">
        <v>300000</v>
      </c>
      <c r="BS729" s="37">
        <v>0</v>
      </c>
      <c r="BT729" s="37">
        <v>0</v>
      </c>
      <c r="BU729" s="37">
        <v>0</v>
      </c>
      <c r="BV729" s="37">
        <v>10696.101166659248</v>
      </c>
      <c r="BW729" s="37">
        <v>51794.718864775845</v>
      </c>
      <c r="BX729" s="37">
        <v>67357.217217859841</v>
      </c>
      <c r="BY729" s="37">
        <v>82919.715570943808</v>
      </c>
      <c r="BZ729" s="37">
        <v>98482.247179761282</v>
      </c>
      <c r="CA729" s="37">
        <v>0</v>
      </c>
      <c r="CB729" s="37">
        <v>611250</v>
      </c>
      <c r="CC729" s="37">
        <v>0</v>
      </c>
      <c r="CD729" s="37">
        <v>300000</v>
      </c>
      <c r="CE729" s="37">
        <v>0</v>
      </c>
      <c r="CF729" s="37">
        <v>0</v>
      </c>
      <c r="CG729" s="37">
        <v>0</v>
      </c>
      <c r="CH729" s="37">
        <v>0</v>
      </c>
      <c r="CI729" s="37">
        <v>0</v>
      </c>
      <c r="CJ729" s="37">
        <v>0</v>
      </c>
      <c r="CK729" s="37">
        <v>0</v>
      </c>
      <c r="CL729" s="37">
        <v>0</v>
      </c>
      <c r="CM729" s="37">
        <v>0</v>
      </c>
      <c r="CN729" s="37">
        <v>300000</v>
      </c>
      <c r="CO729" s="37">
        <v>0</v>
      </c>
      <c r="CP729" s="37">
        <v>0</v>
      </c>
      <c r="CQ729" s="37">
        <v>500000</v>
      </c>
      <c r="CR729" s="37">
        <v>0</v>
      </c>
      <c r="CS729" s="37">
        <v>0</v>
      </c>
      <c r="CT729" s="37">
        <v>0</v>
      </c>
      <c r="CU729" s="37">
        <v>0</v>
      </c>
      <c r="CV729" s="37">
        <v>0</v>
      </c>
      <c r="CW729" s="37">
        <v>0</v>
      </c>
      <c r="CX729" s="37">
        <v>0</v>
      </c>
      <c r="CY729" s="37">
        <v>0</v>
      </c>
      <c r="CZ729" s="37">
        <v>500000</v>
      </c>
      <c r="DA729" s="37">
        <v>0</v>
      </c>
      <c r="DB729" s="37">
        <v>80000</v>
      </c>
      <c r="DC729" s="37">
        <v>500000</v>
      </c>
      <c r="DD729" s="37">
        <v>0</v>
      </c>
      <c r="DE729" s="37">
        <v>0</v>
      </c>
      <c r="DF729" s="37">
        <v>0</v>
      </c>
      <c r="DG729" s="37">
        <v>0</v>
      </c>
      <c r="DH729" s="37">
        <v>0</v>
      </c>
      <c r="DI729" s="37">
        <v>0</v>
      </c>
      <c r="DJ729" s="37">
        <v>0</v>
      </c>
      <c r="DK729" s="37">
        <v>0</v>
      </c>
      <c r="DL729" s="37">
        <v>580000</v>
      </c>
      <c r="DM729" s="37">
        <v>0</v>
      </c>
      <c r="DN729" s="37">
        <v>185000</v>
      </c>
      <c r="DO729" s="37">
        <v>0</v>
      </c>
      <c r="DP729" s="37">
        <v>0</v>
      </c>
      <c r="DQ729" s="37">
        <v>0</v>
      </c>
      <c r="DR729" s="37">
        <v>0</v>
      </c>
      <c r="DS729" s="37">
        <v>0</v>
      </c>
      <c r="DT729" s="37">
        <v>0</v>
      </c>
      <c r="DU729" s="37">
        <v>0</v>
      </c>
      <c r="DV729" s="37">
        <v>0</v>
      </c>
      <c r="DW729" s="37">
        <v>0</v>
      </c>
      <c r="DX729" s="37">
        <v>185000</v>
      </c>
      <c r="DY729" s="37">
        <v>0</v>
      </c>
      <c r="DZ729" s="37">
        <v>0</v>
      </c>
      <c r="EA729" s="37">
        <v>0</v>
      </c>
      <c r="EB729" s="37">
        <v>0</v>
      </c>
      <c r="EC729" s="37">
        <v>0</v>
      </c>
      <c r="ED729" s="37">
        <v>0</v>
      </c>
      <c r="EE729" s="37">
        <v>0</v>
      </c>
      <c r="EF729" s="37">
        <v>0</v>
      </c>
      <c r="EG729" s="37">
        <v>0</v>
      </c>
      <c r="EH729" s="37">
        <v>0</v>
      </c>
      <c r="EI729" s="37">
        <v>0</v>
      </c>
      <c r="EJ729" s="37">
        <v>0</v>
      </c>
      <c r="EK729" s="161" t="s">
        <v>2925</v>
      </c>
      <c r="EL729" s="294" t="s">
        <v>1124</v>
      </c>
    </row>
    <row r="730" spans="1:142" ht="15" customHeight="1" x14ac:dyDescent="0.35">
      <c r="A730" s="34"/>
      <c r="B730" s="313">
        <v>13085</v>
      </c>
      <c r="C730" s="8" t="s">
        <v>56</v>
      </c>
      <c r="D730" s="18">
        <v>1</v>
      </c>
      <c r="E730" s="155"/>
      <c r="F730" s="36"/>
      <c r="G730" s="37"/>
      <c r="H730" s="37"/>
      <c r="I730" s="37"/>
      <c r="J730" s="37"/>
      <c r="K730" s="37"/>
      <c r="L730" s="37"/>
      <c r="M730" s="37" t="s">
        <v>1124</v>
      </c>
      <c r="N730" s="37" t="s">
        <v>1124</v>
      </c>
      <c r="O730" s="37"/>
      <c r="P730" s="37"/>
      <c r="Q730" s="37"/>
      <c r="R730" s="37"/>
      <c r="S730" s="37"/>
      <c r="T730" s="37"/>
      <c r="U730" s="37"/>
      <c r="V730" s="37"/>
      <c r="W730" s="37"/>
      <c r="X730" s="37"/>
      <c r="Y730" s="37"/>
      <c r="Z730" s="37"/>
      <c r="AA730" s="37" t="s">
        <v>1124</v>
      </c>
      <c r="AB730" s="37" t="s">
        <v>1124</v>
      </c>
      <c r="AC730" s="37"/>
      <c r="AD730" s="37"/>
      <c r="AE730" s="37"/>
      <c r="AF730" s="168"/>
      <c r="AG730" s="37"/>
      <c r="AH730" s="37"/>
      <c r="AI730" s="37"/>
      <c r="AJ730" s="37"/>
      <c r="AK730" s="37"/>
      <c r="AL730" s="37"/>
      <c r="AM730" s="37"/>
      <c r="AN730" s="37"/>
      <c r="AO730" s="37"/>
      <c r="AP730" s="37"/>
      <c r="AQ730" s="37"/>
      <c r="AR730" s="37" t="s">
        <v>1124</v>
      </c>
      <c r="AS730" s="37"/>
      <c r="AT730" s="37"/>
      <c r="AU730" s="37"/>
      <c r="AV730" s="37"/>
      <c r="AW730" s="37"/>
      <c r="AX730" s="37"/>
      <c r="AY730" s="37"/>
      <c r="AZ730" s="37"/>
      <c r="BA730" s="37"/>
      <c r="BB730" s="37"/>
      <c r="BC730" s="37"/>
      <c r="BD730" s="37" t="s">
        <v>1124</v>
      </c>
      <c r="BE730" s="37"/>
      <c r="BF730" s="37"/>
      <c r="BG730" s="37"/>
      <c r="BH730" s="37"/>
      <c r="BI730" s="37"/>
      <c r="BJ730" s="37"/>
      <c r="BK730" s="37"/>
      <c r="BL730" s="37"/>
      <c r="BM730" s="37"/>
      <c r="BN730" s="37"/>
      <c r="BO730" s="37"/>
      <c r="BP730" s="37">
        <v>0</v>
      </c>
      <c r="BQ730" s="37"/>
      <c r="BR730" s="37"/>
      <c r="BS730" s="37"/>
      <c r="BT730" s="37"/>
      <c r="BU730" s="37"/>
      <c r="BV730" s="37"/>
      <c r="BW730" s="37"/>
      <c r="BX730" s="37"/>
      <c r="BY730" s="37"/>
      <c r="BZ730" s="37"/>
      <c r="CA730" s="37"/>
      <c r="CB730" s="37" t="s">
        <v>1124</v>
      </c>
      <c r="CC730" s="37"/>
      <c r="CD730" s="37"/>
      <c r="CE730" s="37"/>
      <c r="CF730" s="37"/>
      <c r="CG730" s="37"/>
      <c r="CH730" s="37"/>
      <c r="CI730" s="37"/>
      <c r="CJ730" s="37"/>
      <c r="CK730" s="37"/>
      <c r="CL730" s="37"/>
      <c r="CM730" s="37"/>
      <c r="CN730" s="37" t="s">
        <v>1124</v>
      </c>
      <c r="CO730" s="37"/>
      <c r="CP730" s="37"/>
      <c r="CQ730" s="37"/>
      <c r="CR730" s="37"/>
      <c r="CS730" s="37"/>
      <c r="CT730" s="37"/>
      <c r="CU730" s="37"/>
      <c r="CV730" s="37"/>
      <c r="CW730" s="37"/>
      <c r="CX730" s="37"/>
      <c r="CY730" s="37"/>
      <c r="CZ730" s="37" t="s">
        <v>1124</v>
      </c>
      <c r="DA730" s="37"/>
      <c r="DB730" s="37"/>
      <c r="DC730" s="37"/>
      <c r="DD730" s="37"/>
      <c r="DE730" s="37"/>
      <c r="DF730" s="37"/>
      <c r="DG730" s="37"/>
      <c r="DH730" s="37"/>
      <c r="DI730" s="37"/>
      <c r="DJ730" s="37"/>
      <c r="DK730" s="37"/>
      <c r="DL730" s="37" t="s">
        <v>1124</v>
      </c>
      <c r="DM730" s="37"/>
      <c r="DN730" s="37"/>
      <c r="DO730" s="37"/>
      <c r="DP730" s="37"/>
      <c r="DQ730" s="37"/>
      <c r="DR730" s="37"/>
      <c r="DS730" s="37"/>
      <c r="DT730" s="37"/>
      <c r="DU730" s="37"/>
      <c r="DV730" s="37"/>
      <c r="DW730" s="37"/>
      <c r="DX730" s="37" t="s">
        <v>1124</v>
      </c>
      <c r="DY730" s="37"/>
      <c r="DZ730" s="37"/>
      <c r="EA730" s="37"/>
      <c r="EB730" s="37"/>
      <c r="EC730" s="37"/>
      <c r="ED730" s="37"/>
      <c r="EE730" s="37"/>
      <c r="EF730" s="37"/>
      <c r="EG730" s="37"/>
      <c r="EH730" s="37"/>
      <c r="EI730" s="37"/>
      <c r="EJ730" s="37" t="s">
        <v>1124</v>
      </c>
      <c r="EK730" s="161"/>
      <c r="EL730" s="294"/>
    </row>
    <row r="731" spans="1:142" ht="15" customHeight="1" x14ac:dyDescent="0.35">
      <c r="A731" s="34"/>
      <c r="B731" s="313">
        <v>54025</v>
      </c>
      <c r="C731" s="8" t="s">
        <v>544</v>
      </c>
      <c r="D731" s="18">
        <v>16</v>
      </c>
      <c r="E731" s="155"/>
      <c r="F731" s="36"/>
      <c r="G731" s="37"/>
      <c r="H731" s="37"/>
      <c r="I731" s="37"/>
      <c r="J731" s="37"/>
      <c r="K731" s="37"/>
      <c r="L731" s="37"/>
      <c r="M731" s="37" t="s">
        <v>1124</v>
      </c>
      <c r="N731" s="37" t="s">
        <v>1124</v>
      </c>
      <c r="O731" s="37"/>
      <c r="P731" s="37"/>
      <c r="Q731" s="37"/>
      <c r="R731" s="37"/>
      <c r="S731" s="37"/>
      <c r="T731" s="37"/>
      <c r="U731" s="37"/>
      <c r="V731" s="37"/>
      <c r="W731" s="37"/>
      <c r="X731" s="37"/>
      <c r="Y731" s="37"/>
      <c r="Z731" s="37"/>
      <c r="AA731" s="37" t="s">
        <v>1124</v>
      </c>
      <c r="AB731" s="37" t="s">
        <v>1124</v>
      </c>
      <c r="AC731" s="37"/>
      <c r="AD731" s="37"/>
      <c r="AE731" s="37"/>
      <c r="AF731" s="168"/>
      <c r="AG731" s="37"/>
      <c r="AH731" s="37"/>
      <c r="AI731" s="37"/>
      <c r="AJ731" s="37"/>
      <c r="AK731" s="37"/>
      <c r="AL731" s="37"/>
      <c r="AM731" s="37"/>
      <c r="AN731" s="37"/>
      <c r="AO731" s="37"/>
      <c r="AP731" s="37"/>
      <c r="AQ731" s="37"/>
      <c r="AR731" s="37" t="s">
        <v>1124</v>
      </c>
      <c r="AS731" s="37"/>
      <c r="AT731" s="37"/>
      <c r="AU731" s="37"/>
      <c r="AV731" s="37"/>
      <c r="AW731" s="37"/>
      <c r="AX731" s="37"/>
      <c r="AY731" s="37"/>
      <c r="AZ731" s="37"/>
      <c r="BA731" s="37"/>
      <c r="BB731" s="37"/>
      <c r="BC731" s="37"/>
      <c r="BD731" s="37" t="s">
        <v>1124</v>
      </c>
      <c r="BE731" s="37"/>
      <c r="BF731" s="37"/>
      <c r="BG731" s="37"/>
      <c r="BH731" s="37"/>
      <c r="BI731" s="37"/>
      <c r="BJ731" s="37"/>
      <c r="BK731" s="37"/>
      <c r="BL731" s="37"/>
      <c r="BM731" s="37"/>
      <c r="BN731" s="37"/>
      <c r="BO731" s="37"/>
      <c r="BP731" s="37">
        <v>0</v>
      </c>
      <c r="BQ731" s="37"/>
      <c r="BR731" s="37"/>
      <c r="BS731" s="37"/>
      <c r="BT731" s="37"/>
      <c r="BU731" s="37"/>
      <c r="BV731" s="37"/>
      <c r="BW731" s="37"/>
      <c r="BX731" s="37"/>
      <c r="BY731" s="37"/>
      <c r="BZ731" s="37"/>
      <c r="CA731" s="37"/>
      <c r="CB731" s="37" t="s">
        <v>1124</v>
      </c>
      <c r="CC731" s="37"/>
      <c r="CD731" s="37"/>
      <c r="CE731" s="37"/>
      <c r="CF731" s="37"/>
      <c r="CG731" s="37"/>
      <c r="CH731" s="37"/>
      <c r="CI731" s="37"/>
      <c r="CJ731" s="37"/>
      <c r="CK731" s="37"/>
      <c r="CL731" s="37"/>
      <c r="CM731" s="37"/>
      <c r="CN731" s="37" t="s">
        <v>1124</v>
      </c>
      <c r="CO731" s="37"/>
      <c r="CP731" s="37"/>
      <c r="CQ731" s="37"/>
      <c r="CR731" s="37"/>
      <c r="CS731" s="37"/>
      <c r="CT731" s="37"/>
      <c r="CU731" s="37"/>
      <c r="CV731" s="37"/>
      <c r="CW731" s="37"/>
      <c r="CX731" s="37"/>
      <c r="CY731" s="37"/>
      <c r="CZ731" s="37" t="s">
        <v>1124</v>
      </c>
      <c r="DA731" s="37"/>
      <c r="DB731" s="37"/>
      <c r="DC731" s="37"/>
      <c r="DD731" s="37"/>
      <c r="DE731" s="37"/>
      <c r="DF731" s="37"/>
      <c r="DG731" s="37"/>
      <c r="DH731" s="37"/>
      <c r="DI731" s="37"/>
      <c r="DJ731" s="37"/>
      <c r="DK731" s="37"/>
      <c r="DL731" s="37" t="s">
        <v>1124</v>
      </c>
      <c r="DM731" s="37"/>
      <c r="DN731" s="37"/>
      <c r="DO731" s="37"/>
      <c r="DP731" s="37"/>
      <c r="DQ731" s="37"/>
      <c r="DR731" s="37"/>
      <c r="DS731" s="37"/>
      <c r="DT731" s="37"/>
      <c r="DU731" s="37"/>
      <c r="DV731" s="37"/>
      <c r="DW731" s="37"/>
      <c r="DX731" s="37" t="s">
        <v>1124</v>
      </c>
      <c r="DY731" s="37"/>
      <c r="DZ731" s="37"/>
      <c r="EA731" s="37"/>
      <c r="EB731" s="37"/>
      <c r="EC731" s="37"/>
      <c r="ED731" s="37"/>
      <c r="EE731" s="37"/>
      <c r="EF731" s="37"/>
      <c r="EG731" s="37"/>
      <c r="EH731" s="37"/>
      <c r="EI731" s="37"/>
      <c r="EJ731" s="37" t="s">
        <v>1124</v>
      </c>
      <c r="EK731" s="161"/>
      <c r="EL731" s="294"/>
    </row>
    <row r="732" spans="1:142" ht="15" customHeight="1" x14ac:dyDescent="0.35">
      <c r="A732" s="34"/>
      <c r="B732" s="313">
        <v>4005</v>
      </c>
      <c r="C732" s="8" t="s">
        <v>1036</v>
      </c>
      <c r="D732" s="18">
        <v>11</v>
      </c>
      <c r="E732" s="155">
        <v>120300</v>
      </c>
      <c r="F732" s="36">
        <v>0</v>
      </c>
      <c r="G732" s="37">
        <v>47819</v>
      </c>
      <c r="H732" s="37">
        <v>0</v>
      </c>
      <c r="I732" s="37">
        <v>25205</v>
      </c>
      <c r="J732" s="37">
        <v>0</v>
      </c>
      <c r="K732" s="37">
        <v>21940</v>
      </c>
      <c r="L732" s="37">
        <v>0</v>
      </c>
      <c r="M732" s="37">
        <v>215264</v>
      </c>
      <c r="N732" s="37">
        <v>0</v>
      </c>
      <c r="O732" s="37">
        <v>0</v>
      </c>
      <c r="P732" s="37">
        <v>0</v>
      </c>
      <c r="Q732" s="37">
        <v>92898</v>
      </c>
      <c r="R732" s="37">
        <v>0</v>
      </c>
      <c r="S732" s="37">
        <v>2403</v>
      </c>
      <c r="T732" s="37">
        <v>0</v>
      </c>
      <c r="U732" s="37">
        <v>30928</v>
      </c>
      <c r="V732" s="37">
        <v>0</v>
      </c>
      <c r="W732" s="37">
        <v>85035</v>
      </c>
      <c r="X732" s="37">
        <v>0</v>
      </c>
      <c r="Y732" s="37">
        <v>4000</v>
      </c>
      <c r="Z732" s="37">
        <v>0</v>
      </c>
      <c r="AA732" s="37">
        <v>215264</v>
      </c>
      <c r="AB732" s="37">
        <v>0</v>
      </c>
      <c r="AC732" s="37">
        <v>0</v>
      </c>
      <c r="AD732" s="37">
        <v>0</v>
      </c>
      <c r="AE732" s="37">
        <v>28000</v>
      </c>
      <c r="AF732" s="168">
        <v>0.02</v>
      </c>
      <c r="AG732" s="37">
        <v>10279270.4</v>
      </c>
      <c r="AH732" s="37">
        <v>125358</v>
      </c>
      <c r="AI732" s="37">
        <v>127865.16</v>
      </c>
      <c r="AJ732" s="37">
        <v>130422.46</v>
      </c>
      <c r="AK732" s="37">
        <v>133030.91</v>
      </c>
      <c r="AL732" s="37">
        <v>135691.53</v>
      </c>
      <c r="AM732" s="37">
        <v>138405.35999999999</v>
      </c>
      <c r="AN732" s="37">
        <v>141173.47</v>
      </c>
      <c r="AO732" s="37">
        <v>143996.94</v>
      </c>
      <c r="AP732" s="37">
        <v>146876.88</v>
      </c>
      <c r="AQ732" s="37">
        <v>149814.41</v>
      </c>
      <c r="AR732" s="37">
        <v>1372635.12</v>
      </c>
      <c r="AS732" s="37">
        <v>0</v>
      </c>
      <c r="AT732" s="37">
        <v>0</v>
      </c>
      <c r="AU732" s="37">
        <v>0</v>
      </c>
      <c r="AV732" s="37">
        <v>0</v>
      </c>
      <c r="AW732" s="37">
        <v>0</v>
      </c>
      <c r="AX732" s="37">
        <v>0</v>
      </c>
      <c r="AY732" s="37">
        <v>0</v>
      </c>
      <c r="AZ732" s="37">
        <v>0</v>
      </c>
      <c r="BA732" s="37">
        <v>0</v>
      </c>
      <c r="BB732" s="37">
        <v>0</v>
      </c>
      <c r="BC732" s="37">
        <v>0</v>
      </c>
      <c r="BD732" s="37">
        <v>0</v>
      </c>
      <c r="BE732" s="37">
        <v>0</v>
      </c>
      <c r="BF732" s="37">
        <v>0</v>
      </c>
      <c r="BG732" s="37">
        <v>0</v>
      </c>
      <c r="BH732" s="37">
        <v>0</v>
      </c>
      <c r="BI732" s="37">
        <v>0</v>
      </c>
      <c r="BJ732" s="37">
        <v>0</v>
      </c>
      <c r="BK732" s="37">
        <v>0</v>
      </c>
      <c r="BL732" s="37">
        <v>0</v>
      </c>
      <c r="BM732" s="37">
        <v>0</v>
      </c>
      <c r="BN732" s="37">
        <v>0</v>
      </c>
      <c r="BO732" s="37">
        <v>0</v>
      </c>
      <c r="BP732" s="37">
        <v>0</v>
      </c>
      <c r="BQ732" s="37">
        <v>0</v>
      </c>
      <c r="BR732" s="37">
        <v>0</v>
      </c>
      <c r="BS732" s="37">
        <v>0</v>
      </c>
      <c r="BT732" s="37">
        <v>0</v>
      </c>
      <c r="BU732" s="37">
        <v>0</v>
      </c>
      <c r="BV732" s="37">
        <v>0</v>
      </c>
      <c r="BW732" s="37">
        <v>0</v>
      </c>
      <c r="BX732" s="37">
        <v>0</v>
      </c>
      <c r="BY732" s="37">
        <v>0</v>
      </c>
      <c r="BZ732" s="37">
        <v>0</v>
      </c>
      <c r="CA732" s="37">
        <v>0</v>
      </c>
      <c r="CB732" s="37">
        <v>0</v>
      </c>
      <c r="CC732" s="37">
        <v>0</v>
      </c>
      <c r="CD732" s="37">
        <v>0</v>
      </c>
      <c r="CE732" s="37">
        <v>0</v>
      </c>
      <c r="CF732" s="37">
        <v>0</v>
      </c>
      <c r="CG732" s="37">
        <v>0</v>
      </c>
      <c r="CH732" s="37">
        <v>0</v>
      </c>
      <c r="CI732" s="37">
        <v>0</v>
      </c>
      <c r="CJ732" s="37">
        <v>0</v>
      </c>
      <c r="CK732" s="37">
        <v>0</v>
      </c>
      <c r="CL732" s="37">
        <v>0</v>
      </c>
      <c r="CM732" s="37">
        <v>0</v>
      </c>
      <c r="CN732" s="37">
        <v>0</v>
      </c>
      <c r="CO732" s="37">
        <v>0</v>
      </c>
      <c r="CP732" s="37">
        <v>0</v>
      </c>
      <c r="CQ732" s="37">
        <v>0</v>
      </c>
      <c r="CR732" s="37">
        <v>0</v>
      </c>
      <c r="CS732" s="37">
        <v>0</v>
      </c>
      <c r="CT732" s="37">
        <v>0</v>
      </c>
      <c r="CU732" s="37">
        <v>0</v>
      </c>
      <c r="CV732" s="37">
        <v>0</v>
      </c>
      <c r="CW732" s="37">
        <v>0</v>
      </c>
      <c r="CX732" s="37">
        <v>0</v>
      </c>
      <c r="CY732" s="37">
        <v>0</v>
      </c>
      <c r="CZ732" s="37">
        <v>0</v>
      </c>
      <c r="DA732" s="37">
        <v>0</v>
      </c>
      <c r="DB732" s="37">
        <v>0</v>
      </c>
      <c r="DC732" s="37">
        <v>0</v>
      </c>
      <c r="DD732" s="37">
        <v>0</v>
      </c>
      <c r="DE732" s="37">
        <v>0</v>
      </c>
      <c r="DF732" s="37">
        <v>0</v>
      </c>
      <c r="DG732" s="37">
        <v>0</v>
      </c>
      <c r="DH732" s="37">
        <v>0</v>
      </c>
      <c r="DI732" s="37">
        <v>0</v>
      </c>
      <c r="DJ732" s="37">
        <v>0</v>
      </c>
      <c r="DK732" s="37">
        <v>0</v>
      </c>
      <c r="DL732" s="37">
        <v>0</v>
      </c>
      <c r="DM732" s="37">
        <v>0</v>
      </c>
      <c r="DN732" s="37">
        <v>0</v>
      </c>
      <c r="DO732" s="37">
        <v>0</v>
      </c>
      <c r="DP732" s="37">
        <v>0</v>
      </c>
      <c r="DQ732" s="37">
        <v>0</v>
      </c>
      <c r="DR732" s="37">
        <v>0</v>
      </c>
      <c r="DS732" s="37">
        <v>0</v>
      </c>
      <c r="DT732" s="37">
        <v>0</v>
      </c>
      <c r="DU732" s="37">
        <v>0</v>
      </c>
      <c r="DV732" s="37">
        <v>0</v>
      </c>
      <c r="DW732" s="37">
        <v>0</v>
      </c>
      <c r="DX732" s="37">
        <v>0</v>
      </c>
      <c r="DY732" s="37">
        <v>0</v>
      </c>
      <c r="DZ732" s="37">
        <v>0</v>
      </c>
      <c r="EA732" s="37">
        <v>0</v>
      </c>
      <c r="EB732" s="37">
        <v>0</v>
      </c>
      <c r="EC732" s="37">
        <v>0</v>
      </c>
      <c r="ED732" s="37">
        <v>0</v>
      </c>
      <c r="EE732" s="37">
        <v>0</v>
      </c>
      <c r="EF732" s="37">
        <v>0</v>
      </c>
      <c r="EG732" s="37">
        <v>0</v>
      </c>
      <c r="EH732" s="37">
        <v>0</v>
      </c>
      <c r="EI732" s="37">
        <v>0</v>
      </c>
      <c r="EJ732" s="37">
        <v>0</v>
      </c>
      <c r="EK732" s="161" t="s">
        <v>2932</v>
      </c>
      <c r="EL732" s="294" t="s">
        <v>1124</v>
      </c>
    </row>
    <row r="733" spans="1:142" ht="15" customHeight="1" x14ac:dyDescent="0.35">
      <c r="A733" s="34"/>
      <c r="B733" s="313">
        <v>62030</v>
      </c>
      <c r="C733" s="8" t="s">
        <v>623</v>
      </c>
      <c r="D733" s="18">
        <v>14</v>
      </c>
      <c r="E733" s="155"/>
      <c r="F733" s="36"/>
      <c r="G733" s="37"/>
      <c r="H733" s="37"/>
      <c r="I733" s="37"/>
      <c r="J733" s="37"/>
      <c r="K733" s="37"/>
      <c r="L733" s="37"/>
      <c r="M733" s="37" t="s">
        <v>1124</v>
      </c>
      <c r="N733" s="37" t="s">
        <v>1124</v>
      </c>
      <c r="O733" s="37"/>
      <c r="P733" s="37"/>
      <c r="Q733" s="37"/>
      <c r="R733" s="37"/>
      <c r="S733" s="37"/>
      <c r="T733" s="37"/>
      <c r="U733" s="37"/>
      <c r="V733" s="37"/>
      <c r="W733" s="37"/>
      <c r="X733" s="37"/>
      <c r="Y733" s="37"/>
      <c r="Z733" s="37"/>
      <c r="AA733" s="37" t="s">
        <v>1124</v>
      </c>
      <c r="AB733" s="37" t="s">
        <v>1124</v>
      </c>
      <c r="AC733" s="37"/>
      <c r="AD733" s="37"/>
      <c r="AE733" s="37"/>
      <c r="AF733" s="168"/>
      <c r="AG733" s="37"/>
      <c r="AH733" s="37"/>
      <c r="AI733" s="37"/>
      <c r="AJ733" s="37"/>
      <c r="AK733" s="37"/>
      <c r="AL733" s="37"/>
      <c r="AM733" s="37"/>
      <c r="AN733" s="37"/>
      <c r="AO733" s="37"/>
      <c r="AP733" s="37"/>
      <c r="AQ733" s="37"/>
      <c r="AR733" s="37" t="s">
        <v>1124</v>
      </c>
      <c r="AS733" s="37"/>
      <c r="AT733" s="37"/>
      <c r="AU733" s="37"/>
      <c r="AV733" s="37"/>
      <c r="AW733" s="37"/>
      <c r="AX733" s="37"/>
      <c r="AY733" s="37"/>
      <c r="AZ733" s="37"/>
      <c r="BA733" s="37"/>
      <c r="BB733" s="37"/>
      <c r="BC733" s="37"/>
      <c r="BD733" s="37" t="s">
        <v>1124</v>
      </c>
      <c r="BE733" s="37"/>
      <c r="BF733" s="37"/>
      <c r="BG733" s="37"/>
      <c r="BH733" s="37"/>
      <c r="BI733" s="37"/>
      <c r="BJ733" s="37"/>
      <c r="BK733" s="37"/>
      <c r="BL733" s="37"/>
      <c r="BM733" s="37"/>
      <c r="BN733" s="37"/>
      <c r="BO733" s="37"/>
      <c r="BP733" s="37">
        <v>0</v>
      </c>
      <c r="BQ733" s="37"/>
      <c r="BR733" s="37"/>
      <c r="BS733" s="37"/>
      <c r="BT733" s="37"/>
      <c r="BU733" s="37"/>
      <c r="BV733" s="37"/>
      <c r="BW733" s="37"/>
      <c r="BX733" s="37"/>
      <c r="BY733" s="37"/>
      <c r="BZ733" s="37"/>
      <c r="CA733" s="37"/>
      <c r="CB733" s="37" t="s">
        <v>1124</v>
      </c>
      <c r="CC733" s="37"/>
      <c r="CD733" s="37"/>
      <c r="CE733" s="37"/>
      <c r="CF733" s="37"/>
      <c r="CG733" s="37"/>
      <c r="CH733" s="37"/>
      <c r="CI733" s="37"/>
      <c r="CJ733" s="37"/>
      <c r="CK733" s="37"/>
      <c r="CL733" s="37"/>
      <c r="CM733" s="37"/>
      <c r="CN733" s="37" t="s">
        <v>1124</v>
      </c>
      <c r="CO733" s="37"/>
      <c r="CP733" s="37"/>
      <c r="CQ733" s="37"/>
      <c r="CR733" s="37"/>
      <c r="CS733" s="37"/>
      <c r="CT733" s="37"/>
      <c r="CU733" s="37"/>
      <c r="CV733" s="37"/>
      <c r="CW733" s="37"/>
      <c r="CX733" s="37"/>
      <c r="CY733" s="37"/>
      <c r="CZ733" s="37" t="s">
        <v>1124</v>
      </c>
      <c r="DA733" s="37"/>
      <c r="DB733" s="37"/>
      <c r="DC733" s="37"/>
      <c r="DD733" s="37"/>
      <c r="DE733" s="37"/>
      <c r="DF733" s="37"/>
      <c r="DG733" s="37"/>
      <c r="DH733" s="37"/>
      <c r="DI733" s="37"/>
      <c r="DJ733" s="37"/>
      <c r="DK733" s="37"/>
      <c r="DL733" s="37" t="s">
        <v>1124</v>
      </c>
      <c r="DM733" s="37"/>
      <c r="DN733" s="37"/>
      <c r="DO733" s="37"/>
      <c r="DP733" s="37"/>
      <c r="DQ733" s="37"/>
      <c r="DR733" s="37"/>
      <c r="DS733" s="37"/>
      <c r="DT733" s="37"/>
      <c r="DU733" s="37"/>
      <c r="DV733" s="37"/>
      <c r="DW733" s="37"/>
      <c r="DX733" s="37" t="s">
        <v>1124</v>
      </c>
      <c r="DY733" s="37"/>
      <c r="DZ733" s="37"/>
      <c r="EA733" s="37"/>
      <c r="EB733" s="37"/>
      <c r="EC733" s="37"/>
      <c r="ED733" s="37"/>
      <c r="EE733" s="37"/>
      <c r="EF733" s="37"/>
      <c r="EG733" s="37"/>
      <c r="EH733" s="37"/>
      <c r="EI733" s="37"/>
      <c r="EJ733" s="37" t="s">
        <v>1124</v>
      </c>
      <c r="EK733" s="161"/>
      <c r="EL733" s="294"/>
    </row>
    <row r="734" spans="1:142" ht="15" customHeight="1" x14ac:dyDescent="0.35">
      <c r="A734" s="34"/>
      <c r="B734" s="313">
        <v>26035</v>
      </c>
      <c r="C734" s="8" t="s">
        <v>172</v>
      </c>
      <c r="D734" s="18">
        <v>12</v>
      </c>
      <c r="E734" s="155">
        <v>59670</v>
      </c>
      <c r="F734" s="36">
        <v>57844</v>
      </c>
      <c r="G734" s="37">
        <v>42233</v>
      </c>
      <c r="H734" s="37">
        <v>7232</v>
      </c>
      <c r="I734" s="37">
        <v>99021</v>
      </c>
      <c r="J734" s="37">
        <v>85155</v>
      </c>
      <c r="K734" s="37">
        <v>2983.5</v>
      </c>
      <c r="L734" s="37">
        <v>2892.2000000000003</v>
      </c>
      <c r="M734" s="37">
        <v>203907.5</v>
      </c>
      <c r="N734" s="37">
        <v>153123.20000000001</v>
      </c>
      <c r="O734" s="37">
        <v>0</v>
      </c>
      <c r="P734" s="37">
        <v>0</v>
      </c>
      <c r="Q734" s="37">
        <v>99858</v>
      </c>
      <c r="R734" s="37">
        <v>34057</v>
      </c>
      <c r="S734" s="37">
        <v>0</v>
      </c>
      <c r="T734" s="37">
        <v>0</v>
      </c>
      <c r="U734" s="37">
        <v>44671</v>
      </c>
      <c r="V734" s="37">
        <v>71569</v>
      </c>
      <c r="W734" s="37">
        <v>53438</v>
      </c>
      <c r="X734" s="37">
        <v>53438</v>
      </c>
      <c r="Y734" s="37">
        <v>0</v>
      </c>
      <c r="Z734" s="37">
        <v>0</v>
      </c>
      <c r="AA734" s="37">
        <v>197967</v>
      </c>
      <c r="AB734" s="37">
        <v>159064</v>
      </c>
      <c r="AC734" s="37">
        <v>0.29999999998835847</v>
      </c>
      <c r="AD734" s="37">
        <v>0</v>
      </c>
      <c r="AE734" s="37">
        <v>0</v>
      </c>
      <c r="AF734" s="168">
        <v>0.02</v>
      </c>
      <c r="AG734" s="37">
        <v>17587527.120000001</v>
      </c>
      <c r="AH734" s="37">
        <v>115694.05</v>
      </c>
      <c r="AI734" s="37">
        <v>118007.93</v>
      </c>
      <c r="AJ734" s="37">
        <v>120368.09</v>
      </c>
      <c r="AK734" s="37">
        <v>122775.45</v>
      </c>
      <c r="AL734" s="37">
        <v>125230.96</v>
      </c>
      <c r="AM734" s="37">
        <v>127735.58</v>
      </c>
      <c r="AN734" s="37">
        <v>130290.29</v>
      </c>
      <c r="AO734" s="37">
        <v>132896.1</v>
      </c>
      <c r="AP734" s="37">
        <v>135554.01999999999</v>
      </c>
      <c r="AQ734" s="37">
        <v>138265.1</v>
      </c>
      <c r="AR734" s="37">
        <v>1266817.5699999998</v>
      </c>
      <c r="AS734" s="37">
        <v>1511181</v>
      </c>
      <c r="AT734" s="37">
        <v>1040400</v>
      </c>
      <c r="AU734" s="37">
        <v>124848</v>
      </c>
      <c r="AV734" s="37">
        <v>0</v>
      </c>
      <c r="AW734" s="37">
        <v>0</v>
      </c>
      <c r="AX734" s="37">
        <v>0</v>
      </c>
      <c r="AY734" s="37">
        <v>0</v>
      </c>
      <c r="AZ734" s="37">
        <v>0</v>
      </c>
      <c r="BA734" s="37">
        <v>0</v>
      </c>
      <c r="BB734" s="37">
        <v>0</v>
      </c>
      <c r="BC734" s="37">
        <v>0</v>
      </c>
      <c r="BD734" s="37">
        <v>1165248</v>
      </c>
      <c r="BE734" s="37">
        <v>0</v>
      </c>
      <c r="BF734" s="37">
        <v>132720.80337227311</v>
      </c>
      <c r="BG734" s="37">
        <v>143056.2757470308</v>
      </c>
      <c r="BH734" s="37">
        <v>176108.60699923677</v>
      </c>
      <c r="BI734" s="37">
        <v>209161.00888145948</v>
      </c>
      <c r="BJ734" s="37">
        <v>22716.858877448161</v>
      </c>
      <c r="BK734" s="37">
        <v>110003.94449482483</v>
      </c>
      <c r="BL734" s="37">
        <v>143056.2757470308</v>
      </c>
      <c r="BM734" s="37">
        <v>176108.60699923677</v>
      </c>
      <c r="BN734" s="37">
        <v>209161.00888145948</v>
      </c>
      <c r="BO734" s="37">
        <v>0</v>
      </c>
      <c r="BP734" s="37">
        <v>1322093.3900000001</v>
      </c>
      <c r="BQ734" s="37">
        <v>0</v>
      </c>
      <c r="BR734" s="37">
        <v>28509.868094662783</v>
      </c>
      <c r="BS734" s="37">
        <v>30730.039662445291</v>
      </c>
      <c r="BT734" s="37">
        <v>37830.038911081188</v>
      </c>
      <c r="BU734" s="37">
        <v>44930.05333181077</v>
      </c>
      <c r="BV734" s="37">
        <v>4879.8276808533756</v>
      </c>
      <c r="BW734" s="37">
        <v>23630.04041380938</v>
      </c>
      <c r="BX734" s="37">
        <v>30730.039662445291</v>
      </c>
      <c r="BY734" s="37">
        <v>37830.038911081188</v>
      </c>
      <c r="BZ734" s="37">
        <v>44930.05333181077</v>
      </c>
      <c r="CA734" s="37">
        <v>0</v>
      </c>
      <c r="CB734" s="37">
        <v>284000</v>
      </c>
      <c r="CC734" s="37">
        <v>0</v>
      </c>
      <c r="CD734" s="37">
        <v>0</v>
      </c>
      <c r="CE734" s="37">
        <v>0</v>
      </c>
      <c r="CF734" s="37">
        <v>0</v>
      </c>
      <c r="CG734" s="37">
        <v>0</v>
      </c>
      <c r="CH734" s="37">
        <v>0</v>
      </c>
      <c r="CI734" s="37">
        <v>0</v>
      </c>
      <c r="CJ734" s="37">
        <v>0</v>
      </c>
      <c r="CK734" s="37">
        <v>0</v>
      </c>
      <c r="CL734" s="37">
        <v>0</v>
      </c>
      <c r="CM734" s="37">
        <v>0</v>
      </c>
      <c r="CN734" s="37">
        <v>0</v>
      </c>
      <c r="CO734" s="37">
        <v>0</v>
      </c>
      <c r="CP734" s="37">
        <v>0</v>
      </c>
      <c r="CQ734" s="37">
        <v>915924</v>
      </c>
      <c r="CR734" s="37">
        <v>0</v>
      </c>
      <c r="CS734" s="37">
        <v>0</v>
      </c>
      <c r="CT734" s="37">
        <v>0</v>
      </c>
      <c r="CU734" s="37">
        <v>0</v>
      </c>
      <c r="CV734" s="37">
        <v>0</v>
      </c>
      <c r="CW734" s="37">
        <v>0</v>
      </c>
      <c r="CX734" s="37">
        <v>0</v>
      </c>
      <c r="CY734" s="37">
        <v>0</v>
      </c>
      <c r="CZ734" s="37">
        <v>915924</v>
      </c>
      <c r="DA734" s="37">
        <v>0</v>
      </c>
      <c r="DB734" s="37">
        <v>0</v>
      </c>
      <c r="DC734" s="37">
        <v>228983</v>
      </c>
      <c r="DD734" s="37">
        <v>0</v>
      </c>
      <c r="DE734" s="37">
        <v>0</v>
      </c>
      <c r="DF734" s="37">
        <v>0</v>
      </c>
      <c r="DG734" s="37">
        <v>0</v>
      </c>
      <c r="DH734" s="37">
        <v>0</v>
      </c>
      <c r="DI734" s="37">
        <v>0</v>
      </c>
      <c r="DJ734" s="37">
        <v>0</v>
      </c>
      <c r="DK734" s="37">
        <v>0</v>
      </c>
      <c r="DL734" s="37">
        <v>228983</v>
      </c>
      <c r="DM734" s="37">
        <v>0</v>
      </c>
      <c r="DN734" s="37">
        <v>0</v>
      </c>
      <c r="DO734" s="37">
        <v>0</v>
      </c>
      <c r="DP734" s="37">
        <v>0</v>
      </c>
      <c r="DQ734" s="37">
        <v>0</v>
      </c>
      <c r="DR734" s="37">
        <v>0</v>
      </c>
      <c r="DS734" s="37">
        <v>0</v>
      </c>
      <c r="DT734" s="37">
        <v>0</v>
      </c>
      <c r="DU734" s="37">
        <v>0</v>
      </c>
      <c r="DV734" s="37">
        <v>0</v>
      </c>
      <c r="DW734" s="37">
        <v>0</v>
      </c>
      <c r="DX734" s="37">
        <v>0</v>
      </c>
      <c r="DY734" s="37">
        <v>0</v>
      </c>
      <c r="DZ734" s="37">
        <v>0</v>
      </c>
      <c r="EA734" s="37">
        <v>0</v>
      </c>
      <c r="EB734" s="37">
        <v>0</v>
      </c>
      <c r="EC734" s="37">
        <v>0</v>
      </c>
      <c r="ED734" s="37">
        <v>0</v>
      </c>
      <c r="EE734" s="37">
        <v>0</v>
      </c>
      <c r="EF734" s="37">
        <v>0</v>
      </c>
      <c r="EG734" s="37">
        <v>0</v>
      </c>
      <c r="EH734" s="37">
        <v>0</v>
      </c>
      <c r="EI734" s="37">
        <v>0</v>
      </c>
      <c r="EJ734" s="37">
        <v>0</v>
      </c>
      <c r="EK734" s="161" t="s">
        <v>2935</v>
      </c>
      <c r="EL734" s="294" t="s">
        <v>1124</v>
      </c>
    </row>
    <row r="735" spans="1:142" ht="15" customHeight="1" x14ac:dyDescent="0.35">
      <c r="A735" s="34"/>
      <c r="B735" s="313">
        <v>77012</v>
      </c>
      <c r="C735" s="8" t="s">
        <v>757</v>
      </c>
      <c r="D735" s="18">
        <v>15</v>
      </c>
      <c r="E735" s="155">
        <v>182637.8</v>
      </c>
      <c r="F735" s="36">
        <v>141828.45000000001</v>
      </c>
      <c r="G735" s="37">
        <v>34817</v>
      </c>
      <c r="H735" s="37">
        <v>5914</v>
      </c>
      <c r="I735" s="37">
        <v>199091</v>
      </c>
      <c r="J735" s="37">
        <v>14815</v>
      </c>
      <c r="K735" s="37">
        <v>32230.199999999997</v>
      </c>
      <c r="L735" s="37">
        <v>25028.55</v>
      </c>
      <c r="M735" s="37">
        <v>448776</v>
      </c>
      <c r="N735" s="37">
        <v>187586</v>
      </c>
      <c r="O735" s="37">
        <v>48011</v>
      </c>
      <c r="P735" s="37">
        <v>42215</v>
      </c>
      <c r="Q735" s="37">
        <v>267201</v>
      </c>
      <c r="R735" s="37">
        <v>136645</v>
      </c>
      <c r="S735" s="37">
        <v>61136</v>
      </c>
      <c r="T735" s="37">
        <v>54158</v>
      </c>
      <c r="U735" s="37">
        <v>16091</v>
      </c>
      <c r="V735" s="37">
        <v>3515</v>
      </c>
      <c r="W735" s="37">
        <v>7390</v>
      </c>
      <c r="X735" s="37">
        <v>0</v>
      </c>
      <c r="Y735" s="37">
        <v>0</v>
      </c>
      <c r="Z735" s="37">
        <v>0</v>
      </c>
      <c r="AA735" s="37">
        <v>399829</v>
      </c>
      <c r="AB735" s="37">
        <v>236533</v>
      </c>
      <c r="AC735" s="37">
        <v>0</v>
      </c>
      <c r="AD735" s="37">
        <v>0</v>
      </c>
      <c r="AE735" s="37">
        <v>0</v>
      </c>
      <c r="AF735" s="168">
        <v>0.02</v>
      </c>
      <c r="AG735" s="37">
        <v>25726091.550000001</v>
      </c>
      <c r="AH735" s="37">
        <v>237184.69</v>
      </c>
      <c r="AI735" s="37">
        <v>293948.39</v>
      </c>
      <c r="AJ735" s="37">
        <v>246766.95</v>
      </c>
      <c r="AK735" s="37">
        <v>251702.29</v>
      </c>
      <c r="AL735" s="37">
        <v>256736.34</v>
      </c>
      <c r="AM735" s="37">
        <v>261871.07</v>
      </c>
      <c r="AN735" s="37">
        <v>267108.49</v>
      </c>
      <c r="AO735" s="37">
        <v>272450.65999999997</v>
      </c>
      <c r="AP735" s="37">
        <v>277899.67</v>
      </c>
      <c r="AQ735" s="37">
        <v>283457.65999999997</v>
      </c>
      <c r="AR735" s="37">
        <v>2649126.2100000004</v>
      </c>
      <c r="AS735" s="37">
        <v>159181.20000000001</v>
      </c>
      <c r="AT735" s="37">
        <v>0</v>
      </c>
      <c r="AU735" s="37">
        <v>344892.6</v>
      </c>
      <c r="AV735" s="37">
        <v>0</v>
      </c>
      <c r="AW735" s="37">
        <v>0</v>
      </c>
      <c r="AX735" s="37">
        <v>0</v>
      </c>
      <c r="AY735" s="37">
        <v>0</v>
      </c>
      <c r="AZ735" s="37">
        <v>0</v>
      </c>
      <c r="BA735" s="37">
        <v>0</v>
      </c>
      <c r="BB735" s="37">
        <v>0</v>
      </c>
      <c r="BC735" s="37">
        <v>0</v>
      </c>
      <c r="BD735" s="37">
        <v>344892.6</v>
      </c>
      <c r="BE735" s="37">
        <v>328355</v>
      </c>
      <c r="BF735" s="37">
        <v>25000</v>
      </c>
      <c r="BG735" s="37">
        <v>40000</v>
      </c>
      <c r="BH735" s="37">
        <v>0</v>
      </c>
      <c r="BI735" s="37">
        <v>0</v>
      </c>
      <c r="BJ735" s="37">
        <v>0</v>
      </c>
      <c r="BK735" s="37">
        <v>0</v>
      </c>
      <c r="BL735" s="37">
        <v>0</v>
      </c>
      <c r="BM735" s="37">
        <v>0</v>
      </c>
      <c r="BN735" s="37">
        <v>0</v>
      </c>
      <c r="BO735" s="37">
        <v>0</v>
      </c>
      <c r="BP735" s="37">
        <v>65000</v>
      </c>
      <c r="BQ735" s="37">
        <v>0</v>
      </c>
      <c r="BR735" s="37">
        <v>0</v>
      </c>
      <c r="BS735" s="37">
        <v>60000</v>
      </c>
      <c r="BT735" s="37">
        <v>0</v>
      </c>
      <c r="BU735" s="37">
        <v>0</v>
      </c>
      <c r="BV735" s="37">
        <v>0</v>
      </c>
      <c r="BW735" s="37">
        <v>0</v>
      </c>
      <c r="BX735" s="37">
        <v>0</v>
      </c>
      <c r="BY735" s="37">
        <v>0</v>
      </c>
      <c r="BZ735" s="37">
        <v>0</v>
      </c>
      <c r="CA735" s="37">
        <v>0</v>
      </c>
      <c r="CB735" s="37">
        <v>60000</v>
      </c>
      <c r="CC735" s="37">
        <v>0</v>
      </c>
      <c r="CD735" s="37">
        <v>25000</v>
      </c>
      <c r="CE735" s="37">
        <v>0</v>
      </c>
      <c r="CF735" s="37">
        <v>0</v>
      </c>
      <c r="CG735" s="37">
        <v>0</v>
      </c>
      <c r="CH735" s="37">
        <v>0</v>
      </c>
      <c r="CI735" s="37">
        <v>0</v>
      </c>
      <c r="CJ735" s="37">
        <v>0</v>
      </c>
      <c r="CK735" s="37">
        <v>0</v>
      </c>
      <c r="CL735" s="37">
        <v>0</v>
      </c>
      <c r="CM735" s="37">
        <v>0</v>
      </c>
      <c r="CN735" s="37">
        <v>25000</v>
      </c>
      <c r="CO735" s="37">
        <v>32350</v>
      </c>
      <c r="CP735" s="37">
        <v>0</v>
      </c>
      <c r="CQ735" s="37">
        <v>0</v>
      </c>
      <c r="CR735" s="37">
        <v>0</v>
      </c>
      <c r="CS735" s="37">
        <v>0</v>
      </c>
      <c r="CT735" s="37">
        <v>0</v>
      </c>
      <c r="CU735" s="37">
        <v>0</v>
      </c>
      <c r="CV735" s="37">
        <v>0</v>
      </c>
      <c r="CW735" s="37">
        <v>0</v>
      </c>
      <c r="CX735" s="37">
        <v>0</v>
      </c>
      <c r="CY735" s="37">
        <v>0</v>
      </c>
      <c r="CZ735" s="37">
        <v>0</v>
      </c>
      <c r="DA735" s="37">
        <v>0</v>
      </c>
      <c r="DB735" s="37">
        <v>0</v>
      </c>
      <c r="DC735" s="37">
        <v>0</v>
      </c>
      <c r="DD735" s="37">
        <v>0</v>
      </c>
      <c r="DE735" s="37">
        <v>0</v>
      </c>
      <c r="DF735" s="37">
        <v>0</v>
      </c>
      <c r="DG735" s="37">
        <v>0</v>
      </c>
      <c r="DH735" s="37">
        <v>0</v>
      </c>
      <c r="DI735" s="37">
        <v>0</v>
      </c>
      <c r="DJ735" s="37">
        <v>0</v>
      </c>
      <c r="DK735" s="37">
        <v>0</v>
      </c>
      <c r="DL735" s="37">
        <v>0</v>
      </c>
      <c r="DM735" s="37">
        <v>0</v>
      </c>
      <c r="DN735" s="37">
        <v>0</v>
      </c>
      <c r="DO735" s="37">
        <v>0</v>
      </c>
      <c r="DP735" s="37">
        <v>0</v>
      </c>
      <c r="DQ735" s="37">
        <v>0</v>
      </c>
      <c r="DR735" s="37">
        <v>0</v>
      </c>
      <c r="DS735" s="37">
        <v>0</v>
      </c>
      <c r="DT735" s="37">
        <v>0</v>
      </c>
      <c r="DU735" s="37">
        <v>0</v>
      </c>
      <c r="DV735" s="37">
        <v>0</v>
      </c>
      <c r="DW735" s="37">
        <v>0</v>
      </c>
      <c r="DX735" s="37">
        <v>0</v>
      </c>
      <c r="DY735" s="37">
        <v>0</v>
      </c>
      <c r="DZ735" s="37">
        <v>0</v>
      </c>
      <c r="EA735" s="37">
        <v>0</v>
      </c>
      <c r="EB735" s="37">
        <v>0</v>
      </c>
      <c r="EC735" s="37">
        <v>0</v>
      </c>
      <c r="ED735" s="37">
        <v>0</v>
      </c>
      <c r="EE735" s="37">
        <v>0</v>
      </c>
      <c r="EF735" s="37">
        <v>0</v>
      </c>
      <c r="EG735" s="37">
        <v>0</v>
      </c>
      <c r="EH735" s="37">
        <v>0</v>
      </c>
      <c r="EI735" s="37">
        <v>0</v>
      </c>
      <c r="EJ735" s="37">
        <v>0</v>
      </c>
      <c r="EK735" s="161" t="s">
        <v>2939</v>
      </c>
      <c r="EL735" s="294" t="s">
        <v>1124</v>
      </c>
    </row>
    <row r="736" spans="1:142" ht="15" customHeight="1" x14ac:dyDescent="0.35">
      <c r="A736" s="34"/>
      <c r="B736" s="313">
        <v>7005</v>
      </c>
      <c r="C736" s="8" t="s">
        <v>1068</v>
      </c>
      <c r="D736" s="18">
        <v>1</v>
      </c>
      <c r="E736" s="155"/>
      <c r="F736" s="36"/>
      <c r="G736" s="37"/>
      <c r="H736" s="37"/>
      <c r="I736" s="37"/>
      <c r="J736" s="37"/>
      <c r="K736" s="37"/>
      <c r="L736" s="37"/>
      <c r="M736" s="37" t="s">
        <v>1124</v>
      </c>
      <c r="N736" s="37" t="s">
        <v>1124</v>
      </c>
      <c r="O736" s="37"/>
      <c r="P736" s="37"/>
      <c r="Q736" s="37"/>
      <c r="R736" s="37"/>
      <c r="S736" s="37"/>
      <c r="T736" s="37"/>
      <c r="U736" s="37"/>
      <c r="V736" s="37"/>
      <c r="W736" s="37"/>
      <c r="X736" s="37"/>
      <c r="Y736" s="37"/>
      <c r="Z736" s="37"/>
      <c r="AA736" s="37" t="s">
        <v>1124</v>
      </c>
      <c r="AB736" s="37" t="s">
        <v>1124</v>
      </c>
      <c r="AC736" s="37"/>
      <c r="AD736" s="37"/>
      <c r="AE736" s="37"/>
      <c r="AF736" s="168"/>
      <c r="AG736" s="37"/>
      <c r="AH736" s="37"/>
      <c r="AI736" s="37"/>
      <c r="AJ736" s="37"/>
      <c r="AK736" s="37"/>
      <c r="AL736" s="37"/>
      <c r="AM736" s="37"/>
      <c r="AN736" s="37"/>
      <c r="AO736" s="37"/>
      <c r="AP736" s="37"/>
      <c r="AQ736" s="37"/>
      <c r="AR736" s="37" t="s">
        <v>1124</v>
      </c>
      <c r="AS736" s="37"/>
      <c r="AT736" s="37"/>
      <c r="AU736" s="37"/>
      <c r="AV736" s="37"/>
      <c r="AW736" s="37"/>
      <c r="AX736" s="37"/>
      <c r="AY736" s="37"/>
      <c r="AZ736" s="37"/>
      <c r="BA736" s="37"/>
      <c r="BB736" s="37"/>
      <c r="BC736" s="37"/>
      <c r="BD736" s="37" t="s">
        <v>1124</v>
      </c>
      <c r="BE736" s="37"/>
      <c r="BF736" s="37"/>
      <c r="BG736" s="37"/>
      <c r="BH736" s="37"/>
      <c r="BI736" s="37"/>
      <c r="BJ736" s="37"/>
      <c r="BK736" s="37"/>
      <c r="BL736" s="37"/>
      <c r="BM736" s="37"/>
      <c r="BN736" s="37"/>
      <c r="BO736" s="37"/>
      <c r="BP736" s="37">
        <v>0</v>
      </c>
      <c r="BQ736" s="37"/>
      <c r="BR736" s="37"/>
      <c r="BS736" s="37"/>
      <c r="BT736" s="37"/>
      <c r="BU736" s="37"/>
      <c r="BV736" s="37"/>
      <c r="BW736" s="37"/>
      <c r="BX736" s="37"/>
      <c r="BY736" s="37"/>
      <c r="BZ736" s="37"/>
      <c r="CA736" s="37"/>
      <c r="CB736" s="37" t="s">
        <v>1124</v>
      </c>
      <c r="CC736" s="37"/>
      <c r="CD736" s="37"/>
      <c r="CE736" s="37"/>
      <c r="CF736" s="37"/>
      <c r="CG736" s="37"/>
      <c r="CH736" s="37"/>
      <c r="CI736" s="37"/>
      <c r="CJ736" s="37"/>
      <c r="CK736" s="37"/>
      <c r="CL736" s="37"/>
      <c r="CM736" s="37"/>
      <c r="CN736" s="37" t="s">
        <v>1124</v>
      </c>
      <c r="CO736" s="37"/>
      <c r="CP736" s="37"/>
      <c r="CQ736" s="37"/>
      <c r="CR736" s="37"/>
      <c r="CS736" s="37"/>
      <c r="CT736" s="37"/>
      <c r="CU736" s="37"/>
      <c r="CV736" s="37"/>
      <c r="CW736" s="37"/>
      <c r="CX736" s="37"/>
      <c r="CY736" s="37"/>
      <c r="CZ736" s="37" t="s">
        <v>1124</v>
      </c>
      <c r="DA736" s="37"/>
      <c r="DB736" s="37"/>
      <c r="DC736" s="37"/>
      <c r="DD736" s="37"/>
      <c r="DE736" s="37"/>
      <c r="DF736" s="37"/>
      <c r="DG736" s="37"/>
      <c r="DH736" s="37"/>
      <c r="DI736" s="37"/>
      <c r="DJ736" s="37"/>
      <c r="DK736" s="37"/>
      <c r="DL736" s="37" t="s">
        <v>1124</v>
      </c>
      <c r="DM736" s="37"/>
      <c r="DN736" s="37"/>
      <c r="DO736" s="37"/>
      <c r="DP736" s="37"/>
      <c r="DQ736" s="37"/>
      <c r="DR736" s="37"/>
      <c r="DS736" s="37"/>
      <c r="DT736" s="37"/>
      <c r="DU736" s="37"/>
      <c r="DV736" s="37"/>
      <c r="DW736" s="37"/>
      <c r="DX736" s="37" t="s">
        <v>1124</v>
      </c>
      <c r="DY736" s="37"/>
      <c r="DZ736" s="37"/>
      <c r="EA736" s="37"/>
      <c r="EB736" s="37"/>
      <c r="EC736" s="37"/>
      <c r="ED736" s="37"/>
      <c r="EE736" s="37"/>
      <c r="EF736" s="37"/>
      <c r="EG736" s="37"/>
      <c r="EH736" s="37"/>
      <c r="EI736" s="37"/>
      <c r="EJ736" s="37" t="s">
        <v>1124</v>
      </c>
      <c r="EK736" s="161"/>
      <c r="EL736" s="294"/>
    </row>
    <row r="737" spans="1:142" ht="15" customHeight="1" x14ac:dyDescent="0.35">
      <c r="A737" s="34"/>
      <c r="B737" s="313">
        <v>26030</v>
      </c>
      <c r="C737" s="8" t="s">
        <v>171</v>
      </c>
      <c r="D737" s="18">
        <v>12</v>
      </c>
      <c r="E737" s="155">
        <v>1499651</v>
      </c>
      <c r="F737" s="36">
        <v>1103451</v>
      </c>
      <c r="G737" s="37">
        <v>340799</v>
      </c>
      <c r="H737" s="37">
        <v>124200</v>
      </c>
      <c r="I737" s="37">
        <v>902375</v>
      </c>
      <c r="J737" s="37">
        <v>326438</v>
      </c>
      <c r="K737" s="37">
        <v>224948</v>
      </c>
      <c r="L737" s="37">
        <v>165518</v>
      </c>
      <c r="M737" s="37">
        <v>2967773</v>
      </c>
      <c r="N737" s="37">
        <v>1719607</v>
      </c>
      <c r="O737" s="37">
        <v>231000</v>
      </c>
      <c r="P737" s="37">
        <v>0</v>
      </c>
      <c r="Q737" s="37">
        <v>1822000</v>
      </c>
      <c r="R737" s="37">
        <v>800000</v>
      </c>
      <c r="S737" s="37">
        <v>30663</v>
      </c>
      <c r="T737" s="37">
        <v>71549</v>
      </c>
      <c r="U737" s="37">
        <v>129147</v>
      </c>
      <c r="V737" s="37">
        <v>153499</v>
      </c>
      <c r="W737" s="37">
        <v>844081</v>
      </c>
      <c r="X737" s="37">
        <v>844081</v>
      </c>
      <c r="Y737" s="37">
        <v>0</v>
      </c>
      <c r="Z737" s="37">
        <v>0</v>
      </c>
      <c r="AA737" s="37">
        <v>3056891</v>
      </c>
      <c r="AB737" s="37">
        <v>1869129</v>
      </c>
      <c r="AC737" s="37">
        <v>238640</v>
      </c>
      <c r="AD737" s="37">
        <v>238640</v>
      </c>
      <c r="AE737" s="37">
        <v>347605</v>
      </c>
      <c r="AF737" s="168">
        <v>0.02</v>
      </c>
      <c r="AG737" s="37">
        <v>222456138.41999999</v>
      </c>
      <c r="AH737" s="37">
        <v>1276330.03</v>
      </c>
      <c r="AI737" s="37">
        <v>1669117.83</v>
      </c>
      <c r="AJ737" s="37">
        <v>1327893.77</v>
      </c>
      <c r="AK737" s="37">
        <v>1354451.64</v>
      </c>
      <c r="AL737" s="37">
        <v>1381540.67</v>
      </c>
      <c r="AM737" s="37">
        <v>1409171.49</v>
      </c>
      <c r="AN737" s="37">
        <v>1437354.92</v>
      </c>
      <c r="AO737" s="37">
        <v>1466102.02</v>
      </c>
      <c r="AP737" s="37">
        <v>1495424.06</v>
      </c>
      <c r="AQ737" s="37">
        <v>1525332.54</v>
      </c>
      <c r="AR737" s="37">
        <v>14342718.969999999</v>
      </c>
      <c r="AS737" s="37">
        <v>7366457.3399999999</v>
      </c>
      <c r="AT737" s="37">
        <v>0</v>
      </c>
      <c r="AU737" s="37">
        <v>0</v>
      </c>
      <c r="AV737" s="37">
        <v>0</v>
      </c>
      <c r="AW737" s="37">
        <v>0</v>
      </c>
      <c r="AX737" s="37">
        <v>0</v>
      </c>
      <c r="AY737" s="37">
        <v>574342.82999999996</v>
      </c>
      <c r="AZ737" s="37">
        <v>585829.68999999994</v>
      </c>
      <c r="BA737" s="37">
        <v>597546.28</v>
      </c>
      <c r="BB737" s="37">
        <v>609497.21</v>
      </c>
      <c r="BC737" s="37">
        <v>621687.15</v>
      </c>
      <c r="BD737" s="37">
        <v>2988903.16</v>
      </c>
      <c r="BE737" s="37">
        <v>725034</v>
      </c>
      <c r="BF737" s="37">
        <v>1653948</v>
      </c>
      <c r="BG737" s="37">
        <v>742016.25</v>
      </c>
      <c r="BH737" s="37">
        <v>865685.625</v>
      </c>
      <c r="BI737" s="37">
        <v>865685.625</v>
      </c>
      <c r="BJ737" s="37">
        <v>0</v>
      </c>
      <c r="BK737" s="37">
        <v>0</v>
      </c>
      <c r="BL737" s="37">
        <v>0</v>
      </c>
      <c r="BM737" s="37">
        <v>0</v>
      </c>
      <c r="BN737" s="37">
        <v>0</v>
      </c>
      <c r="BO737" s="37">
        <v>0</v>
      </c>
      <c r="BP737" s="37">
        <v>4127335.5</v>
      </c>
      <c r="BQ737" s="37">
        <v>0</v>
      </c>
      <c r="BR737" s="37">
        <v>413489</v>
      </c>
      <c r="BS737" s="37">
        <v>658162.5</v>
      </c>
      <c r="BT737" s="37">
        <v>767856.25</v>
      </c>
      <c r="BU737" s="37">
        <v>767856.25</v>
      </c>
      <c r="BV737" s="37">
        <v>75392.478544592959</v>
      </c>
      <c r="BW737" s="37">
        <v>365079.96417497221</v>
      </c>
      <c r="BX737" s="37">
        <v>474773.70256652933</v>
      </c>
      <c r="BY737" s="37">
        <v>584467.44095808617</v>
      </c>
      <c r="BZ737" s="37">
        <v>694161.41375581943</v>
      </c>
      <c r="CA737" s="37">
        <v>0</v>
      </c>
      <c r="CB737" s="37">
        <v>4801239</v>
      </c>
      <c r="CC737" s="37">
        <v>0</v>
      </c>
      <c r="CD737" s="37">
        <v>0</v>
      </c>
      <c r="CE737" s="37">
        <v>0</v>
      </c>
      <c r="CF737" s="37">
        <v>0</v>
      </c>
      <c r="CG737" s="37">
        <v>0</v>
      </c>
      <c r="CH737" s="37">
        <v>0</v>
      </c>
      <c r="CI737" s="37">
        <v>0</v>
      </c>
      <c r="CJ737" s="37">
        <v>0</v>
      </c>
      <c r="CK737" s="37">
        <v>0</v>
      </c>
      <c r="CL737" s="37">
        <v>0</v>
      </c>
      <c r="CM737" s="37">
        <v>0</v>
      </c>
      <c r="CN737" s="37">
        <v>0</v>
      </c>
      <c r="CO737" s="37">
        <v>0</v>
      </c>
      <c r="CP737" s="37">
        <v>0</v>
      </c>
      <c r="CQ737" s="37">
        <v>0</v>
      </c>
      <c r="CR737" s="37">
        <v>0</v>
      </c>
      <c r="CS737" s="37">
        <v>0</v>
      </c>
      <c r="CT737" s="37">
        <v>84997.921042089642</v>
      </c>
      <c r="CU737" s="37">
        <v>411593.28580289404</v>
      </c>
      <c r="CV737" s="37">
        <v>535262.64771546761</v>
      </c>
      <c r="CW737" s="37">
        <v>658932.00962804095</v>
      </c>
      <c r="CX737" s="37">
        <v>782601.63581150782</v>
      </c>
      <c r="CY737" s="37">
        <v>0</v>
      </c>
      <c r="CZ737" s="37">
        <v>2473387.5000000005</v>
      </c>
      <c r="DA737" s="37">
        <v>0</v>
      </c>
      <c r="DB737" s="37">
        <v>0</v>
      </c>
      <c r="DC737" s="37">
        <v>0</v>
      </c>
      <c r="DD737" s="37">
        <v>0</v>
      </c>
      <c r="DE737" s="37">
        <v>0</v>
      </c>
      <c r="DF737" s="37">
        <v>0</v>
      </c>
      <c r="DG737" s="37">
        <v>0</v>
      </c>
      <c r="DH737" s="37">
        <v>0</v>
      </c>
      <c r="DI737" s="37">
        <v>0</v>
      </c>
      <c r="DJ737" s="37">
        <v>0</v>
      </c>
      <c r="DK737" s="37">
        <v>0</v>
      </c>
      <c r="DL737" s="37">
        <v>0</v>
      </c>
      <c r="DM737" s="37">
        <v>0</v>
      </c>
      <c r="DN737" s="37">
        <v>0</v>
      </c>
      <c r="DO737" s="37">
        <v>0</v>
      </c>
      <c r="DP737" s="37">
        <v>0</v>
      </c>
      <c r="DQ737" s="37">
        <v>0</v>
      </c>
      <c r="DR737" s="37">
        <v>0</v>
      </c>
      <c r="DS737" s="37">
        <v>0</v>
      </c>
      <c r="DT737" s="37">
        <v>0</v>
      </c>
      <c r="DU737" s="37">
        <v>0</v>
      </c>
      <c r="DV737" s="37">
        <v>0</v>
      </c>
      <c r="DW737" s="37">
        <v>0</v>
      </c>
      <c r="DX737" s="37">
        <v>0</v>
      </c>
      <c r="DY737" s="37">
        <v>0</v>
      </c>
      <c r="DZ737" s="37">
        <v>0</v>
      </c>
      <c r="EA737" s="37">
        <v>0</v>
      </c>
      <c r="EB737" s="37">
        <v>0</v>
      </c>
      <c r="EC737" s="37">
        <v>0</v>
      </c>
      <c r="ED737" s="37">
        <v>0</v>
      </c>
      <c r="EE737" s="37">
        <v>0</v>
      </c>
      <c r="EF737" s="37">
        <v>0</v>
      </c>
      <c r="EG737" s="37">
        <v>0</v>
      </c>
      <c r="EH737" s="37">
        <v>0</v>
      </c>
      <c r="EI737" s="37">
        <v>0</v>
      </c>
      <c r="EJ737" s="37">
        <v>0</v>
      </c>
      <c r="EK737" s="161" t="s">
        <v>2943</v>
      </c>
      <c r="EL737" s="294" t="s">
        <v>1124</v>
      </c>
    </row>
    <row r="738" spans="1:142" ht="15" customHeight="1" x14ac:dyDescent="0.35">
      <c r="A738" s="34"/>
      <c r="B738" s="313">
        <v>38015</v>
      </c>
      <c r="C738" s="8" t="s">
        <v>327</v>
      </c>
      <c r="D738" s="18">
        <v>17</v>
      </c>
      <c r="E738" s="155">
        <v>60467</v>
      </c>
      <c r="F738" s="36">
        <v>6512</v>
      </c>
      <c r="G738" s="37">
        <v>196</v>
      </c>
      <c r="H738" s="37">
        <v>0</v>
      </c>
      <c r="I738" s="37">
        <v>6200</v>
      </c>
      <c r="J738" s="37">
        <v>0</v>
      </c>
      <c r="K738" s="37">
        <v>9070.0499999999993</v>
      </c>
      <c r="L738" s="37">
        <v>976.8</v>
      </c>
      <c r="M738" s="37">
        <v>75933.05</v>
      </c>
      <c r="N738" s="37">
        <v>7488.8</v>
      </c>
      <c r="O738" s="37">
        <v>0</v>
      </c>
      <c r="P738" s="37">
        <v>0</v>
      </c>
      <c r="Q738" s="37">
        <v>37621</v>
      </c>
      <c r="R738" s="37">
        <v>35970</v>
      </c>
      <c r="S738" s="37">
        <v>2933</v>
      </c>
      <c r="T738" s="37">
        <v>0</v>
      </c>
      <c r="U738" s="37">
        <v>0</v>
      </c>
      <c r="V738" s="37">
        <v>0</v>
      </c>
      <c r="W738" s="37">
        <v>6898</v>
      </c>
      <c r="X738" s="37">
        <v>0</v>
      </c>
      <c r="Y738" s="37">
        <v>0</v>
      </c>
      <c r="Z738" s="37">
        <v>0</v>
      </c>
      <c r="AA738" s="37">
        <v>47452</v>
      </c>
      <c r="AB738" s="37">
        <v>35970</v>
      </c>
      <c r="AC738" s="37">
        <v>0</v>
      </c>
      <c r="AD738" s="37">
        <v>0</v>
      </c>
      <c r="AE738" s="37">
        <v>0</v>
      </c>
      <c r="AF738" s="168">
        <v>0.02</v>
      </c>
      <c r="AG738" s="37">
        <v>5765750.3899999997</v>
      </c>
      <c r="AH738" s="37">
        <v>46178.400000000001</v>
      </c>
      <c r="AI738" s="37">
        <v>47101.97</v>
      </c>
      <c r="AJ738" s="37">
        <v>48044.01</v>
      </c>
      <c r="AK738" s="37">
        <v>49004.89</v>
      </c>
      <c r="AL738" s="37">
        <v>49984.99</v>
      </c>
      <c r="AM738" s="37">
        <v>50984.68</v>
      </c>
      <c r="AN738" s="37">
        <v>52004.38</v>
      </c>
      <c r="AO738" s="37">
        <v>53044.47</v>
      </c>
      <c r="AP738" s="37">
        <v>54105.36</v>
      </c>
      <c r="AQ738" s="37">
        <v>55187.46</v>
      </c>
      <c r="AR738" s="37">
        <v>505640.6100000001</v>
      </c>
      <c r="AS738" s="37">
        <v>162302.39999999999</v>
      </c>
      <c r="AT738" s="37">
        <v>23409</v>
      </c>
      <c r="AU738" s="37">
        <v>6930218.8399999999</v>
      </c>
      <c r="AV738" s="37">
        <v>7035809.04</v>
      </c>
      <c r="AW738" s="37">
        <v>220816.16</v>
      </c>
      <c r="AX738" s="37">
        <v>225232.48</v>
      </c>
      <c r="AY738" s="37">
        <v>0</v>
      </c>
      <c r="AZ738" s="37">
        <v>0</v>
      </c>
      <c r="BA738" s="37">
        <v>0</v>
      </c>
      <c r="BB738" s="37">
        <v>0</v>
      </c>
      <c r="BC738" s="37">
        <v>0</v>
      </c>
      <c r="BD738" s="37">
        <v>14435485.52</v>
      </c>
      <c r="BE738" s="37">
        <v>35593</v>
      </c>
      <c r="BF738" s="37">
        <v>25510.63800205302</v>
      </c>
      <c r="BG738" s="37">
        <v>27497.248146305246</v>
      </c>
      <c r="BH738" s="37">
        <v>33850.329473984435</v>
      </c>
      <c r="BI738" s="37">
        <v>40203.424377657328</v>
      </c>
      <c r="BJ738" s="37">
        <v>4366.4711834269474</v>
      </c>
      <c r="BK738" s="37">
        <v>21144.166818626047</v>
      </c>
      <c r="BL738" s="37">
        <v>27497.248146305246</v>
      </c>
      <c r="BM738" s="37">
        <v>33850.329473984435</v>
      </c>
      <c r="BN738" s="37">
        <v>40203.424377657328</v>
      </c>
      <c r="BO738" s="37">
        <v>0</v>
      </c>
      <c r="BP738" s="37">
        <v>254123.28</v>
      </c>
      <c r="BQ738" s="37">
        <v>0</v>
      </c>
      <c r="BR738" s="37">
        <v>0</v>
      </c>
      <c r="BS738" s="37">
        <v>0</v>
      </c>
      <c r="BT738" s="37">
        <v>0</v>
      </c>
      <c r="BU738" s="37">
        <v>0</v>
      </c>
      <c r="BV738" s="37">
        <v>0</v>
      </c>
      <c r="BW738" s="37">
        <v>0</v>
      </c>
      <c r="BX738" s="37">
        <v>0</v>
      </c>
      <c r="BY738" s="37">
        <v>0</v>
      </c>
      <c r="BZ738" s="37">
        <v>0</v>
      </c>
      <c r="CA738" s="37">
        <v>0</v>
      </c>
      <c r="CB738" s="37">
        <v>0</v>
      </c>
      <c r="CC738" s="37">
        <v>0</v>
      </c>
      <c r="CD738" s="37">
        <v>0</v>
      </c>
      <c r="CE738" s="37">
        <v>0</v>
      </c>
      <c r="CF738" s="37">
        <v>0</v>
      </c>
      <c r="CG738" s="37">
        <v>0</v>
      </c>
      <c r="CH738" s="37">
        <v>0</v>
      </c>
      <c r="CI738" s="37">
        <v>0</v>
      </c>
      <c r="CJ738" s="37">
        <v>0</v>
      </c>
      <c r="CK738" s="37">
        <v>0</v>
      </c>
      <c r="CL738" s="37">
        <v>0</v>
      </c>
      <c r="CM738" s="37">
        <v>0</v>
      </c>
      <c r="CN738" s="37">
        <v>0</v>
      </c>
      <c r="CO738" s="37">
        <v>0</v>
      </c>
      <c r="CP738" s="37">
        <v>0</v>
      </c>
      <c r="CQ738" s="37">
        <v>0</v>
      </c>
      <c r="CR738" s="37">
        <v>0</v>
      </c>
      <c r="CS738" s="37">
        <v>0</v>
      </c>
      <c r="CT738" s="37">
        <v>0</v>
      </c>
      <c r="CU738" s="37">
        <v>0</v>
      </c>
      <c r="CV738" s="37">
        <v>0</v>
      </c>
      <c r="CW738" s="37">
        <v>0</v>
      </c>
      <c r="CX738" s="37">
        <v>0</v>
      </c>
      <c r="CY738" s="37">
        <v>0</v>
      </c>
      <c r="CZ738" s="37">
        <v>0</v>
      </c>
      <c r="DA738" s="37">
        <v>0</v>
      </c>
      <c r="DB738" s="37">
        <v>0</v>
      </c>
      <c r="DC738" s="37">
        <v>0</v>
      </c>
      <c r="DD738" s="37">
        <v>0</v>
      </c>
      <c r="DE738" s="37">
        <v>0</v>
      </c>
      <c r="DF738" s="37">
        <v>0</v>
      </c>
      <c r="DG738" s="37">
        <v>0</v>
      </c>
      <c r="DH738" s="37">
        <v>0</v>
      </c>
      <c r="DI738" s="37">
        <v>0</v>
      </c>
      <c r="DJ738" s="37">
        <v>0</v>
      </c>
      <c r="DK738" s="37">
        <v>0</v>
      </c>
      <c r="DL738" s="37">
        <v>0</v>
      </c>
      <c r="DM738" s="37">
        <v>0</v>
      </c>
      <c r="DN738" s="37">
        <v>0</v>
      </c>
      <c r="DO738" s="37">
        <v>0</v>
      </c>
      <c r="DP738" s="37">
        <v>0</v>
      </c>
      <c r="DQ738" s="37">
        <v>0</v>
      </c>
      <c r="DR738" s="37">
        <v>0</v>
      </c>
      <c r="DS738" s="37">
        <v>0</v>
      </c>
      <c r="DT738" s="37">
        <v>0</v>
      </c>
      <c r="DU738" s="37">
        <v>0</v>
      </c>
      <c r="DV738" s="37">
        <v>0</v>
      </c>
      <c r="DW738" s="37">
        <v>0</v>
      </c>
      <c r="DX738" s="37">
        <v>0</v>
      </c>
      <c r="DY738" s="37">
        <v>0</v>
      </c>
      <c r="DZ738" s="37">
        <v>0</v>
      </c>
      <c r="EA738" s="37">
        <v>0</v>
      </c>
      <c r="EB738" s="37">
        <v>0</v>
      </c>
      <c r="EC738" s="37">
        <v>0</v>
      </c>
      <c r="ED738" s="37">
        <v>0</v>
      </c>
      <c r="EE738" s="37">
        <v>0</v>
      </c>
      <c r="EF738" s="37">
        <v>0</v>
      </c>
      <c r="EG738" s="37">
        <v>0</v>
      </c>
      <c r="EH738" s="37">
        <v>0</v>
      </c>
      <c r="EI738" s="37">
        <v>0</v>
      </c>
      <c r="EJ738" s="37">
        <v>0</v>
      </c>
      <c r="EK738" s="161" t="s">
        <v>2948</v>
      </c>
      <c r="EL738" s="294" t="s">
        <v>1124</v>
      </c>
    </row>
    <row r="739" spans="1:142" ht="15" customHeight="1" x14ac:dyDescent="0.35">
      <c r="A739" s="34"/>
      <c r="B739" s="313">
        <v>54030</v>
      </c>
      <c r="C739" s="8" t="s">
        <v>545</v>
      </c>
      <c r="D739" s="18">
        <v>16</v>
      </c>
      <c r="E739" s="155">
        <v>386132</v>
      </c>
      <c r="F739" s="36">
        <v>276469</v>
      </c>
      <c r="G739" s="37">
        <v>0</v>
      </c>
      <c r="H739" s="37">
        <v>10515</v>
      </c>
      <c r="I739" s="37">
        <v>0</v>
      </c>
      <c r="J739" s="37">
        <v>246155.23</v>
      </c>
      <c r="K739" s="37">
        <v>57919.799999999996</v>
      </c>
      <c r="L739" s="37">
        <v>41470.35</v>
      </c>
      <c r="M739" s="37">
        <v>444051.8</v>
      </c>
      <c r="N739" s="37">
        <v>574609.58000000007</v>
      </c>
      <c r="O739" s="37">
        <v>6682.78</v>
      </c>
      <c r="P739" s="37">
        <v>6511.77</v>
      </c>
      <c r="Q739" s="37">
        <v>257850</v>
      </c>
      <c r="R739" s="37">
        <v>246155.23</v>
      </c>
      <c r="S739" s="37">
        <v>18772</v>
      </c>
      <c r="T739" s="37">
        <v>20661</v>
      </c>
      <c r="U739" s="37">
        <v>0</v>
      </c>
      <c r="V739" s="37">
        <v>0</v>
      </c>
      <c r="W739" s="37">
        <v>160747</v>
      </c>
      <c r="X739" s="37">
        <v>301282</v>
      </c>
      <c r="Y739" s="37">
        <v>0</v>
      </c>
      <c r="Z739" s="37">
        <v>0</v>
      </c>
      <c r="AA739" s="37">
        <v>444051.78</v>
      </c>
      <c r="AB739" s="37">
        <v>574610</v>
      </c>
      <c r="AC739" s="37">
        <v>0.40000000013969839</v>
      </c>
      <c r="AD739" s="37">
        <v>0</v>
      </c>
      <c r="AE739" s="37">
        <v>0</v>
      </c>
      <c r="AF739" s="168">
        <v>0.02</v>
      </c>
      <c r="AG739" s="37">
        <v>29095720.760000002</v>
      </c>
      <c r="AH739" s="37">
        <v>316550.37</v>
      </c>
      <c r="AI739" s="37">
        <v>322881.37</v>
      </c>
      <c r="AJ739" s="37">
        <v>329339</v>
      </c>
      <c r="AK739" s="37">
        <v>335925.78</v>
      </c>
      <c r="AL739" s="37">
        <v>342644.3</v>
      </c>
      <c r="AM739" s="37">
        <v>349497.18</v>
      </c>
      <c r="AN739" s="37">
        <v>356487.13</v>
      </c>
      <c r="AO739" s="37">
        <v>363616.87</v>
      </c>
      <c r="AP739" s="37">
        <v>370889.21</v>
      </c>
      <c r="AQ739" s="37">
        <v>378306.99</v>
      </c>
      <c r="AR739" s="37">
        <v>3466138.2</v>
      </c>
      <c r="AS739" s="37">
        <v>0</v>
      </c>
      <c r="AT739" s="37">
        <v>0</v>
      </c>
      <c r="AU739" s="37">
        <v>0</v>
      </c>
      <c r="AV739" s="37">
        <v>0</v>
      </c>
      <c r="AW739" s="37">
        <v>0</v>
      </c>
      <c r="AX739" s="37">
        <v>0</v>
      </c>
      <c r="AY739" s="37">
        <v>0</v>
      </c>
      <c r="AZ739" s="37">
        <v>0</v>
      </c>
      <c r="BA739" s="37">
        <v>0</v>
      </c>
      <c r="BB739" s="37">
        <v>0</v>
      </c>
      <c r="BC739" s="37">
        <v>0</v>
      </c>
      <c r="BD739" s="37">
        <v>0</v>
      </c>
      <c r="BE739" s="37">
        <v>972171</v>
      </c>
      <c r="BF739" s="37">
        <v>0</v>
      </c>
      <c r="BG739" s="37">
        <v>0</v>
      </c>
      <c r="BH739" s="37">
        <v>0</v>
      </c>
      <c r="BI739" s="37">
        <v>0</v>
      </c>
      <c r="BJ739" s="37">
        <v>0</v>
      </c>
      <c r="BK739" s="37">
        <v>0</v>
      </c>
      <c r="BL739" s="37">
        <v>0</v>
      </c>
      <c r="BM739" s="37">
        <v>0</v>
      </c>
      <c r="BN739" s="37">
        <v>0</v>
      </c>
      <c r="BO739" s="37">
        <v>0</v>
      </c>
      <c r="BP739" s="37">
        <v>0</v>
      </c>
      <c r="BQ739" s="37">
        <v>22500</v>
      </c>
      <c r="BR739" s="37">
        <v>1021400</v>
      </c>
      <c r="BS739" s="37">
        <v>600000</v>
      </c>
      <c r="BT739" s="37">
        <v>0</v>
      </c>
      <c r="BU739" s="37">
        <v>0</v>
      </c>
      <c r="BV739" s="37">
        <v>0</v>
      </c>
      <c r="BW739" s="37">
        <v>0</v>
      </c>
      <c r="BX739" s="37">
        <v>0</v>
      </c>
      <c r="BY739" s="37">
        <v>0</v>
      </c>
      <c r="BZ739" s="37">
        <v>0</v>
      </c>
      <c r="CA739" s="37">
        <v>0</v>
      </c>
      <c r="CB739" s="37">
        <v>1621400</v>
      </c>
      <c r="CC739" s="37">
        <v>0</v>
      </c>
      <c r="CD739" s="37">
        <v>0</v>
      </c>
      <c r="CE739" s="37">
        <v>0</v>
      </c>
      <c r="CF739" s="37">
        <v>0</v>
      </c>
      <c r="CG739" s="37">
        <v>0</v>
      </c>
      <c r="CH739" s="37">
        <v>0</v>
      </c>
      <c r="CI739" s="37">
        <v>0</v>
      </c>
      <c r="CJ739" s="37">
        <v>0</v>
      </c>
      <c r="CK739" s="37">
        <v>0</v>
      </c>
      <c r="CL739" s="37">
        <v>0</v>
      </c>
      <c r="CM739" s="37">
        <v>0</v>
      </c>
      <c r="CN739" s="37">
        <v>0</v>
      </c>
      <c r="CO739" s="37">
        <v>0</v>
      </c>
      <c r="CP739" s="37">
        <v>0</v>
      </c>
      <c r="CQ739" s="37">
        <v>0</v>
      </c>
      <c r="CR739" s="37">
        <v>0</v>
      </c>
      <c r="CS739" s="37">
        <v>0</v>
      </c>
      <c r="CT739" s="37">
        <v>0</v>
      </c>
      <c r="CU739" s="37">
        <v>0</v>
      </c>
      <c r="CV739" s="37">
        <v>0</v>
      </c>
      <c r="CW739" s="37">
        <v>0</v>
      </c>
      <c r="CX739" s="37">
        <v>0</v>
      </c>
      <c r="CY739" s="37">
        <v>0</v>
      </c>
      <c r="CZ739" s="37">
        <v>0</v>
      </c>
      <c r="DA739" s="37">
        <v>0</v>
      </c>
      <c r="DB739" s="37">
        <v>0</v>
      </c>
      <c r="DC739" s="37">
        <v>0</v>
      </c>
      <c r="DD739" s="37">
        <v>0</v>
      </c>
      <c r="DE739" s="37">
        <v>0</v>
      </c>
      <c r="DF739" s="37">
        <v>0</v>
      </c>
      <c r="DG739" s="37">
        <v>0</v>
      </c>
      <c r="DH739" s="37">
        <v>0</v>
      </c>
      <c r="DI739" s="37">
        <v>0</v>
      </c>
      <c r="DJ739" s="37">
        <v>0</v>
      </c>
      <c r="DK739" s="37">
        <v>0</v>
      </c>
      <c r="DL739" s="37">
        <v>0</v>
      </c>
      <c r="DM739" s="37">
        <v>0</v>
      </c>
      <c r="DN739" s="37">
        <v>0</v>
      </c>
      <c r="DO739" s="37">
        <v>0</v>
      </c>
      <c r="DP739" s="37">
        <v>0</v>
      </c>
      <c r="DQ739" s="37">
        <v>0</v>
      </c>
      <c r="DR739" s="37">
        <v>0</v>
      </c>
      <c r="DS739" s="37">
        <v>0</v>
      </c>
      <c r="DT739" s="37">
        <v>0</v>
      </c>
      <c r="DU739" s="37">
        <v>0</v>
      </c>
      <c r="DV739" s="37">
        <v>0</v>
      </c>
      <c r="DW739" s="37">
        <v>0</v>
      </c>
      <c r="DX739" s="37">
        <v>0</v>
      </c>
      <c r="DY739" s="37">
        <v>0</v>
      </c>
      <c r="DZ739" s="37">
        <v>0</v>
      </c>
      <c r="EA739" s="37">
        <v>0</v>
      </c>
      <c r="EB739" s="37">
        <v>0</v>
      </c>
      <c r="EC739" s="37">
        <v>0</v>
      </c>
      <c r="ED739" s="37">
        <v>0</v>
      </c>
      <c r="EE739" s="37">
        <v>0</v>
      </c>
      <c r="EF739" s="37">
        <v>0</v>
      </c>
      <c r="EG739" s="37">
        <v>0</v>
      </c>
      <c r="EH739" s="37">
        <v>0</v>
      </c>
      <c r="EI739" s="37">
        <v>0</v>
      </c>
      <c r="EJ739" s="37">
        <v>0</v>
      </c>
      <c r="EK739" s="161" t="s">
        <v>1124</v>
      </c>
      <c r="EL739" s="294" t="s">
        <v>1124</v>
      </c>
    </row>
    <row r="740" spans="1:142" ht="15" customHeight="1" x14ac:dyDescent="0.35">
      <c r="A740" s="34"/>
      <c r="B740" s="313">
        <v>63005</v>
      </c>
      <c r="C740" s="8" t="s">
        <v>634</v>
      </c>
      <c r="D740" s="18">
        <v>14</v>
      </c>
      <c r="E740" s="155"/>
      <c r="F740" s="36"/>
      <c r="G740" s="37"/>
      <c r="H740" s="37"/>
      <c r="I740" s="37"/>
      <c r="J740" s="37"/>
      <c r="K740" s="37"/>
      <c r="L740" s="37"/>
      <c r="M740" s="37" t="s">
        <v>1124</v>
      </c>
      <c r="N740" s="37" t="s">
        <v>1124</v>
      </c>
      <c r="O740" s="37"/>
      <c r="P740" s="37"/>
      <c r="Q740" s="37"/>
      <c r="R740" s="37"/>
      <c r="S740" s="37"/>
      <c r="T740" s="37"/>
      <c r="U740" s="37"/>
      <c r="V740" s="37"/>
      <c r="W740" s="37"/>
      <c r="X740" s="37"/>
      <c r="Y740" s="37"/>
      <c r="Z740" s="37"/>
      <c r="AA740" s="37" t="s">
        <v>1124</v>
      </c>
      <c r="AB740" s="37" t="s">
        <v>1124</v>
      </c>
      <c r="AC740" s="37"/>
      <c r="AD740" s="37"/>
      <c r="AE740" s="37"/>
      <c r="AF740" s="168"/>
      <c r="AG740" s="37"/>
      <c r="AH740" s="37"/>
      <c r="AI740" s="37"/>
      <c r="AJ740" s="37"/>
      <c r="AK740" s="37"/>
      <c r="AL740" s="37"/>
      <c r="AM740" s="37"/>
      <c r="AN740" s="37"/>
      <c r="AO740" s="37"/>
      <c r="AP740" s="37"/>
      <c r="AQ740" s="37"/>
      <c r="AR740" s="37" t="s">
        <v>1124</v>
      </c>
      <c r="AS740" s="37"/>
      <c r="AT740" s="37"/>
      <c r="AU740" s="37"/>
      <c r="AV740" s="37"/>
      <c r="AW740" s="37"/>
      <c r="AX740" s="37"/>
      <c r="AY740" s="37"/>
      <c r="AZ740" s="37"/>
      <c r="BA740" s="37"/>
      <c r="BB740" s="37"/>
      <c r="BC740" s="37"/>
      <c r="BD740" s="37" t="s">
        <v>1124</v>
      </c>
      <c r="BE740" s="37"/>
      <c r="BF740" s="37"/>
      <c r="BG740" s="37"/>
      <c r="BH740" s="37"/>
      <c r="BI740" s="37"/>
      <c r="BJ740" s="37"/>
      <c r="BK740" s="37"/>
      <c r="BL740" s="37"/>
      <c r="BM740" s="37"/>
      <c r="BN740" s="37"/>
      <c r="BO740" s="37"/>
      <c r="BP740" s="37">
        <v>0</v>
      </c>
      <c r="BQ740" s="37"/>
      <c r="BR740" s="37"/>
      <c r="BS740" s="37"/>
      <c r="BT740" s="37"/>
      <c r="BU740" s="37"/>
      <c r="BV740" s="37"/>
      <c r="BW740" s="37"/>
      <c r="BX740" s="37"/>
      <c r="BY740" s="37"/>
      <c r="BZ740" s="37"/>
      <c r="CA740" s="37"/>
      <c r="CB740" s="37" t="s">
        <v>1124</v>
      </c>
      <c r="CC740" s="37"/>
      <c r="CD740" s="37"/>
      <c r="CE740" s="37"/>
      <c r="CF740" s="37"/>
      <c r="CG740" s="37"/>
      <c r="CH740" s="37"/>
      <c r="CI740" s="37"/>
      <c r="CJ740" s="37"/>
      <c r="CK740" s="37"/>
      <c r="CL740" s="37"/>
      <c r="CM740" s="37"/>
      <c r="CN740" s="37" t="s">
        <v>1124</v>
      </c>
      <c r="CO740" s="37"/>
      <c r="CP740" s="37"/>
      <c r="CQ740" s="37"/>
      <c r="CR740" s="37"/>
      <c r="CS740" s="37"/>
      <c r="CT740" s="37"/>
      <c r="CU740" s="37"/>
      <c r="CV740" s="37"/>
      <c r="CW740" s="37"/>
      <c r="CX740" s="37"/>
      <c r="CY740" s="37"/>
      <c r="CZ740" s="37" t="s">
        <v>1124</v>
      </c>
      <c r="DA740" s="37"/>
      <c r="DB740" s="37"/>
      <c r="DC740" s="37"/>
      <c r="DD740" s="37"/>
      <c r="DE740" s="37"/>
      <c r="DF740" s="37"/>
      <c r="DG740" s="37"/>
      <c r="DH740" s="37"/>
      <c r="DI740" s="37"/>
      <c r="DJ740" s="37"/>
      <c r="DK740" s="37"/>
      <c r="DL740" s="37" t="s">
        <v>1124</v>
      </c>
      <c r="DM740" s="37"/>
      <c r="DN740" s="37"/>
      <c r="DO740" s="37"/>
      <c r="DP740" s="37"/>
      <c r="DQ740" s="37"/>
      <c r="DR740" s="37"/>
      <c r="DS740" s="37"/>
      <c r="DT740" s="37"/>
      <c r="DU740" s="37"/>
      <c r="DV740" s="37"/>
      <c r="DW740" s="37"/>
      <c r="DX740" s="37" t="s">
        <v>1124</v>
      </c>
      <c r="DY740" s="37"/>
      <c r="DZ740" s="37"/>
      <c r="EA740" s="37"/>
      <c r="EB740" s="37"/>
      <c r="EC740" s="37"/>
      <c r="ED740" s="37"/>
      <c r="EE740" s="37"/>
      <c r="EF740" s="37"/>
      <c r="EG740" s="37"/>
      <c r="EH740" s="37"/>
      <c r="EI740" s="37"/>
      <c r="EJ740" s="37" t="s">
        <v>1124</v>
      </c>
      <c r="EK740" s="161"/>
      <c r="EL740" s="294"/>
    </row>
    <row r="741" spans="1:142" ht="15" customHeight="1" x14ac:dyDescent="0.35">
      <c r="A741" s="34"/>
      <c r="B741" s="313">
        <v>71110</v>
      </c>
      <c r="C741" s="8" t="s">
        <v>722</v>
      </c>
      <c r="D741" s="18">
        <v>16</v>
      </c>
      <c r="E741" s="155"/>
      <c r="F741" s="36"/>
      <c r="G741" s="37"/>
      <c r="H741" s="37"/>
      <c r="I741" s="37"/>
      <c r="J741" s="37"/>
      <c r="K741" s="37"/>
      <c r="L741" s="37"/>
      <c r="M741" s="37" t="s">
        <v>1124</v>
      </c>
      <c r="N741" s="37" t="s">
        <v>1124</v>
      </c>
      <c r="O741" s="37"/>
      <c r="P741" s="37"/>
      <c r="Q741" s="37"/>
      <c r="R741" s="37"/>
      <c r="S741" s="37"/>
      <c r="T741" s="37"/>
      <c r="U741" s="37"/>
      <c r="V741" s="37"/>
      <c r="W741" s="37"/>
      <c r="X741" s="37"/>
      <c r="Y741" s="37"/>
      <c r="Z741" s="37"/>
      <c r="AA741" s="37" t="s">
        <v>1124</v>
      </c>
      <c r="AB741" s="37" t="s">
        <v>1124</v>
      </c>
      <c r="AC741" s="37"/>
      <c r="AD741" s="37"/>
      <c r="AE741" s="37"/>
      <c r="AF741" s="168"/>
      <c r="AG741" s="37"/>
      <c r="AH741" s="37"/>
      <c r="AI741" s="37"/>
      <c r="AJ741" s="37"/>
      <c r="AK741" s="37"/>
      <c r="AL741" s="37"/>
      <c r="AM741" s="37"/>
      <c r="AN741" s="37"/>
      <c r="AO741" s="37"/>
      <c r="AP741" s="37"/>
      <c r="AQ741" s="37"/>
      <c r="AR741" s="37" t="s">
        <v>1124</v>
      </c>
      <c r="AS741" s="37"/>
      <c r="AT741" s="37"/>
      <c r="AU741" s="37"/>
      <c r="AV741" s="37"/>
      <c r="AW741" s="37"/>
      <c r="AX741" s="37"/>
      <c r="AY741" s="37"/>
      <c r="AZ741" s="37"/>
      <c r="BA741" s="37"/>
      <c r="BB741" s="37"/>
      <c r="BC741" s="37"/>
      <c r="BD741" s="37" t="s">
        <v>1124</v>
      </c>
      <c r="BE741" s="37"/>
      <c r="BF741" s="37"/>
      <c r="BG741" s="37"/>
      <c r="BH741" s="37"/>
      <c r="BI741" s="37"/>
      <c r="BJ741" s="37"/>
      <c r="BK741" s="37"/>
      <c r="BL741" s="37"/>
      <c r="BM741" s="37"/>
      <c r="BN741" s="37"/>
      <c r="BO741" s="37"/>
      <c r="BP741" s="37">
        <v>0</v>
      </c>
      <c r="BQ741" s="37"/>
      <c r="BR741" s="37"/>
      <c r="BS741" s="37"/>
      <c r="BT741" s="37"/>
      <c r="BU741" s="37"/>
      <c r="BV741" s="37"/>
      <c r="BW741" s="37"/>
      <c r="BX741" s="37"/>
      <c r="BY741" s="37"/>
      <c r="BZ741" s="37"/>
      <c r="CA741" s="37"/>
      <c r="CB741" s="37" t="s">
        <v>1124</v>
      </c>
      <c r="CC741" s="37"/>
      <c r="CD741" s="37"/>
      <c r="CE741" s="37"/>
      <c r="CF741" s="37"/>
      <c r="CG741" s="37"/>
      <c r="CH741" s="37"/>
      <c r="CI741" s="37"/>
      <c r="CJ741" s="37"/>
      <c r="CK741" s="37"/>
      <c r="CL741" s="37"/>
      <c r="CM741" s="37"/>
      <c r="CN741" s="37" t="s">
        <v>1124</v>
      </c>
      <c r="CO741" s="37"/>
      <c r="CP741" s="37"/>
      <c r="CQ741" s="37"/>
      <c r="CR741" s="37"/>
      <c r="CS741" s="37"/>
      <c r="CT741" s="37"/>
      <c r="CU741" s="37"/>
      <c r="CV741" s="37"/>
      <c r="CW741" s="37"/>
      <c r="CX741" s="37"/>
      <c r="CY741" s="37"/>
      <c r="CZ741" s="37" t="s">
        <v>1124</v>
      </c>
      <c r="DA741" s="37"/>
      <c r="DB741" s="37"/>
      <c r="DC741" s="37"/>
      <c r="DD741" s="37"/>
      <c r="DE741" s="37"/>
      <c r="DF741" s="37"/>
      <c r="DG741" s="37"/>
      <c r="DH741" s="37"/>
      <c r="DI741" s="37"/>
      <c r="DJ741" s="37"/>
      <c r="DK741" s="37"/>
      <c r="DL741" s="37" t="s">
        <v>1124</v>
      </c>
      <c r="DM741" s="37"/>
      <c r="DN741" s="37"/>
      <c r="DO741" s="37"/>
      <c r="DP741" s="37"/>
      <c r="DQ741" s="37"/>
      <c r="DR741" s="37"/>
      <c r="DS741" s="37"/>
      <c r="DT741" s="37"/>
      <c r="DU741" s="37"/>
      <c r="DV741" s="37"/>
      <c r="DW741" s="37"/>
      <c r="DX741" s="37" t="s">
        <v>1124</v>
      </c>
      <c r="DY741" s="37"/>
      <c r="DZ741" s="37"/>
      <c r="EA741" s="37"/>
      <c r="EB741" s="37"/>
      <c r="EC741" s="37"/>
      <c r="ED741" s="37"/>
      <c r="EE741" s="37"/>
      <c r="EF741" s="37"/>
      <c r="EG741" s="37"/>
      <c r="EH741" s="37"/>
      <c r="EI741" s="37"/>
      <c r="EJ741" s="37" t="s">
        <v>1124</v>
      </c>
      <c r="EK741" s="161"/>
      <c r="EL741" s="294"/>
    </row>
    <row r="742" spans="1:142" ht="15" customHeight="1" x14ac:dyDescent="0.35">
      <c r="A742" s="34"/>
      <c r="B742" s="313">
        <v>72015</v>
      </c>
      <c r="C742" s="8" t="s">
        <v>729</v>
      </c>
      <c r="D742" s="18">
        <v>15</v>
      </c>
      <c r="E742" s="155">
        <v>697382</v>
      </c>
      <c r="F742" s="36">
        <v>1126506</v>
      </c>
      <c r="G742" s="37">
        <v>25027</v>
      </c>
      <c r="H742" s="37">
        <v>71514</v>
      </c>
      <c r="I742" s="37">
        <v>62500</v>
      </c>
      <c r="J742" s="37">
        <v>602500</v>
      </c>
      <c r="K742" s="37">
        <v>104607.3</v>
      </c>
      <c r="L742" s="37">
        <v>168975.9</v>
      </c>
      <c r="M742" s="37">
        <v>889516.3</v>
      </c>
      <c r="N742" s="37">
        <v>1969495.9</v>
      </c>
      <c r="O742" s="37">
        <v>20082</v>
      </c>
      <c r="P742" s="37">
        <v>0</v>
      </c>
      <c r="Q742" s="37">
        <v>877791</v>
      </c>
      <c r="R742" s="37">
        <v>1465920</v>
      </c>
      <c r="S742" s="37">
        <v>0</v>
      </c>
      <c r="T742" s="37">
        <v>65757</v>
      </c>
      <c r="U742" s="37">
        <v>60243</v>
      </c>
      <c r="V742" s="37">
        <v>0</v>
      </c>
      <c r="W742" s="37">
        <v>0</v>
      </c>
      <c r="X742" s="37">
        <v>369219.19999999995</v>
      </c>
      <c r="Y742" s="37">
        <v>0</v>
      </c>
      <c r="Z742" s="37">
        <v>0</v>
      </c>
      <c r="AA742" s="37">
        <v>958116</v>
      </c>
      <c r="AB742" s="37">
        <v>1900896.2</v>
      </c>
      <c r="AC742" s="37">
        <v>0</v>
      </c>
      <c r="AD742" s="37">
        <v>0</v>
      </c>
      <c r="AE742" s="37">
        <v>139503</v>
      </c>
      <c r="AF742" s="168">
        <v>0.02</v>
      </c>
      <c r="AG742" s="37">
        <v>248981112.08000001</v>
      </c>
      <c r="AH742" s="37">
        <v>2502971.0699999998</v>
      </c>
      <c r="AI742" s="37">
        <v>2489358.0099999998</v>
      </c>
      <c r="AJ742" s="37">
        <v>2574518.77</v>
      </c>
      <c r="AK742" s="37">
        <v>2626009.15</v>
      </c>
      <c r="AL742" s="37">
        <v>2678529.33</v>
      </c>
      <c r="AM742" s="37">
        <v>2694561.17</v>
      </c>
      <c r="AN742" s="37">
        <v>2748452.39</v>
      </c>
      <c r="AO742" s="37">
        <v>2803421.44</v>
      </c>
      <c r="AP742" s="37">
        <v>2859489.87</v>
      </c>
      <c r="AQ742" s="37">
        <v>2916679.67</v>
      </c>
      <c r="AR742" s="37">
        <v>26893990.869999997</v>
      </c>
      <c r="AS742" s="37">
        <v>357000</v>
      </c>
      <c r="AT742" s="37">
        <v>0</v>
      </c>
      <c r="AU742" s="37">
        <v>2080800</v>
      </c>
      <c r="AV742" s="37">
        <v>2122416</v>
      </c>
      <c r="AW742" s="37">
        <v>2164864.3199999998</v>
      </c>
      <c r="AX742" s="37">
        <v>2208161.61</v>
      </c>
      <c r="AY742" s="37">
        <v>2252324.84</v>
      </c>
      <c r="AZ742" s="37">
        <v>0</v>
      </c>
      <c r="BA742" s="37">
        <v>0</v>
      </c>
      <c r="BB742" s="37">
        <v>0</v>
      </c>
      <c r="BC742" s="37">
        <v>0</v>
      </c>
      <c r="BD742" s="37">
        <v>10828566.77</v>
      </c>
      <c r="BE742" s="37">
        <v>0</v>
      </c>
      <c r="BF742" s="37">
        <v>0</v>
      </c>
      <c r="BG742" s="37">
        <v>0</v>
      </c>
      <c r="BH742" s="37">
        <v>0</v>
      </c>
      <c r="BI742" s="37">
        <v>0</v>
      </c>
      <c r="BJ742" s="37">
        <v>0</v>
      </c>
      <c r="BK742" s="37">
        <v>0</v>
      </c>
      <c r="BL742" s="37">
        <v>0</v>
      </c>
      <c r="BM742" s="37">
        <v>0</v>
      </c>
      <c r="BN742" s="37">
        <v>0</v>
      </c>
      <c r="BO742" s="37">
        <v>0</v>
      </c>
      <c r="BP742" s="37">
        <v>0</v>
      </c>
      <c r="BQ742" s="37">
        <v>0</v>
      </c>
      <c r="BR742" s="37">
        <v>0</v>
      </c>
      <c r="BS742" s="37">
        <v>0</v>
      </c>
      <c r="BT742" s="37">
        <v>0</v>
      </c>
      <c r="BU742" s="37">
        <v>0</v>
      </c>
      <c r="BV742" s="37">
        <v>0</v>
      </c>
      <c r="BW742" s="37">
        <v>0</v>
      </c>
      <c r="BX742" s="37">
        <v>0</v>
      </c>
      <c r="BY742" s="37">
        <v>0</v>
      </c>
      <c r="BZ742" s="37">
        <v>0</v>
      </c>
      <c r="CA742" s="37">
        <v>0</v>
      </c>
      <c r="CB742" s="37">
        <v>0</v>
      </c>
      <c r="CC742" s="37">
        <v>0</v>
      </c>
      <c r="CD742" s="37">
        <v>0</v>
      </c>
      <c r="CE742" s="37">
        <v>0</v>
      </c>
      <c r="CF742" s="37">
        <v>0</v>
      </c>
      <c r="CG742" s="37">
        <v>0</v>
      </c>
      <c r="CH742" s="37">
        <v>0</v>
      </c>
      <c r="CI742" s="37">
        <v>0</v>
      </c>
      <c r="CJ742" s="37">
        <v>0</v>
      </c>
      <c r="CK742" s="37">
        <v>0</v>
      </c>
      <c r="CL742" s="37">
        <v>0</v>
      </c>
      <c r="CM742" s="37">
        <v>0</v>
      </c>
      <c r="CN742" s="37">
        <v>0</v>
      </c>
      <c r="CO742" s="37">
        <v>0</v>
      </c>
      <c r="CP742" s="37">
        <v>0</v>
      </c>
      <c r="CQ742" s="37">
        <v>0</v>
      </c>
      <c r="CR742" s="37">
        <v>0</v>
      </c>
      <c r="CS742" s="37">
        <v>0</v>
      </c>
      <c r="CT742" s="37">
        <v>0</v>
      </c>
      <c r="CU742" s="37">
        <v>0</v>
      </c>
      <c r="CV742" s="37">
        <v>0</v>
      </c>
      <c r="CW742" s="37">
        <v>0</v>
      </c>
      <c r="CX742" s="37">
        <v>0</v>
      </c>
      <c r="CY742" s="37">
        <v>0</v>
      </c>
      <c r="CZ742" s="37">
        <v>0</v>
      </c>
      <c r="DA742" s="37">
        <v>0</v>
      </c>
      <c r="DB742" s="37">
        <v>0</v>
      </c>
      <c r="DC742" s="37">
        <v>0</v>
      </c>
      <c r="DD742" s="37">
        <v>0</v>
      </c>
      <c r="DE742" s="37">
        <v>0</v>
      </c>
      <c r="DF742" s="37">
        <v>0</v>
      </c>
      <c r="DG742" s="37">
        <v>0</v>
      </c>
      <c r="DH742" s="37">
        <v>0</v>
      </c>
      <c r="DI742" s="37">
        <v>0</v>
      </c>
      <c r="DJ742" s="37">
        <v>0</v>
      </c>
      <c r="DK742" s="37">
        <v>0</v>
      </c>
      <c r="DL742" s="37">
        <v>0</v>
      </c>
      <c r="DM742" s="37">
        <v>0</v>
      </c>
      <c r="DN742" s="37">
        <v>0</v>
      </c>
      <c r="DO742" s="37">
        <v>0</v>
      </c>
      <c r="DP742" s="37">
        <v>0</v>
      </c>
      <c r="DQ742" s="37">
        <v>0</v>
      </c>
      <c r="DR742" s="37">
        <v>0</v>
      </c>
      <c r="DS742" s="37">
        <v>0</v>
      </c>
      <c r="DT742" s="37">
        <v>0</v>
      </c>
      <c r="DU742" s="37">
        <v>0</v>
      </c>
      <c r="DV742" s="37">
        <v>0</v>
      </c>
      <c r="DW742" s="37">
        <v>0</v>
      </c>
      <c r="DX742" s="37">
        <v>0</v>
      </c>
      <c r="DY742" s="37">
        <v>0</v>
      </c>
      <c r="DZ742" s="37">
        <v>0</v>
      </c>
      <c r="EA742" s="37">
        <v>0</v>
      </c>
      <c r="EB742" s="37">
        <v>0</v>
      </c>
      <c r="EC742" s="37">
        <v>0</v>
      </c>
      <c r="ED742" s="37">
        <v>0</v>
      </c>
      <c r="EE742" s="37">
        <v>0</v>
      </c>
      <c r="EF742" s="37">
        <v>0</v>
      </c>
      <c r="EG742" s="37">
        <v>0</v>
      </c>
      <c r="EH742" s="37">
        <v>0</v>
      </c>
      <c r="EI742" s="37">
        <v>0</v>
      </c>
      <c r="EJ742" s="37">
        <v>0</v>
      </c>
      <c r="EK742" s="161" t="s">
        <v>2952</v>
      </c>
      <c r="EL742" s="294" t="s">
        <v>1124</v>
      </c>
    </row>
    <row r="743" spans="1:142" ht="15" customHeight="1" x14ac:dyDescent="0.35">
      <c r="A743" s="34"/>
      <c r="B743" s="313">
        <v>70012</v>
      </c>
      <c r="C743" s="8" t="s">
        <v>698</v>
      </c>
      <c r="D743" s="18">
        <v>16</v>
      </c>
      <c r="E743" s="155"/>
      <c r="F743" s="36"/>
      <c r="G743" s="37"/>
      <c r="H743" s="37"/>
      <c r="I743" s="37"/>
      <c r="J743" s="37"/>
      <c r="K743" s="37"/>
      <c r="L743" s="37"/>
      <c r="M743" s="37" t="s">
        <v>1124</v>
      </c>
      <c r="N743" s="37" t="s">
        <v>1124</v>
      </c>
      <c r="O743" s="37"/>
      <c r="P743" s="37"/>
      <c r="Q743" s="37"/>
      <c r="R743" s="37"/>
      <c r="S743" s="37"/>
      <c r="T743" s="37"/>
      <c r="U743" s="37"/>
      <c r="V743" s="37"/>
      <c r="W743" s="37"/>
      <c r="X743" s="37"/>
      <c r="Y743" s="37"/>
      <c r="Z743" s="37"/>
      <c r="AA743" s="37" t="s">
        <v>1124</v>
      </c>
      <c r="AB743" s="37" t="s">
        <v>1124</v>
      </c>
      <c r="AC743" s="37"/>
      <c r="AD743" s="37"/>
      <c r="AE743" s="37"/>
      <c r="AF743" s="168"/>
      <c r="AG743" s="37"/>
      <c r="AH743" s="37"/>
      <c r="AI743" s="37"/>
      <c r="AJ743" s="37"/>
      <c r="AK743" s="37"/>
      <c r="AL743" s="37"/>
      <c r="AM743" s="37"/>
      <c r="AN743" s="37"/>
      <c r="AO743" s="37"/>
      <c r="AP743" s="37"/>
      <c r="AQ743" s="37"/>
      <c r="AR743" s="37" t="s">
        <v>1124</v>
      </c>
      <c r="AS743" s="37"/>
      <c r="AT743" s="37"/>
      <c r="AU743" s="37"/>
      <c r="AV743" s="37"/>
      <c r="AW743" s="37"/>
      <c r="AX743" s="37"/>
      <c r="AY743" s="37"/>
      <c r="AZ743" s="37"/>
      <c r="BA743" s="37"/>
      <c r="BB743" s="37"/>
      <c r="BC743" s="37"/>
      <c r="BD743" s="37" t="s">
        <v>1124</v>
      </c>
      <c r="BE743" s="37"/>
      <c r="BF743" s="37"/>
      <c r="BG743" s="37"/>
      <c r="BH743" s="37"/>
      <c r="BI743" s="37"/>
      <c r="BJ743" s="37"/>
      <c r="BK743" s="37"/>
      <c r="BL743" s="37"/>
      <c r="BM743" s="37"/>
      <c r="BN743" s="37"/>
      <c r="BO743" s="37"/>
      <c r="BP743" s="37">
        <v>0</v>
      </c>
      <c r="BQ743" s="37"/>
      <c r="BR743" s="37"/>
      <c r="BS743" s="37"/>
      <c r="BT743" s="37"/>
      <c r="BU743" s="37"/>
      <c r="BV743" s="37"/>
      <c r="BW743" s="37"/>
      <c r="BX743" s="37"/>
      <c r="BY743" s="37"/>
      <c r="BZ743" s="37"/>
      <c r="CA743" s="37"/>
      <c r="CB743" s="37" t="s">
        <v>1124</v>
      </c>
      <c r="CC743" s="37"/>
      <c r="CD743" s="37"/>
      <c r="CE743" s="37"/>
      <c r="CF743" s="37"/>
      <c r="CG743" s="37"/>
      <c r="CH743" s="37"/>
      <c r="CI743" s="37"/>
      <c r="CJ743" s="37"/>
      <c r="CK743" s="37"/>
      <c r="CL743" s="37"/>
      <c r="CM743" s="37"/>
      <c r="CN743" s="37" t="s">
        <v>1124</v>
      </c>
      <c r="CO743" s="37"/>
      <c r="CP743" s="37"/>
      <c r="CQ743" s="37"/>
      <c r="CR743" s="37"/>
      <c r="CS743" s="37"/>
      <c r="CT743" s="37"/>
      <c r="CU743" s="37"/>
      <c r="CV743" s="37"/>
      <c r="CW743" s="37"/>
      <c r="CX743" s="37"/>
      <c r="CY743" s="37"/>
      <c r="CZ743" s="37" t="s">
        <v>1124</v>
      </c>
      <c r="DA743" s="37"/>
      <c r="DB743" s="37"/>
      <c r="DC743" s="37"/>
      <c r="DD743" s="37"/>
      <c r="DE743" s="37"/>
      <c r="DF743" s="37"/>
      <c r="DG743" s="37"/>
      <c r="DH743" s="37"/>
      <c r="DI743" s="37"/>
      <c r="DJ743" s="37"/>
      <c r="DK743" s="37"/>
      <c r="DL743" s="37" t="s">
        <v>1124</v>
      </c>
      <c r="DM743" s="37"/>
      <c r="DN743" s="37"/>
      <c r="DO743" s="37"/>
      <c r="DP743" s="37"/>
      <c r="DQ743" s="37"/>
      <c r="DR743" s="37"/>
      <c r="DS743" s="37"/>
      <c r="DT743" s="37"/>
      <c r="DU743" s="37"/>
      <c r="DV743" s="37"/>
      <c r="DW743" s="37"/>
      <c r="DX743" s="37" t="s">
        <v>1124</v>
      </c>
      <c r="DY743" s="37"/>
      <c r="DZ743" s="37"/>
      <c r="EA743" s="37"/>
      <c r="EB743" s="37"/>
      <c r="EC743" s="37"/>
      <c r="ED743" s="37"/>
      <c r="EE743" s="37"/>
      <c r="EF743" s="37"/>
      <c r="EG743" s="37"/>
      <c r="EH743" s="37"/>
      <c r="EI743" s="37"/>
      <c r="EJ743" s="37" t="s">
        <v>1124</v>
      </c>
      <c r="EK743" s="161"/>
      <c r="EL743" s="294"/>
    </row>
    <row r="744" spans="1:142" ht="15" customHeight="1" x14ac:dyDescent="0.35">
      <c r="A744" s="34"/>
      <c r="B744" s="313">
        <v>61050</v>
      </c>
      <c r="C744" s="8" t="s">
        <v>618</v>
      </c>
      <c r="D744" s="18">
        <v>14</v>
      </c>
      <c r="E744" s="155"/>
      <c r="F744" s="36"/>
      <c r="G744" s="37"/>
      <c r="H744" s="37"/>
      <c r="I744" s="37"/>
      <c r="J744" s="37"/>
      <c r="K744" s="37"/>
      <c r="L744" s="37"/>
      <c r="M744" s="37" t="s">
        <v>1124</v>
      </c>
      <c r="N744" s="37" t="s">
        <v>1124</v>
      </c>
      <c r="O744" s="37"/>
      <c r="P744" s="37"/>
      <c r="Q744" s="37"/>
      <c r="R744" s="37"/>
      <c r="S744" s="37"/>
      <c r="T744" s="37"/>
      <c r="U744" s="37"/>
      <c r="V744" s="37"/>
      <c r="W744" s="37"/>
      <c r="X744" s="37"/>
      <c r="Y744" s="37"/>
      <c r="Z744" s="37"/>
      <c r="AA744" s="37" t="s">
        <v>1124</v>
      </c>
      <c r="AB744" s="37" t="s">
        <v>1124</v>
      </c>
      <c r="AC744" s="37"/>
      <c r="AD744" s="37"/>
      <c r="AE744" s="37"/>
      <c r="AF744" s="168"/>
      <c r="AG744" s="37"/>
      <c r="AH744" s="37"/>
      <c r="AI744" s="37"/>
      <c r="AJ744" s="37"/>
      <c r="AK744" s="37"/>
      <c r="AL744" s="37"/>
      <c r="AM744" s="37"/>
      <c r="AN744" s="37"/>
      <c r="AO744" s="37"/>
      <c r="AP744" s="37"/>
      <c r="AQ744" s="37"/>
      <c r="AR744" s="37" t="s">
        <v>1124</v>
      </c>
      <c r="AS744" s="37"/>
      <c r="AT744" s="37"/>
      <c r="AU744" s="37"/>
      <c r="AV744" s="37"/>
      <c r="AW744" s="37"/>
      <c r="AX744" s="37"/>
      <c r="AY744" s="37"/>
      <c r="AZ744" s="37"/>
      <c r="BA744" s="37"/>
      <c r="BB744" s="37"/>
      <c r="BC744" s="37"/>
      <c r="BD744" s="37" t="s">
        <v>1124</v>
      </c>
      <c r="BE744" s="37"/>
      <c r="BF744" s="37"/>
      <c r="BG744" s="37"/>
      <c r="BH744" s="37"/>
      <c r="BI744" s="37"/>
      <c r="BJ744" s="37"/>
      <c r="BK744" s="37"/>
      <c r="BL744" s="37"/>
      <c r="BM744" s="37"/>
      <c r="BN744" s="37"/>
      <c r="BO744" s="37"/>
      <c r="BP744" s="37">
        <v>0</v>
      </c>
      <c r="BQ744" s="37"/>
      <c r="BR744" s="37"/>
      <c r="BS744" s="37"/>
      <c r="BT744" s="37"/>
      <c r="BU744" s="37"/>
      <c r="BV744" s="37"/>
      <c r="BW744" s="37"/>
      <c r="BX744" s="37"/>
      <c r="BY744" s="37"/>
      <c r="BZ744" s="37"/>
      <c r="CA744" s="37"/>
      <c r="CB744" s="37" t="s">
        <v>1124</v>
      </c>
      <c r="CC744" s="37"/>
      <c r="CD744" s="37"/>
      <c r="CE744" s="37"/>
      <c r="CF744" s="37"/>
      <c r="CG744" s="37"/>
      <c r="CH744" s="37"/>
      <c r="CI744" s="37"/>
      <c r="CJ744" s="37"/>
      <c r="CK744" s="37"/>
      <c r="CL744" s="37"/>
      <c r="CM744" s="37"/>
      <c r="CN744" s="37" t="s">
        <v>1124</v>
      </c>
      <c r="CO744" s="37"/>
      <c r="CP744" s="37"/>
      <c r="CQ744" s="37"/>
      <c r="CR744" s="37"/>
      <c r="CS744" s="37"/>
      <c r="CT744" s="37"/>
      <c r="CU744" s="37"/>
      <c r="CV744" s="37"/>
      <c r="CW744" s="37"/>
      <c r="CX744" s="37"/>
      <c r="CY744" s="37"/>
      <c r="CZ744" s="37" t="s">
        <v>1124</v>
      </c>
      <c r="DA744" s="37"/>
      <c r="DB744" s="37"/>
      <c r="DC744" s="37"/>
      <c r="DD744" s="37"/>
      <c r="DE744" s="37"/>
      <c r="DF744" s="37"/>
      <c r="DG744" s="37"/>
      <c r="DH744" s="37"/>
      <c r="DI744" s="37"/>
      <c r="DJ744" s="37"/>
      <c r="DK744" s="37"/>
      <c r="DL744" s="37" t="s">
        <v>1124</v>
      </c>
      <c r="DM744" s="37"/>
      <c r="DN744" s="37"/>
      <c r="DO744" s="37"/>
      <c r="DP744" s="37"/>
      <c r="DQ744" s="37"/>
      <c r="DR744" s="37"/>
      <c r="DS744" s="37"/>
      <c r="DT744" s="37"/>
      <c r="DU744" s="37"/>
      <c r="DV744" s="37"/>
      <c r="DW744" s="37"/>
      <c r="DX744" s="37" t="s">
        <v>1124</v>
      </c>
      <c r="DY744" s="37"/>
      <c r="DZ744" s="37"/>
      <c r="EA744" s="37"/>
      <c r="EB744" s="37"/>
      <c r="EC744" s="37"/>
      <c r="ED744" s="37"/>
      <c r="EE744" s="37"/>
      <c r="EF744" s="37"/>
      <c r="EG744" s="37"/>
      <c r="EH744" s="37"/>
      <c r="EI744" s="37"/>
      <c r="EJ744" s="37" t="s">
        <v>1124</v>
      </c>
      <c r="EK744" s="161"/>
      <c r="EL744" s="294"/>
    </row>
    <row r="745" spans="1:142" ht="15" customHeight="1" x14ac:dyDescent="0.35">
      <c r="A745" s="34"/>
      <c r="B745" s="313">
        <v>80125</v>
      </c>
      <c r="C745" s="8" t="s">
        <v>822</v>
      </c>
      <c r="D745" s="18">
        <v>7</v>
      </c>
      <c r="E745" s="155"/>
      <c r="F745" s="36"/>
      <c r="G745" s="37"/>
      <c r="H745" s="37"/>
      <c r="I745" s="37"/>
      <c r="J745" s="37"/>
      <c r="K745" s="37"/>
      <c r="L745" s="37"/>
      <c r="M745" s="37" t="s">
        <v>1124</v>
      </c>
      <c r="N745" s="37" t="s">
        <v>1124</v>
      </c>
      <c r="O745" s="37"/>
      <c r="P745" s="37"/>
      <c r="Q745" s="37"/>
      <c r="R745" s="37"/>
      <c r="S745" s="37"/>
      <c r="T745" s="37"/>
      <c r="U745" s="37"/>
      <c r="V745" s="37"/>
      <c r="W745" s="37"/>
      <c r="X745" s="37"/>
      <c r="Y745" s="37"/>
      <c r="Z745" s="37"/>
      <c r="AA745" s="37" t="s">
        <v>1124</v>
      </c>
      <c r="AB745" s="37" t="s">
        <v>1124</v>
      </c>
      <c r="AC745" s="37"/>
      <c r="AD745" s="37"/>
      <c r="AE745" s="37"/>
      <c r="AF745" s="168"/>
      <c r="AG745" s="37"/>
      <c r="AH745" s="37"/>
      <c r="AI745" s="37"/>
      <c r="AJ745" s="37"/>
      <c r="AK745" s="37"/>
      <c r="AL745" s="37"/>
      <c r="AM745" s="37"/>
      <c r="AN745" s="37"/>
      <c r="AO745" s="37"/>
      <c r="AP745" s="37"/>
      <c r="AQ745" s="37"/>
      <c r="AR745" s="37" t="s">
        <v>1124</v>
      </c>
      <c r="AS745" s="37"/>
      <c r="AT745" s="37"/>
      <c r="AU745" s="37"/>
      <c r="AV745" s="37"/>
      <c r="AW745" s="37"/>
      <c r="AX745" s="37"/>
      <c r="AY745" s="37"/>
      <c r="AZ745" s="37"/>
      <c r="BA745" s="37"/>
      <c r="BB745" s="37"/>
      <c r="BC745" s="37"/>
      <c r="BD745" s="37" t="s">
        <v>1124</v>
      </c>
      <c r="BE745" s="37"/>
      <c r="BF745" s="37"/>
      <c r="BG745" s="37"/>
      <c r="BH745" s="37"/>
      <c r="BI745" s="37"/>
      <c r="BJ745" s="37"/>
      <c r="BK745" s="37"/>
      <c r="BL745" s="37"/>
      <c r="BM745" s="37"/>
      <c r="BN745" s="37"/>
      <c r="BO745" s="37"/>
      <c r="BP745" s="37">
        <v>0</v>
      </c>
      <c r="BQ745" s="37"/>
      <c r="BR745" s="37"/>
      <c r="BS745" s="37"/>
      <c r="BT745" s="37"/>
      <c r="BU745" s="37"/>
      <c r="BV745" s="37"/>
      <c r="BW745" s="37"/>
      <c r="BX745" s="37"/>
      <c r="BY745" s="37"/>
      <c r="BZ745" s="37"/>
      <c r="CA745" s="37"/>
      <c r="CB745" s="37" t="s">
        <v>1124</v>
      </c>
      <c r="CC745" s="37"/>
      <c r="CD745" s="37"/>
      <c r="CE745" s="37"/>
      <c r="CF745" s="37"/>
      <c r="CG745" s="37"/>
      <c r="CH745" s="37"/>
      <c r="CI745" s="37"/>
      <c r="CJ745" s="37"/>
      <c r="CK745" s="37"/>
      <c r="CL745" s="37"/>
      <c r="CM745" s="37"/>
      <c r="CN745" s="37" t="s">
        <v>1124</v>
      </c>
      <c r="CO745" s="37"/>
      <c r="CP745" s="37"/>
      <c r="CQ745" s="37"/>
      <c r="CR745" s="37"/>
      <c r="CS745" s="37"/>
      <c r="CT745" s="37"/>
      <c r="CU745" s="37"/>
      <c r="CV745" s="37"/>
      <c r="CW745" s="37"/>
      <c r="CX745" s="37"/>
      <c r="CY745" s="37"/>
      <c r="CZ745" s="37" t="s">
        <v>1124</v>
      </c>
      <c r="DA745" s="37"/>
      <c r="DB745" s="37"/>
      <c r="DC745" s="37"/>
      <c r="DD745" s="37"/>
      <c r="DE745" s="37"/>
      <c r="DF745" s="37"/>
      <c r="DG745" s="37"/>
      <c r="DH745" s="37"/>
      <c r="DI745" s="37"/>
      <c r="DJ745" s="37"/>
      <c r="DK745" s="37"/>
      <c r="DL745" s="37" t="s">
        <v>1124</v>
      </c>
      <c r="DM745" s="37"/>
      <c r="DN745" s="37"/>
      <c r="DO745" s="37"/>
      <c r="DP745" s="37"/>
      <c r="DQ745" s="37"/>
      <c r="DR745" s="37"/>
      <c r="DS745" s="37"/>
      <c r="DT745" s="37"/>
      <c r="DU745" s="37"/>
      <c r="DV745" s="37"/>
      <c r="DW745" s="37"/>
      <c r="DX745" s="37" t="s">
        <v>1124</v>
      </c>
      <c r="DY745" s="37"/>
      <c r="DZ745" s="37"/>
      <c r="EA745" s="37"/>
      <c r="EB745" s="37"/>
      <c r="EC745" s="37"/>
      <c r="ED745" s="37"/>
      <c r="EE745" s="37"/>
      <c r="EF745" s="37"/>
      <c r="EG745" s="37"/>
      <c r="EH745" s="37"/>
      <c r="EI745" s="37"/>
      <c r="EJ745" s="37" t="s">
        <v>1124</v>
      </c>
      <c r="EK745" s="161"/>
      <c r="EL745" s="294"/>
    </row>
    <row r="746" spans="1:142" ht="15" customHeight="1" x14ac:dyDescent="0.35">
      <c r="A746" s="34"/>
      <c r="B746" s="313">
        <v>93075</v>
      </c>
      <c r="C746" s="8" t="s">
        <v>970</v>
      </c>
      <c r="D746" s="18">
        <v>2</v>
      </c>
      <c r="E746" s="155">
        <v>69850</v>
      </c>
      <c r="F746" s="36">
        <v>36016</v>
      </c>
      <c r="G746" s="37">
        <v>106565</v>
      </c>
      <c r="H746" s="37">
        <v>0</v>
      </c>
      <c r="I746" s="37">
        <v>700000</v>
      </c>
      <c r="J746" s="37">
        <v>0</v>
      </c>
      <c r="K746" s="37">
        <v>10477.5</v>
      </c>
      <c r="L746" s="37">
        <v>5402.4</v>
      </c>
      <c r="M746" s="37">
        <v>886892.5</v>
      </c>
      <c r="N746" s="37">
        <v>41418.400000000001</v>
      </c>
      <c r="O746" s="37">
        <v>0</v>
      </c>
      <c r="P746" s="37">
        <v>0</v>
      </c>
      <c r="Q746" s="37">
        <v>150000</v>
      </c>
      <c r="R746" s="37">
        <v>0</v>
      </c>
      <c r="S746" s="37">
        <v>0</v>
      </c>
      <c r="T746" s="37">
        <v>0</v>
      </c>
      <c r="U746" s="37">
        <v>484794</v>
      </c>
      <c r="V746" s="37">
        <v>0</v>
      </c>
      <c r="W746" s="37">
        <v>293517</v>
      </c>
      <c r="X746" s="37">
        <v>0</v>
      </c>
      <c r="Y746" s="37">
        <v>0</v>
      </c>
      <c r="Z746" s="37">
        <v>0</v>
      </c>
      <c r="AA746" s="37">
        <v>928311</v>
      </c>
      <c r="AB746" s="37">
        <v>0</v>
      </c>
      <c r="AC746" s="37">
        <v>9.9999999976716936E-2</v>
      </c>
      <c r="AD746" s="37">
        <v>0</v>
      </c>
      <c r="AE746" s="37">
        <v>0</v>
      </c>
      <c r="AF746" s="168">
        <v>0.02</v>
      </c>
      <c r="AG746" s="37">
        <v>26215267.52</v>
      </c>
      <c r="AH746" s="37">
        <v>238728.29</v>
      </c>
      <c r="AI746" s="37">
        <v>243502.85</v>
      </c>
      <c r="AJ746" s="37">
        <v>248372.91</v>
      </c>
      <c r="AK746" s="37">
        <v>253340.37</v>
      </c>
      <c r="AL746" s="37">
        <v>258407.18</v>
      </c>
      <c r="AM746" s="37">
        <v>263575.32</v>
      </c>
      <c r="AN746" s="37">
        <v>268846.83</v>
      </c>
      <c r="AO746" s="37">
        <v>274223.76</v>
      </c>
      <c r="AP746" s="37">
        <v>279708.24</v>
      </c>
      <c r="AQ746" s="37">
        <v>285302.40000000002</v>
      </c>
      <c r="AR746" s="37">
        <v>2614008.1500000004</v>
      </c>
      <c r="AS746" s="37">
        <v>778294.79</v>
      </c>
      <c r="AT746" s="37">
        <v>2414000</v>
      </c>
      <c r="AU746" s="37">
        <v>2462280</v>
      </c>
      <c r="AV746" s="37">
        <v>2511525.6</v>
      </c>
      <c r="AW746" s="37">
        <v>0</v>
      </c>
      <c r="AX746" s="37">
        <v>0</v>
      </c>
      <c r="AY746" s="37">
        <v>0</v>
      </c>
      <c r="AZ746" s="37">
        <v>0</v>
      </c>
      <c r="BA746" s="37">
        <v>0</v>
      </c>
      <c r="BB746" s="37">
        <v>0</v>
      </c>
      <c r="BC746" s="37">
        <v>0</v>
      </c>
      <c r="BD746" s="37">
        <v>7387805.5999999996</v>
      </c>
      <c r="BE746" s="37">
        <v>0</v>
      </c>
      <c r="BF746" s="37">
        <v>0</v>
      </c>
      <c r="BG746" s="37">
        <v>180000</v>
      </c>
      <c r="BH746" s="37">
        <v>0</v>
      </c>
      <c r="BI746" s="37">
        <v>0</v>
      </c>
      <c r="BJ746" s="37">
        <v>0</v>
      </c>
      <c r="BK746" s="37">
        <v>0</v>
      </c>
      <c r="BL746" s="37">
        <v>0</v>
      </c>
      <c r="BM746" s="37">
        <v>0</v>
      </c>
      <c r="BN746" s="37">
        <v>0</v>
      </c>
      <c r="BO746" s="37">
        <v>0</v>
      </c>
      <c r="BP746" s="37">
        <v>180000</v>
      </c>
      <c r="BQ746" s="37">
        <v>0</v>
      </c>
      <c r="BR746" s="37">
        <v>0</v>
      </c>
      <c r="BS746" s="37">
        <v>15000</v>
      </c>
      <c r="BT746" s="37">
        <v>0</v>
      </c>
      <c r="BU746" s="37">
        <v>0</v>
      </c>
      <c r="BV746" s="37">
        <v>0</v>
      </c>
      <c r="BW746" s="37">
        <v>0</v>
      </c>
      <c r="BX746" s="37">
        <v>0</v>
      </c>
      <c r="BY746" s="37">
        <v>0</v>
      </c>
      <c r="BZ746" s="37">
        <v>0</v>
      </c>
      <c r="CA746" s="37">
        <v>0</v>
      </c>
      <c r="CB746" s="37">
        <v>15000</v>
      </c>
      <c r="CC746" s="37">
        <v>0</v>
      </c>
      <c r="CD746" s="37">
        <v>0</v>
      </c>
      <c r="CE746" s="37">
        <v>0</v>
      </c>
      <c r="CF746" s="37">
        <v>0</v>
      </c>
      <c r="CG746" s="37">
        <v>0</v>
      </c>
      <c r="CH746" s="37">
        <v>0</v>
      </c>
      <c r="CI746" s="37">
        <v>0</v>
      </c>
      <c r="CJ746" s="37">
        <v>0</v>
      </c>
      <c r="CK746" s="37">
        <v>0</v>
      </c>
      <c r="CL746" s="37">
        <v>0</v>
      </c>
      <c r="CM746" s="37">
        <v>0</v>
      </c>
      <c r="CN746" s="37">
        <v>0</v>
      </c>
      <c r="CO746" s="37">
        <v>0</v>
      </c>
      <c r="CP746" s="37">
        <v>85000</v>
      </c>
      <c r="CQ746" s="37">
        <v>3400000</v>
      </c>
      <c r="CR746" s="37">
        <v>2550000</v>
      </c>
      <c r="CS746" s="37">
        <v>0</v>
      </c>
      <c r="CT746" s="37">
        <v>0</v>
      </c>
      <c r="CU746" s="37">
        <v>0</v>
      </c>
      <c r="CV746" s="37">
        <v>0</v>
      </c>
      <c r="CW746" s="37">
        <v>0</v>
      </c>
      <c r="CX746" s="37">
        <v>0</v>
      </c>
      <c r="CY746" s="37">
        <v>0</v>
      </c>
      <c r="CZ746" s="37">
        <v>6035000</v>
      </c>
      <c r="DA746" s="37">
        <v>0</v>
      </c>
      <c r="DB746" s="37">
        <v>15000</v>
      </c>
      <c r="DC746" s="37">
        <v>600000</v>
      </c>
      <c r="DD746" s="37">
        <v>450000</v>
      </c>
      <c r="DE746" s="37">
        <v>0</v>
      </c>
      <c r="DF746" s="37">
        <v>0</v>
      </c>
      <c r="DG746" s="37">
        <v>0</v>
      </c>
      <c r="DH746" s="37">
        <v>0</v>
      </c>
      <c r="DI746" s="37">
        <v>0</v>
      </c>
      <c r="DJ746" s="37">
        <v>0</v>
      </c>
      <c r="DK746" s="37">
        <v>0</v>
      </c>
      <c r="DL746" s="37">
        <v>1065000</v>
      </c>
      <c r="DM746" s="37">
        <v>0</v>
      </c>
      <c r="DN746" s="37">
        <v>0</v>
      </c>
      <c r="DO746" s="37">
        <v>0</v>
      </c>
      <c r="DP746" s="37">
        <v>0</v>
      </c>
      <c r="DQ746" s="37">
        <v>0</v>
      </c>
      <c r="DR746" s="37">
        <v>0</v>
      </c>
      <c r="DS746" s="37">
        <v>0</v>
      </c>
      <c r="DT746" s="37">
        <v>0</v>
      </c>
      <c r="DU746" s="37">
        <v>0</v>
      </c>
      <c r="DV746" s="37">
        <v>0</v>
      </c>
      <c r="DW746" s="37">
        <v>0</v>
      </c>
      <c r="DX746" s="37">
        <v>0</v>
      </c>
      <c r="DY746" s="37">
        <v>0</v>
      </c>
      <c r="DZ746" s="37">
        <v>0</v>
      </c>
      <c r="EA746" s="37">
        <v>0</v>
      </c>
      <c r="EB746" s="37">
        <v>0</v>
      </c>
      <c r="EC746" s="37">
        <v>0</v>
      </c>
      <c r="ED746" s="37">
        <v>0</v>
      </c>
      <c r="EE746" s="37">
        <v>0</v>
      </c>
      <c r="EF746" s="37">
        <v>0</v>
      </c>
      <c r="EG746" s="37">
        <v>0</v>
      </c>
      <c r="EH746" s="37">
        <v>0</v>
      </c>
      <c r="EI746" s="37">
        <v>0</v>
      </c>
      <c r="EJ746" s="37">
        <v>0</v>
      </c>
      <c r="EK746" s="161" t="s">
        <v>2955</v>
      </c>
      <c r="EL746" s="294" t="s">
        <v>1124</v>
      </c>
    </row>
    <row r="747" spans="1:142" ht="15" customHeight="1" x14ac:dyDescent="0.35">
      <c r="A747" s="34"/>
      <c r="B747" s="313">
        <v>50057</v>
      </c>
      <c r="C747" s="8" t="s">
        <v>489</v>
      </c>
      <c r="D747" s="18">
        <v>17</v>
      </c>
      <c r="E747" s="155"/>
      <c r="F747" s="36"/>
      <c r="G747" s="37"/>
      <c r="H747" s="37"/>
      <c r="I747" s="37"/>
      <c r="J747" s="37"/>
      <c r="K747" s="37"/>
      <c r="L747" s="37"/>
      <c r="M747" s="37" t="s">
        <v>1124</v>
      </c>
      <c r="N747" s="37" t="s">
        <v>1124</v>
      </c>
      <c r="O747" s="37"/>
      <c r="P747" s="37"/>
      <c r="Q747" s="37"/>
      <c r="R747" s="37"/>
      <c r="S747" s="37"/>
      <c r="T747" s="37"/>
      <c r="U747" s="37"/>
      <c r="V747" s="37"/>
      <c r="W747" s="37"/>
      <c r="X747" s="37"/>
      <c r="Y747" s="37"/>
      <c r="Z747" s="37"/>
      <c r="AA747" s="37" t="s">
        <v>1124</v>
      </c>
      <c r="AB747" s="37" t="s">
        <v>1124</v>
      </c>
      <c r="AC747" s="37"/>
      <c r="AD747" s="37"/>
      <c r="AE747" s="37"/>
      <c r="AF747" s="168"/>
      <c r="AG747" s="37"/>
      <c r="AH747" s="37"/>
      <c r="AI747" s="37"/>
      <c r="AJ747" s="37"/>
      <c r="AK747" s="37"/>
      <c r="AL747" s="37"/>
      <c r="AM747" s="37"/>
      <c r="AN747" s="37"/>
      <c r="AO747" s="37"/>
      <c r="AP747" s="37"/>
      <c r="AQ747" s="37"/>
      <c r="AR747" s="37" t="s">
        <v>1124</v>
      </c>
      <c r="AS747" s="37"/>
      <c r="AT747" s="37"/>
      <c r="AU747" s="37"/>
      <c r="AV747" s="37"/>
      <c r="AW747" s="37"/>
      <c r="AX747" s="37"/>
      <c r="AY747" s="37"/>
      <c r="AZ747" s="37"/>
      <c r="BA747" s="37"/>
      <c r="BB747" s="37"/>
      <c r="BC747" s="37"/>
      <c r="BD747" s="37" t="s">
        <v>1124</v>
      </c>
      <c r="BE747" s="37"/>
      <c r="BF747" s="37"/>
      <c r="BG747" s="37"/>
      <c r="BH747" s="37"/>
      <c r="BI747" s="37"/>
      <c r="BJ747" s="37"/>
      <c r="BK747" s="37"/>
      <c r="BL747" s="37"/>
      <c r="BM747" s="37"/>
      <c r="BN747" s="37"/>
      <c r="BO747" s="37"/>
      <c r="BP747" s="37">
        <v>0</v>
      </c>
      <c r="BQ747" s="37"/>
      <c r="BR747" s="37"/>
      <c r="BS747" s="37"/>
      <c r="BT747" s="37"/>
      <c r="BU747" s="37"/>
      <c r="BV747" s="37"/>
      <c r="BW747" s="37"/>
      <c r="BX747" s="37"/>
      <c r="BY747" s="37"/>
      <c r="BZ747" s="37"/>
      <c r="CA747" s="37"/>
      <c r="CB747" s="37" t="s">
        <v>1124</v>
      </c>
      <c r="CC747" s="37"/>
      <c r="CD747" s="37"/>
      <c r="CE747" s="37"/>
      <c r="CF747" s="37"/>
      <c r="CG747" s="37"/>
      <c r="CH747" s="37"/>
      <c r="CI747" s="37"/>
      <c r="CJ747" s="37"/>
      <c r="CK747" s="37"/>
      <c r="CL747" s="37"/>
      <c r="CM747" s="37"/>
      <c r="CN747" s="37" t="s">
        <v>1124</v>
      </c>
      <c r="CO747" s="37"/>
      <c r="CP747" s="37"/>
      <c r="CQ747" s="37"/>
      <c r="CR747" s="37"/>
      <c r="CS747" s="37"/>
      <c r="CT747" s="37"/>
      <c r="CU747" s="37"/>
      <c r="CV747" s="37"/>
      <c r="CW747" s="37"/>
      <c r="CX747" s="37"/>
      <c r="CY747" s="37"/>
      <c r="CZ747" s="37" t="s">
        <v>1124</v>
      </c>
      <c r="DA747" s="37"/>
      <c r="DB747" s="37"/>
      <c r="DC747" s="37"/>
      <c r="DD747" s="37"/>
      <c r="DE747" s="37"/>
      <c r="DF747" s="37"/>
      <c r="DG747" s="37"/>
      <c r="DH747" s="37"/>
      <c r="DI747" s="37"/>
      <c r="DJ747" s="37"/>
      <c r="DK747" s="37"/>
      <c r="DL747" s="37" t="s">
        <v>1124</v>
      </c>
      <c r="DM747" s="37"/>
      <c r="DN747" s="37"/>
      <c r="DO747" s="37"/>
      <c r="DP747" s="37"/>
      <c r="DQ747" s="37"/>
      <c r="DR747" s="37"/>
      <c r="DS747" s="37"/>
      <c r="DT747" s="37"/>
      <c r="DU747" s="37"/>
      <c r="DV747" s="37"/>
      <c r="DW747" s="37"/>
      <c r="DX747" s="37" t="s">
        <v>1124</v>
      </c>
      <c r="DY747" s="37"/>
      <c r="DZ747" s="37"/>
      <c r="EA747" s="37"/>
      <c r="EB747" s="37"/>
      <c r="EC747" s="37"/>
      <c r="ED747" s="37"/>
      <c r="EE747" s="37"/>
      <c r="EF747" s="37"/>
      <c r="EG747" s="37"/>
      <c r="EH747" s="37"/>
      <c r="EI747" s="37"/>
      <c r="EJ747" s="37" t="s">
        <v>1124</v>
      </c>
      <c r="EK747" s="161"/>
      <c r="EL747" s="294"/>
    </row>
    <row r="748" spans="1:142" ht="15" customHeight="1" x14ac:dyDescent="0.35">
      <c r="A748" s="34"/>
      <c r="B748" s="313">
        <v>8040</v>
      </c>
      <c r="C748" s="8" t="s">
        <v>1092</v>
      </c>
      <c r="D748" s="18">
        <v>1</v>
      </c>
      <c r="E748" s="155"/>
      <c r="F748" s="36"/>
      <c r="G748" s="37"/>
      <c r="H748" s="37"/>
      <c r="I748" s="37"/>
      <c r="J748" s="37"/>
      <c r="K748" s="37"/>
      <c r="L748" s="37"/>
      <c r="M748" s="37" t="s">
        <v>1124</v>
      </c>
      <c r="N748" s="37" t="s">
        <v>1124</v>
      </c>
      <c r="O748" s="37"/>
      <c r="P748" s="37"/>
      <c r="Q748" s="37"/>
      <c r="R748" s="37"/>
      <c r="S748" s="37"/>
      <c r="T748" s="37"/>
      <c r="U748" s="37"/>
      <c r="V748" s="37"/>
      <c r="W748" s="37"/>
      <c r="X748" s="37"/>
      <c r="Y748" s="37"/>
      <c r="Z748" s="37"/>
      <c r="AA748" s="37" t="s">
        <v>1124</v>
      </c>
      <c r="AB748" s="37" t="s">
        <v>1124</v>
      </c>
      <c r="AC748" s="37"/>
      <c r="AD748" s="37"/>
      <c r="AE748" s="37"/>
      <c r="AF748" s="168"/>
      <c r="AG748" s="37"/>
      <c r="AH748" s="37"/>
      <c r="AI748" s="37"/>
      <c r="AJ748" s="37"/>
      <c r="AK748" s="37"/>
      <c r="AL748" s="37"/>
      <c r="AM748" s="37"/>
      <c r="AN748" s="37"/>
      <c r="AO748" s="37"/>
      <c r="AP748" s="37"/>
      <c r="AQ748" s="37"/>
      <c r="AR748" s="37" t="s">
        <v>1124</v>
      </c>
      <c r="AS748" s="37"/>
      <c r="AT748" s="37"/>
      <c r="AU748" s="37"/>
      <c r="AV748" s="37"/>
      <c r="AW748" s="37"/>
      <c r="AX748" s="37"/>
      <c r="AY748" s="37"/>
      <c r="AZ748" s="37"/>
      <c r="BA748" s="37"/>
      <c r="BB748" s="37"/>
      <c r="BC748" s="37"/>
      <c r="BD748" s="37" t="s">
        <v>1124</v>
      </c>
      <c r="BE748" s="37"/>
      <c r="BF748" s="37"/>
      <c r="BG748" s="37"/>
      <c r="BH748" s="37"/>
      <c r="BI748" s="37"/>
      <c r="BJ748" s="37"/>
      <c r="BK748" s="37"/>
      <c r="BL748" s="37"/>
      <c r="BM748" s="37"/>
      <c r="BN748" s="37"/>
      <c r="BO748" s="37"/>
      <c r="BP748" s="37">
        <v>0</v>
      </c>
      <c r="BQ748" s="37"/>
      <c r="BR748" s="37"/>
      <c r="BS748" s="37"/>
      <c r="BT748" s="37"/>
      <c r="BU748" s="37"/>
      <c r="BV748" s="37"/>
      <c r="BW748" s="37"/>
      <c r="BX748" s="37"/>
      <c r="BY748" s="37"/>
      <c r="BZ748" s="37"/>
      <c r="CA748" s="37"/>
      <c r="CB748" s="37" t="s">
        <v>1124</v>
      </c>
      <c r="CC748" s="37"/>
      <c r="CD748" s="37"/>
      <c r="CE748" s="37"/>
      <c r="CF748" s="37"/>
      <c r="CG748" s="37"/>
      <c r="CH748" s="37"/>
      <c r="CI748" s="37"/>
      <c r="CJ748" s="37"/>
      <c r="CK748" s="37"/>
      <c r="CL748" s="37"/>
      <c r="CM748" s="37"/>
      <c r="CN748" s="37" t="s">
        <v>1124</v>
      </c>
      <c r="CO748" s="37"/>
      <c r="CP748" s="37"/>
      <c r="CQ748" s="37"/>
      <c r="CR748" s="37"/>
      <c r="CS748" s="37"/>
      <c r="CT748" s="37"/>
      <c r="CU748" s="37"/>
      <c r="CV748" s="37"/>
      <c r="CW748" s="37"/>
      <c r="CX748" s="37"/>
      <c r="CY748" s="37"/>
      <c r="CZ748" s="37" t="s">
        <v>1124</v>
      </c>
      <c r="DA748" s="37"/>
      <c r="DB748" s="37"/>
      <c r="DC748" s="37"/>
      <c r="DD748" s="37"/>
      <c r="DE748" s="37"/>
      <c r="DF748" s="37"/>
      <c r="DG748" s="37"/>
      <c r="DH748" s="37"/>
      <c r="DI748" s="37"/>
      <c r="DJ748" s="37"/>
      <c r="DK748" s="37"/>
      <c r="DL748" s="37" t="s">
        <v>1124</v>
      </c>
      <c r="DM748" s="37"/>
      <c r="DN748" s="37"/>
      <c r="DO748" s="37"/>
      <c r="DP748" s="37"/>
      <c r="DQ748" s="37"/>
      <c r="DR748" s="37"/>
      <c r="DS748" s="37"/>
      <c r="DT748" s="37"/>
      <c r="DU748" s="37"/>
      <c r="DV748" s="37"/>
      <c r="DW748" s="37"/>
      <c r="DX748" s="37" t="s">
        <v>1124</v>
      </c>
      <c r="DY748" s="37"/>
      <c r="DZ748" s="37"/>
      <c r="EA748" s="37"/>
      <c r="EB748" s="37"/>
      <c r="EC748" s="37"/>
      <c r="ED748" s="37"/>
      <c r="EE748" s="37"/>
      <c r="EF748" s="37"/>
      <c r="EG748" s="37"/>
      <c r="EH748" s="37"/>
      <c r="EI748" s="37"/>
      <c r="EJ748" s="37" t="s">
        <v>1124</v>
      </c>
      <c r="EK748" s="161"/>
      <c r="EL748" s="294"/>
    </row>
    <row r="749" spans="1:142" ht="15" customHeight="1" x14ac:dyDescent="0.35">
      <c r="A749" s="34"/>
      <c r="B749" s="313">
        <v>17030</v>
      </c>
      <c r="C749" s="8" t="s">
        <v>95</v>
      </c>
      <c r="D749" s="18">
        <v>12</v>
      </c>
      <c r="E749" s="155">
        <v>128591</v>
      </c>
      <c r="F749" s="36">
        <v>106586</v>
      </c>
      <c r="G749" s="37">
        <v>8879</v>
      </c>
      <c r="H749" s="37">
        <v>7253</v>
      </c>
      <c r="I749" s="37">
        <v>5203</v>
      </c>
      <c r="J749" s="37">
        <v>19503</v>
      </c>
      <c r="K749" s="37">
        <v>19289</v>
      </c>
      <c r="L749" s="37">
        <v>15988</v>
      </c>
      <c r="M749" s="37">
        <v>161962</v>
      </c>
      <c r="N749" s="37">
        <v>149330</v>
      </c>
      <c r="O749" s="37">
        <v>0</v>
      </c>
      <c r="P749" s="37">
        <v>0</v>
      </c>
      <c r="Q749" s="37">
        <v>116560</v>
      </c>
      <c r="R749" s="37">
        <v>64480</v>
      </c>
      <c r="S749" s="37">
        <v>135</v>
      </c>
      <c r="T749" s="37">
        <v>2000</v>
      </c>
      <c r="U749" s="37">
        <v>758</v>
      </c>
      <c r="V749" s="37">
        <v>0</v>
      </c>
      <c r="W749" s="37">
        <v>63680</v>
      </c>
      <c r="X749" s="37">
        <v>63679</v>
      </c>
      <c r="Y749" s="37">
        <v>0</v>
      </c>
      <c r="Z749" s="37">
        <v>0</v>
      </c>
      <c r="AA749" s="37">
        <v>181133</v>
      </c>
      <c r="AB749" s="37">
        <v>130159</v>
      </c>
      <c r="AC749" s="37">
        <v>0</v>
      </c>
      <c r="AD749" s="37">
        <v>0</v>
      </c>
      <c r="AE749" s="37">
        <v>0</v>
      </c>
      <c r="AF749" s="168">
        <v>0.02</v>
      </c>
      <c r="AG749" s="37">
        <v>30795779.18</v>
      </c>
      <c r="AH749" s="37">
        <v>213180</v>
      </c>
      <c r="AI749" s="37">
        <v>212241.6</v>
      </c>
      <c r="AJ749" s="37">
        <v>216486.43</v>
      </c>
      <c r="AK749" s="37">
        <v>220816.16</v>
      </c>
      <c r="AL749" s="37">
        <v>274605.93</v>
      </c>
      <c r="AM749" s="37">
        <v>280098.05</v>
      </c>
      <c r="AN749" s="37">
        <v>285700.01</v>
      </c>
      <c r="AO749" s="37">
        <v>291414.01</v>
      </c>
      <c r="AP749" s="37">
        <v>297242.28999999998</v>
      </c>
      <c r="AQ749" s="37">
        <v>303187.14</v>
      </c>
      <c r="AR749" s="37">
        <v>2594971.62</v>
      </c>
      <c r="AS749" s="37">
        <v>343315.35</v>
      </c>
      <c r="AT749" s="37">
        <v>0</v>
      </c>
      <c r="AU749" s="37">
        <v>0</v>
      </c>
      <c r="AV749" s="37">
        <v>0</v>
      </c>
      <c r="AW749" s="37">
        <v>0</v>
      </c>
      <c r="AX749" s="37">
        <v>0</v>
      </c>
      <c r="AY749" s="37">
        <v>0</v>
      </c>
      <c r="AZ749" s="37">
        <v>0</v>
      </c>
      <c r="BA749" s="37">
        <v>0</v>
      </c>
      <c r="BB749" s="37">
        <v>0</v>
      </c>
      <c r="BC749" s="37">
        <v>0</v>
      </c>
      <c r="BD749" s="37">
        <v>0</v>
      </c>
      <c r="BE749" s="37">
        <v>0</v>
      </c>
      <c r="BF749" s="37">
        <v>650000</v>
      </c>
      <c r="BG749" s="37">
        <v>500000</v>
      </c>
      <c r="BH749" s="37">
        <v>0</v>
      </c>
      <c r="BI749" s="37">
        <v>0</v>
      </c>
      <c r="BJ749" s="37">
        <v>27984.890768131809</v>
      </c>
      <c r="BK749" s="37">
        <v>135513.82201909053</v>
      </c>
      <c r="BL749" s="37">
        <v>176230.97771015929</v>
      </c>
      <c r="BM749" s="37">
        <v>216948.133401228</v>
      </c>
      <c r="BN749" s="37">
        <v>257665.37610139046</v>
      </c>
      <c r="BO749" s="37">
        <v>0</v>
      </c>
      <c r="BP749" s="37">
        <v>1964343.2000000002</v>
      </c>
      <c r="BQ749" s="37">
        <v>0</v>
      </c>
      <c r="BR749" s="37">
        <v>0</v>
      </c>
      <c r="BS749" s="37">
        <v>0</v>
      </c>
      <c r="BT749" s="37">
        <v>0</v>
      </c>
      <c r="BU749" s="37">
        <v>0</v>
      </c>
      <c r="BV749" s="37">
        <v>10381.575653638047</v>
      </c>
      <c r="BW749" s="37">
        <v>50271.662914864639</v>
      </c>
      <c r="BX749" s="37">
        <v>65376.536316377227</v>
      </c>
      <c r="BY749" s="37">
        <v>80481.409717889779</v>
      </c>
      <c r="BZ749" s="37">
        <v>95586.315397230312</v>
      </c>
      <c r="CA749" s="37">
        <v>0</v>
      </c>
      <c r="CB749" s="37">
        <v>302097.5</v>
      </c>
      <c r="CC749" s="37">
        <v>0</v>
      </c>
      <c r="CD749" s="37">
        <v>0</v>
      </c>
      <c r="CE749" s="37">
        <v>0</v>
      </c>
      <c r="CF749" s="37">
        <v>0</v>
      </c>
      <c r="CG749" s="37">
        <v>0</v>
      </c>
      <c r="CH749" s="37">
        <v>0</v>
      </c>
      <c r="CI749" s="37">
        <v>0</v>
      </c>
      <c r="CJ749" s="37">
        <v>0</v>
      </c>
      <c r="CK749" s="37">
        <v>0</v>
      </c>
      <c r="CL749" s="37">
        <v>0</v>
      </c>
      <c r="CM749" s="37">
        <v>0</v>
      </c>
      <c r="CN749" s="37">
        <v>0</v>
      </c>
      <c r="CO749" s="37">
        <v>0</v>
      </c>
      <c r="CP749" s="37">
        <v>0</v>
      </c>
      <c r="CQ749" s="37">
        <v>0</v>
      </c>
      <c r="CR749" s="37">
        <v>0</v>
      </c>
      <c r="CS749" s="37">
        <v>0</v>
      </c>
      <c r="CT749" s="37">
        <v>0</v>
      </c>
      <c r="CU749" s="37">
        <v>0</v>
      </c>
      <c r="CV749" s="37">
        <v>0</v>
      </c>
      <c r="CW749" s="37">
        <v>0</v>
      </c>
      <c r="CX749" s="37">
        <v>0</v>
      </c>
      <c r="CY749" s="37">
        <v>0</v>
      </c>
      <c r="CZ749" s="37">
        <v>0</v>
      </c>
      <c r="DA749" s="37">
        <v>0</v>
      </c>
      <c r="DB749" s="37">
        <v>0</v>
      </c>
      <c r="DC749" s="37">
        <v>0</v>
      </c>
      <c r="DD749" s="37">
        <v>0</v>
      </c>
      <c r="DE749" s="37">
        <v>0</v>
      </c>
      <c r="DF749" s="37">
        <v>0</v>
      </c>
      <c r="DG749" s="37">
        <v>0</v>
      </c>
      <c r="DH749" s="37">
        <v>0</v>
      </c>
      <c r="DI749" s="37">
        <v>0</v>
      </c>
      <c r="DJ749" s="37">
        <v>0</v>
      </c>
      <c r="DK749" s="37">
        <v>0</v>
      </c>
      <c r="DL749" s="37">
        <v>0</v>
      </c>
      <c r="DM749" s="37">
        <v>0</v>
      </c>
      <c r="DN749" s="37">
        <v>0</v>
      </c>
      <c r="DO749" s="37">
        <v>0</v>
      </c>
      <c r="DP749" s="37">
        <v>0</v>
      </c>
      <c r="DQ749" s="37">
        <v>0</v>
      </c>
      <c r="DR749" s="37">
        <v>0</v>
      </c>
      <c r="DS749" s="37">
        <v>0</v>
      </c>
      <c r="DT749" s="37">
        <v>0</v>
      </c>
      <c r="DU749" s="37">
        <v>0</v>
      </c>
      <c r="DV749" s="37">
        <v>0</v>
      </c>
      <c r="DW749" s="37">
        <v>0</v>
      </c>
      <c r="DX749" s="37">
        <v>0</v>
      </c>
      <c r="DY749" s="37">
        <v>0</v>
      </c>
      <c r="DZ749" s="37">
        <v>0</v>
      </c>
      <c r="EA749" s="37">
        <v>0</v>
      </c>
      <c r="EB749" s="37">
        <v>0</v>
      </c>
      <c r="EC749" s="37">
        <v>0</v>
      </c>
      <c r="ED749" s="37">
        <v>0</v>
      </c>
      <c r="EE749" s="37">
        <v>0</v>
      </c>
      <c r="EF749" s="37">
        <v>0</v>
      </c>
      <c r="EG749" s="37">
        <v>0</v>
      </c>
      <c r="EH749" s="37">
        <v>0</v>
      </c>
      <c r="EI749" s="37">
        <v>0</v>
      </c>
      <c r="EJ749" s="37">
        <v>0</v>
      </c>
      <c r="EK749" s="161" t="s">
        <v>2958</v>
      </c>
      <c r="EL749" s="294" t="s">
        <v>1124</v>
      </c>
    </row>
    <row r="750" spans="1:142" ht="15" customHeight="1" x14ac:dyDescent="0.35">
      <c r="A750" s="34"/>
      <c r="B750" s="313">
        <v>50050</v>
      </c>
      <c r="C750" s="8" t="s">
        <v>488</v>
      </c>
      <c r="D750" s="18">
        <v>17</v>
      </c>
      <c r="E750" s="155">
        <v>116544</v>
      </c>
      <c r="F750" s="36">
        <v>94532</v>
      </c>
      <c r="G750" s="37">
        <v>0</v>
      </c>
      <c r="H750" s="37">
        <v>0</v>
      </c>
      <c r="I750" s="37">
        <v>0</v>
      </c>
      <c r="J750" s="37">
        <v>0</v>
      </c>
      <c r="K750" s="37">
        <v>17482</v>
      </c>
      <c r="L750" s="37">
        <v>14180</v>
      </c>
      <c r="M750" s="37">
        <v>134026</v>
      </c>
      <c r="N750" s="37">
        <v>108712</v>
      </c>
      <c r="O750" s="37">
        <v>92827</v>
      </c>
      <c r="P750" s="37">
        <v>0</v>
      </c>
      <c r="Q750" s="37">
        <v>0</v>
      </c>
      <c r="R750" s="37">
        <v>63876</v>
      </c>
      <c r="S750" s="37">
        <v>7200</v>
      </c>
      <c r="T750" s="37">
        <v>10000</v>
      </c>
      <c r="U750" s="37">
        <v>25010</v>
      </c>
      <c r="V750" s="37">
        <v>0</v>
      </c>
      <c r="W750" s="37">
        <v>8989</v>
      </c>
      <c r="X750" s="37">
        <v>34836</v>
      </c>
      <c r="Y750" s="37">
        <v>0</v>
      </c>
      <c r="Z750" s="37">
        <v>0</v>
      </c>
      <c r="AA750" s="37">
        <v>134026</v>
      </c>
      <c r="AB750" s="37">
        <v>108712</v>
      </c>
      <c r="AC750" s="37">
        <v>0</v>
      </c>
      <c r="AD750" s="37">
        <v>0</v>
      </c>
      <c r="AE750" s="37">
        <v>6649</v>
      </c>
      <c r="AF750" s="168">
        <v>0.02</v>
      </c>
      <c r="AG750" s="37">
        <v>14384044.630000001</v>
      </c>
      <c r="AH750" s="37">
        <v>126133.2</v>
      </c>
      <c r="AI750" s="37">
        <v>121331.45</v>
      </c>
      <c r="AJ750" s="37">
        <v>118345.92</v>
      </c>
      <c r="AK750" s="37">
        <v>120712.83</v>
      </c>
      <c r="AL750" s="37">
        <v>123127.09</v>
      </c>
      <c r="AM750" s="37">
        <v>125589.63</v>
      </c>
      <c r="AN750" s="37">
        <v>127710.87</v>
      </c>
      <c r="AO750" s="37">
        <v>130265.09</v>
      </c>
      <c r="AP750" s="37">
        <v>132870.39000000001</v>
      </c>
      <c r="AQ750" s="37">
        <v>135527.79999999999</v>
      </c>
      <c r="AR750" s="37">
        <v>1261614.27</v>
      </c>
      <c r="AS750" s="37">
        <v>52020</v>
      </c>
      <c r="AT750" s="37">
        <v>0</v>
      </c>
      <c r="AU750" s="37">
        <v>46818</v>
      </c>
      <c r="AV750" s="37">
        <v>0</v>
      </c>
      <c r="AW750" s="37">
        <v>0</v>
      </c>
      <c r="AX750" s="37">
        <v>0</v>
      </c>
      <c r="AY750" s="37">
        <v>0</v>
      </c>
      <c r="AZ750" s="37">
        <v>0</v>
      </c>
      <c r="BA750" s="37">
        <v>0</v>
      </c>
      <c r="BB750" s="37">
        <v>0</v>
      </c>
      <c r="BC750" s="37">
        <v>0</v>
      </c>
      <c r="BD750" s="37">
        <v>46818</v>
      </c>
      <c r="BE750" s="37">
        <v>338790</v>
      </c>
      <c r="BF750" s="37">
        <v>0</v>
      </c>
      <c r="BG750" s="37">
        <v>0</v>
      </c>
      <c r="BH750" s="37">
        <v>0</v>
      </c>
      <c r="BI750" s="37">
        <v>0</v>
      </c>
      <c r="BJ750" s="37">
        <v>0</v>
      </c>
      <c r="BK750" s="37">
        <v>0</v>
      </c>
      <c r="BL750" s="37">
        <v>0</v>
      </c>
      <c r="BM750" s="37">
        <v>0</v>
      </c>
      <c r="BN750" s="37">
        <v>0</v>
      </c>
      <c r="BO750" s="37">
        <v>0</v>
      </c>
      <c r="BP750" s="37">
        <v>0</v>
      </c>
      <c r="BQ750" s="37">
        <v>0</v>
      </c>
      <c r="BR750" s="37">
        <v>67000</v>
      </c>
      <c r="BS750" s="37">
        <v>0</v>
      </c>
      <c r="BT750" s="37">
        <v>0</v>
      </c>
      <c r="BU750" s="37">
        <v>0</v>
      </c>
      <c r="BV750" s="37">
        <v>0</v>
      </c>
      <c r="BW750" s="37">
        <v>0</v>
      </c>
      <c r="BX750" s="37">
        <v>0</v>
      </c>
      <c r="BY750" s="37">
        <v>0</v>
      </c>
      <c r="BZ750" s="37">
        <v>0</v>
      </c>
      <c r="CA750" s="37">
        <v>0</v>
      </c>
      <c r="CB750" s="37">
        <v>67000</v>
      </c>
      <c r="CC750" s="37">
        <v>0</v>
      </c>
      <c r="CD750" s="37">
        <v>0</v>
      </c>
      <c r="CE750" s="37">
        <v>0</v>
      </c>
      <c r="CF750" s="37">
        <v>0</v>
      </c>
      <c r="CG750" s="37">
        <v>0</v>
      </c>
      <c r="CH750" s="37">
        <v>0</v>
      </c>
      <c r="CI750" s="37">
        <v>0</v>
      </c>
      <c r="CJ750" s="37">
        <v>0</v>
      </c>
      <c r="CK750" s="37">
        <v>0</v>
      </c>
      <c r="CL750" s="37">
        <v>0</v>
      </c>
      <c r="CM750" s="37">
        <v>0</v>
      </c>
      <c r="CN750" s="37">
        <v>0</v>
      </c>
      <c r="CO750" s="37">
        <v>0</v>
      </c>
      <c r="CP750" s="37">
        <v>0</v>
      </c>
      <c r="CQ750" s="37">
        <v>0</v>
      </c>
      <c r="CR750" s="37">
        <v>0</v>
      </c>
      <c r="CS750" s="37">
        <v>0</v>
      </c>
      <c r="CT750" s="37">
        <v>0</v>
      </c>
      <c r="CU750" s="37">
        <v>0</v>
      </c>
      <c r="CV750" s="37">
        <v>0</v>
      </c>
      <c r="CW750" s="37">
        <v>0</v>
      </c>
      <c r="CX750" s="37">
        <v>0</v>
      </c>
      <c r="CY750" s="37">
        <v>0</v>
      </c>
      <c r="CZ750" s="37">
        <v>0</v>
      </c>
      <c r="DA750" s="37">
        <v>0</v>
      </c>
      <c r="DB750" s="37">
        <v>0</v>
      </c>
      <c r="DC750" s="37">
        <v>45000</v>
      </c>
      <c r="DD750" s="37">
        <v>0</v>
      </c>
      <c r="DE750" s="37">
        <v>0</v>
      </c>
      <c r="DF750" s="37">
        <v>0</v>
      </c>
      <c r="DG750" s="37">
        <v>0</v>
      </c>
      <c r="DH750" s="37">
        <v>0</v>
      </c>
      <c r="DI750" s="37">
        <v>0</v>
      </c>
      <c r="DJ750" s="37">
        <v>0</v>
      </c>
      <c r="DK750" s="37">
        <v>0</v>
      </c>
      <c r="DL750" s="37">
        <v>45000</v>
      </c>
      <c r="DM750" s="37">
        <v>0</v>
      </c>
      <c r="DN750" s="37">
        <v>0</v>
      </c>
      <c r="DO750" s="37">
        <v>0</v>
      </c>
      <c r="DP750" s="37">
        <v>0</v>
      </c>
      <c r="DQ750" s="37">
        <v>0</v>
      </c>
      <c r="DR750" s="37">
        <v>0</v>
      </c>
      <c r="DS750" s="37">
        <v>0</v>
      </c>
      <c r="DT750" s="37">
        <v>0</v>
      </c>
      <c r="DU750" s="37">
        <v>0</v>
      </c>
      <c r="DV750" s="37">
        <v>0</v>
      </c>
      <c r="DW750" s="37">
        <v>0</v>
      </c>
      <c r="DX750" s="37">
        <v>0</v>
      </c>
      <c r="DY750" s="37">
        <v>0</v>
      </c>
      <c r="DZ750" s="37">
        <v>0</v>
      </c>
      <c r="EA750" s="37">
        <v>0</v>
      </c>
      <c r="EB750" s="37">
        <v>0</v>
      </c>
      <c r="EC750" s="37">
        <v>0</v>
      </c>
      <c r="ED750" s="37">
        <v>0</v>
      </c>
      <c r="EE750" s="37">
        <v>0</v>
      </c>
      <c r="EF750" s="37">
        <v>0</v>
      </c>
      <c r="EG750" s="37">
        <v>0</v>
      </c>
      <c r="EH750" s="37">
        <v>0</v>
      </c>
      <c r="EI750" s="37">
        <v>0</v>
      </c>
      <c r="EJ750" s="37">
        <v>0</v>
      </c>
      <c r="EK750" s="161" t="s">
        <v>2962</v>
      </c>
      <c r="EL750" s="294" t="s">
        <v>1124</v>
      </c>
    </row>
    <row r="751" spans="1:142" ht="15" customHeight="1" x14ac:dyDescent="0.35">
      <c r="A751" s="34"/>
      <c r="B751" s="313">
        <v>20030</v>
      </c>
      <c r="C751" s="8" t="s">
        <v>143</v>
      </c>
      <c r="D751" s="18">
        <v>3</v>
      </c>
      <c r="E751" s="155"/>
      <c r="F751" s="36"/>
      <c r="G751" s="37"/>
      <c r="H751" s="37"/>
      <c r="I751" s="37"/>
      <c r="J751" s="37"/>
      <c r="K751" s="37"/>
      <c r="L751" s="37"/>
      <c r="M751" s="37" t="s">
        <v>1124</v>
      </c>
      <c r="N751" s="37" t="s">
        <v>1124</v>
      </c>
      <c r="O751" s="37"/>
      <c r="P751" s="37"/>
      <c r="Q751" s="37"/>
      <c r="R751" s="37"/>
      <c r="S751" s="37"/>
      <c r="T751" s="37"/>
      <c r="U751" s="37"/>
      <c r="V751" s="37"/>
      <c r="W751" s="37"/>
      <c r="X751" s="37"/>
      <c r="Y751" s="37"/>
      <c r="Z751" s="37"/>
      <c r="AA751" s="37" t="s">
        <v>1124</v>
      </c>
      <c r="AB751" s="37" t="s">
        <v>1124</v>
      </c>
      <c r="AC751" s="37"/>
      <c r="AD751" s="37"/>
      <c r="AE751" s="37"/>
      <c r="AF751" s="168"/>
      <c r="AG751" s="37"/>
      <c r="AH751" s="37"/>
      <c r="AI751" s="37"/>
      <c r="AJ751" s="37"/>
      <c r="AK751" s="37"/>
      <c r="AL751" s="37"/>
      <c r="AM751" s="37"/>
      <c r="AN751" s="37"/>
      <c r="AO751" s="37"/>
      <c r="AP751" s="37"/>
      <c r="AQ751" s="37"/>
      <c r="AR751" s="37" t="s">
        <v>1124</v>
      </c>
      <c r="AS751" s="37"/>
      <c r="AT751" s="37"/>
      <c r="AU751" s="37"/>
      <c r="AV751" s="37"/>
      <c r="AW751" s="37"/>
      <c r="AX751" s="37"/>
      <c r="AY751" s="37"/>
      <c r="AZ751" s="37"/>
      <c r="BA751" s="37"/>
      <c r="BB751" s="37"/>
      <c r="BC751" s="37"/>
      <c r="BD751" s="37" t="s">
        <v>1124</v>
      </c>
      <c r="BE751" s="37"/>
      <c r="BF751" s="37"/>
      <c r="BG751" s="37"/>
      <c r="BH751" s="37"/>
      <c r="BI751" s="37"/>
      <c r="BJ751" s="37"/>
      <c r="BK751" s="37"/>
      <c r="BL751" s="37"/>
      <c r="BM751" s="37"/>
      <c r="BN751" s="37"/>
      <c r="BO751" s="37"/>
      <c r="BP751" s="37">
        <v>0</v>
      </c>
      <c r="BQ751" s="37"/>
      <c r="BR751" s="37"/>
      <c r="BS751" s="37"/>
      <c r="BT751" s="37"/>
      <c r="BU751" s="37"/>
      <c r="BV751" s="37"/>
      <c r="BW751" s="37"/>
      <c r="BX751" s="37"/>
      <c r="BY751" s="37"/>
      <c r="BZ751" s="37"/>
      <c r="CA751" s="37"/>
      <c r="CB751" s="37" t="s">
        <v>1124</v>
      </c>
      <c r="CC751" s="37"/>
      <c r="CD751" s="37"/>
      <c r="CE751" s="37"/>
      <c r="CF751" s="37"/>
      <c r="CG751" s="37"/>
      <c r="CH751" s="37"/>
      <c r="CI751" s="37"/>
      <c r="CJ751" s="37"/>
      <c r="CK751" s="37"/>
      <c r="CL751" s="37"/>
      <c r="CM751" s="37"/>
      <c r="CN751" s="37" t="s">
        <v>1124</v>
      </c>
      <c r="CO751" s="37"/>
      <c r="CP751" s="37"/>
      <c r="CQ751" s="37"/>
      <c r="CR751" s="37"/>
      <c r="CS751" s="37"/>
      <c r="CT751" s="37"/>
      <c r="CU751" s="37"/>
      <c r="CV751" s="37"/>
      <c r="CW751" s="37"/>
      <c r="CX751" s="37"/>
      <c r="CY751" s="37"/>
      <c r="CZ751" s="37" t="s">
        <v>1124</v>
      </c>
      <c r="DA751" s="37"/>
      <c r="DB751" s="37"/>
      <c r="DC751" s="37"/>
      <c r="DD751" s="37"/>
      <c r="DE751" s="37"/>
      <c r="DF751" s="37"/>
      <c r="DG751" s="37"/>
      <c r="DH751" s="37"/>
      <c r="DI751" s="37"/>
      <c r="DJ751" s="37"/>
      <c r="DK751" s="37"/>
      <c r="DL751" s="37" t="s">
        <v>1124</v>
      </c>
      <c r="DM751" s="37"/>
      <c r="DN751" s="37"/>
      <c r="DO751" s="37"/>
      <c r="DP751" s="37"/>
      <c r="DQ751" s="37"/>
      <c r="DR751" s="37"/>
      <c r="DS751" s="37"/>
      <c r="DT751" s="37"/>
      <c r="DU751" s="37"/>
      <c r="DV751" s="37"/>
      <c r="DW751" s="37"/>
      <c r="DX751" s="37" t="s">
        <v>1124</v>
      </c>
      <c r="DY751" s="37"/>
      <c r="DZ751" s="37"/>
      <c r="EA751" s="37"/>
      <c r="EB751" s="37"/>
      <c r="EC751" s="37"/>
      <c r="ED751" s="37"/>
      <c r="EE751" s="37"/>
      <c r="EF751" s="37"/>
      <c r="EG751" s="37"/>
      <c r="EH751" s="37"/>
      <c r="EI751" s="37"/>
      <c r="EJ751" s="37" t="s">
        <v>1124</v>
      </c>
      <c r="EK751" s="161"/>
      <c r="EL751" s="294"/>
    </row>
    <row r="752" spans="1:142" ht="15" customHeight="1" x14ac:dyDescent="0.35">
      <c r="A752" s="34"/>
      <c r="B752" s="313">
        <v>29112</v>
      </c>
      <c r="C752" s="8" t="s">
        <v>214</v>
      </c>
      <c r="D752" s="18">
        <v>12</v>
      </c>
      <c r="E752" s="155">
        <v>116435</v>
      </c>
      <c r="F752" s="36">
        <v>98784</v>
      </c>
      <c r="G752" s="37">
        <v>32511</v>
      </c>
      <c r="H752" s="37">
        <v>14588</v>
      </c>
      <c r="I752" s="37">
        <v>181068</v>
      </c>
      <c r="J752" s="37">
        <v>25927</v>
      </c>
      <c r="K752" s="37">
        <v>17465</v>
      </c>
      <c r="L752" s="37">
        <v>14818</v>
      </c>
      <c r="M752" s="37">
        <v>347479</v>
      </c>
      <c r="N752" s="37">
        <v>154117</v>
      </c>
      <c r="O752" s="37">
        <v>85422</v>
      </c>
      <c r="P752" s="37">
        <v>0</v>
      </c>
      <c r="Q752" s="37">
        <v>92375</v>
      </c>
      <c r="R752" s="37">
        <v>135559</v>
      </c>
      <c r="S752" s="37">
        <v>0</v>
      </c>
      <c r="T752" s="37">
        <v>0</v>
      </c>
      <c r="U752" s="37">
        <v>16775</v>
      </c>
      <c r="V752" s="37">
        <v>4156</v>
      </c>
      <c r="W752" s="37">
        <v>83655</v>
      </c>
      <c r="X752" s="37">
        <v>83654</v>
      </c>
      <c r="Y752" s="37">
        <v>0</v>
      </c>
      <c r="Z752" s="37">
        <v>0</v>
      </c>
      <c r="AA752" s="37">
        <v>278227</v>
      </c>
      <c r="AB752" s="37">
        <v>223369</v>
      </c>
      <c r="AC752" s="37">
        <v>0</v>
      </c>
      <c r="AD752" s="37">
        <v>0</v>
      </c>
      <c r="AE752" s="37">
        <v>0</v>
      </c>
      <c r="AF752" s="168">
        <v>0.02</v>
      </c>
      <c r="AG752" s="37">
        <v>30321567.43</v>
      </c>
      <c r="AH752" s="37">
        <v>258985.14</v>
      </c>
      <c r="AI752" s="37">
        <v>264164.84000000003</v>
      </c>
      <c r="AJ752" s="37">
        <v>269448.14</v>
      </c>
      <c r="AK752" s="37">
        <v>274837.09999999998</v>
      </c>
      <c r="AL752" s="37">
        <v>280333.84000000003</v>
      </c>
      <c r="AM752" s="37">
        <v>285940.52</v>
      </c>
      <c r="AN752" s="37">
        <v>291659.33</v>
      </c>
      <c r="AO752" s="37">
        <v>297492.52</v>
      </c>
      <c r="AP752" s="37">
        <v>303442.37</v>
      </c>
      <c r="AQ752" s="37">
        <v>309511.21999999997</v>
      </c>
      <c r="AR752" s="37">
        <v>2835815.02</v>
      </c>
      <c r="AS752" s="37">
        <v>744529.57</v>
      </c>
      <c r="AT752" s="37">
        <v>0</v>
      </c>
      <c r="AU752" s="37">
        <v>0</v>
      </c>
      <c r="AV752" s="37">
        <v>0</v>
      </c>
      <c r="AW752" s="37">
        <v>0</v>
      </c>
      <c r="AX752" s="37">
        <v>0</v>
      </c>
      <c r="AY752" s="37">
        <v>0</v>
      </c>
      <c r="AZ752" s="37">
        <v>0</v>
      </c>
      <c r="BA752" s="37">
        <v>0</v>
      </c>
      <c r="BB752" s="37">
        <v>0</v>
      </c>
      <c r="BC752" s="37">
        <v>0</v>
      </c>
      <c r="BD752" s="37">
        <v>0</v>
      </c>
      <c r="BE752" s="37">
        <v>552000</v>
      </c>
      <c r="BF752" s="37">
        <v>1220000</v>
      </c>
      <c r="BG752" s="37">
        <v>0</v>
      </c>
      <c r="BH752" s="37">
        <v>0</v>
      </c>
      <c r="BI752" s="37">
        <v>0</v>
      </c>
      <c r="BJ752" s="37">
        <v>31366.004293526705</v>
      </c>
      <c r="BK752" s="37">
        <v>151886.50041555121</v>
      </c>
      <c r="BL752" s="37">
        <v>197523.07233601811</v>
      </c>
      <c r="BM752" s="37">
        <v>243159.64425648493</v>
      </c>
      <c r="BN752" s="37">
        <v>288796.31369841908</v>
      </c>
      <c r="BO752" s="37">
        <v>0</v>
      </c>
      <c r="BP752" s="37">
        <v>2132731.5350000001</v>
      </c>
      <c r="BQ752" s="37">
        <v>138000</v>
      </c>
      <c r="BR752" s="37">
        <v>305000</v>
      </c>
      <c r="BS752" s="37">
        <v>0</v>
      </c>
      <c r="BT752" s="37">
        <v>0</v>
      </c>
      <c r="BU752" s="37">
        <v>0</v>
      </c>
      <c r="BV752" s="37">
        <v>10279.425739684972</v>
      </c>
      <c r="BW752" s="37">
        <v>49777.012949160082</v>
      </c>
      <c r="BX752" s="37">
        <v>64733.261366401042</v>
      </c>
      <c r="BY752" s="37">
        <v>79689.509783641974</v>
      </c>
      <c r="BZ752" s="37">
        <v>94645.790161111945</v>
      </c>
      <c r="CA752" s="37">
        <v>0</v>
      </c>
      <c r="CB752" s="37">
        <v>604125</v>
      </c>
      <c r="CC752" s="37">
        <v>0</v>
      </c>
      <c r="CD752" s="37">
        <v>0</v>
      </c>
      <c r="CE752" s="37">
        <v>0</v>
      </c>
      <c r="CF752" s="37">
        <v>0</v>
      </c>
      <c r="CG752" s="37">
        <v>0</v>
      </c>
      <c r="CH752" s="37">
        <v>0</v>
      </c>
      <c r="CI752" s="37">
        <v>0</v>
      </c>
      <c r="CJ752" s="37">
        <v>0</v>
      </c>
      <c r="CK752" s="37">
        <v>0</v>
      </c>
      <c r="CL752" s="37">
        <v>0</v>
      </c>
      <c r="CM752" s="37">
        <v>0</v>
      </c>
      <c r="CN752" s="37">
        <v>0</v>
      </c>
      <c r="CO752" s="37">
        <v>0</v>
      </c>
      <c r="CP752" s="37">
        <v>0</v>
      </c>
      <c r="CQ752" s="37">
        <v>0</v>
      </c>
      <c r="CR752" s="37">
        <v>0</v>
      </c>
      <c r="CS752" s="37">
        <v>0</v>
      </c>
      <c r="CT752" s="37">
        <v>0</v>
      </c>
      <c r="CU752" s="37">
        <v>0</v>
      </c>
      <c r="CV752" s="37">
        <v>0</v>
      </c>
      <c r="CW752" s="37">
        <v>0</v>
      </c>
      <c r="CX752" s="37">
        <v>0</v>
      </c>
      <c r="CY752" s="37">
        <v>0</v>
      </c>
      <c r="CZ752" s="37">
        <v>0</v>
      </c>
      <c r="DA752" s="37">
        <v>0</v>
      </c>
      <c r="DB752" s="37">
        <v>0</v>
      </c>
      <c r="DC752" s="37">
        <v>0</v>
      </c>
      <c r="DD752" s="37">
        <v>0</v>
      </c>
      <c r="DE752" s="37">
        <v>0</v>
      </c>
      <c r="DF752" s="37">
        <v>0</v>
      </c>
      <c r="DG752" s="37">
        <v>0</v>
      </c>
      <c r="DH752" s="37">
        <v>0</v>
      </c>
      <c r="DI752" s="37">
        <v>0</v>
      </c>
      <c r="DJ752" s="37">
        <v>0</v>
      </c>
      <c r="DK752" s="37">
        <v>0</v>
      </c>
      <c r="DL752" s="37">
        <v>0</v>
      </c>
      <c r="DM752" s="37">
        <v>0</v>
      </c>
      <c r="DN752" s="37">
        <v>0</v>
      </c>
      <c r="DO752" s="37">
        <v>0</v>
      </c>
      <c r="DP752" s="37">
        <v>0</v>
      </c>
      <c r="DQ752" s="37">
        <v>0</v>
      </c>
      <c r="DR752" s="37">
        <v>0</v>
      </c>
      <c r="DS752" s="37">
        <v>0</v>
      </c>
      <c r="DT752" s="37">
        <v>0</v>
      </c>
      <c r="DU752" s="37">
        <v>0</v>
      </c>
      <c r="DV752" s="37">
        <v>0</v>
      </c>
      <c r="DW752" s="37">
        <v>0</v>
      </c>
      <c r="DX752" s="37">
        <v>0</v>
      </c>
      <c r="DY752" s="37">
        <v>0</v>
      </c>
      <c r="DZ752" s="37">
        <v>0</v>
      </c>
      <c r="EA752" s="37">
        <v>0</v>
      </c>
      <c r="EB752" s="37">
        <v>0</v>
      </c>
      <c r="EC752" s="37">
        <v>0</v>
      </c>
      <c r="ED752" s="37">
        <v>0</v>
      </c>
      <c r="EE752" s="37">
        <v>0</v>
      </c>
      <c r="EF752" s="37">
        <v>0</v>
      </c>
      <c r="EG752" s="37">
        <v>0</v>
      </c>
      <c r="EH752" s="37">
        <v>0</v>
      </c>
      <c r="EI752" s="37">
        <v>0</v>
      </c>
      <c r="EJ752" s="37">
        <v>0</v>
      </c>
      <c r="EK752" s="161" t="s">
        <v>2965</v>
      </c>
      <c r="EL752" s="294" t="s">
        <v>1124</v>
      </c>
    </row>
    <row r="753" spans="1:142" ht="15" customHeight="1" x14ac:dyDescent="0.35">
      <c r="A753" s="34"/>
      <c r="B753" s="313">
        <v>12030</v>
      </c>
      <c r="C753" s="8" t="s">
        <v>33</v>
      </c>
      <c r="D753" s="18">
        <v>1</v>
      </c>
      <c r="E753" s="155">
        <v>74994</v>
      </c>
      <c r="F753" s="36">
        <v>33600</v>
      </c>
      <c r="G753" s="37">
        <v>31443</v>
      </c>
      <c r="H753" s="37">
        <v>0</v>
      </c>
      <c r="I753" s="37">
        <v>9842</v>
      </c>
      <c r="J753" s="37">
        <v>0</v>
      </c>
      <c r="K753" s="37">
        <v>11249</v>
      </c>
      <c r="L753" s="37">
        <v>5040</v>
      </c>
      <c r="M753" s="37">
        <v>127528</v>
      </c>
      <c r="N753" s="37">
        <v>38640</v>
      </c>
      <c r="O753" s="37">
        <v>2023</v>
      </c>
      <c r="P753" s="37">
        <v>0</v>
      </c>
      <c r="Q753" s="37">
        <v>103832</v>
      </c>
      <c r="R753" s="37">
        <v>0</v>
      </c>
      <c r="S753" s="37">
        <v>0</v>
      </c>
      <c r="T753" s="37">
        <v>0</v>
      </c>
      <c r="U753" s="37">
        <v>35505</v>
      </c>
      <c r="V753" s="37">
        <v>11180</v>
      </c>
      <c r="W753" s="37">
        <v>6814</v>
      </c>
      <c r="X753" s="37">
        <v>6814</v>
      </c>
      <c r="Y753" s="37">
        <v>0</v>
      </c>
      <c r="Z753" s="37">
        <v>0</v>
      </c>
      <c r="AA753" s="37">
        <v>148174</v>
      </c>
      <c r="AB753" s="37">
        <v>17994</v>
      </c>
      <c r="AC753" s="37">
        <v>0</v>
      </c>
      <c r="AD753" s="37">
        <v>0</v>
      </c>
      <c r="AE753" s="37">
        <v>0</v>
      </c>
      <c r="AF753" s="168">
        <v>0.02</v>
      </c>
      <c r="AG753" s="37">
        <v>9686650.2899999991</v>
      </c>
      <c r="AH753" s="37">
        <v>187272</v>
      </c>
      <c r="AI753" s="37">
        <v>122038.92</v>
      </c>
      <c r="AJ753" s="37">
        <v>71765.05</v>
      </c>
      <c r="AK753" s="37">
        <v>73200.36</v>
      </c>
      <c r="AL753" s="37">
        <v>74664.36</v>
      </c>
      <c r="AM753" s="37">
        <v>76157.649999999994</v>
      </c>
      <c r="AN753" s="37">
        <v>77680.800000000003</v>
      </c>
      <c r="AO753" s="37">
        <v>79234.42</v>
      </c>
      <c r="AP753" s="37">
        <v>80819.11</v>
      </c>
      <c r="AQ753" s="37">
        <v>82435.72</v>
      </c>
      <c r="AR753" s="37">
        <v>925268.39</v>
      </c>
      <c r="AS753" s="37">
        <v>12786.72</v>
      </c>
      <c r="AT753" s="37">
        <v>0</v>
      </c>
      <c r="AU753" s="37">
        <v>0</v>
      </c>
      <c r="AV753" s="37">
        <v>0</v>
      </c>
      <c r="AW753" s="37">
        <v>0</v>
      </c>
      <c r="AX753" s="37">
        <v>0</v>
      </c>
      <c r="AY753" s="37">
        <v>0</v>
      </c>
      <c r="AZ753" s="37">
        <v>0</v>
      </c>
      <c r="BA753" s="37">
        <v>0</v>
      </c>
      <c r="BB753" s="37">
        <v>0</v>
      </c>
      <c r="BC753" s="37">
        <v>0</v>
      </c>
      <c r="BD753" s="37">
        <v>0</v>
      </c>
      <c r="BE753" s="37">
        <v>36959</v>
      </c>
      <c r="BF753" s="37">
        <v>17000</v>
      </c>
      <c r="BG753" s="37">
        <v>0</v>
      </c>
      <c r="BH753" s="37">
        <v>0</v>
      </c>
      <c r="BI753" s="37">
        <v>0</v>
      </c>
      <c r="BJ753" s="37">
        <v>0</v>
      </c>
      <c r="BK753" s="37">
        <v>0</v>
      </c>
      <c r="BL753" s="37">
        <v>0</v>
      </c>
      <c r="BM753" s="37">
        <v>0</v>
      </c>
      <c r="BN753" s="37">
        <v>0</v>
      </c>
      <c r="BO753" s="37">
        <v>0</v>
      </c>
      <c r="BP753" s="37">
        <v>17000</v>
      </c>
      <c r="BQ753" s="37">
        <v>0</v>
      </c>
      <c r="BR753" s="37">
        <v>0</v>
      </c>
      <c r="BS753" s="37">
        <v>0</v>
      </c>
      <c r="BT753" s="37">
        <v>0</v>
      </c>
      <c r="BU753" s="37">
        <v>0</v>
      </c>
      <c r="BV753" s="37">
        <v>0</v>
      </c>
      <c r="BW753" s="37">
        <v>0</v>
      </c>
      <c r="BX753" s="37">
        <v>0</v>
      </c>
      <c r="BY753" s="37">
        <v>0</v>
      </c>
      <c r="BZ753" s="37">
        <v>0</v>
      </c>
      <c r="CA753" s="37">
        <v>0</v>
      </c>
      <c r="CB753" s="37">
        <v>0</v>
      </c>
      <c r="CC753" s="37">
        <v>10000</v>
      </c>
      <c r="CD753" s="37">
        <v>0</v>
      </c>
      <c r="CE753" s="37">
        <v>0</v>
      </c>
      <c r="CF753" s="37">
        <v>0</v>
      </c>
      <c r="CG753" s="37">
        <v>0</v>
      </c>
      <c r="CH753" s="37">
        <v>0</v>
      </c>
      <c r="CI753" s="37">
        <v>0</v>
      </c>
      <c r="CJ753" s="37">
        <v>0</v>
      </c>
      <c r="CK753" s="37">
        <v>0</v>
      </c>
      <c r="CL753" s="37">
        <v>0</v>
      </c>
      <c r="CM753" s="37">
        <v>0</v>
      </c>
      <c r="CN753" s="37">
        <v>0</v>
      </c>
      <c r="CO753" s="37">
        <v>0</v>
      </c>
      <c r="CP753" s="37">
        <v>0</v>
      </c>
      <c r="CQ753" s="37">
        <v>0</v>
      </c>
      <c r="CR753" s="37">
        <v>0</v>
      </c>
      <c r="CS753" s="37">
        <v>0</v>
      </c>
      <c r="CT753" s="37">
        <v>0</v>
      </c>
      <c r="CU753" s="37">
        <v>0</v>
      </c>
      <c r="CV753" s="37">
        <v>0</v>
      </c>
      <c r="CW753" s="37">
        <v>0</v>
      </c>
      <c r="CX753" s="37">
        <v>0</v>
      </c>
      <c r="CY753" s="37">
        <v>0</v>
      </c>
      <c r="CZ753" s="37">
        <v>0</v>
      </c>
      <c r="DA753" s="37">
        <v>0</v>
      </c>
      <c r="DB753" s="37">
        <v>0</v>
      </c>
      <c r="DC753" s="37">
        <v>0</v>
      </c>
      <c r="DD753" s="37">
        <v>0</v>
      </c>
      <c r="DE753" s="37">
        <v>0</v>
      </c>
      <c r="DF753" s="37">
        <v>0</v>
      </c>
      <c r="DG753" s="37">
        <v>0</v>
      </c>
      <c r="DH753" s="37">
        <v>0</v>
      </c>
      <c r="DI753" s="37">
        <v>0</v>
      </c>
      <c r="DJ753" s="37">
        <v>0</v>
      </c>
      <c r="DK753" s="37">
        <v>0</v>
      </c>
      <c r="DL753" s="37">
        <v>0</v>
      </c>
      <c r="DM753" s="37">
        <v>0</v>
      </c>
      <c r="DN753" s="37">
        <v>0</v>
      </c>
      <c r="DO753" s="37">
        <v>0</v>
      </c>
      <c r="DP753" s="37">
        <v>0</v>
      </c>
      <c r="DQ753" s="37">
        <v>0</v>
      </c>
      <c r="DR753" s="37">
        <v>0</v>
      </c>
      <c r="DS753" s="37">
        <v>0</v>
      </c>
      <c r="DT753" s="37">
        <v>0</v>
      </c>
      <c r="DU753" s="37">
        <v>0</v>
      </c>
      <c r="DV753" s="37">
        <v>0</v>
      </c>
      <c r="DW753" s="37">
        <v>0</v>
      </c>
      <c r="DX753" s="37">
        <v>0</v>
      </c>
      <c r="DY753" s="37">
        <v>0</v>
      </c>
      <c r="DZ753" s="37">
        <v>0</v>
      </c>
      <c r="EA753" s="37">
        <v>0</v>
      </c>
      <c r="EB753" s="37">
        <v>0</v>
      </c>
      <c r="EC753" s="37">
        <v>0</v>
      </c>
      <c r="ED753" s="37">
        <v>0</v>
      </c>
      <c r="EE753" s="37">
        <v>0</v>
      </c>
      <c r="EF753" s="37">
        <v>0</v>
      </c>
      <c r="EG753" s="37">
        <v>0</v>
      </c>
      <c r="EH753" s="37">
        <v>0</v>
      </c>
      <c r="EI753" s="37">
        <v>0</v>
      </c>
      <c r="EJ753" s="37">
        <v>0</v>
      </c>
      <c r="EK753" s="161" t="s">
        <v>2969</v>
      </c>
      <c r="EL753" s="294" t="s">
        <v>1124</v>
      </c>
    </row>
    <row r="754" spans="1:142" ht="15" customHeight="1" x14ac:dyDescent="0.35">
      <c r="A754" s="34"/>
      <c r="B754" s="313">
        <v>31050</v>
      </c>
      <c r="C754" s="8" t="s">
        <v>245</v>
      </c>
      <c r="D754" s="18">
        <v>12</v>
      </c>
      <c r="E754" s="155"/>
      <c r="F754" s="36"/>
      <c r="G754" s="37"/>
      <c r="H754" s="37"/>
      <c r="I754" s="37"/>
      <c r="J754" s="37"/>
      <c r="K754" s="37"/>
      <c r="L754" s="37"/>
      <c r="M754" s="37" t="s">
        <v>1124</v>
      </c>
      <c r="N754" s="37" t="s">
        <v>1124</v>
      </c>
      <c r="O754" s="37"/>
      <c r="P754" s="37"/>
      <c r="Q754" s="37"/>
      <c r="R754" s="37"/>
      <c r="S754" s="37"/>
      <c r="T754" s="37"/>
      <c r="U754" s="37"/>
      <c r="V754" s="37"/>
      <c r="W754" s="37"/>
      <c r="X754" s="37"/>
      <c r="Y754" s="37"/>
      <c r="Z754" s="37"/>
      <c r="AA754" s="37" t="s">
        <v>1124</v>
      </c>
      <c r="AB754" s="37" t="s">
        <v>1124</v>
      </c>
      <c r="AC754" s="37"/>
      <c r="AD754" s="37"/>
      <c r="AE754" s="37"/>
      <c r="AF754" s="168"/>
      <c r="AG754" s="37"/>
      <c r="AH754" s="37"/>
      <c r="AI754" s="37"/>
      <c r="AJ754" s="37"/>
      <c r="AK754" s="37"/>
      <c r="AL754" s="37"/>
      <c r="AM754" s="37"/>
      <c r="AN754" s="37"/>
      <c r="AO754" s="37"/>
      <c r="AP754" s="37"/>
      <c r="AQ754" s="37"/>
      <c r="AR754" s="37" t="s">
        <v>1124</v>
      </c>
      <c r="AS754" s="37"/>
      <c r="AT754" s="37"/>
      <c r="AU754" s="37"/>
      <c r="AV754" s="37"/>
      <c r="AW754" s="37"/>
      <c r="AX754" s="37"/>
      <c r="AY754" s="37"/>
      <c r="AZ754" s="37"/>
      <c r="BA754" s="37"/>
      <c r="BB754" s="37"/>
      <c r="BC754" s="37"/>
      <c r="BD754" s="37" t="s">
        <v>1124</v>
      </c>
      <c r="BE754" s="37"/>
      <c r="BF754" s="37"/>
      <c r="BG754" s="37"/>
      <c r="BH754" s="37"/>
      <c r="BI754" s="37"/>
      <c r="BJ754" s="37"/>
      <c r="BK754" s="37"/>
      <c r="BL754" s="37"/>
      <c r="BM754" s="37"/>
      <c r="BN754" s="37"/>
      <c r="BO754" s="37"/>
      <c r="BP754" s="37">
        <v>0</v>
      </c>
      <c r="BQ754" s="37"/>
      <c r="BR754" s="37"/>
      <c r="BS754" s="37"/>
      <c r="BT754" s="37"/>
      <c r="BU754" s="37"/>
      <c r="BV754" s="37"/>
      <c r="BW754" s="37"/>
      <c r="BX754" s="37"/>
      <c r="BY754" s="37"/>
      <c r="BZ754" s="37"/>
      <c r="CA754" s="37"/>
      <c r="CB754" s="37" t="s">
        <v>1124</v>
      </c>
      <c r="CC754" s="37"/>
      <c r="CD754" s="37"/>
      <c r="CE754" s="37"/>
      <c r="CF754" s="37"/>
      <c r="CG754" s="37"/>
      <c r="CH754" s="37"/>
      <c r="CI754" s="37"/>
      <c r="CJ754" s="37"/>
      <c r="CK754" s="37"/>
      <c r="CL754" s="37"/>
      <c r="CM754" s="37"/>
      <c r="CN754" s="37" t="s">
        <v>1124</v>
      </c>
      <c r="CO754" s="37"/>
      <c r="CP754" s="37"/>
      <c r="CQ754" s="37"/>
      <c r="CR754" s="37"/>
      <c r="CS754" s="37"/>
      <c r="CT754" s="37"/>
      <c r="CU754" s="37"/>
      <c r="CV754" s="37"/>
      <c r="CW754" s="37"/>
      <c r="CX754" s="37"/>
      <c r="CY754" s="37"/>
      <c r="CZ754" s="37" t="s">
        <v>1124</v>
      </c>
      <c r="DA754" s="37"/>
      <c r="DB754" s="37"/>
      <c r="DC754" s="37"/>
      <c r="DD754" s="37"/>
      <c r="DE754" s="37"/>
      <c r="DF754" s="37"/>
      <c r="DG754" s="37"/>
      <c r="DH754" s="37"/>
      <c r="DI754" s="37"/>
      <c r="DJ754" s="37"/>
      <c r="DK754" s="37"/>
      <c r="DL754" s="37" t="s">
        <v>1124</v>
      </c>
      <c r="DM754" s="37"/>
      <c r="DN754" s="37"/>
      <c r="DO754" s="37"/>
      <c r="DP754" s="37"/>
      <c r="DQ754" s="37"/>
      <c r="DR754" s="37"/>
      <c r="DS754" s="37"/>
      <c r="DT754" s="37"/>
      <c r="DU754" s="37"/>
      <c r="DV754" s="37"/>
      <c r="DW754" s="37"/>
      <c r="DX754" s="37" t="s">
        <v>1124</v>
      </c>
      <c r="DY754" s="37"/>
      <c r="DZ754" s="37"/>
      <c r="EA754" s="37"/>
      <c r="EB754" s="37"/>
      <c r="EC754" s="37"/>
      <c r="ED754" s="37"/>
      <c r="EE754" s="37"/>
      <c r="EF754" s="37"/>
      <c r="EG754" s="37"/>
      <c r="EH754" s="37"/>
      <c r="EI754" s="37"/>
      <c r="EJ754" s="37" t="s">
        <v>1124</v>
      </c>
      <c r="EK754" s="161"/>
      <c r="EL754" s="294"/>
    </row>
    <row r="755" spans="1:142" ht="15" customHeight="1" x14ac:dyDescent="0.35">
      <c r="A755" s="34"/>
      <c r="B755" s="313">
        <v>11015</v>
      </c>
      <c r="C755" s="8" t="s">
        <v>19</v>
      </c>
      <c r="D755" s="18">
        <v>1</v>
      </c>
      <c r="E755" s="155"/>
      <c r="F755" s="36"/>
      <c r="G755" s="37"/>
      <c r="H755" s="37"/>
      <c r="I755" s="37"/>
      <c r="J755" s="37"/>
      <c r="K755" s="37"/>
      <c r="L755" s="37"/>
      <c r="M755" s="37" t="s">
        <v>1124</v>
      </c>
      <c r="N755" s="37" t="s">
        <v>1124</v>
      </c>
      <c r="O755" s="37"/>
      <c r="P755" s="37"/>
      <c r="Q755" s="37"/>
      <c r="R755" s="37"/>
      <c r="S755" s="37"/>
      <c r="T755" s="37"/>
      <c r="U755" s="37"/>
      <c r="V755" s="37"/>
      <c r="W755" s="37"/>
      <c r="X755" s="37"/>
      <c r="Y755" s="37"/>
      <c r="Z755" s="37"/>
      <c r="AA755" s="37" t="s">
        <v>1124</v>
      </c>
      <c r="AB755" s="37" t="s">
        <v>1124</v>
      </c>
      <c r="AC755" s="37"/>
      <c r="AD755" s="37"/>
      <c r="AE755" s="37"/>
      <c r="AF755" s="168"/>
      <c r="AG755" s="37"/>
      <c r="AH755" s="37"/>
      <c r="AI755" s="37"/>
      <c r="AJ755" s="37"/>
      <c r="AK755" s="37"/>
      <c r="AL755" s="37"/>
      <c r="AM755" s="37"/>
      <c r="AN755" s="37"/>
      <c r="AO755" s="37"/>
      <c r="AP755" s="37"/>
      <c r="AQ755" s="37"/>
      <c r="AR755" s="37" t="s">
        <v>1124</v>
      </c>
      <c r="AS755" s="37"/>
      <c r="AT755" s="37"/>
      <c r="AU755" s="37"/>
      <c r="AV755" s="37"/>
      <c r="AW755" s="37"/>
      <c r="AX755" s="37"/>
      <c r="AY755" s="37"/>
      <c r="AZ755" s="37"/>
      <c r="BA755" s="37"/>
      <c r="BB755" s="37"/>
      <c r="BC755" s="37"/>
      <c r="BD755" s="37" t="s">
        <v>1124</v>
      </c>
      <c r="BE755" s="37"/>
      <c r="BF755" s="37"/>
      <c r="BG755" s="37"/>
      <c r="BH755" s="37"/>
      <c r="BI755" s="37"/>
      <c r="BJ755" s="37"/>
      <c r="BK755" s="37"/>
      <c r="BL755" s="37"/>
      <c r="BM755" s="37"/>
      <c r="BN755" s="37"/>
      <c r="BO755" s="37"/>
      <c r="BP755" s="37">
        <v>0</v>
      </c>
      <c r="BQ755" s="37"/>
      <c r="BR755" s="37"/>
      <c r="BS755" s="37"/>
      <c r="BT755" s="37"/>
      <c r="BU755" s="37"/>
      <c r="BV755" s="37"/>
      <c r="BW755" s="37"/>
      <c r="BX755" s="37"/>
      <c r="BY755" s="37"/>
      <c r="BZ755" s="37"/>
      <c r="CA755" s="37"/>
      <c r="CB755" s="37" t="s">
        <v>1124</v>
      </c>
      <c r="CC755" s="37"/>
      <c r="CD755" s="37"/>
      <c r="CE755" s="37"/>
      <c r="CF755" s="37"/>
      <c r="CG755" s="37"/>
      <c r="CH755" s="37"/>
      <c r="CI755" s="37"/>
      <c r="CJ755" s="37"/>
      <c r="CK755" s="37"/>
      <c r="CL755" s="37"/>
      <c r="CM755" s="37"/>
      <c r="CN755" s="37" t="s">
        <v>1124</v>
      </c>
      <c r="CO755" s="37"/>
      <c r="CP755" s="37"/>
      <c r="CQ755" s="37"/>
      <c r="CR755" s="37"/>
      <c r="CS755" s="37"/>
      <c r="CT755" s="37"/>
      <c r="CU755" s="37"/>
      <c r="CV755" s="37"/>
      <c r="CW755" s="37"/>
      <c r="CX755" s="37"/>
      <c r="CY755" s="37"/>
      <c r="CZ755" s="37" t="s">
        <v>1124</v>
      </c>
      <c r="DA755" s="37"/>
      <c r="DB755" s="37"/>
      <c r="DC755" s="37"/>
      <c r="DD755" s="37"/>
      <c r="DE755" s="37"/>
      <c r="DF755" s="37"/>
      <c r="DG755" s="37"/>
      <c r="DH755" s="37"/>
      <c r="DI755" s="37"/>
      <c r="DJ755" s="37"/>
      <c r="DK755" s="37"/>
      <c r="DL755" s="37" t="s">
        <v>1124</v>
      </c>
      <c r="DM755" s="37"/>
      <c r="DN755" s="37"/>
      <c r="DO755" s="37"/>
      <c r="DP755" s="37"/>
      <c r="DQ755" s="37"/>
      <c r="DR755" s="37"/>
      <c r="DS755" s="37"/>
      <c r="DT755" s="37"/>
      <c r="DU755" s="37"/>
      <c r="DV755" s="37"/>
      <c r="DW755" s="37"/>
      <c r="DX755" s="37" t="s">
        <v>1124</v>
      </c>
      <c r="DY755" s="37"/>
      <c r="DZ755" s="37"/>
      <c r="EA755" s="37"/>
      <c r="EB755" s="37"/>
      <c r="EC755" s="37"/>
      <c r="ED755" s="37"/>
      <c r="EE755" s="37"/>
      <c r="EF755" s="37"/>
      <c r="EG755" s="37"/>
      <c r="EH755" s="37"/>
      <c r="EI755" s="37"/>
      <c r="EJ755" s="37" t="s">
        <v>1124</v>
      </c>
      <c r="EK755" s="161"/>
      <c r="EL755" s="294"/>
    </row>
    <row r="756" spans="1:142" ht="15" customHeight="1" x14ac:dyDescent="0.35">
      <c r="A756" s="34"/>
      <c r="B756" s="313">
        <v>28030</v>
      </c>
      <c r="C756" s="8" t="s">
        <v>192</v>
      </c>
      <c r="D756" s="18">
        <v>12</v>
      </c>
      <c r="E756" s="155"/>
      <c r="F756" s="36"/>
      <c r="G756" s="37"/>
      <c r="H756" s="37"/>
      <c r="I756" s="37"/>
      <c r="J756" s="37"/>
      <c r="K756" s="37"/>
      <c r="L756" s="37"/>
      <c r="M756" s="37" t="s">
        <v>1124</v>
      </c>
      <c r="N756" s="37" t="s">
        <v>1124</v>
      </c>
      <c r="O756" s="37"/>
      <c r="P756" s="37"/>
      <c r="Q756" s="37"/>
      <c r="R756" s="37"/>
      <c r="S756" s="37"/>
      <c r="T756" s="37"/>
      <c r="U756" s="37"/>
      <c r="V756" s="37"/>
      <c r="W756" s="37"/>
      <c r="X756" s="37"/>
      <c r="Y756" s="37"/>
      <c r="Z756" s="37"/>
      <c r="AA756" s="37" t="s">
        <v>1124</v>
      </c>
      <c r="AB756" s="37" t="s">
        <v>1124</v>
      </c>
      <c r="AC756" s="37"/>
      <c r="AD756" s="37"/>
      <c r="AE756" s="37"/>
      <c r="AF756" s="168"/>
      <c r="AG756" s="37"/>
      <c r="AH756" s="37"/>
      <c r="AI756" s="37"/>
      <c r="AJ756" s="37"/>
      <c r="AK756" s="37"/>
      <c r="AL756" s="37"/>
      <c r="AM756" s="37"/>
      <c r="AN756" s="37"/>
      <c r="AO756" s="37"/>
      <c r="AP756" s="37"/>
      <c r="AQ756" s="37"/>
      <c r="AR756" s="37" t="s">
        <v>1124</v>
      </c>
      <c r="AS756" s="37"/>
      <c r="AT756" s="37"/>
      <c r="AU756" s="37"/>
      <c r="AV756" s="37"/>
      <c r="AW756" s="37"/>
      <c r="AX756" s="37"/>
      <c r="AY756" s="37"/>
      <c r="AZ756" s="37"/>
      <c r="BA756" s="37"/>
      <c r="BB756" s="37"/>
      <c r="BC756" s="37"/>
      <c r="BD756" s="37" t="s">
        <v>1124</v>
      </c>
      <c r="BE756" s="37"/>
      <c r="BF756" s="37"/>
      <c r="BG756" s="37"/>
      <c r="BH756" s="37"/>
      <c r="BI756" s="37"/>
      <c r="BJ756" s="37"/>
      <c r="BK756" s="37"/>
      <c r="BL756" s="37"/>
      <c r="BM756" s="37"/>
      <c r="BN756" s="37"/>
      <c r="BO756" s="37"/>
      <c r="BP756" s="37">
        <v>0</v>
      </c>
      <c r="BQ756" s="37"/>
      <c r="BR756" s="37"/>
      <c r="BS756" s="37"/>
      <c r="BT756" s="37"/>
      <c r="BU756" s="37"/>
      <c r="BV756" s="37"/>
      <c r="BW756" s="37"/>
      <c r="BX756" s="37"/>
      <c r="BY756" s="37"/>
      <c r="BZ756" s="37"/>
      <c r="CA756" s="37"/>
      <c r="CB756" s="37" t="s">
        <v>1124</v>
      </c>
      <c r="CC756" s="37"/>
      <c r="CD756" s="37"/>
      <c r="CE756" s="37"/>
      <c r="CF756" s="37"/>
      <c r="CG756" s="37"/>
      <c r="CH756" s="37"/>
      <c r="CI756" s="37"/>
      <c r="CJ756" s="37"/>
      <c r="CK756" s="37"/>
      <c r="CL756" s="37"/>
      <c r="CM756" s="37"/>
      <c r="CN756" s="37" t="s">
        <v>1124</v>
      </c>
      <c r="CO756" s="37"/>
      <c r="CP756" s="37"/>
      <c r="CQ756" s="37"/>
      <c r="CR756" s="37"/>
      <c r="CS756" s="37"/>
      <c r="CT756" s="37"/>
      <c r="CU756" s="37"/>
      <c r="CV756" s="37"/>
      <c r="CW756" s="37"/>
      <c r="CX756" s="37"/>
      <c r="CY756" s="37"/>
      <c r="CZ756" s="37" t="s">
        <v>1124</v>
      </c>
      <c r="DA756" s="37"/>
      <c r="DB756" s="37"/>
      <c r="DC756" s="37"/>
      <c r="DD756" s="37"/>
      <c r="DE756" s="37"/>
      <c r="DF756" s="37"/>
      <c r="DG756" s="37"/>
      <c r="DH756" s="37"/>
      <c r="DI756" s="37"/>
      <c r="DJ756" s="37"/>
      <c r="DK756" s="37"/>
      <c r="DL756" s="37" t="s">
        <v>1124</v>
      </c>
      <c r="DM756" s="37"/>
      <c r="DN756" s="37"/>
      <c r="DO756" s="37"/>
      <c r="DP756" s="37"/>
      <c r="DQ756" s="37"/>
      <c r="DR756" s="37"/>
      <c r="DS756" s="37"/>
      <c r="DT756" s="37"/>
      <c r="DU756" s="37"/>
      <c r="DV756" s="37"/>
      <c r="DW756" s="37"/>
      <c r="DX756" s="37" t="s">
        <v>1124</v>
      </c>
      <c r="DY756" s="37"/>
      <c r="DZ756" s="37"/>
      <c r="EA756" s="37"/>
      <c r="EB756" s="37"/>
      <c r="EC756" s="37"/>
      <c r="ED756" s="37"/>
      <c r="EE756" s="37"/>
      <c r="EF756" s="37"/>
      <c r="EG756" s="37"/>
      <c r="EH756" s="37"/>
      <c r="EI756" s="37"/>
      <c r="EJ756" s="37" t="s">
        <v>1124</v>
      </c>
      <c r="EK756" s="161"/>
      <c r="EL756" s="294"/>
    </row>
    <row r="757" spans="1:142" ht="15" customHeight="1" x14ac:dyDescent="0.35">
      <c r="A757" s="34"/>
      <c r="B757" s="313">
        <v>94230</v>
      </c>
      <c r="C757" s="8" t="s">
        <v>978</v>
      </c>
      <c r="D757" s="18">
        <v>2</v>
      </c>
      <c r="E757" s="155">
        <v>96265</v>
      </c>
      <c r="F757" s="36">
        <v>12783</v>
      </c>
      <c r="G757" s="37">
        <v>10306</v>
      </c>
      <c r="H757" s="37">
        <v>0</v>
      </c>
      <c r="I757" s="37">
        <v>10955</v>
      </c>
      <c r="J757" s="37">
        <v>0</v>
      </c>
      <c r="K757" s="37">
        <v>14439.75</v>
      </c>
      <c r="L757" s="37">
        <v>1917.4499999999998</v>
      </c>
      <c r="M757" s="37">
        <v>131965.75</v>
      </c>
      <c r="N757" s="37">
        <v>14700.45</v>
      </c>
      <c r="O757" s="37">
        <v>0</v>
      </c>
      <c r="P757" s="37">
        <v>0</v>
      </c>
      <c r="Q757" s="37">
        <v>41974</v>
      </c>
      <c r="R757" s="37">
        <v>0</v>
      </c>
      <c r="S757" s="37">
        <v>0</v>
      </c>
      <c r="T757" s="37">
        <v>0</v>
      </c>
      <c r="U757" s="37">
        <v>107996</v>
      </c>
      <c r="V757" s="37">
        <v>0</v>
      </c>
      <c r="W757" s="37">
        <v>0</v>
      </c>
      <c r="X757" s="37">
        <v>0</v>
      </c>
      <c r="Y757" s="37">
        <v>41922</v>
      </c>
      <c r="Z757" s="37">
        <v>0</v>
      </c>
      <c r="AA757" s="37">
        <v>191892</v>
      </c>
      <c r="AB757" s="37">
        <v>0</v>
      </c>
      <c r="AC757" s="37">
        <v>45225.799999999988</v>
      </c>
      <c r="AD757" s="37">
        <v>0</v>
      </c>
      <c r="AE757" s="37">
        <v>0</v>
      </c>
      <c r="AF757" s="168">
        <v>0.02</v>
      </c>
      <c r="AG757" s="37">
        <v>4327634.5999999996</v>
      </c>
      <c r="AH757" s="37">
        <v>61000.08</v>
      </c>
      <c r="AI757" s="37">
        <v>41412.080000000002</v>
      </c>
      <c r="AJ757" s="37">
        <v>42240.32</v>
      </c>
      <c r="AK757" s="37">
        <v>43085.13</v>
      </c>
      <c r="AL757" s="37">
        <v>43946.83</v>
      </c>
      <c r="AM757" s="37">
        <v>44825.77</v>
      </c>
      <c r="AN757" s="37">
        <v>45722.28</v>
      </c>
      <c r="AO757" s="37">
        <v>46636.73</v>
      </c>
      <c r="AP757" s="37">
        <v>47569.46</v>
      </c>
      <c r="AQ757" s="37">
        <v>48520.85</v>
      </c>
      <c r="AR757" s="37">
        <v>464959.53000000009</v>
      </c>
      <c r="AS757" s="37">
        <v>577809.6</v>
      </c>
      <c r="AT757" s="37">
        <v>0</v>
      </c>
      <c r="AU757" s="37">
        <v>0</v>
      </c>
      <c r="AV757" s="37">
        <v>0</v>
      </c>
      <c r="AW757" s="37">
        <v>0</v>
      </c>
      <c r="AX757" s="37">
        <v>0</v>
      </c>
      <c r="AY757" s="37">
        <v>0</v>
      </c>
      <c r="AZ757" s="37">
        <v>0</v>
      </c>
      <c r="BA757" s="37">
        <v>0</v>
      </c>
      <c r="BB757" s="37">
        <v>0</v>
      </c>
      <c r="BC757" s="37">
        <v>0</v>
      </c>
      <c r="BD757" s="37">
        <v>0</v>
      </c>
      <c r="BE757" s="37">
        <v>46628</v>
      </c>
      <c r="BF757" s="37">
        <v>289727</v>
      </c>
      <c r="BG757" s="37">
        <v>90159</v>
      </c>
      <c r="BH757" s="37">
        <v>90159</v>
      </c>
      <c r="BI757" s="37">
        <v>90159</v>
      </c>
      <c r="BJ757" s="37">
        <v>0</v>
      </c>
      <c r="BK757" s="37">
        <v>0</v>
      </c>
      <c r="BL757" s="37">
        <v>0</v>
      </c>
      <c r="BM757" s="37">
        <v>0</v>
      </c>
      <c r="BN757" s="37">
        <v>0</v>
      </c>
      <c r="BO757" s="37">
        <v>0</v>
      </c>
      <c r="BP757" s="37">
        <v>560204</v>
      </c>
      <c r="BQ757" s="37">
        <v>0</v>
      </c>
      <c r="BR757" s="37">
        <v>0</v>
      </c>
      <c r="BS757" s="37">
        <v>0</v>
      </c>
      <c r="BT757" s="37">
        <v>0</v>
      </c>
      <c r="BU757" s="37">
        <v>0</v>
      </c>
      <c r="BV757" s="37">
        <v>0</v>
      </c>
      <c r="BW757" s="37">
        <v>0</v>
      </c>
      <c r="BX757" s="37">
        <v>0</v>
      </c>
      <c r="BY757" s="37">
        <v>0</v>
      </c>
      <c r="BZ757" s="37">
        <v>0</v>
      </c>
      <c r="CA757" s="37">
        <v>0</v>
      </c>
      <c r="CB757" s="37">
        <v>0</v>
      </c>
      <c r="CC757" s="37">
        <v>0</v>
      </c>
      <c r="CD757" s="37">
        <v>0</v>
      </c>
      <c r="CE757" s="37">
        <v>0</v>
      </c>
      <c r="CF757" s="37">
        <v>0</v>
      </c>
      <c r="CG757" s="37">
        <v>0</v>
      </c>
      <c r="CH757" s="37">
        <v>0</v>
      </c>
      <c r="CI757" s="37">
        <v>0</v>
      </c>
      <c r="CJ757" s="37">
        <v>0</v>
      </c>
      <c r="CK757" s="37">
        <v>0</v>
      </c>
      <c r="CL757" s="37">
        <v>0</v>
      </c>
      <c r="CM757" s="37">
        <v>0</v>
      </c>
      <c r="CN757" s="37">
        <v>0</v>
      </c>
      <c r="CO757" s="37">
        <v>0</v>
      </c>
      <c r="CP757" s="37">
        <v>0</v>
      </c>
      <c r="CQ757" s="37">
        <v>0</v>
      </c>
      <c r="CR757" s="37">
        <v>0</v>
      </c>
      <c r="CS757" s="37">
        <v>0</v>
      </c>
      <c r="CT757" s="37">
        <v>0</v>
      </c>
      <c r="CU757" s="37">
        <v>0</v>
      </c>
      <c r="CV757" s="37">
        <v>0</v>
      </c>
      <c r="CW757" s="37">
        <v>0</v>
      </c>
      <c r="CX757" s="37">
        <v>0</v>
      </c>
      <c r="CY757" s="37">
        <v>0</v>
      </c>
      <c r="CZ757" s="37">
        <v>0</v>
      </c>
      <c r="DA757" s="37">
        <v>0</v>
      </c>
      <c r="DB757" s="37">
        <v>0</v>
      </c>
      <c r="DC757" s="37">
        <v>0</v>
      </c>
      <c r="DD757" s="37">
        <v>0</v>
      </c>
      <c r="DE757" s="37">
        <v>0</v>
      </c>
      <c r="DF757" s="37">
        <v>0</v>
      </c>
      <c r="DG757" s="37">
        <v>0</v>
      </c>
      <c r="DH757" s="37">
        <v>0</v>
      </c>
      <c r="DI757" s="37">
        <v>0</v>
      </c>
      <c r="DJ757" s="37">
        <v>0</v>
      </c>
      <c r="DK757" s="37">
        <v>0</v>
      </c>
      <c r="DL757" s="37">
        <v>0</v>
      </c>
      <c r="DM757" s="37">
        <v>0</v>
      </c>
      <c r="DN757" s="37">
        <v>0</v>
      </c>
      <c r="DO757" s="37">
        <v>0</v>
      </c>
      <c r="DP757" s="37">
        <v>0</v>
      </c>
      <c r="DQ757" s="37">
        <v>0</v>
      </c>
      <c r="DR757" s="37">
        <v>0</v>
      </c>
      <c r="DS757" s="37">
        <v>0</v>
      </c>
      <c r="DT757" s="37">
        <v>0</v>
      </c>
      <c r="DU757" s="37">
        <v>0</v>
      </c>
      <c r="DV757" s="37">
        <v>0</v>
      </c>
      <c r="DW757" s="37">
        <v>0</v>
      </c>
      <c r="DX757" s="37">
        <v>0</v>
      </c>
      <c r="DY757" s="37">
        <v>0</v>
      </c>
      <c r="DZ757" s="37">
        <v>0</v>
      </c>
      <c r="EA757" s="37">
        <v>0</v>
      </c>
      <c r="EB757" s="37">
        <v>0</v>
      </c>
      <c r="EC757" s="37">
        <v>0</v>
      </c>
      <c r="ED757" s="37">
        <v>0</v>
      </c>
      <c r="EE757" s="37">
        <v>0</v>
      </c>
      <c r="EF757" s="37">
        <v>0</v>
      </c>
      <c r="EG757" s="37">
        <v>0</v>
      </c>
      <c r="EH757" s="37">
        <v>0</v>
      </c>
      <c r="EI757" s="37">
        <v>0</v>
      </c>
      <c r="EJ757" s="37">
        <v>0</v>
      </c>
      <c r="EK757" s="161" t="s">
        <v>2972</v>
      </c>
      <c r="EL757" s="294" t="s">
        <v>1124</v>
      </c>
    </row>
    <row r="758" spans="1:142" ht="15" customHeight="1" x14ac:dyDescent="0.35">
      <c r="A758" s="34"/>
      <c r="B758" s="313">
        <v>28065</v>
      </c>
      <c r="C758" s="8" t="s">
        <v>198</v>
      </c>
      <c r="D758" s="18">
        <v>12</v>
      </c>
      <c r="E758" s="155">
        <v>26311</v>
      </c>
      <c r="F758" s="36">
        <v>19298</v>
      </c>
      <c r="G758" s="37">
        <v>75865</v>
      </c>
      <c r="H758" s="37">
        <v>108316</v>
      </c>
      <c r="I758" s="37">
        <v>134800</v>
      </c>
      <c r="J758" s="37">
        <v>202200</v>
      </c>
      <c r="K758" s="37">
        <v>3947</v>
      </c>
      <c r="L758" s="37">
        <v>2895</v>
      </c>
      <c r="M758" s="37">
        <v>240923</v>
      </c>
      <c r="N758" s="37">
        <v>332709</v>
      </c>
      <c r="O758" s="37">
        <v>0</v>
      </c>
      <c r="P758" s="37">
        <v>0</v>
      </c>
      <c r="Q758" s="37">
        <v>34060</v>
      </c>
      <c r="R758" s="37">
        <v>21525</v>
      </c>
      <c r="S758" s="37">
        <v>0</v>
      </c>
      <c r="T758" s="37">
        <v>0</v>
      </c>
      <c r="U758" s="37">
        <v>62415</v>
      </c>
      <c r="V758" s="37">
        <v>89118</v>
      </c>
      <c r="W758" s="37">
        <v>183257</v>
      </c>
      <c r="X758" s="37">
        <v>183257</v>
      </c>
      <c r="Y758" s="37">
        <v>0</v>
      </c>
      <c r="Z758" s="37">
        <v>0</v>
      </c>
      <c r="AA758" s="37">
        <v>279732</v>
      </c>
      <c r="AB758" s="37">
        <v>293900</v>
      </c>
      <c r="AC758" s="37">
        <v>0</v>
      </c>
      <c r="AD758" s="37">
        <v>0</v>
      </c>
      <c r="AE758" s="37">
        <v>0</v>
      </c>
      <c r="AF758" s="168">
        <v>0.02</v>
      </c>
      <c r="AG758" s="37">
        <v>7560477.75</v>
      </c>
      <c r="AH758" s="37">
        <v>60527.83</v>
      </c>
      <c r="AI758" s="37">
        <v>61738.38</v>
      </c>
      <c r="AJ758" s="37">
        <v>62973.15</v>
      </c>
      <c r="AK758" s="37">
        <v>64232.61</v>
      </c>
      <c r="AL758" s="37">
        <v>65517.27</v>
      </c>
      <c r="AM758" s="37">
        <v>66827.61</v>
      </c>
      <c r="AN758" s="37">
        <v>81948.39</v>
      </c>
      <c r="AO758" s="37">
        <v>69527.45</v>
      </c>
      <c r="AP758" s="37">
        <v>70918</v>
      </c>
      <c r="AQ758" s="37">
        <v>72336.350000000006</v>
      </c>
      <c r="AR758" s="37">
        <v>676547.03999999992</v>
      </c>
      <c r="AS758" s="37">
        <v>0</v>
      </c>
      <c r="AT758" s="37">
        <v>0</v>
      </c>
      <c r="AU758" s="37">
        <v>0</v>
      </c>
      <c r="AV758" s="37">
        <v>0</v>
      </c>
      <c r="AW758" s="37">
        <v>0</v>
      </c>
      <c r="AX758" s="37">
        <v>0</v>
      </c>
      <c r="AY758" s="37">
        <v>0</v>
      </c>
      <c r="AZ758" s="37">
        <v>0</v>
      </c>
      <c r="BA758" s="37">
        <v>0</v>
      </c>
      <c r="BB758" s="37">
        <v>0</v>
      </c>
      <c r="BC758" s="37">
        <v>0</v>
      </c>
      <c r="BD758" s="37">
        <v>0</v>
      </c>
      <c r="BE758" s="37">
        <v>0</v>
      </c>
      <c r="BF758" s="37">
        <v>0</v>
      </c>
      <c r="BG758" s="37">
        <v>0</v>
      </c>
      <c r="BH758" s="37">
        <v>0</v>
      </c>
      <c r="BI758" s="37">
        <v>0</v>
      </c>
      <c r="BJ758" s="37">
        <v>0</v>
      </c>
      <c r="BK758" s="37">
        <v>0</v>
      </c>
      <c r="BL758" s="37">
        <v>0</v>
      </c>
      <c r="BM758" s="37">
        <v>0</v>
      </c>
      <c r="BN758" s="37">
        <v>0</v>
      </c>
      <c r="BO758" s="37">
        <v>0</v>
      </c>
      <c r="BP758" s="37">
        <v>0</v>
      </c>
      <c r="BQ758" s="37">
        <v>0</v>
      </c>
      <c r="BR758" s="37">
        <v>0</v>
      </c>
      <c r="BS758" s="37">
        <v>0</v>
      </c>
      <c r="BT758" s="37">
        <v>0</v>
      </c>
      <c r="BU758" s="37">
        <v>0</v>
      </c>
      <c r="BV758" s="37">
        <v>0</v>
      </c>
      <c r="BW758" s="37">
        <v>0</v>
      </c>
      <c r="BX758" s="37">
        <v>0</v>
      </c>
      <c r="BY758" s="37">
        <v>0</v>
      </c>
      <c r="BZ758" s="37">
        <v>0</v>
      </c>
      <c r="CA758" s="37">
        <v>0</v>
      </c>
      <c r="CB758" s="37">
        <v>0</v>
      </c>
      <c r="CC758" s="37">
        <v>0</v>
      </c>
      <c r="CD758" s="37">
        <v>0</v>
      </c>
      <c r="CE758" s="37">
        <v>0</v>
      </c>
      <c r="CF758" s="37">
        <v>0</v>
      </c>
      <c r="CG758" s="37">
        <v>0</v>
      </c>
      <c r="CH758" s="37">
        <v>0</v>
      </c>
      <c r="CI758" s="37">
        <v>0</v>
      </c>
      <c r="CJ758" s="37">
        <v>0</v>
      </c>
      <c r="CK758" s="37">
        <v>0</v>
      </c>
      <c r="CL758" s="37">
        <v>0</v>
      </c>
      <c r="CM758" s="37">
        <v>0</v>
      </c>
      <c r="CN758" s="37">
        <v>0</v>
      </c>
      <c r="CO758" s="37">
        <v>0</v>
      </c>
      <c r="CP758" s="37">
        <v>0</v>
      </c>
      <c r="CQ758" s="37">
        <v>0</v>
      </c>
      <c r="CR758" s="37">
        <v>0</v>
      </c>
      <c r="CS758" s="37">
        <v>0</v>
      </c>
      <c r="CT758" s="37">
        <v>0</v>
      </c>
      <c r="CU758" s="37">
        <v>0</v>
      </c>
      <c r="CV758" s="37">
        <v>0</v>
      </c>
      <c r="CW758" s="37">
        <v>0</v>
      </c>
      <c r="CX758" s="37">
        <v>0</v>
      </c>
      <c r="CY758" s="37">
        <v>0</v>
      </c>
      <c r="CZ758" s="37">
        <v>0</v>
      </c>
      <c r="DA758" s="37">
        <v>0</v>
      </c>
      <c r="DB758" s="37">
        <v>0</v>
      </c>
      <c r="DC758" s="37">
        <v>0</v>
      </c>
      <c r="DD758" s="37">
        <v>0</v>
      </c>
      <c r="DE758" s="37">
        <v>0</v>
      </c>
      <c r="DF758" s="37">
        <v>0</v>
      </c>
      <c r="DG758" s="37">
        <v>0</v>
      </c>
      <c r="DH758" s="37">
        <v>0</v>
      </c>
      <c r="DI758" s="37">
        <v>0</v>
      </c>
      <c r="DJ758" s="37">
        <v>0</v>
      </c>
      <c r="DK758" s="37">
        <v>0</v>
      </c>
      <c r="DL758" s="37">
        <v>0</v>
      </c>
      <c r="DM758" s="37">
        <v>0</v>
      </c>
      <c r="DN758" s="37">
        <v>0</v>
      </c>
      <c r="DO758" s="37">
        <v>0</v>
      </c>
      <c r="DP758" s="37">
        <v>0</v>
      </c>
      <c r="DQ758" s="37">
        <v>0</v>
      </c>
      <c r="DR758" s="37">
        <v>0</v>
      </c>
      <c r="DS758" s="37">
        <v>0</v>
      </c>
      <c r="DT758" s="37">
        <v>0</v>
      </c>
      <c r="DU758" s="37">
        <v>0</v>
      </c>
      <c r="DV758" s="37">
        <v>0</v>
      </c>
      <c r="DW758" s="37">
        <v>0</v>
      </c>
      <c r="DX758" s="37">
        <v>0</v>
      </c>
      <c r="DY758" s="37">
        <v>0</v>
      </c>
      <c r="DZ758" s="37">
        <v>0</v>
      </c>
      <c r="EA758" s="37">
        <v>0</v>
      </c>
      <c r="EB758" s="37">
        <v>0</v>
      </c>
      <c r="EC758" s="37">
        <v>0</v>
      </c>
      <c r="ED758" s="37">
        <v>0</v>
      </c>
      <c r="EE758" s="37">
        <v>0</v>
      </c>
      <c r="EF758" s="37">
        <v>0</v>
      </c>
      <c r="EG758" s="37">
        <v>0</v>
      </c>
      <c r="EH758" s="37">
        <v>0</v>
      </c>
      <c r="EI758" s="37">
        <v>0</v>
      </c>
      <c r="EJ758" s="37">
        <v>0</v>
      </c>
      <c r="EK758" s="161" t="s">
        <v>2975</v>
      </c>
      <c r="EL758" s="294" t="s">
        <v>1124</v>
      </c>
    </row>
    <row r="759" spans="1:142" ht="15" customHeight="1" x14ac:dyDescent="0.35">
      <c r="A759" s="34"/>
      <c r="B759" s="313">
        <v>46105</v>
      </c>
      <c r="C759" s="8" t="s">
        <v>446</v>
      </c>
      <c r="D759" s="18">
        <v>5</v>
      </c>
      <c r="E759" s="155"/>
      <c r="F759" s="36"/>
      <c r="G759" s="37"/>
      <c r="H759" s="37"/>
      <c r="I759" s="37"/>
      <c r="J759" s="37"/>
      <c r="K759" s="37"/>
      <c r="L759" s="37"/>
      <c r="M759" s="37" t="s">
        <v>1124</v>
      </c>
      <c r="N759" s="37" t="s">
        <v>1124</v>
      </c>
      <c r="O759" s="37"/>
      <c r="P759" s="37"/>
      <c r="Q759" s="37"/>
      <c r="R759" s="37"/>
      <c r="S759" s="37"/>
      <c r="T759" s="37"/>
      <c r="U759" s="37"/>
      <c r="V759" s="37"/>
      <c r="W759" s="37"/>
      <c r="X759" s="37"/>
      <c r="Y759" s="37"/>
      <c r="Z759" s="37"/>
      <c r="AA759" s="37" t="s">
        <v>1124</v>
      </c>
      <c r="AB759" s="37" t="s">
        <v>1124</v>
      </c>
      <c r="AC759" s="37"/>
      <c r="AD759" s="37"/>
      <c r="AE759" s="37"/>
      <c r="AF759" s="168"/>
      <c r="AG759" s="37"/>
      <c r="AH759" s="37"/>
      <c r="AI759" s="37"/>
      <c r="AJ759" s="37"/>
      <c r="AK759" s="37"/>
      <c r="AL759" s="37"/>
      <c r="AM759" s="37"/>
      <c r="AN759" s="37"/>
      <c r="AO759" s="37"/>
      <c r="AP759" s="37"/>
      <c r="AQ759" s="37"/>
      <c r="AR759" s="37" t="s">
        <v>1124</v>
      </c>
      <c r="AS759" s="37"/>
      <c r="AT759" s="37"/>
      <c r="AU759" s="37"/>
      <c r="AV759" s="37"/>
      <c r="AW759" s="37"/>
      <c r="AX759" s="37"/>
      <c r="AY759" s="37"/>
      <c r="AZ759" s="37"/>
      <c r="BA759" s="37"/>
      <c r="BB759" s="37"/>
      <c r="BC759" s="37"/>
      <c r="BD759" s="37" t="s">
        <v>1124</v>
      </c>
      <c r="BE759" s="37"/>
      <c r="BF759" s="37"/>
      <c r="BG759" s="37"/>
      <c r="BH759" s="37"/>
      <c r="BI759" s="37"/>
      <c r="BJ759" s="37"/>
      <c r="BK759" s="37"/>
      <c r="BL759" s="37"/>
      <c r="BM759" s="37"/>
      <c r="BN759" s="37"/>
      <c r="BO759" s="37"/>
      <c r="BP759" s="37">
        <v>0</v>
      </c>
      <c r="BQ759" s="37"/>
      <c r="BR759" s="37"/>
      <c r="BS759" s="37"/>
      <c r="BT759" s="37"/>
      <c r="BU759" s="37"/>
      <c r="BV759" s="37"/>
      <c r="BW759" s="37"/>
      <c r="BX759" s="37"/>
      <c r="BY759" s="37"/>
      <c r="BZ759" s="37"/>
      <c r="CA759" s="37"/>
      <c r="CB759" s="37" t="s">
        <v>1124</v>
      </c>
      <c r="CC759" s="37"/>
      <c r="CD759" s="37"/>
      <c r="CE759" s="37"/>
      <c r="CF759" s="37"/>
      <c r="CG759" s="37"/>
      <c r="CH759" s="37"/>
      <c r="CI759" s="37"/>
      <c r="CJ759" s="37"/>
      <c r="CK759" s="37"/>
      <c r="CL759" s="37"/>
      <c r="CM759" s="37"/>
      <c r="CN759" s="37" t="s">
        <v>1124</v>
      </c>
      <c r="CO759" s="37"/>
      <c r="CP759" s="37"/>
      <c r="CQ759" s="37"/>
      <c r="CR759" s="37"/>
      <c r="CS759" s="37"/>
      <c r="CT759" s="37"/>
      <c r="CU759" s="37"/>
      <c r="CV759" s="37"/>
      <c r="CW759" s="37"/>
      <c r="CX759" s="37"/>
      <c r="CY759" s="37"/>
      <c r="CZ759" s="37" t="s">
        <v>1124</v>
      </c>
      <c r="DA759" s="37"/>
      <c r="DB759" s="37"/>
      <c r="DC759" s="37"/>
      <c r="DD759" s="37"/>
      <c r="DE759" s="37"/>
      <c r="DF759" s="37"/>
      <c r="DG759" s="37"/>
      <c r="DH759" s="37"/>
      <c r="DI759" s="37"/>
      <c r="DJ759" s="37"/>
      <c r="DK759" s="37"/>
      <c r="DL759" s="37" t="s">
        <v>1124</v>
      </c>
      <c r="DM759" s="37"/>
      <c r="DN759" s="37"/>
      <c r="DO759" s="37"/>
      <c r="DP759" s="37"/>
      <c r="DQ759" s="37"/>
      <c r="DR759" s="37"/>
      <c r="DS759" s="37"/>
      <c r="DT759" s="37"/>
      <c r="DU759" s="37"/>
      <c r="DV759" s="37"/>
      <c r="DW759" s="37"/>
      <c r="DX759" s="37" t="s">
        <v>1124</v>
      </c>
      <c r="DY759" s="37"/>
      <c r="DZ759" s="37"/>
      <c r="EA759" s="37"/>
      <c r="EB759" s="37"/>
      <c r="EC759" s="37"/>
      <c r="ED759" s="37"/>
      <c r="EE759" s="37"/>
      <c r="EF759" s="37"/>
      <c r="EG759" s="37"/>
      <c r="EH759" s="37"/>
      <c r="EI759" s="37"/>
      <c r="EJ759" s="37" t="s">
        <v>1124</v>
      </c>
      <c r="EK759" s="161"/>
      <c r="EL759" s="294"/>
    </row>
    <row r="760" spans="1:142" ht="15" customHeight="1" x14ac:dyDescent="0.35">
      <c r="A760" s="34"/>
      <c r="B760" s="313">
        <v>39105</v>
      </c>
      <c r="C760" s="8" t="s">
        <v>351</v>
      </c>
      <c r="D760" s="18">
        <v>17</v>
      </c>
      <c r="E760" s="155"/>
      <c r="F760" s="36"/>
      <c r="G760" s="37"/>
      <c r="H760" s="37"/>
      <c r="I760" s="37"/>
      <c r="J760" s="37"/>
      <c r="K760" s="37"/>
      <c r="L760" s="37"/>
      <c r="M760" s="37" t="s">
        <v>1124</v>
      </c>
      <c r="N760" s="37" t="s">
        <v>1124</v>
      </c>
      <c r="O760" s="37"/>
      <c r="P760" s="37"/>
      <c r="Q760" s="37"/>
      <c r="R760" s="37"/>
      <c r="S760" s="37"/>
      <c r="T760" s="37"/>
      <c r="U760" s="37"/>
      <c r="V760" s="37"/>
      <c r="W760" s="37"/>
      <c r="X760" s="37"/>
      <c r="Y760" s="37"/>
      <c r="Z760" s="37"/>
      <c r="AA760" s="37" t="s">
        <v>1124</v>
      </c>
      <c r="AB760" s="37" t="s">
        <v>1124</v>
      </c>
      <c r="AC760" s="37"/>
      <c r="AD760" s="37"/>
      <c r="AE760" s="37"/>
      <c r="AF760" s="168"/>
      <c r="AG760" s="37"/>
      <c r="AH760" s="37"/>
      <c r="AI760" s="37"/>
      <c r="AJ760" s="37"/>
      <c r="AK760" s="37"/>
      <c r="AL760" s="37"/>
      <c r="AM760" s="37"/>
      <c r="AN760" s="37"/>
      <c r="AO760" s="37"/>
      <c r="AP760" s="37"/>
      <c r="AQ760" s="37"/>
      <c r="AR760" s="37" t="s">
        <v>1124</v>
      </c>
      <c r="AS760" s="37"/>
      <c r="AT760" s="37"/>
      <c r="AU760" s="37"/>
      <c r="AV760" s="37"/>
      <c r="AW760" s="37"/>
      <c r="AX760" s="37"/>
      <c r="AY760" s="37"/>
      <c r="AZ760" s="37"/>
      <c r="BA760" s="37"/>
      <c r="BB760" s="37"/>
      <c r="BC760" s="37"/>
      <c r="BD760" s="37" t="s">
        <v>1124</v>
      </c>
      <c r="BE760" s="37"/>
      <c r="BF760" s="37"/>
      <c r="BG760" s="37"/>
      <c r="BH760" s="37"/>
      <c r="BI760" s="37"/>
      <c r="BJ760" s="37"/>
      <c r="BK760" s="37"/>
      <c r="BL760" s="37"/>
      <c r="BM760" s="37"/>
      <c r="BN760" s="37"/>
      <c r="BO760" s="37"/>
      <c r="BP760" s="37">
        <v>0</v>
      </c>
      <c r="BQ760" s="37"/>
      <c r="BR760" s="37"/>
      <c r="BS760" s="37"/>
      <c r="BT760" s="37"/>
      <c r="BU760" s="37"/>
      <c r="BV760" s="37"/>
      <c r="BW760" s="37"/>
      <c r="BX760" s="37"/>
      <c r="BY760" s="37"/>
      <c r="BZ760" s="37"/>
      <c r="CA760" s="37"/>
      <c r="CB760" s="37" t="s">
        <v>1124</v>
      </c>
      <c r="CC760" s="37"/>
      <c r="CD760" s="37"/>
      <c r="CE760" s="37"/>
      <c r="CF760" s="37"/>
      <c r="CG760" s="37"/>
      <c r="CH760" s="37"/>
      <c r="CI760" s="37"/>
      <c r="CJ760" s="37"/>
      <c r="CK760" s="37"/>
      <c r="CL760" s="37"/>
      <c r="CM760" s="37"/>
      <c r="CN760" s="37" t="s">
        <v>1124</v>
      </c>
      <c r="CO760" s="37"/>
      <c r="CP760" s="37"/>
      <c r="CQ760" s="37"/>
      <c r="CR760" s="37"/>
      <c r="CS760" s="37"/>
      <c r="CT760" s="37"/>
      <c r="CU760" s="37"/>
      <c r="CV760" s="37"/>
      <c r="CW760" s="37"/>
      <c r="CX760" s="37"/>
      <c r="CY760" s="37"/>
      <c r="CZ760" s="37" t="s">
        <v>1124</v>
      </c>
      <c r="DA760" s="37"/>
      <c r="DB760" s="37"/>
      <c r="DC760" s="37"/>
      <c r="DD760" s="37"/>
      <c r="DE760" s="37"/>
      <c r="DF760" s="37"/>
      <c r="DG760" s="37"/>
      <c r="DH760" s="37"/>
      <c r="DI760" s="37"/>
      <c r="DJ760" s="37"/>
      <c r="DK760" s="37"/>
      <c r="DL760" s="37" t="s">
        <v>1124</v>
      </c>
      <c r="DM760" s="37"/>
      <c r="DN760" s="37"/>
      <c r="DO760" s="37"/>
      <c r="DP760" s="37"/>
      <c r="DQ760" s="37"/>
      <c r="DR760" s="37"/>
      <c r="DS760" s="37"/>
      <c r="DT760" s="37"/>
      <c r="DU760" s="37"/>
      <c r="DV760" s="37"/>
      <c r="DW760" s="37"/>
      <c r="DX760" s="37" t="s">
        <v>1124</v>
      </c>
      <c r="DY760" s="37"/>
      <c r="DZ760" s="37"/>
      <c r="EA760" s="37"/>
      <c r="EB760" s="37"/>
      <c r="EC760" s="37"/>
      <c r="ED760" s="37"/>
      <c r="EE760" s="37"/>
      <c r="EF760" s="37"/>
      <c r="EG760" s="37"/>
      <c r="EH760" s="37"/>
      <c r="EI760" s="37"/>
      <c r="EJ760" s="37" t="s">
        <v>1124</v>
      </c>
      <c r="EK760" s="161"/>
      <c r="EL760" s="294"/>
    </row>
    <row r="761" spans="1:142" ht="15" customHeight="1" x14ac:dyDescent="0.35">
      <c r="A761" s="34"/>
      <c r="B761" s="313">
        <v>75028</v>
      </c>
      <c r="C761" s="8" t="s">
        <v>744</v>
      </c>
      <c r="D761" s="18">
        <v>15</v>
      </c>
      <c r="E761" s="155">
        <v>350992</v>
      </c>
      <c r="F761" s="36">
        <v>103993</v>
      </c>
      <c r="G761" s="37">
        <v>134311</v>
      </c>
      <c r="H761" s="37">
        <v>10972</v>
      </c>
      <c r="I761" s="37">
        <v>113626</v>
      </c>
      <c r="J761" s="37">
        <v>50757</v>
      </c>
      <c r="K761" s="37">
        <v>52648.799999999996</v>
      </c>
      <c r="L761" s="37">
        <v>15598.949999999999</v>
      </c>
      <c r="M761" s="37">
        <v>651577.80000000005</v>
      </c>
      <c r="N761" s="37">
        <v>181320.95</v>
      </c>
      <c r="O761" s="37">
        <v>0</v>
      </c>
      <c r="P761" s="37">
        <v>0</v>
      </c>
      <c r="Q761" s="37">
        <v>412715</v>
      </c>
      <c r="R761" s="37">
        <v>200739</v>
      </c>
      <c r="S761" s="37">
        <v>25029</v>
      </c>
      <c r="T761" s="37">
        <v>0</v>
      </c>
      <c r="U761" s="37">
        <v>0</v>
      </c>
      <c r="V761" s="37">
        <v>0</v>
      </c>
      <c r="W761" s="37">
        <v>213431</v>
      </c>
      <c r="X761" s="37">
        <v>0</v>
      </c>
      <c r="Y761" s="37">
        <v>0</v>
      </c>
      <c r="Z761" s="37">
        <v>0</v>
      </c>
      <c r="AA761" s="37">
        <v>651175</v>
      </c>
      <c r="AB761" s="37">
        <v>200739</v>
      </c>
      <c r="AC761" s="37">
        <v>19015</v>
      </c>
      <c r="AD761" s="37">
        <v>19015</v>
      </c>
      <c r="AE761" s="37">
        <v>48790</v>
      </c>
      <c r="AF761" s="168">
        <v>0.02</v>
      </c>
      <c r="AG761" s="37">
        <v>34413730.579999998</v>
      </c>
      <c r="AH761" s="37">
        <v>304878.15000000002</v>
      </c>
      <c r="AI761" s="37">
        <v>310975.71000000002</v>
      </c>
      <c r="AJ761" s="37">
        <v>317195.21999999997</v>
      </c>
      <c r="AK761" s="37">
        <v>323539.13</v>
      </c>
      <c r="AL761" s="37">
        <v>330009.90999999997</v>
      </c>
      <c r="AM761" s="37">
        <v>336610.11</v>
      </c>
      <c r="AN761" s="37">
        <v>343342.31</v>
      </c>
      <c r="AO761" s="37">
        <v>350209.16</v>
      </c>
      <c r="AP761" s="37">
        <v>357213.34</v>
      </c>
      <c r="AQ761" s="37">
        <v>364357.61</v>
      </c>
      <c r="AR761" s="37">
        <v>3338330.65</v>
      </c>
      <c r="AS761" s="37">
        <v>531063</v>
      </c>
      <c r="AT761" s="37">
        <v>966883.5</v>
      </c>
      <c r="AU761" s="37">
        <v>986221.17</v>
      </c>
      <c r="AV761" s="37">
        <v>0</v>
      </c>
      <c r="AW761" s="37">
        <v>0</v>
      </c>
      <c r="AX761" s="37">
        <v>0</v>
      </c>
      <c r="AY761" s="37">
        <v>0</v>
      </c>
      <c r="AZ761" s="37">
        <v>0</v>
      </c>
      <c r="BA761" s="37">
        <v>0</v>
      </c>
      <c r="BB761" s="37">
        <v>0</v>
      </c>
      <c r="BC761" s="37">
        <v>0</v>
      </c>
      <c r="BD761" s="37">
        <v>1953104.67</v>
      </c>
      <c r="BE761" s="37">
        <v>0</v>
      </c>
      <c r="BF761" s="37">
        <v>0</v>
      </c>
      <c r="BG761" s="37">
        <v>520650</v>
      </c>
      <c r="BH761" s="37">
        <v>0</v>
      </c>
      <c r="BI761" s="37">
        <v>0</v>
      </c>
      <c r="BJ761" s="37">
        <v>0</v>
      </c>
      <c r="BK761" s="37">
        <v>0</v>
      </c>
      <c r="BL761" s="37">
        <v>0</v>
      </c>
      <c r="BM761" s="37">
        <v>0</v>
      </c>
      <c r="BN761" s="37">
        <v>0</v>
      </c>
      <c r="BO761" s="37">
        <v>0</v>
      </c>
      <c r="BP761" s="37">
        <v>520650</v>
      </c>
      <c r="BQ761" s="37">
        <v>0</v>
      </c>
      <c r="BR761" s="37">
        <v>0</v>
      </c>
      <c r="BS761" s="37">
        <v>0</v>
      </c>
      <c r="BT761" s="37">
        <v>0</v>
      </c>
      <c r="BU761" s="37">
        <v>0</v>
      </c>
      <c r="BV761" s="37">
        <v>0</v>
      </c>
      <c r="BW761" s="37">
        <v>0</v>
      </c>
      <c r="BX761" s="37">
        <v>0</v>
      </c>
      <c r="BY761" s="37">
        <v>0</v>
      </c>
      <c r="BZ761" s="37">
        <v>0</v>
      </c>
      <c r="CA761" s="37">
        <v>0</v>
      </c>
      <c r="CB761" s="37">
        <v>0</v>
      </c>
      <c r="CC761" s="37">
        <v>0</v>
      </c>
      <c r="CD761" s="37">
        <v>0</v>
      </c>
      <c r="CE761" s="37">
        <v>0</v>
      </c>
      <c r="CF761" s="37">
        <v>0</v>
      </c>
      <c r="CG761" s="37">
        <v>0</v>
      </c>
      <c r="CH761" s="37">
        <v>0</v>
      </c>
      <c r="CI761" s="37">
        <v>0</v>
      </c>
      <c r="CJ761" s="37">
        <v>0</v>
      </c>
      <c r="CK761" s="37">
        <v>0</v>
      </c>
      <c r="CL761" s="37">
        <v>0</v>
      </c>
      <c r="CM761" s="37">
        <v>0</v>
      </c>
      <c r="CN761" s="37">
        <v>0</v>
      </c>
      <c r="CO761" s="37">
        <v>0</v>
      </c>
      <c r="CP761" s="37">
        <v>0</v>
      </c>
      <c r="CQ761" s="37">
        <v>1895850</v>
      </c>
      <c r="CR761" s="37">
        <v>0</v>
      </c>
      <c r="CS761" s="37">
        <v>0</v>
      </c>
      <c r="CT761" s="37">
        <v>0</v>
      </c>
      <c r="CU761" s="37">
        <v>0</v>
      </c>
      <c r="CV761" s="37">
        <v>0</v>
      </c>
      <c r="CW761" s="37">
        <v>0</v>
      </c>
      <c r="CX761" s="37">
        <v>0</v>
      </c>
      <c r="CY761" s="37">
        <v>0</v>
      </c>
      <c r="CZ761" s="37">
        <v>1895850</v>
      </c>
      <c r="DA761" s="37">
        <v>0</v>
      </c>
      <c r="DB761" s="37">
        <v>0</v>
      </c>
      <c r="DC761" s="37">
        <v>0</v>
      </c>
      <c r="DD761" s="37">
        <v>0</v>
      </c>
      <c r="DE761" s="37">
        <v>0</v>
      </c>
      <c r="DF761" s="37">
        <v>0</v>
      </c>
      <c r="DG761" s="37">
        <v>0</v>
      </c>
      <c r="DH761" s="37">
        <v>0</v>
      </c>
      <c r="DI761" s="37">
        <v>0</v>
      </c>
      <c r="DJ761" s="37">
        <v>0</v>
      </c>
      <c r="DK761" s="37">
        <v>0</v>
      </c>
      <c r="DL761" s="37">
        <v>0</v>
      </c>
      <c r="DM761" s="37">
        <v>0</v>
      </c>
      <c r="DN761" s="37">
        <v>0</v>
      </c>
      <c r="DO761" s="37">
        <v>0</v>
      </c>
      <c r="DP761" s="37">
        <v>0</v>
      </c>
      <c r="DQ761" s="37">
        <v>0</v>
      </c>
      <c r="DR761" s="37">
        <v>0</v>
      </c>
      <c r="DS761" s="37">
        <v>0</v>
      </c>
      <c r="DT761" s="37">
        <v>0</v>
      </c>
      <c r="DU761" s="37">
        <v>0</v>
      </c>
      <c r="DV761" s="37">
        <v>0</v>
      </c>
      <c r="DW761" s="37">
        <v>0</v>
      </c>
      <c r="DX761" s="37">
        <v>0</v>
      </c>
      <c r="DY761" s="37">
        <v>0</v>
      </c>
      <c r="DZ761" s="37">
        <v>0</v>
      </c>
      <c r="EA761" s="37">
        <v>0</v>
      </c>
      <c r="EB761" s="37">
        <v>0</v>
      </c>
      <c r="EC761" s="37">
        <v>0</v>
      </c>
      <c r="ED761" s="37">
        <v>0</v>
      </c>
      <c r="EE761" s="37">
        <v>0</v>
      </c>
      <c r="EF761" s="37">
        <v>0</v>
      </c>
      <c r="EG761" s="37">
        <v>0</v>
      </c>
      <c r="EH761" s="37">
        <v>0</v>
      </c>
      <c r="EI761" s="37">
        <v>0</v>
      </c>
      <c r="EJ761" s="37">
        <v>0</v>
      </c>
      <c r="EK761" s="161" t="s">
        <v>2981</v>
      </c>
      <c r="EL761" s="294" t="s">
        <v>1124</v>
      </c>
    </row>
    <row r="762" spans="1:142" ht="15" customHeight="1" x14ac:dyDescent="0.35">
      <c r="A762" s="34"/>
      <c r="B762" s="313">
        <v>38040</v>
      </c>
      <c r="C762" s="8" t="s">
        <v>331</v>
      </c>
      <c r="D762" s="18">
        <v>17</v>
      </c>
      <c r="E762" s="155"/>
      <c r="F762" s="36"/>
      <c r="G762" s="37"/>
      <c r="H762" s="37"/>
      <c r="I762" s="37"/>
      <c r="J762" s="37"/>
      <c r="K762" s="37"/>
      <c r="L762" s="37"/>
      <c r="M762" s="37" t="s">
        <v>1124</v>
      </c>
      <c r="N762" s="37" t="s">
        <v>1124</v>
      </c>
      <c r="O762" s="37"/>
      <c r="P762" s="37"/>
      <c r="Q762" s="37"/>
      <c r="R762" s="37"/>
      <c r="S762" s="37"/>
      <c r="T762" s="37"/>
      <c r="U762" s="37"/>
      <c r="V762" s="37"/>
      <c r="W762" s="37"/>
      <c r="X762" s="37"/>
      <c r="Y762" s="37"/>
      <c r="Z762" s="37"/>
      <c r="AA762" s="37" t="s">
        <v>1124</v>
      </c>
      <c r="AB762" s="37" t="s">
        <v>1124</v>
      </c>
      <c r="AC762" s="37"/>
      <c r="AD762" s="37"/>
      <c r="AE762" s="37"/>
      <c r="AF762" s="168"/>
      <c r="AG762" s="37"/>
      <c r="AH762" s="37"/>
      <c r="AI762" s="37"/>
      <c r="AJ762" s="37"/>
      <c r="AK762" s="37"/>
      <c r="AL762" s="37"/>
      <c r="AM762" s="37"/>
      <c r="AN762" s="37"/>
      <c r="AO762" s="37"/>
      <c r="AP762" s="37"/>
      <c r="AQ762" s="37"/>
      <c r="AR762" s="37" t="s">
        <v>1124</v>
      </c>
      <c r="AS762" s="37"/>
      <c r="AT762" s="37"/>
      <c r="AU762" s="37"/>
      <c r="AV762" s="37"/>
      <c r="AW762" s="37"/>
      <c r="AX762" s="37"/>
      <c r="AY762" s="37"/>
      <c r="AZ762" s="37"/>
      <c r="BA762" s="37"/>
      <c r="BB762" s="37"/>
      <c r="BC762" s="37"/>
      <c r="BD762" s="37" t="s">
        <v>1124</v>
      </c>
      <c r="BE762" s="37"/>
      <c r="BF762" s="37"/>
      <c r="BG762" s="37"/>
      <c r="BH762" s="37"/>
      <c r="BI762" s="37"/>
      <c r="BJ762" s="37"/>
      <c r="BK762" s="37"/>
      <c r="BL762" s="37"/>
      <c r="BM762" s="37"/>
      <c r="BN762" s="37"/>
      <c r="BO762" s="37"/>
      <c r="BP762" s="37">
        <v>0</v>
      </c>
      <c r="BQ762" s="37"/>
      <c r="BR762" s="37"/>
      <c r="BS762" s="37"/>
      <c r="BT762" s="37"/>
      <c r="BU762" s="37"/>
      <c r="BV762" s="37"/>
      <c r="BW762" s="37"/>
      <c r="BX762" s="37"/>
      <c r="BY762" s="37"/>
      <c r="BZ762" s="37"/>
      <c r="CA762" s="37"/>
      <c r="CB762" s="37" t="s">
        <v>1124</v>
      </c>
      <c r="CC762" s="37"/>
      <c r="CD762" s="37"/>
      <c r="CE762" s="37"/>
      <c r="CF762" s="37"/>
      <c r="CG762" s="37"/>
      <c r="CH762" s="37"/>
      <c r="CI762" s="37"/>
      <c r="CJ762" s="37"/>
      <c r="CK762" s="37"/>
      <c r="CL762" s="37"/>
      <c r="CM762" s="37"/>
      <c r="CN762" s="37" t="s">
        <v>1124</v>
      </c>
      <c r="CO762" s="37"/>
      <c r="CP762" s="37"/>
      <c r="CQ762" s="37"/>
      <c r="CR762" s="37"/>
      <c r="CS762" s="37"/>
      <c r="CT762" s="37"/>
      <c r="CU762" s="37"/>
      <c r="CV762" s="37"/>
      <c r="CW762" s="37"/>
      <c r="CX762" s="37"/>
      <c r="CY762" s="37"/>
      <c r="CZ762" s="37" t="s">
        <v>1124</v>
      </c>
      <c r="DA762" s="37"/>
      <c r="DB762" s="37"/>
      <c r="DC762" s="37"/>
      <c r="DD762" s="37"/>
      <c r="DE762" s="37"/>
      <c r="DF762" s="37"/>
      <c r="DG762" s="37"/>
      <c r="DH762" s="37"/>
      <c r="DI762" s="37"/>
      <c r="DJ762" s="37"/>
      <c r="DK762" s="37"/>
      <c r="DL762" s="37" t="s">
        <v>1124</v>
      </c>
      <c r="DM762" s="37"/>
      <c r="DN762" s="37"/>
      <c r="DO762" s="37"/>
      <c r="DP762" s="37"/>
      <c r="DQ762" s="37"/>
      <c r="DR762" s="37"/>
      <c r="DS762" s="37"/>
      <c r="DT762" s="37"/>
      <c r="DU762" s="37"/>
      <c r="DV762" s="37"/>
      <c r="DW762" s="37"/>
      <c r="DX762" s="37" t="s">
        <v>1124</v>
      </c>
      <c r="DY762" s="37"/>
      <c r="DZ762" s="37"/>
      <c r="EA762" s="37"/>
      <c r="EB762" s="37"/>
      <c r="EC762" s="37"/>
      <c r="ED762" s="37"/>
      <c r="EE762" s="37"/>
      <c r="EF762" s="37"/>
      <c r="EG762" s="37"/>
      <c r="EH762" s="37"/>
      <c r="EI762" s="37"/>
      <c r="EJ762" s="37" t="s">
        <v>1124</v>
      </c>
      <c r="EK762" s="161"/>
      <c r="EL762" s="294"/>
    </row>
    <row r="763" spans="1:142" ht="15" customHeight="1" x14ac:dyDescent="0.35">
      <c r="A763" s="34"/>
      <c r="B763" s="313">
        <v>32023</v>
      </c>
      <c r="C763" s="8" t="s">
        <v>257</v>
      </c>
      <c r="D763" s="18">
        <v>17</v>
      </c>
      <c r="E763" s="155"/>
      <c r="F763" s="36"/>
      <c r="G763" s="37"/>
      <c r="H763" s="37"/>
      <c r="I763" s="37"/>
      <c r="J763" s="37"/>
      <c r="K763" s="37"/>
      <c r="L763" s="37"/>
      <c r="M763" s="37" t="s">
        <v>1124</v>
      </c>
      <c r="N763" s="37" t="s">
        <v>1124</v>
      </c>
      <c r="O763" s="37"/>
      <c r="P763" s="37"/>
      <c r="Q763" s="37"/>
      <c r="R763" s="37"/>
      <c r="S763" s="37"/>
      <c r="T763" s="37"/>
      <c r="U763" s="37"/>
      <c r="V763" s="37"/>
      <c r="W763" s="37"/>
      <c r="X763" s="37"/>
      <c r="Y763" s="37"/>
      <c r="Z763" s="37"/>
      <c r="AA763" s="37" t="s">
        <v>1124</v>
      </c>
      <c r="AB763" s="37" t="s">
        <v>1124</v>
      </c>
      <c r="AC763" s="37"/>
      <c r="AD763" s="37"/>
      <c r="AE763" s="37"/>
      <c r="AF763" s="168"/>
      <c r="AG763" s="37"/>
      <c r="AH763" s="37"/>
      <c r="AI763" s="37"/>
      <c r="AJ763" s="37"/>
      <c r="AK763" s="37"/>
      <c r="AL763" s="37"/>
      <c r="AM763" s="37"/>
      <c r="AN763" s="37"/>
      <c r="AO763" s="37"/>
      <c r="AP763" s="37"/>
      <c r="AQ763" s="37"/>
      <c r="AR763" s="37" t="s">
        <v>1124</v>
      </c>
      <c r="AS763" s="37"/>
      <c r="AT763" s="37"/>
      <c r="AU763" s="37"/>
      <c r="AV763" s="37"/>
      <c r="AW763" s="37"/>
      <c r="AX763" s="37"/>
      <c r="AY763" s="37"/>
      <c r="AZ763" s="37"/>
      <c r="BA763" s="37"/>
      <c r="BB763" s="37"/>
      <c r="BC763" s="37"/>
      <c r="BD763" s="37" t="s">
        <v>1124</v>
      </c>
      <c r="BE763" s="37"/>
      <c r="BF763" s="37"/>
      <c r="BG763" s="37"/>
      <c r="BH763" s="37"/>
      <c r="BI763" s="37"/>
      <c r="BJ763" s="37"/>
      <c r="BK763" s="37"/>
      <c r="BL763" s="37"/>
      <c r="BM763" s="37"/>
      <c r="BN763" s="37"/>
      <c r="BO763" s="37"/>
      <c r="BP763" s="37">
        <v>0</v>
      </c>
      <c r="BQ763" s="37"/>
      <c r="BR763" s="37"/>
      <c r="BS763" s="37"/>
      <c r="BT763" s="37"/>
      <c r="BU763" s="37"/>
      <c r="BV763" s="37"/>
      <c r="BW763" s="37"/>
      <c r="BX763" s="37"/>
      <c r="BY763" s="37"/>
      <c r="BZ763" s="37"/>
      <c r="CA763" s="37"/>
      <c r="CB763" s="37" t="s">
        <v>1124</v>
      </c>
      <c r="CC763" s="37"/>
      <c r="CD763" s="37"/>
      <c r="CE763" s="37"/>
      <c r="CF763" s="37"/>
      <c r="CG763" s="37"/>
      <c r="CH763" s="37"/>
      <c r="CI763" s="37"/>
      <c r="CJ763" s="37"/>
      <c r="CK763" s="37"/>
      <c r="CL763" s="37"/>
      <c r="CM763" s="37"/>
      <c r="CN763" s="37" t="s">
        <v>1124</v>
      </c>
      <c r="CO763" s="37"/>
      <c r="CP763" s="37"/>
      <c r="CQ763" s="37"/>
      <c r="CR763" s="37"/>
      <c r="CS763" s="37"/>
      <c r="CT763" s="37"/>
      <c r="CU763" s="37"/>
      <c r="CV763" s="37"/>
      <c r="CW763" s="37"/>
      <c r="CX763" s="37"/>
      <c r="CY763" s="37"/>
      <c r="CZ763" s="37" t="s">
        <v>1124</v>
      </c>
      <c r="DA763" s="37"/>
      <c r="DB763" s="37"/>
      <c r="DC763" s="37"/>
      <c r="DD763" s="37"/>
      <c r="DE763" s="37"/>
      <c r="DF763" s="37"/>
      <c r="DG763" s="37"/>
      <c r="DH763" s="37"/>
      <c r="DI763" s="37"/>
      <c r="DJ763" s="37"/>
      <c r="DK763" s="37"/>
      <c r="DL763" s="37" t="s">
        <v>1124</v>
      </c>
      <c r="DM763" s="37"/>
      <c r="DN763" s="37"/>
      <c r="DO763" s="37"/>
      <c r="DP763" s="37"/>
      <c r="DQ763" s="37"/>
      <c r="DR763" s="37"/>
      <c r="DS763" s="37"/>
      <c r="DT763" s="37"/>
      <c r="DU763" s="37"/>
      <c r="DV763" s="37"/>
      <c r="DW763" s="37"/>
      <c r="DX763" s="37" t="s">
        <v>1124</v>
      </c>
      <c r="DY763" s="37"/>
      <c r="DZ763" s="37"/>
      <c r="EA763" s="37"/>
      <c r="EB763" s="37"/>
      <c r="EC763" s="37"/>
      <c r="ED763" s="37"/>
      <c r="EE763" s="37"/>
      <c r="EF763" s="37"/>
      <c r="EG763" s="37"/>
      <c r="EH763" s="37"/>
      <c r="EI763" s="37"/>
      <c r="EJ763" s="37" t="s">
        <v>1124</v>
      </c>
      <c r="EK763" s="161"/>
      <c r="EL763" s="294"/>
    </row>
    <row r="764" spans="1:142" ht="15" customHeight="1" x14ac:dyDescent="0.35">
      <c r="A764" s="34"/>
      <c r="B764" s="313">
        <v>63030</v>
      </c>
      <c r="C764" s="8" t="s">
        <v>637</v>
      </c>
      <c r="D764" s="18">
        <v>14</v>
      </c>
      <c r="E764" s="155">
        <v>127301</v>
      </c>
      <c r="F764" s="36">
        <v>147385</v>
      </c>
      <c r="G764" s="37">
        <v>0</v>
      </c>
      <c r="H764" s="37">
        <v>0</v>
      </c>
      <c r="I764" s="37">
        <v>0</v>
      </c>
      <c r="J764" s="37">
        <v>0</v>
      </c>
      <c r="K764" s="37">
        <v>19095.149999999998</v>
      </c>
      <c r="L764" s="37">
        <v>22107.75</v>
      </c>
      <c r="M764" s="37">
        <v>146396.15</v>
      </c>
      <c r="N764" s="37">
        <v>169492.75</v>
      </c>
      <c r="O764" s="37">
        <v>137685.56</v>
      </c>
      <c r="P764" s="37">
        <v>0</v>
      </c>
      <c r="Q764" s="37">
        <v>34726.050000000003</v>
      </c>
      <c r="R764" s="37">
        <v>148774.04</v>
      </c>
      <c r="S764" s="37">
        <v>20825</v>
      </c>
      <c r="T764" s="37">
        <v>0</v>
      </c>
      <c r="U764" s="37">
        <v>0</v>
      </c>
      <c r="V764" s="37">
        <v>13966</v>
      </c>
      <c r="W764" s="37">
        <v>0</v>
      </c>
      <c r="X764" s="37">
        <v>0</v>
      </c>
      <c r="Y764" s="37">
        <v>0</v>
      </c>
      <c r="Z764" s="37">
        <v>0</v>
      </c>
      <c r="AA764" s="37">
        <v>193236.61</v>
      </c>
      <c r="AB764" s="37">
        <v>162740.04</v>
      </c>
      <c r="AC764" s="37">
        <v>40088</v>
      </c>
      <c r="AD764" s="37">
        <v>0</v>
      </c>
      <c r="AE764" s="37">
        <v>0</v>
      </c>
      <c r="AF764" s="168">
        <v>0.02</v>
      </c>
      <c r="AG764" s="37">
        <v>19580264.280000001</v>
      </c>
      <c r="AH764" s="37">
        <v>167089.81</v>
      </c>
      <c r="AI764" s="37">
        <v>170431.6</v>
      </c>
      <c r="AJ764" s="37">
        <v>173840.24</v>
      </c>
      <c r="AK764" s="37">
        <v>177317.04</v>
      </c>
      <c r="AL764" s="37">
        <v>180863.38</v>
      </c>
      <c r="AM764" s="37">
        <v>184480.65</v>
      </c>
      <c r="AN764" s="37">
        <v>188170.26</v>
      </c>
      <c r="AO764" s="37">
        <v>191933.67</v>
      </c>
      <c r="AP764" s="37">
        <v>195772.34</v>
      </c>
      <c r="AQ764" s="37">
        <v>199687.79</v>
      </c>
      <c r="AR764" s="37">
        <v>1829586.7800000003</v>
      </c>
      <c r="AS764" s="37">
        <v>511999.2</v>
      </c>
      <c r="AT764" s="37">
        <v>76500</v>
      </c>
      <c r="AU764" s="37">
        <v>3236684.4</v>
      </c>
      <c r="AV764" s="37">
        <v>0</v>
      </c>
      <c r="AW764" s="37">
        <v>0</v>
      </c>
      <c r="AX764" s="37">
        <v>0</v>
      </c>
      <c r="AY764" s="37">
        <v>0</v>
      </c>
      <c r="AZ764" s="37">
        <v>0</v>
      </c>
      <c r="BA764" s="37">
        <v>0</v>
      </c>
      <c r="BB764" s="37">
        <v>0</v>
      </c>
      <c r="BC764" s="37">
        <v>0</v>
      </c>
      <c r="BD764" s="37">
        <v>3313184.4</v>
      </c>
      <c r="BE764" s="37">
        <v>0</v>
      </c>
      <c r="BF764" s="37">
        <v>225849.35260806826</v>
      </c>
      <c r="BG764" s="37">
        <v>243437.09835272111</v>
      </c>
      <c r="BH764" s="37">
        <v>299681.84240056813</v>
      </c>
      <c r="BI764" s="37">
        <v>0</v>
      </c>
      <c r="BJ764" s="37">
        <v>0</v>
      </c>
      <c r="BK764" s="37">
        <v>0</v>
      </c>
      <c r="BL764" s="37">
        <v>0</v>
      </c>
      <c r="BM764" s="37">
        <v>0</v>
      </c>
      <c r="BN764" s="37">
        <v>0</v>
      </c>
      <c r="BO764" s="37">
        <v>0</v>
      </c>
      <c r="BP764" s="37">
        <v>768968.29336135753</v>
      </c>
      <c r="BQ764" s="37">
        <v>0</v>
      </c>
      <c r="BR764" s="37">
        <v>101390.72808313173</v>
      </c>
      <c r="BS764" s="37">
        <v>109286.40865869628</v>
      </c>
      <c r="BT764" s="37">
        <v>134536.40598659156</v>
      </c>
      <c r="BU764" s="37">
        <v>0</v>
      </c>
      <c r="BV764" s="37">
        <v>0</v>
      </c>
      <c r="BW764" s="37">
        <v>0</v>
      </c>
      <c r="BX764" s="37">
        <v>0</v>
      </c>
      <c r="BY764" s="37">
        <v>0</v>
      </c>
      <c r="BZ764" s="37">
        <v>0</v>
      </c>
      <c r="CA764" s="37">
        <v>0</v>
      </c>
      <c r="CB764" s="37">
        <v>345213.54272841959</v>
      </c>
      <c r="CC764" s="37">
        <v>0</v>
      </c>
      <c r="CD764" s="37">
        <v>0</v>
      </c>
      <c r="CE764" s="37">
        <v>0</v>
      </c>
      <c r="CF764" s="37">
        <v>0</v>
      </c>
      <c r="CG764" s="37">
        <v>0</v>
      </c>
      <c r="CH764" s="37">
        <v>0</v>
      </c>
      <c r="CI764" s="37">
        <v>0</v>
      </c>
      <c r="CJ764" s="37">
        <v>0</v>
      </c>
      <c r="CK764" s="37">
        <v>0</v>
      </c>
      <c r="CL764" s="37">
        <v>0</v>
      </c>
      <c r="CM764" s="37">
        <v>0</v>
      </c>
      <c r="CN764" s="37">
        <v>0</v>
      </c>
      <c r="CO764" s="37">
        <v>0</v>
      </c>
      <c r="CP764" s="37">
        <v>0</v>
      </c>
      <c r="CQ764" s="37">
        <v>0</v>
      </c>
      <c r="CR764" s="37">
        <v>0</v>
      </c>
      <c r="CS764" s="37">
        <v>0</v>
      </c>
      <c r="CT764" s="37">
        <v>0</v>
      </c>
      <c r="CU764" s="37">
        <v>0</v>
      </c>
      <c r="CV764" s="37">
        <v>0</v>
      </c>
      <c r="CW764" s="37">
        <v>0</v>
      </c>
      <c r="CX764" s="37">
        <v>0</v>
      </c>
      <c r="CY764" s="37">
        <v>0</v>
      </c>
      <c r="CZ764" s="37">
        <v>0</v>
      </c>
      <c r="DA764" s="37">
        <v>0</v>
      </c>
      <c r="DB764" s="37">
        <v>0</v>
      </c>
      <c r="DC764" s="37">
        <v>0</v>
      </c>
      <c r="DD764" s="37">
        <v>0</v>
      </c>
      <c r="DE764" s="37">
        <v>0</v>
      </c>
      <c r="DF764" s="37">
        <v>0</v>
      </c>
      <c r="DG764" s="37">
        <v>0</v>
      </c>
      <c r="DH764" s="37">
        <v>0</v>
      </c>
      <c r="DI764" s="37">
        <v>0</v>
      </c>
      <c r="DJ764" s="37">
        <v>0</v>
      </c>
      <c r="DK764" s="37">
        <v>0</v>
      </c>
      <c r="DL764" s="37">
        <v>0</v>
      </c>
      <c r="DM764" s="37">
        <v>0</v>
      </c>
      <c r="DN764" s="37">
        <v>0</v>
      </c>
      <c r="DO764" s="37">
        <v>0</v>
      </c>
      <c r="DP764" s="37">
        <v>0</v>
      </c>
      <c r="DQ764" s="37">
        <v>0</v>
      </c>
      <c r="DR764" s="37">
        <v>0</v>
      </c>
      <c r="DS764" s="37">
        <v>0</v>
      </c>
      <c r="DT764" s="37">
        <v>0</v>
      </c>
      <c r="DU764" s="37">
        <v>0</v>
      </c>
      <c r="DV764" s="37">
        <v>0</v>
      </c>
      <c r="DW764" s="37">
        <v>0</v>
      </c>
      <c r="DX764" s="37">
        <v>0</v>
      </c>
      <c r="DY764" s="37">
        <v>0</v>
      </c>
      <c r="DZ764" s="37">
        <v>0</v>
      </c>
      <c r="EA764" s="37">
        <v>0</v>
      </c>
      <c r="EB764" s="37">
        <v>0</v>
      </c>
      <c r="EC764" s="37">
        <v>0</v>
      </c>
      <c r="ED764" s="37">
        <v>0</v>
      </c>
      <c r="EE764" s="37">
        <v>0</v>
      </c>
      <c r="EF764" s="37">
        <v>0</v>
      </c>
      <c r="EG764" s="37">
        <v>0</v>
      </c>
      <c r="EH764" s="37">
        <v>0</v>
      </c>
      <c r="EI764" s="37">
        <v>0</v>
      </c>
      <c r="EJ764" s="37">
        <v>0</v>
      </c>
      <c r="EK764" s="161" t="s">
        <v>2986</v>
      </c>
      <c r="EL764" s="294" t="s">
        <v>1124</v>
      </c>
    </row>
    <row r="765" spans="1:142" ht="15" customHeight="1" x14ac:dyDescent="0.35">
      <c r="A765" s="34"/>
      <c r="B765" s="313">
        <v>35050</v>
      </c>
      <c r="C765" s="8" t="s">
        <v>311</v>
      </c>
      <c r="D765" s="18">
        <v>4</v>
      </c>
      <c r="E765" s="155">
        <v>71348</v>
      </c>
      <c r="F765" s="36">
        <v>45798</v>
      </c>
      <c r="G765" s="37">
        <v>51608</v>
      </c>
      <c r="H765" s="37">
        <v>30356</v>
      </c>
      <c r="I765" s="37">
        <v>34460</v>
      </c>
      <c r="J765" s="37">
        <v>88580</v>
      </c>
      <c r="K765" s="37">
        <v>23612.399999999998</v>
      </c>
      <c r="L765" s="37">
        <v>24710.1</v>
      </c>
      <c r="M765" s="37">
        <v>181028.4</v>
      </c>
      <c r="N765" s="37">
        <v>189444.1</v>
      </c>
      <c r="O765" s="37">
        <v>4506</v>
      </c>
      <c r="P765" s="37">
        <v>0</v>
      </c>
      <c r="Q765" s="37">
        <v>91611</v>
      </c>
      <c r="R765" s="37">
        <v>85521</v>
      </c>
      <c r="S765" s="37">
        <v>4506</v>
      </c>
      <c r="T765" s="37">
        <v>0</v>
      </c>
      <c r="U765" s="37">
        <v>55896</v>
      </c>
      <c r="V765" s="37">
        <v>873</v>
      </c>
      <c r="W765" s="37">
        <v>82192.240184757509</v>
      </c>
      <c r="X765" s="37">
        <v>55367.759815242491</v>
      </c>
      <c r="Y765" s="37">
        <v>0</v>
      </c>
      <c r="Z765" s="37">
        <v>0</v>
      </c>
      <c r="AA765" s="37">
        <v>238711.24018475751</v>
      </c>
      <c r="AB765" s="37">
        <v>141761.75981524249</v>
      </c>
      <c r="AC765" s="37">
        <v>10000</v>
      </c>
      <c r="AD765" s="37">
        <v>10000</v>
      </c>
      <c r="AE765" s="37">
        <v>10000</v>
      </c>
      <c r="AF765" s="168">
        <v>0.02</v>
      </c>
      <c r="AG765" s="37">
        <v>31599090.460000001</v>
      </c>
      <c r="AH765" s="37">
        <v>301534.52</v>
      </c>
      <c r="AI765" s="37">
        <v>307565.21000000002</v>
      </c>
      <c r="AJ765" s="37">
        <v>313716.51</v>
      </c>
      <c r="AK765" s="37">
        <v>319990.84000000003</v>
      </c>
      <c r="AL765" s="37">
        <v>326390.65999999997</v>
      </c>
      <c r="AM765" s="37">
        <v>332918.46999999997</v>
      </c>
      <c r="AN765" s="37">
        <v>339576.84</v>
      </c>
      <c r="AO765" s="37">
        <v>346368.38</v>
      </c>
      <c r="AP765" s="37">
        <v>353295.75</v>
      </c>
      <c r="AQ765" s="37">
        <v>360361.66</v>
      </c>
      <c r="AR765" s="37">
        <v>3301718.8400000003</v>
      </c>
      <c r="AS765" s="37">
        <v>3339716</v>
      </c>
      <c r="AT765" s="37">
        <v>0</v>
      </c>
      <c r="AU765" s="37">
        <v>0</v>
      </c>
      <c r="AV765" s="37">
        <v>0</v>
      </c>
      <c r="AW765" s="37">
        <v>0</v>
      </c>
      <c r="AX765" s="37">
        <v>0</v>
      </c>
      <c r="AY765" s="37">
        <v>0</v>
      </c>
      <c r="AZ765" s="37">
        <v>0</v>
      </c>
      <c r="BA765" s="37">
        <v>0</v>
      </c>
      <c r="BB765" s="37">
        <v>0</v>
      </c>
      <c r="BC765" s="37">
        <v>0</v>
      </c>
      <c r="BD765" s="37">
        <v>0</v>
      </c>
      <c r="BE765" s="37">
        <v>156729</v>
      </c>
      <c r="BF765" s="37">
        <v>1094439</v>
      </c>
      <c r="BG765" s="37">
        <v>1577331</v>
      </c>
      <c r="BH765" s="37">
        <v>987209.60000000009</v>
      </c>
      <c r="BI765" s="37">
        <v>246802.40000000002</v>
      </c>
      <c r="BJ765" s="37">
        <v>31593.067658439442</v>
      </c>
      <c r="BK765" s="37">
        <v>152986.03032527238</v>
      </c>
      <c r="BL765" s="37">
        <v>198952.97246077756</v>
      </c>
      <c r="BM765" s="37">
        <v>244919.91459628264</v>
      </c>
      <c r="BN765" s="37">
        <v>290886.95495922805</v>
      </c>
      <c r="BO765" s="37">
        <v>0</v>
      </c>
      <c r="BP765" s="37">
        <v>4825120.9400000004</v>
      </c>
      <c r="BQ765" s="37">
        <v>73035</v>
      </c>
      <c r="BR765" s="37">
        <v>273611</v>
      </c>
      <c r="BS765" s="37">
        <v>394335</v>
      </c>
      <c r="BT765" s="37">
        <v>0</v>
      </c>
      <c r="BU765" s="37">
        <v>0</v>
      </c>
      <c r="BV765" s="37">
        <v>0</v>
      </c>
      <c r="BW765" s="37">
        <v>0</v>
      </c>
      <c r="BX765" s="37">
        <v>0</v>
      </c>
      <c r="BY765" s="37">
        <v>0</v>
      </c>
      <c r="BZ765" s="37">
        <v>0</v>
      </c>
      <c r="CA765" s="37">
        <v>0</v>
      </c>
      <c r="CB765" s="37">
        <v>667946</v>
      </c>
      <c r="CC765" s="37">
        <v>0</v>
      </c>
      <c r="CD765" s="37">
        <v>0</v>
      </c>
      <c r="CE765" s="37">
        <v>0</v>
      </c>
      <c r="CF765" s="37">
        <v>0</v>
      </c>
      <c r="CG765" s="37">
        <v>0</v>
      </c>
      <c r="CH765" s="37">
        <v>0</v>
      </c>
      <c r="CI765" s="37">
        <v>0</v>
      </c>
      <c r="CJ765" s="37">
        <v>0</v>
      </c>
      <c r="CK765" s="37">
        <v>0</v>
      </c>
      <c r="CL765" s="37">
        <v>0</v>
      </c>
      <c r="CM765" s="37">
        <v>0</v>
      </c>
      <c r="CN765" s="37">
        <v>0</v>
      </c>
      <c r="CO765" s="37">
        <v>0</v>
      </c>
      <c r="CP765" s="37">
        <v>0</v>
      </c>
      <c r="CQ765" s="37">
        <v>0</v>
      </c>
      <c r="CR765" s="37">
        <v>0</v>
      </c>
      <c r="CS765" s="37">
        <v>0</v>
      </c>
      <c r="CT765" s="37">
        <v>0</v>
      </c>
      <c r="CU765" s="37">
        <v>0</v>
      </c>
      <c r="CV765" s="37">
        <v>0</v>
      </c>
      <c r="CW765" s="37">
        <v>0</v>
      </c>
      <c r="CX765" s="37">
        <v>0</v>
      </c>
      <c r="CY765" s="37">
        <v>0</v>
      </c>
      <c r="CZ765" s="37">
        <v>0</v>
      </c>
      <c r="DA765" s="37">
        <v>0</v>
      </c>
      <c r="DB765" s="37">
        <v>0</v>
      </c>
      <c r="DC765" s="37">
        <v>0</v>
      </c>
      <c r="DD765" s="37">
        <v>0</v>
      </c>
      <c r="DE765" s="37">
        <v>0</v>
      </c>
      <c r="DF765" s="37">
        <v>0</v>
      </c>
      <c r="DG765" s="37">
        <v>0</v>
      </c>
      <c r="DH765" s="37">
        <v>0</v>
      </c>
      <c r="DI765" s="37">
        <v>0</v>
      </c>
      <c r="DJ765" s="37">
        <v>0</v>
      </c>
      <c r="DK765" s="37">
        <v>0</v>
      </c>
      <c r="DL765" s="37">
        <v>0</v>
      </c>
      <c r="DM765" s="37">
        <v>0</v>
      </c>
      <c r="DN765" s="37">
        <v>0</v>
      </c>
      <c r="DO765" s="37">
        <v>0</v>
      </c>
      <c r="DP765" s="37">
        <v>0</v>
      </c>
      <c r="DQ765" s="37">
        <v>0</v>
      </c>
      <c r="DR765" s="37">
        <v>0</v>
      </c>
      <c r="DS765" s="37">
        <v>0</v>
      </c>
      <c r="DT765" s="37">
        <v>0</v>
      </c>
      <c r="DU765" s="37">
        <v>0</v>
      </c>
      <c r="DV765" s="37">
        <v>0</v>
      </c>
      <c r="DW765" s="37">
        <v>0</v>
      </c>
      <c r="DX765" s="37">
        <v>0</v>
      </c>
      <c r="DY765" s="37">
        <v>0</v>
      </c>
      <c r="DZ765" s="37">
        <v>0</v>
      </c>
      <c r="EA765" s="37">
        <v>0</v>
      </c>
      <c r="EB765" s="37">
        <v>0</v>
      </c>
      <c r="EC765" s="37">
        <v>0</v>
      </c>
      <c r="ED765" s="37">
        <v>0</v>
      </c>
      <c r="EE765" s="37">
        <v>0</v>
      </c>
      <c r="EF765" s="37">
        <v>0</v>
      </c>
      <c r="EG765" s="37">
        <v>0</v>
      </c>
      <c r="EH765" s="37">
        <v>0</v>
      </c>
      <c r="EI765" s="37">
        <v>0</v>
      </c>
      <c r="EJ765" s="37">
        <v>0</v>
      </c>
      <c r="EK765" s="161" t="s">
        <v>2990</v>
      </c>
      <c r="EL765" s="294" t="s">
        <v>1124</v>
      </c>
    </row>
    <row r="766" spans="1:142" ht="15" customHeight="1" x14ac:dyDescent="0.35">
      <c r="A766" s="34"/>
      <c r="B766" s="313">
        <v>73010</v>
      </c>
      <c r="C766" s="8" t="s">
        <v>735</v>
      </c>
      <c r="D766" s="18">
        <v>15</v>
      </c>
      <c r="E766" s="155">
        <v>4910917</v>
      </c>
      <c r="F766" s="36">
        <v>1828179</v>
      </c>
      <c r="G766" s="37">
        <v>315402</v>
      </c>
      <c r="H766" s="37">
        <v>305003</v>
      </c>
      <c r="I766" s="37">
        <v>1306252</v>
      </c>
      <c r="J766" s="37">
        <v>1055025</v>
      </c>
      <c r="K766" s="37">
        <v>0</v>
      </c>
      <c r="L766" s="37">
        <v>0</v>
      </c>
      <c r="M766" s="37">
        <v>6532571</v>
      </c>
      <c r="N766" s="37">
        <v>3188207</v>
      </c>
      <c r="O766" s="37">
        <v>533122</v>
      </c>
      <c r="P766" s="37">
        <v>420246</v>
      </c>
      <c r="Q766" s="37">
        <v>2993122</v>
      </c>
      <c r="R766" s="37">
        <v>1897814</v>
      </c>
      <c r="S766" s="37">
        <v>3274304</v>
      </c>
      <c r="T766" s="37">
        <v>75536</v>
      </c>
      <c r="U766" s="37">
        <v>136461</v>
      </c>
      <c r="V766" s="37">
        <v>13988</v>
      </c>
      <c r="W766" s="37">
        <v>0</v>
      </c>
      <c r="X766" s="37">
        <v>376185</v>
      </c>
      <c r="Y766" s="37">
        <v>0</v>
      </c>
      <c r="Z766" s="37">
        <v>0</v>
      </c>
      <c r="AA766" s="37">
        <v>6937009</v>
      </c>
      <c r="AB766" s="37">
        <v>2783769</v>
      </c>
      <c r="AC766" s="37">
        <v>0</v>
      </c>
      <c r="AD766" s="37">
        <v>0</v>
      </c>
      <c r="AE766" s="37">
        <v>0</v>
      </c>
      <c r="AF766" s="168">
        <v>0.02</v>
      </c>
      <c r="AG766" s="37">
        <v>356908326.55000001</v>
      </c>
      <c r="AH766" s="37">
        <v>3410490.61</v>
      </c>
      <c r="AI766" s="37">
        <v>3193110.62</v>
      </c>
      <c r="AJ766" s="37">
        <v>3347175.52</v>
      </c>
      <c r="AK766" s="37">
        <v>3046092.09</v>
      </c>
      <c r="AL766" s="37">
        <v>3107013.94</v>
      </c>
      <c r="AM766" s="37">
        <v>3169154.21</v>
      </c>
      <c r="AN766" s="37">
        <v>3232537.3</v>
      </c>
      <c r="AO766" s="37">
        <v>3297188.04</v>
      </c>
      <c r="AP766" s="37">
        <v>3363131.8</v>
      </c>
      <c r="AQ766" s="37">
        <v>3430394.44</v>
      </c>
      <c r="AR766" s="37">
        <v>32596288.57</v>
      </c>
      <c r="AS766" s="37">
        <v>11314740.15</v>
      </c>
      <c r="AT766" s="37">
        <v>0</v>
      </c>
      <c r="AU766" s="37">
        <v>0</v>
      </c>
      <c r="AV766" s="37">
        <v>0</v>
      </c>
      <c r="AW766" s="37">
        <v>0</v>
      </c>
      <c r="AX766" s="37">
        <v>0</v>
      </c>
      <c r="AY766" s="37">
        <v>0</v>
      </c>
      <c r="AZ766" s="37">
        <v>0</v>
      </c>
      <c r="BA766" s="37">
        <v>0</v>
      </c>
      <c r="BB766" s="37">
        <v>0</v>
      </c>
      <c r="BC766" s="37">
        <v>0</v>
      </c>
      <c r="BD766" s="37">
        <v>0</v>
      </c>
      <c r="BE766" s="37">
        <v>2571101</v>
      </c>
      <c r="BF766" s="37">
        <v>4836335</v>
      </c>
      <c r="BG766" s="37">
        <v>1810994</v>
      </c>
      <c r="BH766" s="37">
        <v>30000</v>
      </c>
      <c r="BI766" s="37">
        <v>30000</v>
      </c>
      <c r="BJ766" s="37">
        <v>258547.64884077851</v>
      </c>
      <c r="BK766" s="37">
        <v>1251989.1665384742</v>
      </c>
      <c r="BL766" s="37">
        <v>1628168.046728991</v>
      </c>
      <c r="BM766" s="37">
        <v>2004346.9269195069</v>
      </c>
      <c r="BN766" s="37">
        <v>2380526.6109722503</v>
      </c>
      <c r="BO766" s="37">
        <v>0</v>
      </c>
      <c r="BP766" s="37">
        <v>14230907.4</v>
      </c>
      <c r="BQ766" s="37">
        <v>2949394</v>
      </c>
      <c r="BR766" s="37">
        <v>613000</v>
      </c>
      <c r="BS766" s="37">
        <v>1600000</v>
      </c>
      <c r="BT766" s="37">
        <v>1500000</v>
      </c>
      <c r="BU766" s="37">
        <v>1400000</v>
      </c>
      <c r="BV766" s="37">
        <v>1300000</v>
      </c>
      <c r="BW766" s="37">
        <v>1200000</v>
      </c>
      <c r="BX766" s="37">
        <v>1000000</v>
      </c>
      <c r="BY766" s="37">
        <v>900000</v>
      </c>
      <c r="BZ766" s="37">
        <v>800000</v>
      </c>
      <c r="CA766" s="37">
        <v>700000</v>
      </c>
      <c r="CB766" s="37">
        <v>11013000</v>
      </c>
      <c r="CC766" s="37">
        <v>45302</v>
      </c>
      <c r="CD766" s="37">
        <v>300000</v>
      </c>
      <c r="CE766" s="37">
        <v>400000</v>
      </c>
      <c r="CF766" s="37">
        <v>500000</v>
      </c>
      <c r="CG766" s="37">
        <v>600000</v>
      </c>
      <c r="CH766" s="37">
        <v>700000</v>
      </c>
      <c r="CI766" s="37">
        <v>800000</v>
      </c>
      <c r="CJ766" s="37">
        <v>1000000</v>
      </c>
      <c r="CK766" s="37">
        <v>1100000</v>
      </c>
      <c r="CL766" s="37">
        <v>1200000</v>
      </c>
      <c r="CM766" s="37">
        <v>1300000</v>
      </c>
      <c r="CN766" s="37">
        <v>7900000</v>
      </c>
      <c r="CO766" s="37">
        <v>0</v>
      </c>
      <c r="CP766" s="37">
        <v>0</v>
      </c>
      <c r="CQ766" s="37">
        <v>0</v>
      </c>
      <c r="CR766" s="37">
        <v>0</v>
      </c>
      <c r="CS766" s="37">
        <v>0</v>
      </c>
      <c r="CT766" s="37">
        <v>0</v>
      </c>
      <c r="CU766" s="37">
        <v>0</v>
      </c>
      <c r="CV766" s="37">
        <v>0</v>
      </c>
      <c r="CW766" s="37">
        <v>0</v>
      </c>
      <c r="CX766" s="37">
        <v>0</v>
      </c>
      <c r="CY766" s="37">
        <v>0</v>
      </c>
      <c r="CZ766" s="37">
        <v>0</v>
      </c>
      <c r="DA766" s="37">
        <v>0</v>
      </c>
      <c r="DB766" s="37">
        <v>0</v>
      </c>
      <c r="DC766" s="37">
        <v>0</v>
      </c>
      <c r="DD766" s="37">
        <v>0</v>
      </c>
      <c r="DE766" s="37">
        <v>0</v>
      </c>
      <c r="DF766" s="37">
        <v>0</v>
      </c>
      <c r="DG766" s="37">
        <v>0</v>
      </c>
      <c r="DH766" s="37">
        <v>0</v>
      </c>
      <c r="DI766" s="37">
        <v>0</v>
      </c>
      <c r="DJ766" s="37">
        <v>0</v>
      </c>
      <c r="DK766" s="37">
        <v>0</v>
      </c>
      <c r="DL766" s="37">
        <v>0</v>
      </c>
      <c r="DM766" s="37">
        <v>0</v>
      </c>
      <c r="DN766" s="37">
        <v>0</v>
      </c>
      <c r="DO766" s="37">
        <v>0</v>
      </c>
      <c r="DP766" s="37">
        <v>0</v>
      </c>
      <c r="DQ766" s="37">
        <v>0</v>
      </c>
      <c r="DR766" s="37">
        <v>0</v>
      </c>
      <c r="DS766" s="37">
        <v>0</v>
      </c>
      <c r="DT766" s="37">
        <v>0</v>
      </c>
      <c r="DU766" s="37">
        <v>0</v>
      </c>
      <c r="DV766" s="37">
        <v>0</v>
      </c>
      <c r="DW766" s="37">
        <v>0</v>
      </c>
      <c r="DX766" s="37">
        <v>0</v>
      </c>
      <c r="DY766" s="37">
        <v>0</v>
      </c>
      <c r="DZ766" s="37">
        <v>0</v>
      </c>
      <c r="EA766" s="37">
        <v>0</v>
      </c>
      <c r="EB766" s="37">
        <v>0</v>
      </c>
      <c r="EC766" s="37">
        <v>0</v>
      </c>
      <c r="ED766" s="37">
        <v>0</v>
      </c>
      <c r="EE766" s="37">
        <v>0</v>
      </c>
      <c r="EF766" s="37">
        <v>0</v>
      </c>
      <c r="EG766" s="37">
        <v>0</v>
      </c>
      <c r="EH766" s="37">
        <v>0</v>
      </c>
      <c r="EI766" s="37">
        <v>0</v>
      </c>
      <c r="EJ766" s="37">
        <v>0</v>
      </c>
      <c r="EK766" s="161" t="s">
        <v>2994</v>
      </c>
      <c r="EL766" s="294" t="s">
        <v>1124</v>
      </c>
    </row>
    <row r="767" spans="1:142" ht="15" customHeight="1" x14ac:dyDescent="0.35">
      <c r="A767" s="34"/>
      <c r="B767" s="313">
        <v>2010</v>
      </c>
      <c r="C767" s="8" t="s">
        <v>1027</v>
      </c>
      <c r="D767" s="18">
        <v>11</v>
      </c>
      <c r="E767" s="155">
        <v>191507</v>
      </c>
      <c r="F767" s="36">
        <v>50403</v>
      </c>
      <c r="G767" s="37">
        <v>0</v>
      </c>
      <c r="H767" s="37">
        <v>3221</v>
      </c>
      <c r="I767" s="37">
        <v>0</v>
      </c>
      <c r="J767" s="37">
        <v>13460</v>
      </c>
      <c r="K767" s="37">
        <v>28726</v>
      </c>
      <c r="L767" s="37">
        <v>7560</v>
      </c>
      <c r="M767" s="37">
        <v>220233</v>
      </c>
      <c r="N767" s="37">
        <v>74644</v>
      </c>
      <c r="O767" s="37">
        <v>0</v>
      </c>
      <c r="P767" s="37">
        <v>0</v>
      </c>
      <c r="Q767" s="37">
        <v>273893</v>
      </c>
      <c r="R767" s="37">
        <v>0</v>
      </c>
      <c r="S767" s="37">
        <v>0</v>
      </c>
      <c r="T767" s="37">
        <v>0</v>
      </c>
      <c r="U767" s="37">
        <v>0</v>
      </c>
      <c r="V767" s="37">
        <v>0</v>
      </c>
      <c r="W767" s="37">
        <v>10492</v>
      </c>
      <c r="X767" s="37">
        <v>10492</v>
      </c>
      <c r="Y767" s="37">
        <v>0</v>
      </c>
      <c r="Z767" s="37">
        <v>0</v>
      </c>
      <c r="AA767" s="37">
        <v>284385</v>
      </c>
      <c r="AB767" s="37">
        <v>10492</v>
      </c>
      <c r="AC767" s="37">
        <v>0</v>
      </c>
      <c r="AD767" s="37">
        <v>0</v>
      </c>
      <c r="AE767" s="37">
        <v>33855</v>
      </c>
      <c r="AF767" s="168">
        <v>0.02</v>
      </c>
      <c r="AG767" s="37">
        <v>13906355.18</v>
      </c>
      <c r="AH767" s="37">
        <v>100449.60000000001</v>
      </c>
      <c r="AI767" s="37">
        <v>630461.59</v>
      </c>
      <c r="AJ767" s="37">
        <v>239811.78</v>
      </c>
      <c r="AK767" s="37">
        <v>106597.92</v>
      </c>
      <c r="AL767" s="37">
        <v>108729.88</v>
      </c>
      <c r="AM767" s="37">
        <v>110904.48</v>
      </c>
      <c r="AN767" s="37">
        <v>113122.56</v>
      </c>
      <c r="AO767" s="37">
        <v>115385.02</v>
      </c>
      <c r="AP767" s="37">
        <v>117692.72</v>
      </c>
      <c r="AQ767" s="37">
        <v>120046.57</v>
      </c>
      <c r="AR767" s="37">
        <v>1763202.12</v>
      </c>
      <c r="AS767" s="37">
        <v>0</v>
      </c>
      <c r="AT767" s="37">
        <v>0</v>
      </c>
      <c r="AU767" s="37">
        <v>0</v>
      </c>
      <c r="AV767" s="37">
        <v>0</v>
      </c>
      <c r="AW767" s="37">
        <v>0</v>
      </c>
      <c r="AX767" s="37">
        <v>0</v>
      </c>
      <c r="AY767" s="37">
        <v>0</v>
      </c>
      <c r="AZ767" s="37">
        <v>0</v>
      </c>
      <c r="BA767" s="37">
        <v>0</v>
      </c>
      <c r="BB767" s="37">
        <v>0</v>
      </c>
      <c r="BC767" s="37">
        <v>0</v>
      </c>
      <c r="BD767" s="37">
        <v>0</v>
      </c>
      <c r="BE767" s="37">
        <v>0</v>
      </c>
      <c r="BF767" s="37">
        <v>635000</v>
      </c>
      <c r="BG767" s="37">
        <v>0</v>
      </c>
      <c r="BH767" s="37">
        <v>0</v>
      </c>
      <c r="BI767" s="37">
        <v>0</v>
      </c>
      <c r="BJ767" s="37">
        <v>0</v>
      </c>
      <c r="BK767" s="37">
        <v>0</v>
      </c>
      <c r="BL767" s="37">
        <v>0</v>
      </c>
      <c r="BM767" s="37">
        <v>0</v>
      </c>
      <c r="BN767" s="37">
        <v>0</v>
      </c>
      <c r="BO767" s="37">
        <v>0</v>
      </c>
      <c r="BP767" s="37">
        <v>635000</v>
      </c>
      <c r="BQ767" s="37">
        <v>0</v>
      </c>
      <c r="BR767" s="37">
        <v>0</v>
      </c>
      <c r="BS767" s="37">
        <v>0</v>
      </c>
      <c r="BT767" s="37">
        <v>0</v>
      </c>
      <c r="BU767" s="37">
        <v>0</v>
      </c>
      <c r="BV767" s="37">
        <v>0</v>
      </c>
      <c r="BW767" s="37">
        <v>0</v>
      </c>
      <c r="BX767" s="37">
        <v>0</v>
      </c>
      <c r="BY767" s="37">
        <v>0</v>
      </c>
      <c r="BZ767" s="37">
        <v>0</v>
      </c>
      <c r="CA767" s="37">
        <v>0</v>
      </c>
      <c r="CB767" s="37">
        <v>0</v>
      </c>
      <c r="CC767" s="37">
        <v>0</v>
      </c>
      <c r="CD767" s="37">
        <v>0</v>
      </c>
      <c r="CE767" s="37">
        <v>0</v>
      </c>
      <c r="CF767" s="37">
        <v>0</v>
      </c>
      <c r="CG767" s="37">
        <v>0</v>
      </c>
      <c r="CH767" s="37">
        <v>0</v>
      </c>
      <c r="CI767" s="37">
        <v>0</v>
      </c>
      <c r="CJ767" s="37">
        <v>0</v>
      </c>
      <c r="CK767" s="37">
        <v>0</v>
      </c>
      <c r="CL767" s="37">
        <v>0</v>
      </c>
      <c r="CM767" s="37">
        <v>0</v>
      </c>
      <c r="CN767" s="37">
        <v>0</v>
      </c>
      <c r="CO767" s="37">
        <v>0</v>
      </c>
      <c r="CP767" s="37">
        <v>0</v>
      </c>
      <c r="CQ767" s="37">
        <v>0</v>
      </c>
      <c r="CR767" s="37">
        <v>0</v>
      </c>
      <c r="CS767" s="37">
        <v>0</v>
      </c>
      <c r="CT767" s="37">
        <v>0</v>
      </c>
      <c r="CU767" s="37">
        <v>0</v>
      </c>
      <c r="CV767" s="37">
        <v>0</v>
      </c>
      <c r="CW767" s="37">
        <v>0</v>
      </c>
      <c r="CX767" s="37">
        <v>0</v>
      </c>
      <c r="CY767" s="37">
        <v>0</v>
      </c>
      <c r="CZ767" s="37">
        <v>0</v>
      </c>
      <c r="DA767" s="37">
        <v>0</v>
      </c>
      <c r="DB767" s="37">
        <v>0</v>
      </c>
      <c r="DC767" s="37">
        <v>0</v>
      </c>
      <c r="DD767" s="37">
        <v>0</v>
      </c>
      <c r="DE767" s="37">
        <v>0</v>
      </c>
      <c r="DF767" s="37">
        <v>0</v>
      </c>
      <c r="DG767" s="37">
        <v>0</v>
      </c>
      <c r="DH767" s="37">
        <v>0</v>
      </c>
      <c r="DI767" s="37">
        <v>0</v>
      </c>
      <c r="DJ767" s="37">
        <v>0</v>
      </c>
      <c r="DK767" s="37">
        <v>0</v>
      </c>
      <c r="DL767" s="37">
        <v>0</v>
      </c>
      <c r="DM767" s="37">
        <v>0</v>
      </c>
      <c r="DN767" s="37">
        <v>0</v>
      </c>
      <c r="DO767" s="37">
        <v>0</v>
      </c>
      <c r="DP767" s="37">
        <v>0</v>
      </c>
      <c r="DQ767" s="37">
        <v>0</v>
      </c>
      <c r="DR767" s="37">
        <v>0</v>
      </c>
      <c r="DS767" s="37">
        <v>0</v>
      </c>
      <c r="DT767" s="37">
        <v>0</v>
      </c>
      <c r="DU767" s="37">
        <v>0</v>
      </c>
      <c r="DV767" s="37">
        <v>0</v>
      </c>
      <c r="DW767" s="37">
        <v>0</v>
      </c>
      <c r="DX767" s="37">
        <v>0</v>
      </c>
      <c r="DY767" s="37">
        <v>0</v>
      </c>
      <c r="DZ767" s="37">
        <v>0</v>
      </c>
      <c r="EA767" s="37">
        <v>0</v>
      </c>
      <c r="EB767" s="37">
        <v>0</v>
      </c>
      <c r="EC767" s="37">
        <v>0</v>
      </c>
      <c r="ED767" s="37">
        <v>0</v>
      </c>
      <c r="EE767" s="37">
        <v>0</v>
      </c>
      <c r="EF767" s="37">
        <v>0</v>
      </c>
      <c r="EG767" s="37">
        <v>0</v>
      </c>
      <c r="EH767" s="37">
        <v>0</v>
      </c>
      <c r="EI767" s="37">
        <v>0</v>
      </c>
      <c r="EJ767" s="37">
        <v>0</v>
      </c>
      <c r="EK767" s="161" t="s">
        <v>2997</v>
      </c>
      <c r="EL767" s="294" t="s">
        <v>1124</v>
      </c>
    </row>
    <row r="768" spans="1:142" ht="15" customHeight="1" x14ac:dyDescent="0.35">
      <c r="A768" s="34"/>
      <c r="B768" s="313">
        <v>83055</v>
      </c>
      <c r="C768" s="8" t="s">
        <v>843</v>
      </c>
      <c r="D768" s="18">
        <v>7</v>
      </c>
      <c r="E768" s="155"/>
      <c r="F768" s="36"/>
      <c r="G768" s="37"/>
      <c r="H768" s="37"/>
      <c r="I768" s="37"/>
      <c r="J768" s="37"/>
      <c r="K768" s="37"/>
      <c r="L768" s="37"/>
      <c r="M768" s="37" t="s">
        <v>1124</v>
      </c>
      <c r="N768" s="37" t="s">
        <v>1124</v>
      </c>
      <c r="O768" s="37"/>
      <c r="P768" s="37"/>
      <c r="Q768" s="37"/>
      <c r="R768" s="37"/>
      <c r="S768" s="37"/>
      <c r="T768" s="37"/>
      <c r="U768" s="37"/>
      <c r="V768" s="37"/>
      <c r="W768" s="37"/>
      <c r="X768" s="37"/>
      <c r="Y768" s="37"/>
      <c r="Z768" s="37"/>
      <c r="AA768" s="37" t="s">
        <v>1124</v>
      </c>
      <c r="AB768" s="37" t="s">
        <v>1124</v>
      </c>
      <c r="AC768" s="37"/>
      <c r="AD768" s="37"/>
      <c r="AE768" s="37"/>
      <c r="AF768" s="168"/>
      <c r="AG768" s="37"/>
      <c r="AH768" s="37"/>
      <c r="AI768" s="37"/>
      <c r="AJ768" s="37"/>
      <c r="AK768" s="37"/>
      <c r="AL768" s="37"/>
      <c r="AM768" s="37"/>
      <c r="AN768" s="37"/>
      <c r="AO768" s="37"/>
      <c r="AP768" s="37"/>
      <c r="AQ768" s="37"/>
      <c r="AR768" s="37" t="s">
        <v>1124</v>
      </c>
      <c r="AS768" s="37"/>
      <c r="AT768" s="37"/>
      <c r="AU768" s="37"/>
      <c r="AV768" s="37"/>
      <c r="AW768" s="37"/>
      <c r="AX768" s="37"/>
      <c r="AY768" s="37"/>
      <c r="AZ768" s="37"/>
      <c r="BA768" s="37"/>
      <c r="BB768" s="37"/>
      <c r="BC768" s="37"/>
      <c r="BD768" s="37" t="s">
        <v>1124</v>
      </c>
      <c r="BE768" s="37"/>
      <c r="BF768" s="37"/>
      <c r="BG768" s="37"/>
      <c r="BH768" s="37"/>
      <c r="BI768" s="37"/>
      <c r="BJ768" s="37"/>
      <c r="BK768" s="37"/>
      <c r="BL768" s="37"/>
      <c r="BM768" s="37"/>
      <c r="BN768" s="37"/>
      <c r="BO768" s="37"/>
      <c r="BP768" s="37">
        <v>0</v>
      </c>
      <c r="BQ768" s="37"/>
      <c r="BR768" s="37"/>
      <c r="BS768" s="37"/>
      <c r="BT768" s="37"/>
      <c r="BU768" s="37"/>
      <c r="BV768" s="37"/>
      <c r="BW768" s="37"/>
      <c r="BX768" s="37"/>
      <c r="BY768" s="37"/>
      <c r="BZ768" s="37"/>
      <c r="CA768" s="37"/>
      <c r="CB768" s="37" t="s">
        <v>1124</v>
      </c>
      <c r="CC768" s="37"/>
      <c r="CD768" s="37"/>
      <c r="CE768" s="37"/>
      <c r="CF768" s="37"/>
      <c r="CG768" s="37"/>
      <c r="CH768" s="37"/>
      <c r="CI768" s="37"/>
      <c r="CJ768" s="37"/>
      <c r="CK768" s="37"/>
      <c r="CL768" s="37"/>
      <c r="CM768" s="37"/>
      <c r="CN768" s="37" t="s">
        <v>1124</v>
      </c>
      <c r="CO768" s="37"/>
      <c r="CP768" s="37"/>
      <c r="CQ768" s="37"/>
      <c r="CR768" s="37"/>
      <c r="CS768" s="37"/>
      <c r="CT768" s="37"/>
      <c r="CU768" s="37"/>
      <c r="CV768" s="37"/>
      <c r="CW768" s="37"/>
      <c r="CX768" s="37"/>
      <c r="CY768" s="37"/>
      <c r="CZ768" s="37" t="s">
        <v>1124</v>
      </c>
      <c r="DA768" s="37"/>
      <c r="DB768" s="37"/>
      <c r="DC768" s="37"/>
      <c r="DD768" s="37"/>
      <c r="DE768" s="37"/>
      <c r="DF768" s="37"/>
      <c r="DG768" s="37"/>
      <c r="DH768" s="37"/>
      <c r="DI768" s="37"/>
      <c r="DJ768" s="37"/>
      <c r="DK768" s="37"/>
      <c r="DL768" s="37" t="s">
        <v>1124</v>
      </c>
      <c r="DM768" s="37"/>
      <c r="DN768" s="37"/>
      <c r="DO768" s="37"/>
      <c r="DP768" s="37"/>
      <c r="DQ768" s="37"/>
      <c r="DR768" s="37"/>
      <c r="DS768" s="37"/>
      <c r="DT768" s="37"/>
      <c r="DU768" s="37"/>
      <c r="DV768" s="37"/>
      <c r="DW768" s="37"/>
      <c r="DX768" s="37" t="s">
        <v>1124</v>
      </c>
      <c r="DY768" s="37"/>
      <c r="DZ768" s="37"/>
      <c r="EA768" s="37"/>
      <c r="EB768" s="37"/>
      <c r="EC768" s="37"/>
      <c r="ED768" s="37"/>
      <c r="EE768" s="37"/>
      <c r="EF768" s="37"/>
      <c r="EG768" s="37"/>
      <c r="EH768" s="37"/>
      <c r="EI768" s="37"/>
      <c r="EJ768" s="37" t="s">
        <v>1124</v>
      </c>
      <c r="EK768" s="161"/>
      <c r="EL768" s="294"/>
    </row>
    <row r="769" spans="1:142" ht="15" customHeight="1" x14ac:dyDescent="0.35">
      <c r="A769" s="34"/>
      <c r="B769" s="313">
        <v>70030</v>
      </c>
      <c r="C769" s="8" t="s">
        <v>700</v>
      </c>
      <c r="D769" s="18">
        <v>16</v>
      </c>
      <c r="E769" s="155"/>
      <c r="F769" s="36"/>
      <c r="G769" s="37"/>
      <c r="H769" s="37"/>
      <c r="I769" s="37"/>
      <c r="J769" s="37"/>
      <c r="K769" s="37"/>
      <c r="L769" s="37"/>
      <c r="M769" s="37" t="s">
        <v>1124</v>
      </c>
      <c r="N769" s="37" t="s">
        <v>1124</v>
      </c>
      <c r="O769" s="37"/>
      <c r="P769" s="37"/>
      <c r="Q769" s="37"/>
      <c r="R769" s="37"/>
      <c r="S769" s="37"/>
      <c r="T769" s="37"/>
      <c r="U769" s="37"/>
      <c r="V769" s="37"/>
      <c r="W769" s="37"/>
      <c r="X769" s="37"/>
      <c r="Y769" s="37"/>
      <c r="Z769" s="37"/>
      <c r="AA769" s="37" t="s">
        <v>1124</v>
      </c>
      <c r="AB769" s="37" t="s">
        <v>1124</v>
      </c>
      <c r="AC769" s="37"/>
      <c r="AD769" s="37"/>
      <c r="AE769" s="37"/>
      <c r="AF769" s="168"/>
      <c r="AG769" s="37"/>
      <c r="AH769" s="37"/>
      <c r="AI769" s="37"/>
      <c r="AJ769" s="37"/>
      <c r="AK769" s="37"/>
      <c r="AL769" s="37"/>
      <c r="AM769" s="37"/>
      <c r="AN769" s="37"/>
      <c r="AO769" s="37"/>
      <c r="AP769" s="37"/>
      <c r="AQ769" s="37"/>
      <c r="AR769" s="37" t="s">
        <v>1124</v>
      </c>
      <c r="AS769" s="37"/>
      <c r="AT769" s="37"/>
      <c r="AU769" s="37"/>
      <c r="AV769" s="37"/>
      <c r="AW769" s="37"/>
      <c r="AX769" s="37"/>
      <c r="AY769" s="37"/>
      <c r="AZ769" s="37"/>
      <c r="BA769" s="37"/>
      <c r="BB769" s="37"/>
      <c r="BC769" s="37"/>
      <c r="BD769" s="37" t="s">
        <v>1124</v>
      </c>
      <c r="BE769" s="37"/>
      <c r="BF769" s="37"/>
      <c r="BG769" s="37"/>
      <c r="BH769" s="37"/>
      <c r="BI769" s="37"/>
      <c r="BJ769" s="37"/>
      <c r="BK769" s="37"/>
      <c r="BL769" s="37"/>
      <c r="BM769" s="37"/>
      <c r="BN769" s="37"/>
      <c r="BO769" s="37"/>
      <c r="BP769" s="37">
        <v>0</v>
      </c>
      <c r="BQ769" s="37"/>
      <c r="BR769" s="37"/>
      <c r="BS769" s="37"/>
      <c r="BT769" s="37"/>
      <c r="BU769" s="37"/>
      <c r="BV769" s="37"/>
      <c r="BW769" s="37"/>
      <c r="BX769" s="37"/>
      <c r="BY769" s="37"/>
      <c r="BZ769" s="37"/>
      <c r="CA769" s="37"/>
      <c r="CB769" s="37" t="s">
        <v>1124</v>
      </c>
      <c r="CC769" s="37"/>
      <c r="CD769" s="37"/>
      <c r="CE769" s="37"/>
      <c r="CF769" s="37"/>
      <c r="CG769" s="37"/>
      <c r="CH769" s="37"/>
      <c r="CI769" s="37"/>
      <c r="CJ769" s="37"/>
      <c r="CK769" s="37"/>
      <c r="CL769" s="37"/>
      <c r="CM769" s="37"/>
      <c r="CN769" s="37" t="s">
        <v>1124</v>
      </c>
      <c r="CO769" s="37"/>
      <c r="CP769" s="37"/>
      <c r="CQ769" s="37"/>
      <c r="CR769" s="37"/>
      <c r="CS769" s="37"/>
      <c r="CT769" s="37"/>
      <c r="CU769" s="37"/>
      <c r="CV769" s="37"/>
      <c r="CW769" s="37"/>
      <c r="CX769" s="37"/>
      <c r="CY769" s="37"/>
      <c r="CZ769" s="37" t="s">
        <v>1124</v>
      </c>
      <c r="DA769" s="37"/>
      <c r="DB769" s="37"/>
      <c r="DC769" s="37"/>
      <c r="DD769" s="37"/>
      <c r="DE769" s="37"/>
      <c r="DF769" s="37"/>
      <c r="DG769" s="37"/>
      <c r="DH769" s="37"/>
      <c r="DI769" s="37"/>
      <c r="DJ769" s="37"/>
      <c r="DK769" s="37"/>
      <c r="DL769" s="37" t="s">
        <v>1124</v>
      </c>
      <c r="DM769" s="37"/>
      <c r="DN769" s="37"/>
      <c r="DO769" s="37"/>
      <c r="DP769" s="37"/>
      <c r="DQ769" s="37"/>
      <c r="DR769" s="37"/>
      <c r="DS769" s="37"/>
      <c r="DT769" s="37"/>
      <c r="DU769" s="37"/>
      <c r="DV769" s="37"/>
      <c r="DW769" s="37"/>
      <c r="DX769" s="37" t="s">
        <v>1124</v>
      </c>
      <c r="DY769" s="37"/>
      <c r="DZ769" s="37"/>
      <c r="EA769" s="37"/>
      <c r="EB769" s="37"/>
      <c r="EC769" s="37"/>
      <c r="ED769" s="37"/>
      <c r="EE769" s="37"/>
      <c r="EF769" s="37"/>
      <c r="EG769" s="37"/>
      <c r="EH769" s="37"/>
      <c r="EI769" s="37"/>
      <c r="EJ769" s="37" t="s">
        <v>1124</v>
      </c>
      <c r="EK769" s="161"/>
      <c r="EL769" s="294"/>
    </row>
    <row r="770" spans="1:142" ht="15" customHeight="1" x14ac:dyDescent="0.35">
      <c r="A770" s="34"/>
      <c r="B770" s="313">
        <v>45100</v>
      </c>
      <c r="C770" s="8" t="s">
        <v>424</v>
      </c>
      <c r="D770" s="18">
        <v>5</v>
      </c>
      <c r="E770" s="155"/>
      <c r="F770" s="36"/>
      <c r="G770" s="37"/>
      <c r="H770" s="37"/>
      <c r="I770" s="37"/>
      <c r="J770" s="37"/>
      <c r="K770" s="37"/>
      <c r="L770" s="37"/>
      <c r="M770" s="37" t="s">
        <v>1124</v>
      </c>
      <c r="N770" s="37" t="s">
        <v>1124</v>
      </c>
      <c r="O770" s="37"/>
      <c r="P770" s="37"/>
      <c r="Q770" s="37"/>
      <c r="R770" s="37"/>
      <c r="S770" s="37"/>
      <c r="T770" s="37"/>
      <c r="U770" s="37"/>
      <c r="V770" s="37"/>
      <c r="W770" s="37"/>
      <c r="X770" s="37"/>
      <c r="Y770" s="37"/>
      <c r="Z770" s="37"/>
      <c r="AA770" s="37" t="s">
        <v>1124</v>
      </c>
      <c r="AB770" s="37" t="s">
        <v>1124</v>
      </c>
      <c r="AC770" s="37"/>
      <c r="AD770" s="37"/>
      <c r="AE770" s="37"/>
      <c r="AF770" s="168"/>
      <c r="AG770" s="37"/>
      <c r="AH770" s="37"/>
      <c r="AI770" s="37"/>
      <c r="AJ770" s="37"/>
      <c r="AK770" s="37"/>
      <c r="AL770" s="37"/>
      <c r="AM770" s="37"/>
      <c r="AN770" s="37"/>
      <c r="AO770" s="37"/>
      <c r="AP770" s="37"/>
      <c r="AQ770" s="37"/>
      <c r="AR770" s="37" t="s">
        <v>1124</v>
      </c>
      <c r="AS770" s="37"/>
      <c r="AT770" s="37"/>
      <c r="AU770" s="37"/>
      <c r="AV770" s="37"/>
      <c r="AW770" s="37"/>
      <c r="AX770" s="37"/>
      <c r="AY770" s="37"/>
      <c r="AZ770" s="37"/>
      <c r="BA770" s="37"/>
      <c r="BB770" s="37"/>
      <c r="BC770" s="37"/>
      <c r="BD770" s="37" t="s">
        <v>1124</v>
      </c>
      <c r="BE770" s="37"/>
      <c r="BF770" s="37"/>
      <c r="BG770" s="37"/>
      <c r="BH770" s="37"/>
      <c r="BI770" s="37"/>
      <c r="BJ770" s="37"/>
      <c r="BK770" s="37"/>
      <c r="BL770" s="37"/>
      <c r="BM770" s="37"/>
      <c r="BN770" s="37"/>
      <c r="BO770" s="37"/>
      <c r="BP770" s="37">
        <v>0</v>
      </c>
      <c r="BQ770" s="37"/>
      <c r="BR770" s="37"/>
      <c r="BS770" s="37"/>
      <c r="BT770" s="37"/>
      <c r="BU770" s="37"/>
      <c r="BV770" s="37"/>
      <c r="BW770" s="37"/>
      <c r="BX770" s="37"/>
      <c r="BY770" s="37"/>
      <c r="BZ770" s="37"/>
      <c r="CA770" s="37"/>
      <c r="CB770" s="37" t="s">
        <v>1124</v>
      </c>
      <c r="CC770" s="37"/>
      <c r="CD770" s="37"/>
      <c r="CE770" s="37"/>
      <c r="CF770" s="37"/>
      <c r="CG770" s="37"/>
      <c r="CH770" s="37"/>
      <c r="CI770" s="37"/>
      <c r="CJ770" s="37"/>
      <c r="CK770" s="37"/>
      <c r="CL770" s="37"/>
      <c r="CM770" s="37"/>
      <c r="CN770" s="37" t="s">
        <v>1124</v>
      </c>
      <c r="CO770" s="37"/>
      <c r="CP770" s="37"/>
      <c r="CQ770" s="37"/>
      <c r="CR770" s="37"/>
      <c r="CS770" s="37"/>
      <c r="CT770" s="37"/>
      <c r="CU770" s="37"/>
      <c r="CV770" s="37"/>
      <c r="CW770" s="37"/>
      <c r="CX770" s="37"/>
      <c r="CY770" s="37"/>
      <c r="CZ770" s="37" t="s">
        <v>1124</v>
      </c>
      <c r="DA770" s="37"/>
      <c r="DB770" s="37"/>
      <c r="DC770" s="37"/>
      <c r="DD770" s="37"/>
      <c r="DE770" s="37"/>
      <c r="DF770" s="37"/>
      <c r="DG770" s="37"/>
      <c r="DH770" s="37"/>
      <c r="DI770" s="37"/>
      <c r="DJ770" s="37"/>
      <c r="DK770" s="37"/>
      <c r="DL770" s="37" t="s">
        <v>1124</v>
      </c>
      <c r="DM770" s="37"/>
      <c r="DN770" s="37"/>
      <c r="DO770" s="37"/>
      <c r="DP770" s="37"/>
      <c r="DQ770" s="37"/>
      <c r="DR770" s="37"/>
      <c r="DS770" s="37"/>
      <c r="DT770" s="37"/>
      <c r="DU770" s="37"/>
      <c r="DV770" s="37"/>
      <c r="DW770" s="37"/>
      <c r="DX770" s="37" t="s">
        <v>1124</v>
      </c>
      <c r="DY770" s="37"/>
      <c r="DZ770" s="37"/>
      <c r="EA770" s="37"/>
      <c r="EB770" s="37"/>
      <c r="EC770" s="37"/>
      <c r="ED770" s="37"/>
      <c r="EE770" s="37"/>
      <c r="EF770" s="37"/>
      <c r="EG770" s="37"/>
      <c r="EH770" s="37"/>
      <c r="EI770" s="37"/>
      <c r="EJ770" s="37" t="s">
        <v>1124</v>
      </c>
      <c r="EK770" s="161"/>
      <c r="EL770" s="294"/>
    </row>
    <row r="771" spans="1:142" ht="15" customHeight="1" x14ac:dyDescent="0.35">
      <c r="A771" s="34"/>
      <c r="B771" s="313">
        <v>51090</v>
      </c>
      <c r="C771" s="8" t="s">
        <v>514</v>
      </c>
      <c r="D771" s="18">
        <v>4</v>
      </c>
      <c r="E771" s="155">
        <v>181515</v>
      </c>
      <c r="F771" s="36">
        <v>87803.75</v>
      </c>
      <c r="G771" s="37">
        <v>26270</v>
      </c>
      <c r="H771" s="37">
        <v>13727</v>
      </c>
      <c r="I771" s="37">
        <v>72761</v>
      </c>
      <c r="J771" s="37">
        <v>35555</v>
      </c>
      <c r="K771" s="37">
        <v>10607</v>
      </c>
      <c r="L771" s="37">
        <v>4621.25</v>
      </c>
      <c r="M771" s="37">
        <v>291153</v>
      </c>
      <c r="N771" s="37">
        <v>141707</v>
      </c>
      <c r="O771" s="37">
        <v>0</v>
      </c>
      <c r="P771" s="37">
        <v>0</v>
      </c>
      <c r="Q771" s="37">
        <v>204097</v>
      </c>
      <c r="R771" s="37">
        <v>119663</v>
      </c>
      <c r="S771" s="37">
        <v>1942</v>
      </c>
      <c r="T771" s="37">
        <v>0</v>
      </c>
      <c r="U771" s="37">
        <v>89766</v>
      </c>
      <c r="V771" s="37">
        <v>51457</v>
      </c>
      <c r="W771" s="37">
        <v>0</v>
      </c>
      <c r="X771" s="37">
        <v>0</v>
      </c>
      <c r="Y771" s="37">
        <v>18533</v>
      </c>
      <c r="Z771" s="37">
        <v>0</v>
      </c>
      <c r="AA771" s="37">
        <v>314338</v>
      </c>
      <c r="AB771" s="37">
        <v>171120</v>
      </c>
      <c r="AC771" s="37">
        <v>52598</v>
      </c>
      <c r="AD771" s="37">
        <v>50209</v>
      </c>
      <c r="AE771" s="37">
        <v>38349</v>
      </c>
      <c r="AF771" s="168">
        <v>0.02</v>
      </c>
      <c r="AG771" s="37">
        <v>66917680.920000002</v>
      </c>
      <c r="AH771" s="37">
        <v>559833.31999999995</v>
      </c>
      <c r="AI771" s="37">
        <v>571029.99</v>
      </c>
      <c r="AJ771" s="37">
        <v>582450.59</v>
      </c>
      <c r="AK771" s="37">
        <v>594099.6</v>
      </c>
      <c r="AL771" s="37">
        <v>605981.59</v>
      </c>
      <c r="AM771" s="37">
        <v>618101.22</v>
      </c>
      <c r="AN771" s="37">
        <v>630463.25</v>
      </c>
      <c r="AO771" s="37">
        <v>643072.51</v>
      </c>
      <c r="AP771" s="37">
        <v>655933.96</v>
      </c>
      <c r="AQ771" s="37">
        <v>669052.64</v>
      </c>
      <c r="AR771" s="37">
        <v>6130018.6699999999</v>
      </c>
      <c r="AS771" s="37">
        <v>5570447.46</v>
      </c>
      <c r="AT771" s="37">
        <v>0</v>
      </c>
      <c r="AU771" s="37">
        <v>124848</v>
      </c>
      <c r="AV771" s="37">
        <v>0</v>
      </c>
      <c r="AW771" s="37">
        <v>0</v>
      </c>
      <c r="AX771" s="37">
        <v>0</v>
      </c>
      <c r="AY771" s="37">
        <v>0</v>
      </c>
      <c r="AZ771" s="37">
        <v>0</v>
      </c>
      <c r="BA771" s="37">
        <v>0</v>
      </c>
      <c r="BB771" s="37">
        <v>0</v>
      </c>
      <c r="BC771" s="37">
        <v>0</v>
      </c>
      <c r="BD771" s="37">
        <v>124848</v>
      </c>
      <c r="BE771" s="37">
        <v>0</v>
      </c>
      <c r="BF771" s="37">
        <v>280000</v>
      </c>
      <c r="BG771" s="37">
        <v>689755</v>
      </c>
      <c r="BH771" s="37">
        <v>314256</v>
      </c>
      <c r="BI771" s="37">
        <v>0</v>
      </c>
      <c r="BJ771" s="37">
        <v>62808.983744920828</v>
      </c>
      <c r="BK771" s="37">
        <v>304145.74474958202</v>
      </c>
      <c r="BL771" s="37">
        <v>395530.8850786637</v>
      </c>
      <c r="BM771" s="37">
        <v>486916.02540774521</v>
      </c>
      <c r="BN771" s="37">
        <v>578301.3610190883</v>
      </c>
      <c r="BO771" s="37">
        <v>0</v>
      </c>
      <c r="BP771" s="37">
        <v>3111714</v>
      </c>
      <c r="BQ771" s="37">
        <v>0</v>
      </c>
      <c r="BR771" s="37">
        <v>42000</v>
      </c>
      <c r="BS771" s="37">
        <v>103463.25</v>
      </c>
      <c r="BT771" s="37">
        <v>47138.400000000001</v>
      </c>
      <c r="BU771" s="37">
        <v>0</v>
      </c>
      <c r="BV771" s="37">
        <v>9421.3475617381246</v>
      </c>
      <c r="BW771" s="37">
        <v>45621.861712437305</v>
      </c>
      <c r="BX771" s="37">
        <v>59329.632761799556</v>
      </c>
      <c r="BY771" s="37">
        <v>73037.403811161785</v>
      </c>
      <c r="BZ771" s="37">
        <v>86745.20415286324</v>
      </c>
      <c r="CA771" s="37">
        <v>0</v>
      </c>
      <c r="CB771" s="37">
        <v>466757.10000000003</v>
      </c>
      <c r="CC771" s="37">
        <v>0</v>
      </c>
      <c r="CD771" s="37">
        <v>0</v>
      </c>
      <c r="CE771" s="37">
        <v>0</v>
      </c>
      <c r="CF771" s="37">
        <v>0</v>
      </c>
      <c r="CG771" s="37">
        <v>0</v>
      </c>
      <c r="CH771" s="37">
        <v>0</v>
      </c>
      <c r="CI771" s="37">
        <v>0</v>
      </c>
      <c r="CJ771" s="37">
        <v>0</v>
      </c>
      <c r="CK771" s="37">
        <v>0</v>
      </c>
      <c r="CL771" s="37">
        <v>0</v>
      </c>
      <c r="CM771" s="37">
        <v>0</v>
      </c>
      <c r="CN771" s="37">
        <v>0</v>
      </c>
      <c r="CO771" s="37">
        <v>251245</v>
      </c>
      <c r="CP771" s="37">
        <v>0</v>
      </c>
      <c r="CQ771" s="37">
        <v>0</v>
      </c>
      <c r="CR771" s="37">
        <v>0</v>
      </c>
      <c r="CS771" s="37">
        <v>0</v>
      </c>
      <c r="CT771" s="37">
        <v>0</v>
      </c>
      <c r="CU771" s="37">
        <v>0</v>
      </c>
      <c r="CV771" s="37">
        <v>0</v>
      </c>
      <c r="CW771" s="37">
        <v>0</v>
      </c>
      <c r="CX771" s="37">
        <v>0</v>
      </c>
      <c r="CY771" s="37">
        <v>0</v>
      </c>
      <c r="CZ771" s="37">
        <v>0</v>
      </c>
      <c r="DA771" s="37">
        <v>0</v>
      </c>
      <c r="DB771" s="37">
        <v>0</v>
      </c>
      <c r="DC771" s="37">
        <v>0</v>
      </c>
      <c r="DD771" s="37">
        <v>0</v>
      </c>
      <c r="DE771" s="37">
        <v>0</v>
      </c>
      <c r="DF771" s="37">
        <v>0</v>
      </c>
      <c r="DG771" s="37">
        <v>0</v>
      </c>
      <c r="DH771" s="37">
        <v>0</v>
      </c>
      <c r="DI771" s="37">
        <v>0</v>
      </c>
      <c r="DJ771" s="37">
        <v>0</v>
      </c>
      <c r="DK771" s="37">
        <v>0</v>
      </c>
      <c r="DL771" s="37">
        <v>0</v>
      </c>
      <c r="DM771" s="37">
        <v>262245</v>
      </c>
      <c r="DN771" s="37">
        <v>0</v>
      </c>
      <c r="DO771" s="37">
        <v>0</v>
      </c>
      <c r="DP771" s="37">
        <v>0</v>
      </c>
      <c r="DQ771" s="37">
        <v>0</v>
      </c>
      <c r="DR771" s="37">
        <v>0</v>
      </c>
      <c r="DS771" s="37">
        <v>0</v>
      </c>
      <c r="DT771" s="37">
        <v>0</v>
      </c>
      <c r="DU771" s="37">
        <v>0</v>
      </c>
      <c r="DV771" s="37">
        <v>0</v>
      </c>
      <c r="DW771" s="37">
        <v>0</v>
      </c>
      <c r="DX771" s="37">
        <v>0</v>
      </c>
      <c r="DY771" s="37">
        <v>0</v>
      </c>
      <c r="DZ771" s="37">
        <v>0</v>
      </c>
      <c r="EA771" s="37">
        <v>0</v>
      </c>
      <c r="EB771" s="37">
        <v>0</v>
      </c>
      <c r="EC771" s="37">
        <v>0</v>
      </c>
      <c r="ED771" s="37">
        <v>0</v>
      </c>
      <c r="EE771" s="37">
        <v>0</v>
      </c>
      <c r="EF771" s="37">
        <v>0</v>
      </c>
      <c r="EG771" s="37">
        <v>0</v>
      </c>
      <c r="EH771" s="37">
        <v>0</v>
      </c>
      <c r="EI771" s="37">
        <v>0</v>
      </c>
      <c r="EJ771" s="37">
        <v>0</v>
      </c>
      <c r="EK771" s="161" t="s">
        <v>3000</v>
      </c>
      <c r="EL771" s="294" t="s">
        <v>1124</v>
      </c>
    </row>
    <row r="772" spans="1:142" ht="15" customHeight="1" x14ac:dyDescent="0.35">
      <c r="A772" s="34"/>
      <c r="B772" s="313">
        <v>49105</v>
      </c>
      <c r="C772" s="8" t="s">
        <v>478</v>
      </c>
      <c r="D772" s="18">
        <v>17</v>
      </c>
      <c r="E772" s="155"/>
      <c r="F772" s="36"/>
      <c r="G772" s="37"/>
      <c r="H772" s="37"/>
      <c r="I772" s="37"/>
      <c r="J772" s="37"/>
      <c r="K772" s="37"/>
      <c r="L772" s="37"/>
      <c r="M772" s="37" t="s">
        <v>1124</v>
      </c>
      <c r="N772" s="37" t="s">
        <v>1124</v>
      </c>
      <c r="O772" s="37"/>
      <c r="P772" s="37"/>
      <c r="Q772" s="37"/>
      <c r="R772" s="37"/>
      <c r="S772" s="37"/>
      <c r="T772" s="37"/>
      <c r="U772" s="37"/>
      <c r="V772" s="37"/>
      <c r="W772" s="37"/>
      <c r="X772" s="37"/>
      <c r="Y772" s="37"/>
      <c r="Z772" s="37"/>
      <c r="AA772" s="37" t="s">
        <v>1124</v>
      </c>
      <c r="AB772" s="37" t="s">
        <v>1124</v>
      </c>
      <c r="AC772" s="37"/>
      <c r="AD772" s="37"/>
      <c r="AE772" s="37"/>
      <c r="AF772" s="168"/>
      <c r="AG772" s="37"/>
      <c r="AH772" s="37"/>
      <c r="AI772" s="37"/>
      <c r="AJ772" s="37"/>
      <c r="AK772" s="37"/>
      <c r="AL772" s="37"/>
      <c r="AM772" s="37"/>
      <c r="AN772" s="37"/>
      <c r="AO772" s="37"/>
      <c r="AP772" s="37"/>
      <c r="AQ772" s="37"/>
      <c r="AR772" s="37" t="s">
        <v>1124</v>
      </c>
      <c r="AS772" s="37"/>
      <c r="AT772" s="37"/>
      <c r="AU772" s="37"/>
      <c r="AV772" s="37"/>
      <c r="AW772" s="37"/>
      <c r="AX772" s="37"/>
      <c r="AY772" s="37"/>
      <c r="AZ772" s="37"/>
      <c r="BA772" s="37"/>
      <c r="BB772" s="37"/>
      <c r="BC772" s="37"/>
      <c r="BD772" s="37" t="s">
        <v>1124</v>
      </c>
      <c r="BE772" s="37"/>
      <c r="BF772" s="37"/>
      <c r="BG772" s="37"/>
      <c r="BH772" s="37"/>
      <c r="BI772" s="37"/>
      <c r="BJ772" s="37"/>
      <c r="BK772" s="37"/>
      <c r="BL772" s="37"/>
      <c r="BM772" s="37"/>
      <c r="BN772" s="37"/>
      <c r="BO772" s="37"/>
      <c r="BP772" s="37">
        <v>0</v>
      </c>
      <c r="BQ772" s="37"/>
      <c r="BR772" s="37"/>
      <c r="BS772" s="37"/>
      <c r="BT772" s="37"/>
      <c r="BU772" s="37"/>
      <c r="BV772" s="37"/>
      <c r="BW772" s="37"/>
      <c r="BX772" s="37"/>
      <c r="BY772" s="37"/>
      <c r="BZ772" s="37"/>
      <c r="CA772" s="37"/>
      <c r="CB772" s="37" t="s">
        <v>1124</v>
      </c>
      <c r="CC772" s="37"/>
      <c r="CD772" s="37"/>
      <c r="CE772" s="37"/>
      <c r="CF772" s="37"/>
      <c r="CG772" s="37"/>
      <c r="CH772" s="37"/>
      <c r="CI772" s="37"/>
      <c r="CJ772" s="37"/>
      <c r="CK772" s="37"/>
      <c r="CL772" s="37"/>
      <c r="CM772" s="37"/>
      <c r="CN772" s="37" t="s">
        <v>1124</v>
      </c>
      <c r="CO772" s="37"/>
      <c r="CP772" s="37"/>
      <c r="CQ772" s="37"/>
      <c r="CR772" s="37"/>
      <c r="CS772" s="37"/>
      <c r="CT772" s="37"/>
      <c r="CU772" s="37"/>
      <c r="CV772" s="37"/>
      <c r="CW772" s="37"/>
      <c r="CX772" s="37"/>
      <c r="CY772" s="37"/>
      <c r="CZ772" s="37" t="s">
        <v>1124</v>
      </c>
      <c r="DA772" s="37"/>
      <c r="DB772" s="37"/>
      <c r="DC772" s="37"/>
      <c r="DD772" s="37"/>
      <c r="DE772" s="37"/>
      <c r="DF772" s="37"/>
      <c r="DG772" s="37"/>
      <c r="DH772" s="37"/>
      <c r="DI772" s="37"/>
      <c r="DJ772" s="37"/>
      <c r="DK772" s="37"/>
      <c r="DL772" s="37" t="s">
        <v>1124</v>
      </c>
      <c r="DM772" s="37"/>
      <c r="DN772" s="37"/>
      <c r="DO772" s="37"/>
      <c r="DP772" s="37"/>
      <c r="DQ772" s="37"/>
      <c r="DR772" s="37"/>
      <c r="DS772" s="37"/>
      <c r="DT772" s="37"/>
      <c r="DU772" s="37"/>
      <c r="DV772" s="37"/>
      <c r="DW772" s="37"/>
      <c r="DX772" s="37" t="s">
        <v>1124</v>
      </c>
      <c r="DY772" s="37"/>
      <c r="DZ772" s="37"/>
      <c r="EA772" s="37"/>
      <c r="EB772" s="37"/>
      <c r="EC772" s="37"/>
      <c r="ED772" s="37"/>
      <c r="EE772" s="37"/>
      <c r="EF772" s="37"/>
      <c r="EG772" s="37"/>
      <c r="EH772" s="37"/>
      <c r="EI772" s="37"/>
      <c r="EJ772" s="37" t="s">
        <v>1124</v>
      </c>
      <c r="EK772" s="161"/>
      <c r="EL772" s="294"/>
    </row>
    <row r="773" spans="1:142" ht="15" customHeight="1" x14ac:dyDescent="0.35">
      <c r="A773" s="34"/>
      <c r="B773" s="313">
        <v>92065</v>
      </c>
      <c r="C773" s="8" t="s">
        <v>956</v>
      </c>
      <c r="D773" s="18">
        <v>2</v>
      </c>
      <c r="E773" s="155">
        <v>54325</v>
      </c>
      <c r="F773" s="36">
        <v>0</v>
      </c>
      <c r="G773" s="37">
        <v>3417</v>
      </c>
      <c r="H773" s="37">
        <v>0</v>
      </c>
      <c r="I773" s="37">
        <v>24120</v>
      </c>
      <c r="J773" s="37">
        <v>0</v>
      </c>
      <c r="K773" s="37">
        <v>8148.75</v>
      </c>
      <c r="L773" s="37">
        <v>0</v>
      </c>
      <c r="M773" s="37">
        <v>90010.75</v>
      </c>
      <c r="N773" s="37">
        <v>0</v>
      </c>
      <c r="O773" s="37">
        <v>0</v>
      </c>
      <c r="P773" s="37">
        <v>0</v>
      </c>
      <c r="Q773" s="37">
        <v>43522</v>
      </c>
      <c r="R773" s="37">
        <v>0</v>
      </c>
      <c r="S773" s="37">
        <v>0</v>
      </c>
      <c r="T773" s="37">
        <v>0</v>
      </c>
      <c r="U773" s="37">
        <v>0</v>
      </c>
      <c r="V773" s="37">
        <v>0</v>
      </c>
      <c r="W773" s="37">
        <v>2965</v>
      </c>
      <c r="X773" s="37">
        <v>0</v>
      </c>
      <c r="Y773" s="37">
        <v>43524</v>
      </c>
      <c r="Z773" s="37">
        <v>0</v>
      </c>
      <c r="AA773" s="37">
        <v>90011</v>
      </c>
      <c r="AB773" s="37">
        <v>0</v>
      </c>
      <c r="AC773" s="37">
        <v>0.25</v>
      </c>
      <c r="AD773" s="37">
        <v>0</v>
      </c>
      <c r="AE773" s="37">
        <v>0</v>
      </c>
      <c r="AF773" s="168">
        <v>0.02</v>
      </c>
      <c r="AG773" s="37">
        <v>7393367.1200000001</v>
      </c>
      <c r="AH773" s="37">
        <v>47163.95</v>
      </c>
      <c r="AI773" s="37">
        <v>48107.23</v>
      </c>
      <c r="AJ773" s="37">
        <v>49069.38</v>
      </c>
      <c r="AK773" s="37">
        <v>50050.76</v>
      </c>
      <c r="AL773" s="37">
        <v>51051.78</v>
      </c>
      <c r="AM773" s="37">
        <v>52072.81</v>
      </c>
      <c r="AN773" s="37">
        <v>53114.27</v>
      </c>
      <c r="AO773" s="37">
        <v>54176.56</v>
      </c>
      <c r="AP773" s="37">
        <v>55260.09</v>
      </c>
      <c r="AQ773" s="37">
        <v>56365.29</v>
      </c>
      <c r="AR773" s="37">
        <v>516432.12</v>
      </c>
      <c r="AS773" s="37">
        <v>39670.82</v>
      </c>
      <c r="AT773" s="37">
        <v>0</v>
      </c>
      <c r="AU773" s="37">
        <v>0</v>
      </c>
      <c r="AV773" s="37">
        <v>0</v>
      </c>
      <c r="AW773" s="37">
        <v>0</v>
      </c>
      <c r="AX773" s="37">
        <v>0</v>
      </c>
      <c r="AY773" s="37">
        <v>0</v>
      </c>
      <c r="AZ773" s="37">
        <v>0</v>
      </c>
      <c r="BA773" s="37">
        <v>0</v>
      </c>
      <c r="BB773" s="37">
        <v>0</v>
      </c>
      <c r="BC773" s="37">
        <v>0</v>
      </c>
      <c r="BD773" s="37">
        <v>0</v>
      </c>
      <c r="BE773" s="37">
        <v>297090</v>
      </c>
      <c r="BF773" s="37">
        <v>47998.752144620616</v>
      </c>
      <c r="BG773" s="37">
        <v>51736.597035613842</v>
      </c>
      <c r="BH773" s="37">
        <v>63690.040770629421</v>
      </c>
      <c r="BI773" s="37">
        <v>75643.510049136166</v>
      </c>
      <c r="BJ773" s="37">
        <v>8215.5988440223064</v>
      </c>
      <c r="BK773" s="37">
        <v>39783.153300598264</v>
      </c>
      <c r="BL773" s="37">
        <v>51736.597035613842</v>
      </c>
      <c r="BM773" s="37">
        <v>63690.040770629421</v>
      </c>
      <c r="BN773" s="37">
        <v>75643.510049136166</v>
      </c>
      <c r="BO773" s="37">
        <v>0</v>
      </c>
      <c r="BP773" s="37">
        <v>478137.8000000001</v>
      </c>
      <c r="BQ773" s="37">
        <v>0</v>
      </c>
      <c r="BR773" s="37">
        <v>0</v>
      </c>
      <c r="BS773" s="37">
        <v>0</v>
      </c>
      <c r="BT773" s="37">
        <v>0</v>
      </c>
      <c r="BU773" s="37">
        <v>0</v>
      </c>
      <c r="BV773" s="37">
        <v>0</v>
      </c>
      <c r="BW773" s="37">
        <v>0</v>
      </c>
      <c r="BX773" s="37">
        <v>0</v>
      </c>
      <c r="BY773" s="37">
        <v>0</v>
      </c>
      <c r="BZ773" s="37">
        <v>0</v>
      </c>
      <c r="CA773" s="37">
        <v>0</v>
      </c>
      <c r="CB773" s="37">
        <v>0</v>
      </c>
      <c r="CC773" s="37">
        <v>0</v>
      </c>
      <c r="CD773" s="37">
        <v>0</v>
      </c>
      <c r="CE773" s="37">
        <v>0</v>
      </c>
      <c r="CF773" s="37">
        <v>0</v>
      </c>
      <c r="CG773" s="37">
        <v>0</v>
      </c>
      <c r="CH773" s="37">
        <v>0</v>
      </c>
      <c r="CI773" s="37">
        <v>0</v>
      </c>
      <c r="CJ773" s="37">
        <v>0</v>
      </c>
      <c r="CK773" s="37">
        <v>0</v>
      </c>
      <c r="CL773" s="37">
        <v>0</v>
      </c>
      <c r="CM773" s="37">
        <v>0</v>
      </c>
      <c r="CN773" s="37">
        <v>0</v>
      </c>
      <c r="CO773" s="37">
        <v>0</v>
      </c>
      <c r="CP773" s="37">
        <v>0</v>
      </c>
      <c r="CQ773" s="37">
        <v>0</v>
      </c>
      <c r="CR773" s="37">
        <v>0</v>
      </c>
      <c r="CS773" s="37">
        <v>0</v>
      </c>
      <c r="CT773" s="37">
        <v>0</v>
      </c>
      <c r="CU773" s="37">
        <v>0</v>
      </c>
      <c r="CV773" s="37">
        <v>0</v>
      </c>
      <c r="CW773" s="37">
        <v>0</v>
      </c>
      <c r="CX773" s="37">
        <v>0</v>
      </c>
      <c r="CY773" s="37">
        <v>0</v>
      </c>
      <c r="CZ773" s="37">
        <v>0</v>
      </c>
      <c r="DA773" s="37">
        <v>0</v>
      </c>
      <c r="DB773" s="37">
        <v>0</v>
      </c>
      <c r="DC773" s="37">
        <v>0</v>
      </c>
      <c r="DD773" s="37">
        <v>0</v>
      </c>
      <c r="DE773" s="37">
        <v>0</v>
      </c>
      <c r="DF773" s="37">
        <v>0</v>
      </c>
      <c r="DG773" s="37">
        <v>0</v>
      </c>
      <c r="DH773" s="37">
        <v>0</v>
      </c>
      <c r="DI773" s="37">
        <v>0</v>
      </c>
      <c r="DJ773" s="37">
        <v>0</v>
      </c>
      <c r="DK773" s="37">
        <v>0</v>
      </c>
      <c r="DL773" s="37">
        <v>0</v>
      </c>
      <c r="DM773" s="37">
        <v>0</v>
      </c>
      <c r="DN773" s="37">
        <v>0</v>
      </c>
      <c r="DO773" s="37">
        <v>0</v>
      </c>
      <c r="DP773" s="37">
        <v>0</v>
      </c>
      <c r="DQ773" s="37">
        <v>0</v>
      </c>
      <c r="DR773" s="37">
        <v>0</v>
      </c>
      <c r="DS773" s="37">
        <v>0</v>
      </c>
      <c r="DT773" s="37">
        <v>0</v>
      </c>
      <c r="DU773" s="37">
        <v>0</v>
      </c>
      <c r="DV773" s="37">
        <v>0</v>
      </c>
      <c r="DW773" s="37">
        <v>0</v>
      </c>
      <c r="DX773" s="37">
        <v>0</v>
      </c>
      <c r="DY773" s="37">
        <v>0</v>
      </c>
      <c r="DZ773" s="37">
        <v>0</v>
      </c>
      <c r="EA773" s="37">
        <v>0</v>
      </c>
      <c r="EB773" s="37">
        <v>0</v>
      </c>
      <c r="EC773" s="37">
        <v>0</v>
      </c>
      <c r="ED773" s="37">
        <v>0</v>
      </c>
      <c r="EE773" s="37">
        <v>0</v>
      </c>
      <c r="EF773" s="37">
        <v>0</v>
      </c>
      <c r="EG773" s="37">
        <v>0</v>
      </c>
      <c r="EH773" s="37">
        <v>0</v>
      </c>
      <c r="EI773" s="37">
        <v>0</v>
      </c>
      <c r="EJ773" s="37">
        <v>0</v>
      </c>
      <c r="EK773" s="161" t="s">
        <v>3003</v>
      </c>
      <c r="EL773" s="294" t="s">
        <v>1124</v>
      </c>
    </row>
    <row r="774" spans="1:142" ht="15" customHeight="1" x14ac:dyDescent="0.35">
      <c r="A774" s="34"/>
      <c r="B774" s="313">
        <v>85085</v>
      </c>
      <c r="C774" s="8" t="s">
        <v>884</v>
      </c>
      <c r="D774" s="18">
        <v>8</v>
      </c>
      <c r="E774" s="155">
        <v>47450</v>
      </c>
      <c r="F774" s="36">
        <v>45801</v>
      </c>
      <c r="G774" s="37">
        <v>0</v>
      </c>
      <c r="H774" s="37">
        <v>0</v>
      </c>
      <c r="I774" s="37">
        <v>0</v>
      </c>
      <c r="J774" s="37">
        <v>0</v>
      </c>
      <c r="K774" s="37">
        <v>7117.5</v>
      </c>
      <c r="L774" s="37">
        <v>6870</v>
      </c>
      <c r="M774" s="37">
        <v>54567.5</v>
      </c>
      <c r="N774" s="37">
        <v>52671</v>
      </c>
      <c r="O774" s="37">
        <v>0</v>
      </c>
      <c r="P774" s="37">
        <v>0</v>
      </c>
      <c r="Q774" s="37">
        <v>24585</v>
      </c>
      <c r="R774" s="37">
        <v>22265</v>
      </c>
      <c r="S774" s="37">
        <v>0</v>
      </c>
      <c r="T774" s="37">
        <v>0</v>
      </c>
      <c r="U774" s="37">
        <v>0</v>
      </c>
      <c r="V774" s="37">
        <v>0</v>
      </c>
      <c r="W774" s="37">
        <v>30195</v>
      </c>
      <c r="X774" s="37">
        <v>30195</v>
      </c>
      <c r="Y774" s="37">
        <v>0</v>
      </c>
      <c r="Z774" s="37">
        <v>0</v>
      </c>
      <c r="AA774" s="37">
        <v>54780</v>
      </c>
      <c r="AB774" s="37">
        <v>52460</v>
      </c>
      <c r="AC774" s="37">
        <v>1</v>
      </c>
      <c r="AD774" s="37">
        <v>0</v>
      </c>
      <c r="AE774" s="37">
        <v>0</v>
      </c>
      <c r="AF774" s="168">
        <v>0.02</v>
      </c>
      <c r="AG774" s="37">
        <v>2215732.67</v>
      </c>
      <c r="AH774" s="37">
        <v>13786.66</v>
      </c>
      <c r="AI774" s="37">
        <v>14062.39</v>
      </c>
      <c r="AJ774" s="37">
        <v>14343.64</v>
      </c>
      <c r="AK774" s="37">
        <v>14630.51</v>
      </c>
      <c r="AL774" s="37">
        <v>14923.13</v>
      </c>
      <c r="AM774" s="37">
        <v>15221.59</v>
      </c>
      <c r="AN774" s="37">
        <v>15526.02</v>
      </c>
      <c r="AO774" s="37">
        <v>15836.54</v>
      </c>
      <c r="AP774" s="37">
        <v>16153.27</v>
      </c>
      <c r="AQ774" s="37">
        <v>16476.34</v>
      </c>
      <c r="AR774" s="37">
        <v>150960.09</v>
      </c>
      <c r="AS774" s="37">
        <v>2392.92</v>
      </c>
      <c r="AT774" s="37">
        <v>83232</v>
      </c>
      <c r="AU774" s="37">
        <v>15918.12</v>
      </c>
      <c r="AV774" s="37">
        <v>0</v>
      </c>
      <c r="AW774" s="37">
        <v>0</v>
      </c>
      <c r="AX774" s="37">
        <v>0</v>
      </c>
      <c r="AY774" s="37">
        <v>0</v>
      </c>
      <c r="AZ774" s="37">
        <v>0</v>
      </c>
      <c r="BA774" s="37">
        <v>0</v>
      </c>
      <c r="BB774" s="37">
        <v>0</v>
      </c>
      <c r="BC774" s="37">
        <v>0</v>
      </c>
      <c r="BD774" s="37">
        <v>99150.12</v>
      </c>
      <c r="BE774" s="37">
        <v>0</v>
      </c>
      <c r="BF774" s="37">
        <v>0</v>
      </c>
      <c r="BG774" s="37">
        <v>0</v>
      </c>
      <c r="BH774" s="37">
        <v>0</v>
      </c>
      <c r="BI774" s="37">
        <v>0</v>
      </c>
      <c r="BJ774" s="37">
        <v>0</v>
      </c>
      <c r="BK774" s="37">
        <v>0</v>
      </c>
      <c r="BL774" s="37">
        <v>0</v>
      </c>
      <c r="BM774" s="37">
        <v>0</v>
      </c>
      <c r="BN774" s="37">
        <v>0</v>
      </c>
      <c r="BO774" s="37">
        <v>0</v>
      </c>
      <c r="BP774" s="37">
        <v>0</v>
      </c>
      <c r="BQ774" s="37">
        <v>0</v>
      </c>
      <c r="BR774" s="37">
        <v>0</v>
      </c>
      <c r="BS774" s="37">
        <v>0</v>
      </c>
      <c r="BT774" s="37">
        <v>0</v>
      </c>
      <c r="BU774" s="37">
        <v>0</v>
      </c>
      <c r="BV774" s="37">
        <v>0</v>
      </c>
      <c r="BW774" s="37">
        <v>0</v>
      </c>
      <c r="BX774" s="37">
        <v>0</v>
      </c>
      <c r="BY774" s="37">
        <v>0</v>
      </c>
      <c r="BZ774" s="37">
        <v>0</v>
      </c>
      <c r="CA774" s="37">
        <v>0</v>
      </c>
      <c r="CB774" s="37">
        <v>0</v>
      </c>
      <c r="CC774" s="37">
        <v>0</v>
      </c>
      <c r="CD774" s="37">
        <v>0</v>
      </c>
      <c r="CE774" s="37">
        <v>0</v>
      </c>
      <c r="CF774" s="37">
        <v>0</v>
      </c>
      <c r="CG774" s="37">
        <v>0</v>
      </c>
      <c r="CH774" s="37">
        <v>0</v>
      </c>
      <c r="CI774" s="37">
        <v>0</v>
      </c>
      <c r="CJ774" s="37">
        <v>0</v>
      </c>
      <c r="CK774" s="37">
        <v>0</v>
      </c>
      <c r="CL774" s="37">
        <v>0</v>
      </c>
      <c r="CM774" s="37">
        <v>0</v>
      </c>
      <c r="CN774" s="37">
        <v>0</v>
      </c>
      <c r="CO774" s="37">
        <v>0</v>
      </c>
      <c r="CP774" s="37">
        <v>81600</v>
      </c>
      <c r="CQ774" s="37">
        <v>15300</v>
      </c>
      <c r="CR774" s="37">
        <v>0</v>
      </c>
      <c r="CS774" s="37">
        <v>0</v>
      </c>
      <c r="CT774" s="37">
        <v>0</v>
      </c>
      <c r="CU774" s="37">
        <v>0</v>
      </c>
      <c r="CV774" s="37">
        <v>0</v>
      </c>
      <c r="CW774" s="37">
        <v>0</v>
      </c>
      <c r="CX774" s="37">
        <v>0</v>
      </c>
      <c r="CY774" s="37">
        <v>0</v>
      </c>
      <c r="CZ774" s="37">
        <v>96900</v>
      </c>
      <c r="DA774" s="37">
        <v>0</v>
      </c>
      <c r="DB774" s="37">
        <v>0</v>
      </c>
      <c r="DC774" s="37">
        <v>0</v>
      </c>
      <c r="DD774" s="37">
        <v>0</v>
      </c>
      <c r="DE774" s="37">
        <v>0</v>
      </c>
      <c r="DF774" s="37">
        <v>0</v>
      </c>
      <c r="DG774" s="37">
        <v>0</v>
      </c>
      <c r="DH774" s="37">
        <v>0</v>
      </c>
      <c r="DI774" s="37">
        <v>0</v>
      </c>
      <c r="DJ774" s="37">
        <v>0</v>
      </c>
      <c r="DK774" s="37">
        <v>0</v>
      </c>
      <c r="DL774" s="37">
        <v>0</v>
      </c>
      <c r="DM774" s="37">
        <v>0</v>
      </c>
      <c r="DN774" s="37">
        <v>0</v>
      </c>
      <c r="DO774" s="37">
        <v>0</v>
      </c>
      <c r="DP774" s="37">
        <v>0</v>
      </c>
      <c r="DQ774" s="37">
        <v>0</v>
      </c>
      <c r="DR774" s="37">
        <v>0</v>
      </c>
      <c r="DS774" s="37">
        <v>0</v>
      </c>
      <c r="DT774" s="37">
        <v>0</v>
      </c>
      <c r="DU774" s="37">
        <v>0</v>
      </c>
      <c r="DV774" s="37">
        <v>0</v>
      </c>
      <c r="DW774" s="37">
        <v>0</v>
      </c>
      <c r="DX774" s="37">
        <v>0</v>
      </c>
      <c r="DY774" s="37">
        <v>0</v>
      </c>
      <c r="DZ774" s="37">
        <v>0</v>
      </c>
      <c r="EA774" s="37">
        <v>0</v>
      </c>
      <c r="EB774" s="37">
        <v>0</v>
      </c>
      <c r="EC774" s="37">
        <v>0</v>
      </c>
      <c r="ED774" s="37">
        <v>0</v>
      </c>
      <c r="EE774" s="37">
        <v>0</v>
      </c>
      <c r="EF774" s="37">
        <v>0</v>
      </c>
      <c r="EG774" s="37">
        <v>0</v>
      </c>
      <c r="EH774" s="37">
        <v>0</v>
      </c>
      <c r="EI774" s="37">
        <v>0</v>
      </c>
      <c r="EJ774" s="37">
        <v>0</v>
      </c>
      <c r="EK774" s="161" t="s">
        <v>3007</v>
      </c>
      <c r="EL774" s="294" t="s">
        <v>1124</v>
      </c>
    </row>
    <row r="775" spans="1:142" ht="15" customHeight="1" x14ac:dyDescent="0.35">
      <c r="A775" s="34"/>
      <c r="B775" s="313">
        <v>10075</v>
      </c>
      <c r="C775" s="8" t="s">
        <v>16</v>
      </c>
      <c r="D775" s="18">
        <v>1</v>
      </c>
      <c r="E775" s="155"/>
      <c r="F775" s="36"/>
      <c r="G775" s="37"/>
      <c r="H775" s="37"/>
      <c r="I775" s="37"/>
      <c r="J775" s="37"/>
      <c r="K775" s="37"/>
      <c r="L775" s="37"/>
      <c r="M775" s="37" t="s">
        <v>1124</v>
      </c>
      <c r="N775" s="37" t="s">
        <v>1124</v>
      </c>
      <c r="O775" s="37"/>
      <c r="P775" s="37"/>
      <c r="Q775" s="37"/>
      <c r="R775" s="37"/>
      <c r="S775" s="37"/>
      <c r="T775" s="37"/>
      <c r="U775" s="37"/>
      <c r="V775" s="37"/>
      <c r="W775" s="37"/>
      <c r="X775" s="37"/>
      <c r="Y775" s="37"/>
      <c r="Z775" s="37"/>
      <c r="AA775" s="37" t="s">
        <v>1124</v>
      </c>
      <c r="AB775" s="37" t="s">
        <v>1124</v>
      </c>
      <c r="AC775" s="37"/>
      <c r="AD775" s="37"/>
      <c r="AE775" s="37"/>
      <c r="AF775" s="168"/>
      <c r="AG775" s="37"/>
      <c r="AH775" s="37"/>
      <c r="AI775" s="37"/>
      <c r="AJ775" s="37"/>
      <c r="AK775" s="37"/>
      <c r="AL775" s="37"/>
      <c r="AM775" s="37"/>
      <c r="AN775" s="37"/>
      <c r="AO775" s="37"/>
      <c r="AP775" s="37"/>
      <c r="AQ775" s="37"/>
      <c r="AR775" s="37" t="s">
        <v>1124</v>
      </c>
      <c r="AS775" s="37"/>
      <c r="AT775" s="37"/>
      <c r="AU775" s="37"/>
      <c r="AV775" s="37"/>
      <c r="AW775" s="37"/>
      <c r="AX775" s="37"/>
      <c r="AY775" s="37"/>
      <c r="AZ775" s="37"/>
      <c r="BA775" s="37"/>
      <c r="BB775" s="37"/>
      <c r="BC775" s="37"/>
      <c r="BD775" s="37" t="s">
        <v>1124</v>
      </c>
      <c r="BE775" s="37"/>
      <c r="BF775" s="37"/>
      <c r="BG775" s="37"/>
      <c r="BH775" s="37"/>
      <c r="BI775" s="37"/>
      <c r="BJ775" s="37"/>
      <c r="BK775" s="37"/>
      <c r="BL775" s="37"/>
      <c r="BM775" s="37"/>
      <c r="BN775" s="37"/>
      <c r="BO775" s="37"/>
      <c r="BP775" s="37">
        <v>0</v>
      </c>
      <c r="BQ775" s="37"/>
      <c r="BR775" s="37"/>
      <c r="BS775" s="37"/>
      <c r="BT775" s="37"/>
      <c r="BU775" s="37"/>
      <c r="BV775" s="37"/>
      <c r="BW775" s="37"/>
      <c r="BX775" s="37"/>
      <c r="BY775" s="37"/>
      <c r="BZ775" s="37"/>
      <c r="CA775" s="37"/>
      <c r="CB775" s="37" t="s">
        <v>1124</v>
      </c>
      <c r="CC775" s="37"/>
      <c r="CD775" s="37"/>
      <c r="CE775" s="37"/>
      <c r="CF775" s="37"/>
      <c r="CG775" s="37"/>
      <c r="CH775" s="37"/>
      <c r="CI775" s="37"/>
      <c r="CJ775" s="37"/>
      <c r="CK775" s="37"/>
      <c r="CL775" s="37"/>
      <c r="CM775" s="37"/>
      <c r="CN775" s="37" t="s">
        <v>1124</v>
      </c>
      <c r="CO775" s="37"/>
      <c r="CP775" s="37"/>
      <c r="CQ775" s="37"/>
      <c r="CR775" s="37"/>
      <c r="CS775" s="37"/>
      <c r="CT775" s="37"/>
      <c r="CU775" s="37"/>
      <c r="CV775" s="37"/>
      <c r="CW775" s="37"/>
      <c r="CX775" s="37"/>
      <c r="CY775" s="37"/>
      <c r="CZ775" s="37" t="s">
        <v>1124</v>
      </c>
      <c r="DA775" s="37"/>
      <c r="DB775" s="37"/>
      <c r="DC775" s="37"/>
      <c r="DD775" s="37"/>
      <c r="DE775" s="37"/>
      <c r="DF775" s="37"/>
      <c r="DG775" s="37"/>
      <c r="DH775" s="37"/>
      <c r="DI775" s="37"/>
      <c r="DJ775" s="37"/>
      <c r="DK775" s="37"/>
      <c r="DL775" s="37" t="s">
        <v>1124</v>
      </c>
      <c r="DM775" s="37"/>
      <c r="DN775" s="37"/>
      <c r="DO775" s="37"/>
      <c r="DP775" s="37"/>
      <c r="DQ775" s="37"/>
      <c r="DR775" s="37"/>
      <c r="DS775" s="37"/>
      <c r="DT775" s="37"/>
      <c r="DU775" s="37"/>
      <c r="DV775" s="37"/>
      <c r="DW775" s="37"/>
      <c r="DX775" s="37" t="s">
        <v>1124</v>
      </c>
      <c r="DY775" s="37"/>
      <c r="DZ775" s="37"/>
      <c r="EA775" s="37"/>
      <c r="EB775" s="37"/>
      <c r="EC775" s="37"/>
      <c r="ED775" s="37"/>
      <c r="EE775" s="37"/>
      <c r="EF775" s="37"/>
      <c r="EG775" s="37"/>
      <c r="EH775" s="37"/>
      <c r="EI775" s="37"/>
      <c r="EJ775" s="37" t="s">
        <v>1124</v>
      </c>
      <c r="EK775" s="161"/>
      <c r="EL775" s="294"/>
    </row>
    <row r="776" spans="1:142" ht="15" customHeight="1" x14ac:dyDescent="0.35">
      <c r="A776" s="34"/>
      <c r="B776" s="313">
        <v>51040</v>
      </c>
      <c r="C776" s="8" t="s">
        <v>504</v>
      </c>
      <c r="D776" s="18">
        <v>4</v>
      </c>
      <c r="E776" s="155">
        <v>98094</v>
      </c>
      <c r="F776" s="36">
        <v>78732</v>
      </c>
      <c r="G776" s="37">
        <v>2104</v>
      </c>
      <c r="H776" s="37">
        <v>12071</v>
      </c>
      <c r="I776" s="37">
        <v>6545</v>
      </c>
      <c r="J776" s="37">
        <v>30345</v>
      </c>
      <c r="K776" s="37">
        <v>9809.4</v>
      </c>
      <c r="L776" s="37">
        <v>7873.2000000000007</v>
      </c>
      <c r="M776" s="37">
        <v>116552.4</v>
      </c>
      <c r="N776" s="37">
        <v>129021.2</v>
      </c>
      <c r="O776" s="37">
        <v>0</v>
      </c>
      <c r="P776" s="37">
        <v>0</v>
      </c>
      <c r="Q776" s="37">
        <v>155894</v>
      </c>
      <c r="R776" s="37">
        <v>51182</v>
      </c>
      <c r="S776" s="37">
        <v>450</v>
      </c>
      <c r="T776" s="37">
        <v>0</v>
      </c>
      <c r="U776" s="37">
        <v>0</v>
      </c>
      <c r="V776" s="37">
        <v>76331</v>
      </c>
      <c r="W776" s="37">
        <v>14730.177293496374</v>
      </c>
      <c r="X776" s="37">
        <v>12013.822706503626</v>
      </c>
      <c r="Y776" s="37">
        <v>0</v>
      </c>
      <c r="Z776" s="37">
        <v>0</v>
      </c>
      <c r="AA776" s="37">
        <v>171074.17729349638</v>
      </c>
      <c r="AB776" s="37">
        <v>139526.82270650362</v>
      </c>
      <c r="AC776" s="37">
        <v>65027</v>
      </c>
      <c r="AD776" s="37">
        <v>65027</v>
      </c>
      <c r="AE776" s="37">
        <v>122526</v>
      </c>
      <c r="AF776" s="168">
        <v>0.02</v>
      </c>
      <c r="AG776" s="37">
        <v>14475327.140000001</v>
      </c>
      <c r="AH776" s="37">
        <v>133857.72</v>
      </c>
      <c r="AI776" s="37">
        <v>141736.87</v>
      </c>
      <c r="AJ776" s="37">
        <v>165795.76999999999</v>
      </c>
      <c r="AK776" s="37">
        <v>142050.88</v>
      </c>
      <c r="AL776" s="37">
        <v>144891.9</v>
      </c>
      <c r="AM776" s="37">
        <v>147789.74</v>
      </c>
      <c r="AN776" s="37">
        <v>150745.53</v>
      </c>
      <c r="AO776" s="37">
        <v>153760.44</v>
      </c>
      <c r="AP776" s="37">
        <v>156835.65</v>
      </c>
      <c r="AQ776" s="37">
        <v>159972.35999999999</v>
      </c>
      <c r="AR776" s="37">
        <v>1497436.86</v>
      </c>
      <c r="AS776" s="37">
        <v>23450.37</v>
      </c>
      <c r="AT776" s="37">
        <v>424368.14</v>
      </c>
      <c r="AU776" s="37">
        <v>11444.4</v>
      </c>
      <c r="AV776" s="37">
        <v>0</v>
      </c>
      <c r="AW776" s="37">
        <v>0</v>
      </c>
      <c r="AX776" s="37">
        <v>0</v>
      </c>
      <c r="AY776" s="37">
        <v>0</v>
      </c>
      <c r="AZ776" s="37">
        <v>0</v>
      </c>
      <c r="BA776" s="37">
        <v>0</v>
      </c>
      <c r="BB776" s="37">
        <v>0</v>
      </c>
      <c r="BC776" s="37">
        <v>0</v>
      </c>
      <c r="BD776" s="37">
        <v>435812.54000000004</v>
      </c>
      <c r="BE776" s="37">
        <v>0</v>
      </c>
      <c r="BF776" s="37">
        <v>50000</v>
      </c>
      <c r="BG776" s="37">
        <v>310100</v>
      </c>
      <c r="BH776" s="37">
        <v>25000</v>
      </c>
      <c r="BI776" s="37">
        <v>0</v>
      </c>
      <c r="BJ776" s="37">
        <v>19431.480698154875</v>
      </c>
      <c r="BK776" s="37">
        <v>94094.854209536003</v>
      </c>
      <c r="BL776" s="37">
        <v>122367.06121760316</v>
      </c>
      <c r="BM776" s="37">
        <v>150639.26822567024</v>
      </c>
      <c r="BN776" s="37">
        <v>178911.53564903577</v>
      </c>
      <c r="BO776" s="37">
        <v>0</v>
      </c>
      <c r="BP776" s="37">
        <v>950544.20000000007</v>
      </c>
      <c r="BQ776" s="37">
        <v>0</v>
      </c>
      <c r="BR776" s="37">
        <v>0</v>
      </c>
      <c r="BS776" s="37">
        <v>0</v>
      </c>
      <c r="BT776" s="37">
        <v>0</v>
      </c>
      <c r="BU776" s="37">
        <v>0</v>
      </c>
      <c r="BV776" s="37">
        <v>0</v>
      </c>
      <c r="BW776" s="37">
        <v>0</v>
      </c>
      <c r="BX776" s="37">
        <v>0</v>
      </c>
      <c r="BY776" s="37">
        <v>0</v>
      </c>
      <c r="BZ776" s="37">
        <v>0</v>
      </c>
      <c r="CA776" s="37">
        <v>0</v>
      </c>
      <c r="CB776" s="37">
        <v>0</v>
      </c>
      <c r="CC776" s="37">
        <v>0</v>
      </c>
      <c r="CD776" s="37">
        <v>0</v>
      </c>
      <c r="CE776" s="37">
        <v>0</v>
      </c>
      <c r="CF776" s="37">
        <v>0</v>
      </c>
      <c r="CG776" s="37">
        <v>0</v>
      </c>
      <c r="CH776" s="37">
        <v>0</v>
      </c>
      <c r="CI776" s="37">
        <v>0</v>
      </c>
      <c r="CJ776" s="37">
        <v>0</v>
      </c>
      <c r="CK776" s="37">
        <v>0</v>
      </c>
      <c r="CL776" s="37">
        <v>0</v>
      </c>
      <c r="CM776" s="37">
        <v>0</v>
      </c>
      <c r="CN776" s="37">
        <v>0</v>
      </c>
      <c r="CO776" s="37">
        <v>0</v>
      </c>
      <c r="CP776" s="37">
        <v>300000</v>
      </c>
      <c r="CQ776" s="37">
        <v>0</v>
      </c>
      <c r="CR776" s="37">
        <v>0</v>
      </c>
      <c r="CS776" s="37">
        <v>0</v>
      </c>
      <c r="CT776" s="37">
        <v>0</v>
      </c>
      <c r="CU776" s="37">
        <v>0</v>
      </c>
      <c r="CV776" s="37">
        <v>0</v>
      </c>
      <c r="CW776" s="37">
        <v>0</v>
      </c>
      <c r="CX776" s="37">
        <v>0</v>
      </c>
      <c r="CY776" s="37">
        <v>0</v>
      </c>
      <c r="CZ776" s="37">
        <v>300000</v>
      </c>
      <c r="DA776" s="37">
        <v>0</v>
      </c>
      <c r="DB776" s="37">
        <v>114154</v>
      </c>
      <c r="DC776" s="37">
        <v>0</v>
      </c>
      <c r="DD776" s="37">
        <v>0</v>
      </c>
      <c r="DE776" s="37">
        <v>0</v>
      </c>
      <c r="DF776" s="37">
        <v>0</v>
      </c>
      <c r="DG776" s="37">
        <v>0</v>
      </c>
      <c r="DH776" s="37">
        <v>0</v>
      </c>
      <c r="DI776" s="37">
        <v>0</v>
      </c>
      <c r="DJ776" s="37">
        <v>0</v>
      </c>
      <c r="DK776" s="37">
        <v>0</v>
      </c>
      <c r="DL776" s="37">
        <v>114154</v>
      </c>
      <c r="DM776" s="37">
        <v>0</v>
      </c>
      <c r="DN776" s="37">
        <v>0</v>
      </c>
      <c r="DO776" s="37">
        <v>0</v>
      </c>
      <c r="DP776" s="37">
        <v>0</v>
      </c>
      <c r="DQ776" s="37">
        <v>0</v>
      </c>
      <c r="DR776" s="37">
        <v>0</v>
      </c>
      <c r="DS776" s="37">
        <v>0</v>
      </c>
      <c r="DT776" s="37">
        <v>0</v>
      </c>
      <c r="DU776" s="37">
        <v>0</v>
      </c>
      <c r="DV776" s="37">
        <v>0</v>
      </c>
      <c r="DW776" s="37">
        <v>0</v>
      </c>
      <c r="DX776" s="37">
        <v>0</v>
      </c>
      <c r="DY776" s="37">
        <v>0</v>
      </c>
      <c r="DZ776" s="37">
        <v>0</v>
      </c>
      <c r="EA776" s="37">
        <v>0</v>
      </c>
      <c r="EB776" s="37">
        <v>0</v>
      </c>
      <c r="EC776" s="37">
        <v>0</v>
      </c>
      <c r="ED776" s="37">
        <v>0</v>
      </c>
      <c r="EE776" s="37">
        <v>0</v>
      </c>
      <c r="EF776" s="37">
        <v>0</v>
      </c>
      <c r="EG776" s="37">
        <v>0</v>
      </c>
      <c r="EH776" s="37">
        <v>0</v>
      </c>
      <c r="EI776" s="37">
        <v>0</v>
      </c>
      <c r="EJ776" s="37">
        <v>0</v>
      </c>
      <c r="EK776" s="161" t="s">
        <v>3013</v>
      </c>
      <c r="EL776" s="294" t="s">
        <v>1124</v>
      </c>
    </row>
    <row r="777" spans="1:142" ht="15" customHeight="1" x14ac:dyDescent="0.35">
      <c r="A777" s="34"/>
      <c r="B777" s="313">
        <v>13030</v>
      </c>
      <c r="C777" s="8" t="s">
        <v>46</v>
      </c>
      <c r="D777" s="18">
        <v>1</v>
      </c>
      <c r="E777" s="155"/>
      <c r="F777" s="36"/>
      <c r="G777" s="37"/>
      <c r="H777" s="37"/>
      <c r="I777" s="37"/>
      <c r="J777" s="37"/>
      <c r="K777" s="37"/>
      <c r="L777" s="37"/>
      <c r="M777" s="37" t="s">
        <v>1124</v>
      </c>
      <c r="N777" s="37" t="s">
        <v>1124</v>
      </c>
      <c r="O777" s="37"/>
      <c r="P777" s="37"/>
      <c r="Q777" s="37"/>
      <c r="R777" s="37"/>
      <c r="S777" s="37"/>
      <c r="T777" s="37"/>
      <c r="U777" s="37"/>
      <c r="V777" s="37"/>
      <c r="W777" s="37"/>
      <c r="X777" s="37"/>
      <c r="Y777" s="37"/>
      <c r="Z777" s="37"/>
      <c r="AA777" s="37" t="s">
        <v>1124</v>
      </c>
      <c r="AB777" s="37" t="s">
        <v>1124</v>
      </c>
      <c r="AC777" s="37"/>
      <c r="AD777" s="37"/>
      <c r="AE777" s="37"/>
      <c r="AF777" s="168"/>
      <c r="AG777" s="37"/>
      <c r="AH777" s="37"/>
      <c r="AI777" s="37"/>
      <c r="AJ777" s="37"/>
      <c r="AK777" s="37"/>
      <c r="AL777" s="37"/>
      <c r="AM777" s="37"/>
      <c r="AN777" s="37"/>
      <c r="AO777" s="37"/>
      <c r="AP777" s="37"/>
      <c r="AQ777" s="37"/>
      <c r="AR777" s="37" t="s">
        <v>1124</v>
      </c>
      <c r="AS777" s="37"/>
      <c r="AT777" s="37"/>
      <c r="AU777" s="37"/>
      <c r="AV777" s="37"/>
      <c r="AW777" s="37"/>
      <c r="AX777" s="37"/>
      <c r="AY777" s="37"/>
      <c r="AZ777" s="37"/>
      <c r="BA777" s="37"/>
      <c r="BB777" s="37"/>
      <c r="BC777" s="37"/>
      <c r="BD777" s="37" t="s">
        <v>1124</v>
      </c>
      <c r="BE777" s="37"/>
      <c r="BF777" s="37"/>
      <c r="BG777" s="37"/>
      <c r="BH777" s="37"/>
      <c r="BI777" s="37"/>
      <c r="BJ777" s="37"/>
      <c r="BK777" s="37"/>
      <c r="BL777" s="37"/>
      <c r="BM777" s="37"/>
      <c r="BN777" s="37"/>
      <c r="BO777" s="37"/>
      <c r="BP777" s="37">
        <v>0</v>
      </c>
      <c r="BQ777" s="37"/>
      <c r="BR777" s="37"/>
      <c r="BS777" s="37"/>
      <c r="BT777" s="37"/>
      <c r="BU777" s="37"/>
      <c r="BV777" s="37"/>
      <c r="BW777" s="37"/>
      <c r="BX777" s="37"/>
      <c r="BY777" s="37"/>
      <c r="BZ777" s="37"/>
      <c r="CA777" s="37"/>
      <c r="CB777" s="37" t="s">
        <v>1124</v>
      </c>
      <c r="CC777" s="37"/>
      <c r="CD777" s="37"/>
      <c r="CE777" s="37"/>
      <c r="CF777" s="37"/>
      <c r="CG777" s="37"/>
      <c r="CH777" s="37"/>
      <c r="CI777" s="37"/>
      <c r="CJ777" s="37"/>
      <c r="CK777" s="37"/>
      <c r="CL777" s="37"/>
      <c r="CM777" s="37"/>
      <c r="CN777" s="37" t="s">
        <v>1124</v>
      </c>
      <c r="CO777" s="37"/>
      <c r="CP777" s="37"/>
      <c r="CQ777" s="37"/>
      <c r="CR777" s="37"/>
      <c r="CS777" s="37"/>
      <c r="CT777" s="37"/>
      <c r="CU777" s="37"/>
      <c r="CV777" s="37"/>
      <c r="CW777" s="37"/>
      <c r="CX777" s="37"/>
      <c r="CY777" s="37"/>
      <c r="CZ777" s="37" t="s">
        <v>1124</v>
      </c>
      <c r="DA777" s="37"/>
      <c r="DB777" s="37"/>
      <c r="DC777" s="37"/>
      <c r="DD777" s="37"/>
      <c r="DE777" s="37"/>
      <c r="DF777" s="37"/>
      <c r="DG777" s="37"/>
      <c r="DH777" s="37"/>
      <c r="DI777" s="37"/>
      <c r="DJ777" s="37"/>
      <c r="DK777" s="37"/>
      <c r="DL777" s="37" t="s">
        <v>1124</v>
      </c>
      <c r="DM777" s="37"/>
      <c r="DN777" s="37"/>
      <c r="DO777" s="37"/>
      <c r="DP777" s="37"/>
      <c r="DQ777" s="37"/>
      <c r="DR777" s="37"/>
      <c r="DS777" s="37"/>
      <c r="DT777" s="37"/>
      <c r="DU777" s="37"/>
      <c r="DV777" s="37"/>
      <c r="DW777" s="37"/>
      <c r="DX777" s="37" t="s">
        <v>1124</v>
      </c>
      <c r="DY777" s="37"/>
      <c r="DZ777" s="37"/>
      <c r="EA777" s="37"/>
      <c r="EB777" s="37"/>
      <c r="EC777" s="37"/>
      <c r="ED777" s="37"/>
      <c r="EE777" s="37"/>
      <c r="EF777" s="37"/>
      <c r="EG777" s="37"/>
      <c r="EH777" s="37"/>
      <c r="EI777" s="37"/>
      <c r="EJ777" s="37" t="s">
        <v>1124</v>
      </c>
      <c r="EK777" s="161"/>
      <c r="EL777" s="294"/>
    </row>
    <row r="778" spans="1:142" ht="15" customHeight="1" x14ac:dyDescent="0.35">
      <c r="A778" s="34"/>
      <c r="B778" s="313">
        <v>72005</v>
      </c>
      <c r="C778" s="8" t="s">
        <v>727</v>
      </c>
      <c r="D778" s="18">
        <v>15</v>
      </c>
      <c r="E778" s="155">
        <v>3295517</v>
      </c>
      <c r="F778" s="36">
        <v>2716655</v>
      </c>
      <c r="G778" s="37">
        <v>175895</v>
      </c>
      <c r="H778" s="37">
        <v>193411</v>
      </c>
      <c r="I778" s="37">
        <v>467931.7</v>
      </c>
      <c r="J778" s="37">
        <v>1346842</v>
      </c>
      <c r="K778" s="37">
        <v>494327.55</v>
      </c>
      <c r="L778" s="37">
        <v>407498.25</v>
      </c>
      <c r="M778" s="37">
        <v>4433671.25</v>
      </c>
      <c r="N778" s="37">
        <v>4664406.25</v>
      </c>
      <c r="O778" s="37">
        <v>393338.82</v>
      </c>
      <c r="P778" s="37">
        <v>146752.85999999999</v>
      </c>
      <c r="Q778" s="37">
        <v>3206453.65</v>
      </c>
      <c r="R778" s="37">
        <v>3719596.06</v>
      </c>
      <c r="S778" s="37">
        <v>60229</v>
      </c>
      <c r="T778" s="37">
        <v>63451</v>
      </c>
      <c r="U778" s="37">
        <v>185656</v>
      </c>
      <c r="V778" s="37">
        <v>534059</v>
      </c>
      <c r="W778" s="37">
        <v>634055.91500000004</v>
      </c>
      <c r="X778" s="37">
        <v>1404709.085</v>
      </c>
      <c r="Y778" s="37">
        <v>0</v>
      </c>
      <c r="Z778" s="37">
        <v>0</v>
      </c>
      <c r="AA778" s="37">
        <v>4479733.3849999998</v>
      </c>
      <c r="AB778" s="37">
        <v>5868568.0049999999</v>
      </c>
      <c r="AC778" s="37">
        <v>1250223</v>
      </c>
      <c r="AD778" s="37">
        <v>0</v>
      </c>
      <c r="AE778" s="37">
        <v>0</v>
      </c>
      <c r="AF778" s="168">
        <v>0.02</v>
      </c>
      <c r="AG778" s="37">
        <v>662565950.44000006</v>
      </c>
      <c r="AH778" s="37">
        <v>5074367.26</v>
      </c>
      <c r="AI778" s="37">
        <v>5154630.45</v>
      </c>
      <c r="AJ778" s="37">
        <v>5257723.05</v>
      </c>
      <c r="AK778" s="37">
        <v>5362877.5199999996</v>
      </c>
      <c r="AL778" s="37">
        <v>5470135.0700000003</v>
      </c>
      <c r="AM778" s="37">
        <v>5579537.7699999996</v>
      </c>
      <c r="AN778" s="37">
        <v>5691128.5199999996</v>
      </c>
      <c r="AO778" s="37">
        <v>5804951.0899999999</v>
      </c>
      <c r="AP778" s="37">
        <v>5921050.1200000001</v>
      </c>
      <c r="AQ778" s="37">
        <v>6039471.1200000001</v>
      </c>
      <c r="AR778" s="37">
        <v>55355871.969999991</v>
      </c>
      <c r="AS778" s="37">
        <v>8403897.5899999999</v>
      </c>
      <c r="AT778" s="37">
        <v>3468000</v>
      </c>
      <c r="AU778" s="37">
        <v>8632198.8000000007</v>
      </c>
      <c r="AV778" s="37">
        <v>5864235.4100000001</v>
      </c>
      <c r="AW778" s="37">
        <v>3880519.29</v>
      </c>
      <c r="AX778" s="37">
        <v>4786190.28</v>
      </c>
      <c r="AY778" s="37">
        <v>6756974.5199999996</v>
      </c>
      <c r="AZ778" s="37">
        <v>6892114.0099999998</v>
      </c>
      <c r="BA778" s="37">
        <v>7029956.29</v>
      </c>
      <c r="BB778" s="37">
        <v>7170555.4100000001</v>
      </c>
      <c r="BC778" s="37">
        <v>7313966.5199999996</v>
      </c>
      <c r="BD778" s="37">
        <v>61794710.530000001</v>
      </c>
      <c r="BE778" s="37">
        <v>207719</v>
      </c>
      <c r="BF778" s="37">
        <v>4305102</v>
      </c>
      <c r="BG778" s="37">
        <v>4191543</v>
      </c>
      <c r="BH778" s="37">
        <v>6869918</v>
      </c>
      <c r="BI778" s="37">
        <v>2993803</v>
      </c>
      <c r="BJ778" s="37">
        <v>2833803</v>
      </c>
      <c r="BK778" s="37">
        <v>3000000</v>
      </c>
      <c r="BL778" s="37">
        <v>3000000</v>
      </c>
      <c r="BM778" s="37">
        <v>3000000</v>
      </c>
      <c r="BN778" s="37">
        <v>3000000</v>
      </c>
      <c r="BO778" s="37">
        <v>3000000</v>
      </c>
      <c r="BP778" s="37">
        <v>36194169</v>
      </c>
      <c r="BQ778" s="37">
        <v>0</v>
      </c>
      <c r="BR778" s="37">
        <v>522790</v>
      </c>
      <c r="BS778" s="37">
        <v>50520</v>
      </c>
      <c r="BT778" s="37">
        <v>0</v>
      </c>
      <c r="BU778" s="37">
        <v>0</v>
      </c>
      <c r="BV778" s="37">
        <v>0</v>
      </c>
      <c r="BW778" s="37">
        <v>0</v>
      </c>
      <c r="BX778" s="37">
        <v>0</v>
      </c>
      <c r="BY778" s="37">
        <v>0</v>
      </c>
      <c r="BZ778" s="37">
        <v>0</v>
      </c>
      <c r="CA778" s="37">
        <v>0</v>
      </c>
      <c r="CB778" s="37">
        <v>573310</v>
      </c>
      <c r="CC778" s="37">
        <v>0</v>
      </c>
      <c r="CD778" s="37">
        <v>0</v>
      </c>
      <c r="CE778" s="37">
        <v>0</v>
      </c>
      <c r="CF778" s="37">
        <v>0</v>
      </c>
      <c r="CG778" s="37">
        <v>0</v>
      </c>
      <c r="CH778" s="37">
        <v>0</v>
      </c>
      <c r="CI778" s="37">
        <v>0</v>
      </c>
      <c r="CJ778" s="37">
        <v>0</v>
      </c>
      <c r="CK778" s="37">
        <v>0</v>
      </c>
      <c r="CL778" s="37">
        <v>0</v>
      </c>
      <c r="CM778" s="37">
        <v>0</v>
      </c>
      <c r="CN778" s="37">
        <v>0</v>
      </c>
      <c r="CO778" s="37">
        <v>0</v>
      </c>
      <c r="CP778" s="37">
        <v>0</v>
      </c>
      <c r="CQ778" s="37">
        <v>0</v>
      </c>
      <c r="CR778" s="37">
        <v>0</v>
      </c>
      <c r="CS778" s="37">
        <v>0</v>
      </c>
      <c r="CT778" s="37">
        <v>0</v>
      </c>
      <c r="CU778" s="37">
        <v>0</v>
      </c>
      <c r="CV778" s="37">
        <v>0</v>
      </c>
      <c r="CW778" s="37">
        <v>0</v>
      </c>
      <c r="CX778" s="37">
        <v>0</v>
      </c>
      <c r="CY778" s="37">
        <v>0</v>
      </c>
      <c r="CZ778" s="37">
        <v>0</v>
      </c>
      <c r="DA778" s="37">
        <v>3000000</v>
      </c>
      <c r="DB778" s="37">
        <v>1414100</v>
      </c>
      <c r="DC778" s="37">
        <v>0</v>
      </c>
      <c r="DD778" s="37">
        <v>210000</v>
      </c>
      <c r="DE778" s="37">
        <v>0</v>
      </c>
      <c r="DF778" s="37">
        <v>0</v>
      </c>
      <c r="DG778" s="37">
        <v>3000000</v>
      </c>
      <c r="DH778" s="37">
        <v>3000000</v>
      </c>
      <c r="DI778" s="37">
        <v>3000000</v>
      </c>
      <c r="DJ778" s="37">
        <v>3000000</v>
      </c>
      <c r="DK778" s="37">
        <v>3000000</v>
      </c>
      <c r="DL778" s="37">
        <v>16624100</v>
      </c>
      <c r="DM778" s="37">
        <v>0</v>
      </c>
      <c r="DN778" s="37">
        <v>0</v>
      </c>
      <c r="DO778" s="37">
        <v>0</v>
      </c>
      <c r="DP778" s="37">
        <v>0</v>
      </c>
      <c r="DQ778" s="37">
        <v>0</v>
      </c>
      <c r="DR778" s="37">
        <v>0</v>
      </c>
      <c r="DS778" s="37">
        <v>0</v>
      </c>
      <c r="DT778" s="37">
        <v>0</v>
      </c>
      <c r="DU778" s="37">
        <v>0</v>
      </c>
      <c r="DV778" s="37">
        <v>0</v>
      </c>
      <c r="DW778" s="37">
        <v>0</v>
      </c>
      <c r="DX778" s="37">
        <v>0</v>
      </c>
      <c r="DY778" s="37">
        <v>1500000</v>
      </c>
      <c r="DZ778" s="37">
        <v>959600</v>
      </c>
      <c r="EA778" s="37">
        <v>1800000</v>
      </c>
      <c r="EB778" s="37">
        <v>1500000</v>
      </c>
      <c r="EC778" s="37">
        <v>1500000</v>
      </c>
      <c r="ED778" s="37">
        <v>1500000</v>
      </c>
      <c r="EE778" s="37">
        <v>0</v>
      </c>
      <c r="EF778" s="37">
        <v>0</v>
      </c>
      <c r="EG778" s="37">
        <v>0</v>
      </c>
      <c r="EH778" s="37">
        <v>0</v>
      </c>
      <c r="EI778" s="37">
        <v>0</v>
      </c>
      <c r="EJ778" s="37">
        <v>7259600</v>
      </c>
      <c r="EK778" s="161" t="s">
        <v>3016</v>
      </c>
      <c r="EL778" s="294" t="s">
        <v>1124</v>
      </c>
    </row>
    <row r="779" spans="1:142" ht="15" customHeight="1" x14ac:dyDescent="0.35">
      <c r="A779" s="34"/>
      <c r="B779" s="313">
        <v>29025</v>
      </c>
      <c r="C779" s="8" t="s">
        <v>204</v>
      </c>
      <c r="D779" s="18">
        <v>12</v>
      </c>
      <c r="E779" s="155"/>
      <c r="F779" s="36"/>
      <c r="G779" s="37"/>
      <c r="H779" s="37"/>
      <c r="I779" s="37"/>
      <c r="J779" s="37"/>
      <c r="K779" s="37"/>
      <c r="L779" s="37"/>
      <c r="M779" s="37" t="s">
        <v>1124</v>
      </c>
      <c r="N779" s="37" t="s">
        <v>1124</v>
      </c>
      <c r="O779" s="37"/>
      <c r="P779" s="37"/>
      <c r="Q779" s="37"/>
      <c r="R779" s="37"/>
      <c r="S779" s="37"/>
      <c r="T779" s="37"/>
      <c r="U779" s="37"/>
      <c r="V779" s="37"/>
      <c r="W779" s="37"/>
      <c r="X779" s="37"/>
      <c r="Y779" s="37"/>
      <c r="Z779" s="37"/>
      <c r="AA779" s="37" t="s">
        <v>1124</v>
      </c>
      <c r="AB779" s="37" t="s">
        <v>1124</v>
      </c>
      <c r="AC779" s="37"/>
      <c r="AD779" s="37"/>
      <c r="AE779" s="37"/>
      <c r="AF779" s="168"/>
      <c r="AG779" s="37"/>
      <c r="AH779" s="37"/>
      <c r="AI779" s="37"/>
      <c r="AJ779" s="37"/>
      <c r="AK779" s="37"/>
      <c r="AL779" s="37"/>
      <c r="AM779" s="37"/>
      <c r="AN779" s="37"/>
      <c r="AO779" s="37"/>
      <c r="AP779" s="37"/>
      <c r="AQ779" s="37"/>
      <c r="AR779" s="37" t="s">
        <v>1124</v>
      </c>
      <c r="AS779" s="37"/>
      <c r="AT779" s="37"/>
      <c r="AU779" s="37"/>
      <c r="AV779" s="37"/>
      <c r="AW779" s="37"/>
      <c r="AX779" s="37"/>
      <c r="AY779" s="37"/>
      <c r="AZ779" s="37"/>
      <c r="BA779" s="37"/>
      <c r="BB779" s="37"/>
      <c r="BC779" s="37"/>
      <c r="BD779" s="37" t="s">
        <v>1124</v>
      </c>
      <c r="BE779" s="37"/>
      <c r="BF779" s="37"/>
      <c r="BG779" s="37"/>
      <c r="BH779" s="37"/>
      <c r="BI779" s="37"/>
      <c r="BJ779" s="37"/>
      <c r="BK779" s="37"/>
      <c r="BL779" s="37"/>
      <c r="BM779" s="37"/>
      <c r="BN779" s="37"/>
      <c r="BO779" s="37"/>
      <c r="BP779" s="37">
        <v>0</v>
      </c>
      <c r="BQ779" s="37"/>
      <c r="BR779" s="37"/>
      <c r="BS779" s="37"/>
      <c r="BT779" s="37"/>
      <c r="BU779" s="37"/>
      <c r="BV779" s="37"/>
      <c r="BW779" s="37"/>
      <c r="BX779" s="37"/>
      <c r="BY779" s="37"/>
      <c r="BZ779" s="37"/>
      <c r="CA779" s="37"/>
      <c r="CB779" s="37" t="s">
        <v>1124</v>
      </c>
      <c r="CC779" s="37"/>
      <c r="CD779" s="37"/>
      <c r="CE779" s="37"/>
      <c r="CF779" s="37"/>
      <c r="CG779" s="37"/>
      <c r="CH779" s="37"/>
      <c r="CI779" s="37"/>
      <c r="CJ779" s="37"/>
      <c r="CK779" s="37"/>
      <c r="CL779" s="37"/>
      <c r="CM779" s="37"/>
      <c r="CN779" s="37" t="s">
        <v>1124</v>
      </c>
      <c r="CO779" s="37"/>
      <c r="CP779" s="37"/>
      <c r="CQ779" s="37"/>
      <c r="CR779" s="37"/>
      <c r="CS779" s="37"/>
      <c r="CT779" s="37"/>
      <c r="CU779" s="37"/>
      <c r="CV779" s="37"/>
      <c r="CW779" s="37"/>
      <c r="CX779" s="37"/>
      <c r="CY779" s="37"/>
      <c r="CZ779" s="37" t="s">
        <v>1124</v>
      </c>
      <c r="DA779" s="37"/>
      <c r="DB779" s="37"/>
      <c r="DC779" s="37"/>
      <c r="DD779" s="37"/>
      <c r="DE779" s="37"/>
      <c r="DF779" s="37"/>
      <c r="DG779" s="37"/>
      <c r="DH779" s="37"/>
      <c r="DI779" s="37"/>
      <c r="DJ779" s="37"/>
      <c r="DK779" s="37"/>
      <c r="DL779" s="37" t="s">
        <v>1124</v>
      </c>
      <c r="DM779" s="37"/>
      <c r="DN779" s="37"/>
      <c r="DO779" s="37"/>
      <c r="DP779" s="37"/>
      <c r="DQ779" s="37"/>
      <c r="DR779" s="37"/>
      <c r="DS779" s="37"/>
      <c r="DT779" s="37"/>
      <c r="DU779" s="37"/>
      <c r="DV779" s="37"/>
      <c r="DW779" s="37"/>
      <c r="DX779" s="37" t="s">
        <v>1124</v>
      </c>
      <c r="DY779" s="37"/>
      <c r="DZ779" s="37"/>
      <c r="EA779" s="37"/>
      <c r="EB779" s="37"/>
      <c r="EC779" s="37"/>
      <c r="ED779" s="37"/>
      <c r="EE779" s="37"/>
      <c r="EF779" s="37"/>
      <c r="EG779" s="37"/>
      <c r="EH779" s="37"/>
      <c r="EI779" s="37"/>
      <c r="EJ779" s="37" t="s">
        <v>1124</v>
      </c>
      <c r="EK779" s="161"/>
      <c r="EL779" s="294"/>
    </row>
    <row r="780" spans="1:142" ht="15" customHeight="1" x14ac:dyDescent="0.35">
      <c r="A780" s="34"/>
      <c r="B780" s="313">
        <v>53025</v>
      </c>
      <c r="C780" s="8" t="s">
        <v>534</v>
      </c>
      <c r="D780" s="18">
        <v>16</v>
      </c>
      <c r="E780" s="155"/>
      <c r="F780" s="36"/>
      <c r="G780" s="37"/>
      <c r="H780" s="37"/>
      <c r="I780" s="37"/>
      <c r="J780" s="37"/>
      <c r="K780" s="37"/>
      <c r="L780" s="37"/>
      <c r="M780" s="37" t="s">
        <v>1124</v>
      </c>
      <c r="N780" s="37" t="s">
        <v>1124</v>
      </c>
      <c r="O780" s="37"/>
      <c r="P780" s="37"/>
      <c r="Q780" s="37"/>
      <c r="R780" s="37"/>
      <c r="S780" s="37"/>
      <c r="T780" s="37"/>
      <c r="U780" s="37"/>
      <c r="V780" s="37"/>
      <c r="W780" s="37"/>
      <c r="X780" s="37"/>
      <c r="Y780" s="37"/>
      <c r="Z780" s="37"/>
      <c r="AA780" s="37" t="s">
        <v>1124</v>
      </c>
      <c r="AB780" s="37" t="s">
        <v>1124</v>
      </c>
      <c r="AC780" s="37"/>
      <c r="AD780" s="37"/>
      <c r="AE780" s="37"/>
      <c r="AF780" s="168"/>
      <c r="AG780" s="37"/>
      <c r="AH780" s="37"/>
      <c r="AI780" s="37"/>
      <c r="AJ780" s="37"/>
      <c r="AK780" s="37"/>
      <c r="AL780" s="37"/>
      <c r="AM780" s="37"/>
      <c r="AN780" s="37"/>
      <c r="AO780" s="37"/>
      <c r="AP780" s="37"/>
      <c r="AQ780" s="37"/>
      <c r="AR780" s="37" t="s">
        <v>1124</v>
      </c>
      <c r="AS780" s="37"/>
      <c r="AT780" s="37"/>
      <c r="AU780" s="37"/>
      <c r="AV780" s="37"/>
      <c r="AW780" s="37"/>
      <c r="AX780" s="37"/>
      <c r="AY780" s="37"/>
      <c r="AZ780" s="37"/>
      <c r="BA780" s="37"/>
      <c r="BB780" s="37"/>
      <c r="BC780" s="37"/>
      <c r="BD780" s="37" t="s">
        <v>1124</v>
      </c>
      <c r="BE780" s="37"/>
      <c r="BF780" s="37"/>
      <c r="BG780" s="37"/>
      <c r="BH780" s="37"/>
      <c r="BI780" s="37"/>
      <c r="BJ780" s="37"/>
      <c r="BK780" s="37"/>
      <c r="BL780" s="37"/>
      <c r="BM780" s="37"/>
      <c r="BN780" s="37"/>
      <c r="BO780" s="37"/>
      <c r="BP780" s="37">
        <v>0</v>
      </c>
      <c r="BQ780" s="37"/>
      <c r="BR780" s="37"/>
      <c r="BS780" s="37"/>
      <c r="BT780" s="37"/>
      <c r="BU780" s="37"/>
      <c r="BV780" s="37"/>
      <c r="BW780" s="37"/>
      <c r="BX780" s="37"/>
      <c r="BY780" s="37"/>
      <c r="BZ780" s="37"/>
      <c r="CA780" s="37"/>
      <c r="CB780" s="37" t="s">
        <v>1124</v>
      </c>
      <c r="CC780" s="37"/>
      <c r="CD780" s="37"/>
      <c r="CE780" s="37"/>
      <c r="CF780" s="37"/>
      <c r="CG780" s="37"/>
      <c r="CH780" s="37"/>
      <c r="CI780" s="37"/>
      <c r="CJ780" s="37"/>
      <c r="CK780" s="37"/>
      <c r="CL780" s="37"/>
      <c r="CM780" s="37"/>
      <c r="CN780" s="37" t="s">
        <v>1124</v>
      </c>
      <c r="CO780" s="37"/>
      <c r="CP780" s="37"/>
      <c r="CQ780" s="37"/>
      <c r="CR780" s="37"/>
      <c r="CS780" s="37"/>
      <c r="CT780" s="37"/>
      <c r="CU780" s="37"/>
      <c r="CV780" s="37"/>
      <c r="CW780" s="37"/>
      <c r="CX780" s="37"/>
      <c r="CY780" s="37"/>
      <c r="CZ780" s="37" t="s">
        <v>1124</v>
      </c>
      <c r="DA780" s="37"/>
      <c r="DB780" s="37"/>
      <c r="DC780" s="37"/>
      <c r="DD780" s="37"/>
      <c r="DE780" s="37"/>
      <c r="DF780" s="37"/>
      <c r="DG780" s="37"/>
      <c r="DH780" s="37"/>
      <c r="DI780" s="37"/>
      <c r="DJ780" s="37"/>
      <c r="DK780" s="37"/>
      <c r="DL780" s="37" t="s">
        <v>1124</v>
      </c>
      <c r="DM780" s="37"/>
      <c r="DN780" s="37"/>
      <c r="DO780" s="37"/>
      <c r="DP780" s="37"/>
      <c r="DQ780" s="37"/>
      <c r="DR780" s="37"/>
      <c r="DS780" s="37"/>
      <c r="DT780" s="37"/>
      <c r="DU780" s="37"/>
      <c r="DV780" s="37"/>
      <c r="DW780" s="37"/>
      <c r="DX780" s="37" t="s">
        <v>1124</v>
      </c>
      <c r="DY780" s="37"/>
      <c r="DZ780" s="37"/>
      <c r="EA780" s="37"/>
      <c r="EB780" s="37"/>
      <c r="EC780" s="37"/>
      <c r="ED780" s="37"/>
      <c r="EE780" s="37"/>
      <c r="EF780" s="37"/>
      <c r="EG780" s="37"/>
      <c r="EH780" s="37"/>
      <c r="EI780" s="37"/>
      <c r="EJ780" s="37" t="s">
        <v>1124</v>
      </c>
      <c r="EK780" s="161"/>
      <c r="EL780" s="294"/>
    </row>
    <row r="781" spans="1:142" ht="15" customHeight="1" x14ac:dyDescent="0.35">
      <c r="A781" s="34"/>
      <c r="B781" s="313">
        <v>10070</v>
      </c>
      <c r="C781" s="8" t="s">
        <v>15</v>
      </c>
      <c r="D781" s="18">
        <v>1</v>
      </c>
      <c r="E781" s="155">
        <v>139104</v>
      </c>
      <c r="F781" s="36">
        <v>48261</v>
      </c>
      <c r="G781" s="37">
        <v>0</v>
      </c>
      <c r="H781" s="37">
        <v>0</v>
      </c>
      <c r="I781" s="37">
        <v>0</v>
      </c>
      <c r="J781" s="37">
        <v>0</v>
      </c>
      <c r="K781" s="37">
        <v>35000</v>
      </c>
      <c r="L781" s="37">
        <v>35000</v>
      </c>
      <c r="M781" s="37">
        <v>174104</v>
      </c>
      <c r="N781" s="37">
        <v>83261</v>
      </c>
      <c r="O781" s="37">
        <v>0</v>
      </c>
      <c r="P781" s="37">
        <v>0</v>
      </c>
      <c r="Q781" s="37">
        <v>149108</v>
      </c>
      <c r="R781" s="37">
        <v>77529</v>
      </c>
      <c r="S781" s="37">
        <v>0</v>
      </c>
      <c r="T781" s="37">
        <v>0</v>
      </c>
      <c r="U781" s="37">
        <v>0</v>
      </c>
      <c r="V781" s="37">
        <v>0</v>
      </c>
      <c r="W781" s="37">
        <v>15364</v>
      </c>
      <c r="X781" s="37">
        <v>15364</v>
      </c>
      <c r="Y781" s="37">
        <v>0</v>
      </c>
      <c r="Z781" s="37">
        <v>0</v>
      </c>
      <c r="AA781" s="37">
        <v>164472</v>
      </c>
      <c r="AB781" s="37">
        <v>92893</v>
      </c>
      <c r="AC781" s="37">
        <v>0</v>
      </c>
      <c r="AD781" s="37">
        <v>0</v>
      </c>
      <c r="AE781" s="37">
        <v>25200</v>
      </c>
      <c r="AF781" s="168">
        <v>0.02</v>
      </c>
      <c r="AG781" s="37">
        <v>29346942.100000001</v>
      </c>
      <c r="AH781" s="37">
        <v>232520.7</v>
      </c>
      <c r="AI781" s="37">
        <v>237171.11</v>
      </c>
      <c r="AJ781" s="37">
        <v>241914.53</v>
      </c>
      <c r="AK781" s="37">
        <v>246752.82</v>
      </c>
      <c r="AL781" s="37">
        <v>251687.88</v>
      </c>
      <c r="AM781" s="37">
        <v>256721.64</v>
      </c>
      <c r="AN781" s="37">
        <v>261856.07</v>
      </c>
      <c r="AO781" s="37">
        <v>267093.19</v>
      </c>
      <c r="AP781" s="37">
        <v>272435.06</v>
      </c>
      <c r="AQ781" s="37">
        <v>277883.26</v>
      </c>
      <c r="AR781" s="37">
        <v>2546036.2600000002</v>
      </c>
      <c r="AS781" s="37">
        <v>258570</v>
      </c>
      <c r="AT781" s="37">
        <v>0</v>
      </c>
      <c r="AU781" s="37">
        <v>2169896.21</v>
      </c>
      <c r="AV781" s="37">
        <v>2213294.14</v>
      </c>
      <c r="AW781" s="37">
        <v>0</v>
      </c>
      <c r="AX781" s="37">
        <v>0</v>
      </c>
      <c r="AY781" s="37">
        <v>0</v>
      </c>
      <c r="AZ781" s="37">
        <v>0</v>
      </c>
      <c r="BA781" s="37">
        <v>0</v>
      </c>
      <c r="BB781" s="37">
        <v>0</v>
      </c>
      <c r="BC781" s="37">
        <v>0</v>
      </c>
      <c r="BD781" s="37">
        <v>4383190.3499999996</v>
      </c>
      <c r="BE781" s="37">
        <v>903600</v>
      </c>
      <c r="BF781" s="37">
        <v>0</v>
      </c>
      <c r="BG781" s="37">
        <v>0</v>
      </c>
      <c r="BH781" s="37">
        <v>0</v>
      </c>
      <c r="BI781" s="37">
        <v>0</v>
      </c>
      <c r="BJ781" s="37">
        <v>0</v>
      </c>
      <c r="BK781" s="37">
        <v>0</v>
      </c>
      <c r="BL781" s="37">
        <v>0</v>
      </c>
      <c r="BM781" s="37">
        <v>0</v>
      </c>
      <c r="BN781" s="37">
        <v>0</v>
      </c>
      <c r="BO781" s="37">
        <v>0</v>
      </c>
      <c r="BP781" s="37">
        <v>0</v>
      </c>
      <c r="BQ781" s="37">
        <v>0</v>
      </c>
      <c r="BR781" s="37">
        <v>0</v>
      </c>
      <c r="BS781" s="37">
        <v>0</v>
      </c>
      <c r="BT781" s="37">
        <v>0</v>
      </c>
      <c r="BU781" s="37">
        <v>0</v>
      </c>
      <c r="BV781" s="37">
        <v>0</v>
      </c>
      <c r="BW781" s="37">
        <v>0</v>
      </c>
      <c r="BX781" s="37">
        <v>0</v>
      </c>
      <c r="BY781" s="37">
        <v>0</v>
      </c>
      <c r="BZ781" s="37">
        <v>0</v>
      </c>
      <c r="CA781" s="37">
        <v>0</v>
      </c>
      <c r="CB781" s="37">
        <v>0</v>
      </c>
      <c r="CC781" s="37">
        <v>0</v>
      </c>
      <c r="CD781" s="37">
        <v>0</v>
      </c>
      <c r="CE781" s="37">
        <v>0</v>
      </c>
      <c r="CF781" s="37">
        <v>0</v>
      </c>
      <c r="CG781" s="37">
        <v>0</v>
      </c>
      <c r="CH781" s="37">
        <v>0</v>
      </c>
      <c r="CI781" s="37">
        <v>0</v>
      </c>
      <c r="CJ781" s="37">
        <v>0</v>
      </c>
      <c r="CK781" s="37">
        <v>0</v>
      </c>
      <c r="CL781" s="37">
        <v>0</v>
      </c>
      <c r="CM781" s="37">
        <v>0</v>
      </c>
      <c r="CN781" s="37">
        <v>0</v>
      </c>
      <c r="CO781" s="37">
        <v>0</v>
      </c>
      <c r="CP781" s="37">
        <v>0</v>
      </c>
      <c r="CQ781" s="37">
        <v>0</v>
      </c>
      <c r="CR781" s="37">
        <v>0</v>
      </c>
      <c r="CS781" s="37">
        <v>0</v>
      </c>
      <c r="CT781" s="37">
        <v>0</v>
      </c>
      <c r="CU781" s="37">
        <v>0</v>
      </c>
      <c r="CV781" s="37">
        <v>0</v>
      </c>
      <c r="CW781" s="37">
        <v>0</v>
      </c>
      <c r="CX781" s="37">
        <v>0</v>
      </c>
      <c r="CY781" s="37">
        <v>0</v>
      </c>
      <c r="CZ781" s="37">
        <v>0</v>
      </c>
      <c r="DA781" s="37">
        <v>0</v>
      </c>
      <c r="DB781" s="37">
        <v>0</v>
      </c>
      <c r="DC781" s="37">
        <v>0</v>
      </c>
      <c r="DD781" s="37">
        <v>0</v>
      </c>
      <c r="DE781" s="37">
        <v>0</v>
      </c>
      <c r="DF781" s="37">
        <v>0</v>
      </c>
      <c r="DG781" s="37">
        <v>0</v>
      </c>
      <c r="DH781" s="37">
        <v>0</v>
      </c>
      <c r="DI781" s="37">
        <v>0</v>
      </c>
      <c r="DJ781" s="37">
        <v>0</v>
      </c>
      <c r="DK781" s="37">
        <v>0</v>
      </c>
      <c r="DL781" s="37">
        <v>0</v>
      </c>
      <c r="DM781" s="37">
        <v>0</v>
      </c>
      <c r="DN781" s="37">
        <v>0</v>
      </c>
      <c r="DO781" s="37">
        <v>0</v>
      </c>
      <c r="DP781" s="37">
        <v>0</v>
      </c>
      <c r="DQ781" s="37">
        <v>0</v>
      </c>
      <c r="DR781" s="37">
        <v>0</v>
      </c>
      <c r="DS781" s="37">
        <v>0</v>
      </c>
      <c r="DT781" s="37">
        <v>0</v>
      </c>
      <c r="DU781" s="37">
        <v>0</v>
      </c>
      <c r="DV781" s="37">
        <v>0</v>
      </c>
      <c r="DW781" s="37">
        <v>0</v>
      </c>
      <c r="DX781" s="37">
        <v>0</v>
      </c>
      <c r="DY781" s="37">
        <v>0</v>
      </c>
      <c r="DZ781" s="37">
        <v>0</v>
      </c>
      <c r="EA781" s="37">
        <v>0</v>
      </c>
      <c r="EB781" s="37">
        <v>0</v>
      </c>
      <c r="EC781" s="37">
        <v>0</v>
      </c>
      <c r="ED781" s="37">
        <v>0</v>
      </c>
      <c r="EE781" s="37">
        <v>0</v>
      </c>
      <c r="EF781" s="37">
        <v>0</v>
      </c>
      <c r="EG781" s="37">
        <v>0</v>
      </c>
      <c r="EH781" s="37">
        <v>0</v>
      </c>
      <c r="EI781" s="37">
        <v>0</v>
      </c>
      <c r="EJ781" s="37">
        <v>0</v>
      </c>
      <c r="EK781" s="161" t="s">
        <v>3021</v>
      </c>
      <c r="EL781" s="294" t="s">
        <v>1124</v>
      </c>
    </row>
    <row r="782" spans="1:142" ht="15" customHeight="1" x14ac:dyDescent="0.35">
      <c r="A782" s="34"/>
      <c r="B782" s="313">
        <v>18015</v>
      </c>
      <c r="C782" s="8" t="s">
        <v>106</v>
      </c>
      <c r="D782" s="18">
        <v>12</v>
      </c>
      <c r="E782" s="155">
        <v>90815</v>
      </c>
      <c r="F782" s="36">
        <v>43308</v>
      </c>
      <c r="G782" s="37">
        <v>3326</v>
      </c>
      <c r="H782" s="37">
        <v>0</v>
      </c>
      <c r="I782" s="37">
        <v>23526.62</v>
      </c>
      <c r="J782" s="37">
        <v>0</v>
      </c>
      <c r="K782" s="37">
        <v>13622.25</v>
      </c>
      <c r="L782" s="37">
        <v>6496.2</v>
      </c>
      <c r="M782" s="37">
        <v>131289.87</v>
      </c>
      <c r="N782" s="37">
        <v>49804.2</v>
      </c>
      <c r="O782" s="37">
        <v>0</v>
      </c>
      <c r="P782" s="37">
        <v>0</v>
      </c>
      <c r="Q782" s="37">
        <v>18402</v>
      </c>
      <c r="R782" s="37">
        <v>18402</v>
      </c>
      <c r="S782" s="37">
        <v>0</v>
      </c>
      <c r="T782" s="37">
        <v>0</v>
      </c>
      <c r="U782" s="37">
        <v>0</v>
      </c>
      <c r="V782" s="37">
        <v>0</v>
      </c>
      <c r="W782" s="37">
        <v>112887.87</v>
      </c>
      <c r="X782" s="37">
        <v>31402.199999999997</v>
      </c>
      <c r="Y782" s="37">
        <v>0</v>
      </c>
      <c r="Z782" s="37">
        <v>0</v>
      </c>
      <c r="AA782" s="37">
        <v>131289.87</v>
      </c>
      <c r="AB782" s="37">
        <v>49804.2</v>
      </c>
      <c r="AC782" s="37">
        <v>0</v>
      </c>
      <c r="AD782" s="37">
        <v>0</v>
      </c>
      <c r="AE782" s="37">
        <v>81129</v>
      </c>
      <c r="AF782" s="168">
        <v>0.02</v>
      </c>
      <c r="AG782" s="37">
        <v>11054062.210000001</v>
      </c>
      <c r="AH782" s="37">
        <v>94003.39</v>
      </c>
      <c r="AI782" s="37">
        <v>114985.2</v>
      </c>
      <c r="AJ782" s="37">
        <v>115661.26</v>
      </c>
      <c r="AK782" s="37">
        <v>116134.35</v>
      </c>
      <c r="AL782" s="37">
        <v>115641.63</v>
      </c>
      <c r="AM782" s="37">
        <v>115657.09</v>
      </c>
      <c r="AN782" s="37">
        <v>96099.26</v>
      </c>
      <c r="AO782" s="37">
        <v>98021.24</v>
      </c>
      <c r="AP782" s="37">
        <v>99981.67</v>
      </c>
      <c r="AQ782" s="37">
        <v>101981.3</v>
      </c>
      <c r="AR782" s="37">
        <v>1068166.3899999999</v>
      </c>
      <c r="AS782" s="37">
        <v>131551.29999999999</v>
      </c>
      <c r="AT782" s="37">
        <v>0</v>
      </c>
      <c r="AU782" s="37">
        <v>0</v>
      </c>
      <c r="AV782" s="37">
        <v>0</v>
      </c>
      <c r="AW782" s="37">
        <v>0</v>
      </c>
      <c r="AX782" s="37">
        <v>0</v>
      </c>
      <c r="AY782" s="37">
        <v>0</v>
      </c>
      <c r="AZ782" s="37">
        <v>0</v>
      </c>
      <c r="BA782" s="37">
        <v>0</v>
      </c>
      <c r="BB782" s="37">
        <v>0</v>
      </c>
      <c r="BC782" s="37">
        <v>0</v>
      </c>
      <c r="BD782" s="37">
        <v>0</v>
      </c>
      <c r="BE782" s="37">
        <v>32945</v>
      </c>
      <c r="BF782" s="37">
        <v>150000</v>
      </c>
      <c r="BG782" s="37">
        <v>0</v>
      </c>
      <c r="BH782" s="37">
        <v>0</v>
      </c>
      <c r="BI782" s="37">
        <v>0</v>
      </c>
      <c r="BJ782" s="37">
        <v>0</v>
      </c>
      <c r="BK782" s="37">
        <v>0</v>
      </c>
      <c r="BL782" s="37">
        <v>0</v>
      </c>
      <c r="BM782" s="37">
        <v>0</v>
      </c>
      <c r="BN782" s="37">
        <v>0</v>
      </c>
      <c r="BO782" s="37">
        <v>0</v>
      </c>
      <c r="BP782" s="37">
        <v>150000</v>
      </c>
      <c r="BQ782" s="37">
        <v>0</v>
      </c>
      <c r="BR782" s="37">
        <v>0</v>
      </c>
      <c r="BS782" s="37">
        <v>0</v>
      </c>
      <c r="BT782" s="37">
        <v>0</v>
      </c>
      <c r="BU782" s="37">
        <v>0</v>
      </c>
      <c r="BV782" s="37">
        <v>0</v>
      </c>
      <c r="BW782" s="37">
        <v>0</v>
      </c>
      <c r="BX782" s="37">
        <v>0</v>
      </c>
      <c r="BY782" s="37">
        <v>0</v>
      </c>
      <c r="BZ782" s="37">
        <v>0</v>
      </c>
      <c r="CA782" s="37">
        <v>0</v>
      </c>
      <c r="CB782" s="37">
        <v>0</v>
      </c>
      <c r="CC782" s="37">
        <v>0</v>
      </c>
      <c r="CD782" s="37">
        <v>0</v>
      </c>
      <c r="CE782" s="37">
        <v>0</v>
      </c>
      <c r="CF782" s="37">
        <v>0</v>
      </c>
      <c r="CG782" s="37">
        <v>0</v>
      </c>
      <c r="CH782" s="37">
        <v>0</v>
      </c>
      <c r="CI782" s="37">
        <v>0</v>
      </c>
      <c r="CJ782" s="37">
        <v>0</v>
      </c>
      <c r="CK782" s="37">
        <v>0</v>
      </c>
      <c r="CL782" s="37">
        <v>0</v>
      </c>
      <c r="CM782" s="37">
        <v>0</v>
      </c>
      <c r="CN782" s="37">
        <v>0</v>
      </c>
      <c r="CO782" s="37">
        <v>0</v>
      </c>
      <c r="CP782" s="37">
        <v>0</v>
      </c>
      <c r="CQ782" s="37">
        <v>0</v>
      </c>
      <c r="CR782" s="37">
        <v>0</v>
      </c>
      <c r="CS782" s="37">
        <v>0</v>
      </c>
      <c r="CT782" s="37">
        <v>0</v>
      </c>
      <c r="CU782" s="37">
        <v>0</v>
      </c>
      <c r="CV782" s="37">
        <v>0</v>
      </c>
      <c r="CW782" s="37">
        <v>0</v>
      </c>
      <c r="CX782" s="37">
        <v>0</v>
      </c>
      <c r="CY782" s="37">
        <v>0</v>
      </c>
      <c r="CZ782" s="37">
        <v>0</v>
      </c>
      <c r="DA782" s="37">
        <v>0</v>
      </c>
      <c r="DB782" s="37">
        <v>0</v>
      </c>
      <c r="DC782" s="37">
        <v>0</v>
      </c>
      <c r="DD782" s="37">
        <v>0</v>
      </c>
      <c r="DE782" s="37">
        <v>0</v>
      </c>
      <c r="DF782" s="37">
        <v>0</v>
      </c>
      <c r="DG782" s="37">
        <v>0</v>
      </c>
      <c r="DH782" s="37">
        <v>0</v>
      </c>
      <c r="DI782" s="37">
        <v>0</v>
      </c>
      <c r="DJ782" s="37">
        <v>0</v>
      </c>
      <c r="DK782" s="37">
        <v>0</v>
      </c>
      <c r="DL782" s="37">
        <v>0</v>
      </c>
      <c r="DM782" s="37">
        <v>0</v>
      </c>
      <c r="DN782" s="37">
        <v>0</v>
      </c>
      <c r="DO782" s="37">
        <v>0</v>
      </c>
      <c r="DP782" s="37">
        <v>0</v>
      </c>
      <c r="DQ782" s="37">
        <v>0</v>
      </c>
      <c r="DR782" s="37">
        <v>0</v>
      </c>
      <c r="DS782" s="37">
        <v>0</v>
      </c>
      <c r="DT782" s="37">
        <v>0</v>
      </c>
      <c r="DU782" s="37">
        <v>0</v>
      </c>
      <c r="DV782" s="37">
        <v>0</v>
      </c>
      <c r="DW782" s="37">
        <v>0</v>
      </c>
      <c r="DX782" s="37">
        <v>0</v>
      </c>
      <c r="DY782" s="37">
        <v>0</v>
      </c>
      <c r="DZ782" s="37">
        <v>0</v>
      </c>
      <c r="EA782" s="37">
        <v>0</v>
      </c>
      <c r="EB782" s="37">
        <v>0</v>
      </c>
      <c r="EC782" s="37">
        <v>0</v>
      </c>
      <c r="ED782" s="37">
        <v>0</v>
      </c>
      <c r="EE782" s="37">
        <v>0</v>
      </c>
      <c r="EF782" s="37">
        <v>0</v>
      </c>
      <c r="EG782" s="37">
        <v>0</v>
      </c>
      <c r="EH782" s="37">
        <v>0</v>
      </c>
      <c r="EI782" s="37">
        <v>0</v>
      </c>
      <c r="EJ782" s="37">
        <v>0</v>
      </c>
      <c r="EK782" s="161" t="s">
        <v>3024</v>
      </c>
      <c r="EL782" s="294" t="s">
        <v>1124</v>
      </c>
    </row>
    <row r="783" spans="1:142" ht="15" customHeight="1" x14ac:dyDescent="0.35">
      <c r="A783" s="34"/>
      <c r="B783" s="313">
        <v>78047</v>
      </c>
      <c r="C783" s="8" t="s">
        <v>772</v>
      </c>
      <c r="D783" s="18">
        <v>15</v>
      </c>
      <c r="E783" s="155">
        <v>198154</v>
      </c>
      <c r="F783" s="36">
        <v>118120</v>
      </c>
      <c r="G783" s="37">
        <v>57588</v>
      </c>
      <c r="H783" s="37">
        <v>6403</v>
      </c>
      <c r="I783" s="37">
        <v>77979</v>
      </c>
      <c r="J783" s="37">
        <v>35748</v>
      </c>
      <c r="K783" s="37">
        <v>29723</v>
      </c>
      <c r="L783" s="37">
        <v>17718</v>
      </c>
      <c r="M783" s="37">
        <v>363444</v>
      </c>
      <c r="N783" s="37">
        <v>177989</v>
      </c>
      <c r="O783" s="37">
        <v>19301</v>
      </c>
      <c r="P783" s="37">
        <v>0</v>
      </c>
      <c r="Q783" s="37">
        <v>183716</v>
      </c>
      <c r="R783" s="37">
        <v>132816</v>
      </c>
      <c r="S783" s="37">
        <v>0</v>
      </c>
      <c r="T783" s="37">
        <v>0</v>
      </c>
      <c r="U783" s="37">
        <v>31169</v>
      </c>
      <c r="V783" s="37">
        <v>4976</v>
      </c>
      <c r="W783" s="37">
        <v>133559</v>
      </c>
      <c r="X783" s="37">
        <v>44541</v>
      </c>
      <c r="Y783" s="37">
        <v>19395</v>
      </c>
      <c r="Z783" s="37">
        <v>19352</v>
      </c>
      <c r="AA783" s="37">
        <v>387140</v>
      </c>
      <c r="AB783" s="37">
        <v>201685</v>
      </c>
      <c r="AC783" s="37">
        <v>47392</v>
      </c>
      <c r="AD783" s="37">
        <v>47392</v>
      </c>
      <c r="AE783" s="37">
        <v>89874</v>
      </c>
      <c r="AF783" s="168">
        <v>0.02</v>
      </c>
      <c r="AG783" s="37">
        <v>49405555.299999997</v>
      </c>
      <c r="AH783" s="37">
        <v>526942.02</v>
      </c>
      <c r="AI783" s="37">
        <v>537480.86</v>
      </c>
      <c r="AJ783" s="37">
        <v>813532.47</v>
      </c>
      <c r="AK783" s="37">
        <v>829803.12</v>
      </c>
      <c r="AL783" s="37">
        <v>570378.99</v>
      </c>
      <c r="AM783" s="37">
        <v>581786.56000000006</v>
      </c>
      <c r="AN783" s="37">
        <v>593422.30000000005</v>
      </c>
      <c r="AO783" s="37">
        <v>605290.74</v>
      </c>
      <c r="AP783" s="37">
        <v>617396.56000000006</v>
      </c>
      <c r="AQ783" s="37">
        <v>629744.49</v>
      </c>
      <c r="AR783" s="37">
        <v>6305778.1099999994</v>
      </c>
      <c r="AS783" s="37">
        <v>0</v>
      </c>
      <c r="AT783" s="37">
        <v>0</v>
      </c>
      <c r="AU783" s="37">
        <v>0</v>
      </c>
      <c r="AV783" s="37">
        <v>0</v>
      </c>
      <c r="AW783" s="37">
        <v>0</v>
      </c>
      <c r="AX783" s="37">
        <v>0</v>
      </c>
      <c r="AY783" s="37">
        <v>0</v>
      </c>
      <c r="AZ783" s="37">
        <v>0</v>
      </c>
      <c r="BA783" s="37">
        <v>0</v>
      </c>
      <c r="BB783" s="37">
        <v>0</v>
      </c>
      <c r="BC783" s="37">
        <v>0</v>
      </c>
      <c r="BD783" s="37">
        <v>0</v>
      </c>
      <c r="BE783" s="37">
        <v>0</v>
      </c>
      <c r="BF783" s="37">
        <v>300000</v>
      </c>
      <c r="BG783" s="37">
        <v>435000</v>
      </c>
      <c r="BH783" s="37">
        <v>195000</v>
      </c>
      <c r="BI783" s="37">
        <v>60000</v>
      </c>
      <c r="BJ783" s="37">
        <v>0</v>
      </c>
      <c r="BK783" s="37">
        <v>0</v>
      </c>
      <c r="BL783" s="37">
        <v>0</v>
      </c>
      <c r="BM783" s="37">
        <v>0</v>
      </c>
      <c r="BN783" s="37">
        <v>0</v>
      </c>
      <c r="BO783" s="37">
        <v>0</v>
      </c>
      <c r="BP783" s="37">
        <v>990000</v>
      </c>
      <c r="BQ783" s="37">
        <v>0</v>
      </c>
      <c r="BR783" s="37">
        <v>0</v>
      </c>
      <c r="BS783" s="37">
        <v>0</v>
      </c>
      <c r="BT783" s="37">
        <v>0</v>
      </c>
      <c r="BU783" s="37">
        <v>0</v>
      </c>
      <c r="BV783" s="37">
        <v>0</v>
      </c>
      <c r="BW783" s="37">
        <v>0</v>
      </c>
      <c r="BX783" s="37">
        <v>0</v>
      </c>
      <c r="BY783" s="37">
        <v>0</v>
      </c>
      <c r="BZ783" s="37">
        <v>0</v>
      </c>
      <c r="CA783" s="37">
        <v>0</v>
      </c>
      <c r="CB783" s="37">
        <v>0</v>
      </c>
      <c r="CC783" s="37">
        <v>0</v>
      </c>
      <c r="CD783" s="37">
        <v>0</v>
      </c>
      <c r="CE783" s="37">
        <v>0</v>
      </c>
      <c r="CF783" s="37">
        <v>0</v>
      </c>
      <c r="CG783" s="37">
        <v>0</v>
      </c>
      <c r="CH783" s="37">
        <v>0</v>
      </c>
      <c r="CI783" s="37">
        <v>0</v>
      </c>
      <c r="CJ783" s="37">
        <v>0</v>
      </c>
      <c r="CK783" s="37">
        <v>0</v>
      </c>
      <c r="CL783" s="37">
        <v>0</v>
      </c>
      <c r="CM783" s="37">
        <v>0</v>
      </c>
      <c r="CN783" s="37">
        <v>0</v>
      </c>
      <c r="CO783" s="37">
        <v>0</v>
      </c>
      <c r="CP783" s="37">
        <v>0</v>
      </c>
      <c r="CQ783" s="37">
        <v>0</v>
      </c>
      <c r="CR783" s="37">
        <v>0</v>
      </c>
      <c r="CS783" s="37">
        <v>0</v>
      </c>
      <c r="CT783" s="37">
        <v>0</v>
      </c>
      <c r="CU783" s="37">
        <v>0</v>
      </c>
      <c r="CV783" s="37">
        <v>0</v>
      </c>
      <c r="CW783" s="37">
        <v>0</v>
      </c>
      <c r="CX783" s="37">
        <v>0</v>
      </c>
      <c r="CY783" s="37">
        <v>0</v>
      </c>
      <c r="CZ783" s="37">
        <v>0</v>
      </c>
      <c r="DA783" s="37">
        <v>0</v>
      </c>
      <c r="DB783" s="37">
        <v>0</v>
      </c>
      <c r="DC783" s="37">
        <v>0</v>
      </c>
      <c r="DD783" s="37">
        <v>0</v>
      </c>
      <c r="DE783" s="37">
        <v>0</v>
      </c>
      <c r="DF783" s="37">
        <v>0</v>
      </c>
      <c r="DG783" s="37">
        <v>0</v>
      </c>
      <c r="DH783" s="37">
        <v>0</v>
      </c>
      <c r="DI783" s="37">
        <v>0</v>
      </c>
      <c r="DJ783" s="37">
        <v>0</v>
      </c>
      <c r="DK783" s="37">
        <v>0</v>
      </c>
      <c r="DL783" s="37">
        <v>0</v>
      </c>
      <c r="DM783" s="37">
        <v>0</v>
      </c>
      <c r="DN783" s="37">
        <v>0</v>
      </c>
      <c r="DO783" s="37">
        <v>0</v>
      </c>
      <c r="DP783" s="37">
        <v>0</v>
      </c>
      <c r="DQ783" s="37">
        <v>0</v>
      </c>
      <c r="DR783" s="37">
        <v>0</v>
      </c>
      <c r="DS783" s="37">
        <v>0</v>
      </c>
      <c r="DT783" s="37">
        <v>0</v>
      </c>
      <c r="DU783" s="37">
        <v>0</v>
      </c>
      <c r="DV783" s="37">
        <v>0</v>
      </c>
      <c r="DW783" s="37">
        <v>0</v>
      </c>
      <c r="DX783" s="37">
        <v>0</v>
      </c>
      <c r="DY783" s="37">
        <v>0</v>
      </c>
      <c r="DZ783" s="37">
        <v>0</v>
      </c>
      <c r="EA783" s="37">
        <v>0</v>
      </c>
      <c r="EB783" s="37">
        <v>0</v>
      </c>
      <c r="EC783" s="37">
        <v>0</v>
      </c>
      <c r="ED783" s="37">
        <v>0</v>
      </c>
      <c r="EE783" s="37">
        <v>0</v>
      </c>
      <c r="EF783" s="37">
        <v>0</v>
      </c>
      <c r="EG783" s="37">
        <v>0</v>
      </c>
      <c r="EH783" s="37">
        <v>0</v>
      </c>
      <c r="EI783" s="37">
        <v>0</v>
      </c>
      <c r="EJ783" s="37">
        <v>0</v>
      </c>
      <c r="EK783" s="161" t="s">
        <v>3746</v>
      </c>
      <c r="EL783" s="294" t="s">
        <v>1124</v>
      </c>
    </row>
    <row r="784" spans="1:142" ht="15" customHeight="1" x14ac:dyDescent="0.35">
      <c r="A784" s="34"/>
      <c r="B784" s="313">
        <v>91042</v>
      </c>
      <c r="C784" s="8" t="s">
        <v>944</v>
      </c>
      <c r="D784" s="18">
        <v>2</v>
      </c>
      <c r="E784" s="155">
        <v>617220</v>
      </c>
      <c r="F784" s="36">
        <v>674157</v>
      </c>
      <c r="G784" s="37">
        <v>242141</v>
      </c>
      <c r="H784" s="37">
        <v>111491</v>
      </c>
      <c r="I784" s="37">
        <v>1000940</v>
      </c>
      <c r="J784" s="37">
        <v>460872</v>
      </c>
      <c r="K784" s="37">
        <v>92583</v>
      </c>
      <c r="L784" s="37">
        <v>101123.55</v>
      </c>
      <c r="M784" s="37">
        <v>1952884</v>
      </c>
      <c r="N784" s="37">
        <v>1347643.55</v>
      </c>
      <c r="O784" s="37">
        <v>53540</v>
      </c>
      <c r="P784" s="37">
        <v>60649</v>
      </c>
      <c r="Q784" s="37">
        <v>928570</v>
      </c>
      <c r="R784" s="37">
        <v>599798</v>
      </c>
      <c r="S784" s="37">
        <v>26278</v>
      </c>
      <c r="T784" s="37">
        <v>56400</v>
      </c>
      <c r="U784" s="37">
        <v>261925</v>
      </c>
      <c r="V784" s="37">
        <v>529235</v>
      </c>
      <c r="W784" s="37">
        <v>392067</v>
      </c>
      <c r="X784" s="37">
        <v>392066</v>
      </c>
      <c r="Y784" s="37">
        <v>0</v>
      </c>
      <c r="Z784" s="37">
        <v>0</v>
      </c>
      <c r="AA784" s="37">
        <v>1662380</v>
      </c>
      <c r="AB784" s="37">
        <v>1638148</v>
      </c>
      <c r="AC784" s="37">
        <v>0.45000000018626451</v>
      </c>
      <c r="AD784" s="37">
        <v>0</v>
      </c>
      <c r="AE784" s="37">
        <v>0</v>
      </c>
      <c r="AF784" s="168">
        <v>0.02</v>
      </c>
      <c r="AG784" s="37">
        <v>240453221.78999999</v>
      </c>
      <c r="AH784" s="37">
        <v>2359904.2200000002</v>
      </c>
      <c r="AI784" s="37">
        <v>2310532.38</v>
      </c>
      <c r="AJ784" s="37">
        <v>2269034.1800000002</v>
      </c>
      <c r="AK784" s="37">
        <v>2467947.04</v>
      </c>
      <c r="AL784" s="37">
        <v>2343810.73</v>
      </c>
      <c r="AM784" s="37">
        <v>2390686.94</v>
      </c>
      <c r="AN784" s="37">
        <v>2438500.6800000002</v>
      </c>
      <c r="AO784" s="37">
        <v>2487270.69</v>
      </c>
      <c r="AP784" s="37">
        <v>2537016.11</v>
      </c>
      <c r="AQ784" s="37">
        <v>2587756.4300000002</v>
      </c>
      <c r="AR784" s="37">
        <v>24192459.399999999</v>
      </c>
      <c r="AS784" s="37">
        <v>2977374.9</v>
      </c>
      <c r="AT784" s="37">
        <v>1793823</v>
      </c>
      <c r="AU784" s="37">
        <v>1960581.78</v>
      </c>
      <c r="AV784" s="37">
        <v>2706080.4</v>
      </c>
      <c r="AW784" s="37">
        <v>0</v>
      </c>
      <c r="AX784" s="37">
        <v>0</v>
      </c>
      <c r="AY784" s="37">
        <v>382895.22</v>
      </c>
      <c r="AZ784" s="37">
        <v>390553.13</v>
      </c>
      <c r="BA784" s="37">
        <v>398364.19</v>
      </c>
      <c r="BB784" s="37">
        <v>0</v>
      </c>
      <c r="BC784" s="37">
        <v>0</v>
      </c>
      <c r="BD784" s="37">
        <v>7632297.7199999997</v>
      </c>
      <c r="BE784" s="37">
        <v>87968</v>
      </c>
      <c r="BF784" s="37">
        <v>1237000</v>
      </c>
      <c r="BG784" s="37">
        <v>0</v>
      </c>
      <c r="BH784" s="37">
        <v>2099144</v>
      </c>
      <c r="BI784" s="37">
        <v>0</v>
      </c>
      <c r="BJ784" s="37">
        <v>0</v>
      </c>
      <c r="BK784" s="37">
        <v>0</v>
      </c>
      <c r="BL784" s="37">
        <v>0</v>
      </c>
      <c r="BM784" s="37">
        <v>0</v>
      </c>
      <c r="BN784" s="37">
        <v>0</v>
      </c>
      <c r="BO784" s="37">
        <v>0</v>
      </c>
      <c r="BP784" s="37">
        <v>3336144</v>
      </c>
      <c r="BQ784" s="37">
        <v>0</v>
      </c>
      <c r="BR784" s="37">
        <v>370338</v>
      </c>
      <c r="BS784" s="37">
        <v>0</v>
      </c>
      <c r="BT784" s="37">
        <v>524788</v>
      </c>
      <c r="BU784" s="37">
        <v>0</v>
      </c>
      <c r="BV784" s="37">
        <v>0</v>
      </c>
      <c r="BW784" s="37">
        <v>0</v>
      </c>
      <c r="BX784" s="37">
        <v>0</v>
      </c>
      <c r="BY784" s="37">
        <v>0</v>
      </c>
      <c r="BZ784" s="37">
        <v>0</v>
      </c>
      <c r="CA784" s="37">
        <v>0</v>
      </c>
      <c r="CB784" s="37">
        <v>895126</v>
      </c>
      <c r="CC784" s="37">
        <v>0</v>
      </c>
      <c r="CD784" s="37">
        <v>0</v>
      </c>
      <c r="CE784" s="37">
        <v>0</v>
      </c>
      <c r="CF784" s="37">
        <v>0</v>
      </c>
      <c r="CG784" s="37">
        <v>0</v>
      </c>
      <c r="CH784" s="37">
        <v>0</v>
      </c>
      <c r="CI784" s="37">
        <v>0</v>
      </c>
      <c r="CJ784" s="37">
        <v>0</v>
      </c>
      <c r="CK784" s="37">
        <v>0</v>
      </c>
      <c r="CL784" s="37">
        <v>0</v>
      </c>
      <c r="CM784" s="37">
        <v>0</v>
      </c>
      <c r="CN784" s="37">
        <v>0</v>
      </c>
      <c r="CO784" s="37">
        <v>0</v>
      </c>
      <c r="CP784" s="37">
        <v>0</v>
      </c>
      <c r="CQ784" s="37">
        <v>0</v>
      </c>
      <c r="CR784" s="37">
        <v>0</v>
      </c>
      <c r="CS784" s="37">
        <v>0</v>
      </c>
      <c r="CT784" s="37">
        <v>0</v>
      </c>
      <c r="CU784" s="37">
        <v>0</v>
      </c>
      <c r="CV784" s="37">
        <v>0</v>
      </c>
      <c r="CW784" s="37">
        <v>0</v>
      </c>
      <c r="CX784" s="37">
        <v>0</v>
      </c>
      <c r="CY784" s="37">
        <v>0</v>
      </c>
      <c r="CZ784" s="37">
        <v>0</v>
      </c>
      <c r="DA784" s="37">
        <v>0</v>
      </c>
      <c r="DB784" s="37">
        <v>0</v>
      </c>
      <c r="DC784" s="37">
        <v>0</v>
      </c>
      <c r="DD784" s="37">
        <v>0</v>
      </c>
      <c r="DE784" s="37">
        <v>0</v>
      </c>
      <c r="DF784" s="37">
        <v>0</v>
      </c>
      <c r="DG784" s="37">
        <v>0</v>
      </c>
      <c r="DH784" s="37">
        <v>0</v>
      </c>
      <c r="DI784" s="37">
        <v>0</v>
      </c>
      <c r="DJ784" s="37">
        <v>0</v>
      </c>
      <c r="DK784" s="37">
        <v>0</v>
      </c>
      <c r="DL784" s="37">
        <v>0</v>
      </c>
      <c r="DM784" s="37">
        <v>0</v>
      </c>
      <c r="DN784" s="37">
        <v>0</v>
      </c>
      <c r="DO784" s="37">
        <v>0</v>
      </c>
      <c r="DP784" s="37">
        <v>0</v>
      </c>
      <c r="DQ784" s="37">
        <v>0</v>
      </c>
      <c r="DR784" s="37">
        <v>0</v>
      </c>
      <c r="DS784" s="37">
        <v>0</v>
      </c>
      <c r="DT784" s="37">
        <v>0</v>
      </c>
      <c r="DU784" s="37">
        <v>0</v>
      </c>
      <c r="DV784" s="37">
        <v>0</v>
      </c>
      <c r="DW784" s="37">
        <v>0</v>
      </c>
      <c r="DX784" s="37">
        <v>0</v>
      </c>
      <c r="DY784" s="37">
        <v>0</v>
      </c>
      <c r="DZ784" s="37">
        <v>0</v>
      </c>
      <c r="EA784" s="37">
        <v>0</v>
      </c>
      <c r="EB784" s="37">
        <v>0</v>
      </c>
      <c r="EC784" s="37">
        <v>0</v>
      </c>
      <c r="ED784" s="37">
        <v>0</v>
      </c>
      <c r="EE784" s="37">
        <v>0</v>
      </c>
      <c r="EF784" s="37">
        <v>0</v>
      </c>
      <c r="EG784" s="37">
        <v>0</v>
      </c>
      <c r="EH784" s="37">
        <v>0</v>
      </c>
      <c r="EI784" s="37">
        <v>0</v>
      </c>
      <c r="EJ784" s="37">
        <v>0</v>
      </c>
      <c r="EK784" s="161" t="s">
        <v>3028</v>
      </c>
      <c r="EL784" s="294" t="s">
        <v>1124</v>
      </c>
    </row>
    <row r="785" spans="1:142" ht="15" customHeight="1" x14ac:dyDescent="0.35">
      <c r="A785" s="34"/>
      <c r="B785" s="313">
        <v>88060</v>
      </c>
      <c r="C785" s="8" t="s">
        <v>921</v>
      </c>
      <c r="D785" s="18">
        <v>8</v>
      </c>
      <c r="E785" s="155">
        <v>35571</v>
      </c>
      <c r="F785" s="36">
        <v>36172</v>
      </c>
      <c r="G785" s="37">
        <v>18543.849999999999</v>
      </c>
      <c r="H785" s="37">
        <v>12860.257</v>
      </c>
      <c r="I785" s="37">
        <v>33846.85</v>
      </c>
      <c r="J785" s="37">
        <v>10557</v>
      </c>
      <c r="K785" s="37">
        <v>8796.2000000000007</v>
      </c>
      <c r="L785" s="37">
        <v>14755.4</v>
      </c>
      <c r="M785" s="37">
        <v>96757.9</v>
      </c>
      <c r="N785" s="37">
        <v>74344.657000000007</v>
      </c>
      <c r="O785" s="37">
        <v>0</v>
      </c>
      <c r="P785" s="37">
        <v>0</v>
      </c>
      <c r="Q785" s="37">
        <v>68614.34</v>
      </c>
      <c r="R785" s="37">
        <v>40277.339999999997</v>
      </c>
      <c r="S785" s="37">
        <v>0</v>
      </c>
      <c r="T785" s="37">
        <v>0</v>
      </c>
      <c r="U785" s="37">
        <v>0</v>
      </c>
      <c r="V785" s="37">
        <v>0</v>
      </c>
      <c r="W785" s="37">
        <v>36976.78</v>
      </c>
      <c r="X785" s="37">
        <v>28068.89</v>
      </c>
      <c r="Y785" s="37">
        <v>0</v>
      </c>
      <c r="Z785" s="37">
        <v>0</v>
      </c>
      <c r="AA785" s="37">
        <v>105591.12</v>
      </c>
      <c r="AB785" s="37">
        <v>68346.23</v>
      </c>
      <c r="AC785" s="37">
        <v>2834</v>
      </c>
      <c r="AD785" s="37">
        <v>0</v>
      </c>
      <c r="AE785" s="37">
        <v>62216</v>
      </c>
      <c r="AF785" s="168">
        <v>0.02</v>
      </c>
      <c r="AG785" s="37">
        <v>15153108.83</v>
      </c>
      <c r="AH785" s="37">
        <v>119526.78</v>
      </c>
      <c r="AI785" s="37">
        <v>121917.31</v>
      </c>
      <c r="AJ785" s="37">
        <v>124355.66</v>
      </c>
      <c r="AK785" s="37">
        <v>126842.77</v>
      </c>
      <c r="AL785" s="37">
        <v>129379.63</v>
      </c>
      <c r="AM785" s="37">
        <v>131967.22</v>
      </c>
      <c r="AN785" s="37">
        <v>134606.56</v>
      </c>
      <c r="AO785" s="37">
        <v>137298.69</v>
      </c>
      <c r="AP785" s="37">
        <v>140044.67000000001</v>
      </c>
      <c r="AQ785" s="37">
        <v>142845.56</v>
      </c>
      <c r="AR785" s="37">
        <v>1308784.8500000001</v>
      </c>
      <c r="AS785" s="37">
        <v>0</v>
      </c>
      <c r="AT785" s="37">
        <v>0</v>
      </c>
      <c r="AU785" s="37">
        <v>0</v>
      </c>
      <c r="AV785" s="37">
        <v>0</v>
      </c>
      <c r="AW785" s="37">
        <v>0</v>
      </c>
      <c r="AX785" s="37">
        <v>0</v>
      </c>
      <c r="AY785" s="37">
        <v>0</v>
      </c>
      <c r="AZ785" s="37">
        <v>0</v>
      </c>
      <c r="BA785" s="37">
        <v>0</v>
      </c>
      <c r="BB785" s="37">
        <v>0</v>
      </c>
      <c r="BC785" s="37">
        <v>0</v>
      </c>
      <c r="BD785" s="37">
        <v>0</v>
      </c>
      <c r="BE785" s="37">
        <v>0</v>
      </c>
      <c r="BF785" s="37">
        <v>0</v>
      </c>
      <c r="BG785" s="37">
        <v>0</v>
      </c>
      <c r="BH785" s="37">
        <v>0</v>
      </c>
      <c r="BI785" s="37">
        <v>0</v>
      </c>
      <c r="BJ785" s="37">
        <v>0</v>
      </c>
      <c r="BK785" s="37">
        <v>0</v>
      </c>
      <c r="BL785" s="37">
        <v>0</v>
      </c>
      <c r="BM785" s="37">
        <v>0</v>
      </c>
      <c r="BN785" s="37">
        <v>0</v>
      </c>
      <c r="BO785" s="37">
        <v>0</v>
      </c>
      <c r="BP785" s="37">
        <v>0</v>
      </c>
      <c r="BQ785" s="37">
        <v>0</v>
      </c>
      <c r="BR785" s="37">
        <v>0</v>
      </c>
      <c r="BS785" s="37">
        <v>0</v>
      </c>
      <c r="BT785" s="37">
        <v>0</v>
      </c>
      <c r="BU785" s="37">
        <v>0</v>
      </c>
      <c r="BV785" s="37">
        <v>0</v>
      </c>
      <c r="BW785" s="37">
        <v>0</v>
      </c>
      <c r="BX785" s="37">
        <v>0</v>
      </c>
      <c r="BY785" s="37">
        <v>0</v>
      </c>
      <c r="BZ785" s="37">
        <v>0</v>
      </c>
      <c r="CA785" s="37">
        <v>0</v>
      </c>
      <c r="CB785" s="37">
        <v>0</v>
      </c>
      <c r="CC785" s="37">
        <v>0</v>
      </c>
      <c r="CD785" s="37">
        <v>0</v>
      </c>
      <c r="CE785" s="37">
        <v>0</v>
      </c>
      <c r="CF785" s="37">
        <v>0</v>
      </c>
      <c r="CG785" s="37">
        <v>0</v>
      </c>
      <c r="CH785" s="37">
        <v>0</v>
      </c>
      <c r="CI785" s="37">
        <v>0</v>
      </c>
      <c r="CJ785" s="37">
        <v>0</v>
      </c>
      <c r="CK785" s="37">
        <v>0</v>
      </c>
      <c r="CL785" s="37">
        <v>0</v>
      </c>
      <c r="CM785" s="37">
        <v>0</v>
      </c>
      <c r="CN785" s="37">
        <v>0</v>
      </c>
      <c r="CO785" s="37">
        <v>0</v>
      </c>
      <c r="CP785" s="37">
        <v>0</v>
      </c>
      <c r="CQ785" s="37">
        <v>0</v>
      </c>
      <c r="CR785" s="37">
        <v>0</v>
      </c>
      <c r="CS785" s="37">
        <v>0</v>
      </c>
      <c r="CT785" s="37">
        <v>0</v>
      </c>
      <c r="CU785" s="37">
        <v>0</v>
      </c>
      <c r="CV785" s="37">
        <v>0</v>
      </c>
      <c r="CW785" s="37">
        <v>0</v>
      </c>
      <c r="CX785" s="37">
        <v>0</v>
      </c>
      <c r="CY785" s="37">
        <v>0</v>
      </c>
      <c r="CZ785" s="37">
        <v>0</v>
      </c>
      <c r="DA785" s="37">
        <v>0</v>
      </c>
      <c r="DB785" s="37">
        <v>0</v>
      </c>
      <c r="DC785" s="37">
        <v>0</v>
      </c>
      <c r="DD785" s="37">
        <v>0</v>
      </c>
      <c r="DE785" s="37">
        <v>0</v>
      </c>
      <c r="DF785" s="37">
        <v>0</v>
      </c>
      <c r="DG785" s="37">
        <v>0</v>
      </c>
      <c r="DH785" s="37">
        <v>0</v>
      </c>
      <c r="DI785" s="37">
        <v>0</v>
      </c>
      <c r="DJ785" s="37">
        <v>0</v>
      </c>
      <c r="DK785" s="37">
        <v>0</v>
      </c>
      <c r="DL785" s="37">
        <v>0</v>
      </c>
      <c r="DM785" s="37">
        <v>0</v>
      </c>
      <c r="DN785" s="37">
        <v>0</v>
      </c>
      <c r="DO785" s="37">
        <v>0</v>
      </c>
      <c r="DP785" s="37">
        <v>0</v>
      </c>
      <c r="DQ785" s="37">
        <v>0</v>
      </c>
      <c r="DR785" s="37">
        <v>0</v>
      </c>
      <c r="DS785" s="37">
        <v>0</v>
      </c>
      <c r="DT785" s="37">
        <v>0</v>
      </c>
      <c r="DU785" s="37">
        <v>0</v>
      </c>
      <c r="DV785" s="37">
        <v>0</v>
      </c>
      <c r="DW785" s="37">
        <v>0</v>
      </c>
      <c r="DX785" s="37">
        <v>0</v>
      </c>
      <c r="DY785" s="37">
        <v>0</v>
      </c>
      <c r="DZ785" s="37">
        <v>0</v>
      </c>
      <c r="EA785" s="37">
        <v>0</v>
      </c>
      <c r="EB785" s="37">
        <v>0</v>
      </c>
      <c r="EC785" s="37">
        <v>0</v>
      </c>
      <c r="ED785" s="37">
        <v>0</v>
      </c>
      <c r="EE785" s="37">
        <v>0</v>
      </c>
      <c r="EF785" s="37">
        <v>0</v>
      </c>
      <c r="EG785" s="37">
        <v>0</v>
      </c>
      <c r="EH785" s="37">
        <v>0</v>
      </c>
      <c r="EI785" s="37">
        <v>0</v>
      </c>
      <c r="EJ785" s="37">
        <v>0</v>
      </c>
      <c r="EK785" s="161" t="s">
        <v>3033</v>
      </c>
      <c r="EL785" s="294" t="s">
        <v>1124</v>
      </c>
    </row>
    <row r="786" spans="1:142" ht="15" customHeight="1" x14ac:dyDescent="0.35">
      <c r="A786" s="34"/>
      <c r="B786" s="313">
        <v>49005</v>
      </c>
      <c r="C786" s="8" t="s">
        <v>464</v>
      </c>
      <c r="D786" s="18">
        <v>17</v>
      </c>
      <c r="E786" s="155"/>
      <c r="F786" s="36"/>
      <c r="G786" s="37"/>
      <c r="H786" s="37"/>
      <c r="I786" s="37"/>
      <c r="J786" s="37"/>
      <c r="K786" s="37"/>
      <c r="L786" s="37"/>
      <c r="M786" s="37" t="s">
        <v>1124</v>
      </c>
      <c r="N786" s="37" t="s">
        <v>1124</v>
      </c>
      <c r="O786" s="37"/>
      <c r="P786" s="37"/>
      <c r="Q786" s="37"/>
      <c r="R786" s="37"/>
      <c r="S786" s="37"/>
      <c r="T786" s="37"/>
      <c r="U786" s="37"/>
      <c r="V786" s="37"/>
      <c r="W786" s="37"/>
      <c r="X786" s="37"/>
      <c r="Y786" s="37"/>
      <c r="Z786" s="37"/>
      <c r="AA786" s="37" t="s">
        <v>1124</v>
      </c>
      <c r="AB786" s="37" t="s">
        <v>1124</v>
      </c>
      <c r="AC786" s="37"/>
      <c r="AD786" s="37"/>
      <c r="AE786" s="37"/>
      <c r="AF786" s="168"/>
      <c r="AG786" s="37"/>
      <c r="AH786" s="37"/>
      <c r="AI786" s="37"/>
      <c r="AJ786" s="37"/>
      <c r="AK786" s="37"/>
      <c r="AL786" s="37"/>
      <c r="AM786" s="37"/>
      <c r="AN786" s="37"/>
      <c r="AO786" s="37"/>
      <c r="AP786" s="37"/>
      <c r="AQ786" s="37"/>
      <c r="AR786" s="37" t="s">
        <v>1124</v>
      </c>
      <c r="AS786" s="37"/>
      <c r="AT786" s="37"/>
      <c r="AU786" s="37"/>
      <c r="AV786" s="37"/>
      <c r="AW786" s="37"/>
      <c r="AX786" s="37"/>
      <c r="AY786" s="37"/>
      <c r="AZ786" s="37"/>
      <c r="BA786" s="37"/>
      <c r="BB786" s="37"/>
      <c r="BC786" s="37"/>
      <c r="BD786" s="37" t="s">
        <v>1124</v>
      </c>
      <c r="BE786" s="37"/>
      <c r="BF786" s="37"/>
      <c r="BG786" s="37"/>
      <c r="BH786" s="37"/>
      <c r="BI786" s="37"/>
      <c r="BJ786" s="37"/>
      <c r="BK786" s="37"/>
      <c r="BL786" s="37"/>
      <c r="BM786" s="37"/>
      <c r="BN786" s="37"/>
      <c r="BO786" s="37"/>
      <c r="BP786" s="37">
        <v>0</v>
      </c>
      <c r="BQ786" s="37"/>
      <c r="BR786" s="37"/>
      <c r="BS786" s="37"/>
      <c r="BT786" s="37"/>
      <c r="BU786" s="37"/>
      <c r="BV786" s="37"/>
      <c r="BW786" s="37"/>
      <c r="BX786" s="37"/>
      <c r="BY786" s="37"/>
      <c r="BZ786" s="37"/>
      <c r="CA786" s="37"/>
      <c r="CB786" s="37" t="s">
        <v>1124</v>
      </c>
      <c r="CC786" s="37"/>
      <c r="CD786" s="37"/>
      <c r="CE786" s="37"/>
      <c r="CF786" s="37"/>
      <c r="CG786" s="37"/>
      <c r="CH786" s="37"/>
      <c r="CI786" s="37"/>
      <c r="CJ786" s="37"/>
      <c r="CK786" s="37"/>
      <c r="CL786" s="37"/>
      <c r="CM786" s="37"/>
      <c r="CN786" s="37" t="s">
        <v>1124</v>
      </c>
      <c r="CO786" s="37"/>
      <c r="CP786" s="37"/>
      <c r="CQ786" s="37"/>
      <c r="CR786" s="37"/>
      <c r="CS786" s="37"/>
      <c r="CT786" s="37"/>
      <c r="CU786" s="37"/>
      <c r="CV786" s="37"/>
      <c r="CW786" s="37"/>
      <c r="CX786" s="37"/>
      <c r="CY786" s="37"/>
      <c r="CZ786" s="37" t="s">
        <v>1124</v>
      </c>
      <c r="DA786" s="37"/>
      <c r="DB786" s="37"/>
      <c r="DC786" s="37"/>
      <c r="DD786" s="37"/>
      <c r="DE786" s="37"/>
      <c r="DF786" s="37"/>
      <c r="DG786" s="37"/>
      <c r="DH786" s="37"/>
      <c r="DI786" s="37"/>
      <c r="DJ786" s="37"/>
      <c r="DK786" s="37"/>
      <c r="DL786" s="37" t="s">
        <v>1124</v>
      </c>
      <c r="DM786" s="37"/>
      <c r="DN786" s="37"/>
      <c r="DO786" s="37"/>
      <c r="DP786" s="37"/>
      <c r="DQ786" s="37"/>
      <c r="DR786" s="37"/>
      <c r="DS786" s="37"/>
      <c r="DT786" s="37"/>
      <c r="DU786" s="37"/>
      <c r="DV786" s="37"/>
      <c r="DW786" s="37"/>
      <c r="DX786" s="37" t="s">
        <v>1124</v>
      </c>
      <c r="DY786" s="37"/>
      <c r="DZ786" s="37"/>
      <c r="EA786" s="37"/>
      <c r="EB786" s="37"/>
      <c r="EC786" s="37"/>
      <c r="ED786" s="37"/>
      <c r="EE786" s="37"/>
      <c r="EF786" s="37"/>
      <c r="EG786" s="37"/>
      <c r="EH786" s="37"/>
      <c r="EI786" s="37"/>
      <c r="EJ786" s="37" t="s">
        <v>1124</v>
      </c>
      <c r="EK786" s="161"/>
      <c r="EL786" s="294"/>
    </row>
    <row r="787" spans="1:142" ht="15" customHeight="1" x14ac:dyDescent="0.35">
      <c r="A787" s="34"/>
      <c r="B787" s="313">
        <v>62007</v>
      </c>
      <c r="C787" s="8" t="s">
        <v>619</v>
      </c>
      <c r="D787" s="18">
        <v>14</v>
      </c>
      <c r="E787" s="155">
        <v>330407</v>
      </c>
      <c r="F787" s="36">
        <v>112862</v>
      </c>
      <c r="G787" s="37">
        <v>117792</v>
      </c>
      <c r="H787" s="37">
        <v>72219</v>
      </c>
      <c r="I787" s="37">
        <v>264000</v>
      </c>
      <c r="J787" s="37">
        <v>160500</v>
      </c>
      <c r="K787" s="37">
        <v>49561</v>
      </c>
      <c r="L787" s="37">
        <v>16929</v>
      </c>
      <c r="M787" s="37">
        <v>761760</v>
      </c>
      <c r="N787" s="37">
        <v>362510</v>
      </c>
      <c r="O787" s="37">
        <v>77290</v>
      </c>
      <c r="P787" s="37">
        <v>9586</v>
      </c>
      <c r="Q787" s="37">
        <v>277303</v>
      </c>
      <c r="R787" s="37">
        <v>182845</v>
      </c>
      <c r="S787" s="37">
        <v>21303</v>
      </c>
      <c r="T787" s="37">
        <v>0</v>
      </c>
      <c r="U787" s="37">
        <v>32363</v>
      </c>
      <c r="V787" s="37">
        <v>0</v>
      </c>
      <c r="W787" s="37">
        <v>431994</v>
      </c>
      <c r="X787" s="37">
        <v>248572</v>
      </c>
      <c r="Y787" s="37">
        <v>0</v>
      </c>
      <c r="Z787" s="37">
        <v>0</v>
      </c>
      <c r="AA787" s="37">
        <v>840253</v>
      </c>
      <c r="AB787" s="37">
        <v>441003</v>
      </c>
      <c r="AC787" s="37">
        <v>156986</v>
      </c>
      <c r="AD787" s="37">
        <v>156986</v>
      </c>
      <c r="AE787" s="37">
        <v>1345921</v>
      </c>
      <c r="AF787" s="168">
        <v>0.02</v>
      </c>
      <c r="AG787" s="37">
        <v>99673279.599999994</v>
      </c>
      <c r="AH787" s="37">
        <v>416160</v>
      </c>
      <c r="AI787" s="37">
        <v>424483.2</v>
      </c>
      <c r="AJ787" s="37">
        <v>432972.86</v>
      </c>
      <c r="AK787" s="37">
        <v>441632.32</v>
      </c>
      <c r="AL787" s="37">
        <v>450464.97</v>
      </c>
      <c r="AM787" s="37">
        <v>459474.27</v>
      </c>
      <c r="AN787" s="37">
        <v>468663.75</v>
      </c>
      <c r="AO787" s="37">
        <v>478037.03</v>
      </c>
      <c r="AP787" s="37">
        <v>487597.77</v>
      </c>
      <c r="AQ787" s="37">
        <v>497349.72</v>
      </c>
      <c r="AR787" s="37">
        <v>4556835.8900000006</v>
      </c>
      <c r="AS787" s="37">
        <v>7375923.0800000001</v>
      </c>
      <c r="AT787" s="37">
        <v>0</v>
      </c>
      <c r="AU787" s="37">
        <v>1539792</v>
      </c>
      <c r="AV787" s="37">
        <v>0</v>
      </c>
      <c r="AW787" s="37">
        <v>0</v>
      </c>
      <c r="AX787" s="37">
        <v>0</v>
      </c>
      <c r="AY787" s="37">
        <v>0</v>
      </c>
      <c r="AZ787" s="37">
        <v>0</v>
      </c>
      <c r="BA787" s="37">
        <v>0</v>
      </c>
      <c r="BB787" s="37">
        <v>0</v>
      </c>
      <c r="BC787" s="37">
        <v>0</v>
      </c>
      <c r="BD787" s="37">
        <v>1539792</v>
      </c>
      <c r="BE787" s="37">
        <v>1029399</v>
      </c>
      <c r="BF787" s="37">
        <v>0</v>
      </c>
      <c r="BG787" s="37">
        <v>0</v>
      </c>
      <c r="BH787" s="37">
        <v>0</v>
      </c>
      <c r="BI787" s="37">
        <v>0</v>
      </c>
      <c r="BJ787" s="37">
        <v>0</v>
      </c>
      <c r="BK787" s="37">
        <v>0</v>
      </c>
      <c r="BL787" s="37">
        <v>0</v>
      </c>
      <c r="BM787" s="37">
        <v>0</v>
      </c>
      <c r="BN787" s="37">
        <v>0</v>
      </c>
      <c r="BO787" s="37">
        <v>0</v>
      </c>
      <c r="BP787" s="37">
        <v>0</v>
      </c>
      <c r="BQ787" s="37">
        <v>210838</v>
      </c>
      <c r="BR787" s="37">
        <v>530000</v>
      </c>
      <c r="BS787" s="37">
        <v>260000</v>
      </c>
      <c r="BT787" s="37">
        <v>0</v>
      </c>
      <c r="BU787" s="37">
        <v>0</v>
      </c>
      <c r="BV787" s="37">
        <v>0</v>
      </c>
      <c r="BW787" s="37">
        <v>0</v>
      </c>
      <c r="BX787" s="37">
        <v>0</v>
      </c>
      <c r="BY787" s="37">
        <v>0</v>
      </c>
      <c r="BZ787" s="37">
        <v>0</v>
      </c>
      <c r="CA787" s="37">
        <v>0</v>
      </c>
      <c r="CB787" s="37">
        <v>790000</v>
      </c>
      <c r="CC787" s="37">
        <v>0</v>
      </c>
      <c r="CD787" s="37">
        <v>0</v>
      </c>
      <c r="CE787" s="37">
        <v>0</v>
      </c>
      <c r="CF787" s="37">
        <v>0</v>
      </c>
      <c r="CG787" s="37">
        <v>0</v>
      </c>
      <c r="CH787" s="37">
        <v>0</v>
      </c>
      <c r="CI787" s="37">
        <v>0</v>
      </c>
      <c r="CJ787" s="37">
        <v>0</v>
      </c>
      <c r="CK787" s="37">
        <v>0</v>
      </c>
      <c r="CL787" s="37">
        <v>0</v>
      </c>
      <c r="CM787" s="37">
        <v>0</v>
      </c>
      <c r="CN787" s="37">
        <v>0</v>
      </c>
      <c r="CO787" s="37">
        <v>0</v>
      </c>
      <c r="CP787" s="37">
        <v>0</v>
      </c>
      <c r="CQ787" s="37">
        <v>0</v>
      </c>
      <c r="CR787" s="37">
        <v>0</v>
      </c>
      <c r="CS787" s="37">
        <v>0</v>
      </c>
      <c r="CT787" s="37">
        <v>0</v>
      </c>
      <c r="CU787" s="37">
        <v>0</v>
      </c>
      <c r="CV787" s="37">
        <v>0</v>
      </c>
      <c r="CW787" s="37">
        <v>0</v>
      </c>
      <c r="CX787" s="37">
        <v>0</v>
      </c>
      <c r="CY787" s="37">
        <v>0</v>
      </c>
      <c r="CZ787" s="37">
        <v>0</v>
      </c>
      <c r="DA787" s="37">
        <v>0</v>
      </c>
      <c r="DB787" s="37">
        <v>0</v>
      </c>
      <c r="DC787" s="37">
        <v>1350000</v>
      </c>
      <c r="DD787" s="37">
        <v>0</v>
      </c>
      <c r="DE787" s="37">
        <v>0</v>
      </c>
      <c r="DF787" s="37">
        <v>0</v>
      </c>
      <c r="DG787" s="37">
        <v>0</v>
      </c>
      <c r="DH787" s="37">
        <v>0</v>
      </c>
      <c r="DI787" s="37">
        <v>0</v>
      </c>
      <c r="DJ787" s="37">
        <v>0</v>
      </c>
      <c r="DK787" s="37">
        <v>0</v>
      </c>
      <c r="DL787" s="37">
        <v>1350000</v>
      </c>
      <c r="DM787" s="37">
        <v>0</v>
      </c>
      <c r="DN787" s="37">
        <v>0</v>
      </c>
      <c r="DO787" s="37">
        <v>0</v>
      </c>
      <c r="DP787" s="37">
        <v>0</v>
      </c>
      <c r="DQ787" s="37">
        <v>0</v>
      </c>
      <c r="DR787" s="37">
        <v>0</v>
      </c>
      <c r="DS787" s="37">
        <v>0</v>
      </c>
      <c r="DT787" s="37">
        <v>0</v>
      </c>
      <c r="DU787" s="37">
        <v>0</v>
      </c>
      <c r="DV787" s="37">
        <v>0</v>
      </c>
      <c r="DW787" s="37">
        <v>0</v>
      </c>
      <c r="DX787" s="37">
        <v>0</v>
      </c>
      <c r="DY787" s="37">
        <v>0</v>
      </c>
      <c r="DZ787" s="37">
        <v>0</v>
      </c>
      <c r="EA787" s="37">
        <v>0</v>
      </c>
      <c r="EB787" s="37">
        <v>0</v>
      </c>
      <c r="EC787" s="37">
        <v>0</v>
      </c>
      <c r="ED787" s="37">
        <v>0</v>
      </c>
      <c r="EE787" s="37">
        <v>0</v>
      </c>
      <c r="EF787" s="37">
        <v>0</v>
      </c>
      <c r="EG787" s="37">
        <v>0</v>
      </c>
      <c r="EH787" s="37">
        <v>0</v>
      </c>
      <c r="EI787" s="37">
        <v>0</v>
      </c>
      <c r="EJ787" s="37">
        <v>0</v>
      </c>
      <c r="EK787" s="161" t="s">
        <v>3040</v>
      </c>
      <c r="EL787" s="294" t="s">
        <v>1124</v>
      </c>
    </row>
    <row r="788" spans="1:142" ht="15" customHeight="1" x14ac:dyDescent="0.35">
      <c r="A788" s="34"/>
      <c r="B788" s="313">
        <v>94225</v>
      </c>
      <c r="C788" s="8" t="s">
        <v>977</v>
      </c>
      <c r="D788" s="18">
        <v>2</v>
      </c>
      <c r="E788" s="155">
        <v>56341</v>
      </c>
      <c r="F788" s="36">
        <v>61770</v>
      </c>
      <c r="G788" s="37">
        <v>18154</v>
      </c>
      <c r="H788" s="37">
        <v>0</v>
      </c>
      <c r="I788" s="37">
        <v>169300</v>
      </c>
      <c r="J788" s="37">
        <v>0</v>
      </c>
      <c r="K788" s="37">
        <v>8451.15</v>
      </c>
      <c r="L788" s="37">
        <v>9265.5</v>
      </c>
      <c r="M788" s="37">
        <v>252246.15</v>
      </c>
      <c r="N788" s="37">
        <v>71035.5</v>
      </c>
      <c r="O788" s="37">
        <v>0</v>
      </c>
      <c r="P788" s="37">
        <v>0</v>
      </c>
      <c r="Q788" s="37">
        <v>38725</v>
      </c>
      <c r="R788" s="37">
        <v>8853</v>
      </c>
      <c r="S788" s="37">
        <v>2420</v>
      </c>
      <c r="T788" s="37">
        <v>0</v>
      </c>
      <c r="U788" s="37">
        <v>0</v>
      </c>
      <c r="V788" s="37">
        <v>0</v>
      </c>
      <c r="W788" s="37">
        <v>211101.15</v>
      </c>
      <c r="X788" s="37">
        <v>62182.5</v>
      </c>
      <c r="Y788" s="37">
        <v>0</v>
      </c>
      <c r="Z788" s="37">
        <v>0</v>
      </c>
      <c r="AA788" s="37">
        <v>252246.15</v>
      </c>
      <c r="AB788" s="37">
        <v>71035.5</v>
      </c>
      <c r="AC788" s="37">
        <v>0</v>
      </c>
      <c r="AD788" s="37">
        <v>0</v>
      </c>
      <c r="AE788" s="37">
        <v>0</v>
      </c>
      <c r="AF788" s="168">
        <v>0.02</v>
      </c>
      <c r="AG788" s="37">
        <v>17371507.460000001</v>
      </c>
      <c r="AH788" s="37">
        <v>106431.97</v>
      </c>
      <c r="AI788" s="37">
        <v>108560.61</v>
      </c>
      <c r="AJ788" s="37">
        <v>110731.82</v>
      </c>
      <c r="AK788" s="37">
        <v>112946.46</v>
      </c>
      <c r="AL788" s="37">
        <v>115205.39</v>
      </c>
      <c r="AM788" s="37">
        <v>117509.5</v>
      </c>
      <c r="AN788" s="37">
        <v>119859.69</v>
      </c>
      <c r="AO788" s="37">
        <v>122256.88</v>
      </c>
      <c r="AP788" s="37">
        <v>124702.02</v>
      </c>
      <c r="AQ788" s="37">
        <v>127196.06</v>
      </c>
      <c r="AR788" s="37">
        <v>1165400.4000000001</v>
      </c>
      <c r="AS788" s="37">
        <v>0</v>
      </c>
      <c r="AT788" s="37">
        <v>0</v>
      </c>
      <c r="AU788" s="37">
        <v>0</v>
      </c>
      <c r="AV788" s="37">
        <v>0</v>
      </c>
      <c r="AW788" s="37">
        <v>0</v>
      </c>
      <c r="AX788" s="37">
        <v>0</v>
      </c>
      <c r="AY788" s="37">
        <v>0</v>
      </c>
      <c r="AZ788" s="37">
        <v>0</v>
      </c>
      <c r="BA788" s="37">
        <v>0</v>
      </c>
      <c r="BB788" s="37">
        <v>0</v>
      </c>
      <c r="BC788" s="37">
        <v>0</v>
      </c>
      <c r="BD788" s="37">
        <v>0</v>
      </c>
      <c r="BE788" s="37">
        <v>36156</v>
      </c>
      <c r="BF788" s="37">
        <v>0</v>
      </c>
      <c r="BG788" s="37">
        <v>0</v>
      </c>
      <c r="BH788" s="37">
        <v>0</v>
      </c>
      <c r="BI788" s="37">
        <v>0</v>
      </c>
      <c r="BJ788" s="37">
        <v>0</v>
      </c>
      <c r="BK788" s="37">
        <v>0</v>
      </c>
      <c r="BL788" s="37">
        <v>0</v>
      </c>
      <c r="BM788" s="37">
        <v>0</v>
      </c>
      <c r="BN788" s="37">
        <v>0</v>
      </c>
      <c r="BO788" s="37">
        <v>0</v>
      </c>
      <c r="BP788" s="37">
        <v>0</v>
      </c>
      <c r="BQ788" s="37">
        <v>0</v>
      </c>
      <c r="BR788" s="37">
        <v>0</v>
      </c>
      <c r="BS788" s="37">
        <v>0</v>
      </c>
      <c r="BT788" s="37">
        <v>0</v>
      </c>
      <c r="BU788" s="37">
        <v>0</v>
      </c>
      <c r="BV788" s="37">
        <v>0</v>
      </c>
      <c r="BW788" s="37">
        <v>0</v>
      </c>
      <c r="BX788" s="37">
        <v>0</v>
      </c>
      <c r="BY788" s="37">
        <v>0</v>
      </c>
      <c r="BZ788" s="37">
        <v>0</v>
      </c>
      <c r="CA788" s="37">
        <v>0</v>
      </c>
      <c r="CB788" s="37">
        <v>0</v>
      </c>
      <c r="CC788" s="37">
        <v>0</v>
      </c>
      <c r="CD788" s="37">
        <v>112360</v>
      </c>
      <c r="CE788" s="37">
        <v>112360</v>
      </c>
      <c r="CF788" s="37">
        <v>112360</v>
      </c>
      <c r="CG788" s="37">
        <v>112360</v>
      </c>
      <c r="CH788" s="37">
        <v>112360</v>
      </c>
      <c r="CI788" s="37">
        <v>112360</v>
      </c>
      <c r="CJ788" s="37">
        <v>112360</v>
      </c>
      <c r="CK788" s="37">
        <v>112360</v>
      </c>
      <c r="CL788" s="37">
        <v>112360</v>
      </c>
      <c r="CM788" s="37">
        <v>112360</v>
      </c>
      <c r="CN788" s="37">
        <v>1123600</v>
      </c>
      <c r="CO788" s="37">
        <v>0</v>
      </c>
      <c r="CP788" s="37">
        <v>0</v>
      </c>
      <c r="CQ788" s="37">
        <v>0</v>
      </c>
      <c r="CR788" s="37">
        <v>0</v>
      </c>
      <c r="CS788" s="37">
        <v>0</v>
      </c>
      <c r="CT788" s="37">
        <v>0</v>
      </c>
      <c r="CU788" s="37">
        <v>0</v>
      </c>
      <c r="CV788" s="37">
        <v>0</v>
      </c>
      <c r="CW788" s="37">
        <v>0</v>
      </c>
      <c r="CX788" s="37">
        <v>0</v>
      </c>
      <c r="CY788" s="37">
        <v>0</v>
      </c>
      <c r="CZ788" s="37">
        <v>0</v>
      </c>
      <c r="DA788" s="37">
        <v>0</v>
      </c>
      <c r="DB788" s="37">
        <v>0</v>
      </c>
      <c r="DC788" s="37">
        <v>0</v>
      </c>
      <c r="DD788" s="37">
        <v>0</v>
      </c>
      <c r="DE788" s="37">
        <v>0</v>
      </c>
      <c r="DF788" s="37">
        <v>0</v>
      </c>
      <c r="DG788" s="37">
        <v>0</v>
      </c>
      <c r="DH788" s="37">
        <v>0</v>
      </c>
      <c r="DI788" s="37">
        <v>0</v>
      </c>
      <c r="DJ788" s="37">
        <v>0</v>
      </c>
      <c r="DK788" s="37">
        <v>0</v>
      </c>
      <c r="DL788" s="37">
        <v>0</v>
      </c>
      <c r="DM788" s="37">
        <v>0</v>
      </c>
      <c r="DN788" s="37">
        <v>0</v>
      </c>
      <c r="DO788" s="37">
        <v>0</v>
      </c>
      <c r="DP788" s="37">
        <v>0</v>
      </c>
      <c r="DQ788" s="37">
        <v>0</v>
      </c>
      <c r="DR788" s="37">
        <v>0</v>
      </c>
      <c r="DS788" s="37">
        <v>0</v>
      </c>
      <c r="DT788" s="37">
        <v>0</v>
      </c>
      <c r="DU788" s="37">
        <v>0</v>
      </c>
      <c r="DV788" s="37">
        <v>0</v>
      </c>
      <c r="DW788" s="37">
        <v>0</v>
      </c>
      <c r="DX788" s="37">
        <v>0</v>
      </c>
      <c r="DY788" s="37">
        <v>0</v>
      </c>
      <c r="DZ788" s="37">
        <v>0</v>
      </c>
      <c r="EA788" s="37">
        <v>0</v>
      </c>
      <c r="EB788" s="37">
        <v>0</v>
      </c>
      <c r="EC788" s="37">
        <v>0</v>
      </c>
      <c r="ED788" s="37">
        <v>0</v>
      </c>
      <c r="EE788" s="37">
        <v>0</v>
      </c>
      <c r="EF788" s="37">
        <v>0</v>
      </c>
      <c r="EG788" s="37">
        <v>0</v>
      </c>
      <c r="EH788" s="37">
        <v>0</v>
      </c>
      <c r="EI788" s="37">
        <v>0</v>
      </c>
      <c r="EJ788" s="37">
        <v>0</v>
      </c>
      <c r="EK788" s="161" t="s">
        <v>3044</v>
      </c>
      <c r="EL788" s="294" t="s">
        <v>1124</v>
      </c>
    </row>
    <row r="789" spans="1:142" ht="15" customHeight="1" x14ac:dyDescent="0.35">
      <c r="A789" s="34"/>
      <c r="B789" s="313">
        <v>32013</v>
      </c>
      <c r="C789" s="8" t="s">
        <v>256</v>
      </c>
      <c r="D789" s="18">
        <v>17</v>
      </c>
      <c r="E789" s="155">
        <v>107911</v>
      </c>
      <c r="F789" s="36">
        <v>134638</v>
      </c>
      <c r="G789" s="37">
        <v>2053</v>
      </c>
      <c r="H789" s="37">
        <v>3342</v>
      </c>
      <c r="I789" s="37">
        <v>25600</v>
      </c>
      <c r="J789" s="37">
        <v>9385</v>
      </c>
      <c r="K789" s="37">
        <v>16187</v>
      </c>
      <c r="L789" s="37">
        <v>20196</v>
      </c>
      <c r="M789" s="37">
        <v>151751</v>
      </c>
      <c r="N789" s="37">
        <v>167561</v>
      </c>
      <c r="O789" s="37">
        <v>97064</v>
      </c>
      <c r="P789" s="37">
        <v>0</v>
      </c>
      <c r="Q789" s="37">
        <v>0</v>
      </c>
      <c r="R789" s="37">
        <v>54980</v>
      </c>
      <c r="S789" s="37">
        <v>0</v>
      </c>
      <c r="T789" s="37">
        <v>0</v>
      </c>
      <c r="U789" s="37">
        <v>1925</v>
      </c>
      <c r="V789" s="37">
        <v>898</v>
      </c>
      <c r="W789" s="37">
        <v>52762</v>
      </c>
      <c r="X789" s="37">
        <v>111683</v>
      </c>
      <c r="Y789" s="37">
        <v>0</v>
      </c>
      <c r="Z789" s="37">
        <v>0</v>
      </c>
      <c r="AA789" s="37">
        <v>151751</v>
      </c>
      <c r="AB789" s="37">
        <v>167561</v>
      </c>
      <c r="AC789" s="37">
        <v>0</v>
      </c>
      <c r="AD789" s="37">
        <v>0</v>
      </c>
      <c r="AE789" s="37">
        <v>0</v>
      </c>
      <c r="AF789" s="168">
        <v>0.02</v>
      </c>
      <c r="AG789" s="37">
        <v>30717668.91</v>
      </c>
      <c r="AH789" s="37">
        <v>259442.41</v>
      </c>
      <c r="AI789" s="37">
        <v>264631.26</v>
      </c>
      <c r="AJ789" s="37">
        <v>269923.88</v>
      </c>
      <c r="AK789" s="37">
        <v>275322.36</v>
      </c>
      <c r="AL789" s="37">
        <v>280828.81</v>
      </c>
      <c r="AM789" s="37">
        <v>286445.39</v>
      </c>
      <c r="AN789" s="37">
        <v>292174.28999999998</v>
      </c>
      <c r="AO789" s="37">
        <v>298017.78000000003</v>
      </c>
      <c r="AP789" s="37">
        <v>303978.13</v>
      </c>
      <c r="AQ789" s="37">
        <v>310057.7</v>
      </c>
      <c r="AR789" s="37">
        <v>2840822.01</v>
      </c>
      <c r="AS789" s="37">
        <v>100398.6</v>
      </c>
      <c r="AT789" s="37">
        <v>71400</v>
      </c>
      <c r="AU789" s="37">
        <v>78030</v>
      </c>
      <c r="AV789" s="37">
        <v>0</v>
      </c>
      <c r="AW789" s="37">
        <v>0</v>
      </c>
      <c r="AX789" s="37">
        <v>0</v>
      </c>
      <c r="AY789" s="37">
        <v>2253451</v>
      </c>
      <c r="AZ789" s="37">
        <v>0</v>
      </c>
      <c r="BA789" s="37">
        <v>0</v>
      </c>
      <c r="BB789" s="37">
        <v>0</v>
      </c>
      <c r="BC789" s="37">
        <v>0</v>
      </c>
      <c r="BD789" s="37">
        <v>2402881</v>
      </c>
      <c r="BE789" s="37">
        <v>0</v>
      </c>
      <c r="BF789" s="37">
        <v>50000</v>
      </c>
      <c r="BG789" s="37">
        <v>75000</v>
      </c>
      <c r="BH789" s="37">
        <v>0</v>
      </c>
      <c r="BI789" s="37">
        <v>0</v>
      </c>
      <c r="BJ789" s="37">
        <v>0</v>
      </c>
      <c r="BK789" s="37">
        <v>0</v>
      </c>
      <c r="BL789" s="37">
        <v>0</v>
      </c>
      <c r="BM789" s="37">
        <v>0</v>
      </c>
      <c r="BN789" s="37">
        <v>0</v>
      </c>
      <c r="BO789" s="37">
        <v>0</v>
      </c>
      <c r="BP789" s="37">
        <v>125000</v>
      </c>
      <c r="BQ789" s="37">
        <v>0</v>
      </c>
      <c r="BR789" s="37">
        <v>0</v>
      </c>
      <c r="BS789" s="37">
        <v>0</v>
      </c>
      <c r="BT789" s="37">
        <v>0</v>
      </c>
      <c r="BU789" s="37">
        <v>0</v>
      </c>
      <c r="BV789" s="37">
        <v>0</v>
      </c>
      <c r="BW789" s="37">
        <v>0</v>
      </c>
      <c r="BX789" s="37">
        <v>0</v>
      </c>
      <c r="BY789" s="37">
        <v>0</v>
      </c>
      <c r="BZ789" s="37">
        <v>0</v>
      </c>
      <c r="CA789" s="37">
        <v>0</v>
      </c>
      <c r="CB789" s="37">
        <v>0</v>
      </c>
      <c r="CC789" s="37">
        <v>0</v>
      </c>
      <c r="CD789" s="37">
        <v>0</v>
      </c>
      <c r="CE789" s="37">
        <v>0</v>
      </c>
      <c r="CF789" s="37">
        <v>0</v>
      </c>
      <c r="CG789" s="37">
        <v>0</v>
      </c>
      <c r="CH789" s="37">
        <v>0</v>
      </c>
      <c r="CI789" s="37">
        <v>0</v>
      </c>
      <c r="CJ789" s="37">
        <v>0</v>
      </c>
      <c r="CK789" s="37">
        <v>0</v>
      </c>
      <c r="CL789" s="37">
        <v>0</v>
      </c>
      <c r="CM789" s="37">
        <v>0</v>
      </c>
      <c r="CN789" s="37">
        <v>0</v>
      </c>
      <c r="CO789" s="37">
        <v>0</v>
      </c>
      <c r="CP789" s="37">
        <v>70000</v>
      </c>
      <c r="CQ789" s="37">
        <v>0</v>
      </c>
      <c r="CR789" s="37">
        <v>0</v>
      </c>
      <c r="CS789" s="37">
        <v>0</v>
      </c>
      <c r="CT789" s="37">
        <v>0</v>
      </c>
      <c r="CU789" s="37">
        <v>0</v>
      </c>
      <c r="CV789" s="37">
        <v>0</v>
      </c>
      <c r="CW789" s="37">
        <v>0</v>
      </c>
      <c r="CX789" s="37">
        <v>0</v>
      </c>
      <c r="CY789" s="37">
        <v>0</v>
      </c>
      <c r="CZ789" s="37">
        <v>70000</v>
      </c>
      <c r="DA789" s="37">
        <v>0</v>
      </c>
      <c r="DB789" s="37">
        <v>0</v>
      </c>
      <c r="DC789" s="37">
        <v>0</v>
      </c>
      <c r="DD789" s="37">
        <v>0</v>
      </c>
      <c r="DE789" s="37">
        <v>0</v>
      </c>
      <c r="DF789" s="37">
        <v>0</v>
      </c>
      <c r="DG789" s="37">
        <v>2001000</v>
      </c>
      <c r="DH789" s="37">
        <v>0</v>
      </c>
      <c r="DI789" s="37">
        <v>0</v>
      </c>
      <c r="DJ789" s="37">
        <v>0</v>
      </c>
      <c r="DK789" s="37">
        <v>0</v>
      </c>
      <c r="DL789" s="37">
        <v>2001000</v>
      </c>
      <c r="DM789" s="37">
        <v>0</v>
      </c>
      <c r="DN789" s="37">
        <v>0</v>
      </c>
      <c r="DO789" s="37">
        <v>0</v>
      </c>
      <c r="DP789" s="37">
        <v>0</v>
      </c>
      <c r="DQ789" s="37">
        <v>0</v>
      </c>
      <c r="DR789" s="37">
        <v>0</v>
      </c>
      <c r="DS789" s="37">
        <v>0</v>
      </c>
      <c r="DT789" s="37">
        <v>0</v>
      </c>
      <c r="DU789" s="37">
        <v>0</v>
      </c>
      <c r="DV789" s="37">
        <v>0</v>
      </c>
      <c r="DW789" s="37">
        <v>0</v>
      </c>
      <c r="DX789" s="37">
        <v>0</v>
      </c>
      <c r="DY789" s="37">
        <v>0</v>
      </c>
      <c r="DZ789" s="37">
        <v>0</v>
      </c>
      <c r="EA789" s="37">
        <v>0</v>
      </c>
      <c r="EB789" s="37">
        <v>0</v>
      </c>
      <c r="EC789" s="37">
        <v>0</v>
      </c>
      <c r="ED789" s="37">
        <v>0</v>
      </c>
      <c r="EE789" s="37">
        <v>0</v>
      </c>
      <c r="EF789" s="37">
        <v>0</v>
      </c>
      <c r="EG789" s="37">
        <v>0</v>
      </c>
      <c r="EH789" s="37">
        <v>0</v>
      </c>
      <c r="EI789" s="37">
        <v>0</v>
      </c>
      <c r="EJ789" s="37">
        <v>0</v>
      </c>
      <c r="EK789" s="161" t="s">
        <v>3048</v>
      </c>
      <c r="EL789" s="294" t="s">
        <v>1124</v>
      </c>
    </row>
    <row r="790" spans="1:142" ht="15" customHeight="1" x14ac:dyDescent="0.35">
      <c r="A790" s="34"/>
      <c r="B790" s="313">
        <v>21010</v>
      </c>
      <c r="C790" s="8" t="s">
        <v>145</v>
      </c>
      <c r="D790" s="18">
        <v>3</v>
      </c>
      <c r="E790" s="155"/>
      <c r="F790" s="36"/>
      <c r="G790" s="37"/>
      <c r="H790" s="37"/>
      <c r="I790" s="37"/>
      <c r="J790" s="37"/>
      <c r="K790" s="37"/>
      <c r="L790" s="37"/>
      <c r="M790" s="37" t="s">
        <v>1124</v>
      </c>
      <c r="N790" s="37" t="s">
        <v>1124</v>
      </c>
      <c r="O790" s="37"/>
      <c r="P790" s="37"/>
      <c r="Q790" s="37"/>
      <c r="R790" s="37"/>
      <c r="S790" s="37"/>
      <c r="T790" s="37"/>
      <c r="U790" s="37"/>
      <c r="V790" s="37"/>
      <c r="W790" s="37"/>
      <c r="X790" s="37"/>
      <c r="Y790" s="37"/>
      <c r="Z790" s="37"/>
      <c r="AA790" s="37" t="s">
        <v>1124</v>
      </c>
      <c r="AB790" s="37" t="s">
        <v>1124</v>
      </c>
      <c r="AC790" s="37"/>
      <c r="AD790" s="37"/>
      <c r="AE790" s="37"/>
      <c r="AF790" s="168"/>
      <c r="AG790" s="37"/>
      <c r="AH790" s="37"/>
      <c r="AI790" s="37"/>
      <c r="AJ790" s="37"/>
      <c r="AK790" s="37"/>
      <c r="AL790" s="37"/>
      <c r="AM790" s="37"/>
      <c r="AN790" s="37"/>
      <c r="AO790" s="37"/>
      <c r="AP790" s="37"/>
      <c r="AQ790" s="37"/>
      <c r="AR790" s="37" t="s">
        <v>1124</v>
      </c>
      <c r="AS790" s="37"/>
      <c r="AT790" s="37"/>
      <c r="AU790" s="37"/>
      <c r="AV790" s="37"/>
      <c r="AW790" s="37"/>
      <c r="AX790" s="37"/>
      <c r="AY790" s="37"/>
      <c r="AZ790" s="37"/>
      <c r="BA790" s="37"/>
      <c r="BB790" s="37"/>
      <c r="BC790" s="37"/>
      <c r="BD790" s="37" t="s">
        <v>1124</v>
      </c>
      <c r="BE790" s="37"/>
      <c r="BF790" s="37"/>
      <c r="BG790" s="37"/>
      <c r="BH790" s="37"/>
      <c r="BI790" s="37"/>
      <c r="BJ790" s="37"/>
      <c r="BK790" s="37"/>
      <c r="BL790" s="37"/>
      <c r="BM790" s="37"/>
      <c r="BN790" s="37"/>
      <c r="BO790" s="37"/>
      <c r="BP790" s="37">
        <v>0</v>
      </c>
      <c r="BQ790" s="37"/>
      <c r="BR790" s="37"/>
      <c r="BS790" s="37"/>
      <c r="BT790" s="37"/>
      <c r="BU790" s="37"/>
      <c r="BV790" s="37"/>
      <c r="BW790" s="37"/>
      <c r="BX790" s="37"/>
      <c r="BY790" s="37"/>
      <c r="BZ790" s="37"/>
      <c r="CA790" s="37"/>
      <c r="CB790" s="37" t="s">
        <v>1124</v>
      </c>
      <c r="CC790" s="37"/>
      <c r="CD790" s="37"/>
      <c r="CE790" s="37"/>
      <c r="CF790" s="37"/>
      <c r="CG790" s="37"/>
      <c r="CH790" s="37"/>
      <c r="CI790" s="37"/>
      <c r="CJ790" s="37"/>
      <c r="CK790" s="37"/>
      <c r="CL790" s="37"/>
      <c r="CM790" s="37"/>
      <c r="CN790" s="37" t="s">
        <v>1124</v>
      </c>
      <c r="CO790" s="37"/>
      <c r="CP790" s="37"/>
      <c r="CQ790" s="37"/>
      <c r="CR790" s="37"/>
      <c r="CS790" s="37"/>
      <c r="CT790" s="37"/>
      <c r="CU790" s="37"/>
      <c r="CV790" s="37"/>
      <c r="CW790" s="37"/>
      <c r="CX790" s="37"/>
      <c r="CY790" s="37"/>
      <c r="CZ790" s="37" t="s">
        <v>1124</v>
      </c>
      <c r="DA790" s="37"/>
      <c r="DB790" s="37"/>
      <c r="DC790" s="37"/>
      <c r="DD790" s="37"/>
      <c r="DE790" s="37"/>
      <c r="DF790" s="37"/>
      <c r="DG790" s="37"/>
      <c r="DH790" s="37"/>
      <c r="DI790" s="37"/>
      <c r="DJ790" s="37"/>
      <c r="DK790" s="37"/>
      <c r="DL790" s="37" t="s">
        <v>1124</v>
      </c>
      <c r="DM790" s="37"/>
      <c r="DN790" s="37"/>
      <c r="DO790" s="37"/>
      <c r="DP790" s="37"/>
      <c r="DQ790" s="37"/>
      <c r="DR790" s="37"/>
      <c r="DS790" s="37"/>
      <c r="DT790" s="37"/>
      <c r="DU790" s="37"/>
      <c r="DV790" s="37"/>
      <c r="DW790" s="37"/>
      <c r="DX790" s="37" t="s">
        <v>1124</v>
      </c>
      <c r="DY790" s="37"/>
      <c r="DZ790" s="37"/>
      <c r="EA790" s="37"/>
      <c r="EB790" s="37"/>
      <c r="EC790" s="37"/>
      <c r="ED790" s="37"/>
      <c r="EE790" s="37"/>
      <c r="EF790" s="37"/>
      <c r="EG790" s="37"/>
      <c r="EH790" s="37"/>
      <c r="EI790" s="37"/>
      <c r="EJ790" s="37" t="s">
        <v>1124</v>
      </c>
      <c r="EK790" s="161"/>
      <c r="EL790" s="294"/>
    </row>
    <row r="791" spans="1:142" ht="15" customHeight="1" x14ac:dyDescent="0.35">
      <c r="A791" s="34"/>
      <c r="B791" s="313">
        <v>33052</v>
      </c>
      <c r="C791" s="8" t="s">
        <v>274</v>
      </c>
      <c r="D791" s="18">
        <v>12</v>
      </c>
      <c r="E791" s="155">
        <v>343841</v>
      </c>
      <c r="F791" s="36">
        <v>0</v>
      </c>
      <c r="G791" s="37">
        <v>0</v>
      </c>
      <c r="H791" s="37">
        <v>0</v>
      </c>
      <c r="I791" s="37">
        <v>0</v>
      </c>
      <c r="J791" s="37">
        <v>0</v>
      </c>
      <c r="K791" s="37">
        <v>51576.15</v>
      </c>
      <c r="L791" s="37">
        <v>0</v>
      </c>
      <c r="M791" s="37">
        <v>395417.15</v>
      </c>
      <c r="N791" s="37">
        <v>0</v>
      </c>
      <c r="O791" s="37">
        <v>90717</v>
      </c>
      <c r="P791" s="37">
        <v>0</v>
      </c>
      <c r="Q791" s="37">
        <v>0</v>
      </c>
      <c r="R791" s="37">
        <v>0</v>
      </c>
      <c r="S791" s="37">
        <v>19385</v>
      </c>
      <c r="T791" s="37">
        <v>0</v>
      </c>
      <c r="U791" s="37">
        <v>0</v>
      </c>
      <c r="V791" s="37">
        <v>0</v>
      </c>
      <c r="W791" s="37">
        <v>285315.15000000002</v>
      </c>
      <c r="X791" s="37">
        <v>0</v>
      </c>
      <c r="Y791" s="37">
        <v>0</v>
      </c>
      <c r="Z791" s="37">
        <v>0</v>
      </c>
      <c r="AA791" s="37">
        <v>395417.15</v>
      </c>
      <c r="AB791" s="37">
        <v>0</v>
      </c>
      <c r="AC791" s="37">
        <v>0</v>
      </c>
      <c r="AD791" s="37">
        <v>0</v>
      </c>
      <c r="AE791" s="37">
        <v>73400</v>
      </c>
      <c r="AF791" s="168">
        <v>0.02</v>
      </c>
      <c r="AG791" s="37">
        <v>21022817.140000001</v>
      </c>
      <c r="AH791" s="37">
        <v>157185.69</v>
      </c>
      <c r="AI791" s="37">
        <v>160329.4</v>
      </c>
      <c r="AJ791" s="37">
        <v>163535.99</v>
      </c>
      <c r="AK791" s="37">
        <v>166806.71</v>
      </c>
      <c r="AL791" s="37">
        <v>170142.84</v>
      </c>
      <c r="AM791" s="37">
        <v>173545.7</v>
      </c>
      <c r="AN791" s="37">
        <v>177016.61</v>
      </c>
      <c r="AO791" s="37">
        <v>180556.94</v>
      </c>
      <c r="AP791" s="37">
        <v>184168.08</v>
      </c>
      <c r="AQ791" s="37">
        <v>187851.44</v>
      </c>
      <c r="AR791" s="37">
        <v>1721139.3999999997</v>
      </c>
      <c r="AS791" s="37">
        <v>0</v>
      </c>
      <c r="AT791" s="37">
        <v>0</v>
      </c>
      <c r="AU791" s="37">
        <v>0</v>
      </c>
      <c r="AV791" s="37">
        <v>0</v>
      </c>
      <c r="AW791" s="37">
        <v>0</v>
      </c>
      <c r="AX791" s="37">
        <v>0</v>
      </c>
      <c r="AY791" s="37">
        <v>0</v>
      </c>
      <c r="AZ791" s="37">
        <v>0</v>
      </c>
      <c r="BA791" s="37">
        <v>0</v>
      </c>
      <c r="BB791" s="37">
        <v>0</v>
      </c>
      <c r="BC791" s="37">
        <v>0</v>
      </c>
      <c r="BD791" s="37">
        <v>0</v>
      </c>
      <c r="BE791" s="37">
        <v>0</v>
      </c>
      <c r="BF791" s="37">
        <v>182400</v>
      </c>
      <c r="BG791" s="37">
        <v>9600</v>
      </c>
      <c r="BH791" s="37">
        <v>0</v>
      </c>
      <c r="BI791" s="37">
        <v>0</v>
      </c>
      <c r="BJ791" s="37">
        <v>0</v>
      </c>
      <c r="BK791" s="37">
        <v>0</v>
      </c>
      <c r="BL791" s="37">
        <v>0</v>
      </c>
      <c r="BM791" s="37">
        <v>0</v>
      </c>
      <c r="BN791" s="37">
        <v>0</v>
      </c>
      <c r="BO791" s="37">
        <v>0</v>
      </c>
      <c r="BP791" s="37">
        <v>192000</v>
      </c>
      <c r="BQ791" s="37">
        <v>0</v>
      </c>
      <c r="BR791" s="37">
        <v>0</v>
      </c>
      <c r="BS791" s="37">
        <v>0</v>
      </c>
      <c r="BT791" s="37">
        <v>0</v>
      </c>
      <c r="BU791" s="37">
        <v>0</v>
      </c>
      <c r="BV791" s="37">
        <v>0</v>
      </c>
      <c r="BW791" s="37">
        <v>0</v>
      </c>
      <c r="BX791" s="37">
        <v>0</v>
      </c>
      <c r="BY791" s="37">
        <v>0</v>
      </c>
      <c r="BZ791" s="37">
        <v>0</v>
      </c>
      <c r="CA791" s="37">
        <v>0</v>
      </c>
      <c r="CB791" s="37">
        <v>0</v>
      </c>
      <c r="CC791" s="37">
        <v>0</v>
      </c>
      <c r="CD791" s="37">
        <v>45600</v>
      </c>
      <c r="CE791" s="37">
        <v>2400</v>
      </c>
      <c r="CF791" s="37">
        <v>0</v>
      </c>
      <c r="CG791" s="37">
        <v>0</v>
      </c>
      <c r="CH791" s="37">
        <v>0</v>
      </c>
      <c r="CI791" s="37">
        <v>0</v>
      </c>
      <c r="CJ791" s="37">
        <v>0</v>
      </c>
      <c r="CK791" s="37">
        <v>0</v>
      </c>
      <c r="CL791" s="37">
        <v>0</v>
      </c>
      <c r="CM791" s="37">
        <v>0</v>
      </c>
      <c r="CN791" s="37">
        <v>48000</v>
      </c>
      <c r="CO791" s="37">
        <v>0</v>
      </c>
      <c r="CP791" s="37">
        <v>0</v>
      </c>
      <c r="CQ791" s="37">
        <v>0</v>
      </c>
      <c r="CR791" s="37">
        <v>0</v>
      </c>
      <c r="CS791" s="37">
        <v>0</v>
      </c>
      <c r="CT791" s="37">
        <v>0</v>
      </c>
      <c r="CU791" s="37">
        <v>0</v>
      </c>
      <c r="CV791" s="37">
        <v>0</v>
      </c>
      <c r="CW791" s="37">
        <v>0</v>
      </c>
      <c r="CX791" s="37">
        <v>0</v>
      </c>
      <c r="CY791" s="37">
        <v>0</v>
      </c>
      <c r="CZ791" s="37">
        <v>0</v>
      </c>
      <c r="DA791" s="37">
        <v>0</v>
      </c>
      <c r="DB791" s="37">
        <v>0</v>
      </c>
      <c r="DC791" s="37">
        <v>0</v>
      </c>
      <c r="DD791" s="37">
        <v>0</v>
      </c>
      <c r="DE791" s="37">
        <v>0</v>
      </c>
      <c r="DF791" s="37">
        <v>0</v>
      </c>
      <c r="DG791" s="37">
        <v>0</v>
      </c>
      <c r="DH791" s="37">
        <v>0</v>
      </c>
      <c r="DI791" s="37">
        <v>0</v>
      </c>
      <c r="DJ791" s="37">
        <v>0</v>
      </c>
      <c r="DK791" s="37">
        <v>0</v>
      </c>
      <c r="DL791" s="37">
        <v>0</v>
      </c>
      <c r="DM791" s="37">
        <v>0</v>
      </c>
      <c r="DN791" s="37">
        <v>0</v>
      </c>
      <c r="DO791" s="37">
        <v>0</v>
      </c>
      <c r="DP791" s="37">
        <v>0</v>
      </c>
      <c r="DQ791" s="37">
        <v>0</v>
      </c>
      <c r="DR791" s="37">
        <v>0</v>
      </c>
      <c r="DS791" s="37">
        <v>0</v>
      </c>
      <c r="DT791" s="37">
        <v>0</v>
      </c>
      <c r="DU791" s="37">
        <v>0</v>
      </c>
      <c r="DV791" s="37">
        <v>0</v>
      </c>
      <c r="DW791" s="37">
        <v>0</v>
      </c>
      <c r="DX791" s="37">
        <v>0</v>
      </c>
      <c r="DY791" s="37">
        <v>0</v>
      </c>
      <c r="DZ791" s="37">
        <v>0</v>
      </c>
      <c r="EA791" s="37">
        <v>0</v>
      </c>
      <c r="EB791" s="37">
        <v>0</v>
      </c>
      <c r="EC791" s="37">
        <v>0</v>
      </c>
      <c r="ED791" s="37">
        <v>0</v>
      </c>
      <c r="EE791" s="37">
        <v>0</v>
      </c>
      <c r="EF791" s="37">
        <v>0</v>
      </c>
      <c r="EG791" s="37">
        <v>0</v>
      </c>
      <c r="EH791" s="37">
        <v>0</v>
      </c>
      <c r="EI791" s="37">
        <v>0</v>
      </c>
      <c r="EJ791" s="37">
        <v>0</v>
      </c>
      <c r="EK791" s="161" t="s">
        <v>3051</v>
      </c>
      <c r="EL791" s="294" t="s">
        <v>1124</v>
      </c>
    </row>
    <row r="792" spans="1:142" ht="15" customHeight="1" x14ac:dyDescent="0.35">
      <c r="A792" s="34"/>
      <c r="B792" s="313">
        <v>31030</v>
      </c>
      <c r="C792" s="8" t="s">
        <v>241</v>
      </c>
      <c r="D792" s="18">
        <v>12</v>
      </c>
      <c r="E792" s="155"/>
      <c r="F792" s="36"/>
      <c r="G792" s="37"/>
      <c r="H792" s="37"/>
      <c r="I792" s="37"/>
      <c r="J792" s="37"/>
      <c r="K792" s="37"/>
      <c r="L792" s="37"/>
      <c r="M792" s="37" t="s">
        <v>1124</v>
      </c>
      <c r="N792" s="37" t="s">
        <v>1124</v>
      </c>
      <c r="O792" s="37"/>
      <c r="P792" s="37"/>
      <c r="Q792" s="37"/>
      <c r="R792" s="37"/>
      <c r="S792" s="37"/>
      <c r="T792" s="37"/>
      <c r="U792" s="37"/>
      <c r="V792" s="37"/>
      <c r="W792" s="37"/>
      <c r="X792" s="37"/>
      <c r="Y792" s="37"/>
      <c r="Z792" s="37"/>
      <c r="AA792" s="37" t="s">
        <v>1124</v>
      </c>
      <c r="AB792" s="37" t="s">
        <v>1124</v>
      </c>
      <c r="AC792" s="37"/>
      <c r="AD792" s="37"/>
      <c r="AE792" s="37"/>
      <c r="AF792" s="168"/>
      <c r="AG792" s="37"/>
      <c r="AH792" s="37"/>
      <c r="AI792" s="37"/>
      <c r="AJ792" s="37"/>
      <c r="AK792" s="37"/>
      <c r="AL792" s="37"/>
      <c r="AM792" s="37"/>
      <c r="AN792" s="37"/>
      <c r="AO792" s="37"/>
      <c r="AP792" s="37"/>
      <c r="AQ792" s="37"/>
      <c r="AR792" s="37" t="s">
        <v>1124</v>
      </c>
      <c r="AS792" s="37"/>
      <c r="AT792" s="37"/>
      <c r="AU792" s="37"/>
      <c r="AV792" s="37"/>
      <c r="AW792" s="37"/>
      <c r="AX792" s="37"/>
      <c r="AY792" s="37"/>
      <c r="AZ792" s="37"/>
      <c r="BA792" s="37"/>
      <c r="BB792" s="37"/>
      <c r="BC792" s="37"/>
      <c r="BD792" s="37" t="s">
        <v>1124</v>
      </c>
      <c r="BE792" s="37"/>
      <c r="BF792" s="37"/>
      <c r="BG792" s="37"/>
      <c r="BH792" s="37"/>
      <c r="BI792" s="37"/>
      <c r="BJ792" s="37"/>
      <c r="BK792" s="37"/>
      <c r="BL792" s="37"/>
      <c r="BM792" s="37"/>
      <c r="BN792" s="37"/>
      <c r="BO792" s="37"/>
      <c r="BP792" s="37">
        <v>0</v>
      </c>
      <c r="BQ792" s="37"/>
      <c r="BR792" s="37"/>
      <c r="BS792" s="37"/>
      <c r="BT792" s="37"/>
      <c r="BU792" s="37"/>
      <c r="BV792" s="37"/>
      <c r="BW792" s="37"/>
      <c r="BX792" s="37"/>
      <c r="BY792" s="37"/>
      <c r="BZ792" s="37"/>
      <c r="CA792" s="37"/>
      <c r="CB792" s="37" t="s">
        <v>1124</v>
      </c>
      <c r="CC792" s="37"/>
      <c r="CD792" s="37"/>
      <c r="CE792" s="37"/>
      <c r="CF792" s="37"/>
      <c r="CG792" s="37"/>
      <c r="CH792" s="37"/>
      <c r="CI792" s="37"/>
      <c r="CJ792" s="37"/>
      <c r="CK792" s="37"/>
      <c r="CL792" s="37"/>
      <c r="CM792" s="37"/>
      <c r="CN792" s="37" t="s">
        <v>1124</v>
      </c>
      <c r="CO792" s="37"/>
      <c r="CP792" s="37"/>
      <c r="CQ792" s="37"/>
      <c r="CR792" s="37"/>
      <c r="CS792" s="37"/>
      <c r="CT792" s="37"/>
      <c r="CU792" s="37"/>
      <c r="CV792" s="37"/>
      <c r="CW792" s="37"/>
      <c r="CX792" s="37"/>
      <c r="CY792" s="37"/>
      <c r="CZ792" s="37" t="s">
        <v>1124</v>
      </c>
      <c r="DA792" s="37"/>
      <c r="DB792" s="37"/>
      <c r="DC792" s="37"/>
      <c r="DD792" s="37"/>
      <c r="DE792" s="37"/>
      <c r="DF792" s="37"/>
      <c r="DG792" s="37"/>
      <c r="DH792" s="37"/>
      <c r="DI792" s="37"/>
      <c r="DJ792" s="37"/>
      <c r="DK792" s="37"/>
      <c r="DL792" s="37" t="s">
        <v>1124</v>
      </c>
      <c r="DM792" s="37"/>
      <c r="DN792" s="37"/>
      <c r="DO792" s="37"/>
      <c r="DP792" s="37"/>
      <c r="DQ792" s="37"/>
      <c r="DR792" s="37"/>
      <c r="DS792" s="37"/>
      <c r="DT792" s="37"/>
      <c r="DU792" s="37"/>
      <c r="DV792" s="37"/>
      <c r="DW792" s="37"/>
      <c r="DX792" s="37" t="s">
        <v>1124</v>
      </c>
      <c r="DY792" s="37"/>
      <c r="DZ792" s="37"/>
      <c r="EA792" s="37"/>
      <c r="EB792" s="37"/>
      <c r="EC792" s="37"/>
      <c r="ED792" s="37"/>
      <c r="EE792" s="37"/>
      <c r="EF792" s="37"/>
      <c r="EG792" s="37"/>
      <c r="EH792" s="37"/>
      <c r="EI792" s="37"/>
      <c r="EJ792" s="37" t="s">
        <v>1124</v>
      </c>
      <c r="EK792" s="161"/>
      <c r="EL792" s="294"/>
    </row>
    <row r="793" spans="1:142" ht="15" customHeight="1" x14ac:dyDescent="0.35">
      <c r="A793" s="34"/>
      <c r="B793" s="313">
        <v>6055</v>
      </c>
      <c r="C793" s="8" t="s">
        <v>1066</v>
      </c>
      <c r="D793" s="18">
        <v>11</v>
      </c>
      <c r="E793" s="155">
        <v>83788</v>
      </c>
      <c r="F793" s="36">
        <v>0</v>
      </c>
      <c r="G793" s="37">
        <v>21472</v>
      </c>
      <c r="H793" s="37">
        <v>0</v>
      </c>
      <c r="I793" s="37">
        <v>21472</v>
      </c>
      <c r="J793" s="37">
        <v>0</v>
      </c>
      <c r="K793" s="37">
        <v>12568</v>
      </c>
      <c r="L793" s="37">
        <v>0</v>
      </c>
      <c r="M793" s="37">
        <v>139300</v>
      </c>
      <c r="N793" s="37">
        <v>0</v>
      </c>
      <c r="O793" s="37">
        <v>0</v>
      </c>
      <c r="P793" s="37">
        <v>0</v>
      </c>
      <c r="Q793" s="37">
        <v>50430</v>
      </c>
      <c r="R793" s="37">
        <v>0</v>
      </c>
      <c r="S793" s="37">
        <v>0</v>
      </c>
      <c r="T793" s="37">
        <v>0</v>
      </c>
      <c r="U793" s="37">
        <v>5504</v>
      </c>
      <c r="V793" s="37">
        <v>0</v>
      </c>
      <c r="W793" s="37">
        <v>83366</v>
      </c>
      <c r="X793" s="37">
        <v>0</v>
      </c>
      <c r="Y793" s="37">
        <v>0</v>
      </c>
      <c r="Z793" s="37">
        <v>0</v>
      </c>
      <c r="AA793" s="37">
        <v>139300</v>
      </c>
      <c r="AB793" s="37">
        <v>0</v>
      </c>
      <c r="AC793" s="37">
        <v>0</v>
      </c>
      <c r="AD793" s="37">
        <v>0</v>
      </c>
      <c r="AE793" s="37">
        <v>0</v>
      </c>
      <c r="AF793" s="168">
        <v>0.02</v>
      </c>
      <c r="AG793" s="37">
        <v>7469941.0300000003</v>
      </c>
      <c r="AH793" s="37">
        <v>50002.82</v>
      </c>
      <c r="AI793" s="37">
        <v>51002.879999999997</v>
      </c>
      <c r="AJ793" s="37">
        <v>52022.93</v>
      </c>
      <c r="AK793" s="37">
        <v>53063.39</v>
      </c>
      <c r="AL793" s="37">
        <v>54124.66</v>
      </c>
      <c r="AM793" s="37">
        <v>55207.15</v>
      </c>
      <c r="AN793" s="37">
        <v>56311.3</v>
      </c>
      <c r="AO793" s="37">
        <v>57437.52</v>
      </c>
      <c r="AP793" s="37">
        <v>58586.27</v>
      </c>
      <c r="AQ793" s="37">
        <v>59758</v>
      </c>
      <c r="AR793" s="37">
        <v>547516.92000000004</v>
      </c>
      <c r="AS793" s="37">
        <v>0</v>
      </c>
      <c r="AT793" s="37">
        <v>0</v>
      </c>
      <c r="AU793" s="37">
        <v>0</v>
      </c>
      <c r="AV793" s="37">
        <v>556072.99</v>
      </c>
      <c r="AW793" s="37">
        <v>0</v>
      </c>
      <c r="AX793" s="37">
        <v>0</v>
      </c>
      <c r="AY793" s="37">
        <v>0</v>
      </c>
      <c r="AZ793" s="37">
        <v>0</v>
      </c>
      <c r="BA793" s="37">
        <v>0</v>
      </c>
      <c r="BB793" s="37">
        <v>0</v>
      </c>
      <c r="BC793" s="37">
        <v>0</v>
      </c>
      <c r="BD793" s="37">
        <v>556072.99</v>
      </c>
      <c r="BE793" s="37">
        <v>0</v>
      </c>
      <c r="BF793" s="37">
        <v>0</v>
      </c>
      <c r="BG793" s="37">
        <v>184755</v>
      </c>
      <c r="BH793" s="37">
        <v>184755</v>
      </c>
      <c r="BI793" s="37">
        <v>0</v>
      </c>
      <c r="BJ793" s="37">
        <v>0</v>
      </c>
      <c r="BK793" s="37">
        <v>0</v>
      </c>
      <c r="BL793" s="37">
        <v>0</v>
      </c>
      <c r="BM793" s="37">
        <v>0</v>
      </c>
      <c r="BN793" s="37">
        <v>0</v>
      </c>
      <c r="BO793" s="37">
        <v>0</v>
      </c>
      <c r="BP793" s="37">
        <v>369510</v>
      </c>
      <c r="BQ793" s="37">
        <v>0</v>
      </c>
      <c r="BR793" s="37">
        <v>0</v>
      </c>
      <c r="BS793" s="37">
        <v>15245</v>
      </c>
      <c r="BT793" s="37">
        <v>15245</v>
      </c>
      <c r="BU793" s="37">
        <v>0</v>
      </c>
      <c r="BV793" s="37">
        <v>0</v>
      </c>
      <c r="BW793" s="37">
        <v>0</v>
      </c>
      <c r="BX793" s="37">
        <v>0</v>
      </c>
      <c r="BY793" s="37">
        <v>0</v>
      </c>
      <c r="BZ793" s="37">
        <v>0</v>
      </c>
      <c r="CA793" s="37">
        <v>0</v>
      </c>
      <c r="CB793" s="37">
        <v>30490</v>
      </c>
      <c r="CC793" s="37">
        <v>0</v>
      </c>
      <c r="CD793" s="37">
        <v>0</v>
      </c>
      <c r="CE793" s="37">
        <v>0</v>
      </c>
      <c r="CF793" s="37">
        <v>0</v>
      </c>
      <c r="CG793" s="37">
        <v>0</v>
      </c>
      <c r="CH793" s="37">
        <v>0</v>
      </c>
      <c r="CI793" s="37">
        <v>0</v>
      </c>
      <c r="CJ793" s="37">
        <v>0</v>
      </c>
      <c r="CK793" s="37">
        <v>0</v>
      </c>
      <c r="CL793" s="37">
        <v>0</v>
      </c>
      <c r="CM793" s="37">
        <v>0</v>
      </c>
      <c r="CN793" s="37">
        <v>0</v>
      </c>
      <c r="CO793" s="37">
        <v>0</v>
      </c>
      <c r="CP793" s="37">
        <v>0</v>
      </c>
      <c r="CQ793" s="37">
        <v>262000</v>
      </c>
      <c r="CR793" s="37">
        <v>262000</v>
      </c>
      <c r="CS793" s="37">
        <v>0</v>
      </c>
      <c r="CT793" s="37">
        <v>0</v>
      </c>
      <c r="CU793" s="37">
        <v>0</v>
      </c>
      <c r="CV793" s="37">
        <v>0</v>
      </c>
      <c r="CW793" s="37">
        <v>0</v>
      </c>
      <c r="CX793" s="37">
        <v>0</v>
      </c>
      <c r="CY793" s="37">
        <v>0</v>
      </c>
      <c r="CZ793" s="37">
        <v>524000</v>
      </c>
      <c r="DA793" s="37">
        <v>0</v>
      </c>
      <c r="DB793" s="37">
        <v>0</v>
      </c>
      <c r="DC793" s="37">
        <v>0</v>
      </c>
      <c r="DD793" s="37">
        <v>0</v>
      </c>
      <c r="DE793" s="37">
        <v>0</v>
      </c>
      <c r="DF793" s="37">
        <v>0</v>
      </c>
      <c r="DG793" s="37">
        <v>0</v>
      </c>
      <c r="DH793" s="37">
        <v>0</v>
      </c>
      <c r="DI793" s="37">
        <v>0</v>
      </c>
      <c r="DJ793" s="37">
        <v>0</v>
      </c>
      <c r="DK793" s="37">
        <v>0</v>
      </c>
      <c r="DL793" s="37">
        <v>0</v>
      </c>
      <c r="DM793" s="37">
        <v>0</v>
      </c>
      <c r="DN793" s="37">
        <v>0</v>
      </c>
      <c r="DO793" s="37">
        <v>0</v>
      </c>
      <c r="DP793" s="37">
        <v>0</v>
      </c>
      <c r="DQ793" s="37">
        <v>0</v>
      </c>
      <c r="DR793" s="37">
        <v>0</v>
      </c>
      <c r="DS793" s="37">
        <v>0</v>
      </c>
      <c r="DT793" s="37">
        <v>0</v>
      </c>
      <c r="DU793" s="37">
        <v>0</v>
      </c>
      <c r="DV793" s="37">
        <v>0</v>
      </c>
      <c r="DW793" s="37">
        <v>0</v>
      </c>
      <c r="DX793" s="37">
        <v>0</v>
      </c>
      <c r="DY793" s="37">
        <v>0</v>
      </c>
      <c r="DZ793" s="37">
        <v>0</v>
      </c>
      <c r="EA793" s="37">
        <v>0</v>
      </c>
      <c r="EB793" s="37">
        <v>0</v>
      </c>
      <c r="EC793" s="37">
        <v>0</v>
      </c>
      <c r="ED793" s="37">
        <v>0</v>
      </c>
      <c r="EE793" s="37">
        <v>0</v>
      </c>
      <c r="EF793" s="37">
        <v>0</v>
      </c>
      <c r="EG793" s="37">
        <v>0</v>
      </c>
      <c r="EH793" s="37">
        <v>0</v>
      </c>
      <c r="EI793" s="37">
        <v>0</v>
      </c>
      <c r="EJ793" s="37">
        <v>0</v>
      </c>
      <c r="EK793" s="161" t="s">
        <v>3055</v>
      </c>
      <c r="EL793" s="294" t="s">
        <v>1124</v>
      </c>
    </row>
    <row r="794" spans="1:142" ht="15" customHeight="1" x14ac:dyDescent="0.35">
      <c r="A794" s="34"/>
      <c r="B794" s="313">
        <v>18060</v>
      </c>
      <c r="C794" s="8" t="s">
        <v>115</v>
      </c>
      <c r="D794" s="18">
        <v>12</v>
      </c>
      <c r="E794" s="155"/>
      <c r="F794" s="36"/>
      <c r="G794" s="37"/>
      <c r="H794" s="37"/>
      <c r="I794" s="37"/>
      <c r="J794" s="37"/>
      <c r="K794" s="37"/>
      <c r="L794" s="37"/>
      <c r="M794" s="37" t="s">
        <v>1124</v>
      </c>
      <c r="N794" s="37" t="s">
        <v>1124</v>
      </c>
      <c r="O794" s="37"/>
      <c r="P794" s="37"/>
      <c r="Q794" s="37"/>
      <c r="R794" s="37"/>
      <c r="S794" s="37"/>
      <c r="T794" s="37"/>
      <c r="U794" s="37"/>
      <c r="V794" s="37"/>
      <c r="W794" s="37"/>
      <c r="X794" s="37"/>
      <c r="Y794" s="37"/>
      <c r="Z794" s="37"/>
      <c r="AA794" s="37" t="s">
        <v>1124</v>
      </c>
      <c r="AB794" s="37" t="s">
        <v>1124</v>
      </c>
      <c r="AC794" s="37"/>
      <c r="AD794" s="37"/>
      <c r="AE794" s="37"/>
      <c r="AF794" s="168"/>
      <c r="AG794" s="37"/>
      <c r="AH794" s="37"/>
      <c r="AI794" s="37"/>
      <c r="AJ794" s="37"/>
      <c r="AK794" s="37"/>
      <c r="AL794" s="37"/>
      <c r="AM794" s="37"/>
      <c r="AN794" s="37"/>
      <c r="AO794" s="37"/>
      <c r="AP794" s="37"/>
      <c r="AQ794" s="37"/>
      <c r="AR794" s="37" t="s">
        <v>1124</v>
      </c>
      <c r="AS794" s="37"/>
      <c r="AT794" s="37"/>
      <c r="AU794" s="37"/>
      <c r="AV794" s="37"/>
      <c r="AW794" s="37"/>
      <c r="AX794" s="37"/>
      <c r="AY794" s="37"/>
      <c r="AZ794" s="37"/>
      <c r="BA794" s="37"/>
      <c r="BB794" s="37"/>
      <c r="BC794" s="37"/>
      <c r="BD794" s="37" t="s">
        <v>1124</v>
      </c>
      <c r="BE794" s="37"/>
      <c r="BF794" s="37"/>
      <c r="BG794" s="37"/>
      <c r="BH794" s="37"/>
      <c r="BI794" s="37"/>
      <c r="BJ794" s="37"/>
      <c r="BK794" s="37"/>
      <c r="BL794" s="37"/>
      <c r="BM794" s="37"/>
      <c r="BN794" s="37"/>
      <c r="BO794" s="37"/>
      <c r="BP794" s="37">
        <v>0</v>
      </c>
      <c r="BQ794" s="37"/>
      <c r="BR794" s="37"/>
      <c r="BS794" s="37"/>
      <c r="BT794" s="37"/>
      <c r="BU794" s="37"/>
      <c r="BV794" s="37"/>
      <c r="BW794" s="37"/>
      <c r="BX794" s="37"/>
      <c r="BY794" s="37"/>
      <c r="BZ794" s="37"/>
      <c r="CA794" s="37"/>
      <c r="CB794" s="37" t="s">
        <v>1124</v>
      </c>
      <c r="CC794" s="37"/>
      <c r="CD794" s="37"/>
      <c r="CE794" s="37"/>
      <c r="CF794" s="37"/>
      <c r="CG794" s="37"/>
      <c r="CH794" s="37"/>
      <c r="CI794" s="37"/>
      <c r="CJ794" s="37"/>
      <c r="CK794" s="37"/>
      <c r="CL794" s="37"/>
      <c r="CM794" s="37"/>
      <c r="CN794" s="37" t="s">
        <v>1124</v>
      </c>
      <c r="CO794" s="37"/>
      <c r="CP794" s="37"/>
      <c r="CQ794" s="37"/>
      <c r="CR794" s="37"/>
      <c r="CS794" s="37"/>
      <c r="CT794" s="37"/>
      <c r="CU794" s="37"/>
      <c r="CV794" s="37"/>
      <c r="CW794" s="37"/>
      <c r="CX794" s="37"/>
      <c r="CY794" s="37"/>
      <c r="CZ794" s="37" t="s">
        <v>1124</v>
      </c>
      <c r="DA794" s="37"/>
      <c r="DB794" s="37"/>
      <c r="DC794" s="37"/>
      <c r="DD794" s="37"/>
      <c r="DE794" s="37"/>
      <c r="DF794" s="37"/>
      <c r="DG794" s="37"/>
      <c r="DH794" s="37"/>
      <c r="DI794" s="37"/>
      <c r="DJ794" s="37"/>
      <c r="DK794" s="37"/>
      <c r="DL794" s="37" t="s">
        <v>1124</v>
      </c>
      <c r="DM794" s="37"/>
      <c r="DN794" s="37"/>
      <c r="DO794" s="37"/>
      <c r="DP794" s="37"/>
      <c r="DQ794" s="37"/>
      <c r="DR794" s="37"/>
      <c r="DS794" s="37"/>
      <c r="DT794" s="37"/>
      <c r="DU794" s="37"/>
      <c r="DV794" s="37"/>
      <c r="DW794" s="37"/>
      <c r="DX794" s="37" t="s">
        <v>1124</v>
      </c>
      <c r="DY794" s="37"/>
      <c r="DZ794" s="37"/>
      <c r="EA794" s="37"/>
      <c r="EB794" s="37"/>
      <c r="EC794" s="37"/>
      <c r="ED794" s="37"/>
      <c r="EE794" s="37"/>
      <c r="EF794" s="37"/>
      <c r="EG794" s="37"/>
      <c r="EH794" s="37"/>
      <c r="EI794" s="37"/>
      <c r="EJ794" s="37" t="s">
        <v>1124</v>
      </c>
      <c r="EK794" s="161"/>
      <c r="EL794" s="294"/>
    </row>
    <row r="795" spans="1:142" ht="15" customHeight="1" x14ac:dyDescent="0.35">
      <c r="A795" s="34"/>
      <c r="B795" s="313">
        <v>20005</v>
      </c>
      <c r="C795" s="8" t="s">
        <v>138</v>
      </c>
      <c r="D795" s="18">
        <v>3</v>
      </c>
      <c r="E795" s="155"/>
      <c r="F795" s="36"/>
      <c r="G795" s="37"/>
      <c r="H795" s="37"/>
      <c r="I795" s="37"/>
      <c r="J795" s="37"/>
      <c r="K795" s="37"/>
      <c r="L795" s="37"/>
      <c r="M795" s="37" t="s">
        <v>1124</v>
      </c>
      <c r="N795" s="37" t="s">
        <v>1124</v>
      </c>
      <c r="O795" s="37"/>
      <c r="P795" s="37"/>
      <c r="Q795" s="37"/>
      <c r="R795" s="37"/>
      <c r="S795" s="37"/>
      <c r="T795" s="37"/>
      <c r="U795" s="37"/>
      <c r="V795" s="37"/>
      <c r="W795" s="37"/>
      <c r="X795" s="37"/>
      <c r="Y795" s="37"/>
      <c r="Z795" s="37"/>
      <c r="AA795" s="37" t="s">
        <v>1124</v>
      </c>
      <c r="AB795" s="37" t="s">
        <v>1124</v>
      </c>
      <c r="AC795" s="37"/>
      <c r="AD795" s="37"/>
      <c r="AE795" s="37"/>
      <c r="AF795" s="168"/>
      <c r="AG795" s="37"/>
      <c r="AH795" s="37"/>
      <c r="AI795" s="37"/>
      <c r="AJ795" s="37"/>
      <c r="AK795" s="37"/>
      <c r="AL795" s="37"/>
      <c r="AM795" s="37"/>
      <c r="AN795" s="37"/>
      <c r="AO795" s="37"/>
      <c r="AP795" s="37"/>
      <c r="AQ795" s="37"/>
      <c r="AR795" s="37" t="s">
        <v>1124</v>
      </c>
      <c r="AS795" s="37"/>
      <c r="AT795" s="37"/>
      <c r="AU795" s="37"/>
      <c r="AV795" s="37"/>
      <c r="AW795" s="37"/>
      <c r="AX795" s="37"/>
      <c r="AY795" s="37"/>
      <c r="AZ795" s="37"/>
      <c r="BA795" s="37"/>
      <c r="BB795" s="37"/>
      <c r="BC795" s="37"/>
      <c r="BD795" s="37" t="s">
        <v>1124</v>
      </c>
      <c r="BE795" s="37"/>
      <c r="BF795" s="37"/>
      <c r="BG795" s="37"/>
      <c r="BH795" s="37"/>
      <c r="BI795" s="37"/>
      <c r="BJ795" s="37"/>
      <c r="BK795" s="37"/>
      <c r="BL795" s="37"/>
      <c r="BM795" s="37"/>
      <c r="BN795" s="37"/>
      <c r="BO795" s="37"/>
      <c r="BP795" s="37">
        <v>0</v>
      </c>
      <c r="BQ795" s="37"/>
      <c r="BR795" s="37"/>
      <c r="BS795" s="37"/>
      <c r="BT795" s="37"/>
      <c r="BU795" s="37"/>
      <c r="BV795" s="37"/>
      <c r="BW795" s="37"/>
      <c r="BX795" s="37"/>
      <c r="BY795" s="37"/>
      <c r="BZ795" s="37"/>
      <c r="CA795" s="37"/>
      <c r="CB795" s="37" t="s">
        <v>1124</v>
      </c>
      <c r="CC795" s="37"/>
      <c r="CD795" s="37"/>
      <c r="CE795" s="37"/>
      <c r="CF795" s="37"/>
      <c r="CG795" s="37"/>
      <c r="CH795" s="37"/>
      <c r="CI795" s="37"/>
      <c r="CJ795" s="37"/>
      <c r="CK795" s="37"/>
      <c r="CL795" s="37"/>
      <c r="CM795" s="37"/>
      <c r="CN795" s="37" t="s">
        <v>1124</v>
      </c>
      <c r="CO795" s="37"/>
      <c r="CP795" s="37"/>
      <c r="CQ795" s="37"/>
      <c r="CR795" s="37"/>
      <c r="CS795" s="37"/>
      <c r="CT795" s="37"/>
      <c r="CU795" s="37"/>
      <c r="CV795" s="37"/>
      <c r="CW795" s="37"/>
      <c r="CX795" s="37"/>
      <c r="CY795" s="37"/>
      <c r="CZ795" s="37" t="s">
        <v>1124</v>
      </c>
      <c r="DA795" s="37"/>
      <c r="DB795" s="37"/>
      <c r="DC795" s="37"/>
      <c r="DD795" s="37"/>
      <c r="DE795" s="37"/>
      <c r="DF795" s="37"/>
      <c r="DG795" s="37"/>
      <c r="DH795" s="37"/>
      <c r="DI795" s="37"/>
      <c r="DJ795" s="37"/>
      <c r="DK795" s="37"/>
      <c r="DL795" s="37" t="s">
        <v>1124</v>
      </c>
      <c r="DM795" s="37"/>
      <c r="DN795" s="37"/>
      <c r="DO795" s="37"/>
      <c r="DP795" s="37"/>
      <c r="DQ795" s="37"/>
      <c r="DR795" s="37"/>
      <c r="DS795" s="37"/>
      <c r="DT795" s="37"/>
      <c r="DU795" s="37"/>
      <c r="DV795" s="37"/>
      <c r="DW795" s="37"/>
      <c r="DX795" s="37" t="s">
        <v>1124</v>
      </c>
      <c r="DY795" s="37"/>
      <c r="DZ795" s="37"/>
      <c r="EA795" s="37"/>
      <c r="EB795" s="37"/>
      <c r="EC795" s="37"/>
      <c r="ED795" s="37"/>
      <c r="EE795" s="37"/>
      <c r="EF795" s="37"/>
      <c r="EG795" s="37"/>
      <c r="EH795" s="37"/>
      <c r="EI795" s="37"/>
      <c r="EJ795" s="37" t="s">
        <v>1124</v>
      </c>
      <c r="EK795" s="161"/>
      <c r="EL795" s="294"/>
    </row>
    <row r="796" spans="1:142" ht="15" customHeight="1" x14ac:dyDescent="0.35">
      <c r="A796" s="34"/>
      <c r="B796" s="313">
        <v>91015</v>
      </c>
      <c r="C796" s="8" t="s">
        <v>939</v>
      </c>
      <c r="D796" s="18">
        <v>2</v>
      </c>
      <c r="E796" s="155">
        <v>89821</v>
      </c>
      <c r="F796" s="36">
        <v>120240</v>
      </c>
      <c r="G796" s="37">
        <v>18228</v>
      </c>
      <c r="H796" s="37">
        <v>0</v>
      </c>
      <c r="I796" s="37">
        <v>33000</v>
      </c>
      <c r="J796" s="37">
        <v>0</v>
      </c>
      <c r="K796" s="37">
        <v>8982</v>
      </c>
      <c r="L796" s="37">
        <v>12024</v>
      </c>
      <c r="M796" s="37">
        <v>150031</v>
      </c>
      <c r="N796" s="37">
        <v>132264</v>
      </c>
      <c r="O796" s="37">
        <v>0</v>
      </c>
      <c r="P796" s="37">
        <v>0</v>
      </c>
      <c r="Q796" s="37">
        <v>100000</v>
      </c>
      <c r="R796" s="37">
        <v>53000</v>
      </c>
      <c r="S796" s="37">
        <v>0</v>
      </c>
      <c r="T796" s="37">
        <v>0</v>
      </c>
      <c r="U796" s="37">
        <v>10739</v>
      </c>
      <c r="V796" s="37">
        <v>0</v>
      </c>
      <c r="W796" s="37">
        <v>59278</v>
      </c>
      <c r="X796" s="37">
        <v>59278</v>
      </c>
      <c r="Y796" s="37">
        <v>0</v>
      </c>
      <c r="Z796" s="37">
        <v>0</v>
      </c>
      <c r="AA796" s="37">
        <v>170017</v>
      </c>
      <c r="AB796" s="37">
        <v>112278</v>
      </c>
      <c r="AC796" s="37">
        <v>0</v>
      </c>
      <c r="AD796" s="37">
        <v>0</v>
      </c>
      <c r="AE796" s="37">
        <v>0</v>
      </c>
      <c r="AF796" s="168">
        <v>0.02</v>
      </c>
      <c r="AG796" s="37">
        <v>18951822.5</v>
      </c>
      <c r="AH796" s="37">
        <v>152780.32999999999</v>
      </c>
      <c r="AI796" s="37">
        <v>155835.94</v>
      </c>
      <c r="AJ796" s="37">
        <v>158952.66</v>
      </c>
      <c r="AK796" s="37">
        <v>162131.71</v>
      </c>
      <c r="AL796" s="37">
        <v>165374.34</v>
      </c>
      <c r="AM796" s="37">
        <v>168681.83</v>
      </c>
      <c r="AN796" s="37">
        <v>172055.47</v>
      </c>
      <c r="AO796" s="37">
        <v>175496.58</v>
      </c>
      <c r="AP796" s="37">
        <v>179006.51</v>
      </c>
      <c r="AQ796" s="37">
        <v>182586.64</v>
      </c>
      <c r="AR796" s="37">
        <v>1672902.0099999998</v>
      </c>
      <c r="AS796" s="37">
        <v>37959.599999999999</v>
      </c>
      <c r="AT796" s="37">
        <v>312120</v>
      </c>
      <c r="AU796" s="37">
        <v>0</v>
      </c>
      <c r="AV796" s="37">
        <v>10612.08</v>
      </c>
      <c r="AW796" s="37">
        <v>10824.32</v>
      </c>
      <c r="AX796" s="37">
        <v>0</v>
      </c>
      <c r="AY796" s="37">
        <v>0</v>
      </c>
      <c r="AZ796" s="37">
        <v>0</v>
      </c>
      <c r="BA796" s="37">
        <v>0</v>
      </c>
      <c r="BB796" s="37">
        <v>0</v>
      </c>
      <c r="BC796" s="37">
        <v>0</v>
      </c>
      <c r="BD796" s="37">
        <v>333556.40000000002</v>
      </c>
      <c r="BE796" s="37">
        <v>18259</v>
      </c>
      <c r="BF796" s="37">
        <v>0</v>
      </c>
      <c r="BG796" s="37">
        <v>790624</v>
      </c>
      <c r="BH796" s="37">
        <v>0</v>
      </c>
      <c r="BI796" s="37">
        <v>0</v>
      </c>
      <c r="BJ796" s="37">
        <v>0</v>
      </c>
      <c r="BK796" s="37">
        <v>0</v>
      </c>
      <c r="BL796" s="37">
        <v>0</v>
      </c>
      <c r="BM796" s="37">
        <v>0</v>
      </c>
      <c r="BN796" s="37">
        <v>0</v>
      </c>
      <c r="BO796" s="37">
        <v>0</v>
      </c>
      <c r="BP796" s="37">
        <v>790624</v>
      </c>
      <c r="BQ796" s="37">
        <v>0</v>
      </c>
      <c r="BR796" s="37">
        <v>0</v>
      </c>
      <c r="BS796" s="37">
        <v>197657</v>
      </c>
      <c r="BT796" s="37">
        <v>0</v>
      </c>
      <c r="BU796" s="37">
        <v>0</v>
      </c>
      <c r="BV796" s="37">
        <v>0</v>
      </c>
      <c r="BW796" s="37">
        <v>0</v>
      </c>
      <c r="BX796" s="37">
        <v>0</v>
      </c>
      <c r="BY796" s="37">
        <v>0</v>
      </c>
      <c r="BZ796" s="37">
        <v>0</v>
      </c>
      <c r="CA796" s="37">
        <v>0</v>
      </c>
      <c r="CB796" s="37">
        <v>197657</v>
      </c>
      <c r="CC796" s="37">
        <v>0</v>
      </c>
      <c r="CD796" s="37">
        <v>0</v>
      </c>
      <c r="CE796" s="37">
        <v>0</v>
      </c>
      <c r="CF796" s="37">
        <v>0</v>
      </c>
      <c r="CG796" s="37">
        <v>0</v>
      </c>
      <c r="CH796" s="37">
        <v>0</v>
      </c>
      <c r="CI796" s="37">
        <v>0</v>
      </c>
      <c r="CJ796" s="37">
        <v>0</v>
      </c>
      <c r="CK796" s="37">
        <v>0</v>
      </c>
      <c r="CL796" s="37">
        <v>0</v>
      </c>
      <c r="CM796" s="37">
        <v>0</v>
      </c>
      <c r="CN796" s="37">
        <v>0</v>
      </c>
      <c r="CO796" s="37">
        <v>0</v>
      </c>
      <c r="CP796" s="37">
        <v>0</v>
      </c>
      <c r="CQ796" s="37">
        <v>0</v>
      </c>
      <c r="CR796" s="37">
        <v>0</v>
      </c>
      <c r="CS796" s="37">
        <v>0</v>
      </c>
      <c r="CT796" s="37">
        <v>0</v>
      </c>
      <c r="CU796" s="37">
        <v>0</v>
      </c>
      <c r="CV796" s="37">
        <v>0</v>
      </c>
      <c r="CW796" s="37">
        <v>0</v>
      </c>
      <c r="CX796" s="37">
        <v>0</v>
      </c>
      <c r="CY796" s="37">
        <v>0</v>
      </c>
      <c r="CZ796" s="37">
        <v>0</v>
      </c>
      <c r="DA796" s="37">
        <v>0</v>
      </c>
      <c r="DB796" s="37">
        <v>0</v>
      </c>
      <c r="DC796" s="37">
        <v>0</v>
      </c>
      <c r="DD796" s="37">
        <v>0</v>
      </c>
      <c r="DE796" s="37">
        <v>0</v>
      </c>
      <c r="DF796" s="37">
        <v>0</v>
      </c>
      <c r="DG796" s="37">
        <v>0</v>
      </c>
      <c r="DH796" s="37">
        <v>0</v>
      </c>
      <c r="DI796" s="37">
        <v>0</v>
      </c>
      <c r="DJ796" s="37">
        <v>0</v>
      </c>
      <c r="DK796" s="37">
        <v>0</v>
      </c>
      <c r="DL796" s="37">
        <v>0</v>
      </c>
      <c r="DM796" s="37">
        <v>0</v>
      </c>
      <c r="DN796" s="37">
        <v>0</v>
      </c>
      <c r="DO796" s="37">
        <v>0</v>
      </c>
      <c r="DP796" s="37">
        <v>0</v>
      </c>
      <c r="DQ796" s="37">
        <v>0</v>
      </c>
      <c r="DR796" s="37">
        <v>0</v>
      </c>
      <c r="DS796" s="37">
        <v>0</v>
      </c>
      <c r="DT796" s="37">
        <v>0</v>
      </c>
      <c r="DU796" s="37">
        <v>0</v>
      </c>
      <c r="DV796" s="37">
        <v>0</v>
      </c>
      <c r="DW796" s="37">
        <v>0</v>
      </c>
      <c r="DX796" s="37">
        <v>0</v>
      </c>
      <c r="DY796" s="37">
        <v>0</v>
      </c>
      <c r="DZ796" s="37">
        <v>0</v>
      </c>
      <c r="EA796" s="37">
        <v>0</v>
      </c>
      <c r="EB796" s="37">
        <v>0</v>
      </c>
      <c r="EC796" s="37">
        <v>0</v>
      </c>
      <c r="ED796" s="37">
        <v>0</v>
      </c>
      <c r="EE796" s="37">
        <v>0</v>
      </c>
      <c r="EF796" s="37">
        <v>0</v>
      </c>
      <c r="EG796" s="37">
        <v>0</v>
      </c>
      <c r="EH796" s="37">
        <v>0</v>
      </c>
      <c r="EI796" s="37">
        <v>0</v>
      </c>
      <c r="EJ796" s="37">
        <v>0</v>
      </c>
      <c r="EK796" s="161" t="s">
        <v>3059</v>
      </c>
      <c r="EL796" s="294" t="s">
        <v>1124</v>
      </c>
    </row>
    <row r="797" spans="1:142" ht="15" customHeight="1" x14ac:dyDescent="0.35">
      <c r="A797" s="34"/>
      <c r="B797" s="313">
        <v>50128</v>
      </c>
      <c r="C797" s="8" t="s">
        <v>497</v>
      </c>
      <c r="D797" s="18">
        <v>17</v>
      </c>
      <c r="E797" s="155">
        <v>141756</v>
      </c>
      <c r="F797" s="36">
        <v>78203</v>
      </c>
      <c r="G797" s="37">
        <v>0</v>
      </c>
      <c r="H797" s="37">
        <v>0</v>
      </c>
      <c r="I797" s="37">
        <v>0</v>
      </c>
      <c r="J797" s="37">
        <v>0</v>
      </c>
      <c r="K797" s="37">
        <v>21263.399999999998</v>
      </c>
      <c r="L797" s="37">
        <v>11730.449999999999</v>
      </c>
      <c r="M797" s="37">
        <v>163019.4</v>
      </c>
      <c r="N797" s="37">
        <v>89933.45</v>
      </c>
      <c r="O797" s="37">
        <v>106572</v>
      </c>
      <c r="P797" s="37">
        <v>0</v>
      </c>
      <c r="Q797" s="37">
        <v>37742</v>
      </c>
      <c r="R797" s="37">
        <v>114503</v>
      </c>
      <c r="S797" s="37">
        <v>0</v>
      </c>
      <c r="T797" s="37">
        <v>9669</v>
      </c>
      <c r="U797" s="37">
        <v>699</v>
      </c>
      <c r="V797" s="37">
        <v>0</v>
      </c>
      <c r="W797" s="37">
        <v>0</v>
      </c>
      <c r="X797" s="37">
        <v>0</v>
      </c>
      <c r="Y797" s="37">
        <v>0</v>
      </c>
      <c r="Z797" s="37">
        <v>0</v>
      </c>
      <c r="AA797" s="37">
        <v>145013</v>
      </c>
      <c r="AB797" s="37">
        <v>124172</v>
      </c>
      <c r="AC797" s="37">
        <v>16232</v>
      </c>
      <c r="AD797" s="37">
        <v>7500</v>
      </c>
      <c r="AE797" s="37">
        <v>7500</v>
      </c>
      <c r="AF797" s="168">
        <v>0.02</v>
      </c>
      <c r="AG797" s="37">
        <v>28239518.390000001</v>
      </c>
      <c r="AH797" s="37">
        <v>529990.93999999994</v>
      </c>
      <c r="AI797" s="37">
        <v>576604.98</v>
      </c>
      <c r="AJ797" s="37">
        <v>264259.31</v>
      </c>
      <c r="AK797" s="37">
        <v>269544.49</v>
      </c>
      <c r="AL797" s="37">
        <v>274935.38</v>
      </c>
      <c r="AM797" s="37">
        <v>280434.09000000003</v>
      </c>
      <c r="AN797" s="37">
        <v>286042.77</v>
      </c>
      <c r="AO797" s="37">
        <v>291763.63</v>
      </c>
      <c r="AP797" s="37">
        <v>297598.90000000002</v>
      </c>
      <c r="AQ797" s="37">
        <v>303550.88</v>
      </c>
      <c r="AR797" s="37">
        <v>3374725.37</v>
      </c>
      <c r="AS797" s="37">
        <v>849314.93</v>
      </c>
      <c r="AT797" s="37">
        <v>0</v>
      </c>
      <c r="AU797" s="37">
        <v>2001161.31</v>
      </c>
      <c r="AV797" s="37">
        <v>0</v>
      </c>
      <c r="AW797" s="37">
        <v>0</v>
      </c>
      <c r="AX797" s="37">
        <v>0</v>
      </c>
      <c r="AY797" s="37">
        <v>0</v>
      </c>
      <c r="AZ797" s="37">
        <v>0</v>
      </c>
      <c r="BA797" s="37">
        <v>0</v>
      </c>
      <c r="BB797" s="37">
        <v>0</v>
      </c>
      <c r="BC797" s="37">
        <v>0</v>
      </c>
      <c r="BD797" s="37">
        <v>2001161.31</v>
      </c>
      <c r="BE797" s="37">
        <v>0</v>
      </c>
      <c r="BF797" s="37">
        <v>563438</v>
      </c>
      <c r="BG797" s="37">
        <v>149488.64000000001</v>
      </c>
      <c r="BH797" s="37">
        <v>184027.13</v>
      </c>
      <c r="BI797" s="37">
        <v>218565.69</v>
      </c>
      <c r="BJ797" s="37">
        <v>23738.3</v>
      </c>
      <c r="BK797" s="37">
        <v>114950.15</v>
      </c>
      <c r="BL797" s="37">
        <v>149488.64000000001</v>
      </c>
      <c r="BM797" s="37">
        <v>184027.13</v>
      </c>
      <c r="BN797" s="37">
        <v>218565.69</v>
      </c>
      <c r="BO797" s="37">
        <v>0</v>
      </c>
      <c r="BP797" s="37">
        <v>1806289.37</v>
      </c>
      <c r="BQ797" s="37">
        <v>0</v>
      </c>
      <c r="BR797" s="37">
        <v>167805</v>
      </c>
      <c r="BS797" s="37">
        <v>66415.839242284928</v>
      </c>
      <c r="BT797" s="37">
        <v>81760.837618386038</v>
      </c>
      <c r="BU797" s="37">
        <v>97105.868785441737</v>
      </c>
      <c r="BV797" s="37">
        <v>10546.613487703527</v>
      </c>
      <c r="BW797" s="37">
        <v>51070.840866183797</v>
      </c>
      <c r="BX797" s="37">
        <v>66415.839242284928</v>
      </c>
      <c r="BY797" s="37">
        <v>81760.837618386038</v>
      </c>
      <c r="BZ797" s="37">
        <v>97105.868785441737</v>
      </c>
      <c r="CA797" s="37">
        <v>0</v>
      </c>
      <c r="CB797" s="37">
        <v>719987.54564611276</v>
      </c>
      <c r="CC797" s="37">
        <v>0</v>
      </c>
      <c r="CD797" s="37">
        <v>0</v>
      </c>
      <c r="CE797" s="37">
        <v>0</v>
      </c>
      <c r="CF797" s="37">
        <v>0</v>
      </c>
      <c r="CG797" s="37">
        <v>0</v>
      </c>
      <c r="CH797" s="37">
        <v>0</v>
      </c>
      <c r="CI797" s="37">
        <v>0</v>
      </c>
      <c r="CJ797" s="37">
        <v>0</v>
      </c>
      <c r="CK797" s="37">
        <v>0</v>
      </c>
      <c r="CL797" s="37">
        <v>0</v>
      </c>
      <c r="CM797" s="37">
        <v>0</v>
      </c>
      <c r="CN797" s="37">
        <v>0</v>
      </c>
      <c r="CO797" s="37">
        <v>0</v>
      </c>
      <c r="CP797" s="37">
        <v>0</v>
      </c>
      <c r="CQ797" s="37">
        <v>0</v>
      </c>
      <c r="CR797" s="37">
        <v>0</v>
      </c>
      <c r="CS797" s="37">
        <v>0</v>
      </c>
      <c r="CT797" s="37">
        <v>0</v>
      </c>
      <c r="CU797" s="37">
        <v>0</v>
      </c>
      <c r="CV797" s="37">
        <v>0</v>
      </c>
      <c r="CW797" s="37">
        <v>0</v>
      </c>
      <c r="CX797" s="37">
        <v>0</v>
      </c>
      <c r="CY797" s="37">
        <v>0</v>
      </c>
      <c r="CZ797" s="37">
        <v>0</v>
      </c>
      <c r="DA797" s="37">
        <v>0</v>
      </c>
      <c r="DB797" s="37">
        <v>0</v>
      </c>
      <c r="DC797" s="37">
        <v>0</v>
      </c>
      <c r="DD797" s="37">
        <v>0</v>
      </c>
      <c r="DE797" s="37">
        <v>0</v>
      </c>
      <c r="DF797" s="37">
        <v>0</v>
      </c>
      <c r="DG797" s="37">
        <v>0</v>
      </c>
      <c r="DH797" s="37">
        <v>0</v>
      </c>
      <c r="DI797" s="37">
        <v>0</v>
      </c>
      <c r="DJ797" s="37">
        <v>0</v>
      </c>
      <c r="DK797" s="37">
        <v>0</v>
      </c>
      <c r="DL797" s="37">
        <v>0</v>
      </c>
      <c r="DM797" s="37">
        <v>0</v>
      </c>
      <c r="DN797" s="37">
        <v>0</v>
      </c>
      <c r="DO797" s="37">
        <v>0</v>
      </c>
      <c r="DP797" s="37">
        <v>0</v>
      </c>
      <c r="DQ797" s="37">
        <v>0</v>
      </c>
      <c r="DR797" s="37">
        <v>0</v>
      </c>
      <c r="DS797" s="37">
        <v>0</v>
      </c>
      <c r="DT797" s="37">
        <v>0</v>
      </c>
      <c r="DU797" s="37">
        <v>0</v>
      </c>
      <c r="DV797" s="37">
        <v>0</v>
      </c>
      <c r="DW797" s="37">
        <v>0</v>
      </c>
      <c r="DX797" s="37">
        <v>0</v>
      </c>
      <c r="DY797" s="37">
        <v>0</v>
      </c>
      <c r="DZ797" s="37">
        <v>0</v>
      </c>
      <c r="EA797" s="37">
        <v>0</v>
      </c>
      <c r="EB797" s="37">
        <v>0</v>
      </c>
      <c r="EC797" s="37">
        <v>0</v>
      </c>
      <c r="ED797" s="37">
        <v>0</v>
      </c>
      <c r="EE797" s="37">
        <v>0</v>
      </c>
      <c r="EF797" s="37">
        <v>0</v>
      </c>
      <c r="EG797" s="37">
        <v>0</v>
      </c>
      <c r="EH797" s="37">
        <v>0</v>
      </c>
      <c r="EI797" s="37">
        <v>0</v>
      </c>
      <c r="EJ797" s="37">
        <v>0</v>
      </c>
      <c r="EK797" s="161" t="s">
        <v>4623</v>
      </c>
      <c r="EL797" s="294" t="s">
        <v>1124</v>
      </c>
    </row>
    <row r="798" spans="1:142" ht="15" customHeight="1" x14ac:dyDescent="0.35">
      <c r="A798" s="34"/>
      <c r="B798" s="313">
        <v>42020</v>
      </c>
      <c r="C798" s="8" t="s">
        <v>380</v>
      </c>
      <c r="D798" s="18">
        <v>5</v>
      </c>
      <c r="E798" s="155"/>
      <c r="F798" s="36"/>
      <c r="G798" s="37"/>
      <c r="H798" s="37"/>
      <c r="I798" s="37"/>
      <c r="J798" s="37"/>
      <c r="K798" s="37"/>
      <c r="L798" s="37"/>
      <c r="M798" s="37" t="s">
        <v>1124</v>
      </c>
      <c r="N798" s="37" t="s">
        <v>1124</v>
      </c>
      <c r="O798" s="37"/>
      <c r="P798" s="37"/>
      <c r="Q798" s="37"/>
      <c r="R798" s="37"/>
      <c r="S798" s="37"/>
      <c r="T798" s="37"/>
      <c r="U798" s="37"/>
      <c r="V798" s="37"/>
      <c r="W798" s="37"/>
      <c r="X798" s="37"/>
      <c r="Y798" s="37"/>
      <c r="Z798" s="37"/>
      <c r="AA798" s="37" t="s">
        <v>1124</v>
      </c>
      <c r="AB798" s="37" t="s">
        <v>1124</v>
      </c>
      <c r="AC798" s="37"/>
      <c r="AD798" s="37"/>
      <c r="AE798" s="37"/>
      <c r="AF798" s="168"/>
      <c r="AG798" s="37"/>
      <c r="AH798" s="37"/>
      <c r="AI798" s="37"/>
      <c r="AJ798" s="37"/>
      <c r="AK798" s="37"/>
      <c r="AL798" s="37"/>
      <c r="AM798" s="37"/>
      <c r="AN798" s="37"/>
      <c r="AO798" s="37"/>
      <c r="AP798" s="37"/>
      <c r="AQ798" s="37"/>
      <c r="AR798" s="37" t="s">
        <v>1124</v>
      </c>
      <c r="AS798" s="37"/>
      <c r="AT798" s="37"/>
      <c r="AU798" s="37"/>
      <c r="AV798" s="37"/>
      <c r="AW798" s="37"/>
      <c r="AX798" s="37"/>
      <c r="AY798" s="37"/>
      <c r="AZ798" s="37"/>
      <c r="BA798" s="37"/>
      <c r="BB798" s="37"/>
      <c r="BC798" s="37"/>
      <c r="BD798" s="37" t="s">
        <v>1124</v>
      </c>
      <c r="BE798" s="37"/>
      <c r="BF798" s="37"/>
      <c r="BG798" s="37"/>
      <c r="BH798" s="37"/>
      <c r="BI798" s="37"/>
      <c r="BJ798" s="37"/>
      <c r="BK798" s="37"/>
      <c r="BL798" s="37"/>
      <c r="BM798" s="37"/>
      <c r="BN798" s="37"/>
      <c r="BO798" s="37"/>
      <c r="BP798" s="37">
        <v>0</v>
      </c>
      <c r="BQ798" s="37"/>
      <c r="BR798" s="37"/>
      <c r="BS798" s="37"/>
      <c r="BT798" s="37"/>
      <c r="BU798" s="37"/>
      <c r="BV798" s="37"/>
      <c r="BW798" s="37"/>
      <c r="BX798" s="37"/>
      <c r="BY798" s="37"/>
      <c r="BZ798" s="37"/>
      <c r="CA798" s="37"/>
      <c r="CB798" s="37" t="s">
        <v>1124</v>
      </c>
      <c r="CC798" s="37"/>
      <c r="CD798" s="37"/>
      <c r="CE798" s="37"/>
      <c r="CF798" s="37"/>
      <c r="CG798" s="37"/>
      <c r="CH798" s="37"/>
      <c r="CI798" s="37"/>
      <c r="CJ798" s="37"/>
      <c r="CK798" s="37"/>
      <c r="CL798" s="37"/>
      <c r="CM798" s="37"/>
      <c r="CN798" s="37" t="s">
        <v>1124</v>
      </c>
      <c r="CO798" s="37"/>
      <c r="CP798" s="37"/>
      <c r="CQ798" s="37"/>
      <c r="CR798" s="37"/>
      <c r="CS798" s="37"/>
      <c r="CT798" s="37"/>
      <c r="CU798" s="37"/>
      <c r="CV798" s="37"/>
      <c r="CW798" s="37"/>
      <c r="CX798" s="37"/>
      <c r="CY798" s="37"/>
      <c r="CZ798" s="37" t="s">
        <v>1124</v>
      </c>
      <c r="DA798" s="37"/>
      <c r="DB798" s="37"/>
      <c r="DC798" s="37"/>
      <c r="DD798" s="37"/>
      <c r="DE798" s="37"/>
      <c r="DF798" s="37"/>
      <c r="DG798" s="37"/>
      <c r="DH798" s="37"/>
      <c r="DI798" s="37"/>
      <c r="DJ798" s="37"/>
      <c r="DK798" s="37"/>
      <c r="DL798" s="37" t="s">
        <v>1124</v>
      </c>
      <c r="DM798" s="37"/>
      <c r="DN798" s="37"/>
      <c r="DO798" s="37"/>
      <c r="DP798" s="37"/>
      <c r="DQ798" s="37"/>
      <c r="DR798" s="37"/>
      <c r="DS798" s="37"/>
      <c r="DT798" s="37"/>
      <c r="DU798" s="37"/>
      <c r="DV798" s="37"/>
      <c r="DW798" s="37"/>
      <c r="DX798" s="37" t="s">
        <v>1124</v>
      </c>
      <c r="DY798" s="37"/>
      <c r="DZ798" s="37"/>
      <c r="EA798" s="37"/>
      <c r="EB798" s="37"/>
      <c r="EC798" s="37"/>
      <c r="ED798" s="37"/>
      <c r="EE798" s="37"/>
      <c r="EF798" s="37"/>
      <c r="EG798" s="37"/>
      <c r="EH798" s="37"/>
      <c r="EI798" s="37"/>
      <c r="EJ798" s="37" t="s">
        <v>1124</v>
      </c>
      <c r="EK798" s="161"/>
      <c r="EL798" s="294"/>
    </row>
    <row r="799" spans="1:142" ht="15" customHeight="1" x14ac:dyDescent="0.35">
      <c r="A799" s="34"/>
      <c r="B799" s="313">
        <v>12025</v>
      </c>
      <c r="C799" s="8" t="s">
        <v>32</v>
      </c>
      <c r="D799" s="18">
        <v>1</v>
      </c>
      <c r="E799" s="155"/>
      <c r="F799" s="36"/>
      <c r="G799" s="37"/>
      <c r="H799" s="37"/>
      <c r="I799" s="37"/>
      <c r="J799" s="37"/>
      <c r="K799" s="37"/>
      <c r="L799" s="37"/>
      <c r="M799" s="37" t="s">
        <v>1124</v>
      </c>
      <c r="N799" s="37" t="s">
        <v>1124</v>
      </c>
      <c r="O799" s="37"/>
      <c r="P799" s="37"/>
      <c r="Q799" s="37"/>
      <c r="R799" s="37"/>
      <c r="S799" s="37"/>
      <c r="T799" s="37"/>
      <c r="U799" s="37"/>
      <c r="V799" s="37"/>
      <c r="W799" s="37"/>
      <c r="X799" s="37"/>
      <c r="Y799" s="37"/>
      <c r="Z799" s="37"/>
      <c r="AA799" s="37" t="s">
        <v>1124</v>
      </c>
      <c r="AB799" s="37" t="s">
        <v>1124</v>
      </c>
      <c r="AC799" s="37"/>
      <c r="AD799" s="37"/>
      <c r="AE799" s="37"/>
      <c r="AF799" s="168"/>
      <c r="AG799" s="37"/>
      <c r="AH799" s="37"/>
      <c r="AI799" s="37"/>
      <c r="AJ799" s="37"/>
      <c r="AK799" s="37"/>
      <c r="AL799" s="37"/>
      <c r="AM799" s="37"/>
      <c r="AN799" s="37"/>
      <c r="AO799" s="37"/>
      <c r="AP799" s="37"/>
      <c r="AQ799" s="37"/>
      <c r="AR799" s="37" t="s">
        <v>1124</v>
      </c>
      <c r="AS799" s="37"/>
      <c r="AT799" s="37"/>
      <c r="AU799" s="37"/>
      <c r="AV799" s="37"/>
      <c r="AW799" s="37"/>
      <c r="AX799" s="37"/>
      <c r="AY799" s="37"/>
      <c r="AZ799" s="37"/>
      <c r="BA799" s="37"/>
      <c r="BB799" s="37"/>
      <c r="BC799" s="37"/>
      <c r="BD799" s="37" t="s">
        <v>1124</v>
      </c>
      <c r="BE799" s="37"/>
      <c r="BF799" s="37"/>
      <c r="BG799" s="37"/>
      <c r="BH799" s="37"/>
      <c r="BI799" s="37"/>
      <c r="BJ799" s="37"/>
      <c r="BK799" s="37"/>
      <c r="BL799" s="37"/>
      <c r="BM799" s="37"/>
      <c r="BN799" s="37"/>
      <c r="BO799" s="37"/>
      <c r="BP799" s="37">
        <v>0</v>
      </c>
      <c r="BQ799" s="37"/>
      <c r="BR799" s="37"/>
      <c r="BS799" s="37"/>
      <c r="BT799" s="37"/>
      <c r="BU799" s="37"/>
      <c r="BV799" s="37"/>
      <c r="BW799" s="37"/>
      <c r="BX799" s="37"/>
      <c r="BY799" s="37"/>
      <c r="BZ799" s="37"/>
      <c r="CA799" s="37"/>
      <c r="CB799" s="37" t="s">
        <v>1124</v>
      </c>
      <c r="CC799" s="37"/>
      <c r="CD799" s="37"/>
      <c r="CE799" s="37"/>
      <c r="CF799" s="37"/>
      <c r="CG799" s="37"/>
      <c r="CH799" s="37"/>
      <c r="CI799" s="37"/>
      <c r="CJ799" s="37"/>
      <c r="CK799" s="37"/>
      <c r="CL799" s="37"/>
      <c r="CM799" s="37"/>
      <c r="CN799" s="37" t="s">
        <v>1124</v>
      </c>
      <c r="CO799" s="37"/>
      <c r="CP799" s="37"/>
      <c r="CQ799" s="37"/>
      <c r="CR799" s="37"/>
      <c r="CS799" s="37"/>
      <c r="CT799" s="37"/>
      <c r="CU799" s="37"/>
      <c r="CV799" s="37"/>
      <c r="CW799" s="37"/>
      <c r="CX799" s="37"/>
      <c r="CY799" s="37"/>
      <c r="CZ799" s="37" t="s">
        <v>1124</v>
      </c>
      <c r="DA799" s="37"/>
      <c r="DB799" s="37"/>
      <c r="DC799" s="37"/>
      <c r="DD799" s="37"/>
      <c r="DE799" s="37"/>
      <c r="DF799" s="37"/>
      <c r="DG799" s="37"/>
      <c r="DH799" s="37"/>
      <c r="DI799" s="37"/>
      <c r="DJ799" s="37"/>
      <c r="DK799" s="37"/>
      <c r="DL799" s="37" t="s">
        <v>1124</v>
      </c>
      <c r="DM799" s="37"/>
      <c r="DN799" s="37"/>
      <c r="DO799" s="37"/>
      <c r="DP799" s="37"/>
      <c r="DQ799" s="37"/>
      <c r="DR799" s="37"/>
      <c r="DS799" s="37"/>
      <c r="DT799" s="37"/>
      <c r="DU799" s="37"/>
      <c r="DV799" s="37"/>
      <c r="DW799" s="37"/>
      <c r="DX799" s="37" t="s">
        <v>1124</v>
      </c>
      <c r="DY799" s="37"/>
      <c r="DZ799" s="37"/>
      <c r="EA799" s="37"/>
      <c r="EB799" s="37"/>
      <c r="EC799" s="37"/>
      <c r="ED799" s="37"/>
      <c r="EE799" s="37"/>
      <c r="EF799" s="37"/>
      <c r="EG799" s="37"/>
      <c r="EH799" s="37"/>
      <c r="EI799" s="37"/>
      <c r="EJ799" s="37" t="s">
        <v>1124</v>
      </c>
      <c r="EK799" s="161"/>
      <c r="EL799" s="294"/>
    </row>
    <row r="800" spans="1:142" ht="15" customHeight="1" x14ac:dyDescent="0.35">
      <c r="A800" s="34"/>
      <c r="B800" s="313">
        <v>27065</v>
      </c>
      <c r="C800" s="8" t="s">
        <v>186</v>
      </c>
      <c r="D800" s="18">
        <v>12</v>
      </c>
      <c r="E800" s="155">
        <v>123666</v>
      </c>
      <c r="F800" s="36">
        <v>93938</v>
      </c>
      <c r="G800" s="37">
        <v>0</v>
      </c>
      <c r="H800" s="37">
        <v>15941</v>
      </c>
      <c r="I800" s="37">
        <v>0</v>
      </c>
      <c r="J800" s="37">
        <v>75893</v>
      </c>
      <c r="K800" s="37">
        <v>18549.899999999998</v>
      </c>
      <c r="L800" s="37">
        <v>14090.699999999999</v>
      </c>
      <c r="M800" s="37">
        <v>142215.9</v>
      </c>
      <c r="N800" s="37">
        <v>199862.7</v>
      </c>
      <c r="O800" s="37">
        <v>0</v>
      </c>
      <c r="P800" s="37">
        <v>0</v>
      </c>
      <c r="Q800" s="37">
        <v>66856</v>
      </c>
      <c r="R800" s="37">
        <v>86133</v>
      </c>
      <c r="S800" s="37">
        <v>30042</v>
      </c>
      <c r="T800" s="37">
        <v>0</v>
      </c>
      <c r="U800" s="37">
        <v>0</v>
      </c>
      <c r="V800" s="37">
        <v>6484</v>
      </c>
      <c r="W800" s="37">
        <v>35317.899999999994</v>
      </c>
      <c r="X800" s="37">
        <v>97245.700000000012</v>
      </c>
      <c r="Y800" s="37">
        <v>10000</v>
      </c>
      <c r="Z800" s="37">
        <v>10000</v>
      </c>
      <c r="AA800" s="37">
        <v>142215.9</v>
      </c>
      <c r="AB800" s="37">
        <v>199862.7</v>
      </c>
      <c r="AC800" s="37">
        <v>0</v>
      </c>
      <c r="AD800" s="37">
        <v>0</v>
      </c>
      <c r="AE800" s="37">
        <v>0</v>
      </c>
      <c r="AF800" s="168">
        <v>0.02</v>
      </c>
      <c r="AG800" s="37">
        <v>17097836.809999999</v>
      </c>
      <c r="AH800" s="37">
        <v>1638041.51</v>
      </c>
      <c r="AI800" s="37">
        <v>477249.33999999997</v>
      </c>
      <c r="AJ800" s="37">
        <v>531837.53</v>
      </c>
      <c r="AK800" s="37">
        <v>133597.07999999999</v>
      </c>
      <c r="AL800" s="37">
        <v>136269.01999999999</v>
      </c>
      <c r="AM800" s="37">
        <v>138994.4</v>
      </c>
      <c r="AN800" s="37">
        <v>141774.29</v>
      </c>
      <c r="AO800" s="37">
        <v>144609.76999999999</v>
      </c>
      <c r="AP800" s="37">
        <v>147501.97</v>
      </c>
      <c r="AQ800" s="37">
        <v>150452.01</v>
      </c>
      <c r="AR800" s="37">
        <v>3640326.92</v>
      </c>
      <c r="AS800" s="37">
        <v>4743923.43</v>
      </c>
      <c r="AT800" s="37">
        <v>2310364.2599999998</v>
      </c>
      <c r="AU800" s="37">
        <v>0</v>
      </c>
      <c r="AV800" s="37">
        <v>0</v>
      </c>
      <c r="AW800" s="37">
        <v>0</v>
      </c>
      <c r="AX800" s="37">
        <v>0</v>
      </c>
      <c r="AY800" s="37">
        <v>0</v>
      </c>
      <c r="AZ800" s="37">
        <v>0</v>
      </c>
      <c r="BA800" s="37">
        <v>0</v>
      </c>
      <c r="BB800" s="37">
        <v>0</v>
      </c>
      <c r="BC800" s="37">
        <v>0</v>
      </c>
      <c r="BD800" s="37">
        <v>2310364.2599999998</v>
      </c>
      <c r="BE800" s="37">
        <v>0</v>
      </c>
      <c r="BF800" s="37">
        <v>2193348</v>
      </c>
      <c r="BG800" s="37">
        <v>0</v>
      </c>
      <c r="BH800" s="37">
        <v>0</v>
      </c>
      <c r="BI800" s="37">
        <v>0</v>
      </c>
      <c r="BJ800" s="37">
        <v>0</v>
      </c>
      <c r="BK800" s="37">
        <v>0</v>
      </c>
      <c r="BL800" s="37">
        <v>0</v>
      </c>
      <c r="BM800" s="37">
        <v>0</v>
      </c>
      <c r="BN800" s="37">
        <v>0</v>
      </c>
      <c r="BO800" s="37">
        <v>0</v>
      </c>
      <c r="BP800" s="37">
        <v>2193348</v>
      </c>
      <c r="BQ800" s="37">
        <v>0</v>
      </c>
      <c r="BR800" s="37">
        <v>548340</v>
      </c>
      <c r="BS800" s="37">
        <v>0</v>
      </c>
      <c r="BT800" s="37">
        <v>0</v>
      </c>
      <c r="BU800" s="37">
        <v>0</v>
      </c>
      <c r="BV800" s="37">
        <v>0</v>
      </c>
      <c r="BW800" s="37">
        <v>0</v>
      </c>
      <c r="BX800" s="37">
        <v>0</v>
      </c>
      <c r="BY800" s="37">
        <v>0</v>
      </c>
      <c r="BZ800" s="37">
        <v>0</v>
      </c>
      <c r="CA800" s="37">
        <v>0</v>
      </c>
      <c r="CB800" s="37">
        <v>548340</v>
      </c>
      <c r="CC800" s="37">
        <v>0</v>
      </c>
      <c r="CD800" s="37">
        <v>0</v>
      </c>
      <c r="CE800" s="37">
        <v>0</v>
      </c>
      <c r="CF800" s="37">
        <v>0</v>
      </c>
      <c r="CG800" s="37">
        <v>0</v>
      </c>
      <c r="CH800" s="37">
        <v>0</v>
      </c>
      <c r="CI800" s="37">
        <v>0</v>
      </c>
      <c r="CJ800" s="37">
        <v>0</v>
      </c>
      <c r="CK800" s="37">
        <v>0</v>
      </c>
      <c r="CL800" s="37">
        <v>0</v>
      </c>
      <c r="CM800" s="37">
        <v>0</v>
      </c>
      <c r="CN800" s="37">
        <v>0</v>
      </c>
      <c r="CO800" s="37">
        <v>0</v>
      </c>
      <c r="CP800" s="37">
        <v>0</v>
      </c>
      <c r="CQ800" s="37">
        <v>0</v>
      </c>
      <c r="CR800" s="37">
        <v>0</v>
      </c>
      <c r="CS800" s="37">
        <v>0</v>
      </c>
      <c r="CT800" s="37">
        <v>0</v>
      </c>
      <c r="CU800" s="37">
        <v>0</v>
      </c>
      <c r="CV800" s="37">
        <v>0</v>
      </c>
      <c r="CW800" s="37">
        <v>0</v>
      </c>
      <c r="CX800" s="37">
        <v>0</v>
      </c>
      <c r="CY800" s="37">
        <v>0</v>
      </c>
      <c r="CZ800" s="37">
        <v>0</v>
      </c>
      <c r="DA800" s="37">
        <v>0</v>
      </c>
      <c r="DB800" s="37">
        <v>0</v>
      </c>
      <c r="DC800" s="37">
        <v>0</v>
      </c>
      <c r="DD800" s="37">
        <v>0</v>
      </c>
      <c r="DE800" s="37">
        <v>0</v>
      </c>
      <c r="DF800" s="37">
        <v>0</v>
      </c>
      <c r="DG800" s="37">
        <v>0</v>
      </c>
      <c r="DH800" s="37">
        <v>0</v>
      </c>
      <c r="DI800" s="37">
        <v>0</v>
      </c>
      <c r="DJ800" s="37">
        <v>0</v>
      </c>
      <c r="DK800" s="37">
        <v>0</v>
      </c>
      <c r="DL800" s="37">
        <v>0</v>
      </c>
      <c r="DM800" s="37">
        <v>0</v>
      </c>
      <c r="DN800" s="37">
        <v>0</v>
      </c>
      <c r="DO800" s="37">
        <v>0</v>
      </c>
      <c r="DP800" s="37">
        <v>0</v>
      </c>
      <c r="DQ800" s="37">
        <v>0</v>
      </c>
      <c r="DR800" s="37">
        <v>0</v>
      </c>
      <c r="DS800" s="37">
        <v>0</v>
      </c>
      <c r="DT800" s="37">
        <v>0</v>
      </c>
      <c r="DU800" s="37">
        <v>0</v>
      </c>
      <c r="DV800" s="37">
        <v>0</v>
      </c>
      <c r="DW800" s="37">
        <v>0</v>
      </c>
      <c r="DX800" s="37">
        <v>0</v>
      </c>
      <c r="DY800" s="37">
        <v>0</v>
      </c>
      <c r="DZ800" s="37">
        <v>0</v>
      </c>
      <c r="EA800" s="37">
        <v>0</v>
      </c>
      <c r="EB800" s="37">
        <v>0</v>
      </c>
      <c r="EC800" s="37">
        <v>0</v>
      </c>
      <c r="ED800" s="37">
        <v>0</v>
      </c>
      <c r="EE800" s="37">
        <v>0</v>
      </c>
      <c r="EF800" s="37">
        <v>0</v>
      </c>
      <c r="EG800" s="37">
        <v>0</v>
      </c>
      <c r="EH800" s="37">
        <v>0</v>
      </c>
      <c r="EI800" s="37">
        <v>0</v>
      </c>
      <c r="EJ800" s="37">
        <v>0</v>
      </c>
      <c r="EK800" s="161" t="s">
        <v>3063</v>
      </c>
      <c r="EL800" s="294" t="s">
        <v>1124</v>
      </c>
    </row>
    <row r="801" spans="1:142" ht="15" customHeight="1" x14ac:dyDescent="0.35">
      <c r="A801" s="34"/>
      <c r="B801" s="313">
        <v>94235</v>
      </c>
      <c r="C801" s="8" t="s">
        <v>979</v>
      </c>
      <c r="D801" s="18">
        <v>2</v>
      </c>
      <c r="E801" s="155">
        <v>110172</v>
      </c>
      <c r="F801" s="36">
        <v>34756</v>
      </c>
      <c r="G801" s="37">
        <v>79751</v>
      </c>
      <c r="H801" s="37">
        <v>5374</v>
      </c>
      <c r="I801" s="37">
        <v>600000</v>
      </c>
      <c r="J801" s="37">
        <v>82000</v>
      </c>
      <c r="K801" s="37">
        <v>16526</v>
      </c>
      <c r="L801" s="37">
        <v>5213</v>
      </c>
      <c r="M801" s="37">
        <v>806449</v>
      </c>
      <c r="N801" s="37">
        <v>127343</v>
      </c>
      <c r="O801" s="37">
        <v>0</v>
      </c>
      <c r="P801" s="37">
        <v>0</v>
      </c>
      <c r="Q801" s="37">
        <v>91596</v>
      </c>
      <c r="R801" s="37">
        <v>44515</v>
      </c>
      <c r="S801" s="37">
        <v>0</v>
      </c>
      <c r="T801" s="37">
        <v>0</v>
      </c>
      <c r="U801" s="37">
        <v>42735</v>
      </c>
      <c r="V801" s="37">
        <v>8458</v>
      </c>
      <c r="W801" s="37">
        <v>373244</v>
      </c>
      <c r="X801" s="37">
        <v>373244</v>
      </c>
      <c r="Y801" s="37">
        <v>0</v>
      </c>
      <c r="Z801" s="37">
        <v>0</v>
      </c>
      <c r="AA801" s="37">
        <v>507575</v>
      </c>
      <c r="AB801" s="37">
        <v>426217</v>
      </c>
      <c r="AC801" s="37">
        <v>0</v>
      </c>
      <c r="AD801" s="37">
        <v>0</v>
      </c>
      <c r="AE801" s="37">
        <v>0</v>
      </c>
      <c r="AF801" s="168">
        <v>0.02</v>
      </c>
      <c r="AG801" s="37">
        <v>32596728.609999999</v>
      </c>
      <c r="AH801" s="37">
        <v>303546.67</v>
      </c>
      <c r="AI801" s="37">
        <v>309617.59999999998</v>
      </c>
      <c r="AJ801" s="37">
        <v>315809.95</v>
      </c>
      <c r="AK801" s="37">
        <v>322126.15000000002</v>
      </c>
      <c r="AL801" s="37">
        <v>328568.67</v>
      </c>
      <c r="AM801" s="37">
        <v>335140.05</v>
      </c>
      <c r="AN801" s="37">
        <v>341842.85</v>
      </c>
      <c r="AO801" s="37">
        <v>348679.71</v>
      </c>
      <c r="AP801" s="37">
        <v>355653.3</v>
      </c>
      <c r="AQ801" s="37">
        <v>362766.37</v>
      </c>
      <c r="AR801" s="37">
        <v>3323751.3200000003</v>
      </c>
      <c r="AS801" s="37">
        <v>1380646.34</v>
      </c>
      <c r="AT801" s="37">
        <v>0</v>
      </c>
      <c r="AU801" s="37">
        <v>0</v>
      </c>
      <c r="AV801" s="37">
        <v>0</v>
      </c>
      <c r="AW801" s="37">
        <v>0</v>
      </c>
      <c r="AX801" s="37">
        <v>0</v>
      </c>
      <c r="AY801" s="37">
        <v>1689243.63</v>
      </c>
      <c r="AZ801" s="37">
        <v>0</v>
      </c>
      <c r="BA801" s="37">
        <v>0</v>
      </c>
      <c r="BB801" s="37">
        <v>0</v>
      </c>
      <c r="BC801" s="37">
        <v>0</v>
      </c>
      <c r="BD801" s="37">
        <v>1689243.63</v>
      </c>
      <c r="BE801" s="37">
        <v>0</v>
      </c>
      <c r="BF801" s="37">
        <v>231407.17069677569</v>
      </c>
      <c r="BG801" s="37">
        <v>249427.72481705778</v>
      </c>
      <c r="BH801" s="37">
        <v>307056.56871843117</v>
      </c>
      <c r="BI801" s="37">
        <v>364685.53576773568</v>
      </c>
      <c r="BJ801" s="37">
        <v>0</v>
      </c>
      <c r="BK801" s="37">
        <v>0</v>
      </c>
      <c r="BL801" s="37">
        <v>0</v>
      </c>
      <c r="BM801" s="37">
        <v>0</v>
      </c>
      <c r="BN801" s="37">
        <v>0</v>
      </c>
      <c r="BO801" s="37">
        <v>0</v>
      </c>
      <c r="BP801" s="37">
        <v>1152577.0000000002</v>
      </c>
      <c r="BQ801" s="37">
        <v>0</v>
      </c>
      <c r="BR801" s="37">
        <v>106560.65134677658</v>
      </c>
      <c r="BS801" s="37">
        <v>114858.9334566397</v>
      </c>
      <c r="BT801" s="37">
        <v>141396.43064828409</v>
      </c>
      <c r="BU801" s="37">
        <v>167933.98454829978</v>
      </c>
      <c r="BV801" s="37">
        <v>0</v>
      </c>
      <c r="BW801" s="37">
        <v>0</v>
      </c>
      <c r="BX801" s="37">
        <v>0</v>
      </c>
      <c r="BY801" s="37">
        <v>0</v>
      </c>
      <c r="BZ801" s="37">
        <v>0</v>
      </c>
      <c r="CA801" s="37">
        <v>0</v>
      </c>
      <c r="CB801" s="37">
        <v>530750.00000000012</v>
      </c>
      <c r="CC801" s="37">
        <v>0</v>
      </c>
      <c r="CD801" s="37">
        <v>0</v>
      </c>
      <c r="CE801" s="37">
        <v>0</v>
      </c>
      <c r="CF801" s="37">
        <v>0</v>
      </c>
      <c r="CG801" s="37">
        <v>0</v>
      </c>
      <c r="CH801" s="37">
        <v>0</v>
      </c>
      <c r="CI801" s="37">
        <v>0</v>
      </c>
      <c r="CJ801" s="37">
        <v>0</v>
      </c>
      <c r="CK801" s="37">
        <v>0</v>
      </c>
      <c r="CL801" s="37">
        <v>0</v>
      </c>
      <c r="CM801" s="37">
        <v>0</v>
      </c>
      <c r="CN801" s="37">
        <v>0</v>
      </c>
      <c r="CO801" s="37">
        <v>0</v>
      </c>
      <c r="CP801" s="37">
        <v>0</v>
      </c>
      <c r="CQ801" s="37">
        <v>0</v>
      </c>
      <c r="CR801" s="37">
        <v>0</v>
      </c>
      <c r="CS801" s="37">
        <v>0</v>
      </c>
      <c r="CT801" s="37">
        <v>39608.289781091138</v>
      </c>
      <c r="CU801" s="37">
        <v>191798.88091568433</v>
      </c>
      <c r="CV801" s="37">
        <v>249427.72481705778</v>
      </c>
      <c r="CW801" s="37">
        <v>307056.56871843117</v>
      </c>
      <c r="CX801" s="37">
        <v>364685.53576773568</v>
      </c>
      <c r="CY801" s="37">
        <v>0</v>
      </c>
      <c r="CZ801" s="37">
        <v>1152577</v>
      </c>
      <c r="DA801" s="37">
        <v>0</v>
      </c>
      <c r="DB801" s="37">
        <v>0</v>
      </c>
      <c r="DC801" s="37">
        <v>0</v>
      </c>
      <c r="DD801" s="37">
        <v>0</v>
      </c>
      <c r="DE801" s="37">
        <v>0</v>
      </c>
      <c r="DF801" s="37">
        <v>18239.215081781193</v>
      </c>
      <c r="DG801" s="37">
        <v>88321.436264995282</v>
      </c>
      <c r="DH801" s="37">
        <v>114858.9334566397</v>
      </c>
      <c r="DI801" s="37">
        <v>141396.43064828409</v>
      </c>
      <c r="DJ801" s="37">
        <v>167933.98454829978</v>
      </c>
      <c r="DK801" s="37">
        <v>0</v>
      </c>
      <c r="DL801" s="37">
        <v>530750</v>
      </c>
      <c r="DM801" s="37">
        <v>0</v>
      </c>
      <c r="DN801" s="37">
        <v>0</v>
      </c>
      <c r="DO801" s="37">
        <v>0</v>
      </c>
      <c r="DP801" s="37">
        <v>0</v>
      </c>
      <c r="DQ801" s="37">
        <v>0</v>
      </c>
      <c r="DR801" s="37">
        <v>0</v>
      </c>
      <c r="DS801" s="37">
        <v>0</v>
      </c>
      <c r="DT801" s="37">
        <v>0</v>
      </c>
      <c r="DU801" s="37">
        <v>0</v>
      </c>
      <c r="DV801" s="37">
        <v>0</v>
      </c>
      <c r="DW801" s="37">
        <v>0</v>
      </c>
      <c r="DX801" s="37">
        <v>0</v>
      </c>
      <c r="DY801" s="37">
        <v>0</v>
      </c>
      <c r="DZ801" s="37">
        <v>0</v>
      </c>
      <c r="EA801" s="37">
        <v>0</v>
      </c>
      <c r="EB801" s="37">
        <v>0</v>
      </c>
      <c r="EC801" s="37">
        <v>0</v>
      </c>
      <c r="ED801" s="37">
        <v>0</v>
      </c>
      <c r="EE801" s="37">
        <v>0</v>
      </c>
      <c r="EF801" s="37">
        <v>0</v>
      </c>
      <c r="EG801" s="37">
        <v>0</v>
      </c>
      <c r="EH801" s="37">
        <v>0</v>
      </c>
      <c r="EI801" s="37">
        <v>0</v>
      </c>
      <c r="EJ801" s="37">
        <v>0</v>
      </c>
      <c r="EK801" s="161" t="s">
        <v>3067</v>
      </c>
      <c r="EL801" s="294" t="s">
        <v>1124</v>
      </c>
    </row>
    <row r="802" spans="1:142" ht="15" customHeight="1" x14ac:dyDescent="0.35">
      <c r="A802" s="34"/>
      <c r="B802" s="313">
        <v>52080</v>
      </c>
      <c r="C802" s="8" t="s">
        <v>526</v>
      </c>
      <c r="D802" s="18">
        <v>14</v>
      </c>
      <c r="E802" s="155">
        <v>468050</v>
      </c>
      <c r="F802" s="36">
        <v>145066</v>
      </c>
      <c r="G802" s="37">
        <v>30687</v>
      </c>
      <c r="H802" s="37">
        <v>16835</v>
      </c>
      <c r="I802" s="37">
        <v>39550</v>
      </c>
      <c r="J802" s="37">
        <v>30055</v>
      </c>
      <c r="K802" s="37">
        <v>46805</v>
      </c>
      <c r="L802" s="37">
        <v>14506.6</v>
      </c>
      <c r="M802" s="37">
        <v>585092</v>
      </c>
      <c r="N802" s="37">
        <v>206462.6</v>
      </c>
      <c r="O802" s="37">
        <v>0</v>
      </c>
      <c r="P802" s="37">
        <v>0</v>
      </c>
      <c r="Q802" s="37">
        <v>308762</v>
      </c>
      <c r="R802" s="37">
        <v>366494</v>
      </c>
      <c r="S802" s="37">
        <v>82545</v>
      </c>
      <c r="T802" s="37">
        <v>3860</v>
      </c>
      <c r="U802" s="37">
        <v>7507</v>
      </c>
      <c r="V802" s="37">
        <v>6491</v>
      </c>
      <c r="W802" s="37">
        <v>15896</v>
      </c>
      <c r="X802" s="37">
        <v>0</v>
      </c>
      <c r="Y802" s="37">
        <v>0</v>
      </c>
      <c r="Z802" s="37">
        <v>0</v>
      </c>
      <c r="AA802" s="37">
        <v>414710</v>
      </c>
      <c r="AB802" s="37">
        <v>376845</v>
      </c>
      <c r="AC802" s="37">
        <v>0</v>
      </c>
      <c r="AD802" s="37">
        <v>0</v>
      </c>
      <c r="AE802" s="37">
        <v>0</v>
      </c>
      <c r="AF802" s="168">
        <v>0.02</v>
      </c>
      <c r="AG802" s="37">
        <v>99824244.519999996</v>
      </c>
      <c r="AH802" s="37">
        <v>451814.13</v>
      </c>
      <c r="AI802" s="37">
        <v>794818.81</v>
      </c>
      <c r="AJ802" s="37">
        <v>533739.9</v>
      </c>
      <c r="AK802" s="37">
        <v>479468.77</v>
      </c>
      <c r="AL802" s="37">
        <v>489058.14</v>
      </c>
      <c r="AM802" s="37">
        <v>498839.3</v>
      </c>
      <c r="AN802" s="37">
        <v>508816.09</v>
      </c>
      <c r="AO802" s="37">
        <v>518992.41</v>
      </c>
      <c r="AP802" s="37">
        <v>529372.26</v>
      </c>
      <c r="AQ802" s="37">
        <v>539959.71</v>
      </c>
      <c r="AR802" s="37">
        <v>5344879.5199999996</v>
      </c>
      <c r="AS802" s="37">
        <v>4001073.36</v>
      </c>
      <c r="AT802" s="37">
        <v>4289474.5199999996</v>
      </c>
      <c r="AU802" s="37">
        <v>2472704.84</v>
      </c>
      <c r="AV802" s="37">
        <v>79590.600000000006</v>
      </c>
      <c r="AW802" s="37">
        <v>243547.24</v>
      </c>
      <c r="AX802" s="37">
        <v>3505456.55</v>
      </c>
      <c r="AY802" s="37">
        <v>0</v>
      </c>
      <c r="AZ802" s="37">
        <v>0</v>
      </c>
      <c r="BA802" s="37">
        <v>0</v>
      </c>
      <c r="BB802" s="37">
        <v>0</v>
      </c>
      <c r="BC802" s="37">
        <v>0</v>
      </c>
      <c r="BD802" s="37">
        <v>10590773.75</v>
      </c>
      <c r="BE802" s="37">
        <v>890151</v>
      </c>
      <c r="BF802" s="37">
        <v>4163144</v>
      </c>
      <c r="BG802" s="37">
        <v>0</v>
      </c>
      <c r="BH802" s="37">
        <v>0</v>
      </c>
      <c r="BI802" s="37">
        <v>0</v>
      </c>
      <c r="BJ802" s="37">
        <v>0</v>
      </c>
      <c r="BK802" s="37">
        <v>0</v>
      </c>
      <c r="BL802" s="37">
        <v>0</v>
      </c>
      <c r="BM802" s="37">
        <v>0</v>
      </c>
      <c r="BN802" s="37">
        <v>0</v>
      </c>
      <c r="BO802" s="37">
        <v>0</v>
      </c>
      <c r="BP802" s="37">
        <v>4163144</v>
      </c>
      <c r="BQ802" s="37">
        <v>811337</v>
      </c>
      <c r="BR802" s="37">
        <v>1185833</v>
      </c>
      <c r="BS802" s="37">
        <v>0</v>
      </c>
      <c r="BT802" s="37">
        <v>0</v>
      </c>
      <c r="BU802" s="37">
        <v>0</v>
      </c>
      <c r="BV802" s="37">
        <v>0</v>
      </c>
      <c r="BW802" s="37">
        <v>0</v>
      </c>
      <c r="BX802" s="37">
        <v>0</v>
      </c>
      <c r="BY802" s="37">
        <v>0</v>
      </c>
      <c r="BZ802" s="37">
        <v>0</v>
      </c>
      <c r="CA802" s="37">
        <v>0</v>
      </c>
      <c r="CB802" s="37">
        <v>1185833</v>
      </c>
      <c r="CC802" s="37">
        <v>0</v>
      </c>
      <c r="CD802" s="37">
        <v>0</v>
      </c>
      <c r="CE802" s="37">
        <v>0</v>
      </c>
      <c r="CF802" s="37">
        <v>0</v>
      </c>
      <c r="CG802" s="37">
        <v>0</v>
      </c>
      <c r="CH802" s="37">
        <v>0</v>
      </c>
      <c r="CI802" s="37">
        <v>0</v>
      </c>
      <c r="CJ802" s="37">
        <v>0</v>
      </c>
      <c r="CK802" s="37">
        <v>0</v>
      </c>
      <c r="CL802" s="37">
        <v>0</v>
      </c>
      <c r="CM802" s="37">
        <v>0</v>
      </c>
      <c r="CN802" s="37">
        <v>0</v>
      </c>
      <c r="CO802" s="37">
        <v>0</v>
      </c>
      <c r="CP802" s="37">
        <v>0</v>
      </c>
      <c r="CQ802" s="37">
        <v>0</v>
      </c>
      <c r="CR802" s="37">
        <v>0</v>
      </c>
      <c r="CS802" s="37">
        <v>0</v>
      </c>
      <c r="CT802" s="37">
        <v>0</v>
      </c>
      <c r="CU802" s="37">
        <v>0</v>
      </c>
      <c r="CV802" s="37">
        <v>0</v>
      </c>
      <c r="CW802" s="37">
        <v>0</v>
      </c>
      <c r="CX802" s="37">
        <v>0</v>
      </c>
      <c r="CY802" s="37">
        <v>0</v>
      </c>
      <c r="CZ802" s="37">
        <v>0</v>
      </c>
      <c r="DA802" s="37">
        <v>0</v>
      </c>
      <c r="DB802" s="37">
        <v>0</v>
      </c>
      <c r="DC802" s="37">
        <v>0</v>
      </c>
      <c r="DD802" s="37">
        <v>0</v>
      </c>
      <c r="DE802" s="37">
        <v>0</v>
      </c>
      <c r="DF802" s="37">
        <v>0</v>
      </c>
      <c r="DG802" s="37">
        <v>0</v>
      </c>
      <c r="DH802" s="37">
        <v>0</v>
      </c>
      <c r="DI802" s="37">
        <v>0</v>
      </c>
      <c r="DJ802" s="37">
        <v>0</v>
      </c>
      <c r="DK802" s="37">
        <v>0</v>
      </c>
      <c r="DL802" s="37">
        <v>0</v>
      </c>
      <c r="DM802" s="37">
        <v>0</v>
      </c>
      <c r="DN802" s="37">
        <v>0</v>
      </c>
      <c r="DO802" s="37">
        <v>0</v>
      </c>
      <c r="DP802" s="37">
        <v>0</v>
      </c>
      <c r="DQ802" s="37">
        <v>0</v>
      </c>
      <c r="DR802" s="37">
        <v>0</v>
      </c>
      <c r="DS802" s="37">
        <v>0</v>
      </c>
      <c r="DT802" s="37">
        <v>0</v>
      </c>
      <c r="DU802" s="37">
        <v>0</v>
      </c>
      <c r="DV802" s="37">
        <v>0</v>
      </c>
      <c r="DW802" s="37">
        <v>0</v>
      </c>
      <c r="DX802" s="37">
        <v>0</v>
      </c>
      <c r="DY802" s="37">
        <v>0</v>
      </c>
      <c r="DZ802" s="37">
        <v>0</v>
      </c>
      <c r="EA802" s="37">
        <v>0</v>
      </c>
      <c r="EB802" s="37">
        <v>0</v>
      </c>
      <c r="EC802" s="37">
        <v>0</v>
      </c>
      <c r="ED802" s="37">
        <v>0</v>
      </c>
      <c r="EE802" s="37">
        <v>0</v>
      </c>
      <c r="EF802" s="37">
        <v>0</v>
      </c>
      <c r="EG802" s="37">
        <v>0</v>
      </c>
      <c r="EH802" s="37">
        <v>0</v>
      </c>
      <c r="EI802" s="37">
        <v>0</v>
      </c>
      <c r="EJ802" s="37">
        <v>0</v>
      </c>
      <c r="EK802" s="161" t="s">
        <v>3070</v>
      </c>
      <c r="EL802" s="294" t="s">
        <v>1124</v>
      </c>
    </row>
    <row r="803" spans="1:142" ht="15" customHeight="1" x14ac:dyDescent="0.35">
      <c r="A803" s="34"/>
      <c r="B803" s="313">
        <v>52085</v>
      </c>
      <c r="C803" s="8" t="s">
        <v>527</v>
      </c>
      <c r="D803" s="18">
        <v>14</v>
      </c>
      <c r="E803" s="155">
        <v>122209</v>
      </c>
      <c r="F803" s="36">
        <v>90965</v>
      </c>
      <c r="G803" s="37">
        <v>23679</v>
      </c>
      <c r="H803" s="37">
        <v>0</v>
      </c>
      <c r="I803" s="37">
        <v>43627</v>
      </c>
      <c r="J803" s="37">
        <v>0</v>
      </c>
      <c r="K803" s="37">
        <v>18331</v>
      </c>
      <c r="L803" s="37">
        <v>13644.75</v>
      </c>
      <c r="M803" s="37">
        <v>207846</v>
      </c>
      <c r="N803" s="37">
        <v>104609.75</v>
      </c>
      <c r="O803" s="37">
        <v>0</v>
      </c>
      <c r="P803" s="37">
        <v>0</v>
      </c>
      <c r="Q803" s="37">
        <v>164740</v>
      </c>
      <c r="R803" s="37">
        <v>99268</v>
      </c>
      <c r="S803" s="37">
        <v>0</v>
      </c>
      <c r="T803" s="37">
        <v>0</v>
      </c>
      <c r="U803" s="37">
        <v>0</v>
      </c>
      <c r="V803" s="37">
        <v>0</v>
      </c>
      <c r="W803" s="37">
        <v>40746</v>
      </c>
      <c r="X803" s="37">
        <v>5342</v>
      </c>
      <c r="Y803" s="37">
        <v>2360</v>
      </c>
      <c r="Z803" s="37">
        <v>0</v>
      </c>
      <c r="AA803" s="37">
        <v>207846</v>
      </c>
      <c r="AB803" s="37">
        <v>104610</v>
      </c>
      <c r="AC803" s="37">
        <v>0</v>
      </c>
      <c r="AD803" s="37">
        <v>0</v>
      </c>
      <c r="AE803" s="37">
        <v>69205</v>
      </c>
      <c r="AF803" s="168">
        <v>0.02</v>
      </c>
      <c r="AG803" s="37">
        <v>23395290.68</v>
      </c>
      <c r="AH803" s="37">
        <v>332354.26</v>
      </c>
      <c r="AI803" s="37">
        <v>339001.35</v>
      </c>
      <c r="AJ803" s="37">
        <v>345781.37</v>
      </c>
      <c r="AK803" s="37">
        <v>352697</v>
      </c>
      <c r="AL803" s="37">
        <v>359750.94</v>
      </c>
      <c r="AM803" s="37">
        <v>366945.96</v>
      </c>
      <c r="AN803" s="37">
        <v>374284.88</v>
      </c>
      <c r="AO803" s="37">
        <v>381770.58</v>
      </c>
      <c r="AP803" s="37">
        <v>389405.99</v>
      </c>
      <c r="AQ803" s="37">
        <v>397194.11</v>
      </c>
      <c r="AR803" s="37">
        <v>3639186.4400000004</v>
      </c>
      <c r="AS803" s="37">
        <v>176412.05</v>
      </c>
      <c r="AT803" s="37">
        <v>1286663.7</v>
      </c>
      <c r="AU803" s="37">
        <v>0</v>
      </c>
      <c r="AV803" s="37">
        <v>0</v>
      </c>
      <c r="AW803" s="37">
        <v>0</v>
      </c>
      <c r="AX803" s="37">
        <v>0</v>
      </c>
      <c r="AY803" s="37">
        <v>0</v>
      </c>
      <c r="AZ803" s="37">
        <v>0</v>
      </c>
      <c r="BA803" s="37">
        <v>0</v>
      </c>
      <c r="BB803" s="37">
        <v>0</v>
      </c>
      <c r="BC803" s="37">
        <v>0</v>
      </c>
      <c r="BD803" s="37">
        <v>1286663.7</v>
      </c>
      <c r="BE803" s="37">
        <v>0</v>
      </c>
      <c r="BF803" s="37">
        <v>1143250</v>
      </c>
      <c r="BG803" s="37">
        <v>0</v>
      </c>
      <c r="BH803" s="37">
        <v>0</v>
      </c>
      <c r="BI803" s="37">
        <v>0</v>
      </c>
      <c r="BJ803" s="37">
        <v>0</v>
      </c>
      <c r="BK803" s="37">
        <v>0</v>
      </c>
      <c r="BL803" s="37">
        <v>0</v>
      </c>
      <c r="BM803" s="37">
        <v>0</v>
      </c>
      <c r="BN803" s="37">
        <v>0</v>
      </c>
      <c r="BO803" s="37">
        <v>0</v>
      </c>
      <c r="BP803" s="37">
        <v>1143250</v>
      </c>
      <c r="BQ803" s="37">
        <v>0</v>
      </c>
      <c r="BR803" s="37">
        <v>571625</v>
      </c>
      <c r="BS803" s="37">
        <v>0</v>
      </c>
      <c r="BT803" s="37">
        <v>0</v>
      </c>
      <c r="BU803" s="37">
        <v>0</v>
      </c>
      <c r="BV803" s="37">
        <v>0</v>
      </c>
      <c r="BW803" s="37">
        <v>0</v>
      </c>
      <c r="BX803" s="37">
        <v>0</v>
      </c>
      <c r="BY803" s="37">
        <v>0</v>
      </c>
      <c r="BZ803" s="37">
        <v>0</v>
      </c>
      <c r="CA803" s="37">
        <v>0</v>
      </c>
      <c r="CB803" s="37">
        <v>571625</v>
      </c>
      <c r="CC803" s="37">
        <v>0</v>
      </c>
      <c r="CD803" s="37">
        <v>0</v>
      </c>
      <c r="CE803" s="37">
        <v>0</v>
      </c>
      <c r="CF803" s="37">
        <v>0</v>
      </c>
      <c r="CG803" s="37">
        <v>0</v>
      </c>
      <c r="CH803" s="37">
        <v>0</v>
      </c>
      <c r="CI803" s="37">
        <v>0</v>
      </c>
      <c r="CJ803" s="37">
        <v>0</v>
      </c>
      <c r="CK803" s="37">
        <v>0</v>
      </c>
      <c r="CL803" s="37">
        <v>0</v>
      </c>
      <c r="CM803" s="37">
        <v>0</v>
      </c>
      <c r="CN803" s="37">
        <v>0</v>
      </c>
      <c r="CO803" s="37">
        <v>0</v>
      </c>
      <c r="CP803" s="37">
        <v>863759</v>
      </c>
      <c r="CQ803" s="37">
        <v>0</v>
      </c>
      <c r="CR803" s="37">
        <v>0</v>
      </c>
      <c r="CS803" s="37">
        <v>0</v>
      </c>
      <c r="CT803" s="37">
        <v>0</v>
      </c>
      <c r="CU803" s="37">
        <v>0</v>
      </c>
      <c r="CV803" s="37">
        <v>0</v>
      </c>
      <c r="CW803" s="37">
        <v>0</v>
      </c>
      <c r="CX803" s="37">
        <v>0</v>
      </c>
      <c r="CY803" s="37">
        <v>0</v>
      </c>
      <c r="CZ803" s="37">
        <v>863759</v>
      </c>
      <c r="DA803" s="37">
        <v>0</v>
      </c>
      <c r="DB803" s="37">
        <v>397676</v>
      </c>
      <c r="DC803" s="37">
        <v>0</v>
      </c>
      <c r="DD803" s="37">
        <v>0</v>
      </c>
      <c r="DE803" s="37">
        <v>0</v>
      </c>
      <c r="DF803" s="37">
        <v>0</v>
      </c>
      <c r="DG803" s="37">
        <v>0</v>
      </c>
      <c r="DH803" s="37">
        <v>0</v>
      </c>
      <c r="DI803" s="37">
        <v>0</v>
      </c>
      <c r="DJ803" s="37">
        <v>0</v>
      </c>
      <c r="DK803" s="37">
        <v>0</v>
      </c>
      <c r="DL803" s="37">
        <v>397676</v>
      </c>
      <c r="DM803" s="37">
        <v>0</v>
      </c>
      <c r="DN803" s="37">
        <v>0</v>
      </c>
      <c r="DO803" s="37">
        <v>0</v>
      </c>
      <c r="DP803" s="37">
        <v>0</v>
      </c>
      <c r="DQ803" s="37">
        <v>0</v>
      </c>
      <c r="DR803" s="37">
        <v>0</v>
      </c>
      <c r="DS803" s="37">
        <v>0</v>
      </c>
      <c r="DT803" s="37">
        <v>0</v>
      </c>
      <c r="DU803" s="37">
        <v>0</v>
      </c>
      <c r="DV803" s="37">
        <v>0</v>
      </c>
      <c r="DW803" s="37">
        <v>0</v>
      </c>
      <c r="DX803" s="37">
        <v>0</v>
      </c>
      <c r="DY803" s="37">
        <v>0</v>
      </c>
      <c r="DZ803" s="37">
        <v>0</v>
      </c>
      <c r="EA803" s="37">
        <v>0</v>
      </c>
      <c r="EB803" s="37">
        <v>0</v>
      </c>
      <c r="EC803" s="37">
        <v>0</v>
      </c>
      <c r="ED803" s="37">
        <v>0</v>
      </c>
      <c r="EE803" s="37">
        <v>0</v>
      </c>
      <c r="EF803" s="37">
        <v>0</v>
      </c>
      <c r="EG803" s="37">
        <v>0</v>
      </c>
      <c r="EH803" s="37">
        <v>0</v>
      </c>
      <c r="EI803" s="37">
        <v>0</v>
      </c>
      <c r="EJ803" s="37">
        <v>0</v>
      </c>
      <c r="EK803" s="161" t="s">
        <v>1965</v>
      </c>
      <c r="EL803" s="294" t="s">
        <v>1124</v>
      </c>
    </row>
    <row r="804" spans="1:142" ht="15" customHeight="1" x14ac:dyDescent="0.35">
      <c r="A804" s="34"/>
      <c r="B804" s="313">
        <v>9025</v>
      </c>
      <c r="C804" s="8" t="s">
        <v>1101</v>
      </c>
      <c r="D804" s="18">
        <v>1</v>
      </c>
      <c r="E804" s="155">
        <v>140258</v>
      </c>
      <c r="F804" s="36">
        <v>41108</v>
      </c>
      <c r="G804" s="37">
        <v>14315</v>
      </c>
      <c r="H804" s="37">
        <v>0</v>
      </c>
      <c r="I804" s="37">
        <v>75000</v>
      </c>
      <c r="J804" s="37">
        <v>0</v>
      </c>
      <c r="K804" s="37">
        <v>21039</v>
      </c>
      <c r="L804" s="37">
        <v>6166</v>
      </c>
      <c r="M804" s="37">
        <v>250612</v>
      </c>
      <c r="N804" s="37">
        <v>47274</v>
      </c>
      <c r="O804" s="37">
        <v>0</v>
      </c>
      <c r="P804" s="37">
        <v>0</v>
      </c>
      <c r="Q804" s="37">
        <v>154960</v>
      </c>
      <c r="R804" s="37">
        <v>57912</v>
      </c>
      <c r="S804" s="37">
        <v>0</v>
      </c>
      <c r="T804" s="37">
        <v>0</v>
      </c>
      <c r="U804" s="37">
        <v>0</v>
      </c>
      <c r="V804" s="37">
        <v>0</v>
      </c>
      <c r="W804" s="37">
        <v>66011</v>
      </c>
      <c r="X804" s="37">
        <v>0</v>
      </c>
      <c r="Y804" s="37">
        <v>19003</v>
      </c>
      <c r="Z804" s="37">
        <v>0</v>
      </c>
      <c r="AA804" s="37">
        <v>239974</v>
      </c>
      <c r="AB804" s="37">
        <v>57912</v>
      </c>
      <c r="AC804" s="37">
        <v>0</v>
      </c>
      <c r="AD804" s="37">
        <v>0</v>
      </c>
      <c r="AE804" s="37">
        <v>32519</v>
      </c>
      <c r="AF804" s="168">
        <v>0.02</v>
      </c>
      <c r="AG804" s="37">
        <v>16892735.100000001</v>
      </c>
      <c r="AH804" s="37">
        <v>124414.94</v>
      </c>
      <c r="AI804" s="37">
        <v>126903.24</v>
      </c>
      <c r="AJ804" s="37">
        <v>129441.3</v>
      </c>
      <c r="AK804" s="37">
        <v>132030.13</v>
      </c>
      <c r="AL804" s="37">
        <v>134670.73000000001</v>
      </c>
      <c r="AM804" s="37">
        <v>137364.15</v>
      </c>
      <c r="AN804" s="37">
        <v>140111.43</v>
      </c>
      <c r="AO804" s="37">
        <v>142913.66</v>
      </c>
      <c r="AP804" s="37">
        <v>145771.93</v>
      </c>
      <c r="AQ804" s="37">
        <v>148687.37</v>
      </c>
      <c r="AR804" s="37">
        <v>1362308.88</v>
      </c>
      <c r="AS804" s="37">
        <v>3614371.45</v>
      </c>
      <c r="AT804" s="37">
        <v>1408142.91</v>
      </c>
      <c r="AU804" s="37">
        <v>0</v>
      </c>
      <c r="AV804" s="37">
        <v>0</v>
      </c>
      <c r="AW804" s="37">
        <v>0</v>
      </c>
      <c r="AX804" s="37">
        <v>0</v>
      </c>
      <c r="AY804" s="37">
        <v>0</v>
      </c>
      <c r="AZ804" s="37">
        <v>0</v>
      </c>
      <c r="BA804" s="37">
        <v>0</v>
      </c>
      <c r="BB804" s="37">
        <v>0</v>
      </c>
      <c r="BC804" s="37">
        <v>0</v>
      </c>
      <c r="BD804" s="37">
        <v>1408142.91</v>
      </c>
      <c r="BE804" s="37">
        <v>443262</v>
      </c>
      <c r="BF804" s="37">
        <v>81077</v>
      </c>
      <c r="BG804" s="37">
        <v>0</v>
      </c>
      <c r="BH804" s="37">
        <v>0</v>
      </c>
      <c r="BI804" s="37">
        <v>0</v>
      </c>
      <c r="BJ804" s="37">
        <v>0</v>
      </c>
      <c r="BK804" s="37">
        <v>0</v>
      </c>
      <c r="BL804" s="37">
        <v>0</v>
      </c>
      <c r="BM804" s="37">
        <v>0</v>
      </c>
      <c r="BN804" s="37">
        <v>0</v>
      </c>
      <c r="BO804" s="37">
        <v>0</v>
      </c>
      <c r="BP804" s="37">
        <v>81077</v>
      </c>
      <c r="BQ804" s="37">
        <v>0</v>
      </c>
      <c r="BR804" s="37">
        <v>0</v>
      </c>
      <c r="BS804" s="37">
        <v>0</v>
      </c>
      <c r="BT804" s="37">
        <v>0</v>
      </c>
      <c r="BU804" s="37">
        <v>0</v>
      </c>
      <c r="BV804" s="37">
        <v>0</v>
      </c>
      <c r="BW804" s="37">
        <v>0</v>
      </c>
      <c r="BX804" s="37">
        <v>0</v>
      </c>
      <c r="BY804" s="37">
        <v>0</v>
      </c>
      <c r="BZ804" s="37">
        <v>0</v>
      </c>
      <c r="CA804" s="37">
        <v>0</v>
      </c>
      <c r="CB804" s="37">
        <v>0</v>
      </c>
      <c r="CC804" s="37">
        <v>0</v>
      </c>
      <c r="CD804" s="37">
        <v>0</v>
      </c>
      <c r="CE804" s="37">
        <v>0</v>
      </c>
      <c r="CF804" s="37">
        <v>0</v>
      </c>
      <c r="CG804" s="37">
        <v>0</v>
      </c>
      <c r="CH804" s="37">
        <v>0</v>
      </c>
      <c r="CI804" s="37">
        <v>0</v>
      </c>
      <c r="CJ804" s="37">
        <v>0</v>
      </c>
      <c r="CK804" s="37">
        <v>0</v>
      </c>
      <c r="CL804" s="37">
        <v>0</v>
      </c>
      <c r="CM804" s="37">
        <v>0</v>
      </c>
      <c r="CN804" s="37">
        <v>0</v>
      </c>
      <c r="CO804" s="37">
        <v>0</v>
      </c>
      <c r="CP804" s="37">
        <v>929088</v>
      </c>
      <c r="CQ804" s="37">
        <v>0</v>
      </c>
      <c r="CR804" s="37">
        <v>0</v>
      </c>
      <c r="CS804" s="37">
        <v>0</v>
      </c>
      <c r="CT804" s="37">
        <v>0</v>
      </c>
      <c r="CU804" s="37">
        <v>0</v>
      </c>
      <c r="CV804" s="37">
        <v>0</v>
      </c>
      <c r="CW804" s="37">
        <v>0</v>
      </c>
      <c r="CX804" s="37">
        <v>0</v>
      </c>
      <c r="CY804" s="37">
        <v>0</v>
      </c>
      <c r="CZ804" s="37">
        <v>929088</v>
      </c>
      <c r="DA804" s="37">
        <v>0</v>
      </c>
      <c r="DB804" s="37">
        <v>190295</v>
      </c>
      <c r="DC804" s="37">
        <v>0</v>
      </c>
      <c r="DD804" s="37">
        <v>0</v>
      </c>
      <c r="DE804" s="37">
        <v>0</v>
      </c>
      <c r="DF804" s="37">
        <v>0</v>
      </c>
      <c r="DG804" s="37">
        <v>0</v>
      </c>
      <c r="DH804" s="37">
        <v>0</v>
      </c>
      <c r="DI804" s="37">
        <v>0</v>
      </c>
      <c r="DJ804" s="37">
        <v>0</v>
      </c>
      <c r="DK804" s="37">
        <v>0</v>
      </c>
      <c r="DL804" s="37">
        <v>190295</v>
      </c>
      <c r="DM804" s="37">
        <v>0</v>
      </c>
      <c r="DN804" s="37">
        <v>0</v>
      </c>
      <c r="DO804" s="37">
        <v>0</v>
      </c>
      <c r="DP804" s="37">
        <v>0</v>
      </c>
      <c r="DQ804" s="37">
        <v>0</v>
      </c>
      <c r="DR804" s="37">
        <v>0</v>
      </c>
      <c r="DS804" s="37">
        <v>0</v>
      </c>
      <c r="DT804" s="37">
        <v>0</v>
      </c>
      <c r="DU804" s="37">
        <v>0</v>
      </c>
      <c r="DV804" s="37">
        <v>0</v>
      </c>
      <c r="DW804" s="37">
        <v>0</v>
      </c>
      <c r="DX804" s="37">
        <v>0</v>
      </c>
      <c r="DY804" s="37">
        <v>0</v>
      </c>
      <c r="DZ804" s="37">
        <v>0</v>
      </c>
      <c r="EA804" s="37">
        <v>0</v>
      </c>
      <c r="EB804" s="37">
        <v>0</v>
      </c>
      <c r="EC804" s="37">
        <v>0</v>
      </c>
      <c r="ED804" s="37">
        <v>0</v>
      </c>
      <c r="EE804" s="37">
        <v>0</v>
      </c>
      <c r="EF804" s="37">
        <v>0</v>
      </c>
      <c r="EG804" s="37">
        <v>0</v>
      </c>
      <c r="EH804" s="37">
        <v>0</v>
      </c>
      <c r="EI804" s="37">
        <v>0</v>
      </c>
      <c r="EJ804" s="37">
        <v>0</v>
      </c>
      <c r="EK804" s="161" t="s">
        <v>3077</v>
      </c>
      <c r="EL804" s="294" t="s">
        <v>1124</v>
      </c>
    </row>
    <row r="805" spans="1:142" ht="15" customHeight="1" x14ac:dyDescent="0.35">
      <c r="A805" s="34"/>
      <c r="B805" s="313">
        <v>22025</v>
      </c>
      <c r="C805" s="8" t="s">
        <v>157</v>
      </c>
      <c r="D805" s="18">
        <v>3</v>
      </c>
      <c r="E805" s="155"/>
      <c r="F805" s="36"/>
      <c r="G805" s="37"/>
      <c r="H805" s="37"/>
      <c r="I805" s="37"/>
      <c r="J805" s="37"/>
      <c r="K805" s="37"/>
      <c r="L805" s="37"/>
      <c r="M805" s="37" t="s">
        <v>1124</v>
      </c>
      <c r="N805" s="37" t="s">
        <v>1124</v>
      </c>
      <c r="O805" s="37"/>
      <c r="P805" s="37"/>
      <c r="Q805" s="37"/>
      <c r="R805" s="37"/>
      <c r="S805" s="37"/>
      <c r="T805" s="37"/>
      <c r="U805" s="37"/>
      <c r="V805" s="37"/>
      <c r="W805" s="37"/>
      <c r="X805" s="37"/>
      <c r="Y805" s="37"/>
      <c r="Z805" s="37"/>
      <c r="AA805" s="37" t="s">
        <v>1124</v>
      </c>
      <c r="AB805" s="37" t="s">
        <v>1124</v>
      </c>
      <c r="AC805" s="37"/>
      <c r="AD805" s="37"/>
      <c r="AE805" s="37"/>
      <c r="AF805" s="168"/>
      <c r="AG805" s="37"/>
      <c r="AH805" s="37"/>
      <c r="AI805" s="37"/>
      <c r="AJ805" s="37"/>
      <c r="AK805" s="37"/>
      <c r="AL805" s="37"/>
      <c r="AM805" s="37"/>
      <c r="AN805" s="37"/>
      <c r="AO805" s="37"/>
      <c r="AP805" s="37"/>
      <c r="AQ805" s="37"/>
      <c r="AR805" s="37" t="s">
        <v>1124</v>
      </c>
      <c r="AS805" s="37"/>
      <c r="AT805" s="37"/>
      <c r="AU805" s="37"/>
      <c r="AV805" s="37"/>
      <c r="AW805" s="37"/>
      <c r="AX805" s="37"/>
      <c r="AY805" s="37"/>
      <c r="AZ805" s="37"/>
      <c r="BA805" s="37"/>
      <c r="BB805" s="37"/>
      <c r="BC805" s="37"/>
      <c r="BD805" s="37" t="s">
        <v>1124</v>
      </c>
      <c r="BE805" s="37"/>
      <c r="BF805" s="37"/>
      <c r="BG805" s="37"/>
      <c r="BH805" s="37"/>
      <c r="BI805" s="37"/>
      <c r="BJ805" s="37"/>
      <c r="BK805" s="37"/>
      <c r="BL805" s="37"/>
      <c r="BM805" s="37"/>
      <c r="BN805" s="37"/>
      <c r="BO805" s="37"/>
      <c r="BP805" s="37">
        <v>0</v>
      </c>
      <c r="BQ805" s="37"/>
      <c r="BR805" s="37"/>
      <c r="BS805" s="37"/>
      <c r="BT805" s="37"/>
      <c r="BU805" s="37"/>
      <c r="BV805" s="37"/>
      <c r="BW805" s="37"/>
      <c r="BX805" s="37"/>
      <c r="BY805" s="37"/>
      <c r="BZ805" s="37"/>
      <c r="CA805" s="37"/>
      <c r="CB805" s="37" t="s">
        <v>1124</v>
      </c>
      <c r="CC805" s="37"/>
      <c r="CD805" s="37"/>
      <c r="CE805" s="37"/>
      <c r="CF805" s="37"/>
      <c r="CG805" s="37"/>
      <c r="CH805" s="37"/>
      <c r="CI805" s="37"/>
      <c r="CJ805" s="37"/>
      <c r="CK805" s="37"/>
      <c r="CL805" s="37"/>
      <c r="CM805" s="37"/>
      <c r="CN805" s="37" t="s">
        <v>1124</v>
      </c>
      <c r="CO805" s="37"/>
      <c r="CP805" s="37"/>
      <c r="CQ805" s="37"/>
      <c r="CR805" s="37"/>
      <c r="CS805" s="37"/>
      <c r="CT805" s="37"/>
      <c r="CU805" s="37"/>
      <c r="CV805" s="37"/>
      <c r="CW805" s="37"/>
      <c r="CX805" s="37"/>
      <c r="CY805" s="37"/>
      <c r="CZ805" s="37" t="s">
        <v>1124</v>
      </c>
      <c r="DA805" s="37"/>
      <c r="DB805" s="37"/>
      <c r="DC805" s="37"/>
      <c r="DD805" s="37"/>
      <c r="DE805" s="37"/>
      <c r="DF805" s="37"/>
      <c r="DG805" s="37"/>
      <c r="DH805" s="37"/>
      <c r="DI805" s="37"/>
      <c r="DJ805" s="37"/>
      <c r="DK805" s="37"/>
      <c r="DL805" s="37" t="s">
        <v>1124</v>
      </c>
      <c r="DM805" s="37"/>
      <c r="DN805" s="37"/>
      <c r="DO805" s="37"/>
      <c r="DP805" s="37"/>
      <c r="DQ805" s="37"/>
      <c r="DR805" s="37"/>
      <c r="DS805" s="37"/>
      <c r="DT805" s="37"/>
      <c r="DU805" s="37"/>
      <c r="DV805" s="37"/>
      <c r="DW805" s="37"/>
      <c r="DX805" s="37" t="s">
        <v>1124</v>
      </c>
      <c r="DY805" s="37"/>
      <c r="DZ805" s="37"/>
      <c r="EA805" s="37"/>
      <c r="EB805" s="37"/>
      <c r="EC805" s="37"/>
      <c r="ED805" s="37"/>
      <c r="EE805" s="37"/>
      <c r="EF805" s="37"/>
      <c r="EG805" s="37"/>
      <c r="EH805" s="37"/>
      <c r="EI805" s="37"/>
      <c r="EJ805" s="37" t="s">
        <v>1124</v>
      </c>
      <c r="EK805" s="161"/>
      <c r="EL805" s="294"/>
    </row>
    <row r="806" spans="1:142" ht="15" customHeight="1" x14ac:dyDescent="0.35">
      <c r="A806" s="34"/>
      <c r="B806" s="313">
        <v>14075</v>
      </c>
      <c r="C806" s="8" t="s">
        <v>73</v>
      </c>
      <c r="D806" s="18">
        <v>1</v>
      </c>
      <c r="E806" s="155"/>
      <c r="F806" s="36"/>
      <c r="G806" s="37"/>
      <c r="H806" s="37"/>
      <c r="I806" s="37"/>
      <c r="J806" s="37"/>
      <c r="K806" s="37"/>
      <c r="L806" s="37"/>
      <c r="M806" s="37" t="s">
        <v>1124</v>
      </c>
      <c r="N806" s="37" t="s">
        <v>1124</v>
      </c>
      <c r="O806" s="37"/>
      <c r="P806" s="37"/>
      <c r="Q806" s="37"/>
      <c r="R806" s="37"/>
      <c r="S806" s="37"/>
      <c r="T806" s="37"/>
      <c r="U806" s="37"/>
      <c r="V806" s="37"/>
      <c r="W806" s="37"/>
      <c r="X806" s="37"/>
      <c r="Y806" s="37"/>
      <c r="Z806" s="37"/>
      <c r="AA806" s="37" t="s">
        <v>1124</v>
      </c>
      <c r="AB806" s="37" t="s">
        <v>1124</v>
      </c>
      <c r="AC806" s="37"/>
      <c r="AD806" s="37"/>
      <c r="AE806" s="37"/>
      <c r="AF806" s="168"/>
      <c r="AG806" s="37"/>
      <c r="AH806" s="37"/>
      <c r="AI806" s="37"/>
      <c r="AJ806" s="37"/>
      <c r="AK806" s="37"/>
      <c r="AL806" s="37"/>
      <c r="AM806" s="37"/>
      <c r="AN806" s="37"/>
      <c r="AO806" s="37"/>
      <c r="AP806" s="37"/>
      <c r="AQ806" s="37"/>
      <c r="AR806" s="37" t="s">
        <v>1124</v>
      </c>
      <c r="AS806" s="37"/>
      <c r="AT806" s="37"/>
      <c r="AU806" s="37"/>
      <c r="AV806" s="37"/>
      <c r="AW806" s="37"/>
      <c r="AX806" s="37"/>
      <c r="AY806" s="37"/>
      <c r="AZ806" s="37"/>
      <c r="BA806" s="37"/>
      <c r="BB806" s="37"/>
      <c r="BC806" s="37"/>
      <c r="BD806" s="37" t="s">
        <v>1124</v>
      </c>
      <c r="BE806" s="37"/>
      <c r="BF806" s="37"/>
      <c r="BG806" s="37"/>
      <c r="BH806" s="37"/>
      <c r="BI806" s="37"/>
      <c r="BJ806" s="37"/>
      <c r="BK806" s="37"/>
      <c r="BL806" s="37"/>
      <c r="BM806" s="37"/>
      <c r="BN806" s="37"/>
      <c r="BO806" s="37"/>
      <c r="BP806" s="37">
        <v>0</v>
      </c>
      <c r="BQ806" s="37"/>
      <c r="BR806" s="37"/>
      <c r="BS806" s="37"/>
      <c r="BT806" s="37"/>
      <c r="BU806" s="37"/>
      <c r="BV806" s="37"/>
      <c r="BW806" s="37"/>
      <c r="BX806" s="37"/>
      <c r="BY806" s="37"/>
      <c r="BZ806" s="37"/>
      <c r="CA806" s="37"/>
      <c r="CB806" s="37" t="s">
        <v>1124</v>
      </c>
      <c r="CC806" s="37"/>
      <c r="CD806" s="37"/>
      <c r="CE806" s="37"/>
      <c r="CF806" s="37"/>
      <c r="CG806" s="37"/>
      <c r="CH806" s="37"/>
      <c r="CI806" s="37"/>
      <c r="CJ806" s="37"/>
      <c r="CK806" s="37"/>
      <c r="CL806" s="37"/>
      <c r="CM806" s="37"/>
      <c r="CN806" s="37" t="s">
        <v>1124</v>
      </c>
      <c r="CO806" s="37"/>
      <c r="CP806" s="37"/>
      <c r="CQ806" s="37"/>
      <c r="CR806" s="37"/>
      <c r="CS806" s="37"/>
      <c r="CT806" s="37"/>
      <c r="CU806" s="37"/>
      <c r="CV806" s="37"/>
      <c r="CW806" s="37"/>
      <c r="CX806" s="37"/>
      <c r="CY806" s="37"/>
      <c r="CZ806" s="37" t="s">
        <v>1124</v>
      </c>
      <c r="DA806" s="37"/>
      <c r="DB806" s="37"/>
      <c r="DC806" s="37"/>
      <c r="DD806" s="37"/>
      <c r="DE806" s="37"/>
      <c r="DF806" s="37"/>
      <c r="DG806" s="37"/>
      <c r="DH806" s="37"/>
      <c r="DI806" s="37"/>
      <c r="DJ806" s="37"/>
      <c r="DK806" s="37"/>
      <c r="DL806" s="37" t="s">
        <v>1124</v>
      </c>
      <c r="DM806" s="37"/>
      <c r="DN806" s="37"/>
      <c r="DO806" s="37"/>
      <c r="DP806" s="37"/>
      <c r="DQ806" s="37"/>
      <c r="DR806" s="37"/>
      <c r="DS806" s="37"/>
      <c r="DT806" s="37"/>
      <c r="DU806" s="37"/>
      <c r="DV806" s="37"/>
      <c r="DW806" s="37"/>
      <c r="DX806" s="37" t="s">
        <v>1124</v>
      </c>
      <c r="DY806" s="37"/>
      <c r="DZ806" s="37"/>
      <c r="EA806" s="37"/>
      <c r="EB806" s="37"/>
      <c r="EC806" s="37"/>
      <c r="ED806" s="37"/>
      <c r="EE806" s="37"/>
      <c r="EF806" s="37"/>
      <c r="EG806" s="37"/>
      <c r="EH806" s="37"/>
      <c r="EI806" s="37"/>
      <c r="EJ806" s="37" t="s">
        <v>1124</v>
      </c>
      <c r="EK806" s="161"/>
      <c r="EL806" s="294"/>
    </row>
    <row r="807" spans="1:142" ht="15" customHeight="1" x14ac:dyDescent="0.35">
      <c r="A807" s="34"/>
      <c r="B807" s="313">
        <v>93035</v>
      </c>
      <c r="C807" s="8" t="s">
        <v>963</v>
      </c>
      <c r="D807" s="18">
        <v>2</v>
      </c>
      <c r="E807" s="155">
        <v>185057</v>
      </c>
      <c r="F807" s="36">
        <v>79267</v>
      </c>
      <c r="G807" s="37">
        <v>20842</v>
      </c>
      <c r="H807" s="37">
        <v>8997</v>
      </c>
      <c r="I807" s="37">
        <v>119000</v>
      </c>
      <c r="J807" s="37">
        <v>47000</v>
      </c>
      <c r="K807" s="37">
        <v>27758.55</v>
      </c>
      <c r="L807" s="37">
        <v>11890.05</v>
      </c>
      <c r="M807" s="37">
        <v>352657.55</v>
      </c>
      <c r="N807" s="37">
        <v>147154.04999999999</v>
      </c>
      <c r="O807" s="37">
        <v>2500</v>
      </c>
      <c r="P807" s="37">
        <v>0</v>
      </c>
      <c r="Q807" s="37">
        <v>144000</v>
      </c>
      <c r="R807" s="37">
        <v>101300</v>
      </c>
      <c r="S807" s="37">
        <v>28230</v>
      </c>
      <c r="T807" s="37">
        <v>0</v>
      </c>
      <c r="U807" s="37">
        <v>2204</v>
      </c>
      <c r="V807" s="37">
        <v>551</v>
      </c>
      <c r="W807" s="37">
        <v>175723.55</v>
      </c>
      <c r="X807" s="37">
        <v>45303.049999999988</v>
      </c>
      <c r="Y807" s="37">
        <v>0</v>
      </c>
      <c r="Z807" s="37">
        <v>0</v>
      </c>
      <c r="AA807" s="37">
        <v>352657.55</v>
      </c>
      <c r="AB807" s="37">
        <v>147154.04999999999</v>
      </c>
      <c r="AC807" s="37">
        <v>0</v>
      </c>
      <c r="AD807" s="37">
        <v>0</v>
      </c>
      <c r="AE807" s="37">
        <v>0</v>
      </c>
      <c r="AF807" s="168">
        <v>0.02</v>
      </c>
      <c r="AG807" s="37">
        <v>42306673.990000002</v>
      </c>
      <c r="AH807" s="37">
        <v>430588.83</v>
      </c>
      <c r="AI807" s="37">
        <v>428588.52</v>
      </c>
      <c r="AJ807" s="37">
        <v>437160.29</v>
      </c>
      <c r="AK807" s="37">
        <v>445903.5</v>
      </c>
      <c r="AL807" s="37">
        <v>454821.57</v>
      </c>
      <c r="AM807" s="37">
        <v>463918</v>
      </c>
      <c r="AN807" s="37">
        <v>473196.36</v>
      </c>
      <c r="AO807" s="37">
        <v>482660.29</v>
      </c>
      <c r="AP807" s="37">
        <v>492313.49</v>
      </c>
      <c r="AQ807" s="37">
        <v>502159.76</v>
      </c>
      <c r="AR807" s="37">
        <v>4611310.6099999994</v>
      </c>
      <c r="AS807" s="37">
        <v>369546.96</v>
      </c>
      <c r="AT807" s="37">
        <v>832320</v>
      </c>
      <c r="AU807" s="37">
        <v>159181.20000000001</v>
      </c>
      <c r="AV807" s="37">
        <v>0</v>
      </c>
      <c r="AW807" s="37">
        <v>0</v>
      </c>
      <c r="AX807" s="37">
        <v>0</v>
      </c>
      <c r="AY807" s="37">
        <v>0</v>
      </c>
      <c r="AZ807" s="37">
        <v>0</v>
      </c>
      <c r="BA807" s="37">
        <v>0</v>
      </c>
      <c r="BB807" s="37">
        <v>0</v>
      </c>
      <c r="BC807" s="37">
        <v>0</v>
      </c>
      <c r="BD807" s="37">
        <v>991501.2</v>
      </c>
      <c r="BE807" s="37">
        <v>591362</v>
      </c>
      <c r="BF807" s="37">
        <v>210063.47879879727</v>
      </c>
      <c r="BG807" s="37">
        <v>226421.91867337114</v>
      </c>
      <c r="BH807" s="37">
        <v>278735.40313724743</v>
      </c>
      <c r="BI807" s="37">
        <v>331048.99939058442</v>
      </c>
      <c r="BJ807" s="37">
        <v>35955.044589302292</v>
      </c>
      <c r="BK807" s="37">
        <v>174108.43420949479</v>
      </c>
      <c r="BL807" s="37">
        <v>226421.91867337114</v>
      </c>
      <c r="BM807" s="37">
        <v>278735.40313724743</v>
      </c>
      <c r="BN807" s="37">
        <v>331048.99939058442</v>
      </c>
      <c r="BO807" s="37">
        <v>0</v>
      </c>
      <c r="BP807" s="37">
        <v>2092539.6000000003</v>
      </c>
      <c r="BQ807" s="37">
        <v>0</v>
      </c>
      <c r="BR807" s="37">
        <v>108417.80824730918</v>
      </c>
      <c r="BS807" s="37">
        <v>116860.714209299</v>
      </c>
      <c r="BT807" s="37">
        <v>143860.71135199888</v>
      </c>
      <c r="BU807" s="37">
        <v>170860.76619139308</v>
      </c>
      <c r="BV807" s="37">
        <v>18557.09118071002</v>
      </c>
      <c r="BW807" s="37">
        <v>89860.717066599056</v>
      </c>
      <c r="BX807" s="37">
        <v>116860.714209299</v>
      </c>
      <c r="BY807" s="37">
        <v>143860.71135199888</v>
      </c>
      <c r="BZ807" s="37">
        <v>170860.76619139308</v>
      </c>
      <c r="CA807" s="37">
        <v>0</v>
      </c>
      <c r="CB807" s="37">
        <v>1080000</v>
      </c>
      <c r="CC807" s="37">
        <v>0</v>
      </c>
      <c r="CD807" s="37">
        <v>0</v>
      </c>
      <c r="CE807" s="37">
        <v>0</v>
      </c>
      <c r="CF807" s="37">
        <v>0</v>
      </c>
      <c r="CG807" s="37">
        <v>0</v>
      </c>
      <c r="CH807" s="37">
        <v>0</v>
      </c>
      <c r="CI807" s="37">
        <v>0</v>
      </c>
      <c r="CJ807" s="37">
        <v>0</v>
      </c>
      <c r="CK807" s="37">
        <v>0</v>
      </c>
      <c r="CL807" s="37">
        <v>0</v>
      </c>
      <c r="CM807" s="37">
        <v>0</v>
      </c>
      <c r="CN807" s="37">
        <v>0</v>
      </c>
      <c r="CO807" s="37">
        <v>0</v>
      </c>
      <c r="CP807" s="37">
        <v>0</v>
      </c>
      <c r="CQ807" s="37">
        <v>0</v>
      </c>
      <c r="CR807" s="37">
        <v>0</v>
      </c>
      <c r="CS807" s="37">
        <v>0</v>
      </c>
      <c r="CT807" s="37">
        <v>0</v>
      </c>
      <c r="CU807" s="37">
        <v>0</v>
      </c>
      <c r="CV807" s="37">
        <v>0</v>
      </c>
      <c r="CW807" s="37">
        <v>0</v>
      </c>
      <c r="CX807" s="37">
        <v>0</v>
      </c>
      <c r="CY807" s="37">
        <v>0</v>
      </c>
      <c r="CZ807" s="37">
        <v>0</v>
      </c>
      <c r="DA807" s="37">
        <v>0</v>
      </c>
      <c r="DB807" s="37">
        <v>0</v>
      </c>
      <c r="DC807" s="37">
        <v>0</v>
      </c>
      <c r="DD807" s="37">
        <v>0</v>
      </c>
      <c r="DE807" s="37">
        <v>0</v>
      </c>
      <c r="DF807" s="37">
        <v>0</v>
      </c>
      <c r="DG807" s="37">
        <v>0</v>
      </c>
      <c r="DH807" s="37">
        <v>0</v>
      </c>
      <c r="DI807" s="37">
        <v>0</v>
      </c>
      <c r="DJ807" s="37">
        <v>0</v>
      </c>
      <c r="DK807" s="37">
        <v>0</v>
      </c>
      <c r="DL807" s="37">
        <v>0</v>
      </c>
      <c r="DM807" s="37">
        <v>0</v>
      </c>
      <c r="DN807" s="37">
        <v>0</v>
      </c>
      <c r="DO807" s="37">
        <v>0</v>
      </c>
      <c r="DP807" s="37">
        <v>0</v>
      </c>
      <c r="DQ807" s="37">
        <v>0</v>
      </c>
      <c r="DR807" s="37">
        <v>0</v>
      </c>
      <c r="DS807" s="37">
        <v>0</v>
      </c>
      <c r="DT807" s="37">
        <v>0</v>
      </c>
      <c r="DU807" s="37">
        <v>0</v>
      </c>
      <c r="DV807" s="37">
        <v>0</v>
      </c>
      <c r="DW807" s="37">
        <v>0</v>
      </c>
      <c r="DX807" s="37">
        <v>0</v>
      </c>
      <c r="DY807" s="37">
        <v>0</v>
      </c>
      <c r="DZ807" s="37">
        <v>0</v>
      </c>
      <c r="EA807" s="37">
        <v>0</v>
      </c>
      <c r="EB807" s="37">
        <v>0</v>
      </c>
      <c r="EC807" s="37">
        <v>0</v>
      </c>
      <c r="ED807" s="37">
        <v>0</v>
      </c>
      <c r="EE807" s="37">
        <v>0</v>
      </c>
      <c r="EF807" s="37">
        <v>0</v>
      </c>
      <c r="EG807" s="37">
        <v>0</v>
      </c>
      <c r="EH807" s="37">
        <v>0</v>
      </c>
      <c r="EI807" s="37">
        <v>0</v>
      </c>
      <c r="EJ807" s="37">
        <v>0</v>
      </c>
      <c r="EK807" s="161" t="s">
        <v>3082</v>
      </c>
      <c r="EL807" s="294" t="s">
        <v>1124</v>
      </c>
    </row>
    <row r="808" spans="1:142" ht="15" customHeight="1" x14ac:dyDescent="0.35">
      <c r="A808" s="34"/>
      <c r="B808" s="313">
        <v>29013</v>
      </c>
      <c r="C808" s="8" t="s">
        <v>202</v>
      </c>
      <c r="D808" s="18">
        <v>12</v>
      </c>
      <c r="E808" s="155">
        <v>238070</v>
      </c>
      <c r="F808" s="36">
        <v>75056</v>
      </c>
      <c r="G808" s="37">
        <v>4643</v>
      </c>
      <c r="H808" s="37">
        <v>9825</v>
      </c>
      <c r="I808" s="37">
        <v>52856</v>
      </c>
      <c r="J808" s="37">
        <v>48414</v>
      </c>
      <c r="K808" s="37">
        <v>44335.35</v>
      </c>
      <c r="L808" s="37">
        <v>19994.25</v>
      </c>
      <c r="M808" s="37">
        <v>339904.35</v>
      </c>
      <c r="N808" s="37">
        <v>153289.25</v>
      </c>
      <c r="O808" s="37">
        <v>0</v>
      </c>
      <c r="P808" s="37">
        <v>0</v>
      </c>
      <c r="Q808" s="37">
        <v>145425</v>
      </c>
      <c r="R808" s="37">
        <v>28180</v>
      </c>
      <c r="S808" s="37">
        <v>0</v>
      </c>
      <c r="T808" s="37">
        <v>0</v>
      </c>
      <c r="U808" s="37">
        <v>137230</v>
      </c>
      <c r="V808" s="37">
        <v>0</v>
      </c>
      <c r="W808" s="37">
        <v>57249</v>
      </c>
      <c r="X808" s="37">
        <v>125110</v>
      </c>
      <c r="Y808" s="37">
        <v>0</v>
      </c>
      <c r="Z808" s="37">
        <v>0</v>
      </c>
      <c r="AA808" s="37">
        <v>339904</v>
      </c>
      <c r="AB808" s="37">
        <v>153290</v>
      </c>
      <c r="AC808" s="37">
        <v>0.40000000002328306</v>
      </c>
      <c r="AD808" s="37">
        <v>0</v>
      </c>
      <c r="AE808" s="37">
        <v>41866.839999999997</v>
      </c>
      <c r="AF808" s="168">
        <v>0.02</v>
      </c>
      <c r="AG808" s="37">
        <v>27899209.66</v>
      </c>
      <c r="AH808" s="37">
        <v>246044.24</v>
      </c>
      <c r="AI808" s="37">
        <v>257332.38</v>
      </c>
      <c r="AJ808" s="37">
        <v>253819.57</v>
      </c>
      <c r="AK808" s="37">
        <v>258895.96</v>
      </c>
      <c r="AL808" s="37">
        <v>264073.88</v>
      </c>
      <c r="AM808" s="37">
        <v>269355.36</v>
      </c>
      <c r="AN808" s="37">
        <v>274742.46000000002</v>
      </c>
      <c r="AO808" s="37">
        <v>280237.31</v>
      </c>
      <c r="AP808" s="37">
        <v>285842.06</v>
      </c>
      <c r="AQ808" s="37">
        <v>291558.90000000002</v>
      </c>
      <c r="AR808" s="37">
        <v>2681902.1199999992</v>
      </c>
      <c r="AS808" s="37">
        <v>1478616.48</v>
      </c>
      <c r="AT808" s="37">
        <v>0</v>
      </c>
      <c r="AU808" s="37">
        <v>7959.06</v>
      </c>
      <c r="AV808" s="37">
        <v>8118.24</v>
      </c>
      <c r="AW808" s="37">
        <v>0</v>
      </c>
      <c r="AX808" s="37">
        <v>0</v>
      </c>
      <c r="AY808" s="37">
        <v>0</v>
      </c>
      <c r="AZ808" s="37">
        <v>0</v>
      </c>
      <c r="BA808" s="37">
        <v>0</v>
      </c>
      <c r="BB808" s="37">
        <v>0</v>
      </c>
      <c r="BC808" s="37">
        <v>0</v>
      </c>
      <c r="BD808" s="37">
        <v>16077.3</v>
      </c>
      <c r="BE808" s="37">
        <v>42221</v>
      </c>
      <c r="BF808" s="37">
        <v>843243</v>
      </c>
      <c r="BG808" s="37">
        <v>0</v>
      </c>
      <c r="BH808" s="37">
        <v>0</v>
      </c>
      <c r="BI808" s="37">
        <v>0</v>
      </c>
      <c r="BJ808" s="37">
        <v>0</v>
      </c>
      <c r="BK808" s="37">
        <v>0</v>
      </c>
      <c r="BL808" s="37">
        <v>0</v>
      </c>
      <c r="BM808" s="37">
        <v>0</v>
      </c>
      <c r="BN808" s="37">
        <v>0</v>
      </c>
      <c r="BO808" s="37">
        <v>0</v>
      </c>
      <c r="BP808" s="37">
        <v>843243</v>
      </c>
      <c r="BQ808" s="37">
        <v>0</v>
      </c>
      <c r="BR808" s="37">
        <v>194674</v>
      </c>
      <c r="BS808" s="37">
        <v>0</v>
      </c>
      <c r="BT808" s="37">
        <v>0</v>
      </c>
      <c r="BU808" s="37">
        <v>0</v>
      </c>
      <c r="BV808" s="37">
        <v>0</v>
      </c>
      <c r="BW808" s="37">
        <v>0</v>
      </c>
      <c r="BX808" s="37">
        <v>0</v>
      </c>
      <c r="BY808" s="37">
        <v>0</v>
      </c>
      <c r="BZ808" s="37">
        <v>0</v>
      </c>
      <c r="CA808" s="37">
        <v>0</v>
      </c>
      <c r="CB808" s="37">
        <v>194674</v>
      </c>
      <c r="CC808" s="37">
        <v>55271</v>
      </c>
      <c r="CD808" s="37">
        <v>0</v>
      </c>
      <c r="CE808" s="37">
        <v>0</v>
      </c>
      <c r="CF808" s="37">
        <v>0</v>
      </c>
      <c r="CG808" s="37">
        <v>0</v>
      </c>
      <c r="CH808" s="37">
        <v>0</v>
      </c>
      <c r="CI808" s="37">
        <v>0</v>
      </c>
      <c r="CJ808" s="37">
        <v>0</v>
      </c>
      <c r="CK808" s="37">
        <v>0</v>
      </c>
      <c r="CL808" s="37">
        <v>0</v>
      </c>
      <c r="CM808" s="37">
        <v>0</v>
      </c>
      <c r="CN808" s="37">
        <v>0</v>
      </c>
      <c r="CO808" s="37">
        <v>0</v>
      </c>
      <c r="CP808" s="37">
        <v>0</v>
      </c>
      <c r="CQ808" s="37">
        <v>0</v>
      </c>
      <c r="CR808" s="37">
        <v>0</v>
      </c>
      <c r="CS808" s="37">
        <v>0</v>
      </c>
      <c r="CT808" s="37">
        <v>0</v>
      </c>
      <c r="CU808" s="37">
        <v>0</v>
      </c>
      <c r="CV808" s="37">
        <v>0</v>
      </c>
      <c r="CW808" s="37">
        <v>0</v>
      </c>
      <c r="CX808" s="37">
        <v>0</v>
      </c>
      <c r="CY808" s="37">
        <v>0</v>
      </c>
      <c r="CZ808" s="37">
        <v>0</v>
      </c>
      <c r="DA808" s="37">
        <v>0</v>
      </c>
      <c r="DB808" s="37">
        <v>0</v>
      </c>
      <c r="DC808" s="37">
        <v>0</v>
      </c>
      <c r="DD808" s="37">
        <v>0</v>
      </c>
      <c r="DE808" s="37">
        <v>0</v>
      </c>
      <c r="DF808" s="37">
        <v>0</v>
      </c>
      <c r="DG808" s="37">
        <v>0</v>
      </c>
      <c r="DH808" s="37">
        <v>0</v>
      </c>
      <c r="DI808" s="37">
        <v>0</v>
      </c>
      <c r="DJ808" s="37">
        <v>0</v>
      </c>
      <c r="DK808" s="37">
        <v>0</v>
      </c>
      <c r="DL808" s="37">
        <v>0</v>
      </c>
      <c r="DM808" s="37">
        <v>0</v>
      </c>
      <c r="DN808" s="37">
        <v>0</v>
      </c>
      <c r="DO808" s="37">
        <v>0</v>
      </c>
      <c r="DP808" s="37">
        <v>0</v>
      </c>
      <c r="DQ808" s="37">
        <v>0</v>
      </c>
      <c r="DR808" s="37">
        <v>0</v>
      </c>
      <c r="DS808" s="37">
        <v>0</v>
      </c>
      <c r="DT808" s="37">
        <v>0</v>
      </c>
      <c r="DU808" s="37">
        <v>0</v>
      </c>
      <c r="DV808" s="37">
        <v>0</v>
      </c>
      <c r="DW808" s="37">
        <v>0</v>
      </c>
      <c r="DX808" s="37">
        <v>0</v>
      </c>
      <c r="DY808" s="37">
        <v>0</v>
      </c>
      <c r="DZ808" s="37">
        <v>0</v>
      </c>
      <c r="EA808" s="37">
        <v>0</v>
      </c>
      <c r="EB808" s="37">
        <v>0</v>
      </c>
      <c r="EC808" s="37">
        <v>0</v>
      </c>
      <c r="ED808" s="37">
        <v>0</v>
      </c>
      <c r="EE808" s="37">
        <v>0</v>
      </c>
      <c r="EF808" s="37">
        <v>0</v>
      </c>
      <c r="EG808" s="37">
        <v>0</v>
      </c>
      <c r="EH808" s="37">
        <v>0</v>
      </c>
      <c r="EI808" s="37">
        <v>0</v>
      </c>
      <c r="EJ808" s="37">
        <v>0</v>
      </c>
      <c r="EK808" s="161" t="s">
        <v>3086</v>
      </c>
      <c r="EL808" s="294" t="s">
        <v>1124</v>
      </c>
    </row>
    <row r="809" spans="1:142" ht="15" customHeight="1" x14ac:dyDescent="0.35">
      <c r="A809" s="34"/>
      <c r="B809" s="313">
        <v>29073</v>
      </c>
      <c r="C809" s="8" t="s">
        <v>211</v>
      </c>
      <c r="D809" s="18">
        <v>12</v>
      </c>
      <c r="E809" s="155">
        <v>2141774</v>
      </c>
      <c r="F809" s="36">
        <v>1558375</v>
      </c>
      <c r="G809" s="37">
        <v>295514</v>
      </c>
      <c r="H809" s="37">
        <v>215019</v>
      </c>
      <c r="I809" s="37">
        <v>1101786</v>
      </c>
      <c r="J809" s="37">
        <v>402786</v>
      </c>
      <c r="K809" s="37">
        <v>0</v>
      </c>
      <c r="L809" s="37">
        <v>0</v>
      </c>
      <c r="M809" s="37">
        <v>3539074</v>
      </c>
      <c r="N809" s="37">
        <v>2176180</v>
      </c>
      <c r="O809" s="37">
        <v>244717</v>
      </c>
      <c r="P809" s="37">
        <v>160110</v>
      </c>
      <c r="Q809" s="37">
        <v>2442751</v>
      </c>
      <c r="R809" s="37">
        <v>1580906</v>
      </c>
      <c r="S809" s="37">
        <v>111854</v>
      </c>
      <c r="T809" s="37">
        <v>4948</v>
      </c>
      <c r="U809" s="37">
        <v>112433</v>
      </c>
      <c r="V809" s="37">
        <v>112434</v>
      </c>
      <c r="W809" s="37">
        <v>1071741</v>
      </c>
      <c r="X809" s="37">
        <v>421465</v>
      </c>
      <c r="Y809" s="37">
        <v>0</v>
      </c>
      <c r="Z809" s="37">
        <v>0</v>
      </c>
      <c r="AA809" s="37">
        <v>3983496</v>
      </c>
      <c r="AB809" s="37">
        <v>2279863</v>
      </c>
      <c r="AC809" s="37">
        <v>548105</v>
      </c>
      <c r="AD809" s="37">
        <v>0</v>
      </c>
      <c r="AE809" s="37">
        <v>0</v>
      </c>
      <c r="AF809" s="168">
        <v>0.02</v>
      </c>
      <c r="AG809" s="37">
        <v>277851781.10000002</v>
      </c>
      <c r="AH809" s="37">
        <v>5758281.4800000004</v>
      </c>
      <c r="AI809" s="37">
        <v>5529723.9199999999</v>
      </c>
      <c r="AJ809" s="37">
        <v>26698292.16</v>
      </c>
      <c r="AK809" s="37">
        <v>9660272.9700000007</v>
      </c>
      <c r="AL809" s="37">
        <v>4805347.45</v>
      </c>
      <c r="AM809" s="37">
        <v>4901454.4000000004</v>
      </c>
      <c r="AN809" s="37">
        <v>4999483.49</v>
      </c>
      <c r="AO809" s="37">
        <v>5099473.16</v>
      </c>
      <c r="AP809" s="37">
        <v>5201462.62</v>
      </c>
      <c r="AQ809" s="37">
        <v>5305491.87</v>
      </c>
      <c r="AR809" s="37">
        <v>77959283.520000011</v>
      </c>
      <c r="AS809" s="37">
        <v>47668319.509999998</v>
      </c>
      <c r="AT809" s="37">
        <v>86918.14</v>
      </c>
      <c r="AU809" s="37">
        <v>0</v>
      </c>
      <c r="AV809" s="37">
        <v>0</v>
      </c>
      <c r="AW809" s="37">
        <v>0</v>
      </c>
      <c r="AX809" s="37">
        <v>0</v>
      </c>
      <c r="AY809" s="37">
        <v>4307571.25</v>
      </c>
      <c r="AZ809" s="37">
        <v>4393722.68</v>
      </c>
      <c r="BA809" s="37">
        <v>0</v>
      </c>
      <c r="BB809" s="37">
        <v>0</v>
      </c>
      <c r="BC809" s="37">
        <v>0</v>
      </c>
      <c r="BD809" s="37">
        <v>8788212.0700000003</v>
      </c>
      <c r="BE809" s="37">
        <v>2480407</v>
      </c>
      <c r="BF809" s="37">
        <v>5943886</v>
      </c>
      <c r="BG809" s="37">
        <v>4514867</v>
      </c>
      <c r="BH809" s="37">
        <v>21558387</v>
      </c>
      <c r="BI809" s="37">
        <v>0</v>
      </c>
      <c r="BJ809" s="37">
        <v>0</v>
      </c>
      <c r="BK809" s="37">
        <v>0</v>
      </c>
      <c r="BL809" s="37">
        <v>0</v>
      </c>
      <c r="BM809" s="37">
        <v>0</v>
      </c>
      <c r="BN809" s="37">
        <v>0</v>
      </c>
      <c r="BO809" s="37">
        <v>0</v>
      </c>
      <c r="BP809" s="37">
        <v>32017140</v>
      </c>
      <c r="BQ809" s="37">
        <v>-426145</v>
      </c>
      <c r="BR809" s="37">
        <v>1703549</v>
      </c>
      <c r="BS809" s="37">
        <v>633333</v>
      </c>
      <c r="BT809" s="37">
        <v>4633333</v>
      </c>
      <c r="BU809" s="37">
        <v>0</v>
      </c>
      <c r="BV809" s="37">
        <v>0</v>
      </c>
      <c r="BW809" s="37">
        <v>0</v>
      </c>
      <c r="BX809" s="37">
        <v>0</v>
      </c>
      <c r="BY809" s="37">
        <v>0</v>
      </c>
      <c r="BZ809" s="37">
        <v>0</v>
      </c>
      <c r="CA809" s="37">
        <v>0</v>
      </c>
      <c r="CB809" s="37">
        <v>6970215</v>
      </c>
      <c r="CC809" s="37">
        <v>1780526</v>
      </c>
      <c r="CD809" s="37">
        <v>937489</v>
      </c>
      <c r="CE809" s="37">
        <v>1026800</v>
      </c>
      <c r="CF809" s="37">
        <v>1026680</v>
      </c>
      <c r="CG809" s="37">
        <v>0</v>
      </c>
      <c r="CH809" s="37">
        <v>0</v>
      </c>
      <c r="CI809" s="37">
        <v>0</v>
      </c>
      <c r="CJ809" s="37">
        <v>0</v>
      </c>
      <c r="CK809" s="37">
        <v>0</v>
      </c>
      <c r="CL809" s="37">
        <v>0</v>
      </c>
      <c r="CM809" s="37">
        <v>0</v>
      </c>
      <c r="CN809" s="37">
        <v>2990969</v>
      </c>
      <c r="CO809" s="37">
        <v>0</v>
      </c>
      <c r="CP809" s="37">
        <v>0</v>
      </c>
      <c r="CQ809" s="37">
        <v>0</v>
      </c>
      <c r="CR809" s="37">
        <v>0</v>
      </c>
      <c r="CS809" s="37">
        <v>0</v>
      </c>
      <c r="CT809" s="37">
        <v>0</v>
      </c>
      <c r="CU809" s="37">
        <v>0</v>
      </c>
      <c r="CV809" s="37">
        <v>0</v>
      </c>
      <c r="CW809" s="37">
        <v>0</v>
      </c>
      <c r="CX809" s="37">
        <v>0</v>
      </c>
      <c r="CY809" s="37">
        <v>0</v>
      </c>
      <c r="CZ809" s="37">
        <v>0</v>
      </c>
      <c r="DA809" s="37">
        <v>0</v>
      </c>
      <c r="DB809" s="37">
        <v>333333</v>
      </c>
      <c r="DC809" s="37">
        <v>333333</v>
      </c>
      <c r="DD809" s="37">
        <v>333333</v>
      </c>
      <c r="DE809" s="37">
        <v>0</v>
      </c>
      <c r="DF809" s="37">
        <v>0</v>
      </c>
      <c r="DG809" s="37">
        <v>0</v>
      </c>
      <c r="DH809" s="37">
        <v>0</v>
      </c>
      <c r="DI809" s="37">
        <v>0</v>
      </c>
      <c r="DJ809" s="37">
        <v>0</v>
      </c>
      <c r="DK809" s="37">
        <v>0</v>
      </c>
      <c r="DL809" s="37">
        <v>999999</v>
      </c>
      <c r="DM809" s="37">
        <v>0</v>
      </c>
      <c r="DN809" s="37">
        <v>566667</v>
      </c>
      <c r="DO809" s="37">
        <v>333333</v>
      </c>
      <c r="DP809" s="37">
        <v>483333</v>
      </c>
      <c r="DQ809" s="37">
        <v>0</v>
      </c>
      <c r="DR809" s="37">
        <v>0</v>
      </c>
      <c r="DS809" s="37">
        <v>0</v>
      </c>
      <c r="DT809" s="37">
        <v>0</v>
      </c>
      <c r="DU809" s="37">
        <v>0</v>
      </c>
      <c r="DV809" s="37">
        <v>0</v>
      </c>
      <c r="DW809" s="37">
        <v>0</v>
      </c>
      <c r="DX809" s="37">
        <v>1383333</v>
      </c>
      <c r="DY809" s="37">
        <v>391872</v>
      </c>
      <c r="DZ809" s="37">
        <v>3333333</v>
      </c>
      <c r="EA809" s="37">
        <v>3333334</v>
      </c>
      <c r="EB809" s="37">
        <v>3333334</v>
      </c>
      <c r="EC809" s="37">
        <v>0</v>
      </c>
      <c r="ED809" s="37">
        <v>0</v>
      </c>
      <c r="EE809" s="37">
        <v>0</v>
      </c>
      <c r="EF809" s="37">
        <v>0</v>
      </c>
      <c r="EG809" s="37">
        <v>0</v>
      </c>
      <c r="EH809" s="37">
        <v>0</v>
      </c>
      <c r="EI809" s="37">
        <v>0</v>
      </c>
      <c r="EJ809" s="37">
        <v>10000001</v>
      </c>
      <c r="EK809" s="161" t="s">
        <v>3090</v>
      </c>
      <c r="EL809" s="294" t="s">
        <v>1124</v>
      </c>
    </row>
    <row r="810" spans="1:142" ht="15" customHeight="1" x14ac:dyDescent="0.35">
      <c r="A810" s="34"/>
      <c r="B810" s="313">
        <v>56010</v>
      </c>
      <c r="C810" s="8" t="s">
        <v>568</v>
      </c>
      <c r="D810" s="18">
        <v>16</v>
      </c>
      <c r="E810" s="155"/>
      <c r="F810" s="36"/>
      <c r="G810" s="37"/>
      <c r="H810" s="37"/>
      <c r="I810" s="37"/>
      <c r="J810" s="37"/>
      <c r="K810" s="37"/>
      <c r="L810" s="37"/>
      <c r="M810" s="37" t="s">
        <v>1124</v>
      </c>
      <c r="N810" s="37" t="s">
        <v>1124</v>
      </c>
      <c r="O810" s="37"/>
      <c r="P810" s="37"/>
      <c r="Q810" s="37"/>
      <c r="R810" s="37"/>
      <c r="S810" s="37"/>
      <c r="T810" s="37"/>
      <c r="U810" s="37"/>
      <c r="V810" s="37"/>
      <c r="W810" s="37"/>
      <c r="X810" s="37"/>
      <c r="Y810" s="37"/>
      <c r="Z810" s="37"/>
      <c r="AA810" s="37" t="s">
        <v>1124</v>
      </c>
      <c r="AB810" s="37" t="s">
        <v>1124</v>
      </c>
      <c r="AC810" s="37"/>
      <c r="AD810" s="37"/>
      <c r="AE810" s="37"/>
      <c r="AF810" s="168"/>
      <c r="AG810" s="37"/>
      <c r="AH810" s="37"/>
      <c r="AI810" s="37"/>
      <c r="AJ810" s="37"/>
      <c r="AK810" s="37"/>
      <c r="AL810" s="37"/>
      <c r="AM810" s="37"/>
      <c r="AN810" s="37"/>
      <c r="AO810" s="37"/>
      <c r="AP810" s="37"/>
      <c r="AQ810" s="37"/>
      <c r="AR810" s="37" t="s">
        <v>1124</v>
      </c>
      <c r="AS810" s="37"/>
      <c r="AT810" s="37"/>
      <c r="AU810" s="37"/>
      <c r="AV810" s="37"/>
      <c r="AW810" s="37"/>
      <c r="AX810" s="37"/>
      <c r="AY810" s="37"/>
      <c r="AZ810" s="37"/>
      <c r="BA810" s="37"/>
      <c r="BB810" s="37"/>
      <c r="BC810" s="37"/>
      <c r="BD810" s="37" t="s">
        <v>1124</v>
      </c>
      <c r="BE810" s="37"/>
      <c r="BF810" s="37"/>
      <c r="BG810" s="37"/>
      <c r="BH810" s="37"/>
      <c r="BI810" s="37"/>
      <c r="BJ810" s="37"/>
      <c r="BK810" s="37"/>
      <c r="BL810" s="37"/>
      <c r="BM810" s="37"/>
      <c r="BN810" s="37"/>
      <c r="BO810" s="37"/>
      <c r="BP810" s="37">
        <v>0</v>
      </c>
      <c r="BQ810" s="37"/>
      <c r="BR810" s="37"/>
      <c r="BS810" s="37"/>
      <c r="BT810" s="37"/>
      <c r="BU810" s="37"/>
      <c r="BV810" s="37"/>
      <c r="BW810" s="37"/>
      <c r="BX810" s="37"/>
      <c r="BY810" s="37"/>
      <c r="BZ810" s="37"/>
      <c r="CA810" s="37"/>
      <c r="CB810" s="37" t="s">
        <v>1124</v>
      </c>
      <c r="CC810" s="37"/>
      <c r="CD810" s="37"/>
      <c r="CE810" s="37"/>
      <c r="CF810" s="37"/>
      <c r="CG810" s="37"/>
      <c r="CH810" s="37"/>
      <c r="CI810" s="37"/>
      <c r="CJ810" s="37"/>
      <c r="CK810" s="37"/>
      <c r="CL810" s="37"/>
      <c r="CM810" s="37"/>
      <c r="CN810" s="37" t="s">
        <v>1124</v>
      </c>
      <c r="CO810" s="37"/>
      <c r="CP810" s="37"/>
      <c r="CQ810" s="37"/>
      <c r="CR810" s="37"/>
      <c r="CS810" s="37"/>
      <c r="CT810" s="37"/>
      <c r="CU810" s="37"/>
      <c r="CV810" s="37"/>
      <c r="CW810" s="37"/>
      <c r="CX810" s="37"/>
      <c r="CY810" s="37"/>
      <c r="CZ810" s="37" t="s">
        <v>1124</v>
      </c>
      <c r="DA810" s="37"/>
      <c r="DB810" s="37"/>
      <c r="DC810" s="37"/>
      <c r="DD810" s="37"/>
      <c r="DE810" s="37"/>
      <c r="DF810" s="37"/>
      <c r="DG810" s="37"/>
      <c r="DH810" s="37"/>
      <c r="DI810" s="37"/>
      <c r="DJ810" s="37"/>
      <c r="DK810" s="37"/>
      <c r="DL810" s="37" t="s">
        <v>1124</v>
      </c>
      <c r="DM810" s="37"/>
      <c r="DN810" s="37"/>
      <c r="DO810" s="37"/>
      <c r="DP810" s="37"/>
      <c r="DQ810" s="37"/>
      <c r="DR810" s="37"/>
      <c r="DS810" s="37"/>
      <c r="DT810" s="37"/>
      <c r="DU810" s="37"/>
      <c r="DV810" s="37"/>
      <c r="DW810" s="37"/>
      <c r="DX810" s="37" t="s">
        <v>1124</v>
      </c>
      <c r="DY810" s="37"/>
      <c r="DZ810" s="37"/>
      <c r="EA810" s="37"/>
      <c r="EB810" s="37"/>
      <c r="EC810" s="37"/>
      <c r="ED810" s="37"/>
      <c r="EE810" s="37"/>
      <c r="EF810" s="37"/>
      <c r="EG810" s="37"/>
      <c r="EH810" s="37"/>
      <c r="EI810" s="37"/>
      <c r="EJ810" s="37" t="s">
        <v>1124</v>
      </c>
      <c r="EK810" s="161"/>
      <c r="EL810" s="294"/>
    </row>
    <row r="811" spans="1:142" ht="15" customHeight="1" x14ac:dyDescent="0.35">
      <c r="A811" s="34"/>
      <c r="B811" s="313">
        <v>40032</v>
      </c>
      <c r="C811" s="8" t="s">
        <v>362</v>
      </c>
      <c r="D811" s="18">
        <v>5</v>
      </c>
      <c r="E811" s="155"/>
      <c r="F811" s="36"/>
      <c r="G811" s="37"/>
      <c r="H811" s="37"/>
      <c r="I811" s="37"/>
      <c r="J811" s="37"/>
      <c r="K811" s="37"/>
      <c r="L811" s="37"/>
      <c r="M811" s="37" t="s">
        <v>1124</v>
      </c>
      <c r="N811" s="37" t="s">
        <v>1124</v>
      </c>
      <c r="O811" s="37"/>
      <c r="P811" s="37"/>
      <c r="Q811" s="37"/>
      <c r="R811" s="37"/>
      <c r="S811" s="37"/>
      <c r="T811" s="37"/>
      <c r="U811" s="37"/>
      <c r="V811" s="37"/>
      <c r="W811" s="37"/>
      <c r="X811" s="37"/>
      <c r="Y811" s="37"/>
      <c r="Z811" s="37"/>
      <c r="AA811" s="37" t="s">
        <v>1124</v>
      </c>
      <c r="AB811" s="37" t="s">
        <v>1124</v>
      </c>
      <c r="AC811" s="37"/>
      <c r="AD811" s="37"/>
      <c r="AE811" s="37"/>
      <c r="AF811" s="168"/>
      <c r="AG811" s="37"/>
      <c r="AH811" s="37"/>
      <c r="AI811" s="37"/>
      <c r="AJ811" s="37"/>
      <c r="AK811" s="37"/>
      <c r="AL811" s="37"/>
      <c r="AM811" s="37"/>
      <c r="AN811" s="37"/>
      <c r="AO811" s="37"/>
      <c r="AP811" s="37"/>
      <c r="AQ811" s="37"/>
      <c r="AR811" s="37" t="s">
        <v>1124</v>
      </c>
      <c r="AS811" s="37"/>
      <c r="AT811" s="37"/>
      <c r="AU811" s="37"/>
      <c r="AV811" s="37"/>
      <c r="AW811" s="37"/>
      <c r="AX811" s="37"/>
      <c r="AY811" s="37"/>
      <c r="AZ811" s="37"/>
      <c r="BA811" s="37"/>
      <c r="BB811" s="37"/>
      <c r="BC811" s="37"/>
      <c r="BD811" s="37" t="s">
        <v>1124</v>
      </c>
      <c r="BE811" s="37"/>
      <c r="BF811" s="37"/>
      <c r="BG811" s="37"/>
      <c r="BH811" s="37"/>
      <c r="BI811" s="37"/>
      <c r="BJ811" s="37"/>
      <c r="BK811" s="37"/>
      <c r="BL811" s="37"/>
      <c r="BM811" s="37"/>
      <c r="BN811" s="37"/>
      <c r="BO811" s="37"/>
      <c r="BP811" s="37">
        <v>0</v>
      </c>
      <c r="BQ811" s="37"/>
      <c r="BR811" s="37"/>
      <c r="BS811" s="37"/>
      <c r="BT811" s="37"/>
      <c r="BU811" s="37"/>
      <c r="BV811" s="37"/>
      <c r="BW811" s="37"/>
      <c r="BX811" s="37"/>
      <c r="BY811" s="37"/>
      <c r="BZ811" s="37"/>
      <c r="CA811" s="37"/>
      <c r="CB811" s="37" t="s">
        <v>1124</v>
      </c>
      <c r="CC811" s="37"/>
      <c r="CD811" s="37"/>
      <c r="CE811" s="37"/>
      <c r="CF811" s="37"/>
      <c r="CG811" s="37"/>
      <c r="CH811" s="37"/>
      <c r="CI811" s="37"/>
      <c r="CJ811" s="37"/>
      <c r="CK811" s="37"/>
      <c r="CL811" s="37"/>
      <c r="CM811" s="37"/>
      <c r="CN811" s="37" t="s">
        <v>1124</v>
      </c>
      <c r="CO811" s="37"/>
      <c r="CP811" s="37"/>
      <c r="CQ811" s="37"/>
      <c r="CR811" s="37"/>
      <c r="CS811" s="37"/>
      <c r="CT811" s="37"/>
      <c r="CU811" s="37"/>
      <c r="CV811" s="37"/>
      <c r="CW811" s="37"/>
      <c r="CX811" s="37"/>
      <c r="CY811" s="37"/>
      <c r="CZ811" s="37" t="s">
        <v>1124</v>
      </c>
      <c r="DA811" s="37"/>
      <c r="DB811" s="37"/>
      <c r="DC811" s="37"/>
      <c r="DD811" s="37"/>
      <c r="DE811" s="37"/>
      <c r="DF811" s="37"/>
      <c r="DG811" s="37"/>
      <c r="DH811" s="37"/>
      <c r="DI811" s="37"/>
      <c r="DJ811" s="37"/>
      <c r="DK811" s="37"/>
      <c r="DL811" s="37" t="s">
        <v>1124</v>
      </c>
      <c r="DM811" s="37"/>
      <c r="DN811" s="37"/>
      <c r="DO811" s="37"/>
      <c r="DP811" s="37"/>
      <c r="DQ811" s="37"/>
      <c r="DR811" s="37"/>
      <c r="DS811" s="37"/>
      <c r="DT811" s="37"/>
      <c r="DU811" s="37"/>
      <c r="DV811" s="37"/>
      <c r="DW811" s="37"/>
      <c r="DX811" s="37" t="s">
        <v>1124</v>
      </c>
      <c r="DY811" s="37"/>
      <c r="DZ811" s="37"/>
      <c r="EA811" s="37"/>
      <c r="EB811" s="37"/>
      <c r="EC811" s="37"/>
      <c r="ED811" s="37"/>
      <c r="EE811" s="37"/>
      <c r="EF811" s="37"/>
      <c r="EG811" s="37"/>
      <c r="EH811" s="37"/>
      <c r="EI811" s="37"/>
      <c r="EJ811" s="37" t="s">
        <v>1124</v>
      </c>
      <c r="EK811" s="161"/>
      <c r="EL811" s="294"/>
    </row>
    <row r="812" spans="1:142" ht="15" customHeight="1" x14ac:dyDescent="0.35">
      <c r="A812" s="34"/>
      <c r="B812" s="313">
        <v>53085</v>
      </c>
      <c r="C812" s="8" t="s">
        <v>541</v>
      </c>
      <c r="D812" s="18">
        <v>16</v>
      </c>
      <c r="E812" s="155"/>
      <c r="F812" s="36"/>
      <c r="G812" s="37"/>
      <c r="H812" s="37"/>
      <c r="I812" s="37"/>
      <c r="J812" s="37"/>
      <c r="K812" s="37"/>
      <c r="L812" s="37"/>
      <c r="M812" s="37" t="s">
        <v>1124</v>
      </c>
      <c r="N812" s="37" t="s">
        <v>1124</v>
      </c>
      <c r="O812" s="37"/>
      <c r="P812" s="37"/>
      <c r="Q812" s="37"/>
      <c r="R812" s="37"/>
      <c r="S812" s="37"/>
      <c r="T812" s="37"/>
      <c r="U812" s="37"/>
      <c r="V812" s="37"/>
      <c r="W812" s="37"/>
      <c r="X812" s="37"/>
      <c r="Y812" s="37"/>
      <c r="Z812" s="37"/>
      <c r="AA812" s="37" t="s">
        <v>1124</v>
      </c>
      <c r="AB812" s="37" t="s">
        <v>1124</v>
      </c>
      <c r="AC812" s="37"/>
      <c r="AD812" s="37"/>
      <c r="AE812" s="37"/>
      <c r="AF812" s="168"/>
      <c r="AG812" s="37"/>
      <c r="AH812" s="37"/>
      <c r="AI812" s="37"/>
      <c r="AJ812" s="37"/>
      <c r="AK812" s="37"/>
      <c r="AL812" s="37"/>
      <c r="AM812" s="37"/>
      <c r="AN812" s="37"/>
      <c r="AO812" s="37"/>
      <c r="AP812" s="37"/>
      <c r="AQ812" s="37"/>
      <c r="AR812" s="37" t="s">
        <v>1124</v>
      </c>
      <c r="AS812" s="37"/>
      <c r="AT812" s="37"/>
      <c r="AU812" s="37"/>
      <c r="AV812" s="37"/>
      <c r="AW812" s="37"/>
      <c r="AX812" s="37"/>
      <c r="AY812" s="37"/>
      <c r="AZ812" s="37"/>
      <c r="BA812" s="37"/>
      <c r="BB812" s="37"/>
      <c r="BC812" s="37"/>
      <c r="BD812" s="37" t="s">
        <v>1124</v>
      </c>
      <c r="BE812" s="37"/>
      <c r="BF812" s="37"/>
      <c r="BG812" s="37"/>
      <c r="BH812" s="37"/>
      <c r="BI812" s="37"/>
      <c r="BJ812" s="37"/>
      <c r="BK812" s="37"/>
      <c r="BL812" s="37"/>
      <c r="BM812" s="37"/>
      <c r="BN812" s="37"/>
      <c r="BO812" s="37"/>
      <c r="BP812" s="37">
        <v>0</v>
      </c>
      <c r="BQ812" s="37"/>
      <c r="BR812" s="37"/>
      <c r="BS812" s="37"/>
      <c r="BT812" s="37"/>
      <c r="BU812" s="37"/>
      <c r="BV812" s="37"/>
      <c r="BW812" s="37"/>
      <c r="BX812" s="37"/>
      <c r="BY812" s="37"/>
      <c r="BZ812" s="37"/>
      <c r="CA812" s="37"/>
      <c r="CB812" s="37" t="s">
        <v>1124</v>
      </c>
      <c r="CC812" s="37"/>
      <c r="CD812" s="37"/>
      <c r="CE812" s="37"/>
      <c r="CF812" s="37"/>
      <c r="CG812" s="37"/>
      <c r="CH812" s="37"/>
      <c r="CI812" s="37"/>
      <c r="CJ812" s="37"/>
      <c r="CK812" s="37"/>
      <c r="CL812" s="37"/>
      <c r="CM812" s="37"/>
      <c r="CN812" s="37" t="s">
        <v>1124</v>
      </c>
      <c r="CO812" s="37"/>
      <c r="CP812" s="37"/>
      <c r="CQ812" s="37"/>
      <c r="CR812" s="37"/>
      <c r="CS812" s="37"/>
      <c r="CT812" s="37"/>
      <c r="CU812" s="37"/>
      <c r="CV812" s="37"/>
      <c r="CW812" s="37"/>
      <c r="CX812" s="37"/>
      <c r="CY812" s="37"/>
      <c r="CZ812" s="37" t="s">
        <v>1124</v>
      </c>
      <c r="DA812" s="37"/>
      <c r="DB812" s="37"/>
      <c r="DC812" s="37"/>
      <c r="DD812" s="37"/>
      <c r="DE812" s="37"/>
      <c r="DF812" s="37"/>
      <c r="DG812" s="37"/>
      <c r="DH812" s="37"/>
      <c r="DI812" s="37"/>
      <c r="DJ812" s="37"/>
      <c r="DK812" s="37"/>
      <c r="DL812" s="37" t="s">
        <v>1124</v>
      </c>
      <c r="DM812" s="37"/>
      <c r="DN812" s="37"/>
      <c r="DO812" s="37"/>
      <c r="DP812" s="37"/>
      <c r="DQ812" s="37"/>
      <c r="DR812" s="37"/>
      <c r="DS812" s="37"/>
      <c r="DT812" s="37"/>
      <c r="DU812" s="37"/>
      <c r="DV812" s="37"/>
      <c r="DW812" s="37"/>
      <c r="DX812" s="37" t="s">
        <v>1124</v>
      </c>
      <c r="DY812" s="37"/>
      <c r="DZ812" s="37"/>
      <c r="EA812" s="37"/>
      <c r="EB812" s="37"/>
      <c r="EC812" s="37"/>
      <c r="ED812" s="37"/>
      <c r="EE812" s="37"/>
      <c r="EF812" s="37"/>
      <c r="EG812" s="37"/>
      <c r="EH812" s="37"/>
      <c r="EI812" s="37"/>
      <c r="EJ812" s="37" t="s">
        <v>1124</v>
      </c>
      <c r="EK812" s="161"/>
      <c r="EL812" s="294"/>
    </row>
    <row r="813" spans="1:142" ht="15" customHeight="1" x14ac:dyDescent="0.35">
      <c r="A813" s="34"/>
      <c r="B813" s="313">
        <v>14045</v>
      </c>
      <c r="C813" s="8" t="s">
        <v>67</v>
      </c>
      <c r="D813" s="18">
        <v>1</v>
      </c>
      <c r="E813" s="155"/>
      <c r="F813" s="36"/>
      <c r="G813" s="37"/>
      <c r="H813" s="37"/>
      <c r="I813" s="37"/>
      <c r="J813" s="37"/>
      <c r="K813" s="37"/>
      <c r="L813" s="37"/>
      <c r="M813" s="37" t="s">
        <v>1124</v>
      </c>
      <c r="N813" s="37" t="s">
        <v>1124</v>
      </c>
      <c r="O813" s="37"/>
      <c r="P813" s="37"/>
      <c r="Q813" s="37"/>
      <c r="R813" s="37"/>
      <c r="S813" s="37"/>
      <c r="T813" s="37"/>
      <c r="U813" s="37"/>
      <c r="V813" s="37"/>
      <c r="W813" s="37"/>
      <c r="X813" s="37"/>
      <c r="Y813" s="37"/>
      <c r="Z813" s="37"/>
      <c r="AA813" s="37" t="s">
        <v>1124</v>
      </c>
      <c r="AB813" s="37" t="s">
        <v>1124</v>
      </c>
      <c r="AC813" s="37"/>
      <c r="AD813" s="37"/>
      <c r="AE813" s="37"/>
      <c r="AF813" s="168"/>
      <c r="AG813" s="37"/>
      <c r="AH813" s="37"/>
      <c r="AI813" s="37"/>
      <c r="AJ813" s="37"/>
      <c r="AK813" s="37"/>
      <c r="AL813" s="37"/>
      <c r="AM813" s="37"/>
      <c r="AN813" s="37"/>
      <c r="AO813" s="37"/>
      <c r="AP813" s="37"/>
      <c r="AQ813" s="37"/>
      <c r="AR813" s="37" t="s">
        <v>1124</v>
      </c>
      <c r="AS813" s="37"/>
      <c r="AT813" s="37"/>
      <c r="AU813" s="37"/>
      <c r="AV813" s="37"/>
      <c r="AW813" s="37"/>
      <c r="AX813" s="37"/>
      <c r="AY813" s="37"/>
      <c r="AZ813" s="37"/>
      <c r="BA813" s="37"/>
      <c r="BB813" s="37"/>
      <c r="BC813" s="37"/>
      <c r="BD813" s="37" t="s">
        <v>1124</v>
      </c>
      <c r="BE813" s="37"/>
      <c r="BF813" s="37"/>
      <c r="BG813" s="37"/>
      <c r="BH813" s="37"/>
      <c r="BI813" s="37"/>
      <c r="BJ813" s="37"/>
      <c r="BK813" s="37"/>
      <c r="BL813" s="37"/>
      <c r="BM813" s="37"/>
      <c r="BN813" s="37"/>
      <c r="BO813" s="37"/>
      <c r="BP813" s="37">
        <v>0</v>
      </c>
      <c r="BQ813" s="37"/>
      <c r="BR813" s="37"/>
      <c r="BS813" s="37"/>
      <c r="BT813" s="37"/>
      <c r="BU813" s="37"/>
      <c r="BV813" s="37"/>
      <c r="BW813" s="37"/>
      <c r="BX813" s="37"/>
      <c r="BY813" s="37"/>
      <c r="BZ813" s="37"/>
      <c r="CA813" s="37"/>
      <c r="CB813" s="37" t="s">
        <v>1124</v>
      </c>
      <c r="CC813" s="37"/>
      <c r="CD813" s="37"/>
      <c r="CE813" s="37"/>
      <c r="CF813" s="37"/>
      <c r="CG813" s="37"/>
      <c r="CH813" s="37"/>
      <c r="CI813" s="37"/>
      <c r="CJ813" s="37"/>
      <c r="CK813" s="37"/>
      <c r="CL813" s="37"/>
      <c r="CM813" s="37"/>
      <c r="CN813" s="37" t="s">
        <v>1124</v>
      </c>
      <c r="CO813" s="37"/>
      <c r="CP813" s="37"/>
      <c r="CQ813" s="37"/>
      <c r="CR813" s="37"/>
      <c r="CS813" s="37"/>
      <c r="CT813" s="37"/>
      <c r="CU813" s="37"/>
      <c r="CV813" s="37"/>
      <c r="CW813" s="37"/>
      <c r="CX813" s="37"/>
      <c r="CY813" s="37"/>
      <c r="CZ813" s="37" t="s">
        <v>1124</v>
      </c>
      <c r="DA813" s="37"/>
      <c r="DB813" s="37"/>
      <c r="DC813" s="37"/>
      <c r="DD813" s="37"/>
      <c r="DE813" s="37"/>
      <c r="DF813" s="37"/>
      <c r="DG813" s="37"/>
      <c r="DH813" s="37"/>
      <c r="DI813" s="37"/>
      <c r="DJ813" s="37"/>
      <c r="DK813" s="37"/>
      <c r="DL813" s="37" t="s">
        <v>1124</v>
      </c>
      <c r="DM813" s="37"/>
      <c r="DN813" s="37"/>
      <c r="DO813" s="37"/>
      <c r="DP813" s="37"/>
      <c r="DQ813" s="37"/>
      <c r="DR813" s="37"/>
      <c r="DS813" s="37"/>
      <c r="DT813" s="37"/>
      <c r="DU813" s="37"/>
      <c r="DV813" s="37"/>
      <c r="DW813" s="37"/>
      <c r="DX813" s="37" t="s">
        <v>1124</v>
      </c>
      <c r="DY813" s="37"/>
      <c r="DZ813" s="37"/>
      <c r="EA813" s="37"/>
      <c r="EB813" s="37"/>
      <c r="EC813" s="37"/>
      <c r="ED813" s="37"/>
      <c r="EE813" s="37"/>
      <c r="EF813" s="37"/>
      <c r="EG813" s="37"/>
      <c r="EH813" s="37"/>
      <c r="EI813" s="37"/>
      <c r="EJ813" s="37" t="s">
        <v>1124</v>
      </c>
      <c r="EK813" s="161"/>
      <c r="EL813" s="294"/>
    </row>
    <row r="814" spans="1:142" ht="15" customHeight="1" x14ac:dyDescent="0.35">
      <c r="A814" s="34"/>
      <c r="B814" s="313">
        <v>49048</v>
      </c>
      <c r="C814" s="8" t="s">
        <v>470</v>
      </c>
      <c r="D814" s="18">
        <v>17</v>
      </c>
      <c r="E814" s="155">
        <v>382561</v>
      </c>
      <c r="F814" s="36">
        <v>172688</v>
      </c>
      <c r="G814" s="37">
        <v>250152</v>
      </c>
      <c r="H814" s="37">
        <v>99947</v>
      </c>
      <c r="I814" s="37">
        <v>380538</v>
      </c>
      <c r="J814" s="37">
        <v>108988</v>
      </c>
      <c r="K814" s="37">
        <v>57384.15</v>
      </c>
      <c r="L814" s="37">
        <v>25903.200000000001</v>
      </c>
      <c r="M814" s="37">
        <v>1070635.1499999999</v>
      </c>
      <c r="N814" s="37">
        <v>407526.2</v>
      </c>
      <c r="O814" s="37">
        <v>386257</v>
      </c>
      <c r="P814" s="37">
        <v>0</v>
      </c>
      <c r="Q814" s="37">
        <v>752761</v>
      </c>
      <c r="R814" s="37">
        <v>318765</v>
      </c>
      <c r="S814" s="37">
        <v>15585</v>
      </c>
      <c r="T814" s="37">
        <v>48054</v>
      </c>
      <c r="U814" s="37">
        <v>81744</v>
      </c>
      <c r="V814" s="37">
        <v>49129</v>
      </c>
      <c r="W814" s="37">
        <v>5615</v>
      </c>
      <c r="X814" s="37">
        <v>0</v>
      </c>
      <c r="Y814" s="37">
        <v>0</v>
      </c>
      <c r="Z814" s="37">
        <v>0</v>
      </c>
      <c r="AA814" s="37">
        <v>1241962</v>
      </c>
      <c r="AB814" s="37">
        <v>415948</v>
      </c>
      <c r="AC814" s="37">
        <v>179748.65000000014</v>
      </c>
      <c r="AD814" s="37">
        <v>0</v>
      </c>
      <c r="AE814" s="37">
        <v>0</v>
      </c>
      <c r="AF814" s="168">
        <v>0.02</v>
      </c>
      <c r="AG814" s="37">
        <v>63861106.75</v>
      </c>
      <c r="AH814" s="37">
        <v>623868.84</v>
      </c>
      <c r="AI814" s="37">
        <v>572939.04</v>
      </c>
      <c r="AJ814" s="37">
        <v>565455.26</v>
      </c>
      <c r="AK814" s="37">
        <v>576764.36</v>
      </c>
      <c r="AL814" s="37">
        <v>588299.65</v>
      </c>
      <c r="AM814" s="37">
        <v>600065.64</v>
      </c>
      <c r="AN814" s="37">
        <v>612066.96</v>
      </c>
      <c r="AO814" s="37">
        <v>624308.30000000005</v>
      </c>
      <c r="AP814" s="37">
        <v>636794.46</v>
      </c>
      <c r="AQ814" s="37">
        <v>649530.35</v>
      </c>
      <c r="AR814" s="37">
        <v>6050092.8600000003</v>
      </c>
      <c r="AS814" s="37">
        <v>934644.76</v>
      </c>
      <c r="AT814" s="37">
        <v>0</v>
      </c>
      <c r="AU814" s="37">
        <v>0</v>
      </c>
      <c r="AV814" s="37">
        <v>0</v>
      </c>
      <c r="AW814" s="37">
        <v>0</v>
      </c>
      <c r="AX814" s="37">
        <v>0</v>
      </c>
      <c r="AY814" s="37">
        <v>0</v>
      </c>
      <c r="AZ814" s="37">
        <v>0</v>
      </c>
      <c r="BA814" s="37">
        <v>0</v>
      </c>
      <c r="BB814" s="37">
        <v>0</v>
      </c>
      <c r="BC814" s="37">
        <v>0</v>
      </c>
      <c r="BD814" s="37">
        <v>0</v>
      </c>
      <c r="BE814" s="37">
        <v>0</v>
      </c>
      <c r="BF814" s="37">
        <v>0</v>
      </c>
      <c r="BG814" s="37">
        <v>0</v>
      </c>
      <c r="BH814" s="37">
        <v>0</v>
      </c>
      <c r="BI814" s="37">
        <v>0</v>
      </c>
      <c r="BJ814" s="37">
        <v>0</v>
      </c>
      <c r="BK814" s="37">
        <v>0</v>
      </c>
      <c r="BL814" s="37">
        <v>0</v>
      </c>
      <c r="BM814" s="37">
        <v>0</v>
      </c>
      <c r="BN814" s="37">
        <v>0</v>
      </c>
      <c r="BO814" s="37">
        <v>0</v>
      </c>
      <c r="BP814" s="37">
        <v>0</v>
      </c>
      <c r="BQ814" s="37">
        <v>0</v>
      </c>
      <c r="BR814" s="37">
        <v>0</v>
      </c>
      <c r="BS814" s="37">
        <v>0</v>
      </c>
      <c r="BT814" s="37">
        <v>0</v>
      </c>
      <c r="BU814" s="37">
        <v>0</v>
      </c>
      <c r="BV814" s="37">
        <v>0</v>
      </c>
      <c r="BW814" s="37">
        <v>0</v>
      </c>
      <c r="BX814" s="37">
        <v>0</v>
      </c>
      <c r="BY814" s="37">
        <v>0</v>
      </c>
      <c r="BZ814" s="37">
        <v>0</v>
      </c>
      <c r="CA814" s="37">
        <v>0</v>
      </c>
      <c r="CB814" s="37">
        <v>0</v>
      </c>
      <c r="CC814" s="37">
        <v>0</v>
      </c>
      <c r="CD814" s="37">
        <v>74970</v>
      </c>
      <c r="CE814" s="37">
        <v>0</v>
      </c>
      <c r="CF814" s="37">
        <v>0</v>
      </c>
      <c r="CG814" s="37">
        <v>0</v>
      </c>
      <c r="CH814" s="37">
        <v>0</v>
      </c>
      <c r="CI814" s="37">
        <v>0</v>
      </c>
      <c r="CJ814" s="37">
        <v>0</v>
      </c>
      <c r="CK814" s="37">
        <v>0</v>
      </c>
      <c r="CL814" s="37">
        <v>0</v>
      </c>
      <c r="CM814" s="37">
        <v>0</v>
      </c>
      <c r="CN814" s="37">
        <v>74970</v>
      </c>
      <c r="CO814" s="37">
        <v>0</v>
      </c>
      <c r="CP814" s="37">
        <v>0</v>
      </c>
      <c r="CQ814" s="37">
        <v>0</v>
      </c>
      <c r="CR814" s="37">
        <v>0</v>
      </c>
      <c r="CS814" s="37">
        <v>0</v>
      </c>
      <c r="CT814" s="37">
        <v>0</v>
      </c>
      <c r="CU814" s="37">
        <v>0</v>
      </c>
      <c r="CV814" s="37">
        <v>0</v>
      </c>
      <c r="CW814" s="37">
        <v>0</v>
      </c>
      <c r="CX814" s="37">
        <v>0</v>
      </c>
      <c r="CY814" s="37">
        <v>0</v>
      </c>
      <c r="CZ814" s="37">
        <v>0</v>
      </c>
      <c r="DA814" s="37">
        <v>0</v>
      </c>
      <c r="DB814" s="37">
        <v>0</v>
      </c>
      <c r="DC814" s="37">
        <v>0</v>
      </c>
      <c r="DD814" s="37">
        <v>0</v>
      </c>
      <c r="DE814" s="37">
        <v>0</v>
      </c>
      <c r="DF814" s="37">
        <v>0</v>
      </c>
      <c r="DG814" s="37">
        <v>0</v>
      </c>
      <c r="DH814" s="37">
        <v>0</v>
      </c>
      <c r="DI814" s="37">
        <v>0</v>
      </c>
      <c r="DJ814" s="37">
        <v>0</v>
      </c>
      <c r="DK814" s="37">
        <v>0</v>
      </c>
      <c r="DL814" s="37">
        <v>0</v>
      </c>
      <c r="DM814" s="37">
        <v>0</v>
      </c>
      <c r="DN814" s="37">
        <v>0</v>
      </c>
      <c r="DO814" s="37">
        <v>0</v>
      </c>
      <c r="DP814" s="37">
        <v>0</v>
      </c>
      <c r="DQ814" s="37">
        <v>0</v>
      </c>
      <c r="DR814" s="37">
        <v>0</v>
      </c>
      <c r="DS814" s="37">
        <v>0</v>
      </c>
      <c r="DT814" s="37">
        <v>0</v>
      </c>
      <c r="DU814" s="37">
        <v>0</v>
      </c>
      <c r="DV814" s="37">
        <v>0</v>
      </c>
      <c r="DW814" s="37">
        <v>0</v>
      </c>
      <c r="DX814" s="37">
        <v>0</v>
      </c>
      <c r="DY814" s="37">
        <v>0</v>
      </c>
      <c r="DZ814" s="37">
        <v>0</v>
      </c>
      <c r="EA814" s="37">
        <v>0</v>
      </c>
      <c r="EB814" s="37">
        <v>0</v>
      </c>
      <c r="EC814" s="37">
        <v>0</v>
      </c>
      <c r="ED814" s="37">
        <v>0</v>
      </c>
      <c r="EE814" s="37">
        <v>0</v>
      </c>
      <c r="EF814" s="37">
        <v>0</v>
      </c>
      <c r="EG814" s="37">
        <v>0</v>
      </c>
      <c r="EH814" s="37">
        <v>0</v>
      </c>
      <c r="EI814" s="37">
        <v>0</v>
      </c>
      <c r="EJ814" s="37">
        <v>0</v>
      </c>
      <c r="EK814" s="161" t="s">
        <v>3093</v>
      </c>
      <c r="EL814" s="294" t="s">
        <v>1124</v>
      </c>
    </row>
    <row r="815" spans="1:142" ht="15" customHeight="1" x14ac:dyDescent="0.35">
      <c r="A815" s="34"/>
      <c r="B815" s="313">
        <v>19075</v>
      </c>
      <c r="C815" s="8" t="s">
        <v>131</v>
      </c>
      <c r="D815" s="18">
        <v>12</v>
      </c>
      <c r="E815" s="155">
        <v>117875</v>
      </c>
      <c r="F815" s="36">
        <v>51212</v>
      </c>
      <c r="G815" s="37">
        <v>24168</v>
      </c>
      <c r="H815" s="37">
        <v>0</v>
      </c>
      <c r="I815" s="37">
        <v>89694</v>
      </c>
      <c r="J815" s="37">
        <v>0</v>
      </c>
      <c r="K815" s="37">
        <v>17681.25</v>
      </c>
      <c r="L815" s="37">
        <v>7681.7999999999993</v>
      </c>
      <c r="M815" s="37">
        <v>249418.25</v>
      </c>
      <c r="N815" s="37">
        <v>58893.8</v>
      </c>
      <c r="O815" s="37">
        <v>71852</v>
      </c>
      <c r="P815" s="37">
        <v>88426</v>
      </c>
      <c r="Q815" s="37">
        <v>0</v>
      </c>
      <c r="R815" s="37">
        <v>0</v>
      </c>
      <c r="S815" s="37">
        <v>0</v>
      </c>
      <c r="T815" s="37">
        <v>0</v>
      </c>
      <c r="U815" s="37">
        <v>3397</v>
      </c>
      <c r="V815" s="37">
        <v>0</v>
      </c>
      <c r="W815" s="37">
        <v>72318.524999999994</v>
      </c>
      <c r="X815" s="37">
        <v>72318.524999999994</v>
      </c>
      <c r="Y815" s="37">
        <v>0</v>
      </c>
      <c r="Z815" s="37">
        <v>0</v>
      </c>
      <c r="AA815" s="37">
        <v>147567.52499999999</v>
      </c>
      <c r="AB815" s="37">
        <v>160744.52499999999</v>
      </c>
      <c r="AC815" s="37">
        <v>0</v>
      </c>
      <c r="AD815" s="37">
        <v>0</v>
      </c>
      <c r="AE815" s="37">
        <v>0</v>
      </c>
      <c r="AF815" s="168">
        <v>0.02</v>
      </c>
      <c r="AG815" s="37">
        <v>37100114.539999999</v>
      </c>
      <c r="AH815" s="37">
        <v>318515.18</v>
      </c>
      <c r="AI815" s="37">
        <v>324885.48</v>
      </c>
      <c r="AJ815" s="37">
        <v>331383.19</v>
      </c>
      <c r="AK815" s="37">
        <v>338010.85</v>
      </c>
      <c r="AL815" s="37">
        <v>344771.07</v>
      </c>
      <c r="AM815" s="37">
        <v>351666.49</v>
      </c>
      <c r="AN815" s="37">
        <v>358699.82</v>
      </c>
      <c r="AO815" s="37">
        <v>365873.82</v>
      </c>
      <c r="AP815" s="37">
        <v>373191.29</v>
      </c>
      <c r="AQ815" s="37">
        <v>380655.12</v>
      </c>
      <c r="AR815" s="37">
        <v>3487652.3100000005</v>
      </c>
      <c r="AS815" s="37">
        <v>0</v>
      </c>
      <c r="AT815" s="37">
        <v>0</v>
      </c>
      <c r="AU815" s="37">
        <v>0</v>
      </c>
      <c r="AV815" s="37">
        <v>0</v>
      </c>
      <c r="AW815" s="37">
        <v>0</v>
      </c>
      <c r="AX815" s="37">
        <v>0</v>
      </c>
      <c r="AY815" s="37">
        <v>0</v>
      </c>
      <c r="AZ815" s="37">
        <v>0</v>
      </c>
      <c r="BA815" s="37">
        <v>0</v>
      </c>
      <c r="BB815" s="37">
        <v>15237.43</v>
      </c>
      <c r="BC815" s="37">
        <v>15542.18</v>
      </c>
      <c r="BD815" s="37">
        <v>30779.61</v>
      </c>
      <c r="BE815" s="37">
        <v>0</v>
      </c>
      <c r="BF815" s="37">
        <v>0</v>
      </c>
      <c r="BG815" s="37">
        <v>0</v>
      </c>
      <c r="BH815" s="37">
        <v>0</v>
      </c>
      <c r="BI815" s="37">
        <v>0</v>
      </c>
      <c r="BJ815" s="37">
        <v>0</v>
      </c>
      <c r="BK815" s="37">
        <v>0</v>
      </c>
      <c r="BL815" s="37">
        <v>0</v>
      </c>
      <c r="BM815" s="37">
        <v>0</v>
      </c>
      <c r="BN815" s="37">
        <v>0</v>
      </c>
      <c r="BO815" s="37">
        <v>0</v>
      </c>
      <c r="BP815" s="37">
        <v>0</v>
      </c>
      <c r="BQ815" s="37">
        <v>0</v>
      </c>
      <c r="BR815" s="37">
        <v>0</v>
      </c>
      <c r="BS815" s="37">
        <v>0</v>
      </c>
      <c r="BT815" s="37">
        <v>0</v>
      </c>
      <c r="BU815" s="37">
        <v>0</v>
      </c>
      <c r="BV815" s="37">
        <v>0</v>
      </c>
      <c r="BW815" s="37">
        <v>0</v>
      </c>
      <c r="BX815" s="37">
        <v>0</v>
      </c>
      <c r="BY815" s="37">
        <v>0</v>
      </c>
      <c r="BZ815" s="37">
        <v>0</v>
      </c>
      <c r="CA815" s="37">
        <v>0</v>
      </c>
      <c r="CB815" s="37">
        <v>0</v>
      </c>
      <c r="CC815" s="37">
        <v>0</v>
      </c>
      <c r="CD815" s="37">
        <v>0</v>
      </c>
      <c r="CE815" s="37">
        <v>0</v>
      </c>
      <c r="CF815" s="37">
        <v>0</v>
      </c>
      <c r="CG815" s="37">
        <v>0</v>
      </c>
      <c r="CH815" s="37">
        <v>0</v>
      </c>
      <c r="CI815" s="37">
        <v>0</v>
      </c>
      <c r="CJ815" s="37">
        <v>0</v>
      </c>
      <c r="CK815" s="37">
        <v>0</v>
      </c>
      <c r="CL815" s="37">
        <v>0</v>
      </c>
      <c r="CM815" s="37">
        <v>0</v>
      </c>
      <c r="CN815" s="37">
        <v>0</v>
      </c>
      <c r="CO815" s="37">
        <v>0</v>
      </c>
      <c r="CP815" s="37">
        <v>0</v>
      </c>
      <c r="CQ815" s="37">
        <v>0</v>
      </c>
      <c r="CR815" s="37">
        <v>0</v>
      </c>
      <c r="CS815" s="37">
        <v>0</v>
      </c>
      <c r="CT815" s="37">
        <v>0</v>
      </c>
      <c r="CU815" s="37">
        <v>0</v>
      </c>
      <c r="CV815" s="37">
        <v>0</v>
      </c>
      <c r="CW815" s="37">
        <v>0</v>
      </c>
      <c r="CX815" s="37">
        <v>0</v>
      </c>
      <c r="CY815" s="37">
        <v>0</v>
      </c>
      <c r="CZ815" s="37">
        <v>0</v>
      </c>
      <c r="DA815" s="37">
        <v>0</v>
      </c>
      <c r="DB815" s="37">
        <v>0</v>
      </c>
      <c r="DC815" s="37">
        <v>0</v>
      </c>
      <c r="DD815" s="37">
        <v>0</v>
      </c>
      <c r="DE815" s="37">
        <v>0</v>
      </c>
      <c r="DF815" s="37">
        <v>0</v>
      </c>
      <c r="DG815" s="37">
        <v>0</v>
      </c>
      <c r="DH815" s="37">
        <v>0</v>
      </c>
      <c r="DI815" s="37">
        <v>0</v>
      </c>
      <c r="DJ815" s="37">
        <v>0</v>
      </c>
      <c r="DK815" s="37">
        <v>0</v>
      </c>
      <c r="DL815" s="37">
        <v>0</v>
      </c>
      <c r="DM815" s="37">
        <v>0</v>
      </c>
      <c r="DN815" s="37">
        <v>0</v>
      </c>
      <c r="DO815" s="37">
        <v>0</v>
      </c>
      <c r="DP815" s="37">
        <v>0</v>
      </c>
      <c r="DQ815" s="37">
        <v>0</v>
      </c>
      <c r="DR815" s="37">
        <v>0</v>
      </c>
      <c r="DS815" s="37">
        <v>0</v>
      </c>
      <c r="DT815" s="37">
        <v>0</v>
      </c>
      <c r="DU815" s="37">
        <v>0</v>
      </c>
      <c r="DV815" s="37">
        <v>0</v>
      </c>
      <c r="DW815" s="37">
        <v>0</v>
      </c>
      <c r="DX815" s="37">
        <v>0</v>
      </c>
      <c r="DY815" s="37">
        <v>0</v>
      </c>
      <c r="DZ815" s="37">
        <v>0</v>
      </c>
      <c r="EA815" s="37">
        <v>0</v>
      </c>
      <c r="EB815" s="37">
        <v>0</v>
      </c>
      <c r="EC815" s="37">
        <v>0</v>
      </c>
      <c r="ED815" s="37">
        <v>0</v>
      </c>
      <c r="EE815" s="37">
        <v>0</v>
      </c>
      <c r="EF815" s="37">
        <v>0</v>
      </c>
      <c r="EG815" s="37">
        <v>0</v>
      </c>
      <c r="EH815" s="37">
        <v>0</v>
      </c>
      <c r="EI815" s="37">
        <v>0</v>
      </c>
      <c r="EJ815" s="37">
        <v>0</v>
      </c>
      <c r="EK815" s="161" t="s">
        <v>1124</v>
      </c>
      <c r="EL815" s="294" t="s">
        <v>1124</v>
      </c>
    </row>
    <row r="816" spans="1:142" ht="15" customHeight="1" x14ac:dyDescent="0.35">
      <c r="A816" s="34"/>
      <c r="B816" s="313">
        <v>34060</v>
      </c>
      <c r="C816" s="8" t="s">
        <v>292</v>
      </c>
      <c r="D816" s="18">
        <v>3</v>
      </c>
      <c r="E816" s="155"/>
      <c r="F816" s="36"/>
      <c r="G816" s="37"/>
      <c r="H816" s="37"/>
      <c r="I816" s="37"/>
      <c r="J816" s="37"/>
      <c r="K816" s="37"/>
      <c r="L816" s="37"/>
      <c r="M816" s="37" t="s">
        <v>1124</v>
      </c>
      <c r="N816" s="37" t="s">
        <v>1124</v>
      </c>
      <c r="O816" s="37"/>
      <c r="P816" s="37"/>
      <c r="Q816" s="37"/>
      <c r="R816" s="37"/>
      <c r="S816" s="37"/>
      <c r="T816" s="37"/>
      <c r="U816" s="37"/>
      <c r="V816" s="37"/>
      <c r="W816" s="37"/>
      <c r="X816" s="37"/>
      <c r="Y816" s="37"/>
      <c r="Z816" s="37"/>
      <c r="AA816" s="37" t="s">
        <v>1124</v>
      </c>
      <c r="AB816" s="37" t="s">
        <v>1124</v>
      </c>
      <c r="AC816" s="37"/>
      <c r="AD816" s="37"/>
      <c r="AE816" s="37"/>
      <c r="AF816" s="168"/>
      <c r="AG816" s="37"/>
      <c r="AH816" s="37"/>
      <c r="AI816" s="37"/>
      <c r="AJ816" s="37"/>
      <c r="AK816" s="37"/>
      <c r="AL816" s="37"/>
      <c r="AM816" s="37"/>
      <c r="AN816" s="37"/>
      <c r="AO816" s="37"/>
      <c r="AP816" s="37"/>
      <c r="AQ816" s="37"/>
      <c r="AR816" s="37" t="s">
        <v>1124</v>
      </c>
      <c r="AS816" s="37"/>
      <c r="AT816" s="37"/>
      <c r="AU816" s="37"/>
      <c r="AV816" s="37"/>
      <c r="AW816" s="37"/>
      <c r="AX816" s="37"/>
      <c r="AY816" s="37"/>
      <c r="AZ816" s="37"/>
      <c r="BA816" s="37"/>
      <c r="BB816" s="37"/>
      <c r="BC816" s="37"/>
      <c r="BD816" s="37" t="s">
        <v>1124</v>
      </c>
      <c r="BE816" s="37"/>
      <c r="BF816" s="37"/>
      <c r="BG816" s="37"/>
      <c r="BH816" s="37"/>
      <c r="BI816" s="37"/>
      <c r="BJ816" s="37"/>
      <c r="BK816" s="37"/>
      <c r="BL816" s="37"/>
      <c r="BM816" s="37"/>
      <c r="BN816" s="37"/>
      <c r="BO816" s="37"/>
      <c r="BP816" s="37">
        <v>0</v>
      </c>
      <c r="BQ816" s="37"/>
      <c r="BR816" s="37"/>
      <c r="BS816" s="37"/>
      <c r="BT816" s="37"/>
      <c r="BU816" s="37"/>
      <c r="BV816" s="37"/>
      <c r="BW816" s="37"/>
      <c r="BX816" s="37"/>
      <c r="BY816" s="37"/>
      <c r="BZ816" s="37"/>
      <c r="CA816" s="37"/>
      <c r="CB816" s="37" t="s">
        <v>1124</v>
      </c>
      <c r="CC816" s="37"/>
      <c r="CD816" s="37"/>
      <c r="CE816" s="37"/>
      <c r="CF816" s="37"/>
      <c r="CG816" s="37"/>
      <c r="CH816" s="37"/>
      <c r="CI816" s="37"/>
      <c r="CJ816" s="37"/>
      <c r="CK816" s="37"/>
      <c r="CL816" s="37"/>
      <c r="CM816" s="37"/>
      <c r="CN816" s="37" t="s">
        <v>1124</v>
      </c>
      <c r="CO816" s="37"/>
      <c r="CP816" s="37"/>
      <c r="CQ816" s="37"/>
      <c r="CR816" s="37"/>
      <c r="CS816" s="37"/>
      <c r="CT816" s="37"/>
      <c r="CU816" s="37"/>
      <c r="CV816" s="37"/>
      <c r="CW816" s="37"/>
      <c r="CX816" s="37"/>
      <c r="CY816" s="37"/>
      <c r="CZ816" s="37" t="s">
        <v>1124</v>
      </c>
      <c r="DA816" s="37"/>
      <c r="DB816" s="37"/>
      <c r="DC816" s="37"/>
      <c r="DD816" s="37"/>
      <c r="DE816" s="37"/>
      <c r="DF816" s="37"/>
      <c r="DG816" s="37"/>
      <c r="DH816" s="37"/>
      <c r="DI816" s="37"/>
      <c r="DJ816" s="37"/>
      <c r="DK816" s="37"/>
      <c r="DL816" s="37" t="s">
        <v>1124</v>
      </c>
      <c r="DM816" s="37"/>
      <c r="DN816" s="37"/>
      <c r="DO816" s="37"/>
      <c r="DP816" s="37"/>
      <c r="DQ816" s="37"/>
      <c r="DR816" s="37"/>
      <c r="DS816" s="37"/>
      <c r="DT816" s="37"/>
      <c r="DU816" s="37"/>
      <c r="DV816" s="37"/>
      <c r="DW816" s="37"/>
      <c r="DX816" s="37" t="s">
        <v>1124</v>
      </c>
      <c r="DY816" s="37"/>
      <c r="DZ816" s="37"/>
      <c r="EA816" s="37"/>
      <c r="EB816" s="37"/>
      <c r="EC816" s="37"/>
      <c r="ED816" s="37"/>
      <c r="EE816" s="37"/>
      <c r="EF816" s="37"/>
      <c r="EG816" s="37"/>
      <c r="EH816" s="37"/>
      <c r="EI816" s="37"/>
      <c r="EJ816" s="37" t="s">
        <v>1124</v>
      </c>
      <c r="EK816" s="161"/>
      <c r="EL816" s="294"/>
    </row>
    <row r="817" spans="1:142" ht="15" customHeight="1" x14ac:dyDescent="0.35">
      <c r="A817" s="34"/>
      <c r="B817" s="313">
        <v>33035</v>
      </c>
      <c r="C817" s="8" t="s">
        <v>271</v>
      </c>
      <c r="D817" s="18">
        <v>12</v>
      </c>
      <c r="E817" s="155">
        <v>121022</v>
      </c>
      <c r="F817" s="36">
        <v>84507</v>
      </c>
      <c r="G817" s="37">
        <v>43920</v>
      </c>
      <c r="H817" s="37">
        <v>43205</v>
      </c>
      <c r="I817" s="37">
        <v>200700</v>
      </c>
      <c r="J817" s="37">
        <v>200700</v>
      </c>
      <c r="K817" s="37">
        <v>18153.3</v>
      </c>
      <c r="L817" s="37">
        <v>12676.05</v>
      </c>
      <c r="M817" s="37">
        <v>383795.3</v>
      </c>
      <c r="N817" s="37">
        <v>341088.05</v>
      </c>
      <c r="O817" s="37">
        <v>0</v>
      </c>
      <c r="P817" s="37">
        <v>0</v>
      </c>
      <c r="Q817" s="37">
        <v>92174</v>
      </c>
      <c r="R817" s="37">
        <v>39513</v>
      </c>
      <c r="S817" s="37">
        <v>0</v>
      </c>
      <c r="T817" s="37">
        <v>0</v>
      </c>
      <c r="U817" s="37">
        <v>0</v>
      </c>
      <c r="V817" s="37">
        <v>0</v>
      </c>
      <c r="W817" s="37">
        <v>291621.3</v>
      </c>
      <c r="X817" s="37">
        <v>301575.05</v>
      </c>
      <c r="Y817" s="37">
        <v>0</v>
      </c>
      <c r="Z817" s="37">
        <v>0</v>
      </c>
      <c r="AA817" s="37">
        <v>383795.3</v>
      </c>
      <c r="AB817" s="37">
        <v>341088.05</v>
      </c>
      <c r="AC817" s="37">
        <v>0</v>
      </c>
      <c r="AD817" s="37">
        <v>0</v>
      </c>
      <c r="AE817" s="37">
        <v>0</v>
      </c>
      <c r="AF817" s="168">
        <v>0.02</v>
      </c>
      <c r="AG817" s="37">
        <v>11567479.26</v>
      </c>
      <c r="AH817" s="37">
        <v>101153.93</v>
      </c>
      <c r="AI817" s="37">
        <v>103177.01</v>
      </c>
      <c r="AJ817" s="37">
        <v>105240.55</v>
      </c>
      <c r="AK817" s="37">
        <v>107345.36</v>
      </c>
      <c r="AL817" s="37">
        <v>109492.27</v>
      </c>
      <c r="AM817" s="37">
        <v>111682.11</v>
      </c>
      <c r="AN817" s="37">
        <v>113915.76</v>
      </c>
      <c r="AO817" s="37">
        <v>116194.07</v>
      </c>
      <c r="AP817" s="37">
        <v>118517.95</v>
      </c>
      <c r="AQ817" s="37">
        <v>120888.31</v>
      </c>
      <c r="AR817" s="37">
        <v>1107607.32</v>
      </c>
      <c r="AS817" s="37">
        <v>538111.19999999995</v>
      </c>
      <c r="AT817" s="37">
        <v>918000</v>
      </c>
      <c r="AU817" s="37">
        <v>2392920</v>
      </c>
      <c r="AV817" s="37">
        <v>0</v>
      </c>
      <c r="AW817" s="37">
        <v>0</v>
      </c>
      <c r="AX817" s="37">
        <v>0</v>
      </c>
      <c r="AY817" s="37">
        <v>0</v>
      </c>
      <c r="AZ817" s="37">
        <v>0</v>
      </c>
      <c r="BA817" s="37">
        <v>0</v>
      </c>
      <c r="BB817" s="37">
        <v>0</v>
      </c>
      <c r="BC817" s="37">
        <v>0</v>
      </c>
      <c r="BD817" s="37">
        <v>3310920</v>
      </c>
      <c r="BE817" s="37">
        <v>0</v>
      </c>
      <c r="BF817" s="37">
        <v>0</v>
      </c>
      <c r="BG817" s="37">
        <v>0</v>
      </c>
      <c r="BH817" s="37">
        <v>0</v>
      </c>
      <c r="BI817" s="37">
        <v>0</v>
      </c>
      <c r="BJ817" s="37">
        <v>0</v>
      </c>
      <c r="BK817" s="37">
        <v>0</v>
      </c>
      <c r="BL817" s="37">
        <v>0</v>
      </c>
      <c r="BM817" s="37">
        <v>0</v>
      </c>
      <c r="BN817" s="37">
        <v>0</v>
      </c>
      <c r="BO817" s="37">
        <v>0</v>
      </c>
      <c r="BP817" s="37">
        <v>0</v>
      </c>
      <c r="BQ817" s="37">
        <v>0</v>
      </c>
      <c r="BR817" s="37">
        <v>0</v>
      </c>
      <c r="BS817" s="37">
        <v>0</v>
      </c>
      <c r="BT817" s="37">
        <v>0</v>
      </c>
      <c r="BU817" s="37">
        <v>0</v>
      </c>
      <c r="BV817" s="37">
        <v>0</v>
      </c>
      <c r="BW817" s="37">
        <v>0</v>
      </c>
      <c r="BX817" s="37">
        <v>0</v>
      </c>
      <c r="BY817" s="37">
        <v>0</v>
      </c>
      <c r="BZ817" s="37">
        <v>0</v>
      </c>
      <c r="CA817" s="37">
        <v>0</v>
      </c>
      <c r="CB817" s="37">
        <v>0</v>
      </c>
      <c r="CC817" s="37">
        <v>0</v>
      </c>
      <c r="CD817" s="37">
        <v>0</v>
      </c>
      <c r="CE817" s="37">
        <v>0</v>
      </c>
      <c r="CF817" s="37">
        <v>0</v>
      </c>
      <c r="CG817" s="37">
        <v>0</v>
      </c>
      <c r="CH817" s="37">
        <v>0</v>
      </c>
      <c r="CI817" s="37">
        <v>0</v>
      </c>
      <c r="CJ817" s="37">
        <v>0</v>
      </c>
      <c r="CK817" s="37">
        <v>0</v>
      </c>
      <c r="CL817" s="37">
        <v>0</v>
      </c>
      <c r="CM817" s="37">
        <v>0</v>
      </c>
      <c r="CN817" s="37">
        <v>0</v>
      </c>
      <c r="CO817" s="37">
        <v>0</v>
      </c>
      <c r="CP817" s="37">
        <v>1410360</v>
      </c>
      <c r="CQ817" s="37">
        <v>0</v>
      </c>
      <c r="CR817" s="37">
        <v>0</v>
      </c>
      <c r="CS817" s="37">
        <v>0</v>
      </c>
      <c r="CT817" s="37">
        <v>0</v>
      </c>
      <c r="CU817" s="37">
        <v>0</v>
      </c>
      <c r="CV817" s="37">
        <v>0</v>
      </c>
      <c r="CW817" s="37">
        <v>0</v>
      </c>
      <c r="CX817" s="37">
        <v>0</v>
      </c>
      <c r="CY817" s="37">
        <v>0</v>
      </c>
      <c r="CZ817" s="37">
        <v>1410360</v>
      </c>
      <c r="DA817" s="37">
        <v>0</v>
      </c>
      <c r="DB817" s="37">
        <v>352592</v>
      </c>
      <c r="DC817" s="37">
        <v>0</v>
      </c>
      <c r="DD817" s="37">
        <v>0</v>
      </c>
      <c r="DE817" s="37">
        <v>0</v>
      </c>
      <c r="DF817" s="37">
        <v>0</v>
      </c>
      <c r="DG817" s="37">
        <v>0</v>
      </c>
      <c r="DH817" s="37">
        <v>0</v>
      </c>
      <c r="DI817" s="37">
        <v>0</v>
      </c>
      <c r="DJ817" s="37">
        <v>0</v>
      </c>
      <c r="DK817" s="37">
        <v>0</v>
      </c>
      <c r="DL817" s="37">
        <v>352592</v>
      </c>
      <c r="DM817" s="37">
        <v>0</v>
      </c>
      <c r="DN817" s="37">
        <v>0</v>
      </c>
      <c r="DO817" s="37">
        <v>0</v>
      </c>
      <c r="DP817" s="37">
        <v>0</v>
      </c>
      <c r="DQ817" s="37">
        <v>0</v>
      </c>
      <c r="DR817" s="37">
        <v>0</v>
      </c>
      <c r="DS817" s="37">
        <v>0</v>
      </c>
      <c r="DT817" s="37">
        <v>0</v>
      </c>
      <c r="DU817" s="37">
        <v>0</v>
      </c>
      <c r="DV817" s="37">
        <v>0</v>
      </c>
      <c r="DW817" s="37">
        <v>0</v>
      </c>
      <c r="DX817" s="37">
        <v>0</v>
      </c>
      <c r="DY817" s="37">
        <v>0</v>
      </c>
      <c r="DZ817" s="37">
        <v>0</v>
      </c>
      <c r="EA817" s="37">
        <v>0</v>
      </c>
      <c r="EB817" s="37">
        <v>0</v>
      </c>
      <c r="EC817" s="37">
        <v>0</v>
      </c>
      <c r="ED817" s="37">
        <v>0</v>
      </c>
      <c r="EE817" s="37">
        <v>0</v>
      </c>
      <c r="EF817" s="37">
        <v>0</v>
      </c>
      <c r="EG817" s="37">
        <v>0</v>
      </c>
      <c r="EH817" s="37">
        <v>0</v>
      </c>
      <c r="EI817" s="37">
        <v>0</v>
      </c>
      <c r="EJ817" s="37">
        <v>0</v>
      </c>
      <c r="EK817" s="161" t="s">
        <v>3099</v>
      </c>
      <c r="EL817" s="294" t="s">
        <v>1124</v>
      </c>
    </row>
    <row r="818" spans="1:142" ht="15" customHeight="1" x14ac:dyDescent="0.35">
      <c r="A818" s="34"/>
      <c r="B818" s="313">
        <v>5015</v>
      </c>
      <c r="C818" s="8" t="s">
        <v>1045</v>
      </c>
      <c r="D818" s="18">
        <v>11</v>
      </c>
      <c r="E818" s="155"/>
      <c r="F818" s="36"/>
      <c r="G818" s="37"/>
      <c r="H818" s="37"/>
      <c r="I818" s="37"/>
      <c r="J818" s="37"/>
      <c r="K818" s="37"/>
      <c r="L818" s="37"/>
      <c r="M818" s="37" t="s">
        <v>1124</v>
      </c>
      <c r="N818" s="37" t="s">
        <v>1124</v>
      </c>
      <c r="O818" s="37"/>
      <c r="P818" s="37"/>
      <c r="Q818" s="37"/>
      <c r="R818" s="37"/>
      <c r="S818" s="37"/>
      <c r="T818" s="37"/>
      <c r="U818" s="37"/>
      <c r="V818" s="37"/>
      <c r="W818" s="37"/>
      <c r="X818" s="37"/>
      <c r="Y818" s="37"/>
      <c r="Z818" s="37"/>
      <c r="AA818" s="37" t="s">
        <v>1124</v>
      </c>
      <c r="AB818" s="37" t="s">
        <v>1124</v>
      </c>
      <c r="AC818" s="37"/>
      <c r="AD818" s="37"/>
      <c r="AE818" s="37"/>
      <c r="AF818" s="168"/>
      <c r="AG818" s="37"/>
      <c r="AH818" s="37"/>
      <c r="AI818" s="37"/>
      <c r="AJ818" s="37"/>
      <c r="AK818" s="37"/>
      <c r="AL818" s="37"/>
      <c r="AM818" s="37"/>
      <c r="AN818" s="37"/>
      <c r="AO818" s="37"/>
      <c r="AP818" s="37"/>
      <c r="AQ818" s="37"/>
      <c r="AR818" s="37" t="s">
        <v>1124</v>
      </c>
      <c r="AS818" s="37"/>
      <c r="AT818" s="37"/>
      <c r="AU818" s="37"/>
      <c r="AV818" s="37"/>
      <c r="AW818" s="37"/>
      <c r="AX818" s="37"/>
      <c r="AY818" s="37"/>
      <c r="AZ818" s="37"/>
      <c r="BA818" s="37"/>
      <c r="BB818" s="37"/>
      <c r="BC818" s="37"/>
      <c r="BD818" s="37" t="s">
        <v>1124</v>
      </c>
      <c r="BE818" s="37"/>
      <c r="BF818" s="37"/>
      <c r="BG818" s="37"/>
      <c r="BH818" s="37"/>
      <c r="BI818" s="37"/>
      <c r="BJ818" s="37"/>
      <c r="BK818" s="37"/>
      <c r="BL818" s="37"/>
      <c r="BM818" s="37"/>
      <c r="BN818" s="37"/>
      <c r="BO818" s="37"/>
      <c r="BP818" s="37">
        <v>0</v>
      </c>
      <c r="BQ818" s="37"/>
      <c r="BR818" s="37"/>
      <c r="BS818" s="37"/>
      <c r="BT818" s="37"/>
      <c r="BU818" s="37"/>
      <c r="BV818" s="37"/>
      <c r="BW818" s="37"/>
      <c r="BX818" s="37"/>
      <c r="BY818" s="37"/>
      <c r="BZ818" s="37"/>
      <c r="CA818" s="37"/>
      <c r="CB818" s="37" t="s">
        <v>1124</v>
      </c>
      <c r="CC818" s="37"/>
      <c r="CD818" s="37"/>
      <c r="CE818" s="37"/>
      <c r="CF818" s="37"/>
      <c r="CG818" s="37"/>
      <c r="CH818" s="37"/>
      <c r="CI818" s="37"/>
      <c r="CJ818" s="37"/>
      <c r="CK818" s="37"/>
      <c r="CL818" s="37"/>
      <c r="CM818" s="37"/>
      <c r="CN818" s="37" t="s">
        <v>1124</v>
      </c>
      <c r="CO818" s="37"/>
      <c r="CP818" s="37"/>
      <c r="CQ818" s="37"/>
      <c r="CR818" s="37"/>
      <c r="CS818" s="37"/>
      <c r="CT818" s="37"/>
      <c r="CU818" s="37"/>
      <c r="CV818" s="37"/>
      <c r="CW818" s="37"/>
      <c r="CX818" s="37"/>
      <c r="CY818" s="37"/>
      <c r="CZ818" s="37" t="s">
        <v>1124</v>
      </c>
      <c r="DA818" s="37"/>
      <c r="DB818" s="37"/>
      <c r="DC818" s="37"/>
      <c r="DD818" s="37"/>
      <c r="DE818" s="37"/>
      <c r="DF818" s="37"/>
      <c r="DG818" s="37"/>
      <c r="DH818" s="37"/>
      <c r="DI818" s="37"/>
      <c r="DJ818" s="37"/>
      <c r="DK818" s="37"/>
      <c r="DL818" s="37" t="s">
        <v>1124</v>
      </c>
      <c r="DM818" s="37"/>
      <c r="DN818" s="37"/>
      <c r="DO818" s="37"/>
      <c r="DP818" s="37"/>
      <c r="DQ818" s="37"/>
      <c r="DR818" s="37"/>
      <c r="DS818" s="37"/>
      <c r="DT818" s="37"/>
      <c r="DU818" s="37"/>
      <c r="DV818" s="37"/>
      <c r="DW818" s="37"/>
      <c r="DX818" s="37" t="s">
        <v>1124</v>
      </c>
      <c r="DY818" s="37"/>
      <c r="DZ818" s="37"/>
      <c r="EA818" s="37"/>
      <c r="EB818" s="37"/>
      <c r="EC818" s="37"/>
      <c r="ED818" s="37"/>
      <c r="EE818" s="37"/>
      <c r="EF818" s="37"/>
      <c r="EG818" s="37"/>
      <c r="EH818" s="37"/>
      <c r="EI818" s="37"/>
      <c r="EJ818" s="37" t="s">
        <v>1124</v>
      </c>
      <c r="EK818" s="161"/>
      <c r="EL818" s="294"/>
    </row>
    <row r="819" spans="1:142" ht="15" customHeight="1" x14ac:dyDescent="0.35">
      <c r="A819" s="34"/>
      <c r="B819" s="313">
        <v>49113</v>
      </c>
      <c r="C819" s="8" t="s">
        <v>479</v>
      </c>
      <c r="D819" s="18">
        <v>17</v>
      </c>
      <c r="E819" s="155">
        <v>125045</v>
      </c>
      <c r="F819" s="36">
        <v>91516</v>
      </c>
      <c r="G819" s="37">
        <v>571</v>
      </c>
      <c r="H819" s="37">
        <v>656</v>
      </c>
      <c r="I819" s="37">
        <v>21612</v>
      </c>
      <c r="J819" s="37">
        <v>4538</v>
      </c>
      <c r="K819" s="37">
        <v>18757</v>
      </c>
      <c r="L819" s="37">
        <v>13727</v>
      </c>
      <c r="M819" s="37">
        <v>165985</v>
      </c>
      <c r="N819" s="37">
        <v>110437</v>
      </c>
      <c r="O819" s="37">
        <v>34582</v>
      </c>
      <c r="P819" s="37">
        <v>112263</v>
      </c>
      <c r="Q819" s="37">
        <v>55625</v>
      </c>
      <c r="R819" s="37">
        <v>75006</v>
      </c>
      <c r="S819" s="37">
        <v>0</v>
      </c>
      <c r="T819" s="37">
        <v>0</v>
      </c>
      <c r="U819" s="37">
        <v>0</v>
      </c>
      <c r="V819" s="37">
        <v>0</v>
      </c>
      <c r="W819" s="37">
        <v>0</v>
      </c>
      <c r="X819" s="37">
        <v>0</v>
      </c>
      <c r="Y819" s="37">
        <v>0</v>
      </c>
      <c r="Z819" s="37">
        <v>0</v>
      </c>
      <c r="AA819" s="37">
        <v>90207</v>
      </c>
      <c r="AB819" s="37">
        <v>187269</v>
      </c>
      <c r="AC819" s="37">
        <v>1054</v>
      </c>
      <c r="AD819" s="37">
        <v>1054</v>
      </c>
      <c r="AE819" s="37">
        <v>3887</v>
      </c>
      <c r="AF819" s="168">
        <v>0.02</v>
      </c>
      <c r="AG819" s="37">
        <v>30885215.690000001</v>
      </c>
      <c r="AH819" s="37">
        <v>259332.91</v>
      </c>
      <c r="AI819" s="37">
        <v>264519.57</v>
      </c>
      <c r="AJ819" s="37">
        <v>269809.96000000002</v>
      </c>
      <c r="AK819" s="37">
        <v>275206.15999999997</v>
      </c>
      <c r="AL819" s="37">
        <v>280710.28000000003</v>
      </c>
      <c r="AM819" s="37">
        <v>286324.47999999998</v>
      </c>
      <c r="AN819" s="37">
        <v>292050.96999999997</v>
      </c>
      <c r="AO819" s="37">
        <v>297891.99</v>
      </c>
      <c r="AP819" s="37">
        <v>303849.83</v>
      </c>
      <c r="AQ819" s="37">
        <v>309926.83</v>
      </c>
      <c r="AR819" s="37">
        <v>2839622.98</v>
      </c>
      <c r="AS819" s="37">
        <v>186250.7</v>
      </c>
      <c r="AT819" s="37">
        <v>127500</v>
      </c>
      <c r="AU819" s="37">
        <v>0</v>
      </c>
      <c r="AV819" s="37">
        <v>0</v>
      </c>
      <c r="AW819" s="37">
        <v>0</v>
      </c>
      <c r="AX819" s="37">
        <v>0</v>
      </c>
      <c r="AY819" s="37">
        <v>0</v>
      </c>
      <c r="AZ819" s="37">
        <v>0</v>
      </c>
      <c r="BA819" s="37">
        <v>0</v>
      </c>
      <c r="BB819" s="37">
        <v>0</v>
      </c>
      <c r="BC819" s="37">
        <v>0</v>
      </c>
      <c r="BD819" s="37">
        <v>127500</v>
      </c>
      <c r="BE819" s="37">
        <v>0</v>
      </c>
      <c r="BF819" s="37">
        <v>0</v>
      </c>
      <c r="BG819" s="37">
        <v>0</v>
      </c>
      <c r="BH819" s="37">
        <v>0</v>
      </c>
      <c r="BI819" s="37">
        <v>0</v>
      </c>
      <c r="BJ819" s="37">
        <v>0</v>
      </c>
      <c r="BK819" s="37">
        <v>0</v>
      </c>
      <c r="BL819" s="37">
        <v>0</v>
      </c>
      <c r="BM819" s="37">
        <v>0</v>
      </c>
      <c r="BN819" s="37">
        <v>0</v>
      </c>
      <c r="BO819" s="37">
        <v>0</v>
      </c>
      <c r="BP819" s="37">
        <v>0</v>
      </c>
      <c r="BQ819" s="37">
        <v>0</v>
      </c>
      <c r="BR819" s="37">
        <v>125000</v>
      </c>
      <c r="BS819" s="37">
        <v>0</v>
      </c>
      <c r="BT819" s="37">
        <v>0</v>
      </c>
      <c r="BU819" s="37">
        <v>0</v>
      </c>
      <c r="BV819" s="37">
        <v>0</v>
      </c>
      <c r="BW819" s="37">
        <v>0</v>
      </c>
      <c r="BX819" s="37">
        <v>0</v>
      </c>
      <c r="BY819" s="37">
        <v>0</v>
      </c>
      <c r="BZ819" s="37">
        <v>0</v>
      </c>
      <c r="CA819" s="37">
        <v>0</v>
      </c>
      <c r="CB819" s="37">
        <v>125000</v>
      </c>
      <c r="CC819" s="37">
        <v>0</v>
      </c>
      <c r="CD819" s="37">
        <v>0</v>
      </c>
      <c r="CE819" s="37">
        <v>0</v>
      </c>
      <c r="CF819" s="37">
        <v>0</v>
      </c>
      <c r="CG819" s="37">
        <v>0</v>
      </c>
      <c r="CH819" s="37">
        <v>0</v>
      </c>
      <c r="CI819" s="37">
        <v>0</v>
      </c>
      <c r="CJ819" s="37">
        <v>0</v>
      </c>
      <c r="CK819" s="37">
        <v>0</v>
      </c>
      <c r="CL819" s="37">
        <v>0</v>
      </c>
      <c r="CM819" s="37">
        <v>0</v>
      </c>
      <c r="CN819" s="37">
        <v>0</v>
      </c>
      <c r="CO819" s="37">
        <v>0</v>
      </c>
      <c r="CP819" s="37">
        <v>0</v>
      </c>
      <c r="CQ819" s="37">
        <v>0</v>
      </c>
      <c r="CR819" s="37">
        <v>0</v>
      </c>
      <c r="CS819" s="37">
        <v>0</v>
      </c>
      <c r="CT819" s="37">
        <v>0</v>
      </c>
      <c r="CU819" s="37">
        <v>0</v>
      </c>
      <c r="CV819" s="37">
        <v>0</v>
      </c>
      <c r="CW819" s="37">
        <v>0</v>
      </c>
      <c r="CX819" s="37">
        <v>0</v>
      </c>
      <c r="CY819" s="37">
        <v>0</v>
      </c>
      <c r="CZ819" s="37">
        <v>0</v>
      </c>
      <c r="DA819" s="37">
        <v>0</v>
      </c>
      <c r="DB819" s="37">
        <v>0</v>
      </c>
      <c r="DC819" s="37">
        <v>0</v>
      </c>
      <c r="DD819" s="37">
        <v>0</v>
      </c>
      <c r="DE819" s="37">
        <v>0</v>
      </c>
      <c r="DF819" s="37">
        <v>0</v>
      </c>
      <c r="DG819" s="37">
        <v>0</v>
      </c>
      <c r="DH819" s="37">
        <v>0</v>
      </c>
      <c r="DI819" s="37">
        <v>0</v>
      </c>
      <c r="DJ819" s="37">
        <v>0</v>
      </c>
      <c r="DK819" s="37">
        <v>0</v>
      </c>
      <c r="DL819" s="37">
        <v>0</v>
      </c>
      <c r="DM819" s="37">
        <v>0</v>
      </c>
      <c r="DN819" s="37">
        <v>0</v>
      </c>
      <c r="DO819" s="37">
        <v>0</v>
      </c>
      <c r="DP819" s="37">
        <v>0</v>
      </c>
      <c r="DQ819" s="37">
        <v>0</v>
      </c>
      <c r="DR819" s="37">
        <v>0</v>
      </c>
      <c r="DS819" s="37">
        <v>0</v>
      </c>
      <c r="DT819" s="37">
        <v>0</v>
      </c>
      <c r="DU819" s="37">
        <v>0</v>
      </c>
      <c r="DV819" s="37">
        <v>0</v>
      </c>
      <c r="DW819" s="37">
        <v>0</v>
      </c>
      <c r="DX819" s="37">
        <v>0</v>
      </c>
      <c r="DY819" s="37">
        <v>0</v>
      </c>
      <c r="DZ819" s="37">
        <v>0</v>
      </c>
      <c r="EA819" s="37">
        <v>0</v>
      </c>
      <c r="EB819" s="37">
        <v>0</v>
      </c>
      <c r="EC819" s="37">
        <v>0</v>
      </c>
      <c r="ED819" s="37">
        <v>0</v>
      </c>
      <c r="EE819" s="37">
        <v>0</v>
      </c>
      <c r="EF819" s="37">
        <v>0</v>
      </c>
      <c r="EG819" s="37">
        <v>0</v>
      </c>
      <c r="EH819" s="37">
        <v>0</v>
      </c>
      <c r="EI819" s="37">
        <v>0</v>
      </c>
      <c r="EJ819" s="37">
        <v>0</v>
      </c>
      <c r="EK819" s="161" t="s">
        <v>3106</v>
      </c>
      <c r="EL819" s="294" t="s">
        <v>1124</v>
      </c>
    </row>
    <row r="820" spans="1:142" ht="15" customHeight="1" x14ac:dyDescent="0.35">
      <c r="A820" s="34"/>
      <c r="B820" s="313">
        <v>11020</v>
      </c>
      <c r="C820" s="8" t="s">
        <v>20</v>
      </c>
      <c r="D820" s="18">
        <v>1</v>
      </c>
      <c r="E820" s="155"/>
      <c r="F820" s="36"/>
      <c r="G820" s="37"/>
      <c r="H820" s="37"/>
      <c r="I820" s="37"/>
      <c r="J820" s="37"/>
      <c r="K820" s="37"/>
      <c r="L820" s="37"/>
      <c r="M820" s="37" t="s">
        <v>1124</v>
      </c>
      <c r="N820" s="37" t="s">
        <v>1124</v>
      </c>
      <c r="O820" s="37"/>
      <c r="P820" s="37"/>
      <c r="Q820" s="37"/>
      <c r="R820" s="37"/>
      <c r="S820" s="37"/>
      <c r="T820" s="37"/>
      <c r="U820" s="37"/>
      <c r="V820" s="37"/>
      <c r="W820" s="37"/>
      <c r="X820" s="37"/>
      <c r="Y820" s="37"/>
      <c r="Z820" s="37"/>
      <c r="AA820" s="37" t="s">
        <v>1124</v>
      </c>
      <c r="AB820" s="37" t="s">
        <v>1124</v>
      </c>
      <c r="AC820" s="37"/>
      <c r="AD820" s="37"/>
      <c r="AE820" s="37"/>
      <c r="AF820" s="168"/>
      <c r="AG820" s="37"/>
      <c r="AH820" s="37"/>
      <c r="AI820" s="37"/>
      <c r="AJ820" s="37"/>
      <c r="AK820" s="37"/>
      <c r="AL820" s="37"/>
      <c r="AM820" s="37"/>
      <c r="AN820" s="37"/>
      <c r="AO820" s="37"/>
      <c r="AP820" s="37"/>
      <c r="AQ820" s="37"/>
      <c r="AR820" s="37" t="s">
        <v>1124</v>
      </c>
      <c r="AS820" s="37"/>
      <c r="AT820" s="37"/>
      <c r="AU820" s="37"/>
      <c r="AV820" s="37"/>
      <c r="AW820" s="37"/>
      <c r="AX820" s="37"/>
      <c r="AY820" s="37"/>
      <c r="AZ820" s="37"/>
      <c r="BA820" s="37"/>
      <c r="BB820" s="37"/>
      <c r="BC820" s="37"/>
      <c r="BD820" s="37" t="s">
        <v>1124</v>
      </c>
      <c r="BE820" s="37"/>
      <c r="BF820" s="37"/>
      <c r="BG820" s="37"/>
      <c r="BH820" s="37"/>
      <c r="BI820" s="37"/>
      <c r="BJ820" s="37"/>
      <c r="BK820" s="37"/>
      <c r="BL820" s="37"/>
      <c r="BM820" s="37"/>
      <c r="BN820" s="37"/>
      <c r="BO820" s="37"/>
      <c r="BP820" s="37">
        <v>0</v>
      </c>
      <c r="BQ820" s="37"/>
      <c r="BR820" s="37"/>
      <c r="BS820" s="37"/>
      <c r="BT820" s="37"/>
      <c r="BU820" s="37"/>
      <c r="BV820" s="37"/>
      <c r="BW820" s="37"/>
      <c r="BX820" s="37"/>
      <c r="BY820" s="37"/>
      <c r="BZ820" s="37"/>
      <c r="CA820" s="37"/>
      <c r="CB820" s="37" t="s">
        <v>1124</v>
      </c>
      <c r="CC820" s="37"/>
      <c r="CD820" s="37"/>
      <c r="CE820" s="37"/>
      <c r="CF820" s="37"/>
      <c r="CG820" s="37"/>
      <c r="CH820" s="37"/>
      <c r="CI820" s="37"/>
      <c r="CJ820" s="37"/>
      <c r="CK820" s="37"/>
      <c r="CL820" s="37"/>
      <c r="CM820" s="37"/>
      <c r="CN820" s="37" t="s">
        <v>1124</v>
      </c>
      <c r="CO820" s="37"/>
      <c r="CP820" s="37"/>
      <c r="CQ820" s="37"/>
      <c r="CR820" s="37"/>
      <c r="CS820" s="37"/>
      <c r="CT820" s="37"/>
      <c r="CU820" s="37"/>
      <c r="CV820" s="37"/>
      <c r="CW820" s="37"/>
      <c r="CX820" s="37"/>
      <c r="CY820" s="37"/>
      <c r="CZ820" s="37" t="s">
        <v>1124</v>
      </c>
      <c r="DA820" s="37"/>
      <c r="DB820" s="37"/>
      <c r="DC820" s="37"/>
      <c r="DD820" s="37"/>
      <c r="DE820" s="37"/>
      <c r="DF820" s="37"/>
      <c r="DG820" s="37"/>
      <c r="DH820" s="37"/>
      <c r="DI820" s="37"/>
      <c r="DJ820" s="37"/>
      <c r="DK820" s="37"/>
      <c r="DL820" s="37" t="s">
        <v>1124</v>
      </c>
      <c r="DM820" s="37"/>
      <c r="DN820" s="37"/>
      <c r="DO820" s="37"/>
      <c r="DP820" s="37"/>
      <c r="DQ820" s="37"/>
      <c r="DR820" s="37"/>
      <c r="DS820" s="37"/>
      <c r="DT820" s="37"/>
      <c r="DU820" s="37"/>
      <c r="DV820" s="37"/>
      <c r="DW820" s="37"/>
      <c r="DX820" s="37" t="s">
        <v>1124</v>
      </c>
      <c r="DY820" s="37"/>
      <c r="DZ820" s="37"/>
      <c r="EA820" s="37"/>
      <c r="EB820" s="37"/>
      <c r="EC820" s="37"/>
      <c r="ED820" s="37"/>
      <c r="EE820" s="37"/>
      <c r="EF820" s="37"/>
      <c r="EG820" s="37"/>
      <c r="EH820" s="37"/>
      <c r="EI820" s="37"/>
      <c r="EJ820" s="37" t="s">
        <v>1124</v>
      </c>
      <c r="EK820" s="161"/>
      <c r="EL820" s="294"/>
    </row>
    <row r="821" spans="1:142" ht="15" customHeight="1" x14ac:dyDescent="0.35">
      <c r="A821" s="34"/>
      <c r="B821" s="313">
        <v>19068</v>
      </c>
      <c r="C821" s="8" t="s">
        <v>129</v>
      </c>
      <c r="D821" s="18">
        <v>12</v>
      </c>
      <c r="E821" s="155">
        <v>438976</v>
      </c>
      <c r="F821" s="36">
        <v>396596</v>
      </c>
      <c r="G821" s="37">
        <v>35970</v>
      </c>
      <c r="H821" s="37">
        <v>71583</v>
      </c>
      <c r="I821" s="37">
        <v>342922</v>
      </c>
      <c r="J821" s="37">
        <v>172036</v>
      </c>
      <c r="K821" s="37">
        <v>0</v>
      </c>
      <c r="L821" s="37">
        <v>0</v>
      </c>
      <c r="M821" s="37">
        <v>817868</v>
      </c>
      <c r="N821" s="37">
        <v>640215</v>
      </c>
      <c r="O821" s="37">
        <v>583403</v>
      </c>
      <c r="P821" s="37">
        <v>671301</v>
      </c>
      <c r="Q821" s="37">
        <v>0</v>
      </c>
      <c r="R821" s="37">
        <v>0</v>
      </c>
      <c r="S821" s="37">
        <v>28857</v>
      </c>
      <c r="T821" s="37">
        <v>16069</v>
      </c>
      <c r="U821" s="37">
        <v>39058</v>
      </c>
      <c r="V821" s="37">
        <v>13019</v>
      </c>
      <c r="W821" s="37">
        <v>66376</v>
      </c>
      <c r="X821" s="37">
        <v>0</v>
      </c>
      <c r="Y821" s="37">
        <v>0</v>
      </c>
      <c r="Z821" s="37">
        <v>40000</v>
      </c>
      <c r="AA821" s="37">
        <v>717694</v>
      </c>
      <c r="AB821" s="37">
        <v>740389</v>
      </c>
      <c r="AC821" s="37">
        <v>0</v>
      </c>
      <c r="AD821" s="37">
        <v>0</v>
      </c>
      <c r="AE821" s="37">
        <v>0</v>
      </c>
      <c r="AF821" s="168">
        <v>0.02</v>
      </c>
      <c r="AG821" s="37">
        <v>78886549.010000005</v>
      </c>
      <c r="AH821" s="37">
        <v>703800</v>
      </c>
      <c r="AI821" s="37">
        <v>780300</v>
      </c>
      <c r="AJ821" s="37">
        <v>795906</v>
      </c>
      <c r="AK821" s="37">
        <v>496535.57</v>
      </c>
      <c r="AL821" s="37">
        <v>506466.28</v>
      </c>
      <c r="AM821" s="37">
        <v>516595.61</v>
      </c>
      <c r="AN821" s="37">
        <v>697252.2</v>
      </c>
      <c r="AO821" s="37">
        <v>537466.06999999995</v>
      </c>
      <c r="AP821" s="37">
        <v>548215.39</v>
      </c>
      <c r="AQ821" s="37">
        <v>559179.69999999995</v>
      </c>
      <c r="AR821" s="37">
        <v>6141716.8199999994</v>
      </c>
      <c r="AS821" s="37">
        <v>1034428.1</v>
      </c>
      <c r="AT821" s="37">
        <v>0</v>
      </c>
      <c r="AU821" s="37">
        <v>0</v>
      </c>
      <c r="AV821" s="37">
        <v>0</v>
      </c>
      <c r="AW821" s="37">
        <v>0</v>
      </c>
      <c r="AX821" s="37">
        <v>0</v>
      </c>
      <c r="AY821" s="37">
        <v>0</v>
      </c>
      <c r="AZ821" s="37">
        <v>0</v>
      </c>
      <c r="BA821" s="37">
        <v>0</v>
      </c>
      <c r="BB821" s="37">
        <v>0</v>
      </c>
      <c r="BC821" s="37">
        <v>0</v>
      </c>
      <c r="BD821" s="37">
        <v>0</v>
      </c>
      <c r="BE821" s="37">
        <v>0</v>
      </c>
      <c r="BF821" s="37">
        <v>0</v>
      </c>
      <c r="BG821" s="37">
        <v>500000</v>
      </c>
      <c r="BH821" s="37">
        <v>500000</v>
      </c>
      <c r="BI821" s="37">
        <v>500000</v>
      </c>
      <c r="BJ821" s="37">
        <v>500000</v>
      </c>
      <c r="BK821" s="37">
        <v>0</v>
      </c>
      <c r="BL821" s="37">
        <v>0</v>
      </c>
      <c r="BM821" s="37">
        <v>0</v>
      </c>
      <c r="BN821" s="37">
        <v>0</v>
      </c>
      <c r="BO821" s="37">
        <v>0</v>
      </c>
      <c r="BP821" s="37">
        <v>2000000</v>
      </c>
      <c r="BQ821" s="37">
        <v>0</v>
      </c>
      <c r="BR821" s="37">
        <v>650000</v>
      </c>
      <c r="BS821" s="37">
        <v>250000</v>
      </c>
      <c r="BT821" s="37">
        <v>250000</v>
      </c>
      <c r="BU821" s="37">
        <v>250000</v>
      </c>
      <c r="BV821" s="37">
        <v>250000</v>
      </c>
      <c r="BW821" s="37">
        <v>0</v>
      </c>
      <c r="BX821" s="37">
        <v>0</v>
      </c>
      <c r="BY821" s="37">
        <v>0</v>
      </c>
      <c r="BZ821" s="37">
        <v>0</v>
      </c>
      <c r="CA821" s="37">
        <v>0</v>
      </c>
      <c r="CB821" s="37">
        <v>1650000</v>
      </c>
      <c r="CC821" s="37">
        <v>835571</v>
      </c>
      <c r="CD821" s="37">
        <v>0</v>
      </c>
      <c r="CE821" s="37">
        <v>0</v>
      </c>
      <c r="CF821" s="37">
        <v>0</v>
      </c>
      <c r="CG821" s="37">
        <v>0</v>
      </c>
      <c r="CH821" s="37">
        <v>0</v>
      </c>
      <c r="CI821" s="37">
        <v>0</v>
      </c>
      <c r="CJ821" s="37">
        <v>0</v>
      </c>
      <c r="CK821" s="37">
        <v>0</v>
      </c>
      <c r="CL821" s="37">
        <v>0</v>
      </c>
      <c r="CM821" s="37">
        <v>0</v>
      </c>
      <c r="CN821" s="37">
        <v>0</v>
      </c>
      <c r="CO821" s="37">
        <v>0</v>
      </c>
      <c r="CP821" s="37">
        <v>0</v>
      </c>
      <c r="CQ821" s="37">
        <v>0</v>
      </c>
      <c r="CR821" s="37">
        <v>0</v>
      </c>
      <c r="CS821" s="37">
        <v>0</v>
      </c>
      <c r="CT821" s="37">
        <v>0</v>
      </c>
      <c r="CU821" s="37">
        <v>0</v>
      </c>
      <c r="CV821" s="37">
        <v>0</v>
      </c>
      <c r="CW821" s="37">
        <v>0</v>
      </c>
      <c r="CX821" s="37">
        <v>0</v>
      </c>
      <c r="CY821" s="37">
        <v>0</v>
      </c>
      <c r="CZ821" s="37">
        <v>0</v>
      </c>
      <c r="DA821" s="37">
        <v>0</v>
      </c>
      <c r="DB821" s="37">
        <v>0</v>
      </c>
      <c r="DC821" s="37">
        <v>0</v>
      </c>
      <c r="DD821" s="37">
        <v>0</v>
      </c>
      <c r="DE821" s="37">
        <v>0</v>
      </c>
      <c r="DF821" s="37">
        <v>0</v>
      </c>
      <c r="DG821" s="37">
        <v>0</v>
      </c>
      <c r="DH821" s="37">
        <v>0</v>
      </c>
      <c r="DI821" s="37">
        <v>0</v>
      </c>
      <c r="DJ821" s="37">
        <v>0</v>
      </c>
      <c r="DK821" s="37">
        <v>0</v>
      </c>
      <c r="DL821" s="37">
        <v>0</v>
      </c>
      <c r="DM821" s="37">
        <v>0</v>
      </c>
      <c r="DN821" s="37">
        <v>0</v>
      </c>
      <c r="DO821" s="37">
        <v>0</v>
      </c>
      <c r="DP821" s="37">
        <v>0</v>
      </c>
      <c r="DQ821" s="37">
        <v>0</v>
      </c>
      <c r="DR821" s="37">
        <v>0</v>
      </c>
      <c r="DS821" s="37">
        <v>0</v>
      </c>
      <c r="DT821" s="37">
        <v>0</v>
      </c>
      <c r="DU821" s="37">
        <v>0</v>
      </c>
      <c r="DV821" s="37">
        <v>0</v>
      </c>
      <c r="DW821" s="37">
        <v>0</v>
      </c>
      <c r="DX821" s="37">
        <v>0</v>
      </c>
      <c r="DY821" s="37">
        <v>0</v>
      </c>
      <c r="DZ821" s="37">
        <v>0</v>
      </c>
      <c r="EA821" s="37">
        <v>0</v>
      </c>
      <c r="EB821" s="37">
        <v>0</v>
      </c>
      <c r="EC821" s="37">
        <v>0</v>
      </c>
      <c r="ED821" s="37">
        <v>0</v>
      </c>
      <c r="EE821" s="37">
        <v>0</v>
      </c>
      <c r="EF821" s="37">
        <v>0</v>
      </c>
      <c r="EG821" s="37">
        <v>0</v>
      </c>
      <c r="EH821" s="37">
        <v>0</v>
      </c>
      <c r="EI821" s="37">
        <v>0</v>
      </c>
      <c r="EJ821" s="37">
        <v>0</v>
      </c>
      <c r="EK821" s="161" t="s">
        <v>3108</v>
      </c>
      <c r="EL821" s="294" t="s">
        <v>1124</v>
      </c>
    </row>
    <row r="822" spans="1:142" ht="15" customHeight="1" x14ac:dyDescent="0.35">
      <c r="A822" s="34"/>
      <c r="B822" s="313">
        <v>93070</v>
      </c>
      <c r="C822" s="8" t="s">
        <v>969</v>
      </c>
      <c r="D822" s="18">
        <v>2</v>
      </c>
      <c r="E822" s="155">
        <v>107231</v>
      </c>
      <c r="F822" s="36">
        <v>47894</v>
      </c>
      <c r="G822" s="37">
        <v>84772</v>
      </c>
      <c r="H822" s="37">
        <v>0</v>
      </c>
      <c r="I822" s="37">
        <v>311508</v>
      </c>
      <c r="J822" s="37">
        <v>0</v>
      </c>
      <c r="K822" s="37">
        <v>16084.65</v>
      </c>
      <c r="L822" s="37">
        <v>7184.0999999999995</v>
      </c>
      <c r="M822" s="37">
        <v>519595.65</v>
      </c>
      <c r="N822" s="37">
        <v>55078.1</v>
      </c>
      <c r="O822" s="37">
        <v>0</v>
      </c>
      <c r="P822" s="37">
        <v>0</v>
      </c>
      <c r="Q822" s="37">
        <v>424898</v>
      </c>
      <c r="R822" s="37">
        <v>20253</v>
      </c>
      <c r="S822" s="37">
        <v>0</v>
      </c>
      <c r="T822" s="37">
        <v>0</v>
      </c>
      <c r="U822" s="37">
        <v>0</v>
      </c>
      <c r="V822" s="37">
        <v>0</v>
      </c>
      <c r="W822" s="37">
        <v>64762</v>
      </c>
      <c r="X822" s="37">
        <v>64761</v>
      </c>
      <c r="Y822" s="37">
        <v>0</v>
      </c>
      <c r="Z822" s="37">
        <v>0</v>
      </c>
      <c r="AA822" s="37">
        <v>489660</v>
      </c>
      <c r="AB822" s="37">
        <v>85014</v>
      </c>
      <c r="AC822" s="37">
        <v>0.25</v>
      </c>
      <c r="AD822" s="37">
        <v>0</v>
      </c>
      <c r="AE822" s="37">
        <v>0</v>
      </c>
      <c r="AF822" s="168">
        <v>0.02</v>
      </c>
      <c r="AG822" s="37">
        <v>45383381.299999997</v>
      </c>
      <c r="AH822" s="37">
        <v>446247.69</v>
      </c>
      <c r="AI822" s="37">
        <v>455172.64</v>
      </c>
      <c r="AJ822" s="37">
        <v>464276.09</v>
      </c>
      <c r="AK822" s="37">
        <v>473561.61</v>
      </c>
      <c r="AL822" s="37">
        <v>483032.85</v>
      </c>
      <c r="AM822" s="37">
        <v>492693.5</v>
      </c>
      <c r="AN822" s="37">
        <v>502547.37</v>
      </c>
      <c r="AO822" s="37">
        <v>512598.32</v>
      </c>
      <c r="AP822" s="37">
        <v>522850.29</v>
      </c>
      <c r="AQ822" s="37">
        <v>533307.29</v>
      </c>
      <c r="AR822" s="37">
        <v>4886287.6500000004</v>
      </c>
      <c r="AS822" s="37">
        <v>411161.56</v>
      </c>
      <c r="AT822" s="37">
        <v>0</v>
      </c>
      <c r="AU822" s="37">
        <v>0</v>
      </c>
      <c r="AV822" s="37">
        <v>0</v>
      </c>
      <c r="AW822" s="37">
        <v>0</v>
      </c>
      <c r="AX822" s="37">
        <v>0</v>
      </c>
      <c r="AY822" s="37">
        <v>0</v>
      </c>
      <c r="AZ822" s="37">
        <v>0</v>
      </c>
      <c r="BA822" s="37">
        <v>0</v>
      </c>
      <c r="BB822" s="37">
        <v>0</v>
      </c>
      <c r="BC822" s="37">
        <v>0</v>
      </c>
      <c r="BD822" s="37">
        <v>0</v>
      </c>
      <c r="BE822" s="37">
        <v>31350</v>
      </c>
      <c r="BF822" s="37">
        <v>81843.800351017795</v>
      </c>
      <c r="BG822" s="37">
        <v>88217.28752167974</v>
      </c>
      <c r="BH822" s="37">
        <v>108599.38536472505</v>
      </c>
      <c r="BI822" s="37">
        <v>128981.52676257752</v>
      </c>
      <c r="BJ822" s="37">
        <v>14008.610672383322</v>
      </c>
      <c r="BK822" s="37">
        <v>67835.189678634386</v>
      </c>
      <c r="BL822" s="37">
        <v>88217.28752167974</v>
      </c>
      <c r="BM822" s="37">
        <v>108599.38536472505</v>
      </c>
      <c r="BN822" s="37">
        <v>128981.52676257752</v>
      </c>
      <c r="BO822" s="37">
        <v>0</v>
      </c>
      <c r="BP822" s="37">
        <v>815284</v>
      </c>
      <c r="BQ822" s="37">
        <v>0</v>
      </c>
      <c r="BR822" s="37">
        <v>0</v>
      </c>
      <c r="BS822" s="37">
        <v>0</v>
      </c>
      <c r="BT822" s="37">
        <v>0</v>
      </c>
      <c r="BU822" s="37">
        <v>0</v>
      </c>
      <c r="BV822" s="37">
        <v>0</v>
      </c>
      <c r="BW822" s="37">
        <v>0</v>
      </c>
      <c r="BX822" s="37">
        <v>0</v>
      </c>
      <c r="BY822" s="37">
        <v>0</v>
      </c>
      <c r="BZ822" s="37">
        <v>0</v>
      </c>
      <c r="CA822" s="37">
        <v>0</v>
      </c>
      <c r="CB822" s="37">
        <v>0</v>
      </c>
      <c r="CC822" s="37">
        <v>0</v>
      </c>
      <c r="CD822" s="37">
        <v>0</v>
      </c>
      <c r="CE822" s="37">
        <v>0</v>
      </c>
      <c r="CF822" s="37">
        <v>0</v>
      </c>
      <c r="CG822" s="37">
        <v>0</v>
      </c>
      <c r="CH822" s="37">
        <v>0</v>
      </c>
      <c r="CI822" s="37">
        <v>0</v>
      </c>
      <c r="CJ822" s="37">
        <v>0</v>
      </c>
      <c r="CK822" s="37">
        <v>0</v>
      </c>
      <c r="CL822" s="37">
        <v>0</v>
      </c>
      <c r="CM822" s="37">
        <v>0</v>
      </c>
      <c r="CN822" s="37">
        <v>0</v>
      </c>
      <c r="CO822" s="37">
        <v>0</v>
      </c>
      <c r="CP822" s="37">
        <v>0</v>
      </c>
      <c r="CQ822" s="37">
        <v>0</v>
      </c>
      <c r="CR822" s="37">
        <v>0</v>
      </c>
      <c r="CS822" s="37">
        <v>0</v>
      </c>
      <c r="CT822" s="37">
        <v>0</v>
      </c>
      <c r="CU822" s="37">
        <v>0</v>
      </c>
      <c r="CV822" s="37">
        <v>0</v>
      </c>
      <c r="CW822" s="37">
        <v>0</v>
      </c>
      <c r="CX822" s="37">
        <v>0</v>
      </c>
      <c r="CY822" s="37">
        <v>0</v>
      </c>
      <c r="CZ822" s="37">
        <v>0</v>
      </c>
      <c r="DA822" s="37">
        <v>0</v>
      </c>
      <c r="DB822" s="37">
        <v>0</v>
      </c>
      <c r="DC822" s="37">
        <v>0</v>
      </c>
      <c r="DD822" s="37">
        <v>0</v>
      </c>
      <c r="DE822" s="37">
        <v>0</v>
      </c>
      <c r="DF822" s="37">
        <v>0</v>
      </c>
      <c r="DG822" s="37">
        <v>0</v>
      </c>
      <c r="DH822" s="37">
        <v>0</v>
      </c>
      <c r="DI822" s="37">
        <v>0</v>
      </c>
      <c r="DJ822" s="37">
        <v>0</v>
      </c>
      <c r="DK822" s="37">
        <v>0</v>
      </c>
      <c r="DL822" s="37">
        <v>0</v>
      </c>
      <c r="DM822" s="37">
        <v>0</v>
      </c>
      <c r="DN822" s="37">
        <v>0</v>
      </c>
      <c r="DO822" s="37">
        <v>0</v>
      </c>
      <c r="DP822" s="37">
        <v>0</v>
      </c>
      <c r="DQ822" s="37">
        <v>0</v>
      </c>
      <c r="DR822" s="37">
        <v>0</v>
      </c>
      <c r="DS822" s="37">
        <v>0</v>
      </c>
      <c r="DT822" s="37">
        <v>0</v>
      </c>
      <c r="DU822" s="37">
        <v>0</v>
      </c>
      <c r="DV822" s="37">
        <v>0</v>
      </c>
      <c r="DW822" s="37">
        <v>0</v>
      </c>
      <c r="DX822" s="37">
        <v>0</v>
      </c>
      <c r="DY822" s="37">
        <v>0</v>
      </c>
      <c r="DZ822" s="37">
        <v>0</v>
      </c>
      <c r="EA822" s="37">
        <v>0</v>
      </c>
      <c r="EB822" s="37">
        <v>0</v>
      </c>
      <c r="EC822" s="37">
        <v>0</v>
      </c>
      <c r="ED822" s="37">
        <v>0</v>
      </c>
      <c r="EE822" s="37">
        <v>0</v>
      </c>
      <c r="EF822" s="37">
        <v>0</v>
      </c>
      <c r="EG822" s="37">
        <v>0</v>
      </c>
      <c r="EH822" s="37">
        <v>0</v>
      </c>
      <c r="EI822" s="37">
        <v>0</v>
      </c>
      <c r="EJ822" s="37">
        <v>0</v>
      </c>
      <c r="EK822" s="161" t="s">
        <v>3111</v>
      </c>
      <c r="EL822" s="294" t="s">
        <v>1124</v>
      </c>
    </row>
    <row r="823" spans="1:142" ht="15" customHeight="1" x14ac:dyDescent="0.35">
      <c r="A823" s="34"/>
      <c r="B823" s="313">
        <v>44015</v>
      </c>
      <c r="C823" s="8" t="s">
        <v>401</v>
      </c>
      <c r="D823" s="18">
        <v>5</v>
      </c>
      <c r="E823" s="155">
        <v>15433</v>
      </c>
      <c r="F823" s="36">
        <v>91461</v>
      </c>
      <c r="G823" s="37">
        <v>3139</v>
      </c>
      <c r="H823" s="37">
        <v>1907</v>
      </c>
      <c r="I823" s="37">
        <v>7915</v>
      </c>
      <c r="J823" s="37">
        <v>13305</v>
      </c>
      <c r="K823" s="37">
        <v>1543.3000000000002</v>
      </c>
      <c r="L823" s="37">
        <v>9146.1</v>
      </c>
      <c r="M823" s="37">
        <v>28030.3</v>
      </c>
      <c r="N823" s="37">
        <v>115819.1</v>
      </c>
      <c r="O823" s="37">
        <v>0</v>
      </c>
      <c r="P823" s="37">
        <v>0</v>
      </c>
      <c r="Q823" s="37">
        <v>10325</v>
      </c>
      <c r="R823" s="37">
        <v>47458</v>
      </c>
      <c r="S823" s="37">
        <v>0</v>
      </c>
      <c r="T823" s="37">
        <v>0</v>
      </c>
      <c r="U823" s="37">
        <v>1043</v>
      </c>
      <c r="V823" s="37">
        <v>0</v>
      </c>
      <c r="W823" s="37">
        <v>16662.3</v>
      </c>
      <c r="X823" s="37">
        <v>68361.100000000006</v>
      </c>
      <c r="Y823" s="37">
        <v>0</v>
      </c>
      <c r="Z823" s="37">
        <v>0</v>
      </c>
      <c r="AA823" s="37">
        <v>28030.3</v>
      </c>
      <c r="AB823" s="37">
        <v>115819.1</v>
      </c>
      <c r="AC823" s="37">
        <v>0</v>
      </c>
      <c r="AD823" s="37">
        <v>0</v>
      </c>
      <c r="AE823" s="37">
        <v>0</v>
      </c>
      <c r="AF823" s="168">
        <v>0.02</v>
      </c>
      <c r="AG823" s="37">
        <v>3100690.16</v>
      </c>
      <c r="AH823" s="37">
        <v>34002.06</v>
      </c>
      <c r="AI823" s="37">
        <v>25838.7</v>
      </c>
      <c r="AJ823" s="37">
        <v>26355.48</v>
      </c>
      <c r="AK823" s="37">
        <v>26882.59</v>
      </c>
      <c r="AL823" s="37">
        <v>27420.240000000002</v>
      </c>
      <c r="AM823" s="37">
        <v>27968.639999999999</v>
      </c>
      <c r="AN823" s="37">
        <v>28528.02</v>
      </c>
      <c r="AO823" s="37">
        <v>29098.58</v>
      </c>
      <c r="AP823" s="37">
        <v>29680.55</v>
      </c>
      <c r="AQ823" s="37">
        <v>30274.16</v>
      </c>
      <c r="AR823" s="37">
        <v>286049.02</v>
      </c>
      <c r="AS823" s="37">
        <v>0</v>
      </c>
      <c r="AT823" s="37">
        <v>15300</v>
      </c>
      <c r="AU823" s="37">
        <v>0</v>
      </c>
      <c r="AV823" s="37">
        <v>0</v>
      </c>
      <c r="AW823" s="37">
        <v>0</v>
      </c>
      <c r="AX823" s="37">
        <v>0</v>
      </c>
      <c r="AY823" s="37">
        <v>0</v>
      </c>
      <c r="AZ823" s="37">
        <v>0</v>
      </c>
      <c r="BA823" s="37">
        <v>0</v>
      </c>
      <c r="BB823" s="37">
        <v>0</v>
      </c>
      <c r="BC823" s="37">
        <v>0</v>
      </c>
      <c r="BD823" s="37">
        <v>15300</v>
      </c>
      <c r="BE823" s="37">
        <v>0</v>
      </c>
      <c r="BF823" s="37">
        <v>0</v>
      </c>
      <c r="BG823" s="37">
        <v>8000</v>
      </c>
      <c r="BH823" s="37">
        <v>0</v>
      </c>
      <c r="BI823" s="37">
        <v>0</v>
      </c>
      <c r="BJ823" s="37">
        <v>0</v>
      </c>
      <c r="BK823" s="37">
        <v>0</v>
      </c>
      <c r="BL823" s="37">
        <v>0</v>
      </c>
      <c r="BM823" s="37">
        <v>0</v>
      </c>
      <c r="BN823" s="37">
        <v>0</v>
      </c>
      <c r="BO823" s="37">
        <v>0</v>
      </c>
      <c r="BP823" s="37">
        <v>8000</v>
      </c>
      <c r="BQ823" s="37">
        <v>0</v>
      </c>
      <c r="BR823" s="37">
        <v>0</v>
      </c>
      <c r="BS823" s="37">
        <v>0</v>
      </c>
      <c r="BT823" s="37">
        <v>0</v>
      </c>
      <c r="BU823" s="37">
        <v>0</v>
      </c>
      <c r="BV823" s="37">
        <v>0</v>
      </c>
      <c r="BW823" s="37">
        <v>0</v>
      </c>
      <c r="BX823" s="37">
        <v>0</v>
      </c>
      <c r="BY823" s="37">
        <v>0</v>
      </c>
      <c r="BZ823" s="37">
        <v>0</v>
      </c>
      <c r="CA823" s="37">
        <v>0</v>
      </c>
      <c r="CB823" s="37">
        <v>0</v>
      </c>
      <c r="CC823" s="37">
        <v>13000</v>
      </c>
      <c r="CD823" s="37">
        <v>8500</v>
      </c>
      <c r="CE823" s="37">
        <v>0</v>
      </c>
      <c r="CF823" s="37">
        <v>0</v>
      </c>
      <c r="CG823" s="37">
        <v>0</v>
      </c>
      <c r="CH823" s="37">
        <v>0</v>
      </c>
      <c r="CI823" s="37">
        <v>0</v>
      </c>
      <c r="CJ823" s="37">
        <v>0</v>
      </c>
      <c r="CK823" s="37">
        <v>0</v>
      </c>
      <c r="CL823" s="37">
        <v>0</v>
      </c>
      <c r="CM823" s="37">
        <v>0</v>
      </c>
      <c r="CN823" s="37">
        <v>8500</v>
      </c>
      <c r="CO823" s="37">
        <v>0</v>
      </c>
      <c r="CP823" s="37">
        <v>0</v>
      </c>
      <c r="CQ823" s="37">
        <v>0</v>
      </c>
      <c r="CR823" s="37">
        <v>0</v>
      </c>
      <c r="CS823" s="37">
        <v>0</v>
      </c>
      <c r="CT823" s="37">
        <v>0</v>
      </c>
      <c r="CU823" s="37">
        <v>0</v>
      </c>
      <c r="CV823" s="37">
        <v>0</v>
      </c>
      <c r="CW823" s="37">
        <v>0</v>
      </c>
      <c r="CX823" s="37">
        <v>0</v>
      </c>
      <c r="CY823" s="37">
        <v>0</v>
      </c>
      <c r="CZ823" s="37">
        <v>0</v>
      </c>
      <c r="DA823" s="37">
        <v>0</v>
      </c>
      <c r="DB823" s="37">
        <v>0</v>
      </c>
      <c r="DC823" s="37">
        <v>0</v>
      </c>
      <c r="DD823" s="37">
        <v>0</v>
      </c>
      <c r="DE823" s="37">
        <v>0</v>
      </c>
      <c r="DF823" s="37">
        <v>0</v>
      </c>
      <c r="DG823" s="37">
        <v>0</v>
      </c>
      <c r="DH823" s="37">
        <v>0</v>
      </c>
      <c r="DI823" s="37">
        <v>0</v>
      </c>
      <c r="DJ823" s="37">
        <v>0</v>
      </c>
      <c r="DK823" s="37">
        <v>0</v>
      </c>
      <c r="DL823" s="37">
        <v>0</v>
      </c>
      <c r="DM823" s="37">
        <v>0</v>
      </c>
      <c r="DN823" s="37">
        <v>15000</v>
      </c>
      <c r="DO823" s="37">
        <v>0</v>
      </c>
      <c r="DP823" s="37">
        <v>0</v>
      </c>
      <c r="DQ823" s="37">
        <v>0</v>
      </c>
      <c r="DR823" s="37">
        <v>0</v>
      </c>
      <c r="DS823" s="37">
        <v>0</v>
      </c>
      <c r="DT823" s="37">
        <v>0</v>
      </c>
      <c r="DU823" s="37">
        <v>0</v>
      </c>
      <c r="DV823" s="37">
        <v>0</v>
      </c>
      <c r="DW823" s="37">
        <v>0</v>
      </c>
      <c r="DX823" s="37">
        <v>15000</v>
      </c>
      <c r="DY823" s="37">
        <v>0</v>
      </c>
      <c r="DZ823" s="37">
        <v>0</v>
      </c>
      <c r="EA823" s="37">
        <v>0</v>
      </c>
      <c r="EB823" s="37">
        <v>0</v>
      </c>
      <c r="EC823" s="37">
        <v>0</v>
      </c>
      <c r="ED823" s="37">
        <v>0</v>
      </c>
      <c r="EE823" s="37">
        <v>0</v>
      </c>
      <c r="EF823" s="37">
        <v>0</v>
      </c>
      <c r="EG823" s="37">
        <v>0</v>
      </c>
      <c r="EH823" s="37">
        <v>0</v>
      </c>
      <c r="EI823" s="37">
        <v>0</v>
      </c>
      <c r="EJ823" s="37">
        <v>0</v>
      </c>
      <c r="EK823" s="161" t="s">
        <v>3114</v>
      </c>
      <c r="EL823" s="294" t="s">
        <v>1124</v>
      </c>
    </row>
    <row r="824" spans="1:142" ht="15" customHeight="1" x14ac:dyDescent="0.35">
      <c r="A824" s="34"/>
      <c r="B824" s="313">
        <v>29020</v>
      </c>
      <c r="C824" s="8" t="s">
        <v>203</v>
      </c>
      <c r="D824" s="18">
        <v>12</v>
      </c>
      <c r="E824" s="155"/>
      <c r="F824" s="36"/>
      <c r="G824" s="37"/>
      <c r="H824" s="37"/>
      <c r="I824" s="37"/>
      <c r="J824" s="37"/>
      <c r="K824" s="37"/>
      <c r="L824" s="37"/>
      <c r="M824" s="37" t="s">
        <v>1124</v>
      </c>
      <c r="N824" s="37" t="s">
        <v>1124</v>
      </c>
      <c r="O824" s="37"/>
      <c r="P824" s="37"/>
      <c r="Q824" s="37"/>
      <c r="R824" s="37"/>
      <c r="S824" s="37"/>
      <c r="T824" s="37"/>
      <c r="U824" s="37"/>
      <c r="V824" s="37"/>
      <c r="W824" s="37"/>
      <c r="X824" s="37"/>
      <c r="Y824" s="37"/>
      <c r="Z824" s="37"/>
      <c r="AA824" s="37" t="s">
        <v>1124</v>
      </c>
      <c r="AB824" s="37" t="s">
        <v>1124</v>
      </c>
      <c r="AC824" s="37"/>
      <c r="AD824" s="37"/>
      <c r="AE824" s="37"/>
      <c r="AF824" s="168"/>
      <c r="AG824" s="37"/>
      <c r="AH824" s="37"/>
      <c r="AI824" s="37"/>
      <c r="AJ824" s="37"/>
      <c r="AK824" s="37"/>
      <c r="AL824" s="37"/>
      <c r="AM824" s="37"/>
      <c r="AN824" s="37"/>
      <c r="AO824" s="37"/>
      <c r="AP824" s="37"/>
      <c r="AQ824" s="37"/>
      <c r="AR824" s="37" t="s">
        <v>1124</v>
      </c>
      <c r="AS824" s="37"/>
      <c r="AT824" s="37"/>
      <c r="AU824" s="37"/>
      <c r="AV824" s="37"/>
      <c r="AW824" s="37"/>
      <c r="AX824" s="37"/>
      <c r="AY824" s="37"/>
      <c r="AZ824" s="37"/>
      <c r="BA824" s="37"/>
      <c r="BB824" s="37"/>
      <c r="BC824" s="37"/>
      <c r="BD824" s="37" t="s">
        <v>1124</v>
      </c>
      <c r="BE824" s="37"/>
      <c r="BF824" s="37"/>
      <c r="BG824" s="37"/>
      <c r="BH824" s="37"/>
      <c r="BI824" s="37"/>
      <c r="BJ824" s="37"/>
      <c r="BK824" s="37"/>
      <c r="BL824" s="37"/>
      <c r="BM824" s="37"/>
      <c r="BN824" s="37"/>
      <c r="BO824" s="37"/>
      <c r="BP824" s="37">
        <v>0</v>
      </c>
      <c r="BQ824" s="37"/>
      <c r="BR824" s="37"/>
      <c r="BS824" s="37"/>
      <c r="BT824" s="37"/>
      <c r="BU824" s="37"/>
      <c r="BV824" s="37"/>
      <c r="BW824" s="37"/>
      <c r="BX824" s="37"/>
      <c r="BY824" s="37"/>
      <c r="BZ824" s="37"/>
      <c r="CA824" s="37"/>
      <c r="CB824" s="37" t="s">
        <v>1124</v>
      </c>
      <c r="CC824" s="37"/>
      <c r="CD824" s="37"/>
      <c r="CE824" s="37"/>
      <c r="CF824" s="37"/>
      <c r="CG824" s="37"/>
      <c r="CH824" s="37"/>
      <c r="CI824" s="37"/>
      <c r="CJ824" s="37"/>
      <c r="CK824" s="37"/>
      <c r="CL824" s="37"/>
      <c r="CM824" s="37"/>
      <c r="CN824" s="37" t="s">
        <v>1124</v>
      </c>
      <c r="CO824" s="37"/>
      <c r="CP824" s="37"/>
      <c r="CQ824" s="37"/>
      <c r="CR824" s="37"/>
      <c r="CS824" s="37"/>
      <c r="CT824" s="37"/>
      <c r="CU824" s="37"/>
      <c r="CV824" s="37"/>
      <c r="CW824" s="37"/>
      <c r="CX824" s="37"/>
      <c r="CY824" s="37"/>
      <c r="CZ824" s="37" t="s">
        <v>1124</v>
      </c>
      <c r="DA824" s="37"/>
      <c r="DB824" s="37"/>
      <c r="DC824" s="37"/>
      <c r="DD824" s="37"/>
      <c r="DE824" s="37"/>
      <c r="DF824" s="37"/>
      <c r="DG824" s="37"/>
      <c r="DH824" s="37"/>
      <c r="DI824" s="37"/>
      <c r="DJ824" s="37"/>
      <c r="DK824" s="37"/>
      <c r="DL824" s="37" t="s">
        <v>1124</v>
      </c>
      <c r="DM824" s="37"/>
      <c r="DN824" s="37"/>
      <c r="DO824" s="37"/>
      <c r="DP824" s="37"/>
      <c r="DQ824" s="37"/>
      <c r="DR824" s="37"/>
      <c r="DS824" s="37"/>
      <c r="DT824" s="37"/>
      <c r="DU824" s="37"/>
      <c r="DV824" s="37"/>
      <c r="DW824" s="37"/>
      <c r="DX824" s="37" t="s">
        <v>1124</v>
      </c>
      <c r="DY824" s="37"/>
      <c r="DZ824" s="37"/>
      <c r="EA824" s="37"/>
      <c r="EB824" s="37"/>
      <c r="EC824" s="37"/>
      <c r="ED824" s="37"/>
      <c r="EE824" s="37"/>
      <c r="EF824" s="37"/>
      <c r="EG824" s="37"/>
      <c r="EH824" s="37"/>
      <c r="EI824" s="37"/>
      <c r="EJ824" s="37" t="s">
        <v>1124</v>
      </c>
      <c r="EK824" s="161"/>
      <c r="EL824" s="294"/>
    </row>
    <row r="825" spans="1:142" ht="15" customHeight="1" x14ac:dyDescent="0.35">
      <c r="A825" s="34"/>
      <c r="B825" s="313">
        <v>16050</v>
      </c>
      <c r="C825" s="8" t="s">
        <v>88</v>
      </c>
      <c r="D825" s="18">
        <v>3</v>
      </c>
      <c r="E825" s="155">
        <v>76947</v>
      </c>
      <c r="F825" s="36">
        <v>41752</v>
      </c>
      <c r="G825" s="37">
        <v>5894</v>
      </c>
      <c r="H825" s="37">
        <v>9054</v>
      </c>
      <c r="I825" s="37">
        <v>52681</v>
      </c>
      <c r="J825" s="37">
        <v>16349</v>
      </c>
      <c r="K825" s="37">
        <v>11542.05</v>
      </c>
      <c r="L825" s="37">
        <v>6262.8</v>
      </c>
      <c r="M825" s="37">
        <v>147064.04999999999</v>
      </c>
      <c r="N825" s="37">
        <v>73417.8</v>
      </c>
      <c r="O825" s="37">
        <v>0</v>
      </c>
      <c r="P825" s="37">
        <v>0</v>
      </c>
      <c r="Q825" s="37">
        <v>175210</v>
      </c>
      <c r="R825" s="37">
        <v>89591</v>
      </c>
      <c r="S825" s="37">
        <v>0</v>
      </c>
      <c r="T825" s="37">
        <v>0</v>
      </c>
      <c r="U825" s="37">
        <v>0</v>
      </c>
      <c r="V825" s="37">
        <v>0</v>
      </c>
      <c r="W825" s="37">
        <v>0</v>
      </c>
      <c r="X825" s="37">
        <v>0</v>
      </c>
      <c r="Y825" s="37">
        <v>0</v>
      </c>
      <c r="Z825" s="37">
        <v>0</v>
      </c>
      <c r="AA825" s="37">
        <v>175210</v>
      </c>
      <c r="AB825" s="37">
        <v>89591</v>
      </c>
      <c r="AC825" s="37">
        <v>44319</v>
      </c>
      <c r="AD825" s="37">
        <v>0</v>
      </c>
      <c r="AE825" s="37">
        <v>0</v>
      </c>
      <c r="AF825" s="168">
        <v>0.02</v>
      </c>
      <c r="AG825" s="37">
        <v>12883378.42</v>
      </c>
      <c r="AH825" s="37">
        <v>106298.85</v>
      </c>
      <c r="AI825" s="37">
        <v>108424.82</v>
      </c>
      <c r="AJ825" s="37">
        <v>110593.32</v>
      </c>
      <c r="AK825" s="37">
        <v>112805.18</v>
      </c>
      <c r="AL825" s="37">
        <v>115061.29</v>
      </c>
      <c r="AM825" s="37">
        <v>117362.51</v>
      </c>
      <c r="AN825" s="37">
        <v>119709.75999999999</v>
      </c>
      <c r="AO825" s="37">
        <v>122103.96</v>
      </c>
      <c r="AP825" s="37">
        <v>124546.04</v>
      </c>
      <c r="AQ825" s="37">
        <v>127036.96</v>
      </c>
      <c r="AR825" s="37">
        <v>1163942.6900000002</v>
      </c>
      <c r="AS825" s="37">
        <v>175797.84</v>
      </c>
      <c r="AT825" s="37">
        <v>0</v>
      </c>
      <c r="AU825" s="37">
        <v>0</v>
      </c>
      <c r="AV825" s="37">
        <v>0</v>
      </c>
      <c r="AW825" s="37">
        <v>0</v>
      </c>
      <c r="AX825" s="37">
        <v>0</v>
      </c>
      <c r="AY825" s="37">
        <v>0</v>
      </c>
      <c r="AZ825" s="37">
        <v>0</v>
      </c>
      <c r="BA825" s="37">
        <v>0</v>
      </c>
      <c r="BB825" s="37">
        <v>0</v>
      </c>
      <c r="BC825" s="37">
        <v>0</v>
      </c>
      <c r="BD825" s="37">
        <v>0</v>
      </c>
      <c r="BE825" s="37">
        <v>0</v>
      </c>
      <c r="BF825" s="37">
        <v>445014</v>
      </c>
      <c r="BG825" s="37">
        <v>592800</v>
      </c>
      <c r="BH825" s="37">
        <v>0</v>
      </c>
      <c r="BI825" s="37">
        <v>0</v>
      </c>
      <c r="BJ825" s="37">
        <v>0</v>
      </c>
      <c r="BK825" s="37">
        <v>0</v>
      </c>
      <c r="BL825" s="37">
        <v>0</v>
      </c>
      <c r="BM825" s="37">
        <v>0</v>
      </c>
      <c r="BN825" s="37">
        <v>0</v>
      </c>
      <c r="BO825" s="37">
        <v>0</v>
      </c>
      <c r="BP825" s="37">
        <v>1037814</v>
      </c>
      <c r="BQ825" s="37">
        <v>0</v>
      </c>
      <c r="BR825" s="37">
        <v>111254</v>
      </c>
      <c r="BS825" s="37">
        <v>0</v>
      </c>
      <c r="BT825" s="37">
        <v>0</v>
      </c>
      <c r="BU825" s="37">
        <v>0</v>
      </c>
      <c r="BV825" s="37">
        <v>0</v>
      </c>
      <c r="BW825" s="37">
        <v>0</v>
      </c>
      <c r="BX825" s="37">
        <v>0</v>
      </c>
      <c r="BY825" s="37">
        <v>0</v>
      </c>
      <c r="BZ825" s="37">
        <v>0</v>
      </c>
      <c r="CA825" s="37">
        <v>0</v>
      </c>
      <c r="CB825" s="37">
        <v>111254</v>
      </c>
      <c r="CC825" s="37">
        <v>0</v>
      </c>
      <c r="CD825" s="37">
        <v>0</v>
      </c>
      <c r="CE825" s="37">
        <v>0</v>
      </c>
      <c r="CF825" s="37">
        <v>0</v>
      </c>
      <c r="CG825" s="37">
        <v>0</v>
      </c>
      <c r="CH825" s="37">
        <v>0</v>
      </c>
      <c r="CI825" s="37">
        <v>0</v>
      </c>
      <c r="CJ825" s="37">
        <v>0</v>
      </c>
      <c r="CK825" s="37">
        <v>0</v>
      </c>
      <c r="CL825" s="37">
        <v>0</v>
      </c>
      <c r="CM825" s="37">
        <v>0</v>
      </c>
      <c r="CN825" s="37">
        <v>0</v>
      </c>
      <c r="CO825" s="37">
        <v>0</v>
      </c>
      <c r="CP825" s="37">
        <v>0</v>
      </c>
      <c r="CQ825" s="37">
        <v>0</v>
      </c>
      <c r="CR825" s="37">
        <v>0</v>
      </c>
      <c r="CS825" s="37">
        <v>0</v>
      </c>
      <c r="CT825" s="37">
        <v>0</v>
      </c>
      <c r="CU825" s="37">
        <v>0</v>
      </c>
      <c r="CV825" s="37">
        <v>0</v>
      </c>
      <c r="CW825" s="37">
        <v>0</v>
      </c>
      <c r="CX825" s="37">
        <v>0</v>
      </c>
      <c r="CY825" s="37">
        <v>0</v>
      </c>
      <c r="CZ825" s="37">
        <v>0</v>
      </c>
      <c r="DA825" s="37">
        <v>0</v>
      </c>
      <c r="DB825" s="37">
        <v>0</v>
      </c>
      <c r="DC825" s="37">
        <v>0</v>
      </c>
      <c r="DD825" s="37">
        <v>0</v>
      </c>
      <c r="DE825" s="37">
        <v>0</v>
      </c>
      <c r="DF825" s="37">
        <v>0</v>
      </c>
      <c r="DG825" s="37">
        <v>0</v>
      </c>
      <c r="DH825" s="37">
        <v>0</v>
      </c>
      <c r="DI825" s="37">
        <v>0</v>
      </c>
      <c r="DJ825" s="37">
        <v>0</v>
      </c>
      <c r="DK825" s="37">
        <v>0</v>
      </c>
      <c r="DL825" s="37">
        <v>0</v>
      </c>
      <c r="DM825" s="37">
        <v>0</v>
      </c>
      <c r="DN825" s="37">
        <v>0</v>
      </c>
      <c r="DO825" s="37">
        <v>0</v>
      </c>
      <c r="DP825" s="37">
        <v>0</v>
      </c>
      <c r="DQ825" s="37">
        <v>0</v>
      </c>
      <c r="DR825" s="37">
        <v>0</v>
      </c>
      <c r="DS825" s="37">
        <v>0</v>
      </c>
      <c r="DT825" s="37">
        <v>0</v>
      </c>
      <c r="DU825" s="37">
        <v>0</v>
      </c>
      <c r="DV825" s="37">
        <v>0</v>
      </c>
      <c r="DW825" s="37">
        <v>0</v>
      </c>
      <c r="DX825" s="37">
        <v>0</v>
      </c>
      <c r="DY825" s="37">
        <v>0</v>
      </c>
      <c r="DZ825" s="37">
        <v>0</v>
      </c>
      <c r="EA825" s="37">
        <v>0</v>
      </c>
      <c r="EB825" s="37">
        <v>0</v>
      </c>
      <c r="EC825" s="37">
        <v>0</v>
      </c>
      <c r="ED825" s="37">
        <v>0</v>
      </c>
      <c r="EE825" s="37">
        <v>0</v>
      </c>
      <c r="EF825" s="37">
        <v>0</v>
      </c>
      <c r="EG825" s="37">
        <v>0</v>
      </c>
      <c r="EH825" s="37">
        <v>0</v>
      </c>
      <c r="EI825" s="37">
        <v>0</v>
      </c>
      <c r="EJ825" s="37">
        <v>0</v>
      </c>
      <c r="EK825" s="161" t="s">
        <v>3118</v>
      </c>
      <c r="EL825" s="294" t="s">
        <v>1124</v>
      </c>
    </row>
    <row r="826" spans="1:142" ht="15" customHeight="1" x14ac:dyDescent="0.35">
      <c r="A826" s="34"/>
      <c r="B826" s="313">
        <v>75045</v>
      </c>
      <c r="C826" s="8" t="s">
        <v>746</v>
      </c>
      <c r="D826" s="18">
        <v>15</v>
      </c>
      <c r="E826" s="155">
        <v>24340</v>
      </c>
      <c r="F826" s="36">
        <v>0</v>
      </c>
      <c r="G826" s="37">
        <v>9900</v>
      </c>
      <c r="H826" s="37">
        <v>0</v>
      </c>
      <c r="I826" s="37">
        <v>28474</v>
      </c>
      <c r="J826" s="37">
        <v>0</v>
      </c>
      <c r="K826" s="37">
        <v>4295</v>
      </c>
      <c r="L826" s="37">
        <v>0</v>
      </c>
      <c r="M826" s="37">
        <v>67009</v>
      </c>
      <c r="N826" s="37">
        <v>0</v>
      </c>
      <c r="O826" s="37">
        <v>0</v>
      </c>
      <c r="P826" s="37">
        <v>0</v>
      </c>
      <c r="Q826" s="37">
        <v>23860</v>
      </c>
      <c r="R826" s="37">
        <v>0</v>
      </c>
      <c r="S826" s="37">
        <v>0</v>
      </c>
      <c r="T826" s="37">
        <v>0</v>
      </c>
      <c r="U826" s="37">
        <v>2337</v>
      </c>
      <c r="V826" s="37">
        <v>0</v>
      </c>
      <c r="W826" s="37">
        <v>40812</v>
      </c>
      <c r="X826" s="37">
        <v>0</v>
      </c>
      <c r="Y826" s="37">
        <v>0</v>
      </c>
      <c r="Z826" s="37">
        <v>0</v>
      </c>
      <c r="AA826" s="37">
        <v>67009</v>
      </c>
      <c r="AB826" s="37">
        <v>0</v>
      </c>
      <c r="AC826" s="37">
        <v>0</v>
      </c>
      <c r="AD826" s="37">
        <v>0</v>
      </c>
      <c r="AE826" s="37">
        <v>0</v>
      </c>
      <c r="AF826" s="168">
        <v>0.02</v>
      </c>
      <c r="AG826" s="37">
        <v>2567393.3199999998</v>
      </c>
      <c r="AH826" s="37">
        <v>21054.48</v>
      </c>
      <c r="AI826" s="37">
        <v>21475.57</v>
      </c>
      <c r="AJ826" s="37">
        <v>21905.08</v>
      </c>
      <c r="AK826" s="37">
        <v>22343.18</v>
      </c>
      <c r="AL826" s="37">
        <v>22790.05</v>
      </c>
      <c r="AM826" s="37">
        <v>23245.85</v>
      </c>
      <c r="AN826" s="37">
        <v>23710.77</v>
      </c>
      <c r="AO826" s="37">
        <v>24184.98</v>
      </c>
      <c r="AP826" s="37">
        <v>24668.68</v>
      </c>
      <c r="AQ826" s="37">
        <v>25162.05</v>
      </c>
      <c r="AR826" s="37">
        <v>230540.69000000003</v>
      </c>
      <c r="AS826" s="37">
        <v>0</v>
      </c>
      <c r="AT826" s="37">
        <v>0</v>
      </c>
      <c r="AU826" s="37">
        <v>0</v>
      </c>
      <c r="AV826" s="37">
        <v>0</v>
      </c>
      <c r="AW826" s="37">
        <v>0</v>
      </c>
      <c r="AX826" s="37">
        <v>0</v>
      </c>
      <c r="AY826" s="37">
        <v>0</v>
      </c>
      <c r="AZ826" s="37">
        <v>0</v>
      </c>
      <c r="BA826" s="37">
        <v>0</v>
      </c>
      <c r="BB826" s="37">
        <v>0</v>
      </c>
      <c r="BC826" s="37">
        <v>0</v>
      </c>
      <c r="BD826" s="37">
        <v>0</v>
      </c>
      <c r="BE826" s="37">
        <v>0</v>
      </c>
      <c r="BF826" s="37">
        <v>0</v>
      </c>
      <c r="BG826" s="37">
        <v>0</v>
      </c>
      <c r="BH826" s="37">
        <v>0</v>
      </c>
      <c r="BI826" s="37">
        <v>0</v>
      </c>
      <c r="BJ826" s="37">
        <v>0</v>
      </c>
      <c r="BK826" s="37">
        <v>0</v>
      </c>
      <c r="BL826" s="37">
        <v>0</v>
      </c>
      <c r="BM826" s="37">
        <v>0</v>
      </c>
      <c r="BN826" s="37">
        <v>0</v>
      </c>
      <c r="BO826" s="37">
        <v>0</v>
      </c>
      <c r="BP826" s="37">
        <v>0</v>
      </c>
      <c r="BQ826" s="37">
        <v>0</v>
      </c>
      <c r="BR826" s="37">
        <v>0</v>
      </c>
      <c r="BS826" s="37">
        <v>0</v>
      </c>
      <c r="BT826" s="37">
        <v>0</v>
      </c>
      <c r="BU826" s="37">
        <v>0</v>
      </c>
      <c r="BV826" s="37">
        <v>0</v>
      </c>
      <c r="BW826" s="37">
        <v>0</v>
      </c>
      <c r="BX826" s="37">
        <v>0</v>
      </c>
      <c r="BY826" s="37">
        <v>0</v>
      </c>
      <c r="BZ826" s="37">
        <v>0</v>
      </c>
      <c r="CA826" s="37">
        <v>0</v>
      </c>
      <c r="CB826" s="37">
        <v>0</v>
      </c>
      <c r="CC826" s="37">
        <v>0</v>
      </c>
      <c r="CD826" s="37">
        <v>0</v>
      </c>
      <c r="CE826" s="37">
        <v>0</v>
      </c>
      <c r="CF826" s="37">
        <v>0</v>
      </c>
      <c r="CG826" s="37">
        <v>0</v>
      </c>
      <c r="CH826" s="37">
        <v>0</v>
      </c>
      <c r="CI826" s="37">
        <v>0</v>
      </c>
      <c r="CJ826" s="37">
        <v>0</v>
      </c>
      <c r="CK826" s="37">
        <v>0</v>
      </c>
      <c r="CL826" s="37">
        <v>0</v>
      </c>
      <c r="CM826" s="37">
        <v>0</v>
      </c>
      <c r="CN826" s="37">
        <v>0</v>
      </c>
      <c r="CO826" s="37">
        <v>0</v>
      </c>
      <c r="CP826" s="37">
        <v>0</v>
      </c>
      <c r="CQ826" s="37">
        <v>0</v>
      </c>
      <c r="CR826" s="37">
        <v>0</v>
      </c>
      <c r="CS826" s="37">
        <v>0</v>
      </c>
      <c r="CT826" s="37">
        <v>0</v>
      </c>
      <c r="CU826" s="37">
        <v>0</v>
      </c>
      <c r="CV826" s="37">
        <v>0</v>
      </c>
      <c r="CW826" s="37">
        <v>0</v>
      </c>
      <c r="CX826" s="37">
        <v>0</v>
      </c>
      <c r="CY826" s="37">
        <v>0</v>
      </c>
      <c r="CZ826" s="37">
        <v>0</v>
      </c>
      <c r="DA826" s="37">
        <v>0</v>
      </c>
      <c r="DB826" s="37">
        <v>0</v>
      </c>
      <c r="DC826" s="37">
        <v>0</v>
      </c>
      <c r="DD826" s="37">
        <v>0</v>
      </c>
      <c r="DE826" s="37">
        <v>0</v>
      </c>
      <c r="DF826" s="37">
        <v>0</v>
      </c>
      <c r="DG826" s="37">
        <v>0</v>
      </c>
      <c r="DH826" s="37">
        <v>0</v>
      </c>
      <c r="DI826" s="37">
        <v>0</v>
      </c>
      <c r="DJ826" s="37">
        <v>0</v>
      </c>
      <c r="DK826" s="37">
        <v>0</v>
      </c>
      <c r="DL826" s="37">
        <v>0</v>
      </c>
      <c r="DM826" s="37">
        <v>0</v>
      </c>
      <c r="DN826" s="37">
        <v>0</v>
      </c>
      <c r="DO826" s="37">
        <v>0</v>
      </c>
      <c r="DP826" s="37">
        <v>0</v>
      </c>
      <c r="DQ826" s="37">
        <v>0</v>
      </c>
      <c r="DR826" s="37">
        <v>0</v>
      </c>
      <c r="DS826" s="37">
        <v>0</v>
      </c>
      <c r="DT826" s="37">
        <v>0</v>
      </c>
      <c r="DU826" s="37">
        <v>0</v>
      </c>
      <c r="DV826" s="37">
        <v>0</v>
      </c>
      <c r="DW826" s="37">
        <v>0</v>
      </c>
      <c r="DX826" s="37">
        <v>0</v>
      </c>
      <c r="DY826" s="37">
        <v>0</v>
      </c>
      <c r="DZ826" s="37">
        <v>0</v>
      </c>
      <c r="EA826" s="37">
        <v>0</v>
      </c>
      <c r="EB826" s="37">
        <v>0</v>
      </c>
      <c r="EC826" s="37">
        <v>0</v>
      </c>
      <c r="ED826" s="37">
        <v>0</v>
      </c>
      <c r="EE826" s="37">
        <v>0</v>
      </c>
      <c r="EF826" s="37">
        <v>0</v>
      </c>
      <c r="EG826" s="37">
        <v>0</v>
      </c>
      <c r="EH826" s="37">
        <v>0</v>
      </c>
      <c r="EI826" s="37">
        <v>0</v>
      </c>
      <c r="EJ826" s="37">
        <v>0</v>
      </c>
      <c r="EK826" s="161" t="s">
        <v>3123</v>
      </c>
      <c r="EL826" s="294" t="s">
        <v>1124</v>
      </c>
    </row>
    <row r="827" spans="1:142" ht="15" customHeight="1" x14ac:dyDescent="0.35">
      <c r="A827" s="34"/>
      <c r="B827" s="313">
        <v>94240</v>
      </c>
      <c r="C827" s="8" t="s">
        <v>980</v>
      </c>
      <c r="D827" s="18">
        <v>2</v>
      </c>
      <c r="E827" s="155">
        <v>231832</v>
      </c>
      <c r="F827" s="36">
        <v>194181</v>
      </c>
      <c r="G827" s="37">
        <v>71658</v>
      </c>
      <c r="H827" s="37">
        <v>22108</v>
      </c>
      <c r="I827" s="37">
        <v>255000</v>
      </c>
      <c r="J827" s="37">
        <v>22000</v>
      </c>
      <c r="K827" s="37">
        <v>34775</v>
      </c>
      <c r="L827" s="37">
        <v>29127</v>
      </c>
      <c r="M827" s="37">
        <v>593265</v>
      </c>
      <c r="N827" s="37">
        <v>267416</v>
      </c>
      <c r="O827" s="37">
        <v>0</v>
      </c>
      <c r="P827" s="37">
        <v>0</v>
      </c>
      <c r="Q827" s="37">
        <v>319014</v>
      </c>
      <c r="R827" s="37">
        <v>136814</v>
      </c>
      <c r="S827" s="37">
        <v>11803</v>
      </c>
      <c r="T827" s="37">
        <v>300</v>
      </c>
      <c r="U827" s="37">
        <v>122567</v>
      </c>
      <c r="V827" s="37">
        <v>37731</v>
      </c>
      <c r="W827" s="37">
        <v>139881</v>
      </c>
      <c r="X827" s="37">
        <v>92571</v>
      </c>
      <c r="Y827" s="37">
        <v>0</v>
      </c>
      <c r="Z827" s="37">
        <v>0</v>
      </c>
      <c r="AA827" s="37">
        <v>593265</v>
      </c>
      <c r="AB827" s="37">
        <v>267416</v>
      </c>
      <c r="AC827" s="37">
        <v>0</v>
      </c>
      <c r="AD827" s="37">
        <v>0</v>
      </c>
      <c r="AE827" s="37">
        <v>0</v>
      </c>
      <c r="AF827" s="168">
        <v>0.02</v>
      </c>
      <c r="AG827" s="37">
        <v>76728765.189999998</v>
      </c>
      <c r="AH827" s="37">
        <v>713670.88</v>
      </c>
      <c r="AI827" s="37">
        <v>716271.01</v>
      </c>
      <c r="AJ827" s="37">
        <v>730596.43</v>
      </c>
      <c r="AK827" s="37">
        <v>745208.35</v>
      </c>
      <c r="AL827" s="37">
        <v>760112.52</v>
      </c>
      <c r="AM827" s="37">
        <v>775314.77</v>
      </c>
      <c r="AN827" s="37">
        <v>790821.07</v>
      </c>
      <c r="AO827" s="37">
        <v>806637.49</v>
      </c>
      <c r="AP827" s="37">
        <v>822770.24</v>
      </c>
      <c r="AQ827" s="37">
        <v>839225.64</v>
      </c>
      <c r="AR827" s="37">
        <v>7700628.3999999994</v>
      </c>
      <c r="AS827" s="37">
        <v>1759941.68</v>
      </c>
      <c r="AT827" s="37">
        <v>1482570</v>
      </c>
      <c r="AU827" s="37">
        <v>0</v>
      </c>
      <c r="AV827" s="37">
        <v>4870944.72</v>
      </c>
      <c r="AW827" s="37">
        <v>0</v>
      </c>
      <c r="AX827" s="37">
        <v>0</v>
      </c>
      <c r="AY827" s="37">
        <v>0</v>
      </c>
      <c r="AZ827" s="37">
        <v>0</v>
      </c>
      <c r="BA827" s="37">
        <v>0</v>
      </c>
      <c r="BB827" s="37">
        <v>0</v>
      </c>
      <c r="BC827" s="37">
        <v>0</v>
      </c>
      <c r="BD827" s="37">
        <v>6353514.7199999997</v>
      </c>
      <c r="BE827" s="37">
        <v>40000</v>
      </c>
      <c r="BF827" s="37">
        <v>500000</v>
      </c>
      <c r="BG827" s="37">
        <v>5000000</v>
      </c>
      <c r="BH827" s="37">
        <v>0</v>
      </c>
      <c r="BI827" s="37">
        <v>0</v>
      </c>
      <c r="BJ827" s="37">
        <v>0</v>
      </c>
      <c r="BK827" s="37">
        <v>0</v>
      </c>
      <c r="BL827" s="37">
        <v>0</v>
      </c>
      <c r="BM827" s="37">
        <v>0</v>
      </c>
      <c r="BN827" s="37">
        <v>0</v>
      </c>
      <c r="BO827" s="37">
        <v>0</v>
      </c>
      <c r="BP827" s="37">
        <v>5500000</v>
      </c>
      <c r="BQ827" s="37">
        <v>200000</v>
      </c>
      <c r="BR827" s="37">
        <v>500000</v>
      </c>
      <c r="BS827" s="37">
        <v>2000000</v>
      </c>
      <c r="BT827" s="37">
        <v>0</v>
      </c>
      <c r="BU827" s="37">
        <v>0</v>
      </c>
      <c r="BV827" s="37">
        <v>0</v>
      </c>
      <c r="BW827" s="37">
        <v>0</v>
      </c>
      <c r="BX827" s="37">
        <v>0</v>
      </c>
      <c r="BY827" s="37">
        <v>0</v>
      </c>
      <c r="BZ827" s="37">
        <v>0</v>
      </c>
      <c r="CA827" s="37">
        <v>0</v>
      </c>
      <c r="CB827" s="37">
        <v>2500000</v>
      </c>
      <c r="CC827" s="37">
        <v>50000</v>
      </c>
      <c r="CD827" s="37">
        <v>50000</v>
      </c>
      <c r="CE827" s="37">
        <v>50000</v>
      </c>
      <c r="CF827" s="37">
        <v>0</v>
      </c>
      <c r="CG827" s="37">
        <v>0</v>
      </c>
      <c r="CH827" s="37">
        <v>0</v>
      </c>
      <c r="CI827" s="37">
        <v>0</v>
      </c>
      <c r="CJ827" s="37">
        <v>0</v>
      </c>
      <c r="CK827" s="37">
        <v>0</v>
      </c>
      <c r="CL827" s="37">
        <v>0</v>
      </c>
      <c r="CM827" s="37">
        <v>0</v>
      </c>
      <c r="CN827" s="37">
        <v>100000</v>
      </c>
      <c r="CO827" s="37">
        <v>0</v>
      </c>
      <c r="CP827" s="37">
        <v>0</v>
      </c>
      <c r="CQ827" s="37">
        <v>0</v>
      </c>
      <c r="CR827" s="37">
        <v>0</v>
      </c>
      <c r="CS827" s="37">
        <v>0</v>
      </c>
      <c r="CT827" s="37">
        <v>0</v>
      </c>
      <c r="CU827" s="37">
        <v>0</v>
      </c>
      <c r="CV827" s="37">
        <v>0</v>
      </c>
      <c r="CW827" s="37">
        <v>0</v>
      </c>
      <c r="CX827" s="37">
        <v>0</v>
      </c>
      <c r="CY827" s="37">
        <v>0</v>
      </c>
      <c r="CZ827" s="37">
        <v>0</v>
      </c>
      <c r="DA827" s="37">
        <v>80000</v>
      </c>
      <c r="DB827" s="37">
        <v>80000</v>
      </c>
      <c r="DC827" s="37">
        <v>80000</v>
      </c>
      <c r="DD827" s="37">
        <v>0</v>
      </c>
      <c r="DE827" s="37">
        <v>0</v>
      </c>
      <c r="DF827" s="37">
        <v>0</v>
      </c>
      <c r="DG827" s="37">
        <v>0</v>
      </c>
      <c r="DH827" s="37">
        <v>0</v>
      </c>
      <c r="DI827" s="37">
        <v>0</v>
      </c>
      <c r="DJ827" s="37">
        <v>0</v>
      </c>
      <c r="DK827" s="37">
        <v>0</v>
      </c>
      <c r="DL827" s="37">
        <v>160000</v>
      </c>
      <c r="DM827" s="37">
        <v>91000</v>
      </c>
      <c r="DN827" s="37">
        <v>0</v>
      </c>
      <c r="DO827" s="37">
        <v>0</v>
      </c>
      <c r="DP827" s="37">
        <v>0</v>
      </c>
      <c r="DQ827" s="37">
        <v>0</v>
      </c>
      <c r="DR827" s="37">
        <v>0</v>
      </c>
      <c r="DS827" s="37">
        <v>0</v>
      </c>
      <c r="DT827" s="37">
        <v>0</v>
      </c>
      <c r="DU827" s="37">
        <v>0</v>
      </c>
      <c r="DV827" s="37">
        <v>0</v>
      </c>
      <c r="DW827" s="37">
        <v>0</v>
      </c>
      <c r="DX827" s="37">
        <v>0</v>
      </c>
      <c r="DY827" s="37">
        <v>196000</v>
      </c>
      <c r="DZ827" s="37">
        <v>400000</v>
      </c>
      <c r="EA827" s="37">
        <v>400000</v>
      </c>
      <c r="EB827" s="37">
        <v>0</v>
      </c>
      <c r="EC827" s="37">
        <v>0</v>
      </c>
      <c r="ED827" s="37">
        <v>0</v>
      </c>
      <c r="EE827" s="37">
        <v>0</v>
      </c>
      <c r="EF827" s="37">
        <v>0</v>
      </c>
      <c r="EG827" s="37">
        <v>0</v>
      </c>
      <c r="EH827" s="37">
        <v>0</v>
      </c>
      <c r="EI827" s="37">
        <v>0</v>
      </c>
      <c r="EJ827" s="37">
        <v>800000</v>
      </c>
      <c r="EK827" s="161" t="s">
        <v>3126</v>
      </c>
      <c r="EL827" s="294" t="s">
        <v>1124</v>
      </c>
    </row>
    <row r="828" spans="1:142" ht="15" customHeight="1" x14ac:dyDescent="0.35">
      <c r="A828" s="34"/>
      <c r="B828" s="313">
        <v>29038</v>
      </c>
      <c r="C828" s="8" t="s">
        <v>206</v>
      </c>
      <c r="D828" s="18">
        <v>12</v>
      </c>
      <c r="E828" s="155">
        <v>58236</v>
      </c>
      <c r="F828" s="36">
        <v>47746</v>
      </c>
      <c r="G828" s="37">
        <v>75445</v>
      </c>
      <c r="H828" s="37">
        <v>0</v>
      </c>
      <c r="I828" s="37">
        <v>25200</v>
      </c>
      <c r="J828" s="37">
        <v>0</v>
      </c>
      <c r="K828" s="37">
        <v>8735.4</v>
      </c>
      <c r="L828" s="37">
        <v>7161.9</v>
      </c>
      <c r="M828" s="37">
        <v>167616.4</v>
      </c>
      <c r="N828" s="37">
        <v>54907.9</v>
      </c>
      <c r="O828" s="37">
        <v>19680</v>
      </c>
      <c r="P828" s="37">
        <v>0</v>
      </c>
      <c r="Q828" s="37">
        <v>66300</v>
      </c>
      <c r="R828" s="37">
        <v>78400</v>
      </c>
      <c r="S828" s="37">
        <v>0</v>
      </c>
      <c r="T828" s="37">
        <v>0</v>
      </c>
      <c r="U828" s="37">
        <v>192002</v>
      </c>
      <c r="V828" s="37">
        <v>0</v>
      </c>
      <c r="W828" s="37">
        <v>0</v>
      </c>
      <c r="X828" s="37">
        <v>0</v>
      </c>
      <c r="Y828" s="37">
        <v>0</v>
      </c>
      <c r="Z828" s="37">
        <v>0</v>
      </c>
      <c r="AA828" s="37">
        <v>277982</v>
      </c>
      <c r="AB828" s="37">
        <v>78400</v>
      </c>
      <c r="AC828" s="37">
        <v>133858</v>
      </c>
      <c r="AD828" s="37">
        <v>0</v>
      </c>
      <c r="AE828" s="37">
        <v>0</v>
      </c>
      <c r="AF828" s="168">
        <v>0.02</v>
      </c>
      <c r="AG828" s="37">
        <v>21477612.41</v>
      </c>
      <c r="AH828" s="37">
        <v>150272.15</v>
      </c>
      <c r="AI828" s="37">
        <v>153277.59</v>
      </c>
      <c r="AJ828" s="37">
        <v>156343.14000000001</v>
      </c>
      <c r="AK828" s="37">
        <v>159470.01</v>
      </c>
      <c r="AL828" s="37">
        <v>162659.41</v>
      </c>
      <c r="AM828" s="37">
        <v>165912.6</v>
      </c>
      <c r="AN828" s="37">
        <v>169230.85</v>
      </c>
      <c r="AO828" s="37">
        <v>172615.46</v>
      </c>
      <c r="AP828" s="37">
        <v>176067.77</v>
      </c>
      <c r="AQ828" s="37">
        <v>179589.13</v>
      </c>
      <c r="AR828" s="37">
        <v>1645438.11</v>
      </c>
      <c r="AS828" s="37">
        <v>792727.58</v>
      </c>
      <c r="AT828" s="37">
        <v>0</v>
      </c>
      <c r="AU828" s="37">
        <v>0</v>
      </c>
      <c r="AV828" s="37">
        <v>0</v>
      </c>
      <c r="AW828" s="37">
        <v>0</v>
      </c>
      <c r="AX828" s="37">
        <v>0</v>
      </c>
      <c r="AY828" s="37">
        <v>0</v>
      </c>
      <c r="AZ828" s="37">
        <v>0</v>
      </c>
      <c r="BA828" s="37">
        <v>0</v>
      </c>
      <c r="BB828" s="37">
        <v>0</v>
      </c>
      <c r="BC828" s="37">
        <v>0</v>
      </c>
      <c r="BD828" s="37">
        <v>0</v>
      </c>
      <c r="BE828" s="37">
        <v>304875</v>
      </c>
      <c r="BF828" s="37">
        <v>233931.55525231399</v>
      </c>
      <c r="BG828" s="37">
        <v>0</v>
      </c>
      <c r="BH828" s="37">
        <v>0</v>
      </c>
      <c r="BI828" s="37">
        <v>0</v>
      </c>
      <c r="BJ828" s="37">
        <v>0</v>
      </c>
      <c r="BK828" s="37">
        <v>0</v>
      </c>
      <c r="BL828" s="37">
        <v>0</v>
      </c>
      <c r="BM828" s="37">
        <v>0</v>
      </c>
      <c r="BN828" s="37">
        <v>0</v>
      </c>
      <c r="BO828" s="37">
        <v>0</v>
      </c>
      <c r="BP828" s="37">
        <v>233931.55525231399</v>
      </c>
      <c r="BQ828" s="37">
        <v>152438</v>
      </c>
      <c r="BR828" s="37">
        <v>94335</v>
      </c>
      <c r="BS828" s="37">
        <v>0</v>
      </c>
      <c r="BT828" s="37">
        <v>0</v>
      </c>
      <c r="BU828" s="37">
        <v>0</v>
      </c>
      <c r="BV828" s="37">
        <v>0</v>
      </c>
      <c r="BW828" s="37">
        <v>0</v>
      </c>
      <c r="BX828" s="37">
        <v>0</v>
      </c>
      <c r="BY828" s="37">
        <v>0</v>
      </c>
      <c r="BZ828" s="37">
        <v>0</v>
      </c>
      <c r="CA828" s="37">
        <v>0</v>
      </c>
      <c r="CB828" s="37">
        <v>94335</v>
      </c>
      <c r="CC828" s="37">
        <v>0</v>
      </c>
      <c r="CD828" s="37">
        <v>52080.444747686008</v>
      </c>
      <c r="CE828" s="37">
        <v>0</v>
      </c>
      <c r="CF828" s="37">
        <v>0</v>
      </c>
      <c r="CG828" s="37">
        <v>0</v>
      </c>
      <c r="CH828" s="37">
        <v>0</v>
      </c>
      <c r="CI828" s="37">
        <v>0</v>
      </c>
      <c r="CJ828" s="37">
        <v>0</v>
      </c>
      <c r="CK828" s="37">
        <v>0</v>
      </c>
      <c r="CL828" s="37">
        <v>0</v>
      </c>
      <c r="CM828" s="37">
        <v>0</v>
      </c>
      <c r="CN828" s="37">
        <v>52080.444747686008</v>
      </c>
      <c r="CO828" s="37">
        <v>0</v>
      </c>
      <c r="CP828" s="37">
        <v>0</v>
      </c>
      <c r="CQ828" s="37">
        <v>0</v>
      </c>
      <c r="CR828" s="37">
        <v>0</v>
      </c>
      <c r="CS828" s="37">
        <v>0</v>
      </c>
      <c r="CT828" s="37">
        <v>0</v>
      </c>
      <c r="CU828" s="37">
        <v>0</v>
      </c>
      <c r="CV828" s="37">
        <v>0</v>
      </c>
      <c r="CW828" s="37">
        <v>0</v>
      </c>
      <c r="CX828" s="37">
        <v>0</v>
      </c>
      <c r="CY828" s="37">
        <v>0</v>
      </c>
      <c r="CZ828" s="37">
        <v>0</v>
      </c>
      <c r="DA828" s="37">
        <v>0</v>
      </c>
      <c r="DB828" s="37">
        <v>0</v>
      </c>
      <c r="DC828" s="37">
        <v>0</v>
      </c>
      <c r="DD828" s="37">
        <v>0</v>
      </c>
      <c r="DE828" s="37">
        <v>0</v>
      </c>
      <c r="DF828" s="37">
        <v>0</v>
      </c>
      <c r="DG828" s="37">
        <v>0</v>
      </c>
      <c r="DH828" s="37">
        <v>0</v>
      </c>
      <c r="DI828" s="37">
        <v>0</v>
      </c>
      <c r="DJ828" s="37">
        <v>0</v>
      </c>
      <c r="DK828" s="37">
        <v>0</v>
      </c>
      <c r="DL828" s="37">
        <v>0</v>
      </c>
      <c r="DM828" s="37">
        <v>0</v>
      </c>
      <c r="DN828" s="37">
        <v>0</v>
      </c>
      <c r="DO828" s="37">
        <v>0</v>
      </c>
      <c r="DP828" s="37">
        <v>0</v>
      </c>
      <c r="DQ828" s="37">
        <v>0</v>
      </c>
      <c r="DR828" s="37">
        <v>0</v>
      </c>
      <c r="DS828" s="37">
        <v>0</v>
      </c>
      <c r="DT828" s="37">
        <v>0</v>
      </c>
      <c r="DU828" s="37">
        <v>0</v>
      </c>
      <c r="DV828" s="37">
        <v>0</v>
      </c>
      <c r="DW828" s="37">
        <v>0</v>
      </c>
      <c r="DX828" s="37">
        <v>0</v>
      </c>
      <c r="DY828" s="37">
        <v>0</v>
      </c>
      <c r="DZ828" s="37">
        <v>0</v>
      </c>
      <c r="EA828" s="37">
        <v>0</v>
      </c>
      <c r="EB828" s="37">
        <v>0</v>
      </c>
      <c r="EC828" s="37">
        <v>0</v>
      </c>
      <c r="ED828" s="37">
        <v>0</v>
      </c>
      <c r="EE828" s="37">
        <v>0</v>
      </c>
      <c r="EF828" s="37">
        <v>0</v>
      </c>
      <c r="EG828" s="37">
        <v>0</v>
      </c>
      <c r="EH828" s="37">
        <v>0</v>
      </c>
      <c r="EI828" s="37">
        <v>0</v>
      </c>
      <c r="EJ828" s="37">
        <v>0</v>
      </c>
      <c r="EK828" s="161" t="s">
        <v>3129</v>
      </c>
      <c r="EL828" s="294" t="s">
        <v>1124</v>
      </c>
    </row>
    <row r="829" spans="1:142" ht="15" customHeight="1" x14ac:dyDescent="0.35">
      <c r="A829" s="34"/>
      <c r="B829" s="313">
        <v>13090</v>
      </c>
      <c r="C829" s="8" t="s">
        <v>57</v>
      </c>
      <c r="D829" s="18">
        <v>1</v>
      </c>
      <c r="E829" s="155"/>
      <c r="F829" s="36"/>
      <c r="G829" s="37"/>
      <c r="H829" s="37"/>
      <c r="I829" s="37"/>
      <c r="J829" s="37"/>
      <c r="K829" s="37"/>
      <c r="L829" s="37"/>
      <c r="M829" s="37" t="s">
        <v>1124</v>
      </c>
      <c r="N829" s="37" t="s">
        <v>1124</v>
      </c>
      <c r="O829" s="37"/>
      <c r="P829" s="37"/>
      <c r="Q829" s="37"/>
      <c r="R829" s="37"/>
      <c r="S829" s="37"/>
      <c r="T829" s="37"/>
      <c r="U829" s="37"/>
      <c r="V829" s="37"/>
      <c r="W829" s="37"/>
      <c r="X829" s="37"/>
      <c r="Y829" s="37"/>
      <c r="Z829" s="37"/>
      <c r="AA829" s="37" t="s">
        <v>1124</v>
      </c>
      <c r="AB829" s="37" t="s">
        <v>1124</v>
      </c>
      <c r="AC829" s="37"/>
      <c r="AD829" s="37"/>
      <c r="AE829" s="37"/>
      <c r="AF829" s="168"/>
      <c r="AG829" s="37"/>
      <c r="AH829" s="37"/>
      <c r="AI829" s="37"/>
      <c r="AJ829" s="37"/>
      <c r="AK829" s="37"/>
      <c r="AL829" s="37"/>
      <c r="AM829" s="37"/>
      <c r="AN829" s="37"/>
      <c r="AO829" s="37"/>
      <c r="AP829" s="37"/>
      <c r="AQ829" s="37"/>
      <c r="AR829" s="37" t="s">
        <v>1124</v>
      </c>
      <c r="AS829" s="37"/>
      <c r="AT829" s="37"/>
      <c r="AU829" s="37"/>
      <c r="AV829" s="37"/>
      <c r="AW829" s="37"/>
      <c r="AX829" s="37"/>
      <c r="AY829" s="37"/>
      <c r="AZ829" s="37"/>
      <c r="BA829" s="37"/>
      <c r="BB829" s="37"/>
      <c r="BC829" s="37"/>
      <c r="BD829" s="37" t="s">
        <v>1124</v>
      </c>
      <c r="BE829" s="37"/>
      <c r="BF829" s="37"/>
      <c r="BG829" s="37"/>
      <c r="BH829" s="37"/>
      <c r="BI829" s="37"/>
      <c r="BJ829" s="37"/>
      <c r="BK829" s="37"/>
      <c r="BL829" s="37"/>
      <c r="BM829" s="37"/>
      <c r="BN829" s="37"/>
      <c r="BO829" s="37"/>
      <c r="BP829" s="37">
        <v>0</v>
      </c>
      <c r="BQ829" s="37"/>
      <c r="BR829" s="37"/>
      <c r="BS829" s="37"/>
      <c r="BT829" s="37"/>
      <c r="BU829" s="37"/>
      <c r="BV829" s="37"/>
      <c r="BW829" s="37"/>
      <c r="BX829" s="37"/>
      <c r="BY829" s="37"/>
      <c r="BZ829" s="37"/>
      <c r="CA829" s="37"/>
      <c r="CB829" s="37" t="s">
        <v>1124</v>
      </c>
      <c r="CC829" s="37"/>
      <c r="CD829" s="37"/>
      <c r="CE829" s="37"/>
      <c r="CF829" s="37"/>
      <c r="CG829" s="37"/>
      <c r="CH829" s="37"/>
      <c r="CI829" s="37"/>
      <c r="CJ829" s="37"/>
      <c r="CK829" s="37"/>
      <c r="CL829" s="37"/>
      <c r="CM829" s="37"/>
      <c r="CN829" s="37" t="s">
        <v>1124</v>
      </c>
      <c r="CO829" s="37"/>
      <c r="CP829" s="37"/>
      <c r="CQ829" s="37"/>
      <c r="CR829" s="37"/>
      <c r="CS829" s="37"/>
      <c r="CT829" s="37"/>
      <c r="CU829" s="37"/>
      <c r="CV829" s="37"/>
      <c r="CW829" s="37"/>
      <c r="CX829" s="37"/>
      <c r="CY829" s="37"/>
      <c r="CZ829" s="37" t="s">
        <v>1124</v>
      </c>
      <c r="DA829" s="37"/>
      <c r="DB829" s="37"/>
      <c r="DC829" s="37"/>
      <c r="DD829" s="37"/>
      <c r="DE829" s="37"/>
      <c r="DF829" s="37"/>
      <c r="DG829" s="37"/>
      <c r="DH829" s="37"/>
      <c r="DI829" s="37"/>
      <c r="DJ829" s="37"/>
      <c r="DK829" s="37"/>
      <c r="DL829" s="37" t="s">
        <v>1124</v>
      </c>
      <c r="DM829" s="37"/>
      <c r="DN829" s="37"/>
      <c r="DO829" s="37"/>
      <c r="DP829" s="37"/>
      <c r="DQ829" s="37"/>
      <c r="DR829" s="37"/>
      <c r="DS829" s="37"/>
      <c r="DT829" s="37"/>
      <c r="DU829" s="37"/>
      <c r="DV829" s="37"/>
      <c r="DW829" s="37"/>
      <c r="DX829" s="37" t="s">
        <v>1124</v>
      </c>
      <c r="DY829" s="37"/>
      <c r="DZ829" s="37"/>
      <c r="EA829" s="37"/>
      <c r="EB829" s="37"/>
      <c r="EC829" s="37"/>
      <c r="ED829" s="37"/>
      <c r="EE829" s="37"/>
      <c r="EF829" s="37"/>
      <c r="EG829" s="37"/>
      <c r="EH829" s="37"/>
      <c r="EI829" s="37"/>
      <c r="EJ829" s="37" t="s">
        <v>1124</v>
      </c>
      <c r="EK829" s="161"/>
      <c r="EL829" s="294"/>
    </row>
    <row r="830" spans="1:142" ht="15" customHeight="1" x14ac:dyDescent="0.35">
      <c r="A830" s="34"/>
      <c r="B830" s="313">
        <v>12010</v>
      </c>
      <c r="C830" s="8" t="s">
        <v>29</v>
      </c>
      <c r="D830" s="18">
        <v>1</v>
      </c>
      <c r="E830" s="155">
        <v>168516</v>
      </c>
      <c r="F830" s="36">
        <v>67914</v>
      </c>
      <c r="G830" s="37">
        <v>56779</v>
      </c>
      <c r="H830" s="37">
        <v>11983</v>
      </c>
      <c r="I830" s="37">
        <v>413210</v>
      </c>
      <c r="J830" s="37">
        <v>177090</v>
      </c>
      <c r="K830" s="37">
        <v>25280</v>
      </c>
      <c r="L830" s="37">
        <v>10190</v>
      </c>
      <c r="M830" s="37">
        <v>663785</v>
      </c>
      <c r="N830" s="37">
        <v>267177</v>
      </c>
      <c r="O830" s="37">
        <v>0</v>
      </c>
      <c r="P830" s="37">
        <v>0</v>
      </c>
      <c r="Q830" s="37">
        <v>218920</v>
      </c>
      <c r="R830" s="37">
        <v>77582</v>
      </c>
      <c r="S830" s="37">
        <v>0</v>
      </c>
      <c r="T830" s="37">
        <v>0</v>
      </c>
      <c r="U830" s="37">
        <v>90145</v>
      </c>
      <c r="V830" s="37">
        <v>0</v>
      </c>
      <c r="W830" s="37">
        <v>232775</v>
      </c>
      <c r="X830" s="37">
        <v>189595</v>
      </c>
      <c r="Y830" s="37">
        <v>121945</v>
      </c>
      <c r="Z830" s="37">
        <v>0</v>
      </c>
      <c r="AA830" s="37">
        <v>663785</v>
      </c>
      <c r="AB830" s="37">
        <v>267177</v>
      </c>
      <c r="AC830" s="37">
        <v>0</v>
      </c>
      <c r="AD830" s="37">
        <v>0</v>
      </c>
      <c r="AE830" s="37">
        <v>48138</v>
      </c>
      <c r="AF830" s="168">
        <v>0.02</v>
      </c>
      <c r="AG830" s="37">
        <v>24936267.109999999</v>
      </c>
      <c r="AH830" s="37">
        <v>218302.44</v>
      </c>
      <c r="AI830" s="37">
        <v>216301.24</v>
      </c>
      <c r="AJ830" s="37">
        <v>203563.04</v>
      </c>
      <c r="AK830" s="37">
        <v>207634.3</v>
      </c>
      <c r="AL830" s="37">
        <v>211786.99</v>
      </c>
      <c r="AM830" s="37">
        <v>216022.73</v>
      </c>
      <c r="AN830" s="37">
        <v>220343.18</v>
      </c>
      <c r="AO830" s="37">
        <v>224750.05</v>
      </c>
      <c r="AP830" s="37">
        <v>229245.05</v>
      </c>
      <c r="AQ830" s="37">
        <v>233829.95</v>
      </c>
      <c r="AR830" s="37">
        <v>2181778.9700000002</v>
      </c>
      <c r="AS830" s="37">
        <v>1274490</v>
      </c>
      <c r="AT830" s="37">
        <v>0</v>
      </c>
      <c r="AU830" s="37">
        <v>213594.12</v>
      </c>
      <c r="AV830" s="37">
        <v>0</v>
      </c>
      <c r="AW830" s="37">
        <v>0</v>
      </c>
      <c r="AX830" s="37">
        <v>0</v>
      </c>
      <c r="AY830" s="37">
        <v>0</v>
      </c>
      <c r="AZ830" s="37">
        <v>0</v>
      </c>
      <c r="BA830" s="37">
        <v>0</v>
      </c>
      <c r="BB830" s="37">
        <v>0</v>
      </c>
      <c r="BC830" s="37">
        <v>0</v>
      </c>
      <c r="BD830" s="37">
        <v>213594.12</v>
      </c>
      <c r="BE830" s="37">
        <v>215387</v>
      </c>
      <c r="BF830" s="37">
        <v>656151</v>
      </c>
      <c r="BG830" s="37">
        <v>329480</v>
      </c>
      <c r="BH830" s="37">
        <v>0</v>
      </c>
      <c r="BI830" s="37">
        <v>0</v>
      </c>
      <c r="BJ830" s="37">
        <v>0</v>
      </c>
      <c r="BK830" s="37">
        <v>0</v>
      </c>
      <c r="BL830" s="37">
        <v>0</v>
      </c>
      <c r="BM830" s="37">
        <v>0</v>
      </c>
      <c r="BN830" s="37">
        <v>0</v>
      </c>
      <c r="BO830" s="37">
        <v>0</v>
      </c>
      <c r="BP830" s="37">
        <v>985631</v>
      </c>
      <c r="BQ830" s="37">
        <v>0</v>
      </c>
      <c r="BR830" s="37">
        <v>161738</v>
      </c>
      <c r="BS830" s="37">
        <v>0</v>
      </c>
      <c r="BT830" s="37">
        <v>0</v>
      </c>
      <c r="BU830" s="37">
        <v>0</v>
      </c>
      <c r="BV830" s="37">
        <v>0</v>
      </c>
      <c r="BW830" s="37">
        <v>0</v>
      </c>
      <c r="BX830" s="37">
        <v>0</v>
      </c>
      <c r="BY830" s="37">
        <v>0</v>
      </c>
      <c r="BZ830" s="37">
        <v>0</v>
      </c>
      <c r="CA830" s="37">
        <v>0</v>
      </c>
      <c r="CB830" s="37">
        <v>161738</v>
      </c>
      <c r="CC830" s="37">
        <v>0</v>
      </c>
      <c r="CD830" s="37">
        <v>0</v>
      </c>
      <c r="CE830" s="37">
        <v>0</v>
      </c>
      <c r="CF830" s="37">
        <v>0</v>
      </c>
      <c r="CG830" s="37">
        <v>0</v>
      </c>
      <c r="CH830" s="37">
        <v>0</v>
      </c>
      <c r="CI830" s="37">
        <v>0</v>
      </c>
      <c r="CJ830" s="37">
        <v>0</v>
      </c>
      <c r="CK830" s="37">
        <v>0</v>
      </c>
      <c r="CL830" s="37">
        <v>0</v>
      </c>
      <c r="CM830" s="37">
        <v>0</v>
      </c>
      <c r="CN830" s="37">
        <v>0</v>
      </c>
      <c r="CO830" s="37">
        <v>0</v>
      </c>
      <c r="CP830" s="37">
        <v>0</v>
      </c>
      <c r="CQ830" s="37">
        <v>0</v>
      </c>
      <c r="CR830" s="37">
        <v>0</v>
      </c>
      <c r="CS830" s="37">
        <v>0</v>
      </c>
      <c r="CT830" s="37">
        <v>0</v>
      </c>
      <c r="CU830" s="37">
        <v>0</v>
      </c>
      <c r="CV830" s="37">
        <v>0</v>
      </c>
      <c r="CW830" s="37">
        <v>0</v>
      </c>
      <c r="CX830" s="37">
        <v>0</v>
      </c>
      <c r="CY830" s="37">
        <v>0</v>
      </c>
      <c r="CZ830" s="37">
        <v>0</v>
      </c>
      <c r="DA830" s="37">
        <v>0</v>
      </c>
      <c r="DB830" s="37">
        <v>0</v>
      </c>
      <c r="DC830" s="37">
        <v>0</v>
      </c>
      <c r="DD830" s="37">
        <v>0</v>
      </c>
      <c r="DE830" s="37">
        <v>0</v>
      </c>
      <c r="DF830" s="37">
        <v>0</v>
      </c>
      <c r="DG830" s="37">
        <v>0</v>
      </c>
      <c r="DH830" s="37">
        <v>0</v>
      </c>
      <c r="DI830" s="37">
        <v>0</v>
      </c>
      <c r="DJ830" s="37">
        <v>0</v>
      </c>
      <c r="DK830" s="37">
        <v>0</v>
      </c>
      <c r="DL830" s="37">
        <v>0</v>
      </c>
      <c r="DM830" s="37">
        <v>0</v>
      </c>
      <c r="DN830" s="37">
        <v>0</v>
      </c>
      <c r="DO830" s="37">
        <v>0</v>
      </c>
      <c r="DP830" s="37">
        <v>0</v>
      </c>
      <c r="DQ830" s="37">
        <v>0</v>
      </c>
      <c r="DR830" s="37">
        <v>0</v>
      </c>
      <c r="DS830" s="37">
        <v>0</v>
      </c>
      <c r="DT830" s="37">
        <v>0</v>
      </c>
      <c r="DU830" s="37">
        <v>0</v>
      </c>
      <c r="DV830" s="37">
        <v>0</v>
      </c>
      <c r="DW830" s="37">
        <v>0</v>
      </c>
      <c r="DX830" s="37">
        <v>0</v>
      </c>
      <c r="DY830" s="37">
        <v>0</v>
      </c>
      <c r="DZ830" s="37">
        <v>0</v>
      </c>
      <c r="EA830" s="37">
        <v>0</v>
      </c>
      <c r="EB830" s="37">
        <v>0</v>
      </c>
      <c r="EC830" s="37">
        <v>0</v>
      </c>
      <c r="ED830" s="37">
        <v>0</v>
      </c>
      <c r="EE830" s="37">
        <v>0</v>
      </c>
      <c r="EF830" s="37">
        <v>0</v>
      </c>
      <c r="EG830" s="37">
        <v>0</v>
      </c>
      <c r="EH830" s="37">
        <v>0</v>
      </c>
      <c r="EI830" s="37">
        <v>0</v>
      </c>
      <c r="EJ830" s="37">
        <v>0</v>
      </c>
      <c r="EK830" s="161" t="s">
        <v>2439</v>
      </c>
      <c r="EL830" s="294" t="s">
        <v>1124</v>
      </c>
    </row>
    <row r="831" spans="1:142" ht="15" customHeight="1" x14ac:dyDescent="0.35">
      <c r="A831" s="34"/>
      <c r="B831" s="313">
        <v>54100</v>
      </c>
      <c r="C831" s="8" t="s">
        <v>553</v>
      </c>
      <c r="D831" s="18">
        <v>16</v>
      </c>
      <c r="E831" s="155"/>
      <c r="F831" s="36"/>
      <c r="G831" s="37"/>
      <c r="H831" s="37"/>
      <c r="I831" s="37"/>
      <c r="J831" s="37"/>
      <c r="K831" s="37"/>
      <c r="L831" s="37"/>
      <c r="M831" s="37" t="s">
        <v>1124</v>
      </c>
      <c r="N831" s="37" t="s">
        <v>1124</v>
      </c>
      <c r="O831" s="37"/>
      <c r="P831" s="37"/>
      <c r="Q831" s="37"/>
      <c r="R831" s="37"/>
      <c r="S831" s="37"/>
      <c r="T831" s="37"/>
      <c r="U831" s="37"/>
      <c r="V831" s="37"/>
      <c r="W831" s="37"/>
      <c r="X831" s="37"/>
      <c r="Y831" s="37"/>
      <c r="Z831" s="37"/>
      <c r="AA831" s="37" t="s">
        <v>1124</v>
      </c>
      <c r="AB831" s="37" t="s">
        <v>1124</v>
      </c>
      <c r="AC831" s="37"/>
      <c r="AD831" s="37"/>
      <c r="AE831" s="37"/>
      <c r="AF831" s="168"/>
      <c r="AG831" s="37"/>
      <c r="AH831" s="37"/>
      <c r="AI831" s="37"/>
      <c r="AJ831" s="37"/>
      <c r="AK831" s="37"/>
      <c r="AL831" s="37"/>
      <c r="AM831" s="37"/>
      <c r="AN831" s="37"/>
      <c r="AO831" s="37"/>
      <c r="AP831" s="37"/>
      <c r="AQ831" s="37"/>
      <c r="AR831" s="37" t="s">
        <v>1124</v>
      </c>
      <c r="AS831" s="37"/>
      <c r="AT831" s="37"/>
      <c r="AU831" s="37"/>
      <c r="AV831" s="37"/>
      <c r="AW831" s="37"/>
      <c r="AX831" s="37"/>
      <c r="AY831" s="37"/>
      <c r="AZ831" s="37"/>
      <c r="BA831" s="37"/>
      <c r="BB831" s="37"/>
      <c r="BC831" s="37"/>
      <c r="BD831" s="37" t="s">
        <v>1124</v>
      </c>
      <c r="BE831" s="37"/>
      <c r="BF831" s="37"/>
      <c r="BG831" s="37"/>
      <c r="BH831" s="37"/>
      <c r="BI831" s="37"/>
      <c r="BJ831" s="37"/>
      <c r="BK831" s="37"/>
      <c r="BL831" s="37"/>
      <c r="BM831" s="37"/>
      <c r="BN831" s="37"/>
      <c r="BO831" s="37"/>
      <c r="BP831" s="37">
        <v>0</v>
      </c>
      <c r="BQ831" s="37"/>
      <c r="BR831" s="37"/>
      <c r="BS831" s="37"/>
      <c r="BT831" s="37"/>
      <c r="BU831" s="37"/>
      <c r="BV831" s="37"/>
      <c r="BW831" s="37"/>
      <c r="BX831" s="37"/>
      <c r="BY831" s="37"/>
      <c r="BZ831" s="37"/>
      <c r="CA831" s="37"/>
      <c r="CB831" s="37" t="s">
        <v>1124</v>
      </c>
      <c r="CC831" s="37"/>
      <c r="CD831" s="37"/>
      <c r="CE831" s="37"/>
      <c r="CF831" s="37"/>
      <c r="CG831" s="37"/>
      <c r="CH831" s="37"/>
      <c r="CI831" s="37"/>
      <c r="CJ831" s="37"/>
      <c r="CK831" s="37"/>
      <c r="CL831" s="37"/>
      <c r="CM831" s="37"/>
      <c r="CN831" s="37" t="s">
        <v>1124</v>
      </c>
      <c r="CO831" s="37"/>
      <c r="CP831" s="37"/>
      <c r="CQ831" s="37"/>
      <c r="CR831" s="37"/>
      <c r="CS831" s="37"/>
      <c r="CT831" s="37"/>
      <c r="CU831" s="37"/>
      <c r="CV831" s="37"/>
      <c r="CW831" s="37"/>
      <c r="CX831" s="37"/>
      <c r="CY831" s="37"/>
      <c r="CZ831" s="37" t="s">
        <v>1124</v>
      </c>
      <c r="DA831" s="37"/>
      <c r="DB831" s="37"/>
      <c r="DC831" s="37"/>
      <c r="DD831" s="37"/>
      <c r="DE831" s="37"/>
      <c r="DF831" s="37"/>
      <c r="DG831" s="37"/>
      <c r="DH831" s="37"/>
      <c r="DI831" s="37"/>
      <c r="DJ831" s="37"/>
      <c r="DK831" s="37"/>
      <c r="DL831" s="37" t="s">
        <v>1124</v>
      </c>
      <c r="DM831" s="37"/>
      <c r="DN831" s="37"/>
      <c r="DO831" s="37"/>
      <c r="DP831" s="37"/>
      <c r="DQ831" s="37"/>
      <c r="DR831" s="37"/>
      <c r="DS831" s="37"/>
      <c r="DT831" s="37"/>
      <c r="DU831" s="37"/>
      <c r="DV831" s="37"/>
      <c r="DW831" s="37"/>
      <c r="DX831" s="37" t="s">
        <v>1124</v>
      </c>
      <c r="DY831" s="37"/>
      <c r="DZ831" s="37"/>
      <c r="EA831" s="37"/>
      <c r="EB831" s="37"/>
      <c r="EC831" s="37"/>
      <c r="ED831" s="37"/>
      <c r="EE831" s="37"/>
      <c r="EF831" s="37"/>
      <c r="EG831" s="37"/>
      <c r="EH831" s="37"/>
      <c r="EI831" s="37"/>
      <c r="EJ831" s="37" t="s">
        <v>1124</v>
      </c>
      <c r="EK831" s="161"/>
      <c r="EL831" s="294"/>
    </row>
    <row r="832" spans="1:142" ht="15" customHeight="1" x14ac:dyDescent="0.35">
      <c r="A832" s="34"/>
      <c r="B832" s="313">
        <v>54048</v>
      </c>
      <c r="C832" s="8" t="s">
        <v>547</v>
      </c>
      <c r="D832" s="18">
        <v>16</v>
      </c>
      <c r="E832" s="155"/>
      <c r="F832" s="36"/>
      <c r="G832" s="37"/>
      <c r="H832" s="37"/>
      <c r="I832" s="37"/>
      <c r="J832" s="37"/>
      <c r="K832" s="37"/>
      <c r="L832" s="37"/>
      <c r="M832" s="37" t="s">
        <v>1124</v>
      </c>
      <c r="N832" s="37" t="s">
        <v>1124</v>
      </c>
      <c r="O832" s="37"/>
      <c r="P832" s="37"/>
      <c r="Q832" s="37"/>
      <c r="R832" s="37"/>
      <c r="S832" s="37"/>
      <c r="T832" s="37"/>
      <c r="U832" s="37"/>
      <c r="V832" s="37"/>
      <c r="W832" s="37"/>
      <c r="X832" s="37"/>
      <c r="Y832" s="37"/>
      <c r="Z832" s="37"/>
      <c r="AA832" s="37" t="s">
        <v>1124</v>
      </c>
      <c r="AB832" s="37" t="s">
        <v>1124</v>
      </c>
      <c r="AC832" s="37"/>
      <c r="AD832" s="37"/>
      <c r="AE832" s="37"/>
      <c r="AF832" s="168"/>
      <c r="AG832" s="37"/>
      <c r="AH832" s="37"/>
      <c r="AI832" s="37"/>
      <c r="AJ832" s="37"/>
      <c r="AK832" s="37"/>
      <c r="AL832" s="37"/>
      <c r="AM832" s="37"/>
      <c r="AN832" s="37"/>
      <c r="AO832" s="37"/>
      <c r="AP832" s="37"/>
      <c r="AQ832" s="37"/>
      <c r="AR832" s="37" t="s">
        <v>1124</v>
      </c>
      <c r="AS832" s="37"/>
      <c r="AT832" s="37"/>
      <c r="AU832" s="37"/>
      <c r="AV832" s="37"/>
      <c r="AW832" s="37"/>
      <c r="AX832" s="37"/>
      <c r="AY832" s="37"/>
      <c r="AZ832" s="37"/>
      <c r="BA832" s="37"/>
      <c r="BB832" s="37"/>
      <c r="BC832" s="37"/>
      <c r="BD832" s="37" t="s">
        <v>1124</v>
      </c>
      <c r="BE832" s="37"/>
      <c r="BF832" s="37"/>
      <c r="BG832" s="37"/>
      <c r="BH832" s="37"/>
      <c r="BI832" s="37"/>
      <c r="BJ832" s="37"/>
      <c r="BK832" s="37"/>
      <c r="BL832" s="37"/>
      <c r="BM832" s="37"/>
      <c r="BN832" s="37"/>
      <c r="BO832" s="37"/>
      <c r="BP832" s="37">
        <v>0</v>
      </c>
      <c r="BQ832" s="37"/>
      <c r="BR832" s="37"/>
      <c r="BS832" s="37"/>
      <c r="BT832" s="37"/>
      <c r="BU832" s="37"/>
      <c r="BV832" s="37"/>
      <c r="BW832" s="37"/>
      <c r="BX832" s="37"/>
      <c r="BY832" s="37"/>
      <c r="BZ832" s="37"/>
      <c r="CA832" s="37"/>
      <c r="CB832" s="37" t="s">
        <v>1124</v>
      </c>
      <c r="CC832" s="37"/>
      <c r="CD832" s="37"/>
      <c r="CE832" s="37"/>
      <c r="CF832" s="37"/>
      <c r="CG832" s="37"/>
      <c r="CH832" s="37"/>
      <c r="CI832" s="37"/>
      <c r="CJ832" s="37"/>
      <c r="CK832" s="37"/>
      <c r="CL832" s="37"/>
      <c r="CM832" s="37"/>
      <c r="CN832" s="37" t="s">
        <v>1124</v>
      </c>
      <c r="CO832" s="37"/>
      <c r="CP832" s="37"/>
      <c r="CQ832" s="37"/>
      <c r="CR832" s="37"/>
      <c r="CS832" s="37"/>
      <c r="CT832" s="37"/>
      <c r="CU832" s="37"/>
      <c r="CV832" s="37"/>
      <c r="CW832" s="37"/>
      <c r="CX832" s="37"/>
      <c r="CY832" s="37"/>
      <c r="CZ832" s="37" t="s">
        <v>1124</v>
      </c>
      <c r="DA832" s="37"/>
      <c r="DB832" s="37"/>
      <c r="DC832" s="37"/>
      <c r="DD832" s="37"/>
      <c r="DE832" s="37"/>
      <c r="DF832" s="37"/>
      <c r="DG832" s="37"/>
      <c r="DH832" s="37"/>
      <c r="DI832" s="37"/>
      <c r="DJ832" s="37"/>
      <c r="DK832" s="37"/>
      <c r="DL832" s="37" t="s">
        <v>1124</v>
      </c>
      <c r="DM832" s="37"/>
      <c r="DN832" s="37"/>
      <c r="DO832" s="37"/>
      <c r="DP832" s="37"/>
      <c r="DQ832" s="37"/>
      <c r="DR832" s="37"/>
      <c r="DS832" s="37"/>
      <c r="DT832" s="37"/>
      <c r="DU832" s="37"/>
      <c r="DV832" s="37"/>
      <c r="DW832" s="37"/>
      <c r="DX832" s="37" t="s">
        <v>1124</v>
      </c>
      <c r="DY832" s="37"/>
      <c r="DZ832" s="37"/>
      <c r="EA832" s="37"/>
      <c r="EB832" s="37"/>
      <c r="EC832" s="37"/>
      <c r="ED832" s="37"/>
      <c r="EE832" s="37"/>
      <c r="EF832" s="37"/>
      <c r="EG832" s="37"/>
      <c r="EH832" s="37"/>
      <c r="EI832" s="37"/>
      <c r="EJ832" s="37" t="s">
        <v>1124</v>
      </c>
      <c r="EK832" s="161"/>
      <c r="EL832" s="294"/>
    </row>
    <row r="833" spans="1:142" ht="15" customHeight="1" x14ac:dyDescent="0.35">
      <c r="A833" s="34"/>
      <c r="B833" s="313">
        <v>52045</v>
      </c>
      <c r="C833" s="8" t="s">
        <v>520</v>
      </c>
      <c r="D833" s="18">
        <v>14</v>
      </c>
      <c r="E833" s="155">
        <v>156026</v>
      </c>
      <c r="F833" s="36">
        <v>112320</v>
      </c>
      <c r="G833" s="37">
        <v>5404</v>
      </c>
      <c r="H833" s="37">
        <v>0</v>
      </c>
      <c r="I833" s="37">
        <v>26400</v>
      </c>
      <c r="J833" s="37">
        <v>0</v>
      </c>
      <c r="K833" s="37">
        <v>23403.899999999998</v>
      </c>
      <c r="L833" s="37">
        <v>16848</v>
      </c>
      <c r="M833" s="37">
        <v>211233.9</v>
      </c>
      <c r="N833" s="37">
        <v>129168</v>
      </c>
      <c r="O833" s="37">
        <v>192336</v>
      </c>
      <c r="P833" s="37">
        <v>0</v>
      </c>
      <c r="Q833" s="37">
        <v>0</v>
      </c>
      <c r="R833" s="37">
        <v>27990</v>
      </c>
      <c r="S833" s="37">
        <v>79071</v>
      </c>
      <c r="T833" s="37">
        <v>2171</v>
      </c>
      <c r="U833" s="37">
        <v>0</v>
      </c>
      <c r="V833" s="37">
        <v>0</v>
      </c>
      <c r="W833" s="37">
        <v>0</v>
      </c>
      <c r="X833" s="37">
        <v>38834</v>
      </c>
      <c r="Y833" s="37">
        <v>0</v>
      </c>
      <c r="Z833" s="37">
        <v>0</v>
      </c>
      <c r="AA833" s="37">
        <v>271407</v>
      </c>
      <c r="AB833" s="37">
        <v>68995</v>
      </c>
      <c r="AC833" s="37">
        <v>9.9999999976716936E-2</v>
      </c>
      <c r="AD833" s="37">
        <v>0</v>
      </c>
      <c r="AE833" s="37">
        <v>0</v>
      </c>
      <c r="AF833" s="168">
        <v>0.02</v>
      </c>
      <c r="AG833" s="37">
        <v>49761362.200000003</v>
      </c>
      <c r="AH833" s="37">
        <v>819819.58</v>
      </c>
      <c r="AI833" s="37">
        <v>549386.02</v>
      </c>
      <c r="AJ833" s="37">
        <v>560373.74</v>
      </c>
      <c r="AK833" s="37">
        <v>571581.21</v>
      </c>
      <c r="AL833" s="37">
        <v>583012.84</v>
      </c>
      <c r="AM833" s="37">
        <v>594673.09</v>
      </c>
      <c r="AN833" s="37">
        <v>606566.56000000006</v>
      </c>
      <c r="AO833" s="37">
        <v>618697.89</v>
      </c>
      <c r="AP833" s="37">
        <v>631071.85</v>
      </c>
      <c r="AQ833" s="37">
        <v>643693.28</v>
      </c>
      <c r="AR833" s="37">
        <v>6178876.0600000005</v>
      </c>
      <c r="AS833" s="37">
        <v>358332.73</v>
      </c>
      <c r="AT833" s="37">
        <v>237603.9</v>
      </c>
      <c r="AU833" s="37">
        <v>0</v>
      </c>
      <c r="AV833" s="37">
        <v>0</v>
      </c>
      <c r="AW833" s="37">
        <v>0</v>
      </c>
      <c r="AX833" s="37">
        <v>0</v>
      </c>
      <c r="AY833" s="37">
        <v>0</v>
      </c>
      <c r="AZ833" s="37">
        <v>0</v>
      </c>
      <c r="BA833" s="37">
        <v>0</v>
      </c>
      <c r="BB833" s="37">
        <v>0</v>
      </c>
      <c r="BC833" s="37">
        <v>0</v>
      </c>
      <c r="BD833" s="37">
        <v>237603.9</v>
      </c>
      <c r="BE833" s="37">
        <v>596960</v>
      </c>
      <c r="BF833" s="37">
        <v>300652</v>
      </c>
      <c r="BG833" s="37">
        <v>0</v>
      </c>
      <c r="BH833" s="37">
        <v>0</v>
      </c>
      <c r="BI833" s="37">
        <v>0</v>
      </c>
      <c r="BJ833" s="37">
        <v>0</v>
      </c>
      <c r="BK833" s="37">
        <v>0</v>
      </c>
      <c r="BL833" s="37">
        <v>0</v>
      </c>
      <c r="BM833" s="37">
        <v>0</v>
      </c>
      <c r="BN833" s="37">
        <v>0</v>
      </c>
      <c r="BO833" s="37">
        <v>0</v>
      </c>
      <c r="BP833" s="37">
        <v>300652</v>
      </c>
      <c r="BQ833" s="37">
        <v>0</v>
      </c>
      <c r="BR833" s="37">
        <v>0</v>
      </c>
      <c r="BS833" s="37">
        <v>0</v>
      </c>
      <c r="BT833" s="37">
        <v>0</v>
      </c>
      <c r="BU833" s="37">
        <v>0</v>
      </c>
      <c r="BV833" s="37">
        <v>0</v>
      </c>
      <c r="BW833" s="37">
        <v>0</v>
      </c>
      <c r="BX833" s="37">
        <v>0</v>
      </c>
      <c r="BY833" s="37">
        <v>0</v>
      </c>
      <c r="BZ833" s="37">
        <v>0</v>
      </c>
      <c r="CA833" s="37">
        <v>0</v>
      </c>
      <c r="CB833" s="37">
        <v>0</v>
      </c>
      <c r="CC833" s="37">
        <v>0</v>
      </c>
      <c r="CD833" s="37">
        <v>0</v>
      </c>
      <c r="CE833" s="37">
        <v>0</v>
      </c>
      <c r="CF833" s="37">
        <v>0</v>
      </c>
      <c r="CG833" s="37">
        <v>0</v>
      </c>
      <c r="CH833" s="37">
        <v>0</v>
      </c>
      <c r="CI833" s="37">
        <v>0</v>
      </c>
      <c r="CJ833" s="37">
        <v>0</v>
      </c>
      <c r="CK833" s="37">
        <v>0</v>
      </c>
      <c r="CL833" s="37">
        <v>0</v>
      </c>
      <c r="CM833" s="37">
        <v>0</v>
      </c>
      <c r="CN833" s="37">
        <v>0</v>
      </c>
      <c r="CO833" s="37">
        <v>0</v>
      </c>
      <c r="CP833" s="37">
        <v>164305</v>
      </c>
      <c r="CQ833" s="37">
        <v>0</v>
      </c>
      <c r="CR833" s="37">
        <v>0</v>
      </c>
      <c r="CS833" s="37">
        <v>0</v>
      </c>
      <c r="CT833" s="37">
        <v>0</v>
      </c>
      <c r="CU833" s="37">
        <v>0</v>
      </c>
      <c r="CV833" s="37">
        <v>0</v>
      </c>
      <c r="CW833" s="37">
        <v>0</v>
      </c>
      <c r="CX833" s="37">
        <v>0</v>
      </c>
      <c r="CY833" s="37">
        <v>0</v>
      </c>
      <c r="CZ833" s="37">
        <v>164305</v>
      </c>
      <c r="DA833" s="37">
        <v>0</v>
      </c>
      <c r="DB833" s="37">
        <v>68640</v>
      </c>
      <c r="DC833" s="37">
        <v>0</v>
      </c>
      <c r="DD833" s="37">
        <v>0</v>
      </c>
      <c r="DE833" s="37">
        <v>0</v>
      </c>
      <c r="DF833" s="37">
        <v>0</v>
      </c>
      <c r="DG833" s="37">
        <v>0</v>
      </c>
      <c r="DH833" s="37">
        <v>0</v>
      </c>
      <c r="DI833" s="37">
        <v>0</v>
      </c>
      <c r="DJ833" s="37">
        <v>0</v>
      </c>
      <c r="DK833" s="37">
        <v>0</v>
      </c>
      <c r="DL833" s="37">
        <v>68640</v>
      </c>
      <c r="DM833" s="37">
        <v>0</v>
      </c>
      <c r="DN833" s="37">
        <v>0</v>
      </c>
      <c r="DO833" s="37">
        <v>0</v>
      </c>
      <c r="DP833" s="37">
        <v>0</v>
      </c>
      <c r="DQ833" s="37">
        <v>0</v>
      </c>
      <c r="DR833" s="37">
        <v>0</v>
      </c>
      <c r="DS833" s="37">
        <v>0</v>
      </c>
      <c r="DT833" s="37">
        <v>0</v>
      </c>
      <c r="DU833" s="37">
        <v>0</v>
      </c>
      <c r="DV833" s="37">
        <v>0</v>
      </c>
      <c r="DW833" s="37">
        <v>0</v>
      </c>
      <c r="DX833" s="37">
        <v>0</v>
      </c>
      <c r="DY833" s="37">
        <v>0</v>
      </c>
      <c r="DZ833" s="37">
        <v>0</v>
      </c>
      <c r="EA833" s="37">
        <v>0</v>
      </c>
      <c r="EB833" s="37">
        <v>0</v>
      </c>
      <c r="EC833" s="37">
        <v>0</v>
      </c>
      <c r="ED833" s="37">
        <v>0</v>
      </c>
      <c r="EE833" s="37">
        <v>0</v>
      </c>
      <c r="EF833" s="37">
        <v>0</v>
      </c>
      <c r="EG833" s="37">
        <v>0</v>
      </c>
      <c r="EH833" s="37">
        <v>0</v>
      </c>
      <c r="EI833" s="37">
        <v>0</v>
      </c>
      <c r="EJ833" s="37">
        <v>0</v>
      </c>
      <c r="EK833" s="161" t="s">
        <v>3136</v>
      </c>
      <c r="EL833" s="294" t="s">
        <v>1124</v>
      </c>
    </row>
    <row r="834" spans="1:142" ht="15" customHeight="1" x14ac:dyDescent="0.35">
      <c r="A834" s="34"/>
      <c r="B834" s="313">
        <v>46095</v>
      </c>
      <c r="C834" s="8" t="s">
        <v>444</v>
      </c>
      <c r="D834" s="18">
        <v>5</v>
      </c>
      <c r="E834" s="155"/>
      <c r="F834" s="36"/>
      <c r="G834" s="37"/>
      <c r="H834" s="37"/>
      <c r="I834" s="37"/>
      <c r="J834" s="37"/>
      <c r="K834" s="37"/>
      <c r="L834" s="37"/>
      <c r="M834" s="37" t="s">
        <v>1124</v>
      </c>
      <c r="N834" s="37" t="s">
        <v>1124</v>
      </c>
      <c r="O834" s="37"/>
      <c r="P834" s="37"/>
      <c r="Q834" s="37"/>
      <c r="R834" s="37"/>
      <c r="S834" s="37"/>
      <c r="T834" s="37"/>
      <c r="U834" s="37"/>
      <c r="V834" s="37"/>
      <c r="W834" s="37"/>
      <c r="X834" s="37"/>
      <c r="Y834" s="37"/>
      <c r="Z834" s="37"/>
      <c r="AA834" s="37" t="s">
        <v>1124</v>
      </c>
      <c r="AB834" s="37" t="s">
        <v>1124</v>
      </c>
      <c r="AC834" s="37"/>
      <c r="AD834" s="37"/>
      <c r="AE834" s="37"/>
      <c r="AF834" s="168"/>
      <c r="AG834" s="37"/>
      <c r="AH834" s="37"/>
      <c r="AI834" s="37"/>
      <c r="AJ834" s="37"/>
      <c r="AK834" s="37"/>
      <c r="AL834" s="37"/>
      <c r="AM834" s="37"/>
      <c r="AN834" s="37"/>
      <c r="AO834" s="37"/>
      <c r="AP834" s="37"/>
      <c r="AQ834" s="37"/>
      <c r="AR834" s="37" t="s">
        <v>1124</v>
      </c>
      <c r="AS834" s="37"/>
      <c r="AT834" s="37"/>
      <c r="AU834" s="37"/>
      <c r="AV834" s="37"/>
      <c r="AW834" s="37"/>
      <c r="AX834" s="37"/>
      <c r="AY834" s="37"/>
      <c r="AZ834" s="37"/>
      <c r="BA834" s="37"/>
      <c r="BB834" s="37"/>
      <c r="BC834" s="37"/>
      <c r="BD834" s="37" t="s">
        <v>1124</v>
      </c>
      <c r="BE834" s="37"/>
      <c r="BF834" s="37"/>
      <c r="BG834" s="37"/>
      <c r="BH834" s="37"/>
      <c r="BI834" s="37"/>
      <c r="BJ834" s="37"/>
      <c r="BK834" s="37"/>
      <c r="BL834" s="37"/>
      <c r="BM834" s="37"/>
      <c r="BN834" s="37"/>
      <c r="BO834" s="37"/>
      <c r="BP834" s="37">
        <v>0</v>
      </c>
      <c r="BQ834" s="37"/>
      <c r="BR834" s="37"/>
      <c r="BS834" s="37"/>
      <c r="BT834" s="37"/>
      <c r="BU834" s="37"/>
      <c r="BV834" s="37"/>
      <c r="BW834" s="37"/>
      <c r="BX834" s="37"/>
      <c r="BY834" s="37"/>
      <c r="BZ834" s="37"/>
      <c r="CA834" s="37"/>
      <c r="CB834" s="37" t="s">
        <v>1124</v>
      </c>
      <c r="CC834" s="37"/>
      <c r="CD834" s="37"/>
      <c r="CE834" s="37"/>
      <c r="CF834" s="37"/>
      <c r="CG834" s="37"/>
      <c r="CH834" s="37"/>
      <c r="CI834" s="37"/>
      <c r="CJ834" s="37"/>
      <c r="CK834" s="37"/>
      <c r="CL834" s="37"/>
      <c r="CM834" s="37"/>
      <c r="CN834" s="37" t="s">
        <v>1124</v>
      </c>
      <c r="CO834" s="37"/>
      <c r="CP834" s="37"/>
      <c r="CQ834" s="37"/>
      <c r="CR834" s="37"/>
      <c r="CS834" s="37"/>
      <c r="CT834" s="37"/>
      <c r="CU834" s="37"/>
      <c r="CV834" s="37"/>
      <c r="CW834" s="37"/>
      <c r="CX834" s="37"/>
      <c r="CY834" s="37"/>
      <c r="CZ834" s="37" t="s">
        <v>1124</v>
      </c>
      <c r="DA834" s="37"/>
      <c r="DB834" s="37"/>
      <c r="DC834" s="37"/>
      <c r="DD834" s="37"/>
      <c r="DE834" s="37"/>
      <c r="DF834" s="37"/>
      <c r="DG834" s="37"/>
      <c r="DH834" s="37"/>
      <c r="DI834" s="37"/>
      <c r="DJ834" s="37"/>
      <c r="DK834" s="37"/>
      <c r="DL834" s="37" t="s">
        <v>1124</v>
      </c>
      <c r="DM834" s="37"/>
      <c r="DN834" s="37"/>
      <c r="DO834" s="37"/>
      <c r="DP834" s="37"/>
      <c r="DQ834" s="37"/>
      <c r="DR834" s="37"/>
      <c r="DS834" s="37"/>
      <c r="DT834" s="37"/>
      <c r="DU834" s="37"/>
      <c r="DV834" s="37"/>
      <c r="DW834" s="37"/>
      <c r="DX834" s="37" t="s">
        <v>1124</v>
      </c>
      <c r="DY834" s="37"/>
      <c r="DZ834" s="37"/>
      <c r="EA834" s="37"/>
      <c r="EB834" s="37"/>
      <c r="EC834" s="37"/>
      <c r="ED834" s="37"/>
      <c r="EE834" s="37"/>
      <c r="EF834" s="37"/>
      <c r="EG834" s="37"/>
      <c r="EH834" s="37"/>
      <c r="EI834" s="37"/>
      <c r="EJ834" s="37" t="s">
        <v>1124</v>
      </c>
      <c r="EK834" s="161"/>
      <c r="EL834" s="294"/>
    </row>
    <row r="835" spans="1:142" ht="15" customHeight="1" x14ac:dyDescent="0.35">
      <c r="A835" s="34"/>
      <c r="B835" s="313">
        <v>15005</v>
      </c>
      <c r="C835" s="8" t="s">
        <v>77</v>
      </c>
      <c r="D835" s="18">
        <v>3</v>
      </c>
      <c r="E835" s="155">
        <v>110634</v>
      </c>
      <c r="F835" s="36">
        <v>48759</v>
      </c>
      <c r="G835" s="37">
        <v>22193</v>
      </c>
      <c r="H835" s="37">
        <v>3455</v>
      </c>
      <c r="I835" s="37">
        <v>23415</v>
      </c>
      <c r="J835" s="37">
        <v>12286</v>
      </c>
      <c r="K835" s="37">
        <v>16595.099999999999</v>
      </c>
      <c r="L835" s="37">
        <v>7313.8499999999995</v>
      </c>
      <c r="M835" s="37">
        <v>172837.1</v>
      </c>
      <c r="N835" s="37">
        <v>71813.850000000006</v>
      </c>
      <c r="O835" s="37">
        <v>0</v>
      </c>
      <c r="P835" s="37">
        <v>0</v>
      </c>
      <c r="Q835" s="37">
        <v>142314</v>
      </c>
      <c r="R835" s="37">
        <v>26030</v>
      </c>
      <c r="S835" s="37">
        <v>0</v>
      </c>
      <c r="T835" s="37">
        <v>0</v>
      </c>
      <c r="U835" s="37">
        <v>14801</v>
      </c>
      <c r="V835" s="37">
        <v>2739</v>
      </c>
      <c r="W835" s="37">
        <v>15722.100000000006</v>
      </c>
      <c r="X835" s="37">
        <v>43044.850000000006</v>
      </c>
      <c r="Y835" s="37">
        <v>0</v>
      </c>
      <c r="Z835" s="37">
        <v>0</v>
      </c>
      <c r="AA835" s="37">
        <v>172837.1</v>
      </c>
      <c r="AB835" s="37">
        <v>71813.850000000006</v>
      </c>
      <c r="AC835" s="37">
        <v>0</v>
      </c>
      <c r="AD835" s="37">
        <v>0</v>
      </c>
      <c r="AE835" s="37">
        <v>0</v>
      </c>
      <c r="AF835" s="168">
        <v>0.02</v>
      </c>
      <c r="AG835" s="37">
        <v>14096112.289999999</v>
      </c>
      <c r="AH835" s="37">
        <v>170540.91</v>
      </c>
      <c r="AI835" s="37">
        <v>2956173.8</v>
      </c>
      <c r="AJ835" s="37">
        <v>119791.25</v>
      </c>
      <c r="AK835" s="37">
        <v>122187.07</v>
      </c>
      <c r="AL835" s="37">
        <v>124630.81</v>
      </c>
      <c r="AM835" s="37">
        <v>127123.43</v>
      </c>
      <c r="AN835" s="37">
        <v>129665.9</v>
      </c>
      <c r="AO835" s="37">
        <v>132259.21</v>
      </c>
      <c r="AP835" s="37">
        <v>134904.4</v>
      </c>
      <c r="AQ835" s="37">
        <v>137602.49</v>
      </c>
      <c r="AR835" s="37">
        <v>4154879.27</v>
      </c>
      <c r="AS835" s="37">
        <v>9363.6</v>
      </c>
      <c r="AT835" s="37">
        <v>0</v>
      </c>
      <c r="AU835" s="37">
        <v>0</v>
      </c>
      <c r="AV835" s="37">
        <v>0</v>
      </c>
      <c r="AW835" s="37">
        <v>0</v>
      </c>
      <c r="AX835" s="37">
        <v>0</v>
      </c>
      <c r="AY835" s="37">
        <v>0</v>
      </c>
      <c r="AZ835" s="37">
        <v>0</v>
      </c>
      <c r="BA835" s="37">
        <v>0</v>
      </c>
      <c r="BB835" s="37">
        <v>0</v>
      </c>
      <c r="BC835" s="37">
        <v>0</v>
      </c>
      <c r="BD835" s="37">
        <v>0</v>
      </c>
      <c r="BE835" s="37">
        <v>27544</v>
      </c>
      <c r="BF835" s="37">
        <v>0</v>
      </c>
      <c r="BG835" s="37">
        <v>765294</v>
      </c>
      <c r="BH835" s="37">
        <v>0</v>
      </c>
      <c r="BI835" s="37">
        <v>0</v>
      </c>
      <c r="BJ835" s="37">
        <v>0</v>
      </c>
      <c r="BK835" s="37">
        <v>0</v>
      </c>
      <c r="BL835" s="37">
        <v>0</v>
      </c>
      <c r="BM835" s="37">
        <v>0</v>
      </c>
      <c r="BN835" s="37">
        <v>0</v>
      </c>
      <c r="BO835" s="37">
        <v>0</v>
      </c>
      <c r="BP835" s="37">
        <v>765294</v>
      </c>
      <c r="BQ835" s="37">
        <v>0</v>
      </c>
      <c r="BR835" s="37">
        <v>0</v>
      </c>
      <c r="BS835" s="37">
        <v>0</v>
      </c>
      <c r="BT835" s="37">
        <v>0</v>
      </c>
      <c r="BU835" s="37">
        <v>0</v>
      </c>
      <c r="BV835" s="37">
        <v>0</v>
      </c>
      <c r="BW835" s="37">
        <v>0</v>
      </c>
      <c r="BX835" s="37">
        <v>0</v>
      </c>
      <c r="BY835" s="37">
        <v>0</v>
      </c>
      <c r="BZ835" s="37">
        <v>0</v>
      </c>
      <c r="CA835" s="37">
        <v>0</v>
      </c>
      <c r="CB835" s="37">
        <v>0</v>
      </c>
      <c r="CC835" s="37">
        <v>0</v>
      </c>
      <c r="CD835" s="37">
        <v>0</v>
      </c>
      <c r="CE835" s="37">
        <v>0</v>
      </c>
      <c r="CF835" s="37">
        <v>0</v>
      </c>
      <c r="CG835" s="37">
        <v>0</v>
      </c>
      <c r="CH835" s="37">
        <v>0</v>
      </c>
      <c r="CI835" s="37">
        <v>0</v>
      </c>
      <c r="CJ835" s="37">
        <v>0</v>
      </c>
      <c r="CK835" s="37">
        <v>0</v>
      </c>
      <c r="CL835" s="37">
        <v>0</v>
      </c>
      <c r="CM835" s="37">
        <v>0</v>
      </c>
      <c r="CN835" s="37">
        <v>0</v>
      </c>
      <c r="CO835" s="37">
        <v>0</v>
      </c>
      <c r="CP835" s="37">
        <v>0</v>
      </c>
      <c r="CQ835" s="37">
        <v>0</v>
      </c>
      <c r="CR835" s="37">
        <v>0</v>
      </c>
      <c r="CS835" s="37">
        <v>0</v>
      </c>
      <c r="CT835" s="37">
        <v>0</v>
      </c>
      <c r="CU835" s="37">
        <v>0</v>
      </c>
      <c r="CV835" s="37">
        <v>0</v>
      </c>
      <c r="CW835" s="37">
        <v>0</v>
      </c>
      <c r="CX835" s="37">
        <v>0</v>
      </c>
      <c r="CY835" s="37">
        <v>0</v>
      </c>
      <c r="CZ835" s="37">
        <v>0</v>
      </c>
      <c r="DA835" s="37">
        <v>0</v>
      </c>
      <c r="DB835" s="37">
        <v>0</v>
      </c>
      <c r="DC835" s="37">
        <v>0</v>
      </c>
      <c r="DD835" s="37">
        <v>0</v>
      </c>
      <c r="DE835" s="37">
        <v>0</v>
      </c>
      <c r="DF835" s="37">
        <v>0</v>
      </c>
      <c r="DG835" s="37">
        <v>0</v>
      </c>
      <c r="DH835" s="37">
        <v>0</v>
      </c>
      <c r="DI835" s="37">
        <v>0</v>
      </c>
      <c r="DJ835" s="37">
        <v>0</v>
      </c>
      <c r="DK835" s="37">
        <v>0</v>
      </c>
      <c r="DL835" s="37">
        <v>0</v>
      </c>
      <c r="DM835" s="37">
        <v>0</v>
      </c>
      <c r="DN835" s="37">
        <v>0</v>
      </c>
      <c r="DO835" s="37">
        <v>0</v>
      </c>
      <c r="DP835" s="37">
        <v>0</v>
      </c>
      <c r="DQ835" s="37">
        <v>0</v>
      </c>
      <c r="DR835" s="37">
        <v>0</v>
      </c>
      <c r="DS835" s="37">
        <v>0</v>
      </c>
      <c r="DT835" s="37">
        <v>0</v>
      </c>
      <c r="DU835" s="37">
        <v>0</v>
      </c>
      <c r="DV835" s="37">
        <v>0</v>
      </c>
      <c r="DW835" s="37">
        <v>0</v>
      </c>
      <c r="DX835" s="37">
        <v>0</v>
      </c>
      <c r="DY835" s="37">
        <v>0</v>
      </c>
      <c r="DZ835" s="37">
        <v>0</v>
      </c>
      <c r="EA835" s="37">
        <v>0</v>
      </c>
      <c r="EB835" s="37">
        <v>0</v>
      </c>
      <c r="EC835" s="37">
        <v>0</v>
      </c>
      <c r="ED835" s="37">
        <v>0</v>
      </c>
      <c r="EE835" s="37">
        <v>0</v>
      </c>
      <c r="EF835" s="37">
        <v>0</v>
      </c>
      <c r="EG835" s="37">
        <v>0</v>
      </c>
      <c r="EH835" s="37">
        <v>0</v>
      </c>
      <c r="EI835" s="37">
        <v>0</v>
      </c>
      <c r="EJ835" s="37">
        <v>0</v>
      </c>
      <c r="EK835" s="161" t="s">
        <v>3139</v>
      </c>
      <c r="EL835" s="294" t="s">
        <v>1124</v>
      </c>
    </row>
    <row r="836" spans="1:142" ht="15" customHeight="1" x14ac:dyDescent="0.35">
      <c r="A836" s="34"/>
      <c r="B836" s="313">
        <v>26063</v>
      </c>
      <c r="C836" s="8" t="s">
        <v>176</v>
      </c>
      <c r="D836" s="18">
        <v>12</v>
      </c>
      <c r="E836" s="155"/>
      <c r="F836" s="36"/>
      <c r="G836" s="37"/>
      <c r="H836" s="37"/>
      <c r="I836" s="37"/>
      <c r="J836" s="37"/>
      <c r="K836" s="37"/>
      <c r="L836" s="37"/>
      <c r="M836" s="37" t="s">
        <v>1124</v>
      </c>
      <c r="N836" s="37" t="s">
        <v>1124</v>
      </c>
      <c r="O836" s="37"/>
      <c r="P836" s="37"/>
      <c r="Q836" s="37"/>
      <c r="R836" s="37"/>
      <c r="S836" s="37"/>
      <c r="T836" s="37"/>
      <c r="U836" s="37"/>
      <c r="V836" s="37"/>
      <c r="W836" s="37"/>
      <c r="X836" s="37"/>
      <c r="Y836" s="37"/>
      <c r="Z836" s="37"/>
      <c r="AA836" s="37" t="s">
        <v>1124</v>
      </c>
      <c r="AB836" s="37" t="s">
        <v>1124</v>
      </c>
      <c r="AC836" s="37"/>
      <c r="AD836" s="37"/>
      <c r="AE836" s="37"/>
      <c r="AF836" s="168"/>
      <c r="AG836" s="37"/>
      <c r="AH836" s="37"/>
      <c r="AI836" s="37"/>
      <c r="AJ836" s="37"/>
      <c r="AK836" s="37"/>
      <c r="AL836" s="37"/>
      <c r="AM836" s="37"/>
      <c r="AN836" s="37"/>
      <c r="AO836" s="37"/>
      <c r="AP836" s="37"/>
      <c r="AQ836" s="37"/>
      <c r="AR836" s="37" t="s">
        <v>1124</v>
      </c>
      <c r="AS836" s="37"/>
      <c r="AT836" s="37"/>
      <c r="AU836" s="37"/>
      <c r="AV836" s="37"/>
      <c r="AW836" s="37"/>
      <c r="AX836" s="37"/>
      <c r="AY836" s="37"/>
      <c r="AZ836" s="37"/>
      <c r="BA836" s="37"/>
      <c r="BB836" s="37"/>
      <c r="BC836" s="37"/>
      <c r="BD836" s="37" t="s">
        <v>1124</v>
      </c>
      <c r="BE836" s="37"/>
      <c r="BF836" s="37"/>
      <c r="BG836" s="37"/>
      <c r="BH836" s="37"/>
      <c r="BI836" s="37"/>
      <c r="BJ836" s="37"/>
      <c r="BK836" s="37"/>
      <c r="BL836" s="37"/>
      <c r="BM836" s="37"/>
      <c r="BN836" s="37"/>
      <c r="BO836" s="37"/>
      <c r="BP836" s="37">
        <v>0</v>
      </c>
      <c r="BQ836" s="37"/>
      <c r="BR836" s="37"/>
      <c r="BS836" s="37"/>
      <c r="BT836" s="37"/>
      <c r="BU836" s="37"/>
      <c r="BV836" s="37"/>
      <c r="BW836" s="37"/>
      <c r="BX836" s="37"/>
      <c r="BY836" s="37"/>
      <c r="BZ836" s="37"/>
      <c r="CA836" s="37"/>
      <c r="CB836" s="37" t="s">
        <v>1124</v>
      </c>
      <c r="CC836" s="37"/>
      <c r="CD836" s="37"/>
      <c r="CE836" s="37"/>
      <c r="CF836" s="37"/>
      <c r="CG836" s="37"/>
      <c r="CH836" s="37"/>
      <c r="CI836" s="37"/>
      <c r="CJ836" s="37"/>
      <c r="CK836" s="37"/>
      <c r="CL836" s="37"/>
      <c r="CM836" s="37"/>
      <c r="CN836" s="37" t="s">
        <v>1124</v>
      </c>
      <c r="CO836" s="37"/>
      <c r="CP836" s="37"/>
      <c r="CQ836" s="37"/>
      <c r="CR836" s="37"/>
      <c r="CS836" s="37"/>
      <c r="CT836" s="37"/>
      <c r="CU836" s="37"/>
      <c r="CV836" s="37"/>
      <c r="CW836" s="37"/>
      <c r="CX836" s="37"/>
      <c r="CY836" s="37"/>
      <c r="CZ836" s="37" t="s">
        <v>1124</v>
      </c>
      <c r="DA836" s="37"/>
      <c r="DB836" s="37"/>
      <c r="DC836" s="37"/>
      <c r="DD836" s="37"/>
      <c r="DE836" s="37"/>
      <c r="DF836" s="37"/>
      <c r="DG836" s="37"/>
      <c r="DH836" s="37"/>
      <c r="DI836" s="37"/>
      <c r="DJ836" s="37"/>
      <c r="DK836" s="37"/>
      <c r="DL836" s="37" t="s">
        <v>1124</v>
      </c>
      <c r="DM836" s="37"/>
      <c r="DN836" s="37"/>
      <c r="DO836" s="37"/>
      <c r="DP836" s="37"/>
      <c r="DQ836" s="37"/>
      <c r="DR836" s="37"/>
      <c r="DS836" s="37"/>
      <c r="DT836" s="37"/>
      <c r="DU836" s="37"/>
      <c r="DV836" s="37"/>
      <c r="DW836" s="37"/>
      <c r="DX836" s="37" t="s">
        <v>1124</v>
      </c>
      <c r="DY836" s="37"/>
      <c r="DZ836" s="37"/>
      <c r="EA836" s="37"/>
      <c r="EB836" s="37"/>
      <c r="EC836" s="37"/>
      <c r="ED836" s="37"/>
      <c r="EE836" s="37"/>
      <c r="EF836" s="37"/>
      <c r="EG836" s="37"/>
      <c r="EH836" s="37"/>
      <c r="EI836" s="37"/>
      <c r="EJ836" s="37" t="s">
        <v>1124</v>
      </c>
      <c r="EK836" s="161"/>
      <c r="EL836" s="294"/>
    </row>
    <row r="837" spans="1:142" ht="15" customHeight="1" x14ac:dyDescent="0.35">
      <c r="A837" s="34"/>
      <c r="B837" s="313">
        <v>67040</v>
      </c>
      <c r="C837" s="8" t="s">
        <v>669</v>
      </c>
      <c r="D837" s="18">
        <v>16</v>
      </c>
      <c r="E837" s="155">
        <v>207470</v>
      </c>
      <c r="F837" s="36">
        <v>124885</v>
      </c>
      <c r="G837" s="37">
        <v>8423</v>
      </c>
      <c r="H837" s="37">
        <v>1890</v>
      </c>
      <c r="I837" s="37">
        <v>8276</v>
      </c>
      <c r="J837" s="37">
        <v>6100</v>
      </c>
      <c r="K837" s="37">
        <v>31120</v>
      </c>
      <c r="L837" s="37">
        <v>18732</v>
      </c>
      <c r="M837" s="37">
        <v>255289</v>
      </c>
      <c r="N837" s="37">
        <v>151607</v>
      </c>
      <c r="O837" s="37">
        <v>20043</v>
      </c>
      <c r="P837" s="37">
        <v>0</v>
      </c>
      <c r="Q837" s="37">
        <v>135416</v>
      </c>
      <c r="R837" s="37">
        <v>127396</v>
      </c>
      <c r="S837" s="37">
        <v>0</v>
      </c>
      <c r="T837" s="37">
        <v>0</v>
      </c>
      <c r="U837" s="37">
        <v>0</v>
      </c>
      <c r="V837" s="37">
        <v>0</v>
      </c>
      <c r="W837" s="37">
        <v>99830</v>
      </c>
      <c r="X837" s="37">
        <v>24211</v>
      </c>
      <c r="Y837" s="37">
        <v>0</v>
      </c>
      <c r="Z837" s="37">
        <v>0</v>
      </c>
      <c r="AA837" s="37">
        <v>255289</v>
      </c>
      <c r="AB837" s="37">
        <v>151607</v>
      </c>
      <c r="AC837" s="37">
        <v>0</v>
      </c>
      <c r="AD837" s="37">
        <v>0</v>
      </c>
      <c r="AE837" s="37">
        <v>0</v>
      </c>
      <c r="AF837" s="168">
        <v>0.02</v>
      </c>
      <c r="AG837" s="37">
        <v>49636104.939999998</v>
      </c>
      <c r="AH837" s="37">
        <v>455861.46</v>
      </c>
      <c r="AI837" s="37">
        <v>81447.710000000006</v>
      </c>
      <c r="AJ837" s="37">
        <v>70358.09</v>
      </c>
      <c r="AK837" s="37">
        <v>411270.1</v>
      </c>
      <c r="AL837" s="37">
        <v>73200.56</v>
      </c>
      <c r="AM837" s="37">
        <v>74664.570000000007</v>
      </c>
      <c r="AN837" s="37">
        <v>76157.86</v>
      </c>
      <c r="AO837" s="37">
        <v>77681.02</v>
      </c>
      <c r="AP837" s="37">
        <v>79234.64</v>
      </c>
      <c r="AQ837" s="37">
        <v>80819.33</v>
      </c>
      <c r="AR837" s="37">
        <v>1480695.3399999999</v>
      </c>
      <c r="AS837" s="37">
        <v>0</v>
      </c>
      <c r="AT837" s="37">
        <v>499392</v>
      </c>
      <c r="AU837" s="37">
        <v>1992377.69</v>
      </c>
      <c r="AV837" s="37">
        <v>0</v>
      </c>
      <c r="AW837" s="37">
        <v>0</v>
      </c>
      <c r="AX837" s="37">
        <v>0</v>
      </c>
      <c r="AY837" s="37">
        <v>0</v>
      </c>
      <c r="AZ837" s="37">
        <v>0</v>
      </c>
      <c r="BA837" s="37">
        <v>0</v>
      </c>
      <c r="BB837" s="37">
        <v>0</v>
      </c>
      <c r="BC837" s="37">
        <v>0</v>
      </c>
      <c r="BD837" s="37">
        <v>2491769.69</v>
      </c>
      <c r="BE837" s="37">
        <v>67511</v>
      </c>
      <c r="BF837" s="37">
        <v>18235</v>
      </c>
      <c r="BG837" s="37">
        <v>23714</v>
      </c>
      <c r="BH837" s="37">
        <v>29193.483679718182</v>
      </c>
      <c r="BI837" s="37">
        <v>34672.57281321146</v>
      </c>
      <c r="BJ837" s="37">
        <v>4014.43979252398</v>
      </c>
      <c r="BK837" s="37">
        <v>19439.492691175725</v>
      </c>
      <c r="BL837" s="37">
        <v>25280.379168058425</v>
      </c>
      <c r="BM837" s="37">
        <v>31121.265644941119</v>
      </c>
      <c r="BN837" s="37">
        <v>36962.164603300742</v>
      </c>
      <c r="BO837" s="37">
        <v>0</v>
      </c>
      <c r="BP837" s="37">
        <v>222632.79839292963</v>
      </c>
      <c r="BQ837" s="37">
        <v>0</v>
      </c>
      <c r="BR837" s="37">
        <v>0</v>
      </c>
      <c r="BS837" s="37">
        <v>0</v>
      </c>
      <c r="BT837" s="37">
        <v>0</v>
      </c>
      <c r="BU837" s="37">
        <v>0</v>
      </c>
      <c r="BV837" s="37">
        <v>0</v>
      </c>
      <c r="BW837" s="37">
        <v>0</v>
      </c>
      <c r="BX837" s="37">
        <v>0</v>
      </c>
      <c r="BY837" s="37">
        <v>0</v>
      </c>
      <c r="BZ837" s="37">
        <v>0</v>
      </c>
      <c r="CA837" s="37">
        <v>0</v>
      </c>
      <c r="CB837" s="37">
        <v>0</v>
      </c>
      <c r="CC837" s="37">
        <v>0</v>
      </c>
      <c r="CD837" s="37">
        <v>0</v>
      </c>
      <c r="CE837" s="37">
        <v>0</v>
      </c>
      <c r="CF837" s="37">
        <v>0</v>
      </c>
      <c r="CG837" s="37">
        <v>0</v>
      </c>
      <c r="CH837" s="37">
        <v>0</v>
      </c>
      <c r="CI837" s="37">
        <v>0</v>
      </c>
      <c r="CJ837" s="37">
        <v>0</v>
      </c>
      <c r="CK837" s="37">
        <v>0</v>
      </c>
      <c r="CL837" s="37">
        <v>0</v>
      </c>
      <c r="CM837" s="37">
        <v>0</v>
      </c>
      <c r="CN837" s="37">
        <v>0</v>
      </c>
      <c r="CO837" s="37">
        <v>0</v>
      </c>
      <c r="CP837" s="37">
        <v>106500</v>
      </c>
      <c r="CQ837" s="37">
        <v>328460</v>
      </c>
      <c r="CR837" s="37">
        <v>4000</v>
      </c>
      <c r="CS837" s="37">
        <v>0</v>
      </c>
      <c r="CT837" s="37">
        <v>0</v>
      </c>
      <c r="CU837" s="37">
        <v>0</v>
      </c>
      <c r="CV837" s="37">
        <v>0</v>
      </c>
      <c r="CW837" s="37">
        <v>0</v>
      </c>
      <c r="CX837" s="37">
        <v>0</v>
      </c>
      <c r="CY837" s="37">
        <v>0</v>
      </c>
      <c r="CZ837" s="37">
        <v>438960</v>
      </c>
      <c r="DA837" s="37">
        <v>0</v>
      </c>
      <c r="DB837" s="37">
        <v>0</v>
      </c>
      <c r="DC837" s="37">
        <v>0</v>
      </c>
      <c r="DD837" s="37">
        <v>0</v>
      </c>
      <c r="DE837" s="37">
        <v>0</v>
      </c>
      <c r="DF837" s="37">
        <v>0</v>
      </c>
      <c r="DG837" s="37">
        <v>0</v>
      </c>
      <c r="DH837" s="37">
        <v>0</v>
      </c>
      <c r="DI837" s="37">
        <v>0</v>
      </c>
      <c r="DJ837" s="37">
        <v>0</v>
      </c>
      <c r="DK837" s="37">
        <v>0</v>
      </c>
      <c r="DL837" s="37">
        <v>0</v>
      </c>
      <c r="DM837" s="37">
        <v>0</v>
      </c>
      <c r="DN837" s="37">
        <v>0</v>
      </c>
      <c r="DO837" s="37">
        <v>0</v>
      </c>
      <c r="DP837" s="37">
        <v>0</v>
      </c>
      <c r="DQ837" s="37">
        <v>0</v>
      </c>
      <c r="DR837" s="37">
        <v>0</v>
      </c>
      <c r="DS837" s="37">
        <v>0</v>
      </c>
      <c r="DT837" s="37">
        <v>0</v>
      </c>
      <c r="DU837" s="37">
        <v>0</v>
      </c>
      <c r="DV837" s="37">
        <v>0</v>
      </c>
      <c r="DW837" s="37">
        <v>0</v>
      </c>
      <c r="DX837" s="37">
        <v>0</v>
      </c>
      <c r="DY837" s="37">
        <v>0</v>
      </c>
      <c r="DZ837" s="37">
        <v>0</v>
      </c>
      <c r="EA837" s="37">
        <v>0</v>
      </c>
      <c r="EB837" s="37">
        <v>0</v>
      </c>
      <c r="EC837" s="37">
        <v>0</v>
      </c>
      <c r="ED837" s="37">
        <v>0</v>
      </c>
      <c r="EE837" s="37">
        <v>0</v>
      </c>
      <c r="EF837" s="37">
        <v>0</v>
      </c>
      <c r="EG837" s="37">
        <v>0</v>
      </c>
      <c r="EH837" s="37">
        <v>0</v>
      </c>
      <c r="EI837" s="37">
        <v>0</v>
      </c>
      <c r="EJ837" s="37">
        <v>0</v>
      </c>
      <c r="EK837" s="161" t="s">
        <v>3143</v>
      </c>
      <c r="EL837" s="294" t="s">
        <v>1124</v>
      </c>
    </row>
    <row r="838" spans="1:142" ht="15" customHeight="1" x14ac:dyDescent="0.35">
      <c r="A838" s="34"/>
      <c r="B838" s="313">
        <v>41012</v>
      </c>
      <c r="C838" s="8" t="s">
        <v>365</v>
      </c>
      <c r="D838" s="18">
        <v>5</v>
      </c>
      <c r="E838" s="155">
        <v>56074</v>
      </c>
      <c r="F838" s="36">
        <v>30679</v>
      </c>
      <c r="G838" s="37">
        <v>0</v>
      </c>
      <c r="H838" s="37">
        <v>0</v>
      </c>
      <c r="I838" s="37">
        <v>0</v>
      </c>
      <c r="J838" s="37">
        <v>0</v>
      </c>
      <c r="K838" s="37">
        <v>8411.1</v>
      </c>
      <c r="L838" s="37">
        <v>4601.8499999999995</v>
      </c>
      <c r="M838" s="37">
        <v>64485.1</v>
      </c>
      <c r="N838" s="37">
        <v>35280.85</v>
      </c>
      <c r="O838" s="37">
        <v>13446</v>
      </c>
      <c r="P838" s="37">
        <v>49195</v>
      </c>
      <c r="Q838" s="37">
        <v>5094</v>
      </c>
      <c r="R838" s="37">
        <v>7641</v>
      </c>
      <c r="S838" s="37">
        <v>48</v>
      </c>
      <c r="T838" s="37">
        <v>0</v>
      </c>
      <c r="U838" s="37">
        <v>0</v>
      </c>
      <c r="V838" s="37">
        <v>0</v>
      </c>
      <c r="W838" s="37">
        <v>45897.1</v>
      </c>
      <c r="X838" s="37">
        <v>-21555.15</v>
      </c>
      <c r="Y838" s="37">
        <v>0</v>
      </c>
      <c r="Z838" s="37">
        <v>0</v>
      </c>
      <c r="AA838" s="37">
        <v>64485.1</v>
      </c>
      <c r="AB838" s="37">
        <v>35280.85</v>
      </c>
      <c r="AC838" s="37">
        <v>0</v>
      </c>
      <c r="AD838" s="37">
        <v>0</v>
      </c>
      <c r="AE838" s="37">
        <v>0</v>
      </c>
      <c r="AF838" s="168">
        <v>0.02</v>
      </c>
      <c r="AG838" s="37">
        <v>8858961.3599999994</v>
      </c>
      <c r="AH838" s="37">
        <v>65601.02</v>
      </c>
      <c r="AI838" s="37">
        <v>66913.039999999994</v>
      </c>
      <c r="AJ838" s="37">
        <v>68251.3</v>
      </c>
      <c r="AK838" s="37">
        <v>69616.320000000007</v>
      </c>
      <c r="AL838" s="37">
        <v>71008.649999999994</v>
      </c>
      <c r="AM838" s="37">
        <v>72428.820000000007</v>
      </c>
      <c r="AN838" s="37">
        <v>73877.399999999994</v>
      </c>
      <c r="AO838" s="37">
        <v>75354.95</v>
      </c>
      <c r="AP838" s="37">
        <v>76862.039999999994</v>
      </c>
      <c r="AQ838" s="37">
        <v>78399.289999999994</v>
      </c>
      <c r="AR838" s="37">
        <v>718312.83000000007</v>
      </c>
      <c r="AS838" s="37">
        <v>4578117.5599999996</v>
      </c>
      <c r="AT838" s="37">
        <v>0</v>
      </c>
      <c r="AU838" s="37">
        <v>0</v>
      </c>
      <c r="AV838" s="37">
        <v>0</v>
      </c>
      <c r="AW838" s="37">
        <v>0</v>
      </c>
      <c r="AX838" s="37">
        <v>0</v>
      </c>
      <c r="AY838" s="37">
        <v>0</v>
      </c>
      <c r="AZ838" s="37">
        <v>0</v>
      </c>
      <c r="BA838" s="37">
        <v>0</v>
      </c>
      <c r="BB838" s="37">
        <v>0</v>
      </c>
      <c r="BC838" s="37">
        <v>0</v>
      </c>
      <c r="BD838" s="37">
        <v>0</v>
      </c>
      <c r="BE838" s="37">
        <v>414971</v>
      </c>
      <c r="BF838" s="37">
        <v>1436585</v>
      </c>
      <c r="BG838" s="37">
        <v>713475</v>
      </c>
      <c r="BH838" s="37">
        <v>203952.66252735246</v>
      </c>
      <c r="BI838" s="37">
        <v>242230.89027366936</v>
      </c>
      <c r="BJ838" s="37">
        <v>26308.559991810936</v>
      </c>
      <c r="BK838" s="37">
        <v>127396.37062899403</v>
      </c>
      <c r="BL838" s="37">
        <v>165674.51657817326</v>
      </c>
      <c r="BM838" s="37">
        <v>203952.66252735246</v>
      </c>
      <c r="BN838" s="37">
        <v>242230.89027366936</v>
      </c>
      <c r="BO838" s="37">
        <v>0</v>
      </c>
      <c r="BP838" s="37">
        <v>3361806.5528010218</v>
      </c>
      <c r="BQ838" s="37">
        <v>0</v>
      </c>
      <c r="BR838" s="37">
        <v>320720</v>
      </c>
      <c r="BS838" s="37">
        <v>136950</v>
      </c>
      <c r="BT838" s="37">
        <v>0</v>
      </c>
      <c r="BU838" s="37">
        <v>0</v>
      </c>
      <c r="BV838" s="37">
        <v>0</v>
      </c>
      <c r="BW838" s="37">
        <v>0</v>
      </c>
      <c r="BX838" s="37">
        <v>0</v>
      </c>
      <c r="BY838" s="37">
        <v>0</v>
      </c>
      <c r="BZ838" s="37">
        <v>0</v>
      </c>
      <c r="CA838" s="37">
        <v>0</v>
      </c>
      <c r="CB838" s="37">
        <v>457670</v>
      </c>
      <c r="CC838" s="37">
        <v>0</v>
      </c>
      <c r="CD838" s="37">
        <v>0</v>
      </c>
      <c r="CE838" s="37">
        <v>0</v>
      </c>
      <c r="CF838" s="37">
        <v>0</v>
      </c>
      <c r="CG838" s="37">
        <v>0</v>
      </c>
      <c r="CH838" s="37">
        <v>0</v>
      </c>
      <c r="CI838" s="37">
        <v>0</v>
      </c>
      <c r="CJ838" s="37">
        <v>0</v>
      </c>
      <c r="CK838" s="37">
        <v>0</v>
      </c>
      <c r="CL838" s="37">
        <v>0</v>
      </c>
      <c r="CM838" s="37">
        <v>0</v>
      </c>
      <c r="CN838" s="37">
        <v>0</v>
      </c>
      <c r="CO838" s="37">
        <v>128857</v>
      </c>
      <c r="CP838" s="37">
        <v>0</v>
      </c>
      <c r="CQ838" s="37">
        <v>0</v>
      </c>
      <c r="CR838" s="37">
        <v>0</v>
      </c>
      <c r="CS838" s="37">
        <v>0</v>
      </c>
      <c r="CT838" s="37">
        <v>0</v>
      </c>
      <c r="CU838" s="37">
        <v>0</v>
      </c>
      <c r="CV838" s="37">
        <v>0</v>
      </c>
      <c r="CW838" s="37">
        <v>0</v>
      </c>
      <c r="CX838" s="37">
        <v>0</v>
      </c>
      <c r="CY838" s="37">
        <v>0</v>
      </c>
      <c r="CZ838" s="37">
        <v>0</v>
      </c>
      <c r="DA838" s="37">
        <v>0</v>
      </c>
      <c r="DB838" s="37">
        <v>0</v>
      </c>
      <c r="DC838" s="37">
        <v>0</v>
      </c>
      <c r="DD838" s="37">
        <v>0</v>
      </c>
      <c r="DE838" s="37">
        <v>0</v>
      </c>
      <c r="DF838" s="37">
        <v>0</v>
      </c>
      <c r="DG838" s="37">
        <v>0</v>
      </c>
      <c r="DH838" s="37">
        <v>0</v>
      </c>
      <c r="DI838" s="37">
        <v>0</v>
      </c>
      <c r="DJ838" s="37">
        <v>0</v>
      </c>
      <c r="DK838" s="37">
        <v>0</v>
      </c>
      <c r="DL838" s="37">
        <v>0</v>
      </c>
      <c r="DM838" s="37">
        <v>0</v>
      </c>
      <c r="DN838" s="37">
        <v>0</v>
      </c>
      <c r="DO838" s="37">
        <v>0</v>
      </c>
      <c r="DP838" s="37">
        <v>0</v>
      </c>
      <c r="DQ838" s="37">
        <v>0</v>
      </c>
      <c r="DR838" s="37">
        <v>0</v>
      </c>
      <c r="DS838" s="37">
        <v>0</v>
      </c>
      <c r="DT838" s="37">
        <v>0</v>
      </c>
      <c r="DU838" s="37">
        <v>0</v>
      </c>
      <c r="DV838" s="37">
        <v>0</v>
      </c>
      <c r="DW838" s="37">
        <v>0</v>
      </c>
      <c r="DX838" s="37">
        <v>0</v>
      </c>
      <c r="DY838" s="37">
        <v>0</v>
      </c>
      <c r="DZ838" s="37">
        <v>0</v>
      </c>
      <c r="EA838" s="37">
        <v>0</v>
      </c>
      <c r="EB838" s="37">
        <v>0</v>
      </c>
      <c r="EC838" s="37">
        <v>0</v>
      </c>
      <c r="ED838" s="37">
        <v>0</v>
      </c>
      <c r="EE838" s="37">
        <v>0</v>
      </c>
      <c r="EF838" s="37">
        <v>0</v>
      </c>
      <c r="EG838" s="37">
        <v>0</v>
      </c>
      <c r="EH838" s="37">
        <v>0</v>
      </c>
      <c r="EI838" s="37">
        <v>0</v>
      </c>
      <c r="EJ838" s="37">
        <v>0</v>
      </c>
      <c r="EK838" s="161" t="s">
        <v>3147</v>
      </c>
      <c r="EL838" s="294" t="s">
        <v>1124</v>
      </c>
    </row>
    <row r="839" spans="1:142" ht="15" customHeight="1" x14ac:dyDescent="0.35">
      <c r="A839" s="34"/>
      <c r="B839" s="313">
        <v>63013</v>
      </c>
      <c r="C839" s="8" t="s">
        <v>635</v>
      </c>
      <c r="D839" s="18">
        <v>14</v>
      </c>
      <c r="E839" s="155">
        <v>258182</v>
      </c>
      <c r="F839" s="36">
        <v>405705</v>
      </c>
      <c r="G839" s="37">
        <v>32379</v>
      </c>
      <c r="H839" s="37">
        <v>96941</v>
      </c>
      <c r="I839" s="37">
        <v>98000</v>
      </c>
      <c r="J839" s="37">
        <v>190000</v>
      </c>
      <c r="K839" s="37">
        <v>38727</v>
      </c>
      <c r="L839" s="37">
        <v>60856</v>
      </c>
      <c r="M839" s="37">
        <v>427288</v>
      </c>
      <c r="N839" s="37">
        <v>753502</v>
      </c>
      <c r="O839" s="37">
        <v>0</v>
      </c>
      <c r="P839" s="37">
        <v>0</v>
      </c>
      <c r="Q839" s="37">
        <v>247322</v>
      </c>
      <c r="R839" s="37">
        <v>249822</v>
      </c>
      <c r="S839" s="37">
        <v>8789</v>
      </c>
      <c r="T839" s="37">
        <v>0</v>
      </c>
      <c r="U839" s="37">
        <v>12786</v>
      </c>
      <c r="V839" s="37">
        <v>12786</v>
      </c>
      <c r="W839" s="37">
        <v>220900</v>
      </c>
      <c r="X839" s="37">
        <v>428385</v>
      </c>
      <c r="Y839" s="37">
        <v>0</v>
      </c>
      <c r="Z839" s="37">
        <v>0</v>
      </c>
      <c r="AA839" s="37">
        <v>489797</v>
      </c>
      <c r="AB839" s="37">
        <v>690993</v>
      </c>
      <c r="AC839" s="37">
        <v>0</v>
      </c>
      <c r="AD839" s="37">
        <v>0</v>
      </c>
      <c r="AE839" s="37">
        <v>0</v>
      </c>
      <c r="AF839" s="168">
        <v>0.02</v>
      </c>
      <c r="AG839" s="37">
        <v>71030046.540000007</v>
      </c>
      <c r="AH839" s="37">
        <v>793301.6</v>
      </c>
      <c r="AI839" s="37">
        <v>809167.64</v>
      </c>
      <c r="AJ839" s="37">
        <v>662986.17000000004</v>
      </c>
      <c r="AK839" s="37">
        <v>676245.89</v>
      </c>
      <c r="AL839" s="37">
        <v>689770.81</v>
      </c>
      <c r="AM839" s="37">
        <v>703566.22</v>
      </c>
      <c r="AN839" s="37">
        <v>717637.55</v>
      </c>
      <c r="AO839" s="37">
        <v>731990.3</v>
      </c>
      <c r="AP839" s="37">
        <v>746630.1</v>
      </c>
      <c r="AQ839" s="37">
        <v>761562.71</v>
      </c>
      <c r="AR839" s="37">
        <v>7292858.9899999993</v>
      </c>
      <c r="AS839" s="37">
        <v>15007298.75</v>
      </c>
      <c r="AT839" s="37">
        <v>0</v>
      </c>
      <c r="AU839" s="37">
        <v>0</v>
      </c>
      <c r="AV839" s="37">
        <v>0</v>
      </c>
      <c r="AW839" s="37">
        <v>0</v>
      </c>
      <c r="AX839" s="37">
        <v>0</v>
      </c>
      <c r="AY839" s="37">
        <v>0</v>
      </c>
      <c r="AZ839" s="37">
        <v>0</v>
      </c>
      <c r="BA839" s="37">
        <v>0</v>
      </c>
      <c r="BB839" s="37">
        <v>0</v>
      </c>
      <c r="BC839" s="37">
        <v>0</v>
      </c>
      <c r="BD839" s="37">
        <v>0</v>
      </c>
      <c r="BE839" s="37">
        <v>1247854</v>
      </c>
      <c r="BF839" s="37">
        <v>5434550</v>
      </c>
      <c r="BG839" s="37">
        <v>268585</v>
      </c>
      <c r="BH839" s="37">
        <v>330640</v>
      </c>
      <c r="BI839" s="37">
        <v>392696</v>
      </c>
      <c r="BJ839" s="37">
        <v>42650</v>
      </c>
      <c r="BK839" s="37">
        <v>206530</v>
      </c>
      <c r="BL839" s="37">
        <v>268585</v>
      </c>
      <c r="BM839" s="37">
        <v>330640</v>
      </c>
      <c r="BN839" s="37">
        <v>392696</v>
      </c>
      <c r="BO839" s="37">
        <v>412000</v>
      </c>
      <c r="BP839" s="37">
        <v>8079572</v>
      </c>
      <c r="BQ839" s="37">
        <v>25813</v>
      </c>
      <c r="BR839" s="37">
        <v>2488681</v>
      </c>
      <c r="BS839" s="37">
        <v>162555</v>
      </c>
      <c r="BT839" s="37">
        <v>200112</v>
      </c>
      <c r="BU839" s="37">
        <v>237669</v>
      </c>
      <c r="BV839" s="37">
        <v>25813</v>
      </c>
      <c r="BW839" s="37">
        <v>124997</v>
      </c>
      <c r="BX839" s="37">
        <v>162555</v>
      </c>
      <c r="BY839" s="37">
        <v>200112</v>
      </c>
      <c r="BZ839" s="37">
        <v>237669</v>
      </c>
      <c r="CA839" s="37">
        <v>250000</v>
      </c>
      <c r="CB839" s="37">
        <v>4090163</v>
      </c>
      <c r="CC839" s="37">
        <v>0</v>
      </c>
      <c r="CD839" s="37">
        <v>0</v>
      </c>
      <c r="CE839" s="37">
        <v>0</v>
      </c>
      <c r="CF839" s="37">
        <v>0</v>
      </c>
      <c r="CG839" s="37">
        <v>0</v>
      </c>
      <c r="CH839" s="37">
        <v>0</v>
      </c>
      <c r="CI839" s="37">
        <v>0</v>
      </c>
      <c r="CJ839" s="37">
        <v>0</v>
      </c>
      <c r="CK839" s="37">
        <v>0</v>
      </c>
      <c r="CL839" s="37">
        <v>0</v>
      </c>
      <c r="CM839" s="37">
        <v>0</v>
      </c>
      <c r="CN839" s="37">
        <v>0</v>
      </c>
      <c r="CO839" s="37">
        <v>0</v>
      </c>
      <c r="CP839" s="37">
        <v>0</v>
      </c>
      <c r="CQ839" s="37">
        <v>0</v>
      </c>
      <c r="CR839" s="37">
        <v>0</v>
      </c>
      <c r="CS839" s="37">
        <v>0</v>
      </c>
      <c r="CT839" s="37">
        <v>0</v>
      </c>
      <c r="CU839" s="37">
        <v>0</v>
      </c>
      <c r="CV839" s="37">
        <v>0</v>
      </c>
      <c r="CW839" s="37">
        <v>0</v>
      </c>
      <c r="CX839" s="37">
        <v>0</v>
      </c>
      <c r="CY839" s="37">
        <v>0</v>
      </c>
      <c r="CZ839" s="37">
        <v>0</v>
      </c>
      <c r="DA839" s="37">
        <v>0</v>
      </c>
      <c r="DB839" s="37">
        <v>0</v>
      </c>
      <c r="DC839" s="37">
        <v>0</v>
      </c>
      <c r="DD839" s="37">
        <v>0</v>
      </c>
      <c r="DE839" s="37">
        <v>0</v>
      </c>
      <c r="DF839" s="37">
        <v>0</v>
      </c>
      <c r="DG839" s="37">
        <v>0</v>
      </c>
      <c r="DH839" s="37">
        <v>0</v>
      </c>
      <c r="DI839" s="37">
        <v>0</v>
      </c>
      <c r="DJ839" s="37">
        <v>0</v>
      </c>
      <c r="DK839" s="37">
        <v>0</v>
      </c>
      <c r="DL839" s="37">
        <v>0</v>
      </c>
      <c r="DM839" s="37">
        <v>0</v>
      </c>
      <c r="DN839" s="37">
        <v>0</v>
      </c>
      <c r="DO839" s="37">
        <v>0</v>
      </c>
      <c r="DP839" s="37">
        <v>0</v>
      </c>
      <c r="DQ839" s="37">
        <v>0</v>
      </c>
      <c r="DR839" s="37">
        <v>0</v>
      </c>
      <c r="DS839" s="37">
        <v>0</v>
      </c>
      <c r="DT839" s="37">
        <v>0</v>
      </c>
      <c r="DU839" s="37">
        <v>0</v>
      </c>
      <c r="DV839" s="37">
        <v>0</v>
      </c>
      <c r="DW839" s="37">
        <v>0</v>
      </c>
      <c r="DX839" s="37">
        <v>0</v>
      </c>
      <c r="DY839" s="37">
        <v>0</v>
      </c>
      <c r="DZ839" s="37">
        <v>0</v>
      </c>
      <c r="EA839" s="37">
        <v>0</v>
      </c>
      <c r="EB839" s="37">
        <v>0</v>
      </c>
      <c r="EC839" s="37">
        <v>0</v>
      </c>
      <c r="ED839" s="37">
        <v>0</v>
      </c>
      <c r="EE839" s="37">
        <v>0</v>
      </c>
      <c r="EF839" s="37">
        <v>0</v>
      </c>
      <c r="EG839" s="37">
        <v>0</v>
      </c>
      <c r="EH839" s="37">
        <v>0</v>
      </c>
      <c r="EI839" s="37">
        <v>0</v>
      </c>
      <c r="EJ839" s="37">
        <v>0</v>
      </c>
      <c r="EK839" s="161" t="s">
        <v>3151</v>
      </c>
      <c r="EL839" s="294" t="s">
        <v>1124</v>
      </c>
    </row>
    <row r="840" spans="1:142" ht="15" customHeight="1" x14ac:dyDescent="0.35">
      <c r="A840" s="34"/>
      <c r="B840" s="313">
        <v>31140</v>
      </c>
      <c r="C840" s="8" t="s">
        <v>255</v>
      </c>
      <c r="D840" s="18">
        <v>12</v>
      </c>
      <c r="E840" s="155">
        <v>27833</v>
      </c>
      <c r="F840" s="36">
        <v>14949</v>
      </c>
      <c r="G840" s="37">
        <v>42157</v>
      </c>
      <c r="H840" s="37">
        <v>92586</v>
      </c>
      <c r="I840" s="37">
        <v>46607</v>
      </c>
      <c r="J840" s="37">
        <v>128762</v>
      </c>
      <c r="K840" s="37">
        <v>4175</v>
      </c>
      <c r="L840" s="37">
        <v>2242</v>
      </c>
      <c r="M840" s="37">
        <v>120772</v>
      </c>
      <c r="N840" s="37">
        <v>238539</v>
      </c>
      <c r="O840" s="37">
        <v>0</v>
      </c>
      <c r="P840" s="37">
        <v>0</v>
      </c>
      <c r="Q840" s="37">
        <v>29900</v>
      </c>
      <c r="R840" s="37">
        <v>29900</v>
      </c>
      <c r="S840" s="37">
        <v>0</v>
      </c>
      <c r="T840" s="37">
        <v>0</v>
      </c>
      <c r="U840" s="37">
        <v>129598</v>
      </c>
      <c r="V840" s="37">
        <v>0</v>
      </c>
      <c r="W840" s="37">
        <v>92457</v>
      </c>
      <c r="X840" s="37">
        <v>92456</v>
      </c>
      <c r="Y840" s="37">
        <v>0</v>
      </c>
      <c r="Z840" s="37">
        <v>0</v>
      </c>
      <c r="AA840" s="37">
        <v>251955</v>
      </c>
      <c r="AB840" s="37">
        <v>122356</v>
      </c>
      <c r="AC840" s="37">
        <v>15000</v>
      </c>
      <c r="AD840" s="37">
        <v>15000</v>
      </c>
      <c r="AE840" s="37">
        <v>15000</v>
      </c>
      <c r="AF840" s="168">
        <v>0.02</v>
      </c>
      <c r="AG840" s="37">
        <v>12432492.699999999</v>
      </c>
      <c r="AH840" s="37">
        <v>90506.92</v>
      </c>
      <c r="AI840" s="37">
        <v>92317.05</v>
      </c>
      <c r="AJ840" s="37">
        <v>94163.4</v>
      </c>
      <c r="AK840" s="37">
        <v>96046.66</v>
      </c>
      <c r="AL840" s="37">
        <v>97967.6</v>
      </c>
      <c r="AM840" s="37">
        <v>99926.95</v>
      </c>
      <c r="AN840" s="37">
        <v>101925.49</v>
      </c>
      <c r="AO840" s="37">
        <v>103964</v>
      </c>
      <c r="AP840" s="37">
        <v>106043.28</v>
      </c>
      <c r="AQ840" s="37">
        <v>108164.14</v>
      </c>
      <c r="AR840" s="37">
        <v>991025.49000000011</v>
      </c>
      <c r="AS840" s="37">
        <v>0</v>
      </c>
      <c r="AT840" s="37">
        <v>0</v>
      </c>
      <c r="AU840" s="37">
        <v>0</v>
      </c>
      <c r="AV840" s="37">
        <v>0</v>
      </c>
      <c r="AW840" s="37">
        <v>0</v>
      </c>
      <c r="AX840" s="37">
        <v>0</v>
      </c>
      <c r="AY840" s="37">
        <v>0</v>
      </c>
      <c r="AZ840" s="37">
        <v>0</v>
      </c>
      <c r="BA840" s="37">
        <v>0</v>
      </c>
      <c r="BB840" s="37">
        <v>0</v>
      </c>
      <c r="BC840" s="37">
        <v>0</v>
      </c>
      <c r="BD840" s="37">
        <v>0</v>
      </c>
      <c r="BE840" s="37">
        <v>0</v>
      </c>
      <c r="BF840" s="37">
        <v>0</v>
      </c>
      <c r="BG840" s="37">
        <v>0</v>
      </c>
      <c r="BH840" s="37">
        <v>0</v>
      </c>
      <c r="BI840" s="37">
        <v>0</v>
      </c>
      <c r="BJ840" s="37">
        <v>0</v>
      </c>
      <c r="BK840" s="37">
        <v>0</v>
      </c>
      <c r="BL840" s="37">
        <v>0</v>
      </c>
      <c r="BM840" s="37">
        <v>0</v>
      </c>
      <c r="BN840" s="37">
        <v>0</v>
      </c>
      <c r="BO840" s="37">
        <v>0</v>
      </c>
      <c r="BP840" s="37">
        <v>0</v>
      </c>
      <c r="BQ840" s="37">
        <v>0</v>
      </c>
      <c r="BR840" s="37">
        <v>0</v>
      </c>
      <c r="BS840" s="37">
        <v>0</v>
      </c>
      <c r="BT840" s="37">
        <v>0</v>
      </c>
      <c r="BU840" s="37">
        <v>0</v>
      </c>
      <c r="BV840" s="37">
        <v>0</v>
      </c>
      <c r="BW840" s="37">
        <v>0</v>
      </c>
      <c r="BX840" s="37">
        <v>0</v>
      </c>
      <c r="BY840" s="37">
        <v>0</v>
      </c>
      <c r="BZ840" s="37">
        <v>0</v>
      </c>
      <c r="CA840" s="37">
        <v>0</v>
      </c>
      <c r="CB840" s="37">
        <v>0</v>
      </c>
      <c r="CC840" s="37">
        <v>0</v>
      </c>
      <c r="CD840" s="37">
        <v>0</v>
      </c>
      <c r="CE840" s="37">
        <v>0</v>
      </c>
      <c r="CF840" s="37">
        <v>0</v>
      </c>
      <c r="CG840" s="37">
        <v>0</v>
      </c>
      <c r="CH840" s="37">
        <v>0</v>
      </c>
      <c r="CI840" s="37">
        <v>0</v>
      </c>
      <c r="CJ840" s="37">
        <v>0</v>
      </c>
      <c r="CK840" s="37">
        <v>0</v>
      </c>
      <c r="CL840" s="37">
        <v>0</v>
      </c>
      <c r="CM840" s="37">
        <v>0</v>
      </c>
      <c r="CN840" s="37">
        <v>0</v>
      </c>
      <c r="CO840" s="37">
        <v>0</v>
      </c>
      <c r="CP840" s="37">
        <v>0</v>
      </c>
      <c r="CQ840" s="37">
        <v>0</v>
      </c>
      <c r="CR840" s="37">
        <v>0</v>
      </c>
      <c r="CS840" s="37">
        <v>0</v>
      </c>
      <c r="CT840" s="37">
        <v>0</v>
      </c>
      <c r="CU840" s="37">
        <v>0</v>
      </c>
      <c r="CV840" s="37">
        <v>0</v>
      </c>
      <c r="CW840" s="37">
        <v>0</v>
      </c>
      <c r="CX840" s="37">
        <v>0</v>
      </c>
      <c r="CY840" s="37">
        <v>0</v>
      </c>
      <c r="CZ840" s="37">
        <v>0</v>
      </c>
      <c r="DA840" s="37">
        <v>0</v>
      </c>
      <c r="DB840" s="37">
        <v>0</v>
      </c>
      <c r="DC840" s="37">
        <v>0</v>
      </c>
      <c r="DD840" s="37">
        <v>0</v>
      </c>
      <c r="DE840" s="37">
        <v>0</v>
      </c>
      <c r="DF840" s="37">
        <v>0</v>
      </c>
      <c r="DG840" s="37">
        <v>0</v>
      </c>
      <c r="DH840" s="37">
        <v>0</v>
      </c>
      <c r="DI840" s="37">
        <v>0</v>
      </c>
      <c r="DJ840" s="37">
        <v>0</v>
      </c>
      <c r="DK840" s="37">
        <v>0</v>
      </c>
      <c r="DL840" s="37">
        <v>0</v>
      </c>
      <c r="DM840" s="37">
        <v>0</v>
      </c>
      <c r="DN840" s="37">
        <v>0</v>
      </c>
      <c r="DO840" s="37">
        <v>0</v>
      </c>
      <c r="DP840" s="37">
        <v>0</v>
      </c>
      <c r="DQ840" s="37">
        <v>0</v>
      </c>
      <c r="DR840" s="37">
        <v>0</v>
      </c>
      <c r="DS840" s="37">
        <v>0</v>
      </c>
      <c r="DT840" s="37">
        <v>0</v>
      </c>
      <c r="DU840" s="37">
        <v>0</v>
      </c>
      <c r="DV840" s="37">
        <v>0</v>
      </c>
      <c r="DW840" s="37">
        <v>0</v>
      </c>
      <c r="DX840" s="37">
        <v>0</v>
      </c>
      <c r="DY840" s="37">
        <v>0</v>
      </c>
      <c r="DZ840" s="37">
        <v>0</v>
      </c>
      <c r="EA840" s="37">
        <v>0</v>
      </c>
      <c r="EB840" s="37">
        <v>0</v>
      </c>
      <c r="EC840" s="37">
        <v>0</v>
      </c>
      <c r="ED840" s="37">
        <v>0</v>
      </c>
      <c r="EE840" s="37">
        <v>0</v>
      </c>
      <c r="EF840" s="37">
        <v>0</v>
      </c>
      <c r="EG840" s="37">
        <v>0</v>
      </c>
      <c r="EH840" s="37">
        <v>0</v>
      </c>
      <c r="EI840" s="37">
        <v>0</v>
      </c>
      <c r="EJ840" s="37">
        <v>0</v>
      </c>
      <c r="EK840" s="161" t="s">
        <v>3154</v>
      </c>
      <c r="EL840" s="294" t="s">
        <v>1124</v>
      </c>
    </row>
    <row r="841" spans="1:142" ht="15" customHeight="1" x14ac:dyDescent="0.35">
      <c r="A841" s="34"/>
      <c r="B841" s="313">
        <v>31025</v>
      </c>
      <c r="C841" s="8" t="s">
        <v>240</v>
      </c>
      <c r="D841" s="18">
        <v>12</v>
      </c>
      <c r="E841" s="155"/>
      <c r="F841" s="36"/>
      <c r="G841" s="37"/>
      <c r="H841" s="37"/>
      <c r="I841" s="37"/>
      <c r="J841" s="37"/>
      <c r="K841" s="37"/>
      <c r="L841" s="37"/>
      <c r="M841" s="37" t="s">
        <v>1124</v>
      </c>
      <c r="N841" s="37" t="s">
        <v>1124</v>
      </c>
      <c r="O841" s="37"/>
      <c r="P841" s="37"/>
      <c r="Q841" s="37"/>
      <c r="R841" s="37"/>
      <c r="S841" s="37"/>
      <c r="T841" s="37"/>
      <c r="U841" s="37"/>
      <c r="V841" s="37"/>
      <c r="W841" s="37"/>
      <c r="X841" s="37"/>
      <c r="Y841" s="37"/>
      <c r="Z841" s="37"/>
      <c r="AA841" s="37" t="s">
        <v>1124</v>
      </c>
      <c r="AB841" s="37" t="s">
        <v>1124</v>
      </c>
      <c r="AC841" s="37"/>
      <c r="AD841" s="37"/>
      <c r="AE841" s="37"/>
      <c r="AF841" s="168"/>
      <c r="AG841" s="37"/>
      <c r="AH841" s="37"/>
      <c r="AI841" s="37"/>
      <c r="AJ841" s="37"/>
      <c r="AK841" s="37"/>
      <c r="AL841" s="37"/>
      <c r="AM841" s="37"/>
      <c r="AN841" s="37"/>
      <c r="AO841" s="37"/>
      <c r="AP841" s="37"/>
      <c r="AQ841" s="37"/>
      <c r="AR841" s="37" t="s">
        <v>1124</v>
      </c>
      <c r="AS841" s="37"/>
      <c r="AT841" s="37"/>
      <c r="AU841" s="37"/>
      <c r="AV841" s="37"/>
      <c r="AW841" s="37"/>
      <c r="AX841" s="37"/>
      <c r="AY841" s="37"/>
      <c r="AZ841" s="37"/>
      <c r="BA841" s="37"/>
      <c r="BB841" s="37"/>
      <c r="BC841" s="37"/>
      <c r="BD841" s="37" t="s">
        <v>1124</v>
      </c>
      <c r="BE841" s="37"/>
      <c r="BF841" s="37"/>
      <c r="BG841" s="37"/>
      <c r="BH841" s="37"/>
      <c r="BI841" s="37"/>
      <c r="BJ841" s="37"/>
      <c r="BK841" s="37"/>
      <c r="BL841" s="37"/>
      <c r="BM841" s="37"/>
      <c r="BN841" s="37"/>
      <c r="BO841" s="37"/>
      <c r="BP841" s="37">
        <v>0</v>
      </c>
      <c r="BQ841" s="37"/>
      <c r="BR841" s="37"/>
      <c r="BS841" s="37"/>
      <c r="BT841" s="37"/>
      <c r="BU841" s="37"/>
      <c r="BV841" s="37"/>
      <c r="BW841" s="37"/>
      <c r="BX841" s="37"/>
      <c r="BY841" s="37"/>
      <c r="BZ841" s="37"/>
      <c r="CA841" s="37"/>
      <c r="CB841" s="37" t="s">
        <v>1124</v>
      </c>
      <c r="CC841" s="37"/>
      <c r="CD841" s="37"/>
      <c r="CE841" s="37"/>
      <c r="CF841" s="37"/>
      <c r="CG841" s="37"/>
      <c r="CH841" s="37"/>
      <c r="CI841" s="37"/>
      <c r="CJ841" s="37"/>
      <c r="CK841" s="37"/>
      <c r="CL841" s="37"/>
      <c r="CM841" s="37"/>
      <c r="CN841" s="37" t="s">
        <v>1124</v>
      </c>
      <c r="CO841" s="37"/>
      <c r="CP841" s="37"/>
      <c r="CQ841" s="37"/>
      <c r="CR841" s="37"/>
      <c r="CS841" s="37"/>
      <c r="CT841" s="37"/>
      <c r="CU841" s="37"/>
      <c r="CV841" s="37"/>
      <c r="CW841" s="37"/>
      <c r="CX841" s="37"/>
      <c r="CY841" s="37"/>
      <c r="CZ841" s="37" t="s">
        <v>1124</v>
      </c>
      <c r="DA841" s="37"/>
      <c r="DB841" s="37"/>
      <c r="DC841" s="37"/>
      <c r="DD841" s="37"/>
      <c r="DE841" s="37"/>
      <c r="DF841" s="37"/>
      <c r="DG841" s="37"/>
      <c r="DH841" s="37"/>
      <c r="DI841" s="37"/>
      <c r="DJ841" s="37"/>
      <c r="DK841" s="37"/>
      <c r="DL841" s="37" t="s">
        <v>1124</v>
      </c>
      <c r="DM841" s="37"/>
      <c r="DN841" s="37"/>
      <c r="DO841" s="37"/>
      <c r="DP841" s="37"/>
      <c r="DQ841" s="37"/>
      <c r="DR841" s="37"/>
      <c r="DS841" s="37"/>
      <c r="DT841" s="37"/>
      <c r="DU841" s="37"/>
      <c r="DV841" s="37"/>
      <c r="DW841" s="37"/>
      <c r="DX841" s="37" t="s">
        <v>1124</v>
      </c>
      <c r="DY841" s="37"/>
      <c r="DZ841" s="37"/>
      <c r="EA841" s="37"/>
      <c r="EB841" s="37"/>
      <c r="EC841" s="37"/>
      <c r="ED841" s="37"/>
      <c r="EE841" s="37"/>
      <c r="EF841" s="37"/>
      <c r="EG841" s="37"/>
      <c r="EH841" s="37"/>
      <c r="EI841" s="37"/>
      <c r="EJ841" s="37" t="s">
        <v>1124</v>
      </c>
      <c r="EK841" s="161"/>
      <c r="EL841" s="294"/>
    </row>
    <row r="842" spans="1:142" ht="15" customHeight="1" x14ac:dyDescent="0.35">
      <c r="A842" s="34"/>
      <c r="B842" s="313">
        <v>68040</v>
      </c>
      <c r="C842" s="8" t="s">
        <v>680</v>
      </c>
      <c r="D842" s="18">
        <v>16</v>
      </c>
      <c r="E842" s="155"/>
      <c r="F842" s="36"/>
      <c r="G842" s="37"/>
      <c r="H842" s="37"/>
      <c r="I842" s="37"/>
      <c r="J842" s="37"/>
      <c r="K842" s="37"/>
      <c r="L842" s="37"/>
      <c r="M842" s="37" t="s">
        <v>1124</v>
      </c>
      <c r="N842" s="37" t="s">
        <v>1124</v>
      </c>
      <c r="O842" s="37"/>
      <c r="P842" s="37"/>
      <c r="Q842" s="37"/>
      <c r="R842" s="37"/>
      <c r="S842" s="37"/>
      <c r="T842" s="37"/>
      <c r="U842" s="37"/>
      <c r="V842" s="37"/>
      <c r="W842" s="37"/>
      <c r="X842" s="37"/>
      <c r="Y842" s="37"/>
      <c r="Z842" s="37"/>
      <c r="AA842" s="37" t="s">
        <v>1124</v>
      </c>
      <c r="AB842" s="37" t="s">
        <v>1124</v>
      </c>
      <c r="AC842" s="37"/>
      <c r="AD842" s="37"/>
      <c r="AE842" s="37"/>
      <c r="AF842" s="168"/>
      <c r="AG842" s="37"/>
      <c r="AH842" s="37"/>
      <c r="AI842" s="37"/>
      <c r="AJ842" s="37"/>
      <c r="AK842" s="37"/>
      <c r="AL842" s="37"/>
      <c r="AM842" s="37"/>
      <c r="AN842" s="37"/>
      <c r="AO842" s="37"/>
      <c r="AP842" s="37"/>
      <c r="AQ842" s="37"/>
      <c r="AR842" s="37" t="s">
        <v>1124</v>
      </c>
      <c r="AS842" s="37"/>
      <c r="AT842" s="37"/>
      <c r="AU842" s="37"/>
      <c r="AV842" s="37"/>
      <c r="AW842" s="37"/>
      <c r="AX842" s="37"/>
      <c r="AY842" s="37"/>
      <c r="AZ842" s="37"/>
      <c r="BA842" s="37"/>
      <c r="BB842" s="37"/>
      <c r="BC842" s="37"/>
      <c r="BD842" s="37" t="s">
        <v>1124</v>
      </c>
      <c r="BE842" s="37"/>
      <c r="BF842" s="37"/>
      <c r="BG842" s="37"/>
      <c r="BH842" s="37"/>
      <c r="BI842" s="37"/>
      <c r="BJ842" s="37"/>
      <c r="BK842" s="37"/>
      <c r="BL842" s="37"/>
      <c r="BM842" s="37"/>
      <c r="BN842" s="37"/>
      <c r="BO842" s="37"/>
      <c r="BP842" s="37">
        <v>0</v>
      </c>
      <c r="BQ842" s="37"/>
      <c r="BR842" s="37"/>
      <c r="BS842" s="37"/>
      <c r="BT842" s="37"/>
      <c r="BU842" s="37"/>
      <c r="BV842" s="37"/>
      <c r="BW842" s="37"/>
      <c r="BX842" s="37"/>
      <c r="BY842" s="37"/>
      <c r="BZ842" s="37"/>
      <c r="CA842" s="37"/>
      <c r="CB842" s="37" t="s">
        <v>1124</v>
      </c>
      <c r="CC842" s="37"/>
      <c r="CD842" s="37"/>
      <c r="CE842" s="37"/>
      <c r="CF842" s="37"/>
      <c r="CG842" s="37"/>
      <c r="CH842" s="37"/>
      <c r="CI842" s="37"/>
      <c r="CJ842" s="37"/>
      <c r="CK842" s="37"/>
      <c r="CL842" s="37"/>
      <c r="CM842" s="37"/>
      <c r="CN842" s="37" t="s">
        <v>1124</v>
      </c>
      <c r="CO842" s="37"/>
      <c r="CP842" s="37"/>
      <c r="CQ842" s="37"/>
      <c r="CR842" s="37"/>
      <c r="CS842" s="37"/>
      <c r="CT842" s="37"/>
      <c r="CU842" s="37"/>
      <c r="CV842" s="37"/>
      <c r="CW842" s="37"/>
      <c r="CX842" s="37"/>
      <c r="CY842" s="37"/>
      <c r="CZ842" s="37" t="s">
        <v>1124</v>
      </c>
      <c r="DA842" s="37"/>
      <c r="DB842" s="37"/>
      <c r="DC842" s="37"/>
      <c r="DD842" s="37"/>
      <c r="DE842" s="37"/>
      <c r="DF842" s="37"/>
      <c r="DG842" s="37"/>
      <c r="DH842" s="37"/>
      <c r="DI842" s="37"/>
      <c r="DJ842" s="37"/>
      <c r="DK842" s="37"/>
      <c r="DL842" s="37" t="s">
        <v>1124</v>
      </c>
      <c r="DM842" s="37"/>
      <c r="DN842" s="37"/>
      <c r="DO842" s="37"/>
      <c r="DP842" s="37"/>
      <c r="DQ842" s="37"/>
      <c r="DR842" s="37"/>
      <c r="DS842" s="37"/>
      <c r="DT842" s="37"/>
      <c r="DU842" s="37"/>
      <c r="DV842" s="37"/>
      <c r="DW842" s="37"/>
      <c r="DX842" s="37" t="s">
        <v>1124</v>
      </c>
      <c r="DY842" s="37"/>
      <c r="DZ842" s="37"/>
      <c r="EA842" s="37"/>
      <c r="EB842" s="37"/>
      <c r="EC842" s="37"/>
      <c r="ED842" s="37"/>
      <c r="EE842" s="37"/>
      <c r="EF842" s="37"/>
      <c r="EG842" s="37"/>
      <c r="EH842" s="37"/>
      <c r="EI842" s="37"/>
      <c r="EJ842" s="37" t="s">
        <v>1124</v>
      </c>
      <c r="EK842" s="161"/>
      <c r="EL842" s="294"/>
    </row>
    <row r="843" spans="1:142" ht="15" customHeight="1" x14ac:dyDescent="0.35">
      <c r="A843" s="34"/>
      <c r="B843" s="313">
        <v>33065</v>
      </c>
      <c r="C843" s="8" t="s">
        <v>276</v>
      </c>
      <c r="D843" s="18">
        <v>12</v>
      </c>
      <c r="E843" s="155"/>
      <c r="F843" s="36"/>
      <c r="G843" s="37"/>
      <c r="H843" s="37"/>
      <c r="I843" s="37"/>
      <c r="J843" s="37"/>
      <c r="K843" s="37"/>
      <c r="L843" s="37"/>
      <c r="M843" s="37" t="s">
        <v>1124</v>
      </c>
      <c r="N843" s="37" t="s">
        <v>1124</v>
      </c>
      <c r="O843" s="37"/>
      <c r="P843" s="37"/>
      <c r="Q843" s="37"/>
      <c r="R843" s="37"/>
      <c r="S843" s="37"/>
      <c r="T843" s="37"/>
      <c r="U843" s="37"/>
      <c r="V843" s="37"/>
      <c r="W843" s="37"/>
      <c r="X843" s="37"/>
      <c r="Y843" s="37"/>
      <c r="Z843" s="37"/>
      <c r="AA843" s="37" t="s">
        <v>1124</v>
      </c>
      <c r="AB843" s="37" t="s">
        <v>1124</v>
      </c>
      <c r="AC843" s="37"/>
      <c r="AD843" s="37"/>
      <c r="AE843" s="37"/>
      <c r="AF843" s="168"/>
      <c r="AG843" s="37"/>
      <c r="AH843" s="37"/>
      <c r="AI843" s="37"/>
      <c r="AJ843" s="37"/>
      <c r="AK843" s="37"/>
      <c r="AL843" s="37"/>
      <c r="AM843" s="37"/>
      <c r="AN843" s="37"/>
      <c r="AO843" s="37"/>
      <c r="AP843" s="37"/>
      <c r="AQ843" s="37"/>
      <c r="AR843" s="37" t="s">
        <v>1124</v>
      </c>
      <c r="AS843" s="37"/>
      <c r="AT843" s="37"/>
      <c r="AU843" s="37"/>
      <c r="AV843" s="37"/>
      <c r="AW843" s="37"/>
      <c r="AX843" s="37"/>
      <c r="AY843" s="37"/>
      <c r="AZ843" s="37"/>
      <c r="BA843" s="37"/>
      <c r="BB843" s="37"/>
      <c r="BC843" s="37"/>
      <c r="BD843" s="37" t="s">
        <v>1124</v>
      </c>
      <c r="BE843" s="37"/>
      <c r="BF843" s="37"/>
      <c r="BG843" s="37"/>
      <c r="BH843" s="37"/>
      <c r="BI843" s="37"/>
      <c r="BJ843" s="37"/>
      <c r="BK843" s="37"/>
      <c r="BL843" s="37"/>
      <c r="BM843" s="37"/>
      <c r="BN843" s="37"/>
      <c r="BO843" s="37"/>
      <c r="BP843" s="37">
        <v>0</v>
      </c>
      <c r="BQ843" s="37"/>
      <c r="BR843" s="37"/>
      <c r="BS843" s="37"/>
      <c r="BT843" s="37"/>
      <c r="BU843" s="37"/>
      <c r="BV843" s="37"/>
      <c r="BW843" s="37"/>
      <c r="BX843" s="37"/>
      <c r="BY843" s="37"/>
      <c r="BZ843" s="37"/>
      <c r="CA843" s="37"/>
      <c r="CB843" s="37" t="s">
        <v>1124</v>
      </c>
      <c r="CC843" s="37"/>
      <c r="CD843" s="37"/>
      <c r="CE843" s="37"/>
      <c r="CF843" s="37"/>
      <c r="CG843" s="37"/>
      <c r="CH843" s="37"/>
      <c r="CI843" s="37"/>
      <c r="CJ843" s="37"/>
      <c r="CK843" s="37"/>
      <c r="CL843" s="37"/>
      <c r="CM843" s="37"/>
      <c r="CN843" s="37" t="s">
        <v>1124</v>
      </c>
      <c r="CO843" s="37"/>
      <c r="CP843" s="37"/>
      <c r="CQ843" s="37"/>
      <c r="CR843" s="37"/>
      <c r="CS843" s="37"/>
      <c r="CT843" s="37"/>
      <c r="CU843" s="37"/>
      <c r="CV843" s="37"/>
      <c r="CW843" s="37"/>
      <c r="CX843" s="37"/>
      <c r="CY843" s="37"/>
      <c r="CZ843" s="37" t="s">
        <v>1124</v>
      </c>
      <c r="DA843" s="37"/>
      <c r="DB843" s="37"/>
      <c r="DC843" s="37"/>
      <c r="DD843" s="37"/>
      <c r="DE843" s="37"/>
      <c r="DF843" s="37"/>
      <c r="DG843" s="37"/>
      <c r="DH843" s="37"/>
      <c r="DI843" s="37"/>
      <c r="DJ843" s="37"/>
      <c r="DK843" s="37"/>
      <c r="DL843" s="37" t="s">
        <v>1124</v>
      </c>
      <c r="DM843" s="37"/>
      <c r="DN843" s="37"/>
      <c r="DO843" s="37"/>
      <c r="DP843" s="37"/>
      <c r="DQ843" s="37"/>
      <c r="DR843" s="37"/>
      <c r="DS843" s="37"/>
      <c r="DT843" s="37"/>
      <c r="DU843" s="37"/>
      <c r="DV843" s="37"/>
      <c r="DW843" s="37"/>
      <c r="DX843" s="37" t="s">
        <v>1124</v>
      </c>
      <c r="DY843" s="37"/>
      <c r="DZ843" s="37"/>
      <c r="EA843" s="37"/>
      <c r="EB843" s="37"/>
      <c r="EC843" s="37"/>
      <c r="ED843" s="37"/>
      <c r="EE843" s="37"/>
      <c r="EF843" s="37"/>
      <c r="EG843" s="37"/>
      <c r="EH843" s="37"/>
      <c r="EI843" s="37"/>
      <c r="EJ843" s="37" t="s">
        <v>1124</v>
      </c>
      <c r="EK843" s="161"/>
      <c r="EL843" s="294"/>
    </row>
    <row r="844" spans="1:142" ht="15" customHeight="1" x14ac:dyDescent="0.35">
      <c r="A844" s="34"/>
      <c r="B844" s="313">
        <v>57033</v>
      </c>
      <c r="C844" s="8" t="s">
        <v>586</v>
      </c>
      <c r="D844" s="18">
        <v>16</v>
      </c>
      <c r="E844" s="155">
        <v>450650</v>
      </c>
      <c r="F844" s="36">
        <v>448779</v>
      </c>
      <c r="G844" s="37">
        <v>24387</v>
      </c>
      <c r="H844" s="37">
        <v>24608</v>
      </c>
      <c r="I844" s="37">
        <v>87000</v>
      </c>
      <c r="J844" s="37">
        <v>62000</v>
      </c>
      <c r="K844" s="37">
        <v>67598</v>
      </c>
      <c r="L844" s="37">
        <v>54870</v>
      </c>
      <c r="M844" s="37">
        <v>629635</v>
      </c>
      <c r="N844" s="37">
        <v>590257</v>
      </c>
      <c r="O844" s="37">
        <v>394108</v>
      </c>
      <c r="P844" s="37">
        <v>41059</v>
      </c>
      <c r="Q844" s="37">
        <v>185546</v>
      </c>
      <c r="R844" s="37">
        <v>468799</v>
      </c>
      <c r="S844" s="37">
        <v>15143</v>
      </c>
      <c r="T844" s="37">
        <v>0</v>
      </c>
      <c r="U844" s="37">
        <v>6068</v>
      </c>
      <c r="V844" s="37">
        <v>7699</v>
      </c>
      <c r="W844" s="37">
        <v>28770</v>
      </c>
      <c r="X844" s="37">
        <v>72700</v>
      </c>
      <c r="Y844" s="37">
        <v>0</v>
      </c>
      <c r="Z844" s="37">
        <v>0</v>
      </c>
      <c r="AA844" s="37">
        <v>629635</v>
      </c>
      <c r="AB844" s="37">
        <v>590257</v>
      </c>
      <c r="AC844" s="37">
        <v>0</v>
      </c>
      <c r="AD844" s="37">
        <v>0</v>
      </c>
      <c r="AE844" s="37">
        <v>160496</v>
      </c>
      <c r="AF844" s="168">
        <v>0.02</v>
      </c>
      <c r="AG844" s="37">
        <v>42809883.710000001</v>
      </c>
      <c r="AH844" s="37">
        <v>282972.61</v>
      </c>
      <c r="AI844" s="37">
        <v>319844.06</v>
      </c>
      <c r="AJ844" s="37">
        <v>294404.71000000002</v>
      </c>
      <c r="AK844" s="37">
        <v>300292.8</v>
      </c>
      <c r="AL844" s="37">
        <v>306298.65999999997</v>
      </c>
      <c r="AM844" s="37">
        <v>312424.63</v>
      </c>
      <c r="AN844" s="37">
        <v>318673.12</v>
      </c>
      <c r="AO844" s="37">
        <v>325046.58</v>
      </c>
      <c r="AP844" s="37">
        <v>331547.52000000002</v>
      </c>
      <c r="AQ844" s="37">
        <v>338178.47</v>
      </c>
      <c r="AR844" s="37">
        <v>3129683.1599999997</v>
      </c>
      <c r="AS844" s="37">
        <v>1910127.4</v>
      </c>
      <c r="AT844" s="37">
        <v>0</v>
      </c>
      <c r="AU844" s="37">
        <v>914485.59</v>
      </c>
      <c r="AV844" s="37">
        <v>2918322</v>
      </c>
      <c r="AW844" s="37">
        <v>2976688.44</v>
      </c>
      <c r="AX844" s="37">
        <v>0</v>
      </c>
      <c r="AY844" s="37">
        <v>0</v>
      </c>
      <c r="AZ844" s="37">
        <v>0</v>
      </c>
      <c r="BA844" s="37">
        <v>0</v>
      </c>
      <c r="BB844" s="37">
        <v>0</v>
      </c>
      <c r="BC844" s="37">
        <v>0</v>
      </c>
      <c r="BD844" s="37">
        <v>6809496.0299999993</v>
      </c>
      <c r="BE844" s="37">
        <v>150686</v>
      </c>
      <c r="BF844" s="37">
        <v>0</v>
      </c>
      <c r="BG844" s="37">
        <v>873924</v>
      </c>
      <c r="BH844" s="37">
        <v>0</v>
      </c>
      <c r="BI844" s="37">
        <v>0</v>
      </c>
      <c r="BJ844" s="37">
        <v>0</v>
      </c>
      <c r="BK844" s="37">
        <v>0</v>
      </c>
      <c r="BL844" s="37">
        <v>0</v>
      </c>
      <c r="BM844" s="37">
        <v>0</v>
      </c>
      <c r="BN844" s="37">
        <v>0</v>
      </c>
      <c r="BO844" s="37">
        <v>0</v>
      </c>
      <c r="BP844" s="37">
        <v>873924</v>
      </c>
      <c r="BQ844" s="37">
        <v>0</v>
      </c>
      <c r="BR844" s="37">
        <v>773000</v>
      </c>
      <c r="BS844" s="37">
        <v>872570</v>
      </c>
      <c r="BT844" s="37">
        <v>294405</v>
      </c>
      <c r="BU844" s="37">
        <v>300293</v>
      </c>
      <c r="BV844" s="37">
        <v>0</v>
      </c>
      <c r="BW844" s="37">
        <v>0</v>
      </c>
      <c r="BX844" s="37">
        <v>0</v>
      </c>
      <c r="BY844" s="37">
        <v>0</v>
      </c>
      <c r="BZ844" s="37">
        <v>0</v>
      </c>
      <c r="CA844" s="37">
        <v>0</v>
      </c>
      <c r="CB844" s="37">
        <v>2240268</v>
      </c>
      <c r="CC844" s="37">
        <v>0</v>
      </c>
      <c r="CD844" s="37">
        <v>472547</v>
      </c>
      <c r="CE844" s="37">
        <v>0</v>
      </c>
      <c r="CF844" s="37">
        <v>0</v>
      </c>
      <c r="CG844" s="37">
        <v>0</v>
      </c>
      <c r="CH844" s="37">
        <v>0</v>
      </c>
      <c r="CI844" s="37">
        <v>0</v>
      </c>
      <c r="CJ844" s="37">
        <v>0</v>
      </c>
      <c r="CK844" s="37">
        <v>0</v>
      </c>
      <c r="CL844" s="37">
        <v>0</v>
      </c>
      <c r="CM844" s="37">
        <v>0</v>
      </c>
      <c r="CN844" s="37">
        <v>472547</v>
      </c>
      <c r="CO844" s="37">
        <v>0</v>
      </c>
      <c r="CP844" s="37">
        <v>0</v>
      </c>
      <c r="CQ844" s="37">
        <v>0</v>
      </c>
      <c r="CR844" s="37">
        <v>612168</v>
      </c>
      <c r="CS844" s="37">
        <v>612168</v>
      </c>
      <c r="CT844" s="37">
        <v>0</v>
      </c>
      <c r="CU844" s="37">
        <v>0</v>
      </c>
      <c r="CV844" s="37">
        <v>0</v>
      </c>
      <c r="CW844" s="37">
        <v>0</v>
      </c>
      <c r="CX844" s="37">
        <v>0</v>
      </c>
      <c r="CY844" s="37">
        <v>0</v>
      </c>
      <c r="CZ844" s="37">
        <v>1224336</v>
      </c>
      <c r="DA844" s="37">
        <v>0</v>
      </c>
      <c r="DB844" s="37">
        <v>0</v>
      </c>
      <c r="DC844" s="37">
        <v>0</v>
      </c>
      <c r="DD844" s="37">
        <v>0</v>
      </c>
      <c r="DE844" s="37">
        <v>0</v>
      </c>
      <c r="DF844" s="37">
        <v>0</v>
      </c>
      <c r="DG844" s="37">
        <v>0</v>
      </c>
      <c r="DH844" s="37">
        <v>0</v>
      </c>
      <c r="DI844" s="37">
        <v>0</v>
      </c>
      <c r="DJ844" s="37">
        <v>0</v>
      </c>
      <c r="DK844" s="37">
        <v>0</v>
      </c>
      <c r="DL844" s="37">
        <v>0</v>
      </c>
      <c r="DM844" s="37">
        <v>0</v>
      </c>
      <c r="DN844" s="37">
        <v>0</v>
      </c>
      <c r="DO844" s="37">
        <v>0</v>
      </c>
      <c r="DP844" s="37">
        <v>0</v>
      </c>
      <c r="DQ844" s="37">
        <v>0</v>
      </c>
      <c r="DR844" s="37">
        <v>0</v>
      </c>
      <c r="DS844" s="37">
        <v>0</v>
      </c>
      <c r="DT844" s="37">
        <v>0</v>
      </c>
      <c r="DU844" s="37">
        <v>0</v>
      </c>
      <c r="DV844" s="37">
        <v>0</v>
      </c>
      <c r="DW844" s="37">
        <v>0</v>
      </c>
      <c r="DX844" s="37">
        <v>0</v>
      </c>
      <c r="DY844" s="37">
        <v>0</v>
      </c>
      <c r="DZ844" s="37">
        <v>0</v>
      </c>
      <c r="EA844" s="37">
        <v>500000</v>
      </c>
      <c r="EB844" s="37">
        <v>2137832</v>
      </c>
      <c r="EC844" s="37">
        <v>2137832</v>
      </c>
      <c r="ED844" s="37">
        <v>0</v>
      </c>
      <c r="EE844" s="37">
        <v>0</v>
      </c>
      <c r="EF844" s="37">
        <v>0</v>
      </c>
      <c r="EG844" s="37">
        <v>0</v>
      </c>
      <c r="EH844" s="37">
        <v>0</v>
      </c>
      <c r="EI844" s="37">
        <v>0</v>
      </c>
      <c r="EJ844" s="37">
        <v>4775664</v>
      </c>
      <c r="EK844" s="161" t="s">
        <v>3157</v>
      </c>
      <c r="EL844" s="294" t="s">
        <v>1124</v>
      </c>
    </row>
    <row r="845" spans="1:142" ht="15" customHeight="1" x14ac:dyDescent="0.35">
      <c r="A845" s="34"/>
      <c r="B845" s="313">
        <v>31100</v>
      </c>
      <c r="C845" s="8" t="s">
        <v>250</v>
      </c>
      <c r="D845" s="18">
        <v>12</v>
      </c>
      <c r="E845" s="155"/>
      <c r="F845" s="36"/>
      <c r="G845" s="37"/>
      <c r="H845" s="37"/>
      <c r="I845" s="37"/>
      <c r="J845" s="37"/>
      <c r="K845" s="37"/>
      <c r="L845" s="37"/>
      <c r="M845" s="37" t="s">
        <v>1124</v>
      </c>
      <c r="N845" s="37" t="s">
        <v>1124</v>
      </c>
      <c r="O845" s="37"/>
      <c r="P845" s="37"/>
      <c r="Q845" s="37"/>
      <c r="R845" s="37"/>
      <c r="S845" s="37"/>
      <c r="T845" s="37"/>
      <c r="U845" s="37"/>
      <c r="V845" s="37"/>
      <c r="W845" s="37"/>
      <c r="X845" s="37"/>
      <c r="Y845" s="37"/>
      <c r="Z845" s="37"/>
      <c r="AA845" s="37" t="s">
        <v>1124</v>
      </c>
      <c r="AB845" s="37" t="s">
        <v>1124</v>
      </c>
      <c r="AC845" s="37"/>
      <c r="AD845" s="37"/>
      <c r="AE845" s="37"/>
      <c r="AF845" s="168"/>
      <c r="AG845" s="37"/>
      <c r="AH845" s="37"/>
      <c r="AI845" s="37"/>
      <c r="AJ845" s="37"/>
      <c r="AK845" s="37"/>
      <c r="AL845" s="37"/>
      <c r="AM845" s="37"/>
      <c r="AN845" s="37"/>
      <c r="AO845" s="37"/>
      <c r="AP845" s="37"/>
      <c r="AQ845" s="37"/>
      <c r="AR845" s="37" t="s">
        <v>1124</v>
      </c>
      <c r="AS845" s="37"/>
      <c r="AT845" s="37"/>
      <c r="AU845" s="37"/>
      <c r="AV845" s="37"/>
      <c r="AW845" s="37"/>
      <c r="AX845" s="37"/>
      <c r="AY845" s="37"/>
      <c r="AZ845" s="37"/>
      <c r="BA845" s="37"/>
      <c r="BB845" s="37"/>
      <c r="BC845" s="37"/>
      <c r="BD845" s="37" t="s">
        <v>1124</v>
      </c>
      <c r="BE845" s="37"/>
      <c r="BF845" s="37"/>
      <c r="BG845" s="37"/>
      <c r="BH845" s="37"/>
      <c r="BI845" s="37"/>
      <c r="BJ845" s="37"/>
      <c r="BK845" s="37"/>
      <c r="BL845" s="37"/>
      <c r="BM845" s="37"/>
      <c r="BN845" s="37"/>
      <c r="BO845" s="37"/>
      <c r="BP845" s="37">
        <v>0</v>
      </c>
      <c r="BQ845" s="37"/>
      <c r="BR845" s="37"/>
      <c r="BS845" s="37"/>
      <c r="BT845" s="37"/>
      <c r="BU845" s="37"/>
      <c r="BV845" s="37"/>
      <c r="BW845" s="37"/>
      <c r="BX845" s="37"/>
      <c r="BY845" s="37"/>
      <c r="BZ845" s="37"/>
      <c r="CA845" s="37"/>
      <c r="CB845" s="37" t="s">
        <v>1124</v>
      </c>
      <c r="CC845" s="37"/>
      <c r="CD845" s="37"/>
      <c r="CE845" s="37"/>
      <c r="CF845" s="37"/>
      <c r="CG845" s="37"/>
      <c r="CH845" s="37"/>
      <c r="CI845" s="37"/>
      <c r="CJ845" s="37"/>
      <c r="CK845" s="37"/>
      <c r="CL845" s="37"/>
      <c r="CM845" s="37"/>
      <c r="CN845" s="37" t="s">
        <v>1124</v>
      </c>
      <c r="CO845" s="37"/>
      <c r="CP845" s="37"/>
      <c r="CQ845" s="37"/>
      <c r="CR845" s="37"/>
      <c r="CS845" s="37"/>
      <c r="CT845" s="37"/>
      <c r="CU845" s="37"/>
      <c r="CV845" s="37"/>
      <c r="CW845" s="37"/>
      <c r="CX845" s="37"/>
      <c r="CY845" s="37"/>
      <c r="CZ845" s="37" t="s">
        <v>1124</v>
      </c>
      <c r="DA845" s="37"/>
      <c r="DB845" s="37"/>
      <c r="DC845" s="37"/>
      <c r="DD845" s="37"/>
      <c r="DE845" s="37"/>
      <c r="DF845" s="37"/>
      <c r="DG845" s="37"/>
      <c r="DH845" s="37"/>
      <c r="DI845" s="37"/>
      <c r="DJ845" s="37"/>
      <c r="DK845" s="37"/>
      <c r="DL845" s="37" t="s">
        <v>1124</v>
      </c>
      <c r="DM845" s="37"/>
      <c r="DN845" s="37"/>
      <c r="DO845" s="37"/>
      <c r="DP845" s="37"/>
      <c r="DQ845" s="37"/>
      <c r="DR845" s="37"/>
      <c r="DS845" s="37"/>
      <c r="DT845" s="37"/>
      <c r="DU845" s="37"/>
      <c r="DV845" s="37"/>
      <c r="DW845" s="37"/>
      <c r="DX845" s="37" t="s">
        <v>1124</v>
      </c>
      <c r="DY845" s="37"/>
      <c r="DZ845" s="37"/>
      <c r="EA845" s="37"/>
      <c r="EB845" s="37"/>
      <c r="EC845" s="37"/>
      <c r="ED845" s="37"/>
      <c r="EE845" s="37"/>
      <c r="EF845" s="37"/>
      <c r="EG845" s="37"/>
      <c r="EH845" s="37"/>
      <c r="EI845" s="37"/>
      <c r="EJ845" s="37" t="s">
        <v>1124</v>
      </c>
      <c r="EK845" s="161"/>
      <c r="EL845" s="294"/>
    </row>
    <row r="846" spans="1:142" ht="15" customHeight="1" x14ac:dyDescent="0.35">
      <c r="A846" s="34"/>
      <c r="B846" s="313">
        <v>8010</v>
      </c>
      <c r="C846" s="8" t="s">
        <v>1087</v>
      </c>
      <c r="D846" s="18">
        <v>1</v>
      </c>
      <c r="E846" s="155"/>
      <c r="F846" s="36"/>
      <c r="G846" s="37"/>
      <c r="H846" s="37"/>
      <c r="I846" s="37"/>
      <c r="J846" s="37"/>
      <c r="K846" s="37"/>
      <c r="L846" s="37"/>
      <c r="M846" s="37" t="s">
        <v>1124</v>
      </c>
      <c r="N846" s="37" t="s">
        <v>1124</v>
      </c>
      <c r="O846" s="37"/>
      <c r="P846" s="37"/>
      <c r="Q846" s="37"/>
      <c r="R846" s="37"/>
      <c r="S846" s="37"/>
      <c r="T846" s="37"/>
      <c r="U846" s="37"/>
      <c r="V846" s="37"/>
      <c r="W846" s="37"/>
      <c r="X846" s="37"/>
      <c r="Y846" s="37"/>
      <c r="Z846" s="37"/>
      <c r="AA846" s="37" t="s">
        <v>1124</v>
      </c>
      <c r="AB846" s="37" t="s">
        <v>1124</v>
      </c>
      <c r="AC846" s="37"/>
      <c r="AD846" s="37"/>
      <c r="AE846" s="37"/>
      <c r="AF846" s="168"/>
      <c r="AG846" s="37"/>
      <c r="AH846" s="37"/>
      <c r="AI846" s="37"/>
      <c r="AJ846" s="37"/>
      <c r="AK846" s="37"/>
      <c r="AL846" s="37"/>
      <c r="AM846" s="37"/>
      <c r="AN846" s="37"/>
      <c r="AO846" s="37"/>
      <c r="AP846" s="37"/>
      <c r="AQ846" s="37"/>
      <c r="AR846" s="37" t="s">
        <v>1124</v>
      </c>
      <c r="AS846" s="37"/>
      <c r="AT846" s="37"/>
      <c r="AU846" s="37"/>
      <c r="AV846" s="37"/>
      <c r="AW846" s="37"/>
      <c r="AX846" s="37"/>
      <c r="AY846" s="37"/>
      <c r="AZ846" s="37"/>
      <c r="BA846" s="37"/>
      <c r="BB846" s="37"/>
      <c r="BC846" s="37"/>
      <c r="BD846" s="37" t="s">
        <v>1124</v>
      </c>
      <c r="BE846" s="37"/>
      <c r="BF846" s="37"/>
      <c r="BG846" s="37"/>
      <c r="BH846" s="37"/>
      <c r="BI846" s="37"/>
      <c r="BJ846" s="37"/>
      <c r="BK846" s="37"/>
      <c r="BL846" s="37"/>
      <c r="BM846" s="37"/>
      <c r="BN846" s="37"/>
      <c r="BO846" s="37"/>
      <c r="BP846" s="37">
        <v>0</v>
      </c>
      <c r="BQ846" s="37"/>
      <c r="BR846" s="37"/>
      <c r="BS846" s="37"/>
      <c r="BT846" s="37"/>
      <c r="BU846" s="37"/>
      <c r="BV846" s="37"/>
      <c r="BW846" s="37"/>
      <c r="BX846" s="37"/>
      <c r="BY846" s="37"/>
      <c r="BZ846" s="37"/>
      <c r="CA846" s="37"/>
      <c r="CB846" s="37" t="s">
        <v>1124</v>
      </c>
      <c r="CC846" s="37"/>
      <c r="CD846" s="37"/>
      <c r="CE846" s="37"/>
      <c r="CF846" s="37"/>
      <c r="CG846" s="37"/>
      <c r="CH846" s="37"/>
      <c r="CI846" s="37"/>
      <c r="CJ846" s="37"/>
      <c r="CK846" s="37"/>
      <c r="CL846" s="37"/>
      <c r="CM846" s="37"/>
      <c r="CN846" s="37" t="s">
        <v>1124</v>
      </c>
      <c r="CO846" s="37"/>
      <c r="CP846" s="37"/>
      <c r="CQ846" s="37"/>
      <c r="CR846" s="37"/>
      <c r="CS846" s="37"/>
      <c r="CT846" s="37"/>
      <c r="CU846" s="37"/>
      <c r="CV846" s="37"/>
      <c r="CW846" s="37"/>
      <c r="CX846" s="37"/>
      <c r="CY846" s="37"/>
      <c r="CZ846" s="37" t="s">
        <v>1124</v>
      </c>
      <c r="DA846" s="37"/>
      <c r="DB846" s="37"/>
      <c r="DC846" s="37"/>
      <c r="DD846" s="37"/>
      <c r="DE846" s="37"/>
      <c r="DF846" s="37"/>
      <c r="DG846" s="37"/>
      <c r="DH846" s="37"/>
      <c r="DI846" s="37"/>
      <c r="DJ846" s="37"/>
      <c r="DK846" s="37"/>
      <c r="DL846" s="37" t="s">
        <v>1124</v>
      </c>
      <c r="DM846" s="37"/>
      <c r="DN846" s="37"/>
      <c r="DO846" s="37"/>
      <c r="DP846" s="37"/>
      <c r="DQ846" s="37"/>
      <c r="DR846" s="37"/>
      <c r="DS846" s="37"/>
      <c r="DT846" s="37"/>
      <c r="DU846" s="37"/>
      <c r="DV846" s="37"/>
      <c r="DW846" s="37"/>
      <c r="DX846" s="37" t="s">
        <v>1124</v>
      </c>
      <c r="DY846" s="37"/>
      <c r="DZ846" s="37"/>
      <c r="EA846" s="37"/>
      <c r="EB846" s="37"/>
      <c r="EC846" s="37"/>
      <c r="ED846" s="37"/>
      <c r="EE846" s="37"/>
      <c r="EF846" s="37"/>
      <c r="EG846" s="37"/>
      <c r="EH846" s="37"/>
      <c r="EI846" s="37"/>
      <c r="EJ846" s="37" t="s">
        <v>1124</v>
      </c>
      <c r="EK846" s="161"/>
      <c r="EL846" s="294"/>
    </row>
    <row r="847" spans="1:142" ht="15" customHeight="1" x14ac:dyDescent="0.35">
      <c r="A847" s="34"/>
      <c r="B847" s="313">
        <v>11010</v>
      </c>
      <c r="C847" s="8" t="s">
        <v>18</v>
      </c>
      <c r="D847" s="18">
        <v>1</v>
      </c>
      <c r="E847" s="155">
        <v>108622</v>
      </c>
      <c r="F847" s="36">
        <v>69982</v>
      </c>
      <c r="G847" s="37">
        <v>1408</v>
      </c>
      <c r="H847" s="37">
        <v>124090</v>
      </c>
      <c r="I847" s="37">
        <v>93818</v>
      </c>
      <c r="J847" s="37">
        <v>62623</v>
      </c>
      <c r="K847" s="37">
        <v>16293.3</v>
      </c>
      <c r="L847" s="37">
        <v>10497.3</v>
      </c>
      <c r="M847" s="37">
        <v>220141.3</v>
      </c>
      <c r="N847" s="37">
        <v>267192.3</v>
      </c>
      <c r="O847" s="37">
        <v>0</v>
      </c>
      <c r="P847" s="37">
        <v>0</v>
      </c>
      <c r="Q847" s="37">
        <v>153115</v>
      </c>
      <c r="R847" s="37">
        <v>101202</v>
      </c>
      <c r="S847" s="37">
        <v>0</v>
      </c>
      <c r="T847" s="37">
        <v>0</v>
      </c>
      <c r="U847" s="37">
        <v>250</v>
      </c>
      <c r="V847" s="37">
        <v>30853</v>
      </c>
      <c r="W847" s="37">
        <v>115290</v>
      </c>
      <c r="X847" s="37">
        <v>115290</v>
      </c>
      <c r="Y847" s="37">
        <v>0</v>
      </c>
      <c r="Z847" s="37">
        <v>0</v>
      </c>
      <c r="AA847" s="37">
        <v>268655</v>
      </c>
      <c r="AB847" s="37">
        <v>247345</v>
      </c>
      <c r="AC847" s="37">
        <v>28666.400000000023</v>
      </c>
      <c r="AD847" s="37">
        <v>28666</v>
      </c>
      <c r="AE847" s="37">
        <v>384467</v>
      </c>
      <c r="AF847" s="168">
        <v>0.02</v>
      </c>
      <c r="AG847" s="37">
        <v>32466316.640000001</v>
      </c>
      <c r="AH847" s="37">
        <v>243927.87</v>
      </c>
      <c r="AI847" s="37">
        <v>352846.42</v>
      </c>
      <c r="AJ847" s="37">
        <v>253782.55</v>
      </c>
      <c r="AK847" s="37">
        <v>258858.2</v>
      </c>
      <c r="AL847" s="37">
        <v>264035.37</v>
      </c>
      <c r="AM847" s="37">
        <v>269316.07</v>
      </c>
      <c r="AN847" s="37">
        <v>274702.40000000002</v>
      </c>
      <c r="AO847" s="37">
        <v>280196.44</v>
      </c>
      <c r="AP847" s="37">
        <v>285800.37</v>
      </c>
      <c r="AQ847" s="37">
        <v>291516.38</v>
      </c>
      <c r="AR847" s="37">
        <v>2774982.07</v>
      </c>
      <c r="AS847" s="37">
        <v>150377.34</v>
      </c>
      <c r="AT847" s="37">
        <v>0</v>
      </c>
      <c r="AU847" s="37">
        <v>0</v>
      </c>
      <c r="AV847" s="37">
        <v>0</v>
      </c>
      <c r="AW847" s="37">
        <v>0</v>
      </c>
      <c r="AX847" s="37">
        <v>0</v>
      </c>
      <c r="AY847" s="37">
        <v>0</v>
      </c>
      <c r="AZ847" s="37">
        <v>0</v>
      </c>
      <c r="BA847" s="37">
        <v>0</v>
      </c>
      <c r="BB847" s="37">
        <v>0</v>
      </c>
      <c r="BC847" s="37">
        <v>0</v>
      </c>
      <c r="BD847" s="37">
        <v>0</v>
      </c>
      <c r="BE847" s="37">
        <v>0</v>
      </c>
      <c r="BF847" s="37">
        <v>152097.38163091565</v>
      </c>
      <c r="BG847" s="37">
        <v>163941.78165093329</v>
      </c>
      <c r="BH847" s="37">
        <v>201819.58914247865</v>
      </c>
      <c r="BI847" s="37">
        <v>239697.47757567262</v>
      </c>
      <c r="BJ847" s="37">
        <v>26033.407471527651</v>
      </c>
      <c r="BK847" s="37">
        <v>126063.97415938786</v>
      </c>
      <c r="BL847" s="37">
        <v>163941.78165093329</v>
      </c>
      <c r="BM847" s="37">
        <v>201819.58914247865</v>
      </c>
      <c r="BN847" s="37">
        <v>239697.47757567262</v>
      </c>
      <c r="BO847" s="37">
        <v>0</v>
      </c>
      <c r="BP847" s="37">
        <v>1515112.4600000002</v>
      </c>
      <c r="BQ847" s="37">
        <v>0</v>
      </c>
      <c r="BR847" s="37">
        <v>0</v>
      </c>
      <c r="BS847" s="37">
        <v>0</v>
      </c>
      <c r="BT847" s="37">
        <v>0</v>
      </c>
      <c r="BU847" s="37">
        <v>0</v>
      </c>
      <c r="BV847" s="37">
        <v>0</v>
      </c>
      <c r="BW847" s="37">
        <v>0</v>
      </c>
      <c r="BX847" s="37">
        <v>0</v>
      </c>
      <c r="BY847" s="37">
        <v>0</v>
      </c>
      <c r="BZ847" s="37">
        <v>0</v>
      </c>
      <c r="CA847" s="37">
        <v>0</v>
      </c>
      <c r="CB847" s="37">
        <v>0</v>
      </c>
      <c r="CC847" s="37">
        <v>0</v>
      </c>
      <c r="CD847" s="37">
        <v>0</v>
      </c>
      <c r="CE847" s="37">
        <v>100000</v>
      </c>
      <c r="CF847" s="37">
        <v>0</v>
      </c>
      <c r="CG847" s="37">
        <v>0</v>
      </c>
      <c r="CH847" s="37">
        <v>0</v>
      </c>
      <c r="CI847" s="37">
        <v>0</v>
      </c>
      <c r="CJ847" s="37">
        <v>0</v>
      </c>
      <c r="CK847" s="37">
        <v>0</v>
      </c>
      <c r="CL847" s="37">
        <v>0</v>
      </c>
      <c r="CM847" s="37">
        <v>0</v>
      </c>
      <c r="CN847" s="37">
        <v>100000</v>
      </c>
      <c r="CO847" s="37">
        <v>0</v>
      </c>
      <c r="CP847" s="37">
        <v>0</v>
      </c>
      <c r="CQ847" s="37">
        <v>0</v>
      </c>
      <c r="CR847" s="37">
        <v>0</v>
      </c>
      <c r="CS847" s="37">
        <v>0</v>
      </c>
      <c r="CT847" s="37">
        <v>0</v>
      </c>
      <c r="CU847" s="37">
        <v>0</v>
      </c>
      <c r="CV847" s="37">
        <v>0</v>
      </c>
      <c r="CW847" s="37">
        <v>0</v>
      </c>
      <c r="CX847" s="37">
        <v>0</v>
      </c>
      <c r="CY847" s="37">
        <v>0</v>
      </c>
      <c r="CZ847" s="37">
        <v>0</v>
      </c>
      <c r="DA847" s="37">
        <v>0</v>
      </c>
      <c r="DB847" s="37">
        <v>0</v>
      </c>
      <c r="DC847" s="37">
        <v>0</v>
      </c>
      <c r="DD847" s="37">
        <v>0</v>
      </c>
      <c r="DE847" s="37">
        <v>0</v>
      </c>
      <c r="DF847" s="37">
        <v>0</v>
      </c>
      <c r="DG847" s="37">
        <v>0</v>
      </c>
      <c r="DH847" s="37">
        <v>0</v>
      </c>
      <c r="DI847" s="37">
        <v>0</v>
      </c>
      <c r="DJ847" s="37">
        <v>0</v>
      </c>
      <c r="DK847" s="37">
        <v>0</v>
      </c>
      <c r="DL847" s="37">
        <v>0</v>
      </c>
      <c r="DM847" s="37">
        <v>0</v>
      </c>
      <c r="DN847" s="37">
        <v>0</v>
      </c>
      <c r="DO847" s="37">
        <v>0</v>
      </c>
      <c r="DP847" s="37">
        <v>0</v>
      </c>
      <c r="DQ847" s="37">
        <v>0</v>
      </c>
      <c r="DR847" s="37">
        <v>0</v>
      </c>
      <c r="DS847" s="37">
        <v>0</v>
      </c>
      <c r="DT847" s="37">
        <v>0</v>
      </c>
      <c r="DU847" s="37">
        <v>0</v>
      </c>
      <c r="DV847" s="37">
        <v>0</v>
      </c>
      <c r="DW847" s="37">
        <v>0</v>
      </c>
      <c r="DX847" s="37">
        <v>0</v>
      </c>
      <c r="DY847" s="37">
        <v>0</v>
      </c>
      <c r="DZ847" s="37">
        <v>0</v>
      </c>
      <c r="EA847" s="37">
        <v>0</v>
      </c>
      <c r="EB847" s="37">
        <v>0</v>
      </c>
      <c r="EC847" s="37">
        <v>0</v>
      </c>
      <c r="ED847" s="37">
        <v>0</v>
      </c>
      <c r="EE847" s="37">
        <v>0</v>
      </c>
      <c r="EF847" s="37">
        <v>0</v>
      </c>
      <c r="EG847" s="37">
        <v>0</v>
      </c>
      <c r="EH847" s="37">
        <v>0</v>
      </c>
      <c r="EI847" s="37">
        <v>0</v>
      </c>
      <c r="EJ847" s="37">
        <v>0</v>
      </c>
      <c r="EK847" s="161" t="s">
        <v>3160</v>
      </c>
      <c r="EL847" s="294" t="s">
        <v>1124</v>
      </c>
    </row>
    <row r="848" spans="1:142" ht="15" customHeight="1" x14ac:dyDescent="0.35">
      <c r="A848" s="34"/>
      <c r="B848" s="313">
        <v>13010</v>
      </c>
      <c r="C848" s="8" t="s">
        <v>42</v>
      </c>
      <c r="D848" s="18">
        <v>1</v>
      </c>
      <c r="E848" s="155"/>
      <c r="F848" s="36"/>
      <c r="G848" s="37"/>
      <c r="H848" s="37"/>
      <c r="I848" s="37"/>
      <c r="J848" s="37"/>
      <c r="K848" s="37"/>
      <c r="L848" s="37"/>
      <c r="M848" s="37" t="s">
        <v>1124</v>
      </c>
      <c r="N848" s="37" t="s">
        <v>1124</v>
      </c>
      <c r="O848" s="37"/>
      <c r="P848" s="37"/>
      <c r="Q848" s="37"/>
      <c r="R848" s="37"/>
      <c r="S848" s="37"/>
      <c r="T848" s="37"/>
      <c r="U848" s="37"/>
      <c r="V848" s="37"/>
      <c r="W848" s="37"/>
      <c r="X848" s="37"/>
      <c r="Y848" s="37"/>
      <c r="Z848" s="37"/>
      <c r="AA848" s="37" t="s">
        <v>1124</v>
      </c>
      <c r="AB848" s="37" t="s">
        <v>1124</v>
      </c>
      <c r="AC848" s="37"/>
      <c r="AD848" s="37"/>
      <c r="AE848" s="37"/>
      <c r="AF848" s="168"/>
      <c r="AG848" s="37"/>
      <c r="AH848" s="37"/>
      <c r="AI848" s="37"/>
      <c r="AJ848" s="37"/>
      <c r="AK848" s="37"/>
      <c r="AL848" s="37"/>
      <c r="AM848" s="37"/>
      <c r="AN848" s="37"/>
      <c r="AO848" s="37"/>
      <c r="AP848" s="37"/>
      <c r="AQ848" s="37"/>
      <c r="AR848" s="37" t="s">
        <v>1124</v>
      </c>
      <c r="AS848" s="37"/>
      <c r="AT848" s="37"/>
      <c r="AU848" s="37"/>
      <c r="AV848" s="37"/>
      <c r="AW848" s="37"/>
      <c r="AX848" s="37"/>
      <c r="AY848" s="37"/>
      <c r="AZ848" s="37"/>
      <c r="BA848" s="37"/>
      <c r="BB848" s="37"/>
      <c r="BC848" s="37"/>
      <c r="BD848" s="37" t="s">
        <v>1124</v>
      </c>
      <c r="BE848" s="37"/>
      <c r="BF848" s="37"/>
      <c r="BG848" s="37"/>
      <c r="BH848" s="37"/>
      <c r="BI848" s="37"/>
      <c r="BJ848" s="37"/>
      <c r="BK848" s="37"/>
      <c r="BL848" s="37"/>
      <c r="BM848" s="37"/>
      <c r="BN848" s="37"/>
      <c r="BO848" s="37"/>
      <c r="BP848" s="37">
        <v>0</v>
      </c>
      <c r="BQ848" s="37"/>
      <c r="BR848" s="37"/>
      <c r="BS848" s="37"/>
      <c r="BT848" s="37"/>
      <c r="BU848" s="37"/>
      <c r="BV848" s="37"/>
      <c r="BW848" s="37"/>
      <c r="BX848" s="37"/>
      <c r="BY848" s="37"/>
      <c r="BZ848" s="37"/>
      <c r="CA848" s="37"/>
      <c r="CB848" s="37" t="s">
        <v>1124</v>
      </c>
      <c r="CC848" s="37"/>
      <c r="CD848" s="37"/>
      <c r="CE848" s="37"/>
      <c r="CF848" s="37"/>
      <c r="CG848" s="37"/>
      <c r="CH848" s="37"/>
      <c r="CI848" s="37"/>
      <c r="CJ848" s="37"/>
      <c r="CK848" s="37"/>
      <c r="CL848" s="37"/>
      <c r="CM848" s="37"/>
      <c r="CN848" s="37" t="s">
        <v>1124</v>
      </c>
      <c r="CO848" s="37"/>
      <c r="CP848" s="37"/>
      <c r="CQ848" s="37"/>
      <c r="CR848" s="37"/>
      <c r="CS848" s="37"/>
      <c r="CT848" s="37"/>
      <c r="CU848" s="37"/>
      <c r="CV848" s="37"/>
      <c r="CW848" s="37"/>
      <c r="CX848" s="37"/>
      <c r="CY848" s="37"/>
      <c r="CZ848" s="37" t="s">
        <v>1124</v>
      </c>
      <c r="DA848" s="37"/>
      <c r="DB848" s="37"/>
      <c r="DC848" s="37"/>
      <c r="DD848" s="37"/>
      <c r="DE848" s="37"/>
      <c r="DF848" s="37"/>
      <c r="DG848" s="37"/>
      <c r="DH848" s="37"/>
      <c r="DI848" s="37"/>
      <c r="DJ848" s="37"/>
      <c r="DK848" s="37"/>
      <c r="DL848" s="37" t="s">
        <v>1124</v>
      </c>
      <c r="DM848" s="37"/>
      <c r="DN848" s="37"/>
      <c r="DO848" s="37"/>
      <c r="DP848" s="37"/>
      <c r="DQ848" s="37"/>
      <c r="DR848" s="37"/>
      <c r="DS848" s="37"/>
      <c r="DT848" s="37"/>
      <c r="DU848" s="37"/>
      <c r="DV848" s="37"/>
      <c r="DW848" s="37"/>
      <c r="DX848" s="37" t="s">
        <v>1124</v>
      </c>
      <c r="DY848" s="37"/>
      <c r="DZ848" s="37"/>
      <c r="EA848" s="37"/>
      <c r="EB848" s="37"/>
      <c r="EC848" s="37"/>
      <c r="ED848" s="37"/>
      <c r="EE848" s="37"/>
      <c r="EF848" s="37"/>
      <c r="EG848" s="37"/>
      <c r="EH848" s="37"/>
      <c r="EI848" s="37"/>
      <c r="EJ848" s="37" t="s">
        <v>1124</v>
      </c>
      <c r="EK848" s="161"/>
      <c r="EL848" s="294"/>
    </row>
    <row r="849" spans="1:142" ht="15" customHeight="1" x14ac:dyDescent="0.35">
      <c r="A849" s="34"/>
      <c r="B849" s="313">
        <v>20015</v>
      </c>
      <c r="C849" s="8" t="s">
        <v>140</v>
      </c>
      <c r="D849" s="18">
        <v>3</v>
      </c>
      <c r="E849" s="155"/>
      <c r="F849" s="36"/>
      <c r="G849" s="37"/>
      <c r="H849" s="37"/>
      <c r="I849" s="37"/>
      <c r="J849" s="37"/>
      <c r="K849" s="37"/>
      <c r="L849" s="37"/>
      <c r="M849" s="37" t="s">
        <v>1124</v>
      </c>
      <c r="N849" s="37" t="s">
        <v>1124</v>
      </c>
      <c r="O849" s="37"/>
      <c r="P849" s="37"/>
      <c r="Q849" s="37"/>
      <c r="R849" s="37"/>
      <c r="S849" s="37"/>
      <c r="T849" s="37"/>
      <c r="U849" s="37"/>
      <c r="V849" s="37"/>
      <c r="W849" s="37"/>
      <c r="X849" s="37"/>
      <c r="Y849" s="37"/>
      <c r="Z849" s="37"/>
      <c r="AA849" s="37" t="s">
        <v>1124</v>
      </c>
      <c r="AB849" s="37" t="s">
        <v>1124</v>
      </c>
      <c r="AC849" s="37"/>
      <c r="AD849" s="37"/>
      <c r="AE849" s="37"/>
      <c r="AF849" s="168"/>
      <c r="AG849" s="37"/>
      <c r="AH849" s="37"/>
      <c r="AI849" s="37"/>
      <c r="AJ849" s="37"/>
      <c r="AK849" s="37"/>
      <c r="AL849" s="37"/>
      <c r="AM849" s="37"/>
      <c r="AN849" s="37"/>
      <c r="AO849" s="37"/>
      <c r="AP849" s="37"/>
      <c r="AQ849" s="37"/>
      <c r="AR849" s="37" t="s">
        <v>1124</v>
      </c>
      <c r="AS849" s="37"/>
      <c r="AT849" s="37"/>
      <c r="AU849" s="37"/>
      <c r="AV849" s="37"/>
      <c r="AW849" s="37"/>
      <c r="AX849" s="37"/>
      <c r="AY849" s="37"/>
      <c r="AZ849" s="37"/>
      <c r="BA849" s="37"/>
      <c r="BB849" s="37"/>
      <c r="BC849" s="37"/>
      <c r="BD849" s="37" t="s">
        <v>1124</v>
      </c>
      <c r="BE849" s="37"/>
      <c r="BF849" s="37"/>
      <c r="BG849" s="37"/>
      <c r="BH849" s="37"/>
      <c r="BI849" s="37"/>
      <c r="BJ849" s="37"/>
      <c r="BK849" s="37"/>
      <c r="BL849" s="37"/>
      <c r="BM849" s="37"/>
      <c r="BN849" s="37"/>
      <c r="BO849" s="37"/>
      <c r="BP849" s="37">
        <v>0</v>
      </c>
      <c r="BQ849" s="37"/>
      <c r="BR849" s="37"/>
      <c r="BS849" s="37"/>
      <c r="BT849" s="37"/>
      <c r="BU849" s="37"/>
      <c r="BV849" s="37"/>
      <c r="BW849" s="37"/>
      <c r="BX849" s="37"/>
      <c r="BY849" s="37"/>
      <c r="BZ849" s="37"/>
      <c r="CA849" s="37"/>
      <c r="CB849" s="37" t="s">
        <v>1124</v>
      </c>
      <c r="CC849" s="37"/>
      <c r="CD849" s="37"/>
      <c r="CE849" s="37"/>
      <c r="CF849" s="37"/>
      <c r="CG849" s="37"/>
      <c r="CH849" s="37"/>
      <c r="CI849" s="37"/>
      <c r="CJ849" s="37"/>
      <c r="CK849" s="37"/>
      <c r="CL849" s="37"/>
      <c r="CM849" s="37"/>
      <c r="CN849" s="37" t="s">
        <v>1124</v>
      </c>
      <c r="CO849" s="37"/>
      <c r="CP849" s="37"/>
      <c r="CQ849" s="37"/>
      <c r="CR849" s="37"/>
      <c r="CS849" s="37"/>
      <c r="CT849" s="37"/>
      <c r="CU849" s="37"/>
      <c r="CV849" s="37"/>
      <c r="CW849" s="37"/>
      <c r="CX849" s="37"/>
      <c r="CY849" s="37"/>
      <c r="CZ849" s="37" t="s">
        <v>1124</v>
      </c>
      <c r="DA849" s="37"/>
      <c r="DB849" s="37"/>
      <c r="DC849" s="37"/>
      <c r="DD849" s="37"/>
      <c r="DE849" s="37"/>
      <c r="DF849" s="37"/>
      <c r="DG849" s="37"/>
      <c r="DH849" s="37"/>
      <c r="DI849" s="37"/>
      <c r="DJ849" s="37"/>
      <c r="DK849" s="37"/>
      <c r="DL849" s="37" t="s">
        <v>1124</v>
      </c>
      <c r="DM849" s="37"/>
      <c r="DN849" s="37"/>
      <c r="DO849" s="37"/>
      <c r="DP849" s="37"/>
      <c r="DQ849" s="37"/>
      <c r="DR849" s="37"/>
      <c r="DS849" s="37"/>
      <c r="DT849" s="37"/>
      <c r="DU849" s="37"/>
      <c r="DV849" s="37"/>
      <c r="DW849" s="37"/>
      <c r="DX849" s="37" t="s">
        <v>1124</v>
      </c>
      <c r="DY849" s="37"/>
      <c r="DZ849" s="37"/>
      <c r="EA849" s="37"/>
      <c r="EB849" s="37"/>
      <c r="EC849" s="37"/>
      <c r="ED849" s="37"/>
      <c r="EE849" s="37"/>
      <c r="EF849" s="37"/>
      <c r="EG849" s="37"/>
      <c r="EH849" s="37"/>
      <c r="EI849" s="37"/>
      <c r="EJ849" s="37" t="s">
        <v>1124</v>
      </c>
      <c r="EK849" s="161"/>
      <c r="EL849" s="294"/>
    </row>
    <row r="850" spans="1:142" ht="15" customHeight="1" x14ac:dyDescent="0.35">
      <c r="A850" s="34"/>
      <c r="B850" s="313">
        <v>62015</v>
      </c>
      <c r="C850" s="8" t="s">
        <v>620</v>
      </c>
      <c r="D850" s="18">
        <v>14</v>
      </c>
      <c r="E850" s="155">
        <v>102862</v>
      </c>
      <c r="F850" s="36">
        <v>109379</v>
      </c>
      <c r="G850" s="37">
        <v>8648</v>
      </c>
      <c r="H850" s="37">
        <v>8649</v>
      </c>
      <c r="I850" s="37">
        <v>216200</v>
      </c>
      <c r="J850" s="37">
        <v>216200</v>
      </c>
      <c r="K850" s="37">
        <v>15429</v>
      </c>
      <c r="L850" s="37">
        <v>16406.849999999999</v>
      </c>
      <c r="M850" s="37">
        <v>343139</v>
      </c>
      <c r="N850" s="37">
        <v>350634.85</v>
      </c>
      <c r="O850" s="37">
        <v>0</v>
      </c>
      <c r="P850" s="37">
        <v>0</v>
      </c>
      <c r="Q850" s="37">
        <v>89235</v>
      </c>
      <c r="R850" s="37">
        <v>51373</v>
      </c>
      <c r="S850" s="37">
        <v>0</v>
      </c>
      <c r="T850" s="37">
        <v>0</v>
      </c>
      <c r="U850" s="37">
        <v>8673</v>
      </c>
      <c r="V850" s="37">
        <v>7379</v>
      </c>
      <c r="W850" s="37">
        <v>258041</v>
      </c>
      <c r="X850" s="37">
        <v>304694</v>
      </c>
      <c r="Y850" s="37">
        <v>0</v>
      </c>
      <c r="Z850" s="37">
        <v>0</v>
      </c>
      <c r="AA850" s="37">
        <v>355949</v>
      </c>
      <c r="AB850" s="37">
        <v>363446</v>
      </c>
      <c r="AC850" s="37">
        <v>25621</v>
      </c>
      <c r="AD850" s="37">
        <v>25621</v>
      </c>
      <c r="AE850" s="37">
        <v>197513</v>
      </c>
      <c r="AF850" s="168">
        <v>0.02</v>
      </c>
      <c r="AG850" s="37">
        <v>18077161.27</v>
      </c>
      <c r="AH850" s="37">
        <v>104471.31</v>
      </c>
      <c r="AI850" s="37">
        <v>106560.74</v>
      </c>
      <c r="AJ850" s="37">
        <v>108691.95</v>
      </c>
      <c r="AK850" s="37">
        <v>110865.79</v>
      </c>
      <c r="AL850" s="37">
        <v>113083.11</v>
      </c>
      <c r="AM850" s="37">
        <v>115344.77</v>
      </c>
      <c r="AN850" s="37">
        <v>117651.67</v>
      </c>
      <c r="AO850" s="37">
        <v>120004.7</v>
      </c>
      <c r="AP850" s="37">
        <v>122404.79</v>
      </c>
      <c r="AQ850" s="37">
        <v>124852.89</v>
      </c>
      <c r="AR850" s="37">
        <v>1143931.72</v>
      </c>
      <c r="AS850" s="37">
        <v>1153914.26</v>
      </c>
      <c r="AT850" s="37">
        <v>0</v>
      </c>
      <c r="AU850" s="37">
        <v>52020</v>
      </c>
      <c r="AV850" s="37">
        <v>0</v>
      </c>
      <c r="AW850" s="37">
        <v>0</v>
      </c>
      <c r="AX850" s="37">
        <v>0</v>
      </c>
      <c r="AY850" s="37">
        <v>0</v>
      </c>
      <c r="AZ850" s="37">
        <v>0</v>
      </c>
      <c r="BA850" s="37">
        <v>0</v>
      </c>
      <c r="BB850" s="37">
        <v>0</v>
      </c>
      <c r="BC850" s="37">
        <v>0</v>
      </c>
      <c r="BD850" s="37">
        <v>52020</v>
      </c>
      <c r="BE850" s="37">
        <v>779993</v>
      </c>
      <c r="BF850" s="37">
        <v>0</v>
      </c>
      <c r="BG850" s="37">
        <v>0</v>
      </c>
      <c r="BH850" s="37">
        <v>0</v>
      </c>
      <c r="BI850" s="37">
        <v>0</v>
      </c>
      <c r="BJ850" s="37">
        <v>0</v>
      </c>
      <c r="BK850" s="37">
        <v>0</v>
      </c>
      <c r="BL850" s="37">
        <v>0</v>
      </c>
      <c r="BM850" s="37">
        <v>0</v>
      </c>
      <c r="BN850" s="37">
        <v>0</v>
      </c>
      <c r="BO850" s="37">
        <v>0</v>
      </c>
      <c r="BP850" s="37">
        <v>0</v>
      </c>
      <c r="BQ850" s="37">
        <v>0</v>
      </c>
      <c r="BR850" s="37">
        <v>0</v>
      </c>
      <c r="BS850" s="37">
        <v>0</v>
      </c>
      <c r="BT850" s="37">
        <v>0</v>
      </c>
      <c r="BU850" s="37">
        <v>0</v>
      </c>
      <c r="BV850" s="37">
        <v>0</v>
      </c>
      <c r="BW850" s="37">
        <v>0</v>
      </c>
      <c r="BX850" s="37">
        <v>0</v>
      </c>
      <c r="BY850" s="37">
        <v>0</v>
      </c>
      <c r="BZ850" s="37">
        <v>0</v>
      </c>
      <c r="CA850" s="37">
        <v>0</v>
      </c>
      <c r="CB850" s="37">
        <v>0</v>
      </c>
      <c r="CC850" s="37">
        <v>0</v>
      </c>
      <c r="CD850" s="37">
        <v>0</v>
      </c>
      <c r="CE850" s="37">
        <v>0</v>
      </c>
      <c r="CF850" s="37">
        <v>0</v>
      </c>
      <c r="CG850" s="37">
        <v>0</v>
      </c>
      <c r="CH850" s="37">
        <v>0</v>
      </c>
      <c r="CI850" s="37">
        <v>0</v>
      </c>
      <c r="CJ850" s="37">
        <v>0</v>
      </c>
      <c r="CK850" s="37">
        <v>0</v>
      </c>
      <c r="CL850" s="37">
        <v>0</v>
      </c>
      <c r="CM850" s="37">
        <v>0</v>
      </c>
      <c r="CN850" s="37">
        <v>0</v>
      </c>
      <c r="CO850" s="37">
        <v>0</v>
      </c>
      <c r="CP850" s="37">
        <v>0</v>
      </c>
      <c r="CQ850" s="37">
        <v>0</v>
      </c>
      <c r="CR850" s="37">
        <v>0</v>
      </c>
      <c r="CS850" s="37">
        <v>0</v>
      </c>
      <c r="CT850" s="37">
        <v>0</v>
      </c>
      <c r="CU850" s="37">
        <v>0</v>
      </c>
      <c r="CV850" s="37">
        <v>0</v>
      </c>
      <c r="CW850" s="37">
        <v>0</v>
      </c>
      <c r="CX850" s="37">
        <v>0</v>
      </c>
      <c r="CY850" s="37">
        <v>0</v>
      </c>
      <c r="CZ850" s="37">
        <v>0</v>
      </c>
      <c r="DA850" s="37">
        <v>0</v>
      </c>
      <c r="DB850" s="37">
        <v>0</v>
      </c>
      <c r="DC850" s="37">
        <v>0</v>
      </c>
      <c r="DD850" s="37">
        <v>0</v>
      </c>
      <c r="DE850" s="37">
        <v>0</v>
      </c>
      <c r="DF850" s="37">
        <v>0</v>
      </c>
      <c r="DG850" s="37">
        <v>0</v>
      </c>
      <c r="DH850" s="37">
        <v>0</v>
      </c>
      <c r="DI850" s="37">
        <v>0</v>
      </c>
      <c r="DJ850" s="37">
        <v>0</v>
      </c>
      <c r="DK850" s="37">
        <v>0</v>
      </c>
      <c r="DL850" s="37">
        <v>0</v>
      </c>
      <c r="DM850" s="37">
        <v>0</v>
      </c>
      <c r="DN850" s="37">
        <v>0</v>
      </c>
      <c r="DO850" s="37">
        <v>0</v>
      </c>
      <c r="DP850" s="37">
        <v>0</v>
      </c>
      <c r="DQ850" s="37">
        <v>0</v>
      </c>
      <c r="DR850" s="37">
        <v>0</v>
      </c>
      <c r="DS850" s="37">
        <v>0</v>
      </c>
      <c r="DT850" s="37">
        <v>0</v>
      </c>
      <c r="DU850" s="37">
        <v>0</v>
      </c>
      <c r="DV850" s="37">
        <v>0</v>
      </c>
      <c r="DW850" s="37">
        <v>0</v>
      </c>
      <c r="DX850" s="37">
        <v>0</v>
      </c>
      <c r="DY850" s="37">
        <v>0</v>
      </c>
      <c r="DZ850" s="37">
        <v>0</v>
      </c>
      <c r="EA850" s="37">
        <v>0</v>
      </c>
      <c r="EB850" s="37">
        <v>0</v>
      </c>
      <c r="EC850" s="37">
        <v>0</v>
      </c>
      <c r="ED850" s="37">
        <v>0</v>
      </c>
      <c r="EE850" s="37">
        <v>0</v>
      </c>
      <c r="EF850" s="37">
        <v>0</v>
      </c>
      <c r="EG850" s="37">
        <v>0</v>
      </c>
      <c r="EH850" s="37">
        <v>0</v>
      </c>
      <c r="EI850" s="37">
        <v>0</v>
      </c>
      <c r="EJ850" s="37">
        <v>0</v>
      </c>
      <c r="EK850" s="161" t="s">
        <v>3164</v>
      </c>
      <c r="EL850" s="294" t="s">
        <v>1124</v>
      </c>
    </row>
    <row r="851" spans="1:142" ht="15" customHeight="1" x14ac:dyDescent="0.35">
      <c r="A851" s="34"/>
      <c r="B851" s="313">
        <v>17070</v>
      </c>
      <c r="C851" s="8" t="s">
        <v>102</v>
      </c>
      <c r="D851" s="18">
        <v>12</v>
      </c>
      <c r="E851" s="155"/>
      <c r="F851" s="36"/>
      <c r="G851" s="37"/>
      <c r="H851" s="37"/>
      <c r="I851" s="37"/>
      <c r="J851" s="37"/>
      <c r="K851" s="37"/>
      <c r="L851" s="37"/>
      <c r="M851" s="37" t="s">
        <v>1124</v>
      </c>
      <c r="N851" s="37" t="s">
        <v>1124</v>
      </c>
      <c r="O851" s="37"/>
      <c r="P851" s="37"/>
      <c r="Q851" s="37"/>
      <c r="R851" s="37"/>
      <c r="S851" s="37"/>
      <c r="T851" s="37"/>
      <c r="U851" s="37"/>
      <c r="V851" s="37"/>
      <c r="W851" s="37"/>
      <c r="X851" s="37"/>
      <c r="Y851" s="37"/>
      <c r="Z851" s="37"/>
      <c r="AA851" s="37" t="s">
        <v>1124</v>
      </c>
      <c r="AB851" s="37" t="s">
        <v>1124</v>
      </c>
      <c r="AC851" s="37"/>
      <c r="AD851" s="37"/>
      <c r="AE851" s="37"/>
      <c r="AF851" s="168"/>
      <c r="AG851" s="37"/>
      <c r="AH851" s="37"/>
      <c r="AI851" s="37"/>
      <c r="AJ851" s="37"/>
      <c r="AK851" s="37"/>
      <c r="AL851" s="37"/>
      <c r="AM851" s="37"/>
      <c r="AN851" s="37"/>
      <c r="AO851" s="37"/>
      <c r="AP851" s="37"/>
      <c r="AQ851" s="37"/>
      <c r="AR851" s="37" t="s">
        <v>1124</v>
      </c>
      <c r="AS851" s="37"/>
      <c r="AT851" s="37"/>
      <c r="AU851" s="37"/>
      <c r="AV851" s="37"/>
      <c r="AW851" s="37"/>
      <c r="AX851" s="37"/>
      <c r="AY851" s="37"/>
      <c r="AZ851" s="37"/>
      <c r="BA851" s="37"/>
      <c r="BB851" s="37"/>
      <c r="BC851" s="37"/>
      <c r="BD851" s="37" t="s">
        <v>1124</v>
      </c>
      <c r="BE851" s="37"/>
      <c r="BF851" s="37"/>
      <c r="BG851" s="37"/>
      <c r="BH851" s="37"/>
      <c r="BI851" s="37"/>
      <c r="BJ851" s="37"/>
      <c r="BK851" s="37"/>
      <c r="BL851" s="37"/>
      <c r="BM851" s="37"/>
      <c r="BN851" s="37"/>
      <c r="BO851" s="37"/>
      <c r="BP851" s="37">
        <v>0</v>
      </c>
      <c r="BQ851" s="37"/>
      <c r="BR851" s="37"/>
      <c r="BS851" s="37"/>
      <c r="BT851" s="37"/>
      <c r="BU851" s="37"/>
      <c r="BV851" s="37"/>
      <c r="BW851" s="37"/>
      <c r="BX851" s="37"/>
      <c r="BY851" s="37"/>
      <c r="BZ851" s="37"/>
      <c r="CA851" s="37"/>
      <c r="CB851" s="37" t="s">
        <v>1124</v>
      </c>
      <c r="CC851" s="37"/>
      <c r="CD851" s="37"/>
      <c r="CE851" s="37"/>
      <c r="CF851" s="37"/>
      <c r="CG851" s="37"/>
      <c r="CH851" s="37"/>
      <c r="CI851" s="37"/>
      <c r="CJ851" s="37"/>
      <c r="CK851" s="37"/>
      <c r="CL851" s="37"/>
      <c r="CM851" s="37"/>
      <c r="CN851" s="37" t="s">
        <v>1124</v>
      </c>
      <c r="CO851" s="37"/>
      <c r="CP851" s="37"/>
      <c r="CQ851" s="37"/>
      <c r="CR851" s="37"/>
      <c r="CS851" s="37"/>
      <c r="CT851" s="37"/>
      <c r="CU851" s="37"/>
      <c r="CV851" s="37"/>
      <c r="CW851" s="37"/>
      <c r="CX851" s="37"/>
      <c r="CY851" s="37"/>
      <c r="CZ851" s="37" t="s">
        <v>1124</v>
      </c>
      <c r="DA851" s="37"/>
      <c r="DB851" s="37"/>
      <c r="DC851" s="37"/>
      <c r="DD851" s="37"/>
      <c r="DE851" s="37"/>
      <c r="DF851" s="37"/>
      <c r="DG851" s="37"/>
      <c r="DH851" s="37"/>
      <c r="DI851" s="37"/>
      <c r="DJ851" s="37"/>
      <c r="DK851" s="37"/>
      <c r="DL851" s="37" t="s">
        <v>1124</v>
      </c>
      <c r="DM851" s="37"/>
      <c r="DN851" s="37"/>
      <c r="DO851" s="37"/>
      <c r="DP851" s="37"/>
      <c r="DQ851" s="37"/>
      <c r="DR851" s="37"/>
      <c r="DS851" s="37"/>
      <c r="DT851" s="37"/>
      <c r="DU851" s="37"/>
      <c r="DV851" s="37"/>
      <c r="DW851" s="37"/>
      <c r="DX851" s="37" t="s">
        <v>1124</v>
      </c>
      <c r="DY851" s="37"/>
      <c r="DZ851" s="37"/>
      <c r="EA851" s="37"/>
      <c r="EB851" s="37"/>
      <c r="EC851" s="37"/>
      <c r="ED851" s="37"/>
      <c r="EE851" s="37"/>
      <c r="EF851" s="37"/>
      <c r="EG851" s="37"/>
      <c r="EH851" s="37"/>
      <c r="EI851" s="37"/>
      <c r="EJ851" s="37" t="s">
        <v>1124</v>
      </c>
      <c r="EK851" s="161"/>
      <c r="EL851" s="294"/>
    </row>
    <row r="852" spans="1:142" ht="15" customHeight="1" x14ac:dyDescent="0.35">
      <c r="A852" s="34"/>
      <c r="B852" s="313">
        <v>56083</v>
      </c>
      <c r="C852" s="8" t="s">
        <v>578</v>
      </c>
      <c r="D852" s="18">
        <v>16</v>
      </c>
      <c r="E852" s="155">
        <v>7777908</v>
      </c>
      <c r="F852" s="36">
        <v>5517815</v>
      </c>
      <c r="G852" s="37">
        <v>1046891</v>
      </c>
      <c r="H852" s="37">
        <v>748034</v>
      </c>
      <c r="I852" s="37">
        <v>3013417</v>
      </c>
      <c r="J852" s="37">
        <v>2761096</v>
      </c>
      <c r="K852" s="37">
        <v>1166862</v>
      </c>
      <c r="L852" s="37">
        <v>827672.25</v>
      </c>
      <c r="M852" s="37">
        <v>13005078</v>
      </c>
      <c r="N852" s="37">
        <v>9854617.25</v>
      </c>
      <c r="O852" s="37">
        <v>1441852</v>
      </c>
      <c r="P852" s="37">
        <v>0</v>
      </c>
      <c r="Q852" s="37">
        <v>4919379</v>
      </c>
      <c r="R852" s="37">
        <v>4831924</v>
      </c>
      <c r="S852" s="37">
        <v>44985</v>
      </c>
      <c r="T852" s="37">
        <v>16299</v>
      </c>
      <c r="U852" s="37">
        <v>40410</v>
      </c>
      <c r="V852" s="37">
        <v>45544</v>
      </c>
      <c r="W852" s="37">
        <v>6558452</v>
      </c>
      <c r="X852" s="37">
        <v>4960850.25</v>
      </c>
      <c r="Y852" s="37">
        <v>0</v>
      </c>
      <c r="Z852" s="37">
        <v>0</v>
      </c>
      <c r="AA852" s="37">
        <v>13005078</v>
      </c>
      <c r="AB852" s="37">
        <v>9854617.25</v>
      </c>
      <c r="AC852" s="37">
        <v>0</v>
      </c>
      <c r="AD852" s="37">
        <v>0</v>
      </c>
      <c r="AE852" s="37">
        <v>0</v>
      </c>
      <c r="AF852" s="168">
        <v>0.02</v>
      </c>
      <c r="AG852" s="37">
        <v>1295974561.0799999</v>
      </c>
      <c r="AH852" s="37">
        <v>10640461.810000001</v>
      </c>
      <c r="AI852" s="37">
        <v>16757361.93</v>
      </c>
      <c r="AJ852" s="37">
        <v>17152371.91</v>
      </c>
      <c r="AK852" s="37">
        <v>12723857.59</v>
      </c>
      <c r="AL852" s="37">
        <v>11517578.060000001</v>
      </c>
      <c r="AM852" s="37">
        <v>11747929.619999999</v>
      </c>
      <c r="AN852" s="37">
        <v>11982888.220000001</v>
      </c>
      <c r="AO852" s="37">
        <v>12222545.98</v>
      </c>
      <c r="AP852" s="37">
        <v>12466996.9</v>
      </c>
      <c r="AQ852" s="37">
        <v>12716336.84</v>
      </c>
      <c r="AR852" s="37">
        <v>129928328.86000001</v>
      </c>
      <c r="AS852" s="37">
        <v>21542216.399999999</v>
      </c>
      <c r="AT852" s="37">
        <v>0</v>
      </c>
      <c r="AU852" s="37">
        <v>2670952.85</v>
      </c>
      <c r="AV852" s="37">
        <v>17277210.68</v>
      </c>
      <c r="AW852" s="37">
        <v>1639170.32</v>
      </c>
      <c r="AX852" s="37">
        <v>0</v>
      </c>
      <c r="AY852" s="37">
        <v>0</v>
      </c>
      <c r="AZ852" s="37">
        <v>0</v>
      </c>
      <c r="BA852" s="37">
        <v>0</v>
      </c>
      <c r="BB852" s="37">
        <v>0</v>
      </c>
      <c r="BC852" s="37">
        <v>0</v>
      </c>
      <c r="BD852" s="37">
        <v>21587333.850000001</v>
      </c>
      <c r="BE852" s="37">
        <v>6376625</v>
      </c>
      <c r="BF852" s="37">
        <v>21117035</v>
      </c>
      <c r="BG852" s="37">
        <v>9412295</v>
      </c>
      <c r="BH852" s="37">
        <v>4693500</v>
      </c>
      <c r="BI852" s="37">
        <v>3410664</v>
      </c>
      <c r="BJ852" s="37">
        <v>0</v>
      </c>
      <c r="BK852" s="37">
        <v>0</v>
      </c>
      <c r="BL852" s="37">
        <v>0</v>
      </c>
      <c r="BM852" s="37">
        <v>0</v>
      </c>
      <c r="BN852" s="37">
        <v>0</v>
      </c>
      <c r="BO852" s="37">
        <v>0</v>
      </c>
      <c r="BP852" s="37">
        <v>38633494</v>
      </c>
      <c r="BQ852" s="37">
        <v>333499</v>
      </c>
      <c r="BR852" s="37">
        <v>143011</v>
      </c>
      <c r="BS852" s="37">
        <v>1988738</v>
      </c>
      <c r="BT852" s="37">
        <v>3378960</v>
      </c>
      <c r="BU852" s="37">
        <v>1080178</v>
      </c>
      <c r="BV852" s="37">
        <v>0</v>
      </c>
      <c r="BW852" s="37">
        <v>0</v>
      </c>
      <c r="BX852" s="37">
        <v>0</v>
      </c>
      <c r="BY852" s="37">
        <v>0</v>
      </c>
      <c r="BZ852" s="37">
        <v>0</v>
      </c>
      <c r="CA852" s="37">
        <v>0</v>
      </c>
      <c r="CB852" s="37">
        <v>6590887</v>
      </c>
      <c r="CC852" s="37">
        <v>0</v>
      </c>
      <c r="CD852" s="37">
        <v>0</v>
      </c>
      <c r="CE852" s="37">
        <v>562338</v>
      </c>
      <c r="CF852" s="37">
        <v>3318741</v>
      </c>
      <c r="CG852" s="37">
        <v>2092868</v>
      </c>
      <c r="CH852" s="37">
        <v>0</v>
      </c>
      <c r="CI852" s="37">
        <v>0</v>
      </c>
      <c r="CJ852" s="37">
        <v>0</v>
      </c>
      <c r="CK852" s="37">
        <v>0</v>
      </c>
      <c r="CL852" s="37">
        <v>0</v>
      </c>
      <c r="CM852" s="37">
        <v>0</v>
      </c>
      <c r="CN852" s="37">
        <v>5973947</v>
      </c>
      <c r="CO852" s="37">
        <v>0</v>
      </c>
      <c r="CP852" s="37">
        <v>0</v>
      </c>
      <c r="CQ852" s="37">
        <v>416420</v>
      </c>
      <c r="CR852" s="37">
        <v>1980000</v>
      </c>
      <c r="CS852" s="37">
        <v>984006</v>
      </c>
      <c r="CT852" s="37">
        <v>0</v>
      </c>
      <c r="CU852" s="37">
        <v>0</v>
      </c>
      <c r="CV852" s="37">
        <v>0</v>
      </c>
      <c r="CW852" s="37">
        <v>0</v>
      </c>
      <c r="CX852" s="37">
        <v>0</v>
      </c>
      <c r="CY852" s="37">
        <v>0</v>
      </c>
      <c r="CZ852" s="37">
        <v>3380426</v>
      </c>
      <c r="DA852" s="37">
        <v>0</v>
      </c>
      <c r="DB852" s="37">
        <v>0</v>
      </c>
      <c r="DC852" s="37">
        <v>118572</v>
      </c>
      <c r="DD852" s="37">
        <v>1259179</v>
      </c>
      <c r="DE852" s="37">
        <v>0</v>
      </c>
      <c r="DF852" s="37">
        <v>0</v>
      </c>
      <c r="DG852" s="37">
        <v>0</v>
      </c>
      <c r="DH852" s="37">
        <v>0</v>
      </c>
      <c r="DI852" s="37">
        <v>0</v>
      </c>
      <c r="DJ852" s="37">
        <v>0</v>
      </c>
      <c r="DK852" s="37">
        <v>0</v>
      </c>
      <c r="DL852" s="37">
        <v>1377751</v>
      </c>
      <c r="DM852" s="37">
        <v>0</v>
      </c>
      <c r="DN852" s="37">
        <v>0</v>
      </c>
      <c r="DO852" s="37">
        <v>1914554</v>
      </c>
      <c r="DP852" s="37">
        <v>9047768</v>
      </c>
      <c r="DQ852" s="37">
        <v>1009770</v>
      </c>
      <c r="DR852" s="37">
        <v>0</v>
      </c>
      <c r="DS852" s="37">
        <v>0</v>
      </c>
      <c r="DT852" s="37">
        <v>0</v>
      </c>
      <c r="DU852" s="37">
        <v>0</v>
      </c>
      <c r="DV852" s="37">
        <v>0</v>
      </c>
      <c r="DW852" s="37">
        <v>0</v>
      </c>
      <c r="DX852" s="37">
        <v>11972092</v>
      </c>
      <c r="DY852" s="37">
        <v>0</v>
      </c>
      <c r="DZ852" s="37">
        <v>0</v>
      </c>
      <c r="EA852" s="37">
        <v>0</v>
      </c>
      <c r="EB852" s="37">
        <v>3596478</v>
      </c>
      <c r="EC852" s="37">
        <v>136064</v>
      </c>
      <c r="ED852" s="37">
        <v>0</v>
      </c>
      <c r="EE852" s="37">
        <v>0</v>
      </c>
      <c r="EF852" s="37">
        <v>0</v>
      </c>
      <c r="EG852" s="37">
        <v>0</v>
      </c>
      <c r="EH852" s="37">
        <v>0</v>
      </c>
      <c r="EI852" s="37">
        <v>0</v>
      </c>
      <c r="EJ852" s="37">
        <v>3732542</v>
      </c>
      <c r="EK852" s="161" t="s">
        <v>3170</v>
      </c>
      <c r="EL852" s="294" t="s">
        <v>1124</v>
      </c>
    </row>
    <row r="853" spans="1:142" ht="15" customHeight="1" x14ac:dyDescent="0.35">
      <c r="A853" s="34"/>
      <c r="B853" s="313">
        <v>75017</v>
      </c>
      <c r="C853" s="8" t="s">
        <v>743</v>
      </c>
      <c r="D853" s="18">
        <v>15</v>
      </c>
      <c r="E853" s="155"/>
      <c r="F853" s="36"/>
      <c r="G853" s="37"/>
      <c r="H853" s="37"/>
      <c r="I853" s="37"/>
      <c r="J853" s="37"/>
      <c r="K853" s="37"/>
      <c r="L853" s="37"/>
      <c r="M853" s="37" t="s">
        <v>1124</v>
      </c>
      <c r="N853" s="37" t="s">
        <v>1124</v>
      </c>
      <c r="O853" s="37"/>
      <c r="P853" s="37"/>
      <c r="Q853" s="37"/>
      <c r="R853" s="37"/>
      <c r="S853" s="37"/>
      <c r="T853" s="37"/>
      <c r="U853" s="37"/>
      <c r="V853" s="37"/>
      <c r="W853" s="37"/>
      <c r="X853" s="37"/>
      <c r="Y853" s="37"/>
      <c r="Z853" s="37"/>
      <c r="AA853" s="37" t="s">
        <v>1124</v>
      </c>
      <c r="AB853" s="37" t="s">
        <v>1124</v>
      </c>
      <c r="AC853" s="37"/>
      <c r="AD853" s="37"/>
      <c r="AE853" s="37"/>
      <c r="AF853" s="168"/>
      <c r="AG853" s="37"/>
      <c r="AH853" s="37"/>
      <c r="AI853" s="37"/>
      <c r="AJ853" s="37"/>
      <c r="AK853" s="37"/>
      <c r="AL853" s="37"/>
      <c r="AM853" s="37"/>
      <c r="AN853" s="37"/>
      <c r="AO853" s="37"/>
      <c r="AP853" s="37"/>
      <c r="AQ853" s="37"/>
      <c r="AR853" s="37" t="s">
        <v>1124</v>
      </c>
      <c r="AS853" s="37"/>
      <c r="AT853" s="37"/>
      <c r="AU853" s="37"/>
      <c r="AV853" s="37"/>
      <c r="AW853" s="37"/>
      <c r="AX853" s="37"/>
      <c r="AY853" s="37"/>
      <c r="AZ853" s="37"/>
      <c r="BA853" s="37"/>
      <c r="BB853" s="37"/>
      <c r="BC853" s="37"/>
      <c r="BD853" s="37" t="s">
        <v>1124</v>
      </c>
      <c r="BE853" s="37"/>
      <c r="BF853" s="37"/>
      <c r="BG853" s="37"/>
      <c r="BH853" s="37"/>
      <c r="BI853" s="37"/>
      <c r="BJ853" s="37"/>
      <c r="BK853" s="37"/>
      <c r="BL853" s="37"/>
      <c r="BM853" s="37"/>
      <c r="BN853" s="37"/>
      <c r="BO853" s="37"/>
      <c r="BP853" s="37">
        <v>0</v>
      </c>
      <c r="BQ853" s="37"/>
      <c r="BR853" s="37"/>
      <c r="BS853" s="37"/>
      <c r="BT853" s="37"/>
      <c r="BU853" s="37"/>
      <c r="BV853" s="37"/>
      <c r="BW853" s="37"/>
      <c r="BX853" s="37"/>
      <c r="BY853" s="37"/>
      <c r="BZ853" s="37"/>
      <c r="CA853" s="37"/>
      <c r="CB853" s="37" t="s">
        <v>1124</v>
      </c>
      <c r="CC853" s="37"/>
      <c r="CD853" s="37"/>
      <c r="CE853" s="37"/>
      <c r="CF853" s="37"/>
      <c r="CG853" s="37"/>
      <c r="CH853" s="37"/>
      <c r="CI853" s="37"/>
      <c r="CJ853" s="37"/>
      <c r="CK853" s="37"/>
      <c r="CL853" s="37"/>
      <c r="CM853" s="37"/>
      <c r="CN853" s="37" t="s">
        <v>1124</v>
      </c>
      <c r="CO853" s="37"/>
      <c r="CP853" s="37"/>
      <c r="CQ853" s="37"/>
      <c r="CR853" s="37"/>
      <c r="CS853" s="37"/>
      <c r="CT853" s="37"/>
      <c r="CU853" s="37"/>
      <c r="CV853" s="37"/>
      <c r="CW853" s="37"/>
      <c r="CX853" s="37"/>
      <c r="CY853" s="37"/>
      <c r="CZ853" s="37" t="s">
        <v>1124</v>
      </c>
      <c r="DA853" s="37"/>
      <c r="DB853" s="37"/>
      <c r="DC853" s="37"/>
      <c r="DD853" s="37"/>
      <c r="DE853" s="37"/>
      <c r="DF853" s="37"/>
      <c r="DG853" s="37"/>
      <c r="DH853" s="37"/>
      <c r="DI853" s="37"/>
      <c r="DJ853" s="37"/>
      <c r="DK853" s="37"/>
      <c r="DL853" s="37" t="s">
        <v>1124</v>
      </c>
      <c r="DM853" s="37"/>
      <c r="DN853" s="37"/>
      <c r="DO853" s="37"/>
      <c r="DP853" s="37"/>
      <c r="DQ853" s="37"/>
      <c r="DR853" s="37"/>
      <c r="DS853" s="37"/>
      <c r="DT853" s="37"/>
      <c r="DU853" s="37"/>
      <c r="DV853" s="37"/>
      <c r="DW853" s="37"/>
      <c r="DX853" s="37" t="s">
        <v>1124</v>
      </c>
      <c r="DY853" s="37"/>
      <c r="DZ853" s="37"/>
      <c r="EA853" s="37"/>
      <c r="EB853" s="37"/>
      <c r="EC853" s="37"/>
      <c r="ED853" s="37"/>
      <c r="EE853" s="37"/>
      <c r="EF853" s="37"/>
      <c r="EG853" s="37"/>
      <c r="EH853" s="37"/>
      <c r="EI853" s="37"/>
      <c r="EJ853" s="37" t="s">
        <v>1124</v>
      </c>
      <c r="EK853" s="161"/>
      <c r="EL853" s="294"/>
    </row>
    <row r="854" spans="1:142" ht="15" customHeight="1" x14ac:dyDescent="0.35">
      <c r="A854" s="34"/>
      <c r="B854" s="313">
        <v>21020</v>
      </c>
      <c r="C854" s="8" t="s">
        <v>147</v>
      </c>
      <c r="D854" s="18">
        <v>3</v>
      </c>
      <c r="E854" s="155">
        <v>97798</v>
      </c>
      <c r="F854" s="36">
        <v>104909</v>
      </c>
      <c r="G854" s="37">
        <v>70879</v>
      </c>
      <c r="H854" s="37">
        <v>25663</v>
      </c>
      <c r="I854" s="37">
        <v>100000</v>
      </c>
      <c r="J854" s="37">
        <v>50000</v>
      </c>
      <c r="K854" s="37">
        <v>14670</v>
      </c>
      <c r="L854" s="37">
        <v>16975</v>
      </c>
      <c r="M854" s="37">
        <v>283347</v>
      </c>
      <c r="N854" s="37">
        <v>197547</v>
      </c>
      <c r="O854" s="37">
        <v>0</v>
      </c>
      <c r="P854" s="37">
        <v>0</v>
      </c>
      <c r="Q854" s="37">
        <v>91605</v>
      </c>
      <c r="R854" s="37">
        <v>128557</v>
      </c>
      <c r="S854" s="37">
        <v>266</v>
      </c>
      <c r="T854" s="37">
        <v>0</v>
      </c>
      <c r="U854" s="37">
        <v>0</v>
      </c>
      <c r="V854" s="37">
        <v>0</v>
      </c>
      <c r="W854" s="37">
        <v>191476</v>
      </c>
      <c r="X854" s="37">
        <v>68990</v>
      </c>
      <c r="Y854" s="37">
        <v>0</v>
      </c>
      <c r="Z854" s="37">
        <v>0</v>
      </c>
      <c r="AA854" s="37">
        <v>283347</v>
      </c>
      <c r="AB854" s="37">
        <v>197547</v>
      </c>
      <c r="AC854" s="37">
        <v>0</v>
      </c>
      <c r="AD854" s="37">
        <v>0</v>
      </c>
      <c r="AE854" s="37">
        <v>0</v>
      </c>
      <c r="AF854" s="168">
        <v>0.02</v>
      </c>
      <c r="AG854" s="37">
        <v>34235485.210000001</v>
      </c>
      <c r="AH854" s="37">
        <v>344766.63</v>
      </c>
      <c r="AI854" s="37">
        <v>351661.96</v>
      </c>
      <c r="AJ854" s="37">
        <v>358695.2</v>
      </c>
      <c r="AK854" s="37">
        <v>365869.1</v>
      </c>
      <c r="AL854" s="37">
        <v>373186.49</v>
      </c>
      <c r="AM854" s="37">
        <v>380650.22</v>
      </c>
      <c r="AN854" s="37">
        <v>388263.22</v>
      </c>
      <c r="AO854" s="37">
        <v>396028.48</v>
      </c>
      <c r="AP854" s="37">
        <v>403949.05</v>
      </c>
      <c r="AQ854" s="37">
        <v>412028.03</v>
      </c>
      <c r="AR854" s="37">
        <v>3775098.3800000004</v>
      </c>
      <c r="AS854" s="37">
        <v>187018.48</v>
      </c>
      <c r="AT854" s="37">
        <v>0</v>
      </c>
      <c r="AU854" s="37">
        <v>0</v>
      </c>
      <c r="AV854" s="37">
        <v>0</v>
      </c>
      <c r="AW854" s="37">
        <v>0</v>
      </c>
      <c r="AX854" s="37">
        <v>0</v>
      </c>
      <c r="AY854" s="37">
        <v>0</v>
      </c>
      <c r="AZ854" s="37">
        <v>0</v>
      </c>
      <c r="BA854" s="37">
        <v>0</v>
      </c>
      <c r="BB854" s="37">
        <v>0</v>
      </c>
      <c r="BC854" s="37">
        <v>0</v>
      </c>
      <c r="BD854" s="37">
        <v>0</v>
      </c>
      <c r="BE854" s="37">
        <v>754771</v>
      </c>
      <c r="BF854" s="37">
        <v>5000</v>
      </c>
      <c r="BG854" s="37">
        <v>500941</v>
      </c>
      <c r="BH854" s="37">
        <v>278740</v>
      </c>
      <c r="BI854" s="37">
        <v>0</v>
      </c>
      <c r="BJ854" s="37">
        <v>0</v>
      </c>
      <c r="BK854" s="37">
        <v>0</v>
      </c>
      <c r="BL854" s="37">
        <v>0</v>
      </c>
      <c r="BM854" s="37">
        <v>0</v>
      </c>
      <c r="BN854" s="37">
        <v>0</v>
      </c>
      <c r="BO854" s="37">
        <v>0</v>
      </c>
      <c r="BP854" s="37">
        <v>784681</v>
      </c>
      <c r="BQ854" s="37">
        <v>0</v>
      </c>
      <c r="BR854" s="37">
        <v>0</v>
      </c>
      <c r="BS854" s="37">
        <v>0</v>
      </c>
      <c r="BT854" s="37">
        <v>0</v>
      </c>
      <c r="BU854" s="37">
        <v>0</v>
      </c>
      <c r="BV854" s="37">
        <v>0</v>
      </c>
      <c r="BW854" s="37">
        <v>0</v>
      </c>
      <c r="BX854" s="37">
        <v>0</v>
      </c>
      <c r="BY854" s="37">
        <v>0</v>
      </c>
      <c r="BZ854" s="37">
        <v>0</v>
      </c>
      <c r="CA854" s="37">
        <v>0</v>
      </c>
      <c r="CB854" s="37">
        <v>0</v>
      </c>
      <c r="CC854" s="37">
        <v>0</v>
      </c>
      <c r="CD854" s="37">
        <v>0</v>
      </c>
      <c r="CE854" s="37">
        <v>0</v>
      </c>
      <c r="CF854" s="37">
        <v>0</v>
      </c>
      <c r="CG854" s="37">
        <v>0</v>
      </c>
      <c r="CH854" s="37">
        <v>0</v>
      </c>
      <c r="CI854" s="37">
        <v>0</v>
      </c>
      <c r="CJ854" s="37">
        <v>0</v>
      </c>
      <c r="CK854" s="37">
        <v>0</v>
      </c>
      <c r="CL854" s="37">
        <v>0</v>
      </c>
      <c r="CM854" s="37">
        <v>0</v>
      </c>
      <c r="CN854" s="37">
        <v>0</v>
      </c>
      <c r="CO854" s="37">
        <v>0</v>
      </c>
      <c r="CP854" s="37">
        <v>0</v>
      </c>
      <c r="CQ854" s="37">
        <v>0</v>
      </c>
      <c r="CR854" s="37">
        <v>0</v>
      </c>
      <c r="CS854" s="37">
        <v>0</v>
      </c>
      <c r="CT854" s="37">
        <v>0</v>
      </c>
      <c r="CU854" s="37">
        <v>0</v>
      </c>
      <c r="CV854" s="37">
        <v>0</v>
      </c>
      <c r="CW854" s="37">
        <v>0</v>
      </c>
      <c r="CX854" s="37">
        <v>0</v>
      </c>
      <c r="CY854" s="37">
        <v>0</v>
      </c>
      <c r="CZ854" s="37">
        <v>0</v>
      </c>
      <c r="DA854" s="37">
        <v>0</v>
      </c>
      <c r="DB854" s="37">
        <v>0</v>
      </c>
      <c r="DC854" s="37">
        <v>0</v>
      </c>
      <c r="DD854" s="37">
        <v>0</v>
      </c>
      <c r="DE854" s="37">
        <v>0</v>
      </c>
      <c r="DF854" s="37">
        <v>0</v>
      </c>
      <c r="DG854" s="37">
        <v>0</v>
      </c>
      <c r="DH854" s="37">
        <v>0</v>
      </c>
      <c r="DI854" s="37">
        <v>0</v>
      </c>
      <c r="DJ854" s="37">
        <v>0</v>
      </c>
      <c r="DK854" s="37">
        <v>0</v>
      </c>
      <c r="DL854" s="37">
        <v>0</v>
      </c>
      <c r="DM854" s="37">
        <v>0</v>
      </c>
      <c r="DN854" s="37">
        <v>0</v>
      </c>
      <c r="DO854" s="37">
        <v>0</v>
      </c>
      <c r="DP854" s="37">
        <v>0</v>
      </c>
      <c r="DQ854" s="37">
        <v>0</v>
      </c>
      <c r="DR854" s="37">
        <v>0</v>
      </c>
      <c r="DS854" s="37">
        <v>0</v>
      </c>
      <c r="DT854" s="37">
        <v>0</v>
      </c>
      <c r="DU854" s="37">
        <v>0</v>
      </c>
      <c r="DV854" s="37">
        <v>0</v>
      </c>
      <c r="DW854" s="37">
        <v>0</v>
      </c>
      <c r="DX854" s="37">
        <v>0</v>
      </c>
      <c r="DY854" s="37">
        <v>0</v>
      </c>
      <c r="DZ854" s="37">
        <v>0</v>
      </c>
      <c r="EA854" s="37">
        <v>0</v>
      </c>
      <c r="EB854" s="37">
        <v>0</v>
      </c>
      <c r="EC854" s="37">
        <v>0</v>
      </c>
      <c r="ED854" s="37">
        <v>0</v>
      </c>
      <c r="EE854" s="37">
        <v>0</v>
      </c>
      <c r="EF854" s="37">
        <v>0</v>
      </c>
      <c r="EG854" s="37">
        <v>0</v>
      </c>
      <c r="EH854" s="37">
        <v>0</v>
      </c>
      <c r="EI854" s="37">
        <v>0</v>
      </c>
      <c r="EJ854" s="37">
        <v>0</v>
      </c>
      <c r="EK854" s="161" t="s">
        <v>3176</v>
      </c>
      <c r="EL854" s="294" t="s">
        <v>1124</v>
      </c>
    </row>
    <row r="855" spans="1:142" ht="15" customHeight="1" x14ac:dyDescent="0.35">
      <c r="A855" s="34"/>
      <c r="B855" s="313">
        <v>47040</v>
      </c>
      <c r="C855" s="8" t="s">
        <v>453</v>
      </c>
      <c r="D855" s="18">
        <v>5</v>
      </c>
      <c r="E855" s="155"/>
      <c r="F855" s="36"/>
      <c r="G855" s="37"/>
      <c r="H855" s="37"/>
      <c r="I855" s="37"/>
      <c r="J855" s="37"/>
      <c r="K855" s="37"/>
      <c r="L855" s="37"/>
      <c r="M855" s="37" t="s">
        <v>1124</v>
      </c>
      <c r="N855" s="37" t="s">
        <v>1124</v>
      </c>
      <c r="O855" s="37"/>
      <c r="P855" s="37"/>
      <c r="Q855" s="37"/>
      <c r="R855" s="37"/>
      <c r="S855" s="37"/>
      <c r="T855" s="37"/>
      <c r="U855" s="37"/>
      <c r="V855" s="37"/>
      <c r="W855" s="37"/>
      <c r="X855" s="37"/>
      <c r="Y855" s="37"/>
      <c r="Z855" s="37"/>
      <c r="AA855" s="37" t="s">
        <v>1124</v>
      </c>
      <c r="AB855" s="37" t="s">
        <v>1124</v>
      </c>
      <c r="AC855" s="37"/>
      <c r="AD855" s="37"/>
      <c r="AE855" s="37"/>
      <c r="AF855" s="168"/>
      <c r="AG855" s="37"/>
      <c r="AH855" s="37"/>
      <c r="AI855" s="37"/>
      <c r="AJ855" s="37"/>
      <c r="AK855" s="37"/>
      <c r="AL855" s="37"/>
      <c r="AM855" s="37"/>
      <c r="AN855" s="37"/>
      <c r="AO855" s="37"/>
      <c r="AP855" s="37"/>
      <c r="AQ855" s="37"/>
      <c r="AR855" s="37" t="s">
        <v>1124</v>
      </c>
      <c r="AS855" s="37"/>
      <c r="AT855" s="37"/>
      <c r="AU855" s="37"/>
      <c r="AV855" s="37"/>
      <c r="AW855" s="37"/>
      <c r="AX855" s="37"/>
      <c r="AY855" s="37"/>
      <c r="AZ855" s="37"/>
      <c r="BA855" s="37"/>
      <c r="BB855" s="37"/>
      <c r="BC855" s="37"/>
      <c r="BD855" s="37" t="s">
        <v>1124</v>
      </c>
      <c r="BE855" s="37"/>
      <c r="BF855" s="37"/>
      <c r="BG855" s="37"/>
      <c r="BH855" s="37"/>
      <c r="BI855" s="37"/>
      <c r="BJ855" s="37"/>
      <c r="BK855" s="37"/>
      <c r="BL855" s="37"/>
      <c r="BM855" s="37"/>
      <c r="BN855" s="37"/>
      <c r="BO855" s="37"/>
      <c r="BP855" s="37">
        <v>0</v>
      </c>
      <c r="BQ855" s="37"/>
      <c r="BR855" s="37"/>
      <c r="BS855" s="37"/>
      <c r="BT855" s="37"/>
      <c r="BU855" s="37"/>
      <c r="BV855" s="37"/>
      <c r="BW855" s="37"/>
      <c r="BX855" s="37"/>
      <c r="BY855" s="37"/>
      <c r="BZ855" s="37"/>
      <c r="CA855" s="37"/>
      <c r="CB855" s="37" t="s">
        <v>1124</v>
      </c>
      <c r="CC855" s="37"/>
      <c r="CD855" s="37"/>
      <c r="CE855" s="37"/>
      <c r="CF855" s="37"/>
      <c r="CG855" s="37"/>
      <c r="CH855" s="37"/>
      <c r="CI855" s="37"/>
      <c r="CJ855" s="37"/>
      <c r="CK855" s="37"/>
      <c r="CL855" s="37"/>
      <c r="CM855" s="37"/>
      <c r="CN855" s="37" t="s">
        <v>1124</v>
      </c>
      <c r="CO855" s="37"/>
      <c r="CP855" s="37"/>
      <c r="CQ855" s="37"/>
      <c r="CR855" s="37"/>
      <c r="CS855" s="37"/>
      <c r="CT855" s="37"/>
      <c r="CU855" s="37"/>
      <c r="CV855" s="37"/>
      <c r="CW855" s="37"/>
      <c r="CX855" s="37"/>
      <c r="CY855" s="37"/>
      <c r="CZ855" s="37" t="s">
        <v>1124</v>
      </c>
      <c r="DA855" s="37"/>
      <c r="DB855" s="37"/>
      <c r="DC855" s="37"/>
      <c r="DD855" s="37"/>
      <c r="DE855" s="37"/>
      <c r="DF855" s="37"/>
      <c r="DG855" s="37"/>
      <c r="DH855" s="37"/>
      <c r="DI855" s="37"/>
      <c r="DJ855" s="37"/>
      <c r="DK855" s="37"/>
      <c r="DL855" s="37" t="s">
        <v>1124</v>
      </c>
      <c r="DM855" s="37"/>
      <c r="DN855" s="37"/>
      <c r="DO855" s="37"/>
      <c r="DP855" s="37"/>
      <c r="DQ855" s="37"/>
      <c r="DR855" s="37"/>
      <c r="DS855" s="37"/>
      <c r="DT855" s="37"/>
      <c r="DU855" s="37"/>
      <c r="DV855" s="37"/>
      <c r="DW855" s="37"/>
      <c r="DX855" s="37" t="s">
        <v>1124</v>
      </c>
      <c r="DY855" s="37"/>
      <c r="DZ855" s="37"/>
      <c r="EA855" s="37"/>
      <c r="EB855" s="37"/>
      <c r="EC855" s="37"/>
      <c r="ED855" s="37"/>
      <c r="EE855" s="37"/>
      <c r="EF855" s="37"/>
      <c r="EG855" s="37"/>
      <c r="EH855" s="37"/>
      <c r="EI855" s="37"/>
      <c r="EJ855" s="37" t="s">
        <v>1124</v>
      </c>
      <c r="EK855" s="161"/>
      <c r="EL855" s="294"/>
    </row>
    <row r="856" spans="1:142" ht="15" customHeight="1" x14ac:dyDescent="0.35">
      <c r="A856" s="34"/>
      <c r="B856" s="313">
        <v>27043</v>
      </c>
      <c r="C856" s="8" t="s">
        <v>182</v>
      </c>
      <c r="D856" s="18">
        <v>12</v>
      </c>
      <c r="E856" s="155">
        <v>550123</v>
      </c>
      <c r="F856" s="36">
        <v>1331515</v>
      </c>
      <c r="G856" s="37">
        <v>103546</v>
      </c>
      <c r="H856" s="37">
        <v>72318</v>
      </c>
      <c r="I856" s="37">
        <v>126368</v>
      </c>
      <c r="J856" s="37">
        <v>117898</v>
      </c>
      <c r="K856" s="37">
        <v>0</v>
      </c>
      <c r="L856" s="37">
        <v>0</v>
      </c>
      <c r="M856" s="37">
        <v>780037</v>
      </c>
      <c r="N856" s="37">
        <v>1521731</v>
      </c>
      <c r="O856" s="37">
        <v>0</v>
      </c>
      <c r="P856" s="37">
        <v>0</v>
      </c>
      <c r="Q856" s="37">
        <v>761818</v>
      </c>
      <c r="R856" s="37">
        <v>318974</v>
      </c>
      <c r="S856" s="37">
        <v>0</v>
      </c>
      <c r="T856" s="37">
        <v>320063</v>
      </c>
      <c r="U856" s="37">
        <v>125895</v>
      </c>
      <c r="V856" s="37">
        <v>0</v>
      </c>
      <c r="W856" s="37">
        <v>72711</v>
      </c>
      <c r="X856" s="37">
        <v>113452</v>
      </c>
      <c r="Y856" s="37">
        <v>105177.23999999999</v>
      </c>
      <c r="Z856" s="37">
        <v>571705.52</v>
      </c>
      <c r="AA856" s="37">
        <v>1065601.24</v>
      </c>
      <c r="AB856" s="37">
        <v>1324194.52</v>
      </c>
      <c r="AC856" s="37">
        <v>88027.759999999776</v>
      </c>
      <c r="AD856" s="37">
        <v>0</v>
      </c>
      <c r="AE856" s="37">
        <v>31</v>
      </c>
      <c r="AF856" s="168">
        <v>0.02</v>
      </c>
      <c r="AG856" s="37">
        <v>108467663.33</v>
      </c>
      <c r="AH856" s="37">
        <v>1888883.94</v>
      </c>
      <c r="AI856" s="37">
        <v>1293058.02</v>
      </c>
      <c r="AJ856" s="37">
        <v>1318919.18</v>
      </c>
      <c r="AK856" s="37">
        <v>1345297.56</v>
      </c>
      <c r="AL856" s="37">
        <v>1372203.51</v>
      </c>
      <c r="AM856" s="37">
        <v>1399647.58</v>
      </c>
      <c r="AN856" s="37">
        <v>1427640.54</v>
      </c>
      <c r="AO856" s="37">
        <v>1456193.35</v>
      </c>
      <c r="AP856" s="37">
        <v>1485317.21</v>
      </c>
      <c r="AQ856" s="37">
        <v>1515023.56</v>
      </c>
      <c r="AR856" s="37">
        <v>14502184.449999999</v>
      </c>
      <c r="AS856" s="37">
        <v>10864020</v>
      </c>
      <c r="AT856" s="37">
        <v>6413760</v>
      </c>
      <c r="AU856" s="37">
        <v>3958774.02</v>
      </c>
      <c r="AV856" s="37">
        <v>1938827.02</v>
      </c>
      <c r="AW856" s="37">
        <v>0</v>
      </c>
      <c r="AX856" s="37">
        <v>0</v>
      </c>
      <c r="AY856" s="37">
        <v>0</v>
      </c>
      <c r="AZ856" s="37">
        <v>0</v>
      </c>
      <c r="BA856" s="37">
        <v>0</v>
      </c>
      <c r="BB856" s="37">
        <v>0</v>
      </c>
      <c r="BC856" s="37">
        <v>0</v>
      </c>
      <c r="BD856" s="37">
        <v>12311361.039999999</v>
      </c>
      <c r="BE856" s="37">
        <v>0</v>
      </c>
      <c r="BF856" s="37">
        <v>284677.43359136884</v>
      </c>
      <c r="BG856" s="37">
        <v>306846.34513982915</v>
      </c>
      <c r="BH856" s="37">
        <v>377741.43163728993</v>
      </c>
      <c r="BI856" s="37">
        <v>448636.66963151237</v>
      </c>
      <c r="BJ856" s="37">
        <v>48726.174949000291</v>
      </c>
      <c r="BK856" s="37">
        <v>235951.25864236831</v>
      </c>
      <c r="BL856" s="37">
        <v>306846.34513982915</v>
      </c>
      <c r="BM856" s="37">
        <v>377741.43163728993</v>
      </c>
      <c r="BN856" s="37">
        <v>448636.66963151237</v>
      </c>
      <c r="BO856" s="37">
        <v>0</v>
      </c>
      <c r="BP856" s="37">
        <v>2835803.7600000007</v>
      </c>
      <c r="BQ856" s="37">
        <v>0</v>
      </c>
      <c r="BR856" s="37">
        <v>1038000</v>
      </c>
      <c r="BS856" s="37">
        <v>25000</v>
      </c>
      <c r="BT856" s="37">
        <v>25000</v>
      </c>
      <c r="BU856" s="37">
        <v>0</v>
      </c>
      <c r="BV856" s="37">
        <v>0</v>
      </c>
      <c r="BW856" s="37">
        <v>0</v>
      </c>
      <c r="BX856" s="37">
        <v>0</v>
      </c>
      <c r="BY856" s="37">
        <v>0</v>
      </c>
      <c r="BZ856" s="37">
        <v>0</v>
      </c>
      <c r="CA856" s="37">
        <v>0</v>
      </c>
      <c r="CB856" s="37">
        <v>1088000</v>
      </c>
      <c r="CC856" s="37">
        <v>0</v>
      </c>
      <c r="CD856" s="37">
        <v>0</v>
      </c>
      <c r="CE856" s="37">
        <v>0</v>
      </c>
      <c r="CF856" s="37">
        <v>0</v>
      </c>
      <c r="CG856" s="37">
        <v>0</v>
      </c>
      <c r="CH856" s="37">
        <v>0</v>
      </c>
      <c r="CI856" s="37">
        <v>0</v>
      </c>
      <c r="CJ856" s="37">
        <v>0</v>
      </c>
      <c r="CK856" s="37">
        <v>0</v>
      </c>
      <c r="CL856" s="37">
        <v>0</v>
      </c>
      <c r="CM856" s="37">
        <v>0</v>
      </c>
      <c r="CN856" s="37">
        <v>0</v>
      </c>
      <c r="CO856" s="37">
        <v>0</v>
      </c>
      <c r="CP856" s="37">
        <v>0</v>
      </c>
      <c r="CQ856" s="37">
        <v>0</v>
      </c>
      <c r="CR856" s="37">
        <v>0</v>
      </c>
      <c r="CS856" s="37">
        <v>0</v>
      </c>
      <c r="CT856" s="37">
        <v>0</v>
      </c>
      <c r="CU856" s="37">
        <v>0</v>
      </c>
      <c r="CV856" s="37">
        <v>0</v>
      </c>
      <c r="CW856" s="37">
        <v>0</v>
      </c>
      <c r="CX856" s="37">
        <v>0</v>
      </c>
      <c r="CY856" s="37">
        <v>0</v>
      </c>
      <c r="CZ856" s="37">
        <v>0</v>
      </c>
      <c r="DA856" s="37">
        <v>0</v>
      </c>
      <c r="DB856" s="37">
        <v>0</v>
      </c>
      <c r="DC856" s="37">
        <v>0</v>
      </c>
      <c r="DD856" s="37">
        <v>0</v>
      </c>
      <c r="DE856" s="37">
        <v>0</v>
      </c>
      <c r="DF856" s="37">
        <v>0</v>
      </c>
      <c r="DG856" s="37">
        <v>0</v>
      </c>
      <c r="DH856" s="37">
        <v>0</v>
      </c>
      <c r="DI856" s="37">
        <v>0</v>
      </c>
      <c r="DJ856" s="37">
        <v>0</v>
      </c>
      <c r="DK856" s="37">
        <v>0</v>
      </c>
      <c r="DL856" s="37">
        <v>0</v>
      </c>
      <c r="DM856" s="37">
        <v>0</v>
      </c>
      <c r="DN856" s="37">
        <v>0</v>
      </c>
      <c r="DO856" s="37">
        <v>0</v>
      </c>
      <c r="DP856" s="37">
        <v>0</v>
      </c>
      <c r="DQ856" s="37">
        <v>0</v>
      </c>
      <c r="DR856" s="37">
        <v>0</v>
      </c>
      <c r="DS856" s="37">
        <v>0</v>
      </c>
      <c r="DT856" s="37">
        <v>0</v>
      </c>
      <c r="DU856" s="37">
        <v>0</v>
      </c>
      <c r="DV856" s="37">
        <v>0</v>
      </c>
      <c r="DW856" s="37">
        <v>0</v>
      </c>
      <c r="DX856" s="37">
        <v>0</v>
      </c>
      <c r="DY856" s="37">
        <v>0</v>
      </c>
      <c r="DZ856" s="37">
        <v>0</v>
      </c>
      <c r="EA856" s="37">
        <v>0</v>
      </c>
      <c r="EB856" s="37">
        <v>0</v>
      </c>
      <c r="EC856" s="37">
        <v>0</v>
      </c>
      <c r="ED856" s="37">
        <v>0</v>
      </c>
      <c r="EE856" s="37">
        <v>0</v>
      </c>
      <c r="EF856" s="37">
        <v>0</v>
      </c>
      <c r="EG856" s="37">
        <v>0</v>
      </c>
      <c r="EH856" s="37">
        <v>0</v>
      </c>
      <c r="EI856" s="37">
        <v>0</v>
      </c>
      <c r="EJ856" s="37">
        <v>0</v>
      </c>
      <c r="EK856" s="161" t="s">
        <v>3179</v>
      </c>
      <c r="EL856" s="294" t="s">
        <v>1124</v>
      </c>
    </row>
    <row r="857" spans="1:142" ht="15" customHeight="1" x14ac:dyDescent="0.35">
      <c r="A857" s="34"/>
      <c r="B857" s="313">
        <v>31045</v>
      </c>
      <c r="C857" s="8" t="s">
        <v>244</v>
      </c>
      <c r="D857" s="18">
        <v>12</v>
      </c>
      <c r="E857" s="155">
        <v>95755</v>
      </c>
      <c r="F857" s="36">
        <v>121186</v>
      </c>
      <c r="G857" s="37">
        <v>11979</v>
      </c>
      <c r="H857" s="37">
        <v>4964</v>
      </c>
      <c r="I857" s="37">
        <v>33100</v>
      </c>
      <c r="J857" s="37">
        <v>4222</v>
      </c>
      <c r="K857" s="37">
        <v>14363.25</v>
      </c>
      <c r="L857" s="37">
        <v>18177.899999999998</v>
      </c>
      <c r="M857" s="37">
        <v>155197.25</v>
      </c>
      <c r="N857" s="37">
        <v>148549.9</v>
      </c>
      <c r="O857" s="37">
        <v>0</v>
      </c>
      <c r="P857" s="37">
        <v>0</v>
      </c>
      <c r="Q857" s="37">
        <v>85842</v>
      </c>
      <c r="R857" s="37">
        <v>112427</v>
      </c>
      <c r="S857" s="37">
        <v>0</v>
      </c>
      <c r="T857" s="37">
        <v>0</v>
      </c>
      <c r="U857" s="37">
        <v>10409</v>
      </c>
      <c r="V857" s="37">
        <v>0</v>
      </c>
      <c r="W857" s="37">
        <v>122097.25</v>
      </c>
      <c r="X857" s="37">
        <v>144327.9</v>
      </c>
      <c r="Y857" s="37">
        <v>0</v>
      </c>
      <c r="Z857" s="37">
        <v>0</v>
      </c>
      <c r="AA857" s="37">
        <v>218348.25</v>
      </c>
      <c r="AB857" s="37">
        <v>256754.9</v>
      </c>
      <c r="AC857" s="37">
        <v>171356</v>
      </c>
      <c r="AD857" s="37">
        <v>0</v>
      </c>
      <c r="AE857" s="37">
        <v>0</v>
      </c>
      <c r="AF857" s="168">
        <v>0.02</v>
      </c>
      <c r="AG857" s="37">
        <v>28614612.800000001</v>
      </c>
      <c r="AH857" s="37">
        <v>197036.06</v>
      </c>
      <c r="AI857" s="37">
        <v>200976.78</v>
      </c>
      <c r="AJ857" s="37">
        <v>204996.32</v>
      </c>
      <c r="AK857" s="37">
        <v>209096.24</v>
      </c>
      <c r="AL857" s="37">
        <v>213278.17</v>
      </c>
      <c r="AM857" s="37">
        <v>228805.35</v>
      </c>
      <c r="AN857" s="37">
        <v>221894.61</v>
      </c>
      <c r="AO857" s="37">
        <v>226332.5</v>
      </c>
      <c r="AP857" s="37">
        <v>230859.15</v>
      </c>
      <c r="AQ857" s="37">
        <v>235476.33</v>
      </c>
      <c r="AR857" s="37">
        <v>2168751.5100000002</v>
      </c>
      <c r="AS857" s="37">
        <v>3482830.25</v>
      </c>
      <c r="AT857" s="37">
        <v>0</v>
      </c>
      <c r="AU857" s="37">
        <v>26010</v>
      </c>
      <c r="AV857" s="37">
        <v>26530.2</v>
      </c>
      <c r="AW857" s="37">
        <v>0</v>
      </c>
      <c r="AX857" s="37">
        <v>0</v>
      </c>
      <c r="AY857" s="37">
        <v>0</v>
      </c>
      <c r="AZ857" s="37">
        <v>0</v>
      </c>
      <c r="BA857" s="37">
        <v>0</v>
      </c>
      <c r="BB857" s="37">
        <v>0</v>
      </c>
      <c r="BC857" s="37">
        <v>0</v>
      </c>
      <c r="BD857" s="37">
        <v>52540.2</v>
      </c>
      <c r="BE857" s="37">
        <v>272649</v>
      </c>
      <c r="BF857" s="37">
        <v>18500.25</v>
      </c>
      <c r="BG857" s="37">
        <v>0</v>
      </c>
      <c r="BH857" s="37">
        <v>0</v>
      </c>
      <c r="BI857" s="37">
        <v>700000</v>
      </c>
      <c r="BJ857" s="37">
        <v>0</v>
      </c>
      <c r="BK857" s="37">
        <v>0</v>
      </c>
      <c r="BL857" s="37">
        <v>0</v>
      </c>
      <c r="BM857" s="37">
        <v>0</v>
      </c>
      <c r="BN857" s="37">
        <v>0</v>
      </c>
      <c r="BO857" s="37">
        <v>0</v>
      </c>
      <c r="BP857" s="37">
        <v>718500.25</v>
      </c>
      <c r="BQ857" s="37">
        <v>0</v>
      </c>
      <c r="BR857" s="37">
        <v>0</v>
      </c>
      <c r="BS857" s="37">
        <v>0</v>
      </c>
      <c r="BT857" s="37">
        <v>0</v>
      </c>
      <c r="BU857" s="37">
        <v>0</v>
      </c>
      <c r="BV857" s="37">
        <v>0</v>
      </c>
      <c r="BW857" s="37">
        <v>0</v>
      </c>
      <c r="BX857" s="37">
        <v>0</v>
      </c>
      <c r="BY857" s="37">
        <v>0</v>
      </c>
      <c r="BZ857" s="37">
        <v>0</v>
      </c>
      <c r="CA857" s="37">
        <v>0</v>
      </c>
      <c r="CB857" s="37">
        <v>0</v>
      </c>
      <c r="CC857" s="37">
        <v>90883</v>
      </c>
      <c r="CD857" s="37">
        <v>6166.75</v>
      </c>
      <c r="CE857" s="37">
        <v>0</v>
      </c>
      <c r="CF857" s="37">
        <v>0</v>
      </c>
      <c r="CG857" s="37">
        <v>0</v>
      </c>
      <c r="CH857" s="37">
        <v>0</v>
      </c>
      <c r="CI857" s="37">
        <v>0</v>
      </c>
      <c r="CJ857" s="37">
        <v>0</v>
      </c>
      <c r="CK857" s="37">
        <v>0</v>
      </c>
      <c r="CL857" s="37">
        <v>0</v>
      </c>
      <c r="CM857" s="37">
        <v>0</v>
      </c>
      <c r="CN857" s="37">
        <v>6166.75</v>
      </c>
      <c r="CO857" s="37">
        <v>0</v>
      </c>
      <c r="CP857" s="37">
        <v>0</v>
      </c>
      <c r="CQ857" s="37">
        <v>0</v>
      </c>
      <c r="CR857" s="37">
        <v>0</v>
      </c>
      <c r="CS857" s="37">
        <v>0</v>
      </c>
      <c r="CT857" s="37">
        <v>0</v>
      </c>
      <c r="CU857" s="37">
        <v>0</v>
      </c>
      <c r="CV857" s="37">
        <v>0</v>
      </c>
      <c r="CW857" s="37">
        <v>0</v>
      </c>
      <c r="CX857" s="37">
        <v>0</v>
      </c>
      <c r="CY857" s="37">
        <v>0</v>
      </c>
      <c r="CZ857" s="37">
        <v>0</v>
      </c>
      <c r="DA857" s="37">
        <v>0</v>
      </c>
      <c r="DB857" s="37">
        <v>0</v>
      </c>
      <c r="DC857" s="37">
        <v>0</v>
      </c>
      <c r="DD857" s="37">
        <v>0</v>
      </c>
      <c r="DE857" s="37">
        <v>0</v>
      </c>
      <c r="DF857" s="37">
        <v>0</v>
      </c>
      <c r="DG857" s="37">
        <v>0</v>
      </c>
      <c r="DH857" s="37">
        <v>0</v>
      </c>
      <c r="DI857" s="37">
        <v>0</v>
      </c>
      <c r="DJ857" s="37">
        <v>0</v>
      </c>
      <c r="DK857" s="37">
        <v>0</v>
      </c>
      <c r="DL857" s="37">
        <v>0</v>
      </c>
      <c r="DM857" s="37">
        <v>0</v>
      </c>
      <c r="DN857" s="37">
        <v>0</v>
      </c>
      <c r="DO857" s="37">
        <v>0</v>
      </c>
      <c r="DP857" s="37">
        <v>0</v>
      </c>
      <c r="DQ857" s="37">
        <v>0</v>
      </c>
      <c r="DR857" s="37">
        <v>0</v>
      </c>
      <c r="DS857" s="37">
        <v>0</v>
      </c>
      <c r="DT857" s="37">
        <v>0</v>
      </c>
      <c r="DU857" s="37">
        <v>0</v>
      </c>
      <c r="DV857" s="37">
        <v>0</v>
      </c>
      <c r="DW857" s="37">
        <v>0</v>
      </c>
      <c r="DX857" s="37">
        <v>0</v>
      </c>
      <c r="DY857" s="37">
        <v>0</v>
      </c>
      <c r="DZ857" s="37">
        <v>0</v>
      </c>
      <c r="EA857" s="37">
        <v>0</v>
      </c>
      <c r="EB857" s="37">
        <v>0</v>
      </c>
      <c r="EC857" s="37">
        <v>0</v>
      </c>
      <c r="ED857" s="37">
        <v>0</v>
      </c>
      <c r="EE857" s="37">
        <v>0</v>
      </c>
      <c r="EF857" s="37">
        <v>0</v>
      </c>
      <c r="EG857" s="37">
        <v>0</v>
      </c>
      <c r="EH857" s="37">
        <v>0</v>
      </c>
      <c r="EI857" s="37">
        <v>0</v>
      </c>
      <c r="EJ857" s="37">
        <v>0</v>
      </c>
      <c r="EK857" s="161" t="s">
        <v>1124</v>
      </c>
      <c r="EL857" s="294" t="s">
        <v>1124</v>
      </c>
    </row>
    <row r="858" spans="1:142" ht="15" customHeight="1" x14ac:dyDescent="0.35">
      <c r="A858" s="34"/>
      <c r="B858" s="313">
        <v>14030</v>
      </c>
      <c r="C858" s="8" t="s">
        <v>64</v>
      </c>
      <c r="D858" s="18">
        <v>1</v>
      </c>
      <c r="E858" s="155"/>
      <c r="F858" s="36"/>
      <c r="G858" s="37"/>
      <c r="H858" s="37"/>
      <c r="I858" s="37"/>
      <c r="J858" s="37"/>
      <c r="K858" s="37"/>
      <c r="L858" s="37"/>
      <c r="M858" s="37" t="s">
        <v>1124</v>
      </c>
      <c r="N858" s="37" t="s">
        <v>1124</v>
      </c>
      <c r="O858" s="37"/>
      <c r="P858" s="37"/>
      <c r="Q858" s="37"/>
      <c r="R858" s="37"/>
      <c r="S858" s="37"/>
      <c r="T858" s="37"/>
      <c r="U858" s="37"/>
      <c r="V858" s="37"/>
      <c r="W858" s="37"/>
      <c r="X858" s="37"/>
      <c r="Y858" s="37"/>
      <c r="Z858" s="37"/>
      <c r="AA858" s="37" t="s">
        <v>1124</v>
      </c>
      <c r="AB858" s="37" t="s">
        <v>1124</v>
      </c>
      <c r="AC858" s="37"/>
      <c r="AD858" s="37"/>
      <c r="AE858" s="37"/>
      <c r="AF858" s="168"/>
      <c r="AG858" s="37"/>
      <c r="AH858" s="37"/>
      <c r="AI858" s="37"/>
      <c r="AJ858" s="37"/>
      <c r="AK858" s="37"/>
      <c r="AL858" s="37"/>
      <c r="AM858" s="37"/>
      <c r="AN858" s="37"/>
      <c r="AO858" s="37"/>
      <c r="AP858" s="37"/>
      <c r="AQ858" s="37"/>
      <c r="AR858" s="37" t="s">
        <v>1124</v>
      </c>
      <c r="AS858" s="37"/>
      <c r="AT858" s="37"/>
      <c r="AU858" s="37"/>
      <c r="AV858" s="37"/>
      <c r="AW858" s="37"/>
      <c r="AX858" s="37"/>
      <c r="AY858" s="37"/>
      <c r="AZ858" s="37"/>
      <c r="BA858" s="37"/>
      <c r="BB858" s="37"/>
      <c r="BC858" s="37"/>
      <c r="BD858" s="37" t="s">
        <v>1124</v>
      </c>
      <c r="BE858" s="37"/>
      <c r="BF858" s="37"/>
      <c r="BG858" s="37"/>
      <c r="BH858" s="37"/>
      <c r="BI858" s="37"/>
      <c r="BJ858" s="37"/>
      <c r="BK858" s="37"/>
      <c r="BL858" s="37"/>
      <c r="BM858" s="37"/>
      <c r="BN858" s="37"/>
      <c r="BO858" s="37"/>
      <c r="BP858" s="37">
        <v>0</v>
      </c>
      <c r="BQ858" s="37"/>
      <c r="BR858" s="37"/>
      <c r="BS858" s="37"/>
      <c r="BT858" s="37"/>
      <c r="BU858" s="37"/>
      <c r="BV858" s="37"/>
      <c r="BW858" s="37"/>
      <c r="BX858" s="37"/>
      <c r="BY858" s="37"/>
      <c r="BZ858" s="37"/>
      <c r="CA858" s="37"/>
      <c r="CB858" s="37" t="s">
        <v>1124</v>
      </c>
      <c r="CC858" s="37"/>
      <c r="CD858" s="37"/>
      <c r="CE858" s="37"/>
      <c r="CF858" s="37"/>
      <c r="CG858" s="37"/>
      <c r="CH858" s="37"/>
      <c r="CI858" s="37"/>
      <c r="CJ858" s="37"/>
      <c r="CK858" s="37"/>
      <c r="CL858" s="37"/>
      <c r="CM858" s="37"/>
      <c r="CN858" s="37" t="s">
        <v>1124</v>
      </c>
      <c r="CO858" s="37"/>
      <c r="CP858" s="37"/>
      <c r="CQ858" s="37"/>
      <c r="CR858" s="37"/>
      <c r="CS858" s="37"/>
      <c r="CT858" s="37"/>
      <c r="CU858" s="37"/>
      <c r="CV858" s="37"/>
      <c r="CW858" s="37"/>
      <c r="CX858" s="37"/>
      <c r="CY858" s="37"/>
      <c r="CZ858" s="37" t="s">
        <v>1124</v>
      </c>
      <c r="DA858" s="37"/>
      <c r="DB858" s="37"/>
      <c r="DC858" s="37"/>
      <c r="DD858" s="37"/>
      <c r="DE858" s="37"/>
      <c r="DF858" s="37"/>
      <c r="DG858" s="37"/>
      <c r="DH858" s="37"/>
      <c r="DI858" s="37"/>
      <c r="DJ858" s="37"/>
      <c r="DK858" s="37"/>
      <c r="DL858" s="37" t="s">
        <v>1124</v>
      </c>
      <c r="DM858" s="37"/>
      <c r="DN858" s="37"/>
      <c r="DO858" s="37"/>
      <c r="DP858" s="37"/>
      <c r="DQ858" s="37"/>
      <c r="DR858" s="37"/>
      <c r="DS858" s="37"/>
      <c r="DT858" s="37"/>
      <c r="DU858" s="37"/>
      <c r="DV858" s="37"/>
      <c r="DW858" s="37"/>
      <c r="DX858" s="37" t="s">
        <v>1124</v>
      </c>
      <c r="DY858" s="37"/>
      <c r="DZ858" s="37"/>
      <c r="EA858" s="37"/>
      <c r="EB858" s="37"/>
      <c r="EC858" s="37"/>
      <c r="ED858" s="37"/>
      <c r="EE858" s="37"/>
      <c r="EF858" s="37"/>
      <c r="EG858" s="37"/>
      <c r="EH858" s="37"/>
      <c r="EI858" s="37"/>
      <c r="EJ858" s="37" t="s">
        <v>1124</v>
      </c>
      <c r="EK858" s="161"/>
      <c r="EL858" s="294"/>
    </row>
    <row r="859" spans="1:142" ht="15" customHeight="1" x14ac:dyDescent="0.35">
      <c r="A859" s="34"/>
      <c r="B859" s="313">
        <v>9070</v>
      </c>
      <c r="C859" s="8" t="s">
        <v>1109</v>
      </c>
      <c r="D859" s="18">
        <v>1</v>
      </c>
      <c r="E859" s="155"/>
      <c r="F859" s="36"/>
      <c r="G859" s="37"/>
      <c r="H859" s="37"/>
      <c r="I859" s="37"/>
      <c r="J859" s="37"/>
      <c r="K859" s="37"/>
      <c r="L859" s="37"/>
      <c r="M859" s="37" t="s">
        <v>1124</v>
      </c>
      <c r="N859" s="37" t="s">
        <v>1124</v>
      </c>
      <c r="O859" s="37"/>
      <c r="P859" s="37"/>
      <c r="Q859" s="37"/>
      <c r="R859" s="37"/>
      <c r="S859" s="37"/>
      <c r="T859" s="37"/>
      <c r="U859" s="37"/>
      <c r="V859" s="37"/>
      <c r="W859" s="37"/>
      <c r="X859" s="37"/>
      <c r="Y859" s="37"/>
      <c r="Z859" s="37"/>
      <c r="AA859" s="37" t="s">
        <v>1124</v>
      </c>
      <c r="AB859" s="37" t="s">
        <v>1124</v>
      </c>
      <c r="AC859" s="37"/>
      <c r="AD859" s="37"/>
      <c r="AE859" s="37"/>
      <c r="AF859" s="168"/>
      <c r="AG859" s="37"/>
      <c r="AH859" s="37"/>
      <c r="AI859" s="37"/>
      <c r="AJ859" s="37"/>
      <c r="AK859" s="37"/>
      <c r="AL859" s="37"/>
      <c r="AM859" s="37"/>
      <c r="AN859" s="37"/>
      <c r="AO859" s="37"/>
      <c r="AP859" s="37"/>
      <c r="AQ859" s="37"/>
      <c r="AR859" s="37" t="s">
        <v>1124</v>
      </c>
      <c r="AS859" s="37"/>
      <c r="AT859" s="37"/>
      <c r="AU859" s="37"/>
      <c r="AV859" s="37"/>
      <c r="AW859" s="37"/>
      <c r="AX859" s="37"/>
      <c r="AY859" s="37"/>
      <c r="AZ859" s="37"/>
      <c r="BA859" s="37"/>
      <c r="BB859" s="37"/>
      <c r="BC859" s="37"/>
      <c r="BD859" s="37" t="s">
        <v>1124</v>
      </c>
      <c r="BE859" s="37"/>
      <c r="BF859" s="37"/>
      <c r="BG859" s="37"/>
      <c r="BH859" s="37"/>
      <c r="BI859" s="37"/>
      <c r="BJ859" s="37"/>
      <c r="BK859" s="37"/>
      <c r="BL859" s="37"/>
      <c r="BM859" s="37"/>
      <c r="BN859" s="37"/>
      <c r="BO859" s="37"/>
      <c r="BP859" s="37">
        <v>0</v>
      </c>
      <c r="BQ859" s="37"/>
      <c r="BR859" s="37"/>
      <c r="BS859" s="37"/>
      <c r="BT859" s="37"/>
      <c r="BU859" s="37"/>
      <c r="BV859" s="37"/>
      <c r="BW859" s="37"/>
      <c r="BX859" s="37"/>
      <c r="BY859" s="37"/>
      <c r="BZ859" s="37"/>
      <c r="CA859" s="37"/>
      <c r="CB859" s="37" t="s">
        <v>1124</v>
      </c>
      <c r="CC859" s="37"/>
      <c r="CD859" s="37"/>
      <c r="CE859" s="37"/>
      <c r="CF859" s="37"/>
      <c r="CG859" s="37"/>
      <c r="CH859" s="37"/>
      <c r="CI859" s="37"/>
      <c r="CJ859" s="37"/>
      <c r="CK859" s="37"/>
      <c r="CL859" s="37"/>
      <c r="CM859" s="37"/>
      <c r="CN859" s="37" t="s">
        <v>1124</v>
      </c>
      <c r="CO859" s="37"/>
      <c r="CP859" s="37"/>
      <c r="CQ859" s="37"/>
      <c r="CR859" s="37"/>
      <c r="CS859" s="37"/>
      <c r="CT859" s="37"/>
      <c r="CU859" s="37"/>
      <c r="CV859" s="37"/>
      <c r="CW859" s="37"/>
      <c r="CX859" s="37"/>
      <c r="CY859" s="37"/>
      <c r="CZ859" s="37" t="s">
        <v>1124</v>
      </c>
      <c r="DA859" s="37"/>
      <c r="DB859" s="37"/>
      <c r="DC859" s="37"/>
      <c r="DD859" s="37"/>
      <c r="DE859" s="37"/>
      <c r="DF859" s="37"/>
      <c r="DG859" s="37"/>
      <c r="DH859" s="37"/>
      <c r="DI859" s="37"/>
      <c r="DJ859" s="37"/>
      <c r="DK859" s="37"/>
      <c r="DL859" s="37" t="s">
        <v>1124</v>
      </c>
      <c r="DM859" s="37"/>
      <c r="DN859" s="37"/>
      <c r="DO859" s="37"/>
      <c r="DP859" s="37"/>
      <c r="DQ859" s="37"/>
      <c r="DR859" s="37"/>
      <c r="DS859" s="37"/>
      <c r="DT859" s="37"/>
      <c r="DU859" s="37"/>
      <c r="DV859" s="37"/>
      <c r="DW859" s="37"/>
      <c r="DX859" s="37" t="s">
        <v>1124</v>
      </c>
      <c r="DY859" s="37"/>
      <c r="DZ859" s="37"/>
      <c r="EA859" s="37"/>
      <c r="EB859" s="37"/>
      <c r="EC859" s="37"/>
      <c r="ED859" s="37"/>
      <c r="EE859" s="37"/>
      <c r="EF859" s="37"/>
      <c r="EG859" s="37"/>
      <c r="EH859" s="37"/>
      <c r="EI859" s="37"/>
      <c r="EJ859" s="37" t="s">
        <v>1124</v>
      </c>
      <c r="EK859" s="161"/>
      <c r="EL859" s="294"/>
    </row>
    <row r="860" spans="1:142" ht="15" customHeight="1" x14ac:dyDescent="0.35">
      <c r="A860" s="34"/>
      <c r="B860" s="313">
        <v>27050</v>
      </c>
      <c r="C860" s="8" t="s">
        <v>183</v>
      </c>
      <c r="D860" s="18">
        <v>12</v>
      </c>
      <c r="E860" s="155"/>
      <c r="F860" s="36"/>
      <c r="G860" s="37"/>
      <c r="H860" s="37"/>
      <c r="I860" s="37"/>
      <c r="J860" s="37"/>
      <c r="K860" s="37"/>
      <c r="L860" s="37"/>
      <c r="M860" s="37" t="s">
        <v>1124</v>
      </c>
      <c r="N860" s="37" t="s">
        <v>1124</v>
      </c>
      <c r="O860" s="37"/>
      <c r="P860" s="37"/>
      <c r="Q860" s="37"/>
      <c r="R860" s="37"/>
      <c r="S860" s="37"/>
      <c r="T860" s="37"/>
      <c r="U860" s="37"/>
      <c r="V860" s="37"/>
      <c r="W860" s="37"/>
      <c r="X860" s="37"/>
      <c r="Y860" s="37"/>
      <c r="Z860" s="37"/>
      <c r="AA860" s="37" t="s">
        <v>1124</v>
      </c>
      <c r="AB860" s="37" t="s">
        <v>1124</v>
      </c>
      <c r="AC860" s="37"/>
      <c r="AD860" s="37"/>
      <c r="AE860" s="37"/>
      <c r="AF860" s="168"/>
      <c r="AG860" s="37"/>
      <c r="AH860" s="37"/>
      <c r="AI860" s="37"/>
      <c r="AJ860" s="37"/>
      <c r="AK860" s="37"/>
      <c r="AL860" s="37"/>
      <c r="AM860" s="37"/>
      <c r="AN860" s="37"/>
      <c r="AO860" s="37"/>
      <c r="AP860" s="37"/>
      <c r="AQ860" s="37"/>
      <c r="AR860" s="37" t="s">
        <v>1124</v>
      </c>
      <c r="AS860" s="37"/>
      <c r="AT860" s="37"/>
      <c r="AU860" s="37"/>
      <c r="AV860" s="37"/>
      <c r="AW860" s="37"/>
      <c r="AX860" s="37"/>
      <c r="AY860" s="37"/>
      <c r="AZ860" s="37"/>
      <c r="BA860" s="37"/>
      <c r="BB860" s="37"/>
      <c r="BC860" s="37"/>
      <c r="BD860" s="37" t="s">
        <v>1124</v>
      </c>
      <c r="BE860" s="37"/>
      <c r="BF860" s="37"/>
      <c r="BG860" s="37"/>
      <c r="BH860" s="37"/>
      <c r="BI860" s="37"/>
      <c r="BJ860" s="37"/>
      <c r="BK860" s="37"/>
      <c r="BL860" s="37"/>
      <c r="BM860" s="37"/>
      <c r="BN860" s="37"/>
      <c r="BO860" s="37"/>
      <c r="BP860" s="37">
        <v>0</v>
      </c>
      <c r="BQ860" s="37"/>
      <c r="BR860" s="37"/>
      <c r="BS860" s="37"/>
      <c r="BT860" s="37"/>
      <c r="BU860" s="37"/>
      <c r="BV860" s="37"/>
      <c r="BW860" s="37"/>
      <c r="BX860" s="37"/>
      <c r="BY860" s="37"/>
      <c r="BZ860" s="37"/>
      <c r="CA860" s="37"/>
      <c r="CB860" s="37" t="s">
        <v>1124</v>
      </c>
      <c r="CC860" s="37"/>
      <c r="CD860" s="37"/>
      <c r="CE860" s="37"/>
      <c r="CF860" s="37"/>
      <c r="CG860" s="37"/>
      <c r="CH860" s="37"/>
      <c r="CI860" s="37"/>
      <c r="CJ860" s="37"/>
      <c r="CK860" s="37"/>
      <c r="CL860" s="37"/>
      <c r="CM860" s="37"/>
      <c r="CN860" s="37" t="s">
        <v>1124</v>
      </c>
      <c r="CO860" s="37"/>
      <c r="CP860" s="37"/>
      <c r="CQ860" s="37"/>
      <c r="CR860" s="37"/>
      <c r="CS860" s="37"/>
      <c r="CT860" s="37"/>
      <c r="CU860" s="37"/>
      <c r="CV860" s="37"/>
      <c r="CW860" s="37"/>
      <c r="CX860" s="37"/>
      <c r="CY860" s="37"/>
      <c r="CZ860" s="37" t="s">
        <v>1124</v>
      </c>
      <c r="DA860" s="37"/>
      <c r="DB860" s="37"/>
      <c r="DC860" s="37"/>
      <c r="DD860" s="37"/>
      <c r="DE860" s="37"/>
      <c r="DF860" s="37"/>
      <c r="DG860" s="37"/>
      <c r="DH860" s="37"/>
      <c r="DI860" s="37"/>
      <c r="DJ860" s="37"/>
      <c r="DK860" s="37"/>
      <c r="DL860" s="37" t="s">
        <v>1124</v>
      </c>
      <c r="DM860" s="37"/>
      <c r="DN860" s="37"/>
      <c r="DO860" s="37"/>
      <c r="DP860" s="37"/>
      <c r="DQ860" s="37"/>
      <c r="DR860" s="37"/>
      <c r="DS860" s="37"/>
      <c r="DT860" s="37"/>
      <c r="DU860" s="37"/>
      <c r="DV860" s="37"/>
      <c r="DW860" s="37"/>
      <c r="DX860" s="37" t="s">
        <v>1124</v>
      </c>
      <c r="DY860" s="37"/>
      <c r="DZ860" s="37"/>
      <c r="EA860" s="37"/>
      <c r="EB860" s="37"/>
      <c r="EC860" s="37"/>
      <c r="ED860" s="37"/>
      <c r="EE860" s="37"/>
      <c r="EF860" s="37"/>
      <c r="EG860" s="37"/>
      <c r="EH860" s="37"/>
      <c r="EI860" s="37"/>
      <c r="EJ860" s="37" t="s">
        <v>1124</v>
      </c>
      <c r="EK860" s="161"/>
      <c r="EL860" s="294"/>
    </row>
    <row r="861" spans="1:142" ht="15" customHeight="1" x14ac:dyDescent="0.35">
      <c r="A861" s="34"/>
      <c r="B861" s="313">
        <v>53050</v>
      </c>
      <c r="C861" s="8" t="s">
        <v>537</v>
      </c>
      <c r="D861" s="18">
        <v>16</v>
      </c>
      <c r="E861" s="155"/>
      <c r="F861" s="36"/>
      <c r="G861" s="37"/>
      <c r="H861" s="37"/>
      <c r="I861" s="37"/>
      <c r="J861" s="37"/>
      <c r="K861" s="37"/>
      <c r="L861" s="37"/>
      <c r="M861" s="37" t="s">
        <v>1124</v>
      </c>
      <c r="N861" s="37" t="s">
        <v>1124</v>
      </c>
      <c r="O861" s="37"/>
      <c r="P861" s="37"/>
      <c r="Q861" s="37"/>
      <c r="R861" s="37"/>
      <c r="S861" s="37"/>
      <c r="T861" s="37"/>
      <c r="U861" s="37"/>
      <c r="V861" s="37"/>
      <c r="W861" s="37"/>
      <c r="X861" s="37"/>
      <c r="Y861" s="37"/>
      <c r="Z861" s="37"/>
      <c r="AA861" s="37" t="s">
        <v>1124</v>
      </c>
      <c r="AB861" s="37" t="s">
        <v>1124</v>
      </c>
      <c r="AC861" s="37"/>
      <c r="AD861" s="37"/>
      <c r="AE861" s="37"/>
      <c r="AF861" s="168"/>
      <c r="AG861" s="37"/>
      <c r="AH861" s="37"/>
      <c r="AI861" s="37"/>
      <c r="AJ861" s="37"/>
      <c r="AK861" s="37"/>
      <c r="AL861" s="37"/>
      <c r="AM861" s="37"/>
      <c r="AN861" s="37"/>
      <c r="AO861" s="37"/>
      <c r="AP861" s="37"/>
      <c r="AQ861" s="37"/>
      <c r="AR861" s="37" t="s">
        <v>1124</v>
      </c>
      <c r="AS861" s="37"/>
      <c r="AT861" s="37"/>
      <c r="AU861" s="37"/>
      <c r="AV861" s="37"/>
      <c r="AW861" s="37"/>
      <c r="AX861" s="37"/>
      <c r="AY861" s="37"/>
      <c r="AZ861" s="37"/>
      <c r="BA861" s="37"/>
      <c r="BB861" s="37"/>
      <c r="BC861" s="37"/>
      <c r="BD861" s="37" t="s">
        <v>1124</v>
      </c>
      <c r="BE861" s="37"/>
      <c r="BF861" s="37"/>
      <c r="BG861" s="37"/>
      <c r="BH861" s="37"/>
      <c r="BI861" s="37"/>
      <c r="BJ861" s="37"/>
      <c r="BK861" s="37"/>
      <c r="BL861" s="37"/>
      <c r="BM861" s="37"/>
      <c r="BN861" s="37"/>
      <c r="BO861" s="37"/>
      <c r="BP861" s="37">
        <v>0</v>
      </c>
      <c r="BQ861" s="37"/>
      <c r="BR861" s="37"/>
      <c r="BS861" s="37"/>
      <c r="BT861" s="37"/>
      <c r="BU861" s="37"/>
      <c r="BV861" s="37"/>
      <c r="BW861" s="37"/>
      <c r="BX861" s="37"/>
      <c r="BY861" s="37"/>
      <c r="BZ861" s="37"/>
      <c r="CA861" s="37"/>
      <c r="CB861" s="37" t="s">
        <v>1124</v>
      </c>
      <c r="CC861" s="37"/>
      <c r="CD861" s="37"/>
      <c r="CE861" s="37"/>
      <c r="CF861" s="37"/>
      <c r="CG861" s="37"/>
      <c r="CH861" s="37"/>
      <c r="CI861" s="37"/>
      <c r="CJ861" s="37"/>
      <c r="CK861" s="37"/>
      <c r="CL861" s="37"/>
      <c r="CM861" s="37"/>
      <c r="CN861" s="37" t="s">
        <v>1124</v>
      </c>
      <c r="CO861" s="37"/>
      <c r="CP861" s="37"/>
      <c r="CQ861" s="37"/>
      <c r="CR861" s="37"/>
      <c r="CS861" s="37"/>
      <c r="CT861" s="37"/>
      <c r="CU861" s="37"/>
      <c r="CV861" s="37"/>
      <c r="CW861" s="37"/>
      <c r="CX861" s="37"/>
      <c r="CY861" s="37"/>
      <c r="CZ861" s="37" t="s">
        <v>1124</v>
      </c>
      <c r="DA861" s="37"/>
      <c r="DB861" s="37"/>
      <c r="DC861" s="37"/>
      <c r="DD861" s="37"/>
      <c r="DE861" s="37"/>
      <c r="DF861" s="37"/>
      <c r="DG861" s="37"/>
      <c r="DH861" s="37"/>
      <c r="DI861" s="37"/>
      <c r="DJ861" s="37"/>
      <c r="DK861" s="37"/>
      <c r="DL861" s="37" t="s">
        <v>1124</v>
      </c>
      <c r="DM861" s="37"/>
      <c r="DN861" s="37"/>
      <c r="DO861" s="37"/>
      <c r="DP861" s="37"/>
      <c r="DQ861" s="37"/>
      <c r="DR861" s="37"/>
      <c r="DS861" s="37"/>
      <c r="DT861" s="37"/>
      <c r="DU861" s="37"/>
      <c r="DV861" s="37"/>
      <c r="DW861" s="37"/>
      <c r="DX861" s="37" t="s">
        <v>1124</v>
      </c>
      <c r="DY861" s="37"/>
      <c r="DZ861" s="37"/>
      <c r="EA861" s="37"/>
      <c r="EB861" s="37"/>
      <c r="EC861" s="37"/>
      <c r="ED861" s="37"/>
      <c r="EE861" s="37"/>
      <c r="EF861" s="37"/>
      <c r="EG861" s="37"/>
      <c r="EH861" s="37"/>
      <c r="EI861" s="37"/>
      <c r="EJ861" s="37" t="s">
        <v>1124</v>
      </c>
      <c r="EK861" s="161"/>
      <c r="EL861" s="294"/>
    </row>
    <row r="862" spans="1:142" ht="15" customHeight="1" x14ac:dyDescent="0.35">
      <c r="A862" s="34"/>
      <c r="B862" s="313">
        <v>72025</v>
      </c>
      <c r="C862" s="8" t="s">
        <v>731</v>
      </c>
      <c r="D862" s="18">
        <v>15</v>
      </c>
      <c r="E862" s="155">
        <v>586729</v>
      </c>
      <c r="F862" s="36">
        <v>486191</v>
      </c>
      <c r="G862" s="37">
        <v>50269</v>
      </c>
      <c r="H862" s="37">
        <v>17630</v>
      </c>
      <c r="I862" s="37">
        <v>160900</v>
      </c>
      <c r="J862" s="37">
        <v>0</v>
      </c>
      <c r="K862" s="37">
        <v>88009.349999999991</v>
      </c>
      <c r="L862" s="37">
        <v>72928.649999999994</v>
      </c>
      <c r="M862" s="37">
        <v>885907.35</v>
      </c>
      <c r="N862" s="37">
        <v>576749.65</v>
      </c>
      <c r="O862" s="37">
        <v>38214</v>
      </c>
      <c r="P862" s="37">
        <v>0</v>
      </c>
      <c r="Q862" s="37">
        <v>281295</v>
      </c>
      <c r="R862" s="37">
        <v>238140</v>
      </c>
      <c r="S862" s="37">
        <v>119064</v>
      </c>
      <c r="T862" s="37">
        <v>40672</v>
      </c>
      <c r="U862" s="37">
        <v>4641</v>
      </c>
      <c r="V862" s="37">
        <v>9334</v>
      </c>
      <c r="W862" s="37">
        <v>442693</v>
      </c>
      <c r="X862" s="37">
        <v>418429</v>
      </c>
      <c r="Y862" s="37">
        <v>0</v>
      </c>
      <c r="Z862" s="37">
        <v>0</v>
      </c>
      <c r="AA862" s="37">
        <v>885907</v>
      </c>
      <c r="AB862" s="37">
        <v>706575</v>
      </c>
      <c r="AC862" s="37">
        <v>129825</v>
      </c>
      <c r="AD862" s="37">
        <v>0</v>
      </c>
      <c r="AE862" s="37">
        <v>0</v>
      </c>
      <c r="AF862" s="168">
        <v>0.02</v>
      </c>
      <c r="AG862" s="37">
        <v>105678440.84</v>
      </c>
      <c r="AH862" s="37">
        <v>1086639.18</v>
      </c>
      <c r="AI862" s="37">
        <v>1108371.96</v>
      </c>
      <c r="AJ862" s="37">
        <v>1130539.3999999999</v>
      </c>
      <c r="AK862" s="37">
        <v>1153150.19</v>
      </c>
      <c r="AL862" s="37">
        <v>1176213.2</v>
      </c>
      <c r="AM862" s="37">
        <v>1199737.46</v>
      </c>
      <c r="AN862" s="37">
        <v>1223732.21</v>
      </c>
      <c r="AO862" s="37">
        <v>1248206.8500000001</v>
      </c>
      <c r="AP862" s="37">
        <v>1273170.99</v>
      </c>
      <c r="AQ862" s="37">
        <v>1298634.4099999999</v>
      </c>
      <c r="AR862" s="37">
        <v>11898395.850000001</v>
      </c>
      <c r="AS862" s="37">
        <v>0</v>
      </c>
      <c r="AT862" s="37">
        <v>1466159.73</v>
      </c>
      <c r="AU862" s="37">
        <v>1495482.92</v>
      </c>
      <c r="AV862" s="37">
        <v>0</v>
      </c>
      <c r="AW862" s="37">
        <v>0</v>
      </c>
      <c r="AX862" s="37">
        <v>0</v>
      </c>
      <c r="AY862" s="37">
        <v>0</v>
      </c>
      <c r="AZ862" s="37">
        <v>0</v>
      </c>
      <c r="BA862" s="37">
        <v>0</v>
      </c>
      <c r="BB862" s="37">
        <v>0</v>
      </c>
      <c r="BC862" s="37">
        <v>0</v>
      </c>
      <c r="BD862" s="37">
        <v>2961642.65</v>
      </c>
      <c r="BE862" s="37">
        <v>0</v>
      </c>
      <c r="BF862" s="37">
        <v>0</v>
      </c>
      <c r="BG862" s="37">
        <v>0</v>
      </c>
      <c r="BH862" s="37">
        <v>0</v>
      </c>
      <c r="BI862" s="37">
        <v>0</v>
      </c>
      <c r="BJ862" s="37">
        <v>0</v>
      </c>
      <c r="BK862" s="37">
        <v>0</v>
      </c>
      <c r="BL862" s="37">
        <v>0</v>
      </c>
      <c r="BM862" s="37">
        <v>0</v>
      </c>
      <c r="BN862" s="37">
        <v>0</v>
      </c>
      <c r="BO862" s="37">
        <v>0</v>
      </c>
      <c r="BP862" s="37">
        <v>0</v>
      </c>
      <c r="BQ862" s="37">
        <v>0</v>
      </c>
      <c r="BR862" s="37">
        <v>0</v>
      </c>
      <c r="BS862" s="37">
        <v>0</v>
      </c>
      <c r="BT862" s="37">
        <v>0</v>
      </c>
      <c r="BU862" s="37">
        <v>0</v>
      </c>
      <c r="BV862" s="37">
        <v>0</v>
      </c>
      <c r="BW862" s="37">
        <v>0</v>
      </c>
      <c r="BX862" s="37">
        <v>0</v>
      </c>
      <c r="BY862" s="37">
        <v>0</v>
      </c>
      <c r="BZ862" s="37">
        <v>0</v>
      </c>
      <c r="CA862" s="37">
        <v>0</v>
      </c>
      <c r="CB862" s="37">
        <v>0</v>
      </c>
      <c r="CC862" s="37">
        <v>30662</v>
      </c>
      <c r="CD862" s="37">
        <v>0</v>
      </c>
      <c r="CE862" s="37">
        <v>0</v>
      </c>
      <c r="CF862" s="37">
        <v>0</v>
      </c>
      <c r="CG862" s="37">
        <v>0</v>
      </c>
      <c r="CH862" s="37">
        <v>0</v>
      </c>
      <c r="CI862" s="37">
        <v>0</v>
      </c>
      <c r="CJ862" s="37">
        <v>0</v>
      </c>
      <c r="CK862" s="37">
        <v>0</v>
      </c>
      <c r="CL862" s="37">
        <v>0</v>
      </c>
      <c r="CM862" s="37">
        <v>0</v>
      </c>
      <c r="CN862" s="37">
        <v>0</v>
      </c>
      <c r="CO862" s="37">
        <v>30000</v>
      </c>
      <c r="CP862" s="37">
        <v>2615200</v>
      </c>
      <c r="CQ862" s="37">
        <v>0</v>
      </c>
      <c r="CR862" s="37">
        <v>0</v>
      </c>
      <c r="CS862" s="37">
        <v>0</v>
      </c>
      <c r="CT862" s="37">
        <v>0</v>
      </c>
      <c r="CU862" s="37">
        <v>0</v>
      </c>
      <c r="CV862" s="37">
        <v>0</v>
      </c>
      <c r="CW862" s="37">
        <v>0</v>
      </c>
      <c r="CX862" s="37">
        <v>0</v>
      </c>
      <c r="CY862" s="37">
        <v>0</v>
      </c>
      <c r="CZ862" s="37">
        <v>2615200</v>
      </c>
      <c r="DA862" s="37">
        <v>0</v>
      </c>
      <c r="DB862" s="37">
        <v>317317</v>
      </c>
      <c r="DC862" s="37">
        <v>0</v>
      </c>
      <c r="DD862" s="37">
        <v>0</v>
      </c>
      <c r="DE862" s="37">
        <v>0</v>
      </c>
      <c r="DF862" s="37">
        <v>0</v>
      </c>
      <c r="DG862" s="37">
        <v>0</v>
      </c>
      <c r="DH862" s="37">
        <v>0</v>
      </c>
      <c r="DI862" s="37">
        <v>0</v>
      </c>
      <c r="DJ862" s="37">
        <v>0</v>
      </c>
      <c r="DK862" s="37">
        <v>0</v>
      </c>
      <c r="DL862" s="37">
        <v>317317</v>
      </c>
      <c r="DM862" s="37">
        <v>20000</v>
      </c>
      <c r="DN862" s="37">
        <v>0</v>
      </c>
      <c r="DO862" s="37">
        <v>0</v>
      </c>
      <c r="DP862" s="37">
        <v>0</v>
      </c>
      <c r="DQ862" s="37">
        <v>0</v>
      </c>
      <c r="DR862" s="37">
        <v>0</v>
      </c>
      <c r="DS862" s="37">
        <v>0</v>
      </c>
      <c r="DT862" s="37">
        <v>0</v>
      </c>
      <c r="DU862" s="37">
        <v>0</v>
      </c>
      <c r="DV862" s="37">
        <v>0</v>
      </c>
      <c r="DW862" s="37">
        <v>0</v>
      </c>
      <c r="DX862" s="37">
        <v>0</v>
      </c>
      <c r="DY862" s="37">
        <v>285939</v>
      </c>
      <c r="DZ862" s="37">
        <v>0</v>
      </c>
      <c r="EA862" s="37">
        <v>0</v>
      </c>
      <c r="EB862" s="37">
        <v>0</v>
      </c>
      <c r="EC862" s="37">
        <v>0</v>
      </c>
      <c r="ED862" s="37">
        <v>0</v>
      </c>
      <c r="EE862" s="37">
        <v>0</v>
      </c>
      <c r="EF862" s="37">
        <v>0</v>
      </c>
      <c r="EG862" s="37">
        <v>0</v>
      </c>
      <c r="EH862" s="37">
        <v>0</v>
      </c>
      <c r="EI862" s="37">
        <v>0</v>
      </c>
      <c r="EJ862" s="37">
        <v>0</v>
      </c>
      <c r="EK862" s="161" t="s">
        <v>3182</v>
      </c>
      <c r="EL862" s="294" t="s">
        <v>1124</v>
      </c>
    </row>
    <row r="863" spans="1:142" ht="15" customHeight="1" x14ac:dyDescent="0.35">
      <c r="A863" s="34"/>
      <c r="B863" s="313">
        <v>54110</v>
      </c>
      <c r="C863" s="8" t="s">
        <v>555</v>
      </c>
      <c r="D863" s="18">
        <v>16</v>
      </c>
      <c r="E863" s="155"/>
      <c r="F863" s="36"/>
      <c r="G863" s="37"/>
      <c r="H863" s="37"/>
      <c r="I863" s="37"/>
      <c r="J863" s="37"/>
      <c r="K863" s="37"/>
      <c r="L863" s="37"/>
      <c r="M863" s="37" t="s">
        <v>1124</v>
      </c>
      <c r="N863" s="37" t="s">
        <v>1124</v>
      </c>
      <c r="O863" s="37"/>
      <c r="P863" s="37"/>
      <c r="Q863" s="37"/>
      <c r="R863" s="37"/>
      <c r="S863" s="37"/>
      <c r="T863" s="37"/>
      <c r="U863" s="37"/>
      <c r="V863" s="37"/>
      <c r="W863" s="37"/>
      <c r="X863" s="37"/>
      <c r="Y863" s="37"/>
      <c r="Z863" s="37"/>
      <c r="AA863" s="37" t="s">
        <v>1124</v>
      </c>
      <c r="AB863" s="37" t="s">
        <v>1124</v>
      </c>
      <c r="AC863" s="37"/>
      <c r="AD863" s="37"/>
      <c r="AE863" s="37"/>
      <c r="AF863" s="168"/>
      <c r="AG863" s="37"/>
      <c r="AH863" s="37"/>
      <c r="AI863" s="37"/>
      <c r="AJ863" s="37"/>
      <c r="AK863" s="37"/>
      <c r="AL863" s="37"/>
      <c r="AM863" s="37"/>
      <c r="AN863" s="37"/>
      <c r="AO863" s="37"/>
      <c r="AP863" s="37"/>
      <c r="AQ863" s="37"/>
      <c r="AR863" s="37" t="s">
        <v>1124</v>
      </c>
      <c r="AS863" s="37"/>
      <c r="AT863" s="37"/>
      <c r="AU863" s="37"/>
      <c r="AV863" s="37"/>
      <c r="AW863" s="37"/>
      <c r="AX863" s="37"/>
      <c r="AY863" s="37"/>
      <c r="AZ863" s="37"/>
      <c r="BA863" s="37"/>
      <c r="BB863" s="37"/>
      <c r="BC863" s="37"/>
      <c r="BD863" s="37" t="s">
        <v>1124</v>
      </c>
      <c r="BE863" s="37"/>
      <c r="BF863" s="37"/>
      <c r="BG863" s="37"/>
      <c r="BH863" s="37"/>
      <c r="BI863" s="37"/>
      <c r="BJ863" s="37"/>
      <c r="BK863" s="37"/>
      <c r="BL863" s="37"/>
      <c r="BM863" s="37"/>
      <c r="BN863" s="37"/>
      <c r="BO863" s="37"/>
      <c r="BP863" s="37">
        <v>0</v>
      </c>
      <c r="BQ863" s="37"/>
      <c r="BR863" s="37"/>
      <c r="BS863" s="37"/>
      <c r="BT863" s="37"/>
      <c r="BU863" s="37"/>
      <c r="BV863" s="37"/>
      <c r="BW863" s="37"/>
      <c r="BX863" s="37"/>
      <c r="BY863" s="37"/>
      <c r="BZ863" s="37"/>
      <c r="CA863" s="37"/>
      <c r="CB863" s="37" t="s">
        <v>1124</v>
      </c>
      <c r="CC863" s="37"/>
      <c r="CD863" s="37"/>
      <c r="CE863" s="37"/>
      <c r="CF863" s="37"/>
      <c r="CG863" s="37"/>
      <c r="CH863" s="37"/>
      <c r="CI863" s="37"/>
      <c r="CJ863" s="37"/>
      <c r="CK863" s="37"/>
      <c r="CL863" s="37"/>
      <c r="CM863" s="37"/>
      <c r="CN863" s="37" t="s">
        <v>1124</v>
      </c>
      <c r="CO863" s="37"/>
      <c r="CP863" s="37"/>
      <c r="CQ863" s="37"/>
      <c r="CR863" s="37"/>
      <c r="CS863" s="37"/>
      <c r="CT863" s="37"/>
      <c r="CU863" s="37"/>
      <c r="CV863" s="37"/>
      <c r="CW863" s="37"/>
      <c r="CX863" s="37"/>
      <c r="CY863" s="37"/>
      <c r="CZ863" s="37" t="s">
        <v>1124</v>
      </c>
      <c r="DA863" s="37"/>
      <c r="DB863" s="37"/>
      <c r="DC863" s="37"/>
      <c r="DD863" s="37"/>
      <c r="DE863" s="37"/>
      <c r="DF863" s="37"/>
      <c r="DG863" s="37"/>
      <c r="DH863" s="37"/>
      <c r="DI863" s="37"/>
      <c r="DJ863" s="37"/>
      <c r="DK863" s="37"/>
      <c r="DL863" s="37" t="s">
        <v>1124</v>
      </c>
      <c r="DM863" s="37"/>
      <c r="DN863" s="37"/>
      <c r="DO863" s="37"/>
      <c r="DP863" s="37"/>
      <c r="DQ863" s="37"/>
      <c r="DR863" s="37"/>
      <c r="DS863" s="37"/>
      <c r="DT863" s="37"/>
      <c r="DU863" s="37"/>
      <c r="DV863" s="37"/>
      <c r="DW863" s="37"/>
      <c r="DX863" s="37" t="s">
        <v>1124</v>
      </c>
      <c r="DY863" s="37"/>
      <c r="DZ863" s="37"/>
      <c r="EA863" s="37"/>
      <c r="EB863" s="37"/>
      <c r="EC863" s="37"/>
      <c r="ED863" s="37"/>
      <c r="EE863" s="37"/>
      <c r="EF863" s="37"/>
      <c r="EG863" s="37"/>
      <c r="EH863" s="37"/>
      <c r="EI863" s="37"/>
      <c r="EJ863" s="37" t="s">
        <v>1124</v>
      </c>
      <c r="EK863" s="161"/>
      <c r="EL863" s="294"/>
    </row>
    <row r="864" spans="1:142" ht="15" customHeight="1" x14ac:dyDescent="0.35">
      <c r="A864" s="34"/>
      <c r="B864" s="313">
        <v>27055</v>
      </c>
      <c r="C864" s="8" t="s">
        <v>184</v>
      </c>
      <c r="D864" s="18">
        <v>12</v>
      </c>
      <c r="E864" s="155">
        <v>12112</v>
      </c>
      <c r="F864" s="36">
        <v>42733</v>
      </c>
      <c r="G864" s="37">
        <v>267</v>
      </c>
      <c r="H864" s="37">
        <v>12433</v>
      </c>
      <c r="I864" s="37">
        <v>10633</v>
      </c>
      <c r="J864" s="37">
        <v>23500</v>
      </c>
      <c r="K864" s="37">
        <v>1816.8</v>
      </c>
      <c r="L864" s="37">
        <v>6409.95</v>
      </c>
      <c r="M864" s="37">
        <v>24828.799999999999</v>
      </c>
      <c r="N864" s="37">
        <v>85075.95</v>
      </c>
      <c r="O864" s="37">
        <v>0</v>
      </c>
      <c r="P864" s="37">
        <v>0</v>
      </c>
      <c r="Q864" s="37">
        <v>9300</v>
      </c>
      <c r="R864" s="37">
        <v>12075</v>
      </c>
      <c r="S864" s="37">
        <v>0</v>
      </c>
      <c r="T864" s="37">
        <v>1867</v>
      </c>
      <c r="U864" s="37">
        <v>0</v>
      </c>
      <c r="V864" s="37">
        <v>11079</v>
      </c>
      <c r="W864" s="37">
        <v>15528.8</v>
      </c>
      <c r="X864" s="37">
        <v>60054.95</v>
      </c>
      <c r="Y864" s="37">
        <v>0</v>
      </c>
      <c r="Z864" s="37">
        <v>0</v>
      </c>
      <c r="AA864" s="37">
        <v>24828.799999999999</v>
      </c>
      <c r="AB864" s="37">
        <v>85075.95</v>
      </c>
      <c r="AC864" s="37">
        <v>0</v>
      </c>
      <c r="AD864" s="37">
        <v>0</v>
      </c>
      <c r="AE864" s="37">
        <v>0</v>
      </c>
      <c r="AF864" s="168">
        <v>0.02</v>
      </c>
      <c r="AG864" s="37">
        <v>15660324.09</v>
      </c>
      <c r="AH864" s="37">
        <v>126805.57</v>
      </c>
      <c r="AI864" s="37">
        <v>121913.22</v>
      </c>
      <c r="AJ864" s="37">
        <v>124351.49</v>
      </c>
      <c r="AK864" s="37">
        <v>126838.52</v>
      </c>
      <c r="AL864" s="37">
        <v>129375.29</v>
      </c>
      <c r="AM864" s="37">
        <v>131962.79</v>
      </c>
      <c r="AN864" s="37">
        <v>134602.04999999999</v>
      </c>
      <c r="AO864" s="37">
        <v>137294.09</v>
      </c>
      <c r="AP864" s="37">
        <v>140039.97</v>
      </c>
      <c r="AQ864" s="37">
        <v>142840.76999999999</v>
      </c>
      <c r="AR864" s="37">
        <v>1316023.76</v>
      </c>
      <c r="AS864" s="37">
        <v>0</v>
      </c>
      <c r="AT864" s="37">
        <v>93636</v>
      </c>
      <c r="AU864" s="37">
        <v>0</v>
      </c>
      <c r="AV864" s="37">
        <v>0</v>
      </c>
      <c r="AW864" s="37">
        <v>0</v>
      </c>
      <c r="AX864" s="37">
        <v>0</v>
      </c>
      <c r="AY864" s="37">
        <v>103381.71</v>
      </c>
      <c r="AZ864" s="37">
        <v>0</v>
      </c>
      <c r="BA864" s="37">
        <v>0</v>
      </c>
      <c r="BB864" s="37">
        <v>0</v>
      </c>
      <c r="BC864" s="37">
        <v>0</v>
      </c>
      <c r="BD864" s="37">
        <v>197017.71000000002</v>
      </c>
      <c r="BE864" s="37">
        <v>0</v>
      </c>
      <c r="BF864" s="37">
        <v>0</v>
      </c>
      <c r="BG864" s="37">
        <v>0</v>
      </c>
      <c r="BH864" s="37">
        <v>0</v>
      </c>
      <c r="BI864" s="37">
        <v>0</v>
      </c>
      <c r="BJ864" s="37">
        <v>0</v>
      </c>
      <c r="BK864" s="37">
        <v>0</v>
      </c>
      <c r="BL864" s="37">
        <v>0</v>
      </c>
      <c r="BM864" s="37">
        <v>0</v>
      </c>
      <c r="BN864" s="37">
        <v>0</v>
      </c>
      <c r="BO864" s="37">
        <v>0</v>
      </c>
      <c r="BP864" s="37">
        <v>0</v>
      </c>
      <c r="BQ864" s="37">
        <v>0</v>
      </c>
      <c r="BR864" s="37">
        <v>0</v>
      </c>
      <c r="BS864" s="37">
        <v>0</v>
      </c>
      <c r="BT864" s="37">
        <v>0</v>
      </c>
      <c r="BU864" s="37">
        <v>0</v>
      </c>
      <c r="BV864" s="37">
        <v>0</v>
      </c>
      <c r="BW864" s="37">
        <v>0</v>
      </c>
      <c r="BX864" s="37">
        <v>0</v>
      </c>
      <c r="BY864" s="37">
        <v>0</v>
      </c>
      <c r="BZ864" s="37">
        <v>0</v>
      </c>
      <c r="CA864" s="37">
        <v>0</v>
      </c>
      <c r="CB864" s="37">
        <v>0</v>
      </c>
      <c r="CC864" s="37">
        <v>2300</v>
      </c>
      <c r="CD864" s="37">
        <v>0</v>
      </c>
      <c r="CE864" s="37">
        <v>0</v>
      </c>
      <c r="CF864" s="37">
        <v>0</v>
      </c>
      <c r="CG864" s="37">
        <v>0</v>
      </c>
      <c r="CH864" s="37">
        <v>0</v>
      </c>
      <c r="CI864" s="37">
        <v>0</v>
      </c>
      <c r="CJ864" s="37">
        <v>0</v>
      </c>
      <c r="CK864" s="37">
        <v>0</v>
      </c>
      <c r="CL864" s="37">
        <v>0</v>
      </c>
      <c r="CM864" s="37">
        <v>0</v>
      </c>
      <c r="CN864" s="37">
        <v>0</v>
      </c>
      <c r="CO864" s="37">
        <v>0</v>
      </c>
      <c r="CP864" s="37">
        <v>0</v>
      </c>
      <c r="CQ864" s="37">
        <v>0</v>
      </c>
      <c r="CR864" s="37">
        <v>0</v>
      </c>
      <c r="CS864" s="37">
        <v>0</v>
      </c>
      <c r="CT864" s="37">
        <v>0</v>
      </c>
      <c r="CU864" s="37">
        <v>0</v>
      </c>
      <c r="CV864" s="37">
        <v>0</v>
      </c>
      <c r="CW864" s="37">
        <v>0</v>
      </c>
      <c r="CX864" s="37">
        <v>0</v>
      </c>
      <c r="CY864" s="37">
        <v>0</v>
      </c>
      <c r="CZ864" s="37">
        <v>0</v>
      </c>
      <c r="DA864" s="37">
        <v>0</v>
      </c>
      <c r="DB864" s="37">
        <v>0</v>
      </c>
      <c r="DC864" s="37">
        <v>0</v>
      </c>
      <c r="DD864" s="37">
        <v>0</v>
      </c>
      <c r="DE864" s="37">
        <v>0</v>
      </c>
      <c r="DF864" s="37">
        <v>0</v>
      </c>
      <c r="DG864" s="37">
        <v>0</v>
      </c>
      <c r="DH864" s="37">
        <v>0</v>
      </c>
      <c r="DI864" s="37">
        <v>0</v>
      </c>
      <c r="DJ864" s="37">
        <v>0</v>
      </c>
      <c r="DK864" s="37">
        <v>0</v>
      </c>
      <c r="DL864" s="37">
        <v>0</v>
      </c>
      <c r="DM864" s="37">
        <v>0</v>
      </c>
      <c r="DN864" s="37">
        <v>10550</v>
      </c>
      <c r="DO864" s="37">
        <v>10550</v>
      </c>
      <c r="DP864" s="37">
        <v>0</v>
      </c>
      <c r="DQ864" s="37">
        <v>0</v>
      </c>
      <c r="DR864" s="37">
        <v>0</v>
      </c>
      <c r="DS864" s="37">
        <v>0</v>
      </c>
      <c r="DT864" s="37">
        <v>0</v>
      </c>
      <c r="DU864" s="37">
        <v>0</v>
      </c>
      <c r="DV864" s="37">
        <v>0</v>
      </c>
      <c r="DW864" s="37">
        <v>0</v>
      </c>
      <c r="DX864" s="37">
        <v>21100</v>
      </c>
      <c r="DY864" s="37">
        <v>0</v>
      </c>
      <c r="DZ864" s="37">
        <v>0</v>
      </c>
      <c r="EA864" s="37">
        <v>0</v>
      </c>
      <c r="EB864" s="37">
        <v>0</v>
      </c>
      <c r="EC864" s="37">
        <v>0</v>
      </c>
      <c r="ED864" s="37">
        <v>0</v>
      </c>
      <c r="EE864" s="37">
        <v>0</v>
      </c>
      <c r="EF864" s="37">
        <v>0</v>
      </c>
      <c r="EG864" s="37">
        <v>0</v>
      </c>
      <c r="EH864" s="37">
        <v>0</v>
      </c>
      <c r="EI864" s="37">
        <v>0</v>
      </c>
      <c r="EJ864" s="37">
        <v>0</v>
      </c>
      <c r="EK864" s="161" t="s">
        <v>3186</v>
      </c>
      <c r="EL864" s="294" t="s">
        <v>1124</v>
      </c>
    </row>
    <row r="865" spans="1:142" ht="15" customHeight="1" x14ac:dyDescent="0.35">
      <c r="A865" s="34"/>
      <c r="B865" s="313">
        <v>31035</v>
      </c>
      <c r="C865" s="8" t="s">
        <v>242</v>
      </c>
      <c r="D865" s="18">
        <v>12</v>
      </c>
      <c r="E865" s="155"/>
      <c r="F865" s="36"/>
      <c r="G865" s="37"/>
      <c r="H865" s="37"/>
      <c r="I865" s="37"/>
      <c r="J865" s="37"/>
      <c r="K865" s="37"/>
      <c r="L865" s="37"/>
      <c r="M865" s="37" t="s">
        <v>1124</v>
      </c>
      <c r="N865" s="37" t="s">
        <v>1124</v>
      </c>
      <c r="O865" s="37"/>
      <c r="P865" s="37"/>
      <c r="Q865" s="37"/>
      <c r="R865" s="37"/>
      <c r="S865" s="37"/>
      <c r="T865" s="37"/>
      <c r="U865" s="37"/>
      <c r="V865" s="37"/>
      <c r="W865" s="37"/>
      <c r="X865" s="37"/>
      <c r="Y865" s="37"/>
      <c r="Z865" s="37"/>
      <c r="AA865" s="37" t="s">
        <v>1124</v>
      </c>
      <c r="AB865" s="37" t="s">
        <v>1124</v>
      </c>
      <c r="AC865" s="37"/>
      <c r="AD865" s="37"/>
      <c r="AE865" s="37"/>
      <c r="AF865" s="168"/>
      <c r="AG865" s="37"/>
      <c r="AH865" s="37"/>
      <c r="AI865" s="37"/>
      <c r="AJ865" s="37"/>
      <c r="AK865" s="37"/>
      <c r="AL865" s="37"/>
      <c r="AM865" s="37"/>
      <c r="AN865" s="37"/>
      <c r="AO865" s="37"/>
      <c r="AP865" s="37"/>
      <c r="AQ865" s="37"/>
      <c r="AR865" s="37" t="s">
        <v>1124</v>
      </c>
      <c r="AS865" s="37"/>
      <c r="AT865" s="37"/>
      <c r="AU865" s="37"/>
      <c r="AV865" s="37"/>
      <c r="AW865" s="37"/>
      <c r="AX865" s="37"/>
      <c r="AY865" s="37"/>
      <c r="AZ865" s="37"/>
      <c r="BA865" s="37"/>
      <c r="BB865" s="37"/>
      <c r="BC865" s="37"/>
      <c r="BD865" s="37" t="s">
        <v>1124</v>
      </c>
      <c r="BE865" s="37"/>
      <c r="BF865" s="37"/>
      <c r="BG865" s="37"/>
      <c r="BH865" s="37"/>
      <c r="BI865" s="37"/>
      <c r="BJ865" s="37"/>
      <c r="BK865" s="37"/>
      <c r="BL865" s="37"/>
      <c r="BM865" s="37"/>
      <c r="BN865" s="37"/>
      <c r="BO865" s="37"/>
      <c r="BP865" s="37">
        <v>0</v>
      </c>
      <c r="BQ865" s="37"/>
      <c r="BR865" s="37"/>
      <c r="BS865" s="37"/>
      <c r="BT865" s="37"/>
      <c r="BU865" s="37"/>
      <c r="BV865" s="37"/>
      <c r="BW865" s="37"/>
      <c r="BX865" s="37"/>
      <c r="BY865" s="37"/>
      <c r="BZ865" s="37"/>
      <c r="CA865" s="37"/>
      <c r="CB865" s="37" t="s">
        <v>1124</v>
      </c>
      <c r="CC865" s="37"/>
      <c r="CD865" s="37"/>
      <c r="CE865" s="37"/>
      <c r="CF865" s="37"/>
      <c r="CG865" s="37"/>
      <c r="CH865" s="37"/>
      <c r="CI865" s="37"/>
      <c r="CJ865" s="37"/>
      <c r="CK865" s="37"/>
      <c r="CL865" s="37"/>
      <c r="CM865" s="37"/>
      <c r="CN865" s="37" t="s">
        <v>1124</v>
      </c>
      <c r="CO865" s="37"/>
      <c r="CP865" s="37"/>
      <c r="CQ865" s="37"/>
      <c r="CR865" s="37"/>
      <c r="CS865" s="37"/>
      <c r="CT865" s="37"/>
      <c r="CU865" s="37"/>
      <c r="CV865" s="37"/>
      <c r="CW865" s="37"/>
      <c r="CX865" s="37"/>
      <c r="CY865" s="37"/>
      <c r="CZ865" s="37" t="s">
        <v>1124</v>
      </c>
      <c r="DA865" s="37"/>
      <c r="DB865" s="37"/>
      <c r="DC865" s="37"/>
      <c r="DD865" s="37"/>
      <c r="DE865" s="37"/>
      <c r="DF865" s="37"/>
      <c r="DG865" s="37"/>
      <c r="DH865" s="37"/>
      <c r="DI865" s="37"/>
      <c r="DJ865" s="37"/>
      <c r="DK865" s="37"/>
      <c r="DL865" s="37" t="s">
        <v>1124</v>
      </c>
      <c r="DM865" s="37"/>
      <c r="DN865" s="37"/>
      <c r="DO865" s="37"/>
      <c r="DP865" s="37"/>
      <c r="DQ865" s="37"/>
      <c r="DR865" s="37"/>
      <c r="DS865" s="37"/>
      <c r="DT865" s="37"/>
      <c r="DU865" s="37"/>
      <c r="DV865" s="37"/>
      <c r="DW865" s="37"/>
      <c r="DX865" s="37" t="s">
        <v>1124</v>
      </c>
      <c r="DY865" s="37"/>
      <c r="DZ865" s="37"/>
      <c r="EA865" s="37"/>
      <c r="EB865" s="37"/>
      <c r="EC865" s="37"/>
      <c r="ED865" s="37"/>
      <c r="EE865" s="37"/>
      <c r="EF865" s="37"/>
      <c r="EG865" s="37"/>
      <c r="EH865" s="37"/>
      <c r="EI865" s="37"/>
      <c r="EJ865" s="37" t="s">
        <v>1124</v>
      </c>
      <c r="EK865" s="161"/>
      <c r="EL865" s="294"/>
    </row>
    <row r="866" spans="1:142" ht="15" customHeight="1" x14ac:dyDescent="0.35">
      <c r="A866" s="34"/>
      <c r="B866" s="313">
        <v>18005</v>
      </c>
      <c r="C866" s="8" t="s">
        <v>104</v>
      </c>
      <c r="D866" s="18">
        <v>12</v>
      </c>
      <c r="E866" s="155">
        <v>34825</v>
      </c>
      <c r="F866" s="36">
        <v>28531</v>
      </c>
      <c r="G866" s="37">
        <v>49228</v>
      </c>
      <c r="H866" s="37">
        <v>4875</v>
      </c>
      <c r="I866" s="37">
        <v>15600</v>
      </c>
      <c r="J866" s="37">
        <v>46400</v>
      </c>
      <c r="K866" s="37">
        <v>5224</v>
      </c>
      <c r="L866" s="37">
        <v>4280</v>
      </c>
      <c r="M866" s="37">
        <v>104877</v>
      </c>
      <c r="N866" s="37">
        <v>84086</v>
      </c>
      <c r="O866" s="37">
        <v>0</v>
      </c>
      <c r="P866" s="37">
        <v>0</v>
      </c>
      <c r="Q866" s="37">
        <v>52947</v>
      </c>
      <c r="R866" s="37">
        <v>70931</v>
      </c>
      <c r="S866" s="37">
        <v>0</v>
      </c>
      <c r="T866" s="37">
        <v>0</v>
      </c>
      <c r="U866" s="37">
        <v>0</v>
      </c>
      <c r="V866" s="37">
        <v>0</v>
      </c>
      <c r="W866" s="37">
        <v>32543</v>
      </c>
      <c r="X866" s="37">
        <v>32542</v>
      </c>
      <c r="Y866" s="37">
        <v>0</v>
      </c>
      <c r="Z866" s="37">
        <v>0</v>
      </c>
      <c r="AA866" s="37">
        <v>85490</v>
      </c>
      <c r="AB866" s="37">
        <v>103473</v>
      </c>
      <c r="AC866" s="37">
        <v>0</v>
      </c>
      <c r="AD866" s="37">
        <v>0</v>
      </c>
      <c r="AE866" s="37">
        <v>0</v>
      </c>
      <c r="AF866" s="168">
        <v>0.02</v>
      </c>
      <c r="AG866" s="37">
        <v>14095371.84</v>
      </c>
      <c r="AH866" s="37">
        <v>105939.54</v>
      </c>
      <c r="AI866" s="37">
        <v>108058.33</v>
      </c>
      <c r="AJ866" s="37">
        <v>110219.5</v>
      </c>
      <c r="AK866" s="37">
        <v>112423.89</v>
      </c>
      <c r="AL866" s="37">
        <v>114672.36</v>
      </c>
      <c r="AM866" s="37">
        <v>118688.84</v>
      </c>
      <c r="AN866" s="37">
        <v>119305.13</v>
      </c>
      <c r="AO866" s="37">
        <v>121691.23</v>
      </c>
      <c r="AP866" s="37">
        <v>124125.05</v>
      </c>
      <c r="AQ866" s="37">
        <v>126607.56</v>
      </c>
      <c r="AR866" s="37">
        <v>1161731.43</v>
      </c>
      <c r="AS866" s="37">
        <v>117523.58</v>
      </c>
      <c r="AT866" s="37">
        <v>35700</v>
      </c>
      <c r="AU866" s="37">
        <v>0</v>
      </c>
      <c r="AV866" s="37">
        <v>0</v>
      </c>
      <c r="AW866" s="37">
        <v>0</v>
      </c>
      <c r="AX866" s="37">
        <v>0</v>
      </c>
      <c r="AY866" s="37">
        <v>0</v>
      </c>
      <c r="AZ866" s="37">
        <v>0</v>
      </c>
      <c r="BA866" s="37">
        <v>0</v>
      </c>
      <c r="BB866" s="37">
        <v>0</v>
      </c>
      <c r="BC866" s="37">
        <v>0</v>
      </c>
      <c r="BD866" s="37">
        <v>35700</v>
      </c>
      <c r="BE866" s="37">
        <v>4724</v>
      </c>
      <c r="BF866" s="37">
        <v>0</v>
      </c>
      <c r="BG866" s="37">
        <v>0</v>
      </c>
      <c r="BH866" s="37">
        <v>0</v>
      </c>
      <c r="BI866" s="37">
        <v>0</v>
      </c>
      <c r="BJ866" s="37">
        <v>0</v>
      </c>
      <c r="BK866" s="37">
        <v>0</v>
      </c>
      <c r="BL866" s="37">
        <v>0</v>
      </c>
      <c r="BM866" s="37">
        <v>0</v>
      </c>
      <c r="BN866" s="37">
        <v>0</v>
      </c>
      <c r="BO866" s="37">
        <v>0</v>
      </c>
      <c r="BP866" s="37">
        <v>0</v>
      </c>
      <c r="BQ866" s="37">
        <v>0</v>
      </c>
      <c r="BR866" s="37">
        <v>0</v>
      </c>
      <c r="BS866" s="37">
        <v>0</v>
      </c>
      <c r="BT866" s="37">
        <v>0</v>
      </c>
      <c r="BU866" s="37">
        <v>0</v>
      </c>
      <c r="BV866" s="37">
        <v>0</v>
      </c>
      <c r="BW866" s="37">
        <v>0</v>
      </c>
      <c r="BX866" s="37">
        <v>0</v>
      </c>
      <c r="BY866" s="37">
        <v>0</v>
      </c>
      <c r="BZ866" s="37">
        <v>0</v>
      </c>
      <c r="CA866" s="37">
        <v>0</v>
      </c>
      <c r="CB866" s="37">
        <v>0</v>
      </c>
      <c r="CC866" s="37">
        <v>0</v>
      </c>
      <c r="CD866" s="37">
        <v>0</v>
      </c>
      <c r="CE866" s="37">
        <v>0</v>
      </c>
      <c r="CF866" s="37">
        <v>0</v>
      </c>
      <c r="CG866" s="37">
        <v>0</v>
      </c>
      <c r="CH866" s="37">
        <v>0</v>
      </c>
      <c r="CI866" s="37">
        <v>0</v>
      </c>
      <c r="CJ866" s="37">
        <v>0</v>
      </c>
      <c r="CK866" s="37">
        <v>0</v>
      </c>
      <c r="CL866" s="37">
        <v>0</v>
      </c>
      <c r="CM866" s="37">
        <v>0</v>
      </c>
      <c r="CN866" s="37">
        <v>0</v>
      </c>
      <c r="CO866" s="37">
        <v>104986</v>
      </c>
      <c r="CP866" s="37">
        <v>0</v>
      </c>
      <c r="CQ866" s="37">
        <v>0</v>
      </c>
      <c r="CR866" s="37">
        <v>0</v>
      </c>
      <c r="CS866" s="37">
        <v>0</v>
      </c>
      <c r="CT866" s="37">
        <v>0</v>
      </c>
      <c r="CU866" s="37">
        <v>0</v>
      </c>
      <c r="CV866" s="37">
        <v>0</v>
      </c>
      <c r="CW866" s="37">
        <v>0</v>
      </c>
      <c r="CX866" s="37">
        <v>0</v>
      </c>
      <c r="CY866" s="37">
        <v>0</v>
      </c>
      <c r="CZ866" s="37">
        <v>0</v>
      </c>
      <c r="DA866" s="37">
        <v>0</v>
      </c>
      <c r="DB866" s="37">
        <v>0</v>
      </c>
      <c r="DC866" s="37">
        <v>0</v>
      </c>
      <c r="DD866" s="37">
        <v>0</v>
      </c>
      <c r="DE866" s="37">
        <v>0</v>
      </c>
      <c r="DF866" s="37">
        <v>0</v>
      </c>
      <c r="DG866" s="37">
        <v>0</v>
      </c>
      <c r="DH866" s="37">
        <v>0</v>
      </c>
      <c r="DI866" s="37">
        <v>0</v>
      </c>
      <c r="DJ866" s="37">
        <v>0</v>
      </c>
      <c r="DK866" s="37">
        <v>0</v>
      </c>
      <c r="DL866" s="37">
        <v>0</v>
      </c>
      <c r="DM866" s="37">
        <v>0</v>
      </c>
      <c r="DN866" s="37">
        <v>0</v>
      </c>
      <c r="DO866" s="37">
        <v>0</v>
      </c>
      <c r="DP866" s="37">
        <v>0</v>
      </c>
      <c r="DQ866" s="37">
        <v>0</v>
      </c>
      <c r="DR866" s="37">
        <v>0</v>
      </c>
      <c r="DS866" s="37">
        <v>0</v>
      </c>
      <c r="DT866" s="37">
        <v>0</v>
      </c>
      <c r="DU866" s="37">
        <v>0</v>
      </c>
      <c r="DV866" s="37">
        <v>0</v>
      </c>
      <c r="DW866" s="37">
        <v>0</v>
      </c>
      <c r="DX866" s="37">
        <v>0</v>
      </c>
      <c r="DY866" s="37">
        <v>0</v>
      </c>
      <c r="DZ866" s="37">
        <v>0</v>
      </c>
      <c r="EA866" s="37">
        <v>0</v>
      </c>
      <c r="EB866" s="37">
        <v>0</v>
      </c>
      <c r="EC866" s="37">
        <v>0</v>
      </c>
      <c r="ED866" s="37">
        <v>0</v>
      </c>
      <c r="EE866" s="37">
        <v>0</v>
      </c>
      <c r="EF866" s="37">
        <v>0</v>
      </c>
      <c r="EG866" s="37">
        <v>0</v>
      </c>
      <c r="EH866" s="37">
        <v>0</v>
      </c>
      <c r="EI866" s="37">
        <v>0</v>
      </c>
      <c r="EJ866" s="37">
        <v>0</v>
      </c>
      <c r="EK866" s="161" t="s">
        <v>3189</v>
      </c>
      <c r="EL866" s="294" t="s">
        <v>1124</v>
      </c>
    </row>
    <row r="867" spans="1:142" ht="15" customHeight="1" x14ac:dyDescent="0.35">
      <c r="A867" s="34"/>
      <c r="B867" s="313">
        <v>13040</v>
      </c>
      <c r="C867" s="8" t="s">
        <v>47</v>
      </c>
      <c r="D867" s="18">
        <v>1</v>
      </c>
      <c r="E867" s="155">
        <v>23891</v>
      </c>
      <c r="F867" s="36">
        <v>26303</v>
      </c>
      <c r="G867" s="37">
        <v>0</v>
      </c>
      <c r="H867" s="37">
        <v>0</v>
      </c>
      <c r="I867" s="37">
        <v>0</v>
      </c>
      <c r="J867" s="37">
        <v>0</v>
      </c>
      <c r="K867" s="37">
        <v>2389</v>
      </c>
      <c r="L867" s="37">
        <v>2630</v>
      </c>
      <c r="M867" s="37">
        <v>26280</v>
      </c>
      <c r="N867" s="37">
        <v>28933</v>
      </c>
      <c r="O867" s="37">
        <v>0</v>
      </c>
      <c r="P867" s="37">
        <v>0</v>
      </c>
      <c r="Q867" s="37">
        <v>22372</v>
      </c>
      <c r="R867" s="37">
        <v>28665</v>
      </c>
      <c r="S867" s="37">
        <v>0</v>
      </c>
      <c r="T867" s="37">
        <v>0</v>
      </c>
      <c r="U867" s="37">
        <v>0</v>
      </c>
      <c r="V867" s="37">
        <v>0</v>
      </c>
      <c r="W867" s="37">
        <v>4176</v>
      </c>
      <c r="X867" s="37">
        <v>0</v>
      </c>
      <c r="Y867" s="37">
        <v>0</v>
      </c>
      <c r="Z867" s="37">
        <v>0</v>
      </c>
      <c r="AA867" s="37">
        <v>26548</v>
      </c>
      <c r="AB867" s="37">
        <v>28665</v>
      </c>
      <c r="AC867" s="37">
        <v>0</v>
      </c>
      <c r="AD867" s="37">
        <v>0</v>
      </c>
      <c r="AE867" s="37">
        <v>0</v>
      </c>
      <c r="AF867" s="168">
        <v>0.02</v>
      </c>
      <c r="AG867" s="37">
        <v>4222309.67</v>
      </c>
      <c r="AH867" s="37">
        <v>42492.36</v>
      </c>
      <c r="AI867" s="37">
        <v>43342.2</v>
      </c>
      <c r="AJ867" s="37">
        <v>44209.05</v>
      </c>
      <c r="AK867" s="37">
        <v>45093.23</v>
      </c>
      <c r="AL867" s="37">
        <v>45995.09</v>
      </c>
      <c r="AM867" s="37">
        <v>46915</v>
      </c>
      <c r="AN867" s="37">
        <v>47853.3</v>
      </c>
      <c r="AO867" s="37">
        <v>48810.36</v>
      </c>
      <c r="AP867" s="37">
        <v>49786.57</v>
      </c>
      <c r="AQ867" s="37">
        <v>50782.3</v>
      </c>
      <c r="AR867" s="37">
        <v>465279.45999999996</v>
      </c>
      <c r="AS867" s="37">
        <v>0</v>
      </c>
      <c r="AT867" s="37">
        <v>128520</v>
      </c>
      <c r="AU867" s="37">
        <v>0</v>
      </c>
      <c r="AV867" s="37">
        <v>0</v>
      </c>
      <c r="AW867" s="37">
        <v>0</v>
      </c>
      <c r="AX867" s="37">
        <v>0</v>
      </c>
      <c r="AY867" s="37">
        <v>0</v>
      </c>
      <c r="AZ867" s="37">
        <v>0</v>
      </c>
      <c r="BA867" s="37">
        <v>0</v>
      </c>
      <c r="BB867" s="37">
        <v>0</v>
      </c>
      <c r="BC867" s="37">
        <v>0</v>
      </c>
      <c r="BD867" s="37">
        <v>128520</v>
      </c>
      <c r="BE867" s="37">
        <v>0</v>
      </c>
      <c r="BF867" s="37">
        <v>0</v>
      </c>
      <c r="BG867" s="37">
        <v>0</v>
      </c>
      <c r="BH867" s="37">
        <v>0</v>
      </c>
      <c r="BI867" s="37">
        <v>0</v>
      </c>
      <c r="BJ867" s="37">
        <v>0</v>
      </c>
      <c r="BK867" s="37">
        <v>0</v>
      </c>
      <c r="BL867" s="37">
        <v>0</v>
      </c>
      <c r="BM867" s="37">
        <v>0</v>
      </c>
      <c r="BN867" s="37">
        <v>0</v>
      </c>
      <c r="BO867" s="37">
        <v>0</v>
      </c>
      <c r="BP867" s="37">
        <v>0</v>
      </c>
      <c r="BQ867" s="37">
        <v>0</v>
      </c>
      <c r="BR867" s="37">
        <v>0</v>
      </c>
      <c r="BS867" s="37">
        <v>0</v>
      </c>
      <c r="BT867" s="37">
        <v>0</v>
      </c>
      <c r="BU867" s="37">
        <v>0</v>
      </c>
      <c r="BV867" s="37">
        <v>0</v>
      </c>
      <c r="BW867" s="37">
        <v>0</v>
      </c>
      <c r="BX867" s="37">
        <v>0</v>
      </c>
      <c r="BY867" s="37">
        <v>0</v>
      </c>
      <c r="BZ867" s="37">
        <v>0</v>
      </c>
      <c r="CA867" s="37">
        <v>0</v>
      </c>
      <c r="CB867" s="37">
        <v>0</v>
      </c>
      <c r="CC867" s="37">
        <v>0</v>
      </c>
      <c r="CD867" s="37">
        <v>0</v>
      </c>
      <c r="CE867" s="37">
        <v>0</v>
      </c>
      <c r="CF867" s="37">
        <v>0</v>
      </c>
      <c r="CG867" s="37">
        <v>0</v>
      </c>
      <c r="CH867" s="37">
        <v>0</v>
      </c>
      <c r="CI867" s="37">
        <v>0</v>
      </c>
      <c r="CJ867" s="37">
        <v>0</v>
      </c>
      <c r="CK867" s="37">
        <v>0</v>
      </c>
      <c r="CL867" s="37">
        <v>0</v>
      </c>
      <c r="CM867" s="37">
        <v>0</v>
      </c>
      <c r="CN867" s="37">
        <v>0</v>
      </c>
      <c r="CO867" s="37">
        <v>0</v>
      </c>
      <c r="CP867" s="37">
        <v>106000</v>
      </c>
      <c r="CQ867" s="37">
        <v>0</v>
      </c>
      <c r="CR867" s="37">
        <v>0</v>
      </c>
      <c r="CS867" s="37">
        <v>0</v>
      </c>
      <c r="CT867" s="37">
        <v>0</v>
      </c>
      <c r="CU867" s="37">
        <v>0</v>
      </c>
      <c r="CV867" s="37">
        <v>0</v>
      </c>
      <c r="CW867" s="37">
        <v>0</v>
      </c>
      <c r="CX867" s="37">
        <v>0</v>
      </c>
      <c r="CY867" s="37">
        <v>0</v>
      </c>
      <c r="CZ867" s="37">
        <v>106000</v>
      </c>
      <c r="DA867" s="37">
        <v>0</v>
      </c>
      <c r="DB867" s="37">
        <v>0</v>
      </c>
      <c r="DC867" s="37">
        <v>0</v>
      </c>
      <c r="DD867" s="37">
        <v>0</v>
      </c>
      <c r="DE867" s="37">
        <v>0</v>
      </c>
      <c r="DF867" s="37">
        <v>0</v>
      </c>
      <c r="DG867" s="37">
        <v>0</v>
      </c>
      <c r="DH867" s="37">
        <v>0</v>
      </c>
      <c r="DI867" s="37">
        <v>0</v>
      </c>
      <c r="DJ867" s="37">
        <v>0</v>
      </c>
      <c r="DK867" s="37">
        <v>0</v>
      </c>
      <c r="DL867" s="37">
        <v>0</v>
      </c>
      <c r="DM867" s="37">
        <v>0</v>
      </c>
      <c r="DN867" s="37">
        <v>20000</v>
      </c>
      <c r="DO867" s="37">
        <v>0</v>
      </c>
      <c r="DP867" s="37">
        <v>0</v>
      </c>
      <c r="DQ867" s="37">
        <v>0</v>
      </c>
      <c r="DR867" s="37">
        <v>0</v>
      </c>
      <c r="DS867" s="37">
        <v>0</v>
      </c>
      <c r="DT867" s="37">
        <v>0</v>
      </c>
      <c r="DU867" s="37">
        <v>0</v>
      </c>
      <c r="DV867" s="37">
        <v>0</v>
      </c>
      <c r="DW867" s="37">
        <v>0</v>
      </c>
      <c r="DX867" s="37">
        <v>20000</v>
      </c>
      <c r="DY867" s="37">
        <v>0</v>
      </c>
      <c r="DZ867" s="37">
        <v>0</v>
      </c>
      <c r="EA867" s="37">
        <v>0</v>
      </c>
      <c r="EB867" s="37">
        <v>0</v>
      </c>
      <c r="EC867" s="37">
        <v>0</v>
      </c>
      <c r="ED867" s="37">
        <v>0</v>
      </c>
      <c r="EE867" s="37">
        <v>0</v>
      </c>
      <c r="EF867" s="37">
        <v>0</v>
      </c>
      <c r="EG867" s="37">
        <v>0</v>
      </c>
      <c r="EH867" s="37">
        <v>0</v>
      </c>
      <c r="EI867" s="37">
        <v>0</v>
      </c>
      <c r="EJ867" s="37">
        <v>0</v>
      </c>
      <c r="EK867" s="161" t="s">
        <v>3193</v>
      </c>
      <c r="EL867" s="294" t="s">
        <v>1124</v>
      </c>
    </row>
    <row r="868" spans="1:142" ht="15" customHeight="1" x14ac:dyDescent="0.35">
      <c r="A868" s="34"/>
      <c r="B868" s="313">
        <v>51045</v>
      </c>
      <c r="C868" s="8" t="s">
        <v>505</v>
      </c>
      <c r="D868" s="18">
        <v>4</v>
      </c>
      <c r="E868" s="155"/>
      <c r="F868" s="36"/>
      <c r="G868" s="37"/>
      <c r="H868" s="37"/>
      <c r="I868" s="37"/>
      <c r="J868" s="37"/>
      <c r="K868" s="37"/>
      <c r="L868" s="37"/>
      <c r="M868" s="37" t="s">
        <v>1124</v>
      </c>
      <c r="N868" s="37" t="s">
        <v>1124</v>
      </c>
      <c r="O868" s="37"/>
      <c r="P868" s="37"/>
      <c r="Q868" s="37"/>
      <c r="R868" s="37"/>
      <c r="S868" s="37"/>
      <c r="T868" s="37"/>
      <c r="U868" s="37"/>
      <c r="V868" s="37"/>
      <c r="W868" s="37"/>
      <c r="X868" s="37"/>
      <c r="Y868" s="37"/>
      <c r="Z868" s="37"/>
      <c r="AA868" s="37" t="s">
        <v>1124</v>
      </c>
      <c r="AB868" s="37" t="s">
        <v>1124</v>
      </c>
      <c r="AC868" s="37"/>
      <c r="AD868" s="37"/>
      <c r="AE868" s="37"/>
      <c r="AF868" s="168"/>
      <c r="AG868" s="37"/>
      <c r="AH868" s="37"/>
      <c r="AI868" s="37"/>
      <c r="AJ868" s="37"/>
      <c r="AK868" s="37"/>
      <c r="AL868" s="37"/>
      <c r="AM868" s="37"/>
      <c r="AN868" s="37"/>
      <c r="AO868" s="37"/>
      <c r="AP868" s="37"/>
      <c r="AQ868" s="37"/>
      <c r="AR868" s="37" t="s">
        <v>1124</v>
      </c>
      <c r="AS868" s="37"/>
      <c r="AT868" s="37"/>
      <c r="AU868" s="37"/>
      <c r="AV868" s="37"/>
      <c r="AW868" s="37"/>
      <c r="AX868" s="37"/>
      <c r="AY868" s="37"/>
      <c r="AZ868" s="37"/>
      <c r="BA868" s="37"/>
      <c r="BB868" s="37"/>
      <c r="BC868" s="37"/>
      <c r="BD868" s="37" t="s">
        <v>1124</v>
      </c>
      <c r="BE868" s="37"/>
      <c r="BF868" s="37"/>
      <c r="BG868" s="37"/>
      <c r="BH868" s="37"/>
      <c r="BI868" s="37"/>
      <c r="BJ868" s="37"/>
      <c r="BK868" s="37"/>
      <c r="BL868" s="37"/>
      <c r="BM868" s="37"/>
      <c r="BN868" s="37"/>
      <c r="BO868" s="37"/>
      <c r="BP868" s="37">
        <v>0</v>
      </c>
      <c r="BQ868" s="37"/>
      <c r="BR868" s="37"/>
      <c r="BS868" s="37"/>
      <c r="BT868" s="37"/>
      <c r="BU868" s="37"/>
      <c r="BV868" s="37"/>
      <c r="BW868" s="37"/>
      <c r="BX868" s="37"/>
      <c r="BY868" s="37"/>
      <c r="BZ868" s="37"/>
      <c r="CA868" s="37"/>
      <c r="CB868" s="37" t="s">
        <v>1124</v>
      </c>
      <c r="CC868" s="37"/>
      <c r="CD868" s="37"/>
      <c r="CE868" s="37"/>
      <c r="CF868" s="37"/>
      <c r="CG868" s="37"/>
      <c r="CH868" s="37"/>
      <c r="CI868" s="37"/>
      <c r="CJ868" s="37"/>
      <c r="CK868" s="37"/>
      <c r="CL868" s="37"/>
      <c r="CM868" s="37"/>
      <c r="CN868" s="37" t="s">
        <v>1124</v>
      </c>
      <c r="CO868" s="37"/>
      <c r="CP868" s="37"/>
      <c r="CQ868" s="37"/>
      <c r="CR868" s="37"/>
      <c r="CS868" s="37"/>
      <c r="CT868" s="37"/>
      <c r="CU868" s="37"/>
      <c r="CV868" s="37"/>
      <c r="CW868" s="37"/>
      <c r="CX868" s="37"/>
      <c r="CY868" s="37"/>
      <c r="CZ868" s="37" t="s">
        <v>1124</v>
      </c>
      <c r="DA868" s="37"/>
      <c r="DB868" s="37"/>
      <c r="DC868" s="37"/>
      <c r="DD868" s="37"/>
      <c r="DE868" s="37"/>
      <c r="DF868" s="37"/>
      <c r="DG868" s="37"/>
      <c r="DH868" s="37"/>
      <c r="DI868" s="37"/>
      <c r="DJ868" s="37"/>
      <c r="DK868" s="37"/>
      <c r="DL868" s="37" t="s">
        <v>1124</v>
      </c>
      <c r="DM868" s="37"/>
      <c r="DN868" s="37"/>
      <c r="DO868" s="37"/>
      <c r="DP868" s="37"/>
      <c r="DQ868" s="37"/>
      <c r="DR868" s="37"/>
      <c r="DS868" s="37"/>
      <c r="DT868" s="37"/>
      <c r="DU868" s="37"/>
      <c r="DV868" s="37"/>
      <c r="DW868" s="37"/>
      <c r="DX868" s="37" t="s">
        <v>1124</v>
      </c>
      <c r="DY868" s="37"/>
      <c r="DZ868" s="37"/>
      <c r="EA868" s="37"/>
      <c r="EB868" s="37"/>
      <c r="EC868" s="37"/>
      <c r="ED868" s="37"/>
      <c r="EE868" s="37"/>
      <c r="EF868" s="37"/>
      <c r="EG868" s="37"/>
      <c r="EH868" s="37"/>
      <c r="EI868" s="37"/>
      <c r="EJ868" s="37" t="s">
        <v>1124</v>
      </c>
      <c r="EK868" s="161"/>
      <c r="EL868" s="294"/>
    </row>
    <row r="869" spans="1:142" ht="15" customHeight="1" x14ac:dyDescent="0.35">
      <c r="A869" s="34"/>
      <c r="B869" s="313">
        <v>87120</v>
      </c>
      <c r="C869" s="8" t="s">
        <v>910</v>
      </c>
      <c r="D869" s="18">
        <v>8</v>
      </c>
      <c r="E869" s="155"/>
      <c r="F869" s="36"/>
      <c r="G869" s="37"/>
      <c r="H869" s="37"/>
      <c r="I869" s="37"/>
      <c r="J869" s="37"/>
      <c r="K869" s="37"/>
      <c r="L869" s="37"/>
      <c r="M869" s="37" t="s">
        <v>1124</v>
      </c>
      <c r="N869" s="37" t="s">
        <v>1124</v>
      </c>
      <c r="O869" s="37"/>
      <c r="P869" s="37"/>
      <c r="Q869" s="37"/>
      <c r="R869" s="37"/>
      <c r="S869" s="37"/>
      <c r="T869" s="37"/>
      <c r="U869" s="37"/>
      <c r="V869" s="37"/>
      <c r="W869" s="37"/>
      <c r="X869" s="37"/>
      <c r="Y869" s="37"/>
      <c r="Z869" s="37"/>
      <c r="AA869" s="37" t="s">
        <v>1124</v>
      </c>
      <c r="AB869" s="37" t="s">
        <v>1124</v>
      </c>
      <c r="AC869" s="37"/>
      <c r="AD869" s="37"/>
      <c r="AE869" s="37"/>
      <c r="AF869" s="168"/>
      <c r="AG869" s="37"/>
      <c r="AH869" s="37"/>
      <c r="AI869" s="37"/>
      <c r="AJ869" s="37"/>
      <c r="AK869" s="37"/>
      <c r="AL869" s="37"/>
      <c r="AM869" s="37"/>
      <c r="AN869" s="37"/>
      <c r="AO869" s="37"/>
      <c r="AP869" s="37"/>
      <c r="AQ869" s="37"/>
      <c r="AR869" s="37" t="s">
        <v>1124</v>
      </c>
      <c r="AS869" s="37"/>
      <c r="AT869" s="37"/>
      <c r="AU869" s="37"/>
      <c r="AV869" s="37"/>
      <c r="AW869" s="37"/>
      <c r="AX869" s="37"/>
      <c r="AY869" s="37"/>
      <c r="AZ869" s="37"/>
      <c r="BA869" s="37"/>
      <c r="BB869" s="37"/>
      <c r="BC869" s="37"/>
      <c r="BD869" s="37" t="s">
        <v>1124</v>
      </c>
      <c r="BE869" s="37"/>
      <c r="BF869" s="37"/>
      <c r="BG869" s="37"/>
      <c r="BH869" s="37"/>
      <c r="BI869" s="37"/>
      <c r="BJ869" s="37"/>
      <c r="BK869" s="37"/>
      <c r="BL869" s="37"/>
      <c r="BM869" s="37"/>
      <c r="BN869" s="37"/>
      <c r="BO869" s="37"/>
      <c r="BP869" s="37">
        <v>0</v>
      </c>
      <c r="BQ869" s="37"/>
      <c r="BR869" s="37"/>
      <c r="BS869" s="37"/>
      <c r="BT869" s="37"/>
      <c r="BU869" s="37"/>
      <c r="BV869" s="37"/>
      <c r="BW869" s="37"/>
      <c r="BX869" s="37"/>
      <c r="BY869" s="37"/>
      <c r="BZ869" s="37"/>
      <c r="CA869" s="37"/>
      <c r="CB869" s="37" t="s">
        <v>1124</v>
      </c>
      <c r="CC869" s="37"/>
      <c r="CD869" s="37"/>
      <c r="CE869" s="37"/>
      <c r="CF869" s="37"/>
      <c r="CG869" s="37"/>
      <c r="CH869" s="37"/>
      <c r="CI869" s="37"/>
      <c r="CJ869" s="37"/>
      <c r="CK869" s="37"/>
      <c r="CL869" s="37"/>
      <c r="CM869" s="37"/>
      <c r="CN869" s="37" t="s">
        <v>1124</v>
      </c>
      <c r="CO869" s="37"/>
      <c r="CP869" s="37"/>
      <c r="CQ869" s="37"/>
      <c r="CR869" s="37"/>
      <c r="CS869" s="37"/>
      <c r="CT869" s="37"/>
      <c r="CU869" s="37"/>
      <c r="CV869" s="37"/>
      <c r="CW869" s="37"/>
      <c r="CX869" s="37"/>
      <c r="CY869" s="37"/>
      <c r="CZ869" s="37" t="s">
        <v>1124</v>
      </c>
      <c r="DA869" s="37"/>
      <c r="DB869" s="37"/>
      <c r="DC869" s="37"/>
      <c r="DD869" s="37"/>
      <c r="DE869" s="37"/>
      <c r="DF869" s="37"/>
      <c r="DG869" s="37"/>
      <c r="DH869" s="37"/>
      <c r="DI869" s="37"/>
      <c r="DJ869" s="37"/>
      <c r="DK869" s="37"/>
      <c r="DL869" s="37" t="s">
        <v>1124</v>
      </c>
      <c r="DM869" s="37"/>
      <c r="DN869" s="37"/>
      <c r="DO869" s="37"/>
      <c r="DP869" s="37"/>
      <c r="DQ869" s="37"/>
      <c r="DR869" s="37"/>
      <c r="DS869" s="37"/>
      <c r="DT869" s="37"/>
      <c r="DU869" s="37"/>
      <c r="DV869" s="37"/>
      <c r="DW869" s="37"/>
      <c r="DX869" s="37" t="s">
        <v>1124</v>
      </c>
      <c r="DY869" s="37"/>
      <c r="DZ869" s="37"/>
      <c r="EA869" s="37"/>
      <c r="EB869" s="37"/>
      <c r="EC869" s="37"/>
      <c r="ED869" s="37"/>
      <c r="EE869" s="37"/>
      <c r="EF869" s="37"/>
      <c r="EG869" s="37"/>
      <c r="EH869" s="37"/>
      <c r="EI869" s="37"/>
      <c r="EJ869" s="37" t="s">
        <v>1124</v>
      </c>
      <c r="EK869" s="161"/>
      <c r="EL869" s="294"/>
    </row>
    <row r="870" spans="1:142" ht="15" customHeight="1" x14ac:dyDescent="0.35">
      <c r="A870" s="34"/>
      <c r="B870" s="313">
        <v>58012</v>
      </c>
      <c r="C870" s="8" t="s">
        <v>595</v>
      </c>
      <c r="D870" s="18">
        <v>16</v>
      </c>
      <c r="E870" s="155"/>
      <c r="F870" s="36"/>
      <c r="G870" s="37"/>
      <c r="H870" s="37"/>
      <c r="I870" s="37"/>
      <c r="J870" s="37"/>
      <c r="K870" s="37"/>
      <c r="L870" s="37"/>
      <c r="M870" s="37" t="s">
        <v>1124</v>
      </c>
      <c r="N870" s="37" t="s">
        <v>1124</v>
      </c>
      <c r="O870" s="37"/>
      <c r="P870" s="37"/>
      <c r="Q870" s="37"/>
      <c r="R870" s="37"/>
      <c r="S870" s="37"/>
      <c r="T870" s="37"/>
      <c r="U870" s="37"/>
      <c r="V870" s="37"/>
      <c r="W870" s="37"/>
      <c r="X870" s="37"/>
      <c r="Y870" s="37"/>
      <c r="Z870" s="37"/>
      <c r="AA870" s="37" t="s">
        <v>1124</v>
      </c>
      <c r="AB870" s="37" t="s">
        <v>1124</v>
      </c>
      <c r="AC870" s="37"/>
      <c r="AD870" s="37"/>
      <c r="AE870" s="37"/>
      <c r="AF870" s="168"/>
      <c r="AG870" s="37"/>
      <c r="AH870" s="37"/>
      <c r="AI870" s="37"/>
      <c r="AJ870" s="37"/>
      <c r="AK870" s="37"/>
      <c r="AL870" s="37"/>
      <c r="AM870" s="37"/>
      <c r="AN870" s="37"/>
      <c r="AO870" s="37"/>
      <c r="AP870" s="37"/>
      <c r="AQ870" s="37"/>
      <c r="AR870" s="37" t="s">
        <v>1124</v>
      </c>
      <c r="AS870" s="37"/>
      <c r="AT870" s="37"/>
      <c r="AU870" s="37"/>
      <c r="AV870" s="37"/>
      <c r="AW870" s="37"/>
      <c r="AX870" s="37"/>
      <c r="AY870" s="37"/>
      <c r="AZ870" s="37"/>
      <c r="BA870" s="37"/>
      <c r="BB870" s="37"/>
      <c r="BC870" s="37"/>
      <c r="BD870" s="37" t="s">
        <v>1124</v>
      </c>
      <c r="BE870" s="37"/>
      <c r="BF870" s="37"/>
      <c r="BG870" s="37"/>
      <c r="BH870" s="37"/>
      <c r="BI870" s="37"/>
      <c r="BJ870" s="37"/>
      <c r="BK870" s="37"/>
      <c r="BL870" s="37"/>
      <c r="BM870" s="37"/>
      <c r="BN870" s="37"/>
      <c r="BO870" s="37"/>
      <c r="BP870" s="37">
        <v>0</v>
      </c>
      <c r="BQ870" s="37"/>
      <c r="BR870" s="37"/>
      <c r="BS870" s="37"/>
      <c r="BT870" s="37"/>
      <c r="BU870" s="37"/>
      <c r="BV870" s="37"/>
      <c r="BW870" s="37"/>
      <c r="BX870" s="37"/>
      <c r="BY870" s="37"/>
      <c r="BZ870" s="37"/>
      <c r="CA870" s="37"/>
      <c r="CB870" s="37" t="s">
        <v>1124</v>
      </c>
      <c r="CC870" s="37"/>
      <c r="CD870" s="37"/>
      <c r="CE870" s="37"/>
      <c r="CF870" s="37"/>
      <c r="CG870" s="37"/>
      <c r="CH870" s="37"/>
      <c r="CI870" s="37"/>
      <c r="CJ870" s="37"/>
      <c r="CK870" s="37"/>
      <c r="CL870" s="37"/>
      <c r="CM870" s="37"/>
      <c r="CN870" s="37" t="s">
        <v>1124</v>
      </c>
      <c r="CO870" s="37"/>
      <c r="CP870" s="37"/>
      <c r="CQ870" s="37"/>
      <c r="CR870" s="37"/>
      <c r="CS870" s="37"/>
      <c r="CT870" s="37"/>
      <c r="CU870" s="37"/>
      <c r="CV870" s="37"/>
      <c r="CW870" s="37"/>
      <c r="CX870" s="37"/>
      <c r="CY870" s="37"/>
      <c r="CZ870" s="37" t="s">
        <v>1124</v>
      </c>
      <c r="DA870" s="37"/>
      <c r="DB870" s="37"/>
      <c r="DC870" s="37"/>
      <c r="DD870" s="37"/>
      <c r="DE870" s="37"/>
      <c r="DF870" s="37"/>
      <c r="DG870" s="37"/>
      <c r="DH870" s="37"/>
      <c r="DI870" s="37"/>
      <c r="DJ870" s="37"/>
      <c r="DK870" s="37"/>
      <c r="DL870" s="37" t="s">
        <v>1124</v>
      </c>
      <c r="DM870" s="37"/>
      <c r="DN870" s="37"/>
      <c r="DO870" s="37"/>
      <c r="DP870" s="37"/>
      <c r="DQ870" s="37"/>
      <c r="DR870" s="37"/>
      <c r="DS870" s="37"/>
      <c r="DT870" s="37"/>
      <c r="DU870" s="37"/>
      <c r="DV870" s="37"/>
      <c r="DW870" s="37"/>
      <c r="DX870" s="37" t="s">
        <v>1124</v>
      </c>
      <c r="DY870" s="37"/>
      <c r="DZ870" s="37"/>
      <c r="EA870" s="37"/>
      <c r="EB870" s="37"/>
      <c r="EC870" s="37"/>
      <c r="ED870" s="37"/>
      <c r="EE870" s="37"/>
      <c r="EF870" s="37"/>
      <c r="EG870" s="37"/>
      <c r="EH870" s="37"/>
      <c r="EI870" s="37"/>
      <c r="EJ870" s="37" t="s">
        <v>1124</v>
      </c>
      <c r="EK870" s="161"/>
      <c r="EL870" s="294"/>
    </row>
    <row r="871" spans="1:142" ht="15" customHeight="1" x14ac:dyDescent="0.35">
      <c r="A871" s="34"/>
      <c r="B871" s="313">
        <v>26070</v>
      </c>
      <c r="C871" s="8" t="s">
        <v>177</v>
      </c>
      <c r="D871" s="18">
        <v>12</v>
      </c>
      <c r="E871" s="155">
        <v>263518</v>
      </c>
      <c r="F871" s="36">
        <v>191634</v>
      </c>
      <c r="G871" s="37">
        <v>40983</v>
      </c>
      <c r="H871" s="37">
        <v>84067</v>
      </c>
      <c r="I871" s="37">
        <v>304122</v>
      </c>
      <c r="J871" s="37">
        <v>427267</v>
      </c>
      <c r="K871" s="37">
        <v>13175.900000000001</v>
      </c>
      <c r="L871" s="37">
        <v>9581.7000000000007</v>
      </c>
      <c r="M871" s="37">
        <v>621798.9</v>
      </c>
      <c r="N871" s="37">
        <v>712549.7</v>
      </c>
      <c r="O871" s="37">
        <v>0</v>
      </c>
      <c r="P871" s="37">
        <v>0</v>
      </c>
      <c r="Q871" s="37">
        <v>270756</v>
      </c>
      <c r="R871" s="37">
        <v>270221</v>
      </c>
      <c r="S871" s="37">
        <v>0</v>
      </c>
      <c r="T871" s="37">
        <v>0</v>
      </c>
      <c r="U871" s="37">
        <v>56901</v>
      </c>
      <c r="V871" s="37">
        <v>1737</v>
      </c>
      <c r="W871" s="37">
        <v>453471</v>
      </c>
      <c r="X871" s="37">
        <v>281263</v>
      </c>
      <c r="Y871" s="37">
        <v>0</v>
      </c>
      <c r="Z871" s="37">
        <v>0</v>
      </c>
      <c r="AA871" s="37">
        <v>781128</v>
      </c>
      <c r="AB871" s="37">
        <v>553221</v>
      </c>
      <c r="AC871" s="37">
        <v>0.39999999990686774</v>
      </c>
      <c r="AD871" s="37">
        <v>0</v>
      </c>
      <c r="AE871" s="37">
        <v>0</v>
      </c>
      <c r="AF871" s="168">
        <v>0.02</v>
      </c>
      <c r="AG871" s="37">
        <v>59933252.109999999</v>
      </c>
      <c r="AH871" s="37">
        <v>436152.9</v>
      </c>
      <c r="AI871" s="37">
        <v>444875.96</v>
      </c>
      <c r="AJ871" s="37">
        <v>637786.94999999995</v>
      </c>
      <c r="AK871" s="37">
        <v>650542.68999999994</v>
      </c>
      <c r="AL871" s="37">
        <v>472105.93</v>
      </c>
      <c r="AM871" s="37">
        <v>481548.05</v>
      </c>
      <c r="AN871" s="37">
        <v>491179.01</v>
      </c>
      <c r="AO871" s="37">
        <v>501002.59</v>
      </c>
      <c r="AP871" s="37">
        <v>511022.64</v>
      </c>
      <c r="AQ871" s="37">
        <v>521243.09</v>
      </c>
      <c r="AR871" s="37">
        <v>5147459.8100000005</v>
      </c>
      <c r="AS871" s="37">
        <v>0</v>
      </c>
      <c r="AT871" s="37">
        <v>15606</v>
      </c>
      <c r="AU871" s="37">
        <v>7741512.3600000003</v>
      </c>
      <c r="AV871" s="37">
        <v>2489593.9700000002</v>
      </c>
      <c r="AW871" s="37">
        <v>0</v>
      </c>
      <c r="AX871" s="37">
        <v>0</v>
      </c>
      <c r="AY871" s="37">
        <v>0</v>
      </c>
      <c r="AZ871" s="37">
        <v>0</v>
      </c>
      <c r="BA871" s="37">
        <v>0</v>
      </c>
      <c r="BB871" s="37">
        <v>0</v>
      </c>
      <c r="BC871" s="37">
        <v>0</v>
      </c>
      <c r="BD871" s="37">
        <v>10246712.33</v>
      </c>
      <c r="BE871" s="37">
        <v>0</v>
      </c>
      <c r="BF871" s="37">
        <v>125893.66646741105</v>
      </c>
      <c r="BG871" s="37">
        <v>163720.30246437178</v>
      </c>
      <c r="BH871" s="37">
        <v>201546.93846133241</v>
      </c>
      <c r="BI871" s="37">
        <v>239373.65529059246</v>
      </c>
      <c r="BJ871" s="37">
        <v>25998.237316292329</v>
      </c>
      <c r="BK871" s="37">
        <v>125893.66646741105</v>
      </c>
      <c r="BL871" s="37">
        <v>163720.30246437178</v>
      </c>
      <c r="BM871" s="37">
        <v>201546.93846133241</v>
      </c>
      <c r="BN871" s="37">
        <v>239373.65529059246</v>
      </c>
      <c r="BO871" s="37">
        <v>0</v>
      </c>
      <c r="BP871" s="37">
        <v>1487067.3626837076</v>
      </c>
      <c r="BQ871" s="37">
        <v>0</v>
      </c>
      <c r="BR871" s="37">
        <v>63052.269808397003</v>
      </c>
      <c r="BS871" s="37">
        <v>81997.267803524781</v>
      </c>
      <c r="BT871" s="37">
        <v>100942.26579865254</v>
      </c>
      <c r="BU871" s="37">
        <v>119887.30427762747</v>
      </c>
      <c r="BV871" s="37">
        <v>13020.892311798198</v>
      </c>
      <c r="BW871" s="37">
        <v>63052.269808397003</v>
      </c>
      <c r="BX871" s="37">
        <v>81997.267803524781</v>
      </c>
      <c r="BY871" s="37">
        <v>100942.26579865254</v>
      </c>
      <c r="BZ871" s="37">
        <v>119887.30427762747</v>
      </c>
      <c r="CA871" s="37">
        <v>0</v>
      </c>
      <c r="CB871" s="37">
        <v>744779.10768820171</v>
      </c>
      <c r="CC871" s="37">
        <v>0</v>
      </c>
      <c r="CD871" s="37">
        <v>0</v>
      </c>
      <c r="CE871" s="37">
        <v>0</v>
      </c>
      <c r="CF871" s="37">
        <v>0</v>
      </c>
      <c r="CG871" s="37">
        <v>0</v>
      </c>
      <c r="CH871" s="37">
        <v>0</v>
      </c>
      <c r="CI871" s="37">
        <v>0</v>
      </c>
      <c r="CJ871" s="37">
        <v>0</v>
      </c>
      <c r="CK871" s="37">
        <v>0</v>
      </c>
      <c r="CL871" s="37">
        <v>0</v>
      </c>
      <c r="CM871" s="37">
        <v>0</v>
      </c>
      <c r="CN871" s="37">
        <v>0</v>
      </c>
      <c r="CO871" s="37">
        <v>0</v>
      </c>
      <c r="CP871" s="37">
        <v>0</v>
      </c>
      <c r="CQ871" s="37">
        <v>0</v>
      </c>
      <c r="CR871" s="37">
        <v>0</v>
      </c>
      <c r="CS871" s="37">
        <v>0</v>
      </c>
      <c r="CT871" s="37">
        <v>0</v>
      </c>
      <c r="CU871" s="37">
        <v>0</v>
      </c>
      <c r="CV871" s="37">
        <v>0</v>
      </c>
      <c r="CW871" s="37">
        <v>0</v>
      </c>
      <c r="CX871" s="37">
        <v>0</v>
      </c>
      <c r="CY871" s="37">
        <v>0</v>
      </c>
      <c r="CZ871" s="37">
        <v>0</v>
      </c>
      <c r="DA871" s="37">
        <v>0</v>
      </c>
      <c r="DB871" s="37">
        <v>562000</v>
      </c>
      <c r="DC871" s="37">
        <v>4150000</v>
      </c>
      <c r="DD871" s="37">
        <v>5150000</v>
      </c>
      <c r="DE871" s="37">
        <v>0</v>
      </c>
      <c r="DF871" s="37">
        <v>0</v>
      </c>
      <c r="DG871" s="37">
        <v>0</v>
      </c>
      <c r="DH871" s="37">
        <v>0</v>
      </c>
      <c r="DI871" s="37">
        <v>0</v>
      </c>
      <c r="DJ871" s="37">
        <v>0</v>
      </c>
      <c r="DK871" s="37">
        <v>0</v>
      </c>
      <c r="DL871" s="37">
        <v>9862000</v>
      </c>
      <c r="DM871" s="37">
        <v>0</v>
      </c>
      <c r="DN871" s="37">
        <v>0</v>
      </c>
      <c r="DO871" s="37">
        <v>0</v>
      </c>
      <c r="DP871" s="37">
        <v>0</v>
      </c>
      <c r="DQ871" s="37">
        <v>0</v>
      </c>
      <c r="DR871" s="37">
        <v>0</v>
      </c>
      <c r="DS871" s="37">
        <v>0</v>
      </c>
      <c r="DT871" s="37">
        <v>0</v>
      </c>
      <c r="DU871" s="37">
        <v>0</v>
      </c>
      <c r="DV871" s="37">
        <v>0</v>
      </c>
      <c r="DW871" s="37">
        <v>0</v>
      </c>
      <c r="DX871" s="37">
        <v>0</v>
      </c>
      <c r="DY871" s="37">
        <v>0</v>
      </c>
      <c r="DZ871" s="37">
        <v>0</v>
      </c>
      <c r="EA871" s="37">
        <v>0</v>
      </c>
      <c r="EB871" s="37">
        <v>0</v>
      </c>
      <c r="EC871" s="37">
        <v>0</v>
      </c>
      <c r="ED871" s="37">
        <v>0</v>
      </c>
      <c r="EE871" s="37">
        <v>0</v>
      </c>
      <c r="EF871" s="37">
        <v>0</v>
      </c>
      <c r="EG871" s="37">
        <v>0</v>
      </c>
      <c r="EH871" s="37">
        <v>0</v>
      </c>
      <c r="EI871" s="37">
        <v>0</v>
      </c>
      <c r="EJ871" s="37">
        <v>0</v>
      </c>
      <c r="EK871" s="161" t="s">
        <v>3196</v>
      </c>
      <c r="EL871" s="294" t="s">
        <v>1124</v>
      </c>
    </row>
    <row r="872" spans="1:142" ht="15" customHeight="1" x14ac:dyDescent="0.35">
      <c r="A872" s="34"/>
      <c r="B872" s="313">
        <v>20020</v>
      </c>
      <c r="C872" s="8" t="s">
        <v>141</v>
      </c>
      <c r="D872" s="18">
        <v>3</v>
      </c>
      <c r="E872" s="155"/>
      <c r="F872" s="36"/>
      <c r="G872" s="37"/>
      <c r="H872" s="37"/>
      <c r="I872" s="37"/>
      <c r="J872" s="37"/>
      <c r="K872" s="37"/>
      <c r="L872" s="37"/>
      <c r="M872" s="37" t="s">
        <v>1124</v>
      </c>
      <c r="N872" s="37" t="s">
        <v>1124</v>
      </c>
      <c r="O872" s="37"/>
      <c r="P872" s="37"/>
      <c r="Q872" s="37"/>
      <c r="R872" s="37"/>
      <c r="S872" s="37"/>
      <c r="T872" s="37"/>
      <c r="U872" s="37"/>
      <c r="V872" s="37"/>
      <c r="W872" s="37"/>
      <c r="X872" s="37"/>
      <c r="Y872" s="37"/>
      <c r="Z872" s="37"/>
      <c r="AA872" s="37" t="s">
        <v>1124</v>
      </c>
      <c r="AB872" s="37" t="s">
        <v>1124</v>
      </c>
      <c r="AC872" s="37"/>
      <c r="AD872" s="37"/>
      <c r="AE872" s="37"/>
      <c r="AF872" s="168"/>
      <c r="AG872" s="37"/>
      <c r="AH872" s="37"/>
      <c r="AI872" s="37"/>
      <c r="AJ872" s="37"/>
      <c r="AK872" s="37"/>
      <c r="AL872" s="37"/>
      <c r="AM872" s="37"/>
      <c r="AN872" s="37"/>
      <c r="AO872" s="37"/>
      <c r="AP872" s="37"/>
      <c r="AQ872" s="37"/>
      <c r="AR872" s="37" t="s">
        <v>1124</v>
      </c>
      <c r="AS872" s="37"/>
      <c r="AT872" s="37"/>
      <c r="AU872" s="37"/>
      <c r="AV872" s="37"/>
      <c r="AW872" s="37"/>
      <c r="AX872" s="37"/>
      <c r="AY872" s="37"/>
      <c r="AZ872" s="37"/>
      <c r="BA872" s="37"/>
      <c r="BB872" s="37"/>
      <c r="BC872" s="37"/>
      <c r="BD872" s="37" t="s">
        <v>1124</v>
      </c>
      <c r="BE872" s="37"/>
      <c r="BF872" s="37"/>
      <c r="BG872" s="37"/>
      <c r="BH872" s="37"/>
      <c r="BI872" s="37"/>
      <c r="BJ872" s="37"/>
      <c r="BK872" s="37"/>
      <c r="BL872" s="37"/>
      <c r="BM872" s="37"/>
      <c r="BN872" s="37"/>
      <c r="BO872" s="37"/>
      <c r="BP872" s="37">
        <v>0</v>
      </c>
      <c r="BQ872" s="37"/>
      <c r="BR872" s="37"/>
      <c r="BS872" s="37"/>
      <c r="BT872" s="37"/>
      <c r="BU872" s="37"/>
      <c r="BV872" s="37"/>
      <c r="BW872" s="37"/>
      <c r="BX872" s="37"/>
      <c r="BY872" s="37"/>
      <c r="BZ872" s="37"/>
      <c r="CA872" s="37"/>
      <c r="CB872" s="37" t="s">
        <v>1124</v>
      </c>
      <c r="CC872" s="37"/>
      <c r="CD872" s="37"/>
      <c r="CE872" s="37"/>
      <c r="CF872" s="37"/>
      <c r="CG872" s="37"/>
      <c r="CH872" s="37"/>
      <c r="CI872" s="37"/>
      <c r="CJ872" s="37"/>
      <c r="CK872" s="37"/>
      <c r="CL872" s="37"/>
      <c r="CM872" s="37"/>
      <c r="CN872" s="37" t="s">
        <v>1124</v>
      </c>
      <c r="CO872" s="37"/>
      <c r="CP872" s="37"/>
      <c r="CQ872" s="37"/>
      <c r="CR872" s="37"/>
      <c r="CS872" s="37"/>
      <c r="CT872" s="37"/>
      <c r="CU872" s="37"/>
      <c r="CV872" s="37"/>
      <c r="CW872" s="37"/>
      <c r="CX872" s="37"/>
      <c r="CY872" s="37"/>
      <c r="CZ872" s="37" t="s">
        <v>1124</v>
      </c>
      <c r="DA872" s="37"/>
      <c r="DB872" s="37"/>
      <c r="DC872" s="37"/>
      <c r="DD872" s="37"/>
      <c r="DE872" s="37"/>
      <c r="DF872" s="37"/>
      <c r="DG872" s="37"/>
      <c r="DH872" s="37"/>
      <c r="DI872" s="37"/>
      <c r="DJ872" s="37"/>
      <c r="DK872" s="37"/>
      <c r="DL872" s="37" t="s">
        <v>1124</v>
      </c>
      <c r="DM872" s="37"/>
      <c r="DN872" s="37"/>
      <c r="DO872" s="37"/>
      <c r="DP872" s="37"/>
      <c r="DQ872" s="37"/>
      <c r="DR872" s="37"/>
      <c r="DS872" s="37"/>
      <c r="DT872" s="37"/>
      <c r="DU872" s="37"/>
      <c r="DV872" s="37"/>
      <c r="DW872" s="37"/>
      <c r="DX872" s="37" t="s">
        <v>1124</v>
      </c>
      <c r="DY872" s="37"/>
      <c r="DZ872" s="37"/>
      <c r="EA872" s="37"/>
      <c r="EB872" s="37"/>
      <c r="EC872" s="37"/>
      <c r="ED872" s="37"/>
      <c r="EE872" s="37"/>
      <c r="EF872" s="37"/>
      <c r="EG872" s="37"/>
      <c r="EH872" s="37"/>
      <c r="EI872" s="37"/>
      <c r="EJ872" s="37" t="s">
        <v>1124</v>
      </c>
      <c r="EK872" s="161"/>
      <c r="EL872" s="294"/>
    </row>
    <row r="873" spans="1:142" ht="15" customHeight="1" x14ac:dyDescent="0.35">
      <c r="A873" s="34"/>
      <c r="B873" s="314">
        <v>71105</v>
      </c>
      <c r="C873" s="8" t="s">
        <v>721</v>
      </c>
      <c r="D873" s="18">
        <v>16</v>
      </c>
      <c r="E873" s="155">
        <v>1745148</v>
      </c>
      <c r="F873" s="36">
        <v>307447</v>
      </c>
      <c r="G873" s="37">
        <v>1095</v>
      </c>
      <c r="H873" s="37">
        <v>160185</v>
      </c>
      <c r="I873" s="37">
        <v>274600</v>
      </c>
      <c r="J873" s="37">
        <v>164700</v>
      </c>
      <c r="K873" s="37">
        <v>561004.85</v>
      </c>
      <c r="L873" s="37">
        <v>0</v>
      </c>
      <c r="M873" s="37">
        <v>2581847.85</v>
      </c>
      <c r="N873" s="37">
        <v>632332</v>
      </c>
      <c r="O873" s="37">
        <v>0</v>
      </c>
      <c r="P873" s="37">
        <v>0</v>
      </c>
      <c r="Q873" s="37">
        <v>1507725</v>
      </c>
      <c r="R873" s="37">
        <v>370029</v>
      </c>
      <c r="S873" s="37">
        <v>14200</v>
      </c>
      <c r="T873" s="37">
        <v>26300</v>
      </c>
      <c r="U873" s="37">
        <v>127338</v>
      </c>
      <c r="V873" s="37">
        <v>10802</v>
      </c>
      <c r="W873" s="37">
        <v>773328</v>
      </c>
      <c r="X873" s="37">
        <v>384458</v>
      </c>
      <c r="Y873" s="37">
        <v>0</v>
      </c>
      <c r="Z873" s="37">
        <v>0</v>
      </c>
      <c r="AA873" s="37">
        <v>2422591</v>
      </c>
      <c r="AB873" s="37">
        <v>791589</v>
      </c>
      <c r="AC873" s="37">
        <v>0</v>
      </c>
      <c r="AD873" s="37">
        <v>0</v>
      </c>
      <c r="AE873" s="37">
        <v>0</v>
      </c>
      <c r="AF873" s="168">
        <v>0.02</v>
      </c>
      <c r="AG873" s="37">
        <v>218466193.16</v>
      </c>
      <c r="AH873" s="37">
        <v>946859.72</v>
      </c>
      <c r="AI873" s="37">
        <v>923348.59</v>
      </c>
      <c r="AJ873" s="37">
        <v>898518.28</v>
      </c>
      <c r="AK873" s="37">
        <v>1048978.3400000001</v>
      </c>
      <c r="AL873" s="37">
        <v>979864.91</v>
      </c>
      <c r="AM873" s="37">
        <v>1263659.9099999999</v>
      </c>
      <c r="AN873" s="37">
        <v>1113184.2</v>
      </c>
      <c r="AO873" s="37">
        <v>992036.78</v>
      </c>
      <c r="AP873" s="37">
        <v>963117.74</v>
      </c>
      <c r="AQ873" s="37">
        <v>982380.09</v>
      </c>
      <c r="AR873" s="37">
        <v>10111948.560000002</v>
      </c>
      <c r="AS873" s="37">
        <v>2150781.4700000002</v>
      </c>
      <c r="AT873" s="37">
        <v>8137124.46</v>
      </c>
      <c r="AU873" s="37">
        <v>6018428.9299999997</v>
      </c>
      <c r="AV873" s="37">
        <v>1118152.42</v>
      </c>
      <c r="AW873" s="37">
        <v>1030107.39</v>
      </c>
      <c r="AX873" s="37">
        <v>1050709.54</v>
      </c>
      <c r="AY873" s="37">
        <v>1071723.73</v>
      </c>
      <c r="AZ873" s="37">
        <v>1093158.2</v>
      </c>
      <c r="BA873" s="37">
        <v>1115021.3700000001</v>
      </c>
      <c r="BB873" s="37">
        <v>1137321.79</v>
      </c>
      <c r="BC873" s="37">
        <v>1160068.23</v>
      </c>
      <c r="BD873" s="37">
        <v>22931816.059999999</v>
      </c>
      <c r="BE873" s="37">
        <v>1849676</v>
      </c>
      <c r="BF873" s="37">
        <v>813525</v>
      </c>
      <c r="BG873" s="37">
        <v>1302389</v>
      </c>
      <c r="BH873" s="37">
        <v>204256</v>
      </c>
      <c r="BI873" s="37">
        <v>0</v>
      </c>
      <c r="BJ873" s="37">
        <v>0</v>
      </c>
      <c r="BK873" s="37">
        <v>0</v>
      </c>
      <c r="BL873" s="37">
        <v>0</v>
      </c>
      <c r="BM873" s="37">
        <v>0</v>
      </c>
      <c r="BN873" s="37">
        <v>0</v>
      </c>
      <c r="BO873" s="37">
        <v>0</v>
      </c>
      <c r="BP873" s="37">
        <v>2320170</v>
      </c>
      <c r="BQ873" s="37">
        <v>0</v>
      </c>
      <c r="BR873" s="37">
        <v>203382</v>
      </c>
      <c r="BS873" s="37">
        <v>406762.5</v>
      </c>
      <c r="BT873" s="37">
        <v>51063</v>
      </c>
      <c r="BU873" s="37">
        <v>0</v>
      </c>
      <c r="BV873" s="37">
        <v>0</v>
      </c>
      <c r="BW873" s="37">
        <v>0</v>
      </c>
      <c r="BX873" s="37">
        <v>0</v>
      </c>
      <c r="BY873" s="37">
        <v>0</v>
      </c>
      <c r="BZ873" s="37">
        <v>0</v>
      </c>
      <c r="CA873" s="37">
        <v>0</v>
      </c>
      <c r="CB873" s="37">
        <v>661207.5</v>
      </c>
      <c r="CC873" s="37">
        <v>0</v>
      </c>
      <c r="CD873" s="37">
        <v>0</v>
      </c>
      <c r="CE873" s="37">
        <v>0</v>
      </c>
      <c r="CF873" s="37">
        <v>0</v>
      </c>
      <c r="CG873" s="37">
        <v>0</v>
      </c>
      <c r="CH873" s="37">
        <v>0</v>
      </c>
      <c r="CI873" s="37">
        <v>0</v>
      </c>
      <c r="CJ873" s="37">
        <v>0</v>
      </c>
      <c r="CK873" s="37">
        <v>0</v>
      </c>
      <c r="CL873" s="37">
        <v>0</v>
      </c>
      <c r="CM873" s="37">
        <v>0</v>
      </c>
      <c r="CN873" s="37">
        <v>0</v>
      </c>
      <c r="CO873" s="37">
        <v>0</v>
      </c>
      <c r="CP873" s="37">
        <v>0</v>
      </c>
      <c r="CQ873" s="37">
        <v>0</v>
      </c>
      <c r="CR873" s="37">
        <v>0</v>
      </c>
      <c r="CS873" s="37">
        <v>0</v>
      </c>
      <c r="CT873" s="37">
        <v>0</v>
      </c>
      <c r="CU873" s="37">
        <v>0</v>
      </c>
      <c r="CV873" s="37">
        <v>0</v>
      </c>
      <c r="CW873" s="37">
        <v>0</v>
      </c>
      <c r="CX873" s="37">
        <v>0</v>
      </c>
      <c r="CY873" s="37">
        <v>0</v>
      </c>
      <c r="CZ873" s="37">
        <v>0</v>
      </c>
      <c r="DA873" s="37">
        <v>0</v>
      </c>
      <c r="DB873" s="37">
        <v>0</v>
      </c>
      <c r="DC873" s="37">
        <v>0</v>
      </c>
      <c r="DD873" s="37">
        <v>0</v>
      </c>
      <c r="DE873" s="37">
        <v>0</v>
      </c>
      <c r="DF873" s="37">
        <v>0</v>
      </c>
      <c r="DG873" s="37">
        <v>0</v>
      </c>
      <c r="DH873" s="37">
        <v>0</v>
      </c>
      <c r="DI873" s="37">
        <v>0</v>
      </c>
      <c r="DJ873" s="37">
        <v>0</v>
      </c>
      <c r="DK873" s="37">
        <v>0</v>
      </c>
      <c r="DL873" s="37">
        <v>0</v>
      </c>
      <c r="DM873" s="37">
        <v>0</v>
      </c>
      <c r="DN873" s="37">
        <v>0</v>
      </c>
      <c r="DO873" s="37">
        <v>0</v>
      </c>
      <c r="DP873" s="37">
        <v>0</v>
      </c>
      <c r="DQ873" s="37">
        <v>0</v>
      </c>
      <c r="DR873" s="37">
        <v>0</v>
      </c>
      <c r="DS873" s="37">
        <v>0</v>
      </c>
      <c r="DT873" s="37">
        <v>0</v>
      </c>
      <c r="DU873" s="37">
        <v>0</v>
      </c>
      <c r="DV873" s="37">
        <v>0</v>
      </c>
      <c r="DW873" s="37">
        <v>0</v>
      </c>
      <c r="DX873" s="37">
        <v>0</v>
      </c>
      <c r="DY873" s="37">
        <v>0</v>
      </c>
      <c r="DZ873" s="37">
        <v>0</v>
      </c>
      <c r="EA873" s="37">
        <v>0</v>
      </c>
      <c r="EB873" s="37">
        <v>0</v>
      </c>
      <c r="EC873" s="37">
        <v>0</v>
      </c>
      <c r="ED873" s="37">
        <v>0</v>
      </c>
      <c r="EE873" s="37">
        <v>0</v>
      </c>
      <c r="EF873" s="37">
        <v>0</v>
      </c>
      <c r="EG873" s="37">
        <v>0</v>
      </c>
      <c r="EH873" s="37">
        <v>0</v>
      </c>
      <c r="EI873" s="37">
        <v>0</v>
      </c>
      <c r="EJ873" s="37">
        <v>0</v>
      </c>
      <c r="EK873" s="161" t="s">
        <v>3200</v>
      </c>
      <c r="EL873" s="294" t="s">
        <v>1124</v>
      </c>
    </row>
    <row r="874" spans="1:142" ht="15" customHeight="1" x14ac:dyDescent="0.35">
      <c r="A874" s="34"/>
      <c r="B874" s="313">
        <v>19050</v>
      </c>
      <c r="C874" s="8" t="s">
        <v>126</v>
      </c>
      <c r="D874" s="18">
        <v>12</v>
      </c>
      <c r="E874" s="155">
        <v>111236</v>
      </c>
      <c r="F874" s="36">
        <v>36560</v>
      </c>
      <c r="G874" s="37">
        <v>16581</v>
      </c>
      <c r="H874" s="37">
        <v>26611</v>
      </c>
      <c r="I874" s="37">
        <v>13000</v>
      </c>
      <c r="J874" s="37">
        <v>32000</v>
      </c>
      <c r="K874" s="37">
        <v>16685</v>
      </c>
      <c r="L874" s="37">
        <v>5500</v>
      </c>
      <c r="M874" s="37">
        <v>157502</v>
      </c>
      <c r="N874" s="37">
        <v>100671</v>
      </c>
      <c r="O874" s="37">
        <v>41189</v>
      </c>
      <c r="P874" s="37">
        <v>0</v>
      </c>
      <c r="Q874" s="37">
        <v>58000</v>
      </c>
      <c r="R874" s="37">
        <v>0</v>
      </c>
      <c r="S874" s="37">
        <v>0</v>
      </c>
      <c r="T874" s="37">
        <v>0</v>
      </c>
      <c r="U874" s="37">
        <v>16730</v>
      </c>
      <c r="V874" s="37">
        <v>0</v>
      </c>
      <c r="W874" s="37">
        <v>51350</v>
      </c>
      <c r="X874" s="37">
        <v>119000</v>
      </c>
      <c r="Y874" s="37">
        <v>0</v>
      </c>
      <c r="Z874" s="37">
        <v>0</v>
      </c>
      <c r="AA874" s="37">
        <v>167269</v>
      </c>
      <c r="AB874" s="37">
        <v>119000</v>
      </c>
      <c r="AC874" s="37">
        <v>28096</v>
      </c>
      <c r="AD874" s="37">
        <v>0</v>
      </c>
      <c r="AE874" s="37">
        <v>0</v>
      </c>
      <c r="AF874" s="168">
        <v>0.02</v>
      </c>
      <c r="AG874" s="37">
        <v>17965290.75</v>
      </c>
      <c r="AH874" s="37">
        <v>113689.85</v>
      </c>
      <c r="AI874" s="37">
        <v>115963.65</v>
      </c>
      <c r="AJ874" s="37">
        <v>118282.92</v>
      </c>
      <c r="AK874" s="37">
        <v>120648.58</v>
      </c>
      <c r="AL874" s="37">
        <v>123061.55</v>
      </c>
      <c r="AM874" s="37">
        <v>125522.78</v>
      </c>
      <c r="AN874" s="37">
        <v>128033.24</v>
      </c>
      <c r="AO874" s="37">
        <v>130593.9</v>
      </c>
      <c r="AP874" s="37">
        <v>133205.78</v>
      </c>
      <c r="AQ874" s="37">
        <v>135869.9</v>
      </c>
      <c r="AR874" s="37">
        <v>1244872.1500000001</v>
      </c>
      <c r="AS874" s="37">
        <v>13441.97</v>
      </c>
      <c r="AT874" s="37">
        <v>0</v>
      </c>
      <c r="AU874" s="37">
        <v>0</v>
      </c>
      <c r="AV874" s="37">
        <v>0</v>
      </c>
      <c r="AW874" s="37">
        <v>0</v>
      </c>
      <c r="AX874" s="37">
        <v>0</v>
      </c>
      <c r="AY874" s="37">
        <v>0</v>
      </c>
      <c r="AZ874" s="37">
        <v>0</v>
      </c>
      <c r="BA874" s="37">
        <v>0</v>
      </c>
      <c r="BB874" s="37">
        <v>0</v>
      </c>
      <c r="BC874" s="37">
        <v>0</v>
      </c>
      <c r="BD874" s="37">
        <v>0</v>
      </c>
      <c r="BE874" s="37">
        <v>0</v>
      </c>
      <c r="BF874" s="37">
        <v>0</v>
      </c>
      <c r="BG874" s="37">
        <v>0</v>
      </c>
      <c r="BH874" s="37">
        <v>0</v>
      </c>
      <c r="BI874" s="37">
        <v>0</v>
      </c>
      <c r="BJ874" s="37">
        <v>0</v>
      </c>
      <c r="BK874" s="37">
        <v>0</v>
      </c>
      <c r="BL874" s="37">
        <v>0</v>
      </c>
      <c r="BM874" s="37">
        <v>0</v>
      </c>
      <c r="BN874" s="37">
        <v>0</v>
      </c>
      <c r="BO874" s="37">
        <v>0</v>
      </c>
      <c r="BP874" s="37">
        <v>0</v>
      </c>
      <c r="BQ874" s="37">
        <v>0</v>
      </c>
      <c r="BR874" s="37">
        <v>0</v>
      </c>
      <c r="BS874" s="37">
        <v>0</v>
      </c>
      <c r="BT874" s="37">
        <v>0</v>
      </c>
      <c r="BU874" s="37">
        <v>0</v>
      </c>
      <c r="BV874" s="37">
        <v>0</v>
      </c>
      <c r="BW874" s="37">
        <v>0</v>
      </c>
      <c r="BX874" s="37">
        <v>0</v>
      </c>
      <c r="BY874" s="37">
        <v>0</v>
      </c>
      <c r="BZ874" s="37">
        <v>0</v>
      </c>
      <c r="CA874" s="37">
        <v>0</v>
      </c>
      <c r="CB874" s="37">
        <v>0</v>
      </c>
      <c r="CC874" s="37">
        <v>0</v>
      </c>
      <c r="CD874" s="37">
        <v>0</v>
      </c>
      <c r="CE874" s="37">
        <v>0</v>
      </c>
      <c r="CF874" s="37">
        <v>0</v>
      </c>
      <c r="CG874" s="37">
        <v>0</v>
      </c>
      <c r="CH874" s="37">
        <v>0</v>
      </c>
      <c r="CI874" s="37">
        <v>0</v>
      </c>
      <c r="CJ874" s="37">
        <v>0</v>
      </c>
      <c r="CK874" s="37">
        <v>0</v>
      </c>
      <c r="CL874" s="37">
        <v>0</v>
      </c>
      <c r="CM874" s="37">
        <v>0</v>
      </c>
      <c r="CN874" s="37">
        <v>0</v>
      </c>
      <c r="CO874" s="37">
        <v>0</v>
      </c>
      <c r="CP874" s="37">
        <v>0</v>
      </c>
      <c r="CQ874" s="37">
        <v>0</v>
      </c>
      <c r="CR874" s="37">
        <v>0</v>
      </c>
      <c r="CS874" s="37">
        <v>0</v>
      </c>
      <c r="CT874" s="37">
        <v>0</v>
      </c>
      <c r="CU874" s="37">
        <v>0</v>
      </c>
      <c r="CV874" s="37">
        <v>0</v>
      </c>
      <c r="CW874" s="37">
        <v>0</v>
      </c>
      <c r="CX874" s="37">
        <v>0</v>
      </c>
      <c r="CY874" s="37">
        <v>0</v>
      </c>
      <c r="CZ874" s="37">
        <v>0</v>
      </c>
      <c r="DA874" s="37">
        <v>0</v>
      </c>
      <c r="DB874" s="37">
        <v>0</v>
      </c>
      <c r="DC874" s="37">
        <v>0</v>
      </c>
      <c r="DD874" s="37">
        <v>0</v>
      </c>
      <c r="DE874" s="37">
        <v>0</v>
      </c>
      <c r="DF874" s="37">
        <v>0</v>
      </c>
      <c r="DG874" s="37">
        <v>0</v>
      </c>
      <c r="DH874" s="37">
        <v>0</v>
      </c>
      <c r="DI874" s="37">
        <v>0</v>
      </c>
      <c r="DJ874" s="37">
        <v>0</v>
      </c>
      <c r="DK874" s="37">
        <v>0</v>
      </c>
      <c r="DL874" s="37">
        <v>0</v>
      </c>
      <c r="DM874" s="37">
        <v>0</v>
      </c>
      <c r="DN874" s="37">
        <v>0</v>
      </c>
      <c r="DO874" s="37">
        <v>0</v>
      </c>
      <c r="DP874" s="37">
        <v>0</v>
      </c>
      <c r="DQ874" s="37">
        <v>0</v>
      </c>
      <c r="DR874" s="37">
        <v>0</v>
      </c>
      <c r="DS874" s="37">
        <v>0</v>
      </c>
      <c r="DT874" s="37">
        <v>0</v>
      </c>
      <c r="DU874" s="37">
        <v>0</v>
      </c>
      <c r="DV874" s="37">
        <v>0</v>
      </c>
      <c r="DW874" s="37">
        <v>0</v>
      </c>
      <c r="DX874" s="37">
        <v>0</v>
      </c>
      <c r="DY874" s="37">
        <v>0</v>
      </c>
      <c r="DZ874" s="37">
        <v>0</v>
      </c>
      <c r="EA874" s="37">
        <v>0</v>
      </c>
      <c r="EB874" s="37">
        <v>0</v>
      </c>
      <c r="EC874" s="37">
        <v>0</v>
      </c>
      <c r="ED874" s="37">
        <v>0</v>
      </c>
      <c r="EE874" s="37">
        <v>0</v>
      </c>
      <c r="EF874" s="37">
        <v>0</v>
      </c>
      <c r="EG874" s="37">
        <v>0</v>
      </c>
      <c r="EH874" s="37">
        <v>0</v>
      </c>
      <c r="EI874" s="37">
        <v>0</v>
      </c>
      <c r="EJ874" s="37">
        <v>0</v>
      </c>
      <c r="EK874" s="161" t="s">
        <v>3203</v>
      </c>
      <c r="EL874" s="294" t="s">
        <v>1124</v>
      </c>
    </row>
    <row r="875" spans="1:142" ht="15" customHeight="1" x14ac:dyDescent="0.35">
      <c r="A875" s="34"/>
      <c r="B875" s="313">
        <v>8065</v>
      </c>
      <c r="C875" s="8" t="s">
        <v>1094</v>
      </c>
      <c r="D875" s="18">
        <v>1</v>
      </c>
      <c r="E875" s="155"/>
      <c r="F875" s="36"/>
      <c r="G875" s="37"/>
      <c r="H875" s="37"/>
      <c r="I875" s="37"/>
      <c r="J875" s="37"/>
      <c r="K875" s="37"/>
      <c r="L875" s="37"/>
      <c r="M875" s="37" t="s">
        <v>1124</v>
      </c>
      <c r="N875" s="37" t="s">
        <v>1124</v>
      </c>
      <c r="O875" s="37"/>
      <c r="P875" s="37"/>
      <c r="Q875" s="37"/>
      <c r="R875" s="37"/>
      <c r="S875" s="37"/>
      <c r="T875" s="37"/>
      <c r="U875" s="37"/>
      <c r="V875" s="37"/>
      <c r="W875" s="37"/>
      <c r="X875" s="37"/>
      <c r="Y875" s="37"/>
      <c r="Z875" s="37"/>
      <c r="AA875" s="37" t="s">
        <v>1124</v>
      </c>
      <c r="AB875" s="37" t="s">
        <v>1124</v>
      </c>
      <c r="AC875" s="37"/>
      <c r="AD875" s="37"/>
      <c r="AE875" s="37"/>
      <c r="AF875" s="168"/>
      <c r="AG875" s="37"/>
      <c r="AH875" s="37"/>
      <c r="AI875" s="37"/>
      <c r="AJ875" s="37"/>
      <c r="AK875" s="37"/>
      <c r="AL875" s="37"/>
      <c r="AM875" s="37"/>
      <c r="AN875" s="37"/>
      <c r="AO875" s="37"/>
      <c r="AP875" s="37"/>
      <c r="AQ875" s="37"/>
      <c r="AR875" s="37" t="s">
        <v>1124</v>
      </c>
      <c r="AS875" s="37"/>
      <c r="AT875" s="37"/>
      <c r="AU875" s="37"/>
      <c r="AV875" s="37"/>
      <c r="AW875" s="37"/>
      <c r="AX875" s="37"/>
      <c r="AY875" s="37"/>
      <c r="AZ875" s="37"/>
      <c r="BA875" s="37"/>
      <c r="BB875" s="37"/>
      <c r="BC875" s="37"/>
      <c r="BD875" s="37" t="s">
        <v>1124</v>
      </c>
      <c r="BE875" s="37"/>
      <c r="BF875" s="37"/>
      <c r="BG875" s="37"/>
      <c r="BH875" s="37"/>
      <c r="BI875" s="37"/>
      <c r="BJ875" s="37"/>
      <c r="BK875" s="37"/>
      <c r="BL875" s="37"/>
      <c r="BM875" s="37"/>
      <c r="BN875" s="37"/>
      <c r="BO875" s="37"/>
      <c r="BP875" s="37">
        <v>0</v>
      </c>
      <c r="BQ875" s="37"/>
      <c r="BR875" s="37"/>
      <c r="BS875" s="37"/>
      <c r="BT875" s="37"/>
      <c r="BU875" s="37"/>
      <c r="BV875" s="37"/>
      <c r="BW875" s="37"/>
      <c r="BX875" s="37"/>
      <c r="BY875" s="37"/>
      <c r="BZ875" s="37"/>
      <c r="CA875" s="37"/>
      <c r="CB875" s="37" t="s">
        <v>1124</v>
      </c>
      <c r="CC875" s="37"/>
      <c r="CD875" s="37"/>
      <c r="CE875" s="37"/>
      <c r="CF875" s="37"/>
      <c r="CG875" s="37"/>
      <c r="CH875" s="37"/>
      <c r="CI875" s="37"/>
      <c r="CJ875" s="37"/>
      <c r="CK875" s="37"/>
      <c r="CL875" s="37"/>
      <c r="CM875" s="37"/>
      <c r="CN875" s="37" t="s">
        <v>1124</v>
      </c>
      <c r="CO875" s="37"/>
      <c r="CP875" s="37"/>
      <c r="CQ875" s="37"/>
      <c r="CR875" s="37"/>
      <c r="CS875" s="37"/>
      <c r="CT875" s="37"/>
      <c r="CU875" s="37"/>
      <c r="CV875" s="37"/>
      <c r="CW875" s="37"/>
      <c r="CX875" s="37"/>
      <c r="CY875" s="37"/>
      <c r="CZ875" s="37" t="s">
        <v>1124</v>
      </c>
      <c r="DA875" s="37"/>
      <c r="DB875" s="37"/>
      <c r="DC875" s="37"/>
      <c r="DD875" s="37"/>
      <c r="DE875" s="37"/>
      <c r="DF875" s="37"/>
      <c r="DG875" s="37"/>
      <c r="DH875" s="37"/>
      <c r="DI875" s="37"/>
      <c r="DJ875" s="37"/>
      <c r="DK875" s="37"/>
      <c r="DL875" s="37" t="s">
        <v>1124</v>
      </c>
      <c r="DM875" s="37"/>
      <c r="DN875" s="37"/>
      <c r="DO875" s="37"/>
      <c r="DP875" s="37"/>
      <c r="DQ875" s="37"/>
      <c r="DR875" s="37"/>
      <c r="DS875" s="37"/>
      <c r="DT875" s="37"/>
      <c r="DU875" s="37"/>
      <c r="DV875" s="37"/>
      <c r="DW875" s="37"/>
      <c r="DX875" s="37" t="s">
        <v>1124</v>
      </c>
      <c r="DY875" s="37"/>
      <c r="DZ875" s="37"/>
      <c r="EA875" s="37"/>
      <c r="EB875" s="37"/>
      <c r="EC875" s="37"/>
      <c r="ED875" s="37"/>
      <c r="EE875" s="37"/>
      <c r="EF875" s="37"/>
      <c r="EG875" s="37"/>
      <c r="EH875" s="37"/>
      <c r="EI875" s="37"/>
      <c r="EJ875" s="37" t="s">
        <v>1124</v>
      </c>
      <c r="EK875" s="161"/>
      <c r="EL875" s="294"/>
    </row>
    <row r="876" spans="1:142" ht="15" customHeight="1" x14ac:dyDescent="0.35">
      <c r="A876" s="34"/>
      <c r="B876" s="313">
        <v>50042</v>
      </c>
      <c r="C876" s="8" t="s">
        <v>487</v>
      </c>
      <c r="D876" s="18">
        <v>17</v>
      </c>
      <c r="E876" s="155">
        <v>138038</v>
      </c>
      <c r="F876" s="36">
        <v>74250</v>
      </c>
      <c r="G876" s="37">
        <v>30217</v>
      </c>
      <c r="H876" s="37">
        <v>35413</v>
      </c>
      <c r="I876" s="37">
        <v>87852</v>
      </c>
      <c r="J876" s="37">
        <v>124105</v>
      </c>
      <c r="K876" s="37">
        <v>13178</v>
      </c>
      <c r="L876" s="37">
        <v>18616</v>
      </c>
      <c r="M876" s="37">
        <v>269285</v>
      </c>
      <c r="N876" s="37">
        <v>252384</v>
      </c>
      <c r="O876" s="37">
        <v>0</v>
      </c>
      <c r="P876" s="37">
        <v>0</v>
      </c>
      <c r="Q876" s="37">
        <v>120711</v>
      </c>
      <c r="R876" s="37">
        <v>51668</v>
      </c>
      <c r="S876" s="37">
        <v>17582</v>
      </c>
      <c r="T876" s="37">
        <v>0</v>
      </c>
      <c r="U876" s="37">
        <v>13600</v>
      </c>
      <c r="V876" s="37">
        <v>2046</v>
      </c>
      <c r="W876" s="37">
        <v>117392</v>
      </c>
      <c r="X876" s="37">
        <v>198670</v>
      </c>
      <c r="Y876" s="37">
        <v>0</v>
      </c>
      <c r="Z876" s="37">
        <v>0</v>
      </c>
      <c r="AA876" s="37">
        <v>269285</v>
      </c>
      <c r="AB876" s="37">
        <v>252384</v>
      </c>
      <c r="AC876" s="37">
        <v>0</v>
      </c>
      <c r="AD876" s="37">
        <v>0</v>
      </c>
      <c r="AE876" s="37">
        <v>0</v>
      </c>
      <c r="AF876" s="168">
        <v>0.02</v>
      </c>
      <c r="AG876" s="37">
        <v>22489576.84</v>
      </c>
      <c r="AH876" s="37">
        <v>169026.59</v>
      </c>
      <c r="AI876" s="37">
        <v>172407.13</v>
      </c>
      <c r="AJ876" s="37">
        <v>175855.27</v>
      </c>
      <c r="AK876" s="37">
        <v>179372.37</v>
      </c>
      <c r="AL876" s="37">
        <v>182959.82</v>
      </c>
      <c r="AM876" s="37">
        <v>186619.02</v>
      </c>
      <c r="AN876" s="37">
        <v>190351.4</v>
      </c>
      <c r="AO876" s="37">
        <v>194158.43</v>
      </c>
      <c r="AP876" s="37">
        <v>198041.60000000001</v>
      </c>
      <c r="AQ876" s="37">
        <v>202002.43</v>
      </c>
      <c r="AR876" s="37">
        <v>1850794.0599999998</v>
      </c>
      <c r="AS876" s="37">
        <v>3087846.31</v>
      </c>
      <c r="AT876" s="37">
        <v>0</v>
      </c>
      <c r="AU876" s="37">
        <v>0</v>
      </c>
      <c r="AV876" s="37">
        <v>0</v>
      </c>
      <c r="AW876" s="37">
        <v>0</v>
      </c>
      <c r="AX876" s="37">
        <v>0</v>
      </c>
      <c r="AY876" s="37">
        <v>0</v>
      </c>
      <c r="AZ876" s="37">
        <v>0</v>
      </c>
      <c r="BA876" s="37">
        <v>0</v>
      </c>
      <c r="BB876" s="37">
        <v>0</v>
      </c>
      <c r="BC876" s="37">
        <v>0</v>
      </c>
      <c r="BD876" s="37">
        <v>0</v>
      </c>
      <c r="BE876" s="37">
        <v>26997</v>
      </c>
      <c r="BF876" s="37">
        <v>0</v>
      </c>
      <c r="BG876" s="37">
        <v>0</v>
      </c>
      <c r="BH876" s="37">
        <v>0</v>
      </c>
      <c r="BI876" s="37">
        <v>0</v>
      </c>
      <c r="BJ876" s="37">
        <v>0</v>
      </c>
      <c r="BK876" s="37">
        <v>0</v>
      </c>
      <c r="BL876" s="37">
        <v>0</v>
      </c>
      <c r="BM876" s="37">
        <v>0</v>
      </c>
      <c r="BN876" s="37">
        <v>0</v>
      </c>
      <c r="BO876" s="37">
        <v>0</v>
      </c>
      <c r="BP876" s="37">
        <v>0</v>
      </c>
      <c r="BQ876" s="37">
        <v>5528</v>
      </c>
      <c r="BR876" s="37">
        <v>0</v>
      </c>
      <c r="BS876" s="37">
        <v>0</v>
      </c>
      <c r="BT876" s="37">
        <v>0</v>
      </c>
      <c r="BU876" s="37">
        <v>0</v>
      </c>
      <c r="BV876" s="37">
        <v>0</v>
      </c>
      <c r="BW876" s="37">
        <v>0</v>
      </c>
      <c r="BX876" s="37">
        <v>0</v>
      </c>
      <c r="BY876" s="37">
        <v>0</v>
      </c>
      <c r="BZ876" s="37">
        <v>0</v>
      </c>
      <c r="CA876" s="37">
        <v>0</v>
      </c>
      <c r="CB876" s="37">
        <v>0</v>
      </c>
      <c r="CC876" s="37">
        <v>0</v>
      </c>
      <c r="CD876" s="37">
        <v>0</v>
      </c>
      <c r="CE876" s="37">
        <v>0</v>
      </c>
      <c r="CF876" s="37">
        <v>0</v>
      </c>
      <c r="CG876" s="37">
        <v>0</v>
      </c>
      <c r="CH876" s="37">
        <v>0</v>
      </c>
      <c r="CI876" s="37">
        <v>0</v>
      </c>
      <c r="CJ876" s="37">
        <v>0</v>
      </c>
      <c r="CK876" s="37">
        <v>0</v>
      </c>
      <c r="CL876" s="37">
        <v>0</v>
      </c>
      <c r="CM876" s="37">
        <v>0</v>
      </c>
      <c r="CN876" s="37">
        <v>0</v>
      </c>
      <c r="CO876" s="37">
        <v>0</v>
      </c>
      <c r="CP876" s="37">
        <v>0</v>
      </c>
      <c r="CQ876" s="37">
        <v>0</v>
      </c>
      <c r="CR876" s="37">
        <v>0</v>
      </c>
      <c r="CS876" s="37">
        <v>0</v>
      </c>
      <c r="CT876" s="37">
        <v>0</v>
      </c>
      <c r="CU876" s="37">
        <v>0</v>
      </c>
      <c r="CV876" s="37">
        <v>0</v>
      </c>
      <c r="CW876" s="37">
        <v>0</v>
      </c>
      <c r="CX876" s="37">
        <v>0</v>
      </c>
      <c r="CY876" s="37">
        <v>0</v>
      </c>
      <c r="CZ876" s="37">
        <v>0</v>
      </c>
      <c r="DA876" s="37">
        <v>0</v>
      </c>
      <c r="DB876" s="37">
        <v>0</v>
      </c>
      <c r="DC876" s="37">
        <v>0</v>
      </c>
      <c r="DD876" s="37">
        <v>0</v>
      </c>
      <c r="DE876" s="37">
        <v>0</v>
      </c>
      <c r="DF876" s="37">
        <v>0</v>
      </c>
      <c r="DG876" s="37">
        <v>0</v>
      </c>
      <c r="DH876" s="37">
        <v>0</v>
      </c>
      <c r="DI876" s="37">
        <v>0</v>
      </c>
      <c r="DJ876" s="37">
        <v>0</v>
      </c>
      <c r="DK876" s="37">
        <v>0</v>
      </c>
      <c r="DL876" s="37">
        <v>0</v>
      </c>
      <c r="DM876" s="37">
        <v>0</v>
      </c>
      <c r="DN876" s="37">
        <v>0</v>
      </c>
      <c r="DO876" s="37">
        <v>0</v>
      </c>
      <c r="DP876" s="37">
        <v>0</v>
      </c>
      <c r="DQ876" s="37">
        <v>0</v>
      </c>
      <c r="DR876" s="37">
        <v>0</v>
      </c>
      <c r="DS876" s="37">
        <v>0</v>
      </c>
      <c r="DT876" s="37">
        <v>0</v>
      </c>
      <c r="DU876" s="37">
        <v>0</v>
      </c>
      <c r="DV876" s="37">
        <v>0</v>
      </c>
      <c r="DW876" s="37">
        <v>0</v>
      </c>
      <c r="DX876" s="37">
        <v>0</v>
      </c>
      <c r="DY876" s="37">
        <v>0</v>
      </c>
      <c r="DZ876" s="37">
        <v>0</v>
      </c>
      <c r="EA876" s="37">
        <v>0</v>
      </c>
      <c r="EB876" s="37">
        <v>0</v>
      </c>
      <c r="EC876" s="37">
        <v>0</v>
      </c>
      <c r="ED876" s="37">
        <v>0</v>
      </c>
      <c r="EE876" s="37">
        <v>0</v>
      </c>
      <c r="EF876" s="37">
        <v>0</v>
      </c>
      <c r="EG876" s="37">
        <v>0</v>
      </c>
      <c r="EH876" s="37">
        <v>0</v>
      </c>
      <c r="EI876" s="37">
        <v>0</v>
      </c>
      <c r="EJ876" s="37">
        <v>0</v>
      </c>
      <c r="EK876" s="161" t="s">
        <v>3208</v>
      </c>
      <c r="EL876" s="294" t="s">
        <v>1124</v>
      </c>
    </row>
    <row r="877" spans="1:142" ht="15" customHeight="1" x14ac:dyDescent="0.35">
      <c r="A877" s="34"/>
      <c r="B877" s="313">
        <v>34115</v>
      </c>
      <c r="C877" s="8" t="s">
        <v>299</v>
      </c>
      <c r="D877" s="18">
        <v>3</v>
      </c>
      <c r="E877" s="155">
        <v>120377</v>
      </c>
      <c r="F877" s="36">
        <v>66904</v>
      </c>
      <c r="G877" s="37">
        <v>3438</v>
      </c>
      <c r="H877" s="37">
        <v>4190</v>
      </c>
      <c r="I877" s="37">
        <v>16662.47</v>
      </c>
      <c r="J877" s="37">
        <v>13562.98</v>
      </c>
      <c r="K877" s="37">
        <v>18056.55</v>
      </c>
      <c r="L877" s="37">
        <v>10035.6</v>
      </c>
      <c r="M877" s="37">
        <v>158534.02000000002</v>
      </c>
      <c r="N877" s="37">
        <v>94692.58</v>
      </c>
      <c r="O877" s="37">
        <v>0</v>
      </c>
      <c r="P877" s="37">
        <v>0</v>
      </c>
      <c r="Q877" s="37">
        <v>0</v>
      </c>
      <c r="R877" s="37">
        <v>0</v>
      </c>
      <c r="S877" s="37">
        <v>2493</v>
      </c>
      <c r="T877" s="37">
        <v>5038</v>
      </c>
      <c r="U877" s="37">
        <v>0</v>
      </c>
      <c r="V877" s="37">
        <v>0</v>
      </c>
      <c r="W877" s="37">
        <v>156041.01999999999</v>
      </c>
      <c r="X877" s="37">
        <v>89654.58</v>
      </c>
      <c r="Y877" s="37">
        <v>0</v>
      </c>
      <c r="Z877" s="37">
        <v>0</v>
      </c>
      <c r="AA877" s="37">
        <v>158534.01999999999</v>
      </c>
      <c r="AB877" s="37">
        <v>94692.58</v>
      </c>
      <c r="AC877" s="37">
        <v>0</v>
      </c>
      <c r="AD877" s="37">
        <v>0</v>
      </c>
      <c r="AE877" s="37">
        <v>0</v>
      </c>
      <c r="AF877" s="168">
        <v>0.02</v>
      </c>
      <c r="AG877" s="37">
        <v>9720951.4199999999</v>
      </c>
      <c r="AH877" s="37">
        <v>177855.46</v>
      </c>
      <c r="AI877" s="37">
        <v>98180.57</v>
      </c>
      <c r="AJ877" s="37">
        <v>100144.18</v>
      </c>
      <c r="AK877" s="37">
        <v>102147.06</v>
      </c>
      <c r="AL877" s="37">
        <v>104190</v>
      </c>
      <c r="AM877" s="37">
        <v>106273.8</v>
      </c>
      <c r="AN877" s="37">
        <v>108399.28</v>
      </c>
      <c r="AO877" s="37">
        <v>110567.27</v>
      </c>
      <c r="AP877" s="37">
        <v>112778.61</v>
      </c>
      <c r="AQ877" s="37">
        <v>115034.18</v>
      </c>
      <c r="AR877" s="37">
        <v>1135570.4099999999</v>
      </c>
      <c r="AS877" s="37">
        <v>124440</v>
      </c>
      <c r="AT877" s="37">
        <v>32884.800000000003</v>
      </c>
      <c r="AU877" s="37">
        <v>424483.2</v>
      </c>
      <c r="AV877" s="37">
        <v>0</v>
      </c>
      <c r="AW877" s="37">
        <v>0</v>
      </c>
      <c r="AX877" s="37">
        <v>0</v>
      </c>
      <c r="AY877" s="37">
        <v>0</v>
      </c>
      <c r="AZ877" s="37">
        <v>0</v>
      </c>
      <c r="BA877" s="37">
        <v>0</v>
      </c>
      <c r="BB877" s="37">
        <v>0</v>
      </c>
      <c r="BC877" s="37">
        <v>0</v>
      </c>
      <c r="BD877" s="37">
        <v>457368</v>
      </c>
      <c r="BE877" s="37">
        <v>71921</v>
      </c>
      <c r="BF877" s="37">
        <v>100000</v>
      </c>
      <c r="BG877" s="37">
        <v>0</v>
      </c>
      <c r="BH877" s="37">
        <v>0</v>
      </c>
      <c r="BI877" s="37">
        <v>0</v>
      </c>
      <c r="BJ877" s="37">
        <v>0</v>
      </c>
      <c r="BK877" s="37">
        <v>0</v>
      </c>
      <c r="BL877" s="37">
        <v>0</v>
      </c>
      <c r="BM877" s="37">
        <v>0</v>
      </c>
      <c r="BN877" s="37">
        <v>0</v>
      </c>
      <c r="BO877" s="37">
        <v>0</v>
      </c>
      <c r="BP877" s="37">
        <v>100000</v>
      </c>
      <c r="BQ877" s="37">
        <v>0</v>
      </c>
      <c r="BR877" s="37">
        <v>0</v>
      </c>
      <c r="BS877" s="37">
        <v>0</v>
      </c>
      <c r="BT877" s="37">
        <v>0</v>
      </c>
      <c r="BU877" s="37">
        <v>0</v>
      </c>
      <c r="BV877" s="37">
        <v>0</v>
      </c>
      <c r="BW877" s="37">
        <v>0</v>
      </c>
      <c r="BX877" s="37">
        <v>0</v>
      </c>
      <c r="BY877" s="37">
        <v>0</v>
      </c>
      <c r="BZ877" s="37">
        <v>0</v>
      </c>
      <c r="CA877" s="37">
        <v>0</v>
      </c>
      <c r="CB877" s="37">
        <v>0</v>
      </c>
      <c r="CC877" s="37">
        <v>0</v>
      </c>
      <c r="CD877" s="37">
        <v>0</v>
      </c>
      <c r="CE877" s="37">
        <v>0</v>
      </c>
      <c r="CF877" s="37">
        <v>0</v>
      </c>
      <c r="CG877" s="37">
        <v>0</v>
      </c>
      <c r="CH877" s="37">
        <v>0</v>
      </c>
      <c r="CI877" s="37">
        <v>0</v>
      </c>
      <c r="CJ877" s="37">
        <v>0</v>
      </c>
      <c r="CK877" s="37">
        <v>0</v>
      </c>
      <c r="CL877" s="37">
        <v>0</v>
      </c>
      <c r="CM877" s="37">
        <v>0</v>
      </c>
      <c r="CN877" s="37">
        <v>0</v>
      </c>
      <c r="CO877" s="37">
        <v>11370</v>
      </c>
      <c r="CP877" s="37">
        <v>122000</v>
      </c>
      <c r="CQ877" s="37">
        <v>0</v>
      </c>
      <c r="CR877" s="37">
        <v>0</v>
      </c>
      <c r="CS877" s="37">
        <v>0</v>
      </c>
      <c r="CT877" s="37">
        <v>0</v>
      </c>
      <c r="CU877" s="37">
        <v>0</v>
      </c>
      <c r="CV877" s="37">
        <v>0</v>
      </c>
      <c r="CW877" s="37">
        <v>0</v>
      </c>
      <c r="CX877" s="37">
        <v>0</v>
      </c>
      <c r="CY877" s="37">
        <v>0</v>
      </c>
      <c r="CZ877" s="37">
        <v>122000</v>
      </c>
      <c r="DA877" s="37">
        <v>0</v>
      </c>
      <c r="DB877" s="37">
        <v>0</v>
      </c>
      <c r="DC877" s="37">
        <v>0</v>
      </c>
      <c r="DD877" s="37">
        <v>0</v>
      </c>
      <c r="DE877" s="37">
        <v>0</v>
      </c>
      <c r="DF877" s="37">
        <v>0</v>
      </c>
      <c r="DG877" s="37">
        <v>0</v>
      </c>
      <c r="DH877" s="37">
        <v>0</v>
      </c>
      <c r="DI877" s="37">
        <v>0</v>
      </c>
      <c r="DJ877" s="37">
        <v>0</v>
      </c>
      <c r="DK877" s="37">
        <v>0</v>
      </c>
      <c r="DL877" s="37">
        <v>0</v>
      </c>
      <c r="DM877" s="37">
        <v>0</v>
      </c>
      <c r="DN877" s="37">
        <v>0</v>
      </c>
      <c r="DO877" s="37">
        <v>0</v>
      </c>
      <c r="DP877" s="37">
        <v>0</v>
      </c>
      <c r="DQ877" s="37">
        <v>0</v>
      </c>
      <c r="DR877" s="37">
        <v>0</v>
      </c>
      <c r="DS877" s="37">
        <v>0</v>
      </c>
      <c r="DT877" s="37">
        <v>0</v>
      </c>
      <c r="DU877" s="37">
        <v>0</v>
      </c>
      <c r="DV877" s="37">
        <v>0</v>
      </c>
      <c r="DW877" s="37">
        <v>0</v>
      </c>
      <c r="DX877" s="37">
        <v>0</v>
      </c>
      <c r="DY877" s="37">
        <v>0</v>
      </c>
      <c r="DZ877" s="37">
        <v>0</v>
      </c>
      <c r="EA877" s="37">
        <v>0</v>
      </c>
      <c r="EB877" s="37">
        <v>0</v>
      </c>
      <c r="EC877" s="37">
        <v>0</v>
      </c>
      <c r="ED877" s="37">
        <v>0</v>
      </c>
      <c r="EE877" s="37">
        <v>0</v>
      </c>
      <c r="EF877" s="37">
        <v>0</v>
      </c>
      <c r="EG877" s="37">
        <v>0</v>
      </c>
      <c r="EH877" s="37">
        <v>0</v>
      </c>
      <c r="EI877" s="37">
        <v>0</v>
      </c>
      <c r="EJ877" s="37">
        <v>0</v>
      </c>
      <c r="EK877" s="161" t="s">
        <v>3211</v>
      </c>
      <c r="EL877" s="294" t="s">
        <v>1124</v>
      </c>
    </row>
    <row r="878" spans="1:142" ht="15" customHeight="1" x14ac:dyDescent="0.35">
      <c r="A878" s="34"/>
      <c r="B878" s="313">
        <v>19020</v>
      </c>
      <c r="C878" s="8" t="s">
        <v>121</v>
      </c>
      <c r="D878" s="18">
        <v>12</v>
      </c>
      <c r="E878" s="155">
        <v>62165</v>
      </c>
      <c r="F878" s="36">
        <v>44321</v>
      </c>
      <c r="G878" s="37">
        <v>0</v>
      </c>
      <c r="H878" s="37">
        <v>0</v>
      </c>
      <c r="I878" s="37">
        <v>0</v>
      </c>
      <c r="J878" s="37">
        <v>0</v>
      </c>
      <c r="K878" s="37">
        <v>9324.75</v>
      </c>
      <c r="L878" s="37">
        <v>6648.15</v>
      </c>
      <c r="M878" s="37">
        <v>71489.75</v>
      </c>
      <c r="N878" s="37">
        <v>50969.15</v>
      </c>
      <c r="O878" s="37">
        <v>565</v>
      </c>
      <c r="P878" s="37">
        <v>0</v>
      </c>
      <c r="Q878" s="37">
        <v>66755</v>
      </c>
      <c r="R878" s="37">
        <v>51615</v>
      </c>
      <c r="S878" s="37">
        <v>0</v>
      </c>
      <c r="T878" s="37">
        <v>0</v>
      </c>
      <c r="U878" s="37">
        <v>21035</v>
      </c>
      <c r="V878" s="37">
        <v>0</v>
      </c>
      <c r="W878" s="37">
        <v>0</v>
      </c>
      <c r="X878" s="37">
        <v>0</v>
      </c>
      <c r="Y878" s="37">
        <v>0</v>
      </c>
      <c r="Z878" s="37">
        <v>0</v>
      </c>
      <c r="AA878" s="37">
        <v>88355</v>
      </c>
      <c r="AB878" s="37">
        <v>51615</v>
      </c>
      <c r="AC878" s="37">
        <v>17511</v>
      </c>
      <c r="AD878" s="37">
        <v>0</v>
      </c>
      <c r="AE878" s="37">
        <v>22248</v>
      </c>
      <c r="AF878" s="168">
        <v>0.02</v>
      </c>
      <c r="AG878" s="37">
        <v>22619840.82</v>
      </c>
      <c r="AH878" s="37">
        <v>139616.15</v>
      </c>
      <c r="AI878" s="37">
        <v>142408.47</v>
      </c>
      <c r="AJ878" s="37">
        <v>145256.64000000001</v>
      </c>
      <c r="AK878" s="37">
        <v>148161.76999999999</v>
      </c>
      <c r="AL878" s="37">
        <v>151125.01</v>
      </c>
      <c r="AM878" s="37">
        <v>154147.51</v>
      </c>
      <c r="AN878" s="37">
        <v>157230.46</v>
      </c>
      <c r="AO878" s="37">
        <v>160375.07</v>
      </c>
      <c r="AP878" s="37">
        <v>163582.57</v>
      </c>
      <c r="AQ878" s="37">
        <v>166854.22</v>
      </c>
      <c r="AR878" s="37">
        <v>1528757.8699999999</v>
      </c>
      <c r="AS878" s="37">
        <v>5471.84</v>
      </c>
      <c r="AT878" s="37">
        <v>0</v>
      </c>
      <c r="AU878" s="37">
        <v>0</v>
      </c>
      <c r="AV878" s="37">
        <v>0</v>
      </c>
      <c r="AW878" s="37">
        <v>0</v>
      </c>
      <c r="AX878" s="37">
        <v>0</v>
      </c>
      <c r="AY878" s="37">
        <v>0</v>
      </c>
      <c r="AZ878" s="37">
        <v>0</v>
      </c>
      <c r="BA878" s="37">
        <v>0</v>
      </c>
      <c r="BB878" s="37">
        <v>0</v>
      </c>
      <c r="BC878" s="37">
        <v>0</v>
      </c>
      <c r="BD878" s="37">
        <v>0</v>
      </c>
      <c r="BE878" s="37">
        <v>0</v>
      </c>
      <c r="BF878" s="37">
        <v>0</v>
      </c>
      <c r="BG878" s="37">
        <v>0</v>
      </c>
      <c r="BH878" s="37">
        <v>0</v>
      </c>
      <c r="BI878" s="37">
        <v>0</v>
      </c>
      <c r="BJ878" s="37">
        <v>0</v>
      </c>
      <c r="BK878" s="37">
        <v>0</v>
      </c>
      <c r="BL878" s="37">
        <v>0</v>
      </c>
      <c r="BM878" s="37">
        <v>0</v>
      </c>
      <c r="BN878" s="37">
        <v>0</v>
      </c>
      <c r="BO878" s="37">
        <v>0</v>
      </c>
      <c r="BP878" s="37">
        <v>0</v>
      </c>
      <c r="BQ878" s="37">
        <v>0</v>
      </c>
      <c r="BR878" s="37">
        <v>0</v>
      </c>
      <c r="BS878" s="37">
        <v>0</v>
      </c>
      <c r="BT878" s="37">
        <v>0</v>
      </c>
      <c r="BU878" s="37">
        <v>0</v>
      </c>
      <c r="BV878" s="37">
        <v>0</v>
      </c>
      <c r="BW878" s="37">
        <v>0</v>
      </c>
      <c r="BX878" s="37">
        <v>0</v>
      </c>
      <c r="BY878" s="37">
        <v>0</v>
      </c>
      <c r="BZ878" s="37">
        <v>0</v>
      </c>
      <c r="CA878" s="37">
        <v>0</v>
      </c>
      <c r="CB878" s="37">
        <v>0</v>
      </c>
      <c r="CC878" s="37">
        <v>0</v>
      </c>
      <c r="CD878" s="37">
        <v>0</v>
      </c>
      <c r="CE878" s="37">
        <v>0</v>
      </c>
      <c r="CF878" s="37">
        <v>0</v>
      </c>
      <c r="CG878" s="37">
        <v>0</v>
      </c>
      <c r="CH878" s="37">
        <v>0</v>
      </c>
      <c r="CI878" s="37">
        <v>0</v>
      </c>
      <c r="CJ878" s="37">
        <v>0</v>
      </c>
      <c r="CK878" s="37">
        <v>0</v>
      </c>
      <c r="CL878" s="37">
        <v>0</v>
      </c>
      <c r="CM878" s="37">
        <v>0</v>
      </c>
      <c r="CN878" s="37">
        <v>0</v>
      </c>
      <c r="CO878" s="37">
        <v>0</v>
      </c>
      <c r="CP878" s="37">
        <v>0</v>
      </c>
      <c r="CQ878" s="37">
        <v>0</v>
      </c>
      <c r="CR878" s="37">
        <v>0</v>
      </c>
      <c r="CS878" s="37">
        <v>0</v>
      </c>
      <c r="CT878" s="37">
        <v>0</v>
      </c>
      <c r="CU878" s="37">
        <v>0</v>
      </c>
      <c r="CV878" s="37">
        <v>0</v>
      </c>
      <c r="CW878" s="37">
        <v>0</v>
      </c>
      <c r="CX878" s="37">
        <v>0</v>
      </c>
      <c r="CY878" s="37">
        <v>0</v>
      </c>
      <c r="CZ878" s="37">
        <v>0</v>
      </c>
      <c r="DA878" s="37">
        <v>0</v>
      </c>
      <c r="DB878" s="37">
        <v>0</v>
      </c>
      <c r="DC878" s="37">
        <v>0</v>
      </c>
      <c r="DD878" s="37">
        <v>0</v>
      </c>
      <c r="DE878" s="37">
        <v>0</v>
      </c>
      <c r="DF878" s="37">
        <v>0</v>
      </c>
      <c r="DG878" s="37">
        <v>0</v>
      </c>
      <c r="DH878" s="37">
        <v>0</v>
      </c>
      <c r="DI878" s="37">
        <v>0</v>
      </c>
      <c r="DJ878" s="37">
        <v>0</v>
      </c>
      <c r="DK878" s="37">
        <v>0</v>
      </c>
      <c r="DL878" s="37">
        <v>0</v>
      </c>
      <c r="DM878" s="37">
        <v>0</v>
      </c>
      <c r="DN878" s="37">
        <v>0</v>
      </c>
      <c r="DO878" s="37">
        <v>0</v>
      </c>
      <c r="DP878" s="37">
        <v>0</v>
      </c>
      <c r="DQ878" s="37">
        <v>0</v>
      </c>
      <c r="DR878" s="37">
        <v>0</v>
      </c>
      <c r="DS878" s="37">
        <v>0</v>
      </c>
      <c r="DT878" s="37">
        <v>0</v>
      </c>
      <c r="DU878" s="37">
        <v>0</v>
      </c>
      <c r="DV878" s="37">
        <v>0</v>
      </c>
      <c r="DW878" s="37">
        <v>0</v>
      </c>
      <c r="DX878" s="37">
        <v>0</v>
      </c>
      <c r="DY878" s="37">
        <v>0</v>
      </c>
      <c r="DZ878" s="37">
        <v>0</v>
      </c>
      <c r="EA878" s="37">
        <v>0</v>
      </c>
      <c r="EB878" s="37">
        <v>0</v>
      </c>
      <c r="EC878" s="37">
        <v>0</v>
      </c>
      <c r="ED878" s="37">
        <v>0</v>
      </c>
      <c r="EE878" s="37">
        <v>0</v>
      </c>
      <c r="EF878" s="37">
        <v>0</v>
      </c>
      <c r="EG878" s="37">
        <v>0</v>
      </c>
      <c r="EH878" s="37">
        <v>0</v>
      </c>
      <c r="EI878" s="37">
        <v>0</v>
      </c>
      <c r="EJ878" s="37">
        <v>0</v>
      </c>
      <c r="EK878" s="161" t="s">
        <v>1543</v>
      </c>
      <c r="EL878" s="294" t="s">
        <v>1124</v>
      </c>
    </row>
    <row r="879" spans="1:142" ht="15" customHeight="1" x14ac:dyDescent="0.35">
      <c r="A879" s="34"/>
      <c r="B879" s="313">
        <v>7030</v>
      </c>
      <c r="C879" s="8" t="s">
        <v>1072</v>
      </c>
      <c r="D879" s="18">
        <v>1</v>
      </c>
      <c r="E879" s="155"/>
      <c r="F879" s="36"/>
      <c r="G879" s="37"/>
      <c r="H879" s="37"/>
      <c r="I879" s="37"/>
      <c r="J879" s="37"/>
      <c r="K879" s="37"/>
      <c r="L879" s="37"/>
      <c r="M879" s="37" t="s">
        <v>1124</v>
      </c>
      <c r="N879" s="37" t="s">
        <v>1124</v>
      </c>
      <c r="O879" s="37"/>
      <c r="P879" s="37"/>
      <c r="Q879" s="37"/>
      <c r="R879" s="37"/>
      <c r="S879" s="37"/>
      <c r="T879" s="37"/>
      <c r="U879" s="37"/>
      <c r="V879" s="37"/>
      <c r="W879" s="37"/>
      <c r="X879" s="37"/>
      <c r="Y879" s="37"/>
      <c r="Z879" s="37"/>
      <c r="AA879" s="37" t="s">
        <v>1124</v>
      </c>
      <c r="AB879" s="37" t="s">
        <v>1124</v>
      </c>
      <c r="AC879" s="37"/>
      <c r="AD879" s="37"/>
      <c r="AE879" s="37"/>
      <c r="AF879" s="168"/>
      <c r="AG879" s="37"/>
      <c r="AH879" s="37"/>
      <c r="AI879" s="37"/>
      <c r="AJ879" s="37"/>
      <c r="AK879" s="37"/>
      <c r="AL879" s="37"/>
      <c r="AM879" s="37"/>
      <c r="AN879" s="37"/>
      <c r="AO879" s="37"/>
      <c r="AP879" s="37"/>
      <c r="AQ879" s="37"/>
      <c r="AR879" s="37" t="s">
        <v>1124</v>
      </c>
      <c r="AS879" s="37"/>
      <c r="AT879" s="37"/>
      <c r="AU879" s="37"/>
      <c r="AV879" s="37"/>
      <c r="AW879" s="37"/>
      <c r="AX879" s="37"/>
      <c r="AY879" s="37"/>
      <c r="AZ879" s="37"/>
      <c r="BA879" s="37"/>
      <c r="BB879" s="37"/>
      <c r="BC879" s="37"/>
      <c r="BD879" s="37" t="s">
        <v>1124</v>
      </c>
      <c r="BE879" s="37"/>
      <c r="BF879" s="37"/>
      <c r="BG879" s="37"/>
      <c r="BH879" s="37"/>
      <c r="BI879" s="37"/>
      <c r="BJ879" s="37"/>
      <c r="BK879" s="37"/>
      <c r="BL879" s="37"/>
      <c r="BM879" s="37"/>
      <c r="BN879" s="37"/>
      <c r="BO879" s="37"/>
      <c r="BP879" s="37">
        <v>0</v>
      </c>
      <c r="BQ879" s="37"/>
      <c r="BR879" s="37"/>
      <c r="BS879" s="37"/>
      <c r="BT879" s="37"/>
      <c r="BU879" s="37"/>
      <c r="BV879" s="37"/>
      <c r="BW879" s="37"/>
      <c r="BX879" s="37"/>
      <c r="BY879" s="37"/>
      <c r="BZ879" s="37"/>
      <c r="CA879" s="37"/>
      <c r="CB879" s="37" t="s">
        <v>1124</v>
      </c>
      <c r="CC879" s="37"/>
      <c r="CD879" s="37"/>
      <c r="CE879" s="37"/>
      <c r="CF879" s="37"/>
      <c r="CG879" s="37"/>
      <c r="CH879" s="37"/>
      <c r="CI879" s="37"/>
      <c r="CJ879" s="37"/>
      <c r="CK879" s="37"/>
      <c r="CL879" s="37"/>
      <c r="CM879" s="37"/>
      <c r="CN879" s="37" t="s">
        <v>1124</v>
      </c>
      <c r="CO879" s="37"/>
      <c r="CP879" s="37"/>
      <c r="CQ879" s="37"/>
      <c r="CR879" s="37"/>
      <c r="CS879" s="37"/>
      <c r="CT879" s="37"/>
      <c r="CU879" s="37"/>
      <c r="CV879" s="37"/>
      <c r="CW879" s="37"/>
      <c r="CX879" s="37"/>
      <c r="CY879" s="37"/>
      <c r="CZ879" s="37" t="s">
        <v>1124</v>
      </c>
      <c r="DA879" s="37"/>
      <c r="DB879" s="37"/>
      <c r="DC879" s="37"/>
      <c r="DD879" s="37"/>
      <c r="DE879" s="37"/>
      <c r="DF879" s="37"/>
      <c r="DG879" s="37"/>
      <c r="DH879" s="37"/>
      <c r="DI879" s="37"/>
      <c r="DJ879" s="37"/>
      <c r="DK879" s="37"/>
      <c r="DL879" s="37" t="s">
        <v>1124</v>
      </c>
      <c r="DM879" s="37"/>
      <c r="DN879" s="37"/>
      <c r="DO879" s="37"/>
      <c r="DP879" s="37"/>
      <c r="DQ879" s="37"/>
      <c r="DR879" s="37"/>
      <c r="DS879" s="37"/>
      <c r="DT879" s="37"/>
      <c r="DU879" s="37"/>
      <c r="DV879" s="37"/>
      <c r="DW879" s="37"/>
      <c r="DX879" s="37" t="s">
        <v>1124</v>
      </c>
      <c r="DY879" s="37"/>
      <c r="DZ879" s="37"/>
      <c r="EA879" s="37"/>
      <c r="EB879" s="37"/>
      <c r="EC879" s="37"/>
      <c r="ED879" s="37"/>
      <c r="EE879" s="37"/>
      <c r="EF879" s="37"/>
      <c r="EG879" s="37"/>
      <c r="EH879" s="37"/>
      <c r="EI879" s="37"/>
      <c r="EJ879" s="37" t="s">
        <v>1124</v>
      </c>
      <c r="EK879" s="161"/>
      <c r="EL879" s="294"/>
    </row>
    <row r="880" spans="1:142" ht="15" customHeight="1" x14ac:dyDescent="0.35">
      <c r="A880" s="34"/>
      <c r="B880" s="313">
        <v>51035</v>
      </c>
      <c r="C880" s="8" t="s">
        <v>503</v>
      </c>
      <c r="D880" s="18">
        <v>4</v>
      </c>
      <c r="E880" s="155">
        <v>197456</v>
      </c>
      <c r="F880" s="36">
        <v>14541</v>
      </c>
      <c r="G880" s="37">
        <v>0</v>
      </c>
      <c r="H880" s="37">
        <v>5250</v>
      </c>
      <c r="I880" s="37">
        <v>0</v>
      </c>
      <c r="J880" s="37">
        <v>32657</v>
      </c>
      <c r="K880" s="37">
        <v>29618.399999999998</v>
      </c>
      <c r="L880" s="37">
        <v>2181.15</v>
      </c>
      <c r="M880" s="37">
        <v>227074.4</v>
      </c>
      <c r="N880" s="37">
        <v>54629.15</v>
      </c>
      <c r="O880" s="37">
        <v>185</v>
      </c>
      <c r="P880" s="37">
        <v>475</v>
      </c>
      <c r="Q880" s="37">
        <v>0</v>
      </c>
      <c r="R880" s="37">
        <v>0</v>
      </c>
      <c r="S880" s="37">
        <v>15594</v>
      </c>
      <c r="T880" s="37">
        <v>0</v>
      </c>
      <c r="U880" s="37">
        <v>0</v>
      </c>
      <c r="V880" s="37">
        <v>0</v>
      </c>
      <c r="W880" s="37">
        <v>211295.4</v>
      </c>
      <c r="X880" s="37">
        <v>54154.15</v>
      </c>
      <c r="Y880" s="37">
        <v>0</v>
      </c>
      <c r="Z880" s="37">
        <v>0</v>
      </c>
      <c r="AA880" s="37">
        <v>227074.4</v>
      </c>
      <c r="AB880" s="37">
        <v>54629.15</v>
      </c>
      <c r="AC880" s="37">
        <v>0</v>
      </c>
      <c r="AD880" s="37">
        <v>0</v>
      </c>
      <c r="AE880" s="37">
        <v>117012</v>
      </c>
      <c r="AF880" s="168">
        <v>0.02</v>
      </c>
      <c r="AG880" s="37">
        <v>37687393.969999999</v>
      </c>
      <c r="AH880" s="37">
        <v>425855.17</v>
      </c>
      <c r="AI880" s="37">
        <v>434372.28</v>
      </c>
      <c r="AJ880" s="37">
        <v>443059.72</v>
      </c>
      <c r="AK880" s="37">
        <v>451920.92</v>
      </c>
      <c r="AL880" s="37">
        <v>460959.34</v>
      </c>
      <c r="AM880" s="37">
        <v>470178.52</v>
      </c>
      <c r="AN880" s="37">
        <v>479582.09</v>
      </c>
      <c r="AO880" s="37">
        <v>489173.73</v>
      </c>
      <c r="AP880" s="37">
        <v>498957.21</v>
      </c>
      <c r="AQ880" s="37">
        <v>508936.35</v>
      </c>
      <c r="AR880" s="37">
        <v>4662995.33</v>
      </c>
      <c r="AS880" s="37">
        <v>672331.45</v>
      </c>
      <c r="AT880" s="37">
        <v>967.57</v>
      </c>
      <c r="AU880" s="37">
        <v>0</v>
      </c>
      <c r="AV880" s="37">
        <v>0</v>
      </c>
      <c r="AW880" s="37">
        <v>0</v>
      </c>
      <c r="AX880" s="37">
        <v>0</v>
      </c>
      <c r="AY880" s="37">
        <v>0</v>
      </c>
      <c r="AZ880" s="37">
        <v>0</v>
      </c>
      <c r="BA880" s="37">
        <v>0</v>
      </c>
      <c r="BB880" s="37">
        <v>0</v>
      </c>
      <c r="BC880" s="37">
        <v>0</v>
      </c>
      <c r="BD880" s="37">
        <v>967.57</v>
      </c>
      <c r="BE880" s="37">
        <v>482028</v>
      </c>
      <c r="BF880" s="37">
        <v>34140.446579127303</v>
      </c>
      <c r="BG880" s="37">
        <v>36799.092650540224</v>
      </c>
      <c r="BH880" s="37">
        <v>45301.311750784895</v>
      </c>
      <c r="BI880" s="37">
        <v>53803.549019547638</v>
      </c>
      <c r="BJ880" s="37">
        <v>0</v>
      </c>
      <c r="BK880" s="37">
        <v>0</v>
      </c>
      <c r="BL880" s="37">
        <v>0</v>
      </c>
      <c r="BM880" s="37">
        <v>0</v>
      </c>
      <c r="BN880" s="37">
        <v>0</v>
      </c>
      <c r="BO880" s="37">
        <v>0</v>
      </c>
      <c r="BP880" s="37">
        <v>170044.40000000008</v>
      </c>
      <c r="BQ880" s="37">
        <v>0</v>
      </c>
      <c r="BR880" s="37">
        <v>0</v>
      </c>
      <c r="BS880" s="37">
        <v>0</v>
      </c>
      <c r="BT880" s="37">
        <v>0</v>
      </c>
      <c r="BU880" s="37">
        <v>0</v>
      </c>
      <c r="BV880" s="37">
        <v>0</v>
      </c>
      <c r="BW880" s="37">
        <v>0</v>
      </c>
      <c r="BX880" s="37">
        <v>0</v>
      </c>
      <c r="BY880" s="37">
        <v>0</v>
      </c>
      <c r="BZ880" s="37">
        <v>0</v>
      </c>
      <c r="CA880" s="37">
        <v>0</v>
      </c>
      <c r="CB880" s="37">
        <v>0</v>
      </c>
      <c r="CC880" s="37">
        <v>0</v>
      </c>
      <c r="CD880" s="37">
        <v>10018.608576927276</v>
      </c>
      <c r="CE880" s="37">
        <v>10798.795627859297</v>
      </c>
      <c r="CF880" s="37">
        <v>13293.795363823601</v>
      </c>
      <c r="CG880" s="37">
        <v>15788.800431389842</v>
      </c>
      <c r="CH880" s="37">
        <v>0</v>
      </c>
      <c r="CI880" s="37">
        <v>0</v>
      </c>
      <c r="CJ880" s="37">
        <v>0</v>
      </c>
      <c r="CK880" s="37">
        <v>0</v>
      </c>
      <c r="CL880" s="37">
        <v>0</v>
      </c>
      <c r="CM880" s="37">
        <v>0</v>
      </c>
      <c r="CN880" s="37">
        <v>49900.000000000015</v>
      </c>
      <c r="CO880" s="37">
        <v>0</v>
      </c>
      <c r="CP880" s="37">
        <v>0</v>
      </c>
      <c r="CQ880" s="37">
        <v>0</v>
      </c>
      <c r="CR880" s="37">
        <v>0</v>
      </c>
      <c r="CS880" s="37">
        <v>0</v>
      </c>
      <c r="CT880" s="37">
        <v>0</v>
      </c>
      <c r="CU880" s="37">
        <v>0</v>
      </c>
      <c r="CV880" s="37">
        <v>0</v>
      </c>
      <c r="CW880" s="37">
        <v>0</v>
      </c>
      <c r="CX880" s="37">
        <v>0</v>
      </c>
      <c r="CY880" s="37">
        <v>0</v>
      </c>
      <c r="CZ880" s="37">
        <v>0</v>
      </c>
      <c r="DA880" s="37">
        <v>0</v>
      </c>
      <c r="DB880" s="37">
        <v>0</v>
      </c>
      <c r="DC880" s="37">
        <v>0</v>
      </c>
      <c r="DD880" s="37">
        <v>0</v>
      </c>
      <c r="DE880" s="37">
        <v>0</v>
      </c>
      <c r="DF880" s="37">
        <v>0</v>
      </c>
      <c r="DG880" s="37">
        <v>0</v>
      </c>
      <c r="DH880" s="37">
        <v>0</v>
      </c>
      <c r="DI880" s="37">
        <v>0</v>
      </c>
      <c r="DJ880" s="37">
        <v>0</v>
      </c>
      <c r="DK880" s="37">
        <v>0</v>
      </c>
      <c r="DL880" s="37">
        <v>0</v>
      </c>
      <c r="DM880" s="37">
        <v>0</v>
      </c>
      <c r="DN880" s="37">
        <v>0</v>
      </c>
      <c r="DO880" s="37">
        <v>0</v>
      </c>
      <c r="DP880" s="37">
        <v>0</v>
      </c>
      <c r="DQ880" s="37">
        <v>0</v>
      </c>
      <c r="DR880" s="37">
        <v>0</v>
      </c>
      <c r="DS880" s="37">
        <v>0</v>
      </c>
      <c r="DT880" s="37">
        <v>0</v>
      </c>
      <c r="DU880" s="37">
        <v>0</v>
      </c>
      <c r="DV880" s="37">
        <v>0</v>
      </c>
      <c r="DW880" s="37">
        <v>0</v>
      </c>
      <c r="DX880" s="37">
        <v>0</v>
      </c>
      <c r="DY880" s="37">
        <v>0</v>
      </c>
      <c r="DZ880" s="37">
        <v>0</v>
      </c>
      <c r="EA880" s="37">
        <v>0</v>
      </c>
      <c r="EB880" s="37">
        <v>0</v>
      </c>
      <c r="EC880" s="37">
        <v>0</v>
      </c>
      <c r="ED880" s="37">
        <v>0</v>
      </c>
      <c r="EE880" s="37">
        <v>0</v>
      </c>
      <c r="EF880" s="37">
        <v>0</v>
      </c>
      <c r="EG880" s="37">
        <v>0</v>
      </c>
      <c r="EH880" s="37">
        <v>0</v>
      </c>
      <c r="EI880" s="37">
        <v>0</v>
      </c>
      <c r="EJ880" s="37">
        <v>0</v>
      </c>
      <c r="EK880" s="161" t="s">
        <v>3220</v>
      </c>
      <c r="EL880" s="294" t="s">
        <v>1124</v>
      </c>
    </row>
    <row r="881" spans="1:142" ht="15" customHeight="1" x14ac:dyDescent="0.35">
      <c r="A881" s="34"/>
      <c r="B881" s="313">
        <v>54072</v>
      </c>
      <c r="C881" s="8" t="s">
        <v>550</v>
      </c>
      <c r="D881" s="18">
        <v>16</v>
      </c>
      <c r="E881" s="155"/>
      <c r="F881" s="36"/>
      <c r="G881" s="37"/>
      <c r="H881" s="37"/>
      <c r="I881" s="37"/>
      <c r="J881" s="37"/>
      <c r="K881" s="37"/>
      <c r="L881" s="37"/>
      <c r="M881" s="37" t="s">
        <v>1124</v>
      </c>
      <c r="N881" s="37" t="s">
        <v>1124</v>
      </c>
      <c r="O881" s="37"/>
      <c r="P881" s="37"/>
      <c r="Q881" s="37"/>
      <c r="R881" s="37"/>
      <c r="S881" s="37"/>
      <c r="T881" s="37"/>
      <c r="U881" s="37"/>
      <c r="V881" s="37"/>
      <c r="W881" s="37"/>
      <c r="X881" s="37"/>
      <c r="Y881" s="37"/>
      <c r="Z881" s="37"/>
      <c r="AA881" s="37" t="s">
        <v>1124</v>
      </c>
      <c r="AB881" s="37" t="s">
        <v>1124</v>
      </c>
      <c r="AC881" s="37"/>
      <c r="AD881" s="37"/>
      <c r="AE881" s="37"/>
      <c r="AF881" s="168"/>
      <c r="AG881" s="37"/>
      <c r="AH881" s="37"/>
      <c r="AI881" s="37"/>
      <c r="AJ881" s="37"/>
      <c r="AK881" s="37"/>
      <c r="AL881" s="37"/>
      <c r="AM881" s="37"/>
      <c r="AN881" s="37"/>
      <c r="AO881" s="37"/>
      <c r="AP881" s="37"/>
      <c r="AQ881" s="37"/>
      <c r="AR881" s="37" t="s">
        <v>1124</v>
      </c>
      <c r="AS881" s="37"/>
      <c r="AT881" s="37"/>
      <c r="AU881" s="37"/>
      <c r="AV881" s="37"/>
      <c r="AW881" s="37"/>
      <c r="AX881" s="37"/>
      <c r="AY881" s="37"/>
      <c r="AZ881" s="37"/>
      <c r="BA881" s="37"/>
      <c r="BB881" s="37"/>
      <c r="BC881" s="37"/>
      <c r="BD881" s="37" t="s">
        <v>1124</v>
      </c>
      <c r="BE881" s="37"/>
      <c r="BF881" s="37"/>
      <c r="BG881" s="37"/>
      <c r="BH881" s="37"/>
      <c r="BI881" s="37"/>
      <c r="BJ881" s="37"/>
      <c r="BK881" s="37"/>
      <c r="BL881" s="37"/>
      <c r="BM881" s="37"/>
      <c r="BN881" s="37"/>
      <c r="BO881" s="37"/>
      <c r="BP881" s="37">
        <v>0</v>
      </c>
      <c r="BQ881" s="37"/>
      <c r="BR881" s="37"/>
      <c r="BS881" s="37"/>
      <c r="BT881" s="37"/>
      <c r="BU881" s="37"/>
      <c r="BV881" s="37"/>
      <c r="BW881" s="37"/>
      <c r="BX881" s="37"/>
      <c r="BY881" s="37"/>
      <c r="BZ881" s="37"/>
      <c r="CA881" s="37"/>
      <c r="CB881" s="37" t="s">
        <v>1124</v>
      </c>
      <c r="CC881" s="37"/>
      <c r="CD881" s="37"/>
      <c r="CE881" s="37"/>
      <c r="CF881" s="37"/>
      <c r="CG881" s="37"/>
      <c r="CH881" s="37"/>
      <c r="CI881" s="37"/>
      <c r="CJ881" s="37"/>
      <c r="CK881" s="37"/>
      <c r="CL881" s="37"/>
      <c r="CM881" s="37"/>
      <c r="CN881" s="37" t="s">
        <v>1124</v>
      </c>
      <c r="CO881" s="37"/>
      <c r="CP881" s="37"/>
      <c r="CQ881" s="37"/>
      <c r="CR881" s="37"/>
      <c r="CS881" s="37"/>
      <c r="CT881" s="37"/>
      <c r="CU881" s="37"/>
      <c r="CV881" s="37"/>
      <c r="CW881" s="37"/>
      <c r="CX881" s="37"/>
      <c r="CY881" s="37"/>
      <c r="CZ881" s="37" t="s">
        <v>1124</v>
      </c>
      <c r="DA881" s="37"/>
      <c r="DB881" s="37"/>
      <c r="DC881" s="37"/>
      <c r="DD881" s="37"/>
      <c r="DE881" s="37"/>
      <c r="DF881" s="37"/>
      <c r="DG881" s="37"/>
      <c r="DH881" s="37"/>
      <c r="DI881" s="37"/>
      <c r="DJ881" s="37"/>
      <c r="DK881" s="37"/>
      <c r="DL881" s="37" t="s">
        <v>1124</v>
      </c>
      <c r="DM881" s="37"/>
      <c r="DN881" s="37"/>
      <c r="DO881" s="37"/>
      <c r="DP881" s="37"/>
      <c r="DQ881" s="37"/>
      <c r="DR881" s="37"/>
      <c r="DS881" s="37"/>
      <c r="DT881" s="37"/>
      <c r="DU881" s="37"/>
      <c r="DV881" s="37"/>
      <c r="DW881" s="37"/>
      <c r="DX881" s="37" t="s">
        <v>1124</v>
      </c>
      <c r="DY881" s="37"/>
      <c r="DZ881" s="37"/>
      <c r="EA881" s="37"/>
      <c r="EB881" s="37"/>
      <c r="EC881" s="37"/>
      <c r="ED881" s="37"/>
      <c r="EE881" s="37"/>
      <c r="EF881" s="37"/>
      <c r="EG881" s="37"/>
      <c r="EH881" s="37"/>
      <c r="EI881" s="37"/>
      <c r="EJ881" s="37" t="s">
        <v>1124</v>
      </c>
      <c r="EK881" s="161"/>
      <c r="EL881" s="294"/>
    </row>
    <row r="882" spans="1:142" ht="15" customHeight="1" x14ac:dyDescent="0.35">
      <c r="A882" s="34"/>
      <c r="B882" s="313">
        <v>63065</v>
      </c>
      <c r="C882" s="8" t="s">
        <v>643</v>
      </c>
      <c r="D882" s="18">
        <v>14</v>
      </c>
      <c r="E882" s="155">
        <v>25894</v>
      </c>
      <c r="F882" s="36">
        <v>0</v>
      </c>
      <c r="G882" s="37">
        <v>4918</v>
      </c>
      <c r="H882" s="37">
        <v>0</v>
      </c>
      <c r="I882" s="37">
        <v>10000</v>
      </c>
      <c r="J882" s="37">
        <v>0</v>
      </c>
      <c r="K882" s="37">
        <v>2589.4</v>
      </c>
      <c r="L882" s="37">
        <v>0</v>
      </c>
      <c r="M882" s="37">
        <v>43401.4</v>
      </c>
      <c r="N882" s="37">
        <v>0</v>
      </c>
      <c r="O882" s="37">
        <v>0</v>
      </c>
      <c r="P882" s="37">
        <v>0</v>
      </c>
      <c r="Q882" s="37">
        <v>36435</v>
      </c>
      <c r="R882" s="37">
        <v>0</v>
      </c>
      <c r="S882" s="37">
        <v>0</v>
      </c>
      <c r="T882" s="37">
        <v>474</v>
      </c>
      <c r="U882" s="37">
        <v>0</v>
      </c>
      <c r="V882" s="37">
        <v>0</v>
      </c>
      <c r="W882" s="37">
        <v>6492.4000000000015</v>
      </c>
      <c r="X882" s="37">
        <v>0</v>
      </c>
      <c r="Y882" s="37">
        <v>0</v>
      </c>
      <c r="Z882" s="37">
        <v>0</v>
      </c>
      <c r="AA882" s="37">
        <v>42927.4</v>
      </c>
      <c r="AB882" s="37">
        <v>474</v>
      </c>
      <c r="AC882" s="37">
        <v>0</v>
      </c>
      <c r="AD882" s="37">
        <v>0</v>
      </c>
      <c r="AE882" s="37">
        <v>72793</v>
      </c>
      <c r="AF882" s="168">
        <v>0.02</v>
      </c>
      <c r="AG882" s="37">
        <v>9295890.4499999993</v>
      </c>
      <c r="AH882" s="37">
        <v>62777.66</v>
      </c>
      <c r="AI882" s="37">
        <v>77828.92</v>
      </c>
      <c r="AJ882" s="37">
        <v>79385.5</v>
      </c>
      <c r="AK882" s="37">
        <v>86493.61</v>
      </c>
      <c r="AL882" s="37">
        <v>82592.67</v>
      </c>
      <c r="AM882" s="37">
        <v>84244.53</v>
      </c>
      <c r="AN882" s="37">
        <v>85929.42</v>
      </c>
      <c r="AO882" s="37">
        <v>87648.01</v>
      </c>
      <c r="AP882" s="37">
        <v>89400.97</v>
      </c>
      <c r="AQ882" s="37">
        <v>91188.98</v>
      </c>
      <c r="AR882" s="37">
        <v>827490.27</v>
      </c>
      <c r="AS882" s="37">
        <v>0</v>
      </c>
      <c r="AT882" s="37">
        <v>0</v>
      </c>
      <c r="AU882" s="37">
        <v>0</v>
      </c>
      <c r="AV882" s="37">
        <v>5412.16</v>
      </c>
      <c r="AW882" s="37">
        <v>0</v>
      </c>
      <c r="AX882" s="37">
        <v>2252.3200000000002</v>
      </c>
      <c r="AY882" s="37">
        <v>0</v>
      </c>
      <c r="AZ882" s="37">
        <v>0</v>
      </c>
      <c r="BA882" s="37">
        <v>0</v>
      </c>
      <c r="BB882" s="37">
        <v>0</v>
      </c>
      <c r="BC882" s="37">
        <v>0</v>
      </c>
      <c r="BD882" s="37">
        <v>7664.48</v>
      </c>
      <c r="BE882" s="37">
        <v>4876001</v>
      </c>
      <c r="BF882" s="37">
        <v>0</v>
      </c>
      <c r="BG882" s="37">
        <v>0</v>
      </c>
      <c r="BH882" s="37">
        <v>0</v>
      </c>
      <c r="BI882" s="37">
        <v>0</v>
      </c>
      <c r="BJ882" s="37">
        <v>0</v>
      </c>
      <c r="BK882" s="37">
        <v>0</v>
      </c>
      <c r="BL882" s="37">
        <v>0</v>
      </c>
      <c r="BM882" s="37">
        <v>0</v>
      </c>
      <c r="BN882" s="37">
        <v>0</v>
      </c>
      <c r="BO882" s="37">
        <v>0</v>
      </c>
      <c r="BP882" s="37">
        <v>0</v>
      </c>
      <c r="BQ882" s="37">
        <v>998699</v>
      </c>
      <c r="BR882" s="37">
        <v>62778</v>
      </c>
      <c r="BS882" s="37">
        <v>77829</v>
      </c>
      <c r="BT882" s="37">
        <v>79385</v>
      </c>
      <c r="BU882" s="37">
        <v>86494</v>
      </c>
      <c r="BV882" s="37">
        <v>82593</v>
      </c>
      <c r="BW882" s="37">
        <v>84245</v>
      </c>
      <c r="BX882" s="37">
        <v>85929</v>
      </c>
      <c r="BY882" s="37">
        <v>0</v>
      </c>
      <c r="BZ882" s="37">
        <v>0</v>
      </c>
      <c r="CA882" s="37">
        <v>0</v>
      </c>
      <c r="CB882" s="37">
        <v>559253</v>
      </c>
      <c r="CC882" s="37">
        <v>0</v>
      </c>
      <c r="CD882" s="37">
        <v>0</v>
      </c>
      <c r="CE882" s="37">
        <v>0</v>
      </c>
      <c r="CF882" s="37">
        <v>0</v>
      </c>
      <c r="CG882" s="37">
        <v>0</v>
      </c>
      <c r="CH882" s="37">
        <v>0</v>
      </c>
      <c r="CI882" s="37">
        <v>0</v>
      </c>
      <c r="CJ882" s="37">
        <v>0</v>
      </c>
      <c r="CK882" s="37">
        <v>0</v>
      </c>
      <c r="CL882" s="37">
        <v>0</v>
      </c>
      <c r="CM882" s="37">
        <v>0</v>
      </c>
      <c r="CN882" s="37">
        <v>0</v>
      </c>
      <c r="CO882" s="37">
        <v>279930</v>
      </c>
      <c r="CP882" s="37">
        <v>0</v>
      </c>
      <c r="CQ882" s="37">
        <v>0</v>
      </c>
      <c r="CR882" s="37">
        <v>0</v>
      </c>
      <c r="CS882" s="37">
        <v>0</v>
      </c>
      <c r="CT882" s="37">
        <v>0</v>
      </c>
      <c r="CU882" s="37">
        <v>0</v>
      </c>
      <c r="CV882" s="37">
        <v>0</v>
      </c>
      <c r="CW882" s="37">
        <v>0</v>
      </c>
      <c r="CX882" s="37">
        <v>0</v>
      </c>
      <c r="CY882" s="37">
        <v>0</v>
      </c>
      <c r="CZ882" s="37">
        <v>0</v>
      </c>
      <c r="DA882" s="37">
        <v>0</v>
      </c>
      <c r="DB882" s="37">
        <v>0</v>
      </c>
      <c r="DC882" s="37">
        <v>0</v>
      </c>
      <c r="DD882" s="37">
        <v>0</v>
      </c>
      <c r="DE882" s="37">
        <v>0</v>
      </c>
      <c r="DF882" s="37">
        <v>0</v>
      </c>
      <c r="DG882" s="37">
        <v>0</v>
      </c>
      <c r="DH882" s="37">
        <v>0</v>
      </c>
      <c r="DI882" s="37">
        <v>0</v>
      </c>
      <c r="DJ882" s="37">
        <v>0</v>
      </c>
      <c r="DK882" s="37">
        <v>0</v>
      </c>
      <c r="DL882" s="37">
        <v>0</v>
      </c>
      <c r="DM882" s="37">
        <v>0</v>
      </c>
      <c r="DN882" s="37">
        <v>0</v>
      </c>
      <c r="DO882" s="37">
        <v>0</v>
      </c>
      <c r="DP882" s="37">
        <v>0</v>
      </c>
      <c r="DQ882" s="37">
        <v>0</v>
      </c>
      <c r="DR882" s="37">
        <v>0</v>
      </c>
      <c r="DS882" s="37">
        <v>0</v>
      </c>
      <c r="DT882" s="37">
        <v>0</v>
      </c>
      <c r="DU882" s="37">
        <v>0</v>
      </c>
      <c r="DV882" s="37">
        <v>0</v>
      </c>
      <c r="DW882" s="37">
        <v>0</v>
      </c>
      <c r="DX882" s="37">
        <v>0</v>
      </c>
      <c r="DY882" s="37">
        <v>0</v>
      </c>
      <c r="DZ882" s="37">
        <v>0</v>
      </c>
      <c r="EA882" s="37">
        <v>0</v>
      </c>
      <c r="EB882" s="37">
        <v>0</v>
      </c>
      <c r="EC882" s="37">
        <v>0</v>
      </c>
      <c r="ED882" s="37">
        <v>0</v>
      </c>
      <c r="EE882" s="37">
        <v>0</v>
      </c>
      <c r="EF882" s="37">
        <v>0</v>
      </c>
      <c r="EG882" s="37">
        <v>0</v>
      </c>
      <c r="EH882" s="37">
        <v>0</v>
      </c>
      <c r="EI882" s="37">
        <v>0</v>
      </c>
      <c r="EJ882" s="37">
        <v>0</v>
      </c>
      <c r="EK882" s="161" t="s">
        <v>4627</v>
      </c>
      <c r="EL882" s="294" t="s">
        <v>1124</v>
      </c>
    </row>
    <row r="883" spans="1:142" ht="15" customHeight="1" x14ac:dyDescent="0.35">
      <c r="A883" s="34"/>
      <c r="B883" s="313">
        <v>63048</v>
      </c>
      <c r="C883" s="8" t="s">
        <v>640</v>
      </c>
      <c r="D883" s="18">
        <v>14</v>
      </c>
      <c r="E883" s="155">
        <v>417292</v>
      </c>
      <c r="F883" s="36">
        <v>585501</v>
      </c>
      <c r="G883" s="37">
        <v>112098</v>
      </c>
      <c r="H883" s="37">
        <v>113363</v>
      </c>
      <c r="I883" s="37">
        <v>171897</v>
      </c>
      <c r="J883" s="37">
        <v>172564</v>
      </c>
      <c r="K883" s="37">
        <v>62593.799999999996</v>
      </c>
      <c r="L883" s="37">
        <v>87825.15</v>
      </c>
      <c r="M883" s="37">
        <v>763880.8</v>
      </c>
      <c r="N883" s="37">
        <v>959253.15</v>
      </c>
      <c r="O883" s="37">
        <v>33348</v>
      </c>
      <c r="P883" s="37">
        <v>0</v>
      </c>
      <c r="Q883" s="37">
        <v>488286</v>
      </c>
      <c r="R883" s="37">
        <v>519376</v>
      </c>
      <c r="S883" s="37">
        <v>0</v>
      </c>
      <c r="T883" s="37">
        <v>0</v>
      </c>
      <c r="U883" s="37">
        <v>0</v>
      </c>
      <c r="V883" s="37">
        <v>62456</v>
      </c>
      <c r="W883" s="37">
        <v>242246.80000000005</v>
      </c>
      <c r="X883" s="37">
        <v>377421.15</v>
      </c>
      <c r="Y883" s="37">
        <v>0</v>
      </c>
      <c r="Z883" s="37">
        <v>0</v>
      </c>
      <c r="AA883" s="37">
        <v>763880.8</v>
      </c>
      <c r="AB883" s="37">
        <v>959253.15</v>
      </c>
      <c r="AC883" s="37">
        <v>0</v>
      </c>
      <c r="AD883" s="37">
        <v>0</v>
      </c>
      <c r="AE883" s="37">
        <v>0</v>
      </c>
      <c r="AF883" s="168">
        <v>0.02</v>
      </c>
      <c r="AG883" s="37">
        <v>145483568.55000001</v>
      </c>
      <c r="AH883" s="37">
        <v>1338855.1200000001</v>
      </c>
      <c r="AI883" s="37">
        <v>1365632.22</v>
      </c>
      <c r="AJ883" s="37">
        <v>1392944.86</v>
      </c>
      <c r="AK883" s="37">
        <v>1420803.76</v>
      </c>
      <c r="AL883" s="37">
        <v>1449219.84</v>
      </c>
      <c r="AM883" s="37">
        <v>1478204.23</v>
      </c>
      <c r="AN883" s="37">
        <v>1507768.3200000001</v>
      </c>
      <c r="AO883" s="37">
        <v>1537923.68</v>
      </c>
      <c r="AP883" s="37">
        <v>1568682.16</v>
      </c>
      <c r="AQ883" s="37">
        <v>1600055.8</v>
      </c>
      <c r="AR883" s="37">
        <v>14660089.989999998</v>
      </c>
      <c r="AS883" s="37">
        <v>24528162.260000002</v>
      </c>
      <c r="AT883" s="37">
        <v>816000</v>
      </c>
      <c r="AU883" s="37">
        <v>173400.35</v>
      </c>
      <c r="AV883" s="37">
        <v>9550872</v>
      </c>
      <c r="AW883" s="37">
        <v>0</v>
      </c>
      <c r="AX883" s="37">
        <v>0</v>
      </c>
      <c r="AY883" s="37">
        <v>0</v>
      </c>
      <c r="AZ883" s="37">
        <v>0</v>
      </c>
      <c r="BA883" s="37">
        <v>0</v>
      </c>
      <c r="BB883" s="37">
        <v>0</v>
      </c>
      <c r="BC883" s="37">
        <v>0</v>
      </c>
      <c r="BD883" s="37">
        <v>10540272.35</v>
      </c>
      <c r="BE883" s="37">
        <v>917674</v>
      </c>
      <c r="BF883" s="37">
        <v>2464950</v>
      </c>
      <c r="BG883" s="37">
        <v>2018018</v>
      </c>
      <c r="BH883" s="37">
        <v>58382</v>
      </c>
      <c r="BI883" s="37">
        <v>0</v>
      </c>
      <c r="BJ883" s="37">
        <v>0</v>
      </c>
      <c r="BK883" s="37">
        <v>0</v>
      </c>
      <c r="BL883" s="37">
        <v>0</v>
      </c>
      <c r="BM883" s="37">
        <v>0</v>
      </c>
      <c r="BN883" s="37">
        <v>0</v>
      </c>
      <c r="BO883" s="37">
        <v>0</v>
      </c>
      <c r="BP883" s="37">
        <v>4541350</v>
      </c>
      <c r="BQ883" s="37">
        <v>0</v>
      </c>
      <c r="BR883" s="37">
        <v>3369663</v>
      </c>
      <c r="BS883" s="37">
        <v>814933</v>
      </c>
      <c r="BT883" s="37">
        <v>6800000</v>
      </c>
      <c r="BU883" s="37">
        <v>0</v>
      </c>
      <c r="BV883" s="37">
        <v>0</v>
      </c>
      <c r="BW883" s="37">
        <v>0</v>
      </c>
      <c r="BX883" s="37">
        <v>0</v>
      </c>
      <c r="BY883" s="37">
        <v>0</v>
      </c>
      <c r="BZ883" s="37">
        <v>0</v>
      </c>
      <c r="CA883" s="37">
        <v>0</v>
      </c>
      <c r="CB883" s="37">
        <v>10984596</v>
      </c>
      <c r="CC883" s="37">
        <v>0</v>
      </c>
      <c r="CD883" s="37">
        <v>0</v>
      </c>
      <c r="CE883" s="37">
        <v>0</v>
      </c>
      <c r="CF883" s="37">
        <v>0</v>
      </c>
      <c r="CG883" s="37">
        <v>0</v>
      </c>
      <c r="CH883" s="37">
        <v>0</v>
      </c>
      <c r="CI883" s="37">
        <v>0</v>
      </c>
      <c r="CJ883" s="37">
        <v>0</v>
      </c>
      <c r="CK883" s="37">
        <v>0</v>
      </c>
      <c r="CL883" s="37">
        <v>0</v>
      </c>
      <c r="CM883" s="37">
        <v>0</v>
      </c>
      <c r="CN883" s="37">
        <v>0</v>
      </c>
      <c r="CO883" s="37">
        <v>0</v>
      </c>
      <c r="CP883" s="37">
        <v>0</v>
      </c>
      <c r="CQ883" s="37">
        <v>0</v>
      </c>
      <c r="CR883" s="37">
        <v>0</v>
      </c>
      <c r="CS883" s="37">
        <v>0</v>
      </c>
      <c r="CT883" s="37">
        <v>0</v>
      </c>
      <c r="CU883" s="37">
        <v>0</v>
      </c>
      <c r="CV883" s="37">
        <v>0</v>
      </c>
      <c r="CW883" s="37">
        <v>0</v>
      </c>
      <c r="CX883" s="37">
        <v>0</v>
      </c>
      <c r="CY883" s="37">
        <v>0</v>
      </c>
      <c r="CZ883" s="37">
        <v>0</v>
      </c>
      <c r="DA883" s="37">
        <v>0</v>
      </c>
      <c r="DB883" s="37">
        <v>650000</v>
      </c>
      <c r="DC883" s="37">
        <v>166667</v>
      </c>
      <c r="DD883" s="37">
        <v>0</v>
      </c>
      <c r="DE883" s="37">
        <v>0</v>
      </c>
      <c r="DF883" s="37">
        <v>0</v>
      </c>
      <c r="DG883" s="37">
        <v>0</v>
      </c>
      <c r="DH883" s="37">
        <v>0</v>
      </c>
      <c r="DI883" s="37">
        <v>0</v>
      </c>
      <c r="DJ883" s="37">
        <v>0</v>
      </c>
      <c r="DK883" s="37">
        <v>0</v>
      </c>
      <c r="DL883" s="37">
        <v>816667</v>
      </c>
      <c r="DM883" s="37">
        <v>0</v>
      </c>
      <c r="DN883" s="37">
        <v>0</v>
      </c>
      <c r="DO883" s="37">
        <v>0</v>
      </c>
      <c r="DP883" s="37">
        <v>0</v>
      </c>
      <c r="DQ883" s="37">
        <v>0</v>
      </c>
      <c r="DR883" s="37">
        <v>0</v>
      </c>
      <c r="DS883" s="37">
        <v>0</v>
      </c>
      <c r="DT883" s="37">
        <v>0</v>
      </c>
      <c r="DU883" s="37">
        <v>0</v>
      </c>
      <c r="DV883" s="37">
        <v>0</v>
      </c>
      <c r="DW883" s="37">
        <v>0</v>
      </c>
      <c r="DX883" s="37">
        <v>0</v>
      </c>
      <c r="DY883" s="37">
        <v>0</v>
      </c>
      <c r="DZ883" s="37">
        <v>0</v>
      </c>
      <c r="EA883" s="37">
        <v>0</v>
      </c>
      <c r="EB883" s="37">
        <v>0</v>
      </c>
      <c r="EC883" s="37">
        <v>0</v>
      </c>
      <c r="ED883" s="37">
        <v>0</v>
      </c>
      <c r="EE883" s="37">
        <v>0</v>
      </c>
      <c r="EF883" s="37">
        <v>0</v>
      </c>
      <c r="EG883" s="37">
        <v>0</v>
      </c>
      <c r="EH883" s="37">
        <v>0</v>
      </c>
      <c r="EI883" s="37">
        <v>0</v>
      </c>
      <c r="EJ883" s="37">
        <v>0</v>
      </c>
      <c r="EK883" s="161" t="s">
        <v>3223</v>
      </c>
      <c r="EL883" s="294" t="s">
        <v>1124</v>
      </c>
    </row>
    <row r="884" spans="1:142" ht="15" customHeight="1" x14ac:dyDescent="0.35">
      <c r="A884" s="34"/>
      <c r="B884" s="313">
        <v>54120</v>
      </c>
      <c r="C884" s="8" t="s">
        <v>557</v>
      </c>
      <c r="D884" s="18">
        <v>16</v>
      </c>
      <c r="E884" s="155">
        <v>141321</v>
      </c>
      <c r="F884" s="36">
        <v>96666</v>
      </c>
      <c r="G884" s="37">
        <v>0</v>
      </c>
      <c r="H884" s="37">
        <v>27097</v>
      </c>
      <c r="I884" s="37">
        <v>0</v>
      </c>
      <c r="J884" s="37">
        <v>248034</v>
      </c>
      <c r="K884" s="37">
        <v>14132.1</v>
      </c>
      <c r="L884" s="37">
        <v>9666.6</v>
      </c>
      <c r="M884" s="37">
        <v>155453.1</v>
      </c>
      <c r="N884" s="37">
        <v>381463.6</v>
      </c>
      <c r="O884" s="37">
        <v>81660</v>
      </c>
      <c r="P884" s="37">
        <v>0</v>
      </c>
      <c r="Q884" s="37">
        <v>50038</v>
      </c>
      <c r="R884" s="37">
        <v>138003</v>
      </c>
      <c r="S884" s="37">
        <v>22593</v>
      </c>
      <c r="T884" s="37">
        <v>0</v>
      </c>
      <c r="U884" s="37">
        <v>0</v>
      </c>
      <c r="V884" s="37">
        <v>142396</v>
      </c>
      <c r="W884" s="37">
        <v>29637</v>
      </c>
      <c r="X884" s="37">
        <v>101065</v>
      </c>
      <c r="Y884" s="37">
        <v>0</v>
      </c>
      <c r="Z884" s="37">
        <v>0</v>
      </c>
      <c r="AA884" s="37">
        <v>183928</v>
      </c>
      <c r="AB884" s="37">
        <v>381464</v>
      </c>
      <c r="AC884" s="37">
        <v>28475</v>
      </c>
      <c r="AD884" s="37">
        <v>0</v>
      </c>
      <c r="AE884" s="37">
        <v>0</v>
      </c>
      <c r="AF884" s="168">
        <v>0.02</v>
      </c>
      <c r="AG884" s="37">
        <v>30741339.940000001</v>
      </c>
      <c r="AH884" s="37">
        <v>290319.21000000002</v>
      </c>
      <c r="AI884" s="37">
        <v>296125.59999999998</v>
      </c>
      <c r="AJ884" s="37">
        <v>302048.11</v>
      </c>
      <c r="AK884" s="37">
        <v>308089.07</v>
      </c>
      <c r="AL884" s="37">
        <v>314250.84999999998</v>
      </c>
      <c r="AM884" s="37">
        <v>320535.87</v>
      </c>
      <c r="AN884" s="37">
        <v>326946.59000000003</v>
      </c>
      <c r="AO884" s="37">
        <v>333485.52</v>
      </c>
      <c r="AP884" s="37">
        <v>340155.23</v>
      </c>
      <c r="AQ884" s="37">
        <v>346958.33</v>
      </c>
      <c r="AR884" s="37">
        <v>3178914.38</v>
      </c>
      <c r="AS884" s="37">
        <v>0</v>
      </c>
      <c r="AT884" s="37">
        <v>10404</v>
      </c>
      <c r="AU884" s="37">
        <v>0</v>
      </c>
      <c r="AV884" s="37">
        <v>0</v>
      </c>
      <c r="AW884" s="37">
        <v>0</v>
      </c>
      <c r="AX884" s="37">
        <v>0</v>
      </c>
      <c r="AY884" s="37">
        <v>0</v>
      </c>
      <c r="AZ884" s="37">
        <v>0</v>
      </c>
      <c r="BA884" s="37">
        <v>0</v>
      </c>
      <c r="BB884" s="37">
        <v>0</v>
      </c>
      <c r="BC884" s="37">
        <v>0</v>
      </c>
      <c r="BD884" s="37">
        <v>10404</v>
      </c>
      <c r="BE884" s="37">
        <v>0</v>
      </c>
      <c r="BF884" s="37">
        <v>0</v>
      </c>
      <c r="BG884" s="37">
        <v>0</v>
      </c>
      <c r="BH884" s="37">
        <v>0</v>
      </c>
      <c r="BI884" s="37">
        <v>0</v>
      </c>
      <c r="BJ884" s="37">
        <v>0</v>
      </c>
      <c r="BK884" s="37">
        <v>0</v>
      </c>
      <c r="BL884" s="37">
        <v>0</v>
      </c>
      <c r="BM884" s="37">
        <v>0</v>
      </c>
      <c r="BN884" s="37">
        <v>0</v>
      </c>
      <c r="BO884" s="37">
        <v>0</v>
      </c>
      <c r="BP884" s="37">
        <v>0</v>
      </c>
      <c r="BQ884" s="37">
        <v>0</v>
      </c>
      <c r="BR884" s="37">
        <v>0</v>
      </c>
      <c r="BS884" s="37">
        <v>0</v>
      </c>
      <c r="BT884" s="37">
        <v>0</v>
      </c>
      <c r="BU884" s="37">
        <v>0</v>
      </c>
      <c r="BV884" s="37">
        <v>0</v>
      </c>
      <c r="BW884" s="37">
        <v>0</v>
      </c>
      <c r="BX884" s="37">
        <v>0</v>
      </c>
      <c r="BY884" s="37">
        <v>0</v>
      </c>
      <c r="BZ884" s="37">
        <v>0</v>
      </c>
      <c r="CA884" s="37">
        <v>0</v>
      </c>
      <c r="CB884" s="37">
        <v>0</v>
      </c>
      <c r="CC884" s="37">
        <v>0</v>
      </c>
      <c r="CD884" s="37">
        <v>0</v>
      </c>
      <c r="CE884" s="37">
        <v>0</v>
      </c>
      <c r="CF884" s="37">
        <v>0</v>
      </c>
      <c r="CG884" s="37">
        <v>0</v>
      </c>
      <c r="CH884" s="37">
        <v>0</v>
      </c>
      <c r="CI884" s="37">
        <v>0</v>
      </c>
      <c r="CJ884" s="37">
        <v>0</v>
      </c>
      <c r="CK884" s="37">
        <v>0</v>
      </c>
      <c r="CL884" s="37">
        <v>0</v>
      </c>
      <c r="CM884" s="37">
        <v>0</v>
      </c>
      <c r="CN884" s="37">
        <v>0</v>
      </c>
      <c r="CO884" s="37">
        <v>0</v>
      </c>
      <c r="CP884" s="37">
        <v>0</v>
      </c>
      <c r="CQ884" s="37">
        <v>0</v>
      </c>
      <c r="CR884" s="37">
        <v>0</v>
      </c>
      <c r="CS884" s="37">
        <v>0</v>
      </c>
      <c r="CT884" s="37">
        <v>0</v>
      </c>
      <c r="CU884" s="37">
        <v>0</v>
      </c>
      <c r="CV884" s="37">
        <v>0</v>
      </c>
      <c r="CW884" s="37">
        <v>0</v>
      </c>
      <c r="CX884" s="37">
        <v>0</v>
      </c>
      <c r="CY884" s="37">
        <v>0</v>
      </c>
      <c r="CZ884" s="37">
        <v>0</v>
      </c>
      <c r="DA884" s="37">
        <v>0</v>
      </c>
      <c r="DB884" s="37">
        <v>0</v>
      </c>
      <c r="DC884" s="37">
        <v>0</v>
      </c>
      <c r="DD884" s="37">
        <v>0</v>
      </c>
      <c r="DE884" s="37">
        <v>0</v>
      </c>
      <c r="DF884" s="37">
        <v>0</v>
      </c>
      <c r="DG884" s="37">
        <v>0</v>
      </c>
      <c r="DH884" s="37">
        <v>0</v>
      </c>
      <c r="DI884" s="37">
        <v>0</v>
      </c>
      <c r="DJ884" s="37">
        <v>0</v>
      </c>
      <c r="DK884" s="37">
        <v>0</v>
      </c>
      <c r="DL884" s="37">
        <v>0</v>
      </c>
      <c r="DM884" s="37">
        <v>0</v>
      </c>
      <c r="DN884" s="37">
        <v>0</v>
      </c>
      <c r="DO884" s="37">
        <v>0</v>
      </c>
      <c r="DP884" s="37">
        <v>0</v>
      </c>
      <c r="DQ884" s="37">
        <v>0</v>
      </c>
      <c r="DR884" s="37">
        <v>0</v>
      </c>
      <c r="DS884" s="37">
        <v>0</v>
      </c>
      <c r="DT884" s="37">
        <v>0</v>
      </c>
      <c r="DU884" s="37">
        <v>0</v>
      </c>
      <c r="DV884" s="37">
        <v>0</v>
      </c>
      <c r="DW884" s="37">
        <v>0</v>
      </c>
      <c r="DX884" s="37">
        <v>0</v>
      </c>
      <c r="DY884" s="37">
        <v>0</v>
      </c>
      <c r="DZ884" s="37">
        <v>0</v>
      </c>
      <c r="EA884" s="37">
        <v>0</v>
      </c>
      <c r="EB884" s="37">
        <v>0</v>
      </c>
      <c r="EC884" s="37">
        <v>0</v>
      </c>
      <c r="ED884" s="37">
        <v>0</v>
      </c>
      <c r="EE884" s="37">
        <v>0</v>
      </c>
      <c r="EF884" s="37">
        <v>0</v>
      </c>
      <c r="EG884" s="37">
        <v>0</v>
      </c>
      <c r="EH884" s="37">
        <v>0</v>
      </c>
      <c r="EI884" s="37">
        <v>0</v>
      </c>
      <c r="EJ884" s="37">
        <v>0</v>
      </c>
      <c r="EK884" s="161" t="s">
        <v>2109</v>
      </c>
      <c r="EL884" s="294" t="s">
        <v>1124</v>
      </c>
    </row>
    <row r="885" spans="1:142" ht="15" customHeight="1" x14ac:dyDescent="0.35">
      <c r="A885" s="34"/>
      <c r="B885" s="313">
        <v>39170</v>
      </c>
      <c r="C885" s="8" t="s">
        <v>357</v>
      </c>
      <c r="D885" s="18">
        <v>17</v>
      </c>
      <c r="E885" s="155"/>
      <c r="F885" s="36"/>
      <c r="G885" s="37"/>
      <c r="H885" s="37"/>
      <c r="I885" s="37"/>
      <c r="J885" s="37"/>
      <c r="K885" s="37"/>
      <c r="L885" s="37"/>
      <c r="M885" s="37" t="s">
        <v>1124</v>
      </c>
      <c r="N885" s="37" t="s">
        <v>1124</v>
      </c>
      <c r="O885" s="37"/>
      <c r="P885" s="37"/>
      <c r="Q885" s="37"/>
      <c r="R885" s="37"/>
      <c r="S885" s="37"/>
      <c r="T885" s="37"/>
      <c r="U885" s="37"/>
      <c r="V885" s="37"/>
      <c r="W885" s="37"/>
      <c r="X885" s="37"/>
      <c r="Y885" s="37"/>
      <c r="Z885" s="37"/>
      <c r="AA885" s="37" t="s">
        <v>1124</v>
      </c>
      <c r="AB885" s="37" t="s">
        <v>1124</v>
      </c>
      <c r="AC885" s="37"/>
      <c r="AD885" s="37"/>
      <c r="AE885" s="37"/>
      <c r="AF885" s="168"/>
      <c r="AG885" s="37"/>
      <c r="AH885" s="37"/>
      <c r="AI885" s="37"/>
      <c r="AJ885" s="37"/>
      <c r="AK885" s="37"/>
      <c r="AL885" s="37"/>
      <c r="AM885" s="37"/>
      <c r="AN885" s="37"/>
      <c r="AO885" s="37"/>
      <c r="AP885" s="37"/>
      <c r="AQ885" s="37"/>
      <c r="AR885" s="37" t="s">
        <v>1124</v>
      </c>
      <c r="AS885" s="37"/>
      <c r="AT885" s="37"/>
      <c r="AU885" s="37"/>
      <c r="AV885" s="37"/>
      <c r="AW885" s="37"/>
      <c r="AX885" s="37"/>
      <c r="AY885" s="37"/>
      <c r="AZ885" s="37"/>
      <c r="BA885" s="37"/>
      <c r="BB885" s="37"/>
      <c r="BC885" s="37"/>
      <c r="BD885" s="37" t="s">
        <v>1124</v>
      </c>
      <c r="BE885" s="37"/>
      <c r="BF885" s="37"/>
      <c r="BG885" s="37"/>
      <c r="BH885" s="37"/>
      <c r="BI885" s="37"/>
      <c r="BJ885" s="37"/>
      <c r="BK885" s="37"/>
      <c r="BL885" s="37"/>
      <c r="BM885" s="37"/>
      <c r="BN885" s="37"/>
      <c r="BO885" s="37"/>
      <c r="BP885" s="37">
        <v>0</v>
      </c>
      <c r="BQ885" s="37"/>
      <c r="BR885" s="37"/>
      <c r="BS885" s="37"/>
      <c r="BT885" s="37"/>
      <c r="BU885" s="37"/>
      <c r="BV885" s="37"/>
      <c r="BW885" s="37"/>
      <c r="BX885" s="37"/>
      <c r="BY885" s="37"/>
      <c r="BZ885" s="37"/>
      <c r="CA885" s="37"/>
      <c r="CB885" s="37" t="s">
        <v>1124</v>
      </c>
      <c r="CC885" s="37"/>
      <c r="CD885" s="37"/>
      <c r="CE885" s="37"/>
      <c r="CF885" s="37"/>
      <c r="CG885" s="37"/>
      <c r="CH885" s="37"/>
      <c r="CI885" s="37"/>
      <c r="CJ885" s="37"/>
      <c r="CK885" s="37"/>
      <c r="CL885" s="37"/>
      <c r="CM885" s="37"/>
      <c r="CN885" s="37" t="s">
        <v>1124</v>
      </c>
      <c r="CO885" s="37"/>
      <c r="CP885" s="37"/>
      <c r="CQ885" s="37"/>
      <c r="CR885" s="37"/>
      <c r="CS885" s="37"/>
      <c r="CT885" s="37"/>
      <c r="CU885" s="37"/>
      <c r="CV885" s="37"/>
      <c r="CW885" s="37"/>
      <c r="CX885" s="37"/>
      <c r="CY885" s="37"/>
      <c r="CZ885" s="37" t="s">
        <v>1124</v>
      </c>
      <c r="DA885" s="37"/>
      <c r="DB885" s="37"/>
      <c r="DC885" s="37"/>
      <c r="DD885" s="37"/>
      <c r="DE885" s="37"/>
      <c r="DF885" s="37"/>
      <c r="DG885" s="37"/>
      <c r="DH885" s="37"/>
      <c r="DI885" s="37"/>
      <c r="DJ885" s="37"/>
      <c r="DK885" s="37"/>
      <c r="DL885" s="37" t="s">
        <v>1124</v>
      </c>
      <c r="DM885" s="37"/>
      <c r="DN885" s="37"/>
      <c r="DO885" s="37"/>
      <c r="DP885" s="37"/>
      <c r="DQ885" s="37"/>
      <c r="DR885" s="37"/>
      <c r="DS885" s="37"/>
      <c r="DT885" s="37"/>
      <c r="DU885" s="37"/>
      <c r="DV885" s="37"/>
      <c r="DW885" s="37"/>
      <c r="DX885" s="37" t="s">
        <v>1124</v>
      </c>
      <c r="DY885" s="37"/>
      <c r="DZ885" s="37"/>
      <c r="EA885" s="37"/>
      <c r="EB885" s="37"/>
      <c r="EC885" s="37"/>
      <c r="ED885" s="37"/>
      <c r="EE885" s="37"/>
      <c r="EF885" s="37"/>
      <c r="EG885" s="37"/>
      <c r="EH885" s="37"/>
      <c r="EI885" s="37"/>
      <c r="EJ885" s="37" t="s">
        <v>1124</v>
      </c>
      <c r="EK885" s="161"/>
      <c r="EL885" s="294"/>
    </row>
    <row r="886" spans="1:142" ht="15" customHeight="1" x14ac:dyDescent="0.35">
      <c r="A886" s="34"/>
      <c r="B886" s="313">
        <v>28035</v>
      </c>
      <c r="C886" s="8" t="s">
        <v>193</v>
      </c>
      <c r="D886" s="18">
        <v>12</v>
      </c>
      <c r="E886" s="155"/>
      <c r="F886" s="36"/>
      <c r="G886" s="37"/>
      <c r="H886" s="37"/>
      <c r="I886" s="37"/>
      <c r="J886" s="37"/>
      <c r="K886" s="37"/>
      <c r="L886" s="37"/>
      <c r="M886" s="37" t="s">
        <v>1124</v>
      </c>
      <c r="N886" s="37" t="s">
        <v>1124</v>
      </c>
      <c r="O886" s="37"/>
      <c r="P886" s="37"/>
      <c r="Q886" s="37"/>
      <c r="R886" s="37"/>
      <c r="S886" s="37"/>
      <c r="T886" s="37"/>
      <c r="U886" s="37"/>
      <c r="V886" s="37"/>
      <c r="W886" s="37"/>
      <c r="X886" s="37"/>
      <c r="Y886" s="37"/>
      <c r="Z886" s="37"/>
      <c r="AA886" s="37" t="s">
        <v>1124</v>
      </c>
      <c r="AB886" s="37" t="s">
        <v>1124</v>
      </c>
      <c r="AC886" s="37"/>
      <c r="AD886" s="37"/>
      <c r="AE886" s="37"/>
      <c r="AF886" s="168"/>
      <c r="AG886" s="37"/>
      <c r="AH886" s="37"/>
      <c r="AI886" s="37"/>
      <c r="AJ886" s="37"/>
      <c r="AK886" s="37"/>
      <c r="AL886" s="37"/>
      <c r="AM886" s="37"/>
      <c r="AN886" s="37"/>
      <c r="AO886" s="37"/>
      <c r="AP886" s="37"/>
      <c r="AQ886" s="37"/>
      <c r="AR886" s="37" t="s">
        <v>1124</v>
      </c>
      <c r="AS886" s="37"/>
      <c r="AT886" s="37"/>
      <c r="AU886" s="37"/>
      <c r="AV886" s="37"/>
      <c r="AW886" s="37"/>
      <c r="AX886" s="37"/>
      <c r="AY886" s="37"/>
      <c r="AZ886" s="37"/>
      <c r="BA886" s="37"/>
      <c r="BB886" s="37"/>
      <c r="BC886" s="37"/>
      <c r="BD886" s="37" t="s">
        <v>1124</v>
      </c>
      <c r="BE886" s="37"/>
      <c r="BF886" s="37"/>
      <c r="BG886" s="37"/>
      <c r="BH886" s="37"/>
      <c r="BI886" s="37"/>
      <c r="BJ886" s="37"/>
      <c r="BK886" s="37"/>
      <c r="BL886" s="37"/>
      <c r="BM886" s="37"/>
      <c r="BN886" s="37"/>
      <c r="BO886" s="37"/>
      <c r="BP886" s="37">
        <v>0</v>
      </c>
      <c r="BQ886" s="37"/>
      <c r="BR886" s="37"/>
      <c r="BS886" s="37"/>
      <c r="BT886" s="37"/>
      <c r="BU886" s="37"/>
      <c r="BV886" s="37"/>
      <c r="BW886" s="37"/>
      <c r="BX886" s="37"/>
      <c r="BY886" s="37"/>
      <c r="BZ886" s="37"/>
      <c r="CA886" s="37"/>
      <c r="CB886" s="37" t="s">
        <v>1124</v>
      </c>
      <c r="CC886" s="37"/>
      <c r="CD886" s="37"/>
      <c r="CE886" s="37"/>
      <c r="CF886" s="37"/>
      <c r="CG886" s="37"/>
      <c r="CH886" s="37"/>
      <c r="CI886" s="37"/>
      <c r="CJ886" s="37"/>
      <c r="CK886" s="37"/>
      <c r="CL886" s="37"/>
      <c r="CM886" s="37"/>
      <c r="CN886" s="37" t="s">
        <v>1124</v>
      </c>
      <c r="CO886" s="37"/>
      <c r="CP886" s="37"/>
      <c r="CQ886" s="37"/>
      <c r="CR886" s="37"/>
      <c r="CS886" s="37"/>
      <c r="CT886" s="37"/>
      <c r="CU886" s="37"/>
      <c r="CV886" s="37"/>
      <c r="CW886" s="37"/>
      <c r="CX886" s="37"/>
      <c r="CY886" s="37"/>
      <c r="CZ886" s="37" t="s">
        <v>1124</v>
      </c>
      <c r="DA886" s="37"/>
      <c r="DB886" s="37"/>
      <c r="DC886" s="37"/>
      <c r="DD886" s="37"/>
      <c r="DE886" s="37"/>
      <c r="DF886" s="37"/>
      <c r="DG886" s="37"/>
      <c r="DH886" s="37"/>
      <c r="DI886" s="37"/>
      <c r="DJ886" s="37"/>
      <c r="DK886" s="37"/>
      <c r="DL886" s="37" t="s">
        <v>1124</v>
      </c>
      <c r="DM886" s="37"/>
      <c r="DN886" s="37"/>
      <c r="DO886" s="37"/>
      <c r="DP886" s="37"/>
      <c r="DQ886" s="37"/>
      <c r="DR886" s="37"/>
      <c r="DS886" s="37"/>
      <c r="DT886" s="37"/>
      <c r="DU886" s="37"/>
      <c r="DV886" s="37"/>
      <c r="DW886" s="37"/>
      <c r="DX886" s="37" t="s">
        <v>1124</v>
      </c>
      <c r="DY886" s="37"/>
      <c r="DZ886" s="37"/>
      <c r="EA886" s="37"/>
      <c r="EB886" s="37"/>
      <c r="EC886" s="37"/>
      <c r="ED886" s="37"/>
      <c r="EE886" s="37"/>
      <c r="EF886" s="37"/>
      <c r="EG886" s="37"/>
      <c r="EH886" s="37"/>
      <c r="EI886" s="37"/>
      <c r="EJ886" s="37" t="s">
        <v>1124</v>
      </c>
      <c r="EK886" s="161"/>
      <c r="EL886" s="294"/>
    </row>
    <row r="887" spans="1:142" ht="15" customHeight="1" x14ac:dyDescent="0.35">
      <c r="A887" s="34"/>
      <c r="B887" s="313">
        <v>70035</v>
      </c>
      <c r="C887" s="8" t="s">
        <v>701</v>
      </c>
      <c r="D887" s="18">
        <v>16</v>
      </c>
      <c r="E887" s="155"/>
      <c r="F887" s="36"/>
      <c r="G887" s="37"/>
      <c r="H887" s="37"/>
      <c r="I887" s="37"/>
      <c r="J887" s="37"/>
      <c r="K887" s="37"/>
      <c r="L887" s="37"/>
      <c r="M887" s="37" t="s">
        <v>1124</v>
      </c>
      <c r="N887" s="37" t="s">
        <v>1124</v>
      </c>
      <c r="O887" s="37"/>
      <c r="P887" s="37"/>
      <c r="Q887" s="37"/>
      <c r="R887" s="37"/>
      <c r="S887" s="37"/>
      <c r="T887" s="37"/>
      <c r="U887" s="37"/>
      <c r="V887" s="37"/>
      <c r="W887" s="37"/>
      <c r="X887" s="37"/>
      <c r="Y887" s="37"/>
      <c r="Z887" s="37"/>
      <c r="AA887" s="37" t="s">
        <v>1124</v>
      </c>
      <c r="AB887" s="37" t="s">
        <v>1124</v>
      </c>
      <c r="AC887" s="37"/>
      <c r="AD887" s="37"/>
      <c r="AE887" s="37"/>
      <c r="AF887" s="168"/>
      <c r="AG887" s="37"/>
      <c r="AH887" s="37"/>
      <c r="AI887" s="37"/>
      <c r="AJ887" s="37"/>
      <c r="AK887" s="37"/>
      <c r="AL887" s="37"/>
      <c r="AM887" s="37"/>
      <c r="AN887" s="37"/>
      <c r="AO887" s="37"/>
      <c r="AP887" s="37"/>
      <c r="AQ887" s="37"/>
      <c r="AR887" s="37" t="s">
        <v>1124</v>
      </c>
      <c r="AS887" s="37"/>
      <c r="AT887" s="37"/>
      <c r="AU887" s="37"/>
      <c r="AV887" s="37"/>
      <c r="AW887" s="37"/>
      <c r="AX887" s="37"/>
      <c r="AY887" s="37"/>
      <c r="AZ887" s="37"/>
      <c r="BA887" s="37"/>
      <c r="BB887" s="37"/>
      <c r="BC887" s="37"/>
      <c r="BD887" s="37" t="s">
        <v>1124</v>
      </c>
      <c r="BE887" s="37"/>
      <c r="BF887" s="37"/>
      <c r="BG887" s="37"/>
      <c r="BH887" s="37"/>
      <c r="BI887" s="37"/>
      <c r="BJ887" s="37"/>
      <c r="BK887" s="37"/>
      <c r="BL887" s="37"/>
      <c r="BM887" s="37"/>
      <c r="BN887" s="37"/>
      <c r="BO887" s="37"/>
      <c r="BP887" s="37">
        <v>0</v>
      </c>
      <c r="BQ887" s="37"/>
      <c r="BR887" s="37"/>
      <c r="BS887" s="37"/>
      <c r="BT887" s="37"/>
      <c r="BU887" s="37"/>
      <c r="BV887" s="37"/>
      <c r="BW887" s="37"/>
      <c r="BX887" s="37"/>
      <c r="BY887" s="37"/>
      <c r="BZ887" s="37"/>
      <c r="CA887" s="37"/>
      <c r="CB887" s="37" t="s">
        <v>1124</v>
      </c>
      <c r="CC887" s="37"/>
      <c r="CD887" s="37"/>
      <c r="CE887" s="37"/>
      <c r="CF887" s="37"/>
      <c r="CG887" s="37"/>
      <c r="CH887" s="37"/>
      <c r="CI887" s="37"/>
      <c r="CJ887" s="37"/>
      <c r="CK887" s="37"/>
      <c r="CL887" s="37"/>
      <c r="CM887" s="37"/>
      <c r="CN887" s="37" t="s">
        <v>1124</v>
      </c>
      <c r="CO887" s="37"/>
      <c r="CP887" s="37"/>
      <c r="CQ887" s="37"/>
      <c r="CR887" s="37"/>
      <c r="CS887" s="37"/>
      <c r="CT887" s="37"/>
      <c r="CU887" s="37"/>
      <c r="CV887" s="37"/>
      <c r="CW887" s="37"/>
      <c r="CX887" s="37"/>
      <c r="CY887" s="37"/>
      <c r="CZ887" s="37" t="s">
        <v>1124</v>
      </c>
      <c r="DA887" s="37"/>
      <c r="DB887" s="37"/>
      <c r="DC887" s="37"/>
      <c r="DD887" s="37"/>
      <c r="DE887" s="37"/>
      <c r="DF887" s="37"/>
      <c r="DG887" s="37"/>
      <c r="DH887" s="37"/>
      <c r="DI887" s="37"/>
      <c r="DJ887" s="37"/>
      <c r="DK887" s="37"/>
      <c r="DL887" s="37" t="s">
        <v>1124</v>
      </c>
      <c r="DM887" s="37"/>
      <c r="DN887" s="37"/>
      <c r="DO887" s="37"/>
      <c r="DP887" s="37"/>
      <c r="DQ887" s="37"/>
      <c r="DR887" s="37"/>
      <c r="DS887" s="37"/>
      <c r="DT887" s="37"/>
      <c r="DU887" s="37"/>
      <c r="DV887" s="37"/>
      <c r="DW887" s="37"/>
      <c r="DX887" s="37" t="s">
        <v>1124</v>
      </c>
      <c r="DY887" s="37"/>
      <c r="DZ887" s="37"/>
      <c r="EA887" s="37"/>
      <c r="EB887" s="37"/>
      <c r="EC887" s="37"/>
      <c r="ED887" s="37"/>
      <c r="EE887" s="37"/>
      <c r="EF887" s="37"/>
      <c r="EG887" s="37"/>
      <c r="EH887" s="37"/>
      <c r="EI887" s="37"/>
      <c r="EJ887" s="37" t="s">
        <v>1124</v>
      </c>
      <c r="EK887" s="161"/>
      <c r="EL887" s="294"/>
    </row>
    <row r="888" spans="1:142" ht="15" customHeight="1" x14ac:dyDescent="0.35">
      <c r="A888" s="34"/>
      <c r="B888" s="313">
        <v>21015</v>
      </c>
      <c r="C888" s="8" t="s">
        <v>146</v>
      </c>
      <c r="D888" s="18">
        <v>3</v>
      </c>
      <c r="E888" s="155"/>
      <c r="F888" s="36"/>
      <c r="G888" s="37"/>
      <c r="H888" s="37"/>
      <c r="I888" s="37"/>
      <c r="J888" s="37"/>
      <c r="K888" s="37"/>
      <c r="L888" s="37"/>
      <c r="M888" s="37" t="s">
        <v>1124</v>
      </c>
      <c r="N888" s="37" t="s">
        <v>1124</v>
      </c>
      <c r="O888" s="37"/>
      <c r="P888" s="37"/>
      <c r="Q888" s="37"/>
      <c r="R888" s="37"/>
      <c r="S888" s="37"/>
      <c r="T888" s="37"/>
      <c r="U888" s="37"/>
      <c r="V888" s="37"/>
      <c r="W888" s="37"/>
      <c r="X888" s="37"/>
      <c r="Y888" s="37"/>
      <c r="Z888" s="37"/>
      <c r="AA888" s="37" t="s">
        <v>1124</v>
      </c>
      <c r="AB888" s="37" t="s">
        <v>1124</v>
      </c>
      <c r="AC888" s="37"/>
      <c r="AD888" s="37"/>
      <c r="AE888" s="37"/>
      <c r="AF888" s="168"/>
      <c r="AG888" s="37"/>
      <c r="AH888" s="37"/>
      <c r="AI888" s="37"/>
      <c r="AJ888" s="37"/>
      <c r="AK888" s="37"/>
      <c r="AL888" s="37"/>
      <c r="AM888" s="37"/>
      <c r="AN888" s="37"/>
      <c r="AO888" s="37"/>
      <c r="AP888" s="37"/>
      <c r="AQ888" s="37"/>
      <c r="AR888" s="37" t="s">
        <v>1124</v>
      </c>
      <c r="AS888" s="37"/>
      <c r="AT888" s="37"/>
      <c r="AU888" s="37"/>
      <c r="AV888" s="37"/>
      <c r="AW888" s="37"/>
      <c r="AX888" s="37"/>
      <c r="AY888" s="37"/>
      <c r="AZ888" s="37"/>
      <c r="BA888" s="37"/>
      <c r="BB888" s="37"/>
      <c r="BC888" s="37"/>
      <c r="BD888" s="37" t="s">
        <v>1124</v>
      </c>
      <c r="BE888" s="37"/>
      <c r="BF888" s="37"/>
      <c r="BG888" s="37"/>
      <c r="BH888" s="37"/>
      <c r="BI888" s="37"/>
      <c r="BJ888" s="37"/>
      <c r="BK888" s="37"/>
      <c r="BL888" s="37"/>
      <c r="BM888" s="37"/>
      <c r="BN888" s="37"/>
      <c r="BO888" s="37"/>
      <c r="BP888" s="37">
        <v>0</v>
      </c>
      <c r="BQ888" s="37"/>
      <c r="BR888" s="37"/>
      <c r="BS888" s="37"/>
      <c r="BT888" s="37"/>
      <c r="BU888" s="37"/>
      <c r="BV888" s="37"/>
      <c r="BW888" s="37"/>
      <c r="BX888" s="37"/>
      <c r="BY888" s="37"/>
      <c r="BZ888" s="37"/>
      <c r="CA888" s="37"/>
      <c r="CB888" s="37" t="s">
        <v>1124</v>
      </c>
      <c r="CC888" s="37"/>
      <c r="CD888" s="37"/>
      <c r="CE888" s="37"/>
      <c r="CF888" s="37"/>
      <c r="CG888" s="37"/>
      <c r="CH888" s="37"/>
      <c r="CI888" s="37"/>
      <c r="CJ888" s="37"/>
      <c r="CK888" s="37"/>
      <c r="CL888" s="37"/>
      <c r="CM888" s="37"/>
      <c r="CN888" s="37" t="s">
        <v>1124</v>
      </c>
      <c r="CO888" s="37"/>
      <c r="CP888" s="37"/>
      <c r="CQ888" s="37"/>
      <c r="CR888" s="37"/>
      <c r="CS888" s="37"/>
      <c r="CT888" s="37"/>
      <c r="CU888" s="37"/>
      <c r="CV888" s="37"/>
      <c r="CW888" s="37"/>
      <c r="CX888" s="37"/>
      <c r="CY888" s="37"/>
      <c r="CZ888" s="37" t="s">
        <v>1124</v>
      </c>
      <c r="DA888" s="37"/>
      <c r="DB888" s="37"/>
      <c r="DC888" s="37"/>
      <c r="DD888" s="37"/>
      <c r="DE888" s="37"/>
      <c r="DF888" s="37"/>
      <c r="DG888" s="37"/>
      <c r="DH888" s="37"/>
      <c r="DI888" s="37"/>
      <c r="DJ888" s="37"/>
      <c r="DK888" s="37"/>
      <c r="DL888" s="37" t="s">
        <v>1124</v>
      </c>
      <c r="DM888" s="37"/>
      <c r="DN888" s="37"/>
      <c r="DO888" s="37"/>
      <c r="DP888" s="37"/>
      <c r="DQ888" s="37"/>
      <c r="DR888" s="37"/>
      <c r="DS888" s="37"/>
      <c r="DT888" s="37"/>
      <c r="DU888" s="37"/>
      <c r="DV888" s="37"/>
      <c r="DW888" s="37"/>
      <c r="DX888" s="37" t="s">
        <v>1124</v>
      </c>
      <c r="DY888" s="37"/>
      <c r="DZ888" s="37"/>
      <c r="EA888" s="37"/>
      <c r="EB888" s="37"/>
      <c r="EC888" s="37"/>
      <c r="ED888" s="37"/>
      <c r="EE888" s="37"/>
      <c r="EF888" s="37"/>
      <c r="EG888" s="37"/>
      <c r="EH888" s="37"/>
      <c r="EI888" s="37"/>
      <c r="EJ888" s="37" t="s">
        <v>1124</v>
      </c>
      <c r="EK888" s="161"/>
      <c r="EL888" s="294"/>
    </row>
    <row r="889" spans="1:142" ht="15" customHeight="1" x14ac:dyDescent="0.35">
      <c r="A889" s="34"/>
      <c r="B889" s="313">
        <v>13080</v>
      </c>
      <c r="C889" s="8" t="s">
        <v>55</v>
      </c>
      <c r="D889" s="18">
        <v>1</v>
      </c>
      <c r="E889" s="155"/>
      <c r="F889" s="36"/>
      <c r="G889" s="37"/>
      <c r="H889" s="37"/>
      <c r="I889" s="37"/>
      <c r="J889" s="37"/>
      <c r="K889" s="37"/>
      <c r="L889" s="37"/>
      <c r="M889" s="37" t="s">
        <v>1124</v>
      </c>
      <c r="N889" s="37" t="s">
        <v>1124</v>
      </c>
      <c r="O889" s="37"/>
      <c r="P889" s="37"/>
      <c r="Q889" s="37"/>
      <c r="R889" s="37"/>
      <c r="S889" s="37"/>
      <c r="T889" s="37"/>
      <c r="U889" s="37"/>
      <c r="V889" s="37"/>
      <c r="W889" s="37"/>
      <c r="X889" s="37"/>
      <c r="Y889" s="37"/>
      <c r="Z889" s="37"/>
      <c r="AA889" s="37" t="s">
        <v>1124</v>
      </c>
      <c r="AB889" s="37" t="s">
        <v>1124</v>
      </c>
      <c r="AC889" s="37"/>
      <c r="AD889" s="37"/>
      <c r="AE889" s="37"/>
      <c r="AF889" s="168"/>
      <c r="AG889" s="37"/>
      <c r="AH889" s="37"/>
      <c r="AI889" s="37"/>
      <c r="AJ889" s="37"/>
      <c r="AK889" s="37"/>
      <c r="AL889" s="37"/>
      <c r="AM889" s="37"/>
      <c r="AN889" s="37"/>
      <c r="AO889" s="37"/>
      <c r="AP889" s="37"/>
      <c r="AQ889" s="37"/>
      <c r="AR889" s="37" t="s">
        <v>1124</v>
      </c>
      <c r="AS889" s="37"/>
      <c r="AT889" s="37"/>
      <c r="AU889" s="37"/>
      <c r="AV889" s="37"/>
      <c r="AW889" s="37"/>
      <c r="AX889" s="37"/>
      <c r="AY889" s="37"/>
      <c r="AZ889" s="37"/>
      <c r="BA889" s="37"/>
      <c r="BB889" s="37"/>
      <c r="BC889" s="37"/>
      <c r="BD889" s="37" t="s">
        <v>1124</v>
      </c>
      <c r="BE889" s="37"/>
      <c r="BF889" s="37"/>
      <c r="BG889" s="37"/>
      <c r="BH889" s="37"/>
      <c r="BI889" s="37"/>
      <c r="BJ889" s="37"/>
      <c r="BK889" s="37"/>
      <c r="BL889" s="37"/>
      <c r="BM889" s="37"/>
      <c r="BN889" s="37"/>
      <c r="BO889" s="37"/>
      <c r="BP889" s="37">
        <v>0</v>
      </c>
      <c r="BQ889" s="37"/>
      <c r="BR889" s="37"/>
      <c r="BS889" s="37"/>
      <c r="BT889" s="37"/>
      <c r="BU889" s="37"/>
      <c r="BV889" s="37"/>
      <c r="BW889" s="37"/>
      <c r="BX889" s="37"/>
      <c r="BY889" s="37"/>
      <c r="BZ889" s="37"/>
      <c r="CA889" s="37"/>
      <c r="CB889" s="37" t="s">
        <v>1124</v>
      </c>
      <c r="CC889" s="37"/>
      <c r="CD889" s="37"/>
      <c r="CE889" s="37"/>
      <c r="CF889" s="37"/>
      <c r="CG889" s="37"/>
      <c r="CH889" s="37"/>
      <c r="CI889" s="37"/>
      <c r="CJ889" s="37"/>
      <c r="CK889" s="37"/>
      <c r="CL889" s="37"/>
      <c r="CM889" s="37"/>
      <c r="CN889" s="37" t="s">
        <v>1124</v>
      </c>
      <c r="CO889" s="37"/>
      <c r="CP889" s="37"/>
      <c r="CQ889" s="37"/>
      <c r="CR889" s="37"/>
      <c r="CS889" s="37"/>
      <c r="CT889" s="37"/>
      <c r="CU889" s="37"/>
      <c r="CV889" s="37"/>
      <c r="CW889" s="37"/>
      <c r="CX889" s="37"/>
      <c r="CY889" s="37"/>
      <c r="CZ889" s="37" t="s">
        <v>1124</v>
      </c>
      <c r="DA889" s="37"/>
      <c r="DB889" s="37"/>
      <c r="DC889" s="37"/>
      <c r="DD889" s="37"/>
      <c r="DE889" s="37"/>
      <c r="DF889" s="37"/>
      <c r="DG889" s="37"/>
      <c r="DH889" s="37"/>
      <c r="DI889" s="37"/>
      <c r="DJ889" s="37"/>
      <c r="DK889" s="37"/>
      <c r="DL889" s="37" t="s">
        <v>1124</v>
      </c>
      <c r="DM889" s="37"/>
      <c r="DN889" s="37"/>
      <c r="DO889" s="37"/>
      <c r="DP889" s="37"/>
      <c r="DQ889" s="37"/>
      <c r="DR889" s="37"/>
      <c r="DS889" s="37"/>
      <c r="DT889" s="37"/>
      <c r="DU889" s="37"/>
      <c r="DV889" s="37"/>
      <c r="DW889" s="37"/>
      <c r="DX889" s="37" t="s">
        <v>1124</v>
      </c>
      <c r="DY889" s="37"/>
      <c r="DZ889" s="37"/>
      <c r="EA889" s="37"/>
      <c r="EB889" s="37"/>
      <c r="EC889" s="37"/>
      <c r="ED889" s="37"/>
      <c r="EE889" s="37"/>
      <c r="EF889" s="37"/>
      <c r="EG889" s="37"/>
      <c r="EH889" s="37"/>
      <c r="EI889" s="37"/>
      <c r="EJ889" s="37" t="s">
        <v>1124</v>
      </c>
      <c r="EK889" s="161"/>
      <c r="EL889" s="294"/>
    </row>
    <row r="890" spans="1:142" ht="15" customHeight="1" x14ac:dyDescent="0.35">
      <c r="A890" s="34"/>
      <c r="B890" s="313">
        <v>28060</v>
      </c>
      <c r="C890" s="8" t="s">
        <v>197</v>
      </c>
      <c r="D890" s="18">
        <v>12</v>
      </c>
      <c r="E890" s="155">
        <v>47803</v>
      </c>
      <c r="F890" s="36">
        <v>27693</v>
      </c>
      <c r="G890" s="37">
        <v>0</v>
      </c>
      <c r="H890" s="37">
        <v>0</v>
      </c>
      <c r="I890" s="37">
        <v>0</v>
      </c>
      <c r="J890" s="37">
        <v>0</v>
      </c>
      <c r="K890" s="37">
        <v>7170.45</v>
      </c>
      <c r="L890" s="37">
        <v>4153.95</v>
      </c>
      <c r="M890" s="37">
        <v>54973.45</v>
      </c>
      <c r="N890" s="37">
        <v>31846.95</v>
      </c>
      <c r="O890" s="37">
        <v>0</v>
      </c>
      <c r="P890" s="37">
        <v>0</v>
      </c>
      <c r="Q890" s="37">
        <v>54900</v>
      </c>
      <c r="R890" s="37">
        <v>11375</v>
      </c>
      <c r="S890" s="37">
        <v>0</v>
      </c>
      <c r="T890" s="37">
        <v>0</v>
      </c>
      <c r="U890" s="37">
        <v>0</v>
      </c>
      <c r="V890" s="37">
        <v>0</v>
      </c>
      <c r="W890" s="37">
        <v>73.44999999999709</v>
      </c>
      <c r="X890" s="37">
        <v>20472</v>
      </c>
      <c r="Y890" s="37">
        <v>0</v>
      </c>
      <c r="Z890" s="37">
        <v>0</v>
      </c>
      <c r="AA890" s="37">
        <v>54973.45</v>
      </c>
      <c r="AB890" s="37">
        <v>31847</v>
      </c>
      <c r="AC890" s="37">
        <v>0</v>
      </c>
      <c r="AD890" s="37">
        <v>0</v>
      </c>
      <c r="AE890" s="37">
        <v>0</v>
      </c>
      <c r="AF890" s="168">
        <v>0.02</v>
      </c>
      <c r="AG890" s="37">
        <v>5949988.8799999999</v>
      </c>
      <c r="AH890" s="37">
        <v>36070.86</v>
      </c>
      <c r="AI890" s="37">
        <v>36792.28</v>
      </c>
      <c r="AJ890" s="37">
        <v>37528.129999999997</v>
      </c>
      <c r="AK890" s="37">
        <v>38278.69</v>
      </c>
      <c r="AL890" s="37">
        <v>39044.26</v>
      </c>
      <c r="AM890" s="37">
        <v>39825.15</v>
      </c>
      <c r="AN890" s="37">
        <v>40621.65</v>
      </c>
      <c r="AO890" s="37">
        <v>41434.080000000002</v>
      </c>
      <c r="AP890" s="37">
        <v>42262.77</v>
      </c>
      <c r="AQ890" s="37">
        <v>43108.02</v>
      </c>
      <c r="AR890" s="37">
        <v>394965.89</v>
      </c>
      <c r="AS890" s="37">
        <v>0</v>
      </c>
      <c r="AT890" s="37">
        <v>0</v>
      </c>
      <c r="AU890" s="37">
        <v>0</v>
      </c>
      <c r="AV890" s="37">
        <v>0</v>
      </c>
      <c r="AW890" s="37">
        <v>0</v>
      </c>
      <c r="AX890" s="37">
        <v>0</v>
      </c>
      <c r="AY890" s="37">
        <v>0</v>
      </c>
      <c r="AZ890" s="37">
        <v>0</v>
      </c>
      <c r="BA890" s="37">
        <v>0</v>
      </c>
      <c r="BB890" s="37">
        <v>0</v>
      </c>
      <c r="BC890" s="37">
        <v>0</v>
      </c>
      <c r="BD890" s="37">
        <v>0</v>
      </c>
      <c r="BE890" s="37">
        <v>0</v>
      </c>
      <c r="BF890" s="37">
        <v>71078.715086935903</v>
      </c>
      <c r="BG890" s="37">
        <v>76613.884235616424</v>
      </c>
      <c r="BH890" s="37">
        <v>94315.082362370464</v>
      </c>
      <c r="BI890" s="37">
        <v>0</v>
      </c>
      <c r="BJ890" s="37">
        <v>0</v>
      </c>
      <c r="BK890" s="37">
        <v>0</v>
      </c>
      <c r="BL890" s="37">
        <v>0</v>
      </c>
      <c r="BM890" s="37">
        <v>0</v>
      </c>
      <c r="BN890" s="37">
        <v>0</v>
      </c>
      <c r="BO890" s="37">
        <v>0</v>
      </c>
      <c r="BP890" s="37">
        <v>242007.68168492278</v>
      </c>
      <c r="BQ890" s="37">
        <v>0</v>
      </c>
      <c r="BR890" s="37">
        <v>23540.718549994446</v>
      </c>
      <c r="BS890" s="37">
        <v>25373.923594519089</v>
      </c>
      <c r="BT890" s="37">
        <v>31236.422974114572</v>
      </c>
      <c r="BU890" s="37">
        <v>0</v>
      </c>
      <c r="BV890" s="37">
        <v>0</v>
      </c>
      <c r="BW890" s="37">
        <v>0</v>
      </c>
      <c r="BX890" s="37">
        <v>0</v>
      </c>
      <c r="BY890" s="37">
        <v>0</v>
      </c>
      <c r="BZ890" s="37">
        <v>0</v>
      </c>
      <c r="CA890" s="37">
        <v>0</v>
      </c>
      <c r="CB890" s="37">
        <v>80151.065118628103</v>
      </c>
      <c r="CC890" s="37">
        <v>0</v>
      </c>
      <c r="CD890" s="37">
        <v>0</v>
      </c>
      <c r="CE890" s="37">
        <v>0</v>
      </c>
      <c r="CF890" s="37">
        <v>0</v>
      </c>
      <c r="CG890" s="37">
        <v>0</v>
      </c>
      <c r="CH890" s="37">
        <v>0</v>
      </c>
      <c r="CI890" s="37">
        <v>0</v>
      </c>
      <c r="CJ890" s="37">
        <v>0</v>
      </c>
      <c r="CK890" s="37">
        <v>0</v>
      </c>
      <c r="CL890" s="37">
        <v>0</v>
      </c>
      <c r="CM890" s="37">
        <v>0</v>
      </c>
      <c r="CN890" s="37">
        <v>0</v>
      </c>
      <c r="CO890" s="37">
        <v>0</v>
      </c>
      <c r="CP890" s="37">
        <v>0</v>
      </c>
      <c r="CQ890" s="37">
        <v>0</v>
      </c>
      <c r="CR890" s="37">
        <v>0</v>
      </c>
      <c r="CS890" s="37">
        <v>0</v>
      </c>
      <c r="CT890" s="37">
        <v>0</v>
      </c>
      <c r="CU890" s="37">
        <v>0</v>
      </c>
      <c r="CV890" s="37">
        <v>0</v>
      </c>
      <c r="CW890" s="37">
        <v>0</v>
      </c>
      <c r="CX890" s="37">
        <v>0</v>
      </c>
      <c r="CY890" s="37">
        <v>0</v>
      </c>
      <c r="CZ890" s="37">
        <v>0</v>
      </c>
      <c r="DA890" s="37">
        <v>0</v>
      </c>
      <c r="DB890" s="37">
        <v>0</v>
      </c>
      <c r="DC890" s="37">
        <v>0</v>
      </c>
      <c r="DD890" s="37">
        <v>0</v>
      </c>
      <c r="DE890" s="37">
        <v>0</v>
      </c>
      <c r="DF890" s="37">
        <v>0</v>
      </c>
      <c r="DG890" s="37">
        <v>0</v>
      </c>
      <c r="DH890" s="37">
        <v>0</v>
      </c>
      <c r="DI890" s="37">
        <v>0</v>
      </c>
      <c r="DJ890" s="37">
        <v>0</v>
      </c>
      <c r="DK890" s="37">
        <v>0</v>
      </c>
      <c r="DL890" s="37">
        <v>0</v>
      </c>
      <c r="DM890" s="37">
        <v>0</v>
      </c>
      <c r="DN890" s="37">
        <v>0</v>
      </c>
      <c r="DO890" s="37">
        <v>0</v>
      </c>
      <c r="DP890" s="37">
        <v>0</v>
      </c>
      <c r="DQ890" s="37">
        <v>0</v>
      </c>
      <c r="DR890" s="37">
        <v>0</v>
      </c>
      <c r="DS890" s="37">
        <v>0</v>
      </c>
      <c r="DT890" s="37">
        <v>0</v>
      </c>
      <c r="DU890" s="37">
        <v>0</v>
      </c>
      <c r="DV890" s="37">
        <v>0</v>
      </c>
      <c r="DW890" s="37">
        <v>0</v>
      </c>
      <c r="DX890" s="37">
        <v>0</v>
      </c>
      <c r="DY890" s="37">
        <v>0</v>
      </c>
      <c r="DZ890" s="37">
        <v>0</v>
      </c>
      <c r="EA890" s="37">
        <v>0</v>
      </c>
      <c r="EB890" s="37">
        <v>0</v>
      </c>
      <c r="EC890" s="37">
        <v>0</v>
      </c>
      <c r="ED890" s="37">
        <v>0</v>
      </c>
      <c r="EE890" s="37">
        <v>0</v>
      </c>
      <c r="EF890" s="37">
        <v>0</v>
      </c>
      <c r="EG890" s="37">
        <v>0</v>
      </c>
      <c r="EH890" s="37">
        <v>0</v>
      </c>
      <c r="EI890" s="37">
        <v>0</v>
      </c>
      <c r="EJ890" s="37">
        <v>0</v>
      </c>
      <c r="EK890" s="161" t="s">
        <v>3226</v>
      </c>
      <c r="EL890" s="294" t="s">
        <v>1124</v>
      </c>
    </row>
    <row r="891" spans="1:142" ht="15" customHeight="1" x14ac:dyDescent="0.35">
      <c r="A891" s="34"/>
      <c r="B891" s="313">
        <v>37225</v>
      </c>
      <c r="C891" s="8" t="s">
        <v>319</v>
      </c>
      <c r="D891" s="18">
        <v>4</v>
      </c>
      <c r="E891" s="155">
        <v>57564</v>
      </c>
      <c r="F891" s="36">
        <v>21741</v>
      </c>
      <c r="G891" s="37">
        <v>10847</v>
      </c>
      <c r="H891" s="37">
        <v>48804</v>
      </c>
      <c r="I891" s="37">
        <v>17207.5</v>
      </c>
      <c r="J891" s="37">
        <v>6939.74</v>
      </c>
      <c r="K891" s="37">
        <v>8634.6</v>
      </c>
      <c r="L891" s="37">
        <v>3261.15</v>
      </c>
      <c r="M891" s="37">
        <v>94253.1</v>
      </c>
      <c r="N891" s="37">
        <v>80745.89</v>
      </c>
      <c r="O891" s="37">
        <v>37766</v>
      </c>
      <c r="P891" s="37">
        <v>0</v>
      </c>
      <c r="Q891" s="37">
        <v>6351</v>
      </c>
      <c r="R891" s="37">
        <v>31995</v>
      </c>
      <c r="S891" s="37">
        <v>5741</v>
      </c>
      <c r="T891" s="37">
        <v>0</v>
      </c>
      <c r="U891" s="37">
        <v>15774</v>
      </c>
      <c r="V891" s="37">
        <v>36213</v>
      </c>
      <c r="W891" s="37">
        <v>36074.131240178518</v>
      </c>
      <c r="X891" s="37">
        <v>18922.858759821484</v>
      </c>
      <c r="Y891" s="37">
        <v>0</v>
      </c>
      <c r="Z891" s="37">
        <v>0</v>
      </c>
      <c r="AA891" s="37">
        <v>101706.13124017851</v>
      </c>
      <c r="AB891" s="37">
        <v>87130.85875982148</v>
      </c>
      <c r="AC891" s="37">
        <v>13838</v>
      </c>
      <c r="AD891" s="37">
        <v>13838</v>
      </c>
      <c r="AE891" s="37">
        <v>35400</v>
      </c>
      <c r="AF891" s="168">
        <v>0.02</v>
      </c>
      <c r="AG891" s="37">
        <v>20176375.440000001</v>
      </c>
      <c r="AH891" s="37">
        <v>194311.13</v>
      </c>
      <c r="AI891" s="37">
        <v>228993.19</v>
      </c>
      <c r="AJ891" s="37">
        <v>191336.97</v>
      </c>
      <c r="AK891" s="37">
        <v>184122.9</v>
      </c>
      <c r="AL891" s="37">
        <v>187805.36</v>
      </c>
      <c r="AM891" s="37">
        <v>191561.47</v>
      </c>
      <c r="AN891" s="37">
        <v>195392.7</v>
      </c>
      <c r="AO891" s="37">
        <v>199300.55</v>
      </c>
      <c r="AP891" s="37">
        <v>203286.56</v>
      </c>
      <c r="AQ891" s="37">
        <v>207352.3</v>
      </c>
      <c r="AR891" s="37">
        <v>1983463.13</v>
      </c>
      <c r="AS891" s="37">
        <v>204646.68</v>
      </c>
      <c r="AT891" s="37">
        <v>30600</v>
      </c>
      <c r="AU891" s="37">
        <v>1282376.23</v>
      </c>
      <c r="AV891" s="37">
        <v>1136553.77</v>
      </c>
      <c r="AW891" s="37">
        <v>552040.4</v>
      </c>
      <c r="AX891" s="37">
        <v>0</v>
      </c>
      <c r="AY891" s="37">
        <v>0</v>
      </c>
      <c r="AZ891" s="37">
        <v>0</v>
      </c>
      <c r="BA891" s="37">
        <v>0</v>
      </c>
      <c r="BB891" s="37">
        <v>0</v>
      </c>
      <c r="BC891" s="37">
        <v>0</v>
      </c>
      <c r="BD891" s="37">
        <v>3001570.4</v>
      </c>
      <c r="BE891" s="37">
        <v>259179</v>
      </c>
      <c r="BF891" s="37">
        <v>43861.327808184316</v>
      </c>
      <c r="BG891" s="37">
        <v>47276.975772656988</v>
      </c>
      <c r="BH891" s="37">
        <v>58200.049616712415</v>
      </c>
      <c r="BI891" s="37">
        <v>69123.146802446325</v>
      </c>
      <c r="BJ891" s="37">
        <v>7507.4258795827445</v>
      </c>
      <c r="BK891" s="37">
        <v>36353.901928601532</v>
      </c>
      <c r="BL891" s="37">
        <v>47276.975772656988</v>
      </c>
      <c r="BM891" s="37">
        <v>58200.049616712415</v>
      </c>
      <c r="BN891" s="37">
        <v>69123.146802446325</v>
      </c>
      <c r="BO891" s="37">
        <v>69123.146802446325</v>
      </c>
      <c r="BP891" s="37">
        <v>506046.1468024464</v>
      </c>
      <c r="BQ891" s="37">
        <v>0</v>
      </c>
      <c r="BR891" s="37">
        <v>0</v>
      </c>
      <c r="BS891" s="37">
        <v>0</v>
      </c>
      <c r="BT891" s="37">
        <v>0</v>
      </c>
      <c r="BU891" s="37">
        <v>0</v>
      </c>
      <c r="BV891" s="37">
        <v>0</v>
      </c>
      <c r="BW891" s="37">
        <v>0</v>
      </c>
      <c r="BX891" s="37">
        <v>0</v>
      </c>
      <c r="BY891" s="37">
        <v>0</v>
      </c>
      <c r="BZ891" s="37">
        <v>0</v>
      </c>
      <c r="CA891" s="37">
        <v>0</v>
      </c>
      <c r="CB891" s="37">
        <v>0</v>
      </c>
      <c r="CC891" s="37">
        <v>0</v>
      </c>
      <c r="CD891" s="37">
        <v>0</v>
      </c>
      <c r="CE891" s="37">
        <v>0</v>
      </c>
      <c r="CF891" s="37">
        <v>0</v>
      </c>
      <c r="CG891" s="37">
        <v>0</v>
      </c>
      <c r="CH891" s="37">
        <v>0</v>
      </c>
      <c r="CI891" s="37">
        <v>0</v>
      </c>
      <c r="CJ891" s="37">
        <v>0</v>
      </c>
      <c r="CK891" s="37">
        <v>0</v>
      </c>
      <c r="CL891" s="37">
        <v>0</v>
      </c>
      <c r="CM891" s="37">
        <v>0</v>
      </c>
      <c r="CN891" s="37">
        <v>0</v>
      </c>
      <c r="CO891" s="37">
        <v>151443</v>
      </c>
      <c r="CP891" s="37">
        <v>1029900</v>
      </c>
      <c r="CQ891" s="37">
        <v>0</v>
      </c>
      <c r="CR891" s="37">
        <v>0</v>
      </c>
      <c r="CS891" s="37">
        <v>0</v>
      </c>
      <c r="CT891" s="37">
        <v>0</v>
      </c>
      <c r="CU891" s="37">
        <v>0</v>
      </c>
      <c r="CV891" s="37">
        <v>0</v>
      </c>
      <c r="CW891" s="37">
        <v>0</v>
      </c>
      <c r="CX891" s="37">
        <v>0</v>
      </c>
      <c r="CY891" s="37">
        <v>0</v>
      </c>
      <c r="CZ891" s="37">
        <v>1029900</v>
      </c>
      <c r="DA891" s="37">
        <v>0</v>
      </c>
      <c r="DB891" s="37">
        <v>257475</v>
      </c>
      <c r="DC891" s="37">
        <v>0</v>
      </c>
      <c r="DD891" s="37">
        <v>0</v>
      </c>
      <c r="DE891" s="37">
        <v>0</v>
      </c>
      <c r="DF891" s="37">
        <v>0</v>
      </c>
      <c r="DG891" s="37">
        <v>0</v>
      </c>
      <c r="DH891" s="37">
        <v>0</v>
      </c>
      <c r="DI891" s="37">
        <v>0</v>
      </c>
      <c r="DJ891" s="37">
        <v>0</v>
      </c>
      <c r="DK891" s="37">
        <v>0</v>
      </c>
      <c r="DL891" s="37">
        <v>257475</v>
      </c>
      <c r="DM891" s="37">
        <v>0</v>
      </c>
      <c r="DN891" s="37">
        <v>0</v>
      </c>
      <c r="DO891" s="37">
        <v>0</v>
      </c>
      <c r="DP891" s="37">
        <v>0</v>
      </c>
      <c r="DQ891" s="37">
        <v>0</v>
      </c>
      <c r="DR891" s="37">
        <v>0</v>
      </c>
      <c r="DS891" s="37">
        <v>0</v>
      </c>
      <c r="DT891" s="37">
        <v>0</v>
      </c>
      <c r="DU891" s="37">
        <v>0</v>
      </c>
      <c r="DV891" s="37">
        <v>0</v>
      </c>
      <c r="DW891" s="37">
        <v>0</v>
      </c>
      <c r="DX891" s="37">
        <v>0</v>
      </c>
      <c r="DY891" s="37">
        <v>0</v>
      </c>
      <c r="DZ891" s="37">
        <v>0</v>
      </c>
      <c r="EA891" s="37">
        <v>0</v>
      </c>
      <c r="EB891" s="37">
        <v>0</v>
      </c>
      <c r="EC891" s="37">
        <v>0</v>
      </c>
      <c r="ED891" s="37">
        <v>0</v>
      </c>
      <c r="EE891" s="37">
        <v>0</v>
      </c>
      <c r="EF891" s="37">
        <v>0</v>
      </c>
      <c r="EG891" s="37">
        <v>0</v>
      </c>
      <c r="EH891" s="37">
        <v>0</v>
      </c>
      <c r="EI891" s="37">
        <v>0</v>
      </c>
      <c r="EJ891" s="37">
        <v>0</v>
      </c>
      <c r="EK891" s="161" t="s">
        <v>3231</v>
      </c>
      <c r="EL891" s="294" t="s">
        <v>1124</v>
      </c>
    </row>
    <row r="892" spans="1:142" ht="15" customHeight="1" x14ac:dyDescent="0.35">
      <c r="A892" s="34"/>
      <c r="B892" s="313">
        <v>49030</v>
      </c>
      <c r="C892" s="8" t="s">
        <v>468</v>
      </c>
      <c r="D892" s="18">
        <v>17</v>
      </c>
      <c r="E892" s="155"/>
      <c r="F892" s="36"/>
      <c r="G892" s="37"/>
      <c r="H892" s="37"/>
      <c r="I892" s="37"/>
      <c r="J892" s="37"/>
      <c r="K892" s="37"/>
      <c r="L892" s="37"/>
      <c r="M892" s="37" t="s">
        <v>1124</v>
      </c>
      <c r="N892" s="37" t="s">
        <v>1124</v>
      </c>
      <c r="O892" s="37"/>
      <c r="P892" s="37"/>
      <c r="Q892" s="37"/>
      <c r="R892" s="37"/>
      <c r="S892" s="37"/>
      <c r="T892" s="37"/>
      <c r="U892" s="37"/>
      <c r="V892" s="37"/>
      <c r="W892" s="37"/>
      <c r="X892" s="37"/>
      <c r="Y892" s="37"/>
      <c r="Z892" s="37"/>
      <c r="AA892" s="37" t="s">
        <v>1124</v>
      </c>
      <c r="AB892" s="37" t="s">
        <v>1124</v>
      </c>
      <c r="AC892" s="37"/>
      <c r="AD892" s="37"/>
      <c r="AE892" s="37"/>
      <c r="AF892" s="168"/>
      <c r="AG892" s="37"/>
      <c r="AH892" s="37"/>
      <c r="AI892" s="37"/>
      <c r="AJ892" s="37"/>
      <c r="AK892" s="37"/>
      <c r="AL892" s="37"/>
      <c r="AM892" s="37"/>
      <c r="AN892" s="37"/>
      <c r="AO892" s="37"/>
      <c r="AP892" s="37"/>
      <c r="AQ892" s="37"/>
      <c r="AR892" s="37" t="s">
        <v>1124</v>
      </c>
      <c r="AS892" s="37"/>
      <c r="AT892" s="37"/>
      <c r="AU892" s="37"/>
      <c r="AV892" s="37"/>
      <c r="AW892" s="37"/>
      <c r="AX892" s="37"/>
      <c r="AY892" s="37"/>
      <c r="AZ892" s="37"/>
      <c r="BA892" s="37"/>
      <c r="BB892" s="37"/>
      <c r="BC892" s="37"/>
      <c r="BD892" s="37" t="s">
        <v>1124</v>
      </c>
      <c r="BE892" s="37"/>
      <c r="BF892" s="37"/>
      <c r="BG892" s="37"/>
      <c r="BH892" s="37"/>
      <c r="BI892" s="37"/>
      <c r="BJ892" s="37"/>
      <c r="BK892" s="37"/>
      <c r="BL892" s="37"/>
      <c r="BM892" s="37"/>
      <c r="BN892" s="37"/>
      <c r="BO892" s="37"/>
      <c r="BP892" s="37">
        <v>0</v>
      </c>
      <c r="BQ892" s="37"/>
      <c r="BR892" s="37"/>
      <c r="BS892" s="37"/>
      <c r="BT892" s="37"/>
      <c r="BU892" s="37"/>
      <c r="BV892" s="37"/>
      <c r="BW892" s="37"/>
      <c r="BX892" s="37"/>
      <c r="BY892" s="37"/>
      <c r="BZ892" s="37"/>
      <c r="CA892" s="37"/>
      <c r="CB892" s="37" t="s">
        <v>1124</v>
      </c>
      <c r="CC892" s="37"/>
      <c r="CD892" s="37"/>
      <c r="CE892" s="37"/>
      <c r="CF892" s="37"/>
      <c r="CG892" s="37"/>
      <c r="CH892" s="37"/>
      <c r="CI892" s="37"/>
      <c r="CJ892" s="37"/>
      <c r="CK892" s="37"/>
      <c r="CL892" s="37"/>
      <c r="CM892" s="37"/>
      <c r="CN892" s="37" t="s">
        <v>1124</v>
      </c>
      <c r="CO892" s="37"/>
      <c r="CP892" s="37"/>
      <c r="CQ892" s="37"/>
      <c r="CR892" s="37"/>
      <c r="CS892" s="37"/>
      <c r="CT892" s="37"/>
      <c r="CU892" s="37"/>
      <c r="CV892" s="37"/>
      <c r="CW892" s="37"/>
      <c r="CX892" s="37"/>
      <c r="CY892" s="37"/>
      <c r="CZ892" s="37" t="s">
        <v>1124</v>
      </c>
      <c r="DA892" s="37"/>
      <c r="DB892" s="37"/>
      <c r="DC892" s="37"/>
      <c r="DD892" s="37"/>
      <c r="DE892" s="37"/>
      <c r="DF892" s="37"/>
      <c r="DG892" s="37"/>
      <c r="DH892" s="37"/>
      <c r="DI892" s="37"/>
      <c r="DJ892" s="37"/>
      <c r="DK892" s="37"/>
      <c r="DL892" s="37" t="s">
        <v>1124</v>
      </c>
      <c r="DM892" s="37"/>
      <c r="DN892" s="37"/>
      <c r="DO892" s="37"/>
      <c r="DP892" s="37"/>
      <c r="DQ892" s="37"/>
      <c r="DR892" s="37"/>
      <c r="DS892" s="37"/>
      <c r="DT892" s="37"/>
      <c r="DU892" s="37"/>
      <c r="DV892" s="37"/>
      <c r="DW892" s="37"/>
      <c r="DX892" s="37" t="s">
        <v>1124</v>
      </c>
      <c r="DY892" s="37"/>
      <c r="DZ892" s="37"/>
      <c r="EA892" s="37"/>
      <c r="EB892" s="37"/>
      <c r="EC892" s="37"/>
      <c r="ED892" s="37"/>
      <c r="EE892" s="37"/>
      <c r="EF892" s="37"/>
      <c r="EG892" s="37"/>
      <c r="EH892" s="37"/>
      <c r="EI892" s="37"/>
      <c r="EJ892" s="37" t="s">
        <v>1124</v>
      </c>
      <c r="EK892" s="161"/>
      <c r="EL892" s="294"/>
    </row>
    <row r="893" spans="1:142" ht="15" customHeight="1" x14ac:dyDescent="0.35">
      <c r="A893" s="34"/>
      <c r="B893" s="313">
        <v>30072</v>
      </c>
      <c r="C893" s="8" t="s">
        <v>229</v>
      </c>
      <c r="D893" s="18">
        <v>5</v>
      </c>
      <c r="E893" s="155">
        <v>32665</v>
      </c>
      <c r="F893" s="36">
        <v>74659</v>
      </c>
      <c r="G893" s="37">
        <v>19418</v>
      </c>
      <c r="H893" s="37">
        <v>19418</v>
      </c>
      <c r="I893" s="37">
        <v>90400</v>
      </c>
      <c r="J893" s="37">
        <v>90400</v>
      </c>
      <c r="K893" s="37">
        <v>4899.75</v>
      </c>
      <c r="L893" s="37">
        <v>11198.85</v>
      </c>
      <c r="M893" s="37">
        <v>147382.75</v>
      </c>
      <c r="N893" s="37">
        <v>195675.85</v>
      </c>
      <c r="O893" s="37">
        <v>6048.6500000000015</v>
      </c>
      <c r="P893" s="37">
        <v>0</v>
      </c>
      <c r="Q893" s="37">
        <v>28684</v>
      </c>
      <c r="R893" s="37">
        <v>84970</v>
      </c>
      <c r="S893" s="37">
        <v>0</v>
      </c>
      <c r="T893" s="37">
        <v>0</v>
      </c>
      <c r="U893" s="37">
        <v>171646</v>
      </c>
      <c r="V893" s="37">
        <v>0</v>
      </c>
      <c r="W893" s="37">
        <v>0</v>
      </c>
      <c r="X893" s="37">
        <v>51709.949999999953</v>
      </c>
      <c r="Y893" s="37">
        <v>0</v>
      </c>
      <c r="Z893" s="37">
        <v>0</v>
      </c>
      <c r="AA893" s="37">
        <v>206378.65</v>
      </c>
      <c r="AB893" s="37">
        <v>136679.94999999995</v>
      </c>
      <c r="AC893" s="37">
        <v>0</v>
      </c>
      <c r="AD893" s="37">
        <v>0</v>
      </c>
      <c r="AE893" s="37">
        <v>0</v>
      </c>
      <c r="AF893" s="168">
        <v>0.02</v>
      </c>
      <c r="AG893" s="37">
        <v>16226606.4</v>
      </c>
      <c r="AH893" s="37">
        <v>137361.82999999999</v>
      </c>
      <c r="AI893" s="37">
        <v>140109.07</v>
      </c>
      <c r="AJ893" s="37">
        <v>142911.25</v>
      </c>
      <c r="AK893" s="37">
        <v>145769.47</v>
      </c>
      <c r="AL893" s="37">
        <v>148684.85999999999</v>
      </c>
      <c r="AM893" s="37">
        <v>151658.56</v>
      </c>
      <c r="AN893" s="37">
        <v>154691.73000000001</v>
      </c>
      <c r="AO893" s="37">
        <v>157785.57</v>
      </c>
      <c r="AP893" s="37">
        <v>160941.28</v>
      </c>
      <c r="AQ893" s="37">
        <v>164160.1</v>
      </c>
      <c r="AR893" s="37">
        <v>1504073.7200000002</v>
      </c>
      <c r="AS893" s="37">
        <v>467874</v>
      </c>
      <c r="AT893" s="37">
        <v>0</v>
      </c>
      <c r="AU893" s="37">
        <v>12484.8</v>
      </c>
      <c r="AV893" s="37">
        <v>0</v>
      </c>
      <c r="AW893" s="37">
        <v>21648.639999999999</v>
      </c>
      <c r="AX893" s="37">
        <v>0</v>
      </c>
      <c r="AY893" s="37">
        <v>0</v>
      </c>
      <c r="AZ893" s="37">
        <v>0</v>
      </c>
      <c r="BA893" s="37">
        <v>0</v>
      </c>
      <c r="BB893" s="37">
        <v>0</v>
      </c>
      <c r="BC893" s="37">
        <v>0</v>
      </c>
      <c r="BD893" s="37">
        <v>34133.440000000002</v>
      </c>
      <c r="BE893" s="37">
        <v>0</v>
      </c>
      <c r="BF893" s="37">
        <v>0</v>
      </c>
      <c r="BG893" s="37">
        <v>1075400</v>
      </c>
      <c r="BH893" s="37">
        <v>0</v>
      </c>
      <c r="BI893" s="37">
        <v>0</v>
      </c>
      <c r="BJ893" s="37">
        <v>0</v>
      </c>
      <c r="BK893" s="37">
        <v>0</v>
      </c>
      <c r="BL893" s="37">
        <v>0</v>
      </c>
      <c r="BM893" s="37">
        <v>0</v>
      </c>
      <c r="BN893" s="37">
        <v>0</v>
      </c>
      <c r="BO893" s="37">
        <v>0</v>
      </c>
      <c r="BP893" s="37">
        <v>1075400</v>
      </c>
      <c r="BQ893" s="37">
        <v>0</v>
      </c>
      <c r="BR893" s="37">
        <v>0</v>
      </c>
      <c r="BS893" s="37">
        <v>0</v>
      </c>
      <c r="BT893" s="37">
        <v>0</v>
      </c>
      <c r="BU893" s="37">
        <v>0</v>
      </c>
      <c r="BV893" s="37">
        <v>0</v>
      </c>
      <c r="BW893" s="37">
        <v>0</v>
      </c>
      <c r="BX893" s="37">
        <v>0</v>
      </c>
      <c r="BY893" s="37">
        <v>0</v>
      </c>
      <c r="BZ893" s="37">
        <v>0</v>
      </c>
      <c r="CA893" s="37">
        <v>0</v>
      </c>
      <c r="CB893" s="37">
        <v>0</v>
      </c>
      <c r="CC893" s="37">
        <v>0</v>
      </c>
      <c r="CD893" s="37">
        <v>0</v>
      </c>
      <c r="CE893" s="37">
        <v>265100</v>
      </c>
      <c r="CF893" s="37">
        <v>0</v>
      </c>
      <c r="CG893" s="37">
        <v>0</v>
      </c>
      <c r="CH893" s="37">
        <v>0</v>
      </c>
      <c r="CI893" s="37">
        <v>0</v>
      </c>
      <c r="CJ893" s="37">
        <v>0</v>
      </c>
      <c r="CK893" s="37">
        <v>0</v>
      </c>
      <c r="CL893" s="37">
        <v>0</v>
      </c>
      <c r="CM893" s="37">
        <v>0</v>
      </c>
      <c r="CN893" s="37">
        <v>265100</v>
      </c>
      <c r="CO893" s="37">
        <v>0</v>
      </c>
      <c r="CP893" s="37">
        <v>0</v>
      </c>
      <c r="CQ893" s="37">
        <v>10000</v>
      </c>
      <c r="CR893" s="37">
        <v>0</v>
      </c>
      <c r="CS893" s="37">
        <v>0</v>
      </c>
      <c r="CT893" s="37">
        <v>0</v>
      </c>
      <c r="CU893" s="37">
        <v>0</v>
      </c>
      <c r="CV893" s="37">
        <v>0</v>
      </c>
      <c r="CW893" s="37">
        <v>0</v>
      </c>
      <c r="CX893" s="37">
        <v>0</v>
      </c>
      <c r="CY893" s="37">
        <v>0</v>
      </c>
      <c r="CZ893" s="37">
        <v>10000</v>
      </c>
      <c r="DA893" s="37">
        <v>0</v>
      </c>
      <c r="DB893" s="37">
        <v>0</v>
      </c>
      <c r="DC893" s="37">
        <v>0</v>
      </c>
      <c r="DD893" s="37">
        <v>0</v>
      </c>
      <c r="DE893" s="37">
        <v>0</v>
      </c>
      <c r="DF893" s="37">
        <v>0</v>
      </c>
      <c r="DG893" s="37">
        <v>0</v>
      </c>
      <c r="DH893" s="37">
        <v>0</v>
      </c>
      <c r="DI893" s="37">
        <v>0</v>
      </c>
      <c r="DJ893" s="37">
        <v>0</v>
      </c>
      <c r="DK893" s="37">
        <v>0</v>
      </c>
      <c r="DL893" s="37">
        <v>0</v>
      </c>
      <c r="DM893" s="37">
        <v>0</v>
      </c>
      <c r="DN893" s="37">
        <v>0</v>
      </c>
      <c r="DO893" s="37">
        <v>0</v>
      </c>
      <c r="DP893" s="37">
        <v>0</v>
      </c>
      <c r="DQ893" s="37">
        <v>0</v>
      </c>
      <c r="DR893" s="37">
        <v>0</v>
      </c>
      <c r="DS893" s="37">
        <v>0</v>
      </c>
      <c r="DT893" s="37">
        <v>0</v>
      </c>
      <c r="DU893" s="37">
        <v>0</v>
      </c>
      <c r="DV893" s="37">
        <v>0</v>
      </c>
      <c r="DW893" s="37">
        <v>0</v>
      </c>
      <c r="DX893" s="37">
        <v>0</v>
      </c>
      <c r="DY893" s="37">
        <v>0</v>
      </c>
      <c r="DZ893" s="37">
        <v>0</v>
      </c>
      <c r="EA893" s="37">
        <v>0</v>
      </c>
      <c r="EB893" s="37">
        <v>0</v>
      </c>
      <c r="EC893" s="37">
        <v>0</v>
      </c>
      <c r="ED893" s="37">
        <v>0</v>
      </c>
      <c r="EE893" s="37">
        <v>0</v>
      </c>
      <c r="EF893" s="37">
        <v>0</v>
      </c>
      <c r="EG893" s="37">
        <v>0</v>
      </c>
      <c r="EH893" s="37">
        <v>0</v>
      </c>
      <c r="EI893" s="37">
        <v>0</v>
      </c>
      <c r="EJ893" s="37">
        <v>0</v>
      </c>
      <c r="EK893" s="161" t="s">
        <v>3233</v>
      </c>
      <c r="EL893" s="294" t="s">
        <v>1124</v>
      </c>
    </row>
    <row r="894" spans="1:142" ht="15" customHeight="1" x14ac:dyDescent="0.35">
      <c r="A894" s="34"/>
      <c r="B894" s="313">
        <v>93080</v>
      </c>
      <c r="C894" s="8" t="s">
        <v>971</v>
      </c>
      <c r="D894" s="18">
        <v>2</v>
      </c>
      <c r="E894" s="155"/>
      <c r="F894" s="36"/>
      <c r="G894" s="37"/>
      <c r="H894" s="37"/>
      <c r="I894" s="37"/>
      <c r="J894" s="37"/>
      <c r="K894" s="37"/>
      <c r="L894" s="37"/>
      <c r="M894" s="37" t="s">
        <v>1124</v>
      </c>
      <c r="N894" s="37" t="s">
        <v>1124</v>
      </c>
      <c r="O894" s="37"/>
      <c r="P894" s="37"/>
      <c r="Q894" s="37"/>
      <c r="R894" s="37"/>
      <c r="S894" s="37"/>
      <c r="T894" s="37"/>
      <c r="U894" s="37"/>
      <c r="V894" s="37"/>
      <c r="W894" s="37"/>
      <c r="X894" s="37"/>
      <c r="Y894" s="37"/>
      <c r="Z894" s="37"/>
      <c r="AA894" s="37" t="s">
        <v>1124</v>
      </c>
      <c r="AB894" s="37" t="s">
        <v>1124</v>
      </c>
      <c r="AC894" s="37"/>
      <c r="AD894" s="37"/>
      <c r="AE894" s="37"/>
      <c r="AF894" s="168"/>
      <c r="AG894" s="37"/>
      <c r="AH894" s="37"/>
      <c r="AI894" s="37"/>
      <c r="AJ894" s="37"/>
      <c r="AK894" s="37"/>
      <c r="AL894" s="37"/>
      <c r="AM894" s="37"/>
      <c r="AN894" s="37"/>
      <c r="AO894" s="37"/>
      <c r="AP894" s="37"/>
      <c r="AQ894" s="37"/>
      <c r="AR894" s="37" t="s">
        <v>1124</v>
      </c>
      <c r="AS894" s="37"/>
      <c r="AT894" s="37"/>
      <c r="AU894" s="37"/>
      <c r="AV894" s="37"/>
      <c r="AW894" s="37"/>
      <c r="AX894" s="37"/>
      <c r="AY894" s="37"/>
      <c r="AZ894" s="37"/>
      <c r="BA894" s="37"/>
      <c r="BB894" s="37"/>
      <c r="BC894" s="37"/>
      <c r="BD894" s="37" t="s">
        <v>1124</v>
      </c>
      <c r="BE894" s="37"/>
      <c r="BF894" s="37"/>
      <c r="BG894" s="37"/>
      <c r="BH894" s="37"/>
      <c r="BI894" s="37"/>
      <c r="BJ894" s="37"/>
      <c r="BK894" s="37"/>
      <c r="BL894" s="37"/>
      <c r="BM894" s="37"/>
      <c r="BN894" s="37"/>
      <c r="BO894" s="37"/>
      <c r="BP894" s="37">
        <v>0</v>
      </c>
      <c r="BQ894" s="37"/>
      <c r="BR894" s="37"/>
      <c r="BS894" s="37"/>
      <c r="BT894" s="37"/>
      <c r="BU894" s="37"/>
      <c r="BV894" s="37"/>
      <c r="BW894" s="37"/>
      <c r="BX894" s="37"/>
      <c r="BY894" s="37"/>
      <c r="BZ894" s="37"/>
      <c r="CA894" s="37"/>
      <c r="CB894" s="37" t="s">
        <v>1124</v>
      </c>
      <c r="CC894" s="37"/>
      <c r="CD894" s="37"/>
      <c r="CE894" s="37"/>
      <c r="CF894" s="37"/>
      <c r="CG894" s="37"/>
      <c r="CH894" s="37"/>
      <c r="CI894" s="37"/>
      <c r="CJ894" s="37"/>
      <c r="CK894" s="37"/>
      <c r="CL894" s="37"/>
      <c r="CM894" s="37"/>
      <c r="CN894" s="37" t="s">
        <v>1124</v>
      </c>
      <c r="CO894" s="37"/>
      <c r="CP894" s="37"/>
      <c r="CQ894" s="37"/>
      <c r="CR894" s="37"/>
      <c r="CS894" s="37"/>
      <c r="CT894" s="37"/>
      <c r="CU894" s="37"/>
      <c r="CV894" s="37"/>
      <c r="CW894" s="37"/>
      <c r="CX894" s="37"/>
      <c r="CY894" s="37"/>
      <c r="CZ894" s="37" t="s">
        <v>1124</v>
      </c>
      <c r="DA894" s="37"/>
      <c r="DB894" s="37"/>
      <c r="DC894" s="37"/>
      <c r="DD894" s="37"/>
      <c r="DE894" s="37"/>
      <c r="DF894" s="37"/>
      <c r="DG894" s="37"/>
      <c r="DH894" s="37"/>
      <c r="DI894" s="37"/>
      <c r="DJ894" s="37"/>
      <c r="DK894" s="37"/>
      <c r="DL894" s="37" t="s">
        <v>1124</v>
      </c>
      <c r="DM894" s="37"/>
      <c r="DN894" s="37"/>
      <c r="DO894" s="37"/>
      <c r="DP894" s="37"/>
      <c r="DQ894" s="37"/>
      <c r="DR894" s="37"/>
      <c r="DS894" s="37"/>
      <c r="DT894" s="37"/>
      <c r="DU894" s="37"/>
      <c r="DV894" s="37"/>
      <c r="DW894" s="37"/>
      <c r="DX894" s="37" t="s">
        <v>1124</v>
      </c>
      <c r="DY894" s="37"/>
      <c r="DZ894" s="37"/>
      <c r="EA894" s="37"/>
      <c r="EB894" s="37"/>
      <c r="EC894" s="37"/>
      <c r="ED894" s="37"/>
      <c r="EE894" s="37"/>
      <c r="EF894" s="37"/>
      <c r="EG894" s="37"/>
      <c r="EH894" s="37"/>
      <c r="EI894" s="37"/>
      <c r="EJ894" s="37" t="s">
        <v>1124</v>
      </c>
      <c r="EK894" s="161"/>
      <c r="EL894" s="294"/>
    </row>
    <row r="895" spans="1:142" ht="15" customHeight="1" x14ac:dyDescent="0.35">
      <c r="A895" s="34"/>
      <c r="B895" s="313">
        <v>28075</v>
      </c>
      <c r="C895" s="8" t="s">
        <v>200</v>
      </c>
      <c r="D895" s="18">
        <v>12</v>
      </c>
      <c r="E895" s="155">
        <v>126352</v>
      </c>
      <c r="F895" s="36">
        <v>36893</v>
      </c>
      <c r="G895" s="37">
        <v>0</v>
      </c>
      <c r="H895" s="37">
        <v>0</v>
      </c>
      <c r="I895" s="37">
        <v>0</v>
      </c>
      <c r="J895" s="37">
        <v>0</v>
      </c>
      <c r="K895" s="37">
        <v>18952.8</v>
      </c>
      <c r="L895" s="37">
        <v>5533.95</v>
      </c>
      <c r="M895" s="37">
        <v>145304.79999999999</v>
      </c>
      <c r="N895" s="37">
        <v>42426.95</v>
      </c>
      <c r="O895" s="37">
        <v>0</v>
      </c>
      <c r="P895" s="37">
        <v>0</v>
      </c>
      <c r="Q895" s="37">
        <v>55347</v>
      </c>
      <c r="R895" s="37">
        <v>57696</v>
      </c>
      <c r="S895" s="37">
        <v>0</v>
      </c>
      <c r="T895" s="37">
        <v>0</v>
      </c>
      <c r="U895" s="37">
        <v>25725</v>
      </c>
      <c r="V895" s="37">
        <v>0</v>
      </c>
      <c r="W895" s="37">
        <v>48963.749999999985</v>
      </c>
      <c r="X895" s="37">
        <v>0</v>
      </c>
      <c r="Y895" s="37">
        <v>0</v>
      </c>
      <c r="Z895" s="37">
        <v>0</v>
      </c>
      <c r="AA895" s="37">
        <v>130035.74999999999</v>
      </c>
      <c r="AB895" s="37">
        <v>57696</v>
      </c>
      <c r="AC895" s="37">
        <v>0</v>
      </c>
      <c r="AD895" s="37">
        <v>0</v>
      </c>
      <c r="AE895" s="37">
        <v>0</v>
      </c>
      <c r="AF895" s="168">
        <v>0.02</v>
      </c>
      <c r="AG895" s="37">
        <v>9526291.5099999998</v>
      </c>
      <c r="AH895" s="37">
        <v>89293.08</v>
      </c>
      <c r="AI895" s="37">
        <v>91078.94</v>
      </c>
      <c r="AJ895" s="37">
        <v>92900.52</v>
      </c>
      <c r="AK895" s="37">
        <v>94758.53</v>
      </c>
      <c r="AL895" s="37">
        <v>96653.7</v>
      </c>
      <c r="AM895" s="37">
        <v>98586.78</v>
      </c>
      <c r="AN895" s="37">
        <v>100558.51</v>
      </c>
      <c r="AO895" s="37">
        <v>102569.68</v>
      </c>
      <c r="AP895" s="37">
        <v>104621.08</v>
      </c>
      <c r="AQ895" s="37">
        <v>106713.5</v>
      </c>
      <c r="AR895" s="37">
        <v>977734.32</v>
      </c>
      <c r="AS895" s="37">
        <v>0</v>
      </c>
      <c r="AT895" s="37">
        <v>728280</v>
      </c>
      <c r="AU895" s="37">
        <v>376728.84</v>
      </c>
      <c r="AV895" s="37">
        <v>0</v>
      </c>
      <c r="AW895" s="37">
        <v>0</v>
      </c>
      <c r="AX895" s="37">
        <v>0</v>
      </c>
      <c r="AY895" s="37">
        <v>0</v>
      </c>
      <c r="AZ895" s="37">
        <v>0</v>
      </c>
      <c r="BA895" s="37">
        <v>0</v>
      </c>
      <c r="BB895" s="37">
        <v>0</v>
      </c>
      <c r="BC895" s="37">
        <v>0</v>
      </c>
      <c r="BD895" s="37">
        <v>1105008.8400000001</v>
      </c>
      <c r="BE895" s="37">
        <v>0</v>
      </c>
      <c r="BF895" s="37">
        <v>0</v>
      </c>
      <c r="BG895" s="37">
        <v>0</v>
      </c>
      <c r="BH895" s="37">
        <v>0</v>
      </c>
      <c r="BI895" s="37">
        <v>0</v>
      </c>
      <c r="BJ895" s="37">
        <v>0</v>
      </c>
      <c r="BK895" s="37">
        <v>0</v>
      </c>
      <c r="BL895" s="37">
        <v>0</v>
      </c>
      <c r="BM895" s="37">
        <v>0</v>
      </c>
      <c r="BN895" s="37">
        <v>0</v>
      </c>
      <c r="BO895" s="37">
        <v>0</v>
      </c>
      <c r="BP895" s="37">
        <v>0</v>
      </c>
      <c r="BQ895" s="37">
        <v>0</v>
      </c>
      <c r="BR895" s="37">
        <v>0</v>
      </c>
      <c r="BS895" s="37">
        <v>0</v>
      </c>
      <c r="BT895" s="37">
        <v>0</v>
      </c>
      <c r="BU895" s="37">
        <v>0</v>
      </c>
      <c r="BV895" s="37">
        <v>0</v>
      </c>
      <c r="BW895" s="37">
        <v>0</v>
      </c>
      <c r="BX895" s="37">
        <v>0</v>
      </c>
      <c r="BY895" s="37">
        <v>0</v>
      </c>
      <c r="BZ895" s="37">
        <v>0</v>
      </c>
      <c r="CA895" s="37">
        <v>0</v>
      </c>
      <c r="CB895" s="37">
        <v>0</v>
      </c>
      <c r="CC895" s="37">
        <v>0</v>
      </c>
      <c r="CD895" s="37">
        <v>0</v>
      </c>
      <c r="CE895" s="37">
        <v>0</v>
      </c>
      <c r="CF895" s="37">
        <v>0</v>
      </c>
      <c r="CG895" s="37">
        <v>0</v>
      </c>
      <c r="CH895" s="37">
        <v>0</v>
      </c>
      <c r="CI895" s="37">
        <v>0</v>
      </c>
      <c r="CJ895" s="37">
        <v>0</v>
      </c>
      <c r="CK895" s="37">
        <v>0</v>
      </c>
      <c r="CL895" s="37">
        <v>0</v>
      </c>
      <c r="CM895" s="37">
        <v>0</v>
      </c>
      <c r="CN895" s="37">
        <v>0</v>
      </c>
      <c r="CO895" s="37">
        <v>25939.136417380134</v>
      </c>
      <c r="CP895" s="37">
        <v>125607.47672442747</v>
      </c>
      <c r="CQ895" s="37">
        <v>163348.12273048816</v>
      </c>
      <c r="CR895" s="37">
        <v>201088.76873654878</v>
      </c>
      <c r="CS895" s="37">
        <v>238829.49539115553</v>
      </c>
      <c r="CT895" s="37">
        <v>0</v>
      </c>
      <c r="CU895" s="37">
        <v>0</v>
      </c>
      <c r="CV895" s="37">
        <v>0</v>
      </c>
      <c r="CW895" s="37">
        <v>0</v>
      </c>
      <c r="CX895" s="37">
        <v>0</v>
      </c>
      <c r="CY895" s="37">
        <v>0</v>
      </c>
      <c r="CZ895" s="37">
        <v>728873.86358261993</v>
      </c>
      <c r="DA895" s="37">
        <v>0</v>
      </c>
      <c r="DB895" s="37">
        <v>0</v>
      </c>
      <c r="DC895" s="37">
        <v>0</v>
      </c>
      <c r="DD895" s="37">
        <v>0</v>
      </c>
      <c r="DE895" s="37">
        <v>0</v>
      </c>
      <c r="DF895" s="37">
        <v>0</v>
      </c>
      <c r="DG895" s="37">
        <v>0</v>
      </c>
      <c r="DH895" s="37">
        <v>0</v>
      </c>
      <c r="DI895" s="37">
        <v>0</v>
      </c>
      <c r="DJ895" s="37">
        <v>0</v>
      </c>
      <c r="DK895" s="37">
        <v>0</v>
      </c>
      <c r="DL895" s="37">
        <v>0</v>
      </c>
      <c r="DM895" s="37">
        <v>0</v>
      </c>
      <c r="DN895" s="37">
        <v>0</v>
      </c>
      <c r="DO895" s="37">
        <v>0</v>
      </c>
      <c r="DP895" s="37">
        <v>0</v>
      </c>
      <c r="DQ895" s="37">
        <v>0</v>
      </c>
      <c r="DR895" s="37">
        <v>0</v>
      </c>
      <c r="DS895" s="37">
        <v>0</v>
      </c>
      <c r="DT895" s="37">
        <v>0</v>
      </c>
      <c r="DU895" s="37">
        <v>0</v>
      </c>
      <c r="DV895" s="37">
        <v>0</v>
      </c>
      <c r="DW895" s="37">
        <v>0</v>
      </c>
      <c r="DX895" s="37">
        <v>0</v>
      </c>
      <c r="DY895" s="37">
        <v>0</v>
      </c>
      <c r="DZ895" s="37">
        <v>0</v>
      </c>
      <c r="EA895" s="37">
        <v>0</v>
      </c>
      <c r="EB895" s="37">
        <v>0</v>
      </c>
      <c r="EC895" s="37">
        <v>0</v>
      </c>
      <c r="ED895" s="37">
        <v>0</v>
      </c>
      <c r="EE895" s="37">
        <v>0</v>
      </c>
      <c r="EF895" s="37">
        <v>0</v>
      </c>
      <c r="EG895" s="37">
        <v>0</v>
      </c>
      <c r="EH895" s="37">
        <v>0</v>
      </c>
      <c r="EI895" s="37">
        <v>0</v>
      </c>
      <c r="EJ895" s="37">
        <v>0</v>
      </c>
      <c r="EK895" s="161" t="s">
        <v>1124</v>
      </c>
      <c r="EL895" s="294" t="s">
        <v>1124</v>
      </c>
    </row>
    <row r="896" spans="1:142" ht="15" customHeight="1" x14ac:dyDescent="0.35">
      <c r="A896" s="34"/>
      <c r="B896" s="313">
        <v>49095</v>
      </c>
      <c r="C896" s="8" t="s">
        <v>476</v>
      </c>
      <c r="D896" s="18">
        <v>17</v>
      </c>
      <c r="E896" s="155">
        <v>61656</v>
      </c>
      <c r="F896" s="36">
        <v>0</v>
      </c>
      <c r="G896" s="37">
        <v>3742</v>
      </c>
      <c r="H896" s="37">
        <v>0</v>
      </c>
      <c r="I896" s="37">
        <v>87341.87</v>
      </c>
      <c r="J896" s="37">
        <v>0</v>
      </c>
      <c r="K896" s="37">
        <v>737.1</v>
      </c>
      <c r="L896" s="37">
        <v>0</v>
      </c>
      <c r="M896" s="37">
        <v>153476.97</v>
      </c>
      <c r="N896" s="37">
        <v>0</v>
      </c>
      <c r="O896" s="37">
        <v>35541</v>
      </c>
      <c r="P896" s="37">
        <v>0</v>
      </c>
      <c r="Q896" s="37">
        <v>0</v>
      </c>
      <c r="R896" s="37">
        <v>0</v>
      </c>
      <c r="S896" s="37">
        <v>11525</v>
      </c>
      <c r="T896" s="37">
        <v>0</v>
      </c>
      <c r="U896" s="37">
        <v>0</v>
      </c>
      <c r="V896" s="37">
        <v>0</v>
      </c>
      <c r="W896" s="37">
        <v>106410.97</v>
      </c>
      <c r="X896" s="37">
        <v>0</v>
      </c>
      <c r="Y896" s="37">
        <v>0</v>
      </c>
      <c r="Z896" s="37">
        <v>0</v>
      </c>
      <c r="AA896" s="37">
        <v>153476.97</v>
      </c>
      <c r="AB896" s="37">
        <v>0</v>
      </c>
      <c r="AC896" s="37">
        <v>0</v>
      </c>
      <c r="AD896" s="37">
        <v>0</v>
      </c>
      <c r="AE896" s="37">
        <v>0</v>
      </c>
      <c r="AF896" s="168">
        <v>0.02</v>
      </c>
      <c r="AG896" s="37">
        <v>8500757.4800000004</v>
      </c>
      <c r="AH896" s="37">
        <v>85975.26</v>
      </c>
      <c r="AI896" s="37">
        <v>87694.77</v>
      </c>
      <c r="AJ896" s="37">
        <v>89448.67</v>
      </c>
      <c r="AK896" s="37">
        <v>91237.64</v>
      </c>
      <c r="AL896" s="37">
        <v>93062.39</v>
      </c>
      <c r="AM896" s="37">
        <v>94923.64</v>
      </c>
      <c r="AN896" s="37">
        <v>96822.11</v>
      </c>
      <c r="AO896" s="37">
        <v>98758.55</v>
      </c>
      <c r="AP896" s="37">
        <v>100733.72</v>
      </c>
      <c r="AQ896" s="37">
        <v>102748.4</v>
      </c>
      <c r="AR896" s="37">
        <v>941405.15</v>
      </c>
      <c r="AS896" s="37">
        <v>0</v>
      </c>
      <c r="AT896" s="37">
        <v>0</v>
      </c>
      <c r="AU896" s="37">
        <v>0</v>
      </c>
      <c r="AV896" s="37">
        <v>0</v>
      </c>
      <c r="AW896" s="37">
        <v>0</v>
      </c>
      <c r="AX896" s="37">
        <v>0</v>
      </c>
      <c r="AY896" s="37">
        <v>0</v>
      </c>
      <c r="AZ896" s="37">
        <v>0</v>
      </c>
      <c r="BA896" s="37">
        <v>0</v>
      </c>
      <c r="BB896" s="37">
        <v>0</v>
      </c>
      <c r="BC896" s="37">
        <v>0</v>
      </c>
      <c r="BD896" s="37">
        <v>0</v>
      </c>
      <c r="BE896" s="37">
        <v>0</v>
      </c>
      <c r="BF896" s="37">
        <v>0</v>
      </c>
      <c r="BG896" s="37">
        <v>0</v>
      </c>
      <c r="BH896" s="37">
        <v>0</v>
      </c>
      <c r="BI896" s="37">
        <v>0</v>
      </c>
      <c r="BJ896" s="37">
        <v>0</v>
      </c>
      <c r="BK896" s="37">
        <v>0</v>
      </c>
      <c r="BL896" s="37">
        <v>0</v>
      </c>
      <c r="BM896" s="37">
        <v>0</v>
      </c>
      <c r="BN896" s="37">
        <v>0</v>
      </c>
      <c r="BO896" s="37">
        <v>0</v>
      </c>
      <c r="BP896" s="37">
        <v>0</v>
      </c>
      <c r="BQ896" s="37">
        <v>0</v>
      </c>
      <c r="BR896" s="37">
        <v>0</v>
      </c>
      <c r="BS896" s="37">
        <v>0</v>
      </c>
      <c r="BT896" s="37">
        <v>0</v>
      </c>
      <c r="BU896" s="37">
        <v>0</v>
      </c>
      <c r="BV896" s="37">
        <v>0</v>
      </c>
      <c r="BW896" s="37">
        <v>0</v>
      </c>
      <c r="BX896" s="37">
        <v>0</v>
      </c>
      <c r="BY896" s="37">
        <v>0</v>
      </c>
      <c r="BZ896" s="37">
        <v>0</v>
      </c>
      <c r="CA896" s="37">
        <v>0</v>
      </c>
      <c r="CB896" s="37">
        <v>0</v>
      </c>
      <c r="CC896" s="37">
        <v>0</v>
      </c>
      <c r="CD896" s="37">
        <v>0</v>
      </c>
      <c r="CE896" s="37">
        <v>0</v>
      </c>
      <c r="CF896" s="37">
        <v>0</v>
      </c>
      <c r="CG896" s="37">
        <v>0</v>
      </c>
      <c r="CH896" s="37">
        <v>0</v>
      </c>
      <c r="CI896" s="37">
        <v>0</v>
      </c>
      <c r="CJ896" s="37">
        <v>0</v>
      </c>
      <c r="CK896" s="37">
        <v>0</v>
      </c>
      <c r="CL896" s="37">
        <v>0</v>
      </c>
      <c r="CM896" s="37">
        <v>0</v>
      </c>
      <c r="CN896" s="37">
        <v>0</v>
      </c>
      <c r="CO896" s="37">
        <v>0</v>
      </c>
      <c r="CP896" s="37">
        <v>0</v>
      </c>
      <c r="CQ896" s="37">
        <v>0</v>
      </c>
      <c r="CR896" s="37">
        <v>0</v>
      </c>
      <c r="CS896" s="37">
        <v>0</v>
      </c>
      <c r="CT896" s="37">
        <v>0</v>
      </c>
      <c r="CU896" s="37">
        <v>0</v>
      </c>
      <c r="CV896" s="37">
        <v>0</v>
      </c>
      <c r="CW896" s="37">
        <v>0</v>
      </c>
      <c r="CX896" s="37">
        <v>0</v>
      </c>
      <c r="CY896" s="37">
        <v>0</v>
      </c>
      <c r="CZ896" s="37">
        <v>0</v>
      </c>
      <c r="DA896" s="37">
        <v>0</v>
      </c>
      <c r="DB896" s="37">
        <v>0</v>
      </c>
      <c r="DC896" s="37">
        <v>0</v>
      </c>
      <c r="DD896" s="37">
        <v>0</v>
      </c>
      <c r="DE896" s="37">
        <v>0</v>
      </c>
      <c r="DF896" s="37">
        <v>0</v>
      </c>
      <c r="DG896" s="37">
        <v>0</v>
      </c>
      <c r="DH896" s="37">
        <v>0</v>
      </c>
      <c r="DI896" s="37">
        <v>0</v>
      </c>
      <c r="DJ896" s="37">
        <v>0</v>
      </c>
      <c r="DK896" s="37">
        <v>0</v>
      </c>
      <c r="DL896" s="37">
        <v>0</v>
      </c>
      <c r="DM896" s="37">
        <v>0</v>
      </c>
      <c r="DN896" s="37">
        <v>0</v>
      </c>
      <c r="DO896" s="37">
        <v>0</v>
      </c>
      <c r="DP896" s="37">
        <v>0</v>
      </c>
      <c r="DQ896" s="37">
        <v>0</v>
      </c>
      <c r="DR896" s="37">
        <v>0</v>
      </c>
      <c r="DS896" s="37">
        <v>0</v>
      </c>
      <c r="DT896" s="37">
        <v>0</v>
      </c>
      <c r="DU896" s="37">
        <v>0</v>
      </c>
      <c r="DV896" s="37">
        <v>0</v>
      </c>
      <c r="DW896" s="37">
        <v>0</v>
      </c>
      <c r="DX896" s="37">
        <v>0</v>
      </c>
      <c r="DY896" s="37">
        <v>0</v>
      </c>
      <c r="DZ896" s="37">
        <v>0</v>
      </c>
      <c r="EA896" s="37">
        <v>0</v>
      </c>
      <c r="EB896" s="37">
        <v>0</v>
      </c>
      <c r="EC896" s="37">
        <v>0</v>
      </c>
      <c r="ED896" s="37">
        <v>0</v>
      </c>
      <c r="EE896" s="37">
        <v>0</v>
      </c>
      <c r="EF896" s="37">
        <v>0</v>
      </c>
      <c r="EG896" s="37">
        <v>0</v>
      </c>
      <c r="EH896" s="37">
        <v>0</v>
      </c>
      <c r="EI896" s="37">
        <v>0</v>
      </c>
      <c r="EJ896" s="37">
        <v>0</v>
      </c>
      <c r="EK896" s="161" t="s">
        <v>1453</v>
      </c>
      <c r="EL896" s="294" t="s">
        <v>1124</v>
      </c>
    </row>
    <row r="897" spans="1:142" ht="15" customHeight="1" x14ac:dyDescent="0.35">
      <c r="A897" s="34"/>
      <c r="B897" s="313">
        <v>19025</v>
      </c>
      <c r="C897" s="8" t="s">
        <v>122</v>
      </c>
      <c r="D897" s="18">
        <v>12</v>
      </c>
      <c r="E897" s="155">
        <v>72566</v>
      </c>
      <c r="F897" s="36">
        <v>75831</v>
      </c>
      <c r="G897" s="37">
        <v>70042</v>
      </c>
      <c r="H897" s="37">
        <v>65964</v>
      </c>
      <c r="I897" s="37">
        <v>174960</v>
      </c>
      <c r="J897" s="37">
        <v>149040</v>
      </c>
      <c r="K897" s="37">
        <v>10884.9</v>
      </c>
      <c r="L897" s="37">
        <v>11374.65</v>
      </c>
      <c r="M897" s="37">
        <v>328452.90000000002</v>
      </c>
      <c r="N897" s="37">
        <v>302209.65000000002</v>
      </c>
      <c r="O897" s="37">
        <v>0</v>
      </c>
      <c r="P897" s="37">
        <v>0</v>
      </c>
      <c r="Q897" s="37">
        <v>130449</v>
      </c>
      <c r="R897" s="37">
        <v>174639</v>
      </c>
      <c r="S897" s="37">
        <v>4526</v>
      </c>
      <c r="T897" s="37">
        <v>0</v>
      </c>
      <c r="U897" s="37">
        <v>118053</v>
      </c>
      <c r="V897" s="37">
        <v>108101</v>
      </c>
      <c r="W897" s="37">
        <v>68922</v>
      </c>
      <c r="X897" s="37">
        <v>63826</v>
      </c>
      <c r="Y897" s="37">
        <v>0</v>
      </c>
      <c r="Z897" s="37">
        <v>0</v>
      </c>
      <c r="AA897" s="37">
        <v>321950</v>
      </c>
      <c r="AB897" s="37">
        <v>346566</v>
      </c>
      <c r="AC897" s="37">
        <v>37853.449999999953</v>
      </c>
      <c r="AD897" s="37">
        <v>32779</v>
      </c>
      <c r="AE897" s="37">
        <v>139985</v>
      </c>
      <c r="AF897" s="168">
        <v>0.02</v>
      </c>
      <c r="AG897" s="37">
        <v>27435730.48</v>
      </c>
      <c r="AH897" s="37">
        <v>236229.41</v>
      </c>
      <c r="AI897" s="37">
        <v>240954</v>
      </c>
      <c r="AJ897" s="37">
        <v>245773.08</v>
      </c>
      <c r="AK897" s="37">
        <v>250688.54</v>
      </c>
      <c r="AL897" s="37">
        <v>255702.32</v>
      </c>
      <c r="AM897" s="37">
        <v>260816.36</v>
      </c>
      <c r="AN897" s="37">
        <v>266032.69</v>
      </c>
      <c r="AO897" s="37">
        <v>271353.34000000003</v>
      </c>
      <c r="AP897" s="37">
        <v>276780.40999999997</v>
      </c>
      <c r="AQ897" s="37">
        <v>282316.02</v>
      </c>
      <c r="AR897" s="37">
        <v>2586646.1700000004</v>
      </c>
      <c r="AS897" s="37">
        <v>866133</v>
      </c>
      <c r="AT897" s="37">
        <v>0</v>
      </c>
      <c r="AU897" s="37">
        <v>0</v>
      </c>
      <c r="AV897" s="37">
        <v>0</v>
      </c>
      <c r="AW897" s="37">
        <v>0</v>
      </c>
      <c r="AX897" s="37">
        <v>0</v>
      </c>
      <c r="AY897" s="37">
        <v>0</v>
      </c>
      <c r="AZ897" s="37">
        <v>0</v>
      </c>
      <c r="BA897" s="37">
        <v>0</v>
      </c>
      <c r="BB897" s="37">
        <v>0</v>
      </c>
      <c r="BC897" s="37">
        <v>0</v>
      </c>
      <c r="BD897" s="37">
        <v>0</v>
      </c>
      <c r="BE897" s="37">
        <v>425679</v>
      </c>
      <c r="BF897" s="37">
        <v>89564.041741275651</v>
      </c>
      <c r="BG897" s="37">
        <v>96538.73339223041</v>
      </c>
      <c r="BH897" s="37">
        <v>118843.4535318124</v>
      </c>
      <c r="BI897" s="37">
        <v>141148.22133468164</v>
      </c>
      <c r="BJ897" s="37">
        <v>15330.0284886272</v>
      </c>
      <c r="BK897" s="37">
        <v>74234.013252648379</v>
      </c>
      <c r="BL897" s="37">
        <v>96538.73339223041</v>
      </c>
      <c r="BM897" s="37">
        <v>118843.4535318124</v>
      </c>
      <c r="BN897" s="37">
        <v>141148.22133468164</v>
      </c>
      <c r="BO897" s="37">
        <v>0</v>
      </c>
      <c r="BP897" s="37">
        <v>892188.90000000014</v>
      </c>
      <c r="BQ897" s="37">
        <v>0</v>
      </c>
      <c r="BR897" s="37">
        <v>0</v>
      </c>
      <c r="BS897" s="37">
        <v>0</v>
      </c>
      <c r="BT897" s="37">
        <v>0</v>
      </c>
      <c r="BU897" s="37">
        <v>0</v>
      </c>
      <c r="BV897" s="37">
        <v>0</v>
      </c>
      <c r="BW897" s="37">
        <v>0</v>
      </c>
      <c r="BX897" s="37">
        <v>0</v>
      </c>
      <c r="BY897" s="37">
        <v>0</v>
      </c>
      <c r="BZ897" s="37">
        <v>0</v>
      </c>
      <c r="CA897" s="37">
        <v>0</v>
      </c>
      <c r="CB897" s="37">
        <v>0</v>
      </c>
      <c r="CC897" s="37">
        <v>0</v>
      </c>
      <c r="CD897" s="37">
        <v>44000</v>
      </c>
      <c r="CE897" s="37">
        <v>27079</v>
      </c>
      <c r="CF897" s="37">
        <v>45645.804872727982</v>
      </c>
      <c r="CG897" s="37">
        <v>54212.697272810765</v>
      </c>
      <c r="CH897" s="37">
        <v>5888.0103892127836</v>
      </c>
      <c r="CI897" s="37">
        <v>28512.056685922991</v>
      </c>
      <c r="CJ897" s="37">
        <v>37078.930779325492</v>
      </c>
      <c r="CK897" s="37">
        <v>45645.804872727982</v>
      </c>
      <c r="CL897" s="37">
        <v>54212.697272810765</v>
      </c>
      <c r="CM897" s="37">
        <v>0</v>
      </c>
      <c r="CN897" s="37">
        <v>342275.00214553875</v>
      </c>
      <c r="CO897" s="37">
        <v>0</v>
      </c>
      <c r="CP897" s="37">
        <v>0</v>
      </c>
      <c r="CQ897" s="37">
        <v>0</v>
      </c>
      <c r="CR897" s="37">
        <v>0</v>
      </c>
      <c r="CS897" s="37">
        <v>0</v>
      </c>
      <c r="CT897" s="37">
        <v>0</v>
      </c>
      <c r="CU897" s="37">
        <v>0</v>
      </c>
      <c r="CV897" s="37">
        <v>0</v>
      </c>
      <c r="CW897" s="37">
        <v>0</v>
      </c>
      <c r="CX897" s="37">
        <v>0</v>
      </c>
      <c r="CY897" s="37">
        <v>0</v>
      </c>
      <c r="CZ897" s="37">
        <v>0</v>
      </c>
      <c r="DA897" s="37">
        <v>0</v>
      </c>
      <c r="DB897" s="37">
        <v>0</v>
      </c>
      <c r="DC897" s="37">
        <v>0</v>
      </c>
      <c r="DD897" s="37">
        <v>0</v>
      </c>
      <c r="DE897" s="37">
        <v>0</v>
      </c>
      <c r="DF897" s="37">
        <v>0</v>
      </c>
      <c r="DG897" s="37">
        <v>0</v>
      </c>
      <c r="DH897" s="37">
        <v>0</v>
      </c>
      <c r="DI897" s="37">
        <v>0</v>
      </c>
      <c r="DJ897" s="37">
        <v>0</v>
      </c>
      <c r="DK897" s="37">
        <v>0</v>
      </c>
      <c r="DL897" s="37">
        <v>0</v>
      </c>
      <c r="DM897" s="37">
        <v>0</v>
      </c>
      <c r="DN897" s="37">
        <v>0</v>
      </c>
      <c r="DO897" s="37">
        <v>0</v>
      </c>
      <c r="DP897" s="37">
        <v>0</v>
      </c>
      <c r="DQ897" s="37">
        <v>0</v>
      </c>
      <c r="DR897" s="37">
        <v>0</v>
      </c>
      <c r="DS897" s="37">
        <v>0</v>
      </c>
      <c r="DT897" s="37">
        <v>0</v>
      </c>
      <c r="DU897" s="37">
        <v>0</v>
      </c>
      <c r="DV897" s="37">
        <v>0</v>
      </c>
      <c r="DW897" s="37">
        <v>0</v>
      </c>
      <c r="DX897" s="37">
        <v>0</v>
      </c>
      <c r="DY897" s="37">
        <v>0</v>
      </c>
      <c r="DZ897" s="37">
        <v>0</v>
      </c>
      <c r="EA897" s="37">
        <v>0</v>
      </c>
      <c r="EB897" s="37">
        <v>0</v>
      </c>
      <c r="EC897" s="37">
        <v>0</v>
      </c>
      <c r="ED897" s="37">
        <v>0</v>
      </c>
      <c r="EE897" s="37">
        <v>0</v>
      </c>
      <c r="EF897" s="37">
        <v>0</v>
      </c>
      <c r="EG897" s="37">
        <v>0</v>
      </c>
      <c r="EH897" s="37">
        <v>0</v>
      </c>
      <c r="EI897" s="37">
        <v>0</v>
      </c>
      <c r="EJ897" s="37">
        <v>0</v>
      </c>
      <c r="EK897" s="161" t="s">
        <v>3241</v>
      </c>
      <c r="EL897" s="294" t="s">
        <v>1124</v>
      </c>
    </row>
    <row r="898" spans="1:142" ht="15" customHeight="1" x14ac:dyDescent="0.35">
      <c r="A898" s="34"/>
      <c r="B898" s="313">
        <v>44003</v>
      </c>
      <c r="C898" s="8" t="s">
        <v>398</v>
      </c>
      <c r="D898" s="18">
        <v>5</v>
      </c>
      <c r="E898" s="155"/>
      <c r="F898" s="36"/>
      <c r="G898" s="37"/>
      <c r="H898" s="37"/>
      <c r="I898" s="37"/>
      <c r="J898" s="37"/>
      <c r="K898" s="37"/>
      <c r="L898" s="37"/>
      <c r="M898" s="37" t="s">
        <v>1124</v>
      </c>
      <c r="N898" s="37" t="s">
        <v>1124</v>
      </c>
      <c r="O898" s="37"/>
      <c r="P898" s="37"/>
      <c r="Q898" s="37"/>
      <c r="R898" s="37"/>
      <c r="S898" s="37"/>
      <c r="T898" s="37"/>
      <c r="U898" s="37"/>
      <c r="V898" s="37"/>
      <c r="W898" s="37"/>
      <c r="X898" s="37"/>
      <c r="Y898" s="37"/>
      <c r="Z898" s="37"/>
      <c r="AA898" s="37" t="s">
        <v>1124</v>
      </c>
      <c r="AB898" s="37" t="s">
        <v>1124</v>
      </c>
      <c r="AC898" s="37"/>
      <c r="AD898" s="37"/>
      <c r="AE898" s="37"/>
      <c r="AF898" s="168"/>
      <c r="AG898" s="37"/>
      <c r="AH898" s="37"/>
      <c r="AI898" s="37"/>
      <c r="AJ898" s="37"/>
      <c r="AK898" s="37"/>
      <c r="AL898" s="37"/>
      <c r="AM898" s="37"/>
      <c r="AN898" s="37"/>
      <c r="AO898" s="37"/>
      <c r="AP898" s="37"/>
      <c r="AQ898" s="37"/>
      <c r="AR898" s="37" t="s">
        <v>1124</v>
      </c>
      <c r="AS898" s="37"/>
      <c r="AT898" s="37"/>
      <c r="AU898" s="37"/>
      <c r="AV898" s="37"/>
      <c r="AW898" s="37"/>
      <c r="AX898" s="37"/>
      <c r="AY898" s="37"/>
      <c r="AZ898" s="37"/>
      <c r="BA898" s="37"/>
      <c r="BB898" s="37"/>
      <c r="BC898" s="37"/>
      <c r="BD898" s="37" t="s">
        <v>1124</v>
      </c>
      <c r="BE898" s="37"/>
      <c r="BF898" s="37"/>
      <c r="BG898" s="37"/>
      <c r="BH898" s="37"/>
      <c r="BI898" s="37"/>
      <c r="BJ898" s="37"/>
      <c r="BK898" s="37"/>
      <c r="BL898" s="37"/>
      <c r="BM898" s="37"/>
      <c r="BN898" s="37"/>
      <c r="BO898" s="37"/>
      <c r="BP898" s="37">
        <v>0</v>
      </c>
      <c r="BQ898" s="37"/>
      <c r="BR898" s="37"/>
      <c r="BS898" s="37"/>
      <c r="BT898" s="37"/>
      <c r="BU898" s="37"/>
      <c r="BV898" s="37"/>
      <c r="BW898" s="37"/>
      <c r="BX898" s="37"/>
      <c r="BY898" s="37"/>
      <c r="BZ898" s="37"/>
      <c r="CA898" s="37"/>
      <c r="CB898" s="37" t="s">
        <v>1124</v>
      </c>
      <c r="CC898" s="37"/>
      <c r="CD898" s="37"/>
      <c r="CE898" s="37"/>
      <c r="CF898" s="37"/>
      <c r="CG898" s="37"/>
      <c r="CH898" s="37"/>
      <c r="CI898" s="37"/>
      <c r="CJ898" s="37"/>
      <c r="CK898" s="37"/>
      <c r="CL898" s="37"/>
      <c r="CM898" s="37"/>
      <c r="CN898" s="37" t="s">
        <v>1124</v>
      </c>
      <c r="CO898" s="37"/>
      <c r="CP898" s="37"/>
      <c r="CQ898" s="37"/>
      <c r="CR898" s="37"/>
      <c r="CS898" s="37"/>
      <c r="CT898" s="37"/>
      <c r="CU898" s="37"/>
      <c r="CV898" s="37"/>
      <c r="CW898" s="37"/>
      <c r="CX898" s="37"/>
      <c r="CY898" s="37"/>
      <c r="CZ898" s="37" t="s">
        <v>1124</v>
      </c>
      <c r="DA898" s="37"/>
      <c r="DB898" s="37"/>
      <c r="DC898" s="37"/>
      <c r="DD898" s="37"/>
      <c r="DE898" s="37"/>
      <c r="DF898" s="37"/>
      <c r="DG898" s="37"/>
      <c r="DH898" s="37"/>
      <c r="DI898" s="37"/>
      <c r="DJ898" s="37"/>
      <c r="DK898" s="37"/>
      <c r="DL898" s="37" t="s">
        <v>1124</v>
      </c>
      <c r="DM898" s="37"/>
      <c r="DN898" s="37"/>
      <c r="DO898" s="37"/>
      <c r="DP898" s="37"/>
      <c r="DQ898" s="37"/>
      <c r="DR898" s="37"/>
      <c r="DS898" s="37"/>
      <c r="DT898" s="37"/>
      <c r="DU898" s="37"/>
      <c r="DV898" s="37"/>
      <c r="DW898" s="37"/>
      <c r="DX898" s="37" t="s">
        <v>1124</v>
      </c>
      <c r="DY898" s="37"/>
      <c r="DZ898" s="37"/>
      <c r="EA898" s="37"/>
      <c r="EB898" s="37"/>
      <c r="EC898" s="37"/>
      <c r="ED898" s="37"/>
      <c r="EE898" s="37"/>
      <c r="EF898" s="37"/>
      <c r="EG898" s="37"/>
      <c r="EH898" s="37"/>
      <c r="EI898" s="37"/>
      <c r="EJ898" s="37" t="s">
        <v>1124</v>
      </c>
      <c r="EK898" s="161"/>
      <c r="EL898" s="294"/>
    </row>
    <row r="899" spans="1:142" ht="15" customHeight="1" x14ac:dyDescent="0.35">
      <c r="A899" s="34"/>
      <c r="B899" s="313">
        <v>88040</v>
      </c>
      <c r="C899" s="8" t="s">
        <v>917</v>
      </c>
      <c r="D899" s="18">
        <v>8</v>
      </c>
      <c r="E899" s="155"/>
      <c r="F899" s="36"/>
      <c r="G899" s="37"/>
      <c r="H899" s="37"/>
      <c r="I899" s="37"/>
      <c r="J899" s="37"/>
      <c r="K899" s="37"/>
      <c r="L899" s="37"/>
      <c r="M899" s="37" t="s">
        <v>1124</v>
      </c>
      <c r="N899" s="37" t="s">
        <v>1124</v>
      </c>
      <c r="O899" s="37"/>
      <c r="P899" s="37"/>
      <c r="Q899" s="37"/>
      <c r="R899" s="37"/>
      <c r="S899" s="37"/>
      <c r="T899" s="37"/>
      <c r="U899" s="37"/>
      <c r="V899" s="37"/>
      <c r="W899" s="37"/>
      <c r="X899" s="37"/>
      <c r="Y899" s="37"/>
      <c r="Z899" s="37"/>
      <c r="AA899" s="37" t="s">
        <v>1124</v>
      </c>
      <c r="AB899" s="37" t="s">
        <v>1124</v>
      </c>
      <c r="AC899" s="37"/>
      <c r="AD899" s="37"/>
      <c r="AE899" s="37"/>
      <c r="AF899" s="168"/>
      <c r="AG899" s="37"/>
      <c r="AH899" s="37"/>
      <c r="AI899" s="37"/>
      <c r="AJ899" s="37"/>
      <c r="AK899" s="37"/>
      <c r="AL899" s="37"/>
      <c r="AM899" s="37"/>
      <c r="AN899" s="37"/>
      <c r="AO899" s="37"/>
      <c r="AP899" s="37"/>
      <c r="AQ899" s="37"/>
      <c r="AR899" s="37" t="s">
        <v>1124</v>
      </c>
      <c r="AS899" s="37"/>
      <c r="AT899" s="37"/>
      <c r="AU899" s="37"/>
      <c r="AV899" s="37"/>
      <c r="AW899" s="37"/>
      <c r="AX899" s="37"/>
      <c r="AY899" s="37"/>
      <c r="AZ899" s="37"/>
      <c r="BA899" s="37"/>
      <c r="BB899" s="37"/>
      <c r="BC899" s="37"/>
      <c r="BD899" s="37" t="s">
        <v>1124</v>
      </c>
      <c r="BE899" s="37"/>
      <c r="BF899" s="37"/>
      <c r="BG899" s="37"/>
      <c r="BH899" s="37"/>
      <c r="BI899" s="37"/>
      <c r="BJ899" s="37"/>
      <c r="BK899" s="37"/>
      <c r="BL899" s="37"/>
      <c r="BM899" s="37"/>
      <c r="BN899" s="37"/>
      <c r="BO899" s="37"/>
      <c r="BP899" s="37">
        <v>0</v>
      </c>
      <c r="BQ899" s="37"/>
      <c r="BR899" s="37"/>
      <c r="BS899" s="37"/>
      <c r="BT899" s="37"/>
      <c r="BU899" s="37"/>
      <c r="BV899" s="37"/>
      <c r="BW899" s="37"/>
      <c r="BX899" s="37"/>
      <c r="BY899" s="37"/>
      <c r="BZ899" s="37"/>
      <c r="CA899" s="37"/>
      <c r="CB899" s="37" t="s">
        <v>1124</v>
      </c>
      <c r="CC899" s="37"/>
      <c r="CD899" s="37"/>
      <c r="CE899" s="37"/>
      <c r="CF899" s="37"/>
      <c r="CG899" s="37"/>
      <c r="CH899" s="37"/>
      <c r="CI899" s="37"/>
      <c r="CJ899" s="37"/>
      <c r="CK899" s="37"/>
      <c r="CL899" s="37"/>
      <c r="CM899" s="37"/>
      <c r="CN899" s="37" t="s">
        <v>1124</v>
      </c>
      <c r="CO899" s="37"/>
      <c r="CP899" s="37"/>
      <c r="CQ899" s="37"/>
      <c r="CR899" s="37"/>
      <c r="CS899" s="37"/>
      <c r="CT899" s="37"/>
      <c r="CU899" s="37"/>
      <c r="CV899" s="37"/>
      <c r="CW899" s="37"/>
      <c r="CX899" s="37"/>
      <c r="CY899" s="37"/>
      <c r="CZ899" s="37" t="s">
        <v>1124</v>
      </c>
      <c r="DA899" s="37"/>
      <c r="DB899" s="37"/>
      <c r="DC899" s="37"/>
      <c r="DD899" s="37"/>
      <c r="DE899" s="37"/>
      <c r="DF899" s="37"/>
      <c r="DG899" s="37"/>
      <c r="DH899" s="37"/>
      <c r="DI899" s="37"/>
      <c r="DJ899" s="37"/>
      <c r="DK899" s="37"/>
      <c r="DL899" s="37" t="s">
        <v>1124</v>
      </c>
      <c r="DM899" s="37"/>
      <c r="DN899" s="37"/>
      <c r="DO899" s="37"/>
      <c r="DP899" s="37"/>
      <c r="DQ899" s="37"/>
      <c r="DR899" s="37"/>
      <c r="DS899" s="37"/>
      <c r="DT899" s="37"/>
      <c r="DU899" s="37"/>
      <c r="DV899" s="37"/>
      <c r="DW899" s="37"/>
      <c r="DX899" s="37" t="s">
        <v>1124</v>
      </c>
      <c r="DY899" s="37"/>
      <c r="DZ899" s="37"/>
      <c r="EA899" s="37"/>
      <c r="EB899" s="37"/>
      <c r="EC899" s="37"/>
      <c r="ED899" s="37"/>
      <c r="EE899" s="37"/>
      <c r="EF899" s="37"/>
      <c r="EG899" s="37"/>
      <c r="EH899" s="37"/>
      <c r="EI899" s="37"/>
      <c r="EJ899" s="37" t="s">
        <v>1124</v>
      </c>
      <c r="EK899" s="161"/>
      <c r="EL899" s="294"/>
    </row>
    <row r="900" spans="1:142" ht="15" customHeight="1" x14ac:dyDescent="0.35">
      <c r="A900" s="34"/>
      <c r="B900" s="314">
        <v>34065</v>
      </c>
      <c r="C900" s="8" t="s">
        <v>293</v>
      </c>
      <c r="D900" s="18">
        <v>3</v>
      </c>
      <c r="E900" s="155">
        <v>215515</v>
      </c>
      <c r="F900" s="36">
        <v>311283</v>
      </c>
      <c r="G900" s="37">
        <v>25665</v>
      </c>
      <c r="H900" s="37">
        <v>41686</v>
      </c>
      <c r="I900" s="37">
        <v>114840</v>
      </c>
      <c r="J900" s="37">
        <v>741074</v>
      </c>
      <c r="K900" s="37">
        <v>32327.25</v>
      </c>
      <c r="L900" s="37">
        <v>46692.45</v>
      </c>
      <c r="M900" s="37">
        <v>388347.25</v>
      </c>
      <c r="N900" s="37">
        <v>1140735.45</v>
      </c>
      <c r="O900" s="37">
        <v>166931</v>
      </c>
      <c r="P900" s="37">
        <v>157718</v>
      </c>
      <c r="Q900" s="37">
        <v>114840</v>
      </c>
      <c r="R900" s="37">
        <v>0</v>
      </c>
      <c r="S900" s="37">
        <v>18913</v>
      </c>
      <c r="T900" s="37">
        <v>4702</v>
      </c>
      <c r="U900" s="37">
        <v>5778</v>
      </c>
      <c r="V900" s="37">
        <v>23527</v>
      </c>
      <c r="W900" s="37">
        <v>81885</v>
      </c>
      <c r="X900" s="37">
        <v>954789</v>
      </c>
      <c r="Y900" s="37">
        <v>0</v>
      </c>
      <c r="Z900" s="37">
        <v>0</v>
      </c>
      <c r="AA900" s="37">
        <v>388347</v>
      </c>
      <c r="AB900" s="37">
        <v>1140736</v>
      </c>
      <c r="AC900" s="37">
        <v>0</v>
      </c>
      <c r="AD900" s="37">
        <v>0</v>
      </c>
      <c r="AE900" s="37">
        <v>0</v>
      </c>
      <c r="AF900" s="168">
        <v>0.02</v>
      </c>
      <c r="AG900" s="37">
        <v>59639722.950000003</v>
      </c>
      <c r="AH900" s="37">
        <v>573941.96</v>
      </c>
      <c r="AI900" s="37">
        <v>585420.80000000005</v>
      </c>
      <c r="AJ900" s="37">
        <v>597129.21</v>
      </c>
      <c r="AK900" s="37">
        <v>609071.80000000005</v>
      </c>
      <c r="AL900" s="37">
        <v>621253.23</v>
      </c>
      <c r="AM900" s="37">
        <v>633678.30000000005</v>
      </c>
      <c r="AN900" s="37">
        <v>646351.86</v>
      </c>
      <c r="AO900" s="37">
        <v>659278.9</v>
      </c>
      <c r="AP900" s="37">
        <v>672464.48</v>
      </c>
      <c r="AQ900" s="37">
        <v>685913.77</v>
      </c>
      <c r="AR900" s="37">
        <v>6284504.3099999996</v>
      </c>
      <c r="AS900" s="37">
        <v>731713.32</v>
      </c>
      <c r="AT900" s="37">
        <v>0</v>
      </c>
      <c r="AU900" s="37">
        <v>0</v>
      </c>
      <c r="AV900" s="37">
        <v>0</v>
      </c>
      <c r="AW900" s="37">
        <v>0</v>
      </c>
      <c r="AX900" s="37">
        <v>0</v>
      </c>
      <c r="AY900" s="37">
        <v>0</v>
      </c>
      <c r="AZ900" s="37">
        <v>0</v>
      </c>
      <c r="BA900" s="37">
        <v>0</v>
      </c>
      <c r="BB900" s="37">
        <v>0</v>
      </c>
      <c r="BC900" s="37">
        <v>0</v>
      </c>
      <c r="BD900" s="37">
        <v>0</v>
      </c>
      <c r="BE900" s="37">
        <v>931027</v>
      </c>
      <c r="BF900" s="37">
        <v>0</v>
      </c>
      <c r="BG900" s="37">
        <v>0</v>
      </c>
      <c r="BH900" s="37">
        <v>0</v>
      </c>
      <c r="BI900" s="37">
        <v>0</v>
      </c>
      <c r="BJ900" s="37">
        <v>0</v>
      </c>
      <c r="BK900" s="37">
        <v>0</v>
      </c>
      <c r="BL900" s="37">
        <v>0</v>
      </c>
      <c r="BM900" s="37">
        <v>0</v>
      </c>
      <c r="BN900" s="37">
        <v>0</v>
      </c>
      <c r="BO900" s="37">
        <v>0</v>
      </c>
      <c r="BP900" s="37">
        <v>0</v>
      </c>
      <c r="BQ900" s="37">
        <v>194119</v>
      </c>
      <c r="BR900" s="37">
        <v>159000</v>
      </c>
      <c r="BS900" s="37">
        <v>500000</v>
      </c>
      <c r="BT900" s="37">
        <v>0</v>
      </c>
      <c r="BU900" s="37">
        <v>0</v>
      </c>
      <c r="BV900" s="37">
        <v>0</v>
      </c>
      <c r="BW900" s="37">
        <v>0</v>
      </c>
      <c r="BX900" s="37">
        <v>0</v>
      </c>
      <c r="BY900" s="37">
        <v>0</v>
      </c>
      <c r="BZ900" s="37">
        <v>0</v>
      </c>
      <c r="CA900" s="37">
        <v>0</v>
      </c>
      <c r="CB900" s="37">
        <v>659000</v>
      </c>
      <c r="CC900" s="37">
        <v>0</v>
      </c>
      <c r="CD900" s="37">
        <v>0</v>
      </c>
      <c r="CE900" s="37">
        <v>0</v>
      </c>
      <c r="CF900" s="37">
        <v>0</v>
      </c>
      <c r="CG900" s="37">
        <v>0</v>
      </c>
      <c r="CH900" s="37">
        <v>0</v>
      </c>
      <c r="CI900" s="37">
        <v>0</v>
      </c>
      <c r="CJ900" s="37">
        <v>0</v>
      </c>
      <c r="CK900" s="37">
        <v>0</v>
      </c>
      <c r="CL900" s="37">
        <v>0</v>
      </c>
      <c r="CM900" s="37">
        <v>0</v>
      </c>
      <c r="CN900" s="37">
        <v>0</v>
      </c>
      <c r="CO900" s="37">
        <v>0</v>
      </c>
      <c r="CP900" s="37">
        <v>0</v>
      </c>
      <c r="CQ900" s="37">
        <v>0</v>
      </c>
      <c r="CR900" s="37">
        <v>0</v>
      </c>
      <c r="CS900" s="37">
        <v>0</v>
      </c>
      <c r="CT900" s="37">
        <v>0</v>
      </c>
      <c r="CU900" s="37">
        <v>0</v>
      </c>
      <c r="CV900" s="37">
        <v>0</v>
      </c>
      <c r="CW900" s="37">
        <v>0</v>
      </c>
      <c r="CX900" s="37">
        <v>0</v>
      </c>
      <c r="CY900" s="37">
        <v>0</v>
      </c>
      <c r="CZ900" s="37">
        <v>0</v>
      </c>
      <c r="DA900" s="37">
        <v>0</v>
      </c>
      <c r="DB900" s="37">
        <v>0</v>
      </c>
      <c r="DC900" s="37">
        <v>0</v>
      </c>
      <c r="DD900" s="37">
        <v>0</v>
      </c>
      <c r="DE900" s="37">
        <v>0</v>
      </c>
      <c r="DF900" s="37">
        <v>0</v>
      </c>
      <c r="DG900" s="37">
        <v>0</v>
      </c>
      <c r="DH900" s="37">
        <v>0</v>
      </c>
      <c r="DI900" s="37">
        <v>0</v>
      </c>
      <c r="DJ900" s="37">
        <v>0</v>
      </c>
      <c r="DK900" s="37">
        <v>0</v>
      </c>
      <c r="DL900" s="37">
        <v>0</v>
      </c>
      <c r="DM900" s="37">
        <v>0</v>
      </c>
      <c r="DN900" s="37">
        <v>0</v>
      </c>
      <c r="DO900" s="37">
        <v>0</v>
      </c>
      <c r="DP900" s="37">
        <v>0</v>
      </c>
      <c r="DQ900" s="37">
        <v>0</v>
      </c>
      <c r="DR900" s="37">
        <v>0</v>
      </c>
      <c r="DS900" s="37">
        <v>0</v>
      </c>
      <c r="DT900" s="37">
        <v>0</v>
      </c>
      <c r="DU900" s="37">
        <v>0</v>
      </c>
      <c r="DV900" s="37">
        <v>0</v>
      </c>
      <c r="DW900" s="37">
        <v>0</v>
      </c>
      <c r="DX900" s="37">
        <v>0</v>
      </c>
      <c r="DY900" s="37">
        <v>0</v>
      </c>
      <c r="DZ900" s="37">
        <v>0</v>
      </c>
      <c r="EA900" s="37">
        <v>0</v>
      </c>
      <c r="EB900" s="37">
        <v>0</v>
      </c>
      <c r="EC900" s="37">
        <v>0</v>
      </c>
      <c r="ED900" s="37">
        <v>0</v>
      </c>
      <c r="EE900" s="37">
        <v>0</v>
      </c>
      <c r="EF900" s="37">
        <v>0</v>
      </c>
      <c r="EG900" s="37">
        <v>0</v>
      </c>
      <c r="EH900" s="37">
        <v>0</v>
      </c>
      <c r="EI900" s="37">
        <v>0</v>
      </c>
      <c r="EJ900" s="37">
        <v>0</v>
      </c>
      <c r="EK900" s="161" t="s">
        <v>3245</v>
      </c>
      <c r="EL900" s="294" t="s">
        <v>1124</v>
      </c>
    </row>
    <row r="901" spans="1:142" ht="15" customHeight="1" x14ac:dyDescent="0.35">
      <c r="A901" s="34"/>
      <c r="B901" s="313">
        <v>13020</v>
      </c>
      <c r="C901" s="8" t="s">
        <v>44</v>
      </c>
      <c r="D901" s="18">
        <v>1</v>
      </c>
      <c r="E901" s="155">
        <v>50755</v>
      </c>
      <c r="F901" s="36">
        <v>59803</v>
      </c>
      <c r="G901" s="37">
        <v>44102</v>
      </c>
      <c r="H901" s="37">
        <v>44103</v>
      </c>
      <c r="I901" s="37">
        <v>10337</v>
      </c>
      <c r="J901" s="37">
        <v>10337</v>
      </c>
      <c r="K901" s="37">
        <v>7613</v>
      </c>
      <c r="L901" s="37">
        <v>8970</v>
      </c>
      <c r="M901" s="37">
        <v>112807</v>
      </c>
      <c r="N901" s="37">
        <v>123213</v>
      </c>
      <c r="O901" s="37">
        <v>0</v>
      </c>
      <c r="P901" s="37">
        <v>0</v>
      </c>
      <c r="Q901" s="37">
        <v>39760</v>
      </c>
      <c r="R901" s="37">
        <v>53217</v>
      </c>
      <c r="S901" s="37">
        <v>30</v>
      </c>
      <c r="T901" s="37">
        <v>0</v>
      </c>
      <c r="U901" s="37">
        <v>39363</v>
      </c>
      <c r="V901" s="37">
        <v>39363</v>
      </c>
      <c r="W901" s="37">
        <v>34647</v>
      </c>
      <c r="X901" s="37">
        <v>31627</v>
      </c>
      <c r="Y901" s="37">
        <v>0</v>
      </c>
      <c r="Z901" s="37">
        <v>0</v>
      </c>
      <c r="AA901" s="37">
        <v>113800</v>
      </c>
      <c r="AB901" s="37">
        <v>124207</v>
      </c>
      <c r="AC901" s="37">
        <v>1987</v>
      </c>
      <c r="AD901" s="37">
        <v>1987</v>
      </c>
      <c r="AE901" s="37">
        <v>21230</v>
      </c>
      <c r="AF901" s="168">
        <v>0.02</v>
      </c>
      <c r="AG901" s="37">
        <v>8545686.6500000004</v>
      </c>
      <c r="AH901" s="37">
        <v>59820.98</v>
      </c>
      <c r="AI901" s="37">
        <v>61017.4</v>
      </c>
      <c r="AJ901" s="37">
        <v>62237.75</v>
      </c>
      <c r="AK901" s="37">
        <v>63482.5</v>
      </c>
      <c r="AL901" s="37">
        <v>64752.15</v>
      </c>
      <c r="AM901" s="37">
        <v>66047.199999999997</v>
      </c>
      <c r="AN901" s="37">
        <v>67368.14</v>
      </c>
      <c r="AO901" s="37">
        <v>68715.5</v>
      </c>
      <c r="AP901" s="37">
        <v>70089.81</v>
      </c>
      <c r="AQ901" s="37">
        <v>71491.61</v>
      </c>
      <c r="AR901" s="37">
        <v>655023.04</v>
      </c>
      <c r="AS901" s="37">
        <v>0</v>
      </c>
      <c r="AT901" s="37">
        <v>0</v>
      </c>
      <c r="AU901" s="37">
        <v>520200</v>
      </c>
      <c r="AV901" s="37">
        <v>0</v>
      </c>
      <c r="AW901" s="37">
        <v>0</v>
      </c>
      <c r="AX901" s="37">
        <v>0</v>
      </c>
      <c r="AY901" s="37">
        <v>0</v>
      </c>
      <c r="AZ901" s="37">
        <v>0</v>
      </c>
      <c r="BA901" s="37">
        <v>0</v>
      </c>
      <c r="BB901" s="37">
        <v>0</v>
      </c>
      <c r="BC901" s="37">
        <v>0</v>
      </c>
      <c r="BD901" s="37">
        <v>520200</v>
      </c>
      <c r="BE901" s="37">
        <v>0</v>
      </c>
      <c r="BF901" s="37">
        <v>0</v>
      </c>
      <c r="BG901" s="37">
        <v>0</v>
      </c>
      <c r="BH901" s="37">
        <v>0</v>
      </c>
      <c r="BI901" s="37">
        <v>0</v>
      </c>
      <c r="BJ901" s="37">
        <v>0</v>
      </c>
      <c r="BK901" s="37">
        <v>0</v>
      </c>
      <c r="BL901" s="37">
        <v>0</v>
      </c>
      <c r="BM901" s="37">
        <v>0</v>
      </c>
      <c r="BN901" s="37">
        <v>0</v>
      </c>
      <c r="BO901" s="37">
        <v>0</v>
      </c>
      <c r="BP901" s="37">
        <v>0</v>
      </c>
      <c r="BQ901" s="37">
        <v>0</v>
      </c>
      <c r="BR901" s="37">
        <v>0</v>
      </c>
      <c r="BS901" s="37">
        <v>0</v>
      </c>
      <c r="BT901" s="37">
        <v>0</v>
      </c>
      <c r="BU901" s="37">
        <v>0</v>
      </c>
      <c r="BV901" s="37">
        <v>0</v>
      </c>
      <c r="BW901" s="37">
        <v>0</v>
      </c>
      <c r="BX901" s="37">
        <v>0</v>
      </c>
      <c r="BY901" s="37">
        <v>0</v>
      </c>
      <c r="BZ901" s="37">
        <v>0</v>
      </c>
      <c r="CA901" s="37">
        <v>0</v>
      </c>
      <c r="CB901" s="37">
        <v>0</v>
      </c>
      <c r="CC901" s="37">
        <v>0</v>
      </c>
      <c r="CD901" s="37">
        <v>0</v>
      </c>
      <c r="CE901" s="37">
        <v>0</v>
      </c>
      <c r="CF901" s="37">
        <v>0</v>
      </c>
      <c r="CG901" s="37">
        <v>0</v>
      </c>
      <c r="CH901" s="37">
        <v>0</v>
      </c>
      <c r="CI901" s="37">
        <v>0</v>
      </c>
      <c r="CJ901" s="37">
        <v>0</v>
      </c>
      <c r="CK901" s="37">
        <v>0</v>
      </c>
      <c r="CL901" s="37">
        <v>0</v>
      </c>
      <c r="CM901" s="37">
        <v>0</v>
      </c>
      <c r="CN901" s="37">
        <v>0</v>
      </c>
      <c r="CO901" s="37">
        <v>0</v>
      </c>
      <c r="CP901" s="37">
        <v>0</v>
      </c>
      <c r="CQ901" s="37">
        <v>500000</v>
      </c>
      <c r="CR901" s="37">
        <v>0</v>
      </c>
      <c r="CS901" s="37">
        <v>0</v>
      </c>
      <c r="CT901" s="37">
        <v>0</v>
      </c>
      <c r="CU901" s="37">
        <v>0</v>
      </c>
      <c r="CV901" s="37">
        <v>0</v>
      </c>
      <c r="CW901" s="37">
        <v>0</v>
      </c>
      <c r="CX901" s="37">
        <v>0</v>
      </c>
      <c r="CY901" s="37">
        <v>0</v>
      </c>
      <c r="CZ901" s="37">
        <v>500000</v>
      </c>
      <c r="DA901" s="37">
        <v>0</v>
      </c>
      <c r="DB901" s="37">
        <v>0</v>
      </c>
      <c r="DC901" s="37">
        <v>0</v>
      </c>
      <c r="DD901" s="37">
        <v>0</v>
      </c>
      <c r="DE901" s="37">
        <v>0</v>
      </c>
      <c r="DF901" s="37">
        <v>0</v>
      </c>
      <c r="DG901" s="37">
        <v>0</v>
      </c>
      <c r="DH901" s="37">
        <v>0</v>
      </c>
      <c r="DI901" s="37">
        <v>0</v>
      </c>
      <c r="DJ901" s="37">
        <v>0</v>
      </c>
      <c r="DK901" s="37">
        <v>0</v>
      </c>
      <c r="DL901" s="37">
        <v>0</v>
      </c>
      <c r="DM901" s="37">
        <v>0</v>
      </c>
      <c r="DN901" s="37">
        <v>0</v>
      </c>
      <c r="DO901" s="37">
        <v>0</v>
      </c>
      <c r="DP901" s="37">
        <v>0</v>
      </c>
      <c r="DQ901" s="37">
        <v>0</v>
      </c>
      <c r="DR901" s="37">
        <v>0</v>
      </c>
      <c r="DS901" s="37">
        <v>0</v>
      </c>
      <c r="DT901" s="37">
        <v>0</v>
      </c>
      <c r="DU901" s="37">
        <v>0</v>
      </c>
      <c r="DV901" s="37">
        <v>0</v>
      </c>
      <c r="DW901" s="37">
        <v>0</v>
      </c>
      <c r="DX901" s="37">
        <v>0</v>
      </c>
      <c r="DY901" s="37">
        <v>0</v>
      </c>
      <c r="DZ901" s="37">
        <v>0</v>
      </c>
      <c r="EA901" s="37">
        <v>0</v>
      </c>
      <c r="EB901" s="37">
        <v>0</v>
      </c>
      <c r="EC901" s="37">
        <v>0</v>
      </c>
      <c r="ED901" s="37">
        <v>0</v>
      </c>
      <c r="EE901" s="37">
        <v>0</v>
      </c>
      <c r="EF901" s="37">
        <v>0</v>
      </c>
      <c r="EG901" s="37">
        <v>0</v>
      </c>
      <c r="EH901" s="37">
        <v>0</v>
      </c>
      <c r="EI901" s="37">
        <v>0</v>
      </c>
      <c r="EJ901" s="37">
        <v>0</v>
      </c>
      <c r="EK901" s="161" t="s">
        <v>3249</v>
      </c>
      <c r="EL901" s="294" t="s">
        <v>1124</v>
      </c>
    </row>
    <row r="902" spans="1:142" ht="15" customHeight="1" x14ac:dyDescent="0.35">
      <c r="A902" s="34"/>
      <c r="B902" s="313">
        <v>17020</v>
      </c>
      <c r="C902" s="8" t="s">
        <v>93</v>
      </c>
      <c r="D902" s="18">
        <v>12</v>
      </c>
      <c r="E902" s="155"/>
      <c r="F902" s="36"/>
      <c r="G902" s="37"/>
      <c r="H902" s="37"/>
      <c r="I902" s="37"/>
      <c r="J902" s="37"/>
      <c r="K902" s="37"/>
      <c r="L902" s="37"/>
      <c r="M902" s="37" t="s">
        <v>1124</v>
      </c>
      <c r="N902" s="37" t="s">
        <v>1124</v>
      </c>
      <c r="O902" s="37"/>
      <c r="P902" s="37"/>
      <c r="Q902" s="37"/>
      <c r="R902" s="37"/>
      <c r="S902" s="37"/>
      <c r="T902" s="37"/>
      <c r="U902" s="37"/>
      <c r="V902" s="37"/>
      <c r="W902" s="37"/>
      <c r="X902" s="37"/>
      <c r="Y902" s="37"/>
      <c r="Z902" s="37"/>
      <c r="AA902" s="37" t="s">
        <v>1124</v>
      </c>
      <c r="AB902" s="37" t="s">
        <v>1124</v>
      </c>
      <c r="AC902" s="37"/>
      <c r="AD902" s="37"/>
      <c r="AE902" s="37"/>
      <c r="AF902" s="168"/>
      <c r="AG902" s="37"/>
      <c r="AH902" s="37"/>
      <c r="AI902" s="37"/>
      <c r="AJ902" s="37"/>
      <c r="AK902" s="37"/>
      <c r="AL902" s="37"/>
      <c r="AM902" s="37"/>
      <c r="AN902" s="37"/>
      <c r="AO902" s="37"/>
      <c r="AP902" s="37"/>
      <c r="AQ902" s="37"/>
      <c r="AR902" s="37" t="s">
        <v>1124</v>
      </c>
      <c r="AS902" s="37"/>
      <c r="AT902" s="37"/>
      <c r="AU902" s="37"/>
      <c r="AV902" s="37"/>
      <c r="AW902" s="37"/>
      <c r="AX902" s="37"/>
      <c r="AY902" s="37"/>
      <c r="AZ902" s="37"/>
      <c r="BA902" s="37"/>
      <c r="BB902" s="37"/>
      <c r="BC902" s="37"/>
      <c r="BD902" s="37" t="s">
        <v>1124</v>
      </c>
      <c r="BE902" s="37"/>
      <c r="BF902" s="37"/>
      <c r="BG902" s="37"/>
      <c r="BH902" s="37"/>
      <c r="BI902" s="37"/>
      <c r="BJ902" s="37"/>
      <c r="BK902" s="37"/>
      <c r="BL902" s="37"/>
      <c r="BM902" s="37"/>
      <c r="BN902" s="37"/>
      <c r="BO902" s="37"/>
      <c r="BP902" s="37">
        <v>0</v>
      </c>
      <c r="BQ902" s="37"/>
      <c r="BR902" s="37"/>
      <c r="BS902" s="37"/>
      <c r="BT902" s="37"/>
      <c r="BU902" s="37"/>
      <c r="BV902" s="37"/>
      <c r="BW902" s="37"/>
      <c r="BX902" s="37"/>
      <c r="BY902" s="37"/>
      <c r="BZ902" s="37"/>
      <c r="CA902" s="37"/>
      <c r="CB902" s="37" t="s">
        <v>1124</v>
      </c>
      <c r="CC902" s="37"/>
      <c r="CD902" s="37"/>
      <c r="CE902" s="37"/>
      <c r="CF902" s="37"/>
      <c r="CG902" s="37"/>
      <c r="CH902" s="37"/>
      <c r="CI902" s="37"/>
      <c r="CJ902" s="37"/>
      <c r="CK902" s="37"/>
      <c r="CL902" s="37"/>
      <c r="CM902" s="37"/>
      <c r="CN902" s="37" t="s">
        <v>1124</v>
      </c>
      <c r="CO902" s="37"/>
      <c r="CP902" s="37"/>
      <c r="CQ902" s="37"/>
      <c r="CR902" s="37"/>
      <c r="CS902" s="37"/>
      <c r="CT902" s="37"/>
      <c r="CU902" s="37"/>
      <c r="CV902" s="37"/>
      <c r="CW902" s="37"/>
      <c r="CX902" s="37"/>
      <c r="CY902" s="37"/>
      <c r="CZ902" s="37" t="s">
        <v>1124</v>
      </c>
      <c r="DA902" s="37"/>
      <c r="DB902" s="37"/>
      <c r="DC902" s="37"/>
      <c r="DD902" s="37"/>
      <c r="DE902" s="37"/>
      <c r="DF902" s="37"/>
      <c r="DG902" s="37"/>
      <c r="DH902" s="37"/>
      <c r="DI902" s="37"/>
      <c r="DJ902" s="37"/>
      <c r="DK902" s="37"/>
      <c r="DL902" s="37" t="s">
        <v>1124</v>
      </c>
      <c r="DM902" s="37"/>
      <c r="DN902" s="37"/>
      <c r="DO902" s="37"/>
      <c r="DP902" s="37"/>
      <c r="DQ902" s="37"/>
      <c r="DR902" s="37"/>
      <c r="DS902" s="37"/>
      <c r="DT902" s="37"/>
      <c r="DU902" s="37"/>
      <c r="DV902" s="37"/>
      <c r="DW902" s="37"/>
      <c r="DX902" s="37" t="s">
        <v>1124</v>
      </c>
      <c r="DY902" s="37"/>
      <c r="DZ902" s="37"/>
      <c r="EA902" s="37"/>
      <c r="EB902" s="37"/>
      <c r="EC902" s="37"/>
      <c r="ED902" s="37"/>
      <c r="EE902" s="37"/>
      <c r="EF902" s="37"/>
      <c r="EG902" s="37"/>
      <c r="EH902" s="37"/>
      <c r="EI902" s="37"/>
      <c r="EJ902" s="37" t="s">
        <v>1124</v>
      </c>
      <c r="EK902" s="161"/>
      <c r="EL902" s="294"/>
    </row>
    <row r="903" spans="1:142" ht="15" customHeight="1" x14ac:dyDescent="0.35">
      <c r="A903" s="34"/>
      <c r="B903" s="313">
        <v>54125</v>
      </c>
      <c r="C903" s="8" t="s">
        <v>558</v>
      </c>
      <c r="D903" s="18">
        <v>16</v>
      </c>
      <c r="E903" s="155"/>
      <c r="F903" s="36"/>
      <c r="G903" s="37"/>
      <c r="H903" s="37"/>
      <c r="I903" s="37"/>
      <c r="J903" s="37"/>
      <c r="K903" s="37"/>
      <c r="L903" s="37"/>
      <c r="M903" s="37" t="s">
        <v>1124</v>
      </c>
      <c r="N903" s="37" t="s">
        <v>1124</v>
      </c>
      <c r="O903" s="37"/>
      <c r="P903" s="37"/>
      <c r="Q903" s="37"/>
      <c r="R903" s="37"/>
      <c r="S903" s="37"/>
      <c r="T903" s="37"/>
      <c r="U903" s="37"/>
      <c r="V903" s="37"/>
      <c r="W903" s="37"/>
      <c r="X903" s="37"/>
      <c r="Y903" s="37"/>
      <c r="Z903" s="37"/>
      <c r="AA903" s="37" t="s">
        <v>1124</v>
      </c>
      <c r="AB903" s="37" t="s">
        <v>1124</v>
      </c>
      <c r="AC903" s="37"/>
      <c r="AD903" s="37"/>
      <c r="AE903" s="37"/>
      <c r="AF903" s="168"/>
      <c r="AG903" s="37"/>
      <c r="AH903" s="37"/>
      <c r="AI903" s="37"/>
      <c r="AJ903" s="37"/>
      <c r="AK903" s="37"/>
      <c r="AL903" s="37"/>
      <c r="AM903" s="37"/>
      <c r="AN903" s="37"/>
      <c r="AO903" s="37"/>
      <c r="AP903" s="37"/>
      <c r="AQ903" s="37"/>
      <c r="AR903" s="37" t="s">
        <v>1124</v>
      </c>
      <c r="AS903" s="37"/>
      <c r="AT903" s="37"/>
      <c r="AU903" s="37"/>
      <c r="AV903" s="37"/>
      <c r="AW903" s="37"/>
      <c r="AX903" s="37"/>
      <c r="AY903" s="37"/>
      <c r="AZ903" s="37"/>
      <c r="BA903" s="37"/>
      <c r="BB903" s="37"/>
      <c r="BC903" s="37"/>
      <c r="BD903" s="37" t="s">
        <v>1124</v>
      </c>
      <c r="BE903" s="37"/>
      <c r="BF903" s="37"/>
      <c r="BG903" s="37"/>
      <c r="BH903" s="37"/>
      <c r="BI903" s="37"/>
      <c r="BJ903" s="37"/>
      <c r="BK903" s="37"/>
      <c r="BL903" s="37"/>
      <c r="BM903" s="37"/>
      <c r="BN903" s="37"/>
      <c r="BO903" s="37"/>
      <c r="BP903" s="37">
        <v>0</v>
      </c>
      <c r="BQ903" s="37"/>
      <c r="BR903" s="37"/>
      <c r="BS903" s="37"/>
      <c r="BT903" s="37"/>
      <c r="BU903" s="37"/>
      <c r="BV903" s="37"/>
      <c r="BW903" s="37"/>
      <c r="BX903" s="37"/>
      <c r="BY903" s="37"/>
      <c r="BZ903" s="37"/>
      <c r="CA903" s="37"/>
      <c r="CB903" s="37" t="s">
        <v>1124</v>
      </c>
      <c r="CC903" s="37"/>
      <c r="CD903" s="37"/>
      <c r="CE903" s="37"/>
      <c r="CF903" s="37"/>
      <c r="CG903" s="37"/>
      <c r="CH903" s="37"/>
      <c r="CI903" s="37"/>
      <c r="CJ903" s="37"/>
      <c r="CK903" s="37"/>
      <c r="CL903" s="37"/>
      <c r="CM903" s="37"/>
      <c r="CN903" s="37" t="s">
        <v>1124</v>
      </c>
      <c r="CO903" s="37"/>
      <c r="CP903" s="37"/>
      <c r="CQ903" s="37"/>
      <c r="CR903" s="37"/>
      <c r="CS903" s="37"/>
      <c r="CT903" s="37"/>
      <c r="CU903" s="37"/>
      <c r="CV903" s="37"/>
      <c r="CW903" s="37"/>
      <c r="CX903" s="37"/>
      <c r="CY903" s="37"/>
      <c r="CZ903" s="37" t="s">
        <v>1124</v>
      </c>
      <c r="DA903" s="37"/>
      <c r="DB903" s="37"/>
      <c r="DC903" s="37"/>
      <c r="DD903" s="37"/>
      <c r="DE903" s="37"/>
      <c r="DF903" s="37"/>
      <c r="DG903" s="37"/>
      <c r="DH903" s="37"/>
      <c r="DI903" s="37"/>
      <c r="DJ903" s="37"/>
      <c r="DK903" s="37"/>
      <c r="DL903" s="37" t="s">
        <v>1124</v>
      </c>
      <c r="DM903" s="37"/>
      <c r="DN903" s="37"/>
      <c r="DO903" s="37"/>
      <c r="DP903" s="37"/>
      <c r="DQ903" s="37"/>
      <c r="DR903" s="37"/>
      <c r="DS903" s="37"/>
      <c r="DT903" s="37"/>
      <c r="DU903" s="37"/>
      <c r="DV903" s="37"/>
      <c r="DW903" s="37"/>
      <c r="DX903" s="37" t="s">
        <v>1124</v>
      </c>
      <c r="DY903" s="37"/>
      <c r="DZ903" s="37"/>
      <c r="EA903" s="37"/>
      <c r="EB903" s="37"/>
      <c r="EC903" s="37"/>
      <c r="ED903" s="37"/>
      <c r="EE903" s="37"/>
      <c r="EF903" s="37"/>
      <c r="EG903" s="37"/>
      <c r="EH903" s="37"/>
      <c r="EI903" s="37"/>
      <c r="EJ903" s="37" t="s">
        <v>1124</v>
      </c>
      <c r="EK903" s="161"/>
      <c r="EL903" s="294"/>
    </row>
    <row r="904" spans="1:142" ht="15" customHeight="1" x14ac:dyDescent="0.35">
      <c r="A904" s="34"/>
      <c r="B904" s="313">
        <v>10025</v>
      </c>
      <c r="C904" s="8" t="s">
        <v>11</v>
      </c>
      <c r="D904" s="18">
        <v>1</v>
      </c>
      <c r="E904" s="155"/>
      <c r="F904" s="36"/>
      <c r="G904" s="37"/>
      <c r="H904" s="37"/>
      <c r="I904" s="37"/>
      <c r="J904" s="37"/>
      <c r="K904" s="37"/>
      <c r="L904" s="37"/>
      <c r="M904" s="37" t="s">
        <v>1124</v>
      </c>
      <c r="N904" s="37" t="s">
        <v>1124</v>
      </c>
      <c r="O904" s="37"/>
      <c r="P904" s="37"/>
      <c r="Q904" s="37"/>
      <c r="R904" s="37"/>
      <c r="S904" s="37"/>
      <c r="T904" s="37"/>
      <c r="U904" s="37"/>
      <c r="V904" s="37"/>
      <c r="W904" s="37"/>
      <c r="X904" s="37"/>
      <c r="Y904" s="37"/>
      <c r="Z904" s="37"/>
      <c r="AA904" s="37" t="s">
        <v>1124</v>
      </c>
      <c r="AB904" s="37" t="s">
        <v>1124</v>
      </c>
      <c r="AC904" s="37"/>
      <c r="AD904" s="37"/>
      <c r="AE904" s="37"/>
      <c r="AF904" s="168"/>
      <c r="AG904" s="37"/>
      <c r="AH904" s="37"/>
      <c r="AI904" s="37"/>
      <c r="AJ904" s="37"/>
      <c r="AK904" s="37"/>
      <c r="AL904" s="37"/>
      <c r="AM904" s="37"/>
      <c r="AN904" s="37"/>
      <c r="AO904" s="37"/>
      <c r="AP904" s="37"/>
      <c r="AQ904" s="37"/>
      <c r="AR904" s="37" t="s">
        <v>1124</v>
      </c>
      <c r="AS904" s="37"/>
      <c r="AT904" s="37"/>
      <c r="AU904" s="37"/>
      <c r="AV904" s="37"/>
      <c r="AW904" s="37"/>
      <c r="AX904" s="37"/>
      <c r="AY904" s="37"/>
      <c r="AZ904" s="37"/>
      <c r="BA904" s="37"/>
      <c r="BB904" s="37"/>
      <c r="BC904" s="37"/>
      <c r="BD904" s="37" t="s">
        <v>1124</v>
      </c>
      <c r="BE904" s="37"/>
      <c r="BF904" s="37"/>
      <c r="BG904" s="37"/>
      <c r="BH904" s="37"/>
      <c r="BI904" s="37"/>
      <c r="BJ904" s="37"/>
      <c r="BK904" s="37"/>
      <c r="BL904" s="37"/>
      <c r="BM904" s="37"/>
      <c r="BN904" s="37"/>
      <c r="BO904" s="37"/>
      <c r="BP904" s="37">
        <v>0</v>
      </c>
      <c r="BQ904" s="37"/>
      <c r="BR904" s="37"/>
      <c r="BS904" s="37"/>
      <c r="BT904" s="37"/>
      <c r="BU904" s="37"/>
      <c r="BV904" s="37"/>
      <c r="BW904" s="37"/>
      <c r="BX904" s="37"/>
      <c r="BY904" s="37"/>
      <c r="BZ904" s="37"/>
      <c r="CA904" s="37"/>
      <c r="CB904" s="37" t="s">
        <v>1124</v>
      </c>
      <c r="CC904" s="37"/>
      <c r="CD904" s="37"/>
      <c r="CE904" s="37"/>
      <c r="CF904" s="37"/>
      <c r="CG904" s="37"/>
      <c r="CH904" s="37"/>
      <c r="CI904" s="37"/>
      <c r="CJ904" s="37"/>
      <c r="CK904" s="37"/>
      <c r="CL904" s="37"/>
      <c r="CM904" s="37"/>
      <c r="CN904" s="37" t="s">
        <v>1124</v>
      </c>
      <c r="CO904" s="37"/>
      <c r="CP904" s="37"/>
      <c r="CQ904" s="37"/>
      <c r="CR904" s="37"/>
      <c r="CS904" s="37"/>
      <c r="CT904" s="37"/>
      <c r="CU904" s="37"/>
      <c r="CV904" s="37"/>
      <c r="CW904" s="37"/>
      <c r="CX904" s="37"/>
      <c r="CY904" s="37"/>
      <c r="CZ904" s="37" t="s">
        <v>1124</v>
      </c>
      <c r="DA904" s="37"/>
      <c r="DB904" s="37"/>
      <c r="DC904" s="37"/>
      <c r="DD904" s="37"/>
      <c r="DE904" s="37"/>
      <c r="DF904" s="37"/>
      <c r="DG904" s="37"/>
      <c r="DH904" s="37"/>
      <c r="DI904" s="37"/>
      <c r="DJ904" s="37"/>
      <c r="DK904" s="37"/>
      <c r="DL904" s="37" t="s">
        <v>1124</v>
      </c>
      <c r="DM904" s="37"/>
      <c r="DN904" s="37"/>
      <c r="DO904" s="37"/>
      <c r="DP904" s="37"/>
      <c r="DQ904" s="37"/>
      <c r="DR904" s="37"/>
      <c r="DS904" s="37"/>
      <c r="DT904" s="37"/>
      <c r="DU904" s="37"/>
      <c r="DV904" s="37"/>
      <c r="DW904" s="37"/>
      <c r="DX904" s="37" t="s">
        <v>1124</v>
      </c>
      <c r="DY904" s="37"/>
      <c r="DZ904" s="37"/>
      <c r="EA904" s="37"/>
      <c r="EB904" s="37"/>
      <c r="EC904" s="37"/>
      <c r="ED904" s="37"/>
      <c r="EE904" s="37"/>
      <c r="EF904" s="37"/>
      <c r="EG904" s="37"/>
      <c r="EH904" s="37"/>
      <c r="EI904" s="37"/>
      <c r="EJ904" s="37" t="s">
        <v>1124</v>
      </c>
      <c r="EK904" s="161"/>
      <c r="EL904" s="294"/>
    </row>
    <row r="905" spans="1:142" ht="15" customHeight="1" x14ac:dyDescent="0.35">
      <c r="A905" s="34"/>
      <c r="B905" s="313">
        <v>57050</v>
      </c>
      <c r="C905" s="8" t="s">
        <v>590</v>
      </c>
      <c r="D905" s="18">
        <v>16</v>
      </c>
      <c r="E905" s="155">
        <v>39349</v>
      </c>
      <c r="F905" s="36">
        <v>61093</v>
      </c>
      <c r="G905" s="37">
        <v>0</v>
      </c>
      <c r="H905" s="37">
        <v>146152</v>
      </c>
      <c r="I905" s="37">
        <v>0</v>
      </c>
      <c r="J905" s="37">
        <v>171014</v>
      </c>
      <c r="K905" s="37">
        <v>5902.3499999999995</v>
      </c>
      <c r="L905" s="37">
        <v>9163.9499999999989</v>
      </c>
      <c r="M905" s="37">
        <v>45251.35</v>
      </c>
      <c r="N905" s="37">
        <v>387422.95</v>
      </c>
      <c r="O905" s="37">
        <v>0</v>
      </c>
      <c r="P905" s="37">
        <v>0</v>
      </c>
      <c r="Q905" s="37">
        <v>0</v>
      </c>
      <c r="R905" s="37">
        <v>174106</v>
      </c>
      <c r="S905" s="37">
        <v>529835</v>
      </c>
      <c r="T905" s="37">
        <v>0</v>
      </c>
      <c r="U905" s="37">
        <v>0</v>
      </c>
      <c r="V905" s="37">
        <v>25375</v>
      </c>
      <c r="W905" s="37">
        <v>0</v>
      </c>
      <c r="X905" s="37">
        <v>0</v>
      </c>
      <c r="Y905" s="37">
        <v>0</v>
      </c>
      <c r="Z905" s="37">
        <v>0</v>
      </c>
      <c r="AA905" s="37">
        <v>529835</v>
      </c>
      <c r="AB905" s="37">
        <v>199481</v>
      </c>
      <c r="AC905" s="37">
        <v>296642</v>
      </c>
      <c r="AD905" s="37">
        <v>0</v>
      </c>
      <c r="AE905" s="37">
        <v>0</v>
      </c>
      <c r="AF905" s="168">
        <v>0.02</v>
      </c>
      <c r="AG905" s="37">
        <v>70249657.920000002</v>
      </c>
      <c r="AH905" s="37">
        <v>752597.97</v>
      </c>
      <c r="AI905" s="37">
        <v>767649.93</v>
      </c>
      <c r="AJ905" s="37">
        <v>783002.93</v>
      </c>
      <c r="AK905" s="37">
        <v>798662.99</v>
      </c>
      <c r="AL905" s="37">
        <v>814636.25</v>
      </c>
      <c r="AM905" s="37">
        <v>830928.98</v>
      </c>
      <c r="AN905" s="37">
        <v>847547.56</v>
      </c>
      <c r="AO905" s="37">
        <v>864498.51</v>
      </c>
      <c r="AP905" s="37">
        <v>881788.48</v>
      </c>
      <c r="AQ905" s="37">
        <v>899424.25</v>
      </c>
      <c r="AR905" s="37">
        <v>8240737.8500000006</v>
      </c>
      <c r="AS905" s="37">
        <v>785502</v>
      </c>
      <c r="AT905" s="37">
        <v>0</v>
      </c>
      <c r="AU905" s="37">
        <v>0</v>
      </c>
      <c r="AV905" s="37">
        <v>0</v>
      </c>
      <c r="AW905" s="37">
        <v>0</v>
      </c>
      <c r="AX905" s="37">
        <v>0</v>
      </c>
      <c r="AY905" s="37">
        <v>0</v>
      </c>
      <c r="AZ905" s="37">
        <v>0</v>
      </c>
      <c r="BA905" s="37">
        <v>0</v>
      </c>
      <c r="BB905" s="37">
        <v>0</v>
      </c>
      <c r="BC905" s="37">
        <v>0</v>
      </c>
      <c r="BD905" s="37">
        <v>0</v>
      </c>
      <c r="BE905" s="37">
        <v>0</v>
      </c>
      <c r="BF905" s="37">
        <v>87337.70614176344</v>
      </c>
      <c r="BG905" s="37">
        <v>94139.024594990056</v>
      </c>
      <c r="BH905" s="37">
        <v>115889.30579324608</v>
      </c>
      <c r="BI905" s="37">
        <v>137639.63347000055</v>
      </c>
      <c r="BJ905" s="37">
        <v>14948.962745029359</v>
      </c>
      <c r="BK905" s="37">
        <v>72388.743396733989</v>
      </c>
      <c r="BL905" s="37">
        <v>94139.024594990056</v>
      </c>
      <c r="BM905" s="37">
        <v>115889.30579324608</v>
      </c>
      <c r="BN905" s="37">
        <v>137639.63347000055</v>
      </c>
      <c r="BO905" s="37">
        <v>0</v>
      </c>
      <c r="BP905" s="37">
        <v>870011.3400000002</v>
      </c>
      <c r="BQ905" s="37">
        <v>0</v>
      </c>
      <c r="BR905" s="37">
        <v>0</v>
      </c>
      <c r="BS905" s="37">
        <v>0</v>
      </c>
      <c r="BT905" s="37">
        <v>0</v>
      </c>
      <c r="BU905" s="37">
        <v>0</v>
      </c>
      <c r="BV905" s="37">
        <v>0</v>
      </c>
      <c r="BW905" s="37">
        <v>0</v>
      </c>
      <c r="BX905" s="37">
        <v>0</v>
      </c>
      <c r="BY905" s="37">
        <v>0</v>
      </c>
      <c r="BZ905" s="37">
        <v>0</v>
      </c>
      <c r="CA905" s="37">
        <v>0</v>
      </c>
      <c r="CB905" s="37">
        <v>0</v>
      </c>
      <c r="CC905" s="37">
        <v>0</v>
      </c>
      <c r="CD905" s="37">
        <v>0</v>
      </c>
      <c r="CE905" s="37">
        <v>0</v>
      </c>
      <c r="CF905" s="37">
        <v>0</v>
      </c>
      <c r="CG905" s="37">
        <v>0</v>
      </c>
      <c r="CH905" s="37">
        <v>0</v>
      </c>
      <c r="CI905" s="37">
        <v>0</v>
      </c>
      <c r="CJ905" s="37">
        <v>0</v>
      </c>
      <c r="CK905" s="37">
        <v>0</v>
      </c>
      <c r="CL905" s="37">
        <v>0</v>
      </c>
      <c r="CM905" s="37">
        <v>0</v>
      </c>
      <c r="CN905" s="37">
        <v>0</v>
      </c>
      <c r="CO905" s="37">
        <v>0</v>
      </c>
      <c r="CP905" s="37">
        <v>0</v>
      </c>
      <c r="CQ905" s="37">
        <v>0</v>
      </c>
      <c r="CR905" s="37">
        <v>0</v>
      </c>
      <c r="CS905" s="37">
        <v>0</v>
      </c>
      <c r="CT905" s="37">
        <v>0</v>
      </c>
      <c r="CU905" s="37">
        <v>0</v>
      </c>
      <c r="CV905" s="37">
        <v>0</v>
      </c>
      <c r="CW905" s="37">
        <v>0</v>
      </c>
      <c r="CX905" s="37">
        <v>0</v>
      </c>
      <c r="CY905" s="37">
        <v>0</v>
      </c>
      <c r="CZ905" s="37">
        <v>0</v>
      </c>
      <c r="DA905" s="37">
        <v>0</v>
      </c>
      <c r="DB905" s="37">
        <v>0</v>
      </c>
      <c r="DC905" s="37">
        <v>0</v>
      </c>
      <c r="DD905" s="37">
        <v>0</v>
      </c>
      <c r="DE905" s="37">
        <v>0</v>
      </c>
      <c r="DF905" s="37">
        <v>0</v>
      </c>
      <c r="DG905" s="37">
        <v>0</v>
      </c>
      <c r="DH905" s="37">
        <v>0</v>
      </c>
      <c r="DI905" s="37">
        <v>0</v>
      </c>
      <c r="DJ905" s="37">
        <v>0</v>
      </c>
      <c r="DK905" s="37">
        <v>0</v>
      </c>
      <c r="DL905" s="37">
        <v>0</v>
      </c>
      <c r="DM905" s="37">
        <v>0</v>
      </c>
      <c r="DN905" s="37">
        <v>0</v>
      </c>
      <c r="DO905" s="37">
        <v>0</v>
      </c>
      <c r="DP905" s="37">
        <v>0</v>
      </c>
      <c r="DQ905" s="37">
        <v>0</v>
      </c>
      <c r="DR905" s="37">
        <v>0</v>
      </c>
      <c r="DS905" s="37">
        <v>0</v>
      </c>
      <c r="DT905" s="37">
        <v>0</v>
      </c>
      <c r="DU905" s="37">
        <v>0</v>
      </c>
      <c r="DV905" s="37">
        <v>0</v>
      </c>
      <c r="DW905" s="37">
        <v>0</v>
      </c>
      <c r="DX905" s="37">
        <v>0</v>
      </c>
      <c r="DY905" s="37">
        <v>0</v>
      </c>
      <c r="DZ905" s="37">
        <v>0</v>
      </c>
      <c r="EA905" s="37">
        <v>0</v>
      </c>
      <c r="EB905" s="37">
        <v>0</v>
      </c>
      <c r="EC905" s="37">
        <v>0</v>
      </c>
      <c r="ED905" s="37">
        <v>0</v>
      </c>
      <c r="EE905" s="37">
        <v>0</v>
      </c>
      <c r="EF905" s="37">
        <v>0</v>
      </c>
      <c r="EG905" s="37">
        <v>0</v>
      </c>
      <c r="EH905" s="37">
        <v>0</v>
      </c>
      <c r="EI905" s="37">
        <v>0</v>
      </c>
      <c r="EJ905" s="37">
        <v>0</v>
      </c>
      <c r="EK905" s="161" t="s">
        <v>3250</v>
      </c>
      <c r="EL905" s="294" t="s">
        <v>1124</v>
      </c>
    </row>
    <row r="906" spans="1:142" ht="15" customHeight="1" x14ac:dyDescent="0.35">
      <c r="A906" s="34"/>
      <c r="B906" s="313">
        <v>29045</v>
      </c>
      <c r="C906" s="8" t="s">
        <v>207</v>
      </c>
      <c r="D906" s="18">
        <v>12</v>
      </c>
      <c r="E906" s="155">
        <v>124827</v>
      </c>
      <c r="F906" s="36">
        <v>84848</v>
      </c>
      <c r="G906" s="37">
        <v>11432</v>
      </c>
      <c r="H906" s="37">
        <v>0</v>
      </c>
      <c r="I906" s="37">
        <v>213506</v>
      </c>
      <c r="J906" s="37">
        <v>0</v>
      </c>
      <c r="K906" s="37">
        <v>18724.05</v>
      </c>
      <c r="L906" s="37">
        <v>12727.199999999999</v>
      </c>
      <c r="M906" s="37">
        <v>368489.05</v>
      </c>
      <c r="N906" s="37">
        <v>97575.2</v>
      </c>
      <c r="O906" s="37">
        <v>162493</v>
      </c>
      <c r="P906" s="37">
        <v>0</v>
      </c>
      <c r="Q906" s="37">
        <v>147843</v>
      </c>
      <c r="R906" s="37">
        <v>147843</v>
      </c>
      <c r="S906" s="37">
        <v>1800</v>
      </c>
      <c r="T906" s="37">
        <v>0</v>
      </c>
      <c r="U906" s="37">
        <v>209825</v>
      </c>
      <c r="V906" s="37">
        <v>0</v>
      </c>
      <c r="W906" s="37">
        <v>0</v>
      </c>
      <c r="X906" s="37">
        <v>0</v>
      </c>
      <c r="Y906" s="37">
        <v>0</v>
      </c>
      <c r="Z906" s="37">
        <v>0</v>
      </c>
      <c r="AA906" s="37">
        <v>521961</v>
      </c>
      <c r="AB906" s="37">
        <v>147843</v>
      </c>
      <c r="AC906" s="37">
        <v>203739.75</v>
      </c>
      <c r="AD906" s="37">
        <v>114317</v>
      </c>
      <c r="AE906" s="37">
        <v>114317</v>
      </c>
      <c r="AF906" s="168">
        <v>0.02</v>
      </c>
      <c r="AG906" s="37">
        <v>35248448.130000003</v>
      </c>
      <c r="AH906" s="37">
        <v>228996.15</v>
      </c>
      <c r="AI906" s="37">
        <v>233576.07</v>
      </c>
      <c r="AJ906" s="37">
        <v>238247.59</v>
      </c>
      <c r="AK906" s="37">
        <v>243012.54</v>
      </c>
      <c r="AL906" s="37">
        <v>247872.79</v>
      </c>
      <c r="AM906" s="37">
        <v>252830.25</v>
      </c>
      <c r="AN906" s="37">
        <v>257886.86</v>
      </c>
      <c r="AO906" s="37">
        <v>263044.59000000003</v>
      </c>
      <c r="AP906" s="37">
        <v>268305.48</v>
      </c>
      <c r="AQ906" s="37">
        <v>273671.59000000003</v>
      </c>
      <c r="AR906" s="37">
        <v>2507443.91</v>
      </c>
      <c r="AS906" s="37">
        <v>730349.58</v>
      </c>
      <c r="AT906" s="37">
        <v>0</v>
      </c>
      <c r="AU906" s="37">
        <v>0</v>
      </c>
      <c r="AV906" s="37">
        <v>0</v>
      </c>
      <c r="AW906" s="37">
        <v>0</v>
      </c>
      <c r="AX906" s="37">
        <v>0</v>
      </c>
      <c r="AY906" s="37">
        <v>0</v>
      </c>
      <c r="AZ906" s="37">
        <v>0</v>
      </c>
      <c r="BA906" s="37">
        <v>0</v>
      </c>
      <c r="BB906" s="37">
        <v>0</v>
      </c>
      <c r="BC906" s="37">
        <v>0</v>
      </c>
      <c r="BD906" s="37">
        <v>0</v>
      </c>
      <c r="BE906" s="37">
        <v>626290</v>
      </c>
      <c r="BF906" s="37">
        <v>63288.293243209802</v>
      </c>
      <c r="BG906" s="37">
        <v>68216.792693488242</v>
      </c>
      <c r="BH906" s="37">
        <v>83977.891025555175</v>
      </c>
      <c r="BI906" s="37">
        <v>99739.023037746869</v>
      </c>
      <c r="BJ906" s="37">
        <v>10832.59888178847</v>
      </c>
      <c r="BK906" s="37">
        <v>52455.694361421272</v>
      </c>
      <c r="BL906" s="37">
        <v>68216.792693488242</v>
      </c>
      <c r="BM906" s="37">
        <v>83977.891025555175</v>
      </c>
      <c r="BN906" s="37">
        <v>99739.023037746869</v>
      </c>
      <c r="BO906" s="37">
        <v>0</v>
      </c>
      <c r="BP906" s="37">
        <v>630444.00000000023</v>
      </c>
      <c r="BQ906" s="37">
        <v>313145</v>
      </c>
      <c r="BR906" s="37">
        <v>0</v>
      </c>
      <c r="BS906" s="37">
        <v>0</v>
      </c>
      <c r="BT906" s="37">
        <v>0</v>
      </c>
      <c r="BU906" s="37">
        <v>0</v>
      </c>
      <c r="BV906" s="37">
        <v>0</v>
      </c>
      <c r="BW906" s="37">
        <v>0</v>
      </c>
      <c r="BX906" s="37">
        <v>0</v>
      </c>
      <c r="BY906" s="37">
        <v>0</v>
      </c>
      <c r="BZ906" s="37">
        <v>0</v>
      </c>
      <c r="CA906" s="37">
        <v>0</v>
      </c>
      <c r="CB906" s="37">
        <v>0</v>
      </c>
      <c r="CC906" s="37">
        <v>0</v>
      </c>
      <c r="CD906" s="37">
        <v>0</v>
      </c>
      <c r="CE906" s="37">
        <v>0</v>
      </c>
      <c r="CF906" s="37">
        <v>0</v>
      </c>
      <c r="CG906" s="37">
        <v>0</v>
      </c>
      <c r="CH906" s="37">
        <v>0</v>
      </c>
      <c r="CI906" s="37">
        <v>0</v>
      </c>
      <c r="CJ906" s="37">
        <v>0</v>
      </c>
      <c r="CK906" s="37">
        <v>0</v>
      </c>
      <c r="CL906" s="37">
        <v>0</v>
      </c>
      <c r="CM906" s="37">
        <v>0</v>
      </c>
      <c r="CN906" s="37">
        <v>0</v>
      </c>
      <c r="CO906" s="37">
        <v>0</v>
      </c>
      <c r="CP906" s="37">
        <v>0</v>
      </c>
      <c r="CQ906" s="37">
        <v>0</v>
      </c>
      <c r="CR906" s="37">
        <v>0</v>
      </c>
      <c r="CS906" s="37">
        <v>0</v>
      </c>
      <c r="CT906" s="37">
        <v>0</v>
      </c>
      <c r="CU906" s="37">
        <v>0</v>
      </c>
      <c r="CV906" s="37">
        <v>0</v>
      </c>
      <c r="CW906" s="37">
        <v>0</v>
      </c>
      <c r="CX906" s="37">
        <v>0</v>
      </c>
      <c r="CY906" s="37">
        <v>0</v>
      </c>
      <c r="CZ906" s="37">
        <v>0</v>
      </c>
      <c r="DA906" s="37">
        <v>0</v>
      </c>
      <c r="DB906" s="37">
        <v>0</v>
      </c>
      <c r="DC906" s="37">
        <v>0</v>
      </c>
      <c r="DD906" s="37">
        <v>0</v>
      </c>
      <c r="DE906" s="37">
        <v>0</v>
      </c>
      <c r="DF906" s="37">
        <v>0</v>
      </c>
      <c r="DG906" s="37">
        <v>0</v>
      </c>
      <c r="DH906" s="37">
        <v>0</v>
      </c>
      <c r="DI906" s="37">
        <v>0</v>
      </c>
      <c r="DJ906" s="37">
        <v>0</v>
      </c>
      <c r="DK906" s="37">
        <v>0</v>
      </c>
      <c r="DL906" s="37">
        <v>0</v>
      </c>
      <c r="DM906" s="37">
        <v>0</v>
      </c>
      <c r="DN906" s="37">
        <v>0</v>
      </c>
      <c r="DO906" s="37">
        <v>0</v>
      </c>
      <c r="DP906" s="37">
        <v>0</v>
      </c>
      <c r="DQ906" s="37">
        <v>0</v>
      </c>
      <c r="DR906" s="37">
        <v>0</v>
      </c>
      <c r="DS906" s="37">
        <v>0</v>
      </c>
      <c r="DT906" s="37">
        <v>0</v>
      </c>
      <c r="DU906" s="37">
        <v>0</v>
      </c>
      <c r="DV906" s="37">
        <v>0</v>
      </c>
      <c r="DW906" s="37">
        <v>0</v>
      </c>
      <c r="DX906" s="37">
        <v>0</v>
      </c>
      <c r="DY906" s="37">
        <v>0</v>
      </c>
      <c r="DZ906" s="37">
        <v>0</v>
      </c>
      <c r="EA906" s="37">
        <v>0</v>
      </c>
      <c r="EB906" s="37">
        <v>0</v>
      </c>
      <c r="EC906" s="37">
        <v>0</v>
      </c>
      <c r="ED906" s="37">
        <v>0</v>
      </c>
      <c r="EE906" s="37">
        <v>0</v>
      </c>
      <c r="EF906" s="37">
        <v>0</v>
      </c>
      <c r="EG906" s="37">
        <v>0</v>
      </c>
      <c r="EH906" s="37">
        <v>0</v>
      </c>
      <c r="EI906" s="37">
        <v>0</v>
      </c>
      <c r="EJ906" s="37">
        <v>0</v>
      </c>
      <c r="EK906" s="161" t="s">
        <v>3253</v>
      </c>
      <c r="EL906" s="294" t="s">
        <v>1124</v>
      </c>
    </row>
    <row r="907" spans="1:142" ht="15" customHeight="1" x14ac:dyDescent="0.35">
      <c r="A907" s="34"/>
      <c r="B907" s="313">
        <v>55065</v>
      </c>
      <c r="C907" s="8" t="s">
        <v>566</v>
      </c>
      <c r="D907" s="18">
        <v>16</v>
      </c>
      <c r="E907" s="155"/>
      <c r="F907" s="36"/>
      <c r="G907" s="37"/>
      <c r="H907" s="37"/>
      <c r="I907" s="37"/>
      <c r="J907" s="37"/>
      <c r="K907" s="37"/>
      <c r="L907" s="37"/>
      <c r="M907" s="37" t="s">
        <v>1124</v>
      </c>
      <c r="N907" s="37" t="s">
        <v>1124</v>
      </c>
      <c r="O907" s="37"/>
      <c r="P907" s="37"/>
      <c r="Q907" s="37"/>
      <c r="R907" s="37"/>
      <c r="S907" s="37"/>
      <c r="T907" s="37"/>
      <c r="U907" s="37"/>
      <c r="V907" s="37"/>
      <c r="W907" s="37"/>
      <c r="X907" s="37"/>
      <c r="Y907" s="37"/>
      <c r="Z907" s="37"/>
      <c r="AA907" s="37" t="s">
        <v>1124</v>
      </c>
      <c r="AB907" s="37" t="s">
        <v>1124</v>
      </c>
      <c r="AC907" s="37"/>
      <c r="AD907" s="37"/>
      <c r="AE907" s="37"/>
      <c r="AF907" s="168"/>
      <c r="AG907" s="37"/>
      <c r="AH907" s="37"/>
      <c r="AI907" s="37"/>
      <c r="AJ907" s="37"/>
      <c r="AK907" s="37"/>
      <c r="AL907" s="37"/>
      <c r="AM907" s="37"/>
      <c r="AN907" s="37"/>
      <c r="AO907" s="37"/>
      <c r="AP907" s="37"/>
      <c r="AQ907" s="37"/>
      <c r="AR907" s="37" t="s">
        <v>1124</v>
      </c>
      <c r="AS907" s="37"/>
      <c r="AT907" s="37"/>
      <c r="AU907" s="37"/>
      <c r="AV907" s="37"/>
      <c r="AW907" s="37"/>
      <c r="AX907" s="37"/>
      <c r="AY907" s="37"/>
      <c r="AZ907" s="37"/>
      <c r="BA907" s="37"/>
      <c r="BB907" s="37"/>
      <c r="BC907" s="37"/>
      <c r="BD907" s="37" t="s">
        <v>1124</v>
      </c>
      <c r="BE907" s="37"/>
      <c r="BF907" s="37"/>
      <c r="BG907" s="37"/>
      <c r="BH907" s="37"/>
      <c r="BI907" s="37"/>
      <c r="BJ907" s="37"/>
      <c r="BK907" s="37"/>
      <c r="BL907" s="37"/>
      <c r="BM907" s="37"/>
      <c r="BN907" s="37"/>
      <c r="BO907" s="37"/>
      <c r="BP907" s="37">
        <v>0</v>
      </c>
      <c r="BQ907" s="37"/>
      <c r="BR907" s="37"/>
      <c r="BS907" s="37"/>
      <c r="BT907" s="37"/>
      <c r="BU907" s="37"/>
      <c r="BV907" s="37"/>
      <c r="BW907" s="37"/>
      <c r="BX907" s="37"/>
      <c r="BY907" s="37"/>
      <c r="BZ907" s="37"/>
      <c r="CA907" s="37"/>
      <c r="CB907" s="37" t="s">
        <v>1124</v>
      </c>
      <c r="CC907" s="37"/>
      <c r="CD907" s="37"/>
      <c r="CE907" s="37"/>
      <c r="CF907" s="37"/>
      <c r="CG907" s="37"/>
      <c r="CH907" s="37"/>
      <c r="CI907" s="37"/>
      <c r="CJ907" s="37"/>
      <c r="CK907" s="37"/>
      <c r="CL907" s="37"/>
      <c r="CM907" s="37"/>
      <c r="CN907" s="37" t="s">
        <v>1124</v>
      </c>
      <c r="CO907" s="37"/>
      <c r="CP907" s="37"/>
      <c r="CQ907" s="37"/>
      <c r="CR907" s="37"/>
      <c r="CS907" s="37"/>
      <c r="CT907" s="37"/>
      <c r="CU907" s="37"/>
      <c r="CV907" s="37"/>
      <c r="CW907" s="37"/>
      <c r="CX907" s="37"/>
      <c r="CY907" s="37"/>
      <c r="CZ907" s="37" t="s">
        <v>1124</v>
      </c>
      <c r="DA907" s="37"/>
      <c r="DB907" s="37"/>
      <c r="DC907" s="37"/>
      <c r="DD907" s="37"/>
      <c r="DE907" s="37"/>
      <c r="DF907" s="37"/>
      <c r="DG907" s="37"/>
      <c r="DH907" s="37"/>
      <c r="DI907" s="37"/>
      <c r="DJ907" s="37"/>
      <c r="DK907" s="37"/>
      <c r="DL907" s="37" t="s">
        <v>1124</v>
      </c>
      <c r="DM907" s="37"/>
      <c r="DN907" s="37"/>
      <c r="DO907" s="37"/>
      <c r="DP907" s="37"/>
      <c r="DQ907" s="37"/>
      <c r="DR907" s="37"/>
      <c r="DS907" s="37"/>
      <c r="DT907" s="37"/>
      <c r="DU907" s="37"/>
      <c r="DV907" s="37"/>
      <c r="DW907" s="37"/>
      <c r="DX907" s="37" t="s">
        <v>1124</v>
      </c>
      <c r="DY907" s="37"/>
      <c r="DZ907" s="37"/>
      <c r="EA907" s="37"/>
      <c r="EB907" s="37"/>
      <c r="EC907" s="37"/>
      <c r="ED907" s="37"/>
      <c r="EE907" s="37"/>
      <c r="EF907" s="37"/>
      <c r="EG907" s="37"/>
      <c r="EH907" s="37"/>
      <c r="EI907" s="37"/>
      <c r="EJ907" s="37" t="s">
        <v>1124</v>
      </c>
      <c r="EK907" s="161"/>
      <c r="EL907" s="294"/>
    </row>
    <row r="908" spans="1:142" ht="15" customHeight="1" x14ac:dyDescent="0.35">
      <c r="A908" s="34"/>
      <c r="B908" s="313">
        <v>67005</v>
      </c>
      <c r="C908" s="8" t="s">
        <v>662</v>
      </c>
      <c r="D908" s="18">
        <v>16</v>
      </c>
      <c r="E908" s="155"/>
      <c r="F908" s="36"/>
      <c r="G908" s="37"/>
      <c r="H908" s="37"/>
      <c r="I908" s="37"/>
      <c r="J908" s="37"/>
      <c r="K908" s="37"/>
      <c r="L908" s="37"/>
      <c r="M908" s="37" t="s">
        <v>1124</v>
      </c>
      <c r="N908" s="37" t="s">
        <v>1124</v>
      </c>
      <c r="O908" s="37"/>
      <c r="P908" s="37"/>
      <c r="Q908" s="37"/>
      <c r="R908" s="37"/>
      <c r="S908" s="37"/>
      <c r="T908" s="37"/>
      <c r="U908" s="37"/>
      <c r="V908" s="37"/>
      <c r="W908" s="37"/>
      <c r="X908" s="37"/>
      <c r="Y908" s="37"/>
      <c r="Z908" s="37"/>
      <c r="AA908" s="37" t="s">
        <v>1124</v>
      </c>
      <c r="AB908" s="37" t="s">
        <v>1124</v>
      </c>
      <c r="AC908" s="37"/>
      <c r="AD908" s="37"/>
      <c r="AE908" s="37"/>
      <c r="AF908" s="168"/>
      <c r="AG908" s="37"/>
      <c r="AH908" s="37"/>
      <c r="AI908" s="37"/>
      <c r="AJ908" s="37"/>
      <c r="AK908" s="37"/>
      <c r="AL908" s="37"/>
      <c r="AM908" s="37"/>
      <c r="AN908" s="37"/>
      <c r="AO908" s="37"/>
      <c r="AP908" s="37"/>
      <c r="AQ908" s="37"/>
      <c r="AR908" s="37" t="s">
        <v>1124</v>
      </c>
      <c r="AS908" s="37"/>
      <c r="AT908" s="37"/>
      <c r="AU908" s="37"/>
      <c r="AV908" s="37"/>
      <c r="AW908" s="37"/>
      <c r="AX908" s="37"/>
      <c r="AY908" s="37"/>
      <c r="AZ908" s="37"/>
      <c r="BA908" s="37"/>
      <c r="BB908" s="37"/>
      <c r="BC908" s="37"/>
      <c r="BD908" s="37" t="s">
        <v>1124</v>
      </c>
      <c r="BE908" s="37"/>
      <c r="BF908" s="37"/>
      <c r="BG908" s="37"/>
      <c r="BH908" s="37"/>
      <c r="BI908" s="37"/>
      <c r="BJ908" s="37"/>
      <c r="BK908" s="37"/>
      <c r="BL908" s="37"/>
      <c r="BM908" s="37"/>
      <c r="BN908" s="37"/>
      <c r="BO908" s="37"/>
      <c r="BP908" s="37">
        <v>0</v>
      </c>
      <c r="BQ908" s="37"/>
      <c r="BR908" s="37"/>
      <c r="BS908" s="37"/>
      <c r="BT908" s="37"/>
      <c r="BU908" s="37"/>
      <c r="BV908" s="37"/>
      <c r="BW908" s="37"/>
      <c r="BX908" s="37"/>
      <c r="BY908" s="37"/>
      <c r="BZ908" s="37"/>
      <c r="CA908" s="37"/>
      <c r="CB908" s="37" t="s">
        <v>1124</v>
      </c>
      <c r="CC908" s="37"/>
      <c r="CD908" s="37"/>
      <c r="CE908" s="37"/>
      <c r="CF908" s="37"/>
      <c r="CG908" s="37"/>
      <c r="CH908" s="37"/>
      <c r="CI908" s="37"/>
      <c r="CJ908" s="37"/>
      <c r="CK908" s="37"/>
      <c r="CL908" s="37"/>
      <c r="CM908" s="37"/>
      <c r="CN908" s="37" t="s">
        <v>1124</v>
      </c>
      <c r="CO908" s="37"/>
      <c r="CP908" s="37"/>
      <c r="CQ908" s="37"/>
      <c r="CR908" s="37"/>
      <c r="CS908" s="37"/>
      <c r="CT908" s="37"/>
      <c r="CU908" s="37"/>
      <c r="CV908" s="37"/>
      <c r="CW908" s="37"/>
      <c r="CX908" s="37"/>
      <c r="CY908" s="37"/>
      <c r="CZ908" s="37" t="s">
        <v>1124</v>
      </c>
      <c r="DA908" s="37"/>
      <c r="DB908" s="37"/>
      <c r="DC908" s="37"/>
      <c r="DD908" s="37"/>
      <c r="DE908" s="37"/>
      <c r="DF908" s="37"/>
      <c r="DG908" s="37"/>
      <c r="DH908" s="37"/>
      <c r="DI908" s="37"/>
      <c r="DJ908" s="37"/>
      <c r="DK908" s="37"/>
      <c r="DL908" s="37" t="s">
        <v>1124</v>
      </c>
      <c r="DM908" s="37"/>
      <c r="DN908" s="37"/>
      <c r="DO908" s="37"/>
      <c r="DP908" s="37"/>
      <c r="DQ908" s="37"/>
      <c r="DR908" s="37"/>
      <c r="DS908" s="37"/>
      <c r="DT908" s="37"/>
      <c r="DU908" s="37"/>
      <c r="DV908" s="37"/>
      <c r="DW908" s="37"/>
      <c r="DX908" s="37" t="s">
        <v>1124</v>
      </c>
      <c r="DY908" s="37"/>
      <c r="DZ908" s="37"/>
      <c r="EA908" s="37"/>
      <c r="EB908" s="37"/>
      <c r="EC908" s="37"/>
      <c r="ED908" s="37"/>
      <c r="EE908" s="37"/>
      <c r="EF908" s="37"/>
      <c r="EG908" s="37"/>
      <c r="EH908" s="37"/>
      <c r="EI908" s="37"/>
      <c r="EJ908" s="37" t="s">
        <v>1124</v>
      </c>
      <c r="EK908" s="161"/>
      <c r="EL908" s="294"/>
    </row>
    <row r="909" spans="1:142" ht="15" customHeight="1" x14ac:dyDescent="0.35">
      <c r="A909" s="34"/>
      <c r="B909" s="313">
        <v>57045</v>
      </c>
      <c r="C909" s="8" t="s">
        <v>589</v>
      </c>
      <c r="D909" s="18">
        <v>16</v>
      </c>
      <c r="E909" s="155">
        <v>32549</v>
      </c>
      <c r="F909" s="36">
        <v>156332</v>
      </c>
      <c r="G909" s="37">
        <v>589910</v>
      </c>
      <c r="H909" s="37">
        <v>0</v>
      </c>
      <c r="I909" s="37">
        <v>0</v>
      </c>
      <c r="J909" s="37">
        <v>0</v>
      </c>
      <c r="K909" s="37">
        <v>3254.9</v>
      </c>
      <c r="L909" s="37">
        <v>15633.2</v>
      </c>
      <c r="M909" s="37">
        <v>625713.9</v>
      </c>
      <c r="N909" s="37">
        <v>171965.2</v>
      </c>
      <c r="O909" s="37">
        <v>0</v>
      </c>
      <c r="P909" s="37">
        <v>0</v>
      </c>
      <c r="Q909" s="37">
        <v>32549</v>
      </c>
      <c r="R909" s="37">
        <v>176104</v>
      </c>
      <c r="S909" s="37">
        <v>696012</v>
      </c>
      <c r="T909" s="37">
        <v>0</v>
      </c>
      <c r="U909" s="37">
        <v>0</v>
      </c>
      <c r="V909" s="37">
        <v>0</v>
      </c>
      <c r="W909" s="37">
        <v>0</v>
      </c>
      <c r="X909" s="37">
        <v>0</v>
      </c>
      <c r="Y909" s="37">
        <v>0</v>
      </c>
      <c r="Z909" s="37">
        <v>0</v>
      </c>
      <c r="AA909" s="37">
        <v>728561</v>
      </c>
      <c r="AB909" s="37">
        <v>176104</v>
      </c>
      <c r="AC909" s="37">
        <v>106986</v>
      </c>
      <c r="AD909" s="37">
        <v>0</v>
      </c>
      <c r="AE909" s="37">
        <v>0</v>
      </c>
      <c r="AF909" s="168">
        <v>0.02</v>
      </c>
      <c r="AG909" s="37">
        <v>62956151.210000001</v>
      </c>
      <c r="AH909" s="37">
        <v>605198.14</v>
      </c>
      <c r="AI909" s="37">
        <v>617302.1</v>
      </c>
      <c r="AJ909" s="37">
        <v>629648.14</v>
      </c>
      <c r="AK909" s="37">
        <v>642241.11</v>
      </c>
      <c r="AL909" s="37">
        <v>655085.93000000005</v>
      </c>
      <c r="AM909" s="37">
        <v>668187.65</v>
      </c>
      <c r="AN909" s="37">
        <v>681551.4</v>
      </c>
      <c r="AO909" s="37">
        <v>695182.43</v>
      </c>
      <c r="AP909" s="37">
        <v>709086.08</v>
      </c>
      <c r="AQ909" s="37">
        <v>723267.8</v>
      </c>
      <c r="AR909" s="37">
        <v>6626750.7799999993</v>
      </c>
      <c r="AS909" s="37">
        <v>0</v>
      </c>
      <c r="AT909" s="37">
        <v>0</v>
      </c>
      <c r="AU909" s="37">
        <v>0</v>
      </c>
      <c r="AV909" s="37">
        <v>0</v>
      </c>
      <c r="AW909" s="37">
        <v>0</v>
      </c>
      <c r="AX909" s="37">
        <v>0</v>
      </c>
      <c r="AY909" s="37">
        <v>0</v>
      </c>
      <c r="AZ909" s="37">
        <v>0</v>
      </c>
      <c r="BA909" s="37">
        <v>0</v>
      </c>
      <c r="BB909" s="37">
        <v>0</v>
      </c>
      <c r="BC909" s="37">
        <v>0</v>
      </c>
      <c r="BD909" s="37">
        <v>0</v>
      </c>
      <c r="BE909" s="37">
        <v>0</v>
      </c>
      <c r="BF909" s="37">
        <v>0</v>
      </c>
      <c r="BG909" s="37">
        <v>0</v>
      </c>
      <c r="BH909" s="37">
        <v>0</v>
      </c>
      <c r="BI909" s="37">
        <v>0</v>
      </c>
      <c r="BJ909" s="37">
        <v>0</v>
      </c>
      <c r="BK909" s="37">
        <v>0</v>
      </c>
      <c r="BL909" s="37">
        <v>0</v>
      </c>
      <c r="BM909" s="37">
        <v>0</v>
      </c>
      <c r="BN909" s="37">
        <v>0</v>
      </c>
      <c r="BO909" s="37">
        <v>0</v>
      </c>
      <c r="BP909" s="37">
        <v>0</v>
      </c>
      <c r="BQ909" s="37">
        <v>0</v>
      </c>
      <c r="BR909" s="37">
        <v>0</v>
      </c>
      <c r="BS909" s="37">
        <v>0</v>
      </c>
      <c r="BT909" s="37">
        <v>0</v>
      </c>
      <c r="BU909" s="37">
        <v>0</v>
      </c>
      <c r="BV909" s="37">
        <v>0</v>
      </c>
      <c r="BW909" s="37">
        <v>0</v>
      </c>
      <c r="BX909" s="37">
        <v>0</v>
      </c>
      <c r="BY909" s="37">
        <v>0</v>
      </c>
      <c r="BZ909" s="37">
        <v>0</v>
      </c>
      <c r="CA909" s="37">
        <v>0</v>
      </c>
      <c r="CB909" s="37">
        <v>0</v>
      </c>
      <c r="CC909" s="37">
        <v>0</v>
      </c>
      <c r="CD909" s="37">
        <v>0</v>
      </c>
      <c r="CE909" s="37">
        <v>0</v>
      </c>
      <c r="CF909" s="37">
        <v>0</v>
      </c>
      <c r="CG909" s="37">
        <v>0</v>
      </c>
      <c r="CH909" s="37">
        <v>0</v>
      </c>
      <c r="CI909" s="37">
        <v>0</v>
      </c>
      <c r="CJ909" s="37">
        <v>0</v>
      </c>
      <c r="CK909" s="37">
        <v>0</v>
      </c>
      <c r="CL909" s="37">
        <v>0</v>
      </c>
      <c r="CM909" s="37">
        <v>0</v>
      </c>
      <c r="CN909" s="37">
        <v>0</v>
      </c>
      <c r="CO909" s="37">
        <v>0</v>
      </c>
      <c r="CP909" s="37">
        <v>0</v>
      </c>
      <c r="CQ909" s="37">
        <v>0</v>
      </c>
      <c r="CR909" s="37">
        <v>0</v>
      </c>
      <c r="CS909" s="37">
        <v>0</v>
      </c>
      <c r="CT909" s="37">
        <v>0</v>
      </c>
      <c r="CU909" s="37">
        <v>0</v>
      </c>
      <c r="CV909" s="37">
        <v>0</v>
      </c>
      <c r="CW909" s="37">
        <v>0</v>
      </c>
      <c r="CX909" s="37">
        <v>0</v>
      </c>
      <c r="CY909" s="37">
        <v>0</v>
      </c>
      <c r="CZ909" s="37">
        <v>0</v>
      </c>
      <c r="DA909" s="37">
        <v>0</v>
      </c>
      <c r="DB909" s="37">
        <v>0</v>
      </c>
      <c r="DC909" s="37">
        <v>0</v>
      </c>
      <c r="DD909" s="37">
        <v>0</v>
      </c>
      <c r="DE909" s="37">
        <v>0</v>
      </c>
      <c r="DF909" s="37">
        <v>0</v>
      </c>
      <c r="DG909" s="37">
        <v>0</v>
      </c>
      <c r="DH909" s="37">
        <v>0</v>
      </c>
      <c r="DI909" s="37">
        <v>0</v>
      </c>
      <c r="DJ909" s="37">
        <v>0</v>
      </c>
      <c r="DK909" s="37">
        <v>0</v>
      </c>
      <c r="DL909" s="37">
        <v>0</v>
      </c>
      <c r="DM909" s="37">
        <v>0</v>
      </c>
      <c r="DN909" s="37">
        <v>0</v>
      </c>
      <c r="DO909" s="37">
        <v>0</v>
      </c>
      <c r="DP909" s="37">
        <v>0</v>
      </c>
      <c r="DQ909" s="37">
        <v>0</v>
      </c>
      <c r="DR909" s="37">
        <v>0</v>
      </c>
      <c r="DS909" s="37">
        <v>0</v>
      </c>
      <c r="DT909" s="37">
        <v>0</v>
      </c>
      <c r="DU909" s="37">
        <v>0</v>
      </c>
      <c r="DV909" s="37">
        <v>0</v>
      </c>
      <c r="DW909" s="37">
        <v>0</v>
      </c>
      <c r="DX909" s="37">
        <v>0</v>
      </c>
      <c r="DY909" s="37">
        <v>0</v>
      </c>
      <c r="DZ909" s="37">
        <v>0</v>
      </c>
      <c r="EA909" s="37">
        <v>0</v>
      </c>
      <c r="EB909" s="37">
        <v>0</v>
      </c>
      <c r="EC909" s="37">
        <v>0</v>
      </c>
      <c r="ED909" s="37">
        <v>0</v>
      </c>
      <c r="EE909" s="37">
        <v>0</v>
      </c>
      <c r="EF909" s="37">
        <v>0</v>
      </c>
      <c r="EG909" s="37">
        <v>0</v>
      </c>
      <c r="EH909" s="37">
        <v>0</v>
      </c>
      <c r="EI909" s="37">
        <v>0</v>
      </c>
      <c r="EJ909" s="37">
        <v>0</v>
      </c>
      <c r="EK909" s="161" t="s">
        <v>1124</v>
      </c>
      <c r="EL909" s="294" t="s">
        <v>1124</v>
      </c>
    </row>
    <row r="910" spans="1:142" ht="15" customHeight="1" x14ac:dyDescent="0.35">
      <c r="A910" s="34"/>
      <c r="B910" s="313">
        <v>11050</v>
      </c>
      <c r="C910" s="8" t="s">
        <v>26</v>
      </c>
      <c r="D910" s="18">
        <v>1</v>
      </c>
      <c r="E910" s="155">
        <v>29336</v>
      </c>
      <c r="F910" s="36">
        <v>50880</v>
      </c>
      <c r="G910" s="37">
        <v>0</v>
      </c>
      <c r="H910" s="37">
        <v>11277</v>
      </c>
      <c r="I910" s="37">
        <v>0</v>
      </c>
      <c r="J910" s="37">
        <v>75400</v>
      </c>
      <c r="K910" s="37">
        <v>4400</v>
      </c>
      <c r="L910" s="37">
        <v>7632</v>
      </c>
      <c r="M910" s="37">
        <v>33736</v>
      </c>
      <c r="N910" s="37">
        <v>145189</v>
      </c>
      <c r="O910" s="37">
        <v>0</v>
      </c>
      <c r="P910" s="37">
        <v>0</v>
      </c>
      <c r="Q910" s="37">
        <v>40494</v>
      </c>
      <c r="R910" s="37">
        <v>90657</v>
      </c>
      <c r="S910" s="37">
        <v>0</v>
      </c>
      <c r="T910" s="37">
        <v>0</v>
      </c>
      <c r="U910" s="37">
        <v>0</v>
      </c>
      <c r="V910" s="37">
        <v>0</v>
      </c>
      <c r="W910" s="37">
        <v>12180</v>
      </c>
      <c r="X910" s="37">
        <v>12181</v>
      </c>
      <c r="Y910" s="37">
        <v>4683</v>
      </c>
      <c r="Z910" s="37">
        <v>18730</v>
      </c>
      <c r="AA910" s="37">
        <v>57357</v>
      </c>
      <c r="AB910" s="37">
        <v>121568</v>
      </c>
      <c r="AC910" s="37">
        <v>0</v>
      </c>
      <c r="AD910" s="37">
        <v>0</v>
      </c>
      <c r="AE910" s="37">
        <v>0</v>
      </c>
      <c r="AF910" s="168">
        <v>0.02</v>
      </c>
      <c r="AG910" s="37">
        <v>17017582.57</v>
      </c>
      <c r="AH910" s="37">
        <v>98965.7</v>
      </c>
      <c r="AI910" s="37">
        <v>100945.01</v>
      </c>
      <c r="AJ910" s="37">
        <v>102963.92</v>
      </c>
      <c r="AK910" s="37">
        <v>105023.19</v>
      </c>
      <c r="AL910" s="37">
        <v>107123.66</v>
      </c>
      <c r="AM910" s="37">
        <v>109266.13</v>
      </c>
      <c r="AN910" s="37">
        <v>111451.45</v>
      </c>
      <c r="AO910" s="37">
        <v>113680.48</v>
      </c>
      <c r="AP910" s="37">
        <v>115954.09</v>
      </c>
      <c r="AQ910" s="37">
        <v>118273.17</v>
      </c>
      <c r="AR910" s="37">
        <v>1083646.8</v>
      </c>
      <c r="AS910" s="37">
        <v>0</v>
      </c>
      <c r="AT910" s="37">
        <v>0</v>
      </c>
      <c r="AU910" s="37">
        <v>62424</v>
      </c>
      <c r="AV910" s="37">
        <v>0</v>
      </c>
      <c r="AW910" s="37">
        <v>0</v>
      </c>
      <c r="AX910" s="37">
        <v>0</v>
      </c>
      <c r="AY910" s="37">
        <v>0</v>
      </c>
      <c r="AZ910" s="37">
        <v>386647.6</v>
      </c>
      <c r="BA910" s="37">
        <v>394380.55</v>
      </c>
      <c r="BB910" s="37">
        <v>402268.15999999997</v>
      </c>
      <c r="BC910" s="37">
        <v>0</v>
      </c>
      <c r="BD910" s="37">
        <v>1245720.31</v>
      </c>
      <c r="BE910" s="37">
        <v>0</v>
      </c>
      <c r="BF910" s="37">
        <v>0</v>
      </c>
      <c r="BG910" s="37">
        <v>0</v>
      </c>
      <c r="BH910" s="37">
        <v>0</v>
      </c>
      <c r="BI910" s="37">
        <v>0</v>
      </c>
      <c r="BJ910" s="37">
        <v>0</v>
      </c>
      <c r="BK910" s="37">
        <v>0</v>
      </c>
      <c r="BL910" s="37">
        <v>0</v>
      </c>
      <c r="BM910" s="37">
        <v>0</v>
      </c>
      <c r="BN910" s="37">
        <v>0</v>
      </c>
      <c r="BO910" s="37">
        <v>0</v>
      </c>
      <c r="BP910" s="37">
        <v>0</v>
      </c>
      <c r="BQ910" s="37">
        <v>0</v>
      </c>
      <c r="BR910" s="37">
        <v>0</v>
      </c>
      <c r="BS910" s="37">
        <v>0</v>
      </c>
      <c r="BT910" s="37">
        <v>0</v>
      </c>
      <c r="BU910" s="37">
        <v>0</v>
      </c>
      <c r="BV910" s="37">
        <v>0</v>
      </c>
      <c r="BW910" s="37">
        <v>0</v>
      </c>
      <c r="BX910" s="37">
        <v>0</v>
      </c>
      <c r="BY910" s="37">
        <v>0</v>
      </c>
      <c r="BZ910" s="37">
        <v>0</v>
      </c>
      <c r="CA910" s="37">
        <v>0</v>
      </c>
      <c r="CB910" s="37">
        <v>0</v>
      </c>
      <c r="CC910" s="37">
        <v>0</v>
      </c>
      <c r="CD910" s="37">
        <v>16000</v>
      </c>
      <c r="CE910" s="37">
        <v>0</v>
      </c>
      <c r="CF910" s="37">
        <v>0</v>
      </c>
      <c r="CG910" s="37">
        <v>0</v>
      </c>
      <c r="CH910" s="37">
        <v>0</v>
      </c>
      <c r="CI910" s="37">
        <v>0</v>
      </c>
      <c r="CJ910" s="37">
        <v>0</v>
      </c>
      <c r="CK910" s="37">
        <v>0</v>
      </c>
      <c r="CL910" s="37">
        <v>0</v>
      </c>
      <c r="CM910" s="37">
        <v>0</v>
      </c>
      <c r="CN910" s="37">
        <v>16000</v>
      </c>
      <c r="CO910" s="37">
        <v>0</v>
      </c>
      <c r="CP910" s="37">
        <v>0</v>
      </c>
      <c r="CQ910" s="37">
        <v>0</v>
      </c>
      <c r="CR910" s="37">
        <v>0</v>
      </c>
      <c r="CS910" s="37">
        <v>0</v>
      </c>
      <c r="CT910" s="37">
        <v>0</v>
      </c>
      <c r="CU910" s="37">
        <v>0</v>
      </c>
      <c r="CV910" s="37">
        <v>0</v>
      </c>
      <c r="CW910" s="37">
        <v>0</v>
      </c>
      <c r="CX910" s="37">
        <v>0</v>
      </c>
      <c r="CY910" s="37">
        <v>0</v>
      </c>
      <c r="CZ910" s="37">
        <v>0</v>
      </c>
      <c r="DA910" s="37">
        <v>0</v>
      </c>
      <c r="DB910" s="37">
        <v>0</v>
      </c>
      <c r="DC910" s="37">
        <v>60000</v>
      </c>
      <c r="DD910" s="37">
        <v>0</v>
      </c>
      <c r="DE910" s="37">
        <v>0</v>
      </c>
      <c r="DF910" s="37">
        <v>0</v>
      </c>
      <c r="DG910" s="37">
        <v>0</v>
      </c>
      <c r="DH910" s="37">
        <v>0</v>
      </c>
      <c r="DI910" s="37">
        <v>0</v>
      </c>
      <c r="DJ910" s="37">
        <v>0</v>
      </c>
      <c r="DK910" s="37">
        <v>0</v>
      </c>
      <c r="DL910" s="37">
        <v>60000</v>
      </c>
      <c r="DM910" s="37">
        <v>0</v>
      </c>
      <c r="DN910" s="37">
        <v>0</v>
      </c>
      <c r="DO910" s="37">
        <v>0</v>
      </c>
      <c r="DP910" s="37">
        <v>0</v>
      </c>
      <c r="DQ910" s="37">
        <v>0</v>
      </c>
      <c r="DR910" s="37">
        <v>0</v>
      </c>
      <c r="DS910" s="37">
        <v>0</v>
      </c>
      <c r="DT910" s="37">
        <v>0</v>
      </c>
      <c r="DU910" s="37">
        <v>0</v>
      </c>
      <c r="DV910" s="37">
        <v>0</v>
      </c>
      <c r="DW910" s="37">
        <v>0</v>
      </c>
      <c r="DX910" s="37">
        <v>0</v>
      </c>
      <c r="DY910" s="37">
        <v>0</v>
      </c>
      <c r="DZ910" s="37">
        <v>0</v>
      </c>
      <c r="EA910" s="37">
        <v>0</v>
      </c>
      <c r="EB910" s="37">
        <v>0</v>
      </c>
      <c r="EC910" s="37">
        <v>0</v>
      </c>
      <c r="ED910" s="37">
        <v>0</v>
      </c>
      <c r="EE910" s="37">
        <v>0</v>
      </c>
      <c r="EF910" s="37">
        <v>0</v>
      </c>
      <c r="EG910" s="37">
        <v>0</v>
      </c>
      <c r="EH910" s="37">
        <v>0</v>
      </c>
      <c r="EI910" s="37">
        <v>0</v>
      </c>
      <c r="EJ910" s="37">
        <v>0</v>
      </c>
      <c r="EK910" s="161" t="s">
        <v>1878</v>
      </c>
      <c r="EL910" s="294" t="s">
        <v>1124</v>
      </c>
    </row>
    <row r="911" spans="1:142" ht="15" customHeight="1" x14ac:dyDescent="0.35">
      <c r="A911" s="34"/>
      <c r="B911" s="313">
        <v>88050</v>
      </c>
      <c r="C911" s="8" t="s">
        <v>919</v>
      </c>
      <c r="D911" s="18">
        <v>8</v>
      </c>
      <c r="E911" s="155"/>
      <c r="F911" s="36"/>
      <c r="G911" s="37"/>
      <c r="H911" s="37"/>
      <c r="I911" s="37"/>
      <c r="J911" s="37"/>
      <c r="K911" s="37"/>
      <c r="L911" s="37"/>
      <c r="M911" s="37" t="s">
        <v>1124</v>
      </c>
      <c r="N911" s="37" t="s">
        <v>1124</v>
      </c>
      <c r="O911" s="37"/>
      <c r="P911" s="37"/>
      <c r="Q911" s="37"/>
      <c r="R911" s="37"/>
      <c r="S911" s="37"/>
      <c r="T911" s="37"/>
      <c r="U911" s="37"/>
      <c r="V911" s="37"/>
      <c r="W911" s="37"/>
      <c r="X911" s="37"/>
      <c r="Y911" s="37"/>
      <c r="Z911" s="37"/>
      <c r="AA911" s="37" t="s">
        <v>1124</v>
      </c>
      <c r="AB911" s="37" t="s">
        <v>1124</v>
      </c>
      <c r="AC911" s="37"/>
      <c r="AD911" s="37"/>
      <c r="AE911" s="37"/>
      <c r="AF911" s="168"/>
      <c r="AG911" s="37"/>
      <c r="AH911" s="37"/>
      <c r="AI911" s="37"/>
      <c r="AJ911" s="37"/>
      <c r="AK911" s="37"/>
      <c r="AL911" s="37"/>
      <c r="AM911" s="37"/>
      <c r="AN911" s="37"/>
      <c r="AO911" s="37"/>
      <c r="AP911" s="37"/>
      <c r="AQ911" s="37"/>
      <c r="AR911" s="37" t="s">
        <v>1124</v>
      </c>
      <c r="AS911" s="37"/>
      <c r="AT911" s="37"/>
      <c r="AU911" s="37"/>
      <c r="AV911" s="37"/>
      <c r="AW911" s="37"/>
      <c r="AX911" s="37"/>
      <c r="AY911" s="37"/>
      <c r="AZ911" s="37"/>
      <c r="BA911" s="37"/>
      <c r="BB911" s="37"/>
      <c r="BC911" s="37"/>
      <c r="BD911" s="37" t="s">
        <v>1124</v>
      </c>
      <c r="BE911" s="37"/>
      <c r="BF911" s="37"/>
      <c r="BG911" s="37"/>
      <c r="BH911" s="37"/>
      <c r="BI911" s="37"/>
      <c r="BJ911" s="37"/>
      <c r="BK911" s="37"/>
      <c r="BL911" s="37"/>
      <c r="BM911" s="37"/>
      <c r="BN911" s="37"/>
      <c r="BO911" s="37"/>
      <c r="BP911" s="37">
        <v>0</v>
      </c>
      <c r="BQ911" s="37"/>
      <c r="BR911" s="37"/>
      <c r="BS911" s="37"/>
      <c r="BT911" s="37"/>
      <c r="BU911" s="37"/>
      <c r="BV911" s="37"/>
      <c r="BW911" s="37"/>
      <c r="BX911" s="37"/>
      <c r="BY911" s="37"/>
      <c r="BZ911" s="37"/>
      <c r="CA911" s="37"/>
      <c r="CB911" s="37" t="s">
        <v>1124</v>
      </c>
      <c r="CC911" s="37"/>
      <c r="CD911" s="37"/>
      <c r="CE911" s="37"/>
      <c r="CF911" s="37"/>
      <c r="CG911" s="37"/>
      <c r="CH911" s="37"/>
      <c r="CI911" s="37"/>
      <c r="CJ911" s="37"/>
      <c r="CK911" s="37"/>
      <c r="CL911" s="37"/>
      <c r="CM911" s="37"/>
      <c r="CN911" s="37" t="s">
        <v>1124</v>
      </c>
      <c r="CO911" s="37"/>
      <c r="CP911" s="37"/>
      <c r="CQ911" s="37"/>
      <c r="CR911" s="37"/>
      <c r="CS911" s="37"/>
      <c r="CT911" s="37"/>
      <c r="CU911" s="37"/>
      <c r="CV911" s="37"/>
      <c r="CW911" s="37"/>
      <c r="CX911" s="37"/>
      <c r="CY911" s="37"/>
      <c r="CZ911" s="37" t="s">
        <v>1124</v>
      </c>
      <c r="DA911" s="37"/>
      <c r="DB911" s="37"/>
      <c r="DC911" s="37"/>
      <c r="DD911" s="37"/>
      <c r="DE911" s="37"/>
      <c r="DF911" s="37"/>
      <c r="DG911" s="37"/>
      <c r="DH911" s="37"/>
      <c r="DI911" s="37"/>
      <c r="DJ911" s="37"/>
      <c r="DK911" s="37"/>
      <c r="DL911" s="37" t="s">
        <v>1124</v>
      </c>
      <c r="DM911" s="37"/>
      <c r="DN911" s="37"/>
      <c r="DO911" s="37"/>
      <c r="DP911" s="37"/>
      <c r="DQ911" s="37"/>
      <c r="DR911" s="37"/>
      <c r="DS911" s="37"/>
      <c r="DT911" s="37"/>
      <c r="DU911" s="37"/>
      <c r="DV911" s="37"/>
      <c r="DW911" s="37"/>
      <c r="DX911" s="37" t="s">
        <v>1124</v>
      </c>
      <c r="DY911" s="37"/>
      <c r="DZ911" s="37"/>
      <c r="EA911" s="37"/>
      <c r="EB911" s="37"/>
      <c r="EC911" s="37"/>
      <c r="ED911" s="37"/>
      <c r="EE911" s="37"/>
      <c r="EF911" s="37"/>
      <c r="EG911" s="37"/>
      <c r="EH911" s="37"/>
      <c r="EI911" s="37"/>
      <c r="EJ911" s="37" t="s">
        <v>1124</v>
      </c>
      <c r="EK911" s="161"/>
      <c r="EL911" s="294"/>
    </row>
    <row r="912" spans="1:142" ht="15" customHeight="1" x14ac:dyDescent="0.35">
      <c r="A912" s="34"/>
      <c r="B912" s="313">
        <v>51070</v>
      </c>
      <c r="C912" s="8" t="s">
        <v>510</v>
      </c>
      <c r="D912" s="18">
        <v>4</v>
      </c>
      <c r="E912" s="155"/>
      <c r="F912" s="36"/>
      <c r="G912" s="37"/>
      <c r="H912" s="37"/>
      <c r="I912" s="37"/>
      <c r="J912" s="37"/>
      <c r="K912" s="37"/>
      <c r="L912" s="37"/>
      <c r="M912" s="37" t="s">
        <v>1124</v>
      </c>
      <c r="N912" s="37" t="s">
        <v>1124</v>
      </c>
      <c r="O912" s="37"/>
      <c r="P912" s="37"/>
      <c r="Q912" s="37"/>
      <c r="R912" s="37"/>
      <c r="S912" s="37"/>
      <c r="T912" s="37"/>
      <c r="U912" s="37"/>
      <c r="V912" s="37"/>
      <c r="W912" s="37"/>
      <c r="X912" s="37"/>
      <c r="Y912" s="37"/>
      <c r="Z912" s="37"/>
      <c r="AA912" s="37" t="s">
        <v>1124</v>
      </c>
      <c r="AB912" s="37" t="s">
        <v>1124</v>
      </c>
      <c r="AC912" s="37"/>
      <c r="AD912" s="37"/>
      <c r="AE912" s="37"/>
      <c r="AF912" s="168"/>
      <c r="AG912" s="37"/>
      <c r="AH912" s="37"/>
      <c r="AI912" s="37"/>
      <c r="AJ912" s="37"/>
      <c r="AK912" s="37"/>
      <c r="AL912" s="37"/>
      <c r="AM912" s="37"/>
      <c r="AN912" s="37"/>
      <c r="AO912" s="37"/>
      <c r="AP912" s="37"/>
      <c r="AQ912" s="37"/>
      <c r="AR912" s="37" t="s">
        <v>1124</v>
      </c>
      <c r="AS912" s="37"/>
      <c r="AT912" s="37"/>
      <c r="AU912" s="37"/>
      <c r="AV912" s="37"/>
      <c r="AW912" s="37"/>
      <c r="AX912" s="37"/>
      <c r="AY912" s="37"/>
      <c r="AZ912" s="37"/>
      <c r="BA912" s="37"/>
      <c r="BB912" s="37"/>
      <c r="BC912" s="37"/>
      <c r="BD912" s="37" t="s">
        <v>1124</v>
      </c>
      <c r="BE912" s="37"/>
      <c r="BF912" s="37"/>
      <c r="BG912" s="37"/>
      <c r="BH912" s="37"/>
      <c r="BI912" s="37"/>
      <c r="BJ912" s="37"/>
      <c r="BK912" s="37"/>
      <c r="BL912" s="37"/>
      <c r="BM912" s="37"/>
      <c r="BN912" s="37"/>
      <c r="BO912" s="37"/>
      <c r="BP912" s="37">
        <v>0</v>
      </c>
      <c r="BQ912" s="37"/>
      <c r="BR912" s="37"/>
      <c r="BS912" s="37"/>
      <c r="BT912" s="37"/>
      <c r="BU912" s="37"/>
      <c r="BV912" s="37"/>
      <c r="BW912" s="37"/>
      <c r="BX912" s="37"/>
      <c r="BY912" s="37"/>
      <c r="BZ912" s="37"/>
      <c r="CA912" s="37"/>
      <c r="CB912" s="37" t="s">
        <v>1124</v>
      </c>
      <c r="CC912" s="37"/>
      <c r="CD912" s="37"/>
      <c r="CE912" s="37"/>
      <c r="CF912" s="37"/>
      <c r="CG912" s="37"/>
      <c r="CH912" s="37"/>
      <c r="CI912" s="37"/>
      <c r="CJ912" s="37"/>
      <c r="CK912" s="37"/>
      <c r="CL912" s="37"/>
      <c r="CM912" s="37"/>
      <c r="CN912" s="37" t="s">
        <v>1124</v>
      </c>
      <c r="CO912" s="37"/>
      <c r="CP912" s="37"/>
      <c r="CQ912" s="37"/>
      <c r="CR912" s="37"/>
      <c r="CS912" s="37"/>
      <c r="CT912" s="37"/>
      <c r="CU912" s="37"/>
      <c r="CV912" s="37"/>
      <c r="CW912" s="37"/>
      <c r="CX912" s="37"/>
      <c r="CY912" s="37"/>
      <c r="CZ912" s="37" t="s">
        <v>1124</v>
      </c>
      <c r="DA912" s="37"/>
      <c r="DB912" s="37"/>
      <c r="DC912" s="37"/>
      <c r="DD912" s="37"/>
      <c r="DE912" s="37"/>
      <c r="DF912" s="37"/>
      <c r="DG912" s="37"/>
      <c r="DH912" s="37"/>
      <c r="DI912" s="37"/>
      <c r="DJ912" s="37"/>
      <c r="DK912" s="37"/>
      <c r="DL912" s="37" t="s">
        <v>1124</v>
      </c>
      <c r="DM912" s="37"/>
      <c r="DN912" s="37"/>
      <c r="DO912" s="37"/>
      <c r="DP912" s="37"/>
      <c r="DQ912" s="37"/>
      <c r="DR912" s="37"/>
      <c r="DS912" s="37"/>
      <c r="DT912" s="37"/>
      <c r="DU912" s="37"/>
      <c r="DV912" s="37"/>
      <c r="DW912" s="37"/>
      <c r="DX912" s="37" t="s">
        <v>1124</v>
      </c>
      <c r="DY912" s="37"/>
      <c r="DZ912" s="37"/>
      <c r="EA912" s="37"/>
      <c r="EB912" s="37"/>
      <c r="EC912" s="37"/>
      <c r="ED912" s="37"/>
      <c r="EE912" s="37"/>
      <c r="EF912" s="37"/>
      <c r="EG912" s="37"/>
      <c r="EH912" s="37"/>
      <c r="EI912" s="37"/>
      <c r="EJ912" s="37" t="s">
        <v>1124</v>
      </c>
      <c r="EK912" s="161"/>
      <c r="EL912" s="294"/>
    </row>
    <row r="913" spans="1:142" ht="15" customHeight="1" x14ac:dyDescent="0.35">
      <c r="A913" s="34"/>
      <c r="B913" s="313">
        <v>37230</v>
      </c>
      <c r="C913" s="8" t="s">
        <v>320</v>
      </c>
      <c r="D913" s="18">
        <v>4</v>
      </c>
      <c r="E913" s="155">
        <v>105754</v>
      </c>
      <c r="F913" s="36">
        <v>62070</v>
      </c>
      <c r="G913" s="37">
        <v>11966</v>
      </c>
      <c r="H913" s="37">
        <v>2213</v>
      </c>
      <c r="I913" s="37">
        <v>10300</v>
      </c>
      <c r="J913" s="37">
        <v>3200</v>
      </c>
      <c r="K913" s="37">
        <v>15863.099999999999</v>
      </c>
      <c r="L913" s="37">
        <v>9310.5</v>
      </c>
      <c r="M913" s="37">
        <v>143883.1</v>
      </c>
      <c r="N913" s="37">
        <v>76793.5</v>
      </c>
      <c r="O913" s="37">
        <v>44720</v>
      </c>
      <c r="P913" s="37">
        <v>0</v>
      </c>
      <c r="Q913" s="37">
        <v>86967</v>
      </c>
      <c r="R913" s="37">
        <v>45447</v>
      </c>
      <c r="S913" s="37">
        <v>84038</v>
      </c>
      <c r="T913" s="37">
        <v>0</v>
      </c>
      <c r="U913" s="37">
        <v>0</v>
      </c>
      <c r="V913" s="37">
        <v>0</v>
      </c>
      <c r="W913" s="37">
        <v>0</v>
      </c>
      <c r="X913" s="37">
        <v>0</v>
      </c>
      <c r="Y913" s="37">
        <v>0</v>
      </c>
      <c r="Z913" s="37">
        <v>0</v>
      </c>
      <c r="AA913" s="37">
        <v>215725</v>
      </c>
      <c r="AB913" s="37">
        <v>45447</v>
      </c>
      <c r="AC913" s="37">
        <v>40495</v>
      </c>
      <c r="AD913" s="37">
        <v>0</v>
      </c>
      <c r="AE913" s="37">
        <v>0</v>
      </c>
      <c r="AF913" s="168">
        <v>0.02</v>
      </c>
      <c r="AG913" s="37">
        <v>31418342.559999999</v>
      </c>
      <c r="AH913" s="37">
        <v>282874.02</v>
      </c>
      <c r="AI913" s="37">
        <v>288531.5</v>
      </c>
      <c r="AJ913" s="37">
        <v>294302.13</v>
      </c>
      <c r="AK913" s="37">
        <v>300188.17</v>
      </c>
      <c r="AL913" s="37">
        <v>306191.94</v>
      </c>
      <c r="AM913" s="37">
        <v>312315.78000000003</v>
      </c>
      <c r="AN913" s="37">
        <v>318562.09000000003</v>
      </c>
      <c r="AO913" s="37">
        <v>324933.33</v>
      </c>
      <c r="AP913" s="37">
        <v>331432</v>
      </c>
      <c r="AQ913" s="37">
        <v>338060.64</v>
      </c>
      <c r="AR913" s="37">
        <v>3097391.6</v>
      </c>
      <c r="AS913" s="37">
        <v>0</v>
      </c>
      <c r="AT913" s="37">
        <v>52020</v>
      </c>
      <c r="AU913" s="37">
        <v>53060.4</v>
      </c>
      <c r="AV913" s="37">
        <v>0</v>
      </c>
      <c r="AW913" s="37">
        <v>0</v>
      </c>
      <c r="AX913" s="37">
        <v>0</v>
      </c>
      <c r="AY913" s="37">
        <v>0</v>
      </c>
      <c r="AZ913" s="37">
        <v>0</v>
      </c>
      <c r="BA913" s="37">
        <v>0</v>
      </c>
      <c r="BB913" s="37">
        <v>0</v>
      </c>
      <c r="BC913" s="37">
        <v>0</v>
      </c>
      <c r="BD913" s="37">
        <v>105080.4</v>
      </c>
      <c r="BE913" s="37">
        <v>694150</v>
      </c>
      <c r="BF913" s="37">
        <v>300000</v>
      </c>
      <c r="BG913" s="37">
        <v>366953</v>
      </c>
      <c r="BH913" s="37">
        <v>150000</v>
      </c>
      <c r="BI913" s="37">
        <v>0</v>
      </c>
      <c r="BJ913" s="37">
        <v>0</v>
      </c>
      <c r="BK913" s="37">
        <v>0</v>
      </c>
      <c r="BL913" s="37">
        <v>0</v>
      </c>
      <c r="BM913" s="37">
        <v>0</v>
      </c>
      <c r="BN913" s="37">
        <v>0</v>
      </c>
      <c r="BO913" s="37">
        <v>0</v>
      </c>
      <c r="BP913" s="37">
        <v>816953</v>
      </c>
      <c r="BQ913" s="37">
        <v>0</v>
      </c>
      <c r="BR913" s="37">
        <v>0</v>
      </c>
      <c r="BS913" s="37">
        <v>0</v>
      </c>
      <c r="BT913" s="37">
        <v>0</v>
      </c>
      <c r="BU913" s="37">
        <v>0</v>
      </c>
      <c r="BV913" s="37">
        <v>0</v>
      </c>
      <c r="BW913" s="37">
        <v>0</v>
      </c>
      <c r="BX913" s="37">
        <v>0</v>
      </c>
      <c r="BY913" s="37">
        <v>0</v>
      </c>
      <c r="BZ913" s="37">
        <v>0</v>
      </c>
      <c r="CA913" s="37">
        <v>0</v>
      </c>
      <c r="CB913" s="37">
        <v>0</v>
      </c>
      <c r="CC913" s="37">
        <v>0</v>
      </c>
      <c r="CD913" s="37">
        <v>0</v>
      </c>
      <c r="CE913" s="37">
        <v>0</v>
      </c>
      <c r="CF913" s="37">
        <v>0</v>
      </c>
      <c r="CG913" s="37">
        <v>0</v>
      </c>
      <c r="CH913" s="37">
        <v>0</v>
      </c>
      <c r="CI913" s="37">
        <v>0</v>
      </c>
      <c r="CJ913" s="37">
        <v>0</v>
      </c>
      <c r="CK913" s="37">
        <v>0</v>
      </c>
      <c r="CL913" s="37">
        <v>0</v>
      </c>
      <c r="CM913" s="37">
        <v>0</v>
      </c>
      <c r="CN913" s="37">
        <v>0</v>
      </c>
      <c r="CO913" s="37">
        <v>0</v>
      </c>
      <c r="CP913" s="37">
        <v>0</v>
      </c>
      <c r="CQ913" s="37">
        <v>0</v>
      </c>
      <c r="CR913" s="37">
        <v>0</v>
      </c>
      <c r="CS913" s="37">
        <v>0</v>
      </c>
      <c r="CT913" s="37">
        <v>0</v>
      </c>
      <c r="CU913" s="37">
        <v>0</v>
      </c>
      <c r="CV913" s="37">
        <v>0</v>
      </c>
      <c r="CW913" s="37">
        <v>0</v>
      </c>
      <c r="CX913" s="37">
        <v>0</v>
      </c>
      <c r="CY913" s="37">
        <v>0</v>
      </c>
      <c r="CZ913" s="37">
        <v>0</v>
      </c>
      <c r="DA913" s="37">
        <v>0</v>
      </c>
      <c r="DB913" s="37">
        <v>0</v>
      </c>
      <c r="DC913" s="37">
        <v>700000</v>
      </c>
      <c r="DD913" s="37">
        <v>0</v>
      </c>
      <c r="DE913" s="37">
        <v>0</v>
      </c>
      <c r="DF913" s="37">
        <v>0</v>
      </c>
      <c r="DG913" s="37">
        <v>0</v>
      </c>
      <c r="DH913" s="37">
        <v>0</v>
      </c>
      <c r="DI913" s="37">
        <v>0</v>
      </c>
      <c r="DJ913" s="37">
        <v>0</v>
      </c>
      <c r="DK913" s="37">
        <v>0</v>
      </c>
      <c r="DL913" s="37">
        <v>700000</v>
      </c>
      <c r="DM913" s="37">
        <v>0</v>
      </c>
      <c r="DN913" s="37">
        <v>0</v>
      </c>
      <c r="DO913" s="37">
        <v>0</v>
      </c>
      <c r="DP913" s="37">
        <v>0</v>
      </c>
      <c r="DQ913" s="37">
        <v>0</v>
      </c>
      <c r="DR913" s="37">
        <v>0</v>
      </c>
      <c r="DS913" s="37">
        <v>0</v>
      </c>
      <c r="DT913" s="37">
        <v>0</v>
      </c>
      <c r="DU913" s="37">
        <v>0</v>
      </c>
      <c r="DV913" s="37">
        <v>0</v>
      </c>
      <c r="DW913" s="37">
        <v>0</v>
      </c>
      <c r="DX913" s="37">
        <v>0</v>
      </c>
      <c r="DY913" s="37">
        <v>0</v>
      </c>
      <c r="DZ913" s="37">
        <v>0</v>
      </c>
      <c r="EA913" s="37">
        <v>0</v>
      </c>
      <c r="EB913" s="37">
        <v>0</v>
      </c>
      <c r="EC913" s="37">
        <v>0</v>
      </c>
      <c r="ED913" s="37">
        <v>0</v>
      </c>
      <c r="EE913" s="37">
        <v>0</v>
      </c>
      <c r="EF913" s="37">
        <v>0</v>
      </c>
      <c r="EG913" s="37">
        <v>0</v>
      </c>
      <c r="EH913" s="37">
        <v>0</v>
      </c>
      <c r="EI913" s="37">
        <v>0</v>
      </c>
      <c r="EJ913" s="37">
        <v>0</v>
      </c>
      <c r="EK913" s="161" t="s">
        <v>3261</v>
      </c>
      <c r="EL913" s="294" t="s">
        <v>1124</v>
      </c>
    </row>
    <row r="914" spans="1:142" ht="15" customHeight="1" x14ac:dyDescent="0.35">
      <c r="A914" s="34"/>
      <c r="B914" s="313">
        <v>4010</v>
      </c>
      <c r="C914" s="8" t="s">
        <v>1037</v>
      </c>
      <c r="D914" s="18">
        <v>11</v>
      </c>
      <c r="E914" s="155">
        <v>183674</v>
      </c>
      <c r="F914" s="36">
        <v>63894</v>
      </c>
      <c r="G914" s="37">
        <v>1148</v>
      </c>
      <c r="H914" s="37">
        <v>63942</v>
      </c>
      <c r="I914" s="37">
        <v>10200</v>
      </c>
      <c r="J914" s="37">
        <v>816800</v>
      </c>
      <c r="K914" s="37">
        <v>27551</v>
      </c>
      <c r="L914" s="37">
        <v>9584</v>
      </c>
      <c r="M914" s="37">
        <v>222573</v>
      </c>
      <c r="N914" s="37">
        <v>954220</v>
      </c>
      <c r="O914" s="37">
        <v>0</v>
      </c>
      <c r="P914" s="37">
        <v>0</v>
      </c>
      <c r="Q914" s="37">
        <v>72015</v>
      </c>
      <c r="R914" s="37">
        <v>111134</v>
      </c>
      <c r="S914" s="37">
        <v>0</v>
      </c>
      <c r="T914" s="37">
        <v>31990</v>
      </c>
      <c r="U914" s="37">
        <v>37404</v>
      </c>
      <c r="V914" s="37">
        <v>591487</v>
      </c>
      <c r="W914" s="37">
        <v>142790</v>
      </c>
      <c r="X914" s="37">
        <v>142790</v>
      </c>
      <c r="Y914" s="37">
        <v>32648</v>
      </c>
      <c r="Z914" s="37">
        <v>14535</v>
      </c>
      <c r="AA914" s="37">
        <v>284857</v>
      </c>
      <c r="AB914" s="37">
        <v>891936</v>
      </c>
      <c r="AC914" s="37">
        <v>0</v>
      </c>
      <c r="AD914" s="37">
        <v>0</v>
      </c>
      <c r="AE914" s="37">
        <v>81063</v>
      </c>
      <c r="AF914" s="168">
        <v>0.02</v>
      </c>
      <c r="AG914" s="37">
        <v>29304712.550000001</v>
      </c>
      <c r="AH914" s="37">
        <v>205153.62</v>
      </c>
      <c r="AI914" s="37">
        <v>304765.40999999997</v>
      </c>
      <c r="AJ914" s="37">
        <v>213441.83</v>
      </c>
      <c r="AK914" s="37">
        <v>217710.66</v>
      </c>
      <c r="AL914" s="37">
        <v>222064.88</v>
      </c>
      <c r="AM914" s="37">
        <v>226506.17</v>
      </c>
      <c r="AN914" s="37">
        <v>231036.3</v>
      </c>
      <c r="AO914" s="37">
        <v>235657.02</v>
      </c>
      <c r="AP914" s="37">
        <v>240370.16</v>
      </c>
      <c r="AQ914" s="37">
        <v>245177.57</v>
      </c>
      <c r="AR914" s="37">
        <v>2341883.62</v>
      </c>
      <c r="AS914" s="37">
        <v>1552440</v>
      </c>
      <c r="AT914" s="37">
        <v>0</v>
      </c>
      <c r="AU914" s="37">
        <v>0</v>
      </c>
      <c r="AV914" s="37">
        <v>0</v>
      </c>
      <c r="AW914" s="37">
        <v>0</v>
      </c>
      <c r="AX914" s="37">
        <v>0</v>
      </c>
      <c r="AY914" s="37">
        <v>0</v>
      </c>
      <c r="AZ914" s="37">
        <v>0</v>
      </c>
      <c r="BA914" s="37">
        <v>0</v>
      </c>
      <c r="BB914" s="37">
        <v>0</v>
      </c>
      <c r="BC914" s="37">
        <v>0</v>
      </c>
      <c r="BD914" s="37">
        <v>0</v>
      </c>
      <c r="BE914" s="37">
        <v>21401</v>
      </c>
      <c r="BF914" s="37">
        <v>0</v>
      </c>
      <c r="BG914" s="37">
        <v>701648</v>
      </c>
      <c r="BH914" s="37">
        <v>0</v>
      </c>
      <c r="BI914" s="37">
        <v>0</v>
      </c>
      <c r="BJ914" s="37">
        <v>0</v>
      </c>
      <c r="BK914" s="37">
        <v>0</v>
      </c>
      <c r="BL914" s="37">
        <v>0</v>
      </c>
      <c r="BM914" s="37">
        <v>0</v>
      </c>
      <c r="BN914" s="37">
        <v>0</v>
      </c>
      <c r="BO914" s="37">
        <v>0</v>
      </c>
      <c r="BP914" s="37">
        <v>701648</v>
      </c>
      <c r="BQ914" s="37">
        <v>0</v>
      </c>
      <c r="BR914" s="37">
        <v>0</v>
      </c>
      <c r="BS914" s="37">
        <v>175414</v>
      </c>
      <c r="BT914" s="37">
        <v>0</v>
      </c>
      <c r="BU914" s="37">
        <v>0</v>
      </c>
      <c r="BV914" s="37">
        <v>0</v>
      </c>
      <c r="BW914" s="37">
        <v>0</v>
      </c>
      <c r="BX914" s="37">
        <v>0</v>
      </c>
      <c r="BY914" s="37">
        <v>0</v>
      </c>
      <c r="BZ914" s="37">
        <v>0</v>
      </c>
      <c r="CA914" s="37">
        <v>0</v>
      </c>
      <c r="CB914" s="37">
        <v>175414</v>
      </c>
      <c r="CC914" s="37">
        <v>0</v>
      </c>
      <c r="CD914" s="37">
        <v>0</v>
      </c>
      <c r="CE914" s="37">
        <v>0</v>
      </c>
      <c r="CF914" s="37">
        <v>0</v>
      </c>
      <c r="CG914" s="37">
        <v>0</v>
      </c>
      <c r="CH914" s="37">
        <v>0</v>
      </c>
      <c r="CI914" s="37">
        <v>0</v>
      </c>
      <c r="CJ914" s="37">
        <v>0</v>
      </c>
      <c r="CK914" s="37">
        <v>0</v>
      </c>
      <c r="CL914" s="37">
        <v>0</v>
      </c>
      <c r="CM914" s="37">
        <v>0</v>
      </c>
      <c r="CN914" s="37">
        <v>0</v>
      </c>
      <c r="CO914" s="37">
        <v>0</v>
      </c>
      <c r="CP914" s="37">
        <v>0</v>
      </c>
      <c r="CQ914" s="37">
        <v>0</v>
      </c>
      <c r="CR914" s="37">
        <v>0</v>
      </c>
      <c r="CS914" s="37">
        <v>0</v>
      </c>
      <c r="CT914" s="37">
        <v>0</v>
      </c>
      <c r="CU914" s="37">
        <v>0</v>
      </c>
      <c r="CV914" s="37">
        <v>0</v>
      </c>
      <c r="CW914" s="37">
        <v>0</v>
      </c>
      <c r="CX914" s="37">
        <v>0</v>
      </c>
      <c r="CY914" s="37">
        <v>0</v>
      </c>
      <c r="CZ914" s="37">
        <v>0</v>
      </c>
      <c r="DA914" s="37">
        <v>0</v>
      </c>
      <c r="DB914" s="37">
        <v>0</v>
      </c>
      <c r="DC914" s="37">
        <v>0</v>
      </c>
      <c r="DD914" s="37">
        <v>0</v>
      </c>
      <c r="DE914" s="37">
        <v>0</v>
      </c>
      <c r="DF914" s="37">
        <v>0</v>
      </c>
      <c r="DG914" s="37">
        <v>0</v>
      </c>
      <c r="DH914" s="37">
        <v>0</v>
      </c>
      <c r="DI914" s="37">
        <v>0</v>
      </c>
      <c r="DJ914" s="37">
        <v>0</v>
      </c>
      <c r="DK914" s="37">
        <v>0</v>
      </c>
      <c r="DL914" s="37">
        <v>0</v>
      </c>
      <c r="DM914" s="37">
        <v>0</v>
      </c>
      <c r="DN914" s="37">
        <v>0</v>
      </c>
      <c r="DO914" s="37">
        <v>0</v>
      </c>
      <c r="DP914" s="37">
        <v>0</v>
      </c>
      <c r="DQ914" s="37">
        <v>0</v>
      </c>
      <c r="DR914" s="37">
        <v>0</v>
      </c>
      <c r="DS914" s="37">
        <v>0</v>
      </c>
      <c r="DT914" s="37">
        <v>0</v>
      </c>
      <c r="DU914" s="37">
        <v>0</v>
      </c>
      <c r="DV914" s="37">
        <v>0</v>
      </c>
      <c r="DW914" s="37">
        <v>0</v>
      </c>
      <c r="DX914" s="37">
        <v>0</v>
      </c>
      <c r="DY914" s="37">
        <v>0</v>
      </c>
      <c r="DZ914" s="37">
        <v>0</v>
      </c>
      <c r="EA914" s="37">
        <v>0</v>
      </c>
      <c r="EB914" s="37">
        <v>0</v>
      </c>
      <c r="EC914" s="37">
        <v>0</v>
      </c>
      <c r="ED914" s="37">
        <v>0</v>
      </c>
      <c r="EE914" s="37">
        <v>0</v>
      </c>
      <c r="EF914" s="37">
        <v>0</v>
      </c>
      <c r="EG914" s="37">
        <v>0</v>
      </c>
      <c r="EH914" s="37">
        <v>0</v>
      </c>
      <c r="EI914" s="37">
        <v>0</v>
      </c>
      <c r="EJ914" s="37">
        <v>0</v>
      </c>
      <c r="EK914" s="161" t="s">
        <v>3268</v>
      </c>
      <c r="EL914" s="294" t="s">
        <v>1124</v>
      </c>
    </row>
    <row r="915" spans="1:142" ht="15" customHeight="1" x14ac:dyDescent="0.35">
      <c r="A915" s="34"/>
      <c r="B915" s="313">
        <v>11025</v>
      </c>
      <c r="C915" s="8" t="s">
        <v>21</v>
      </c>
      <c r="D915" s="18">
        <v>1</v>
      </c>
      <c r="E915" s="155"/>
      <c r="F915" s="36"/>
      <c r="G915" s="37"/>
      <c r="H915" s="37"/>
      <c r="I915" s="37"/>
      <c r="J915" s="37"/>
      <c r="K915" s="37"/>
      <c r="L915" s="37"/>
      <c r="M915" s="37" t="s">
        <v>1124</v>
      </c>
      <c r="N915" s="37" t="s">
        <v>1124</v>
      </c>
      <c r="O915" s="37"/>
      <c r="P915" s="37"/>
      <c r="Q915" s="37"/>
      <c r="R915" s="37"/>
      <c r="S915" s="37"/>
      <c r="T915" s="37"/>
      <c r="U915" s="37"/>
      <c r="V915" s="37"/>
      <c r="W915" s="37"/>
      <c r="X915" s="37"/>
      <c r="Y915" s="37"/>
      <c r="Z915" s="37"/>
      <c r="AA915" s="37" t="s">
        <v>1124</v>
      </c>
      <c r="AB915" s="37" t="s">
        <v>1124</v>
      </c>
      <c r="AC915" s="37"/>
      <c r="AD915" s="37"/>
      <c r="AE915" s="37"/>
      <c r="AF915" s="168"/>
      <c r="AG915" s="37"/>
      <c r="AH915" s="37"/>
      <c r="AI915" s="37"/>
      <c r="AJ915" s="37"/>
      <c r="AK915" s="37"/>
      <c r="AL915" s="37"/>
      <c r="AM915" s="37"/>
      <c r="AN915" s="37"/>
      <c r="AO915" s="37"/>
      <c r="AP915" s="37"/>
      <c r="AQ915" s="37"/>
      <c r="AR915" s="37" t="s">
        <v>1124</v>
      </c>
      <c r="AS915" s="37"/>
      <c r="AT915" s="37"/>
      <c r="AU915" s="37"/>
      <c r="AV915" s="37"/>
      <c r="AW915" s="37"/>
      <c r="AX915" s="37"/>
      <c r="AY915" s="37"/>
      <c r="AZ915" s="37"/>
      <c r="BA915" s="37"/>
      <c r="BB915" s="37"/>
      <c r="BC915" s="37"/>
      <c r="BD915" s="37" t="s">
        <v>1124</v>
      </c>
      <c r="BE915" s="37"/>
      <c r="BF915" s="37"/>
      <c r="BG915" s="37"/>
      <c r="BH915" s="37"/>
      <c r="BI915" s="37"/>
      <c r="BJ915" s="37"/>
      <c r="BK915" s="37"/>
      <c r="BL915" s="37"/>
      <c r="BM915" s="37"/>
      <c r="BN915" s="37"/>
      <c r="BO915" s="37"/>
      <c r="BP915" s="37">
        <v>0</v>
      </c>
      <c r="BQ915" s="37"/>
      <c r="BR915" s="37"/>
      <c r="BS915" s="37"/>
      <c r="BT915" s="37"/>
      <c r="BU915" s="37"/>
      <c r="BV915" s="37"/>
      <c r="BW915" s="37"/>
      <c r="BX915" s="37"/>
      <c r="BY915" s="37"/>
      <c r="BZ915" s="37"/>
      <c r="CA915" s="37"/>
      <c r="CB915" s="37" t="s">
        <v>1124</v>
      </c>
      <c r="CC915" s="37"/>
      <c r="CD915" s="37"/>
      <c r="CE915" s="37"/>
      <c r="CF915" s="37"/>
      <c r="CG915" s="37"/>
      <c r="CH915" s="37"/>
      <c r="CI915" s="37"/>
      <c r="CJ915" s="37"/>
      <c r="CK915" s="37"/>
      <c r="CL915" s="37"/>
      <c r="CM915" s="37"/>
      <c r="CN915" s="37" t="s">
        <v>1124</v>
      </c>
      <c r="CO915" s="37"/>
      <c r="CP915" s="37"/>
      <c r="CQ915" s="37"/>
      <c r="CR915" s="37"/>
      <c r="CS915" s="37"/>
      <c r="CT915" s="37"/>
      <c r="CU915" s="37"/>
      <c r="CV915" s="37"/>
      <c r="CW915" s="37"/>
      <c r="CX915" s="37"/>
      <c r="CY915" s="37"/>
      <c r="CZ915" s="37" t="s">
        <v>1124</v>
      </c>
      <c r="DA915" s="37"/>
      <c r="DB915" s="37"/>
      <c r="DC915" s="37"/>
      <c r="DD915" s="37"/>
      <c r="DE915" s="37"/>
      <c r="DF915" s="37"/>
      <c r="DG915" s="37"/>
      <c r="DH915" s="37"/>
      <c r="DI915" s="37"/>
      <c r="DJ915" s="37"/>
      <c r="DK915" s="37"/>
      <c r="DL915" s="37" t="s">
        <v>1124</v>
      </c>
      <c r="DM915" s="37"/>
      <c r="DN915" s="37"/>
      <c r="DO915" s="37"/>
      <c r="DP915" s="37"/>
      <c r="DQ915" s="37"/>
      <c r="DR915" s="37"/>
      <c r="DS915" s="37"/>
      <c r="DT915" s="37"/>
      <c r="DU915" s="37"/>
      <c r="DV915" s="37"/>
      <c r="DW915" s="37"/>
      <c r="DX915" s="37" t="s">
        <v>1124</v>
      </c>
      <c r="DY915" s="37"/>
      <c r="DZ915" s="37"/>
      <c r="EA915" s="37"/>
      <c r="EB915" s="37"/>
      <c r="EC915" s="37"/>
      <c r="ED915" s="37"/>
      <c r="EE915" s="37"/>
      <c r="EF915" s="37"/>
      <c r="EG915" s="37"/>
      <c r="EH915" s="37"/>
      <c r="EI915" s="37"/>
      <c r="EJ915" s="37" t="s">
        <v>1124</v>
      </c>
      <c r="EK915" s="161"/>
      <c r="EL915" s="294"/>
    </row>
    <row r="916" spans="1:142" ht="15" customHeight="1" x14ac:dyDescent="0.35">
      <c r="A916" s="34"/>
      <c r="B916" s="313">
        <v>68050</v>
      </c>
      <c r="C916" s="8" t="s">
        <v>682</v>
      </c>
      <c r="D916" s="18">
        <v>16</v>
      </c>
      <c r="E916" s="155"/>
      <c r="F916" s="36"/>
      <c r="G916" s="37"/>
      <c r="H916" s="37"/>
      <c r="I916" s="37"/>
      <c r="J916" s="37"/>
      <c r="K916" s="37"/>
      <c r="L916" s="37"/>
      <c r="M916" s="37" t="s">
        <v>1124</v>
      </c>
      <c r="N916" s="37" t="s">
        <v>1124</v>
      </c>
      <c r="O916" s="37"/>
      <c r="P916" s="37"/>
      <c r="Q916" s="37"/>
      <c r="R916" s="37"/>
      <c r="S916" s="37"/>
      <c r="T916" s="37"/>
      <c r="U916" s="37"/>
      <c r="V916" s="37"/>
      <c r="W916" s="37"/>
      <c r="X916" s="37"/>
      <c r="Y916" s="37"/>
      <c r="Z916" s="37"/>
      <c r="AA916" s="37" t="s">
        <v>1124</v>
      </c>
      <c r="AB916" s="37" t="s">
        <v>1124</v>
      </c>
      <c r="AC916" s="37"/>
      <c r="AD916" s="37"/>
      <c r="AE916" s="37"/>
      <c r="AF916" s="168"/>
      <c r="AG916" s="37"/>
      <c r="AH916" s="37"/>
      <c r="AI916" s="37"/>
      <c r="AJ916" s="37"/>
      <c r="AK916" s="37"/>
      <c r="AL916" s="37"/>
      <c r="AM916" s="37"/>
      <c r="AN916" s="37"/>
      <c r="AO916" s="37"/>
      <c r="AP916" s="37"/>
      <c r="AQ916" s="37"/>
      <c r="AR916" s="37" t="s">
        <v>1124</v>
      </c>
      <c r="AS916" s="37"/>
      <c r="AT916" s="37"/>
      <c r="AU916" s="37"/>
      <c r="AV916" s="37"/>
      <c r="AW916" s="37"/>
      <c r="AX916" s="37"/>
      <c r="AY916" s="37"/>
      <c r="AZ916" s="37"/>
      <c r="BA916" s="37"/>
      <c r="BB916" s="37"/>
      <c r="BC916" s="37"/>
      <c r="BD916" s="37" t="s">
        <v>1124</v>
      </c>
      <c r="BE916" s="37"/>
      <c r="BF916" s="37"/>
      <c r="BG916" s="37"/>
      <c r="BH916" s="37"/>
      <c r="BI916" s="37"/>
      <c r="BJ916" s="37"/>
      <c r="BK916" s="37"/>
      <c r="BL916" s="37"/>
      <c r="BM916" s="37"/>
      <c r="BN916" s="37"/>
      <c r="BO916" s="37"/>
      <c r="BP916" s="37">
        <v>0</v>
      </c>
      <c r="BQ916" s="37"/>
      <c r="BR916" s="37"/>
      <c r="BS916" s="37"/>
      <c r="BT916" s="37"/>
      <c r="BU916" s="37"/>
      <c r="BV916" s="37"/>
      <c r="BW916" s="37"/>
      <c r="BX916" s="37"/>
      <c r="BY916" s="37"/>
      <c r="BZ916" s="37"/>
      <c r="CA916" s="37"/>
      <c r="CB916" s="37" t="s">
        <v>1124</v>
      </c>
      <c r="CC916" s="37"/>
      <c r="CD916" s="37"/>
      <c r="CE916" s="37"/>
      <c r="CF916" s="37"/>
      <c r="CG916" s="37"/>
      <c r="CH916" s="37"/>
      <c r="CI916" s="37"/>
      <c r="CJ916" s="37"/>
      <c r="CK916" s="37"/>
      <c r="CL916" s="37"/>
      <c r="CM916" s="37"/>
      <c r="CN916" s="37" t="s">
        <v>1124</v>
      </c>
      <c r="CO916" s="37"/>
      <c r="CP916" s="37"/>
      <c r="CQ916" s="37"/>
      <c r="CR916" s="37"/>
      <c r="CS916" s="37"/>
      <c r="CT916" s="37"/>
      <c r="CU916" s="37"/>
      <c r="CV916" s="37"/>
      <c r="CW916" s="37"/>
      <c r="CX916" s="37"/>
      <c r="CY916" s="37"/>
      <c r="CZ916" s="37" t="s">
        <v>1124</v>
      </c>
      <c r="DA916" s="37"/>
      <c r="DB916" s="37"/>
      <c r="DC916" s="37"/>
      <c r="DD916" s="37"/>
      <c r="DE916" s="37"/>
      <c r="DF916" s="37"/>
      <c r="DG916" s="37"/>
      <c r="DH916" s="37"/>
      <c r="DI916" s="37"/>
      <c r="DJ916" s="37"/>
      <c r="DK916" s="37"/>
      <c r="DL916" s="37" t="s">
        <v>1124</v>
      </c>
      <c r="DM916" s="37"/>
      <c r="DN916" s="37"/>
      <c r="DO916" s="37"/>
      <c r="DP916" s="37"/>
      <c r="DQ916" s="37"/>
      <c r="DR916" s="37"/>
      <c r="DS916" s="37"/>
      <c r="DT916" s="37"/>
      <c r="DU916" s="37"/>
      <c r="DV916" s="37"/>
      <c r="DW916" s="37"/>
      <c r="DX916" s="37" t="s">
        <v>1124</v>
      </c>
      <c r="DY916" s="37"/>
      <c r="DZ916" s="37"/>
      <c r="EA916" s="37"/>
      <c r="EB916" s="37"/>
      <c r="EC916" s="37"/>
      <c r="ED916" s="37"/>
      <c r="EE916" s="37"/>
      <c r="EF916" s="37"/>
      <c r="EG916" s="37"/>
      <c r="EH916" s="37"/>
      <c r="EI916" s="37"/>
      <c r="EJ916" s="37" t="s">
        <v>1124</v>
      </c>
      <c r="EK916" s="161"/>
      <c r="EL916" s="294"/>
    </row>
    <row r="917" spans="1:142" ht="15" customHeight="1" x14ac:dyDescent="0.35">
      <c r="A917" s="34"/>
      <c r="B917" s="313">
        <v>19110</v>
      </c>
      <c r="C917" s="8" t="s">
        <v>136</v>
      </c>
      <c r="D917" s="18">
        <v>12</v>
      </c>
      <c r="E917" s="155">
        <v>240442</v>
      </c>
      <c r="F917" s="36">
        <v>95673</v>
      </c>
      <c r="G917" s="37">
        <v>37038</v>
      </c>
      <c r="H917" s="37">
        <v>0</v>
      </c>
      <c r="I917" s="37">
        <v>252320</v>
      </c>
      <c r="J917" s="37">
        <v>0</v>
      </c>
      <c r="K917" s="37">
        <v>36066.299999999996</v>
      </c>
      <c r="L917" s="37">
        <v>14350.949999999999</v>
      </c>
      <c r="M917" s="37">
        <v>565866.30000000005</v>
      </c>
      <c r="N917" s="37">
        <v>110023.95</v>
      </c>
      <c r="O917" s="37">
        <v>0</v>
      </c>
      <c r="P917" s="37">
        <v>0</v>
      </c>
      <c r="Q917" s="37">
        <v>383100</v>
      </c>
      <c r="R917" s="37">
        <v>196333</v>
      </c>
      <c r="S917" s="37">
        <v>2760</v>
      </c>
      <c r="T917" s="37">
        <v>0</v>
      </c>
      <c r="U917" s="37">
        <v>0</v>
      </c>
      <c r="V917" s="37">
        <v>0</v>
      </c>
      <c r="W917" s="37">
        <v>46848.625</v>
      </c>
      <c r="X917" s="37">
        <v>46848.625</v>
      </c>
      <c r="Y917" s="37">
        <v>0</v>
      </c>
      <c r="Z917" s="37">
        <v>0</v>
      </c>
      <c r="AA917" s="37">
        <v>432708.625</v>
      </c>
      <c r="AB917" s="37">
        <v>243181.625</v>
      </c>
      <c r="AC917" s="37">
        <v>0</v>
      </c>
      <c r="AD917" s="37">
        <v>0</v>
      </c>
      <c r="AE917" s="37">
        <v>0</v>
      </c>
      <c r="AF917" s="168">
        <v>0.02</v>
      </c>
      <c r="AG917" s="37">
        <v>15486981.199999999</v>
      </c>
      <c r="AH917" s="37">
        <v>210954.18</v>
      </c>
      <c r="AI917" s="37">
        <v>136509.66</v>
      </c>
      <c r="AJ917" s="37">
        <v>139239.85999999999</v>
      </c>
      <c r="AK917" s="37">
        <v>142024.65</v>
      </c>
      <c r="AL917" s="37">
        <v>144865.15</v>
      </c>
      <c r="AM917" s="37">
        <v>147762.45000000001</v>
      </c>
      <c r="AN917" s="37">
        <v>150717.70000000001</v>
      </c>
      <c r="AO917" s="37">
        <v>153732.04999999999</v>
      </c>
      <c r="AP917" s="37">
        <v>156806.69</v>
      </c>
      <c r="AQ917" s="37">
        <v>159942.82999999999</v>
      </c>
      <c r="AR917" s="37">
        <v>1542555.2199999997</v>
      </c>
      <c r="AS917" s="37">
        <v>0</v>
      </c>
      <c r="AT917" s="37">
        <v>0</v>
      </c>
      <c r="AU917" s="37">
        <v>0</v>
      </c>
      <c r="AV917" s="37">
        <v>0</v>
      </c>
      <c r="AW917" s="37">
        <v>0</v>
      </c>
      <c r="AX917" s="37">
        <v>0</v>
      </c>
      <c r="AY917" s="37">
        <v>0</v>
      </c>
      <c r="AZ917" s="37">
        <v>0</v>
      </c>
      <c r="BA917" s="37">
        <v>0</v>
      </c>
      <c r="BB917" s="37">
        <v>0</v>
      </c>
      <c r="BC917" s="37">
        <v>0</v>
      </c>
      <c r="BD917" s="37">
        <v>0</v>
      </c>
      <c r="BE917" s="37">
        <v>29931.360000000001</v>
      </c>
      <c r="BF917" s="37">
        <v>0</v>
      </c>
      <c r="BG917" s="37">
        <v>0</v>
      </c>
      <c r="BH917" s="37">
        <v>0</v>
      </c>
      <c r="BI917" s="37">
        <v>0</v>
      </c>
      <c r="BJ917" s="37">
        <v>0</v>
      </c>
      <c r="BK917" s="37">
        <v>0</v>
      </c>
      <c r="BL917" s="37">
        <v>0</v>
      </c>
      <c r="BM917" s="37">
        <v>0</v>
      </c>
      <c r="BN917" s="37">
        <v>0</v>
      </c>
      <c r="BO917" s="37">
        <v>0</v>
      </c>
      <c r="BP917" s="37">
        <v>0</v>
      </c>
      <c r="BQ917" s="37">
        <v>0</v>
      </c>
      <c r="BR917" s="37">
        <v>0</v>
      </c>
      <c r="BS917" s="37">
        <v>0</v>
      </c>
      <c r="BT917" s="37">
        <v>0</v>
      </c>
      <c r="BU917" s="37">
        <v>0</v>
      </c>
      <c r="BV917" s="37">
        <v>0</v>
      </c>
      <c r="BW917" s="37">
        <v>0</v>
      </c>
      <c r="BX917" s="37">
        <v>0</v>
      </c>
      <c r="BY917" s="37">
        <v>0</v>
      </c>
      <c r="BZ917" s="37">
        <v>0</v>
      </c>
      <c r="CA917" s="37">
        <v>0</v>
      </c>
      <c r="CB917" s="37">
        <v>0</v>
      </c>
      <c r="CC917" s="37">
        <v>0</v>
      </c>
      <c r="CD917" s="37">
        <v>0</v>
      </c>
      <c r="CE917" s="37">
        <v>0</v>
      </c>
      <c r="CF917" s="37">
        <v>0</v>
      </c>
      <c r="CG917" s="37">
        <v>0</v>
      </c>
      <c r="CH917" s="37">
        <v>0</v>
      </c>
      <c r="CI917" s="37">
        <v>0</v>
      </c>
      <c r="CJ917" s="37">
        <v>0</v>
      </c>
      <c r="CK917" s="37">
        <v>0</v>
      </c>
      <c r="CL917" s="37">
        <v>0</v>
      </c>
      <c r="CM917" s="37">
        <v>0</v>
      </c>
      <c r="CN917" s="37">
        <v>0</v>
      </c>
      <c r="CO917" s="37">
        <v>0</v>
      </c>
      <c r="CP917" s="37">
        <v>0</v>
      </c>
      <c r="CQ917" s="37">
        <v>0</v>
      </c>
      <c r="CR917" s="37">
        <v>0</v>
      </c>
      <c r="CS917" s="37">
        <v>0</v>
      </c>
      <c r="CT917" s="37">
        <v>0</v>
      </c>
      <c r="CU917" s="37">
        <v>0</v>
      </c>
      <c r="CV917" s="37">
        <v>0</v>
      </c>
      <c r="CW917" s="37">
        <v>0</v>
      </c>
      <c r="CX917" s="37">
        <v>0</v>
      </c>
      <c r="CY917" s="37">
        <v>0</v>
      </c>
      <c r="CZ917" s="37">
        <v>0</v>
      </c>
      <c r="DA917" s="37">
        <v>0</v>
      </c>
      <c r="DB917" s="37">
        <v>0</v>
      </c>
      <c r="DC917" s="37">
        <v>0</v>
      </c>
      <c r="DD917" s="37">
        <v>0</v>
      </c>
      <c r="DE917" s="37">
        <v>0</v>
      </c>
      <c r="DF917" s="37">
        <v>0</v>
      </c>
      <c r="DG917" s="37">
        <v>0</v>
      </c>
      <c r="DH917" s="37">
        <v>0</v>
      </c>
      <c r="DI917" s="37">
        <v>0</v>
      </c>
      <c r="DJ917" s="37">
        <v>0</v>
      </c>
      <c r="DK917" s="37">
        <v>0</v>
      </c>
      <c r="DL917" s="37">
        <v>0</v>
      </c>
      <c r="DM917" s="37">
        <v>0</v>
      </c>
      <c r="DN917" s="37">
        <v>0</v>
      </c>
      <c r="DO917" s="37">
        <v>0</v>
      </c>
      <c r="DP917" s="37">
        <v>0</v>
      </c>
      <c r="DQ917" s="37">
        <v>0</v>
      </c>
      <c r="DR917" s="37">
        <v>0</v>
      </c>
      <c r="DS917" s="37">
        <v>0</v>
      </c>
      <c r="DT917" s="37">
        <v>0</v>
      </c>
      <c r="DU917" s="37">
        <v>0</v>
      </c>
      <c r="DV917" s="37">
        <v>0</v>
      </c>
      <c r="DW917" s="37">
        <v>0</v>
      </c>
      <c r="DX917" s="37">
        <v>0</v>
      </c>
      <c r="DY917" s="37">
        <v>0</v>
      </c>
      <c r="DZ917" s="37">
        <v>0</v>
      </c>
      <c r="EA917" s="37">
        <v>0</v>
      </c>
      <c r="EB917" s="37">
        <v>0</v>
      </c>
      <c r="EC917" s="37">
        <v>0</v>
      </c>
      <c r="ED917" s="37">
        <v>0</v>
      </c>
      <c r="EE917" s="37">
        <v>0</v>
      </c>
      <c r="EF917" s="37">
        <v>0</v>
      </c>
      <c r="EG917" s="37">
        <v>0</v>
      </c>
      <c r="EH917" s="37">
        <v>0</v>
      </c>
      <c r="EI917" s="37">
        <v>0</v>
      </c>
      <c r="EJ917" s="37">
        <v>0</v>
      </c>
      <c r="EK917" s="161" t="s">
        <v>3271</v>
      </c>
      <c r="EL917" s="294" t="s">
        <v>1124</v>
      </c>
    </row>
    <row r="918" spans="1:142" ht="15" customHeight="1" x14ac:dyDescent="0.35">
      <c r="A918" s="34"/>
      <c r="B918" s="313">
        <v>62085</v>
      </c>
      <c r="C918" s="8" t="s">
        <v>633</v>
      </c>
      <c r="D918" s="18">
        <v>14</v>
      </c>
      <c r="E918" s="155">
        <v>291169</v>
      </c>
      <c r="F918" s="36">
        <v>119397</v>
      </c>
      <c r="G918" s="37">
        <v>13115</v>
      </c>
      <c r="H918" s="37">
        <v>0</v>
      </c>
      <c r="I918" s="37">
        <v>96800</v>
      </c>
      <c r="J918" s="37">
        <v>0</v>
      </c>
      <c r="K918" s="37">
        <v>43675.35</v>
      </c>
      <c r="L918" s="37">
        <v>17909.55</v>
      </c>
      <c r="M918" s="37">
        <v>444759.35</v>
      </c>
      <c r="N918" s="37">
        <v>137306.54999999999</v>
      </c>
      <c r="O918" s="37">
        <v>0</v>
      </c>
      <c r="P918" s="37">
        <v>0</v>
      </c>
      <c r="Q918" s="37">
        <v>268870</v>
      </c>
      <c r="R918" s="37">
        <v>170937</v>
      </c>
      <c r="S918" s="37">
        <v>0</v>
      </c>
      <c r="T918" s="37">
        <v>0</v>
      </c>
      <c r="U918" s="37">
        <v>7999</v>
      </c>
      <c r="V918" s="37">
        <v>0</v>
      </c>
      <c r="W918" s="37">
        <v>134260</v>
      </c>
      <c r="X918" s="37">
        <v>0</v>
      </c>
      <c r="Y918" s="37">
        <v>0</v>
      </c>
      <c r="Z918" s="37">
        <v>0</v>
      </c>
      <c r="AA918" s="37">
        <v>411129</v>
      </c>
      <c r="AB918" s="37">
        <v>170937</v>
      </c>
      <c r="AC918" s="37">
        <v>0.10000000009313226</v>
      </c>
      <c r="AD918" s="37">
        <v>0</v>
      </c>
      <c r="AE918" s="37">
        <v>0</v>
      </c>
      <c r="AF918" s="168">
        <v>0.02</v>
      </c>
      <c r="AG918" s="37">
        <v>11032148.15</v>
      </c>
      <c r="AH918" s="37">
        <v>72565.45</v>
      </c>
      <c r="AI918" s="37">
        <v>60751.66</v>
      </c>
      <c r="AJ918" s="37">
        <v>61966.69</v>
      </c>
      <c r="AK918" s="37">
        <v>63206.03</v>
      </c>
      <c r="AL918" s="37">
        <v>64470.15</v>
      </c>
      <c r="AM918" s="37">
        <v>65759.55</v>
      </c>
      <c r="AN918" s="37">
        <v>67074.740000000005</v>
      </c>
      <c r="AO918" s="37">
        <v>65855.320000000007</v>
      </c>
      <c r="AP918" s="37">
        <v>67172.429999999993</v>
      </c>
      <c r="AQ918" s="37">
        <v>68515.88</v>
      </c>
      <c r="AR918" s="37">
        <v>657337.89999999991</v>
      </c>
      <c r="AS918" s="37">
        <v>589229.24</v>
      </c>
      <c r="AT918" s="37">
        <v>316671.53000000003</v>
      </c>
      <c r="AU918" s="37">
        <v>634063.75</v>
      </c>
      <c r="AV918" s="37">
        <v>2661957.7999999998</v>
      </c>
      <c r="AW918" s="37">
        <v>2606953.7400000002</v>
      </c>
      <c r="AX918" s="37">
        <v>8848.42</v>
      </c>
      <c r="AY918" s="37">
        <v>9025.39</v>
      </c>
      <c r="AZ918" s="37">
        <v>3347.6</v>
      </c>
      <c r="BA918" s="37">
        <v>0</v>
      </c>
      <c r="BB918" s="37">
        <v>0</v>
      </c>
      <c r="BC918" s="37">
        <v>0</v>
      </c>
      <c r="BD918" s="37">
        <v>6240868.2300000004</v>
      </c>
      <c r="BE918" s="37">
        <v>0</v>
      </c>
      <c r="BF918" s="37">
        <v>0</v>
      </c>
      <c r="BG918" s="37">
        <v>0</v>
      </c>
      <c r="BH918" s="37">
        <v>0</v>
      </c>
      <c r="BI918" s="37">
        <v>0</v>
      </c>
      <c r="BJ918" s="37">
        <v>0</v>
      </c>
      <c r="BK918" s="37">
        <v>0</v>
      </c>
      <c r="BL918" s="37">
        <v>0</v>
      </c>
      <c r="BM918" s="37">
        <v>0</v>
      </c>
      <c r="BN918" s="37">
        <v>0</v>
      </c>
      <c r="BO918" s="37">
        <v>0</v>
      </c>
      <c r="BP918" s="37">
        <v>0</v>
      </c>
      <c r="BQ918" s="37">
        <v>0</v>
      </c>
      <c r="BR918" s="37">
        <v>0</v>
      </c>
      <c r="BS918" s="37">
        <v>0</v>
      </c>
      <c r="BT918" s="37">
        <v>0</v>
      </c>
      <c r="BU918" s="37">
        <v>0</v>
      </c>
      <c r="BV918" s="37">
        <v>0</v>
      </c>
      <c r="BW918" s="37">
        <v>0</v>
      </c>
      <c r="BX918" s="37">
        <v>0</v>
      </c>
      <c r="BY918" s="37">
        <v>0</v>
      </c>
      <c r="BZ918" s="37">
        <v>0</v>
      </c>
      <c r="CA918" s="37">
        <v>0</v>
      </c>
      <c r="CB918" s="37">
        <v>0</v>
      </c>
      <c r="CC918" s="37">
        <v>0</v>
      </c>
      <c r="CD918" s="37">
        <v>59262</v>
      </c>
      <c r="CE918" s="37">
        <v>0</v>
      </c>
      <c r="CF918" s="37">
        <v>0</v>
      </c>
      <c r="CG918" s="37">
        <v>0</v>
      </c>
      <c r="CH918" s="37">
        <v>0</v>
      </c>
      <c r="CI918" s="37">
        <v>0</v>
      </c>
      <c r="CJ918" s="37">
        <v>15300</v>
      </c>
      <c r="CK918" s="37">
        <v>0</v>
      </c>
      <c r="CL918" s="37">
        <v>0</v>
      </c>
      <c r="CM918" s="37">
        <v>0</v>
      </c>
      <c r="CN918" s="37">
        <v>74562</v>
      </c>
      <c r="CO918" s="37">
        <v>0</v>
      </c>
      <c r="CP918" s="37">
        <v>0</v>
      </c>
      <c r="CQ918" s="37">
        <v>0</v>
      </c>
      <c r="CR918" s="37">
        <v>0</v>
      </c>
      <c r="CS918" s="37">
        <v>0</v>
      </c>
      <c r="CT918" s="37">
        <v>0</v>
      </c>
      <c r="CU918" s="37">
        <v>0</v>
      </c>
      <c r="CV918" s="37">
        <v>0</v>
      </c>
      <c r="CW918" s="37">
        <v>0</v>
      </c>
      <c r="CX918" s="37">
        <v>0</v>
      </c>
      <c r="CY918" s="37">
        <v>0</v>
      </c>
      <c r="CZ918" s="37">
        <v>0</v>
      </c>
      <c r="DA918" s="37">
        <v>0</v>
      </c>
      <c r="DB918" s="37">
        <v>300000</v>
      </c>
      <c r="DC918" s="37">
        <v>600000</v>
      </c>
      <c r="DD918" s="37">
        <v>0</v>
      </c>
      <c r="DE918" s="37">
        <v>2400000</v>
      </c>
      <c r="DF918" s="37">
        <v>0</v>
      </c>
      <c r="DG918" s="37">
        <v>0</v>
      </c>
      <c r="DH918" s="37">
        <v>0</v>
      </c>
      <c r="DI918" s="37">
        <v>0</v>
      </c>
      <c r="DJ918" s="37">
        <v>0</v>
      </c>
      <c r="DK918" s="37">
        <v>0</v>
      </c>
      <c r="DL918" s="37">
        <v>3300000</v>
      </c>
      <c r="DM918" s="37">
        <v>0</v>
      </c>
      <c r="DN918" s="37">
        <v>1020</v>
      </c>
      <c r="DO918" s="37">
        <v>2040</v>
      </c>
      <c r="DP918" s="37">
        <v>0</v>
      </c>
      <c r="DQ918" s="37">
        <v>1632</v>
      </c>
      <c r="DR918" s="37">
        <v>0</v>
      </c>
      <c r="DS918" s="37">
        <v>30600</v>
      </c>
      <c r="DT918" s="37">
        <v>20400</v>
      </c>
      <c r="DU918" s="37">
        <v>0</v>
      </c>
      <c r="DV918" s="37">
        <v>0</v>
      </c>
      <c r="DW918" s="37">
        <v>0</v>
      </c>
      <c r="DX918" s="37">
        <v>55692</v>
      </c>
      <c r="DY918" s="37">
        <v>0</v>
      </c>
      <c r="DZ918" s="37">
        <v>0</v>
      </c>
      <c r="EA918" s="37">
        <v>0</v>
      </c>
      <c r="EB918" s="37">
        <v>0</v>
      </c>
      <c r="EC918" s="37">
        <v>0</v>
      </c>
      <c r="ED918" s="37">
        <v>0</v>
      </c>
      <c r="EE918" s="37">
        <v>0</v>
      </c>
      <c r="EF918" s="37">
        <v>0</v>
      </c>
      <c r="EG918" s="37">
        <v>0</v>
      </c>
      <c r="EH918" s="37">
        <v>0</v>
      </c>
      <c r="EI918" s="37">
        <v>0</v>
      </c>
      <c r="EJ918" s="37">
        <v>0</v>
      </c>
      <c r="EK918" s="161" t="s">
        <v>1738</v>
      </c>
      <c r="EL918" s="294" t="s">
        <v>1124</v>
      </c>
    </row>
    <row r="919" spans="1:142" ht="15" customHeight="1" x14ac:dyDescent="0.35">
      <c r="A919" s="34"/>
      <c r="B919" s="313">
        <v>13065</v>
      </c>
      <c r="C919" s="8" t="s">
        <v>52</v>
      </c>
      <c r="D919" s="18">
        <v>1</v>
      </c>
      <c r="E919" s="155">
        <v>92637</v>
      </c>
      <c r="F919" s="36">
        <v>145775</v>
      </c>
      <c r="G919" s="37">
        <v>0</v>
      </c>
      <c r="H919" s="37">
        <v>8016</v>
      </c>
      <c r="I919" s="37">
        <v>0</v>
      </c>
      <c r="J919" s="37">
        <v>121622</v>
      </c>
      <c r="K919" s="37">
        <v>13895.55</v>
      </c>
      <c r="L919" s="37">
        <v>21866.25</v>
      </c>
      <c r="M919" s="37">
        <v>106532.55</v>
      </c>
      <c r="N919" s="37">
        <v>297279.25</v>
      </c>
      <c r="O919" s="37">
        <v>0</v>
      </c>
      <c r="P919" s="37">
        <v>0</v>
      </c>
      <c r="Q919" s="37">
        <v>47297</v>
      </c>
      <c r="R919" s="37">
        <v>185109</v>
      </c>
      <c r="S919" s="37">
        <v>0</v>
      </c>
      <c r="T919" s="37">
        <v>0</v>
      </c>
      <c r="U919" s="37">
        <v>0</v>
      </c>
      <c r="V919" s="37">
        <v>0</v>
      </c>
      <c r="W919" s="37">
        <v>59236</v>
      </c>
      <c r="X919" s="37">
        <v>112170</v>
      </c>
      <c r="Y919" s="37">
        <v>0</v>
      </c>
      <c r="Z919" s="37">
        <v>0</v>
      </c>
      <c r="AA919" s="37">
        <v>106533</v>
      </c>
      <c r="AB919" s="37">
        <v>297279</v>
      </c>
      <c r="AC919" s="37">
        <v>0</v>
      </c>
      <c r="AD919" s="37">
        <v>0</v>
      </c>
      <c r="AE919" s="37">
        <v>0</v>
      </c>
      <c r="AF919" s="168">
        <v>0.02</v>
      </c>
      <c r="AG919" s="37">
        <v>31531966.18</v>
      </c>
      <c r="AH919" s="37">
        <v>219334.28</v>
      </c>
      <c r="AI919" s="37">
        <v>192858.54</v>
      </c>
      <c r="AJ919" s="37">
        <v>196715.71</v>
      </c>
      <c r="AK919" s="37">
        <v>200650.03</v>
      </c>
      <c r="AL919" s="37">
        <v>204663.03</v>
      </c>
      <c r="AM919" s="37">
        <v>208756.29</v>
      </c>
      <c r="AN919" s="37">
        <v>212931.41</v>
      </c>
      <c r="AO919" s="37">
        <v>217190.04</v>
      </c>
      <c r="AP919" s="37">
        <v>221533.84</v>
      </c>
      <c r="AQ919" s="37">
        <v>225964.52</v>
      </c>
      <c r="AR919" s="37">
        <v>2100597.69</v>
      </c>
      <c r="AS919" s="37">
        <v>401000</v>
      </c>
      <c r="AT919" s="37">
        <v>768758.7</v>
      </c>
      <c r="AU919" s="37">
        <v>884340</v>
      </c>
      <c r="AV919" s="37">
        <v>0</v>
      </c>
      <c r="AW919" s="37">
        <v>0</v>
      </c>
      <c r="AX919" s="37">
        <v>0</v>
      </c>
      <c r="AY919" s="37">
        <v>0</v>
      </c>
      <c r="AZ919" s="37">
        <v>0</v>
      </c>
      <c r="BA919" s="37">
        <v>0</v>
      </c>
      <c r="BB919" s="37">
        <v>0</v>
      </c>
      <c r="BC919" s="37">
        <v>0</v>
      </c>
      <c r="BD919" s="37">
        <v>1653098.7</v>
      </c>
      <c r="BE919" s="37">
        <v>0</v>
      </c>
      <c r="BF919" s="37">
        <v>20553</v>
      </c>
      <c r="BG919" s="37">
        <v>0</v>
      </c>
      <c r="BH919" s="37">
        <v>0</v>
      </c>
      <c r="BI919" s="37">
        <v>0</v>
      </c>
      <c r="BJ919" s="37">
        <v>0</v>
      </c>
      <c r="BK919" s="37">
        <v>0</v>
      </c>
      <c r="BL919" s="37">
        <v>0</v>
      </c>
      <c r="BM919" s="37">
        <v>0</v>
      </c>
      <c r="BN919" s="37">
        <v>0</v>
      </c>
      <c r="BO919" s="37">
        <v>0</v>
      </c>
      <c r="BP919" s="37">
        <v>20553</v>
      </c>
      <c r="BQ919" s="37">
        <v>0</v>
      </c>
      <c r="BR919" s="37">
        <v>0</v>
      </c>
      <c r="BS919" s="37">
        <v>0</v>
      </c>
      <c r="BT919" s="37">
        <v>0</v>
      </c>
      <c r="BU919" s="37">
        <v>0</v>
      </c>
      <c r="BV919" s="37">
        <v>0</v>
      </c>
      <c r="BW919" s="37">
        <v>0</v>
      </c>
      <c r="BX919" s="37">
        <v>0</v>
      </c>
      <c r="BY919" s="37">
        <v>0</v>
      </c>
      <c r="BZ919" s="37">
        <v>0</v>
      </c>
      <c r="CA919" s="37">
        <v>0</v>
      </c>
      <c r="CB919" s="37">
        <v>0</v>
      </c>
      <c r="CC919" s="37">
        <v>0</v>
      </c>
      <c r="CD919" s="37">
        <v>15300</v>
      </c>
      <c r="CE919" s="37">
        <v>0</v>
      </c>
      <c r="CF919" s="37">
        <v>0</v>
      </c>
      <c r="CG919" s="37">
        <v>0</v>
      </c>
      <c r="CH919" s="37">
        <v>0</v>
      </c>
      <c r="CI919" s="37">
        <v>0</v>
      </c>
      <c r="CJ919" s="37">
        <v>0</v>
      </c>
      <c r="CK919" s="37">
        <v>0</v>
      </c>
      <c r="CL919" s="37">
        <v>0</v>
      </c>
      <c r="CM919" s="37">
        <v>0</v>
      </c>
      <c r="CN919" s="37">
        <v>15300</v>
      </c>
      <c r="CO919" s="37">
        <v>0</v>
      </c>
      <c r="CP919" s="37">
        <v>3685</v>
      </c>
      <c r="CQ919" s="37">
        <v>0</v>
      </c>
      <c r="CR919" s="37">
        <v>0</v>
      </c>
      <c r="CS919" s="37">
        <v>0</v>
      </c>
      <c r="CT919" s="37">
        <v>0</v>
      </c>
      <c r="CU919" s="37">
        <v>0</v>
      </c>
      <c r="CV919" s="37">
        <v>0</v>
      </c>
      <c r="CW919" s="37">
        <v>0</v>
      </c>
      <c r="CX919" s="37">
        <v>0</v>
      </c>
      <c r="CY919" s="37">
        <v>0</v>
      </c>
      <c r="CZ919" s="37">
        <v>3685</v>
      </c>
      <c r="DA919" s="37">
        <v>0</v>
      </c>
      <c r="DB919" s="37">
        <v>1600000</v>
      </c>
      <c r="DC919" s="37">
        <v>0</v>
      </c>
      <c r="DD919" s="37">
        <v>0</v>
      </c>
      <c r="DE919" s="37">
        <v>0</v>
      </c>
      <c r="DF919" s="37">
        <v>0</v>
      </c>
      <c r="DG919" s="37">
        <v>0</v>
      </c>
      <c r="DH919" s="37">
        <v>0</v>
      </c>
      <c r="DI919" s="37">
        <v>0</v>
      </c>
      <c r="DJ919" s="37">
        <v>0</v>
      </c>
      <c r="DK919" s="37">
        <v>0</v>
      </c>
      <c r="DL919" s="37">
        <v>1600000</v>
      </c>
      <c r="DM919" s="37">
        <v>0</v>
      </c>
      <c r="DN919" s="37">
        <v>0</v>
      </c>
      <c r="DO919" s="37">
        <v>0</v>
      </c>
      <c r="DP919" s="37">
        <v>0</v>
      </c>
      <c r="DQ919" s="37">
        <v>0</v>
      </c>
      <c r="DR919" s="37">
        <v>0</v>
      </c>
      <c r="DS919" s="37">
        <v>0</v>
      </c>
      <c r="DT919" s="37">
        <v>0</v>
      </c>
      <c r="DU919" s="37">
        <v>0</v>
      </c>
      <c r="DV919" s="37">
        <v>0</v>
      </c>
      <c r="DW919" s="37">
        <v>0</v>
      </c>
      <c r="DX919" s="37">
        <v>0</v>
      </c>
      <c r="DY919" s="37">
        <v>0</v>
      </c>
      <c r="DZ919" s="37">
        <v>0</v>
      </c>
      <c r="EA919" s="37">
        <v>0</v>
      </c>
      <c r="EB919" s="37">
        <v>0</v>
      </c>
      <c r="EC919" s="37">
        <v>0</v>
      </c>
      <c r="ED919" s="37">
        <v>0</v>
      </c>
      <c r="EE919" s="37">
        <v>0</v>
      </c>
      <c r="EF919" s="37">
        <v>0</v>
      </c>
      <c r="EG919" s="37">
        <v>0</v>
      </c>
      <c r="EH919" s="37">
        <v>0</v>
      </c>
      <c r="EI919" s="37">
        <v>0</v>
      </c>
      <c r="EJ919" s="37">
        <v>0</v>
      </c>
      <c r="EK919" s="161" t="s">
        <v>3280</v>
      </c>
      <c r="EL919" s="294" t="s">
        <v>1124</v>
      </c>
    </row>
    <row r="920" spans="1:142" ht="15" customHeight="1" x14ac:dyDescent="0.35">
      <c r="A920" s="34"/>
      <c r="B920" s="313">
        <v>12020</v>
      </c>
      <c r="C920" s="8" t="s">
        <v>31</v>
      </c>
      <c r="D920" s="18">
        <v>1</v>
      </c>
      <c r="E920" s="155">
        <v>54979</v>
      </c>
      <c r="F920" s="36">
        <v>38947</v>
      </c>
      <c r="G920" s="37">
        <v>43639</v>
      </c>
      <c r="H920" s="37">
        <v>0</v>
      </c>
      <c r="I920" s="37">
        <v>176220</v>
      </c>
      <c r="J920" s="37">
        <v>0</v>
      </c>
      <c r="K920" s="37">
        <v>8427</v>
      </c>
      <c r="L920" s="37">
        <v>5842</v>
      </c>
      <c r="M920" s="37">
        <v>283265</v>
      </c>
      <c r="N920" s="37">
        <v>44789</v>
      </c>
      <c r="O920" s="37">
        <v>27191</v>
      </c>
      <c r="P920" s="37">
        <v>0</v>
      </c>
      <c r="Q920" s="37">
        <v>47625</v>
      </c>
      <c r="R920" s="37">
        <v>34909</v>
      </c>
      <c r="S920" s="37">
        <v>0</v>
      </c>
      <c r="T920" s="37">
        <v>0</v>
      </c>
      <c r="U920" s="37">
        <v>21277</v>
      </c>
      <c r="V920" s="37">
        <v>0</v>
      </c>
      <c r="W920" s="37">
        <v>98526</v>
      </c>
      <c r="X920" s="37">
        <v>98526</v>
      </c>
      <c r="Y920" s="37">
        <v>0</v>
      </c>
      <c r="Z920" s="37">
        <v>0</v>
      </c>
      <c r="AA920" s="37">
        <v>194619</v>
      </c>
      <c r="AB920" s="37">
        <v>133435</v>
      </c>
      <c r="AC920" s="37">
        <v>0</v>
      </c>
      <c r="AD920" s="37">
        <v>0</v>
      </c>
      <c r="AE920" s="37">
        <v>0</v>
      </c>
      <c r="AF920" s="168">
        <v>0.02</v>
      </c>
      <c r="AG920" s="37">
        <v>12645265.460000001</v>
      </c>
      <c r="AH920" s="37">
        <v>110430.87</v>
      </c>
      <c r="AI920" s="37">
        <v>112639.49</v>
      </c>
      <c r="AJ920" s="37">
        <v>114892.28</v>
      </c>
      <c r="AK920" s="37">
        <v>117190.12</v>
      </c>
      <c r="AL920" s="37">
        <v>119533.93</v>
      </c>
      <c r="AM920" s="37">
        <v>121924.6</v>
      </c>
      <c r="AN920" s="37">
        <v>124363.1</v>
      </c>
      <c r="AO920" s="37">
        <v>126850.36</v>
      </c>
      <c r="AP920" s="37">
        <v>129387.37</v>
      </c>
      <c r="AQ920" s="37">
        <v>131975.10999999999</v>
      </c>
      <c r="AR920" s="37">
        <v>1209187.23</v>
      </c>
      <c r="AS920" s="37">
        <v>0</v>
      </c>
      <c r="AT920" s="37">
        <v>364140</v>
      </c>
      <c r="AU920" s="37">
        <v>371422.8</v>
      </c>
      <c r="AV920" s="37">
        <v>0</v>
      </c>
      <c r="AW920" s="37">
        <v>0</v>
      </c>
      <c r="AX920" s="37">
        <v>0</v>
      </c>
      <c r="AY920" s="37">
        <v>0</v>
      </c>
      <c r="AZ920" s="37">
        <v>0</v>
      </c>
      <c r="BA920" s="37">
        <v>0</v>
      </c>
      <c r="BB920" s="37">
        <v>0</v>
      </c>
      <c r="BC920" s="37">
        <v>0</v>
      </c>
      <c r="BD920" s="37">
        <v>735562.8</v>
      </c>
      <c r="BE920" s="37">
        <v>0</v>
      </c>
      <c r="BF920" s="37">
        <v>0</v>
      </c>
      <c r="BG920" s="37">
        <v>0</v>
      </c>
      <c r="BH920" s="37">
        <v>0</v>
      </c>
      <c r="BI920" s="37">
        <v>0</v>
      </c>
      <c r="BJ920" s="37">
        <v>0</v>
      </c>
      <c r="BK920" s="37">
        <v>0</v>
      </c>
      <c r="BL920" s="37">
        <v>0</v>
      </c>
      <c r="BM920" s="37">
        <v>0</v>
      </c>
      <c r="BN920" s="37">
        <v>0</v>
      </c>
      <c r="BO920" s="37">
        <v>0</v>
      </c>
      <c r="BP920" s="37">
        <v>0</v>
      </c>
      <c r="BQ920" s="37">
        <v>0</v>
      </c>
      <c r="BR920" s="37">
        <v>0</v>
      </c>
      <c r="BS920" s="37">
        <v>0</v>
      </c>
      <c r="BT920" s="37">
        <v>0</v>
      </c>
      <c r="BU920" s="37">
        <v>0</v>
      </c>
      <c r="BV920" s="37">
        <v>0</v>
      </c>
      <c r="BW920" s="37">
        <v>0</v>
      </c>
      <c r="BX920" s="37">
        <v>0</v>
      </c>
      <c r="BY920" s="37">
        <v>0</v>
      </c>
      <c r="BZ920" s="37">
        <v>0</v>
      </c>
      <c r="CA920" s="37">
        <v>0</v>
      </c>
      <c r="CB920" s="37">
        <v>0</v>
      </c>
      <c r="CC920" s="37">
        <v>0</v>
      </c>
      <c r="CD920" s="37">
        <v>0</v>
      </c>
      <c r="CE920" s="37">
        <v>0</v>
      </c>
      <c r="CF920" s="37">
        <v>0</v>
      </c>
      <c r="CG920" s="37">
        <v>0</v>
      </c>
      <c r="CH920" s="37">
        <v>0</v>
      </c>
      <c r="CI920" s="37">
        <v>0</v>
      </c>
      <c r="CJ920" s="37">
        <v>0</v>
      </c>
      <c r="CK920" s="37">
        <v>0</v>
      </c>
      <c r="CL920" s="37">
        <v>0</v>
      </c>
      <c r="CM920" s="37">
        <v>0</v>
      </c>
      <c r="CN920" s="37">
        <v>0</v>
      </c>
      <c r="CO920" s="37">
        <v>0</v>
      </c>
      <c r="CP920" s="37">
        <v>700000</v>
      </c>
      <c r="CQ920" s="37">
        <v>0</v>
      </c>
      <c r="CR920" s="37">
        <v>0</v>
      </c>
      <c r="CS920" s="37">
        <v>0</v>
      </c>
      <c r="CT920" s="37">
        <v>0</v>
      </c>
      <c r="CU920" s="37">
        <v>0</v>
      </c>
      <c r="CV920" s="37">
        <v>0</v>
      </c>
      <c r="CW920" s="37">
        <v>0</v>
      </c>
      <c r="CX920" s="37">
        <v>0</v>
      </c>
      <c r="CY920" s="37">
        <v>0</v>
      </c>
      <c r="CZ920" s="37">
        <v>700000</v>
      </c>
      <c r="DA920" s="37">
        <v>0</v>
      </c>
      <c r="DB920" s="37">
        <v>0</v>
      </c>
      <c r="DC920" s="37">
        <v>0</v>
      </c>
      <c r="DD920" s="37">
        <v>0</v>
      </c>
      <c r="DE920" s="37">
        <v>0</v>
      </c>
      <c r="DF920" s="37">
        <v>0</v>
      </c>
      <c r="DG920" s="37">
        <v>0</v>
      </c>
      <c r="DH920" s="37">
        <v>0</v>
      </c>
      <c r="DI920" s="37">
        <v>0</v>
      </c>
      <c r="DJ920" s="37">
        <v>0</v>
      </c>
      <c r="DK920" s="37">
        <v>0</v>
      </c>
      <c r="DL920" s="37">
        <v>0</v>
      </c>
      <c r="DM920" s="37">
        <v>0</v>
      </c>
      <c r="DN920" s="37">
        <v>0</v>
      </c>
      <c r="DO920" s="37">
        <v>0</v>
      </c>
      <c r="DP920" s="37">
        <v>0</v>
      </c>
      <c r="DQ920" s="37">
        <v>0</v>
      </c>
      <c r="DR920" s="37">
        <v>0</v>
      </c>
      <c r="DS920" s="37">
        <v>0</v>
      </c>
      <c r="DT920" s="37">
        <v>0</v>
      </c>
      <c r="DU920" s="37">
        <v>0</v>
      </c>
      <c r="DV920" s="37">
        <v>0</v>
      </c>
      <c r="DW920" s="37">
        <v>0</v>
      </c>
      <c r="DX920" s="37">
        <v>0</v>
      </c>
      <c r="DY920" s="37">
        <v>0</v>
      </c>
      <c r="DZ920" s="37">
        <v>0</v>
      </c>
      <c r="EA920" s="37">
        <v>0</v>
      </c>
      <c r="EB920" s="37">
        <v>0</v>
      </c>
      <c r="EC920" s="37">
        <v>0</v>
      </c>
      <c r="ED920" s="37">
        <v>0</v>
      </c>
      <c r="EE920" s="37">
        <v>0</v>
      </c>
      <c r="EF920" s="37">
        <v>0</v>
      </c>
      <c r="EG920" s="37">
        <v>0</v>
      </c>
      <c r="EH920" s="37">
        <v>0</v>
      </c>
      <c r="EI920" s="37">
        <v>0</v>
      </c>
      <c r="EJ920" s="37">
        <v>0</v>
      </c>
      <c r="EK920" s="161" t="s">
        <v>3284</v>
      </c>
      <c r="EL920" s="294" t="s">
        <v>1124</v>
      </c>
    </row>
    <row r="921" spans="1:142" ht="15" customHeight="1" x14ac:dyDescent="0.35">
      <c r="A921" s="34"/>
      <c r="B921" s="313">
        <v>7095</v>
      </c>
      <c r="C921" s="8" t="s">
        <v>1083</v>
      </c>
      <c r="D921" s="18">
        <v>1</v>
      </c>
      <c r="E921" s="155">
        <v>55684</v>
      </c>
      <c r="F921" s="36">
        <v>10968</v>
      </c>
      <c r="G921" s="37">
        <v>6677</v>
      </c>
      <c r="H921" s="37">
        <v>0</v>
      </c>
      <c r="I921" s="37">
        <v>18200</v>
      </c>
      <c r="J921" s="37">
        <v>0</v>
      </c>
      <c r="K921" s="37">
        <v>8352.6</v>
      </c>
      <c r="L921" s="37">
        <v>1645.2</v>
      </c>
      <c r="M921" s="37">
        <v>88913.600000000006</v>
      </c>
      <c r="N921" s="37">
        <v>12613.2</v>
      </c>
      <c r="O921" s="37">
        <v>0</v>
      </c>
      <c r="P921" s="37">
        <v>0</v>
      </c>
      <c r="Q921" s="37">
        <v>47130</v>
      </c>
      <c r="R921" s="37">
        <v>10400</v>
      </c>
      <c r="S921" s="37">
        <v>0</v>
      </c>
      <c r="T921" s="37">
        <v>0</v>
      </c>
      <c r="U921" s="37">
        <v>0</v>
      </c>
      <c r="V921" s="37">
        <v>0</v>
      </c>
      <c r="W921" s="37">
        <v>41783.600000000006</v>
      </c>
      <c r="X921" s="37">
        <v>2213.2000000000007</v>
      </c>
      <c r="Y921" s="37">
        <v>0</v>
      </c>
      <c r="Z921" s="37">
        <v>0</v>
      </c>
      <c r="AA921" s="37">
        <v>88913.600000000006</v>
      </c>
      <c r="AB921" s="37">
        <v>12613.2</v>
      </c>
      <c r="AC921" s="37">
        <v>0</v>
      </c>
      <c r="AD921" s="37">
        <v>0</v>
      </c>
      <c r="AE921" s="37">
        <v>0</v>
      </c>
      <c r="AF921" s="168">
        <v>0.02</v>
      </c>
      <c r="AG921" s="37">
        <v>10338905.880000001</v>
      </c>
      <c r="AH921" s="37">
        <v>133040.63</v>
      </c>
      <c r="AI921" s="37">
        <v>296963.45</v>
      </c>
      <c r="AJ921" s="37">
        <v>302902.71000000002</v>
      </c>
      <c r="AK921" s="37">
        <v>308960.77</v>
      </c>
      <c r="AL921" s="37">
        <v>315139.98</v>
      </c>
      <c r="AM921" s="37">
        <v>146887.60999999999</v>
      </c>
      <c r="AN921" s="37">
        <v>149825.35999999999</v>
      </c>
      <c r="AO921" s="37">
        <v>152821.87</v>
      </c>
      <c r="AP921" s="37">
        <v>155878.31</v>
      </c>
      <c r="AQ921" s="37">
        <v>158995.87</v>
      </c>
      <c r="AR921" s="37">
        <v>2121416.56</v>
      </c>
      <c r="AS921" s="37">
        <v>697374.2</v>
      </c>
      <c r="AT921" s="37">
        <v>0</v>
      </c>
      <c r="AU921" s="37">
        <v>0</v>
      </c>
      <c r="AV921" s="37">
        <v>0</v>
      </c>
      <c r="AW921" s="37">
        <v>0</v>
      </c>
      <c r="AX921" s="37">
        <v>0</v>
      </c>
      <c r="AY921" s="37">
        <v>0</v>
      </c>
      <c r="AZ921" s="37">
        <v>0</v>
      </c>
      <c r="BA921" s="37">
        <v>0</v>
      </c>
      <c r="BB921" s="37">
        <v>0</v>
      </c>
      <c r="BC921" s="37">
        <v>0</v>
      </c>
      <c r="BD921" s="37">
        <v>0</v>
      </c>
      <c r="BE921" s="37">
        <v>0</v>
      </c>
      <c r="BF921" s="37">
        <v>85000</v>
      </c>
      <c r="BG921" s="37">
        <v>0</v>
      </c>
      <c r="BH921" s="37">
        <v>0</v>
      </c>
      <c r="BI921" s="37">
        <v>0</v>
      </c>
      <c r="BJ921" s="37">
        <v>0</v>
      </c>
      <c r="BK921" s="37">
        <v>0</v>
      </c>
      <c r="BL921" s="37">
        <v>0</v>
      </c>
      <c r="BM921" s="37">
        <v>0</v>
      </c>
      <c r="BN921" s="37">
        <v>0</v>
      </c>
      <c r="BO921" s="37">
        <v>0</v>
      </c>
      <c r="BP921" s="37">
        <v>85000</v>
      </c>
      <c r="BQ921" s="37">
        <v>0</v>
      </c>
      <c r="BR921" s="37">
        <v>0</v>
      </c>
      <c r="BS921" s="37">
        <v>0</v>
      </c>
      <c r="BT921" s="37">
        <v>0</v>
      </c>
      <c r="BU921" s="37">
        <v>0</v>
      </c>
      <c r="BV921" s="37">
        <v>0</v>
      </c>
      <c r="BW921" s="37">
        <v>0</v>
      </c>
      <c r="BX921" s="37">
        <v>0</v>
      </c>
      <c r="BY921" s="37">
        <v>0</v>
      </c>
      <c r="BZ921" s="37">
        <v>0</v>
      </c>
      <c r="CA921" s="37">
        <v>0</v>
      </c>
      <c r="CB921" s="37">
        <v>0</v>
      </c>
      <c r="CC921" s="37">
        <v>0</v>
      </c>
      <c r="CD921" s="37">
        <v>0</v>
      </c>
      <c r="CE921" s="37">
        <v>0</v>
      </c>
      <c r="CF921" s="37">
        <v>0</v>
      </c>
      <c r="CG921" s="37">
        <v>0</v>
      </c>
      <c r="CH921" s="37">
        <v>0</v>
      </c>
      <c r="CI921" s="37">
        <v>0</v>
      </c>
      <c r="CJ921" s="37">
        <v>0</v>
      </c>
      <c r="CK921" s="37">
        <v>0</v>
      </c>
      <c r="CL921" s="37">
        <v>0</v>
      </c>
      <c r="CM921" s="37">
        <v>0</v>
      </c>
      <c r="CN921" s="37">
        <v>0</v>
      </c>
      <c r="CO921" s="37">
        <v>0</v>
      </c>
      <c r="CP921" s="37">
        <v>0</v>
      </c>
      <c r="CQ921" s="37">
        <v>0</v>
      </c>
      <c r="CR921" s="37">
        <v>0</v>
      </c>
      <c r="CS921" s="37">
        <v>0</v>
      </c>
      <c r="CT921" s="37">
        <v>0</v>
      </c>
      <c r="CU921" s="37">
        <v>0</v>
      </c>
      <c r="CV921" s="37">
        <v>0</v>
      </c>
      <c r="CW921" s="37">
        <v>0</v>
      </c>
      <c r="CX921" s="37">
        <v>0</v>
      </c>
      <c r="CY921" s="37">
        <v>0</v>
      </c>
      <c r="CZ921" s="37">
        <v>0</v>
      </c>
      <c r="DA921" s="37">
        <v>0</v>
      </c>
      <c r="DB921" s="37">
        <v>0</v>
      </c>
      <c r="DC921" s="37">
        <v>0</v>
      </c>
      <c r="DD921" s="37">
        <v>0</v>
      </c>
      <c r="DE921" s="37">
        <v>0</v>
      </c>
      <c r="DF921" s="37">
        <v>0</v>
      </c>
      <c r="DG921" s="37">
        <v>0</v>
      </c>
      <c r="DH921" s="37">
        <v>0</v>
      </c>
      <c r="DI921" s="37">
        <v>0</v>
      </c>
      <c r="DJ921" s="37">
        <v>0</v>
      </c>
      <c r="DK921" s="37">
        <v>0</v>
      </c>
      <c r="DL921" s="37">
        <v>0</v>
      </c>
      <c r="DM921" s="37">
        <v>0</v>
      </c>
      <c r="DN921" s="37">
        <v>0</v>
      </c>
      <c r="DO921" s="37">
        <v>0</v>
      </c>
      <c r="DP921" s="37">
        <v>0</v>
      </c>
      <c r="DQ921" s="37">
        <v>0</v>
      </c>
      <c r="DR921" s="37">
        <v>0</v>
      </c>
      <c r="DS921" s="37">
        <v>0</v>
      </c>
      <c r="DT921" s="37">
        <v>0</v>
      </c>
      <c r="DU921" s="37">
        <v>0</v>
      </c>
      <c r="DV921" s="37">
        <v>0</v>
      </c>
      <c r="DW921" s="37">
        <v>0</v>
      </c>
      <c r="DX921" s="37">
        <v>0</v>
      </c>
      <c r="DY921" s="37">
        <v>0</v>
      </c>
      <c r="DZ921" s="37">
        <v>0</v>
      </c>
      <c r="EA921" s="37">
        <v>0</v>
      </c>
      <c r="EB921" s="37">
        <v>0</v>
      </c>
      <c r="EC921" s="37">
        <v>0</v>
      </c>
      <c r="ED921" s="37">
        <v>0</v>
      </c>
      <c r="EE921" s="37">
        <v>0</v>
      </c>
      <c r="EF921" s="37">
        <v>0</v>
      </c>
      <c r="EG921" s="37">
        <v>0</v>
      </c>
      <c r="EH921" s="37">
        <v>0</v>
      </c>
      <c r="EI921" s="37">
        <v>0</v>
      </c>
      <c r="EJ921" s="37">
        <v>0</v>
      </c>
      <c r="EK921" s="161" t="s">
        <v>3287</v>
      </c>
      <c r="EL921" s="294" t="s">
        <v>1124</v>
      </c>
    </row>
    <row r="922" spans="1:142" ht="15" customHeight="1" x14ac:dyDescent="0.35">
      <c r="A922" s="34"/>
      <c r="B922" s="313">
        <v>37240</v>
      </c>
      <c r="C922" s="8" t="s">
        <v>322</v>
      </c>
      <c r="D922" s="18">
        <v>4</v>
      </c>
      <c r="E922" s="155">
        <v>62076</v>
      </c>
      <c r="F922" s="36">
        <v>49249</v>
      </c>
      <c r="G922" s="37">
        <v>49740</v>
      </c>
      <c r="H922" s="37">
        <v>10644</v>
      </c>
      <c r="I922" s="37">
        <v>66479</v>
      </c>
      <c r="J922" s="37">
        <v>20129</v>
      </c>
      <c r="K922" s="37">
        <v>26744.25</v>
      </c>
      <c r="L922" s="37">
        <v>12003.3</v>
      </c>
      <c r="M922" s="37">
        <v>205039.25</v>
      </c>
      <c r="N922" s="37">
        <v>92025.3</v>
      </c>
      <c r="O922" s="37">
        <v>14025</v>
      </c>
      <c r="P922" s="37">
        <v>0</v>
      </c>
      <c r="Q922" s="37">
        <v>28610</v>
      </c>
      <c r="R922" s="37">
        <v>5478</v>
      </c>
      <c r="S922" s="37">
        <v>0</v>
      </c>
      <c r="T922" s="37">
        <v>0</v>
      </c>
      <c r="U922" s="37">
        <v>0</v>
      </c>
      <c r="V922" s="37">
        <v>0</v>
      </c>
      <c r="W922" s="37">
        <v>220606.68289755366</v>
      </c>
      <c r="X922" s="37">
        <v>28344.867102446322</v>
      </c>
      <c r="Y922" s="37">
        <v>0</v>
      </c>
      <c r="Z922" s="37">
        <v>0</v>
      </c>
      <c r="AA922" s="37">
        <v>263241.68289755366</v>
      </c>
      <c r="AB922" s="37">
        <v>33822.867102446326</v>
      </c>
      <c r="AC922" s="37">
        <v>0</v>
      </c>
      <c r="AD922" s="37">
        <v>0</v>
      </c>
      <c r="AE922" s="37">
        <v>0</v>
      </c>
      <c r="AF922" s="168">
        <v>0.02</v>
      </c>
      <c r="AG922" s="37">
        <v>30775344.510000002</v>
      </c>
      <c r="AH922" s="37">
        <v>212940.43</v>
      </c>
      <c r="AI922" s="37">
        <v>217199.23</v>
      </c>
      <c r="AJ922" s="37">
        <v>221543.22</v>
      </c>
      <c r="AK922" s="37">
        <v>225974.08</v>
      </c>
      <c r="AL922" s="37">
        <v>230493.57</v>
      </c>
      <c r="AM922" s="37">
        <v>235103.44</v>
      </c>
      <c r="AN922" s="37">
        <v>239805.51</v>
      </c>
      <c r="AO922" s="37">
        <v>244601.62</v>
      </c>
      <c r="AP922" s="37">
        <v>249493.65</v>
      </c>
      <c r="AQ922" s="37">
        <v>254483.52</v>
      </c>
      <c r="AR922" s="37">
        <v>2331638.2700000005</v>
      </c>
      <c r="AS922" s="37">
        <v>147736.79999999999</v>
      </c>
      <c r="AT922" s="37">
        <v>1486285.27</v>
      </c>
      <c r="AU922" s="37">
        <v>2311916.9700000002</v>
      </c>
      <c r="AV922" s="37">
        <v>1546331.19</v>
      </c>
      <c r="AW922" s="37">
        <v>1577257.82</v>
      </c>
      <c r="AX922" s="37">
        <v>1608802.97</v>
      </c>
      <c r="AY922" s="37">
        <v>1640979.03</v>
      </c>
      <c r="AZ922" s="37">
        <v>0</v>
      </c>
      <c r="BA922" s="37">
        <v>0</v>
      </c>
      <c r="BB922" s="37">
        <v>0</v>
      </c>
      <c r="BC922" s="37">
        <v>0</v>
      </c>
      <c r="BD922" s="37">
        <v>10171573.25</v>
      </c>
      <c r="BE922" s="37">
        <v>101339</v>
      </c>
      <c r="BF922" s="37">
        <v>86540.941661216784</v>
      </c>
      <c r="BG922" s="37">
        <v>93280.213042178613</v>
      </c>
      <c r="BH922" s="37">
        <v>114832.07076143299</v>
      </c>
      <c r="BI922" s="37">
        <v>136383.97453517173</v>
      </c>
      <c r="BJ922" s="37">
        <v>14812.586338292485</v>
      </c>
      <c r="BK922" s="37">
        <v>71728.35532292421</v>
      </c>
      <c r="BL922" s="37">
        <v>93280.213042178613</v>
      </c>
      <c r="BM922" s="37">
        <v>114832.07076143299</v>
      </c>
      <c r="BN922" s="37">
        <v>136383.97453517173</v>
      </c>
      <c r="BO922" s="37">
        <v>0</v>
      </c>
      <c r="BP922" s="37">
        <v>862074.40000000014</v>
      </c>
      <c r="BQ922" s="37">
        <v>0</v>
      </c>
      <c r="BR922" s="37">
        <v>0</v>
      </c>
      <c r="BS922" s="37">
        <v>0</v>
      </c>
      <c r="BT922" s="37">
        <v>0</v>
      </c>
      <c r="BU922" s="37">
        <v>0</v>
      </c>
      <c r="BV922" s="37">
        <v>0</v>
      </c>
      <c r="BW922" s="37">
        <v>0</v>
      </c>
      <c r="BX922" s="37">
        <v>0</v>
      </c>
      <c r="BY922" s="37">
        <v>0</v>
      </c>
      <c r="BZ922" s="37">
        <v>0</v>
      </c>
      <c r="CA922" s="37">
        <v>0</v>
      </c>
      <c r="CB922" s="37">
        <v>0</v>
      </c>
      <c r="CC922" s="37">
        <v>0</v>
      </c>
      <c r="CD922" s="37">
        <v>0</v>
      </c>
      <c r="CE922" s="37">
        <v>0</v>
      </c>
      <c r="CF922" s="37">
        <v>0</v>
      </c>
      <c r="CG922" s="37">
        <v>0</v>
      </c>
      <c r="CH922" s="37">
        <v>0</v>
      </c>
      <c r="CI922" s="37">
        <v>0</v>
      </c>
      <c r="CJ922" s="37">
        <v>0</v>
      </c>
      <c r="CK922" s="37">
        <v>0</v>
      </c>
      <c r="CL922" s="37">
        <v>0</v>
      </c>
      <c r="CM922" s="37">
        <v>0</v>
      </c>
      <c r="CN922" s="37">
        <v>0</v>
      </c>
      <c r="CO922" s="37">
        <v>0</v>
      </c>
      <c r="CP922" s="37">
        <v>0</v>
      </c>
      <c r="CQ922" s="37">
        <v>0</v>
      </c>
      <c r="CR922" s="37">
        <v>0</v>
      </c>
      <c r="CS922" s="37">
        <v>0</v>
      </c>
      <c r="CT922" s="37">
        <v>0</v>
      </c>
      <c r="CU922" s="37">
        <v>0</v>
      </c>
      <c r="CV922" s="37">
        <v>0</v>
      </c>
      <c r="CW922" s="37">
        <v>0</v>
      </c>
      <c r="CX922" s="37">
        <v>0</v>
      </c>
      <c r="CY922" s="37">
        <v>0</v>
      </c>
      <c r="CZ922" s="37">
        <v>0</v>
      </c>
      <c r="DA922" s="37">
        <v>0</v>
      </c>
      <c r="DB922" s="37">
        <v>0</v>
      </c>
      <c r="DC922" s="37">
        <v>0</v>
      </c>
      <c r="DD922" s="37">
        <v>0</v>
      </c>
      <c r="DE922" s="37">
        <v>0</v>
      </c>
      <c r="DF922" s="37">
        <v>0</v>
      </c>
      <c r="DG922" s="37">
        <v>0</v>
      </c>
      <c r="DH922" s="37">
        <v>0</v>
      </c>
      <c r="DI922" s="37">
        <v>0</v>
      </c>
      <c r="DJ922" s="37">
        <v>0</v>
      </c>
      <c r="DK922" s="37">
        <v>0</v>
      </c>
      <c r="DL922" s="37">
        <v>0</v>
      </c>
      <c r="DM922" s="37">
        <v>0</v>
      </c>
      <c r="DN922" s="37">
        <v>0</v>
      </c>
      <c r="DO922" s="37">
        <v>0</v>
      </c>
      <c r="DP922" s="37">
        <v>0</v>
      </c>
      <c r="DQ922" s="37">
        <v>0</v>
      </c>
      <c r="DR922" s="37">
        <v>0</v>
      </c>
      <c r="DS922" s="37">
        <v>0</v>
      </c>
      <c r="DT922" s="37">
        <v>0</v>
      </c>
      <c r="DU922" s="37">
        <v>0</v>
      </c>
      <c r="DV922" s="37">
        <v>0</v>
      </c>
      <c r="DW922" s="37">
        <v>0</v>
      </c>
      <c r="DX922" s="37">
        <v>0</v>
      </c>
      <c r="DY922" s="37">
        <v>0</v>
      </c>
      <c r="DZ922" s="37">
        <v>0</v>
      </c>
      <c r="EA922" s="37">
        <v>0</v>
      </c>
      <c r="EB922" s="37">
        <v>0</v>
      </c>
      <c r="EC922" s="37">
        <v>0</v>
      </c>
      <c r="ED922" s="37">
        <v>0</v>
      </c>
      <c r="EE922" s="37">
        <v>0</v>
      </c>
      <c r="EF922" s="37">
        <v>0</v>
      </c>
      <c r="EG922" s="37">
        <v>0</v>
      </c>
      <c r="EH922" s="37">
        <v>0</v>
      </c>
      <c r="EI922" s="37">
        <v>0</v>
      </c>
      <c r="EJ922" s="37">
        <v>0</v>
      </c>
      <c r="EK922" s="161" t="s">
        <v>3290</v>
      </c>
      <c r="EL922" s="294" t="s">
        <v>1124</v>
      </c>
    </row>
    <row r="923" spans="1:142" ht="15" customHeight="1" x14ac:dyDescent="0.35">
      <c r="A923" s="34"/>
      <c r="B923" s="313">
        <v>33030</v>
      </c>
      <c r="C923" s="8" t="s">
        <v>270</v>
      </c>
      <c r="D923" s="18">
        <v>12</v>
      </c>
      <c r="E923" s="155">
        <v>95105</v>
      </c>
      <c r="F923" s="36">
        <v>58750</v>
      </c>
      <c r="G923" s="37">
        <v>29421</v>
      </c>
      <c r="H923" s="37">
        <v>22435</v>
      </c>
      <c r="I923" s="37">
        <v>143138</v>
      </c>
      <c r="J923" s="37">
        <v>110492</v>
      </c>
      <c r="K923" s="37">
        <v>15140</v>
      </c>
      <c r="L923" s="37">
        <v>14044</v>
      </c>
      <c r="M923" s="37">
        <v>282804</v>
      </c>
      <c r="N923" s="37">
        <v>205721</v>
      </c>
      <c r="O923" s="37">
        <v>0</v>
      </c>
      <c r="P923" s="37">
        <v>0</v>
      </c>
      <c r="Q923" s="37">
        <v>35205</v>
      </c>
      <c r="R923" s="37">
        <v>105614</v>
      </c>
      <c r="S923" s="37">
        <v>0</v>
      </c>
      <c r="T923" s="37">
        <v>0</v>
      </c>
      <c r="U923" s="37">
        <v>6516</v>
      </c>
      <c r="V923" s="37">
        <v>0</v>
      </c>
      <c r="W923" s="37">
        <v>241083</v>
      </c>
      <c r="X923" s="37">
        <v>100107</v>
      </c>
      <c r="Y923" s="37">
        <v>0</v>
      </c>
      <c r="Z923" s="37">
        <v>0</v>
      </c>
      <c r="AA923" s="37">
        <v>282804</v>
      </c>
      <c r="AB923" s="37">
        <v>205721</v>
      </c>
      <c r="AC923" s="37">
        <v>0</v>
      </c>
      <c r="AD923" s="37">
        <v>0</v>
      </c>
      <c r="AE923" s="37">
        <v>0</v>
      </c>
      <c r="AF923" s="168">
        <v>0.02</v>
      </c>
      <c r="AG923" s="37">
        <v>25325133.010000002</v>
      </c>
      <c r="AH923" s="37">
        <v>220315.92</v>
      </c>
      <c r="AI923" s="37">
        <v>182811.97</v>
      </c>
      <c r="AJ923" s="37">
        <v>186468.21</v>
      </c>
      <c r="AK923" s="37">
        <v>190197.57</v>
      </c>
      <c r="AL923" s="37">
        <v>194001.52</v>
      </c>
      <c r="AM923" s="37">
        <v>197881.55</v>
      </c>
      <c r="AN923" s="37">
        <v>201839.18</v>
      </c>
      <c r="AO923" s="37">
        <v>205875.97</v>
      </c>
      <c r="AP923" s="37">
        <v>209993.49</v>
      </c>
      <c r="AQ923" s="37">
        <v>214193.36</v>
      </c>
      <c r="AR923" s="37">
        <v>2003578.74</v>
      </c>
      <c r="AS923" s="37">
        <v>0</v>
      </c>
      <c r="AT923" s="37">
        <v>0</v>
      </c>
      <c r="AU923" s="37">
        <v>0</v>
      </c>
      <c r="AV923" s="37">
        <v>0</v>
      </c>
      <c r="AW923" s="37">
        <v>0</v>
      </c>
      <c r="AX923" s="37">
        <v>0</v>
      </c>
      <c r="AY923" s="37">
        <v>0</v>
      </c>
      <c r="AZ923" s="37">
        <v>0</v>
      </c>
      <c r="BA923" s="37">
        <v>0</v>
      </c>
      <c r="BB923" s="37">
        <v>0</v>
      </c>
      <c r="BC923" s="37">
        <v>0</v>
      </c>
      <c r="BD923" s="37">
        <v>0</v>
      </c>
      <c r="BE923" s="37">
        <v>0</v>
      </c>
      <c r="BF923" s="37">
        <v>0</v>
      </c>
      <c r="BG923" s="37">
        <v>0</v>
      </c>
      <c r="BH923" s="37">
        <v>0</v>
      </c>
      <c r="BI923" s="37">
        <v>0</v>
      </c>
      <c r="BJ923" s="37">
        <v>0</v>
      </c>
      <c r="BK923" s="37">
        <v>0</v>
      </c>
      <c r="BL923" s="37">
        <v>0</v>
      </c>
      <c r="BM923" s="37">
        <v>0</v>
      </c>
      <c r="BN923" s="37">
        <v>0</v>
      </c>
      <c r="BO923" s="37">
        <v>0</v>
      </c>
      <c r="BP923" s="37">
        <v>0</v>
      </c>
      <c r="BQ923" s="37">
        <v>0</v>
      </c>
      <c r="BR923" s="37">
        <v>0</v>
      </c>
      <c r="BS923" s="37">
        <v>0</v>
      </c>
      <c r="BT923" s="37">
        <v>0</v>
      </c>
      <c r="BU923" s="37">
        <v>0</v>
      </c>
      <c r="BV923" s="37">
        <v>0</v>
      </c>
      <c r="BW923" s="37">
        <v>0</v>
      </c>
      <c r="BX923" s="37">
        <v>0</v>
      </c>
      <c r="BY923" s="37">
        <v>0</v>
      </c>
      <c r="BZ923" s="37">
        <v>0</v>
      </c>
      <c r="CA923" s="37">
        <v>0</v>
      </c>
      <c r="CB923" s="37">
        <v>0</v>
      </c>
      <c r="CC923" s="37">
        <v>0</v>
      </c>
      <c r="CD923" s="37">
        <v>0</v>
      </c>
      <c r="CE923" s="37">
        <v>0</v>
      </c>
      <c r="CF923" s="37">
        <v>0</v>
      </c>
      <c r="CG923" s="37">
        <v>0</v>
      </c>
      <c r="CH923" s="37">
        <v>0</v>
      </c>
      <c r="CI923" s="37">
        <v>0</v>
      </c>
      <c r="CJ923" s="37">
        <v>0</v>
      </c>
      <c r="CK923" s="37">
        <v>0</v>
      </c>
      <c r="CL923" s="37">
        <v>0</v>
      </c>
      <c r="CM923" s="37">
        <v>0</v>
      </c>
      <c r="CN923" s="37">
        <v>0</v>
      </c>
      <c r="CO923" s="37">
        <v>0</v>
      </c>
      <c r="CP923" s="37">
        <v>0</v>
      </c>
      <c r="CQ923" s="37">
        <v>0</v>
      </c>
      <c r="CR923" s="37">
        <v>0</v>
      </c>
      <c r="CS923" s="37">
        <v>0</v>
      </c>
      <c r="CT923" s="37">
        <v>0</v>
      </c>
      <c r="CU923" s="37">
        <v>0</v>
      </c>
      <c r="CV923" s="37">
        <v>0</v>
      </c>
      <c r="CW923" s="37">
        <v>0</v>
      </c>
      <c r="CX923" s="37">
        <v>0</v>
      </c>
      <c r="CY923" s="37">
        <v>0</v>
      </c>
      <c r="CZ923" s="37">
        <v>0</v>
      </c>
      <c r="DA923" s="37">
        <v>0</v>
      </c>
      <c r="DB923" s="37">
        <v>0</v>
      </c>
      <c r="DC923" s="37">
        <v>0</v>
      </c>
      <c r="DD923" s="37">
        <v>0</v>
      </c>
      <c r="DE923" s="37">
        <v>0</v>
      </c>
      <c r="DF923" s="37">
        <v>0</v>
      </c>
      <c r="DG923" s="37">
        <v>0</v>
      </c>
      <c r="DH923" s="37">
        <v>0</v>
      </c>
      <c r="DI923" s="37">
        <v>0</v>
      </c>
      <c r="DJ923" s="37">
        <v>0</v>
      </c>
      <c r="DK923" s="37">
        <v>0</v>
      </c>
      <c r="DL923" s="37">
        <v>0</v>
      </c>
      <c r="DM923" s="37">
        <v>0</v>
      </c>
      <c r="DN923" s="37">
        <v>0</v>
      </c>
      <c r="DO923" s="37">
        <v>0</v>
      </c>
      <c r="DP923" s="37">
        <v>0</v>
      </c>
      <c r="DQ923" s="37">
        <v>0</v>
      </c>
      <c r="DR923" s="37">
        <v>0</v>
      </c>
      <c r="DS923" s="37">
        <v>0</v>
      </c>
      <c r="DT923" s="37">
        <v>0</v>
      </c>
      <c r="DU923" s="37">
        <v>0</v>
      </c>
      <c r="DV923" s="37">
        <v>0</v>
      </c>
      <c r="DW923" s="37">
        <v>0</v>
      </c>
      <c r="DX923" s="37">
        <v>0</v>
      </c>
      <c r="DY923" s="37">
        <v>0</v>
      </c>
      <c r="DZ923" s="37">
        <v>0</v>
      </c>
      <c r="EA923" s="37">
        <v>0</v>
      </c>
      <c r="EB923" s="37">
        <v>0</v>
      </c>
      <c r="EC923" s="37">
        <v>0</v>
      </c>
      <c r="ED923" s="37">
        <v>0</v>
      </c>
      <c r="EE923" s="37">
        <v>0</v>
      </c>
      <c r="EF923" s="37">
        <v>0</v>
      </c>
      <c r="EG923" s="37">
        <v>0</v>
      </c>
      <c r="EH923" s="37">
        <v>0</v>
      </c>
      <c r="EI923" s="37">
        <v>0</v>
      </c>
      <c r="EJ923" s="37">
        <v>0</v>
      </c>
      <c r="EK923" s="161" t="s">
        <v>1124</v>
      </c>
      <c r="EL923" s="294" t="s">
        <v>1124</v>
      </c>
    </row>
    <row r="924" spans="1:142" ht="15" customHeight="1" x14ac:dyDescent="0.35">
      <c r="A924" s="34"/>
      <c r="B924" s="313">
        <v>10015</v>
      </c>
      <c r="C924" s="8" t="s">
        <v>10</v>
      </c>
      <c r="D924" s="18">
        <v>1</v>
      </c>
      <c r="E924" s="155">
        <v>63135</v>
      </c>
      <c r="F924" s="36">
        <v>52056</v>
      </c>
      <c r="G924" s="37">
        <v>1814</v>
      </c>
      <c r="H924" s="37">
        <v>7760</v>
      </c>
      <c r="I924" s="37">
        <v>4668</v>
      </c>
      <c r="J924" s="37">
        <v>37438</v>
      </c>
      <c r="K924" s="37">
        <v>9470</v>
      </c>
      <c r="L924" s="37">
        <v>7808</v>
      </c>
      <c r="M924" s="37">
        <v>79087</v>
      </c>
      <c r="N924" s="37">
        <v>105062</v>
      </c>
      <c r="O924" s="37">
        <v>0</v>
      </c>
      <c r="P924" s="37">
        <v>0</v>
      </c>
      <c r="Q924" s="37">
        <v>72859</v>
      </c>
      <c r="R924" s="37">
        <v>82675</v>
      </c>
      <c r="S924" s="37">
        <v>0</v>
      </c>
      <c r="T924" s="37">
        <v>0</v>
      </c>
      <c r="U924" s="37">
        <v>0</v>
      </c>
      <c r="V924" s="37">
        <v>1889</v>
      </c>
      <c r="W924" s="37">
        <v>0</v>
      </c>
      <c r="X924" s="37">
        <v>2329</v>
      </c>
      <c r="Y924" s="37">
        <v>105814</v>
      </c>
      <c r="Z924" s="37">
        <v>104270</v>
      </c>
      <c r="AA924" s="37">
        <v>178673</v>
      </c>
      <c r="AB924" s="37">
        <v>191163</v>
      </c>
      <c r="AC924" s="37">
        <v>185687</v>
      </c>
      <c r="AD924" s="37">
        <v>0</v>
      </c>
      <c r="AE924" s="37">
        <v>0</v>
      </c>
      <c r="AF924" s="168">
        <v>0.02</v>
      </c>
      <c r="AG924" s="37">
        <v>10536920.75</v>
      </c>
      <c r="AH924" s="37">
        <v>99636.11</v>
      </c>
      <c r="AI924" s="37">
        <v>101628.83</v>
      </c>
      <c r="AJ924" s="37">
        <v>103661.41</v>
      </c>
      <c r="AK924" s="37">
        <v>105734.64</v>
      </c>
      <c r="AL924" s="37">
        <v>107849.33</v>
      </c>
      <c r="AM924" s="37">
        <v>110006.32</v>
      </c>
      <c r="AN924" s="37">
        <v>112206.44</v>
      </c>
      <c r="AO924" s="37">
        <v>114450.57</v>
      </c>
      <c r="AP924" s="37">
        <v>116739.58</v>
      </c>
      <c r="AQ924" s="37">
        <v>119074.38</v>
      </c>
      <c r="AR924" s="37">
        <v>1090987.6100000001</v>
      </c>
      <c r="AS924" s="37">
        <v>204438.6</v>
      </c>
      <c r="AT924" s="37">
        <v>0</v>
      </c>
      <c r="AU924" s="37">
        <v>0</v>
      </c>
      <c r="AV924" s="37">
        <v>0</v>
      </c>
      <c r="AW924" s="37">
        <v>0</v>
      </c>
      <c r="AX924" s="37">
        <v>0</v>
      </c>
      <c r="AY924" s="37">
        <v>0</v>
      </c>
      <c r="AZ924" s="37">
        <v>0</v>
      </c>
      <c r="BA924" s="37">
        <v>0</v>
      </c>
      <c r="BB924" s="37">
        <v>0</v>
      </c>
      <c r="BC924" s="37">
        <v>0</v>
      </c>
      <c r="BD924" s="37">
        <v>0</v>
      </c>
      <c r="BE924" s="37">
        <v>0</v>
      </c>
      <c r="BF924" s="37">
        <v>0</v>
      </c>
      <c r="BG924" s="37">
        <v>0</v>
      </c>
      <c r="BH924" s="37">
        <v>0</v>
      </c>
      <c r="BI924" s="37">
        <v>0</v>
      </c>
      <c r="BJ924" s="37">
        <v>0</v>
      </c>
      <c r="BK924" s="37">
        <v>0</v>
      </c>
      <c r="BL924" s="37">
        <v>0</v>
      </c>
      <c r="BM924" s="37">
        <v>0</v>
      </c>
      <c r="BN924" s="37">
        <v>0</v>
      </c>
      <c r="BO924" s="37">
        <v>0</v>
      </c>
      <c r="BP924" s="37">
        <v>0</v>
      </c>
      <c r="BQ924" s="37">
        <v>0</v>
      </c>
      <c r="BR924" s="37">
        <v>0</v>
      </c>
      <c r="BS924" s="37">
        <v>0</v>
      </c>
      <c r="BT924" s="37">
        <v>0</v>
      </c>
      <c r="BU924" s="37">
        <v>0</v>
      </c>
      <c r="BV924" s="37">
        <v>0</v>
      </c>
      <c r="BW924" s="37">
        <v>0</v>
      </c>
      <c r="BX924" s="37">
        <v>0</v>
      </c>
      <c r="BY924" s="37">
        <v>0</v>
      </c>
      <c r="BZ924" s="37">
        <v>0</v>
      </c>
      <c r="CA924" s="37">
        <v>0</v>
      </c>
      <c r="CB924" s="37">
        <v>0</v>
      </c>
      <c r="CC924" s="37">
        <v>0</v>
      </c>
      <c r="CD924" s="37">
        <v>0</v>
      </c>
      <c r="CE924" s="37">
        <v>0</v>
      </c>
      <c r="CF924" s="37">
        <v>0</v>
      </c>
      <c r="CG924" s="37">
        <v>0</v>
      </c>
      <c r="CH924" s="37">
        <v>0</v>
      </c>
      <c r="CI924" s="37">
        <v>0</v>
      </c>
      <c r="CJ924" s="37">
        <v>0</v>
      </c>
      <c r="CK924" s="37">
        <v>0</v>
      </c>
      <c r="CL924" s="37">
        <v>0</v>
      </c>
      <c r="CM924" s="37">
        <v>0</v>
      </c>
      <c r="CN924" s="37">
        <v>0</v>
      </c>
      <c r="CO924" s="37">
        <v>0</v>
      </c>
      <c r="CP924" s="37">
        <v>0</v>
      </c>
      <c r="CQ924" s="37">
        <v>0</v>
      </c>
      <c r="CR924" s="37">
        <v>0</v>
      </c>
      <c r="CS924" s="37">
        <v>0</v>
      </c>
      <c r="CT924" s="37">
        <v>0</v>
      </c>
      <c r="CU924" s="37">
        <v>0</v>
      </c>
      <c r="CV924" s="37">
        <v>0</v>
      </c>
      <c r="CW924" s="37">
        <v>0</v>
      </c>
      <c r="CX924" s="37">
        <v>0</v>
      </c>
      <c r="CY924" s="37">
        <v>0</v>
      </c>
      <c r="CZ924" s="37">
        <v>0</v>
      </c>
      <c r="DA924" s="37">
        <v>0</v>
      </c>
      <c r="DB924" s="37">
        <v>0</v>
      </c>
      <c r="DC924" s="37">
        <v>0</v>
      </c>
      <c r="DD924" s="37">
        <v>0</v>
      </c>
      <c r="DE924" s="37">
        <v>0</v>
      </c>
      <c r="DF924" s="37">
        <v>0</v>
      </c>
      <c r="DG924" s="37">
        <v>0</v>
      </c>
      <c r="DH924" s="37">
        <v>0</v>
      </c>
      <c r="DI924" s="37">
        <v>0</v>
      </c>
      <c r="DJ924" s="37">
        <v>0</v>
      </c>
      <c r="DK924" s="37">
        <v>0</v>
      </c>
      <c r="DL924" s="37">
        <v>0</v>
      </c>
      <c r="DM924" s="37">
        <v>0</v>
      </c>
      <c r="DN924" s="37">
        <v>0</v>
      </c>
      <c r="DO924" s="37">
        <v>0</v>
      </c>
      <c r="DP924" s="37">
        <v>0</v>
      </c>
      <c r="DQ924" s="37">
        <v>0</v>
      </c>
      <c r="DR924" s="37">
        <v>0</v>
      </c>
      <c r="DS924" s="37">
        <v>0</v>
      </c>
      <c r="DT924" s="37">
        <v>0</v>
      </c>
      <c r="DU924" s="37">
        <v>0</v>
      </c>
      <c r="DV924" s="37">
        <v>0</v>
      </c>
      <c r="DW924" s="37">
        <v>0</v>
      </c>
      <c r="DX924" s="37">
        <v>0</v>
      </c>
      <c r="DY924" s="37">
        <v>0</v>
      </c>
      <c r="DZ924" s="37">
        <v>0</v>
      </c>
      <c r="EA924" s="37">
        <v>0</v>
      </c>
      <c r="EB924" s="37">
        <v>0</v>
      </c>
      <c r="EC924" s="37">
        <v>0</v>
      </c>
      <c r="ED924" s="37">
        <v>0</v>
      </c>
      <c r="EE924" s="37">
        <v>0</v>
      </c>
      <c r="EF924" s="37">
        <v>0</v>
      </c>
      <c r="EG924" s="37">
        <v>0</v>
      </c>
      <c r="EH924" s="37">
        <v>0</v>
      </c>
      <c r="EI924" s="37">
        <v>0</v>
      </c>
      <c r="EJ924" s="37">
        <v>0</v>
      </c>
      <c r="EK924" s="161" t="s">
        <v>2736</v>
      </c>
      <c r="EL924" s="294" t="s">
        <v>1124</v>
      </c>
    </row>
    <row r="925" spans="1:142" ht="15" customHeight="1" x14ac:dyDescent="0.35">
      <c r="A925" s="34"/>
      <c r="B925" s="313">
        <v>93045</v>
      </c>
      <c r="C925" s="8" t="s">
        <v>965</v>
      </c>
      <c r="D925" s="18">
        <v>2</v>
      </c>
      <c r="E925" s="155">
        <v>176301</v>
      </c>
      <c r="F925" s="36">
        <v>76438</v>
      </c>
      <c r="G925" s="37">
        <v>90281</v>
      </c>
      <c r="H925" s="37">
        <v>26120</v>
      </c>
      <c r="I925" s="37">
        <v>357564</v>
      </c>
      <c r="J925" s="37">
        <v>77526</v>
      </c>
      <c r="K925" s="37">
        <v>5000</v>
      </c>
      <c r="L925" s="37">
        <v>5000</v>
      </c>
      <c r="M925" s="37">
        <v>629146</v>
      </c>
      <c r="N925" s="37">
        <v>185084</v>
      </c>
      <c r="O925" s="37">
        <v>0</v>
      </c>
      <c r="P925" s="37">
        <v>0</v>
      </c>
      <c r="Q925" s="37">
        <v>276962</v>
      </c>
      <c r="R925" s="37">
        <v>111753</v>
      </c>
      <c r="S925" s="37">
        <v>2494</v>
      </c>
      <c r="T925" s="37">
        <v>0</v>
      </c>
      <c r="U925" s="37">
        <v>330613</v>
      </c>
      <c r="V925" s="37">
        <v>177498.5</v>
      </c>
      <c r="W925" s="37">
        <v>0</v>
      </c>
      <c r="X925" s="37">
        <v>0</v>
      </c>
      <c r="Y925" s="37">
        <v>0</v>
      </c>
      <c r="Z925" s="37">
        <v>0</v>
      </c>
      <c r="AA925" s="37">
        <v>610069</v>
      </c>
      <c r="AB925" s="37">
        <v>289251.5</v>
      </c>
      <c r="AC925" s="37">
        <v>85091</v>
      </c>
      <c r="AD925" s="37">
        <v>15000</v>
      </c>
      <c r="AE925" s="37">
        <v>80000</v>
      </c>
      <c r="AF925" s="168">
        <v>0.02</v>
      </c>
      <c r="AG925" s="37">
        <v>26220675.190000001</v>
      </c>
      <c r="AH925" s="37">
        <v>1994073.83</v>
      </c>
      <c r="AI925" s="37">
        <v>126694.03</v>
      </c>
      <c r="AJ925" s="37">
        <v>129227.91</v>
      </c>
      <c r="AK925" s="37">
        <v>131812.47</v>
      </c>
      <c r="AL925" s="37">
        <v>134448.71</v>
      </c>
      <c r="AM925" s="37">
        <v>137137.69</v>
      </c>
      <c r="AN925" s="37">
        <v>139880.44</v>
      </c>
      <c r="AO925" s="37">
        <v>142678.04999999999</v>
      </c>
      <c r="AP925" s="37">
        <v>145531.60999999999</v>
      </c>
      <c r="AQ925" s="37">
        <v>148442.23999999999</v>
      </c>
      <c r="AR925" s="37">
        <v>3229926.98</v>
      </c>
      <c r="AS925" s="37">
        <v>2366389.44</v>
      </c>
      <c r="AT925" s="37">
        <v>0</v>
      </c>
      <c r="AU925" s="37">
        <v>848966.4</v>
      </c>
      <c r="AV925" s="37">
        <v>0</v>
      </c>
      <c r="AW925" s="37">
        <v>0</v>
      </c>
      <c r="AX925" s="37">
        <v>0</v>
      </c>
      <c r="AY925" s="37">
        <v>0</v>
      </c>
      <c r="AZ925" s="37">
        <v>0</v>
      </c>
      <c r="BA925" s="37">
        <v>0</v>
      </c>
      <c r="BB925" s="37">
        <v>0</v>
      </c>
      <c r="BC925" s="37">
        <v>0</v>
      </c>
      <c r="BD925" s="37">
        <v>848966.4</v>
      </c>
      <c r="BE925" s="37">
        <v>0</v>
      </c>
      <c r="BF925" s="37">
        <v>0</v>
      </c>
      <c r="BG925" s="37">
        <v>760570</v>
      </c>
      <c r="BH925" s="37">
        <v>0</v>
      </c>
      <c r="BI925" s="37">
        <v>0</v>
      </c>
      <c r="BJ925" s="37">
        <v>0</v>
      </c>
      <c r="BK925" s="37">
        <v>0</v>
      </c>
      <c r="BL925" s="37">
        <v>0</v>
      </c>
      <c r="BM925" s="37">
        <v>0</v>
      </c>
      <c r="BN925" s="37">
        <v>0</v>
      </c>
      <c r="BO925" s="37">
        <v>0</v>
      </c>
      <c r="BP925" s="37">
        <v>760570</v>
      </c>
      <c r="BQ925" s="37">
        <v>0</v>
      </c>
      <c r="BR925" s="37">
        <v>0</v>
      </c>
      <c r="BS925" s="37">
        <v>190143</v>
      </c>
      <c r="BT925" s="37">
        <v>0</v>
      </c>
      <c r="BU925" s="37">
        <v>0</v>
      </c>
      <c r="BV925" s="37">
        <v>0</v>
      </c>
      <c r="BW925" s="37">
        <v>0</v>
      </c>
      <c r="BX925" s="37">
        <v>0</v>
      </c>
      <c r="BY925" s="37">
        <v>0</v>
      </c>
      <c r="BZ925" s="37">
        <v>0</v>
      </c>
      <c r="CA925" s="37">
        <v>0</v>
      </c>
      <c r="CB925" s="37">
        <v>190143</v>
      </c>
      <c r="CC925" s="37">
        <v>0</v>
      </c>
      <c r="CD925" s="37">
        <v>0</v>
      </c>
      <c r="CE925" s="37">
        <v>0</v>
      </c>
      <c r="CF925" s="37">
        <v>0</v>
      </c>
      <c r="CG925" s="37">
        <v>0</v>
      </c>
      <c r="CH925" s="37">
        <v>0</v>
      </c>
      <c r="CI925" s="37">
        <v>0</v>
      </c>
      <c r="CJ925" s="37">
        <v>0</v>
      </c>
      <c r="CK925" s="37">
        <v>0</v>
      </c>
      <c r="CL925" s="37">
        <v>0</v>
      </c>
      <c r="CM925" s="37">
        <v>0</v>
      </c>
      <c r="CN925" s="37">
        <v>0</v>
      </c>
      <c r="CO925" s="37">
        <v>0</v>
      </c>
      <c r="CP925" s="37">
        <v>0</v>
      </c>
      <c r="CQ925" s="37">
        <v>0</v>
      </c>
      <c r="CR925" s="37">
        <v>0</v>
      </c>
      <c r="CS925" s="37">
        <v>0</v>
      </c>
      <c r="CT925" s="37">
        <v>0</v>
      </c>
      <c r="CU925" s="37">
        <v>0</v>
      </c>
      <c r="CV925" s="37">
        <v>0</v>
      </c>
      <c r="CW925" s="37">
        <v>0</v>
      </c>
      <c r="CX925" s="37">
        <v>0</v>
      </c>
      <c r="CY925" s="37">
        <v>0</v>
      </c>
      <c r="CZ925" s="37">
        <v>0</v>
      </c>
      <c r="DA925" s="37">
        <v>0</v>
      </c>
      <c r="DB925" s="37">
        <v>0</v>
      </c>
      <c r="DC925" s="37">
        <v>0</v>
      </c>
      <c r="DD925" s="37">
        <v>0</v>
      </c>
      <c r="DE925" s="37">
        <v>0</v>
      </c>
      <c r="DF925" s="37">
        <v>0</v>
      </c>
      <c r="DG925" s="37">
        <v>0</v>
      </c>
      <c r="DH925" s="37">
        <v>0</v>
      </c>
      <c r="DI925" s="37">
        <v>0</v>
      </c>
      <c r="DJ925" s="37">
        <v>0</v>
      </c>
      <c r="DK925" s="37">
        <v>0</v>
      </c>
      <c r="DL925" s="37">
        <v>0</v>
      </c>
      <c r="DM925" s="37">
        <v>0</v>
      </c>
      <c r="DN925" s="37">
        <v>0</v>
      </c>
      <c r="DO925" s="37">
        <v>0</v>
      </c>
      <c r="DP925" s="37">
        <v>0</v>
      </c>
      <c r="DQ925" s="37">
        <v>0</v>
      </c>
      <c r="DR925" s="37">
        <v>0</v>
      </c>
      <c r="DS925" s="37">
        <v>0</v>
      </c>
      <c r="DT925" s="37">
        <v>0</v>
      </c>
      <c r="DU925" s="37">
        <v>0</v>
      </c>
      <c r="DV925" s="37">
        <v>0</v>
      </c>
      <c r="DW925" s="37">
        <v>0</v>
      </c>
      <c r="DX925" s="37">
        <v>0</v>
      </c>
      <c r="DY925" s="37">
        <v>0</v>
      </c>
      <c r="DZ925" s="37">
        <v>0</v>
      </c>
      <c r="EA925" s="37">
        <v>0</v>
      </c>
      <c r="EB925" s="37">
        <v>0</v>
      </c>
      <c r="EC925" s="37">
        <v>0</v>
      </c>
      <c r="ED925" s="37">
        <v>0</v>
      </c>
      <c r="EE925" s="37">
        <v>0</v>
      </c>
      <c r="EF925" s="37">
        <v>0</v>
      </c>
      <c r="EG925" s="37">
        <v>0</v>
      </c>
      <c r="EH925" s="37">
        <v>0</v>
      </c>
      <c r="EI925" s="37">
        <v>0</v>
      </c>
      <c r="EJ925" s="37">
        <v>0</v>
      </c>
      <c r="EK925" s="161" t="s">
        <v>3296</v>
      </c>
      <c r="EL925" s="294" t="s">
        <v>1124</v>
      </c>
    </row>
    <row r="926" spans="1:142" ht="15" customHeight="1" x14ac:dyDescent="0.35">
      <c r="A926" s="34"/>
      <c r="B926" s="313">
        <v>48050</v>
      </c>
      <c r="C926" s="8" t="s">
        <v>463</v>
      </c>
      <c r="D926" s="18">
        <v>16</v>
      </c>
      <c r="E926" s="155"/>
      <c r="F926" s="36"/>
      <c r="G926" s="37"/>
      <c r="H926" s="37"/>
      <c r="I926" s="37"/>
      <c r="J926" s="37"/>
      <c r="K926" s="37"/>
      <c r="L926" s="37"/>
      <c r="M926" s="37" t="s">
        <v>1124</v>
      </c>
      <c r="N926" s="37" t="s">
        <v>1124</v>
      </c>
      <c r="O926" s="37"/>
      <c r="P926" s="37"/>
      <c r="Q926" s="37"/>
      <c r="R926" s="37"/>
      <c r="S926" s="37"/>
      <c r="T926" s="37"/>
      <c r="U926" s="37"/>
      <c r="V926" s="37"/>
      <c r="W926" s="37"/>
      <c r="X926" s="37"/>
      <c r="Y926" s="37"/>
      <c r="Z926" s="37"/>
      <c r="AA926" s="37" t="s">
        <v>1124</v>
      </c>
      <c r="AB926" s="37" t="s">
        <v>1124</v>
      </c>
      <c r="AC926" s="37"/>
      <c r="AD926" s="37"/>
      <c r="AE926" s="37"/>
      <c r="AF926" s="168"/>
      <c r="AG926" s="37"/>
      <c r="AH926" s="37"/>
      <c r="AI926" s="37"/>
      <c r="AJ926" s="37"/>
      <c r="AK926" s="37"/>
      <c r="AL926" s="37"/>
      <c r="AM926" s="37"/>
      <c r="AN926" s="37"/>
      <c r="AO926" s="37"/>
      <c r="AP926" s="37"/>
      <c r="AQ926" s="37"/>
      <c r="AR926" s="37" t="s">
        <v>1124</v>
      </c>
      <c r="AS926" s="37"/>
      <c r="AT926" s="37"/>
      <c r="AU926" s="37"/>
      <c r="AV926" s="37"/>
      <c r="AW926" s="37"/>
      <c r="AX926" s="37"/>
      <c r="AY926" s="37"/>
      <c r="AZ926" s="37"/>
      <c r="BA926" s="37"/>
      <c r="BB926" s="37"/>
      <c r="BC926" s="37"/>
      <c r="BD926" s="37" t="s">
        <v>1124</v>
      </c>
      <c r="BE926" s="37"/>
      <c r="BF926" s="37"/>
      <c r="BG926" s="37"/>
      <c r="BH926" s="37"/>
      <c r="BI926" s="37"/>
      <c r="BJ926" s="37"/>
      <c r="BK926" s="37"/>
      <c r="BL926" s="37"/>
      <c r="BM926" s="37"/>
      <c r="BN926" s="37"/>
      <c r="BO926" s="37"/>
      <c r="BP926" s="37">
        <v>0</v>
      </c>
      <c r="BQ926" s="37"/>
      <c r="BR926" s="37"/>
      <c r="BS926" s="37"/>
      <c r="BT926" s="37"/>
      <c r="BU926" s="37"/>
      <c r="BV926" s="37"/>
      <c r="BW926" s="37"/>
      <c r="BX926" s="37"/>
      <c r="BY926" s="37"/>
      <c r="BZ926" s="37"/>
      <c r="CA926" s="37"/>
      <c r="CB926" s="37" t="s">
        <v>1124</v>
      </c>
      <c r="CC926" s="37"/>
      <c r="CD926" s="37"/>
      <c r="CE926" s="37"/>
      <c r="CF926" s="37"/>
      <c r="CG926" s="37"/>
      <c r="CH926" s="37"/>
      <c r="CI926" s="37"/>
      <c r="CJ926" s="37"/>
      <c r="CK926" s="37"/>
      <c r="CL926" s="37"/>
      <c r="CM926" s="37"/>
      <c r="CN926" s="37" t="s">
        <v>1124</v>
      </c>
      <c r="CO926" s="37"/>
      <c r="CP926" s="37"/>
      <c r="CQ926" s="37"/>
      <c r="CR926" s="37"/>
      <c r="CS926" s="37"/>
      <c r="CT926" s="37"/>
      <c r="CU926" s="37"/>
      <c r="CV926" s="37"/>
      <c r="CW926" s="37"/>
      <c r="CX926" s="37"/>
      <c r="CY926" s="37"/>
      <c r="CZ926" s="37" t="s">
        <v>1124</v>
      </c>
      <c r="DA926" s="37"/>
      <c r="DB926" s="37"/>
      <c r="DC926" s="37"/>
      <c r="DD926" s="37"/>
      <c r="DE926" s="37"/>
      <c r="DF926" s="37"/>
      <c r="DG926" s="37"/>
      <c r="DH926" s="37"/>
      <c r="DI926" s="37"/>
      <c r="DJ926" s="37"/>
      <c r="DK926" s="37"/>
      <c r="DL926" s="37" t="s">
        <v>1124</v>
      </c>
      <c r="DM926" s="37"/>
      <c r="DN926" s="37"/>
      <c r="DO926" s="37"/>
      <c r="DP926" s="37"/>
      <c r="DQ926" s="37"/>
      <c r="DR926" s="37"/>
      <c r="DS926" s="37"/>
      <c r="DT926" s="37"/>
      <c r="DU926" s="37"/>
      <c r="DV926" s="37"/>
      <c r="DW926" s="37"/>
      <c r="DX926" s="37" t="s">
        <v>1124</v>
      </c>
      <c r="DY926" s="37"/>
      <c r="DZ926" s="37"/>
      <c r="EA926" s="37"/>
      <c r="EB926" s="37"/>
      <c r="EC926" s="37"/>
      <c r="ED926" s="37"/>
      <c r="EE926" s="37"/>
      <c r="EF926" s="37"/>
      <c r="EG926" s="37"/>
      <c r="EH926" s="37"/>
      <c r="EI926" s="37"/>
      <c r="EJ926" s="37" t="s">
        <v>1124</v>
      </c>
      <c r="EK926" s="161"/>
      <c r="EL926" s="294"/>
    </row>
    <row r="927" spans="1:142" ht="15" customHeight="1" x14ac:dyDescent="0.35">
      <c r="A927" s="34"/>
      <c r="B927" s="313">
        <v>19015</v>
      </c>
      <c r="C927" s="8" t="s">
        <v>120</v>
      </c>
      <c r="D927" s="18">
        <v>12</v>
      </c>
      <c r="E927" s="155"/>
      <c r="F927" s="36"/>
      <c r="G927" s="37"/>
      <c r="H927" s="37"/>
      <c r="I927" s="37"/>
      <c r="J927" s="37"/>
      <c r="K927" s="37"/>
      <c r="L927" s="37"/>
      <c r="M927" s="37" t="s">
        <v>1124</v>
      </c>
      <c r="N927" s="37" t="s">
        <v>1124</v>
      </c>
      <c r="O927" s="37"/>
      <c r="P927" s="37"/>
      <c r="Q927" s="37"/>
      <c r="R927" s="37"/>
      <c r="S927" s="37"/>
      <c r="T927" s="37"/>
      <c r="U927" s="37"/>
      <c r="V927" s="37"/>
      <c r="W927" s="37"/>
      <c r="X927" s="37"/>
      <c r="Y927" s="37"/>
      <c r="Z927" s="37"/>
      <c r="AA927" s="37" t="s">
        <v>1124</v>
      </c>
      <c r="AB927" s="37" t="s">
        <v>1124</v>
      </c>
      <c r="AC927" s="37"/>
      <c r="AD927" s="37"/>
      <c r="AE927" s="37"/>
      <c r="AF927" s="168"/>
      <c r="AG927" s="37"/>
      <c r="AH927" s="37"/>
      <c r="AI927" s="37"/>
      <c r="AJ927" s="37"/>
      <c r="AK927" s="37"/>
      <c r="AL927" s="37"/>
      <c r="AM927" s="37"/>
      <c r="AN927" s="37"/>
      <c r="AO927" s="37"/>
      <c r="AP927" s="37"/>
      <c r="AQ927" s="37"/>
      <c r="AR927" s="37" t="s">
        <v>1124</v>
      </c>
      <c r="AS927" s="37"/>
      <c r="AT927" s="37"/>
      <c r="AU927" s="37"/>
      <c r="AV927" s="37"/>
      <c r="AW927" s="37"/>
      <c r="AX927" s="37"/>
      <c r="AY927" s="37"/>
      <c r="AZ927" s="37"/>
      <c r="BA927" s="37"/>
      <c r="BB927" s="37"/>
      <c r="BC927" s="37"/>
      <c r="BD927" s="37" t="s">
        <v>1124</v>
      </c>
      <c r="BE927" s="37"/>
      <c r="BF927" s="37"/>
      <c r="BG927" s="37"/>
      <c r="BH927" s="37"/>
      <c r="BI927" s="37"/>
      <c r="BJ927" s="37"/>
      <c r="BK927" s="37"/>
      <c r="BL927" s="37"/>
      <c r="BM927" s="37"/>
      <c r="BN927" s="37"/>
      <c r="BO927" s="37"/>
      <c r="BP927" s="37">
        <v>0</v>
      </c>
      <c r="BQ927" s="37"/>
      <c r="BR927" s="37"/>
      <c r="BS927" s="37"/>
      <c r="BT927" s="37"/>
      <c r="BU927" s="37"/>
      <c r="BV927" s="37"/>
      <c r="BW927" s="37"/>
      <c r="BX927" s="37"/>
      <c r="BY927" s="37"/>
      <c r="BZ927" s="37"/>
      <c r="CA927" s="37"/>
      <c r="CB927" s="37" t="s">
        <v>1124</v>
      </c>
      <c r="CC927" s="37"/>
      <c r="CD927" s="37"/>
      <c r="CE927" s="37"/>
      <c r="CF927" s="37"/>
      <c r="CG927" s="37"/>
      <c r="CH927" s="37"/>
      <c r="CI927" s="37"/>
      <c r="CJ927" s="37"/>
      <c r="CK927" s="37"/>
      <c r="CL927" s="37"/>
      <c r="CM927" s="37"/>
      <c r="CN927" s="37" t="s">
        <v>1124</v>
      </c>
      <c r="CO927" s="37"/>
      <c r="CP927" s="37"/>
      <c r="CQ927" s="37"/>
      <c r="CR927" s="37"/>
      <c r="CS927" s="37"/>
      <c r="CT927" s="37"/>
      <c r="CU927" s="37"/>
      <c r="CV927" s="37"/>
      <c r="CW927" s="37"/>
      <c r="CX927" s="37"/>
      <c r="CY927" s="37"/>
      <c r="CZ927" s="37" t="s">
        <v>1124</v>
      </c>
      <c r="DA927" s="37"/>
      <c r="DB927" s="37"/>
      <c r="DC927" s="37"/>
      <c r="DD927" s="37"/>
      <c r="DE927" s="37"/>
      <c r="DF927" s="37"/>
      <c r="DG927" s="37"/>
      <c r="DH927" s="37"/>
      <c r="DI927" s="37"/>
      <c r="DJ927" s="37"/>
      <c r="DK927" s="37"/>
      <c r="DL927" s="37" t="s">
        <v>1124</v>
      </c>
      <c r="DM927" s="37"/>
      <c r="DN927" s="37"/>
      <c r="DO927" s="37"/>
      <c r="DP927" s="37"/>
      <c r="DQ927" s="37"/>
      <c r="DR927" s="37"/>
      <c r="DS927" s="37"/>
      <c r="DT927" s="37"/>
      <c r="DU927" s="37"/>
      <c r="DV927" s="37"/>
      <c r="DW927" s="37"/>
      <c r="DX927" s="37" t="s">
        <v>1124</v>
      </c>
      <c r="DY927" s="37"/>
      <c r="DZ927" s="37"/>
      <c r="EA927" s="37"/>
      <c r="EB927" s="37"/>
      <c r="EC927" s="37"/>
      <c r="ED927" s="37"/>
      <c r="EE927" s="37"/>
      <c r="EF927" s="37"/>
      <c r="EG927" s="37"/>
      <c r="EH927" s="37"/>
      <c r="EI927" s="37"/>
      <c r="EJ927" s="37" t="s">
        <v>1124</v>
      </c>
      <c r="EK927" s="161"/>
      <c r="EL927" s="294"/>
    </row>
    <row r="928" spans="1:142" ht="15" customHeight="1" x14ac:dyDescent="0.35">
      <c r="A928" s="34"/>
      <c r="B928" s="313">
        <v>19045</v>
      </c>
      <c r="C928" s="8" t="s">
        <v>125</v>
      </c>
      <c r="D928" s="18">
        <v>12</v>
      </c>
      <c r="E928" s="155">
        <v>59485</v>
      </c>
      <c r="F928" s="36">
        <v>56113</v>
      </c>
      <c r="G928" s="37">
        <v>8508</v>
      </c>
      <c r="H928" s="37">
        <v>0</v>
      </c>
      <c r="I928" s="37">
        <v>98200</v>
      </c>
      <c r="J928" s="37">
        <v>0</v>
      </c>
      <c r="K928" s="37">
        <v>5948.5</v>
      </c>
      <c r="L928" s="37">
        <v>5611.3</v>
      </c>
      <c r="M928" s="37">
        <v>172141.5</v>
      </c>
      <c r="N928" s="37">
        <v>61724.3</v>
      </c>
      <c r="O928" s="37">
        <v>0</v>
      </c>
      <c r="P928" s="37">
        <v>0</v>
      </c>
      <c r="Q928" s="37">
        <v>67820</v>
      </c>
      <c r="R928" s="37">
        <v>55860</v>
      </c>
      <c r="S928" s="37">
        <v>5392</v>
      </c>
      <c r="T928" s="37">
        <v>2223</v>
      </c>
      <c r="U928" s="37">
        <v>12567</v>
      </c>
      <c r="V928" s="37">
        <v>0</v>
      </c>
      <c r="W928" s="37">
        <v>86362.5</v>
      </c>
      <c r="X928" s="37">
        <v>3641.3000000000029</v>
      </c>
      <c r="Y928" s="37">
        <v>3750</v>
      </c>
      <c r="Z928" s="37">
        <v>3750</v>
      </c>
      <c r="AA928" s="37">
        <v>175891.5</v>
      </c>
      <c r="AB928" s="37">
        <v>65474.3</v>
      </c>
      <c r="AC928" s="37">
        <v>7500</v>
      </c>
      <c r="AD928" s="37">
        <v>7500</v>
      </c>
      <c r="AE928" s="37">
        <v>13439</v>
      </c>
      <c r="AF928" s="168">
        <v>0.02</v>
      </c>
      <c r="AG928" s="37">
        <v>13754940.18</v>
      </c>
      <c r="AH928" s="37">
        <v>92900.25</v>
      </c>
      <c r="AI928" s="37">
        <v>94758.26</v>
      </c>
      <c r="AJ928" s="37">
        <v>96653.42</v>
      </c>
      <c r="AK928" s="37">
        <v>98586.49</v>
      </c>
      <c r="AL928" s="37">
        <v>100558.22</v>
      </c>
      <c r="AM928" s="37">
        <v>102569.38</v>
      </c>
      <c r="AN928" s="37">
        <v>104620.77</v>
      </c>
      <c r="AO928" s="37">
        <v>106713.19</v>
      </c>
      <c r="AP928" s="37">
        <v>108847.45</v>
      </c>
      <c r="AQ928" s="37">
        <v>111024.4</v>
      </c>
      <c r="AR928" s="37">
        <v>1017231.8300000001</v>
      </c>
      <c r="AS928" s="37">
        <v>0</v>
      </c>
      <c r="AT928" s="37">
        <v>0</v>
      </c>
      <c r="AU928" s="37">
        <v>52020</v>
      </c>
      <c r="AV928" s="37">
        <v>0</v>
      </c>
      <c r="AW928" s="37">
        <v>0</v>
      </c>
      <c r="AX928" s="37">
        <v>0</v>
      </c>
      <c r="AY928" s="37">
        <v>0</v>
      </c>
      <c r="AZ928" s="37">
        <v>0</v>
      </c>
      <c r="BA928" s="37">
        <v>0</v>
      </c>
      <c r="BB928" s="37">
        <v>0</v>
      </c>
      <c r="BC928" s="37">
        <v>0</v>
      </c>
      <c r="BD928" s="37">
        <v>52020</v>
      </c>
      <c r="BE928" s="37">
        <v>14307</v>
      </c>
      <c r="BF928" s="37">
        <v>1000</v>
      </c>
      <c r="BG928" s="37">
        <v>20000</v>
      </c>
      <c r="BH928" s="37">
        <v>20000</v>
      </c>
      <c r="BI928" s="37">
        <v>0</v>
      </c>
      <c r="BJ928" s="37">
        <v>6720.2959286676278</v>
      </c>
      <c r="BK928" s="37">
        <v>32542.30984635996</v>
      </c>
      <c r="BL928" s="37">
        <v>42320.133811612555</v>
      </c>
      <c r="BM928" s="37">
        <v>52097.957776865129</v>
      </c>
      <c r="BN928" s="37">
        <v>61875.802636494744</v>
      </c>
      <c r="BO928" s="37">
        <v>0</v>
      </c>
      <c r="BP928" s="37">
        <v>236556.50000000003</v>
      </c>
      <c r="BQ928" s="37">
        <v>0</v>
      </c>
      <c r="BR928" s="37">
        <v>0</v>
      </c>
      <c r="BS928" s="37">
        <v>0</v>
      </c>
      <c r="BT928" s="37">
        <v>0</v>
      </c>
      <c r="BU928" s="37">
        <v>0</v>
      </c>
      <c r="BV928" s="37">
        <v>0</v>
      </c>
      <c r="BW928" s="37">
        <v>0</v>
      </c>
      <c r="BX928" s="37">
        <v>0</v>
      </c>
      <c r="BY928" s="37">
        <v>0</v>
      </c>
      <c r="BZ928" s="37">
        <v>0</v>
      </c>
      <c r="CA928" s="37">
        <v>0</v>
      </c>
      <c r="CB928" s="37">
        <v>0</v>
      </c>
      <c r="CC928" s="37">
        <v>0</v>
      </c>
      <c r="CD928" s="37">
        <v>0</v>
      </c>
      <c r="CE928" s="37">
        <v>0</v>
      </c>
      <c r="CF928" s="37">
        <v>0</v>
      </c>
      <c r="CG928" s="37">
        <v>0</v>
      </c>
      <c r="CH928" s="37">
        <v>0</v>
      </c>
      <c r="CI928" s="37">
        <v>0</v>
      </c>
      <c r="CJ928" s="37">
        <v>0</v>
      </c>
      <c r="CK928" s="37">
        <v>0</v>
      </c>
      <c r="CL928" s="37">
        <v>0</v>
      </c>
      <c r="CM928" s="37">
        <v>0</v>
      </c>
      <c r="CN928" s="37">
        <v>0</v>
      </c>
      <c r="CO928" s="37">
        <v>0</v>
      </c>
      <c r="CP928" s="37">
        <v>0</v>
      </c>
      <c r="CQ928" s="37">
        <v>50000</v>
      </c>
      <c r="CR928" s="37">
        <v>0</v>
      </c>
      <c r="CS928" s="37">
        <v>0</v>
      </c>
      <c r="CT928" s="37">
        <v>0</v>
      </c>
      <c r="CU928" s="37">
        <v>0</v>
      </c>
      <c r="CV928" s="37">
        <v>0</v>
      </c>
      <c r="CW928" s="37">
        <v>0</v>
      </c>
      <c r="CX928" s="37">
        <v>0</v>
      </c>
      <c r="CY928" s="37">
        <v>0</v>
      </c>
      <c r="CZ928" s="37">
        <v>50000</v>
      </c>
      <c r="DA928" s="37">
        <v>0</v>
      </c>
      <c r="DB928" s="37">
        <v>0</v>
      </c>
      <c r="DC928" s="37">
        <v>0</v>
      </c>
      <c r="DD928" s="37">
        <v>0</v>
      </c>
      <c r="DE928" s="37">
        <v>0</v>
      </c>
      <c r="DF928" s="37">
        <v>0</v>
      </c>
      <c r="DG928" s="37">
        <v>0</v>
      </c>
      <c r="DH928" s="37">
        <v>0</v>
      </c>
      <c r="DI928" s="37">
        <v>0</v>
      </c>
      <c r="DJ928" s="37">
        <v>0</v>
      </c>
      <c r="DK928" s="37">
        <v>0</v>
      </c>
      <c r="DL928" s="37">
        <v>0</v>
      </c>
      <c r="DM928" s="37">
        <v>0</v>
      </c>
      <c r="DN928" s="37">
        <v>0</v>
      </c>
      <c r="DO928" s="37">
        <v>0</v>
      </c>
      <c r="DP928" s="37">
        <v>0</v>
      </c>
      <c r="DQ928" s="37">
        <v>0</v>
      </c>
      <c r="DR928" s="37">
        <v>0</v>
      </c>
      <c r="DS928" s="37">
        <v>0</v>
      </c>
      <c r="DT928" s="37">
        <v>0</v>
      </c>
      <c r="DU928" s="37">
        <v>0</v>
      </c>
      <c r="DV928" s="37">
        <v>0</v>
      </c>
      <c r="DW928" s="37">
        <v>0</v>
      </c>
      <c r="DX928" s="37">
        <v>0</v>
      </c>
      <c r="DY928" s="37">
        <v>0</v>
      </c>
      <c r="DZ928" s="37">
        <v>0</v>
      </c>
      <c r="EA928" s="37">
        <v>0</v>
      </c>
      <c r="EB928" s="37">
        <v>0</v>
      </c>
      <c r="EC928" s="37">
        <v>0</v>
      </c>
      <c r="ED928" s="37">
        <v>0</v>
      </c>
      <c r="EE928" s="37">
        <v>0</v>
      </c>
      <c r="EF928" s="37">
        <v>0</v>
      </c>
      <c r="EG928" s="37">
        <v>0</v>
      </c>
      <c r="EH928" s="37">
        <v>0</v>
      </c>
      <c r="EI928" s="37">
        <v>0</v>
      </c>
      <c r="EJ928" s="37">
        <v>0</v>
      </c>
      <c r="EK928" s="161" t="s">
        <v>3299</v>
      </c>
      <c r="EL928" s="294" t="s">
        <v>1124</v>
      </c>
    </row>
    <row r="929" spans="1:142" ht="15" customHeight="1" x14ac:dyDescent="0.35">
      <c r="A929" s="34"/>
      <c r="B929" s="313">
        <v>7100</v>
      </c>
      <c r="C929" s="8" t="s">
        <v>1084</v>
      </c>
      <c r="D929" s="18">
        <v>1</v>
      </c>
      <c r="E929" s="155">
        <v>72252</v>
      </c>
      <c r="F929" s="36">
        <v>8345</v>
      </c>
      <c r="G929" s="37">
        <v>577</v>
      </c>
      <c r="H929" s="37">
        <v>577</v>
      </c>
      <c r="I929" s="37">
        <v>53500</v>
      </c>
      <c r="J929" s="37">
        <v>53550</v>
      </c>
      <c r="K929" s="37">
        <v>10837.8</v>
      </c>
      <c r="L929" s="37">
        <v>1251.75</v>
      </c>
      <c r="M929" s="37">
        <v>137166.79999999999</v>
      </c>
      <c r="N929" s="37">
        <v>63723.75</v>
      </c>
      <c r="O929" s="37">
        <v>0</v>
      </c>
      <c r="P929" s="37">
        <v>0</v>
      </c>
      <c r="Q929" s="37">
        <v>45003</v>
      </c>
      <c r="R929" s="37">
        <v>45003</v>
      </c>
      <c r="S929" s="37">
        <v>0</v>
      </c>
      <c r="T929" s="37">
        <v>0</v>
      </c>
      <c r="U929" s="37">
        <v>44289</v>
      </c>
      <c r="V929" s="37">
        <v>225</v>
      </c>
      <c r="W929" s="37">
        <v>47874.799999999988</v>
      </c>
      <c r="X929" s="37">
        <v>18495.75</v>
      </c>
      <c r="Y929" s="37">
        <v>0</v>
      </c>
      <c r="Z929" s="37">
        <v>0</v>
      </c>
      <c r="AA929" s="37">
        <v>137166.79999999999</v>
      </c>
      <c r="AB929" s="37">
        <v>63723.75</v>
      </c>
      <c r="AC929" s="37">
        <v>0</v>
      </c>
      <c r="AD929" s="37">
        <v>0</v>
      </c>
      <c r="AE929" s="37">
        <v>0</v>
      </c>
      <c r="AF929" s="168">
        <v>0.02</v>
      </c>
      <c r="AG929" s="37">
        <v>13215483.300000001</v>
      </c>
      <c r="AH929" s="37">
        <v>96663.38</v>
      </c>
      <c r="AI929" s="37">
        <v>98596.65</v>
      </c>
      <c r="AJ929" s="37">
        <v>100568.58</v>
      </c>
      <c r="AK929" s="37">
        <v>121522.51</v>
      </c>
      <c r="AL929" s="37">
        <v>123952.96000000001</v>
      </c>
      <c r="AM929" s="37">
        <v>106724.18</v>
      </c>
      <c r="AN929" s="37">
        <v>108858.66</v>
      </c>
      <c r="AO929" s="37">
        <v>111035.84</v>
      </c>
      <c r="AP929" s="37">
        <v>113256.55</v>
      </c>
      <c r="AQ929" s="37">
        <v>115521.69</v>
      </c>
      <c r="AR929" s="37">
        <v>1096701</v>
      </c>
      <c r="AS929" s="37">
        <v>584677.03</v>
      </c>
      <c r="AT929" s="37">
        <v>144718.88</v>
      </c>
      <c r="AU929" s="37">
        <v>147613.25</v>
      </c>
      <c r="AV929" s="37">
        <v>0</v>
      </c>
      <c r="AW929" s="37">
        <v>0</v>
      </c>
      <c r="AX929" s="37">
        <v>0</v>
      </c>
      <c r="AY929" s="37">
        <v>0</v>
      </c>
      <c r="AZ929" s="37">
        <v>0</v>
      </c>
      <c r="BA929" s="37">
        <v>0</v>
      </c>
      <c r="BB929" s="37">
        <v>0</v>
      </c>
      <c r="BC929" s="37">
        <v>0</v>
      </c>
      <c r="BD929" s="37">
        <v>292332.13</v>
      </c>
      <c r="BE929" s="37">
        <v>0</v>
      </c>
      <c r="BF929" s="37">
        <v>0</v>
      </c>
      <c r="BG929" s="37">
        <v>0</v>
      </c>
      <c r="BH929" s="37">
        <v>0</v>
      </c>
      <c r="BI929" s="37">
        <v>0</v>
      </c>
      <c r="BJ929" s="37">
        <v>0</v>
      </c>
      <c r="BK929" s="37">
        <v>0</v>
      </c>
      <c r="BL929" s="37">
        <v>0</v>
      </c>
      <c r="BM929" s="37">
        <v>0</v>
      </c>
      <c r="BN929" s="37">
        <v>0</v>
      </c>
      <c r="BO929" s="37">
        <v>0</v>
      </c>
      <c r="BP929" s="37">
        <v>0</v>
      </c>
      <c r="BQ929" s="37">
        <v>0</v>
      </c>
      <c r="BR929" s="37">
        <v>0</v>
      </c>
      <c r="BS929" s="37">
        <v>0</v>
      </c>
      <c r="BT929" s="37">
        <v>0</v>
      </c>
      <c r="BU929" s="37">
        <v>0</v>
      </c>
      <c r="BV929" s="37">
        <v>0</v>
      </c>
      <c r="BW929" s="37">
        <v>0</v>
      </c>
      <c r="BX929" s="37">
        <v>0</v>
      </c>
      <c r="BY929" s="37">
        <v>0</v>
      </c>
      <c r="BZ929" s="37">
        <v>0</v>
      </c>
      <c r="CA929" s="37">
        <v>0</v>
      </c>
      <c r="CB929" s="37">
        <v>0</v>
      </c>
      <c r="CC929" s="37">
        <v>0</v>
      </c>
      <c r="CD929" s="37">
        <v>0</v>
      </c>
      <c r="CE929" s="37">
        <v>0</v>
      </c>
      <c r="CF929" s="37">
        <v>0</v>
      </c>
      <c r="CG929" s="37">
        <v>0</v>
      </c>
      <c r="CH929" s="37">
        <v>0</v>
      </c>
      <c r="CI929" s="37">
        <v>0</v>
      </c>
      <c r="CJ929" s="37">
        <v>0</v>
      </c>
      <c r="CK929" s="37">
        <v>0</v>
      </c>
      <c r="CL929" s="37">
        <v>0</v>
      </c>
      <c r="CM929" s="37">
        <v>0</v>
      </c>
      <c r="CN929" s="37">
        <v>0</v>
      </c>
      <c r="CO929" s="37">
        <v>68250</v>
      </c>
      <c r="CP929" s="37">
        <v>283763</v>
      </c>
      <c r="CQ929" s="37">
        <v>0</v>
      </c>
      <c r="CR929" s="37">
        <v>0</v>
      </c>
      <c r="CS929" s="37">
        <v>0</v>
      </c>
      <c r="CT929" s="37">
        <v>0</v>
      </c>
      <c r="CU929" s="37">
        <v>0</v>
      </c>
      <c r="CV929" s="37">
        <v>0</v>
      </c>
      <c r="CW929" s="37">
        <v>0</v>
      </c>
      <c r="CX929" s="37">
        <v>0</v>
      </c>
      <c r="CY929" s="37">
        <v>0</v>
      </c>
      <c r="CZ929" s="37">
        <v>283763</v>
      </c>
      <c r="DA929" s="37">
        <v>0</v>
      </c>
      <c r="DB929" s="37">
        <v>0</v>
      </c>
      <c r="DC929" s="37">
        <v>0</v>
      </c>
      <c r="DD929" s="37">
        <v>0</v>
      </c>
      <c r="DE929" s="37">
        <v>0</v>
      </c>
      <c r="DF929" s="37">
        <v>0</v>
      </c>
      <c r="DG929" s="37">
        <v>0</v>
      </c>
      <c r="DH929" s="37">
        <v>0</v>
      </c>
      <c r="DI929" s="37">
        <v>0</v>
      </c>
      <c r="DJ929" s="37">
        <v>0</v>
      </c>
      <c r="DK929" s="37">
        <v>0</v>
      </c>
      <c r="DL929" s="37">
        <v>0</v>
      </c>
      <c r="DM929" s="37">
        <v>0</v>
      </c>
      <c r="DN929" s="37">
        <v>0</v>
      </c>
      <c r="DO929" s="37">
        <v>0</v>
      </c>
      <c r="DP929" s="37">
        <v>0</v>
      </c>
      <c r="DQ929" s="37">
        <v>0</v>
      </c>
      <c r="DR929" s="37">
        <v>0</v>
      </c>
      <c r="DS929" s="37">
        <v>0</v>
      </c>
      <c r="DT929" s="37">
        <v>0</v>
      </c>
      <c r="DU929" s="37">
        <v>0</v>
      </c>
      <c r="DV929" s="37">
        <v>0</v>
      </c>
      <c r="DW929" s="37">
        <v>0</v>
      </c>
      <c r="DX929" s="37">
        <v>0</v>
      </c>
      <c r="DY929" s="37">
        <v>0</v>
      </c>
      <c r="DZ929" s="37">
        <v>0</v>
      </c>
      <c r="EA929" s="37">
        <v>0</v>
      </c>
      <c r="EB929" s="37">
        <v>0</v>
      </c>
      <c r="EC929" s="37">
        <v>0</v>
      </c>
      <c r="ED929" s="37">
        <v>0</v>
      </c>
      <c r="EE929" s="37">
        <v>0</v>
      </c>
      <c r="EF929" s="37">
        <v>0</v>
      </c>
      <c r="EG929" s="37">
        <v>0</v>
      </c>
      <c r="EH929" s="37">
        <v>0</v>
      </c>
      <c r="EI929" s="37">
        <v>0</v>
      </c>
      <c r="EJ929" s="37">
        <v>0</v>
      </c>
      <c r="EK929" s="161" t="s">
        <v>3301</v>
      </c>
      <c r="EL929" s="294" t="s">
        <v>1124</v>
      </c>
    </row>
    <row r="930" spans="1:142" ht="15" customHeight="1" x14ac:dyDescent="0.35">
      <c r="A930" s="34"/>
      <c r="B930" s="313">
        <v>52070</v>
      </c>
      <c r="C930" s="8" t="s">
        <v>524</v>
      </c>
      <c r="D930" s="18">
        <v>14</v>
      </c>
      <c r="E930" s="155"/>
      <c r="F930" s="36"/>
      <c r="G930" s="37"/>
      <c r="H930" s="37"/>
      <c r="I930" s="37"/>
      <c r="J930" s="37"/>
      <c r="K930" s="37"/>
      <c r="L930" s="37"/>
      <c r="M930" s="37" t="s">
        <v>1124</v>
      </c>
      <c r="N930" s="37" t="s">
        <v>1124</v>
      </c>
      <c r="O930" s="37"/>
      <c r="P930" s="37"/>
      <c r="Q930" s="37"/>
      <c r="R930" s="37"/>
      <c r="S930" s="37"/>
      <c r="T930" s="37"/>
      <c r="U930" s="37"/>
      <c r="V930" s="37"/>
      <c r="W930" s="37"/>
      <c r="X930" s="37"/>
      <c r="Y930" s="37"/>
      <c r="Z930" s="37"/>
      <c r="AA930" s="37" t="s">
        <v>1124</v>
      </c>
      <c r="AB930" s="37" t="s">
        <v>1124</v>
      </c>
      <c r="AC930" s="37"/>
      <c r="AD930" s="37"/>
      <c r="AE930" s="37"/>
      <c r="AF930" s="168"/>
      <c r="AG930" s="37"/>
      <c r="AH930" s="37"/>
      <c r="AI930" s="37"/>
      <c r="AJ930" s="37"/>
      <c r="AK930" s="37"/>
      <c r="AL930" s="37"/>
      <c r="AM930" s="37"/>
      <c r="AN930" s="37"/>
      <c r="AO930" s="37"/>
      <c r="AP930" s="37"/>
      <c r="AQ930" s="37"/>
      <c r="AR930" s="37" t="s">
        <v>1124</v>
      </c>
      <c r="AS930" s="37"/>
      <c r="AT930" s="37"/>
      <c r="AU930" s="37"/>
      <c r="AV930" s="37"/>
      <c r="AW930" s="37"/>
      <c r="AX930" s="37"/>
      <c r="AY930" s="37"/>
      <c r="AZ930" s="37"/>
      <c r="BA930" s="37"/>
      <c r="BB930" s="37"/>
      <c r="BC930" s="37"/>
      <c r="BD930" s="37" t="s">
        <v>1124</v>
      </c>
      <c r="BE930" s="37"/>
      <c r="BF930" s="37"/>
      <c r="BG930" s="37"/>
      <c r="BH930" s="37"/>
      <c r="BI930" s="37"/>
      <c r="BJ930" s="37"/>
      <c r="BK930" s="37"/>
      <c r="BL930" s="37"/>
      <c r="BM930" s="37"/>
      <c r="BN930" s="37"/>
      <c r="BO930" s="37"/>
      <c r="BP930" s="37">
        <v>0</v>
      </c>
      <c r="BQ930" s="37"/>
      <c r="BR930" s="37"/>
      <c r="BS930" s="37"/>
      <c r="BT930" s="37"/>
      <c r="BU930" s="37"/>
      <c r="BV930" s="37"/>
      <c r="BW930" s="37"/>
      <c r="BX930" s="37"/>
      <c r="BY930" s="37"/>
      <c r="BZ930" s="37"/>
      <c r="CA930" s="37"/>
      <c r="CB930" s="37" t="s">
        <v>1124</v>
      </c>
      <c r="CC930" s="37"/>
      <c r="CD930" s="37"/>
      <c r="CE930" s="37"/>
      <c r="CF930" s="37"/>
      <c r="CG930" s="37"/>
      <c r="CH930" s="37"/>
      <c r="CI930" s="37"/>
      <c r="CJ930" s="37"/>
      <c r="CK930" s="37"/>
      <c r="CL930" s="37"/>
      <c r="CM930" s="37"/>
      <c r="CN930" s="37" t="s">
        <v>1124</v>
      </c>
      <c r="CO930" s="37"/>
      <c r="CP930" s="37"/>
      <c r="CQ930" s="37"/>
      <c r="CR930" s="37"/>
      <c r="CS930" s="37"/>
      <c r="CT930" s="37"/>
      <c r="CU930" s="37"/>
      <c r="CV930" s="37"/>
      <c r="CW930" s="37"/>
      <c r="CX930" s="37"/>
      <c r="CY930" s="37"/>
      <c r="CZ930" s="37" t="s">
        <v>1124</v>
      </c>
      <c r="DA930" s="37"/>
      <c r="DB930" s="37"/>
      <c r="DC930" s="37"/>
      <c r="DD930" s="37"/>
      <c r="DE930" s="37"/>
      <c r="DF930" s="37"/>
      <c r="DG930" s="37"/>
      <c r="DH930" s="37"/>
      <c r="DI930" s="37"/>
      <c r="DJ930" s="37"/>
      <c r="DK930" s="37"/>
      <c r="DL930" s="37" t="s">
        <v>1124</v>
      </c>
      <c r="DM930" s="37"/>
      <c r="DN930" s="37"/>
      <c r="DO930" s="37"/>
      <c r="DP930" s="37"/>
      <c r="DQ930" s="37"/>
      <c r="DR930" s="37"/>
      <c r="DS930" s="37"/>
      <c r="DT930" s="37"/>
      <c r="DU930" s="37"/>
      <c r="DV930" s="37"/>
      <c r="DW930" s="37"/>
      <c r="DX930" s="37" t="s">
        <v>1124</v>
      </c>
      <c r="DY930" s="37"/>
      <c r="DZ930" s="37"/>
      <c r="EA930" s="37"/>
      <c r="EB930" s="37"/>
      <c r="EC930" s="37"/>
      <c r="ED930" s="37"/>
      <c r="EE930" s="37"/>
      <c r="EF930" s="37"/>
      <c r="EG930" s="37"/>
      <c r="EH930" s="37"/>
      <c r="EI930" s="37"/>
      <c r="EJ930" s="37" t="s">
        <v>1124</v>
      </c>
      <c r="EK930" s="161"/>
      <c r="EL930" s="294"/>
    </row>
    <row r="931" spans="1:142" ht="15" customHeight="1" x14ac:dyDescent="0.35">
      <c r="A931" s="34"/>
      <c r="B931" s="313">
        <v>39043</v>
      </c>
      <c r="C931" s="8" t="s">
        <v>344</v>
      </c>
      <c r="D931" s="18">
        <v>17</v>
      </c>
      <c r="E931" s="155">
        <v>40088</v>
      </c>
      <c r="F931" s="36">
        <v>31304</v>
      </c>
      <c r="G931" s="37">
        <v>3541</v>
      </c>
      <c r="H931" s="37">
        <v>0</v>
      </c>
      <c r="I931" s="37">
        <v>61074</v>
      </c>
      <c r="J931" s="37">
        <v>0</v>
      </c>
      <c r="K931" s="37">
        <v>6013.2</v>
      </c>
      <c r="L931" s="37">
        <v>4695.5999999999995</v>
      </c>
      <c r="M931" s="37">
        <v>110716.2</v>
      </c>
      <c r="N931" s="37">
        <v>35999.599999999999</v>
      </c>
      <c r="O931" s="37">
        <v>0</v>
      </c>
      <c r="P931" s="37">
        <v>0</v>
      </c>
      <c r="Q931" s="37">
        <v>62400</v>
      </c>
      <c r="R931" s="37">
        <v>0</v>
      </c>
      <c r="S931" s="37">
        <v>0</v>
      </c>
      <c r="T931" s="37">
        <v>0</v>
      </c>
      <c r="U931" s="37">
        <v>302</v>
      </c>
      <c r="V931" s="37">
        <v>1594</v>
      </c>
      <c r="W931" s="37">
        <v>48014.2</v>
      </c>
      <c r="X931" s="37">
        <v>34405.599999999999</v>
      </c>
      <c r="Y931" s="37">
        <v>0</v>
      </c>
      <c r="Z931" s="37">
        <v>0</v>
      </c>
      <c r="AA931" s="37">
        <v>110716.2</v>
      </c>
      <c r="AB931" s="37">
        <v>35999.599999999999</v>
      </c>
      <c r="AC931" s="37">
        <v>0</v>
      </c>
      <c r="AD931" s="37">
        <v>0</v>
      </c>
      <c r="AE931" s="37">
        <v>0</v>
      </c>
      <c r="AF931" s="168">
        <v>0.02</v>
      </c>
      <c r="AG931" s="37">
        <v>7047894.7999999998</v>
      </c>
      <c r="AH931" s="37">
        <v>65511.15</v>
      </c>
      <c r="AI931" s="37">
        <v>66821.37</v>
      </c>
      <c r="AJ931" s="37">
        <v>68157.8</v>
      </c>
      <c r="AK931" s="37">
        <v>69520.95</v>
      </c>
      <c r="AL931" s="37">
        <v>70911.37</v>
      </c>
      <c r="AM931" s="37">
        <v>72329.600000000006</v>
      </c>
      <c r="AN931" s="37">
        <v>73776.19</v>
      </c>
      <c r="AO931" s="37">
        <v>75251.710000000006</v>
      </c>
      <c r="AP931" s="37">
        <v>76756.75</v>
      </c>
      <c r="AQ931" s="37">
        <v>78291.88</v>
      </c>
      <c r="AR931" s="37">
        <v>717328.77</v>
      </c>
      <c r="AS931" s="37">
        <v>31212</v>
      </c>
      <c r="AT931" s="37">
        <v>109242</v>
      </c>
      <c r="AU931" s="37">
        <v>0</v>
      </c>
      <c r="AV931" s="37">
        <v>0</v>
      </c>
      <c r="AW931" s="37">
        <v>0</v>
      </c>
      <c r="AX931" s="37">
        <v>0</v>
      </c>
      <c r="AY931" s="37">
        <v>0</v>
      </c>
      <c r="AZ931" s="37">
        <v>0</v>
      </c>
      <c r="BA931" s="37">
        <v>0</v>
      </c>
      <c r="BB931" s="37">
        <v>0</v>
      </c>
      <c r="BC931" s="37">
        <v>0</v>
      </c>
      <c r="BD931" s="37">
        <v>109242</v>
      </c>
      <c r="BE931" s="37">
        <v>0</v>
      </c>
      <c r="BF931" s="37">
        <v>76658.220752767171</v>
      </c>
      <c r="BG931" s="37">
        <v>82627.887170969581</v>
      </c>
      <c r="BH931" s="37">
        <v>101718.58615067838</v>
      </c>
      <c r="BI931" s="37">
        <v>120809.32592558496</v>
      </c>
      <c r="BJ931" s="37">
        <v>0</v>
      </c>
      <c r="BK931" s="37">
        <v>0</v>
      </c>
      <c r="BL931" s="37">
        <v>0</v>
      </c>
      <c r="BM931" s="37">
        <v>0</v>
      </c>
      <c r="BN931" s="37">
        <v>0</v>
      </c>
      <c r="BO931" s="37">
        <v>0</v>
      </c>
      <c r="BP931" s="37">
        <v>381814.02000000008</v>
      </c>
      <c r="BQ931" s="37">
        <v>0</v>
      </c>
      <c r="BR931" s="37">
        <v>0</v>
      </c>
      <c r="BS931" s="37">
        <v>0</v>
      </c>
      <c r="BT931" s="37">
        <v>0</v>
      </c>
      <c r="BU931" s="37">
        <v>0</v>
      </c>
      <c r="BV931" s="37">
        <v>0</v>
      </c>
      <c r="BW931" s="37">
        <v>0</v>
      </c>
      <c r="BX931" s="37">
        <v>0</v>
      </c>
      <c r="BY931" s="37">
        <v>0</v>
      </c>
      <c r="BZ931" s="37">
        <v>0</v>
      </c>
      <c r="CA931" s="37">
        <v>0</v>
      </c>
      <c r="CB931" s="37">
        <v>0</v>
      </c>
      <c r="CC931" s="37">
        <v>0</v>
      </c>
      <c r="CD931" s="37">
        <v>0</v>
      </c>
      <c r="CE931" s="37">
        <v>0</v>
      </c>
      <c r="CF931" s="37">
        <v>0</v>
      </c>
      <c r="CG931" s="37">
        <v>0</v>
      </c>
      <c r="CH931" s="37">
        <v>0</v>
      </c>
      <c r="CI931" s="37">
        <v>0</v>
      </c>
      <c r="CJ931" s="37">
        <v>0</v>
      </c>
      <c r="CK931" s="37">
        <v>0</v>
      </c>
      <c r="CL931" s="37">
        <v>0</v>
      </c>
      <c r="CM931" s="37">
        <v>0</v>
      </c>
      <c r="CN931" s="37">
        <v>0</v>
      </c>
      <c r="CO931" s="37">
        <v>0</v>
      </c>
      <c r="CP931" s="37">
        <v>0</v>
      </c>
      <c r="CQ931" s="37">
        <v>0</v>
      </c>
      <c r="CR931" s="37">
        <v>0</v>
      </c>
      <c r="CS931" s="37">
        <v>0</v>
      </c>
      <c r="CT931" s="37">
        <v>0</v>
      </c>
      <c r="CU931" s="37">
        <v>0</v>
      </c>
      <c r="CV931" s="37">
        <v>0</v>
      </c>
      <c r="CW931" s="37">
        <v>0</v>
      </c>
      <c r="CX931" s="37">
        <v>0</v>
      </c>
      <c r="CY931" s="37">
        <v>0</v>
      </c>
      <c r="CZ931" s="37">
        <v>0</v>
      </c>
      <c r="DA931" s="37">
        <v>0</v>
      </c>
      <c r="DB931" s="37">
        <v>0</v>
      </c>
      <c r="DC931" s="37">
        <v>0</v>
      </c>
      <c r="DD931" s="37">
        <v>0</v>
      </c>
      <c r="DE931" s="37">
        <v>0</v>
      </c>
      <c r="DF931" s="37">
        <v>0</v>
      </c>
      <c r="DG931" s="37">
        <v>0</v>
      </c>
      <c r="DH931" s="37">
        <v>0</v>
      </c>
      <c r="DI931" s="37">
        <v>0</v>
      </c>
      <c r="DJ931" s="37">
        <v>0</v>
      </c>
      <c r="DK931" s="37">
        <v>0</v>
      </c>
      <c r="DL931" s="37">
        <v>0</v>
      </c>
      <c r="DM931" s="37">
        <v>0</v>
      </c>
      <c r="DN931" s="37">
        <v>0</v>
      </c>
      <c r="DO931" s="37">
        <v>0</v>
      </c>
      <c r="DP931" s="37">
        <v>0</v>
      </c>
      <c r="DQ931" s="37">
        <v>0</v>
      </c>
      <c r="DR931" s="37">
        <v>0</v>
      </c>
      <c r="DS931" s="37">
        <v>0</v>
      </c>
      <c r="DT931" s="37">
        <v>0</v>
      </c>
      <c r="DU931" s="37">
        <v>0</v>
      </c>
      <c r="DV931" s="37">
        <v>0</v>
      </c>
      <c r="DW931" s="37">
        <v>0</v>
      </c>
      <c r="DX931" s="37">
        <v>0</v>
      </c>
      <c r="DY931" s="37">
        <v>0</v>
      </c>
      <c r="DZ931" s="37">
        <v>0</v>
      </c>
      <c r="EA931" s="37">
        <v>0</v>
      </c>
      <c r="EB931" s="37">
        <v>0</v>
      </c>
      <c r="EC931" s="37">
        <v>0</v>
      </c>
      <c r="ED931" s="37">
        <v>0</v>
      </c>
      <c r="EE931" s="37">
        <v>0</v>
      </c>
      <c r="EF931" s="37">
        <v>0</v>
      </c>
      <c r="EG931" s="37">
        <v>0</v>
      </c>
      <c r="EH931" s="37">
        <v>0</v>
      </c>
      <c r="EI931" s="37">
        <v>0</v>
      </c>
      <c r="EJ931" s="37">
        <v>0</v>
      </c>
      <c r="EK931" s="161" t="s">
        <v>3304</v>
      </c>
      <c r="EL931" s="294" t="s">
        <v>1124</v>
      </c>
    </row>
    <row r="932" spans="1:142" ht="15" customHeight="1" x14ac:dyDescent="0.35">
      <c r="A932" s="34"/>
      <c r="B932" s="313">
        <v>9055</v>
      </c>
      <c r="C932" s="8" t="s">
        <v>1106</v>
      </c>
      <c r="D932" s="18">
        <v>1</v>
      </c>
      <c r="E932" s="155">
        <v>31950</v>
      </c>
      <c r="F932" s="36">
        <v>0</v>
      </c>
      <c r="G932" s="37">
        <v>7180</v>
      </c>
      <c r="H932" s="37">
        <v>0</v>
      </c>
      <c r="I932" s="37">
        <v>0</v>
      </c>
      <c r="J932" s="37">
        <v>0</v>
      </c>
      <c r="K932" s="37">
        <v>4792.5</v>
      </c>
      <c r="L932" s="37">
        <v>0</v>
      </c>
      <c r="M932" s="37">
        <v>43922.5</v>
      </c>
      <c r="N932" s="37">
        <v>0</v>
      </c>
      <c r="O932" s="37">
        <v>0</v>
      </c>
      <c r="P932" s="37">
        <v>0</v>
      </c>
      <c r="Q932" s="37">
        <v>72750</v>
      </c>
      <c r="R932" s="37">
        <v>0</v>
      </c>
      <c r="S932" s="37">
        <v>0</v>
      </c>
      <c r="T932" s="37">
        <v>0</v>
      </c>
      <c r="U932" s="37">
        <v>0</v>
      </c>
      <c r="V932" s="37">
        <v>0</v>
      </c>
      <c r="W932" s="37">
        <v>0</v>
      </c>
      <c r="X932" s="37">
        <v>0</v>
      </c>
      <c r="Y932" s="37">
        <v>0</v>
      </c>
      <c r="Z932" s="37">
        <v>0</v>
      </c>
      <c r="AA932" s="37">
        <v>72750</v>
      </c>
      <c r="AB932" s="37">
        <v>0</v>
      </c>
      <c r="AC932" s="37">
        <v>28827</v>
      </c>
      <c r="AD932" s="37">
        <v>0</v>
      </c>
      <c r="AE932" s="37">
        <v>0</v>
      </c>
      <c r="AF932" s="168">
        <v>0.02</v>
      </c>
      <c r="AG932" s="37">
        <v>11047719.859999999</v>
      </c>
      <c r="AH932" s="37">
        <v>83409.820000000007</v>
      </c>
      <c r="AI932" s="37">
        <v>95482.01</v>
      </c>
      <c r="AJ932" s="37">
        <v>86779.57</v>
      </c>
      <c r="AK932" s="37">
        <v>88515.16</v>
      </c>
      <c r="AL932" s="37">
        <v>90285.47</v>
      </c>
      <c r="AM932" s="37">
        <v>92091.18</v>
      </c>
      <c r="AN932" s="37">
        <v>93933</v>
      </c>
      <c r="AO932" s="37">
        <v>95811.66</v>
      </c>
      <c r="AP932" s="37">
        <v>97727.89</v>
      </c>
      <c r="AQ932" s="37">
        <v>99682.45</v>
      </c>
      <c r="AR932" s="37">
        <v>923718.21</v>
      </c>
      <c r="AS932" s="37">
        <v>0</v>
      </c>
      <c r="AT932" s="37">
        <v>0</v>
      </c>
      <c r="AU932" s="37">
        <v>0</v>
      </c>
      <c r="AV932" s="37">
        <v>0</v>
      </c>
      <c r="AW932" s="37">
        <v>0</v>
      </c>
      <c r="AX932" s="37">
        <v>0</v>
      </c>
      <c r="AY932" s="37">
        <v>0</v>
      </c>
      <c r="AZ932" s="37">
        <v>0</v>
      </c>
      <c r="BA932" s="37">
        <v>0</v>
      </c>
      <c r="BB932" s="37">
        <v>0</v>
      </c>
      <c r="BC932" s="37">
        <v>0</v>
      </c>
      <c r="BD932" s="37">
        <v>0</v>
      </c>
      <c r="BE932" s="37">
        <v>0</v>
      </c>
      <c r="BF932" s="37">
        <v>0</v>
      </c>
      <c r="BG932" s="37">
        <v>0</v>
      </c>
      <c r="BH932" s="37">
        <v>0</v>
      </c>
      <c r="BI932" s="37">
        <v>0</v>
      </c>
      <c r="BJ932" s="37">
        <v>0</v>
      </c>
      <c r="BK932" s="37">
        <v>0</v>
      </c>
      <c r="BL932" s="37">
        <v>0</v>
      </c>
      <c r="BM932" s="37">
        <v>0</v>
      </c>
      <c r="BN932" s="37">
        <v>0</v>
      </c>
      <c r="BO932" s="37">
        <v>0</v>
      </c>
      <c r="BP932" s="37">
        <v>0</v>
      </c>
      <c r="BQ932" s="37">
        <v>0</v>
      </c>
      <c r="BR932" s="37">
        <v>0</v>
      </c>
      <c r="BS932" s="37">
        <v>0</v>
      </c>
      <c r="BT932" s="37">
        <v>0</v>
      </c>
      <c r="BU932" s="37">
        <v>0</v>
      </c>
      <c r="BV932" s="37">
        <v>0</v>
      </c>
      <c r="BW932" s="37">
        <v>0</v>
      </c>
      <c r="BX932" s="37">
        <v>0</v>
      </c>
      <c r="BY932" s="37">
        <v>0</v>
      </c>
      <c r="BZ932" s="37">
        <v>0</v>
      </c>
      <c r="CA932" s="37">
        <v>0</v>
      </c>
      <c r="CB932" s="37">
        <v>0</v>
      </c>
      <c r="CC932" s="37">
        <v>0</v>
      </c>
      <c r="CD932" s="37">
        <v>0</v>
      </c>
      <c r="CE932" s="37">
        <v>10000</v>
      </c>
      <c r="CF932" s="37">
        <v>0</v>
      </c>
      <c r="CG932" s="37">
        <v>0</v>
      </c>
      <c r="CH932" s="37">
        <v>0</v>
      </c>
      <c r="CI932" s="37">
        <v>0</v>
      </c>
      <c r="CJ932" s="37">
        <v>0</v>
      </c>
      <c r="CK932" s="37">
        <v>0</v>
      </c>
      <c r="CL932" s="37">
        <v>0</v>
      </c>
      <c r="CM932" s="37">
        <v>0</v>
      </c>
      <c r="CN932" s="37">
        <v>10000</v>
      </c>
      <c r="CO932" s="37">
        <v>360371</v>
      </c>
      <c r="CP932" s="37">
        <v>0</v>
      </c>
      <c r="CQ932" s="37">
        <v>0</v>
      </c>
      <c r="CR932" s="37">
        <v>0</v>
      </c>
      <c r="CS932" s="37">
        <v>0</v>
      </c>
      <c r="CT932" s="37">
        <v>0</v>
      </c>
      <c r="CU932" s="37">
        <v>0</v>
      </c>
      <c r="CV932" s="37">
        <v>0</v>
      </c>
      <c r="CW932" s="37">
        <v>0</v>
      </c>
      <c r="CX932" s="37">
        <v>0</v>
      </c>
      <c r="CY932" s="37">
        <v>0</v>
      </c>
      <c r="CZ932" s="37">
        <v>0</v>
      </c>
      <c r="DA932" s="37">
        <v>180186</v>
      </c>
      <c r="DB932" s="37">
        <v>0</v>
      </c>
      <c r="DC932" s="37">
        <v>0</v>
      </c>
      <c r="DD932" s="37">
        <v>0</v>
      </c>
      <c r="DE932" s="37">
        <v>0</v>
      </c>
      <c r="DF932" s="37">
        <v>0</v>
      </c>
      <c r="DG932" s="37">
        <v>0</v>
      </c>
      <c r="DH932" s="37">
        <v>0</v>
      </c>
      <c r="DI932" s="37">
        <v>0</v>
      </c>
      <c r="DJ932" s="37">
        <v>0</v>
      </c>
      <c r="DK932" s="37">
        <v>0</v>
      </c>
      <c r="DL932" s="37">
        <v>0</v>
      </c>
      <c r="DM932" s="37">
        <v>0</v>
      </c>
      <c r="DN932" s="37">
        <v>0</v>
      </c>
      <c r="DO932" s="37">
        <v>0</v>
      </c>
      <c r="DP932" s="37">
        <v>0</v>
      </c>
      <c r="DQ932" s="37">
        <v>0</v>
      </c>
      <c r="DR932" s="37">
        <v>0</v>
      </c>
      <c r="DS932" s="37">
        <v>0</v>
      </c>
      <c r="DT932" s="37">
        <v>0</v>
      </c>
      <c r="DU932" s="37">
        <v>0</v>
      </c>
      <c r="DV932" s="37">
        <v>0</v>
      </c>
      <c r="DW932" s="37">
        <v>0</v>
      </c>
      <c r="DX932" s="37">
        <v>0</v>
      </c>
      <c r="DY932" s="37">
        <v>0</v>
      </c>
      <c r="DZ932" s="37">
        <v>0</v>
      </c>
      <c r="EA932" s="37">
        <v>0</v>
      </c>
      <c r="EB932" s="37">
        <v>0</v>
      </c>
      <c r="EC932" s="37">
        <v>0</v>
      </c>
      <c r="ED932" s="37">
        <v>0</v>
      </c>
      <c r="EE932" s="37">
        <v>0</v>
      </c>
      <c r="EF932" s="37">
        <v>0</v>
      </c>
      <c r="EG932" s="37">
        <v>0</v>
      </c>
      <c r="EH932" s="37">
        <v>0</v>
      </c>
      <c r="EI932" s="37">
        <v>0</v>
      </c>
      <c r="EJ932" s="37">
        <v>0</v>
      </c>
      <c r="EK932" s="161" t="s">
        <v>3307</v>
      </c>
      <c r="EL932" s="294" t="s">
        <v>1124</v>
      </c>
    </row>
    <row r="933" spans="1:142" ht="15" customHeight="1" x14ac:dyDescent="0.35">
      <c r="A933" s="34"/>
      <c r="B933" s="313">
        <v>27035</v>
      </c>
      <c r="C933" s="8" t="s">
        <v>181</v>
      </c>
      <c r="D933" s="18">
        <v>12</v>
      </c>
      <c r="E933" s="155">
        <v>85839</v>
      </c>
      <c r="F933" s="36">
        <v>93319</v>
      </c>
      <c r="G933" s="37">
        <v>0</v>
      </c>
      <c r="H933" s="37">
        <v>0</v>
      </c>
      <c r="I933" s="37">
        <v>0</v>
      </c>
      <c r="J933" s="37">
        <v>0</v>
      </c>
      <c r="K933" s="37">
        <v>12038</v>
      </c>
      <c r="L933" s="37">
        <v>7135</v>
      </c>
      <c r="M933" s="37">
        <v>97877</v>
      </c>
      <c r="N933" s="37">
        <v>100454</v>
      </c>
      <c r="O933" s="37">
        <v>0</v>
      </c>
      <c r="P933" s="37">
        <v>0</v>
      </c>
      <c r="Q933" s="37">
        <v>49431.5</v>
      </c>
      <c r="R933" s="37">
        <v>49431</v>
      </c>
      <c r="S933" s="37">
        <v>150</v>
      </c>
      <c r="T933" s="37">
        <v>3492</v>
      </c>
      <c r="U933" s="37">
        <v>0</v>
      </c>
      <c r="V933" s="37">
        <v>0</v>
      </c>
      <c r="W933" s="37">
        <v>48295.5</v>
      </c>
      <c r="X933" s="37">
        <v>47531</v>
      </c>
      <c r="Y933" s="37">
        <v>0</v>
      </c>
      <c r="Z933" s="37">
        <v>0</v>
      </c>
      <c r="AA933" s="37">
        <v>97877</v>
      </c>
      <c r="AB933" s="37">
        <v>100454</v>
      </c>
      <c r="AC933" s="37">
        <v>0</v>
      </c>
      <c r="AD933" s="37">
        <v>0</v>
      </c>
      <c r="AE933" s="37">
        <v>166000</v>
      </c>
      <c r="AF933" s="168">
        <v>0.02</v>
      </c>
      <c r="AG933" s="37">
        <v>20900664.719999999</v>
      </c>
      <c r="AH933" s="37">
        <v>160464.73000000001</v>
      </c>
      <c r="AI933" s="37">
        <v>163674.01999999999</v>
      </c>
      <c r="AJ933" s="37">
        <v>166947.5</v>
      </c>
      <c r="AK933" s="37">
        <v>170286.45</v>
      </c>
      <c r="AL933" s="37">
        <v>173692.18</v>
      </c>
      <c r="AM933" s="37">
        <v>177166.03</v>
      </c>
      <c r="AN933" s="37">
        <v>180709.35</v>
      </c>
      <c r="AO933" s="37">
        <v>184323.53</v>
      </c>
      <c r="AP933" s="37">
        <v>188010</v>
      </c>
      <c r="AQ933" s="37">
        <v>191770.2</v>
      </c>
      <c r="AR933" s="37">
        <v>1757043.99</v>
      </c>
      <c r="AS933" s="37">
        <v>0</v>
      </c>
      <c r="AT933" s="37">
        <v>0</v>
      </c>
      <c r="AU933" s="37">
        <v>0</v>
      </c>
      <c r="AV933" s="37">
        <v>0</v>
      </c>
      <c r="AW933" s="37">
        <v>0</v>
      </c>
      <c r="AX933" s="37">
        <v>0</v>
      </c>
      <c r="AY933" s="37">
        <v>0</v>
      </c>
      <c r="AZ933" s="37">
        <v>0</v>
      </c>
      <c r="BA933" s="37">
        <v>0</v>
      </c>
      <c r="BB933" s="37">
        <v>0</v>
      </c>
      <c r="BC933" s="37">
        <v>0</v>
      </c>
      <c r="BD933" s="37">
        <v>0</v>
      </c>
      <c r="BE933" s="37">
        <v>0</v>
      </c>
      <c r="BF933" s="37">
        <v>0</v>
      </c>
      <c r="BG933" s="37">
        <v>0</v>
      </c>
      <c r="BH933" s="37">
        <v>0</v>
      </c>
      <c r="BI933" s="37">
        <v>0</v>
      </c>
      <c r="BJ933" s="37">
        <v>0</v>
      </c>
      <c r="BK933" s="37">
        <v>0</v>
      </c>
      <c r="BL933" s="37">
        <v>0</v>
      </c>
      <c r="BM933" s="37">
        <v>0</v>
      </c>
      <c r="BN933" s="37">
        <v>0</v>
      </c>
      <c r="BO933" s="37">
        <v>0</v>
      </c>
      <c r="BP933" s="37">
        <v>0</v>
      </c>
      <c r="BQ933" s="37">
        <v>0</v>
      </c>
      <c r="BR933" s="37">
        <v>0</v>
      </c>
      <c r="BS933" s="37">
        <v>0</v>
      </c>
      <c r="BT933" s="37">
        <v>0</v>
      </c>
      <c r="BU933" s="37">
        <v>0</v>
      </c>
      <c r="BV933" s="37">
        <v>0</v>
      </c>
      <c r="BW933" s="37">
        <v>0</v>
      </c>
      <c r="BX933" s="37">
        <v>0</v>
      </c>
      <c r="BY933" s="37">
        <v>0</v>
      </c>
      <c r="BZ933" s="37">
        <v>0</v>
      </c>
      <c r="CA933" s="37">
        <v>0</v>
      </c>
      <c r="CB933" s="37">
        <v>0</v>
      </c>
      <c r="CC933" s="37">
        <v>0</v>
      </c>
      <c r="CD933" s="37">
        <v>0</v>
      </c>
      <c r="CE933" s="37">
        <v>0</v>
      </c>
      <c r="CF933" s="37">
        <v>0</v>
      </c>
      <c r="CG933" s="37">
        <v>0</v>
      </c>
      <c r="CH933" s="37">
        <v>0</v>
      </c>
      <c r="CI933" s="37">
        <v>0</v>
      </c>
      <c r="CJ933" s="37">
        <v>0</v>
      </c>
      <c r="CK933" s="37">
        <v>0</v>
      </c>
      <c r="CL933" s="37">
        <v>0</v>
      </c>
      <c r="CM933" s="37">
        <v>0</v>
      </c>
      <c r="CN933" s="37">
        <v>0</v>
      </c>
      <c r="CO933" s="37">
        <v>0</v>
      </c>
      <c r="CP933" s="37">
        <v>0</v>
      </c>
      <c r="CQ933" s="37">
        <v>0</v>
      </c>
      <c r="CR933" s="37">
        <v>0</v>
      </c>
      <c r="CS933" s="37">
        <v>0</v>
      </c>
      <c r="CT933" s="37">
        <v>0</v>
      </c>
      <c r="CU933" s="37">
        <v>0</v>
      </c>
      <c r="CV933" s="37">
        <v>0</v>
      </c>
      <c r="CW933" s="37">
        <v>0</v>
      </c>
      <c r="CX933" s="37">
        <v>0</v>
      </c>
      <c r="CY933" s="37">
        <v>0</v>
      </c>
      <c r="CZ933" s="37">
        <v>0</v>
      </c>
      <c r="DA933" s="37">
        <v>0</v>
      </c>
      <c r="DB933" s="37">
        <v>0</v>
      </c>
      <c r="DC933" s="37">
        <v>0</v>
      </c>
      <c r="DD933" s="37">
        <v>0</v>
      </c>
      <c r="DE933" s="37">
        <v>0</v>
      </c>
      <c r="DF933" s="37">
        <v>0</v>
      </c>
      <c r="DG933" s="37">
        <v>0</v>
      </c>
      <c r="DH933" s="37">
        <v>0</v>
      </c>
      <c r="DI933" s="37">
        <v>0</v>
      </c>
      <c r="DJ933" s="37">
        <v>0</v>
      </c>
      <c r="DK933" s="37">
        <v>0</v>
      </c>
      <c r="DL933" s="37">
        <v>0</v>
      </c>
      <c r="DM933" s="37">
        <v>0</v>
      </c>
      <c r="DN933" s="37">
        <v>0</v>
      </c>
      <c r="DO933" s="37">
        <v>0</v>
      </c>
      <c r="DP933" s="37">
        <v>0</v>
      </c>
      <c r="DQ933" s="37">
        <v>0</v>
      </c>
      <c r="DR933" s="37">
        <v>0</v>
      </c>
      <c r="DS933" s="37">
        <v>0</v>
      </c>
      <c r="DT933" s="37">
        <v>0</v>
      </c>
      <c r="DU933" s="37">
        <v>0</v>
      </c>
      <c r="DV933" s="37">
        <v>0</v>
      </c>
      <c r="DW933" s="37">
        <v>0</v>
      </c>
      <c r="DX933" s="37">
        <v>0</v>
      </c>
      <c r="DY933" s="37">
        <v>0</v>
      </c>
      <c r="DZ933" s="37">
        <v>0</v>
      </c>
      <c r="EA933" s="37">
        <v>0</v>
      </c>
      <c r="EB933" s="37">
        <v>0</v>
      </c>
      <c r="EC933" s="37">
        <v>0</v>
      </c>
      <c r="ED933" s="37">
        <v>0</v>
      </c>
      <c r="EE933" s="37">
        <v>0</v>
      </c>
      <c r="EF933" s="37">
        <v>0</v>
      </c>
      <c r="EG933" s="37">
        <v>0</v>
      </c>
      <c r="EH933" s="37">
        <v>0</v>
      </c>
      <c r="EI933" s="37">
        <v>0</v>
      </c>
      <c r="EJ933" s="37">
        <v>0</v>
      </c>
      <c r="EK933" s="161" t="s">
        <v>1124</v>
      </c>
      <c r="EL933" s="294" t="s">
        <v>1124</v>
      </c>
    </row>
    <row r="934" spans="1:142" ht="15" customHeight="1" x14ac:dyDescent="0.35">
      <c r="A934" s="34"/>
      <c r="B934" s="313">
        <v>17005</v>
      </c>
      <c r="C934" s="8" t="s">
        <v>90</v>
      </c>
      <c r="D934" s="18">
        <v>12</v>
      </c>
      <c r="E934" s="155"/>
      <c r="F934" s="36"/>
      <c r="G934" s="37"/>
      <c r="H934" s="37"/>
      <c r="I934" s="37"/>
      <c r="J934" s="37"/>
      <c r="K934" s="37"/>
      <c r="L934" s="37"/>
      <c r="M934" s="37" t="s">
        <v>1124</v>
      </c>
      <c r="N934" s="37" t="s">
        <v>1124</v>
      </c>
      <c r="O934" s="37"/>
      <c r="P934" s="37"/>
      <c r="Q934" s="37"/>
      <c r="R934" s="37"/>
      <c r="S934" s="37"/>
      <c r="T934" s="37"/>
      <c r="U934" s="37"/>
      <c r="V934" s="37"/>
      <c r="W934" s="37"/>
      <c r="X934" s="37"/>
      <c r="Y934" s="37"/>
      <c r="Z934" s="37"/>
      <c r="AA934" s="37" t="s">
        <v>1124</v>
      </c>
      <c r="AB934" s="37" t="s">
        <v>1124</v>
      </c>
      <c r="AC934" s="37"/>
      <c r="AD934" s="37"/>
      <c r="AE934" s="37"/>
      <c r="AF934" s="168"/>
      <c r="AG934" s="37"/>
      <c r="AH934" s="37"/>
      <c r="AI934" s="37"/>
      <c r="AJ934" s="37"/>
      <c r="AK934" s="37"/>
      <c r="AL934" s="37"/>
      <c r="AM934" s="37"/>
      <c r="AN934" s="37"/>
      <c r="AO934" s="37"/>
      <c r="AP934" s="37"/>
      <c r="AQ934" s="37"/>
      <c r="AR934" s="37" t="s">
        <v>1124</v>
      </c>
      <c r="AS934" s="37"/>
      <c r="AT934" s="37"/>
      <c r="AU934" s="37"/>
      <c r="AV934" s="37"/>
      <c r="AW934" s="37"/>
      <c r="AX934" s="37"/>
      <c r="AY934" s="37"/>
      <c r="AZ934" s="37"/>
      <c r="BA934" s="37"/>
      <c r="BB934" s="37"/>
      <c r="BC934" s="37"/>
      <c r="BD934" s="37" t="s">
        <v>1124</v>
      </c>
      <c r="BE934" s="37"/>
      <c r="BF934" s="37"/>
      <c r="BG934" s="37"/>
      <c r="BH934" s="37"/>
      <c r="BI934" s="37"/>
      <c r="BJ934" s="37"/>
      <c r="BK934" s="37"/>
      <c r="BL934" s="37"/>
      <c r="BM934" s="37"/>
      <c r="BN934" s="37"/>
      <c r="BO934" s="37"/>
      <c r="BP934" s="37">
        <v>0</v>
      </c>
      <c r="BQ934" s="37"/>
      <c r="BR934" s="37"/>
      <c r="BS934" s="37"/>
      <c r="BT934" s="37"/>
      <c r="BU934" s="37"/>
      <c r="BV934" s="37"/>
      <c r="BW934" s="37"/>
      <c r="BX934" s="37"/>
      <c r="BY934" s="37"/>
      <c r="BZ934" s="37"/>
      <c r="CA934" s="37"/>
      <c r="CB934" s="37" t="s">
        <v>1124</v>
      </c>
      <c r="CC934" s="37"/>
      <c r="CD934" s="37"/>
      <c r="CE934" s="37"/>
      <c r="CF934" s="37"/>
      <c r="CG934" s="37"/>
      <c r="CH934" s="37"/>
      <c r="CI934" s="37"/>
      <c r="CJ934" s="37"/>
      <c r="CK934" s="37"/>
      <c r="CL934" s="37"/>
      <c r="CM934" s="37"/>
      <c r="CN934" s="37" t="s">
        <v>1124</v>
      </c>
      <c r="CO934" s="37"/>
      <c r="CP934" s="37"/>
      <c r="CQ934" s="37"/>
      <c r="CR934" s="37"/>
      <c r="CS934" s="37"/>
      <c r="CT934" s="37"/>
      <c r="CU934" s="37"/>
      <c r="CV934" s="37"/>
      <c r="CW934" s="37"/>
      <c r="CX934" s="37"/>
      <c r="CY934" s="37"/>
      <c r="CZ934" s="37" t="s">
        <v>1124</v>
      </c>
      <c r="DA934" s="37"/>
      <c r="DB934" s="37"/>
      <c r="DC934" s="37"/>
      <c r="DD934" s="37"/>
      <c r="DE934" s="37"/>
      <c r="DF934" s="37"/>
      <c r="DG934" s="37"/>
      <c r="DH934" s="37"/>
      <c r="DI934" s="37"/>
      <c r="DJ934" s="37"/>
      <c r="DK934" s="37"/>
      <c r="DL934" s="37" t="s">
        <v>1124</v>
      </c>
      <c r="DM934" s="37"/>
      <c r="DN934" s="37"/>
      <c r="DO934" s="37"/>
      <c r="DP934" s="37"/>
      <c r="DQ934" s="37"/>
      <c r="DR934" s="37"/>
      <c r="DS934" s="37"/>
      <c r="DT934" s="37"/>
      <c r="DU934" s="37"/>
      <c r="DV934" s="37"/>
      <c r="DW934" s="37"/>
      <c r="DX934" s="37" t="s">
        <v>1124</v>
      </c>
      <c r="DY934" s="37"/>
      <c r="DZ934" s="37"/>
      <c r="EA934" s="37"/>
      <c r="EB934" s="37"/>
      <c r="EC934" s="37"/>
      <c r="ED934" s="37"/>
      <c r="EE934" s="37"/>
      <c r="EF934" s="37"/>
      <c r="EG934" s="37"/>
      <c r="EH934" s="37"/>
      <c r="EI934" s="37"/>
      <c r="EJ934" s="37" t="s">
        <v>1124</v>
      </c>
      <c r="EK934" s="161"/>
      <c r="EL934" s="294"/>
    </row>
    <row r="935" spans="1:142" ht="15" customHeight="1" x14ac:dyDescent="0.35">
      <c r="A935" s="34"/>
      <c r="B935" s="313">
        <v>14080</v>
      </c>
      <c r="C935" s="8" t="s">
        <v>74</v>
      </c>
      <c r="D935" s="18">
        <v>1</v>
      </c>
      <c r="E935" s="155"/>
      <c r="F935" s="36"/>
      <c r="G935" s="37"/>
      <c r="H935" s="37"/>
      <c r="I935" s="37"/>
      <c r="J935" s="37"/>
      <c r="K935" s="37"/>
      <c r="L935" s="37"/>
      <c r="M935" s="37" t="s">
        <v>1124</v>
      </c>
      <c r="N935" s="37" t="s">
        <v>1124</v>
      </c>
      <c r="O935" s="37"/>
      <c r="P935" s="37"/>
      <c r="Q935" s="37"/>
      <c r="R935" s="37"/>
      <c r="S935" s="37"/>
      <c r="T935" s="37"/>
      <c r="U935" s="37"/>
      <c r="V935" s="37"/>
      <c r="W935" s="37"/>
      <c r="X935" s="37"/>
      <c r="Y935" s="37"/>
      <c r="Z935" s="37"/>
      <c r="AA935" s="37" t="s">
        <v>1124</v>
      </c>
      <c r="AB935" s="37" t="s">
        <v>1124</v>
      </c>
      <c r="AC935" s="37"/>
      <c r="AD935" s="37"/>
      <c r="AE935" s="37"/>
      <c r="AF935" s="168"/>
      <c r="AG935" s="37"/>
      <c r="AH935" s="37"/>
      <c r="AI935" s="37"/>
      <c r="AJ935" s="37"/>
      <c r="AK935" s="37"/>
      <c r="AL935" s="37"/>
      <c r="AM935" s="37"/>
      <c r="AN935" s="37"/>
      <c r="AO935" s="37"/>
      <c r="AP935" s="37"/>
      <c r="AQ935" s="37"/>
      <c r="AR935" s="37" t="s">
        <v>1124</v>
      </c>
      <c r="AS935" s="37"/>
      <c r="AT935" s="37"/>
      <c r="AU935" s="37"/>
      <c r="AV935" s="37"/>
      <c r="AW935" s="37"/>
      <c r="AX935" s="37"/>
      <c r="AY935" s="37"/>
      <c r="AZ935" s="37"/>
      <c r="BA935" s="37"/>
      <c r="BB935" s="37"/>
      <c r="BC935" s="37"/>
      <c r="BD935" s="37" t="s">
        <v>1124</v>
      </c>
      <c r="BE935" s="37"/>
      <c r="BF935" s="37"/>
      <c r="BG935" s="37"/>
      <c r="BH935" s="37"/>
      <c r="BI935" s="37"/>
      <c r="BJ935" s="37"/>
      <c r="BK935" s="37"/>
      <c r="BL935" s="37"/>
      <c r="BM935" s="37"/>
      <c r="BN935" s="37"/>
      <c r="BO935" s="37"/>
      <c r="BP935" s="37">
        <v>0</v>
      </c>
      <c r="BQ935" s="37"/>
      <c r="BR935" s="37"/>
      <c r="BS935" s="37"/>
      <c r="BT935" s="37"/>
      <c r="BU935" s="37"/>
      <c r="BV935" s="37"/>
      <c r="BW935" s="37"/>
      <c r="BX935" s="37"/>
      <c r="BY935" s="37"/>
      <c r="BZ935" s="37"/>
      <c r="CA935" s="37"/>
      <c r="CB935" s="37" t="s">
        <v>1124</v>
      </c>
      <c r="CC935" s="37"/>
      <c r="CD935" s="37"/>
      <c r="CE935" s="37"/>
      <c r="CF935" s="37"/>
      <c r="CG935" s="37"/>
      <c r="CH935" s="37"/>
      <c r="CI935" s="37"/>
      <c r="CJ935" s="37"/>
      <c r="CK935" s="37"/>
      <c r="CL935" s="37"/>
      <c r="CM935" s="37"/>
      <c r="CN935" s="37" t="s">
        <v>1124</v>
      </c>
      <c r="CO935" s="37"/>
      <c r="CP935" s="37"/>
      <c r="CQ935" s="37"/>
      <c r="CR935" s="37"/>
      <c r="CS935" s="37"/>
      <c r="CT935" s="37"/>
      <c r="CU935" s="37"/>
      <c r="CV935" s="37"/>
      <c r="CW935" s="37"/>
      <c r="CX935" s="37"/>
      <c r="CY935" s="37"/>
      <c r="CZ935" s="37" t="s">
        <v>1124</v>
      </c>
      <c r="DA935" s="37"/>
      <c r="DB935" s="37"/>
      <c r="DC935" s="37"/>
      <c r="DD935" s="37"/>
      <c r="DE935" s="37"/>
      <c r="DF935" s="37"/>
      <c r="DG935" s="37"/>
      <c r="DH935" s="37"/>
      <c r="DI935" s="37"/>
      <c r="DJ935" s="37"/>
      <c r="DK935" s="37"/>
      <c r="DL935" s="37" t="s">
        <v>1124</v>
      </c>
      <c r="DM935" s="37"/>
      <c r="DN935" s="37"/>
      <c r="DO935" s="37"/>
      <c r="DP935" s="37"/>
      <c r="DQ935" s="37"/>
      <c r="DR935" s="37"/>
      <c r="DS935" s="37"/>
      <c r="DT935" s="37"/>
      <c r="DU935" s="37"/>
      <c r="DV935" s="37"/>
      <c r="DW935" s="37"/>
      <c r="DX935" s="37" t="s">
        <v>1124</v>
      </c>
      <c r="DY935" s="37"/>
      <c r="DZ935" s="37"/>
      <c r="EA935" s="37"/>
      <c r="EB935" s="37"/>
      <c r="EC935" s="37"/>
      <c r="ED935" s="37"/>
      <c r="EE935" s="37"/>
      <c r="EF935" s="37"/>
      <c r="EG935" s="37"/>
      <c r="EH935" s="37"/>
      <c r="EI935" s="37"/>
      <c r="EJ935" s="37" t="s">
        <v>1124</v>
      </c>
      <c r="EK935" s="161"/>
      <c r="EL935" s="294"/>
    </row>
    <row r="936" spans="1:142" ht="15" customHeight="1" x14ac:dyDescent="0.35">
      <c r="A936" s="34"/>
      <c r="B936" s="313">
        <v>53032</v>
      </c>
      <c r="C936" s="8" t="s">
        <v>535</v>
      </c>
      <c r="D936" s="18">
        <v>16</v>
      </c>
      <c r="E936" s="155">
        <v>170686</v>
      </c>
      <c r="F936" s="36">
        <v>137075</v>
      </c>
      <c r="G936" s="37">
        <v>35975</v>
      </c>
      <c r="H936" s="37">
        <v>0</v>
      </c>
      <c r="I936" s="37">
        <v>15400</v>
      </c>
      <c r="J936" s="37">
        <v>0</v>
      </c>
      <c r="K936" s="37">
        <v>25602.899999999998</v>
      </c>
      <c r="L936" s="37">
        <v>20561.25</v>
      </c>
      <c r="M936" s="37">
        <v>247663.9</v>
      </c>
      <c r="N936" s="37">
        <v>157636.25</v>
      </c>
      <c r="O936" s="37">
        <v>88656</v>
      </c>
      <c r="P936" s="37">
        <v>0</v>
      </c>
      <c r="Q936" s="37">
        <v>52170</v>
      </c>
      <c r="R936" s="37">
        <v>108889</v>
      </c>
      <c r="S936" s="37">
        <v>4452</v>
      </c>
      <c r="T936" s="37">
        <v>67463</v>
      </c>
      <c r="U936" s="37">
        <v>5462</v>
      </c>
      <c r="V936" s="37">
        <v>0</v>
      </c>
      <c r="W936" s="37">
        <v>78208</v>
      </c>
      <c r="X936" s="37">
        <v>0</v>
      </c>
      <c r="Y936" s="37">
        <v>0</v>
      </c>
      <c r="Z936" s="37">
        <v>0</v>
      </c>
      <c r="AA936" s="37">
        <v>228948</v>
      </c>
      <c r="AB936" s="37">
        <v>176352</v>
      </c>
      <c r="AC936" s="37">
        <v>0</v>
      </c>
      <c r="AD936" s="37">
        <v>0</v>
      </c>
      <c r="AE936" s="37">
        <v>39485</v>
      </c>
      <c r="AF936" s="168">
        <v>0.02</v>
      </c>
      <c r="AG936" s="37">
        <v>34958756.640000001</v>
      </c>
      <c r="AH936" s="37">
        <v>383615.66</v>
      </c>
      <c r="AI936" s="37">
        <v>391287.97</v>
      </c>
      <c r="AJ936" s="37">
        <v>399113.73</v>
      </c>
      <c r="AK936" s="37">
        <v>407096</v>
      </c>
      <c r="AL936" s="37">
        <v>415237.92</v>
      </c>
      <c r="AM936" s="37">
        <v>423542.68</v>
      </c>
      <c r="AN936" s="37">
        <v>432013.54</v>
      </c>
      <c r="AO936" s="37">
        <v>440653.81</v>
      </c>
      <c r="AP936" s="37">
        <v>449466.88</v>
      </c>
      <c r="AQ936" s="37">
        <v>458456.22</v>
      </c>
      <c r="AR936" s="37">
        <v>4200484.41</v>
      </c>
      <c r="AS936" s="37">
        <v>1152131.68</v>
      </c>
      <c r="AT936" s="37">
        <v>0</v>
      </c>
      <c r="AU936" s="37">
        <v>0</v>
      </c>
      <c r="AV936" s="37">
        <v>0</v>
      </c>
      <c r="AW936" s="37">
        <v>0</v>
      </c>
      <c r="AX936" s="37">
        <v>0</v>
      </c>
      <c r="AY936" s="37">
        <v>0</v>
      </c>
      <c r="AZ936" s="37">
        <v>0</v>
      </c>
      <c r="BA936" s="37">
        <v>0</v>
      </c>
      <c r="BB936" s="37">
        <v>0</v>
      </c>
      <c r="BC936" s="37">
        <v>0</v>
      </c>
      <c r="BD936" s="37">
        <v>0</v>
      </c>
      <c r="BE936" s="37">
        <v>0</v>
      </c>
      <c r="BF936" s="37">
        <v>201600</v>
      </c>
      <c r="BG936" s="37">
        <v>0</v>
      </c>
      <c r="BH936" s="37">
        <v>0</v>
      </c>
      <c r="BI936" s="37">
        <v>0</v>
      </c>
      <c r="BJ936" s="37">
        <v>0</v>
      </c>
      <c r="BK936" s="37">
        <v>0</v>
      </c>
      <c r="BL936" s="37">
        <v>0</v>
      </c>
      <c r="BM936" s="37">
        <v>0</v>
      </c>
      <c r="BN936" s="37">
        <v>0</v>
      </c>
      <c r="BO936" s="37">
        <v>0</v>
      </c>
      <c r="BP936" s="37">
        <v>201600</v>
      </c>
      <c r="BQ936" s="37">
        <v>0</v>
      </c>
      <c r="BR936" s="37">
        <v>100800</v>
      </c>
      <c r="BS936" s="37">
        <v>0</v>
      </c>
      <c r="BT936" s="37">
        <v>0</v>
      </c>
      <c r="BU936" s="37">
        <v>0</v>
      </c>
      <c r="BV936" s="37">
        <v>0</v>
      </c>
      <c r="BW936" s="37">
        <v>0</v>
      </c>
      <c r="BX936" s="37">
        <v>0</v>
      </c>
      <c r="BY936" s="37">
        <v>0</v>
      </c>
      <c r="BZ936" s="37">
        <v>0</v>
      </c>
      <c r="CA936" s="37">
        <v>0</v>
      </c>
      <c r="CB936" s="37">
        <v>100800</v>
      </c>
      <c r="CC936" s="37">
        <v>0</v>
      </c>
      <c r="CD936" s="37">
        <v>0</v>
      </c>
      <c r="CE936" s="37">
        <v>0</v>
      </c>
      <c r="CF936" s="37">
        <v>0</v>
      </c>
      <c r="CG936" s="37">
        <v>0</v>
      </c>
      <c r="CH936" s="37">
        <v>0</v>
      </c>
      <c r="CI936" s="37">
        <v>0</v>
      </c>
      <c r="CJ936" s="37">
        <v>0</v>
      </c>
      <c r="CK936" s="37">
        <v>0</v>
      </c>
      <c r="CL936" s="37">
        <v>0</v>
      </c>
      <c r="CM936" s="37">
        <v>0</v>
      </c>
      <c r="CN936" s="37">
        <v>0</v>
      </c>
      <c r="CO936" s="37">
        <v>0</v>
      </c>
      <c r="CP936" s="37">
        <v>0</v>
      </c>
      <c r="CQ936" s="37">
        <v>0</v>
      </c>
      <c r="CR936" s="37">
        <v>0</v>
      </c>
      <c r="CS936" s="37">
        <v>0</v>
      </c>
      <c r="CT936" s="37">
        <v>0</v>
      </c>
      <c r="CU936" s="37">
        <v>0</v>
      </c>
      <c r="CV936" s="37">
        <v>0</v>
      </c>
      <c r="CW936" s="37">
        <v>0</v>
      </c>
      <c r="CX936" s="37">
        <v>0</v>
      </c>
      <c r="CY936" s="37">
        <v>0</v>
      </c>
      <c r="CZ936" s="37">
        <v>0</v>
      </c>
      <c r="DA936" s="37">
        <v>0</v>
      </c>
      <c r="DB936" s="37">
        <v>0</v>
      </c>
      <c r="DC936" s="37">
        <v>0</v>
      </c>
      <c r="DD936" s="37">
        <v>0</v>
      </c>
      <c r="DE936" s="37">
        <v>0</v>
      </c>
      <c r="DF936" s="37">
        <v>0</v>
      </c>
      <c r="DG936" s="37">
        <v>0</v>
      </c>
      <c r="DH936" s="37">
        <v>0</v>
      </c>
      <c r="DI936" s="37">
        <v>0</v>
      </c>
      <c r="DJ936" s="37">
        <v>0</v>
      </c>
      <c r="DK936" s="37">
        <v>0</v>
      </c>
      <c r="DL936" s="37">
        <v>0</v>
      </c>
      <c r="DM936" s="37">
        <v>0</v>
      </c>
      <c r="DN936" s="37">
        <v>0</v>
      </c>
      <c r="DO936" s="37">
        <v>0</v>
      </c>
      <c r="DP936" s="37">
        <v>0</v>
      </c>
      <c r="DQ936" s="37">
        <v>0</v>
      </c>
      <c r="DR936" s="37">
        <v>0</v>
      </c>
      <c r="DS936" s="37">
        <v>0</v>
      </c>
      <c r="DT936" s="37">
        <v>0</v>
      </c>
      <c r="DU936" s="37">
        <v>0</v>
      </c>
      <c r="DV936" s="37">
        <v>0</v>
      </c>
      <c r="DW936" s="37">
        <v>0</v>
      </c>
      <c r="DX936" s="37">
        <v>0</v>
      </c>
      <c r="DY936" s="37">
        <v>0</v>
      </c>
      <c r="DZ936" s="37">
        <v>0</v>
      </c>
      <c r="EA936" s="37">
        <v>0</v>
      </c>
      <c r="EB936" s="37">
        <v>0</v>
      </c>
      <c r="EC936" s="37">
        <v>0</v>
      </c>
      <c r="ED936" s="37">
        <v>0</v>
      </c>
      <c r="EE936" s="37">
        <v>0</v>
      </c>
      <c r="EF936" s="37">
        <v>0</v>
      </c>
      <c r="EG936" s="37">
        <v>0</v>
      </c>
      <c r="EH936" s="37">
        <v>0</v>
      </c>
      <c r="EI936" s="37">
        <v>0</v>
      </c>
      <c r="EJ936" s="37">
        <v>0</v>
      </c>
      <c r="EK936" s="161" t="s">
        <v>3312</v>
      </c>
      <c r="EL936" s="294" t="s">
        <v>1124</v>
      </c>
    </row>
    <row r="937" spans="1:142" ht="15" customHeight="1" x14ac:dyDescent="0.35">
      <c r="A937" s="34"/>
      <c r="B937" s="313">
        <v>14070</v>
      </c>
      <c r="C937" s="8" t="s">
        <v>72</v>
      </c>
      <c r="D937" s="18">
        <v>1</v>
      </c>
      <c r="E937" s="155">
        <v>181778</v>
      </c>
      <c r="F937" s="36">
        <v>150704</v>
      </c>
      <c r="G937" s="37">
        <v>19291</v>
      </c>
      <c r="H937" s="37">
        <v>18480</v>
      </c>
      <c r="I937" s="37">
        <v>64362</v>
      </c>
      <c r="J937" s="37">
        <v>58233</v>
      </c>
      <c r="K937" s="37">
        <v>27267</v>
      </c>
      <c r="L937" s="37">
        <v>2606</v>
      </c>
      <c r="M937" s="37">
        <v>292698</v>
      </c>
      <c r="N937" s="37">
        <v>230023</v>
      </c>
      <c r="O937" s="37">
        <v>0</v>
      </c>
      <c r="P937" s="37">
        <v>0</v>
      </c>
      <c r="Q937" s="37">
        <v>176103</v>
      </c>
      <c r="R937" s="37">
        <v>15000</v>
      </c>
      <c r="S937" s="37">
        <v>0</v>
      </c>
      <c r="T937" s="37">
        <v>0</v>
      </c>
      <c r="U937" s="37">
        <v>36017</v>
      </c>
      <c r="V937" s="37">
        <v>639</v>
      </c>
      <c r="W937" s="37">
        <v>88042</v>
      </c>
      <c r="X937" s="37">
        <v>221849</v>
      </c>
      <c r="Y937" s="37">
        <v>0</v>
      </c>
      <c r="Z937" s="37">
        <v>0</v>
      </c>
      <c r="AA937" s="37">
        <v>300162</v>
      </c>
      <c r="AB937" s="37">
        <v>237488</v>
      </c>
      <c r="AC937" s="37">
        <v>14929</v>
      </c>
      <c r="AD937" s="37">
        <v>14929</v>
      </c>
      <c r="AE937" s="37">
        <v>14929</v>
      </c>
      <c r="AF937" s="168">
        <v>0.02</v>
      </c>
      <c r="AG937" s="37">
        <v>27186012.210000001</v>
      </c>
      <c r="AH937" s="37">
        <v>250299.61</v>
      </c>
      <c r="AI937" s="37">
        <v>598075.79</v>
      </c>
      <c r="AJ937" s="37">
        <v>610037.30000000005</v>
      </c>
      <c r="AK937" s="37">
        <v>235809.77</v>
      </c>
      <c r="AL937" s="37">
        <v>240525.97</v>
      </c>
      <c r="AM937" s="37">
        <v>245336.48</v>
      </c>
      <c r="AN937" s="37">
        <v>250243.21</v>
      </c>
      <c r="AO937" s="37">
        <v>255248.08</v>
      </c>
      <c r="AP937" s="37">
        <v>260353.04</v>
      </c>
      <c r="AQ937" s="37">
        <v>265560.09999999998</v>
      </c>
      <c r="AR937" s="37">
        <v>3211489.35</v>
      </c>
      <c r="AS937" s="37">
        <v>10404</v>
      </c>
      <c r="AT937" s="37">
        <v>0</v>
      </c>
      <c r="AU937" s="37">
        <v>4594614.4800000004</v>
      </c>
      <c r="AV937" s="37">
        <v>2345800.2799999998</v>
      </c>
      <c r="AW937" s="37">
        <v>0</v>
      </c>
      <c r="AX937" s="37">
        <v>0</v>
      </c>
      <c r="AY937" s="37">
        <v>0</v>
      </c>
      <c r="AZ937" s="37">
        <v>0</v>
      </c>
      <c r="BA937" s="37">
        <v>0</v>
      </c>
      <c r="BB937" s="37">
        <v>0</v>
      </c>
      <c r="BC937" s="37">
        <v>0</v>
      </c>
      <c r="BD937" s="37">
        <v>6940414.7599999998</v>
      </c>
      <c r="BE937" s="37">
        <v>0</v>
      </c>
      <c r="BF937" s="37">
        <v>0</v>
      </c>
      <c r="BG937" s="37">
        <v>0</v>
      </c>
      <c r="BH937" s="37">
        <v>0</v>
      </c>
      <c r="BI937" s="37">
        <v>0</v>
      </c>
      <c r="BJ937" s="37">
        <v>0</v>
      </c>
      <c r="BK937" s="37">
        <v>0</v>
      </c>
      <c r="BL937" s="37">
        <v>0</v>
      </c>
      <c r="BM937" s="37">
        <v>0</v>
      </c>
      <c r="BN937" s="37">
        <v>0</v>
      </c>
      <c r="BO937" s="37">
        <v>0</v>
      </c>
      <c r="BP937" s="37">
        <v>0</v>
      </c>
      <c r="BQ937" s="37">
        <v>0</v>
      </c>
      <c r="BR937" s="37">
        <v>0</v>
      </c>
      <c r="BS937" s="37">
        <v>0</v>
      </c>
      <c r="BT937" s="37">
        <v>0</v>
      </c>
      <c r="BU937" s="37">
        <v>0</v>
      </c>
      <c r="BV937" s="37">
        <v>0</v>
      </c>
      <c r="BW937" s="37">
        <v>0</v>
      </c>
      <c r="BX937" s="37">
        <v>0</v>
      </c>
      <c r="BY937" s="37">
        <v>0</v>
      </c>
      <c r="BZ937" s="37">
        <v>0</v>
      </c>
      <c r="CA937" s="37">
        <v>0</v>
      </c>
      <c r="CB937" s="37">
        <v>0</v>
      </c>
      <c r="CC937" s="37">
        <v>0</v>
      </c>
      <c r="CD937" s="37">
        <v>27540</v>
      </c>
      <c r="CE937" s="37">
        <v>0</v>
      </c>
      <c r="CF937" s="37">
        <v>0</v>
      </c>
      <c r="CG937" s="37">
        <v>0</v>
      </c>
      <c r="CH937" s="37">
        <v>0</v>
      </c>
      <c r="CI937" s="37">
        <v>0</v>
      </c>
      <c r="CJ937" s="37">
        <v>0</v>
      </c>
      <c r="CK937" s="37">
        <v>0</v>
      </c>
      <c r="CL937" s="37">
        <v>0</v>
      </c>
      <c r="CM937" s="37">
        <v>0</v>
      </c>
      <c r="CN937" s="37">
        <v>27540</v>
      </c>
      <c r="CO937" s="37">
        <v>0</v>
      </c>
      <c r="CP937" s="37">
        <v>0</v>
      </c>
      <c r="CQ937" s="37">
        <v>799933</v>
      </c>
      <c r="CR937" s="37">
        <v>0</v>
      </c>
      <c r="CS937" s="37">
        <v>0</v>
      </c>
      <c r="CT937" s="37">
        <v>0</v>
      </c>
      <c r="CU937" s="37">
        <v>0</v>
      </c>
      <c r="CV937" s="37">
        <v>0</v>
      </c>
      <c r="CW937" s="37">
        <v>0</v>
      </c>
      <c r="CX937" s="37">
        <v>0</v>
      </c>
      <c r="CY937" s="37">
        <v>0</v>
      </c>
      <c r="CZ937" s="37">
        <v>799933</v>
      </c>
      <c r="DA937" s="37">
        <v>0</v>
      </c>
      <c r="DB937" s="37">
        <v>0</v>
      </c>
      <c r="DC937" s="37">
        <v>2664767</v>
      </c>
      <c r="DD937" s="37">
        <v>0</v>
      </c>
      <c r="DE937" s="37">
        <v>0</v>
      </c>
      <c r="DF937" s="37">
        <v>0</v>
      </c>
      <c r="DG937" s="37">
        <v>0</v>
      </c>
      <c r="DH937" s="37">
        <v>0</v>
      </c>
      <c r="DI937" s="37">
        <v>0</v>
      </c>
      <c r="DJ937" s="37">
        <v>0</v>
      </c>
      <c r="DK937" s="37">
        <v>0</v>
      </c>
      <c r="DL937" s="37">
        <v>2664767</v>
      </c>
      <c r="DM937" s="37">
        <v>0</v>
      </c>
      <c r="DN937" s="37">
        <v>0</v>
      </c>
      <c r="DO937" s="37">
        <v>0</v>
      </c>
      <c r="DP937" s="37">
        <v>0</v>
      </c>
      <c r="DQ937" s="37">
        <v>0</v>
      </c>
      <c r="DR937" s="37">
        <v>0</v>
      </c>
      <c r="DS937" s="37">
        <v>0</v>
      </c>
      <c r="DT937" s="37">
        <v>0</v>
      </c>
      <c r="DU937" s="37">
        <v>0</v>
      </c>
      <c r="DV937" s="37">
        <v>0</v>
      </c>
      <c r="DW937" s="37">
        <v>0</v>
      </c>
      <c r="DX937" s="37">
        <v>0</v>
      </c>
      <c r="DY937" s="37">
        <v>0</v>
      </c>
      <c r="DZ937" s="37">
        <v>0</v>
      </c>
      <c r="EA937" s="37">
        <v>0</v>
      </c>
      <c r="EB937" s="37">
        <v>0</v>
      </c>
      <c r="EC937" s="37">
        <v>0</v>
      </c>
      <c r="ED937" s="37">
        <v>0</v>
      </c>
      <c r="EE937" s="37">
        <v>0</v>
      </c>
      <c r="EF937" s="37">
        <v>0</v>
      </c>
      <c r="EG937" s="37">
        <v>0</v>
      </c>
      <c r="EH937" s="37">
        <v>0</v>
      </c>
      <c r="EI937" s="37">
        <v>0</v>
      </c>
      <c r="EJ937" s="37">
        <v>0</v>
      </c>
      <c r="EK937" s="161" t="s">
        <v>2283</v>
      </c>
      <c r="EL937" s="294" t="s">
        <v>1124</v>
      </c>
    </row>
    <row r="938" spans="1:142" ht="15" customHeight="1" x14ac:dyDescent="0.35">
      <c r="A938" s="34"/>
      <c r="B938" s="313">
        <v>17010</v>
      </c>
      <c r="C938" s="8" t="s">
        <v>91</v>
      </c>
      <c r="D938" s="18">
        <v>12</v>
      </c>
      <c r="E938" s="155">
        <v>190221.52</v>
      </c>
      <c r="F938" s="36">
        <v>160526.25</v>
      </c>
      <c r="G938" s="37">
        <v>26512.1</v>
      </c>
      <c r="H938" s="37">
        <v>0</v>
      </c>
      <c r="I938" s="37">
        <v>66600</v>
      </c>
      <c r="J938" s="37">
        <v>0</v>
      </c>
      <c r="K938" s="37">
        <v>28533.227999999999</v>
      </c>
      <c r="L938" s="37">
        <v>24078.9375</v>
      </c>
      <c r="M938" s="37">
        <v>311866.848</v>
      </c>
      <c r="N938" s="37">
        <v>184605.1875</v>
      </c>
      <c r="O938" s="37">
        <v>125356</v>
      </c>
      <c r="P938" s="37">
        <v>0</v>
      </c>
      <c r="Q938" s="37">
        <v>595</v>
      </c>
      <c r="R938" s="37">
        <v>105636</v>
      </c>
      <c r="S938" s="37">
        <v>0</v>
      </c>
      <c r="T938" s="37">
        <v>0</v>
      </c>
      <c r="U938" s="37">
        <v>130309</v>
      </c>
      <c r="V938" s="37">
        <v>0</v>
      </c>
      <c r="W938" s="37">
        <v>79694</v>
      </c>
      <c r="X938" s="37">
        <v>54882</v>
      </c>
      <c r="Y938" s="37">
        <v>0</v>
      </c>
      <c r="Z938" s="37">
        <v>0</v>
      </c>
      <c r="AA938" s="37">
        <v>335954</v>
      </c>
      <c r="AB938" s="37">
        <v>160518</v>
      </c>
      <c r="AC938" s="37">
        <v>0</v>
      </c>
      <c r="AD938" s="37">
        <v>0</v>
      </c>
      <c r="AE938" s="37">
        <v>0</v>
      </c>
      <c r="AF938" s="168">
        <v>0.02</v>
      </c>
      <c r="AG938" s="37">
        <v>32759369.260000002</v>
      </c>
      <c r="AH938" s="37">
        <v>241623.18</v>
      </c>
      <c r="AI938" s="37">
        <v>284638.32</v>
      </c>
      <c r="AJ938" s="37">
        <v>300624.8</v>
      </c>
      <c r="AK938" s="37">
        <v>287326.71000000002</v>
      </c>
      <c r="AL938" s="37">
        <v>293073.24</v>
      </c>
      <c r="AM938" s="37">
        <v>301232.08</v>
      </c>
      <c r="AN938" s="37">
        <v>272106.94</v>
      </c>
      <c r="AO938" s="37">
        <v>277549.08</v>
      </c>
      <c r="AP938" s="37">
        <v>283100.06</v>
      </c>
      <c r="AQ938" s="37">
        <v>288762.06</v>
      </c>
      <c r="AR938" s="37">
        <v>2830036.4699999997</v>
      </c>
      <c r="AS938" s="37">
        <v>1611059.4</v>
      </c>
      <c r="AT938" s="37">
        <v>0</v>
      </c>
      <c r="AU938" s="37">
        <v>0</v>
      </c>
      <c r="AV938" s="37">
        <v>0</v>
      </c>
      <c r="AW938" s="37">
        <v>0</v>
      </c>
      <c r="AX938" s="37">
        <v>0</v>
      </c>
      <c r="AY938" s="37">
        <v>0</v>
      </c>
      <c r="AZ938" s="37">
        <v>0</v>
      </c>
      <c r="BA938" s="37">
        <v>0</v>
      </c>
      <c r="BB938" s="37">
        <v>0</v>
      </c>
      <c r="BC938" s="37">
        <v>0</v>
      </c>
      <c r="BD938" s="37">
        <v>0</v>
      </c>
      <c r="BE938" s="37">
        <v>0</v>
      </c>
      <c r="BF938" s="37">
        <v>0</v>
      </c>
      <c r="BG938" s="37">
        <v>0</v>
      </c>
      <c r="BH938" s="37">
        <v>0</v>
      </c>
      <c r="BI938" s="37">
        <v>0</v>
      </c>
      <c r="BJ938" s="37">
        <v>0</v>
      </c>
      <c r="BK938" s="37">
        <v>0</v>
      </c>
      <c r="BL938" s="37">
        <v>0</v>
      </c>
      <c r="BM938" s="37">
        <v>0</v>
      </c>
      <c r="BN938" s="37">
        <v>0</v>
      </c>
      <c r="BO938" s="37">
        <v>0</v>
      </c>
      <c r="BP938" s="37">
        <v>0</v>
      </c>
      <c r="BQ938" s="37">
        <v>0</v>
      </c>
      <c r="BR938" s="37">
        <v>0</v>
      </c>
      <c r="BS938" s="37">
        <v>0</v>
      </c>
      <c r="BT938" s="37">
        <v>0</v>
      </c>
      <c r="BU938" s="37">
        <v>0</v>
      </c>
      <c r="BV938" s="37">
        <v>0</v>
      </c>
      <c r="BW938" s="37">
        <v>0</v>
      </c>
      <c r="BX938" s="37">
        <v>0</v>
      </c>
      <c r="BY938" s="37">
        <v>0</v>
      </c>
      <c r="BZ938" s="37">
        <v>0</v>
      </c>
      <c r="CA938" s="37">
        <v>0</v>
      </c>
      <c r="CB938" s="37">
        <v>0</v>
      </c>
      <c r="CC938" s="37">
        <v>85630</v>
      </c>
      <c r="CD938" s="37">
        <v>100000</v>
      </c>
      <c r="CE938" s="37">
        <v>150000</v>
      </c>
      <c r="CF938" s="37">
        <v>200000</v>
      </c>
      <c r="CG938" s="37">
        <v>0</v>
      </c>
      <c r="CH938" s="37">
        <v>0</v>
      </c>
      <c r="CI938" s="37">
        <v>0</v>
      </c>
      <c r="CJ938" s="37">
        <v>0</v>
      </c>
      <c r="CK938" s="37">
        <v>0</v>
      </c>
      <c r="CL938" s="37">
        <v>0</v>
      </c>
      <c r="CM938" s="37">
        <v>0</v>
      </c>
      <c r="CN938" s="37">
        <v>450000</v>
      </c>
      <c r="CO938" s="37">
        <v>0</v>
      </c>
      <c r="CP938" s="37">
        <v>0</v>
      </c>
      <c r="CQ938" s="37">
        <v>0</v>
      </c>
      <c r="CR938" s="37">
        <v>0</v>
      </c>
      <c r="CS938" s="37">
        <v>0</v>
      </c>
      <c r="CT938" s="37">
        <v>0</v>
      </c>
      <c r="CU938" s="37">
        <v>0</v>
      </c>
      <c r="CV938" s="37">
        <v>0</v>
      </c>
      <c r="CW938" s="37">
        <v>0</v>
      </c>
      <c r="CX938" s="37">
        <v>0</v>
      </c>
      <c r="CY938" s="37">
        <v>0</v>
      </c>
      <c r="CZ938" s="37">
        <v>0</v>
      </c>
      <c r="DA938" s="37">
        <v>0</v>
      </c>
      <c r="DB938" s="37">
        <v>0</v>
      </c>
      <c r="DC938" s="37">
        <v>0</v>
      </c>
      <c r="DD938" s="37">
        <v>0</v>
      </c>
      <c r="DE938" s="37">
        <v>0</v>
      </c>
      <c r="DF938" s="37">
        <v>0</v>
      </c>
      <c r="DG938" s="37">
        <v>0</v>
      </c>
      <c r="DH938" s="37">
        <v>0</v>
      </c>
      <c r="DI938" s="37">
        <v>0</v>
      </c>
      <c r="DJ938" s="37">
        <v>0</v>
      </c>
      <c r="DK938" s="37">
        <v>0</v>
      </c>
      <c r="DL938" s="37">
        <v>0</v>
      </c>
      <c r="DM938" s="37">
        <v>0</v>
      </c>
      <c r="DN938" s="37">
        <v>0</v>
      </c>
      <c r="DO938" s="37">
        <v>0</v>
      </c>
      <c r="DP938" s="37">
        <v>0</v>
      </c>
      <c r="DQ938" s="37">
        <v>0</v>
      </c>
      <c r="DR938" s="37">
        <v>0</v>
      </c>
      <c r="DS938" s="37">
        <v>0</v>
      </c>
      <c r="DT938" s="37">
        <v>0</v>
      </c>
      <c r="DU938" s="37">
        <v>0</v>
      </c>
      <c r="DV938" s="37">
        <v>0</v>
      </c>
      <c r="DW938" s="37">
        <v>0</v>
      </c>
      <c r="DX938" s="37">
        <v>0</v>
      </c>
      <c r="DY938" s="37">
        <v>0</v>
      </c>
      <c r="DZ938" s="37">
        <v>0</v>
      </c>
      <c r="EA938" s="37">
        <v>0</v>
      </c>
      <c r="EB938" s="37">
        <v>0</v>
      </c>
      <c r="EC938" s="37">
        <v>0</v>
      </c>
      <c r="ED938" s="37">
        <v>0</v>
      </c>
      <c r="EE938" s="37">
        <v>0</v>
      </c>
      <c r="EF938" s="37">
        <v>0</v>
      </c>
      <c r="EG938" s="37">
        <v>0</v>
      </c>
      <c r="EH938" s="37">
        <v>0</v>
      </c>
      <c r="EI938" s="37">
        <v>0</v>
      </c>
      <c r="EJ938" s="37">
        <v>0</v>
      </c>
      <c r="EK938" s="161" t="s">
        <v>1738</v>
      </c>
      <c r="EL938" s="294" t="s">
        <v>1124</v>
      </c>
    </row>
    <row r="939" spans="1:142" ht="15" customHeight="1" x14ac:dyDescent="0.35">
      <c r="A939" s="34"/>
      <c r="B939" s="313">
        <v>14018</v>
      </c>
      <c r="C939" s="8" t="s">
        <v>62</v>
      </c>
      <c r="D939" s="18">
        <v>1</v>
      </c>
      <c r="E939" s="155">
        <v>410465</v>
      </c>
      <c r="F939" s="36">
        <v>153843</v>
      </c>
      <c r="G939" s="37">
        <v>37227</v>
      </c>
      <c r="H939" s="37">
        <v>37094</v>
      </c>
      <c r="I939" s="37">
        <v>139945</v>
      </c>
      <c r="J939" s="37">
        <v>131423</v>
      </c>
      <c r="K939" s="37">
        <v>61570</v>
      </c>
      <c r="L939" s="37">
        <v>23076</v>
      </c>
      <c r="M939" s="37">
        <v>649207</v>
      </c>
      <c r="N939" s="37">
        <v>345436</v>
      </c>
      <c r="O939" s="37">
        <v>24104</v>
      </c>
      <c r="P939" s="37">
        <v>0</v>
      </c>
      <c r="Q939" s="37">
        <v>361900</v>
      </c>
      <c r="R939" s="37">
        <v>200300</v>
      </c>
      <c r="S939" s="37">
        <v>0</v>
      </c>
      <c r="T939" s="37">
        <v>0</v>
      </c>
      <c r="U939" s="37">
        <v>12584</v>
      </c>
      <c r="V939" s="37">
        <v>10009</v>
      </c>
      <c r="W939" s="37">
        <v>211244</v>
      </c>
      <c r="X939" s="37">
        <v>98502</v>
      </c>
      <c r="Y939" s="37">
        <v>39375</v>
      </c>
      <c r="Z939" s="37">
        <v>36625</v>
      </c>
      <c r="AA939" s="37">
        <v>649207</v>
      </c>
      <c r="AB939" s="37">
        <v>345436</v>
      </c>
      <c r="AC939" s="37">
        <v>0</v>
      </c>
      <c r="AD939" s="37">
        <v>0</v>
      </c>
      <c r="AE939" s="37">
        <v>176659</v>
      </c>
      <c r="AF939" s="168">
        <v>0.02</v>
      </c>
      <c r="AG939" s="37">
        <v>73414926.439999998</v>
      </c>
      <c r="AH939" s="37">
        <v>586433.6</v>
      </c>
      <c r="AI939" s="37">
        <v>616369.27</v>
      </c>
      <c r="AJ939" s="37">
        <v>610125.52</v>
      </c>
      <c r="AK939" s="37">
        <v>622328.03</v>
      </c>
      <c r="AL939" s="37">
        <v>634774.59</v>
      </c>
      <c r="AM939" s="37">
        <v>647470.07999999996</v>
      </c>
      <c r="AN939" s="37">
        <v>660419.48</v>
      </c>
      <c r="AO939" s="37">
        <v>673627.87</v>
      </c>
      <c r="AP939" s="37">
        <v>687100.43</v>
      </c>
      <c r="AQ939" s="37">
        <v>700842.44</v>
      </c>
      <c r="AR939" s="37">
        <v>6439491.3099999987</v>
      </c>
      <c r="AS939" s="37">
        <v>2288186.0499999998</v>
      </c>
      <c r="AT939" s="37">
        <v>12750</v>
      </c>
      <c r="AU939" s="37">
        <v>13005</v>
      </c>
      <c r="AV939" s="37">
        <v>0</v>
      </c>
      <c r="AW939" s="37">
        <v>0</v>
      </c>
      <c r="AX939" s="37">
        <v>0</v>
      </c>
      <c r="AY939" s="37">
        <v>0</v>
      </c>
      <c r="AZ939" s="37">
        <v>0</v>
      </c>
      <c r="BA939" s="37">
        <v>0</v>
      </c>
      <c r="BB939" s="37">
        <v>0</v>
      </c>
      <c r="BC939" s="37">
        <v>0</v>
      </c>
      <c r="BD939" s="37">
        <v>25755</v>
      </c>
      <c r="BE939" s="37">
        <v>0</v>
      </c>
      <c r="BF939" s="37">
        <v>0</v>
      </c>
      <c r="BG939" s="37">
        <v>2677550</v>
      </c>
      <c r="BH939" s="37">
        <v>0</v>
      </c>
      <c r="BI939" s="37">
        <v>0</v>
      </c>
      <c r="BJ939" s="37">
        <v>0</v>
      </c>
      <c r="BK939" s="37">
        <v>0</v>
      </c>
      <c r="BL939" s="37">
        <v>0</v>
      </c>
      <c r="BM939" s="37">
        <v>0</v>
      </c>
      <c r="BN939" s="37">
        <v>0</v>
      </c>
      <c r="BO939" s="37">
        <v>0</v>
      </c>
      <c r="BP939" s="37">
        <v>2677550</v>
      </c>
      <c r="BQ939" s="37">
        <v>0</v>
      </c>
      <c r="BR939" s="37">
        <v>0</v>
      </c>
      <c r="BS939" s="37">
        <v>669390</v>
      </c>
      <c r="BT939" s="37">
        <v>0</v>
      </c>
      <c r="BU939" s="37">
        <v>0</v>
      </c>
      <c r="BV939" s="37">
        <v>0</v>
      </c>
      <c r="BW939" s="37">
        <v>0</v>
      </c>
      <c r="BX939" s="37">
        <v>0</v>
      </c>
      <c r="BY939" s="37">
        <v>0</v>
      </c>
      <c r="BZ939" s="37">
        <v>0</v>
      </c>
      <c r="CA939" s="37">
        <v>0</v>
      </c>
      <c r="CB939" s="37">
        <v>669390</v>
      </c>
      <c r="CC939" s="37">
        <v>23000</v>
      </c>
      <c r="CD939" s="37">
        <v>17500</v>
      </c>
      <c r="CE939" s="37">
        <v>0</v>
      </c>
      <c r="CF939" s="37">
        <v>0</v>
      </c>
      <c r="CG939" s="37">
        <v>0</v>
      </c>
      <c r="CH939" s="37">
        <v>0</v>
      </c>
      <c r="CI939" s="37">
        <v>0</v>
      </c>
      <c r="CJ939" s="37">
        <v>0</v>
      </c>
      <c r="CK939" s="37">
        <v>0</v>
      </c>
      <c r="CL939" s="37">
        <v>0</v>
      </c>
      <c r="CM939" s="37">
        <v>0</v>
      </c>
      <c r="CN939" s="37">
        <v>17500</v>
      </c>
      <c r="CO939" s="37">
        <v>585000</v>
      </c>
      <c r="CP939" s="37">
        <v>0</v>
      </c>
      <c r="CQ939" s="37">
        <v>0</v>
      </c>
      <c r="CR939" s="37">
        <v>0</v>
      </c>
      <c r="CS939" s="37">
        <v>0</v>
      </c>
      <c r="CT939" s="37">
        <v>0</v>
      </c>
      <c r="CU939" s="37">
        <v>0</v>
      </c>
      <c r="CV939" s="37">
        <v>0</v>
      </c>
      <c r="CW939" s="37">
        <v>0</v>
      </c>
      <c r="CX939" s="37">
        <v>0</v>
      </c>
      <c r="CY939" s="37">
        <v>0</v>
      </c>
      <c r="CZ939" s="37">
        <v>0</v>
      </c>
      <c r="DA939" s="37">
        <v>119973</v>
      </c>
      <c r="DB939" s="37">
        <v>0</v>
      </c>
      <c r="DC939" s="37">
        <v>0</v>
      </c>
      <c r="DD939" s="37">
        <v>0</v>
      </c>
      <c r="DE939" s="37">
        <v>0</v>
      </c>
      <c r="DF939" s="37">
        <v>0</v>
      </c>
      <c r="DG939" s="37">
        <v>0</v>
      </c>
      <c r="DH939" s="37">
        <v>0</v>
      </c>
      <c r="DI939" s="37">
        <v>0</v>
      </c>
      <c r="DJ939" s="37">
        <v>0</v>
      </c>
      <c r="DK939" s="37">
        <v>0</v>
      </c>
      <c r="DL939" s="37">
        <v>0</v>
      </c>
      <c r="DM939" s="37">
        <v>62000</v>
      </c>
      <c r="DN939" s="37">
        <v>25000</v>
      </c>
      <c r="DO939" s="37">
        <v>0</v>
      </c>
      <c r="DP939" s="37">
        <v>0</v>
      </c>
      <c r="DQ939" s="37">
        <v>0</v>
      </c>
      <c r="DR939" s="37">
        <v>0</v>
      </c>
      <c r="DS939" s="37">
        <v>0</v>
      </c>
      <c r="DT939" s="37">
        <v>0</v>
      </c>
      <c r="DU939" s="37">
        <v>0</v>
      </c>
      <c r="DV939" s="37">
        <v>0</v>
      </c>
      <c r="DW939" s="37">
        <v>0</v>
      </c>
      <c r="DX939" s="37">
        <v>25000</v>
      </c>
      <c r="DY939" s="37">
        <v>0</v>
      </c>
      <c r="DZ939" s="37">
        <v>0</v>
      </c>
      <c r="EA939" s="37">
        <v>0</v>
      </c>
      <c r="EB939" s="37">
        <v>0</v>
      </c>
      <c r="EC939" s="37">
        <v>0</v>
      </c>
      <c r="ED939" s="37">
        <v>0</v>
      </c>
      <c r="EE939" s="37">
        <v>0</v>
      </c>
      <c r="EF939" s="37">
        <v>0</v>
      </c>
      <c r="EG939" s="37">
        <v>0</v>
      </c>
      <c r="EH939" s="37">
        <v>0</v>
      </c>
      <c r="EI939" s="37">
        <v>0</v>
      </c>
      <c r="EJ939" s="37">
        <v>0</v>
      </c>
      <c r="EK939" s="161" t="s">
        <v>3320</v>
      </c>
      <c r="EL939" s="294" t="s">
        <v>1124</v>
      </c>
    </row>
    <row r="940" spans="1:142" ht="15" customHeight="1" x14ac:dyDescent="0.35">
      <c r="A940" s="34"/>
      <c r="B940" s="313">
        <v>33025</v>
      </c>
      <c r="C940" s="8" t="s">
        <v>269</v>
      </c>
      <c r="D940" s="18">
        <v>12</v>
      </c>
      <c r="E940" s="155">
        <v>71096</v>
      </c>
      <c r="F940" s="36">
        <v>75407</v>
      </c>
      <c r="G940" s="37">
        <v>14563</v>
      </c>
      <c r="H940" s="37">
        <v>29511</v>
      </c>
      <c r="I940" s="37">
        <v>61600</v>
      </c>
      <c r="J940" s="37">
        <v>151738</v>
      </c>
      <c r="K940" s="37">
        <v>7109.6</v>
      </c>
      <c r="L940" s="37">
        <v>7540.7</v>
      </c>
      <c r="M940" s="37">
        <v>154368.6</v>
      </c>
      <c r="N940" s="37">
        <v>264196.7</v>
      </c>
      <c r="O940" s="37">
        <v>0</v>
      </c>
      <c r="P940" s="37">
        <v>0</v>
      </c>
      <c r="Q940" s="37">
        <v>50274</v>
      </c>
      <c r="R940" s="37">
        <v>53214</v>
      </c>
      <c r="S940" s="37">
        <v>0</v>
      </c>
      <c r="T940" s="37">
        <v>0</v>
      </c>
      <c r="U940" s="37">
        <v>0</v>
      </c>
      <c r="V940" s="37">
        <v>0</v>
      </c>
      <c r="W940" s="37">
        <v>104094.6</v>
      </c>
      <c r="X940" s="37">
        <v>210982.7</v>
      </c>
      <c r="Y940" s="37">
        <v>0</v>
      </c>
      <c r="Z940" s="37">
        <v>0</v>
      </c>
      <c r="AA940" s="37">
        <v>154368.6</v>
      </c>
      <c r="AB940" s="37">
        <v>264196.7</v>
      </c>
      <c r="AC940" s="37">
        <v>0</v>
      </c>
      <c r="AD940" s="37">
        <v>0</v>
      </c>
      <c r="AE940" s="37">
        <v>63749</v>
      </c>
      <c r="AF940" s="168">
        <v>0.02</v>
      </c>
      <c r="AG940" s="37">
        <v>18618800.91</v>
      </c>
      <c r="AH940" s="37">
        <v>146818.54</v>
      </c>
      <c r="AI940" s="37">
        <v>149754.91</v>
      </c>
      <c r="AJ940" s="37">
        <v>152750.01</v>
      </c>
      <c r="AK940" s="37">
        <v>155805.01</v>
      </c>
      <c r="AL940" s="37">
        <v>158921.10999999999</v>
      </c>
      <c r="AM940" s="37">
        <v>162099.54</v>
      </c>
      <c r="AN940" s="37">
        <v>165341.53</v>
      </c>
      <c r="AO940" s="37">
        <v>168648.36</v>
      </c>
      <c r="AP940" s="37">
        <v>172021.32</v>
      </c>
      <c r="AQ940" s="37">
        <v>175461.75</v>
      </c>
      <c r="AR940" s="37">
        <v>1607622.08</v>
      </c>
      <c r="AS940" s="37">
        <v>0</v>
      </c>
      <c r="AT940" s="37">
        <v>0</v>
      </c>
      <c r="AU940" s="37">
        <v>0</v>
      </c>
      <c r="AV940" s="37">
        <v>0</v>
      </c>
      <c r="AW940" s="37">
        <v>0</v>
      </c>
      <c r="AX940" s="37">
        <v>0</v>
      </c>
      <c r="AY940" s="37">
        <v>0</v>
      </c>
      <c r="AZ940" s="37">
        <v>0</v>
      </c>
      <c r="BA940" s="37">
        <v>0</v>
      </c>
      <c r="BB940" s="37">
        <v>0</v>
      </c>
      <c r="BC940" s="37">
        <v>0</v>
      </c>
      <c r="BD940" s="37">
        <v>0</v>
      </c>
      <c r="BE940" s="37">
        <v>0</v>
      </c>
      <c r="BF940" s="37">
        <v>0</v>
      </c>
      <c r="BG940" s="37">
        <v>0</v>
      </c>
      <c r="BH940" s="37">
        <v>0</v>
      </c>
      <c r="BI940" s="37">
        <v>0</v>
      </c>
      <c r="BJ940" s="37">
        <v>0</v>
      </c>
      <c r="BK940" s="37">
        <v>0</v>
      </c>
      <c r="BL940" s="37">
        <v>0</v>
      </c>
      <c r="BM940" s="37">
        <v>0</v>
      </c>
      <c r="BN940" s="37">
        <v>0</v>
      </c>
      <c r="BO940" s="37">
        <v>0</v>
      </c>
      <c r="BP940" s="37">
        <v>0</v>
      </c>
      <c r="BQ940" s="37">
        <v>0</v>
      </c>
      <c r="BR940" s="37">
        <v>0</v>
      </c>
      <c r="BS940" s="37">
        <v>0</v>
      </c>
      <c r="BT940" s="37">
        <v>0</v>
      </c>
      <c r="BU940" s="37">
        <v>0</v>
      </c>
      <c r="BV940" s="37">
        <v>0</v>
      </c>
      <c r="BW940" s="37">
        <v>0</v>
      </c>
      <c r="BX940" s="37">
        <v>0</v>
      </c>
      <c r="BY940" s="37">
        <v>0</v>
      </c>
      <c r="BZ940" s="37">
        <v>0</v>
      </c>
      <c r="CA940" s="37">
        <v>0</v>
      </c>
      <c r="CB940" s="37">
        <v>0</v>
      </c>
      <c r="CC940" s="37">
        <v>0</v>
      </c>
      <c r="CD940" s="37">
        <v>0</v>
      </c>
      <c r="CE940" s="37">
        <v>0</v>
      </c>
      <c r="CF940" s="37">
        <v>0</v>
      </c>
      <c r="CG940" s="37">
        <v>0</v>
      </c>
      <c r="CH940" s="37">
        <v>0</v>
      </c>
      <c r="CI940" s="37">
        <v>0</v>
      </c>
      <c r="CJ940" s="37">
        <v>0</v>
      </c>
      <c r="CK940" s="37">
        <v>0</v>
      </c>
      <c r="CL940" s="37">
        <v>0</v>
      </c>
      <c r="CM940" s="37">
        <v>0</v>
      </c>
      <c r="CN940" s="37">
        <v>0</v>
      </c>
      <c r="CO940" s="37">
        <v>0</v>
      </c>
      <c r="CP940" s="37">
        <v>0</v>
      </c>
      <c r="CQ940" s="37">
        <v>0</v>
      </c>
      <c r="CR940" s="37">
        <v>0</v>
      </c>
      <c r="CS940" s="37">
        <v>0</v>
      </c>
      <c r="CT940" s="37">
        <v>0</v>
      </c>
      <c r="CU940" s="37">
        <v>0</v>
      </c>
      <c r="CV940" s="37">
        <v>0</v>
      </c>
      <c r="CW940" s="37">
        <v>0</v>
      </c>
      <c r="CX940" s="37">
        <v>0</v>
      </c>
      <c r="CY940" s="37">
        <v>0</v>
      </c>
      <c r="CZ940" s="37">
        <v>0</v>
      </c>
      <c r="DA940" s="37">
        <v>0</v>
      </c>
      <c r="DB940" s="37">
        <v>0</v>
      </c>
      <c r="DC940" s="37">
        <v>0</v>
      </c>
      <c r="DD940" s="37">
        <v>0</v>
      </c>
      <c r="DE940" s="37">
        <v>0</v>
      </c>
      <c r="DF940" s="37">
        <v>0</v>
      </c>
      <c r="DG940" s="37">
        <v>0</v>
      </c>
      <c r="DH940" s="37">
        <v>0</v>
      </c>
      <c r="DI940" s="37">
        <v>0</v>
      </c>
      <c r="DJ940" s="37">
        <v>0</v>
      </c>
      <c r="DK940" s="37">
        <v>0</v>
      </c>
      <c r="DL940" s="37">
        <v>0</v>
      </c>
      <c r="DM940" s="37">
        <v>0</v>
      </c>
      <c r="DN940" s="37">
        <v>0</v>
      </c>
      <c r="DO940" s="37">
        <v>0</v>
      </c>
      <c r="DP940" s="37">
        <v>0</v>
      </c>
      <c r="DQ940" s="37">
        <v>0</v>
      </c>
      <c r="DR940" s="37">
        <v>0</v>
      </c>
      <c r="DS940" s="37">
        <v>0</v>
      </c>
      <c r="DT940" s="37">
        <v>0</v>
      </c>
      <c r="DU940" s="37">
        <v>0</v>
      </c>
      <c r="DV940" s="37">
        <v>0</v>
      </c>
      <c r="DW940" s="37">
        <v>0</v>
      </c>
      <c r="DX940" s="37">
        <v>0</v>
      </c>
      <c r="DY940" s="37">
        <v>0</v>
      </c>
      <c r="DZ940" s="37">
        <v>0</v>
      </c>
      <c r="EA940" s="37">
        <v>0</v>
      </c>
      <c r="EB940" s="37">
        <v>0</v>
      </c>
      <c r="EC940" s="37">
        <v>0</v>
      </c>
      <c r="ED940" s="37">
        <v>0</v>
      </c>
      <c r="EE940" s="37">
        <v>0</v>
      </c>
      <c r="EF940" s="37">
        <v>0</v>
      </c>
      <c r="EG940" s="37">
        <v>0</v>
      </c>
      <c r="EH940" s="37">
        <v>0</v>
      </c>
      <c r="EI940" s="37">
        <v>0</v>
      </c>
      <c r="EJ940" s="37">
        <v>0</v>
      </c>
      <c r="EK940" s="161" t="s">
        <v>3324</v>
      </c>
      <c r="EL940" s="294" t="s">
        <v>1124</v>
      </c>
    </row>
    <row r="941" spans="1:142" ht="15" customHeight="1" x14ac:dyDescent="0.35">
      <c r="A941" s="34"/>
      <c r="B941" s="313">
        <v>68025</v>
      </c>
      <c r="C941" s="8" t="s">
        <v>677</v>
      </c>
      <c r="D941" s="18">
        <v>16</v>
      </c>
      <c r="E941" s="155"/>
      <c r="F941" s="36"/>
      <c r="G941" s="37"/>
      <c r="H941" s="37"/>
      <c r="I941" s="37"/>
      <c r="J941" s="37"/>
      <c r="K941" s="37"/>
      <c r="L941" s="37"/>
      <c r="M941" s="37" t="s">
        <v>1124</v>
      </c>
      <c r="N941" s="37" t="s">
        <v>1124</v>
      </c>
      <c r="O941" s="37"/>
      <c r="P941" s="37"/>
      <c r="Q941" s="37"/>
      <c r="R941" s="37"/>
      <c r="S941" s="37"/>
      <c r="T941" s="37"/>
      <c r="U941" s="37"/>
      <c r="V941" s="37"/>
      <c r="W941" s="37"/>
      <c r="X941" s="37"/>
      <c r="Y941" s="37"/>
      <c r="Z941" s="37"/>
      <c r="AA941" s="37" t="s">
        <v>1124</v>
      </c>
      <c r="AB941" s="37" t="s">
        <v>1124</v>
      </c>
      <c r="AC941" s="37"/>
      <c r="AD941" s="37"/>
      <c r="AE941" s="37"/>
      <c r="AF941" s="168"/>
      <c r="AG941" s="37"/>
      <c r="AH941" s="37"/>
      <c r="AI941" s="37"/>
      <c r="AJ941" s="37"/>
      <c r="AK941" s="37"/>
      <c r="AL941" s="37"/>
      <c r="AM941" s="37"/>
      <c r="AN941" s="37"/>
      <c r="AO941" s="37"/>
      <c r="AP941" s="37"/>
      <c r="AQ941" s="37"/>
      <c r="AR941" s="37" t="s">
        <v>1124</v>
      </c>
      <c r="AS941" s="37"/>
      <c r="AT941" s="37"/>
      <c r="AU941" s="37"/>
      <c r="AV941" s="37"/>
      <c r="AW941" s="37"/>
      <c r="AX941" s="37"/>
      <c r="AY941" s="37"/>
      <c r="AZ941" s="37"/>
      <c r="BA941" s="37"/>
      <c r="BB941" s="37"/>
      <c r="BC941" s="37"/>
      <c r="BD941" s="37" t="s">
        <v>1124</v>
      </c>
      <c r="BE941" s="37"/>
      <c r="BF941" s="37"/>
      <c r="BG941" s="37"/>
      <c r="BH941" s="37"/>
      <c r="BI941" s="37"/>
      <c r="BJ941" s="37"/>
      <c r="BK941" s="37"/>
      <c r="BL941" s="37"/>
      <c r="BM941" s="37"/>
      <c r="BN941" s="37"/>
      <c r="BO941" s="37"/>
      <c r="BP941" s="37">
        <v>0</v>
      </c>
      <c r="BQ941" s="37"/>
      <c r="BR941" s="37"/>
      <c r="BS941" s="37"/>
      <c r="BT941" s="37"/>
      <c r="BU941" s="37"/>
      <c r="BV941" s="37"/>
      <c r="BW941" s="37"/>
      <c r="BX941" s="37"/>
      <c r="BY941" s="37"/>
      <c r="BZ941" s="37"/>
      <c r="CA941" s="37"/>
      <c r="CB941" s="37" t="s">
        <v>1124</v>
      </c>
      <c r="CC941" s="37"/>
      <c r="CD941" s="37"/>
      <c r="CE941" s="37"/>
      <c r="CF941" s="37"/>
      <c r="CG941" s="37"/>
      <c r="CH941" s="37"/>
      <c r="CI941" s="37"/>
      <c r="CJ941" s="37"/>
      <c r="CK941" s="37"/>
      <c r="CL941" s="37"/>
      <c r="CM941" s="37"/>
      <c r="CN941" s="37" t="s">
        <v>1124</v>
      </c>
      <c r="CO941" s="37"/>
      <c r="CP941" s="37"/>
      <c r="CQ941" s="37"/>
      <c r="CR941" s="37"/>
      <c r="CS941" s="37"/>
      <c r="CT941" s="37"/>
      <c r="CU941" s="37"/>
      <c r="CV941" s="37"/>
      <c r="CW941" s="37"/>
      <c r="CX941" s="37"/>
      <c r="CY941" s="37"/>
      <c r="CZ941" s="37" t="s">
        <v>1124</v>
      </c>
      <c r="DA941" s="37"/>
      <c r="DB941" s="37"/>
      <c r="DC941" s="37"/>
      <c r="DD941" s="37"/>
      <c r="DE941" s="37"/>
      <c r="DF941" s="37"/>
      <c r="DG941" s="37"/>
      <c r="DH941" s="37"/>
      <c r="DI941" s="37"/>
      <c r="DJ941" s="37"/>
      <c r="DK941" s="37"/>
      <c r="DL941" s="37" t="s">
        <v>1124</v>
      </c>
      <c r="DM941" s="37"/>
      <c r="DN941" s="37"/>
      <c r="DO941" s="37"/>
      <c r="DP941" s="37"/>
      <c r="DQ941" s="37"/>
      <c r="DR941" s="37"/>
      <c r="DS941" s="37"/>
      <c r="DT941" s="37"/>
      <c r="DU941" s="37"/>
      <c r="DV941" s="37"/>
      <c r="DW941" s="37"/>
      <c r="DX941" s="37" t="s">
        <v>1124</v>
      </c>
      <c r="DY941" s="37"/>
      <c r="DZ941" s="37"/>
      <c r="EA941" s="37"/>
      <c r="EB941" s="37"/>
      <c r="EC941" s="37"/>
      <c r="ED941" s="37"/>
      <c r="EE941" s="37"/>
      <c r="EF941" s="37"/>
      <c r="EG941" s="37"/>
      <c r="EH941" s="37"/>
      <c r="EI941" s="37"/>
      <c r="EJ941" s="37" t="s">
        <v>1124</v>
      </c>
      <c r="EK941" s="161"/>
      <c r="EL941" s="294"/>
    </row>
    <row r="942" spans="1:142" ht="15" customHeight="1" x14ac:dyDescent="0.35">
      <c r="A942" s="34"/>
      <c r="B942" s="313">
        <v>61005</v>
      </c>
      <c r="C942" s="8" t="s">
        <v>609</v>
      </c>
      <c r="D942" s="18">
        <v>14</v>
      </c>
      <c r="E942" s="155">
        <v>288566</v>
      </c>
      <c r="F942" s="36">
        <v>204241</v>
      </c>
      <c r="G942" s="37">
        <v>68003</v>
      </c>
      <c r="H942" s="37">
        <v>161519</v>
      </c>
      <c r="I942" s="37">
        <v>458000</v>
      </c>
      <c r="J942" s="37">
        <v>458000</v>
      </c>
      <c r="K942" s="37">
        <v>43285</v>
      </c>
      <c r="L942" s="37">
        <v>30636</v>
      </c>
      <c r="M942" s="37">
        <v>857854</v>
      </c>
      <c r="N942" s="37">
        <v>854396</v>
      </c>
      <c r="O942" s="37">
        <v>0</v>
      </c>
      <c r="P942" s="37">
        <v>0</v>
      </c>
      <c r="Q942" s="37">
        <v>211900</v>
      </c>
      <c r="R942" s="37">
        <v>84750</v>
      </c>
      <c r="S942" s="37">
        <v>0</v>
      </c>
      <c r="T942" s="37">
        <v>0</v>
      </c>
      <c r="U942" s="37">
        <v>45264</v>
      </c>
      <c r="V942" s="37">
        <v>0</v>
      </c>
      <c r="W942" s="37">
        <v>645105</v>
      </c>
      <c r="X942" s="37">
        <v>814061</v>
      </c>
      <c r="Y942" s="37">
        <v>0</v>
      </c>
      <c r="Z942" s="37">
        <v>0</v>
      </c>
      <c r="AA942" s="37">
        <v>902269</v>
      </c>
      <c r="AB942" s="37">
        <v>898811</v>
      </c>
      <c r="AC942" s="37">
        <v>88830</v>
      </c>
      <c r="AD942" s="37">
        <v>88830</v>
      </c>
      <c r="AE942" s="37">
        <v>472169</v>
      </c>
      <c r="AF942" s="168">
        <v>0.02</v>
      </c>
      <c r="AG942" s="37">
        <v>31930381.190000001</v>
      </c>
      <c r="AH942" s="37">
        <v>290962.75</v>
      </c>
      <c r="AI942" s="37">
        <v>310908.03999999998</v>
      </c>
      <c r="AJ942" s="37">
        <v>306514.12</v>
      </c>
      <c r="AK942" s="37">
        <v>308772</v>
      </c>
      <c r="AL942" s="37">
        <v>314947.44</v>
      </c>
      <c r="AM942" s="37">
        <v>321246.39</v>
      </c>
      <c r="AN942" s="37">
        <v>327671.32</v>
      </c>
      <c r="AO942" s="37">
        <v>334224.74</v>
      </c>
      <c r="AP942" s="37">
        <v>340909.24</v>
      </c>
      <c r="AQ942" s="37">
        <v>347727.42</v>
      </c>
      <c r="AR942" s="37">
        <v>3203883.46</v>
      </c>
      <c r="AS942" s="37">
        <v>877355.73</v>
      </c>
      <c r="AT942" s="37">
        <v>3117823.8</v>
      </c>
      <c r="AU942" s="37">
        <v>1432370.7</v>
      </c>
      <c r="AV942" s="37">
        <v>203.75</v>
      </c>
      <c r="AW942" s="37">
        <v>207.83</v>
      </c>
      <c r="AX942" s="37">
        <v>0</v>
      </c>
      <c r="AY942" s="37">
        <v>0</v>
      </c>
      <c r="AZ942" s="37">
        <v>0</v>
      </c>
      <c r="BA942" s="37">
        <v>0</v>
      </c>
      <c r="BB942" s="37">
        <v>0</v>
      </c>
      <c r="BC942" s="37">
        <v>0</v>
      </c>
      <c r="BD942" s="37">
        <v>4550606.08</v>
      </c>
      <c r="BE942" s="37">
        <v>601550</v>
      </c>
      <c r="BF942" s="37">
        <v>0</v>
      </c>
      <c r="BG942" s="37">
        <v>0</v>
      </c>
      <c r="BH942" s="37">
        <v>300000</v>
      </c>
      <c r="BI942" s="37">
        <v>0</v>
      </c>
      <c r="BJ942" s="37">
        <v>0</v>
      </c>
      <c r="BK942" s="37">
        <v>0</v>
      </c>
      <c r="BL942" s="37">
        <v>0</v>
      </c>
      <c r="BM942" s="37">
        <v>0</v>
      </c>
      <c r="BN942" s="37">
        <v>0</v>
      </c>
      <c r="BO942" s="37">
        <v>0</v>
      </c>
      <c r="BP942" s="37">
        <v>300000</v>
      </c>
      <c r="BQ942" s="37">
        <v>0</v>
      </c>
      <c r="BR942" s="37">
        <v>518112</v>
      </c>
      <c r="BS942" s="37">
        <v>5017155</v>
      </c>
      <c r="BT942" s="37">
        <v>0</v>
      </c>
      <c r="BU942" s="37">
        <v>0</v>
      </c>
      <c r="BV942" s="37">
        <v>0</v>
      </c>
      <c r="BW942" s="37">
        <v>0</v>
      </c>
      <c r="BX942" s="37">
        <v>0</v>
      </c>
      <c r="BY942" s="37">
        <v>0</v>
      </c>
      <c r="BZ942" s="37">
        <v>0</v>
      </c>
      <c r="CA942" s="37">
        <v>0</v>
      </c>
      <c r="CB942" s="37">
        <v>5535267</v>
      </c>
      <c r="CC942" s="37">
        <v>0</v>
      </c>
      <c r="CD942" s="37">
        <v>60000</v>
      </c>
      <c r="CE942" s="37">
        <v>100000</v>
      </c>
      <c r="CF942" s="37">
        <v>0</v>
      </c>
      <c r="CG942" s="37">
        <v>0</v>
      </c>
      <c r="CH942" s="37">
        <v>0</v>
      </c>
      <c r="CI942" s="37">
        <v>0</v>
      </c>
      <c r="CJ942" s="37">
        <v>0</v>
      </c>
      <c r="CK942" s="37">
        <v>0</v>
      </c>
      <c r="CL942" s="37">
        <v>0</v>
      </c>
      <c r="CM942" s="37">
        <v>0</v>
      </c>
      <c r="CN942" s="37">
        <v>160000</v>
      </c>
      <c r="CO942" s="37">
        <v>22310</v>
      </c>
      <c r="CP942" s="37">
        <v>0</v>
      </c>
      <c r="CQ942" s="37">
        <v>0</v>
      </c>
      <c r="CR942" s="37">
        <v>0</v>
      </c>
      <c r="CS942" s="37">
        <v>0</v>
      </c>
      <c r="CT942" s="37">
        <v>0</v>
      </c>
      <c r="CU942" s="37">
        <v>0</v>
      </c>
      <c r="CV942" s="37">
        <v>0</v>
      </c>
      <c r="CW942" s="37">
        <v>0</v>
      </c>
      <c r="CX942" s="37">
        <v>0</v>
      </c>
      <c r="CY942" s="37">
        <v>0</v>
      </c>
      <c r="CZ942" s="37">
        <v>0</v>
      </c>
      <c r="DA942" s="37">
        <v>0</v>
      </c>
      <c r="DB942" s="37">
        <v>3113380</v>
      </c>
      <c r="DC942" s="37">
        <v>1320060</v>
      </c>
      <c r="DD942" s="37">
        <v>0</v>
      </c>
      <c r="DE942" s="37">
        <v>0</v>
      </c>
      <c r="DF942" s="37">
        <v>0</v>
      </c>
      <c r="DG942" s="37">
        <v>0</v>
      </c>
      <c r="DH942" s="37">
        <v>0</v>
      </c>
      <c r="DI942" s="37">
        <v>0</v>
      </c>
      <c r="DJ942" s="37">
        <v>0</v>
      </c>
      <c r="DK942" s="37">
        <v>0</v>
      </c>
      <c r="DL942" s="37">
        <v>4433440</v>
      </c>
      <c r="DM942" s="37">
        <v>0</v>
      </c>
      <c r="DN942" s="37">
        <v>0</v>
      </c>
      <c r="DO942" s="37">
        <v>0</v>
      </c>
      <c r="DP942" s="37">
        <v>384</v>
      </c>
      <c r="DQ942" s="37">
        <v>0</v>
      </c>
      <c r="DR942" s="37">
        <v>0</v>
      </c>
      <c r="DS942" s="37">
        <v>0</v>
      </c>
      <c r="DT942" s="37">
        <v>0</v>
      </c>
      <c r="DU942" s="37">
        <v>0</v>
      </c>
      <c r="DV942" s="37">
        <v>0</v>
      </c>
      <c r="DW942" s="37">
        <v>0</v>
      </c>
      <c r="DX942" s="37">
        <v>384</v>
      </c>
      <c r="DY942" s="37">
        <v>0</v>
      </c>
      <c r="DZ942" s="37">
        <v>0</v>
      </c>
      <c r="EA942" s="37">
        <v>0</v>
      </c>
      <c r="EB942" s="37">
        <v>0</v>
      </c>
      <c r="EC942" s="37">
        <v>0</v>
      </c>
      <c r="ED942" s="37">
        <v>0</v>
      </c>
      <c r="EE942" s="37">
        <v>0</v>
      </c>
      <c r="EF942" s="37">
        <v>0</v>
      </c>
      <c r="EG942" s="37">
        <v>0</v>
      </c>
      <c r="EH942" s="37">
        <v>0</v>
      </c>
      <c r="EI942" s="37">
        <v>0</v>
      </c>
      <c r="EJ942" s="37">
        <v>0</v>
      </c>
      <c r="EK942" s="161" t="s">
        <v>3333</v>
      </c>
      <c r="EL942" s="294" t="s">
        <v>1124</v>
      </c>
    </row>
    <row r="943" spans="1:142" ht="15" customHeight="1" x14ac:dyDescent="0.35">
      <c r="A943" s="34"/>
      <c r="B943" s="313">
        <v>55015</v>
      </c>
      <c r="C943" s="8" t="s">
        <v>560</v>
      </c>
      <c r="D943" s="18">
        <v>16</v>
      </c>
      <c r="E943" s="155">
        <v>106885</v>
      </c>
      <c r="F943" s="36">
        <v>69211</v>
      </c>
      <c r="G943" s="37">
        <v>9179</v>
      </c>
      <c r="H943" s="37">
        <v>531</v>
      </c>
      <c r="I943" s="37">
        <v>18585</v>
      </c>
      <c r="J943" s="37">
        <v>6200</v>
      </c>
      <c r="K943" s="37">
        <v>10688.5</v>
      </c>
      <c r="L943" s="37">
        <v>6921.1</v>
      </c>
      <c r="M943" s="37">
        <v>145337.5</v>
      </c>
      <c r="N943" s="37">
        <v>82863.100000000006</v>
      </c>
      <c r="O943" s="37">
        <v>26762</v>
      </c>
      <c r="P943" s="37">
        <v>0</v>
      </c>
      <c r="Q943" s="37">
        <v>47120</v>
      </c>
      <c r="R943" s="37">
        <v>89290</v>
      </c>
      <c r="S943" s="37">
        <v>0</v>
      </c>
      <c r="T943" s="37">
        <v>0</v>
      </c>
      <c r="U943" s="37">
        <v>11289</v>
      </c>
      <c r="V943" s="37">
        <v>0</v>
      </c>
      <c r="W943" s="37">
        <v>53740</v>
      </c>
      <c r="X943" s="37">
        <v>0</v>
      </c>
      <c r="Y943" s="37">
        <v>0</v>
      </c>
      <c r="Z943" s="37">
        <v>0</v>
      </c>
      <c r="AA943" s="37">
        <v>138911</v>
      </c>
      <c r="AB943" s="37">
        <v>89290</v>
      </c>
      <c r="AC943" s="37">
        <v>0</v>
      </c>
      <c r="AD943" s="37">
        <v>0</v>
      </c>
      <c r="AE943" s="37">
        <v>0</v>
      </c>
      <c r="AF943" s="168">
        <v>0.02</v>
      </c>
      <c r="AG943" s="37">
        <v>18225786.68</v>
      </c>
      <c r="AH943" s="37">
        <v>162304.75</v>
      </c>
      <c r="AI943" s="37">
        <v>165550.84</v>
      </c>
      <c r="AJ943" s="37">
        <v>168861.86</v>
      </c>
      <c r="AK943" s="37">
        <v>172239.1</v>
      </c>
      <c r="AL943" s="37">
        <v>183727.9</v>
      </c>
      <c r="AM943" s="37">
        <v>188359.69</v>
      </c>
      <c r="AN943" s="37">
        <v>190174.12</v>
      </c>
      <c r="AO943" s="37">
        <v>193977.60000000001</v>
      </c>
      <c r="AP943" s="37">
        <v>197857.16</v>
      </c>
      <c r="AQ943" s="37">
        <v>201814.3</v>
      </c>
      <c r="AR943" s="37">
        <v>1824867.32</v>
      </c>
      <c r="AS943" s="37">
        <v>456598.27</v>
      </c>
      <c r="AT943" s="37">
        <v>1087218</v>
      </c>
      <c r="AU943" s="37">
        <v>790599.96</v>
      </c>
      <c r="AV943" s="37">
        <v>2435472.36</v>
      </c>
      <c r="AW943" s="37">
        <v>276020.2</v>
      </c>
      <c r="AX943" s="37">
        <v>304063.84999999998</v>
      </c>
      <c r="AY943" s="37">
        <v>310145.13</v>
      </c>
      <c r="AZ943" s="37">
        <v>316348.03000000003</v>
      </c>
      <c r="BA943" s="37">
        <v>322674.99</v>
      </c>
      <c r="BB943" s="37">
        <v>329128.49</v>
      </c>
      <c r="BC943" s="37">
        <v>273542.34999999998</v>
      </c>
      <c r="BD943" s="37">
        <v>6445213.3600000003</v>
      </c>
      <c r="BE943" s="37">
        <v>696889</v>
      </c>
      <c r="BF943" s="37">
        <v>0</v>
      </c>
      <c r="BG943" s="37">
        <v>0</v>
      </c>
      <c r="BH943" s="37">
        <v>0</v>
      </c>
      <c r="BI943" s="37">
        <v>0</v>
      </c>
      <c r="BJ943" s="37">
        <v>0</v>
      </c>
      <c r="BK943" s="37">
        <v>0</v>
      </c>
      <c r="BL943" s="37">
        <v>0</v>
      </c>
      <c r="BM943" s="37">
        <v>0</v>
      </c>
      <c r="BN943" s="37">
        <v>0</v>
      </c>
      <c r="BO943" s="37">
        <v>0</v>
      </c>
      <c r="BP943" s="37">
        <v>0</v>
      </c>
      <c r="BQ943" s="37">
        <v>0</v>
      </c>
      <c r="BR943" s="37">
        <v>0</v>
      </c>
      <c r="BS943" s="37">
        <v>0</v>
      </c>
      <c r="BT943" s="37">
        <v>0</v>
      </c>
      <c r="BU943" s="37">
        <v>0</v>
      </c>
      <c r="BV943" s="37">
        <v>0</v>
      </c>
      <c r="BW943" s="37">
        <v>0</v>
      </c>
      <c r="BX943" s="37">
        <v>0</v>
      </c>
      <c r="BY943" s="37">
        <v>0</v>
      </c>
      <c r="BZ943" s="37">
        <v>0</v>
      </c>
      <c r="CA943" s="37">
        <v>0</v>
      </c>
      <c r="CB943" s="37">
        <v>0</v>
      </c>
      <c r="CC943" s="37">
        <v>0</v>
      </c>
      <c r="CD943" s="37">
        <v>0</v>
      </c>
      <c r="CE943" s="37">
        <v>0</v>
      </c>
      <c r="CF943" s="37">
        <v>0</v>
      </c>
      <c r="CG943" s="37">
        <v>0</v>
      </c>
      <c r="CH943" s="37">
        <v>0</v>
      </c>
      <c r="CI943" s="37">
        <v>0</v>
      </c>
      <c r="CJ943" s="37">
        <v>0</v>
      </c>
      <c r="CK943" s="37">
        <v>0</v>
      </c>
      <c r="CL943" s="37">
        <v>0</v>
      </c>
      <c r="CM943" s="37">
        <v>0</v>
      </c>
      <c r="CN943" s="37">
        <v>0</v>
      </c>
      <c r="CO943" s="37">
        <v>0</v>
      </c>
      <c r="CP943" s="37">
        <v>0</v>
      </c>
      <c r="CQ943" s="37">
        <v>0</v>
      </c>
      <c r="CR943" s="37">
        <v>0</v>
      </c>
      <c r="CS943" s="37">
        <v>0</v>
      </c>
      <c r="CT943" s="37">
        <v>0</v>
      </c>
      <c r="CU943" s="37">
        <v>0</v>
      </c>
      <c r="CV943" s="37">
        <v>0</v>
      </c>
      <c r="CW943" s="37">
        <v>0</v>
      </c>
      <c r="CX943" s="37">
        <v>0</v>
      </c>
      <c r="CY943" s="37">
        <v>0</v>
      </c>
      <c r="CZ943" s="37">
        <v>0</v>
      </c>
      <c r="DA943" s="37">
        <v>0</v>
      </c>
      <c r="DB943" s="37">
        <v>0</v>
      </c>
      <c r="DC943" s="37">
        <v>0</v>
      </c>
      <c r="DD943" s="37">
        <v>0</v>
      </c>
      <c r="DE943" s="37">
        <v>0</v>
      </c>
      <c r="DF943" s="37">
        <v>0</v>
      </c>
      <c r="DG943" s="37">
        <v>0</v>
      </c>
      <c r="DH943" s="37">
        <v>0</v>
      </c>
      <c r="DI943" s="37">
        <v>0</v>
      </c>
      <c r="DJ943" s="37">
        <v>0</v>
      </c>
      <c r="DK943" s="37">
        <v>0</v>
      </c>
      <c r="DL943" s="37">
        <v>0</v>
      </c>
      <c r="DM943" s="37">
        <v>0</v>
      </c>
      <c r="DN943" s="37">
        <v>0</v>
      </c>
      <c r="DO943" s="37">
        <v>0</v>
      </c>
      <c r="DP943" s="37">
        <v>0</v>
      </c>
      <c r="DQ943" s="37">
        <v>0</v>
      </c>
      <c r="DR943" s="37">
        <v>0</v>
      </c>
      <c r="DS943" s="37">
        <v>0</v>
      </c>
      <c r="DT943" s="37">
        <v>0</v>
      </c>
      <c r="DU943" s="37">
        <v>0</v>
      </c>
      <c r="DV943" s="37">
        <v>0</v>
      </c>
      <c r="DW943" s="37">
        <v>0</v>
      </c>
      <c r="DX943" s="37">
        <v>0</v>
      </c>
      <c r="DY943" s="37">
        <v>0</v>
      </c>
      <c r="DZ943" s="37">
        <v>0</v>
      </c>
      <c r="EA943" s="37">
        <v>0</v>
      </c>
      <c r="EB943" s="37">
        <v>0</v>
      </c>
      <c r="EC943" s="37">
        <v>0</v>
      </c>
      <c r="ED943" s="37">
        <v>0</v>
      </c>
      <c r="EE943" s="37">
        <v>0</v>
      </c>
      <c r="EF943" s="37">
        <v>0</v>
      </c>
      <c r="EG943" s="37">
        <v>0</v>
      </c>
      <c r="EH943" s="37">
        <v>0</v>
      </c>
      <c r="EI943" s="37">
        <v>0</v>
      </c>
      <c r="EJ943" s="37">
        <v>0</v>
      </c>
      <c r="EK943" s="161" t="s">
        <v>3336</v>
      </c>
      <c r="EL943" s="294" t="s">
        <v>1124</v>
      </c>
    </row>
    <row r="944" spans="1:142" ht="15" customHeight="1" x14ac:dyDescent="0.35">
      <c r="A944" s="34"/>
      <c r="B944" s="313">
        <v>12035</v>
      </c>
      <c r="C944" s="8" t="s">
        <v>34</v>
      </c>
      <c r="D944" s="18">
        <v>1</v>
      </c>
      <c r="E944" s="155"/>
      <c r="F944" s="36"/>
      <c r="G944" s="37"/>
      <c r="H944" s="37"/>
      <c r="I944" s="37"/>
      <c r="J944" s="37"/>
      <c r="K944" s="37"/>
      <c r="L944" s="37"/>
      <c r="M944" s="37" t="s">
        <v>1124</v>
      </c>
      <c r="N944" s="37" t="s">
        <v>1124</v>
      </c>
      <c r="O944" s="37"/>
      <c r="P944" s="37"/>
      <c r="Q944" s="37"/>
      <c r="R944" s="37"/>
      <c r="S944" s="37"/>
      <c r="T944" s="37"/>
      <c r="U944" s="37"/>
      <c r="V944" s="37"/>
      <c r="W944" s="37"/>
      <c r="X944" s="37"/>
      <c r="Y944" s="37"/>
      <c r="Z944" s="37"/>
      <c r="AA944" s="37" t="s">
        <v>1124</v>
      </c>
      <c r="AB944" s="37" t="s">
        <v>1124</v>
      </c>
      <c r="AC944" s="37"/>
      <c r="AD944" s="37"/>
      <c r="AE944" s="37"/>
      <c r="AF944" s="168"/>
      <c r="AG944" s="37"/>
      <c r="AH944" s="37"/>
      <c r="AI944" s="37"/>
      <c r="AJ944" s="37"/>
      <c r="AK944" s="37"/>
      <c r="AL944" s="37"/>
      <c r="AM944" s="37"/>
      <c r="AN944" s="37"/>
      <c r="AO944" s="37"/>
      <c r="AP944" s="37"/>
      <c r="AQ944" s="37"/>
      <c r="AR944" s="37" t="s">
        <v>1124</v>
      </c>
      <c r="AS944" s="37"/>
      <c r="AT944" s="37"/>
      <c r="AU944" s="37"/>
      <c r="AV944" s="37"/>
      <c r="AW944" s="37"/>
      <c r="AX944" s="37"/>
      <c r="AY944" s="37"/>
      <c r="AZ944" s="37"/>
      <c r="BA944" s="37"/>
      <c r="BB944" s="37"/>
      <c r="BC944" s="37"/>
      <c r="BD944" s="37" t="s">
        <v>1124</v>
      </c>
      <c r="BE944" s="37"/>
      <c r="BF944" s="37"/>
      <c r="BG944" s="37"/>
      <c r="BH944" s="37"/>
      <c r="BI944" s="37"/>
      <c r="BJ944" s="37"/>
      <c r="BK944" s="37"/>
      <c r="BL944" s="37"/>
      <c r="BM944" s="37"/>
      <c r="BN944" s="37"/>
      <c r="BO944" s="37"/>
      <c r="BP944" s="37">
        <v>0</v>
      </c>
      <c r="BQ944" s="37"/>
      <c r="BR944" s="37"/>
      <c r="BS944" s="37"/>
      <c r="BT944" s="37"/>
      <c r="BU944" s="37"/>
      <c r="BV944" s="37"/>
      <c r="BW944" s="37"/>
      <c r="BX944" s="37"/>
      <c r="BY944" s="37"/>
      <c r="BZ944" s="37"/>
      <c r="CA944" s="37"/>
      <c r="CB944" s="37" t="s">
        <v>1124</v>
      </c>
      <c r="CC944" s="37"/>
      <c r="CD944" s="37"/>
      <c r="CE944" s="37"/>
      <c r="CF944" s="37"/>
      <c r="CG944" s="37"/>
      <c r="CH944" s="37"/>
      <c r="CI944" s="37"/>
      <c r="CJ944" s="37"/>
      <c r="CK944" s="37"/>
      <c r="CL944" s="37"/>
      <c r="CM944" s="37"/>
      <c r="CN944" s="37" t="s">
        <v>1124</v>
      </c>
      <c r="CO944" s="37"/>
      <c r="CP944" s="37"/>
      <c r="CQ944" s="37"/>
      <c r="CR944" s="37"/>
      <c r="CS944" s="37"/>
      <c r="CT944" s="37"/>
      <c r="CU944" s="37"/>
      <c r="CV944" s="37"/>
      <c r="CW944" s="37"/>
      <c r="CX944" s="37"/>
      <c r="CY944" s="37"/>
      <c r="CZ944" s="37" t="s">
        <v>1124</v>
      </c>
      <c r="DA944" s="37"/>
      <c r="DB944" s="37"/>
      <c r="DC944" s="37"/>
      <c r="DD944" s="37"/>
      <c r="DE944" s="37"/>
      <c r="DF944" s="37"/>
      <c r="DG944" s="37"/>
      <c r="DH944" s="37"/>
      <c r="DI944" s="37"/>
      <c r="DJ944" s="37"/>
      <c r="DK944" s="37"/>
      <c r="DL944" s="37" t="s">
        <v>1124</v>
      </c>
      <c r="DM944" s="37"/>
      <c r="DN944" s="37"/>
      <c r="DO944" s="37"/>
      <c r="DP944" s="37"/>
      <c r="DQ944" s="37"/>
      <c r="DR944" s="37"/>
      <c r="DS944" s="37"/>
      <c r="DT944" s="37"/>
      <c r="DU944" s="37"/>
      <c r="DV944" s="37"/>
      <c r="DW944" s="37"/>
      <c r="DX944" s="37" t="s">
        <v>1124</v>
      </c>
      <c r="DY944" s="37"/>
      <c r="DZ944" s="37"/>
      <c r="EA944" s="37"/>
      <c r="EB944" s="37"/>
      <c r="EC944" s="37"/>
      <c r="ED944" s="37"/>
      <c r="EE944" s="37"/>
      <c r="EF944" s="37"/>
      <c r="EG944" s="37"/>
      <c r="EH944" s="37"/>
      <c r="EI944" s="37"/>
      <c r="EJ944" s="37" t="s">
        <v>1124</v>
      </c>
      <c r="EK944" s="161"/>
      <c r="EL944" s="294"/>
    </row>
    <row r="945" spans="1:142" ht="15" customHeight="1" x14ac:dyDescent="0.35">
      <c r="A945" s="34"/>
      <c r="B945" s="313">
        <v>56035</v>
      </c>
      <c r="C945" s="8" t="s">
        <v>572</v>
      </c>
      <c r="D945" s="18">
        <v>16</v>
      </c>
      <c r="E945" s="155"/>
      <c r="F945" s="36"/>
      <c r="G945" s="37"/>
      <c r="H945" s="37"/>
      <c r="I945" s="37"/>
      <c r="J945" s="37"/>
      <c r="K945" s="37"/>
      <c r="L945" s="37"/>
      <c r="M945" s="37" t="s">
        <v>1124</v>
      </c>
      <c r="N945" s="37" t="s">
        <v>1124</v>
      </c>
      <c r="O945" s="37"/>
      <c r="P945" s="37"/>
      <c r="Q945" s="37"/>
      <c r="R945" s="37"/>
      <c r="S945" s="37"/>
      <c r="T945" s="37"/>
      <c r="U945" s="37"/>
      <c r="V945" s="37"/>
      <c r="W945" s="37"/>
      <c r="X945" s="37"/>
      <c r="Y945" s="37"/>
      <c r="Z945" s="37"/>
      <c r="AA945" s="37" t="s">
        <v>1124</v>
      </c>
      <c r="AB945" s="37" t="s">
        <v>1124</v>
      </c>
      <c r="AC945" s="37"/>
      <c r="AD945" s="37"/>
      <c r="AE945" s="37"/>
      <c r="AF945" s="168"/>
      <c r="AG945" s="37"/>
      <c r="AH945" s="37"/>
      <c r="AI945" s="37"/>
      <c r="AJ945" s="37"/>
      <c r="AK945" s="37"/>
      <c r="AL945" s="37"/>
      <c r="AM945" s="37"/>
      <c r="AN945" s="37"/>
      <c r="AO945" s="37"/>
      <c r="AP945" s="37"/>
      <c r="AQ945" s="37"/>
      <c r="AR945" s="37" t="s">
        <v>1124</v>
      </c>
      <c r="AS945" s="37"/>
      <c r="AT945" s="37"/>
      <c r="AU945" s="37"/>
      <c r="AV945" s="37"/>
      <c r="AW945" s="37"/>
      <c r="AX945" s="37"/>
      <c r="AY945" s="37"/>
      <c r="AZ945" s="37"/>
      <c r="BA945" s="37"/>
      <c r="BB945" s="37"/>
      <c r="BC945" s="37"/>
      <c r="BD945" s="37" t="s">
        <v>1124</v>
      </c>
      <c r="BE945" s="37"/>
      <c r="BF945" s="37"/>
      <c r="BG945" s="37"/>
      <c r="BH945" s="37"/>
      <c r="BI945" s="37"/>
      <c r="BJ945" s="37"/>
      <c r="BK945" s="37"/>
      <c r="BL945" s="37"/>
      <c r="BM945" s="37"/>
      <c r="BN945" s="37"/>
      <c r="BO945" s="37"/>
      <c r="BP945" s="37">
        <v>0</v>
      </c>
      <c r="BQ945" s="37"/>
      <c r="BR945" s="37"/>
      <c r="BS945" s="37"/>
      <c r="BT945" s="37"/>
      <c r="BU945" s="37"/>
      <c r="BV945" s="37"/>
      <c r="BW945" s="37"/>
      <c r="BX945" s="37"/>
      <c r="BY945" s="37"/>
      <c r="BZ945" s="37"/>
      <c r="CA945" s="37"/>
      <c r="CB945" s="37" t="s">
        <v>1124</v>
      </c>
      <c r="CC945" s="37"/>
      <c r="CD945" s="37"/>
      <c r="CE945" s="37"/>
      <c r="CF945" s="37"/>
      <c r="CG945" s="37"/>
      <c r="CH945" s="37"/>
      <c r="CI945" s="37"/>
      <c r="CJ945" s="37"/>
      <c r="CK945" s="37"/>
      <c r="CL945" s="37"/>
      <c r="CM945" s="37"/>
      <c r="CN945" s="37" t="s">
        <v>1124</v>
      </c>
      <c r="CO945" s="37"/>
      <c r="CP945" s="37"/>
      <c r="CQ945" s="37"/>
      <c r="CR945" s="37"/>
      <c r="CS945" s="37"/>
      <c r="CT945" s="37"/>
      <c r="CU945" s="37"/>
      <c r="CV945" s="37"/>
      <c r="CW945" s="37"/>
      <c r="CX945" s="37"/>
      <c r="CY945" s="37"/>
      <c r="CZ945" s="37" t="s">
        <v>1124</v>
      </c>
      <c r="DA945" s="37"/>
      <c r="DB945" s="37"/>
      <c r="DC945" s="37"/>
      <c r="DD945" s="37"/>
      <c r="DE945" s="37"/>
      <c r="DF945" s="37"/>
      <c r="DG945" s="37"/>
      <c r="DH945" s="37"/>
      <c r="DI945" s="37"/>
      <c r="DJ945" s="37"/>
      <c r="DK945" s="37"/>
      <c r="DL945" s="37" t="s">
        <v>1124</v>
      </c>
      <c r="DM945" s="37"/>
      <c r="DN945" s="37"/>
      <c r="DO945" s="37"/>
      <c r="DP945" s="37"/>
      <c r="DQ945" s="37"/>
      <c r="DR945" s="37"/>
      <c r="DS945" s="37"/>
      <c r="DT945" s="37"/>
      <c r="DU945" s="37"/>
      <c r="DV945" s="37"/>
      <c r="DW945" s="37"/>
      <c r="DX945" s="37" t="s">
        <v>1124</v>
      </c>
      <c r="DY945" s="37"/>
      <c r="DZ945" s="37"/>
      <c r="EA945" s="37"/>
      <c r="EB945" s="37"/>
      <c r="EC945" s="37"/>
      <c r="ED945" s="37"/>
      <c r="EE945" s="37"/>
      <c r="EF945" s="37"/>
      <c r="EG945" s="37"/>
      <c r="EH945" s="37"/>
      <c r="EI945" s="37"/>
      <c r="EJ945" s="37" t="s">
        <v>1124</v>
      </c>
      <c r="EK945" s="161"/>
      <c r="EL945" s="294"/>
    </row>
    <row r="946" spans="1:142" ht="15" customHeight="1" x14ac:dyDescent="0.35">
      <c r="A946" s="34"/>
      <c r="B946" s="313">
        <v>18030</v>
      </c>
      <c r="C946" s="8" t="s">
        <v>109</v>
      </c>
      <c r="D946" s="18">
        <v>12</v>
      </c>
      <c r="E946" s="155"/>
      <c r="F946" s="36"/>
      <c r="G946" s="37"/>
      <c r="H946" s="37"/>
      <c r="I946" s="37"/>
      <c r="J946" s="37"/>
      <c r="K946" s="37"/>
      <c r="L946" s="37"/>
      <c r="M946" s="37" t="s">
        <v>1124</v>
      </c>
      <c r="N946" s="37" t="s">
        <v>1124</v>
      </c>
      <c r="O946" s="37"/>
      <c r="P946" s="37"/>
      <c r="Q946" s="37"/>
      <c r="R946" s="37"/>
      <c r="S946" s="37"/>
      <c r="T946" s="37"/>
      <c r="U946" s="37"/>
      <c r="V946" s="37"/>
      <c r="W946" s="37"/>
      <c r="X946" s="37"/>
      <c r="Y946" s="37"/>
      <c r="Z946" s="37"/>
      <c r="AA946" s="37" t="s">
        <v>1124</v>
      </c>
      <c r="AB946" s="37" t="s">
        <v>1124</v>
      </c>
      <c r="AC946" s="37"/>
      <c r="AD946" s="37"/>
      <c r="AE946" s="37"/>
      <c r="AF946" s="168"/>
      <c r="AG946" s="37"/>
      <c r="AH946" s="37"/>
      <c r="AI946" s="37"/>
      <c r="AJ946" s="37"/>
      <c r="AK946" s="37"/>
      <c r="AL946" s="37"/>
      <c r="AM946" s="37"/>
      <c r="AN946" s="37"/>
      <c r="AO946" s="37"/>
      <c r="AP946" s="37"/>
      <c r="AQ946" s="37"/>
      <c r="AR946" s="37" t="s">
        <v>1124</v>
      </c>
      <c r="AS946" s="37"/>
      <c r="AT946" s="37"/>
      <c r="AU946" s="37"/>
      <c r="AV946" s="37"/>
      <c r="AW946" s="37"/>
      <c r="AX946" s="37"/>
      <c r="AY946" s="37"/>
      <c r="AZ946" s="37"/>
      <c r="BA946" s="37"/>
      <c r="BB946" s="37"/>
      <c r="BC946" s="37"/>
      <c r="BD946" s="37" t="s">
        <v>1124</v>
      </c>
      <c r="BE946" s="37"/>
      <c r="BF946" s="37"/>
      <c r="BG946" s="37"/>
      <c r="BH946" s="37"/>
      <c r="BI946" s="37"/>
      <c r="BJ946" s="37"/>
      <c r="BK946" s="37"/>
      <c r="BL946" s="37"/>
      <c r="BM946" s="37"/>
      <c r="BN946" s="37"/>
      <c r="BO946" s="37"/>
      <c r="BP946" s="37">
        <v>0</v>
      </c>
      <c r="BQ946" s="37"/>
      <c r="BR946" s="37"/>
      <c r="BS946" s="37"/>
      <c r="BT946" s="37"/>
      <c r="BU946" s="37"/>
      <c r="BV946" s="37"/>
      <c r="BW946" s="37"/>
      <c r="BX946" s="37"/>
      <c r="BY946" s="37"/>
      <c r="BZ946" s="37"/>
      <c r="CA946" s="37"/>
      <c r="CB946" s="37" t="s">
        <v>1124</v>
      </c>
      <c r="CC946" s="37"/>
      <c r="CD946" s="37"/>
      <c r="CE946" s="37"/>
      <c r="CF946" s="37"/>
      <c r="CG946" s="37"/>
      <c r="CH946" s="37"/>
      <c r="CI946" s="37"/>
      <c r="CJ946" s="37"/>
      <c r="CK946" s="37"/>
      <c r="CL946" s="37"/>
      <c r="CM946" s="37"/>
      <c r="CN946" s="37" t="s">
        <v>1124</v>
      </c>
      <c r="CO946" s="37"/>
      <c r="CP946" s="37"/>
      <c r="CQ946" s="37"/>
      <c r="CR946" s="37"/>
      <c r="CS946" s="37"/>
      <c r="CT946" s="37"/>
      <c r="CU946" s="37"/>
      <c r="CV946" s="37"/>
      <c r="CW946" s="37"/>
      <c r="CX946" s="37"/>
      <c r="CY946" s="37"/>
      <c r="CZ946" s="37" t="s">
        <v>1124</v>
      </c>
      <c r="DA946" s="37"/>
      <c r="DB946" s="37"/>
      <c r="DC946" s="37"/>
      <c r="DD946" s="37"/>
      <c r="DE946" s="37"/>
      <c r="DF946" s="37"/>
      <c r="DG946" s="37"/>
      <c r="DH946" s="37"/>
      <c r="DI946" s="37"/>
      <c r="DJ946" s="37"/>
      <c r="DK946" s="37"/>
      <c r="DL946" s="37" t="s">
        <v>1124</v>
      </c>
      <c r="DM946" s="37"/>
      <c r="DN946" s="37"/>
      <c r="DO946" s="37"/>
      <c r="DP946" s="37"/>
      <c r="DQ946" s="37"/>
      <c r="DR946" s="37"/>
      <c r="DS946" s="37"/>
      <c r="DT946" s="37"/>
      <c r="DU946" s="37"/>
      <c r="DV946" s="37"/>
      <c r="DW946" s="37"/>
      <c r="DX946" s="37" t="s">
        <v>1124</v>
      </c>
      <c r="DY946" s="37"/>
      <c r="DZ946" s="37"/>
      <c r="EA946" s="37"/>
      <c r="EB946" s="37"/>
      <c r="EC946" s="37"/>
      <c r="ED946" s="37"/>
      <c r="EE946" s="37"/>
      <c r="EF946" s="37"/>
      <c r="EG946" s="37"/>
      <c r="EH946" s="37"/>
      <c r="EI946" s="37"/>
      <c r="EJ946" s="37" t="s">
        <v>1124</v>
      </c>
      <c r="EK946" s="161"/>
      <c r="EL946" s="294"/>
    </row>
    <row r="947" spans="1:142" ht="15" customHeight="1" x14ac:dyDescent="0.35">
      <c r="A947" s="34"/>
      <c r="B947" s="313">
        <v>51060</v>
      </c>
      <c r="C947" s="8" t="s">
        <v>508</v>
      </c>
      <c r="D947" s="18">
        <v>4</v>
      </c>
      <c r="E947" s="155"/>
      <c r="F947" s="36"/>
      <c r="G947" s="37"/>
      <c r="H947" s="37"/>
      <c r="I947" s="37"/>
      <c r="J947" s="37"/>
      <c r="K947" s="37"/>
      <c r="L947" s="37"/>
      <c r="M947" s="37" t="s">
        <v>1124</v>
      </c>
      <c r="N947" s="37" t="s">
        <v>1124</v>
      </c>
      <c r="O947" s="37"/>
      <c r="P947" s="37"/>
      <c r="Q947" s="37"/>
      <c r="R947" s="37"/>
      <c r="S947" s="37"/>
      <c r="T947" s="37"/>
      <c r="U947" s="37"/>
      <c r="V947" s="37"/>
      <c r="W947" s="37"/>
      <c r="X947" s="37"/>
      <c r="Y947" s="37"/>
      <c r="Z947" s="37"/>
      <c r="AA947" s="37" t="s">
        <v>1124</v>
      </c>
      <c r="AB947" s="37" t="s">
        <v>1124</v>
      </c>
      <c r="AC947" s="37"/>
      <c r="AD947" s="37"/>
      <c r="AE947" s="37"/>
      <c r="AF947" s="168"/>
      <c r="AG947" s="37"/>
      <c r="AH947" s="37"/>
      <c r="AI947" s="37"/>
      <c r="AJ947" s="37"/>
      <c r="AK947" s="37"/>
      <c r="AL947" s="37"/>
      <c r="AM947" s="37"/>
      <c r="AN947" s="37"/>
      <c r="AO947" s="37"/>
      <c r="AP947" s="37"/>
      <c r="AQ947" s="37"/>
      <c r="AR947" s="37" t="s">
        <v>1124</v>
      </c>
      <c r="AS947" s="37"/>
      <c r="AT947" s="37"/>
      <c r="AU947" s="37"/>
      <c r="AV947" s="37"/>
      <c r="AW947" s="37"/>
      <c r="AX947" s="37"/>
      <c r="AY947" s="37"/>
      <c r="AZ947" s="37"/>
      <c r="BA947" s="37"/>
      <c r="BB947" s="37"/>
      <c r="BC947" s="37"/>
      <c r="BD947" s="37" t="s">
        <v>1124</v>
      </c>
      <c r="BE947" s="37"/>
      <c r="BF947" s="37"/>
      <c r="BG947" s="37"/>
      <c r="BH947" s="37"/>
      <c r="BI947" s="37"/>
      <c r="BJ947" s="37"/>
      <c r="BK947" s="37"/>
      <c r="BL947" s="37"/>
      <c r="BM947" s="37"/>
      <c r="BN947" s="37"/>
      <c r="BO947" s="37"/>
      <c r="BP947" s="37">
        <v>0</v>
      </c>
      <c r="BQ947" s="37"/>
      <c r="BR947" s="37"/>
      <c r="BS947" s="37"/>
      <c r="BT947" s="37"/>
      <c r="BU947" s="37"/>
      <c r="BV947" s="37"/>
      <c r="BW947" s="37"/>
      <c r="BX947" s="37"/>
      <c r="BY947" s="37"/>
      <c r="BZ947" s="37"/>
      <c r="CA947" s="37"/>
      <c r="CB947" s="37" t="s">
        <v>1124</v>
      </c>
      <c r="CC947" s="37"/>
      <c r="CD947" s="37"/>
      <c r="CE947" s="37"/>
      <c r="CF947" s="37"/>
      <c r="CG947" s="37"/>
      <c r="CH947" s="37"/>
      <c r="CI947" s="37"/>
      <c r="CJ947" s="37"/>
      <c r="CK947" s="37"/>
      <c r="CL947" s="37"/>
      <c r="CM947" s="37"/>
      <c r="CN947" s="37" t="s">
        <v>1124</v>
      </c>
      <c r="CO947" s="37"/>
      <c r="CP947" s="37"/>
      <c r="CQ947" s="37"/>
      <c r="CR947" s="37"/>
      <c r="CS947" s="37"/>
      <c r="CT947" s="37"/>
      <c r="CU947" s="37"/>
      <c r="CV947" s="37"/>
      <c r="CW947" s="37"/>
      <c r="CX947" s="37"/>
      <c r="CY947" s="37"/>
      <c r="CZ947" s="37" t="s">
        <v>1124</v>
      </c>
      <c r="DA947" s="37"/>
      <c r="DB947" s="37"/>
      <c r="DC947" s="37"/>
      <c r="DD947" s="37"/>
      <c r="DE947" s="37"/>
      <c r="DF947" s="37"/>
      <c r="DG947" s="37"/>
      <c r="DH947" s="37"/>
      <c r="DI947" s="37"/>
      <c r="DJ947" s="37"/>
      <c r="DK947" s="37"/>
      <c r="DL947" s="37" t="s">
        <v>1124</v>
      </c>
      <c r="DM947" s="37"/>
      <c r="DN947" s="37"/>
      <c r="DO947" s="37"/>
      <c r="DP947" s="37"/>
      <c r="DQ947" s="37"/>
      <c r="DR947" s="37"/>
      <c r="DS947" s="37"/>
      <c r="DT947" s="37"/>
      <c r="DU947" s="37"/>
      <c r="DV947" s="37"/>
      <c r="DW947" s="37"/>
      <c r="DX947" s="37" t="s">
        <v>1124</v>
      </c>
      <c r="DY947" s="37"/>
      <c r="DZ947" s="37"/>
      <c r="EA947" s="37"/>
      <c r="EB947" s="37"/>
      <c r="EC947" s="37"/>
      <c r="ED947" s="37"/>
      <c r="EE947" s="37"/>
      <c r="EF947" s="37"/>
      <c r="EG947" s="37"/>
      <c r="EH947" s="37"/>
      <c r="EI947" s="37"/>
      <c r="EJ947" s="37" t="s">
        <v>1124</v>
      </c>
      <c r="EK947" s="161"/>
      <c r="EL947" s="294"/>
    </row>
    <row r="948" spans="1:142" ht="15" customHeight="1" x14ac:dyDescent="0.35">
      <c r="A948" s="34"/>
      <c r="B948" s="313">
        <v>19005</v>
      </c>
      <c r="C948" s="8" t="s">
        <v>118</v>
      </c>
      <c r="D948" s="18">
        <v>12</v>
      </c>
      <c r="E948" s="155">
        <v>137991</v>
      </c>
      <c r="F948" s="36">
        <v>6570</v>
      </c>
      <c r="G948" s="37">
        <v>79555</v>
      </c>
      <c r="H948" s="37">
        <v>63875</v>
      </c>
      <c r="I948" s="37">
        <v>353525.15</v>
      </c>
      <c r="J948" s="37">
        <v>353525</v>
      </c>
      <c r="K948" s="37">
        <v>20700</v>
      </c>
      <c r="L948" s="37">
        <v>985</v>
      </c>
      <c r="M948" s="37">
        <v>591771.15</v>
      </c>
      <c r="N948" s="37">
        <v>424955</v>
      </c>
      <c r="O948" s="37">
        <v>0</v>
      </c>
      <c r="P948" s="37">
        <v>0</v>
      </c>
      <c r="Q948" s="37">
        <v>243046</v>
      </c>
      <c r="R948" s="37">
        <v>243046</v>
      </c>
      <c r="S948" s="37">
        <v>33758</v>
      </c>
      <c r="T948" s="37">
        <v>0</v>
      </c>
      <c r="U948" s="37">
        <v>18072</v>
      </c>
      <c r="V948" s="37">
        <v>11153</v>
      </c>
      <c r="W948" s="37">
        <v>296895</v>
      </c>
      <c r="X948" s="37">
        <v>170756</v>
      </c>
      <c r="Y948" s="37">
        <v>0</v>
      </c>
      <c r="Z948" s="37">
        <v>0</v>
      </c>
      <c r="AA948" s="37">
        <v>591771</v>
      </c>
      <c r="AB948" s="37">
        <v>424955</v>
      </c>
      <c r="AC948" s="37">
        <v>0</v>
      </c>
      <c r="AD948" s="37">
        <v>0</v>
      </c>
      <c r="AE948" s="37">
        <v>0</v>
      </c>
      <c r="AF948" s="168">
        <v>0.02</v>
      </c>
      <c r="AG948" s="37">
        <v>22821970.390000001</v>
      </c>
      <c r="AH948" s="37">
        <v>132385.85</v>
      </c>
      <c r="AI948" s="37">
        <v>135033.57</v>
      </c>
      <c r="AJ948" s="37">
        <v>137734.24</v>
      </c>
      <c r="AK948" s="37">
        <v>140488.92000000001</v>
      </c>
      <c r="AL948" s="37">
        <v>143298.70000000001</v>
      </c>
      <c r="AM948" s="37">
        <v>146164.68</v>
      </c>
      <c r="AN948" s="37">
        <v>149087.97</v>
      </c>
      <c r="AO948" s="37">
        <v>152069.73000000001</v>
      </c>
      <c r="AP948" s="37">
        <v>155111.12</v>
      </c>
      <c r="AQ948" s="37">
        <v>158213.35</v>
      </c>
      <c r="AR948" s="37">
        <v>1449588.1300000001</v>
      </c>
      <c r="AS948" s="37">
        <v>844180.27</v>
      </c>
      <c r="AT948" s="37">
        <v>0</v>
      </c>
      <c r="AU948" s="37">
        <v>0</v>
      </c>
      <c r="AV948" s="37">
        <v>0</v>
      </c>
      <c r="AW948" s="37">
        <v>0</v>
      </c>
      <c r="AX948" s="37">
        <v>0</v>
      </c>
      <c r="AY948" s="37">
        <v>0</v>
      </c>
      <c r="AZ948" s="37">
        <v>0</v>
      </c>
      <c r="BA948" s="37">
        <v>0</v>
      </c>
      <c r="BB948" s="37">
        <v>0</v>
      </c>
      <c r="BC948" s="37">
        <v>0</v>
      </c>
      <c r="BD948" s="37">
        <v>0</v>
      </c>
      <c r="BE948" s="37">
        <v>579962</v>
      </c>
      <c r="BF948" s="37">
        <v>690357</v>
      </c>
      <c r="BG948" s="37">
        <v>124767</v>
      </c>
      <c r="BH948" s="37">
        <v>124767</v>
      </c>
      <c r="BI948" s="37">
        <v>124767</v>
      </c>
      <c r="BJ948" s="37">
        <v>0</v>
      </c>
      <c r="BK948" s="37">
        <v>0</v>
      </c>
      <c r="BL948" s="37">
        <v>0</v>
      </c>
      <c r="BM948" s="37">
        <v>0</v>
      </c>
      <c r="BN948" s="37">
        <v>0</v>
      </c>
      <c r="BO948" s="37">
        <v>0</v>
      </c>
      <c r="BP948" s="37">
        <v>1064658</v>
      </c>
      <c r="BQ948" s="37">
        <v>44872</v>
      </c>
      <c r="BR948" s="37">
        <v>186270</v>
      </c>
      <c r="BS948" s="37">
        <v>44872</v>
      </c>
      <c r="BT948" s="37">
        <v>44872</v>
      </c>
      <c r="BU948" s="37">
        <v>44872</v>
      </c>
      <c r="BV948" s="37">
        <v>44872</v>
      </c>
      <c r="BW948" s="37">
        <v>44872</v>
      </c>
      <c r="BX948" s="37">
        <v>44872</v>
      </c>
      <c r="BY948" s="37">
        <v>44872</v>
      </c>
      <c r="BZ948" s="37">
        <v>44872</v>
      </c>
      <c r="CA948" s="37">
        <v>44872</v>
      </c>
      <c r="CB948" s="37">
        <v>590118</v>
      </c>
      <c r="CC948" s="37">
        <v>0</v>
      </c>
      <c r="CD948" s="37">
        <v>0</v>
      </c>
      <c r="CE948" s="37">
        <v>0</v>
      </c>
      <c r="CF948" s="37">
        <v>0</v>
      </c>
      <c r="CG948" s="37">
        <v>0</v>
      </c>
      <c r="CH948" s="37">
        <v>0</v>
      </c>
      <c r="CI948" s="37">
        <v>0</v>
      </c>
      <c r="CJ948" s="37">
        <v>0</v>
      </c>
      <c r="CK948" s="37">
        <v>0</v>
      </c>
      <c r="CL948" s="37">
        <v>0</v>
      </c>
      <c r="CM948" s="37">
        <v>0</v>
      </c>
      <c r="CN948" s="37">
        <v>0</v>
      </c>
      <c r="CO948" s="37">
        <v>0</v>
      </c>
      <c r="CP948" s="37">
        <v>0</v>
      </c>
      <c r="CQ948" s="37">
        <v>0</v>
      </c>
      <c r="CR948" s="37">
        <v>0</v>
      </c>
      <c r="CS948" s="37">
        <v>0</v>
      </c>
      <c r="CT948" s="37">
        <v>0</v>
      </c>
      <c r="CU948" s="37">
        <v>0</v>
      </c>
      <c r="CV948" s="37">
        <v>0</v>
      </c>
      <c r="CW948" s="37">
        <v>0</v>
      </c>
      <c r="CX948" s="37">
        <v>0</v>
      </c>
      <c r="CY948" s="37">
        <v>0</v>
      </c>
      <c r="CZ948" s="37">
        <v>0</v>
      </c>
      <c r="DA948" s="37">
        <v>0</v>
      </c>
      <c r="DB948" s="37">
        <v>0</v>
      </c>
      <c r="DC948" s="37">
        <v>0</v>
      </c>
      <c r="DD948" s="37">
        <v>0</v>
      </c>
      <c r="DE948" s="37">
        <v>0</v>
      </c>
      <c r="DF948" s="37">
        <v>0</v>
      </c>
      <c r="DG948" s="37">
        <v>0</v>
      </c>
      <c r="DH948" s="37">
        <v>0</v>
      </c>
      <c r="DI948" s="37">
        <v>0</v>
      </c>
      <c r="DJ948" s="37">
        <v>0</v>
      </c>
      <c r="DK948" s="37">
        <v>0</v>
      </c>
      <c r="DL948" s="37">
        <v>0</v>
      </c>
      <c r="DM948" s="37">
        <v>0</v>
      </c>
      <c r="DN948" s="37">
        <v>0</v>
      </c>
      <c r="DO948" s="37">
        <v>0</v>
      </c>
      <c r="DP948" s="37">
        <v>0</v>
      </c>
      <c r="DQ948" s="37">
        <v>0</v>
      </c>
      <c r="DR948" s="37">
        <v>0</v>
      </c>
      <c r="DS948" s="37">
        <v>0</v>
      </c>
      <c r="DT948" s="37">
        <v>0</v>
      </c>
      <c r="DU948" s="37">
        <v>0</v>
      </c>
      <c r="DV948" s="37">
        <v>0</v>
      </c>
      <c r="DW948" s="37">
        <v>0</v>
      </c>
      <c r="DX948" s="37">
        <v>0</v>
      </c>
      <c r="DY948" s="37">
        <v>0</v>
      </c>
      <c r="DZ948" s="37">
        <v>0</v>
      </c>
      <c r="EA948" s="37">
        <v>0</v>
      </c>
      <c r="EB948" s="37">
        <v>0</v>
      </c>
      <c r="EC948" s="37">
        <v>0</v>
      </c>
      <c r="ED948" s="37">
        <v>0</v>
      </c>
      <c r="EE948" s="37">
        <v>0</v>
      </c>
      <c r="EF948" s="37">
        <v>0</v>
      </c>
      <c r="EG948" s="37">
        <v>0</v>
      </c>
      <c r="EH948" s="37">
        <v>0</v>
      </c>
      <c r="EI948" s="37">
        <v>0</v>
      </c>
      <c r="EJ948" s="37">
        <v>0</v>
      </c>
      <c r="EK948" s="161" t="s">
        <v>1453</v>
      </c>
      <c r="EL948" s="294" t="s">
        <v>1124</v>
      </c>
    </row>
    <row r="949" spans="1:142" ht="15" customHeight="1" x14ac:dyDescent="0.35">
      <c r="A949" s="34"/>
      <c r="B949" s="313">
        <v>29065</v>
      </c>
      <c r="C949" s="8" t="s">
        <v>210</v>
      </c>
      <c r="D949" s="18">
        <v>12</v>
      </c>
      <c r="E949" s="155"/>
      <c r="F949" s="36"/>
      <c r="G949" s="37"/>
      <c r="H949" s="37"/>
      <c r="I949" s="37"/>
      <c r="J949" s="37"/>
      <c r="K949" s="37"/>
      <c r="L949" s="37"/>
      <c r="M949" s="37" t="s">
        <v>1124</v>
      </c>
      <c r="N949" s="37" t="s">
        <v>1124</v>
      </c>
      <c r="O949" s="37"/>
      <c r="P949" s="37"/>
      <c r="Q949" s="37"/>
      <c r="R949" s="37"/>
      <c r="S949" s="37"/>
      <c r="T949" s="37"/>
      <c r="U949" s="37"/>
      <c r="V949" s="37"/>
      <c r="W949" s="37"/>
      <c r="X949" s="37"/>
      <c r="Y949" s="37"/>
      <c r="Z949" s="37"/>
      <c r="AA949" s="37" t="s">
        <v>1124</v>
      </c>
      <c r="AB949" s="37" t="s">
        <v>1124</v>
      </c>
      <c r="AC949" s="37"/>
      <c r="AD949" s="37"/>
      <c r="AE949" s="37"/>
      <c r="AF949" s="168"/>
      <c r="AG949" s="37"/>
      <c r="AH949" s="37"/>
      <c r="AI949" s="37"/>
      <c r="AJ949" s="37"/>
      <c r="AK949" s="37"/>
      <c r="AL949" s="37"/>
      <c r="AM949" s="37"/>
      <c r="AN949" s="37"/>
      <c r="AO949" s="37"/>
      <c r="AP949" s="37"/>
      <c r="AQ949" s="37"/>
      <c r="AR949" s="37" t="s">
        <v>1124</v>
      </c>
      <c r="AS949" s="37"/>
      <c r="AT949" s="37"/>
      <c r="AU949" s="37"/>
      <c r="AV949" s="37"/>
      <c r="AW949" s="37"/>
      <c r="AX949" s="37"/>
      <c r="AY949" s="37"/>
      <c r="AZ949" s="37"/>
      <c r="BA949" s="37"/>
      <c r="BB949" s="37"/>
      <c r="BC949" s="37"/>
      <c r="BD949" s="37" t="s">
        <v>1124</v>
      </c>
      <c r="BE949" s="37"/>
      <c r="BF949" s="37"/>
      <c r="BG949" s="37"/>
      <c r="BH949" s="37"/>
      <c r="BI949" s="37"/>
      <c r="BJ949" s="37"/>
      <c r="BK949" s="37"/>
      <c r="BL949" s="37"/>
      <c r="BM949" s="37"/>
      <c r="BN949" s="37"/>
      <c r="BO949" s="37"/>
      <c r="BP949" s="37">
        <v>0</v>
      </c>
      <c r="BQ949" s="37"/>
      <c r="BR949" s="37"/>
      <c r="BS949" s="37"/>
      <c r="BT949" s="37"/>
      <c r="BU949" s="37"/>
      <c r="BV949" s="37"/>
      <c r="BW949" s="37"/>
      <c r="BX949" s="37"/>
      <c r="BY949" s="37"/>
      <c r="BZ949" s="37"/>
      <c r="CA949" s="37"/>
      <c r="CB949" s="37" t="s">
        <v>1124</v>
      </c>
      <c r="CC949" s="37"/>
      <c r="CD949" s="37"/>
      <c r="CE949" s="37"/>
      <c r="CF949" s="37"/>
      <c r="CG949" s="37"/>
      <c r="CH949" s="37"/>
      <c r="CI949" s="37"/>
      <c r="CJ949" s="37"/>
      <c r="CK949" s="37"/>
      <c r="CL949" s="37"/>
      <c r="CM949" s="37"/>
      <c r="CN949" s="37" t="s">
        <v>1124</v>
      </c>
      <c r="CO949" s="37"/>
      <c r="CP949" s="37"/>
      <c r="CQ949" s="37"/>
      <c r="CR949" s="37"/>
      <c r="CS949" s="37"/>
      <c r="CT949" s="37"/>
      <c r="CU949" s="37"/>
      <c r="CV949" s="37"/>
      <c r="CW949" s="37"/>
      <c r="CX949" s="37"/>
      <c r="CY949" s="37"/>
      <c r="CZ949" s="37" t="s">
        <v>1124</v>
      </c>
      <c r="DA949" s="37"/>
      <c r="DB949" s="37"/>
      <c r="DC949" s="37"/>
      <c r="DD949" s="37"/>
      <c r="DE949" s="37"/>
      <c r="DF949" s="37"/>
      <c r="DG949" s="37"/>
      <c r="DH949" s="37"/>
      <c r="DI949" s="37"/>
      <c r="DJ949" s="37"/>
      <c r="DK949" s="37"/>
      <c r="DL949" s="37" t="s">
        <v>1124</v>
      </c>
      <c r="DM949" s="37"/>
      <c r="DN949" s="37"/>
      <c r="DO949" s="37"/>
      <c r="DP949" s="37"/>
      <c r="DQ949" s="37"/>
      <c r="DR949" s="37"/>
      <c r="DS949" s="37"/>
      <c r="DT949" s="37"/>
      <c r="DU949" s="37"/>
      <c r="DV949" s="37"/>
      <c r="DW949" s="37"/>
      <c r="DX949" s="37" t="s">
        <v>1124</v>
      </c>
      <c r="DY949" s="37"/>
      <c r="DZ949" s="37"/>
      <c r="EA949" s="37"/>
      <c r="EB949" s="37"/>
      <c r="EC949" s="37"/>
      <c r="ED949" s="37"/>
      <c r="EE949" s="37"/>
      <c r="EF949" s="37"/>
      <c r="EG949" s="37"/>
      <c r="EH949" s="37"/>
      <c r="EI949" s="37"/>
      <c r="EJ949" s="37" t="s">
        <v>1124</v>
      </c>
      <c r="EK949" s="161"/>
      <c r="EL949" s="294"/>
    </row>
    <row r="950" spans="1:142" ht="15" customHeight="1" x14ac:dyDescent="0.35">
      <c r="A950" s="34"/>
      <c r="B950" s="313">
        <v>67010</v>
      </c>
      <c r="C950" s="8" t="s">
        <v>663</v>
      </c>
      <c r="D950" s="18">
        <v>16</v>
      </c>
      <c r="E950" s="155">
        <v>300271</v>
      </c>
      <c r="F950" s="36">
        <v>364515</v>
      </c>
      <c r="G950" s="37">
        <v>7221</v>
      </c>
      <c r="H950" s="37">
        <v>13998</v>
      </c>
      <c r="I950" s="37">
        <v>0</v>
      </c>
      <c r="J950" s="37">
        <v>0</v>
      </c>
      <c r="K950" s="37">
        <v>45041</v>
      </c>
      <c r="L950" s="37">
        <v>54677</v>
      </c>
      <c r="M950" s="37">
        <v>352533</v>
      </c>
      <c r="N950" s="37">
        <v>433190</v>
      </c>
      <c r="O950" s="37">
        <v>0</v>
      </c>
      <c r="P950" s="37">
        <v>0</v>
      </c>
      <c r="Q950" s="37">
        <v>469144</v>
      </c>
      <c r="R950" s="37">
        <v>347823</v>
      </c>
      <c r="S950" s="37">
        <v>-26171</v>
      </c>
      <c r="T950" s="37">
        <v>37440</v>
      </c>
      <c r="U950" s="37">
        <v>890</v>
      </c>
      <c r="V950" s="37">
        <v>13777</v>
      </c>
      <c r="W950" s="37">
        <v>0</v>
      </c>
      <c r="X950" s="37">
        <v>0</v>
      </c>
      <c r="Y950" s="37">
        <v>0</v>
      </c>
      <c r="Z950" s="37">
        <v>0</v>
      </c>
      <c r="AA950" s="37">
        <v>443863</v>
      </c>
      <c r="AB950" s="37">
        <v>399040</v>
      </c>
      <c r="AC950" s="37">
        <v>57180</v>
      </c>
      <c r="AD950" s="37">
        <v>0</v>
      </c>
      <c r="AE950" s="37">
        <v>0</v>
      </c>
      <c r="AF950" s="168">
        <v>0.02</v>
      </c>
      <c r="AG950" s="37">
        <v>60340399.240000002</v>
      </c>
      <c r="AH950" s="37">
        <v>651173.46</v>
      </c>
      <c r="AI950" s="37">
        <v>664196.92000000004</v>
      </c>
      <c r="AJ950" s="37">
        <v>677480.86</v>
      </c>
      <c r="AK950" s="37">
        <v>606239.96</v>
      </c>
      <c r="AL950" s="37">
        <v>618364.76</v>
      </c>
      <c r="AM950" s="37">
        <v>630732.06000000006</v>
      </c>
      <c r="AN950" s="37">
        <v>643346.69999999995</v>
      </c>
      <c r="AO950" s="37">
        <v>656213.63</v>
      </c>
      <c r="AP950" s="37">
        <v>669337.9</v>
      </c>
      <c r="AQ950" s="37">
        <v>682724.66</v>
      </c>
      <c r="AR950" s="37">
        <v>6499810.9100000001</v>
      </c>
      <c r="AS950" s="37">
        <v>0</v>
      </c>
      <c r="AT950" s="37">
        <v>3251250</v>
      </c>
      <c r="AU950" s="37">
        <v>13795704</v>
      </c>
      <c r="AV950" s="37">
        <v>5348838.5199999996</v>
      </c>
      <c r="AW950" s="37">
        <v>0</v>
      </c>
      <c r="AX950" s="37">
        <v>0</v>
      </c>
      <c r="AY950" s="37">
        <v>0</v>
      </c>
      <c r="AZ950" s="37">
        <v>0</v>
      </c>
      <c r="BA950" s="37">
        <v>0</v>
      </c>
      <c r="BB950" s="37">
        <v>0</v>
      </c>
      <c r="BC950" s="37">
        <v>0</v>
      </c>
      <c r="BD950" s="37">
        <v>22395792.52</v>
      </c>
      <c r="BE950" s="37">
        <v>246349</v>
      </c>
      <c r="BF950" s="37">
        <v>221079.87000000002</v>
      </c>
      <c r="BG950" s="37">
        <v>221079.87000000002</v>
      </c>
      <c r="BH950" s="37">
        <v>221079.87000000002</v>
      </c>
      <c r="BI950" s="37">
        <v>221079.87000000002</v>
      </c>
      <c r="BJ950" s="37">
        <v>221079.87000000002</v>
      </c>
      <c r="BK950" s="37">
        <v>0</v>
      </c>
      <c r="BL950" s="37">
        <v>0</v>
      </c>
      <c r="BM950" s="37">
        <v>0</v>
      </c>
      <c r="BN950" s="37">
        <v>0</v>
      </c>
      <c r="BO950" s="37">
        <v>0</v>
      </c>
      <c r="BP950" s="37">
        <v>1105399.3500000001</v>
      </c>
      <c r="BQ950" s="37">
        <v>0</v>
      </c>
      <c r="BR950" s="37">
        <v>0</v>
      </c>
      <c r="BS950" s="37">
        <v>0</v>
      </c>
      <c r="BT950" s="37">
        <v>0</v>
      </c>
      <c r="BU950" s="37">
        <v>0</v>
      </c>
      <c r="BV950" s="37">
        <v>0</v>
      </c>
      <c r="BW950" s="37">
        <v>0</v>
      </c>
      <c r="BX950" s="37">
        <v>0</v>
      </c>
      <c r="BY950" s="37">
        <v>0</v>
      </c>
      <c r="BZ950" s="37">
        <v>0</v>
      </c>
      <c r="CA950" s="37">
        <v>0</v>
      </c>
      <c r="CB950" s="37">
        <v>0</v>
      </c>
      <c r="CC950" s="37">
        <v>0</v>
      </c>
      <c r="CD950" s="37">
        <v>0</v>
      </c>
      <c r="CE950" s="37">
        <v>0</v>
      </c>
      <c r="CF950" s="37">
        <v>0</v>
      </c>
      <c r="CG950" s="37">
        <v>0</v>
      </c>
      <c r="CH950" s="37">
        <v>0</v>
      </c>
      <c r="CI950" s="37">
        <v>0</v>
      </c>
      <c r="CJ950" s="37">
        <v>0</v>
      </c>
      <c r="CK950" s="37">
        <v>0</v>
      </c>
      <c r="CL950" s="37">
        <v>0</v>
      </c>
      <c r="CM950" s="37">
        <v>0</v>
      </c>
      <c r="CN950" s="37">
        <v>0</v>
      </c>
      <c r="CO950" s="37">
        <v>0</v>
      </c>
      <c r="CP950" s="37">
        <v>0</v>
      </c>
      <c r="CQ950" s="37">
        <v>0</v>
      </c>
      <c r="CR950" s="37">
        <v>0</v>
      </c>
      <c r="CS950" s="37">
        <v>0</v>
      </c>
      <c r="CT950" s="37">
        <v>0</v>
      </c>
      <c r="CU950" s="37">
        <v>0</v>
      </c>
      <c r="CV950" s="37">
        <v>0</v>
      </c>
      <c r="CW950" s="37">
        <v>0</v>
      </c>
      <c r="CX950" s="37">
        <v>0</v>
      </c>
      <c r="CY950" s="37">
        <v>0</v>
      </c>
      <c r="CZ950" s="37">
        <v>0</v>
      </c>
      <c r="DA950" s="37">
        <v>0</v>
      </c>
      <c r="DB950" s="37">
        <v>480000</v>
      </c>
      <c r="DC950" s="37">
        <v>0</v>
      </c>
      <c r="DD950" s="37">
        <v>0</v>
      </c>
      <c r="DE950" s="37">
        <v>0</v>
      </c>
      <c r="DF950" s="37">
        <v>0</v>
      </c>
      <c r="DG950" s="37">
        <v>0</v>
      </c>
      <c r="DH950" s="37">
        <v>0</v>
      </c>
      <c r="DI950" s="37">
        <v>0</v>
      </c>
      <c r="DJ950" s="37">
        <v>0</v>
      </c>
      <c r="DK950" s="37">
        <v>0</v>
      </c>
      <c r="DL950" s="37">
        <v>480000</v>
      </c>
      <c r="DM950" s="37">
        <v>0</v>
      </c>
      <c r="DN950" s="37">
        <v>0</v>
      </c>
      <c r="DO950" s="37">
        <v>1620000</v>
      </c>
      <c r="DP950" s="37">
        <v>0</v>
      </c>
      <c r="DQ950" s="37">
        <v>0</v>
      </c>
      <c r="DR950" s="37">
        <v>0</v>
      </c>
      <c r="DS950" s="37">
        <v>0</v>
      </c>
      <c r="DT950" s="37">
        <v>0</v>
      </c>
      <c r="DU950" s="37">
        <v>0</v>
      </c>
      <c r="DV950" s="37">
        <v>0</v>
      </c>
      <c r="DW950" s="37">
        <v>0</v>
      </c>
      <c r="DX950" s="37">
        <v>1620000</v>
      </c>
      <c r="DY950" s="37">
        <v>0</v>
      </c>
      <c r="DZ950" s="37">
        <v>0</v>
      </c>
      <c r="EA950" s="37">
        <v>0</v>
      </c>
      <c r="EB950" s="37">
        <v>0</v>
      </c>
      <c r="EC950" s="37">
        <v>0</v>
      </c>
      <c r="ED950" s="37">
        <v>0</v>
      </c>
      <c r="EE950" s="37">
        <v>0</v>
      </c>
      <c r="EF950" s="37">
        <v>0</v>
      </c>
      <c r="EG950" s="37">
        <v>0</v>
      </c>
      <c r="EH950" s="37">
        <v>0</v>
      </c>
      <c r="EI950" s="37">
        <v>0</v>
      </c>
      <c r="EJ950" s="37">
        <v>0</v>
      </c>
      <c r="EK950" s="161" t="s">
        <v>1124</v>
      </c>
      <c r="EL950" s="294" t="s">
        <v>1124</v>
      </c>
    </row>
    <row r="951" spans="1:142" ht="15" customHeight="1" x14ac:dyDescent="0.35">
      <c r="A951" s="34"/>
      <c r="B951" s="313">
        <v>14060</v>
      </c>
      <c r="C951" s="8" t="s">
        <v>70</v>
      </c>
      <c r="D951" s="18">
        <v>1</v>
      </c>
      <c r="E951" s="155">
        <v>72567</v>
      </c>
      <c r="F951" s="36">
        <v>74613</v>
      </c>
      <c r="G951" s="37">
        <v>15659</v>
      </c>
      <c r="H951" s="37">
        <v>4190</v>
      </c>
      <c r="I951" s="37">
        <v>14020</v>
      </c>
      <c r="J951" s="37">
        <v>9500</v>
      </c>
      <c r="K951" s="37">
        <v>10885</v>
      </c>
      <c r="L951" s="37">
        <v>11192</v>
      </c>
      <c r="M951" s="37">
        <v>113131</v>
      </c>
      <c r="N951" s="37">
        <v>99495</v>
      </c>
      <c r="O951" s="37">
        <v>0</v>
      </c>
      <c r="P951" s="37">
        <v>0</v>
      </c>
      <c r="Q951" s="37">
        <v>74710</v>
      </c>
      <c r="R951" s="37">
        <v>48775</v>
      </c>
      <c r="S951" s="37">
        <v>0</v>
      </c>
      <c r="T951" s="37">
        <v>0</v>
      </c>
      <c r="U951" s="37">
        <v>13704</v>
      </c>
      <c r="V951" s="37">
        <v>0</v>
      </c>
      <c r="W951" s="37">
        <v>37719</v>
      </c>
      <c r="X951" s="37">
        <v>37718</v>
      </c>
      <c r="Y951" s="37">
        <v>0</v>
      </c>
      <c r="Z951" s="37">
        <v>0</v>
      </c>
      <c r="AA951" s="37">
        <v>126133</v>
      </c>
      <c r="AB951" s="37">
        <v>86493</v>
      </c>
      <c r="AC951" s="37">
        <v>0</v>
      </c>
      <c r="AD951" s="37">
        <v>0</v>
      </c>
      <c r="AE951" s="37">
        <v>0</v>
      </c>
      <c r="AF951" s="168">
        <v>0.02</v>
      </c>
      <c r="AG951" s="37">
        <v>15291917.26</v>
      </c>
      <c r="AH951" s="37">
        <v>119420.31</v>
      </c>
      <c r="AI951" s="37">
        <v>121808.72</v>
      </c>
      <c r="AJ951" s="37">
        <v>124244.89</v>
      </c>
      <c r="AK951" s="37">
        <v>126729.79</v>
      </c>
      <c r="AL951" s="37">
        <v>129264.38</v>
      </c>
      <c r="AM951" s="37">
        <v>131849.67000000001</v>
      </c>
      <c r="AN951" s="37">
        <v>134486.67000000001</v>
      </c>
      <c r="AO951" s="37">
        <v>137176.4</v>
      </c>
      <c r="AP951" s="37">
        <v>139919.93</v>
      </c>
      <c r="AQ951" s="37">
        <v>142718.32999999999</v>
      </c>
      <c r="AR951" s="37">
        <v>1307619.0900000001</v>
      </c>
      <c r="AS951" s="37">
        <v>231009.6</v>
      </c>
      <c r="AT951" s="37">
        <v>342904.62</v>
      </c>
      <c r="AU951" s="37">
        <v>0</v>
      </c>
      <c r="AV951" s="37">
        <v>0</v>
      </c>
      <c r="AW951" s="37">
        <v>0</v>
      </c>
      <c r="AX951" s="37">
        <v>0</v>
      </c>
      <c r="AY951" s="37">
        <v>0</v>
      </c>
      <c r="AZ951" s="37">
        <v>0</v>
      </c>
      <c r="BA951" s="37">
        <v>0</v>
      </c>
      <c r="BB951" s="37">
        <v>0</v>
      </c>
      <c r="BC951" s="37">
        <v>0</v>
      </c>
      <c r="BD951" s="37">
        <v>342904.62</v>
      </c>
      <c r="BE951" s="37">
        <v>0</v>
      </c>
      <c r="BF951" s="37">
        <v>100000</v>
      </c>
      <c r="BG951" s="37">
        <v>0</v>
      </c>
      <c r="BH951" s="37">
        <v>0</v>
      </c>
      <c r="BI951" s="37">
        <v>0</v>
      </c>
      <c r="BJ951" s="37">
        <v>0</v>
      </c>
      <c r="BK951" s="37">
        <v>0</v>
      </c>
      <c r="BL951" s="37">
        <v>0</v>
      </c>
      <c r="BM951" s="37">
        <v>0</v>
      </c>
      <c r="BN951" s="37">
        <v>0</v>
      </c>
      <c r="BO951" s="37">
        <v>0</v>
      </c>
      <c r="BP951" s="37">
        <v>100000</v>
      </c>
      <c r="BQ951" s="37">
        <v>0</v>
      </c>
      <c r="BR951" s="37">
        <v>0</v>
      </c>
      <c r="BS951" s="37">
        <v>0</v>
      </c>
      <c r="BT951" s="37">
        <v>0</v>
      </c>
      <c r="BU951" s="37">
        <v>0</v>
      </c>
      <c r="BV951" s="37">
        <v>0</v>
      </c>
      <c r="BW951" s="37">
        <v>0</v>
      </c>
      <c r="BX951" s="37">
        <v>0</v>
      </c>
      <c r="BY951" s="37">
        <v>0</v>
      </c>
      <c r="BZ951" s="37">
        <v>0</v>
      </c>
      <c r="CA951" s="37">
        <v>0</v>
      </c>
      <c r="CB951" s="37">
        <v>0</v>
      </c>
      <c r="CC951" s="37">
        <v>0</v>
      </c>
      <c r="CD951" s="37">
        <v>0</v>
      </c>
      <c r="CE951" s="37">
        <v>0</v>
      </c>
      <c r="CF951" s="37">
        <v>0</v>
      </c>
      <c r="CG951" s="37">
        <v>0</v>
      </c>
      <c r="CH951" s="37">
        <v>0</v>
      </c>
      <c r="CI951" s="37">
        <v>0</v>
      </c>
      <c r="CJ951" s="37">
        <v>0</v>
      </c>
      <c r="CK951" s="37">
        <v>0</v>
      </c>
      <c r="CL951" s="37">
        <v>0</v>
      </c>
      <c r="CM951" s="37">
        <v>0</v>
      </c>
      <c r="CN951" s="37">
        <v>0</v>
      </c>
      <c r="CO951" s="37">
        <v>214829</v>
      </c>
      <c r="CP951" s="37">
        <v>336181</v>
      </c>
      <c r="CQ951" s="37">
        <v>0</v>
      </c>
      <c r="CR951" s="37">
        <v>0</v>
      </c>
      <c r="CS951" s="37">
        <v>0</v>
      </c>
      <c r="CT951" s="37">
        <v>0</v>
      </c>
      <c r="CU951" s="37">
        <v>0</v>
      </c>
      <c r="CV951" s="37">
        <v>0</v>
      </c>
      <c r="CW951" s="37">
        <v>0</v>
      </c>
      <c r="CX951" s="37">
        <v>0</v>
      </c>
      <c r="CY951" s="37">
        <v>0</v>
      </c>
      <c r="CZ951" s="37">
        <v>336181</v>
      </c>
      <c r="DA951" s="37">
        <v>0</v>
      </c>
      <c r="DB951" s="37">
        <v>0</v>
      </c>
      <c r="DC951" s="37">
        <v>0</v>
      </c>
      <c r="DD951" s="37">
        <v>0</v>
      </c>
      <c r="DE951" s="37">
        <v>0</v>
      </c>
      <c r="DF951" s="37">
        <v>0</v>
      </c>
      <c r="DG951" s="37">
        <v>0</v>
      </c>
      <c r="DH951" s="37">
        <v>0</v>
      </c>
      <c r="DI951" s="37">
        <v>0</v>
      </c>
      <c r="DJ951" s="37">
        <v>0</v>
      </c>
      <c r="DK951" s="37">
        <v>0</v>
      </c>
      <c r="DL951" s="37">
        <v>0</v>
      </c>
      <c r="DM951" s="37">
        <v>0</v>
      </c>
      <c r="DN951" s="37">
        <v>0</v>
      </c>
      <c r="DO951" s="37">
        <v>0</v>
      </c>
      <c r="DP951" s="37">
        <v>0</v>
      </c>
      <c r="DQ951" s="37">
        <v>0</v>
      </c>
      <c r="DR951" s="37">
        <v>0</v>
      </c>
      <c r="DS951" s="37">
        <v>0</v>
      </c>
      <c r="DT951" s="37">
        <v>0</v>
      </c>
      <c r="DU951" s="37">
        <v>0</v>
      </c>
      <c r="DV951" s="37">
        <v>0</v>
      </c>
      <c r="DW951" s="37">
        <v>0</v>
      </c>
      <c r="DX951" s="37">
        <v>0</v>
      </c>
      <c r="DY951" s="37">
        <v>0</v>
      </c>
      <c r="DZ951" s="37">
        <v>0</v>
      </c>
      <c r="EA951" s="37">
        <v>0</v>
      </c>
      <c r="EB951" s="37">
        <v>0</v>
      </c>
      <c r="EC951" s="37">
        <v>0</v>
      </c>
      <c r="ED951" s="37">
        <v>0</v>
      </c>
      <c r="EE951" s="37">
        <v>0</v>
      </c>
      <c r="EF951" s="37">
        <v>0</v>
      </c>
      <c r="EG951" s="37">
        <v>0</v>
      </c>
      <c r="EH951" s="37">
        <v>0</v>
      </c>
      <c r="EI951" s="37">
        <v>0</v>
      </c>
      <c r="EJ951" s="37">
        <v>0</v>
      </c>
      <c r="EK951" s="161" t="s">
        <v>3344</v>
      </c>
      <c r="EL951" s="294" t="s">
        <v>1124</v>
      </c>
    </row>
    <row r="952" spans="1:142" ht="15" customHeight="1" x14ac:dyDescent="0.35">
      <c r="A952" s="34"/>
      <c r="B952" s="313">
        <v>54008</v>
      </c>
      <c r="C952" s="8" t="s">
        <v>542</v>
      </c>
      <c r="D952" s="18">
        <v>16</v>
      </c>
      <c r="E952" s="155">
        <v>362547</v>
      </c>
      <c r="F952" s="36">
        <v>150184</v>
      </c>
      <c r="G952" s="37">
        <v>98294</v>
      </c>
      <c r="H952" s="37">
        <v>118014</v>
      </c>
      <c r="I952" s="37">
        <v>411614</v>
      </c>
      <c r="J952" s="37">
        <v>387205</v>
      </c>
      <c r="K952" s="37">
        <v>0</v>
      </c>
      <c r="L952" s="37">
        <v>0</v>
      </c>
      <c r="M952" s="37">
        <v>872455</v>
      </c>
      <c r="N952" s="37">
        <v>655403</v>
      </c>
      <c r="O952" s="37">
        <v>348420</v>
      </c>
      <c r="P952" s="37">
        <v>45034</v>
      </c>
      <c r="Q952" s="37">
        <v>389850.55</v>
      </c>
      <c r="R952" s="37">
        <v>400840.02</v>
      </c>
      <c r="S952" s="37">
        <v>38926</v>
      </c>
      <c r="T952" s="37">
        <v>27591</v>
      </c>
      <c r="U952" s="37">
        <v>73930</v>
      </c>
      <c r="V952" s="37">
        <v>170208.7</v>
      </c>
      <c r="W952" s="37">
        <v>4068</v>
      </c>
      <c r="X952" s="37">
        <v>0</v>
      </c>
      <c r="Y952" s="37">
        <v>14751.69</v>
      </c>
      <c r="Z952" s="37">
        <v>14237.74</v>
      </c>
      <c r="AA952" s="37">
        <v>869946.24</v>
      </c>
      <c r="AB952" s="37">
        <v>657911.46</v>
      </c>
      <c r="AC952" s="37">
        <v>0</v>
      </c>
      <c r="AD952" s="37">
        <v>0</v>
      </c>
      <c r="AE952" s="37">
        <v>0</v>
      </c>
      <c r="AF952" s="168">
        <v>0.02</v>
      </c>
      <c r="AG952" s="37">
        <v>100354957.66</v>
      </c>
      <c r="AH952" s="37">
        <v>1144525.3799999999</v>
      </c>
      <c r="AI952" s="37">
        <v>1161313.95</v>
      </c>
      <c r="AJ952" s="37">
        <v>1186870.26</v>
      </c>
      <c r="AK952" s="37">
        <v>1210607.6599999999</v>
      </c>
      <c r="AL952" s="37">
        <v>1234819.82</v>
      </c>
      <c r="AM952" s="37">
        <v>1272298.1599999999</v>
      </c>
      <c r="AN952" s="37">
        <v>1293176.18</v>
      </c>
      <c r="AO952" s="37">
        <v>1319039.7</v>
      </c>
      <c r="AP952" s="37">
        <v>1406370.22</v>
      </c>
      <c r="AQ952" s="37">
        <v>1343704.31</v>
      </c>
      <c r="AR952" s="37">
        <v>12572725.640000001</v>
      </c>
      <c r="AS952" s="37">
        <v>2289565.44</v>
      </c>
      <c r="AT952" s="37">
        <v>4685.2</v>
      </c>
      <c r="AU952" s="37">
        <v>2099213.35</v>
      </c>
      <c r="AV952" s="37">
        <v>7607.09</v>
      </c>
      <c r="AW952" s="37">
        <v>7759.23</v>
      </c>
      <c r="AX952" s="37">
        <v>4160.54</v>
      </c>
      <c r="AY952" s="37">
        <v>4243.76</v>
      </c>
      <c r="AZ952" s="37">
        <v>4328.63</v>
      </c>
      <c r="BA952" s="37">
        <v>4415.2</v>
      </c>
      <c r="BB952" s="37">
        <v>4503.51</v>
      </c>
      <c r="BC952" s="37">
        <v>0</v>
      </c>
      <c r="BD952" s="37">
        <v>2140916.5100000002</v>
      </c>
      <c r="BE952" s="37">
        <v>460345</v>
      </c>
      <c r="BF952" s="37">
        <v>17323</v>
      </c>
      <c r="BG952" s="37">
        <v>0</v>
      </c>
      <c r="BH952" s="37">
        <v>0</v>
      </c>
      <c r="BI952" s="37">
        <v>0</v>
      </c>
      <c r="BJ952" s="37">
        <v>0</v>
      </c>
      <c r="BK952" s="37">
        <v>0</v>
      </c>
      <c r="BL952" s="37">
        <v>0</v>
      </c>
      <c r="BM952" s="37">
        <v>0</v>
      </c>
      <c r="BN952" s="37">
        <v>0</v>
      </c>
      <c r="BO952" s="37">
        <v>0</v>
      </c>
      <c r="BP952" s="37">
        <v>17323</v>
      </c>
      <c r="BQ952" s="37">
        <v>749180</v>
      </c>
      <c r="BR952" s="37">
        <v>0</v>
      </c>
      <c r="BS952" s="37">
        <v>0</v>
      </c>
      <c r="BT952" s="37">
        <v>0</v>
      </c>
      <c r="BU952" s="37">
        <v>0</v>
      </c>
      <c r="BV952" s="37">
        <v>0</v>
      </c>
      <c r="BW952" s="37">
        <v>0</v>
      </c>
      <c r="BX952" s="37">
        <v>0</v>
      </c>
      <c r="BY952" s="37">
        <v>0</v>
      </c>
      <c r="BZ952" s="37">
        <v>0</v>
      </c>
      <c r="CA952" s="37">
        <v>0</v>
      </c>
      <c r="CB952" s="37">
        <v>0</v>
      </c>
      <c r="CC952" s="37">
        <v>0</v>
      </c>
      <c r="CD952" s="37">
        <v>0</v>
      </c>
      <c r="CE952" s="37">
        <v>0</v>
      </c>
      <c r="CF952" s="37">
        <v>0</v>
      </c>
      <c r="CG952" s="37">
        <v>0</v>
      </c>
      <c r="CH952" s="37">
        <v>0</v>
      </c>
      <c r="CI952" s="37">
        <v>0</v>
      </c>
      <c r="CJ952" s="37">
        <v>0</v>
      </c>
      <c r="CK952" s="37">
        <v>0</v>
      </c>
      <c r="CL952" s="37">
        <v>0</v>
      </c>
      <c r="CM952" s="37">
        <v>0</v>
      </c>
      <c r="CN952" s="37">
        <v>0</v>
      </c>
      <c r="CO952" s="37">
        <v>0</v>
      </c>
      <c r="CP952" s="37">
        <v>2010530</v>
      </c>
      <c r="CQ952" s="37">
        <v>0</v>
      </c>
      <c r="CR952" s="37">
        <v>0</v>
      </c>
      <c r="CS952" s="37">
        <v>0</v>
      </c>
      <c r="CT952" s="37">
        <v>0</v>
      </c>
      <c r="CU952" s="37">
        <v>0</v>
      </c>
      <c r="CV952" s="37">
        <v>0</v>
      </c>
      <c r="CW952" s="37">
        <v>0</v>
      </c>
      <c r="CX952" s="37">
        <v>0</v>
      </c>
      <c r="CY952" s="37">
        <v>0</v>
      </c>
      <c r="CZ952" s="37">
        <v>2010530</v>
      </c>
      <c r="DA952" s="37">
        <v>0</v>
      </c>
      <c r="DB952" s="37">
        <v>0</v>
      </c>
      <c r="DC952" s="37">
        <v>0</v>
      </c>
      <c r="DD952" s="37">
        <v>0</v>
      </c>
      <c r="DE952" s="37">
        <v>0</v>
      </c>
      <c r="DF952" s="37">
        <v>0</v>
      </c>
      <c r="DG952" s="37">
        <v>0</v>
      </c>
      <c r="DH952" s="37">
        <v>0</v>
      </c>
      <c r="DI952" s="37">
        <v>0</v>
      </c>
      <c r="DJ952" s="37">
        <v>0</v>
      </c>
      <c r="DK952" s="37">
        <v>0</v>
      </c>
      <c r="DL952" s="37">
        <v>0</v>
      </c>
      <c r="DM952" s="37">
        <v>0</v>
      </c>
      <c r="DN952" s="37">
        <v>0</v>
      </c>
      <c r="DO952" s="37">
        <v>0</v>
      </c>
      <c r="DP952" s="37">
        <v>0</v>
      </c>
      <c r="DQ952" s="37">
        <v>0</v>
      </c>
      <c r="DR952" s="37">
        <v>0</v>
      </c>
      <c r="DS952" s="37">
        <v>0</v>
      </c>
      <c r="DT952" s="37">
        <v>0</v>
      </c>
      <c r="DU952" s="37">
        <v>0</v>
      </c>
      <c r="DV952" s="37">
        <v>0</v>
      </c>
      <c r="DW952" s="37">
        <v>0</v>
      </c>
      <c r="DX952" s="37">
        <v>0</v>
      </c>
      <c r="DY952" s="37">
        <v>0</v>
      </c>
      <c r="DZ952" s="37">
        <v>0</v>
      </c>
      <c r="EA952" s="37">
        <v>0</v>
      </c>
      <c r="EB952" s="37">
        <v>0</v>
      </c>
      <c r="EC952" s="37">
        <v>0</v>
      </c>
      <c r="ED952" s="37">
        <v>0</v>
      </c>
      <c r="EE952" s="37">
        <v>0</v>
      </c>
      <c r="EF952" s="37">
        <v>0</v>
      </c>
      <c r="EG952" s="37">
        <v>0</v>
      </c>
      <c r="EH952" s="37">
        <v>0</v>
      </c>
      <c r="EI952" s="37">
        <v>0</v>
      </c>
      <c r="EJ952" s="37">
        <v>0</v>
      </c>
      <c r="EK952" s="161" t="s">
        <v>3348</v>
      </c>
      <c r="EL952" s="294" t="s">
        <v>1124</v>
      </c>
    </row>
    <row r="953" spans="1:142" ht="15" customHeight="1" x14ac:dyDescent="0.35">
      <c r="A953" s="34"/>
      <c r="B953" s="313">
        <v>49130</v>
      </c>
      <c r="C953" s="8" t="s">
        <v>481</v>
      </c>
      <c r="D953" s="18">
        <v>17</v>
      </c>
      <c r="E953" s="155">
        <v>52607</v>
      </c>
      <c r="F953" s="36">
        <v>0</v>
      </c>
      <c r="G953" s="37">
        <v>0</v>
      </c>
      <c r="H953" s="37">
        <v>0</v>
      </c>
      <c r="I953" s="37">
        <v>0</v>
      </c>
      <c r="J953" s="37">
        <v>0</v>
      </c>
      <c r="K953" s="37">
        <v>7891.0499999999993</v>
      </c>
      <c r="L953" s="37">
        <v>0</v>
      </c>
      <c r="M953" s="37">
        <v>60498.05</v>
      </c>
      <c r="N953" s="37">
        <v>0</v>
      </c>
      <c r="O953" s="37">
        <v>27728</v>
      </c>
      <c r="P953" s="37">
        <v>0</v>
      </c>
      <c r="Q953" s="37">
        <v>20400</v>
      </c>
      <c r="R953" s="37">
        <v>0</v>
      </c>
      <c r="S953" s="37">
        <v>262</v>
      </c>
      <c r="T953" s="37">
        <v>0</v>
      </c>
      <c r="U953" s="37">
        <v>0</v>
      </c>
      <c r="V953" s="37">
        <v>0</v>
      </c>
      <c r="W953" s="37">
        <v>32508.050000000003</v>
      </c>
      <c r="X953" s="37">
        <v>0</v>
      </c>
      <c r="Y953" s="37">
        <v>0</v>
      </c>
      <c r="Z953" s="37">
        <v>0</v>
      </c>
      <c r="AA953" s="37">
        <v>80898.05</v>
      </c>
      <c r="AB953" s="37">
        <v>0</v>
      </c>
      <c r="AC953" s="37">
        <v>20400</v>
      </c>
      <c r="AD953" s="37">
        <v>0</v>
      </c>
      <c r="AE953" s="37">
        <v>27185</v>
      </c>
      <c r="AF953" s="168">
        <v>0.02</v>
      </c>
      <c r="AG953" s="37">
        <v>16785391.030000001</v>
      </c>
      <c r="AH953" s="37">
        <v>189538.17</v>
      </c>
      <c r="AI953" s="37">
        <v>225310.83</v>
      </c>
      <c r="AJ953" s="37">
        <v>172257.13</v>
      </c>
      <c r="AK953" s="37">
        <v>175702.27</v>
      </c>
      <c r="AL953" s="37">
        <v>171708.56</v>
      </c>
      <c r="AM953" s="37">
        <v>175142.74</v>
      </c>
      <c r="AN953" s="37">
        <v>178645.59</v>
      </c>
      <c r="AO953" s="37">
        <v>182218.5</v>
      </c>
      <c r="AP953" s="37">
        <v>185862.87</v>
      </c>
      <c r="AQ953" s="37">
        <v>189580.13</v>
      </c>
      <c r="AR953" s="37">
        <v>1845966.79</v>
      </c>
      <c r="AS953" s="37">
        <v>62424</v>
      </c>
      <c r="AT953" s="37">
        <v>0</v>
      </c>
      <c r="AU953" s="37">
        <v>265302</v>
      </c>
      <c r="AV953" s="37">
        <v>0</v>
      </c>
      <c r="AW953" s="37">
        <v>0</v>
      </c>
      <c r="AX953" s="37">
        <v>0</v>
      </c>
      <c r="AY953" s="37">
        <v>0</v>
      </c>
      <c r="AZ953" s="37">
        <v>0</v>
      </c>
      <c r="BA953" s="37">
        <v>0</v>
      </c>
      <c r="BB953" s="37">
        <v>0</v>
      </c>
      <c r="BC953" s="37">
        <v>0</v>
      </c>
      <c r="BD953" s="37">
        <v>265302</v>
      </c>
      <c r="BE953" s="37">
        <v>0</v>
      </c>
      <c r="BF953" s="37">
        <v>0</v>
      </c>
      <c r="BG953" s="37">
        <v>0</v>
      </c>
      <c r="BH953" s="37">
        <v>0</v>
      </c>
      <c r="BI953" s="37">
        <v>0</v>
      </c>
      <c r="BJ953" s="37">
        <v>0</v>
      </c>
      <c r="BK953" s="37">
        <v>0</v>
      </c>
      <c r="BL953" s="37">
        <v>0</v>
      </c>
      <c r="BM953" s="37">
        <v>0</v>
      </c>
      <c r="BN953" s="37">
        <v>0</v>
      </c>
      <c r="BO953" s="37">
        <v>0</v>
      </c>
      <c r="BP953" s="37">
        <v>0</v>
      </c>
      <c r="BQ953" s="37">
        <v>0</v>
      </c>
      <c r="BR953" s="37">
        <v>0</v>
      </c>
      <c r="BS953" s="37">
        <v>0</v>
      </c>
      <c r="BT953" s="37">
        <v>0</v>
      </c>
      <c r="BU953" s="37">
        <v>0</v>
      </c>
      <c r="BV953" s="37">
        <v>0</v>
      </c>
      <c r="BW953" s="37">
        <v>0</v>
      </c>
      <c r="BX953" s="37">
        <v>0</v>
      </c>
      <c r="BY953" s="37">
        <v>0</v>
      </c>
      <c r="BZ953" s="37">
        <v>0</v>
      </c>
      <c r="CA953" s="37">
        <v>0</v>
      </c>
      <c r="CB953" s="37">
        <v>0</v>
      </c>
      <c r="CC953" s="37">
        <v>0</v>
      </c>
      <c r="CD953" s="37">
        <v>0</v>
      </c>
      <c r="CE953" s="37">
        <v>0</v>
      </c>
      <c r="CF953" s="37">
        <v>0</v>
      </c>
      <c r="CG953" s="37">
        <v>0</v>
      </c>
      <c r="CH953" s="37">
        <v>0</v>
      </c>
      <c r="CI953" s="37">
        <v>0</v>
      </c>
      <c r="CJ953" s="37">
        <v>0</v>
      </c>
      <c r="CK953" s="37">
        <v>0</v>
      </c>
      <c r="CL953" s="37">
        <v>0</v>
      </c>
      <c r="CM953" s="37">
        <v>0</v>
      </c>
      <c r="CN953" s="37">
        <v>0</v>
      </c>
      <c r="CO953" s="37">
        <v>0</v>
      </c>
      <c r="CP953" s="37">
        <v>0</v>
      </c>
      <c r="CQ953" s="37">
        <v>0</v>
      </c>
      <c r="CR953" s="37">
        <v>0</v>
      </c>
      <c r="CS953" s="37">
        <v>0</v>
      </c>
      <c r="CT953" s="37">
        <v>0</v>
      </c>
      <c r="CU953" s="37">
        <v>0</v>
      </c>
      <c r="CV953" s="37">
        <v>0</v>
      </c>
      <c r="CW953" s="37">
        <v>0</v>
      </c>
      <c r="CX953" s="37">
        <v>0</v>
      </c>
      <c r="CY953" s="37">
        <v>0</v>
      </c>
      <c r="CZ953" s="37">
        <v>0</v>
      </c>
      <c r="DA953" s="37">
        <v>0</v>
      </c>
      <c r="DB953" s="37">
        <v>0</v>
      </c>
      <c r="DC953" s="37">
        <v>0</v>
      </c>
      <c r="DD953" s="37">
        <v>0</v>
      </c>
      <c r="DE953" s="37">
        <v>0</v>
      </c>
      <c r="DF953" s="37">
        <v>0</v>
      </c>
      <c r="DG953" s="37">
        <v>0</v>
      </c>
      <c r="DH953" s="37">
        <v>0</v>
      </c>
      <c r="DI953" s="37">
        <v>0</v>
      </c>
      <c r="DJ953" s="37">
        <v>0</v>
      </c>
      <c r="DK953" s="37">
        <v>0</v>
      </c>
      <c r="DL953" s="37">
        <v>0</v>
      </c>
      <c r="DM953" s="37">
        <v>0</v>
      </c>
      <c r="DN953" s="37">
        <v>0</v>
      </c>
      <c r="DO953" s="37">
        <v>0</v>
      </c>
      <c r="DP953" s="37">
        <v>0</v>
      </c>
      <c r="DQ953" s="37">
        <v>0</v>
      </c>
      <c r="DR953" s="37">
        <v>0</v>
      </c>
      <c r="DS953" s="37">
        <v>0</v>
      </c>
      <c r="DT953" s="37">
        <v>0</v>
      </c>
      <c r="DU953" s="37">
        <v>0</v>
      </c>
      <c r="DV953" s="37">
        <v>0</v>
      </c>
      <c r="DW953" s="37">
        <v>0</v>
      </c>
      <c r="DX953" s="37">
        <v>0</v>
      </c>
      <c r="DY953" s="37">
        <v>0</v>
      </c>
      <c r="DZ953" s="37">
        <v>0</v>
      </c>
      <c r="EA953" s="37">
        <v>0</v>
      </c>
      <c r="EB953" s="37">
        <v>0</v>
      </c>
      <c r="EC953" s="37">
        <v>0</v>
      </c>
      <c r="ED953" s="37">
        <v>0</v>
      </c>
      <c r="EE953" s="37">
        <v>0</v>
      </c>
      <c r="EF953" s="37">
        <v>0</v>
      </c>
      <c r="EG953" s="37">
        <v>0</v>
      </c>
      <c r="EH953" s="37">
        <v>0</v>
      </c>
      <c r="EI953" s="37">
        <v>0</v>
      </c>
      <c r="EJ953" s="37">
        <v>0</v>
      </c>
      <c r="EK953" s="161" t="s">
        <v>1738</v>
      </c>
      <c r="EL953" s="294" t="s">
        <v>1124</v>
      </c>
    </row>
    <row r="954" spans="1:142" ht="15" customHeight="1" x14ac:dyDescent="0.35">
      <c r="A954" s="34"/>
      <c r="B954" s="313">
        <v>61020</v>
      </c>
      <c r="C954" s="8" t="s">
        <v>611</v>
      </c>
      <c r="D954" s="18">
        <v>14</v>
      </c>
      <c r="E954" s="155"/>
      <c r="F954" s="36"/>
      <c r="G954" s="37"/>
      <c r="H954" s="37"/>
      <c r="I954" s="37"/>
      <c r="J954" s="37"/>
      <c r="K954" s="37"/>
      <c r="L954" s="37"/>
      <c r="M954" s="37" t="s">
        <v>1124</v>
      </c>
      <c r="N954" s="37" t="s">
        <v>1124</v>
      </c>
      <c r="O954" s="37"/>
      <c r="P954" s="37"/>
      <c r="Q954" s="37"/>
      <c r="R954" s="37"/>
      <c r="S954" s="37"/>
      <c r="T954" s="37"/>
      <c r="U954" s="37"/>
      <c r="V954" s="37"/>
      <c r="W954" s="37"/>
      <c r="X954" s="37"/>
      <c r="Y954" s="37"/>
      <c r="Z954" s="37"/>
      <c r="AA954" s="37" t="s">
        <v>1124</v>
      </c>
      <c r="AB954" s="37" t="s">
        <v>1124</v>
      </c>
      <c r="AC954" s="37"/>
      <c r="AD954" s="37"/>
      <c r="AE954" s="37"/>
      <c r="AF954" s="168"/>
      <c r="AG954" s="37"/>
      <c r="AH954" s="37"/>
      <c r="AI954" s="37"/>
      <c r="AJ954" s="37"/>
      <c r="AK954" s="37"/>
      <c r="AL954" s="37"/>
      <c r="AM954" s="37"/>
      <c r="AN954" s="37"/>
      <c r="AO954" s="37"/>
      <c r="AP954" s="37"/>
      <c r="AQ954" s="37"/>
      <c r="AR954" s="37" t="s">
        <v>1124</v>
      </c>
      <c r="AS954" s="37"/>
      <c r="AT954" s="37"/>
      <c r="AU954" s="37"/>
      <c r="AV954" s="37"/>
      <c r="AW954" s="37"/>
      <c r="AX954" s="37"/>
      <c r="AY954" s="37"/>
      <c r="AZ954" s="37"/>
      <c r="BA954" s="37"/>
      <c r="BB954" s="37"/>
      <c r="BC954" s="37"/>
      <c r="BD954" s="37" t="s">
        <v>1124</v>
      </c>
      <c r="BE954" s="37"/>
      <c r="BF954" s="37"/>
      <c r="BG954" s="37"/>
      <c r="BH954" s="37"/>
      <c r="BI954" s="37"/>
      <c r="BJ954" s="37"/>
      <c r="BK954" s="37"/>
      <c r="BL954" s="37"/>
      <c r="BM954" s="37"/>
      <c r="BN954" s="37"/>
      <c r="BO954" s="37"/>
      <c r="BP954" s="37">
        <v>0</v>
      </c>
      <c r="BQ954" s="37"/>
      <c r="BR954" s="37"/>
      <c r="BS954" s="37"/>
      <c r="BT954" s="37"/>
      <c r="BU954" s="37"/>
      <c r="BV954" s="37"/>
      <c r="BW954" s="37"/>
      <c r="BX954" s="37"/>
      <c r="BY954" s="37"/>
      <c r="BZ954" s="37"/>
      <c r="CA954" s="37"/>
      <c r="CB954" s="37" t="s">
        <v>1124</v>
      </c>
      <c r="CC954" s="37"/>
      <c r="CD954" s="37"/>
      <c r="CE954" s="37"/>
      <c r="CF954" s="37"/>
      <c r="CG954" s="37"/>
      <c r="CH954" s="37"/>
      <c r="CI954" s="37"/>
      <c r="CJ954" s="37"/>
      <c r="CK954" s="37"/>
      <c r="CL954" s="37"/>
      <c r="CM954" s="37"/>
      <c r="CN954" s="37" t="s">
        <v>1124</v>
      </c>
      <c r="CO954" s="37"/>
      <c r="CP954" s="37"/>
      <c r="CQ954" s="37"/>
      <c r="CR954" s="37"/>
      <c r="CS954" s="37"/>
      <c r="CT954" s="37"/>
      <c r="CU954" s="37"/>
      <c r="CV954" s="37"/>
      <c r="CW954" s="37"/>
      <c r="CX954" s="37"/>
      <c r="CY954" s="37"/>
      <c r="CZ954" s="37" t="s">
        <v>1124</v>
      </c>
      <c r="DA954" s="37"/>
      <c r="DB954" s="37"/>
      <c r="DC954" s="37"/>
      <c r="DD954" s="37"/>
      <c r="DE954" s="37"/>
      <c r="DF954" s="37"/>
      <c r="DG954" s="37"/>
      <c r="DH954" s="37"/>
      <c r="DI954" s="37"/>
      <c r="DJ954" s="37"/>
      <c r="DK954" s="37"/>
      <c r="DL954" s="37" t="s">
        <v>1124</v>
      </c>
      <c r="DM954" s="37"/>
      <c r="DN954" s="37"/>
      <c r="DO954" s="37"/>
      <c r="DP954" s="37"/>
      <c r="DQ954" s="37"/>
      <c r="DR954" s="37"/>
      <c r="DS954" s="37"/>
      <c r="DT954" s="37"/>
      <c r="DU954" s="37"/>
      <c r="DV954" s="37"/>
      <c r="DW954" s="37"/>
      <c r="DX954" s="37" t="s">
        <v>1124</v>
      </c>
      <c r="DY954" s="37"/>
      <c r="DZ954" s="37"/>
      <c r="EA954" s="37"/>
      <c r="EB954" s="37"/>
      <c r="EC954" s="37"/>
      <c r="ED954" s="37"/>
      <c r="EE954" s="37"/>
      <c r="EF954" s="37"/>
      <c r="EG954" s="37"/>
      <c r="EH954" s="37"/>
      <c r="EI954" s="37"/>
      <c r="EJ954" s="37" t="s">
        <v>1124</v>
      </c>
      <c r="EK954" s="161"/>
      <c r="EL954" s="294"/>
    </row>
    <row r="955" spans="1:142" ht="15" customHeight="1" x14ac:dyDescent="0.35">
      <c r="A955" s="34"/>
      <c r="B955" s="314">
        <v>32050</v>
      </c>
      <c r="C955" s="8" t="s">
        <v>261</v>
      </c>
      <c r="D955" s="18">
        <v>17</v>
      </c>
      <c r="E955" s="155">
        <v>33311</v>
      </c>
      <c r="F955" s="36">
        <v>15571</v>
      </c>
      <c r="G955" s="37">
        <v>1200</v>
      </c>
      <c r="H955" s="37">
        <v>1216</v>
      </c>
      <c r="I955" s="37">
        <v>27000</v>
      </c>
      <c r="J955" s="37">
        <v>0</v>
      </c>
      <c r="K955" s="37">
        <v>3331.1000000000004</v>
      </c>
      <c r="L955" s="37">
        <v>1557.1000000000001</v>
      </c>
      <c r="M955" s="37">
        <v>64842.1</v>
      </c>
      <c r="N955" s="37">
        <v>18344.099999999999</v>
      </c>
      <c r="O955" s="37">
        <v>8549</v>
      </c>
      <c r="P955" s="37">
        <v>0</v>
      </c>
      <c r="Q955" s="37">
        <v>14275</v>
      </c>
      <c r="R955" s="37">
        <v>0</v>
      </c>
      <c r="S955" s="37">
        <v>0</v>
      </c>
      <c r="T955" s="37">
        <v>0</v>
      </c>
      <c r="U955" s="37">
        <v>13793</v>
      </c>
      <c r="V955" s="37">
        <v>5597</v>
      </c>
      <c r="W955" s="37">
        <v>28225.1</v>
      </c>
      <c r="X955" s="37">
        <v>12747.099999999999</v>
      </c>
      <c r="Y955" s="37">
        <v>0</v>
      </c>
      <c r="Z955" s="37">
        <v>0</v>
      </c>
      <c r="AA955" s="37">
        <v>64842.1</v>
      </c>
      <c r="AB955" s="37">
        <v>18344.099999999999</v>
      </c>
      <c r="AC955" s="37">
        <v>0</v>
      </c>
      <c r="AD955" s="37">
        <v>0</v>
      </c>
      <c r="AE955" s="37">
        <v>0</v>
      </c>
      <c r="AF955" s="168">
        <v>0.02</v>
      </c>
      <c r="AG955" s="37">
        <v>4304949.67</v>
      </c>
      <c r="AH955" s="37">
        <v>33202.019999999997</v>
      </c>
      <c r="AI955" s="37">
        <v>25694.76</v>
      </c>
      <c r="AJ955" s="37">
        <v>26208.65</v>
      </c>
      <c r="AK955" s="37">
        <v>26732.83</v>
      </c>
      <c r="AL955" s="37">
        <v>27267.48</v>
      </c>
      <c r="AM955" s="37">
        <v>27812.83</v>
      </c>
      <c r="AN955" s="37">
        <v>28369.09</v>
      </c>
      <c r="AO955" s="37">
        <v>28936.47</v>
      </c>
      <c r="AP955" s="37">
        <v>29515.200000000001</v>
      </c>
      <c r="AQ955" s="37">
        <v>30105.51</v>
      </c>
      <c r="AR955" s="37">
        <v>283844.84000000003</v>
      </c>
      <c r="AS955" s="37">
        <v>21224.16</v>
      </c>
      <c r="AT955" s="37">
        <v>33813</v>
      </c>
      <c r="AU955" s="37">
        <v>34489.26</v>
      </c>
      <c r="AV955" s="37">
        <v>0</v>
      </c>
      <c r="AW955" s="37">
        <v>0</v>
      </c>
      <c r="AX955" s="37">
        <v>0</v>
      </c>
      <c r="AY955" s="37">
        <v>0</v>
      </c>
      <c r="AZ955" s="37">
        <v>0</v>
      </c>
      <c r="BA955" s="37">
        <v>0</v>
      </c>
      <c r="BB955" s="37">
        <v>0</v>
      </c>
      <c r="BC955" s="37">
        <v>0</v>
      </c>
      <c r="BD955" s="37">
        <v>68302.260000000009</v>
      </c>
      <c r="BE955" s="37">
        <v>199918</v>
      </c>
      <c r="BF955" s="37">
        <v>0</v>
      </c>
      <c r="BG955" s="37">
        <v>93507</v>
      </c>
      <c r="BH955" s="37">
        <v>0</v>
      </c>
      <c r="BI955" s="37">
        <v>0</v>
      </c>
      <c r="BJ955" s="37">
        <v>0</v>
      </c>
      <c r="BK955" s="37">
        <v>0</v>
      </c>
      <c r="BL955" s="37">
        <v>0</v>
      </c>
      <c r="BM955" s="37">
        <v>0</v>
      </c>
      <c r="BN955" s="37">
        <v>0</v>
      </c>
      <c r="BO955" s="37">
        <v>0</v>
      </c>
      <c r="BP955" s="37">
        <v>93507</v>
      </c>
      <c r="BQ955" s="37">
        <v>0</v>
      </c>
      <c r="BR955" s="37">
        <v>0</v>
      </c>
      <c r="BS955" s="37">
        <v>0</v>
      </c>
      <c r="BT955" s="37">
        <v>0</v>
      </c>
      <c r="BU955" s="37">
        <v>0</v>
      </c>
      <c r="BV955" s="37">
        <v>0</v>
      </c>
      <c r="BW955" s="37">
        <v>0</v>
      </c>
      <c r="BX955" s="37">
        <v>0</v>
      </c>
      <c r="BY955" s="37">
        <v>0</v>
      </c>
      <c r="BZ955" s="37">
        <v>0</v>
      </c>
      <c r="CA955" s="37">
        <v>0</v>
      </c>
      <c r="CB955" s="37">
        <v>0</v>
      </c>
      <c r="CC955" s="37">
        <v>0</v>
      </c>
      <c r="CD955" s="37">
        <v>0</v>
      </c>
      <c r="CE955" s="37">
        <v>16685</v>
      </c>
      <c r="CF955" s="37">
        <v>0</v>
      </c>
      <c r="CG955" s="37">
        <v>0</v>
      </c>
      <c r="CH955" s="37">
        <v>0</v>
      </c>
      <c r="CI955" s="37">
        <v>0</v>
      </c>
      <c r="CJ955" s="37">
        <v>0</v>
      </c>
      <c r="CK955" s="37">
        <v>0</v>
      </c>
      <c r="CL955" s="37">
        <v>0</v>
      </c>
      <c r="CM955" s="37">
        <v>0</v>
      </c>
      <c r="CN955" s="37">
        <v>16685</v>
      </c>
      <c r="CO955" s="37">
        <v>0</v>
      </c>
      <c r="CP955" s="37">
        <v>0</v>
      </c>
      <c r="CQ955" s="37">
        <v>0</v>
      </c>
      <c r="CR955" s="37">
        <v>0</v>
      </c>
      <c r="CS955" s="37">
        <v>0</v>
      </c>
      <c r="CT955" s="37">
        <v>0</v>
      </c>
      <c r="CU955" s="37">
        <v>0</v>
      </c>
      <c r="CV955" s="37">
        <v>0</v>
      </c>
      <c r="CW955" s="37">
        <v>0</v>
      </c>
      <c r="CX955" s="37">
        <v>0</v>
      </c>
      <c r="CY955" s="37">
        <v>0</v>
      </c>
      <c r="CZ955" s="37">
        <v>0</v>
      </c>
      <c r="DA955" s="37">
        <v>0</v>
      </c>
      <c r="DB955" s="37">
        <v>0</v>
      </c>
      <c r="DC955" s="37">
        <v>0</v>
      </c>
      <c r="DD955" s="37">
        <v>0</v>
      </c>
      <c r="DE955" s="37">
        <v>0</v>
      </c>
      <c r="DF955" s="37">
        <v>0</v>
      </c>
      <c r="DG955" s="37">
        <v>0</v>
      </c>
      <c r="DH955" s="37">
        <v>0</v>
      </c>
      <c r="DI955" s="37">
        <v>0</v>
      </c>
      <c r="DJ955" s="37">
        <v>0</v>
      </c>
      <c r="DK955" s="37">
        <v>0</v>
      </c>
      <c r="DL955" s="37">
        <v>0</v>
      </c>
      <c r="DM955" s="37">
        <v>0</v>
      </c>
      <c r="DN955" s="37">
        <v>0</v>
      </c>
      <c r="DO955" s="37">
        <v>0</v>
      </c>
      <c r="DP955" s="37">
        <v>0</v>
      </c>
      <c r="DQ955" s="37">
        <v>0</v>
      </c>
      <c r="DR955" s="37">
        <v>0</v>
      </c>
      <c r="DS955" s="37">
        <v>0</v>
      </c>
      <c r="DT955" s="37">
        <v>0</v>
      </c>
      <c r="DU955" s="37">
        <v>0</v>
      </c>
      <c r="DV955" s="37">
        <v>0</v>
      </c>
      <c r="DW955" s="37">
        <v>0</v>
      </c>
      <c r="DX955" s="37">
        <v>0</v>
      </c>
      <c r="DY955" s="37">
        <v>0</v>
      </c>
      <c r="DZ955" s="37">
        <v>0</v>
      </c>
      <c r="EA955" s="37">
        <v>0</v>
      </c>
      <c r="EB955" s="37">
        <v>0</v>
      </c>
      <c r="EC955" s="37">
        <v>0</v>
      </c>
      <c r="ED955" s="37">
        <v>0</v>
      </c>
      <c r="EE955" s="37">
        <v>0</v>
      </c>
      <c r="EF955" s="37">
        <v>0</v>
      </c>
      <c r="EG955" s="37">
        <v>0</v>
      </c>
      <c r="EH955" s="37">
        <v>0</v>
      </c>
      <c r="EI955" s="37">
        <v>0</v>
      </c>
      <c r="EJ955" s="37">
        <v>0</v>
      </c>
      <c r="EK955" s="161" t="s">
        <v>3356</v>
      </c>
      <c r="EL955" s="294" t="s">
        <v>1124</v>
      </c>
    </row>
    <row r="956" spans="1:142" ht="15" customHeight="1" x14ac:dyDescent="0.35">
      <c r="A956" s="34"/>
      <c r="B956" s="313">
        <v>31135</v>
      </c>
      <c r="C956" s="8" t="s">
        <v>254</v>
      </c>
      <c r="D956" s="18">
        <v>12</v>
      </c>
      <c r="E956" s="155">
        <v>42424</v>
      </c>
      <c r="F956" s="36">
        <v>14951</v>
      </c>
      <c r="G956" s="37">
        <v>74204</v>
      </c>
      <c r="H956" s="37">
        <v>43086</v>
      </c>
      <c r="I956" s="37">
        <v>161054</v>
      </c>
      <c r="J956" s="37">
        <v>161054</v>
      </c>
      <c r="K956" s="37">
        <v>6364</v>
      </c>
      <c r="L956" s="37">
        <v>2243</v>
      </c>
      <c r="M956" s="37">
        <v>284046</v>
      </c>
      <c r="N956" s="37">
        <v>221334</v>
      </c>
      <c r="O956" s="37">
        <v>0</v>
      </c>
      <c r="P956" s="37">
        <v>0</v>
      </c>
      <c r="Q956" s="37">
        <v>66255</v>
      </c>
      <c r="R956" s="37">
        <v>66255</v>
      </c>
      <c r="S956" s="37">
        <v>0</v>
      </c>
      <c r="T956" s="37">
        <v>0</v>
      </c>
      <c r="U956" s="37">
        <v>102332</v>
      </c>
      <c r="V956" s="37">
        <v>0</v>
      </c>
      <c r="W956" s="37">
        <v>135269</v>
      </c>
      <c r="X956" s="37">
        <v>135269</v>
      </c>
      <c r="Y956" s="37">
        <v>0</v>
      </c>
      <c r="Z956" s="37">
        <v>0</v>
      </c>
      <c r="AA956" s="37">
        <v>303856</v>
      </c>
      <c r="AB956" s="37">
        <v>201524</v>
      </c>
      <c r="AC956" s="37">
        <v>0</v>
      </c>
      <c r="AD956" s="37">
        <v>0</v>
      </c>
      <c r="AE956" s="37">
        <v>0</v>
      </c>
      <c r="AF956" s="168">
        <v>0.02</v>
      </c>
      <c r="AG956" s="37">
        <v>12982271.050000001</v>
      </c>
      <c r="AH956" s="37">
        <v>87428.76</v>
      </c>
      <c r="AI956" s="37">
        <v>89177.34</v>
      </c>
      <c r="AJ956" s="37">
        <v>90960.88</v>
      </c>
      <c r="AK956" s="37">
        <v>92780.1</v>
      </c>
      <c r="AL956" s="37">
        <v>94635.7</v>
      </c>
      <c r="AM956" s="37">
        <v>96528.42</v>
      </c>
      <c r="AN956" s="37">
        <v>98458.99</v>
      </c>
      <c r="AO956" s="37">
        <v>100428.17</v>
      </c>
      <c r="AP956" s="37">
        <v>102436.73</v>
      </c>
      <c r="AQ956" s="37">
        <v>104485.46</v>
      </c>
      <c r="AR956" s="37">
        <v>957320.54999999993</v>
      </c>
      <c r="AS956" s="37">
        <v>0</v>
      </c>
      <c r="AT956" s="37">
        <v>0</v>
      </c>
      <c r="AU956" s="37">
        <v>0</v>
      </c>
      <c r="AV956" s="37">
        <v>0</v>
      </c>
      <c r="AW956" s="37">
        <v>0</v>
      </c>
      <c r="AX956" s="37">
        <v>0</v>
      </c>
      <c r="AY956" s="37">
        <v>0</v>
      </c>
      <c r="AZ956" s="37">
        <v>0</v>
      </c>
      <c r="BA956" s="37">
        <v>0</v>
      </c>
      <c r="BB956" s="37">
        <v>0</v>
      </c>
      <c r="BC956" s="37">
        <v>0</v>
      </c>
      <c r="BD956" s="37">
        <v>0</v>
      </c>
      <c r="BE956" s="37">
        <v>0</v>
      </c>
      <c r="BF956" s="37">
        <v>0</v>
      </c>
      <c r="BG956" s="37">
        <v>0</v>
      </c>
      <c r="BH956" s="37">
        <v>0</v>
      </c>
      <c r="BI956" s="37">
        <v>0</v>
      </c>
      <c r="BJ956" s="37">
        <v>0</v>
      </c>
      <c r="BK956" s="37">
        <v>0</v>
      </c>
      <c r="BL956" s="37">
        <v>0</v>
      </c>
      <c r="BM956" s="37">
        <v>0</v>
      </c>
      <c r="BN956" s="37">
        <v>0</v>
      </c>
      <c r="BO956" s="37">
        <v>0</v>
      </c>
      <c r="BP956" s="37">
        <v>0</v>
      </c>
      <c r="BQ956" s="37">
        <v>0</v>
      </c>
      <c r="BR956" s="37">
        <v>0</v>
      </c>
      <c r="BS956" s="37">
        <v>0</v>
      </c>
      <c r="BT956" s="37">
        <v>0</v>
      </c>
      <c r="BU956" s="37">
        <v>0</v>
      </c>
      <c r="BV956" s="37">
        <v>0</v>
      </c>
      <c r="BW956" s="37">
        <v>0</v>
      </c>
      <c r="BX956" s="37">
        <v>0</v>
      </c>
      <c r="BY956" s="37">
        <v>0</v>
      </c>
      <c r="BZ956" s="37">
        <v>0</v>
      </c>
      <c r="CA956" s="37">
        <v>0</v>
      </c>
      <c r="CB956" s="37">
        <v>0</v>
      </c>
      <c r="CC956" s="37">
        <v>0</v>
      </c>
      <c r="CD956" s="37">
        <v>0</v>
      </c>
      <c r="CE956" s="37">
        <v>0</v>
      </c>
      <c r="CF956" s="37">
        <v>0</v>
      </c>
      <c r="CG956" s="37">
        <v>0</v>
      </c>
      <c r="CH956" s="37">
        <v>0</v>
      </c>
      <c r="CI956" s="37">
        <v>0</v>
      </c>
      <c r="CJ956" s="37">
        <v>0</v>
      </c>
      <c r="CK956" s="37">
        <v>0</v>
      </c>
      <c r="CL956" s="37">
        <v>0</v>
      </c>
      <c r="CM956" s="37">
        <v>0</v>
      </c>
      <c r="CN956" s="37">
        <v>0</v>
      </c>
      <c r="CO956" s="37">
        <v>0</v>
      </c>
      <c r="CP956" s="37">
        <v>0</v>
      </c>
      <c r="CQ956" s="37">
        <v>0</v>
      </c>
      <c r="CR956" s="37">
        <v>0</v>
      </c>
      <c r="CS956" s="37">
        <v>0</v>
      </c>
      <c r="CT956" s="37">
        <v>0</v>
      </c>
      <c r="CU956" s="37">
        <v>0</v>
      </c>
      <c r="CV956" s="37">
        <v>0</v>
      </c>
      <c r="CW956" s="37">
        <v>0</v>
      </c>
      <c r="CX956" s="37">
        <v>0</v>
      </c>
      <c r="CY956" s="37">
        <v>0</v>
      </c>
      <c r="CZ956" s="37">
        <v>0</v>
      </c>
      <c r="DA956" s="37">
        <v>0</v>
      </c>
      <c r="DB956" s="37">
        <v>0</v>
      </c>
      <c r="DC956" s="37">
        <v>0</v>
      </c>
      <c r="DD956" s="37">
        <v>0</v>
      </c>
      <c r="DE956" s="37">
        <v>0</v>
      </c>
      <c r="DF956" s="37">
        <v>0</v>
      </c>
      <c r="DG956" s="37">
        <v>0</v>
      </c>
      <c r="DH956" s="37">
        <v>0</v>
      </c>
      <c r="DI956" s="37">
        <v>0</v>
      </c>
      <c r="DJ956" s="37">
        <v>0</v>
      </c>
      <c r="DK956" s="37">
        <v>0</v>
      </c>
      <c r="DL956" s="37">
        <v>0</v>
      </c>
      <c r="DM956" s="37">
        <v>0</v>
      </c>
      <c r="DN956" s="37">
        <v>0</v>
      </c>
      <c r="DO956" s="37">
        <v>0</v>
      </c>
      <c r="DP956" s="37">
        <v>0</v>
      </c>
      <c r="DQ956" s="37">
        <v>0</v>
      </c>
      <c r="DR956" s="37">
        <v>0</v>
      </c>
      <c r="DS956" s="37">
        <v>0</v>
      </c>
      <c r="DT956" s="37">
        <v>0</v>
      </c>
      <c r="DU956" s="37">
        <v>0</v>
      </c>
      <c r="DV956" s="37">
        <v>0</v>
      </c>
      <c r="DW956" s="37">
        <v>0</v>
      </c>
      <c r="DX956" s="37">
        <v>0</v>
      </c>
      <c r="DY956" s="37">
        <v>0</v>
      </c>
      <c r="DZ956" s="37">
        <v>0</v>
      </c>
      <c r="EA956" s="37">
        <v>0</v>
      </c>
      <c r="EB956" s="37">
        <v>0</v>
      </c>
      <c r="EC956" s="37">
        <v>0</v>
      </c>
      <c r="ED956" s="37">
        <v>0</v>
      </c>
      <c r="EE956" s="37">
        <v>0</v>
      </c>
      <c r="EF956" s="37">
        <v>0</v>
      </c>
      <c r="EG956" s="37">
        <v>0</v>
      </c>
      <c r="EH956" s="37">
        <v>0</v>
      </c>
      <c r="EI956" s="37">
        <v>0</v>
      </c>
      <c r="EJ956" s="37">
        <v>0</v>
      </c>
      <c r="EK956" s="161" t="s">
        <v>3360</v>
      </c>
      <c r="EL956" s="294" t="s">
        <v>1124</v>
      </c>
    </row>
    <row r="957" spans="1:142" ht="15" customHeight="1" x14ac:dyDescent="0.35">
      <c r="A957" s="34"/>
      <c r="B957" s="313">
        <v>13075</v>
      </c>
      <c r="C957" s="8" t="s">
        <v>54</v>
      </c>
      <c r="D957" s="18">
        <v>1</v>
      </c>
      <c r="E957" s="155"/>
      <c r="F957" s="36"/>
      <c r="G957" s="37"/>
      <c r="H957" s="37"/>
      <c r="I957" s="37"/>
      <c r="J957" s="37"/>
      <c r="K957" s="37"/>
      <c r="L957" s="37"/>
      <c r="M957" s="37" t="s">
        <v>1124</v>
      </c>
      <c r="N957" s="37" t="s">
        <v>1124</v>
      </c>
      <c r="O957" s="37"/>
      <c r="P957" s="37"/>
      <c r="Q957" s="37"/>
      <c r="R957" s="37"/>
      <c r="S957" s="37"/>
      <c r="T957" s="37"/>
      <c r="U957" s="37"/>
      <c r="V957" s="37"/>
      <c r="W957" s="37"/>
      <c r="X957" s="37"/>
      <c r="Y957" s="37"/>
      <c r="Z957" s="37"/>
      <c r="AA957" s="37" t="s">
        <v>1124</v>
      </c>
      <c r="AB957" s="37" t="s">
        <v>1124</v>
      </c>
      <c r="AC957" s="37"/>
      <c r="AD957" s="37"/>
      <c r="AE957" s="37"/>
      <c r="AF957" s="168"/>
      <c r="AG957" s="37"/>
      <c r="AH957" s="37"/>
      <c r="AI957" s="37"/>
      <c r="AJ957" s="37"/>
      <c r="AK957" s="37"/>
      <c r="AL957" s="37"/>
      <c r="AM957" s="37"/>
      <c r="AN957" s="37"/>
      <c r="AO957" s="37"/>
      <c r="AP957" s="37"/>
      <c r="AQ957" s="37"/>
      <c r="AR957" s="37" t="s">
        <v>1124</v>
      </c>
      <c r="AS957" s="37"/>
      <c r="AT957" s="37"/>
      <c r="AU957" s="37"/>
      <c r="AV957" s="37"/>
      <c r="AW957" s="37"/>
      <c r="AX957" s="37"/>
      <c r="AY957" s="37"/>
      <c r="AZ957" s="37"/>
      <c r="BA957" s="37"/>
      <c r="BB957" s="37"/>
      <c r="BC957" s="37"/>
      <c r="BD957" s="37" t="s">
        <v>1124</v>
      </c>
      <c r="BE957" s="37"/>
      <c r="BF957" s="37"/>
      <c r="BG957" s="37"/>
      <c r="BH957" s="37"/>
      <c r="BI957" s="37"/>
      <c r="BJ957" s="37"/>
      <c r="BK957" s="37"/>
      <c r="BL957" s="37"/>
      <c r="BM957" s="37"/>
      <c r="BN957" s="37"/>
      <c r="BO957" s="37"/>
      <c r="BP957" s="37">
        <v>0</v>
      </c>
      <c r="BQ957" s="37"/>
      <c r="BR957" s="37"/>
      <c r="BS957" s="37"/>
      <c r="BT957" s="37"/>
      <c r="BU957" s="37"/>
      <c r="BV957" s="37"/>
      <c r="BW957" s="37"/>
      <c r="BX957" s="37"/>
      <c r="BY957" s="37"/>
      <c r="BZ957" s="37"/>
      <c r="CA957" s="37"/>
      <c r="CB957" s="37" t="s">
        <v>1124</v>
      </c>
      <c r="CC957" s="37"/>
      <c r="CD957" s="37"/>
      <c r="CE957" s="37"/>
      <c r="CF957" s="37"/>
      <c r="CG957" s="37"/>
      <c r="CH957" s="37"/>
      <c r="CI957" s="37"/>
      <c r="CJ957" s="37"/>
      <c r="CK957" s="37"/>
      <c r="CL957" s="37"/>
      <c r="CM957" s="37"/>
      <c r="CN957" s="37" t="s">
        <v>1124</v>
      </c>
      <c r="CO957" s="37"/>
      <c r="CP957" s="37"/>
      <c r="CQ957" s="37"/>
      <c r="CR957" s="37"/>
      <c r="CS957" s="37"/>
      <c r="CT957" s="37"/>
      <c r="CU957" s="37"/>
      <c r="CV957" s="37"/>
      <c r="CW957" s="37"/>
      <c r="CX957" s="37"/>
      <c r="CY957" s="37"/>
      <c r="CZ957" s="37" t="s">
        <v>1124</v>
      </c>
      <c r="DA957" s="37"/>
      <c r="DB957" s="37"/>
      <c r="DC957" s="37"/>
      <c r="DD957" s="37"/>
      <c r="DE957" s="37"/>
      <c r="DF957" s="37"/>
      <c r="DG957" s="37"/>
      <c r="DH957" s="37"/>
      <c r="DI957" s="37"/>
      <c r="DJ957" s="37"/>
      <c r="DK957" s="37"/>
      <c r="DL957" s="37" t="s">
        <v>1124</v>
      </c>
      <c r="DM957" s="37"/>
      <c r="DN957" s="37"/>
      <c r="DO957" s="37"/>
      <c r="DP957" s="37"/>
      <c r="DQ957" s="37"/>
      <c r="DR957" s="37"/>
      <c r="DS957" s="37"/>
      <c r="DT957" s="37"/>
      <c r="DU957" s="37"/>
      <c r="DV957" s="37"/>
      <c r="DW957" s="37"/>
      <c r="DX957" s="37" t="s">
        <v>1124</v>
      </c>
      <c r="DY957" s="37"/>
      <c r="DZ957" s="37"/>
      <c r="EA957" s="37"/>
      <c r="EB957" s="37"/>
      <c r="EC957" s="37"/>
      <c r="ED957" s="37"/>
      <c r="EE957" s="37"/>
      <c r="EF957" s="37"/>
      <c r="EG957" s="37"/>
      <c r="EH957" s="37"/>
      <c r="EI957" s="37"/>
      <c r="EJ957" s="37" t="s">
        <v>1124</v>
      </c>
      <c r="EK957" s="161"/>
      <c r="EL957" s="294"/>
    </row>
    <row r="958" spans="1:142" ht="15" customHeight="1" x14ac:dyDescent="0.35">
      <c r="A958" s="34"/>
      <c r="B958" s="313">
        <v>18055</v>
      </c>
      <c r="C958" s="8" t="s">
        <v>114</v>
      </c>
      <c r="D958" s="18">
        <v>12</v>
      </c>
      <c r="E958" s="155"/>
      <c r="F958" s="36"/>
      <c r="G958" s="37"/>
      <c r="H958" s="37"/>
      <c r="I958" s="37"/>
      <c r="J958" s="37"/>
      <c r="K958" s="37"/>
      <c r="L958" s="37"/>
      <c r="M958" s="37" t="s">
        <v>1124</v>
      </c>
      <c r="N958" s="37" t="s">
        <v>1124</v>
      </c>
      <c r="O958" s="37"/>
      <c r="P958" s="37"/>
      <c r="Q958" s="37"/>
      <c r="R958" s="37"/>
      <c r="S958" s="37"/>
      <c r="T958" s="37"/>
      <c r="U958" s="37"/>
      <c r="V958" s="37"/>
      <c r="W958" s="37"/>
      <c r="X958" s="37"/>
      <c r="Y958" s="37"/>
      <c r="Z958" s="37"/>
      <c r="AA958" s="37" t="s">
        <v>1124</v>
      </c>
      <c r="AB958" s="37" t="s">
        <v>1124</v>
      </c>
      <c r="AC958" s="37"/>
      <c r="AD958" s="37"/>
      <c r="AE958" s="37"/>
      <c r="AF958" s="168"/>
      <c r="AG958" s="37"/>
      <c r="AH958" s="37"/>
      <c r="AI958" s="37"/>
      <c r="AJ958" s="37"/>
      <c r="AK958" s="37"/>
      <c r="AL958" s="37"/>
      <c r="AM958" s="37"/>
      <c r="AN958" s="37"/>
      <c r="AO958" s="37"/>
      <c r="AP958" s="37"/>
      <c r="AQ958" s="37"/>
      <c r="AR958" s="37" t="s">
        <v>1124</v>
      </c>
      <c r="AS958" s="37"/>
      <c r="AT958" s="37"/>
      <c r="AU958" s="37"/>
      <c r="AV958" s="37"/>
      <c r="AW958" s="37"/>
      <c r="AX958" s="37"/>
      <c r="AY958" s="37"/>
      <c r="AZ958" s="37"/>
      <c r="BA958" s="37"/>
      <c r="BB958" s="37"/>
      <c r="BC958" s="37"/>
      <c r="BD958" s="37" t="s">
        <v>1124</v>
      </c>
      <c r="BE958" s="37"/>
      <c r="BF958" s="37"/>
      <c r="BG958" s="37"/>
      <c r="BH958" s="37"/>
      <c r="BI958" s="37"/>
      <c r="BJ958" s="37"/>
      <c r="BK958" s="37"/>
      <c r="BL958" s="37"/>
      <c r="BM958" s="37"/>
      <c r="BN958" s="37"/>
      <c r="BO958" s="37"/>
      <c r="BP958" s="37">
        <v>0</v>
      </c>
      <c r="BQ958" s="37"/>
      <c r="BR958" s="37"/>
      <c r="BS958" s="37"/>
      <c r="BT958" s="37"/>
      <c r="BU958" s="37"/>
      <c r="BV958" s="37"/>
      <c r="BW958" s="37"/>
      <c r="BX958" s="37"/>
      <c r="BY958" s="37"/>
      <c r="BZ958" s="37"/>
      <c r="CA958" s="37"/>
      <c r="CB958" s="37" t="s">
        <v>1124</v>
      </c>
      <c r="CC958" s="37"/>
      <c r="CD958" s="37"/>
      <c r="CE958" s="37"/>
      <c r="CF958" s="37"/>
      <c r="CG958" s="37"/>
      <c r="CH958" s="37"/>
      <c r="CI958" s="37"/>
      <c r="CJ958" s="37"/>
      <c r="CK958" s="37"/>
      <c r="CL958" s="37"/>
      <c r="CM958" s="37"/>
      <c r="CN958" s="37" t="s">
        <v>1124</v>
      </c>
      <c r="CO958" s="37"/>
      <c r="CP958" s="37"/>
      <c r="CQ958" s="37"/>
      <c r="CR958" s="37"/>
      <c r="CS958" s="37"/>
      <c r="CT958" s="37"/>
      <c r="CU958" s="37"/>
      <c r="CV958" s="37"/>
      <c r="CW958" s="37"/>
      <c r="CX958" s="37"/>
      <c r="CY958" s="37"/>
      <c r="CZ958" s="37" t="s">
        <v>1124</v>
      </c>
      <c r="DA958" s="37"/>
      <c r="DB958" s="37"/>
      <c r="DC958" s="37"/>
      <c r="DD958" s="37"/>
      <c r="DE958" s="37"/>
      <c r="DF958" s="37"/>
      <c r="DG958" s="37"/>
      <c r="DH958" s="37"/>
      <c r="DI958" s="37"/>
      <c r="DJ958" s="37"/>
      <c r="DK958" s="37"/>
      <c r="DL958" s="37" t="s">
        <v>1124</v>
      </c>
      <c r="DM958" s="37"/>
      <c r="DN958" s="37"/>
      <c r="DO958" s="37"/>
      <c r="DP958" s="37"/>
      <c r="DQ958" s="37"/>
      <c r="DR958" s="37"/>
      <c r="DS958" s="37"/>
      <c r="DT958" s="37"/>
      <c r="DU958" s="37"/>
      <c r="DV958" s="37"/>
      <c r="DW958" s="37"/>
      <c r="DX958" s="37" t="s">
        <v>1124</v>
      </c>
      <c r="DY958" s="37"/>
      <c r="DZ958" s="37"/>
      <c r="EA958" s="37"/>
      <c r="EB958" s="37"/>
      <c r="EC958" s="37"/>
      <c r="ED958" s="37"/>
      <c r="EE958" s="37"/>
      <c r="EF958" s="37"/>
      <c r="EG958" s="37"/>
      <c r="EH958" s="37"/>
      <c r="EI958" s="37"/>
      <c r="EJ958" s="37" t="s">
        <v>1124</v>
      </c>
      <c r="EK958" s="161"/>
      <c r="EL958" s="294"/>
    </row>
    <row r="959" spans="1:142" ht="15" customHeight="1" x14ac:dyDescent="0.35">
      <c r="A959" s="34"/>
      <c r="B959" s="313">
        <v>20025</v>
      </c>
      <c r="C959" s="8" t="s">
        <v>142</v>
      </c>
      <c r="D959" s="18">
        <v>3</v>
      </c>
      <c r="E959" s="155"/>
      <c r="F959" s="36"/>
      <c r="G959" s="37"/>
      <c r="H959" s="37"/>
      <c r="I959" s="37"/>
      <c r="J959" s="37"/>
      <c r="K959" s="37"/>
      <c r="L959" s="37"/>
      <c r="M959" s="37" t="s">
        <v>1124</v>
      </c>
      <c r="N959" s="37" t="s">
        <v>1124</v>
      </c>
      <c r="O959" s="37"/>
      <c r="P959" s="37"/>
      <c r="Q959" s="37"/>
      <c r="R959" s="37"/>
      <c r="S959" s="37"/>
      <c r="T959" s="37"/>
      <c r="U959" s="37"/>
      <c r="V959" s="37"/>
      <c r="W959" s="37"/>
      <c r="X959" s="37"/>
      <c r="Y959" s="37"/>
      <c r="Z959" s="37"/>
      <c r="AA959" s="37" t="s">
        <v>1124</v>
      </c>
      <c r="AB959" s="37" t="s">
        <v>1124</v>
      </c>
      <c r="AC959" s="37"/>
      <c r="AD959" s="37"/>
      <c r="AE959" s="37"/>
      <c r="AF959" s="168"/>
      <c r="AG959" s="37"/>
      <c r="AH959" s="37"/>
      <c r="AI959" s="37"/>
      <c r="AJ959" s="37"/>
      <c r="AK959" s="37"/>
      <c r="AL959" s="37"/>
      <c r="AM959" s="37"/>
      <c r="AN959" s="37"/>
      <c r="AO959" s="37"/>
      <c r="AP959" s="37"/>
      <c r="AQ959" s="37"/>
      <c r="AR959" s="37" t="s">
        <v>1124</v>
      </c>
      <c r="AS959" s="37"/>
      <c r="AT959" s="37"/>
      <c r="AU959" s="37"/>
      <c r="AV959" s="37"/>
      <c r="AW959" s="37"/>
      <c r="AX959" s="37"/>
      <c r="AY959" s="37"/>
      <c r="AZ959" s="37"/>
      <c r="BA959" s="37"/>
      <c r="BB959" s="37"/>
      <c r="BC959" s="37"/>
      <c r="BD959" s="37" t="s">
        <v>1124</v>
      </c>
      <c r="BE959" s="37"/>
      <c r="BF959" s="37"/>
      <c r="BG959" s="37"/>
      <c r="BH959" s="37"/>
      <c r="BI959" s="37"/>
      <c r="BJ959" s="37"/>
      <c r="BK959" s="37"/>
      <c r="BL959" s="37"/>
      <c r="BM959" s="37"/>
      <c r="BN959" s="37"/>
      <c r="BO959" s="37"/>
      <c r="BP959" s="37">
        <v>0</v>
      </c>
      <c r="BQ959" s="37"/>
      <c r="BR959" s="37"/>
      <c r="BS959" s="37"/>
      <c r="BT959" s="37"/>
      <c r="BU959" s="37"/>
      <c r="BV959" s="37"/>
      <c r="BW959" s="37"/>
      <c r="BX959" s="37"/>
      <c r="BY959" s="37"/>
      <c r="BZ959" s="37"/>
      <c r="CA959" s="37"/>
      <c r="CB959" s="37" t="s">
        <v>1124</v>
      </c>
      <c r="CC959" s="37"/>
      <c r="CD959" s="37"/>
      <c r="CE959" s="37"/>
      <c r="CF959" s="37"/>
      <c r="CG959" s="37"/>
      <c r="CH959" s="37"/>
      <c r="CI959" s="37"/>
      <c r="CJ959" s="37"/>
      <c r="CK959" s="37"/>
      <c r="CL959" s="37"/>
      <c r="CM959" s="37"/>
      <c r="CN959" s="37" t="s">
        <v>1124</v>
      </c>
      <c r="CO959" s="37"/>
      <c r="CP959" s="37"/>
      <c r="CQ959" s="37"/>
      <c r="CR959" s="37"/>
      <c r="CS959" s="37"/>
      <c r="CT959" s="37"/>
      <c r="CU959" s="37"/>
      <c r="CV959" s="37"/>
      <c r="CW959" s="37"/>
      <c r="CX959" s="37"/>
      <c r="CY959" s="37"/>
      <c r="CZ959" s="37" t="s">
        <v>1124</v>
      </c>
      <c r="DA959" s="37"/>
      <c r="DB959" s="37"/>
      <c r="DC959" s="37"/>
      <c r="DD959" s="37"/>
      <c r="DE959" s="37"/>
      <c r="DF959" s="37"/>
      <c r="DG959" s="37"/>
      <c r="DH959" s="37"/>
      <c r="DI959" s="37"/>
      <c r="DJ959" s="37"/>
      <c r="DK959" s="37"/>
      <c r="DL959" s="37" t="s">
        <v>1124</v>
      </c>
      <c r="DM959" s="37"/>
      <c r="DN959" s="37"/>
      <c r="DO959" s="37"/>
      <c r="DP959" s="37"/>
      <c r="DQ959" s="37"/>
      <c r="DR959" s="37"/>
      <c r="DS959" s="37"/>
      <c r="DT959" s="37"/>
      <c r="DU959" s="37"/>
      <c r="DV959" s="37"/>
      <c r="DW959" s="37"/>
      <c r="DX959" s="37" t="s">
        <v>1124</v>
      </c>
      <c r="DY959" s="37"/>
      <c r="DZ959" s="37"/>
      <c r="EA959" s="37"/>
      <c r="EB959" s="37"/>
      <c r="EC959" s="37"/>
      <c r="ED959" s="37"/>
      <c r="EE959" s="37"/>
      <c r="EF959" s="37"/>
      <c r="EG959" s="37"/>
      <c r="EH959" s="37"/>
      <c r="EI959" s="37"/>
      <c r="EJ959" s="37" t="s">
        <v>1124</v>
      </c>
      <c r="EK959" s="161"/>
      <c r="EL959" s="294"/>
    </row>
    <row r="960" spans="1:142" ht="15" customHeight="1" x14ac:dyDescent="0.35">
      <c r="A960" s="34"/>
      <c r="B960" s="313">
        <v>38065</v>
      </c>
      <c r="C960" s="8" t="s">
        <v>335</v>
      </c>
      <c r="D960" s="18">
        <v>17</v>
      </c>
      <c r="E960" s="155">
        <v>118334</v>
      </c>
      <c r="F960" s="36">
        <v>2520</v>
      </c>
      <c r="G960" s="37">
        <v>8635</v>
      </c>
      <c r="H960" s="37">
        <v>0</v>
      </c>
      <c r="I960" s="37">
        <v>32182</v>
      </c>
      <c r="J960" s="37">
        <v>0</v>
      </c>
      <c r="K960" s="37">
        <v>17750.099999999999</v>
      </c>
      <c r="L960" s="37">
        <v>378</v>
      </c>
      <c r="M960" s="37">
        <v>176901.1</v>
      </c>
      <c r="N960" s="37">
        <v>2898</v>
      </c>
      <c r="O960" s="37">
        <v>0</v>
      </c>
      <c r="P960" s="37">
        <v>0</v>
      </c>
      <c r="Q960" s="37">
        <v>141105.01</v>
      </c>
      <c r="R960" s="37">
        <v>8640</v>
      </c>
      <c r="S960" s="37">
        <v>26635</v>
      </c>
      <c r="T960" s="37">
        <v>0</v>
      </c>
      <c r="U960" s="37">
        <v>0</v>
      </c>
      <c r="V960" s="37">
        <v>0</v>
      </c>
      <c r="W960" s="37">
        <v>1709.5</v>
      </c>
      <c r="X960" s="37">
        <v>1709.7</v>
      </c>
      <c r="Y960" s="37">
        <v>0</v>
      </c>
      <c r="Z960" s="37">
        <v>0</v>
      </c>
      <c r="AA960" s="37">
        <v>169449.51</v>
      </c>
      <c r="AB960" s="37">
        <v>10349.700000000001</v>
      </c>
      <c r="AC960" s="37">
        <v>0</v>
      </c>
      <c r="AD960" s="37">
        <v>0</v>
      </c>
      <c r="AE960" s="37">
        <v>0</v>
      </c>
      <c r="AF960" s="168">
        <v>0.02</v>
      </c>
      <c r="AG960" s="37">
        <v>27106457.199999999</v>
      </c>
      <c r="AH960" s="37">
        <v>225306.94</v>
      </c>
      <c r="AI960" s="37">
        <v>229813.08</v>
      </c>
      <c r="AJ960" s="37">
        <v>234409.34</v>
      </c>
      <c r="AK960" s="37">
        <v>239097.53</v>
      </c>
      <c r="AL960" s="37">
        <v>243879.48</v>
      </c>
      <c r="AM960" s="37">
        <v>248757.07</v>
      </c>
      <c r="AN960" s="37">
        <v>253732.21</v>
      </c>
      <c r="AO960" s="37">
        <v>258806.86</v>
      </c>
      <c r="AP960" s="37">
        <v>263982.99</v>
      </c>
      <c r="AQ960" s="37">
        <v>269262.65000000002</v>
      </c>
      <c r="AR960" s="37">
        <v>2467048.15</v>
      </c>
      <c r="AS960" s="37">
        <v>0</v>
      </c>
      <c r="AT960" s="37">
        <v>0</v>
      </c>
      <c r="AU960" s="37">
        <v>0</v>
      </c>
      <c r="AV960" s="37">
        <v>0</v>
      </c>
      <c r="AW960" s="37">
        <v>0</v>
      </c>
      <c r="AX960" s="37">
        <v>0</v>
      </c>
      <c r="AY960" s="37">
        <v>0</v>
      </c>
      <c r="AZ960" s="37">
        <v>0</v>
      </c>
      <c r="BA960" s="37">
        <v>0</v>
      </c>
      <c r="BB960" s="37">
        <v>0</v>
      </c>
      <c r="BC960" s="37">
        <v>0</v>
      </c>
      <c r="BD960" s="37">
        <v>0</v>
      </c>
      <c r="BE960" s="37">
        <v>0</v>
      </c>
      <c r="BF960" s="37">
        <v>178472.57736746492</v>
      </c>
      <c r="BG960" s="37">
        <v>192370.9139218276</v>
      </c>
      <c r="BH960" s="37">
        <v>236817.10921826714</v>
      </c>
      <c r="BI960" s="37">
        <v>281263.39949244057</v>
      </c>
      <c r="BJ960" s="37">
        <v>30547.858742076805</v>
      </c>
      <c r="BK960" s="37">
        <v>147924.71862538796</v>
      </c>
      <c r="BL960" s="37">
        <v>192370.9139218276</v>
      </c>
      <c r="BM960" s="37">
        <v>236817.10921826714</v>
      </c>
      <c r="BN960" s="37">
        <v>281263.39949244057</v>
      </c>
      <c r="BO960" s="37">
        <v>0</v>
      </c>
      <c r="BP960" s="37">
        <v>1777848.0000000007</v>
      </c>
      <c r="BQ960" s="37">
        <v>0</v>
      </c>
      <c r="BR960" s="37">
        <v>57320.89676779032</v>
      </c>
      <c r="BS960" s="37">
        <v>61784.692419916413</v>
      </c>
      <c r="BT960" s="37">
        <v>76059.690909251265</v>
      </c>
      <c r="BU960" s="37">
        <v>90334.719903042074</v>
      </c>
      <c r="BV960" s="37">
        <v>9811.2028372087243</v>
      </c>
      <c r="BW960" s="37">
        <v>47509.693930581539</v>
      </c>
      <c r="BX960" s="37">
        <v>61784.692419916413</v>
      </c>
      <c r="BY960" s="37">
        <v>76059.690909251265</v>
      </c>
      <c r="BZ960" s="37">
        <v>90334.719903042074</v>
      </c>
      <c r="CA960" s="37">
        <v>0</v>
      </c>
      <c r="CB960" s="37">
        <v>571000.00000000012</v>
      </c>
      <c r="CC960" s="37">
        <v>0</v>
      </c>
      <c r="CD960" s="37">
        <v>0</v>
      </c>
      <c r="CE960" s="37">
        <v>0</v>
      </c>
      <c r="CF960" s="37">
        <v>0</v>
      </c>
      <c r="CG960" s="37">
        <v>0</v>
      </c>
      <c r="CH960" s="37">
        <v>0</v>
      </c>
      <c r="CI960" s="37">
        <v>0</v>
      </c>
      <c r="CJ960" s="37">
        <v>0</v>
      </c>
      <c r="CK960" s="37">
        <v>0</v>
      </c>
      <c r="CL960" s="37">
        <v>0</v>
      </c>
      <c r="CM960" s="37">
        <v>0</v>
      </c>
      <c r="CN960" s="37">
        <v>0</v>
      </c>
      <c r="CO960" s="37">
        <v>0</v>
      </c>
      <c r="CP960" s="37">
        <v>0</v>
      </c>
      <c r="CQ960" s="37">
        <v>0</v>
      </c>
      <c r="CR960" s="37">
        <v>0</v>
      </c>
      <c r="CS960" s="37">
        <v>0</v>
      </c>
      <c r="CT960" s="37">
        <v>0</v>
      </c>
      <c r="CU960" s="37">
        <v>0</v>
      </c>
      <c r="CV960" s="37">
        <v>0</v>
      </c>
      <c r="CW960" s="37">
        <v>0</v>
      </c>
      <c r="CX960" s="37">
        <v>0</v>
      </c>
      <c r="CY960" s="37">
        <v>0</v>
      </c>
      <c r="CZ960" s="37">
        <v>0</v>
      </c>
      <c r="DA960" s="37">
        <v>0</v>
      </c>
      <c r="DB960" s="37">
        <v>0</v>
      </c>
      <c r="DC960" s="37">
        <v>0</v>
      </c>
      <c r="DD960" s="37">
        <v>0</v>
      </c>
      <c r="DE960" s="37">
        <v>0</v>
      </c>
      <c r="DF960" s="37">
        <v>0</v>
      </c>
      <c r="DG960" s="37">
        <v>0</v>
      </c>
      <c r="DH960" s="37">
        <v>0</v>
      </c>
      <c r="DI960" s="37">
        <v>0</v>
      </c>
      <c r="DJ960" s="37">
        <v>0</v>
      </c>
      <c r="DK960" s="37">
        <v>0</v>
      </c>
      <c r="DL960" s="37">
        <v>0</v>
      </c>
      <c r="DM960" s="37">
        <v>0</v>
      </c>
      <c r="DN960" s="37">
        <v>0</v>
      </c>
      <c r="DO960" s="37">
        <v>0</v>
      </c>
      <c r="DP960" s="37">
        <v>0</v>
      </c>
      <c r="DQ960" s="37">
        <v>0</v>
      </c>
      <c r="DR960" s="37">
        <v>0</v>
      </c>
      <c r="DS960" s="37">
        <v>0</v>
      </c>
      <c r="DT960" s="37">
        <v>0</v>
      </c>
      <c r="DU960" s="37">
        <v>0</v>
      </c>
      <c r="DV960" s="37">
        <v>0</v>
      </c>
      <c r="DW960" s="37">
        <v>0</v>
      </c>
      <c r="DX960" s="37">
        <v>0</v>
      </c>
      <c r="DY960" s="37">
        <v>0</v>
      </c>
      <c r="DZ960" s="37">
        <v>0</v>
      </c>
      <c r="EA960" s="37">
        <v>0</v>
      </c>
      <c r="EB960" s="37">
        <v>0</v>
      </c>
      <c r="EC960" s="37">
        <v>0</v>
      </c>
      <c r="ED960" s="37">
        <v>0</v>
      </c>
      <c r="EE960" s="37">
        <v>0</v>
      </c>
      <c r="EF960" s="37">
        <v>0</v>
      </c>
      <c r="EG960" s="37">
        <v>0</v>
      </c>
      <c r="EH960" s="37">
        <v>0</v>
      </c>
      <c r="EI960" s="37">
        <v>0</v>
      </c>
      <c r="EJ960" s="37">
        <v>0</v>
      </c>
      <c r="EK960" s="161" t="s">
        <v>2292</v>
      </c>
      <c r="EL960" s="294" t="s">
        <v>1124</v>
      </c>
    </row>
    <row r="961" spans="1:142" ht="15" customHeight="1" x14ac:dyDescent="0.35">
      <c r="A961" s="34"/>
      <c r="B961" s="313">
        <v>72043</v>
      </c>
      <c r="C961" s="8" t="s">
        <v>733</v>
      </c>
      <c r="D961" s="18">
        <v>15</v>
      </c>
      <c r="E961" s="155">
        <v>44229</v>
      </c>
      <c r="F961" s="36">
        <v>73550</v>
      </c>
      <c r="G961" s="37">
        <v>0</v>
      </c>
      <c r="H961" s="37">
        <v>26625</v>
      </c>
      <c r="I961" s="37">
        <v>0</v>
      </c>
      <c r="J961" s="37">
        <v>149500</v>
      </c>
      <c r="K961" s="37">
        <v>24787</v>
      </c>
      <c r="L961" s="37">
        <v>29311</v>
      </c>
      <c r="M961" s="37">
        <v>69016</v>
      </c>
      <c r="N961" s="37">
        <v>278986</v>
      </c>
      <c r="O961" s="37">
        <v>0</v>
      </c>
      <c r="P961" s="37">
        <v>0</v>
      </c>
      <c r="Q961" s="37">
        <v>40640</v>
      </c>
      <c r="R961" s="37">
        <v>78380</v>
      </c>
      <c r="S961" s="37">
        <v>0</v>
      </c>
      <c r="T961" s="37">
        <v>40</v>
      </c>
      <c r="U961" s="37">
        <v>0</v>
      </c>
      <c r="V961" s="37">
        <v>59184</v>
      </c>
      <c r="W961" s="37">
        <v>28376</v>
      </c>
      <c r="X961" s="37">
        <v>178158</v>
      </c>
      <c r="Y961" s="37">
        <v>0</v>
      </c>
      <c r="Z961" s="37">
        <v>0</v>
      </c>
      <c r="AA961" s="37">
        <v>69016</v>
      </c>
      <c r="AB961" s="37">
        <v>315762</v>
      </c>
      <c r="AC961" s="37">
        <v>36776</v>
      </c>
      <c r="AD961" s="37">
        <v>0</v>
      </c>
      <c r="AE961" s="37">
        <v>0</v>
      </c>
      <c r="AF961" s="168">
        <v>0.02</v>
      </c>
      <c r="AG961" s="37">
        <v>14885997.359999999</v>
      </c>
      <c r="AH961" s="37">
        <v>186046.41</v>
      </c>
      <c r="AI961" s="37">
        <v>198257</v>
      </c>
      <c r="AJ961" s="37">
        <v>205740.05</v>
      </c>
      <c r="AK961" s="37">
        <v>187773.23</v>
      </c>
      <c r="AL961" s="37">
        <v>191528.7</v>
      </c>
      <c r="AM961" s="37">
        <v>195359.27</v>
      </c>
      <c r="AN961" s="37">
        <v>199266.45</v>
      </c>
      <c r="AO961" s="37">
        <v>203251.78</v>
      </c>
      <c r="AP961" s="37">
        <v>207316.82</v>
      </c>
      <c r="AQ961" s="37">
        <v>211463.16</v>
      </c>
      <c r="AR961" s="37">
        <v>1986002.8699999999</v>
      </c>
      <c r="AS961" s="37">
        <v>112243.55</v>
      </c>
      <c r="AT961" s="37">
        <v>89702.88</v>
      </c>
      <c r="AU961" s="37">
        <v>0</v>
      </c>
      <c r="AV961" s="37">
        <v>0</v>
      </c>
      <c r="AW961" s="37">
        <v>0</v>
      </c>
      <c r="AX961" s="37">
        <v>0</v>
      </c>
      <c r="AY961" s="37">
        <v>0</v>
      </c>
      <c r="AZ961" s="37">
        <v>0</v>
      </c>
      <c r="BA961" s="37">
        <v>0</v>
      </c>
      <c r="BB961" s="37">
        <v>0</v>
      </c>
      <c r="BC961" s="37">
        <v>0</v>
      </c>
      <c r="BD961" s="37">
        <v>89702.88</v>
      </c>
      <c r="BE961" s="37">
        <v>30621</v>
      </c>
      <c r="BF961" s="37">
        <v>0</v>
      </c>
      <c r="BG961" s="37">
        <v>0</v>
      </c>
      <c r="BH961" s="37">
        <v>0</v>
      </c>
      <c r="BI961" s="37">
        <v>0</v>
      </c>
      <c r="BJ961" s="37">
        <v>0</v>
      </c>
      <c r="BK961" s="37">
        <v>0</v>
      </c>
      <c r="BL961" s="37">
        <v>0</v>
      </c>
      <c r="BM961" s="37">
        <v>0</v>
      </c>
      <c r="BN961" s="37">
        <v>0</v>
      </c>
      <c r="BO961" s="37">
        <v>0</v>
      </c>
      <c r="BP961" s="37">
        <v>0</v>
      </c>
      <c r="BQ961" s="37">
        <v>0</v>
      </c>
      <c r="BR961" s="37">
        <v>0</v>
      </c>
      <c r="BS961" s="37">
        <v>0</v>
      </c>
      <c r="BT961" s="37">
        <v>0</v>
      </c>
      <c r="BU961" s="37">
        <v>0</v>
      </c>
      <c r="BV961" s="37">
        <v>0</v>
      </c>
      <c r="BW961" s="37">
        <v>0</v>
      </c>
      <c r="BX961" s="37">
        <v>0</v>
      </c>
      <c r="BY961" s="37">
        <v>0</v>
      </c>
      <c r="BZ961" s="37">
        <v>0</v>
      </c>
      <c r="CA961" s="37">
        <v>0</v>
      </c>
      <c r="CB961" s="37">
        <v>0</v>
      </c>
      <c r="CC961" s="37">
        <v>0</v>
      </c>
      <c r="CD961" s="37">
        <v>2224</v>
      </c>
      <c r="CE961" s="37">
        <v>0</v>
      </c>
      <c r="CF961" s="37">
        <v>0</v>
      </c>
      <c r="CG961" s="37">
        <v>0</v>
      </c>
      <c r="CH961" s="37">
        <v>0</v>
      </c>
      <c r="CI961" s="37">
        <v>0</v>
      </c>
      <c r="CJ961" s="37">
        <v>0</v>
      </c>
      <c r="CK961" s="37">
        <v>0</v>
      </c>
      <c r="CL961" s="37">
        <v>0</v>
      </c>
      <c r="CM961" s="37">
        <v>0</v>
      </c>
      <c r="CN961" s="37">
        <v>2224</v>
      </c>
      <c r="CO961" s="37">
        <v>0</v>
      </c>
      <c r="CP961" s="37">
        <v>0</v>
      </c>
      <c r="CQ961" s="37">
        <v>0</v>
      </c>
      <c r="CR961" s="37">
        <v>0</v>
      </c>
      <c r="CS961" s="37">
        <v>0</v>
      </c>
      <c r="CT961" s="37">
        <v>0</v>
      </c>
      <c r="CU961" s="37">
        <v>0</v>
      </c>
      <c r="CV961" s="37">
        <v>0</v>
      </c>
      <c r="CW961" s="37">
        <v>0</v>
      </c>
      <c r="CX961" s="37">
        <v>0</v>
      </c>
      <c r="CY961" s="37">
        <v>0</v>
      </c>
      <c r="CZ961" s="37">
        <v>0</v>
      </c>
      <c r="DA961" s="37">
        <v>0</v>
      </c>
      <c r="DB961" s="37">
        <v>0</v>
      </c>
      <c r="DC961" s="37">
        <v>0</v>
      </c>
      <c r="DD961" s="37">
        <v>0</v>
      </c>
      <c r="DE961" s="37">
        <v>0</v>
      </c>
      <c r="DF961" s="37">
        <v>0</v>
      </c>
      <c r="DG961" s="37">
        <v>0</v>
      </c>
      <c r="DH961" s="37">
        <v>0</v>
      </c>
      <c r="DI961" s="37">
        <v>0</v>
      </c>
      <c r="DJ961" s="37">
        <v>0</v>
      </c>
      <c r="DK961" s="37">
        <v>0</v>
      </c>
      <c r="DL961" s="37">
        <v>0</v>
      </c>
      <c r="DM961" s="37">
        <v>0</v>
      </c>
      <c r="DN961" s="37">
        <v>0</v>
      </c>
      <c r="DO961" s="37">
        <v>0</v>
      </c>
      <c r="DP961" s="37">
        <v>0</v>
      </c>
      <c r="DQ961" s="37">
        <v>0</v>
      </c>
      <c r="DR961" s="37">
        <v>0</v>
      </c>
      <c r="DS961" s="37">
        <v>0</v>
      </c>
      <c r="DT961" s="37">
        <v>0</v>
      </c>
      <c r="DU961" s="37">
        <v>0</v>
      </c>
      <c r="DV961" s="37">
        <v>0</v>
      </c>
      <c r="DW961" s="37">
        <v>0</v>
      </c>
      <c r="DX961" s="37">
        <v>0</v>
      </c>
      <c r="DY961" s="37">
        <v>0</v>
      </c>
      <c r="DZ961" s="37">
        <v>0</v>
      </c>
      <c r="EA961" s="37">
        <v>0</v>
      </c>
      <c r="EB961" s="37">
        <v>0</v>
      </c>
      <c r="EC961" s="37">
        <v>0</v>
      </c>
      <c r="ED961" s="37">
        <v>0</v>
      </c>
      <c r="EE961" s="37">
        <v>0</v>
      </c>
      <c r="EF961" s="37">
        <v>0</v>
      </c>
      <c r="EG961" s="37">
        <v>0</v>
      </c>
      <c r="EH961" s="37">
        <v>0</v>
      </c>
      <c r="EI961" s="37">
        <v>0</v>
      </c>
      <c r="EJ961" s="37">
        <v>0</v>
      </c>
      <c r="EK961" s="161" t="s">
        <v>3366</v>
      </c>
      <c r="EL961" s="294" t="s">
        <v>1124</v>
      </c>
    </row>
    <row r="962" spans="1:142" ht="15" customHeight="1" x14ac:dyDescent="0.35">
      <c r="A962" s="34"/>
      <c r="B962" s="313">
        <v>71020</v>
      </c>
      <c r="C962" s="8" t="s">
        <v>706</v>
      </c>
      <c r="D962" s="18">
        <v>16</v>
      </c>
      <c r="E962" s="155">
        <v>208640</v>
      </c>
      <c r="F962" s="36">
        <v>254453</v>
      </c>
      <c r="G962" s="37">
        <v>56615</v>
      </c>
      <c r="H962" s="37">
        <v>2038</v>
      </c>
      <c r="I962" s="37">
        <v>194435</v>
      </c>
      <c r="J962" s="37">
        <v>152700</v>
      </c>
      <c r="K962" s="37">
        <v>0</v>
      </c>
      <c r="L962" s="37">
        <v>0</v>
      </c>
      <c r="M962" s="37">
        <v>459690</v>
      </c>
      <c r="N962" s="37">
        <v>409191</v>
      </c>
      <c r="O962" s="37">
        <v>27362</v>
      </c>
      <c r="P962" s="37">
        <v>0</v>
      </c>
      <c r="Q962" s="37">
        <v>335287</v>
      </c>
      <c r="R962" s="37">
        <v>359992</v>
      </c>
      <c r="S962" s="37">
        <v>141294</v>
      </c>
      <c r="T962" s="37">
        <v>0</v>
      </c>
      <c r="U962" s="37">
        <v>19434</v>
      </c>
      <c r="V962" s="37">
        <v>0</v>
      </c>
      <c r="W962" s="37">
        <v>27893</v>
      </c>
      <c r="X962" s="37">
        <v>22249</v>
      </c>
      <c r="Y962" s="37">
        <v>0</v>
      </c>
      <c r="Z962" s="37">
        <v>0</v>
      </c>
      <c r="AA962" s="37">
        <v>551270</v>
      </c>
      <c r="AB962" s="37">
        <v>382241</v>
      </c>
      <c r="AC962" s="37">
        <v>64630</v>
      </c>
      <c r="AD962" s="37">
        <v>0</v>
      </c>
      <c r="AE962" s="37">
        <v>0</v>
      </c>
      <c r="AF962" s="168">
        <v>0.02</v>
      </c>
      <c r="AG962" s="37">
        <v>51171843.520000003</v>
      </c>
      <c r="AH962" s="37">
        <v>588064.98</v>
      </c>
      <c r="AI962" s="37">
        <v>493705.48</v>
      </c>
      <c r="AJ962" s="37">
        <v>503579.59</v>
      </c>
      <c r="AK962" s="37">
        <v>513651.18</v>
      </c>
      <c r="AL962" s="37">
        <v>523924.21</v>
      </c>
      <c r="AM962" s="37">
        <v>538997.43000000005</v>
      </c>
      <c r="AN962" s="37">
        <v>545090.74</v>
      </c>
      <c r="AO962" s="37">
        <v>555992.56000000006</v>
      </c>
      <c r="AP962" s="37">
        <v>567112.41</v>
      </c>
      <c r="AQ962" s="37">
        <v>578454.66</v>
      </c>
      <c r="AR962" s="37">
        <v>5408573.2400000002</v>
      </c>
      <c r="AS962" s="37">
        <v>1009188</v>
      </c>
      <c r="AT962" s="37">
        <v>0</v>
      </c>
      <c r="AU962" s="37">
        <v>0</v>
      </c>
      <c r="AV962" s="37">
        <v>0</v>
      </c>
      <c r="AW962" s="37">
        <v>0</v>
      </c>
      <c r="AX962" s="37">
        <v>0</v>
      </c>
      <c r="AY962" s="37">
        <v>0</v>
      </c>
      <c r="AZ962" s="37">
        <v>0</v>
      </c>
      <c r="BA962" s="37">
        <v>0</v>
      </c>
      <c r="BB962" s="37">
        <v>0</v>
      </c>
      <c r="BC962" s="37">
        <v>0</v>
      </c>
      <c r="BD962" s="37">
        <v>0</v>
      </c>
      <c r="BE962" s="37">
        <v>0</v>
      </c>
      <c r="BF962" s="37">
        <v>0</v>
      </c>
      <c r="BG962" s="37">
        <v>0</v>
      </c>
      <c r="BH962" s="37">
        <v>0</v>
      </c>
      <c r="BI962" s="37">
        <v>0</v>
      </c>
      <c r="BJ962" s="37">
        <v>1204448</v>
      </c>
      <c r="BK962" s="37">
        <v>0</v>
      </c>
      <c r="BL962" s="37">
        <v>0</v>
      </c>
      <c r="BM962" s="37">
        <v>0</v>
      </c>
      <c r="BN962" s="37">
        <v>0</v>
      </c>
      <c r="BO962" s="37">
        <v>0</v>
      </c>
      <c r="BP962" s="37">
        <v>1204448</v>
      </c>
      <c r="BQ962" s="37">
        <v>0</v>
      </c>
      <c r="BR962" s="37">
        <v>0</v>
      </c>
      <c r="BS962" s="37">
        <v>0</v>
      </c>
      <c r="BT962" s="37">
        <v>0</v>
      </c>
      <c r="BU962" s="37">
        <v>0</v>
      </c>
      <c r="BV962" s="37">
        <v>300000</v>
      </c>
      <c r="BW962" s="37">
        <v>0</v>
      </c>
      <c r="BX962" s="37">
        <v>0</v>
      </c>
      <c r="BY962" s="37">
        <v>0</v>
      </c>
      <c r="BZ962" s="37">
        <v>0</v>
      </c>
      <c r="CA962" s="37">
        <v>0</v>
      </c>
      <c r="CB962" s="37">
        <v>300000</v>
      </c>
      <c r="CC962" s="37">
        <v>0</v>
      </c>
      <c r="CD962" s="37">
        <v>0</v>
      </c>
      <c r="CE962" s="37">
        <v>0</v>
      </c>
      <c r="CF962" s="37">
        <v>0</v>
      </c>
      <c r="CG962" s="37">
        <v>0</v>
      </c>
      <c r="CH962" s="37">
        <v>0</v>
      </c>
      <c r="CI962" s="37">
        <v>0</v>
      </c>
      <c r="CJ962" s="37">
        <v>0</v>
      </c>
      <c r="CK962" s="37">
        <v>0</v>
      </c>
      <c r="CL962" s="37">
        <v>0</v>
      </c>
      <c r="CM962" s="37">
        <v>0</v>
      </c>
      <c r="CN962" s="37">
        <v>0</v>
      </c>
      <c r="CO962" s="37">
        <v>0</v>
      </c>
      <c r="CP962" s="37">
        <v>0</v>
      </c>
      <c r="CQ962" s="37">
        <v>0</v>
      </c>
      <c r="CR962" s="37">
        <v>0</v>
      </c>
      <c r="CS962" s="37">
        <v>0</v>
      </c>
      <c r="CT962" s="37">
        <v>0</v>
      </c>
      <c r="CU962" s="37">
        <v>0</v>
      </c>
      <c r="CV962" s="37">
        <v>0</v>
      </c>
      <c r="CW962" s="37">
        <v>0</v>
      </c>
      <c r="CX962" s="37">
        <v>0</v>
      </c>
      <c r="CY962" s="37">
        <v>0</v>
      </c>
      <c r="CZ962" s="37">
        <v>0</v>
      </c>
      <c r="DA962" s="37">
        <v>0</v>
      </c>
      <c r="DB962" s="37">
        <v>0</v>
      </c>
      <c r="DC962" s="37">
        <v>0</v>
      </c>
      <c r="DD962" s="37">
        <v>0</v>
      </c>
      <c r="DE962" s="37">
        <v>0</v>
      </c>
      <c r="DF962" s="37">
        <v>0</v>
      </c>
      <c r="DG962" s="37">
        <v>0</v>
      </c>
      <c r="DH962" s="37">
        <v>0</v>
      </c>
      <c r="DI962" s="37">
        <v>0</v>
      </c>
      <c r="DJ962" s="37">
        <v>0</v>
      </c>
      <c r="DK962" s="37">
        <v>0</v>
      </c>
      <c r="DL962" s="37">
        <v>0</v>
      </c>
      <c r="DM962" s="37">
        <v>0</v>
      </c>
      <c r="DN962" s="37">
        <v>0</v>
      </c>
      <c r="DO962" s="37">
        <v>0</v>
      </c>
      <c r="DP962" s="37">
        <v>0</v>
      </c>
      <c r="DQ962" s="37">
        <v>0</v>
      </c>
      <c r="DR962" s="37">
        <v>0</v>
      </c>
      <c r="DS962" s="37">
        <v>0</v>
      </c>
      <c r="DT962" s="37">
        <v>0</v>
      </c>
      <c r="DU962" s="37">
        <v>0</v>
      </c>
      <c r="DV962" s="37">
        <v>0</v>
      </c>
      <c r="DW962" s="37">
        <v>0</v>
      </c>
      <c r="DX962" s="37">
        <v>0</v>
      </c>
      <c r="DY962" s="37">
        <v>0</v>
      </c>
      <c r="DZ962" s="37">
        <v>0</v>
      </c>
      <c r="EA962" s="37">
        <v>0</v>
      </c>
      <c r="EB962" s="37">
        <v>0</v>
      </c>
      <c r="EC962" s="37">
        <v>0</v>
      </c>
      <c r="ED962" s="37">
        <v>0</v>
      </c>
      <c r="EE962" s="37">
        <v>0</v>
      </c>
      <c r="EF962" s="37">
        <v>0</v>
      </c>
      <c r="EG962" s="37">
        <v>0</v>
      </c>
      <c r="EH962" s="37">
        <v>0</v>
      </c>
      <c r="EI962" s="37">
        <v>0</v>
      </c>
      <c r="EJ962" s="37">
        <v>0</v>
      </c>
      <c r="EK962" s="161" t="s">
        <v>1124</v>
      </c>
      <c r="EL962" s="294" t="s">
        <v>1124</v>
      </c>
    </row>
    <row r="963" spans="1:142" ht="15" customHeight="1" x14ac:dyDescent="0.35">
      <c r="A963" s="34"/>
      <c r="B963" s="313">
        <v>91035</v>
      </c>
      <c r="C963" s="8" t="s">
        <v>943</v>
      </c>
      <c r="D963" s="18">
        <v>2</v>
      </c>
      <c r="E963" s="155"/>
      <c r="F963" s="36"/>
      <c r="G963" s="37"/>
      <c r="H963" s="37"/>
      <c r="I963" s="37"/>
      <c r="J963" s="37"/>
      <c r="K963" s="37"/>
      <c r="L963" s="37"/>
      <c r="M963" s="37" t="s">
        <v>1124</v>
      </c>
      <c r="N963" s="37" t="s">
        <v>1124</v>
      </c>
      <c r="O963" s="37"/>
      <c r="P963" s="37"/>
      <c r="Q963" s="37"/>
      <c r="R963" s="37"/>
      <c r="S963" s="37"/>
      <c r="T963" s="37"/>
      <c r="U963" s="37"/>
      <c r="V963" s="37"/>
      <c r="W963" s="37"/>
      <c r="X963" s="37"/>
      <c r="Y963" s="37"/>
      <c r="Z963" s="37"/>
      <c r="AA963" s="37" t="s">
        <v>1124</v>
      </c>
      <c r="AB963" s="37" t="s">
        <v>1124</v>
      </c>
      <c r="AC963" s="37"/>
      <c r="AD963" s="37"/>
      <c r="AE963" s="37"/>
      <c r="AF963" s="168"/>
      <c r="AG963" s="37"/>
      <c r="AH963" s="37"/>
      <c r="AI963" s="37"/>
      <c r="AJ963" s="37"/>
      <c r="AK963" s="37"/>
      <c r="AL963" s="37"/>
      <c r="AM963" s="37"/>
      <c r="AN963" s="37"/>
      <c r="AO963" s="37"/>
      <c r="AP963" s="37"/>
      <c r="AQ963" s="37"/>
      <c r="AR963" s="37" t="s">
        <v>1124</v>
      </c>
      <c r="AS963" s="37"/>
      <c r="AT963" s="37"/>
      <c r="AU963" s="37"/>
      <c r="AV963" s="37"/>
      <c r="AW963" s="37"/>
      <c r="AX963" s="37"/>
      <c r="AY963" s="37"/>
      <c r="AZ963" s="37"/>
      <c r="BA963" s="37"/>
      <c r="BB963" s="37"/>
      <c r="BC963" s="37"/>
      <c r="BD963" s="37" t="s">
        <v>1124</v>
      </c>
      <c r="BE963" s="37"/>
      <c r="BF963" s="37"/>
      <c r="BG963" s="37"/>
      <c r="BH963" s="37"/>
      <c r="BI963" s="37"/>
      <c r="BJ963" s="37"/>
      <c r="BK963" s="37"/>
      <c r="BL963" s="37"/>
      <c r="BM963" s="37"/>
      <c r="BN963" s="37"/>
      <c r="BO963" s="37"/>
      <c r="BP963" s="37">
        <v>0</v>
      </c>
      <c r="BQ963" s="37"/>
      <c r="BR963" s="37"/>
      <c r="BS963" s="37"/>
      <c r="BT963" s="37"/>
      <c r="BU963" s="37"/>
      <c r="BV963" s="37"/>
      <c r="BW963" s="37"/>
      <c r="BX963" s="37"/>
      <c r="BY963" s="37"/>
      <c r="BZ963" s="37"/>
      <c r="CA963" s="37"/>
      <c r="CB963" s="37" t="s">
        <v>1124</v>
      </c>
      <c r="CC963" s="37"/>
      <c r="CD963" s="37"/>
      <c r="CE963" s="37"/>
      <c r="CF963" s="37"/>
      <c r="CG963" s="37"/>
      <c r="CH963" s="37"/>
      <c r="CI963" s="37"/>
      <c r="CJ963" s="37"/>
      <c r="CK963" s="37"/>
      <c r="CL963" s="37"/>
      <c r="CM963" s="37"/>
      <c r="CN963" s="37" t="s">
        <v>1124</v>
      </c>
      <c r="CO963" s="37"/>
      <c r="CP963" s="37"/>
      <c r="CQ963" s="37"/>
      <c r="CR963" s="37"/>
      <c r="CS963" s="37"/>
      <c r="CT963" s="37"/>
      <c r="CU963" s="37"/>
      <c r="CV963" s="37"/>
      <c r="CW963" s="37"/>
      <c r="CX963" s="37"/>
      <c r="CY963" s="37"/>
      <c r="CZ963" s="37" t="s">
        <v>1124</v>
      </c>
      <c r="DA963" s="37"/>
      <c r="DB963" s="37"/>
      <c r="DC963" s="37"/>
      <c r="DD963" s="37"/>
      <c r="DE963" s="37"/>
      <c r="DF963" s="37"/>
      <c r="DG963" s="37"/>
      <c r="DH963" s="37"/>
      <c r="DI963" s="37"/>
      <c r="DJ963" s="37"/>
      <c r="DK963" s="37"/>
      <c r="DL963" s="37" t="s">
        <v>1124</v>
      </c>
      <c r="DM963" s="37"/>
      <c r="DN963" s="37"/>
      <c r="DO963" s="37"/>
      <c r="DP963" s="37"/>
      <c r="DQ963" s="37"/>
      <c r="DR963" s="37"/>
      <c r="DS963" s="37"/>
      <c r="DT963" s="37"/>
      <c r="DU963" s="37"/>
      <c r="DV963" s="37"/>
      <c r="DW963" s="37"/>
      <c r="DX963" s="37" t="s">
        <v>1124</v>
      </c>
      <c r="DY963" s="37"/>
      <c r="DZ963" s="37"/>
      <c r="EA963" s="37"/>
      <c r="EB963" s="37"/>
      <c r="EC963" s="37"/>
      <c r="ED963" s="37"/>
      <c r="EE963" s="37"/>
      <c r="EF963" s="37"/>
      <c r="EG963" s="37"/>
      <c r="EH963" s="37"/>
      <c r="EI963" s="37"/>
      <c r="EJ963" s="37" t="s">
        <v>1124</v>
      </c>
      <c r="EK963" s="161"/>
      <c r="EL963" s="294"/>
    </row>
    <row r="964" spans="1:142" ht="15" customHeight="1" x14ac:dyDescent="0.35">
      <c r="A964" s="34"/>
      <c r="B964" s="313">
        <v>28020</v>
      </c>
      <c r="C964" s="8" t="s">
        <v>190</v>
      </c>
      <c r="D964" s="18">
        <v>12</v>
      </c>
      <c r="E964" s="155">
        <v>166705</v>
      </c>
      <c r="F964" s="36">
        <v>250474</v>
      </c>
      <c r="G964" s="37">
        <v>67662</v>
      </c>
      <c r="H964" s="37">
        <v>20598</v>
      </c>
      <c r="I964" s="37">
        <v>99130</v>
      </c>
      <c r="J964" s="37">
        <v>99130</v>
      </c>
      <c r="K964" s="37">
        <v>50024</v>
      </c>
      <c r="L964" s="37">
        <v>55530</v>
      </c>
      <c r="M964" s="37">
        <v>383521</v>
      </c>
      <c r="N964" s="37">
        <v>425732</v>
      </c>
      <c r="O964" s="37">
        <v>0</v>
      </c>
      <c r="P964" s="37">
        <v>0</v>
      </c>
      <c r="Q964" s="37">
        <v>293269</v>
      </c>
      <c r="R964" s="37">
        <v>338626</v>
      </c>
      <c r="S964" s="37">
        <v>14375</v>
      </c>
      <c r="T964" s="37">
        <v>0</v>
      </c>
      <c r="U964" s="37">
        <v>262381</v>
      </c>
      <c r="V964" s="37">
        <v>0</v>
      </c>
      <c r="W964" s="37">
        <v>0</v>
      </c>
      <c r="X964" s="37">
        <v>0</v>
      </c>
      <c r="Y964" s="37">
        <v>0</v>
      </c>
      <c r="Z964" s="37">
        <v>45268</v>
      </c>
      <c r="AA964" s="37">
        <v>570025</v>
      </c>
      <c r="AB964" s="37">
        <v>383894</v>
      </c>
      <c r="AC964" s="37">
        <v>144666</v>
      </c>
      <c r="AD964" s="37">
        <v>0</v>
      </c>
      <c r="AE964" s="37">
        <v>0</v>
      </c>
      <c r="AF964" s="168">
        <v>0.02</v>
      </c>
      <c r="AG964" s="37">
        <v>46792472.799999997</v>
      </c>
      <c r="AH964" s="37">
        <v>379381.85</v>
      </c>
      <c r="AI964" s="37">
        <v>386969.49</v>
      </c>
      <c r="AJ964" s="37">
        <v>394708.87</v>
      </c>
      <c r="AK964" s="37">
        <v>402603.05</v>
      </c>
      <c r="AL964" s="37">
        <v>410655.11</v>
      </c>
      <c r="AM964" s="37">
        <v>418868.22</v>
      </c>
      <c r="AN964" s="37">
        <v>427245.58</v>
      </c>
      <c r="AO964" s="37">
        <v>435790.49</v>
      </c>
      <c r="AP964" s="37">
        <v>444506.3</v>
      </c>
      <c r="AQ964" s="37">
        <v>453396.43</v>
      </c>
      <c r="AR964" s="37">
        <v>4154125.39</v>
      </c>
      <c r="AS964" s="37">
        <v>9631333.6999999993</v>
      </c>
      <c r="AT964" s="37">
        <v>0</v>
      </c>
      <c r="AU964" s="37">
        <v>0</v>
      </c>
      <c r="AV964" s="37">
        <v>0</v>
      </c>
      <c r="AW964" s="37">
        <v>0</v>
      </c>
      <c r="AX964" s="37">
        <v>0</v>
      </c>
      <c r="AY964" s="37">
        <v>0</v>
      </c>
      <c r="AZ964" s="37">
        <v>0</v>
      </c>
      <c r="BA964" s="37">
        <v>0</v>
      </c>
      <c r="BB964" s="37">
        <v>0</v>
      </c>
      <c r="BC964" s="37">
        <v>0</v>
      </c>
      <c r="BD964" s="37">
        <v>0</v>
      </c>
      <c r="BE964" s="37">
        <v>77600</v>
      </c>
      <c r="BF964" s="37">
        <v>1511370</v>
      </c>
      <c r="BG964" s="37">
        <v>5070000</v>
      </c>
      <c r="BH964" s="37">
        <v>0</v>
      </c>
      <c r="BI964" s="37">
        <v>0</v>
      </c>
      <c r="BJ964" s="37">
        <v>0</v>
      </c>
      <c r="BK964" s="37">
        <v>0</v>
      </c>
      <c r="BL964" s="37">
        <v>0</v>
      </c>
      <c r="BM964" s="37">
        <v>0</v>
      </c>
      <c r="BN964" s="37">
        <v>0</v>
      </c>
      <c r="BO964" s="37">
        <v>0</v>
      </c>
      <c r="BP964" s="37">
        <v>6581370</v>
      </c>
      <c r="BQ964" s="37">
        <v>45720</v>
      </c>
      <c r="BR964" s="37">
        <v>225000</v>
      </c>
      <c r="BS964" s="37">
        <v>3380000</v>
      </c>
      <c r="BT964" s="37">
        <v>0</v>
      </c>
      <c r="BU964" s="37">
        <v>0</v>
      </c>
      <c r="BV964" s="37">
        <v>0</v>
      </c>
      <c r="BW964" s="37">
        <v>0</v>
      </c>
      <c r="BX964" s="37">
        <v>0</v>
      </c>
      <c r="BY964" s="37">
        <v>0</v>
      </c>
      <c r="BZ964" s="37">
        <v>0</v>
      </c>
      <c r="CA964" s="37">
        <v>0</v>
      </c>
      <c r="CB964" s="37">
        <v>3605000</v>
      </c>
      <c r="CC964" s="37">
        <v>25213</v>
      </c>
      <c r="CD964" s="37">
        <v>10000</v>
      </c>
      <c r="CE964" s="37">
        <v>0</v>
      </c>
      <c r="CF964" s="37">
        <v>0</v>
      </c>
      <c r="CG964" s="37">
        <v>0</v>
      </c>
      <c r="CH964" s="37">
        <v>0</v>
      </c>
      <c r="CI964" s="37">
        <v>0</v>
      </c>
      <c r="CJ964" s="37">
        <v>0</v>
      </c>
      <c r="CK964" s="37">
        <v>0</v>
      </c>
      <c r="CL964" s="37">
        <v>0</v>
      </c>
      <c r="CM964" s="37">
        <v>0</v>
      </c>
      <c r="CN964" s="37">
        <v>10000</v>
      </c>
      <c r="CO964" s="37">
        <v>100000</v>
      </c>
      <c r="CP964" s="37">
        <v>0</v>
      </c>
      <c r="CQ964" s="37">
        <v>0</v>
      </c>
      <c r="CR964" s="37">
        <v>0</v>
      </c>
      <c r="CS964" s="37">
        <v>0</v>
      </c>
      <c r="CT964" s="37">
        <v>0</v>
      </c>
      <c r="CU964" s="37">
        <v>0</v>
      </c>
      <c r="CV964" s="37">
        <v>0</v>
      </c>
      <c r="CW964" s="37">
        <v>0</v>
      </c>
      <c r="CX964" s="37">
        <v>0</v>
      </c>
      <c r="CY964" s="37">
        <v>0</v>
      </c>
      <c r="CZ964" s="37">
        <v>0</v>
      </c>
      <c r="DA964" s="37">
        <v>298090</v>
      </c>
      <c r="DB964" s="37">
        <v>0</v>
      </c>
      <c r="DC964" s="37">
        <v>0</v>
      </c>
      <c r="DD964" s="37">
        <v>0</v>
      </c>
      <c r="DE964" s="37">
        <v>0</v>
      </c>
      <c r="DF964" s="37">
        <v>0</v>
      </c>
      <c r="DG964" s="37">
        <v>0</v>
      </c>
      <c r="DH964" s="37">
        <v>0</v>
      </c>
      <c r="DI964" s="37">
        <v>0</v>
      </c>
      <c r="DJ964" s="37">
        <v>0</v>
      </c>
      <c r="DK964" s="37">
        <v>0</v>
      </c>
      <c r="DL964" s="37">
        <v>0</v>
      </c>
      <c r="DM964" s="37">
        <v>67764</v>
      </c>
      <c r="DN964" s="37">
        <v>0</v>
      </c>
      <c r="DO964" s="37">
        <v>0</v>
      </c>
      <c r="DP964" s="37">
        <v>0</v>
      </c>
      <c r="DQ964" s="37">
        <v>0</v>
      </c>
      <c r="DR964" s="37">
        <v>0</v>
      </c>
      <c r="DS964" s="37">
        <v>0</v>
      </c>
      <c r="DT964" s="37">
        <v>0</v>
      </c>
      <c r="DU964" s="37">
        <v>0</v>
      </c>
      <c r="DV964" s="37">
        <v>0</v>
      </c>
      <c r="DW964" s="37">
        <v>0</v>
      </c>
      <c r="DX964" s="37">
        <v>0</v>
      </c>
      <c r="DY964" s="37">
        <v>0</v>
      </c>
      <c r="DZ964" s="37">
        <v>0</v>
      </c>
      <c r="EA964" s="37">
        <v>0</v>
      </c>
      <c r="EB964" s="37">
        <v>0</v>
      </c>
      <c r="EC964" s="37">
        <v>0</v>
      </c>
      <c r="ED964" s="37">
        <v>0</v>
      </c>
      <c r="EE964" s="37">
        <v>0</v>
      </c>
      <c r="EF964" s="37">
        <v>0</v>
      </c>
      <c r="EG964" s="37">
        <v>0</v>
      </c>
      <c r="EH964" s="37">
        <v>0</v>
      </c>
      <c r="EI964" s="37">
        <v>0</v>
      </c>
      <c r="EJ964" s="37">
        <v>0</v>
      </c>
      <c r="EK964" s="161" t="s">
        <v>3371</v>
      </c>
      <c r="EL964" s="294" t="s">
        <v>1124</v>
      </c>
    </row>
    <row r="965" spans="1:142" ht="15" customHeight="1" x14ac:dyDescent="0.35">
      <c r="A965" s="34"/>
      <c r="B965" s="313">
        <v>37250</v>
      </c>
      <c r="C965" s="8" t="s">
        <v>324</v>
      </c>
      <c r="D965" s="18">
        <v>4</v>
      </c>
      <c r="E965" s="155">
        <v>103178</v>
      </c>
      <c r="F965" s="36">
        <v>32882</v>
      </c>
      <c r="G965" s="37">
        <v>86073</v>
      </c>
      <c r="H965" s="37">
        <v>86073</v>
      </c>
      <c r="I965" s="37">
        <v>71177</v>
      </c>
      <c r="J965" s="37">
        <v>71177</v>
      </c>
      <c r="K965" s="37">
        <v>5158.9000000000005</v>
      </c>
      <c r="L965" s="37">
        <v>1644.1000000000001</v>
      </c>
      <c r="M965" s="37">
        <v>265586.90000000002</v>
      </c>
      <c r="N965" s="37">
        <v>191776.1</v>
      </c>
      <c r="O965" s="37">
        <v>0</v>
      </c>
      <c r="P965" s="37">
        <v>0</v>
      </c>
      <c r="Q965" s="37">
        <v>103311</v>
      </c>
      <c r="R965" s="37">
        <v>96150</v>
      </c>
      <c r="S965" s="37">
        <v>48181</v>
      </c>
      <c r="T965" s="37">
        <v>0</v>
      </c>
      <c r="U965" s="37">
        <v>36069</v>
      </c>
      <c r="V965" s="37">
        <v>89525</v>
      </c>
      <c r="W965" s="37">
        <v>78025.900000000023</v>
      </c>
      <c r="X965" s="37">
        <v>6101.1000000000058</v>
      </c>
      <c r="Y965" s="37">
        <v>0</v>
      </c>
      <c r="Z965" s="37">
        <v>0</v>
      </c>
      <c r="AA965" s="37">
        <v>265586.90000000002</v>
      </c>
      <c r="AB965" s="37">
        <v>191776.1</v>
      </c>
      <c r="AC965" s="37">
        <v>0</v>
      </c>
      <c r="AD965" s="37">
        <v>0</v>
      </c>
      <c r="AE965" s="37">
        <v>12529</v>
      </c>
      <c r="AF965" s="168">
        <v>0.02</v>
      </c>
      <c r="AG965" s="37">
        <v>17379094.719999999</v>
      </c>
      <c r="AH965" s="37">
        <v>124397.87</v>
      </c>
      <c r="AI965" s="37">
        <v>127421.53</v>
      </c>
      <c r="AJ965" s="37">
        <v>129423.55</v>
      </c>
      <c r="AK965" s="37">
        <v>132012.01999999999</v>
      </c>
      <c r="AL965" s="37">
        <v>134652.26</v>
      </c>
      <c r="AM965" s="37">
        <v>137345.31</v>
      </c>
      <c r="AN965" s="37">
        <v>140092.21</v>
      </c>
      <c r="AO965" s="37">
        <v>142894.06</v>
      </c>
      <c r="AP965" s="37">
        <v>145751.94</v>
      </c>
      <c r="AQ965" s="37">
        <v>148666.98000000001</v>
      </c>
      <c r="AR965" s="37">
        <v>1362657.73</v>
      </c>
      <c r="AS965" s="37">
        <v>0</v>
      </c>
      <c r="AT965" s="37">
        <v>0</v>
      </c>
      <c r="AU965" s="37">
        <v>218863.54</v>
      </c>
      <c r="AV965" s="37">
        <v>223787.54</v>
      </c>
      <c r="AW965" s="37">
        <v>0</v>
      </c>
      <c r="AX965" s="37">
        <v>0</v>
      </c>
      <c r="AY965" s="37">
        <v>0</v>
      </c>
      <c r="AZ965" s="37">
        <v>0</v>
      </c>
      <c r="BA965" s="37">
        <v>0</v>
      </c>
      <c r="BB965" s="37">
        <v>0</v>
      </c>
      <c r="BC965" s="37">
        <v>0</v>
      </c>
      <c r="BD965" s="37">
        <v>442651.08</v>
      </c>
      <c r="BE965" s="37">
        <v>2108</v>
      </c>
      <c r="BF965" s="37">
        <v>29327.258059359909</v>
      </c>
      <c r="BG965" s="37">
        <v>31611.082884091404</v>
      </c>
      <c r="BH965" s="37">
        <v>38914.642111185371</v>
      </c>
      <c r="BI965" s="37">
        <v>46218.216945363369</v>
      </c>
      <c r="BJ965" s="37">
        <v>5019.7344023624628</v>
      </c>
      <c r="BK965" s="37">
        <v>24307.523656997415</v>
      </c>
      <c r="BL965" s="37">
        <v>31611.082884091404</v>
      </c>
      <c r="BM965" s="37">
        <v>38914.642111185371</v>
      </c>
      <c r="BN965" s="37">
        <v>46218.216945363369</v>
      </c>
      <c r="BO965" s="37">
        <v>0</v>
      </c>
      <c r="BP965" s="37">
        <v>292142.40000000008</v>
      </c>
      <c r="BQ965" s="37">
        <v>0</v>
      </c>
      <c r="BR965" s="37">
        <v>0</v>
      </c>
      <c r="BS965" s="37">
        <v>0</v>
      </c>
      <c r="BT965" s="37">
        <v>0</v>
      </c>
      <c r="BU965" s="37">
        <v>0</v>
      </c>
      <c r="BV965" s="37">
        <v>0</v>
      </c>
      <c r="BW965" s="37">
        <v>0</v>
      </c>
      <c r="BX965" s="37">
        <v>0</v>
      </c>
      <c r="BY965" s="37">
        <v>0</v>
      </c>
      <c r="BZ965" s="37">
        <v>0</v>
      </c>
      <c r="CA965" s="37">
        <v>0</v>
      </c>
      <c r="CB965" s="37">
        <v>0</v>
      </c>
      <c r="CC965" s="37">
        <v>0</v>
      </c>
      <c r="CD965" s="37">
        <v>0</v>
      </c>
      <c r="CE965" s="37">
        <v>0</v>
      </c>
      <c r="CF965" s="37">
        <v>0</v>
      </c>
      <c r="CG965" s="37">
        <v>0</v>
      </c>
      <c r="CH965" s="37">
        <v>0</v>
      </c>
      <c r="CI965" s="37">
        <v>0</v>
      </c>
      <c r="CJ965" s="37">
        <v>0</v>
      </c>
      <c r="CK965" s="37">
        <v>0</v>
      </c>
      <c r="CL965" s="37">
        <v>0</v>
      </c>
      <c r="CM965" s="37">
        <v>0</v>
      </c>
      <c r="CN965" s="37">
        <v>0</v>
      </c>
      <c r="CO965" s="37">
        <v>0</v>
      </c>
      <c r="CP965" s="37">
        <v>0</v>
      </c>
      <c r="CQ965" s="37">
        <v>218863.54</v>
      </c>
      <c r="CR965" s="37">
        <v>223787.54</v>
      </c>
      <c r="CS965" s="37">
        <v>0</v>
      </c>
      <c r="CT965" s="37">
        <v>0</v>
      </c>
      <c r="CU965" s="37">
        <v>0</v>
      </c>
      <c r="CV965" s="37">
        <v>0</v>
      </c>
      <c r="CW965" s="37">
        <v>0</v>
      </c>
      <c r="CX965" s="37">
        <v>0</v>
      </c>
      <c r="CY965" s="37">
        <v>0</v>
      </c>
      <c r="CZ965" s="37">
        <v>442651.08</v>
      </c>
      <c r="DA965" s="37">
        <v>0</v>
      </c>
      <c r="DB965" s="37">
        <v>0</v>
      </c>
      <c r="DC965" s="37">
        <v>0</v>
      </c>
      <c r="DD965" s="37">
        <v>0</v>
      </c>
      <c r="DE965" s="37">
        <v>0</v>
      </c>
      <c r="DF965" s="37">
        <v>0</v>
      </c>
      <c r="DG965" s="37">
        <v>0</v>
      </c>
      <c r="DH965" s="37">
        <v>0</v>
      </c>
      <c r="DI965" s="37">
        <v>0</v>
      </c>
      <c r="DJ965" s="37">
        <v>0</v>
      </c>
      <c r="DK965" s="37">
        <v>0</v>
      </c>
      <c r="DL965" s="37">
        <v>0</v>
      </c>
      <c r="DM965" s="37">
        <v>0</v>
      </c>
      <c r="DN965" s="37">
        <v>0</v>
      </c>
      <c r="DO965" s="37">
        <v>0</v>
      </c>
      <c r="DP965" s="37">
        <v>0</v>
      </c>
      <c r="DQ965" s="37">
        <v>0</v>
      </c>
      <c r="DR965" s="37">
        <v>0</v>
      </c>
      <c r="DS965" s="37">
        <v>0</v>
      </c>
      <c r="DT965" s="37">
        <v>0</v>
      </c>
      <c r="DU965" s="37">
        <v>0</v>
      </c>
      <c r="DV965" s="37">
        <v>0</v>
      </c>
      <c r="DW965" s="37">
        <v>0</v>
      </c>
      <c r="DX965" s="37">
        <v>0</v>
      </c>
      <c r="DY965" s="37">
        <v>0</v>
      </c>
      <c r="DZ965" s="37">
        <v>0</v>
      </c>
      <c r="EA965" s="37">
        <v>0</v>
      </c>
      <c r="EB965" s="37">
        <v>0</v>
      </c>
      <c r="EC965" s="37">
        <v>0</v>
      </c>
      <c r="ED965" s="37">
        <v>0</v>
      </c>
      <c r="EE965" s="37">
        <v>0</v>
      </c>
      <c r="EF965" s="37">
        <v>0</v>
      </c>
      <c r="EG965" s="37">
        <v>0</v>
      </c>
      <c r="EH965" s="37">
        <v>0</v>
      </c>
      <c r="EI965" s="37">
        <v>0</v>
      </c>
      <c r="EJ965" s="37">
        <v>0</v>
      </c>
      <c r="EK965" s="161" t="s">
        <v>3375</v>
      </c>
      <c r="EL965" s="294" t="s">
        <v>1124</v>
      </c>
    </row>
    <row r="966" spans="1:142" ht="15" customHeight="1" x14ac:dyDescent="0.35">
      <c r="A966" s="34"/>
      <c r="B966" s="313">
        <v>19082</v>
      </c>
      <c r="C966" s="8" t="s">
        <v>132</v>
      </c>
      <c r="D966" s="18">
        <v>12</v>
      </c>
      <c r="E966" s="155">
        <v>214364</v>
      </c>
      <c r="F966" s="36">
        <v>44228</v>
      </c>
      <c r="G966" s="37">
        <v>50809</v>
      </c>
      <c r="H966" s="37">
        <v>9105</v>
      </c>
      <c r="I966" s="37">
        <v>67200</v>
      </c>
      <c r="J966" s="37">
        <v>16300</v>
      </c>
      <c r="K966" s="37">
        <v>32154.6</v>
      </c>
      <c r="L966" s="37">
        <v>6634.2</v>
      </c>
      <c r="M966" s="37">
        <v>364527.6</v>
      </c>
      <c r="N966" s="37">
        <v>76267.199999999997</v>
      </c>
      <c r="O966" s="37">
        <v>0</v>
      </c>
      <c r="P966" s="37">
        <v>0</v>
      </c>
      <c r="Q966" s="37">
        <v>315060</v>
      </c>
      <c r="R966" s="37">
        <v>104153</v>
      </c>
      <c r="S966" s="37">
        <v>0</v>
      </c>
      <c r="T966" s="37">
        <v>0</v>
      </c>
      <c r="U966" s="37">
        <v>9845</v>
      </c>
      <c r="V966" s="37">
        <v>12305</v>
      </c>
      <c r="W966" s="37">
        <v>0</v>
      </c>
      <c r="X966" s="37">
        <v>0</v>
      </c>
      <c r="Y966" s="37">
        <v>0</v>
      </c>
      <c r="Z966" s="37">
        <v>0</v>
      </c>
      <c r="AA966" s="37">
        <v>324905</v>
      </c>
      <c r="AB966" s="37">
        <v>116458</v>
      </c>
      <c r="AC966" s="37">
        <v>568</v>
      </c>
      <c r="AD966" s="37">
        <v>0</v>
      </c>
      <c r="AE966" s="37">
        <v>0</v>
      </c>
      <c r="AF966" s="168">
        <v>0.02</v>
      </c>
      <c r="AG966" s="37">
        <v>34649587.420000002</v>
      </c>
      <c r="AH966" s="37">
        <v>296181.3</v>
      </c>
      <c r="AI966" s="37">
        <v>302104.93</v>
      </c>
      <c r="AJ966" s="37">
        <v>308147.02</v>
      </c>
      <c r="AK966" s="37">
        <v>314309.96999999997</v>
      </c>
      <c r="AL966" s="37">
        <v>320596.15999999997</v>
      </c>
      <c r="AM966" s="37">
        <v>327008.09000000003</v>
      </c>
      <c r="AN966" s="37">
        <v>333548.25</v>
      </c>
      <c r="AO966" s="37">
        <v>340219.21</v>
      </c>
      <c r="AP966" s="37">
        <v>347023.6</v>
      </c>
      <c r="AQ966" s="37">
        <v>353964.07</v>
      </c>
      <c r="AR966" s="37">
        <v>3243102.5999999996</v>
      </c>
      <c r="AS966" s="37">
        <v>314348.17</v>
      </c>
      <c r="AT966" s="37">
        <v>0</v>
      </c>
      <c r="AU966" s="37">
        <v>0</v>
      </c>
      <c r="AV966" s="37">
        <v>0</v>
      </c>
      <c r="AW966" s="37">
        <v>0</v>
      </c>
      <c r="AX966" s="37">
        <v>0</v>
      </c>
      <c r="AY966" s="37">
        <v>0</v>
      </c>
      <c r="AZ966" s="37">
        <v>0</v>
      </c>
      <c r="BA966" s="37">
        <v>0</v>
      </c>
      <c r="BB966" s="37">
        <v>0</v>
      </c>
      <c r="BC966" s="37">
        <v>0</v>
      </c>
      <c r="BD966" s="37">
        <v>0</v>
      </c>
      <c r="BE966" s="37">
        <v>0</v>
      </c>
      <c r="BF966" s="37">
        <v>0</v>
      </c>
      <c r="BG966" s="37">
        <v>199197.68961676833</v>
      </c>
      <c r="BH966" s="37">
        <v>245221.17224628993</v>
      </c>
      <c r="BI966" s="37">
        <v>291244.75322407414</v>
      </c>
      <c r="BJ966" s="37">
        <v>31631.927925621036</v>
      </c>
      <c r="BK966" s="37">
        <v>153174.20698724658</v>
      </c>
      <c r="BL966" s="37">
        <v>0</v>
      </c>
      <c r="BM966" s="37">
        <v>0</v>
      </c>
      <c r="BN966" s="37">
        <v>0</v>
      </c>
      <c r="BO966" s="37">
        <v>0</v>
      </c>
      <c r="BP966" s="37">
        <v>920469.75</v>
      </c>
      <c r="BQ966" s="37">
        <v>0</v>
      </c>
      <c r="BR966" s="37">
        <v>0</v>
      </c>
      <c r="BS966" s="37">
        <v>129899.34019283652</v>
      </c>
      <c r="BT966" s="37">
        <v>159911.83701673581</v>
      </c>
      <c r="BU966" s="37">
        <v>189924.39797478463</v>
      </c>
      <c r="BV966" s="37">
        <v>20627.581446705906</v>
      </c>
      <c r="BW966" s="37">
        <v>99886.843368937189</v>
      </c>
      <c r="BX966" s="37">
        <v>0</v>
      </c>
      <c r="BY966" s="37">
        <v>0</v>
      </c>
      <c r="BZ966" s="37">
        <v>0</v>
      </c>
      <c r="CA966" s="37">
        <v>0</v>
      </c>
      <c r="CB966" s="37">
        <v>600250</v>
      </c>
      <c r="CC966" s="37">
        <v>0</v>
      </c>
      <c r="CD966" s="37">
        <v>0</v>
      </c>
      <c r="CE966" s="37">
        <v>0</v>
      </c>
      <c r="CF966" s="37">
        <v>0</v>
      </c>
      <c r="CG966" s="37">
        <v>0</v>
      </c>
      <c r="CH966" s="37">
        <v>0</v>
      </c>
      <c r="CI966" s="37">
        <v>0</v>
      </c>
      <c r="CJ966" s="37">
        <v>0</v>
      </c>
      <c r="CK966" s="37">
        <v>0</v>
      </c>
      <c r="CL966" s="37">
        <v>0</v>
      </c>
      <c r="CM966" s="37">
        <v>0</v>
      </c>
      <c r="CN966" s="37">
        <v>0</v>
      </c>
      <c r="CO966" s="37">
        <v>0</v>
      </c>
      <c r="CP966" s="37">
        <v>0</v>
      </c>
      <c r="CQ966" s="37">
        <v>0</v>
      </c>
      <c r="CR966" s="37">
        <v>0</v>
      </c>
      <c r="CS966" s="37">
        <v>0</v>
      </c>
      <c r="CT966" s="37">
        <v>0</v>
      </c>
      <c r="CU966" s="37">
        <v>0</v>
      </c>
      <c r="CV966" s="37">
        <v>0</v>
      </c>
      <c r="CW966" s="37">
        <v>0</v>
      </c>
      <c r="CX966" s="37">
        <v>0</v>
      </c>
      <c r="CY966" s="37">
        <v>0</v>
      </c>
      <c r="CZ966" s="37">
        <v>0</v>
      </c>
      <c r="DA966" s="37">
        <v>0</v>
      </c>
      <c r="DB966" s="37">
        <v>0</v>
      </c>
      <c r="DC966" s="37">
        <v>0</v>
      </c>
      <c r="DD966" s="37">
        <v>0</v>
      </c>
      <c r="DE966" s="37">
        <v>0</v>
      </c>
      <c r="DF966" s="37">
        <v>0</v>
      </c>
      <c r="DG966" s="37">
        <v>0</v>
      </c>
      <c r="DH966" s="37">
        <v>0</v>
      </c>
      <c r="DI966" s="37">
        <v>0</v>
      </c>
      <c r="DJ966" s="37">
        <v>0</v>
      </c>
      <c r="DK966" s="37">
        <v>0</v>
      </c>
      <c r="DL966" s="37">
        <v>0</v>
      </c>
      <c r="DM966" s="37">
        <v>0</v>
      </c>
      <c r="DN966" s="37">
        <v>0</v>
      </c>
      <c r="DO966" s="37">
        <v>0</v>
      </c>
      <c r="DP966" s="37">
        <v>0</v>
      </c>
      <c r="DQ966" s="37">
        <v>0</v>
      </c>
      <c r="DR966" s="37">
        <v>0</v>
      </c>
      <c r="DS966" s="37">
        <v>0</v>
      </c>
      <c r="DT966" s="37">
        <v>0</v>
      </c>
      <c r="DU966" s="37">
        <v>0</v>
      </c>
      <c r="DV966" s="37">
        <v>0</v>
      </c>
      <c r="DW966" s="37">
        <v>0</v>
      </c>
      <c r="DX966" s="37">
        <v>0</v>
      </c>
      <c r="DY966" s="37">
        <v>0</v>
      </c>
      <c r="DZ966" s="37">
        <v>0</v>
      </c>
      <c r="EA966" s="37">
        <v>0</v>
      </c>
      <c r="EB966" s="37">
        <v>0</v>
      </c>
      <c r="EC966" s="37">
        <v>0</v>
      </c>
      <c r="ED966" s="37">
        <v>0</v>
      </c>
      <c r="EE966" s="37">
        <v>0</v>
      </c>
      <c r="EF966" s="37">
        <v>0</v>
      </c>
      <c r="EG966" s="37">
        <v>0</v>
      </c>
      <c r="EH966" s="37">
        <v>0</v>
      </c>
      <c r="EI966" s="37">
        <v>0</v>
      </c>
      <c r="EJ966" s="37">
        <v>0</v>
      </c>
      <c r="EK966" s="161" t="s">
        <v>3378</v>
      </c>
      <c r="EL966" s="294" t="s">
        <v>1124</v>
      </c>
    </row>
    <row r="967" spans="1:142" ht="15" customHeight="1" x14ac:dyDescent="0.35">
      <c r="A967" s="34"/>
      <c r="B967" s="313">
        <v>34128</v>
      </c>
      <c r="C967" s="8" t="s">
        <v>301</v>
      </c>
      <c r="D967" s="18">
        <v>3</v>
      </c>
      <c r="E967" s="155">
        <v>352021</v>
      </c>
      <c r="F967" s="36">
        <v>421476</v>
      </c>
      <c r="G967" s="37">
        <v>27742</v>
      </c>
      <c r="H967" s="37">
        <v>27584</v>
      </c>
      <c r="I967" s="37">
        <v>134555</v>
      </c>
      <c r="J967" s="37">
        <v>117800</v>
      </c>
      <c r="K967" s="37">
        <v>52800</v>
      </c>
      <c r="L967" s="37">
        <v>63200</v>
      </c>
      <c r="M967" s="37">
        <v>567118</v>
      </c>
      <c r="N967" s="37">
        <v>630060</v>
      </c>
      <c r="O967" s="37">
        <v>39395</v>
      </c>
      <c r="P967" s="37">
        <v>0</v>
      </c>
      <c r="Q967" s="37">
        <v>401290</v>
      </c>
      <c r="R967" s="37">
        <v>368747</v>
      </c>
      <c r="S967" s="37">
        <v>3800</v>
      </c>
      <c r="T967" s="37">
        <v>85538</v>
      </c>
      <c r="U967" s="37">
        <v>1686</v>
      </c>
      <c r="V967" s="37">
        <v>2404</v>
      </c>
      <c r="W967" s="37">
        <v>120947</v>
      </c>
      <c r="X967" s="37">
        <v>173371</v>
      </c>
      <c r="Y967" s="37">
        <v>0</v>
      </c>
      <c r="Z967" s="37">
        <v>0</v>
      </c>
      <c r="AA967" s="37">
        <v>567118</v>
      </c>
      <c r="AB967" s="37">
        <v>630060</v>
      </c>
      <c r="AC967" s="37">
        <v>0</v>
      </c>
      <c r="AD967" s="37">
        <v>0</v>
      </c>
      <c r="AE967" s="37">
        <v>0</v>
      </c>
      <c r="AF967" s="168">
        <v>0.02</v>
      </c>
      <c r="AG967" s="37">
        <v>123122417.19</v>
      </c>
      <c r="AH967" s="37">
        <v>1476409.86</v>
      </c>
      <c r="AI967" s="37">
        <v>1506978.46</v>
      </c>
      <c r="AJ967" s="37">
        <v>1255897.9099999999</v>
      </c>
      <c r="AK967" s="37">
        <v>1282098.3</v>
      </c>
      <c r="AL967" s="37">
        <v>1347487.17</v>
      </c>
      <c r="AM967" s="37">
        <v>1202134.07</v>
      </c>
      <c r="AN967" s="37">
        <v>1226176.75</v>
      </c>
      <c r="AO967" s="37">
        <v>1250700.28</v>
      </c>
      <c r="AP967" s="37">
        <v>1275714.29</v>
      </c>
      <c r="AQ967" s="37">
        <v>1301228.58</v>
      </c>
      <c r="AR967" s="37">
        <v>13124825.670000002</v>
      </c>
      <c r="AS967" s="37">
        <v>1128517.72</v>
      </c>
      <c r="AT967" s="37">
        <v>448815.1</v>
      </c>
      <c r="AU967" s="37">
        <v>0</v>
      </c>
      <c r="AV967" s="37">
        <v>0</v>
      </c>
      <c r="AW967" s="37">
        <v>0</v>
      </c>
      <c r="AX967" s="37">
        <v>0</v>
      </c>
      <c r="AY967" s="37">
        <v>0</v>
      </c>
      <c r="AZ967" s="37">
        <v>0</v>
      </c>
      <c r="BA967" s="37">
        <v>0</v>
      </c>
      <c r="BB967" s="37">
        <v>0</v>
      </c>
      <c r="BC967" s="37">
        <v>0</v>
      </c>
      <c r="BD967" s="37">
        <v>448815.1</v>
      </c>
      <c r="BE967" s="37">
        <v>1711219</v>
      </c>
      <c r="BF967" s="37">
        <v>1283554</v>
      </c>
      <c r="BG967" s="37">
        <v>709534</v>
      </c>
      <c r="BH967" s="37">
        <v>0</v>
      </c>
      <c r="BI967" s="37">
        <v>0</v>
      </c>
      <c r="BJ967" s="37">
        <v>0</v>
      </c>
      <c r="BK967" s="37">
        <v>0</v>
      </c>
      <c r="BL967" s="37">
        <v>0</v>
      </c>
      <c r="BM967" s="37">
        <v>0</v>
      </c>
      <c r="BN967" s="37">
        <v>0</v>
      </c>
      <c r="BO967" s="37">
        <v>0</v>
      </c>
      <c r="BP967" s="37">
        <v>1993088</v>
      </c>
      <c r="BQ967" s="37">
        <v>350491</v>
      </c>
      <c r="BR967" s="37">
        <v>320889</v>
      </c>
      <c r="BS967" s="37">
        <v>177384</v>
      </c>
      <c r="BT967" s="37">
        <v>0</v>
      </c>
      <c r="BU967" s="37">
        <v>0</v>
      </c>
      <c r="BV967" s="37">
        <v>0</v>
      </c>
      <c r="BW967" s="37">
        <v>0</v>
      </c>
      <c r="BX967" s="37">
        <v>0</v>
      </c>
      <c r="BY967" s="37">
        <v>0</v>
      </c>
      <c r="BZ967" s="37">
        <v>0</v>
      </c>
      <c r="CA967" s="37">
        <v>0</v>
      </c>
      <c r="CB967" s="37">
        <v>498273</v>
      </c>
      <c r="CC967" s="37">
        <v>0</v>
      </c>
      <c r="CD967" s="37">
        <v>0</v>
      </c>
      <c r="CE967" s="37">
        <v>0</v>
      </c>
      <c r="CF967" s="37">
        <v>0</v>
      </c>
      <c r="CG967" s="37">
        <v>0</v>
      </c>
      <c r="CH967" s="37">
        <v>0</v>
      </c>
      <c r="CI967" s="37">
        <v>0</v>
      </c>
      <c r="CJ967" s="37">
        <v>0</v>
      </c>
      <c r="CK967" s="37">
        <v>0</v>
      </c>
      <c r="CL967" s="37">
        <v>0</v>
      </c>
      <c r="CM967" s="37">
        <v>0</v>
      </c>
      <c r="CN967" s="37">
        <v>0</v>
      </c>
      <c r="CO967" s="37">
        <v>0</v>
      </c>
      <c r="CP967" s="37">
        <v>0</v>
      </c>
      <c r="CQ967" s="37">
        <v>0</v>
      </c>
      <c r="CR967" s="37">
        <v>0</v>
      </c>
      <c r="CS967" s="37">
        <v>0</v>
      </c>
      <c r="CT967" s="37">
        <v>0</v>
      </c>
      <c r="CU967" s="37">
        <v>0</v>
      </c>
      <c r="CV967" s="37">
        <v>0</v>
      </c>
      <c r="CW967" s="37">
        <v>0</v>
      </c>
      <c r="CX967" s="37">
        <v>0</v>
      </c>
      <c r="CY967" s="37">
        <v>0</v>
      </c>
      <c r="CZ967" s="37">
        <v>0</v>
      </c>
      <c r="DA967" s="37">
        <v>0</v>
      </c>
      <c r="DB967" s="37">
        <v>0</v>
      </c>
      <c r="DC967" s="37">
        <v>0</v>
      </c>
      <c r="DD967" s="37">
        <v>0</v>
      </c>
      <c r="DE967" s="37">
        <v>0</v>
      </c>
      <c r="DF967" s="37">
        <v>0</v>
      </c>
      <c r="DG967" s="37">
        <v>0</v>
      </c>
      <c r="DH967" s="37">
        <v>0</v>
      </c>
      <c r="DI967" s="37">
        <v>0</v>
      </c>
      <c r="DJ967" s="37">
        <v>0</v>
      </c>
      <c r="DK967" s="37">
        <v>0</v>
      </c>
      <c r="DL967" s="37">
        <v>0</v>
      </c>
      <c r="DM967" s="37">
        <v>0</v>
      </c>
      <c r="DN967" s="37">
        <v>0</v>
      </c>
      <c r="DO967" s="37">
        <v>0</v>
      </c>
      <c r="DP967" s="37">
        <v>0</v>
      </c>
      <c r="DQ967" s="37">
        <v>0</v>
      </c>
      <c r="DR967" s="37">
        <v>0</v>
      </c>
      <c r="DS967" s="37">
        <v>0</v>
      </c>
      <c r="DT967" s="37">
        <v>0</v>
      </c>
      <c r="DU967" s="37">
        <v>0</v>
      </c>
      <c r="DV967" s="37">
        <v>0</v>
      </c>
      <c r="DW967" s="37">
        <v>0</v>
      </c>
      <c r="DX967" s="37">
        <v>0</v>
      </c>
      <c r="DY967" s="37">
        <v>0</v>
      </c>
      <c r="DZ967" s="37">
        <v>0</v>
      </c>
      <c r="EA967" s="37">
        <v>0</v>
      </c>
      <c r="EB967" s="37">
        <v>0</v>
      </c>
      <c r="EC967" s="37">
        <v>0</v>
      </c>
      <c r="ED967" s="37">
        <v>0</v>
      </c>
      <c r="EE967" s="37">
        <v>0</v>
      </c>
      <c r="EF967" s="37">
        <v>0</v>
      </c>
      <c r="EG967" s="37">
        <v>0</v>
      </c>
      <c r="EH967" s="37">
        <v>0</v>
      </c>
      <c r="EI967" s="37">
        <v>0</v>
      </c>
      <c r="EJ967" s="37">
        <v>0</v>
      </c>
      <c r="EK967" s="161" t="s">
        <v>3382</v>
      </c>
      <c r="EL967" s="294" t="s">
        <v>1124</v>
      </c>
    </row>
    <row r="968" spans="1:142" ht="15" customHeight="1" x14ac:dyDescent="0.35">
      <c r="A968" s="34"/>
      <c r="B968" s="313">
        <v>68055</v>
      </c>
      <c r="C968" s="8" t="s">
        <v>683</v>
      </c>
      <c r="D968" s="18">
        <v>16</v>
      </c>
      <c r="E968" s="155">
        <v>493781</v>
      </c>
      <c r="F968" s="36">
        <v>466188</v>
      </c>
      <c r="G968" s="37">
        <v>33115</v>
      </c>
      <c r="H968" s="37">
        <v>72340</v>
      </c>
      <c r="I968" s="37">
        <v>85872.49</v>
      </c>
      <c r="J968" s="37">
        <v>179360.17</v>
      </c>
      <c r="K968" s="37">
        <v>74067.149999999994</v>
      </c>
      <c r="L968" s="37">
        <v>69928.2</v>
      </c>
      <c r="M968" s="37">
        <v>686835.64</v>
      </c>
      <c r="N968" s="37">
        <v>787816.37</v>
      </c>
      <c r="O968" s="37">
        <v>138415.19</v>
      </c>
      <c r="P968" s="37">
        <v>72848.179999999993</v>
      </c>
      <c r="Q968" s="37">
        <v>561890.38</v>
      </c>
      <c r="R968" s="37">
        <v>696341.59</v>
      </c>
      <c r="S968" s="37">
        <v>0</v>
      </c>
      <c r="T968" s="37">
        <v>0</v>
      </c>
      <c r="U968" s="37">
        <v>21879</v>
      </c>
      <c r="V968" s="37">
        <v>0</v>
      </c>
      <c r="W968" s="37">
        <v>0</v>
      </c>
      <c r="X968" s="37">
        <v>0</v>
      </c>
      <c r="Y968" s="37">
        <v>0</v>
      </c>
      <c r="Z968" s="37">
        <v>0</v>
      </c>
      <c r="AA968" s="37">
        <v>722184.57000000007</v>
      </c>
      <c r="AB968" s="37">
        <v>769189.77</v>
      </c>
      <c r="AC968" s="37">
        <v>16722</v>
      </c>
      <c r="AD968" s="37">
        <v>0</v>
      </c>
      <c r="AE968" s="37">
        <v>860424</v>
      </c>
      <c r="AF968" s="168">
        <v>0.02</v>
      </c>
      <c r="AG968" s="37">
        <v>118780156.66</v>
      </c>
      <c r="AH968" s="37">
        <v>1044955.28</v>
      </c>
      <c r="AI968" s="37">
        <v>1065854.3799999999</v>
      </c>
      <c r="AJ968" s="37">
        <v>1087171.47</v>
      </c>
      <c r="AK968" s="37">
        <v>1108914.8999999999</v>
      </c>
      <c r="AL968" s="37">
        <v>1131093.2</v>
      </c>
      <c r="AM968" s="37">
        <v>1153715.06</v>
      </c>
      <c r="AN968" s="37">
        <v>1176789.3600000001</v>
      </c>
      <c r="AO968" s="37">
        <v>1200325.1499999999</v>
      </c>
      <c r="AP968" s="37">
        <v>1224331.6499999999</v>
      </c>
      <c r="AQ968" s="37">
        <v>1248818.29</v>
      </c>
      <c r="AR968" s="37">
        <v>11441968.74</v>
      </c>
      <c r="AS968" s="37">
        <v>111569.45</v>
      </c>
      <c r="AT968" s="37">
        <v>0</v>
      </c>
      <c r="AU968" s="37">
        <v>0</v>
      </c>
      <c r="AV968" s="37">
        <v>0</v>
      </c>
      <c r="AW968" s="37">
        <v>0</v>
      </c>
      <c r="AX968" s="37">
        <v>0</v>
      </c>
      <c r="AY968" s="37">
        <v>0</v>
      </c>
      <c r="AZ968" s="37">
        <v>0</v>
      </c>
      <c r="BA968" s="37">
        <v>0</v>
      </c>
      <c r="BB968" s="37">
        <v>0</v>
      </c>
      <c r="BC968" s="37">
        <v>0</v>
      </c>
      <c r="BD968" s="37">
        <v>0</v>
      </c>
      <c r="BE968" s="37">
        <v>801634</v>
      </c>
      <c r="BF968" s="37">
        <v>1087630</v>
      </c>
      <c r="BG968" s="37">
        <v>0</v>
      </c>
      <c r="BH968" s="37">
        <v>0</v>
      </c>
      <c r="BI968" s="37">
        <v>0</v>
      </c>
      <c r="BJ968" s="37">
        <v>0</v>
      </c>
      <c r="BK968" s="37">
        <v>0</v>
      </c>
      <c r="BL968" s="37">
        <v>0</v>
      </c>
      <c r="BM968" s="37">
        <v>0</v>
      </c>
      <c r="BN968" s="37">
        <v>0</v>
      </c>
      <c r="BO968" s="37">
        <v>0</v>
      </c>
      <c r="BP968" s="37">
        <v>1087630</v>
      </c>
      <c r="BQ968" s="37">
        <v>0</v>
      </c>
      <c r="BR968" s="37">
        <v>543815</v>
      </c>
      <c r="BS968" s="37">
        <v>0</v>
      </c>
      <c r="BT968" s="37">
        <v>0</v>
      </c>
      <c r="BU968" s="37">
        <v>0</v>
      </c>
      <c r="BV968" s="37">
        <v>0</v>
      </c>
      <c r="BW968" s="37">
        <v>0</v>
      </c>
      <c r="BX968" s="37">
        <v>0</v>
      </c>
      <c r="BY968" s="37">
        <v>0</v>
      </c>
      <c r="BZ968" s="37">
        <v>0</v>
      </c>
      <c r="CA968" s="37">
        <v>0</v>
      </c>
      <c r="CB968" s="37">
        <v>543815</v>
      </c>
      <c r="CC968" s="37">
        <v>0</v>
      </c>
      <c r="CD968" s="37">
        <v>0</v>
      </c>
      <c r="CE968" s="37">
        <v>0</v>
      </c>
      <c r="CF968" s="37">
        <v>0</v>
      </c>
      <c r="CG968" s="37">
        <v>0</v>
      </c>
      <c r="CH968" s="37">
        <v>0</v>
      </c>
      <c r="CI968" s="37">
        <v>0</v>
      </c>
      <c r="CJ968" s="37">
        <v>0</v>
      </c>
      <c r="CK968" s="37">
        <v>0</v>
      </c>
      <c r="CL968" s="37">
        <v>0</v>
      </c>
      <c r="CM968" s="37">
        <v>0</v>
      </c>
      <c r="CN968" s="37">
        <v>0</v>
      </c>
      <c r="CO968" s="37">
        <v>0</v>
      </c>
      <c r="CP968" s="37">
        <v>0</v>
      </c>
      <c r="CQ968" s="37">
        <v>0</v>
      </c>
      <c r="CR968" s="37">
        <v>0</v>
      </c>
      <c r="CS968" s="37">
        <v>0</v>
      </c>
      <c r="CT968" s="37">
        <v>0</v>
      </c>
      <c r="CU968" s="37">
        <v>0</v>
      </c>
      <c r="CV968" s="37">
        <v>0</v>
      </c>
      <c r="CW968" s="37">
        <v>0</v>
      </c>
      <c r="CX968" s="37">
        <v>0</v>
      </c>
      <c r="CY968" s="37">
        <v>0</v>
      </c>
      <c r="CZ968" s="37">
        <v>0</v>
      </c>
      <c r="DA968" s="37">
        <v>0</v>
      </c>
      <c r="DB968" s="37">
        <v>0</v>
      </c>
      <c r="DC968" s="37">
        <v>0</v>
      </c>
      <c r="DD968" s="37">
        <v>0</v>
      </c>
      <c r="DE968" s="37">
        <v>0</v>
      </c>
      <c r="DF968" s="37">
        <v>0</v>
      </c>
      <c r="DG968" s="37">
        <v>0</v>
      </c>
      <c r="DH968" s="37">
        <v>0</v>
      </c>
      <c r="DI968" s="37">
        <v>0</v>
      </c>
      <c r="DJ968" s="37">
        <v>0</v>
      </c>
      <c r="DK968" s="37">
        <v>0</v>
      </c>
      <c r="DL968" s="37">
        <v>0</v>
      </c>
      <c r="DM968" s="37">
        <v>0</v>
      </c>
      <c r="DN968" s="37">
        <v>0</v>
      </c>
      <c r="DO968" s="37">
        <v>0</v>
      </c>
      <c r="DP968" s="37">
        <v>0</v>
      </c>
      <c r="DQ968" s="37">
        <v>0</v>
      </c>
      <c r="DR968" s="37">
        <v>0</v>
      </c>
      <c r="DS968" s="37">
        <v>0</v>
      </c>
      <c r="DT968" s="37">
        <v>0</v>
      </c>
      <c r="DU968" s="37">
        <v>0</v>
      </c>
      <c r="DV968" s="37">
        <v>0</v>
      </c>
      <c r="DW968" s="37">
        <v>0</v>
      </c>
      <c r="DX968" s="37">
        <v>0</v>
      </c>
      <c r="DY968" s="37">
        <v>0</v>
      </c>
      <c r="DZ968" s="37">
        <v>0</v>
      </c>
      <c r="EA968" s="37">
        <v>0</v>
      </c>
      <c r="EB968" s="37">
        <v>0</v>
      </c>
      <c r="EC968" s="37">
        <v>0</v>
      </c>
      <c r="ED968" s="37">
        <v>0</v>
      </c>
      <c r="EE968" s="37">
        <v>0</v>
      </c>
      <c r="EF968" s="37">
        <v>0</v>
      </c>
      <c r="EG968" s="37">
        <v>0</v>
      </c>
      <c r="EH968" s="37">
        <v>0</v>
      </c>
      <c r="EI968" s="37">
        <v>0</v>
      </c>
      <c r="EJ968" s="37">
        <v>0</v>
      </c>
      <c r="EK968" s="161" t="s">
        <v>1124</v>
      </c>
      <c r="EL968" s="294" t="s">
        <v>1124</v>
      </c>
    </row>
    <row r="969" spans="1:142" ht="15" customHeight="1" x14ac:dyDescent="0.35">
      <c r="A969" s="34"/>
      <c r="B969" s="313">
        <v>39020</v>
      </c>
      <c r="C969" s="8" t="s">
        <v>340</v>
      </c>
      <c r="D969" s="18">
        <v>17</v>
      </c>
      <c r="E969" s="155">
        <v>26920</v>
      </c>
      <c r="F969" s="36">
        <v>655</v>
      </c>
      <c r="G969" s="37">
        <v>23829</v>
      </c>
      <c r="H969" s="37">
        <v>0</v>
      </c>
      <c r="I969" s="37">
        <v>55000</v>
      </c>
      <c r="J969" s="37">
        <v>0</v>
      </c>
      <c r="K969" s="37">
        <v>4038</v>
      </c>
      <c r="L969" s="37">
        <v>98</v>
      </c>
      <c r="M969" s="37">
        <v>109787</v>
      </c>
      <c r="N969" s="37">
        <v>753</v>
      </c>
      <c r="O969" s="37">
        <v>0</v>
      </c>
      <c r="P969" s="37">
        <v>0</v>
      </c>
      <c r="Q969" s="37">
        <v>22284</v>
      </c>
      <c r="R969" s="37">
        <v>0</v>
      </c>
      <c r="S969" s="37">
        <v>0</v>
      </c>
      <c r="T969" s="37">
        <v>0</v>
      </c>
      <c r="U969" s="37">
        <v>19794</v>
      </c>
      <c r="V969" s="37">
        <v>0</v>
      </c>
      <c r="W969" s="37">
        <v>67709</v>
      </c>
      <c r="X969" s="37">
        <v>753</v>
      </c>
      <c r="Y969" s="37">
        <v>0</v>
      </c>
      <c r="Z969" s="37">
        <v>0</v>
      </c>
      <c r="AA969" s="37">
        <v>109787</v>
      </c>
      <c r="AB969" s="37">
        <v>753</v>
      </c>
      <c r="AC969" s="37">
        <v>0</v>
      </c>
      <c r="AD969" s="37">
        <v>0</v>
      </c>
      <c r="AE969" s="37">
        <v>0</v>
      </c>
      <c r="AF969" s="168">
        <v>0.02</v>
      </c>
      <c r="AG969" s="37">
        <v>5492963</v>
      </c>
      <c r="AH969" s="37">
        <v>0</v>
      </c>
      <c r="AI969" s="37">
        <v>0</v>
      </c>
      <c r="AJ969" s="37">
        <v>52790.12</v>
      </c>
      <c r="AK969" s="37">
        <v>53845.93</v>
      </c>
      <c r="AL969" s="37">
        <v>54922.84</v>
      </c>
      <c r="AM969" s="37">
        <v>56021.3</v>
      </c>
      <c r="AN969" s="37">
        <v>57141.73</v>
      </c>
      <c r="AO969" s="37">
        <v>58284.56</v>
      </c>
      <c r="AP969" s="37">
        <v>59450.25</v>
      </c>
      <c r="AQ969" s="37">
        <v>60639.26</v>
      </c>
      <c r="AR969" s="37">
        <v>453095.99</v>
      </c>
      <c r="AS969" s="37">
        <v>4042222.26</v>
      </c>
      <c r="AT969" s="37">
        <v>0</v>
      </c>
      <c r="AU969" s="37">
        <v>0</v>
      </c>
      <c r="AV969" s="37">
        <v>0</v>
      </c>
      <c r="AW969" s="37">
        <v>0</v>
      </c>
      <c r="AX969" s="37">
        <v>0</v>
      </c>
      <c r="AY969" s="37">
        <v>0</v>
      </c>
      <c r="AZ969" s="37">
        <v>0</v>
      </c>
      <c r="BA969" s="37">
        <v>0</v>
      </c>
      <c r="BB969" s="37">
        <v>0</v>
      </c>
      <c r="BC969" s="37">
        <v>0</v>
      </c>
      <c r="BD969" s="37">
        <v>0</v>
      </c>
      <c r="BE969" s="37">
        <v>0</v>
      </c>
      <c r="BF969" s="37">
        <v>0</v>
      </c>
      <c r="BG969" s="37">
        <v>3170370</v>
      </c>
      <c r="BH969" s="37">
        <v>32727.204700975199</v>
      </c>
      <c r="BI969" s="37">
        <v>37325.095299024804</v>
      </c>
      <c r="BJ969" s="37">
        <v>4814.6922908090837</v>
      </c>
      <c r="BK969" s="37">
        <v>23314.629296905619</v>
      </c>
      <c r="BL969" s="37">
        <v>30319.858555570652</v>
      </c>
      <c r="BM969" s="37">
        <v>37325.087814235674</v>
      </c>
      <c r="BN969" s="37">
        <v>44330.332042478985</v>
      </c>
      <c r="BO969" s="37">
        <v>0</v>
      </c>
      <c r="BP969" s="37">
        <v>3380526.9</v>
      </c>
      <c r="BQ969" s="37">
        <v>0</v>
      </c>
      <c r="BR969" s="37">
        <v>0</v>
      </c>
      <c r="BS969" s="37">
        <v>792594</v>
      </c>
      <c r="BT969" s="37">
        <v>0</v>
      </c>
      <c r="BU969" s="37">
        <v>0</v>
      </c>
      <c r="BV969" s="37">
        <v>0</v>
      </c>
      <c r="BW969" s="37">
        <v>0</v>
      </c>
      <c r="BX969" s="37">
        <v>0</v>
      </c>
      <c r="BY969" s="37">
        <v>0</v>
      </c>
      <c r="BZ969" s="37">
        <v>0</v>
      </c>
      <c r="CA969" s="37">
        <v>0</v>
      </c>
      <c r="CB969" s="37">
        <v>792594</v>
      </c>
      <c r="CC969" s="37">
        <v>0</v>
      </c>
      <c r="CD969" s="37">
        <v>0</v>
      </c>
      <c r="CE969" s="37">
        <v>0</v>
      </c>
      <c r="CF969" s="37">
        <v>5150.6864418192099</v>
      </c>
      <c r="CG969" s="37">
        <v>5874.3135581807901</v>
      </c>
      <c r="CH969" s="37">
        <v>757.74788987899251</v>
      </c>
      <c r="CI969" s="37">
        <v>3669.312613552795</v>
      </c>
      <c r="CJ969" s="37">
        <v>4771.8124968797092</v>
      </c>
      <c r="CK969" s="37">
        <v>5874.312380206622</v>
      </c>
      <c r="CL969" s="37">
        <v>6976.8146194818837</v>
      </c>
      <c r="CM969" s="37">
        <v>0</v>
      </c>
      <c r="CN969" s="37">
        <v>33075.000000000007</v>
      </c>
      <c r="CO969" s="37">
        <v>0</v>
      </c>
      <c r="CP969" s="37">
        <v>0</v>
      </c>
      <c r="CQ969" s="37">
        <v>0</v>
      </c>
      <c r="CR969" s="37">
        <v>0</v>
      </c>
      <c r="CS969" s="37">
        <v>0</v>
      </c>
      <c r="CT969" s="37">
        <v>0</v>
      </c>
      <c r="CU969" s="37">
        <v>0</v>
      </c>
      <c r="CV969" s="37">
        <v>0</v>
      </c>
      <c r="CW969" s="37">
        <v>0</v>
      </c>
      <c r="CX969" s="37">
        <v>0</v>
      </c>
      <c r="CY969" s="37">
        <v>0</v>
      </c>
      <c r="CZ969" s="37">
        <v>0</v>
      </c>
      <c r="DA969" s="37">
        <v>0</v>
      </c>
      <c r="DB969" s="37">
        <v>0</v>
      </c>
      <c r="DC969" s="37">
        <v>0</v>
      </c>
      <c r="DD969" s="37">
        <v>0</v>
      </c>
      <c r="DE969" s="37">
        <v>0</v>
      </c>
      <c r="DF969" s="37">
        <v>0</v>
      </c>
      <c r="DG969" s="37">
        <v>0</v>
      </c>
      <c r="DH969" s="37">
        <v>0</v>
      </c>
      <c r="DI969" s="37">
        <v>0</v>
      </c>
      <c r="DJ969" s="37">
        <v>0</v>
      </c>
      <c r="DK969" s="37">
        <v>0</v>
      </c>
      <c r="DL969" s="37">
        <v>0</v>
      </c>
      <c r="DM969" s="37">
        <v>0</v>
      </c>
      <c r="DN969" s="37">
        <v>0</v>
      </c>
      <c r="DO969" s="37">
        <v>0</v>
      </c>
      <c r="DP969" s="37">
        <v>0</v>
      </c>
      <c r="DQ969" s="37">
        <v>0</v>
      </c>
      <c r="DR969" s="37">
        <v>0</v>
      </c>
      <c r="DS969" s="37">
        <v>0</v>
      </c>
      <c r="DT969" s="37">
        <v>0</v>
      </c>
      <c r="DU969" s="37">
        <v>0</v>
      </c>
      <c r="DV969" s="37">
        <v>0</v>
      </c>
      <c r="DW969" s="37">
        <v>0</v>
      </c>
      <c r="DX969" s="37">
        <v>0</v>
      </c>
      <c r="DY969" s="37">
        <v>0</v>
      </c>
      <c r="DZ969" s="37">
        <v>0</v>
      </c>
      <c r="EA969" s="37">
        <v>0</v>
      </c>
      <c r="EB969" s="37">
        <v>0</v>
      </c>
      <c r="EC969" s="37">
        <v>0</v>
      </c>
      <c r="ED969" s="37">
        <v>0</v>
      </c>
      <c r="EE969" s="37">
        <v>0</v>
      </c>
      <c r="EF969" s="37">
        <v>0</v>
      </c>
      <c r="EG969" s="37">
        <v>0</v>
      </c>
      <c r="EH969" s="37">
        <v>0</v>
      </c>
      <c r="EI969" s="37">
        <v>0</v>
      </c>
      <c r="EJ969" s="37">
        <v>0</v>
      </c>
      <c r="EK969" s="161" t="s">
        <v>3385</v>
      </c>
      <c r="EL969" s="294" t="s">
        <v>1124</v>
      </c>
    </row>
    <row r="970" spans="1:142" ht="15" customHeight="1" x14ac:dyDescent="0.35">
      <c r="A970" s="34"/>
      <c r="B970" s="313">
        <v>29050</v>
      </c>
      <c r="C970" s="8" t="s">
        <v>208</v>
      </c>
      <c r="D970" s="18">
        <v>12</v>
      </c>
      <c r="E970" s="155"/>
      <c r="F970" s="36"/>
      <c r="G970" s="37"/>
      <c r="H970" s="37"/>
      <c r="I970" s="37"/>
      <c r="J970" s="37"/>
      <c r="K970" s="37"/>
      <c r="L970" s="37"/>
      <c r="M970" s="37" t="s">
        <v>1124</v>
      </c>
      <c r="N970" s="37" t="s">
        <v>1124</v>
      </c>
      <c r="O970" s="37"/>
      <c r="P970" s="37"/>
      <c r="Q970" s="37"/>
      <c r="R970" s="37"/>
      <c r="S970" s="37"/>
      <c r="T970" s="37"/>
      <c r="U970" s="37"/>
      <c r="V970" s="37"/>
      <c r="W970" s="37"/>
      <c r="X970" s="37"/>
      <c r="Y970" s="37"/>
      <c r="Z970" s="37"/>
      <c r="AA970" s="37" t="s">
        <v>1124</v>
      </c>
      <c r="AB970" s="37" t="s">
        <v>1124</v>
      </c>
      <c r="AC970" s="37"/>
      <c r="AD970" s="37"/>
      <c r="AE970" s="37"/>
      <c r="AF970" s="168"/>
      <c r="AG970" s="37"/>
      <c r="AH970" s="37"/>
      <c r="AI970" s="37"/>
      <c r="AJ970" s="37"/>
      <c r="AK970" s="37"/>
      <c r="AL970" s="37"/>
      <c r="AM970" s="37"/>
      <c r="AN970" s="37"/>
      <c r="AO970" s="37"/>
      <c r="AP970" s="37"/>
      <c r="AQ970" s="37"/>
      <c r="AR970" s="37" t="s">
        <v>1124</v>
      </c>
      <c r="AS970" s="37"/>
      <c r="AT970" s="37"/>
      <c r="AU970" s="37"/>
      <c r="AV970" s="37"/>
      <c r="AW970" s="37"/>
      <c r="AX970" s="37"/>
      <c r="AY970" s="37"/>
      <c r="AZ970" s="37"/>
      <c r="BA970" s="37"/>
      <c r="BB970" s="37"/>
      <c r="BC970" s="37"/>
      <c r="BD970" s="37" t="s">
        <v>1124</v>
      </c>
      <c r="BE970" s="37"/>
      <c r="BF970" s="37"/>
      <c r="BG970" s="37"/>
      <c r="BH970" s="37"/>
      <c r="BI970" s="37"/>
      <c r="BJ970" s="37"/>
      <c r="BK970" s="37"/>
      <c r="BL970" s="37"/>
      <c r="BM970" s="37"/>
      <c r="BN970" s="37"/>
      <c r="BO970" s="37"/>
      <c r="BP970" s="37">
        <v>0</v>
      </c>
      <c r="BQ970" s="37"/>
      <c r="BR970" s="37"/>
      <c r="BS970" s="37"/>
      <c r="BT970" s="37"/>
      <c r="BU970" s="37"/>
      <c r="BV970" s="37"/>
      <c r="BW970" s="37"/>
      <c r="BX970" s="37"/>
      <c r="BY970" s="37"/>
      <c r="BZ970" s="37"/>
      <c r="CA970" s="37"/>
      <c r="CB970" s="37" t="s">
        <v>1124</v>
      </c>
      <c r="CC970" s="37"/>
      <c r="CD970" s="37"/>
      <c r="CE970" s="37"/>
      <c r="CF970" s="37"/>
      <c r="CG970" s="37"/>
      <c r="CH970" s="37"/>
      <c r="CI970" s="37"/>
      <c r="CJ970" s="37"/>
      <c r="CK970" s="37"/>
      <c r="CL970" s="37"/>
      <c r="CM970" s="37"/>
      <c r="CN970" s="37" t="s">
        <v>1124</v>
      </c>
      <c r="CO970" s="37"/>
      <c r="CP970" s="37"/>
      <c r="CQ970" s="37"/>
      <c r="CR970" s="37"/>
      <c r="CS970" s="37"/>
      <c r="CT970" s="37"/>
      <c r="CU970" s="37"/>
      <c r="CV970" s="37"/>
      <c r="CW970" s="37"/>
      <c r="CX970" s="37"/>
      <c r="CY970" s="37"/>
      <c r="CZ970" s="37" t="s">
        <v>1124</v>
      </c>
      <c r="DA970" s="37"/>
      <c r="DB970" s="37"/>
      <c r="DC970" s="37"/>
      <c r="DD970" s="37"/>
      <c r="DE970" s="37"/>
      <c r="DF970" s="37"/>
      <c r="DG970" s="37"/>
      <c r="DH970" s="37"/>
      <c r="DI970" s="37"/>
      <c r="DJ970" s="37"/>
      <c r="DK970" s="37"/>
      <c r="DL970" s="37" t="s">
        <v>1124</v>
      </c>
      <c r="DM970" s="37"/>
      <c r="DN970" s="37"/>
      <c r="DO970" s="37"/>
      <c r="DP970" s="37"/>
      <c r="DQ970" s="37"/>
      <c r="DR970" s="37"/>
      <c r="DS970" s="37"/>
      <c r="DT970" s="37"/>
      <c r="DU970" s="37"/>
      <c r="DV970" s="37"/>
      <c r="DW970" s="37"/>
      <c r="DX970" s="37" t="s">
        <v>1124</v>
      </c>
      <c r="DY970" s="37"/>
      <c r="DZ970" s="37"/>
      <c r="EA970" s="37"/>
      <c r="EB970" s="37"/>
      <c r="EC970" s="37"/>
      <c r="ED970" s="37"/>
      <c r="EE970" s="37"/>
      <c r="EF970" s="37"/>
      <c r="EG970" s="37"/>
      <c r="EH970" s="37"/>
      <c r="EI970" s="37"/>
      <c r="EJ970" s="37" t="s">
        <v>1124</v>
      </c>
      <c r="EK970" s="161"/>
      <c r="EL970" s="294"/>
    </row>
    <row r="971" spans="1:142" ht="15" customHeight="1" x14ac:dyDescent="0.35">
      <c r="A971" s="34"/>
      <c r="B971" s="313">
        <v>8035</v>
      </c>
      <c r="C971" s="8" t="s">
        <v>1091</v>
      </c>
      <c r="D971" s="18">
        <v>1</v>
      </c>
      <c r="E971" s="155">
        <v>25517</v>
      </c>
      <c r="F971" s="36">
        <v>83957</v>
      </c>
      <c r="G971" s="37">
        <v>0</v>
      </c>
      <c r="H971" s="37">
        <v>85336</v>
      </c>
      <c r="I971" s="37">
        <v>0</v>
      </c>
      <c r="J971" s="37">
        <v>172800</v>
      </c>
      <c r="K971" s="37">
        <v>3828</v>
      </c>
      <c r="L971" s="37">
        <v>12594</v>
      </c>
      <c r="M971" s="37">
        <v>29345</v>
      </c>
      <c r="N971" s="37">
        <v>354687</v>
      </c>
      <c r="O971" s="37">
        <v>0</v>
      </c>
      <c r="P971" s="37">
        <v>0</v>
      </c>
      <c r="Q971" s="37">
        <v>28499</v>
      </c>
      <c r="R971" s="37">
        <v>38740</v>
      </c>
      <c r="S971" s="37">
        <v>0</v>
      </c>
      <c r="T971" s="37">
        <v>0</v>
      </c>
      <c r="U971" s="37">
        <v>0</v>
      </c>
      <c r="V971" s="37">
        <v>73489</v>
      </c>
      <c r="W971" s="37">
        <v>846</v>
      </c>
      <c r="X971" s="37">
        <v>242458</v>
      </c>
      <c r="Y971" s="37">
        <v>0</v>
      </c>
      <c r="Z971" s="37">
        <v>0</v>
      </c>
      <c r="AA971" s="37">
        <v>29345</v>
      </c>
      <c r="AB971" s="37">
        <v>354687</v>
      </c>
      <c r="AC971" s="37">
        <v>0</v>
      </c>
      <c r="AD971" s="37">
        <v>0</v>
      </c>
      <c r="AE971" s="37">
        <v>0</v>
      </c>
      <c r="AF971" s="168">
        <v>0.02</v>
      </c>
      <c r="AG971" s="37">
        <v>11373970.92</v>
      </c>
      <c r="AH971" s="37">
        <v>83321.320000000007</v>
      </c>
      <c r="AI971" s="37">
        <v>84987.75</v>
      </c>
      <c r="AJ971" s="37">
        <v>86687.51</v>
      </c>
      <c r="AK971" s="37">
        <v>88421.26</v>
      </c>
      <c r="AL971" s="37">
        <v>90189.68</v>
      </c>
      <c r="AM971" s="37">
        <v>91993.47</v>
      </c>
      <c r="AN971" s="37">
        <v>93833.34</v>
      </c>
      <c r="AO971" s="37">
        <v>95710.01</v>
      </c>
      <c r="AP971" s="37">
        <v>97624.21</v>
      </c>
      <c r="AQ971" s="37">
        <v>99576.7</v>
      </c>
      <c r="AR971" s="37">
        <v>912345.25</v>
      </c>
      <c r="AS971" s="37">
        <v>27050.400000000001</v>
      </c>
      <c r="AT971" s="37">
        <v>0</v>
      </c>
      <c r="AU971" s="37">
        <v>0</v>
      </c>
      <c r="AV971" s="37">
        <v>0</v>
      </c>
      <c r="AW971" s="37">
        <v>0</v>
      </c>
      <c r="AX971" s="37">
        <v>0</v>
      </c>
      <c r="AY971" s="37">
        <v>0</v>
      </c>
      <c r="AZ971" s="37">
        <v>0</v>
      </c>
      <c r="BA971" s="37">
        <v>0</v>
      </c>
      <c r="BB971" s="37">
        <v>0</v>
      </c>
      <c r="BC971" s="37">
        <v>0</v>
      </c>
      <c r="BD971" s="37">
        <v>0</v>
      </c>
      <c r="BE971" s="37">
        <v>356350</v>
      </c>
      <c r="BF971" s="37">
        <v>0</v>
      </c>
      <c r="BG971" s="37">
        <v>0</v>
      </c>
      <c r="BH971" s="37">
        <v>0</v>
      </c>
      <c r="BI971" s="37">
        <v>0</v>
      </c>
      <c r="BJ971" s="37">
        <v>0</v>
      </c>
      <c r="BK971" s="37">
        <v>0</v>
      </c>
      <c r="BL971" s="37">
        <v>0</v>
      </c>
      <c r="BM971" s="37">
        <v>0</v>
      </c>
      <c r="BN971" s="37">
        <v>0</v>
      </c>
      <c r="BO971" s="37">
        <v>0</v>
      </c>
      <c r="BP971" s="37">
        <v>0</v>
      </c>
      <c r="BQ971" s="37">
        <v>0</v>
      </c>
      <c r="BR971" s="37">
        <v>0</v>
      </c>
      <c r="BS971" s="37">
        <v>0</v>
      </c>
      <c r="BT971" s="37">
        <v>0</v>
      </c>
      <c r="BU971" s="37">
        <v>0</v>
      </c>
      <c r="BV971" s="37">
        <v>0</v>
      </c>
      <c r="BW971" s="37">
        <v>0</v>
      </c>
      <c r="BX971" s="37">
        <v>0</v>
      </c>
      <c r="BY971" s="37">
        <v>0</v>
      </c>
      <c r="BZ971" s="37">
        <v>0</v>
      </c>
      <c r="CA971" s="37">
        <v>0</v>
      </c>
      <c r="CB971" s="37">
        <v>0</v>
      </c>
      <c r="CC971" s="37">
        <v>0</v>
      </c>
      <c r="CD971" s="37">
        <v>0</v>
      </c>
      <c r="CE971" s="37">
        <v>0</v>
      </c>
      <c r="CF971" s="37">
        <v>0</v>
      </c>
      <c r="CG971" s="37">
        <v>0</v>
      </c>
      <c r="CH971" s="37">
        <v>0</v>
      </c>
      <c r="CI971" s="37">
        <v>0</v>
      </c>
      <c r="CJ971" s="37">
        <v>0</v>
      </c>
      <c r="CK971" s="37">
        <v>0</v>
      </c>
      <c r="CL971" s="37">
        <v>0</v>
      </c>
      <c r="CM971" s="37">
        <v>0</v>
      </c>
      <c r="CN971" s="37">
        <v>0</v>
      </c>
      <c r="CO971" s="37">
        <v>0</v>
      </c>
      <c r="CP971" s="37">
        <v>0</v>
      </c>
      <c r="CQ971" s="37">
        <v>0</v>
      </c>
      <c r="CR971" s="37">
        <v>0</v>
      </c>
      <c r="CS971" s="37">
        <v>0</v>
      </c>
      <c r="CT971" s="37">
        <v>0</v>
      </c>
      <c r="CU971" s="37">
        <v>0</v>
      </c>
      <c r="CV971" s="37">
        <v>0</v>
      </c>
      <c r="CW971" s="37">
        <v>0</v>
      </c>
      <c r="CX971" s="37">
        <v>0</v>
      </c>
      <c r="CY971" s="37">
        <v>0</v>
      </c>
      <c r="CZ971" s="37">
        <v>0</v>
      </c>
      <c r="DA971" s="37">
        <v>0</v>
      </c>
      <c r="DB971" s="37">
        <v>0</v>
      </c>
      <c r="DC971" s="37">
        <v>0</v>
      </c>
      <c r="DD971" s="37">
        <v>0</v>
      </c>
      <c r="DE971" s="37">
        <v>0</v>
      </c>
      <c r="DF971" s="37">
        <v>0</v>
      </c>
      <c r="DG971" s="37">
        <v>0</v>
      </c>
      <c r="DH971" s="37">
        <v>0</v>
      </c>
      <c r="DI971" s="37">
        <v>0</v>
      </c>
      <c r="DJ971" s="37">
        <v>0</v>
      </c>
      <c r="DK971" s="37">
        <v>0</v>
      </c>
      <c r="DL971" s="37">
        <v>0</v>
      </c>
      <c r="DM971" s="37">
        <v>0</v>
      </c>
      <c r="DN971" s="37">
        <v>0</v>
      </c>
      <c r="DO971" s="37">
        <v>0</v>
      </c>
      <c r="DP971" s="37">
        <v>0</v>
      </c>
      <c r="DQ971" s="37">
        <v>0</v>
      </c>
      <c r="DR971" s="37">
        <v>0</v>
      </c>
      <c r="DS971" s="37">
        <v>0</v>
      </c>
      <c r="DT971" s="37">
        <v>0</v>
      </c>
      <c r="DU971" s="37">
        <v>0</v>
      </c>
      <c r="DV971" s="37">
        <v>0</v>
      </c>
      <c r="DW971" s="37">
        <v>0</v>
      </c>
      <c r="DX971" s="37">
        <v>0</v>
      </c>
      <c r="DY971" s="37">
        <v>0</v>
      </c>
      <c r="DZ971" s="37">
        <v>0</v>
      </c>
      <c r="EA971" s="37">
        <v>0</v>
      </c>
      <c r="EB971" s="37">
        <v>0</v>
      </c>
      <c r="EC971" s="37">
        <v>0</v>
      </c>
      <c r="ED971" s="37">
        <v>0</v>
      </c>
      <c r="EE971" s="37">
        <v>0</v>
      </c>
      <c r="EF971" s="37">
        <v>0</v>
      </c>
      <c r="EG971" s="37">
        <v>0</v>
      </c>
      <c r="EH971" s="37">
        <v>0</v>
      </c>
      <c r="EI971" s="37">
        <v>0</v>
      </c>
      <c r="EJ971" s="37">
        <v>0</v>
      </c>
      <c r="EK971" s="161" t="s">
        <v>3389</v>
      </c>
      <c r="EL971" s="294" t="s">
        <v>1124</v>
      </c>
    </row>
    <row r="972" spans="1:142" ht="15" customHeight="1" x14ac:dyDescent="0.35">
      <c r="A972" s="34"/>
      <c r="B972" s="313">
        <v>53020</v>
      </c>
      <c r="C972" s="8" t="s">
        <v>533</v>
      </c>
      <c r="D972" s="18">
        <v>16</v>
      </c>
      <c r="E972" s="155">
        <v>132870</v>
      </c>
      <c r="F972" s="36">
        <v>29760</v>
      </c>
      <c r="G972" s="37">
        <v>0</v>
      </c>
      <c r="H972" s="37">
        <v>4237</v>
      </c>
      <c r="I972" s="37">
        <v>0</v>
      </c>
      <c r="J972" s="37">
        <v>48752</v>
      </c>
      <c r="K972" s="37">
        <v>19930.5</v>
      </c>
      <c r="L972" s="37">
        <v>4464</v>
      </c>
      <c r="M972" s="37">
        <v>152800.5</v>
      </c>
      <c r="N972" s="37">
        <v>87213</v>
      </c>
      <c r="O972" s="37">
        <v>79950</v>
      </c>
      <c r="P972" s="37">
        <v>0</v>
      </c>
      <c r="Q972" s="37">
        <v>52920</v>
      </c>
      <c r="R972" s="37">
        <v>29760</v>
      </c>
      <c r="S972" s="37">
        <v>0</v>
      </c>
      <c r="T972" s="37">
        <v>0</v>
      </c>
      <c r="U972" s="37">
        <v>0</v>
      </c>
      <c r="V972" s="37">
        <v>0</v>
      </c>
      <c r="W972" s="37">
        <v>19931</v>
      </c>
      <c r="X972" s="37">
        <v>57453</v>
      </c>
      <c r="Y972" s="37">
        <v>0</v>
      </c>
      <c r="Z972" s="37">
        <v>0</v>
      </c>
      <c r="AA972" s="37">
        <v>152801</v>
      </c>
      <c r="AB972" s="37">
        <v>87213</v>
      </c>
      <c r="AC972" s="37">
        <v>0</v>
      </c>
      <c r="AD972" s="37">
        <v>0</v>
      </c>
      <c r="AE972" s="37">
        <v>0</v>
      </c>
      <c r="AF972" s="168">
        <v>0.02</v>
      </c>
      <c r="AG972" s="37">
        <v>16366208.67</v>
      </c>
      <c r="AH972" s="37">
        <v>161428.71</v>
      </c>
      <c r="AI972" s="37">
        <v>164657.28</v>
      </c>
      <c r="AJ972" s="37">
        <v>167950.43</v>
      </c>
      <c r="AK972" s="37">
        <v>171309.44</v>
      </c>
      <c r="AL972" s="37">
        <v>174735.62</v>
      </c>
      <c r="AM972" s="37">
        <v>178230.34</v>
      </c>
      <c r="AN972" s="37">
        <v>181794.94</v>
      </c>
      <c r="AO972" s="37">
        <v>185430.84</v>
      </c>
      <c r="AP972" s="37">
        <v>189139.46</v>
      </c>
      <c r="AQ972" s="37">
        <v>192922.25</v>
      </c>
      <c r="AR972" s="37">
        <v>1767599.3099999998</v>
      </c>
      <c r="AS972" s="37">
        <v>0</v>
      </c>
      <c r="AT972" s="37">
        <v>0</v>
      </c>
      <c r="AU972" s="37">
        <v>0</v>
      </c>
      <c r="AV972" s="37">
        <v>0</v>
      </c>
      <c r="AW972" s="37">
        <v>0</v>
      </c>
      <c r="AX972" s="37">
        <v>0</v>
      </c>
      <c r="AY972" s="37">
        <v>0</v>
      </c>
      <c r="AZ972" s="37">
        <v>0</v>
      </c>
      <c r="BA972" s="37">
        <v>0</v>
      </c>
      <c r="BB972" s="37">
        <v>0</v>
      </c>
      <c r="BC972" s="37">
        <v>0</v>
      </c>
      <c r="BD972" s="37">
        <v>0</v>
      </c>
      <c r="BE972" s="37">
        <v>0</v>
      </c>
      <c r="BF972" s="37">
        <v>0</v>
      </c>
      <c r="BG972" s="37">
        <v>0</v>
      </c>
      <c r="BH972" s="37">
        <v>0</v>
      </c>
      <c r="BI972" s="37">
        <v>0</v>
      </c>
      <c r="BJ972" s="37">
        <v>0</v>
      </c>
      <c r="BK972" s="37">
        <v>0</v>
      </c>
      <c r="BL972" s="37">
        <v>0</v>
      </c>
      <c r="BM972" s="37">
        <v>0</v>
      </c>
      <c r="BN972" s="37">
        <v>0</v>
      </c>
      <c r="BO972" s="37">
        <v>0</v>
      </c>
      <c r="BP972" s="37">
        <v>0</v>
      </c>
      <c r="BQ972" s="37">
        <v>0</v>
      </c>
      <c r="BR972" s="37">
        <v>0</v>
      </c>
      <c r="BS972" s="37">
        <v>0</v>
      </c>
      <c r="BT972" s="37">
        <v>0</v>
      </c>
      <c r="BU972" s="37">
        <v>0</v>
      </c>
      <c r="BV972" s="37">
        <v>0</v>
      </c>
      <c r="BW972" s="37">
        <v>0</v>
      </c>
      <c r="BX972" s="37">
        <v>0</v>
      </c>
      <c r="BY972" s="37">
        <v>0</v>
      </c>
      <c r="BZ972" s="37">
        <v>0</v>
      </c>
      <c r="CA972" s="37">
        <v>0</v>
      </c>
      <c r="CB972" s="37">
        <v>0</v>
      </c>
      <c r="CC972" s="37">
        <v>0</v>
      </c>
      <c r="CD972" s="37">
        <v>0</v>
      </c>
      <c r="CE972" s="37">
        <v>0</v>
      </c>
      <c r="CF972" s="37">
        <v>0</v>
      </c>
      <c r="CG972" s="37">
        <v>0</v>
      </c>
      <c r="CH972" s="37">
        <v>0</v>
      </c>
      <c r="CI972" s="37">
        <v>0</v>
      </c>
      <c r="CJ972" s="37">
        <v>0</v>
      </c>
      <c r="CK972" s="37">
        <v>0</v>
      </c>
      <c r="CL972" s="37">
        <v>0</v>
      </c>
      <c r="CM972" s="37">
        <v>0</v>
      </c>
      <c r="CN972" s="37">
        <v>0</v>
      </c>
      <c r="CO972" s="37">
        <v>0</v>
      </c>
      <c r="CP972" s="37">
        <v>0</v>
      </c>
      <c r="CQ972" s="37">
        <v>0</v>
      </c>
      <c r="CR972" s="37">
        <v>0</v>
      </c>
      <c r="CS972" s="37">
        <v>0</v>
      </c>
      <c r="CT972" s="37">
        <v>0</v>
      </c>
      <c r="CU972" s="37">
        <v>0</v>
      </c>
      <c r="CV972" s="37">
        <v>0</v>
      </c>
      <c r="CW972" s="37">
        <v>0</v>
      </c>
      <c r="CX972" s="37">
        <v>0</v>
      </c>
      <c r="CY972" s="37">
        <v>0</v>
      </c>
      <c r="CZ972" s="37">
        <v>0</v>
      </c>
      <c r="DA972" s="37">
        <v>0</v>
      </c>
      <c r="DB972" s="37">
        <v>0</v>
      </c>
      <c r="DC972" s="37">
        <v>0</v>
      </c>
      <c r="DD972" s="37">
        <v>0</v>
      </c>
      <c r="DE972" s="37">
        <v>0</v>
      </c>
      <c r="DF972" s="37">
        <v>0</v>
      </c>
      <c r="DG972" s="37">
        <v>0</v>
      </c>
      <c r="DH972" s="37">
        <v>0</v>
      </c>
      <c r="DI972" s="37">
        <v>0</v>
      </c>
      <c r="DJ972" s="37">
        <v>0</v>
      </c>
      <c r="DK972" s="37">
        <v>0</v>
      </c>
      <c r="DL972" s="37">
        <v>0</v>
      </c>
      <c r="DM972" s="37">
        <v>0</v>
      </c>
      <c r="DN972" s="37">
        <v>0</v>
      </c>
      <c r="DO972" s="37">
        <v>0</v>
      </c>
      <c r="DP972" s="37">
        <v>0</v>
      </c>
      <c r="DQ972" s="37">
        <v>0</v>
      </c>
      <c r="DR972" s="37">
        <v>0</v>
      </c>
      <c r="DS972" s="37">
        <v>0</v>
      </c>
      <c r="DT972" s="37">
        <v>0</v>
      </c>
      <c r="DU972" s="37">
        <v>0</v>
      </c>
      <c r="DV972" s="37">
        <v>0</v>
      </c>
      <c r="DW972" s="37">
        <v>0</v>
      </c>
      <c r="DX972" s="37">
        <v>0</v>
      </c>
      <c r="DY972" s="37">
        <v>0</v>
      </c>
      <c r="DZ972" s="37">
        <v>0</v>
      </c>
      <c r="EA972" s="37">
        <v>0</v>
      </c>
      <c r="EB972" s="37">
        <v>0</v>
      </c>
      <c r="EC972" s="37">
        <v>0</v>
      </c>
      <c r="ED972" s="37">
        <v>0</v>
      </c>
      <c r="EE972" s="37">
        <v>0</v>
      </c>
      <c r="EF972" s="37">
        <v>0</v>
      </c>
      <c r="EG972" s="37">
        <v>0</v>
      </c>
      <c r="EH972" s="37">
        <v>0</v>
      </c>
      <c r="EI972" s="37">
        <v>0</v>
      </c>
      <c r="EJ972" s="37">
        <v>0</v>
      </c>
      <c r="EK972" s="161" t="s">
        <v>1124</v>
      </c>
      <c r="EL972" s="294" t="s">
        <v>1124</v>
      </c>
    </row>
    <row r="973" spans="1:142" ht="15" customHeight="1" x14ac:dyDescent="0.35">
      <c r="A973" s="34"/>
      <c r="B973" s="313">
        <v>30070</v>
      </c>
      <c r="C973" s="8" t="s">
        <v>228</v>
      </c>
      <c r="D973" s="18">
        <v>5</v>
      </c>
      <c r="E973" s="155"/>
      <c r="F973" s="36"/>
      <c r="G973" s="37"/>
      <c r="H973" s="37"/>
      <c r="I973" s="37"/>
      <c r="J973" s="37"/>
      <c r="K973" s="37"/>
      <c r="L973" s="37"/>
      <c r="M973" s="37" t="s">
        <v>1124</v>
      </c>
      <c r="N973" s="37" t="s">
        <v>1124</v>
      </c>
      <c r="O973" s="37"/>
      <c r="P973" s="37"/>
      <c r="Q973" s="37"/>
      <c r="R973" s="37"/>
      <c r="S973" s="37"/>
      <c r="T973" s="37"/>
      <c r="U973" s="37"/>
      <c r="V973" s="37"/>
      <c r="W973" s="37"/>
      <c r="X973" s="37"/>
      <c r="Y973" s="37"/>
      <c r="Z973" s="37"/>
      <c r="AA973" s="37" t="s">
        <v>1124</v>
      </c>
      <c r="AB973" s="37" t="s">
        <v>1124</v>
      </c>
      <c r="AC973" s="37"/>
      <c r="AD973" s="37"/>
      <c r="AE973" s="37"/>
      <c r="AF973" s="168"/>
      <c r="AG973" s="37"/>
      <c r="AH973" s="37"/>
      <c r="AI973" s="37"/>
      <c r="AJ973" s="37"/>
      <c r="AK973" s="37"/>
      <c r="AL973" s="37"/>
      <c r="AM973" s="37"/>
      <c r="AN973" s="37"/>
      <c r="AO973" s="37"/>
      <c r="AP973" s="37"/>
      <c r="AQ973" s="37"/>
      <c r="AR973" s="37" t="s">
        <v>1124</v>
      </c>
      <c r="AS973" s="37"/>
      <c r="AT973" s="37"/>
      <c r="AU973" s="37"/>
      <c r="AV973" s="37"/>
      <c r="AW973" s="37"/>
      <c r="AX973" s="37"/>
      <c r="AY973" s="37"/>
      <c r="AZ973" s="37"/>
      <c r="BA973" s="37"/>
      <c r="BB973" s="37"/>
      <c r="BC973" s="37"/>
      <c r="BD973" s="37" t="s">
        <v>1124</v>
      </c>
      <c r="BE973" s="37"/>
      <c r="BF973" s="37"/>
      <c r="BG973" s="37"/>
      <c r="BH973" s="37"/>
      <c r="BI973" s="37"/>
      <c r="BJ973" s="37"/>
      <c r="BK973" s="37"/>
      <c r="BL973" s="37"/>
      <c r="BM973" s="37"/>
      <c r="BN973" s="37"/>
      <c r="BO973" s="37"/>
      <c r="BP973" s="37">
        <v>0</v>
      </c>
      <c r="BQ973" s="37"/>
      <c r="BR973" s="37"/>
      <c r="BS973" s="37"/>
      <c r="BT973" s="37"/>
      <c r="BU973" s="37"/>
      <c r="BV973" s="37"/>
      <c r="BW973" s="37"/>
      <c r="BX973" s="37"/>
      <c r="BY973" s="37"/>
      <c r="BZ973" s="37"/>
      <c r="CA973" s="37"/>
      <c r="CB973" s="37" t="s">
        <v>1124</v>
      </c>
      <c r="CC973" s="37"/>
      <c r="CD973" s="37"/>
      <c r="CE973" s="37"/>
      <c r="CF973" s="37"/>
      <c r="CG973" s="37"/>
      <c r="CH973" s="37"/>
      <c r="CI973" s="37"/>
      <c r="CJ973" s="37"/>
      <c r="CK973" s="37"/>
      <c r="CL973" s="37"/>
      <c r="CM973" s="37"/>
      <c r="CN973" s="37" t="s">
        <v>1124</v>
      </c>
      <c r="CO973" s="37"/>
      <c r="CP973" s="37"/>
      <c r="CQ973" s="37"/>
      <c r="CR973" s="37"/>
      <c r="CS973" s="37"/>
      <c r="CT973" s="37"/>
      <c r="CU973" s="37"/>
      <c r="CV973" s="37"/>
      <c r="CW973" s="37"/>
      <c r="CX973" s="37"/>
      <c r="CY973" s="37"/>
      <c r="CZ973" s="37" t="s">
        <v>1124</v>
      </c>
      <c r="DA973" s="37"/>
      <c r="DB973" s="37"/>
      <c r="DC973" s="37"/>
      <c r="DD973" s="37"/>
      <c r="DE973" s="37"/>
      <c r="DF973" s="37"/>
      <c r="DG973" s="37"/>
      <c r="DH973" s="37"/>
      <c r="DI973" s="37"/>
      <c r="DJ973" s="37"/>
      <c r="DK973" s="37"/>
      <c r="DL973" s="37" t="s">
        <v>1124</v>
      </c>
      <c r="DM973" s="37"/>
      <c r="DN973" s="37"/>
      <c r="DO973" s="37"/>
      <c r="DP973" s="37"/>
      <c r="DQ973" s="37"/>
      <c r="DR973" s="37"/>
      <c r="DS973" s="37"/>
      <c r="DT973" s="37"/>
      <c r="DU973" s="37"/>
      <c r="DV973" s="37"/>
      <c r="DW973" s="37"/>
      <c r="DX973" s="37" t="s">
        <v>1124</v>
      </c>
      <c r="DY973" s="37"/>
      <c r="DZ973" s="37"/>
      <c r="EA973" s="37"/>
      <c r="EB973" s="37"/>
      <c r="EC973" s="37"/>
      <c r="ED973" s="37"/>
      <c r="EE973" s="37"/>
      <c r="EF973" s="37"/>
      <c r="EG973" s="37"/>
      <c r="EH973" s="37"/>
      <c r="EI973" s="37"/>
      <c r="EJ973" s="37" t="s">
        <v>1124</v>
      </c>
      <c r="EK973" s="161"/>
      <c r="EL973" s="294"/>
    </row>
    <row r="974" spans="1:142" ht="15" customHeight="1" x14ac:dyDescent="0.35">
      <c r="A974" s="34"/>
      <c r="B974" s="313">
        <v>63035</v>
      </c>
      <c r="C974" s="8" t="s">
        <v>638</v>
      </c>
      <c r="D974" s="18">
        <v>14</v>
      </c>
      <c r="E974" s="155">
        <v>248791</v>
      </c>
      <c r="F974" s="36">
        <v>279132</v>
      </c>
      <c r="G974" s="37">
        <v>46169</v>
      </c>
      <c r="H974" s="37">
        <v>746</v>
      </c>
      <c r="I974" s="37">
        <v>64902</v>
      </c>
      <c r="J974" s="37">
        <v>0</v>
      </c>
      <c r="K974" s="37">
        <v>37319</v>
      </c>
      <c r="L974" s="37">
        <v>41870</v>
      </c>
      <c r="M974" s="37">
        <v>397181</v>
      </c>
      <c r="N974" s="37">
        <v>321748</v>
      </c>
      <c r="O974" s="37">
        <v>53431</v>
      </c>
      <c r="P974" s="37">
        <v>26936</v>
      </c>
      <c r="Q974" s="37">
        <v>345598</v>
      </c>
      <c r="R974" s="37">
        <v>300683</v>
      </c>
      <c r="S974" s="37">
        <v>0</v>
      </c>
      <c r="T974" s="37">
        <v>0</v>
      </c>
      <c r="U974" s="37">
        <v>30898</v>
      </c>
      <c r="V974" s="37">
        <v>3438</v>
      </c>
      <c r="W974" s="37">
        <v>0</v>
      </c>
      <c r="X974" s="37">
        <v>0</v>
      </c>
      <c r="Y974" s="37">
        <v>86165</v>
      </c>
      <c r="Z974" s="37">
        <v>0</v>
      </c>
      <c r="AA974" s="37">
        <v>516092</v>
      </c>
      <c r="AB974" s="37">
        <v>331057</v>
      </c>
      <c r="AC974" s="37">
        <v>128220</v>
      </c>
      <c r="AD974" s="37">
        <v>0</v>
      </c>
      <c r="AE974" s="37">
        <v>142814</v>
      </c>
      <c r="AF974" s="168">
        <v>0.02</v>
      </c>
      <c r="AG974" s="37">
        <v>68851840.019999996</v>
      </c>
      <c r="AH974" s="37">
        <v>4714252.32</v>
      </c>
      <c r="AI974" s="37">
        <v>4808537.38</v>
      </c>
      <c r="AJ974" s="37">
        <v>574979.49</v>
      </c>
      <c r="AK974" s="37">
        <v>586479.07999999996</v>
      </c>
      <c r="AL974" s="37">
        <v>598208.66</v>
      </c>
      <c r="AM974" s="37">
        <v>610172.82999999996</v>
      </c>
      <c r="AN974" s="37">
        <v>622376.29</v>
      </c>
      <c r="AO974" s="37">
        <v>634823.81000000006</v>
      </c>
      <c r="AP974" s="37">
        <v>647520.29</v>
      </c>
      <c r="AQ974" s="37">
        <v>660470.69999999995</v>
      </c>
      <c r="AR974" s="37">
        <v>14457820.850000001</v>
      </c>
      <c r="AS974" s="37">
        <v>2096063.56</v>
      </c>
      <c r="AT974" s="37">
        <v>260100</v>
      </c>
      <c r="AU974" s="37">
        <v>265302</v>
      </c>
      <c r="AV974" s="37">
        <v>0</v>
      </c>
      <c r="AW974" s="37">
        <v>0</v>
      </c>
      <c r="AX974" s="37">
        <v>0</v>
      </c>
      <c r="AY974" s="37">
        <v>0</v>
      </c>
      <c r="AZ974" s="37">
        <v>0</v>
      </c>
      <c r="BA974" s="37">
        <v>0</v>
      </c>
      <c r="BB974" s="37">
        <v>0</v>
      </c>
      <c r="BC974" s="37">
        <v>0</v>
      </c>
      <c r="BD974" s="37">
        <v>525402</v>
      </c>
      <c r="BE974" s="37">
        <v>1051633</v>
      </c>
      <c r="BF974" s="37">
        <v>12072</v>
      </c>
      <c r="BG974" s="37">
        <v>1447502</v>
      </c>
      <c r="BH974" s="37">
        <v>0</v>
      </c>
      <c r="BI974" s="37">
        <v>0</v>
      </c>
      <c r="BJ974" s="37">
        <v>0</v>
      </c>
      <c r="BK974" s="37">
        <v>0</v>
      </c>
      <c r="BL974" s="37">
        <v>0</v>
      </c>
      <c r="BM974" s="37">
        <v>0</v>
      </c>
      <c r="BN974" s="37">
        <v>0</v>
      </c>
      <c r="BO974" s="37">
        <v>0</v>
      </c>
      <c r="BP974" s="37">
        <v>1459574</v>
      </c>
      <c r="BQ974" s="37">
        <v>0</v>
      </c>
      <c r="BR974" s="37">
        <v>343519</v>
      </c>
      <c r="BS974" s="37">
        <v>250000</v>
      </c>
      <c r="BT974" s="37">
        <v>1150000</v>
      </c>
      <c r="BU974" s="37">
        <v>0</v>
      </c>
      <c r="BV974" s="37">
        <v>0</v>
      </c>
      <c r="BW974" s="37">
        <v>0</v>
      </c>
      <c r="BX974" s="37">
        <v>0</v>
      </c>
      <c r="BY974" s="37">
        <v>0</v>
      </c>
      <c r="BZ974" s="37">
        <v>0</v>
      </c>
      <c r="CA974" s="37">
        <v>0</v>
      </c>
      <c r="CB974" s="37">
        <v>1743519</v>
      </c>
      <c r="CC974" s="37">
        <v>132523</v>
      </c>
      <c r="CD974" s="37">
        <v>0</v>
      </c>
      <c r="CE974" s="37">
        <v>0</v>
      </c>
      <c r="CF974" s="37">
        <v>0</v>
      </c>
      <c r="CG974" s="37">
        <v>0</v>
      </c>
      <c r="CH974" s="37">
        <v>0</v>
      </c>
      <c r="CI974" s="37">
        <v>0</v>
      </c>
      <c r="CJ974" s="37">
        <v>0</v>
      </c>
      <c r="CK974" s="37">
        <v>0</v>
      </c>
      <c r="CL974" s="37">
        <v>0</v>
      </c>
      <c r="CM974" s="37">
        <v>0</v>
      </c>
      <c r="CN974" s="37">
        <v>0</v>
      </c>
      <c r="CO974" s="37">
        <v>0</v>
      </c>
      <c r="CP974" s="37">
        <v>0</v>
      </c>
      <c r="CQ974" s="37">
        <v>0</v>
      </c>
      <c r="CR974" s="37">
        <v>0</v>
      </c>
      <c r="CS974" s="37">
        <v>0</v>
      </c>
      <c r="CT974" s="37">
        <v>0</v>
      </c>
      <c r="CU974" s="37">
        <v>0</v>
      </c>
      <c r="CV974" s="37">
        <v>0</v>
      </c>
      <c r="CW974" s="37">
        <v>0</v>
      </c>
      <c r="CX974" s="37">
        <v>0</v>
      </c>
      <c r="CY974" s="37">
        <v>0</v>
      </c>
      <c r="CZ974" s="37">
        <v>0</v>
      </c>
      <c r="DA974" s="37">
        <v>0</v>
      </c>
      <c r="DB974" s="37">
        <v>0</v>
      </c>
      <c r="DC974" s="37">
        <v>500000</v>
      </c>
      <c r="DD974" s="37">
        <v>0</v>
      </c>
      <c r="DE974" s="37">
        <v>0</v>
      </c>
      <c r="DF974" s="37">
        <v>0</v>
      </c>
      <c r="DG974" s="37">
        <v>0</v>
      </c>
      <c r="DH974" s="37">
        <v>0</v>
      </c>
      <c r="DI974" s="37">
        <v>0</v>
      </c>
      <c r="DJ974" s="37">
        <v>0</v>
      </c>
      <c r="DK974" s="37">
        <v>0</v>
      </c>
      <c r="DL974" s="37">
        <v>500000</v>
      </c>
      <c r="DM974" s="37">
        <v>0</v>
      </c>
      <c r="DN974" s="37">
        <v>0</v>
      </c>
      <c r="DO974" s="37">
        <v>0</v>
      </c>
      <c r="DP974" s="37">
        <v>0</v>
      </c>
      <c r="DQ974" s="37">
        <v>0</v>
      </c>
      <c r="DR974" s="37">
        <v>0</v>
      </c>
      <c r="DS974" s="37">
        <v>0</v>
      </c>
      <c r="DT974" s="37">
        <v>0</v>
      </c>
      <c r="DU974" s="37">
        <v>0</v>
      </c>
      <c r="DV974" s="37">
        <v>0</v>
      </c>
      <c r="DW974" s="37">
        <v>0</v>
      </c>
      <c r="DX974" s="37">
        <v>0</v>
      </c>
      <c r="DY974" s="37">
        <v>0</v>
      </c>
      <c r="DZ974" s="37">
        <v>0</v>
      </c>
      <c r="EA974" s="37">
        <v>0</v>
      </c>
      <c r="EB974" s="37">
        <v>0</v>
      </c>
      <c r="EC974" s="37">
        <v>0</v>
      </c>
      <c r="ED974" s="37">
        <v>0</v>
      </c>
      <c r="EE974" s="37">
        <v>0</v>
      </c>
      <c r="EF974" s="37">
        <v>0</v>
      </c>
      <c r="EG974" s="37">
        <v>0</v>
      </c>
      <c r="EH974" s="37">
        <v>0</v>
      </c>
      <c r="EI974" s="37">
        <v>0</v>
      </c>
      <c r="EJ974" s="37">
        <v>0</v>
      </c>
      <c r="EK974" s="161" t="s">
        <v>3396</v>
      </c>
      <c r="EL974" s="294" t="s">
        <v>1124</v>
      </c>
    </row>
    <row r="975" spans="1:142" ht="15" customHeight="1" x14ac:dyDescent="0.35">
      <c r="A975" s="34"/>
      <c r="B975" s="313">
        <v>35045</v>
      </c>
      <c r="C975" s="8" t="s">
        <v>310</v>
      </c>
      <c r="D975" s="18">
        <v>4</v>
      </c>
      <c r="E975" s="155"/>
      <c r="F975" s="36"/>
      <c r="G975" s="37"/>
      <c r="H975" s="37"/>
      <c r="I975" s="37"/>
      <c r="J975" s="37"/>
      <c r="K975" s="37"/>
      <c r="L975" s="37"/>
      <c r="M975" s="37" t="s">
        <v>1124</v>
      </c>
      <c r="N975" s="37" t="s">
        <v>1124</v>
      </c>
      <c r="O975" s="37"/>
      <c r="P975" s="37"/>
      <c r="Q975" s="37"/>
      <c r="R975" s="37"/>
      <c r="S975" s="37"/>
      <c r="T975" s="37"/>
      <c r="U975" s="37"/>
      <c r="V975" s="37"/>
      <c r="W975" s="37"/>
      <c r="X975" s="37"/>
      <c r="Y975" s="37"/>
      <c r="Z975" s="37"/>
      <c r="AA975" s="37" t="s">
        <v>1124</v>
      </c>
      <c r="AB975" s="37" t="s">
        <v>1124</v>
      </c>
      <c r="AC975" s="37"/>
      <c r="AD975" s="37"/>
      <c r="AE975" s="37"/>
      <c r="AF975" s="168"/>
      <c r="AG975" s="37"/>
      <c r="AH975" s="37"/>
      <c r="AI975" s="37"/>
      <c r="AJ975" s="37"/>
      <c r="AK975" s="37"/>
      <c r="AL975" s="37"/>
      <c r="AM975" s="37"/>
      <c r="AN975" s="37"/>
      <c r="AO975" s="37"/>
      <c r="AP975" s="37"/>
      <c r="AQ975" s="37"/>
      <c r="AR975" s="37" t="s">
        <v>1124</v>
      </c>
      <c r="AS975" s="37"/>
      <c r="AT975" s="37"/>
      <c r="AU975" s="37"/>
      <c r="AV975" s="37"/>
      <c r="AW975" s="37"/>
      <c r="AX975" s="37"/>
      <c r="AY975" s="37"/>
      <c r="AZ975" s="37"/>
      <c r="BA975" s="37"/>
      <c r="BB975" s="37"/>
      <c r="BC975" s="37"/>
      <c r="BD975" s="37" t="s">
        <v>1124</v>
      </c>
      <c r="BE975" s="37"/>
      <c r="BF975" s="37"/>
      <c r="BG975" s="37"/>
      <c r="BH975" s="37"/>
      <c r="BI975" s="37"/>
      <c r="BJ975" s="37"/>
      <c r="BK975" s="37"/>
      <c r="BL975" s="37"/>
      <c r="BM975" s="37"/>
      <c r="BN975" s="37"/>
      <c r="BO975" s="37"/>
      <c r="BP975" s="37">
        <v>0</v>
      </c>
      <c r="BQ975" s="37"/>
      <c r="BR975" s="37"/>
      <c r="BS975" s="37"/>
      <c r="BT975" s="37"/>
      <c r="BU975" s="37"/>
      <c r="BV975" s="37"/>
      <c r="BW975" s="37"/>
      <c r="BX975" s="37"/>
      <c r="BY975" s="37"/>
      <c r="BZ975" s="37"/>
      <c r="CA975" s="37"/>
      <c r="CB975" s="37" t="s">
        <v>1124</v>
      </c>
      <c r="CC975" s="37"/>
      <c r="CD975" s="37"/>
      <c r="CE975" s="37"/>
      <c r="CF975" s="37"/>
      <c r="CG975" s="37"/>
      <c r="CH975" s="37"/>
      <c r="CI975" s="37"/>
      <c r="CJ975" s="37"/>
      <c r="CK975" s="37"/>
      <c r="CL975" s="37"/>
      <c r="CM975" s="37"/>
      <c r="CN975" s="37" t="s">
        <v>1124</v>
      </c>
      <c r="CO975" s="37"/>
      <c r="CP975" s="37"/>
      <c r="CQ975" s="37"/>
      <c r="CR975" s="37"/>
      <c r="CS975" s="37"/>
      <c r="CT975" s="37"/>
      <c r="CU975" s="37"/>
      <c r="CV975" s="37"/>
      <c r="CW975" s="37"/>
      <c r="CX975" s="37"/>
      <c r="CY975" s="37"/>
      <c r="CZ975" s="37" t="s">
        <v>1124</v>
      </c>
      <c r="DA975" s="37"/>
      <c r="DB975" s="37"/>
      <c r="DC975" s="37"/>
      <c r="DD975" s="37"/>
      <c r="DE975" s="37"/>
      <c r="DF975" s="37"/>
      <c r="DG975" s="37"/>
      <c r="DH975" s="37"/>
      <c r="DI975" s="37"/>
      <c r="DJ975" s="37"/>
      <c r="DK975" s="37"/>
      <c r="DL975" s="37" t="s">
        <v>1124</v>
      </c>
      <c r="DM975" s="37"/>
      <c r="DN975" s="37"/>
      <c r="DO975" s="37"/>
      <c r="DP975" s="37"/>
      <c r="DQ975" s="37"/>
      <c r="DR975" s="37"/>
      <c r="DS975" s="37"/>
      <c r="DT975" s="37"/>
      <c r="DU975" s="37"/>
      <c r="DV975" s="37"/>
      <c r="DW975" s="37"/>
      <c r="DX975" s="37" t="s">
        <v>1124</v>
      </c>
      <c r="DY975" s="37"/>
      <c r="DZ975" s="37"/>
      <c r="EA975" s="37"/>
      <c r="EB975" s="37"/>
      <c r="EC975" s="37"/>
      <c r="ED975" s="37"/>
      <c r="EE975" s="37"/>
      <c r="EF975" s="37"/>
      <c r="EG975" s="37"/>
      <c r="EH975" s="37"/>
      <c r="EI975" s="37"/>
      <c r="EJ975" s="37" t="s">
        <v>1124</v>
      </c>
      <c r="EK975" s="161"/>
      <c r="EL975" s="294"/>
    </row>
    <row r="976" spans="1:142" ht="15" customHeight="1" x14ac:dyDescent="0.35">
      <c r="A976" s="34"/>
      <c r="B976" s="313">
        <v>53040</v>
      </c>
      <c r="C976" s="8" t="s">
        <v>536</v>
      </c>
      <c r="D976" s="18">
        <v>16</v>
      </c>
      <c r="E976" s="155"/>
      <c r="F976" s="36"/>
      <c r="G976" s="37"/>
      <c r="H976" s="37"/>
      <c r="I976" s="37"/>
      <c r="J976" s="37"/>
      <c r="K976" s="37"/>
      <c r="L976" s="37"/>
      <c r="M976" s="37" t="s">
        <v>1124</v>
      </c>
      <c r="N976" s="37" t="s">
        <v>1124</v>
      </c>
      <c r="O976" s="37"/>
      <c r="P976" s="37"/>
      <c r="Q976" s="37"/>
      <c r="R976" s="37"/>
      <c r="S976" s="37"/>
      <c r="T976" s="37"/>
      <c r="U976" s="37"/>
      <c r="V976" s="37"/>
      <c r="W976" s="37"/>
      <c r="X976" s="37"/>
      <c r="Y976" s="37"/>
      <c r="Z976" s="37"/>
      <c r="AA976" s="37" t="s">
        <v>1124</v>
      </c>
      <c r="AB976" s="37" t="s">
        <v>1124</v>
      </c>
      <c r="AC976" s="37"/>
      <c r="AD976" s="37"/>
      <c r="AE976" s="37"/>
      <c r="AF976" s="168"/>
      <c r="AG976" s="37"/>
      <c r="AH976" s="37"/>
      <c r="AI976" s="37"/>
      <c r="AJ976" s="37"/>
      <c r="AK976" s="37"/>
      <c r="AL976" s="37"/>
      <c r="AM976" s="37"/>
      <c r="AN976" s="37"/>
      <c r="AO976" s="37"/>
      <c r="AP976" s="37"/>
      <c r="AQ976" s="37"/>
      <c r="AR976" s="37" t="s">
        <v>1124</v>
      </c>
      <c r="AS976" s="37"/>
      <c r="AT976" s="37"/>
      <c r="AU976" s="37"/>
      <c r="AV976" s="37"/>
      <c r="AW976" s="37"/>
      <c r="AX976" s="37"/>
      <c r="AY976" s="37"/>
      <c r="AZ976" s="37"/>
      <c r="BA976" s="37"/>
      <c r="BB976" s="37"/>
      <c r="BC976" s="37"/>
      <c r="BD976" s="37" t="s">
        <v>1124</v>
      </c>
      <c r="BE976" s="37"/>
      <c r="BF976" s="37"/>
      <c r="BG976" s="37"/>
      <c r="BH976" s="37"/>
      <c r="BI976" s="37"/>
      <c r="BJ976" s="37"/>
      <c r="BK976" s="37"/>
      <c r="BL976" s="37"/>
      <c r="BM976" s="37"/>
      <c r="BN976" s="37"/>
      <c r="BO976" s="37"/>
      <c r="BP976" s="37">
        <v>0</v>
      </c>
      <c r="BQ976" s="37"/>
      <c r="BR976" s="37"/>
      <c r="BS976" s="37"/>
      <c r="BT976" s="37"/>
      <c r="BU976" s="37"/>
      <c r="BV976" s="37"/>
      <c r="BW976" s="37"/>
      <c r="BX976" s="37"/>
      <c r="BY976" s="37"/>
      <c r="BZ976" s="37"/>
      <c r="CA976" s="37"/>
      <c r="CB976" s="37" t="s">
        <v>1124</v>
      </c>
      <c r="CC976" s="37"/>
      <c r="CD976" s="37"/>
      <c r="CE976" s="37"/>
      <c r="CF976" s="37"/>
      <c r="CG976" s="37"/>
      <c r="CH976" s="37"/>
      <c r="CI976" s="37"/>
      <c r="CJ976" s="37"/>
      <c r="CK976" s="37"/>
      <c r="CL976" s="37"/>
      <c r="CM976" s="37"/>
      <c r="CN976" s="37" t="s">
        <v>1124</v>
      </c>
      <c r="CO976" s="37"/>
      <c r="CP976" s="37"/>
      <c r="CQ976" s="37"/>
      <c r="CR976" s="37"/>
      <c r="CS976" s="37"/>
      <c r="CT976" s="37"/>
      <c r="CU976" s="37"/>
      <c r="CV976" s="37"/>
      <c r="CW976" s="37"/>
      <c r="CX976" s="37"/>
      <c r="CY976" s="37"/>
      <c r="CZ976" s="37" t="s">
        <v>1124</v>
      </c>
      <c r="DA976" s="37"/>
      <c r="DB976" s="37"/>
      <c r="DC976" s="37"/>
      <c r="DD976" s="37"/>
      <c r="DE976" s="37"/>
      <c r="DF976" s="37"/>
      <c r="DG976" s="37"/>
      <c r="DH976" s="37"/>
      <c r="DI976" s="37"/>
      <c r="DJ976" s="37"/>
      <c r="DK976" s="37"/>
      <c r="DL976" s="37" t="s">
        <v>1124</v>
      </c>
      <c r="DM976" s="37"/>
      <c r="DN976" s="37"/>
      <c r="DO976" s="37"/>
      <c r="DP976" s="37"/>
      <c r="DQ976" s="37"/>
      <c r="DR976" s="37"/>
      <c r="DS976" s="37"/>
      <c r="DT976" s="37"/>
      <c r="DU976" s="37"/>
      <c r="DV976" s="37"/>
      <c r="DW976" s="37"/>
      <c r="DX976" s="37" t="s">
        <v>1124</v>
      </c>
      <c r="DY976" s="37"/>
      <c r="DZ976" s="37"/>
      <c r="EA976" s="37"/>
      <c r="EB976" s="37"/>
      <c r="EC976" s="37"/>
      <c r="ED976" s="37"/>
      <c r="EE976" s="37"/>
      <c r="EF976" s="37"/>
      <c r="EG976" s="37"/>
      <c r="EH976" s="37"/>
      <c r="EI976" s="37"/>
      <c r="EJ976" s="37" t="s">
        <v>1124</v>
      </c>
      <c r="EK976" s="161"/>
      <c r="EL976" s="294"/>
    </row>
    <row r="977" spans="1:142" ht="15" customHeight="1" x14ac:dyDescent="0.35">
      <c r="A977" s="34"/>
      <c r="B977" s="313">
        <v>17065</v>
      </c>
      <c r="C977" s="8" t="s">
        <v>101</v>
      </c>
      <c r="D977" s="18">
        <v>12</v>
      </c>
      <c r="E977" s="155">
        <v>58389</v>
      </c>
      <c r="F977" s="36">
        <v>56286</v>
      </c>
      <c r="G977" s="37">
        <v>183348</v>
      </c>
      <c r="H977" s="37">
        <v>153348</v>
      </c>
      <c r="I977" s="37">
        <v>354200</v>
      </c>
      <c r="J977" s="37">
        <v>354200</v>
      </c>
      <c r="K977" s="37">
        <v>53130</v>
      </c>
      <c r="L977" s="37">
        <v>53130</v>
      </c>
      <c r="M977" s="37">
        <v>649067</v>
      </c>
      <c r="N977" s="37">
        <v>616964</v>
      </c>
      <c r="O977" s="37">
        <v>0</v>
      </c>
      <c r="P977" s="37">
        <v>0</v>
      </c>
      <c r="Q977" s="37">
        <v>52622</v>
      </c>
      <c r="R977" s="37">
        <v>37528</v>
      </c>
      <c r="S977" s="37">
        <v>0</v>
      </c>
      <c r="T977" s="37">
        <v>0</v>
      </c>
      <c r="U977" s="37">
        <v>256643</v>
      </c>
      <c r="V977" s="37">
        <v>256642</v>
      </c>
      <c r="W977" s="37">
        <v>339802</v>
      </c>
      <c r="X977" s="37">
        <v>322794</v>
      </c>
      <c r="Y977" s="37">
        <v>0</v>
      </c>
      <c r="Z977" s="37">
        <v>0</v>
      </c>
      <c r="AA977" s="37">
        <v>649067</v>
      </c>
      <c r="AB977" s="37">
        <v>616964</v>
      </c>
      <c r="AC977" s="37">
        <v>0</v>
      </c>
      <c r="AD977" s="37">
        <v>0</v>
      </c>
      <c r="AE977" s="37">
        <v>0</v>
      </c>
      <c r="AF977" s="168">
        <v>0.02</v>
      </c>
      <c r="AG977" s="37">
        <v>16127746.91</v>
      </c>
      <c r="AH977" s="37">
        <v>154713.21</v>
      </c>
      <c r="AI977" s="37">
        <v>157807.48000000001</v>
      </c>
      <c r="AJ977" s="37">
        <v>141065.98000000001</v>
      </c>
      <c r="AK977" s="37">
        <v>154711.62</v>
      </c>
      <c r="AL977" s="37">
        <v>146765.04</v>
      </c>
      <c r="AM977" s="37">
        <v>149700.34</v>
      </c>
      <c r="AN977" s="37">
        <v>152694.35</v>
      </c>
      <c r="AO977" s="37">
        <v>155748.24</v>
      </c>
      <c r="AP977" s="37">
        <v>158863.20000000001</v>
      </c>
      <c r="AQ977" s="37">
        <v>162040.47</v>
      </c>
      <c r="AR977" s="37">
        <v>1534109.93</v>
      </c>
      <c r="AS977" s="37">
        <v>0</v>
      </c>
      <c r="AT977" s="37">
        <v>17340</v>
      </c>
      <c r="AU977" s="37">
        <v>201410</v>
      </c>
      <c r="AV977" s="37">
        <v>0</v>
      </c>
      <c r="AW977" s="37">
        <v>0</v>
      </c>
      <c r="AX977" s="37">
        <v>0</v>
      </c>
      <c r="AY977" s="37">
        <v>0</v>
      </c>
      <c r="AZ977" s="37">
        <v>0</v>
      </c>
      <c r="BA977" s="37">
        <v>0</v>
      </c>
      <c r="BB977" s="37">
        <v>0</v>
      </c>
      <c r="BC977" s="37">
        <v>0</v>
      </c>
      <c r="BD977" s="37">
        <v>218750</v>
      </c>
      <c r="BE977" s="37">
        <v>6707</v>
      </c>
      <c r="BF977" s="37">
        <v>2500</v>
      </c>
      <c r="BG977" s="37">
        <v>35000</v>
      </c>
      <c r="BH977" s="37">
        <v>0</v>
      </c>
      <c r="BI977" s="37">
        <v>10000</v>
      </c>
      <c r="BJ977" s="37">
        <v>0</v>
      </c>
      <c r="BK977" s="37">
        <v>0</v>
      </c>
      <c r="BL977" s="37">
        <v>0</v>
      </c>
      <c r="BM977" s="37">
        <v>0</v>
      </c>
      <c r="BN977" s="37">
        <v>0</v>
      </c>
      <c r="BO977" s="37">
        <v>0</v>
      </c>
      <c r="BP977" s="37">
        <v>47500</v>
      </c>
      <c r="BQ977" s="37">
        <v>0</v>
      </c>
      <c r="BR977" s="37">
        <v>0</v>
      </c>
      <c r="BS977" s="37">
        <v>0</v>
      </c>
      <c r="BT977" s="37">
        <v>0</v>
      </c>
      <c r="BU977" s="37">
        <v>0</v>
      </c>
      <c r="BV977" s="37">
        <v>0</v>
      </c>
      <c r="BW977" s="37">
        <v>0</v>
      </c>
      <c r="BX977" s="37">
        <v>0</v>
      </c>
      <c r="BY977" s="37">
        <v>0</v>
      </c>
      <c r="BZ977" s="37">
        <v>0</v>
      </c>
      <c r="CA977" s="37">
        <v>0</v>
      </c>
      <c r="CB977" s="37">
        <v>0</v>
      </c>
      <c r="CC977" s="37">
        <v>0</v>
      </c>
      <c r="CD977" s="37">
        <v>0</v>
      </c>
      <c r="CE977" s="37">
        <v>0</v>
      </c>
      <c r="CF977" s="37">
        <v>0</v>
      </c>
      <c r="CG977" s="37">
        <v>0</v>
      </c>
      <c r="CH977" s="37">
        <v>0</v>
      </c>
      <c r="CI977" s="37">
        <v>0</v>
      </c>
      <c r="CJ977" s="37">
        <v>0</v>
      </c>
      <c r="CK977" s="37">
        <v>0</v>
      </c>
      <c r="CL977" s="37">
        <v>0</v>
      </c>
      <c r="CM977" s="37">
        <v>0</v>
      </c>
      <c r="CN977" s="37">
        <v>0</v>
      </c>
      <c r="CO977" s="37">
        <v>0</v>
      </c>
      <c r="CP977" s="37">
        <v>17000</v>
      </c>
      <c r="CQ977" s="37">
        <v>193589</v>
      </c>
      <c r="CR977" s="37">
        <v>0</v>
      </c>
      <c r="CS977" s="37">
        <v>0</v>
      </c>
      <c r="CT977" s="37">
        <v>0</v>
      </c>
      <c r="CU977" s="37">
        <v>0</v>
      </c>
      <c r="CV977" s="37">
        <v>0</v>
      </c>
      <c r="CW977" s="37">
        <v>0</v>
      </c>
      <c r="CX977" s="37">
        <v>0</v>
      </c>
      <c r="CY977" s="37">
        <v>0</v>
      </c>
      <c r="CZ977" s="37">
        <v>210589</v>
      </c>
      <c r="DA977" s="37">
        <v>0</v>
      </c>
      <c r="DB977" s="37">
        <v>0</v>
      </c>
      <c r="DC977" s="37">
        <v>0</v>
      </c>
      <c r="DD977" s="37">
        <v>0</v>
      </c>
      <c r="DE977" s="37">
        <v>0</v>
      </c>
      <c r="DF977" s="37">
        <v>0</v>
      </c>
      <c r="DG977" s="37">
        <v>0</v>
      </c>
      <c r="DH977" s="37">
        <v>0</v>
      </c>
      <c r="DI977" s="37">
        <v>0</v>
      </c>
      <c r="DJ977" s="37">
        <v>0</v>
      </c>
      <c r="DK977" s="37">
        <v>0</v>
      </c>
      <c r="DL977" s="37">
        <v>0</v>
      </c>
      <c r="DM977" s="37">
        <v>0</v>
      </c>
      <c r="DN977" s="37">
        <v>0</v>
      </c>
      <c r="DO977" s="37">
        <v>0</v>
      </c>
      <c r="DP977" s="37">
        <v>0</v>
      </c>
      <c r="DQ977" s="37">
        <v>0</v>
      </c>
      <c r="DR977" s="37">
        <v>0</v>
      </c>
      <c r="DS977" s="37">
        <v>0</v>
      </c>
      <c r="DT977" s="37">
        <v>0</v>
      </c>
      <c r="DU977" s="37">
        <v>0</v>
      </c>
      <c r="DV977" s="37">
        <v>0</v>
      </c>
      <c r="DW977" s="37">
        <v>0</v>
      </c>
      <c r="DX977" s="37">
        <v>0</v>
      </c>
      <c r="DY977" s="37">
        <v>0</v>
      </c>
      <c r="DZ977" s="37">
        <v>0</v>
      </c>
      <c r="EA977" s="37">
        <v>0</v>
      </c>
      <c r="EB977" s="37">
        <v>0</v>
      </c>
      <c r="EC977" s="37">
        <v>0</v>
      </c>
      <c r="ED977" s="37">
        <v>0</v>
      </c>
      <c r="EE977" s="37">
        <v>0</v>
      </c>
      <c r="EF977" s="37">
        <v>0</v>
      </c>
      <c r="EG977" s="37">
        <v>0</v>
      </c>
      <c r="EH977" s="37">
        <v>0</v>
      </c>
      <c r="EI977" s="37">
        <v>0</v>
      </c>
      <c r="EJ977" s="37">
        <v>0</v>
      </c>
      <c r="EK977" s="161" t="s">
        <v>3400</v>
      </c>
      <c r="EL977" s="294" t="s">
        <v>1124</v>
      </c>
    </row>
    <row r="978" spans="1:142" ht="15" customHeight="1" x14ac:dyDescent="0.35">
      <c r="A978" s="34"/>
      <c r="B978" s="313">
        <v>63040</v>
      </c>
      <c r="C978" s="8" t="s">
        <v>639</v>
      </c>
      <c r="D978" s="18">
        <v>14</v>
      </c>
      <c r="E978" s="155"/>
      <c r="F978" s="36"/>
      <c r="G978" s="37"/>
      <c r="H978" s="37"/>
      <c r="I978" s="37"/>
      <c r="J978" s="37"/>
      <c r="K978" s="37"/>
      <c r="L978" s="37"/>
      <c r="M978" s="37" t="s">
        <v>1124</v>
      </c>
      <c r="N978" s="37" t="s">
        <v>1124</v>
      </c>
      <c r="O978" s="37"/>
      <c r="P978" s="37"/>
      <c r="Q978" s="37"/>
      <c r="R978" s="37"/>
      <c r="S978" s="37"/>
      <c r="T978" s="37"/>
      <c r="U978" s="37"/>
      <c r="V978" s="37"/>
      <c r="W978" s="37"/>
      <c r="X978" s="37"/>
      <c r="Y978" s="37"/>
      <c r="Z978" s="37"/>
      <c r="AA978" s="37" t="s">
        <v>1124</v>
      </c>
      <c r="AB978" s="37" t="s">
        <v>1124</v>
      </c>
      <c r="AC978" s="37"/>
      <c r="AD978" s="37"/>
      <c r="AE978" s="37"/>
      <c r="AF978" s="168"/>
      <c r="AG978" s="37"/>
      <c r="AH978" s="37"/>
      <c r="AI978" s="37"/>
      <c r="AJ978" s="37"/>
      <c r="AK978" s="37"/>
      <c r="AL978" s="37"/>
      <c r="AM978" s="37"/>
      <c r="AN978" s="37"/>
      <c r="AO978" s="37"/>
      <c r="AP978" s="37"/>
      <c r="AQ978" s="37"/>
      <c r="AR978" s="37" t="s">
        <v>1124</v>
      </c>
      <c r="AS978" s="37"/>
      <c r="AT978" s="37"/>
      <c r="AU978" s="37"/>
      <c r="AV978" s="37"/>
      <c r="AW978" s="37"/>
      <c r="AX978" s="37"/>
      <c r="AY978" s="37"/>
      <c r="AZ978" s="37"/>
      <c r="BA978" s="37"/>
      <c r="BB978" s="37"/>
      <c r="BC978" s="37"/>
      <c r="BD978" s="37" t="s">
        <v>1124</v>
      </c>
      <c r="BE978" s="37"/>
      <c r="BF978" s="37"/>
      <c r="BG978" s="37"/>
      <c r="BH978" s="37"/>
      <c r="BI978" s="37"/>
      <c r="BJ978" s="37"/>
      <c r="BK978" s="37"/>
      <c r="BL978" s="37"/>
      <c r="BM978" s="37"/>
      <c r="BN978" s="37"/>
      <c r="BO978" s="37"/>
      <c r="BP978" s="37">
        <v>0</v>
      </c>
      <c r="BQ978" s="37"/>
      <c r="BR978" s="37"/>
      <c r="BS978" s="37"/>
      <c r="BT978" s="37"/>
      <c r="BU978" s="37"/>
      <c r="BV978" s="37"/>
      <c r="BW978" s="37"/>
      <c r="BX978" s="37"/>
      <c r="BY978" s="37"/>
      <c r="BZ978" s="37"/>
      <c r="CA978" s="37"/>
      <c r="CB978" s="37" t="s">
        <v>1124</v>
      </c>
      <c r="CC978" s="37"/>
      <c r="CD978" s="37"/>
      <c r="CE978" s="37"/>
      <c r="CF978" s="37"/>
      <c r="CG978" s="37"/>
      <c r="CH978" s="37"/>
      <c r="CI978" s="37"/>
      <c r="CJ978" s="37"/>
      <c r="CK978" s="37"/>
      <c r="CL978" s="37"/>
      <c r="CM978" s="37"/>
      <c r="CN978" s="37" t="s">
        <v>1124</v>
      </c>
      <c r="CO978" s="37"/>
      <c r="CP978" s="37"/>
      <c r="CQ978" s="37"/>
      <c r="CR978" s="37"/>
      <c r="CS978" s="37"/>
      <c r="CT978" s="37"/>
      <c r="CU978" s="37"/>
      <c r="CV978" s="37"/>
      <c r="CW978" s="37"/>
      <c r="CX978" s="37"/>
      <c r="CY978" s="37"/>
      <c r="CZ978" s="37" t="s">
        <v>1124</v>
      </c>
      <c r="DA978" s="37"/>
      <c r="DB978" s="37"/>
      <c r="DC978" s="37"/>
      <c r="DD978" s="37"/>
      <c r="DE978" s="37"/>
      <c r="DF978" s="37"/>
      <c r="DG978" s="37"/>
      <c r="DH978" s="37"/>
      <c r="DI978" s="37"/>
      <c r="DJ978" s="37"/>
      <c r="DK978" s="37"/>
      <c r="DL978" s="37" t="s">
        <v>1124</v>
      </c>
      <c r="DM978" s="37"/>
      <c r="DN978" s="37"/>
      <c r="DO978" s="37"/>
      <c r="DP978" s="37"/>
      <c r="DQ978" s="37"/>
      <c r="DR978" s="37"/>
      <c r="DS978" s="37"/>
      <c r="DT978" s="37"/>
      <c r="DU978" s="37"/>
      <c r="DV978" s="37"/>
      <c r="DW978" s="37"/>
      <c r="DX978" s="37" t="s">
        <v>1124</v>
      </c>
      <c r="DY978" s="37"/>
      <c r="DZ978" s="37"/>
      <c r="EA978" s="37"/>
      <c r="EB978" s="37"/>
      <c r="EC978" s="37"/>
      <c r="ED978" s="37"/>
      <c r="EE978" s="37"/>
      <c r="EF978" s="37"/>
      <c r="EG978" s="37"/>
      <c r="EH978" s="37"/>
      <c r="EI978" s="37"/>
      <c r="EJ978" s="37" t="s">
        <v>1124</v>
      </c>
      <c r="EK978" s="161"/>
      <c r="EL978" s="294"/>
    </row>
    <row r="979" spans="1:142" ht="15" customHeight="1" x14ac:dyDescent="0.35">
      <c r="A979" s="34"/>
      <c r="B979" s="313">
        <v>30100</v>
      </c>
      <c r="C979" s="8" t="s">
        <v>234</v>
      </c>
      <c r="D979" s="18">
        <v>5</v>
      </c>
      <c r="E979" s="155">
        <v>29381</v>
      </c>
      <c r="F979" s="36">
        <v>54505</v>
      </c>
      <c r="G979" s="37">
        <v>20325</v>
      </c>
      <c r="H979" s="37">
        <v>0</v>
      </c>
      <c r="I979" s="37">
        <v>156600</v>
      </c>
      <c r="J979" s="37">
        <v>0</v>
      </c>
      <c r="K979" s="37">
        <v>4407.1499999999996</v>
      </c>
      <c r="L979" s="37">
        <v>8175.75</v>
      </c>
      <c r="M979" s="37">
        <v>210713.15</v>
      </c>
      <c r="N979" s="37">
        <v>62680.75</v>
      </c>
      <c r="O979" s="37">
        <v>32723</v>
      </c>
      <c r="P979" s="37">
        <v>0</v>
      </c>
      <c r="Q979" s="37">
        <v>7096</v>
      </c>
      <c r="R979" s="37">
        <v>30062</v>
      </c>
      <c r="S979" s="37">
        <v>0</v>
      </c>
      <c r="T979" s="37">
        <v>0</v>
      </c>
      <c r="U979" s="37">
        <v>281</v>
      </c>
      <c r="V979" s="37">
        <v>0</v>
      </c>
      <c r="W979" s="37">
        <v>170613.15</v>
      </c>
      <c r="X979" s="37">
        <v>32618.75</v>
      </c>
      <c r="Y979" s="37">
        <v>0</v>
      </c>
      <c r="Z979" s="37">
        <v>0</v>
      </c>
      <c r="AA979" s="37">
        <v>210713.15</v>
      </c>
      <c r="AB979" s="37">
        <v>62680.75</v>
      </c>
      <c r="AC979" s="37">
        <v>0</v>
      </c>
      <c r="AD979" s="37">
        <v>0</v>
      </c>
      <c r="AE979" s="37">
        <v>0</v>
      </c>
      <c r="AF979" s="168">
        <v>0.02</v>
      </c>
      <c r="AG979" s="37">
        <v>14979234.720000001</v>
      </c>
      <c r="AH979" s="37">
        <v>125164.16</v>
      </c>
      <c r="AI979" s="37">
        <v>127667.45</v>
      </c>
      <c r="AJ979" s="37">
        <v>130220.79</v>
      </c>
      <c r="AK979" s="37">
        <v>132825.21</v>
      </c>
      <c r="AL979" s="37">
        <v>135481.71</v>
      </c>
      <c r="AM979" s="37">
        <v>138191.35</v>
      </c>
      <c r="AN979" s="37">
        <v>140955.18</v>
      </c>
      <c r="AO979" s="37">
        <v>143774.28</v>
      </c>
      <c r="AP979" s="37">
        <v>146649.76</v>
      </c>
      <c r="AQ979" s="37">
        <v>149582.76</v>
      </c>
      <c r="AR979" s="37">
        <v>1370512.6499999997</v>
      </c>
      <c r="AS979" s="37">
        <v>76500</v>
      </c>
      <c r="AT979" s="37">
        <v>1045500</v>
      </c>
      <c r="AU979" s="37">
        <v>0</v>
      </c>
      <c r="AV979" s="37">
        <v>0</v>
      </c>
      <c r="AW979" s="37">
        <v>0</v>
      </c>
      <c r="AX979" s="37">
        <v>0</v>
      </c>
      <c r="AY979" s="37">
        <v>0</v>
      </c>
      <c r="AZ979" s="37">
        <v>0</v>
      </c>
      <c r="BA979" s="37">
        <v>0</v>
      </c>
      <c r="BB979" s="37">
        <v>0</v>
      </c>
      <c r="BC979" s="37">
        <v>0</v>
      </c>
      <c r="BD979" s="37">
        <v>1045500</v>
      </c>
      <c r="BE979" s="37">
        <v>135824.92000000001</v>
      </c>
      <c r="BF979" s="37">
        <v>31043.150571220656</v>
      </c>
      <c r="BG979" s="37">
        <v>33460.598454310573</v>
      </c>
      <c r="BH979" s="37">
        <v>41191.477636183008</v>
      </c>
      <c r="BI979" s="37">
        <v>48922.373338285812</v>
      </c>
      <c r="BJ979" s="37">
        <v>5313.4312987824997</v>
      </c>
      <c r="BK979" s="37">
        <v>25729.719272438124</v>
      </c>
      <c r="BL979" s="37">
        <v>33460.598454310573</v>
      </c>
      <c r="BM979" s="37">
        <v>41191.477636183008</v>
      </c>
      <c r="BN979" s="37">
        <v>48922.373338285812</v>
      </c>
      <c r="BO979" s="37">
        <v>0</v>
      </c>
      <c r="BP979" s="37">
        <v>309235.20000000007</v>
      </c>
      <c r="BQ979" s="37">
        <v>0</v>
      </c>
      <c r="BR979" s="37">
        <v>25000</v>
      </c>
      <c r="BS979" s="37">
        <v>25000</v>
      </c>
      <c r="BT979" s="37">
        <v>25000</v>
      </c>
      <c r="BU979" s="37">
        <v>0</v>
      </c>
      <c r="BV979" s="37">
        <v>0</v>
      </c>
      <c r="BW979" s="37">
        <v>0</v>
      </c>
      <c r="BX979" s="37">
        <v>0</v>
      </c>
      <c r="BY979" s="37">
        <v>0</v>
      </c>
      <c r="BZ979" s="37">
        <v>0</v>
      </c>
      <c r="CA979" s="37">
        <v>0</v>
      </c>
      <c r="CB979" s="37">
        <v>75000</v>
      </c>
      <c r="CC979" s="37">
        <v>0</v>
      </c>
      <c r="CD979" s="37">
        <v>0</v>
      </c>
      <c r="CE979" s="37">
        <v>0</v>
      </c>
      <c r="CF979" s="37">
        <v>0</v>
      </c>
      <c r="CG979" s="37">
        <v>0</v>
      </c>
      <c r="CH979" s="37">
        <v>0</v>
      </c>
      <c r="CI979" s="37">
        <v>0</v>
      </c>
      <c r="CJ979" s="37">
        <v>0</v>
      </c>
      <c r="CK979" s="37">
        <v>0</v>
      </c>
      <c r="CL979" s="37">
        <v>0</v>
      </c>
      <c r="CM979" s="37">
        <v>0</v>
      </c>
      <c r="CN979" s="37">
        <v>0</v>
      </c>
      <c r="CO979" s="37">
        <v>0</v>
      </c>
      <c r="CP979" s="37">
        <v>200000</v>
      </c>
      <c r="CQ979" s="37">
        <v>0</v>
      </c>
      <c r="CR979" s="37">
        <v>0</v>
      </c>
      <c r="CS979" s="37">
        <v>0</v>
      </c>
      <c r="CT979" s="37">
        <v>0</v>
      </c>
      <c r="CU979" s="37">
        <v>0</v>
      </c>
      <c r="CV979" s="37">
        <v>0</v>
      </c>
      <c r="CW979" s="37">
        <v>0</v>
      </c>
      <c r="CX979" s="37">
        <v>0</v>
      </c>
      <c r="CY979" s="37">
        <v>0</v>
      </c>
      <c r="CZ979" s="37">
        <v>200000</v>
      </c>
      <c r="DA979" s="37">
        <v>0</v>
      </c>
      <c r="DB979" s="37">
        <v>825000</v>
      </c>
      <c r="DC979" s="37">
        <v>0</v>
      </c>
      <c r="DD979" s="37">
        <v>0</v>
      </c>
      <c r="DE979" s="37">
        <v>0</v>
      </c>
      <c r="DF979" s="37">
        <v>0</v>
      </c>
      <c r="DG979" s="37">
        <v>0</v>
      </c>
      <c r="DH979" s="37">
        <v>0</v>
      </c>
      <c r="DI979" s="37">
        <v>0</v>
      </c>
      <c r="DJ979" s="37">
        <v>0</v>
      </c>
      <c r="DK979" s="37">
        <v>0</v>
      </c>
      <c r="DL979" s="37">
        <v>825000</v>
      </c>
      <c r="DM979" s="37">
        <v>0</v>
      </c>
      <c r="DN979" s="37">
        <v>0</v>
      </c>
      <c r="DO979" s="37">
        <v>0</v>
      </c>
      <c r="DP979" s="37">
        <v>0</v>
      </c>
      <c r="DQ979" s="37">
        <v>0</v>
      </c>
      <c r="DR979" s="37">
        <v>0</v>
      </c>
      <c r="DS979" s="37">
        <v>0</v>
      </c>
      <c r="DT979" s="37">
        <v>0</v>
      </c>
      <c r="DU979" s="37">
        <v>0</v>
      </c>
      <c r="DV979" s="37">
        <v>0</v>
      </c>
      <c r="DW979" s="37">
        <v>0</v>
      </c>
      <c r="DX979" s="37">
        <v>0</v>
      </c>
      <c r="DY979" s="37">
        <v>0</v>
      </c>
      <c r="DZ979" s="37">
        <v>0</v>
      </c>
      <c r="EA979" s="37">
        <v>0</v>
      </c>
      <c r="EB979" s="37">
        <v>0</v>
      </c>
      <c r="EC979" s="37">
        <v>0</v>
      </c>
      <c r="ED979" s="37">
        <v>0</v>
      </c>
      <c r="EE979" s="37">
        <v>0</v>
      </c>
      <c r="EF979" s="37">
        <v>0</v>
      </c>
      <c r="EG979" s="37">
        <v>0</v>
      </c>
      <c r="EH979" s="37">
        <v>0</v>
      </c>
      <c r="EI979" s="37">
        <v>0</v>
      </c>
      <c r="EJ979" s="37">
        <v>0</v>
      </c>
      <c r="EK979" s="161" t="s">
        <v>3405</v>
      </c>
      <c r="EL979" s="294" t="s">
        <v>1124</v>
      </c>
    </row>
    <row r="980" spans="1:142" ht="15" customHeight="1" x14ac:dyDescent="0.35">
      <c r="A980" s="34"/>
      <c r="B980" s="313">
        <v>39145</v>
      </c>
      <c r="C980" s="8" t="s">
        <v>355</v>
      </c>
      <c r="D980" s="18">
        <v>17</v>
      </c>
      <c r="E980" s="155">
        <v>18592</v>
      </c>
      <c r="F980" s="36">
        <v>0</v>
      </c>
      <c r="G980" s="37">
        <v>0</v>
      </c>
      <c r="H980" s="37">
        <v>0</v>
      </c>
      <c r="I980" s="37">
        <v>0</v>
      </c>
      <c r="J980" s="37">
        <v>0</v>
      </c>
      <c r="K980" s="37">
        <v>2788.7999999999997</v>
      </c>
      <c r="L980" s="37">
        <v>0</v>
      </c>
      <c r="M980" s="37">
        <v>21380.799999999999</v>
      </c>
      <c r="N980" s="37">
        <v>0</v>
      </c>
      <c r="O980" s="37">
        <v>0</v>
      </c>
      <c r="P980" s="37">
        <v>0</v>
      </c>
      <c r="Q980" s="37">
        <v>28080</v>
      </c>
      <c r="R980" s="37">
        <v>0</v>
      </c>
      <c r="S980" s="37">
        <v>0</v>
      </c>
      <c r="T980" s="37">
        <v>0</v>
      </c>
      <c r="U980" s="37">
        <v>0</v>
      </c>
      <c r="V980" s="37">
        <v>0</v>
      </c>
      <c r="W980" s="37">
        <v>0</v>
      </c>
      <c r="X980" s="37">
        <v>0</v>
      </c>
      <c r="Y980" s="37">
        <v>0</v>
      </c>
      <c r="Z980" s="37">
        <v>0</v>
      </c>
      <c r="AA980" s="37">
        <v>28080</v>
      </c>
      <c r="AB980" s="37">
        <v>0</v>
      </c>
      <c r="AC980" s="37">
        <v>6699</v>
      </c>
      <c r="AD980" s="37">
        <v>0</v>
      </c>
      <c r="AE980" s="37">
        <v>0</v>
      </c>
      <c r="AF980" s="168">
        <v>0.02</v>
      </c>
      <c r="AG980" s="37">
        <v>3802527.48</v>
      </c>
      <c r="AH980" s="37">
        <v>1757737.44</v>
      </c>
      <c r="AI980" s="37">
        <v>48700.03</v>
      </c>
      <c r="AJ980" s="37">
        <v>49674.03</v>
      </c>
      <c r="AK980" s="37">
        <v>50667.51</v>
      </c>
      <c r="AL980" s="37">
        <v>51680.86</v>
      </c>
      <c r="AM980" s="37">
        <v>52714.48</v>
      </c>
      <c r="AN980" s="37">
        <v>53768.77</v>
      </c>
      <c r="AO980" s="37">
        <v>54844.14</v>
      </c>
      <c r="AP980" s="37">
        <v>55941.02</v>
      </c>
      <c r="AQ980" s="37">
        <v>57059.839999999997</v>
      </c>
      <c r="AR980" s="37">
        <v>2232788.12</v>
      </c>
      <c r="AS980" s="37">
        <v>679946.77</v>
      </c>
      <c r="AT980" s="37">
        <v>0</v>
      </c>
      <c r="AU980" s="37">
        <v>0</v>
      </c>
      <c r="AV980" s="37">
        <v>0</v>
      </c>
      <c r="AW980" s="37">
        <v>0</v>
      </c>
      <c r="AX980" s="37">
        <v>0</v>
      </c>
      <c r="AY980" s="37">
        <v>0</v>
      </c>
      <c r="AZ980" s="37">
        <v>0</v>
      </c>
      <c r="BA980" s="37">
        <v>0</v>
      </c>
      <c r="BB980" s="37">
        <v>0</v>
      </c>
      <c r="BC980" s="37">
        <v>0</v>
      </c>
      <c r="BD980" s="37">
        <v>0</v>
      </c>
      <c r="BE980" s="37">
        <v>0</v>
      </c>
      <c r="BF980" s="37">
        <v>1058557</v>
      </c>
      <c r="BG980" s="37">
        <v>773436</v>
      </c>
      <c r="BH980" s="37">
        <v>218559.05</v>
      </c>
      <c r="BI980" s="37">
        <v>259578.64</v>
      </c>
      <c r="BJ980" s="37">
        <v>0</v>
      </c>
      <c r="BK980" s="37">
        <v>0</v>
      </c>
      <c r="BL980" s="37">
        <v>0</v>
      </c>
      <c r="BM980" s="37">
        <v>0</v>
      </c>
      <c r="BN980" s="37">
        <v>0</v>
      </c>
      <c r="BO980" s="37">
        <v>0</v>
      </c>
      <c r="BP980" s="37">
        <v>2310130.69</v>
      </c>
      <c r="BQ980" s="37">
        <v>0</v>
      </c>
      <c r="BR980" s="37">
        <v>267983</v>
      </c>
      <c r="BS980" s="37">
        <v>196963</v>
      </c>
      <c r="BT980" s="37">
        <v>59076</v>
      </c>
      <c r="BU980" s="37">
        <v>70164</v>
      </c>
      <c r="BV980" s="37">
        <v>0</v>
      </c>
      <c r="BW980" s="37">
        <v>0</v>
      </c>
      <c r="BX980" s="37">
        <v>0</v>
      </c>
      <c r="BY980" s="37">
        <v>0</v>
      </c>
      <c r="BZ980" s="37">
        <v>0</v>
      </c>
      <c r="CA980" s="37">
        <v>0</v>
      </c>
      <c r="CB980" s="37">
        <v>594186</v>
      </c>
      <c r="CC980" s="37">
        <v>0</v>
      </c>
      <c r="CD980" s="37">
        <v>0</v>
      </c>
      <c r="CE980" s="37">
        <v>0</v>
      </c>
      <c r="CF980" s="37">
        <v>0</v>
      </c>
      <c r="CG980" s="37">
        <v>0</v>
      </c>
      <c r="CH980" s="37">
        <v>0</v>
      </c>
      <c r="CI980" s="37">
        <v>0</v>
      </c>
      <c r="CJ980" s="37">
        <v>0</v>
      </c>
      <c r="CK980" s="37">
        <v>0</v>
      </c>
      <c r="CL980" s="37">
        <v>0</v>
      </c>
      <c r="CM980" s="37">
        <v>0</v>
      </c>
      <c r="CN980" s="37">
        <v>0</v>
      </c>
      <c r="CO980" s="37">
        <v>0</v>
      </c>
      <c r="CP980" s="37">
        <v>0</v>
      </c>
      <c r="CQ980" s="37">
        <v>0</v>
      </c>
      <c r="CR980" s="37">
        <v>0</v>
      </c>
      <c r="CS980" s="37">
        <v>0</v>
      </c>
      <c r="CT980" s="37">
        <v>0</v>
      </c>
      <c r="CU980" s="37">
        <v>0</v>
      </c>
      <c r="CV980" s="37">
        <v>0</v>
      </c>
      <c r="CW980" s="37">
        <v>0</v>
      </c>
      <c r="CX980" s="37">
        <v>0</v>
      </c>
      <c r="CY980" s="37">
        <v>0</v>
      </c>
      <c r="CZ980" s="37">
        <v>0</v>
      </c>
      <c r="DA980" s="37">
        <v>0</v>
      </c>
      <c r="DB980" s="37">
        <v>0</v>
      </c>
      <c r="DC980" s="37">
        <v>0</v>
      </c>
      <c r="DD980" s="37">
        <v>0</v>
      </c>
      <c r="DE980" s="37">
        <v>0</v>
      </c>
      <c r="DF980" s="37">
        <v>0</v>
      </c>
      <c r="DG980" s="37">
        <v>0</v>
      </c>
      <c r="DH980" s="37">
        <v>0</v>
      </c>
      <c r="DI980" s="37">
        <v>0</v>
      </c>
      <c r="DJ980" s="37">
        <v>0</v>
      </c>
      <c r="DK980" s="37">
        <v>0</v>
      </c>
      <c r="DL980" s="37">
        <v>0</v>
      </c>
      <c r="DM980" s="37">
        <v>0</v>
      </c>
      <c r="DN980" s="37">
        <v>0</v>
      </c>
      <c r="DO980" s="37">
        <v>0</v>
      </c>
      <c r="DP980" s="37">
        <v>0</v>
      </c>
      <c r="DQ980" s="37">
        <v>0</v>
      </c>
      <c r="DR980" s="37">
        <v>0</v>
      </c>
      <c r="DS980" s="37">
        <v>0</v>
      </c>
      <c r="DT980" s="37">
        <v>0</v>
      </c>
      <c r="DU980" s="37">
        <v>0</v>
      </c>
      <c r="DV980" s="37">
        <v>0</v>
      </c>
      <c r="DW980" s="37">
        <v>0</v>
      </c>
      <c r="DX980" s="37">
        <v>0</v>
      </c>
      <c r="DY980" s="37">
        <v>0</v>
      </c>
      <c r="DZ980" s="37">
        <v>0</v>
      </c>
      <c r="EA980" s="37">
        <v>0</v>
      </c>
      <c r="EB980" s="37">
        <v>0</v>
      </c>
      <c r="EC980" s="37">
        <v>0</v>
      </c>
      <c r="ED980" s="37">
        <v>0</v>
      </c>
      <c r="EE980" s="37">
        <v>0</v>
      </c>
      <c r="EF980" s="37">
        <v>0</v>
      </c>
      <c r="EG980" s="37">
        <v>0</v>
      </c>
      <c r="EH980" s="37">
        <v>0</v>
      </c>
      <c r="EI980" s="37">
        <v>0</v>
      </c>
      <c r="EJ980" s="37">
        <v>0</v>
      </c>
      <c r="EK980" s="161" t="s">
        <v>3749</v>
      </c>
      <c r="EL980" s="294" t="s">
        <v>1124</v>
      </c>
    </row>
    <row r="981" spans="1:142" ht="15" customHeight="1" x14ac:dyDescent="0.35">
      <c r="A981" s="34"/>
      <c r="B981" s="313">
        <v>39130</v>
      </c>
      <c r="C981" s="8" t="s">
        <v>353</v>
      </c>
      <c r="D981" s="18">
        <v>17</v>
      </c>
      <c r="E981" s="155"/>
      <c r="F981" s="36"/>
      <c r="G981" s="37"/>
      <c r="H981" s="37"/>
      <c r="I981" s="37"/>
      <c r="J981" s="37"/>
      <c r="K981" s="37"/>
      <c r="L981" s="37"/>
      <c r="M981" s="37" t="s">
        <v>1124</v>
      </c>
      <c r="N981" s="37" t="s">
        <v>1124</v>
      </c>
      <c r="O981" s="37"/>
      <c r="P981" s="37"/>
      <c r="Q981" s="37"/>
      <c r="R981" s="37"/>
      <c r="S981" s="37"/>
      <c r="T981" s="37"/>
      <c r="U981" s="37"/>
      <c r="V981" s="37"/>
      <c r="W981" s="37"/>
      <c r="X981" s="37"/>
      <c r="Y981" s="37"/>
      <c r="Z981" s="37"/>
      <c r="AA981" s="37" t="s">
        <v>1124</v>
      </c>
      <c r="AB981" s="37" t="s">
        <v>1124</v>
      </c>
      <c r="AC981" s="37"/>
      <c r="AD981" s="37"/>
      <c r="AE981" s="37"/>
      <c r="AF981" s="168"/>
      <c r="AG981" s="37"/>
      <c r="AH981" s="37"/>
      <c r="AI981" s="37"/>
      <c r="AJ981" s="37"/>
      <c r="AK981" s="37"/>
      <c r="AL981" s="37"/>
      <c r="AM981" s="37"/>
      <c r="AN981" s="37"/>
      <c r="AO981" s="37"/>
      <c r="AP981" s="37"/>
      <c r="AQ981" s="37"/>
      <c r="AR981" s="37" t="s">
        <v>1124</v>
      </c>
      <c r="AS981" s="37"/>
      <c r="AT981" s="37"/>
      <c r="AU981" s="37"/>
      <c r="AV981" s="37"/>
      <c r="AW981" s="37"/>
      <c r="AX981" s="37"/>
      <c r="AY981" s="37"/>
      <c r="AZ981" s="37"/>
      <c r="BA981" s="37"/>
      <c r="BB981" s="37"/>
      <c r="BC981" s="37"/>
      <c r="BD981" s="37" t="s">
        <v>1124</v>
      </c>
      <c r="BE981" s="37"/>
      <c r="BF981" s="37"/>
      <c r="BG981" s="37"/>
      <c r="BH981" s="37"/>
      <c r="BI981" s="37"/>
      <c r="BJ981" s="37"/>
      <c r="BK981" s="37"/>
      <c r="BL981" s="37"/>
      <c r="BM981" s="37"/>
      <c r="BN981" s="37"/>
      <c r="BO981" s="37"/>
      <c r="BP981" s="37">
        <v>0</v>
      </c>
      <c r="BQ981" s="37"/>
      <c r="BR981" s="37"/>
      <c r="BS981" s="37"/>
      <c r="BT981" s="37"/>
      <c r="BU981" s="37"/>
      <c r="BV981" s="37"/>
      <c r="BW981" s="37"/>
      <c r="BX981" s="37"/>
      <c r="BY981" s="37"/>
      <c r="BZ981" s="37"/>
      <c r="CA981" s="37"/>
      <c r="CB981" s="37" t="s">
        <v>1124</v>
      </c>
      <c r="CC981" s="37"/>
      <c r="CD981" s="37"/>
      <c r="CE981" s="37"/>
      <c r="CF981" s="37"/>
      <c r="CG981" s="37"/>
      <c r="CH981" s="37"/>
      <c r="CI981" s="37"/>
      <c r="CJ981" s="37"/>
      <c r="CK981" s="37"/>
      <c r="CL981" s="37"/>
      <c r="CM981" s="37"/>
      <c r="CN981" s="37" t="s">
        <v>1124</v>
      </c>
      <c r="CO981" s="37"/>
      <c r="CP981" s="37"/>
      <c r="CQ981" s="37"/>
      <c r="CR981" s="37"/>
      <c r="CS981" s="37"/>
      <c r="CT981" s="37"/>
      <c r="CU981" s="37"/>
      <c r="CV981" s="37"/>
      <c r="CW981" s="37"/>
      <c r="CX981" s="37"/>
      <c r="CY981" s="37"/>
      <c r="CZ981" s="37" t="s">
        <v>1124</v>
      </c>
      <c r="DA981" s="37"/>
      <c r="DB981" s="37"/>
      <c r="DC981" s="37"/>
      <c r="DD981" s="37"/>
      <c r="DE981" s="37"/>
      <c r="DF981" s="37"/>
      <c r="DG981" s="37"/>
      <c r="DH981" s="37"/>
      <c r="DI981" s="37"/>
      <c r="DJ981" s="37"/>
      <c r="DK981" s="37"/>
      <c r="DL981" s="37" t="s">
        <v>1124</v>
      </c>
      <c r="DM981" s="37"/>
      <c r="DN981" s="37"/>
      <c r="DO981" s="37"/>
      <c r="DP981" s="37"/>
      <c r="DQ981" s="37"/>
      <c r="DR981" s="37"/>
      <c r="DS981" s="37"/>
      <c r="DT981" s="37"/>
      <c r="DU981" s="37"/>
      <c r="DV981" s="37"/>
      <c r="DW981" s="37"/>
      <c r="DX981" s="37" t="s">
        <v>1124</v>
      </c>
      <c r="DY981" s="37"/>
      <c r="DZ981" s="37"/>
      <c r="EA981" s="37"/>
      <c r="EB981" s="37"/>
      <c r="EC981" s="37"/>
      <c r="ED981" s="37"/>
      <c r="EE981" s="37"/>
      <c r="EF981" s="37"/>
      <c r="EG981" s="37"/>
      <c r="EH981" s="37"/>
      <c r="EI981" s="37"/>
      <c r="EJ981" s="37" t="s">
        <v>1124</v>
      </c>
      <c r="EK981" s="161"/>
      <c r="EL981" s="294"/>
    </row>
    <row r="982" spans="1:142" ht="15" customHeight="1" x14ac:dyDescent="0.35">
      <c r="A982" s="34"/>
      <c r="B982" s="313">
        <v>26010</v>
      </c>
      <c r="C982" s="8" t="s">
        <v>168</v>
      </c>
      <c r="D982" s="18">
        <v>12</v>
      </c>
      <c r="E982" s="155"/>
      <c r="F982" s="36"/>
      <c r="G982" s="37"/>
      <c r="H982" s="37"/>
      <c r="I982" s="37"/>
      <c r="J982" s="37"/>
      <c r="K982" s="37"/>
      <c r="L982" s="37"/>
      <c r="M982" s="37" t="s">
        <v>1124</v>
      </c>
      <c r="N982" s="37" t="s">
        <v>1124</v>
      </c>
      <c r="O982" s="37"/>
      <c r="P982" s="37"/>
      <c r="Q982" s="37"/>
      <c r="R982" s="37"/>
      <c r="S982" s="37"/>
      <c r="T982" s="37"/>
      <c r="U982" s="37"/>
      <c r="V982" s="37"/>
      <c r="W982" s="37"/>
      <c r="X982" s="37"/>
      <c r="Y982" s="37"/>
      <c r="Z982" s="37"/>
      <c r="AA982" s="37" t="s">
        <v>1124</v>
      </c>
      <c r="AB982" s="37" t="s">
        <v>1124</v>
      </c>
      <c r="AC982" s="37"/>
      <c r="AD982" s="37"/>
      <c r="AE982" s="37"/>
      <c r="AF982" s="168"/>
      <c r="AG982" s="37"/>
      <c r="AH982" s="37"/>
      <c r="AI982" s="37"/>
      <c r="AJ982" s="37"/>
      <c r="AK982" s="37"/>
      <c r="AL982" s="37"/>
      <c r="AM982" s="37"/>
      <c r="AN982" s="37"/>
      <c r="AO982" s="37"/>
      <c r="AP982" s="37"/>
      <c r="AQ982" s="37"/>
      <c r="AR982" s="37" t="s">
        <v>1124</v>
      </c>
      <c r="AS982" s="37"/>
      <c r="AT982" s="37"/>
      <c r="AU982" s="37"/>
      <c r="AV982" s="37"/>
      <c r="AW982" s="37"/>
      <c r="AX982" s="37"/>
      <c r="AY982" s="37"/>
      <c r="AZ982" s="37"/>
      <c r="BA982" s="37"/>
      <c r="BB982" s="37"/>
      <c r="BC982" s="37"/>
      <c r="BD982" s="37" t="s">
        <v>1124</v>
      </c>
      <c r="BE982" s="37"/>
      <c r="BF982" s="37"/>
      <c r="BG982" s="37"/>
      <c r="BH982" s="37"/>
      <c r="BI982" s="37"/>
      <c r="BJ982" s="37"/>
      <c r="BK982" s="37"/>
      <c r="BL982" s="37"/>
      <c r="BM982" s="37"/>
      <c r="BN982" s="37"/>
      <c r="BO982" s="37"/>
      <c r="BP982" s="37">
        <v>0</v>
      </c>
      <c r="BQ982" s="37"/>
      <c r="BR982" s="37"/>
      <c r="BS982" s="37"/>
      <c r="BT982" s="37"/>
      <c r="BU982" s="37"/>
      <c r="BV982" s="37"/>
      <c r="BW982" s="37"/>
      <c r="BX982" s="37"/>
      <c r="BY982" s="37"/>
      <c r="BZ982" s="37"/>
      <c r="CA982" s="37"/>
      <c r="CB982" s="37" t="s">
        <v>1124</v>
      </c>
      <c r="CC982" s="37"/>
      <c r="CD982" s="37"/>
      <c r="CE982" s="37"/>
      <c r="CF982" s="37"/>
      <c r="CG982" s="37"/>
      <c r="CH982" s="37"/>
      <c r="CI982" s="37"/>
      <c r="CJ982" s="37"/>
      <c r="CK982" s="37"/>
      <c r="CL982" s="37"/>
      <c r="CM982" s="37"/>
      <c r="CN982" s="37" t="s">
        <v>1124</v>
      </c>
      <c r="CO982" s="37"/>
      <c r="CP982" s="37"/>
      <c r="CQ982" s="37"/>
      <c r="CR982" s="37"/>
      <c r="CS982" s="37"/>
      <c r="CT982" s="37"/>
      <c r="CU982" s="37"/>
      <c r="CV982" s="37"/>
      <c r="CW982" s="37"/>
      <c r="CX982" s="37"/>
      <c r="CY982" s="37"/>
      <c r="CZ982" s="37" t="s">
        <v>1124</v>
      </c>
      <c r="DA982" s="37"/>
      <c r="DB982" s="37"/>
      <c r="DC982" s="37"/>
      <c r="DD982" s="37"/>
      <c r="DE982" s="37"/>
      <c r="DF982" s="37"/>
      <c r="DG982" s="37"/>
      <c r="DH982" s="37"/>
      <c r="DI982" s="37"/>
      <c r="DJ982" s="37"/>
      <c r="DK982" s="37"/>
      <c r="DL982" s="37" t="s">
        <v>1124</v>
      </c>
      <c r="DM982" s="37"/>
      <c r="DN982" s="37"/>
      <c r="DO982" s="37"/>
      <c r="DP982" s="37"/>
      <c r="DQ982" s="37"/>
      <c r="DR982" s="37"/>
      <c r="DS982" s="37"/>
      <c r="DT982" s="37"/>
      <c r="DU982" s="37"/>
      <c r="DV982" s="37"/>
      <c r="DW982" s="37"/>
      <c r="DX982" s="37" t="s">
        <v>1124</v>
      </c>
      <c r="DY982" s="37"/>
      <c r="DZ982" s="37"/>
      <c r="EA982" s="37"/>
      <c r="EB982" s="37"/>
      <c r="EC982" s="37"/>
      <c r="ED982" s="37"/>
      <c r="EE982" s="37"/>
      <c r="EF982" s="37"/>
      <c r="EG982" s="37"/>
      <c r="EH982" s="37"/>
      <c r="EI982" s="37"/>
      <c r="EJ982" s="37" t="s">
        <v>1124</v>
      </c>
      <c r="EK982" s="161"/>
      <c r="EL982" s="294"/>
    </row>
    <row r="983" spans="1:142" ht="15" customHeight="1" x14ac:dyDescent="0.35">
      <c r="A983" s="34"/>
      <c r="B983" s="313">
        <v>77043</v>
      </c>
      <c r="C983" s="8" t="s">
        <v>761</v>
      </c>
      <c r="D983" s="18">
        <v>15</v>
      </c>
      <c r="E983" s="155">
        <v>763116</v>
      </c>
      <c r="F983" s="36">
        <v>537798</v>
      </c>
      <c r="G983" s="37">
        <v>142661</v>
      </c>
      <c r="H983" s="37">
        <v>62706</v>
      </c>
      <c r="I983" s="37">
        <v>538211</v>
      </c>
      <c r="J983" s="37">
        <v>116495</v>
      </c>
      <c r="K983" s="37">
        <v>0</v>
      </c>
      <c r="L983" s="37">
        <v>0</v>
      </c>
      <c r="M983" s="37">
        <v>1443988</v>
      </c>
      <c r="N983" s="37">
        <v>716999</v>
      </c>
      <c r="O983" s="37">
        <v>261367</v>
      </c>
      <c r="P983" s="37">
        <v>0</v>
      </c>
      <c r="Q983" s="37">
        <v>567437</v>
      </c>
      <c r="R983" s="37">
        <v>657249</v>
      </c>
      <c r="S983" s="37">
        <v>24357</v>
      </c>
      <c r="T983" s="37">
        <v>15920</v>
      </c>
      <c r="U983" s="37">
        <v>74683</v>
      </c>
      <c r="V983" s="37">
        <v>0</v>
      </c>
      <c r="W983" s="37">
        <v>516144</v>
      </c>
      <c r="X983" s="37">
        <v>43830</v>
      </c>
      <c r="Y983" s="37">
        <v>0</v>
      </c>
      <c r="Z983" s="37">
        <v>0</v>
      </c>
      <c r="AA983" s="37">
        <v>1443988</v>
      </c>
      <c r="AB983" s="37">
        <v>716999</v>
      </c>
      <c r="AC983" s="37">
        <v>0</v>
      </c>
      <c r="AD983" s="37">
        <v>0</v>
      </c>
      <c r="AE983" s="37">
        <v>0</v>
      </c>
      <c r="AF983" s="168">
        <v>0.02</v>
      </c>
      <c r="AG983" s="37">
        <v>88629555.810000002</v>
      </c>
      <c r="AH983" s="37">
        <v>833553.4</v>
      </c>
      <c r="AI983" s="37">
        <v>724471.32</v>
      </c>
      <c r="AJ983" s="37">
        <v>720018.19</v>
      </c>
      <c r="AK983" s="37">
        <v>734418.55</v>
      </c>
      <c r="AL983" s="37">
        <v>749106.92</v>
      </c>
      <c r="AM983" s="37">
        <v>764089.06</v>
      </c>
      <c r="AN983" s="37">
        <v>779370.84</v>
      </c>
      <c r="AO983" s="37">
        <v>794958.26</v>
      </c>
      <c r="AP983" s="37">
        <v>810857.42</v>
      </c>
      <c r="AQ983" s="37">
        <v>827074.57</v>
      </c>
      <c r="AR983" s="37">
        <v>7737918.5300000012</v>
      </c>
      <c r="AS983" s="37">
        <v>7054561.7400000002</v>
      </c>
      <c r="AT983" s="37">
        <v>3121.2</v>
      </c>
      <c r="AU983" s="37">
        <v>0</v>
      </c>
      <c r="AV983" s="37">
        <v>2122413.88</v>
      </c>
      <c r="AW983" s="37">
        <v>0</v>
      </c>
      <c r="AX983" s="37">
        <v>0</v>
      </c>
      <c r="AY983" s="37">
        <v>0</v>
      </c>
      <c r="AZ983" s="37">
        <v>0</v>
      </c>
      <c r="BA983" s="37">
        <v>0</v>
      </c>
      <c r="BB983" s="37">
        <v>0</v>
      </c>
      <c r="BC983" s="37">
        <v>0</v>
      </c>
      <c r="BD983" s="37">
        <v>2125535.08</v>
      </c>
      <c r="BE983" s="37">
        <v>0</v>
      </c>
      <c r="BF983" s="37">
        <v>1412613</v>
      </c>
      <c r="BG983" s="37">
        <v>4267055</v>
      </c>
      <c r="BH983" s="37">
        <v>0</v>
      </c>
      <c r="BI983" s="37">
        <v>0</v>
      </c>
      <c r="BJ983" s="37">
        <v>0</v>
      </c>
      <c r="BK983" s="37">
        <v>0</v>
      </c>
      <c r="BL983" s="37">
        <v>0</v>
      </c>
      <c r="BM983" s="37">
        <v>0</v>
      </c>
      <c r="BN983" s="37">
        <v>0</v>
      </c>
      <c r="BO983" s="37">
        <v>0</v>
      </c>
      <c r="BP983" s="37">
        <v>5679668</v>
      </c>
      <c r="BQ983" s="37">
        <v>191722</v>
      </c>
      <c r="BR983" s="37">
        <v>555000</v>
      </c>
      <c r="BS983" s="37">
        <v>4973800</v>
      </c>
      <c r="BT983" s="37">
        <v>0</v>
      </c>
      <c r="BU983" s="37">
        <v>0</v>
      </c>
      <c r="BV983" s="37">
        <v>0</v>
      </c>
      <c r="BW983" s="37">
        <v>0</v>
      </c>
      <c r="BX983" s="37">
        <v>0</v>
      </c>
      <c r="BY983" s="37">
        <v>0</v>
      </c>
      <c r="BZ983" s="37">
        <v>0</v>
      </c>
      <c r="CA983" s="37">
        <v>0</v>
      </c>
      <c r="CB983" s="37">
        <v>5528800</v>
      </c>
      <c r="CC983" s="37">
        <v>0</v>
      </c>
      <c r="CD983" s="37">
        <v>253856</v>
      </c>
      <c r="CE983" s="37">
        <v>0</v>
      </c>
      <c r="CF983" s="37">
        <v>0</v>
      </c>
      <c r="CG983" s="37">
        <v>0</v>
      </c>
      <c r="CH983" s="37">
        <v>0</v>
      </c>
      <c r="CI983" s="37">
        <v>0</v>
      </c>
      <c r="CJ983" s="37">
        <v>0</v>
      </c>
      <c r="CK983" s="37">
        <v>0</v>
      </c>
      <c r="CL983" s="37">
        <v>0</v>
      </c>
      <c r="CM983" s="37">
        <v>0</v>
      </c>
      <c r="CN983" s="37">
        <v>253856</v>
      </c>
      <c r="CO983" s="37">
        <v>0</v>
      </c>
      <c r="CP983" s="37">
        <v>0</v>
      </c>
      <c r="CQ983" s="37">
        <v>0</v>
      </c>
      <c r="CR983" s="37">
        <v>0</v>
      </c>
      <c r="CS983" s="37">
        <v>0</v>
      </c>
      <c r="CT983" s="37">
        <v>0</v>
      </c>
      <c r="CU983" s="37">
        <v>0</v>
      </c>
      <c r="CV983" s="37">
        <v>0</v>
      </c>
      <c r="CW983" s="37">
        <v>0</v>
      </c>
      <c r="CX983" s="37">
        <v>0</v>
      </c>
      <c r="CY983" s="37">
        <v>0</v>
      </c>
      <c r="CZ983" s="37">
        <v>0</v>
      </c>
      <c r="DA983" s="37">
        <v>0</v>
      </c>
      <c r="DB983" s="37">
        <v>0</v>
      </c>
      <c r="DC983" s="37">
        <v>1591355</v>
      </c>
      <c r="DD983" s="37">
        <v>0</v>
      </c>
      <c r="DE983" s="37">
        <v>0</v>
      </c>
      <c r="DF983" s="37">
        <v>0</v>
      </c>
      <c r="DG983" s="37">
        <v>0</v>
      </c>
      <c r="DH983" s="37">
        <v>0</v>
      </c>
      <c r="DI983" s="37">
        <v>0</v>
      </c>
      <c r="DJ983" s="37">
        <v>0</v>
      </c>
      <c r="DK983" s="37">
        <v>0</v>
      </c>
      <c r="DL983" s="37">
        <v>1591355</v>
      </c>
      <c r="DM983" s="37">
        <v>0</v>
      </c>
      <c r="DN983" s="37">
        <v>0</v>
      </c>
      <c r="DO983" s="37">
        <v>0</v>
      </c>
      <c r="DP983" s="37">
        <v>0</v>
      </c>
      <c r="DQ983" s="37">
        <v>0</v>
      </c>
      <c r="DR983" s="37">
        <v>0</v>
      </c>
      <c r="DS983" s="37">
        <v>0</v>
      </c>
      <c r="DT983" s="37">
        <v>0</v>
      </c>
      <c r="DU983" s="37">
        <v>0</v>
      </c>
      <c r="DV983" s="37">
        <v>0</v>
      </c>
      <c r="DW983" s="37">
        <v>0</v>
      </c>
      <c r="DX983" s="37">
        <v>0</v>
      </c>
      <c r="DY983" s="37">
        <v>0</v>
      </c>
      <c r="DZ983" s="37">
        <v>0</v>
      </c>
      <c r="EA983" s="37">
        <v>0</v>
      </c>
      <c r="EB983" s="37">
        <v>0</v>
      </c>
      <c r="EC983" s="37">
        <v>0</v>
      </c>
      <c r="ED983" s="37">
        <v>0</v>
      </c>
      <c r="EE983" s="37">
        <v>0</v>
      </c>
      <c r="EF983" s="37">
        <v>0</v>
      </c>
      <c r="EG983" s="37">
        <v>0</v>
      </c>
      <c r="EH983" s="37">
        <v>0</v>
      </c>
      <c r="EI983" s="37">
        <v>0</v>
      </c>
      <c r="EJ983" s="37">
        <v>0</v>
      </c>
      <c r="EK983" s="161" t="s">
        <v>3412</v>
      </c>
      <c r="EL983" s="294" t="s">
        <v>1124</v>
      </c>
    </row>
    <row r="984" spans="1:142" ht="15" customHeight="1" x14ac:dyDescent="0.35">
      <c r="A984" s="34"/>
      <c r="B984" s="313">
        <v>30085</v>
      </c>
      <c r="C984" s="8" t="s">
        <v>231</v>
      </c>
      <c r="D984" s="18">
        <v>5</v>
      </c>
      <c r="E984" s="155">
        <v>50067</v>
      </c>
      <c r="F984" s="36">
        <v>79084</v>
      </c>
      <c r="G984" s="37">
        <v>5867</v>
      </c>
      <c r="H984" s="37">
        <v>0</v>
      </c>
      <c r="I984" s="37">
        <v>35500</v>
      </c>
      <c r="J984" s="37">
        <v>0</v>
      </c>
      <c r="K984" s="37">
        <v>7510</v>
      </c>
      <c r="L984" s="37">
        <v>7263</v>
      </c>
      <c r="M984" s="37">
        <v>98944</v>
      </c>
      <c r="N984" s="37">
        <v>86347</v>
      </c>
      <c r="O984" s="37">
        <v>11537</v>
      </c>
      <c r="P984" s="37">
        <v>0</v>
      </c>
      <c r="Q984" s="37">
        <v>20580</v>
      </c>
      <c r="R984" s="37">
        <v>43362</v>
      </c>
      <c r="S984" s="37">
        <v>0</v>
      </c>
      <c r="T984" s="37">
        <v>0</v>
      </c>
      <c r="U984" s="37">
        <v>0</v>
      </c>
      <c r="V984" s="37">
        <v>7635</v>
      </c>
      <c r="W984" s="37">
        <v>66827</v>
      </c>
      <c r="X984" s="37">
        <v>35350</v>
      </c>
      <c r="Y984" s="37">
        <v>0</v>
      </c>
      <c r="Z984" s="37">
        <v>0</v>
      </c>
      <c r="AA984" s="37">
        <v>98944</v>
      </c>
      <c r="AB984" s="37">
        <v>86347</v>
      </c>
      <c r="AC984" s="37">
        <v>0</v>
      </c>
      <c r="AD984" s="37">
        <v>0</v>
      </c>
      <c r="AE984" s="37">
        <v>0</v>
      </c>
      <c r="AF984" s="168">
        <v>0.02</v>
      </c>
      <c r="AG984" s="37">
        <v>11395681.41</v>
      </c>
      <c r="AH984" s="37">
        <v>92981.119999999995</v>
      </c>
      <c r="AI984" s="37">
        <v>2399855.31</v>
      </c>
      <c r="AJ984" s="37">
        <v>96737.56</v>
      </c>
      <c r="AK984" s="37">
        <v>98672.31</v>
      </c>
      <c r="AL984" s="37">
        <v>100645.75</v>
      </c>
      <c r="AM984" s="37">
        <v>102658.67</v>
      </c>
      <c r="AN984" s="37">
        <v>104711.84</v>
      </c>
      <c r="AO984" s="37">
        <v>106806.08</v>
      </c>
      <c r="AP984" s="37">
        <v>108942.2</v>
      </c>
      <c r="AQ984" s="37">
        <v>111121.05</v>
      </c>
      <c r="AR984" s="37">
        <v>3323131.8900000006</v>
      </c>
      <c r="AS984" s="37">
        <v>1176399.6599999999</v>
      </c>
      <c r="AT984" s="37">
        <v>102000</v>
      </c>
      <c r="AU984" s="37">
        <v>0</v>
      </c>
      <c r="AV984" s="37">
        <v>0</v>
      </c>
      <c r="AW984" s="37">
        <v>0</v>
      </c>
      <c r="AX984" s="37">
        <v>0</v>
      </c>
      <c r="AY984" s="37">
        <v>0</v>
      </c>
      <c r="AZ984" s="37">
        <v>0</v>
      </c>
      <c r="BA984" s="37">
        <v>0</v>
      </c>
      <c r="BB984" s="37">
        <v>0</v>
      </c>
      <c r="BC984" s="37">
        <v>0</v>
      </c>
      <c r="BD984" s="37">
        <v>102000</v>
      </c>
      <c r="BE984" s="37">
        <v>0</v>
      </c>
      <c r="BF984" s="37">
        <v>100000</v>
      </c>
      <c r="BG984" s="37">
        <v>2430188</v>
      </c>
      <c r="BH984" s="37">
        <v>0</v>
      </c>
      <c r="BI984" s="37">
        <v>0</v>
      </c>
      <c r="BJ984" s="37">
        <v>0</v>
      </c>
      <c r="BK984" s="37">
        <v>0</v>
      </c>
      <c r="BL984" s="37">
        <v>0</v>
      </c>
      <c r="BM984" s="37">
        <v>0</v>
      </c>
      <c r="BN984" s="37">
        <v>0</v>
      </c>
      <c r="BO984" s="37">
        <v>0</v>
      </c>
      <c r="BP984" s="37">
        <v>2530188</v>
      </c>
      <c r="BQ984" s="37">
        <v>0</v>
      </c>
      <c r="BR984" s="37">
        <v>0</v>
      </c>
      <c r="BS984" s="37">
        <v>1029812</v>
      </c>
      <c r="BT984" s="37">
        <v>0</v>
      </c>
      <c r="BU984" s="37">
        <v>0</v>
      </c>
      <c r="BV984" s="37">
        <v>0</v>
      </c>
      <c r="BW984" s="37">
        <v>0</v>
      </c>
      <c r="BX984" s="37">
        <v>0</v>
      </c>
      <c r="BY984" s="37">
        <v>0</v>
      </c>
      <c r="BZ984" s="37">
        <v>0</v>
      </c>
      <c r="CA984" s="37">
        <v>0</v>
      </c>
      <c r="CB984" s="37">
        <v>1029812</v>
      </c>
      <c r="CC984" s="37">
        <v>0</v>
      </c>
      <c r="CD984" s="37">
        <v>0</v>
      </c>
      <c r="CE984" s="37">
        <v>0</v>
      </c>
      <c r="CF984" s="37">
        <v>0</v>
      </c>
      <c r="CG984" s="37">
        <v>0</v>
      </c>
      <c r="CH984" s="37">
        <v>0</v>
      </c>
      <c r="CI984" s="37">
        <v>0</v>
      </c>
      <c r="CJ984" s="37">
        <v>0</v>
      </c>
      <c r="CK984" s="37">
        <v>0</v>
      </c>
      <c r="CL984" s="37">
        <v>0</v>
      </c>
      <c r="CM984" s="37">
        <v>0</v>
      </c>
      <c r="CN984" s="37">
        <v>0</v>
      </c>
      <c r="CO984" s="37">
        <v>0</v>
      </c>
      <c r="CP984" s="37">
        <v>0</v>
      </c>
      <c r="CQ984" s="37">
        <v>0</v>
      </c>
      <c r="CR984" s="37">
        <v>0</v>
      </c>
      <c r="CS984" s="37">
        <v>0</v>
      </c>
      <c r="CT984" s="37">
        <v>0</v>
      </c>
      <c r="CU984" s="37">
        <v>0</v>
      </c>
      <c r="CV984" s="37">
        <v>0</v>
      </c>
      <c r="CW984" s="37">
        <v>0</v>
      </c>
      <c r="CX984" s="37">
        <v>0</v>
      </c>
      <c r="CY984" s="37">
        <v>0</v>
      </c>
      <c r="CZ984" s="37">
        <v>0</v>
      </c>
      <c r="DA984" s="37">
        <v>0</v>
      </c>
      <c r="DB984" s="37">
        <v>0</v>
      </c>
      <c r="DC984" s="37">
        <v>0</v>
      </c>
      <c r="DD984" s="37">
        <v>0</v>
      </c>
      <c r="DE984" s="37">
        <v>0</v>
      </c>
      <c r="DF984" s="37">
        <v>0</v>
      </c>
      <c r="DG984" s="37">
        <v>0</v>
      </c>
      <c r="DH984" s="37">
        <v>0</v>
      </c>
      <c r="DI984" s="37">
        <v>0</v>
      </c>
      <c r="DJ984" s="37">
        <v>0</v>
      </c>
      <c r="DK984" s="37">
        <v>0</v>
      </c>
      <c r="DL984" s="37">
        <v>0</v>
      </c>
      <c r="DM984" s="37">
        <v>0</v>
      </c>
      <c r="DN984" s="37">
        <v>0</v>
      </c>
      <c r="DO984" s="37">
        <v>0</v>
      </c>
      <c r="DP984" s="37">
        <v>0</v>
      </c>
      <c r="DQ984" s="37">
        <v>0</v>
      </c>
      <c r="DR984" s="37">
        <v>0</v>
      </c>
      <c r="DS984" s="37">
        <v>0</v>
      </c>
      <c r="DT984" s="37">
        <v>0</v>
      </c>
      <c r="DU984" s="37">
        <v>0</v>
      </c>
      <c r="DV984" s="37">
        <v>0</v>
      </c>
      <c r="DW984" s="37">
        <v>0</v>
      </c>
      <c r="DX984" s="37">
        <v>0</v>
      </c>
      <c r="DY984" s="37">
        <v>0</v>
      </c>
      <c r="DZ984" s="37">
        <v>0</v>
      </c>
      <c r="EA984" s="37">
        <v>0</v>
      </c>
      <c r="EB984" s="37">
        <v>0</v>
      </c>
      <c r="EC984" s="37">
        <v>0</v>
      </c>
      <c r="ED984" s="37">
        <v>0</v>
      </c>
      <c r="EE984" s="37">
        <v>0</v>
      </c>
      <c r="EF984" s="37">
        <v>0</v>
      </c>
      <c r="EG984" s="37">
        <v>0</v>
      </c>
      <c r="EH984" s="37">
        <v>0</v>
      </c>
      <c r="EI984" s="37">
        <v>0</v>
      </c>
      <c r="EJ984" s="37">
        <v>0</v>
      </c>
      <c r="EK984" s="161" t="s">
        <v>3417</v>
      </c>
      <c r="EL984" s="294" t="s">
        <v>1124</v>
      </c>
    </row>
    <row r="985" spans="1:142" ht="15" customHeight="1" x14ac:dyDescent="0.35">
      <c r="A985" s="34"/>
      <c r="B985" s="313">
        <v>56050</v>
      </c>
      <c r="C985" s="8" t="s">
        <v>574</v>
      </c>
      <c r="D985" s="18">
        <v>16</v>
      </c>
      <c r="E985" s="155"/>
      <c r="F985" s="36"/>
      <c r="G985" s="37"/>
      <c r="H985" s="37"/>
      <c r="I985" s="37"/>
      <c r="J985" s="37"/>
      <c r="K985" s="37"/>
      <c r="L985" s="37"/>
      <c r="M985" s="37" t="s">
        <v>1124</v>
      </c>
      <c r="N985" s="37" t="s">
        <v>1124</v>
      </c>
      <c r="O985" s="37"/>
      <c r="P985" s="37"/>
      <c r="Q985" s="37"/>
      <c r="R985" s="37"/>
      <c r="S985" s="37"/>
      <c r="T985" s="37"/>
      <c r="U985" s="37"/>
      <c r="V985" s="37"/>
      <c r="W985" s="37"/>
      <c r="X985" s="37"/>
      <c r="Y985" s="37"/>
      <c r="Z985" s="37"/>
      <c r="AA985" s="37" t="s">
        <v>1124</v>
      </c>
      <c r="AB985" s="37" t="s">
        <v>1124</v>
      </c>
      <c r="AC985" s="37"/>
      <c r="AD985" s="37"/>
      <c r="AE985" s="37"/>
      <c r="AF985" s="168"/>
      <c r="AG985" s="37"/>
      <c r="AH985" s="37"/>
      <c r="AI985" s="37"/>
      <c r="AJ985" s="37"/>
      <c r="AK985" s="37"/>
      <c r="AL985" s="37"/>
      <c r="AM985" s="37"/>
      <c r="AN985" s="37"/>
      <c r="AO985" s="37"/>
      <c r="AP985" s="37"/>
      <c r="AQ985" s="37"/>
      <c r="AR985" s="37" t="s">
        <v>1124</v>
      </c>
      <c r="AS985" s="37"/>
      <c r="AT985" s="37"/>
      <c r="AU985" s="37"/>
      <c r="AV985" s="37"/>
      <c r="AW985" s="37"/>
      <c r="AX985" s="37"/>
      <c r="AY985" s="37"/>
      <c r="AZ985" s="37"/>
      <c r="BA985" s="37"/>
      <c r="BB985" s="37"/>
      <c r="BC985" s="37"/>
      <c r="BD985" s="37" t="s">
        <v>1124</v>
      </c>
      <c r="BE985" s="37"/>
      <c r="BF985" s="37"/>
      <c r="BG985" s="37"/>
      <c r="BH985" s="37"/>
      <c r="BI985" s="37"/>
      <c r="BJ985" s="37"/>
      <c r="BK985" s="37"/>
      <c r="BL985" s="37"/>
      <c r="BM985" s="37"/>
      <c r="BN985" s="37"/>
      <c r="BO985" s="37"/>
      <c r="BP985" s="37">
        <v>0</v>
      </c>
      <c r="BQ985" s="37"/>
      <c r="BR985" s="37"/>
      <c r="BS985" s="37"/>
      <c r="BT985" s="37"/>
      <c r="BU985" s="37"/>
      <c r="BV985" s="37"/>
      <c r="BW985" s="37"/>
      <c r="BX985" s="37"/>
      <c r="BY985" s="37"/>
      <c r="BZ985" s="37"/>
      <c r="CA985" s="37"/>
      <c r="CB985" s="37" t="s">
        <v>1124</v>
      </c>
      <c r="CC985" s="37"/>
      <c r="CD985" s="37"/>
      <c r="CE985" s="37"/>
      <c r="CF985" s="37"/>
      <c r="CG985" s="37"/>
      <c r="CH985" s="37"/>
      <c r="CI985" s="37"/>
      <c r="CJ985" s="37"/>
      <c r="CK985" s="37"/>
      <c r="CL985" s="37"/>
      <c r="CM985" s="37"/>
      <c r="CN985" s="37" t="s">
        <v>1124</v>
      </c>
      <c r="CO985" s="37"/>
      <c r="CP985" s="37"/>
      <c r="CQ985" s="37"/>
      <c r="CR985" s="37"/>
      <c r="CS985" s="37"/>
      <c r="CT985" s="37"/>
      <c r="CU985" s="37"/>
      <c r="CV985" s="37"/>
      <c r="CW985" s="37"/>
      <c r="CX985" s="37"/>
      <c r="CY985" s="37"/>
      <c r="CZ985" s="37" t="s">
        <v>1124</v>
      </c>
      <c r="DA985" s="37"/>
      <c r="DB985" s="37"/>
      <c r="DC985" s="37"/>
      <c r="DD985" s="37"/>
      <c r="DE985" s="37"/>
      <c r="DF985" s="37"/>
      <c r="DG985" s="37"/>
      <c r="DH985" s="37"/>
      <c r="DI985" s="37"/>
      <c r="DJ985" s="37"/>
      <c r="DK985" s="37"/>
      <c r="DL985" s="37" t="s">
        <v>1124</v>
      </c>
      <c r="DM985" s="37"/>
      <c r="DN985" s="37"/>
      <c r="DO985" s="37"/>
      <c r="DP985" s="37"/>
      <c r="DQ985" s="37"/>
      <c r="DR985" s="37"/>
      <c r="DS985" s="37"/>
      <c r="DT985" s="37"/>
      <c r="DU985" s="37"/>
      <c r="DV985" s="37"/>
      <c r="DW985" s="37"/>
      <c r="DX985" s="37" t="s">
        <v>1124</v>
      </c>
      <c r="DY985" s="37"/>
      <c r="DZ985" s="37"/>
      <c r="EA985" s="37"/>
      <c r="EB985" s="37"/>
      <c r="EC985" s="37"/>
      <c r="ED985" s="37"/>
      <c r="EE985" s="37"/>
      <c r="EF985" s="37"/>
      <c r="EG985" s="37"/>
      <c r="EH985" s="37"/>
      <c r="EI985" s="37"/>
      <c r="EJ985" s="37" t="s">
        <v>1124</v>
      </c>
      <c r="EK985" s="161"/>
      <c r="EL985" s="294"/>
    </row>
    <row r="986" spans="1:142" ht="15" customHeight="1" x14ac:dyDescent="0.35">
      <c r="A986" s="34"/>
      <c r="B986" s="313">
        <v>51030</v>
      </c>
      <c r="C986" s="8" t="s">
        <v>502</v>
      </c>
      <c r="D986" s="18">
        <v>4</v>
      </c>
      <c r="E986" s="155">
        <v>42554</v>
      </c>
      <c r="F986" s="36">
        <v>5760</v>
      </c>
      <c r="G986" s="37">
        <v>0</v>
      </c>
      <c r="H986" s="37">
        <v>0</v>
      </c>
      <c r="I986" s="37">
        <v>0</v>
      </c>
      <c r="J986" s="37">
        <v>0</v>
      </c>
      <c r="K986" s="37">
        <v>6383.0999999999995</v>
      </c>
      <c r="L986" s="37">
        <v>864</v>
      </c>
      <c r="M986" s="37">
        <v>48937.1</v>
      </c>
      <c r="N986" s="37">
        <v>6624</v>
      </c>
      <c r="O986" s="37">
        <v>22629.26</v>
      </c>
      <c r="P986" s="37">
        <v>0</v>
      </c>
      <c r="Q986" s="37">
        <v>34600</v>
      </c>
      <c r="R986" s="37">
        <v>0</v>
      </c>
      <c r="S986" s="37">
        <v>6435</v>
      </c>
      <c r="T986" s="37">
        <v>0</v>
      </c>
      <c r="U986" s="37">
        <v>0</v>
      </c>
      <c r="V986" s="37">
        <v>0</v>
      </c>
      <c r="W986" s="37">
        <v>0</v>
      </c>
      <c r="X986" s="37">
        <v>0</v>
      </c>
      <c r="Y986" s="37">
        <v>0</v>
      </c>
      <c r="Z986" s="37">
        <v>0</v>
      </c>
      <c r="AA986" s="37">
        <v>63664.259999999995</v>
      </c>
      <c r="AB986" s="37">
        <v>0</v>
      </c>
      <c r="AC986" s="37">
        <v>8103</v>
      </c>
      <c r="AD986" s="37">
        <v>0</v>
      </c>
      <c r="AE986" s="37">
        <v>0</v>
      </c>
      <c r="AF986" s="168">
        <v>0.02</v>
      </c>
      <c r="AG986" s="37">
        <v>7960361.5199999996</v>
      </c>
      <c r="AH986" s="37">
        <v>82544.14</v>
      </c>
      <c r="AI986" s="37">
        <v>84195.03</v>
      </c>
      <c r="AJ986" s="37">
        <v>85878.93</v>
      </c>
      <c r="AK986" s="37">
        <v>87596.51</v>
      </c>
      <c r="AL986" s="37">
        <v>89348.44</v>
      </c>
      <c r="AM986" s="37">
        <v>91135.41</v>
      </c>
      <c r="AN986" s="37">
        <v>92958.11</v>
      </c>
      <c r="AO986" s="37">
        <v>94817.279999999999</v>
      </c>
      <c r="AP986" s="37">
        <v>96713.62</v>
      </c>
      <c r="AQ986" s="37">
        <v>98647.89</v>
      </c>
      <c r="AR986" s="37">
        <v>903835.36</v>
      </c>
      <c r="AS986" s="37">
        <v>0</v>
      </c>
      <c r="AT986" s="37">
        <v>3781625.11</v>
      </c>
      <c r="AU986" s="37">
        <v>0</v>
      </c>
      <c r="AV986" s="37">
        <v>0</v>
      </c>
      <c r="AW986" s="37">
        <v>0</v>
      </c>
      <c r="AX986" s="37">
        <v>0</v>
      </c>
      <c r="AY986" s="37">
        <v>0</v>
      </c>
      <c r="AZ986" s="37">
        <v>0</v>
      </c>
      <c r="BA986" s="37">
        <v>0</v>
      </c>
      <c r="BB986" s="37">
        <v>0</v>
      </c>
      <c r="BC986" s="37">
        <v>0</v>
      </c>
      <c r="BD986" s="37">
        <v>3781625.11</v>
      </c>
      <c r="BE986" s="37">
        <v>0</v>
      </c>
      <c r="BF986" s="37">
        <v>0</v>
      </c>
      <c r="BG986" s="37">
        <v>0</v>
      </c>
      <c r="BH986" s="37">
        <v>0</v>
      </c>
      <c r="BI986" s="37">
        <v>0</v>
      </c>
      <c r="BJ986" s="37">
        <v>0</v>
      </c>
      <c r="BK986" s="37">
        <v>0</v>
      </c>
      <c r="BL986" s="37">
        <v>0</v>
      </c>
      <c r="BM986" s="37">
        <v>0</v>
      </c>
      <c r="BN986" s="37">
        <v>0</v>
      </c>
      <c r="BO986" s="37">
        <v>0</v>
      </c>
      <c r="BP986" s="37">
        <v>0</v>
      </c>
      <c r="BQ986" s="37">
        <v>0</v>
      </c>
      <c r="BR986" s="37">
        <v>0</v>
      </c>
      <c r="BS986" s="37">
        <v>0</v>
      </c>
      <c r="BT986" s="37">
        <v>0</v>
      </c>
      <c r="BU986" s="37">
        <v>0</v>
      </c>
      <c r="BV986" s="37">
        <v>0</v>
      </c>
      <c r="BW986" s="37">
        <v>0</v>
      </c>
      <c r="BX986" s="37">
        <v>0</v>
      </c>
      <c r="BY986" s="37">
        <v>0</v>
      </c>
      <c r="BZ986" s="37">
        <v>0</v>
      </c>
      <c r="CA986" s="37">
        <v>0</v>
      </c>
      <c r="CB986" s="37">
        <v>0</v>
      </c>
      <c r="CC986" s="37">
        <v>0</v>
      </c>
      <c r="CD986" s="37">
        <v>0</v>
      </c>
      <c r="CE986" s="37">
        <v>0</v>
      </c>
      <c r="CF986" s="37">
        <v>0</v>
      </c>
      <c r="CG986" s="37">
        <v>0</v>
      </c>
      <c r="CH986" s="37">
        <v>0</v>
      </c>
      <c r="CI986" s="37">
        <v>0</v>
      </c>
      <c r="CJ986" s="37">
        <v>0</v>
      </c>
      <c r="CK986" s="37">
        <v>0</v>
      </c>
      <c r="CL986" s="37">
        <v>0</v>
      </c>
      <c r="CM986" s="37">
        <v>0</v>
      </c>
      <c r="CN986" s="37">
        <v>0</v>
      </c>
      <c r="CO986" s="37">
        <v>0</v>
      </c>
      <c r="CP986" s="37">
        <v>0</v>
      </c>
      <c r="CQ986" s="37">
        <v>0</v>
      </c>
      <c r="CR986" s="37">
        <v>0</v>
      </c>
      <c r="CS986" s="37">
        <v>0</v>
      </c>
      <c r="CT986" s="37">
        <v>0</v>
      </c>
      <c r="CU986" s="37">
        <v>0</v>
      </c>
      <c r="CV986" s="37">
        <v>0</v>
      </c>
      <c r="CW986" s="37">
        <v>0</v>
      </c>
      <c r="CX986" s="37">
        <v>0</v>
      </c>
      <c r="CY986" s="37">
        <v>0</v>
      </c>
      <c r="CZ986" s="37">
        <v>0</v>
      </c>
      <c r="DA986" s="37">
        <v>0</v>
      </c>
      <c r="DB986" s="37">
        <v>0</v>
      </c>
      <c r="DC986" s="37">
        <v>0</v>
      </c>
      <c r="DD986" s="37">
        <v>0</v>
      </c>
      <c r="DE986" s="37">
        <v>0</v>
      </c>
      <c r="DF986" s="37">
        <v>0</v>
      </c>
      <c r="DG986" s="37">
        <v>0</v>
      </c>
      <c r="DH986" s="37">
        <v>0</v>
      </c>
      <c r="DI986" s="37">
        <v>0</v>
      </c>
      <c r="DJ986" s="37">
        <v>0</v>
      </c>
      <c r="DK986" s="37">
        <v>0</v>
      </c>
      <c r="DL986" s="37">
        <v>0</v>
      </c>
      <c r="DM986" s="37">
        <v>0</v>
      </c>
      <c r="DN986" s="37">
        <v>0</v>
      </c>
      <c r="DO986" s="37">
        <v>0</v>
      </c>
      <c r="DP986" s="37">
        <v>0</v>
      </c>
      <c r="DQ986" s="37">
        <v>0</v>
      </c>
      <c r="DR986" s="37">
        <v>0</v>
      </c>
      <c r="DS986" s="37">
        <v>0</v>
      </c>
      <c r="DT986" s="37">
        <v>0</v>
      </c>
      <c r="DU986" s="37">
        <v>0</v>
      </c>
      <c r="DV986" s="37">
        <v>0</v>
      </c>
      <c r="DW986" s="37">
        <v>0</v>
      </c>
      <c r="DX986" s="37">
        <v>0</v>
      </c>
      <c r="DY986" s="37">
        <v>0</v>
      </c>
      <c r="DZ986" s="37">
        <v>0</v>
      </c>
      <c r="EA986" s="37">
        <v>0</v>
      </c>
      <c r="EB986" s="37">
        <v>0</v>
      </c>
      <c r="EC986" s="37">
        <v>0</v>
      </c>
      <c r="ED986" s="37">
        <v>0</v>
      </c>
      <c r="EE986" s="37">
        <v>0</v>
      </c>
      <c r="EF986" s="37">
        <v>0</v>
      </c>
      <c r="EG986" s="37">
        <v>0</v>
      </c>
      <c r="EH986" s="37">
        <v>0</v>
      </c>
      <c r="EI986" s="37">
        <v>0</v>
      </c>
      <c r="EJ986" s="37">
        <v>0</v>
      </c>
      <c r="EK986" s="161" t="s">
        <v>3752</v>
      </c>
      <c r="EL986" s="294" t="s">
        <v>1124</v>
      </c>
    </row>
    <row r="987" spans="1:142" ht="15" customHeight="1" x14ac:dyDescent="0.35">
      <c r="A987" s="34"/>
      <c r="B987" s="313">
        <v>35020</v>
      </c>
      <c r="C987" s="8" t="s">
        <v>306</v>
      </c>
      <c r="D987" s="18">
        <v>4</v>
      </c>
      <c r="E987" s="155">
        <v>75588</v>
      </c>
      <c r="F987" s="36">
        <v>58284</v>
      </c>
      <c r="G987" s="37">
        <v>6659</v>
      </c>
      <c r="H987" s="37">
        <v>13647</v>
      </c>
      <c r="I987" s="37">
        <v>74700</v>
      </c>
      <c r="J987" s="37">
        <v>89780</v>
      </c>
      <c r="K987" s="37">
        <v>11338.199999999999</v>
      </c>
      <c r="L987" s="37">
        <v>8742.6</v>
      </c>
      <c r="M987" s="37">
        <v>168285.2</v>
      </c>
      <c r="N987" s="37">
        <v>170453.6</v>
      </c>
      <c r="O987" s="37">
        <v>0</v>
      </c>
      <c r="P987" s="37">
        <v>0</v>
      </c>
      <c r="Q987" s="37">
        <v>68091</v>
      </c>
      <c r="R987" s="37">
        <v>74796</v>
      </c>
      <c r="S987" s="37">
        <v>0</v>
      </c>
      <c r="T987" s="37">
        <v>0</v>
      </c>
      <c r="U987" s="37">
        <v>19100</v>
      </c>
      <c r="V987" s="37">
        <v>0</v>
      </c>
      <c r="W987" s="37">
        <v>81094.200000000012</v>
      </c>
      <c r="X987" s="37">
        <v>95657.600000000006</v>
      </c>
      <c r="Y987" s="37">
        <v>0</v>
      </c>
      <c r="Z987" s="37">
        <v>0</v>
      </c>
      <c r="AA987" s="37">
        <v>168285.2</v>
      </c>
      <c r="AB987" s="37">
        <v>170453.6</v>
      </c>
      <c r="AC987" s="37">
        <v>0</v>
      </c>
      <c r="AD987" s="37">
        <v>0</v>
      </c>
      <c r="AE987" s="37">
        <v>0</v>
      </c>
      <c r="AF987" s="168">
        <v>0.02</v>
      </c>
      <c r="AG987" s="37">
        <v>28203959.640000001</v>
      </c>
      <c r="AH987" s="37">
        <v>232279</v>
      </c>
      <c r="AI987" s="37">
        <v>395107</v>
      </c>
      <c r="AJ987" s="37">
        <v>241663.07</v>
      </c>
      <c r="AK987" s="37">
        <v>246496.33</v>
      </c>
      <c r="AL987" s="37">
        <v>251426.26</v>
      </c>
      <c r="AM987" s="37">
        <v>256454.79</v>
      </c>
      <c r="AN987" s="37">
        <v>261583.88</v>
      </c>
      <c r="AO987" s="37">
        <v>266815.56</v>
      </c>
      <c r="AP987" s="37">
        <v>272151.87</v>
      </c>
      <c r="AQ987" s="37">
        <v>277594.90999999997</v>
      </c>
      <c r="AR987" s="37">
        <v>2701572.6700000004</v>
      </c>
      <c r="AS987" s="37">
        <v>0</v>
      </c>
      <c r="AT987" s="37">
        <v>1782209.66</v>
      </c>
      <c r="AU987" s="37">
        <v>387734.13</v>
      </c>
      <c r="AV987" s="37">
        <v>40422.35</v>
      </c>
      <c r="AW987" s="37">
        <v>41230.79</v>
      </c>
      <c r="AX987" s="37">
        <v>0</v>
      </c>
      <c r="AY987" s="37">
        <v>0</v>
      </c>
      <c r="AZ987" s="37">
        <v>0</v>
      </c>
      <c r="BA987" s="37">
        <v>0</v>
      </c>
      <c r="BB987" s="37">
        <v>0</v>
      </c>
      <c r="BC987" s="37">
        <v>0</v>
      </c>
      <c r="BD987" s="37">
        <v>2251596.9299999997</v>
      </c>
      <c r="BE987" s="37">
        <v>0</v>
      </c>
      <c r="BF987" s="37">
        <v>81708.880411865583</v>
      </c>
      <c r="BG987" s="37">
        <v>88071.860855108171</v>
      </c>
      <c r="BH987" s="37">
        <v>108420.35870170924</v>
      </c>
      <c r="BI987" s="37">
        <v>128768.90003131711</v>
      </c>
      <c r="BJ987" s="37">
        <v>13985.517403358439</v>
      </c>
      <c r="BK987" s="37">
        <v>67723.363008507076</v>
      </c>
      <c r="BL987" s="37">
        <v>88071.860855108171</v>
      </c>
      <c r="BM987" s="37">
        <v>108420.35870170924</v>
      </c>
      <c r="BN987" s="37">
        <v>128768.90003131711</v>
      </c>
      <c r="BO987" s="37">
        <v>0</v>
      </c>
      <c r="BP987" s="37">
        <v>813940</v>
      </c>
      <c r="BQ987" s="37">
        <v>0</v>
      </c>
      <c r="BR987" s="37">
        <v>0</v>
      </c>
      <c r="BS987" s="37">
        <v>0</v>
      </c>
      <c r="BT987" s="37">
        <v>0</v>
      </c>
      <c r="BU987" s="37">
        <v>0</v>
      </c>
      <c r="BV987" s="37">
        <v>0</v>
      </c>
      <c r="BW987" s="37">
        <v>0</v>
      </c>
      <c r="BX987" s="37">
        <v>0</v>
      </c>
      <c r="BY987" s="37">
        <v>0</v>
      </c>
      <c r="BZ987" s="37">
        <v>0</v>
      </c>
      <c r="CA987" s="37">
        <v>0</v>
      </c>
      <c r="CB987" s="37">
        <v>0</v>
      </c>
      <c r="CC987" s="37">
        <v>0</v>
      </c>
      <c r="CD987" s="37">
        <v>0</v>
      </c>
      <c r="CE987" s="37">
        <v>0</v>
      </c>
      <c r="CF987" s="37">
        <v>0</v>
      </c>
      <c r="CG987" s="37">
        <v>0</v>
      </c>
      <c r="CH987" s="37">
        <v>0</v>
      </c>
      <c r="CI987" s="37">
        <v>0</v>
      </c>
      <c r="CJ987" s="37">
        <v>0</v>
      </c>
      <c r="CK987" s="37">
        <v>0</v>
      </c>
      <c r="CL987" s="37">
        <v>0</v>
      </c>
      <c r="CM987" s="37">
        <v>0</v>
      </c>
      <c r="CN987" s="37">
        <v>0</v>
      </c>
      <c r="CO987" s="37">
        <v>0</v>
      </c>
      <c r="CP987" s="37">
        <v>0</v>
      </c>
      <c r="CQ987" s="37">
        <v>234000</v>
      </c>
      <c r="CR987" s="37">
        <v>0</v>
      </c>
      <c r="CS987" s="37">
        <v>0</v>
      </c>
      <c r="CT987" s="37">
        <v>0</v>
      </c>
      <c r="CU987" s="37">
        <v>0</v>
      </c>
      <c r="CV987" s="37">
        <v>0</v>
      </c>
      <c r="CW987" s="37">
        <v>0</v>
      </c>
      <c r="CX987" s="37">
        <v>0</v>
      </c>
      <c r="CY987" s="37">
        <v>0</v>
      </c>
      <c r="CZ987" s="37">
        <v>234000</v>
      </c>
      <c r="DA987" s="37">
        <v>0</v>
      </c>
      <c r="DB987" s="37">
        <v>0</v>
      </c>
      <c r="DC987" s="37">
        <v>0</v>
      </c>
      <c r="DD987" s="37">
        <v>0</v>
      </c>
      <c r="DE987" s="37">
        <v>0</v>
      </c>
      <c r="DF987" s="37">
        <v>0</v>
      </c>
      <c r="DG987" s="37">
        <v>0</v>
      </c>
      <c r="DH987" s="37">
        <v>0</v>
      </c>
      <c r="DI987" s="37">
        <v>0</v>
      </c>
      <c r="DJ987" s="37">
        <v>0</v>
      </c>
      <c r="DK987" s="37">
        <v>0</v>
      </c>
      <c r="DL987" s="37">
        <v>0</v>
      </c>
      <c r="DM987" s="37">
        <v>0</v>
      </c>
      <c r="DN987" s="37">
        <v>0</v>
      </c>
      <c r="DO987" s="37">
        <v>0</v>
      </c>
      <c r="DP987" s="37">
        <v>0</v>
      </c>
      <c r="DQ987" s="37">
        <v>0</v>
      </c>
      <c r="DR987" s="37">
        <v>0</v>
      </c>
      <c r="DS987" s="37">
        <v>0</v>
      </c>
      <c r="DT987" s="37">
        <v>0</v>
      </c>
      <c r="DU987" s="37">
        <v>0</v>
      </c>
      <c r="DV987" s="37">
        <v>0</v>
      </c>
      <c r="DW987" s="37">
        <v>0</v>
      </c>
      <c r="DX987" s="37">
        <v>0</v>
      </c>
      <c r="DY987" s="37">
        <v>0</v>
      </c>
      <c r="DZ987" s="37">
        <v>0</v>
      </c>
      <c r="EA987" s="37">
        <v>0</v>
      </c>
      <c r="EB987" s="37">
        <v>0</v>
      </c>
      <c r="EC987" s="37">
        <v>0</v>
      </c>
      <c r="ED987" s="37">
        <v>0</v>
      </c>
      <c r="EE987" s="37">
        <v>0</v>
      </c>
      <c r="EF987" s="37">
        <v>0</v>
      </c>
      <c r="EG987" s="37">
        <v>0</v>
      </c>
      <c r="EH987" s="37">
        <v>0</v>
      </c>
      <c r="EI987" s="37">
        <v>0</v>
      </c>
      <c r="EJ987" s="37">
        <v>0</v>
      </c>
      <c r="EK987" s="161" t="s">
        <v>3420</v>
      </c>
      <c r="EL987" s="294" t="s">
        <v>1124</v>
      </c>
    </row>
    <row r="988" spans="1:142" ht="15" customHeight="1" x14ac:dyDescent="0.35">
      <c r="A988" s="34"/>
      <c r="B988" s="313">
        <v>27070</v>
      </c>
      <c r="C988" s="8" t="s">
        <v>187</v>
      </c>
      <c r="D988" s="18">
        <v>12</v>
      </c>
      <c r="E988" s="155"/>
      <c r="F988" s="36"/>
      <c r="G988" s="37"/>
      <c r="H988" s="37"/>
      <c r="I988" s="37"/>
      <c r="J988" s="37"/>
      <c r="K988" s="37"/>
      <c r="L988" s="37"/>
      <c r="M988" s="37" t="s">
        <v>1124</v>
      </c>
      <c r="N988" s="37" t="s">
        <v>1124</v>
      </c>
      <c r="O988" s="37"/>
      <c r="P988" s="37"/>
      <c r="Q988" s="37"/>
      <c r="R988" s="37"/>
      <c r="S988" s="37"/>
      <c r="T988" s="37"/>
      <c r="U988" s="37"/>
      <c r="V988" s="37"/>
      <c r="W988" s="37"/>
      <c r="X988" s="37"/>
      <c r="Y988" s="37"/>
      <c r="Z988" s="37"/>
      <c r="AA988" s="37" t="s">
        <v>1124</v>
      </c>
      <c r="AB988" s="37" t="s">
        <v>1124</v>
      </c>
      <c r="AC988" s="37"/>
      <c r="AD988" s="37"/>
      <c r="AE988" s="37"/>
      <c r="AF988" s="168"/>
      <c r="AG988" s="37"/>
      <c r="AH988" s="37"/>
      <c r="AI988" s="37"/>
      <c r="AJ988" s="37"/>
      <c r="AK988" s="37"/>
      <c r="AL988" s="37"/>
      <c r="AM988" s="37"/>
      <c r="AN988" s="37"/>
      <c r="AO988" s="37"/>
      <c r="AP988" s="37"/>
      <c r="AQ988" s="37"/>
      <c r="AR988" s="37" t="s">
        <v>1124</v>
      </c>
      <c r="AS988" s="37"/>
      <c r="AT988" s="37"/>
      <c r="AU988" s="37"/>
      <c r="AV988" s="37"/>
      <c r="AW988" s="37"/>
      <c r="AX988" s="37"/>
      <c r="AY988" s="37"/>
      <c r="AZ988" s="37"/>
      <c r="BA988" s="37"/>
      <c r="BB988" s="37"/>
      <c r="BC988" s="37"/>
      <c r="BD988" s="37" t="s">
        <v>1124</v>
      </c>
      <c r="BE988" s="37"/>
      <c r="BF988" s="37"/>
      <c r="BG988" s="37"/>
      <c r="BH988" s="37"/>
      <c r="BI988" s="37"/>
      <c r="BJ988" s="37"/>
      <c r="BK988" s="37"/>
      <c r="BL988" s="37"/>
      <c r="BM988" s="37"/>
      <c r="BN988" s="37"/>
      <c r="BO988" s="37"/>
      <c r="BP988" s="37">
        <v>0</v>
      </c>
      <c r="BQ988" s="37"/>
      <c r="BR988" s="37"/>
      <c r="BS988" s="37"/>
      <c r="BT988" s="37"/>
      <c r="BU988" s="37"/>
      <c r="BV988" s="37"/>
      <c r="BW988" s="37"/>
      <c r="BX988" s="37"/>
      <c r="BY988" s="37"/>
      <c r="BZ988" s="37"/>
      <c r="CA988" s="37"/>
      <c r="CB988" s="37" t="s">
        <v>1124</v>
      </c>
      <c r="CC988" s="37"/>
      <c r="CD988" s="37"/>
      <c r="CE988" s="37"/>
      <c r="CF988" s="37"/>
      <c r="CG988" s="37"/>
      <c r="CH988" s="37"/>
      <c r="CI988" s="37"/>
      <c r="CJ988" s="37"/>
      <c r="CK988" s="37"/>
      <c r="CL988" s="37"/>
      <c r="CM988" s="37"/>
      <c r="CN988" s="37" t="s">
        <v>1124</v>
      </c>
      <c r="CO988" s="37"/>
      <c r="CP988" s="37"/>
      <c r="CQ988" s="37"/>
      <c r="CR988" s="37"/>
      <c r="CS988" s="37"/>
      <c r="CT988" s="37"/>
      <c r="CU988" s="37"/>
      <c r="CV988" s="37"/>
      <c r="CW988" s="37"/>
      <c r="CX988" s="37"/>
      <c r="CY988" s="37"/>
      <c r="CZ988" s="37" t="s">
        <v>1124</v>
      </c>
      <c r="DA988" s="37"/>
      <c r="DB988" s="37"/>
      <c r="DC988" s="37"/>
      <c r="DD988" s="37"/>
      <c r="DE988" s="37"/>
      <c r="DF988" s="37"/>
      <c r="DG988" s="37"/>
      <c r="DH988" s="37"/>
      <c r="DI988" s="37"/>
      <c r="DJ988" s="37"/>
      <c r="DK988" s="37"/>
      <c r="DL988" s="37" t="s">
        <v>1124</v>
      </c>
      <c r="DM988" s="37"/>
      <c r="DN988" s="37"/>
      <c r="DO988" s="37"/>
      <c r="DP988" s="37"/>
      <c r="DQ988" s="37"/>
      <c r="DR988" s="37"/>
      <c r="DS988" s="37"/>
      <c r="DT988" s="37"/>
      <c r="DU988" s="37"/>
      <c r="DV988" s="37"/>
      <c r="DW988" s="37"/>
      <c r="DX988" s="37" t="s">
        <v>1124</v>
      </c>
      <c r="DY988" s="37"/>
      <c r="DZ988" s="37"/>
      <c r="EA988" s="37"/>
      <c r="EB988" s="37"/>
      <c r="EC988" s="37"/>
      <c r="ED988" s="37"/>
      <c r="EE988" s="37"/>
      <c r="EF988" s="37"/>
      <c r="EG988" s="37"/>
      <c r="EH988" s="37"/>
      <c r="EI988" s="37"/>
      <c r="EJ988" s="37" t="s">
        <v>1124</v>
      </c>
      <c r="EK988" s="161"/>
      <c r="EL988" s="294"/>
    </row>
    <row r="989" spans="1:142" ht="15" customHeight="1" x14ac:dyDescent="0.35">
      <c r="A989" s="34"/>
      <c r="B989" s="313">
        <v>15058</v>
      </c>
      <c r="C989" s="8" t="s">
        <v>82</v>
      </c>
      <c r="D989" s="18">
        <v>3</v>
      </c>
      <c r="E989" s="155">
        <v>158779</v>
      </c>
      <c r="F989" s="36">
        <v>111396</v>
      </c>
      <c r="G989" s="37">
        <v>13593</v>
      </c>
      <c r="H989" s="37">
        <v>11773</v>
      </c>
      <c r="I989" s="37">
        <v>29912</v>
      </c>
      <c r="J989" s="37">
        <v>875</v>
      </c>
      <c r="K989" s="37">
        <v>23817</v>
      </c>
      <c r="L989" s="37">
        <v>16709</v>
      </c>
      <c r="M989" s="37">
        <v>226101</v>
      </c>
      <c r="N989" s="37">
        <v>140753</v>
      </c>
      <c r="O989" s="37">
        <v>0</v>
      </c>
      <c r="P989" s="37">
        <v>0</v>
      </c>
      <c r="Q989" s="37">
        <v>207014</v>
      </c>
      <c r="R989" s="37">
        <v>144692</v>
      </c>
      <c r="S989" s="37">
        <v>30</v>
      </c>
      <c r="T989" s="37">
        <v>0</v>
      </c>
      <c r="U989" s="37">
        <v>12696</v>
      </c>
      <c r="V989" s="37">
        <v>1738</v>
      </c>
      <c r="W989" s="37">
        <v>684</v>
      </c>
      <c r="X989" s="37">
        <v>0</v>
      </c>
      <c r="Y989" s="37">
        <v>0</v>
      </c>
      <c r="Z989" s="37">
        <v>0</v>
      </c>
      <c r="AA989" s="37">
        <v>220424</v>
      </c>
      <c r="AB989" s="37">
        <v>146430</v>
      </c>
      <c r="AC989" s="37">
        <v>0</v>
      </c>
      <c r="AD989" s="37">
        <v>0</v>
      </c>
      <c r="AE989" s="37">
        <v>0</v>
      </c>
      <c r="AF989" s="168">
        <v>0.02</v>
      </c>
      <c r="AG989" s="37">
        <v>14257122.85</v>
      </c>
      <c r="AH989" s="37">
        <v>510000</v>
      </c>
      <c r="AI989" s="37">
        <v>208080</v>
      </c>
      <c r="AJ989" s="37">
        <v>79907</v>
      </c>
      <c r="AK989" s="37">
        <v>81505.14</v>
      </c>
      <c r="AL989" s="37">
        <v>83135.25</v>
      </c>
      <c r="AM989" s="37">
        <v>84797.95</v>
      </c>
      <c r="AN989" s="37">
        <v>86493.91</v>
      </c>
      <c r="AO989" s="37">
        <v>88223.79</v>
      </c>
      <c r="AP989" s="37">
        <v>89988.26</v>
      </c>
      <c r="AQ989" s="37">
        <v>91788.03</v>
      </c>
      <c r="AR989" s="37">
        <v>1403919.33</v>
      </c>
      <c r="AS989" s="37">
        <v>2119748.41</v>
      </c>
      <c r="AT989" s="37">
        <v>178500</v>
      </c>
      <c r="AU989" s="37">
        <v>0</v>
      </c>
      <c r="AV989" s="37">
        <v>0</v>
      </c>
      <c r="AW989" s="37">
        <v>0</v>
      </c>
      <c r="AX989" s="37">
        <v>0</v>
      </c>
      <c r="AY989" s="37">
        <v>0</v>
      </c>
      <c r="AZ989" s="37">
        <v>0</v>
      </c>
      <c r="BA989" s="37">
        <v>0</v>
      </c>
      <c r="BB989" s="37">
        <v>0</v>
      </c>
      <c r="BC989" s="37">
        <v>0</v>
      </c>
      <c r="BD989" s="37">
        <v>178500</v>
      </c>
      <c r="BE989" s="37">
        <v>689452</v>
      </c>
      <c r="BF989" s="37">
        <v>426280</v>
      </c>
      <c r="BG989" s="37">
        <v>0</v>
      </c>
      <c r="BH989" s="37">
        <v>0</v>
      </c>
      <c r="BI989" s="37">
        <v>0</v>
      </c>
      <c r="BJ989" s="37">
        <v>0</v>
      </c>
      <c r="BK989" s="37">
        <v>0</v>
      </c>
      <c r="BL989" s="37">
        <v>0</v>
      </c>
      <c r="BM989" s="37">
        <v>0</v>
      </c>
      <c r="BN989" s="37">
        <v>0</v>
      </c>
      <c r="BO989" s="37">
        <v>0</v>
      </c>
      <c r="BP989" s="37">
        <v>426280</v>
      </c>
      <c r="BQ989" s="37">
        <v>226575</v>
      </c>
      <c r="BR989" s="37">
        <v>106570</v>
      </c>
      <c r="BS989" s="37">
        <v>0</v>
      </c>
      <c r="BT989" s="37">
        <v>0</v>
      </c>
      <c r="BU989" s="37">
        <v>0</v>
      </c>
      <c r="BV989" s="37">
        <v>0</v>
      </c>
      <c r="BW989" s="37">
        <v>0</v>
      </c>
      <c r="BX989" s="37">
        <v>0</v>
      </c>
      <c r="BY989" s="37">
        <v>0</v>
      </c>
      <c r="BZ989" s="37">
        <v>0</v>
      </c>
      <c r="CA989" s="37">
        <v>0</v>
      </c>
      <c r="CB989" s="37">
        <v>106570</v>
      </c>
      <c r="CC989" s="37">
        <v>0</v>
      </c>
      <c r="CD989" s="37">
        <v>0</v>
      </c>
      <c r="CE989" s="37">
        <v>0</v>
      </c>
      <c r="CF989" s="37">
        <v>0</v>
      </c>
      <c r="CG989" s="37">
        <v>0</v>
      </c>
      <c r="CH989" s="37">
        <v>0</v>
      </c>
      <c r="CI989" s="37">
        <v>0</v>
      </c>
      <c r="CJ989" s="37">
        <v>0</v>
      </c>
      <c r="CK989" s="37">
        <v>0</v>
      </c>
      <c r="CL989" s="37">
        <v>0</v>
      </c>
      <c r="CM989" s="37">
        <v>0</v>
      </c>
      <c r="CN989" s="37">
        <v>0</v>
      </c>
      <c r="CO989" s="37">
        <v>0</v>
      </c>
      <c r="CP989" s="37">
        <v>0</v>
      </c>
      <c r="CQ989" s="37">
        <v>0</v>
      </c>
      <c r="CR989" s="37">
        <v>0</v>
      </c>
      <c r="CS989" s="37">
        <v>0</v>
      </c>
      <c r="CT989" s="37">
        <v>0</v>
      </c>
      <c r="CU989" s="37">
        <v>0</v>
      </c>
      <c r="CV989" s="37">
        <v>0</v>
      </c>
      <c r="CW989" s="37">
        <v>0</v>
      </c>
      <c r="CX989" s="37">
        <v>0</v>
      </c>
      <c r="CY989" s="37">
        <v>0</v>
      </c>
      <c r="CZ989" s="37">
        <v>0</v>
      </c>
      <c r="DA989" s="37">
        <v>0</v>
      </c>
      <c r="DB989" s="37">
        <v>0</v>
      </c>
      <c r="DC989" s="37">
        <v>0</v>
      </c>
      <c r="DD989" s="37">
        <v>0</v>
      </c>
      <c r="DE989" s="37">
        <v>0</v>
      </c>
      <c r="DF989" s="37">
        <v>0</v>
      </c>
      <c r="DG989" s="37">
        <v>0</v>
      </c>
      <c r="DH989" s="37">
        <v>0</v>
      </c>
      <c r="DI989" s="37">
        <v>0</v>
      </c>
      <c r="DJ989" s="37">
        <v>0</v>
      </c>
      <c r="DK989" s="37">
        <v>0</v>
      </c>
      <c r="DL989" s="37">
        <v>0</v>
      </c>
      <c r="DM989" s="37">
        <v>0</v>
      </c>
      <c r="DN989" s="37">
        <v>0</v>
      </c>
      <c r="DO989" s="37">
        <v>0</v>
      </c>
      <c r="DP989" s="37">
        <v>0</v>
      </c>
      <c r="DQ989" s="37">
        <v>0</v>
      </c>
      <c r="DR989" s="37">
        <v>0</v>
      </c>
      <c r="DS989" s="37">
        <v>0</v>
      </c>
      <c r="DT989" s="37">
        <v>0</v>
      </c>
      <c r="DU989" s="37">
        <v>0</v>
      </c>
      <c r="DV989" s="37">
        <v>0</v>
      </c>
      <c r="DW989" s="37">
        <v>0</v>
      </c>
      <c r="DX989" s="37">
        <v>0</v>
      </c>
      <c r="DY989" s="37">
        <v>0</v>
      </c>
      <c r="DZ989" s="37">
        <v>0</v>
      </c>
      <c r="EA989" s="37">
        <v>0</v>
      </c>
      <c r="EB989" s="37">
        <v>0</v>
      </c>
      <c r="EC989" s="37">
        <v>0</v>
      </c>
      <c r="ED989" s="37">
        <v>0</v>
      </c>
      <c r="EE989" s="37">
        <v>0</v>
      </c>
      <c r="EF989" s="37">
        <v>0</v>
      </c>
      <c r="EG989" s="37">
        <v>0</v>
      </c>
      <c r="EH989" s="37">
        <v>0</v>
      </c>
      <c r="EI989" s="37">
        <v>0</v>
      </c>
      <c r="EJ989" s="37">
        <v>0</v>
      </c>
      <c r="EK989" s="161" t="s">
        <v>3425</v>
      </c>
      <c r="EL989" s="294" t="s">
        <v>1124</v>
      </c>
    </row>
    <row r="990" spans="1:142" ht="15" customHeight="1" x14ac:dyDescent="0.35">
      <c r="A990" s="34"/>
      <c r="B990" s="313">
        <v>5055</v>
      </c>
      <c r="C990" s="8" t="s">
        <v>1052</v>
      </c>
      <c r="D990" s="18">
        <v>11</v>
      </c>
      <c r="E990" s="155">
        <v>42630</v>
      </c>
      <c r="F990" s="36">
        <v>83881</v>
      </c>
      <c r="G990" s="37">
        <v>1455</v>
      </c>
      <c r="H990" s="37">
        <v>3353</v>
      </c>
      <c r="I990" s="37">
        <v>45213</v>
      </c>
      <c r="J990" s="37">
        <v>53041</v>
      </c>
      <c r="K990" s="37">
        <v>6395</v>
      </c>
      <c r="L990" s="37">
        <v>12582</v>
      </c>
      <c r="M990" s="37">
        <v>95693</v>
      </c>
      <c r="N990" s="37">
        <v>152857</v>
      </c>
      <c r="O990" s="37">
        <v>0</v>
      </c>
      <c r="P990" s="37">
        <v>0</v>
      </c>
      <c r="Q990" s="37">
        <v>58956</v>
      </c>
      <c r="R990" s="37">
        <v>106146</v>
      </c>
      <c r="S990" s="37">
        <v>0</v>
      </c>
      <c r="T990" s="37">
        <v>0</v>
      </c>
      <c r="U990" s="37">
        <v>2617</v>
      </c>
      <c r="V990" s="37">
        <v>11528</v>
      </c>
      <c r="W990" s="37">
        <v>34651.5</v>
      </c>
      <c r="X990" s="37">
        <v>34651.5</v>
      </c>
      <c r="Y990" s="37">
        <v>0</v>
      </c>
      <c r="Z990" s="37">
        <v>0</v>
      </c>
      <c r="AA990" s="37">
        <v>96224.5</v>
      </c>
      <c r="AB990" s="37">
        <v>152325.5</v>
      </c>
      <c r="AC990" s="37">
        <v>0</v>
      </c>
      <c r="AD990" s="37">
        <v>0</v>
      </c>
      <c r="AE990" s="37">
        <v>0</v>
      </c>
      <c r="AF990" s="168">
        <v>0.02</v>
      </c>
      <c r="AG990" s="37">
        <v>23602834.699999999</v>
      </c>
      <c r="AH990" s="37">
        <v>255106.61</v>
      </c>
      <c r="AI990" s="37">
        <v>216699.21</v>
      </c>
      <c r="AJ990" s="37">
        <v>238352.11</v>
      </c>
      <c r="AK990" s="37">
        <v>225453.86</v>
      </c>
      <c r="AL990" s="37">
        <v>229962.94</v>
      </c>
      <c r="AM990" s="37">
        <v>234562.19</v>
      </c>
      <c r="AN990" s="37">
        <v>239253.44</v>
      </c>
      <c r="AO990" s="37">
        <v>244038.51</v>
      </c>
      <c r="AP990" s="37">
        <v>248919.28</v>
      </c>
      <c r="AQ990" s="37">
        <v>253897.66</v>
      </c>
      <c r="AR990" s="37">
        <v>2386245.8099999996</v>
      </c>
      <c r="AS990" s="37">
        <v>639491.79</v>
      </c>
      <c r="AT990" s="37">
        <v>0</v>
      </c>
      <c r="AU990" s="37">
        <v>0</v>
      </c>
      <c r="AV990" s="37">
        <v>0</v>
      </c>
      <c r="AW990" s="37">
        <v>0</v>
      </c>
      <c r="AX990" s="37">
        <v>0</v>
      </c>
      <c r="AY990" s="37">
        <v>0</v>
      </c>
      <c r="AZ990" s="37">
        <v>0</v>
      </c>
      <c r="BA990" s="37">
        <v>0</v>
      </c>
      <c r="BB990" s="37">
        <v>0</v>
      </c>
      <c r="BC990" s="37">
        <v>0</v>
      </c>
      <c r="BD990" s="37">
        <v>0</v>
      </c>
      <c r="BE990" s="37">
        <v>498000</v>
      </c>
      <c r="BF990" s="37">
        <v>0</v>
      </c>
      <c r="BG990" s="37">
        <v>0</v>
      </c>
      <c r="BH990" s="37">
        <v>0</v>
      </c>
      <c r="BI990" s="37">
        <v>0</v>
      </c>
      <c r="BJ990" s="37">
        <v>0</v>
      </c>
      <c r="BK990" s="37">
        <v>0</v>
      </c>
      <c r="BL990" s="37">
        <v>0</v>
      </c>
      <c r="BM990" s="37">
        <v>0</v>
      </c>
      <c r="BN990" s="37">
        <v>0</v>
      </c>
      <c r="BO990" s="37">
        <v>0</v>
      </c>
      <c r="BP990" s="37">
        <v>0</v>
      </c>
      <c r="BQ990" s="37">
        <v>100000</v>
      </c>
      <c r="BR990" s="37">
        <v>0</v>
      </c>
      <c r="BS990" s="37">
        <v>0</v>
      </c>
      <c r="BT990" s="37">
        <v>0</v>
      </c>
      <c r="BU990" s="37">
        <v>0</v>
      </c>
      <c r="BV990" s="37">
        <v>0</v>
      </c>
      <c r="BW990" s="37">
        <v>0</v>
      </c>
      <c r="BX990" s="37">
        <v>0</v>
      </c>
      <c r="BY990" s="37">
        <v>0</v>
      </c>
      <c r="BZ990" s="37">
        <v>0</v>
      </c>
      <c r="CA990" s="37">
        <v>0</v>
      </c>
      <c r="CB990" s="37">
        <v>0</v>
      </c>
      <c r="CC990" s="37">
        <v>0</v>
      </c>
      <c r="CD990" s="37">
        <v>0</v>
      </c>
      <c r="CE990" s="37">
        <v>0</v>
      </c>
      <c r="CF990" s="37">
        <v>0</v>
      </c>
      <c r="CG990" s="37">
        <v>0</v>
      </c>
      <c r="CH990" s="37">
        <v>0</v>
      </c>
      <c r="CI990" s="37">
        <v>0</v>
      </c>
      <c r="CJ990" s="37">
        <v>0</v>
      </c>
      <c r="CK990" s="37">
        <v>0</v>
      </c>
      <c r="CL990" s="37">
        <v>0</v>
      </c>
      <c r="CM990" s="37">
        <v>0</v>
      </c>
      <c r="CN990" s="37">
        <v>0</v>
      </c>
      <c r="CO990" s="37">
        <v>0</v>
      </c>
      <c r="CP990" s="37">
        <v>0</v>
      </c>
      <c r="CQ990" s="37">
        <v>0</v>
      </c>
      <c r="CR990" s="37">
        <v>0</v>
      </c>
      <c r="CS990" s="37">
        <v>0</v>
      </c>
      <c r="CT990" s="37">
        <v>0</v>
      </c>
      <c r="CU990" s="37">
        <v>0</v>
      </c>
      <c r="CV990" s="37">
        <v>0</v>
      </c>
      <c r="CW990" s="37">
        <v>0</v>
      </c>
      <c r="CX990" s="37">
        <v>0</v>
      </c>
      <c r="CY990" s="37">
        <v>0</v>
      </c>
      <c r="CZ990" s="37">
        <v>0</v>
      </c>
      <c r="DA990" s="37">
        <v>0</v>
      </c>
      <c r="DB990" s="37">
        <v>0</v>
      </c>
      <c r="DC990" s="37">
        <v>0</v>
      </c>
      <c r="DD990" s="37">
        <v>0</v>
      </c>
      <c r="DE990" s="37">
        <v>0</v>
      </c>
      <c r="DF990" s="37">
        <v>0</v>
      </c>
      <c r="DG990" s="37">
        <v>0</v>
      </c>
      <c r="DH990" s="37">
        <v>0</v>
      </c>
      <c r="DI990" s="37">
        <v>0</v>
      </c>
      <c r="DJ990" s="37">
        <v>0</v>
      </c>
      <c r="DK990" s="37">
        <v>0</v>
      </c>
      <c r="DL990" s="37">
        <v>0</v>
      </c>
      <c r="DM990" s="37">
        <v>0</v>
      </c>
      <c r="DN990" s="37">
        <v>0</v>
      </c>
      <c r="DO990" s="37">
        <v>0</v>
      </c>
      <c r="DP990" s="37">
        <v>0</v>
      </c>
      <c r="DQ990" s="37">
        <v>0</v>
      </c>
      <c r="DR990" s="37">
        <v>0</v>
      </c>
      <c r="DS990" s="37">
        <v>0</v>
      </c>
      <c r="DT990" s="37">
        <v>0</v>
      </c>
      <c r="DU990" s="37">
        <v>0</v>
      </c>
      <c r="DV990" s="37">
        <v>0</v>
      </c>
      <c r="DW990" s="37">
        <v>0</v>
      </c>
      <c r="DX990" s="37">
        <v>0</v>
      </c>
      <c r="DY990" s="37">
        <v>0</v>
      </c>
      <c r="DZ990" s="37">
        <v>0</v>
      </c>
      <c r="EA990" s="37">
        <v>0</v>
      </c>
      <c r="EB990" s="37">
        <v>0</v>
      </c>
      <c r="EC990" s="37">
        <v>0</v>
      </c>
      <c r="ED990" s="37">
        <v>0</v>
      </c>
      <c r="EE990" s="37">
        <v>0</v>
      </c>
      <c r="EF990" s="37">
        <v>0</v>
      </c>
      <c r="EG990" s="37">
        <v>0</v>
      </c>
      <c r="EH990" s="37">
        <v>0</v>
      </c>
      <c r="EI990" s="37">
        <v>0</v>
      </c>
      <c r="EJ990" s="37">
        <v>0</v>
      </c>
      <c r="EK990" s="161" t="s">
        <v>3427</v>
      </c>
      <c r="EL990" s="294" t="s">
        <v>1124</v>
      </c>
    </row>
    <row r="991" spans="1:142" ht="15" customHeight="1" x14ac:dyDescent="0.35">
      <c r="A991" s="34"/>
      <c r="B991" s="313">
        <v>11055</v>
      </c>
      <c r="C991" s="8" t="s">
        <v>27</v>
      </c>
      <c r="D991" s="18">
        <v>1</v>
      </c>
      <c r="E991" s="155">
        <v>44954</v>
      </c>
      <c r="F991" s="36">
        <v>2737</v>
      </c>
      <c r="G991" s="37">
        <v>56351</v>
      </c>
      <c r="H991" s="37">
        <v>0</v>
      </c>
      <c r="I991" s="37">
        <v>21300</v>
      </c>
      <c r="J991" s="37">
        <v>0</v>
      </c>
      <c r="K991" s="37">
        <v>12000</v>
      </c>
      <c r="L991" s="37">
        <v>0</v>
      </c>
      <c r="M991" s="37">
        <v>134605</v>
      </c>
      <c r="N991" s="37">
        <v>2737</v>
      </c>
      <c r="O991" s="37">
        <v>0</v>
      </c>
      <c r="P991" s="37">
        <v>0</v>
      </c>
      <c r="Q991" s="37">
        <v>34826</v>
      </c>
      <c r="R991" s="37">
        <v>13114</v>
      </c>
      <c r="S991" s="37">
        <v>0</v>
      </c>
      <c r="T991" s="37">
        <v>0</v>
      </c>
      <c r="U991" s="37">
        <v>0</v>
      </c>
      <c r="V991" s="37">
        <v>51137</v>
      </c>
      <c r="W991" s="37">
        <v>19133</v>
      </c>
      <c r="X991" s="37">
        <v>19132</v>
      </c>
      <c r="Y991" s="37">
        <v>0</v>
      </c>
      <c r="Z991" s="37">
        <v>0</v>
      </c>
      <c r="AA991" s="37">
        <v>53959</v>
      </c>
      <c r="AB991" s="37">
        <v>83383</v>
      </c>
      <c r="AC991" s="37">
        <v>0</v>
      </c>
      <c r="AD991" s="37">
        <v>0</v>
      </c>
      <c r="AE991" s="37">
        <v>0</v>
      </c>
      <c r="AF991" s="168">
        <v>0.02</v>
      </c>
      <c r="AG991" s="37">
        <v>14781901.84</v>
      </c>
      <c r="AH991" s="37">
        <v>150802.72</v>
      </c>
      <c r="AI991" s="37">
        <v>268054.69</v>
      </c>
      <c r="AJ991" s="37">
        <v>124422.18</v>
      </c>
      <c r="AK991" s="37">
        <v>126910.63</v>
      </c>
      <c r="AL991" s="37">
        <v>129448.84</v>
      </c>
      <c r="AM991" s="37">
        <v>132037.82</v>
      </c>
      <c r="AN991" s="37">
        <v>134678.57</v>
      </c>
      <c r="AO991" s="37">
        <v>137372.15</v>
      </c>
      <c r="AP991" s="37">
        <v>140119.59</v>
      </c>
      <c r="AQ991" s="37">
        <v>142921.98000000001</v>
      </c>
      <c r="AR991" s="37">
        <v>1486769.17</v>
      </c>
      <c r="AS991" s="37">
        <v>0</v>
      </c>
      <c r="AT991" s="37">
        <v>0</v>
      </c>
      <c r="AU991" s="37">
        <v>0</v>
      </c>
      <c r="AV991" s="37">
        <v>0</v>
      </c>
      <c r="AW991" s="37">
        <v>0</v>
      </c>
      <c r="AX991" s="37">
        <v>0</v>
      </c>
      <c r="AY991" s="37">
        <v>0</v>
      </c>
      <c r="AZ991" s="37">
        <v>0</v>
      </c>
      <c r="BA991" s="37">
        <v>0</v>
      </c>
      <c r="BB991" s="37">
        <v>0</v>
      </c>
      <c r="BC991" s="37">
        <v>0</v>
      </c>
      <c r="BD991" s="37">
        <v>0</v>
      </c>
      <c r="BE991" s="37">
        <v>0</v>
      </c>
      <c r="BF991" s="37">
        <v>50000</v>
      </c>
      <c r="BG991" s="37">
        <v>70000</v>
      </c>
      <c r="BH991" s="37">
        <v>0</v>
      </c>
      <c r="BI991" s="37">
        <v>0</v>
      </c>
      <c r="BJ991" s="37">
        <v>0</v>
      </c>
      <c r="BK991" s="37">
        <v>0</v>
      </c>
      <c r="BL991" s="37">
        <v>0</v>
      </c>
      <c r="BM991" s="37">
        <v>0</v>
      </c>
      <c r="BN991" s="37">
        <v>0</v>
      </c>
      <c r="BO991" s="37">
        <v>0</v>
      </c>
      <c r="BP991" s="37">
        <v>120000</v>
      </c>
      <c r="BQ991" s="37">
        <v>0</v>
      </c>
      <c r="BR991" s="37">
        <v>0</v>
      </c>
      <c r="BS991" s="37">
        <v>0</v>
      </c>
      <c r="BT991" s="37">
        <v>0</v>
      </c>
      <c r="BU991" s="37">
        <v>0</v>
      </c>
      <c r="BV991" s="37">
        <v>0</v>
      </c>
      <c r="BW991" s="37">
        <v>0</v>
      </c>
      <c r="BX991" s="37">
        <v>0</v>
      </c>
      <c r="BY991" s="37">
        <v>0</v>
      </c>
      <c r="BZ991" s="37">
        <v>0</v>
      </c>
      <c r="CA991" s="37">
        <v>0</v>
      </c>
      <c r="CB991" s="37">
        <v>0</v>
      </c>
      <c r="CC991" s="37">
        <v>0</v>
      </c>
      <c r="CD991" s="37">
        <v>0</v>
      </c>
      <c r="CE991" s="37">
        <v>0</v>
      </c>
      <c r="CF991" s="37">
        <v>0</v>
      </c>
      <c r="CG991" s="37">
        <v>0</v>
      </c>
      <c r="CH991" s="37">
        <v>0</v>
      </c>
      <c r="CI991" s="37">
        <v>0</v>
      </c>
      <c r="CJ991" s="37">
        <v>0</v>
      </c>
      <c r="CK991" s="37">
        <v>0</v>
      </c>
      <c r="CL991" s="37">
        <v>0</v>
      </c>
      <c r="CM991" s="37">
        <v>0</v>
      </c>
      <c r="CN991" s="37">
        <v>0</v>
      </c>
      <c r="CO991" s="37">
        <v>0</v>
      </c>
      <c r="CP991" s="37">
        <v>0</v>
      </c>
      <c r="CQ991" s="37">
        <v>0</v>
      </c>
      <c r="CR991" s="37">
        <v>0</v>
      </c>
      <c r="CS991" s="37">
        <v>0</v>
      </c>
      <c r="CT991" s="37">
        <v>0</v>
      </c>
      <c r="CU991" s="37">
        <v>0</v>
      </c>
      <c r="CV991" s="37">
        <v>0</v>
      </c>
      <c r="CW991" s="37">
        <v>0</v>
      </c>
      <c r="CX991" s="37">
        <v>0</v>
      </c>
      <c r="CY991" s="37">
        <v>0</v>
      </c>
      <c r="CZ991" s="37">
        <v>0</v>
      </c>
      <c r="DA991" s="37">
        <v>0</v>
      </c>
      <c r="DB991" s="37">
        <v>0</v>
      </c>
      <c r="DC991" s="37">
        <v>0</v>
      </c>
      <c r="DD991" s="37">
        <v>0</v>
      </c>
      <c r="DE991" s="37">
        <v>0</v>
      </c>
      <c r="DF991" s="37">
        <v>0</v>
      </c>
      <c r="DG991" s="37">
        <v>0</v>
      </c>
      <c r="DH991" s="37">
        <v>0</v>
      </c>
      <c r="DI991" s="37">
        <v>0</v>
      </c>
      <c r="DJ991" s="37">
        <v>0</v>
      </c>
      <c r="DK991" s="37">
        <v>0</v>
      </c>
      <c r="DL991" s="37">
        <v>0</v>
      </c>
      <c r="DM991" s="37">
        <v>0</v>
      </c>
      <c r="DN991" s="37">
        <v>0</v>
      </c>
      <c r="DO991" s="37">
        <v>0</v>
      </c>
      <c r="DP991" s="37">
        <v>0</v>
      </c>
      <c r="DQ991" s="37">
        <v>0</v>
      </c>
      <c r="DR991" s="37">
        <v>0</v>
      </c>
      <c r="DS991" s="37">
        <v>0</v>
      </c>
      <c r="DT991" s="37">
        <v>0</v>
      </c>
      <c r="DU991" s="37">
        <v>0</v>
      </c>
      <c r="DV991" s="37">
        <v>0</v>
      </c>
      <c r="DW991" s="37">
        <v>0</v>
      </c>
      <c r="DX991" s="37">
        <v>0</v>
      </c>
      <c r="DY991" s="37">
        <v>0</v>
      </c>
      <c r="DZ991" s="37">
        <v>0</v>
      </c>
      <c r="EA991" s="37">
        <v>0</v>
      </c>
      <c r="EB991" s="37">
        <v>0</v>
      </c>
      <c r="EC991" s="37">
        <v>0</v>
      </c>
      <c r="ED991" s="37">
        <v>0</v>
      </c>
      <c r="EE991" s="37">
        <v>0</v>
      </c>
      <c r="EF991" s="37">
        <v>0</v>
      </c>
      <c r="EG991" s="37">
        <v>0</v>
      </c>
      <c r="EH991" s="37">
        <v>0</v>
      </c>
      <c r="EI991" s="37">
        <v>0</v>
      </c>
      <c r="EJ991" s="37">
        <v>0</v>
      </c>
      <c r="EK991" s="161" t="s">
        <v>3430</v>
      </c>
      <c r="EL991" s="294" t="s">
        <v>1124</v>
      </c>
    </row>
    <row r="992" spans="1:142" ht="15" customHeight="1" x14ac:dyDescent="0.35">
      <c r="A992" s="34"/>
      <c r="B992" s="313">
        <v>54090</v>
      </c>
      <c r="C992" s="8" t="s">
        <v>551</v>
      </c>
      <c r="D992" s="18">
        <v>16</v>
      </c>
      <c r="E992" s="155">
        <v>111472</v>
      </c>
      <c r="F992" s="36">
        <v>31138</v>
      </c>
      <c r="G992" s="37">
        <v>16466</v>
      </c>
      <c r="H992" s="37">
        <v>0</v>
      </c>
      <c r="I992" s="37">
        <v>93700</v>
      </c>
      <c r="J992" s="37">
        <v>0</v>
      </c>
      <c r="K992" s="37">
        <v>5000</v>
      </c>
      <c r="L992" s="37">
        <v>4600</v>
      </c>
      <c r="M992" s="37">
        <v>226638</v>
      </c>
      <c r="N992" s="37">
        <v>35738</v>
      </c>
      <c r="O992" s="37">
        <v>21555</v>
      </c>
      <c r="P992" s="37">
        <v>0</v>
      </c>
      <c r="Q992" s="37">
        <v>76081</v>
      </c>
      <c r="R992" s="37">
        <v>48849</v>
      </c>
      <c r="S992" s="37">
        <v>28306</v>
      </c>
      <c r="T992" s="37">
        <v>0</v>
      </c>
      <c r="U992" s="37">
        <v>308</v>
      </c>
      <c r="V992" s="37">
        <v>0</v>
      </c>
      <c r="W992" s="37">
        <v>101867</v>
      </c>
      <c r="X992" s="37">
        <v>0</v>
      </c>
      <c r="Y992" s="37">
        <v>0</v>
      </c>
      <c r="Z992" s="37">
        <v>0</v>
      </c>
      <c r="AA992" s="37">
        <v>228117</v>
      </c>
      <c r="AB992" s="37">
        <v>48849</v>
      </c>
      <c r="AC992" s="37">
        <v>14590</v>
      </c>
      <c r="AD992" s="37">
        <v>0</v>
      </c>
      <c r="AE992" s="37">
        <v>73928</v>
      </c>
      <c r="AF992" s="168">
        <v>0.02</v>
      </c>
      <c r="AG992" s="37">
        <v>16490517.25</v>
      </c>
      <c r="AH992" s="37">
        <v>138826.07999999999</v>
      </c>
      <c r="AI992" s="37">
        <v>141602.6</v>
      </c>
      <c r="AJ992" s="37">
        <v>144434.65</v>
      </c>
      <c r="AK992" s="37">
        <v>147323.34</v>
      </c>
      <c r="AL992" s="37">
        <v>150269.81</v>
      </c>
      <c r="AM992" s="37">
        <v>153275.20000000001</v>
      </c>
      <c r="AN992" s="37">
        <v>156340.71</v>
      </c>
      <c r="AO992" s="37">
        <v>159467.51999999999</v>
      </c>
      <c r="AP992" s="37">
        <v>162656.87</v>
      </c>
      <c r="AQ992" s="37">
        <v>165910.01</v>
      </c>
      <c r="AR992" s="37">
        <v>1520106.79</v>
      </c>
      <c r="AS992" s="37">
        <v>0</v>
      </c>
      <c r="AT992" s="37">
        <v>25500</v>
      </c>
      <c r="AU992" s="37">
        <v>0</v>
      </c>
      <c r="AV992" s="37">
        <v>0</v>
      </c>
      <c r="AW992" s="37">
        <v>0</v>
      </c>
      <c r="AX992" s="37">
        <v>0</v>
      </c>
      <c r="AY992" s="37">
        <v>0</v>
      </c>
      <c r="AZ992" s="37">
        <v>0</v>
      </c>
      <c r="BA992" s="37">
        <v>0</v>
      </c>
      <c r="BB992" s="37">
        <v>0</v>
      </c>
      <c r="BC992" s="37">
        <v>0</v>
      </c>
      <c r="BD992" s="37">
        <v>25500</v>
      </c>
      <c r="BE992" s="37">
        <v>0</v>
      </c>
      <c r="BF992" s="37">
        <v>0</v>
      </c>
      <c r="BG992" s="37">
        <v>0</v>
      </c>
      <c r="BH992" s="37">
        <v>0</v>
      </c>
      <c r="BI992" s="37">
        <v>0</v>
      </c>
      <c r="BJ992" s="37">
        <v>0</v>
      </c>
      <c r="BK992" s="37">
        <v>0</v>
      </c>
      <c r="BL992" s="37">
        <v>0</v>
      </c>
      <c r="BM992" s="37">
        <v>0</v>
      </c>
      <c r="BN992" s="37">
        <v>0</v>
      </c>
      <c r="BO992" s="37">
        <v>0</v>
      </c>
      <c r="BP992" s="37">
        <v>0</v>
      </c>
      <c r="BQ992" s="37">
        <v>0</v>
      </c>
      <c r="BR992" s="37">
        <v>0</v>
      </c>
      <c r="BS992" s="37">
        <v>0</v>
      </c>
      <c r="BT992" s="37">
        <v>0</v>
      </c>
      <c r="BU992" s="37">
        <v>0</v>
      </c>
      <c r="BV992" s="37">
        <v>0</v>
      </c>
      <c r="BW992" s="37">
        <v>0</v>
      </c>
      <c r="BX992" s="37">
        <v>0</v>
      </c>
      <c r="BY992" s="37">
        <v>0</v>
      </c>
      <c r="BZ992" s="37">
        <v>0</v>
      </c>
      <c r="CA992" s="37">
        <v>0</v>
      </c>
      <c r="CB992" s="37">
        <v>0</v>
      </c>
      <c r="CC992" s="37">
        <v>0</v>
      </c>
      <c r="CD992" s="37">
        <v>110000</v>
      </c>
      <c r="CE992" s="37">
        <v>0</v>
      </c>
      <c r="CF992" s="37">
        <v>0</v>
      </c>
      <c r="CG992" s="37">
        <v>0</v>
      </c>
      <c r="CH992" s="37">
        <v>0</v>
      </c>
      <c r="CI992" s="37">
        <v>0</v>
      </c>
      <c r="CJ992" s="37">
        <v>0</v>
      </c>
      <c r="CK992" s="37">
        <v>0</v>
      </c>
      <c r="CL992" s="37">
        <v>0</v>
      </c>
      <c r="CM992" s="37">
        <v>0</v>
      </c>
      <c r="CN992" s="37">
        <v>110000</v>
      </c>
      <c r="CO992" s="37">
        <v>0</v>
      </c>
      <c r="CP992" s="37">
        <v>0</v>
      </c>
      <c r="CQ992" s="37">
        <v>0</v>
      </c>
      <c r="CR992" s="37">
        <v>0</v>
      </c>
      <c r="CS992" s="37">
        <v>0</v>
      </c>
      <c r="CT992" s="37">
        <v>0</v>
      </c>
      <c r="CU992" s="37">
        <v>0</v>
      </c>
      <c r="CV992" s="37">
        <v>0</v>
      </c>
      <c r="CW992" s="37">
        <v>0</v>
      </c>
      <c r="CX992" s="37">
        <v>0</v>
      </c>
      <c r="CY992" s="37">
        <v>0</v>
      </c>
      <c r="CZ992" s="37">
        <v>0</v>
      </c>
      <c r="DA992" s="37">
        <v>0</v>
      </c>
      <c r="DB992" s="37">
        <v>0</v>
      </c>
      <c r="DC992" s="37">
        <v>0</v>
      </c>
      <c r="DD992" s="37">
        <v>0</v>
      </c>
      <c r="DE992" s="37">
        <v>0</v>
      </c>
      <c r="DF992" s="37">
        <v>0</v>
      </c>
      <c r="DG992" s="37">
        <v>0</v>
      </c>
      <c r="DH992" s="37">
        <v>0</v>
      </c>
      <c r="DI992" s="37">
        <v>0</v>
      </c>
      <c r="DJ992" s="37">
        <v>0</v>
      </c>
      <c r="DK992" s="37">
        <v>0</v>
      </c>
      <c r="DL992" s="37">
        <v>0</v>
      </c>
      <c r="DM992" s="37">
        <v>51000</v>
      </c>
      <c r="DN992" s="37">
        <v>25000</v>
      </c>
      <c r="DO992" s="37">
        <v>0</v>
      </c>
      <c r="DP992" s="37">
        <v>0</v>
      </c>
      <c r="DQ992" s="37">
        <v>0</v>
      </c>
      <c r="DR992" s="37">
        <v>0</v>
      </c>
      <c r="DS992" s="37">
        <v>0</v>
      </c>
      <c r="DT992" s="37">
        <v>0</v>
      </c>
      <c r="DU992" s="37">
        <v>0</v>
      </c>
      <c r="DV992" s="37">
        <v>0</v>
      </c>
      <c r="DW992" s="37">
        <v>0</v>
      </c>
      <c r="DX992" s="37">
        <v>25000</v>
      </c>
      <c r="DY992" s="37">
        <v>0</v>
      </c>
      <c r="DZ992" s="37">
        <v>0</v>
      </c>
      <c r="EA992" s="37">
        <v>0</v>
      </c>
      <c r="EB992" s="37">
        <v>0</v>
      </c>
      <c r="EC992" s="37">
        <v>0</v>
      </c>
      <c r="ED992" s="37">
        <v>0</v>
      </c>
      <c r="EE992" s="37">
        <v>0</v>
      </c>
      <c r="EF992" s="37">
        <v>0</v>
      </c>
      <c r="EG992" s="37">
        <v>0</v>
      </c>
      <c r="EH992" s="37">
        <v>0</v>
      </c>
      <c r="EI992" s="37">
        <v>0</v>
      </c>
      <c r="EJ992" s="37">
        <v>0</v>
      </c>
      <c r="EK992" s="161" t="s">
        <v>1124</v>
      </c>
      <c r="EL992" s="294" t="s">
        <v>1124</v>
      </c>
    </row>
    <row r="993" spans="1:142" ht="15" customHeight="1" x14ac:dyDescent="0.35">
      <c r="A993" s="34"/>
      <c r="B993" s="313">
        <v>29125</v>
      </c>
      <c r="C993" s="8" t="s">
        <v>216</v>
      </c>
      <c r="D993" s="18">
        <v>12</v>
      </c>
      <c r="E993" s="155"/>
      <c r="F993" s="36"/>
      <c r="G993" s="37"/>
      <c r="H993" s="37"/>
      <c r="I993" s="37"/>
      <c r="J993" s="37"/>
      <c r="K993" s="37"/>
      <c r="L993" s="37"/>
      <c r="M993" s="37" t="s">
        <v>1124</v>
      </c>
      <c r="N993" s="37" t="s">
        <v>1124</v>
      </c>
      <c r="O993" s="37"/>
      <c r="P993" s="37"/>
      <c r="Q993" s="37"/>
      <c r="R993" s="37"/>
      <c r="S993" s="37"/>
      <c r="T993" s="37"/>
      <c r="U993" s="37"/>
      <c r="V993" s="37"/>
      <c r="W993" s="37"/>
      <c r="X993" s="37"/>
      <c r="Y993" s="37"/>
      <c r="Z993" s="37"/>
      <c r="AA993" s="37" t="s">
        <v>1124</v>
      </c>
      <c r="AB993" s="37" t="s">
        <v>1124</v>
      </c>
      <c r="AC993" s="37"/>
      <c r="AD993" s="37"/>
      <c r="AE993" s="37"/>
      <c r="AF993" s="168"/>
      <c r="AG993" s="37"/>
      <c r="AH993" s="37"/>
      <c r="AI993" s="37"/>
      <c r="AJ993" s="37"/>
      <c r="AK993" s="37"/>
      <c r="AL993" s="37"/>
      <c r="AM993" s="37"/>
      <c r="AN993" s="37"/>
      <c r="AO993" s="37"/>
      <c r="AP993" s="37"/>
      <c r="AQ993" s="37"/>
      <c r="AR993" s="37" t="s">
        <v>1124</v>
      </c>
      <c r="AS993" s="37"/>
      <c r="AT993" s="37"/>
      <c r="AU993" s="37"/>
      <c r="AV993" s="37"/>
      <c r="AW993" s="37"/>
      <c r="AX993" s="37"/>
      <c r="AY993" s="37"/>
      <c r="AZ993" s="37"/>
      <c r="BA993" s="37"/>
      <c r="BB993" s="37"/>
      <c r="BC993" s="37"/>
      <c r="BD993" s="37" t="s">
        <v>1124</v>
      </c>
      <c r="BE993" s="37"/>
      <c r="BF993" s="37"/>
      <c r="BG993" s="37"/>
      <c r="BH993" s="37"/>
      <c r="BI993" s="37"/>
      <c r="BJ993" s="37"/>
      <c r="BK993" s="37"/>
      <c r="BL993" s="37"/>
      <c r="BM993" s="37"/>
      <c r="BN993" s="37"/>
      <c r="BO993" s="37"/>
      <c r="BP993" s="37">
        <v>0</v>
      </c>
      <c r="BQ993" s="37"/>
      <c r="BR993" s="37"/>
      <c r="BS993" s="37"/>
      <c r="BT993" s="37"/>
      <c r="BU993" s="37"/>
      <c r="BV993" s="37"/>
      <c r="BW993" s="37"/>
      <c r="BX993" s="37"/>
      <c r="BY993" s="37"/>
      <c r="BZ993" s="37"/>
      <c r="CA993" s="37"/>
      <c r="CB993" s="37" t="s">
        <v>1124</v>
      </c>
      <c r="CC993" s="37"/>
      <c r="CD993" s="37"/>
      <c r="CE993" s="37"/>
      <c r="CF993" s="37"/>
      <c r="CG993" s="37"/>
      <c r="CH993" s="37"/>
      <c r="CI993" s="37"/>
      <c r="CJ993" s="37"/>
      <c r="CK993" s="37"/>
      <c r="CL993" s="37"/>
      <c r="CM993" s="37"/>
      <c r="CN993" s="37" t="s">
        <v>1124</v>
      </c>
      <c r="CO993" s="37"/>
      <c r="CP993" s="37"/>
      <c r="CQ993" s="37"/>
      <c r="CR993" s="37"/>
      <c r="CS993" s="37"/>
      <c r="CT993" s="37"/>
      <c r="CU993" s="37"/>
      <c r="CV993" s="37"/>
      <c r="CW993" s="37"/>
      <c r="CX993" s="37"/>
      <c r="CY993" s="37"/>
      <c r="CZ993" s="37" t="s">
        <v>1124</v>
      </c>
      <c r="DA993" s="37"/>
      <c r="DB993" s="37"/>
      <c r="DC993" s="37"/>
      <c r="DD993" s="37"/>
      <c r="DE993" s="37"/>
      <c r="DF993" s="37"/>
      <c r="DG993" s="37"/>
      <c r="DH993" s="37"/>
      <c r="DI993" s="37"/>
      <c r="DJ993" s="37"/>
      <c r="DK993" s="37"/>
      <c r="DL993" s="37" t="s">
        <v>1124</v>
      </c>
      <c r="DM993" s="37"/>
      <c r="DN993" s="37"/>
      <c r="DO993" s="37"/>
      <c r="DP993" s="37"/>
      <c r="DQ993" s="37"/>
      <c r="DR993" s="37"/>
      <c r="DS993" s="37"/>
      <c r="DT993" s="37"/>
      <c r="DU993" s="37"/>
      <c r="DV993" s="37"/>
      <c r="DW993" s="37"/>
      <c r="DX993" s="37" t="s">
        <v>1124</v>
      </c>
      <c r="DY993" s="37"/>
      <c r="DZ993" s="37"/>
      <c r="EA993" s="37"/>
      <c r="EB993" s="37"/>
      <c r="EC993" s="37"/>
      <c r="ED993" s="37"/>
      <c r="EE993" s="37"/>
      <c r="EF993" s="37"/>
      <c r="EG993" s="37"/>
      <c r="EH993" s="37"/>
      <c r="EI993" s="37"/>
      <c r="EJ993" s="37" t="s">
        <v>1124</v>
      </c>
      <c r="EK993" s="161"/>
      <c r="EL993" s="294"/>
    </row>
    <row r="994" spans="1:142" ht="15" customHeight="1" x14ac:dyDescent="0.35">
      <c r="A994" s="34"/>
      <c r="B994" s="313">
        <v>80070</v>
      </c>
      <c r="C994" s="8" t="s">
        <v>814</v>
      </c>
      <c r="D994" s="18">
        <v>7</v>
      </c>
      <c r="E994" s="155"/>
      <c r="F994" s="36"/>
      <c r="G994" s="37"/>
      <c r="H994" s="37"/>
      <c r="I994" s="37"/>
      <c r="J994" s="37"/>
      <c r="K994" s="37"/>
      <c r="L994" s="37"/>
      <c r="M994" s="37" t="s">
        <v>1124</v>
      </c>
      <c r="N994" s="37" t="s">
        <v>1124</v>
      </c>
      <c r="O994" s="37"/>
      <c r="P994" s="37"/>
      <c r="Q994" s="37"/>
      <c r="R994" s="37"/>
      <c r="S994" s="37"/>
      <c r="T994" s="37"/>
      <c r="U994" s="37"/>
      <c r="V994" s="37"/>
      <c r="W994" s="37"/>
      <c r="X994" s="37"/>
      <c r="Y994" s="37"/>
      <c r="Z994" s="37"/>
      <c r="AA994" s="37" t="s">
        <v>1124</v>
      </c>
      <c r="AB994" s="37" t="s">
        <v>1124</v>
      </c>
      <c r="AC994" s="37"/>
      <c r="AD994" s="37"/>
      <c r="AE994" s="37"/>
      <c r="AF994" s="168"/>
      <c r="AG994" s="37"/>
      <c r="AH994" s="37"/>
      <c r="AI994" s="37"/>
      <c r="AJ994" s="37"/>
      <c r="AK994" s="37"/>
      <c r="AL994" s="37"/>
      <c r="AM994" s="37"/>
      <c r="AN994" s="37"/>
      <c r="AO994" s="37"/>
      <c r="AP994" s="37"/>
      <c r="AQ994" s="37"/>
      <c r="AR994" s="37" t="s">
        <v>1124</v>
      </c>
      <c r="AS994" s="37"/>
      <c r="AT994" s="37"/>
      <c r="AU994" s="37"/>
      <c r="AV994" s="37"/>
      <c r="AW994" s="37"/>
      <c r="AX994" s="37"/>
      <c r="AY994" s="37"/>
      <c r="AZ994" s="37"/>
      <c r="BA994" s="37"/>
      <c r="BB994" s="37"/>
      <c r="BC994" s="37"/>
      <c r="BD994" s="37" t="s">
        <v>1124</v>
      </c>
      <c r="BE994" s="37"/>
      <c r="BF994" s="37"/>
      <c r="BG994" s="37"/>
      <c r="BH994" s="37"/>
      <c r="BI994" s="37"/>
      <c r="BJ994" s="37"/>
      <c r="BK994" s="37"/>
      <c r="BL994" s="37"/>
      <c r="BM994" s="37"/>
      <c r="BN994" s="37"/>
      <c r="BO994" s="37"/>
      <c r="BP994" s="37">
        <v>0</v>
      </c>
      <c r="BQ994" s="37"/>
      <c r="BR994" s="37"/>
      <c r="BS994" s="37"/>
      <c r="BT994" s="37"/>
      <c r="BU994" s="37"/>
      <c r="BV994" s="37"/>
      <c r="BW994" s="37"/>
      <c r="BX994" s="37"/>
      <c r="BY994" s="37"/>
      <c r="BZ994" s="37"/>
      <c r="CA994" s="37"/>
      <c r="CB994" s="37" t="s">
        <v>1124</v>
      </c>
      <c r="CC994" s="37"/>
      <c r="CD994" s="37"/>
      <c r="CE994" s="37"/>
      <c r="CF994" s="37"/>
      <c r="CG994" s="37"/>
      <c r="CH994" s="37"/>
      <c r="CI994" s="37"/>
      <c r="CJ994" s="37"/>
      <c r="CK994" s="37"/>
      <c r="CL994" s="37"/>
      <c r="CM994" s="37"/>
      <c r="CN994" s="37" t="s">
        <v>1124</v>
      </c>
      <c r="CO994" s="37"/>
      <c r="CP994" s="37"/>
      <c r="CQ994" s="37"/>
      <c r="CR994" s="37"/>
      <c r="CS994" s="37"/>
      <c r="CT994" s="37"/>
      <c r="CU994" s="37"/>
      <c r="CV994" s="37"/>
      <c r="CW994" s="37"/>
      <c r="CX994" s="37"/>
      <c r="CY994" s="37"/>
      <c r="CZ994" s="37" t="s">
        <v>1124</v>
      </c>
      <c r="DA994" s="37"/>
      <c r="DB994" s="37"/>
      <c r="DC994" s="37"/>
      <c r="DD994" s="37"/>
      <c r="DE994" s="37"/>
      <c r="DF994" s="37"/>
      <c r="DG994" s="37"/>
      <c r="DH994" s="37"/>
      <c r="DI994" s="37"/>
      <c r="DJ994" s="37"/>
      <c r="DK994" s="37"/>
      <c r="DL994" s="37" t="s">
        <v>1124</v>
      </c>
      <c r="DM994" s="37"/>
      <c r="DN994" s="37"/>
      <c r="DO994" s="37"/>
      <c r="DP994" s="37"/>
      <c r="DQ994" s="37"/>
      <c r="DR994" s="37"/>
      <c r="DS994" s="37"/>
      <c r="DT994" s="37"/>
      <c r="DU994" s="37"/>
      <c r="DV994" s="37"/>
      <c r="DW994" s="37"/>
      <c r="DX994" s="37" t="s">
        <v>1124</v>
      </c>
      <c r="DY994" s="37"/>
      <c r="DZ994" s="37"/>
      <c r="EA994" s="37"/>
      <c r="EB994" s="37"/>
      <c r="EC994" s="37"/>
      <c r="ED994" s="37"/>
      <c r="EE994" s="37"/>
      <c r="EF994" s="37"/>
      <c r="EG994" s="37"/>
      <c r="EH994" s="37"/>
      <c r="EI994" s="37"/>
      <c r="EJ994" s="37" t="s">
        <v>1124</v>
      </c>
      <c r="EK994" s="161"/>
      <c r="EL994" s="294"/>
    </row>
    <row r="995" spans="1:142" ht="15" customHeight="1" x14ac:dyDescent="0.35">
      <c r="A995" s="34"/>
      <c r="B995" s="313">
        <v>39005</v>
      </c>
      <c r="C995" s="8" t="s">
        <v>337</v>
      </c>
      <c r="D995" s="18">
        <v>17</v>
      </c>
      <c r="E995" s="155"/>
      <c r="F995" s="36"/>
      <c r="G995" s="37"/>
      <c r="H995" s="37"/>
      <c r="I995" s="37"/>
      <c r="J995" s="37"/>
      <c r="K995" s="37"/>
      <c r="L995" s="37"/>
      <c r="M995" s="37" t="s">
        <v>1124</v>
      </c>
      <c r="N995" s="37" t="s">
        <v>1124</v>
      </c>
      <c r="O995" s="37"/>
      <c r="P995" s="37"/>
      <c r="Q995" s="37"/>
      <c r="R995" s="37"/>
      <c r="S995" s="37"/>
      <c r="T995" s="37"/>
      <c r="U995" s="37"/>
      <c r="V995" s="37"/>
      <c r="W995" s="37"/>
      <c r="X995" s="37"/>
      <c r="Y995" s="37"/>
      <c r="Z995" s="37"/>
      <c r="AA995" s="37" t="s">
        <v>1124</v>
      </c>
      <c r="AB995" s="37" t="s">
        <v>1124</v>
      </c>
      <c r="AC995" s="37"/>
      <c r="AD995" s="37"/>
      <c r="AE995" s="37"/>
      <c r="AF995" s="168"/>
      <c r="AG995" s="37"/>
      <c r="AH995" s="37"/>
      <c r="AI995" s="37"/>
      <c r="AJ995" s="37"/>
      <c r="AK995" s="37"/>
      <c r="AL995" s="37"/>
      <c r="AM995" s="37"/>
      <c r="AN995" s="37"/>
      <c r="AO995" s="37"/>
      <c r="AP995" s="37"/>
      <c r="AQ995" s="37"/>
      <c r="AR995" s="37" t="s">
        <v>1124</v>
      </c>
      <c r="AS995" s="37"/>
      <c r="AT995" s="37"/>
      <c r="AU995" s="37"/>
      <c r="AV995" s="37"/>
      <c r="AW995" s="37"/>
      <c r="AX995" s="37"/>
      <c r="AY995" s="37"/>
      <c r="AZ995" s="37"/>
      <c r="BA995" s="37"/>
      <c r="BB995" s="37"/>
      <c r="BC995" s="37"/>
      <c r="BD995" s="37" t="s">
        <v>1124</v>
      </c>
      <c r="BE995" s="37"/>
      <c r="BF995" s="37"/>
      <c r="BG995" s="37"/>
      <c r="BH995" s="37"/>
      <c r="BI995" s="37"/>
      <c r="BJ995" s="37"/>
      <c r="BK995" s="37"/>
      <c r="BL995" s="37"/>
      <c r="BM995" s="37"/>
      <c r="BN995" s="37"/>
      <c r="BO995" s="37"/>
      <c r="BP995" s="37">
        <v>0</v>
      </c>
      <c r="BQ995" s="37"/>
      <c r="BR995" s="37"/>
      <c r="BS995" s="37"/>
      <c r="BT995" s="37"/>
      <c r="BU995" s="37"/>
      <c r="BV995" s="37"/>
      <c r="BW995" s="37"/>
      <c r="BX995" s="37"/>
      <c r="BY995" s="37"/>
      <c r="BZ995" s="37"/>
      <c r="CA995" s="37"/>
      <c r="CB995" s="37" t="s">
        <v>1124</v>
      </c>
      <c r="CC995" s="37"/>
      <c r="CD995" s="37"/>
      <c r="CE995" s="37"/>
      <c r="CF995" s="37"/>
      <c r="CG995" s="37"/>
      <c r="CH995" s="37"/>
      <c r="CI995" s="37"/>
      <c r="CJ995" s="37"/>
      <c r="CK995" s="37"/>
      <c r="CL995" s="37"/>
      <c r="CM995" s="37"/>
      <c r="CN995" s="37" t="s">
        <v>1124</v>
      </c>
      <c r="CO995" s="37"/>
      <c r="CP995" s="37"/>
      <c r="CQ995" s="37"/>
      <c r="CR995" s="37"/>
      <c r="CS995" s="37"/>
      <c r="CT995" s="37"/>
      <c r="CU995" s="37"/>
      <c r="CV995" s="37"/>
      <c r="CW995" s="37"/>
      <c r="CX995" s="37"/>
      <c r="CY995" s="37"/>
      <c r="CZ995" s="37" t="s">
        <v>1124</v>
      </c>
      <c r="DA995" s="37"/>
      <c r="DB995" s="37"/>
      <c r="DC995" s="37"/>
      <c r="DD995" s="37"/>
      <c r="DE995" s="37"/>
      <c r="DF995" s="37"/>
      <c r="DG995" s="37"/>
      <c r="DH995" s="37"/>
      <c r="DI995" s="37"/>
      <c r="DJ995" s="37"/>
      <c r="DK995" s="37"/>
      <c r="DL995" s="37" t="s">
        <v>1124</v>
      </c>
      <c r="DM995" s="37"/>
      <c r="DN995" s="37"/>
      <c r="DO995" s="37"/>
      <c r="DP995" s="37"/>
      <c r="DQ995" s="37"/>
      <c r="DR995" s="37"/>
      <c r="DS995" s="37"/>
      <c r="DT995" s="37"/>
      <c r="DU995" s="37"/>
      <c r="DV995" s="37"/>
      <c r="DW995" s="37"/>
      <c r="DX995" s="37" t="s">
        <v>1124</v>
      </c>
      <c r="DY995" s="37"/>
      <c r="DZ995" s="37"/>
      <c r="EA995" s="37"/>
      <c r="EB995" s="37"/>
      <c r="EC995" s="37"/>
      <c r="ED995" s="37"/>
      <c r="EE995" s="37"/>
      <c r="EF995" s="37"/>
      <c r="EG995" s="37"/>
      <c r="EH995" s="37"/>
      <c r="EI995" s="37"/>
      <c r="EJ995" s="37" t="s">
        <v>1124</v>
      </c>
      <c r="EK995" s="161"/>
      <c r="EL995" s="294"/>
    </row>
    <row r="996" spans="1:142" ht="15" customHeight="1" x14ac:dyDescent="0.35">
      <c r="A996" s="34"/>
      <c r="B996" s="313">
        <v>92070</v>
      </c>
      <c r="C996" s="8" t="s">
        <v>957</v>
      </c>
      <c r="D996" s="18">
        <v>2</v>
      </c>
      <c r="E996" s="155">
        <v>13364</v>
      </c>
      <c r="F996" s="36">
        <v>5102</v>
      </c>
      <c r="G996" s="37">
        <v>0</v>
      </c>
      <c r="H996" s="37">
        <v>0</v>
      </c>
      <c r="I996" s="37">
        <v>0</v>
      </c>
      <c r="J996" s="37">
        <v>0</v>
      </c>
      <c r="K996" s="37">
        <v>2358</v>
      </c>
      <c r="L996" s="37">
        <v>900</v>
      </c>
      <c r="M996" s="37">
        <v>15722</v>
      </c>
      <c r="N996" s="37">
        <v>6002</v>
      </c>
      <c r="O996" s="37">
        <v>0</v>
      </c>
      <c r="P996" s="37">
        <v>0</v>
      </c>
      <c r="Q996" s="37">
        <v>14840</v>
      </c>
      <c r="R996" s="37">
        <v>7050</v>
      </c>
      <c r="S996" s="37">
        <v>0</v>
      </c>
      <c r="T996" s="37">
        <v>0</v>
      </c>
      <c r="U996" s="37">
        <v>0</v>
      </c>
      <c r="V996" s="37">
        <v>0</v>
      </c>
      <c r="W996" s="37">
        <v>0</v>
      </c>
      <c r="X996" s="37">
        <v>0</v>
      </c>
      <c r="Y996" s="37">
        <v>0</v>
      </c>
      <c r="Z996" s="37">
        <v>0</v>
      </c>
      <c r="AA996" s="37">
        <v>14840</v>
      </c>
      <c r="AB996" s="37">
        <v>7050</v>
      </c>
      <c r="AC996" s="37">
        <v>166</v>
      </c>
      <c r="AD996" s="37">
        <v>0</v>
      </c>
      <c r="AE996" s="37">
        <v>0</v>
      </c>
      <c r="AF996" s="168">
        <v>0.02</v>
      </c>
      <c r="AG996" s="37">
        <v>3875314.76</v>
      </c>
      <c r="AH996" s="37">
        <v>20615.38</v>
      </c>
      <c r="AI996" s="37">
        <v>21027.69</v>
      </c>
      <c r="AJ996" s="37">
        <v>21448.25</v>
      </c>
      <c r="AK996" s="37">
        <v>21877.21</v>
      </c>
      <c r="AL996" s="37">
        <v>22314.76</v>
      </c>
      <c r="AM996" s="37">
        <v>22761.05</v>
      </c>
      <c r="AN996" s="37">
        <v>23216.27</v>
      </c>
      <c r="AO996" s="37">
        <v>23680.6</v>
      </c>
      <c r="AP996" s="37">
        <v>24154.21</v>
      </c>
      <c r="AQ996" s="37">
        <v>24637.29</v>
      </c>
      <c r="AR996" s="37">
        <v>225732.71</v>
      </c>
      <c r="AS996" s="37">
        <v>156494.56</v>
      </c>
      <c r="AT996" s="37">
        <v>0</v>
      </c>
      <c r="AU996" s="37">
        <v>0</v>
      </c>
      <c r="AV996" s="37">
        <v>0</v>
      </c>
      <c r="AW996" s="37">
        <v>0</v>
      </c>
      <c r="AX996" s="37">
        <v>0</v>
      </c>
      <c r="AY996" s="37">
        <v>0</v>
      </c>
      <c r="AZ996" s="37">
        <v>0</v>
      </c>
      <c r="BA996" s="37">
        <v>0</v>
      </c>
      <c r="BB996" s="37">
        <v>0</v>
      </c>
      <c r="BC996" s="37">
        <v>0</v>
      </c>
      <c r="BD996" s="37">
        <v>0</v>
      </c>
      <c r="BE996" s="37">
        <v>0</v>
      </c>
      <c r="BF996" s="37">
        <v>0</v>
      </c>
      <c r="BG996" s="37">
        <v>0</v>
      </c>
      <c r="BH996" s="37">
        <v>0</v>
      </c>
      <c r="BI996" s="37">
        <v>0</v>
      </c>
      <c r="BJ996" s="37">
        <v>0</v>
      </c>
      <c r="BK996" s="37">
        <v>0</v>
      </c>
      <c r="BL996" s="37">
        <v>0</v>
      </c>
      <c r="BM996" s="37">
        <v>0</v>
      </c>
      <c r="BN996" s="37">
        <v>0</v>
      </c>
      <c r="BO996" s="37">
        <v>0</v>
      </c>
      <c r="BP996" s="37">
        <v>0</v>
      </c>
      <c r="BQ996" s="37">
        <v>0</v>
      </c>
      <c r="BR996" s="37">
        <v>0</v>
      </c>
      <c r="BS996" s="37">
        <v>0</v>
      </c>
      <c r="BT996" s="37">
        <v>0</v>
      </c>
      <c r="BU996" s="37">
        <v>0</v>
      </c>
      <c r="BV996" s="37">
        <v>0</v>
      </c>
      <c r="BW996" s="37">
        <v>0</v>
      </c>
      <c r="BX996" s="37">
        <v>0</v>
      </c>
      <c r="BY996" s="37">
        <v>0</v>
      </c>
      <c r="BZ996" s="37">
        <v>0</v>
      </c>
      <c r="CA996" s="37">
        <v>0</v>
      </c>
      <c r="CB996" s="37">
        <v>0</v>
      </c>
      <c r="CC996" s="37">
        <v>0</v>
      </c>
      <c r="CD996" s="37">
        <v>0</v>
      </c>
      <c r="CE996" s="37">
        <v>0</v>
      </c>
      <c r="CF996" s="37">
        <v>0</v>
      </c>
      <c r="CG996" s="37">
        <v>0</v>
      </c>
      <c r="CH996" s="37">
        <v>0</v>
      </c>
      <c r="CI996" s="37">
        <v>0</v>
      </c>
      <c r="CJ996" s="37">
        <v>0</v>
      </c>
      <c r="CK996" s="37">
        <v>0</v>
      </c>
      <c r="CL996" s="37">
        <v>0</v>
      </c>
      <c r="CM996" s="37">
        <v>0</v>
      </c>
      <c r="CN996" s="37">
        <v>0</v>
      </c>
      <c r="CO996" s="37">
        <v>0</v>
      </c>
      <c r="CP996" s="37">
        <v>0</v>
      </c>
      <c r="CQ996" s="37">
        <v>0</v>
      </c>
      <c r="CR996" s="37">
        <v>0</v>
      </c>
      <c r="CS996" s="37">
        <v>0</v>
      </c>
      <c r="CT996" s="37">
        <v>0</v>
      </c>
      <c r="CU996" s="37">
        <v>0</v>
      </c>
      <c r="CV996" s="37">
        <v>0</v>
      </c>
      <c r="CW996" s="37">
        <v>0</v>
      </c>
      <c r="CX996" s="37">
        <v>0</v>
      </c>
      <c r="CY996" s="37">
        <v>0</v>
      </c>
      <c r="CZ996" s="37">
        <v>0</v>
      </c>
      <c r="DA996" s="37">
        <v>0</v>
      </c>
      <c r="DB996" s="37">
        <v>0</v>
      </c>
      <c r="DC996" s="37">
        <v>0</v>
      </c>
      <c r="DD996" s="37">
        <v>0</v>
      </c>
      <c r="DE996" s="37">
        <v>0</v>
      </c>
      <c r="DF996" s="37">
        <v>0</v>
      </c>
      <c r="DG996" s="37">
        <v>0</v>
      </c>
      <c r="DH996" s="37">
        <v>0</v>
      </c>
      <c r="DI996" s="37">
        <v>0</v>
      </c>
      <c r="DJ996" s="37">
        <v>0</v>
      </c>
      <c r="DK996" s="37">
        <v>0</v>
      </c>
      <c r="DL996" s="37">
        <v>0</v>
      </c>
      <c r="DM996" s="37">
        <v>0</v>
      </c>
      <c r="DN996" s="37">
        <v>0</v>
      </c>
      <c r="DO996" s="37">
        <v>0</v>
      </c>
      <c r="DP996" s="37">
        <v>0</v>
      </c>
      <c r="DQ996" s="37">
        <v>0</v>
      </c>
      <c r="DR996" s="37">
        <v>0</v>
      </c>
      <c r="DS996" s="37">
        <v>0</v>
      </c>
      <c r="DT996" s="37">
        <v>0</v>
      </c>
      <c r="DU996" s="37">
        <v>0</v>
      </c>
      <c r="DV996" s="37">
        <v>0</v>
      </c>
      <c r="DW996" s="37">
        <v>0</v>
      </c>
      <c r="DX996" s="37">
        <v>0</v>
      </c>
      <c r="DY996" s="37">
        <v>0</v>
      </c>
      <c r="DZ996" s="37">
        <v>0</v>
      </c>
      <c r="EA996" s="37">
        <v>0</v>
      </c>
      <c r="EB996" s="37">
        <v>0</v>
      </c>
      <c r="EC996" s="37">
        <v>0</v>
      </c>
      <c r="ED996" s="37">
        <v>0</v>
      </c>
      <c r="EE996" s="37">
        <v>0</v>
      </c>
      <c r="EF996" s="37">
        <v>0</v>
      </c>
      <c r="EG996" s="37">
        <v>0</v>
      </c>
      <c r="EH996" s="37">
        <v>0</v>
      </c>
      <c r="EI996" s="37">
        <v>0</v>
      </c>
      <c r="EJ996" s="37">
        <v>0</v>
      </c>
      <c r="EK996" s="161" t="s">
        <v>3438</v>
      </c>
      <c r="EL996" s="294" t="s">
        <v>1124</v>
      </c>
    </row>
    <row r="997" spans="1:142" ht="15" customHeight="1" x14ac:dyDescent="0.35">
      <c r="A997" s="34"/>
      <c r="B997" s="313">
        <v>37245</v>
      </c>
      <c r="C997" s="8" t="s">
        <v>323</v>
      </c>
      <c r="D997" s="18">
        <v>4</v>
      </c>
      <c r="E997" s="155">
        <v>103256</v>
      </c>
      <c r="F997" s="36">
        <v>37480</v>
      </c>
      <c r="G997" s="37">
        <v>85390</v>
      </c>
      <c r="H997" s="37">
        <v>101</v>
      </c>
      <c r="I997" s="37">
        <v>64650</v>
      </c>
      <c r="J997" s="37">
        <v>3900</v>
      </c>
      <c r="K997" s="37">
        <v>10325.6</v>
      </c>
      <c r="L997" s="37">
        <v>3748</v>
      </c>
      <c r="M997" s="37">
        <v>263621.59999999998</v>
      </c>
      <c r="N997" s="37">
        <v>45229</v>
      </c>
      <c r="O997" s="37">
        <v>80274</v>
      </c>
      <c r="P997" s="37">
        <v>0</v>
      </c>
      <c r="Q997" s="37">
        <v>18830</v>
      </c>
      <c r="R997" s="37">
        <v>30145</v>
      </c>
      <c r="S997" s="37">
        <v>800</v>
      </c>
      <c r="T997" s="37">
        <v>0</v>
      </c>
      <c r="U997" s="37">
        <v>70461</v>
      </c>
      <c r="V997" s="37">
        <v>25</v>
      </c>
      <c r="W997" s="37">
        <v>93256.599999999977</v>
      </c>
      <c r="X997" s="37">
        <v>15059</v>
      </c>
      <c r="Y997" s="37">
        <v>0</v>
      </c>
      <c r="Z997" s="37">
        <v>0</v>
      </c>
      <c r="AA997" s="37">
        <v>263621.59999999998</v>
      </c>
      <c r="AB997" s="37">
        <v>45229</v>
      </c>
      <c r="AC997" s="37">
        <v>0</v>
      </c>
      <c r="AD997" s="37">
        <v>8000</v>
      </c>
      <c r="AE997" s="37">
        <v>129147</v>
      </c>
      <c r="AF997" s="168">
        <v>0.02</v>
      </c>
      <c r="AG997" s="37">
        <v>24757424.379999999</v>
      </c>
      <c r="AH997" s="37">
        <v>220882.33</v>
      </c>
      <c r="AI997" s="37">
        <v>224774.47</v>
      </c>
      <c r="AJ997" s="37">
        <v>229269.96</v>
      </c>
      <c r="AK997" s="37">
        <v>233855.35</v>
      </c>
      <c r="AL997" s="37">
        <v>238532.46</v>
      </c>
      <c r="AM997" s="37">
        <v>243303.11</v>
      </c>
      <c r="AN997" s="37">
        <v>248169.17</v>
      </c>
      <c r="AO997" s="37">
        <v>253132.56</v>
      </c>
      <c r="AP997" s="37">
        <v>258195.21</v>
      </c>
      <c r="AQ997" s="37">
        <v>263359.11</v>
      </c>
      <c r="AR997" s="37">
        <v>2413473.7300000004</v>
      </c>
      <c r="AS997" s="37">
        <v>1691769.47</v>
      </c>
      <c r="AT997" s="37">
        <v>25760.3</v>
      </c>
      <c r="AU997" s="37">
        <v>0</v>
      </c>
      <c r="AV997" s="37">
        <v>106120.8</v>
      </c>
      <c r="AW997" s="37">
        <v>0</v>
      </c>
      <c r="AX997" s="37">
        <v>0</v>
      </c>
      <c r="AY997" s="37">
        <v>0</v>
      </c>
      <c r="AZ997" s="37">
        <v>0</v>
      </c>
      <c r="BA997" s="37">
        <v>0</v>
      </c>
      <c r="BB997" s="37">
        <v>0</v>
      </c>
      <c r="BC997" s="37">
        <v>0</v>
      </c>
      <c r="BD997" s="37">
        <v>131881.1</v>
      </c>
      <c r="BE997" s="37">
        <v>282940</v>
      </c>
      <c r="BF997" s="37">
        <v>0</v>
      </c>
      <c r="BG997" s="37">
        <v>650000</v>
      </c>
      <c r="BH997" s="37">
        <v>0</v>
      </c>
      <c r="BI997" s="37">
        <v>0</v>
      </c>
      <c r="BJ997" s="37">
        <v>20782.234182706921</v>
      </c>
      <c r="BK997" s="37">
        <v>100635.73260044611</v>
      </c>
      <c r="BL997" s="37">
        <v>130873.244400533</v>
      </c>
      <c r="BM997" s="37">
        <v>161110.75620061986</v>
      </c>
      <c r="BN997" s="37">
        <v>191348.33261569409</v>
      </c>
      <c r="BO997" s="37">
        <v>0</v>
      </c>
      <c r="BP997" s="37">
        <v>1254750.2999999998</v>
      </c>
      <c r="BQ997" s="37">
        <v>70735</v>
      </c>
      <c r="BR997" s="37">
        <v>0</v>
      </c>
      <c r="BS997" s="37">
        <v>0</v>
      </c>
      <c r="BT997" s="37">
        <v>0</v>
      </c>
      <c r="BU997" s="37">
        <v>0</v>
      </c>
      <c r="BV997" s="37">
        <v>0</v>
      </c>
      <c r="BW997" s="37">
        <v>0</v>
      </c>
      <c r="BX997" s="37">
        <v>0</v>
      </c>
      <c r="BY997" s="37">
        <v>0</v>
      </c>
      <c r="BZ997" s="37">
        <v>0</v>
      </c>
      <c r="CA997" s="37">
        <v>0</v>
      </c>
      <c r="CB997" s="37">
        <v>0</v>
      </c>
      <c r="CC997" s="37">
        <v>0</v>
      </c>
      <c r="CD997" s="37">
        <v>0</v>
      </c>
      <c r="CE997" s="37">
        <v>0</v>
      </c>
      <c r="CF997" s="37">
        <v>0</v>
      </c>
      <c r="CG997" s="37">
        <v>0</v>
      </c>
      <c r="CH997" s="37">
        <v>0</v>
      </c>
      <c r="CI997" s="37">
        <v>0</v>
      </c>
      <c r="CJ997" s="37">
        <v>0</v>
      </c>
      <c r="CK997" s="37">
        <v>0</v>
      </c>
      <c r="CL997" s="37">
        <v>0</v>
      </c>
      <c r="CM997" s="37">
        <v>0</v>
      </c>
      <c r="CN997" s="37">
        <v>0</v>
      </c>
      <c r="CO997" s="37">
        <v>0</v>
      </c>
      <c r="CP997" s="37">
        <v>0</v>
      </c>
      <c r="CQ997" s="37">
        <v>0</v>
      </c>
      <c r="CR997" s="37">
        <v>0</v>
      </c>
      <c r="CS997" s="37">
        <v>0</v>
      </c>
      <c r="CT997" s="37">
        <v>0</v>
      </c>
      <c r="CU997" s="37">
        <v>0</v>
      </c>
      <c r="CV997" s="37">
        <v>0</v>
      </c>
      <c r="CW997" s="37">
        <v>0</v>
      </c>
      <c r="CX997" s="37">
        <v>0</v>
      </c>
      <c r="CY997" s="37">
        <v>0</v>
      </c>
      <c r="CZ997" s="37">
        <v>0</v>
      </c>
      <c r="DA997" s="37">
        <v>0</v>
      </c>
      <c r="DB997" s="37">
        <v>0</v>
      </c>
      <c r="DC997" s="37">
        <v>0</v>
      </c>
      <c r="DD997" s="37">
        <v>0</v>
      </c>
      <c r="DE997" s="37">
        <v>0</v>
      </c>
      <c r="DF997" s="37">
        <v>0</v>
      </c>
      <c r="DG997" s="37">
        <v>0</v>
      </c>
      <c r="DH997" s="37">
        <v>0</v>
      </c>
      <c r="DI997" s="37">
        <v>0</v>
      </c>
      <c r="DJ997" s="37">
        <v>0</v>
      </c>
      <c r="DK997" s="37">
        <v>0</v>
      </c>
      <c r="DL997" s="37">
        <v>0</v>
      </c>
      <c r="DM997" s="37">
        <v>0</v>
      </c>
      <c r="DN997" s="37">
        <v>0</v>
      </c>
      <c r="DO997" s="37">
        <v>0</v>
      </c>
      <c r="DP997" s="37">
        <v>100000</v>
      </c>
      <c r="DQ997" s="37">
        <v>0</v>
      </c>
      <c r="DR997" s="37">
        <v>0</v>
      </c>
      <c r="DS997" s="37">
        <v>0</v>
      </c>
      <c r="DT997" s="37">
        <v>0</v>
      </c>
      <c r="DU997" s="37">
        <v>0</v>
      </c>
      <c r="DV997" s="37">
        <v>0</v>
      </c>
      <c r="DW997" s="37">
        <v>0</v>
      </c>
      <c r="DX997" s="37">
        <v>100000</v>
      </c>
      <c r="DY997" s="37">
        <v>0</v>
      </c>
      <c r="DZ997" s="37">
        <v>0</v>
      </c>
      <c r="EA997" s="37">
        <v>0</v>
      </c>
      <c r="EB997" s="37">
        <v>0</v>
      </c>
      <c r="EC997" s="37">
        <v>0</v>
      </c>
      <c r="ED997" s="37">
        <v>0</v>
      </c>
      <c r="EE997" s="37">
        <v>0</v>
      </c>
      <c r="EF997" s="37">
        <v>0</v>
      </c>
      <c r="EG997" s="37">
        <v>0</v>
      </c>
      <c r="EH997" s="37">
        <v>0</v>
      </c>
      <c r="EI997" s="37">
        <v>0</v>
      </c>
      <c r="EJ997" s="37">
        <v>0</v>
      </c>
      <c r="EK997" s="161" t="s">
        <v>3441</v>
      </c>
      <c r="EL997" s="294" t="s">
        <v>1124</v>
      </c>
    </row>
    <row r="998" spans="1:142" ht="15" customHeight="1" x14ac:dyDescent="0.35">
      <c r="A998" s="34"/>
      <c r="B998" s="313">
        <v>70040</v>
      </c>
      <c r="C998" s="8" t="s">
        <v>702</v>
      </c>
      <c r="D998" s="18">
        <v>16</v>
      </c>
      <c r="E998" s="155"/>
      <c r="F998" s="36"/>
      <c r="G998" s="37"/>
      <c r="H998" s="37"/>
      <c r="I998" s="37"/>
      <c r="J998" s="37"/>
      <c r="K998" s="37"/>
      <c r="L998" s="37"/>
      <c r="M998" s="37" t="s">
        <v>1124</v>
      </c>
      <c r="N998" s="37" t="s">
        <v>1124</v>
      </c>
      <c r="O998" s="37"/>
      <c r="P998" s="37"/>
      <c r="Q998" s="37"/>
      <c r="R998" s="37"/>
      <c r="S998" s="37"/>
      <c r="T998" s="37"/>
      <c r="U998" s="37"/>
      <c r="V998" s="37"/>
      <c r="W998" s="37"/>
      <c r="X998" s="37"/>
      <c r="Y998" s="37"/>
      <c r="Z998" s="37"/>
      <c r="AA998" s="37" t="s">
        <v>1124</v>
      </c>
      <c r="AB998" s="37" t="s">
        <v>1124</v>
      </c>
      <c r="AC998" s="37"/>
      <c r="AD998" s="37"/>
      <c r="AE998" s="37"/>
      <c r="AF998" s="168"/>
      <c r="AG998" s="37"/>
      <c r="AH998" s="37"/>
      <c r="AI998" s="37"/>
      <c r="AJ998" s="37"/>
      <c r="AK998" s="37"/>
      <c r="AL998" s="37"/>
      <c r="AM998" s="37"/>
      <c r="AN998" s="37"/>
      <c r="AO998" s="37"/>
      <c r="AP998" s="37"/>
      <c r="AQ998" s="37"/>
      <c r="AR998" s="37" t="s">
        <v>1124</v>
      </c>
      <c r="AS998" s="37"/>
      <c r="AT998" s="37"/>
      <c r="AU998" s="37"/>
      <c r="AV998" s="37"/>
      <c r="AW998" s="37"/>
      <c r="AX998" s="37"/>
      <c r="AY998" s="37"/>
      <c r="AZ998" s="37"/>
      <c r="BA998" s="37"/>
      <c r="BB998" s="37"/>
      <c r="BC998" s="37"/>
      <c r="BD998" s="37" t="s">
        <v>1124</v>
      </c>
      <c r="BE998" s="37"/>
      <c r="BF998" s="37"/>
      <c r="BG998" s="37"/>
      <c r="BH998" s="37"/>
      <c r="BI998" s="37"/>
      <c r="BJ998" s="37"/>
      <c r="BK998" s="37"/>
      <c r="BL998" s="37"/>
      <c r="BM998" s="37"/>
      <c r="BN998" s="37"/>
      <c r="BO998" s="37"/>
      <c r="BP998" s="37">
        <v>0</v>
      </c>
      <c r="BQ998" s="37"/>
      <c r="BR998" s="37"/>
      <c r="BS998" s="37"/>
      <c r="BT998" s="37"/>
      <c r="BU998" s="37"/>
      <c r="BV998" s="37"/>
      <c r="BW998" s="37"/>
      <c r="BX998" s="37"/>
      <c r="BY998" s="37"/>
      <c r="BZ998" s="37"/>
      <c r="CA998" s="37"/>
      <c r="CB998" s="37" t="s">
        <v>1124</v>
      </c>
      <c r="CC998" s="37"/>
      <c r="CD998" s="37"/>
      <c r="CE998" s="37"/>
      <c r="CF998" s="37"/>
      <c r="CG998" s="37"/>
      <c r="CH998" s="37"/>
      <c r="CI998" s="37"/>
      <c r="CJ998" s="37"/>
      <c r="CK998" s="37"/>
      <c r="CL998" s="37"/>
      <c r="CM998" s="37"/>
      <c r="CN998" s="37" t="s">
        <v>1124</v>
      </c>
      <c r="CO998" s="37"/>
      <c r="CP998" s="37"/>
      <c r="CQ998" s="37"/>
      <c r="CR998" s="37"/>
      <c r="CS998" s="37"/>
      <c r="CT998" s="37"/>
      <c r="CU998" s="37"/>
      <c r="CV998" s="37"/>
      <c r="CW998" s="37"/>
      <c r="CX998" s="37"/>
      <c r="CY998" s="37"/>
      <c r="CZ998" s="37" t="s">
        <v>1124</v>
      </c>
      <c r="DA998" s="37"/>
      <c r="DB998" s="37"/>
      <c r="DC998" s="37"/>
      <c r="DD998" s="37"/>
      <c r="DE998" s="37"/>
      <c r="DF998" s="37"/>
      <c r="DG998" s="37"/>
      <c r="DH998" s="37"/>
      <c r="DI998" s="37"/>
      <c r="DJ998" s="37"/>
      <c r="DK998" s="37"/>
      <c r="DL998" s="37" t="s">
        <v>1124</v>
      </c>
      <c r="DM998" s="37"/>
      <c r="DN998" s="37"/>
      <c r="DO998" s="37"/>
      <c r="DP998" s="37"/>
      <c r="DQ998" s="37"/>
      <c r="DR998" s="37"/>
      <c r="DS998" s="37"/>
      <c r="DT998" s="37"/>
      <c r="DU998" s="37"/>
      <c r="DV998" s="37"/>
      <c r="DW998" s="37"/>
      <c r="DX998" s="37" t="s">
        <v>1124</v>
      </c>
      <c r="DY998" s="37"/>
      <c r="DZ998" s="37"/>
      <c r="EA998" s="37"/>
      <c r="EB998" s="37"/>
      <c r="EC998" s="37"/>
      <c r="ED998" s="37"/>
      <c r="EE998" s="37"/>
      <c r="EF998" s="37"/>
      <c r="EG998" s="37"/>
      <c r="EH998" s="37"/>
      <c r="EI998" s="37"/>
      <c r="EJ998" s="37" t="s">
        <v>1124</v>
      </c>
      <c r="EK998" s="161"/>
      <c r="EL998" s="294"/>
    </row>
    <row r="999" spans="1:142" ht="15" customHeight="1" x14ac:dyDescent="0.35">
      <c r="A999" s="34"/>
      <c r="B999" s="313">
        <v>60020</v>
      </c>
      <c r="C999" s="8" t="s">
        <v>607</v>
      </c>
      <c r="D999" s="18">
        <v>14</v>
      </c>
      <c r="E999" s="155">
        <v>346205</v>
      </c>
      <c r="F999" s="36">
        <v>107072</v>
      </c>
      <c r="G999" s="37">
        <v>24661</v>
      </c>
      <c r="H999" s="37">
        <v>4351</v>
      </c>
      <c r="I999" s="37">
        <v>84540</v>
      </c>
      <c r="J999" s="37">
        <v>17777</v>
      </c>
      <c r="K999" s="37">
        <v>27696</v>
      </c>
      <c r="L999" s="37">
        <v>8566</v>
      </c>
      <c r="M999" s="37">
        <v>483102</v>
      </c>
      <c r="N999" s="37">
        <v>137766</v>
      </c>
      <c r="O999" s="37">
        <v>218198</v>
      </c>
      <c r="P999" s="37">
        <v>115441</v>
      </c>
      <c r="Q999" s="37">
        <v>0</v>
      </c>
      <c r="R999" s="37">
        <v>0</v>
      </c>
      <c r="S999" s="37">
        <v>11268</v>
      </c>
      <c r="T999" s="37">
        <v>0</v>
      </c>
      <c r="U999" s="37">
        <v>0</v>
      </c>
      <c r="V999" s="37">
        <v>0</v>
      </c>
      <c r="W999" s="37">
        <v>253636</v>
      </c>
      <c r="X999" s="37">
        <v>22325</v>
      </c>
      <c r="Y999" s="37">
        <v>0</v>
      </c>
      <c r="Z999" s="37">
        <v>0</v>
      </c>
      <c r="AA999" s="37">
        <v>483102</v>
      </c>
      <c r="AB999" s="37">
        <v>137766</v>
      </c>
      <c r="AC999" s="37">
        <v>0</v>
      </c>
      <c r="AD999" s="37">
        <v>0</v>
      </c>
      <c r="AE999" s="37">
        <v>0</v>
      </c>
      <c r="AF999" s="168">
        <v>0.02</v>
      </c>
      <c r="AG999" s="37">
        <v>55081085.25</v>
      </c>
      <c r="AH999" s="37">
        <v>592527.68000000005</v>
      </c>
      <c r="AI999" s="37">
        <v>633561.44999999995</v>
      </c>
      <c r="AJ999" s="37">
        <v>629996.19999999995</v>
      </c>
      <c r="AK999" s="37">
        <v>628795.11</v>
      </c>
      <c r="AL999" s="37">
        <v>641371.01</v>
      </c>
      <c r="AM999" s="37">
        <v>654198.43000000005</v>
      </c>
      <c r="AN999" s="37">
        <v>667282.4</v>
      </c>
      <c r="AO999" s="37">
        <v>680628.05</v>
      </c>
      <c r="AP999" s="37">
        <v>694240.61</v>
      </c>
      <c r="AQ999" s="37">
        <v>708125.42</v>
      </c>
      <c r="AR999" s="37">
        <v>6530726.3600000003</v>
      </c>
      <c r="AS999" s="37">
        <v>3791512.03</v>
      </c>
      <c r="AT999" s="37">
        <v>136720.79999999999</v>
      </c>
      <c r="AU999" s="37">
        <v>0</v>
      </c>
      <c r="AV999" s="37">
        <v>0</v>
      </c>
      <c r="AW999" s="37">
        <v>0</v>
      </c>
      <c r="AX999" s="37">
        <v>0</v>
      </c>
      <c r="AY999" s="37">
        <v>0</v>
      </c>
      <c r="AZ999" s="37">
        <v>0</v>
      </c>
      <c r="BA999" s="37">
        <v>0</v>
      </c>
      <c r="BB999" s="37">
        <v>0</v>
      </c>
      <c r="BC999" s="37">
        <v>0</v>
      </c>
      <c r="BD999" s="37">
        <v>136720.79999999999</v>
      </c>
      <c r="BE999" s="37">
        <v>973754</v>
      </c>
      <c r="BF999" s="37">
        <v>0</v>
      </c>
      <c r="BG999" s="37">
        <v>301447.28333544615</v>
      </c>
      <c r="BH999" s="37">
        <v>324922.12669229513</v>
      </c>
      <c r="BI999" s="37">
        <v>399993.51874779438</v>
      </c>
      <c r="BJ999" s="37">
        <v>475065.07122446469</v>
      </c>
      <c r="BK999" s="37">
        <v>0</v>
      </c>
      <c r="BL999" s="37">
        <v>0</v>
      </c>
      <c r="BM999" s="37">
        <v>0</v>
      </c>
      <c r="BN999" s="37">
        <v>0</v>
      </c>
      <c r="BO999" s="37">
        <v>0</v>
      </c>
      <c r="BP999" s="37">
        <v>1501428.0000000002</v>
      </c>
      <c r="BQ999" s="37">
        <v>0</v>
      </c>
      <c r="BR999" s="37">
        <v>0</v>
      </c>
      <c r="BS999" s="37">
        <v>1500000</v>
      </c>
      <c r="BT999" s="37">
        <v>0</v>
      </c>
      <c r="BU999" s="37">
        <v>0</v>
      </c>
      <c r="BV999" s="37">
        <v>0</v>
      </c>
      <c r="BW999" s="37">
        <v>0</v>
      </c>
      <c r="BX999" s="37">
        <v>0</v>
      </c>
      <c r="BY999" s="37">
        <v>0</v>
      </c>
      <c r="BZ999" s="37">
        <v>0</v>
      </c>
      <c r="CA999" s="37">
        <v>0</v>
      </c>
      <c r="CB999" s="37">
        <v>1500000</v>
      </c>
      <c r="CC999" s="37">
        <v>0</v>
      </c>
      <c r="CD999" s="37">
        <v>20400</v>
      </c>
      <c r="CE999" s="37">
        <v>15300</v>
      </c>
      <c r="CF999" s="37">
        <v>25500</v>
      </c>
      <c r="CG999" s="37">
        <v>0</v>
      </c>
      <c r="CH999" s="37">
        <v>0</v>
      </c>
      <c r="CI999" s="37">
        <v>0</v>
      </c>
      <c r="CJ999" s="37">
        <v>0</v>
      </c>
      <c r="CK999" s="37">
        <v>0</v>
      </c>
      <c r="CL999" s="37">
        <v>0</v>
      </c>
      <c r="CM999" s="37">
        <v>0</v>
      </c>
      <c r="CN999" s="37">
        <v>61200</v>
      </c>
      <c r="CO999" s="37">
        <v>0</v>
      </c>
      <c r="CP999" s="37">
        <v>0</v>
      </c>
      <c r="CQ999" s="37">
        <v>0</v>
      </c>
      <c r="CR999" s="37">
        <v>0</v>
      </c>
      <c r="CS999" s="37">
        <v>0</v>
      </c>
      <c r="CT999" s="37">
        <v>0</v>
      </c>
      <c r="CU999" s="37">
        <v>0</v>
      </c>
      <c r="CV999" s="37">
        <v>0</v>
      </c>
      <c r="CW999" s="37">
        <v>0</v>
      </c>
      <c r="CX999" s="37">
        <v>0</v>
      </c>
      <c r="CY999" s="37">
        <v>0</v>
      </c>
      <c r="CZ999" s="37">
        <v>0</v>
      </c>
      <c r="DA999" s="37">
        <v>0</v>
      </c>
      <c r="DB999" s="37">
        <v>0</v>
      </c>
      <c r="DC999" s="37">
        <v>0</v>
      </c>
      <c r="DD999" s="37">
        <v>0</v>
      </c>
      <c r="DE999" s="37">
        <v>0</v>
      </c>
      <c r="DF999" s="37">
        <v>0</v>
      </c>
      <c r="DG999" s="37">
        <v>0</v>
      </c>
      <c r="DH999" s="37">
        <v>0</v>
      </c>
      <c r="DI999" s="37">
        <v>0</v>
      </c>
      <c r="DJ999" s="37">
        <v>0</v>
      </c>
      <c r="DK999" s="37">
        <v>0</v>
      </c>
      <c r="DL999" s="37">
        <v>0</v>
      </c>
      <c r="DM999" s="37">
        <v>0</v>
      </c>
      <c r="DN999" s="37">
        <v>134040</v>
      </c>
      <c r="DO999" s="37">
        <v>0</v>
      </c>
      <c r="DP999" s="37">
        <v>0</v>
      </c>
      <c r="DQ999" s="37">
        <v>0</v>
      </c>
      <c r="DR999" s="37">
        <v>0</v>
      </c>
      <c r="DS999" s="37">
        <v>0</v>
      </c>
      <c r="DT999" s="37">
        <v>0</v>
      </c>
      <c r="DU999" s="37">
        <v>0</v>
      </c>
      <c r="DV999" s="37">
        <v>0</v>
      </c>
      <c r="DW999" s="37">
        <v>0</v>
      </c>
      <c r="DX999" s="37">
        <v>134040</v>
      </c>
      <c r="DY999" s="37">
        <v>0</v>
      </c>
      <c r="DZ999" s="37">
        <v>0</v>
      </c>
      <c r="EA999" s="37">
        <v>0</v>
      </c>
      <c r="EB999" s="37">
        <v>0</v>
      </c>
      <c r="EC999" s="37">
        <v>0</v>
      </c>
      <c r="ED999" s="37">
        <v>0</v>
      </c>
      <c r="EE999" s="37">
        <v>0</v>
      </c>
      <c r="EF999" s="37">
        <v>0</v>
      </c>
      <c r="EG999" s="37">
        <v>0</v>
      </c>
      <c r="EH999" s="37">
        <v>0</v>
      </c>
      <c r="EI999" s="37">
        <v>0</v>
      </c>
      <c r="EJ999" s="37">
        <v>0</v>
      </c>
      <c r="EK999" s="161" t="s">
        <v>3446</v>
      </c>
      <c r="EL999" s="294" t="s">
        <v>1124</v>
      </c>
    </row>
    <row r="1000" spans="1:142" ht="15" customHeight="1" x14ac:dyDescent="0.35">
      <c r="A1000" s="34"/>
      <c r="B1000" s="313">
        <v>38005</v>
      </c>
      <c r="C1000" s="8" t="s">
        <v>325</v>
      </c>
      <c r="D1000" s="18">
        <v>17</v>
      </c>
      <c r="E1000" s="155">
        <v>45590</v>
      </c>
      <c r="F1000" s="36">
        <v>30482</v>
      </c>
      <c r="G1000" s="37">
        <v>1949</v>
      </c>
      <c r="H1000" s="37">
        <v>1069</v>
      </c>
      <c r="I1000" s="37">
        <v>34882</v>
      </c>
      <c r="J1000" s="37">
        <v>11820</v>
      </c>
      <c r="K1000" s="37">
        <v>6838.5</v>
      </c>
      <c r="L1000" s="37">
        <v>4572.3</v>
      </c>
      <c r="M1000" s="37">
        <v>89259.5</v>
      </c>
      <c r="N1000" s="37">
        <v>47943.3</v>
      </c>
      <c r="O1000" s="37">
        <v>0</v>
      </c>
      <c r="P1000" s="37">
        <v>0</v>
      </c>
      <c r="Q1000" s="37">
        <v>45787</v>
      </c>
      <c r="R1000" s="37">
        <v>27840</v>
      </c>
      <c r="S1000" s="37">
        <v>25</v>
      </c>
      <c r="T1000" s="37">
        <v>0</v>
      </c>
      <c r="U1000" s="37">
        <v>0</v>
      </c>
      <c r="V1000" s="37">
        <v>508</v>
      </c>
      <c r="W1000" s="37">
        <v>43448</v>
      </c>
      <c r="X1000" s="37">
        <v>19595</v>
      </c>
      <c r="Y1000" s="37">
        <v>0</v>
      </c>
      <c r="Z1000" s="37">
        <v>0</v>
      </c>
      <c r="AA1000" s="37">
        <v>89260</v>
      </c>
      <c r="AB1000" s="37">
        <v>47943</v>
      </c>
      <c r="AC1000" s="37">
        <v>0.20000000001164153</v>
      </c>
      <c r="AD1000" s="37">
        <v>0</v>
      </c>
      <c r="AE1000" s="37">
        <v>0</v>
      </c>
      <c r="AF1000" s="168">
        <v>0.02</v>
      </c>
      <c r="AG1000" s="37">
        <v>3939987.41</v>
      </c>
      <c r="AH1000" s="37">
        <v>10200</v>
      </c>
      <c r="AI1000" s="37">
        <v>19693.48</v>
      </c>
      <c r="AJ1000" s="37">
        <v>20087.349999999999</v>
      </c>
      <c r="AK1000" s="37">
        <v>20489.099999999999</v>
      </c>
      <c r="AL1000" s="37">
        <v>20898.88</v>
      </c>
      <c r="AM1000" s="37">
        <v>21316.86</v>
      </c>
      <c r="AN1000" s="37">
        <v>21743.19</v>
      </c>
      <c r="AO1000" s="37">
        <v>22178.06</v>
      </c>
      <c r="AP1000" s="37">
        <v>22621.62</v>
      </c>
      <c r="AQ1000" s="37">
        <v>23074.05</v>
      </c>
      <c r="AR1000" s="37">
        <v>202302.59000000003</v>
      </c>
      <c r="AS1000" s="37">
        <v>0</v>
      </c>
      <c r="AT1000" s="37">
        <v>67207.8</v>
      </c>
      <c r="AU1000" s="37">
        <v>0</v>
      </c>
      <c r="AV1000" s="37">
        <v>0</v>
      </c>
      <c r="AW1000" s="37">
        <v>0</v>
      </c>
      <c r="AX1000" s="37">
        <v>0</v>
      </c>
      <c r="AY1000" s="37">
        <v>0</v>
      </c>
      <c r="AZ1000" s="37">
        <v>0</v>
      </c>
      <c r="BA1000" s="37">
        <v>0</v>
      </c>
      <c r="BB1000" s="37">
        <v>0</v>
      </c>
      <c r="BC1000" s="37">
        <v>0</v>
      </c>
      <c r="BD1000" s="37">
        <v>67207.8</v>
      </c>
      <c r="BE1000" s="37">
        <v>217910</v>
      </c>
      <c r="BF1000" s="37">
        <v>65890</v>
      </c>
      <c r="BG1000" s="37">
        <v>0</v>
      </c>
      <c r="BH1000" s="37">
        <v>0</v>
      </c>
      <c r="BI1000" s="37">
        <v>0</v>
      </c>
      <c r="BJ1000" s="37">
        <v>0</v>
      </c>
      <c r="BK1000" s="37">
        <v>0</v>
      </c>
      <c r="BL1000" s="37">
        <v>0</v>
      </c>
      <c r="BM1000" s="37">
        <v>0</v>
      </c>
      <c r="BN1000" s="37">
        <v>0</v>
      </c>
      <c r="BO1000" s="37">
        <v>0</v>
      </c>
      <c r="BP1000" s="37">
        <v>65890</v>
      </c>
      <c r="BQ1000" s="37">
        <v>0</v>
      </c>
      <c r="BR1000" s="37">
        <v>0</v>
      </c>
      <c r="BS1000" s="37">
        <v>0</v>
      </c>
      <c r="BT1000" s="37">
        <v>0</v>
      </c>
      <c r="BU1000" s="37">
        <v>0</v>
      </c>
      <c r="BV1000" s="37">
        <v>0</v>
      </c>
      <c r="BW1000" s="37">
        <v>0</v>
      </c>
      <c r="BX1000" s="37">
        <v>0</v>
      </c>
      <c r="BY1000" s="37">
        <v>0</v>
      </c>
      <c r="BZ1000" s="37">
        <v>0</v>
      </c>
      <c r="CA1000" s="37">
        <v>0</v>
      </c>
      <c r="CB1000" s="37">
        <v>0</v>
      </c>
      <c r="CC1000" s="37">
        <v>0</v>
      </c>
      <c r="CD1000" s="37">
        <v>0</v>
      </c>
      <c r="CE1000" s="37">
        <v>0</v>
      </c>
      <c r="CF1000" s="37">
        <v>0</v>
      </c>
      <c r="CG1000" s="37">
        <v>0</v>
      </c>
      <c r="CH1000" s="37">
        <v>0</v>
      </c>
      <c r="CI1000" s="37">
        <v>0</v>
      </c>
      <c r="CJ1000" s="37">
        <v>0</v>
      </c>
      <c r="CK1000" s="37">
        <v>0</v>
      </c>
      <c r="CL1000" s="37">
        <v>0</v>
      </c>
      <c r="CM1000" s="37">
        <v>0</v>
      </c>
      <c r="CN1000" s="37">
        <v>0</v>
      </c>
      <c r="CO1000" s="37">
        <v>0</v>
      </c>
      <c r="CP1000" s="37">
        <v>0</v>
      </c>
      <c r="CQ1000" s="37">
        <v>0</v>
      </c>
      <c r="CR1000" s="37">
        <v>0</v>
      </c>
      <c r="CS1000" s="37">
        <v>0</v>
      </c>
      <c r="CT1000" s="37">
        <v>0</v>
      </c>
      <c r="CU1000" s="37">
        <v>0</v>
      </c>
      <c r="CV1000" s="37">
        <v>0</v>
      </c>
      <c r="CW1000" s="37">
        <v>0</v>
      </c>
      <c r="CX1000" s="37">
        <v>0</v>
      </c>
      <c r="CY1000" s="37">
        <v>0</v>
      </c>
      <c r="CZ1000" s="37">
        <v>0</v>
      </c>
      <c r="DA1000" s="37">
        <v>0</v>
      </c>
      <c r="DB1000" s="37">
        <v>0</v>
      </c>
      <c r="DC1000" s="37">
        <v>0</v>
      </c>
      <c r="DD1000" s="37">
        <v>0</v>
      </c>
      <c r="DE1000" s="37">
        <v>0</v>
      </c>
      <c r="DF1000" s="37">
        <v>0</v>
      </c>
      <c r="DG1000" s="37">
        <v>0</v>
      </c>
      <c r="DH1000" s="37">
        <v>0</v>
      </c>
      <c r="DI1000" s="37">
        <v>0</v>
      </c>
      <c r="DJ1000" s="37">
        <v>0</v>
      </c>
      <c r="DK1000" s="37">
        <v>0</v>
      </c>
      <c r="DL1000" s="37">
        <v>0</v>
      </c>
      <c r="DM1000" s="37">
        <v>0</v>
      </c>
      <c r="DN1000" s="37">
        <v>0</v>
      </c>
      <c r="DO1000" s="37">
        <v>0</v>
      </c>
      <c r="DP1000" s="37">
        <v>0</v>
      </c>
      <c r="DQ1000" s="37">
        <v>0</v>
      </c>
      <c r="DR1000" s="37">
        <v>0</v>
      </c>
      <c r="DS1000" s="37">
        <v>0</v>
      </c>
      <c r="DT1000" s="37">
        <v>0</v>
      </c>
      <c r="DU1000" s="37">
        <v>0</v>
      </c>
      <c r="DV1000" s="37">
        <v>0</v>
      </c>
      <c r="DW1000" s="37">
        <v>0</v>
      </c>
      <c r="DX1000" s="37">
        <v>0</v>
      </c>
      <c r="DY1000" s="37">
        <v>0</v>
      </c>
      <c r="DZ1000" s="37">
        <v>0</v>
      </c>
      <c r="EA1000" s="37">
        <v>0</v>
      </c>
      <c r="EB1000" s="37">
        <v>0</v>
      </c>
      <c r="EC1000" s="37">
        <v>0</v>
      </c>
      <c r="ED1000" s="37">
        <v>0</v>
      </c>
      <c r="EE1000" s="37">
        <v>0</v>
      </c>
      <c r="EF1000" s="37">
        <v>0</v>
      </c>
      <c r="EG1000" s="37">
        <v>0</v>
      </c>
      <c r="EH1000" s="37">
        <v>0</v>
      </c>
      <c r="EI1000" s="37">
        <v>0</v>
      </c>
      <c r="EJ1000" s="37">
        <v>0</v>
      </c>
      <c r="EK1000" s="161" t="s">
        <v>3449</v>
      </c>
      <c r="EL1000" s="294" t="s">
        <v>1124</v>
      </c>
    </row>
    <row r="1001" spans="1:142" ht="15" customHeight="1" x14ac:dyDescent="0.35">
      <c r="A1001" s="34"/>
      <c r="B1001" s="313">
        <v>33007</v>
      </c>
      <c r="C1001" s="8" t="s">
        <v>267</v>
      </c>
      <c r="D1001" s="18">
        <v>12</v>
      </c>
      <c r="E1001" s="155"/>
      <c r="F1001" s="36"/>
      <c r="G1001" s="37"/>
      <c r="H1001" s="37"/>
      <c r="I1001" s="37"/>
      <c r="J1001" s="37"/>
      <c r="K1001" s="37"/>
      <c r="L1001" s="37"/>
      <c r="M1001" s="37" t="s">
        <v>1124</v>
      </c>
      <c r="N1001" s="37" t="s">
        <v>1124</v>
      </c>
      <c r="O1001" s="37"/>
      <c r="P1001" s="37"/>
      <c r="Q1001" s="37"/>
      <c r="R1001" s="37"/>
      <c r="S1001" s="37"/>
      <c r="T1001" s="37"/>
      <c r="U1001" s="37"/>
      <c r="V1001" s="37"/>
      <c r="W1001" s="37"/>
      <c r="X1001" s="37"/>
      <c r="Y1001" s="37"/>
      <c r="Z1001" s="37"/>
      <c r="AA1001" s="37" t="s">
        <v>1124</v>
      </c>
      <c r="AB1001" s="37" t="s">
        <v>1124</v>
      </c>
      <c r="AC1001" s="37"/>
      <c r="AD1001" s="37"/>
      <c r="AE1001" s="37"/>
      <c r="AF1001" s="168"/>
      <c r="AG1001" s="37"/>
      <c r="AH1001" s="37"/>
      <c r="AI1001" s="37"/>
      <c r="AJ1001" s="37"/>
      <c r="AK1001" s="37"/>
      <c r="AL1001" s="37"/>
      <c r="AM1001" s="37"/>
      <c r="AN1001" s="37"/>
      <c r="AO1001" s="37"/>
      <c r="AP1001" s="37"/>
      <c r="AQ1001" s="37"/>
      <c r="AR1001" s="37" t="s">
        <v>1124</v>
      </c>
      <c r="AS1001" s="37"/>
      <c r="AT1001" s="37"/>
      <c r="AU1001" s="37"/>
      <c r="AV1001" s="37"/>
      <c r="AW1001" s="37"/>
      <c r="AX1001" s="37"/>
      <c r="AY1001" s="37"/>
      <c r="AZ1001" s="37"/>
      <c r="BA1001" s="37"/>
      <c r="BB1001" s="37"/>
      <c r="BC1001" s="37"/>
      <c r="BD1001" s="37" t="s">
        <v>1124</v>
      </c>
      <c r="BE1001" s="37"/>
      <c r="BF1001" s="37"/>
      <c r="BG1001" s="37"/>
      <c r="BH1001" s="37"/>
      <c r="BI1001" s="37"/>
      <c r="BJ1001" s="37"/>
      <c r="BK1001" s="37"/>
      <c r="BL1001" s="37"/>
      <c r="BM1001" s="37"/>
      <c r="BN1001" s="37"/>
      <c r="BO1001" s="37"/>
      <c r="BP1001" s="37">
        <v>0</v>
      </c>
      <c r="BQ1001" s="37"/>
      <c r="BR1001" s="37"/>
      <c r="BS1001" s="37"/>
      <c r="BT1001" s="37"/>
      <c r="BU1001" s="37"/>
      <c r="BV1001" s="37"/>
      <c r="BW1001" s="37"/>
      <c r="BX1001" s="37"/>
      <c r="BY1001" s="37"/>
      <c r="BZ1001" s="37"/>
      <c r="CA1001" s="37"/>
      <c r="CB1001" s="37" t="s">
        <v>1124</v>
      </c>
      <c r="CC1001" s="37"/>
      <c r="CD1001" s="37"/>
      <c r="CE1001" s="37"/>
      <c r="CF1001" s="37"/>
      <c r="CG1001" s="37"/>
      <c r="CH1001" s="37"/>
      <c r="CI1001" s="37"/>
      <c r="CJ1001" s="37"/>
      <c r="CK1001" s="37"/>
      <c r="CL1001" s="37"/>
      <c r="CM1001" s="37"/>
      <c r="CN1001" s="37" t="s">
        <v>1124</v>
      </c>
      <c r="CO1001" s="37"/>
      <c r="CP1001" s="37"/>
      <c r="CQ1001" s="37"/>
      <c r="CR1001" s="37"/>
      <c r="CS1001" s="37"/>
      <c r="CT1001" s="37"/>
      <c r="CU1001" s="37"/>
      <c r="CV1001" s="37"/>
      <c r="CW1001" s="37"/>
      <c r="CX1001" s="37"/>
      <c r="CY1001" s="37"/>
      <c r="CZ1001" s="37" t="s">
        <v>1124</v>
      </c>
      <c r="DA1001" s="37"/>
      <c r="DB1001" s="37"/>
      <c r="DC1001" s="37"/>
      <c r="DD1001" s="37"/>
      <c r="DE1001" s="37"/>
      <c r="DF1001" s="37"/>
      <c r="DG1001" s="37"/>
      <c r="DH1001" s="37"/>
      <c r="DI1001" s="37"/>
      <c r="DJ1001" s="37"/>
      <c r="DK1001" s="37"/>
      <c r="DL1001" s="37" t="s">
        <v>1124</v>
      </c>
      <c r="DM1001" s="37"/>
      <c r="DN1001" s="37"/>
      <c r="DO1001" s="37"/>
      <c r="DP1001" s="37"/>
      <c r="DQ1001" s="37"/>
      <c r="DR1001" s="37"/>
      <c r="DS1001" s="37"/>
      <c r="DT1001" s="37"/>
      <c r="DU1001" s="37"/>
      <c r="DV1001" s="37"/>
      <c r="DW1001" s="37"/>
      <c r="DX1001" s="37" t="s">
        <v>1124</v>
      </c>
      <c r="DY1001" s="37"/>
      <c r="DZ1001" s="37"/>
      <c r="EA1001" s="37"/>
      <c r="EB1001" s="37"/>
      <c r="EC1001" s="37"/>
      <c r="ED1001" s="37"/>
      <c r="EE1001" s="37"/>
      <c r="EF1001" s="37"/>
      <c r="EG1001" s="37"/>
      <c r="EH1001" s="37"/>
      <c r="EI1001" s="37"/>
      <c r="EJ1001" s="37" t="s">
        <v>1124</v>
      </c>
      <c r="EK1001" s="161"/>
      <c r="EL1001" s="294"/>
    </row>
    <row r="1002" spans="1:142" ht="15" customHeight="1" x14ac:dyDescent="0.35">
      <c r="A1002" s="34"/>
      <c r="B1002" s="313">
        <v>71015</v>
      </c>
      <c r="C1002" s="8" t="s">
        <v>705</v>
      </c>
      <c r="D1002" s="18">
        <v>16</v>
      </c>
      <c r="E1002" s="155"/>
      <c r="F1002" s="36"/>
      <c r="G1002" s="37"/>
      <c r="H1002" s="37"/>
      <c r="I1002" s="37"/>
      <c r="J1002" s="37"/>
      <c r="K1002" s="37"/>
      <c r="L1002" s="37"/>
      <c r="M1002" s="37" t="s">
        <v>1124</v>
      </c>
      <c r="N1002" s="37" t="s">
        <v>1124</v>
      </c>
      <c r="O1002" s="37"/>
      <c r="P1002" s="37"/>
      <c r="Q1002" s="37"/>
      <c r="R1002" s="37"/>
      <c r="S1002" s="37"/>
      <c r="T1002" s="37"/>
      <c r="U1002" s="37"/>
      <c r="V1002" s="37"/>
      <c r="W1002" s="37"/>
      <c r="X1002" s="37"/>
      <c r="Y1002" s="37"/>
      <c r="Z1002" s="37"/>
      <c r="AA1002" s="37" t="s">
        <v>1124</v>
      </c>
      <c r="AB1002" s="37" t="s">
        <v>1124</v>
      </c>
      <c r="AC1002" s="37"/>
      <c r="AD1002" s="37"/>
      <c r="AE1002" s="37"/>
      <c r="AF1002" s="168"/>
      <c r="AG1002" s="37"/>
      <c r="AH1002" s="37"/>
      <c r="AI1002" s="37"/>
      <c r="AJ1002" s="37"/>
      <c r="AK1002" s="37"/>
      <c r="AL1002" s="37"/>
      <c r="AM1002" s="37"/>
      <c r="AN1002" s="37"/>
      <c r="AO1002" s="37"/>
      <c r="AP1002" s="37"/>
      <c r="AQ1002" s="37"/>
      <c r="AR1002" s="37" t="s">
        <v>1124</v>
      </c>
      <c r="AS1002" s="37"/>
      <c r="AT1002" s="37"/>
      <c r="AU1002" s="37"/>
      <c r="AV1002" s="37"/>
      <c r="AW1002" s="37"/>
      <c r="AX1002" s="37"/>
      <c r="AY1002" s="37"/>
      <c r="AZ1002" s="37"/>
      <c r="BA1002" s="37"/>
      <c r="BB1002" s="37"/>
      <c r="BC1002" s="37"/>
      <c r="BD1002" s="37" t="s">
        <v>1124</v>
      </c>
      <c r="BE1002" s="37"/>
      <c r="BF1002" s="37"/>
      <c r="BG1002" s="37"/>
      <c r="BH1002" s="37"/>
      <c r="BI1002" s="37"/>
      <c r="BJ1002" s="37"/>
      <c r="BK1002" s="37"/>
      <c r="BL1002" s="37"/>
      <c r="BM1002" s="37"/>
      <c r="BN1002" s="37"/>
      <c r="BO1002" s="37"/>
      <c r="BP1002" s="37">
        <v>0</v>
      </c>
      <c r="BQ1002" s="37"/>
      <c r="BR1002" s="37"/>
      <c r="BS1002" s="37"/>
      <c r="BT1002" s="37"/>
      <c r="BU1002" s="37"/>
      <c r="BV1002" s="37"/>
      <c r="BW1002" s="37"/>
      <c r="BX1002" s="37"/>
      <c r="BY1002" s="37"/>
      <c r="BZ1002" s="37"/>
      <c r="CA1002" s="37"/>
      <c r="CB1002" s="37" t="s">
        <v>1124</v>
      </c>
      <c r="CC1002" s="37"/>
      <c r="CD1002" s="37"/>
      <c r="CE1002" s="37"/>
      <c r="CF1002" s="37"/>
      <c r="CG1002" s="37"/>
      <c r="CH1002" s="37"/>
      <c r="CI1002" s="37"/>
      <c r="CJ1002" s="37"/>
      <c r="CK1002" s="37"/>
      <c r="CL1002" s="37"/>
      <c r="CM1002" s="37"/>
      <c r="CN1002" s="37" t="s">
        <v>1124</v>
      </c>
      <c r="CO1002" s="37"/>
      <c r="CP1002" s="37"/>
      <c r="CQ1002" s="37"/>
      <c r="CR1002" s="37"/>
      <c r="CS1002" s="37"/>
      <c r="CT1002" s="37"/>
      <c r="CU1002" s="37"/>
      <c r="CV1002" s="37"/>
      <c r="CW1002" s="37"/>
      <c r="CX1002" s="37"/>
      <c r="CY1002" s="37"/>
      <c r="CZ1002" s="37" t="s">
        <v>1124</v>
      </c>
      <c r="DA1002" s="37"/>
      <c r="DB1002" s="37"/>
      <c r="DC1002" s="37"/>
      <c r="DD1002" s="37"/>
      <c r="DE1002" s="37"/>
      <c r="DF1002" s="37"/>
      <c r="DG1002" s="37"/>
      <c r="DH1002" s="37"/>
      <c r="DI1002" s="37"/>
      <c r="DJ1002" s="37"/>
      <c r="DK1002" s="37"/>
      <c r="DL1002" s="37" t="s">
        <v>1124</v>
      </c>
      <c r="DM1002" s="37"/>
      <c r="DN1002" s="37"/>
      <c r="DO1002" s="37"/>
      <c r="DP1002" s="37"/>
      <c r="DQ1002" s="37"/>
      <c r="DR1002" s="37"/>
      <c r="DS1002" s="37"/>
      <c r="DT1002" s="37"/>
      <c r="DU1002" s="37"/>
      <c r="DV1002" s="37"/>
      <c r="DW1002" s="37"/>
      <c r="DX1002" s="37" t="s">
        <v>1124</v>
      </c>
      <c r="DY1002" s="37"/>
      <c r="DZ1002" s="37"/>
      <c r="EA1002" s="37"/>
      <c r="EB1002" s="37"/>
      <c r="EC1002" s="37"/>
      <c r="ED1002" s="37"/>
      <c r="EE1002" s="37"/>
      <c r="EF1002" s="37"/>
      <c r="EG1002" s="37"/>
      <c r="EH1002" s="37"/>
      <c r="EI1002" s="37"/>
      <c r="EJ1002" s="37" t="s">
        <v>1124</v>
      </c>
      <c r="EK1002" s="161"/>
      <c r="EL1002" s="294"/>
    </row>
    <row r="1003" spans="1:142" ht="15" customHeight="1" x14ac:dyDescent="0.35">
      <c r="A1003" s="34"/>
      <c r="B1003" s="313">
        <v>7070</v>
      </c>
      <c r="C1003" s="8" t="s">
        <v>1078</v>
      </c>
      <c r="D1003" s="18">
        <v>1</v>
      </c>
      <c r="E1003" s="155">
        <v>51481</v>
      </c>
      <c r="F1003" s="36">
        <v>24010</v>
      </c>
      <c r="G1003" s="37">
        <v>4778</v>
      </c>
      <c r="H1003" s="37">
        <v>1615</v>
      </c>
      <c r="I1003" s="37">
        <v>440109</v>
      </c>
      <c r="J1003" s="37">
        <v>2200</v>
      </c>
      <c r="K1003" s="37">
        <v>7722.15</v>
      </c>
      <c r="L1003" s="37">
        <v>3601.5</v>
      </c>
      <c r="M1003" s="37">
        <v>504090.15</v>
      </c>
      <c r="N1003" s="37">
        <v>31426.5</v>
      </c>
      <c r="O1003" s="37">
        <v>0</v>
      </c>
      <c r="P1003" s="37">
        <v>0</v>
      </c>
      <c r="Q1003" s="37">
        <v>65250</v>
      </c>
      <c r="R1003" s="37">
        <v>11800</v>
      </c>
      <c r="S1003" s="37">
        <v>0</v>
      </c>
      <c r="T1003" s="37">
        <v>0</v>
      </c>
      <c r="U1003" s="37">
        <v>0</v>
      </c>
      <c r="V1003" s="37">
        <v>0</v>
      </c>
      <c r="W1003" s="37">
        <v>438840.15</v>
      </c>
      <c r="X1003" s="37">
        <v>19626.5</v>
      </c>
      <c r="Y1003" s="37">
        <v>0</v>
      </c>
      <c r="Z1003" s="37">
        <v>0</v>
      </c>
      <c r="AA1003" s="37">
        <v>504090.15</v>
      </c>
      <c r="AB1003" s="37">
        <v>31426.5</v>
      </c>
      <c r="AC1003" s="37">
        <v>0</v>
      </c>
      <c r="AD1003" s="37">
        <v>0</v>
      </c>
      <c r="AE1003" s="37">
        <v>0</v>
      </c>
      <c r="AF1003" s="168">
        <v>0.02</v>
      </c>
      <c r="AG1003" s="37">
        <v>9592301.0399999991</v>
      </c>
      <c r="AH1003" s="37">
        <v>50024.800000000003</v>
      </c>
      <c r="AI1003" s="37">
        <v>51025.29</v>
      </c>
      <c r="AJ1003" s="37">
        <v>52045.8</v>
      </c>
      <c r="AK1003" s="37">
        <v>53086.71</v>
      </c>
      <c r="AL1003" s="37">
        <v>54148.45</v>
      </c>
      <c r="AM1003" s="37">
        <v>55231.42</v>
      </c>
      <c r="AN1003" s="37">
        <v>56336.05</v>
      </c>
      <c r="AO1003" s="37">
        <v>57462.77</v>
      </c>
      <c r="AP1003" s="37">
        <v>58612.02</v>
      </c>
      <c r="AQ1003" s="37">
        <v>59784.26</v>
      </c>
      <c r="AR1003" s="37">
        <v>547757.56999999995</v>
      </c>
      <c r="AS1003" s="37">
        <v>1560504.12</v>
      </c>
      <c r="AT1003" s="37">
        <v>0</v>
      </c>
      <c r="AU1003" s="37">
        <v>0</v>
      </c>
      <c r="AV1003" s="37">
        <v>0</v>
      </c>
      <c r="AW1003" s="37">
        <v>0</v>
      </c>
      <c r="AX1003" s="37">
        <v>0</v>
      </c>
      <c r="AY1003" s="37">
        <v>0</v>
      </c>
      <c r="AZ1003" s="37">
        <v>0</v>
      </c>
      <c r="BA1003" s="37">
        <v>0</v>
      </c>
      <c r="BB1003" s="37">
        <v>0</v>
      </c>
      <c r="BC1003" s="37">
        <v>0</v>
      </c>
      <c r="BD1003" s="37">
        <v>0</v>
      </c>
      <c r="BE1003" s="37">
        <v>8250</v>
      </c>
      <c r="BF1003" s="37">
        <v>60000</v>
      </c>
      <c r="BG1003" s="37">
        <v>1378968</v>
      </c>
      <c r="BH1003" s="37">
        <v>0</v>
      </c>
      <c r="BI1003" s="37">
        <v>0</v>
      </c>
      <c r="BJ1003" s="37">
        <v>0</v>
      </c>
      <c r="BK1003" s="37">
        <v>0</v>
      </c>
      <c r="BL1003" s="37">
        <v>0</v>
      </c>
      <c r="BM1003" s="37">
        <v>0</v>
      </c>
      <c r="BN1003" s="37">
        <v>0</v>
      </c>
      <c r="BO1003" s="37">
        <v>0</v>
      </c>
      <c r="BP1003" s="37">
        <v>1438968</v>
      </c>
      <c r="BQ1003" s="37">
        <v>0</v>
      </c>
      <c r="BR1003" s="37">
        <v>0</v>
      </c>
      <c r="BS1003" s="37">
        <v>344744</v>
      </c>
      <c r="BT1003" s="37">
        <v>0</v>
      </c>
      <c r="BU1003" s="37">
        <v>0</v>
      </c>
      <c r="BV1003" s="37">
        <v>0</v>
      </c>
      <c r="BW1003" s="37">
        <v>0</v>
      </c>
      <c r="BX1003" s="37">
        <v>0</v>
      </c>
      <c r="BY1003" s="37">
        <v>0</v>
      </c>
      <c r="BZ1003" s="37">
        <v>0</v>
      </c>
      <c r="CA1003" s="37">
        <v>0</v>
      </c>
      <c r="CB1003" s="37">
        <v>344744</v>
      </c>
      <c r="CC1003" s="37">
        <v>0</v>
      </c>
      <c r="CD1003" s="37">
        <v>0</v>
      </c>
      <c r="CE1003" s="37">
        <v>0</v>
      </c>
      <c r="CF1003" s="37">
        <v>0</v>
      </c>
      <c r="CG1003" s="37">
        <v>0</v>
      </c>
      <c r="CH1003" s="37">
        <v>0</v>
      </c>
      <c r="CI1003" s="37">
        <v>0</v>
      </c>
      <c r="CJ1003" s="37">
        <v>0</v>
      </c>
      <c r="CK1003" s="37">
        <v>0</v>
      </c>
      <c r="CL1003" s="37">
        <v>0</v>
      </c>
      <c r="CM1003" s="37">
        <v>0</v>
      </c>
      <c r="CN1003" s="37">
        <v>0</v>
      </c>
      <c r="CO1003" s="37">
        <v>0</v>
      </c>
      <c r="CP1003" s="37">
        <v>0</v>
      </c>
      <c r="CQ1003" s="37">
        <v>0</v>
      </c>
      <c r="CR1003" s="37">
        <v>0</v>
      </c>
      <c r="CS1003" s="37">
        <v>0</v>
      </c>
      <c r="CT1003" s="37">
        <v>0</v>
      </c>
      <c r="CU1003" s="37">
        <v>0</v>
      </c>
      <c r="CV1003" s="37">
        <v>0</v>
      </c>
      <c r="CW1003" s="37">
        <v>0</v>
      </c>
      <c r="CX1003" s="37">
        <v>0</v>
      </c>
      <c r="CY1003" s="37">
        <v>0</v>
      </c>
      <c r="CZ1003" s="37">
        <v>0</v>
      </c>
      <c r="DA1003" s="37">
        <v>0</v>
      </c>
      <c r="DB1003" s="37">
        <v>0</v>
      </c>
      <c r="DC1003" s="37">
        <v>0</v>
      </c>
      <c r="DD1003" s="37">
        <v>0</v>
      </c>
      <c r="DE1003" s="37">
        <v>0</v>
      </c>
      <c r="DF1003" s="37">
        <v>0</v>
      </c>
      <c r="DG1003" s="37">
        <v>0</v>
      </c>
      <c r="DH1003" s="37">
        <v>0</v>
      </c>
      <c r="DI1003" s="37">
        <v>0</v>
      </c>
      <c r="DJ1003" s="37">
        <v>0</v>
      </c>
      <c r="DK1003" s="37">
        <v>0</v>
      </c>
      <c r="DL1003" s="37">
        <v>0</v>
      </c>
      <c r="DM1003" s="37">
        <v>0</v>
      </c>
      <c r="DN1003" s="37">
        <v>0</v>
      </c>
      <c r="DO1003" s="37">
        <v>0</v>
      </c>
      <c r="DP1003" s="37">
        <v>0</v>
      </c>
      <c r="DQ1003" s="37">
        <v>0</v>
      </c>
      <c r="DR1003" s="37">
        <v>0</v>
      </c>
      <c r="DS1003" s="37">
        <v>0</v>
      </c>
      <c r="DT1003" s="37">
        <v>0</v>
      </c>
      <c r="DU1003" s="37">
        <v>0</v>
      </c>
      <c r="DV1003" s="37">
        <v>0</v>
      </c>
      <c r="DW1003" s="37">
        <v>0</v>
      </c>
      <c r="DX1003" s="37">
        <v>0</v>
      </c>
      <c r="DY1003" s="37">
        <v>0</v>
      </c>
      <c r="DZ1003" s="37">
        <v>0</v>
      </c>
      <c r="EA1003" s="37">
        <v>0</v>
      </c>
      <c r="EB1003" s="37">
        <v>0</v>
      </c>
      <c r="EC1003" s="37">
        <v>0</v>
      </c>
      <c r="ED1003" s="37">
        <v>0</v>
      </c>
      <c r="EE1003" s="37">
        <v>0</v>
      </c>
      <c r="EF1003" s="37">
        <v>0</v>
      </c>
      <c r="EG1003" s="37">
        <v>0</v>
      </c>
      <c r="EH1003" s="37">
        <v>0</v>
      </c>
      <c r="EI1003" s="37">
        <v>0</v>
      </c>
      <c r="EJ1003" s="37">
        <v>0</v>
      </c>
      <c r="EK1003" s="161" t="s">
        <v>3451</v>
      </c>
      <c r="EL1003" s="294" t="s">
        <v>1124</v>
      </c>
    </row>
    <row r="1004" spans="1:142" ht="15" customHeight="1" x14ac:dyDescent="0.35">
      <c r="A1004" s="34"/>
      <c r="B1004" s="313">
        <v>48045</v>
      </c>
      <c r="C1004" s="8" t="s">
        <v>462</v>
      </c>
      <c r="D1004" s="18">
        <v>16</v>
      </c>
      <c r="E1004" s="155"/>
      <c r="F1004" s="36"/>
      <c r="G1004" s="37"/>
      <c r="H1004" s="37"/>
      <c r="I1004" s="37"/>
      <c r="J1004" s="37"/>
      <c r="K1004" s="37"/>
      <c r="L1004" s="37"/>
      <c r="M1004" s="37" t="s">
        <v>1124</v>
      </c>
      <c r="N1004" s="37" t="s">
        <v>1124</v>
      </c>
      <c r="O1004" s="37"/>
      <c r="P1004" s="37"/>
      <c r="Q1004" s="37"/>
      <c r="R1004" s="37"/>
      <c r="S1004" s="37"/>
      <c r="T1004" s="37"/>
      <c r="U1004" s="37"/>
      <c r="V1004" s="37"/>
      <c r="W1004" s="37"/>
      <c r="X1004" s="37"/>
      <c r="Y1004" s="37"/>
      <c r="Z1004" s="37"/>
      <c r="AA1004" s="37" t="s">
        <v>1124</v>
      </c>
      <c r="AB1004" s="37" t="s">
        <v>1124</v>
      </c>
      <c r="AC1004" s="37"/>
      <c r="AD1004" s="37"/>
      <c r="AE1004" s="37"/>
      <c r="AF1004" s="168"/>
      <c r="AG1004" s="37"/>
      <c r="AH1004" s="37"/>
      <c r="AI1004" s="37"/>
      <c r="AJ1004" s="37"/>
      <c r="AK1004" s="37"/>
      <c r="AL1004" s="37"/>
      <c r="AM1004" s="37"/>
      <c r="AN1004" s="37"/>
      <c r="AO1004" s="37"/>
      <c r="AP1004" s="37"/>
      <c r="AQ1004" s="37"/>
      <c r="AR1004" s="37" t="s">
        <v>1124</v>
      </c>
      <c r="AS1004" s="37"/>
      <c r="AT1004" s="37"/>
      <c r="AU1004" s="37"/>
      <c r="AV1004" s="37"/>
      <c r="AW1004" s="37"/>
      <c r="AX1004" s="37"/>
      <c r="AY1004" s="37"/>
      <c r="AZ1004" s="37"/>
      <c r="BA1004" s="37"/>
      <c r="BB1004" s="37"/>
      <c r="BC1004" s="37"/>
      <c r="BD1004" s="37" t="s">
        <v>1124</v>
      </c>
      <c r="BE1004" s="37"/>
      <c r="BF1004" s="37"/>
      <c r="BG1004" s="37"/>
      <c r="BH1004" s="37"/>
      <c r="BI1004" s="37"/>
      <c r="BJ1004" s="37"/>
      <c r="BK1004" s="37"/>
      <c r="BL1004" s="37"/>
      <c r="BM1004" s="37"/>
      <c r="BN1004" s="37"/>
      <c r="BO1004" s="37"/>
      <c r="BP1004" s="37">
        <v>0</v>
      </c>
      <c r="BQ1004" s="37"/>
      <c r="BR1004" s="37"/>
      <c r="BS1004" s="37"/>
      <c r="BT1004" s="37"/>
      <c r="BU1004" s="37"/>
      <c r="BV1004" s="37"/>
      <c r="BW1004" s="37"/>
      <c r="BX1004" s="37"/>
      <c r="BY1004" s="37"/>
      <c r="BZ1004" s="37"/>
      <c r="CA1004" s="37"/>
      <c r="CB1004" s="37" t="s">
        <v>1124</v>
      </c>
      <c r="CC1004" s="37"/>
      <c r="CD1004" s="37"/>
      <c r="CE1004" s="37"/>
      <c r="CF1004" s="37"/>
      <c r="CG1004" s="37"/>
      <c r="CH1004" s="37"/>
      <c r="CI1004" s="37"/>
      <c r="CJ1004" s="37"/>
      <c r="CK1004" s="37"/>
      <c r="CL1004" s="37"/>
      <c r="CM1004" s="37"/>
      <c r="CN1004" s="37" t="s">
        <v>1124</v>
      </c>
      <c r="CO1004" s="37"/>
      <c r="CP1004" s="37"/>
      <c r="CQ1004" s="37"/>
      <c r="CR1004" s="37"/>
      <c r="CS1004" s="37"/>
      <c r="CT1004" s="37"/>
      <c r="CU1004" s="37"/>
      <c r="CV1004" s="37"/>
      <c r="CW1004" s="37"/>
      <c r="CX1004" s="37"/>
      <c r="CY1004" s="37"/>
      <c r="CZ1004" s="37" t="s">
        <v>1124</v>
      </c>
      <c r="DA1004" s="37"/>
      <c r="DB1004" s="37"/>
      <c r="DC1004" s="37"/>
      <c r="DD1004" s="37"/>
      <c r="DE1004" s="37"/>
      <c r="DF1004" s="37"/>
      <c r="DG1004" s="37"/>
      <c r="DH1004" s="37"/>
      <c r="DI1004" s="37"/>
      <c r="DJ1004" s="37"/>
      <c r="DK1004" s="37"/>
      <c r="DL1004" s="37" t="s">
        <v>1124</v>
      </c>
      <c r="DM1004" s="37"/>
      <c r="DN1004" s="37"/>
      <c r="DO1004" s="37"/>
      <c r="DP1004" s="37"/>
      <c r="DQ1004" s="37"/>
      <c r="DR1004" s="37"/>
      <c r="DS1004" s="37"/>
      <c r="DT1004" s="37"/>
      <c r="DU1004" s="37"/>
      <c r="DV1004" s="37"/>
      <c r="DW1004" s="37"/>
      <c r="DX1004" s="37" t="s">
        <v>1124</v>
      </c>
      <c r="DY1004" s="37"/>
      <c r="DZ1004" s="37"/>
      <c r="EA1004" s="37"/>
      <c r="EB1004" s="37"/>
      <c r="EC1004" s="37"/>
      <c r="ED1004" s="37"/>
      <c r="EE1004" s="37"/>
      <c r="EF1004" s="37"/>
      <c r="EG1004" s="37"/>
      <c r="EH1004" s="37"/>
      <c r="EI1004" s="37"/>
      <c r="EJ1004" s="37" t="s">
        <v>1124</v>
      </c>
      <c r="EK1004" s="161"/>
      <c r="EL1004" s="294"/>
    </row>
    <row r="1005" spans="1:142" ht="15" customHeight="1" x14ac:dyDescent="0.35">
      <c r="A1005" s="34"/>
      <c r="B1005" s="313">
        <v>29005</v>
      </c>
      <c r="C1005" s="8" t="s">
        <v>201</v>
      </c>
      <c r="D1005" s="18">
        <v>12</v>
      </c>
      <c r="E1005" s="155"/>
      <c r="F1005" s="36"/>
      <c r="G1005" s="37"/>
      <c r="H1005" s="37"/>
      <c r="I1005" s="37"/>
      <c r="J1005" s="37"/>
      <c r="K1005" s="37"/>
      <c r="L1005" s="37"/>
      <c r="M1005" s="37" t="s">
        <v>1124</v>
      </c>
      <c r="N1005" s="37" t="s">
        <v>1124</v>
      </c>
      <c r="O1005" s="37"/>
      <c r="P1005" s="37"/>
      <c r="Q1005" s="37"/>
      <c r="R1005" s="37"/>
      <c r="S1005" s="37"/>
      <c r="T1005" s="37"/>
      <c r="U1005" s="37"/>
      <c r="V1005" s="37"/>
      <c r="W1005" s="37"/>
      <c r="X1005" s="37"/>
      <c r="Y1005" s="37"/>
      <c r="Z1005" s="37"/>
      <c r="AA1005" s="37" t="s">
        <v>1124</v>
      </c>
      <c r="AB1005" s="37" t="s">
        <v>1124</v>
      </c>
      <c r="AC1005" s="37"/>
      <c r="AD1005" s="37"/>
      <c r="AE1005" s="37"/>
      <c r="AF1005" s="168"/>
      <c r="AG1005" s="37"/>
      <c r="AH1005" s="37"/>
      <c r="AI1005" s="37"/>
      <c r="AJ1005" s="37"/>
      <c r="AK1005" s="37"/>
      <c r="AL1005" s="37"/>
      <c r="AM1005" s="37"/>
      <c r="AN1005" s="37"/>
      <c r="AO1005" s="37"/>
      <c r="AP1005" s="37"/>
      <c r="AQ1005" s="37"/>
      <c r="AR1005" s="37" t="s">
        <v>1124</v>
      </c>
      <c r="AS1005" s="37"/>
      <c r="AT1005" s="37"/>
      <c r="AU1005" s="37"/>
      <c r="AV1005" s="37"/>
      <c r="AW1005" s="37"/>
      <c r="AX1005" s="37"/>
      <c r="AY1005" s="37"/>
      <c r="AZ1005" s="37"/>
      <c r="BA1005" s="37"/>
      <c r="BB1005" s="37"/>
      <c r="BC1005" s="37"/>
      <c r="BD1005" s="37" t="s">
        <v>1124</v>
      </c>
      <c r="BE1005" s="37"/>
      <c r="BF1005" s="37"/>
      <c r="BG1005" s="37"/>
      <c r="BH1005" s="37"/>
      <c r="BI1005" s="37"/>
      <c r="BJ1005" s="37"/>
      <c r="BK1005" s="37"/>
      <c r="BL1005" s="37"/>
      <c r="BM1005" s="37"/>
      <c r="BN1005" s="37"/>
      <c r="BO1005" s="37"/>
      <c r="BP1005" s="37">
        <v>0</v>
      </c>
      <c r="BQ1005" s="37"/>
      <c r="BR1005" s="37"/>
      <c r="BS1005" s="37"/>
      <c r="BT1005" s="37"/>
      <c r="BU1005" s="37"/>
      <c r="BV1005" s="37"/>
      <c r="BW1005" s="37"/>
      <c r="BX1005" s="37"/>
      <c r="BY1005" s="37"/>
      <c r="BZ1005" s="37"/>
      <c r="CA1005" s="37"/>
      <c r="CB1005" s="37" t="s">
        <v>1124</v>
      </c>
      <c r="CC1005" s="37"/>
      <c r="CD1005" s="37"/>
      <c r="CE1005" s="37"/>
      <c r="CF1005" s="37"/>
      <c r="CG1005" s="37"/>
      <c r="CH1005" s="37"/>
      <c r="CI1005" s="37"/>
      <c r="CJ1005" s="37"/>
      <c r="CK1005" s="37"/>
      <c r="CL1005" s="37"/>
      <c r="CM1005" s="37"/>
      <c r="CN1005" s="37" t="s">
        <v>1124</v>
      </c>
      <c r="CO1005" s="37"/>
      <c r="CP1005" s="37"/>
      <c r="CQ1005" s="37"/>
      <c r="CR1005" s="37"/>
      <c r="CS1005" s="37"/>
      <c r="CT1005" s="37"/>
      <c r="CU1005" s="37"/>
      <c r="CV1005" s="37"/>
      <c r="CW1005" s="37"/>
      <c r="CX1005" s="37"/>
      <c r="CY1005" s="37"/>
      <c r="CZ1005" s="37" t="s">
        <v>1124</v>
      </c>
      <c r="DA1005" s="37"/>
      <c r="DB1005" s="37"/>
      <c r="DC1005" s="37"/>
      <c r="DD1005" s="37"/>
      <c r="DE1005" s="37"/>
      <c r="DF1005" s="37"/>
      <c r="DG1005" s="37"/>
      <c r="DH1005" s="37"/>
      <c r="DI1005" s="37"/>
      <c r="DJ1005" s="37"/>
      <c r="DK1005" s="37"/>
      <c r="DL1005" s="37" t="s">
        <v>1124</v>
      </c>
      <c r="DM1005" s="37"/>
      <c r="DN1005" s="37"/>
      <c r="DO1005" s="37"/>
      <c r="DP1005" s="37"/>
      <c r="DQ1005" s="37"/>
      <c r="DR1005" s="37"/>
      <c r="DS1005" s="37"/>
      <c r="DT1005" s="37"/>
      <c r="DU1005" s="37"/>
      <c r="DV1005" s="37"/>
      <c r="DW1005" s="37"/>
      <c r="DX1005" s="37" t="s">
        <v>1124</v>
      </c>
      <c r="DY1005" s="37"/>
      <c r="DZ1005" s="37"/>
      <c r="EA1005" s="37"/>
      <c r="EB1005" s="37"/>
      <c r="EC1005" s="37"/>
      <c r="ED1005" s="37"/>
      <c r="EE1005" s="37"/>
      <c r="EF1005" s="37"/>
      <c r="EG1005" s="37"/>
      <c r="EH1005" s="37"/>
      <c r="EI1005" s="37"/>
      <c r="EJ1005" s="37" t="s">
        <v>1124</v>
      </c>
      <c r="EK1005" s="161"/>
      <c r="EL1005" s="294"/>
    </row>
    <row r="1006" spans="1:142" ht="15" customHeight="1" x14ac:dyDescent="0.35">
      <c r="A1006" s="34"/>
      <c r="B1006" s="313">
        <v>61027</v>
      </c>
      <c r="C1006" s="8" t="s">
        <v>613</v>
      </c>
      <c r="D1006" s="18">
        <v>14</v>
      </c>
      <c r="E1006" s="155">
        <v>124211.5</v>
      </c>
      <c r="F1006" s="36">
        <v>92784</v>
      </c>
      <c r="G1006" s="37">
        <v>4450</v>
      </c>
      <c r="H1006" s="37">
        <v>11099</v>
      </c>
      <c r="I1006" s="37">
        <v>1500</v>
      </c>
      <c r="J1006" s="37">
        <v>1500</v>
      </c>
      <c r="K1006" s="37">
        <v>102900</v>
      </c>
      <c r="L1006" s="37">
        <v>137000</v>
      </c>
      <c r="M1006" s="37">
        <v>233061.5</v>
      </c>
      <c r="N1006" s="37">
        <v>242383</v>
      </c>
      <c r="O1006" s="37">
        <v>26735</v>
      </c>
      <c r="P1006" s="37">
        <v>0</v>
      </c>
      <c r="Q1006" s="37">
        <v>64419</v>
      </c>
      <c r="R1006" s="37">
        <v>88783</v>
      </c>
      <c r="S1006" s="37">
        <v>102108</v>
      </c>
      <c r="T1006" s="37">
        <v>0</v>
      </c>
      <c r="U1006" s="37">
        <v>0</v>
      </c>
      <c r="V1006" s="37">
        <v>157835</v>
      </c>
      <c r="W1006" s="37">
        <v>35564.5</v>
      </c>
      <c r="X1006" s="37">
        <v>0</v>
      </c>
      <c r="Y1006" s="37">
        <v>0</v>
      </c>
      <c r="Z1006" s="37">
        <v>0</v>
      </c>
      <c r="AA1006" s="37">
        <v>228826.5</v>
      </c>
      <c r="AB1006" s="37">
        <v>246618</v>
      </c>
      <c r="AC1006" s="37">
        <v>0</v>
      </c>
      <c r="AD1006" s="37">
        <v>0</v>
      </c>
      <c r="AE1006" s="37">
        <v>34683</v>
      </c>
      <c r="AF1006" s="168">
        <v>0.02</v>
      </c>
      <c r="AG1006" s="37">
        <v>23235488.23</v>
      </c>
      <c r="AH1006" s="37">
        <v>197328.25</v>
      </c>
      <c r="AI1006" s="37">
        <v>201274.81</v>
      </c>
      <c r="AJ1006" s="37">
        <v>205300.31</v>
      </c>
      <c r="AK1006" s="37">
        <v>209406.32</v>
      </c>
      <c r="AL1006" s="37">
        <v>213594.44</v>
      </c>
      <c r="AM1006" s="37">
        <v>217866.33</v>
      </c>
      <c r="AN1006" s="37">
        <v>222223.66</v>
      </c>
      <c r="AO1006" s="37">
        <v>226668.13</v>
      </c>
      <c r="AP1006" s="37">
        <v>231201.49</v>
      </c>
      <c r="AQ1006" s="37">
        <v>235825.52</v>
      </c>
      <c r="AR1006" s="37">
        <v>2160689.2600000002</v>
      </c>
      <c r="AS1006" s="37">
        <v>76157.279999999999</v>
      </c>
      <c r="AT1006" s="37">
        <v>104040</v>
      </c>
      <c r="AU1006" s="37">
        <v>2546.9</v>
      </c>
      <c r="AV1006" s="37">
        <v>0</v>
      </c>
      <c r="AW1006" s="37">
        <v>0</v>
      </c>
      <c r="AX1006" s="37">
        <v>0</v>
      </c>
      <c r="AY1006" s="37">
        <v>0</v>
      </c>
      <c r="AZ1006" s="37">
        <v>0</v>
      </c>
      <c r="BA1006" s="37">
        <v>0</v>
      </c>
      <c r="BB1006" s="37">
        <v>0</v>
      </c>
      <c r="BC1006" s="37">
        <v>0</v>
      </c>
      <c r="BD1006" s="37">
        <v>106586.9</v>
      </c>
      <c r="BE1006" s="37">
        <v>0</v>
      </c>
      <c r="BF1006" s="37">
        <v>0</v>
      </c>
      <c r="BG1006" s="37">
        <v>0</v>
      </c>
      <c r="BH1006" s="37">
        <v>0</v>
      </c>
      <c r="BI1006" s="37">
        <v>0</v>
      </c>
      <c r="BJ1006" s="37">
        <v>0</v>
      </c>
      <c r="BK1006" s="37">
        <v>0</v>
      </c>
      <c r="BL1006" s="37">
        <v>0</v>
      </c>
      <c r="BM1006" s="37">
        <v>0</v>
      </c>
      <c r="BN1006" s="37">
        <v>0</v>
      </c>
      <c r="BO1006" s="37">
        <v>0</v>
      </c>
      <c r="BP1006" s="37">
        <v>0</v>
      </c>
      <c r="BQ1006" s="37">
        <v>0</v>
      </c>
      <c r="BR1006" s="37">
        <v>0</v>
      </c>
      <c r="BS1006" s="37">
        <v>0</v>
      </c>
      <c r="BT1006" s="37">
        <v>0</v>
      </c>
      <c r="BU1006" s="37">
        <v>0</v>
      </c>
      <c r="BV1006" s="37">
        <v>0</v>
      </c>
      <c r="BW1006" s="37">
        <v>0</v>
      </c>
      <c r="BX1006" s="37">
        <v>0</v>
      </c>
      <c r="BY1006" s="37">
        <v>0</v>
      </c>
      <c r="BZ1006" s="37">
        <v>0</v>
      </c>
      <c r="CA1006" s="37">
        <v>0</v>
      </c>
      <c r="CB1006" s="37">
        <v>0</v>
      </c>
      <c r="CC1006" s="37">
        <v>0</v>
      </c>
      <c r="CD1006" s="37">
        <v>0</v>
      </c>
      <c r="CE1006" s="37">
        <v>0</v>
      </c>
      <c r="CF1006" s="37">
        <v>0</v>
      </c>
      <c r="CG1006" s="37">
        <v>0</v>
      </c>
      <c r="CH1006" s="37">
        <v>0</v>
      </c>
      <c r="CI1006" s="37">
        <v>0</v>
      </c>
      <c r="CJ1006" s="37">
        <v>0</v>
      </c>
      <c r="CK1006" s="37">
        <v>0</v>
      </c>
      <c r="CL1006" s="37">
        <v>0</v>
      </c>
      <c r="CM1006" s="37">
        <v>0</v>
      </c>
      <c r="CN1006" s="37">
        <v>0</v>
      </c>
      <c r="CO1006" s="37">
        <v>0</v>
      </c>
      <c r="CP1006" s="37">
        <v>0</v>
      </c>
      <c r="CQ1006" s="37">
        <v>0</v>
      </c>
      <c r="CR1006" s="37">
        <v>0</v>
      </c>
      <c r="CS1006" s="37">
        <v>0</v>
      </c>
      <c r="CT1006" s="37">
        <v>0</v>
      </c>
      <c r="CU1006" s="37">
        <v>0</v>
      </c>
      <c r="CV1006" s="37">
        <v>0</v>
      </c>
      <c r="CW1006" s="37">
        <v>0</v>
      </c>
      <c r="CX1006" s="37">
        <v>0</v>
      </c>
      <c r="CY1006" s="37">
        <v>0</v>
      </c>
      <c r="CZ1006" s="37">
        <v>0</v>
      </c>
      <c r="DA1006" s="37">
        <v>0</v>
      </c>
      <c r="DB1006" s="37">
        <v>0</v>
      </c>
      <c r="DC1006" s="37">
        <v>0</v>
      </c>
      <c r="DD1006" s="37">
        <v>0</v>
      </c>
      <c r="DE1006" s="37">
        <v>0</v>
      </c>
      <c r="DF1006" s="37">
        <v>0</v>
      </c>
      <c r="DG1006" s="37">
        <v>0</v>
      </c>
      <c r="DH1006" s="37">
        <v>0</v>
      </c>
      <c r="DI1006" s="37">
        <v>0</v>
      </c>
      <c r="DJ1006" s="37">
        <v>0</v>
      </c>
      <c r="DK1006" s="37">
        <v>0</v>
      </c>
      <c r="DL1006" s="37">
        <v>0</v>
      </c>
      <c r="DM1006" s="37">
        <v>0</v>
      </c>
      <c r="DN1006" s="37">
        <v>0</v>
      </c>
      <c r="DO1006" s="37">
        <v>0</v>
      </c>
      <c r="DP1006" s="37">
        <v>0</v>
      </c>
      <c r="DQ1006" s="37">
        <v>0</v>
      </c>
      <c r="DR1006" s="37">
        <v>0</v>
      </c>
      <c r="DS1006" s="37">
        <v>0</v>
      </c>
      <c r="DT1006" s="37">
        <v>0</v>
      </c>
      <c r="DU1006" s="37">
        <v>0</v>
      </c>
      <c r="DV1006" s="37">
        <v>0</v>
      </c>
      <c r="DW1006" s="37">
        <v>0</v>
      </c>
      <c r="DX1006" s="37">
        <v>0</v>
      </c>
      <c r="DY1006" s="37">
        <v>0</v>
      </c>
      <c r="DZ1006" s="37">
        <v>0</v>
      </c>
      <c r="EA1006" s="37">
        <v>0</v>
      </c>
      <c r="EB1006" s="37">
        <v>0</v>
      </c>
      <c r="EC1006" s="37">
        <v>0</v>
      </c>
      <c r="ED1006" s="37">
        <v>0</v>
      </c>
      <c r="EE1006" s="37">
        <v>0</v>
      </c>
      <c r="EF1006" s="37">
        <v>0</v>
      </c>
      <c r="EG1006" s="37">
        <v>0</v>
      </c>
      <c r="EH1006" s="37">
        <v>0</v>
      </c>
      <c r="EI1006" s="37">
        <v>0</v>
      </c>
      <c r="EJ1006" s="37">
        <v>0</v>
      </c>
      <c r="EK1006" s="161" t="s">
        <v>3454</v>
      </c>
      <c r="EL1006" s="294" t="s">
        <v>1124</v>
      </c>
    </row>
    <row r="1007" spans="1:142" ht="15" customHeight="1" x14ac:dyDescent="0.35">
      <c r="A1007" s="34"/>
      <c r="B1007" s="313">
        <v>92045</v>
      </c>
      <c r="C1007" s="8" t="s">
        <v>952</v>
      </c>
      <c r="D1007" s="18">
        <v>2</v>
      </c>
      <c r="E1007" s="155">
        <v>77389</v>
      </c>
      <c r="F1007" s="36">
        <v>32491</v>
      </c>
      <c r="G1007" s="37">
        <v>20632</v>
      </c>
      <c r="H1007" s="37">
        <v>0</v>
      </c>
      <c r="I1007" s="37">
        <v>58300</v>
      </c>
      <c r="J1007" s="37">
        <v>0</v>
      </c>
      <c r="K1007" s="37">
        <v>11608.35</v>
      </c>
      <c r="L1007" s="37">
        <v>4873.6499999999996</v>
      </c>
      <c r="M1007" s="37">
        <v>167929.35</v>
      </c>
      <c r="N1007" s="37">
        <v>37364.65</v>
      </c>
      <c r="O1007" s="37">
        <v>0</v>
      </c>
      <c r="P1007" s="37">
        <v>0</v>
      </c>
      <c r="Q1007" s="37">
        <v>140141</v>
      </c>
      <c r="R1007" s="37">
        <v>78892</v>
      </c>
      <c r="S1007" s="37">
        <v>0</v>
      </c>
      <c r="T1007" s="37">
        <v>0</v>
      </c>
      <c r="U1007" s="37">
        <v>0</v>
      </c>
      <c r="V1007" s="37">
        <v>0</v>
      </c>
      <c r="W1007" s="37">
        <v>0</v>
      </c>
      <c r="X1007" s="37">
        <v>0</v>
      </c>
      <c r="Y1007" s="37">
        <v>0</v>
      </c>
      <c r="Z1007" s="37">
        <v>0</v>
      </c>
      <c r="AA1007" s="37">
        <v>140141</v>
      </c>
      <c r="AB1007" s="37">
        <v>78892</v>
      </c>
      <c r="AC1007" s="37">
        <v>13739</v>
      </c>
      <c r="AD1007" s="37">
        <v>0</v>
      </c>
      <c r="AE1007" s="37">
        <v>78129</v>
      </c>
      <c r="AF1007" s="168">
        <v>0.02</v>
      </c>
      <c r="AG1007" s="37">
        <v>6224716.2300000004</v>
      </c>
      <c r="AH1007" s="37">
        <v>46716.04</v>
      </c>
      <c r="AI1007" s="37">
        <v>153965.72</v>
      </c>
      <c r="AJ1007" s="37">
        <v>40863.980000000003</v>
      </c>
      <c r="AK1007" s="37">
        <v>41681.26</v>
      </c>
      <c r="AL1007" s="37">
        <v>42514.879999999997</v>
      </c>
      <c r="AM1007" s="37">
        <v>43365.18</v>
      </c>
      <c r="AN1007" s="37">
        <v>44232.49</v>
      </c>
      <c r="AO1007" s="37">
        <v>45117.13</v>
      </c>
      <c r="AP1007" s="37">
        <v>46019.48</v>
      </c>
      <c r="AQ1007" s="37">
        <v>46939.87</v>
      </c>
      <c r="AR1007" s="37">
        <v>551416.03</v>
      </c>
      <c r="AS1007" s="37">
        <v>217064.74</v>
      </c>
      <c r="AT1007" s="37">
        <v>20808</v>
      </c>
      <c r="AU1007" s="37">
        <v>0</v>
      </c>
      <c r="AV1007" s="37">
        <v>0</v>
      </c>
      <c r="AW1007" s="37">
        <v>0</v>
      </c>
      <c r="AX1007" s="37">
        <v>0</v>
      </c>
      <c r="AY1007" s="37">
        <v>0</v>
      </c>
      <c r="AZ1007" s="37">
        <v>0</v>
      </c>
      <c r="BA1007" s="37">
        <v>0</v>
      </c>
      <c r="BB1007" s="37">
        <v>0</v>
      </c>
      <c r="BC1007" s="37">
        <v>0</v>
      </c>
      <c r="BD1007" s="37">
        <v>20808</v>
      </c>
      <c r="BE1007" s="37">
        <v>0</v>
      </c>
      <c r="BF1007" s="37">
        <v>0</v>
      </c>
      <c r="BG1007" s="37">
        <v>166488.86262922807</v>
      </c>
      <c r="BH1007" s="37">
        <v>0</v>
      </c>
      <c r="BI1007" s="37">
        <v>0</v>
      </c>
      <c r="BJ1007" s="37">
        <v>0</v>
      </c>
      <c r="BK1007" s="37">
        <v>0</v>
      </c>
      <c r="BL1007" s="37">
        <v>0</v>
      </c>
      <c r="BM1007" s="37">
        <v>0</v>
      </c>
      <c r="BN1007" s="37">
        <v>0</v>
      </c>
      <c r="BO1007" s="37">
        <v>0</v>
      </c>
      <c r="BP1007" s="37">
        <v>166488.86262922807</v>
      </c>
      <c r="BQ1007" s="37">
        <v>0</v>
      </c>
      <c r="BR1007" s="37">
        <v>0</v>
      </c>
      <c r="BS1007" s="37">
        <v>37709.221205500646</v>
      </c>
      <c r="BT1007" s="37">
        <v>0</v>
      </c>
      <c r="BU1007" s="37">
        <v>0</v>
      </c>
      <c r="BV1007" s="37">
        <v>0</v>
      </c>
      <c r="BW1007" s="37">
        <v>0</v>
      </c>
      <c r="BX1007" s="37">
        <v>0</v>
      </c>
      <c r="BY1007" s="37">
        <v>0</v>
      </c>
      <c r="BZ1007" s="37">
        <v>0</v>
      </c>
      <c r="CA1007" s="37">
        <v>0</v>
      </c>
      <c r="CB1007" s="37">
        <v>37709.221205500646</v>
      </c>
      <c r="CC1007" s="37">
        <v>0</v>
      </c>
      <c r="CD1007" s="37">
        <v>0</v>
      </c>
      <c r="CE1007" s="37">
        <v>0</v>
      </c>
      <c r="CF1007" s="37">
        <v>0</v>
      </c>
      <c r="CG1007" s="37">
        <v>0</v>
      </c>
      <c r="CH1007" s="37">
        <v>0</v>
      </c>
      <c r="CI1007" s="37">
        <v>0</v>
      </c>
      <c r="CJ1007" s="37">
        <v>0</v>
      </c>
      <c r="CK1007" s="37">
        <v>0</v>
      </c>
      <c r="CL1007" s="37">
        <v>0</v>
      </c>
      <c r="CM1007" s="37">
        <v>0</v>
      </c>
      <c r="CN1007" s="37">
        <v>0</v>
      </c>
      <c r="CO1007" s="37">
        <v>0</v>
      </c>
      <c r="CP1007" s="37">
        <v>0</v>
      </c>
      <c r="CQ1007" s="37">
        <v>0</v>
      </c>
      <c r="CR1007" s="37">
        <v>0</v>
      </c>
      <c r="CS1007" s="37">
        <v>0</v>
      </c>
      <c r="CT1007" s="37">
        <v>0</v>
      </c>
      <c r="CU1007" s="37">
        <v>0</v>
      </c>
      <c r="CV1007" s="37">
        <v>0</v>
      </c>
      <c r="CW1007" s="37">
        <v>0</v>
      </c>
      <c r="CX1007" s="37">
        <v>0</v>
      </c>
      <c r="CY1007" s="37">
        <v>0</v>
      </c>
      <c r="CZ1007" s="37">
        <v>0</v>
      </c>
      <c r="DA1007" s="37">
        <v>0</v>
      </c>
      <c r="DB1007" s="37">
        <v>0</v>
      </c>
      <c r="DC1007" s="37">
        <v>0</v>
      </c>
      <c r="DD1007" s="37">
        <v>0</v>
      </c>
      <c r="DE1007" s="37">
        <v>0</v>
      </c>
      <c r="DF1007" s="37">
        <v>0</v>
      </c>
      <c r="DG1007" s="37">
        <v>0</v>
      </c>
      <c r="DH1007" s="37">
        <v>0</v>
      </c>
      <c r="DI1007" s="37">
        <v>0</v>
      </c>
      <c r="DJ1007" s="37">
        <v>0</v>
      </c>
      <c r="DK1007" s="37">
        <v>0</v>
      </c>
      <c r="DL1007" s="37">
        <v>0</v>
      </c>
      <c r="DM1007" s="37">
        <v>0</v>
      </c>
      <c r="DN1007" s="37">
        <v>0</v>
      </c>
      <c r="DO1007" s="37">
        <v>0</v>
      </c>
      <c r="DP1007" s="37">
        <v>0</v>
      </c>
      <c r="DQ1007" s="37">
        <v>0</v>
      </c>
      <c r="DR1007" s="37">
        <v>0</v>
      </c>
      <c r="DS1007" s="37">
        <v>0</v>
      </c>
      <c r="DT1007" s="37">
        <v>0</v>
      </c>
      <c r="DU1007" s="37">
        <v>0</v>
      </c>
      <c r="DV1007" s="37">
        <v>0</v>
      </c>
      <c r="DW1007" s="37">
        <v>0</v>
      </c>
      <c r="DX1007" s="37">
        <v>0</v>
      </c>
      <c r="DY1007" s="37">
        <v>0</v>
      </c>
      <c r="DZ1007" s="37">
        <v>0</v>
      </c>
      <c r="EA1007" s="37">
        <v>0</v>
      </c>
      <c r="EB1007" s="37">
        <v>0</v>
      </c>
      <c r="EC1007" s="37">
        <v>0</v>
      </c>
      <c r="ED1007" s="37">
        <v>0</v>
      </c>
      <c r="EE1007" s="37">
        <v>0</v>
      </c>
      <c r="EF1007" s="37">
        <v>0</v>
      </c>
      <c r="EG1007" s="37">
        <v>0</v>
      </c>
      <c r="EH1007" s="37">
        <v>0</v>
      </c>
      <c r="EI1007" s="37">
        <v>0</v>
      </c>
      <c r="EJ1007" s="37">
        <v>0</v>
      </c>
      <c r="EK1007" s="161" t="s">
        <v>3458</v>
      </c>
      <c r="EL1007" s="294" t="s">
        <v>1124</v>
      </c>
    </row>
    <row r="1008" spans="1:142" ht="15" customHeight="1" x14ac:dyDescent="0.35">
      <c r="A1008" s="34"/>
      <c r="B1008" s="313">
        <v>34085</v>
      </c>
      <c r="C1008" s="8" t="s">
        <v>295</v>
      </c>
      <c r="D1008" s="18">
        <v>3</v>
      </c>
      <c r="E1008" s="155">
        <v>64273</v>
      </c>
      <c r="F1008" s="36">
        <v>17112</v>
      </c>
      <c r="G1008" s="37">
        <v>0</v>
      </c>
      <c r="H1008" s="37">
        <v>0</v>
      </c>
      <c r="I1008" s="37">
        <v>0</v>
      </c>
      <c r="J1008" s="37">
        <v>0</v>
      </c>
      <c r="K1008" s="37">
        <v>9641</v>
      </c>
      <c r="L1008" s="37">
        <v>2567</v>
      </c>
      <c r="M1008" s="37">
        <v>73914</v>
      </c>
      <c r="N1008" s="37">
        <v>19679</v>
      </c>
      <c r="O1008" s="37">
        <v>0</v>
      </c>
      <c r="P1008" s="37">
        <v>0</v>
      </c>
      <c r="Q1008" s="37">
        <v>63883</v>
      </c>
      <c r="R1008" s="37">
        <v>9350</v>
      </c>
      <c r="S1008" s="37">
        <v>0</v>
      </c>
      <c r="T1008" s="37">
        <v>0</v>
      </c>
      <c r="U1008" s="37">
        <v>0</v>
      </c>
      <c r="V1008" s="37">
        <v>38697</v>
      </c>
      <c r="W1008" s="37">
        <v>0</v>
      </c>
      <c r="X1008" s="37">
        <v>0</v>
      </c>
      <c r="Y1008" s="37">
        <v>0</v>
      </c>
      <c r="Z1008" s="37">
        <v>0</v>
      </c>
      <c r="AA1008" s="37">
        <v>63883</v>
      </c>
      <c r="AB1008" s="37">
        <v>48047</v>
      </c>
      <c r="AC1008" s="37">
        <v>18337</v>
      </c>
      <c r="AD1008" s="37">
        <v>0</v>
      </c>
      <c r="AE1008" s="37">
        <v>0</v>
      </c>
      <c r="AF1008" s="168">
        <v>0.02</v>
      </c>
      <c r="AG1008" s="37">
        <v>1854416.83</v>
      </c>
      <c r="AH1008" s="37">
        <v>10097.07</v>
      </c>
      <c r="AI1008" s="37">
        <v>10299.01</v>
      </c>
      <c r="AJ1008" s="37">
        <v>10504.99</v>
      </c>
      <c r="AK1008" s="37">
        <v>10715.09</v>
      </c>
      <c r="AL1008" s="37">
        <v>10929.4</v>
      </c>
      <c r="AM1008" s="37">
        <v>11147.98</v>
      </c>
      <c r="AN1008" s="37">
        <v>11370.94</v>
      </c>
      <c r="AO1008" s="37">
        <v>11598.36</v>
      </c>
      <c r="AP1008" s="37">
        <v>11830.33</v>
      </c>
      <c r="AQ1008" s="37">
        <v>12066.94</v>
      </c>
      <c r="AR1008" s="37">
        <v>110560.11000000002</v>
      </c>
      <c r="AS1008" s="37">
        <v>0</v>
      </c>
      <c r="AT1008" s="37">
        <v>0</v>
      </c>
      <c r="AU1008" s="37">
        <v>0</v>
      </c>
      <c r="AV1008" s="37">
        <v>0</v>
      </c>
      <c r="AW1008" s="37">
        <v>0</v>
      </c>
      <c r="AX1008" s="37">
        <v>0</v>
      </c>
      <c r="AY1008" s="37">
        <v>0</v>
      </c>
      <c r="AZ1008" s="37">
        <v>0</v>
      </c>
      <c r="BA1008" s="37">
        <v>0</v>
      </c>
      <c r="BB1008" s="37">
        <v>0</v>
      </c>
      <c r="BC1008" s="37">
        <v>0</v>
      </c>
      <c r="BD1008" s="37">
        <v>0</v>
      </c>
      <c r="BE1008" s="37">
        <v>0</v>
      </c>
      <c r="BF1008" s="37">
        <v>0</v>
      </c>
      <c r="BG1008" s="37">
        <v>0</v>
      </c>
      <c r="BH1008" s="37">
        <v>0</v>
      </c>
      <c r="BI1008" s="37">
        <v>0</v>
      </c>
      <c r="BJ1008" s="37">
        <v>0</v>
      </c>
      <c r="BK1008" s="37">
        <v>0</v>
      </c>
      <c r="BL1008" s="37">
        <v>0</v>
      </c>
      <c r="BM1008" s="37">
        <v>0</v>
      </c>
      <c r="BN1008" s="37">
        <v>0</v>
      </c>
      <c r="BO1008" s="37">
        <v>0</v>
      </c>
      <c r="BP1008" s="37">
        <v>0</v>
      </c>
      <c r="BQ1008" s="37">
        <v>0</v>
      </c>
      <c r="BR1008" s="37">
        <v>0</v>
      </c>
      <c r="BS1008" s="37">
        <v>0</v>
      </c>
      <c r="BT1008" s="37">
        <v>0</v>
      </c>
      <c r="BU1008" s="37">
        <v>0</v>
      </c>
      <c r="BV1008" s="37">
        <v>0</v>
      </c>
      <c r="BW1008" s="37">
        <v>0</v>
      </c>
      <c r="BX1008" s="37">
        <v>0</v>
      </c>
      <c r="BY1008" s="37">
        <v>0</v>
      </c>
      <c r="BZ1008" s="37">
        <v>0</v>
      </c>
      <c r="CA1008" s="37">
        <v>0</v>
      </c>
      <c r="CB1008" s="37">
        <v>0</v>
      </c>
      <c r="CC1008" s="37">
        <v>0</v>
      </c>
      <c r="CD1008" s="37">
        <v>0</v>
      </c>
      <c r="CE1008" s="37">
        <v>0</v>
      </c>
      <c r="CF1008" s="37">
        <v>0</v>
      </c>
      <c r="CG1008" s="37">
        <v>0</v>
      </c>
      <c r="CH1008" s="37">
        <v>0</v>
      </c>
      <c r="CI1008" s="37">
        <v>0</v>
      </c>
      <c r="CJ1008" s="37">
        <v>0</v>
      </c>
      <c r="CK1008" s="37">
        <v>0</v>
      </c>
      <c r="CL1008" s="37">
        <v>0</v>
      </c>
      <c r="CM1008" s="37">
        <v>0</v>
      </c>
      <c r="CN1008" s="37">
        <v>0</v>
      </c>
      <c r="CO1008" s="37">
        <v>0</v>
      </c>
      <c r="CP1008" s="37">
        <v>0</v>
      </c>
      <c r="CQ1008" s="37">
        <v>0</v>
      </c>
      <c r="CR1008" s="37">
        <v>0</v>
      </c>
      <c r="CS1008" s="37">
        <v>0</v>
      </c>
      <c r="CT1008" s="37">
        <v>0</v>
      </c>
      <c r="CU1008" s="37">
        <v>0</v>
      </c>
      <c r="CV1008" s="37">
        <v>0</v>
      </c>
      <c r="CW1008" s="37">
        <v>0</v>
      </c>
      <c r="CX1008" s="37">
        <v>0</v>
      </c>
      <c r="CY1008" s="37">
        <v>0</v>
      </c>
      <c r="CZ1008" s="37">
        <v>0</v>
      </c>
      <c r="DA1008" s="37">
        <v>0</v>
      </c>
      <c r="DB1008" s="37">
        <v>0</v>
      </c>
      <c r="DC1008" s="37">
        <v>0</v>
      </c>
      <c r="DD1008" s="37">
        <v>0</v>
      </c>
      <c r="DE1008" s="37">
        <v>0</v>
      </c>
      <c r="DF1008" s="37">
        <v>0</v>
      </c>
      <c r="DG1008" s="37">
        <v>0</v>
      </c>
      <c r="DH1008" s="37">
        <v>0</v>
      </c>
      <c r="DI1008" s="37">
        <v>0</v>
      </c>
      <c r="DJ1008" s="37">
        <v>0</v>
      </c>
      <c r="DK1008" s="37">
        <v>0</v>
      </c>
      <c r="DL1008" s="37">
        <v>0</v>
      </c>
      <c r="DM1008" s="37">
        <v>0</v>
      </c>
      <c r="DN1008" s="37">
        <v>0</v>
      </c>
      <c r="DO1008" s="37">
        <v>0</v>
      </c>
      <c r="DP1008" s="37">
        <v>0</v>
      </c>
      <c r="DQ1008" s="37">
        <v>0</v>
      </c>
      <c r="DR1008" s="37">
        <v>0</v>
      </c>
      <c r="DS1008" s="37">
        <v>0</v>
      </c>
      <c r="DT1008" s="37">
        <v>0</v>
      </c>
      <c r="DU1008" s="37">
        <v>0</v>
      </c>
      <c r="DV1008" s="37">
        <v>0</v>
      </c>
      <c r="DW1008" s="37">
        <v>0</v>
      </c>
      <c r="DX1008" s="37">
        <v>0</v>
      </c>
      <c r="DY1008" s="37">
        <v>0</v>
      </c>
      <c r="DZ1008" s="37">
        <v>0</v>
      </c>
      <c r="EA1008" s="37">
        <v>0</v>
      </c>
      <c r="EB1008" s="37">
        <v>0</v>
      </c>
      <c r="EC1008" s="37">
        <v>0</v>
      </c>
      <c r="ED1008" s="37">
        <v>0</v>
      </c>
      <c r="EE1008" s="37">
        <v>0</v>
      </c>
      <c r="EF1008" s="37">
        <v>0</v>
      </c>
      <c r="EG1008" s="37">
        <v>0</v>
      </c>
      <c r="EH1008" s="37">
        <v>0</v>
      </c>
      <c r="EI1008" s="37">
        <v>0</v>
      </c>
      <c r="EJ1008" s="37">
        <v>0</v>
      </c>
      <c r="EK1008" s="161" t="s">
        <v>3462</v>
      </c>
      <c r="EL1008" s="294" t="s">
        <v>1124</v>
      </c>
    </row>
    <row r="1009" spans="1:142" ht="15" customHeight="1" x14ac:dyDescent="0.35">
      <c r="A1009" s="34"/>
      <c r="B1009" s="313">
        <v>35027</v>
      </c>
      <c r="C1009" s="8" t="s">
        <v>307</v>
      </c>
      <c r="D1009" s="18">
        <v>4</v>
      </c>
      <c r="E1009" s="155">
        <v>407361</v>
      </c>
      <c r="F1009" s="36">
        <v>453925</v>
      </c>
      <c r="G1009" s="37">
        <v>88459</v>
      </c>
      <c r="H1009" s="37">
        <v>1440</v>
      </c>
      <c r="I1009" s="37">
        <v>473900</v>
      </c>
      <c r="J1009" s="37">
        <v>28000</v>
      </c>
      <c r="K1009" s="37">
        <v>61104.149999999994</v>
      </c>
      <c r="L1009" s="37">
        <v>68088.75</v>
      </c>
      <c r="M1009" s="37">
        <v>1030824.15</v>
      </c>
      <c r="N1009" s="37">
        <v>551453.75</v>
      </c>
      <c r="O1009" s="37">
        <v>0</v>
      </c>
      <c r="P1009" s="37">
        <v>0</v>
      </c>
      <c r="Q1009" s="37">
        <v>452957</v>
      </c>
      <c r="R1009" s="37">
        <v>413091</v>
      </c>
      <c r="S1009" s="37">
        <v>44389</v>
      </c>
      <c r="T1009" s="37">
        <v>0</v>
      </c>
      <c r="U1009" s="37">
        <v>57346</v>
      </c>
      <c r="V1009" s="37">
        <v>0</v>
      </c>
      <c r="W1009" s="37">
        <v>476132.15</v>
      </c>
      <c r="X1009" s="37">
        <v>138362.75</v>
      </c>
      <c r="Y1009" s="37">
        <v>0</v>
      </c>
      <c r="Z1009" s="37">
        <v>0</v>
      </c>
      <c r="AA1009" s="37">
        <v>1030824.15</v>
      </c>
      <c r="AB1009" s="37">
        <v>551453.75</v>
      </c>
      <c r="AC1009" s="37">
        <v>0</v>
      </c>
      <c r="AD1009" s="37">
        <v>0</v>
      </c>
      <c r="AE1009" s="37">
        <v>0</v>
      </c>
      <c r="AF1009" s="168">
        <v>0.02</v>
      </c>
      <c r="AG1009" s="37">
        <v>95605690.040000007</v>
      </c>
      <c r="AH1009" s="37">
        <v>786127.75</v>
      </c>
      <c r="AI1009" s="37">
        <v>801850.31</v>
      </c>
      <c r="AJ1009" s="37">
        <v>817887.32</v>
      </c>
      <c r="AK1009" s="37">
        <v>834245.06</v>
      </c>
      <c r="AL1009" s="37">
        <v>850929.96</v>
      </c>
      <c r="AM1009" s="37">
        <v>867948.56</v>
      </c>
      <c r="AN1009" s="37">
        <v>885307.53</v>
      </c>
      <c r="AO1009" s="37">
        <v>903013.68</v>
      </c>
      <c r="AP1009" s="37">
        <v>931435.41</v>
      </c>
      <c r="AQ1009" s="37">
        <v>947421.95</v>
      </c>
      <c r="AR1009" s="37">
        <v>8626167.5300000012</v>
      </c>
      <c r="AS1009" s="37">
        <v>2814323.62</v>
      </c>
      <c r="AT1009" s="37">
        <v>15763000.33</v>
      </c>
      <c r="AU1009" s="37">
        <v>11642268.139999999</v>
      </c>
      <c r="AV1009" s="37">
        <v>294421.55</v>
      </c>
      <c r="AW1009" s="37">
        <v>300309.98</v>
      </c>
      <c r="AX1009" s="37">
        <v>0</v>
      </c>
      <c r="AY1009" s="37">
        <v>0</v>
      </c>
      <c r="AZ1009" s="37">
        <v>0</v>
      </c>
      <c r="BA1009" s="37">
        <v>0</v>
      </c>
      <c r="BB1009" s="37">
        <v>0</v>
      </c>
      <c r="BC1009" s="37">
        <v>0</v>
      </c>
      <c r="BD1009" s="37">
        <v>28000000</v>
      </c>
      <c r="BE1009" s="37">
        <v>703686</v>
      </c>
      <c r="BF1009" s="37">
        <v>127313.10479711299</v>
      </c>
      <c r="BG1009" s="37">
        <v>137227.45917217163</v>
      </c>
      <c r="BH1009" s="37">
        <v>168933.07581689494</v>
      </c>
      <c r="BI1009" s="37">
        <v>200638.76021382061</v>
      </c>
      <c r="BJ1009" s="37">
        <v>21791.262269664567</v>
      </c>
      <c r="BK1009" s="37">
        <v>105521.84252744832</v>
      </c>
      <c r="BL1009" s="37">
        <v>137227.45917217163</v>
      </c>
      <c r="BM1009" s="37">
        <v>168933.07581689494</v>
      </c>
      <c r="BN1009" s="37">
        <v>200638.76021382061</v>
      </c>
      <c r="BO1009" s="37">
        <v>0</v>
      </c>
      <c r="BP1009" s="37">
        <v>1268224.8</v>
      </c>
      <c r="BQ1009" s="37">
        <v>0</v>
      </c>
      <c r="BR1009" s="37">
        <v>0</v>
      </c>
      <c r="BS1009" s="37">
        <v>0</v>
      </c>
      <c r="BT1009" s="37">
        <v>0</v>
      </c>
      <c r="BU1009" s="37">
        <v>0</v>
      </c>
      <c r="BV1009" s="37">
        <v>0</v>
      </c>
      <c r="BW1009" s="37">
        <v>0</v>
      </c>
      <c r="BX1009" s="37">
        <v>0</v>
      </c>
      <c r="BY1009" s="37">
        <v>0</v>
      </c>
      <c r="BZ1009" s="37">
        <v>0</v>
      </c>
      <c r="CA1009" s="37">
        <v>0</v>
      </c>
      <c r="CB1009" s="37">
        <v>0</v>
      </c>
      <c r="CC1009" s="37">
        <v>0</v>
      </c>
      <c r="CD1009" s="37">
        <v>0</v>
      </c>
      <c r="CE1009" s="37">
        <v>0</v>
      </c>
      <c r="CF1009" s="37">
        <v>0</v>
      </c>
      <c r="CG1009" s="37">
        <v>0</v>
      </c>
      <c r="CH1009" s="37">
        <v>0</v>
      </c>
      <c r="CI1009" s="37">
        <v>0</v>
      </c>
      <c r="CJ1009" s="37">
        <v>0</v>
      </c>
      <c r="CK1009" s="37">
        <v>0</v>
      </c>
      <c r="CL1009" s="37">
        <v>0</v>
      </c>
      <c r="CM1009" s="37">
        <v>0</v>
      </c>
      <c r="CN1009" s="37">
        <v>0</v>
      </c>
      <c r="CO1009" s="37">
        <v>0</v>
      </c>
      <c r="CP1009" s="37">
        <v>0</v>
      </c>
      <c r="CQ1009" s="37">
        <v>12739750</v>
      </c>
      <c r="CR1009" s="37">
        <v>0</v>
      </c>
      <c r="CS1009" s="37">
        <v>0</v>
      </c>
      <c r="CT1009" s="37">
        <v>0</v>
      </c>
      <c r="CU1009" s="37">
        <v>0</v>
      </c>
      <c r="CV1009" s="37">
        <v>0</v>
      </c>
      <c r="CW1009" s="37">
        <v>0</v>
      </c>
      <c r="CX1009" s="37">
        <v>0</v>
      </c>
      <c r="CY1009" s="37">
        <v>0</v>
      </c>
      <c r="CZ1009" s="37">
        <v>12739750</v>
      </c>
      <c r="DA1009" s="37">
        <v>0</v>
      </c>
      <c r="DB1009" s="37">
        <v>0</v>
      </c>
      <c r="DC1009" s="37">
        <v>8540000.0000000019</v>
      </c>
      <c r="DD1009" s="37">
        <v>6720249.9999999981</v>
      </c>
      <c r="DE1009" s="37">
        <v>0</v>
      </c>
      <c r="DF1009" s="37">
        <v>0</v>
      </c>
      <c r="DG1009" s="37">
        <v>0</v>
      </c>
      <c r="DH1009" s="37">
        <v>0</v>
      </c>
      <c r="DI1009" s="37">
        <v>0</v>
      </c>
      <c r="DJ1009" s="37">
        <v>0</v>
      </c>
      <c r="DK1009" s="37">
        <v>0</v>
      </c>
      <c r="DL1009" s="37">
        <v>15260250</v>
      </c>
      <c r="DM1009" s="37">
        <v>0</v>
      </c>
      <c r="DN1009" s="37">
        <v>0</v>
      </c>
      <c r="DO1009" s="37">
        <v>0</v>
      </c>
      <c r="DP1009" s="37">
        <v>0</v>
      </c>
      <c r="DQ1009" s="37">
        <v>0</v>
      </c>
      <c r="DR1009" s="37">
        <v>0</v>
      </c>
      <c r="DS1009" s="37">
        <v>0</v>
      </c>
      <c r="DT1009" s="37">
        <v>0</v>
      </c>
      <c r="DU1009" s="37">
        <v>0</v>
      </c>
      <c r="DV1009" s="37">
        <v>0</v>
      </c>
      <c r="DW1009" s="37">
        <v>0</v>
      </c>
      <c r="DX1009" s="37">
        <v>0</v>
      </c>
      <c r="DY1009" s="37">
        <v>0</v>
      </c>
      <c r="DZ1009" s="37">
        <v>0</v>
      </c>
      <c r="EA1009" s="37">
        <v>0</v>
      </c>
      <c r="EB1009" s="37">
        <v>0</v>
      </c>
      <c r="EC1009" s="37">
        <v>0</v>
      </c>
      <c r="ED1009" s="37">
        <v>0</v>
      </c>
      <c r="EE1009" s="37">
        <v>0</v>
      </c>
      <c r="EF1009" s="37">
        <v>0</v>
      </c>
      <c r="EG1009" s="37">
        <v>0</v>
      </c>
      <c r="EH1009" s="37">
        <v>0</v>
      </c>
      <c r="EI1009" s="37">
        <v>0</v>
      </c>
      <c r="EJ1009" s="37">
        <v>0</v>
      </c>
      <c r="EK1009" s="161" t="s">
        <v>3466</v>
      </c>
      <c r="EL1009" s="294" t="s">
        <v>1124</v>
      </c>
    </row>
    <row r="1010" spans="1:142" ht="15" customHeight="1" x14ac:dyDescent="0.35">
      <c r="A1010" s="34"/>
      <c r="B1010" s="313">
        <v>21005</v>
      </c>
      <c r="C1010" s="8" t="s">
        <v>144</v>
      </c>
      <c r="D1010" s="18">
        <v>3</v>
      </c>
      <c r="E1010" s="155">
        <v>24680</v>
      </c>
      <c r="F1010" s="36">
        <v>82125</v>
      </c>
      <c r="G1010" s="37">
        <v>5231</v>
      </c>
      <c r="H1010" s="37">
        <v>5942</v>
      </c>
      <c r="I1010" s="37">
        <v>32797</v>
      </c>
      <c r="J1010" s="37">
        <v>69336</v>
      </c>
      <c r="K1010" s="37">
        <v>3702</v>
      </c>
      <c r="L1010" s="37">
        <v>12319</v>
      </c>
      <c r="M1010" s="37">
        <v>66410</v>
      </c>
      <c r="N1010" s="37">
        <v>169722</v>
      </c>
      <c r="O1010" s="37">
        <v>0</v>
      </c>
      <c r="P1010" s="37">
        <v>0</v>
      </c>
      <c r="Q1010" s="37">
        <v>28818</v>
      </c>
      <c r="R1010" s="37">
        <v>91012</v>
      </c>
      <c r="S1010" s="37">
        <v>1038</v>
      </c>
      <c r="T1010" s="37">
        <v>0</v>
      </c>
      <c r="U1010" s="37">
        <v>2839</v>
      </c>
      <c r="V1010" s="37">
        <v>0</v>
      </c>
      <c r="W1010" s="37">
        <v>33715</v>
      </c>
      <c r="X1010" s="37">
        <v>78710</v>
      </c>
      <c r="Y1010" s="37">
        <v>0</v>
      </c>
      <c r="Z1010" s="37">
        <v>0</v>
      </c>
      <c r="AA1010" s="37">
        <v>66410</v>
      </c>
      <c r="AB1010" s="37">
        <v>169722</v>
      </c>
      <c r="AC1010" s="37">
        <v>0</v>
      </c>
      <c r="AD1010" s="37">
        <v>0</v>
      </c>
      <c r="AE1010" s="37">
        <v>0</v>
      </c>
      <c r="AF1010" s="168">
        <v>0.02</v>
      </c>
      <c r="AG1010" s="37">
        <v>15419966.029999999</v>
      </c>
      <c r="AH1010" s="37">
        <v>126863.77</v>
      </c>
      <c r="AI1010" s="37">
        <v>134707.09</v>
      </c>
      <c r="AJ1010" s="37">
        <v>138483.66</v>
      </c>
      <c r="AK1010" s="37">
        <v>140149.25</v>
      </c>
      <c r="AL1010" s="37">
        <v>140699.91</v>
      </c>
      <c r="AM1010" s="37">
        <v>137770.48000000001</v>
      </c>
      <c r="AN1010" s="37">
        <v>140525.89000000001</v>
      </c>
      <c r="AO1010" s="37">
        <v>143336.41</v>
      </c>
      <c r="AP1010" s="37">
        <v>146203.14000000001</v>
      </c>
      <c r="AQ1010" s="37">
        <v>149127.20000000001</v>
      </c>
      <c r="AR1010" s="37">
        <v>1397866.8</v>
      </c>
      <c r="AS1010" s="37">
        <v>0</v>
      </c>
      <c r="AT1010" s="37">
        <v>0</v>
      </c>
      <c r="AU1010" s="37">
        <v>0</v>
      </c>
      <c r="AV1010" s="37">
        <v>0</v>
      </c>
      <c r="AW1010" s="37">
        <v>0</v>
      </c>
      <c r="AX1010" s="37">
        <v>0</v>
      </c>
      <c r="AY1010" s="37">
        <v>0</v>
      </c>
      <c r="AZ1010" s="37">
        <v>0</v>
      </c>
      <c r="BA1010" s="37">
        <v>0</v>
      </c>
      <c r="BB1010" s="37">
        <v>0</v>
      </c>
      <c r="BC1010" s="37">
        <v>0</v>
      </c>
      <c r="BD1010" s="37">
        <v>0</v>
      </c>
      <c r="BE1010" s="37">
        <v>0</v>
      </c>
      <c r="BF1010" s="37">
        <v>27233</v>
      </c>
      <c r="BG1010" s="37">
        <v>0</v>
      </c>
      <c r="BH1010" s="37">
        <v>0</v>
      </c>
      <c r="BI1010" s="37">
        <v>0</v>
      </c>
      <c r="BJ1010" s="37">
        <v>0</v>
      </c>
      <c r="BK1010" s="37">
        <v>0</v>
      </c>
      <c r="BL1010" s="37">
        <v>0</v>
      </c>
      <c r="BM1010" s="37">
        <v>0</v>
      </c>
      <c r="BN1010" s="37">
        <v>0</v>
      </c>
      <c r="BO1010" s="37">
        <v>0</v>
      </c>
      <c r="BP1010" s="37">
        <v>27233</v>
      </c>
      <c r="BQ1010" s="37">
        <v>0</v>
      </c>
      <c r="BR1010" s="37">
        <v>0</v>
      </c>
      <c r="BS1010" s="37">
        <v>0</v>
      </c>
      <c r="BT1010" s="37">
        <v>0</v>
      </c>
      <c r="BU1010" s="37">
        <v>0</v>
      </c>
      <c r="BV1010" s="37">
        <v>0</v>
      </c>
      <c r="BW1010" s="37">
        <v>0</v>
      </c>
      <c r="BX1010" s="37">
        <v>0</v>
      </c>
      <c r="BY1010" s="37">
        <v>0</v>
      </c>
      <c r="BZ1010" s="37">
        <v>0</v>
      </c>
      <c r="CA1010" s="37">
        <v>0</v>
      </c>
      <c r="CB1010" s="37">
        <v>0</v>
      </c>
      <c r="CC1010" s="37">
        <v>0</v>
      </c>
      <c r="CD1010" s="37">
        <v>0</v>
      </c>
      <c r="CE1010" s="37">
        <v>0</v>
      </c>
      <c r="CF1010" s="37">
        <v>0</v>
      </c>
      <c r="CG1010" s="37">
        <v>0</v>
      </c>
      <c r="CH1010" s="37">
        <v>0</v>
      </c>
      <c r="CI1010" s="37">
        <v>0</v>
      </c>
      <c r="CJ1010" s="37">
        <v>0</v>
      </c>
      <c r="CK1010" s="37">
        <v>0</v>
      </c>
      <c r="CL1010" s="37">
        <v>0</v>
      </c>
      <c r="CM1010" s="37">
        <v>0</v>
      </c>
      <c r="CN1010" s="37">
        <v>0</v>
      </c>
      <c r="CO1010" s="37">
        <v>0</v>
      </c>
      <c r="CP1010" s="37">
        <v>0</v>
      </c>
      <c r="CQ1010" s="37">
        <v>0</v>
      </c>
      <c r="CR1010" s="37">
        <v>0</v>
      </c>
      <c r="CS1010" s="37">
        <v>0</v>
      </c>
      <c r="CT1010" s="37">
        <v>0</v>
      </c>
      <c r="CU1010" s="37">
        <v>0</v>
      </c>
      <c r="CV1010" s="37">
        <v>0</v>
      </c>
      <c r="CW1010" s="37">
        <v>0</v>
      </c>
      <c r="CX1010" s="37">
        <v>0</v>
      </c>
      <c r="CY1010" s="37">
        <v>0</v>
      </c>
      <c r="CZ1010" s="37">
        <v>0</v>
      </c>
      <c r="DA1010" s="37">
        <v>0</v>
      </c>
      <c r="DB1010" s="37">
        <v>0</v>
      </c>
      <c r="DC1010" s="37">
        <v>0</v>
      </c>
      <c r="DD1010" s="37">
        <v>0</v>
      </c>
      <c r="DE1010" s="37">
        <v>0</v>
      </c>
      <c r="DF1010" s="37">
        <v>0</v>
      </c>
      <c r="DG1010" s="37">
        <v>0</v>
      </c>
      <c r="DH1010" s="37">
        <v>0</v>
      </c>
      <c r="DI1010" s="37">
        <v>0</v>
      </c>
      <c r="DJ1010" s="37">
        <v>0</v>
      </c>
      <c r="DK1010" s="37">
        <v>0</v>
      </c>
      <c r="DL1010" s="37">
        <v>0</v>
      </c>
      <c r="DM1010" s="37">
        <v>0</v>
      </c>
      <c r="DN1010" s="37">
        <v>0</v>
      </c>
      <c r="DO1010" s="37">
        <v>0</v>
      </c>
      <c r="DP1010" s="37">
        <v>0</v>
      </c>
      <c r="DQ1010" s="37">
        <v>0</v>
      </c>
      <c r="DR1010" s="37">
        <v>0</v>
      </c>
      <c r="DS1010" s="37">
        <v>0</v>
      </c>
      <c r="DT1010" s="37">
        <v>0</v>
      </c>
      <c r="DU1010" s="37">
        <v>0</v>
      </c>
      <c r="DV1010" s="37">
        <v>0</v>
      </c>
      <c r="DW1010" s="37">
        <v>0</v>
      </c>
      <c r="DX1010" s="37">
        <v>0</v>
      </c>
      <c r="DY1010" s="37">
        <v>0</v>
      </c>
      <c r="DZ1010" s="37">
        <v>0</v>
      </c>
      <c r="EA1010" s="37">
        <v>0</v>
      </c>
      <c r="EB1010" s="37">
        <v>0</v>
      </c>
      <c r="EC1010" s="37">
        <v>0</v>
      </c>
      <c r="ED1010" s="37">
        <v>0</v>
      </c>
      <c r="EE1010" s="37">
        <v>0</v>
      </c>
      <c r="EF1010" s="37">
        <v>0</v>
      </c>
      <c r="EG1010" s="37">
        <v>0</v>
      </c>
      <c r="EH1010" s="37">
        <v>0</v>
      </c>
      <c r="EI1010" s="37">
        <v>0</v>
      </c>
      <c r="EJ1010" s="37">
        <v>0</v>
      </c>
      <c r="EK1010" s="161" t="s">
        <v>2251</v>
      </c>
      <c r="EL1010" s="294" t="s">
        <v>1124</v>
      </c>
    </row>
    <row r="1011" spans="1:142" ht="15" customHeight="1" x14ac:dyDescent="0.35">
      <c r="A1011" s="34"/>
      <c r="B1011" s="313">
        <v>34090</v>
      </c>
      <c r="C1011" s="8" t="s">
        <v>296</v>
      </c>
      <c r="D1011" s="18">
        <v>3</v>
      </c>
      <c r="E1011" s="155"/>
      <c r="F1011" s="36"/>
      <c r="G1011" s="37"/>
      <c r="H1011" s="37"/>
      <c r="I1011" s="37"/>
      <c r="J1011" s="37"/>
      <c r="K1011" s="37"/>
      <c r="L1011" s="37"/>
      <c r="M1011" s="37" t="s">
        <v>1124</v>
      </c>
      <c r="N1011" s="37" t="s">
        <v>1124</v>
      </c>
      <c r="O1011" s="37"/>
      <c r="P1011" s="37"/>
      <c r="Q1011" s="37"/>
      <c r="R1011" s="37"/>
      <c r="S1011" s="37"/>
      <c r="T1011" s="37"/>
      <c r="U1011" s="37"/>
      <c r="V1011" s="37"/>
      <c r="W1011" s="37"/>
      <c r="X1011" s="37"/>
      <c r="Y1011" s="37"/>
      <c r="Z1011" s="37"/>
      <c r="AA1011" s="37" t="s">
        <v>1124</v>
      </c>
      <c r="AB1011" s="37" t="s">
        <v>1124</v>
      </c>
      <c r="AC1011" s="37"/>
      <c r="AD1011" s="37"/>
      <c r="AE1011" s="37"/>
      <c r="AF1011" s="168"/>
      <c r="AG1011" s="37"/>
      <c r="AH1011" s="37"/>
      <c r="AI1011" s="37"/>
      <c r="AJ1011" s="37"/>
      <c r="AK1011" s="37"/>
      <c r="AL1011" s="37"/>
      <c r="AM1011" s="37"/>
      <c r="AN1011" s="37"/>
      <c r="AO1011" s="37"/>
      <c r="AP1011" s="37"/>
      <c r="AQ1011" s="37"/>
      <c r="AR1011" s="37" t="s">
        <v>1124</v>
      </c>
      <c r="AS1011" s="37"/>
      <c r="AT1011" s="37"/>
      <c r="AU1011" s="37"/>
      <c r="AV1011" s="37"/>
      <c r="AW1011" s="37"/>
      <c r="AX1011" s="37"/>
      <c r="AY1011" s="37"/>
      <c r="AZ1011" s="37"/>
      <c r="BA1011" s="37"/>
      <c r="BB1011" s="37"/>
      <c r="BC1011" s="37"/>
      <c r="BD1011" s="37" t="s">
        <v>1124</v>
      </c>
      <c r="BE1011" s="37"/>
      <c r="BF1011" s="37"/>
      <c r="BG1011" s="37"/>
      <c r="BH1011" s="37"/>
      <c r="BI1011" s="37"/>
      <c r="BJ1011" s="37"/>
      <c r="BK1011" s="37"/>
      <c r="BL1011" s="37"/>
      <c r="BM1011" s="37"/>
      <c r="BN1011" s="37"/>
      <c r="BO1011" s="37"/>
      <c r="BP1011" s="37">
        <v>0</v>
      </c>
      <c r="BQ1011" s="37"/>
      <c r="BR1011" s="37"/>
      <c r="BS1011" s="37"/>
      <c r="BT1011" s="37"/>
      <c r="BU1011" s="37"/>
      <c r="BV1011" s="37"/>
      <c r="BW1011" s="37"/>
      <c r="BX1011" s="37"/>
      <c r="BY1011" s="37"/>
      <c r="BZ1011" s="37"/>
      <c r="CA1011" s="37"/>
      <c r="CB1011" s="37" t="s">
        <v>1124</v>
      </c>
      <c r="CC1011" s="37"/>
      <c r="CD1011" s="37"/>
      <c r="CE1011" s="37"/>
      <c r="CF1011" s="37"/>
      <c r="CG1011" s="37"/>
      <c r="CH1011" s="37"/>
      <c r="CI1011" s="37"/>
      <c r="CJ1011" s="37"/>
      <c r="CK1011" s="37"/>
      <c r="CL1011" s="37"/>
      <c r="CM1011" s="37"/>
      <c r="CN1011" s="37" t="s">
        <v>1124</v>
      </c>
      <c r="CO1011" s="37"/>
      <c r="CP1011" s="37"/>
      <c r="CQ1011" s="37"/>
      <c r="CR1011" s="37"/>
      <c r="CS1011" s="37"/>
      <c r="CT1011" s="37"/>
      <c r="CU1011" s="37"/>
      <c r="CV1011" s="37"/>
      <c r="CW1011" s="37"/>
      <c r="CX1011" s="37"/>
      <c r="CY1011" s="37"/>
      <c r="CZ1011" s="37" t="s">
        <v>1124</v>
      </c>
      <c r="DA1011" s="37"/>
      <c r="DB1011" s="37"/>
      <c r="DC1011" s="37"/>
      <c r="DD1011" s="37"/>
      <c r="DE1011" s="37"/>
      <c r="DF1011" s="37"/>
      <c r="DG1011" s="37"/>
      <c r="DH1011" s="37"/>
      <c r="DI1011" s="37"/>
      <c r="DJ1011" s="37"/>
      <c r="DK1011" s="37"/>
      <c r="DL1011" s="37" t="s">
        <v>1124</v>
      </c>
      <c r="DM1011" s="37"/>
      <c r="DN1011" s="37"/>
      <c r="DO1011" s="37"/>
      <c r="DP1011" s="37"/>
      <c r="DQ1011" s="37"/>
      <c r="DR1011" s="37"/>
      <c r="DS1011" s="37"/>
      <c r="DT1011" s="37"/>
      <c r="DU1011" s="37"/>
      <c r="DV1011" s="37"/>
      <c r="DW1011" s="37"/>
      <c r="DX1011" s="37" t="s">
        <v>1124</v>
      </c>
      <c r="DY1011" s="37"/>
      <c r="DZ1011" s="37"/>
      <c r="EA1011" s="37"/>
      <c r="EB1011" s="37"/>
      <c r="EC1011" s="37"/>
      <c r="ED1011" s="37"/>
      <c r="EE1011" s="37"/>
      <c r="EF1011" s="37"/>
      <c r="EG1011" s="37"/>
      <c r="EH1011" s="37"/>
      <c r="EI1011" s="37"/>
      <c r="EJ1011" s="37" t="s">
        <v>1124</v>
      </c>
      <c r="EK1011" s="161"/>
      <c r="EL1011" s="294"/>
    </row>
    <row r="1012" spans="1:142" ht="15" customHeight="1" x14ac:dyDescent="0.35">
      <c r="A1012" s="34"/>
      <c r="B1012" s="313">
        <v>8073</v>
      </c>
      <c r="C1012" s="8" t="s">
        <v>1095</v>
      </c>
      <c r="D1012" s="18">
        <v>1</v>
      </c>
      <c r="E1012" s="155">
        <v>34435</v>
      </c>
      <c r="F1012" s="36">
        <v>41289</v>
      </c>
      <c r="G1012" s="37">
        <v>0</v>
      </c>
      <c r="H1012" s="37">
        <v>3878</v>
      </c>
      <c r="I1012" s="37">
        <v>0</v>
      </c>
      <c r="J1012" s="37">
        <v>22160</v>
      </c>
      <c r="K1012" s="37">
        <v>5165.25</v>
      </c>
      <c r="L1012" s="37">
        <v>6193.3499999999995</v>
      </c>
      <c r="M1012" s="37">
        <v>39600.25</v>
      </c>
      <c r="N1012" s="37">
        <v>73520.350000000006</v>
      </c>
      <c r="O1012" s="37">
        <v>0</v>
      </c>
      <c r="P1012" s="37">
        <v>0</v>
      </c>
      <c r="Q1012" s="37">
        <v>140865</v>
      </c>
      <c r="R1012" s="37">
        <v>23444</v>
      </c>
      <c r="S1012" s="37">
        <v>0</v>
      </c>
      <c r="T1012" s="37">
        <v>0</v>
      </c>
      <c r="U1012" s="37">
        <v>0</v>
      </c>
      <c r="V1012" s="37">
        <v>0</v>
      </c>
      <c r="W1012" s="37">
        <v>0</v>
      </c>
      <c r="X1012" s="37">
        <v>0</v>
      </c>
      <c r="Y1012" s="37">
        <v>0</v>
      </c>
      <c r="Z1012" s="37">
        <v>0</v>
      </c>
      <c r="AA1012" s="37">
        <v>140865</v>
      </c>
      <c r="AB1012" s="37">
        <v>23444</v>
      </c>
      <c r="AC1012" s="37">
        <v>51188</v>
      </c>
      <c r="AD1012" s="37">
        <v>0</v>
      </c>
      <c r="AE1012" s="37">
        <v>0</v>
      </c>
      <c r="AF1012" s="168">
        <v>0.02</v>
      </c>
      <c r="AG1012" s="37">
        <v>21666596.59</v>
      </c>
      <c r="AH1012" s="37">
        <v>220947.69</v>
      </c>
      <c r="AI1012" s="37">
        <v>212881.85</v>
      </c>
      <c r="AJ1012" s="37">
        <v>217139.48</v>
      </c>
      <c r="AK1012" s="37">
        <v>221482.27</v>
      </c>
      <c r="AL1012" s="37">
        <v>225911.92</v>
      </c>
      <c r="AM1012" s="37">
        <v>230430.16</v>
      </c>
      <c r="AN1012" s="37">
        <v>235038.76</v>
      </c>
      <c r="AO1012" s="37">
        <v>239739.54</v>
      </c>
      <c r="AP1012" s="37">
        <v>244534.33</v>
      </c>
      <c r="AQ1012" s="37">
        <v>249425.01</v>
      </c>
      <c r="AR1012" s="37">
        <v>2297531.0100000002</v>
      </c>
      <c r="AS1012" s="37">
        <v>629962.19999999995</v>
      </c>
      <c r="AT1012" s="37">
        <v>449310</v>
      </c>
      <c r="AU1012" s="37">
        <v>2757060</v>
      </c>
      <c r="AV1012" s="37">
        <v>2812201.2</v>
      </c>
      <c r="AW1012" s="37">
        <v>0</v>
      </c>
      <c r="AX1012" s="37">
        <v>0</v>
      </c>
      <c r="AY1012" s="37">
        <v>0</v>
      </c>
      <c r="AZ1012" s="37">
        <v>0</v>
      </c>
      <c r="BA1012" s="37">
        <v>0</v>
      </c>
      <c r="BB1012" s="37">
        <v>0</v>
      </c>
      <c r="BC1012" s="37">
        <v>0</v>
      </c>
      <c r="BD1012" s="37">
        <v>6018571.2000000002</v>
      </c>
      <c r="BE1012" s="37">
        <v>382107</v>
      </c>
      <c r="BF1012" s="37">
        <v>0</v>
      </c>
      <c r="BG1012" s="37">
        <v>70000</v>
      </c>
      <c r="BH1012" s="37">
        <v>0</v>
      </c>
      <c r="BI1012" s="37">
        <v>0</v>
      </c>
      <c r="BJ1012" s="37">
        <v>0</v>
      </c>
      <c r="BK1012" s="37">
        <v>0</v>
      </c>
      <c r="BL1012" s="37">
        <v>0</v>
      </c>
      <c r="BM1012" s="37">
        <v>0</v>
      </c>
      <c r="BN1012" s="37">
        <v>0</v>
      </c>
      <c r="BO1012" s="37">
        <v>0</v>
      </c>
      <c r="BP1012" s="37">
        <v>70000</v>
      </c>
      <c r="BQ1012" s="37">
        <v>0</v>
      </c>
      <c r="BR1012" s="37">
        <v>0</v>
      </c>
      <c r="BS1012" s="37">
        <v>0</v>
      </c>
      <c r="BT1012" s="37">
        <v>0</v>
      </c>
      <c r="BU1012" s="37">
        <v>0</v>
      </c>
      <c r="BV1012" s="37">
        <v>0</v>
      </c>
      <c r="BW1012" s="37">
        <v>0</v>
      </c>
      <c r="BX1012" s="37">
        <v>0</v>
      </c>
      <c r="BY1012" s="37">
        <v>0</v>
      </c>
      <c r="BZ1012" s="37">
        <v>0</v>
      </c>
      <c r="CA1012" s="37">
        <v>0</v>
      </c>
      <c r="CB1012" s="37">
        <v>0</v>
      </c>
      <c r="CC1012" s="37">
        <v>0</v>
      </c>
      <c r="CD1012" s="37">
        <v>12000</v>
      </c>
      <c r="CE1012" s="37">
        <v>0</v>
      </c>
      <c r="CF1012" s="37">
        <v>0</v>
      </c>
      <c r="CG1012" s="37">
        <v>0</v>
      </c>
      <c r="CH1012" s="37">
        <v>0</v>
      </c>
      <c r="CI1012" s="37">
        <v>0</v>
      </c>
      <c r="CJ1012" s="37">
        <v>0</v>
      </c>
      <c r="CK1012" s="37">
        <v>0</v>
      </c>
      <c r="CL1012" s="37">
        <v>0</v>
      </c>
      <c r="CM1012" s="37">
        <v>0</v>
      </c>
      <c r="CN1012" s="37">
        <v>12000</v>
      </c>
      <c r="CO1012" s="37">
        <v>0</v>
      </c>
      <c r="CP1012" s="37">
        <v>0</v>
      </c>
      <c r="CQ1012" s="37">
        <v>0</v>
      </c>
      <c r="CR1012" s="37">
        <v>0</v>
      </c>
      <c r="CS1012" s="37">
        <v>0</v>
      </c>
      <c r="CT1012" s="37">
        <v>0</v>
      </c>
      <c r="CU1012" s="37">
        <v>0</v>
      </c>
      <c r="CV1012" s="37">
        <v>0</v>
      </c>
      <c r="CW1012" s="37">
        <v>0</v>
      </c>
      <c r="CX1012" s="37">
        <v>0</v>
      </c>
      <c r="CY1012" s="37">
        <v>0</v>
      </c>
      <c r="CZ1012" s="37">
        <v>0</v>
      </c>
      <c r="DA1012" s="37">
        <v>0</v>
      </c>
      <c r="DB1012" s="37">
        <v>440500</v>
      </c>
      <c r="DC1012" s="37">
        <v>2500000</v>
      </c>
      <c r="DD1012" s="37">
        <v>2500000</v>
      </c>
      <c r="DE1012" s="37">
        <v>0</v>
      </c>
      <c r="DF1012" s="37">
        <v>0</v>
      </c>
      <c r="DG1012" s="37">
        <v>0</v>
      </c>
      <c r="DH1012" s="37">
        <v>0</v>
      </c>
      <c r="DI1012" s="37">
        <v>0</v>
      </c>
      <c r="DJ1012" s="37">
        <v>0</v>
      </c>
      <c r="DK1012" s="37">
        <v>0</v>
      </c>
      <c r="DL1012" s="37">
        <v>5440500</v>
      </c>
      <c r="DM1012" s="37">
        <v>0</v>
      </c>
      <c r="DN1012" s="37">
        <v>0</v>
      </c>
      <c r="DO1012" s="37">
        <v>0</v>
      </c>
      <c r="DP1012" s="37">
        <v>0</v>
      </c>
      <c r="DQ1012" s="37">
        <v>0</v>
      </c>
      <c r="DR1012" s="37">
        <v>0</v>
      </c>
      <c r="DS1012" s="37">
        <v>0</v>
      </c>
      <c r="DT1012" s="37">
        <v>0</v>
      </c>
      <c r="DU1012" s="37">
        <v>0</v>
      </c>
      <c r="DV1012" s="37">
        <v>0</v>
      </c>
      <c r="DW1012" s="37">
        <v>0</v>
      </c>
      <c r="DX1012" s="37">
        <v>0</v>
      </c>
      <c r="DY1012" s="37">
        <v>0</v>
      </c>
      <c r="DZ1012" s="37">
        <v>0</v>
      </c>
      <c r="EA1012" s="37">
        <v>0</v>
      </c>
      <c r="EB1012" s="37">
        <v>0</v>
      </c>
      <c r="EC1012" s="37">
        <v>0</v>
      </c>
      <c r="ED1012" s="37">
        <v>0</v>
      </c>
      <c r="EE1012" s="37">
        <v>0</v>
      </c>
      <c r="EF1012" s="37">
        <v>0</v>
      </c>
      <c r="EG1012" s="37">
        <v>0</v>
      </c>
      <c r="EH1012" s="37">
        <v>0</v>
      </c>
      <c r="EI1012" s="37">
        <v>0</v>
      </c>
      <c r="EJ1012" s="37">
        <v>0</v>
      </c>
      <c r="EK1012" s="161" t="s">
        <v>3472</v>
      </c>
      <c r="EL1012" s="294" t="s">
        <v>1124</v>
      </c>
    </row>
    <row r="1013" spans="1:142" ht="15" customHeight="1" x14ac:dyDescent="0.35">
      <c r="A1013" s="34"/>
      <c r="B1013" s="313">
        <v>16055</v>
      </c>
      <c r="C1013" s="8" t="s">
        <v>89</v>
      </c>
      <c r="D1013" s="18">
        <v>3</v>
      </c>
      <c r="E1013" s="155">
        <v>96874</v>
      </c>
      <c r="F1013" s="36">
        <v>55768</v>
      </c>
      <c r="G1013" s="37">
        <v>72377</v>
      </c>
      <c r="H1013" s="37">
        <v>8502</v>
      </c>
      <c r="I1013" s="37">
        <v>57808</v>
      </c>
      <c r="J1013" s="37">
        <v>7434</v>
      </c>
      <c r="K1013" s="37">
        <v>14531</v>
      </c>
      <c r="L1013" s="37">
        <v>8365</v>
      </c>
      <c r="M1013" s="37">
        <v>241590</v>
      </c>
      <c r="N1013" s="37">
        <v>80069</v>
      </c>
      <c r="O1013" s="37">
        <v>0</v>
      </c>
      <c r="P1013" s="37">
        <v>0</v>
      </c>
      <c r="Q1013" s="37">
        <v>82575</v>
      </c>
      <c r="R1013" s="37">
        <v>75400</v>
      </c>
      <c r="S1013" s="37">
        <v>23308</v>
      </c>
      <c r="T1013" s="37">
        <v>1130</v>
      </c>
      <c r="U1013" s="37">
        <v>24934</v>
      </c>
      <c r="V1013" s="37">
        <v>4248</v>
      </c>
      <c r="W1013" s="37">
        <v>55032</v>
      </c>
      <c r="X1013" s="37">
        <v>55032</v>
      </c>
      <c r="Y1013" s="37">
        <v>0</v>
      </c>
      <c r="Z1013" s="37">
        <v>0</v>
      </c>
      <c r="AA1013" s="37">
        <v>185849</v>
      </c>
      <c r="AB1013" s="37">
        <v>135810</v>
      </c>
      <c r="AC1013" s="37">
        <v>0</v>
      </c>
      <c r="AD1013" s="37">
        <v>0</v>
      </c>
      <c r="AE1013" s="37">
        <v>0</v>
      </c>
      <c r="AF1013" s="168">
        <v>0.02</v>
      </c>
      <c r="AG1013" s="37">
        <v>13333762.76</v>
      </c>
      <c r="AH1013" s="37">
        <v>302046.95</v>
      </c>
      <c r="AI1013" s="37">
        <v>64010.05</v>
      </c>
      <c r="AJ1013" s="37">
        <v>65290.25</v>
      </c>
      <c r="AK1013" s="37">
        <v>66596.06</v>
      </c>
      <c r="AL1013" s="37">
        <v>67927.98</v>
      </c>
      <c r="AM1013" s="37">
        <v>69286.539999999994</v>
      </c>
      <c r="AN1013" s="37">
        <v>70672.27</v>
      </c>
      <c r="AO1013" s="37">
        <v>72085.710000000006</v>
      </c>
      <c r="AP1013" s="37">
        <v>73527.429999999993</v>
      </c>
      <c r="AQ1013" s="37">
        <v>74997.98</v>
      </c>
      <c r="AR1013" s="37">
        <v>926441.22</v>
      </c>
      <c r="AS1013" s="37">
        <v>2046579</v>
      </c>
      <c r="AT1013" s="37">
        <v>10404</v>
      </c>
      <c r="AU1013" s="37">
        <v>327726</v>
      </c>
      <c r="AV1013" s="37">
        <v>0</v>
      </c>
      <c r="AW1013" s="37">
        <v>1298918.5900000001</v>
      </c>
      <c r="AX1013" s="37">
        <v>941780.93</v>
      </c>
      <c r="AY1013" s="37">
        <v>0</v>
      </c>
      <c r="AZ1013" s="37">
        <v>0</v>
      </c>
      <c r="BA1013" s="37">
        <v>0</v>
      </c>
      <c r="BB1013" s="37">
        <v>0</v>
      </c>
      <c r="BC1013" s="37">
        <v>0</v>
      </c>
      <c r="BD1013" s="37">
        <v>2578829.52</v>
      </c>
      <c r="BE1013" s="37">
        <v>56716</v>
      </c>
      <c r="BF1013" s="37">
        <v>0</v>
      </c>
      <c r="BG1013" s="37">
        <v>655000</v>
      </c>
      <c r="BH1013" s="37">
        <v>0</v>
      </c>
      <c r="BI1013" s="37">
        <v>0</v>
      </c>
      <c r="BJ1013" s="37">
        <v>0</v>
      </c>
      <c r="BK1013" s="37">
        <v>0</v>
      </c>
      <c r="BL1013" s="37">
        <v>0</v>
      </c>
      <c r="BM1013" s="37">
        <v>0</v>
      </c>
      <c r="BN1013" s="37">
        <v>0</v>
      </c>
      <c r="BO1013" s="37">
        <v>0</v>
      </c>
      <c r="BP1013" s="37">
        <v>655000</v>
      </c>
      <c r="BQ1013" s="37">
        <v>11617</v>
      </c>
      <c r="BR1013" s="37">
        <v>0</v>
      </c>
      <c r="BS1013" s="37">
        <v>0</v>
      </c>
      <c r="BT1013" s="37">
        <v>810000</v>
      </c>
      <c r="BU1013" s="37">
        <v>0</v>
      </c>
      <c r="BV1013" s="37">
        <v>0</v>
      </c>
      <c r="BW1013" s="37">
        <v>0</v>
      </c>
      <c r="BX1013" s="37">
        <v>0</v>
      </c>
      <c r="BY1013" s="37">
        <v>0</v>
      </c>
      <c r="BZ1013" s="37">
        <v>0</v>
      </c>
      <c r="CA1013" s="37">
        <v>0</v>
      </c>
      <c r="CB1013" s="37">
        <v>810000</v>
      </c>
      <c r="CC1013" s="37">
        <v>0</v>
      </c>
      <c r="CD1013" s="37">
        <v>0</v>
      </c>
      <c r="CE1013" s="37">
        <v>0</v>
      </c>
      <c r="CF1013" s="37">
        <v>0</v>
      </c>
      <c r="CG1013" s="37">
        <v>0</v>
      </c>
      <c r="CH1013" s="37">
        <v>0</v>
      </c>
      <c r="CI1013" s="37">
        <v>0</v>
      </c>
      <c r="CJ1013" s="37">
        <v>0</v>
      </c>
      <c r="CK1013" s="37">
        <v>0</v>
      </c>
      <c r="CL1013" s="37">
        <v>0</v>
      </c>
      <c r="CM1013" s="37">
        <v>0</v>
      </c>
      <c r="CN1013" s="37">
        <v>0</v>
      </c>
      <c r="CO1013" s="37">
        <v>0</v>
      </c>
      <c r="CP1013" s="37">
        <v>0</v>
      </c>
      <c r="CQ1013" s="37">
        <v>0</v>
      </c>
      <c r="CR1013" s="37">
        <v>0</v>
      </c>
      <c r="CS1013" s="37">
        <v>0</v>
      </c>
      <c r="CT1013" s="37">
        <v>0</v>
      </c>
      <c r="CU1013" s="37">
        <v>0</v>
      </c>
      <c r="CV1013" s="37">
        <v>0</v>
      </c>
      <c r="CW1013" s="37">
        <v>0</v>
      </c>
      <c r="CX1013" s="37">
        <v>0</v>
      </c>
      <c r="CY1013" s="37">
        <v>0</v>
      </c>
      <c r="CZ1013" s="37">
        <v>0</v>
      </c>
      <c r="DA1013" s="37">
        <v>0</v>
      </c>
      <c r="DB1013" s="37">
        <v>0</v>
      </c>
      <c r="DC1013" s="37">
        <v>0</v>
      </c>
      <c r="DD1013" s="37">
        <v>0</v>
      </c>
      <c r="DE1013" s="37">
        <v>1200000</v>
      </c>
      <c r="DF1013" s="37">
        <v>853000</v>
      </c>
      <c r="DG1013" s="37">
        <v>0</v>
      </c>
      <c r="DH1013" s="37">
        <v>0</v>
      </c>
      <c r="DI1013" s="37">
        <v>0</v>
      </c>
      <c r="DJ1013" s="37">
        <v>0</v>
      </c>
      <c r="DK1013" s="37">
        <v>0</v>
      </c>
      <c r="DL1013" s="37">
        <v>2053000</v>
      </c>
      <c r="DM1013" s="37">
        <v>0</v>
      </c>
      <c r="DN1013" s="37">
        <v>0</v>
      </c>
      <c r="DO1013" s="37">
        <v>0</v>
      </c>
      <c r="DP1013" s="37">
        <v>0</v>
      </c>
      <c r="DQ1013" s="37">
        <v>0</v>
      </c>
      <c r="DR1013" s="37">
        <v>0</v>
      </c>
      <c r="DS1013" s="37">
        <v>0</v>
      </c>
      <c r="DT1013" s="37">
        <v>0</v>
      </c>
      <c r="DU1013" s="37">
        <v>0</v>
      </c>
      <c r="DV1013" s="37">
        <v>0</v>
      </c>
      <c r="DW1013" s="37">
        <v>0</v>
      </c>
      <c r="DX1013" s="37">
        <v>0</v>
      </c>
      <c r="DY1013" s="37">
        <v>0</v>
      </c>
      <c r="DZ1013" s="37">
        <v>0</v>
      </c>
      <c r="EA1013" s="37">
        <v>315000</v>
      </c>
      <c r="EB1013" s="37">
        <v>0</v>
      </c>
      <c r="EC1013" s="37">
        <v>0</v>
      </c>
      <c r="ED1013" s="37">
        <v>0</v>
      </c>
      <c r="EE1013" s="37">
        <v>0</v>
      </c>
      <c r="EF1013" s="37">
        <v>0</v>
      </c>
      <c r="EG1013" s="37">
        <v>0</v>
      </c>
      <c r="EH1013" s="37">
        <v>0</v>
      </c>
      <c r="EI1013" s="37">
        <v>0</v>
      </c>
      <c r="EJ1013" s="37">
        <v>315000</v>
      </c>
      <c r="EK1013" s="161" t="s">
        <v>3477</v>
      </c>
      <c r="EL1013" s="294" t="s">
        <v>1124</v>
      </c>
    </row>
    <row r="1014" spans="1:142" ht="15" customHeight="1" x14ac:dyDescent="0.35">
      <c r="A1014" s="34"/>
      <c r="B1014" s="313">
        <v>70005</v>
      </c>
      <c r="C1014" s="8" t="s">
        <v>697</v>
      </c>
      <c r="D1014" s="18">
        <v>16</v>
      </c>
      <c r="E1014" s="155"/>
      <c r="F1014" s="36"/>
      <c r="G1014" s="37"/>
      <c r="H1014" s="37"/>
      <c r="I1014" s="37"/>
      <c r="J1014" s="37"/>
      <c r="K1014" s="37"/>
      <c r="L1014" s="37"/>
      <c r="M1014" s="37" t="s">
        <v>1124</v>
      </c>
      <c r="N1014" s="37" t="s">
        <v>1124</v>
      </c>
      <c r="O1014" s="37"/>
      <c r="P1014" s="37"/>
      <c r="Q1014" s="37"/>
      <c r="R1014" s="37"/>
      <c r="S1014" s="37"/>
      <c r="T1014" s="37"/>
      <c r="U1014" s="37"/>
      <c r="V1014" s="37"/>
      <c r="W1014" s="37"/>
      <c r="X1014" s="37"/>
      <c r="Y1014" s="37"/>
      <c r="Z1014" s="37"/>
      <c r="AA1014" s="37" t="s">
        <v>1124</v>
      </c>
      <c r="AB1014" s="37" t="s">
        <v>1124</v>
      </c>
      <c r="AC1014" s="37"/>
      <c r="AD1014" s="37"/>
      <c r="AE1014" s="37"/>
      <c r="AF1014" s="168"/>
      <c r="AG1014" s="37"/>
      <c r="AH1014" s="37"/>
      <c r="AI1014" s="37"/>
      <c r="AJ1014" s="37"/>
      <c r="AK1014" s="37"/>
      <c r="AL1014" s="37"/>
      <c r="AM1014" s="37"/>
      <c r="AN1014" s="37"/>
      <c r="AO1014" s="37"/>
      <c r="AP1014" s="37"/>
      <c r="AQ1014" s="37"/>
      <c r="AR1014" s="37" t="s">
        <v>1124</v>
      </c>
      <c r="AS1014" s="37"/>
      <c r="AT1014" s="37"/>
      <c r="AU1014" s="37"/>
      <c r="AV1014" s="37"/>
      <c r="AW1014" s="37"/>
      <c r="AX1014" s="37"/>
      <c r="AY1014" s="37"/>
      <c r="AZ1014" s="37"/>
      <c r="BA1014" s="37"/>
      <c r="BB1014" s="37"/>
      <c r="BC1014" s="37"/>
      <c r="BD1014" s="37" t="s">
        <v>1124</v>
      </c>
      <c r="BE1014" s="37"/>
      <c r="BF1014" s="37"/>
      <c r="BG1014" s="37"/>
      <c r="BH1014" s="37"/>
      <c r="BI1014" s="37"/>
      <c r="BJ1014" s="37"/>
      <c r="BK1014" s="37"/>
      <c r="BL1014" s="37"/>
      <c r="BM1014" s="37"/>
      <c r="BN1014" s="37"/>
      <c r="BO1014" s="37"/>
      <c r="BP1014" s="37">
        <v>0</v>
      </c>
      <c r="BQ1014" s="37"/>
      <c r="BR1014" s="37"/>
      <c r="BS1014" s="37"/>
      <c r="BT1014" s="37"/>
      <c r="BU1014" s="37"/>
      <c r="BV1014" s="37"/>
      <c r="BW1014" s="37"/>
      <c r="BX1014" s="37"/>
      <c r="BY1014" s="37"/>
      <c r="BZ1014" s="37"/>
      <c r="CA1014" s="37"/>
      <c r="CB1014" s="37" t="s">
        <v>1124</v>
      </c>
      <c r="CC1014" s="37"/>
      <c r="CD1014" s="37"/>
      <c r="CE1014" s="37"/>
      <c r="CF1014" s="37"/>
      <c r="CG1014" s="37"/>
      <c r="CH1014" s="37"/>
      <c r="CI1014" s="37"/>
      <c r="CJ1014" s="37"/>
      <c r="CK1014" s="37"/>
      <c r="CL1014" s="37"/>
      <c r="CM1014" s="37"/>
      <c r="CN1014" s="37" t="s">
        <v>1124</v>
      </c>
      <c r="CO1014" s="37"/>
      <c r="CP1014" s="37"/>
      <c r="CQ1014" s="37"/>
      <c r="CR1014" s="37"/>
      <c r="CS1014" s="37"/>
      <c r="CT1014" s="37"/>
      <c r="CU1014" s="37"/>
      <c r="CV1014" s="37"/>
      <c r="CW1014" s="37"/>
      <c r="CX1014" s="37"/>
      <c r="CY1014" s="37"/>
      <c r="CZ1014" s="37" t="s">
        <v>1124</v>
      </c>
      <c r="DA1014" s="37"/>
      <c r="DB1014" s="37"/>
      <c r="DC1014" s="37"/>
      <c r="DD1014" s="37"/>
      <c r="DE1014" s="37"/>
      <c r="DF1014" s="37"/>
      <c r="DG1014" s="37"/>
      <c r="DH1014" s="37"/>
      <c r="DI1014" s="37"/>
      <c r="DJ1014" s="37"/>
      <c r="DK1014" s="37"/>
      <c r="DL1014" s="37" t="s">
        <v>1124</v>
      </c>
      <c r="DM1014" s="37"/>
      <c r="DN1014" s="37"/>
      <c r="DO1014" s="37"/>
      <c r="DP1014" s="37"/>
      <c r="DQ1014" s="37"/>
      <c r="DR1014" s="37"/>
      <c r="DS1014" s="37"/>
      <c r="DT1014" s="37"/>
      <c r="DU1014" s="37"/>
      <c r="DV1014" s="37"/>
      <c r="DW1014" s="37"/>
      <c r="DX1014" s="37" t="s">
        <v>1124</v>
      </c>
      <c r="DY1014" s="37"/>
      <c r="DZ1014" s="37"/>
      <c r="EA1014" s="37"/>
      <c r="EB1014" s="37"/>
      <c r="EC1014" s="37"/>
      <c r="ED1014" s="37"/>
      <c r="EE1014" s="37"/>
      <c r="EF1014" s="37"/>
      <c r="EG1014" s="37"/>
      <c r="EH1014" s="37"/>
      <c r="EI1014" s="37"/>
      <c r="EJ1014" s="37" t="s">
        <v>1124</v>
      </c>
      <c r="EK1014" s="161"/>
      <c r="EL1014" s="294"/>
    </row>
    <row r="1015" spans="1:142" ht="15" customHeight="1" x14ac:dyDescent="0.35">
      <c r="A1015" s="34"/>
      <c r="B1015" s="313">
        <v>56030</v>
      </c>
      <c r="C1015" s="8" t="s">
        <v>571</v>
      </c>
      <c r="D1015" s="18">
        <v>16</v>
      </c>
      <c r="E1015" s="155"/>
      <c r="F1015" s="36"/>
      <c r="G1015" s="37"/>
      <c r="H1015" s="37"/>
      <c r="I1015" s="37"/>
      <c r="J1015" s="37"/>
      <c r="K1015" s="37"/>
      <c r="L1015" s="37"/>
      <c r="M1015" s="37" t="s">
        <v>1124</v>
      </c>
      <c r="N1015" s="37" t="s">
        <v>1124</v>
      </c>
      <c r="O1015" s="37"/>
      <c r="P1015" s="37"/>
      <c r="Q1015" s="37"/>
      <c r="R1015" s="37"/>
      <c r="S1015" s="37"/>
      <c r="T1015" s="37"/>
      <c r="U1015" s="37"/>
      <c r="V1015" s="37"/>
      <c r="W1015" s="37"/>
      <c r="X1015" s="37"/>
      <c r="Y1015" s="37"/>
      <c r="Z1015" s="37"/>
      <c r="AA1015" s="37" t="s">
        <v>1124</v>
      </c>
      <c r="AB1015" s="37" t="s">
        <v>1124</v>
      </c>
      <c r="AC1015" s="37"/>
      <c r="AD1015" s="37"/>
      <c r="AE1015" s="37"/>
      <c r="AF1015" s="168"/>
      <c r="AG1015" s="37"/>
      <c r="AH1015" s="37"/>
      <c r="AI1015" s="37"/>
      <c r="AJ1015" s="37"/>
      <c r="AK1015" s="37"/>
      <c r="AL1015" s="37"/>
      <c r="AM1015" s="37"/>
      <c r="AN1015" s="37"/>
      <c r="AO1015" s="37"/>
      <c r="AP1015" s="37"/>
      <c r="AQ1015" s="37"/>
      <c r="AR1015" s="37" t="s">
        <v>1124</v>
      </c>
      <c r="AS1015" s="37"/>
      <c r="AT1015" s="37"/>
      <c r="AU1015" s="37"/>
      <c r="AV1015" s="37"/>
      <c r="AW1015" s="37"/>
      <c r="AX1015" s="37"/>
      <c r="AY1015" s="37"/>
      <c r="AZ1015" s="37"/>
      <c r="BA1015" s="37"/>
      <c r="BB1015" s="37"/>
      <c r="BC1015" s="37"/>
      <c r="BD1015" s="37" t="s">
        <v>1124</v>
      </c>
      <c r="BE1015" s="37"/>
      <c r="BF1015" s="37"/>
      <c r="BG1015" s="37"/>
      <c r="BH1015" s="37"/>
      <c r="BI1015" s="37"/>
      <c r="BJ1015" s="37"/>
      <c r="BK1015" s="37"/>
      <c r="BL1015" s="37"/>
      <c r="BM1015" s="37"/>
      <c r="BN1015" s="37"/>
      <c r="BO1015" s="37"/>
      <c r="BP1015" s="37">
        <v>0</v>
      </c>
      <c r="BQ1015" s="37"/>
      <c r="BR1015" s="37"/>
      <c r="BS1015" s="37"/>
      <c r="BT1015" s="37"/>
      <c r="BU1015" s="37"/>
      <c r="BV1015" s="37"/>
      <c r="BW1015" s="37"/>
      <c r="BX1015" s="37"/>
      <c r="BY1015" s="37"/>
      <c r="BZ1015" s="37"/>
      <c r="CA1015" s="37"/>
      <c r="CB1015" s="37" t="s">
        <v>1124</v>
      </c>
      <c r="CC1015" s="37"/>
      <c r="CD1015" s="37"/>
      <c r="CE1015" s="37"/>
      <c r="CF1015" s="37"/>
      <c r="CG1015" s="37"/>
      <c r="CH1015" s="37"/>
      <c r="CI1015" s="37"/>
      <c r="CJ1015" s="37"/>
      <c r="CK1015" s="37"/>
      <c r="CL1015" s="37"/>
      <c r="CM1015" s="37"/>
      <c r="CN1015" s="37" t="s">
        <v>1124</v>
      </c>
      <c r="CO1015" s="37"/>
      <c r="CP1015" s="37"/>
      <c r="CQ1015" s="37"/>
      <c r="CR1015" s="37"/>
      <c r="CS1015" s="37"/>
      <c r="CT1015" s="37"/>
      <c r="CU1015" s="37"/>
      <c r="CV1015" s="37"/>
      <c r="CW1015" s="37"/>
      <c r="CX1015" s="37"/>
      <c r="CY1015" s="37"/>
      <c r="CZ1015" s="37" t="s">
        <v>1124</v>
      </c>
      <c r="DA1015" s="37"/>
      <c r="DB1015" s="37"/>
      <c r="DC1015" s="37"/>
      <c r="DD1015" s="37"/>
      <c r="DE1015" s="37"/>
      <c r="DF1015" s="37"/>
      <c r="DG1015" s="37"/>
      <c r="DH1015" s="37"/>
      <c r="DI1015" s="37"/>
      <c r="DJ1015" s="37"/>
      <c r="DK1015" s="37"/>
      <c r="DL1015" s="37" t="s">
        <v>1124</v>
      </c>
      <c r="DM1015" s="37"/>
      <c r="DN1015" s="37"/>
      <c r="DO1015" s="37"/>
      <c r="DP1015" s="37"/>
      <c r="DQ1015" s="37"/>
      <c r="DR1015" s="37"/>
      <c r="DS1015" s="37"/>
      <c r="DT1015" s="37"/>
      <c r="DU1015" s="37"/>
      <c r="DV1015" s="37"/>
      <c r="DW1015" s="37"/>
      <c r="DX1015" s="37" t="s">
        <v>1124</v>
      </c>
      <c r="DY1015" s="37"/>
      <c r="DZ1015" s="37"/>
      <c r="EA1015" s="37"/>
      <c r="EB1015" s="37"/>
      <c r="EC1015" s="37"/>
      <c r="ED1015" s="37"/>
      <c r="EE1015" s="37"/>
      <c r="EF1015" s="37"/>
      <c r="EG1015" s="37"/>
      <c r="EH1015" s="37"/>
      <c r="EI1015" s="37"/>
      <c r="EJ1015" s="37" t="s">
        <v>1124</v>
      </c>
      <c r="EK1015" s="161"/>
      <c r="EL1015" s="294"/>
    </row>
    <row r="1016" spans="1:142" ht="15" customHeight="1" x14ac:dyDescent="0.35">
      <c r="A1016" s="34"/>
      <c r="B1016" s="313">
        <v>39135</v>
      </c>
      <c r="C1016" s="8" t="s">
        <v>354</v>
      </c>
      <c r="D1016" s="18">
        <v>17</v>
      </c>
      <c r="E1016" s="155"/>
      <c r="F1016" s="36"/>
      <c r="G1016" s="37"/>
      <c r="H1016" s="37"/>
      <c r="I1016" s="37"/>
      <c r="J1016" s="37"/>
      <c r="K1016" s="37"/>
      <c r="L1016" s="37"/>
      <c r="M1016" s="37" t="s">
        <v>1124</v>
      </c>
      <c r="N1016" s="37" t="s">
        <v>1124</v>
      </c>
      <c r="O1016" s="37"/>
      <c r="P1016" s="37"/>
      <c r="Q1016" s="37"/>
      <c r="R1016" s="37"/>
      <c r="S1016" s="37"/>
      <c r="T1016" s="37"/>
      <c r="U1016" s="37"/>
      <c r="V1016" s="37"/>
      <c r="W1016" s="37"/>
      <c r="X1016" s="37"/>
      <c r="Y1016" s="37"/>
      <c r="Z1016" s="37"/>
      <c r="AA1016" s="37" t="s">
        <v>1124</v>
      </c>
      <c r="AB1016" s="37" t="s">
        <v>1124</v>
      </c>
      <c r="AC1016" s="37"/>
      <c r="AD1016" s="37"/>
      <c r="AE1016" s="37"/>
      <c r="AF1016" s="168"/>
      <c r="AG1016" s="37"/>
      <c r="AH1016" s="37"/>
      <c r="AI1016" s="37"/>
      <c r="AJ1016" s="37"/>
      <c r="AK1016" s="37"/>
      <c r="AL1016" s="37"/>
      <c r="AM1016" s="37"/>
      <c r="AN1016" s="37"/>
      <c r="AO1016" s="37"/>
      <c r="AP1016" s="37"/>
      <c r="AQ1016" s="37"/>
      <c r="AR1016" s="37" t="s">
        <v>1124</v>
      </c>
      <c r="AS1016" s="37"/>
      <c r="AT1016" s="37"/>
      <c r="AU1016" s="37"/>
      <c r="AV1016" s="37"/>
      <c r="AW1016" s="37"/>
      <c r="AX1016" s="37"/>
      <c r="AY1016" s="37"/>
      <c r="AZ1016" s="37"/>
      <c r="BA1016" s="37"/>
      <c r="BB1016" s="37"/>
      <c r="BC1016" s="37"/>
      <c r="BD1016" s="37" t="s">
        <v>1124</v>
      </c>
      <c r="BE1016" s="37"/>
      <c r="BF1016" s="37"/>
      <c r="BG1016" s="37"/>
      <c r="BH1016" s="37"/>
      <c r="BI1016" s="37"/>
      <c r="BJ1016" s="37"/>
      <c r="BK1016" s="37"/>
      <c r="BL1016" s="37"/>
      <c r="BM1016" s="37"/>
      <c r="BN1016" s="37"/>
      <c r="BO1016" s="37"/>
      <c r="BP1016" s="37">
        <v>0</v>
      </c>
      <c r="BQ1016" s="37"/>
      <c r="BR1016" s="37"/>
      <c r="BS1016" s="37"/>
      <c r="BT1016" s="37"/>
      <c r="BU1016" s="37"/>
      <c r="BV1016" s="37"/>
      <c r="BW1016" s="37"/>
      <c r="BX1016" s="37"/>
      <c r="BY1016" s="37"/>
      <c r="BZ1016" s="37"/>
      <c r="CA1016" s="37"/>
      <c r="CB1016" s="37" t="s">
        <v>1124</v>
      </c>
      <c r="CC1016" s="37"/>
      <c r="CD1016" s="37"/>
      <c r="CE1016" s="37"/>
      <c r="CF1016" s="37"/>
      <c r="CG1016" s="37"/>
      <c r="CH1016" s="37"/>
      <c r="CI1016" s="37"/>
      <c r="CJ1016" s="37"/>
      <c r="CK1016" s="37"/>
      <c r="CL1016" s="37"/>
      <c r="CM1016" s="37"/>
      <c r="CN1016" s="37" t="s">
        <v>1124</v>
      </c>
      <c r="CO1016" s="37"/>
      <c r="CP1016" s="37"/>
      <c r="CQ1016" s="37"/>
      <c r="CR1016" s="37"/>
      <c r="CS1016" s="37"/>
      <c r="CT1016" s="37"/>
      <c r="CU1016" s="37"/>
      <c r="CV1016" s="37"/>
      <c r="CW1016" s="37"/>
      <c r="CX1016" s="37"/>
      <c r="CY1016" s="37"/>
      <c r="CZ1016" s="37" t="s">
        <v>1124</v>
      </c>
      <c r="DA1016" s="37"/>
      <c r="DB1016" s="37"/>
      <c r="DC1016" s="37"/>
      <c r="DD1016" s="37"/>
      <c r="DE1016" s="37"/>
      <c r="DF1016" s="37"/>
      <c r="DG1016" s="37"/>
      <c r="DH1016" s="37"/>
      <c r="DI1016" s="37"/>
      <c r="DJ1016" s="37"/>
      <c r="DK1016" s="37"/>
      <c r="DL1016" s="37" t="s">
        <v>1124</v>
      </c>
      <c r="DM1016" s="37"/>
      <c r="DN1016" s="37"/>
      <c r="DO1016" s="37"/>
      <c r="DP1016" s="37"/>
      <c r="DQ1016" s="37"/>
      <c r="DR1016" s="37"/>
      <c r="DS1016" s="37"/>
      <c r="DT1016" s="37"/>
      <c r="DU1016" s="37"/>
      <c r="DV1016" s="37"/>
      <c r="DW1016" s="37"/>
      <c r="DX1016" s="37" t="s">
        <v>1124</v>
      </c>
      <c r="DY1016" s="37"/>
      <c r="DZ1016" s="37"/>
      <c r="EA1016" s="37"/>
      <c r="EB1016" s="37"/>
      <c r="EC1016" s="37"/>
      <c r="ED1016" s="37"/>
      <c r="EE1016" s="37"/>
      <c r="EF1016" s="37"/>
      <c r="EG1016" s="37"/>
      <c r="EH1016" s="37"/>
      <c r="EI1016" s="37"/>
      <c r="EJ1016" s="37" t="s">
        <v>1124</v>
      </c>
      <c r="EK1016" s="161"/>
      <c r="EL1016" s="294"/>
    </row>
    <row r="1017" spans="1:142" ht="15" customHeight="1" x14ac:dyDescent="0.35">
      <c r="A1017" s="34"/>
      <c r="B1017" s="313">
        <v>10060</v>
      </c>
      <c r="C1017" s="8" t="s">
        <v>14</v>
      </c>
      <c r="D1017" s="18">
        <v>1</v>
      </c>
      <c r="E1017" s="155"/>
      <c r="F1017" s="36"/>
      <c r="G1017" s="37"/>
      <c r="H1017" s="37"/>
      <c r="I1017" s="37"/>
      <c r="J1017" s="37"/>
      <c r="K1017" s="37"/>
      <c r="L1017" s="37"/>
      <c r="M1017" s="37" t="s">
        <v>1124</v>
      </c>
      <c r="N1017" s="37" t="s">
        <v>1124</v>
      </c>
      <c r="O1017" s="37"/>
      <c r="P1017" s="37"/>
      <c r="Q1017" s="37"/>
      <c r="R1017" s="37"/>
      <c r="S1017" s="37"/>
      <c r="T1017" s="37"/>
      <c r="U1017" s="37"/>
      <c r="V1017" s="37"/>
      <c r="W1017" s="37"/>
      <c r="X1017" s="37"/>
      <c r="Y1017" s="37"/>
      <c r="Z1017" s="37"/>
      <c r="AA1017" s="37" t="s">
        <v>1124</v>
      </c>
      <c r="AB1017" s="37" t="s">
        <v>1124</v>
      </c>
      <c r="AC1017" s="37"/>
      <c r="AD1017" s="37"/>
      <c r="AE1017" s="37"/>
      <c r="AF1017" s="168"/>
      <c r="AG1017" s="37"/>
      <c r="AH1017" s="37"/>
      <c r="AI1017" s="37"/>
      <c r="AJ1017" s="37"/>
      <c r="AK1017" s="37"/>
      <c r="AL1017" s="37"/>
      <c r="AM1017" s="37"/>
      <c r="AN1017" s="37"/>
      <c r="AO1017" s="37"/>
      <c r="AP1017" s="37"/>
      <c r="AQ1017" s="37"/>
      <c r="AR1017" s="37" t="s">
        <v>1124</v>
      </c>
      <c r="AS1017" s="37"/>
      <c r="AT1017" s="37"/>
      <c r="AU1017" s="37"/>
      <c r="AV1017" s="37"/>
      <c r="AW1017" s="37"/>
      <c r="AX1017" s="37"/>
      <c r="AY1017" s="37"/>
      <c r="AZ1017" s="37"/>
      <c r="BA1017" s="37"/>
      <c r="BB1017" s="37"/>
      <c r="BC1017" s="37"/>
      <c r="BD1017" s="37" t="s">
        <v>1124</v>
      </c>
      <c r="BE1017" s="37"/>
      <c r="BF1017" s="37"/>
      <c r="BG1017" s="37"/>
      <c r="BH1017" s="37"/>
      <c r="BI1017" s="37"/>
      <c r="BJ1017" s="37"/>
      <c r="BK1017" s="37"/>
      <c r="BL1017" s="37"/>
      <c r="BM1017" s="37"/>
      <c r="BN1017" s="37"/>
      <c r="BO1017" s="37"/>
      <c r="BP1017" s="37">
        <v>0</v>
      </c>
      <c r="BQ1017" s="37"/>
      <c r="BR1017" s="37"/>
      <c r="BS1017" s="37"/>
      <c r="BT1017" s="37"/>
      <c r="BU1017" s="37"/>
      <c r="BV1017" s="37"/>
      <c r="BW1017" s="37"/>
      <c r="BX1017" s="37"/>
      <c r="BY1017" s="37"/>
      <c r="BZ1017" s="37"/>
      <c r="CA1017" s="37"/>
      <c r="CB1017" s="37" t="s">
        <v>1124</v>
      </c>
      <c r="CC1017" s="37"/>
      <c r="CD1017" s="37"/>
      <c r="CE1017" s="37"/>
      <c r="CF1017" s="37"/>
      <c r="CG1017" s="37"/>
      <c r="CH1017" s="37"/>
      <c r="CI1017" s="37"/>
      <c r="CJ1017" s="37"/>
      <c r="CK1017" s="37"/>
      <c r="CL1017" s="37"/>
      <c r="CM1017" s="37"/>
      <c r="CN1017" s="37" t="s">
        <v>1124</v>
      </c>
      <c r="CO1017" s="37"/>
      <c r="CP1017" s="37"/>
      <c r="CQ1017" s="37"/>
      <c r="CR1017" s="37"/>
      <c r="CS1017" s="37"/>
      <c r="CT1017" s="37"/>
      <c r="CU1017" s="37"/>
      <c r="CV1017" s="37"/>
      <c r="CW1017" s="37"/>
      <c r="CX1017" s="37"/>
      <c r="CY1017" s="37"/>
      <c r="CZ1017" s="37" t="s">
        <v>1124</v>
      </c>
      <c r="DA1017" s="37"/>
      <c r="DB1017" s="37"/>
      <c r="DC1017" s="37"/>
      <c r="DD1017" s="37"/>
      <c r="DE1017" s="37"/>
      <c r="DF1017" s="37"/>
      <c r="DG1017" s="37"/>
      <c r="DH1017" s="37"/>
      <c r="DI1017" s="37"/>
      <c r="DJ1017" s="37"/>
      <c r="DK1017" s="37"/>
      <c r="DL1017" s="37" t="s">
        <v>1124</v>
      </c>
      <c r="DM1017" s="37"/>
      <c r="DN1017" s="37"/>
      <c r="DO1017" s="37"/>
      <c r="DP1017" s="37"/>
      <c r="DQ1017" s="37"/>
      <c r="DR1017" s="37"/>
      <c r="DS1017" s="37"/>
      <c r="DT1017" s="37"/>
      <c r="DU1017" s="37"/>
      <c r="DV1017" s="37"/>
      <c r="DW1017" s="37"/>
      <c r="DX1017" s="37" t="s">
        <v>1124</v>
      </c>
      <c r="DY1017" s="37"/>
      <c r="DZ1017" s="37"/>
      <c r="EA1017" s="37"/>
      <c r="EB1017" s="37"/>
      <c r="EC1017" s="37"/>
      <c r="ED1017" s="37"/>
      <c r="EE1017" s="37"/>
      <c r="EF1017" s="37"/>
      <c r="EG1017" s="37"/>
      <c r="EH1017" s="37"/>
      <c r="EI1017" s="37"/>
      <c r="EJ1017" s="37" t="s">
        <v>1124</v>
      </c>
      <c r="EK1017" s="161"/>
      <c r="EL1017" s="294"/>
    </row>
    <row r="1018" spans="1:142" ht="15" customHeight="1" x14ac:dyDescent="0.35">
      <c r="A1018" s="34"/>
      <c r="B1018" s="313">
        <v>54065</v>
      </c>
      <c r="C1018" s="8" t="s">
        <v>549</v>
      </c>
      <c r="D1018" s="18">
        <v>16</v>
      </c>
      <c r="E1018" s="155"/>
      <c r="F1018" s="36"/>
      <c r="G1018" s="37"/>
      <c r="H1018" s="37"/>
      <c r="I1018" s="37"/>
      <c r="J1018" s="37"/>
      <c r="K1018" s="37"/>
      <c r="L1018" s="37"/>
      <c r="M1018" s="37" t="s">
        <v>1124</v>
      </c>
      <c r="N1018" s="37" t="s">
        <v>1124</v>
      </c>
      <c r="O1018" s="37"/>
      <c r="P1018" s="37"/>
      <c r="Q1018" s="37"/>
      <c r="R1018" s="37"/>
      <c r="S1018" s="37"/>
      <c r="T1018" s="37"/>
      <c r="U1018" s="37"/>
      <c r="V1018" s="37"/>
      <c r="W1018" s="37"/>
      <c r="X1018" s="37"/>
      <c r="Y1018" s="37"/>
      <c r="Z1018" s="37"/>
      <c r="AA1018" s="37" t="s">
        <v>1124</v>
      </c>
      <c r="AB1018" s="37" t="s">
        <v>1124</v>
      </c>
      <c r="AC1018" s="37"/>
      <c r="AD1018" s="37"/>
      <c r="AE1018" s="37"/>
      <c r="AF1018" s="168"/>
      <c r="AG1018" s="37"/>
      <c r="AH1018" s="37"/>
      <c r="AI1018" s="37"/>
      <c r="AJ1018" s="37"/>
      <c r="AK1018" s="37"/>
      <c r="AL1018" s="37"/>
      <c r="AM1018" s="37"/>
      <c r="AN1018" s="37"/>
      <c r="AO1018" s="37"/>
      <c r="AP1018" s="37"/>
      <c r="AQ1018" s="37"/>
      <c r="AR1018" s="37" t="s">
        <v>1124</v>
      </c>
      <c r="AS1018" s="37"/>
      <c r="AT1018" s="37"/>
      <c r="AU1018" s="37"/>
      <c r="AV1018" s="37"/>
      <c r="AW1018" s="37"/>
      <c r="AX1018" s="37"/>
      <c r="AY1018" s="37"/>
      <c r="AZ1018" s="37"/>
      <c r="BA1018" s="37"/>
      <c r="BB1018" s="37"/>
      <c r="BC1018" s="37"/>
      <c r="BD1018" s="37" t="s">
        <v>1124</v>
      </c>
      <c r="BE1018" s="37"/>
      <c r="BF1018" s="37"/>
      <c r="BG1018" s="37"/>
      <c r="BH1018" s="37"/>
      <c r="BI1018" s="37"/>
      <c r="BJ1018" s="37"/>
      <c r="BK1018" s="37"/>
      <c r="BL1018" s="37"/>
      <c r="BM1018" s="37"/>
      <c r="BN1018" s="37"/>
      <c r="BO1018" s="37"/>
      <c r="BP1018" s="37">
        <v>0</v>
      </c>
      <c r="BQ1018" s="37"/>
      <c r="BR1018" s="37"/>
      <c r="BS1018" s="37"/>
      <c r="BT1018" s="37"/>
      <c r="BU1018" s="37"/>
      <c r="BV1018" s="37"/>
      <c r="BW1018" s="37"/>
      <c r="BX1018" s="37"/>
      <c r="BY1018" s="37"/>
      <c r="BZ1018" s="37"/>
      <c r="CA1018" s="37"/>
      <c r="CB1018" s="37" t="s">
        <v>1124</v>
      </c>
      <c r="CC1018" s="37"/>
      <c r="CD1018" s="37"/>
      <c r="CE1018" s="37"/>
      <c r="CF1018" s="37"/>
      <c r="CG1018" s="37"/>
      <c r="CH1018" s="37"/>
      <c r="CI1018" s="37"/>
      <c r="CJ1018" s="37"/>
      <c r="CK1018" s="37"/>
      <c r="CL1018" s="37"/>
      <c r="CM1018" s="37"/>
      <c r="CN1018" s="37" t="s">
        <v>1124</v>
      </c>
      <c r="CO1018" s="37"/>
      <c r="CP1018" s="37"/>
      <c r="CQ1018" s="37"/>
      <c r="CR1018" s="37"/>
      <c r="CS1018" s="37"/>
      <c r="CT1018" s="37"/>
      <c r="CU1018" s="37"/>
      <c r="CV1018" s="37"/>
      <c r="CW1018" s="37"/>
      <c r="CX1018" s="37"/>
      <c r="CY1018" s="37"/>
      <c r="CZ1018" s="37" t="s">
        <v>1124</v>
      </c>
      <c r="DA1018" s="37"/>
      <c r="DB1018" s="37"/>
      <c r="DC1018" s="37"/>
      <c r="DD1018" s="37"/>
      <c r="DE1018" s="37"/>
      <c r="DF1018" s="37"/>
      <c r="DG1018" s="37"/>
      <c r="DH1018" s="37"/>
      <c r="DI1018" s="37"/>
      <c r="DJ1018" s="37"/>
      <c r="DK1018" s="37"/>
      <c r="DL1018" s="37" t="s">
        <v>1124</v>
      </c>
      <c r="DM1018" s="37"/>
      <c r="DN1018" s="37"/>
      <c r="DO1018" s="37"/>
      <c r="DP1018" s="37"/>
      <c r="DQ1018" s="37"/>
      <c r="DR1018" s="37"/>
      <c r="DS1018" s="37"/>
      <c r="DT1018" s="37"/>
      <c r="DU1018" s="37"/>
      <c r="DV1018" s="37"/>
      <c r="DW1018" s="37"/>
      <c r="DX1018" s="37" t="s">
        <v>1124</v>
      </c>
      <c r="DY1018" s="37"/>
      <c r="DZ1018" s="37"/>
      <c r="EA1018" s="37"/>
      <c r="EB1018" s="37"/>
      <c r="EC1018" s="37"/>
      <c r="ED1018" s="37"/>
      <c r="EE1018" s="37"/>
      <c r="EF1018" s="37"/>
      <c r="EG1018" s="37"/>
      <c r="EH1018" s="37"/>
      <c r="EI1018" s="37"/>
      <c r="EJ1018" s="37" t="s">
        <v>1124</v>
      </c>
      <c r="EK1018" s="161"/>
      <c r="EL1018" s="294"/>
    </row>
    <row r="1019" spans="1:142" ht="15" customHeight="1" x14ac:dyDescent="0.35">
      <c r="A1019" s="34"/>
      <c r="B1019" s="313">
        <v>19117</v>
      </c>
      <c r="C1019" s="8" t="s">
        <v>137</v>
      </c>
      <c r="D1019" s="18">
        <v>12</v>
      </c>
      <c r="E1019" s="155"/>
      <c r="F1019" s="36"/>
      <c r="G1019" s="37"/>
      <c r="H1019" s="37"/>
      <c r="I1019" s="37"/>
      <c r="J1019" s="37"/>
      <c r="K1019" s="37"/>
      <c r="L1019" s="37"/>
      <c r="M1019" s="37" t="s">
        <v>1124</v>
      </c>
      <c r="N1019" s="37" t="s">
        <v>1124</v>
      </c>
      <c r="O1019" s="37"/>
      <c r="P1019" s="37"/>
      <c r="Q1019" s="37"/>
      <c r="R1019" s="37"/>
      <c r="S1019" s="37"/>
      <c r="T1019" s="37"/>
      <c r="U1019" s="37"/>
      <c r="V1019" s="37"/>
      <c r="W1019" s="37"/>
      <c r="X1019" s="37"/>
      <c r="Y1019" s="37"/>
      <c r="Z1019" s="37"/>
      <c r="AA1019" s="37" t="s">
        <v>1124</v>
      </c>
      <c r="AB1019" s="37" t="s">
        <v>1124</v>
      </c>
      <c r="AC1019" s="37"/>
      <c r="AD1019" s="37"/>
      <c r="AE1019" s="37"/>
      <c r="AF1019" s="168"/>
      <c r="AG1019" s="37"/>
      <c r="AH1019" s="37"/>
      <c r="AI1019" s="37"/>
      <c r="AJ1019" s="37"/>
      <c r="AK1019" s="37"/>
      <c r="AL1019" s="37"/>
      <c r="AM1019" s="37"/>
      <c r="AN1019" s="37"/>
      <c r="AO1019" s="37"/>
      <c r="AP1019" s="37"/>
      <c r="AQ1019" s="37"/>
      <c r="AR1019" s="37" t="s">
        <v>1124</v>
      </c>
      <c r="AS1019" s="37"/>
      <c r="AT1019" s="37"/>
      <c r="AU1019" s="37"/>
      <c r="AV1019" s="37"/>
      <c r="AW1019" s="37"/>
      <c r="AX1019" s="37"/>
      <c r="AY1019" s="37"/>
      <c r="AZ1019" s="37"/>
      <c r="BA1019" s="37"/>
      <c r="BB1019" s="37"/>
      <c r="BC1019" s="37"/>
      <c r="BD1019" s="37" t="s">
        <v>1124</v>
      </c>
      <c r="BE1019" s="37"/>
      <c r="BF1019" s="37"/>
      <c r="BG1019" s="37"/>
      <c r="BH1019" s="37"/>
      <c r="BI1019" s="37"/>
      <c r="BJ1019" s="37"/>
      <c r="BK1019" s="37"/>
      <c r="BL1019" s="37"/>
      <c r="BM1019" s="37"/>
      <c r="BN1019" s="37"/>
      <c r="BO1019" s="37"/>
      <c r="BP1019" s="37">
        <v>0</v>
      </c>
      <c r="BQ1019" s="37"/>
      <c r="BR1019" s="37"/>
      <c r="BS1019" s="37"/>
      <c r="BT1019" s="37"/>
      <c r="BU1019" s="37"/>
      <c r="BV1019" s="37"/>
      <c r="BW1019" s="37"/>
      <c r="BX1019" s="37"/>
      <c r="BY1019" s="37"/>
      <c r="BZ1019" s="37"/>
      <c r="CA1019" s="37"/>
      <c r="CB1019" s="37" t="s">
        <v>1124</v>
      </c>
      <c r="CC1019" s="37"/>
      <c r="CD1019" s="37"/>
      <c r="CE1019" s="37"/>
      <c r="CF1019" s="37"/>
      <c r="CG1019" s="37"/>
      <c r="CH1019" s="37"/>
      <c r="CI1019" s="37"/>
      <c r="CJ1019" s="37"/>
      <c r="CK1019" s="37"/>
      <c r="CL1019" s="37"/>
      <c r="CM1019" s="37"/>
      <c r="CN1019" s="37" t="s">
        <v>1124</v>
      </c>
      <c r="CO1019" s="37"/>
      <c r="CP1019" s="37"/>
      <c r="CQ1019" s="37"/>
      <c r="CR1019" s="37"/>
      <c r="CS1019" s="37"/>
      <c r="CT1019" s="37"/>
      <c r="CU1019" s="37"/>
      <c r="CV1019" s="37"/>
      <c r="CW1019" s="37"/>
      <c r="CX1019" s="37"/>
      <c r="CY1019" s="37"/>
      <c r="CZ1019" s="37" t="s">
        <v>1124</v>
      </c>
      <c r="DA1019" s="37"/>
      <c r="DB1019" s="37"/>
      <c r="DC1019" s="37"/>
      <c r="DD1019" s="37"/>
      <c r="DE1019" s="37"/>
      <c r="DF1019" s="37"/>
      <c r="DG1019" s="37"/>
      <c r="DH1019" s="37"/>
      <c r="DI1019" s="37"/>
      <c r="DJ1019" s="37"/>
      <c r="DK1019" s="37"/>
      <c r="DL1019" s="37" t="s">
        <v>1124</v>
      </c>
      <c r="DM1019" s="37"/>
      <c r="DN1019" s="37"/>
      <c r="DO1019" s="37"/>
      <c r="DP1019" s="37"/>
      <c r="DQ1019" s="37"/>
      <c r="DR1019" s="37"/>
      <c r="DS1019" s="37"/>
      <c r="DT1019" s="37"/>
      <c r="DU1019" s="37"/>
      <c r="DV1019" s="37"/>
      <c r="DW1019" s="37"/>
      <c r="DX1019" s="37" t="s">
        <v>1124</v>
      </c>
      <c r="DY1019" s="37"/>
      <c r="DZ1019" s="37"/>
      <c r="EA1019" s="37"/>
      <c r="EB1019" s="37"/>
      <c r="EC1019" s="37"/>
      <c r="ED1019" s="37"/>
      <c r="EE1019" s="37"/>
      <c r="EF1019" s="37"/>
      <c r="EG1019" s="37"/>
      <c r="EH1019" s="37"/>
      <c r="EI1019" s="37"/>
      <c r="EJ1019" s="37" t="s">
        <v>1124</v>
      </c>
      <c r="EK1019" s="161"/>
      <c r="EL1019" s="294"/>
    </row>
    <row r="1020" spans="1:142" ht="15" customHeight="1" x14ac:dyDescent="0.35">
      <c r="A1020" s="34"/>
      <c r="B1020" s="313">
        <v>44005</v>
      </c>
      <c r="C1020" s="8" t="s">
        <v>399</v>
      </c>
      <c r="D1020" s="18">
        <v>5</v>
      </c>
      <c r="E1020" s="155"/>
      <c r="F1020" s="36"/>
      <c r="G1020" s="37"/>
      <c r="H1020" s="37"/>
      <c r="I1020" s="37"/>
      <c r="J1020" s="37"/>
      <c r="K1020" s="37"/>
      <c r="L1020" s="37"/>
      <c r="M1020" s="37" t="s">
        <v>1124</v>
      </c>
      <c r="N1020" s="37" t="s">
        <v>1124</v>
      </c>
      <c r="O1020" s="37"/>
      <c r="P1020" s="37"/>
      <c r="Q1020" s="37"/>
      <c r="R1020" s="37"/>
      <c r="S1020" s="37"/>
      <c r="T1020" s="37"/>
      <c r="U1020" s="37"/>
      <c r="V1020" s="37"/>
      <c r="W1020" s="37"/>
      <c r="X1020" s="37"/>
      <c r="Y1020" s="37"/>
      <c r="Z1020" s="37"/>
      <c r="AA1020" s="37" t="s">
        <v>1124</v>
      </c>
      <c r="AB1020" s="37" t="s">
        <v>1124</v>
      </c>
      <c r="AC1020" s="37"/>
      <c r="AD1020" s="37"/>
      <c r="AE1020" s="37"/>
      <c r="AF1020" s="168"/>
      <c r="AG1020" s="37"/>
      <c r="AH1020" s="37"/>
      <c r="AI1020" s="37"/>
      <c r="AJ1020" s="37"/>
      <c r="AK1020" s="37"/>
      <c r="AL1020" s="37"/>
      <c r="AM1020" s="37"/>
      <c r="AN1020" s="37"/>
      <c r="AO1020" s="37"/>
      <c r="AP1020" s="37"/>
      <c r="AQ1020" s="37"/>
      <c r="AR1020" s="37" t="s">
        <v>1124</v>
      </c>
      <c r="AS1020" s="37"/>
      <c r="AT1020" s="37"/>
      <c r="AU1020" s="37"/>
      <c r="AV1020" s="37"/>
      <c r="AW1020" s="37"/>
      <c r="AX1020" s="37"/>
      <c r="AY1020" s="37"/>
      <c r="AZ1020" s="37"/>
      <c r="BA1020" s="37"/>
      <c r="BB1020" s="37"/>
      <c r="BC1020" s="37"/>
      <c r="BD1020" s="37" t="s">
        <v>1124</v>
      </c>
      <c r="BE1020" s="37"/>
      <c r="BF1020" s="37"/>
      <c r="BG1020" s="37"/>
      <c r="BH1020" s="37"/>
      <c r="BI1020" s="37"/>
      <c r="BJ1020" s="37"/>
      <c r="BK1020" s="37"/>
      <c r="BL1020" s="37"/>
      <c r="BM1020" s="37"/>
      <c r="BN1020" s="37"/>
      <c r="BO1020" s="37"/>
      <c r="BP1020" s="37">
        <v>0</v>
      </c>
      <c r="BQ1020" s="37"/>
      <c r="BR1020" s="37"/>
      <c r="BS1020" s="37"/>
      <c r="BT1020" s="37"/>
      <c r="BU1020" s="37"/>
      <c r="BV1020" s="37"/>
      <c r="BW1020" s="37"/>
      <c r="BX1020" s="37"/>
      <c r="BY1020" s="37"/>
      <c r="BZ1020" s="37"/>
      <c r="CA1020" s="37"/>
      <c r="CB1020" s="37" t="s">
        <v>1124</v>
      </c>
      <c r="CC1020" s="37"/>
      <c r="CD1020" s="37"/>
      <c r="CE1020" s="37"/>
      <c r="CF1020" s="37"/>
      <c r="CG1020" s="37"/>
      <c r="CH1020" s="37"/>
      <c r="CI1020" s="37"/>
      <c r="CJ1020" s="37"/>
      <c r="CK1020" s="37"/>
      <c r="CL1020" s="37"/>
      <c r="CM1020" s="37"/>
      <c r="CN1020" s="37" t="s">
        <v>1124</v>
      </c>
      <c r="CO1020" s="37"/>
      <c r="CP1020" s="37"/>
      <c r="CQ1020" s="37"/>
      <c r="CR1020" s="37"/>
      <c r="CS1020" s="37"/>
      <c r="CT1020" s="37"/>
      <c r="CU1020" s="37"/>
      <c r="CV1020" s="37"/>
      <c r="CW1020" s="37"/>
      <c r="CX1020" s="37"/>
      <c r="CY1020" s="37"/>
      <c r="CZ1020" s="37" t="s">
        <v>1124</v>
      </c>
      <c r="DA1020" s="37"/>
      <c r="DB1020" s="37"/>
      <c r="DC1020" s="37"/>
      <c r="DD1020" s="37"/>
      <c r="DE1020" s="37"/>
      <c r="DF1020" s="37"/>
      <c r="DG1020" s="37"/>
      <c r="DH1020" s="37"/>
      <c r="DI1020" s="37"/>
      <c r="DJ1020" s="37"/>
      <c r="DK1020" s="37"/>
      <c r="DL1020" s="37" t="s">
        <v>1124</v>
      </c>
      <c r="DM1020" s="37"/>
      <c r="DN1020" s="37"/>
      <c r="DO1020" s="37"/>
      <c r="DP1020" s="37"/>
      <c r="DQ1020" s="37"/>
      <c r="DR1020" s="37"/>
      <c r="DS1020" s="37"/>
      <c r="DT1020" s="37"/>
      <c r="DU1020" s="37"/>
      <c r="DV1020" s="37"/>
      <c r="DW1020" s="37"/>
      <c r="DX1020" s="37" t="s">
        <v>1124</v>
      </c>
      <c r="DY1020" s="37"/>
      <c r="DZ1020" s="37"/>
      <c r="EA1020" s="37"/>
      <c r="EB1020" s="37"/>
      <c r="EC1020" s="37"/>
      <c r="ED1020" s="37"/>
      <c r="EE1020" s="37"/>
      <c r="EF1020" s="37"/>
      <c r="EG1020" s="37"/>
      <c r="EH1020" s="37"/>
      <c r="EI1020" s="37"/>
      <c r="EJ1020" s="37" t="s">
        <v>1124</v>
      </c>
      <c r="EK1020" s="161"/>
      <c r="EL1020" s="294"/>
    </row>
    <row r="1021" spans="1:142" ht="15" customHeight="1" x14ac:dyDescent="0.35">
      <c r="A1021" s="34"/>
      <c r="B1021" s="313">
        <v>7075</v>
      </c>
      <c r="C1021" s="8" t="s">
        <v>1079</v>
      </c>
      <c r="D1021" s="18">
        <v>1</v>
      </c>
      <c r="E1021" s="155">
        <v>103038</v>
      </c>
      <c r="F1021" s="36">
        <v>34586</v>
      </c>
      <c r="G1021" s="37">
        <v>9390</v>
      </c>
      <c r="H1021" s="37">
        <v>3424</v>
      </c>
      <c r="I1021" s="37">
        <v>25915</v>
      </c>
      <c r="J1021" s="37">
        <v>14207</v>
      </c>
      <c r="K1021" s="37">
        <v>15456</v>
      </c>
      <c r="L1021" s="37">
        <v>5188</v>
      </c>
      <c r="M1021" s="37">
        <v>153799</v>
      </c>
      <c r="N1021" s="37">
        <v>57405</v>
      </c>
      <c r="O1021" s="37">
        <v>0</v>
      </c>
      <c r="P1021" s="37">
        <v>0</v>
      </c>
      <c r="Q1021" s="37">
        <v>38292</v>
      </c>
      <c r="R1021" s="37">
        <v>19940</v>
      </c>
      <c r="S1021" s="37">
        <v>28678</v>
      </c>
      <c r="T1021" s="37">
        <v>0</v>
      </c>
      <c r="U1021" s="37">
        <v>3626</v>
      </c>
      <c r="V1021" s="37">
        <v>0</v>
      </c>
      <c r="W1021" s="37">
        <v>60334</v>
      </c>
      <c r="X1021" s="37">
        <v>60334</v>
      </c>
      <c r="Y1021" s="37">
        <v>0</v>
      </c>
      <c r="Z1021" s="37">
        <v>0</v>
      </c>
      <c r="AA1021" s="37">
        <v>130930</v>
      </c>
      <c r="AB1021" s="37">
        <v>80274</v>
      </c>
      <c r="AC1021" s="37">
        <v>0</v>
      </c>
      <c r="AD1021" s="37">
        <v>0</v>
      </c>
      <c r="AE1021" s="37">
        <v>0</v>
      </c>
      <c r="AF1021" s="168">
        <v>0.02</v>
      </c>
      <c r="AG1021" s="37">
        <v>11447789.43</v>
      </c>
      <c r="AH1021" s="37">
        <v>544335.24</v>
      </c>
      <c r="AI1021" s="37">
        <v>90554.34</v>
      </c>
      <c r="AJ1021" s="37">
        <v>92365.42</v>
      </c>
      <c r="AK1021" s="37">
        <v>94212.73</v>
      </c>
      <c r="AL1021" s="37">
        <v>96096.98</v>
      </c>
      <c r="AM1021" s="37">
        <v>98018.92</v>
      </c>
      <c r="AN1021" s="37">
        <v>99979.3</v>
      </c>
      <c r="AO1021" s="37">
        <v>101978.89</v>
      </c>
      <c r="AP1021" s="37">
        <v>104018.47</v>
      </c>
      <c r="AQ1021" s="37">
        <v>106098.84</v>
      </c>
      <c r="AR1021" s="37">
        <v>1427659.13</v>
      </c>
      <c r="AS1021" s="37">
        <v>2931002.4</v>
      </c>
      <c r="AT1021" s="37">
        <v>0</v>
      </c>
      <c r="AU1021" s="37">
        <v>0</v>
      </c>
      <c r="AV1021" s="37">
        <v>0</v>
      </c>
      <c r="AW1021" s="37">
        <v>0</v>
      </c>
      <c r="AX1021" s="37">
        <v>0</v>
      </c>
      <c r="AY1021" s="37">
        <v>0</v>
      </c>
      <c r="AZ1021" s="37">
        <v>0</v>
      </c>
      <c r="BA1021" s="37">
        <v>0</v>
      </c>
      <c r="BB1021" s="37">
        <v>0</v>
      </c>
      <c r="BC1021" s="37">
        <v>0</v>
      </c>
      <c r="BD1021" s="37">
        <v>0</v>
      </c>
      <c r="BE1021" s="37">
        <v>0</v>
      </c>
      <c r="BF1021" s="37">
        <v>0</v>
      </c>
      <c r="BG1021" s="37">
        <v>2000000</v>
      </c>
      <c r="BH1021" s="37">
        <v>0</v>
      </c>
      <c r="BI1021" s="37">
        <v>0</v>
      </c>
      <c r="BJ1021" s="37">
        <v>0</v>
      </c>
      <c r="BK1021" s="37">
        <v>0</v>
      </c>
      <c r="BL1021" s="37">
        <v>0</v>
      </c>
      <c r="BM1021" s="37">
        <v>0</v>
      </c>
      <c r="BN1021" s="37">
        <v>0</v>
      </c>
      <c r="BO1021" s="37">
        <v>0</v>
      </c>
      <c r="BP1021" s="37">
        <v>2000000</v>
      </c>
      <c r="BQ1021" s="37">
        <v>0</v>
      </c>
      <c r="BR1021" s="37">
        <v>0</v>
      </c>
      <c r="BS1021" s="37">
        <v>1000000</v>
      </c>
      <c r="BT1021" s="37">
        <v>0</v>
      </c>
      <c r="BU1021" s="37">
        <v>0</v>
      </c>
      <c r="BV1021" s="37">
        <v>0</v>
      </c>
      <c r="BW1021" s="37">
        <v>0</v>
      </c>
      <c r="BX1021" s="37">
        <v>0</v>
      </c>
      <c r="BY1021" s="37">
        <v>0</v>
      </c>
      <c r="BZ1021" s="37">
        <v>0</v>
      </c>
      <c r="CA1021" s="37">
        <v>0</v>
      </c>
      <c r="CB1021" s="37">
        <v>1000000</v>
      </c>
      <c r="CC1021" s="37">
        <v>35000</v>
      </c>
      <c r="CD1021" s="37">
        <v>0</v>
      </c>
      <c r="CE1021" s="37">
        <v>0</v>
      </c>
      <c r="CF1021" s="37">
        <v>0</v>
      </c>
      <c r="CG1021" s="37">
        <v>0</v>
      </c>
      <c r="CH1021" s="37">
        <v>0</v>
      </c>
      <c r="CI1021" s="37">
        <v>0</v>
      </c>
      <c r="CJ1021" s="37">
        <v>0</v>
      </c>
      <c r="CK1021" s="37">
        <v>0</v>
      </c>
      <c r="CL1021" s="37">
        <v>0</v>
      </c>
      <c r="CM1021" s="37">
        <v>0</v>
      </c>
      <c r="CN1021" s="37">
        <v>0</v>
      </c>
      <c r="CO1021" s="37">
        <v>535095</v>
      </c>
      <c r="CP1021" s="37">
        <v>0</v>
      </c>
      <c r="CQ1021" s="37">
        <v>0</v>
      </c>
      <c r="CR1021" s="37">
        <v>0</v>
      </c>
      <c r="CS1021" s="37">
        <v>0</v>
      </c>
      <c r="CT1021" s="37">
        <v>0</v>
      </c>
      <c r="CU1021" s="37">
        <v>0</v>
      </c>
      <c r="CV1021" s="37">
        <v>0</v>
      </c>
      <c r="CW1021" s="37">
        <v>0</v>
      </c>
      <c r="CX1021" s="37">
        <v>0</v>
      </c>
      <c r="CY1021" s="37">
        <v>0</v>
      </c>
      <c r="CZ1021" s="37">
        <v>0</v>
      </c>
      <c r="DA1021" s="37">
        <v>0</v>
      </c>
      <c r="DB1021" s="37">
        <v>0</v>
      </c>
      <c r="DC1021" s="37">
        <v>0</v>
      </c>
      <c r="DD1021" s="37">
        <v>0</v>
      </c>
      <c r="DE1021" s="37">
        <v>0</v>
      </c>
      <c r="DF1021" s="37">
        <v>0</v>
      </c>
      <c r="DG1021" s="37">
        <v>0</v>
      </c>
      <c r="DH1021" s="37">
        <v>0</v>
      </c>
      <c r="DI1021" s="37">
        <v>0</v>
      </c>
      <c r="DJ1021" s="37">
        <v>0</v>
      </c>
      <c r="DK1021" s="37">
        <v>0</v>
      </c>
      <c r="DL1021" s="37">
        <v>0</v>
      </c>
      <c r="DM1021" s="37">
        <v>0</v>
      </c>
      <c r="DN1021" s="37">
        <v>0</v>
      </c>
      <c r="DO1021" s="37">
        <v>0</v>
      </c>
      <c r="DP1021" s="37">
        <v>0</v>
      </c>
      <c r="DQ1021" s="37">
        <v>0</v>
      </c>
      <c r="DR1021" s="37">
        <v>0</v>
      </c>
      <c r="DS1021" s="37">
        <v>0</v>
      </c>
      <c r="DT1021" s="37">
        <v>0</v>
      </c>
      <c r="DU1021" s="37">
        <v>0</v>
      </c>
      <c r="DV1021" s="37">
        <v>0</v>
      </c>
      <c r="DW1021" s="37">
        <v>0</v>
      </c>
      <c r="DX1021" s="37">
        <v>0</v>
      </c>
      <c r="DY1021" s="37">
        <v>0</v>
      </c>
      <c r="DZ1021" s="37">
        <v>0</v>
      </c>
      <c r="EA1021" s="37">
        <v>0</v>
      </c>
      <c r="EB1021" s="37">
        <v>0</v>
      </c>
      <c r="EC1021" s="37">
        <v>0</v>
      </c>
      <c r="ED1021" s="37">
        <v>0</v>
      </c>
      <c r="EE1021" s="37">
        <v>0</v>
      </c>
      <c r="EF1021" s="37">
        <v>0</v>
      </c>
      <c r="EG1021" s="37">
        <v>0</v>
      </c>
      <c r="EH1021" s="37">
        <v>0</v>
      </c>
      <c r="EI1021" s="37">
        <v>0</v>
      </c>
      <c r="EJ1021" s="37">
        <v>0</v>
      </c>
      <c r="EK1021" s="161" t="s">
        <v>3480</v>
      </c>
      <c r="EL1021" s="294" t="s">
        <v>1124</v>
      </c>
    </row>
    <row r="1022" spans="1:142" ht="15" customHeight="1" x14ac:dyDescent="0.35">
      <c r="A1022" s="34"/>
      <c r="B1022" s="313">
        <v>27008</v>
      </c>
      <c r="C1022" s="8" t="s">
        <v>178</v>
      </c>
      <c r="D1022" s="18">
        <v>12</v>
      </c>
      <c r="E1022" s="155"/>
      <c r="F1022" s="36"/>
      <c r="G1022" s="37"/>
      <c r="H1022" s="37"/>
      <c r="I1022" s="37"/>
      <c r="J1022" s="37"/>
      <c r="K1022" s="37"/>
      <c r="L1022" s="37"/>
      <c r="M1022" s="37" t="s">
        <v>1124</v>
      </c>
      <c r="N1022" s="37" t="s">
        <v>1124</v>
      </c>
      <c r="O1022" s="37"/>
      <c r="P1022" s="37"/>
      <c r="Q1022" s="37"/>
      <c r="R1022" s="37"/>
      <c r="S1022" s="37"/>
      <c r="T1022" s="37"/>
      <c r="U1022" s="37"/>
      <c r="V1022" s="37"/>
      <c r="W1022" s="37"/>
      <c r="X1022" s="37"/>
      <c r="Y1022" s="37"/>
      <c r="Z1022" s="37"/>
      <c r="AA1022" s="37" t="s">
        <v>1124</v>
      </c>
      <c r="AB1022" s="37" t="s">
        <v>1124</v>
      </c>
      <c r="AC1022" s="37"/>
      <c r="AD1022" s="37"/>
      <c r="AE1022" s="37"/>
      <c r="AF1022" s="168"/>
      <c r="AG1022" s="37"/>
      <c r="AH1022" s="37"/>
      <c r="AI1022" s="37"/>
      <c r="AJ1022" s="37"/>
      <c r="AK1022" s="37"/>
      <c r="AL1022" s="37"/>
      <c r="AM1022" s="37"/>
      <c r="AN1022" s="37"/>
      <c r="AO1022" s="37"/>
      <c r="AP1022" s="37"/>
      <c r="AQ1022" s="37"/>
      <c r="AR1022" s="37" t="s">
        <v>1124</v>
      </c>
      <c r="AS1022" s="37"/>
      <c r="AT1022" s="37"/>
      <c r="AU1022" s="37"/>
      <c r="AV1022" s="37"/>
      <c r="AW1022" s="37"/>
      <c r="AX1022" s="37"/>
      <c r="AY1022" s="37"/>
      <c r="AZ1022" s="37"/>
      <c r="BA1022" s="37"/>
      <c r="BB1022" s="37"/>
      <c r="BC1022" s="37"/>
      <c r="BD1022" s="37" t="s">
        <v>1124</v>
      </c>
      <c r="BE1022" s="37"/>
      <c r="BF1022" s="37"/>
      <c r="BG1022" s="37"/>
      <c r="BH1022" s="37"/>
      <c r="BI1022" s="37"/>
      <c r="BJ1022" s="37"/>
      <c r="BK1022" s="37"/>
      <c r="BL1022" s="37"/>
      <c r="BM1022" s="37"/>
      <c r="BN1022" s="37"/>
      <c r="BO1022" s="37"/>
      <c r="BP1022" s="37">
        <v>0</v>
      </c>
      <c r="BQ1022" s="37"/>
      <c r="BR1022" s="37"/>
      <c r="BS1022" s="37"/>
      <c r="BT1022" s="37"/>
      <c r="BU1022" s="37"/>
      <c r="BV1022" s="37"/>
      <c r="BW1022" s="37"/>
      <c r="BX1022" s="37"/>
      <c r="BY1022" s="37"/>
      <c r="BZ1022" s="37"/>
      <c r="CA1022" s="37"/>
      <c r="CB1022" s="37" t="s">
        <v>1124</v>
      </c>
      <c r="CC1022" s="37"/>
      <c r="CD1022" s="37"/>
      <c r="CE1022" s="37"/>
      <c r="CF1022" s="37"/>
      <c r="CG1022" s="37"/>
      <c r="CH1022" s="37"/>
      <c r="CI1022" s="37"/>
      <c r="CJ1022" s="37"/>
      <c r="CK1022" s="37"/>
      <c r="CL1022" s="37"/>
      <c r="CM1022" s="37"/>
      <c r="CN1022" s="37" t="s">
        <v>1124</v>
      </c>
      <c r="CO1022" s="37"/>
      <c r="CP1022" s="37"/>
      <c r="CQ1022" s="37"/>
      <c r="CR1022" s="37"/>
      <c r="CS1022" s="37"/>
      <c r="CT1022" s="37"/>
      <c r="CU1022" s="37"/>
      <c r="CV1022" s="37"/>
      <c r="CW1022" s="37"/>
      <c r="CX1022" s="37"/>
      <c r="CY1022" s="37"/>
      <c r="CZ1022" s="37" t="s">
        <v>1124</v>
      </c>
      <c r="DA1022" s="37"/>
      <c r="DB1022" s="37"/>
      <c r="DC1022" s="37"/>
      <c r="DD1022" s="37"/>
      <c r="DE1022" s="37"/>
      <c r="DF1022" s="37"/>
      <c r="DG1022" s="37"/>
      <c r="DH1022" s="37"/>
      <c r="DI1022" s="37"/>
      <c r="DJ1022" s="37"/>
      <c r="DK1022" s="37"/>
      <c r="DL1022" s="37" t="s">
        <v>1124</v>
      </c>
      <c r="DM1022" s="37"/>
      <c r="DN1022" s="37"/>
      <c r="DO1022" s="37"/>
      <c r="DP1022" s="37"/>
      <c r="DQ1022" s="37"/>
      <c r="DR1022" s="37"/>
      <c r="DS1022" s="37"/>
      <c r="DT1022" s="37"/>
      <c r="DU1022" s="37"/>
      <c r="DV1022" s="37"/>
      <c r="DW1022" s="37"/>
      <c r="DX1022" s="37" t="s">
        <v>1124</v>
      </c>
      <c r="DY1022" s="37"/>
      <c r="DZ1022" s="37"/>
      <c r="EA1022" s="37"/>
      <c r="EB1022" s="37"/>
      <c r="EC1022" s="37"/>
      <c r="ED1022" s="37"/>
      <c r="EE1022" s="37"/>
      <c r="EF1022" s="37"/>
      <c r="EG1022" s="37"/>
      <c r="EH1022" s="37"/>
      <c r="EI1022" s="37"/>
      <c r="EJ1022" s="37" t="s">
        <v>1124</v>
      </c>
      <c r="EK1022" s="161"/>
      <c r="EL1022" s="294"/>
    </row>
    <row r="1023" spans="1:142" ht="15" customHeight="1" x14ac:dyDescent="0.35">
      <c r="A1023" s="34"/>
      <c r="B1023" s="313">
        <v>50023</v>
      </c>
      <c r="C1023" s="8" t="s">
        <v>484</v>
      </c>
      <c r="D1023" s="18">
        <v>17</v>
      </c>
      <c r="E1023" s="155">
        <v>71136</v>
      </c>
      <c r="F1023" s="36">
        <v>23639</v>
      </c>
      <c r="G1023" s="37">
        <v>2509</v>
      </c>
      <c r="H1023" s="37">
        <v>0</v>
      </c>
      <c r="I1023" s="37">
        <v>6730</v>
      </c>
      <c r="J1023" s="37">
        <v>0</v>
      </c>
      <c r="K1023" s="37">
        <v>0</v>
      </c>
      <c r="L1023" s="37">
        <v>0</v>
      </c>
      <c r="M1023" s="37">
        <v>80375</v>
      </c>
      <c r="N1023" s="37">
        <v>23639</v>
      </c>
      <c r="O1023" s="37">
        <v>0</v>
      </c>
      <c r="P1023" s="37">
        <v>0</v>
      </c>
      <c r="Q1023" s="37">
        <v>198.13</v>
      </c>
      <c r="R1023" s="37">
        <v>106.67</v>
      </c>
      <c r="S1023" s="37">
        <v>1299</v>
      </c>
      <c r="T1023" s="37">
        <v>1618</v>
      </c>
      <c r="U1023" s="37">
        <v>0</v>
      </c>
      <c r="V1023" s="37">
        <v>0</v>
      </c>
      <c r="W1023" s="37">
        <v>78877.87</v>
      </c>
      <c r="X1023" s="37">
        <v>21914.33</v>
      </c>
      <c r="Y1023" s="37">
        <v>0</v>
      </c>
      <c r="Z1023" s="37">
        <v>0</v>
      </c>
      <c r="AA1023" s="37">
        <v>80375</v>
      </c>
      <c r="AB1023" s="37">
        <v>23639</v>
      </c>
      <c r="AC1023" s="37">
        <v>0</v>
      </c>
      <c r="AD1023" s="37">
        <v>0</v>
      </c>
      <c r="AE1023" s="37">
        <v>0</v>
      </c>
      <c r="AF1023" s="168">
        <v>0.02</v>
      </c>
      <c r="AG1023" s="37">
        <v>19919642.489999998</v>
      </c>
      <c r="AH1023" s="37">
        <v>161009.98000000001</v>
      </c>
      <c r="AI1023" s="37">
        <v>164230.18</v>
      </c>
      <c r="AJ1023" s="37">
        <v>167514.79</v>
      </c>
      <c r="AK1023" s="37">
        <v>170865.08</v>
      </c>
      <c r="AL1023" s="37">
        <v>174282.38</v>
      </c>
      <c r="AM1023" s="37">
        <v>177768.03</v>
      </c>
      <c r="AN1023" s="37">
        <v>181323.39</v>
      </c>
      <c r="AO1023" s="37">
        <v>184949.86</v>
      </c>
      <c r="AP1023" s="37">
        <v>188648.86</v>
      </c>
      <c r="AQ1023" s="37">
        <v>192421.84</v>
      </c>
      <c r="AR1023" s="37">
        <v>1763014.39</v>
      </c>
      <c r="AS1023" s="37">
        <v>0</v>
      </c>
      <c r="AT1023" s="37">
        <v>0</v>
      </c>
      <c r="AU1023" s="37">
        <v>0</v>
      </c>
      <c r="AV1023" s="37">
        <v>0</v>
      </c>
      <c r="AW1023" s="37">
        <v>0</v>
      </c>
      <c r="AX1023" s="37">
        <v>0</v>
      </c>
      <c r="AY1023" s="37">
        <v>0</v>
      </c>
      <c r="AZ1023" s="37">
        <v>0</v>
      </c>
      <c r="BA1023" s="37">
        <v>0</v>
      </c>
      <c r="BB1023" s="37">
        <v>0</v>
      </c>
      <c r="BC1023" s="37">
        <v>0</v>
      </c>
      <c r="BD1023" s="37">
        <v>0</v>
      </c>
      <c r="BE1023" s="37">
        <v>0</v>
      </c>
      <c r="BF1023" s="37">
        <v>0</v>
      </c>
      <c r="BG1023" s="37">
        <v>0</v>
      </c>
      <c r="BH1023" s="37">
        <v>0</v>
      </c>
      <c r="BI1023" s="37">
        <v>0</v>
      </c>
      <c r="BJ1023" s="37">
        <v>0</v>
      </c>
      <c r="BK1023" s="37">
        <v>0</v>
      </c>
      <c r="BL1023" s="37">
        <v>0</v>
      </c>
      <c r="BM1023" s="37">
        <v>0</v>
      </c>
      <c r="BN1023" s="37">
        <v>0</v>
      </c>
      <c r="BO1023" s="37">
        <v>0</v>
      </c>
      <c r="BP1023" s="37">
        <v>0</v>
      </c>
      <c r="BQ1023" s="37">
        <v>0</v>
      </c>
      <c r="BR1023" s="37">
        <v>0</v>
      </c>
      <c r="BS1023" s="37">
        <v>0</v>
      </c>
      <c r="BT1023" s="37">
        <v>0</v>
      </c>
      <c r="BU1023" s="37">
        <v>0</v>
      </c>
      <c r="BV1023" s="37">
        <v>0</v>
      </c>
      <c r="BW1023" s="37">
        <v>0</v>
      </c>
      <c r="BX1023" s="37">
        <v>0</v>
      </c>
      <c r="BY1023" s="37">
        <v>0</v>
      </c>
      <c r="BZ1023" s="37">
        <v>0</v>
      </c>
      <c r="CA1023" s="37">
        <v>0</v>
      </c>
      <c r="CB1023" s="37">
        <v>0</v>
      </c>
      <c r="CC1023" s="37">
        <v>0</v>
      </c>
      <c r="CD1023" s="37">
        <v>0</v>
      </c>
      <c r="CE1023" s="37">
        <v>0</v>
      </c>
      <c r="CF1023" s="37">
        <v>0</v>
      </c>
      <c r="CG1023" s="37">
        <v>0</v>
      </c>
      <c r="CH1023" s="37">
        <v>0</v>
      </c>
      <c r="CI1023" s="37">
        <v>0</v>
      </c>
      <c r="CJ1023" s="37">
        <v>0</v>
      </c>
      <c r="CK1023" s="37">
        <v>0</v>
      </c>
      <c r="CL1023" s="37">
        <v>0</v>
      </c>
      <c r="CM1023" s="37">
        <v>0</v>
      </c>
      <c r="CN1023" s="37">
        <v>0</v>
      </c>
      <c r="CO1023" s="37">
        <v>0</v>
      </c>
      <c r="CP1023" s="37">
        <v>0</v>
      </c>
      <c r="CQ1023" s="37">
        <v>0</v>
      </c>
      <c r="CR1023" s="37">
        <v>0</v>
      </c>
      <c r="CS1023" s="37">
        <v>0</v>
      </c>
      <c r="CT1023" s="37">
        <v>0</v>
      </c>
      <c r="CU1023" s="37">
        <v>0</v>
      </c>
      <c r="CV1023" s="37">
        <v>0</v>
      </c>
      <c r="CW1023" s="37">
        <v>0</v>
      </c>
      <c r="CX1023" s="37">
        <v>0</v>
      </c>
      <c r="CY1023" s="37">
        <v>0</v>
      </c>
      <c r="CZ1023" s="37">
        <v>0</v>
      </c>
      <c r="DA1023" s="37">
        <v>0</v>
      </c>
      <c r="DB1023" s="37">
        <v>0</v>
      </c>
      <c r="DC1023" s="37">
        <v>0</v>
      </c>
      <c r="DD1023" s="37">
        <v>0</v>
      </c>
      <c r="DE1023" s="37">
        <v>0</v>
      </c>
      <c r="DF1023" s="37">
        <v>0</v>
      </c>
      <c r="DG1023" s="37">
        <v>0</v>
      </c>
      <c r="DH1023" s="37">
        <v>0</v>
      </c>
      <c r="DI1023" s="37">
        <v>0</v>
      </c>
      <c r="DJ1023" s="37">
        <v>0</v>
      </c>
      <c r="DK1023" s="37">
        <v>0</v>
      </c>
      <c r="DL1023" s="37">
        <v>0</v>
      </c>
      <c r="DM1023" s="37">
        <v>0</v>
      </c>
      <c r="DN1023" s="37">
        <v>0</v>
      </c>
      <c r="DO1023" s="37">
        <v>0</v>
      </c>
      <c r="DP1023" s="37">
        <v>0</v>
      </c>
      <c r="DQ1023" s="37">
        <v>0</v>
      </c>
      <c r="DR1023" s="37">
        <v>0</v>
      </c>
      <c r="DS1023" s="37">
        <v>0</v>
      </c>
      <c r="DT1023" s="37">
        <v>0</v>
      </c>
      <c r="DU1023" s="37">
        <v>0</v>
      </c>
      <c r="DV1023" s="37">
        <v>0</v>
      </c>
      <c r="DW1023" s="37">
        <v>0</v>
      </c>
      <c r="DX1023" s="37">
        <v>0</v>
      </c>
      <c r="DY1023" s="37">
        <v>0</v>
      </c>
      <c r="DZ1023" s="37">
        <v>0</v>
      </c>
      <c r="EA1023" s="37">
        <v>0</v>
      </c>
      <c r="EB1023" s="37">
        <v>0</v>
      </c>
      <c r="EC1023" s="37">
        <v>0</v>
      </c>
      <c r="ED1023" s="37">
        <v>0</v>
      </c>
      <c r="EE1023" s="37">
        <v>0</v>
      </c>
      <c r="EF1023" s="37">
        <v>0</v>
      </c>
      <c r="EG1023" s="37">
        <v>0</v>
      </c>
      <c r="EH1023" s="37">
        <v>0</v>
      </c>
      <c r="EI1023" s="37">
        <v>0</v>
      </c>
      <c r="EJ1023" s="37">
        <v>0</v>
      </c>
      <c r="EK1023" s="161" t="s">
        <v>3483</v>
      </c>
      <c r="EL1023" s="294" t="s">
        <v>1124</v>
      </c>
    </row>
    <row r="1024" spans="1:142" ht="15" customHeight="1" x14ac:dyDescent="0.35">
      <c r="A1024" s="34"/>
      <c r="B1024" s="313">
        <v>28005</v>
      </c>
      <c r="C1024" s="8" t="s">
        <v>188</v>
      </c>
      <c r="D1024" s="18">
        <v>12</v>
      </c>
      <c r="E1024" s="155">
        <v>103031</v>
      </c>
      <c r="F1024" s="36">
        <v>100200</v>
      </c>
      <c r="G1024" s="37">
        <v>0</v>
      </c>
      <c r="H1024" s="37">
        <v>426030</v>
      </c>
      <c r="I1024" s="37">
        <v>0</v>
      </c>
      <c r="J1024" s="37">
        <v>704000</v>
      </c>
      <c r="K1024" s="37">
        <v>15454.65</v>
      </c>
      <c r="L1024" s="37">
        <v>15030</v>
      </c>
      <c r="M1024" s="37">
        <v>118485.65</v>
      </c>
      <c r="N1024" s="37">
        <v>1245260</v>
      </c>
      <c r="O1024" s="37">
        <v>0</v>
      </c>
      <c r="P1024" s="37">
        <v>0</v>
      </c>
      <c r="Q1024" s="37">
        <v>109531</v>
      </c>
      <c r="R1024" s="37">
        <v>111247</v>
      </c>
      <c r="S1024" s="37">
        <v>0</v>
      </c>
      <c r="T1024" s="37">
        <v>0</v>
      </c>
      <c r="U1024" s="37">
        <v>5288</v>
      </c>
      <c r="V1024" s="37">
        <v>1701592</v>
      </c>
      <c r="W1024" s="37">
        <v>0</v>
      </c>
      <c r="X1024" s="37">
        <v>0</v>
      </c>
      <c r="Y1024" s="37">
        <v>0</v>
      </c>
      <c r="Z1024" s="37">
        <v>0</v>
      </c>
      <c r="AA1024" s="37">
        <v>114819</v>
      </c>
      <c r="AB1024" s="37">
        <v>1812839</v>
      </c>
      <c r="AC1024" s="37">
        <v>563912.35000000009</v>
      </c>
      <c r="AD1024" s="37">
        <v>0</v>
      </c>
      <c r="AE1024" s="37">
        <v>0</v>
      </c>
      <c r="AF1024" s="168">
        <v>0.02</v>
      </c>
      <c r="AG1024" s="37">
        <v>19338753.649999999</v>
      </c>
      <c r="AH1024" s="37">
        <v>159076.68</v>
      </c>
      <c r="AI1024" s="37">
        <v>162258.21</v>
      </c>
      <c r="AJ1024" s="37">
        <v>165503.38</v>
      </c>
      <c r="AK1024" s="37">
        <v>168813.45</v>
      </c>
      <c r="AL1024" s="37">
        <v>172189.71</v>
      </c>
      <c r="AM1024" s="37">
        <v>175633.51</v>
      </c>
      <c r="AN1024" s="37">
        <v>179146.18</v>
      </c>
      <c r="AO1024" s="37">
        <v>182729.1</v>
      </c>
      <c r="AP1024" s="37">
        <v>186383.68</v>
      </c>
      <c r="AQ1024" s="37">
        <v>190111.35999999999</v>
      </c>
      <c r="AR1024" s="37">
        <v>1741845.26</v>
      </c>
      <c r="AS1024" s="37">
        <v>0</v>
      </c>
      <c r="AT1024" s="37">
        <v>107884.28</v>
      </c>
      <c r="AU1024" s="37">
        <v>104735.92</v>
      </c>
      <c r="AV1024" s="37">
        <v>0</v>
      </c>
      <c r="AW1024" s="37">
        <v>0</v>
      </c>
      <c r="AX1024" s="37">
        <v>0</v>
      </c>
      <c r="AY1024" s="37">
        <v>0</v>
      </c>
      <c r="AZ1024" s="37">
        <v>0</v>
      </c>
      <c r="BA1024" s="37">
        <v>0</v>
      </c>
      <c r="BB1024" s="37">
        <v>0</v>
      </c>
      <c r="BC1024" s="37">
        <v>0</v>
      </c>
      <c r="BD1024" s="37">
        <v>212620.2</v>
      </c>
      <c r="BE1024" s="37">
        <v>0</v>
      </c>
      <c r="BF1024" s="37">
        <v>0</v>
      </c>
      <c r="BG1024" s="37">
        <v>0</v>
      </c>
      <c r="BH1024" s="37">
        <v>0</v>
      </c>
      <c r="BI1024" s="37">
        <v>0</v>
      </c>
      <c r="BJ1024" s="37">
        <v>0</v>
      </c>
      <c r="BK1024" s="37">
        <v>0</v>
      </c>
      <c r="BL1024" s="37">
        <v>0</v>
      </c>
      <c r="BM1024" s="37">
        <v>0</v>
      </c>
      <c r="BN1024" s="37">
        <v>0</v>
      </c>
      <c r="BO1024" s="37">
        <v>0</v>
      </c>
      <c r="BP1024" s="37">
        <v>0</v>
      </c>
      <c r="BQ1024" s="37">
        <v>0</v>
      </c>
      <c r="BR1024" s="37">
        <v>0</v>
      </c>
      <c r="BS1024" s="37">
        <v>0</v>
      </c>
      <c r="BT1024" s="37">
        <v>0</v>
      </c>
      <c r="BU1024" s="37">
        <v>0</v>
      </c>
      <c r="BV1024" s="37">
        <v>0</v>
      </c>
      <c r="BW1024" s="37">
        <v>0</v>
      </c>
      <c r="BX1024" s="37">
        <v>0</v>
      </c>
      <c r="BY1024" s="37">
        <v>0</v>
      </c>
      <c r="BZ1024" s="37">
        <v>0</v>
      </c>
      <c r="CA1024" s="37">
        <v>0</v>
      </c>
      <c r="CB1024" s="37">
        <v>0</v>
      </c>
      <c r="CC1024" s="37">
        <v>0</v>
      </c>
      <c r="CD1024" s="37">
        <v>0</v>
      </c>
      <c r="CE1024" s="37">
        <v>0</v>
      </c>
      <c r="CF1024" s="37">
        <v>0</v>
      </c>
      <c r="CG1024" s="37">
        <v>0</v>
      </c>
      <c r="CH1024" s="37">
        <v>0</v>
      </c>
      <c r="CI1024" s="37">
        <v>0</v>
      </c>
      <c r="CJ1024" s="37">
        <v>0</v>
      </c>
      <c r="CK1024" s="37">
        <v>0</v>
      </c>
      <c r="CL1024" s="37">
        <v>0</v>
      </c>
      <c r="CM1024" s="37">
        <v>0</v>
      </c>
      <c r="CN1024" s="37">
        <v>0</v>
      </c>
      <c r="CO1024" s="37">
        <v>0</v>
      </c>
      <c r="CP1024" s="37">
        <v>0</v>
      </c>
      <c r="CQ1024" s="37">
        <v>0</v>
      </c>
      <c r="CR1024" s="37">
        <v>0</v>
      </c>
      <c r="CS1024" s="37">
        <v>0</v>
      </c>
      <c r="CT1024" s="37">
        <v>0</v>
      </c>
      <c r="CU1024" s="37">
        <v>0</v>
      </c>
      <c r="CV1024" s="37">
        <v>0</v>
      </c>
      <c r="CW1024" s="37">
        <v>0</v>
      </c>
      <c r="CX1024" s="37">
        <v>0</v>
      </c>
      <c r="CY1024" s="37">
        <v>0</v>
      </c>
      <c r="CZ1024" s="37">
        <v>0</v>
      </c>
      <c r="DA1024" s="37">
        <v>0</v>
      </c>
      <c r="DB1024" s="37">
        <v>0</v>
      </c>
      <c r="DC1024" s="37">
        <v>0</v>
      </c>
      <c r="DD1024" s="37">
        <v>0</v>
      </c>
      <c r="DE1024" s="37">
        <v>0</v>
      </c>
      <c r="DF1024" s="37">
        <v>0</v>
      </c>
      <c r="DG1024" s="37">
        <v>0</v>
      </c>
      <c r="DH1024" s="37">
        <v>0</v>
      </c>
      <c r="DI1024" s="37">
        <v>0</v>
      </c>
      <c r="DJ1024" s="37">
        <v>0</v>
      </c>
      <c r="DK1024" s="37">
        <v>0</v>
      </c>
      <c r="DL1024" s="37">
        <v>0</v>
      </c>
      <c r="DM1024" s="37">
        <v>0</v>
      </c>
      <c r="DN1024" s="37">
        <v>0</v>
      </c>
      <c r="DO1024" s="37">
        <v>0</v>
      </c>
      <c r="DP1024" s="37">
        <v>0</v>
      </c>
      <c r="DQ1024" s="37">
        <v>0</v>
      </c>
      <c r="DR1024" s="37">
        <v>0</v>
      </c>
      <c r="DS1024" s="37">
        <v>0</v>
      </c>
      <c r="DT1024" s="37">
        <v>0</v>
      </c>
      <c r="DU1024" s="37">
        <v>0</v>
      </c>
      <c r="DV1024" s="37">
        <v>0</v>
      </c>
      <c r="DW1024" s="37">
        <v>0</v>
      </c>
      <c r="DX1024" s="37">
        <v>0</v>
      </c>
      <c r="DY1024" s="37">
        <v>0</v>
      </c>
      <c r="DZ1024" s="37">
        <v>0</v>
      </c>
      <c r="EA1024" s="37">
        <v>0</v>
      </c>
      <c r="EB1024" s="37">
        <v>0</v>
      </c>
      <c r="EC1024" s="37">
        <v>0</v>
      </c>
      <c r="ED1024" s="37">
        <v>0</v>
      </c>
      <c r="EE1024" s="37">
        <v>0</v>
      </c>
      <c r="EF1024" s="37">
        <v>0</v>
      </c>
      <c r="EG1024" s="37">
        <v>0</v>
      </c>
      <c r="EH1024" s="37">
        <v>0</v>
      </c>
      <c r="EI1024" s="37">
        <v>0</v>
      </c>
      <c r="EJ1024" s="37">
        <v>0</v>
      </c>
      <c r="EK1024" s="161" t="s">
        <v>3487</v>
      </c>
      <c r="EL1024" s="294" t="s">
        <v>1124</v>
      </c>
    </row>
    <row r="1025" spans="1:142" ht="15" customHeight="1" x14ac:dyDescent="0.35">
      <c r="A1025" s="34"/>
      <c r="B1025" s="313">
        <v>62080</v>
      </c>
      <c r="C1025" s="8" t="s">
        <v>632</v>
      </c>
      <c r="D1025" s="18">
        <v>14</v>
      </c>
      <c r="E1025" s="155">
        <v>136619</v>
      </c>
      <c r="F1025" s="36">
        <v>40891</v>
      </c>
      <c r="G1025" s="37">
        <v>53082</v>
      </c>
      <c r="H1025" s="37">
        <v>0</v>
      </c>
      <c r="I1025" s="37">
        <v>99600</v>
      </c>
      <c r="J1025" s="37">
        <v>0</v>
      </c>
      <c r="K1025" s="37">
        <v>20493</v>
      </c>
      <c r="L1025" s="37">
        <v>6134</v>
      </c>
      <c r="M1025" s="37">
        <v>309794</v>
      </c>
      <c r="N1025" s="37">
        <v>47025</v>
      </c>
      <c r="O1025" s="37">
        <v>0</v>
      </c>
      <c r="P1025" s="37">
        <v>0</v>
      </c>
      <c r="Q1025" s="37">
        <v>49820</v>
      </c>
      <c r="R1025" s="37">
        <v>25480</v>
      </c>
      <c r="S1025" s="37">
        <v>0</v>
      </c>
      <c r="T1025" s="37">
        <v>0</v>
      </c>
      <c r="U1025" s="37">
        <v>36760</v>
      </c>
      <c r="V1025" s="37">
        <v>13766</v>
      </c>
      <c r="W1025" s="37">
        <v>117247</v>
      </c>
      <c r="X1025" s="37">
        <v>117246</v>
      </c>
      <c r="Y1025" s="37">
        <v>0</v>
      </c>
      <c r="Z1025" s="37">
        <v>0</v>
      </c>
      <c r="AA1025" s="37">
        <v>203827</v>
      </c>
      <c r="AB1025" s="37">
        <v>156492</v>
      </c>
      <c r="AC1025" s="37">
        <v>3500</v>
      </c>
      <c r="AD1025" s="37">
        <v>3500</v>
      </c>
      <c r="AE1025" s="37">
        <v>35977</v>
      </c>
      <c r="AF1025" s="168">
        <v>0.02</v>
      </c>
      <c r="AG1025" s="37">
        <v>10066215.5</v>
      </c>
      <c r="AH1025" s="37">
        <v>49141.04</v>
      </c>
      <c r="AI1025" s="37">
        <v>50123.86</v>
      </c>
      <c r="AJ1025" s="37">
        <v>51126.34</v>
      </c>
      <c r="AK1025" s="37">
        <v>52148.86</v>
      </c>
      <c r="AL1025" s="37">
        <v>53191.839999999997</v>
      </c>
      <c r="AM1025" s="37">
        <v>54255.68</v>
      </c>
      <c r="AN1025" s="37">
        <v>55340.79</v>
      </c>
      <c r="AO1025" s="37">
        <v>56447.61</v>
      </c>
      <c r="AP1025" s="37">
        <v>57576.56</v>
      </c>
      <c r="AQ1025" s="37">
        <v>58728.09</v>
      </c>
      <c r="AR1025" s="37">
        <v>538080.67000000004</v>
      </c>
      <c r="AS1025" s="37">
        <v>0</v>
      </c>
      <c r="AT1025" s="37">
        <v>26010</v>
      </c>
      <c r="AU1025" s="37">
        <v>26530.2</v>
      </c>
      <c r="AV1025" s="37">
        <v>0</v>
      </c>
      <c r="AW1025" s="37">
        <v>0</v>
      </c>
      <c r="AX1025" s="37">
        <v>0</v>
      </c>
      <c r="AY1025" s="37">
        <v>0</v>
      </c>
      <c r="AZ1025" s="37">
        <v>0</v>
      </c>
      <c r="BA1025" s="37">
        <v>0</v>
      </c>
      <c r="BB1025" s="37">
        <v>0</v>
      </c>
      <c r="BC1025" s="37">
        <v>0</v>
      </c>
      <c r="BD1025" s="37">
        <v>52540.2</v>
      </c>
      <c r="BE1025" s="37">
        <v>0</v>
      </c>
      <c r="BF1025" s="37">
        <v>44000</v>
      </c>
      <c r="BG1025" s="37">
        <v>0</v>
      </c>
      <c r="BH1025" s="37">
        <v>0</v>
      </c>
      <c r="BI1025" s="37">
        <v>0</v>
      </c>
      <c r="BJ1025" s="37">
        <v>0</v>
      </c>
      <c r="BK1025" s="37">
        <v>0</v>
      </c>
      <c r="BL1025" s="37">
        <v>0</v>
      </c>
      <c r="BM1025" s="37">
        <v>0</v>
      </c>
      <c r="BN1025" s="37">
        <v>0</v>
      </c>
      <c r="BO1025" s="37">
        <v>0</v>
      </c>
      <c r="BP1025" s="37">
        <v>44000</v>
      </c>
      <c r="BQ1025" s="37">
        <v>0</v>
      </c>
      <c r="BR1025" s="37">
        <v>0</v>
      </c>
      <c r="BS1025" s="37">
        <v>0</v>
      </c>
      <c r="BT1025" s="37">
        <v>0</v>
      </c>
      <c r="BU1025" s="37">
        <v>0</v>
      </c>
      <c r="BV1025" s="37">
        <v>0</v>
      </c>
      <c r="BW1025" s="37">
        <v>0</v>
      </c>
      <c r="BX1025" s="37">
        <v>0</v>
      </c>
      <c r="BY1025" s="37">
        <v>0</v>
      </c>
      <c r="BZ1025" s="37">
        <v>0</v>
      </c>
      <c r="CA1025" s="37">
        <v>0</v>
      </c>
      <c r="CB1025" s="37">
        <v>0</v>
      </c>
      <c r="CC1025" s="37">
        <v>44000</v>
      </c>
      <c r="CD1025" s="37">
        <v>0</v>
      </c>
      <c r="CE1025" s="37">
        <v>0</v>
      </c>
      <c r="CF1025" s="37">
        <v>0</v>
      </c>
      <c r="CG1025" s="37">
        <v>0</v>
      </c>
      <c r="CH1025" s="37">
        <v>0</v>
      </c>
      <c r="CI1025" s="37">
        <v>0</v>
      </c>
      <c r="CJ1025" s="37">
        <v>0</v>
      </c>
      <c r="CK1025" s="37">
        <v>0</v>
      </c>
      <c r="CL1025" s="37">
        <v>0</v>
      </c>
      <c r="CM1025" s="37">
        <v>0</v>
      </c>
      <c r="CN1025" s="37">
        <v>0</v>
      </c>
      <c r="CO1025" s="37">
        <v>0</v>
      </c>
      <c r="CP1025" s="37">
        <v>0</v>
      </c>
      <c r="CQ1025" s="37">
        <v>0</v>
      </c>
      <c r="CR1025" s="37">
        <v>0</v>
      </c>
      <c r="CS1025" s="37">
        <v>0</v>
      </c>
      <c r="CT1025" s="37">
        <v>0</v>
      </c>
      <c r="CU1025" s="37">
        <v>0</v>
      </c>
      <c r="CV1025" s="37">
        <v>0</v>
      </c>
      <c r="CW1025" s="37">
        <v>0</v>
      </c>
      <c r="CX1025" s="37">
        <v>0</v>
      </c>
      <c r="CY1025" s="37">
        <v>0</v>
      </c>
      <c r="CZ1025" s="37">
        <v>0</v>
      </c>
      <c r="DA1025" s="37">
        <v>0</v>
      </c>
      <c r="DB1025" s="37">
        <v>0</v>
      </c>
      <c r="DC1025" s="37">
        <v>0</v>
      </c>
      <c r="DD1025" s="37">
        <v>0</v>
      </c>
      <c r="DE1025" s="37">
        <v>0</v>
      </c>
      <c r="DF1025" s="37">
        <v>0</v>
      </c>
      <c r="DG1025" s="37">
        <v>0</v>
      </c>
      <c r="DH1025" s="37">
        <v>0</v>
      </c>
      <c r="DI1025" s="37">
        <v>0</v>
      </c>
      <c r="DJ1025" s="37">
        <v>0</v>
      </c>
      <c r="DK1025" s="37">
        <v>0</v>
      </c>
      <c r="DL1025" s="37">
        <v>0</v>
      </c>
      <c r="DM1025" s="37">
        <v>0</v>
      </c>
      <c r="DN1025" s="37">
        <v>0</v>
      </c>
      <c r="DO1025" s="37">
        <v>0</v>
      </c>
      <c r="DP1025" s="37">
        <v>0</v>
      </c>
      <c r="DQ1025" s="37">
        <v>0</v>
      </c>
      <c r="DR1025" s="37">
        <v>0</v>
      </c>
      <c r="DS1025" s="37">
        <v>0</v>
      </c>
      <c r="DT1025" s="37">
        <v>0</v>
      </c>
      <c r="DU1025" s="37">
        <v>0</v>
      </c>
      <c r="DV1025" s="37">
        <v>0</v>
      </c>
      <c r="DW1025" s="37">
        <v>0</v>
      </c>
      <c r="DX1025" s="37">
        <v>0</v>
      </c>
      <c r="DY1025" s="37">
        <v>0</v>
      </c>
      <c r="DZ1025" s="37">
        <v>0</v>
      </c>
      <c r="EA1025" s="37">
        <v>0</v>
      </c>
      <c r="EB1025" s="37">
        <v>0</v>
      </c>
      <c r="EC1025" s="37">
        <v>0</v>
      </c>
      <c r="ED1025" s="37">
        <v>0</v>
      </c>
      <c r="EE1025" s="37">
        <v>0</v>
      </c>
      <c r="EF1025" s="37">
        <v>0</v>
      </c>
      <c r="EG1025" s="37">
        <v>0</v>
      </c>
      <c r="EH1025" s="37">
        <v>0</v>
      </c>
      <c r="EI1025" s="37">
        <v>0</v>
      </c>
      <c r="EJ1025" s="37">
        <v>0</v>
      </c>
      <c r="EK1025" s="161" t="s">
        <v>3490</v>
      </c>
      <c r="EL1025" s="294" t="s">
        <v>1124</v>
      </c>
    </row>
    <row r="1026" spans="1:142" ht="15" customHeight="1" x14ac:dyDescent="0.35">
      <c r="A1026" s="34"/>
      <c r="B1026" s="313">
        <v>7035</v>
      </c>
      <c r="C1026" s="8" t="s">
        <v>1073</v>
      </c>
      <c r="D1026" s="18">
        <v>1</v>
      </c>
      <c r="E1026" s="155"/>
      <c r="F1026" s="36"/>
      <c r="G1026" s="37"/>
      <c r="H1026" s="37"/>
      <c r="I1026" s="37"/>
      <c r="J1026" s="37"/>
      <c r="K1026" s="37"/>
      <c r="L1026" s="37"/>
      <c r="M1026" s="37" t="s">
        <v>1124</v>
      </c>
      <c r="N1026" s="37" t="s">
        <v>1124</v>
      </c>
      <c r="O1026" s="37"/>
      <c r="P1026" s="37"/>
      <c r="Q1026" s="37"/>
      <c r="R1026" s="37"/>
      <c r="S1026" s="37"/>
      <c r="T1026" s="37"/>
      <c r="U1026" s="37"/>
      <c r="V1026" s="37"/>
      <c r="W1026" s="37"/>
      <c r="X1026" s="37"/>
      <c r="Y1026" s="37"/>
      <c r="Z1026" s="37"/>
      <c r="AA1026" s="37" t="s">
        <v>1124</v>
      </c>
      <c r="AB1026" s="37" t="s">
        <v>1124</v>
      </c>
      <c r="AC1026" s="37"/>
      <c r="AD1026" s="37"/>
      <c r="AE1026" s="37"/>
      <c r="AF1026" s="168"/>
      <c r="AG1026" s="37"/>
      <c r="AH1026" s="37"/>
      <c r="AI1026" s="37"/>
      <c r="AJ1026" s="37"/>
      <c r="AK1026" s="37"/>
      <c r="AL1026" s="37"/>
      <c r="AM1026" s="37"/>
      <c r="AN1026" s="37"/>
      <c r="AO1026" s="37"/>
      <c r="AP1026" s="37"/>
      <c r="AQ1026" s="37"/>
      <c r="AR1026" s="37" t="s">
        <v>1124</v>
      </c>
      <c r="AS1026" s="37"/>
      <c r="AT1026" s="37"/>
      <c r="AU1026" s="37"/>
      <c r="AV1026" s="37"/>
      <c r="AW1026" s="37"/>
      <c r="AX1026" s="37"/>
      <c r="AY1026" s="37"/>
      <c r="AZ1026" s="37"/>
      <c r="BA1026" s="37"/>
      <c r="BB1026" s="37"/>
      <c r="BC1026" s="37"/>
      <c r="BD1026" s="37" t="s">
        <v>1124</v>
      </c>
      <c r="BE1026" s="37"/>
      <c r="BF1026" s="37"/>
      <c r="BG1026" s="37"/>
      <c r="BH1026" s="37"/>
      <c r="BI1026" s="37"/>
      <c r="BJ1026" s="37"/>
      <c r="BK1026" s="37"/>
      <c r="BL1026" s="37"/>
      <c r="BM1026" s="37"/>
      <c r="BN1026" s="37"/>
      <c r="BO1026" s="37"/>
      <c r="BP1026" s="37">
        <v>0</v>
      </c>
      <c r="BQ1026" s="37"/>
      <c r="BR1026" s="37"/>
      <c r="BS1026" s="37"/>
      <c r="BT1026" s="37"/>
      <c r="BU1026" s="37"/>
      <c r="BV1026" s="37"/>
      <c r="BW1026" s="37"/>
      <c r="BX1026" s="37"/>
      <c r="BY1026" s="37"/>
      <c r="BZ1026" s="37"/>
      <c r="CA1026" s="37"/>
      <c r="CB1026" s="37" t="s">
        <v>1124</v>
      </c>
      <c r="CC1026" s="37"/>
      <c r="CD1026" s="37"/>
      <c r="CE1026" s="37"/>
      <c r="CF1026" s="37"/>
      <c r="CG1026" s="37"/>
      <c r="CH1026" s="37"/>
      <c r="CI1026" s="37"/>
      <c r="CJ1026" s="37"/>
      <c r="CK1026" s="37"/>
      <c r="CL1026" s="37"/>
      <c r="CM1026" s="37"/>
      <c r="CN1026" s="37" t="s">
        <v>1124</v>
      </c>
      <c r="CO1026" s="37"/>
      <c r="CP1026" s="37"/>
      <c r="CQ1026" s="37"/>
      <c r="CR1026" s="37"/>
      <c r="CS1026" s="37"/>
      <c r="CT1026" s="37"/>
      <c r="CU1026" s="37"/>
      <c r="CV1026" s="37"/>
      <c r="CW1026" s="37"/>
      <c r="CX1026" s="37"/>
      <c r="CY1026" s="37"/>
      <c r="CZ1026" s="37" t="s">
        <v>1124</v>
      </c>
      <c r="DA1026" s="37"/>
      <c r="DB1026" s="37"/>
      <c r="DC1026" s="37"/>
      <c r="DD1026" s="37"/>
      <c r="DE1026" s="37"/>
      <c r="DF1026" s="37"/>
      <c r="DG1026" s="37"/>
      <c r="DH1026" s="37"/>
      <c r="DI1026" s="37"/>
      <c r="DJ1026" s="37"/>
      <c r="DK1026" s="37"/>
      <c r="DL1026" s="37" t="s">
        <v>1124</v>
      </c>
      <c r="DM1026" s="37"/>
      <c r="DN1026" s="37"/>
      <c r="DO1026" s="37"/>
      <c r="DP1026" s="37"/>
      <c r="DQ1026" s="37"/>
      <c r="DR1026" s="37"/>
      <c r="DS1026" s="37"/>
      <c r="DT1026" s="37"/>
      <c r="DU1026" s="37"/>
      <c r="DV1026" s="37"/>
      <c r="DW1026" s="37"/>
      <c r="DX1026" s="37" t="s">
        <v>1124</v>
      </c>
      <c r="DY1026" s="37"/>
      <c r="DZ1026" s="37"/>
      <c r="EA1026" s="37"/>
      <c r="EB1026" s="37"/>
      <c r="EC1026" s="37"/>
      <c r="ED1026" s="37"/>
      <c r="EE1026" s="37"/>
      <c r="EF1026" s="37"/>
      <c r="EG1026" s="37"/>
      <c r="EH1026" s="37"/>
      <c r="EI1026" s="37"/>
      <c r="EJ1026" s="37" t="s">
        <v>1124</v>
      </c>
      <c r="EK1026" s="161"/>
      <c r="EL1026" s="294"/>
    </row>
    <row r="1027" spans="1:142" ht="15" customHeight="1" x14ac:dyDescent="0.35">
      <c r="A1027" s="34"/>
      <c r="B1027" s="314">
        <v>50090</v>
      </c>
      <c r="C1027" s="8" t="s">
        <v>493</v>
      </c>
      <c r="D1027" s="18">
        <v>17</v>
      </c>
      <c r="E1027" s="155">
        <v>232426</v>
      </c>
      <c r="F1027" s="36">
        <v>16900</v>
      </c>
      <c r="G1027" s="37">
        <v>70833</v>
      </c>
      <c r="H1027" s="37">
        <v>0</v>
      </c>
      <c r="I1027" s="37">
        <v>308100</v>
      </c>
      <c r="J1027" s="37">
        <v>0</v>
      </c>
      <c r="K1027" s="37">
        <v>34863.9</v>
      </c>
      <c r="L1027" s="37">
        <v>2535</v>
      </c>
      <c r="M1027" s="37">
        <v>646222.9</v>
      </c>
      <c r="N1027" s="37">
        <v>19435</v>
      </c>
      <c r="O1027" s="37">
        <v>129075</v>
      </c>
      <c r="P1027" s="37">
        <v>0</v>
      </c>
      <c r="Q1027" s="37">
        <v>49200</v>
      </c>
      <c r="R1027" s="37">
        <v>13300</v>
      </c>
      <c r="S1027" s="37">
        <v>0</v>
      </c>
      <c r="T1027" s="37">
        <v>0</v>
      </c>
      <c r="U1027" s="37">
        <v>-1049</v>
      </c>
      <c r="V1027" s="37">
        <v>0</v>
      </c>
      <c r="W1027" s="37">
        <v>476840</v>
      </c>
      <c r="X1027" s="37">
        <v>13979</v>
      </c>
      <c r="Y1027" s="37">
        <v>0</v>
      </c>
      <c r="Z1027" s="37">
        <v>0</v>
      </c>
      <c r="AA1027" s="37">
        <v>654066</v>
      </c>
      <c r="AB1027" s="37">
        <v>27279</v>
      </c>
      <c r="AC1027" s="37">
        <v>15687.099999999977</v>
      </c>
      <c r="AD1027" s="37">
        <v>15687</v>
      </c>
      <c r="AE1027" s="37">
        <v>142697</v>
      </c>
      <c r="AF1027" s="168">
        <v>0.02</v>
      </c>
      <c r="AG1027" s="37">
        <v>23720002.91</v>
      </c>
      <c r="AH1027" s="37">
        <v>216295.08</v>
      </c>
      <c r="AI1027" s="37">
        <v>204806.9</v>
      </c>
      <c r="AJ1027" s="37">
        <v>208903.04000000001</v>
      </c>
      <c r="AK1027" s="37">
        <v>213081.1</v>
      </c>
      <c r="AL1027" s="37">
        <v>217342.72</v>
      </c>
      <c r="AM1027" s="37">
        <v>221689.58</v>
      </c>
      <c r="AN1027" s="37">
        <v>226123.37</v>
      </c>
      <c r="AO1027" s="37">
        <v>230645.84</v>
      </c>
      <c r="AP1027" s="37">
        <v>235258.75</v>
      </c>
      <c r="AQ1027" s="37">
        <v>239963.93</v>
      </c>
      <c r="AR1027" s="37">
        <v>2214110.31</v>
      </c>
      <c r="AS1027" s="37">
        <v>3370484.94</v>
      </c>
      <c r="AT1027" s="37">
        <v>0</v>
      </c>
      <c r="AU1027" s="37">
        <v>780300</v>
      </c>
      <c r="AV1027" s="37">
        <v>1591812</v>
      </c>
      <c r="AW1027" s="37">
        <v>0</v>
      </c>
      <c r="AX1027" s="37">
        <v>0</v>
      </c>
      <c r="AY1027" s="37">
        <v>0</v>
      </c>
      <c r="AZ1027" s="37">
        <v>0</v>
      </c>
      <c r="BA1027" s="37">
        <v>0</v>
      </c>
      <c r="BB1027" s="37">
        <v>0</v>
      </c>
      <c r="BC1027" s="37">
        <v>0</v>
      </c>
      <c r="BD1027" s="37">
        <v>2372112</v>
      </c>
      <c r="BE1027" s="37">
        <v>0</v>
      </c>
      <c r="BF1027" s="37">
        <v>0</v>
      </c>
      <c r="BG1027" s="37">
        <v>2756554</v>
      </c>
      <c r="BH1027" s="37">
        <v>0</v>
      </c>
      <c r="BI1027" s="37">
        <v>0</v>
      </c>
      <c r="BJ1027" s="37">
        <v>0</v>
      </c>
      <c r="BK1027" s="37">
        <v>0</v>
      </c>
      <c r="BL1027" s="37">
        <v>0</v>
      </c>
      <c r="BM1027" s="37">
        <v>0</v>
      </c>
      <c r="BN1027" s="37">
        <v>0</v>
      </c>
      <c r="BO1027" s="37">
        <v>0</v>
      </c>
      <c r="BP1027" s="37">
        <v>2756554</v>
      </c>
      <c r="BQ1027" s="37">
        <v>0</v>
      </c>
      <c r="BR1027" s="37">
        <v>0</v>
      </c>
      <c r="BS1027" s="37">
        <v>2243446</v>
      </c>
      <c r="BT1027" s="37">
        <v>1500000</v>
      </c>
      <c r="BU1027" s="37">
        <v>0</v>
      </c>
      <c r="BV1027" s="37">
        <v>0</v>
      </c>
      <c r="BW1027" s="37">
        <v>0</v>
      </c>
      <c r="BX1027" s="37">
        <v>0</v>
      </c>
      <c r="BY1027" s="37">
        <v>0</v>
      </c>
      <c r="BZ1027" s="37">
        <v>0</v>
      </c>
      <c r="CA1027" s="37">
        <v>0</v>
      </c>
      <c r="CB1027" s="37">
        <v>3743446</v>
      </c>
      <c r="CC1027" s="37">
        <v>0</v>
      </c>
      <c r="CD1027" s="37">
        <v>15200</v>
      </c>
      <c r="CE1027" s="37">
        <v>0</v>
      </c>
      <c r="CF1027" s="37">
        <v>0</v>
      </c>
      <c r="CG1027" s="37">
        <v>0</v>
      </c>
      <c r="CH1027" s="37">
        <v>0</v>
      </c>
      <c r="CI1027" s="37">
        <v>0</v>
      </c>
      <c r="CJ1027" s="37">
        <v>0</v>
      </c>
      <c r="CK1027" s="37">
        <v>0</v>
      </c>
      <c r="CL1027" s="37">
        <v>0</v>
      </c>
      <c r="CM1027" s="37">
        <v>0</v>
      </c>
      <c r="CN1027" s="37">
        <v>15200</v>
      </c>
      <c r="CO1027" s="37">
        <v>0</v>
      </c>
      <c r="CP1027" s="37">
        <v>0</v>
      </c>
      <c r="CQ1027" s="37">
        <v>0</v>
      </c>
      <c r="CR1027" s="37">
        <v>0</v>
      </c>
      <c r="CS1027" s="37">
        <v>0</v>
      </c>
      <c r="CT1027" s="37">
        <v>0</v>
      </c>
      <c r="CU1027" s="37">
        <v>0</v>
      </c>
      <c r="CV1027" s="37">
        <v>0</v>
      </c>
      <c r="CW1027" s="37">
        <v>0</v>
      </c>
      <c r="CX1027" s="37">
        <v>0</v>
      </c>
      <c r="CY1027" s="37">
        <v>0</v>
      </c>
      <c r="CZ1027" s="37">
        <v>0</v>
      </c>
      <c r="DA1027" s="37">
        <v>0</v>
      </c>
      <c r="DB1027" s="37">
        <v>0</v>
      </c>
      <c r="DC1027" s="37">
        <v>750000</v>
      </c>
      <c r="DD1027" s="37">
        <v>1500000</v>
      </c>
      <c r="DE1027" s="37">
        <v>0</v>
      </c>
      <c r="DF1027" s="37">
        <v>0</v>
      </c>
      <c r="DG1027" s="37">
        <v>0</v>
      </c>
      <c r="DH1027" s="37">
        <v>0</v>
      </c>
      <c r="DI1027" s="37">
        <v>0</v>
      </c>
      <c r="DJ1027" s="37">
        <v>0</v>
      </c>
      <c r="DK1027" s="37">
        <v>0</v>
      </c>
      <c r="DL1027" s="37">
        <v>2250000</v>
      </c>
      <c r="DM1027" s="37">
        <v>0</v>
      </c>
      <c r="DN1027" s="37">
        <v>0</v>
      </c>
      <c r="DO1027" s="37">
        <v>0</v>
      </c>
      <c r="DP1027" s="37">
        <v>0</v>
      </c>
      <c r="DQ1027" s="37">
        <v>0</v>
      </c>
      <c r="DR1027" s="37">
        <v>0</v>
      </c>
      <c r="DS1027" s="37">
        <v>0</v>
      </c>
      <c r="DT1027" s="37">
        <v>0</v>
      </c>
      <c r="DU1027" s="37">
        <v>0</v>
      </c>
      <c r="DV1027" s="37">
        <v>0</v>
      </c>
      <c r="DW1027" s="37">
        <v>0</v>
      </c>
      <c r="DX1027" s="37">
        <v>0</v>
      </c>
      <c r="DY1027" s="37">
        <v>0</v>
      </c>
      <c r="DZ1027" s="37">
        <v>0</v>
      </c>
      <c r="EA1027" s="37">
        <v>0</v>
      </c>
      <c r="EB1027" s="37">
        <v>0</v>
      </c>
      <c r="EC1027" s="37">
        <v>0</v>
      </c>
      <c r="ED1027" s="37">
        <v>0</v>
      </c>
      <c r="EE1027" s="37">
        <v>0</v>
      </c>
      <c r="EF1027" s="37">
        <v>0</v>
      </c>
      <c r="EG1027" s="37">
        <v>0</v>
      </c>
      <c r="EH1027" s="37">
        <v>0</v>
      </c>
      <c r="EI1027" s="37">
        <v>0</v>
      </c>
      <c r="EJ1027" s="37">
        <v>0</v>
      </c>
      <c r="EK1027" s="161" t="s">
        <v>3493</v>
      </c>
      <c r="EL1027" s="294" t="s">
        <v>1124</v>
      </c>
    </row>
    <row r="1028" spans="1:142" ht="15" customHeight="1" x14ac:dyDescent="0.35">
      <c r="A1028" s="34"/>
      <c r="B1028" s="313">
        <v>71025</v>
      </c>
      <c r="C1028" s="8" t="s">
        <v>707</v>
      </c>
      <c r="D1028" s="18">
        <v>16</v>
      </c>
      <c r="E1028" s="155">
        <v>435813</v>
      </c>
      <c r="F1028" s="36">
        <v>571478</v>
      </c>
      <c r="G1028" s="37">
        <v>44026</v>
      </c>
      <c r="H1028" s="37">
        <v>16263</v>
      </c>
      <c r="I1028" s="37">
        <v>178700</v>
      </c>
      <c r="J1028" s="37">
        <v>108474</v>
      </c>
      <c r="K1028" s="37">
        <v>65371.95</v>
      </c>
      <c r="L1028" s="37">
        <v>85721.7</v>
      </c>
      <c r="M1028" s="37">
        <v>723910.95</v>
      </c>
      <c r="N1028" s="37">
        <v>781936.7</v>
      </c>
      <c r="O1028" s="37">
        <v>4368</v>
      </c>
      <c r="P1028" s="37">
        <v>0</v>
      </c>
      <c r="Q1028" s="37">
        <v>437328</v>
      </c>
      <c r="R1028" s="37">
        <v>573041</v>
      </c>
      <c r="S1028" s="37">
        <v>31956</v>
      </c>
      <c r="T1028" s="37">
        <v>0</v>
      </c>
      <c r="U1028" s="37">
        <v>0</v>
      </c>
      <c r="V1028" s="37">
        <v>0</v>
      </c>
      <c r="W1028" s="37">
        <v>250258.94999999995</v>
      </c>
      <c r="X1028" s="37">
        <v>208895.69999999995</v>
      </c>
      <c r="Y1028" s="37">
        <v>0</v>
      </c>
      <c r="Z1028" s="37">
        <v>0</v>
      </c>
      <c r="AA1028" s="37">
        <v>723910.95</v>
      </c>
      <c r="AB1028" s="37">
        <v>781936.7</v>
      </c>
      <c r="AC1028" s="37">
        <v>0</v>
      </c>
      <c r="AD1028" s="37">
        <v>0</v>
      </c>
      <c r="AE1028" s="37">
        <v>0</v>
      </c>
      <c r="AF1028" s="168">
        <v>0.02</v>
      </c>
      <c r="AG1028" s="37">
        <v>233573476.09</v>
      </c>
      <c r="AH1028" s="37">
        <v>2436371.17</v>
      </c>
      <c r="AI1028" s="37">
        <v>2395416.11</v>
      </c>
      <c r="AJ1028" s="37">
        <v>2443324.4300000002</v>
      </c>
      <c r="AK1028" s="37">
        <v>2492190.92</v>
      </c>
      <c r="AL1028" s="37">
        <v>2542034.7400000002</v>
      </c>
      <c r="AM1028" s="37">
        <v>2592875.4300000002</v>
      </c>
      <c r="AN1028" s="37">
        <v>2644732.94</v>
      </c>
      <c r="AO1028" s="37">
        <v>2697627.6</v>
      </c>
      <c r="AP1028" s="37">
        <v>2751580.15</v>
      </c>
      <c r="AQ1028" s="37">
        <v>2806611.76</v>
      </c>
      <c r="AR1028" s="37">
        <v>25802765.25</v>
      </c>
      <c r="AS1028" s="37">
        <v>3437623.58</v>
      </c>
      <c r="AT1028" s="37">
        <v>18245349.140000001</v>
      </c>
      <c r="AU1028" s="37">
        <v>10137262.25</v>
      </c>
      <c r="AV1028" s="37">
        <v>11967369.960000001</v>
      </c>
      <c r="AW1028" s="37">
        <v>4416323.21</v>
      </c>
      <c r="AX1028" s="37">
        <v>0</v>
      </c>
      <c r="AY1028" s="37">
        <v>0</v>
      </c>
      <c r="AZ1028" s="37">
        <v>0</v>
      </c>
      <c r="BA1028" s="37">
        <v>0</v>
      </c>
      <c r="BB1028" s="37">
        <v>0</v>
      </c>
      <c r="BC1028" s="37">
        <v>0</v>
      </c>
      <c r="BD1028" s="37">
        <v>44766304.560000002</v>
      </c>
      <c r="BE1028" s="37">
        <v>1988808</v>
      </c>
      <c r="BF1028" s="37">
        <v>0</v>
      </c>
      <c r="BG1028" s="37">
        <v>0</v>
      </c>
      <c r="BH1028" s="37">
        <v>0</v>
      </c>
      <c r="BI1028" s="37">
        <v>0</v>
      </c>
      <c r="BJ1028" s="37">
        <v>0</v>
      </c>
      <c r="BK1028" s="37">
        <v>0</v>
      </c>
      <c r="BL1028" s="37">
        <v>0</v>
      </c>
      <c r="BM1028" s="37">
        <v>0</v>
      </c>
      <c r="BN1028" s="37">
        <v>0</v>
      </c>
      <c r="BO1028" s="37">
        <v>0</v>
      </c>
      <c r="BP1028" s="37">
        <v>0</v>
      </c>
      <c r="BQ1028" s="37">
        <v>891125</v>
      </c>
      <c r="BR1028" s="37">
        <v>0</v>
      </c>
      <c r="BS1028" s="37">
        <v>0</v>
      </c>
      <c r="BT1028" s="37">
        <v>0</v>
      </c>
      <c r="BU1028" s="37">
        <v>0</v>
      </c>
      <c r="BV1028" s="37">
        <v>0</v>
      </c>
      <c r="BW1028" s="37">
        <v>0</v>
      </c>
      <c r="BX1028" s="37">
        <v>0</v>
      </c>
      <c r="BY1028" s="37">
        <v>0</v>
      </c>
      <c r="BZ1028" s="37">
        <v>0</v>
      </c>
      <c r="CA1028" s="37">
        <v>0</v>
      </c>
      <c r="CB1028" s="37">
        <v>0</v>
      </c>
      <c r="CC1028" s="37">
        <v>0</v>
      </c>
      <c r="CD1028" s="37">
        <v>0</v>
      </c>
      <c r="CE1028" s="37">
        <v>0</v>
      </c>
      <c r="CF1028" s="37">
        <v>0</v>
      </c>
      <c r="CG1028" s="37">
        <v>0</v>
      </c>
      <c r="CH1028" s="37">
        <v>0</v>
      </c>
      <c r="CI1028" s="37">
        <v>0</v>
      </c>
      <c r="CJ1028" s="37">
        <v>0</v>
      </c>
      <c r="CK1028" s="37">
        <v>0</v>
      </c>
      <c r="CL1028" s="37">
        <v>0</v>
      </c>
      <c r="CM1028" s="37">
        <v>0</v>
      </c>
      <c r="CN1028" s="37">
        <v>0</v>
      </c>
      <c r="CO1028" s="37">
        <v>0</v>
      </c>
      <c r="CP1028" s="37">
        <v>0</v>
      </c>
      <c r="CQ1028" s="37">
        <v>0</v>
      </c>
      <c r="CR1028" s="37">
        <v>0</v>
      </c>
      <c r="CS1028" s="37">
        <v>0</v>
      </c>
      <c r="CT1028" s="37">
        <v>0</v>
      </c>
      <c r="CU1028" s="37">
        <v>0</v>
      </c>
      <c r="CV1028" s="37">
        <v>0</v>
      </c>
      <c r="CW1028" s="37">
        <v>0</v>
      </c>
      <c r="CX1028" s="37">
        <v>0</v>
      </c>
      <c r="CY1028" s="37">
        <v>0</v>
      </c>
      <c r="CZ1028" s="37">
        <v>0</v>
      </c>
      <c r="DA1028" s="37">
        <v>0</v>
      </c>
      <c r="DB1028" s="37">
        <v>0</v>
      </c>
      <c r="DC1028" s="37">
        <v>0</v>
      </c>
      <c r="DD1028" s="37">
        <v>0</v>
      </c>
      <c r="DE1028" s="37">
        <v>0</v>
      </c>
      <c r="DF1028" s="37">
        <v>0</v>
      </c>
      <c r="DG1028" s="37">
        <v>0</v>
      </c>
      <c r="DH1028" s="37">
        <v>0</v>
      </c>
      <c r="DI1028" s="37">
        <v>0</v>
      </c>
      <c r="DJ1028" s="37">
        <v>0</v>
      </c>
      <c r="DK1028" s="37">
        <v>0</v>
      </c>
      <c r="DL1028" s="37">
        <v>0</v>
      </c>
      <c r="DM1028" s="37">
        <v>0</v>
      </c>
      <c r="DN1028" s="37">
        <v>0</v>
      </c>
      <c r="DO1028" s="37">
        <v>0</v>
      </c>
      <c r="DP1028" s="37">
        <v>0</v>
      </c>
      <c r="DQ1028" s="37">
        <v>0</v>
      </c>
      <c r="DR1028" s="37">
        <v>0</v>
      </c>
      <c r="DS1028" s="37">
        <v>0</v>
      </c>
      <c r="DT1028" s="37">
        <v>0</v>
      </c>
      <c r="DU1028" s="37">
        <v>0</v>
      </c>
      <c r="DV1028" s="37">
        <v>0</v>
      </c>
      <c r="DW1028" s="37">
        <v>0</v>
      </c>
      <c r="DX1028" s="37">
        <v>0</v>
      </c>
      <c r="DY1028" s="37">
        <v>0</v>
      </c>
      <c r="DZ1028" s="37">
        <v>0</v>
      </c>
      <c r="EA1028" s="37">
        <v>0</v>
      </c>
      <c r="EB1028" s="37">
        <v>0</v>
      </c>
      <c r="EC1028" s="37">
        <v>0</v>
      </c>
      <c r="ED1028" s="37">
        <v>0</v>
      </c>
      <c r="EE1028" s="37">
        <v>0</v>
      </c>
      <c r="EF1028" s="37">
        <v>0</v>
      </c>
      <c r="EG1028" s="37">
        <v>0</v>
      </c>
      <c r="EH1028" s="37">
        <v>0</v>
      </c>
      <c r="EI1028" s="37">
        <v>0</v>
      </c>
      <c r="EJ1028" s="37">
        <v>0</v>
      </c>
      <c r="EK1028" s="161" t="s">
        <v>3497</v>
      </c>
      <c r="EL1028" s="294" t="s">
        <v>1124</v>
      </c>
    </row>
    <row r="1029" spans="1:142" ht="15" customHeight="1" x14ac:dyDescent="0.35">
      <c r="A1029" s="34"/>
      <c r="B1029" s="313">
        <v>70052</v>
      </c>
      <c r="C1029" s="8" t="s">
        <v>703</v>
      </c>
      <c r="D1029" s="18">
        <v>16</v>
      </c>
      <c r="E1029" s="155"/>
      <c r="F1029" s="36"/>
      <c r="G1029" s="37"/>
      <c r="H1029" s="37"/>
      <c r="I1029" s="37"/>
      <c r="J1029" s="37"/>
      <c r="K1029" s="37"/>
      <c r="L1029" s="37"/>
      <c r="M1029" s="37" t="s">
        <v>1124</v>
      </c>
      <c r="N1029" s="37" t="s">
        <v>1124</v>
      </c>
      <c r="O1029" s="37"/>
      <c r="P1029" s="37"/>
      <c r="Q1029" s="37"/>
      <c r="R1029" s="37"/>
      <c r="S1029" s="37"/>
      <c r="T1029" s="37"/>
      <c r="U1029" s="37"/>
      <c r="V1029" s="37"/>
      <c r="W1029" s="37"/>
      <c r="X1029" s="37"/>
      <c r="Y1029" s="37"/>
      <c r="Z1029" s="37"/>
      <c r="AA1029" s="37" t="s">
        <v>1124</v>
      </c>
      <c r="AB1029" s="37" t="s">
        <v>1124</v>
      </c>
      <c r="AC1029" s="37"/>
      <c r="AD1029" s="37"/>
      <c r="AE1029" s="37"/>
      <c r="AF1029" s="168"/>
      <c r="AG1029" s="37"/>
      <c r="AH1029" s="37"/>
      <c r="AI1029" s="37"/>
      <c r="AJ1029" s="37"/>
      <c r="AK1029" s="37"/>
      <c r="AL1029" s="37"/>
      <c r="AM1029" s="37"/>
      <c r="AN1029" s="37"/>
      <c r="AO1029" s="37"/>
      <c r="AP1029" s="37"/>
      <c r="AQ1029" s="37"/>
      <c r="AR1029" s="37" t="s">
        <v>1124</v>
      </c>
      <c r="AS1029" s="37"/>
      <c r="AT1029" s="37"/>
      <c r="AU1029" s="37"/>
      <c r="AV1029" s="37"/>
      <c r="AW1029" s="37"/>
      <c r="AX1029" s="37"/>
      <c r="AY1029" s="37"/>
      <c r="AZ1029" s="37"/>
      <c r="BA1029" s="37"/>
      <c r="BB1029" s="37"/>
      <c r="BC1029" s="37"/>
      <c r="BD1029" s="37" t="s">
        <v>1124</v>
      </c>
      <c r="BE1029" s="37"/>
      <c r="BF1029" s="37"/>
      <c r="BG1029" s="37"/>
      <c r="BH1029" s="37"/>
      <c r="BI1029" s="37"/>
      <c r="BJ1029" s="37"/>
      <c r="BK1029" s="37"/>
      <c r="BL1029" s="37"/>
      <c r="BM1029" s="37"/>
      <c r="BN1029" s="37"/>
      <c r="BO1029" s="37"/>
      <c r="BP1029" s="37">
        <v>0</v>
      </c>
      <c r="BQ1029" s="37"/>
      <c r="BR1029" s="37"/>
      <c r="BS1029" s="37"/>
      <c r="BT1029" s="37"/>
      <c r="BU1029" s="37"/>
      <c r="BV1029" s="37"/>
      <c r="BW1029" s="37"/>
      <c r="BX1029" s="37"/>
      <c r="BY1029" s="37"/>
      <c r="BZ1029" s="37"/>
      <c r="CA1029" s="37"/>
      <c r="CB1029" s="37" t="s">
        <v>1124</v>
      </c>
      <c r="CC1029" s="37"/>
      <c r="CD1029" s="37"/>
      <c r="CE1029" s="37"/>
      <c r="CF1029" s="37"/>
      <c r="CG1029" s="37"/>
      <c r="CH1029" s="37"/>
      <c r="CI1029" s="37"/>
      <c r="CJ1029" s="37"/>
      <c r="CK1029" s="37"/>
      <c r="CL1029" s="37"/>
      <c r="CM1029" s="37"/>
      <c r="CN1029" s="37" t="s">
        <v>1124</v>
      </c>
      <c r="CO1029" s="37"/>
      <c r="CP1029" s="37"/>
      <c r="CQ1029" s="37"/>
      <c r="CR1029" s="37"/>
      <c r="CS1029" s="37"/>
      <c r="CT1029" s="37"/>
      <c r="CU1029" s="37"/>
      <c r="CV1029" s="37"/>
      <c r="CW1029" s="37"/>
      <c r="CX1029" s="37"/>
      <c r="CY1029" s="37"/>
      <c r="CZ1029" s="37" t="s">
        <v>1124</v>
      </c>
      <c r="DA1029" s="37"/>
      <c r="DB1029" s="37"/>
      <c r="DC1029" s="37"/>
      <c r="DD1029" s="37"/>
      <c r="DE1029" s="37"/>
      <c r="DF1029" s="37"/>
      <c r="DG1029" s="37"/>
      <c r="DH1029" s="37"/>
      <c r="DI1029" s="37"/>
      <c r="DJ1029" s="37"/>
      <c r="DK1029" s="37"/>
      <c r="DL1029" s="37" t="s">
        <v>1124</v>
      </c>
      <c r="DM1029" s="37"/>
      <c r="DN1029" s="37"/>
      <c r="DO1029" s="37"/>
      <c r="DP1029" s="37"/>
      <c r="DQ1029" s="37"/>
      <c r="DR1029" s="37"/>
      <c r="DS1029" s="37"/>
      <c r="DT1029" s="37"/>
      <c r="DU1029" s="37"/>
      <c r="DV1029" s="37"/>
      <c r="DW1029" s="37"/>
      <c r="DX1029" s="37" t="s">
        <v>1124</v>
      </c>
      <c r="DY1029" s="37"/>
      <c r="DZ1029" s="37"/>
      <c r="EA1029" s="37"/>
      <c r="EB1029" s="37"/>
      <c r="EC1029" s="37"/>
      <c r="ED1029" s="37"/>
      <c r="EE1029" s="37"/>
      <c r="EF1029" s="37"/>
      <c r="EG1029" s="37"/>
      <c r="EH1029" s="37"/>
      <c r="EI1029" s="37"/>
      <c r="EJ1029" s="37" t="s">
        <v>1124</v>
      </c>
      <c r="EK1029" s="161"/>
      <c r="EL1029" s="294"/>
    </row>
    <row r="1030" spans="1:142" ht="15" customHeight="1" x14ac:dyDescent="0.35">
      <c r="A1030" s="34"/>
      <c r="B1030" s="313">
        <v>7085</v>
      </c>
      <c r="C1030" s="8" t="s">
        <v>1081</v>
      </c>
      <c r="D1030" s="18">
        <v>1</v>
      </c>
      <c r="E1030" s="155">
        <v>211213</v>
      </c>
      <c r="F1030" s="36">
        <v>174635</v>
      </c>
      <c r="G1030" s="37">
        <v>139328</v>
      </c>
      <c r="H1030" s="37">
        <v>13301</v>
      </c>
      <c r="I1030" s="37">
        <v>83778</v>
      </c>
      <c r="J1030" s="37">
        <v>38910</v>
      </c>
      <c r="K1030" s="37">
        <v>31682</v>
      </c>
      <c r="L1030" s="37">
        <v>26195</v>
      </c>
      <c r="M1030" s="37">
        <v>466001</v>
      </c>
      <c r="N1030" s="37">
        <v>253041</v>
      </c>
      <c r="O1030" s="37">
        <v>0</v>
      </c>
      <c r="P1030" s="37">
        <v>0</v>
      </c>
      <c r="Q1030" s="37">
        <v>371901</v>
      </c>
      <c r="R1030" s="37">
        <v>186239</v>
      </c>
      <c r="S1030" s="37">
        <v>0</v>
      </c>
      <c r="T1030" s="37">
        <v>0</v>
      </c>
      <c r="U1030" s="37">
        <v>0</v>
      </c>
      <c r="V1030" s="37">
        <v>0</v>
      </c>
      <c r="W1030" s="37">
        <v>80451</v>
      </c>
      <c r="X1030" s="37">
        <v>80451</v>
      </c>
      <c r="Y1030" s="37">
        <v>0</v>
      </c>
      <c r="Z1030" s="37">
        <v>0</v>
      </c>
      <c r="AA1030" s="37">
        <v>452352</v>
      </c>
      <c r="AB1030" s="37">
        <v>266690</v>
      </c>
      <c r="AC1030" s="37">
        <v>0</v>
      </c>
      <c r="AD1030" s="37">
        <v>0</v>
      </c>
      <c r="AE1030" s="37">
        <v>23382</v>
      </c>
      <c r="AF1030" s="168">
        <v>0.02</v>
      </c>
      <c r="AG1030" s="37">
        <v>45183350.539999999</v>
      </c>
      <c r="AH1030" s="37">
        <v>2199550.44</v>
      </c>
      <c r="AI1030" s="37">
        <v>380295.33</v>
      </c>
      <c r="AJ1030" s="37">
        <v>377076.92</v>
      </c>
      <c r="AK1030" s="37">
        <v>384618.45</v>
      </c>
      <c r="AL1030" s="37">
        <v>392310.82</v>
      </c>
      <c r="AM1030" s="37">
        <v>400157.04</v>
      </c>
      <c r="AN1030" s="37">
        <v>408160.18</v>
      </c>
      <c r="AO1030" s="37">
        <v>416323.38</v>
      </c>
      <c r="AP1030" s="37">
        <v>424649.85</v>
      </c>
      <c r="AQ1030" s="37">
        <v>433142.85</v>
      </c>
      <c r="AR1030" s="37">
        <v>5816285.2599999998</v>
      </c>
      <c r="AS1030" s="37">
        <v>2005808.3</v>
      </c>
      <c r="AT1030" s="37">
        <v>20808</v>
      </c>
      <c r="AU1030" s="37">
        <v>0</v>
      </c>
      <c r="AV1030" s="37">
        <v>0</v>
      </c>
      <c r="AW1030" s="37">
        <v>0</v>
      </c>
      <c r="AX1030" s="37">
        <v>0</v>
      </c>
      <c r="AY1030" s="37">
        <v>0</v>
      </c>
      <c r="AZ1030" s="37">
        <v>0</v>
      </c>
      <c r="BA1030" s="37">
        <v>0</v>
      </c>
      <c r="BB1030" s="37">
        <v>0</v>
      </c>
      <c r="BC1030" s="37">
        <v>0</v>
      </c>
      <c r="BD1030" s="37">
        <v>20808</v>
      </c>
      <c r="BE1030" s="37">
        <v>400000</v>
      </c>
      <c r="BF1030" s="37">
        <v>0</v>
      </c>
      <c r="BG1030" s="37">
        <v>0</v>
      </c>
      <c r="BH1030" s="37">
        <v>1063887</v>
      </c>
      <c r="BI1030" s="37">
        <v>0</v>
      </c>
      <c r="BJ1030" s="37">
        <v>0</v>
      </c>
      <c r="BK1030" s="37">
        <v>0</v>
      </c>
      <c r="BL1030" s="37">
        <v>0</v>
      </c>
      <c r="BM1030" s="37">
        <v>0</v>
      </c>
      <c r="BN1030" s="37">
        <v>0</v>
      </c>
      <c r="BO1030" s="37">
        <v>0</v>
      </c>
      <c r="BP1030" s="37">
        <v>1063887</v>
      </c>
      <c r="BQ1030" s="37">
        <v>0</v>
      </c>
      <c r="BR1030" s="37">
        <v>0</v>
      </c>
      <c r="BS1030" s="37">
        <v>0</v>
      </c>
      <c r="BT1030" s="37">
        <v>2936113</v>
      </c>
      <c r="BU1030" s="37">
        <v>0</v>
      </c>
      <c r="BV1030" s="37">
        <v>0</v>
      </c>
      <c r="BW1030" s="37">
        <v>0</v>
      </c>
      <c r="BX1030" s="37">
        <v>0</v>
      </c>
      <c r="BY1030" s="37">
        <v>0</v>
      </c>
      <c r="BZ1030" s="37">
        <v>0</v>
      </c>
      <c r="CA1030" s="37">
        <v>0</v>
      </c>
      <c r="CB1030" s="37">
        <v>2936113</v>
      </c>
      <c r="CC1030" s="37">
        <v>85000</v>
      </c>
      <c r="CD1030" s="37">
        <v>85000</v>
      </c>
      <c r="CE1030" s="37">
        <v>85000</v>
      </c>
      <c r="CF1030" s="37">
        <v>85000</v>
      </c>
      <c r="CG1030" s="37">
        <v>85000</v>
      </c>
      <c r="CH1030" s="37">
        <v>85000</v>
      </c>
      <c r="CI1030" s="37">
        <v>85000</v>
      </c>
      <c r="CJ1030" s="37">
        <v>85000</v>
      </c>
      <c r="CK1030" s="37">
        <v>85000</v>
      </c>
      <c r="CL1030" s="37">
        <v>85000</v>
      </c>
      <c r="CM1030" s="37">
        <v>85000</v>
      </c>
      <c r="CN1030" s="37">
        <v>850000</v>
      </c>
      <c r="CO1030" s="37">
        <v>0</v>
      </c>
      <c r="CP1030" s="37">
        <v>0</v>
      </c>
      <c r="CQ1030" s="37">
        <v>0</v>
      </c>
      <c r="CR1030" s="37">
        <v>0</v>
      </c>
      <c r="CS1030" s="37">
        <v>0</v>
      </c>
      <c r="CT1030" s="37">
        <v>0</v>
      </c>
      <c r="CU1030" s="37">
        <v>0</v>
      </c>
      <c r="CV1030" s="37">
        <v>0</v>
      </c>
      <c r="CW1030" s="37">
        <v>0</v>
      </c>
      <c r="CX1030" s="37">
        <v>0</v>
      </c>
      <c r="CY1030" s="37">
        <v>0</v>
      </c>
      <c r="CZ1030" s="37">
        <v>0</v>
      </c>
      <c r="DA1030" s="37">
        <v>0</v>
      </c>
      <c r="DB1030" s="37">
        <v>0</v>
      </c>
      <c r="DC1030" s="37">
        <v>0</v>
      </c>
      <c r="DD1030" s="37">
        <v>0</v>
      </c>
      <c r="DE1030" s="37">
        <v>0</v>
      </c>
      <c r="DF1030" s="37">
        <v>0</v>
      </c>
      <c r="DG1030" s="37">
        <v>0</v>
      </c>
      <c r="DH1030" s="37">
        <v>0</v>
      </c>
      <c r="DI1030" s="37">
        <v>0</v>
      </c>
      <c r="DJ1030" s="37">
        <v>0</v>
      </c>
      <c r="DK1030" s="37">
        <v>0</v>
      </c>
      <c r="DL1030" s="37">
        <v>0</v>
      </c>
      <c r="DM1030" s="37">
        <v>0</v>
      </c>
      <c r="DN1030" s="37">
        <v>0</v>
      </c>
      <c r="DO1030" s="37">
        <v>0</v>
      </c>
      <c r="DP1030" s="37">
        <v>0</v>
      </c>
      <c r="DQ1030" s="37">
        <v>0</v>
      </c>
      <c r="DR1030" s="37">
        <v>0</v>
      </c>
      <c r="DS1030" s="37">
        <v>0</v>
      </c>
      <c r="DT1030" s="37">
        <v>0</v>
      </c>
      <c r="DU1030" s="37">
        <v>0</v>
      </c>
      <c r="DV1030" s="37">
        <v>0</v>
      </c>
      <c r="DW1030" s="37">
        <v>0</v>
      </c>
      <c r="DX1030" s="37">
        <v>0</v>
      </c>
      <c r="DY1030" s="37">
        <v>0</v>
      </c>
      <c r="DZ1030" s="37">
        <v>0</v>
      </c>
      <c r="EA1030" s="37">
        <v>0</v>
      </c>
      <c r="EB1030" s="37">
        <v>0</v>
      </c>
      <c r="EC1030" s="37">
        <v>0</v>
      </c>
      <c r="ED1030" s="37">
        <v>0</v>
      </c>
      <c r="EE1030" s="37">
        <v>0</v>
      </c>
      <c r="EF1030" s="37">
        <v>0</v>
      </c>
      <c r="EG1030" s="37">
        <v>0</v>
      </c>
      <c r="EH1030" s="37">
        <v>0</v>
      </c>
      <c r="EI1030" s="37">
        <v>0</v>
      </c>
      <c r="EJ1030" s="37">
        <v>0</v>
      </c>
      <c r="EK1030" s="161" t="s">
        <v>3501</v>
      </c>
      <c r="EL1030" s="294" t="s">
        <v>1124</v>
      </c>
    </row>
    <row r="1031" spans="1:142" ht="15" customHeight="1" x14ac:dyDescent="0.35">
      <c r="A1031" s="34"/>
      <c r="B1031" s="313">
        <v>97040</v>
      </c>
      <c r="C1031" s="8" t="s">
        <v>1005</v>
      </c>
      <c r="D1031" s="18">
        <v>9</v>
      </c>
      <c r="E1031" s="155"/>
      <c r="F1031" s="36"/>
      <c r="G1031" s="37"/>
      <c r="H1031" s="37"/>
      <c r="I1031" s="37"/>
      <c r="J1031" s="37"/>
      <c r="K1031" s="37"/>
      <c r="L1031" s="37"/>
      <c r="M1031" s="37" t="s">
        <v>1124</v>
      </c>
      <c r="N1031" s="37" t="s">
        <v>1124</v>
      </c>
      <c r="O1031" s="37"/>
      <c r="P1031" s="37"/>
      <c r="Q1031" s="37"/>
      <c r="R1031" s="37"/>
      <c r="S1031" s="37"/>
      <c r="T1031" s="37"/>
      <c r="U1031" s="37"/>
      <c r="V1031" s="37"/>
      <c r="W1031" s="37"/>
      <c r="X1031" s="37"/>
      <c r="Y1031" s="37"/>
      <c r="Z1031" s="37"/>
      <c r="AA1031" s="37" t="s">
        <v>1124</v>
      </c>
      <c r="AB1031" s="37" t="s">
        <v>1124</v>
      </c>
      <c r="AC1031" s="37"/>
      <c r="AD1031" s="37"/>
      <c r="AE1031" s="37"/>
      <c r="AF1031" s="168"/>
      <c r="AG1031" s="37"/>
      <c r="AH1031" s="37"/>
      <c r="AI1031" s="37"/>
      <c r="AJ1031" s="37"/>
      <c r="AK1031" s="37"/>
      <c r="AL1031" s="37"/>
      <c r="AM1031" s="37"/>
      <c r="AN1031" s="37"/>
      <c r="AO1031" s="37"/>
      <c r="AP1031" s="37"/>
      <c r="AQ1031" s="37"/>
      <c r="AR1031" s="37" t="s">
        <v>1124</v>
      </c>
      <c r="AS1031" s="37"/>
      <c r="AT1031" s="37"/>
      <c r="AU1031" s="37"/>
      <c r="AV1031" s="37"/>
      <c r="AW1031" s="37"/>
      <c r="AX1031" s="37"/>
      <c r="AY1031" s="37"/>
      <c r="AZ1031" s="37"/>
      <c r="BA1031" s="37"/>
      <c r="BB1031" s="37"/>
      <c r="BC1031" s="37"/>
      <c r="BD1031" s="37" t="s">
        <v>1124</v>
      </c>
      <c r="BE1031" s="37"/>
      <c r="BF1031" s="37"/>
      <c r="BG1031" s="37"/>
      <c r="BH1031" s="37"/>
      <c r="BI1031" s="37"/>
      <c r="BJ1031" s="37"/>
      <c r="BK1031" s="37"/>
      <c r="BL1031" s="37"/>
      <c r="BM1031" s="37"/>
      <c r="BN1031" s="37"/>
      <c r="BO1031" s="37"/>
      <c r="BP1031" s="37">
        <v>0</v>
      </c>
      <c r="BQ1031" s="37"/>
      <c r="BR1031" s="37"/>
      <c r="BS1031" s="37"/>
      <c r="BT1031" s="37"/>
      <c r="BU1031" s="37"/>
      <c r="BV1031" s="37"/>
      <c r="BW1031" s="37"/>
      <c r="BX1031" s="37"/>
      <c r="BY1031" s="37"/>
      <c r="BZ1031" s="37"/>
      <c r="CA1031" s="37"/>
      <c r="CB1031" s="37" t="s">
        <v>1124</v>
      </c>
      <c r="CC1031" s="37"/>
      <c r="CD1031" s="37"/>
      <c r="CE1031" s="37"/>
      <c r="CF1031" s="37"/>
      <c r="CG1031" s="37"/>
      <c r="CH1031" s="37"/>
      <c r="CI1031" s="37"/>
      <c r="CJ1031" s="37"/>
      <c r="CK1031" s="37"/>
      <c r="CL1031" s="37"/>
      <c r="CM1031" s="37"/>
      <c r="CN1031" s="37" t="s">
        <v>1124</v>
      </c>
      <c r="CO1031" s="37"/>
      <c r="CP1031" s="37"/>
      <c r="CQ1031" s="37"/>
      <c r="CR1031" s="37"/>
      <c r="CS1031" s="37"/>
      <c r="CT1031" s="37"/>
      <c r="CU1031" s="37"/>
      <c r="CV1031" s="37"/>
      <c r="CW1031" s="37"/>
      <c r="CX1031" s="37"/>
      <c r="CY1031" s="37"/>
      <c r="CZ1031" s="37" t="s">
        <v>1124</v>
      </c>
      <c r="DA1031" s="37"/>
      <c r="DB1031" s="37"/>
      <c r="DC1031" s="37"/>
      <c r="DD1031" s="37"/>
      <c r="DE1031" s="37"/>
      <c r="DF1031" s="37"/>
      <c r="DG1031" s="37"/>
      <c r="DH1031" s="37"/>
      <c r="DI1031" s="37"/>
      <c r="DJ1031" s="37"/>
      <c r="DK1031" s="37"/>
      <c r="DL1031" s="37" t="s">
        <v>1124</v>
      </c>
      <c r="DM1031" s="37"/>
      <c r="DN1031" s="37"/>
      <c r="DO1031" s="37"/>
      <c r="DP1031" s="37"/>
      <c r="DQ1031" s="37"/>
      <c r="DR1031" s="37"/>
      <c r="DS1031" s="37"/>
      <c r="DT1031" s="37"/>
      <c r="DU1031" s="37"/>
      <c r="DV1031" s="37"/>
      <c r="DW1031" s="37"/>
      <c r="DX1031" s="37" t="s">
        <v>1124</v>
      </c>
      <c r="DY1031" s="37"/>
      <c r="DZ1031" s="37"/>
      <c r="EA1031" s="37"/>
      <c r="EB1031" s="37"/>
      <c r="EC1031" s="37"/>
      <c r="ED1031" s="37"/>
      <c r="EE1031" s="37"/>
      <c r="EF1031" s="37"/>
      <c r="EG1031" s="37"/>
      <c r="EH1031" s="37"/>
      <c r="EI1031" s="37"/>
      <c r="EJ1031" s="37" t="s">
        <v>1124</v>
      </c>
      <c r="EK1031" s="161"/>
      <c r="EL1031" s="294"/>
    </row>
    <row r="1032" spans="1:142" ht="15" customHeight="1" x14ac:dyDescent="0.35">
      <c r="A1032" s="34"/>
      <c r="B1032" s="313">
        <v>41080</v>
      </c>
      <c r="C1032" s="8" t="s">
        <v>375</v>
      </c>
      <c r="D1032" s="18">
        <v>5</v>
      </c>
      <c r="E1032" s="155"/>
      <c r="F1032" s="36"/>
      <c r="G1032" s="37"/>
      <c r="H1032" s="37"/>
      <c r="I1032" s="37"/>
      <c r="J1032" s="37"/>
      <c r="K1032" s="37"/>
      <c r="L1032" s="37"/>
      <c r="M1032" s="37" t="s">
        <v>1124</v>
      </c>
      <c r="N1032" s="37" t="s">
        <v>1124</v>
      </c>
      <c r="O1032" s="37"/>
      <c r="P1032" s="37"/>
      <c r="Q1032" s="37"/>
      <c r="R1032" s="37"/>
      <c r="S1032" s="37"/>
      <c r="T1032" s="37"/>
      <c r="U1032" s="37"/>
      <c r="V1032" s="37"/>
      <c r="W1032" s="37"/>
      <c r="X1032" s="37"/>
      <c r="Y1032" s="37"/>
      <c r="Z1032" s="37"/>
      <c r="AA1032" s="37" t="s">
        <v>1124</v>
      </c>
      <c r="AB1032" s="37" t="s">
        <v>1124</v>
      </c>
      <c r="AC1032" s="37"/>
      <c r="AD1032" s="37"/>
      <c r="AE1032" s="37"/>
      <c r="AF1032" s="168"/>
      <c r="AG1032" s="37"/>
      <c r="AH1032" s="37"/>
      <c r="AI1032" s="37"/>
      <c r="AJ1032" s="37"/>
      <c r="AK1032" s="37"/>
      <c r="AL1032" s="37"/>
      <c r="AM1032" s="37"/>
      <c r="AN1032" s="37"/>
      <c r="AO1032" s="37"/>
      <c r="AP1032" s="37"/>
      <c r="AQ1032" s="37"/>
      <c r="AR1032" s="37" t="s">
        <v>1124</v>
      </c>
      <c r="AS1032" s="37"/>
      <c r="AT1032" s="37"/>
      <c r="AU1032" s="37"/>
      <c r="AV1032" s="37"/>
      <c r="AW1032" s="37"/>
      <c r="AX1032" s="37"/>
      <c r="AY1032" s="37"/>
      <c r="AZ1032" s="37"/>
      <c r="BA1032" s="37"/>
      <c r="BB1032" s="37"/>
      <c r="BC1032" s="37"/>
      <c r="BD1032" s="37" t="s">
        <v>1124</v>
      </c>
      <c r="BE1032" s="37"/>
      <c r="BF1032" s="37"/>
      <c r="BG1032" s="37"/>
      <c r="BH1032" s="37"/>
      <c r="BI1032" s="37"/>
      <c r="BJ1032" s="37"/>
      <c r="BK1032" s="37"/>
      <c r="BL1032" s="37"/>
      <c r="BM1032" s="37"/>
      <c r="BN1032" s="37"/>
      <c r="BO1032" s="37"/>
      <c r="BP1032" s="37">
        <v>0</v>
      </c>
      <c r="BQ1032" s="37"/>
      <c r="BR1032" s="37"/>
      <c r="BS1032" s="37"/>
      <c r="BT1032" s="37"/>
      <c r="BU1032" s="37"/>
      <c r="BV1032" s="37"/>
      <c r="BW1032" s="37"/>
      <c r="BX1032" s="37"/>
      <c r="BY1032" s="37"/>
      <c r="BZ1032" s="37"/>
      <c r="CA1032" s="37"/>
      <c r="CB1032" s="37" t="s">
        <v>1124</v>
      </c>
      <c r="CC1032" s="37"/>
      <c r="CD1032" s="37"/>
      <c r="CE1032" s="37"/>
      <c r="CF1032" s="37"/>
      <c r="CG1032" s="37"/>
      <c r="CH1032" s="37"/>
      <c r="CI1032" s="37"/>
      <c r="CJ1032" s="37"/>
      <c r="CK1032" s="37"/>
      <c r="CL1032" s="37"/>
      <c r="CM1032" s="37"/>
      <c r="CN1032" s="37" t="s">
        <v>1124</v>
      </c>
      <c r="CO1032" s="37"/>
      <c r="CP1032" s="37"/>
      <c r="CQ1032" s="37"/>
      <c r="CR1032" s="37"/>
      <c r="CS1032" s="37"/>
      <c r="CT1032" s="37"/>
      <c r="CU1032" s="37"/>
      <c r="CV1032" s="37"/>
      <c r="CW1032" s="37"/>
      <c r="CX1032" s="37"/>
      <c r="CY1032" s="37"/>
      <c r="CZ1032" s="37" t="s">
        <v>1124</v>
      </c>
      <c r="DA1032" s="37"/>
      <c r="DB1032" s="37"/>
      <c r="DC1032" s="37"/>
      <c r="DD1032" s="37"/>
      <c r="DE1032" s="37"/>
      <c r="DF1032" s="37"/>
      <c r="DG1032" s="37"/>
      <c r="DH1032" s="37"/>
      <c r="DI1032" s="37"/>
      <c r="DJ1032" s="37"/>
      <c r="DK1032" s="37"/>
      <c r="DL1032" s="37" t="s">
        <v>1124</v>
      </c>
      <c r="DM1032" s="37"/>
      <c r="DN1032" s="37"/>
      <c r="DO1032" s="37"/>
      <c r="DP1032" s="37"/>
      <c r="DQ1032" s="37"/>
      <c r="DR1032" s="37"/>
      <c r="DS1032" s="37"/>
      <c r="DT1032" s="37"/>
      <c r="DU1032" s="37"/>
      <c r="DV1032" s="37"/>
      <c r="DW1032" s="37"/>
      <c r="DX1032" s="37" t="s">
        <v>1124</v>
      </c>
      <c r="DY1032" s="37"/>
      <c r="DZ1032" s="37"/>
      <c r="EA1032" s="37"/>
      <c r="EB1032" s="37"/>
      <c r="EC1032" s="37"/>
      <c r="ED1032" s="37"/>
      <c r="EE1032" s="37"/>
      <c r="EF1032" s="37"/>
      <c r="EG1032" s="37"/>
      <c r="EH1032" s="37"/>
      <c r="EI1032" s="37"/>
      <c r="EJ1032" s="37" t="s">
        <v>1124</v>
      </c>
      <c r="EK1032" s="161"/>
      <c r="EL1032" s="294"/>
    </row>
    <row r="1033" spans="1:142" ht="15" customHeight="1" x14ac:dyDescent="0.35">
      <c r="A1033" s="34"/>
      <c r="B1033" s="313">
        <v>26048</v>
      </c>
      <c r="C1033" s="8" t="s">
        <v>174</v>
      </c>
      <c r="D1033" s="18">
        <v>12</v>
      </c>
      <c r="E1033" s="155">
        <v>131636</v>
      </c>
      <c r="F1033" s="36">
        <v>152269</v>
      </c>
      <c r="G1033" s="37">
        <v>103448</v>
      </c>
      <c r="H1033" s="37">
        <v>117571</v>
      </c>
      <c r="I1033" s="37">
        <v>254794</v>
      </c>
      <c r="J1033" s="37">
        <v>295877</v>
      </c>
      <c r="K1033" s="37">
        <v>18000</v>
      </c>
      <c r="L1033" s="37">
        <v>22000</v>
      </c>
      <c r="M1033" s="37">
        <v>507878</v>
      </c>
      <c r="N1033" s="37">
        <v>587717</v>
      </c>
      <c r="O1033" s="37">
        <v>0</v>
      </c>
      <c r="P1033" s="37">
        <v>0</v>
      </c>
      <c r="Q1033" s="37">
        <v>130764</v>
      </c>
      <c r="R1033" s="37">
        <v>111511</v>
      </c>
      <c r="S1033" s="37">
        <v>2933</v>
      </c>
      <c r="T1033" s="37">
        <v>0</v>
      </c>
      <c r="U1033" s="37">
        <v>25270</v>
      </c>
      <c r="V1033" s="37">
        <v>3050</v>
      </c>
      <c r="W1033" s="37">
        <v>420206</v>
      </c>
      <c r="X1033" s="37">
        <v>401861</v>
      </c>
      <c r="Y1033" s="37">
        <v>0</v>
      </c>
      <c r="Z1033" s="37">
        <v>0</v>
      </c>
      <c r="AA1033" s="37">
        <v>579173</v>
      </c>
      <c r="AB1033" s="37">
        <v>516422</v>
      </c>
      <c r="AC1033" s="37">
        <v>0</v>
      </c>
      <c r="AD1033" s="37">
        <v>0</v>
      </c>
      <c r="AE1033" s="37">
        <v>0</v>
      </c>
      <c r="AF1033" s="168">
        <v>0.02</v>
      </c>
      <c r="AG1033" s="37">
        <v>36937386.600000001</v>
      </c>
      <c r="AH1033" s="37">
        <v>302324.94</v>
      </c>
      <c r="AI1033" s="37">
        <v>308371.44</v>
      </c>
      <c r="AJ1033" s="37">
        <v>314538.87</v>
      </c>
      <c r="AK1033" s="37">
        <v>320829.64</v>
      </c>
      <c r="AL1033" s="37">
        <v>327246.24</v>
      </c>
      <c r="AM1033" s="37">
        <v>333791.15999999997</v>
      </c>
      <c r="AN1033" s="37">
        <v>340466.99</v>
      </c>
      <c r="AO1033" s="37">
        <v>347276.33</v>
      </c>
      <c r="AP1033" s="37">
        <v>354221.85</v>
      </c>
      <c r="AQ1033" s="37">
        <v>361306.29</v>
      </c>
      <c r="AR1033" s="37">
        <v>3310373.75</v>
      </c>
      <c r="AS1033" s="37">
        <v>339292.8</v>
      </c>
      <c r="AT1033" s="37">
        <v>306000</v>
      </c>
      <c r="AU1033" s="37">
        <v>0</v>
      </c>
      <c r="AV1033" s="37">
        <v>1053779.54</v>
      </c>
      <c r="AW1033" s="37">
        <v>1074855.1299999999</v>
      </c>
      <c r="AX1033" s="37">
        <v>1096352.24</v>
      </c>
      <c r="AY1033" s="37">
        <v>0</v>
      </c>
      <c r="AZ1033" s="37">
        <v>0</v>
      </c>
      <c r="BA1033" s="37">
        <v>0</v>
      </c>
      <c r="BB1033" s="37">
        <v>0</v>
      </c>
      <c r="BC1033" s="37">
        <v>0</v>
      </c>
      <c r="BD1033" s="37">
        <v>3530986.91</v>
      </c>
      <c r="BE1033" s="37">
        <v>0</v>
      </c>
      <c r="BF1033" s="37">
        <v>0</v>
      </c>
      <c r="BG1033" s="37">
        <v>0</v>
      </c>
      <c r="BH1033" s="37">
        <v>1253900</v>
      </c>
      <c r="BI1033" s="37">
        <v>0</v>
      </c>
      <c r="BJ1033" s="37">
        <v>0</v>
      </c>
      <c r="BK1033" s="37">
        <v>0</v>
      </c>
      <c r="BL1033" s="37">
        <v>0</v>
      </c>
      <c r="BM1033" s="37">
        <v>0</v>
      </c>
      <c r="BN1033" s="37">
        <v>0</v>
      </c>
      <c r="BO1033" s="37">
        <v>0</v>
      </c>
      <c r="BP1033" s="37">
        <v>1253900</v>
      </c>
      <c r="BQ1033" s="37">
        <v>0</v>
      </c>
      <c r="BR1033" s="37">
        <v>0</v>
      </c>
      <c r="BS1033" s="37">
        <v>0</v>
      </c>
      <c r="BT1033" s="37">
        <v>0</v>
      </c>
      <c r="BU1033" s="37">
        <v>0</v>
      </c>
      <c r="BV1033" s="37">
        <v>0</v>
      </c>
      <c r="BW1033" s="37">
        <v>0</v>
      </c>
      <c r="BX1033" s="37">
        <v>0</v>
      </c>
      <c r="BY1033" s="37">
        <v>0</v>
      </c>
      <c r="BZ1033" s="37">
        <v>0</v>
      </c>
      <c r="CA1033" s="37">
        <v>0</v>
      </c>
      <c r="CB1033" s="37">
        <v>0</v>
      </c>
      <c r="CC1033" s="37">
        <v>0</v>
      </c>
      <c r="CD1033" s="37">
        <v>0</v>
      </c>
      <c r="CE1033" s="37">
        <v>0</v>
      </c>
      <c r="CF1033" s="37">
        <v>0</v>
      </c>
      <c r="CG1033" s="37">
        <v>0</v>
      </c>
      <c r="CH1033" s="37">
        <v>0</v>
      </c>
      <c r="CI1033" s="37">
        <v>0</v>
      </c>
      <c r="CJ1033" s="37">
        <v>0</v>
      </c>
      <c r="CK1033" s="37">
        <v>0</v>
      </c>
      <c r="CL1033" s="37">
        <v>0</v>
      </c>
      <c r="CM1033" s="37">
        <v>0</v>
      </c>
      <c r="CN1033" s="37">
        <v>0</v>
      </c>
      <c r="CO1033" s="37">
        <v>0</v>
      </c>
      <c r="CP1033" s="37">
        <v>0</v>
      </c>
      <c r="CQ1033" s="37">
        <v>0</v>
      </c>
      <c r="CR1033" s="37">
        <v>119160</v>
      </c>
      <c r="CS1033" s="37">
        <v>1906560</v>
      </c>
      <c r="CT1033" s="37">
        <v>357480</v>
      </c>
      <c r="CU1033" s="37">
        <v>0</v>
      </c>
      <c r="CV1033" s="37">
        <v>0</v>
      </c>
      <c r="CW1033" s="37">
        <v>0</v>
      </c>
      <c r="CX1033" s="37">
        <v>0</v>
      </c>
      <c r="CY1033" s="37">
        <v>0</v>
      </c>
      <c r="CZ1033" s="37">
        <v>2383200</v>
      </c>
      <c r="DA1033" s="37">
        <v>0</v>
      </c>
      <c r="DB1033" s="37">
        <v>300000</v>
      </c>
      <c r="DC1033" s="37">
        <v>0</v>
      </c>
      <c r="DD1033" s="37">
        <v>29790</v>
      </c>
      <c r="DE1033" s="37">
        <v>476640</v>
      </c>
      <c r="DF1033" s="37">
        <v>89370</v>
      </c>
      <c r="DG1033" s="37">
        <v>0</v>
      </c>
      <c r="DH1033" s="37">
        <v>0</v>
      </c>
      <c r="DI1033" s="37">
        <v>0</v>
      </c>
      <c r="DJ1033" s="37">
        <v>0</v>
      </c>
      <c r="DK1033" s="37">
        <v>0</v>
      </c>
      <c r="DL1033" s="37">
        <v>895800</v>
      </c>
      <c r="DM1033" s="37">
        <v>0</v>
      </c>
      <c r="DN1033" s="37">
        <v>0</v>
      </c>
      <c r="DO1033" s="37">
        <v>0</v>
      </c>
      <c r="DP1033" s="37">
        <v>0</v>
      </c>
      <c r="DQ1033" s="37">
        <v>0</v>
      </c>
      <c r="DR1033" s="37">
        <v>0</v>
      </c>
      <c r="DS1033" s="37">
        <v>0</v>
      </c>
      <c r="DT1033" s="37">
        <v>0</v>
      </c>
      <c r="DU1033" s="37">
        <v>0</v>
      </c>
      <c r="DV1033" s="37">
        <v>0</v>
      </c>
      <c r="DW1033" s="37">
        <v>0</v>
      </c>
      <c r="DX1033" s="37">
        <v>0</v>
      </c>
      <c r="DY1033" s="37">
        <v>0</v>
      </c>
      <c r="DZ1033" s="37">
        <v>0</v>
      </c>
      <c r="EA1033" s="37">
        <v>0</v>
      </c>
      <c r="EB1033" s="37">
        <v>0</v>
      </c>
      <c r="EC1033" s="37">
        <v>0</v>
      </c>
      <c r="ED1033" s="37">
        <v>0</v>
      </c>
      <c r="EE1033" s="37">
        <v>0</v>
      </c>
      <c r="EF1033" s="37">
        <v>0</v>
      </c>
      <c r="EG1033" s="37">
        <v>0</v>
      </c>
      <c r="EH1033" s="37">
        <v>0</v>
      </c>
      <c r="EI1033" s="37">
        <v>0</v>
      </c>
      <c r="EJ1033" s="37">
        <v>0</v>
      </c>
      <c r="EK1033" s="161" t="s">
        <v>3756</v>
      </c>
      <c r="EL1033" s="294" t="s">
        <v>1124</v>
      </c>
    </row>
    <row r="1034" spans="1:142" ht="15" customHeight="1" x14ac:dyDescent="0.35">
      <c r="A1034" s="34"/>
      <c r="B1034" s="313">
        <v>89045</v>
      </c>
      <c r="C1034" s="8" t="s">
        <v>932</v>
      </c>
      <c r="D1034" s="18">
        <v>8</v>
      </c>
      <c r="E1034" s="155"/>
      <c r="F1034" s="36"/>
      <c r="G1034" s="37"/>
      <c r="H1034" s="37"/>
      <c r="I1034" s="37"/>
      <c r="J1034" s="37"/>
      <c r="K1034" s="37"/>
      <c r="L1034" s="37"/>
      <c r="M1034" s="37" t="s">
        <v>1124</v>
      </c>
      <c r="N1034" s="37" t="s">
        <v>1124</v>
      </c>
      <c r="O1034" s="37"/>
      <c r="P1034" s="37"/>
      <c r="Q1034" s="37"/>
      <c r="R1034" s="37"/>
      <c r="S1034" s="37"/>
      <c r="T1034" s="37"/>
      <c r="U1034" s="37"/>
      <c r="V1034" s="37"/>
      <c r="W1034" s="37"/>
      <c r="X1034" s="37"/>
      <c r="Y1034" s="37"/>
      <c r="Z1034" s="37"/>
      <c r="AA1034" s="37" t="s">
        <v>1124</v>
      </c>
      <c r="AB1034" s="37" t="s">
        <v>1124</v>
      </c>
      <c r="AC1034" s="37"/>
      <c r="AD1034" s="37"/>
      <c r="AE1034" s="37"/>
      <c r="AF1034" s="168"/>
      <c r="AG1034" s="37"/>
      <c r="AH1034" s="37"/>
      <c r="AI1034" s="37"/>
      <c r="AJ1034" s="37"/>
      <c r="AK1034" s="37"/>
      <c r="AL1034" s="37"/>
      <c r="AM1034" s="37"/>
      <c r="AN1034" s="37"/>
      <c r="AO1034" s="37"/>
      <c r="AP1034" s="37"/>
      <c r="AQ1034" s="37"/>
      <c r="AR1034" s="37" t="s">
        <v>1124</v>
      </c>
      <c r="AS1034" s="37"/>
      <c r="AT1034" s="37"/>
      <c r="AU1034" s="37"/>
      <c r="AV1034" s="37"/>
      <c r="AW1034" s="37"/>
      <c r="AX1034" s="37"/>
      <c r="AY1034" s="37"/>
      <c r="AZ1034" s="37"/>
      <c r="BA1034" s="37"/>
      <c r="BB1034" s="37"/>
      <c r="BC1034" s="37"/>
      <c r="BD1034" s="37" t="s">
        <v>1124</v>
      </c>
      <c r="BE1034" s="37"/>
      <c r="BF1034" s="37"/>
      <c r="BG1034" s="37"/>
      <c r="BH1034" s="37"/>
      <c r="BI1034" s="37"/>
      <c r="BJ1034" s="37"/>
      <c r="BK1034" s="37"/>
      <c r="BL1034" s="37"/>
      <c r="BM1034" s="37"/>
      <c r="BN1034" s="37"/>
      <c r="BO1034" s="37"/>
      <c r="BP1034" s="37">
        <v>0</v>
      </c>
      <c r="BQ1034" s="37"/>
      <c r="BR1034" s="37"/>
      <c r="BS1034" s="37"/>
      <c r="BT1034" s="37"/>
      <c r="BU1034" s="37"/>
      <c r="BV1034" s="37"/>
      <c r="BW1034" s="37"/>
      <c r="BX1034" s="37"/>
      <c r="BY1034" s="37"/>
      <c r="BZ1034" s="37"/>
      <c r="CA1034" s="37"/>
      <c r="CB1034" s="37" t="s">
        <v>1124</v>
      </c>
      <c r="CC1034" s="37"/>
      <c r="CD1034" s="37"/>
      <c r="CE1034" s="37"/>
      <c r="CF1034" s="37"/>
      <c r="CG1034" s="37"/>
      <c r="CH1034" s="37"/>
      <c r="CI1034" s="37"/>
      <c r="CJ1034" s="37"/>
      <c r="CK1034" s="37"/>
      <c r="CL1034" s="37"/>
      <c r="CM1034" s="37"/>
      <c r="CN1034" s="37" t="s">
        <v>1124</v>
      </c>
      <c r="CO1034" s="37"/>
      <c r="CP1034" s="37"/>
      <c r="CQ1034" s="37"/>
      <c r="CR1034" s="37"/>
      <c r="CS1034" s="37"/>
      <c r="CT1034" s="37"/>
      <c r="CU1034" s="37"/>
      <c r="CV1034" s="37"/>
      <c r="CW1034" s="37"/>
      <c r="CX1034" s="37"/>
      <c r="CY1034" s="37"/>
      <c r="CZ1034" s="37" t="s">
        <v>1124</v>
      </c>
      <c r="DA1034" s="37"/>
      <c r="DB1034" s="37"/>
      <c r="DC1034" s="37"/>
      <c r="DD1034" s="37"/>
      <c r="DE1034" s="37"/>
      <c r="DF1034" s="37"/>
      <c r="DG1034" s="37"/>
      <c r="DH1034" s="37"/>
      <c r="DI1034" s="37"/>
      <c r="DJ1034" s="37"/>
      <c r="DK1034" s="37"/>
      <c r="DL1034" s="37" t="s">
        <v>1124</v>
      </c>
      <c r="DM1034" s="37"/>
      <c r="DN1034" s="37"/>
      <c r="DO1034" s="37"/>
      <c r="DP1034" s="37"/>
      <c r="DQ1034" s="37"/>
      <c r="DR1034" s="37"/>
      <c r="DS1034" s="37"/>
      <c r="DT1034" s="37"/>
      <c r="DU1034" s="37"/>
      <c r="DV1034" s="37"/>
      <c r="DW1034" s="37"/>
      <c r="DX1034" s="37" t="s">
        <v>1124</v>
      </c>
      <c r="DY1034" s="37"/>
      <c r="DZ1034" s="37"/>
      <c r="EA1034" s="37"/>
      <c r="EB1034" s="37"/>
      <c r="EC1034" s="37"/>
      <c r="ED1034" s="37"/>
      <c r="EE1034" s="37"/>
      <c r="EF1034" s="37"/>
      <c r="EG1034" s="37"/>
      <c r="EH1034" s="37"/>
      <c r="EI1034" s="37"/>
      <c r="EJ1034" s="37" t="s">
        <v>1124</v>
      </c>
      <c r="EK1034" s="161"/>
      <c r="EL1034" s="294"/>
    </row>
    <row r="1035" spans="1:142" ht="15" customHeight="1" x14ac:dyDescent="0.35">
      <c r="A1035" s="34"/>
      <c r="B1035" s="313">
        <v>89040</v>
      </c>
      <c r="C1035" s="8" t="s">
        <v>931</v>
      </c>
      <c r="D1035" s="18">
        <v>8</v>
      </c>
      <c r="E1035" s="155"/>
      <c r="F1035" s="36"/>
      <c r="G1035" s="37"/>
      <c r="H1035" s="37"/>
      <c r="I1035" s="37"/>
      <c r="J1035" s="37"/>
      <c r="K1035" s="37"/>
      <c r="L1035" s="37"/>
      <c r="M1035" s="37" t="s">
        <v>1124</v>
      </c>
      <c r="N1035" s="37" t="s">
        <v>1124</v>
      </c>
      <c r="O1035" s="37"/>
      <c r="P1035" s="37"/>
      <c r="Q1035" s="37"/>
      <c r="R1035" s="37"/>
      <c r="S1035" s="37"/>
      <c r="T1035" s="37"/>
      <c r="U1035" s="37"/>
      <c r="V1035" s="37"/>
      <c r="W1035" s="37"/>
      <c r="X1035" s="37"/>
      <c r="Y1035" s="37"/>
      <c r="Z1035" s="37"/>
      <c r="AA1035" s="37" t="s">
        <v>1124</v>
      </c>
      <c r="AB1035" s="37" t="s">
        <v>1124</v>
      </c>
      <c r="AC1035" s="37"/>
      <c r="AD1035" s="37"/>
      <c r="AE1035" s="37"/>
      <c r="AF1035" s="168"/>
      <c r="AG1035" s="37"/>
      <c r="AH1035" s="37"/>
      <c r="AI1035" s="37"/>
      <c r="AJ1035" s="37"/>
      <c r="AK1035" s="37"/>
      <c r="AL1035" s="37"/>
      <c r="AM1035" s="37"/>
      <c r="AN1035" s="37"/>
      <c r="AO1035" s="37"/>
      <c r="AP1035" s="37"/>
      <c r="AQ1035" s="37"/>
      <c r="AR1035" s="37" t="s">
        <v>1124</v>
      </c>
      <c r="AS1035" s="37"/>
      <c r="AT1035" s="37"/>
      <c r="AU1035" s="37"/>
      <c r="AV1035" s="37"/>
      <c r="AW1035" s="37"/>
      <c r="AX1035" s="37"/>
      <c r="AY1035" s="37"/>
      <c r="AZ1035" s="37"/>
      <c r="BA1035" s="37"/>
      <c r="BB1035" s="37"/>
      <c r="BC1035" s="37"/>
      <c r="BD1035" s="37" t="s">
        <v>1124</v>
      </c>
      <c r="BE1035" s="37"/>
      <c r="BF1035" s="37"/>
      <c r="BG1035" s="37"/>
      <c r="BH1035" s="37"/>
      <c r="BI1035" s="37"/>
      <c r="BJ1035" s="37"/>
      <c r="BK1035" s="37"/>
      <c r="BL1035" s="37"/>
      <c r="BM1035" s="37"/>
      <c r="BN1035" s="37"/>
      <c r="BO1035" s="37"/>
      <c r="BP1035" s="37">
        <v>0</v>
      </c>
      <c r="BQ1035" s="37"/>
      <c r="BR1035" s="37"/>
      <c r="BS1035" s="37"/>
      <c r="BT1035" s="37"/>
      <c r="BU1035" s="37"/>
      <c r="BV1035" s="37"/>
      <c r="BW1035" s="37"/>
      <c r="BX1035" s="37"/>
      <c r="BY1035" s="37"/>
      <c r="BZ1035" s="37"/>
      <c r="CA1035" s="37"/>
      <c r="CB1035" s="37" t="s">
        <v>1124</v>
      </c>
      <c r="CC1035" s="37"/>
      <c r="CD1035" s="37"/>
      <c r="CE1035" s="37"/>
      <c r="CF1035" s="37"/>
      <c r="CG1035" s="37"/>
      <c r="CH1035" s="37"/>
      <c r="CI1035" s="37"/>
      <c r="CJ1035" s="37"/>
      <c r="CK1035" s="37"/>
      <c r="CL1035" s="37"/>
      <c r="CM1035" s="37"/>
      <c r="CN1035" s="37" t="s">
        <v>1124</v>
      </c>
      <c r="CO1035" s="37"/>
      <c r="CP1035" s="37"/>
      <c r="CQ1035" s="37"/>
      <c r="CR1035" s="37"/>
      <c r="CS1035" s="37"/>
      <c r="CT1035" s="37"/>
      <c r="CU1035" s="37"/>
      <c r="CV1035" s="37"/>
      <c r="CW1035" s="37"/>
      <c r="CX1035" s="37"/>
      <c r="CY1035" s="37"/>
      <c r="CZ1035" s="37" t="s">
        <v>1124</v>
      </c>
      <c r="DA1035" s="37"/>
      <c r="DB1035" s="37"/>
      <c r="DC1035" s="37"/>
      <c r="DD1035" s="37"/>
      <c r="DE1035" s="37"/>
      <c r="DF1035" s="37"/>
      <c r="DG1035" s="37"/>
      <c r="DH1035" s="37"/>
      <c r="DI1035" s="37"/>
      <c r="DJ1035" s="37"/>
      <c r="DK1035" s="37"/>
      <c r="DL1035" s="37" t="s">
        <v>1124</v>
      </c>
      <c r="DM1035" s="37"/>
      <c r="DN1035" s="37"/>
      <c r="DO1035" s="37"/>
      <c r="DP1035" s="37"/>
      <c r="DQ1035" s="37"/>
      <c r="DR1035" s="37"/>
      <c r="DS1035" s="37"/>
      <c r="DT1035" s="37"/>
      <c r="DU1035" s="37"/>
      <c r="DV1035" s="37"/>
      <c r="DW1035" s="37"/>
      <c r="DX1035" s="37" t="s">
        <v>1124</v>
      </c>
      <c r="DY1035" s="37"/>
      <c r="DZ1035" s="37"/>
      <c r="EA1035" s="37"/>
      <c r="EB1035" s="37"/>
      <c r="EC1035" s="37"/>
      <c r="ED1035" s="37"/>
      <c r="EE1035" s="37"/>
      <c r="EF1035" s="37"/>
      <c r="EG1035" s="37"/>
      <c r="EH1035" s="37"/>
      <c r="EI1035" s="37"/>
      <c r="EJ1035" s="37" t="s">
        <v>1124</v>
      </c>
      <c r="EK1035" s="161"/>
      <c r="EL1035" s="294"/>
    </row>
    <row r="1036" spans="1:142" ht="15" customHeight="1" x14ac:dyDescent="0.35">
      <c r="A1036" s="34"/>
      <c r="B1036" s="313">
        <v>66127</v>
      </c>
      <c r="C1036" s="8" t="s">
        <v>661</v>
      </c>
      <c r="D1036" s="18">
        <v>6</v>
      </c>
      <c r="E1036" s="155">
        <v>286513</v>
      </c>
      <c r="F1036" s="36">
        <v>85409</v>
      </c>
      <c r="G1036" s="37">
        <v>25225</v>
      </c>
      <c r="H1036" s="37">
        <v>13772</v>
      </c>
      <c r="I1036" s="37">
        <v>28943</v>
      </c>
      <c r="J1036" s="37">
        <v>19051</v>
      </c>
      <c r="K1036" s="37">
        <v>42976.95</v>
      </c>
      <c r="L1036" s="37">
        <v>12811.35</v>
      </c>
      <c r="M1036" s="37">
        <v>383657.95</v>
      </c>
      <c r="N1036" s="37">
        <v>131043.35</v>
      </c>
      <c r="O1036" s="37">
        <v>85168</v>
      </c>
      <c r="P1036" s="37">
        <v>0</v>
      </c>
      <c r="Q1036" s="37">
        <v>90365</v>
      </c>
      <c r="R1036" s="37">
        <v>0</v>
      </c>
      <c r="S1036" s="37">
        <v>0</v>
      </c>
      <c r="T1036" s="37">
        <v>0</v>
      </c>
      <c r="U1036" s="37">
        <v>5322</v>
      </c>
      <c r="V1036" s="37">
        <v>3982</v>
      </c>
      <c r="W1036" s="37">
        <v>202802.95</v>
      </c>
      <c r="X1036" s="37">
        <v>127061.35</v>
      </c>
      <c r="Y1036" s="37">
        <v>0</v>
      </c>
      <c r="Z1036" s="37">
        <v>0</v>
      </c>
      <c r="AA1036" s="37">
        <v>383657.95</v>
      </c>
      <c r="AB1036" s="37">
        <v>131043.35</v>
      </c>
      <c r="AC1036" s="37">
        <v>0</v>
      </c>
      <c r="AD1036" s="37">
        <v>0</v>
      </c>
      <c r="AE1036" s="37">
        <v>0</v>
      </c>
      <c r="AF1036" s="168">
        <v>0.02</v>
      </c>
      <c r="AG1036" s="37">
        <v>21710736.359999999</v>
      </c>
      <c r="AH1036" s="37">
        <v>222332.78</v>
      </c>
      <c r="AI1036" s="37">
        <v>226779.44</v>
      </c>
      <c r="AJ1036" s="37">
        <v>231315.03</v>
      </c>
      <c r="AK1036" s="37">
        <v>235941.33</v>
      </c>
      <c r="AL1036" s="37">
        <v>240660.16</v>
      </c>
      <c r="AM1036" s="37">
        <v>245473.36</v>
      </c>
      <c r="AN1036" s="37">
        <v>250382.83</v>
      </c>
      <c r="AO1036" s="37">
        <v>255390.48</v>
      </c>
      <c r="AP1036" s="37">
        <v>260498.29</v>
      </c>
      <c r="AQ1036" s="37">
        <v>265708.26</v>
      </c>
      <c r="AR1036" s="37">
        <v>2434481.96</v>
      </c>
      <c r="AS1036" s="37">
        <v>0</v>
      </c>
      <c r="AT1036" s="37">
        <v>0</v>
      </c>
      <c r="AU1036" s="37">
        <v>3682391.76</v>
      </c>
      <c r="AV1036" s="37">
        <v>0</v>
      </c>
      <c r="AW1036" s="37">
        <v>0</v>
      </c>
      <c r="AX1036" s="37">
        <v>0</v>
      </c>
      <c r="AY1036" s="37">
        <v>0</v>
      </c>
      <c r="AZ1036" s="37">
        <v>0</v>
      </c>
      <c r="BA1036" s="37">
        <v>0</v>
      </c>
      <c r="BB1036" s="37">
        <v>0</v>
      </c>
      <c r="BC1036" s="37">
        <v>0</v>
      </c>
      <c r="BD1036" s="37">
        <v>3682391.76</v>
      </c>
      <c r="BE1036" s="37">
        <v>629384</v>
      </c>
      <c r="BF1036" s="37">
        <v>0</v>
      </c>
      <c r="BG1036" s="37">
        <v>0</v>
      </c>
      <c r="BH1036" s="37">
        <v>0</v>
      </c>
      <c r="BI1036" s="37">
        <v>0</v>
      </c>
      <c r="BJ1036" s="37">
        <v>0</v>
      </c>
      <c r="BK1036" s="37">
        <v>0</v>
      </c>
      <c r="BL1036" s="37">
        <v>0</v>
      </c>
      <c r="BM1036" s="37">
        <v>0</v>
      </c>
      <c r="BN1036" s="37">
        <v>0</v>
      </c>
      <c r="BO1036" s="37">
        <v>0</v>
      </c>
      <c r="BP1036" s="37">
        <v>0</v>
      </c>
      <c r="BQ1036" s="37">
        <v>1744016</v>
      </c>
      <c r="BR1036" s="37">
        <v>0</v>
      </c>
      <c r="BS1036" s="37">
        <v>0</v>
      </c>
      <c r="BT1036" s="37">
        <v>0</v>
      </c>
      <c r="BU1036" s="37">
        <v>0</v>
      </c>
      <c r="BV1036" s="37">
        <v>0</v>
      </c>
      <c r="BW1036" s="37">
        <v>0</v>
      </c>
      <c r="BX1036" s="37">
        <v>0</v>
      </c>
      <c r="BY1036" s="37">
        <v>0</v>
      </c>
      <c r="BZ1036" s="37">
        <v>0</v>
      </c>
      <c r="CA1036" s="37">
        <v>0</v>
      </c>
      <c r="CB1036" s="37">
        <v>0</v>
      </c>
      <c r="CC1036" s="37">
        <v>850000</v>
      </c>
      <c r="CD1036" s="37">
        <v>0</v>
      </c>
      <c r="CE1036" s="37">
        <v>0</v>
      </c>
      <c r="CF1036" s="37">
        <v>0</v>
      </c>
      <c r="CG1036" s="37">
        <v>0</v>
      </c>
      <c r="CH1036" s="37">
        <v>0</v>
      </c>
      <c r="CI1036" s="37">
        <v>0</v>
      </c>
      <c r="CJ1036" s="37">
        <v>0</v>
      </c>
      <c r="CK1036" s="37">
        <v>0</v>
      </c>
      <c r="CL1036" s="37">
        <v>0</v>
      </c>
      <c r="CM1036" s="37">
        <v>0</v>
      </c>
      <c r="CN1036" s="37">
        <v>0</v>
      </c>
      <c r="CO1036" s="37">
        <v>0</v>
      </c>
      <c r="CP1036" s="37">
        <v>0</v>
      </c>
      <c r="CQ1036" s="37">
        <v>0</v>
      </c>
      <c r="CR1036" s="37">
        <v>0</v>
      </c>
      <c r="CS1036" s="37">
        <v>0</v>
      </c>
      <c r="CT1036" s="37">
        <v>0</v>
      </c>
      <c r="CU1036" s="37">
        <v>0</v>
      </c>
      <c r="CV1036" s="37">
        <v>0</v>
      </c>
      <c r="CW1036" s="37">
        <v>0</v>
      </c>
      <c r="CX1036" s="37">
        <v>0</v>
      </c>
      <c r="CY1036" s="37">
        <v>0</v>
      </c>
      <c r="CZ1036" s="37">
        <v>0</v>
      </c>
      <c r="DA1036" s="37">
        <v>0</v>
      </c>
      <c r="DB1036" s="37">
        <v>0</v>
      </c>
      <c r="DC1036" s="37">
        <v>0</v>
      </c>
      <c r="DD1036" s="37">
        <v>0</v>
      </c>
      <c r="DE1036" s="37">
        <v>0</v>
      </c>
      <c r="DF1036" s="37">
        <v>0</v>
      </c>
      <c r="DG1036" s="37">
        <v>0</v>
      </c>
      <c r="DH1036" s="37">
        <v>0</v>
      </c>
      <c r="DI1036" s="37">
        <v>0</v>
      </c>
      <c r="DJ1036" s="37">
        <v>0</v>
      </c>
      <c r="DK1036" s="37">
        <v>0</v>
      </c>
      <c r="DL1036" s="37">
        <v>0</v>
      </c>
      <c r="DM1036" s="37">
        <v>0</v>
      </c>
      <c r="DN1036" s="37">
        <v>0</v>
      </c>
      <c r="DO1036" s="37">
        <v>0</v>
      </c>
      <c r="DP1036" s="37">
        <v>0</v>
      </c>
      <c r="DQ1036" s="37">
        <v>0</v>
      </c>
      <c r="DR1036" s="37">
        <v>0</v>
      </c>
      <c r="DS1036" s="37">
        <v>0</v>
      </c>
      <c r="DT1036" s="37">
        <v>0</v>
      </c>
      <c r="DU1036" s="37">
        <v>0</v>
      </c>
      <c r="DV1036" s="37">
        <v>0</v>
      </c>
      <c r="DW1036" s="37">
        <v>0</v>
      </c>
      <c r="DX1036" s="37">
        <v>0</v>
      </c>
      <c r="DY1036" s="37">
        <v>0</v>
      </c>
      <c r="DZ1036" s="37">
        <v>0</v>
      </c>
      <c r="EA1036" s="37">
        <v>0</v>
      </c>
      <c r="EB1036" s="37">
        <v>0</v>
      </c>
      <c r="EC1036" s="37">
        <v>0</v>
      </c>
      <c r="ED1036" s="37">
        <v>0</v>
      </c>
      <c r="EE1036" s="37">
        <v>0</v>
      </c>
      <c r="EF1036" s="37">
        <v>0</v>
      </c>
      <c r="EG1036" s="37">
        <v>0</v>
      </c>
      <c r="EH1036" s="37">
        <v>0</v>
      </c>
      <c r="EI1036" s="37">
        <v>0</v>
      </c>
      <c r="EJ1036" s="37">
        <v>0</v>
      </c>
      <c r="EK1036" s="161" t="s">
        <v>3707</v>
      </c>
      <c r="EL1036" s="294" t="s">
        <v>1124</v>
      </c>
    </row>
    <row r="1037" spans="1:142" ht="15" customHeight="1" x14ac:dyDescent="0.35">
      <c r="A1037" s="34"/>
      <c r="B1037" s="313">
        <v>97007</v>
      </c>
      <c r="C1037" s="8" t="s">
        <v>1002</v>
      </c>
      <c r="D1037" s="18">
        <v>9</v>
      </c>
      <c r="E1037" s="155">
        <v>3750722</v>
      </c>
      <c r="F1037" s="36">
        <v>1919598</v>
      </c>
      <c r="G1037" s="37">
        <v>257548</v>
      </c>
      <c r="H1037" s="37">
        <v>208590</v>
      </c>
      <c r="I1037" s="37">
        <v>694763</v>
      </c>
      <c r="J1037" s="37">
        <v>518792</v>
      </c>
      <c r="K1037" s="37">
        <v>0</v>
      </c>
      <c r="L1037" s="37">
        <v>0</v>
      </c>
      <c r="M1037" s="37">
        <v>4703033</v>
      </c>
      <c r="N1037" s="37">
        <v>2646980</v>
      </c>
      <c r="O1037" s="37">
        <v>1039557</v>
      </c>
      <c r="P1037" s="37">
        <v>0</v>
      </c>
      <c r="Q1037" s="37">
        <v>2000141</v>
      </c>
      <c r="R1037" s="37">
        <v>8995</v>
      </c>
      <c r="S1037" s="37">
        <v>230721</v>
      </c>
      <c r="T1037" s="37">
        <v>123311</v>
      </c>
      <c r="U1037" s="37">
        <v>109461</v>
      </c>
      <c r="V1037" s="37">
        <v>183867</v>
      </c>
      <c r="W1037" s="37">
        <v>1323153</v>
      </c>
      <c r="X1037" s="37">
        <v>2330807</v>
      </c>
      <c r="Y1037" s="37">
        <v>0</v>
      </c>
      <c r="Z1037" s="37">
        <v>0</v>
      </c>
      <c r="AA1037" s="37">
        <v>4703033</v>
      </c>
      <c r="AB1037" s="37">
        <v>2646980</v>
      </c>
      <c r="AC1037" s="37">
        <v>0</v>
      </c>
      <c r="AD1037" s="37">
        <v>0</v>
      </c>
      <c r="AE1037" s="37">
        <v>0</v>
      </c>
      <c r="AF1037" s="168">
        <v>1.7000000000000001E-2</v>
      </c>
      <c r="AG1037" s="37">
        <v>588664522.88</v>
      </c>
      <c r="AH1037" s="37">
        <v>8182023.2599999998</v>
      </c>
      <c r="AI1037" s="37">
        <v>5942253.0099999998</v>
      </c>
      <c r="AJ1037" s="37">
        <v>6674394.46</v>
      </c>
      <c r="AK1037" s="37">
        <v>6306469.9900000002</v>
      </c>
      <c r="AL1037" s="37">
        <v>6413679.9800000004</v>
      </c>
      <c r="AM1037" s="37">
        <v>5969495.2800000003</v>
      </c>
      <c r="AN1037" s="37">
        <v>6070976.7000000002</v>
      </c>
      <c r="AO1037" s="37">
        <v>6174183.2999999998</v>
      </c>
      <c r="AP1037" s="37">
        <v>6279144.4199999999</v>
      </c>
      <c r="AQ1037" s="37">
        <v>6385889.8700000001</v>
      </c>
      <c r="AR1037" s="37">
        <v>64398510.269999996</v>
      </c>
      <c r="AS1037" s="37">
        <v>6666435</v>
      </c>
      <c r="AT1037" s="37">
        <v>0</v>
      </c>
      <c r="AU1037" s="37">
        <v>5171445</v>
      </c>
      <c r="AV1037" s="37">
        <v>10466125.529999999</v>
      </c>
      <c r="AW1037" s="37">
        <v>4974354.87</v>
      </c>
      <c r="AX1037" s="37">
        <v>0</v>
      </c>
      <c r="AY1037" s="37">
        <v>0</v>
      </c>
      <c r="AZ1037" s="37">
        <v>0</v>
      </c>
      <c r="BA1037" s="37">
        <v>0</v>
      </c>
      <c r="BB1037" s="37">
        <v>0</v>
      </c>
      <c r="BC1037" s="37">
        <v>0</v>
      </c>
      <c r="BD1037" s="37">
        <v>20611925.399999999</v>
      </c>
      <c r="BE1037" s="37">
        <v>803769</v>
      </c>
      <c r="BF1037" s="37">
        <v>650000</v>
      </c>
      <c r="BG1037" s="37">
        <v>2000000</v>
      </c>
      <c r="BH1037" s="37">
        <v>0</v>
      </c>
      <c r="BI1037" s="37">
        <v>0</v>
      </c>
      <c r="BJ1037" s="37">
        <v>1200000</v>
      </c>
      <c r="BK1037" s="37">
        <v>1200000</v>
      </c>
      <c r="BL1037" s="37">
        <v>1200000</v>
      </c>
      <c r="BM1037" s="37">
        <v>1200000</v>
      </c>
      <c r="BN1037" s="37">
        <v>1200000</v>
      </c>
      <c r="BO1037" s="37">
        <v>1200000</v>
      </c>
      <c r="BP1037" s="37">
        <v>9850000</v>
      </c>
      <c r="BQ1037" s="37">
        <v>936747</v>
      </c>
      <c r="BR1037" s="37">
        <v>2850000</v>
      </c>
      <c r="BS1037" s="37">
        <v>1600000</v>
      </c>
      <c r="BT1037" s="37">
        <v>800000</v>
      </c>
      <c r="BU1037" s="37">
        <v>1000000</v>
      </c>
      <c r="BV1037" s="37">
        <v>1000000</v>
      </c>
      <c r="BW1037" s="37">
        <v>1000000</v>
      </c>
      <c r="BX1037" s="37">
        <v>1000000</v>
      </c>
      <c r="BY1037" s="37">
        <v>1000000</v>
      </c>
      <c r="BZ1037" s="37">
        <v>1000000</v>
      </c>
      <c r="CA1037" s="37">
        <v>1000000</v>
      </c>
      <c r="CB1037" s="37">
        <v>12250000</v>
      </c>
      <c r="CC1037" s="37">
        <v>302232</v>
      </c>
      <c r="CD1037" s="37">
        <v>150000</v>
      </c>
      <c r="CE1037" s="37">
        <v>0</v>
      </c>
      <c r="CF1037" s="37">
        <v>150000</v>
      </c>
      <c r="CG1037" s="37">
        <v>0</v>
      </c>
      <c r="CH1037" s="37">
        <v>0</v>
      </c>
      <c r="CI1037" s="37">
        <v>0</v>
      </c>
      <c r="CJ1037" s="37">
        <v>0</v>
      </c>
      <c r="CK1037" s="37">
        <v>0</v>
      </c>
      <c r="CL1037" s="37">
        <v>0</v>
      </c>
      <c r="CM1037" s="37">
        <v>0</v>
      </c>
      <c r="CN1037" s="37">
        <v>300000</v>
      </c>
      <c r="CO1037" s="37">
        <v>631942</v>
      </c>
      <c r="CP1037" s="37">
        <v>0</v>
      </c>
      <c r="CQ1037" s="37">
        <v>3500000</v>
      </c>
      <c r="CR1037" s="37">
        <v>2320000</v>
      </c>
      <c r="CS1037" s="37">
        <v>1250000</v>
      </c>
      <c r="CT1037" s="37">
        <v>0</v>
      </c>
      <c r="CU1037" s="37">
        <v>0</v>
      </c>
      <c r="CV1037" s="37">
        <v>0</v>
      </c>
      <c r="CW1037" s="37">
        <v>0</v>
      </c>
      <c r="CX1037" s="37">
        <v>0</v>
      </c>
      <c r="CY1037" s="37">
        <v>0</v>
      </c>
      <c r="CZ1037" s="37">
        <v>7070000</v>
      </c>
      <c r="DA1037" s="37">
        <v>2711315</v>
      </c>
      <c r="DB1037" s="37">
        <v>0</v>
      </c>
      <c r="DC1037" s="37">
        <v>1300000</v>
      </c>
      <c r="DD1037" s="37">
        <v>1180000</v>
      </c>
      <c r="DE1037" s="37">
        <v>650000</v>
      </c>
      <c r="DF1037" s="37">
        <v>0</v>
      </c>
      <c r="DG1037" s="37">
        <v>0</v>
      </c>
      <c r="DH1037" s="37">
        <v>0</v>
      </c>
      <c r="DI1037" s="37">
        <v>0</v>
      </c>
      <c r="DJ1037" s="37">
        <v>0</v>
      </c>
      <c r="DK1037" s="37">
        <v>0</v>
      </c>
      <c r="DL1037" s="37">
        <v>3130000</v>
      </c>
      <c r="DM1037" s="37">
        <v>376424</v>
      </c>
      <c r="DN1037" s="37">
        <v>0</v>
      </c>
      <c r="DO1037" s="37">
        <v>0</v>
      </c>
      <c r="DP1037" s="37">
        <v>0</v>
      </c>
      <c r="DQ1037" s="37">
        <v>0</v>
      </c>
      <c r="DR1037" s="37">
        <v>0</v>
      </c>
      <c r="DS1037" s="37">
        <v>0</v>
      </c>
      <c r="DT1037" s="37">
        <v>0</v>
      </c>
      <c r="DU1037" s="37">
        <v>0</v>
      </c>
      <c r="DV1037" s="37">
        <v>0</v>
      </c>
      <c r="DW1037" s="37">
        <v>0</v>
      </c>
      <c r="DX1037" s="37">
        <v>0</v>
      </c>
      <c r="DY1037" s="37">
        <v>482875</v>
      </c>
      <c r="DZ1037" s="37">
        <v>0</v>
      </c>
      <c r="EA1037" s="37">
        <v>200000</v>
      </c>
      <c r="EB1037" s="37">
        <v>6450000</v>
      </c>
      <c r="EC1037" s="37">
        <v>2750000</v>
      </c>
      <c r="ED1037" s="37">
        <v>0</v>
      </c>
      <c r="EE1037" s="37">
        <v>0</v>
      </c>
      <c r="EF1037" s="37">
        <v>0</v>
      </c>
      <c r="EG1037" s="37">
        <v>0</v>
      </c>
      <c r="EH1037" s="37">
        <v>0</v>
      </c>
      <c r="EI1037" s="37">
        <v>0</v>
      </c>
      <c r="EJ1037" s="37">
        <v>9400000</v>
      </c>
      <c r="EK1037" s="161" t="s">
        <v>3511</v>
      </c>
      <c r="EL1037" s="294" t="s">
        <v>1124</v>
      </c>
    </row>
    <row r="1038" spans="1:142" ht="15" customHeight="1" x14ac:dyDescent="0.35">
      <c r="A1038" s="34"/>
      <c r="B1038" s="313">
        <v>22020</v>
      </c>
      <c r="C1038" s="8" t="s">
        <v>156</v>
      </c>
      <c r="D1038" s="18">
        <v>3</v>
      </c>
      <c r="E1038" s="155">
        <v>229315</v>
      </c>
      <c r="F1038" s="36">
        <v>30416</v>
      </c>
      <c r="G1038" s="37">
        <v>0</v>
      </c>
      <c r="H1038" s="37">
        <v>22240</v>
      </c>
      <c r="I1038" s="37">
        <v>0</v>
      </c>
      <c r="J1038" s="37">
        <v>0</v>
      </c>
      <c r="K1038" s="37">
        <v>22900</v>
      </c>
      <c r="L1038" s="37">
        <v>5260</v>
      </c>
      <c r="M1038" s="37">
        <v>252215</v>
      </c>
      <c r="N1038" s="37">
        <v>57916</v>
      </c>
      <c r="O1038" s="37">
        <v>0</v>
      </c>
      <c r="P1038" s="37">
        <v>0</v>
      </c>
      <c r="Q1038" s="37">
        <v>179672</v>
      </c>
      <c r="R1038" s="37">
        <v>3780</v>
      </c>
      <c r="S1038" s="37">
        <v>0</v>
      </c>
      <c r="T1038" s="37">
        <v>0</v>
      </c>
      <c r="U1038" s="37">
        <v>0</v>
      </c>
      <c r="V1038" s="37">
        <v>0</v>
      </c>
      <c r="W1038" s="37">
        <v>69730</v>
      </c>
      <c r="X1038" s="37">
        <v>20830</v>
      </c>
      <c r="Y1038" s="37">
        <v>36123</v>
      </c>
      <c r="Z1038" s="37">
        <v>0</v>
      </c>
      <c r="AA1038" s="37">
        <v>285525</v>
      </c>
      <c r="AB1038" s="37">
        <v>24610</v>
      </c>
      <c r="AC1038" s="37">
        <v>4</v>
      </c>
      <c r="AD1038" s="37">
        <v>0</v>
      </c>
      <c r="AE1038" s="37">
        <v>349952</v>
      </c>
      <c r="AF1038" s="168">
        <v>0.02</v>
      </c>
      <c r="AG1038" s="37">
        <v>17707485.52</v>
      </c>
      <c r="AH1038" s="37">
        <v>129315.48</v>
      </c>
      <c r="AI1038" s="37">
        <v>144105.68</v>
      </c>
      <c r="AJ1038" s="37">
        <v>206521.56</v>
      </c>
      <c r="AK1038" s="37">
        <v>155447.95000000001</v>
      </c>
      <c r="AL1038" s="37">
        <v>147295.29</v>
      </c>
      <c r="AM1038" s="37">
        <v>144497.76</v>
      </c>
      <c r="AN1038" s="37">
        <v>147387.72</v>
      </c>
      <c r="AO1038" s="37">
        <v>150335.47</v>
      </c>
      <c r="AP1038" s="37">
        <v>153342.18</v>
      </c>
      <c r="AQ1038" s="37">
        <v>156409.03</v>
      </c>
      <c r="AR1038" s="37">
        <v>1534658.1199999999</v>
      </c>
      <c r="AS1038" s="37">
        <v>130050</v>
      </c>
      <c r="AT1038" s="37">
        <v>20808</v>
      </c>
      <c r="AU1038" s="37">
        <v>21224.16</v>
      </c>
      <c r="AV1038" s="37">
        <v>0</v>
      </c>
      <c r="AW1038" s="37">
        <v>0</v>
      </c>
      <c r="AX1038" s="37">
        <v>0</v>
      </c>
      <c r="AY1038" s="37">
        <v>0</v>
      </c>
      <c r="AZ1038" s="37">
        <v>0</v>
      </c>
      <c r="BA1038" s="37">
        <v>0</v>
      </c>
      <c r="BB1038" s="37">
        <v>0</v>
      </c>
      <c r="BC1038" s="37">
        <v>0</v>
      </c>
      <c r="BD1038" s="37">
        <v>42032.160000000003</v>
      </c>
      <c r="BE1038" s="37">
        <v>0</v>
      </c>
      <c r="BF1038" s="37">
        <v>0</v>
      </c>
      <c r="BG1038" s="37">
        <v>0</v>
      </c>
      <c r="BH1038" s="37">
        <v>0</v>
      </c>
      <c r="BI1038" s="37">
        <v>0</v>
      </c>
      <c r="BJ1038" s="37">
        <v>0</v>
      </c>
      <c r="BK1038" s="37">
        <v>0</v>
      </c>
      <c r="BL1038" s="37">
        <v>0</v>
      </c>
      <c r="BM1038" s="37">
        <v>0</v>
      </c>
      <c r="BN1038" s="37">
        <v>0</v>
      </c>
      <c r="BO1038" s="37">
        <v>0</v>
      </c>
      <c r="BP1038" s="37">
        <v>0</v>
      </c>
      <c r="BQ1038" s="37">
        <v>0</v>
      </c>
      <c r="BR1038" s="37">
        <v>0</v>
      </c>
      <c r="BS1038" s="37">
        <v>0</v>
      </c>
      <c r="BT1038" s="37">
        <v>0</v>
      </c>
      <c r="BU1038" s="37">
        <v>0</v>
      </c>
      <c r="BV1038" s="37">
        <v>0</v>
      </c>
      <c r="BW1038" s="37">
        <v>0</v>
      </c>
      <c r="BX1038" s="37">
        <v>0</v>
      </c>
      <c r="BY1038" s="37">
        <v>0</v>
      </c>
      <c r="BZ1038" s="37">
        <v>0</v>
      </c>
      <c r="CA1038" s="37">
        <v>0</v>
      </c>
      <c r="CB1038" s="37">
        <v>0</v>
      </c>
      <c r="CC1038" s="37">
        <v>0</v>
      </c>
      <c r="CD1038" s="37">
        <v>0</v>
      </c>
      <c r="CE1038" s="37">
        <v>0</v>
      </c>
      <c r="CF1038" s="37">
        <v>0</v>
      </c>
      <c r="CG1038" s="37">
        <v>0</v>
      </c>
      <c r="CH1038" s="37">
        <v>0</v>
      </c>
      <c r="CI1038" s="37">
        <v>0</v>
      </c>
      <c r="CJ1038" s="37">
        <v>0</v>
      </c>
      <c r="CK1038" s="37">
        <v>0</v>
      </c>
      <c r="CL1038" s="37">
        <v>0</v>
      </c>
      <c r="CM1038" s="37">
        <v>0</v>
      </c>
      <c r="CN1038" s="37">
        <v>0</v>
      </c>
      <c r="CO1038" s="37">
        <v>0</v>
      </c>
      <c r="CP1038" s="37">
        <v>0</v>
      </c>
      <c r="CQ1038" s="37">
        <v>0</v>
      </c>
      <c r="CR1038" s="37">
        <v>0</v>
      </c>
      <c r="CS1038" s="37">
        <v>0</v>
      </c>
      <c r="CT1038" s="37">
        <v>0</v>
      </c>
      <c r="CU1038" s="37">
        <v>0</v>
      </c>
      <c r="CV1038" s="37">
        <v>0</v>
      </c>
      <c r="CW1038" s="37">
        <v>0</v>
      </c>
      <c r="CX1038" s="37">
        <v>0</v>
      </c>
      <c r="CY1038" s="37">
        <v>0</v>
      </c>
      <c r="CZ1038" s="37">
        <v>0</v>
      </c>
      <c r="DA1038" s="37">
        <v>0</v>
      </c>
      <c r="DB1038" s="37">
        <v>0</v>
      </c>
      <c r="DC1038" s="37">
        <v>0</v>
      </c>
      <c r="DD1038" s="37">
        <v>0</v>
      </c>
      <c r="DE1038" s="37">
        <v>0</v>
      </c>
      <c r="DF1038" s="37">
        <v>0</v>
      </c>
      <c r="DG1038" s="37">
        <v>0</v>
      </c>
      <c r="DH1038" s="37">
        <v>0</v>
      </c>
      <c r="DI1038" s="37">
        <v>0</v>
      </c>
      <c r="DJ1038" s="37">
        <v>0</v>
      </c>
      <c r="DK1038" s="37">
        <v>0</v>
      </c>
      <c r="DL1038" s="37">
        <v>0</v>
      </c>
      <c r="DM1038" s="37">
        <v>0</v>
      </c>
      <c r="DN1038" s="37">
        <v>0</v>
      </c>
      <c r="DO1038" s="37">
        <v>0</v>
      </c>
      <c r="DP1038" s="37">
        <v>0</v>
      </c>
      <c r="DQ1038" s="37">
        <v>0</v>
      </c>
      <c r="DR1038" s="37">
        <v>0</v>
      </c>
      <c r="DS1038" s="37">
        <v>0</v>
      </c>
      <c r="DT1038" s="37">
        <v>0</v>
      </c>
      <c r="DU1038" s="37">
        <v>0</v>
      </c>
      <c r="DV1038" s="37">
        <v>0</v>
      </c>
      <c r="DW1038" s="37">
        <v>0</v>
      </c>
      <c r="DX1038" s="37">
        <v>0</v>
      </c>
      <c r="DY1038" s="37">
        <v>0</v>
      </c>
      <c r="DZ1038" s="37">
        <v>0</v>
      </c>
      <c r="EA1038" s="37">
        <v>0</v>
      </c>
      <c r="EB1038" s="37">
        <v>0</v>
      </c>
      <c r="EC1038" s="37">
        <v>0</v>
      </c>
      <c r="ED1038" s="37">
        <v>0</v>
      </c>
      <c r="EE1038" s="37">
        <v>0</v>
      </c>
      <c r="EF1038" s="37">
        <v>0</v>
      </c>
      <c r="EG1038" s="37">
        <v>0</v>
      </c>
      <c r="EH1038" s="37">
        <v>0</v>
      </c>
      <c r="EI1038" s="37">
        <v>0</v>
      </c>
      <c r="EJ1038" s="37">
        <v>0</v>
      </c>
      <c r="EK1038" s="161" t="s">
        <v>3515</v>
      </c>
      <c r="EL1038" s="294" t="s">
        <v>1124</v>
      </c>
    </row>
    <row r="1039" spans="1:142" ht="15" customHeight="1" x14ac:dyDescent="0.35">
      <c r="A1039" s="34"/>
      <c r="B1039" s="313">
        <v>36033</v>
      </c>
      <c r="C1039" s="8" t="s">
        <v>313</v>
      </c>
      <c r="D1039" s="18">
        <v>4</v>
      </c>
      <c r="E1039" s="155">
        <v>3954949</v>
      </c>
      <c r="F1039" s="36">
        <v>2249279</v>
      </c>
      <c r="G1039" s="37">
        <v>1321844</v>
      </c>
      <c r="H1039" s="37">
        <v>1354854</v>
      </c>
      <c r="I1039" s="37">
        <v>6796599</v>
      </c>
      <c r="J1039" s="37">
        <v>8053578</v>
      </c>
      <c r="K1039" s="37">
        <v>593242.35</v>
      </c>
      <c r="L1039" s="37">
        <v>337392</v>
      </c>
      <c r="M1039" s="37">
        <v>12666634.35</v>
      </c>
      <c r="N1039" s="37">
        <v>11995103</v>
      </c>
      <c r="O1039" s="37">
        <v>426688</v>
      </c>
      <c r="P1039" s="37">
        <v>460620</v>
      </c>
      <c r="Q1039" s="37">
        <v>5859344</v>
      </c>
      <c r="R1039" s="37">
        <v>2337643</v>
      </c>
      <c r="S1039" s="37">
        <v>0</v>
      </c>
      <c r="T1039" s="37">
        <v>0</v>
      </c>
      <c r="U1039" s="37">
        <v>606636</v>
      </c>
      <c r="V1039" s="37">
        <v>31214</v>
      </c>
      <c r="W1039" s="37">
        <v>6425975</v>
      </c>
      <c r="X1039" s="37">
        <v>9813617</v>
      </c>
      <c r="Y1039" s="37">
        <v>0</v>
      </c>
      <c r="Z1039" s="37">
        <v>4018</v>
      </c>
      <c r="AA1039" s="37">
        <v>13318643</v>
      </c>
      <c r="AB1039" s="37">
        <v>12647112</v>
      </c>
      <c r="AC1039" s="37">
        <v>1304018</v>
      </c>
      <c r="AD1039" s="37">
        <v>1304018</v>
      </c>
      <c r="AE1039" s="37">
        <v>1558180</v>
      </c>
      <c r="AF1039" s="168">
        <v>0.02</v>
      </c>
      <c r="AG1039" s="37">
        <v>997000821.70000005</v>
      </c>
      <c r="AH1039" s="37">
        <v>8489333.5</v>
      </c>
      <c r="AI1039" s="37">
        <v>8844831.5700000003</v>
      </c>
      <c r="AJ1039" s="37">
        <v>9289630.1600000001</v>
      </c>
      <c r="AK1039" s="37">
        <v>9763219.8300000001</v>
      </c>
      <c r="AL1039" s="37">
        <v>9859945.0099999998</v>
      </c>
      <c r="AM1039" s="37">
        <v>9660059.0399999991</v>
      </c>
      <c r="AN1039" s="37">
        <v>9608015.8300000001</v>
      </c>
      <c r="AO1039" s="37">
        <v>9895783.5600000005</v>
      </c>
      <c r="AP1039" s="37">
        <v>10002274.65</v>
      </c>
      <c r="AQ1039" s="37">
        <v>10133934.550000001</v>
      </c>
      <c r="AR1039" s="37">
        <v>95547027.699999988</v>
      </c>
      <c r="AS1039" s="37">
        <v>15170957.76</v>
      </c>
      <c r="AT1039" s="37">
        <v>0</v>
      </c>
      <c r="AU1039" s="37">
        <v>0</v>
      </c>
      <c r="AV1039" s="37">
        <v>313905.33</v>
      </c>
      <c r="AW1039" s="37">
        <v>596203.63</v>
      </c>
      <c r="AX1039" s="37">
        <v>0</v>
      </c>
      <c r="AY1039" s="37">
        <v>0</v>
      </c>
      <c r="AZ1039" s="37">
        <v>0</v>
      </c>
      <c r="BA1039" s="37">
        <v>0</v>
      </c>
      <c r="BB1039" s="37">
        <v>0</v>
      </c>
      <c r="BC1039" s="37">
        <v>0</v>
      </c>
      <c r="BD1039" s="37">
        <v>910108.96</v>
      </c>
      <c r="BE1039" s="37">
        <v>1345828</v>
      </c>
      <c r="BF1039" s="37">
        <v>0</v>
      </c>
      <c r="BG1039" s="37">
        <v>0</v>
      </c>
      <c r="BH1039" s="37">
        <v>0</v>
      </c>
      <c r="BI1039" s="37">
        <v>0</v>
      </c>
      <c r="BJ1039" s="37">
        <v>0</v>
      </c>
      <c r="BK1039" s="37">
        <v>0</v>
      </c>
      <c r="BL1039" s="37">
        <v>0</v>
      </c>
      <c r="BM1039" s="37">
        <v>0</v>
      </c>
      <c r="BN1039" s="37">
        <v>0</v>
      </c>
      <c r="BO1039" s="37">
        <v>0</v>
      </c>
      <c r="BP1039" s="37">
        <v>0</v>
      </c>
      <c r="BQ1039" s="37">
        <v>0</v>
      </c>
      <c r="BR1039" s="37">
        <v>0</v>
      </c>
      <c r="BS1039" s="37">
        <v>0</v>
      </c>
      <c r="BT1039" s="37">
        <v>0</v>
      </c>
      <c r="BU1039" s="37">
        <v>0</v>
      </c>
      <c r="BV1039" s="37">
        <v>0</v>
      </c>
      <c r="BW1039" s="37">
        <v>0</v>
      </c>
      <c r="BX1039" s="37">
        <v>0</v>
      </c>
      <c r="BY1039" s="37">
        <v>0</v>
      </c>
      <c r="BZ1039" s="37">
        <v>0</v>
      </c>
      <c r="CA1039" s="37">
        <v>0</v>
      </c>
      <c r="CB1039" s="37">
        <v>0</v>
      </c>
      <c r="CC1039" s="37">
        <v>0</v>
      </c>
      <c r="CD1039" s="37">
        <v>0</v>
      </c>
      <c r="CE1039" s="37">
        <v>0</v>
      </c>
      <c r="CF1039" s="37">
        <v>0</v>
      </c>
      <c r="CG1039" s="37">
        <v>0</v>
      </c>
      <c r="CH1039" s="37">
        <v>0</v>
      </c>
      <c r="CI1039" s="37">
        <v>0</v>
      </c>
      <c r="CJ1039" s="37">
        <v>0</v>
      </c>
      <c r="CK1039" s="37">
        <v>0</v>
      </c>
      <c r="CL1039" s="37">
        <v>0</v>
      </c>
      <c r="CM1039" s="37">
        <v>0</v>
      </c>
      <c r="CN1039" s="37">
        <v>0</v>
      </c>
      <c r="CO1039" s="37">
        <v>14414360</v>
      </c>
      <c r="CP1039" s="37">
        <v>0</v>
      </c>
      <c r="CQ1039" s="37">
        <v>0</v>
      </c>
      <c r="CR1039" s="37">
        <v>0</v>
      </c>
      <c r="CS1039" s="37">
        <v>0</v>
      </c>
      <c r="CT1039" s="37">
        <v>0</v>
      </c>
      <c r="CU1039" s="37">
        <v>0</v>
      </c>
      <c r="CV1039" s="37">
        <v>0</v>
      </c>
      <c r="CW1039" s="37">
        <v>0</v>
      </c>
      <c r="CX1039" s="37">
        <v>0</v>
      </c>
      <c r="CY1039" s="37">
        <v>0</v>
      </c>
      <c r="CZ1039" s="37">
        <v>0</v>
      </c>
      <c r="DA1039" s="37">
        <v>3704140</v>
      </c>
      <c r="DB1039" s="37">
        <v>0</v>
      </c>
      <c r="DC1039" s="37">
        <v>0</v>
      </c>
      <c r="DD1039" s="37">
        <v>0</v>
      </c>
      <c r="DE1039" s="37">
        <v>0</v>
      </c>
      <c r="DF1039" s="37">
        <v>0</v>
      </c>
      <c r="DG1039" s="37">
        <v>0</v>
      </c>
      <c r="DH1039" s="37">
        <v>0</v>
      </c>
      <c r="DI1039" s="37">
        <v>0</v>
      </c>
      <c r="DJ1039" s="37">
        <v>0</v>
      </c>
      <c r="DK1039" s="37">
        <v>0</v>
      </c>
      <c r="DL1039" s="37">
        <v>0</v>
      </c>
      <c r="DM1039" s="37">
        <v>0</v>
      </c>
      <c r="DN1039" s="37">
        <v>0</v>
      </c>
      <c r="DO1039" s="37">
        <v>0</v>
      </c>
      <c r="DP1039" s="37">
        <v>0</v>
      </c>
      <c r="DQ1039" s="37">
        <v>0</v>
      </c>
      <c r="DR1039" s="37">
        <v>0</v>
      </c>
      <c r="DS1039" s="37">
        <v>0</v>
      </c>
      <c r="DT1039" s="37">
        <v>0</v>
      </c>
      <c r="DU1039" s="37">
        <v>0</v>
      </c>
      <c r="DV1039" s="37">
        <v>0</v>
      </c>
      <c r="DW1039" s="37">
        <v>0</v>
      </c>
      <c r="DX1039" s="37">
        <v>0</v>
      </c>
      <c r="DY1039" s="37">
        <v>0</v>
      </c>
      <c r="DZ1039" s="37">
        <v>0</v>
      </c>
      <c r="EA1039" s="37">
        <v>0</v>
      </c>
      <c r="EB1039" s="37">
        <v>0</v>
      </c>
      <c r="EC1039" s="37">
        <v>0</v>
      </c>
      <c r="ED1039" s="37">
        <v>0</v>
      </c>
      <c r="EE1039" s="37">
        <v>0</v>
      </c>
      <c r="EF1039" s="37">
        <v>0</v>
      </c>
      <c r="EG1039" s="37">
        <v>0</v>
      </c>
      <c r="EH1039" s="37">
        <v>0</v>
      </c>
      <c r="EI1039" s="37">
        <v>0</v>
      </c>
      <c r="EJ1039" s="37">
        <v>0</v>
      </c>
      <c r="EK1039" s="161" t="s">
        <v>3521</v>
      </c>
      <c r="EL1039" s="294" t="s">
        <v>1124</v>
      </c>
    </row>
    <row r="1040" spans="1:142" ht="15" customHeight="1" x14ac:dyDescent="0.35">
      <c r="A1040" s="34"/>
      <c r="B1040" s="313">
        <v>84010</v>
      </c>
      <c r="C1040" s="8" t="s">
        <v>853</v>
      </c>
      <c r="D1040" s="18">
        <v>7</v>
      </c>
      <c r="E1040" s="155"/>
      <c r="F1040" s="36"/>
      <c r="G1040" s="37"/>
      <c r="H1040" s="37"/>
      <c r="I1040" s="37"/>
      <c r="J1040" s="37"/>
      <c r="K1040" s="37"/>
      <c r="L1040" s="37"/>
      <c r="M1040" s="37" t="s">
        <v>1124</v>
      </c>
      <c r="N1040" s="37" t="s">
        <v>1124</v>
      </c>
      <c r="O1040" s="37"/>
      <c r="P1040" s="37"/>
      <c r="Q1040" s="37"/>
      <c r="R1040" s="37"/>
      <c r="S1040" s="37"/>
      <c r="T1040" s="37"/>
      <c r="U1040" s="37"/>
      <c r="V1040" s="37"/>
      <c r="W1040" s="37"/>
      <c r="X1040" s="37"/>
      <c r="Y1040" s="37"/>
      <c r="Z1040" s="37"/>
      <c r="AA1040" s="37" t="s">
        <v>1124</v>
      </c>
      <c r="AB1040" s="37" t="s">
        <v>1124</v>
      </c>
      <c r="AC1040" s="37"/>
      <c r="AD1040" s="37"/>
      <c r="AE1040" s="37"/>
      <c r="AF1040" s="168"/>
      <c r="AG1040" s="37"/>
      <c r="AH1040" s="37"/>
      <c r="AI1040" s="37"/>
      <c r="AJ1040" s="37"/>
      <c r="AK1040" s="37"/>
      <c r="AL1040" s="37"/>
      <c r="AM1040" s="37"/>
      <c r="AN1040" s="37"/>
      <c r="AO1040" s="37"/>
      <c r="AP1040" s="37"/>
      <c r="AQ1040" s="37"/>
      <c r="AR1040" s="37" t="s">
        <v>1124</v>
      </c>
      <c r="AS1040" s="37"/>
      <c r="AT1040" s="37"/>
      <c r="AU1040" s="37"/>
      <c r="AV1040" s="37"/>
      <c r="AW1040" s="37"/>
      <c r="AX1040" s="37"/>
      <c r="AY1040" s="37"/>
      <c r="AZ1040" s="37"/>
      <c r="BA1040" s="37"/>
      <c r="BB1040" s="37"/>
      <c r="BC1040" s="37"/>
      <c r="BD1040" s="37" t="s">
        <v>1124</v>
      </c>
      <c r="BE1040" s="37"/>
      <c r="BF1040" s="37"/>
      <c r="BG1040" s="37"/>
      <c r="BH1040" s="37"/>
      <c r="BI1040" s="37"/>
      <c r="BJ1040" s="37"/>
      <c r="BK1040" s="37"/>
      <c r="BL1040" s="37"/>
      <c r="BM1040" s="37"/>
      <c r="BN1040" s="37"/>
      <c r="BO1040" s="37"/>
      <c r="BP1040" s="37">
        <v>0</v>
      </c>
      <c r="BQ1040" s="37"/>
      <c r="BR1040" s="37"/>
      <c r="BS1040" s="37"/>
      <c r="BT1040" s="37"/>
      <c r="BU1040" s="37"/>
      <c r="BV1040" s="37"/>
      <c r="BW1040" s="37"/>
      <c r="BX1040" s="37"/>
      <c r="BY1040" s="37"/>
      <c r="BZ1040" s="37"/>
      <c r="CA1040" s="37"/>
      <c r="CB1040" s="37" t="s">
        <v>1124</v>
      </c>
      <c r="CC1040" s="37"/>
      <c r="CD1040" s="37"/>
      <c r="CE1040" s="37"/>
      <c r="CF1040" s="37"/>
      <c r="CG1040" s="37"/>
      <c r="CH1040" s="37"/>
      <c r="CI1040" s="37"/>
      <c r="CJ1040" s="37"/>
      <c r="CK1040" s="37"/>
      <c r="CL1040" s="37"/>
      <c r="CM1040" s="37"/>
      <c r="CN1040" s="37" t="s">
        <v>1124</v>
      </c>
      <c r="CO1040" s="37"/>
      <c r="CP1040" s="37"/>
      <c r="CQ1040" s="37"/>
      <c r="CR1040" s="37"/>
      <c r="CS1040" s="37"/>
      <c r="CT1040" s="37"/>
      <c r="CU1040" s="37"/>
      <c r="CV1040" s="37"/>
      <c r="CW1040" s="37"/>
      <c r="CX1040" s="37"/>
      <c r="CY1040" s="37"/>
      <c r="CZ1040" s="37" t="s">
        <v>1124</v>
      </c>
      <c r="DA1040" s="37"/>
      <c r="DB1040" s="37"/>
      <c r="DC1040" s="37"/>
      <c r="DD1040" s="37"/>
      <c r="DE1040" s="37"/>
      <c r="DF1040" s="37"/>
      <c r="DG1040" s="37"/>
      <c r="DH1040" s="37"/>
      <c r="DI1040" s="37"/>
      <c r="DJ1040" s="37"/>
      <c r="DK1040" s="37"/>
      <c r="DL1040" s="37" t="s">
        <v>1124</v>
      </c>
      <c r="DM1040" s="37"/>
      <c r="DN1040" s="37"/>
      <c r="DO1040" s="37"/>
      <c r="DP1040" s="37"/>
      <c r="DQ1040" s="37"/>
      <c r="DR1040" s="37"/>
      <c r="DS1040" s="37"/>
      <c r="DT1040" s="37"/>
      <c r="DU1040" s="37"/>
      <c r="DV1040" s="37"/>
      <c r="DW1040" s="37"/>
      <c r="DX1040" s="37" t="s">
        <v>1124</v>
      </c>
      <c r="DY1040" s="37"/>
      <c r="DZ1040" s="37"/>
      <c r="EA1040" s="37"/>
      <c r="EB1040" s="37"/>
      <c r="EC1040" s="37"/>
      <c r="ED1040" s="37"/>
      <c r="EE1040" s="37"/>
      <c r="EF1040" s="37"/>
      <c r="EG1040" s="37"/>
      <c r="EH1040" s="37"/>
      <c r="EI1040" s="37"/>
      <c r="EJ1040" s="37" t="s">
        <v>1124</v>
      </c>
      <c r="EK1040" s="161"/>
      <c r="EL1040" s="294"/>
    </row>
    <row r="1041" spans="1:142" ht="15" customHeight="1" x14ac:dyDescent="0.35">
      <c r="A1041" s="34"/>
      <c r="B1041" s="313">
        <v>84095</v>
      </c>
      <c r="C1041" s="8" t="s">
        <v>868</v>
      </c>
      <c r="D1041" s="18">
        <v>7</v>
      </c>
      <c r="E1041" s="155"/>
      <c r="F1041" s="36"/>
      <c r="G1041" s="37"/>
      <c r="H1041" s="37"/>
      <c r="I1041" s="37"/>
      <c r="J1041" s="37"/>
      <c r="K1041" s="37"/>
      <c r="L1041" s="37"/>
      <c r="M1041" s="37" t="s">
        <v>1124</v>
      </c>
      <c r="N1041" s="37" t="s">
        <v>1124</v>
      </c>
      <c r="O1041" s="37"/>
      <c r="P1041" s="37"/>
      <c r="Q1041" s="37"/>
      <c r="R1041" s="37"/>
      <c r="S1041" s="37"/>
      <c r="T1041" s="37"/>
      <c r="U1041" s="37"/>
      <c r="V1041" s="37"/>
      <c r="W1041" s="37"/>
      <c r="X1041" s="37"/>
      <c r="Y1041" s="37"/>
      <c r="Z1041" s="37"/>
      <c r="AA1041" s="37" t="s">
        <v>1124</v>
      </c>
      <c r="AB1041" s="37" t="s">
        <v>1124</v>
      </c>
      <c r="AC1041" s="37"/>
      <c r="AD1041" s="37"/>
      <c r="AE1041" s="37"/>
      <c r="AF1041" s="168"/>
      <c r="AG1041" s="37"/>
      <c r="AH1041" s="37"/>
      <c r="AI1041" s="37"/>
      <c r="AJ1041" s="37"/>
      <c r="AK1041" s="37"/>
      <c r="AL1041" s="37"/>
      <c r="AM1041" s="37"/>
      <c r="AN1041" s="37"/>
      <c r="AO1041" s="37"/>
      <c r="AP1041" s="37"/>
      <c r="AQ1041" s="37"/>
      <c r="AR1041" s="37" t="s">
        <v>1124</v>
      </c>
      <c r="AS1041" s="37"/>
      <c r="AT1041" s="37"/>
      <c r="AU1041" s="37"/>
      <c r="AV1041" s="37"/>
      <c r="AW1041" s="37"/>
      <c r="AX1041" s="37"/>
      <c r="AY1041" s="37"/>
      <c r="AZ1041" s="37"/>
      <c r="BA1041" s="37"/>
      <c r="BB1041" s="37"/>
      <c r="BC1041" s="37"/>
      <c r="BD1041" s="37" t="s">
        <v>1124</v>
      </c>
      <c r="BE1041" s="37"/>
      <c r="BF1041" s="37"/>
      <c r="BG1041" s="37"/>
      <c r="BH1041" s="37"/>
      <c r="BI1041" s="37"/>
      <c r="BJ1041" s="37"/>
      <c r="BK1041" s="37"/>
      <c r="BL1041" s="37"/>
      <c r="BM1041" s="37"/>
      <c r="BN1041" s="37"/>
      <c r="BO1041" s="37"/>
      <c r="BP1041" s="37">
        <v>0</v>
      </c>
      <c r="BQ1041" s="37"/>
      <c r="BR1041" s="37"/>
      <c r="BS1041" s="37"/>
      <c r="BT1041" s="37"/>
      <c r="BU1041" s="37"/>
      <c r="BV1041" s="37"/>
      <c r="BW1041" s="37"/>
      <c r="BX1041" s="37"/>
      <c r="BY1041" s="37"/>
      <c r="BZ1041" s="37"/>
      <c r="CA1041" s="37"/>
      <c r="CB1041" s="37" t="s">
        <v>1124</v>
      </c>
      <c r="CC1041" s="37"/>
      <c r="CD1041" s="37"/>
      <c r="CE1041" s="37"/>
      <c r="CF1041" s="37"/>
      <c r="CG1041" s="37"/>
      <c r="CH1041" s="37"/>
      <c r="CI1041" s="37"/>
      <c r="CJ1041" s="37"/>
      <c r="CK1041" s="37"/>
      <c r="CL1041" s="37"/>
      <c r="CM1041" s="37"/>
      <c r="CN1041" s="37" t="s">
        <v>1124</v>
      </c>
      <c r="CO1041" s="37"/>
      <c r="CP1041" s="37"/>
      <c r="CQ1041" s="37"/>
      <c r="CR1041" s="37"/>
      <c r="CS1041" s="37"/>
      <c r="CT1041" s="37"/>
      <c r="CU1041" s="37"/>
      <c r="CV1041" s="37"/>
      <c r="CW1041" s="37"/>
      <c r="CX1041" s="37"/>
      <c r="CY1041" s="37"/>
      <c r="CZ1041" s="37" t="s">
        <v>1124</v>
      </c>
      <c r="DA1041" s="37"/>
      <c r="DB1041" s="37"/>
      <c r="DC1041" s="37"/>
      <c r="DD1041" s="37"/>
      <c r="DE1041" s="37"/>
      <c r="DF1041" s="37"/>
      <c r="DG1041" s="37"/>
      <c r="DH1041" s="37"/>
      <c r="DI1041" s="37"/>
      <c r="DJ1041" s="37"/>
      <c r="DK1041" s="37"/>
      <c r="DL1041" s="37" t="s">
        <v>1124</v>
      </c>
      <c r="DM1041" s="37"/>
      <c r="DN1041" s="37"/>
      <c r="DO1041" s="37"/>
      <c r="DP1041" s="37"/>
      <c r="DQ1041" s="37"/>
      <c r="DR1041" s="37"/>
      <c r="DS1041" s="37"/>
      <c r="DT1041" s="37"/>
      <c r="DU1041" s="37"/>
      <c r="DV1041" s="37"/>
      <c r="DW1041" s="37"/>
      <c r="DX1041" s="37" t="s">
        <v>1124</v>
      </c>
      <c r="DY1041" s="37"/>
      <c r="DZ1041" s="37"/>
      <c r="EA1041" s="37"/>
      <c r="EB1041" s="37"/>
      <c r="EC1041" s="37"/>
      <c r="ED1041" s="37"/>
      <c r="EE1041" s="37"/>
      <c r="EF1041" s="37"/>
      <c r="EG1041" s="37"/>
      <c r="EH1041" s="37"/>
      <c r="EI1041" s="37"/>
      <c r="EJ1041" s="37" t="s">
        <v>1124</v>
      </c>
      <c r="EK1041" s="161"/>
      <c r="EL1041" s="294"/>
    </row>
    <row r="1042" spans="1:142" ht="15" customHeight="1" x14ac:dyDescent="0.35">
      <c r="A1042" s="34"/>
      <c r="B1042" s="313">
        <v>47035</v>
      </c>
      <c r="C1042" s="8" t="s">
        <v>452</v>
      </c>
      <c r="D1042" s="18">
        <v>5</v>
      </c>
      <c r="E1042" s="155">
        <v>14623</v>
      </c>
      <c r="F1042" s="36">
        <v>14623</v>
      </c>
      <c r="G1042" s="37">
        <v>15140</v>
      </c>
      <c r="H1042" s="37">
        <v>15140</v>
      </c>
      <c r="I1042" s="37">
        <v>54150</v>
      </c>
      <c r="J1042" s="37">
        <v>54150</v>
      </c>
      <c r="K1042" s="37">
        <v>2193.4499999999998</v>
      </c>
      <c r="L1042" s="37">
        <v>2193.4499999999998</v>
      </c>
      <c r="M1042" s="37">
        <v>86106.45</v>
      </c>
      <c r="N1042" s="37">
        <v>86106.45</v>
      </c>
      <c r="O1042" s="37">
        <v>0</v>
      </c>
      <c r="P1042" s="37">
        <v>0</v>
      </c>
      <c r="Q1042" s="37">
        <v>13169.13</v>
      </c>
      <c r="R1042" s="37">
        <v>16077.41</v>
      </c>
      <c r="S1042" s="37">
        <v>0</v>
      </c>
      <c r="T1042" s="37">
        <v>0</v>
      </c>
      <c r="U1042" s="37">
        <v>43936</v>
      </c>
      <c r="V1042" s="37">
        <v>53914</v>
      </c>
      <c r="W1042" s="37">
        <v>29001.449999999997</v>
      </c>
      <c r="X1042" s="37">
        <v>16115.449999999997</v>
      </c>
      <c r="Y1042" s="37">
        <v>0</v>
      </c>
      <c r="Z1042" s="37">
        <v>0</v>
      </c>
      <c r="AA1042" s="37">
        <v>86106.58</v>
      </c>
      <c r="AB1042" s="37">
        <v>86106.86</v>
      </c>
      <c r="AC1042" s="37">
        <v>0</v>
      </c>
      <c r="AD1042" s="37">
        <v>0</v>
      </c>
      <c r="AE1042" s="37">
        <v>0</v>
      </c>
      <c r="AF1042" s="168">
        <v>0.02</v>
      </c>
      <c r="AG1042" s="37">
        <v>3019047.63</v>
      </c>
      <c r="AH1042" s="37">
        <v>7354.06</v>
      </c>
      <c r="AI1042" s="37">
        <v>12807.18</v>
      </c>
      <c r="AJ1042" s="37">
        <v>13063.33</v>
      </c>
      <c r="AK1042" s="37">
        <v>7804.19</v>
      </c>
      <c r="AL1042" s="37">
        <v>7960.27</v>
      </c>
      <c r="AM1042" s="37">
        <v>8119.48</v>
      </c>
      <c r="AN1042" s="37">
        <v>8281.8700000000008</v>
      </c>
      <c r="AO1042" s="37">
        <v>8447.5</v>
      </c>
      <c r="AP1042" s="37">
        <v>8616.4599999999991</v>
      </c>
      <c r="AQ1042" s="37">
        <v>8788.7800000000007</v>
      </c>
      <c r="AR1042" s="37">
        <v>91243.12</v>
      </c>
      <c r="AS1042" s="37">
        <v>0</v>
      </c>
      <c r="AT1042" s="37">
        <v>15606</v>
      </c>
      <c r="AU1042" s="37">
        <v>0</v>
      </c>
      <c r="AV1042" s="37">
        <v>0</v>
      </c>
      <c r="AW1042" s="37">
        <v>0</v>
      </c>
      <c r="AX1042" s="37">
        <v>0</v>
      </c>
      <c r="AY1042" s="37">
        <v>0</v>
      </c>
      <c r="AZ1042" s="37">
        <v>0</v>
      </c>
      <c r="BA1042" s="37">
        <v>0</v>
      </c>
      <c r="BB1042" s="37">
        <v>0</v>
      </c>
      <c r="BC1042" s="37">
        <v>0</v>
      </c>
      <c r="BD1042" s="37">
        <v>15606</v>
      </c>
      <c r="BE1042" s="37">
        <v>0</v>
      </c>
      <c r="BF1042" s="37">
        <v>0</v>
      </c>
      <c r="BG1042" s="37">
        <v>0</v>
      </c>
      <c r="BH1042" s="37">
        <v>0</v>
      </c>
      <c r="BI1042" s="37">
        <v>0</v>
      </c>
      <c r="BJ1042" s="37">
        <v>0</v>
      </c>
      <c r="BK1042" s="37">
        <v>0</v>
      </c>
      <c r="BL1042" s="37">
        <v>0</v>
      </c>
      <c r="BM1042" s="37">
        <v>0</v>
      </c>
      <c r="BN1042" s="37">
        <v>0</v>
      </c>
      <c r="BO1042" s="37">
        <v>0</v>
      </c>
      <c r="BP1042" s="37">
        <v>0</v>
      </c>
      <c r="BQ1042" s="37">
        <v>0</v>
      </c>
      <c r="BR1042" s="37">
        <v>0</v>
      </c>
      <c r="BS1042" s="37">
        <v>0</v>
      </c>
      <c r="BT1042" s="37">
        <v>0</v>
      </c>
      <c r="BU1042" s="37">
        <v>0</v>
      </c>
      <c r="BV1042" s="37">
        <v>0</v>
      </c>
      <c r="BW1042" s="37">
        <v>0</v>
      </c>
      <c r="BX1042" s="37">
        <v>0</v>
      </c>
      <c r="BY1042" s="37">
        <v>0</v>
      </c>
      <c r="BZ1042" s="37">
        <v>0</v>
      </c>
      <c r="CA1042" s="37">
        <v>0</v>
      </c>
      <c r="CB1042" s="37">
        <v>0</v>
      </c>
      <c r="CC1042" s="37">
        <v>0</v>
      </c>
      <c r="CD1042" s="37">
        <v>0</v>
      </c>
      <c r="CE1042" s="37">
        <v>0</v>
      </c>
      <c r="CF1042" s="37">
        <v>0</v>
      </c>
      <c r="CG1042" s="37">
        <v>0</v>
      </c>
      <c r="CH1042" s="37">
        <v>0</v>
      </c>
      <c r="CI1042" s="37">
        <v>0</v>
      </c>
      <c r="CJ1042" s="37">
        <v>0</v>
      </c>
      <c r="CK1042" s="37">
        <v>0</v>
      </c>
      <c r="CL1042" s="37">
        <v>0</v>
      </c>
      <c r="CM1042" s="37">
        <v>0</v>
      </c>
      <c r="CN1042" s="37">
        <v>0</v>
      </c>
      <c r="CO1042" s="37">
        <v>0</v>
      </c>
      <c r="CP1042" s="37">
        <v>0</v>
      </c>
      <c r="CQ1042" s="37">
        <v>0</v>
      </c>
      <c r="CR1042" s="37">
        <v>0</v>
      </c>
      <c r="CS1042" s="37">
        <v>0</v>
      </c>
      <c r="CT1042" s="37">
        <v>0</v>
      </c>
      <c r="CU1042" s="37">
        <v>0</v>
      </c>
      <c r="CV1042" s="37">
        <v>0</v>
      </c>
      <c r="CW1042" s="37">
        <v>0</v>
      </c>
      <c r="CX1042" s="37">
        <v>0</v>
      </c>
      <c r="CY1042" s="37">
        <v>0</v>
      </c>
      <c r="CZ1042" s="37">
        <v>0</v>
      </c>
      <c r="DA1042" s="37">
        <v>0</v>
      </c>
      <c r="DB1042" s="37">
        <v>0</v>
      </c>
      <c r="DC1042" s="37">
        <v>0</v>
      </c>
      <c r="DD1042" s="37">
        <v>0</v>
      </c>
      <c r="DE1042" s="37">
        <v>0</v>
      </c>
      <c r="DF1042" s="37">
        <v>0</v>
      </c>
      <c r="DG1042" s="37">
        <v>0</v>
      </c>
      <c r="DH1042" s="37">
        <v>0</v>
      </c>
      <c r="DI1042" s="37">
        <v>0</v>
      </c>
      <c r="DJ1042" s="37">
        <v>0</v>
      </c>
      <c r="DK1042" s="37">
        <v>0</v>
      </c>
      <c r="DL1042" s="37">
        <v>0</v>
      </c>
      <c r="DM1042" s="37">
        <v>0</v>
      </c>
      <c r="DN1042" s="37">
        <v>0</v>
      </c>
      <c r="DO1042" s="37">
        <v>0</v>
      </c>
      <c r="DP1042" s="37">
        <v>0</v>
      </c>
      <c r="DQ1042" s="37">
        <v>0</v>
      </c>
      <c r="DR1042" s="37">
        <v>0</v>
      </c>
      <c r="DS1042" s="37">
        <v>0</v>
      </c>
      <c r="DT1042" s="37">
        <v>0</v>
      </c>
      <c r="DU1042" s="37">
        <v>0</v>
      </c>
      <c r="DV1042" s="37">
        <v>0</v>
      </c>
      <c r="DW1042" s="37">
        <v>0</v>
      </c>
      <c r="DX1042" s="37">
        <v>0</v>
      </c>
      <c r="DY1042" s="37">
        <v>0</v>
      </c>
      <c r="DZ1042" s="37">
        <v>0</v>
      </c>
      <c r="EA1042" s="37">
        <v>0</v>
      </c>
      <c r="EB1042" s="37">
        <v>0</v>
      </c>
      <c r="EC1042" s="37">
        <v>0</v>
      </c>
      <c r="ED1042" s="37">
        <v>0</v>
      </c>
      <c r="EE1042" s="37">
        <v>0</v>
      </c>
      <c r="EF1042" s="37">
        <v>0</v>
      </c>
      <c r="EG1042" s="37">
        <v>0</v>
      </c>
      <c r="EH1042" s="37">
        <v>0</v>
      </c>
      <c r="EI1042" s="37">
        <v>0</v>
      </c>
      <c r="EJ1042" s="37">
        <v>0</v>
      </c>
      <c r="EK1042" s="161" t="s">
        <v>1878</v>
      </c>
      <c r="EL1042" s="294" t="s">
        <v>1124</v>
      </c>
    </row>
    <row r="1043" spans="1:142" ht="15" customHeight="1" x14ac:dyDescent="0.35">
      <c r="A1043" s="34"/>
      <c r="B1043" s="313">
        <v>43027</v>
      </c>
      <c r="C1043" s="8" t="s">
        <v>397</v>
      </c>
      <c r="D1043" s="18">
        <v>5</v>
      </c>
      <c r="E1043" s="155">
        <v>9330337</v>
      </c>
      <c r="F1043" s="36">
        <v>11505725</v>
      </c>
      <c r="G1043" s="37">
        <v>1162789</v>
      </c>
      <c r="H1043" s="37">
        <v>1709495</v>
      </c>
      <c r="I1043" s="37">
        <v>4337159</v>
      </c>
      <c r="J1043" s="37">
        <v>6376352</v>
      </c>
      <c r="K1043" s="37">
        <v>1399550.55</v>
      </c>
      <c r="L1043" s="37">
        <v>1725858.75</v>
      </c>
      <c r="M1043" s="37">
        <v>16229835.550000001</v>
      </c>
      <c r="N1043" s="37">
        <v>21317430.75</v>
      </c>
      <c r="O1043" s="37">
        <v>1290540</v>
      </c>
      <c r="P1043" s="37">
        <v>1320649</v>
      </c>
      <c r="Q1043" s="37">
        <v>11523502</v>
      </c>
      <c r="R1043" s="37">
        <v>18791074</v>
      </c>
      <c r="S1043" s="37">
        <v>625032</v>
      </c>
      <c r="T1043" s="37">
        <v>1179666</v>
      </c>
      <c r="U1043" s="37">
        <v>623661</v>
      </c>
      <c r="V1043" s="37">
        <v>623661</v>
      </c>
      <c r="W1043" s="37">
        <v>1569481.3000000007</v>
      </c>
      <c r="X1043" s="37">
        <v>0</v>
      </c>
      <c r="Y1043" s="37">
        <v>0</v>
      </c>
      <c r="Z1043" s="37">
        <v>0</v>
      </c>
      <c r="AA1043" s="37">
        <v>15632216.300000001</v>
      </c>
      <c r="AB1043" s="37">
        <v>21915050</v>
      </c>
      <c r="AC1043" s="37">
        <v>0</v>
      </c>
      <c r="AD1043" s="37">
        <v>0</v>
      </c>
      <c r="AE1043" s="37">
        <v>0</v>
      </c>
      <c r="AF1043" s="168">
        <v>0.02</v>
      </c>
      <c r="AG1043" s="37">
        <v>1951078965.48</v>
      </c>
      <c r="AH1043" s="37">
        <v>17680879</v>
      </c>
      <c r="AI1043" s="37">
        <v>18034496.579999998</v>
      </c>
      <c r="AJ1043" s="37">
        <v>18395186.510000002</v>
      </c>
      <c r="AK1043" s="37">
        <v>18763090.239999998</v>
      </c>
      <c r="AL1043" s="37">
        <v>19138352.039999999</v>
      </c>
      <c r="AM1043" s="37">
        <v>19521119.079999998</v>
      </c>
      <c r="AN1043" s="37">
        <v>19911541.460000001</v>
      </c>
      <c r="AO1043" s="37">
        <v>20309772.289999999</v>
      </c>
      <c r="AP1043" s="37">
        <v>20715967.739999998</v>
      </c>
      <c r="AQ1043" s="37">
        <v>21130287.09</v>
      </c>
      <c r="AR1043" s="37">
        <v>193600692.02999997</v>
      </c>
      <c r="AS1043" s="37">
        <v>66965393.619999997</v>
      </c>
      <c r="AT1043" s="37">
        <v>0</v>
      </c>
      <c r="AU1043" s="37">
        <v>0</v>
      </c>
      <c r="AV1043" s="37">
        <v>0</v>
      </c>
      <c r="AW1043" s="37">
        <v>0</v>
      </c>
      <c r="AX1043" s="37">
        <v>0</v>
      </c>
      <c r="AY1043" s="37">
        <v>0</v>
      </c>
      <c r="AZ1043" s="37">
        <v>0</v>
      </c>
      <c r="BA1043" s="37">
        <v>0</v>
      </c>
      <c r="BB1043" s="37">
        <v>0</v>
      </c>
      <c r="BC1043" s="37">
        <v>0</v>
      </c>
      <c r="BD1043" s="37">
        <v>0</v>
      </c>
      <c r="BE1043" s="37">
        <v>10143468</v>
      </c>
      <c r="BF1043" s="37">
        <v>13214007</v>
      </c>
      <c r="BG1043" s="37">
        <v>10859972</v>
      </c>
      <c r="BH1043" s="37">
        <v>0</v>
      </c>
      <c r="BI1043" s="37">
        <v>0</v>
      </c>
      <c r="BJ1043" s="37">
        <v>0</v>
      </c>
      <c r="BK1043" s="37">
        <v>0</v>
      </c>
      <c r="BL1043" s="37">
        <v>0</v>
      </c>
      <c r="BM1043" s="37">
        <v>0</v>
      </c>
      <c r="BN1043" s="37">
        <v>0</v>
      </c>
      <c r="BO1043" s="37">
        <v>0</v>
      </c>
      <c r="BP1043" s="37">
        <v>24073979</v>
      </c>
      <c r="BQ1043" s="37">
        <v>2310406</v>
      </c>
      <c r="BR1043" s="37">
        <v>1667935</v>
      </c>
      <c r="BS1043" s="37">
        <v>1304052</v>
      </c>
      <c r="BT1043" s="37">
        <v>11096753</v>
      </c>
      <c r="BU1043" s="37">
        <v>11096753</v>
      </c>
      <c r="BV1043" s="37">
        <v>11096753</v>
      </c>
      <c r="BW1043" s="37">
        <v>11096753</v>
      </c>
      <c r="BX1043" s="37">
        <v>11096753</v>
      </c>
      <c r="BY1043" s="37">
        <v>11096753</v>
      </c>
      <c r="BZ1043" s="37">
        <v>11096753</v>
      </c>
      <c r="CA1043" s="37">
        <v>11096753</v>
      </c>
      <c r="CB1043" s="37">
        <v>91746011</v>
      </c>
      <c r="CC1043" s="37">
        <v>0</v>
      </c>
      <c r="CD1043" s="37">
        <v>0</v>
      </c>
      <c r="CE1043" s="37">
        <v>0</v>
      </c>
      <c r="CF1043" s="37">
        <v>3000000</v>
      </c>
      <c r="CG1043" s="37">
        <v>3000000</v>
      </c>
      <c r="CH1043" s="37">
        <v>3000000</v>
      </c>
      <c r="CI1043" s="37">
        <v>3000000</v>
      </c>
      <c r="CJ1043" s="37">
        <v>3000000</v>
      </c>
      <c r="CK1043" s="37">
        <v>3000000</v>
      </c>
      <c r="CL1043" s="37">
        <v>3000000</v>
      </c>
      <c r="CM1043" s="37">
        <v>3000000</v>
      </c>
      <c r="CN1043" s="37">
        <v>24000000</v>
      </c>
      <c r="CO1043" s="37">
        <v>0</v>
      </c>
      <c r="CP1043" s="37">
        <v>0</v>
      </c>
      <c r="CQ1043" s="37">
        <v>0</v>
      </c>
      <c r="CR1043" s="37">
        <v>0</v>
      </c>
      <c r="CS1043" s="37">
        <v>0</v>
      </c>
      <c r="CT1043" s="37">
        <v>0</v>
      </c>
      <c r="CU1043" s="37">
        <v>0</v>
      </c>
      <c r="CV1043" s="37">
        <v>0</v>
      </c>
      <c r="CW1043" s="37">
        <v>0</v>
      </c>
      <c r="CX1043" s="37">
        <v>0</v>
      </c>
      <c r="CY1043" s="37">
        <v>0</v>
      </c>
      <c r="CZ1043" s="37">
        <v>0</v>
      </c>
      <c r="DA1043" s="37">
        <v>0</v>
      </c>
      <c r="DB1043" s="37">
        <v>0</v>
      </c>
      <c r="DC1043" s="37">
        <v>0</v>
      </c>
      <c r="DD1043" s="37">
        <v>0</v>
      </c>
      <c r="DE1043" s="37">
        <v>0</v>
      </c>
      <c r="DF1043" s="37">
        <v>0</v>
      </c>
      <c r="DG1043" s="37">
        <v>0</v>
      </c>
      <c r="DH1043" s="37">
        <v>0</v>
      </c>
      <c r="DI1043" s="37">
        <v>0</v>
      </c>
      <c r="DJ1043" s="37">
        <v>0</v>
      </c>
      <c r="DK1043" s="37">
        <v>0</v>
      </c>
      <c r="DL1043" s="37">
        <v>0</v>
      </c>
      <c r="DM1043" s="37">
        <v>0</v>
      </c>
      <c r="DN1043" s="37">
        <v>0</v>
      </c>
      <c r="DO1043" s="37">
        <v>0</v>
      </c>
      <c r="DP1043" s="37">
        <v>0</v>
      </c>
      <c r="DQ1043" s="37">
        <v>0</v>
      </c>
      <c r="DR1043" s="37">
        <v>0</v>
      </c>
      <c r="DS1043" s="37">
        <v>0</v>
      </c>
      <c r="DT1043" s="37">
        <v>0</v>
      </c>
      <c r="DU1043" s="37">
        <v>0</v>
      </c>
      <c r="DV1043" s="37">
        <v>0</v>
      </c>
      <c r="DW1043" s="37">
        <v>0</v>
      </c>
      <c r="DX1043" s="37">
        <v>0</v>
      </c>
      <c r="DY1043" s="37">
        <v>0</v>
      </c>
      <c r="DZ1043" s="37">
        <v>0</v>
      </c>
      <c r="EA1043" s="37">
        <v>0</v>
      </c>
      <c r="EB1043" s="37">
        <v>0</v>
      </c>
      <c r="EC1043" s="37">
        <v>0</v>
      </c>
      <c r="ED1043" s="37">
        <v>0</v>
      </c>
      <c r="EE1043" s="37">
        <v>0</v>
      </c>
      <c r="EF1043" s="37">
        <v>0</v>
      </c>
      <c r="EG1043" s="37">
        <v>0</v>
      </c>
      <c r="EH1043" s="37">
        <v>0</v>
      </c>
      <c r="EI1043" s="37">
        <v>0</v>
      </c>
      <c r="EJ1043" s="37">
        <v>0</v>
      </c>
      <c r="EK1043" s="161" t="s">
        <v>3528</v>
      </c>
      <c r="EL1043" s="294" t="s">
        <v>1124</v>
      </c>
    </row>
    <row r="1044" spans="1:142" ht="15" customHeight="1" x14ac:dyDescent="0.35">
      <c r="A1044" s="34"/>
      <c r="B1044" s="313">
        <v>5010</v>
      </c>
      <c r="C1044" s="8" t="s">
        <v>1044</v>
      </c>
      <c r="D1044" s="18">
        <v>11</v>
      </c>
      <c r="E1044" s="155"/>
      <c r="F1044" s="36"/>
      <c r="G1044" s="37"/>
      <c r="H1044" s="37"/>
      <c r="I1044" s="37"/>
      <c r="J1044" s="37"/>
      <c r="K1044" s="37"/>
      <c r="L1044" s="37"/>
      <c r="M1044" s="37" t="s">
        <v>1124</v>
      </c>
      <c r="N1044" s="37" t="s">
        <v>1124</v>
      </c>
      <c r="O1044" s="37"/>
      <c r="P1044" s="37"/>
      <c r="Q1044" s="37"/>
      <c r="R1044" s="37"/>
      <c r="S1044" s="37"/>
      <c r="T1044" s="37"/>
      <c r="U1044" s="37"/>
      <c r="V1044" s="37"/>
      <c r="W1044" s="37"/>
      <c r="X1044" s="37"/>
      <c r="Y1044" s="37"/>
      <c r="Z1044" s="37"/>
      <c r="AA1044" s="37" t="s">
        <v>1124</v>
      </c>
      <c r="AB1044" s="37" t="s">
        <v>1124</v>
      </c>
      <c r="AC1044" s="37"/>
      <c r="AD1044" s="37"/>
      <c r="AE1044" s="37"/>
      <c r="AF1044" s="168"/>
      <c r="AG1044" s="37"/>
      <c r="AH1044" s="37"/>
      <c r="AI1044" s="37"/>
      <c r="AJ1044" s="37"/>
      <c r="AK1044" s="37"/>
      <c r="AL1044" s="37"/>
      <c r="AM1044" s="37"/>
      <c r="AN1044" s="37"/>
      <c r="AO1044" s="37"/>
      <c r="AP1044" s="37"/>
      <c r="AQ1044" s="37"/>
      <c r="AR1044" s="37" t="s">
        <v>1124</v>
      </c>
      <c r="AS1044" s="37"/>
      <c r="AT1044" s="37"/>
      <c r="AU1044" s="37"/>
      <c r="AV1044" s="37"/>
      <c r="AW1044" s="37"/>
      <c r="AX1044" s="37"/>
      <c r="AY1044" s="37"/>
      <c r="AZ1044" s="37"/>
      <c r="BA1044" s="37"/>
      <c r="BB1044" s="37"/>
      <c r="BC1044" s="37"/>
      <c r="BD1044" s="37" t="s">
        <v>1124</v>
      </c>
      <c r="BE1044" s="37"/>
      <c r="BF1044" s="37"/>
      <c r="BG1044" s="37"/>
      <c r="BH1044" s="37"/>
      <c r="BI1044" s="37"/>
      <c r="BJ1044" s="37"/>
      <c r="BK1044" s="37"/>
      <c r="BL1044" s="37"/>
      <c r="BM1044" s="37"/>
      <c r="BN1044" s="37"/>
      <c r="BO1044" s="37"/>
      <c r="BP1044" s="37">
        <v>0</v>
      </c>
      <c r="BQ1044" s="37"/>
      <c r="BR1044" s="37"/>
      <c r="BS1044" s="37"/>
      <c r="BT1044" s="37"/>
      <c r="BU1044" s="37"/>
      <c r="BV1044" s="37"/>
      <c r="BW1044" s="37"/>
      <c r="BX1044" s="37"/>
      <c r="BY1044" s="37"/>
      <c r="BZ1044" s="37"/>
      <c r="CA1044" s="37"/>
      <c r="CB1044" s="37" t="s">
        <v>1124</v>
      </c>
      <c r="CC1044" s="37"/>
      <c r="CD1044" s="37"/>
      <c r="CE1044" s="37"/>
      <c r="CF1044" s="37"/>
      <c r="CG1044" s="37"/>
      <c r="CH1044" s="37"/>
      <c r="CI1044" s="37"/>
      <c r="CJ1044" s="37"/>
      <c r="CK1044" s="37"/>
      <c r="CL1044" s="37"/>
      <c r="CM1044" s="37"/>
      <c r="CN1044" s="37" t="s">
        <v>1124</v>
      </c>
      <c r="CO1044" s="37"/>
      <c r="CP1044" s="37"/>
      <c r="CQ1044" s="37"/>
      <c r="CR1044" s="37"/>
      <c r="CS1044" s="37"/>
      <c r="CT1044" s="37"/>
      <c r="CU1044" s="37"/>
      <c r="CV1044" s="37"/>
      <c r="CW1044" s="37"/>
      <c r="CX1044" s="37"/>
      <c r="CY1044" s="37"/>
      <c r="CZ1044" s="37" t="s">
        <v>1124</v>
      </c>
      <c r="DA1044" s="37"/>
      <c r="DB1044" s="37"/>
      <c r="DC1044" s="37"/>
      <c r="DD1044" s="37"/>
      <c r="DE1044" s="37"/>
      <c r="DF1044" s="37"/>
      <c r="DG1044" s="37"/>
      <c r="DH1044" s="37"/>
      <c r="DI1044" s="37"/>
      <c r="DJ1044" s="37"/>
      <c r="DK1044" s="37"/>
      <c r="DL1044" s="37" t="s">
        <v>1124</v>
      </c>
      <c r="DM1044" s="37"/>
      <c r="DN1044" s="37"/>
      <c r="DO1044" s="37"/>
      <c r="DP1044" s="37"/>
      <c r="DQ1044" s="37"/>
      <c r="DR1044" s="37"/>
      <c r="DS1044" s="37"/>
      <c r="DT1044" s="37"/>
      <c r="DU1044" s="37"/>
      <c r="DV1044" s="37"/>
      <c r="DW1044" s="37"/>
      <c r="DX1044" s="37" t="s">
        <v>1124</v>
      </c>
      <c r="DY1044" s="37"/>
      <c r="DZ1044" s="37"/>
      <c r="EA1044" s="37"/>
      <c r="EB1044" s="37"/>
      <c r="EC1044" s="37"/>
      <c r="ED1044" s="37"/>
      <c r="EE1044" s="37"/>
      <c r="EF1044" s="37"/>
      <c r="EG1044" s="37"/>
      <c r="EH1044" s="37"/>
      <c r="EI1044" s="37"/>
      <c r="EJ1044" s="37" t="s">
        <v>1124</v>
      </c>
      <c r="EK1044" s="161"/>
      <c r="EL1044" s="294"/>
    </row>
    <row r="1045" spans="1:142" ht="15" customHeight="1" x14ac:dyDescent="0.35">
      <c r="A1045" s="34"/>
      <c r="B1045" s="313">
        <v>53052</v>
      </c>
      <c r="C1045" s="8" t="s">
        <v>538</v>
      </c>
      <c r="D1045" s="18">
        <v>16</v>
      </c>
      <c r="E1045" s="155">
        <v>3671637</v>
      </c>
      <c r="F1045" s="36">
        <v>2170273</v>
      </c>
      <c r="G1045" s="37">
        <v>245194</v>
      </c>
      <c r="H1045" s="37">
        <v>162382</v>
      </c>
      <c r="I1045" s="37">
        <v>183581.85</v>
      </c>
      <c r="J1045" s="37">
        <v>108513.65</v>
      </c>
      <c r="K1045" s="37">
        <v>667441</v>
      </c>
      <c r="L1045" s="37">
        <v>460161</v>
      </c>
      <c r="M1045" s="37">
        <v>4767853.8499999996</v>
      </c>
      <c r="N1045" s="37">
        <v>2901329.65</v>
      </c>
      <c r="O1045" s="37">
        <v>245758</v>
      </c>
      <c r="P1045" s="37">
        <v>157297</v>
      </c>
      <c r="Q1045" s="37">
        <v>2604270</v>
      </c>
      <c r="R1045" s="37">
        <v>1815710</v>
      </c>
      <c r="S1045" s="37">
        <v>471913</v>
      </c>
      <c r="T1045" s="37">
        <v>143756</v>
      </c>
      <c r="U1045" s="37">
        <v>125601</v>
      </c>
      <c r="V1045" s="37">
        <v>24680</v>
      </c>
      <c r="W1045" s="37">
        <v>1114433</v>
      </c>
      <c r="X1045" s="37">
        <v>824208.6</v>
      </c>
      <c r="Y1045" s="37">
        <v>141557</v>
      </c>
      <c r="Z1045" s="37">
        <v>0</v>
      </c>
      <c r="AA1045" s="37">
        <v>4703532</v>
      </c>
      <c r="AB1045" s="37">
        <v>2965651.6</v>
      </c>
      <c r="AC1045" s="37">
        <v>0</v>
      </c>
      <c r="AD1045" s="37">
        <v>0</v>
      </c>
      <c r="AE1045" s="37">
        <v>0</v>
      </c>
      <c r="AF1045" s="168">
        <v>0.02</v>
      </c>
      <c r="AG1045" s="37">
        <v>633162832.64999998</v>
      </c>
      <c r="AH1045" s="37">
        <v>1187280</v>
      </c>
      <c r="AI1045" s="37">
        <v>4849304.4000000004</v>
      </c>
      <c r="AJ1045" s="37">
        <v>8098078.25</v>
      </c>
      <c r="AK1045" s="37">
        <v>7441721.0999999996</v>
      </c>
      <c r="AL1045" s="37">
        <v>7461276.9100000001</v>
      </c>
      <c r="AM1045" s="37">
        <v>5797380.96</v>
      </c>
      <c r="AN1045" s="37">
        <v>5913328.5700000003</v>
      </c>
      <c r="AO1045" s="37">
        <v>6031595.1500000004</v>
      </c>
      <c r="AP1045" s="37">
        <v>6152227.0499999998</v>
      </c>
      <c r="AQ1045" s="37">
        <v>6275271.5899999999</v>
      </c>
      <c r="AR1045" s="37">
        <v>59207463.979999997</v>
      </c>
      <c r="AS1045" s="37">
        <v>9462006.0500000007</v>
      </c>
      <c r="AT1045" s="37">
        <v>0</v>
      </c>
      <c r="AU1045" s="37">
        <v>490548.6</v>
      </c>
      <c r="AV1045" s="37">
        <v>500359.57</v>
      </c>
      <c r="AW1045" s="37">
        <v>0</v>
      </c>
      <c r="AX1045" s="37">
        <v>1464011.15</v>
      </c>
      <c r="AY1045" s="37">
        <v>1493291.37</v>
      </c>
      <c r="AZ1045" s="37">
        <v>1523157.2</v>
      </c>
      <c r="BA1045" s="37">
        <v>1553620.34</v>
      </c>
      <c r="BB1045" s="37">
        <v>1584692.75</v>
      </c>
      <c r="BC1045" s="37">
        <v>1616386.6</v>
      </c>
      <c r="BD1045" s="37">
        <v>10226067.58</v>
      </c>
      <c r="BE1045" s="37">
        <v>0</v>
      </c>
      <c r="BF1045" s="37">
        <v>397204</v>
      </c>
      <c r="BG1045" s="37">
        <v>3175000</v>
      </c>
      <c r="BH1045" s="37">
        <v>4475000</v>
      </c>
      <c r="BI1045" s="37">
        <v>4215000</v>
      </c>
      <c r="BJ1045" s="37">
        <v>0</v>
      </c>
      <c r="BK1045" s="37">
        <v>0</v>
      </c>
      <c r="BL1045" s="37">
        <v>0</v>
      </c>
      <c r="BM1045" s="37">
        <v>0</v>
      </c>
      <c r="BN1045" s="37">
        <v>0</v>
      </c>
      <c r="BO1045" s="37">
        <v>0</v>
      </c>
      <c r="BP1045" s="37">
        <v>12262204</v>
      </c>
      <c r="BQ1045" s="37">
        <v>1464000</v>
      </c>
      <c r="BR1045" s="37">
        <v>1187280</v>
      </c>
      <c r="BS1045" s="37">
        <v>1674304</v>
      </c>
      <c r="BT1045" s="37">
        <v>3623078.25</v>
      </c>
      <c r="BU1045" s="37">
        <v>3226721.0999999996</v>
      </c>
      <c r="BV1045" s="37">
        <v>7461277</v>
      </c>
      <c r="BW1045" s="37">
        <v>5797381</v>
      </c>
      <c r="BX1045" s="37">
        <v>5913329</v>
      </c>
      <c r="BY1045" s="37">
        <v>6031595</v>
      </c>
      <c r="BZ1045" s="37">
        <v>6152227</v>
      </c>
      <c r="CA1045" s="37">
        <v>6275272</v>
      </c>
      <c r="CB1045" s="37">
        <v>47342464.350000001</v>
      </c>
      <c r="CC1045" s="37">
        <v>0</v>
      </c>
      <c r="CD1045" s="37">
        <v>0</v>
      </c>
      <c r="CE1045" s="37">
        <v>0</v>
      </c>
      <c r="CF1045" s="37">
        <v>0</v>
      </c>
      <c r="CG1045" s="37">
        <v>0</v>
      </c>
      <c r="CH1045" s="37">
        <v>0</v>
      </c>
      <c r="CI1045" s="37">
        <v>0</v>
      </c>
      <c r="CJ1045" s="37">
        <v>0</v>
      </c>
      <c r="CK1045" s="37">
        <v>0</v>
      </c>
      <c r="CL1045" s="37">
        <v>0</v>
      </c>
      <c r="CM1045" s="37">
        <v>0</v>
      </c>
      <c r="CN1045" s="37">
        <v>0</v>
      </c>
      <c r="CO1045" s="37">
        <v>0</v>
      </c>
      <c r="CP1045" s="37">
        <v>0</v>
      </c>
      <c r="CQ1045" s="37">
        <v>0</v>
      </c>
      <c r="CR1045" s="37">
        <v>0</v>
      </c>
      <c r="CS1045" s="37">
        <v>0</v>
      </c>
      <c r="CT1045" s="37">
        <v>0</v>
      </c>
      <c r="CU1045" s="37">
        <v>0</v>
      </c>
      <c r="CV1045" s="37">
        <v>0</v>
      </c>
      <c r="CW1045" s="37">
        <v>0</v>
      </c>
      <c r="CX1045" s="37">
        <v>0</v>
      </c>
      <c r="CY1045" s="37">
        <v>0</v>
      </c>
      <c r="CZ1045" s="37">
        <v>0</v>
      </c>
      <c r="DA1045" s="37">
        <v>0</v>
      </c>
      <c r="DB1045" s="37">
        <v>0</v>
      </c>
      <c r="DC1045" s="37">
        <v>0</v>
      </c>
      <c r="DD1045" s="37">
        <v>0</v>
      </c>
      <c r="DE1045" s="37">
        <v>0</v>
      </c>
      <c r="DF1045" s="37">
        <v>1464011.15</v>
      </c>
      <c r="DG1045" s="37">
        <v>1493291.37</v>
      </c>
      <c r="DH1045" s="37">
        <v>1523157.2</v>
      </c>
      <c r="DI1045" s="37">
        <v>1553620.34</v>
      </c>
      <c r="DJ1045" s="37">
        <v>1584692.75</v>
      </c>
      <c r="DK1045" s="37">
        <v>1616386.6</v>
      </c>
      <c r="DL1045" s="37">
        <v>9235159.4100000001</v>
      </c>
      <c r="DM1045" s="37">
        <v>0</v>
      </c>
      <c r="DN1045" s="37">
        <v>0</v>
      </c>
      <c r="DO1045" s="37">
        <v>490548.6</v>
      </c>
      <c r="DP1045" s="37">
        <v>500359.57</v>
      </c>
      <c r="DQ1045" s="37">
        <v>0</v>
      </c>
      <c r="DR1045" s="37">
        <v>0</v>
      </c>
      <c r="DS1045" s="37">
        <v>0</v>
      </c>
      <c r="DT1045" s="37">
        <v>0</v>
      </c>
      <c r="DU1045" s="37">
        <v>0</v>
      </c>
      <c r="DV1045" s="37">
        <v>0</v>
      </c>
      <c r="DW1045" s="37">
        <v>0</v>
      </c>
      <c r="DX1045" s="37">
        <v>990908.16999999993</v>
      </c>
      <c r="DY1045" s="37">
        <v>0</v>
      </c>
      <c r="DZ1045" s="37">
        <v>0</v>
      </c>
      <c r="EA1045" s="37">
        <v>0</v>
      </c>
      <c r="EB1045" s="37">
        <v>0</v>
      </c>
      <c r="EC1045" s="37">
        <v>0</v>
      </c>
      <c r="ED1045" s="37">
        <v>0</v>
      </c>
      <c r="EE1045" s="37">
        <v>0</v>
      </c>
      <c r="EF1045" s="37">
        <v>0</v>
      </c>
      <c r="EG1045" s="37">
        <v>0</v>
      </c>
      <c r="EH1045" s="37">
        <v>0</v>
      </c>
      <c r="EI1045" s="37">
        <v>0</v>
      </c>
      <c r="EJ1045" s="37">
        <v>0</v>
      </c>
      <c r="EK1045" s="161" t="s">
        <v>3535</v>
      </c>
      <c r="EL1045" s="294" t="s">
        <v>1124</v>
      </c>
    </row>
    <row r="1046" spans="1:142" ht="15" customHeight="1" x14ac:dyDescent="0.35">
      <c r="A1046" s="34"/>
      <c r="B1046" s="313">
        <v>46045</v>
      </c>
      <c r="C1046" s="10" t="s">
        <v>434</v>
      </c>
      <c r="D1046" s="18">
        <v>5</v>
      </c>
      <c r="E1046" s="155"/>
      <c r="F1046" s="36"/>
      <c r="G1046" s="37"/>
      <c r="H1046" s="37"/>
      <c r="I1046" s="37"/>
      <c r="J1046" s="37"/>
      <c r="K1046" s="37"/>
      <c r="L1046" s="37"/>
      <c r="M1046" s="37" t="s">
        <v>1124</v>
      </c>
      <c r="N1046" s="37" t="s">
        <v>1124</v>
      </c>
      <c r="O1046" s="37"/>
      <c r="P1046" s="37"/>
      <c r="Q1046" s="37"/>
      <c r="R1046" s="37"/>
      <c r="S1046" s="37"/>
      <c r="T1046" s="37"/>
      <c r="U1046" s="37"/>
      <c r="V1046" s="37"/>
      <c r="W1046" s="37"/>
      <c r="X1046" s="37"/>
      <c r="Y1046" s="37"/>
      <c r="Z1046" s="37"/>
      <c r="AA1046" s="37" t="s">
        <v>1124</v>
      </c>
      <c r="AB1046" s="37" t="s">
        <v>1124</v>
      </c>
      <c r="AC1046" s="37"/>
      <c r="AD1046" s="37"/>
      <c r="AE1046" s="37"/>
      <c r="AF1046" s="168"/>
      <c r="AG1046" s="37"/>
      <c r="AH1046" s="37"/>
      <c r="AI1046" s="37"/>
      <c r="AJ1046" s="37"/>
      <c r="AK1046" s="37"/>
      <c r="AL1046" s="37"/>
      <c r="AM1046" s="37"/>
      <c r="AN1046" s="37"/>
      <c r="AO1046" s="37"/>
      <c r="AP1046" s="37"/>
      <c r="AQ1046" s="37"/>
      <c r="AR1046" s="37" t="s">
        <v>1124</v>
      </c>
      <c r="AS1046" s="37"/>
      <c r="AT1046" s="37"/>
      <c r="AU1046" s="37"/>
      <c r="AV1046" s="37"/>
      <c r="AW1046" s="37"/>
      <c r="AX1046" s="37"/>
      <c r="AY1046" s="37"/>
      <c r="AZ1046" s="37"/>
      <c r="BA1046" s="37"/>
      <c r="BB1046" s="37"/>
      <c r="BC1046" s="37"/>
      <c r="BD1046" s="37" t="s">
        <v>1124</v>
      </c>
      <c r="BE1046" s="37"/>
      <c r="BF1046" s="37"/>
      <c r="BG1046" s="37"/>
      <c r="BH1046" s="37"/>
      <c r="BI1046" s="37"/>
      <c r="BJ1046" s="37"/>
      <c r="BK1046" s="37"/>
      <c r="BL1046" s="37"/>
      <c r="BM1046" s="37"/>
      <c r="BN1046" s="37"/>
      <c r="BO1046" s="37"/>
      <c r="BP1046" s="37">
        <v>0</v>
      </c>
      <c r="BQ1046" s="37"/>
      <c r="BR1046" s="37"/>
      <c r="BS1046" s="37"/>
      <c r="BT1046" s="37"/>
      <c r="BU1046" s="37"/>
      <c r="BV1046" s="37"/>
      <c r="BW1046" s="37"/>
      <c r="BX1046" s="37"/>
      <c r="BY1046" s="37"/>
      <c r="BZ1046" s="37"/>
      <c r="CA1046" s="37"/>
      <c r="CB1046" s="37" t="s">
        <v>1124</v>
      </c>
      <c r="CC1046" s="37"/>
      <c r="CD1046" s="37"/>
      <c r="CE1046" s="37"/>
      <c r="CF1046" s="37"/>
      <c r="CG1046" s="37"/>
      <c r="CH1046" s="37"/>
      <c r="CI1046" s="37"/>
      <c r="CJ1046" s="37"/>
      <c r="CK1046" s="37"/>
      <c r="CL1046" s="37"/>
      <c r="CM1046" s="37"/>
      <c r="CN1046" s="37" t="s">
        <v>1124</v>
      </c>
      <c r="CO1046" s="37"/>
      <c r="CP1046" s="37"/>
      <c r="CQ1046" s="37"/>
      <c r="CR1046" s="37"/>
      <c r="CS1046" s="37"/>
      <c r="CT1046" s="37"/>
      <c r="CU1046" s="37"/>
      <c r="CV1046" s="37"/>
      <c r="CW1046" s="37"/>
      <c r="CX1046" s="37"/>
      <c r="CY1046" s="37"/>
      <c r="CZ1046" s="37" t="s">
        <v>1124</v>
      </c>
      <c r="DA1046" s="37"/>
      <c r="DB1046" s="37"/>
      <c r="DC1046" s="37"/>
      <c r="DD1046" s="37"/>
      <c r="DE1046" s="37"/>
      <c r="DF1046" s="37"/>
      <c r="DG1046" s="37"/>
      <c r="DH1046" s="37"/>
      <c r="DI1046" s="37"/>
      <c r="DJ1046" s="37"/>
      <c r="DK1046" s="37"/>
      <c r="DL1046" s="37" t="s">
        <v>1124</v>
      </c>
      <c r="DM1046" s="37"/>
      <c r="DN1046" s="37"/>
      <c r="DO1046" s="37"/>
      <c r="DP1046" s="37"/>
      <c r="DQ1046" s="37"/>
      <c r="DR1046" s="37"/>
      <c r="DS1046" s="37"/>
      <c r="DT1046" s="37"/>
      <c r="DU1046" s="37"/>
      <c r="DV1046" s="37"/>
      <c r="DW1046" s="37"/>
      <c r="DX1046" s="37" t="s">
        <v>1124</v>
      </c>
      <c r="DY1046" s="37"/>
      <c r="DZ1046" s="37"/>
      <c r="EA1046" s="37"/>
      <c r="EB1046" s="37"/>
      <c r="EC1046" s="37"/>
      <c r="ED1046" s="37"/>
      <c r="EE1046" s="37"/>
      <c r="EF1046" s="37"/>
      <c r="EG1046" s="37"/>
      <c r="EH1046" s="37"/>
      <c r="EI1046" s="37"/>
      <c r="EJ1046" s="37" t="s">
        <v>1124</v>
      </c>
      <c r="EK1046" s="161"/>
      <c r="EL1046" s="294"/>
    </row>
    <row r="1047" spans="1:142" ht="15" customHeight="1" x14ac:dyDescent="0.35">
      <c r="A1047" s="34"/>
      <c r="B1047" s="313">
        <v>46030</v>
      </c>
      <c r="C1047" s="8" t="s">
        <v>431</v>
      </c>
      <c r="D1047" s="18">
        <v>5</v>
      </c>
      <c r="E1047" s="155"/>
      <c r="F1047" s="36"/>
      <c r="G1047" s="37"/>
      <c r="H1047" s="37"/>
      <c r="I1047" s="37"/>
      <c r="J1047" s="37"/>
      <c r="K1047" s="37"/>
      <c r="L1047" s="37"/>
      <c r="M1047" s="37" t="s">
        <v>1124</v>
      </c>
      <c r="N1047" s="37" t="s">
        <v>1124</v>
      </c>
      <c r="O1047" s="37"/>
      <c r="P1047" s="37"/>
      <c r="Q1047" s="37"/>
      <c r="R1047" s="37"/>
      <c r="S1047" s="37"/>
      <c r="T1047" s="37"/>
      <c r="U1047" s="37"/>
      <c r="V1047" s="37"/>
      <c r="W1047" s="37"/>
      <c r="X1047" s="37"/>
      <c r="Y1047" s="37"/>
      <c r="Z1047" s="37"/>
      <c r="AA1047" s="37" t="s">
        <v>1124</v>
      </c>
      <c r="AB1047" s="37" t="s">
        <v>1124</v>
      </c>
      <c r="AC1047" s="37"/>
      <c r="AD1047" s="37"/>
      <c r="AE1047" s="37"/>
      <c r="AF1047" s="168"/>
      <c r="AG1047" s="37"/>
      <c r="AH1047" s="37"/>
      <c r="AI1047" s="37"/>
      <c r="AJ1047" s="37"/>
      <c r="AK1047" s="37"/>
      <c r="AL1047" s="37"/>
      <c r="AM1047" s="37"/>
      <c r="AN1047" s="37"/>
      <c r="AO1047" s="37"/>
      <c r="AP1047" s="37"/>
      <c r="AQ1047" s="37"/>
      <c r="AR1047" s="37" t="s">
        <v>1124</v>
      </c>
      <c r="AS1047" s="37"/>
      <c r="AT1047" s="37"/>
      <c r="AU1047" s="37"/>
      <c r="AV1047" s="37"/>
      <c r="AW1047" s="37"/>
      <c r="AX1047" s="37"/>
      <c r="AY1047" s="37"/>
      <c r="AZ1047" s="37"/>
      <c r="BA1047" s="37"/>
      <c r="BB1047" s="37"/>
      <c r="BC1047" s="37"/>
      <c r="BD1047" s="37" t="s">
        <v>1124</v>
      </c>
      <c r="BE1047" s="37"/>
      <c r="BF1047" s="37"/>
      <c r="BG1047" s="37"/>
      <c r="BH1047" s="37"/>
      <c r="BI1047" s="37"/>
      <c r="BJ1047" s="37"/>
      <c r="BK1047" s="37"/>
      <c r="BL1047" s="37"/>
      <c r="BM1047" s="37"/>
      <c r="BN1047" s="37"/>
      <c r="BO1047" s="37"/>
      <c r="BP1047" s="37">
        <v>0</v>
      </c>
      <c r="BQ1047" s="37"/>
      <c r="BR1047" s="37"/>
      <c r="BS1047" s="37"/>
      <c r="BT1047" s="37"/>
      <c r="BU1047" s="37"/>
      <c r="BV1047" s="37"/>
      <c r="BW1047" s="37"/>
      <c r="BX1047" s="37"/>
      <c r="BY1047" s="37"/>
      <c r="BZ1047" s="37"/>
      <c r="CA1047" s="37"/>
      <c r="CB1047" s="37" t="s">
        <v>1124</v>
      </c>
      <c r="CC1047" s="37"/>
      <c r="CD1047" s="37"/>
      <c r="CE1047" s="37"/>
      <c r="CF1047" s="37"/>
      <c r="CG1047" s="37"/>
      <c r="CH1047" s="37"/>
      <c r="CI1047" s="37"/>
      <c r="CJ1047" s="37"/>
      <c r="CK1047" s="37"/>
      <c r="CL1047" s="37"/>
      <c r="CM1047" s="37"/>
      <c r="CN1047" s="37" t="s">
        <v>1124</v>
      </c>
      <c r="CO1047" s="37"/>
      <c r="CP1047" s="37"/>
      <c r="CQ1047" s="37"/>
      <c r="CR1047" s="37"/>
      <c r="CS1047" s="37"/>
      <c r="CT1047" s="37"/>
      <c r="CU1047" s="37"/>
      <c r="CV1047" s="37"/>
      <c r="CW1047" s="37"/>
      <c r="CX1047" s="37"/>
      <c r="CY1047" s="37"/>
      <c r="CZ1047" s="37" t="s">
        <v>1124</v>
      </c>
      <c r="DA1047" s="37"/>
      <c r="DB1047" s="37"/>
      <c r="DC1047" s="37"/>
      <c r="DD1047" s="37"/>
      <c r="DE1047" s="37"/>
      <c r="DF1047" s="37"/>
      <c r="DG1047" s="37"/>
      <c r="DH1047" s="37"/>
      <c r="DI1047" s="37"/>
      <c r="DJ1047" s="37"/>
      <c r="DK1047" s="37"/>
      <c r="DL1047" s="37" t="s">
        <v>1124</v>
      </c>
      <c r="DM1047" s="37"/>
      <c r="DN1047" s="37"/>
      <c r="DO1047" s="37"/>
      <c r="DP1047" s="37"/>
      <c r="DQ1047" s="37"/>
      <c r="DR1047" s="37"/>
      <c r="DS1047" s="37"/>
      <c r="DT1047" s="37"/>
      <c r="DU1047" s="37"/>
      <c r="DV1047" s="37"/>
      <c r="DW1047" s="37"/>
      <c r="DX1047" s="37" t="s">
        <v>1124</v>
      </c>
      <c r="DY1047" s="37"/>
      <c r="DZ1047" s="37"/>
      <c r="EA1047" s="37"/>
      <c r="EB1047" s="37"/>
      <c r="EC1047" s="37"/>
      <c r="ED1047" s="37"/>
      <c r="EE1047" s="37"/>
      <c r="EF1047" s="37"/>
      <c r="EG1047" s="37"/>
      <c r="EH1047" s="37"/>
      <c r="EI1047" s="37"/>
      <c r="EJ1047" s="37" t="s">
        <v>1124</v>
      </c>
      <c r="EK1047" s="161"/>
      <c r="EL1047" s="294"/>
    </row>
    <row r="1048" spans="1:142" ht="15" customHeight="1" x14ac:dyDescent="0.35">
      <c r="A1048" s="34"/>
      <c r="B1048" s="313">
        <v>45025</v>
      </c>
      <c r="C1048" s="8" t="s">
        <v>412</v>
      </c>
      <c r="D1048" s="18">
        <v>5</v>
      </c>
      <c r="E1048" s="155">
        <v>29945</v>
      </c>
      <c r="F1048" s="36">
        <v>51952</v>
      </c>
      <c r="G1048" s="37">
        <v>641</v>
      </c>
      <c r="H1048" s="37">
        <v>5046</v>
      </c>
      <c r="I1048" s="37">
        <v>3073</v>
      </c>
      <c r="J1048" s="37">
        <v>15500</v>
      </c>
      <c r="K1048" s="37">
        <v>4491.75</v>
      </c>
      <c r="L1048" s="37">
        <v>7792.7999999999993</v>
      </c>
      <c r="M1048" s="37">
        <v>38150.75</v>
      </c>
      <c r="N1048" s="37">
        <v>80290.8</v>
      </c>
      <c r="O1048" s="37">
        <v>0</v>
      </c>
      <c r="P1048" s="37">
        <v>0</v>
      </c>
      <c r="Q1048" s="37">
        <v>3073</v>
      </c>
      <c r="R1048" s="37">
        <v>15500</v>
      </c>
      <c r="S1048" s="37">
        <v>0</v>
      </c>
      <c r="T1048" s="37">
        <v>0</v>
      </c>
      <c r="U1048" s="37">
        <v>2306</v>
      </c>
      <c r="V1048" s="37">
        <v>0</v>
      </c>
      <c r="W1048" s="37">
        <v>32771.75</v>
      </c>
      <c r="X1048" s="37">
        <v>64790.8</v>
      </c>
      <c r="Y1048" s="37">
        <v>0</v>
      </c>
      <c r="Z1048" s="37">
        <v>0</v>
      </c>
      <c r="AA1048" s="37">
        <v>38150.75</v>
      </c>
      <c r="AB1048" s="37">
        <v>80290.8</v>
      </c>
      <c r="AC1048" s="37">
        <v>0</v>
      </c>
      <c r="AD1048" s="37">
        <v>0</v>
      </c>
      <c r="AE1048" s="37">
        <v>0</v>
      </c>
      <c r="AF1048" s="168">
        <v>0.02</v>
      </c>
      <c r="AG1048" s="37">
        <v>12304126.390000001</v>
      </c>
      <c r="AH1048" s="37">
        <v>86744.59</v>
      </c>
      <c r="AI1048" s="37">
        <v>88479.48</v>
      </c>
      <c r="AJ1048" s="37">
        <v>90249.07</v>
      </c>
      <c r="AK1048" s="37">
        <v>92054.05</v>
      </c>
      <c r="AL1048" s="37">
        <v>93895.13</v>
      </c>
      <c r="AM1048" s="37">
        <v>95773.03</v>
      </c>
      <c r="AN1048" s="37">
        <v>97688.49</v>
      </c>
      <c r="AO1048" s="37">
        <v>99642.26</v>
      </c>
      <c r="AP1048" s="37">
        <v>101635.11</v>
      </c>
      <c r="AQ1048" s="37">
        <v>103667.81</v>
      </c>
      <c r="AR1048" s="37">
        <v>949829.0199999999</v>
      </c>
      <c r="AS1048" s="37">
        <v>0</v>
      </c>
      <c r="AT1048" s="37">
        <v>0</v>
      </c>
      <c r="AU1048" s="37">
        <v>42448.32</v>
      </c>
      <c r="AV1048" s="37">
        <v>0</v>
      </c>
      <c r="AW1048" s="37">
        <v>0</v>
      </c>
      <c r="AX1048" s="37">
        <v>0</v>
      </c>
      <c r="AY1048" s="37">
        <v>0</v>
      </c>
      <c r="AZ1048" s="37">
        <v>0</v>
      </c>
      <c r="BA1048" s="37">
        <v>0</v>
      </c>
      <c r="BB1048" s="37">
        <v>0</v>
      </c>
      <c r="BC1048" s="37">
        <v>0</v>
      </c>
      <c r="BD1048" s="37">
        <v>42448.32</v>
      </c>
      <c r="BE1048" s="37">
        <v>0</v>
      </c>
      <c r="BF1048" s="37">
        <v>91500</v>
      </c>
      <c r="BG1048" s="37">
        <v>0</v>
      </c>
      <c r="BH1048" s="37">
        <v>0</v>
      </c>
      <c r="BI1048" s="37">
        <v>0</v>
      </c>
      <c r="BJ1048" s="37">
        <v>7189.0171234070622</v>
      </c>
      <c r="BK1048" s="37">
        <v>34812.041791600474</v>
      </c>
      <c r="BL1048" s="37">
        <v>45271.840684682429</v>
      </c>
      <c r="BM1048" s="37">
        <v>55731.63957776437</v>
      </c>
      <c r="BN1048" s="37">
        <v>66191.460822545676</v>
      </c>
      <c r="BO1048" s="37">
        <v>0</v>
      </c>
      <c r="BP1048" s="37">
        <v>300696</v>
      </c>
      <c r="BQ1048" s="37">
        <v>0</v>
      </c>
      <c r="BR1048" s="37">
        <v>0</v>
      </c>
      <c r="BS1048" s="37">
        <v>10000</v>
      </c>
      <c r="BT1048" s="37">
        <v>0</v>
      </c>
      <c r="BU1048" s="37">
        <v>0</v>
      </c>
      <c r="BV1048" s="37">
        <v>0</v>
      </c>
      <c r="BW1048" s="37">
        <v>0</v>
      </c>
      <c r="BX1048" s="37">
        <v>0</v>
      </c>
      <c r="BY1048" s="37">
        <v>0</v>
      </c>
      <c r="BZ1048" s="37">
        <v>0</v>
      </c>
      <c r="CA1048" s="37">
        <v>0</v>
      </c>
      <c r="CB1048" s="37">
        <v>10000</v>
      </c>
      <c r="CC1048" s="37">
        <v>0</v>
      </c>
      <c r="CD1048" s="37">
        <v>0</v>
      </c>
      <c r="CE1048" s="37">
        <v>0</v>
      </c>
      <c r="CF1048" s="37">
        <v>0</v>
      </c>
      <c r="CG1048" s="37">
        <v>0</v>
      </c>
      <c r="CH1048" s="37">
        <v>0</v>
      </c>
      <c r="CI1048" s="37">
        <v>0</v>
      </c>
      <c r="CJ1048" s="37">
        <v>0</v>
      </c>
      <c r="CK1048" s="37">
        <v>0</v>
      </c>
      <c r="CL1048" s="37">
        <v>0</v>
      </c>
      <c r="CM1048" s="37">
        <v>0</v>
      </c>
      <c r="CN1048" s="37">
        <v>0</v>
      </c>
      <c r="CO1048" s="37">
        <v>0</v>
      </c>
      <c r="CP1048" s="37">
        <v>0</v>
      </c>
      <c r="CQ1048" s="37">
        <v>0</v>
      </c>
      <c r="CR1048" s="37">
        <v>40000</v>
      </c>
      <c r="CS1048" s="37">
        <v>0</v>
      </c>
      <c r="CT1048" s="37">
        <v>0</v>
      </c>
      <c r="CU1048" s="37">
        <v>0</v>
      </c>
      <c r="CV1048" s="37">
        <v>0</v>
      </c>
      <c r="CW1048" s="37">
        <v>0</v>
      </c>
      <c r="CX1048" s="37">
        <v>0</v>
      </c>
      <c r="CY1048" s="37">
        <v>0</v>
      </c>
      <c r="CZ1048" s="37">
        <v>40000</v>
      </c>
      <c r="DA1048" s="37">
        <v>0</v>
      </c>
      <c r="DB1048" s="37">
        <v>0</v>
      </c>
      <c r="DC1048" s="37">
        <v>0</v>
      </c>
      <c r="DD1048" s="37">
        <v>0</v>
      </c>
      <c r="DE1048" s="37">
        <v>0</v>
      </c>
      <c r="DF1048" s="37">
        <v>0</v>
      </c>
      <c r="DG1048" s="37">
        <v>0</v>
      </c>
      <c r="DH1048" s="37">
        <v>0</v>
      </c>
      <c r="DI1048" s="37">
        <v>0</v>
      </c>
      <c r="DJ1048" s="37">
        <v>0</v>
      </c>
      <c r="DK1048" s="37">
        <v>0</v>
      </c>
      <c r="DL1048" s="37">
        <v>0</v>
      </c>
      <c r="DM1048" s="37">
        <v>0</v>
      </c>
      <c r="DN1048" s="37">
        <v>0</v>
      </c>
      <c r="DO1048" s="37">
        <v>0</v>
      </c>
      <c r="DP1048" s="37">
        <v>0</v>
      </c>
      <c r="DQ1048" s="37">
        <v>0</v>
      </c>
      <c r="DR1048" s="37">
        <v>0</v>
      </c>
      <c r="DS1048" s="37">
        <v>0</v>
      </c>
      <c r="DT1048" s="37">
        <v>0</v>
      </c>
      <c r="DU1048" s="37">
        <v>0</v>
      </c>
      <c r="DV1048" s="37">
        <v>0</v>
      </c>
      <c r="DW1048" s="37">
        <v>0</v>
      </c>
      <c r="DX1048" s="37">
        <v>0</v>
      </c>
      <c r="DY1048" s="37">
        <v>0</v>
      </c>
      <c r="DZ1048" s="37">
        <v>0</v>
      </c>
      <c r="EA1048" s="37">
        <v>0</v>
      </c>
      <c r="EB1048" s="37">
        <v>0</v>
      </c>
      <c r="EC1048" s="37">
        <v>0</v>
      </c>
      <c r="ED1048" s="37">
        <v>0</v>
      </c>
      <c r="EE1048" s="37">
        <v>0</v>
      </c>
      <c r="EF1048" s="37">
        <v>0</v>
      </c>
      <c r="EG1048" s="37">
        <v>0</v>
      </c>
      <c r="EH1048" s="37">
        <v>0</v>
      </c>
      <c r="EI1048" s="37">
        <v>0</v>
      </c>
      <c r="EJ1048" s="37">
        <v>0</v>
      </c>
      <c r="EK1048" s="161" t="s">
        <v>3539</v>
      </c>
      <c r="EL1048" s="294" t="s">
        <v>1124</v>
      </c>
    </row>
    <row r="1049" spans="1:142" ht="15" customHeight="1" x14ac:dyDescent="0.35">
      <c r="A1049" s="34"/>
      <c r="B1049" s="313">
        <v>45008</v>
      </c>
      <c r="C1049" s="8" t="s">
        <v>410</v>
      </c>
      <c r="D1049" s="18">
        <v>5</v>
      </c>
      <c r="E1049" s="155">
        <v>462658</v>
      </c>
      <c r="F1049" s="36">
        <v>811097</v>
      </c>
      <c r="G1049" s="37">
        <v>15134</v>
      </c>
      <c r="H1049" s="37">
        <v>10316</v>
      </c>
      <c r="I1049" s="37">
        <v>38100</v>
      </c>
      <c r="J1049" s="37">
        <v>8700</v>
      </c>
      <c r="K1049" s="37">
        <v>69398.7</v>
      </c>
      <c r="L1049" s="37">
        <v>121664.54999999999</v>
      </c>
      <c r="M1049" s="37">
        <v>585290.69999999995</v>
      </c>
      <c r="N1049" s="37">
        <v>951777.55</v>
      </c>
      <c r="O1049" s="37">
        <v>38296</v>
      </c>
      <c r="P1049" s="37">
        <v>0</v>
      </c>
      <c r="Q1049" s="37">
        <v>240605</v>
      </c>
      <c r="R1049" s="37">
        <v>275616</v>
      </c>
      <c r="S1049" s="37">
        <v>207425</v>
      </c>
      <c r="T1049" s="37">
        <v>65003</v>
      </c>
      <c r="U1049" s="37">
        <v>9984</v>
      </c>
      <c r="V1049" s="37">
        <v>9984</v>
      </c>
      <c r="W1049" s="37">
        <v>88980.699999999953</v>
      </c>
      <c r="X1049" s="37">
        <v>601174.55000000005</v>
      </c>
      <c r="Y1049" s="37">
        <v>0</v>
      </c>
      <c r="Z1049" s="37">
        <v>0</v>
      </c>
      <c r="AA1049" s="37">
        <v>585290.69999999995</v>
      </c>
      <c r="AB1049" s="37">
        <v>951777.55</v>
      </c>
      <c r="AC1049" s="37">
        <v>0</v>
      </c>
      <c r="AD1049" s="37">
        <v>0</v>
      </c>
      <c r="AE1049" s="37">
        <v>0</v>
      </c>
      <c r="AF1049" s="168">
        <v>0.02</v>
      </c>
      <c r="AG1049" s="37">
        <v>72110785.870000005</v>
      </c>
      <c r="AH1049" s="37">
        <v>599478.74</v>
      </c>
      <c r="AI1049" s="37">
        <v>611468.31000000006</v>
      </c>
      <c r="AJ1049" s="37">
        <v>623697.68000000005</v>
      </c>
      <c r="AK1049" s="37">
        <v>636171.63</v>
      </c>
      <c r="AL1049" s="37">
        <v>648895.06999999995</v>
      </c>
      <c r="AM1049" s="37">
        <v>661872.97</v>
      </c>
      <c r="AN1049" s="37">
        <v>675110.43</v>
      </c>
      <c r="AO1049" s="37">
        <v>688612.63</v>
      </c>
      <c r="AP1049" s="37">
        <v>702384.89</v>
      </c>
      <c r="AQ1049" s="37">
        <v>716432.59</v>
      </c>
      <c r="AR1049" s="37">
        <v>6564124.9399999995</v>
      </c>
      <c r="AS1049" s="37">
        <v>8195647.5700000003</v>
      </c>
      <c r="AT1049" s="37">
        <v>280908</v>
      </c>
      <c r="AU1049" s="37">
        <v>286526.15999999997</v>
      </c>
      <c r="AV1049" s="37">
        <v>292256.68</v>
      </c>
      <c r="AW1049" s="37">
        <v>298101.82</v>
      </c>
      <c r="AX1049" s="37">
        <v>304063.84999999998</v>
      </c>
      <c r="AY1049" s="37">
        <v>310145.13</v>
      </c>
      <c r="AZ1049" s="37">
        <v>316348.03000000003</v>
      </c>
      <c r="BA1049" s="37">
        <v>322674.99</v>
      </c>
      <c r="BB1049" s="37">
        <v>329128.49</v>
      </c>
      <c r="BC1049" s="37">
        <v>0</v>
      </c>
      <c r="BD1049" s="37">
        <v>2740153.15</v>
      </c>
      <c r="BE1049" s="37">
        <v>661311</v>
      </c>
      <c r="BF1049" s="37">
        <v>2751450</v>
      </c>
      <c r="BG1049" s="37">
        <v>0</v>
      </c>
      <c r="BH1049" s="37">
        <v>0</v>
      </c>
      <c r="BI1049" s="37">
        <v>1337216</v>
      </c>
      <c r="BJ1049" s="37">
        <v>45953.406000563577</v>
      </c>
      <c r="BK1049" s="37">
        <v>222524.42339431355</v>
      </c>
      <c r="BL1049" s="37">
        <v>289385.21631870733</v>
      </c>
      <c r="BM1049" s="37">
        <v>356246.009243101</v>
      </c>
      <c r="BN1049" s="37">
        <v>423106.9450433146</v>
      </c>
      <c r="BO1049" s="37">
        <v>0</v>
      </c>
      <c r="BP1049" s="37">
        <v>5425882</v>
      </c>
      <c r="BQ1049" s="37">
        <v>2288689</v>
      </c>
      <c r="BR1049" s="37">
        <v>0</v>
      </c>
      <c r="BS1049" s="37">
        <v>0</v>
      </c>
      <c r="BT1049" s="37">
        <v>0</v>
      </c>
      <c r="BU1049" s="37">
        <v>0</v>
      </c>
      <c r="BV1049" s="37">
        <v>0</v>
      </c>
      <c r="BW1049" s="37">
        <v>0</v>
      </c>
      <c r="BX1049" s="37">
        <v>0</v>
      </c>
      <c r="BY1049" s="37">
        <v>0</v>
      </c>
      <c r="BZ1049" s="37">
        <v>0</v>
      </c>
      <c r="CA1049" s="37">
        <v>0</v>
      </c>
      <c r="CB1049" s="37">
        <v>0</v>
      </c>
      <c r="CC1049" s="37">
        <v>350000</v>
      </c>
      <c r="CD1049" s="37">
        <v>0</v>
      </c>
      <c r="CE1049" s="37">
        <v>0</v>
      </c>
      <c r="CF1049" s="37">
        <v>0</v>
      </c>
      <c r="CG1049" s="37">
        <v>62784</v>
      </c>
      <c r="CH1049" s="37">
        <v>0</v>
      </c>
      <c r="CI1049" s="37">
        <v>0</v>
      </c>
      <c r="CJ1049" s="37">
        <v>0</v>
      </c>
      <c r="CK1049" s="37">
        <v>0</v>
      </c>
      <c r="CL1049" s="37">
        <v>0</v>
      </c>
      <c r="CM1049" s="37">
        <v>0</v>
      </c>
      <c r="CN1049" s="37">
        <v>62784</v>
      </c>
      <c r="CO1049" s="37">
        <v>1537904</v>
      </c>
      <c r="CP1049" s="37">
        <v>0</v>
      </c>
      <c r="CQ1049" s="37">
        <v>0</v>
      </c>
      <c r="CR1049" s="37">
        <v>0</v>
      </c>
      <c r="CS1049" s="37">
        <v>0</v>
      </c>
      <c r="CT1049" s="37">
        <v>0</v>
      </c>
      <c r="CU1049" s="37">
        <v>0</v>
      </c>
      <c r="CV1049" s="37">
        <v>0</v>
      </c>
      <c r="CW1049" s="37">
        <v>0</v>
      </c>
      <c r="CX1049" s="37">
        <v>0</v>
      </c>
      <c r="CY1049" s="37">
        <v>0</v>
      </c>
      <c r="CZ1049" s="37">
        <v>0</v>
      </c>
      <c r="DA1049" s="37">
        <v>0</v>
      </c>
      <c r="DB1049" s="37">
        <v>0</v>
      </c>
      <c r="DC1049" s="37">
        <v>0</v>
      </c>
      <c r="DD1049" s="37">
        <v>0</v>
      </c>
      <c r="DE1049" s="37">
        <v>0</v>
      </c>
      <c r="DF1049" s="37">
        <v>0</v>
      </c>
      <c r="DG1049" s="37">
        <v>0</v>
      </c>
      <c r="DH1049" s="37">
        <v>0</v>
      </c>
      <c r="DI1049" s="37">
        <v>0</v>
      </c>
      <c r="DJ1049" s="37">
        <v>0</v>
      </c>
      <c r="DK1049" s="37">
        <v>0</v>
      </c>
      <c r="DL1049" s="37">
        <v>0</v>
      </c>
      <c r="DM1049" s="37">
        <v>0</v>
      </c>
      <c r="DN1049" s="37">
        <v>0</v>
      </c>
      <c r="DO1049" s="37">
        <v>0</v>
      </c>
      <c r="DP1049" s="37">
        <v>0</v>
      </c>
      <c r="DQ1049" s="37">
        <v>0</v>
      </c>
      <c r="DR1049" s="37">
        <v>0</v>
      </c>
      <c r="DS1049" s="37">
        <v>0</v>
      </c>
      <c r="DT1049" s="37">
        <v>0</v>
      </c>
      <c r="DU1049" s="37">
        <v>0</v>
      </c>
      <c r="DV1049" s="37">
        <v>0</v>
      </c>
      <c r="DW1049" s="37">
        <v>0</v>
      </c>
      <c r="DX1049" s="37">
        <v>0</v>
      </c>
      <c r="DY1049" s="37">
        <v>0</v>
      </c>
      <c r="DZ1049" s="37">
        <v>0</v>
      </c>
      <c r="EA1049" s="37">
        <v>0</v>
      </c>
      <c r="EB1049" s="37">
        <v>0</v>
      </c>
      <c r="EC1049" s="37">
        <v>0</v>
      </c>
      <c r="ED1049" s="37">
        <v>0</v>
      </c>
      <c r="EE1049" s="37">
        <v>0</v>
      </c>
      <c r="EF1049" s="37">
        <v>0</v>
      </c>
      <c r="EG1049" s="37">
        <v>0</v>
      </c>
      <c r="EH1049" s="37">
        <v>0</v>
      </c>
      <c r="EI1049" s="37">
        <v>0</v>
      </c>
      <c r="EJ1049" s="37">
        <v>0</v>
      </c>
      <c r="EK1049" s="161" t="s">
        <v>3542</v>
      </c>
      <c r="EL1049" s="294" t="s">
        <v>1124</v>
      </c>
    </row>
    <row r="1050" spans="1:142" ht="15" customHeight="1" x14ac:dyDescent="0.35">
      <c r="A1050" s="34"/>
      <c r="B1050" s="313">
        <v>44050</v>
      </c>
      <c r="C1050" s="8" t="s">
        <v>405</v>
      </c>
      <c r="D1050" s="18">
        <v>5</v>
      </c>
      <c r="E1050" s="155"/>
      <c r="F1050" s="36"/>
      <c r="G1050" s="37"/>
      <c r="H1050" s="37"/>
      <c r="I1050" s="37"/>
      <c r="J1050" s="37"/>
      <c r="K1050" s="37"/>
      <c r="L1050" s="37"/>
      <c r="M1050" s="37" t="s">
        <v>1124</v>
      </c>
      <c r="N1050" s="37" t="s">
        <v>1124</v>
      </c>
      <c r="O1050" s="37"/>
      <c r="P1050" s="37"/>
      <c r="Q1050" s="37"/>
      <c r="R1050" s="37"/>
      <c r="S1050" s="37"/>
      <c r="T1050" s="37"/>
      <c r="U1050" s="37"/>
      <c r="V1050" s="37"/>
      <c r="W1050" s="37"/>
      <c r="X1050" s="37"/>
      <c r="Y1050" s="37"/>
      <c r="Z1050" s="37"/>
      <c r="AA1050" s="37" t="s">
        <v>1124</v>
      </c>
      <c r="AB1050" s="37" t="s">
        <v>1124</v>
      </c>
      <c r="AC1050" s="37"/>
      <c r="AD1050" s="37"/>
      <c r="AE1050" s="37"/>
      <c r="AF1050" s="168"/>
      <c r="AG1050" s="37"/>
      <c r="AH1050" s="37"/>
      <c r="AI1050" s="37"/>
      <c r="AJ1050" s="37"/>
      <c r="AK1050" s="37"/>
      <c r="AL1050" s="37"/>
      <c r="AM1050" s="37"/>
      <c r="AN1050" s="37"/>
      <c r="AO1050" s="37"/>
      <c r="AP1050" s="37"/>
      <c r="AQ1050" s="37"/>
      <c r="AR1050" s="37" t="s">
        <v>1124</v>
      </c>
      <c r="AS1050" s="37"/>
      <c r="AT1050" s="37"/>
      <c r="AU1050" s="37"/>
      <c r="AV1050" s="37"/>
      <c r="AW1050" s="37"/>
      <c r="AX1050" s="37"/>
      <c r="AY1050" s="37"/>
      <c r="AZ1050" s="37"/>
      <c r="BA1050" s="37"/>
      <c r="BB1050" s="37"/>
      <c r="BC1050" s="37"/>
      <c r="BD1050" s="37" t="s">
        <v>1124</v>
      </c>
      <c r="BE1050" s="37"/>
      <c r="BF1050" s="37"/>
      <c r="BG1050" s="37"/>
      <c r="BH1050" s="37"/>
      <c r="BI1050" s="37"/>
      <c r="BJ1050" s="37"/>
      <c r="BK1050" s="37"/>
      <c r="BL1050" s="37"/>
      <c r="BM1050" s="37"/>
      <c r="BN1050" s="37"/>
      <c r="BO1050" s="37"/>
      <c r="BP1050" s="37">
        <v>0</v>
      </c>
      <c r="BQ1050" s="37"/>
      <c r="BR1050" s="37"/>
      <c r="BS1050" s="37"/>
      <c r="BT1050" s="37"/>
      <c r="BU1050" s="37"/>
      <c r="BV1050" s="37"/>
      <c r="BW1050" s="37"/>
      <c r="BX1050" s="37"/>
      <c r="BY1050" s="37"/>
      <c r="BZ1050" s="37"/>
      <c r="CA1050" s="37"/>
      <c r="CB1050" s="37" t="s">
        <v>1124</v>
      </c>
      <c r="CC1050" s="37"/>
      <c r="CD1050" s="37"/>
      <c r="CE1050" s="37"/>
      <c r="CF1050" s="37"/>
      <c r="CG1050" s="37"/>
      <c r="CH1050" s="37"/>
      <c r="CI1050" s="37"/>
      <c r="CJ1050" s="37"/>
      <c r="CK1050" s="37"/>
      <c r="CL1050" s="37"/>
      <c r="CM1050" s="37"/>
      <c r="CN1050" s="37" t="s">
        <v>1124</v>
      </c>
      <c r="CO1050" s="37"/>
      <c r="CP1050" s="37"/>
      <c r="CQ1050" s="37"/>
      <c r="CR1050" s="37"/>
      <c r="CS1050" s="37"/>
      <c r="CT1050" s="37"/>
      <c r="CU1050" s="37"/>
      <c r="CV1050" s="37"/>
      <c r="CW1050" s="37"/>
      <c r="CX1050" s="37"/>
      <c r="CY1050" s="37"/>
      <c r="CZ1050" s="37" t="s">
        <v>1124</v>
      </c>
      <c r="DA1050" s="37"/>
      <c r="DB1050" s="37"/>
      <c r="DC1050" s="37"/>
      <c r="DD1050" s="37"/>
      <c r="DE1050" s="37"/>
      <c r="DF1050" s="37"/>
      <c r="DG1050" s="37"/>
      <c r="DH1050" s="37"/>
      <c r="DI1050" s="37"/>
      <c r="DJ1050" s="37"/>
      <c r="DK1050" s="37"/>
      <c r="DL1050" s="37" t="s">
        <v>1124</v>
      </c>
      <c r="DM1050" s="37"/>
      <c r="DN1050" s="37"/>
      <c r="DO1050" s="37"/>
      <c r="DP1050" s="37"/>
      <c r="DQ1050" s="37"/>
      <c r="DR1050" s="37"/>
      <c r="DS1050" s="37"/>
      <c r="DT1050" s="37"/>
      <c r="DU1050" s="37"/>
      <c r="DV1050" s="37"/>
      <c r="DW1050" s="37"/>
      <c r="DX1050" s="37" t="s">
        <v>1124</v>
      </c>
      <c r="DY1050" s="37"/>
      <c r="DZ1050" s="37"/>
      <c r="EA1050" s="37"/>
      <c r="EB1050" s="37"/>
      <c r="EC1050" s="37"/>
      <c r="ED1050" s="37"/>
      <c r="EE1050" s="37"/>
      <c r="EF1050" s="37"/>
      <c r="EG1050" s="37"/>
      <c r="EH1050" s="37"/>
      <c r="EI1050" s="37"/>
      <c r="EJ1050" s="37" t="s">
        <v>1124</v>
      </c>
      <c r="EK1050" s="161"/>
      <c r="EL1050" s="294"/>
    </row>
    <row r="1051" spans="1:142" ht="15" customHeight="1" x14ac:dyDescent="0.35">
      <c r="A1051" s="34"/>
      <c r="B1051" s="313">
        <v>42005</v>
      </c>
      <c r="C1051" s="8" t="s">
        <v>379</v>
      </c>
      <c r="D1051" s="18">
        <v>5</v>
      </c>
      <c r="E1051" s="155"/>
      <c r="F1051" s="36"/>
      <c r="G1051" s="37"/>
      <c r="H1051" s="37"/>
      <c r="I1051" s="37"/>
      <c r="J1051" s="37"/>
      <c r="K1051" s="37"/>
      <c r="L1051" s="37"/>
      <c r="M1051" s="37" t="s">
        <v>1124</v>
      </c>
      <c r="N1051" s="37" t="s">
        <v>1124</v>
      </c>
      <c r="O1051" s="37"/>
      <c r="P1051" s="37"/>
      <c r="Q1051" s="37"/>
      <c r="R1051" s="37"/>
      <c r="S1051" s="37"/>
      <c r="T1051" s="37"/>
      <c r="U1051" s="37"/>
      <c r="V1051" s="37"/>
      <c r="W1051" s="37"/>
      <c r="X1051" s="37"/>
      <c r="Y1051" s="37"/>
      <c r="Z1051" s="37"/>
      <c r="AA1051" s="37" t="s">
        <v>1124</v>
      </c>
      <c r="AB1051" s="37" t="s">
        <v>1124</v>
      </c>
      <c r="AC1051" s="37"/>
      <c r="AD1051" s="37"/>
      <c r="AE1051" s="37"/>
      <c r="AF1051" s="168"/>
      <c r="AG1051" s="37"/>
      <c r="AH1051" s="37"/>
      <c r="AI1051" s="37"/>
      <c r="AJ1051" s="37"/>
      <c r="AK1051" s="37"/>
      <c r="AL1051" s="37"/>
      <c r="AM1051" s="37"/>
      <c r="AN1051" s="37"/>
      <c r="AO1051" s="37"/>
      <c r="AP1051" s="37"/>
      <c r="AQ1051" s="37"/>
      <c r="AR1051" s="37" t="s">
        <v>1124</v>
      </c>
      <c r="AS1051" s="37"/>
      <c r="AT1051" s="37"/>
      <c r="AU1051" s="37"/>
      <c r="AV1051" s="37"/>
      <c r="AW1051" s="37"/>
      <c r="AX1051" s="37"/>
      <c r="AY1051" s="37"/>
      <c r="AZ1051" s="37"/>
      <c r="BA1051" s="37"/>
      <c r="BB1051" s="37"/>
      <c r="BC1051" s="37"/>
      <c r="BD1051" s="37" t="s">
        <v>1124</v>
      </c>
      <c r="BE1051" s="37"/>
      <c r="BF1051" s="37"/>
      <c r="BG1051" s="37"/>
      <c r="BH1051" s="37"/>
      <c r="BI1051" s="37"/>
      <c r="BJ1051" s="37"/>
      <c r="BK1051" s="37"/>
      <c r="BL1051" s="37"/>
      <c r="BM1051" s="37"/>
      <c r="BN1051" s="37"/>
      <c r="BO1051" s="37"/>
      <c r="BP1051" s="37">
        <v>0</v>
      </c>
      <c r="BQ1051" s="37"/>
      <c r="BR1051" s="37"/>
      <c r="BS1051" s="37"/>
      <c r="BT1051" s="37"/>
      <c r="BU1051" s="37"/>
      <c r="BV1051" s="37"/>
      <c r="BW1051" s="37"/>
      <c r="BX1051" s="37"/>
      <c r="BY1051" s="37"/>
      <c r="BZ1051" s="37"/>
      <c r="CA1051" s="37"/>
      <c r="CB1051" s="37" t="s">
        <v>1124</v>
      </c>
      <c r="CC1051" s="37"/>
      <c r="CD1051" s="37"/>
      <c r="CE1051" s="37"/>
      <c r="CF1051" s="37"/>
      <c r="CG1051" s="37"/>
      <c r="CH1051" s="37"/>
      <c r="CI1051" s="37"/>
      <c r="CJ1051" s="37"/>
      <c r="CK1051" s="37"/>
      <c r="CL1051" s="37"/>
      <c r="CM1051" s="37"/>
      <c r="CN1051" s="37" t="s">
        <v>1124</v>
      </c>
      <c r="CO1051" s="37"/>
      <c r="CP1051" s="37"/>
      <c r="CQ1051" s="37"/>
      <c r="CR1051" s="37"/>
      <c r="CS1051" s="37"/>
      <c r="CT1051" s="37"/>
      <c r="CU1051" s="37"/>
      <c r="CV1051" s="37"/>
      <c r="CW1051" s="37"/>
      <c r="CX1051" s="37"/>
      <c r="CY1051" s="37"/>
      <c r="CZ1051" s="37" t="s">
        <v>1124</v>
      </c>
      <c r="DA1051" s="37"/>
      <c r="DB1051" s="37"/>
      <c r="DC1051" s="37"/>
      <c r="DD1051" s="37"/>
      <c r="DE1051" s="37"/>
      <c r="DF1051" s="37"/>
      <c r="DG1051" s="37"/>
      <c r="DH1051" s="37"/>
      <c r="DI1051" s="37"/>
      <c r="DJ1051" s="37"/>
      <c r="DK1051" s="37"/>
      <c r="DL1051" s="37" t="s">
        <v>1124</v>
      </c>
      <c r="DM1051" s="37"/>
      <c r="DN1051" s="37"/>
      <c r="DO1051" s="37"/>
      <c r="DP1051" s="37"/>
      <c r="DQ1051" s="37"/>
      <c r="DR1051" s="37"/>
      <c r="DS1051" s="37"/>
      <c r="DT1051" s="37"/>
      <c r="DU1051" s="37"/>
      <c r="DV1051" s="37"/>
      <c r="DW1051" s="37"/>
      <c r="DX1051" s="37" t="s">
        <v>1124</v>
      </c>
      <c r="DY1051" s="37"/>
      <c r="DZ1051" s="37"/>
      <c r="EA1051" s="37"/>
      <c r="EB1051" s="37"/>
      <c r="EC1051" s="37"/>
      <c r="ED1051" s="37"/>
      <c r="EE1051" s="37"/>
      <c r="EF1051" s="37"/>
      <c r="EG1051" s="37"/>
      <c r="EH1051" s="37"/>
      <c r="EI1051" s="37"/>
      <c r="EJ1051" s="37" t="s">
        <v>1124</v>
      </c>
      <c r="EK1051" s="161"/>
      <c r="EL1051" s="294"/>
    </row>
    <row r="1052" spans="1:142" ht="15" customHeight="1" x14ac:dyDescent="0.35">
      <c r="A1052" s="34"/>
      <c r="B1052" s="313">
        <v>22035</v>
      </c>
      <c r="C1052" s="8" t="s">
        <v>159</v>
      </c>
      <c r="D1052" s="18">
        <v>3</v>
      </c>
      <c r="E1052" s="155">
        <v>254277</v>
      </c>
      <c r="F1052" s="36">
        <v>312484</v>
      </c>
      <c r="G1052" s="37">
        <v>33578</v>
      </c>
      <c r="H1052" s="37">
        <v>111386</v>
      </c>
      <c r="I1052" s="37">
        <v>103579</v>
      </c>
      <c r="J1052" s="37">
        <v>244915</v>
      </c>
      <c r="K1052" s="37">
        <v>38141</v>
      </c>
      <c r="L1052" s="37">
        <v>46872</v>
      </c>
      <c r="M1052" s="37">
        <v>429575</v>
      </c>
      <c r="N1052" s="37">
        <v>715657</v>
      </c>
      <c r="O1052" s="37">
        <v>22628</v>
      </c>
      <c r="P1052" s="37">
        <v>0</v>
      </c>
      <c r="Q1052" s="37">
        <v>417849</v>
      </c>
      <c r="R1052" s="37">
        <v>421836</v>
      </c>
      <c r="S1052" s="37">
        <v>2883</v>
      </c>
      <c r="T1052" s="37">
        <v>0</v>
      </c>
      <c r="U1052" s="37">
        <v>0</v>
      </c>
      <c r="V1052" s="37">
        <v>0</v>
      </c>
      <c r="W1052" s="37">
        <v>140018</v>
      </c>
      <c r="X1052" s="37">
        <v>140018</v>
      </c>
      <c r="Y1052" s="37">
        <v>0</v>
      </c>
      <c r="Z1052" s="37">
        <v>0</v>
      </c>
      <c r="AA1052" s="37">
        <v>583378</v>
      </c>
      <c r="AB1052" s="37">
        <v>561854</v>
      </c>
      <c r="AC1052" s="37">
        <v>0</v>
      </c>
      <c r="AD1052" s="37">
        <v>0</v>
      </c>
      <c r="AE1052" s="37">
        <v>0</v>
      </c>
      <c r="AF1052" s="168">
        <v>0.02</v>
      </c>
      <c r="AG1052" s="37">
        <v>34224420.259999998</v>
      </c>
      <c r="AH1052" s="37">
        <v>227284.56</v>
      </c>
      <c r="AI1052" s="37">
        <v>231830.25</v>
      </c>
      <c r="AJ1052" s="37">
        <v>236466.86</v>
      </c>
      <c r="AK1052" s="37">
        <v>241196.19</v>
      </c>
      <c r="AL1052" s="37">
        <v>246020.12</v>
      </c>
      <c r="AM1052" s="37">
        <v>250940.52</v>
      </c>
      <c r="AN1052" s="37">
        <v>255959.33</v>
      </c>
      <c r="AO1052" s="37">
        <v>261078.52</v>
      </c>
      <c r="AP1052" s="37">
        <v>266300.09000000003</v>
      </c>
      <c r="AQ1052" s="37">
        <v>271626.09000000003</v>
      </c>
      <c r="AR1052" s="37">
        <v>2488702.5299999998</v>
      </c>
      <c r="AS1052" s="37">
        <v>0</v>
      </c>
      <c r="AT1052" s="37">
        <v>0</v>
      </c>
      <c r="AU1052" s="37">
        <v>3457249.2</v>
      </c>
      <c r="AV1052" s="37">
        <v>2122416</v>
      </c>
      <c r="AW1052" s="37">
        <v>0</v>
      </c>
      <c r="AX1052" s="37">
        <v>0</v>
      </c>
      <c r="AY1052" s="37">
        <v>0</v>
      </c>
      <c r="AZ1052" s="37">
        <v>0</v>
      </c>
      <c r="BA1052" s="37">
        <v>0</v>
      </c>
      <c r="BB1052" s="37">
        <v>0</v>
      </c>
      <c r="BC1052" s="37">
        <v>0</v>
      </c>
      <c r="BD1052" s="37">
        <v>5579665.2000000002</v>
      </c>
      <c r="BE1052" s="37">
        <v>0</v>
      </c>
      <c r="BF1052" s="37">
        <v>0</v>
      </c>
      <c r="BG1052" s="37">
        <v>0</v>
      </c>
      <c r="BH1052" s="37">
        <v>0</v>
      </c>
      <c r="BI1052" s="37">
        <v>0</v>
      </c>
      <c r="BJ1052" s="37">
        <v>0</v>
      </c>
      <c r="BK1052" s="37">
        <v>0</v>
      </c>
      <c r="BL1052" s="37">
        <v>0</v>
      </c>
      <c r="BM1052" s="37">
        <v>0</v>
      </c>
      <c r="BN1052" s="37">
        <v>0</v>
      </c>
      <c r="BO1052" s="37">
        <v>0</v>
      </c>
      <c r="BP1052" s="37">
        <v>0</v>
      </c>
      <c r="BQ1052" s="37">
        <v>0</v>
      </c>
      <c r="BR1052" s="37">
        <v>0</v>
      </c>
      <c r="BS1052" s="37">
        <v>0</v>
      </c>
      <c r="BT1052" s="37">
        <v>0</v>
      </c>
      <c r="BU1052" s="37">
        <v>0</v>
      </c>
      <c r="BV1052" s="37">
        <v>0</v>
      </c>
      <c r="BW1052" s="37">
        <v>0</v>
      </c>
      <c r="BX1052" s="37">
        <v>0</v>
      </c>
      <c r="BY1052" s="37">
        <v>0</v>
      </c>
      <c r="BZ1052" s="37">
        <v>0</v>
      </c>
      <c r="CA1052" s="37">
        <v>0</v>
      </c>
      <c r="CB1052" s="37">
        <v>0</v>
      </c>
      <c r="CC1052" s="37">
        <v>0</v>
      </c>
      <c r="CD1052" s="37">
        <v>0</v>
      </c>
      <c r="CE1052" s="37">
        <v>0</v>
      </c>
      <c r="CF1052" s="37">
        <v>0</v>
      </c>
      <c r="CG1052" s="37">
        <v>0</v>
      </c>
      <c r="CH1052" s="37">
        <v>0</v>
      </c>
      <c r="CI1052" s="37">
        <v>0</v>
      </c>
      <c r="CJ1052" s="37">
        <v>0</v>
      </c>
      <c r="CK1052" s="37">
        <v>0</v>
      </c>
      <c r="CL1052" s="37">
        <v>0</v>
      </c>
      <c r="CM1052" s="37">
        <v>0</v>
      </c>
      <c r="CN1052" s="37">
        <v>0</v>
      </c>
      <c r="CO1052" s="37">
        <v>0</v>
      </c>
      <c r="CP1052" s="37">
        <v>0</v>
      </c>
      <c r="CQ1052" s="37">
        <v>1978400</v>
      </c>
      <c r="CR1052" s="37">
        <v>1600000</v>
      </c>
      <c r="CS1052" s="37">
        <v>0</v>
      </c>
      <c r="CT1052" s="37">
        <v>0</v>
      </c>
      <c r="CU1052" s="37">
        <v>0</v>
      </c>
      <c r="CV1052" s="37">
        <v>0</v>
      </c>
      <c r="CW1052" s="37">
        <v>0</v>
      </c>
      <c r="CX1052" s="37">
        <v>0</v>
      </c>
      <c r="CY1052" s="37">
        <v>0</v>
      </c>
      <c r="CZ1052" s="37">
        <v>3578400</v>
      </c>
      <c r="DA1052" s="37">
        <v>0</v>
      </c>
      <c r="DB1052" s="37">
        <v>0</v>
      </c>
      <c r="DC1052" s="37">
        <v>494600</v>
      </c>
      <c r="DD1052" s="37">
        <v>400000</v>
      </c>
      <c r="DE1052" s="37">
        <v>0</v>
      </c>
      <c r="DF1052" s="37">
        <v>0</v>
      </c>
      <c r="DG1052" s="37">
        <v>0</v>
      </c>
      <c r="DH1052" s="37">
        <v>0</v>
      </c>
      <c r="DI1052" s="37">
        <v>0</v>
      </c>
      <c r="DJ1052" s="37">
        <v>0</v>
      </c>
      <c r="DK1052" s="37">
        <v>0</v>
      </c>
      <c r="DL1052" s="37">
        <v>894600</v>
      </c>
      <c r="DM1052" s="37">
        <v>0</v>
      </c>
      <c r="DN1052" s="37">
        <v>0</v>
      </c>
      <c r="DO1052" s="37">
        <v>0</v>
      </c>
      <c r="DP1052" s="37">
        <v>0</v>
      </c>
      <c r="DQ1052" s="37">
        <v>0</v>
      </c>
      <c r="DR1052" s="37">
        <v>0</v>
      </c>
      <c r="DS1052" s="37">
        <v>0</v>
      </c>
      <c r="DT1052" s="37">
        <v>0</v>
      </c>
      <c r="DU1052" s="37">
        <v>0</v>
      </c>
      <c r="DV1052" s="37">
        <v>0</v>
      </c>
      <c r="DW1052" s="37">
        <v>0</v>
      </c>
      <c r="DX1052" s="37">
        <v>0</v>
      </c>
      <c r="DY1052" s="37">
        <v>0</v>
      </c>
      <c r="DZ1052" s="37">
        <v>0</v>
      </c>
      <c r="EA1052" s="37">
        <v>0</v>
      </c>
      <c r="EB1052" s="37">
        <v>0</v>
      </c>
      <c r="EC1052" s="37">
        <v>0</v>
      </c>
      <c r="ED1052" s="37">
        <v>0</v>
      </c>
      <c r="EE1052" s="37">
        <v>0</v>
      </c>
      <c r="EF1052" s="37">
        <v>0</v>
      </c>
      <c r="EG1052" s="37">
        <v>0</v>
      </c>
      <c r="EH1052" s="37">
        <v>0</v>
      </c>
      <c r="EI1052" s="37">
        <v>0</v>
      </c>
      <c r="EJ1052" s="37">
        <v>0</v>
      </c>
      <c r="EK1052" s="161" t="s">
        <v>4634</v>
      </c>
      <c r="EL1052" s="294" t="s">
        <v>1124</v>
      </c>
    </row>
    <row r="1053" spans="1:142" ht="15" customHeight="1" x14ac:dyDescent="0.35">
      <c r="A1053" s="34"/>
      <c r="B1053" s="313">
        <v>30105</v>
      </c>
      <c r="C1053" s="8" t="s">
        <v>235</v>
      </c>
      <c r="D1053" s="18">
        <v>5</v>
      </c>
      <c r="E1053" s="155"/>
      <c r="F1053" s="36"/>
      <c r="G1053" s="37"/>
      <c r="H1053" s="37"/>
      <c r="I1053" s="37"/>
      <c r="J1053" s="37"/>
      <c r="K1053" s="37"/>
      <c r="L1053" s="37"/>
      <c r="M1053" s="37" t="s">
        <v>1124</v>
      </c>
      <c r="N1053" s="37" t="s">
        <v>1124</v>
      </c>
      <c r="O1053" s="37"/>
      <c r="P1053" s="37"/>
      <c r="Q1053" s="37"/>
      <c r="R1053" s="37"/>
      <c r="S1053" s="37"/>
      <c r="T1053" s="37"/>
      <c r="U1053" s="37"/>
      <c r="V1053" s="37"/>
      <c r="W1053" s="37"/>
      <c r="X1053" s="37"/>
      <c r="Y1053" s="37"/>
      <c r="Z1053" s="37"/>
      <c r="AA1053" s="37" t="s">
        <v>1124</v>
      </c>
      <c r="AB1053" s="37" t="s">
        <v>1124</v>
      </c>
      <c r="AC1053" s="37"/>
      <c r="AD1053" s="37"/>
      <c r="AE1053" s="37"/>
      <c r="AF1053" s="168"/>
      <c r="AG1053" s="37"/>
      <c r="AH1053" s="37"/>
      <c r="AI1053" s="37"/>
      <c r="AJ1053" s="37"/>
      <c r="AK1053" s="37"/>
      <c r="AL1053" s="37"/>
      <c r="AM1053" s="37"/>
      <c r="AN1053" s="37"/>
      <c r="AO1053" s="37"/>
      <c r="AP1053" s="37"/>
      <c r="AQ1053" s="37"/>
      <c r="AR1053" s="37" t="s">
        <v>1124</v>
      </c>
      <c r="AS1053" s="37"/>
      <c r="AT1053" s="37"/>
      <c r="AU1053" s="37"/>
      <c r="AV1053" s="37"/>
      <c r="AW1053" s="37"/>
      <c r="AX1053" s="37"/>
      <c r="AY1053" s="37"/>
      <c r="AZ1053" s="37"/>
      <c r="BA1053" s="37"/>
      <c r="BB1053" s="37"/>
      <c r="BC1053" s="37"/>
      <c r="BD1053" s="37" t="s">
        <v>1124</v>
      </c>
      <c r="BE1053" s="37"/>
      <c r="BF1053" s="37"/>
      <c r="BG1053" s="37"/>
      <c r="BH1053" s="37"/>
      <c r="BI1053" s="37"/>
      <c r="BJ1053" s="37"/>
      <c r="BK1053" s="37"/>
      <c r="BL1053" s="37"/>
      <c r="BM1053" s="37"/>
      <c r="BN1053" s="37"/>
      <c r="BO1053" s="37"/>
      <c r="BP1053" s="37">
        <v>0</v>
      </c>
      <c r="BQ1053" s="37"/>
      <c r="BR1053" s="37"/>
      <c r="BS1053" s="37"/>
      <c r="BT1053" s="37"/>
      <c r="BU1053" s="37"/>
      <c r="BV1053" s="37"/>
      <c r="BW1053" s="37"/>
      <c r="BX1053" s="37"/>
      <c r="BY1053" s="37"/>
      <c r="BZ1053" s="37"/>
      <c r="CA1053" s="37"/>
      <c r="CB1053" s="37" t="s">
        <v>1124</v>
      </c>
      <c r="CC1053" s="37"/>
      <c r="CD1053" s="37"/>
      <c r="CE1053" s="37"/>
      <c r="CF1053" s="37"/>
      <c r="CG1053" s="37"/>
      <c r="CH1053" s="37"/>
      <c r="CI1053" s="37"/>
      <c r="CJ1053" s="37"/>
      <c r="CK1053" s="37"/>
      <c r="CL1053" s="37"/>
      <c r="CM1053" s="37"/>
      <c r="CN1053" s="37" t="s">
        <v>1124</v>
      </c>
      <c r="CO1053" s="37"/>
      <c r="CP1053" s="37"/>
      <c r="CQ1053" s="37"/>
      <c r="CR1053" s="37"/>
      <c r="CS1053" s="37"/>
      <c r="CT1053" s="37"/>
      <c r="CU1053" s="37"/>
      <c r="CV1053" s="37"/>
      <c r="CW1053" s="37"/>
      <c r="CX1053" s="37"/>
      <c r="CY1053" s="37"/>
      <c r="CZ1053" s="37" t="s">
        <v>1124</v>
      </c>
      <c r="DA1053" s="37"/>
      <c r="DB1053" s="37"/>
      <c r="DC1053" s="37"/>
      <c r="DD1053" s="37"/>
      <c r="DE1053" s="37"/>
      <c r="DF1053" s="37"/>
      <c r="DG1053" s="37"/>
      <c r="DH1053" s="37"/>
      <c r="DI1053" s="37"/>
      <c r="DJ1053" s="37"/>
      <c r="DK1053" s="37"/>
      <c r="DL1053" s="37" t="s">
        <v>1124</v>
      </c>
      <c r="DM1053" s="37"/>
      <c r="DN1053" s="37"/>
      <c r="DO1053" s="37"/>
      <c r="DP1053" s="37"/>
      <c r="DQ1053" s="37"/>
      <c r="DR1053" s="37"/>
      <c r="DS1053" s="37"/>
      <c r="DT1053" s="37"/>
      <c r="DU1053" s="37"/>
      <c r="DV1053" s="37"/>
      <c r="DW1053" s="37"/>
      <c r="DX1053" s="37" t="s">
        <v>1124</v>
      </c>
      <c r="DY1053" s="37"/>
      <c r="DZ1053" s="37"/>
      <c r="EA1053" s="37"/>
      <c r="EB1053" s="37"/>
      <c r="EC1053" s="37"/>
      <c r="ED1053" s="37"/>
      <c r="EE1053" s="37"/>
      <c r="EF1053" s="37"/>
      <c r="EG1053" s="37"/>
      <c r="EH1053" s="37"/>
      <c r="EI1053" s="37"/>
      <c r="EJ1053" s="37" t="s">
        <v>1124</v>
      </c>
      <c r="EK1053" s="161"/>
      <c r="EL1053" s="294"/>
    </row>
    <row r="1054" spans="1:142" ht="15" customHeight="1" x14ac:dyDescent="0.35">
      <c r="A1054" s="34"/>
      <c r="B1054" s="313">
        <v>30110</v>
      </c>
      <c r="C1054" s="8" t="s">
        <v>236</v>
      </c>
      <c r="D1054" s="18">
        <v>5</v>
      </c>
      <c r="E1054" s="155"/>
      <c r="F1054" s="36"/>
      <c r="G1054" s="37"/>
      <c r="H1054" s="37"/>
      <c r="I1054" s="37"/>
      <c r="J1054" s="37"/>
      <c r="K1054" s="37"/>
      <c r="L1054" s="37"/>
      <c r="M1054" s="37" t="s">
        <v>1124</v>
      </c>
      <c r="N1054" s="37" t="s">
        <v>1124</v>
      </c>
      <c r="O1054" s="37"/>
      <c r="P1054" s="37"/>
      <c r="Q1054" s="37"/>
      <c r="R1054" s="37"/>
      <c r="S1054" s="37"/>
      <c r="T1054" s="37"/>
      <c r="U1054" s="37"/>
      <c r="V1054" s="37"/>
      <c r="W1054" s="37"/>
      <c r="X1054" s="37"/>
      <c r="Y1054" s="37"/>
      <c r="Z1054" s="37"/>
      <c r="AA1054" s="37" t="s">
        <v>1124</v>
      </c>
      <c r="AB1054" s="37" t="s">
        <v>1124</v>
      </c>
      <c r="AC1054" s="37"/>
      <c r="AD1054" s="37"/>
      <c r="AE1054" s="37"/>
      <c r="AF1054" s="168"/>
      <c r="AG1054" s="37"/>
      <c r="AH1054" s="37"/>
      <c r="AI1054" s="37"/>
      <c r="AJ1054" s="37"/>
      <c r="AK1054" s="37"/>
      <c r="AL1054" s="37"/>
      <c r="AM1054" s="37"/>
      <c r="AN1054" s="37"/>
      <c r="AO1054" s="37"/>
      <c r="AP1054" s="37"/>
      <c r="AQ1054" s="37"/>
      <c r="AR1054" s="37" t="s">
        <v>1124</v>
      </c>
      <c r="AS1054" s="37"/>
      <c r="AT1054" s="37"/>
      <c r="AU1054" s="37"/>
      <c r="AV1054" s="37"/>
      <c r="AW1054" s="37"/>
      <c r="AX1054" s="37"/>
      <c r="AY1054" s="37"/>
      <c r="AZ1054" s="37"/>
      <c r="BA1054" s="37"/>
      <c r="BB1054" s="37"/>
      <c r="BC1054" s="37"/>
      <c r="BD1054" s="37" t="s">
        <v>1124</v>
      </c>
      <c r="BE1054" s="37"/>
      <c r="BF1054" s="37"/>
      <c r="BG1054" s="37"/>
      <c r="BH1054" s="37"/>
      <c r="BI1054" s="37"/>
      <c r="BJ1054" s="37"/>
      <c r="BK1054" s="37"/>
      <c r="BL1054" s="37"/>
      <c r="BM1054" s="37"/>
      <c r="BN1054" s="37"/>
      <c r="BO1054" s="37"/>
      <c r="BP1054" s="37">
        <v>0</v>
      </c>
      <c r="BQ1054" s="37"/>
      <c r="BR1054" s="37"/>
      <c r="BS1054" s="37"/>
      <c r="BT1054" s="37"/>
      <c r="BU1054" s="37"/>
      <c r="BV1054" s="37"/>
      <c r="BW1054" s="37"/>
      <c r="BX1054" s="37"/>
      <c r="BY1054" s="37"/>
      <c r="BZ1054" s="37"/>
      <c r="CA1054" s="37"/>
      <c r="CB1054" s="37" t="s">
        <v>1124</v>
      </c>
      <c r="CC1054" s="37"/>
      <c r="CD1054" s="37"/>
      <c r="CE1054" s="37"/>
      <c r="CF1054" s="37"/>
      <c r="CG1054" s="37"/>
      <c r="CH1054" s="37"/>
      <c r="CI1054" s="37"/>
      <c r="CJ1054" s="37"/>
      <c r="CK1054" s="37"/>
      <c r="CL1054" s="37"/>
      <c r="CM1054" s="37"/>
      <c r="CN1054" s="37" t="s">
        <v>1124</v>
      </c>
      <c r="CO1054" s="37"/>
      <c r="CP1054" s="37"/>
      <c r="CQ1054" s="37"/>
      <c r="CR1054" s="37"/>
      <c r="CS1054" s="37"/>
      <c r="CT1054" s="37"/>
      <c r="CU1054" s="37"/>
      <c r="CV1054" s="37"/>
      <c r="CW1054" s="37"/>
      <c r="CX1054" s="37"/>
      <c r="CY1054" s="37"/>
      <c r="CZ1054" s="37" t="s">
        <v>1124</v>
      </c>
      <c r="DA1054" s="37"/>
      <c r="DB1054" s="37"/>
      <c r="DC1054" s="37"/>
      <c r="DD1054" s="37"/>
      <c r="DE1054" s="37"/>
      <c r="DF1054" s="37"/>
      <c r="DG1054" s="37"/>
      <c r="DH1054" s="37"/>
      <c r="DI1054" s="37"/>
      <c r="DJ1054" s="37"/>
      <c r="DK1054" s="37"/>
      <c r="DL1054" s="37" t="s">
        <v>1124</v>
      </c>
      <c r="DM1054" s="37"/>
      <c r="DN1054" s="37"/>
      <c r="DO1054" s="37"/>
      <c r="DP1054" s="37"/>
      <c r="DQ1054" s="37"/>
      <c r="DR1054" s="37"/>
      <c r="DS1054" s="37"/>
      <c r="DT1054" s="37"/>
      <c r="DU1054" s="37"/>
      <c r="DV1054" s="37"/>
      <c r="DW1054" s="37"/>
      <c r="DX1054" s="37" t="s">
        <v>1124</v>
      </c>
      <c r="DY1054" s="37"/>
      <c r="DZ1054" s="37"/>
      <c r="EA1054" s="37"/>
      <c r="EB1054" s="37"/>
      <c r="EC1054" s="37"/>
      <c r="ED1054" s="37"/>
      <c r="EE1054" s="37"/>
      <c r="EF1054" s="37"/>
      <c r="EG1054" s="37"/>
      <c r="EH1054" s="37"/>
      <c r="EI1054" s="37"/>
      <c r="EJ1054" s="37" t="s">
        <v>1124</v>
      </c>
      <c r="EK1054" s="161"/>
      <c r="EL1054" s="294"/>
    </row>
    <row r="1055" spans="1:142" ht="15" customHeight="1" x14ac:dyDescent="0.35">
      <c r="A1055" s="34"/>
      <c r="B1055" s="313">
        <v>45105</v>
      </c>
      <c r="C1055" s="8" t="s">
        <v>425</v>
      </c>
      <c r="D1055" s="18">
        <v>5</v>
      </c>
      <c r="E1055" s="155">
        <v>29376</v>
      </c>
      <c r="F1055" s="36">
        <v>407</v>
      </c>
      <c r="G1055" s="37">
        <v>0</v>
      </c>
      <c r="H1055" s="37">
        <v>0</v>
      </c>
      <c r="I1055" s="37">
        <v>0</v>
      </c>
      <c r="J1055" s="37">
        <v>0</v>
      </c>
      <c r="K1055" s="37">
        <v>1468.8000000000002</v>
      </c>
      <c r="L1055" s="37">
        <v>32.56</v>
      </c>
      <c r="M1055" s="37">
        <v>30844.799999999999</v>
      </c>
      <c r="N1055" s="37">
        <v>439.56</v>
      </c>
      <c r="O1055" s="37">
        <v>869.96</v>
      </c>
      <c r="P1055" s="37">
        <v>0</v>
      </c>
      <c r="Q1055" s="37">
        <v>30630.6</v>
      </c>
      <c r="R1055" s="37">
        <v>0</v>
      </c>
      <c r="S1055" s="37">
        <v>0</v>
      </c>
      <c r="T1055" s="37">
        <v>0</v>
      </c>
      <c r="U1055" s="37">
        <v>0</v>
      </c>
      <c r="V1055" s="37">
        <v>0</v>
      </c>
      <c r="W1055" s="37">
        <v>0</v>
      </c>
      <c r="X1055" s="37">
        <v>0</v>
      </c>
      <c r="Y1055" s="37">
        <v>0</v>
      </c>
      <c r="Z1055" s="37">
        <v>0</v>
      </c>
      <c r="AA1055" s="37">
        <v>31500.559999999998</v>
      </c>
      <c r="AB1055" s="37">
        <v>0</v>
      </c>
      <c r="AC1055" s="37">
        <v>217</v>
      </c>
      <c r="AD1055" s="37">
        <v>0</v>
      </c>
      <c r="AE1055" s="37">
        <v>0</v>
      </c>
      <c r="AF1055" s="168">
        <v>0.02</v>
      </c>
      <c r="AG1055" s="37">
        <v>2767715.81</v>
      </c>
      <c r="AH1055" s="37">
        <v>23227.79</v>
      </c>
      <c r="AI1055" s="37">
        <v>31235.25</v>
      </c>
      <c r="AJ1055" s="37">
        <v>31859.95</v>
      </c>
      <c r="AK1055" s="37">
        <v>24649.52</v>
      </c>
      <c r="AL1055" s="37">
        <v>25142.51</v>
      </c>
      <c r="AM1055" s="37">
        <v>25645.360000000001</v>
      </c>
      <c r="AN1055" s="37">
        <v>26158.27</v>
      </c>
      <c r="AO1055" s="37">
        <v>26681.43</v>
      </c>
      <c r="AP1055" s="37">
        <v>27215.06</v>
      </c>
      <c r="AQ1055" s="37">
        <v>27759.360000000001</v>
      </c>
      <c r="AR1055" s="37">
        <v>269574.5</v>
      </c>
      <c r="AS1055" s="37">
        <v>0</v>
      </c>
      <c r="AT1055" s="37">
        <v>0</v>
      </c>
      <c r="AU1055" s="37">
        <v>292092.3</v>
      </c>
      <c r="AV1055" s="37">
        <v>0</v>
      </c>
      <c r="AW1055" s="37">
        <v>0</v>
      </c>
      <c r="AX1055" s="37">
        <v>0</v>
      </c>
      <c r="AY1055" s="37">
        <v>0</v>
      </c>
      <c r="AZ1055" s="37">
        <v>0</v>
      </c>
      <c r="BA1055" s="37">
        <v>0</v>
      </c>
      <c r="BB1055" s="37">
        <v>0</v>
      </c>
      <c r="BC1055" s="37">
        <v>0</v>
      </c>
      <c r="BD1055" s="37">
        <v>292092.3</v>
      </c>
      <c r="BE1055" s="37">
        <v>0</v>
      </c>
      <c r="BF1055" s="37">
        <v>3520.8884002032632</v>
      </c>
      <c r="BG1055" s="37">
        <v>3795.0733348199865</v>
      </c>
      <c r="BH1055" s="37">
        <v>4671.9032420286367</v>
      </c>
      <c r="BI1055" s="37">
        <v>5548.7350229481181</v>
      </c>
      <c r="BJ1055" s="37">
        <v>602.64497259192478</v>
      </c>
      <c r="BK1055" s="37">
        <v>2918.2434276113349</v>
      </c>
      <c r="BL1055" s="37">
        <v>3795.0733348199865</v>
      </c>
      <c r="BM1055" s="37">
        <v>4671.9032420286367</v>
      </c>
      <c r="BN1055" s="37">
        <v>5548.7350229481181</v>
      </c>
      <c r="BO1055" s="37">
        <v>0</v>
      </c>
      <c r="BP1055" s="37">
        <v>35073.200000000012</v>
      </c>
      <c r="BQ1055" s="37">
        <v>0</v>
      </c>
      <c r="BR1055" s="37">
        <v>0</v>
      </c>
      <c r="BS1055" s="37">
        <v>0</v>
      </c>
      <c r="BT1055" s="37">
        <v>0</v>
      </c>
      <c r="BU1055" s="37">
        <v>0</v>
      </c>
      <c r="BV1055" s="37">
        <v>0</v>
      </c>
      <c r="BW1055" s="37">
        <v>0</v>
      </c>
      <c r="BX1055" s="37">
        <v>0</v>
      </c>
      <c r="BY1055" s="37">
        <v>0</v>
      </c>
      <c r="BZ1055" s="37">
        <v>0</v>
      </c>
      <c r="CA1055" s="37">
        <v>0</v>
      </c>
      <c r="CB1055" s="37">
        <v>0</v>
      </c>
      <c r="CC1055" s="37">
        <v>0</v>
      </c>
      <c r="CD1055" s="37">
        <v>0</v>
      </c>
      <c r="CE1055" s="37">
        <v>14500</v>
      </c>
      <c r="CF1055" s="37">
        <v>0</v>
      </c>
      <c r="CG1055" s="37">
        <v>0</v>
      </c>
      <c r="CH1055" s="37">
        <v>0</v>
      </c>
      <c r="CI1055" s="37">
        <v>0</v>
      </c>
      <c r="CJ1055" s="37">
        <v>0</v>
      </c>
      <c r="CK1055" s="37">
        <v>0</v>
      </c>
      <c r="CL1055" s="37">
        <v>0</v>
      </c>
      <c r="CM1055" s="37">
        <v>0</v>
      </c>
      <c r="CN1055" s="37">
        <v>14500</v>
      </c>
      <c r="CO1055" s="37">
        <v>0</v>
      </c>
      <c r="CP1055" s="37">
        <v>0</v>
      </c>
      <c r="CQ1055" s="37">
        <v>280750</v>
      </c>
      <c r="CR1055" s="37">
        <v>0</v>
      </c>
      <c r="CS1055" s="37">
        <v>0</v>
      </c>
      <c r="CT1055" s="37">
        <v>0</v>
      </c>
      <c r="CU1055" s="37">
        <v>0</v>
      </c>
      <c r="CV1055" s="37">
        <v>0</v>
      </c>
      <c r="CW1055" s="37">
        <v>0</v>
      </c>
      <c r="CX1055" s="37">
        <v>0</v>
      </c>
      <c r="CY1055" s="37">
        <v>0</v>
      </c>
      <c r="CZ1055" s="37">
        <v>280750</v>
      </c>
      <c r="DA1055" s="37">
        <v>0</v>
      </c>
      <c r="DB1055" s="37">
        <v>0</v>
      </c>
      <c r="DC1055" s="37">
        <v>0</v>
      </c>
      <c r="DD1055" s="37">
        <v>0</v>
      </c>
      <c r="DE1055" s="37">
        <v>0</v>
      </c>
      <c r="DF1055" s="37">
        <v>0</v>
      </c>
      <c r="DG1055" s="37">
        <v>0</v>
      </c>
      <c r="DH1055" s="37">
        <v>0</v>
      </c>
      <c r="DI1055" s="37">
        <v>0</v>
      </c>
      <c r="DJ1055" s="37">
        <v>0</v>
      </c>
      <c r="DK1055" s="37">
        <v>0</v>
      </c>
      <c r="DL1055" s="37">
        <v>0</v>
      </c>
      <c r="DM1055" s="37">
        <v>0</v>
      </c>
      <c r="DN1055" s="37">
        <v>0</v>
      </c>
      <c r="DO1055" s="37">
        <v>0</v>
      </c>
      <c r="DP1055" s="37">
        <v>0</v>
      </c>
      <c r="DQ1055" s="37">
        <v>0</v>
      </c>
      <c r="DR1055" s="37">
        <v>0</v>
      </c>
      <c r="DS1055" s="37">
        <v>0</v>
      </c>
      <c r="DT1055" s="37">
        <v>0</v>
      </c>
      <c r="DU1055" s="37">
        <v>0</v>
      </c>
      <c r="DV1055" s="37">
        <v>0</v>
      </c>
      <c r="DW1055" s="37">
        <v>0</v>
      </c>
      <c r="DX1055" s="37">
        <v>0</v>
      </c>
      <c r="DY1055" s="37">
        <v>0</v>
      </c>
      <c r="DZ1055" s="37">
        <v>0</v>
      </c>
      <c r="EA1055" s="37">
        <v>0</v>
      </c>
      <c r="EB1055" s="37">
        <v>0</v>
      </c>
      <c r="EC1055" s="37">
        <v>0</v>
      </c>
      <c r="ED1055" s="37">
        <v>0</v>
      </c>
      <c r="EE1055" s="37">
        <v>0</v>
      </c>
      <c r="EF1055" s="37">
        <v>0</v>
      </c>
      <c r="EG1055" s="37">
        <v>0</v>
      </c>
      <c r="EH1055" s="37">
        <v>0</v>
      </c>
      <c r="EI1055" s="37">
        <v>0</v>
      </c>
      <c r="EJ1055" s="37">
        <v>0</v>
      </c>
      <c r="EK1055" s="161" t="s">
        <v>1124</v>
      </c>
      <c r="EL1055" s="294" t="s">
        <v>1124</v>
      </c>
    </row>
    <row r="1056" spans="1:142" ht="15" customHeight="1" x14ac:dyDescent="0.35">
      <c r="A1056" s="34"/>
      <c r="B1056" s="313">
        <v>46058</v>
      </c>
      <c r="C1056" s="8" t="s">
        <v>436</v>
      </c>
      <c r="D1056" s="18">
        <v>5</v>
      </c>
      <c r="E1056" s="155"/>
      <c r="F1056" s="36"/>
      <c r="G1056" s="37"/>
      <c r="H1056" s="37"/>
      <c r="I1056" s="37"/>
      <c r="J1056" s="37"/>
      <c r="K1056" s="37"/>
      <c r="L1056" s="37"/>
      <c r="M1056" s="37" t="s">
        <v>1124</v>
      </c>
      <c r="N1056" s="37" t="s">
        <v>1124</v>
      </c>
      <c r="O1056" s="37"/>
      <c r="P1056" s="37"/>
      <c r="Q1056" s="37"/>
      <c r="R1056" s="37"/>
      <c r="S1056" s="37"/>
      <c r="T1056" s="37"/>
      <c r="U1056" s="37"/>
      <c r="V1056" s="37"/>
      <c r="W1056" s="37"/>
      <c r="X1056" s="37"/>
      <c r="Y1056" s="37"/>
      <c r="Z1056" s="37"/>
      <c r="AA1056" s="37" t="s">
        <v>1124</v>
      </c>
      <c r="AB1056" s="37" t="s">
        <v>1124</v>
      </c>
      <c r="AC1056" s="37"/>
      <c r="AD1056" s="37"/>
      <c r="AE1056" s="37"/>
      <c r="AF1056" s="168"/>
      <c r="AG1056" s="37"/>
      <c r="AH1056" s="37"/>
      <c r="AI1056" s="37"/>
      <c r="AJ1056" s="37"/>
      <c r="AK1056" s="37"/>
      <c r="AL1056" s="37"/>
      <c r="AM1056" s="37"/>
      <c r="AN1056" s="37"/>
      <c r="AO1056" s="37"/>
      <c r="AP1056" s="37"/>
      <c r="AQ1056" s="37"/>
      <c r="AR1056" s="37" t="s">
        <v>1124</v>
      </c>
      <c r="AS1056" s="37"/>
      <c r="AT1056" s="37"/>
      <c r="AU1056" s="37"/>
      <c r="AV1056" s="37"/>
      <c r="AW1056" s="37"/>
      <c r="AX1056" s="37"/>
      <c r="AY1056" s="37"/>
      <c r="AZ1056" s="37"/>
      <c r="BA1056" s="37"/>
      <c r="BB1056" s="37"/>
      <c r="BC1056" s="37"/>
      <c r="BD1056" s="37" t="s">
        <v>1124</v>
      </c>
      <c r="BE1056" s="37"/>
      <c r="BF1056" s="37"/>
      <c r="BG1056" s="37"/>
      <c r="BH1056" s="37"/>
      <c r="BI1056" s="37"/>
      <c r="BJ1056" s="37"/>
      <c r="BK1056" s="37"/>
      <c r="BL1056" s="37"/>
      <c r="BM1056" s="37"/>
      <c r="BN1056" s="37"/>
      <c r="BO1056" s="37"/>
      <c r="BP1056" s="37">
        <v>0</v>
      </c>
      <c r="BQ1056" s="37"/>
      <c r="BR1056" s="37"/>
      <c r="BS1056" s="37"/>
      <c r="BT1056" s="37"/>
      <c r="BU1056" s="37"/>
      <c r="BV1056" s="37"/>
      <c r="BW1056" s="37"/>
      <c r="BX1056" s="37"/>
      <c r="BY1056" s="37"/>
      <c r="BZ1056" s="37"/>
      <c r="CA1056" s="37"/>
      <c r="CB1056" s="37" t="s">
        <v>1124</v>
      </c>
      <c r="CC1056" s="37"/>
      <c r="CD1056" s="37"/>
      <c r="CE1056" s="37"/>
      <c r="CF1056" s="37"/>
      <c r="CG1056" s="37"/>
      <c r="CH1056" s="37"/>
      <c r="CI1056" s="37"/>
      <c r="CJ1056" s="37"/>
      <c r="CK1056" s="37"/>
      <c r="CL1056" s="37"/>
      <c r="CM1056" s="37"/>
      <c r="CN1056" s="37" t="s">
        <v>1124</v>
      </c>
      <c r="CO1056" s="37"/>
      <c r="CP1056" s="37"/>
      <c r="CQ1056" s="37"/>
      <c r="CR1056" s="37"/>
      <c r="CS1056" s="37"/>
      <c r="CT1056" s="37"/>
      <c r="CU1056" s="37"/>
      <c r="CV1056" s="37"/>
      <c r="CW1056" s="37"/>
      <c r="CX1056" s="37"/>
      <c r="CY1056" s="37"/>
      <c r="CZ1056" s="37" t="s">
        <v>1124</v>
      </c>
      <c r="DA1056" s="37"/>
      <c r="DB1056" s="37"/>
      <c r="DC1056" s="37"/>
      <c r="DD1056" s="37"/>
      <c r="DE1056" s="37"/>
      <c r="DF1056" s="37"/>
      <c r="DG1056" s="37"/>
      <c r="DH1056" s="37"/>
      <c r="DI1056" s="37"/>
      <c r="DJ1056" s="37"/>
      <c r="DK1056" s="37"/>
      <c r="DL1056" s="37" t="s">
        <v>1124</v>
      </c>
      <c r="DM1056" s="37"/>
      <c r="DN1056" s="37"/>
      <c r="DO1056" s="37"/>
      <c r="DP1056" s="37"/>
      <c r="DQ1056" s="37"/>
      <c r="DR1056" s="37"/>
      <c r="DS1056" s="37"/>
      <c r="DT1056" s="37"/>
      <c r="DU1056" s="37"/>
      <c r="DV1056" s="37"/>
      <c r="DW1056" s="37"/>
      <c r="DX1056" s="37" t="s">
        <v>1124</v>
      </c>
      <c r="DY1056" s="37"/>
      <c r="DZ1056" s="37"/>
      <c r="EA1056" s="37"/>
      <c r="EB1056" s="37"/>
      <c r="EC1056" s="37"/>
      <c r="ED1056" s="37"/>
      <c r="EE1056" s="37"/>
      <c r="EF1056" s="37"/>
      <c r="EG1056" s="37"/>
      <c r="EH1056" s="37"/>
      <c r="EI1056" s="37"/>
      <c r="EJ1056" s="37" t="s">
        <v>1124</v>
      </c>
      <c r="EK1056" s="161"/>
      <c r="EL1056" s="294"/>
    </row>
    <row r="1057" spans="1:142" ht="15" customHeight="1" x14ac:dyDescent="0.35">
      <c r="A1057" s="34"/>
      <c r="B1057" s="313">
        <v>95005</v>
      </c>
      <c r="C1057" s="8" t="s">
        <v>986</v>
      </c>
      <c r="D1057" s="18">
        <v>9</v>
      </c>
      <c r="E1057" s="155">
        <v>147662</v>
      </c>
      <c r="F1057" s="36">
        <v>115222</v>
      </c>
      <c r="G1057" s="37">
        <v>70574</v>
      </c>
      <c r="H1057" s="37">
        <v>960</v>
      </c>
      <c r="I1057" s="37">
        <v>511800</v>
      </c>
      <c r="J1057" s="37">
        <v>8200</v>
      </c>
      <c r="K1057" s="37">
        <v>22149.3</v>
      </c>
      <c r="L1057" s="37">
        <v>17283.3</v>
      </c>
      <c r="M1057" s="37">
        <v>752185.3</v>
      </c>
      <c r="N1057" s="37">
        <v>141665.29999999999</v>
      </c>
      <c r="O1057" s="37">
        <v>84745</v>
      </c>
      <c r="P1057" s="37">
        <v>41751</v>
      </c>
      <c r="Q1057" s="37">
        <v>117458</v>
      </c>
      <c r="R1057" s="37">
        <v>143619</v>
      </c>
      <c r="S1057" s="37">
        <v>0</v>
      </c>
      <c r="T1057" s="37">
        <v>0</v>
      </c>
      <c r="U1057" s="37">
        <v>473755</v>
      </c>
      <c r="V1057" s="37">
        <v>74691</v>
      </c>
      <c r="W1057" s="37">
        <v>73197</v>
      </c>
      <c r="X1057" s="37">
        <v>0</v>
      </c>
      <c r="Y1057" s="37">
        <v>0</v>
      </c>
      <c r="Z1057" s="37">
        <v>0</v>
      </c>
      <c r="AA1057" s="37">
        <v>749155</v>
      </c>
      <c r="AB1057" s="37">
        <v>260061</v>
      </c>
      <c r="AC1057" s="37">
        <v>115365</v>
      </c>
      <c r="AD1057" s="37">
        <v>0</v>
      </c>
      <c r="AE1057" s="37">
        <v>0</v>
      </c>
      <c r="AF1057" s="168">
        <v>0.02</v>
      </c>
      <c r="AG1057" s="37">
        <v>25211866.949999999</v>
      </c>
      <c r="AH1057" s="37">
        <v>226784.15</v>
      </c>
      <c r="AI1057" s="37">
        <v>193189.54</v>
      </c>
      <c r="AJ1057" s="37">
        <v>9405736.6899999995</v>
      </c>
      <c r="AK1057" s="37">
        <v>205852.35</v>
      </c>
      <c r="AL1057" s="37">
        <v>325505.62</v>
      </c>
      <c r="AM1057" s="37">
        <v>222224.35</v>
      </c>
      <c r="AN1057" s="37">
        <v>225262.85</v>
      </c>
      <c r="AO1057" s="37">
        <v>233353.38</v>
      </c>
      <c r="AP1057" s="37">
        <v>218840.44</v>
      </c>
      <c r="AQ1057" s="37">
        <v>241743.53</v>
      </c>
      <c r="AR1057" s="37">
        <v>11498492.899999999</v>
      </c>
      <c r="AS1057" s="37">
        <v>2237064</v>
      </c>
      <c r="AT1057" s="37">
        <v>35700</v>
      </c>
      <c r="AU1057" s="37">
        <v>0</v>
      </c>
      <c r="AV1057" s="37">
        <v>0</v>
      </c>
      <c r="AW1057" s="37">
        <v>0</v>
      </c>
      <c r="AX1057" s="37">
        <v>0</v>
      </c>
      <c r="AY1057" s="37">
        <v>0</v>
      </c>
      <c r="AZ1057" s="37">
        <v>0</v>
      </c>
      <c r="BA1057" s="37">
        <v>0</v>
      </c>
      <c r="BB1057" s="37">
        <v>0</v>
      </c>
      <c r="BC1057" s="37">
        <v>0</v>
      </c>
      <c r="BD1057" s="37">
        <v>35700</v>
      </c>
      <c r="BE1057" s="37">
        <v>0</v>
      </c>
      <c r="BF1057" s="37">
        <v>200000</v>
      </c>
      <c r="BG1057" s="37">
        <v>0</v>
      </c>
      <c r="BH1057" s="37">
        <v>423245</v>
      </c>
      <c r="BI1057" s="37">
        <v>0</v>
      </c>
      <c r="BJ1057" s="37">
        <v>13629.925734854</v>
      </c>
      <c r="BK1057" s="37">
        <v>66001.448619902192</v>
      </c>
      <c r="BL1057" s="37">
        <v>85832.571521254984</v>
      </c>
      <c r="BM1057" s="37">
        <v>105663.69442260773</v>
      </c>
      <c r="BN1057" s="37">
        <v>125494.85970138111</v>
      </c>
      <c r="BO1057" s="37">
        <v>0</v>
      </c>
      <c r="BP1057" s="37">
        <v>1019867.5</v>
      </c>
      <c r="BQ1057" s="37">
        <v>0</v>
      </c>
      <c r="BR1057" s="37">
        <v>0</v>
      </c>
      <c r="BS1057" s="37">
        <v>0</v>
      </c>
      <c r="BT1057" s="37">
        <v>1100000</v>
      </c>
      <c r="BU1057" s="37">
        <v>0</v>
      </c>
      <c r="BV1057" s="37">
        <v>0</v>
      </c>
      <c r="BW1057" s="37">
        <v>0</v>
      </c>
      <c r="BX1057" s="37">
        <v>0</v>
      </c>
      <c r="BY1057" s="37">
        <v>0</v>
      </c>
      <c r="BZ1057" s="37">
        <v>0</v>
      </c>
      <c r="CA1057" s="37">
        <v>0</v>
      </c>
      <c r="CB1057" s="37">
        <v>1100000</v>
      </c>
      <c r="CC1057" s="37">
        <v>0</v>
      </c>
      <c r="CD1057" s="37">
        <v>0</v>
      </c>
      <c r="CE1057" s="37">
        <v>0</v>
      </c>
      <c r="CF1057" s="37">
        <v>0</v>
      </c>
      <c r="CG1057" s="37">
        <v>0</v>
      </c>
      <c r="CH1057" s="37">
        <v>0</v>
      </c>
      <c r="CI1057" s="37">
        <v>0</v>
      </c>
      <c r="CJ1057" s="37">
        <v>0</v>
      </c>
      <c r="CK1057" s="37">
        <v>0</v>
      </c>
      <c r="CL1057" s="37">
        <v>0</v>
      </c>
      <c r="CM1057" s="37">
        <v>0</v>
      </c>
      <c r="CN1057" s="37">
        <v>0</v>
      </c>
      <c r="CO1057" s="37">
        <v>0</v>
      </c>
      <c r="CP1057" s="37">
        <v>0</v>
      </c>
      <c r="CQ1057" s="37">
        <v>0</v>
      </c>
      <c r="CR1057" s="37">
        <v>0</v>
      </c>
      <c r="CS1057" s="37">
        <v>0</v>
      </c>
      <c r="CT1057" s="37">
        <v>0</v>
      </c>
      <c r="CU1057" s="37">
        <v>0</v>
      </c>
      <c r="CV1057" s="37">
        <v>0</v>
      </c>
      <c r="CW1057" s="37">
        <v>0</v>
      </c>
      <c r="CX1057" s="37">
        <v>0</v>
      </c>
      <c r="CY1057" s="37">
        <v>0</v>
      </c>
      <c r="CZ1057" s="37">
        <v>0</v>
      </c>
      <c r="DA1057" s="37">
        <v>0</v>
      </c>
      <c r="DB1057" s="37">
        <v>0</v>
      </c>
      <c r="DC1057" s="37">
        <v>0</v>
      </c>
      <c r="DD1057" s="37">
        <v>0</v>
      </c>
      <c r="DE1057" s="37">
        <v>0</v>
      </c>
      <c r="DF1057" s="37">
        <v>0</v>
      </c>
      <c r="DG1057" s="37">
        <v>0</v>
      </c>
      <c r="DH1057" s="37">
        <v>0</v>
      </c>
      <c r="DI1057" s="37">
        <v>0</v>
      </c>
      <c r="DJ1057" s="37">
        <v>0</v>
      </c>
      <c r="DK1057" s="37">
        <v>0</v>
      </c>
      <c r="DL1057" s="37">
        <v>0</v>
      </c>
      <c r="DM1057" s="37">
        <v>0</v>
      </c>
      <c r="DN1057" s="37">
        <v>0</v>
      </c>
      <c r="DO1057" s="37">
        <v>0</v>
      </c>
      <c r="DP1057" s="37">
        <v>0</v>
      </c>
      <c r="DQ1057" s="37">
        <v>0</v>
      </c>
      <c r="DR1057" s="37">
        <v>0</v>
      </c>
      <c r="DS1057" s="37">
        <v>0</v>
      </c>
      <c r="DT1057" s="37">
        <v>0</v>
      </c>
      <c r="DU1057" s="37">
        <v>0</v>
      </c>
      <c r="DV1057" s="37">
        <v>0</v>
      </c>
      <c r="DW1057" s="37">
        <v>0</v>
      </c>
      <c r="DX1057" s="37">
        <v>0</v>
      </c>
      <c r="DY1057" s="37">
        <v>0</v>
      </c>
      <c r="DZ1057" s="37">
        <v>0</v>
      </c>
      <c r="EA1057" s="37">
        <v>0</v>
      </c>
      <c r="EB1057" s="37">
        <v>0</v>
      </c>
      <c r="EC1057" s="37">
        <v>0</v>
      </c>
      <c r="ED1057" s="37">
        <v>0</v>
      </c>
      <c r="EE1057" s="37">
        <v>0</v>
      </c>
      <c r="EF1057" s="37">
        <v>0</v>
      </c>
      <c r="EG1057" s="37">
        <v>0</v>
      </c>
      <c r="EH1057" s="37">
        <v>0</v>
      </c>
      <c r="EI1057" s="37">
        <v>0</v>
      </c>
      <c r="EJ1057" s="37">
        <v>0</v>
      </c>
      <c r="EK1057" s="161" t="s">
        <v>3549</v>
      </c>
      <c r="EL1057" s="294" t="s">
        <v>1124</v>
      </c>
    </row>
    <row r="1058" spans="1:142" ht="15" customHeight="1" x14ac:dyDescent="0.35">
      <c r="A1058" s="34"/>
      <c r="B1058" s="313">
        <v>87042</v>
      </c>
      <c r="C1058" s="8" t="s">
        <v>897</v>
      </c>
      <c r="D1058" s="18">
        <v>8</v>
      </c>
      <c r="E1058" s="155"/>
      <c r="F1058" s="36"/>
      <c r="G1058" s="37"/>
      <c r="H1058" s="37"/>
      <c r="I1058" s="37"/>
      <c r="J1058" s="37"/>
      <c r="K1058" s="37"/>
      <c r="L1058" s="37"/>
      <c r="M1058" s="37" t="s">
        <v>1124</v>
      </c>
      <c r="N1058" s="37" t="s">
        <v>1124</v>
      </c>
      <c r="O1058" s="37"/>
      <c r="P1058" s="37"/>
      <c r="Q1058" s="37"/>
      <c r="R1058" s="37"/>
      <c r="S1058" s="37"/>
      <c r="T1058" s="37"/>
      <c r="U1058" s="37"/>
      <c r="V1058" s="37"/>
      <c r="W1058" s="37"/>
      <c r="X1058" s="37"/>
      <c r="Y1058" s="37"/>
      <c r="Z1058" s="37"/>
      <c r="AA1058" s="37" t="s">
        <v>1124</v>
      </c>
      <c r="AB1058" s="37" t="s">
        <v>1124</v>
      </c>
      <c r="AC1058" s="37"/>
      <c r="AD1058" s="37"/>
      <c r="AE1058" s="37"/>
      <c r="AF1058" s="168"/>
      <c r="AG1058" s="37"/>
      <c r="AH1058" s="37"/>
      <c r="AI1058" s="37"/>
      <c r="AJ1058" s="37"/>
      <c r="AK1058" s="37"/>
      <c r="AL1058" s="37"/>
      <c r="AM1058" s="37"/>
      <c r="AN1058" s="37"/>
      <c r="AO1058" s="37"/>
      <c r="AP1058" s="37"/>
      <c r="AQ1058" s="37"/>
      <c r="AR1058" s="37" t="s">
        <v>1124</v>
      </c>
      <c r="AS1058" s="37"/>
      <c r="AT1058" s="37"/>
      <c r="AU1058" s="37"/>
      <c r="AV1058" s="37"/>
      <c r="AW1058" s="37"/>
      <c r="AX1058" s="37"/>
      <c r="AY1058" s="37"/>
      <c r="AZ1058" s="37"/>
      <c r="BA1058" s="37"/>
      <c r="BB1058" s="37"/>
      <c r="BC1058" s="37"/>
      <c r="BD1058" s="37" t="s">
        <v>1124</v>
      </c>
      <c r="BE1058" s="37"/>
      <c r="BF1058" s="37"/>
      <c r="BG1058" s="37"/>
      <c r="BH1058" s="37"/>
      <c r="BI1058" s="37"/>
      <c r="BJ1058" s="37"/>
      <c r="BK1058" s="37"/>
      <c r="BL1058" s="37"/>
      <c r="BM1058" s="37"/>
      <c r="BN1058" s="37"/>
      <c r="BO1058" s="37"/>
      <c r="BP1058" s="37">
        <v>0</v>
      </c>
      <c r="BQ1058" s="37"/>
      <c r="BR1058" s="37"/>
      <c r="BS1058" s="37"/>
      <c r="BT1058" s="37"/>
      <c r="BU1058" s="37"/>
      <c r="BV1058" s="37"/>
      <c r="BW1058" s="37"/>
      <c r="BX1058" s="37"/>
      <c r="BY1058" s="37"/>
      <c r="BZ1058" s="37"/>
      <c r="CA1058" s="37"/>
      <c r="CB1058" s="37" t="s">
        <v>1124</v>
      </c>
      <c r="CC1058" s="37"/>
      <c r="CD1058" s="37"/>
      <c r="CE1058" s="37"/>
      <c r="CF1058" s="37"/>
      <c r="CG1058" s="37"/>
      <c r="CH1058" s="37"/>
      <c r="CI1058" s="37"/>
      <c r="CJ1058" s="37"/>
      <c r="CK1058" s="37"/>
      <c r="CL1058" s="37"/>
      <c r="CM1058" s="37"/>
      <c r="CN1058" s="37" t="s">
        <v>1124</v>
      </c>
      <c r="CO1058" s="37"/>
      <c r="CP1058" s="37"/>
      <c r="CQ1058" s="37"/>
      <c r="CR1058" s="37"/>
      <c r="CS1058" s="37"/>
      <c r="CT1058" s="37"/>
      <c r="CU1058" s="37"/>
      <c r="CV1058" s="37"/>
      <c r="CW1058" s="37"/>
      <c r="CX1058" s="37"/>
      <c r="CY1058" s="37"/>
      <c r="CZ1058" s="37" t="s">
        <v>1124</v>
      </c>
      <c r="DA1058" s="37"/>
      <c r="DB1058" s="37"/>
      <c r="DC1058" s="37"/>
      <c r="DD1058" s="37"/>
      <c r="DE1058" s="37"/>
      <c r="DF1058" s="37"/>
      <c r="DG1058" s="37"/>
      <c r="DH1058" s="37"/>
      <c r="DI1058" s="37"/>
      <c r="DJ1058" s="37"/>
      <c r="DK1058" s="37"/>
      <c r="DL1058" s="37" t="s">
        <v>1124</v>
      </c>
      <c r="DM1058" s="37"/>
      <c r="DN1058" s="37"/>
      <c r="DO1058" s="37"/>
      <c r="DP1058" s="37"/>
      <c r="DQ1058" s="37"/>
      <c r="DR1058" s="37"/>
      <c r="DS1058" s="37"/>
      <c r="DT1058" s="37"/>
      <c r="DU1058" s="37"/>
      <c r="DV1058" s="37"/>
      <c r="DW1058" s="37"/>
      <c r="DX1058" s="37" t="s">
        <v>1124</v>
      </c>
      <c r="DY1058" s="37"/>
      <c r="DZ1058" s="37"/>
      <c r="EA1058" s="37"/>
      <c r="EB1058" s="37"/>
      <c r="EC1058" s="37"/>
      <c r="ED1058" s="37"/>
      <c r="EE1058" s="37"/>
      <c r="EF1058" s="37"/>
      <c r="EG1058" s="37"/>
      <c r="EH1058" s="37"/>
      <c r="EI1058" s="37"/>
      <c r="EJ1058" s="37" t="s">
        <v>1124</v>
      </c>
      <c r="EK1058" s="161"/>
      <c r="EL1058" s="294"/>
    </row>
    <row r="1059" spans="1:142" ht="15" customHeight="1" x14ac:dyDescent="0.35">
      <c r="A1059" s="34"/>
      <c r="B1059" s="313">
        <v>85005</v>
      </c>
      <c r="C1059" s="8" t="s">
        <v>870</v>
      </c>
      <c r="D1059" s="18">
        <v>8</v>
      </c>
      <c r="E1059" s="155"/>
      <c r="F1059" s="36"/>
      <c r="G1059" s="37"/>
      <c r="H1059" s="37"/>
      <c r="I1059" s="37"/>
      <c r="J1059" s="37"/>
      <c r="K1059" s="37"/>
      <c r="L1059" s="37"/>
      <c r="M1059" s="37" t="s">
        <v>1124</v>
      </c>
      <c r="N1059" s="37" t="s">
        <v>1124</v>
      </c>
      <c r="O1059" s="37"/>
      <c r="P1059" s="37"/>
      <c r="Q1059" s="37"/>
      <c r="R1059" s="37"/>
      <c r="S1059" s="37"/>
      <c r="T1059" s="37"/>
      <c r="U1059" s="37"/>
      <c r="V1059" s="37"/>
      <c r="W1059" s="37"/>
      <c r="X1059" s="37"/>
      <c r="Y1059" s="37"/>
      <c r="Z1059" s="37"/>
      <c r="AA1059" s="37" t="s">
        <v>1124</v>
      </c>
      <c r="AB1059" s="37" t="s">
        <v>1124</v>
      </c>
      <c r="AC1059" s="37"/>
      <c r="AD1059" s="37"/>
      <c r="AE1059" s="37"/>
      <c r="AF1059" s="168"/>
      <c r="AG1059" s="37"/>
      <c r="AH1059" s="37"/>
      <c r="AI1059" s="37"/>
      <c r="AJ1059" s="37"/>
      <c r="AK1059" s="37"/>
      <c r="AL1059" s="37"/>
      <c r="AM1059" s="37"/>
      <c r="AN1059" s="37"/>
      <c r="AO1059" s="37"/>
      <c r="AP1059" s="37"/>
      <c r="AQ1059" s="37"/>
      <c r="AR1059" s="37" t="s">
        <v>1124</v>
      </c>
      <c r="AS1059" s="37"/>
      <c r="AT1059" s="37"/>
      <c r="AU1059" s="37"/>
      <c r="AV1059" s="37"/>
      <c r="AW1059" s="37"/>
      <c r="AX1059" s="37"/>
      <c r="AY1059" s="37"/>
      <c r="AZ1059" s="37"/>
      <c r="BA1059" s="37"/>
      <c r="BB1059" s="37"/>
      <c r="BC1059" s="37"/>
      <c r="BD1059" s="37" t="s">
        <v>1124</v>
      </c>
      <c r="BE1059" s="37"/>
      <c r="BF1059" s="37"/>
      <c r="BG1059" s="37"/>
      <c r="BH1059" s="37"/>
      <c r="BI1059" s="37"/>
      <c r="BJ1059" s="37"/>
      <c r="BK1059" s="37"/>
      <c r="BL1059" s="37"/>
      <c r="BM1059" s="37"/>
      <c r="BN1059" s="37"/>
      <c r="BO1059" s="37"/>
      <c r="BP1059" s="37">
        <v>0</v>
      </c>
      <c r="BQ1059" s="37"/>
      <c r="BR1059" s="37"/>
      <c r="BS1059" s="37"/>
      <c r="BT1059" s="37"/>
      <c r="BU1059" s="37"/>
      <c r="BV1059" s="37"/>
      <c r="BW1059" s="37"/>
      <c r="BX1059" s="37"/>
      <c r="BY1059" s="37"/>
      <c r="BZ1059" s="37"/>
      <c r="CA1059" s="37"/>
      <c r="CB1059" s="37" t="s">
        <v>1124</v>
      </c>
      <c r="CC1059" s="37"/>
      <c r="CD1059" s="37"/>
      <c r="CE1059" s="37"/>
      <c r="CF1059" s="37"/>
      <c r="CG1059" s="37"/>
      <c r="CH1059" s="37"/>
      <c r="CI1059" s="37"/>
      <c r="CJ1059" s="37"/>
      <c r="CK1059" s="37"/>
      <c r="CL1059" s="37"/>
      <c r="CM1059" s="37"/>
      <c r="CN1059" s="37" t="s">
        <v>1124</v>
      </c>
      <c r="CO1059" s="37"/>
      <c r="CP1059" s="37"/>
      <c r="CQ1059" s="37"/>
      <c r="CR1059" s="37"/>
      <c r="CS1059" s="37"/>
      <c r="CT1059" s="37"/>
      <c r="CU1059" s="37"/>
      <c r="CV1059" s="37"/>
      <c r="CW1059" s="37"/>
      <c r="CX1059" s="37"/>
      <c r="CY1059" s="37"/>
      <c r="CZ1059" s="37" t="s">
        <v>1124</v>
      </c>
      <c r="DA1059" s="37"/>
      <c r="DB1059" s="37"/>
      <c r="DC1059" s="37"/>
      <c r="DD1059" s="37"/>
      <c r="DE1059" s="37"/>
      <c r="DF1059" s="37"/>
      <c r="DG1059" s="37"/>
      <c r="DH1059" s="37"/>
      <c r="DI1059" s="37"/>
      <c r="DJ1059" s="37"/>
      <c r="DK1059" s="37"/>
      <c r="DL1059" s="37" t="s">
        <v>1124</v>
      </c>
      <c r="DM1059" s="37"/>
      <c r="DN1059" s="37"/>
      <c r="DO1059" s="37"/>
      <c r="DP1059" s="37"/>
      <c r="DQ1059" s="37"/>
      <c r="DR1059" s="37"/>
      <c r="DS1059" s="37"/>
      <c r="DT1059" s="37"/>
      <c r="DU1059" s="37"/>
      <c r="DV1059" s="37"/>
      <c r="DW1059" s="37"/>
      <c r="DX1059" s="37" t="s">
        <v>1124</v>
      </c>
      <c r="DY1059" s="37"/>
      <c r="DZ1059" s="37"/>
      <c r="EA1059" s="37"/>
      <c r="EB1059" s="37"/>
      <c r="EC1059" s="37"/>
      <c r="ED1059" s="37"/>
      <c r="EE1059" s="37"/>
      <c r="EF1059" s="37"/>
      <c r="EG1059" s="37"/>
      <c r="EH1059" s="37"/>
      <c r="EI1059" s="37"/>
      <c r="EJ1059" s="37" t="s">
        <v>1124</v>
      </c>
      <c r="EK1059" s="161"/>
      <c r="EL1059" s="294"/>
    </row>
    <row r="1060" spans="1:142" ht="15" customHeight="1" x14ac:dyDescent="0.35">
      <c r="A1060" s="34"/>
      <c r="B1060" s="313">
        <v>13073</v>
      </c>
      <c r="C1060" s="8" t="s">
        <v>53</v>
      </c>
      <c r="D1060" s="18">
        <v>1</v>
      </c>
      <c r="E1060" s="155">
        <v>409415</v>
      </c>
      <c r="F1060" s="36">
        <v>516336</v>
      </c>
      <c r="G1060" s="37">
        <v>61151</v>
      </c>
      <c r="H1060" s="37">
        <v>31550</v>
      </c>
      <c r="I1060" s="37">
        <v>206367</v>
      </c>
      <c r="J1060" s="37">
        <v>121761</v>
      </c>
      <c r="K1060" s="37">
        <v>101539.95</v>
      </c>
      <c r="L1060" s="37">
        <v>100447.05</v>
      </c>
      <c r="M1060" s="37">
        <v>778472.95</v>
      </c>
      <c r="N1060" s="37">
        <v>770094.05</v>
      </c>
      <c r="O1060" s="37">
        <v>0</v>
      </c>
      <c r="P1060" s="37">
        <v>0</v>
      </c>
      <c r="Q1060" s="37">
        <v>612348</v>
      </c>
      <c r="R1060" s="37">
        <v>532196</v>
      </c>
      <c r="S1060" s="37">
        <v>5452</v>
      </c>
      <c r="T1060" s="37">
        <v>8370</v>
      </c>
      <c r="U1060" s="37">
        <v>36793</v>
      </c>
      <c r="V1060" s="37">
        <v>27695</v>
      </c>
      <c r="W1060" s="37">
        <v>95674.949999999953</v>
      </c>
      <c r="X1060" s="37">
        <v>201833.05000000005</v>
      </c>
      <c r="Y1060" s="37">
        <v>28205</v>
      </c>
      <c r="Z1060" s="37">
        <v>0</v>
      </c>
      <c r="AA1060" s="37">
        <v>778472.95</v>
      </c>
      <c r="AB1060" s="37">
        <v>770094.05</v>
      </c>
      <c r="AC1060" s="37">
        <v>0</v>
      </c>
      <c r="AD1060" s="37">
        <v>0</v>
      </c>
      <c r="AE1060" s="37">
        <v>300000</v>
      </c>
      <c r="AF1060" s="168">
        <v>0.02</v>
      </c>
      <c r="AG1060" s="37">
        <v>115254157.16</v>
      </c>
      <c r="AH1060" s="37">
        <v>870507.36</v>
      </c>
      <c r="AI1060" s="37">
        <v>887917.51</v>
      </c>
      <c r="AJ1060" s="37">
        <v>905675.86</v>
      </c>
      <c r="AK1060" s="37">
        <v>923789.38</v>
      </c>
      <c r="AL1060" s="37">
        <v>942265.16</v>
      </c>
      <c r="AM1060" s="37">
        <v>961110.47</v>
      </c>
      <c r="AN1060" s="37">
        <v>980332.68</v>
      </c>
      <c r="AO1060" s="37">
        <v>999939.33</v>
      </c>
      <c r="AP1060" s="37">
        <v>1019938.12</v>
      </c>
      <c r="AQ1060" s="37">
        <v>1040336.88</v>
      </c>
      <c r="AR1060" s="37">
        <v>9531812.75</v>
      </c>
      <c r="AS1060" s="37">
        <v>5342909.59</v>
      </c>
      <c r="AT1060" s="37">
        <v>1712911.85</v>
      </c>
      <c r="AU1060" s="37">
        <v>0</v>
      </c>
      <c r="AV1060" s="37">
        <v>0</v>
      </c>
      <c r="AW1060" s="37">
        <v>0</v>
      </c>
      <c r="AX1060" s="37">
        <v>0</v>
      </c>
      <c r="AY1060" s="37">
        <v>0</v>
      </c>
      <c r="AZ1060" s="37">
        <v>0</v>
      </c>
      <c r="BA1060" s="37">
        <v>0</v>
      </c>
      <c r="BB1060" s="37">
        <v>0</v>
      </c>
      <c r="BC1060" s="37">
        <v>0</v>
      </c>
      <c r="BD1060" s="37">
        <v>1712911.85</v>
      </c>
      <c r="BE1060" s="37">
        <v>0</v>
      </c>
      <c r="BF1060" s="37">
        <v>631784</v>
      </c>
      <c r="BG1060" s="37">
        <v>4264028</v>
      </c>
      <c r="BH1060" s="37">
        <v>986080</v>
      </c>
      <c r="BI1060" s="37">
        <v>0</v>
      </c>
      <c r="BJ1060" s="37">
        <v>0</v>
      </c>
      <c r="BK1060" s="37">
        <v>0</v>
      </c>
      <c r="BL1060" s="37">
        <v>0</v>
      </c>
      <c r="BM1060" s="37">
        <v>0</v>
      </c>
      <c r="BN1060" s="37">
        <v>0</v>
      </c>
      <c r="BO1060" s="37">
        <v>0</v>
      </c>
      <c r="BP1060" s="37">
        <v>5881892</v>
      </c>
      <c r="BQ1060" s="37">
        <v>644</v>
      </c>
      <c r="BR1060" s="37">
        <v>0</v>
      </c>
      <c r="BS1060" s="37">
        <v>3673215</v>
      </c>
      <c r="BT1060" s="37">
        <v>0</v>
      </c>
      <c r="BU1060" s="37">
        <v>0</v>
      </c>
      <c r="BV1060" s="37">
        <v>0</v>
      </c>
      <c r="BW1060" s="37">
        <v>0</v>
      </c>
      <c r="BX1060" s="37">
        <v>0</v>
      </c>
      <c r="BY1060" s="37">
        <v>0</v>
      </c>
      <c r="BZ1060" s="37">
        <v>0</v>
      </c>
      <c r="CA1060" s="37">
        <v>0</v>
      </c>
      <c r="CB1060" s="37">
        <v>3673215</v>
      </c>
      <c r="CC1060" s="37">
        <v>36882</v>
      </c>
      <c r="CD1060" s="37">
        <v>50000</v>
      </c>
      <c r="CE1060" s="37">
        <v>300000</v>
      </c>
      <c r="CF1060" s="37">
        <v>0</v>
      </c>
      <c r="CG1060" s="37">
        <v>0</v>
      </c>
      <c r="CH1060" s="37">
        <v>0</v>
      </c>
      <c r="CI1060" s="37">
        <v>0</v>
      </c>
      <c r="CJ1060" s="37">
        <v>0</v>
      </c>
      <c r="CK1060" s="37">
        <v>0</v>
      </c>
      <c r="CL1060" s="37">
        <v>0</v>
      </c>
      <c r="CM1060" s="37">
        <v>0</v>
      </c>
      <c r="CN1060" s="37">
        <v>350000</v>
      </c>
      <c r="CO1060" s="37">
        <v>6736109</v>
      </c>
      <c r="CP1060" s="37">
        <v>976472</v>
      </c>
      <c r="CQ1060" s="37">
        <v>0</v>
      </c>
      <c r="CR1060" s="37">
        <v>0</v>
      </c>
      <c r="CS1060" s="37">
        <v>0</v>
      </c>
      <c r="CT1060" s="37">
        <v>0</v>
      </c>
      <c r="CU1060" s="37">
        <v>0</v>
      </c>
      <c r="CV1060" s="37">
        <v>0</v>
      </c>
      <c r="CW1060" s="37">
        <v>0</v>
      </c>
      <c r="CX1060" s="37">
        <v>0</v>
      </c>
      <c r="CY1060" s="37">
        <v>0</v>
      </c>
      <c r="CZ1060" s="37">
        <v>976472</v>
      </c>
      <c r="DA1060" s="37">
        <v>2591234</v>
      </c>
      <c r="DB1060" s="37">
        <v>623828</v>
      </c>
      <c r="DC1060" s="37">
        <v>0</v>
      </c>
      <c r="DD1060" s="37">
        <v>0</v>
      </c>
      <c r="DE1060" s="37">
        <v>0</v>
      </c>
      <c r="DF1060" s="37">
        <v>0</v>
      </c>
      <c r="DG1060" s="37">
        <v>0</v>
      </c>
      <c r="DH1060" s="37">
        <v>0</v>
      </c>
      <c r="DI1060" s="37">
        <v>0</v>
      </c>
      <c r="DJ1060" s="37">
        <v>0</v>
      </c>
      <c r="DK1060" s="37">
        <v>0</v>
      </c>
      <c r="DL1060" s="37">
        <v>623828</v>
      </c>
      <c r="DM1060" s="37">
        <v>18677</v>
      </c>
      <c r="DN1060" s="37">
        <v>0</v>
      </c>
      <c r="DO1060" s="37">
        <v>100000</v>
      </c>
      <c r="DP1060" s="37">
        <v>0</v>
      </c>
      <c r="DQ1060" s="37">
        <v>0</v>
      </c>
      <c r="DR1060" s="37">
        <v>0</v>
      </c>
      <c r="DS1060" s="37">
        <v>0</v>
      </c>
      <c r="DT1060" s="37">
        <v>0</v>
      </c>
      <c r="DU1060" s="37">
        <v>0</v>
      </c>
      <c r="DV1060" s="37">
        <v>0</v>
      </c>
      <c r="DW1060" s="37">
        <v>0</v>
      </c>
      <c r="DX1060" s="37">
        <v>100000</v>
      </c>
      <c r="DY1060" s="37">
        <v>0</v>
      </c>
      <c r="DZ1060" s="37">
        <v>0</v>
      </c>
      <c r="EA1060" s="37">
        <v>0</v>
      </c>
      <c r="EB1060" s="37">
        <v>0</v>
      </c>
      <c r="EC1060" s="37">
        <v>0</v>
      </c>
      <c r="ED1060" s="37">
        <v>0</v>
      </c>
      <c r="EE1060" s="37">
        <v>0</v>
      </c>
      <c r="EF1060" s="37">
        <v>0</v>
      </c>
      <c r="EG1060" s="37">
        <v>0</v>
      </c>
      <c r="EH1060" s="37">
        <v>0</v>
      </c>
      <c r="EI1060" s="37">
        <v>0</v>
      </c>
      <c r="EJ1060" s="37">
        <v>0</v>
      </c>
      <c r="EK1060" s="161" t="s">
        <v>3556</v>
      </c>
      <c r="EL1060" s="294" t="s">
        <v>1124</v>
      </c>
    </row>
    <row r="1061" spans="1:142" ht="15" customHeight="1" x14ac:dyDescent="0.35">
      <c r="A1061" s="34"/>
      <c r="B1061" s="313">
        <v>71075</v>
      </c>
      <c r="C1061" s="8" t="s">
        <v>716</v>
      </c>
      <c r="D1061" s="18">
        <v>16</v>
      </c>
      <c r="E1061" s="155">
        <v>195138</v>
      </c>
      <c r="F1061" s="36">
        <v>415167</v>
      </c>
      <c r="G1061" s="37">
        <v>4356</v>
      </c>
      <c r="H1061" s="37">
        <v>383</v>
      </c>
      <c r="I1061" s="37">
        <v>11000</v>
      </c>
      <c r="J1061" s="37">
        <v>383</v>
      </c>
      <c r="K1061" s="37">
        <v>29271</v>
      </c>
      <c r="L1061" s="37">
        <v>62275</v>
      </c>
      <c r="M1061" s="37">
        <v>239765</v>
      </c>
      <c r="N1061" s="37">
        <v>478208</v>
      </c>
      <c r="O1061" s="37">
        <v>15315</v>
      </c>
      <c r="P1061" s="37">
        <v>24068</v>
      </c>
      <c r="Q1061" s="37">
        <v>241670</v>
      </c>
      <c r="R1061" s="37">
        <v>340606</v>
      </c>
      <c r="S1061" s="37">
        <v>4030</v>
      </c>
      <c r="T1061" s="37">
        <v>0</v>
      </c>
      <c r="U1061" s="37">
        <v>0</v>
      </c>
      <c r="V1061" s="37">
        <v>24945</v>
      </c>
      <c r="W1061" s="37">
        <v>33669.5</v>
      </c>
      <c r="X1061" s="37">
        <v>33669.5</v>
      </c>
      <c r="Y1061" s="37">
        <v>0</v>
      </c>
      <c r="Z1061" s="37">
        <v>0</v>
      </c>
      <c r="AA1061" s="37">
        <v>294684.5</v>
      </c>
      <c r="AB1061" s="37">
        <v>423288.5</v>
      </c>
      <c r="AC1061" s="37">
        <v>0</v>
      </c>
      <c r="AD1061" s="37">
        <v>0</v>
      </c>
      <c r="AE1061" s="37">
        <v>0</v>
      </c>
      <c r="AF1061" s="168">
        <v>0.02</v>
      </c>
      <c r="AG1061" s="37">
        <v>44607456.840000004</v>
      </c>
      <c r="AH1061" s="37">
        <v>481569.27</v>
      </c>
      <c r="AI1061" s="37">
        <v>491200.66</v>
      </c>
      <c r="AJ1061" s="37">
        <v>501024.67</v>
      </c>
      <c r="AK1061" s="37">
        <v>511045.16</v>
      </c>
      <c r="AL1061" s="37">
        <v>521266.07</v>
      </c>
      <c r="AM1061" s="37">
        <v>531691.39</v>
      </c>
      <c r="AN1061" s="37">
        <v>542325.22</v>
      </c>
      <c r="AO1061" s="37">
        <v>553171.72</v>
      </c>
      <c r="AP1061" s="37">
        <v>564235.15</v>
      </c>
      <c r="AQ1061" s="37">
        <v>575519.86</v>
      </c>
      <c r="AR1061" s="37">
        <v>5273049.17</v>
      </c>
      <c r="AS1061" s="37">
        <v>1412642.64</v>
      </c>
      <c r="AT1061" s="37">
        <v>0</v>
      </c>
      <c r="AU1061" s="37">
        <v>0</v>
      </c>
      <c r="AV1061" s="37">
        <v>0</v>
      </c>
      <c r="AW1061" s="37">
        <v>0</v>
      </c>
      <c r="AX1061" s="37">
        <v>0</v>
      </c>
      <c r="AY1061" s="37">
        <v>0</v>
      </c>
      <c r="AZ1061" s="37">
        <v>0</v>
      </c>
      <c r="BA1061" s="37">
        <v>0</v>
      </c>
      <c r="BB1061" s="37">
        <v>0</v>
      </c>
      <c r="BC1061" s="37">
        <v>0</v>
      </c>
      <c r="BD1061" s="37">
        <v>0</v>
      </c>
      <c r="BE1061" s="37">
        <v>622424</v>
      </c>
      <c r="BF1061" s="37">
        <v>0</v>
      </c>
      <c r="BG1061" s="37">
        <v>0</v>
      </c>
      <c r="BH1061" s="37">
        <v>0</v>
      </c>
      <c r="BI1061" s="37">
        <v>0</v>
      </c>
      <c r="BJ1061" s="37">
        <v>0</v>
      </c>
      <c r="BK1061" s="37">
        <v>0</v>
      </c>
      <c r="BL1061" s="37">
        <v>0</v>
      </c>
      <c r="BM1061" s="37">
        <v>0</v>
      </c>
      <c r="BN1061" s="37">
        <v>0</v>
      </c>
      <c r="BO1061" s="37">
        <v>0</v>
      </c>
      <c r="BP1061" s="37">
        <v>0</v>
      </c>
      <c r="BQ1061" s="37">
        <v>0</v>
      </c>
      <c r="BR1061" s="37">
        <v>0</v>
      </c>
      <c r="BS1061" s="37">
        <v>0</v>
      </c>
      <c r="BT1061" s="37">
        <v>0</v>
      </c>
      <c r="BU1061" s="37">
        <v>0</v>
      </c>
      <c r="BV1061" s="37">
        <v>0</v>
      </c>
      <c r="BW1061" s="37">
        <v>0</v>
      </c>
      <c r="BX1061" s="37">
        <v>0</v>
      </c>
      <c r="BY1061" s="37">
        <v>0</v>
      </c>
      <c r="BZ1061" s="37">
        <v>0</v>
      </c>
      <c r="CA1061" s="37">
        <v>0</v>
      </c>
      <c r="CB1061" s="37">
        <v>0</v>
      </c>
      <c r="CC1061" s="37">
        <v>0</v>
      </c>
      <c r="CD1061" s="37">
        <v>0</v>
      </c>
      <c r="CE1061" s="37">
        <v>0</v>
      </c>
      <c r="CF1061" s="37">
        <v>0</v>
      </c>
      <c r="CG1061" s="37">
        <v>0</v>
      </c>
      <c r="CH1061" s="37">
        <v>0</v>
      </c>
      <c r="CI1061" s="37">
        <v>0</v>
      </c>
      <c r="CJ1061" s="37">
        <v>0</v>
      </c>
      <c r="CK1061" s="37">
        <v>0</v>
      </c>
      <c r="CL1061" s="37">
        <v>0</v>
      </c>
      <c r="CM1061" s="37">
        <v>0</v>
      </c>
      <c r="CN1061" s="37">
        <v>0</v>
      </c>
      <c r="CO1061" s="37">
        <v>0</v>
      </c>
      <c r="CP1061" s="37">
        <v>0</v>
      </c>
      <c r="CQ1061" s="37">
        <v>0</v>
      </c>
      <c r="CR1061" s="37">
        <v>0</v>
      </c>
      <c r="CS1061" s="37">
        <v>0</v>
      </c>
      <c r="CT1061" s="37">
        <v>0</v>
      </c>
      <c r="CU1061" s="37">
        <v>0</v>
      </c>
      <c r="CV1061" s="37">
        <v>0</v>
      </c>
      <c r="CW1061" s="37">
        <v>0</v>
      </c>
      <c r="CX1061" s="37">
        <v>0</v>
      </c>
      <c r="CY1061" s="37">
        <v>0</v>
      </c>
      <c r="CZ1061" s="37">
        <v>0</v>
      </c>
      <c r="DA1061" s="37">
        <v>0</v>
      </c>
      <c r="DB1061" s="37">
        <v>0</v>
      </c>
      <c r="DC1061" s="37">
        <v>0</v>
      </c>
      <c r="DD1061" s="37">
        <v>0</v>
      </c>
      <c r="DE1061" s="37">
        <v>0</v>
      </c>
      <c r="DF1061" s="37">
        <v>0</v>
      </c>
      <c r="DG1061" s="37">
        <v>0</v>
      </c>
      <c r="DH1061" s="37">
        <v>0</v>
      </c>
      <c r="DI1061" s="37">
        <v>0</v>
      </c>
      <c r="DJ1061" s="37">
        <v>0</v>
      </c>
      <c r="DK1061" s="37">
        <v>0</v>
      </c>
      <c r="DL1061" s="37">
        <v>0</v>
      </c>
      <c r="DM1061" s="37">
        <v>0</v>
      </c>
      <c r="DN1061" s="37">
        <v>0</v>
      </c>
      <c r="DO1061" s="37">
        <v>0</v>
      </c>
      <c r="DP1061" s="37">
        <v>0</v>
      </c>
      <c r="DQ1061" s="37">
        <v>0</v>
      </c>
      <c r="DR1061" s="37">
        <v>0</v>
      </c>
      <c r="DS1061" s="37">
        <v>0</v>
      </c>
      <c r="DT1061" s="37">
        <v>0</v>
      </c>
      <c r="DU1061" s="37">
        <v>0</v>
      </c>
      <c r="DV1061" s="37">
        <v>0</v>
      </c>
      <c r="DW1061" s="37">
        <v>0</v>
      </c>
      <c r="DX1061" s="37">
        <v>0</v>
      </c>
      <c r="DY1061" s="37">
        <v>0</v>
      </c>
      <c r="DZ1061" s="37">
        <v>0</v>
      </c>
      <c r="EA1061" s="37">
        <v>0</v>
      </c>
      <c r="EB1061" s="37">
        <v>0</v>
      </c>
      <c r="EC1061" s="37">
        <v>0</v>
      </c>
      <c r="ED1061" s="37">
        <v>0</v>
      </c>
      <c r="EE1061" s="37">
        <v>0</v>
      </c>
      <c r="EF1061" s="37">
        <v>0</v>
      </c>
      <c r="EG1061" s="37">
        <v>0</v>
      </c>
      <c r="EH1061" s="37">
        <v>0</v>
      </c>
      <c r="EI1061" s="37">
        <v>0</v>
      </c>
      <c r="EJ1061" s="37">
        <v>0</v>
      </c>
      <c r="EK1061" s="161" t="s">
        <v>3560</v>
      </c>
      <c r="EL1061" s="294" t="s">
        <v>1124</v>
      </c>
    </row>
    <row r="1062" spans="1:142" ht="15" customHeight="1" x14ac:dyDescent="0.35">
      <c r="A1062" s="34"/>
      <c r="B1062" s="313">
        <v>64008</v>
      </c>
      <c r="C1062" s="8" t="s">
        <v>644</v>
      </c>
      <c r="D1062" s="18">
        <v>14</v>
      </c>
      <c r="E1062" s="155">
        <v>11705084.4</v>
      </c>
      <c r="F1062" s="36">
        <v>6970774.2999999998</v>
      </c>
      <c r="G1062" s="37">
        <v>770856</v>
      </c>
      <c r="H1062" s="37">
        <v>1704517</v>
      </c>
      <c r="I1062" s="37">
        <v>2282781</v>
      </c>
      <c r="J1062" s="37">
        <v>3511083</v>
      </c>
      <c r="K1062" s="37">
        <v>1170508.4400000002</v>
      </c>
      <c r="L1062" s="37">
        <v>697077.43</v>
      </c>
      <c r="M1062" s="37">
        <v>15929229.84</v>
      </c>
      <c r="N1062" s="37">
        <v>12883451.73</v>
      </c>
      <c r="O1062" s="37">
        <v>1148043.83</v>
      </c>
      <c r="P1062" s="37">
        <v>499285.11</v>
      </c>
      <c r="Q1062" s="37">
        <v>11978503.51</v>
      </c>
      <c r="R1062" s="37">
        <v>6138964.7999999998</v>
      </c>
      <c r="S1062" s="37">
        <v>0</v>
      </c>
      <c r="T1062" s="37">
        <v>303995.51</v>
      </c>
      <c r="U1062" s="37">
        <v>174806.99</v>
      </c>
      <c r="V1062" s="37">
        <v>66417.7</v>
      </c>
      <c r="W1062" s="37">
        <v>2627875.8399999999</v>
      </c>
      <c r="X1062" s="37">
        <v>5874788.7300000004</v>
      </c>
      <c r="Y1062" s="37">
        <v>0</v>
      </c>
      <c r="Z1062" s="37">
        <v>0</v>
      </c>
      <c r="AA1062" s="37">
        <v>15929230.17</v>
      </c>
      <c r="AB1062" s="37">
        <v>12883451.85</v>
      </c>
      <c r="AC1062" s="37">
        <v>0</v>
      </c>
      <c r="AD1062" s="37">
        <v>0</v>
      </c>
      <c r="AE1062" s="37">
        <v>0</v>
      </c>
      <c r="AF1062" s="168">
        <v>0.02</v>
      </c>
      <c r="AG1062" s="37">
        <v>1442380141.55</v>
      </c>
      <c r="AH1062" s="37">
        <v>12140065.76</v>
      </c>
      <c r="AI1062" s="37">
        <v>12382867.07</v>
      </c>
      <c r="AJ1062" s="37">
        <v>12630524.41</v>
      </c>
      <c r="AK1062" s="37">
        <v>12883134.9</v>
      </c>
      <c r="AL1062" s="37">
        <v>13140797.6</v>
      </c>
      <c r="AM1062" s="37">
        <v>13403613.550000001</v>
      </c>
      <c r="AN1062" s="37">
        <v>13671685.82</v>
      </c>
      <c r="AO1062" s="37">
        <v>13945119.539999999</v>
      </c>
      <c r="AP1062" s="37">
        <v>14224021.93</v>
      </c>
      <c r="AQ1062" s="37">
        <v>14508502.369999999</v>
      </c>
      <c r="AR1062" s="37">
        <v>132930332.95</v>
      </c>
      <c r="AS1062" s="37">
        <v>5966226.8600000003</v>
      </c>
      <c r="AT1062" s="37">
        <v>744826</v>
      </c>
      <c r="AU1062" s="37">
        <v>1648526.49</v>
      </c>
      <c r="AV1062" s="37">
        <v>865933.34</v>
      </c>
      <c r="AW1062" s="37">
        <v>883859.99</v>
      </c>
      <c r="AX1062" s="37">
        <v>902163.52</v>
      </c>
      <c r="AY1062" s="37">
        <v>555569.98</v>
      </c>
      <c r="AZ1062" s="37">
        <v>567346.09</v>
      </c>
      <c r="BA1062" s="37">
        <v>579377.78</v>
      </c>
      <c r="BB1062" s="37">
        <v>591670.77</v>
      </c>
      <c r="BC1062" s="37">
        <v>0</v>
      </c>
      <c r="BD1062" s="37">
        <v>7339273.96</v>
      </c>
      <c r="BE1062" s="37">
        <v>216413</v>
      </c>
      <c r="BF1062" s="37">
        <v>5626347</v>
      </c>
      <c r="BG1062" s="37">
        <v>0</v>
      </c>
      <c r="BH1062" s="37">
        <v>0</v>
      </c>
      <c r="BI1062" s="37">
        <v>0</v>
      </c>
      <c r="BJ1062" s="37">
        <v>0</v>
      </c>
      <c r="BK1062" s="37">
        <v>0</v>
      </c>
      <c r="BL1062" s="37">
        <v>0</v>
      </c>
      <c r="BM1062" s="37">
        <v>0</v>
      </c>
      <c r="BN1062" s="37">
        <v>0</v>
      </c>
      <c r="BO1062" s="37">
        <v>0</v>
      </c>
      <c r="BP1062" s="37">
        <v>5626347</v>
      </c>
      <c r="BQ1062" s="37">
        <v>0</v>
      </c>
      <c r="BR1062" s="37">
        <v>660000</v>
      </c>
      <c r="BS1062" s="37">
        <v>1497000</v>
      </c>
      <c r="BT1062" s="37">
        <v>743000</v>
      </c>
      <c r="BU1062" s="37">
        <v>743000</v>
      </c>
      <c r="BV1062" s="37">
        <v>743000</v>
      </c>
      <c r="BW1062" s="37">
        <v>675000</v>
      </c>
      <c r="BX1062" s="37">
        <v>425000</v>
      </c>
      <c r="BY1062" s="37">
        <v>425000</v>
      </c>
      <c r="BZ1062" s="37">
        <v>425000</v>
      </c>
      <c r="CA1062" s="37">
        <v>425000</v>
      </c>
      <c r="CB1062" s="37">
        <v>6761000</v>
      </c>
      <c r="CC1062" s="37">
        <v>0</v>
      </c>
      <c r="CD1062" s="37">
        <v>0</v>
      </c>
      <c r="CE1062" s="37">
        <v>0</v>
      </c>
      <c r="CF1062" s="37">
        <v>0</v>
      </c>
      <c r="CG1062" s="37">
        <v>0</v>
      </c>
      <c r="CH1062" s="37">
        <v>0</v>
      </c>
      <c r="CI1062" s="37">
        <v>0</v>
      </c>
      <c r="CJ1062" s="37">
        <v>0</v>
      </c>
      <c r="CK1062" s="37">
        <v>0</v>
      </c>
      <c r="CL1062" s="37">
        <v>0</v>
      </c>
      <c r="CM1062" s="37">
        <v>0</v>
      </c>
      <c r="CN1062" s="37">
        <v>0</v>
      </c>
      <c r="CO1062" s="37">
        <v>399062</v>
      </c>
      <c r="CP1062" s="37">
        <v>2406238</v>
      </c>
      <c r="CQ1062" s="37">
        <v>0</v>
      </c>
      <c r="CR1062" s="37">
        <v>0</v>
      </c>
      <c r="CS1062" s="37">
        <v>0</v>
      </c>
      <c r="CT1062" s="37">
        <v>0</v>
      </c>
      <c r="CU1062" s="37">
        <v>0</v>
      </c>
      <c r="CV1062" s="37">
        <v>0</v>
      </c>
      <c r="CW1062" s="37">
        <v>0</v>
      </c>
      <c r="CX1062" s="37">
        <v>0</v>
      </c>
      <c r="CY1062" s="37">
        <v>0</v>
      </c>
      <c r="CZ1062" s="37">
        <v>2406238</v>
      </c>
      <c r="DA1062" s="37">
        <v>0</v>
      </c>
      <c r="DB1062" s="37">
        <v>0</v>
      </c>
      <c r="DC1062" s="37">
        <v>0</v>
      </c>
      <c r="DD1062" s="37">
        <v>0</v>
      </c>
      <c r="DE1062" s="37">
        <v>0</v>
      </c>
      <c r="DF1062" s="37">
        <v>0</v>
      </c>
      <c r="DG1062" s="37">
        <v>0</v>
      </c>
      <c r="DH1062" s="37">
        <v>0</v>
      </c>
      <c r="DI1062" s="37">
        <v>0</v>
      </c>
      <c r="DJ1062" s="37">
        <v>0</v>
      </c>
      <c r="DK1062" s="37">
        <v>0</v>
      </c>
      <c r="DL1062" s="37">
        <v>0</v>
      </c>
      <c r="DM1062" s="37">
        <v>0</v>
      </c>
      <c r="DN1062" s="37">
        <v>0</v>
      </c>
      <c r="DO1062" s="37">
        <v>0</v>
      </c>
      <c r="DP1062" s="37">
        <v>0</v>
      </c>
      <c r="DQ1062" s="37">
        <v>0</v>
      </c>
      <c r="DR1062" s="37">
        <v>0</v>
      </c>
      <c r="DS1062" s="37">
        <v>0</v>
      </c>
      <c r="DT1062" s="37">
        <v>0</v>
      </c>
      <c r="DU1062" s="37">
        <v>0</v>
      </c>
      <c r="DV1062" s="37">
        <v>0</v>
      </c>
      <c r="DW1062" s="37">
        <v>0</v>
      </c>
      <c r="DX1062" s="37">
        <v>0</v>
      </c>
      <c r="DY1062" s="37">
        <v>0</v>
      </c>
      <c r="DZ1062" s="37">
        <v>0</v>
      </c>
      <c r="EA1062" s="37">
        <v>0</v>
      </c>
      <c r="EB1062" s="37">
        <v>0</v>
      </c>
      <c r="EC1062" s="37">
        <v>0</v>
      </c>
      <c r="ED1062" s="37">
        <v>0</v>
      </c>
      <c r="EE1062" s="37">
        <v>0</v>
      </c>
      <c r="EF1062" s="37">
        <v>0</v>
      </c>
      <c r="EG1062" s="37">
        <v>0</v>
      </c>
      <c r="EH1062" s="37">
        <v>0</v>
      </c>
      <c r="EI1062" s="37">
        <v>0</v>
      </c>
      <c r="EJ1062" s="37">
        <v>0</v>
      </c>
      <c r="EK1062" s="161" t="s">
        <v>1124</v>
      </c>
      <c r="EL1062" s="294" t="s">
        <v>1124</v>
      </c>
    </row>
    <row r="1063" spans="1:142" ht="15" customHeight="1" x14ac:dyDescent="0.35">
      <c r="A1063" s="34"/>
      <c r="B1063" s="313">
        <v>31084</v>
      </c>
      <c r="C1063" s="8" t="s">
        <v>248</v>
      </c>
      <c r="D1063" s="18">
        <v>12</v>
      </c>
      <c r="E1063" s="155">
        <v>2729810</v>
      </c>
      <c r="F1063" s="36">
        <v>1664037</v>
      </c>
      <c r="G1063" s="37">
        <v>1262136</v>
      </c>
      <c r="H1063" s="37">
        <v>135056</v>
      </c>
      <c r="I1063" s="37">
        <v>2440000</v>
      </c>
      <c r="J1063" s="37">
        <v>370000</v>
      </c>
      <c r="K1063" s="37">
        <v>409471.5</v>
      </c>
      <c r="L1063" s="37">
        <v>249605.55</v>
      </c>
      <c r="M1063" s="37">
        <v>6841417.5</v>
      </c>
      <c r="N1063" s="37">
        <v>2418698.5499999998</v>
      </c>
      <c r="O1063" s="37">
        <v>19336</v>
      </c>
      <c r="P1063" s="37">
        <v>29515</v>
      </c>
      <c r="Q1063" s="37">
        <v>1780000</v>
      </c>
      <c r="R1063" s="37">
        <v>1190000</v>
      </c>
      <c r="S1063" s="37">
        <v>29644</v>
      </c>
      <c r="T1063" s="37">
        <v>4188</v>
      </c>
      <c r="U1063" s="37">
        <v>594231</v>
      </c>
      <c r="V1063" s="37">
        <v>39690</v>
      </c>
      <c r="W1063" s="37">
        <v>2786756.0250000004</v>
      </c>
      <c r="X1063" s="37">
        <v>2786756.0250000004</v>
      </c>
      <c r="Y1063" s="37">
        <v>0</v>
      </c>
      <c r="Z1063" s="37">
        <v>0</v>
      </c>
      <c r="AA1063" s="37">
        <v>5209967.0250000004</v>
      </c>
      <c r="AB1063" s="37">
        <v>4050149.0250000004</v>
      </c>
      <c r="AC1063" s="37">
        <v>0</v>
      </c>
      <c r="AD1063" s="37">
        <v>0</v>
      </c>
      <c r="AE1063" s="37">
        <v>0</v>
      </c>
      <c r="AF1063" s="168">
        <v>0.02</v>
      </c>
      <c r="AG1063" s="37">
        <v>526558491.69999999</v>
      </c>
      <c r="AH1063" s="37">
        <v>4820742.51</v>
      </c>
      <c r="AI1063" s="37">
        <v>4927769.4400000004</v>
      </c>
      <c r="AJ1063" s="37">
        <v>5015500.5</v>
      </c>
      <c r="AK1063" s="37">
        <v>5115810.51</v>
      </c>
      <c r="AL1063" s="37">
        <v>5218126.72</v>
      </c>
      <c r="AM1063" s="37">
        <v>5379923.54</v>
      </c>
      <c r="AN1063" s="37">
        <v>5663270.9199999999</v>
      </c>
      <c r="AO1063" s="37">
        <v>5537517.8300000001</v>
      </c>
      <c r="AP1063" s="37">
        <v>5648268.1799999997</v>
      </c>
      <c r="AQ1063" s="37">
        <v>5761233.5499999998</v>
      </c>
      <c r="AR1063" s="37">
        <v>53088163.699999996</v>
      </c>
      <c r="AS1063" s="37">
        <v>4203507.3099999996</v>
      </c>
      <c r="AT1063" s="37">
        <v>0</v>
      </c>
      <c r="AU1063" s="37">
        <v>2599959.6</v>
      </c>
      <c r="AV1063" s="37">
        <v>0</v>
      </c>
      <c r="AW1063" s="37">
        <v>0</v>
      </c>
      <c r="AX1063" s="37">
        <v>0</v>
      </c>
      <c r="AY1063" s="37">
        <v>0</v>
      </c>
      <c r="AZ1063" s="37">
        <v>0</v>
      </c>
      <c r="BA1063" s="37">
        <v>0</v>
      </c>
      <c r="BB1063" s="37">
        <v>0</v>
      </c>
      <c r="BC1063" s="37">
        <v>0</v>
      </c>
      <c r="BD1063" s="37">
        <v>2599959.6</v>
      </c>
      <c r="BE1063" s="37">
        <v>0</v>
      </c>
      <c r="BF1063" s="37">
        <v>3042520.6571784699</v>
      </c>
      <c r="BG1063" s="37">
        <v>4415595.1412017904</v>
      </c>
      <c r="BH1063" s="37">
        <v>2208702.8523334768</v>
      </c>
      <c r="BI1063" s="37">
        <v>2623236.4492862602</v>
      </c>
      <c r="BJ1063" s="37">
        <v>284908.22710836766</v>
      </c>
      <c r="BK1063" s="37">
        <v>1379637.4300701048</v>
      </c>
      <c r="BL1063" s="37">
        <v>1794170.1412017911</v>
      </c>
      <c r="BM1063" s="37">
        <v>2208702.8523334768</v>
      </c>
      <c r="BN1063" s="37">
        <v>2623236.4492862602</v>
      </c>
      <c r="BO1063" s="37">
        <v>0</v>
      </c>
      <c r="BP1063" s="37">
        <v>20580710.199999996</v>
      </c>
      <c r="BQ1063" s="37">
        <v>0</v>
      </c>
      <c r="BR1063" s="37">
        <v>1671423.8215803499</v>
      </c>
      <c r="BS1063" s="37">
        <v>2085619.8798931199</v>
      </c>
      <c r="BT1063" s="37">
        <v>1760716.9074225149</v>
      </c>
      <c r="BU1063" s="37">
        <v>2091171.6411040183</v>
      </c>
      <c r="BV1063" s="37">
        <v>227120.96921661287</v>
      </c>
      <c r="BW1063" s="37">
        <v>1099808.852363731</v>
      </c>
      <c r="BX1063" s="37">
        <v>1430262.8798931232</v>
      </c>
      <c r="BY1063" s="37">
        <v>1760716.9074225149</v>
      </c>
      <c r="BZ1063" s="37">
        <v>2091171.6411040183</v>
      </c>
      <c r="CA1063" s="37">
        <v>0</v>
      </c>
      <c r="CB1063" s="37">
        <v>14218013.500000004</v>
      </c>
      <c r="CC1063" s="37">
        <v>0</v>
      </c>
      <c r="CD1063" s="37">
        <v>0</v>
      </c>
      <c r="CE1063" s="37">
        <v>0</v>
      </c>
      <c r="CF1063" s="37">
        <v>0</v>
      </c>
      <c r="CG1063" s="37">
        <v>0</v>
      </c>
      <c r="CH1063" s="37">
        <v>0</v>
      </c>
      <c r="CI1063" s="37">
        <v>0</v>
      </c>
      <c r="CJ1063" s="37">
        <v>0</v>
      </c>
      <c r="CK1063" s="37">
        <v>0</v>
      </c>
      <c r="CL1063" s="37">
        <v>0</v>
      </c>
      <c r="CM1063" s="37">
        <v>0</v>
      </c>
      <c r="CN1063" s="37">
        <v>0</v>
      </c>
      <c r="CO1063" s="37">
        <v>0</v>
      </c>
      <c r="CP1063" s="37">
        <v>0</v>
      </c>
      <c r="CQ1063" s="37">
        <v>0</v>
      </c>
      <c r="CR1063" s="37">
        <v>0</v>
      </c>
      <c r="CS1063" s="37">
        <v>0</v>
      </c>
      <c r="CT1063" s="37">
        <v>0</v>
      </c>
      <c r="CU1063" s="37">
        <v>0</v>
      </c>
      <c r="CV1063" s="37">
        <v>0</v>
      </c>
      <c r="CW1063" s="37">
        <v>0</v>
      </c>
      <c r="CX1063" s="37">
        <v>0</v>
      </c>
      <c r="CY1063" s="37">
        <v>0</v>
      </c>
      <c r="CZ1063" s="37">
        <v>0</v>
      </c>
      <c r="DA1063" s="37">
        <v>0</v>
      </c>
      <c r="DB1063" s="37">
        <v>0</v>
      </c>
      <c r="DC1063" s="37">
        <v>0</v>
      </c>
      <c r="DD1063" s="37">
        <v>0</v>
      </c>
      <c r="DE1063" s="37">
        <v>0</v>
      </c>
      <c r="DF1063" s="37">
        <v>0</v>
      </c>
      <c r="DG1063" s="37">
        <v>0</v>
      </c>
      <c r="DH1063" s="37">
        <v>0</v>
      </c>
      <c r="DI1063" s="37">
        <v>0</v>
      </c>
      <c r="DJ1063" s="37">
        <v>0</v>
      </c>
      <c r="DK1063" s="37">
        <v>0</v>
      </c>
      <c r="DL1063" s="37">
        <v>0</v>
      </c>
      <c r="DM1063" s="37">
        <v>0</v>
      </c>
      <c r="DN1063" s="37">
        <v>0</v>
      </c>
      <c r="DO1063" s="37">
        <v>0</v>
      </c>
      <c r="DP1063" s="37">
        <v>0</v>
      </c>
      <c r="DQ1063" s="37">
        <v>0</v>
      </c>
      <c r="DR1063" s="37">
        <v>0</v>
      </c>
      <c r="DS1063" s="37">
        <v>0</v>
      </c>
      <c r="DT1063" s="37">
        <v>0</v>
      </c>
      <c r="DU1063" s="37">
        <v>0</v>
      </c>
      <c r="DV1063" s="37">
        <v>0</v>
      </c>
      <c r="DW1063" s="37">
        <v>0</v>
      </c>
      <c r="DX1063" s="37">
        <v>0</v>
      </c>
      <c r="DY1063" s="37">
        <v>0</v>
      </c>
      <c r="DZ1063" s="37">
        <v>0</v>
      </c>
      <c r="EA1063" s="37">
        <v>0</v>
      </c>
      <c r="EB1063" s="37">
        <v>0</v>
      </c>
      <c r="EC1063" s="37">
        <v>0</v>
      </c>
      <c r="ED1063" s="37">
        <v>0</v>
      </c>
      <c r="EE1063" s="37">
        <v>0</v>
      </c>
      <c r="EF1063" s="37">
        <v>0</v>
      </c>
      <c r="EG1063" s="37">
        <v>0</v>
      </c>
      <c r="EH1063" s="37">
        <v>0</v>
      </c>
      <c r="EI1063" s="37">
        <v>0</v>
      </c>
      <c r="EJ1063" s="37">
        <v>0</v>
      </c>
      <c r="EK1063" s="161" t="s">
        <v>3565</v>
      </c>
      <c r="EL1063" s="294" t="s">
        <v>1378</v>
      </c>
    </row>
    <row r="1064" spans="1:142" ht="15" customHeight="1" x14ac:dyDescent="0.35">
      <c r="A1064" s="34"/>
      <c r="B1064" s="313">
        <v>84045</v>
      </c>
      <c r="C1064" s="8" t="s">
        <v>860</v>
      </c>
      <c r="D1064" s="18">
        <v>7</v>
      </c>
      <c r="E1064" s="155"/>
      <c r="F1064" s="36"/>
      <c r="G1064" s="37"/>
      <c r="H1064" s="37"/>
      <c r="I1064" s="37"/>
      <c r="J1064" s="37"/>
      <c r="K1064" s="37"/>
      <c r="L1064" s="37"/>
      <c r="M1064" s="37" t="s">
        <v>1124</v>
      </c>
      <c r="N1064" s="37" t="s">
        <v>1124</v>
      </c>
      <c r="O1064" s="37"/>
      <c r="P1064" s="37"/>
      <c r="Q1064" s="37"/>
      <c r="R1064" s="37"/>
      <c r="S1064" s="37"/>
      <c r="T1064" s="37"/>
      <c r="U1064" s="37"/>
      <c r="V1064" s="37"/>
      <c r="W1064" s="37"/>
      <c r="X1064" s="37"/>
      <c r="Y1064" s="37"/>
      <c r="Z1064" s="37"/>
      <c r="AA1064" s="37" t="s">
        <v>1124</v>
      </c>
      <c r="AB1064" s="37" t="s">
        <v>1124</v>
      </c>
      <c r="AC1064" s="37"/>
      <c r="AD1064" s="37"/>
      <c r="AE1064" s="37"/>
      <c r="AF1064" s="168"/>
      <c r="AG1064" s="37"/>
      <c r="AH1064" s="37"/>
      <c r="AI1064" s="37"/>
      <c r="AJ1064" s="37"/>
      <c r="AK1064" s="37"/>
      <c r="AL1064" s="37"/>
      <c r="AM1064" s="37"/>
      <c r="AN1064" s="37"/>
      <c r="AO1064" s="37"/>
      <c r="AP1064" s="37"/>
      <c r="AQ1064" s="37"/>
      <c r="AR1064" s="37" t="s">
        <v>1124</v>
      </c>
      <c r="AS1064" s="37"/>
      <c r="AT1064" s="37"/>
      <c r="AU1064" s="37"/>
      <c r="AV1064" s="37"/>
      <c r="AW1064" s="37"/>
      <c r="AX1064" s="37"/>
      <c r="AY1064" s="37"/>
      <c r="AZ1064" s="37"/>
      <c r="BA1064" s="37"/>
      <c r="BB1064" s="37"/>
      <c r="BC1064" s="37"/>
      <c r="BD1064" s="37" t="s">
        <v>1124</v>
      </c>
      <c r="BE1064" s="37"/>
      <c r="BF1064" s="37"/>
      <c r="BG1064" s="37"/>
      <c r="BH1064" s="37"/>
      <c r="BI1064" s="37"/>
      <c r="BJ1064" s="37"/>
      <c r="BK1064" s="37"/>
      <c r="BL1064" s="37"/>
      <c r="BM1064" s="37"/>
      <c r="BN1064" s="37"/>
      <c r="BO1064" s="37"/>
      <c r="BP1064" s="37">
        <v>0</v>
      </c>
      <c r="BQ1064" s="37"/>
      <c r="BR1064" s="37"/>
      <c r="BS1064" s="37"/>
      <c r="BT1064" s="37"/>
      <c r="BU1064" s="37"/>
      <c r="BV1064" s="37"/>
      <c r="BW1064" s="37"/>
      <c r="BX1064" s="37"/>
      <c r="BY1064" s="37"/>
      <c r="BZ1064" s="37"/>
      <c r="CA1064" s="37"/>
      <c r="CB1064" s="37" t="s">
        <v>1124</v>
      </c>
      <c r="CC1064" s="37"/>
      <c r="CD1064" s="37"/>
      <c r="CE1064" s="37"/>
      <c r="CF1064" s="37"/>
      <c r="CG1064" s="37"/>
      <c r="CH1064" s="37"/>
      <c r="CI1064" s="37"/>
      <c r="CJ1064" s="37"/>
      <c r="CK1064" s="37"/>
      <c r="CL1064" s="37"/>
      <c r="CM1064" s="37"/>
      <c r="CN1064" s="37" t="s">
        <v>1124</v>
      </c>
      <c r="CO1064" s="37"/>
      <c r="CP1064" s="37"/>
      <c r="CQ1064" s="37"/>
      <c r="CR1064" s="37"/>
      <c r="CS1064" s="37"/>
      <c r="CT1064" s="37"/>
      <c r="CU1064" s="37"/>
      <c r="CV1064" s="37"/>
      <c r="CW1064" s="37"/>
      <c r="CX1064" s="37"/>
      <c r="CY1064" s="37"/>
      <c r="CZ1064" s="37" t="s">
        <v>1124</v>
      </c>
      <c r="DA1064" s="37"/>
      <c r="DB1064" s="37"/>
      <c r="DC1064" s="37"/>
      <c r="DD1064" s="37"/>
      <c r="DE1064" s="37"/>
      <c r="DF1064" s="37"/>
      <c r="DG1064" s="37"/>
      <c r="DH1064" s="37"/>
      <c r="DI1064" s="37"/>
      <c r="DJ1064" s="37"/>
      <c r="DK1064" s="37"/>
      <c r="DL1064" s="37" t="s">
        <v>1124</v>
      </c>
      <c r="DM1064" s="37"/>
      <c r="DN1064" s="37"/>
      <c r="DO1064" s="37"/>
      <c r="DP1064" s="37"/>
      <c r="DQ1064" s="37"/>
      <c r="DR1064" s="37"/>
      <c r="DS1064" s="37"/>
      <c r="DT1064" s="37"/>
      <c r="DU1064" s="37"/>
      <c r="DV1064" s="37"/>
      <c r="DW1064" s="37"/>
      <c r="DX1064" s="37" t="s">
        <v>1124</v>
      </c>
      <c r="DY1064" s="37"/>
      <c r="DZ1064" s="37"/>
      <c r="EA1064" s="37"/>
      <c r="EB1064" s="37"/>
      <c r="EC1064" s="37"/>
      <c r="ED1064" s="37"/>
      <c r="EE1064" s="37"/>
      <c r="EF1064" s="37"/>
      <c r="EG1064" s="37"/>
      <c r="EH1064" s="37"/>
      <c r="EI1064" s="37"/>
      <c r="EJ1064" s="37" t="s">
        <v>1124</v>
      </c>
      <c r="EK1064" s="161"/>
      <c r="EL1064" s="294"/>
    </row>
    <row r="1065" spans="1:142" ht="15" customHeight="1" x14ac:dyDescent="0.35">
      <c r="A1065" s="34"/>
      <c r="B1065" s="313">
        <v>80050</v>
      </c>
      <c r="C1065" s="8" t="s">
        <v>810</v>
      </c>
      <c r="D1065" s="18">
        <v>7</v>
      </c>
      <c r="E1065" s="155">
        <v>436174</v>
      </c>
      <c r="F1065" s="36">
        <v>212371</v>
      </c>
      <c r="G1065" s="37">
        <v>128421</v>
      </c>
      <c r="H1065" s="37">
        <v>0</v>
      </c>
      <c r="I1065" s="37">
        <v>229000</v>
      </c>
      <c r="J1065" s="37">
        <v>722000</v>
      </c>
      <c r="K1065" s="37">
        <v>65426</v>
      </c>
      <c r="L1065" s="37">
        <v>31855</v>
      </c>
      <c r="M1065" s="37">
        <v>859021</v>
      </c>
      <c r="N1065" s="37">
        <v>966226</v>
      </c>
      <c r="O1065" s="37">
        <v>0</v>
      </c>
      <c r="P1065" s="37">
        <v>0</v>
      </c>
      <c r="Q1065" s="37">
        <v>401471</v>
      </c>
      <c r="R1065" s="37">
        <v>0</v>
      </c>
      <c r="S1065" s="37">
        <v>0</v>
      </c>
      <c r="T1065" s="37">
        <v>0</v>
      </c>
      <c r="U1065" s="37">
        <v>701638</v>
      </c>
      <c r="V1065" s="37">
        <v>0</v>
      </c>
      <c r="W1065" s="37">
        <v>515262</v>
      </c>
      <c r="X1065" s="37">
        <v>515262</v>
      </c>
      <c r="Y1065" s="37">
        <v>0</v>
      </c>
      <c r="Z1065" s="37">
        <v>0</v>
      </c>
      <c r="AA1065" s="37">
        <v>1618371</v>
      </c>
      <c r="AB1065" s="37">
        <v>515262</v>
      </c>
      <c r="AC1065" s="37">
        <v>308386</v>
      </c>
      <c r="AD1065" s="37">
        <v>0</v>
      </c>
      <c r="AE1065" s="37">
        <v>0</v>
      </c>
      <c r="AF1065" s="168">
        <v>0.02</v>
      </c>
      <c r="AG1065" s="37">
        <v>42754549.460000001</v>
      </c>
      <c r="AH1065" s="37">
        <v>301080.11</v>
      </c>
      <c r="AI1065" s="37">
        <v>307101.71000000002</v>
      </c>
      <c r="AJ1065" s="37">
        <v>313243.75</v>
      </c>
      <c r="AK1065" s="37">
        <v>319508.62</v>
      </c>
      <c r="AL1065" s="37">
        <v>325898.78999999998</v>
      </c>
      <c r="AM1065" s="37">
        <v>332416.77</v>
      </c>
      <c r="AN1065" s="37">
        <v>339065.11</v>
      </c>
      <c r="AO1065" s="37">
        <v>345846.41</v>
      </c>
      <c r="AP1065" s="37">
        <v>352763.34</v>
      </c>
      <c r="AQ1065" s="37">
        <v>359818.6</v>
      </c>
      <c r="AR1065" s="37">
        <v>3296743.21</v>
      </c>
      <c r="AS1065" s="37">
        <v>1359835.06</v>
      </c>
      <c r="AT1065" s="37">
        <v>0</v>
      </c>
      <c r="AU1065" s="37">
        <v>0</v>
      </c>
      <c r="AV1065" s="37">
        <v>0</v>
      </c>
      <c r="AW1065" s="37">
        <v>0</v>
      </c>
      <c r="AX1065" s="37">
        <v>0</v>
      </c>
      <c r="AY1065" s="37">
        <v>0</v>
      </c>
      <c r="AZ1065" s="37">
        <v>0</v>
      </c>
      <c r="BA1065" s="37">
        <v>0</v>
      </c>
      <c r="BB1065" s="37">
        <v>0</v>
      </c>
      <c r="BC1065" s="37">
        <v>0</v>
      </c>
      <c r="BD1065" s="37">
        <v>0</v>
      </c>
      <c r="BE1065" s="37">
        <v>0</v>
      </c>
      <c r="BF1065" s="37">
        <v>25000</v>
      </c>
      <c r="BG1065" s="37">
        <v>25000</v>
      </c>
      <c r="BH1065" s="37">
        <v>25000</v>
      </c>
      <c r="BI1065" s="37">
        <v>25000</v>
      </c>
      <c r="BJ1065" s="37">
        <v>25000</v>
      </c>
      <c r="BK1065" s="37">
        <v>25000</v>
      </c>
      <c r="BL1065" s="37">
        <v>25000</v>
      </c>
      <c r="BM1065" s="37">
        <v>25000</v>
      </c>
      <c r="BN1065" s="37">
        <v>25000</v>
      </c>
      <c r="BO1065" s="37">
        <v>25000</v>
      </c>
      <c r="BP1065" s="37">
        <v>250000</v>
      </c>
      <c r="BQ1065" s="37">
        <v>0</v>
      </c>
      <c r="BR1065" s="37">
        <v>25000</v>
      </c>
      <c r="BS1065" s="37">
        <v>25000</v>
      </c>
      <c r="BT1065" s="37">
        <v>25000</v>
      </c>
      <c r="BU1065" s="37">
        <v>25000</v>
      </c>
      <c r="BV1065" s="37">
        <v>25000</v>
      </c>
      <c r="BW1065" s="37">
        <v>25000</v>
      </c>
      <c r="BX1065" s="37">
        <v>25000</v>
      </c>
      <c r="BY1065" s="37">
        <v>25000</v>
      </c>
      <c r="BZ1065" s="37">
        <v>25000</v>
      </c>
      <c r="CA1065" s="37">
        <v>25000</v>
      </c>
      <c r="CB1065" s="37">
        <v>250000</v>
      </c>
      <c r="CC1065" s="37">
        <v>0</v>
      </c>
      <c r="CD1065" s="37">
        <v>25000</v>
      </c>
      <c r="CE1065" s="37">
        <v>25000</v>
      </c>
      <c r="CF1065" s="37">
        <v>25000</v>
      </c>
      <c r="CG1065" s="37">
        <v>25000</v>
      </c>
      <c r="CH1065" s="37">
        <v>25000</v>
      </c>
      <c r="CI1065" s="37">
        <v>25000</v>
      </c>
      <c r="CJ1065" s="37">
        <v>25000</v>
      </c>
      <c r="CK1065" s="37">
        <v>25000</v>
      </c>
      <c r="CL1065" s="37">
        <v>25000</v>
      </c>
      <c r="CM1065" s="37">
        <v>25000</v>
      </c>
      <c r="CN1065" s="37">
        <v>250000</v>
      </c>
      <c r="CO1065" s="37">
        <v>0</v>
      </c>
      <c r="CP1065" s="37">
        <v>0</v>
      </c>
      <c r="CQ1065" s="37">
        <v>0</v>
      </c>
      <c r="CR1065" s="37">
        <v>0</v>
      </c>
      <c r="CS1065" s="37">
        <v>0</v>
      </c>
      <c r="CT1065" s="37">
        <v>0</v>
      </c>
      <c r="CU1065" s="37">
        <v>0</v>
      </c>
      <c r="CV1065" s="37">
        <v>0</v>
      </c>
      <c r="CW1065" s="37">
        <v>0</v>
      </c>
      <c r="CX1065" s="37">
        <v>0</v>
      </c>
      <c r="CY1065" s="37">
        <v>0</v>
      </c>
      <c r="CZ1065" s="37">
        <v>0</v>
      </c>
      <c r="DA1065" s="37">
        <v>0</v>
      </c>
      <c r="DB1065" s="37">
        <v>0</v>
      </c>
      <c r="DC1065" s="37">
        <v>0</v>
      </c>
      <c r="DD1065" s="37">
        <v>0</v>
      </c>
      <c r="DE1065" s="37">
        <v>0</v>
      </c>
      <c r="DF1065" s="37">
        <v>0</v>
      </c>
      <c r="DG1065" s="37">
        <v>0</v>
      </c>
      <c r="DH1065" s="37">
        <v>0</v>
      </c>
      <c r="DI1065" s="37">
        <v>0</v>
      </c>
      <c r="DJ1065" s="37">
        <v>0</v>
      </c>
      <c r="DK1065" s="37">
        <v>0</v>
      </c>
      <c r="DL1065" s="37">
        <v>0</v>
      </c>
      <c r="DM1065" s="37">
        <v>0</v>
      </c>
      <c r="DN1065" s="37">
        <v>0</v>
      </c>
      <c r="DO1065" s="37">
        <v>0</v>
      </c>
      <c r="DP1065" s="37">
        <v>0</v>
      </c>
      <c r="DQ1065" s="37">
        <v>0</v>
      </c>
      <c r="DR1065" s="37">
        <v>0</v>
      </c>
      <c r="DS1065" s="37">
        <v>0</v>
      </c>
      <c r="DT1065" s="37">
        <v>0</v>
      </c>
      <c r="DU1065" s="37">
        <v>0</v>
      </c>
      <c r="DV1065" s="37">
        <v>0</v>
      </c>
      <c r="DW1065" s="37">
        <v>0</v>
      </c>
      <c r="DX1065" s="37">
        <v>0</v>
      </c>
      <c r="DY1065" s="37">
        <v>0</v>
      </c>
      <c r="DZ1065" s="37">
        <v>0</v>
      </c>
      <c r="EA1065" s="37">
        <v>0</v>
      </c>
      <c r="EB1065" s="37">
        <v>0</v>
      </c>
      <c r="EC1065" s="37">
        <v>0</v>
      </c>
      <c r="ED1065" s="37">
        <v>0</v>
      </c>
      <c r="EE1065" s="37">
        <v>0</v>
      </c>
      <c r="EF1065" s="37">
        <v>0</v>
      </c>
      <c r="EG1065" s="37">
        <v>0</v>
      </c>
      <c r="EH1065" s="37">
        <v>0</v>
      </c>
      <c r="EI1065" s="37">
        <v>0</v>
      </c>
      <c r="EJ1065" s="37">
        <v>0</v>
      </c>
      <c r="EK1065" s="161" t="s">
        <v>3569</v>
      </c>
      <c r="EL1065" s="294" t="s">
        <v>1124</v>
      </c>
    </row>
    <row r="1066" spans="1:142" ht="15" customHeight="1" x14ac:dyDescent="0.35">
      <c r="A1066" s="34"/>
      <c r="B1066" s="313">
        <v>39025</v>
      </c>
      <c r="C1066" s="8" t="s">
        <v>341</v>
      </c>
      <c r="D1066" s="18">
        <v>17</v>
      </c>
      <c r="E1066" s="155"/>
      <c r="F1066" s="36"/>
      <c r="G1066" s="37"/>
      <c r="H1066" s="37"/>
      <c r="I1066" s="37"/>
      <c r="J1066" s="37"/>
      <c r="K1066" s="37"/>
      <c r="L1066" s="37"/>
      <c r="M1066" s="37" t="s">
        <v>1124</v>
      </c>
      <c r="N1066" s="37" t="s">
        <v>1124</v>
      </c>
      <c r="O1066" s="37"/>
      <c r="P1066" s="37"/>
      <c r="Q1066" s="37"/>
      <c r="R1066" s="37"/>
      <c r="S1066" s="37"/>
      <c r="T1066" s="37"/>
      <c r="U1066" s="37"/>
      <c r="V1066" s="37"/>
      <c r="W1066" s="37"/>
      <c r="X1066" s="37"/>
      <c r="Y1066" s="37"/>
      <c r="Z1066" s="37"/>
      <c r="AA1066" s="37" t="s">
        <v>1124</v>
      </c>
      <c r="AB1066" s="37" t="s">
        <v>1124</v>
      </c>
      <c r="AC1066" s="37"/>
      <c r="AD1066" s="37"/>
      <c r="AE1066" s="37"/>
      <c r="AF1066" s="168"/>
      <c r="AG1066" s="37"/>
      <c r="AH1066" s="37"/>
      <c r="AI1066" s="37"/>
      <c r="AJ1066" s="37"/>
      <c r="AK1066" s="37"/>
      <c r="AL1066" s="37"/>
      <c r="AM1066" s="37"/>
      <c r="AN1066" s="37"/>
      <c r="AO1066" s="37"/>
      <c r="AP1066" s="37"/>
      <c r="AQ1066" s="37"/>
      <c r="AR1066" s="37" t="s">
        <v>1124</v>
      </c>
      <c r="AS1066" s="37"/>
      <c r="AT1066" s="37"/>
      <c r="AU1066" s="37"/>
      <c r="AV1066" s="37"/>
      <c r="AW1066" s="37"/>
      <c r="AX1066" s="37"/>
      <c r="AY1066" s="37"/>
      <c r="AZ1066" s="37"/>
      <c r="BA1066" s="37"/>
      <c r="BB1066" s="37"/>
      <c r="BC1066" s="37"/>
      <c r="BD1066" s="37" t="s">
        <v>1124</v>
      </c>
      <c r="BE1066" s="37"/>
      <c r="BF1066" s="37"/>
      <c r="BG1066" s="37"/>
      <c r="BH1066" s="37"/>
      <c r="BI1066" s="37"/>
      <c r="BJ1066" s="37"/>
      <c r="BK1066" s="37"/>
      <c r="BL1066" s="37"/>
      <c r="BM1066" s="37"/>
      <c r="BN1066" s="37"/>
      <c r="BO1066" s="37"/>
      <c r="BP1066" s="37">
        <v>0</v>
      </c>
      <c r="BQ1066" s="37"/>
      <c r="BR1066" s="37"/>
      <c r="BS1066" s="37"/>
      <c r="BT1066" s="37"/>
      <c r="BU1066" s="37"/>
      <c r="BV1066" s="37"/>
      <c r="BW1066" s="37"/>
      <c r="BX1066" s="37"/>
      <c r="BY1066" s="37"/>
      <c r="BZ1066" s="37"/>
      <c r="CA1066" s="37"/>
      <c r="CB1066" s="37" t="s">
        <v>1124</v>
      </c>
      <c r="CC1066" s="37"/>
      <c r="CD1066" s="37"/>
      <c r="CE1066" s="37"/>
      <c r="CF1066" s="37"/>
      <c r="CG1066" s="37"/>
      <c r="CH1066" s="37"/>
      <c r="CI1066" s="37"/>
      <c r="CJ1066" s="37"/>
      <c r="CK1066" s="37"/>
      <c r="CL1066" s="37"/>
      <c r="CM1066" s="37"/>
      <c r="CN1066" s="37" t="s">
        <v>1124</v>
      </c>
      <c r="CO1066" s="37"/>
      <c r="CP1066" s="37"/>
      <c r="CQ1066" s="37"/>
      <c r="CR1066" s="37"/>
      <c r="CS1066" s="37"/>
      <c r="CT1066" s="37"/>
      <c r="CU1066" s="37"/>
      <c r="CV1066" s="37"/>
      <c r="CW1066" s="37"/>
      <c r="CX1066" s="37"/>
      <c r="CY1066" s="37"/>
      <c r="CZ1066" s="37" t="s">
        <v>1124</v>
      </c>
      <c r="DA1066" s="37"/>
      <c r="DB1066" s="37"/>
      <c r="DC1066" s="37"/>
      <c r="DD1066" s="37"/>
      <c r="DE1066" s="37"/>
      <c r="DF1066" s="37"/>
      <c r="DG1066" s="37"/>
      <c r="DH1066" s="37"/>
      <c r="DI1066" s="37"/>
      <c r="DJ1066" s="37"/>
      <c r="DK1066" s="37"/>
      <c r="DL1066" s="37" t="s">
        <v>1124</v>
      </c>
      <c r="DM1066" s="37"/>
      <c r="DN1066" s="37"/>
      <c r="DO1066" s="37"/>
      <c r="DP1066" s="37"/>
      <c r="DQ1066" s="37"/>
      <c r="DR1066" s="37"/>
      <c r="DS1066" s="37"/>
      <c r="DT1066" s="37"/>
      <c r="DU1066" s="37"/>
      <c r="DV1066" s="37"/>
      <c r="DW1066" s="37"/>
      <c r="DX1066" s="37" t="s">
        <v>1124</v>
      </c>
      <c r="DY1066" s="37"/>
      <c r="DZ1066" s="37"/>
      <c r="EA1066" s="37"/>
      <c r="EB1066" s="37"/>
      <c r="EC1066" s="37"/>
      <c r="ED1066" s="37"/>
      <c r="EE1066" s="37"/>
      <c r="EF1066" s="37"/>
      <c r="EG1066" s="37"/>
      <c r="EH1066" s="37"/>
      <c r="EI1066" s="37"/>
      <c r="EJ1066" s="37" t="s">
        <v>1124</v>
      </c>
      <c r="EK1066" s="161"/>
      <c r="EL1066" s="294"/>
    </row>
    <row r="1067" spans="1:142" ht="15" customHeight="1" x14ac:dyDescent="0.35">
      <c r="A1067" s="34"/>
      <c r="B1067" s="313">
        <v>17035</v>
      </c>
      <c r="C1067" s="8" t="s">
        <v>96</v>
      </c>
      <c r="D1067" s="18">
        <v>12</v>
      </c>
      <c r="E1067" s="155">
        <v>66124</v>
      </c>
      <c r="F1067" s="36">
        <v>67145</v>
      </c>
      <c r="G1067" s="37">
        <v>6858</v>
      </c>
      <c r="H1067" s="37">
        <v>0</v>
      </c>
      <c r="I1067" s="37">
        <v>16500</v>
      </c>
      <c r="J1067" s="37">
        <v>0</v>
      </c>
      <c r="K1067" s="37">
        <v>3306</v>
      </c>
      <c r="L1067" s="37">
        <v>3357</v>
      </c>
      <c r="M1067" s="37">
        <v>92788</v>
      </c>
      <c r="N1067" s="37">
        <v>70502</v>
      </c>
      <c r="O1067" s="37">
        <v>0</v>
      </c>
      <c r="P1067" s="37">
        <v>0</v>
      </c>
      <c r="Q1067" s="37">
        <v>77792</v>
      </c>
      <c r="R1067" s="37">
        <v>30122</v>
      </c>
      <c r="S1067" s="37">
        <v>0</v>
      </c>
      <c r="T1067" s="37">
        <v>50</v>
      </c>
      <c r="U1067" s="37">
        <v>0</v>
      </c>
      <c r="V1067" s="37">
        <v>0</v>
      </c>
      <c r="W1067" s="37">
        <v>27663</v>
      </c>
      <c r="X1067" s="37">
        <v>27663</v>
      </c>
      <c r="Y1067" s="37">
        <v>0</v>
      </c>
      <c r="Z1067" s="37">
        <v>0</v>
      </c>
      <c r="AA1067" s="37">
        <v>105455</v>
      </c>
      <c r="AB1067" s="37">
        <v>57835</v>
      </c>
      <c r="AC1067" s="37">
        <v>0</v>
      </c>
      <c r="AD1067" s="37">
        <v>0</v>
      </c>
      <c r="AE1067" s="37">
        <v>0</v>
      </c>
      <c r="AF1067" s="168">
        <v>0.02</v>
      </c>
      <c r="AG1067" s="37">
        <v>16595495.720000001</v>
      </c>
      <c r="AH1067" s="37">
        <v>146171.85</v>
      </c>
      <c r="AI1067" s="37">
        <v>236114.35</v>
      </c>
      <c r="AJ1067" s="37">
        <v>134758.28</v>
      </c>
      <c r="AK1067" s="37">
        <v>137453.45000000001</v>
      </c>
      <c r="AL1067" s="37">
        <v>140202.51999999999</v>
      </c>
      <c r="AM1067" s="37">
        <v>143006.57</v>
      </c>
      <c r="AN1067" s="37">
        <v>145866.70000000001</v>
      </c>
      <c r="AO1067" s="37">
        <v>148784.03</v>
      </c>
      <c r="AP1067" s="37">
        <v>151759.71</v>
      </c>
      <c r="AQ1067" s="37">
        <v>154794.91</v>
      </c>
      <c r="AR1067" s="37">
        <v>1538912.3700000003</v>
      </c>
      <c r="AS1067" s="37">
        <v>317651.05</v>
      </c>
      <c r="AT1067" s="37">
        <v>0</v>
      </c>
      <c r="AU1067" s="37">
        <v>0</v>
      </c>
      <c r="AV1067" s="37">
        <v>0</v>
      </c>
      <c r="AW1067" s="37">
        <v>0</v>
      </c>
      <c r="AX1067" s="37">
        <v>0</v>
      </c>
      <c r="AY1067" s="37">
        <v>0</v>
      </c>
      <c r="AZ1067" s="37">
        <v>0</v>
      </c>
      <c r="BA1067" s="37">
        <v>0</v>
      </c>
      <c r="BB1067" s="37">
        <v>0</v>
      </c>
      <c r="BC1067" s="37">
        <v>0</v>
      </c>
      <c r="BD1067" s="37">
        <v>0</v>
      </c>
      <c r="BE1067" s="37">
        <v>0</v>
      </c>
      <c r="BF1067" s="37">
        <v>255756</v>
      </c>
      <c r="BG1067" s="37">
        <v>243403</v>
      </c>
      <c r="BH1067" s="37">
        <v>0</v>
      </c>
      <c r="BI1067" s="37">
        <v>0</v>
      </c>
      <c r="BJ1067" s="37">
        <v>15236.526522814169</v>
      </c>
      <c r="BK1067" s="37">
        <v>73781.240045184182</v>
      </c>
      <c r="BL1067" s="37">
        <v>95949.917699163052</v>
      </c>
      <c r="BM1067" s="37">
        <v>118118.59535314188</v>
      </c>
      <c r="BN1067" s="37">
        <v>140287.32037969673</v>
      </c>
      <c r="BO1067" s="37">
        <v>0</v>
      </c>
      <c r="BP1067" s="37">
        <v>942532.6</v>
      </c>
      <c r="BQ1067" s="37">
        <v>0</v>
      </c>
      <c r="BR1067" s="37">
        <v>52385</v>
      </c>
      <c r="BS1067" s="37">
        <v>49855</v>
      </c>
      <c r="BT1067" s="37">
        <v>0</v>
      </c>
      <c r="BU1067" s="37">
        <v>0</v>
      </c>
      <c r="BV1067" s="37">
        <v>3010.372569315181</v>
      </c>
      <c r="BW1067" s="37">
        <v>14577.405213026068</v>
      </c>
      <c r="BX1067" s="37">
        <v>18957.404749508503</v>
      </c>
      <c r="BY1067" s="37">
        <v>23337.404285990928</v>
      </c>
      <c r="BZ1067" s="37">
        <v>27717.413182159322</v>
      </c>
      <c r="CA1067" s="37">
        <v>0</v>
      </c>
      <c r="CB1067" s="37">
        <v>189840</v>
      </c>
      <c r="CC1067" s="37">
        <v>0</v>
      </c>
      <c r="CD1067" s="37">
        <v>0</v>
      </c>
      <c r="CE1067" s="37">
        <v>0</v>
      </c>
      <c r="CF1067" s="37">
        <v>0</v>
      </c>
      <c r="CG1067" s="37">
        <v>0</v>
      </c>
      <c r="CH1067" s="37">
        <v>0</v>
      </c>
      <c r="CI1067" s="37">
        <v>0</v>
      </c>
      <c r="CJ1067" s="37">
        <v>0</v>
      </c>
      <c r="CK1067" s="37">
        <v>0</v>
      </c>
      <c r="CL1067" s="37">
        <v>0</v>
      </c>
      <c r="CM1067" s="37">
        <v>0</v>
      </c>
      <c r="CN1067" s="37">
        <v>0</v>
      </c>
      <c r="CO1067" s="37">
        <v>0</v>
      </c>
      <c r="CP1067" s="37">
        <v>0</v>
      </c>
      <c r="CQ1067" s="37">
        <v>0</v>
      </c>
      <c r="CR1067" s="37">
        <v>0</v>
      </c>
      <c r="CS1067" s="37">
        <v>0</v>
      </c>
      <c r="CT1067" s="37">
        <v>0</v>
      </c>
      <c r="CU1067" s="37">
        <v>0</v>
      </c>
      <c r="CV1067" s="37">
        <v>0</v>
      </c>
      <c r="CW1067" s="37">
        <v>0</v>
      </c>
      <c r="CX1067" s="37">
        <v>0</v>
      </c>
      <c r="CY1067" s="37">
        <v>0</v>
      </c>
      <c r="CZ1067" s="37">
        <v>0</v>
      </c>
      <c r="DA1067" s="37">
        <v>0</v>
      </c>
      <c r="DB1067" s="37">
        <v>0</v>
      </c>
      <c r="DC1067" s="37">
        <v>0</v>
      </c>
      <c r="DD1067" s="37">
        <v>0</v>
      </c>
      <c r="DE1067" s="37">
        <v>0</v>
      </c>
      <c r="DF1067" s="37">
        <v>0</v>
      </c>
      <c r="DG1067" s="37">
        <v>0</v>
      </c>
      <c r="DH1067" s="37">
        <v>0</v>
      </c>
      <c r="DI1067" s="37">
        <v>0</v>
      </c>
      <c r="DJ1067" s="37">
        <v>0</v>
      </c>
      <c r="DK1067" s="37">
        <v>0</v>
      </c>
      <c r="DL1067" s="37">
        <v>0</v>
      </c>
      <c r="DM1067" s="37">
        <v>0</v>
      </c>
      <c r="DN1067" s="37">
        <v>0</v>
      </c>
      <c r="DO1067" s="37">
        <v>0</v>
      </c>
      <c r="DP1067" s="37">
        <v>0</v>
      </c>
      <c r="DQ1067" s="37">
        <v>0</v>
      </c>
      <c r="DR1067" s="37">
        <v>0</v>
      </c>
      <c r="DS1067" s="37">
        <v>0</v>
      </c>
      <c r="DT1067" s="37">
        <v>0</v>
      </c>
      <c r="DU1067" s="37">
        <v>0</v>
      </c>
      <c r="DV1067" s="37">
        <v>0</v>
      </c>
      <c r="DW1067" s="37">
        <v>0</v>
      </c>
      <c r="DX1067" s="37">
        <v>0</v>
      </c>
      <c r="DY1067" s="37">
        <v>0</v>
      </c>
      <c r="DZ1067" s="37">
        <v>0</v>
      </c>
      <c r="EA1067" s="37">
        <v>0</v>
      </c>
      <c r="EB1067" s="37">
        <v>0</v>
      </c>
      <c r="EC1067" s="37">
        <v>0</v>
      </c>
      <c r="ED1067" s="37">
        <v>0</v>
      </c>
      <c r="EE1067" s="37">
        <v>0</v>
      </c>
      <c r="EF1067" s="37">
        <v>0</v>
      </c>
      <c r="EG1067" s="37">
        <v>0</v>
      </c>
      <c r="EH1067" s="37">
        <v>0</v>
      </c>
      <c r="EI1067" s="37">
        <v>0</v>
      </c>
      <c r="EJ1067" s="37">
        <v>0</v>
      </c>
      <c r="EK1067" s="161" t="s">
        <v>3572</v>
      </c>
      <c r="EL1067" s="294" t="s">
        <v>1124</v>
      </c>
    </row>
    <row r="1068" spans="1:142" ht="15" customHeight="1" x14ac:dyDescent="0.35">
      <c r="A1068" s="34"/>
      <c r="B1068" s="313">
        <v>88075</v>
      </c>
      <c r="C1068" s="8" t="s">
        <v>924</v>
      </c>
      <c r="D1068" s="18">
        <v>8</v>
      </c>
      <c r="E1068" s="155"/>
      <c r="F1068" s="36"/>
      <c r="G1068" s="37"/>
      <c r="H1068" s="37"/>
      <c r="I1068" s="37"/>
      <c r="J1068" s="37"/>
      <c r="K1068" s="37"/>
      <c r="L1068" s="37"/>
      <c r="M1068" s="37" t="s">
        <v>1124</v>
      </c>
      <c r="N1068" s="37" t="s">
        <v>1124</v>
      </c>
      <c r="O1068" s="37"/>
      <c r="P1068" s="37"/>
      <c r="Q1068" s="37"/>
      <c r="R1068" s="37"/>
      <c r="S1068" s="37"/>
      <c r="T1068" s="37"/>
      <c r="U1068" s="37"/>
      <c r="V1068" s="37"/>
      <c r="W1068" s="37"/>
      <c r="X1068" s="37"/>
      <c r="Y1068" s="37"/>
      <c r="Z1068" s="37"/>
      <c r="AA1068" s="37" t="s">
        <v>1124</v>
      </c>
      <c r="AB1068" s="37" t="s">
        <v>1124</v>
      </c>
      <c r="AC1068" s="37"/>
      <c r="AD1068" s="37"/>
      <c r="AE1068" s="37"/>
      <c r="AF1068" s="168"/>
      <c r="AG1068" s="37"/>
      <c r="AH1068" s="37"/>
      <c r="AI1068" s="37"/>
      <c r="AJ1068" s="37"/>
      <c r="AK1068" s="37"/>
      <c r="AL1068" s="37"/>
      <c r="AM1068" s="37"/>
      <c r="AN1068" s="37"/>
      <c r="AO1068" s="37"/>
      <c r="AP1068" s="37"/>
      <c r="AQ1068" s="37"/>
      <c r="AR1068" s="37" t="s">
        <v>1124</v>
      </c>
      <c r="AS1068" s="37"/>
      <c r="AT1068" s="37"/>
      <c r="AU1068" s="37"/>
      <c r="AV1068" s="37"/>
      <c r="AW1068" s="37"/>
      <c r="AX1068" s="37"/>
      <c r="AY1068" s="37"/>
      <c r="AZ1068" s="37"/>
      <c r="BA1068" s="37"/>
      <c r="BB1068" s="37"/>
      <c r="BC1068" s="37"/>
      <c r="BD1068" s="37" t="s">
        <v>1124</v>
      </c>
      <c r="BE1068" s="37"/>
      <c r="BF1068" s="37"/>
      <c r="BG1068" s="37"/>
      <c r="BH1068" s="37"/>
      <c r="BI1068" s="37"/>
      <c r="BJ1068" s="37"/>
      <c r="BK1068" s="37"/>
      <c r="BL1068" s="37"/>
      <c r="BM1068" s="37"/>
      <c r="BN1068" s="37"/>
      <c r="BO1068" s="37"/>
      <c r="BP1068" s="37">
        <v>0</v>
      </c>
      <c r="BQ1068" s="37"/>
      <c r="BR1068" s="37"/>
      <c r="BS1068" s="37"/>
      <c r="BT1068" s="37"/>
      <c r="BU1068" s="37"/>
      <c r="BV1068" s="37"/>
      <c r="BW1068" s="37"/>
      <c r="BX1068" s="37"/>
      <c r="BY1068" s="37"/>
      <c r="BZ1068" s="37"/>
      <c r="CA1068" s="37"/>
      <c r="CB1068" s="37" t="s">
        <v>1124</v>
      </c>
      <c r="CC1068" s="37"/>
      <c r="CD1068" s="37"/>
      <c r="CE1068" s="37"/>
      <c r="CF1068" s="37"/>
      <c r="CG1068" s="37"/>
      <c r="CH1068" s="37"/>
      <c r="CI1068" s="37"/>
      <c r="CJ1068" s="37"/>
      <c r="CK1068" s="37"/>
      <c r="CL1068" s="37"/>
      <c r="CM1068" s="37"/>
      <c r="CN1068" s="37" t="s">
        <v>1124</v>
      </c>
      <c r="CO1068" s="37"/>
      <c r="CP1068" s="37"/>
      <c r="CQ1068" s="37"/>
      <c r="CR1068" s="37"/>
      <c r="CS1068" s="37"/>
      <c r="CT1068" s="37"/>
      <c r="CU1068" s="37"/>
      <c r="CV1068" s="37"/>
      <c r="CW1068" s="37"/>
      <c r="CX1068" s="37"/>
      <c r="CY1068" s="37"/>
      <c r="CZ1068" s="37" t="s">
        <v>1124</v>
      </c>
      <c r="DA1068" s="37"/>
      <c r="DB1068" s="37"/>
      <c r="DC1068" s="37"/>
      <c r="DD1068" s="37"/>
      <c r="DE1068" s="37"/>
      <c r="DF1068" s="37"/>
      <c r="DG1068" s="37"/>
      <c r="DH1068" s="37"/>
      <c r="DI1068" s="37"/>
      <c r="DJ1068" s="37"/>
      <c r="DK1068" s="37"/>
      <c r="DL1068" s="37" t="s">
        <v>1124</v>
      </c>
      <c r="DM1068" s="37"/>
      <c r="DN1068" s="37"/>
      <c r="DO1068" s="37"/>
      <c r="DP1068" s="37"/>
      <c r="DQ1068" s="37"/>
      <c r="DR1068" s="37"/>
      <c r="DS1068" s="37"/>
      <c r="DT1068" s="37"/>
      <c r="DU1068" s="37"/>
      <c r="DV1068" s="37"/>
      <c r="DW1068" s="37"/>
      <c r="DX1068" s="37" t="s">
        <v>1124</v>
      </c>
      <c r="DY1068" s="37"/>
      <c r="DZ1068" s="37"/>
      <c r="EA1068" s="37"/>
      <c r="EB1068" s="37"/>
      <c r="EC1068" s="37"/>
      <c r="ED1068" s="37"/>
      <c r="EE1068" s="37"/>
      <c r="EF1068" s="37"/>
      <c r="EG1068" s="37"/>
      <c r="EH1068" s="37"/>
      <c r="EI1068" s="37"/>
      <c r="EJ1068" s="37" t="s">
        <v>1124</v>
      </c>
      <c r="EK1068" s="161"/>
      <c r="EL1068" s="294"/>
    </row>
    <row r="1069" spans="1:142" ht="15" customHeight="1" x14ac:dyDescent="0.35">
      <c r="A1069" s="34"/>
      <c r="B1069" s="313">
        <v>71125</v>
      </c>
      <c r="C1069" s="8" t="s">
        <v>724</v>
      </c>
      <c r="D1069" s="18">
        <v>16</v>
      </c>
      <c r="E1069" s="155"/>
      <c r="F1069" s="36"/>
      <c r="G1069" s="37"/>
      <c r="H1069" s="37"/>
      <c r="I1069" s="37"/>
      <c r="J1069" s="37"/>
      <c r="K1069" s="37"/>
      <c r="L1069" s="37"/>
      <c r="M1069" s="37" t="s">
        <v>1124</v>
      </c>
      <c r="N1069" s="37" t="s">
        <v>1124</v>
      </c>
      <c r="O1069" s="37"/>
      <c r="P1069" s="37"/>
      <c r="Q1069" s="37"/>
      <c r="R1069" s="37"/>
      <c r="S1069" s="37"/>
      <c r="T1069" s="37"/>
      <c r="U1069" s="37"/>
      <c r="V1069" s="37"/>
      <c r="W1069" s="37"/>
      <c r="X1069" s="37"/>
      <c r="Y1069" s="37"/>
      <c r="Z1069" s="37"/>
      <c r="AA1069" s="37" t="s">
        <v>1124</v>
      </c>
      <c r="AB1069" s="37" t="s">
        <v>1124</v>
      </c>
      <c r="AC1069" s="37"/>
      <c r="AD1069" s="37"/>
      <c r="AE1069" s="37"/>
      <c r="AF1069" s="168"/>
      <c r="AG1069" s="37"/>
      <c r="AH1069" s="37"/>
      <c r="AI1069" s="37"/>
      <c r="AJ1069" s="37"/>
      <c r="AK1069" s="37"/>
      <c r="AL1069" s="37"/>
      <c r="AM1069" s="37"/>
      <c r="AN1069" s="37"/>
      <c r="AO1069" s="37"/>
      <c r="AP1069" s="37"/>
      <c r="AQ1069" s="37"/>
      <c r="AR1069" s="37" t="s">
        <v>1124</v>
      </c>
      <c r="AS1069" s="37"/>
      <c r="AT1069" s="37"/>
      <c r="AU1069" s="37"/>
      <c r="AV1069" s="37"/>
      <c r="AW1069" s="37"/>
      <c r="AX1069" s="37"/>
      <c r="AY1069" s="37"/>
      <c r="AZ1069" s="37"/>
      <c r="BA1069" s="37"/>
      <c r="BB1069" s="37"/>
      <c r="BC1069" s="37"/>
      <c r="BD1069" s="37" t="s">
        <v>1124</v>
      </c>
      <c r="BE1069" s="37"/>
      <c r="BF1069" s="37"/>
      <c r="BG1069" s="37"/>
      <c r="BH1069" s="37"/>
      <c r="BI1069" s="37"/>
      <c r="BJ1069" s="37"/>
      <c r="BK1069" s="37"/>
      <c r="BL1069" s="37"/>
      <c r="BM1069" s="37"/>
      <c r="BN1069" s="37"/>
      <c r="BO1069" s="37"/>
      <c r="BP1069" s="37">
        <v>0</v>
      </c>
      <c r="BQ1069" s="37"/>
      <c r="BR1069" s="37"/>
      <c r="BS1069" s="37"/>
      <c r="BT1069" s="37"/>
      <c r="BU1069" s="37"/>
      <c r="BV1069" s="37"/>
      <c r="BW1069" s="37"/>
      <c r="BX1069" s="37"/>
      <c r="BY1069" s="37"/>
      <c r="BZ1069" s="37"/>
      <c r="CA1069" s="37"/>
      <c r="CB1069" s="37" t="s">
        <v>1124</v>
      </c>
      <c r="CC1069" s="37"/>
      <c r="CD1069" s="37"/>
      <c r="CE1069" s="37"/>
      <c r="CF1069" s="37"/>
      <c r="CG1069" s="37"/>
      <c r="CH1069" s="37"/>
      <c r="CI1069" s="37"/>
      <c r="CJ1069" s="37"/>
      <c r="CK1069" s="37"/>
      <c r="CL1069" s="37"/>
      <c r="CM1069" s="37"/>
      <c r="CN1069" s="37" t="s">
        <v>1124</v>
      </c>
      <c r="CO1069" s="37"/>
      <c r="CP1069" s="37"/>
      <c r="CQ1069" s="37"/>
      <c r="CR1069" s="37"/>
      <c r="CS1069" s="37"/>
      <c r="CT1069" s="37"/>
      <c r="CU1069" s="37"/>
      <c r="CV1069" s="37"/>
      <c r="CW1069" s="37"/>
      <c r="CX1069" s="37"/>
      <c r="CY1069" s="37"/>
      <c r="CZ1069" s="37" t="s">
        <v>1124</v>
      </c>
      <c r="DA1069" s="37"/>
      <c r="DB1069" s="37"/>
      <c r="DC1069" s="37"/>
      <c r="DD1069" s="37"/>
      <c r="DE1069" s="37"/>
      <c r="DF1069" s="37"/>
      <c r="DG1069" s="37"/>
      <c r="DH1069" s="37"/>
      <c r="DI1069" s="37"/>
      <c r="DJ1069" s="37"/>
      <c r="DK1069" s="37"/>
      <c r="DL1069" s="37" t="s">
        <v>1124</v>
      </c>
      <c r="DM1069" s="37"/>
      <c r="DN1069" s="37"/>
      <c r="DO1069" s="37"/>
      <c r="DP1069" s="37"/>
      <c r="DQ1069" s="37"/>
      <c r="DR1069" s="37"/>
      <c r="DS1069" s="37"/>
      <c r="DT1069" s="37"/>
      <c r="DU1069" s="37"/>
      <c r="DV1069" s="37"/>
      <c r="DW1069" s="37"/>
      <c r="DX1069" s="37" t="s">
        <v>1124</v>
      </c>
      <c r="DY1069" s="37"/>
      <c r="DZ1069" s="37"/>
      <c r="EA1069" s="37"/>
      <c r="EB1069" s="37"/>
      <c r="EC1069" s="37"/>
      <c r="ED1069" s="37"/>
      <c r="EE1069" s="37"/>
      <c r="EF1069" s="37"/>
      <c r="EG1069" s="37"/>
      <c r="EH1069" s="37"/>
      <c r="EI1069" s="37"/>
      <c r="EJ1069" s="37" t="s">
        <v>1124</v>
      </c>
      <c r="EK1069" s="161"/>
      <c r="EL1069" s="294"/>
    </row>
    <row r="1070" spans="1:142" ht="15" customHeight="1" x14ac:dyDescent="0.35">
      <c r="A1070" s="34"/>
      <c r="B1070" s="313">
        <v>69030</v>
      </c>
      <c r="C1070" s="8" t="s">
        <v>688</v>
      </c>
      <c r="D1070" s="18">
        <v>16</v>
      </c>
      <c r="E1070" s="155"/>
      <c r="F1070" s="36"/>
      <c r="G1070" s="37"/>
      <c r="H1070" s="37"/>
      <c r="I1070" s="37"/>
      <c r="J1070" s="37"/>
      <c r="K1070" s="37"/>
      <c r="L1070" s="37"/>
      <c r="M1070" s="37" t="s">
        <v>1124</v>
      </c>
      <c r="N1070" s="37" t="s">
        <v>1124</v>
      </c>
      <c r="O1070" s="37"/>
      <c r="P1070" s="37"/>
      <c r="Q1070" s="37"/>
      <c r="R1070" s="37"/>
      <c r="S1070" s="37"/>
      <c r="T1070" s="37"/>
      <c r="U1070" s="37"/>
      <c r="V1070" s="37"/>
      <c r="W1070" s="37"/>
      <c r="X1070" s="37"/>
      <c r="Y1070" s="37"/>
      <c r="Z1070" s="37"/>
      <c r="AA1070" s="37" t="s">
        <v>1124</v>
      </c>
      <c r="AB1070" s="37" t="s">
        <v>1124</v>
      </c>
      <c r="AC1070" s="37"/>
      <c r="AD1070" s="37"/>
      <c r="AE1070" s="37"/>
      <c r="AF1070" s="168"/>
      <c r="AG1070" s="37"/>
      <c r="AH1070" s="37"/>
      <c r="AI1070" s="37"/>
      <c r="AJ1070" s="37"/>
      <c r="AK1070" s="37"/>
      <c r="AL1070" s="37"/>
      <c r="AM1070" s="37"/>
      <c r="AN1070" s="37"/>
      <c r="AO1070" s="37"/>
      <c r="AP1070" s="37"/>
      <c r="AQ1070" s="37"/>
      <c r="AR1070" s="37" t="s">
        <v>1124</v>
      </c>
      <c r="AS1070" s="37"/>
      <c r="AT1070" s="37"/>
      <c r="AU1070" s="37"/>
      <c r="AV1070" s="37"/>
      <c r="AW1070" s="37"/>
      <c r="AX1070" s="37"/>
      <c r="AY1070" s="37"/>
      <c r="AZ1070" s="37"/>
      <c r="BA1070" s="37"/>
      <c r="BB1070" s="37"/>
      <c r="BC1070" s="37"/>
      <c r="BD1070" s="37" t="s">
        <v>1124</v>
      </c>
      <c r="BE1070" s="37"/>
      <c r="BF1070" s="37"/>
      <c r="BG1070" s="37"/>
      <c r="BH1070" s="37"/>
      <c r="BI1070" s="37"/>
      <c r="BJ1070" s="37"/>
      <c r="BK1070" s="37"/>
      <c r="BL1070" s="37"/>
      <c r="BM1070" s="37"/>
      <c r="BN1070" s="37"/>
      <c r="BO1070" s="37"/>
      <c r="BP1070" s="37">
        <v>0</v>
      </c>
      <c r="BQ1070" s="37"/>
      <c r="BR1070" s="37"/>
      <c r="BS1070" s="37"/>
      <c r="BT1070" s="37"/>
      <c r="BU1070" s="37"/>
      <c r="BV1070" s="37"/>
      <c r="BW1070" s="37"/>
      <c r="BX1070" s="37"/>
      <c r="BY1070" s="37"/>
      <c r="BZ1070" s="37"/>
      <c r="CA1070" s="37"/>
      <c r="CB1070" s="37" t="s">
        <v>1124</v>
      </c>
      <c r="CC1070" s="37"/>
      <c r="CD1070" s="37"/>
      <c r="CE1070" s="37"/>
      <c r="CF1070" s="37"/>
      <c r="CG1070" s="37"/>
      <c r="CH1070" s="37"/>
      <c r="CI1070" s="37"/>
      <c r="CJ1070" s="37"/>
      <c r="CK1070" s="37"/>
      <c r="CL1070" s="37"/>
      <c r="CM1070" s="37"/>
      <c r="CN1070" s="37" t="s">
        <v>1124</v>
      </c>
      <c r="CO1070" s="37"/>
      <c r="CP1070" s="37"/>
      <c r="CQ1070" s="37"/>
      <c r="CR1070" s="37"/>
      <c r="CS1070" s="37"/>
      <c r="CT1070" s="37"/>
      <c r="CU1070" s="37"/>
      <c r="CV1070" s="37"/>
      <c r="CW1070" s="37"/>
      <c r="CX1070" s="37"/>
      <c r="CY1070" s="37"/>
      <c r="CZ1070" s="37" t="s">
        <v>1124</v>
      </c>
      <c r="DA1070" s="37"/>
      <c r="DB1070" s="37"/>
      <c r="DC1070" s="37"/>
      <c r="DD1070" s="37"/>
      <c r="DE1070" s="37"/>
      <c r="DF1070" s="37"/>
      <c r="DG1070" s="37"/>
      <c r="DH1070" s="37"/>
      <c r="DI1070" s="37"/>
      <c r="DJ1070" s="37"/>
      <c r="DK1070" s="37"/>
      <c r="DL1070" s="37" t="s">
        <v>1124</v>
      </c>
      <c r="DM1070" s="37"/>
      <c r="DN1070" s="37"/>
      <c r="DO1070" s="37"/>
      <c r="DP1070" s="37"/>
      <c r="DQ1070" s="37"/>
      <c r="DR1070" s="37"/>
      <c r="DS1070" s="37"/>
      <c r="DT1070" s="37"/>
      <c r="DU1070" s="37"/>
      <c r="DV1070" s="37"/>
      <c r="DW1070" s="37"/>
      <c r="DX1070" s="37" t="s">
        <v>1124</v>
      </c>
      <c r="DY1070" s="37"/>
      <c r="DZ1070" s="37"/>
      <c r="EA1070" s="37"/>
      <c r="EB1070" s="37"/>
      <c r="EC1070" s="37"/>
      <c r="ED1070" s="37"/>
      <c r="EE1070" s="37"/>
      <c r="EF1070" s="37"/>
      <c r="EG1070" s="37"/>
      <c r="EH1070" s="37"/>
      <c r="EI1070" s="37"/>
      <c r="EJ1070" s="37" t="s">
        <v>1124</v>
      </c>
      <c r="EK1070" s="161"/>
      <c r="EL1070" s="294"/>
    </row>
    <row r="1071" spans="1:142" ht="15" customHeight="1" x14ac:dyDescent="0.35">
      <c r="A1071" s="34"/>
      <c r="B1071" s="313">
        <v>27060</v>
      </c>
      <c r="C1071" s="8" t="s">
        <v>185</v>
      </c>
      <c r="D1071" s="18">
        <v>12</v>
      </c>
      <c r="E1071" s="155">
        <v>162152</v>
      </c>
      <c r="F1071" s="36">
        <v>76434</v>
      </c>
      <c r="G1071" s="37">
        <v>93021</v>
      </c>
      <c r="H1071" s="37">
        <v>0</v>
      </c>
      <c r="I1071" s="37">
        <v>106450.31</v>
      </c>
      <c r="J1071" s="37">
        <v>0</v>
      </c>
      <c r="K1071" s="37">
        <v>24322.799999999999</v>
      </c>
      <c r="L1071" s="37">
        <v>11465.1</v>
      </c>
      <c r="M1071" s="37">
        <v>385946.11</v>
      </c>
      <c r="N1071" s="37">
        <v>87899.1</v>
      </c>
      <c r="O1071" s="37">
        <v>0</v>
      </c>
      <c r="P1071" s="37">
        <v>0</v>
      </c>
      <c r="Q1071" s="37">
        <v>144.13999999999999</v>
      </c>
      <c r="R1071" s="37">
        <v>171.48</v>
      </c>
      <c r="S1071" s="37">
        <v>0</v>
      </c>
      <c r="T1071" s="37">
        <v>3207</v>
      </c>
      <c r="U1071" s="37">
        <v>70765</v>
      </c>
      <c r="V1071" s="37">
        <v>0</v>
      </c>
      <c r="W1071" s="37">
        <v>385801.97</v>
      </c>
      <c r="X1071" s="37">
        <v>84520.62000000001</v>
      </c>
      <c r="Y1071" s="37">
        <v>0</v>
      </c>
      <c r="Z1071" s="37">
        <v>0</v>
      </c>
      <c r="AA1071" s="37">
        <v>456711.11</v>
      </c>
      <c r="AB1071" s="37">
        <v>87899.1</v>
      </c>
      <c r="AC1071" s="37">
        <v>70765</v>
      </c>
      <c r="AD1071" s="37">
        <v>0</v>
      </c>
      <c r="AE1071" s="37">
        <v>39215</v>
      </c>
      <c r="AF1071" s="168">
        <v>0.02</v>
      </c>
      <c r="AG1071" s="37">
        <v>34827322.229999997</v>
      </c>
      <c r="AH1071" s="37">
        <v>2466353.5099999998</v>
      </c>
      <c r="AI1071" s="37">
        <v>2378419.7000000002</v>
      </c>
      <c r="AJ1071" s="37">
        <v>0</v>
      </c>
      <c r="AK1071" s="37">
        <v>0</v>
      </c>
      <c r="AL1071" s="37">
        <v>0</v>
      </c>
      <c r="AM1071" s="37">
        <v>0</v>
      </c>
      <c r="AN1071" s="37">
        <v>0</v>
      </c>
      <c r="AO1071" s="37">
        <v>0</v>
      </c>
      <c r="AP1071" s="37">
        <v>0</v>
      </c>
      <c r="AQ1071" s="37">
        <v>0</v>
      </c>
      <c r="AR1071" s="37">
        <v>4844773.21</v>
      </c>
      <c r="AS1071" s="37">
        <v>2822605.2</v>
      </c>
      <c r="AT1071" s="37">
        <v>0</v>
      </c>
      <c r="AU1071" s="37">
        <v>0</v>
      </c>
      <c r="AV1071" s="37">
        <v>1298918.5900000001</v>
      </c>
      <c r="AW1071" s="37">
        <v>2434498.17</v>
      </c>
      <c r="AX1071" s="37">
        <v>0</v>
      </c>
      <c r="AY1071" s="37">
        <v>0</v>
      </c>
      <c r="AZ1071" s="37">
        <v>0</v>
      </c>
      <c r="BA1071" s="37">
        <v>0</v>
      </c>
      <c r="BB1071" s="37">
        <v>0</v>
      </c>
      <c r="BC1071" s="37">
        <v>0</v>
      </c>
      <c r="BD1071" s="37">
        <v>3733416.76</v>
      </c>
      <c r="BE1071" s="37">
        <v>0</v>
      </c>
      <c r="BF1071" s="37">
        <v>1894440</v>
      </c>
      <c r="BG1071" s="37">
        <v>0</v>
      </c>
      <c r="BH1071" s="37">
        <v>0</v>
      </c>
      <c r="BI1071" s="37">
        <v>0</v>
      </c>
      <c r="BJ1071" s="37">
        <v>600000</v>
      </c>
      <c r="BK1071" s="37">
        <v>0</v>
      </c>
      <c r="BL1071" s="37">
        <v>0</v>
      </c>
      <c r="BM1071" s="37">
        <v>0</v>
      </c>
      <c r="BN1071" s="37">
        <v>0</v>
      </c>
      <c r="BO1071" s="37">
        <v>0</v>
      </c>
      <c r="BP1071" s="37">
        <v>2494440</v>
      </c>
      <c r="BQ1071" s="37">
        <v>0</v>
      </c>
      <c r="BR1071" s="37">
        <v>1237859</v>
      </c>
      <c r="BS1071" s="37">
        <v>0</v>
      </c>
      <c r="BT1071" s="37">
        <v>0</v>
      </c>
      <c r="BU1071" s="37">
        <v>0</v>
      </c>
      <c r="BV1071" s="37">
        <v>400000</v>
      </c>
      <c r="BW1071" s="37">
        <v>0</v>
      </c>
      <c r="BX1071" s="37">
        <v>0</v>
      </c>
      <c r="BY1071" s="37">
        <v>0</v>
      </c>
      <c r="BZ1071" s="37">
        <v>0</v>
      </c>
      <c r="CA1071" s="37">
        <v>0</v>
      </c>
      <c r="CB1071" s="37">
        <v>1637859</v>
      </c>
      <c r="CC1071" s="37">
        <v>0</v>
      </c>
      <c r="CD1071" s="37">
        <v>67000</v>
      </c>
      <c r="CE1071" s="37">
        <v>0</v>
      </c>
      <c r="CF1071" s="37">
        <v>0</v>
      </c>
      <c r="CG1071" s="37">
        <v>0</v>
      </c>
      <c r="CH1071" s="37">
        <v>0</v>
      </c>
      <c r="CI1071" s="37">
        <v>0</v>
      </c>
      <c r="CJ1071" s="37">
        <v>0</v>
      </c>
      <c r="CK1071" s="37">
        <v>0</v>
      </c>
      <c r="CL1071" s="37">
        <v>0</v>
      </c>
      <c r="CM1071" s="37">
        <v>0</v>
      </c>
      <c r="CN1071" s="37">
        <v>67000</v>
      </c>
      <c r="CO1071" s="37">
        <v>0</v>
      </c>
      <c r="CP1071" s="37">
        <v>0</v>
      </c>
      <c r="CQ1071" s="37">
        <v>0</v>
      </c>
      <c r="CR1071" s="37">
        <v>0</v>
      </c>
      <c r="CS1071" s="37">
        <v>0</v>
      </c>
      <c r="CT1071" s="37">
        <v>0</v>
      </c>
      <c r="CU1071" s="37">
        <v>0</v>
      </c>
      <c r="CV1071" s="37">
        <v>0</v>
      </c>
      <c r="CW1071" s="37">
        <v>0</v>
      </c>
      <c r="CX1071" s="37">
        <v>0</v>
      </c>
      <c r="CY1071" s="37">
        <v>0</v>
      </c>
      <c r="CZ1071" s="37">
        <v>0</v>
      </c>
      <c r="DA1071" s="37">
        <v>0</v>
      </c>
      <c r="DB1071" s="37">
        <v>0</v>
      </c>
      <c r="DC1071" s="37">
        <v>0</v>
      </c>
      <c r="DD1071" s="37">
        <v>0</v>
      </c>
      <c r="DE1071" s="37">
        <v>0</v>
      </c>
      <c r="DF1071" s="37">
        <v>0</v>
      </c>
      <c r="DG1071" s="37">
        <v>0</v>
      </c>
      <c r="DH1071" s="37">
        <v>0</v>
      </c>
      <c r="DI1071" s="37">
        <v>0</v>
      </c>
      <c r="DJ1071" s="37">
        <v>0</v>
      </c>
      <c r="DK1071" s="37">
        <v>0</v>
      </c>
      <c r="DL1071" s="37">
        <v>0</v>
      </c>
      <c r="DM1071" s="37">
        <v>0</v>
      </c>
      <c r="DN1071" s="37">
        <v>0</v>
      </c>
      <c r="DO1071" s="37">
        <v>0</v>
      </c>
      <c r="DP1071" s="37">
        <v>0</v>
      </c>
      <c r="DQ1071" s="37">
        <v>0</v>
      </c>
      <c r="DR1071" s="37">
        <v>0</v>
      </c>
      <c r="DS1071" s="37">
        <v>0</v>
      </c>
      <c r="DT1071" s="37">
        <v>0</v>
      </c>
      <c r="DU1071" s="37">
        <v>0</v>
      </c>
      <c r="DV1071" s="37">
        <v>0</v>
      </c>
      <c r="DW1071" s="37">
        <v>0</v>
      </c>
      <c r="DX1071" s="37">
        <v>0</v>
      </c>
      <c r="DY1071" s="37">
        <v>0</v>
      </c>
      <c r="DZ1071" s="37">
        <v>0</v>
      </c>
      <c r="EA1071" s="37">
        <v>0</v>
      </c>
      <c r="EB1071" s="37">
        <v>0</v>
      </c>
      <c r="EC1071" s="37">
        <v>0</v>
      </c>
      <c r="ED1071" s="37">
        <v>0</v>
      </c>
      <c r="EE1071" s="37">
        <v>0</v>
      </c>
      <c r="EF1071" s="37">
        <v>0</v>
      </c>
      <c r="EG1071" s="37">
        <v>0</v>
      </c>
      <c r="EH1071" s="37">
        <v>0</v>
      </c>
      <c r="EI1071" s="37">
        <v>0</v>
      </c>
      <c r="EJ1071" s="37">
        <v>0</v>
      </c>
      <c r="EK1071" s="161" t="s">
        <v>3576</v>
      </c>
      <c r="EL1071" s="294" t="s">
        <v>1124</v>
      </c>
    </row>
    <row r="1072" spans="1:142" ht="15" customHeight="1" x14ac:dyDescent="0.35">
      <c r="A1072" s="34"/>
      <c r="B1072" s="313">
        <v>11040</v>
      </c>
      <c r="C1072" s="8" t="s">
        <v>24</v>
      </c>
      <c r="D1072" s="18">
        <v>1</v>
      </c>
      <c r="E1072" s="155">
        <v>430446</v>
      </c>
      <c r="F1072" s="36">
        <v>198618</v>
      </c>
      <c r="G1072" s="37">
        <v>73632</v>
      </c>
      <c r="H1072" s="37">
        <v>0</v>
      </c>
      <c r="I1072" s="37">
        <v>229248</v>
      </c>
      <c r="J1072" s="37">
        <v>0</v>
      </c>
      <c r="K1072" s="37">
        <v>64567</v>
      </c>
      <c r="L1072" s="37">
        <v>29793</v>
      </c>
      <c r="M1072" s="37">
        <v>797893</v>
      </c>
      <c r="N1072" s="37">
        <v>228411</v>
      </c>
      <c r="O1072" s="37">
        <v>0</v>
      </c>
      <c r="P1072" s="37">
        <v>0</v>
      </c>
      <c r="Q1072" s="37">
        <v>520698</v>
      </c>
      <c r="R1072" s="37">
        <v>230561</v>
      </c>
      <c r="S1072" s="37">
        <v>87130</v>
      </c>
      <c r="T1072" s="37">
        <v>43451</v>
      </c>
      <c r="U1072" s="37">
        <v>0</v>
      </c>
      <c r="V1072" s="37">
        <v>0</v>
      </c>
      <c r="W1072" s="37">
        <v>72232</v>
      </c>
      <c r="X1072" s="37">
        <v>72232</v>
      </c>
      <c r="Y1072" s="37">
        <v>0</v>
      </c>
      <c r="Z1072" s="37">
        <v>0</v>
      </c>
      <c r="AA1072" s="37">
        <v>680060</v>
      </c>
      <c r="AB1072" s="37">
        <v>346244</v>
      </c>
      <c r="AC1072" s="37">
        <v>0</v>
      </c>
      <c r="AD1072" s="37">
        <v>0</v>
      </c>
      <c r="AE1072" s="37">
        <v>125145</v>
      </c>
      <c r="AF1072" s="168">
        <v>0.02</v>
      </c>
      <c r="AG1072" s="37">
        <v>60488270.869999997</v>
      </c>
      <c r="AH1072" s="37">
        <v>526234.31999999995</v>
      </c>
      <c r="AI1072" s="37">
        <v>536759.01</v>
      </c>
      <c r="AJ1072" s="37">
        <v>547494.18999999994</v>
      </c>
      <c r="AK1072" s="37">
        <v>558444.06999999995</v>
      </c>
      <c r="AL1072" s="37">
        <v>569612.94999999995</v>
      </c>
      <c r="AM1072" s="37">
        <v>581005.21</v>
      </c>
      <c r="AN1072" s="37">
        <v>592625.31000000006</v>
      </c>
      <c r="AO1072" s="37">
        <v>604477.81999999995</v>
      </c>
      <c r="AP1072" s="37">
        <v>616567.38</v>
      </c>
      <c r="AQ1072" s="37">
        <v>628898.73</v>
      </c>
      <c r="AR1072" s="37">
        <v>5762118.9899999993</v>
      </c>
      <c r="AS1072" s="37">
        <v>6120000</v>
      </c>
      <c r="AT1072" s="37">
        <v>0</v>
      </c>
      <c r="AU1072" s="37">
        <v>0</v>
      </c>
      <c r="AV1072" s="37">
        <v>106120.8</v>
      </c>
      <c r="AW1072" s="37">
        <v>0</v>
      </c>
      <c r="AX1072" s="37">
        <v>0</v>
      </c>
      <c r="AY1072" s="37">
        <v>0</v>
      </c>
      <c r="AZ1072" s="37">
        <v>0</v>
      </c>
      <c r="BA1072" s="37">
        <v>0</v>
      </c>
      <c r="BB1072" s="37">
        <v>0</v>
      </c>
      <c r="BC1072" s="37">
        <v>0</v>
      </c>
      <c r="BD1072" s="37">
        <v>106120.8</v>
      </c>
      <c r="BE1072" s="37">
        <v>0</v>
      </c>
      <c r="BF1072" s="37">
        <v>0</v>
      </c>
      <c r="BG1072" s="37">
        <v>0</v>
      </c>
      <c r="BH1072" s="37">
        <v>1123988</v>
      </c>
      <c r="BI1072" s="37">
        <v>0</v>
      </c>
      <c r="BJ1072" s="37">
        <v>0</v>
      </c>
      <c r="BK1072" s="37">
        <v>0</v>
      </c>
      <c r="BL1072" s="37">
        <v>0</v>
      </c>
      <c r="BM1072" s="37">
        <v>0</v>
      </c>
      <c r="BN1072" s="37">
        <v>0</v>
      </c>
      <c r="BO1072" s="37">
        <v>0</v>
      </c>
      <c r="BP1072" s="37">
        <v>1123988</v>
      </c>
      <c r="BQ1072" s="37">
        <v>0</v>
      </c>
      <c r="BR1072" s="37">
        <v>0</v>
      </c>
      <c r="BS1072" s="37">
        <v>0</v>
      </c>
      <c r="BT1072" s="37">
        <v>5876012</v>
      </c>
      <c r="BU1072" s="37">
        <v>0</v>
      </c>
      <c r="BV1072" s="37">
        <v>0</v>
      </c>
      <c r="BW1072" s="37">
        <v>0</v>
      </c>
      <c r="BX1072" s="37">
        <v>0</v>
      </c>
      <c r="BY1072" s="37">
        <v>0</v>
      </c>
      <c r="BZ1072" s="37">
        <v>0</v>
      </c>
      <c r="CA1072" s="37">
        <v>0</v>
      </c>
      <c r="CB1072" s="37">
        <v>5876012</v>
      </c>
      <c r="CC1072" s="37">
        <v>0</v>
      </c>
      <c r="CD1072" s="37">
        <v>150000</v>
      </c>
      <c r="CE1072" s="37">
        <v>0</v>
      </c>
      <c r="CF1072" s="37">
        <v>0</v>
      </c>
      <c r="CG1072" s="37">
        <v>0</v>
      </c>
      <c r="CH1072" s="37">
        <v>0</v>
      </c>
      <c r="CI1072" s="37">
        <v>0</v>
      </c>
      <c r="CJ1072" s="37">
        <v>0</v>
      </c>
      <c r="CK1072" s="37">
        <v>0</v>
      </c>
      <c r="CL1072" s="37">
        <v>0</v>
      </c>
      <c r="CM1072" s="37">
        <v>0</v>
      </c>
      <c r="CN1072" s="37">
        <v>150000</v>
      </c>
      <c r="CO1072" s="37">
        <v>0</v>
      </c>
      <c r="CP1072" s="37">
        <v>0</v>
      </c>
      <c r="CQ1072" s="37">
        <v>0</v>
      </c>
      <c r="CR1072" s="37">
        <v>0</v>
      </c>
      <c r="CS1072" s="37">
        <v>0</v>
      </c>
      <c r="CT1072" s="37">
        <v>0</v>
      </c>
      <c r="CU1072" s="37">
        <v>0</v>
      </c>
      <c r="CV1072" s="37">
        <v>0</v>
      </c>
      <c r="CW1072" s="37">
        <v>0</v>
      </c>
      <c r="CX1072" s="37">
        <v>0</v>
      </c>
      <c r="CY1072" s="37">
        <v>0</v>
      </c>
      <c r="CZ1072" s="37">
        <v>0</v>
      </c>
      <c r="DA1072" s="37">
        <v>0</v>
      </c>
      <c r="DB1072" s="37">
        <v>0</v>
      </c>
      <c r="DC1072" s="37">
        <v>0</v>
      </c>
      <c r="DD1072" s="37">
        <v>0</v>
      </c>
      <c r="DE1072" s="37">
        <v>0</v>
      </c>
      <c r="DF1072" s="37">
        <v>0</v>
      </c>
      <c r="DG1072" s="37">
        <v>0</v>
      </c>
      <c r="DH1072" s="37">
        <v>0</v>
      </c>
      <c r="DI1072" s="37">
        <v>0</v>
      </c>
      <c r="DJ1072" s="37">
        <v>0</v>
      </c>
      <c r="DK1072" s="37">
        <v>0</v>
      </c>
      <c r="DL1072" s="37">
        <v>0</v>
      </c>
      <c r="DM1072" s="37">
        <v>0</v>
      </c>
      <c r="DN1072" s="37">
        <v>0</v>
      </c>
      <c r="DO1072" s="37">
        <v>0</v>
      </c>
      <c r="DP1072" s="37">
        <v>0</v>
      </c>
      <c r="DQ1072" s="37">
        <v>0</v>
      </c>
      <c r="DR1072" s="37">
        <v>0</v>
      </c>
      <c r="DS1072" s="37">
        <v>0</v>
      </c>
      <c r="DT1072" s="37">
        <v>0</v>
      </c>
      <c r="DU1072" s="37">
        <v>0</v>
      </c>
      <c r="DV1072" s="37">
        <v>0</v>
      </c>
      <c r="DW1072" s="37">
        <v>0</v>
      </c>
      <c r="DX1072" s="37">
        <v>0</v>
      </c>
      <c r="DY1072" s="37">
        <v>0</v>
      </c>
      <c r="DZ1072" s="37">
        <v>0</v>
      </c>
      <c r="EA1072" s="37">
        <v>0</v>
      </c>
      <c r="EB1072" s="37">
        <v>0</v>
      </c>
      <c r="EC1072" s="37">
        <v>0</v>
      </c>
      <c r="ED1072" s="37">
        <v>0</v>
      </c>
      <c r="EE1072" s="37">
        <v>0</v>
      </c>
      <c r="EF1072" s="37">
        <v>0</v>
      </c>
      <c r="EG1072" s="37">
        <v>0</v>
      </c>
      <c r="EH1072" s="37">
        <v>0</v>
      </c>
      <c r="EI1072" s="37">
        <v>0</v>
      </c>
      <c r="EJ1072" s="37">
        <v>0</v>
      </c>
      <c r="EK1072" s="161" t="s">
        <v>3581</v>
      </c>
      <c r="EL1072" s="294" t="s">
        <v>1124</v>
      </c>
    </row>
    <row r="1073" spans="1:142" ht="15" customHeight="1" x14ac:dyDescent="0.35">
      <c r="A1073" s="34"/>
      <c r="B1073" s="313">
        <v>35055</v>
      </c>
      <c r="C1073" s="8" t="s">
        <v>312</v>
      </c>
      <c r="D1073" s="18">
        <v>4</v>
      </c>
      <c r="E1073" s="155"/>
      <c r="F1073" s="36"/>
      <c r="G1073" s="37"/>
      <c r="H1073" s="37"/>
      <c r="I1073" s="37"/>
      <c r="J1073" s="37"/>
      <c r="K1073" s="37"/>
      <c r="L1073" s="37"/>
      <c r="M1073" s="37" t="s">
        <v>1124</v>
      </c>
      <c r="N1073" s="37" t="s">
        <v>1124</v>
      </c>
      <c r="O1073" s="37"/>
      <c r="P1073" s="37"/>
      <c r="Q1073" s="37"/>
      <c r="R1073" s="37"/>
      <c r="S1073" s="37"/>
      <c r="T1073" s="37"/>
      <c r="U1073" s="37"/>
      <c r="V1073" s="37"/>
      <c r="W1073" s="37"/>
      <c r="X1073" s="37"/>
      <c r="Y1073" s="37"/>
      <c r="Z1073" s="37"/>
      <c r="AA1073" s="37" t="s">
        <v>1124</v>
      </c>
      <c r="AB1073" s="37" t="s">
        <v>1124</v>
      </c>
      <c r="AC1073" s="37"/>
      <c r="AD1073" s="37"/>
      <c r="AE1073" s="37"/>
      <c r="AF1073" s="168"/>
      <c r="AG1073" s="37"/>
      <c r="AH1073" s="37"/>
      <c r="AI1073" s="37"/>
      <c r="AJ1073" s="37"/>
      <c r="AK1073" s="37"/>
      <c r="AL1073" s="37"/>
      <c r="AM1073" s="37"/>
      <c r="AN1073" s="37"/>
      <c r="AO1073" s="37"/>
      <c r="AP1073" s="37"/>
      <c r="AQ1073" s="37"/>
      <c r="AR1073" s="37" t="s">
        <v>1124</v>
      </c>
      <c r="AS1073" s="37"/>
      <c r="AT1073" s="37"/>
      <c r="AU1073" s="37"/>
      <c r="AV1073" s="37"/>
      <c r="AW1073" s="37"/>
      <c r="AX1073" s="37"/>
      <c r="AY1073" s="37"/>
      <c r="AZ1073" s="37"/>
      <c r="BA1073" s="37"/>
      <c r="BB1073" s="37"/>
      <c r="BC1073" s="37"/>
      <c r="BD1073" s="37" t="s">
        <v>1124</v>
      </c>
      <c r="BE1073" s="37"/>
      <c r="BF1073" s="37"/>
      <c r="BG1073" s="37"/>
      <c r="BH1073" s="37"/>
      <c r="BI1073" s="37"/>
      <c r="BJ1073" s="37"/>
      <c r="BK1073" s="37"/>
      <c r="BL1073" s="37"/>
      <c r="BM1073" s="37"/>
      <c r="BN1073" s="37"/>
      <c r="BO1073" s="37"/>
      <c r="BP1073" s="37">
        <v>0</v>
      </c>
      <c r="BQ1073" s="37"/>
      <c r="BR1073" s="37"/>
      <c r="BS1073" s="37"/>
      <c r="BT1073" s="37"/>
      <c r="BU1073" s="37"/>
      <c r="BV1073" s="37"/>
      <c r="BW1073" s="37"/>
      <c r="BX1073" s="37"/>
      <c r="BY1073" s="37"/>
      <c r="BZ1073" s="37"/>
      <c r="CA1073" s="37"/>
      <c r="CB1073" s="37" t="s">
        <v>1124</v>
      </c>
      <c r="CC1073" s="37"/>
      <c r="CD1073" s="37"/>
      <c r="CE1073" s="37"/>
      <c r="CF1073" s="37"/>
      <c r="CG1073" s="37"/>
      <c r="CH1073" s="37"/>
      <c r="CI1073" s="37"/>
      <c r="CJ1073" s="37"/>
      <c r="CK1073" s="37"/>
      <c r="CL1073" s="37"/>
      <c r="CM1073" s="37"/>
      <c r="CN1073" s="37" t="s">
        <v>1124</v>
      </c>
      <c r="CO1073" s="37"/>
      <c r="CP1073" s="37"/>
      <c r="CQ1073" s="37"/>
      <c r="CR1073" s="37"/>
      <c r="CS1073" s="37"/>
      <c r="CT1073" s="37"/>
      <c r="CU1073" s="37"/>
      <c r="CV1073" s="37"/>
      <c r="CW1073" s="37"/>
      <c r="CX1073" s="37"/>
      <c r="CY1073" s="37"/>
      <c r="CZ1073" s="37" t="s">
        <v>1124</v>
      </c>
      <c r="DA1073" s="37"/>
      <c r="DB1073" s="37"/>
      <c r="DC1073" s="37"/>
      <c r="DD1073" s="37"/>
      <c r="DE1073" s="37"/>
      <c r="DF1073" s="37"/>
      <c r="DG1073" s="37"/>
      <c r="DH1073" s="37"/>
      <c r="DI1073" s="37"/>
      <c r="DJ1073" s="37"/>
      <c r="DK1073" s="37"/>
      <c r="DL1073" s="37" t="s">
        <v>1124</v>
      </c>
      <c r="DM1073" s="37"/>
      <c r="DN1073" s="37"/>
      <c r="DO1073" s="37"/>
      <c r="DP1073" s="37"/>
      <c r="DQ1073" s="37"/>
      <c r="DR1073" s="37"/>
      <c r="DS1073" s="37"/>
      <c r="DT1073" s="37"/>
      <c r="DU1073" s="37"/>
      <c r="DV1073" s="37"/>
      <c r="DW1073" s="37"/>
      <c r="DX1073" s="37" t="s">
        <v>1124</v>
      </c>
      <c r="DY1073" s="37"/>
      <c r="DZ1073" s="37"/>
      <c r="EA1073" s="37"/>
      <c r="EB1073" s="37"/>
      <c r="EC1073" s="37"/>
      <c r="ED1073" s="37"/>
      <c r="EE1073" s="37"/>
      <c r="EF1073" s="37"/>
      <c r="EG1073" s="37"/>
      <c r="EH1073" s="37"/>
      <c r="EI1073" s="37"/>
      <c r="EJ1073" s="37" t="s">
        <v>1124</v>
      </c>
      <c r="EK1073" s="161"/>
      <c r="EL1073" s="294"/>
    </row>
    <row r="1074" spans="1:142" ht="15" customHeight="1" x14ac:dyDescent="0.35">
      <c r="A1074" s="34"/>
      <c r="B1074" s="313">
        <v>37067</v>
      </c>
      <c r="C1074" s="8" t="s">
        <v>314</v>
      </c>
      <c r="D1074" s="18">
        <v>4</v>
      </c>
      <c r="E1074" s="155">
        <v>11282552</v>
      </c>
      <c r="F1074" s="36">
        <v>15003260</v>
      </c>
      <c r="G1074" s="37">
        <v>1756205</v>
      </c>
      <c r="H1074" s="37">
        <v>1500125</v>
      </c>
      <c r="I1074" s="37">
        <v>7692150</v>
      </c>
      <c r="J1074" s="37">
        <v>4530046</v>
      </c>
      <c r="K1074" s="37">
        <v>0</v>
      </c>
      <c r="L1074" s="37">
        <v>0</v>
      </c>
      <c r="M1074" s="37">
        <v>20730907</v>
      </c>
      <c r="N1074" s="37">
        <v>21033431</v>
      </c>
      <c r="O1074" s="37">
        <v>461002</v>
      </c>
      <c r="P1074" s="37">
        <v>0</v>
      </c>
      <c r="Q1074" s="37">
        <v>19320158</v>
      </c>
      <c r="R1074" s="37">
        <v>16776443</v>
      </c>
      <c r="S1074" s="37">
        <v>351657</v>
      </c>
      <c r="T1074" s="37">
        <v>492543</v>
      </c>
      <c r="U1074" s="37">
        <v>743730</v>
      </c>
      <c r="V1074" s="37">
        <v>134104</v>
      </c>
      <c r="W1074" s="37">
        <v>0</v>
      </c>
      <c r="X1074" s="37">
        <v>0</v>
      </c>
      <c r="Y1074" s="37">
        <v>0</v>
      </c>
      <c r="Z1074" s="37">
        <v>5396433</v>
      </c>
      <c r="AA1074" s="37">
        <v>20876547</v>
      </c>
      <c r="AB1074" s="37">
        <v>22799523</v>
      </c>
      <c r="AC1074" s="37">
        <v>1911732</v>
      </c>
      <c r="AD1074" s="37">
        <v>0</v>
      </c>
      <c r="AE1074" s="37">
        <v>2939843</v>
      </c>
      <c r="AF1074" s="168">
        <v>0.02</v>
      </c>
      <c r="AG1074" s="37">
        <v>3627632553.4699998</v>
      </c>
      <c r="AH1074" s="37">
        <v>30035302.629999999</v>
      </c>
      <c r="AI1074" s="37">
        <v>29785076.640000001</v>
      </c>
      <c r="AJ1074" s="37">
        <v>30380778.170000002</v>
      </c>
      <c r="AK1074" s="37">
        <v>31209955.5</v>
      </c>
      <c r="AL1074" s="37">
        <v>31834154.600000001</v>
      </c>
      <c r="AM1074" s="37">
        <v>32240324.84</v>
      </c>
      <c r="AN1074" s="37">
        <v>33052797.420000002</v>
      </c>
      <c r="AO1074" s="37">
        <v>33730634.939999998</v>
      </c>
      <c r="AP1074" s="37">
        <v>34791505.350000001</v>
      </c>
      <c r="AQ1074" s="37">
        <v>36739857.960000001</v>
      </c>
      <c r="AR1074" s="37">
        <v>323800388.05000001</v>
      </c>
      <c r="AS1074" s="37">
        <v>121812525.94</v>
      </c>
      <c r="AT1074" s="37">
        <v>1664640</v>
      </c>
      <c r="AU1074" s="37">
        <v>0</v>
      </c>
      <c r="AV1074" s="37">
        <v>0</v>
      </c>
      <c r="AW1074" s="37">
        <v>0</v>
      </c>
      <c r="AX1074" s="37">
        <v>1104080.8</v>
      </c>
      <c r="AY1074" s="37">
        <v>1126162.42</v>
      </c>
      <c r="AZ1074" s="37">
        <v>0</v>
      </c>
      <c r="BA1074" s="37">
        <v>0</v>
      </c>
      <c r="BB1074" s="37">
        <v>0</v>
      </c>
      <c r="BC1074" s="37">
        <v>0</v>
      </c>
      <c r="BD1074" s="37">
        <v>3894883.2199999997</v>
      </c>
      <c r="BE1074" s="37">
        <v>6442386</v>
      </c>
      <c r="BF1074" s="37">
        <v>24770246</v>
      </c>
      <c r="BG1074" s="37">
        <v>8704426</v>
      </c>
      <c r="BH1074" s="37">
        <v>3300000</v>
      </c>
      <c r="BI1074" s="37">
        <v>0</v>
      </c>
      <c r="BJ1074" s="37">
        <v>0</v>
      </c>
      <c r="BK1074" s="37">
        <v>0</v>
      </c>
      <c r="BL1074" s="37">
        <v>0</v>
      </c>
      <c r="BM1074" s="37">
        <v>0</v>
      </c>
      <c r="BN1074" s="37">
        <v>0</v>
      </c>
      <c r="BO1074" s="37">
        <v>0</v>
      </c>
      <c r="BP1074" s="37">
        <v>36774672</v>
      </c>
      <c r="BQ1074" s="37">
        <v>0</v>
      </c>
      <c r="BR1074" s="37">
        <v>1551816</v>
      </c>
      <c r="BS1074" s="37">
        <v>91000</v>
      </c>
      <c r="BT1074" s="37">
        <v>0</v>
      </c>
      <c r="BU1074" s="37">
        <v>0</v>
      </c>
      <c r="BV1074" s="37">
        <v>838805.09233141551</v>
      </c>
      <c r="BW1074" s="37">
        <v>4061823.3936560228</v>
      </c>
      <c r="BX1074" s="37">
        <v>5282259.0145022767</v>
      </c>
      <c r="BY1074" s="37">
        <v>6502694.6353485286</v>
      </c>
      <c r="BZ1074" s="37">
        <v>7723132.8641617578</v>
      </c>
      <c r="CA1074" s="37">
        <v>0</v>
      </c>
      <c r="CB1074" s="37">
        <v>26051531.000000004</v>
      </c>
      <c r="CC1074" s="37">
        <v>0</v>
      </c>
      <c r="CD1074" s="37">
        <v>0</v>
      </c>
      <c r="CE1074" s="37">
        <v>0</v>
      </c>
      <c r="CF1074" s="37">
        <v>0</v>
      </c>
      <c r="CG1074" s="37">
        <v>0</v>
      </c>
      <c r="CH1074" s="37">
        <v>0</v>
      </c>
      <c r="CI1074" s="37">
        <v>0</v>
      </c>
      <c r="CJ1074" s="37">
        <v>0</v>
      </c>
      <c r="CK1074" s="37">
        <v>0</v>
      </c>
      <c r="CL1074" s="37">
        <v>0</v>
      </c>
      <c r="CM1074" s="37">
        <v>0</v>
      </c>
      <c r="CN1074" s="37">
        <v>0</v>
      </c>
      <c r="CO1074" s="37">
        <v>0</v>
      </c>
      <c r="CP1074" s="37">
        <v>0</v>
      </c>
      <c r="CQ1074" s="37">
        <v>0</v>
      </c>
      <c r="CR1074" s="37">
        <v>0</v>
      </c>
      <c r="CS1074" s="37">
        <v>0</v>
      </c>
      <c r="CT1074" s="37">
        <v>0</v>
      </c>
      <c r="CU1074" s="37">
        <v>0</v>
      </c>
      <c r="CV1074" s="37">
        <v>0</v>
      </c>
      <c r="CW1074" s="37">
        <v>0</v>
      </c>
      <c r="CX1074" s="37">
        <v>0</v>
      </c>
      <c r="CY1074" s="37">
        <v>0</v>
      </c>
      <c r="CZ1074" s="37">
        <v>0</v>
      </c>
      <c r="DA1074" s="37">
        <v>0</v>
      </c>
      <c r="DB1074" s="37">
        <v>947000</v>
      </c>
      <c r="DC1074" s="37">
        <v>1025000</v>
      </c>
      <c r="DD1074" s="37">
        <v>950000</v>
      </c>
      <c r="DE1074" s="37">
        <v>0</v>
      </c>
      <c r="DF1074" s="37">
        <v>0</v>
      </c>
      <c r="DG1074" s="37">
        <v>0</v>
      </c>
      <c r="DH1074" s="37">
        <v>0</v>
      </c>
      <c r="DI1074" s="37">
        <v>0</v>
      </c>
      <c r="DJ1074" s="37">
        <v>0</v>
      </c>
      <c r="DK1074" s="37">
        <v>0</v>
      </c>
      <c r="DL1074" s="37">
        <v>2922000</v>
      </c>
      <c r="DM1074" s="37">
        <v>0</v>
      </c>
      <c r="DN1074" s="37">
        <v>0</v>
      </c>
      <c r="DO1074" s="37">
        <v>0</v>
      </c>
      <c r="DP1074" s="37">
        <v>0</v>
      </c>
      <c r="DQ1074" s="37">
        <v>0</v>
      </c>
      <c r="DR1074" s="37">
        <v>0</v>
      </c>
      <c r="DS1074" s="37">
        <v>0</v>
      </c>
      <c r="DT1074" s="37">
        <v>0</v>
      </c>
      <c r="DU1074" s="37">
        <v>0</v>
      </c>
      <c r="DV1074" s="37">
        <v>0</v>
      </c>
      <c r="DW1074" s="37">
        <v>0</v>
      </c>
      <c r="DX1074" s="37">
        <v>0</v>
      </c>
      <c r="DY1074" s="37">
        <v>0</v>
      </c>
      <c r="DZ1074" s="37">
        <v>0</v>
      </c>
      <c r="EA1074" s="37">
        <v>0</v>
      </c>
      <c r="EB1074" s="37">
        <v>0</v>
      </c>
      <c r="EC1074" s="37">
        <v>0</v>
      </c>
      <c r="ED1074" s="37">
        <v>0</v>
      </c>
      <c r="EE1074" s="37">
        <v>0</v>
      </c>
      <c r="EF1074" s="37">
        <v>0</v>
      </c>
      <c r="EG1074" s="37">
        <v>0</v>
      </c>
      <c r="EH1074" s="37">
        <v>0</v>
      </c>
      <c r="EI1074" s="37">
        <v>0</v>
      </c>
      <c r="EJ1074" s="37">
        <v>0</v>
      </c>
      <c r="EK1074" s="161" t="s">
        <v>3591</v>
      </c>
      <c r="EL1074" s="294" t="s">
        <v>1124</v>
      </c>
    </row>
    <row r="1075" spans="1:142" ht="15" customHeight="1" x14ac:dyDescent="0.35">
      <c r="A1075" s="34"/>
      <c r="B1075" s="313">
        <v>42078</v>
      </c>
      <c r="C1075" s="8" t="s">
        <v>391</v>
      </c>
      <c r="D1075" s="18">
        <v>5</v>
      </c>
      <c r="E1075" s="155"/>
      <c r="F1075" s="36"/>
      <c r="G1075" s="37"/>
      <c r="H1075" s="37"/>
      <c r="I1075" s="37"/>
      <c r="J1075" s="37"/>
      <c r="K1075" s="37"/>
      <c r="L1075" s="37"/>
      <c r="M1075" s="37" t="s">
        <v>1124</v>
      </c>
      <c r="N1075" s="37" t="s">
        <v>1124</v>
      </c>
      <c r="O1075" s="37"/>
      <c r="P1075" s="37"/>
      <c r="Q1075" s="37"/>
      <c r="R1075" s="37"/>
      <c r="S1075" s="37"/>
      <c r="T1075" s="37"/>
      <c r="U1075" s="37"/>
      <c r="V1075" s="37"/>
      <c r="W1075" s="37"/>
      <c r="X1075" s="37"/>
      <c r="Y1075" s="37"/>
      <c r="Z1075" s="37"/>
      <c r="AA1075" s="37" t="s">
        <v>1124</v>
      </c>
      <c r="AB1075" s="37" t="s">
        <v>1124</v>
      </c>
      <c r="AC1075" s="37"/>
      <c r="AD1075" s="37"/>
      <c r="AE1075" s="37"/>
      <c r="AF1075" s="168"/>
      <c r="AG1075" s="37"/>
      <c r="AH1075" s="37"/>
      <c r="AI1075" s="37"/>
      <c r="AJ1075" s="37"/>
      <c r="AK1075" s="37"/>
      <c r="AL1075" s="37"/>
      <c r="AM1075" s="37"/>
      <c r="AN1075" s="37"/>
      <c r="AO1075" s="37"/>
      <c r="AP1075" s="37"/>
      <c r="AQ1075" s="37"/>
      <c r="AR1075" s="37" t="s">
        <v>1124</v>
      </c>
      <c r="AS1075" s="37"/>
      <c r="AT1075" s="37"/>
      <c r="AU1075" s="37"/>
      <c r="AV1075" s="37"/>
      <c r="AW1075" s="37"/>
      <c r="AX1075" s="37"/>
      <c r="AY1075" s="37"/>
      <c r="AZ1075" s="37"/>
      <c r="BA1075" s="37"/>
      <c r="BB1075" s="37"/>
      <c r="BC1075" s="37"/>
      <c r="BD1075" s="37" t="s">
        <v>1124</v>
      </c>
      <c r="BE1075" s="37"/>
      <c r="BF1075" s="37"/>
      <c r="BG1075" s="37"/>
      <c r="BH1075" s="37"/>
      <c r="BI1075" s="37"/>
      <c r="BJ1075" s="37"/>
      <c r="BK1075" s="37"/>
      <c r="BL1075" s="37"/>
      <c r="BM1075" s="37"/>
      <c r="BN1075" s="37"/>
      <c r="BO1075" s="37"/>
      <c r="BP1075" s="37">
        <v>0</v>
      </c>
      <c r="BQ1075" s="37"/>
      <c r="BR1075" s="37"/>
      <c r="BS1075" s="37"/>
      <c r="BT1075" s="37"/>
      <c r="BU1075" s="37"/>
      <c r="BV1075" s="37"/>
      <c r="BW1075" s="37"/>
      <c r="BX1075" s="37"/>
      <c r="BY1075" s="37"/>
      <c r="BZ1075" s="37"/>
      <c r="CA1075" s="37"/>
      <c r="CB1075" s="37" t="s">
        <v>1124</v>
      </c>
      <c r="CC1075" s="37"/>
      <c r="CD1075" s="37"/>
      <c r="CE1075" s="37"/>
      <c r="CF1075" s="37"/>
      <c r="CG1075" s="37"/>
      <c r="CH1075" s="37"/>
      <c r="CI1075" s="37"/>
      <c r="CJ1075" s="37"/>
      <c r="CK1075" s="37"/>
      <c r="CL1075" s="37"/>
      <c r="CM1075" s="37"/>
      <c r="CN1075" s="37" t="s">
        <v>1124</v>
      </c>
      <c r="CO1075" s="37"/>
      <c r="CP1075" s="37"/>
      <c r="CQ1075" s="37"/>
      <c r="CR1075" s="37"/>
      <c r="CS1075" s="37"/>
      <c r="CT1075" s="37"/>
      <c r="CU1075" s="37"/>
      <c r="CV1075" s="37"/>
      <c r="CW1075" s="37"/>
      <c r="CX1075" s="37"/>
      <c r="CY1075" s="37"/>
      <c r="CZ1075" s="37" t="s">
        <v>1124</v>
      </c>
      <c r="DA1075" s="37"/>
      <c r="DB1075" s="37"/>
      <c r="DC1075" s="37"/>
      <c r="DD1075" s="37"/>
      <c r="DE1075" s="37"/>
      <c r="DF1075" s="37"/>
      <c r="DG1075" s="37"/>
      <c r="DH1075" s="37"/>
      <c r="DI1075" s="37"/>
      <c r="DJ1075" s="37"/>
      <c r="DK1075" s="37"/>
      <c r="DL1075" s="37" t="s">
        <v>1124</v>
      </c>
      <c r="DM1075" s="37"/>
      <c r="DN1075" s="37"/>
      <c r="DO1075" s="37"/>
      <c r="DP1075" s="37"/>
      <c r="DQ1075" s="37"/>
      <c r="DR1075" s="37"/>
      <c r="DS1075" s="37"/>
      <c r="DT1075" s="37"/>
      <c r="DU1075" s="37"/>
      <c r="DV1075" s="37"/>
      <c r="DW1075" s="37"/>
      <c r="DX1075" s="37" t="s">
        <v>1124</v>
      </c>
      <c r="DY1075" s="37"/>
      <c r="DZ1075" s="37"/>
      <c r="EA1075" s="37"/>
      <c r="EB1075" s="37"/>
      <c r="EC1075" s="37"/>
      <c r="ED1075" s="37"/>
      <c r="EE1075" s="37"/>
      <c r="EF1075" s="37"/>
      <c r="EG1075" s="37"/>
      <c r="EH1075" s="37"/>
      <c r="EI1075" s="37"/>
      <c r="EJ1075" s="37" t="s">
        <v>1124</v>
      </c>
      <c r="EK1075" s="161"/>
      <c r="EL1075" s="294"/>
    </row>
    <row r="1076" spans="1:142" ht="15" customHeight="1" x14ac:dyDescent="0.35">
      <c r="A1076" s="34"/>
      <c r="B1076" s="313">
        <v>48038</v>
      </c>
      <c r="C1076" s="8" t="s">
        <v>461</v>
      </c>
      <c r="D1076" s="18">
        <v>16</v>
      </c>
      <c r="E1076" s="155">
        <v>150794</v>
      </c>
      <c r="F1076" s="36">
        <v>356096</v>
      </c>
      <c r="G1076" s="37">
        <v>12744</v>
      </c>
      <c r="H1076" s="37">
        <v>8288</v>
      </c>
      <c r="I1076" s="37">
        <v>0</v>
      </c>
      <c r="J1076" s="37">
        <v>0</v>
      </c>
      <c r="K1076" s="37">
        <v>15079.4</v>
      </c>
      <c r="L1076" s="37">
        <v>35609.599999999999</v>
      </c>
      <c r="M1076" s="37">
        <v>178617.4</v>
      </c>
      <c r="N1076" s="37">
        <v>399993.59999999998</v>
      </c>
      <c r="O1076" s="37">
        <v>103346</v>
      </c>
      <c r="P1076" s="37">
        <v>166163</v>
      </c>
      <c r="Q1076" s="37">
        <v>128131</v>
      </c>
      <c r="R1076" s="37">
        <v>122624</v>
      </c>
      <c r="S1076" s="37">
        <v>0</v>
      </c>
      <c r="T1076" s="37">
        <v>0</v>
      </c>
      <c r="U1076" s="37">
        <v>21849</v>
      </c>
      <c r="V1076" s="37">
        <v>12981</v>
      </c>
      <c r="W1076" s="37">
        <v>0</v>
      </c>
      <c r="X1076" s="37">
        <v>23517</v>
      </c>
      <c r="Y1076" s="37">
        <v>0</v>
      </c>
      <c r="Z1076" s="37">
        <v>0</v>
      </c>
      <c r="AA1076" s="37">
        <v>253326</v>
      </c>
      <c r="AB1076" s="37">
        <v>325285</v>
      </c>
      <c r="AC1076" s="37">
        <v>0</v>
      </c>
      <c r="AD1076" s="37">
        <v>0</v>
      </c>
      <c r="AE1076" s="37">
        <v>25000</v>
      </c>
      <c r="AF1076" s="168">
        <v>0.02</v>
      </c>
      <c r="AG1076" s="37">
        <v>28266249.82</v>
      </c>
      <c r="AH1076" s="37">
        <v>241853.34</v>
      </c>
      <c r="AI1076" s="37">
        <v>246690.41</v>
      </c>
      <c r="AJ1076" s="37">
        <v>251624.21</v>
      </c>
      <c r="AK1076" s="37">
        <v>256656.7</v>
      </c>
      <c r="AL1076" s="37">
        <v>261789.83</v>
      </c>
      <c r="AM1076" s="37">
        <v>267025.63</v>
      </c>
      <c r="AN1076" s="37">
        <v>272366.14</v>
      </c>
      <c r="AO1076" s="37">
        <v>277813.46999999997</v>
      </c>
      <c r="AP1076" s="37">
        <v>283369.73</v>
      </c>
      <c r="AQ1076" s="37">
        <v>289037.13</v>
      </c>
      <c r="AR1076" s="37">
        <v>2648226.5900000003</v>
      </c>
      <c r="AS1076" s="37">
        <v>1899823.46</v>
      </c>
      <c r="AT1076" s="37">
        <v>1742668.44</v>
      </c>
      <c r="AU1076" s="37">
        <v>1816844.87</v>
      </c>
      <c r="AV1076" s="37">
        <v>926542.45</v>
      </c>
      <c r="AW1076" s="37">
        <v>926704.7</v>
      </c>
      <c r="AX1076" s="37">
        <v>945238.8</v>
      </c>
      <c r="AY1076" s="37">
        <v>964143.57</v>
      </c>
      <c r="AZ1076" s="37">
        <v>1145284.1599999999</v>
      </c>
      <c r="BA1076" s="37">
        <v>1168189.8400000001</v>
      </c>
      <c r="BB1076" s="37">
        <v>1191553.6399999999</v>
      </c>
      <c r="BC1076" s="37">
        <v>0</v>
      </c>
      <c r="BD1076" s="37">
        <v>10827170.470000001</v>
      </c>
      <c r="BE1076" s="37">
        <v>0</v>
      </c>
      <c r="BF1076" s="37">
        <v>0</v>
      </c>
      <c r="BG1076" s="37">
        <v>0</v>
      </c>
      <c r="BH1076" s="37">
        <v>0</v>
      </c>
      <c r="BI1076" s="37">
        <v>0</v>
      </c>
      <c r="BJ1076" s="37">
        <v>0</v>
      </c>
      <c r="BK1076" s="37">
        <v>0</v>
      </c>
      <c r="BL1076" s="37">
        <v>0</v>
      </c>
      <c r="BM1076" s="37">
        <v>0</v>
      </c>
      <c r="BN1076" s="37">
        <v>0</v>
      </c>
      <c r="BO1076" s="37">
        <v>0</v>
      </c>
      <c r="BP1076" s="37">
        <v>0</v>
      </c>
      <c r="BQ1076" s="37">
        <v>0</v>
      </c>
      <c r="BR1076" s="37">
        <v>0</v>
      </c>
      <c r="BS1076" s="37">
        <v>0</v>
      </c>
      <c r="BT1076" s="37">
        <v>0</v>
      </c>
      <c r="BU1076" s="37">
        <v>0</v>
      </c>
      <c r="BV1076" s="37">
        <v>0</v>
      </c>
      <c r="BW1076" s="37">
        <v>0</v>
      </c>
      <c r="BX1076" s="37">
        <v>0</v>
      </c>
      <c r="BY1076" s="37">
        <v>0</v>
      </c>
      <c r="BZ1076" s="37">
        <v>0</v>
      </c>
      <c r="CA1076" s="37">
        <v>0</v>
      </c>
      <c r="CB1076" s="37">
        <v>0</v>
      </c>
      <c r="CC1076" s="37">
        <v>0</v>
      </c>
      <c r="CD1076" s="37">
        <v>0</v>
      </c>
      <c r="CE1076" s="37">
        <v>0</v>
      </c>
      <c r="CF1076" s="37">
        <v>0</v>
      </c>
      <c r="CG1076" s="37">
        <v>0</v>
      </c>
      <c r="CH1076" s="37">
        <v>0</v>
      </c>
      <c r="CI1076" s="37">
        <v>0</v>
      </c>
      <c r="CJ1076" s="37">
        <v>0</v>
      </c>
      <c r="CK1076" s="37">
        <v>0</v>
      </c>
      <c r="CL1076" s="37">
        <v>0</v>
      </c>
      <c r="CM1076" s="37">
        <v>0</v>
      </c>
      <c r="CN1076" s="37">
        <v>0</v>
      </c>
      <c r="CO1076" s="37">
        <v>0</v>
      </c>
      <c r="CP1076" s="37">
        <v>0</v>
      </c>
      <c r="CQ1076" s="37">
        <v>0</v>
      </c>
      <c r="CR1076" s="37">
        <v>0</v>
      </c>
      <c r="CS1076" s="37">
        <v>0</v>
      </c>
      <c r="CT1076" s="37">
        <v>0</v>
      </c>
      <c r="CU1076" s="37">
        <v>0</v>
      </c>
      <c r="CV1076" s="37">
        <v>0</v>
      </c>
      <c r="CW1076" s="37">
        <v>0</v>
      </c>
      <c r="CX1076" s="37">
        <v>0</v>
      </c>
      <c r="CY1076" s="37">
        <v>0</v>
      </c>
      <c r="CZ1076" s="37">
        <v>0</v>
      </c>
      <c r="DA1076" s="37">
        <v>0</v>
      </c>
      <c r="DB1076" s="37">
        <v>0</v>
      </c>
      <c r="DC1076" s="37">
        <v>0</v>
      </c>
      <c r="DD1076" s="37">
        <v>0</v>
      </c>
      <c r="DE1076" s="37">
        <v>0</v>
      </c>
      <c r="DF1076" s="37">
        <v>0</v>
      </c>
      <c r="DG1076" s="37">
        <v>0</v>
      </c>
      <c r="DH1076" s="37">
        <v>0</v>
      </c>
      <c r="DI1076" s="37">
        <v>0</v>
      </c>
      <c r="DJ1076" s="37">
        <v>0</v>
      </c>
      <c r="DK1076" s="37">
        <v>0</v>
      </c>
      <c r="DL1076" s="37">
        <v>0</v>
      </c>
      <c r="DM1076" s="37">
        <v>0</v>
      </c>
      <c r="DN1076" s="37">
        <v>0</v>
      </c>
      <c r="DO1076" s="37">
        <v>0</v>
      </c>
      <c r="DP1076" s="37">
        <v>0</v>
      </c>
      <c r="DQ1076" s="37">
        <v>0</v>
      </c>
      <c r="DR1076" s="37">
        <v>0</v>
      </c>
      <c r="DS1076" s="37">
        <v>0</v>
      </c>
      <c r="DT1076" s="37">
        <v>0</v>
      </c>
      <c r="DU1076" s="37">
        <v>0</v>
      </c>
      <c r="DV1076" s="37">
        <v>0</v>
      </c>
      <c r="DW1076" s="37">
        <v>0</v>
      </c>
      <c r="DX1076" s="37">
        <v>0</v>
      </c>
      <c r="DY1076" s="37">
        <v>0</v>
      </c>
      <c r="DZ1076" s="37">
        <v>0</v>
      </c>
      <c r="EA1076" s="37">
        <v>0</v>
      </c>
      <c r="EB1076" s="37">
        <v>0</v>
      </c>
      <c r="EC1076" s="37">
        <v>0</v>
      </c>
      <c r="ED1076" s="37">
        <v>0</v>
      </c>
      <c r="EE1076" s="37">
        <v>0</v>
      </c>
      <c r="EF1076" s="37">
        <v>0</v>
      </c>
      <c r="EG1076" s="37">
        <v>0</v>
      </c>
      <c r="EH1076" s="37">
        <v>0</v>
      </c>
      <c r="EI1076" s="37">
        <v>0</v>
      </c>
      <c r="EJ1076" s="37">
        <v>0</v>
      </c>
      <c r="EK1076" s="161" t="s">
        <v>1124</v>
      </c>
      <c r="EL1076" s="294" t="s">
        <v>1124</v>
      </c>
    </row>
    <row r="1077" spans="1:142" ht="15" customHeight="1" x14ac:dyDescent="0.35">
      <c r="A1077" s="34"/>
      <c r="B1077" s="313">
        <v>33070</v>
      </c>
      <c r="C1077" s="8" t="s">
        <v>277</v>
      </c>
      <c r="D1077" s="18">
        <v>12</v>
      </c>
      <c r="E1077" s="155"/>
      <c r="F1077" s="36"/>
      <c r="G1077" s="37"/>
      <c r="H1077" s="37"/>
      <c r="I1077" s="37"/>
      <c r="J1077" s="37"/>
      <c r="K1077" s="37"/>
      <c r="L1077" s="37"/>
      <c r="M1077" s="37" t="s">
        <v>1124</v>
      </c>
      <c r="N1077" s="37" t="s">
        <v>1124</v>
      </c>
      <c r="O1077" s="37"/>
      <c r="P1077" s="37"/>
      <c r="Q1077" s="37"/>
      <c r="R1077" s="37"/>
      <c r="S1077" s="37"/>
      <c r="T1077" s="37"/>
      <c r="U1077" s="37"/>
      <c r="V1077" s="37"/>
      <c r="W1077" s="37"/>
      <c r="X1077" s="37"/>
      <c r="Y1077" s="37"/>
      <c r="Z1077" s="37"/>
      <c r="AA1077" s="37" t="s">
        <v>1124</v>
      </c>
      <c r="AB1077" s="37" t="s">
        <v>1124</v>
      </c>
      <c r="AC1077" s="37"/>
      <c r="AD1077" s="37"/>
      <c r="AE1077" s="37"/>
      <c r="AF1077" s="168"/>
      <c r="AG1077" s="37"/>
      <c r="AH1077" s="37"/>
      <c r="AI1077" s="37"/>
      <c r="AJ1077" s="37"/>
      <c r="AK1077" s="37"/>
      <c r="AL1077" s="37"/>
      <c r="AM1077" s="37"/>
      <c r="AN1077" s="37"/>
      <c r="AO1077" s="37"/>
      <c r="AP1077" s="37"/>
      <c r="AQ1077" s="37"/>
      <c r="AR1077" s="37" t="s">
        <v>1124</v>
      </c>
      <c r="AS1077" s="37"/>
      <c r="AT1077" s="37"/>
      <c r="AU1077" s="37"/>
      <c r="AV1077" s="37"/>
      <c r="AW1077" s="37"/>
      <c r="AX1077" s="37"/>
      <c r="AY1077" s="37"/>
      <c r="AZ1077" s="37"/>
      <c r="BA1077" s="37"/>
      <c r="BB1077" s="37"/>
      <c r="BC1077" s="37"/>
      <c r="BD1077" s="37" t="s">
        <v>1124</v>
      </c>
      <c r="BE1077" s="37"/>
      <c r="BF1077" s="37"/>
      <c r="BG1077" s="37"/>
      <c r="BH1077" s="37"/>
      <c r="BI1077" s="37"/>
      <c r="BJ1077" s="37"/>
      <c r="BK1077" s="37"/>
      <c r="BL1077" s="37"/>
      <c r="BM1077" s="37"/>
      <c r="BN1077" s="37"/>
      <c r="BO1077" s="37"/>
      <c r="BP1077" s="37">
        <v>0</v>
      </c>
      <c r="BQ1077" s="37"/>
      <c r="BR1077" s="37"/>
      <c r="BS1077" s="37"/>
      <c r="BT1077" s="37"/>
      <c r="BU1077" s="37"/>
      <c r="BV1077" s="37"/>
      <c r="BW1077" s="37"/>
      <c r="BX1077" s="37"/>
      <c r="BY1077" s="37"/>
      <c r="BZ1077" s="37"/>
      <c r="CA1077" s="37"/>
      <c r="CB1077" s="37" t="s">
        <v>1124</v>
      </c>
      <c r="CC1077" s="37"/>
      <c r="CD1077" s="37"/>
      <c r="CE1077" s="37"/>
      <c r="CF1077" s="37"/>
      <c r="CG1077" s="37"/>
      <c r="CH1077" s="37"/>
      <c r="CI1077" s="37"/>
      <c r="CJ1077" s="37"/>
      <c r="CK1077" s="37"/>
      <c r="CL1077" s="37"/>
      <c r="CM1077" s="37"/>
      <c r="CN1077" s="37" t="s">
        <v>1124</v>
      </c>
      <c r="CO1077" s="37"/>
      <c r="CP1077" s="37"/>
      <c r="CQ1077" s="37"/>
      <c r="CR1077" s="37"/>
      <c r="CS1077" s="37"/>
      <c r="CT1077" s="37"/>
      <c r="CU1077" s="37"/>
      <c r="CV1077" s="37"/>
      <c r="CW1077" s="37"/>
      <c r="CX1077" s="37"/>
      <c r="CY1077" s="37"/>
      <c r="CZ1077" s="37" t="s">
        <v>1124</v>
      </c>
      <c r="DA1077" s="37"/>
      <c r="DB1077" s="37"/>
      <c r="DC1077" s="37"/>
      <c r="DD1077" s="37"/>
      <c r="DE1077" s="37"/>
      <c r="DF1077" s="37"/>
      <c r="DG1077" s="37"/>
      <c r="DH1077" s="37"/>
      <c r="DI1077" s="37"/>
      <c r="DJ1077" s="37"/>
      <c r="DK1077" s="37"/>
      <c r="DL1077" s="37" t="s">
        <v>1124</v>
      </c>
      <c r="DM1077" s="37"/>
      <c r="DN1077" s="37"/>
      <c r="DO1077" s="37"/>
      <c r="DP1077" s="37"/>
      <c r="DQ1077" s="37"/>
      <c r="DR1077" s="37"/>
      <c r="DS1077" s="37"/>
      <c r="DT1077" s="37"/>
      <c r="DU1077" s="37"/>
      <c r="DV1077" s="37"/>
      <c r="DW1077" s="37"/>
      <c r="DX1077" s="37" t="s">
        <v>1124</v>
      </c>
      <c r="DY1077" s="37"/>
      <c r="DZ1077" s="37"/>
      <c r="EA1077" s="37"/>
      <c r="EB1077" s="37"/>
      <c r="EC1077" s="37"/>
      <c r="ED1077" s="37"/>
      <c r="EE1077" s="37"/>
      <c r="EF1077" s="37"/>
      <c r="EG1077" s="37"/>
      <c r="EH1077" s="37"/>
      <c r="EI1077" s="37"/>
      <c r="EJ1077" s="37" t="s">
        <v>1124</v>
      </c>
      <c r="EK1077" s="161"/>
      <c r="EL1077" s="294"/>
    </row>
    <row r="1078" spans="1:142" ht="15" customHeight="1" x14ac:dyDescent="0.35">
      <c r="A1078" s="34"/>
      <c r="B1078" s="313">
        <v>7080</v>
      </c>
      <c r="C1078" s="8" t="s">
        <v>1080</v>
      </c>
      <c r="D1078" s="18">
        <v>1</v>
      </c>
      <c r="E1078" s="155">
        <v>45593</v>
      </c>
      <c r="F1078" s="36">
        <v>28530</v>
      </c>
      <c r="G1078" s="37">
        <v>17378</v>
      </c>
      <c r="H1078" s="37">
        <v>0</v>
      </c>
      <c r="I1078" s="37">
        <v>125668</v>
      </c>
      <c r="J1078" s="37">
        <v>0</v>
      </c>
      <c r="K1078" s="37">
        <v>6839</v>
      </c>
      <c r="L1078" s="37">
        <v>4280</v>
      </c>
      <c r="M1078" s="37">
        <v>195478</v>
      </c>
      <c r="N1078" s="37">
        <v>32810</v>
      </c>
      <c r="O1078" s="37">
        <v>0</v>
      </c>
      <c r="P1078" s="37">
        <v>0</v>
      </c>
      <c r="Q1078" s="37">
        <v>87340</v>
      </c>
      <c r="R1078" s="37">
        <v>49633</v>
      </c>
      <c r="S1078" s="37">
        <v>0</v>
      </c>
      <c r="T1078" s="37">
        <v>0</v>
      </c>
      <c r="U1078" s="37">
        <v>9567</v>
      </c>
      <c r="V1078" s="37">
        <v>0</v>
      </c>
      <c r="W1078" s="37">
        <v>40874</v>
      </c>
      <c r="X1078" s="37">
        <v>40874</v>
      </c>
      <c r="Y1078" s="37">
        <v>0</v>
      </c>
      <c r="Z1078" s="37">
        <v>0</v>
      </c>
      <c r="AA1078" s="37">
        <v>137781</v>
      </c>
      <c r="AB1078" s="37">
        <v>90507</v>
      </c>
      <c r="AC1078" s="37">
        <v>0</v>
      </c>
      <c r="AD1078" s="37">
        <v>0</v>
      </c>
      <c r="AE1078" s="37">
        <v>0</v>
      </c>
      <c r="AF1078" s="168">
        <v>0.02</v>
      </c>
      <c r="AG1078" s="37">
        <v>20676092.780000001</v>
      </c>
      <c r="AH1078" s="37">
        <v>156254.6</v>
      </c>
      <c r="AI1078" s="37">
        <v>159379.69</v>
      </c>
      <c r="AJ1078" s="37">
        <v>149036.88</v>
      </c>
      <c r="AK1078" s="37">
        <v>152017.62</v>
      </c>
      <c r="AL1078" s="37">
        <v>155057.97</v>
      </c>
      <c r="AM1078" s="37">
        <v>158159.13</v>
      </c>
      <c r="AN1078" s="37">
        <v>161322.31</v>
      </c>
      <c r="AO1078" s="37">
        <v>164548.76</v>
      </c>
      <c r="AP1078" s="37">
        <v>167839.73</v>
      </c>
      <c r="AQ1078" s="37">
        <v>171196.53</v>
      </c>
      <c r="AR1078" s="37">
        <v>1594813.2200000002</v>
      </c>
      <c r="AS1078" s="37">
        <v>7726866.6500000004</v>
      </c>
      <c r="AT1078" s="37">
        <v>0</v>
      </c>
      <c r="AU1078" s="37">
        <v>292154.71999999997</v>
      </c>
      <c r="AV1078" s="37">
        <v>0</v>
      </c>
      <c r="AW1078" s="37">
        <v>0</v>
      </c>
      <c r="AX1078" s="37">
        <v>0</v>
      </c>
      <c r="AY1078" s="37">
        <v>0</v>
      </c>
      <c r="AZ1078" s="37">
        <v>0</v>
      </c>
      <c r="BA1078" s="37">
        <v>0</v>
      </c>
      <c r="BB1078" s="37">
        <v>0</v>
      </c>
      <c r="BC1078" s="37">
        <v>0</v>
      </c>
      <c r="BD1078" s="37">
        <v>292154.71999999997</v>
      </c>
      <c r="BE1078" s="37">
        <v>625000</v>
      </c>
      <c r="BF1078" s="37">
        <v>0</v>
      </c>
      <c r="BG1078" s="37">
        <v>3702859.41445</v>
      </c>
      <c r="BH1078" s="37">
        <v>289640</v>
      </c>
      <c r="BI1078" s="37">
        <v>0</v>
      </c>
      <c r="BJ1078" s="37">
        <v>0</v>
      </c>
      <c r="BK1078" s="37">
        <v>0</v>
      </c>
      <c r="BL1078" s="37">
        <v>0</v>
      </c>
      <c r="BM1078" s="37">
        <v>0</v>
      </c>
      <c r="BN1078" s="37">
        <v>0</v>
      </c>
      <c r="BO1078" s="37">
        <v>0</v>
      </c>
      <c r="BP1078" s="37">
        <v>3992499.41445</v>
      </c>
      <c r="BQ1078" s="37">
        <v>0</v>
      </c>
      <c r="BR1078" s="37">
        <v>0</v>
      </c>
      <c r="BS1078" s="37">
        <v>2690996.8141625002</v>
      </c>
      <c r="BT1078" s="37">
        <v>82770.000000000015</v>
      </c>
      <c r="BU1078" s="37">
        <v>0</v>
      </c>
      <c r="BV1078" s="37">
        <v>0</v>
      </c>
      <c r="BW1078" s="37">
        <v>0</v>
      </c>
      <c r="BX1078" s="37">
        <v>0</v>
      </c>
      <c r="BY1078" s="37">
        <v>0</v>
      </c>
      <c r="BZ1078" s="37">
        <v>0</v>
      </c>
      <c r="CA1078" s="37">
        <v>0</v>
      </c>
      <c r="CB1078" s="37">
        <v>2773766.8141625002</v>
      </c>
      <c r="CC1078" s="37">
        <v>0</v>
      </c>
      <c r="CD1078" s="37">
        <v>0</v>
      </c>
      <c r="CE1078" s="37">
        <v>27808.271387500004</v>
      </c>
      <c r="CF1078" s="37">
        <v>27590.000000000004</v>
      </c>
      <c r="CG1078" s="37">
        <v>0</v>
      </c>
      <c r="CH1078" s="37">
        <v>0</v>
      </c>
      <c r="CI1078" s="37">
        <v>0</v>
      </c>
      <c r="CJ1078" s="37">
        <v>0</v>
      </c>
      <c r="CK1078" s="37">
        <v>0</v>
      </c>
      <c r="CL1078" s="37">
        <v>0</v>
      </c>
      <c r="CM1078" s="37">
        <v>0</v>
      </c>
      <c r="CN1078" s="37">
        <v>55398.271387500004</v>
      </c>
      <c r="CO1078" s="37">
        <v>0</v>
      </c>
      <c r="CP1078" s="37">
        <v>43608.517004000001</v>
      </c>
      <c r="CQ1078" s="37">
        <v>0</v>
      </c>
      <c r="CR1078" s="37">
        <v>0</v>
      </c>
      <c r="CS1078" s="37">
        <v>0</v>
      </c>
      <c r="CT1078" s="37">
        <v>0</v>
      </c>
      <c r="CU1078" s="37">
        <v>0</v>
      </c>
      <c r="CV1078" s="37">
        <v>0</v>
      </c>
      <c r="CW1078" s="37">
        <v>0</v>
      </c>
      <c r="CX1078" s="37">
        <v>0</v>
      </c>
      <c r="CY1078" s="37">
        <v>0</v>
      </c>
      <c r="CZ1078" s="37">
        <v>43608.517004000001</v>
      </c>
      <c r="DA1078" s="37">
        <v>0</v>
      </c>
      <c r="DB1078" s="37">
        <v>12461.942247000003</v>
      </c>
      <c r="DC1078" s="37">
        <v>0</v>
      </c>
      <c r="DD1078" s="37">
        <v>0</v>
      </c>
      <c r="DE1078" s="37">
        <v>0</v>
      </c>
      <c r="DF1078" s="37">
        <v>0</v>
      </c>
      <c r="DG1078" s="37">
        <v>0</v>
      </c>
      <c r="DH1078" s="37">
        <v>0</v>
      </c>
      <c r="DI1078" s="37">
        <v>0</v>
      </c>
      <c r="DJ1078" s="37">
        <v>0</v>
      </c>
      <c r="DK1078" s="37">
        <v>0</v>
      </c>
      <c r="DL1078" s="37">
        <v>12461.942247000003</v>
      </c>
      <c r="DM1078" s="37">
        <v>0</v>
      </c>
      <c r="DN1078" s="37">
        <v>4153.9807490000003</v>
      </c>
      <c r="DO1078" s="37">
        <v>0</v>
      </c>
      <c r="DP1078" s="37">
        <v>0</v>
      </c>
      <c r="DQ1078" s="37">
        <v>0</v>
      </c>
      <c r="DR1078" s="37">
        <v>0</v>
      </c>
      <c r="DS1078" s="37">
        <v>0</v>
      </c>
      <c r="DT1078" s="37">
        <v>0</v>
      </c>
      <c r="DU1078" s="37">
        <v>0</v>
      </c>
      <c r="DV1078" s="37">
        <v>0</v>
      </c>
      <c r="DW1078" s="37">
        <v>0</v>
      </c>
      <c r="DX1078" s="37">
        <v>4153.9807490000003</v>
      </c>
      <c r="DY1078" s="37">
        <v>0</v>
      </c>
      <c r="DZ1078" s="37">
        <v>0</v>
      </c>
      <c r="EA1078" s="37">
        <v>0</v>
      </c>
      <c r="EB1078" s="37">
        <v>0</v>
      </c>
      <c r="EC1078" s="37">
        <v>0</v>
      </c>
      <c r="ED1078" s="37">
        <v>0</v>
      </c>
      <c r="EE1078" s="37">
        <v>0</v>
      </c>
      <c r="EF1078" s="37">
        <v>0</v>
      </c>
      <c r="EG1078" s="37">
        <v>0</v>
      </c>
      <c r="EH1078" s="37">
        <v>0</v>
      </c>
      <c r="EI1078" s="37">
        <v>0</v>
      </c>
      <c r="EJ1078" s="37">
        <v>0</v>
      </c>
      <c r="EK1078" s="161" t="s">
        <v>3599</v>
      </c>
      <c r="EL1078" s="294" t="s">
        <v>1124</v>
      </c>
    </row>
    <row r="1079" spans="1:142" ht="15" customHeight="1" x14ac:dyDescent="0.35">
      <c r="A1079" s="34"/>
      <c r="B1079" s="313">
        <v>42060</v>
      </c>
      <c r="C1079" s="8" t="s">
        <v>387</v>
      </c>
      <c r="D1079" s="18">
        <v>5</v>
      </c>
      <c r="E1079" s="155">
        <v>59738</v>
      </c>
      <c r="F1079" s="36">
        <v>47460</v>
      </c>
      <c r="G1079" s="37">
        <v>953</v>
      </c>
      <c r="H1079" s="37">
        <v>1753</v>
      </c>
      <c r="I1079" s="37">
        <v>6266</v>
      </c>
      <c r="J1079" s="37">
        <v>2349</v>
      </c>
      <c r="K1079" s="37">
        <v>6695.7000000000007</v>
      </c>
      <c r="L1079" s="37">
        <v>5156.2000000000007</v>
      </c>
      <c r="M1079" s="37">
        <v>73652.7</v>
      </c>
      <c r="N1079" s="37">
        <v>56718.2</v>
      </c>
      <c r="O1079" s="37">
        <v>0</v>
      </c>
      <c r="P1079" s="37">
        <v>0</v>
      </c>
      <c r="Q1079" s="37">
        <v>70100</v>
      </c>
      <c r="R1079" s="37">
        <v>42355</v>
      </c>
      <c r="S1079" s="37">
        <v>9909</v>
      </c>
      <c r="T1079" s="37">
        <v>13285</v>
      </c>
      <c r="U1079" s="37">
        <v>0</v>
      </c>
      <c r="V1079" s="37">
        <v>0</v>
      </c>
      <c r="W1079" s="37">
        <v>0</v>
      </c>
      <c r="X1079" s="37">
        <v>0</v>
      </c>
      <c r="Y1079" s="37">
        <v>0</v>
      </c>
      <c r="Z1079" s="37">
        <v>0</v>
      </c>
      <c r="AA1079" s="37">
        <v>80009</v>
      </c>
      <c r="AB1079" s="37">
        <v>55640</v>
      </c>
      <c r="AC1079" s="37">
        <v>5278</v>
      </c>
      <c r="AD1079" s="37">
        <v>11100</v>
      </c>
      <c r="AE1079" s="37">
        <v>88264</v>
      </c>
      <c r="AF1079" s="168">
        <v>0.02</v>
      </c>
      <c r="AG1079" s="37">
        <v>10478270.82</v>
      </c>
      <c r="AH1079" s="37">
        <v>91600.34</v>
      </c>
      <c r="AI1079" s="37">
        <v>139503.63</v>
      </c>
      <c r="AJ1079" s="37">
        <v>142293.71</v>
      </c>
      <c r="AK1079" s="37">
        <v>97207.02</v>
      </c>
      <c r="AL1079" s="37">
        <v>99151.16</v>
      </c>
      <c r="AM1079" s="37">
        <v>101134.18</v>
      </c>
      <c r="AN1079" s="37">
        <v>103156.86</v>
      </c>
      <c r="AO1079" s="37">
        <v>105220</v>
      </c>
      <c r="AP1079" s="37">
        <v>107324.4</v>
      </c>
      <c r="AQ1079" s="37">
        <v>109470.89</v>
      </c>
      <c r="AR1079" s="37">
        <v>1096062.19</v>
      </c>
      <c r="AS1079" s="37">
        <v>0</v>
      </c>
      <c r="AT1079" s="37">
        <v>1664.64</v>
      </c>
      <c r="AU1079" s="37">
        <v>43342.33</v>
      </c>
      <c r="AV1079" s="37">
        <v>44638.69</v>
      </c>
      <c r="AW1079" s="37">
        <v>0</v>
      </c>
      <c r="AX1079" s="37">
        <v>0</v>
      </c>
      <c r="AY1079" s="37">
        <v>0</v>
      </c>
      <c r="AZ1079" s="37">
        <v>0</v>
      </c>
      <c r="BA1079" s="37">
        <v>0</v>
      </c>
      <c r="BB1079" s="37">
        <v>0</v>
      </c>
      <c r="BC1079" s="37">
        <v>0</v>
      </c>
      <c r="BD1079" s="37">
        <v>89645.66</v>
      </c>
      <c r="BE1079" s="37">
        <v>0</v>
      </c>
      <c r="BF1079" s="37">
        <v>51971.521954124284</v>
      </c>
      <c r="BG1079" s="37">
        <v>56018.741499083597</v>
      </c>
      <c r="BH1079" s="37">
        <v>68961.550129398689</v>
      </c>
      <c r="BI1079" s="37">
        <v>81904.386417393485</v>
      </c>
      <c r="BJ1079" s="37">
        <v>8895.5890853557576</v>
      </c>
      <c r="BK1079" s="37">
        <v>43075.932868768476</v>
      </c>
      <c r="BL1079" s="37">
        <v>56018.741499083597</v>
      </c>
      <c r="BM1079" s="37">
        <v>68961.550129398689</v>
      </c>
      <c r="BN1079" s="37">
        <v>81904.386417393485</v>
      </c>
      <c r="BO1079" s="37">
        <v>0</v>
      </c>
      <c r="BP1079" s="37">
        <v>517712.39999999997</v>
      </c>
      <c r="BQ1079" s="37">
        <v>0</v>
      </c>
      <c r="BR1079" s="37">
        <v>0</v>
      </c>
      <c r="BS1079" s="37">
        <v>0</v>
      </c>
      <c r="BT1079" s="37">
        <v>0</v>
      </c>
      <c r="BU1079" s="37">
        <v>0</v>
      </c>
      <c r="BV1079" s="37">
        <v>0</v>
      </c>
      <c r="BW1079" s="37">
        <v>0</v>
      </c>
      <c r="BX1079" s="37">
        <v>0</v>
      </c>
      <c r="BY1079" s="37">
        <v>0</v>
      </c>
      <c r="BZ1079" s="37">
        <v>0</v>
      </c>
      <c r="CA1079" s="37">
        <v>0</v>
      </c>
      <c r="CB1079" s="37">
        <v>0</v>
      </c>
      <c r="CC1079" s="37">
        <v>0</v>
      </c>
      <c r="CD1079" s="37">
        <v>75000</v>
      </c>
      <c r="CE1079" s="37">
        <v>15000</v>
      </c>
      <c r="CF1079" s="37">
        <v>0</v>
      </c>
      <c r="CG1079" s="37">
        <v>0</v>
      </c>
      <c r="CH1079" s="37">
        <v>0</v>
      </c>
      <c r="CI1079" s="37">
        <v>0</v>
      </c>
      <c r="CJ1079" s="37">
        <v>0</v>
      </c>
      <c r="CK1079" s="37">
        <v>0</v>
      </c>
      <c r="CL1079" s="37">
        <v>0</v>
      </c>
      <c r="CM1079" s="37">
        <v>0</v>
      </c>
      <c r="CN1079" s="37">
        <v>90000</v>
      </c>
      <c r="CO1079" s="37">
        <v>0</v>
      </c>
      <c r="CP1079" s="37">
        <v>0</v>
      </c>
      <c r="CQ1079" s="37">
        <v>0</v>
      </c>
      <c r="CR1079" s="37">
        <v>0</v>
      </c>
      <c r="CS1079" s="37">
        <v>0</v>
      </c>
      <c r="CT1079" s="37">
        <v>0</v>
      </c>
      <c r="CU1079" s="37">
        <v>0</v>
      </c>
      <c r="CV1079" s="37">
        <v>0</v>
      </c>
      <c r="CW1079" s="37">
        <v>0</v>
      </c>
      <c r="CX1079" s="37">
        <v>0</v>
      </c>
      <c r="CY1079" s="37">
        <v>0</v>
      </c>
      <c r="CZ1079" s="37">
        <v>0</v>
      </c>
      <c r="DA1079" s="37">
        <v>0</v>
      </c>
      <c r="DB1079" s="37">
        <v>0</v>
      </c>
      <c r="DC1079" s="37">
        <v>0</v>
      </c>
      <c r="DD1079" s="37">
        <v>0</v>
      </c>
      <c r="DE1079" s="37">
        <v>0</v>
      </c>
      <c r="DF1079" s="37">
        <v>0</v>
      </c>
      <c r="DG1079" s="37">
        <v>0</v>
      </c>
      <c r="DH1079" s="37">
        <v>0</v>
      </c>
      <c r="DI1079" s="37">
        <v>0</v>
      </c>
      <c r="DJ1079" s="37">
        <v>0</v>
      </c>
      <c r="DK1079" s="37">
        <v>0</v>
      </c>
      <c r="DL1079" s="37">
        <v>0</v>
      </c>
      <c r="DM1079" s="37">
        <v>0</v>
      </c>
      <c r="DN1079" s="37">
        <v>0</v>
      </c>
      <c r="DO1079" s="37">
        <v>0</v>
      </c>
      <c r="DP1079" s="37">
        <v>0</v>
      </c>
      <c r="DQ1079" s="37">
        <v>0</v>
      </c>
      <c r="DR1079" s="37">
        <v>0</v>
      </c>
      <c r="DS1079" s="37">
        <v>0</v>
      </c>
      <c r="DT1079" s="37">
        <v>0</v>
      </c>
      <c r="DU1079" s="37">
        <v>0</v>
      </c>
      <c r="DV1079" s="37">
        <v>0</v>
      </c>
      <c r="DW1079" s="37">
        <v>0</v>
      </c>
      <c r="DX1079" s="37">
        <v>0</v>
      </c>
      <c r="DY1079" s="37">
        <v>0</v>
      </c>
      <c r="DZ1079" s="37">
        <v>0</v>
      </c>
      <c r="EA1079" s="37">
        <v>0</v>
      </c>
      <c r="EB1079" s="37">
        <v>0</v>
      </c>
      <c r="EC1079" s="37">
        <v>0</v>
      </c>
      <c r="ED1079" s="37">
        <v>0</v>
      </c>
      <c r="EE1079" s="37">
        <v>0</v>
      </c>
      <c r="EF1079" s="37">
        <v>0</v>
      </c>
      <c r="EG1079" s="37">
        <v>0</v>
      </c>
      <c r="EH1079" s="37">
        <v>0</v>
      </c>
      <c r="EI1079" s="37">
        <v>0</v>
      </c>
      <c r="EJ1079" s="37">
        <v>0</v>
      </c>
      <c r="EK1079" s="161" t="s">
        <v>1124</v>
      </c>
      <c r="EL1079" s="294" t="s">
        <v>1124</v>
      </c>
    </row>
    <row r="1080" spans="1:142" ht="15" customHeight="1" x14ac:dyDescent="0.35">
      <c r="A1080" s="34"/>
      <c r="B1080" s="313">
        <v>42055</v>
      </c>
      <c r="C1080" s="8" t="s">
        <v>386</v>
      </c>
      <c r="D1080" s="18">
        <v>5</v>
      </c>
      <c r="E1080" s="155">
        <v>437098</v>
      </c>
      <c r="F1080" s="36">
        <v>219986</v>
      </c>
      <c r="G1080" s="37">
        <v>21172</v>
      </c>
      <c r="H1080" s="37">
        <v>30858</v>
      </c>
      <c r="I1080" s="37">
        <v>92902</v>
      </c>
      <c r="J1080" s="37">
        <v>92922</v>
      </c>
      <c r="K1080" s="37">
        <v>7118</v>
      </c>
      <c r="L1080" s="37">
        <v>7117</v>
      </c>
      <c r="M1080" s="37">
        <v>558290</v>
      </c>
      <c r="N1080" s="37">
        <v>350883</v>
      </c>
      <c r="O1080" s="37">
        <v>0</v>
      </c>
      <c r="P1080" s="37">
        <v>0</v>
      </c>
      <c r="Q1080" s="37">
        <v>420393</v>
      </c>
      <c r="R1080" s="37">
        <v>305442</v>
      </c>
      <c r="S1080" s="37">
        <v>148118</v>
      </c>
      <c r="T1080" s="37">
        <v>18296</v>
      </c>
      <c r="U1080" s="37">
        <v>16009</v>
      </c>
      <c r="V1080" s="37">
        <v>48582</v>
      </c>
      <c r="W1080" s="37">
        <v>0</v>
      </c>
      <c r="X1080" s="37">
        <v>0</v>
      </c>
      <c r="Y1080" s="37">
        <v>16500</v>
      </c>
      <c r="Z1080" s="37">
        <v>16500</v>
      </c>
      <c r="AA1080" s="37">
        <v>601020</v>
      </c>
      <c r="AB1080" s="37">
        <v>388820</v>
      </c>
      <c r="AC1080" s="37">
        <v>80667</v>
      </c>
      <c r="AD1080" s="37">
        <v>50000</v>
      </c>
      <c r="AE1080" s="37">
        <v>527439</v>
      </c>
      <c r="AF1080" s="168">
        <v>0.02</v>
      </c>
      <c r="AG1080" s="37">
        <v>47356652.299999997</v>
      </c>
      <c r="AH1080" s="37">
        <v>266700.99</v>
      </c>
      <c r="AI1080" s="37">
        <v>601538.01</v>
      </c>
      <c r="AJ1080" s="37">
        <v>613568.77</v>
      </c>
      <c r="AK1080" s="37">
        <v>283025.21999999997</v>
      </c>
      <c r="AL1080" s="37">
        <v>288685.73</v>
      </c>
      <c r="AM1080" s="37">
        <v>294459.44</v>
      </c>
      <c r="AN1080" s="37">
        <v>300348.63</v>
      </c>
      <c r="AO1080" s="37">
        <v>306355.59999999998</v>
      </c>
      <c r="AP1080" s="37">
        <v>312482.71999999997</v>
      </c>
      <c r="AQ1080" s="37">
        <v>318732.37</v>
      </c>
      <c r="AR1080" s="37">
        <v>3585897.4800000004</v>
      </c>
      <c r="AS1080" s="37">
        <v>0</v>
      </c>
      <c r="AT1080" s="37">
        <v>0</v>
      </c>
      <c r="AU1080" s="37">
        <v>340314.62</v>
      </c>
      <c r="AV1080" s="37">
        <v>340137.17</v>
      </c>
      <c r="AW1080" s="37">
        <v>0</v>
      </c>
      <c r="AX1080" s="37">
        <v>0</v>
      </c>
      <c r="AY1080" s="37">
        <v>0</v>
      </c>
      <c r="AZ1080" s="37">
        <v>0</v>
      </c>
      <c r="BA1080" s="37">
        <v>0</v>
      </c>
      <c r="BB1080" s="37">
        <v>0</v>
      </c>
      <c r="BC1080" s="37">
        <v>0</v>
      </c>
      <c r="BD1080" s="37">
        <v>680451.79</v>
      </c>
      <c r="BE1080" s="37">
        <v>1114915</v>
      </c>
      <c r="BF1080" s="37">
        <v>565424</v>
      </c>
      <c r="BG1080" s="37">
        <v>0</v>
      </c>
      <c r="BH1080" s="37">
        <v>0</v>
      </c>
      <c r="BI1080" s="37">
        <v>0</v>
      </c>
      <c r="BJ1080" s="37">
        <v>0</v>
      </c>
      <c r="BK1080" s="37">
        <v>0</v>
      </c>
      <c r="BL1080" s="37">
        <v>0</v>
      </c>
      <c r="BM1080" s="37">
        <v>0</v>
      </c>
      <c r="BN1080" s="37">
        <v>0</v>
      </c>
      <c r="BO1080" s="37">
        <v>0</v>
      </c>
      <c r="BP1080" s="37">
        <v>565424</v>
      </c>
      <c r="BQ1080" s="37">
        <v>538100</v>
      </c>
      <c r="BR1080" s="37">
        <v>269357</v>
      </c>
      <c r="BS1080" s="37">
        <v>0</v>
      </c>
      <c r="BT1080" s="37">
        <v>0</v>
      </c>
      <c r="BU1080" s="37">
        <v>0</v>
      </c>
      <c r="BV1080" s="37">
        <v>0</v>
      </c>
      <c r="BW1080" s="37">
        <v>0</v>
      </c>
      <c r="BX1080" s="37">
        <v>0</v>
      </c>
      <c r="BY1080" s="37">
        <v>0</v>
      </c>
      <c r="BZ1080" s="37">
        <v>0</v>
      </c>
      <c r="CA1080" s="37">
        <v>0</v>
      </c>
      <c r="CB1080" s="37">
        <v>269357</v>
      </c>
      <c r="CC1080" s="37">
        <v>47011</v>
      </c>
      <c r="CD1080" s="37">
        <v>0</v>
      </c>
      <c r="CE1080" s="37">
        <v>0</v>
      </c>
      <c r="CF1080" s="37">
        <v>0</v>
      </c>
      <c r="CG1080" s="37">
        <v>0</v>
      </c>
      <c r="CH1080" s="37">
        <v>0</v>
      </c>
      <c r="CI1080" s="37">
        <v>0</v>
      </c>
      <c r="CJ1080" s="37">
        <v>0</v>
      </c>
      <c r="CK1080" s="37">
        <v>0</v>
      </c>
      <c r="CL1080" s="37">
        <v>0</v>
      </c>
      <c r="CM1080" s="37">
        <v>0</v>
      </c>
      <c r="CN1080" s="37">
        <v>0</v>
      </c>
      <c r="CO1080" s="37">
        <v>0</v>
      </c>
      <c r="CP1080" s="37">
        <v>0</v>
      </c>
      <c r="CQ1080" s="37">
        <v>163916</v>
      </c>
      <c r="CR1080" s="37">
        <v>163916</v>
      </c>
      <c r="CS1080" s="37">
        <v>0</v>
      </c>
      <c r="CT1080" s="37">
        <v>0</v>
      </c>
      <c r="CU1080" s="37">
        <v>0</v>
      </c>
      <c r="CV1080" s="37">
        <v>0</v>
      </c>
      <c r="CW1080" s="37">
        <v>0</v>
      </c>
      <c r="CX1080" s="37">
        <v>0</v>
      </c>
      <c r="CY1080" s="37">
        <v>0</v>
      </c>
      <c r="CZ1080" s="37">
        <v>327832</v>
      </c>
      <c r="DA1080" s="37">
        <v>0</v>
      </c>
      <c r="DB1080" s="37">
        <v>0</v>
      </c>
      <c r="DC1080" s="37">
        <v>0</v>
      </c>
      <c r="DD1080" s="37">
        <v>0</v>
      </c>
      <c r="DE1080" s="37">
        <v>0</v>
      </c>
      <c r="DF1080" s="37">
        <v>0</v>
      </c>
      <c r="DG1080" s="37">
        <v>0</v>
      </c>
      <c r="DH1080" s="37">
        <v>0</v>
      </c>
      <c r="DI1080" s="37">
        <v>0</v>
      </c>
      <c r="DJ1080" s="37">
        <v>0</v>
      </c>
      <c r="DK1080" s="37">
        <v>0</v>
      </c>
      <c r="DL1080" s="37">
        <v>0</v>
      </c>
      <c r="DM1080" s="37">
        <v>0</v>
      </c>
      <c r="DN1080" s="37">
        <v>0</v>
      </c>
      <c r="DO1080" s="37">
        <v>0</v>
      </c>
      <c r="DP1080" s="37">
        <v>200000</v>
      </c>
      <c r="DQ1080" s="37">
        <v>0</v>
      </c>
      <c r="DR1080" s="37">
        <v>0</v>
      </c>
      <c r="DS1080" s="37">
        <v>0</v>
      </c>
      <c r="DT1080" s="37">
        <v>0</v>
      </c>
      <c r="DU1080" s="37">
        <v>0</v>
      </c>
      <c r="DV1080" s="37">
        <v>0</v>
      </c>
      <c r="DW1080" s="37">
        <v>0</v>
      </c>
      <c r="DX1080" s="37">
        <v>200000</v>
      </c>
      <c r="DY1080" s="37">
        <v>0</v>
      </c>
      <c r="DZ1080" s="37">
        <v>9051</v>
      </c>
      <c r="EA1080" s="37">
        <v>7659</v>
      </c>
      <c r="EB1080" s="37">
        <v>10110</v>
      </c>
      <c r="EC1080" s="37">
        <v>0</v>
      </c>
      <c r="ED1080" s="37">
        <v>0</v>
      </c>
      <c r="EE1080" s="37">
        <v>0</v>
      </c>
      <c r="EF1080" s="37">
        <v>0</v>
      </c>
      <c r="EG1080" s="37">
        <v>0</v>
      </c>
      <c r="EH1080" s="37">
        <v>0</v>
      </c>
      <c r="EI1080" s="37">
        <v>0</v>
      </c>
      <c r="EJ1080" s="37">
        <v>26820</v>
      </c>
      <c r="EK1080" s="161" t="s">
        <v>3607</v>
      </c>
      <c r="EL1080" s="294" t="s">
        <v>1124</v>
      </c>
    </row>
    <row r="1081" spans="1:142" ht="15" customHeight="1" x14ac:dyDescent="0.35">
      <c r="A1081" s="34"/>
      <c r="B1081" s="313">
        <v>78010</v>
      </c>
      <c r="C1081" s="8" t="s">
        <v>767</v>
      </c>
      <c r="D1081" s="18">
        <v>15</v>
      </c>
      <c r="E1081" s="155">
        <v>391952</v>
      </c>
      <c r="F1081" s="36">
        <v>206289</v>
      </c>
      <c r="G1081" s="37">
        <v>106993</v>
      </c>
      <c r="H1081" s="37">
        <v>15458</v>
      </c>
      <c r="I1081" s="37">
        <v>260440</v>
      </c>
      <c r="J1081" s="37">
        <v>52457</v>
      </c>
      <c r="K1081" s="37">
        <v>58793</v>
      </c>
      <c r="L1081" s="37">
        <v>30943</v>
      </c>
      <c r="M1081" s="37">
        <v>818178</v>
      </c>
      <c r="N1081" s="37">
        <v>305147</v>
      </c>
      <c r="O1081" s="37">
        <v>0</v>
      </c>
      <c r="P1081" s="37">
        <v>0</v>
      </c>
      <c r="Q1081" s="37">
        <v>467811</v>
      </c>
      <c r="R1081" s="37">
        <v>228612</v>
      </c>
      <c r="S1081" s="37">
        <v>5527</v>
      </c>
      <c r="T1081" s="37">
        <v>22506</v>
      </c>
      <c r="U1081" s="37">
        <v>249146</v>
      </c>
      <c r="V1081" s="37">
        <v>0</v>
      </c>
      <c r="W1081" s="37">
        <v>95694</v>
      </c>
      <c r="X1081" s="37">
        <v>54029</v>
      </c>
      <c r="Y1081" s="37">
        <v>0</v>
      </c>
      <c r="Z1081" s="37">
        <v>0</v>
      </c>
      <c r="AA1081" s="37">
        <v>818178</v>
      </c>
      <c r="AB1081" s="37">
        <v>305147</v>
      </c>
      <c r="AC1081" s="37">
        <v>0</v>
      </c>
      <c r="AD1081" s="37">
        <v>0</v>
      </c>
      <c r="AE1081" s="37">
        <v>0</v>
      </c>
      <c r="AF1081" s="168">
        <v>0.02</v>
      </c>
      <c r="AG1081" s="37">
        <v>64753754.960000001</v>
      </c>
      <c r="AH1081" s="37">
        <v>643483.9</v>
      </c>
      <c r="AI1081" s="37">
        <v>656353.57999999996</v>
      </c>
      <c r="AJ1081" s="37">
        <v>732261.72</v>
      </c>
      <c r="AK1081" s="37">
        <v>677349.86</v>
      </c>
      <c r="AL1081" s="37">
        <v>829189.61</v>
      </c>
      <c r="AM1081" s="37">
        <v>777081.99</v>
      </c>
      <c r="AN1081" s="37">
        <v>765675.47</v>
      </c>
      <c r="AO1081" s="37">
        <v>808476.11</v>
      </c>
      <c r="AP1081" s="37">
        <v>747848.98</v>
      </c>
      <c r="AQ1081" s="37">
        <v>762805.96</v>
      </c>
      <c r="AR1081" s="37">
        <v>7400527.1799999997</v>
      </c>
      <c r="AS1081" s="37">
        <v>9624720</v>
      </c>
      <c r="AT1081" s="37">
        <v>183600</v>
      </c>
      <c r="AU1081" s="37">
        <v>0</v>
      </c>
      <c r="AV1081" s="37">
        <v>0</v>
      </c>
      <c r="AW1081" s="37">
        <v>0</v>
      </c>
      <c r="AX1081" s="37">
        <v>0</v>
      </c>
      <c r="AY1081" s="37">
        <v>0</v>
      </c>
      <c r="AZ1081" s="37">
        <v>0</v>
      </c>
      <c r="BA1081" s="37">
        <v>0</v>
      </c>
      <c r="BB1081" s="37">
        <v>0</v>
      </c>
      <c r="BC1081" s="37">
        <v>0</v>
      </c>
      <c r="BD1081" s="37">
        <v>183600</v>
      </c>
      <c r="BE1081" s="37">
        <v>98749</v>
      </c>
      <c r="BF1081" s="37">
        <v>601197</v>
      </c>
      <c r="BG1081" s="37">
        <v>1380000</v>
      </c>
      <c r="BH1081" s="37">
        <v>0</v>
      </c>
      <c r="BI1081" s="37">
        <v>0</v>
      </c>
      <c r="BJ1081" s="37">
        <v>0</v>
      </c>
      <c r="BK1081" s="37">
        <v>0</v>
      </c>
      <c r="BL1081" s="37">
        <v>0</v>
      </c>
      <c r="BM1081" s="37">
        <v>0</v>
      </c>
      <c r="BN1081" s="37">
        <v>0</v>
      </c>
      <c r="BO1081" s="37">
        <v>0</v>
      </c>
      <c r="BP1081" s="37">
        <v>1981197</v>
      </c>
      <c r="BQ1081" s="37">
        <v>0</v>
      </c>
      <c r="BR1081" s="37">
        <v>2750000</v>
      </c>
      <c r="BS1081" s="37">
        <v>6500000</v>
      </c>
      <c r="BT1081" s="37">
        <v>1230000</v>
      </c>
      <c r="BU1081" s="37">
        <v>0</v>
      </c>
      <c r="BV1081" s="37">
        <v>0</v>
      </c>
      <c r="BW1081" s="37">
        <v>0</v>
      </c>
      <c r="BX1081" s="37">
        <v>0</v>
      </c>
      <c r="BY1081" s="37">
        <v>0</v>
      </c>
      <c r="BZ1081" s="37">
        <v>0</v>
      </c>
      <c r="CA1081" s="37">
        <v>0</v>
      </c>
      <c r="CB1081" s="37">
        <v>10480000</v>
      </c>
      <c r="CC1081" s="37">
        <v>0</v>
      </c>
      <c r="CD1081" s="37">
        <v>75000</v>
      </c>
      <c r="CE1081" s="37">
        <v>0</v>
      </c>
      <c r="CF1081" s="37">
        <v>0</v>
      </c>
      <c r="CG1081" s="37">
        <v>0</v>
      </c>
      <c r="CH1081" s="37">
        <v>0</v>
      </c>
      <c r="CI1081" s="37">
        <v>0</v>
      </c>
      <c r="CJ1081" s="37">
        <v>0</v>
      </c>
      <c r="CK1081" s="37">
        <v>0</v>
      </c>
      <c r="CL1081" s="37">
        <v>0</v>
      </c>
      <c r="CM1081" s="37">
        <v>0</v>
      </c>
      <c r="CN1081" s="37">
        <v>75000</v>
      </c>
      <c r="CO1081" s="37">
        <v>0</v>
      </c>
      <c r="CP1081" s="37">
        <v>0</v>
      </c>
      <c r="CQ1081" s="37">
        <v>0</v>
      </c>
      <c r="CR1081" s="37">
        <v>0</v>
      </c>
      <c r="CS1081" s="37">
        <v>0</v>
      </c>
      <c r="CT1081" s="37">
        <v>0</v>
      </c>
      <c r="CU1081" s="37">
        <v>0</v>
      </c>
      <c r="CV1081" s="37">
        <v>0</v>
      </c>
      <c r="CW1081" s="37">
        <v>0</v>
      </c>
      <c r="CX1081" s="37">
        <v>0</v>
      </c>
      <c r="CY1081" s="37">
        <v>0</v>
      </c>
      <c r="CZ1081" s="37">
        <v>0</v>
      </c>
      <c r="DA1081" s="37">
        <v>0</v>
      </c>
      <c r="DB1081" s="37">
        <v>180000</v>
      </c>
      <c r="DC1081" s="37">
        <v>0</v>
      </c>
      <c r="DD1081" s="37">
        <v>0</v>
      </c>
      <c r="DE1081" s="37">
        <v>0</v>
      </c>
      <c r="DF1081" s="37">
        <v>0</v>
      </c>
      <c r="DG1081" s="37">
        <v>0</v>
      </c>
      <c r="DH1081" s="37">
        <v>0</v>
      </c>
      <c r="DI1081" s="37">
        <v>0</v>
      </c>
      <c r="DJ1081" s="37">
        <v>0</v>
      </c>
      <c r="DK1081" s="37">
        <v>0</v>
      </c>
      <c r="DL1081" s="37">
        <v>180000</v>
      </c>
      <c r="DM1081" s="37">
        <v>0</v>
      </c>
      <c r="DN1081" s="37">
        <v>0</v>
      </c>
      <c r="DO1081" s="37">
        <v>0</v>
      </c>
      <c r="DP1081" s="37">
        <v>0</v>
      </c>
      <c r="DQ1081" s="37">
        <v>0</v>
      </c>
      <c r="DR1081" s="37">
        <v>0</v>
      </c>
      <c r="DS1081" s="37">
        <v>0</v>
      </c>
      <c r="DT1081" s="37">
        <v>0</v>
      </c>
      <c r="DU1081" s="37">
        <v>0</v>
      </c>
      <c r="DV1081" s="37">
        <v>0</v>
      </c>
      <c r="DW1081" s="37">
        <v>0</v>
      </c>
      <c r="DX1081" s="37">
        <v>0</v>
      </c>
      <c r="DY1081" s="37">
        <v>0</v>
      </c>
      <c r="DZ1081" s="37">
        <v>0</v>
      </c>
      <c r="EA1081" s="37">
        <v>0</v>
      </c>
      <c r="EB1081" s="37">
        <v>0</v>
      </c>
      <c r="EC1081" s="37">
        <v>0</v>
      </c>
      <c r="ED1081" s="37">
        <v>0</v>
      </c>
      <c r="EE1081" s="37">
        <v>0</v>
      </c>
      <c r="EF1081" s="37">
        <v>0</v>
      </c>
      <c r="EG1081" s="37">
        <v>0</v>
      </c>
      <c r="EH1081" s="37">
        <v>0</v>
      </c>
      <c r="EI1081" s="37">
        <v>0</v>
      </c>
      <c r="EJ1081" s="37">
        <v>0</v>
      </c>
      <c r="EK1081" s="161" t="s">
        <v>3614</v>
      </c>
      <c r="EL1081" s="294" t="s">
        <v>1124</v>
      </c>
    </row>
    <row r="1082" spans="1:142" ht="15" customHeight="1" x14ac:dyDescent="0.35">
      <c r="A1082" s="34"/>
      <c r="B1082" s="313">
        <v>80140</v>
      </c>
      <c r="C1082" s="8" t="s">
        <v>825</v>
      </c>
      <c r="D1082" s="18">
        <v>7</v>
      </c>
      <c r="E1082" s="155"/>
      <c r="F1082" s="36"/>
      <c r="G1082" s="37"/>
      <c r="H1082" s="37"/>
      <c r="I1082" s="37"/>
      <c r="J1082" s="37"/>
      <c r="K1082" s="37"/>
      <c r="L1082" s="37"/>
      <c r="M1082" s="37" t="s">
        <v>1124</v>
      </c>
      <c r="N1082" s="37" t="s">
        <v>1124</v>
      </c>
      <c r="O1082" s="37"/>
      <c r="P1082" s="37"/>
      <c r="Q1082" s="37"/>
      <c r="R1082" s="37"/>
      <c r="S1082" s="37"/>
      <c r="T1082" s="37"/>
      <c r="U1082" s="37"/>
      <c r="V1082" s="37"/>
      <c r="W1082" s="37"/>
      <c r="X1082" s="37"/>
      <c r="Y1082" s="37"/>
      <c r="Z1082" s="37"/>
      <c r="AA1082" s="37" t="s">
        <v>1124</v>
      </c>
      <c r="AB1082" s="37" t="s">
        <v>1124</v>
      </c>
      <c r="AC1082" s="37"/>
      <c r="AD1082" s="37"/>
      <c r="AE1082" s="37"/>
      <c r="AF1082" s="168"/>
      <c r="AG1082" s="37"/>
      <c r="AH1082" s="37"/>
      <c r="AI1082" s="37"/>
      <c r="AJ1082" s="37"/>
      <c r="AK1082" s="37"/>
      <c r="AL1082" s="37"/>
      <c r="AM1082" s="37"/>
      <c r="AN1082" s="37"/>
      <c r="AO1082" s="37"/>
      <c r="AP1082" s="37"/>
      <c r="AQ1082" s="37"/>
      <c r="AR1082" s="37" t="s">
        <v>1124</v>
      </c>
      <c r="AS1082" s="37"/>
      <c r="AT1082" s="37"/>
      <c r="AU1082" s="37"/>
      <c r="AV1082" s="37"/>
      <c r="AW1082" s="37"/>
      <c r="AX1082" s="37"/>
      <c r="AY1082" s="37"/>
      <c r="AZ1082" s="37"/>
      <c r="BA1082" s="37"/>
      <c r="BB1082" s="37"/>
      <c r="BC1082" s="37"/>
      <c r="BD1082" s="37" t="s">
        <v>1124</v>
      </c>
      <c r="BE1082" s="37"/>
      <c r="BF1082" s="37"/>
      <c r="BG1082" s="37"/>
      <c r="BH1082" s="37"/>
      <c r="BI1082" s="37"/>
      <c r="BJ1082" s="37"/>
      <c r="BK1082" s="37"/>
      <c r="BL1082" s="37"/>
      <c r="BM1082" s="37"/>
      <c r="BN1082" s="37"/>
      <c r="BO1082" s="37"/>
      <c r="BP1082" s="37">
        <v>0</v>
      </c>
      <c r="BQ1082" s="37"/>
      <c r="BR1082" s="37"/>
      <c r="BS1082" s="37"/>
      <c r="BT1082" s="37"/>
      <c r="BU1082" s="37"/>
      <c r="BV1082" s="37"/>
      <c r="BW1082" s="37"/>
      <c r="BX1082" s="37"/>
      <c r="BY1082" s="37"/>
      <c r="BZ1082" s="37"/>
      <c r="CA1082" s="37"/>
      <c r="CB1082" s="37" t="s">
        <v>1124</v>
      </c>
      <c r="CC1082" s="37"/>
      <c r="CD1082" s="37"/>
      <c r="CE1082" s="37"/>
      <c r="CF1082" s="37"/>
      <c r="CG1082" s="37"/>
      <c r="CH1082" s="37"/>
      <c r="CI1082" s="37"/>
      <c r="CJ1082" s="37"/>
      <c r="CK1082" s="37"/>
      <c r="CL1082" s="37"/>
      <c r="CM1082" s="37"/>
      <c r="CN1082" s="37" t="s">
        <v>1124</v>
      </c>
      <c r="CO1082" s="37"/>
      <c r="CP1082" s="37"/>
      <c r="CQ1082" s="37"/>
      <c r="CR1082" s="37"/>
      <c r="CS1082" s="37"/>
      <c r="CT1082" s="37"/>
      <c r="CU1082" s="37"/>
      <c r="CV1082" s="37"/>
      <c r="CW1082" s="37"/>
      <c r="CX1082" s="37"/>
      <c r="CY1082" s="37"/>
      <c r="CZ1082" s="37" t="s">
        <v>1124</v>
      </c>
      <c r="DA1082" s="37"/>
      <c r="DB1082" s="37"/>
      <c r="DC1082" s="37"/>
      <c r="DD1082" s="37"/>
      <c r="DE1082" s="37"/>
      <c r="DF1082" s="37"/>
      <c r="DG1082" s="37"/>
      <c r="DH1082" s="37"/>
      <c r="DI1082" s="37"/>
      <c r="DJ1082" s="37"/>
      <c r="DK1082" s="37"/>
      <c r="DL1082" s="37" t="s">
        <v>1124</v>
      </c>
      <c r="DM1082" s="37"/>
      <c r="DN1082" s="37"/>
      <c r="DO1082" s="37"/>
      <c r="DP1082" s="37"/>
      <c r="DQ1082" s="37"/>
      <c r="DR1082" s="37"/>
      <c r="DS1082" s="37"/>
      <c r="DT1082" s="37"/>
      <c r="DU1082" s="37"/>
      <c r="DV1082" s="37"/>
      <c r="DW1082" s="37"/>
      <c r="DX1082" s="37" t="s">
        <v>1124</v>
      </c>
      <c r="DY1082" s="37"/>
      <c r="DZ1082" s="37"/>
      <c r="EA1082" s="37"/>
      <c r="EB1082" s="37"/>
      <c r="EC1082" s="37"/>
      <c r="ED1082" s="37"/>
      <c r="EE1082" s="37"/>
      <c r="EF1082" s="37"/>
      <c r="EG1082" s="37"/>
      <c r="EH1082" s="37"/>
      <c r="EI1082" s="37"/>
      <c r="EJ1082" s="37" t="s">
        <v>1124</v>
      </c>
      <c r="EK1082" s="161"/>
      <c r="EL1082" s="294"/>
    </row>
    <row r="1083" spans="1:142" ht="15" customHeight="1" x14ac:dyDescent="0.35">
      <c r="A1083" s="34"/>
      <c r="B1083" s="313">
        <v>78100</v>
      </c>
      <c r="C1083" s="8" t="s">
        <v>780</v>
      </c>
      <c r="D1083" s="18">
        <v>15</v>
      </c>
      <c r="E1083" s="155"/>
      <c r="F1083" s="36"/>
      <c r="G1083" s="37"/>
      <c r="H1083" s="37"/>
      <c r="I1083" s="37"/>
      <c r="J1083" s="37"/>
      <c r="K1083" s="37"/>
      <c r="L1083" s="37"/>
      <c r="M1083" s="37" t="s">
        <v>1124</v>
      </c>
      <c r="N1083" s="37" t="s">
        <v>1124</v>
      </c>
      <c r="O1083" s="37"/>
      <c r="P1083" s="37"/>
      <c r="Q1083" s="37"/>
      <c r="R1083" s="37"/>
      <c r="S1083" s="37"/>
      <c r="T1083" s="37"/>
      <c r="U1083" s="37"/>
      <c r="V1083" s="37"/>
      <c r="W1083" s="37"/>
      <c r="X1083" s="37"/>
      <c r="Y1083" s="37"/>
      <c r="Z1083" s="37"/>
      <c r="AA1083" s="37" t="s">
        <v>1124</v>
      </c>
      <c r="AB1083" s="37" t="s">
        <v>1124</v>
      </c>
      <c r="AC1083" s="37"/>
      <c r="AD1083" s="37"/>
      <c r="AE1083" s="37"/>
      <c r="AF1083" s="168"/>
      <c r="AG1083" s="37"/>
      <c r="AH1083" s="37"/>
      <c r="AI1083" s="37"/>
      <c r="AJ1083" s="37"/>
      <c r="AK1083" s="37"/>
      <c r="AL1083" s="37"/>
      <c r="AM1083" s="37"/>
      <c r="AN1083" s="37"/>
      <c r="AO1083" s="37"/>
      <c r="AP1083" s="37"/>
      <c r="AQ1083" s="37"/>
      <c r="AR1083" s="37" t="s">
        <v>1124</v>
      </c>
      <c r="AS1083" s="37"/>
      <c r="AT1083" s="37"/>
      <c r="AU1083" s="37"/>
      <c r="AV1083" s="37"/>
      <c r="AW1083" s="37"/>
      <c r="AX1083" s="37"/>
      <c r="AY1083" s="37"/>
      <c r="AZ1083" s="37"/>
      <c r="BA1083" s="37"/>
      <c r="BB1083" s="37"/>
      <c r="BC1083" s="37"/>
      <c r="BD1083" s="37" t="s">
        <v>1124</v>
      </c>
      <c r="BE1083" s="37"/>
      <c r="BF1083" s="37"/>
      <c r="BG1083" s="37"/>
      <c r="BH1083" s="37"/>
      <c r="BI1083" s="37"/>
      <c r="BJ1083" s="37"/>
      <c r="BK1083" s="37"/>
      <c r="BL1083" s="37"/>
      <c r="BM1083" s="37"/>
      <c r="BN1083" s="37"/>
      <c r="BO1083" s="37"/>
      <c r="BP1083" s="37">
        <v>0</v>
      </c>
      <c r="BQ1083" s="37"/>
      <c r="BR1083" s="37"/>
      <c r="BS1083" s="37"/>
      <c r="BT1083" s="37"/>
      <c r="BU1083" s="37"/>
      <c r="BV1083" s="37"/>
      <c r="BW1083" s="37"/>
      <c r="BX1083" s="37"/>
      <c r="BY1083" s="37"/>
      <c r="BZ1083" s="37"/>
      <c r="CA1083" s="37"/>
      <c r="CB1083" s="37" t="s">
        <v>1124</v>
      </c>
      <c r="CC1083" s="37"/>
      <c r="CD1083" s="37"/>
      <c r="CE1083" s="37"/>
      <c r="CF1083" s="37"/>
      <c r="CG1083" s="37"/>
      <c r="CH1083" s="37"/>
      <c r="CI1083" s="37"/>
      <c r="CJ1083" s="37"/>
      <c r="CK1083" s="37"/>
      <c r="CL1083" s="37"/>
      <c r="CM1083" s="37"/>
      <c r="CN1083" s="37" t="s">
        <v>1124</v>
      </c>
      <c r="CO1083" s="37"/>
      <c r="CP1083" s="37"/>
      <c r="CQ1083" s="37"/>
      <c r="CR1083" s="37"/>
      <c r="CS1083" s="37"/>
      <c r="CT1083" s="37"/>
      <c r="CU1083" s="37"/>
      <c r="CV1083" s="37"/>
      <c r="CW1083" s="37"/>
      <c r="CX1083" s="37"/>
      <c r="CY1083" s="37"/>
      <c r="CZ1083" s="37" t="s">
        <v>1124</v>
      </c>
      <c r="DA1083" s="37"/>
      <c r="DB1083" s="37"/>
      <c r="DC1083" s="37"/>
      <c r="DD1083" s="37"/>
      <c r="DE1083" s="37"/>
      <c r="DF1083" s="37"/>
      <c r="DG1083" s="37"/>
      <c r="DH1083" s="37"/>
      <c r="DI1083" s="37"/>
      <c r="DJ1083" s="37"/>
      <c r="DK1083" s="37"/>
      <c r="DL1083" s="37" t="s">
        <v>1124</v>
      </c>
      <c r="DM1083" s="37"/>
      <c r="DN1083" s="37"/>
      <c r="DO1083" s="37"/>
      <c r="DP1083" s="37"/>
      <c r="DQ1083" s="37"/>
      <c r="DR1083" s="37"/>
      <c r="DS1083" s="37"/>
      <c r="DT1083" s="37"/>
      <c r="DU1083" s="37"/>
      <c r="DV1083" s="37"/>
      <c r="DW1083" s="37"/>
      <c r="DX1083" s="37" t="s">
        <v>1124</v>
      </c>
      <c r="DY1083" s="37"/>
      <c r="DZ1083" s="37"/>
      <c r="EA1083" s="37"/>
      <c r="EB1083" s="37"/>
      <c r="EC1083" s="37"/>
      <c r="ED1083" s="37"/>
      <c r="EE1083" s="37"/>
      <c r="EF1083" s="37"/>
      <c r="EG1083" s="37"/>
      <c r="EH1083" s="37"/>
      <c r="EI1083" s="37"/>
      <c r="EJ1083" s="37" t="s">
        <v>1124</v>
      </c>
      <c r="EK1083" s="161"/>
      <c r="EL1083" s="294"/>
    </row>
    <row r="1084" spans="1:142" ht="15" customHeight="1" x14ac:dyDescent="0.35">
      <c r="A1084" s="34"/>
      <c r="B1084" s="313">
        <v>82015</v>
      </c>
      <c r="C1084" s="8" t="s">
        <v>830</v>
      </c>
      <c r="D1084" s="18">
        <v>7</v>
      </c>
      <c r="E1084" s="155"/>
      <c r="F1084" s="36"/>
      <c r="G1084" s="37"/>
      <c r="H1084" s="37"/>
      <c r="I1084" s="37"/>
      <c r="J1084" s="37"/>
      <c r="K1084" s="37"/>
      <c r="L1084" s="37"/>
      <c r="M1084" s="37" t="s">
        <v>1124</v>
      </c>
      <c r="N1084" s="37" t="s">
        <v>1124</v>
      </c>
      <c r="O1084" s="37"/>
      <c r="P1084" s="37"/>
      <c r="Q1084" s="37"/>
      <c r="R1084" s="37"/>
      <c r="S1084" s="37"/>
      <c r="T1084" s="37"/>
      <c r="U1084" s="37"/>
      <c r="V1084" s="37"/>
      <c r="W1084" s="37"/>
      <c r="X1084" s="37"/>
      <c r="Y1084" s="37"/>
      <c r="Z1084" s="37"/>
      <c r="AA1084" s="37" t="s">
        <v>1124</v>
      </c>
      <c r="AB1084" s="37" t="s">
        <v>1124</v>
      </c>
      <c r="AC1084" s="37"/>
      <c r="AD1084" s="37"/>
      <c r="AE1084" s="37"/>
      <c r="AF1084" s="168"/>
      <c r="AG1084" s="37"/>
      <c r="AH1084" s="37"/>
      <c r="AI1084" s="37"/>
      <c r="AJ1084" s="37"/>
      <c r="AK1084" s="37"/>
      <c r="AL1084" s="37"/>
      <c r="AM1084" s="37"/>
      <c r="AN1084" s="37"/>
      <c r="AO1084" s="37"/>
      <c r="AP1084" s="37"/>
      <c r="AQ1084" s="37"/>
      <c r="AR1084" s="37" t="s">
        <v>1124</v>
      </c>
      <c r="AS1084" s="37"/>
      <c r="AT1084" s="37"/>
      <c r="AU1084" s="37"/>
      <c r="AV1084" s="37"/>
      <c r="AW1084" s="37"/>
      <c r="AX1084" s="37"/>
      <c r="AY1084" s="37"/>
      <c r="AZ1084" s="37"/>
      <c r="BA1084" s="37"/>
      <c r="BB1084" s="37"/>
      <c r="BC1084" s="37"/>
      <c r="BD1084" s="37" t="s">
        <v>1124</v>
      </c>
      <c r="BE1084" s="37"/>
      <c r="BF1084" s="37"/>
      <c r="BG1084" s="37"/>
      <c r="BH1084" s="37"/>
      <c r="BI1084" s="37"/>
      <c r="BJ1084" s="37"/>
      <c r="BK1084" s="37"/>
      <c r="BL1084" s="37"/>
      <c r="BM1084" s="37"/>
      <c r="BN1084" s="37"/>
      <c r="BO1084" s="37"/>
      <c r="BP1084" s="37">
        <v>0</v>
      </c>
      <c r="BQ1084" s="37"/>
      <c r="BR1084" s="37"/>
      <c r="BS1084" s="37"/>
      <c r="BT1084" s="37"/>
      <c r="BU1084" s="37"/>
      <c r="BV1084" s="37"/>
      <c r="BW1084" s="37"/>
      <c r="BX1084" s="37"/>
      <c r="BY1084" s="37"/>
      <c r="BZ1084" s="37"/>
      <c r="CA1084" s="37"/>
      <c r="CB1084" s="37" t="s">
        <v>1124</v>
      </c>
      <c r="CC1084" s="37"/>
      <c r="CD1084" s="37"/>
      <c r="CE1084" s="37"/>
      <c r="CF1084" s="37"/>
      <c r="CG1084" s="37"/>
      <c r="CH1084" s="37"/>
      <c r="CI1084" s="37"/>
      <c r="CJ1084" s="37"/>
      <c r="CK1084" s="37"/>
      <c r="CL1084" s="37"/>
      <c r="CM1084" s="37"/>
      <c r="CN1084" s="37" t="s">
        <v>1124</v>
      </c>
      <c r="CO1084" s="37"/>
      <c r="CP1084" s="37"/>
      <c r="CQ1084" s="37"/>
      <c r="CR1084" s="37"/>
      <c r="CS1084" s="37"/>
      <c r="CT1084" s="37"/>
      <c r="CU1084" s="37"/>
      <c r="CV1084" s="37"/>
      <c r="CW1084" s="37"/>
      <c r="CX1084" s="37"/>
      <c r="CY1084" s="37"/>
      <c r="CZ1084" s="37" t="s">
        <v>1124</v>
      </c>
      <c r="DA1084" s="37"/>
      <c r="DB1084" s="37"/>
      <c r="DC1084" s="37"/>
      <c r="DD1084" s="37"/>
      <c r="DE1084" s="37"/>
      <c r="DF1084" s="37"/>
      <c r="DG1084" s="37"/>
      <c r="DH1084" s="37"/>
      <c r="DI1084" s="37"/>
      <c r="DJ1084" s="37"/>
      <c r="DK1084" s="37"/>
      <c r="DL1084" s="37" t="s">
        <v>1124</v>
      </c>
      <c r="DM1084" s="37"/>
      <c r="DN1084" s="37"/>
      <c r="DO1084" s="37"/>
      <c r="DP1084" s="37"/>
      <c r="DQ1084" s="37"/>
      <c r="DR1084" s="37"/>
      <c r="DS1084" s="37"/>
      <c r="DT1084" s="37"/>
      <c r="DU1084" s="37"/>
      <c r="DV1084" s="37"/>
      <c r="DW1084" s="37"/>
      <c r="DX1084" s="37" t="s">
        <v>1124</v>
      </c>
      <c r="DY1084" s="37"/>
      <c r="DZ1084" s="37"/>
      <c r="EA1084" s="37"/>
      <c r="EB1084" s="37"/>
      <c r="EC1084" s="37"/>
      <c r="ED1084" s="37"/>
      <c r="EE1084" s="37"/>
      <c r="EF1084" s="37"/>
      <c r="EG1084" s="37"/>
      <c r="EH1084" s="37"/>
      <c r="EI1084" s="37"/>
      <c r="EJ1084" s="37" t="s">
        <v>1124</v>
      </c>
      <c r="EK1084" s="161"/>
      <c r="EL1084" s="294"/>
    </row>
    <row r="1085" spans="1:142" ht="15" customHeight="1" x14ac:dyDescent="0.35">
      <c r="A1085" s="34"/>
      <c r="B1085" s="313">
        <v>89008</v>
      </c>
      <c r="C1085" s="8" t="s">
        <v>928</v>
      </c>
      <c r="D1085" s="18">
        <v>8</v>
      </c>
      <c r="E1085" s="155">
        <v>1584418</v>
      </c>
      <c r="F1085" s="36">
        <v>2267783</v>
      </c>
      <c r="G1085" s="37">
        <v>24650</v>
      </c>
      <c r="H1085" s="37">
        <v>24650</v>
      </c>
      <c r="I1085" s="37">
        <v>72900</v>
      </c>
      <c r="J1085" s="37">
        <v>125700</v>
      </c>
      <c r="K1085" s="37">
        <v>237663</v>
      </c>
      <c r="L1085" s="37">
        <v>340168</v>
      </c>
      <c r="M1085" s="37">
        <v>1919631</v>
      </c>
      <c r="N1085" s="37">
        <v>2758301</v>
      </c>
      <c r="O1085" s="37">
        <v>327246</v>
      </c>
      <c r="P1085" s="37">
        <v>0</v>
      </c>
      <c r="Q1085" s="37">
        <v>2569873</v>
      </c>
      <c r="R1085" s="37">
        <v>471675.65</v>
      </c>
      <c r="S1085" s="37">
        <v>0</v>
      </c>
      <c r="T1085" s="37">
        <v>0</v>
      </c>
      <c r="U1085" s="37">
        <v>0</v>
      </c>
      <c r="V1085" s="37">
        <v>0</v>
      </c>
      <c r="W1085" s="37">
        <v>0</v>
      </c>
      <c r="X1085" s="37">
        <v>2144144.52</v>
      </c>
      <c r="Y1085" s="37">
        <v>0</v>
      </c>
      <c r="Z1085" s="37">
        <v>0</v>
      </c>
      <c r="AA1085" s="37">
        <v>2897119</v>
      </c>
      <c r="AB1085" s="37">
        <v>2615820.17</v>
      </c>
      <c r="AC1085" s="37">
        <v>835007</v>
      </c>
      <c r="AD1085" s="37">
        <v>0</v>
      </c>
      <c r="AE1085" s="37">
        <v>0</v>
      </c>
      <c r="AF1085" s="168">
        <v>0.02</v>
      </c>
      <c r="AG1085" s="37">
        <v>114851495.34999999</v>
      </c>
      <c r="AH1085" s="37">
        <v>1032981.42</v>
      </c>
      <c r="AI1085" s="37">
        <v>1439213.29</v>
      </c>
      <c r="AJ1085" s="37">
        <v>1101774.67</v>
      </c>
      <c r="AK1085" s="37">
        <v>2249323.13</v>
      </c>
      <c r="AL1085" s="37">
        <v>1168809.6200000001</v>
      </c>
      <c r="AM1085" s="37">
        <v>1766528.64</v>
      </c>
      <c r="AN1085" s="37">
        <v>1163304.8500000001</v>
      </c>
      <c r="AO1085" s="37">
        <v>1186570.95</v>
      </c>
      <c r="AP1085" s="37">
        <v>1210302.3700000001</v>
      </c>
      <c r="AQ1085" s="37">
        <v>1234508.42</v>
      </c>
      <c r="AR1085" s="37">
        <v>13553317.360000001</v>
      </c>
      <c r="AS1085" s="37">
        <v>883975.86</v>
      </c>
      <c r="AT1085" s="37">
        <v>1226629.52</v>
      </c>
      <c r="AU1085" s="37">
        <v>1246917.28</v>
      </c>
      <c r="AV1085" s="37">
        <v>5386159.04</v>
      </c>
      <c r="AW1085" s="37">
        <v>5493882.2199999997</v>
      </c>
      <c r="AX1085" s="37">
        <v>1323238.5900000001</v>
      </c>
      <c r="AY1085" s="37">
        <v>1349703.36</v>
      </c>
      <c r="AZ1085" s="37">
        <v>1376697.43</v>
      </c>
      <c r="BA1085" s="37">
        <v>1404231.38</v>
      </c>
      <c r="BB1085" s="37">
        <v>1432316.01</v>
      </c>
      <c r="BC1085" s="37">
        <v>0</v>
      </c>
      <c r="BD1085" s="37">
        <v>20239774.829999998</v>
      </c>
      <c r="BE1085" s="37">
        <v>3952366</v>
      </c>
      <c r="BF1085" s="37">
        <v>94816</v>
      </c>
      <c r="BG1085" s="37">
        <v>0</v>
      </c>
      <c r="BH1085" s="37">
        <v>0</v>
      </c>
      <c r="BI1085" s="37">
        <v>0</v>
      </c>
      <c r="BJ1085" s="37">
        <v>0</v>
      </c>
      <c r="BK1085" s="37">
        <v>0</v>
      </c>
      <c r="BL1085" s="37">
        <v>0</v>
      </c>
      <c r="BM1085" s="37">
        <v>0</v>
      </c>
      <c r="BN1085" s="37">
        <v>0</v>
      </c>
      <c r="BO1085" s="37">
        <v>0</v>
      </c>
      <c r="BP1085" s="37">
        <v>94816</v>
      </c>
      <c r="BQ1085" s="37">
        <v>1017240</v>
      </c>
      <c r="BR1085" s="37">
        <v>1175000</v>
      </c>
      <c r="BS1085" s="37">
        <v>1175000</v>
      </c>
      <c r="BT1085" s="37">
        <v>1175000</v>
      </c>
      <c r="BU1085" s="37">
        <v>1175000</v>
      </c>
      <c r="BV1085" s="37">
        <v>1175000</v>
      </c>
      <c r="BW1085" s="37">
        <v>1175000</v>
      </c>
      <c r="BX1085" s="37">
        <v>1175000</v>
      </c>
      <c r="BY1085" s="37">
        <v>1175000</v>
      </c>
      <c r="BZ1085" s="37">
        <v>1175000</v>
      </c>
      <c r="CA1085" s="37">
        <v>1175000</v>
      </c>
      <c r="CB1085" s="37">
        <v>11750000</v>
      </c>
      <c r="CC1085" s="37">
        <v>0</v>
      </c>
      <c r="CD1085" s="37">
        <v>0</v>
      </c>
      <c r="CE1085" s="37">
        <v>0</v>
      </c>
      <c r="CF1085" s="37">
        <v>0</v>
      </c>
      <c r="CG1085" s="37">
        <v>0</v>
      </c>
      <c r="CH1085" s="37">
        <v>0</v>
      </c>
      <c r="CI1085" s="37">
        <v>0</v>
      </c>
      <c r="CJ1085" s="37">
        <v>0</v>
      </c>
      <c r="CK1085" s="37">
        <v>0</v>
      </c>
      <c r="CL1085" s="37">
        <v>0</v>
      </c>
      <c r="CM1085" s="37">
        <v>0</v>
      </c>
      <c r="CN1085" s="37">
        <v>0</v>
      </c>
      <c r="CO1085" s="37">
        <v>0</v>
      </c>
      <c r="CP1085" s="37">
        <v>0</v>
      </c>
      <c r="CQ1085" s="37">
        <v>0</v>
      </c>
      <c r="CR1085" s="37">
        <v>0</v>
      </c>
      <c r="CS1085" s="37">
        <v>0</v>
      </c>
      <c r="CT1085" s="37">
        <v>0</v>
      </c>
      <c r="CU1085" s="37">
        <v>0</v>
      </c>
      <c r="CV1085" s="37">
        <v>0</v>
      </c>
      <c r="CW1085" s="37">
        <v>0</v>
      </c>
      <c r="CX1085" s="37">
        <v>0</v>
      </c>
      <c r="CY1085" s="37">
        <v>0</v>
      </c>
      <c r="CZ1085" s="37">
        <v>0</v>
      </c>
      <c r="DA1085" s="37">
        <v>922000</v>
      </c>
      <c r="DB1085" s="37">
        <v>1787500</v>
      </c>
      <c r="DC1085" s="37">
        <v>3975000</v>
      </c>
      <c r="DD1085" s="37">
        <v>3975000</v>
      </c>
      <c r="DE1085" s="37">
        <v>0</v>
      </c>
      <c r="DF1085" s="37">
        <v>0</v>
      </c>
      <c r="DG1085" s="37">
        <v>0</v>
      </c>
      <c r="DH1085" s="37">
        <v>0</v>
      </c>
      <c r="DI1085" s="37">
        <v>0</v>
      </c>
      <c r="DJ1085" s="37">
        <v>0</v>
      </c>
      <c r="DK1085" s="37">
        <v>0</v>
      </c>
      <c r="DL1085" s="37">
        <v>9737500</v>
      </c>
      <c r="DM1085" s="37">
        <v>0</v>
      </c>
      <c r="DN1085" s="37">
        <v>0</v>
      </c>
      <c r="DO1085" s="37">
        <v>0</v>
      </c>
      <c r="DP1085" s="37">
        <v>0</v>
      </c>
      <c r="DQ1085" s="37">
        <v>0</v>
      </c>
      <c r="DR1085" s="37">
        <v>0</v>
      </c>
      <c r="DS1085" s="37">
        <v>0</v>
      </c>
      <c r="DT1085" s="37">
        <v>0</v>
      </c>
      <c r="DU1085" s="37">
        <v>0</v>
      </c>
      <c r="DV1085" s="37">
        <v>0</v>
      </c>
      <c r="DW1085" s="37">
        <v>0</v>
      </c>
      <c r="DX1085" s="37">
        <v>0</v>
      </c>
      <c r="DY1085" s="37">
        <v>0</v>
      </c>
      <c r="DZ1085" s="37">
        <v>0</v>
      </c>
      <c r="EA1085" s="37">
        <v>0</v>
      </c>
      <c r="EB1085" s="37">
        <v>0</v>
      </c>
      <c r="EC1085" s="37">
        <v>0</v>
      </c>
      <c r="ED1085" s="37">
        <v>0</v>
      </c>
      <c r="EE1085" s="37">
        <v>0</v>
      </c>
      <c r="EF1085" s="37">
        <v>0</v>
      </c>
      <c r="EG1085" s="37">
        <v>0</v>
      </c>
      <c r="EH1085" s="37">
        <v>0</v>
      </c>
      <c r="EI1085" s="37">
        <v>0</v>
      </c>
      <c r="EJ1085" s="37">
        <v>0</v>
      </c>
      <c r="EK1085" s="161" t="s">
        <v>3624</v>
      </c>
      <c r="EL1085" s="294" t="s">
        <v>1124</v>
      </c>
    </row>
    <row r="1086" spans="1:142" ht="15" customHeight="1" x14ac:dyDescent="0.35">
      <c r="A1086" s="34"/>
      <c r="B1086" s="313">
        <v>42095</v>
      </c>
      <c r="C1086" s="8" t="s">
        <v>393</v>
      </c>
      <c r="D1086" s="18">
        <v>5</v>
      </c>
      <c r="E1086" s="155"/>
      <c r="F1086" s="36"/>
      <c r="G1086" s="37"/>
      <c r="H1086" s="37"/>
      <c r="I1086" s="37"/>
      <c r="J1086" s="37"/>
      <c r="K1086" s="37"/>
      <c r="L1086" s="37"/>
      <c r="M1086" s="37" t="s">
        <v>1124</v>
      </c>
      <c r="N1086" s="37" t="s">
        <v>1124</v>
      </c>
      <c r="O1086" s="37"/>
      <c r="P1086" s="37"/>
      <c r="Q1086" s="37"/>
      <c r="R1086" s="37"/>
      <c r="S1086" s="37"/>
      <c r="T1086" s="37"/>
      <c r="U1086" s="37"/>
      <c r="V1086" s="37"/>
      <c r="W1086" s="37"/>
      <c r="X1086" s="37"/>
      <c r="Y1086" s="37"/>
      <c r="Z1086" s="37"/>
      <c r="AA1086" s="37" t="s">
        <v>1124</v>
      </c>
      <c r="AB1086" s="37" t="s">
        <v>1124</v>
      </c>
      <c r="AC1086" s="37"/>
      <c r="AD1086" s="37"/>
      <c r="AE1086" s="37"/>
      <c r="AF1086" s="168"/>
      <c r="AG1086" s="37"/>
      <c r="AH1086" s="37"/>
      <c r="AI1086" s="37"/>
      <c r="AJ1086" s="37"/>
      <c r="AK1086" s="37"/>
      <c r="AL1086" s="37"/>
      <c r="AM1086" s="37"/>
      <c r="AN1086" s="37"/>
      <c r="AO1086" s="37"/>
      <c r="AP1086" s="37"/>
      <c r="AQ1086" s="37"/>
      <c r="AR1086" s="37" t="s">
        <v>1124</v>
      </c>
      <c r="AS1086" s="37"/>
      <c r="AT1086" s="37"/>
      <c r="AU1086" s="37"/>
      <c r="AV1086" s="37"/>
      <c r="AW1086" s="37"/>
      <c r="AX1086" s="37"/>
      <c r="AY1086" s="37"/>
      <c r="AZ1086" s="37"/>
      <c r="BA1086" s="37"/>
      <c r="BB1086" s="37"/>
      <c r="BC1086" s="37"/>
      <c r="BD1086" s="37" t="s">
        <v>1124</v>
      </c>
      <c r="BE1086" s="37"/>
      <c r="BF1086" s="37"/>
      <c r="BG1086" s="37"/>
      <c r="BH1086" s="37"/>
      <c r="BI1086" s="37"/>
      <c r="BJ1086" s="37"/>
      <c r="BK1086" s="37"/>
      <c r="BL1086" s="37"/>
      <c r="BM1086" s="37"/>
      <c r="BN1086" s="37"/>
      <c r="BO1086" s="37"/>
      <c r="BP1086" s="37">
        <v>0</v>
      </c>
      <c r="BQ1086" s="37"/>
      <c r="BR1086" s="37"/>
      <c r="BS1086" s="37"/>
      <c r="BT1086" s="37"/>
      <c r="BU1086" s="37"/>
      <c r="BV1086" s="37"/>
      <c r="BW1086" s="37"/>
      <c r="BX1086" s="37"/>
      <c r="BY1086" s="37"/>
      <c r="BZ1086" s="37"/>
      <c r="CA1086" s="37"/>
      <c r="CB1086" s="37" t="s">
        <v>1124</v>
      </c>
      <c r="CC1086" s="37"/>
      <c r="CD1086" s="37"/>
      <c r="CE1086" s="37"/>
      <c r="CF1086" s="37"/>
      <c r="CG1086" s="37"/>
      <c r="CH1086" s="37"/>
      <c r="CI1086" s="37"/>
      <c r="CJ1086" s="37"/>
      <c r="CK1086" s="37"/>
      <c r="CL1086" s="37"/>
      <c r="CM1086" s="37"/>
      <c r="CN1086" s="37" t="s">
        <v>1124</v>
      </c>
      <c r="CO1086" s="37"/>
      <c r="CP1086" s="37"/>
      <c r="CQ1086" s="37"/>
      <c r="CR1086" s="37"/>
      <c r="CS1086" s="37"/>
      <c r="CT1086" s="37"/>
      <c r="CU1086" s="37"/>
      <c r="CV1086" s="37"/>
      <c r="CW1086" s="37"/>
      <c r="CX1086" s="37"/>
      <c r="CY1086" s="37"/>
      <c r="CZ1086" s="37" t="s">
        <v>1124</v>
      </c>
      <c r="DA1086" s="37"/>
      <c r="DB1086" s="37"/>
      <c r="DC1086" s="37"/>
      <c r="DD1086" s="37"/>
      <c r="DE1086" s="37"/>
      <c r="DF1086" s="37"/>
      <c r="DG1086" s="37"/>
      <c r="DH1086" s="37"/>
      <c r="DI1086" s="37"/>
      <c r="DJ1086" s="37"/>
      <c r="DK1086" s="37"/>
      <c r="DL1086" s="37" t="s">
        <v>1124</v>
      </c>
      <c r="DM1086" s="37"/>
      <c r="DN1086" s="37"/>
      <c r="DO1086" s="37"/>
      <c r="DP1086" s="37"/>
      <c r="DQ1086" s="37"/>
      <c r="DR1086" s="37"/>
      <c r="DS1086" s="37"/>
      <c r="DT1086" s="37"/>
      <c r="DU1086" s="37"/>
      <c r="DV1086" s="37"/>
      <c r="DW1086" s="37"/>
      <c r="DX1086" s="37" t="s">
        <v>1124</v>
      </c>
      <c r="DY1086" s="37"/>
      <c r="DZ1086" s="37"/>
      <c r="EA1086" s="37"/>
      <c r="EB1086" s="37"/>
      <c r="EC1086" s="37"/>
      <c r="ED1086" s="37"/>
      <c r="EE1086" s="37"/>
      <c r="EF1086" s="37"/>
      <c r="EG1086" s="37"/>
      <c r="EH1086" s="37"/>
      <c r="EI1086" s="37"/>
      <c r="EJ1086" s="37" t="s">
        <v>1124</v>
      </c>
      <c r="EK1086" s="161"/>
      <c r="EL1086" s="294"/>
    </row>
    <row r="1087" spans="1:142" ht="15" customHeight="1" x14ac:dyDescent="0.35">
      <c r="A1087" s="34"/>
      <c r="B1087" s="313">
        <v>26015</v>
      </c>
      <c r="C1087" s="8" t="s">
        <v>169</v>
      </c>
      <c r="D1087" s="18">
        <v>12</v>
      </c>
      <c r="E1087" s="155">
        <v>91078</v>
      </c>
      <c r="F1087" s="36">
        <v>345744</v>
      </c>
      <c r="G1087" s="37">
        <v>12583</v>
      </c>
      <c r="H1087" s="37">
        <v>57560</v>
      </c>
      <c r="I1087" s="37">
        <v>31156</v>
      </c>
      <c r="J1087" s="37">
        <v>31156</v>
      </c>
      <c r="K1087" s="37">
        <v>13661.699999999999</v>
      </c>
      <c r="L1087" s="37">
        <v>51861.599999999999</v>
      </c>
      <c r="M1087" s="37">
        <v>148478.70000000001</v>
      </c>
      <c r="N1087" s="37">
        <v>486321.6</v>
      </c>
      <c r="O1087" s="37">
        <v>7777</v>
      </c>
      <c r="P1087" s="37">
        <v>170359</v>
      </c>
      <c r="Q1087" s="37">
        <v>168153</v>
      </c>
      <c r="R1087" s="37">
        <v>189264</v>
      </c>
      <c r="S1087" s="37">
        <v>0</v>
      </c>
      <c r="T1087" s="37">
        <v>164494</v>
      </c>
      <c r="U1087" s="37">
        <v>44959</v>
      </c>
      <c r="V1087" s="37">
        <v>39791</v>
      </c>
      <c r="W1087" s="37">
        <v>0</v>
      </c>
      <c r="X1087" s="37">
        <v>0</v>
      </c>
      <c r="Y1087" s="37">
        <v>0</v>
      </c>
      <c r="Z1087" s="37">
        <v>0</v>
      </c>
      <c r="AA1087" s="37">
        <v>220889</v>
      </c>
      <c r="AB1087" s="37">
        <v>563908</v>
      </c>
      <c r="AC1087" s="37">
        <v>149996.69999999995</v>
      </c>
      <c r="AD1087" s="37">
        <v>0</v>
      </c>
      <c r="AE1087" s="37">
        <v>0</v>
      </c>
      <c r="AF1087" s="168">
        <v>0.02</v>
      </c>
      <c r="AG1087" s="37">
        <v>38668871.100000001</v>
      </c>
      <c r="AH1087" s="37">
        <v>310151.01</v>
      </c>
      <c r="AI1087" s="37">
        <v>323782.48</v>
      </c>
      <c r="AJ1087" s="37">
        <v>322681.11</v>
      </c>
      <c r="AK1087" s="37">
        <v>329134.73</v>
      </c>
      <c r="AL1087" s="37">
        <v>335717.42</v>
      </c>
      <c r="AM1087" s="37">
        <v>342431.77</v>
      </c>
      <c r="AN1087" s="37">
        <v>349280.41</v>
      </c>
      <c r="AO1087" s="37">
        <v>356266.02</v>
      </c>
      <c r="AP1087" s="37">
        <v>363391.34</v>
      </c>
      <c r="AQ1087" s="37">
        <v>370659.16</v>
      </c>
      <c r="AR1087" s="37">
        <v>3403495.45</v>
      </c>
      <c r="AS1087" s="37">
        <v>1631729.03</v>
      </c>
      <c r="AT1087" s="37">
        <v>1640323.2</v>
      </c>
      <c r="AU1087" s="37">
        <v>0</v>
      </c>
      <c r="AV1087" s="37">
        <v>159181.20000000001</v>
      </c>
      <c r="AW1087" s="37">
        <v>162364.82</v>
      </c>
      <c r="AX1087" s="37">
        <v>0</v>
      </c>
      <c r="AY1087" s="37">
        <v>0</v>
      </c>
      <c r="AZ1087" s="37">
        <v>0</v>
      </c>
      <c r="BA1087" s="37">
        <v>0</v>
      </c>
      <c r="BB1087" s="37">
        <v>0</v>
      </c>
      <c r="BC1087" s="37">
        <v>0</v>
      </c>
      <c r="BD1087" s="37">
        <v>1961869.22</v>
      </c>
      <c r="BE1087" s="37">
        <v>0</v>
      </c>
      <c r="BF1087" s="37">
        <v>100000</v>
      </c>
      <c r="BG1087" s="37">
        <v>0</v>
      </c>
      <c r="BH1087" s="37">
        <v>0</v>
      </c>
      <c r="BI1087" s="37">
        <v>600000</v>
      </c>
      <c r="BJ1087" s="37">
        <v>0</v>
      </c>
      <c r="BK1087" s="37">
        <v>0</v>
      </c>
      <c r="BL1087" s="37">
        <v>0</v>
      </c>
      <c r="BM1087" s="37">
        <v>0</v>
      </c>
      <c r="BN1087" s="37">
        <v>0</v>
      </c>
      <c r="BO1087" s="37">
        <v>0</v>
      </c>
      <c r="BP1087" s="37">
        <v>700000</v>
      </c>
      <c r="BQ1087" s="37">
        <v>0</v>
      </c>
      <c r="BR1087" s="37">
        <v>0</v>
      </c>
      <c r="BS1087" s="37">
        <v>0</v>
      </c>
      <c r="BT1087" s="37">
        <v>0</v>
      </c>
      <c r="BU1087" s="37">
        <v>0</v>
      </c>
      <c r="BV1087" s="37">
        <v>0</v>
      </c>
      <c r="BW1087" s="37">
        <v>0</v>
      </c>
      <c r="BX1087" s="37">
        <v>0</v>
      </c>
      <c r="BY1087" s="37">
        <v>0</v>
      </c>
      <c r="BZ1087" s="37">
        <v>0</v>
      </c>
      <c r="CA1087" s="37">
        <v>0</v>
      </c>
      <c r="CB1087" s="37">
        <v>0</v>
      </c>
      <c r="CC1087" s="37">
        <v>0</v>
      </c>
      <c r="CD1087" s="37">
        <v>0</v>
      </c>
      <c r="CE1087" s="37">
        <v>0</v>
      </c>
      <c r="CF1087" s="37">
        <v>0</v>
      </c>
      <c r="CG1087" s="37">
        <v>0</v>
      </c>
      <c r="CH1087" s="37">
        <v>0</v>
      </c>
      <c r="CI1087" s="37">
        <v>0</v>
      </c>
      <c r="CJ1087" s="37">
        <v>0</v>
      </c>
      <c r="CK1087" s="37">
        <v>0</v>
      </c>
      <c r="CL1087" s="37">
        <v>0</v>
      </c>
      <c r="CM1087" s="37">
        <v>0</v>
      </c>
      <c r="CN1087" s="37">
        <v>0</v>
      </c>
      <c r="CO1087" s="37">
        <v>0</v>
      </c>
      <c r="CP1087" s="37">
        <v>0</v>
      </c>
      <c r="CQ1087" s="37">
        <v>0</v>
      </c>
      <c r="CR1087" s="37">
        <v>300000</v>
      </c>
      <c r="CS1087" s="37">
        <v>0</v>
      </c>
      <c r="CT1087" s="37">
        <v>0</v>
      </c>
      <c r="CU1087" s="37">
        <v>0</v>
      </c>
      <c r="CV1087" s="37">
        <v>0</v>
      </c>
      <c r="CW1087" s="37">
        <v>0</v>
      </c>
      <c r="CX1087" s="37">
        <v>0</v>
      </c>
      <c r="CY1087" s="37">
        <v>0</v>
      </c>
      <c r="CZ1087" s="37">
        <v>300000</v>
      </c>
      <c r="DA1087" s="37">
        <v>0</v>
      </c>
      <c r="DB1087" s="37">
        <v>0</v>
      </c>
      <c r="DC1087" s="37">
        <v>0</v>
      </c>
      <c r="DD1087" s="37">
        <v>0</v>
      </c>
      <c r="DE1087" s="37">
        <v>0</v>
      </c>
      <c r="DF1087" s="37">
        <v>0</v>
      </c>
      <c r="DG1087" s="37">
        <v>0</v>
      </c>
      <c r="DH1087" s="37">
        <v>0</v>
      </c>
      <c r="DI1087" s="37">
        <v>0</v>
      </c>
      <c r="DJ1087" s="37">
        <v>0</v>
      </c>
      <c r="DK1087" s="37">
        <v>0</v>
      </c>
      <c r="DL1087" s="37">
        <v>0</v>
      </c>
      <c r="DM1087" s="37">
        <v>0</v>
      </c>
      <c r="DN1087" s="37">
        <v>0</v>
      </c>
      <c r="DO1087" s="37">
        <v>0</v>
      </c>
      <c r="DP1087" s="37">
        <v>0</v>
      </c>
      <c r="DQ1087" s="37">
        <v>0</v>
      </c>
      <c r="DR1087" s="37">
        <v>0</v>
      </c>
      <c r="DS1087" s="37">
        <v>0</v>
      </c>
      <c r="DT1087" s="37">
        <v>0</v>
      </c>
      <c r="DU1087" s="37">
        <v>0</v>
      </c>
      <c r="DV1087" s="37">
        <v>0</v>
      </c>
      <c r="DW1087" s="37">
        <v>0</v>
      </c>
      <c r="DX1087" s="37">
        <v>0</v>
      </c>
      <c r="DY1087" s="37">
        <v>0</v>
      </c>
      <c r="DZ1087" s="37">
        <v>0</v>
      </c>
      <c r="EA1087" s="37">
        <v>0</v>
      </c>
      <c r="EB1087" s="37">
        <v>0</v>
      </c>
      <c r="EC1087" s="37">
        <v>0</v>
      </c>
      <c r="ED1087" s="37">
        <v>0</v>
      </c>
      <c r="EE1087" s="37">
        <v>0</v>
      </c>
      <c r="EF1087" s="37">
        <v>0</v>
      </c>
      <c r="EG1087" s="37">
        <v>0</v>
      </c>
      <c r="EH1087" s="37">
        <v>0</v>
      </c>
      <c r="EI1087" s="37">
        <v>0</v>
      </c>
      <c r="EJ1087" s="37">
        <v>0</v>
      </c>
      <c r="EK1087" s="161" t="s">
        <v>3628</v>
      </c>
      <c r="EL1087" s="294" t="s">
        <v>1124</v>
      </c>
    </row>
    <row r="1088" spans="1:142" ht="15" customHeight="1" x14ac:dyDescent="0.35">
      <c r="A1088" s="34"/>
      <c r="B1088" s="313">
        <v>78005</v>
      </c>
      <c r="C1088" s="8" t="s">
        <v>766</v>
      </c>
      <c r="D1088" s="18">
        <v>15</v>
      </c>
      <c r="E1088" s="155">
        <v>238627</v>
      </c>
      <c r="F1088" s="36">
        <v>34979</v>
      </c>
      <c r="G1088" s="37">
        <v>66317</v>
      </c>
      <c r="H1088" s="37">
        <v>171368</v>
      </c>
      <c r="I1088" s="37">
        <v>279200</v>
      </c>
      <c r="J1088" s="37">
        <v>393100</v>
      </c>
      <c r="K1088" s="37">
        <v>35794.049999999996</v>
      </c>
      <c r="L1088" s="37">
        <v>5246.8499999999995</v>
      </c>
      <c r="M1088" s="37">
        <v>619938.05000000005</v>
      </c>
      <c r="N1088" s="37">
        <v>604693.85</v>
      </c>
      <c r="O1088" s="37">
        <v>0</v>
      </c>
      <c r="P1088" s="37">
        <v>0</v>
      </c>
      <c r="Q1088" s="37">
        <v>280422</v>
      </c>
      <c r="R1088" s="37">
        <v>219138</v>
      </c>
      <c r="S1088" s="37">
        <v>0</v>
      </c>
      <c r="T1088" s="37">
        <v>0</v>
      </c>
      <c r="U1088" s="37">
        <v>279747</v>
      </c>
      <c r="V1088" s="37">
        <v>0</v>
      </c>
      <c r="W1088" s="37">
        <v>59769</v>
      </c>
      <c r="X1088" s="37">
        <v>385556</v>
      </c>
      <c r="Y1088" s="37">
        <v>0</v>
      </c>
      <c r="Z1088" s="37">
        <v>0</v>
      </c>
      <c r="AA1088" s="37">
        <v>619938</v>
      </c>
      <c r="AB1088" s="37">
        <v>604694</v>
      </c>
      <c r="AC1088" s="37">
        <v>0</v>
      </c>
      <c r="AD1088" s="37">
        <v>0</v>
      </c>
      <c r="AE1088" s="37">
        <v>0</v>
      </c>
      <c r="AF1088" s="168">
        <v>0.02</v>
      </c>
      <c r="AG1088" s="37">
        <v>31809303.460000001</v>
      </c>
      <c r="AH1088" s="37">
        <v>341134.13</v>
      </c>
      <c r="AI1088" s="37">
        <v>374487.02</v>
      </c>
      <c r="AJ1088" s="37">
        <v>354915.95</v>
      </c>
      <c r="AK1088" s="37">
        <v>362014.27</v>
      </c>
      <c r="AL1088" s="37">
        <v>369254.56</v>
      </c>
      <c r="AM1088" s="37">
        <v>376639.65</v>
      </c>
      <c r="AN1088" s="37">
        <v>384172.44</v>
      </c>
      <c r="AO1088" s="37">
        <v>391855.89</v>
      </c>
      <c r="AP1088" s="37">
        <v>399693.01</v>
      </c>
      <c r="AQ1088" s="37">
        <v>407686.87</v>
      </c>
      <c r="AR1088" s="37">
        <v>3761853.79</v>
      </c>
      <c r="AS1088" s="37">
        <v>1269900</v>
      </c>
      <c r="AT1088" s="37">
        <v>10404</v>
      </c>
      <c r="AU1088" s="37">
        <v>100814.76</v>
      </c>
      <c r="AV1088" s="37">
        <v>201332.38</v>
      </c>
      <c r="AW1088" s="37">
        <v>0</v>
      </c>
      <c r="AX1088" s="37">
        <v>0</v>
      </c>
      <c r="AY1088" s="37">
        <v>0</v>
      </c>
      <c r="AZ1088" s="37">
        <v>0</v>
      </c>
      <c r="BA1088" s="37">
        <v>0</v>
      </c>
      <c r="BB1088" s="37">
        <v>0</v>
      </c>
      <c r="BC1088" s="37">
        <v>0</v>
      </c>
      <c r="BD1088" s="37">
        <v>312551.14</v>
      </c>
      <c r="BE1088" s="37">
        <v>0</v>
      </c>
      <c r="BF1088" s="37">
        <v>0</v>
      </c>
      <c r="BG1088" s="37">
        <v>2007105</v>
      </c>
      <c r="BH1088" s="37">
        <v>137189</v>
      </c>
      <c r="BI1088" s="37">
        <v>137189</v>
      </c>
      <c r="BJ1088" s="37">
        <v>137189</v>
      </c>
      <c r="BK1088" s="37">
        <v>0</v>
      </c>
      <c r="BL1088" s="37">
        <v>0</v>
      </c>
      <c r="BM1088" s="37">
        <v>0</v>
      </c>
      <c r="BN1088" s="37">
        <v>0</v>
      </c>
      <c r="BO1088" s="37">
        <v>0</v>
      </c>
      <c r="BP1088" s="37">
        <v>2418672</v>
      </c>
      <c r="BQ1088" s="37">
        <v>0</v>
      </c>
      <c r="BR1088" s="37">
        <v>0</v>
      </c>
      <c r="BS1088" s="37">
        <v>0</v>
      </c>
      <c r="BT1088" s="37">
        <v>0</v>
      </c>
      <c r="BU1088" s="37">
        <v>0</v>
      </c>
      <c r="BV1088" s="37">
        <v>0</v>
      </c>
      <c r="BW1088" s="37">
        <v>0</v>
      </c>
      <c r="BX1088" s="37">
        <v>0</v>
      </c>
      <c r="BY1088" s="37">
        <v>0</v>
      </c>
      <c r="BZ1088" s="37">
        <v>0</v>
      </c>
      <c r="CA1088" s="37">
        <v>0</v>
      </c>
      <c r="CB1088" s="37">
        <v>0</v>
      </c>
      <c r="CC1088" s="37">
        <v>0</v>
      </c>
      <c r="CD1088" s="37">
        <v>0</v>
      </c>
      <c r="CE1088" s="37">
        <v>0</v>
      </c>
      <c r="CF1088" s="37">
        <v>0</v>
      </c>
      <c r="CG1088" s="37">
        <v>0</v>
      </c>
      <c r="CH1088" s="37">
        <v>0</v>
      </c>
      <c r="CI1088" s="37">
        <v>0</v>
      </c>
      <c r="CJ1088" s="37">
        <v>0</v>
      </c>
      <c r="CK1088" s="37">
        <v>0</v>
      </c>
      <c r="CL1088" s="37">
        <v>0</v>
      </c>
      <c r="CM1088" s="37">
        <v>0</v>
      </c>
      <c r="CN1088" s="37">
        <v>0</v>
      </c>
      <c r="CO1088" s="37">
        <v>0</v>
      </c>
      <c r="CP1088" s="37">
        <v>0</v>
      </c>
      <c r="CQ1088" s="37">
        <v>0</v>
      </c>
      <c r="CR1088" s="37">
        <v>0</v>
      </c>
      <c r="CS1088" s="37">
        <v>0</v>
      </c>
      <c r="CT1088" s="37">
        <v>0</v>
      </c>
      <c r="CU1088" s="37">
        <v>0</v>
      </c>
      <c r="CV1088" s="37">
        <v>0</v>
      </c>
      <c r="CW1088" s="37">
        <v>0</v>
      </c>
      <c r="CX1088" s="37">
        <v>0</v>
      </c>
      <c r="CY1088" s="37">
        <v>0</v>
      </c>
      <c r="CZ1088" s="37">
        <v>0</v>
      </c>
      <c r="DA1088" s="37">
        <v>0</v>
      </c>
      <c r="DB1088" s="37">
        <v>0</v>
      </c>
      <c r="DC1088" s="37">
        <v>0</v>
      </c>
      <c r="DD1088" s="37">
        <v>0</v>
      </c>
      <c r="DE1088" s="37">
        <v>0</v>
      </c>
      <c r="DF1088" s="37">
        <v>0</v>
      </c>
      <c r="DG1088" s="37">
        <v>0</v>
      </c>
      <c r="DH1088" s="37">
        <v>0</v>
      </c>
      <c r="DI1088" s="37">
        <v>0</v>
      </c>
      <c r="DJ1088" s="37">
        <v>0</v>
      </c>
      <c r="DK1088" s="37">
        <v>0</v>
      </c>
      <c r="DL1088" s="37">
        <v>0</v>
      </c>
      <c r="DM1088" s="37">
        <v>0</v>
      </c>
      <c r="DN1088" s="37">
        <v>0</v>
      </c>
      <c r="DO1088" s="37">
        <v>0</v>
      </c>
      <c r="DP1088" s="37">
        <v>0</v>
      </c>
      <c r="DQ1088" s="37">
        <v>0</v>
      </c>
      <c r="DR1088" s="37">
        <v>0</v>
      </c>
      <c r="DS1088" s="37">
        <v>0</v>
      </c>
      <c r="DT1088" s="37">
        <v>0</v>
      </c>
      <c r="DU1088" s="37">
        <v>0</v>
      </c>
      <c r="DV1088" s="37">
        <v>0</v>
      </c>
      <c r="DW1088" s="37">
        <v>0</v>
      </c>
      <c r="DX1088" s="37">
        <v>0</v>
      </c>
      <c r="DY1088" s="37">
        <v>0</v>
      </c>
      <c r="DZ1088" s="37">
        <v>0</v>
      </c>
      <c r="EA1088" s="37">
        <v>0</v>
      </c>
      <c r="EB1088" s="37">
        <v>0</v>
      </c>
      <c r="EC1088" s="37">
        <v>0</v>
      </c>
      <c r="ED1088" s="37">
        <v>0</v>
      </c>
      <c r="EE1088" s="37">
        <v>0</v>
      </c>
      <c r="EF1088" s="37">
        <v>0</v>
      </c>
      <c r="EG1088" s="37">
        <v>0</v>
      </c>
      <c r="EH1088" s="37">
        <v>0</v>
      </c>
      <c r="EI1088" s="37">
        <v>0</v>
      </c>
      <c r="EJ1088" s="37">
        <v>0</v>
      </c>
      <c r="EK1088" s="161" t="s">
        <v>1124</v>
      </c>
      <c r="EL1088" s="294" t="s">
        <v>1124</v>
      </c>
    </row>
    <row r="1089" spans="1:142" ht="15" customHeight="1" x14ac:dyDescent="0.35">
      <c r="A1089" s="34"/>
      <c r="B1089" s="313">
        <v>30015</v>
      </c>
      <c r="C1089" s="8" t="s">
        <v>219</v>
      </c>
      <c r="D1089" s="18">
        <v>5</v>
      </c>
      <c r="E1089" s="155"/>
      <c r="F1089" s="36"/>
      <c r="G1089" s="37"/>
      <c r="H1089" s="37"/>
      <c r="I1089" s="37"/>
      <c r="J1089" s="37"/>
      <c r="K1089" s="37"/>
      <c r="L1089" s="37"/>
      <c r="M1089" s="37" t="s">
        <v>1124</v>
      </c>
      <c r="N1089" s="37" t="s">
        <v>1124</v>
      </c>
      <c r="O1089" s="37"/>
      <c r="P1089" s="37"/>
      <c r="Q1089" s="37"/>
      <c r="R1089" s="37"/>
      <c r="S1089" s="37"/>
      <c r="T1089" s="37"/>
      <c r="U1089" s="37"/>
      <c r="V1089" s="37"/>
      <c r="W1089" s="37"/>
      <c r="X1089" s="37"/>
      <c r="Y1089" s="37"/>
      <c r="Z1089" s="37"/>
      <c r="AA1089" s="37" t="s">
        <v>1124</v>
      </c>
      <c r="AB1089" s="37" t="s">
        <v>1124</v>
      </c>
      <c r="AC1089" s="37"/>
      <c r="AD1089" s="37"/>
      <c r="AE1089" s="37"/>
      <c r="AF1089" s="168"/>
      <c r="AG1089" s="37"/>
      <c r="AH1089" s="37"/>
      <c r="AI1089" s="37"/>
      <c r="AJ1089" s="37"/>
      <c r="AK1089" s="37"/>
      <c r="AL1089" s="37"/>
      <c r="AM1089" s="37"/>
      <c r="AN1089" s="37"/>
      <c r="AO1089" s="37"/>
      <c r="AP1089" s="37"/>
      <c r="AQ1089" s="37"/>
      <c r="AR1089" s="37" t="s">
        <v>1124</v>
      </c>
      <c r="AS1089" s="37"/>
      <c r="AT1089" s="37"/>
      <c r="AU1089" s="37"/>
      <c r="AV1089" s="37"/>
      <c r="AW1089" s="37"/>
      <c r="AX1089" s="37"/>
      <c r="AY1089" s="37"/>
      <c r="AZ1089" s="37"/>
      <c r="BA1089" s="37"/>
      <c r="BB1089" s="37"/>
      <c r="BC1089" s="37"/>
      <c r="BD1089" s="37" t="s">
        <v>1124</v>
      </c>
      <c r="BE1089" s="37"/>
      <c r="BF1089" s="37"/>
      <c r="BG1089" s="37"/>
      <c r="BH1089" s="37"/>
      <c r="BI1089" s="37"/>
      <c r="BJ1089" s="37"/>
      <c r="BK1089" s="37"/>
      <c r="BL1089" s="37"/>
      <c r="BM1089" s="37"/>
      <c r="BN1089" s="37"/>
      <c r="BO1089" s="37"/>
      <c r="BP1089" s="37">
        <v>0</v>
      </c>
      <c r="BQ1089" s="37"/>
      <c r="BR1089" s="37"/>
      <c r="BS1089" s="37"/>
      <c r="BT1089" s="37"/>
      <c r="BU1089" s="37"/>
      <c r="BV1089" s="37"/>
      <c r="BW1089" s="37"/>
      <c r="BX1089" s="37"/>
      <c r="BY1089" s="37"/>
      <c r="BZ1089" s="37"/>
      <c r="CA1089" s="37"/>
      <c r="CB1089" s="37" t="s">
        <v>1124</v>
      </c>
      <c r="CC1089" s="37"/>
      <c r="CD1089" s="37"/>
      <c r="CE1089" s="37"/>
      <c r="CF1089" s="37"/>
      <c r="CG1089" s="37"/>
      <c r="CH1089" s="37"/>
      <c r="CI1089" s="37"/>
      <c r="CJ1089" s="37"/>
      <c r="CK1089" s="37"/>
      <c r="CL1089" s="37"/>
      <c r="CM1089" s="37"/>
      <c r="CN1089" s="37" t="s">
        <v>1124</v>
      </c>
      <c r="CO1089" s="37"/>
      <c r="CP1089" s="37"/>
      <c r="CQ1089" s="37"/>
      <c r="CR1089" s="37"/>
      <c r="CS1089" s="37"/>
      <c r="CT1089" s="37"/>
      <c r="CU1089" s="37"/>
      <c r="CV1089" s="37"/>
      <c r="CW1089" s="37"/>
      <c r="CX1089" s="37"/>
      <c r="CY1089" s="37"/>
      <c r="CZ1089" s="37" t="s">
        <v>1124</v>
      </c>
      <c r="DA1089" s="37"/>
      <c r="DB1089" s="37"/>
      <c r="DC1089" s="37"/>
      <c r="DD1089" s="37"/>
      <c r="DE1089" s="37"/>
      <c r="DF1089" s="37"/>
      <c r="DG1089" s="37"/>
      <c r="DH1089" s="37"/>
      <c r="DI1089" s="37"/>
      <c r="DJ1089" s="37"/>
      <c r="DK1089" s="37"/>
      <c r="DL1089" s="37" t="s">
        <v>1124</v>
      </c>
      <c r="DM1089" s="37"/>
      <c r="DN1089" s="37"/>
      <c r="DO1089" s="37"/>
      <c r="DP1089" s="37"/>
      <c r="DQ1089" s="37"/>
      <c r="DR1089" s="37"/>
      <c r="DS1089" s="37"/>
      <c r="DT1089" s="37"/>
      <c r="DU1089" s="37"/>
      <c r="DV1089" s="37"/>
      <c r="DW1089" s="37"/>
      <c r="DX1089" s="37" t="s">
        <v>1124</v>
      </c>
      <c r="DY1089" s="37"/>
      <c r="DZ1089" s="37"/>
      <c r="EA1089" s="37"/>
      <c r="EB1089" s="37"/>
      <c r="EC1089" s="37"/>
      <c r="ED1089" s="37"/>
      <c r="EE1089" s="37"/>
      <c r="EF1089" s="37"/>
      <c r="EG1089" s="37"/>
      <c r="EH1089" s="37"/>
      <c r="EI1089" s="37"/>
      <c r="EJ1089" s="37" t="s">
        <v>1124</v>
      </c>
      <c r="EK1089" s="161"/>
      <c r="EL1089" s="294"/>
    </row>
    <row r="1090" spans="1:142" ht="15" customHeight="1" x14ac:dyDescent="0.35">
      <c r="A1090" s="34"/>
      <c r="B1090" s="313">
        <v>87105</v>
      </c>
      <c r="C1090" s="8" t="s">
        <v>907</v>
      </c>
      <c r="D1090" s="18">
        <v>8</v>
      </c>
      <c r="E1090" s="155"/>
      <c r="F1090" s="36"/>
      <c r="G1090" s="37"/>
      <c r="H1090" s="37"/>
      <c r="I1090" s="37"/>
      <c r="J1090" s="37"/>
      <c r="K1090" s="37"/>
      <c r="L1090" s="37"/>
      <c r="M1090" s="37" t="s">
        <v>1124</v>
      </c>
      <c r="N1090" s="37" t="s">
        <v>1124</v>
      </c>
      <c r="O1090" s="37"/>
      <c r="P1090" s="37"/>
      <c r="Q1090" s="37"/>
      <c r="R1090" s="37"/>
      <c r="S1090" s="37"/>
      <c r="T1090" s="37"/>
      <c r="U1090" s="37"/>
      <c r="V1090" s="37"/>
      <c r="W1090" s="37"/>
      <c r="X1090" s="37"/>
      <c r="Y1090" s="37"/>
      <c r="Z1090" s="37"/>
      <c r="AA1090" s="37" t="s">
        <v>1124</v>
      </c>
      <c r="AB1090" s="37" t="s">
        <v>1124</v>
      </c>
      <c r="AC1090" s="37"/>
      <c r="AD1090" s="37"/>
      <c r="AE1090" s="37"/>
      <c r="AF1090" s="168"/>
      <c r="AG1090" s="37"/>
      <c r="AH1090" s="37"/>
      <c r="AI1090" s="37"/>
      <c r="AJ1090" s="37"/>
      <c r="AK1090" s="37"/>
      <c r="AL1090" s="37"/>
      <c r="AM1090" s="37"/>
      <c r="AN1090" s="37"/>
      <c r="AO1090" s="37"/>
      <c r="AP1090" s="37"/>
      <c r="AQ1090" s="37"/>
      <c r="AR1090" s="37" t="s">
        <v>1124</v>
      </c>
      <c r="AS1090" s="37"/>
      <c r="AT1090" s="37"/>
      <c r="AU1090" s="37"/>
      <c r="AV1090" s="37"/>
      <c r="AW1090" s="37"/>
      <c r="AX1090" s="37"/>
      <c r="AY1090" s="37"/>
      <c r="AZ1090" s="37"/>
      <c r="BA1090" s="37"/>
      <c r="BB1090" s="37"/>
      <c r="BC1090" s="37"/>
      <c r="BD1090" s="37" t="s">
        <v>1124</v>
      </c>
      <c r="BE1090" s="37"/>
      <c r="BF1090" s="37"/>
      <c r="BG1090" s="37"/>
      <c r="BH1090" s="37"/>
      <c r="BI1090" s="37"/>
      <c r="BJ1090" s="37"/>
      <c r="BK1090" s="37"/>
      <c r="BL1090" s="37"/>
      <c r="BM1090" s="37"/>
      <c r="BN1090" s="37"/>
      <c r="BO1090" s="37"/>
      <c r="BP1090" s="37">
        <v>0</v>
      </c>
      <c r="BQ1090" s="37"/>
      <c r="BR1090" s="37"/>
      <c r="BS1090" s="37"/>
      <c r="BT1090" s="37"/>
      <c r="BU1090" s="37"/>
      <c r="BV1090" s="37"/>
      <c r="BW1090" s="37"/>
      <c r="BX1090" s="37"/>
      <c r="BY1090" s="37"/>
      <c r="BZ1090" s="37"/>
      <c r="CA1090" s="37"/>
      <c r="CB1090" s="37" t="s">
        <v>1124</v>
      </c>
      <c r="CC1090" s="37"/>
      <c r="CD1090" s="37"/>
      <c r="CE1090" s="37"/>
      <c r="CF1090" s="37"/>
      <c r="CG1090" s="37"/>
      <c r="CH1090" s="37"/>
      <c r="CI1090" s="37"/>
      <c r="CJ1090" s="37"/>
      <c r="CK1090" s="37"/>
      <c r="CL1090" s="37"/>
      <c r="CM1090" s="37"/>
      <c r="CN1090" s="37" t="s">
        <v>1124</v>
      </c>
      <c r="CO1090" s="37"/>
      <c r="CP1090" s="37"/>
      <c r="CQ1090" s="37"/>
      <c r="CR1090" s="37"/>
      <c r="CS1090" s="37"/>
      <c r="CT1090" s="37"/>
      <c r="CU1090" s="37"/>
      <c r="CV1090" s="37"/>
      <c r="CW1090" s="37"/>
      <c r="CX1090" s="37"/>
      <c r="CY1090" s="37"/>
      <c r="CZ1090" s="37" t="s">
        <v>1124</v>
      </c>
      <c r="DA1090" s="37"/>
      <c r="DB1090" s="37"/>
      <c r="DC1090" s="37"/>
      <c r="DD1090" s="37"/>
      <c r="DE1090" s="37"/>
      <c r="DF1090" s="37"/>
      <c r="DG1090" s="37"/>
      <c r="DH1090" s="37"/>
      <c r="DI1090" s="37"/>
      <c r="DJ1090" s="37"/>
      <c r="DK1090" s="37"/>
      <c r="DL1090" s="37" t="s">
        <v>1124</v>
      </c>
      <c r="DM1090" s="37"/>
      <c r="DN1090" s="37"/>
      <c r="DO1090" s="37"/>
      <c r="DP1090" s="37"/>
      <c r="DQ1090" s="37"/>
      <c r="DR1090" s="37"/>
      <c r="DS1090" s="37"/>
      <c r="DT1090" s="37"/>
      <c r="DU1090" s="37"/>
      <c r="DV1090" s="37"/>
      <c r="DW1090" s="37"/>
      <c r="DX1090" s="37" t="s">
        <v>1124</v>
      </c>
      <c r="DY1090" s="37"/>
      <c r="DZ1090" s="37"/>
      <c r="EA1090" s="37"/>
      <c r="EB1090" s="37"/>
      <c r="EC1090" s="37"/>
      <c r="ED1090" s="37"/>
      <c r="EE1090" s="37"/>
      <c r="EF1090" s="37"/>
      <c r="EG1090" s="37"/>
      <c r="EH1090" s="37"/>
      <c r="EI1090" s="37"/>
      <c r="EJ1090" s="37" t="s">
        <v>1124</v>
      </c>
      <c r="EK1090" s="161"/>
      <c r="EL1090" s="294"/>
    </row>
    <row r="1091" spans="1:142" ht="15" customHeight="1" x14ac:dyDescent="0.35">
      <c r="A1091" s="34"/>
      <c r="B1091" s="313">
        <v>59020</v>
      </c>
      <c r="C1091" s="8" t="s">
        <v>601</v>
      </c>
      <c r="D1091" s="18">
        <v>16</v>
      </c>
      <c r="E1091" s="155"/>
      <c r="F1091" s="36"/>
      <c r="G1091" s="37"/>
      <c r="H1091" s="37"/>
      <c r="I1091" s="37"/>
      <c r="J1091" s="37"/>
      <c r="K1091" s="37"/>
      <c r="L1091" s="37"/>
      <c r="M1091" s="37" t="s">
        <v>1124</v>
      </c>
      <c r="N1091" s="37" t="s">
        <v>1124</v>
      </c>
      <c r="O1091" s="37"/>
      <c r="P1091" s="37"/>
      <c r="Q1091" s="37"/>
      <c r="R1091" s="37"/>
      <c r="S1091" s="37"/>
      <c r="T1091" s="37"/>
      <c r="U1091" s="37"/>
      <c r="V1091" s="37"/>
      <c r="W1091" s="37"/>
      <c r="X1091" s="37"/>
      <c r="Y1091" s="37"/>
      <c r="Z1091" s="37"/>
      <c r="AA1091" s="37" t="s">
        <v>1124</v>
      </c>
      <c r="AB1091" s="37" t="s">
        <v>1124</v>
      </c>
      <c r="AC1091" s="37"/>
      <c r="AD1091" s="37"/>
      <c r="AE1091" s="37"/>
      <c r="AF1091" s="168"/>
      <c r="AG1091" s="37"/>
      <c r="AH1091" s="37"/>
      <c r="AI1091" s="37"/>
      <c r="AJ1091" s="37"/>
      <c r="AK1091" s="37"/>
      <c r="AL1091" s="37"/>
      <c r="AM1091" s="37"/>
      <c r="AN1091" s="37"/>
      <c r="AO1091" s="37"/>
      <c r="AP1091" s="37"/>
      <c r="AQ1091" s="37"/>
      <c r="AR1091" s="37" t="s">
        <v>1124</v>
      </c>
      <c r="AS1091" s="37"/>
      <c r="AT1091" s="37"/>
      <c r="AU1091" s="37"/>
      <c r="AV1091" s="37"/>
      <c r="AW1091" s="37"/>
      <c r="AX1091" s="37"/>
      <c r="AY1091" s="37"/>
      <c r="AZ1091" s="37"/>
      <c r="BA1091" s="37"/>
      <c r="BB1091" s="37"/>
      <c r="BC1091" s="37"/>
      <c r="BD1091" s="37" t="s">
        <v>1124</v>
      </c>
      <c r="BE1091" s="37"/>
      <c r="BF1091" s="37"/>
      <c r="BG1091" s="37"/>
      <c r="BH1091" s="37"/>
      <c r="BI1091" s="37"/>
      <c r="BJ1091" s="37"/>
      <c r="BK1091" s="37"/>
      <c r="BL1091" s="37"/>
      <c r="BM1091" s="37"/>
      <c r="BN1091" s="37"/>
      <c r="BO1091" s="37"/>
      <c r="BP1091" s="37">
        <v>0</v>
      </c>
      <c r="BQ1091" s="37"/>
      <c r="BR1091" s="37"/>
      <c r="BS1091" s="37"/>
      <c r="BT1091" s="37"/>
      <c r="BU1091" s="37"/>
      <c r="BV1091" s="37"/>
      <c r="BW1091" s="37"/>
      <c r="BX1091" s="37"/>
      <c r="BY1091" s="37"/>
      <c r="BZ1091" s="37"/>
      <c r="CA1091" s="37"/>
      <c r="CB1091" s="37" t="s">
        <v>1124</v>
      </c>
      <c r="CC1091" s="37"/>
      <c r="CD1091" s="37"/>
      <c r="CE1091" s="37"/>
      <c r="CF1091" s="37"/>
      <c r="CG1091" s="37"/>
      <c r="CH1091" s="37"/>
      <c r="CI1091" s="37"/>
      <c r="CJ1091" s="37"/>
      <c r="CK1091" s="37"/>
      <c r="CL1091" s="37"/>
      <c r="CM1091" s="37"/>
      <c r="CN1091" s="37" t="s">
        <v>1124</v>
      </c>
      <c r="CO1091" s="37"/>
      <c r="CP1091" s="37"/>
      <c r="CQ1091" s="37"/>
      <c r="CR1091" s="37"/>
      <c r="CS1091" s="37"/>
      <c r="CT1091" s="37"/>
      <c r="CU1091" s="37"/>
      <c r="CV1091" s="37"/>
      <c r="CW1091" s="37"/>
      <c r="CX1091" s="37"/>
      <c r="CY1091" s="37"/>
      <c r="CZ1091" s="37" t="s">
        <v>1124</v>
      </c>
      <c r="DA1091" s="37"/>
      <c r="DB1091" s="37"/>
      <c r="DC1091" s="37"/>
      <c r="DD1091" s="37"/>
      <c r="DE1091" s="37"/>
      <c r="DF1091" s="37"/>
      <c r="DG1091" s="37"/>
      <c r="DH1091" s="37"/>
      <c r="DI1091" s="37"/>
      <c r="DJ1091" s="37"/>
      <c r="DK1091" s="37"/>
      <c r="DL1091" s="37" t="s">
        <v>1124</v>
      </c>
      <c r="DM1091" s="37"/>
      <c r="DN1091" s="37"/>
      <c r="DO1091" s="37"/>
      <c r="DP1091" s="37"/>
      <c r="DQ1091" s="37"/>
      <c r="DR1091" s="37"/>
      <c r="DS1091" s="37"/>
      <c r="DT1091" s="37"/>
      <c r="DU1091" s="37"/>
      <c r="DV1091" s="37"/>
      <c r="DW1091" s="37"/>
      <c r="DX1091" s="37" t="s">
        <v>1124</v>
      </c>
      <c r="DY1091" s="37"/>
      <c r="DZ1091" s="37"/>
      <c r="EA1091" s="37"/>
      <c r="EB1091" s="37"/>
      <c r="EC1091" s="37"/>
      <c r="ED1091" s="37"/>
      <c r="EE1091" s="37"/>
      <c r="EF1091" s="37"/>
      <c r="EG1091" s="37"/>
      <c r="EH1091" s="37"/>
      <c r="EI1091" s="37"/>
      <c r="EJ1091" s="37" t="s">
        <v>1124</v>
      </c>
      <c r="EK1091" s="161"/>
      <c r="EL1091" s="294"/>
    </row>
    <row r="1092" spans="1:142" ht="15" customHeight="1" x14ac:dyDescent="0.35">
      <c r="A1092" s="34"/>
      <c r="B1092" s="313">
        <v>71083</v>
      </c>
      <c r="C1092" s="8" t="s">
        <v>717</v>
      </c>
      <c r="D1092" s="18">
        <v>16</v>
      </c>
      <c r="E1092" s="155"/>
      <c r="F1092" s="36"/>
      <c r="G1092" s="37"/>
      <c r="H1092" s="37"/>
      <c r="I1092" s="37"/>
      <c r="J1092" s="37"/>
      <c r="K1092" s="37"/>
      <c r="L1092" s="37"/>
      <c r="M1092" s="37" t="s">
        <v>1124</v>
      </c>
      <c r="N1092" s="37" t="s">
        <v>1124</v>
      </c>
      <c r="O1092" s="37"/>
      <c r="P1092" s="37"/>
      <c r="Q1092" s="37"/>
      <c r="R1092" s="37"/>
      <c r="S1092" s="37"/>
      <c r="T1092" s="37"/>
      <c r="U1092" s="37"/>
      <c r="V1092" s="37"/>
      <c r="W1092" s="37"/>
      <c r="X1092" s="37"/>
      <c r="Y1092" s="37"/>
      <c r="Z1092" s="37"/>
      <c r="AA1092" s="37" t="s">
        <v>1124</v>
      </c>
      <c r="AB1092" s="37" t="s">
        <v>1124</v>
      </c>
      <c r="AC1092" s="37"/>
      <c r="AD1092" s="37"/>
      <c r="AE1092" s="37"/>
      <c r="AF1092" s="168"/>
      <c r="AG1092" s="37"/>
      <c r="AH1092" s="37"/>
      <c r="AI1092" s="37"/>
      <c r="AJ1092" s="37"/>
      <c r="AK1092" s="37"/>
      <c r="AL1092" s="37"/>
      <c r="AM1092" s="37"/>
      <c r="AN1092" s="37"/>
      <c r="AO1092" s="37"/>
      <c r="AP1092" s="37"/>
      <c r="AQ1092" s="37"/>
      <c r="AR1092" s="37" t="s">
        <v>1124</v>
      </c>
      <c r="AS1092" s="37"/>
      <c r="AT1092" s="37"/>
      <c r="AU1092" s="37"/>
      <c r="AV1092" s="37"/>
      <c r="AW1092" s="37"/>
      <c r="AX1092" s="37"/>
      <c r="AY1092" s="37"/>
      <c r="AZ1092" s="37"/>
      <c r="BA1092" s="37"/>
      <c r="BB1092" s="37"/>
      <c r="BC1092" s="37"/>
      <c r="BD1092" s="37" t="s">
        <v>1124</v>
      </c>
      <c r="BE1092" s="37"/>
      <c r="BF1092" s="37"/>
      <c r="BG1092" s="37"/>
      <c r="BH1092" s="37"/>
      <c r="BI1092" s="37"/>
      <c r="BJ1092" s="37"/>
      <c r="BK1092" s="37"/>
      <c r="BL1092" s="37"/>
      <c r="BM1092" s="37"/>
      <c r="BN1092" s="37"/>
      <c r="BO1092" s="37"/>
      <c r="BP1092" s="37">
        <v>0</v>
      </c>
      <c r="BQ1092" s="37"/>
      <c r="BR1092" s="37"/>
      <c r="BS1092" s="37"/>
      <c r="BT1092" s="37"/>
      <c r="BU1092" s="37"/>
      <c r="BV1092" s="37"/>
      <c r="BW1092" s="37"/>
      <c r="BX1092" s="37"/>
      <c r="BY1092" s="37"/>
      <c r="BZ1092" s="37"/>
      <c r="CA1092" s="37"/>
      <c r="CB1092" s="37" t="s">
        <v>1124</v>
      </c>
      <c r="CC1092" s="37"/>
      <c r="CD1092" s="37"/>
      <c r="CE1092" s="37"/>
      <c r="CF1092" s="37"/>
      <c r="CG1092" s="37"/>
      <c r="CH1092" s="37"/>
      <c r="CI1092" s="37"/>
      <c r="CJ1092" s="37"/>
      <c r="CK1092" s="37"/>
      <c r="CL1092" s="37"/>
      <c r="CM1092" s="37"/>
      <c r="CN1092" s="37" t="s">
        <v>1124</v>
      </c>
      <c r="CO1092" s="37"/>
      <c r="CP1092" s="37"/>
      <c r="CQ1092" s="37"/>
      <c r="CR1092" s="37"/>
      <c r="CS1092" s="37"/>
      <c r="CT1092" s="37"/>
      <c r="CU1092" s="37"/>
      <c r="CV1092" s="37"/>
      <c r="CW1092" s="37"/>
      <c r="CX1092" s="37"/>
      <c r="CY1092" s="37"/>
      <c r="CZ1092" s="37" t="s">
        <v>1124</v>
      </c>
      <c r="DA1092" s="37"/>
      <c r="DB1092" s="37"/>
      <c r="DC1092" s="37"/>
      <c r="DD1092" s="37"/>
      <c r="DE1092" s="37"/>
      <c r="DF1092" s="37"/>
      <c r="DG1092" s="37"/>
      <c r="DH1092" s="37"/>
      <c r="DI1092" s="37"/>
      <c r="DJ1092" s="37"/>
      <c r="DK1092" s="37"/>
      <c r="DL1092" s="37" t="s">
        <v>1124</v>
      </c>
      <c r="DM1092" s="37"/>
      <c r="DN1092" s="37"/>
      <c r="DO1092" s="37"/>
      <c r="DP1092" s="37"/>
      <c r="DQ1092" s="37"/>
      <c r="DR1092" s="37"/>
      <c r="DS1092" s="37"/>
      <c r="DT1092" s="37"/>
      <c r="DU1092" s="37"/>
      <c r="DV1092" s="37"/>
      <c r="DW1092" s="37"/>
      <c r="DX1092" s="37" t="s">
        <v>1124</v>
      </c>
      <c r="DY1092" s="37"/>
      <c r="DZ1092" s="37"/>
      <c r="EA1092" s="37"/>
      <c r="EB1092" s="37"/>
      <c r="EC1092" s="37"/>
      <c r="ED1092" s="37"/>
      <c r="EE1092" s="37"/>
      <c r="EF1092" s="37"/>
      <c r="EG1092" s="37"/>
      <c r="EH1092" s="37"/>
      <c r="EI1092" s="37"/>
      <c r="EJ1092" s="37" t="s">
        <v>1124</v>
      </c>
      <c r="EK1092" s="161"/>
      <c r="EL1092" s="294"/>
    </row>
    <row r="1093" spans="1:142" ht="15" customHeight="1" x14ac:dyDescent="0.35">
      <c r="A1093" s="34"/>
      <c r="B1093" s="313">
        <v>71090</v>
      </c>
      <c r="C1093" s="8" t="s">
        <v>718</v>
      </c>
      <c r="D1093" s="18">
        <v>16</v>
      </c>
      <c r="E1093" s="155"/>
      <c r="F1093" s="36"/>
      <c r="G1093" s="37"/>
      <c r="H1093" s="37"/>
      <c r="I1093" s="37"/>
      <c r="J1093" s="37"/>
      <c r="K1093" s="37"/>
      <c r="L1093" s="37"/>
      <c r="M1093" s="37" t="s">
        <v>1124</v>
      </c>
      <c r="N1093" s="37" t="s">
        <v>1124</v>
      </c>
      <c r="O1093" s="37"/>
      <c r="P1093" s="37"/>
      <c r="Q1093" s="37"/>
      <c r="R1093" s="37"/>
      <c r="S1093" s="37"/>
      <c r="T1093" s="37"/>
      <c r="U1093" s="37"/>
      <c r="V1093" s="37"/>
      <c r="W1093" s="37"/>
      <c r="X1093" s="37"/>
      <c r="Y1093" s="37"/>
      <c r="Z1093" s="37"/>
      <c r="AA1093" s="37" t="s">
        <v>1124</v>
      </c>
      <c r="AB1093" s="37" t="s">
        <v>1124</v>
      </c>
      <c r="AC1093" s="37"/>
      <c r="AD1093" s="37"/>
      <c r="AE1093" s="37"/>
      <c r="AF1093" s="168"/>
      <c r="AG1093" s="37"/>
      <c r="AH1093" s="37"/>
      <c r="AI1093" s="37"/>
      <c r="AJ1093" s="37"/>
      <c r="AK1093" s="37"/>
      <c r="AL1093" s="37"/>
      <c r="AM1093" s="37"/>
      <c r="AN1093" s="37"/>
      <c r="AO1093" s="37"/>
      <c r="AP1093" s="37"/>
      <c r="AQ1093" s="37"/>
      <c r="AR1093" s="37" t="s">
        <v>1124</v>
      </c>
      <c r="AS1093" s="37"/>
      <c r="AT1093" s="37"/>
      <c r="AU1093" s="37"/>
      <c r="AV1093" s="37"/>
      <c r="AW1093" s="37"/>
      <c r="AX1093" s="37"/>
      <c r="AY1093" s="37"/>
      <c r="AZ1093" s="37"/>
      <c r="BA1093" s="37"/>
      <c r="BB1093" s="37"/>
      <c r="BC1093" s="37"/>
      <c r="BD1093" s="37" t="s">
        <v>1124</v>
      </c>
      <c r="BE1093" s="37"/>
      <c r="BF1093" s="37"/>
      <c r="BG1093" s="37"/>
      <c r="BH1093" s="37"/>
      <c r="BI1093" s="37"/>
      <c r="BJ1093" s="37"/>
      <c r="BK1093" s="37"/>
      <c r="BL1093" s="37"/>
      <c r="BM1093" s="37"/>
      <c r="BN1093" s="37"/>
      <c r="BO1093" s="37"/>
      <c r="BP1093" s="37">
        <v>0</v>
      </c>
      <c r="BQ1093" s="37"/>
      <c r="BR1093" s="37"/>
      <c r="BS1093" s="37"/>
      <c r="BT1093" s="37"/>
      <c r="BU1093" s="37"/>
      <c r="BV1093" s="37"/>
      <c r="BW1093" s="37"/>
      <c r="BX1093" s="37"/>
      <c r="BY1093" s="37"/>
      <c r="BZ1093" s="37"/>
      <c r="CA1093" s="37"/>
      <c r="CB1093" s="37" t="s">
        <v>1124</v>
      </c>
      <c r="CC1093" s="37"/>
      <c r="CD1093" s="37"/>
      <c r="CE1093" s="37"/>
      <c r="CF1093" s="37"/>
      <c r="CG1093" s="37"/>
      <c r="CH1093" s="37"/>
      <c r="CI1093" s="37"/>
      <c r="CJ1093" s="37"/>
      <c r="CK1093" s="37"/>
      <c r="CL1093" s="37"/>
      <c r="CM1093" s="37"/>
      <c r="CN1093" s="37" t="s">
        <v>1124</v>
      </c>
      <c r="CO1093" s="37"/>
      <c r="CP1093" s="37"/>
      <c r="CQ1093" s="37"/>
      <c r="CR1093" s="37"/>
      <c r="CS1093" s="37"/>
      <c r="CT1093" s="37"/>
      <c r="CU1093" s="37"/>
      <c r="CV1093" s="37"/>
      <c r="CW1093" s="37"/>
      <c r="CX1093" s="37"/>
      <c r="CY1093" s="37"/>
      <c r="CZ1093" s="37" t="s">
        <v>1124</v>
      </c>
      <c r="DA1093" s="37"/>
      <c r="DB1093" s="37"/>
      <c r="DC1093" s="37"/>
      <c r="DD1093" s="37"/>
      <c r="DE1093" s="37"/>
      <c r="DF1093" s="37"/>
      <c r="DG1093" s="37"/>
      <c r="DH1093" s="37"/>
      <c r="DI1093" s="37"/>
      <c r="DJ1093" s="37"/>
      <c r="DK1093" s="37"/>
      <c r="DL1093" s="37" t="s">
        <v>1124</v>
      </c>
      <c r="DM1093" s="37"/>
      <c r="DN1093" s="37"/>
      <c r="DO1093" s="37"/>
      <c r="DP1093" s="37"/>
      <c r="DQ1093" s="37"/>
      <c r="DR1093" s="37"/>
      <c r="DS1093" s="37"/>
      <c r="DT1093" s="37"/>
      <c r="DU1093" s="37"/>
      <c r="DV1093" s="37"/>
      <c r="DW1093" s="37"/>
      <c r="DX1093" s="37" t="s">
        <v>1124</v>
      </c>
      <c r="DY1093" s="37"/>
      <c r="DZ1093" s="37"/>
      <c r="EA1093" s="37"/>
      <c r="EB1093" s="37"/>
      <c r="EC1093" s="37"/>
      <c r="ED1093" s="37"/>
      <c r="EE1093" s="37"/>
      <c r="EF1093" s="37"/>
      <c r="EG1093" s="37"/>
      <c r="EH1093" s="37"/>
      <c r="EI1093" s="37"/>
      <c r="EJ1093" s="37" t="s">
        <v>1124</v>
      </c>
      <c r="EK1093" s="161"/>
      <c r="EL1093" s="294"/>
    </row>
    <row r="1094" spans="1:142" ht="15" customHeight="1" x14ac:dyDescent="0.35">
      <c r="A1094" s="34"/>
      <c r="B1094" s="313">
        <v>56005</v>
      </c>
      <c r="C1094" s="8" t="s">
        <v>567</v>
      </c>
      <c r="D1094" s="18">
        <v>16</v>
      </c>
      <c r="E1094" s="155"/>
      <c r="F1094" s="36"/>
      <c r="G1094" s="37"/>
      <c r="H1094" s="37"/>
      <c r="I1094" s="37"/>
      <c r="J1094" s="37"/>
      <c r="K1094" s="37"/>
      <c r="L1094" s="37"/>
      <c r="M1094" s="37" t="s">
        <v>1124</v>
      </c>
      <c r="N1094" s="37" t="s">
        <v>1124</v>
      </c>
      <c r="O1094" s="37"/>
      <c r="P1094" s="37"/>
      <c r="Q1094" s="37"/>
      <c r="R1094" s="37"/>
      <c r="S1094" s="37"/>
      <c r="T1094" s="37"/>
      <c r="U1094" s="37"/>
      <c r="V1094" s="37"/>
      <c r="W1094" s="37"/>
      <c r="X1094" s="37"/>
      <c r="Y1094" s="37"/>
      <c r="Z1094" s="37"/>
      <c r="AA1094" s="37" t="s">
        <v>1124</v>
      </c>
      <c r="AB1094" s="37" t="s">
        <v>1124</v>
      </c>
      <c r="AC1094" s="37"/>
      <c r="AD1094" s="37"/>
      <c r="AE1094" s="37"/>
      <c r="AF1094" s="168"/>
      <c r="AG1094" s="37"/>
      <c r="AH1094" s="37"/>
      <c r="AI1094" s="37"/>
      <c r="AJ1094" s="37"/>
      <c r="AK1094" s="37"/>
      <c r="AL1094" s="37"/>
      <c r="AM1094" s="37"/>
      <c r="AN1094" s="37"/>
      <c r="AO1094" s="37"/>
      <c r="AP1094" s="37"/>
      <c r="AQ1094" s="37"/>
      <c r="AR1094" s="37" t="s">
        <v>1124</v>
      </c>
      <c r="AS1094" s="37"/>
      <c r="AT1094" s="37"/>
      <c r="AU1094" s="37"/>
      <c r="AV1094" s="37"/>
      <c r="AW1094" s="37"/>
      <c r="AX1094" s="37"/>
      <c r="AY1094" s="37"/>
      <c r="AZ1094" s="37"/>
      <c r="BA1094" s="37"/>
      <c r="BB1094" s="37"/>
      <c r="BC1094" s="37"/>
      <c r="BD1094" s="37" t="s">
        <v>1124</v>
      </c>
      <c r="BE1094" s="37"/>
      <c r="BF1094" s="37"/>
      <c r="BG1094" s="37"/>
      <c r="BH1094" s="37"/>
      <c r="BI1094" s="37"/>
      <c r="BJ1094" s="37"/>
      <c r="BK1094" s="37"/>
      <c r="BL1094" s="37"/>
      <c r="BM1094" s="37"/>
      <c r="BN1094" s="37"/>
      <c r="BO1094" s="37"/>
      <c r="BP1094" s="37">
        <v>0</v>
      </c>
      <c r="BQ1094" s="37"/>
      <c r="BR1094" s="37"/>
      <c r="BS1094" s="37"/>
      <c r="BT1094" s="37"/>
      <c r="BU1094" s="37"/>
      <c r="BV1094" s="37"/>
      <c r="BW1094" s="37"/>
      <c r="BX1094" s="37"/>
      <c r="BY1094" s="37"/>
      <c r="BZ1094" s="37"/>
      <c r="CA1094" s="37"/>
      <c r="CB1094" s="37" t="s">
        <v>1124</v>
      </c>
      <c r="CC1094" s="37"/>
      <c r="CD1094" s="37"/>
      <c r="CE1094" s="37"/>
      <c r="CF1094" s="37"/>
      <c r="CG1094" s="37"/>
      <c r="CH1094" s="37"/>
      <c r="CI1094" s="37"/>
      <c r="CJ1094" s="37"/>
      <c r="CK1094" s="37"/>
      <c r="CL1094" s="37"/>
      <c r="CM1094" s="37"/>
      <c r="CN1094" s="37" t="s">
        <v>1124</v>
      </c>
      <c r="CO1094" s="37"/>
      <c r="CP1094" s="37"/>
      <c r="CQ1094" s="37"/>
      <c r="CR1094" s="37"/>
      <c r="CS1094" s="37"/>
      <c r="CT1094" s="37"/>
      <c r="CU1094" s="37"/>
      <c r="CV1094" s="37"/>
      <c r="CW1094" s="37"/>
      <c r="CX1094" s="37"/>
      <c r="CY1094" s="37"/>
      <c r="CZ1094" s="37" t="s">
        <v>1124</v>
      </c>
      <c r="DA1094" s="37"/>
      <c r="DB1094" s="37"/>
      <c r="DC1094" s="37"/>
      <c r="DD1094" s="37"/>
      <c r="DE1094" s="37"/>
      <c r="DF1094" s="37"/>
      <c r="DG1094" s="37"/>
      <c r="DH1094" s="37"/>
      <c r="DI1094" s="37"/>
      <c r="DJ1094" s="37"/>
      <c r="DK1094" s="37"/>
      <c r="DL1094" s="37" t="s">
        <v>1124</v>
      </c>
      <c r="DM1094" s="37"/>
      <c r="DN1094" s="37"/>
      <c r="DO1094" s="37"/>
      <c r="DP1094" s="37"/>
      <c r="DQ1094" s="37"/>
      <c r="DR1094" s="37"/>
      <c r="DS1094" s="37"/>
      <c r="DT1094" s="37"/>
      <c r="DU1094" s="37"/>
      <c r="DV1094" s="37"/>
      <c r="DW1094" s="37"/>
      <c r="DX1094" s="37" t="s">
        <v>1124</v>
      </c>
      <c r="DY1094" s="37"/>
      <c r="DZ1094" s="37"/>
      <c r="EA1094" s="37"/>
      <c r="EB1094" s="37"/>
      <c r="EC1094" s="37"/>
      <c r="ED1094" s="37"/>
      <c r="EE1094" s="37"/>
      <c r="EF1094" s="37"/>
      <c r="EG1094" s="37"/>
      <c r="EH1094" s="37"/>
      <c r="EI1094" s="37"/>
      <c r="EJ1094" s="37" t="s">
        <v>1124</v>
      </c>
      <c r="EK1094" s="161"/>
      <c r="EL1094" s="294"/>
    </row>
    <row r="1095" spans="1:142" ht="15" customHeight="1" x14ac:dyDescent="0.35">
      <c r="A1095" s="34"/>
      <c r="B1095" s="313">
        <v>59025</v>
      </c>
      <c r="C1095" s="8" t="s">
        <v>602</v>
      </c>
      <c r="D1095" s="18">
        <v>16</v>
      </c>
      <c r="E1095" s="155">
        <v>514823</v>
      </c>
      <c r="F1095" s="36">
        <v>423521</v>
      </c>
      <c r="G1095" s="37">
        <v>103380</v>
      </c>
      <c r="H1095" s="37">
        <v>70690</v>
      </c>
      <c r="I1095" s="37">
        <v>271700</v>
      </c>
      <c r="J1095" s="37">
        <v>165698</v>
      </c>
      <c r="K1095" s="37">
        <v>30000</v>
      </c>
      <c r="L1095" s="37">
        <v>30000</v>
      </c>
      <c r="M1095" s="37">
        <v>919903</v>
      </c>
      <c r="N1095" s="37">
        <v>689909</v>
      </c>
      <c r="O1095" s="37">
        <v>72688</v>
      </c>
      <c r="P1095" s="37">
        <v>82930</v>
      </c>
      <c r="Q1095" s="37">
        <v>507265</v>
      </c>
      <c r="R1095" s="37">
        <v>348879</v>
      </c>
      <c r="S1095" s="37">
        <v>82025</v>
      </c>
      <c r="T1095" s="37">
        <v>0</v>
      </c>
      <c r="U1095" s="37">
        <v>213830</v>
      </c>
      <c r="V1095" s="37">
        <v>154080</v>
      </c>
      <c r="W1095" s="37">
        <v>146608</v>
      </c>
      <c r="X1095" s="37">
        <v>11618</v>
      </c>
      <c r="Y1095" s="37">
        <v>0</v>
      </c>
      <c r="Z1095" s="37">
        <v>0</v>
      </c>
      <c r="AA1095" s="37">
        <v>1022416</v>
      </c>
      <c r="AB1095" s="37">
        <v>597507</v>
      </c>
      <c r="AC1095" s="37">
        <v>10111</v>
      </c>
      <c r="AD1095" s="37">
        <v>0</v>
      </c>
      <c r="AE1095" s="37">
        <v>0</v>
      </c>
      <c r="AF1095" s="168">
        <v>0.02</v>
      </c>
      <c r="AG1095" s="37">
        <v>153055291.05000001</v>
      </c>
      <c r="AH1095" s="37">
        <v>1339073.5900000001</v>
      </c>
      <c r="AI1095" s="37">
        <v>1365855.06</v>
      </c>
      <c r="AJ1095" s="37">
        <v>1393172.16</v>
      </c>
      <c r="AK1095" s="37">
        <v>1421035.61</v>
      </c>
      <c r="AL1095" s="37">
        <v>1449456.32</v>
      </c>
      <c r="AM1095" s="37">
        <v>1478445.44</v>
      </c>
      <c r="AN1095" s="37">
        <v>1508014.35</v>
      </c>
      <c r="AO1095" s="37">
        <v>1538174.64</v>
      </c>
      <c r="AP1095" s="37">
        <v>1568938.13</v>
      </c>
      <c r="AQ1095" s="37">
        <v>1600316.9</v>
      </c>
      <c r="AR1095" s="37">
        <v>14662482.199999999</v>
      </c>
      <c r="AS1095" s="37">
        <v>4572259.41</v>
      </c>
      <c r="AT1095" s="37">
        <v>0</v>
      </c>
      <c r="AU1095" s="37">
        <v>520200</v>
      </c>
      <c r="AV1095" s="37">
        <v>1273449.6000000001</v>
      </c>
      <c r="AW1095" s="37">
        <v>0</v>
      </c>
      <c r="AX1095" s="37">
        <v>1766529.29</v>
      </c>
      <c r="AY1095" s="37">
        <v>2083400.48</v>
      </c>
      <c r="AZ1095" s="37">
        <v>0</v>
      </c>
      <c r="BA1095" s="37">
        <v>3514978.14</v>
      </c>
      <c r="BB1095" s="37">
        <v>0</v>
      </c>
      <c r="BC1095" s="37">
        <v>0</v>
      </c>
      <c r="BD1095" s="37">
        <v>9158557.5099999998</v>
      </c>
      <c r="BE1095" s="37">
        <v>0</v>
      </c>
      <c r="BF1095" s="37">
        <v>0</v>
      </c>
      <c r="BG1095" s="37">
        <v>500000</v>
      </c>
      <c r="BH1095" s="37">
        <v>500000</v>
      </c>
      <c r="BI1095" s="37">
        <v>0</v>
      </c>
      <c r="BJ1095" s="37">
        <v>0</v>
      </c>
      <c r="BK1095" s="37">
        <v>0</v>
      </c>
      <c r="BL1095" s="37">
        <v>0</v>
      </c>
      <c r="BM1095" s="37">
        <v>0</v>
      </c>
      <c r="BN1095" s="37">
        <v>0</v>
      </c>
      <c r="BO1095" s="37">
        <v>0</v>
      </c>
      <c r="BP1095" s="37">
        <v>1000000</v>
      </c>
      <c r="BQ1095" s="37">
        <v>0</v>
      </c>
      <c r="BR1095" s="37">
        <v>0</v>
      </c>
      <c r="BS1095" s="37">
        <v>100000</v>
      </c>
      <c r="BT1095" s="37">
        <v>200000</v>
      </c>
      <c r="BU1095" s="37">
        <v>0</v>
      </c>
      <c r="BV1095" s="37">
        <v>0</v>
      </c>
      <c r="BW1095" s="37">
        <v>0</v>
      </c>
      <c r="BX1095" s="37">
        <v>0</v>
      </c>
      <c r="BY1095" s="37">
        <v>0</v>
      </c>
      <c r="BZ1095" s="37">
        <v>0</v>
      </c>
      <c r="CA1095" s="37">
        <v>0</v>
      </c>
      <c r="CB1095" s="37">
        <v>300000</v>
      </c>
      <c r="CC1095" s="37">
        <v>0</v>
      </c>
      <c r="CD1095" s="37">
        <v>0</v>
      </c>
      <c r="CE1095" s="37">
        <v>0</v>
      </c>
      <c r="CF1095" s="37">
        <v>0</v>
      </c>
      <c r="CG1095" s="37">
        <v>0</v>
      </c>
      <c r="CH1095" s="37">
        <v>0</v>
      </c>
      <c r="CI1095" s="37">
        <v>0</v>
      </c>
      <c r="CJ1095" s="37">
        <v>0</v>
      </c>
      <c r="CK1095" s="37">
        <v>0</v>
      </c>
      <c r="CL1095" s="37">
        <v>0</v>
      </c>
      <c r="CM1095" s="37">
        <v>0</v>
      </c>
      <c r="CN1095" s="37">
        <v>0</v>
      </c>
      <c r="CO1095" s="37">
        <v>0</v>
      </c>
      <c r="CP1095" s="37">
        <v>0</v>
      </c>
      <c r="CQ1095" s="37">
        <v>712216</v>
      </c>
      <c r="CR1095" s="37">
        <v>0</v>
      </c>
      <c r="CS1095" s="37">
        <v>0</v>
      </c>
      <c r="CT1095" s="37">
        <v>0</v>
      </c>
      <c r="CU1095" s="37">
        <v>0</v>
      </c>
      <c r="CV1095" s="37">
        <v>0</v>
      </c>
      <c r="CW1095" s="37">
        <v>0</v>
      </c>
      <c r="CX1095" s="37">
        <v>0</v>
      </c>
      <c r="CY1095" s="37">
        <v>0</v>
      </c>
      <c r="CZ1095" s="37">
        <v>712216</v>
      </c>
      <c r="DA1095" s="37">
        <v>0</v>
      </c>
      <c r="DB1095" s="37">
        <v>0</v>
      </c>
      <c r="DC1095" s="37">
        <v>1800000</v>
      </c>
      <c r="DD1095" s="37">
        <v>0</v>
      </c>
      <c r="DE1095" s="37">
        <v>0</v>
      </c>
      <c r="DF1095" s="37">
        <v>0</v>
      </c>
      <c r="DG1095" s="37">
        <v>0</v>
      </c>
      <c r="DH1095" s="37">
        <v>0</v>
      </c>
      <c r="DI1095" s="37">
        <v>0</v>
      </c>
      <c r="DJ1095" s="37">
        <v>0</v>
      </c>
      <c r="DK1095" s="37">
        <v>0</v>
      </c>
      <c r="DL1095" s="37">
        <v>1800000</v>
      </c>
      <c r="DM1095" s="37">
        <v>0</v>
      </c>
      <c r="DN1095" s="37">
        <v>0</v>
      </c>
      <c r="DO1095" s="37">
        <v>0</v>
      </c>
      <c r="DP1095" s="37">
        <v>0</v>
      </c>
      <c r="DQ1095" s="37">
        <v>0</v>
      </c>
      <c r="DR1095" s="37">
        <v>0</v>
      </c>
      <c r="DS1095" s="37">
        <v>0</v>
      </c>
      <c r="DT1095" s="37">
        <v>0</v>
      </c>
      <c r="DU1095" s="37">
        <v>0</v>
      </c>
      <c r="DV1095" s="37">
        <v>0</v>
      </c>
      <c r="DW1095" s="37">
        <v>0</v>
      </c>
      <c r="DX1095" s="37">
        <v>0</v>
      </c>
      <c r="DY1095" s="37">
        <v>0</v>
      </c>
      <c r="DZ1095" s="37">
        <v>0</v>
      </c>
      <c r="EA1095" s="37">
        <v>1828000</v>
      </c>
      <c r="EB1095" s="37">
        <v>0</v>
      </c>
      <c r="EC1095" s="37">
        <v>0</v>
      </c>
      <c r="ED1095" s="37">
        <v>0</v>
      </c>
      <c r="EE1095" s="37">
        <v>0</v>
      </c>
      <c r="EF1095" s="37">
        <v>0</v>
      </c>
      <c r="EG1095" s="37">
        <v>0</v>
      </c>
      <c r="EH1095" s="37">
        <v>0</v>
      </c>
      <c r="EI1095" s="37">
        <v>0</v>
      </c>
      <c r="EJ1095" s="37">
        <v>1828000</v>
      </c>
      <c r="EK1095" s="161" t="s">
        <v>3637</v>
      </c>
      <c r="EL1095" s="294" t="s">
        <v>1124</v>
      </c>
    </row>
    <row r="1096" spans="1:142" ht="15" customHeight="1" x14ac:dyDescent="0.35">
      <c r="A1096" s="34"/>
      <c r="B1096" s="313">
        <v>39062</v>
      </c>
      <c r="C1096" s="8" t="s">
        <v>346</v>
      </c>
      <c r="D1096" s="18">
        <v>17</v>
      </c>
      <c r="E1096" s="155">
        <v>4252825</v>
      </c>
      <c r="F1096" s="36">
        <v>5032233</v>
      </c>
      <c r="G1096" s="37">
        <v>203653</v>
      </c>
      <c r="H1096" s="37">
        <v>584756</v>
      </c>
      <c r="I1096" s="37">
        <v>562246</v>
      </c>
      <c r="J1096" s="37">
        <v>1614396</v>
      </c>
      <c r="K1096" s="37">
        <v>637923.75</v>
      </c>
      <c r="L1096" s="37">
        <v>754834.95</v>
      </c>
      <c r="M1096" s="37">
        <v>5656647.75</v>
      </c>
      <c r="N1096" s="37">
        <v>7986219.9500000002</v>
      </c>
      <c r="O1096" s="37">
        <v>770212</v>
      </c>
      <c r="P1096" s="37">
        <v>1143690</v>
      </c>
      <c r="Q1096" s="37">
        <v>3524441</v>
      </c>
      <c r="R1096" s="37">
        <v>888392</v>
      </c>
      <c r="S1096" s="37">
        <v>125786</v>
      </c>
      <c r="T1096" s="37">
        <v>80020</v>
      </c>
      <c r="U1096" s="37">
        <v>77300</v>
      </c>
      <c r="V1096" s="37">
        <v>180834</v>
      </c>
      <c r="W1096" s="37">
        <v>1158908.75</v>
      </c>
      <c r="X1096" s="37">
        <v>5693283.9500000002</v>
      </c>
      <c r="Y1096" s="37">
        <v>0</v>
      </c>
      <c r="Z1096" s="37">
        <v>0</v>
      </c>
      <c r="AA1096" s="37">
        <v>5656647.75</v>
      </c>
      <c r="AB1096" s="37">
        <v>7986219.9500000002</v>
      </c>
      <c r="AC1096" s="37">
        <v>0</v>
      </c>
      <c r="AD1096" s="37">
        <v>0</v>
      </c>
      <c r="AE1096" s="37">
        <v>0</v>
      </c>
      <c r="AF1096" s="168">
        <v>0.02</v>
      </c>
      <c r="AG1096" s="37">
        <v>588060296.24000001</v>
      </c>
      <c r="AH1096" s="37">
        <v>3796511.94</v>
      </c>
      <c r="AI1096" s="37">
        <v>4005093.18</v>
      </c>
      <c r="AJ1096" s="37">
        <v>3949891.02</v>
      </c>
      <c r="AK1096" s="37">
        <v>4166898.94</v>
      </c>
      <c r="AL1096" s="37">
        <v>4222082.8600000003</v>
      </c>
      <c r="AM1096" s="37">
        <v>4191655.95</v>
      </c>
      <c r="AN1096" s="37">
        <v>4275489.07</v>
      </c>
      <c r="AO1096" s="37">
        <v>4360998.8499999996</v>
      </c>
      <c r="AP1096" s="37">
        <v>4472598.72</v>
      </c>
      <c r="AQ1096" s="37">
        <v>4537183.2</v>
      </c>
      <c r="AR1096" s="37">
        <v>41978403.729999997</v>
      </c>
      <c r="AS1096" s="37">
        <v>8339488.3799999999</v>
      </c>
      <c r="AT1096" s="37">
        <v>693946.8</v>
      </c>
      <c r="AU1096" s="37">
        <v>5306040</v>
      </c>
      <c r="AV1096" s="37">
        <v>12674198.16</v>
      </c>
      <c r="AW1096" s="37">
        <v>5520404.0199999996</v>
      </c>
      <c r="AX1096" s="37">
        <v>6756974.5199999996</v>
      </c>
      <c r="AY1096" s="37">
        <v>6892114.0099999998</v>
      </c>
      <c r="AZ1096" s="37">
        <v>5858296.9100000001</v>
      </c>
      <c r="BA1096" s="37">
        <v>6304113.2999999998</v>
      </c>
      <c r="BB1096" s="37">
        <v>6509430.2000000002</v>
      </c>
      <c r="BC1096" s="37">
        <v>111903.69</v>
      </c>
      <c r="BD1096" s="37">
        <v>56627421.609999999</v>
      </c>
      <c r="BE1096" s="37">
        <v>0</v>
      </c>
      <c r="BF1096" s="37">
        <v>4798162.6910616774</v>
      </c>
      <c r="BG1096" s="37">
        <v>5423602.9579693498</v>
      </c>
      <c r="BH1096" s="37">
        <v>4495297.1686856803</v>
      </c>
      <c r="BI1096" s="37">
        <v>5338983.1822833009</v>
      </c>
      <c r="BJ1096" s="37">
        <v>434897.95785648632</v>
      </c>
      <c r="BK1096" s="37">
        <v>2105946.5604397687</v>
      </c>
      <c r="BL1096" s="37">
        <v>2738709.7184770131</v>
      </c>
      <c r="BM1096" s="37">
        <v>3371472.8765142569</v>
      </c>
      <c r="BN1096" s="37">
        <v>4004237.3867124757</v>
      </c>
      <c r="BO1096" s="37">
        <v>0</v>
      </c>
      <c r="BP1096" s="37">
        <v>32711310.500000007</v>
      </c>
      <c r="BQ1096" s="37">
        <v>0</v>
      </c>
      <c r="BR1096" s="37">
        <v>352594</v>
      </c>
      <c r="BS1096" s="37">
        <v>646999</v>
      </c>
      <c r="BT1096" s="37">
        <v>0</v>
      </c>
      <c r="BU1096" s="37">
        <v>0</v>
      </c>
      <c r="BV1096" s="37">
        <v>0</v>
      </c>
      <c r="BW1096" s="37">
        <v>0</v>
      </c>
      <c r="BX1096" s="37">
        <v>0</v>
      </c>
      <c r="BY1096" s="37">
        <v>0</v>
      </c>
      <c r="BZ1096" s="37">
        <v>0</v>
      </c>
      <c r="CA1096" s="37">
        <v>0</v>
      </c>
      <c r="CB1096" s="37">
        <v>999593</v>
      </c>
      <c r="CC1096" s="37">
        <v>0</v>
      </c>
      <c r="CD1096" s="37">
        <v>0</v>
      </c>
      <c r="CE1096" s="37">
        <v>150000</v>
      </c>
      <c r="CF1096" s="37">
        <v>0</v>
      </c>
      <c r="CG1096" s="37">
        <v>0</v>
      </c>
      <c r="CH1096" s="37">
        <v>0</v>
      </c>
      <c r="CI1096" s="37">
        <v>0</v>
      </c>
      <c r="CJ1096" s="37">
        <v>0</v>
      </c>
      <c r="CK1096" s="37">
        <v>0</v>
      </c>
      <c r="CL1096" s="37">
        <v>0</v>
      </c>
      <c r="CM1096" s="37">
        <v>0</v>
      </c>
      <c r="CN1096" s="37">
        <v>150000</v>
      </c>
      <c r="CO1096" s="37">
        <v>0</v>
      </c>
      <c r="CP1096" s="37">
        <v>0</v>
      </c>
      <c r="CQ1096" s="37">
        <v>816000</v>
      </c>
      <c r="CR1096" s="37">
        <v>0</v>
      </c>
      <c r="CS1096" s="37">
        <v>0</v>
      </c>
      <c r="CT1096" s="37">
        <v>0</v>
      </c>
      <c r="CU1096" s="37">
        <v>0</v>
      </c>
      <c r="CV1096" s="37">
        <v>0</v>
      </c>
      <c r="CW1096" s="37">
        <v>0</v>
      </c>
      <c r="CX1096" s="37">
        <v>0</v>
      </c>
      <c r="CY1096" s="37">
        <v>0</v>
      </c>
      <c r="CZ1096" s="37">
        <v>816000</v>
      </c>
      <c r="DA1096" s="37">
        <v>0</v>
      </c>
      <c r="DB1096" s="37">
        <v>0</v>
      </c>
      <c r="DC1096" s="37">
        <v>0</v>
      </c>
      <c r="DD1096" s="37">
        <v>0</v>
      </c>
      <c r="DE1096" s="37">
        <v>0</v>
      </c>
      <c r="DF1096" s="37">
        <v>0</v>
      </c>
      <c r="DG1096" s="37">
        <v>0</v>
      </c>
      <c r="DH1096" s="37">
        <v>0</v>
      </c>
      <c r="DI1096" s="37">
        <v>0</v>
      </c>
      <c r="DJ1096" s="37">
        <v>0</v>
      </c>
      <c r="DK1096" s="37">
        <v>0</v>
      </c>
      <c r="DL1096" s="37">
        <v>0</v>
      </c>
      <c r="DM1096" s="37">
        <v>0</v>
      </c>
      <c r="DN1096" s="37">
        <v>0</v>
      </c>
      <c r="DO1096" s="37">
        <v>0</v>
      </c>
      <c r="DP1096" s="37">
        <v>0</v>
      </c>
      <c r="DQ1096" s="37">
        <v>0</v>
      </c>
      <c r="DR1096" s="37">
        <v>0</v>
      </c>
      <c r="DS1096" s="37">
        <v>0</v>
      </c>
      <c r="DT1096" s="37">
        <v>0</v>
      </c>
      <c r="DU1096" s="37">
        <v>0</v>
      </c>
      <c r="DV1096" s="37">
        <v>0</v>
      </c>
      <c r="DW1096" s="37">
        <v>0</v>
      </c>
      <c r="DX1096" s="37">
        <v>0</v>
      </c>
      <c r="DY1096" s="37">
        <v>0</v>
      </c>
      <c r="DZ1096" s="37">
        <v>0</v>
      </c>
      <c r="EA1096" s="37">
        <v>0</v>
      </c>
      <c r="EB1096" s="37">
        <v>0</v>
      </c>
      <c r="EC1096" s="37">
        <v>0</v>
      </c>
      <c r="ED1096" s="37">
        <v>0</v>
      </c>
      <c r="EE1096" s="37">
        <v>0</v>
      </c>
      <c r="EF1096" s="37">
        <v>0</v>
      </c>
      <c r="EG1096" s="37">
        <v>0</v>
      </c>
      <c r="EH1096" s="37">
        <v>0</v>
      </c>
      <c r="EI1096" s="37">
        <v>0</v>
      </c>
      <c r="EJ1096" s="37">
        <v>0</v>
      </c>
      <c r="EK1096" s="161" t="s">
        <v>3643</v>
      </c>
      <c r="EL1096" s="294" t="s">
        <v>1124</v>
      </c>
    </row>
    <row r="1097" spans="1:142" ht="15" customHeight="1" x14ac:dyDescent="0.35">
      <c r="A1097" s="34"/>
      <c r="B1097" s="313">
        <v>85025</v>
      </c>
      <c r="C1097" s="8" t="s">
        <v>874</v>
      </c>
      <c r="D1097" s="18">
        <v>8</v>
      </c>
      <c r="E1097" s="155">
        <v>133476</v>
      </c>
      <c r="F1097" s="36">
        <v>276576</v>
      </c>
      <c r="G1097" s="37">
        <v>11353</v>
      </c>
      <c r="H1097" s="37">
        <v>15401</v>
      </c>
      <c r="I1097" s="37">
        <v>61086</v>
      </c>
      <c r="J1097" s="37">
        <v>75922</v>
      </c>
      <c r="K1097" s="37">
        <v>30887.25</v>
      </c>
      <c r="L1097" s="37">
        <v>55184.81</v>
      </c>
      <c r="M1097" s="37">
        <v>236802.25</v>
      </c>
      <c r="N1097" s="37">
        <v>423083.81</v>
      </c>
      <c r="O1097" s="37">
        <v>75328</v>
      </c>
      <c r="P1097" s="37">
        <v>13577</v>
      </c>
      <c r="Q1097" s="37">
        <v>201097</v>
      </c>
      <c r="R1097" s="37">
        <v>456635</v>
      </c>
      <c r="S1097" s="37">
        <v>963.72</v>
      </c>
      <c r="T1097" s="37">
        <v>16022.98</v>
      </c>
      <c r="U1097" s="37">
        <v>20905.27</v>
      </c>
      <c r="V1097" s="37">
        <v>58171.27</v>
      </c>
      <c r="W1097" s="37">
        <v>276425.14</v>
      </c>
      <c r="X1097" s="37">
        <v>470213.73</v>
      </c>
      <c r="Y1097" s="37">
        <v>61491.89</v>
      </c>
      <c r="Z1097" s="37">
        <v>121324.44</v>
      </c>
      <c r="AA1097" s="37">
        <v>636211.02</v>
      </c>
      <c r="AB1097" s="37">
        <v>1135944.42</v>
      </c>
      <c r="AC1097" s="37">
        <v>1112269</v>
      </c>
      <c r="AD1097" s="37">
        <v>30000</v>
      </c>
      <c r="AE1097" s="37">
        <v>30000</v>
      </c>
      <c r="AF1097" s="168">
        <v>0.02</v>
      </c>
      <c r="AG1097" s="37">
        <v>26466460.859999999</v>
      </c>
      <c r="AH1097" s="37">
        <v>422559.48</v>
      </c>
      <c r="AI1097" s="37">
        <v>366701.46</v>
      </c>
      <c r="AJ1097" s="37">
        <v>319913.89</v>
      </c>
      <c r="AK1097" s="37">
        <v>234305.43</v>
      </c>
      <c r="AL1097" s="37">
        <v>238991.54</v>
      </c>
      <c r="AM1097" s="37">
        <v>243771.37</v>
      </c>
      <c r="AN1097" s="37">
        <v>248646.8</v>
      </c>
      <c r="AO1097" s="37">
        <v>253619.73</v>
      </c>
      <c r="AP1097" s="37">
        <v>1477686.55</v>
      </c>
      <c r="AQ1097" s="37">
        <v>263865.96999999997</v>
      </c>
      <c r="AR1097" s="37">
        <v>4070062.22</v>
      </c>
      <c r="AS1097" s="37">
        <v>462264</v>
      </c>
      <c r="AT1097" s="37">
        <v>0</v>
      </c>
      <c r="AU1097" s="37">
        <v>839566.39</v>
      </c>
      <c r="AV1097" s="37">
        <v>721621.44</v>
      </c>
      <c r="AW1097" s="37">
        <v>736053.87</v>
      </c>
      <c r="AX1097" s="37">
        <v>0</v>
      </c>
      <c r="AY1097" s="37">
        <v>0</v>
      </c>
      <c r="AZ1097" s="37">
        <v>0</v>
      </c>
      <c r="BA1097" s="37">
        <v>0</v>
      </c>
      <c r="BB1097" s="37">
        <v>0</v>
      </c>
      <c r="BC1097" s="37">
        <v>0</v>
      </c>
      <c r="BD1097" s="37">
        <v>2297241.7000000002</v>
      </c>
      <c r="BE1097" s="37">
        <v>0</v>
      </c>
      <c r="BF1097" s="37">
        <v>0</v>
      </c>
      <c r="BG1097" s="37">
        <v>0</v>
      </c>
      <c r="BH1097" s="37">
        <v>0</v>
      </c>
      <c r="BI1097" s="37">
        <v>0</v>
      </c>
      <c r="BJ1097" s="37">
        <v>0</v>
      </c>
      <c r="BK1097" s="37">
        <v>0</v>
      </c>
      <c r="BL1097" s="37">
        <v>0</v>
      </c>
      <c r="BM1097" s="37">
        <v>0</v>
      </c>
      <c r="BN1097" s="37">
        <v>0</v>
      </c>
      <c r="BO1097" s="37">
        <v>0</v>
      </c>
      <c r="BP1097" s="37">
        <v>0</v>
      </c>
      <c r="BQ1097" s="37">
        <v>0</v>
      </c>
      <c r="BR1097" s="37">
        <v>0</v>
      </c>
      <c r="BS1097" s="37">
        <v>0</v>
      </c>
      <c r="BT1097" s="37">
        <v>0</v>
      </c>
      <c r="BU1097" s="37">
        <v>0</v>
      </c>
      <c r="BV1097" s="37">
        <v>0</v>
      </c>
      <c r="BW1097" s="37">
        <v>0</v>
      </c>
      <c r="BX1097" s="37">
        <v>0</v>
      </c>
      <c r="BY1097" s="37">
        <v>0</v>
      </c>
      <c r="BZ1097" s="37">
        <v>0</v>
      </c>
      <c r="CA1097" s="37">
        <v>0</v>
      </c>
      <c r="CB1097" s="37">
        <v>0</v>
      </c>
      <c r="CC1097" s="37">
        <v>0</v>
      </c>
      <c r="CD1097" s="37">
        <v>0</v>
      </c>
      <c r="CE1097" s="37">
        <v>0</v>
      </c>
      <c r="CF1097" s="37">
        <v>0</v>
      </c>
      <c r="CG1097" s="37">
        <v>0</v>
      </c>
      <c r="CH1097" s="37">
        <v>0</v>
      </c>
      <c r="CI1097" s="37">
        <v>0</v>
      </c>
      <c r="CJ1097" s="37">
        <v>0</v>
      </c>
      <c r="CK1097" s="37">
        <v>0</v>
      </c>
      <c r="CL1097" s="37">
        <v>0</v>
      </c>
      <c r="CM1097" s="37">
        <v>0</v>
      </c>
      <c r="CN1097" s="37">
        <v>0</v>
      </c>
      <c r="CO1097" s="37">
        <v>0</v>
      </c>
      <c r="CP1097" s="37">
        <v>1600000</v>
      </c>
      <c r="CQ1097" s="37">
        <v>0</v>
      </c>
      <c r="CR1097" s="37">
        <v>0</v>
      </c>
      <c r="CS1097" s="37">
        <v>0</v>
      </c>
      <c r="CT1097" s="37">
        <v>0</v>
      </c>
      <c r="CU1097" s="37">
        <v>0</v>
      </c>
      <c r="CV1097" s="37">
        <v>0</v>
      </c>
      <c r="CW1097" s="37">
        <v>0</v>
      </c>
      <c r="CX1097" s="37">
        <v>0</v>
      </c>
      <c r="CY1097" s="37">
        <v>0</v>
      </c>
      <c r="CZ1097" s="37">
        <v>1600000</v>
      </c>
      <c r="DA1097" s="37">
        <v>303471</v>
      </c>
      <c r="DB1097" s="37">
        <v>0</v>
      </c>
      <c r="DC1097" s="37">
        <v>100000</v>
      </c>
      <c r="DD1097" s="37">
        <v>300000</v>
      </c>
      <c r="DE1097" s="37">
        <v>200000</v>
      </c>
      <c r="DF1097" s="37">
        <v>0</v>
      </c>
      <c r="DG1097" s="37">
        <v>0</v>
      </c>
      <c r="DH1097" s="37">
        <v>0</v>
      </c>
      <c r="DI1097" s="37">
        <v>0</v>
      </c>
      <c r="DJ1097" s="37">
        <v>0</v>
      </c>
      <c r="DK1097" s="37">
        <v>0</v>
      </c>
      <c r="DL1097" s="37">
        <v>600000</v>
      </c>
      <c r="DM1097" s="37">
        <v>0</v>
      </c>
      <c r="DN1097" s="37">
        <v>0</v>
      </c>
      <c r="DO1097" s="37">
        <v>0</v>
      </c>
      <c r="DP1097" s="37">
        <v>0</v>
      </c>
      <c r="DQ1097" s="37">
        <v>0</v>
      </c>
      <c r="DR1097" s="37">
        <v>0</v>
      </c>
      <c r="DS1097" s="37">
        <v>0</v>
      </c>
      <c r="DT1097" s="37">
        <v>0</v>
      </c>
      <c r="DU1097" s="37">
        <v>0</v>
      </c>
      <c r="DV1097" s="37">
        <v>0</v>
      </c>
      <c r="DW1097" s="37">
        <v>0</v>
      </c>
      <c r="DX1097" s="37">
        <v>0</v>
      </c>
      <c r="DY1097" s="37">
        <v>0</v>
      </c>
      <c r="DZ1097" s="37">
        <v>0</v>
      </c>
      <c r="EA1097" s="37">
        <v>0</v>
      </c>
      <c r="EB1097" s="37">
        <v>0</v>
      </c>
      <c r="EC1097" s="37">
        <v>0</v>
      </c>
      <c r="ED1097" s="37">
        <v>0</v>
      </c>
      <c r="EE1097" s="37">
        <v>0</v>
      </c>
      <c r="EF1097" s="37">
        <v>0</v>
      </c>
      <c r="EG1097" s="37">
        <v>0</v>
      </c>
      <c r="EH1097" s="37">
        <v>0</v>
      </c>
      <c r="EI1097" s="37">
        <v>0</v>
      </c>
      <c r="EJ1097" s="37">
        <v>0</v>
      </c>
      <c r="EK1097" s="161" t="s">
        <v>3646</v>
      </c>
      <c r="EL1097" s="294" t="s">
        <v>1124</v>
      </c>
    </row>
    <row r="1098" spans="1:142" ht="15" customHeight="1" x14ac:dyDescent="0.35">
      <c r="A1098" s="34"/>
      <c r="B1098" s="313">
        <v>32085</v>
      </c>
      <c r="C1098" s="8" t="s">
        <v>266</v>
      </c>
      <c r="D1098" s="18">
        <v>17</v>
      </c>
      <c r="E1098" s="155"/>
      <c r="F1098" s="36"/>
      <c r="G1098" s="37"/>
      <c r="H1098" s="37"/>
      <c r="I1098" s="37"/>
      <c r="J1098" s="37"/>
      <c r="K1098" s="37"/>
      <c r="L1098" s="37"/>
      <c r="M1098" s="37" t="s">
        <v>1124</v>
      </c>
      <c r="N1098" s="37" t="s">
        <v>1124</v>
      </c>
      <c r="O1098" s="37"/>
      <c r="P1098" s="37"/>
      <c r="Q1098" s="37"/>
      <c r="R1098" s="37"/>
      <c r="S1098" s="37"/>
      <c r="T1098" s="37"/>
      <c r="U1098" s="37"/>
      <c r="V1098" s="37"/>
      <c r="W1098" s="37"/>
      <c r="X1098" s="37"/>
      <c r="Y1098" s="37"/>
      <c r="Z1098" s="37"/>
      <c r="AA1098" s="37" t="s">
        <v>1124</v>
      </c>
      <c r="AB1098" s="37" t="s">
        <v>1124</v>
      </c>
      <c r="AC1098" s="37"/>
      <c r="AD1098" s="37"/>
      <c r="AE1098" s="37"/>
      <c r="AF1098" s="168"/>
      <c r="AG1098" s="37"/>
      <c r="AH1098" s="37"/>
      <c r="AI1098" s="37"/>
      <c r="AJ1098" s="37"/>
      <c r="AK1098" s="37"/>
      <c r="AL1098" s="37"/>
      <c r="AM1098" s="37"/>
      <c r="AN1098" s="37"/>
      <c r="AO1098" s="37"/>
      <c r="AP1098" s="37"/>
      <c r="AQ1098" s="37"/>
      <c r="AR1098" s="37" t="s">
        <v>1124</v>
      </c>
      <c r="AS1098" s="37"/>
      <c r="AT1098" s="37"/>
      <c r="AU1098" s="37"/>
      <c r="AV1098" s="37"/>
      <c r="AW1098" s="37"/>
      <c r="AX1098" s="37"/>
      <c r="AY1098" s="37"/>
      <c r="AZ1098" s="37"/>
      <c r="BA1098" s="37"/>
      <c r="BB1098" s="37"/>
      <c r="BC1098" s="37"/>
      <c r="BD1098" s="37" t="s">
        <v>1124</v>
      </c>
      <c r="BE1098" s="37"/>
      <c r="BF1098" s="37"/>
      <c r="BG1098" s="37"/>
      <c r="BH1098" s="37"/>
      <c r="BI1098" s="37"/>
      <c r="BJ1098" s="37"/>
      <c r="BK1098" s="37"/>
      <c r="BL1098" s="37"/>
      <c r="BM1098" s="37"/>
      <c r="BN1098" s="37"/>
      <c r="BO1098" s="37"/>
      <c r="BP1098" s="37">
        <v>0</v>
      </c>
      <c r="BQ1098" s="37"/>
      <c r="BR1098" s="37"/>
      <c r="BS1098" s="37"/>
      <c r="BT1098" s="37"/>
      <c r="BU1098" s="37"/>
      <c r="BV1098" s="37"/>
      <c r="BW1098" s="37"/>
      <c r="BX1098" s="37"/>
      <c r="BY1098" s="37"/>
      <c r="BZ1098" s="37"/>
      <c r="CA1098" s="37"/>
      <c r="CB1098" s="37" t="s">
        <v>1124</v>
      </c>
      <c r="CC1098" s="37"/>
      <c r="CD1098" s="37"/>
      <c r="CE1098" s="37"/>
      <c r="CF1098" s="37"/>
      <c r="CG1098" s="37"/>
      <c r="CH1098" s="37"/>
      <c r="CI1098" s="37"/>
      <c r="CJ1098" s="37"/>
      <c r="CK1098" s="37"/>
      <c r="CL1098" s="37"/>
      <c r="CM1098" s="37"/>
      <c r="CN1098" s="37" t="s">
        <v>1124</v>
      </c>
      <c r="CO1098" s="37"/>
      <c r="CP1098" s="37"/>
      <c r="CQ1098" s="37"/>
      <c r="CR1098" s="37"/>
      <c r="CS1098" s="37"/>
      <c r="CT1098" s="37"/>
      <c r="CU1098" s="37"/>
      <c r="CV1098" s="37"/>
      <c r="CW1098" s="37"/>
      <c r="CX1098" s="37"/>
      <c r="CY1098" s="37"/>
      <c r="CZ1098" s="37" t="s">
        <v>1124</v>
      </c>
      <c r="DA1098" s="37"/>
      <c r="DB1098" s="37"/>
      <c r="DC1098" s="37"/>
      <c r="DD1098" s="37"/>
      <c r="DE1098" s="37"/>
      <c r="DF1098" s="37"/>
      <c r="DG1098" s="37"/>
      <c r="DH1098" s="37"/>
      <c r="DI1098" s="37"/>
      <c r="DJ1098" s="37"/>
      <c r="DK1098" s="37"/>
      <c r="DL1098" s="37" t="s">
        <v>1124</v>
      </c>
      <c r="DM1098" s="37"/>
      <c r="DN1098" s="37"/>
      <c r="DO1098" s="37"/>
      <c r="DP1098" s="37"/>
      <c r="DQ1098" s="37"/>
      <c r="DR1098" s="37"/>
      <c r="DS1098" s="37"/>
      <c r="DT1098" s="37"/>
      <c r="DU1098" s="37"/>
      <c r="DV1098" s="37"/>
      <c r="DW1098" s="37"/>
      <c r="DX1098" s="37" t="s">
        <v>1124</v>
      </c>
      <c r="DY1098" s="37"/>
      <c r="DZ1098" s="37"/>
      <c r="EA1098" s="37"/>
      <c r="EB1098" s="37"/>
      <c r="EC1098" s="37"/>
      <c r="ED1098" s="37"/>
      <c r="EE1098" s="37"/>
      <c r="EF1098" s="37"/>
      <c r="EG1098" s="37"/>
      <c r="EH1098" s="37"/>
      <c r="EI1098" s="37"/>
      <c r="EJ1098" s="37" t="s">
        <v>1124</v>
      </c>
      <c r="EK1098" s="161"/>
      <c r="EL1098" s="294"/>
    </row>
    <row r="1099" spans="1:142" ht="15" customHeight="1" x14ac:dyDescent="0.35">
      <c r="A1099" s="34"/>
      <c r="B1099" s="313">
        <v>84070</v>
      </c>
      <c r="C1099" s="8" t="s">
        <v>865</v>
      </c>
      <c r="D1099" s="18">
        <v>7</v>
      </c>
      <c r="E1099" s="155"/>
      <c r="F1099" s="36"/>
      <c r="G1099" s="37"/>
      <c r="H1099" s="37"/>
      <c r="I1099" s="37"/>
      <c r="J1099" s="37"/>
      <c r="K1099" s="37"/>
      <c r="L1099" s="37"/>
      <c r="M1099" s="37" t="s">
        <v>1124</v>
      </c>
      <c r="N1099" s="37" t="s">
        <v>1124</v>
      </c>
      <c r="O1099" s="37"/>
      <c r="P1099" s="37"/>
      <c r="Q1099" s="37"/>
      <c r="R1099" s="37"/>
      <c r="S1099" s="37"/>
      <c r="T1099" s="37"/>
      <c r="U1099" s="37"/>
      <c r="V1099" s="37"/>
      <c r="W1099" s="37"/>
      <c r="X1099" s="37"/>
      <c r="Y1099" s="37"/>
      <c r="Z1099" s="37"/>
      <c r="AA1099" s="37" t="s">
        <v>1124</v>
      </c>
      <c r="AB1099" s="37" t="s">
        <v>1124</v>
      </c>
      <c r="AC1099" s="37"/>
      <c r="AD1099" s="37"/>
      <c r="AE1099" s="37"/>
      <c r="AF1099" s="168"/>
      <c r="AG1099" s="37"/>
      <c r="AH1099" s="37"/>
      <c r="AI1099" s="37"/>
      <c r="AJ1099" s="37"/>
      <c r="AK1099" s="37"/>
      <c r="AL1099" s="37"/>
      <c r="AM1099" s="37"/>
      <c r="AN1099" s="37"/>
      <c r="AO1099" s="37"/>
      <c r="AP1099" s="37"/>
      <c r="AQ1099" s="37"/>
      <c r="AR1099" s="37" t="s">
        <v>1124</v>
      </c>
      <c r="AS1099" s="37"/>
      <c r="AT1099" s="37"/>
      <c r="AU1099" s="37"/>
      <c r="AV1099" s="37"/>
      <c r="AW1099" s="37"/>
      <c r="AX1099" s="37"/>
      <c r="AY1099" s="37"/>
      <c r="AZ1099" s="37"/>
      <c r="BA1099" s="37"/>
      <c r="BB1099" s="37"/>
      <c r="BC1099" s="37"/>
      <c r="BD1099" s="37" t="s">
        <v>1124</v>
      </c>
      <c r="BE1099" s="37"/>
      <c r="BF1099" s="37"/>
      <c r="BG1099" s="37"/>
      <c r="BH1099" s="37"/>
      <c r="BI1099" s="37"/>
      <c r="BJ1099" s="37"/>
      <c r="BK1099" s="37"/>
      <c r="BL1099" s="37"/>
      <c r="BM1099" s="37"/>
      <c r="BN1099" s="37"/>
      <c r="BO1099" s="37"/>
      <c r="BP1099" s="37">
        <v>0</v>
      </c>
      <c r="BQ1099" s="37"/>
      <c r="BR1099" s="37"/>
      <c r="BS1099" s="37"/>
      <c r="BT1099" s="37"/>
      <c r="BU1099" s="37"/>
      <c r="BV1099" s="37"/>
      <c r="BW1099" s="37"/>
      <c r="BX1099" s="37"/>
      <c r="BY1099" s="37"/>
      <c r="BZ1099" s="37"/>
      <c r="CA1099" s="37"/>
      <c r="CB1099" s="37" t="s">
        <v>1124</v>
      </c>
      <c r="CC1099" s="37"/>
      <c r="CD1099" s="37"/>
      <c r="CE1099" s="37"/>
      <c r="CF1099" s="37"/>
      <c r="CG1099" s="37"/>
      <c r="CH1099" s="37"/>
      <c r="CI1099" s="37"/>
      <c r="CJ1099" s="37"/>
      <c r="CK1099" s="37"/>
      <c r="CL1099" s="37"/>
      <c r="CM1099" s="37"/>
      <c r="CN1099" s="37" t="s">
        <v>1124</v>
      </c>
      <c r="CO1099" s="37"/>
      <c r="CP1099" s="37"/>
      <c r="CQ1099" s="37"/>
      <c r="CR1099" s="37"/>
      <c r="CS1099" s="37"/>
      <c r="CT1099" s="37"/>
      <c r="CU1099" s="37"/>
      <c r="CV1099" s="37"/>
      <c r="CW1099" s="37"/>
      <c r="CX1099" s="37"/>
      <c r="CY1099" s="37"/>
      <c r="CZ1099" s="37" t="s">
        <v>1124</v>
      </c>
      <c r="DA1099" s="37"/>
      <c r="DB1099" s="37"/>
      <c r="DC1099" s="37"/>
      <c r="DD1099" s="37"/>
      <c r="DE1099" s="37"/>
      <c r="DF1099" s="37"/>
      <c r="DG1099" s="37"/>
      <c r="DH1099" s="37"/>
      <c r="DI1099" s="37"/>
      <c r="DJ1099" s="37"/>
      <c r="DK1099" s="37"/>
      <c r="DL1099" s="37" t="s">
        <v>1124</v>
      </c>
      <c r="DM1099" s="37"/>
      <c r="DN1099" s="37"/>
      <c r="DO1099" s="37"/>
      <c r="DP1099" s="37"/>
      <c r="DQ1099" s="37"/>
      <c r="DR1099" s="37"/>
      <c r="DS1099" s="37"/>
      <c r="DT1099" s="37"/>
      <c r="DU1099" s="37"/>
      <c r="DV1099" s="37"/>
      <c r="DW1099" s="37"/>
      <c r="DX1099" s="37" t="s">
        <v>1124</v>
      </c>
      <c r="DY1099" s="37"/>
      <c r="DZ1099" s="37"/>
      <c r="EA1099" s="37"/>
      <c r="EB1099" s="37"/>
      <c r="EC1099" s="37"/>
      <c r="ED1099" s="37"/>
      <c r="EE1099" s="37"/>
      <c r="EF1099" s="37"/>
      <c r="EG1099" s="37"/>
      <c r="EH1099" s="37"/>
      <c r="EI1099" s="37"/>
      <c r="EJ1099" s="37" t="s">
        <v>1124</v>
      </c>
      <c r="EK1099" s="161"/>
      <c r="EL1099" s="294"/>
    </row>
    <row r="1100" spans="1:142" ht="15" customHeight="1" x14ac:dyDescent="0.35">
      <c r="A1100" s="34"/>
      <c r="B1100" s="313">
        <v>47030</v>
      </c>
      <c r="C1100" s="8" t="s">
        <v>451</v>
      </c>
      <c r="D1100" s="18">
        <v>5</v>
      </c>
      <c r="E1100" s="155"/>
      <c r="F1100" s="36"/>
      <c r="G1100" s="37"/>
      <c r="H1100" s="37"/>
      <c r="I1100" s="37"/>
      <c r="J1100" s="37"/>
      <c r="K1100" s="37"/>
      <c r="L1100" s="37"/>
      <c r="M1100" s="37" t="s">
        <v>1124</v>
      </c>
      <c r="N1100" s="37" t="s">
        <v>1124</v>
      </c>
      <c r="O1100" s="37"/>
      <c r="P1100" s="37"/>
      <c r="Q1100" s="37"/>
      <c r="R1100" s="37"/>
      <c r="S1100" s="37"/>
      <c r="T1100" s="37"/>
      <c r="U1100" s="37"/>
      <c r="V1100" s="37"/>
      <c r="W1100" s="37"/>
      <c r="X1100" s="37"/>
      <c r="Y1100" s="37"/>
      <c r="Z1100" s="37"/>
      <c r="AA1100" s="37" t="s">
        <v>1124</v>
      </c>
      <c r="AB1100" s="37" t="s">
        <v>1124</v>
      </c>
      <c r="AC1100" s="37"/>
      <c r="AD1100" s="37"/>
      <c r="AE1100" s="37"/>
      <c r="AF1100" s="168"/>
      <c r="AG1100" s="37"/>
      <c r="AH1100" s="37"/>
      <c r="AI1100" s="37"/>
      <c r="AJ1100" s="37"/>
      <c r="AK1100" s="37"/>
      <c r="AL1100" s="37"/>
      <c r="AM1100" s="37"/>
      <c r="AN1100" s="37"/>
      <c r="AO1100" s="37"/>
      <c r="AP1100" s="37"/>
      <c r="AQ1100" s="37"/>
      <c r="AR1100" s="37" t="s">
        <v>1124</v>
      </c>
      <c r="AS1100" s="37"/>
      <c r="AT1100" s="37"/>
      <c r="AU1100" s="37"/>
      <c r="AV1100" s="37"/>
      <c r="AW1100" s="37"/>
      <c r="AX1100" s="37"/>
      <c r="AY1100" s="37"/>
      <c r="AZ1100" s="37"/>
      <c r="BA1100" s="37"/>
      <c r="BB1100" s="37"/>
      <c r="BC1100" s="37"/>
      <c r="BD1100" s="37" t="s">
        <v>1124</v>
      </c>
      <c r="BE1100" s="37"/>
      <c r="BF1100" s="37"/>
      <c r="BG1100" s="37"/>
      <c r="BH1100" s="37"/>
      <c r="BI1100" s="37"/>
      <c r="BJ1100" s="37"/>
      <c r="BK1100" s="37"/>
      <c r="BL1100" s="37"/>
      <c r="BM1100" s="37"/>
      <c r="BN1100" s="37"/>
      <c r="BO1100" s="37"/>
      <c r="BP1100" s="37">
        <v>0</v>
      </c>
      <c r="BQ1100" s="37"/>
      <c r="BR1100" s="37"/>
      <c r="BS1100" s="37"/>
      <c r="BT1100" s="37"/>
      <c r="BU1100" s="37"/>
      <c r="BV1100" s="37"/>
      <c r="BW1100" s="37"/>
      <c r="BX1100" s="37"/>
      <c r="BY1100" s="37"/>
      <c r="BZ1100" s="37"/>
      <c r="CA1100" s="37"/>
      <c r="CB1100" s="37" t="s">
        <v>1124</v>
      </c>
      <c r="CC1100" s="37"/>
      <c r="CD1100" s="37"/>
      <c r="CE1100" s="37"/>
      <c r="CF1100" s="37"/>
      <c r="CG1100" s="37"/>
      <c r="CH1100" s="37"/>
      <c r="CI1100" s="37"/>
      <c r="CJ1100" s="37"/>
      <c r="CK1100" s="37"/>
      <c r="CL1100" s="37"/>
      <c r="CM1100" s="37"/>
      <c r="CN1100" s="37" t="s">
        <v>1124</v>
      </c>
      <c r="CO1100" s="37"/>
      <c r="CP1100" s="37"/>
      <c r="CQ1100" s="37"/>
      <c r="CR1100" s="37"/>
      <c r="CS1100" s="37"/>
      <c r="CT1100" s="37"/>
      <c r="CU1100" s="37"/>
      <c r="CV1100" s="37"/>
      <c r="CW1100" s="37"/>
      <c r="CX1100" s="37"/>
      <c r="CY1100" s="37"/>
      <c r="CZ1100" s="37" t="s">
        <v>1124</v>
      </c>
      <c r="DA1100" s="37"/>
      <c r="DB1100" s="37"/>
      <c r="DC1100" s="37"/>
      <c r="DD1100" s="37"/>
      <c r="DE1100" s="37"/>
      <c r="DF1100" s="37"/>
      <c r="DG1100" s="37"/>
      <c r="DH1100" s="37"/>
      <c r="DI1100" s="37"/>
      <c r="DJ1100" s="37"/>
      <c r="DK1100" s="37"/>
      <c r="DL1100" s="37" t="s">
        <v>1124</v>
      </c>
      <c r="DM1100" s="37"/>
      <c r="DN1100" s="37"/>
      <c r="DO1100" s="37"/>
      <c r="DP1100" s="37"/>
      <c r="DQ1100" s="37"/>
      <c r="DR1100" s="37"/>
      <c r="DS1100" s="37"/>
      <c r="DT1100" s="37"/>
      <c r="DU1100" s="37"/>
      <c r="DV1100" s="37"/>
      <c r="DW1100" s="37"/>
      <c r="DX1100" s="37" t="s">
        <v>1124</v>
      </c>
      <c r="DY1100" s="37"/>
      <c r="DZ1100" s="37"/>
      <c r="EA1100" s="37"/>
      <c r="EB1100" s="37"/>
      <c r="EC1100" s="37"/>
      <c r="ED1100" s="37"/>
      <c r="EE1100" s="37"/>
      <c r="EF1100" s="37"/>
      <c r="EG1100" s="37"/>
      <c r="EH1100" s="37"/>
      <c r="EI1100" s="37"/>
      <c r="EJ1100" s="37" t="s">
        <v>1124</v>
      </c>
      <c r="EK1100" s="161"/>
      <c r="EL1100" s="294"/>
    </row>
    <row r="1101" spans="1:142" ht="15" customHeight="1" x14ac:dyDescent="0.35">
      <c r="A1101" s="34"/>
      <c r="B1101" s="313">
        <v>39077</v>
      </c>
      <c r="C1101" s="8" t="s">
        <v>347</v>
      </c>
      <c r="D1101" s="18">
        <v>17</v>
      </c>
      <c r="E1101" s="155">
        <v>228100</v>
      </c>
      <c r="F1101" s="36">
        <v>206237</v>
      </c>
      <c r="G1101" s="37">
        <v>10754</v>
      </c>
      <c r="H1101" s="37">
        <v>4967</v>
      </c>
      <c r="I1101" s="37">
        <v>19228</v>
      </c>
      <c r="J1101" s="37">
        <v>68272</v>
      </c>
      <c r="K1101" s="37">
        <v>0</v>
      </c>
      <c r="L1101" s="37">
        <v>0</v>
      </c>
      <c r="M1101" s="37">
        <v>258082</v>
      </c>
      <c r="N1101" s="37">
        <v>279476</v>
      </c>
      <c r="O1101" s="37">
        <v>200851</v>
      </c>
      <c r="P1101" s="37">
        <v>39282</v>
      </c>
      <c r="Q1101" s="37">
        <v>314304</v>
      </c>
      <c r="R1101" s="37">
        <v>47970</v>
      </c>
      <c r="S1101" s="37">
        <v>0</v>
      </c>
      <c r="T1101" s="37">
        <v>0</v>
      </c>
      <c r="U1101" s="37">
        <v>50150</v>
      </c>
      <c r="V1101" s="37">
        <v>2132</v>
      </c>
      <c r="W1101" s="37">
        <v>0</v>
      </c>
      <c r="X1101" s="37">
        <v>0</v>
      </c>
      <c r="Y1101" s="37">
        <v>0</v>
      </c>
      <c r="Z1101" s="37">
        <v>0</v>
      </c>
      <c r="AA1101" s="37">
        <v>565305</v>
      </c>
      <c r="AB1101" s="37">
        <v>89384</v>
      </c>
      <c r="AC1101" s="37">
        <v>117131</v>
      </c>
      <c r="AD1101" s="37">
        <v>117131</v>
      </c>
      <c r="AE1101" s="37">
        <v>280440</v>
      </c>
      <c r="AF1101" s="168">
        <v>0.02</v>
      </c>
      <c r="AG1101" s="37">
        <v>57846558.689999998</v>
      </c>
      <c r="AH1101" s="37">
        <v>1996093.08</v>
      </c>
      <c r="AI1101" s="37">
        <v>570880.49</v>
      </c>
      <c r="AJ1101" s="37">
        <v>582298.1</v>
      </c>
      <c r="AK1101" s="37">
        <v>593944.06999999995</v>
      </c>
      <c r="AL1101" s="37">
        <v>605822.94999999995</v>
      </c>
      <c r="AM1101" s="37">
        <v>617939.41</v>
      </c>
      <c r="AN1101" s="37">
        <v>630298.18999999994</v>
      </c>
      <c r="AO1101" s="37">
        <v>642904.16</v>
      </c>
      <c r="AP1101" s="37">
        <v>655762.24</v>
      </c>
      <c r="AQ1101" s="37">
        <v>668877.84</v>
      </c>
      <c r="AR1101" s="37">
        <v>7564820.5300000003</v>
      </c>
      <c r="AS1101" s="37">
        <v>565936.80000000005</v>
      </c>
      <c r="AT1101" s="37">
        <v>0</v>
      </c>
      <c r="AU1101" s="37">
        <v>6293772.0800000001</v>
      </c>
      <c r="AV1101" s="37">
        <v>0</v>
      </c>
      <c r="AW1101" s="37">
        <v>0</v>
      </c>
      <c r="AX1101" s="37">
        <v>0</v>
      </c>
      <c r="AY1101" s="37">
        <v>0</v>
      </c>
      <c r="AZ1101" s="37">
        <v>0</v>
      </c>
      <c r="BA1101" s="37">
        <v>0</v>
      </c>
      <c r="BB1101" s="37">
        <v>0</v>
      </c>
      <c r="BC1101" s="37">
        <v>0</v>
      </c>
      <c r="BD1101" s="37">
        <v>6293772.0800000001</v>
      </c>
      <c r="BE1101" s="37">
        <v>0</v>
      </c>
      <c r="BF1101" s="37">
        <v>367872</v>
      </c>
      <c r="BG1101" s="37">
        <v>2009434</v>
      </c>
      <c r="BH1101" s="37">
        <v>488133.24687101797</v>
      </c>
      <c r="BI1101" s="37">
        <v>579747.03294636332</v>
      </c>
      <c r="BJ1101" s="37">
        <v>62965.997355299834</v>
      </c>
      <c r="BK1101" s="37">
        <v>304906.06626120664</v>
      </c>
      <c r="BL1101" s="37">
        <v>396519.65656611236</v>
      </c>
      <c r="BM1101" s="37">
        <v>488133.24687101797</v>
      </c>
      <c r="BN1101" s="37">
        <v>579747.03294636332</v>
      </c>
      <c r="BO1101" s="37">
        <v>0</v>
      </c>
      <c r="BP1101" s="37">
        <v>5277458.2798173819</v>
      </c>
      <c r="BQ1101" s="37">
        <v>0</v>
      </c>
      <c r="BR1101" s="37">
        <v>233500</v>
      </c>
      <c r="BS1101" s="37">
        <v>754043</v>
      </c>
      <c r="BT1101" s="37">
        <v>309833.34685624944</v>
      </c>
      <c r="BU1101" s="37">
        <v>367983.46496405581</v>
      </c>
      <c r="BV1101" s="37">
        <v>39966.476005862503</v>
      </c>
      <c r="BW1101" s="37">
        <v>193533.359163805</v>
      </c>
      <c r="BX1101" s="37">
        <v>251683.35301002726</v>
      </c>
      <c r="BY1101" s="37">
        <v>309833.34685624944</v>
      </c>
      <c r="BZ1101" s="37">
        <v>367983.46496405581</v>
      </c>
      <c r="CA1101" s="37">
        <v>0</v>
      </c>
      <c r="CB1101" s="37">
        <v>2828359.811820305</v>
      </c>
      <c r="CC1101" s="37">
        <v>0</v>
      </c>
      <c r="CD1101" s="37">
        <v>0</v>
      </c>
      <c r="CE1101" s="37">
        <v>0</v>
      </c>
      <c r="CF1101" s="37">
        <v>0</v>
      </c>
      <c r="CG1101" s="37">
        <v>0</v>
      </c>
      <c r="CH1101" s="37">
        <v>0</v>
      </c>
      <c r="CI1101" s="37">
        <v>0</v>
      </c>
      <c r="CJ1101" s="37">
        <v>0</v>
      </c>
      <c r="CK1101" s="37">
        <v>0</v>
      </c>
      <c r="CL1101" s="37">
        <v>0</v>
      </c>
      <c r="CM1101" s="37">
        <v>0</v>
      </c>
      <c r="CN1101" s="37">
        <v>0</v>
      </c>
      <c r="CO1101" s="37">
        <v>0</v>
      </c>
      <c r="CP1101" s="37">
        <v>0</v>
      </c>
      <c r="CQ1101" s="37">
        <v>0</v>
      </c>
      <c r="CR1101" s="37">
        <v>0</v>
      </c>
      <c r="CS1101" s="37">
        <v>0</v>
      </c>
      <c r="CT1101" s="37">
        <v>0</v>
      </c>
      <c r="CU1101" s="37">
        <v>0</v>
      </c>
      <c r="CV1101" s="37">
        <v>0</v>
      </c>
      <c r="CW1101" s="37">
        <v>0</v>
      </c>
      <c r="CX1101" s="37">
        <v>0</v>
      </c>
      <c r="CY1101" s="37">
        <v>0</v>
      </c>
      <c r="CZ1101" s="37">
        <v>0</v>
      </c>
      <c r="DA1101" s="37">
        <v>0</v>
      </c>
      <c r="DB1101" s="37">
        <v>0</v>
      </c>
      <c r="DC1101" s="37">
        <v>4000000</v>
      </c>
      <c r="DD1101" s="37">
        <v>2176566</v>
      </c>
      <c r="DE1101" s="37">
        <v>0</v>
      </c>
      <c r="DF1101" s="37">
        <v>0</v>
      </c>
      <c r="DG1101" s="37">
        <v>0</v>
      </c>
      <c r="DH1101" s="37">
        <v>0</v>
      </c>
      <c r="DI1101" s="37">
        <v>0</v>
      </c>
      <c r="DJ1101" s="37">
        <v>0</v>
      </c>
      <c r="DK1101" s="37">
        <v>0</v>
      </c>
      <c r="DL1101" s="37">
        <v>6176566</v>
      </c>
      <c r="DM1101" s="37">
        <v>0</v>
      </c>
      <c r="DN1101" s="37">
        <v>0</v>
      </c>
      <c r="DO1101" s="37">
        <v>0</v>
      </c>
      <c r="DP1101" s="37">
        <v>0</v>
      </c>
      <c r="DQ1101" s="37">
        <v>0</v>
      </c>
      <c r="DR1101" s="37">
        <v>0</v>
      </c>
      <c r="DS1101" s="37">
        <v>0</v>
      </c>
      <c r="DT1101" s="37">
        <v>0</v>
      </c>
      <c r="DU1101" s="37">
        <v>0</v>
      </c>
      <c r="DV1101" s="37">
        <v>0</v>
      </c>
      <c r="DW1101" s="37">
        <v>0</v>
      </c>
      <c r="DX1101" s="37">
        <v>0</v>
      </c>
      <c r="DY1101" s="37">
        <v>0</v>
      </c>
      <c r="DZ1101" s="37">
        <v>0</v>
      </c>
      <c r="EA1101" s="37">
        <v>0</v>
      </c>
      <c r="EB1101" s="37">
        <v>0</v>
      </c>
      <c r="EC1101" s="37">
        <v>0</v>
      </c>
      <c r="ED1101" s="37">
        <v>0</v>
      </c>
      <c r="EE1101" s="37">
        <v>0</v>
      </c>
      <c r="EF1101" s="37">
        <v>0</v>
      </c>
      <c r="EG1101" s="37">
        <v>0</v>
      </c>
      <c r="EH1101" s="37">
        <v>0</v>
      </c>
      <c r="EI1101" s="37">
        <v>0</v>
      </c>
      <c r="EJ1101" s="37">
        <v>0</v>
      </c>
      <c r="EK1101" s="161" t="s">
        <v>3651</v>
      </c>
      <c r="EL1101" s="294" t="s">
        <v>1124</v>
      </c>
    </row>
    <row r="1102" spans="1:142" ht="15" customHeight="1" x14ac:dyDescent="0.35">
      <c r="A1102" s="34"/>
      <c r="B1102" s="313">
        <v>47025</v>
      </c>
      <c r="C1102" s="8" t="s">
        <v>450</v>
      </c>
      <c r="D1102" s="18">
        <v>5</v>
      </c>
      <c r="E1102" s="155"/>
      <c r="F1102" s="36"/>
      <c r="G1102" s="37"/>
      <c r="H1102" s="37"/>
      <c r="I1102" s="37"/>
      <c r="J1102" s="37"/>
      <c r="K1102" s="37"/>
      <c r="L1102" s="37"/>
      <c r="M1102" s="37" t="s">
        <v>1124</v>
      </c>
      <c r="N1102" s="37" t="s">
        <v>1124</v>
      </c>
      <c r="O1102" s="37"/>
      <c r="P1102" s="37"/>
      <c r="Q1102" s="37"/>
      <c r="R1102" s="37"/>
      <c r="S1102" s="37"/>
      <c r="T1102" s="37"/>
      <c r="U1102" s="37"/>
      <c r="V1102" s="37"/>
      <c r="W1102" s="37"/>
      <c r="X1102" s="37"/>
      <c r="Y1102" s="37"/>
      <c r="Z1102" s="37"/>
      <c r="AA1102" s="37" t="s">
        <v>1124</v>
      </c>
      <c r="AB1102" s="37" t="s">
        <v>1124</v>
      </c>
      <c r="AC1102" s="37"/>
      <c r="AD1102" s="37"/>
      <c r="AE1102" s="37"/>
      <c r="AF1102" s="168"/>
      <c r="AG1102" s="37"/>
      <c r="AH1102" s="37"/>
      <c r="AI1102" s="37"/>
      <c r="AJ1102" s="37"/>
      <c r="AK1102" s="37"/>
      <c r="AL1102" s="37"/>
      <c r="AM1102" s="37"/>
      <c r="AN1102" s="37"/>
      <c r="AO1102" s="37"/>
      <c r="AP1102" s="37"/>
      <c r="AQ1102" s="37"/>
      <c r="AR1102" s="37" t="s">
        <v>1124</v>
      </c>
      <c r="AS1102" s="37"/>
      <c r="AT1102" s="37"/>
      <c r="AU1102" s="37"/>
      <c r="AV1102" s="37"/>
      <c r="AW1102" s="37"/>
      <c r="AX1102" s="37"/>
      <c r="AY1102" s="37"/>
      <c r="AZ1102" s="37"/>
      <c r="BA1102" s="37"/>
      <c r="BB1102" s="37"/>
      <c r="BC1102" s="37"/>
      <c r="BD1102" s="37" t="s">
        <v>1124</v>
      </c>
      <c r="BE1102" s="37"/>
      <c r="BF1102" s="37"/>
      <c r="BG1102" s="37"/>
      <c r="BH1102" s="37"/>
      <c r="BI1102" s="37"/>
      <c r="BJ1102" s="37"/>
      <c r="BK1102" s="37"/>
      <c r="BL1102" s="37"/>
      <c r="BM1102" s="37"/>
      <c r="BN1102" s="37"/>
      <c r="BO1102" s="37"/>
      <c r="BP1102" s="37">
        <v>0</v>
      </c>
      <c r="BQ1102" s="37"/>
      <c r="BR1102" s="37"/>
      <c r="BS1102" s="37"/>
      <c r="BT1102" s="37"/>
      <c r="BU1102" s="37"/>
      <c r="BV1102" s="37"/>
      <c r="BW1102" s="37"/>
      <c r="BX1102" s="37"/>
      <c r="BY1102" s="37"/>
      <c r="BZ1102" s="37"/>
      <c r="CA1102" s="37"/>
      <c r="CB1102" s="37" t="s">
        <v>1124</v>
      </c>
      <c r="CC1102" s="37"/>
      <c r="CD1102" s="37"/>
      <c r="CE1102" s="37"/>
      <c r="CF1102" s="37"/>
      <c r="CG1102" s="37"/>
      <c r="CH1102" s="37"/>
      <c r="CI1102" s="37"/>
      <c r="CJ1102" s="37"/>
      <c r="CK1102" s="37"/>
      <c r="CL1102" s="37"/>
      <c r="CM1102" s="37"/>
      <c r="CN1102" s="37" t="s">
        <v>1124</v>
      </c>
      <c r="CO1102" s="37"/>
      <c r="CP1102" s="37"/>
      <c r="CQ1102" s="37"/>
      <c r="CR1102" s="37"/>
      <c r="CS1102" s="37"/>
      <c r="CT1102" s="37"/>
      <c r="CU1102" s="37"/>
      <c r="CV1102" s="37"/>
      <c r="CW1102" s="37"/>
      <c r="CX1102" s="37"/>
      <c r="CY1102" s="37"/>
      <c r="CZ1102" s="37" t="s">
        <v>1124</v>
      </c>
      <c r="DA1102" s="37"/>
      <c r="DB1102" s="37"/>
      <c r="DC1102" s="37"/>
      <c r="DD1102" s="37"/>
      <c r="DE1102" s="37"/>
      <c r="DF1102" s="37"/>
      <c r="DG1102" s="37"/>
      <c r="DH1102" s="37"/>
      <c r="DI1102" s="37"/>
      <c r="DJ1102" s="37"/>
      <c r="DK1102" s="37"/>
      <c r="DL1102" s="37" t="s">
        <v>1124</v>
      </c>
      <c r="DM1102" s="37"/>
      <c r="DN1102" s="37"/>
      <c r="DO1102" s="37"/>
      <c r="DP1102" s="37"/>
      <c r="DQ1102" s="37"/>
      <c r="DR1102" s="37"/>
      <c r="DS1102" s="37"/>
      <c r="DT1102" s="37"/>
      <c r="DU1102" s="37"/>
      <c r="DV1102" s="37"/>
      <c r="DW1102" s="37"/>
      <c r="DX1102" s="37" t="s">
        <v>1124</v>
      </c>
      <c r="DY1102" s="37"/>
      <c r="DZ1102" s="37"/>
      <c r="EA1102" s="37"/>
      <c r="EB1102" s="37"/>
      <c r="EC1102" s="37"/>
      <c r="ED1102" s="37"/>
      <c r="EE1102" s="37"/>
      <c r="EF1102" s="37"/>
      <c r="EG1102" s="37"/>
      <c r="EH1102" s="37"/>
      <c r="EI1102" s="37"/>
      <c r="EJ1102" s="37" t="s">
        <v>1124</v>
      </c>
      <c r="EK1102" s="161"/>
      <c r="EL1102" s="294"/>
    </row>
    <row r="1103" spans="1:142" ht="15" customHeight="1" x14ac:dyDescent="0.35">
      <c r="A1103" s="34"/>
      <c r="B1103" s="313">
        <v>44080</v>
      </c>
      <c r="C1103" s="8" t="s">
        <v>409</v>
      </c>
      <c r="D1103" s="21">
        <v>5</v>
      </c>
      <c r="E1103" s="155">
        <v>298355</v>
      </c>
      <c r="F1103" s="36">
        <v>118339</v>
      </c>
      <c r="G1103" s="37">
        <v>158109</v>
      </c>
      <c r="H1103" s="37">
        <v>0</v>
      </c>
      <c r="I1103" s="37">
        <v>346000</v>
      </c>
      <c r="J1103" s="37">
        <v>0</v>
      </c>
      <c r="K1103" s="37">
        <v>14917.75</v>
      </c>
      <c r="L1103" s="37">
        <v>5916.9500000000007</v>
      </c>
      <c r="M1103" s="37">
        <v>817381.75</v>
      </c>
      <c r="N1103" s="37">
        <v>124255.95</v>
      </c>
      <c r="O1103" s="37">
        <v>105705</v>
      </c>
      <c r="P1103" s="37">
        <v>0</v>
      </c>
      <c r="Q1103" s="37">
        <v>313986</v>
      </c>
      <c r="R1103" s="37">
        <v>72184</v>
      </c>
      <c r="S1103" s="37">
        <v>0</v>
      </c>
      <c r="T1103" s="37">
        <v>0</v>
      </c>
      <c r="U1103" s="37">
        <v>0</v>
      </c>
      <c r="V1103" s="37">
        <v>0</v>
      </c>
      <c r="W1103" s="37">
        <v>416624.25</v>
      </c>
      <c r="X1103" s="37">
        <v>71005.45</v>
      </c>
      <c r="Y1103" s="37">
        <v>0</v>
      </c>
      <c r="Z1103" s="37">
        <v>0</v>
      </c>
      <c r="AA1103" s="37">
        <v>836315.25</v>
      </c>
      <c r="AB1103" s="37">
        <v>143189.45000000001</v>
      </c>
      <c r="AC1103" s="37">
        <v>37867</v>
      </c>
      <c r="AD1103" s="37">
        <v>37867</v>
      </c>
      <c r="AE1103" s="37">
        <v>224468</v>
      </c>
      <c r="AF1103" s="168">
        <v>0.02</v>
      </c>
      <c r="AG1103" s="37">
        <v>32638174.780000001</v>
      </c>
      <c r="AH1103" s="37">
        <v>38250</v>
      </c>
      <c r="AI1103" s="37">
        <v>39015</v>
      </c>
      <c r="AJ1103" s="37">
        <v>0</v>
      </c>
      <c r="AK1103" s="37">
        <v>0</v>
      </c>
      <c r="AL1103" s="37">
        <v>179225.60000000001</v>
      </c>
      <c r="AM1103" s="37">
        <v>182810.11</v>
      </c>
      <c r="AN1103" s="37">
        <v>186466.31</v>
      </c>
      <c r="AO1103" s="37">
        <v>190195.64</v>
      </c>
      <c r="AP1103" s="37">
        <v>193999.55</v>
      </c>
      <c r="AQ1103" s="37">
        <v>197879.54</v>
      </c>
      <c r="AR1103" s="37">
        <v>1207841.75</v>
      </c>
      <c r="AS1103" s="37">
        <v>3534300</v>
      </c>
      <c r="AT1103" s="37">
        <v>7140</v>
      </c>
      <c r="AU1103" s="37">
        <v>0</v>
      </c>
      <c r="AV1103" s="37">
        <v>42448.32</v>
      </c>
      <c r="AW1103" s="37">
        <v>0</v>
      </c>
      <c r="AX1103" s="37">
        <v>0</v>
      </c>
      <c r="AY1103" s="37">
        <v>0</v>
      </c>
      <c r="AZ1103" s="37">
        <v>0</v>
      </c>
      <c r="BA1103" s="37">
        <v>0</v>
      </c>
      <c r="BB1103" s="37">
        <v>0</v>
      </c>
      <c r="BC1103" s="37">
        <v>0</v>
      </c>
      <c r="BD1103" s="37">
        <v>49588.32</v>
      </c>
      <c r="BE1103" s="37">
        <v>0</v>
      </c>
      <c r="BF1103" s="37">
        <v>0</v>
      </c>
      <c r="BG1103" s="37">
        <v>1319725</v>
      </c>
      <c r="BH1103" s="37">
        <v>1212697</v>
      </c>
      <c r="BI1103" s="37">
        <v>0</v>
      </c>
      <c r="BJ1103" s="37">
        <v>0</v>
      </c>
      <c r="BK1103" s="37">
        <v>0</v>
      </c>
      <c r="BL1103" s="37">
        <v>0</v>
      </c>
      <c r="BM1103" s="37">
        <v>0</v>
      </c>
      <c r="BN1103" s="37">
        <v>0</v>
      </c>
      <c r="BO1103" s="37">
        <v>0</v>
      </c>
      <c r="BP1103" s="37">
        <v>2532422</v>
      </c>
      <c r="BQ1103" s="37">
        <v>0</v>
      </c>
      <c r="BR1103" s="37">
        <v>0</v>
      </c>
      <c r="BS1103" s="37">
        <v>251275</v>
      </c>
      <c r="BT1103" s="37">
        <v>718803</v>
      </c>
      <c r="BU1103" s="37">
        <v>0</v>
      </c>
      <c r="BV1103" s="37">
        <v>0</v>
      </c>
      <c r="BW1103" s="37">
        <v>0</v>
      </c>
      <c r="BX1103" s="37">
        <v>0</v>
      </c>
      <c r="BY1103" s="37">
        <v>0</v>
      </c>
      <c r="BZ1103" s="37">
        <v>0</v>
      </c>
      <c r="CA1103" s="37">
        <v>0</v>
      </c>
      <c r="CB1103" s="37">
        <v>970078</v>
      </c>
      <c r="CC1103" s="37">
        <v>0</v>
      </c>
      <c r="CD1103" s="37">
        <v>37500</v>
      </c>
      <c r="CE1103" s="37">
        <v>0</v>
      </c>
      <c r="CF1103" s="37">
        <v>0</v>
      </c>
      <c r="CG1103" s="37">
        <v>0</v>
      </c>
      <c r="CH1103" s="37">
        <v>0</v>
      </c>
      <c r="CI1103" s="37">
        <v>0</v>
      </c>
      <c r="CJ1103" s="37">
        <v>0</v>
      </c>
      <c r="CK1103" s="37">
        <v>0</v>
      </c>
      <c r="CL1103" s="37">
        <v>0</v>
      </c>
      <c r="CM1103" s="37">
        <v>0</v>
      </c>
      <c r="CN1103" s="37">
        <v>37500</v>
      </c>
      <c r="CO1103" s="37">
        <v>0</v>
      </c>
      <c r="CP1103" s="37">
        <v>3500</v>
      </c>
      <c r="CQ1103" s="37">
        <v>0</v>
      </c>
      <c r="CR1103" s="37">
        <v>0</v>
      </c>
      <c r="CS1103" s="37">
        <v>0</v>
      </c>
      <c r="CT1103" s="37">
        <v>0</v>
      </c>
      <c r="CU1103" s="37">
        <v>0</v>
      </c>
      <c r="CV1103" s="37">
        <v>0</v>
      </c>
      <c r="CW1103" s="37">
        <v>0</v>
      </c>
      <c r="CX1103" s="37">
        <v>0</v>
      </c>
      <c r="CY1103" s="37">
        <v>0</v>
      </c>
      <c r="CZ1103" s="37">
        <v>3500</v>
      </c>
      <c r="DA1103" s="37">
        <v>0</v>
      </c>
      <c r="DB1103" s="37">
        <v>0</v>
      </c>
      <c r="DC1103" s="37">
        <v>0</v>
      </c>
      <c r="DD1103" s="37">
        <v>0</v>
      </c>
      <c r="DE1103" s="37">
        <v>0</v>
      </c>
      <c r="DF1103" s="37">
        <v>0</v>
      </c>
      <c r="DG1103" s="37">
        <v>0</v>
      </c>
      <c r="DH1103" s="37">
        <v>0</v>
      </c>
      <c r="DI1103" s="37">
        <v>0</v>
      </c>
      <c r="DJ1103" s="37">
        <v>0</v>
      </c>
      <c r="DK1103" s="37">
        <v>0</v>
      </c>
      <c r="DL1103" s="37">
        <v>0</v>
      </c>
      <c r="DM1103" s="37">
        <v>0</v>
      </c>
      <c r="DN1103" s="37">
        <v>3500</v>
      </c>
      <c r="DO1103" s="37">
        <v>0</v>
      </c>
      <c r="DP1103" s="37">
        <v>40000</v>
      </c>
      <c r="DQ1103" s="37">
        <v>0</v>
      </c>
      <c r="DR1103" s="37">
        <v>0</v>
      </c>
      <c r="DS1103" s="37">
        <v>0</v>
      </c>
      <c r="DT1103" s="37">
        <v>0</v>
      </c>
      <c r="DU1103" s="37">
        <v>0</v>
      </c>
      <c r="DV1103" s="37">
        <v>0</v>
      </c>
      <c r="DW1103" s="37">
        <v>0</v>
      </c>
      <c r="DX1103" s="37">
        <v>43500</v>
      </c>
      <c r="DY1103" s="37">
        <v>0</v>
      </c>
      <c r="DZ1103" s="37">
        <v>0</v>
      </c>
      <c r="EA1103" s="37">
        <v>0</v>
      </c>
      <c r="EB1103" s="37">
        <v>0</v>
      </c>
      <c r="EC1103" s="37">
        <v>0</v>
      </c>
      <c r="ED1103" s="37">
        <v>0</v>
      </c>
      <c r="EE1103" s="37">
        <v>0</v>
      </c>
      <c r="EF1103" s="37">
        <v>0</v>
      </c>
      <c r="EG1103" s="37">
        <v>0</v>
      </c>
      <c r="EH1103" s="37">
        <v>0</v>
      </c>
      <c r="EI1103" s="37">
        <v>0</v>
      </c>
      <c r="EJ1103" s="37">
        <v>0</v>
      </c>
      <c r="EK1103" s="161" t="s">
        <v>3656</v>
      </c>
      <c r="EL1103" s="294" t="s">
        <v>1124</v>
      </c>
    </row>
    <row r="1104" spans="1:142" ht="15" customHeight="1" x14ac:dyDescent="0.35">
      <c r="A1104" s="34"/>
      <c r="B1104" s="313">
        <v>41098</v>
      </c>
      <c r="C1104" s="8" t="s">
        <v>377</v>
      </c>
      <c r="D1104" s="18">
        <v>5</v>
      </c>
      <c r="E1104" s="155">
        <v>183516</v>
      </c>
      <c r="F1104" s="36">
        <v>191063</v>
      </c>
      <c r="G1104" s="37">
        <v>236908</v>
      </c>
      <c r="H1104" s="37">
        <v>0</v>
      </c>
      <c r="I1104" s="37">
        <v>211123</v>
      </c>
      <c r="J1104" s="37">
        <v>0</v>
      </c>
      <c r="K1104" s="37">
        <v>27527.399999999998</v>
      </c>
      <c r="L1104" s="37">
        <v>28659.45</v>
      </c>
      <c r="M1104" s="37">
        <v>659074.4</v>
      </c>
      <c r="N1104" s="37">
        <v>219722.45</v>
      </c>
      <c r="O1104" s="37">
        <v>0</v>
      </c>
      <c r="P1104" s="37">
        <v>0</v>
      </c>
      <c r="Q1104" s="37">
        <v>135804</v>
      </c>
      <c r="R1104" s="37">
        <v>219097</v>
      </c>
      <c r="S1104" s="37">
        <v>32179</v>
      </c>
      <c r="T1104" s="37">
        <v>0</v>
      </c>
      <c r="U1104" s="37">
        <v>12606</v>
      </c>
      <c r="V1104" s="37">
        <v>0</v>
      </c>
      <c r="W1104" s="37">
        <v>478485.4</v>
      </c>
      <c r="X1104" s="37">
        <v>625.45000000001164</v>
      </c>
      <c r="Y1104" s="37">
        <v>0</v>
      </c>
      <c r="Z1104" s="37">
        <v>0</v>
      </c>
      <c r="AA1104" s="37">
        <v>659074.4</v>
      </c>
      <c r="AB1104" s="37">
        <v>219722.45</v>
      </c>
      <c r="AC1104" s="37">
        <v>0</v>
      </c>
      <c r="AD1104" s="37">
        <v>0</v>
      </c>
      <c r="AE1104" s="37">
        <v>0</v>
      </c>
      <c r="AF1104" s="168">
        <v>0.02</v>
      </c>
      <c r="AG1104" s="37">
        <v>38003717.549999997</v>
      </c>
      <c r="AH1104" s="37">
        <v>290738.96999999997</v>
      </c>
      <c r="AI1104" s="37">
        <v>287190.15000000002</v>
      </c>
      <c r="AJ1104" s="37">
        <v>286566.7</v>
      </c>
      <c r="AK1104" s="37">
        <v>292298.03999999998</v>
      </c>
      <c r="AL1104" s="37">
        <v>298144</v>
      </c>
      <c r="AM1104" s="37">
        <v>304106.88</v>
      </c>
      <c r="AN1104" s="37">
        <v>310189.01</v>
      </c>
      <c r="AO1104" s="37">
        <v>316392.78999999998</v>
      </c>
      <c r="AP1104" s="37">
        <v>322720.65000000002</v>
      </c>
      <c r="AQ1104" s="37">
        <v>329175.06</v>
      </c>
      <c r="AR1104" s="37">
        <v>3037522.25</v>
      </c>
      <c r="AS1104" s="37">
        <v>1428469.2</v>
      </c>
      <c r="AT1104" s="37">
        <v>60690</v>
      </c>
      <c r="AU1104" s="37">
        <v>61903.8</v>
      </c>
      <c r="AV1104" s="37">
        <v>63141.88</v>
      </c>
      <c r="AW1104" s="37">
        <v>0</v>
      </c>
      <c r="AX1104" s="37">
        <v>0</v>
      </c>
      <c r="AY1104" s="37">
        <v>0</v>
      </c>
      <c r="AZ1104" s="37">
        <v>0</v>
      </c>
      <c r="BA1104" s="37">
        <v>0</v>
      </c>
      <c r="BB1104" s="37">
        <v>0</v>
      </c>
      <c r="BC1104" s="37">
        <v>0</v>
      </c>
      <c r="BD1104" s="37">
        <v>185735.67999999999</v>
      </c>
      <c r="BE1104" s="37">
        <v>0</v>
      </c>
      <c r="BF1104" s="37">
        <v>15000</v>
      </c>
      <c r="BG1104" s="37">
        <v>709848</v>
      </c>
      <c r="BH1104" s="37">
        <v>0</v>
      </c>
      <c r="BI1104" s="37">
        <v>0</v>
      </c>
      <c r="BJ1104" s="37">
        <v>0</v>
      </c>
      <c r="BK1104" s="37">
        <v>0</v>
      </c>
      <c r="BL1104" s="37">
        <v>0</v>
      </c>
      <c r="BM1104" s="37">
        <v>0</v>
      </c>
      <c r="BN1104" s="37">
        <v>0</v>
      </c>
      <c r="BO1104" s="37">
        <v>0</v>
      </c>
      <c r="BP1104" s="37">
        <v>724848</v>
      </c>
      <c r="BQ1104" s="37">
        <v>0</v>
      </c>
      <c r="BR1104" s="37">
        <v>0</v>
      </c>
      <c r="BS1104" s="37">
        <v>177464</v>
      </c>
      <c r="BT1104" s="37">
        <v>0</v>
      </c>
      <c r="BU1104" s="37">
        <v>0</v>
      </c>
      <c r="BV1104" s="37">
        <v>0</v>
      </c>
      <c r="BW1104" s="37">
        <v>0</v>
      </c>
      <c r="BX1104" s="37">
        <v>0</v>
      </c>
      <c r="BY1104" s="37">
        <v>0</v>
      </c>
      <c r="BZ1104" s="37">
        <v>0</v>
      </c>
      <c r="CA1104" s="37">
        <v>0</v>
      </c>
      <c r="CB1104" s="37">
        <v>177464</v>
      </c>
      <c r="CC1104" s="37">
        <v>200</v>
      </c>
      <c r="CD1104" s="37">
        <v>0</v>
      </c>
      <c r="CE1104" s="37">
        <v>0</v>
      </c>
      <c r="CF1104" s="37">
        <v>0</v>
      </c>
      <c r="CG1104" s="37">
        <v>0</v>
      </c>
      <c r="CH1104" s="37">
        <v>0</v>
      </c>
      <c r="CI1104" s="37">
        <v>0</v>
      </c>
      <c r="CJ1104" s="37">
        <v>0</v>
      </c>
      <c r="CK1104" s="37">
        <v>0</v>
      </c>
      <c r="CL1104" s="37">
        <v>0</v>
      </c>
      <c r="CM1104" s="37">
        <v>0</v>
      </c>
      <c r="CN1104" s="37">
        <v>0</v>
      </c>
      <c r="CO1104" s="37">
        <v>0</v>
      </c>
      <c r="CP1104" s="37">
        <v>0</v>
      </c>
      <c r="CQ1104" s="37">
        <v>0</v>
      </c>
      <c r="CR1104" s="37">
        <v>0</v>
      </c>
      <c r="CS1104" s="37">
        <v>0</v>
      </c>
      <c r="CT1104" s="37">
        <v>0</v>
      </c>
      <c r="CU1104" s="37">
        <v>0</v>
      </c>
      <c r="CV1104" s="37">
        <v>0</v>
      </c>
      <c r="CW1104" s="37">
        <v>0</v>
      </c>
      <c r="CX1104" s="37">
        <v>0</v>
      </c>
      <c r="CY1104" s="37">
        <v>0</v>
      </c>
      <c r="CZ1104" s="37">
        <v>0</v>
      </c>
      <c r="DA1104" s="37">
        <v>0</v>
      </c>
      <c r="DB1104" s="37">
        <v>63750</v>
      </c>
      <c r="DC1104" s="37">
        <v>63750</v>
      </c>
      <c r="DD1104" s="37">
        <v>51000</v>
      </c>
      <c r="DE1104" s="37">
        <v>0</v>
      </c>
      <c r="DF1104" s="37">
        <v>0</v>
      </c>
      <c r="DG1104" s="37">
        <v>0</v>
      </c>
      <c r="DH1104" s="37">
        <v>0</v>
      </c>
      <c r="DI1104" s="37">
        <v>0</v>
      </c>
      <c r="DJ1104" s="37">
        <v>0</v>
      </c>
      <c r="DK1104" s="37">
        <v>0</v>
      </c>
      <c r="DL1104" s="37">
        <v>178500</v>
      </c>
      <c r="DM1104" s="37">
        <v>0</v>
      </c>
      <c r="DN1104" s="37">
        <v>0</v>
      </c>
      <c r="DO1104" s="37">
        <v>0</v>
      </c>
      <c r="DP1104" s="37">
        <v>0</v>
      </c>
      <c r="DQ1104" s="37">
        <v>0</v>
      </c>
      <c r="DR1104" s="37">
        <v>0</v>
      </c>
      <c r="DS1104" s="37">
        <v>0</v>
      </c>
      <c r="DT1104" s="37">
        <v>0</v>
      </c>
      <c r="DU1104" s="37">
        <v>0</v>
      </c>
      <c r="DV1104" s="37">
        <v>0</v>
      </c>
      <c r="DW1104" s="37">
        <v>0</v>
      </c>
      <c r="DX1104" s="37">
        <v>0</v>
      </c>
      <c r="DY1104" s="37">
        <v>0</v>
      </c>
      <c r="DZ1104" s="37">
        <v>0</v>
      </c>
      <c r="EA1104" s="37">
        <v>0</v>
      </c>
      <c r="EB1104" s="37">
        <v>0</v>
      </c>
      <c r="EC1104" s="37">
        <v>0</v>
      </c>
      <c r="ED1104" s="37">
        <v>0</v>
      </c>
      <c r="EE1104" s="37">
        <v>0</v>
      </c>
      <c r="EF1104" s="37">
        <v>0</v>
      </c>
      <c r="EG1104" s="37">
        <v>0</v>
      </c>
      <c r="EH1104" s="37">
        <v>0</v>
      </c>
      <c r="EI1104" s="37">
        <v>0</v>
      </c>
      <c r="EJ1104" s="37">
        <v>0</v>
      </c>
      <c r="EK1104" s="161" t="s">
        <v>3664</v>
      </c>
      <c r="EL1104" s="294" t="s">
        <v>1124</v>
      </c>
    </row>
    <row r="1105" spans="1:142" ht="15" customHeight="1" x14ac:dyDescent="0.35">
      <c r="A1105" s="34"/>
      <c r="B1105" s="313">
        <v>76035</v>
      </c>
      <c r="C1105" s="11" t="s">
        <v>751</v>
      </c>
      <c r="D1105" s="18">
        <v>15</v>
      </c>
      <c r="E1105" s="155"/>
      <c r="F1105" s="36"/>
      <c r="G1105" s="37"/>
      <c r="H1105" s="37"/>
      <c r="I1105" s="37"/>
      <c r="J1105" s="37"/>
      <c r="K1105" s="37"/>
      <c r="L1105" s="37"/>
      <c r="M1105" s="37" t="s">
        <v>1124</v>
      </c>
      <c r="N1105" s="37" t="s">
        <v>1124</v>
      </c>
      <c r="O1105" s="37"/>
      <c r="P1105" s="37"/>
      <c r="Q1105" s="37"/>
      <c r="R1105" s="37"/>
      <c r="S1105" s="37"/>
      <c r="T1105" s="37"/>
      <c r="U1105" s="37"/>
      <c r="V1105" s="37"/>
      <c r="W1105" s="37"/>
      <c r="X1105" s="37"/>
      <c r="Y1105" s="37"/>
      <c r="Z1105" s="37"/>
      <c r="AA1105" s="37" t="s">
        <v>1124</v>
      </c>
      <c r="AB1105" s="37" t="s">
        <v>1124</v>
      </c>
      <c r="AC1105" s="37"/>
      <c r="AD1105" s="37"/>
      <c r="AE1105" s="37"/>
      <c r="AF1105" s="168"/>
      <c r="AG1105" s="37"/>
      <c r="AH1105" s="37"/>
      <c r="AI1105" s="37"/>
      <c r="AJ1105" s="37"/>
      <c r="AK1105" s="37"/>
      <c r="AL1105" s="37"/>
      <c r="AM1105" s="37"/>
      <c r="AN1105" s="37"/>
      <c r="AO1105" s="37"/>
      <c r="AP1105" s="37"/>
      <c r="AQ1105" s="37"/>
      <c r="AR1105" s="37" t="s">
        <v>1124</v>
      </c>
      <c r="AS1105" s="37"/>
      <c r="AT1105" s="37"/>
      <c r="AU1105" s="37"/>
      <c r="AV1105" s="37"/>
      <c r="AW1105" s="37"/>
      <c r="AX1105" s="37"/>
      <c r="AY1105" s="37"/>
      <c r="AZ1105" s="37"/>
      <c r="BA1105" s="37"/>
      <c r="BB1105" s="37"/>
      <c r="BC1105" s="37"/>
      <c r="BD1105" s="37" t="s">
        <v>1124</v>
      </c>
      <c r="BE1105" s="37"/>
      <c r="BF1105" s="37"/>
      <c r="BG1105" s="37"/>
      <c r="BH1105" s="37"/>
      <c r="BI1105" s="37"/>
      <c r="BJ1105" s="37"/>
      <c r="BK1105" s="37"/>
      <c r="BL1105" s="37"/>
      <c r="BM1105" s="37"/>
      <c r="BN1105" s="37"/>
      <c r="BO1105" s="37"/>
      <c r="BP1105" s="37">
        <v>0</v>
      </c>
      <c r="BQ1105" s="37"/>
      <c r="BR1105" s="37"/>
      <c r="BS1105" s="37"/>
      <c r="BT1105" s="37"/>
      <c r="BU1105" s="37"/>
      <c r="BV1105" s="37"/>
      <c r="BW1105" s="37"/>
      <c r="BX1105" s="37"/>
      <c r="BY1105" s="37"/>
      <c r="BZ1105" s="37"/>
      <c r="CA1105" s="37"/>
      <c r="CB1105" s="37" t="s">
        <v>1124</v>
      </c>
      <c r="CC1105" s="37"/>
      <c r="CD1105" s="37"/>
      <c r="CE1105" s="37"/>
      <c r="CF1105" s="37"/>
      <c r="CG1105" s="37"/>
      <c r="CH1105" s="37"/>
      <c r="CI1105" s="37"/>
      <c r="CJ1105" s="37"/>
      <c r="CK1105" s="37"/>
      <c r="CL1105" s="37"/>
      <c r="CM1105" s="37"/>
      <c r="CN1105" s="37" t="s">
        <v>1124</v>
      </c>
      <c r="CO1105" s="37"/>
      <c r="CP1105" s="37"/>
      <c r="CQ1105" s="37"/>
      <c r="CR1105" s="37"/>
      <c r="CS1105" s="37"/>
      <c r="CT1105" s="37"/>
      <c r="CU1105" s="37"/>
      <c r="CV1105" s="37"/>
      <c r="CW1105" s="37"/>
      <c r="CX1105" s="37"/>
      <c r="CY1105" s="37"/>
      <c r="CZ1105" s="37" t="s">
        <v>1124</v>
      </c>
      <c r="DA1105" s="37"/>
      <c r="DB1105" s="37"/>
      <c r="DC1105" s="37"/>
      <c r="DD1105" s="37"/>
      <c r="DE1105" s="37"/>
      <c r="DF1105" s="37"/>
      <c r="DG1105" s="37"/>
      <c r="DH1105" s="37"/>
      <c r="DI1105" s="37"/>
      <c r="DJ1105" s="37"/>
      <c r="DK1105" s="37"/>
      <c r="DL1105" s="37" t="s">
        <v>1124</v>
      </c>
      <c r="DM1105" s="37"/>
      <c r="DN1105" s="37"/>
      <c r="DO1105" s="37"/>
      <c r="DP1105" s="37"/>
      <c r="DQ1105" s="37"/>
      <c r="DR1105" s="37"/>
      <c r="DS1105" s="37"/>
      <c r="DT1105" s="37"/>
      <c r="DU1105" s="37"/>
      <c r="DV1105" s="37"/>
      <c r="DW1105" s="37"/>
      <c r="DX1105" s="37" t="s">
        <v>1124</v>
      </c>
      <c r="DY1105" s="37"/>
      <c r="DZ1105" s="37"/>
      <c r="EA1105" s="37"/>
      <c r="EB1105" s="37"/>
      <c r="EC1105" s="37"/>
      <c r="ED1105" s="37"/>
      <c r="EE1105" s="37"/>
      <c r="EF1105" s="37"/>
      <c r="EG1105" s="37"/>
      <c r="EH1105" s="37"/>
      <c r="EI1105" s="37"/>
      <c r="EJ1105" s="37" t="s">
        <v>1124</v>
      </c>
      <c r="EK1105" s="161"/>
      <c r="EL1105" s="294"/>
    </row>
    <row r="1106" spans="1:142" ht="15" customHeight="1" x14ac:dyDescent="0.35">
      <c r="A1106" s="34"/>
      <c r="B1106" s="313">
        <v>77060</v>
      </c>
      <c r="C1106" s="8" t="s">
        <v>764</v>
      </c>
      <c r="D1106" s="18">
        <v>15</v>
      </c>
      <c r="E1106" s="155"/>
      <c r="F1106" s="36"/>
      <c r="G1106" s="37"/>
      <c r="H1106" s="37"/>
      <c r="I1106" s="37"/>
      <c r="J1106" s="37"/>
      <c r="K1106" s="37"/>
      <c r="L1106" s="37"/>
      <c r="M1106" s="37" t="s">
        <v>1124</v>
      </c>
      <c r="N1106" s="37" t="s">
        <v>1124</v>
      </c>
      <c r="O1106" s="37"/>
      <c r="P1106" s="37"/>
      <c r="Q1106" s="37"/>
      <c r="R1106" s="37"/>
      <c r="S1106" s="37"/>
      <c r="T1106" s="37"/>
      <c r="U1106" s="37"/>
      <c r="V1106" s="37"/>
      <c r="W1106" s="37"/>
      <c r="X1106" s="37"/>
      <c r="Y1106" s="37"/>
      <c r="Z1106" s="37"/>
      <c r="AA1106" s="37" t="s">
        <v>1124</v>
      </c>
      <c r="AB1106" s="37" t="s">
        <v>1124</v>
      </c>
      <c r="AC1106" s="37"/>
      <c r="AD1106" s="37"/>
      <c r="AE1106" s="37"/>
      <c r="AF1106" s="168"/>
      <c r="AG1106" s="37"/>
      <c r="AH1106" s="37"/>
      <c r="AI1106" s="37"/>
      <c r="AJ1106" s="37"/>
      <c r="AK1106" s="37"/>
      <c r="AL1106" s="37"/>
      <c r="AM1106" s="37"/>
      <c r="AN1106" s="37"/>
      <c r="AO1106" s="37"/>
      <c r="AP1106" s="37"/>
      <c r="AQ1106" s="37"/>
      <c r="AR1106" s="37" t="s">
        <v>1124</v>
      </c>
      <c r="AS1106" s="37"/>
      <c r="AT1106" s="37"/>
      <c r="AU1106" s="37"/>
      <c r="AV1106" s="37"/>
      <c r="AW1106" s="37"/>
      <c r="AX1106" s="37"/>
      <c r="AY1106" s="37"/>
      <c r="AZ1106" s="37"/>
      <c r="BA1106" s="37"/>
      <c r="BB1106" s="37"/>
      <c r="BC1106" s="37"/>
      <c r="BD1106" s="37" t="s">
        <v>1124</v>
      </c>
      <c r="BE1106" s="37"/>
      <c r="BF1106" s="37"/>
      <c r="BG1106" s="37"/>
      <c r="BH1106" s="37"/>
      <c r="BI1106" s="37"/>
      <c r="BJ1106" s="37"/>
      <c r="BK1106" s="37"/>
      <c r="BL1106" s="37"/>
      <c r="BM1106" s="37"/>
      <c r="BN1106" s="37"/>
      <c r="BO1106" s="37"/>
      <c r="BP1106" s="37">
        <v>0</v>
      </c>
      <c r="BQ1106" s="37"/>
      <c r="BR1106" s="37"/>
      <c r="BS1106" s="37"/>
      <c r="BT1106" s="37"/>
      <c r="BU1106" s="37"/>
      <c r="BV1106" s="37"/>
      <c r="BW1106" s="37"/>
      <c r="BX1106" s="37"/>
      <c r="BY1106" s="37"/>
      <c r="BZ1106" s="37"/>
      <c r="CA1106" s="37"/>
      <c r="CB1106" s="37" t="s">
        <v>1124</v>
      </c>
      <c r="CC1106" s="37"/>
      <c r="CD1106" s="37"/>
      <c r="CE1106" s="37"/>
      <c r="CF1106" s="37"/>
      <c r="CG1106" s="37"/>
      <c r="CH1106" s="37"/>
      <c r="CI1106" s="37"/>
      <c r="CJ1106" s="37"/>
      <c r="CK1106" s="37"/>
      <c r="CL1106" s="37"/>
      <c r="CM1106" s="37"/>
      <c r="CN1106" s="37" t="s">
        <v>1124</v>
      </c>
      <c r="CO1106" s="37"/>
      <c r="CP1106" s="37"/>
      <c r="CQ1106" s="37"/>
      <c r="CR1106" s="37"/>
      <c r="CS1106" s="37"/>
      <c r="CT1106" s="37"/>
      <c r="CU1106" s="37"/>
      <c r="CV1106" s="37"/>
      <c r="CW1106" s="37"/>
      <c r="CX1106" s="37"/>
      <c r="CY1106" s="37"/>
      <c r="CZ1106" s="37" t="s">
        <v>1124</v>
      </c>
      <c r="DA1106" s="37"/>
      <c r="DB1106" s="37"/>
      <c r="DC1106" s="37"/>
      <c r="DD1106" s="37"/>
      <c r="DE1106" s="37"/>
      <c r="DF1106" s="37"/>
      <c r="DG1106" s="37"/>
      <c r="DH1106" s="37"/>
      <c r="DI1106" s="37"/>
      <c r="DJ1106" s="37"/>
      <c r="DK1106" s="37"/>
      <c r="DL1106" s="37" t="s">
        <v>1124</v>
      </c>
      <c r="DM1106" s="37"/>
      <c r="DN1106" s="37"/>
      <c r="DO1106" s="37"/>
      <c r="DP1106" s="37"/>
      <c r="DQ1106" s="37"/>
      <c r="DR1106" s="37"/>
      <c r="DS1106" s="37"/>
      <c r="DT1106" s="37"/>
      <c r="DU1106" s="37"/>
      <c r="DV1106" s="37"/>
      <c r="DW1106" s="37"/>
      <c r="DX1106" s="37" t="s">
        <v>1124</v>
      </c>
      <c r="DY1106" s="37"/>
      <c r="DZ1106" s="37"/>
      <c r="EA1106" s="37"/>
      <c r="EB1106" s="37"/>
      <c r="EC1106" s="37"/>
      <c r="ED1106" s="37"/>
      <c r="EE1106" s="37"/>
      <c r="EF1106" s="37"/>
      <c r="EG1106" s="37"/>
      <c r="EH1106" s="37"/>
      <c r="EI1106" s="37"/>
      <c r="EJ1106" s="37" t="s">
        <v>1124</v>
      </c>
      <c r="EK1106" s="161"/>
      <c r="EL1106" s="294"/>
    </row>
    <row r="1107" spans="1:142" ht="15" customHeight="1" x14ac:dyDescent="0.35">
      <c r="A1107" s="34"/>
      <c r="B1107" s="313">
        <v>41065</v>
      </c>
      <c r="C1107" s="8" t="s">
        <v>372</v>
      </c>
      <c r="D1107" s="18">
        <v>5</v>
      </c>
      <c r="E1107" s="155"/>
      <c r="F1107" s="36"/>
      <c r="G1107" s="37"/>
      <c r="H1107" s="37"/>
      <c r="I1107" s="37"/>
      <c r="J1107" s="37"/>
      <c r="K1107" s="37"/>
      <c r="L1107" s="37"/>
      <c r="M1107" s="37" t="s">
        <v>1124</v>
      </c>
      <c r="N1107" s="37" t="s">
        <v>1124</v>
      </c>
      <c r="O1107" s="37"/>
      <c r="P1107" s="37"/>
      <c r="Q1107" s="37"/>
      <c r="R1107" s="37"/>
      <c r="S1107" s="37"/>
      <c r="T1107" s="37"/>
      <c r="U1107" s="37"/>
      <c r="V1107" s="37"/>
      <c r="W1107" s="37"/>
      <c r="X1107" s="37"/>
      <c r="Y1107" s="37"/>
      <c r="Z1107" s="37"/>
      <c r="AA1107" s="37" t="s">
        <v>1124</v>
      </c>
      <c r="AB1107" s="37" t="s">
        <v>1124</v>
      </c>
      <c r="AC1107" s="37"/>
      <c r="AD1107" s="37"/>
      <c r="AE1107" s="37"/>
      <c r="AF1107" s="168"/>
      <c r="AG1107" s="37"/>
      <c r="AH1107" s="37"/>
      <c r="AI1107" s="37"/>
      <c r="AJ1107" s="37"/>
      <c r="AK1107" s="37"/>
      <c r="AL1107" s="37"/>
      <c r="AM1107" s="37"/>
      <c r="AN1107" s="37"/>
      <c r="AO1107" s="37"/>
      <c r="AP1107" s="37"/>
      <c r="AQ1107" s="37"/>
      <c r="AR1107" s="37" t="s">
        <v>1124</v>
      </c>
      <c r="AS1107" s="37"/>
      <c r="AT1107" s="37"/>
      <c r="AU1107" s="37"/>
      <c r="AV1107" s="37"/>
      <c r="AW1107" s="37"/>
      <c r="AX1107" s="37"/>
      <c r="AY1107" s="37"/>
      <c r="AZ1107" s="37"/>
      <c r="BA1107" s="37"/>
      <c r="BB1107" s="37"/>
      <c r="BC1107" s="37"/>
      <c r="BD1107" s="37" t="s">
        <v>1124</v>
      </c>
      <c r="BE1107" s="37"/>
      <c r="BF1107" s="37"/>
      <c r="BG1107" s="37"/>
      <c r="BH1107" s="37"/>
      <c r="BI1107" s="37"/>
      <c r="BJ1107" s="37"/>
      <c r="BK1107" s="37"/>
      <c r="BL1107" s="37"/>
      <c r="BM1107" s="37"/>
      <c r="BN1107" s="37"/>
      <c r="BO1107" s="37"/>
      <c r="BP1107" s="37">
        <v>0</v>
      </c>
      <c r="BQ1107" s="37"/>
      <c r="BR1107" s="37"/>
      <c r="BS1107" s="37"/>
      <c r="BT1107" s="37"/>
      <c r="BU1107" s="37"/>
      <c r="BV1107" s="37"/>
      <c r="BW1107" s="37"/>
      <c r="BX1107" s="37"/>
      <c r="BY1107" s="37"/>
      <c r="BZ1107" s="37"/>
      <c r="CA1107" s="37"/>
      <c r="CB1107" s="37" t="s">
        <v>1124</v>
      </c>
      <c r="CC1107" s="37"/>
      <c r="CD1107" s="37"/>
      <c r="CE1107" s="37"/>
      <c r="CF1107" s="37"/>
      <c r="CG1107" s="37"/>
      <c r="CH1107" s="37"/>
      <c r="CI1107" s="37"/>
      <c r="CJ1107" s="37"/>
      <c r="CK1107" s="37"/>
      <c r="CL1107" s="37"/>
      <c r="CM1107" s="37"/>
      <c r="CN1107" s="37" t="s">
        <v>1124</v>
      </c>
      <c r="CO1107" s="37"/>
      <c r="CP1107" s="37"/>
      <c r="CQ1107" s="37"/>
      <c r="CR1107" s="37"/>
      <c r="CS1107" s="37"/>
      <c r="CT1107" s="37"/>
      <c r="CU1107" s="37"/>
      <c r="CV1107" s="37"/>
      <c r="CW1107" s="37"/>
      <c r="CX1107" s="37"/>
      <c r="CY1107" s="37"/>
      <c r="CZ1107" s="37" t="s">
        <v>1124</v>
      </c>
      <c r="DA1107" s="37"/>
      <c r="DB1107" s="37"/>
      <c r="DC1107" s="37"/>
      <c r="DD1107" s="37"/>
      <c r="DE1107" s="37"/>
      <c r="DF1107" s="37"/>
      <c r="DG1107" s="37"/>
      <c r="DH1107" s="37"/>
      <c r="DI1107" s="37"/>
      <c r="DJ1107" s="37"/>
      <c r="DK1107" s="37"/>
      <c r="DL1107" s="37" t="s">
        <v>1124</v>
      </c>
      <c r="DM1107" s="37"/>
      <c r="DN1107" s="37"/>
      <c r="DO1107" s="37"/>
      <c r="DP1107" s="37"/>
      <c r="DQ1107" s="37"/>
      <c r="DR1107" s="37"/>
      <c r="DS1107" s="37"/>
      <c r="DT1107" s="37"/>
      <c r="DU1107" s="37"/>
      <c r="DV1107" s="37"/>
      <c r="DW1107" s="37"/>
      <c r="DX1107" s="37" t="s">
        <v>1124</v>
      </c>
      <c r="DY1107" s="37"/>
      <c r="DZ1107" s="37"/>
      <c r="EA1107" s="37"/>
      <c r="EB1107" s="37"/>
      <c r="EC1107" s="37"/>
      <c r="ED1107" s="37"/>
      <c r="EE1107" s="37"/>
      <c r="EF1107" s="37"/>
      <c r="EG1107" s="37"/>
      <c r="EH1107" s="37"/>
      <c r="EI1107" s="37"/>
      <c r="EJ1107" s="37" t="s">
        <v>1124</v>
      </c>
      <c r="EK1107" s="161"/>
      <c r="EL1107" s="294"/>
    </row>
    <row r="1108" spans="1:142" ht="15" customHeight="1" x14ac:dyDescent="0.35">
      <c r="A1108" s="34"/>
      <c r="B1108" s="313">
        <v>66032</v>
      </c>
      <c r="C1108" s="8" t="s">
        <v>649</v>
      </c>
      <c r="D1108" s="18">
        <v>6</v>
      </c>
      <c r="E1108" s="155"/>
      <c r="F1108" s="36"/>
      <c r="G1108" s="37"/>
      <c r="H1108" s="37"/>
      <c r="I1108" s="37"/>
      <c r="J1108" s="37"/>
      <c r="K1108" s="37"/>
      <c r="L1108" s="37"/>
      <c r="M1108" s="37" t="s">
        <v>1124</v>
      </c>
      <c r="N1108" s="37" t="s">
        <v>1124</v>
      </c>
      <c r="O1108" s="37"/>
      <c r="P1108" s="37"/>
      <c r="Q1108" s="37"/>
      <c r="R1108" s="37"/>
      <c r="S1108" s="37"/>
      <c r="T1108" s="37"/>
      <c r="U1108" s="37"/>
      <c r="V1108" s="37"/>
      <c r="W1108" s="37"/>
      <c r="X1108" s="37"/>
      <c r="Y1108" s="37"/>
      <c r="Z1108" s="37"/>
      <c r="AA1108" s="37" t="s">
        <v>1124</v>
      </c>
      <c r="AB1108" s="37" t="s">
        <v>1124</v>
      </c>
      <c r="AC1108" s="37"/>
      <c r="AD1108" s="37"/>
      <c r="AE1108" s="37"/>
      <c r="AF1108" s="168"/>
      <c r="AG1108" s="37"/>
      <c r="AH1108" s="37"/>
      <c r="AI1108" s="37"/>
      <c r="AJ1108" s="37"/>
      <c r="AK1108" s="37"/>
      <c r="AL1108" s="37"/>
      <c r="AM1108" s="37"/>
      <c r="AN1108" s="37"/>
      <c r="AO1108" s="37"/>
      <c r="AP1108" s="37"/>
      <c r="AQ1108" s="37"/>
      <c r="AR1108" s="37" t="s">
        <v>1124</v>
      </c>
      <c r="AS1108" s="37"/>
      <c r="AT1108" s="37"/>
      <c r="AU1108" s="37"/>
      <c r="AV1108" s="37"/>
      <c r="AW1108" s="37"/>
      <c r="AX1108" s="37"/>
      <c r="AY1108" s="37"/>
      <c r="AZ1108" s="37"/>
      <c r="BA1108" s="37"/>
      <c r="BB1108" s="37"/>
      <c r="BC1108" s="37"/>
      <c r="BD1108" s="37" t="s">
        <v>1124</v>
      </c>
      <c r="BE1108" s="37"/>
      <c r="BF1108" s="37"/>
      <c r="BG1108" s="37"/>
      <c r="BH1108" s="37"/>
      <c r="BI1108" s="37"/>
      <c r="BJ1108" s="37"/>
      <c r="BK1108" s="37"/>
      <c r="BL1108" s="37"/>
      <c r="BM1108" s="37"/>
      <c r="BN1108" s="37"/>
      <c r="BO1108" s="37"/>
      <c r="BP1108" s="37">
        <v>0</v>
      </c>
      <c r="BQ1108" s="37"/>
      <c r="BR1108" s="37"/>
      <c r="BS1108" s="37"/>
      <c r="BT1108" s="37"/>
      <c r="BU1108" s="37"/>
      <c r="BV1108" s="37"/>
      <c r="BW1108" s="37"/>
      <c r="BX1108" s="37"/>
      <c r="BY1108" s="37"/>
      <c r="BZ1108" s="37"/>
      <c r="CA1108" s="37"/>
      <c r="CB1108" s="37" t="s">
        <v>1124</v>
      </c>
      <c r="CC1108" s="37"/>
      <c r="CD1108" s="37"/>
      <c r="CE1108" s="37"/>
      <c r="CF1108" s="37"/>
      <c r="CG1108" s="37"/>
      <c r="CH1108" s="37"/>
      <c r="CI1108" s="37"/>
      <c r="CJ1108" s="37"/>
      <c r="CK1108" s="37"/>
      <c r="CL1108" s="37"/>
      <c r="CM1108" s="37"/>
      <c r="CN1108" s="37" t="s">
        <v>1124</v>
      </c>
      <c r="CO1108" s="37"/>
      <c r="CP1108" s="37"/>
      <c r="CQ1108" s="37"/>
      <c r="CR1108" s="37"/>
      <c r="CS1108" s="37"/>
      <c r="CT1108" s="37"/>
      <c r="CU1108" s="37"/>
      <c r="CV1108" s="37"/>
      <c r="CW1108" s="37"/>
      <c r="CX1108" s="37"/>
      <c r="CY1108" s="37"/>
      <c r="CZ1108" s="37" t="s">
        <v>1124</v>
      </c>
      <c r="DA1108" s="37"/>
      <c r="DB1108" s="37"/>
      <c r="DC1108" s="37"/>
      <c r="DD1108" s="37"/>
      <c r="DE1108" s="37"/>
      <c r="DF1108" s="37"/>
      <c r="DG1108" s="37"/>
      <c r="DH1108" s="37"/>
      <c r="DI1108" s="37"/>
      <c r="DJ1108" s="37"/>
      <c r="DK1108" s="37"/>
      <c r="DL1108" s="37" t="s">
        <v>1124</v>
      </c>
      <c r="DM1108" s="37"/>
      <c r="DN1108" s="37"/>
      <c r="DO1108" s="37"/>
      <c r="DP1108" s="37"/>
      <c r="DQ1108" s="37"/>
      <c r="DR1108" s="37"/>
      <c r="DS1108" s="37"/>
      <c r="DT1108" s="37"/>
      <c r="DU1108" s="37"/>
      <c r="DV1108" s="37"/>
      <c r="DW1108" s="37"/>
      <c r="DX1108" s="37" t="s">
        <v>1124</v>
      </c>
      <c r="DY1108" s="37"/>
      <c r="DZ1108" s="37"/>
      <c r="EA1108" s="37"/>
      <c r="EB1108" s="37"/>
      <c r="EC1108" s="37"/>
      <c r="ED1108" s="37"/>
      <c r="EE1108" s="37"/>
      <c r="EF1108" s="37"/>
      <c r="EG1108" s="37"/>
      <c r="EH1108" s="37"/>
      <c r="EI1108" s="37"/>
      <c r="EJ1108" s="37" t="s">
        <v>1124</v>
      </c>
      <c r="EK1108" s="161"/>
      <c r="EL1108" s="294"/>
    </row>
    <row r="1109" spans="1:142" ht="15" customHeight="1" x14ac:dyDescent="0.35">
      <c r="A1109" s="34"/>
      <c r="B1109" s="313">
        <v>49040</v>
      </c>
      <c r="C1109" s="8" t="s">
        <v>469</v>
      </c>
      <c r="D1109" s="18">
        <v>17</v>
      </c>
      <c r="E1109" s="155">
        <v>159764</v>
      </c>
      <c r="F1109" s="36">
        <v>148734</v>
      </c>
      <c r="G1109" s="37">
        <v>8210</v>
      </c>
      <c r="H1109" s="37">
        <v>1718</v>
      </c>
      <c r="I1109" s="37">
        <v>27542</v>
      </c>
      <c r="J1109" s="37">
        <v>10984</v>
      </c>
      <c r="K1109" s="37">
        <v>23964.6</v>
      </c>
      <c r="L1109" s="37">
        <v>22310.1</v>
      </c>
      <c r="M1109" s="37">
        <v>219480.6</v>
      </c>
      <c r="N1109" s="37">
        <v>183746.1</v>
      </c>
      <c r="O1109" s="37">
        <v>64549</v>
      </c>
      <c r="P1109" s="37">
        <v>0</v>
      </c>
      <c r="Q1109" s="37">
        <v>99936</v>
      </c>
      <c r="R1109" s="37">
        <v>78854</v>
      </c>
      <c r="S1109" s="37">
        <v>0</v>
      </c>
      <c r="T1109" s="37">
        <v>0</v>
      </c>
      <c r="U1109" s="37">
        <v>1553</v>
      </c>
      <c r="V1109" s="37">
        <v>0</v>
      </c>
      <c r="W1109" s="37">
        <v>53442.600000000006</v>
      </c>
      <c r="X1109" s="37">
        <v>7374.2600000000093</v>
      </c>
      <c r="Y1109" s="37">
        <v>0</v>
      </c>
      <c r="Z1109" s="37">
        <v>97517.84</v>
      </c>
      <c r="AA1109" s="37">
        <v>219480.6</v>
      </c>
      <c r="AB1109" s="37">
        <v>183746.1</v>
      </c>
      <c r="AC1109" s="37">
        <v>0</v>
      </c>
      <c r="AD1109" s="37">
        <v>0</v>
      </c>
      <c r="AE1109" s="37">
        <v>0</v>
      </c>
      <c r="AF1109" s="168">
        <v>0.02</v>
      </c>
      <c r="AG1109" s="37">
        <v>18396398.899999999</v>
      </c>
      <c r="AH1109" s="37">
        <v>326321.95</v>
      </c>
      <c r="AI1109" s="37">
        <v>332848.39</v>
      </c>
      <c r="AJ1109" s="37">
        <v>339505.36</v>
      </c>
      <c r="AK1109" s="37">
        <v>154921.46</v>
      </c>
      <c r="AL1109" s="37">
        <v>158019.89000000001</v>
      </c>
      <c r="AM1109" s="37">
        <v>161180.29</v>
      </c>
      <c r="AN1109" s="37">
        <v>164403.89000000001</v>
      </c>
      <c r="AO1109" s="37">
        <v>167691.97</v>
      </c>
      <c r="AP1109" s="37">
        <v>171045.81</v>
      </c>
      <c r="AQ1109" s="37">
        <v>174466.73</v>
      </c>
      <c r="AR1109" s="37">
        <v>2150405.7400000002</v>
      </c>
      <c r="AS1109" s="37">
        <v>0</v>
      </c>
      <c r="AT1109" s="37">
        <v>55539</v>
      </c>
      <c r="AU1109" s="37">
        <v>56649.78</v>
      </c>
      <c r="AV1109" s="37">
        <v>0</v>
      </c>
      <c r="AW1109" s="37">
        <v>0</v>
      </c>
      <c r="AX1109" s="37">
        <v>0</v>
      </c>
      <c r="AY1109" s="37">
        <v>0</v>
      </c>
      <c r="AZ1109" s="37">
        <v>0</v>
      </c>
      <c r="BA1109" s="37">
        <v>0</v>
      </c>
      <c r="BB1109" s="37">
        <v>0</v>
      </c>
      <c r="BC1109" s="37">
        <v>0</v>
      </c>
      <c r="BD1109" s="37">
        <v>112188.78</v>
      </c>
      <c r="BE1109" s="37">
        <v>0</v>
      </c>
      <c r="BF1109" s="37">
        <v>85160</v>
      </c>
      <c r="BG1109" s="37">
        <v>146681</v>
      </c>
      <c r="BH1109" s="37">
        <v>68228</v>
      </c>
      <c r="BI1109" s="37">
        <v>81032.743382756365</v>
      </c>
      <c r="BJ1109" s="37">
        <v>8800.9204283472027</v>
      </c>
      <c r="BK1109" s="37">
        <v>42617.510084740585</v>
      </c>
      <c r="BL1109" s="37">
        <v>55422.578729632165</v>
      </c>
      <c r="BM1109" s="37">
        <v>68227.647374523731</v>
      </c>
      <c r="BN1109" s="37">
        <v>81032.743382756365</v>
      </c>
      <c r="BO1109" s="37">
        <v>0</v>
      </c>
      <c r="BP1109" s="37">
        <v>637203.14338275639</v>
      </c>
      <c r="BQ1109" s="37">
        <v>0</v>
      </c>
      <c r="BR1109" s="37">
        <v>0</v>
      </c>
      <c r="BS1109" s="37">
        <v>0</v>
      </c>
      <c r="BT1109" s="37">
        <v>339505.36</v>
      </c>
      <c r="BU1109" s="37">
        <v>154921.46</v>
      </c>
      <c r="BV1109" s="37">
        <v>158019.89000000001</v>
      </c>
      <c r="BW1109" s="37">
        <v>161180.29</v>
      </c>
      <c r="BX1109" s="37">
        <v>164403.89000000001</v>
      </c>
      <c r="BY1109" s="37">
        <v>167691.97</v>
      </c>
      <c r="BZ1109" s="37">
        <v>171045.81</v>
      </c>
      <c r="CA1109" s="37">
        <v>174466.73</v>
      </c>
      <c r="CB1109" s="37">
        <v>1491235.4</v>
      </c>
      <c r="CC1109" s="37">
        <v>0</v>
      </c>
      <c r="CD1109" s="37">
        <v>0</v>
      </c>
      <c r="CE1109" s="37">
        <v>0</v>
      </c>
      <c r="CF1109" s="37">
        <v>0</v>
      </c>
      <c r="CG1109" s="37">
        <v>0</v>
      </c>
      <c r="CH1109" s="37">
        <v>0</v>
      </c>
      <c r="CI1109" s="37">
        <v>0</v>
      </c>
      <c r="CJ1109" s="37">
        <v>0</v>
      </c>
      <c r="CK1109" s="37">
        <v>0</v>
      </c>
      <c r="CL1109" s="37">
        <v>0</v>
      </c>
      <c r="CM1109" s="37">
        <v>0</v>
      </c>
      <c r="CN1109" s="37">
        <v>0</v>
      </c>
      <c r="CO1109" s="37">
        <v>0</v>
      </c>
      <c r="CP1109" s="37">
        <v>46859</v>
      </c>
      <c r="CQ1109" s="37">
        <v>62041</v>
      </c>
      <c r="CR1109" s="37">
        <v>0</v>
      </c>
      <c r="CS1109" s="37">
        <v>0</v>
      </c>
      <c r="CT1109" s="37">
        <v>0</v>
      </c>
      <c r="CU1109" s="37">
        <v>0</v>
      </c>
      <c r="CV1109" s="37">
        <v>0</v>
      </c>
      <c r="CW1109" s="37">
        <v>0</v>
      </c>
      <c r="CX1109" s="37">
        <v>0</v>
      </c>
      <c r="CY1109" s="37">
        <v>0</v>
      </c>
      <c r="CZ1109" s="37">
        <v>108900</v>
      </c>
      <c r="DA1109" s="37">
        <v>0</v>
      </c>
      <c r="DB1109" s="37">
        <v>0</v>
      </c>
      <c r="DC1109" s="37">
        <v>0</v>
      </c>
      <c r="DD1109" s="37">
        <v>0</v>
      </c>
      <c r="DE1109" s="37">
        <v>0</v>
      </c>
      <c r="DF1109" s="37">
        <v>0</v>
      </c>
      <c r="DG1109" s="37">
        <v>0</v>
      </c>
      <c r="DH1109" s="37">
        <v>0</v>
      </c>
      <c r="DI1109" s="37">
        <v>0</v>
      </c>
      <c r="DJ1109" s="37">
        <v>0</v>
      </c>
      <c r="DK1109" s="37">
        <v>0</v>
      </c>
      <c r="DL1109" s="37">
        <v>0</v>
      </c>
      <c r="DM1109" s="37">
        <v>0</v>
      </c>
      <c r="DN1109" s="37">
        <v>0</v>
      </c>
      <c r="DO1109" s="37">
        <v>0</v>
      </c>
      <c r="DP1109" s="37">
        <v>0</v>
      </c>
      <c r="DQ1109" s="37">
        <v>0</v>
      </c>
      <c r="DR1109" s="37">
        <v>0</v>
      </c>
      <c r="DS1109" s="37">
        <v>0</v>
      </c>
      <c r="DT1109" s="37">
        <v>0</v>
      </c>
      <c r="DU1109" s="37">
        <v>0</v>
      </c>
      <c r="DV1109" s="37">
        <v>0</v>
      </c>
      <c r="DW1109" s="37">
        <v>0</v>
      </c>
      <c r="DX1109" s="37">
        <v>0</v>
      </c>
      <c r="DY1109" s="37">
        <v>0</v>
      </c>
      <c r="DZ1109" s="37">
        <v>0</v>
      </c>
      <c r="EA1109" s="37">
        <v>0</v>
      </c>
      <c r="EB1109" s="37">
        <v>0</v>
      </c>
      <c r="EC1109" s="37">
        <v>0</v>
      </c>
      <c r="ED1109" s="37">
        <v>0</v>
      </c>
      <c r="EE1109" s="37">
        <v>0</v>
      </c>
      <c r="EF1109" s="37">
        <v>0</v>
      </c>
      <c r="EG1109" s="37">
        <v>0</v>
      </c>
      <c r="EH1109" s="37">
        <v>0</v>
      </c>
      <c r="EI1109" s="37">
        <v>0</v>
      </c>
      <c r="EJ1109" s="37">
        <v>0</v>
      </c>
      <c r="EK1109" s="161" t="s">
        <v>3668</v>
      </c>
      <c r="EL1109" s="294" t="s">
        <v>1124</v>
      </c>
    </row>
    <row r="1110" spans="1:142" ht="15" customHeight="1" x14ac:dyDescent="0.35">
      <c r="A1110" s="34"/>
      <c r="B1110" s="313">
        <v>42088</v>
      </c>
      <c r="C1110" s="8" t="s">
        <v>392</v>
      </c>
      <c r="D1110" s="18">
        <v>5</v>
      </c>
      <c r="E1110" s="155">
        <v>784651</v>
      </c>
      <c r="F1110" s="36">
        <v>273398</v>
      </c>
      <c r="G1110" s="37">
        <v>56951</v>
      </c>
      <c r="H1110" s="37">
        <v>39487</v>
      </c>
      <c r="I1110" s="37">
        <v>0</v>
      </c>
      <c r="J1110" s="37">
        <v>101906</v>
      </c>
      <c r="K1110" s="37">
        <v>117697.65</v>
      </c>
      <c r="L1110" s="37">
        <v>41009.699999999997</v>
      </c>
      <c r="M1110" s="37">
        <v>959299.65</v>
      </c>
      <c r="N1110" s="37">
        <v>455800.7</v>
      </c>
      <c r="O1110" s="37">
        <v>0</v>
      </c>
      <c r="P1110" s="37">
        <v>0</v>
      </c>
      <c r="Q1110" s="37">
        <v>501595</v>
      </c>
      <c r="R1110" s="37">
        <v>0</v>
      </c>
      <c r="S1110" s="37">
        <v>35189</v>
      </c>
      <c r="T1110" s="37">
        <v>17594</v>
      </c>
      <c r="U1110" s="37">
        <v>25578</v>
      </c>
      <c r="V1110" s="37">
        <v>0</v>
      </c>
      <c r="W1110" s="37">
        <v>396937.65</v>
      </c>
      <c r="X1110" s="37">
        <v>438206.7</v>
      </c>
      <c r="Y1110" s="37">
        <v>0</v>
      </c>
      <c r="Z1110" s="37">
        <v>0</v>
      </c>
      <c r="AA1110" s="37">
        <v>959299.65</v>
      </c>
      <c r="AB1110" s="37">
        <v>455800.7</v>
      </c>
      <c r="AC1110" s="37">
        <v>0</v>
      </c>
      <c r="AD1110" s="37">
        <v>0</v>
      </c>
      <c r="AE1110" s="37">
        <v>15750</v>
      </c>
      <c r="AF1110" s="168">
        <v>0.02</v>
      </c>
      <c r="AG1110" s="37">
        <v>93878234.760000005</v>
      </c>
      <c r="AH1110" s="37">
        <v>657671.31999999995</v>
      </c>
      <c r="AI1110" s="37">
        <v>889308.74</v>
      </c>
      <c r="AJ1110" s="37">
        <v>907094.92</v>
      </c>
      <c r="AK1110" s="37">
        <v>654628.78</v>
      </c>
      <c r="AL1110" s="37">
        <v>667721.35</v>
      </c>
      <c r="AM1110" s="37">
        <v>681075.78</v>
      </c>
      <c r="AN1110" s="37">
        <v>694697.3</v>
      </c>
      <c r="AO1110" s="37">
        <v>708591.24</v>
      </c>
      <c r="AP1110" s="37">
        <v>722763.07</v>
      </c>
      <c r="AQ1110" s="37">
        <v>737218.33</v>
      </c>
      <c r="AR1110" s="37">
        <v>7320770.8300000001</v>
      </c>
      <c r="AS1110" s="37">
        <v>2323814.5499999998</v>
      </c>
      <c r="AT1110" s="37">
        <v>3994320</v>
      </c>
      <c r="AU1110" s="37">
        <v>2971382.4</v>
      </c>
      <c r="AV1110" s="37">
        <v>2521430.21</v>
      </c>
      <c r="AW1110" s="37">
        <v>2760202.01</v>
      </c>
      <c r="AX1110" s="37">
        <v>2815406.05</v>
      </c>
      <c r="AY1110" s="37">
        <v>2871714.17</v>
      </c>
      <c r="AZ1110" s="37">
        <v>0</v>
      </c>
      <c r="BA1110" s="37">
        <v>0</v>
      </c>
      <c r="BB1110" s="37">
        <v>0</v>
      </c>
      <c r="BC1110" s="37">
        <v>0</v>
      </c>
      <c r="BD1110" s="37">
        <v>17934454.840000004</v>
      </c>
      <c r="BE1110" s="37">
        <v>9552847</v>
      </c>
      <c r="BF1110" s="37">
        <v>2273294.56</v>
      </c>
      <c r="BG1110" s="37">
        <v>0</v>
      </c>
      <c r="BH1110" s="37">
        <v>0</v>
      </c>
      <c r="BI1110" s="37">
        <v>0</v>
      </c>
      <c r="BJ1110" s="37">
        <v>0</v>
      </c>
      <c r="BK1110" s="37">
        <v>0</v>
      </c>
      <c r="BL1110" s="37">
        <v>0</v>
      </c>
      <c r="BM1110" s="37">
        <v>0</v>
      </c>
      <c r="BN1110" s="37">
        <v>0</v>
      </c>
      <c r="BO1110" s="37">
        <v>0</v>
      </c>
      <c r="BP1110" s="37">
        <v>2273294.56</v>
      </c>
      <c r="BQ1110" s="37">
        <v>693084</v>
      </c>
      <c r="BR1110" s="37">
        <v>60000</v>
      </c>
      <c r="BS1110" s="37">
        <v>0</v>
      </c>
      <c r="BT1110" s="37">
        <v>0</v>
      </c>
      <c r="BU1110" s="37">
        <v>0</v>
      </c>
      <c r="BV1110" s="37">
        <v>0</v>
      </c>
      <c r="BW1110" s="37">
        <v>0</v>
      </c>
      <c r="BX1110" s="37">
        <v>0</v>
      </c>
      <c r="BY1110" s="37">
        <v>0</v>
      </c>
      <c r="BZ1110" s="37">
        <v>0</v>
      </c>
      <c r="CA1110" s="37">
        <v>0</v>
      </c>
      <c r="CB1110" s="37">
        <v>60000</v>
      </c>
      <c r="CC1110" s="37">
        <v>0</v>
      </c>
      <c r="CD1110" s="37">
        <v>0</v>
      </c>
      <c r="CE1110" s="37">
        <v>40000</v>
      </c>
      <c r="CF1110" s="37">
        <v>0</v>
      </c>
      <c r="CG1110" s="37">
        <v>0</v>
      </c>
      <c r="CH1110" s="37">
        <v>0</v>
      </c>
      <c r="CI1110" s="37">
        <v>0</v>
      </c>
      <c r="CJ1110" s="37">
        <v>0</v>
      </c>
      <c r="CK1110" s="37">
        <v>0</v>
      </c>
      <c r="CL1110" s="37">
        <v>0</v>
      </c>
      <c r="CM1110" s="37">
        <v>0</v>
      </c>
      <c r="CN1110" s="37">
        <v>40000</v>
      </c>
      <c r="CO1110" s="37">
        <v>0</v>
      </c>
      <c r="CP1110" s="37">
        <v>684800.44</v>
      </c>
      <c r="CQ1110" s="37">
        <v>1998095</v>
      </c>
      <c r="CR1110" s="37">
        <v>0</v>
      </c>
      <c r="CS1110" s="37">
        <v>0</v>
      </c>
      <c r="CT1110" s="37">
        <v>0</v>
      </c>
      <c r="CU1110" s="37">
        <v>0</v>
      </c>
      <c r="CV1110" s="37">
        <v>0</v>
      </c>
      <c r="CW1110" s="37">
        <v>0</v>
      </c>
      <c r="CX1110" s="37">
        <v>0</v>
      </c>
      <c r="CY1110" s="37">
        <v>0</v>
      </c>
      <c r="CZ1110" s="37">
        <v>2682895.44</v>
      </c>
      <c r="DA1110" s="37">
        <v>0</v>
      </c>
      <c r="DB1110" s="37">
        <v>499525</v>
      </c>
      <c r="DC1110" s="37">
        <v>499525</v>
      </c>
      <c r="DD1110" s="37">
        <v>300000</v>
      </c>
      <c r="DE1110" s="37">
        <v>2050000</v>
      </c>
      <c r="DF1110" s="37">
        <v>0</v>
      </c>
      <c r="DG1110" s="37">
        <v>0</v>
      </c>
      <c r="DH1110" s="37">
        <v>0</v>
      </c>
      <c r="DI1110" s="37">
        <v>0</v>
      </c>
      <c r="DJ1110" s="37">
        <v>0</v>
      </c>
      <c r="DK1110" s="37">
        <v>0</v>
      </c>
      <c r="DL1110" s="37">
        <v>3349050</v>
      </c>
      <c r="DM1110" s="37">
        <v>0</v>
      </c>
      <c r="DN1110" s="37">
        <v>0</v>
      </c>
      <c r="DO1110" s="37">
        <v>0</v>
      </c>
      <c r="DP1110" s="37">
        <v>0</v>
      </c>
      <c r="DQ1110" s="37">
        <v>0</v>
      </c>
      <c r="DR1110" s="37">
        <v>0</v>
      </c>
      <c r="DS1110" s="37">
        <v>0</v>
      </c>
      <c r="DT1110" s="37">
        <v>0</v>
      </c>
      <c r="DU1110" s="37">
        <v>0</v>
      </c>
      <c r="DV1110" s="37">
        <v>0</v>
      </c>
      <c r="DW1110" s="37">
        <v>0</v>
      </c>
      <c r="DX1110" s="37">
        <v>0</v>
      </c>
      <c r="DY1110" s="37">
        <v>0</v>
      </c>
      <c r="DZ1110" s="37">
        <v>0</v>
      </c>
      <c r="EA1110" s="37">
        <v>0</v>
      </c>
      <c r="EB1110" s="37">
        <v>0</v>
      </c>
      <c r="EC1110" s="37">
        <v>0</v>
      </c>
      <c r="ED1110" s="37">
        <v>0</v>
      </c>
      <c r="EE1110" s="37">
        <v>0</v>
      </c>
      <c r="EF1110" s="37">
        <v>0</v>
      </c>
      <c r="EG1110" s="37">
        <v>0</v>
      </c>
      <c r="EH1110" s="37">
        <v>0</v>
      </c>
      <c r="EI1110" s="37">
        <v>0</v>
      </c>
      <c r="EJ1110" s="37">
        <v>0</v>
      </c>
      <c r="EK1110" s="161" t="s">
        <v>3673</v>
      </c>
      <c r="EL1110" s="294" t="s">
        <v>1124</v>
      </c>
    </row>
    <row r="1111" spans="1:142" ht="15" customHeight="1" x14ac:dyDescent="0.35">
      <c r="A1111" s="34"/>
      <c r="B1111" s="313">
        <v>40017</v>
      </c>
      <c r="C1111" s="8" t="s">
        <v>360</v>
      </c>
      <c r="D1111" s="18">
        <v>5</v>
      </c>
      <c r="E1111" s="155"/>
      <c r="F1111" s="36"/>
      <c r="G1111" s="37"/>
      <c r="H1111" s="37"/>
      <c r="I1111" s="37"/>
      <c r="J1111" s="37"/>
      <c r="K1111" s="37"/>
      <c r="L1111" s="37"/>
      <c r="M1111" s="37" t="s">
        <v>1124</v>
      </c>
      <c r="N1111" s="37" t="s">
        <v>1124</v>
      </c>
      <c r="O1111" s="37"/>
      <c r="P1111" s="37"/>
      <c r="Q1111" s="37"/>
      <c r="R1111" s="37"/>
      <c r="S1111" s="37"/>
      <c r="T1111" s="37"/>
      <c r="U1111" s="37"/>
      <c r="V1111" s="37"/>
      <c r="W1111" s="37"/>
      <c r="X1111" s="37"/>
      <c r="Y1111" s="37"/>
      <c r="Z1111" s="37"/>
      <c r="AA1111" s="37" t="s">
        <v>1124</v>
      </c>
      <c r="AB1111" s="37" t="s">
        <v>1124</v>
      </c>
      <c r="AC1111" s="37"/>
      <c r="AD1111" s="37"/>
      <c r="AE1111" s="37"/>
      <c r="AF1111" s="168"/>
      <c r="AG1111" s="37"/>
      <c r="AH1111" s="37"/>
      <c r="AI1111" s="37"/>
      <c r="AJ1111" s="37"/>
      <c r="AK1111" s="37"/>
      <c r="AL1111" s="37"/>
      <c r="AM1111" s="37"/>
      <c r="AN1111" s="37"/>
      <c r="AO1111" s="37"/>
      <c r="AP1111" s="37"/>
      <c r="AQ1111" s="37"/>
      <c r="AR1111" s="37" t="s">
        <v>1124</v>
      </c>
      <c r="AS1111" s="37"/>
      <c r="AT1111" s="37"/>
      <c r="AU1111" s="37"/>
      <c r="AV1111" s="37"/>
      <c r="AW1111" s="37"/>
      <c r="AX1111" s="37"/>
      <c r="AY1111" s="37"/>
      <c r="AZ1111" s="37"/>
      <c r="BA1111" s="37"/>
      <c r="BB1111" s="37"/>
      <c r="BC1111" s="37"/>
      <c r="BD1111" s="37" t="s">
        <v>1124</v>
      </c>
      <c r="BE1111" s="37"/>
      <c r="BF1111" s="37"/>
      <c r="BG1111" s="37"/>
      <c r="BH1111" s="37"/>
      <c r="BI1111" s="37"/>
      <c r="BJ1111" s="37"/>
      <c r="BK1111" s="37"/>
      <c r="BL1111" s="37"/>
      <c r="BM1111" s="37"/>
      <c r="BN1111" s="37"/>
      <c r="BO1111" s="37"/>
      <c r="BP1111" s="37">
        <v>0</v>
      </c>
      <c r="BQ1111" s="37"/>
      <c r="BR1111" s="37"/>
      <c r="BS1111" s="37"/>
      <c r="BT1111" s="37"/>
      <c r="BU1111" s="37"/>
      <c r="BV1111" s="37"/>
      <c r="BW1111" s="37"/>
      <c r="BX1111" s="37"/>
      <c r="BY1111" s="37"/>
      <c r="BZ1111" s="37"/>
      <c r="CA1111" s="37"/>
      <c r="CB1111" s="37" t="s">
        <v>1124</v>
      </c>
      <c r="CC1111" s="37"/>
      <c r="CD1111" s="37"/>
      <c r="CE1111" s="37"/>
      <c r="CF1111" s="37"/>
      <c r="CG1111" s="37"/>
      <c r="CH1111" s="37"/>
      <c r="CI1111" s="37"/>
      <c r="CJ1111" s="37"/>
      <c r="CK1111" s="37"/>
      <c r="CL1111" s="37"/>
      <c r="CM1111" s="37"/>
      <c r="CN1111" s="37" t="s">
        <v>1124</v>
      </c>
      <c r="CO1111" s="37"/>
      <c r="CP1111" s="37"/>
      <c r="CQ1111" s="37"/>
      <c r="CR1111" s="37"/>
      <c r="CS1111" s="37"/>
      <c r="CT1111" s="37"/>
      <c r="CU1111" s="37"/>
      <c r="CV1111" s="37"/>
      <c r="CW1111" s="37"/>
      <c r="CX1111" s="37"/>
      <c r="CY1111" s="37"/>
      <c r="CZ1111" s="37" t="s">
        <v>1124</v>
      </c>
      <c r="DA1111" s="37"/>
      <c r="DB1111" s="37"/>
      <c r="DC1111" s="37"/>
      <c r="DD1111" s="37"/>
      <c r="DE1111" s="37"/>
      <c r="DF1111" s="37"/>
      <c r="DG1111" s="37"/>
      <c r="DH1111" s="37"/>
      <c r="DI1111" s="37"/>
      <c r="DJ1111" s="37"/>
      <c r="DK1111" s="37"/>
      <c r="DL1111" s="37" t="s">
        <v>1124</v>
      </c>
      <c r="DM1111" s="37"/>
      <c r="DN1111" s="37"/>
      <c r="DO1111" s="37"/>
      <c r="DP1111" s="37"/>
      <c r="DQ1111" s="37"/>
      <c r="DR1111" s="37"/>
      <c r="DS1111" s="37"/>
      <c r="DT1111" s="37"/>
      <c r="DU1111" s="37"/>
      <c r="DV1111" s="37"/>
      <c r="DW1111" s="37"/>
      <c r="DX1111" s="37" t="s">
        <v>1124</v>
      </c>
      <c r="DY1111" s="37"/>
      <c r="DZ1111" s="37"/>
      <c r="EA1111" s="37"/>
      <c r="EB1111" s="37"/>
      <c r="EC1111" s="37"/>
      <c r="ED1111" s="37"/>
      <c r="EE1111" s="37"/>
      <c r="EF1111" s="37"/>
      <c r="EG1111" s="37"/>
      <c r="EH1111" s="37"/>
      <c r="EI1111" s="37"/>
      <c r="EJ1111" s="37" t="s">
        <v>1124</v>
      </c>
      <c r="EK1111" s="161"/>
      <c r="EL1111" s="294"/>
    </row>
    <row r="1112" spans="1:142" ht="15" customHeight="1" x14ac:dyDescent="0.35">
      <c r="A1112" s="34"/>
      <c r="B1112" s="313">
        <v>51020</v>
      </c>
      <c r="C1112" s="8" t="s">
        <v>500</v>
      </c>
      <c r="D1112" s="18">
        <v>4</v>
      </c>
      <c r="E1112" s="155">
        <v>710565</v>
      </c>
      <c r="F1112" s="36">
        <v>248554</v>
      </c>
      <c r="G1112" s="37">
        <v>14450</v>
      </c>
      <c r="H1112" s="37">
        <v>30001</v>
      </c>
      <c r="I1112" s="37">
        <v>6526.3888409868596</v>
      </c>
      <c r="J1112" s="37">
        <v>422.09646224984357</v>
      </c>
      <c r="K1112" s="37">
        <v>106584.75</v>
      </c>
      <c r="L1112" s="37">
        <v>37283.1</v>
      </c>
      <c r="M1112" s="37">
        <v>838126.13884098688</v>
      </c>
      <c r="N1112" s="37">
        <v>316260.19646224985</v>
      </c>
      <c r="O1112" s="37">
        <v>597240</v>
      </c>
      <c r="P1112" s="37">
        <v>0</v>
      </c>
      <c r="Q1112" s="37">
        <v>180813</v>
      </c>
      <c r="R1112" s="37">
        <v>234671</v>
      </c>
      <c r="S1112" s="37">
        <v>25230</v>
      </c>
      <c r="T1112" s="37">
        <v>308</v>
      </c>
      <c r="U1112" s="37">
        <v>0</v>
      </c>
      <c r="V1112" s="37">
        <v>0</v>
      </c>
      <c r="W1112" s="37">
        <v>34843.138840986881</v>
      </c>
      <c r="X1112" s="37">
        <v>81281.196462249849</v>
      </c>
      <c r="Y1112" s="37">
        <v>0</v>
      </c>
      <c r="Z1112" s="37">
        <v>0</v>
      </c>
      <c r="AA1112" s="37">
        <v>838126.13884098688</v>
      </c>
      <c r="AB1112" s="37">
        <v>316260.19646224985</v>
      </c>
      <c r="AC1112" s="37">
        <v>0</v>
      </c>
      <c r="AD1112" s="37">
        <v>0</v>
      </c>
      <c r="AE1112" s="37">
        <v>0</v>
      </c>
      <c r="AF1112" s="168">
        <v>0.02</v>
      </c>
      <c r="AG1112" s="37">
        <v>38843351.700000003</v>
      </c>
      <c r="AH1112" s="37">
        <v>375785.82</v>
      </c>
      <c r="AI1112" s="37">
        <v>382240.33</v>
      </c>
      <c r="AJ1112" s="37">
        <v>373648.65</v>
      </c>
      <c r="AK1112" s="37">
        <v>381121.63</v>
      </c>
      <c r="AL1112" s="37">
        <v>388744.06</v>
      </c>
      <c r="AM1112" s="37">
        <v>396518.94</v>
      </c>
      <c r="AN1112" s="37">
        <v>404449.32</v>
      </c>
      <c r="AO1112" s="37">
        <v>412538.31</v>
      </c>
      <c r="AP1112" s="37">
        <v>420789.07</v>
      </c>
      <c r="AQ1112" s="37">
        <v>429204.85</v>
      </c>
      <c r="AR1112" s="37">
        <v>3965040.98</v>
      </c>
      <c r="AS1112" s="37">
        <v>1847944.46</v>
      </c>
      <c r="AT1112" s="37">
        <v>1371867.9</v>
      </c>
      <c r="AU1112" s="37">
        <v>530604</v>
      </c>
      <c r="AV1112" s="37">
        <v>2009041.84</v>
      </c>
      <c r="AW1112" s="37">
        <v>0</v>
      </c>
      <c r="AX1112" s="37">
        <v>0</v>
      </c>
      <c r="AY1112" s="37">
        <v>0</v>
      </c>
      <c r="AZ1112" s="37">
        <v>0</v>
      </c>
      <c r="BA1112" s="37">
        <v>0</v>
      </c>
      <c r="BB1112" s="37">
        <v>0</v>
      </c>
      <c r="BC1112" s="37">
        <v>0</v>
      </c>
      <c r="BD1112" s="37">
        <v>3911513.7399999998</v>
      </c>
      <c r="BE1112" s="37">
        <v>955861</v>
      </c>
      <c r="BF1112" s="37">
        <v>633441</v>
      </c>
      <c r="BG1112" s="37">
        <v>742000</v>
      </c>
      <c r="BH1112" s="37">
        <v>660000</v>
      </c>
      <c r="BI1112" s="37">
        <v>127500</v>
      </c>
      <c r="BJ1112" s="37">
        <v>176750</v>
      </c>
      <c r="BK1112" s="37">
        <v>168300</v>
      </c>
      <c r="BL1112" s="37">
        <v>223800</v>
      </c>
      <c r="BM1112" s="37">
        <v>207000</v>
      </c>
      <c r="BN1112" s="37">
        <v>60000</v>
      </c>
      <c r="BO1112" s="37">
        <v>336000</v>
      </c>
      <c r="BP1112" s="37">
        <v>3334791</v>
      </c>
      <c r="BQ1112" s="37">
        <v>0</v>
      </c>
      <c r="BR1112" s="37">
        <v>165483</v>
      </c>
      <c r="BS1112" s="37">
        <v>289109</v>
      </c>
      <c r="BT1112" s="37">
        <v>0</v>
      </c>
      <c r="BU1112" s="37">
        <v>0</v>
      </c>
      <c r="BV1112" s="37">
        <v>0</v>
      </c>
      <c r="BW1112" s="37">
        <v>0</v>
      </c>
      <c r="BX1112" s="37">
        <v>0</v>
      </c>
      <c r="BY1112" s="37">
        <v>0</v>
      </c>
      <c r="BZ1112" s="37">
        <v>0</v>
      </c>
      <c r="CA1112" s="37">
        <v>0</v>
      </c>
      <c r="CB1112" s="37">
        <v>454592</v>
      </c>
      <c r="CC1112" s="37">
        <v>0</v>
      </c>
      <c r="CD1112" s="37">
        <v>0</v>
      </c>
      <c r="CE1112" s="37">
        <v>0</v>
      </c>
      <c r="CF1112" s="37">
        <v>0</v>
      </c>
      <c r="CG1112" s="37">
        <v>0</v>
      </c>
      <c r="CH1112" s="37">
        <v>0</v>
      </c>
      <c r="CI1112" s="37">
        <v>0</v>
      </c>
      <c r="CJ1112" s="37">
        <v>0</v>
      </c>
      <c r="CK1112" s="37">
        <v>0</v>
      </c>
      <c r="CL1112" s="37">
        <v>0</v>
      </c>
      <c r="CM1112" s="37">
        <v>0</v>
      </c>
      <c r="CN1112" s="37">
        <v>0</v>
      </c>
      <c r="CO1112" s="37">
        <v>0</v>
      </c>
      <c r="CP1112" s="37">
        <v>0</v>
      </c>
      <c r="CQ1112" s="37">
        <v>0</v>
      </c>
      <c r="CR1112" s="37">
        <v>0</v>
      </c>
      <c r="CS1112" s="37">
        <v>0</v>
      </c>
      <c r="CT1112" s="37">
        <v>0</v>
      </c>
      <c r="CU1112" s="37">
        <v>0</v>
      </c>
      <c r="CV1112" s="37">
        <v>0</v>
      </c>
      <c r="CW1112" s="37">
        <v>0</v>
      </c>
      <c r="CX1112" s="37">
        <v>0</v>
      </c>
      <c r="CY1112" s="37">
        <v>0</v>
      </c>
      <c r="CZ1112" s="37">
        <v>0</v>
      </c>
      <c r="DA1112" s="37">
        <v>0</v>
      </c>
      <c r="DB1112" s="37">
        <v>0</v>
      </c>
      <c r="DC1112" s="37">
        <v>0</v>
      </c>
      <c r="DD1112" s="37">
        <v>0</v>
      </c>
      <c r="DE1112" s="37">
        <v>0</v>
      </c>
      <c r="DF1112" s="37">
        <v>0</v>
      </c>
      <c r="DG1112" s="37">
        <v>0</v>
      </c>
      <c r="DH1112" s="37">
        <v>0</v>
      </c>
      <c r="DI1112" s="37">
        <v>0</v>
      </c>
      <c r="DJ1112" s="37">
        <v>0</v>
      </c>
      <c r="DK1112" s="37">
        <v>0</v>
      </c>
      <c r="DL1112" s="37">
        <v>0</v>
      </c>
      <c r="DM1112" s="37">
        <v>20063</v>
      </c>
      <c r="DN1112" s="37">
        <v>20494</v>
      </c>
      <c r="DO1112" s="37">
        <v>1509867</v>
      </c>
      <c r="DP1112" s="37">
        <v>0</v>
      </c>
      <c r="DQ1112" s="37">
        <v>0</v>
      </c>
      <c r="DR1112" s="37">
        <v>0</v>
      </c>
      <c r="DS1112" s="37">
        <v>0</v>
      </c>
      <c r="DT1112" s="37">
        <v>0</v>
      </c>
      <c r="DU1112" s="37">
        <v>0</v>
      </c>
      <c r="DV1112" s="37">
        <v>0</v>
      </c>
      <c r="DW1112" s="37">
        <v>0</v>
      </c>
      <c r="DX1112" s="37">
        <v>1530361</v>
      </c>
      <c r="DY1112" s="37">
        <v>0</v>
      </c>
      <c r="DZ1112" s="37">
        <v>0</v>
      </c>
      <c r="EA1112" s="37">
        <v>0</v>
      </c>
      <c r="EB1112" s="37">
        <v>1893165</v>
      </c>
      <c r="EC1112" s="37">
        <v>0</v>
      </c>
      <c r="ED1112" s="37">
        <v>0</v>
      </c>
      <c r="EE1112" s="37">
        <v>0</v>
      </c>
      <c r="EF1112" s="37">
        <v>0</v>
      </c>
      <c r="EG1112" s="37">
        <v>0</v>
      </c>
      <c r="EH1112" s="37">
        <v>0</v>
      </c>
      <c r="EI1112" s="37">
        <v>0</v>
      </c>
      <c r="EJ1112" s="37">
        <v>1893165</v>
      </c>
      <c r="EK1112" s="161" t="s">
        <v>3679</v>
      </c>
      <c r="EL1112" s="294" t="s">
        <v>1124</v>
      </c>
    </row>
    <row r="1113" spans="1:142" ht="15" customHeight="1" x14ac:dyDescent="0.35">
      <c r="A1113" s="34"/>
      <c r="B1113" s="317">
        <v>53072</v>
      </c>
      <c r="C1113" s="12" t="s">
        <v>540</v>
      </c>
      <c r="D1113" s="25">
        <v>16</v>
      </c>
      <c r="E1113" s="302"/>
      <c r="F1113" s="303"/>
      <c r="G1113" s="39"/>
      <c r="H1113" s="39"/>
      <c r="I1113" s="39"/>
      <c r="J1113" s="39"/>
      <c r="K1113" s="39"/>
      <c r="L1113" s="39"/>
      <c r="M1113" s="369" t="s">
        <v>1124</v>
      </c>
      <c r="N1113" s="369" t="s">
        <v>1124</v>
      </c>
      <c r="O1113" s="39"/>
      <c r="P1113" s="39"/>
      <c r="Q1113" s="39"/>
      <c r="R1113" s="39"/>
      <c r="S1113" s="39"/>
      <c r="T1113" s="39"/>
      <c r="U1113" s="39"/>
      <c r="V1113" s="39"/>
      <c r="W1113" s="39"/>
      <c r="X1113" s="39"/>
      <c r="Y1113" s="39"/>
      <c r="Z1113" s="39"/>
      <c r="AA1113" s="369" t="s">
        <v>1124</v>
      </c>
      <c r="AB1113" s="369" t="s">
        <v>1124</v>
      </c>
      <c r="AC1113" s="39"/>
      <c r="AD1113" s="39"/>
      <c r="AE1113" s="39"/>
      <c r="AF1113" s="304"/>
      <c r="AG1113" s="39"/>
      <c r="AH1113" s="39"/>
      <c r="AI1113" s="39"/>
      <c r="AJ1113" s="39"/>
      <c r="AK1113" s="39"/>
      <c r="AL1113" s="39"/>
      <c r="AM1113" s="39"/>
      <c r="AN1113" s="39"/>
      <c r="AO1113" s="39"/>
      <c r="AP1113" s="39"/>
      <c r="AQ1113" s="39"/>
      <c r="AR1113" s="369" t="s">
        <v>1124</v>
      </c>
      <c r="AS1113" s="39"/>
      <c r="AT1113" s="39"/>
      <c r="AU1113" s="39"/>
      <c r="AV1113" s="39"/>
      <c r="AW1113" s="39"/>
      <c r="AX1113" s="39"/>
      <c r="AY1113" s="39"/>
      <c r="AZ1113" s="39"/>
      <c r="BA1113" s="39"/>
      <c r="BB1113" s="39"/>
      <c r="BC1113" s="39"/>
      <c r="BD1113" s="369" t="s">
        <v>1124</v>
      </c>
      <c r="BE1113" s="39"/>
      <c r="BF1113" s="39"/>
      <c r="BG1113" s="39"/>
      <c r="BH1113" s="39"/>
      <c r="BI1113" s="39"/>
      <c r="BJ1113" s="39"/>
      <c r="BK1113" s="39"/>
      <c r="BL1113" s="39"/>
      <c r="BM1113" s="39"/>
      <c r="BN1113" s="39"/>
      <c r="BO1113" s="39"/>
      <c r="BP1113" s="369">
        <v>0</v>
      </c>
      <c r="BQ1113" s="39"/>
      <c r="BR1113" s="39"/>
      <c r="BS1113" s="39"/>
      <c r="BT1113" s="39"/>
      <c r="BU1113" s="39"/>
      <c r="BV1113" s="39"/>
      <c r="BW1113" s="39"/>
      <c r="BX1113" s="39"/>
      <c r="BY1113" s="39"/>
      <c r="BZ1113" s="39"/>
      <c r="CA1113" s="39"/>
      <c r="CB1113" s="369" t="s">
        <v>1124</v>
      </c>
      <c r="CC1113" s="39"/>
      <c r="CD1113" s="39"/>
      <c r="CE1113" s="39"/>
      <c r="CF1113" s="39"/>
      <c r="CG1113" s="39"/>
      <c r="CH1113" s="39"/>
      <c r="CI1113" s="39"/>
      <c r="CJ1113" s="39"/>
      <c r="CK1113" s="39"/>
      <c r="CL1113" s="39"/>
      <c r="CM1113" s="39"/>
      <c r="CN1113" s="369" t="s">
        <v>1124</v>
      </c>
      <c r="CO1113" s="39"/>
      <c r="CP1113" s="39"/>
      <c r="CQ1113" s="39"/>
      <c r="CR1113" s="39"/>
      <c r="CS1113" s="39"/>
      <c r="CT1113" s="39"/>
      <c r="CU1113" s="39"/>
      <c r="CV1113" s="39"/>
      <c r="CW1113" s="39"/>
      <c r="CX1113" s="39"/>
      <c r="CY1113" s="39"/>
      <c r="CZ1113" s="369" t="s">
        <v>1124</v>
      </c>
      <c r="DA1113" s="39"/>
      <c r="DB1113" s="39"/>
      <c r="DC1113" s="39"/>
      <c r="DD1113" s="39"/>
      <c r="DE1113" s="39"/>
      <c r="DF1113" s="39"/>
      <c r="DG1113" s="39"/>
      <c r="DH1113" s="39"/>
      <c r="DI1113" s="39"/>
      <c r="DJ1113" s="39"/>
      <c r="DK1113" s="39"/>
      <c r="DL1113" s="369" t="s">
        <v>1124</v>
      </c>
      <c r="DM1113" s="39"/>
      <c r="DN1113" s="39"/>
      <c r="DO1113" s="39"/>
      <c r="DP1113" s="39"/>
      <c r="DQ1113" s="39"/>
      <c r="DR1113" s="39"/>
      <c r="DS1113" s="39"/>
      <c r="DT1113" s="39"/>
      <c r="DU1113" s="39"/>
      <c r="DV1113" s="39"/>
      <c r="DW1113" s="39"/>
      <c r="DX1113" s="369" t="s">
        <v>1124</v>
      </c>
      <c r="DY1113" s="39"/>
      <c r="DZ1113" s="39"/>
      <c r="EA1113" s="39"/>
      <c r="EB1113" s="39"/>
      <c r="EC1113" s="39"/>
      <c r="ED1113" s="39"/>
      <c r="EE1113" s="39"/>
      <c r="EF1113" s="39"/>
      <c r="EG1113" s="39"/>
      <c r="EH1113" s="39"/>
      <c r="EI1113" s="39"/>
      <c r="EJ1113" s="369" t="s">
        <v>1124</v>
      </c>
      <c r="EK1113" s="295"/>
      <c r="EL1113" s="296"/>
    </row>
  </sheetData>
  <sheetProtection sheet="1" objects="1" scenarios="1" sort="0" autoFilter="0"/>
  <autoFilter ref="B5:EL1113"/>
  <sortState ref="B3:ED1109">
    <sortCondition ref="B3"/>
  </sortState>
  <mergeCells count="48">
    <mergeCell ref="Y2:Z2"/>
    <mergeCell ref="AH2:AQ2"/>
    <mergeCell ref="CD2:CM2"/>
    <mergeCell ref="CP2:CY2"/>
    <mergeCell ref="DB2:DK2"/>
    <mergeCell ref="O2:P2"/>
    <mergeCell ref="Q2:R2"/>
    <mergeCell ref="S2:T2"/>
    <mergeCell ref="U2:V2"/>
    <mergeCell ref="W2:X2"/>
    <mergeCell ref="B2:D2"/>
    <mergeCell ref="E2:F2"/>
    <mergeCell ref="G2:H2"/>
    <mergeCell ref="I2:J2"/>
    <mergeCell ref="K2:L2"/>
    <mergeCell ref="EL3:EL4"/>
    <mergeCell ref="AG3:AG4"/>
    <mergeCell ref="AF3:AF4"/>
    <mergeCell ref="DA3:DL3"/>
    <mergeCell ref="DM3:DX3"/>
    <mergeCell ref="DY3:EJ3"/>
    <mergeCell ref="CO3:CZ3"/>
    <mergeCell ref="BQ3:CB3"/>
    <mergeCell ref="CC3:CN3"/>
    <mergeCell ref="BE3:BP3"/>
    <mergeCell ref="AT3:BD3"/>
    <mergeCell ref="AH3:AR3"/>
    <mergeCell ref="AC3:AC4"/>
    <mergeCell ref="EK3:EK4"/>
    <mergeCell ref="AE3:AE4"/>
    <mergeCell ref="AD3:AD4"/>
    <mergeCell ref="BR2:CA2"/>
    <mergeCell ref="AT2:BC2"/>
    <mergeCell ref="BF2:BO2"/>
    <mergeCell ref="DN2:DW2"/>
    <mergeCell ref="DZ2:EI2"/>
    <mergeCell ref="AA3:AB3"/>
    <mergeCell ref="E3:F3"/>
    <mergeCell ref="G3:H3"/>
    <mergeCell ref="I3:J3"/>
    <mergeCell ref="K3:L3"/>
    <mergeCell ref="O3:P3"/>
    <mergeCell ref="M3:N3"/>
    <mergeCell ref="Q3:R3"/>
    <mergeCell ref="S3:T3"/>
    <mergeCell ref="U3:V3"/>
    <mergeCell ref="Y3:Z3"/>
    <mergeCell ref="W3:X3"/>
  </mergeCells>
  <pageMargins left="0.7" right="0.7" top="0.75" bottom="0.75" header="0.3" footer="0.3"/>
  <pageSetup scale="40" fitToHeight="0" orientation="landscape" r:id="rId1"/>
  <rowBreaks count="2" manualBreakCount="2">
    <brk id="44" min="1" max="16" man="1"/>
    <brk id="86" min="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4" tint="-0.499984740745262"/>
    <pageSetUpPr fitToPage="1"/>
  </sheetPr>
  <dimension ref="A1:CJ1113"/>
  <sheetViews>
    <sheetView showGridLines="0" zoomScaleNormal="100" workbookViewId="0">
      <pane xSplit="4" ySplit="5" topLeftCell="E6" activePane="bottomRight" state="frozen"/>
      <selection pane="topRight" activeCell="E1" sqref="E1"/>
      <selection pane="bottomLeft" activeCell="A6" sqref="A6"/>
      <selection pane="bottomRight"/>
    </sheetView>
  </sheetViews>
  <sheetFormatPr baseColWidth="10" defaultColWidth="11.453125" defaultRowHeight="15" customHeight="1" x14ac:dyDescent="0.35"/>
  <cols>
    <col min="1" max="1" width="2.1796875" style="40" customWidth="1"/>
    <col min="2" max="2" width="16.81640625" style="40" bestFit="1" customWidth="1"/>
    <col min="3" max="3" width="56.7265625" style="40" bestFit="1" customWidth="1"/>
    <col min="4" max="4" width="12" style="40" bestFit="1" customWidth="1"/>
    <col min="5" max="40" width="20.7265625" style="26" customWidth="1"/>
    <col min="41" max="44" width="20.7265625" style="40" customWidth="1"/>
    <col min="45" max="51" width="20.7265625" style="26" customWidth="1"/>
    <col min="52" max="57" width="20.7265625" style="40" customWidth="1"/>
    <col min="58" max="64" width="28.453125" style="40" customWidth="1"/>
    <col min="65" max="86" width="28.453125" customWidth="1"/>
    <col min="88" max="88" width="12.26953125" bestFit="1" customWidth="1"/>
    <col min="89" max="16384" width="11.453125" style="40"/>
  </cols>
  <sheetData>
    <row r="1" spans="1:88" s="30" customFormat="1" ht="85.5" customHeight="1" x14ac:dyDescent="0.35">
      <c r="A1" s="27"/>
      <c r="B1" s="579" t="s">
        <v>4805</v>
      </c>
      <c r="C1" s="579"/>
      <c r="D1" s="579"/>
      <c r="E1" s="472"/>
      <c r="F1" s="472"/>
      <c r="G1" s="16"/>
      <c r="H1" s="15"/>
      <c r="I1" s="15"/>
      <c r="J1" s="14"/>
      <c r="K1" s="14"/>
      <c r="L1" s="16"/>
      <c r="M1" s="15"/>
      <c r="N1" s="15"/>
      <c r="O1" s="14"/>
      <c r="P1" s="14"/>
      <c r="Q1" s="16"/>
      <c r="R1" s="15"/>
      <c r="S1" s="15"/>
      <c r="T1" s="15"/>
      <c r="U1" s="14"/>
      <c r="V1" s="14"/>
      <c r="W1" s="16"/>
      <c r="X1" s="15"/>
      <c r="Y1" s="15"/>
      <c r="Z1" s="15"/>
      <c r="AA1" s="14"/>
      <c r="AB1" s="14"/>
      <c r="AC1" s="14"/>
      <c r="AD1" s="16"/>
      <c r="AE1" s="15"/>
      <c r="AF1" s="15"/>
      <c r="AG1" s="15"/>
      <c r="AH1" s="14"/>
      <c r="AI1" s="14"/>
      <c r="AJ1" s="16"/>
      <c r="AK1" s="15"/>
      <c r="AL1" s="15"/>
      <c r="AM1" s="14"/>
      <c r="AN1" s="14"/>
      <c r="AO1" s="29"/>
      <c r="AP1" s="28"/>
      <c r="AQ1" s="28"/>
      <c r="AR1" s="28"/>
      <c r="AS1" s="14"/>
      <c r="AT1" s="14"/>
      <c r="AU1" s="16"/>
      <c r="AV1" s="15"/>
      <c r="AW1" s="15"/>
      <c r="AX1" s="14"/>
      <c r="AY1" s="14"/>
      <c r="AZ1" s="29"/>
      <c r="BA1" s="28"/>
      <c r="BB1" s="28"/>
      <c r="BC1" s="28"/>
      <c r="BD1" s="29"/>
      <c r="BE1" s="28"/>
      <c r="BF1" s="28"/>
      <c r="BG1" s="27"/>
      <c r="BH1" s="27"/>
      <c r="BI1" s="29"/>
      <c r="BJ1" s="28"/>
      <c r="BK1" s="28"/>
      <c r="BL1" s="27"/>
      <c r="BM1"/>
      <c r="BN1"/>
      <c r="BO1"/>
      <c r="BP1"/>
      <c r="BQ1"/>
      <c r="BR1"/>
      <c r="BS1"/>
      <c r="BT1"/>
      <c r="BU1"/>
      <c r="BV1"/>
      <c r="BW1"/>
      <c r="BX1"/>
      <c r="BY1"/>
      <c r="BZ1"/>
      <c r="CA1"/>
      <c r="CB1"/>
      <c r="CC1"/>
      <c r="CD1"/>
      <c r="CE1"/>
      <c r="CF1"/>
      <c r="CG1"/>
      <c r="CH1"/>
      <c r="CI1"/>
      <c r="CJ1"/>
    </row>
    <row r="2" spans="1:88" s="32" customFormat="1" ht="15" customHeight="1" x14ac:dyDescent="0.35">
      <c r="A2" s="31"/>
      <c r="B2" s="578" t="s">
        <v>1304</v>
      </c>
      <c r="C2" s="575"/>
      <c r="D2" s="575"/>
      <c r="E2" s="269"/>
      <c r="F2" s="270"/>
      <c r="G2" s="269"/>
      <c r="H2" s="271"/>
      <c r="I2" s="271"/>
      <c r="J2" s="271"/>
      <c r="K2" s="271"/>
      <c r="L2" s="271"/>
      <c r="M2" s="271"/>
      <c r="N2" s="271"/>
      <c r="O2" s="271"/>
      <c r="P2" s="271"/>
      <c r="Q2" s="271"/>
      <c r="R2" s="271"/>
      <c r="S2" s="271"/>
      <c r="T2" s="363"/>
      <c r="U2" s="271"/>
      <c r="V2" s="271"/>
      <c r="W2" s="271"/>
      <c r="X2" s="363"/>
      <c r="Y2" s="271"/>
      <c r="Z2" s="271"/>
      <c r="AA2" s="271"/>
      <c r="AB2" s="363"/>
      <c r="AC2" s="271"/>
      <c r="AD2" s="271"/>
      <c r="AE2" s="271"/>
      <c r="AF2" s="271"/>
      <c r="AG2" s="363"/>
      <c r="AH2" s="271"/>
      <c r="AI2" s="271"/>
      <c r="AJ2" s="271"/>
      <c r="AK2" s="271"/>
      <c r="AL2" s="271"/>
      <c r="AM2" s="271"/>
      <c r="AN2" s="271"/>
      <c r="AO2" s="271"/>
      <c r="AP2" s="271"/>
      <c r="AQ2" s="271"/>
      <c r="AR2" s="363"/>
      <c r="AS2" s="271"/>
      <c r="AT2" s="271"/>
      <c r="AU2" s="271"/>
      <c r="AV2" s="271"/>
      <c r="AW2" s="271"/>
      <c r="AX2" s="271"/>
      <c r="AY2" s="271"/>
      <c r="AZ2" s="271"/>
      <c r="BA2" s="271"/>
      <c r="BB2" s="271"/>
      <c r="BC2" s="363"/>
      <c r="BD2" s="272"/>
      <c r="BE2" s="272"/>
      <c r="BF2" s="271"/>
      <c r="BG2" s="271"/>
      <c r="BH2" s="271"/>
      <c r="BI2" s="271"/>
      <c r="BJ2" s="271"/>
      <c r="BK2" s="271"/>
      <c r="BL2" s="273"/>
      <c r="BM2"/>
      <c r="BN2"/>
      <c r="BO2"/>
      <c r="BP2"/>
      <c r="BQ2"/>
      <c r="BR2"/>
      <c r="BS2"/>
      <c r="BT2"/>
      <c r="BU2"/>
      <c r="BV2"/>
      <c r="BW2"/>
      <c r="BX2"/>
      <c r="BY2"/>
      <c r="BZ2"/>
      <c r="CA2"/>
      <c r="CB2"/>
      <c r="CC2"/>
      <c r="CD2"/>
      <c r="CE2"/>
      <c r="CF2"/>
      <c r="CG2"/>
      <c r="CH2"/>
      <c r="CI2"/>
      <c r="CJ2"/>
    </row>
    <row r="3" spans="1:88" s="277" customFormat="1" ht="35.25" customHeight="1" x14ac:dyDescent="0.35">
      <c r="A3" s="33"/>
      <c r="B3" s="288"/>
      <c r="C3" s="274"/>
      <c r="D3" s="275"/>
      <c r="E3" s="581" t="s">
        <v>4640</v>
      </c>
      <c r="F3" s="584" t="s">
        <v>4641</v>
      </c>
      <c r="G3" s="583" t="s">
        <v>4685</v>
      </c>
      <c r="H3" s="570" t="s">
        <v>4687</v>
      </c>
      <c r="I3" s="580"/>
      <c r="J3" s="580"/>
      <c r="K3" s="580"/>
      <c r="L3" s="580"/>
      <c r="M3" s="580"/>
      <c r="N3" s="580"/>
      <c r="O3" s="580"/>
      <c r="P3" s="580"/>
      <c r="Q3" s="580"/>
      <c r="R3" s="580"/>
      <c r="S3" s="580"/>
      <c r="T3" s="353"/>
      <c r="U3" s="569" t="s">
        <v>4689</v>
      </c>
      <c r="V3" s="580"/>
      <c r="W3" s="580"/>
      <c r="X3" s="354"/>
      <c r="Y3" s="569" t="s">
        <v>4688</v>
      </c>
      <c r="Z3" s="580"/>
      <c r="AA3" s="580"/>
      <c r="AB3" s="354"/>
      <c r="AC3" s="569" t="s">
        <v>4690</v>
      </c>
      <c r="AD3" s="580"/>
      <c r="AE3" s="580"/>
      <c r="AF3" s="580"/>
      <c r="AG3" s="354"/>
      <c r="AH3" s="569" t="s">
        <v>4701</v>
      </c>
      <c r="AI3" s="580"/>
      <c r="AJ3" s="580"/>
      <c r="AK3" s="580"/>
      <c r="AL3" s="580"/>
      <c r="AM3" s="580"/>
      <c r="AN3" s="580"/>
      <c r="AO3" s="580"/>
      <c r="AP3" s="580"/>
      <c r="AQ3" s="580"/>
      <c r="AR3" s="353"/>
      <c r="AS3" s="569" t="s">
        <v>4702</v>
      </c>
      <c r="AT3" s="580"/>
      <c r="AU3" s="580"/>
      <c r="AV3" s="580"/>
      <c r="AW3" s="580"/>
      <c r="AX3" s="580"/>
      <c r="AY3" s="580"/>
      <c r="AZ3" s="580"/>
      <c r="BA3" s="580"/>
      <c r="BB3" s="580"/>
      <c r="BC3" s="353"/>
      <c r="BD3" s="281"/>
      <c r="BE3" s="281"/>
      <c r="BF3" s="582" t="s">
        <v>1299</v>
      </c>
      <c r="BG3" s="580"/>
      <c r="BH3" s="580"/>
      <c r="BI3" s="580"/>
      <c r="BJ3" s="580"/>
      <c r="BK3" s="285"/>
      <c r="BL3" s="289"/>
      <c r="BM3"/>
      <c r="BN3" s="276"/>
      <c r="BO3" s="276"/>
      <c r="BP3" s="276"/>
      <c r="BQ3" s="276"/>
      <c r="BR3" s="276"/>
      <c r="BS3" s="276"/>
      <c r="BT3" s="276"/>
      <c r="BU3" s="276"/>
      <c r="BV3" s="276"/>
      <c r="BW3" s="276"/>
      <c r="BX3" s="276"/>
      <c r="BY3" s="276"/>
      <c r="BZ3" s="276"/>
      <c r="CA3" s="276"/>
      <c r="CB3" s="276"/>
      <c r="CC3" s="276"/>
      <c r="CD3" s="276"/>
      <c r="CE3" s="276"/>
      <c r="CF3" s="276"/>
      <c r="CG3" s="276"/>
      <c r="CH3" s="276"/>
      <c r="CI3" s="276"/>
      <c r="CJ3" s="276"/>
    </row>
    <row r="4" spans="1:88" s="268" customFormat="1" ht="48" customHeight="1" x14ac:dyDescent="0.35">
      <c r="A4" s="150"/>
      <c r="B4" s="160" t="s">
        <v>1</v>
      </c>
      <c r="C4" s="158" t="s">
        <v>0</v>
      </c>
      <c r="D4" s="163" t="s">
        <v>7</v>
      </c>
      <c r="E4" s="581"/>
      <c r="F4" s="584"/>
      <c r="G4" s="583"/>
      <c r="H4" s="249" t="s">
        <v>4673</v>
      </c>
      <c r="I4" s="249" t="s">
        <v>4674</v>
      </c>
      <c r="J4" s="249" t="s">
        <v>4675</v>
      </c>
      <c r="K4" s="249" t="s">
        <v>4676</v>
      </c>
      <c r="L4" s="249" t="s">
        <v>4677</v>
      </c>
      <c r="M4" s="249" t="s">
        <v>4678</v>
      </c>
      <c r="N4" s="249" t="s">
        <v>4679</v>
      </c>
      <c r="O4" s="249" t="s">
        <v>4680</v>
      </c>
      <c r="P4" s="249" t="s">
        <v>4681</v>
      </c>
      <c r="Q4" s="249" t="s">
        <v>4682</v>
      </c>
      <c r="R4" s="249" t="s">
        <v>4683</v>
      </c>
      <c r="S4" s="249" t="s">
        <v>4684</v>
      </c>
      <c r="T4" s="249" t="s">
        <v>1122</v>
      </c>
      <c r="U4" s="266" t="s">
        <v>1295</v>
      </c>
      <c r="V4" s="249" t="s">
        <v>1296</v>
      </c>
      <c r="W4" s="249" t="s">
        <v>4686</v>
      </c>
      <c r="X4" s="264" t="s">
        <v>1122</v>
      </c>
      <c r="Y4" s="266" t="s">
        <v>1295</v>
      </c>
      <c r="Z4" s="249" t="s">
        <v>1296</v>
      </c>
      <c r="AA4" s="249" t="s">
        <v>4686</v>
      </c>
      <c r="AB4" s="264" t="s">
        <v>1122</v>
      </c>
      <c r="AC4" s="266" t="s">
        <v>1291</v>
      </c>
      <c r="AD4" s="249" t="s">
        <v>1292</v>
      </c>
      <c r="AE4" s="249" t="s">
        <v>1293</v>
      </c>
      <c r="AF4" s="249" t="s">
        <v>1294</v>
      </c>
      <c r="AG4" s="264" t="s">
        <v>1122</v>
      </c>
      <c r="AH4" s="266" t="s">
        <v>4691</v>
      </c>
      <c r="AI4" s="249" t="s">
        <v>4692</v>
      </c>
      <c r="AJ4" s="249" t="s">
        <v>4693</v>
      </c>
      <c r="AK4" s="249" t="s">
        <v>4694</v>
      </c>
      <c r="AL4" s="249" t="s">
        <v>4695</v>
      </c>
      <c r="AM4" s="249" t="s">
        <v>4696</v>
      </c>
      <c r="AN4" s="249" t="s">
        <v>4697</v>
      </c>
      <c r="AO4" s="249" t="s">
        <v>4698</v>
      </c>
      <c r="AP4" s="249" t="s">
        <v>4699</v>
      </c>
      <c r="AQ4" s="249" t="s">
        <v>4700</v>
      </c>
      <c r="AR4" s="249" t="s">
        <v>1122</v>
      </c>
      <c r="AS4" s="266" t="s">
        <v>4691</v>
      </c>
      <c r="AT4" s="249" t="s">
        <v>4692</v>
      </c>
      <c r="AU4" s="249" t="s">
        <v>4693</v>
      </c>
      <c r="AV4" s="249" t="s">
        <v>4694</v>
      </c>
      <c r="AW4" s="249" t="s">
        <v>4695</v>
      </c>
      <c r="AX4" s="249" t="s">
        <v>4696</v>
      </c>
      <c r="AY4" s="249" t="s">
        <v>4697</v>
      </c>
      <c r="AZ4" s="249" t="s">
        <v>4698</v>
      </c>
      <c r="BA4" s="249" t="s">
        <v>4699</v>
      </c>
      <c r="BB4" s="249" t="s">
        <v>4700</v>
      </c>
      <c r="BC4" s="249" t="s">
        <v>1122</v>
      </c>
      <c r="BD4" s="158" t="s">
        <v>1297</v>
      </c>
      <c r="BE4" s="158" t="s">
        <v>1298</v>
      </c>
      <c r="BF4" s="164" t="s">
        <v>1300</v>
      </c>
      <c r="BG4" s="159" t="s">
        <v>1301</v>
      </c>
      <c r="BH4" s="159" t="s">
        <v>1302</v>
      </c>
      <c r="BI4" s="159" t="s">
        <v>1303</v>
      </c>
      <c r="BJ4" s="159" t="s">
        <v>1122</v>
      </c>
      <c r="BK4" s="274" t="s">
        <v>1289</v>
      </c>
      <c r="BL4" s="290" t="s">
        <v>1290</v>
      </c>
      <c r="BM4"/>
      <c r="BN4" s="267"/>
      <c r="BO4" s="267"/>
      <c r="BP4" s="267"/>
      <c r="BQ4" s="267"/>
      <c r="BR4" s="267"/>
      <c r="BS4" s="267"/>
      <c r="BT4" s="267"/>
      <c r="BU4" s="267"/>
      <c r="BV4" s="267"/>
      <c r="BW4" s="267"/>
      <c r="BX4" s="267"/>
      <c r="BY4" s="267"/>
      <c r="BZ4" s="267"/>
      <c r="CA4" s="267"/>
      <c r="CB4" s="267"/>
      <c r="CC4" s="267"/>
      <c r="CD4" s="267"/>
      <c r="CE4" s="267"/>
      <c r="CF4" s="267"/>
      <c r="CG4" s="267"/>
      <c r="CH4" s="267"/>
      <c r="CI4" s="267"/>
      <c r="CJ4" s="267"/>
    </row>
    <row r="5" spans="1:88" s="254" customFormat="1" ht="34.5" customHeight="1" x14ac:dyDescent="0.35">
      <c r="A5" s="151"/>
      <c r="B5" s="291"/>
      <c r="C5" s="152"/>
      <c r="D5" s="153"/>
      <c r="E5" s="143" t="str">
        <f>"TOTAL :
"&amp;TEXT(SUM(E6:E1113),"# ###")</f>
        <v>TOTAL :
2 971 063</v>
      </c>
      <c r="F5" s="255" t="str">
        <f>"MOY. PONDÉRÉE :
"&amp;TEXT(SUM(G6:G1113)/SUM(E6:E1113),"#,##")</f>
        <v>MOY. PONDÉRÉE :
2,15</v>
      </c>
      <c r="G5" s="257" t="str">
        <f t="shared" ref="G5:T5" si="0">"TOTAL :
"&amp;TEXT(SUM(G6:G1113),"# ###")</f>
        <v>TOTAL :
6 393 720</v>
      </c>
      <c r="H5" s="256" t="str">
        <f t="shared" si="0"/>
        <v>TOTAL :
108 431</v>
      </c>
      <c r="I5" s="256" t="str">
        <f t="shared" si="0"/>
        <v>TOTAL :
101 693</v>
      </c>
      <c r="J5" s="256" t="str">
        <f t="shared" si="0"/>
        <v>TOTAL :
110 147</v>
      </c>
      <c r="K5" s="256" t="str">
        <f t="shared" si="0"/>
        <v>TOTAL :
105 085</v>
      </c>
      <c r="L5" s="256" t="str">
        <f t="shared" si="0"/>
        <v>TOTAL :
113 406</v>
      </c>
      <c r="M5" s="256" t="str">
        <f t="shared" si="0"/>
        <v>TOTAL :
117 549</v>
      </c>
      <c r="N5" s="256" t="str">
        <f t="shared" si="0"/>
        <v>TOTAL :
130 209</v>
      </c>
      <c r="O5" s="256" t="str">
        <f t="shared" si="0"/>
        <v>TOTAL :
126 836</v>
      </c>
      <c r="P5" s="256" t="str">
        <f t="shared" si="0"/>
        <v>TOTAL :
109 676</v>
      </c>
      <c r="Q5" s="256" t="str">
        <f t="shared" si="0"/>
        <v>TOTAL :
105 342</v>
      </c>
      <c r="R5" s="256" t="str">
        <f t="shared" si="0"/>
        <v>TOTAL :
100 179</v>
      </c>
      <c r="S5" s="256" t="str">
        <f t="shared" si="0"/>
        <v>TOTAL :
104 577</v>
      </c>
      <c r="T5" s="256" t="str">
        <f t="shared" si="0"/>
        <v>TOTAL :
1 333 128</v>
      </c>
      <c r="U5" s="258" t="str">
        <f t="shared" ref="U5" si="1">"TOTAL :
"&amp;TEXT(SUM(U6:U1113),"# ###")</f>
        <v>TOTAL :
1 184 949</v>
      </c>
      <c r="V5" s="256" t="str">
        <f t="shared" ref="V5" si="2">"TOTAL :
"&amp;TEXT(SUM(V6:V1113),"# ###")</f>
        <v>TOTAL :
131 972</v>
      </c>
      <c r="W5" s="256" t="str">
        <f t="shared" ref="W5:AA5" si="3">"TOTAL :
"&amp;TEXT(SUM(W6:W1113),"# ###")</f>
        <v>TOTAL :
16 207</v>
      </c>
      <c r="X5" s="265" t="str">
        <f>"TOTAL :
"&amp;TEXT(SUM(X6:X1113),"# ###")</f>
        <v>TOTAL :
1 333 128</v>
      </c>
      <c r="Y5" s="258" t="str">
        <f t="shared" si="3"/>
        <v>TOTAL :
163</v>
      </c>
      <c r="Z5" s="256" t="str">
        <f t="shared" si="3"/>
        <v>TOTAL :
555</v>
      </c>
      <c r="AA5" s="256" t="str">
        <f t="shared" si="3"/>
        <v>TOTAL :
32</v>
      </c>
      <c r="AB5" s="265" t="str">
        <f t="shared" ref="AB5" si="4">"TOTAL :
"&amp;TEXT(SUM(AB6:AB1113),"# ##0")</f>
        <v>TOTAL :
750</v>
      </c>
      <c r="AC5" s="258" t="str">
        <f t="shared" ref="AC5:AO5" si="5">"TOTAL :
"&amp;TEXT(SUM(AC6:AC1113),"# ##0")</f>
        <v>TOTAL :
605 950</v>
      </c>
      <c r="AD5" s="256" t="str">
        <f t="shared" si="5"/>
        <v>TOTAL :
303 948</v>
      </c>
      <c r="AE5" s="256" t="str">
        <f t="shared" si="5"/>
        <v>TOTAL :
303 836</v>
      </c>
      <c r="AF5" s="256" t="str">
        <f t="shared" si="5"/>
        <v>TOTAL :
119 394</v>
      </c>
      <c r="AG5" s="265" t="str">
        <f t="shared" si="5"/>
        <v>TOTAL :
1 333 128</v>
      </c>
      <c r="AH5" s="258" t="str">
        <f t="shared" si="5"/>
        <v>TOTAL :
566 259</v>
      </c>
      <c r="AI5" s="256" t="str">
        <f t="shared" si="5"/>
        <v>TOTAL :
500 738</v>
      </c>
      <c r="AJ5" s="256" t="str">
        <f t="shared" si="5"/>
        <v>TOTAL :
27 506</v>
      </c>
      <c r="AK5" s="256" t="str">
        <f t="shared" si="5"/>
        <v>TOTAL :
52 847</v>
      </c>
      <c r="AL5" s="256" t="str">
        <f t="shared" si="5"/>
        <v>TOTAL :
5 252</v>
      </c>
      <c r="AM5" s="256" t="str">
        <f t="shared" si="5"/>
        <v>TOTAL :
14 020</v>
      </c>
      <c r="AN5" s="256" t="str">
        <f t="shared" si="5"/>
        <v>TOTAL :
13 040</v>
      </c>
      <c r="AO5" s="256" t="str">
        <f t="shared" si="5"/>
        <v>TOTAL :
5 288</v>
      </c>
      <c r="AP5" s="256" t="str">
        <f>"TOTAL :
"&amp;TEXT(SUM(AP6:AP1113),"# ##0")</f>
        <v>TOTAL :
0</v>
      </c>
      <c r="AQ5" s="256" t="str">
        <f t="shared" ref="AQ5:AR5" si="6">"TOTAL :
"&amp;TEXT(SUM(AQ6:AQ1113),"# ##0")</f>
        <v>TOTAL :
0</v>
      </c>
      <c r="AR5" s="256" t="str">
        <f t="shared" si="6"/>
        <v>TOTAL :
1 184 949</v>
      </c>
      <c r="AS5" s="258" t="str">
        <f t="shared" ref="AS5" si="7">"TOTAL :
"&amp;TEXT(SUM(AS6:AS1113),"# ##0")</f>
        <v>TOTAL :
12 461</v>
      </c>
      <c r="AT5" s="256" t="str">
        <f t="shared" ref="AT5" si="8">"TOTAL :
"&amp;TEXT(SUM(AT6:AT1113),"# ##0")</f>
        <v>TOTAL :
250</v>
      </c>
      <c r="AU5" s="256" t="str">
        <f t="shared" ref="AU5" si="9">"TOTAL :
"&amp;TEXT(SUM(AU6:AU1113),"# ##0")</f>
        <v>TOTAL :
7 476</v>
      </c>
      <c r="AV5" s="256" t="str">
        <f t="shared" ref="AV5" si="10">"TOTAL :
"&amp;TEXT(SUM(AV6:AV1113),"# ##0")</f>
        <v>TOTAL :
567</v>
      </c>
      <c r="AW5" s="256" t="str">
        <f t="shared" ref="AW5" si="11">"TOTAL :
"&amp;TEXT(SUM(AW6:AW1113),"# ##0")</f>
        <v>TOTAL :
4 078</v>
      </c>
      <c r="AX5" s="256" t="str">
        <f t="shared" ref="AX5" si="12">"TOTAL :
"&amp;TEXT(SUM(AX6:AX1113),"# ##0")</f>
        <v>TOTAL :
16 299</v>
      </c>
      <c r="AY5" s="256" t="str">
        <f t="shared" ref="AY5" si="13">"TOTAL :
"&amp;TEXT(SUM(AY6:AY1113),"# ##0")</f>
        <v>TOTAL :
67 960</v>
      </c>
      <c r="AZ5" s="256" t="str">
        <f t="shared" ref="AZ5" si="14">"TOTAL :
"&amp;TEXT(SUM(AZ6:AZ1113),"# ##0")</f>
        <v>TOTAL :
15 484</v>
      </c>
      <c r="BA5" s="256" t="str">
        <f t="shared" ref="BA5" si="15">"TOTAL :
"&amp;TEXT(SUM(BA6:BA1113),"# ##0")</f>
        <v>TOTAL :
22 922</v>
      </c>
      <c r="BB5" s="256" t="str">
        <f t="shared" ref="BB5:BE5" si="16">"TOTAL :
"&amp;TEXT(SUM(BB6:BB1113),"# ##0")</f>
        <v>TOTAL :
682</v>
      </c>
      <c r="BC5" s="256" t="str">
        <f t="shared" si="16"/>
        <v>TOTAL :
148 179</v>
      </c>
      <c r="BD5" s="152" t="str">
        <f t="shared" si="16"/>
        <v>TOTAL :
170 121 372</v>
      </c>
      <c r="BE5" s="152" t="str">
        <f t="shared" si="16"/>
        <v>TOTAL :
134 667 480</v>
      </c>
      <c r="BF5" s="145" t="str">
        <f t="shared" ref="BF5" si="17">"TOTAL :
"&amp;TEXT(SUM(BF6:BF1113),"# ##0")</f>
        <v>TOTAL :
52 155 940</v>
      </c>
      <c r="BG5" s="146" t="str">
        <f t="shared" ref="BG5" si="18">"TOTAL :
"&amp;TEXT(SUM(BG6:BG1113),"# ##0")</f>
        <v>TOTAL :
82 477 253</v>
      </c>
      <c r="BH5" s="146" t="str">
        <f t="shared" ref="BH5" si="19">"TOTAL :
"&amp;TEXT(SUM(BH6:BH1113),"# ##0")</f>
        <v>TOTAL :
39 353 864</v>
      </c>
      <c r="BI5" s="146" t="str">
        <f t="shared" ref="BI5" si="20">"TOTAL :
"&amp;TEXT(SUM(BI6:BI1113),"# ##0")</f>
        <v>TOTAL :
155 169 709</v>
      </c>
      <c r="BJ5" s="146" t="str">
        <f t="shared" ref="BJ5" si="21">"TOTAL :
"&amp;TEXT(SUM(BJ6:BJ1113),"# ##0")</f>
        <v>TOTAL :
328 976 396</v>
      </c>
      <c r="BK5" s="286"/>
      <c r="BL5" s="292"/>
      <c r="BM5"/>
      <c r="BN5" s="253"/>
      <c r="BO5" s="253"/>
      <c r="BP5" s="253"/>
      <c r="BQ5" s="253"/>
      <c r="BR5" s="253"/>
      <c r="BS5" s="253"/>
      <c r="BT5" s="253"/>
      <c r="BU5" s="253"/>
      <c r="BV5" s="253"/>
      <c r="BW5" s="253"/>
      <c r="BX5" s="253"/>
      <c r="BY5" s="253"/>
      <c r="BZ5" s="253"/>
      <c r="CA5" s="253"/>
      <c r="CB5" s="253"/>
      <c r="CC5" s="253"/>
      <c r="CD5" s="253"/>
      <c r="CE5" s="253"/>
      <c r="CF5" s="253"/>
      <c r="CG5" s="253"/>
      <c r="CH5" s="253"/>
      <c r="CI5" s="253"/>
      <c r="CJ5" s="253"/>
    </row>
    <row r="6" spans="1:88" s="32" customFormat="1" ht="15" customHeight="1" x14ac:dyDescent="0.35">
      <c r="A6" s="473"/>
      <c r="B6" s="312">
        <v>46005</v>
      </c>
      <c r="C6" s="13" t="s">
        <v>427</v>
      </c>
      <c r="D6" s="137">
        <v>5</v>
      </c>
      <c r="E6" s="250"/>
      <c r="F6" s="81"/>
      <c r="G6" s="78"/>
      <c r="H6" s="88"/>
      <c r="I6" s="84"/>
      <c r="J6" s="84"/>
      <c r="K6" s="84"/>
      <c r="L6" s="84"/>
      <c r="M6" s="84"/>
      <c r="N6" s="84"/>
      <c r="O6" s="84"/>
      <c r="P6" s="84"/>
      <c r="Q6" s="84"/>
      <c r="R6" s="84"/>
      <c r="S6" s="87"/>
      <c r="T6" s="87" t="s">
        <v>1124</v>
      </c>
      <c r="U6" s="84"/>
      <c r="V6" s="84"/>
      <c r="W6" s="84"/>
      <c r="X6" s="87" t="s">
        <v>1124</v>
      </c>
      <c r="Y6" s="78"/>
      <c r="Z6" s="78"/>
      <c r="AA6" s="93"/>
      <c r="AB6" s="78" t="s">
        <v>1124</v>
      </c>
      <c r="AC6" s="84"/>
      <c r="AD6" s="84"/>
      <c r="AE6" s="84"/>
      <c r="AF6" s="84"/>
      <c r="AG6" s="84" t="s">
        <v>1124</v>
      </c>
      <c r="AH6" s="84"/>
      <c r="AI6" s="84"/>
      <c r="AJ6" s="84"/>
      <c r="AK6" s="84"/>
      <c r="AL6" s="84"/>
      <c r="AM6" s="84"/>
      <c r="AN6" s="84"/>
      <c r="AO6" s="84"/>
      <c r="AP6" s="84"/>
      <c r="AQ6" s="84"/>
      <c r="AR6" s="84" t="s">
        <v>1124</v>
      </c>
      <c r="AS6" s="84"/>
      <c r="AT6" s="84"/>
      <c r="AU6" s="84"/>
      <c r="AV6" s="84"/>
      <c r="AW6" s="84"/>
      <c r="AX6" s="84"/>
      <c r="AY6" s="84"/>
      <c r="AZ6" s="84"/>
      <c r="BA6" s="84"/>
      <c r="BB6" s="87"/>
      <c r="BC6" s="87" t="s">
        <v>1124</v>
      </c>
      <c r="BD6" s="35"/>
      <c r="BE6" s="35"/>
      <c r="BF6" s="278"/>
      <c r="BG6" s="35"/>
      <c r="BH6" s="35"/>
      <c r="BI6" s="35"/>
      <c r="BJ6" s="282"/>
      <c r="BK6" s="287"/>
      <c r="BL6" s="293"/>
      <c r="BM6"/>
      <c r="BN6"/>
      <c r="BO6"/>
      <c r="BP6"/>
      <c r="BQ6"/>
      <c r="BR6"/>
      <c r="BS6"/>
      <c r="BT6"/>
      <c r="BU6"/>
      <c r="BV6"/>
      <c r="BW6"/>
      <c r="BX6"/>
      <c r="BY6"/>
      <c r="BZ6"/>
      <c r="CA6"/>
      <c r="CB6"/>
      <c r="CC6"/>
      <c r="CD6"/>
      <c r="CE6"/>
      <c r="CF6"/>
      <c r="CG6"/>
      <c r="CH6"/>
      <c r="CI6"/>
      <c r="CJ6"/>
    </row>
    <row r="7" spans="1:88" s="32" customFormat="1" ht="15" customHeight="1" x14ac:dyDescent="0.35">
      <c r="A7" s="473"/>
      <c r="B7" s="313">
        <v>48028</v>
      </c>
      <c r="C7" s="8" t="s">
        <v>460</v>
      </c>
      <c r="D7" s="18">
        <v>16</v>
      </c>
      <c r="E7" s="251">
        <v>2445</v>
      </c>
      <c r="F7" s="82">
        <v>2.2319303338171261</v>
      </c>
      <c r="G7" s="79">
        <v>5457.0696661828733</v>
      </c>
      <c r="H7" s="90">
        <v>66.028000000000006</v>
      </c>
      <c r="I7" s="85">
        <v>61.936999999999998</v>
      </c>
      <c r="J7" s="85">
        <v>71.385000000000005</v>
      </c>
      <c r="K7" s="85">
        <v>73.881</v>
      </c>
      <c r="L7" s="85">
        <v>91.956999999999994</v>
      </c>
      <c r="M7" s="85">
        <v>90.218000000000004</v>
      </c>
      <c r="N7" s="85">
        <v>93.373999999999995</v>
      </c>
      <c r="O7" s="85">
        <v>80.578999999999994</v>
      </c>
      <c r="P7" s="85">
        <v>73.444999999999993</v>
      </c>
      <c r="Q7" s="85">
        <v>76.855999999999995</v>
      </c>
      <c r="R7" s="85">
        <v>64.763000000000005</v>
      </c>
      <c r="S7" s="89">
        <v>67.942999999999998</v>
      </c>
      <c r="T7" s="89">
        <v>912.36599999999987</v>
      </c>
      <c r="U7" s="85">
        <v>912.36599999999987</v>
      </c>
      <c r="V7" s="85">
        <v>0</v>
      </c>
      <c r="W7" s="85">
        <v>0</v>
      </c>
      <c r="X7" s="89">
        <v>912.36599999999987</v>
      </c>
      <c r="Y7" s="79">
        <v>1</v>
      </c>
      <c r="Z7" s="79">
        <v>0</v>
      </c>
      <c r="AA7" s="94">
        <v>0</v>
      </c>
      <c r="AB7" s="79">
        <v>1</v>
      </c>
      <c r="AC7" s="85">
        <v>464.55</v>
      </c>
      <c r="AD7" s="85">
        <v>274.38955173469378</v>
      </c>
      <c r="AE7" s="85">
        <v>173.42644826530602</v>
      </c>
      <c r="AF7" s="85">
        <v>0</v>
      </c>
      <c r="AG7" s="85">
        <v>912.36599999999987</v>
      </c>
      <c r="AH7" s="85">
        <v>912.36599999999987</v>
      </c>
      <c r="AI7" s="85">
        <v>0</v>
      </c>
      <c r="AJ7" s="85">
        <v>0</v>
      </c>
      <c r="AK7" s="85">
        <v>0</v>
      </c>
      <c r="AL7" s="85">
        <v>0</v>
      </c>
      <c r="AM7" s="85">
        <v>0</v>
      </c>
      <c r="AN7" s="85">
        <v>0</v>
      </c>
      <c r="AO7" s="85">
        <v>0</v>
      </c>
      <c r="AP7" s="85">
        <v>0</v>
      </c>
      <c r="AQ7" s="85">
        <v>0</v>
      </c>
      <c r="AR7" s="85">
        <v>912.36599999999987</v>
      </c>
      <c r="AS7" s="85">
        <v>0</v>
      </c>
      <c r="AT7" s="85">
        <v>0</v>
      </c>
      <c r="AU7" s="85">
        <v>0</v>
      </c>
      <c r="AV7" s="85">
        <v>0</v>
      </c>
      <c r="AW7" s="85">
        <v>0</v>
      </c>
      <c r="AX7" s="85">
        <v>0</v>
      </c>
      <c r="AY7" s="85">
        <v>0</v>
      </c>
      <c r="AZ7" s="85">
        <v>0</v>
      </c>
      <c r="BA7" s="85">
        <v>0</v>
      </c>
      <c r="BB7" s="89">
        <v>0</v>
      </c>
      <c r="BC7" s="89">
        <v>0</v>
      </c>
      <c r="BD7" s="37">
        <v>6831</v>
      </c>
      <c r="BE7" s="37">
        <v>11465</v>
      </c>
      <c r="BF7" s="279">
        <v>110911</v>
      </c>
      <c r="BG7" s="37">
        <v>289103</v>
      </c>
      <c r="BH7" s="37">
        <v>125158</v>
      </c>
      <c r="BI7" s="37">
        <v>43602</v>
      </c>
      <c r="BJ7" s="283">
        <v>568774</v>
      </c>
      <c r="BK7" s="161"/>
      <c r="BL7" s="294"/>
      <c r="BM7"/>
      <c r="BN7"/>
      <c r="BO7"/>
      <c r="BP7"/>
      <c r="BQ7"/>
      <c r="BR7"/>
      <c r="BS7"/>
      <c r="BT7"/>
      <c r="BU7"/>
      <c r="BV7"/>
      <c r="BW7"/>
      <c r="BX7"/>
      <c r="BY7"/>
      <c r="BZ7"/>
      <c r="CA7"/>
      <c r="CB7"/>
      <c r="CC7"/>
      <c r="CD7"/>
      <c r="CE7"/>
      <c r="CF7"/>
      <c r="CG7"/>
      <c r="CH7"/>
      <c r="CI7"/>
      <c r="CJ7"/>
    </row>
    <row r="8" spans="1:88" s="32" customFormat="1" ht="15" customHeight="1" x14ac:dyDescent="0.35">
      <c r="A8" s="473"/>
      <c r="B8" s="313">
        <v>31056</v>
      </c>
      <c r="C8" s="8" t="s">
        <v>246</v>
      </c>
      <c r="D8" s="18">
        <v>12</v>
      </c>
      <c r="E8" s="251">
        <v>432</v>
      </c>
      <c r="F8" s="82">
        <v>2.0682318415260457</v>
      </c>
      <c r="G8" s="79">
        <v>893.47615553925175</v>
      </c>
      <c r="H8" s="90">
        <v>6.5054999999999996</v>
      </c>
      <c r="I8" s="85">
        <v>5.7164999999999999</v>
      </c>
      <c r="J8" s="85">
        <v>6.4625000000000004</v>
      </c>
      <c r="K8" s="85">
        <v>6.2454999999999998</v>
      </c>
      <c r="L8" s="85">
        <v>7.6955</v>
      </c>
      <c r="M8" s="85">
        <v>6.8845000000000001</v>
      </c>
      <c r="N8" s="85">
        <v>8.1389999999999993</v>
      </c>
      <c r="O8" s="85">
        <v>7.5065</v>
      </c>
      <c r="P8" s="85">
        <v>6.7805</v>
      </c>
      <c r="Q8" s="85">
        <v>7.9024999999999999</v>
      </c>
      <c r="R8" s="85">
        <v>8.6184999999999992</v>
      </c>
      <c r="S8" s="89">
        <v>6.2770000000000001</v>
      </c>
      <c r="T8" s="89">
        <v>84.734000000000009</v>
      </c>
      <c r="U8" s="85">
        <v>0</v>
      </c>
      <c r="V8" s="85">
        <v>84.733999999999995</v>
      </c>
      <c r="W8" s="85">
        <v>0</v>
      </c>
      <c r="X8" s="89">
        <v>84.733999999999995</v>
      </c>
      <c r="Y8" s="79">
        <v>0</v>
      </c>
      <c r="Z8" s="79">
        <v>1</v>
      </c>
      <c r="AA8" s="94">
        <v>0</v>
      </c>
      <c r="AB8" s="79">
        <v>1</v>
      </c>
      <c r="AC8" s="85">
        <v>54.14</v>
      </c>
      <c r="AD8" s="85">
        <v>27.786247397959194</v>
      </c>
      <c r="AE8" s="85">
        <v>2.8077526020408032</v>
      </c>
      <c r="AF8" s="85">
        <v>0</v>
      </c>
      <c r="AG8" s="85">
        <v>84.734000000000009</v>
      </c>
      <c r="AH8" s="85">
        <v>0</v>
      </c>
      <c r="AI8" s="85">
        <v>0</v>
      </c>
      <c r="AJ8" s="85">
        <v>0</v>
      </c>
      <c r="AK8" s="85">
        <v>0</v>
      </c>
      <c r="AL8" s="85">
        <v>0</v>
      </c>
      <c r="AM8" s="85">
        <v>0</v>
      </c>
      <c r="AN8" s="85">
        <v>0</v>
      </c>
      <c r="AO8" s="85">
        <v>0</v>
      </c>
      <c r="AP8" s="85">
        <v>0</v>
      </c>
      <c r="AQ8" s="85">
        <v>0</v>
      </c>
      <c r="AR8" s="85">
        <v>0</v>
      </c>
      <c r="AS8" s="85">
        <v>0</v>
      </c>
      <c r="AT8" s="85">
        <v>0</v>
      </c>
      <c r="AU8" s="85">
        <v>0</v>
      </c>
      <c r="AV8" s="85">
        <v>0</v>
      </c>
      <c r="AW8" s="85">
        <v>0</v>
      </c>
      <c r="AX8" s="85">
        <v>0</v>
      </c>
      <c r="AY8" s="85">
        <v>84.734000000000009</v>
      </c>
      <c r="AZ8" s="85">
        <v>0</v>
      </c>
      <c r="BA8" s="85">
        <v>0</v>
      </c>
      <c r="BB8" s="89">
        <v>0</v>
      </c>
      <c r="BC8" s="89">
        <v>84.734000000000009</v>
      </c>
      <c r="BD8" s="37">
        <v>0</v>
      </c>
      <c r="BE8" s="37">
        <v>107757</v>
      </c>
      <c r="BF8" s="279">
        <v>0</v>
      </c>
      <c r="BG8" s="37">
        <v>0</v>
      </c>
      <c r="BH8" s="37">
        <v>0</v>
      </c>
      <c r="BI8" s="37">
        <v>147812</v>
      </c>
      <c r="BJ8" s="283">
        <v>147812</v>
      </c>
      <c r="BK8" s="161"/>
      <c r="BL8" s="294"/>
      <c r="BM8"/>
      <c r="BN8"/>
      <c r="BO8"/>
      <c r="BP8"/>
      <c r="BQ8"/>
      <c r="BR8"/>
      <c r="BS8"/>
      <c r="BT8"/>
      <c r="BU8"/>
      <c r="BV8"/>
      <c r="BW8"/>
      <c r="BX8"/>
      <c r="BY8"/>
      <c r="BZ8"/>
      <c r="CA8"/>
      <c r="CB8"/>
      <c r="CC8"/>
      <c r="CD8"/>
      <c r="CE8"/>
      <c r="CF8"/>
      <c r="CG8"/>
      <c r="CH8"/>
      <c r="CI8"/>
      <c r="CJ8"/>
    </row>
    <row r="9" spans="1:88" s="32" customFormat="1" ht="15" customHeight="1" x14ac:dyDescent="0.35">
      <c r="A9" s="473"/>
      <c r="B9" s="313">
        <v>98030</v>
      </c>
      <c r="C9" s="8" t="s">
        <v>1013</v>
      </c>
      <c r="D9" s="18">
        <v>9</v>
      </c>
      <c r="E9" s="251"/>
      <c r="F9" s="82"/>
      <c r="G9" s="79"/>
      <c r="H9" s="90"/>
      <c r="I9" s="85"/>
      <c r="J9" s="85"/>
      <c r="K9" s="85"/>
      <c r="L9" s="85"/>
      <c r="M9" s="85"/>
      <c r="N9" s="85"/>
      <c r="O9" s="85"/>
      <c r="P9" s="85"/>
      <c r="Q9" s="85"/>
      <c r="R9" s="85"/>
      <c r="S9" s="89"/>
      <c r="T9" s="89" t="s">
        <v>1124</v>
      </c>
      <c r="U9" s="85"/>
      <c r="V9" s="85"/>
      <c r="W9" s="85"/>
      <c r="X9" s="89" t="s">
        <v>1124</v>
      </c>
      <c r="Y9" s="79"/>
      <c r="Z9" s="79"/>
      <c r="AA9" s="94"/>
      <c r="AB9" s="79" t="s">
        <v>1124</v>
      </c>
      <c r="AC9" s="85"/>
      <c r="AD9" s="85"/>
      <c r="AE9" s="85"/>
      <c r="AF9" s="85"/>
      <c r="AG9" s="85" t="s">
        <v>1124</v>
      </c>
      <c r="AH9" s="85"/>
      <c r="AI9" s="85"/>
      <c r="AJ9" s="85"/>
      <c r="AK9" s="85"/>
      <c r="AL9" s="85"/>
      <c r="AM9" s="85"/>
      <c r="AN9" s="85"/>
      <c r="AO9" s="85"/>
      <c r="AP9" s="85"/>
      <c r="AQ9" s="85"/>
      <c r="AR9" s="85" t="s">
        <v>1124</v>
      </c>
      <c r="AS9" s="85"/>
      <c r="AT9" s="85"/>
      <c r="AU9" s="85"/>
      <c r="AV9" s="85"/>
      <c r="AW9" s="85"/>
      <c r="AX9" s="85"/>
      <c r="AY9" s="85"/>
      <c r="AZ9" s="85"/>
      <c r="BA9" s="85"/>
      <c r="BB9" s="89"/>
      <c r="BC9" s="89" t="s">
        <v>1124</v>
      </c>
      <c r="BD9" s="37"/>
      <c r="BE9" s="37"/>
      <c r="BF9" s="279"/>
      <c r="BG9" s="37"/>
      <c r="BH9" s="37"/>
      <c r="BI9" s="37"/>
      <c r="BJ9" s="283"/>
      <c r="BK9" s="161"/>
      <c r="BL9" s="294"/>
      <c r="BM9"/>
      <c r="BN9"/>
      <c r="BO9"/>
      <c r="BP9"/>
      <c r="BQ9"/>
      <c r="BR9"/>
      <c r="BS9"/>
      <c r="BT9"/>
      <c r="BU9"/>
      <c r="BV9"/>
      <c r="BW9"/>
      <c r="BX9"/>
      <c r="BY9"/>
      <c r="BZ9"/>
      <c r="CA9"/>
      <c r="CB9"/>
      <c r="CC9"/>
      <c r="CD9"/>
      <c r="CE9"/>
      <c r="CF9"/>
      <c r="CG9"/>
      <c r="CH9"/>
      <c r="CI9"/>
      <c r="CJ9"/>
    </row>
    <row r="10" spans="1:88" s="32" customFormat="1" ht="15" customHeight="1" x14ac:dyDescent="0.35">
      <c r="A10" s="473"/>
      <c r="B10" s="313">
        <v>92030</v>
      </c>
      <c r="C10" s="8" t="s">
        <v>950</v>
      </c>
      <c r="D10" s="18">
        <v>2</v>
      </c>
      <c r="E10" s="251">
        <v>509</v>
      </c>
      <c r="F10" s="82">
        <v>2.4714912280701755</v>
      </c>
      <c r="G10" s="79">
        <v>1257.9890350877192</v>
      </c>
      <c r="H10" s="90">
        <v>16.527000000000001</v>
      </c>
      <c r="I10" s="85">
        <v>15.499000000000001</v>
      </c>
      <c r="J10" s="85">
        <v>17.891999999999999</v>
      </c>
      <c r="K10" s="85">
        <v>17.036000000000001</v>
      </c>
      <c r="L10" s="85">
        <v>19.495000000000001</v>
      </c>
      <c r="M10" s="85">
        <v>21.391999999999999</v>
      </c>
      <c r="N10" s="85">
        <v>23.515999999999998</v>
      </c>
      <c r="O10" s="85">
        <v>20.292999999999999</v>
      </c>
      <c r="P10" s="85">
        <v>18.422000000000001</v>
      </c>
      <c r="Q10" s="85">
        <v>18.55</v>
      </c>
      <c r="R10" s="85">
        <v>15.63</v>
      </c>
      <c r="S10" s="89">
        <v>16.108000000000001</v>
      </c>
      <c r="T10" s="89">
        <v>220.36</v>
      </c>
      <c r="U10" s="85">
        <v>220.36</v>
      </c>
      <c r="V10" s="85">
        <v>0</v>
      </c>
      <c r="W10" s="85">
        <v>0</v>
      </c>
      <c r="X10" s="89">
        <v>220.36</v>
      </c>
      <c r="Y10" s="79">
        <v>1</v>
      </c>
      <c r="Z10" s="79">
        <v>0</v>
      </c>
      <c r="AA10" s="94">
        <v>0</v>
      </c>
      <c r="AB10" s="79">
        <v>1</v>
      </c>
      <c r="AC10" s="85">
        <v>141.08199999999999</v>
      </c>
      <c r="AD10" s="85">
        <v>12.192</v>
      </c>
      <c r="AE10" s="85">
        <v>67.085999999999999</v>
      </c>
      <c r="AF10" s="85">
        <v>0</v>
      </c>
      <c r="AG10" s="85">
        <v>220.36</v>
      </c>
      <c r="AH10" s="85">
        <v>0</v>
      </c>
      <c r="AI10" s="85">
        <v>0</v>
      </c>
      <c r="AJ10" s="85">
        <v>0</v>
      </c>
      <c r="AK10" s="85">
        <v>0</v>
      </c>
      <c r="AL10" s="85">
        <v>0</v>
      </c>
      <c r="AM10" s="85">
        <v>220.36</v>
      </c>
      <c r="AN10" s="85">
        <v>0</v>
      </c>
      <c r="AO10" s="85">
        <v>0</v>
      </c>
      <c r="AP10" s="85">
        <v>0</v>
      </c>
      <c r="AQ10" s="85">
        <v>0</v>
      </c>
      <c r="AR10" s="85">
        <v>220.36</v>
      </c>
      <c r="AS10" s="85">
        <v>0</v>
      </c>
      <c r="AT10" s="85">
        <v>0</v>
      </c>
      <c r="AU10" s="85">
        <v>0</v>
      </c>
      <c r="AV10" s="85">
        <v>0</v>
      </c>
      <c r="AW10" s="85">
        <v>0</v>
      </c>
      <c r="AX10" s="85">
        <v>0</v>
      </c>
      <c r="AY10" s="85">
        <v>0</v>
      </c>
      <c r="AZ10" s="85">
        <v>0</v>
      </c>
      <c r="BA10" s="85">
        <v>0</v>
      </c>
      <c r="BB10" s="89">
        <v>0</v>
      </c>
      <c r="BC10" s="89">
        <v>0</v>
      </c>
      <c r="BD10" s="37">
        <v>18632</v>
      </c>
      <c r="BE10" s="37">
        <v>55173</v>
      </c>
      <c r="BF10" s="279">
        <v>19238</v>
      </c>
      <c r="BG10" s="37">
        <v>110472</v>
      </c>
      <c r="BH10" s="37">
        <v>30806</v>
      </c>
      <c r="BI10" s="37">
        <v>40285</v>
      </c>
      <c r="BJ10" s="283">
        <v>200801</v>
      </c>
      <c r="BK10" s="161"/>
      <c r="BL10" s="294"/>
      <c r="BM10"/>
      <c r="BN10"/>
      <c r="BO10"/>
      <c r="BP10"/>
      <c r="BQ10"/>
      <c r="BR10"/>
      <c r="BS10"/>
      <c r="BT10"/>
      <c r="BU10"/>
      <c r="BV10"/>
      <c r="BW10"/>
      <c r="BX10"/>
      <c r="BY10"/>
      <c r="BZ10"/>
      <c r="CA10"/>
      <c r="CB10"/>
      <c r="CC10"/>
      <c r="CD10"/>
      <c r="CE10"/>
      <c r="CF10"/>
      <c r="CG10"/>
      <c r="CH10"/>
      <c r="CI10"/>
      <c r="CJ10"/>
    </row>
    <row r="11" spans="1:88" s="32" customFormat="1" ht="15" customHeight="1" x14ac:dyDescent="0.35">
      <c r="A11" s="473"/>
      <c r="B11" s="313">
        <v>7025</v>
      </c>
      <c r="C11" s="8" t="s">
        <v>1071</v>
      </c>
      <c r="D11" s="18">
        <v>1</v>
      </c>
      <c r="E11" s="251"/>
      <c r="F11" s="82"/>
      <c r="G11" s="79"/>
      <c r="H11" s="90"/>
      <c r="I11" s="85"/>
      <c r="J11" s="85"/>
      <c r="K11" s="85"/>
      <c r="L11" s="85"/>
      <c r="M11" s="85"/>
      <c r="N11" s="85"/>
      <c r="O11" s="85"/>
      <c r="P11" s="85"/>
      <c r="Q11" s="85"/>
      <c r="R11" s="85"/>
      <c r="S11" s="89"/>
      <c r="T11" s="89" t="s">
        <v>1124</v>
      </c>
      <c r="U11" s="85"/>
      <c r="V11" s="85"/>
      <c r="W11" s="85"/>
      <c r="X11" s="89" t="s">
        <v>1124</v>
      </c>
      <c r="Y11" s="79"/>
      <c r="Z11" s="79"/>
      <c r="AA11" s="94"/>
      <c r="AB11" s="79" t="s">
        <v>1124</v>
      </c>
      <c r="AC11" s="85"/>
      <c r="AD11" s="85"/>
      <c r="AE11" s="85"/>
      <c r="AF11" s="85"/>
      <c r="AG11" s="85" t="s">
        <v>1124</v>
      </c>
      <c r="AH11" s="85"/>
      <c r="AI11" s="85"/>
      <c r="AJ11" s="85"/>
      <c r="AK11" s="85"/>
      <c r="AL11" s="85"/>
      <c r="AM11" s="85"/>
      <c r="AN11" s="85"/>
      <c r="AO11" s="85"/>
      <c r="AP11" s="85"/>
      <c r="AQ11" s="85"/>
      <c r="AR11" s="85" t="s">
        <v>1124</v>
      </c>
      <c r="AS11" s="85"/>
      <c r="AT11" s="85"/>
      <c r="AU11" s="85"/>
      <c r="AV11" s="85"/>
      <c r="AW11" s="85"/>
      <c r="AX11" s="85"/>
      <c r="AY11" s="85"/>
      <c r="AZ11" s="85"/>
      <c r="BA11" s="85"/>
      <c r="BB11" s="89"/>
      <c r="BC11" s="89" t="s">
        <v>1124</v>
      </c>
      <c r="BD11" s="37"/>
      <c r="BE11" s="37"/>
      <c r="BF11" s="279"/>
      <c r="BG11" s="37"/>
      <c r="BH11" s="37"/>
      <c r="BI11" s="37"/>
      <c r="BJ11" s="283"/>
      <c r="BK11" s="161"/>
      <c r="BL11" s="294"/>
      <c r="BM11"/>
      <c r="BN11"/>
      <c r="BO11"/>
      <c r="BP11"/>
      <c r="BQ11"/>
      <c r="BR11"/>
      <c r="BS11"/>
      <c r="BT11"/>
      <c r="BU11"/>
      <c r="BV11"/>
      <c r="BW11"/>
      <c r="BX11"/>
      <c r="BY11"/>
      <c r="BZ11"/>
      <c r="CA11"/>
      <c r="CB11"/>
      <c r="CC11"/>
      <c r="CD11"/>
      <c r="CE11"/>
      <c r="CF11"/>
      <c r="CG11"/>
      <c r="CH11"/>
      <c r="CI11"/>
      <c r="CJ11"/>
    </row>
    <row r="12" spans="1:88" s="32" customFormat="1" ht="15" customHeight="1" x14ac:dyDescent="0.35">
      <c r="A12" s="473"/>
      <c r="B12" s="313">
        <v>84050</v>
      </c>
      <c r="C12" s="8" t="s">
        <v>861</v>
      </c>
      <c r="D12" s="18">
        <v>7</v>
      </c>
      <c r="E12" s="251"/>
      <c r="F12" s="82"/>
      <c r="G12" s="79"/>
      <c r="H12" s="90"/>
      <c r="I12" s="85"/>
      <c r="J12" s="85"/>
      <c r="K12" s="85"/>
      <c r="L12" s="85"/>
      <c r="M12" s="85"/>
      <c r="N12" s="85"/>
      <c r="O12" s="85"/>
      <c r="P12" s="85"/>
      <c r="Q12" s="85"/>
      <c r="R12" s="85"/>
      <c r="S12" s="89"/>
      <c r="T12" s="89" t="s">
        <v>1124</v>
      </c>
      <c r="U12" s="85"/>
      <c r="V12" s="85"/>
      <c r="W12" s="85"/>
      <c r="X12" s="89" t="s">
        <v>1124</v>
      </c>
      <c r="Y12" s="79"/>
      <c r="Z12" s="79"/>
      <c r="AA12" s="94"/>
      <c r="AB12" s="79" t="s">
        <v>1124</v>
      </c>
      <c r="AC12" s="85"/>
      <c r="AD12" s="85"/>
      <c r="AE12" s="85"/>
      <c r="AF12" s="85"/>
      <c r="AG12" s="85" t="s">
        <v>1124</v>
      </c>
      <c r="AH12" s="85"/>
      <c r="AI12" s="85"/>
      <c r="AJ12" s="85"/>
      <c r="AK12" s="85"/>
      <c r="AL12" s="85"/>
      <c r="AM12" s="85"/>
      <c r="AN12" s="85"/>
      <c r="AO12" s="85"/>
      <c r="AP12" s="85"/>
      <c r="AQ12" s="85"/>
      <c r="AR12" s="85" t="s">
        <v>1124</v>
      </c>
      <c r="AS12" s="85"/>
      <c r="AT12" s="85"/>
      <c r="AU12" s="85"/>
      <c r="AV12" s="85"/>
      <c r="AW12" s="85"/>
      <c r="AX12" s="85"/>
      <c r="AY12" s="85"/>
      <c r="AZ12" s="85"/>
      <c r="BA12" s="85"/>
      <c r="BB12" s="89"/>
      <c r="BC12" s="89" t="s">
        <v>1124</v>
      </c>
      <c r="BD12" s="37"/>
      <c r="BE12" s="37"/>
      <c r="BF12" s="279"/>
      <c r="BG12" s="37"/>
      <c r="BH12" s="37"/>
      <c r="BI12" s="37"/>
      <c r="BJ12" s="283"/>
      <c r="BK12" s="161"/>
      <c r="BL12" s="294"/>
      <c r="BM12"/>
      <c r="BN12"/>
      <c r="BO12"/>
      <c r="BP12"/>
      <c r="BQ12"/>
      <c r="BR12"/>
      <c r="BS12"/>
      <c r="BT12"/>
      <c r="BU12"/>
      <c r="BV12"/>
      <c r="BW12"/>
      <c r="BX12"/>
      <c r="BY12"/>
      <c r="BZ12"/>
      <c r="CA12"/>
      <c r="CB12"/>
      <c r="CC12"/>
      <c r="CD12"/>
      <c r="CE12"/>
      <c r="CF12"/>
      <c r="CG12"/>
      <c r="CH12"/>
      <c r="CI12"/>
      <c r="CJ12"/>
    </row>
    <row r="13" spans="1:88" s="32" customFormat="1" ht="15" customHeight="1" x14ac:dyDescent="0.35">
      <c r="A13" s="473"/>
      <c r="B13" s="313">
        <v>93042</v>
      </c>
      <c r="C13" s="8" t="s">
        <v>964</v>
      </c>
      <c r="D13" s="18">
        <v>2</v>
      </c>
      <c r="E13" s="251">
        <v>14515</v>
      </c>
      <c r="F13" s="82">
        <v>2.1273604410751208</v>
      </c>
      <c r="G13" s="79">
        <v>30878.636802205379</v>
      </c>
      <c r="H13" s="90">
        <v>365.09300000000002</v>
      </c>
      <c r="I13" s="85">
        <v>335.80200000000002</v>
      </c>
      <c r="J13" s="85">
        <v>365.41300000000001</v>
      </c>
      <c r="K13" s="85">
        <v>352.95</v>
      </c>
      <c r="L13" s="85">
        <v>398.50900000000001</v>
      </c>
      <c r="M13" s="85">
        <v>403.13900000000001</v>
      </c>
      <c r="N13" s="85">
        <v>436.03899999999999</v>
      </c>
      <c r="O13" s="85">
        <v>401.86</v>
      </c>
      <c r="P13" s="85">
        <v>366.07400000000001</v>
      </c>
      <c r="Q13" s="85">
        <v>359.68700000000001</v>
      </c>
      <c r="R13" s="85">
        <v>345.11399999999998</v>
      </c>
      <c r="S13" s="89">
        <v>362.49700000000001</v>
      </c>
      <c r="T13" s="89">
        <v>4492.1769999999997</v>
      </c>
      <c r="U13" s="85">
        <v>4492.1769999999997</v>
      </c>
      <c r="V13" s="85">
        <v>0</v>
      </c>
      <c r="W13" s="85">
        <v>0</v>
      </c>
      <c r="X13" s="89">
        <v>4492.1769999999997</v>
      </c>
      <c r="Y13" s="79">
        <v>1</v>
      </c>
      <c r="Z13" s="79">
        <v>0</v>
      </c>
      <c r="AA13" s="94">
        <v>0</v>
      </c>
      <c r="AB13" s="79">
        <v>1</v>
      </c>
      <c r="AC13" s="85">
        <v>2768.93</v>
      </c>
      <c r="AD13" s="85">
        <v>538.94899999999996</v>
      </c>
      <c r="AE13" s="85">
        <v>1184.298</v>
      </c>
      <c r="AF13" s="85">
        <v>0</v>
      </c>
      <c r="AG13" s="85">
        <v>4492.1769999999997</v>
      </c>
      <c r="AH13" s="85">
        <v>4492.1769999999997</v>
      </c>
      <c r="AI13" s="85">
        <v>0</v>
      </c>
      <c r="AJ13" s="85">
        <v>0</v>
      </c>
      <c r="AK13" s="85">
        <v>0</v>
      </c>
      <c r="AL13" s="85">
        <v>0</v>
      </c>
      <c r="AM13" s="85">
        <v>0</v>
      </c>
      <c r="AN13" s="85">
        <v>0</v>
      </c>
      <c r="AO13" s="85">
        <v>0</v>
      </c>
      <c r="AP13" s="85">
        <v>0</v>
      </c>
      <c r="AQ13" s="85">
        <v>0</v>
      </c>
      <c r="AR13" s="85">
        <v>4492.1769999999997</v>
      </c>
      <c r="AS13" s="85">
        <v>0</v>
      </c>
      <c r="AT13" s="85">
        <v>0</v>
      </c>
      <c r="AU13" s="85">
        <v>0</v>
      </c>
      <c r="AV13" s="85">
        <v>0</v>
      </c>
      <c r="AW13" s="85">
        <v>0</v>
      </c>
      <c r="AX13" s="85">
        <v>0</v>
      </c>
      <c r="AY13" s="85">
        <v>0</v>
      </c>
      <c r="AZ13" s="85">
        <v>0</v>
      </c>
      <c r="BA13" s="85">
        <v>0</v>
      </c>
      <c r="BB13" s="89">
        <v>0</v>
      </c>
      <c r="BC13" s="89">
        <v>0</v>
      </c>
      <c r="BD13" s="37">
        <v>0</v>
      </c>
      <c r="BE13" s="37">
        <v>0</v>
      </c>
      <c r="BF13" s="279">
        <v>276940</v>
      </c>
      <c r="BG13" s="37">
        <v>611220</v>
      </c>
      <c r="BH13" s="37">
        <v>196673</v>
      </c>
      <c r="BI13" s="37">
        <v>0</v>
      </c>
      <c r="BJ13" s="283">
        <v>1084833</v>
      </c>
      <c r="BK13" s="161"/>
      <c r="BL13" s="294"/>
      <c r="BM13"/>
      <c r="BN13"/>
      <c r="BO13"/>
      <c r="BP13"/>
      <c r="BQ13"/>
      <c r="BR13"/>
      <c r="BS13"/>
      <c r="BT13"/>
      <c r="BU13"/>
      <c r="BV13"/>
      <c r="BW13"/>
      <c r="BX13"/>
      <c r="BY13"/>
      <c r="BZ13"/>
      <c r="CA13"/>
      <c r="CB13"/>
      <c r="CC13"/>
      <c r="CD13"/>
      <c r="CE13"/>
      <c r="CF13"/>
      <c r="CG13"/>
      <c r="CH13"/>
      <c r="CI13"/>
      <c r="CJ13"/>
    </row>
    <row r="14" spans="1:88" s="32" customFormat="1" ht="15" customHeight="1" x14ac:dyDescent="0.35">
      <c r="A14" s="473"/>
      <c r="B14" s="313">
        <v>78070</v>
      </c>
      <c r="C14" s="8" t="s">
        <v>777</v>
      </c>
      <c r="D14" s="18">
        <v>15</v>
      </c>
      <c r="E14" s="251">
        <v>210</v>
      </c>
      <c r="F14" s="82">
        <v>2.0428000000000002</v>
      </c>
      <c r="G14" s="79">
        <v>428.98800000000006</v>
      </c>
      <c r="H14" s="90">
        <v>2.9420000000000002</v>
      </c>
      <c r="I14" s="85">
        <v>3.01</v>
      </c>
      <c r="J14" s="85">
        <v>3.0649999999999999</v>
      </c>
      <c r="K14" s="85">
        <v>3.2240000000000002</v>
      </c>
      <c r="L14" s="85">
        <v>3.3010000000000002</v>
      </c>
      <c r="M14" s="85">
        <v>3.351</v>
      </c>
      <c r="N14" s="85">
        <v>3.8849999999999998</v>
      </c>
      <c r="O14" s="85">
        <v>3.6619999999999999</v>
      </c>
      <c r="P14" s="85">
        <v>2.91</v>
      </c>
      <c r="Q14" s="85">
        <v>3.1549999999999998</v>
      </c>
      <c r="R14" s="85">
        <v>3.016</v>
      </c>
      <c r="S14" s="89">
        <v>5.7549999999999999</v>
      </c>
      <c r="T14" s="89">
        <v>41.275999999999996</v>
      </c>
      <c r="U14" s="85">
        <v>0</v>
      </c>
      <c r="V14" s="85">
        <v>0</v>
      </c>
      <c r="W14" s="85">
        <v>41.276000000000003</v>
      </c>
      <c r="X14" s="89">
        <v>41.276000000000003</v>
      </c>
      <c r="Y14" s="79">
        <v>0</v>
      </c>
      <c r="Z14" s="79">
        <v>0</v>
      </c>
      <c r="AA14" s="94">
        <v>1</v>
      </c>
      <c r="AB14" s="79">
        <v>1</v>
      </c>
      <c r="AC14" s="85">
        <v>32.503</v>
      </c>
      <c r="AD14" s="85">
        <v>3.4750000000000014</v>
      </c>
      <c r="AE14" s="85">
        <v>5.298</v>
      </c>
      <c r="AF14" s="85">
        <v>0</v>
      </c>
      <c r="AG14" s="85">
        <v>41.276000000000003</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41.276000000000003</v>
      </c>
      <c r="AZ14" s="85">
        <v>0</v>
      </c>
      <c r="BA14" s="85">
        <v>0</v>
      </c>
      <c r="BB14" s="89">
        <v>0</v>
      </c>
      <c r="BC14" s="89">
        <v>41.276000000000003</v>
      </c>
      <c r="BD14" s="37">
        <v>0</v>
      </c>
      <c r="BE14" s="37">
        <v>0</v>
      </c>
      <c r="BF14" s="279">
        <v>12400</v>
      </c>
      <c r="BG14" s="37">
        <v>19790</v>
      </c>
      <c r="BH14" s="37">
        <v>3540</v>
      </c>
      <c r="BI14" s="37">
        <v>2967</v>
      </c>
      <c r="BJ14" s="283">
        <v>38697</v>
      </c>
      <c r="BK14" s="161"/>
      <c r="BL14" s="294"/>
      <c r="BM14"/>
      <c r="BN14"/>
      <c r="BO14"/>
      <c r="BP14"/>
      <c r="BQ14"/>
      <c r="BR14"/>
      <c r="BS14"/>
      <c r="BT14"/>
      <c r="BU14"/>
      <c r="BV14"/>
      <c r="BW14"/>
      <c r="BX14"/>
      <c r="BY14"/>
      <c r="BZ14"/>
      <c r="CA14"/>
      <c r="CB14"/>
      <c r="CC14"/>
      <c r="CD14"/>
      <c r="CE14"/>
      <c r="CF14"/>
      <c r="CG14"/>
      <c r="CH14"/>
      <c r="CI14"/>
      <c r="CJ14"/>
    </row>
    <row r="15" spans="1:88" s="32" customFormat="1" ht="15" customHeight="1" x14ac:dyDescent="0.35">
      <c r="A15" s="473"/>
      <c r="B15" s="313">
        <v>88055</v>
      </c>
      <c r="C15" s="8" t="s">
        <v>920</v>
      </c>
      <c r="D15" s="18">
        <v>8</v>
      </c>
      <c r="E15" s="251">
        <v>5717</v>
      </c>
      <c r="F15" s="82">
        <v>2.2424926228085402</v>
      </c>
      <c r="G15" s="79">
        <v>12820.330324596425</v>
      </c>
      <c r="H15" s="90">
        <v>200.71100000000001</v>
      </c>
      <c r="I15" s="85">
        <v>189.607</v>
      </c>
      <c r="J15" s="85">
        <v>201.27199999999999</v>
      </c>
      <c r="K15" s="85">
        <v>195.322</v>
      </c>
      <c r="L15" s="85">
        <v>198.72900000000001</v>
      </c>
      <c r="M15" s="85">
        <v>195.54499999999999</v>
      </c>
      <c r="N15" s="85">
        <v>213.23699999999999</v>
      </c>
      <c r="O15" s="85">
        <v>188.922</v>
      </c>
      <c r="P15" s="85">
        <v>176.50399999999999</v>
      </c>
      <c r="Q15" s="85">
        <v>181.941</v>
      </c>
      <c r="R15" s="85">
        <v>172.70599999999999</v>
      </c>
      <c r="S15" s="89">
        <v>181.42099999999999</v>
      </c>
      <c r="T15" s="89">
        <v>2295.9169999999999</v>
      </c>
      <c r="U15" s="85">
        <v>0</v>
      </c>
      <c r="V15" s="85">
        <v>2295.9169999999999</v>
      </c>
      <c r="W15" s="85">
        <v>0</v>
      </c>
      <c r="X15" s="89">
        <v>2295.9169999999999</v>
      </c>
      <c r="Y15" s="79">
        <v>0</v>
      </c>
      <c r="Z15" s="79">
        <v>1</v>
      </c>
      <c r="AA15" s="94">
        <v>0</v>
      </c>
      <c r="AB15" s="79">
        <v>1</v>
      </c>
      <c r="AC15" s="85">
        <v>1274.798</v>
      </c>
      <c r="AD15" s="85">
        <v>787.077</v>
      </c>
      <c r="AE15" s="85">
        <v>185.05799999999999</v>
      </c>
      <c r="AF15" s="85">
        <v>48.996000000000002</v>
      </c>
      <c r="AG15" s="85">
        <v>2295.9290000000001</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2295.9169999999999</v>
      </c>
      <c r="BB15" s="89">
        <v>0</v>
      </c>
      <c r="BC15" s="89">
        <v>2295.9169999999999</v>
      </c>
      <c r="BD15" s="37">
        <v>0</v>
      </c>
      <c r="BE15" s="37">
        <v>0</v>
      </c>
      <c r="BF15" s="279">
        <v>5871</v>
      </c>
      <c r="BG15" s="37">
        <v>25604</v>
      </c>
      <c r="BH15" s="37">
        <v>55415</v>
      </c>
      <c r="BI15" s="37">
        <v>5848</v>
      </c>
      <c r="BJ15" s="283">
        <v>92738</v>
      </c>
      <c r="BK15" s="161"/>
      <c r="BL15" s="294"/>
      <c r="BM15"/>
      <c r="BN15"/>
      <c r="BO15"/>
      <c r="BP15"/>
      <c r="BQ15"/>
      <c r="BR15"/>
      <c r="BS15"/>
      <c r="BT15"/>
      <c r="BU15"/>
      <c r="BV15"/>
      <c r="BW15"/>
      <c r="BX15"/>
      <c r="BY15"/>
      <c r="BZ15"/>
      <c r="CA15"/>
      <c r="CB15"/>
      <c r="CC15"/>
      <c r="CD15"/>
      <c r="CE15"/>
      <c r="CF15"/>
      <c r="CG15"/>
      <c r="CH15"/>
      <c r="CI15"/>
      <c r="CJ15"/>
    </row>
    <row r="16" spans="1:88" s="32" customFormat="1" ht="15" customHeight="1" x14ac:dyDescent="0.35">
      <c r="A16" s="473"/>
      <c r="B16" s="313">
        <v>7047</v>
      </c>
      <c r="C16" s="8" t="s">
        <v>1075</v>
      </c>
      <c r="D16" s="18">
        <v>1</v>
      </c>
      <c r="E16" s="251">
        <v>2317</v>
      </c>
      <c r="F16" s="82">
        <v>2.1836589698046183</v>
      </c>
      <c r="G16" s="79">
        <v>5059.5378330373005</v>
      </c>
      <c r="H16" s="90">
        <v>93.587000000000003</v>
      </c>
      <c r="I16" s="85">
        <v>86.915999999999997</v>
      </c>
      <c r="J16" s="85">
        <v>98.403999999999996</v>
      </c>
      <c r="K16" s="85">
        <v>95.933999999999997</v>
      </c>
      <c r="L16" s="85">
        <v>107.129</v>
      </c>
      <c r="M16" s="85">
        <v>93.37</v>
      </c>
      <c r="N16" s="85">
        <v>108.495</v>
      </c>
      <c r="O16" s="85">
        <v>98.596000000000004</v>
      </c>
      <c r="P16" s="85">
        <v>86.620999999999995</v>
      </c>
      <c r="Q16" s="85">
        <v>87.135999999999996</v>
      </c>
      <c r="R16" s="85">
        <v>81.183000000000007</v>
      </c>
      <c r="S16" s="89">
        <v>112.857</v>
      </c>
      <c r="T16" s="89">
        <v>1150.2280000000001</v>
      </c>
      <c r="U16" s="85">
        <v>0</v>
      </c>
      <c r="V16" s="85">
        <v>1150.2280000000001</v>
      </c>
      <c r="W16" s="85">
        <v>0</v>
      </c>
      <c r="X16" s="89">
        <v>1150.2280000000001</v>
      </c>
      <c r="Y16" s="79">
        <v>0</v>
      </c>
      <c r="Z16" s="79">
        <v>3</v>
      </c>
      <c r="AA16" s="94">
        <v>0</v>
      </c>
      <c r="AB16" s="79">
        <v>3</v>
      </c>
      <c r="AC16" s="85">
        <v>642.14306604913406</v>
      </c>
      <c r="AD16" s="85">
        <v>66.851190685559743</v>
      </c>
      <c r="AE16" s="85">
        <v>441.23374326530626</v>
      </c>
      <c r="AF16" s="85">
        <v>0</v>
      </c>
      <c r="AG16" s="85">
        <v>1150.2280000000001</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1150.2280000000001</v>
      </c>
      <c r="BB16" s="89">
        <v>0</v>
      </c>
      <c r="BC16" s="89">
        <v>1150.2280000000001</v>
      </c>
      <c r="BD16" s="37">
        <v>0</v>
      </c>
      <c r="BE16" s="37">
        <v>0</v>
      </c>
      <c r="BF16" s="279">
        <v>49500</v>
      </c>
      <c r="BG16" s="37">
        <v>26079</v>
      </c>
      <c r="BH16" s="37">
        <v>77300</v>
      </c>
      <c r="BI16" s="37">
        <v>34162</v>
      </c>
      <c r="BJ16" s="283">
        <v>187041</v>
      </c>
      <c r="BK16" s="161"/>
      <c r="BL16" s="294"/>
      <c r="BM16"/>
      <c r="BN16"/>
      <c r="BO16"/>
      <c r="BP16"/>
      <c r="BQ16"/>
      <c r="BR16"/>
      <c r="BS16"/>
      <c r="BT16"/>
      <c r="BU16"/>
      <c r="BV16"/>
      <c r="BW16"/>
      <c r="BX16"/>
      <c r="BY16"/>
      <c r="BZ16"/>
      <c r="CA16"/>
      <c r="CB16"/>
      <c r="CC16"/>
      <c r="CD16"/>
      <c r="CE16"/>
      <c r="CF16"/>
      <c r="CG16"/>
      <c r="CH16"/>
      <c r="CI16"/>
      <c r="CJ16"/>
    </row>
    <row r="17" spans="1:88" s="32" customFormat="1" ht="15" customHeight="1" x14ac:dyDescent="0.35">
      <c r="A17" s="473"/>
      <c r="B17" s="313">
        <v>55008</v>
      </c>
      <c r="C17" s="8" t="s">
        <v>559</v>
      </c>
      <c r="D17" s="18">
        <v>16</v>
      </c>
      <c r="E17" s="251"/>
      <c r="F17" s="82"/>
      <c r="G17" s="79"/>
      <c r="H17" s="90"/>
      <c r="I17" s="85"/>
      <c r="J17" s="85"/>
      <c r="K17" s="85"/>
      <c r="L17" s="85"/>
      <c r="M17" s="85"/>
      <c r="N17" s="85"/>
      <c r="O17" s="85"/>
      <c r="P17" s="85"/>
      <c r="Q17" s="85"/>
      <c r="R17" s="85"/>
      <c r="S17" s="89"/>
      <c r="T17" s="89" t="s">
        <v>1124</v>
      </c>
      <c r="U17" s="85"/>
      <c r="V17" s="85"/>
      <c r="W17" s="85"/>
      <c r="X17" s="89" t="s">
        <v>1124</v>
      </c>
      <c r="Y17" s="79"/>
      <c r="Z17" s="79"/>
      <c r="AA17" s="94"/>
      <c r="AB17" s="79" t="s">
        <v>1124</v>
      </c>
      <c r="AC17" s="85"/>
      <c r="AD17" s="85"/>
      <c r="AE17" s="85"/>
      <c r="AF17" s="85"/>
      <c r="AG17" s="85" t="s">
        <v>1124</v>
      </c>
      <c r="AH17" s="85"/>
      <c r="AI17" s="85"/>
      <c r="AJ17" s="85"/>
      <c r="AK17" s="85"/>
      <c r="AL17" s="85"/>
      <c r="AM17" s="85"/>
      <c r="AN17" s="85"/>
      <c r="AO17" s="85"/>
      <c r="AP17" s="85"/>
      <c r="AQ17" s="85"/>
      <c r="AR17" s="85" t="s">
        <v>1124</v>
      </c>
      <c r="AS17" s="85"/>
      <c r="AT17" s="85"/>
      <c r="AU17" s="85"/>
      <c r="AV17" s="85"/>
      <c r="AW17" s="85"/>
      <c r="AX17" s="85"/>
      <c r="AY17" s="85"/>
      <c r="AZ17" s="85"/>
      <c r="BA17" s="85"/>
      <c r="BB17" s="89"/>
      <c r="BC17" s="89" t="s">
        <v>1124</v>
      </c>
      <c r="BD17" s="37"/>
      <c r="BE17" s="37"/>
      <c r="BF17" s="279"/>
      <c r="BG17" s="37"/>
      <c r="BH17" s="37"/>
      <c r="BI17" s="37"/>
      <c r="BJ17" s="283"/>
      <c r="BK17" s="161"/>
      <c r="BL17" s="294"/>
      <c r="BM17"/>
      <c r="BN17"/>
      <c r="BO17"/>
      <c r="BP17"/>
      <c r="BQ17"/>
      <c r="BR17"/>
      <c r="BS17"/>
      <c r="BT17"/>
      <c r="BU17"/>
      <c r="BV17"/>
      <c r="BW17"/>
      <c r="BX17"/>
      <c r="BY17"/>
      <c r="BZ17"/>
      <c r="CA17"/>
      <c r="CB17"/>
      <c r="CC17"/>
      <c r="CD17"/>
      <c r="CE17"/>
      <c r="CF17"/>
      <c r="CG17"/>
      <c r="CH17"/>
      <c r="CI17"/>
      <c r="CJ17"/>
    </row>
    <row r="18" spans="1:88" s="32" customFormat="1" ht="15" customHeight="1" x14ac:dyDescent="0.35">
      <c r="A18" s="473"/>
      <c r="B18" s="313">
        <v>19037</v>
      </c>
      <c r="C18" s="8" t="s">
        <v>124</v>
      </c>
      <c r="D18" s="18">
        <v>12</v>
      </c>
      <c r="E18" s="251">
        <v>434</v>
      </c>
      <c r="F18" s="82">
        <v>1.9567496723460027</v>
      </c>
      <c r="G18" s="79">
        <v>849.22935779816521</v>
      </c>
      <c r="H18" s="90">
        <v>7.9580000000000002</v>
      </c>
      <c r="I18" s="85">
        <v>7.4749999999999996</v>
      </c>
      <c r="J18" s="85">
        <v>9.6319999999999997</v>
      </c>
      <c r="K18" s="85">
        <v>7.8830000000000009</v>
      </c>
      <c r="L18" s="85">
        <v>8.4670000000000005</v>
      </c>
      <c r="M18" s="85">
        <v>8.7100000000000009</v>
      </c>
      <c r="N18" s="85">
        <v>9.5449999999999999</v>
      </c>
      <c r="O18" s="85">
        <v>8.9589999999999996</v>
      </c>
      <c r="P18" s="85">
        <v>7.8919999999999995</v>
      </c>
      <c r="Q18" s="85">
        <v>7.9770000000000003</v>
      </c>
      <c r="R18" s="85">
        <v>7.5830000000000002</v>
      </c>
      <c r="S18" s="89">
        <v>7.8919999999999995</v>
      </c>
      <c r="T18" s="89">
        <v>99.972999999999999</v>
      </c>
      <c r="U18" s="85">
        <v>0</v>
      </c>
      <c r="V18" s="85">
        <v>99.972999999999999</v>
      </c>
      <c r="W18" s="85">
        <v>0</v>
      </c>
      <c r="X18" s="89">
        <v>99.972999999999999</v>
      </c>
      <c r="Y18" s="79">
        <v>0</v>
      </c>
      <c r="Z18" s="79">
        <v>1</v>
      </c>
      <c r="AA18" s="94">
        <v>0</v>
      </c>
      <c r="AB18" s="79">
        <v>1</v>
      </c>
      <c r="AC18" s="85">
        <v>69.853107221006567</v>
      </c>
      <c r="AD18" s="85">
        <v>7.2318927789934264</v>
      </c>
      <c r="AE18" s="85">
        <v>22.888000000000002</v>
      </c>
      <c r="AF18" s="85">
        <v>0</v>
      </c>
      <c r="AG18" s="85">
        <v>99.972999999999999</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99.972999999999999</v>
      </c>
      <c r="AY18" s="85">
        <v>0</v>
      </c>
      <c r="AZ18" s="85">
        <v>0</v>
      </c>
      <c r="BA18" s="85">
        <v>0</v>
      </c>
      <c r="BB18" s="89">
        <v>0</v>
      </c>
      <c r="BC18" s="89">
        <v>99.972999999999999</v>
      </c>
      <c r="BD18" s="37">
        <v>0</v>
      </c>
      <c r="BE18" s="37">
        <v>0</v>
      </c>
      <c r="BF18" s="279">
        <v>0</v>
      </c>
      <c r="BG18" s="37">
        <v>0</v>
      </c>
      <c r="BH18" s="37">
        <v>0</v>
      </c>
      <c r="BI18" s="37">
        <v>35520</v>
      </c>
      <c r="BJ18" s="283">
        <v>35520</v>
      </c>
      <c r="BK18" s="161"/>
      <c r="BL18" s="294"/>
      <c r="BM18"/>
      <c r="BN18"/>
      <c r="BO18"/>
      <c r="BP18"/>
      <c r="BQ18"/>
      <c r="BR18"/>
      <c r="BS18"/>
      <c r="BT18"/>
      <c r="BU18"/>
      <c r="BV18"/>
      <c r="BW18"/>
      <c r="BX18"/>
      <c r="BY18"/>
      <c r="BZ18"/>
      <c r="CA18"/>
      <c r="CB18"/>
      <c r="CC18"/>
      <c r="CD18"/>
      <c r="CE18"/>
      <c r="CF18"/>
      <c r="CG18"/>
      <c r="CH18"/>
      <c r="CI18"/>
      <c r="CJ18"/>
    </row>
    <row r="19" spans="1:88" s="32" customFormat="1" ht="15" customHeight="1" x14ac:dyDescent="0.35">
      <c r="A19" s="473"/>
      <c r="B19" s="313">
        <v>78060</v>
      </c>
      <c r="C19" s="8" t="s">
        <v>775</v>
      </c>
      <c r="D19" s="18">
        <v>15</v>
      </c>
      <c r="E19" s="251"/>
      <c r="F19" s="82"/>
      <c r="G19" s="79"/>
      <c r="H19" s="90"/>
      <c r="I19" s="85"/>
      <c r="J19" s="85"/>
      <c r="K19" s="85"/>
      <c r="L19" s="85"/>
      <c r="M19" s="85"/>
      <c r="N19" s="85"/>
      <c r="O19" s="85"/>
      <c r="P19" s="85"/>
      <c r="Q19" s="85"/>
      <c r="R19" s="85"/>
      <c r="S19" s="89"/>
      <c r="T19" s="89" t="s">
        <v>1124</v>
      </c>
      <c r="U19" s="85"/>
      <c r="V19" s="85"/>
      <c r="W19" s="85"/>
      <c r="X19" s="89" t="s">
        <v>1124</v>
      </c>
      <c r="Y19" s="79"/>
      <c r="Z19" s="79"/>
      <c r="AA19" s="94"/>
      <c r="AB19" s="79" t="s">
        <v>1124</v>
      </c>
      <c r="AC19" s="85"/>
      <c r="AD19" s="85"/>
      <c r="AE19" s="85"/>
      <c r="AF19" s="85"/>
      <c r="AG19" s="85" t="s">
        <v>1124</v>
      </c>
      <c r="AH19" s="85"/>
      <c r="AI19" s="85"/>
      <c r="AJ19" s="85"/>
      <c r="AK19" s="85"/>
      <c r="AL19" s="85"/>
      <c r="AM19" s="85"/>
      <c r="AN19" s="85"/>
      <c r="AO19" s="85"/>
      <c r="AP19" s="85"/>
      <c r="AQ19" s="85"/>
      <c r="AR19" s="85" t="s">
        <v>1124</v>
      </c>
      <c r="AS19" s="85"/>
      <c r="AT19" s="85"/>
      <c r="AU19" s="85"/>
      <c r="AV19" s="85"/>
      <c r="AW19" s="85"/>
      <c r="AX19" s="85"/>
      <c r="AY19" s="85"/>
      <c r="AZ19" s="85"/>
      <c r="BA19" s="85"/>
      <c r="BB19" s="89"/>
      <c r="BC19" s="89" t="s">
        <v>1124</v>
      </c>
      <c r="BD19" s="37"/>
      <c r="BE19" s="37"/>
      <c r="BF19" s="279"/>
      <c r="BG19" s="37"/>
      <c r="BH19" s="37"/>
      <c r="BI19" s="37"/>
      <c r="BJ19" s="283"/>
      <c r="BK19" s="161"/>
      <c r="BL19" s="294"/>
      <c r="BM19"/>
      <c r="BN19"/>
      <c r="BO19"/>
      <c r="BP19"/>
      <c r="BQ19"/>
      <c r="BR19"/>
      <c r="BS19"/>
      <c r="BT19"/>
      <c r="BU19"/>
      <c r="BV19"/>
      <c r="BW19"/>
      <c r="BX19"/>
      <c r="BY19"/>
      <c r="BZ19"/>
      <c r="CA19"/>
      <c r="CB19"/>
      <c r="CC19"/>
      <c r="CD19"/>
      <c r="CE19"/>
      <c r="CF19"/>
      <c r="CG19"/>
      <c r="CH19"/>
      <c r="CI19"/>
      <c r="CJ19"/>
    </row>
    <row r="20" spans="1:88" s="32" customFormat="1" ht="15" customHeight="1" x14ac:dyDescent="0.35">
      <c r="A20" s="473"/>
      <c r="B20" s="313">
        <v>40043</v>
      </c>
      <c r="C20" s="8" t="s">
        <v>363</v>
      </c>
      <c r="D20" s="18">
        <v>5</v>
      </c>
      <c r="E20" s="251">
        <v>3377</v>
      </c>
      <c r="F20" s="82">
        <v>1.8830364058327529</v>
      </c>
      <c r="G20" s="79">
        <v>6359.0139424972067</v>
      </c>
      <c r="H20" s="90">
        <v>105.39700000000001</v>
      </c>
      <c r="I20" s="85">
        <v>95.484999999999999</v>
      </c>
      <c r="J20" s="85">
        <v>107.53700000000001</v>
      </c>
      <c r="K20" s="85">
        <v>95.796000000000006</v>
      </c>
      <c r="L20" s="85">
        <v>106.05500000000001</v>
      </c>
      <c r="M20" s="85">
        <v>138.53399999999999</v>
      </c>
      <c r="N20" s="85">
        <v>108.32</v>
      </c>
      <c r="O20" s="85">
        <v>116.422</v>
      </c>
      <c r="P20" s="85">
        <v>97.823999999999998</v>
      </c>
      <c r="Q20" s="85">
        <v>132.994</v>
      </c>
      <c r="R20" s="85">
        <v>93.284999999999997</v>
      </c>
      <c r="S20" s="89">
        <v>93.566000000000003</v>
      </c>
      <c r="T20" s="89">
        <v>1291.2150000000001</v>
      </c>
      <c r="U20" s="85">
        <v>1291.2150000000001</v>
      </c>
      <c r="V20" s="85">
        <v>0</v>
      </c>
      <c r="W20" s="85">
        <v>0</v>
      </c>
      <c r="X20" s="89">
        <v>1291.2150000000001</v>
      </c>
      <c r="Y20" s="79">
        <v>1</v>
      </c>
      <c r="Z20" s="79">
        <v>0</v>
      </c>
      <c r="AA20" s="94">
        <v>0</v>
      </c>
      <c r="AB20" s="79">
        <v>1</v>
      </c>
      <c r="AC20" s="85">
        <v>764.41685626911317</v>
      </c>
      <c r="AD20" s="85">
        <v>69.167368730887119</v>
      </c>
      <c r="AE20" s="85">
        <v>457.63077499999986</v>
      </c>
      <c r="AF20" s="85">
        <v>0</v>
      </c>
      <c r="AG20" s="85">
        <v>1291.2150000000001</v>
      </c>
      <c r="AH20" s="85">
        <v>1291.2150000000001</v>
      </c>
      <c r="AI20" s="85">
        <v>0</v>
      </c>
      <c r="AJ20" s="85">
        <v>0</v>
      </c>
      <c r="AK20" s="85">
        <v>0</v>
      </c>
      <c r="AL20" s="85">
        <v>0</v>
      </c>
      <c r="AM20" s="85">
        <v>0</v>
      </c>
      <c r="AN20" s="85">
        <v>0</v>
      </c>
      <c r="AO20" s="85">
        <v>0</v>
      </c>
      <c r="AP20" s="85">
        <v>0</v>
      </c>
      <c r="AQ20" s="85">
        <v>0</v>
      </c>
      <c r="AR20" s="85">
        <v>1291.2150000000001</v>
      </c>
      <c r="AS20" s="85">
        <v>0</v>
      </c>
      <c r="AT20" s="85">
        <v>0</v>
      </c>
      <c r="AU20" s="85">
        <v>0</v>
      </c>
      <c r="AV20" s="85">
        <v>0</v>
      </c>
      <c r="AW20" s="85">
        <v>0</v>
      </c>
      <c r="AX20" s="85">
        <v>0</v>
      </c>
      <c r="AY20" s="85">
        <v>0</v>
      </c>
      <c r="AZ20" s="85">
        <v>0</v>
      </c>
      <c r="BA20" s="85">
        <v>0</v>
      </c>
      <c r="BB20" s="89">
        <v>0</v>
      </c>
      <c r="BC20" s="89">
        <v>0</v>
      </c>
      <c r="BD20" s="37">
        <v>0</v>
      </c>
      <c r="BE20" s="37">
        <v>0</v>
      </c>
      <c r="BF20" s="279">
        <v>169152</v>
      </c>
      <c r="BG20" s="37">
        <v>288142</v>
      </c>
      <c r="BH20" s="37">
        <v>138947</v>
      </c>
      <c r="BI20" s="37">
        <v>0</v>
      </c>
      <c r="BJ20" s="283">
        <v>596241</v>
      </c>
      <c r="BK20" s="161" t="s">
        <v>1384</v>
      </c>
      <c r="BL20" s="294"/>
      <c r="BM20"/>
      <c r="BN20"/>
      <c r="BO20"/>
      <c r="BP20"/>
      <c r="BQ20"/>
      <c r="BR20"/>
      <c r="BS20"/>
      <c r="BT20"/>
      <c r="BU20"/>
      <c r="BV20"/>
      <c r="BW20"/>
      <c r="BX20"/>
      <c r="BY20"/>
      <c r="BZ20"/>
      <c r="CA20"/>
      <c r="CB20"/>
      <c r="CC20"/>
      <c r="CD20"/>
      <c r="CE20"/>
      <c r="CF20"/>
      <c r="CG20"/>
      <c r="CH20"/>
      <c r="CI20"/>
      <c r="CJ20"/>
    </row>
    <row r="21" spans="1:88" s="32" customFormat="1" ht="15" customHeight="1" x14ac:dyDescent="0.35">
      <c r="A21" s="473"/>
      <c r="B21" s="313">
        <v>41055</v>
      </c>
      <c r="C21" s="8" t="s">
        <v>370</v>
      </c>
      <c r="D21" s="18">
        <v>5</v>
      </c>
      <c r="E21" s="251">
        <v>290</v>
      </c>
      <c r="F21" s="82">
        <v>2.5970873786407767</v>
      </c>
      <c r="G21" s="79">
        <v>753.15533980582518</v>
      </c>
      <c r="H21" s="90">
        <v>8.3260000000000005</v>
      </c>
      <c r="I21" s="85">
        <v>8.5030000000000001</v>
      </c>
      <c r="J21" s="85">
        <v>7.8849999999999998</v>
      </c>
      <c r="K21" s="85">
        <v>7.7409999999999997</v>
      </c>
      <c r="L21" s="85">
        <v>8.4190000000000005</v>
      </c>
      <c r="M21" s="85">
        <v>8.0310000000000006</v>
      </c>
      <c r="N21" s="85">
        <v>11.786</v>
      </c>
      <c r="O21" s="85">
        <v>10.428000000000001</v>
      </c>
      <c r="P21" s="85">
        <v>8.6489999999999991</v>
      </c>
      <c r="Q21" s="85">
        <v>8.3460000000000001</v>
      </c>
      <c r="R21" s="85">
        <v>7.8959999999999999</v>
      </c>
      <c r="S21" s="89">
        <v>8.3569999999999993</v>
      </c>
      <c r="T21" s="89">
        <v>104.367</v>
      </c>
      <c r="U21" s="85">
        <v>0</v>
      </c>
      <c r="V21" s="85">
        <v>104.367</v>
      </c>
      <c r="W21" s="85">
        <v>0</v>
      </c>
      <c r="X21" s="89">
        <v>104.367</v>
      </c>
      <c r="Y21" s="79">
        <v>0</v>
      </c>
      <c r="Z21" s="79">
        <v>1</v>
      </c>
      <c r="AA21" s="94">
        <v>0</v>
      </c>
      <c r="AB21" s="79">
        <v>1</v>
      </c>
      <c r="AC21" s="85">
        <v>54.654669910472073</v>
      </c>
      <c r="AD21" s="85">
        <v>14.11694608952795</v>
      </c>
      <c r="AE21" s="85">
        <v>35.595383999999981</v>
      </c>
      <c r="AF21" s="85">
        <v>0</v>
      </c>
      <c r="AG21" s="85">
        <v>104.367</v>
      </c>
      <c r="AH21" s="85">
        <v>0</v>
      </c>
      <c r="AI21" s="85">
        <v>0</v>
      </c>
      <c r="AJ21" s="85">
        <v>0</v>
      </c>
      <c r="AK21" s="85">
        <v>0</v>
      </c>
      <c r="AL21" s="85">
        <v>0</v>
      </c>
      <c r="AM21" s="85">
        <v>0</v>
      </c>
      <c r="AN21" s="85">
        <v>0</v>
      </c>
      <c r="AO21" s="85">
        <v>0</v>
      </c>
      <c r="AP21" s="85">
        <v>0</v>
      </c>
      <c r="AQ21" s="85">
        <v>0</v>
      </c>
      <c r="AR21" s="85">
        <v>0</v>
      </c>
      <c r="AS21" s="85">
        <v>0</v>
      </c>
      <c r="AT21" s="85">
        <v>0</v>
      </c>
      <c r="AU21" s="85">
        <v>104.367</v>
      </c>
      <c r="AV21" s="85">
        <v>0</v>
      </c>
      <c r="AW21" s="85">
        <v>0</v>
      </c>
      <c r="AX21" s="85">
        <v>0</v>
      </c>
      <c r="AY21" s="85">
        <v>0</v>
      </c>
      <c r="AZ21" s="85">
        <v>0</v>
      </c>
      <c r="BA21" s="85">
        <v>0</v>
      </c>
      <c r="BB21" s="89">
        <v>0</v>
      </c>
      <c r="BC21" s="89">
        <v>104.367</v>
      </c>
      <c r="BD21" s="37">
        <v>0</v>
      </c>
      <c r="BE21" s="37">
        <v>0</v>
      </c>
      <c r="BF21" s="279">
        <v>4708</v>
      </c>
      <c r="BG21" s="37">
        <v>33192</v>
      </c>
      <c r="BH21" s="37">
        <v>13754</v>
      </c>
      <c r="BI21" s="37">
        <v>57723</v>
      </c>
      <c r="BJ21" s="283">
        <v>109377</v>
      </c>
      <c r="BK21" s="161"/>
      <c r="BL21" s="294"/>
      <c r="BM21"/>
      <c r="BN21"/>
      <c r="BO21"/>
      <c r="BP21"/>
      <c r="BQ21"/>
      <c r="BR21"/>
      <c r="BS21"/>
      <c r="BT21"/>
      <c r="BU21"/>
      <c r="BV21"/>
      <c r="BW21"/>
      <c r="BX21"/>
      <c r="BY21"/>
      <c r="BZ21"/>
      <c r="CA21"/>
      <c r="CB21"/>
      <c r="CC21"/>
      <c r="CD21"/>
      <c r="CE21"/>
      <c r="CF21"/>
      <c r="CG21"/>
      <c r="CH21"/>
      <c r="CI21"/>
      <c r="CJ21"/>
    </row>
    <row r="22" spans="1:88" s="32" customFormat="1" ht="15" customHeight="1" x14ac:dyDescent="0.35">
      <c r="A22" s="473"/>
      <c r="B22" s="313">
        <v>50013</v>
      </c>
      <c r="C22" s="8" t="s">
        <v>483</v>
      </c>
      <c r="D22" s="18">
        <v>17</v>
      </c>
      <c r="E22" s="251"/>
      <c r="F22" s="82"/>
      <c r="G22" s="79"/>
      <c r="H22" s="90"/>
      <c r="I22" s="85"/>
      <c r="J22" s="85"/>
      <c r="K22" s="85"/>
      <c r="L22" s="85"/>
      <c r="M22" s="85"/>
      <c r="N22" s="85"/>
      <c r="O22" s="85"/>
      <c r="P22" s="85"/>
      <c r="Q22" s="85"/>
      <c r="R22" s="85"/>
      <c r="S22" s="89"/>
      <c r="T22" s="89" t="s">
        <v>1124</v>
      </c>
      <c r="U22" s="85"/>
      <c r="V22" s="85"/>
      <c r="W22" s="85"/>
      <c r="X22" s="89" t="s">
        <v>1124</v>
      </c>
      <c r="Y22" s="79"/>
      <c r="Z22" s="79"/>
      <c r="AA22" s="94"/>
      <c r="AB22" s="79" t="s">
        <v>1124</v>
      </c>
      <c r="AC22" s="85"/>
      <c r="AD22" s="85"/>
      <c r="AE22" s="85"/>
      <c r="AF22" s="85"/>
      <c r="AG22" s="85" t="s">
        <v>1124</v>
      </c>
      <c r="AH22" s="85"/>
      <c r="AI22" s="85"/>
      <c r="AJ22" s="85"/>
      <c r="AK22" s="85"/>
      <c r="AL22" s="85"/>
      <c r="AM22" s="85"/>
      <c r="AN22" s="85"/>
      <c r="AO22" s="85"/>
      <c r="AP22" s="85"/>
      <c r="AQ22" s="85"/>
      <c r="AR22" s="85" t="s">
        <v>1124</v>
      </c>
      <c r="AS22" s="85"/>
      <c r="AT22" s="85"/>
      <c r="AU22" s="85"/>
      <c r="AV22" s="85"/>
      <c r="AW22" s="85"/>
      <c r="AX22" s="85"/>
      <c r="AY22" s="85"/>
      <c r="AZ22" s="85"/>
      <c r="BA22" s="85"/>
      <c r="BB22" s="89"/>
      <c r="BC22" s="89" t="s">
        <v>1124</v>
      </c>
      <c r="BD22" s="37"/>
      <c r="BE22" s="37"/>
      <c r="BF22" s="279"/>
      <c r="BG22" s="37"/>
      <c r="BH22" s="37"/>
      <c r="BI22" s="37"/>
      <c r="BJ22" s="283"/>
      <c r="BK22" s="161"/>
      <c r="BL22" s="294"/>
      <c r="BM22"/>
      <c r="BN22"/>
      <c r="BO22"/>
      <c r="BP22"/>
      <c r="BQ22"/>
      <c r="BR22"/>
      <c r="BS22"/>
      <c r="BT22"/>
      <c r="BU22"/>
      <c r="BV22"/>
      <c r="BW22"/>
      <c r="BX22"/>
      <c r="BY22"/>
      <c r="BZ22"/>
      <c r="CA22"/>
      <c r="CB22"/>
      <c r="CC22"/>
      <c r="CD22"/>
      <c r="CE22"/>
      <c r="CF22"/>
      <c r="CG22"/>
      <c r="CH22"/>
      <c r="CI22"/>
      <c r="CJ22"/>
    </row>
    <row r="23" spans="1:88" s="32" customFormat="1" ht="15" customHeight="1" x14ac:dyDescent="0.35">
      <c r="A23" s="473"/>
      <c r="B23" s="313">
        <v>13045</v>
      </c>
      <c r="C23" s="8" t="s">
        <v>48</v>
      </c>
      <c r="D23" s="18">
        <v>1</v>
      </c>
      <c r="E23" s="251"/>
      <c r="F23" s="82"/>
      <c r="G23" s="79"/>
      <c r="H23" s="90"/>
      <c r="I23" s="85"/>
      <c r="J23" s="85"/>
      <c r="K23" s="85"/>
      <c r="L23" s="85"/>
      <c r="M23" s="85"/>
      <c r="N23" s="85"/>
      <c r="O23" s="85"/>
      <c r="P23" s="85"/>
      <c r="Q23" s="85"/>
      <c r="R23" s="85"/>
      <c r="S23" s="89"/>
      <c r="T23" s="89" t="s">
        <v>1124</v>
      </c>
      <c r="U23" s="85"/>
      <c r="V23" s="85"/>
      <c r="W23" s="85"/>
      <c r="X23" s="89" t="s">
        <v>1124</v>
      </c>
      <c r="Y23" s="79"/>
      <c r="Z23" s="79"/>
      <c r="AA23" s="94"/>
      <c r="AB23" s="79" t="s">
        <v>1124</v>
      </c>
      <c r="AC23" s="85"/>
      <c r="AD23" s="85"/>
      <c r="AE23" s="85"/>
      <c r="AF23" s="85"/>
      <c r="AG23" s="85" t="s">
        <v>1124</v>
      </c>
      <c r="AH23" s="85"/>
      <c r="AI23" s="85"/>
      <c r="AJ23" s="85"/>
      <c r="AK23" s="85"/>
      <c r="AL23" s="85"/>
      <c r="AM23" s="85"/>
      <c r="AN23" s="85"/>
      <c r="AO23" s="85"/>
      <c r="AP23" s="85"/>
      <c r="AQ23" s="85"/>
      <c r="AR23" s="85" t="s">
        <v>1124</v>
      </c>
      <c r="AS23" s="85"/>
      <c r="AT23" s="85"/>
      <c r="AU23" s="85"/>
      <c r="AV23" s="85"/>
      <c r="AW23" s="85"/>
      <c r="AX23" s="85"/>
      <c r="AY23" s="85"/>
      <c r="AZ23" s="85"/>
      <c r="BA23" s="85"/>
      <c r="BB23" s="89"/>
      <c r="BC23" s="89" t="s">
        <v>1124</v>
      </c>
      <c r="BD23" s="37"/>
      <c r="BE23" s="37"/>
      <c r="BF23" s="279"/>
      <c r="BG23" s="37"/>
      <c r="BH23" s="37"/>
      <c r="BI23" s="37"/>
      <c r="BJ23" s="283"/>
      <c r="BK23" s="161"/>
      <c r="BL23" s="294"/>
      <c r="BM23"/>
      <c r="BN23"/>
      <c r="BO23"/>
      <c r="BP23"/>
      <c r="BQ23"/>
      <c r="BR23"/>
      <c r="BS23"/>
      <c r="BT23"/>
      <c r="BU23"/>
      <c r="BV23"/>
      <c r="BW23"/>
      <c r="BX23"/>
      <c r="BY23"/>
      <c r="BZ23"/>
      <c r="CA23"/>
      <c r="CB23"/>
      <c r="CC23"/>
      <c r="CD23"/>
      <c r="CE23"/>
      <c r="CF23"/>
      <c r="CG23"/>
      <c r="CH23"/>
      <c r="CI23"/>
      <c r="CJ23"/>
    </row>
    <row r="24" spans="1:88" s="32" customFormat="1" ht="15" customHeight="1" x14ac:dyDescent="0.35">
      <c r="A24" s="473"/>
      <c r="B24" s="313">
        <v>30055</v>
      </c>
      <c r="C24" s="8" t="s">
        <v>227</v>
      </c>
      <c r="D24" s="18">
        <v>5</v>
      </c>
      <c r="E24" s="251">
        <v>117</v>
      </c>
      <c r="F24" s="82">
        <v>2.6620689655172414</v>
      </c>
      <c r="G24" s="79">
        <v>311.46206896551723</v>
      </c>
      <c r="H24" s="90">
        <v>2.4234</v>
      </c>
      <c r="I24" s="85">
        <v>2.9295</v>
      </c>
      <c r="J24" s="85">
        <v>1.8535999999999999</v>
      </c>
      <c r="K24" s="85">
        <v>1.5255699999999999</v>
      </c>
      <c r="L24" s="85">
        <v>1.7564000000000002</v>
      </c>
      <c r="M24" s="85">
        <v>2.0728</v>
      </c>
      <c r="N24" s="85">
        <v>1.7856500000000002</v>
      </c>
      <c r="O24" s="85">
        <v>1.7944</v>
      </c>
      <c r="P24" s="85">
        <v>1.8374000000000001</v>
      </c>
      <c r="Q24" s="85">
        <v>1.6334000000000002</v>
      </c>
      <c r="R24" s="85">
        <v>1.819</v>
      </c>
      <c r="S24" s="89">
        <v>1.7934000000000001</v>
      </c>
      <c r="T24" s="89">
        <v>23.224519999999998</v>
      </c>
      <c r="U24" s="85">
        <v>0</v>
      </c>
      <c r="V24" s="85">
        <v>0</v>
      </c>
      <c r="W24" s="85">
        <v>23.224519999999998</v>
      </c>
      <c r="X24" s="89">
        <v>23.224519999999998</v>
      </c>
      <c r="Y24" s="79">
        <v>0</v>
      </c>
      <c r="Z24" s="79">
        <v>0</v>
      </c>
      <c r="AA24" s="94">
        <v>1</v>
      </c>
      <c r="AB24" s="79">
        <v>1</v>
      </c>
      <c r="AC24" s="85">
        <v>12.356</v>
      </c>
      <c r="AD24" s="85">
        <v>2.6559999999999997</v>
      </c>
      <c r="AE24" s="85">
        <v>8.2125199999999978</v>
      </c>
      <c r="AF24" s="85">
        <v>0</v>
      </c>
      <c r="AG24" s="85">
        <v>23.224519999999998</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23.224519999999998</v>
      </c>
      <c r="BA24" s="85">
        <v>0</v>
      </c>
      <c r="BB24" s="89">
        <v>0</v>
      </c>
      <c r="BC24" s="89">
        <v>23.224519999999998</v>
      </c>
      <c r="BD24" s="37">
        <v>0</v>
      </c>
      <c r="BE24" s="37">
        <v>0</v>
      </c>
      <c r="BF24" s="279">
        <v>3294.85</v>
      </c>
      <c r="BG24" s="37">
        <v>23353.54</v>
      </c>
      <c r="BH24" s="37">
        <v>3375.99</v>
      </c>
      <c r="BI24" s="37">
        <v>0</v>
      </c>
      <c r="BJ24" s="283">
        <v>30024.379999999997</v>
      </c>
      <c r="BK24" s="161"/>
      <c r="BL24" s="294"/>
      <c r="BM24"/>
      <c r="BN24"/>
      <c r="BO24"/>
      <c r="BP24"/>
      <c r="BQ24"/>
      <c r="BR24"/>
      <c r="BS24"/>
      <c r="BT24"/>
      <c r="BU24"/>
      <c r="BV24"/>
      <c r="BW24"/>
      <c r="BX24"/>
      <c r="BY24"/>
      <c r="BZ24"/>
      <c r="CA24"/>
      <c r="CB24"/>
      <c r="CC24"/>
      <c r="CD24"/>
      <c r="CE24"/>
      <c r="CF24"/>
      <c r="CG24"/>
      <c r="CH24"/>
      <c r="CI24"/>
      <c r="CJ24"/>
    </row>
    <row r="25" spans="1:88" s="32" customFormat="1" ht="15" customHeight="1" x14ac:dyDescent="0.35">
      <c r="A25" s="473"/>
      <c r="B25" s="313">
        <v>83090</v>
      </c>
      <c r="C25" s="8" t="s">
        <v>850</v>
      </c>
      <c r="D25" s="18">
        <v>7</v>
      </c>
      <c r="E25" s="251"/>
      <c r="F25" s="82"/>
      <c r="G25" s="79"/>
      <c r="H25" s="90"/>
      <c r="I25" s="85"/>
      <c r="J25" s="85"/>
      <c r="K25" s="85"/>
      <c r="L25" s="85"/>
      <c r="M25" s="85"/>
      <c r="N25" s="85"/>
      <c r="O25" s="85"/>
      <c r="P25" s="85"/>
      <c r="Q25" s="85"/>
      <c r="R25" s="85"/>
      <c r="S25" s="89"/>
      <c r="T25" s="89" t="s">
        <v>1124</v>
      </c>
      <c r="U25" s="85"/>
      <c r="V25" s="85"/>
      <c r="W25" s="85"/>
      <c r="X25" s="89" t="s">
        <v>1124</v>
      </c>
      <c r="Y25" s="79"/>
      <c r="Z25" s="79"/>
      <c r="AA25" s="94"/>
      <c r="AB25" s="79" t="s">
        <v>1124</v>
      </c>
      <c r="AC25" s="85"/>
      <c r="AD25" s="85"/>
      <c r="AE25" s="85"/>
      <c r="AF25" s="85"/>
      <c r="AG25" s="85" t="s">
        <v>1124</v>
      </c>
      <c r="AH25" s="85"/>
      <c r="AI25" s="85"/>
      <c r="AJ25" s="85"/>
      <c r="AK25" s="85"/>
      <c r="AL25" s="85"/>
      <c r="AM25" s="85"/>
      <c r="AN25" s="85"/>
      <c r="AO25" s="85"/>
      <c r="AP25" s="85"/>
      <c r="AQ25" s="85"/>
      <c r="AR25" s="85" t="s">
        <v>1124</v>
      </c>
      <c r="AS25" s="85"/>
      <c r="AT25" s="85"/>
      <c r="AU25" s="85"/>
      <c r="AV25" s="85"/>
      <c r="AW25" s="85"/>
      <c r="AX25" s="85"/>
      <c r="AY25" s="85"/>
      <c r="AZ25" s="85"/>
      <c r="BA25" s="85"/>
      <c r="BB25" s="89"/>
      <c r="BC25" s="89" t="s">
        <v>1124</v>
      </c>
      <c r="BD25" s="37"/>
      <c r="BE25" s="37"/>
      <c r="BF25" s="279"/>
      <c r="BG25" s="37"/>
      <c r="BH25" s="37"/>
      <c r="BI25" s="37"/>
      <c r="BJ25" s="283"/>
      <c r="BK25" s="161"/>
      <c r="BL25" s="294"/>
      <c r="BM25"/>
      <c r="BN25"/>
      <c r="BO25"/>
      <c r="BP25"/>
      <c r="BQ25"/>
      <c r="BR25"/>
      <c r="BS25"/>
      <c r="BT25"/>
      <c r="BU25"/>
      <c r="BV25"/>
      <c r="BW25"/>
      <c r="BX25"/>
      <c r="BY25"/>
      <c r="BZ25"/>
      <c r="CA25"/>
      <c r="CB25"/>
      <c r="CC25"/>
      <c r="CD25"/>
      <c r="CE25"/>
      <c r="CF25"/>
      <c r="CG25"/>
      <c r="CH25"/>
      <c r="CI25"/>
      <c r="CJ25"/>
    </row>
    <row r="26" spans="1:88" s="32" customFormat="1" ht="15" customHeight="1" x14ac:dyDescent="0.35">
      <c r="A26" s="473"/>
      <c r="B26" s="313">
        <v>45085</v>
      </c>
      <c r="C26" s="8" t="s">
        <v>421</v>
      </c>
      <c r="D26" s="18">
        <v>5</v>
      </c>
      <c r="E26" s="251"/>
      <c r="F26" s="82"/>
      <c r="G26" s="79"/>
      <c r="H26" s="90"/>
      <c r="I26" s="85"/>
      <c r="J26" s="85"/>
      <c r="K26" s="85"/>
      <c r="L26" s="85"/>
      <c r="M26" s="85"/>
      <c r="N26" s="85"/>
      <c r="O26" s="85"/>
      <c r="P26" s="85"/>
      <c r="Q26" s="85"/>
      <c r="R26" s="85"/>
      <c r="S26" s="89"/>
      <c r="T26" s="89" t="s">
        <v>1124</v>
      </c>
      <c r="U26" s="85"/>
      <c r="V26" s="85"/>
      <c r="W26" s="85"/>
      <c r="X26" s="89" t="s">
        <v>1124</v>
      </c>
      <c r="Y26" s="79"/>
      <c r="Z26" s="79"/>
      <c r="AA26" s="94"/>
      <c r="AB26" s="79" t="s">
        <v>1124</v>
      </c>
      <c r="AC26" s="85"/>
      <c r="AD26" s="85"/>
      <c r="AE26" s="85"/>
      <c r="AF26" s="85"/>
      <c r="AG26" s="85" t="s">
        <v>1124</v>
      </c>
      <c r="AH26" s="85"/>
      <c r="AI26" s="85"/>
      <c r="AJ26" s="85"/>
      <c r="AK26" s="85"/>
      <c r="AL26" s="85"/>
      <c r="AM26" s="85"/>
      <c r="AN26" s="85"/>
      <c r="AO26" s="85"/>
      <c r="AP26" s="85"/>
      <c r="AQ26" s="85"/>
      <c r="AR26" s="85" t="s">
        <v>1124</v>
      </c>
      <c r="AS26" s="85"/>
      <c r="AT26" s="85"/>
      <c r="AU26" s="85"/>
      <c r="AV26" s="85"/>
      <c r="AW26" s="85"/>
      <c r="AX26" s="85"/>
      <c r="AY26" s="85"/>
      <c r="AZ26" s="85"/>
      <c r="BA26" s="85"/>
      <c r="BB26" s="89"/>
      <c r="BC26" s="89" t="s">
        <v>1124</v>
      </c>
      <c r="BD26" s="37"/>
      <c r="BE26" s="37"/>
      <c r="BF26" s="279"/>
      <c r="BG26" s="37"/>
      <c r="BH26" s="37"/>
      <c r="BI26" s="37"/>
      <c r="BJ26" s="283"/>
      <c r="BK26" s="161"/>
      <c r="BL26" s="294"/>
      <c r="BM26"/>
      <c r="BN26"/>
      <c r="BO26"/>
      <c r="BP26"/>
      <c r="BQ26"/>
      <c r="BR26"/>
      <c r="BS26"/>
      <c r="BT26"/>
      <c r="BU26"/>
      <c r="BV26"/>
      <c r="BW26"/>
      <c r="BX26"/>
      <c r="BY26"/>
      <c r="BZ26"/>
      <c r="CA26"/>
      <c r="CB26"/>
      <c r="CC26"/>
      <c r="CD26"/>
      <c r="CE26"/>
      <c r="CF26"/>
      <c r="CG26"/>
      <c r="CH26"/>
      <c r="CI26"/>
      <c r="CJ26"/>
    </row>
    <row r="27" spans="1:88" s="32" customFormat="1" ht="15" customHeight="1" x14ac:dyDescent="0.35">
      <c r="A27" s="473"/>
      <c r="B27" s="313">
        <v>87050</v>
      </c>
      <c r="C27" s="8" t="s">
        <v>898</v>
      </c>
      <c r="D27" s="18">
        <v>8</v>
      </c>
      <c r="E27" s="251"/>
      <c r="F27" s="82"/>
      <c r="G27" s="79"/>
      <c r="H27" s="90"/>
      <c r="I27" s="85"/>
      <c r="J27" s="85"/>
      <c r="K27" s="85"/>
      <c r="L27" s="85"/>
      <c r="M27" s="85"/>
      <c r="N27" s="85"/>
      <c r="O27" s="85"/>
      <c r="P27" s="85"/>
      <c r="Q27" s="85"/>
      <c r="R27" s="85"/>
      <c r="S27" s="89"/>
      <c r="T27" s="89" t="s">
        <v>1124</v>
      </c>
      <c r="U27" s="85"/>
      <c r="V27" s="85"/>
      <c r="W27" s="85"/>
      <c r="X27" s="89" t="s">
        <v>1124</v>
      </c>
      <c r="Y27" s="79"/>
      <c r="Z27" s="79"/>
      <c r="AA27" s="94"/>
      <c r="AB27" s="79" t="s">
        <v>1124</v>
      </c>
      <c r="AC27" s="85"/>
      <c r="AD27" s="85"/>
      <c r="AE27" s="85"/>
      <c r="AF27" s="85"/>
      <c r="AG27" s="85" t="s">
        <v>1124</v>
      </c>
      <c r="AH27" s="85"/>
      <c r="AI27" s="85"/>
      <c r="AJ27" s="85"/>
      <c r="AK27" s="85"/>
      <c r="AL27" s="85"/>
      <c r="AM27" s="85"/>
      <c r="AN27" s="85"/>
      <c r="AO27" s="85"/>
      <c r="AP27" s="85"/>
      <c r="AQ27" s="85"/>
      <c r="AR27" s="85" t="s">
        <v>1124</v>
      </c>
      <c r="AS27" s="85"/>
      <c r="AT27" s="85"/>
      <c r="AU27" s="85"/>
      <c r="AV27" s="85"/>
      <c r="AW27" s="85"/>
      <c r="AX27" s="85"/>
      <c r="AY27" s="85"/>
      <c r="AZ27" s="85"/>
      <c r="BA27" s="85"/>
      <c r="BB27" s="89"/>
      <c r="BC27" s="89" t="s">
        <v>1124</v>
      </c>
      <c r="BD27" s="37"/>
      <c r="BE27" s="37"/>
      <c r="BF27" s="279"/>
      <c r="BG27" s="37"/>
      <c r="BH27" s="37"/>
      <c r="BI27" s="37"/>
      <c r="BJ27" s="283"/>
      <c r="BK27" s="161"/>
      <c r="BL27" s="294"/>
      <c r="BM27"/>
      <c r="BN27"/>
      <c r="BO27"/>
      <c r="BP27"/>
      <c r="BQ27"/>
      <c r="BR27"/>
      <c r="BS27"/>
      <c r="BT27"/>
      <c r="BU27"/>
      <c r="BV27"/>
      <c r="BW27"/>
      <c r="BX27"/>
      <c r="BY27"/>
      <c r="BZ27"/>
      <c r="CA27"/>
      <c r="CB27"/>
      <c r="CC27"/>
      <c r="CD27"/>
      <c r="CE27"/>
      <c r="CF27"/>
      <c r="CG27"/>
      <c r="CH27"/>
      <c r="CI27"/>
      <c r="CJ27"/>
    </row>
    <row r="28" spans="1:88" s="32" customFormat="1" ht="15" customHeight="1" x14ac:dyDescent="0.35">
      <c r="A28" s="473"/>
      <c r="B28" s="313">
        <v>87100</v>
      </c>
      <c r="C28" s="8" t="s">
        <v>906</v>
      </c>
      <c r="D28" s="18">
        <v>8</v>
      </c>
      <c r="E28" s="251"/>
      <c r="F28" s="82"/>
      <c r="G28" s="79"/>
      <c r="H28" s="90"/>
      <c r="I28" s="85"/>
      <c r="J28" s="85"/>
      <c r="K28" s="85"/>
      <c r="L28" s="85"/>
      <c r="M28" s="85"/>
      <c r="N28" s="85"/>
      <c r="O28" s="85"/>
      <c r="P28" s="85"/>
      <c r="Q28" s="85"/>
      <c r="R28" s="85"/>
      <c r="S28" s="89"/>
      <c r="T28" s="89" t="s">
        <v>1124</v>
      </c>
      <c r="U28" s="85"/>
      <c r="V28" s="85"/>
      <c r="W28" s="85"/>
      <c r="X28" s="89" t="s">
        <v>1124</v>
      </c>
      <c r="Y28" s="79"/>
      <c r="Z28" s="79"/>
      <c r="AA28" s="94"/>
      <c r="AB28" s="79" t="s">
        <v>1124</v>
      </c>
      <c r="AC28" s="85"/>
      <c r="AD28" s="85"/>
      <c r="AE28" s="85"/>
      <c r="AF28" s="85"/>
      <c r="AG28" s="85" t="s">
        <v>1124</v>
      </c>
      <c r="AH28" s="85"/>
      <c r="AI28" s="85"/>
      <c r="AJ28" s="85"/>
      <c r="AK28" s="85"/>
      <c r="AL28" s="85"/>
      <c r="AM28" s="85"/>
      <c r="AN28" s="85"/>
      <c r="AO28" s="85"/>
      <c r="AP28" s="85"/>
      <c r="AQ28" s="85"/>
      <c r="AR28" s="85" t="s">
        <v>1124</v>
      </c>
      <c r="AS28" s="85"/>
      <c r="AT28" s="85"/>
      <c r="AU28" s="85"/>
      <c r="AV28" s="85"/>
      <c r="AW28" s="85"/>
      <c r="AX28" s="85"/>
      <c r="AY28" s="85"/>
      <c r="AZ28" s="85"/>
      <c r="BA28" s="85"/>
      <c r="BB28" s="89"/>
      <c r="BC28" s="89" t="s">
        <v>1124</v>
      </c>
      <c r="BD28" s="37"/>
      <c r="BE28" s="37"/>
      <c r="BF28" s="279"/>
      <c r="BG28" s="37"/>
      <c r="BH28" s="37"/>
      <c r="BI28" s="37"/>
      <c r="BJ28" s="283"/>
      <c r="BK28" s="161"/>
      <c r="BL28" s="294"/>
      <c r="BM28"/>
      <c r="BN28"/>
      <c r="BO28"/>
      <c r="BP28"/>
      <c r="BQ28"/>
      <c r="BR28"/>
      <c r="BS28"/>
      <c r="BT28"/>
      <c r="BU28"/>
      <c r="BV28"/>
      <c r="BW28"/>
      <c r="BX28"/>
      <c r="BY28"/>
      <c r="BZ28"/>
      <c r="CA28"/>
      <c r="CB28"/>
      <c r="CC28"/>
      <c r="CD28"/>
      <c r="CE28"/>
      <c r="CF28"/>
      <c r="CG28"/>
      <c r="CH28"/>
      <c r="CI28"/>
      <c r="CJ28"/>
    </row>
    <row r="29" spans="1:88" s="32" customFormat="1" ht="15" customHeight="1" x14ac:dyDescent="0.35">
      <c r="A29" s="473"/>
      <c r="B29" s="313">
        <v>45035</v>
      </c>
      <c r="C29" s="8" t="s">
        <v>414</v>
      </c>
      <c r="D29" s="18">
        <v>5</v>
      </c>
      <c r="E29" s="251"/>
      <c r="F29" s="82"/>
      <c r="G29" s="79"/>
      <c r="H29" s="90"/>
      <c r="I29" s="85"/>
      <c r="J29" s="85"/>
      <c r="K29" s="85"/>
      <c r="L29" s="85"/>
      <c r="M29" s="85"/>
      <c r="N29" s="85"/>
      <c r="O29" s="85"/>
      <c r="P29" s="85"/>
      <c r="Q29" s="85"/>
      <c r="R29" s="85"/>
      <c r="S29" s="89"/>
      <c r="T29" s="89" t="s">
        <v>1124</v>
      </c>
      <c r="U29" s="85"/>
      <c r="V29" s="85"/>
      <c r="W29" s="85"/>
      <c r="X29" s="89" t="s">
        <v>1124</v>
      </c>
      <c r="Y29" s="79"/>
      <c r="Z29" s="79"/>
      <c r="AA29" s="94"/>
      <c r="AB29" s="79" t="s">
        <v>1124</v>
      </c>
      <c r="AC29" s="85"/>
      <c r="AD29" s="85"/>
      <c r="AE29" s="85"/>
      <c r="AF29" s="85"/>
      <c r="AG29" s="85" t="s">
        <v>1124</v>
      </c>
      <c r="AH29" s="85"/>
      <c r="AI29" s="85"/>
      <c r="AJ29" s="85"/>
      <c r="AK29" s="85"/>
      <c r="AL29" s="85"/>
      <c r="AM29" s="85"/>
      <c r="AN29" s="85"/>
      <c r="AO29" s="85"/>
      <c r="AP29" s="85"/>
      <c r="AQ29" s="85"/>
      <c r="AR29" s="85" t="s">
        <v>1124</v>
      </c>
      <c r="AS29" s="85"/>
      <c r="AT29" s="85"/>
      <c r="AU29" s="85"/>
      <c r="AV29" s="85"/>
      <c r="AW29" s="85"/>
      <c r="AX29" s="85"/>
      <c r="AY29" s="85"/>
      <c r="AZ29" s="85"/>
      <c r="BA29" s="85"/>
      <c r="BB29" s="89"/>
      <c r="BC29" s="89" t="s">
        <v>1124</v>
      </c>
      <c r="BD29" s="37"/>
      <c r="BE29" s="37"/>
      <c r="BF29" s="279"/>
      <c r="BG29" s="37"/>
      <c r="BH29" s="37"/>
      <c r="BI29" s="37"/>
      <c r="BJ29" s="283"/>
      <c r="BK29" s="161"/>
      <c r="BL29" s="294"/>
      <c r="BM29"/>
      <c r="BN29"/>
      <c r="BO29"/>
      <c r="BP29"/>
      <c r="BQ29"/>
      <c r="BR29"/>
      <c r="BS29"/>
      <c r="BT29"/>
      <c r="BU29"/>
      <c r="BV29"/>
      <c r="BW29"/>
      <c r="BX29"/>
      <c r="BY29"/>
      <c r="BZ29"/>
      <c r="CA29"/>
      <c r="CB29"/>
      <c r="CC29"/>
      <c r="CD29"/>
      <c r="CE29"/>
      <c r="CF29"/>
      <c r="CG29"/>
      <c r="CH29"/>
      <c r="CI29"/>
      <c r="CJ29"/>
    </row>
    <row r="30" spans="1:88" s="32" customFormat="1" ht="15" customHeight="1" x14ac:dyDescent="0.35">
      <c r="A30" s="473"/>
      <c r="B30" s="313">
        <v>96020</v>
      </c>
      <c r="C30" s="8" t="s">
        <v>997</v>
      </c>
      <c r="D30" s="18">
        <v>9</v>
      </c>
      <c r="E30" s="251">
        <v>10303</v>
      </c>
      <c r="F30" s="82">
        <v>2.2877434628214783</v>
      </c>
      <c r="G30" s="79">
        <v>23570.620897449691</v>
      </c>
      <c r="H30" s="90">
        <v>346.702</v>
      </c>
      <c r="I30" s="85">
        <v>325.91699999999997</v>
      </c>
      <c r="J30" s="85">
        <v>406.66300000000001</v>
      </c>
      <c r="K30" s="85">
        <v>406.173</v>
      </c>
      <c r="L30" s="85">
        <v>403.2</v>
      </c>
      <c r="M30" s="85">
        <v>376.93900000000002</v>
      </c>
      <c r="N30" s="85">
        <v>379.02300000000002</v>
      </c>
      <c r="O30" s="85">
        <v>362.34100000000001</v>
      </c>
      <c r="P30" s="85">
        <v>313.649</v>
      </c>
      <c r="Q30" s="85">
        <v>305.50700000000001</v>
      </c>
      <c r="R30" s="85">
        <v>311.16199999999998</v>
      </c>
      <c r="S30" s="89">
        <v>346.09500000000003</v>
      </c>
      <c r="T30" s="89">
        <v>4283.3710000000001</v>
      </c>
      <c r="U30" s="85">
        <v>4283.3710000000001</v>
      </c>
      <c r="V30" s="85">
        <v>0</v>
      </c>
      <c r="W30" s="85">
        <v>0</v>
      </c>
      <c r="X30" s="89">
        <v>4283.3710000000001</v>
      </c>
      <c r="Y30" s="79">
        <v>2</v>
      </c>
      <c r="Z30" s="79">
        <v>0</v>
      </c>
      <c r="AA30" s="94">
        <v>0</v>
      </c>
      <c r="AB30" s="79">
        <v>2</v>
      </c>
      <c r="AC30" s="85">
        <v>2552.7320357078229</v>
      </c>
      <c r="AD30" s="85">
        <v>496.51760829217733</v>
      </c>
      <c r="AE30" s="85">
        <v>1234.1213559999999</v>
      </c>
      <c r="AF30" s="85">
        <v>0</v>
      </c>
      <c r="AG30" s="85">
        <v>4283.3710000000001</v>
      </c>
      <c r="AH30" s="85">
        <v>0</v>
      </c>
      <c r="AI30" s="85">
        <v>0</v>
      </c>
      <c r="AJ30" s="85">
        <v>0</v>
      </c>
      <c r="AK30" s="85">
        <v>4283.3710000000001</v>
      </c>
      <c r="AL30" s="85">
        <v>0</v>
      </c>
      <c r="AM30" s="85">
        <v>0</v>
      </c>
      <c r="AN30" s="85">
        <v>0</v>
      </c>
      <c r="AO30" s="85">
        <v>0</v>
      </c>
      <c r="AP30" s="85">
        <v>0</v>
      </c>
      <c r="AQ30" s="85">
        <v>0</v>
      </c>
      <c r="AR30" s="85">
        <v>4283.3710000000001</v>
      </c>
      <c r="AS30" s="85">
        <v>0</v>
      </c>
      <c r="AT30" s="85">
        <v>0</v>
      </c>
      <c r="AU30" s="85">
        <v>0</v>
      </c>
      <c r="AV30" s="85">
        <v>0</v>
      </c>
      <c r="AW30" s="85">
        <v>0</v>
      </c>
      <c r="AX30" s="85">
        <v>0</v>
      </c>
      <c r="AY30" s="85">
        <v>0</v>
      </c>
      <c r="AZ30" s="85">
        <v>0</v>
      </c>
      <c r="BA30" s="85">
        <v>0</v>
      </c>
      <c r="BB30" s="89">
        <v>0</v>
      </c>
      <c r="BC30" s="89">
        <v>0</v>
      </c>
      <c r="BD30" s="37">
        <v>0</v>
      </c>
      <c r="BE30" s="37">
        <v>0</v>
      </c>
      <c r="BF30" s="279">
        <v>725490</v>
      </c>
      <c r="BG30" s="37">
        <v>293756</v>
      </c>
      <c r="BH30" s="37">
        <v>407836</v>
      </c>
      <c r="BI30" s="37">
        <v>0</v>
      </c>
      <c r="BJ30" s="283">
        <v>1427082</v>
      </c>
      <c r="BK30" s="161"/>
      <c r="BL30" s="294"/>
      <c r="BM30"/>
      <c r="BN30"/>
      <c r="BO30"/>
      <c r="BP30"/>
      <c r="BQ30"/>
      <c r="BR30"/>
      <c r="BS30"/>
      <c r="BT30"/>
      <c r="BU30"/>
      <c r="BV30"/>
      <c r="BW30"/>
      <c r="BX30"/>
      <c r="BY30"/>
      <c r="BZ30"/>
      <c r="CA30"/>
      <c r="CB30"/>
      <c r="CC30"/>
      <c r="CD30"/>
      <c r="CE30"/>
      <c r="CF30"/>
      <c r="CG30"/>
      <c r="CH30"/>
      <c r="CI30"/>
      <c r="CJ30"/>
    </row>
    <row r="31" spans="1:88" s="32" customFormat="1" ht="15" customHeight="1" x14ac:dyDescent="0.35">
      <c r="A31" s="473"/>
      <c r="B31" s="313">
        <v>8080</v>
      </c>
      <c r="C31" s="8" t="s">
        <v>1096</v>
      </c>
      <c r="D31" s="18">
        <v>1</v>
      </c>
      <c r="E31" s="251">
        <v>213</v>
      </c>
      <c r="F31" s="82">
        <v>1.7008310249307479</v>
      </c>
      <c r="G31" s="79">
        <v>362.2770083102493</v>
      </c>
      <c r="H31" s="90">
        <v>1.806</v>
      </c>
      <c r="I31" s="85">
        <v>1.5069999999999999</v>
      </c>
      <c r="J31" s="85">
        <v>1.917</v>
      </c>
      <c r="K31" s="85">
        <v>1.9970000000000001</v>
      </c>
      <c r="L31" s="85">
        <v>1.968</v>
      </c>
      <c r="M31" s="85">
        <v>1.954</v>
      </c>
      <c r="N31" s="85">
        <v>3.1459999999999999</v>
      </c>
      <c r="O31" s="85">
        <v>2.6280000000000001</v>
      </c>
      <c r="P31" s="85">
        <v>2.2999999999999998</v>
      </c>
      <c r="Q31" s="85">
        <v>1.881</v>
      </c>
      <c r="R31" s="85">
        <v>1.587</v>
      </c>
      <c r="S31" s="89">
        <v>1.6839999999999999</v>
      </c>
      <c r="T31" s="89">
        <v>24.375000000000004</v>
      </c>
      <c r="U31" s="85">
        <v>0</v>
      </c>
      <c r="V31" s="85">
        <v>2.5910000000000002</v>
      </c>
      <c r="W31" s="85">
        <v>21.783999999999999</v>
      </c>
      <c r="X31" s="89">
        <v>24.375</v>
      </c>
      <c r="Y31" s="79">
        <v>0</v>
      </c>
      <c r="Z31" s="79">
        <v>2</v>
      </c>
      <c r="AA31" s="94">
        <v>1</v>
      </c>
      <c r="AB31" s="79">
        <v>3</v>
      </c>
      <c r="AC31" s="85">
        <v>18.812999999999999</v>
      </c>
      <c r="AD31" s="85">
        <v>1.4260000000000046</v>
      </c>
      <c r="AE31" s="85">
        <v>4.1360000000000001</v>
      </c>
      <c r="AF31" s="85">
        <v>0</v>
      </c>
      <c r="AG31" s="85">
        <v>24.375000000000004</v>
      </c>
      <c r="AH31" s="85">
        <v>0</v>
      </c>
      <c r="AI31" s="85">
        <v>0</v>
      </c>
      <c r="AJ31" s="85">
        <v>0</v>
      </c>
      <c r="AK31" s="85">
        <v>0</v>
      </c>
      <c r="AL31" s="85">
        <v>0</v>
      </c>
      <c r="AM31" s="85">
        <v>0</v>
      </c>
      <c r="AN31" s="85">
        <v>0</v>
      </c>
      <c r="AO31" s="85">
        <v>0</v>
      </c>
      <c r="AP31" s="85">
        <v>0</v>
      </c>
      <c r="AQ31" s="85">
        <v>0</v>
      </c>
      <c r="AR31" s="85">
        <v>0</v>
      </c>
      <c r="AS31" s="85">
        <v>0</v>
      </c>
      <c r="AT31" s="85">
        <v>0</v>
      </c>
      <c r="AU31" s="85">
        <v>0</v>
      </c>
      <c r="AV31" s="85">
        <v>0</v>
      </c>
      <c r="AW31" s="85">
        <v>0</v>
      </c>
      <c r="AX31" s="85">
        <v>0</v>
      </c>
      <c r="AY31" s="85">
        <v>24.375</v>
      </c>
      <c r="AZ31" s="85">
        <v>0</v>
      </c>
      <c r="BA31" s="85">
        <v>0</v>
      </c>
      <c r="BB31" s="89">
        <v>0</v>
      </c>
      <c r="BC31" s="89">
        <v>24.375</v>
      </c>
      <c r="BD31" s="37">
        <v>0</v>
      </c>
      <c r="BE31" s="37">
        <v>4616</v>
      </c>
      <c r="BF31" s="279">
        <v>3261</v>
      </c>
      <c r="BG31" s="37">
        <v>5606</v>
      </c>
      <c r="BH31" s="37">
        <v>3185</v>
      </c>
      <c r="BI31" s="37">
        <v>2739</v>
      </c>
      <c r="BJ31" s="283">
        <v>14791</v>
      </c>
      <c r="BK31" s="161"/>
      <c r="BL31" s="294"/>
      <c r="BM31"/>
      <c r="BN31"/>
      <c r="BO31"/>
      <c r="BP31"/>
      <c r="BQ31"/>
      <c r="BR31"/>
      <c r="BS31"/>
      <c r="BT31"/>
      <c r="BU31"/>
      <c r="BV31"/>
      <c r="BW31"/>
      <c r="BX31"/>
      <c r="BY31"/>
      <c r="BZ31"/>
      <c r="CA31"/>
      <c r="CB31"/>
      <c r="CC31"/>
      <c r="CD31"/>
      <c r="CE31"/>
      <c r="CF31"/>
      <c r="CG31"/>
      <c r="CH31"/>
      <c r="CI31"/>
      <c r="CJ31"/>
    </row>
    <row r="32" spans="1:88" s="32" customFormat="1" ht="15" customHeight="1" x14ac:dyDescent="0.35">
      <c r="A32" s="473"/>
      <c r="B32" s="313">
        <v>50100</v>
      </c>
      <c r="C32" s="8" t="s">
        <v>495</v>
      </c>
      <c r="D32" s="18">
        <v>17</v>
      </c>
      <c r="E32" s="251"/>
      <c r="F32" s="82"/>
      <c r="G32" s="79"/>
      <c r="H32" s="90"/>
      <c r="I32" s="85"/>
      <c r="J32" s="85"/>
      <c r="K32" s="85"/>
      <c r="L32" s="85"/>
      <c r="M32" s="85"/>
      <c r="N32" s="85"/>
      <c r="O32" s="85"/>
      <c r="P32" s="85"/>
      <c r="Q32" s="85"/>
      <c r="R32" s="85"/>
      <c r="S32" s="89"/>
      <c r="T32" s="89" t="s">
        <v>1124</v>
      </c>
      <c r="U32" s="85"/>
      <c r="V32" s="85"/>
      <c r="W32" s="85"/>
      <c r="X32" s="89" t="s">
        <v>1124</v>
      </c>
      <c r="Y32" s="79"/>
      <c r="Z32" s="79"/>
      <c r="AA32" s="94"/>
      <c r="AB32" s="79" t="s">
        <v>1124</v>
      </c>
      <c r="AC32" s="85"/>
      <c r="AD32" s="85"/>
      <c r="AE32" s="85"/>
      <c r="AF32" s="85"/>
      <c r="AG32" s="85" t="s">
        <v>1124</v>
      </c>
      <c r="AH32" s="85"/>
      <c r="AI32" s="85"/>
      <c r="AJ32" s="85"/>
      <c r="AK32" s="85"/>
      <c r="AL32" s="85"/>
      <c r="AM32" s="85"/>
      <c r="AN32" s="85"/>
      <c r="AO32" s="85"/>
      <c r="AP32" s="85"/>
      <c r="AQ32" s="85"/>
      <c r="AR32" s="85" t="s">
        <v>1124</v>
      </c>
      <c r="AS32" s="85"/>
      <c r="AT32" s="85"/>
      <c r="AU32" s="85"/>
      <c r="AV32" s="85"/>
      <c r="AW32" s="85"/>
      <c r="AX32" s="85"/>
      <c r="AY32" s="85"/>
      <c r="AZ32" s="85"/>
      <c r="BA32" s="85"/>
      <c r="BB32" s="89"/>
      <c r="BC32" s="89" t="s">
        <v>1124</v>
      </c>
      <c r="BD32" s="37"/>
      <c r="BE32" s="37"/>
      <c r="BF32" s="279"/>
      <c r="BG32" s="37"/>
      <c r="BH32" s="37"/>
      <c r="BI32" s="37"/>
      <c r="BJ32" s="283"/>
      <c r="BK32" s="161"/>
      <c r="BL32" s="294"/>
      <c r="BM32"/>
      <c r="BN32"/>
      <c r="BO32"/>
      <c r="BP32"/>
      <c r="BQ32"/>
      <c r="BR32"/>
      <c r="BS32"/>
      <c r="BT32"/>
      <c r="BU32"/>
      <c r="BV32"/>
      <c r="BW32"/>
      <c r="BX32"/>
      <c r="BY32"/>
      <c r="BZ32"/>
      <c r="CA32"/>
      <c r="CB32"/>
      <c r="CC32"/>
      <c r="CD32"/>
      <c r="CE32"/>
      <c r="CF32"/>
      <c r="CG32"/>
      <c r="CH32"/>
      <c r="CI32"/>
      <c r="CJ32"/>
    </row>
    <row r="33" spans="1:88" s="32" customFormat="1" ht="15" customHeight="1" x14ac:dyDescent="0.35">
      <c r="A33" s="473"/>
      <c r="B33" s="313">
        <v>66112</v>
      </c>
      <c r="C33" s="8" t="s">
        <v>659</v>
      </c>
      <c r="D33" s="18">
        <v>6</v>
      </c>
      <c r="E33" s="251"/>
      <c r="F33" s="82"/>
      <c r="G33" s="79"/>
      <c r="H33" s="90"/>
      <c r="I33" s="85"/>
      <c r="J33" s="85"/>
      <c r="K33" s="85"/>
      <c r="L33" s="85"/>
      <c r="M33" s="85"/>
      <c r="N33" s="85"/>
      <c r="O33" s="85"/>
      <c r="P33" s="85"/>
      <c r="Q33" s="85"/>
      <c r="R33" s="85"/>
      <c r="S33" s="89"/>
      <c r="T33" s="89" t="s">
        <v>1124</v>
      </c>
      <c r="U33" s="85"/>
      <c r="V33" s="85"/>
      <c r="W33" s="85"/>
      <c r="X33" s="89" t="s">
        <v>1124</v>
      </c>
      <c r="Y33" s="79"/>
      <c r="Z33" s="79"/>
      <c r="AA33" s="94"/>
      <c r="AB33" s="79" t="s">
        <v>1124</v>
      </c>
      <c r="AC33" s="85"/>
      <c r="AD33" s="85"/>
      <c r="AE33" s="85"/>
      <c r="AF33" s="85"/>
      <c r="AG33" s="85" t="s">
        <v>1124</v>
      </c>
      <c r="AH33" s="85"/>
      <c r="AI33" s="85"/>
      <c r="AJ33" s="85"/>
      <c r="AK33" s="85"/>
      <c r="AL33" s="85"/>
      <c r="AM33" s="85"/>
      <c r="AN33" s="85"/>
      <c r="AO33" s="85"/>
      <c r="AP33" s="85"/>
      <c r="AQ33" s="85"/>
      <c r="AR33" s="85" t="s">
        <v>1124</v>
      </c>
      <c r="AS33" s="85"/>
      <c r="AT33" s="85"/>
      <c r="AU33" s="85"/>
      <c r="AV33" s="85"/>
      <c r="AW33" s="85"/>
      <c r="AX33" s="85"/>
      <c r="AY33" s="85"/>
      <c r="AZ33" s="85"/>
      <c r="BA33" s="85"/>
      <c r="BB33" s="89"/>
      <c r="BC33" s="89" t="s">
        <v>1124</v>
      </c>
      <c r="BD33" s="37"/>
      <c r="BE33" s="37"/>
      <c r="BF33" s="279"/>
      <c r="BG33" s="37"/>
      <c r="BH33" s="37"/>
      <c r="BI33" s="37"/>
      <c r="BJ33" s="283"/>
      <c r="BK33" s="161"/>
      <c r="BL33" s="294"/>
      <c r="BM33"/>
      <c r="BN33"/>
      <c r="BO33"/>
      <c r="BP33"/>
      <c r="BQ33"/>
      <c r="BR33"/>
      <c r="BS33"/>
      <c r="BT33"/>
      <c r="BU33"/>
      <c r="BV33"/>
      <c r="BW33"/>
      <c r="BX33"/>
      <c r="BY33"/>
      <c r="BZ33"/>
      <c r="CA33"/>
      <c r="CB33"/>
      <c r="CC33"/>
      <c r="CD33"/>
      <c r="CE33"/>
      <c r="CF33"/>
      <c r="CG33"/>
      <c r="CH33"/>
      <c r="CI33"/>
      <c r="CJ33"/>
    </row>
    <row r="34" spans="1:88" s="32" customFormat="1" ht="15" customHeight="1" x14ac:dyDescent="0.35">
      <c r="A34" s="473"/>
      <c r="B34" s="313">
        <v>98035</v>
      </c>
      <c r="C34" s="8" t="s">
        <v>1014</v>
      </c>
      <c r="D34" s="18">
        <v>9</v>
      </c>
      <c r="E34" s="251"/>
      <c r="F34" s="82"/>
      <c r="G34" s="79"/>
      <c r="H34" s="90"/>
      <c r="I34" s="85"/>
      <c r="J34" s="85"/>
      <c r="K34" s="85"/>
      <c r="L34" s="85"/>
      <c r="M34" s="85"/>
      <c r="N34" s="85"/>
      <c r="O34" s="85"/>
      <c r="P34" s="85"/>
      <c r="Q34" s="85"/>
      <c r="R34" s="85"/>
      <c r="S34" s="89"/>
      <c r="T34" s="89" t="s">
        <v>1124</v>
      </c>
      <c r="U34" s="85"/>
      <c r="V34" s="85"/>
      <c r="W34" s="85"/>
      <c r="X34" s="89" t="s">
        <v>1124</v>
      </c>
      <c r="Y34" s="79"/>
      <c r="Z34" s="79"/>
      <c r="AA34" s="94"/>
      <c r="AB34" s="79" t="s">
        <v>1124</v>
      </c>
      <c r="AC34" s="85"/>
      <c r="AD34" s="85"/>
      <c r="AE34" s="85"/>
      <c r="AF34" s="85"/>
      <c r="AG34" s="85" t="s">
        <v>1124</v>
      </c>
      <c r="AH34" s="85"/>
      <c r="AI34" s="85"/>
      <c r="AJ34" s="85"/>
      <c r="AK34" s="85"/>
      <c r="AL34" s="85"/>
      <c r="AM34" s="85"/>
      <c r="AN34" s="85"/>
      <c r="AO34" s="85"/>
      <c r="AP34" s="85"/>
      <c r="AQ34" s="85"/>
      <c r="AR34" s="85" t="s">
        <v>1124</v>
      </c>
      <c r="AS34" s="85"/>
      <c r="AT34" s="85"/>
      <c r="AU34" s="85"/>
      <c r="AV34" s="85"/>
      <c r="AW34" s="85"/>
      <c r="AX34" s="85"/>
      <c r="AY34" s="85"/>
      <c r="AZ34" s="85"/>
      <c r="BA34" s="85"/>
      <c r="BB34" s="89"/>
      <c r="BC34" s="89" t="s">
        <v>1124</v>
      </c>
      <c r="BD34" s="37"/>
      <c r="BE34" s="37"/>
      <c r="BF34" s="279"/>
      <c r="BG34" s="37"/>
      <c r="BH34" s="37"/>
      <c r="BI34" s="37"/>
      <c r="BJ34" s="283"/>
      <c r="BK34" s="161"/>
      <c r="BL34" s="294"/>
      <c r="BM34"/>
      <c r="BN34"/>
      <c r="BO34"/>
      <c r="BP34"/>
      <c r="BQ34"/>
      <c r="BR34"/>
      <c r="BS34"/>
      <c r="BT34"/>
      <c r="BU34"/>
      <c r="BV34"/>
      <c r="BW34"/>
      <c r="BX34"/>
      <c r="BY34"/>
      <c r="BZ34"/>
      <c r="CA34"/>
      <c r="CB34"/>
      <c r="CC34"/>
      <c r="CD34"/>
      <c r="CE34"/>
      <c r="CF34"/>
      <c r="CG34"/>
      <c r="CH34"/>
      <c r="CI34"/>
      <c r="CJ34"/>
    </row>
    <row r="35" spans="1:88" s="32" customFormat="1" ht="15" customHeight="1" x14ac:dyDescent="0.35">
      <c r="A35" s="473"/>
      <c r="B35" s="313">
        <v>15065</v>
      </c>
      <c r="C35" s="8" t="s">
        <v>83</v>
      </c>
      <c r="D35" s="18">
        <v>3</v>
      </c>
      <c r="E35" s="251"/>
      <c r="F35" s="82"/>
      <c r="G35" s="79"/>
      <c r="H35" s="90"/>
      <c r="I35" s="85"/>
      <c r="J35" s="85"/>
      <c r="K35" s="85"/>
      <c r="L35" s="85"/>
      <c r="M35" s="85"/>
      <c r="N35" s="85"/>
      <c r="O35" s="85"/>
      <c r="P35" s="85"/>
      <c r="Q35" s="85"/>
      <c r="R35" s="85"/>
      <c r="S35" s="89"/>
      <c r="T35" s="89" t="s">
        <v>1124</v>
      </c>
      <c r="U35" s="85"/>
      <c r="V35" s="85"/>
      <c r="W35" s="85"/>
      <c r="X35" s="89" t="s">
        <v>1124</v>
      </c>
      <c r="Y35" s="79"/>
      <c r="Z35" s="79"/>
      <c r="AA35" s="94"/>
      <c r="AB35" s="79" t="s">
        <v>1124</v>
      </c>
      <c r="AC35" s="85"/>
      <c r="AD35" s="85"/>
      <c r="AE35" s="85"/>
      <c r="AF35" s="85"/>
      <c r="AG35" s="85" t="s">
        <v>1124</v>
      </c>
      <c r="AH35" s="85"/>
      <c r="AI35" s="85"/>
      <c r="AJ35" s="85"/>
      <c r="AK35" s="85"/>
      <c r="AL35" s="85"/>
      <c r="AM35" s="85"/>
      <c r="AN35" s="85"/>
      <c r="AO35" s="85"/>
      <c r="AP35" s="85"/>
      <c r="AQ35" s="85"/>
      <c r="AR35" s="85" t="s">
        <v>1124</v>
      </c>
      <c r="AS35" s="85"/>
      <c r="AT35" s="85"/>
      <c r="AU35" s="85"/>
      <c r="AV35" s="85"/>
      <c r="AW35" s="85"/>
      <c r="AX35" s="85"/>
      <c r="AY35" s="85"/>
      <c r="AZ35" s="85"/>
      <c r="BA35" s="85"/>
      <c r="BB35" s="89"/>
      <c r="BC35" s="89" t="s">
        <v>1124</v>
      </c>
      <c r="BD35" s="37"/>
      <c r="BE35" s="37"/>
      <c r="BF35" s="279"/>
      <c r="BG35" s="37"/>
      <c r="BH35" s="37"/>
      <c r="BI35" s="37"/>
      <c r="BJ35" s="283"/>
      <c r="BK35" s="161"/>
      <c r="BL35" s="294"/>
      <c r="BM35"/>
      <c r="BN35"/>
      <c r="BO35"/>
      <c r="BP35"/>
      <c r="BQ35"/>
      <c r="BR35"/>
      <c r="BS35"/>
      <c r="BT35"/>
      <c r="BU35"/>
      <c r="BV35"/>
      <c r="BW35"/>
      <c r="BX35"/>
      <c r="BY35"/>
      <c r="BZ35"/>
      <c r="CA35"/>
      <c r="CB35"/>
      <c r="CC35"/>
      <c r="CD35"/>
      <c r="CE35"/>
      <c r="CF35"/>
      <c r="CG35"/>
      <c r="CH35"/>
      <c r="CI35"/>
      <c r="CJ35"/>
    </row>
    <row r="36" spans="1:88" s="32" customFormat="1" ht="15" customHeight="1" x14ac:dyDescent="0.35">
      <c r="A36" s="473"/>
      <c r="B36" s="313">
        <v>16013</v>
      </c>
      <c r="C36" s="8" t="s">
        <v>85</v>
      </c>
      <c r="D36" s="18">
        <v>3</v>
      </c>
      <c r="E36" s="251">
        <v>2886</v>
      </c>
      <c r="F36" s="82">
        <v>1.9172652301143922</v>
      </c>
      <c r="G36" s="79">
        <v>5533.227454110136</v>
      </c>
      <c r="H36" s="90">
        <v>90.54</v>
      </c>
      <c r="I36" s="85">
        <v>83.539999999999992</v>
      </c>
      <c r="J36" s="85">
        <v>93.216999999999999</v>
      </c>
      <c r="K36" s="85">
        <v>87.822000000000003</v>
      </c>
      <c r="L36" s="85">
        <v>90.695999999999998</v>
      </c>
      <c r="M36" s="85">
        <v>101.431</v>
      </c>
      <c r="N36" s="85">
        <v>117.75299999999999</v>
      </c>
      <c r="O36" s="85">
        <v>106.74299999999999</v>
      </c>
      <c r="P36" s="85">
        <v>93.042000000000002</v>
      </c>
      <c r="Q36" s="85">
        <v>103.029</v>
      </c>
      <c r="R36" s="85">
        <v>88.39800000000001</v>
      </c>
      <c r="S36" s="89">
        <v>90.125</v>
      </c>
      <c r="T36" s="89">
        <v>1146.336</v>
      </c>
      <c r="U36" s="85">
        <v>25.952999999999999</v>
      </c>
      <c r="V36" s="85">
        <v>1120.383</v>
      </c>
      <c r="W36" s="85">
        <v>0</v>
      </c>
      <c r="X36" s="89">
        <v>1146.336</v>
      </c>
      <c r="Y36" s="79">
        <v>1</v>
      </c>
      <c r="Z36" s="79">
        <v>2</v>
      </c>
      <c r="AA36" s="94">
        <v>0</v>
      </c>
      <c r="AB36" s="79">
        <v>3</v>
      </c>
      <c r="AC36" s="85">
        <v>548.167507</v>
      </c>
      <c r="AD36" s="85">
        <v>325.12444817857147</v>
      </c>
      <c r="AE36" s="85">
        <v>273.04404482142854</v>
      </c>
      <c r="AF36" s="85">
        <v>0</v>
      </c>
      <c r="AG36" s="85">
        <v>1146.336</v>
      </c>
      <c r="AH36" s="85">
        <v>0</v>
      </c>
      <c r="AI36" s="85">
        <v>0</v>
      </c>
      <c r="AJ36" s="85">
        <v>0</v>
      </c>
      <c r="AK36" s="85">
        <v>0</v>
      </c>
      <c r="AL36" s="85">
        <v>0</v>
      </c>
      <c r="AM36" s="85">
        <v>0</v>
      </c>
      <c r="AN36" s="85">
        <v>25.952999999999999</v>
      </c>
      <c r="AO36" s="85">
        <v>0</v>
      </c>
      <c r="AP36" s="85">
        <v>0</v>
      </c>
      <c r="AQ36" s="85">
        <v>0</v>
      </c>
      <c r="AR36" s="85">
        <v>25.952999999999999</v>
      </c>
      <c r="AS36" s="85">
        <v>0</v>
      </c>
      <c r="AT36" s="85">
        <v>0</v>
      </c>
      <c r="AU36" s="85">
        <v>0</v>
      </c>
      <c r="AV36" s="85">
        <v>0</v>
      </c>
      <c r="AW36" s="85">
        <v>0</v>
      </c>
      <c r="AX36" s="85">
        <v>0</v>
      </c>
      <c r="AY36" s="85">
        <v>1120.383</v>
      </c>
      <c r="AZ36" s="85">
        <v>0</v>
      </c>
      <c r="BA36" s="85">
        <v>0</v>
      </c>
      <c r="BB36" s="89">
        <v>0</v>
      </c>
      <c r="BC36" s="89">
        <v>1120.383</v>
      </c>
      <c r="BD36" s="37">
        <v>52438</v>
      </c>
      <c r="BE36" s="37">
        <v>0</v>
      </c>
      <c r="BF36" s="279">
        <v>6500</v>
      </c>
      <c r="BG36" s="37">
        <v>33902</v>
      </c>
      <c r="BH36" s="37">
        <v>52527</v>
      </c>
      <c r="BI36" s="37">
        <v>60394</v>
      </c>
      <c r="BJ36" s="283">
        <v>153323</v>
      </c>
      <c r="BK36" s="161"/>
      <c r="BL36" s="294"/>
      <c r="BM36"/>
      <c r="BN36"/>
      <c r="BO36"/>
      <c r="BP36"/>
      <c r="BQ36"/>
      <c r="BR36"/>
      <c r="BS36"/>
      <c r="BT36"/>
      <c r="BU36"/>
      <c r="BV36"/>
      <c r="BW36"/>
      <c r="BX36"/>
      <c r="BY36"/>
      <c r="BZ36"/>
      <c r="CA36"/>
      <c r="CB36"/>
      <c r="CC36"/>
      <c r="CD36"/>
      <c r="CE36"/>
      <c r="CF36"/>
      <c r="CG36"/>
      <c r="CH36"/>
      <c r="CI36"/>
      <c r="CJ36"/>
    </row>
    <row r="37" spans="1:88" s="32" customFormat="1" ht="15" customHeight="1" x14ac:dyDescent="0.35">
      <c r="A37" s="473"/>
      <c r="B37" s="313">
        <v>96005</v>
      </c>
      <c r="C37" s="8" t="s">
        <v>994</v>
      </c>
      <c r="D37" s="18">
        <v>9</v>
      </c>
      <c r="E37" s="251"/>
      <c r="F37" s="82"/>
      <c r="G37" s="79"/>
      <c r="H37" s="90"/>
      <c r="I37" s="85"/>
      <c r="J37" s="85"/>
      <c r="K37" s="85"/>
      <c r="L37" s="85"/>
      <c r="M37" s="85"/>
      <c r="N37" s="85"/>
      <c r="O37" s="85"/>
      <c r="P37" s="85"/>
      <c r="Q37" s="85"/>
      <c r="R37" s="85"/>
      <c r="S37" s="89"/>
      <c r="T37" s="89" t="s">
        <v>1124</v>
      </c>
      <c r="U37" s="85"/>
      <c r="V37" s="85"/>
      <c r="W37" s="85"/>
      <c r="X37" s="89" t="s">
        <v>1124</v>
      </c>
      <c r="Y37" s="79"/>
      <c r="Z37" s="79"/>
      <c r="AA37" s="94"/>
      <c r="AB37" s="79" t="s">
        <v>1124</v>
      </c>
      <c r="AC37" s="85"/>
      <c r="AD37" s="85"/>
      <c r="AE37" s="85"/>
      <c r="AF37" s="85"/>
      <c r="AG37" s="85" t="s">
        <v>1124</v>
      </c>
      <c r="AH37" s="85"/>
      <c r="AI37" s="85"/>
      <c r="AJ37" s="85"/>
      <c r="AK37" s="85"/>
      <c r="AL37" s="85"/>
      <c r="AM37" s="85"/>
      <c r="AN37" s="85"/>
      <c r="AO37" s="85"/>
      <c r="AP37" s="85"/>
      <c r="AQ37" s="85"/>
      <c r="AR37" s="85" t="s">
        <v>1124</v>
      </c>
      <c r="AS37" s="85"/>
      <c r="AT37" s="85"/>
      <c r="AU37" s="85"/>
      <c r="AV37" s="85"/>
      <c r="AW37" s="85"/>
      <c r="AX37" s="85"/>
      <c r="AY37" s="85"/>
      <c r="AZ37" s="85"/>
      <c r="BA37" s="85"/>
      <c r="BB37" s="89"/>
      <c r="BC37" s="89" t="s">
        <v>1124</v>
      </c>
      <c r="BD37" s="37"/>
      <c r="BE37" s="37"/>
      <c r="BF37" s="279"/>
      <c r="BG37" s="37"/>
      <c r="BH37" s="37"/>
      <c r="BI37" s="37"/>
      <c r="BJ37" s="283"/>
      <c r="BK37" s="161"/>
      <c r="BL37" s="294"/>
      <c r="BM37"/>
      <c r="BN37"/>
      <c r="BO37"/>
      <c r="BP37"/>
      <c r="BQ37"/>
      <c r="BR37"/>
      <c r="BS37"/>
      <c r="BT37"/>
      <c r="BU37"/>
      <c r="BV37"/>
      <c r="BW37"/>
      <c r="BX37"/>
      <c r="BY37"/>
      <c r="BZ37"/>
      <c r="CA37"/>
      <c r="CB37"/>
      <c r="CC37"/>
      <c r="CD37"/>
      <c r="CE37"/>
      <c r="CF37"/>
      <c r="CG37"/>
      <c r="CH37"/>
      <c r="CI37"/>
      <c r="CJ37"/>
    </row>
    <row r="38" spans="1:88" s="32" customFormat="1" ht="15" customHeight="1" x14ac:dyDescent="0.35">
      <c r="A38" s="473"/>
      <c r="B38" s="313">
        <v>78050</v>
      </c>
      <c r="C38" s="8" t="s">
        <v>773</v>
      </c>
      <c r="D38" s="18">
        <v>15</v>
      </c>
      <c r="E38" s="251"/>
      <c r="F38" s="82"/>
      <c r="G38" s="79"/>
      <c r="H38" s="90"/>
      <c r="I38" s="85"/>
      <c r="J38" s="85"/>
      <c r="K38" s="85"/>
      <c r="L38" s="85"/>
      <c r="M38" s="85"/>
      <c r="N38" s="85"/>
      <c r="O38" s="85"/>
      <c r="P38" s="85"/>
      <c r="Q38" s="85"/>
      <c r="R38" s="85"/>
      <c r="S38" s="89"/>
      <c r="T38" s="89" t="s">
        <v>1124</v>
      </c>
      <c r="U38" s="85"/>
      <c r="V38" s="85"/>
      <c r="W38" s="85"/>
      <c r="X38" s="89" t="s">
        <v>1124</v>
      </c>
      <c r="Y38" s="79"/>
      <c r="Z38" s="79"/>
      <c r="AA38" s="94"/>
      <c r="AB38" s="79" t="s">
        <v>1124</v>
      </c>
      <c r="AC38" s="85"/>
      <c r="AD38" s="85"/>
      <c r="AE38" s="85"/>
      <c r="AF38" s="85"/>
      <c r="AG38" s="85" t="s">
        <v>1124</v>
      </c>
      <c r="AH38" s="85"/>
      <c r="AI38" s="85"/>
      <c r="AJ38" s="85"/>
      <c r="AK38" s="85"/>
      <c r="AL38" s="85"/>
      <c r="AM38" s="85"/>
      <c r="AN38" s="85"/>
      <c r="AO38" s="85"/>
      <c r="AP38" s="85"/>
      <c r="AQ38" s="85"/>
      <c r="AR38" s="85" t="s">
        <v>1124</v>
      </c>
      <c r="AS38" s="85"/>
      <c r="AT38" s="85"/>
      <c r="AU38" s="85"/>
      <c r="AV38" s="85"/>
      <c r="AW38" s="85"/>
      <c r="AX38" s="85"/>
      <c r="AY38" s="85"/>
      <c r="AZ38" s="85"/>
      <c r="BA38" s="85"/>
      <c r="BB38" s="89"/>
      <c r="BC38" s="89" t="s">
        <v>1124</v>
      </c>
      <c r="BD38" s="37"/>
      <c r="BE38" s="37"/>
      <c r="BF38" s="279"/>
      <c r="BG38" s="37"/>
      <c r="BH38" s="37"/>
      <c r="BI38" s="37"/>
      <c r="BJ38" s="283"/>
      <c r="BK38" s="161"/>
      <c r="BL38" s="294"/>
      <c r="BM38"/>
      <c r="BN38"/>
      <c r="BO38"/>
      <c r="BP38"/>
      <c r="BQ38"/>
      <c r="BR38"/>
      <c r="BS38"/>
      <c r="BT38"/>
      <c r="BU38"/>
      <c r="BV38"/>
      <c r="BW38"/>
      <c r="BX38"/>
      <c r="BY38"/>
      <c r="BZ38"/>
      <c r="CA38"/>
      <c r="CB38"/>
      <c r="CC38"/>
      <c r="CD38"/>
      <c r="CE38"/>
      <c r="CF38"/>
      <c r="CG38"/>
      <c r="CH38"/>
      <c r="CI38"/>
      <c r="CJ38"/>
    </row>
    <row r="39" spans="1:88" s="32" customFormat="1" ht="15" customHeight="1" x14ac:dyDescent="0.35">
      <c r="A39" s="473"/>
      <c r="B39" s="313">
        <v>44045</v>
      </c>
      <c r="C39" s="8" t="s">
        <v>404</v>
      </c>
      <c r="D39" s="18">
        <v>5</v>
      </c>
      <c r="E39" s="251"/>
      <c r="F39" s="82"/>
      <c r="G39" s="79"/>
      <c r="H39" s="90"/>
      <c r="I39" s="85"/>
      <c r="J39" s="85"/>
      <c r="K39" s="85"/>
      <c r="L39" s="85"/>
      <c r="M39" s="85"/>
      <c r="N39" s="85"/>
      <c r="O39" s="85"/>
      <c r="P39" s="85"/>
      <c r="Q39" s="85"/>
      <c r="R39" s="85"/>
      <c r="S39" s="89"/>
      <c r="T39" s="89" t="s">
        <v>1124</v>
      </c>
      <c r="U39" s="85"/>
      <c r="V39" s="85"/>
      <c r="W39" s="85"/>
      <c r="X39" s="89" t="s">
        <v>1124</v>
      </c>
      <c r="Y39" s="79"/>
      <c r="Z39" s="79"/>
      <c r="AA39" s="94"/>
      <c r="AB39" s="79" t="s">
        <v>1124</v>
      </c>
      <c r="AC39" s="85"/>
      <c r="AD39" s="85"/>
      <c r="AE39" s="85"/>
      <c r="AF39" s="85"/>
      <c r="AG39" s="85" t="s">
        <v>1124</v>
      </c>
      <c r="AH39" s="85"/>
      <c r="AI39" s="85"/>
      <c r="AJ39" s="85"/>
      <c r="AK39" s="85"/>
      <c r="AL39" s="85"/>
      <c r="AM39" s="85"/>
      <c r="AN39" s="85"/>
      <c r="AO39" s="85"/>
      <c r="AP39" s="85"/>
      <c r="AQ39" s="85"/>
      <c r="AR39" s="85" t="s">
        <v>1124</v>
      </c>
      <c r="AS39" s="85"/>
      <c r="AT39" s="85"/>
      <c r="AU39" s="85"/>
      <c r="AV39" s="85"/>
      <c r="AW39" s="85"/>
      <c r="AX39" s="85"/>
      <c r="AY39" s="85"/>
      <c r="AZ39" s="85"/>
      <c r="BA39" s="85"/>
      <c r="BB39" s="89"/>
      <c r="BC39" s="89" t="s">
        <v>1124</v>
      </c>
      <c r="BD39" s="37"/>
      <c r="BE39" s="37"/>
      <c r="BF39" s="279"/>
      <c r="BG39" s="37"/>
      <c r="BH39" s="37"/>
      <c r="BI39" s="37"/>
      <c r="BJ39" s="283"/>
      <c r="BK39" s="161"/>
      <c r="BL39" s="294"/>
      <c r="BM39"/>
      <c r="BN39"/>
      <c r="BO39"/>
      <c r="BP39"/>
      <c r="BQ39"/>
      <c r="BR39"/>
      <c r="BS39"/>
      <c r="BT39"/>
      <c r="BU39"/>
      <c r="BV39"/>
      <c r="BW39"/>
      <c r="BX39"/>
      <c r="BY39"/>
      <c r="BZ39"/>
      <c r="CA39"/>
      <c r="CB39"/>
      <c r="CC39"/>
      <c r="CD39"/>
      <c r="CE39"/>
      <c r="CF39"/>
      <c r="CG39"/>
      <c r="CH39"/>
      <c r="CI39"/>
      <c r="CJ39"/>
    </row>
    <row r="40" spans="1:88" s="32" customFormat="1" ht="15" customHeight="1" x14ac:dyDescent="0.35">
      <c r="A40" s="473"/>
      <c r="B40" s="313">
        <v>88022</v>
      </c>
      <c r="C40" s="8" t="s">
        <v>914</v>
      </c>
      <c r="D40" s="18">
        <v>8</v>
      </c>
      <c r="E40" s="251"/>
      <c r="F40" s="82"/>
      <c r="G40" s="79"/>
      <c r="H40" s="90"/>
      <c r="I40" s="85"/>
      <c r="J40" s="85"/>
      <c r="K40" s="85"/>
      <c r="L40" s="85"/>
      <c r="M40" s="85"/>
      <c r="N40" s="85"/>
      <c r="O40" s="85"/>
      <c r="P40" s="85"/>
      <c r="Q40" s="85"/>
      <c r="R40" s="85"/>
      <c r="S40" s="89"/>
      <c r="T40" s="89" t="s">
        <v>1124</v>
      </c>
      <c r="U40" s="85"/>
      <c r="V40" s="85"/>
      <c r="W40" s="85"/>
      <c r="X40" s="89" t="s">
        <v>1124</v>
      </c>
      <c r="Y40" s="79"/>
      <c r="Z40" s="79"/>
      <c r="AA40" s="94"/>
      <c r="AB40" s="79" t="s">
        <v>1124</v>
      </c>
      <c r="AC40" s="85"/>
      <c r="AD40" s="85"/>
      <c r="AE40" s="85"/>
      <c r="AF40" s="85"/>
      <c r="AG40" s="85" t="s">
        <v>1124</v>
      </c>
      <c r="AH40" s="85"/>
      <c r="AI40" s="85"/>
      <c r="AJ40" s="85"/>
      <c r="AK40" s="85"/>
      <c r="AL40" s="85"/>
      <c r="AM40" s="85"/>
      <c r="AN40" s="85"/>
      <c r="AO40" s="85"/>
      <c r="AP40" s="85"/>
      <c r="AQ40" s="85"/>
      <c r="AR40" s="85" t="s">
        <v>1124</v>
      </c>
      <c r="AS40" s="85"/>
      <c r="AT40" s="85"/>
      <c r="AU40" s="85"/>
      <c r="AV40" s="85"/>
      <c r="AW40" s="85"/>
      <c r="AX40" s="85"/>
      <c r="AY40" s="85"/>
      <c r="AZ40" s="85"/>
      <c r="BA40" s="85"/>
      <c r="BB40" s="89"/>
      <c r="BC40" s="89" t="s">
        <v>1124</v>
      </c>
      <c r="BD40" s="37"/>
      <c r="BE40" s="37"/>
      <c r="BF40" s="279"/>
      <c r="BG40" s="37"/>
      <c r="BH40" s="37"/>
      <c r="BI40" s="37"/>
      <c r="BJ40" s="283"/>
      <c r="BK40" s="161"/>
      <c r="BL40" s="294"/>
      <c r="BM40"/>
      <c r="BN40"/>
      <c r="BO40"/>
      <c r="BP40"/>
      <c r="BQ40"/>
      <c r="BR40"/>
      <c r="BS40"/>
      <c r="BT40"/>
      <c r="BU40"/>
      <c r="BV40"/>
      <c r="BW40"/>
      <c r="BX40"/>
      <c r="BY40"/>
      <c r="BZ40"/>
      <c r="CA40"/>
      <c r="CB40"/>
      <c r="CC40"/>
      <c r="CD40"/>
      <c r="CE40"/>
      <c r="CF40"/>
      <c r="CG40"/>
      <c r="CH40"/>
      <c r="CI40"/>
      <c r="CJ40"/>
    </row>
    <row r="41" spans="1:88" s="32" customFormat="1" ht="15" customHeight="1" x14ac:dyDescent="0.35">
      <c r="A41" s="473"/>
      <c r="B41" s="313">
        <v>37210</v>
      </c>
      <c r="C41" s="8" t="s">
        <v>316</v>
      </c>
      <c r="D41" s="18">
        <v>4</v>
      </c>
      <c r="E41" s="251"/>
      <c r="F41" s="82"/>
      <c r="G41" s="79"/>
      <c r="H41" s="90"/>
      <c r="I41" s="85"/>
      <c r="J41" s="85"/>
      <c r="K41" s="85"/>
      <c r="L41" s="85"/>
      <c r="M41" s="85"/>
      <c r="N41" s="85"/>
      <c r="O41" s="85"/>
      <c r="P41" s="85"/>
      <c r="Q41" s="85"/>
      <c r="R41" s="85"/>
      <c r="S41" s="89"/>
      <c r="T41" s="89" t="s">
        <v>1124</v>
      </c>
      <c r="U41" s="85"/>
      <c r="V41" s="85"/>
      <c r="W41" s="85"/>
      <c r="X41" s="89" t="s">
        <v>1124</v>
      </c>
      <c r="Y41" s="79"/>
      <c r="Z41" s="79"/>
      <c r="AA41" s="94"/>
      <c r="AB41" s="79" t="s">
        <v>1124</v>
      </c>
      <c r="AC41" s="85"/>
      <c r="AD41" s="85"/>
      <c r="AE41" s="85"/>
      <c r="AF41" s="85"/>
      <c r="AG41" s="85" t="s">
        <v>1124</v>
      </c>
      <c r="AH41" s="85"/>
      <c r="AI41" s="85"/>
      <c r="AJ41" s="85"/>
      <c r="AK41" s="85"/>
      <c r="AL41" s="85"/>
      <c r="AM41" s="85"/>
      <c r="AN41" s="85"/>
      <c r="AO41" s="85"/>
      <c r="AP41" s="85"/>
      <c r="AQ41" s="85"/>
      <c r="AR41" s="85" t="s">
        <v>1124</v>
      </c>
      <c r="AS41" s="85"/>
      <c r="AT41" s="85"/>
      <c r="AU41" s="85"/>
      <c r="AV41" s="85"/>
      <c r="AW41" s="85"/>
      <c r="AX41" s="85"/>
      <c r="AY41" s="85"/>
      <c r="AZ41" s="85"/>
      <c r="BA41" s="85"/>
      <c r="BB41" s="89"/>
      <c r="BC41" s="89" t="s">
        <v>1124</v>
      </c>
      <c r="BD41" s="37"/>
      <c r="BE41" s="37"/>
      <c r="BF41" s="279"/>
      <c r="BG41" s="37"/>
      <c r="BH41" s="37"/>
      <c r="BI41" s="37"/>
      <c r="BJ41" s="283"/>
      <c r="BK41" s="161"/>
      <c r="BL41" s="294"/>
      <c r="BM41"/>
      <c r="BN41"/>
      <c r="BO41"/>
      <c r="BP41"/>
      <c r="BQ41"/>
      <c r="BR41"/>
      <c r="BS41"/>
      <c r="BT41"/>
      <c r="BU41"/>
      <c r="BV41"/>
      <c r="BW41"/>
      <c r="BX41"/>
      <c r="BY41"/>
      <c r="BZ41"/>
      <c r="CA41"/>
      <c r="CB41"/>
      <c r="CC41"/>
      <c r="CD41"/>
      <c r="CE41"/>
      <c r="CF41"/>
      <c r="CG41"/>
      <c r="CH41"/>
      <c r="CI41"/>
      <c r="CJ41"/>
    </row>
    <row r="42" spans="1:88" s="32" customFormat="1" ht="15" customHeight="1" x14ac:dyDescent="0.35">
      <c r="A42" s="473"/>
      <c r="B42" s="313">
        <v>66107</v>
      </c>
      <c r="C42" s="8" t="s">
        <v>658</v>
      </c>
      <c r="D42" s="18">
        <v>6</v>
      </c>
      <c r="E42" s="251"/>
      <c r="F42" s="82"/>
      <c r="G42" s="79"/>
      <c r="H42" s="90"/>
      <c r="I42" s="85"/>
      <c r="J42" s="85"/>
      <c r="K42" s="85"/>
      <c r="L42" s="85"/>
      <c r="M42" s="85"/>
      <c r="N42" s="85"/>
      <c r="O42" s="85"/>
      <c r="P42" s="85"/>
      <c r="Q42" s="85"/>
      <c r="R42" s="85"/>
      <c r="S42" s="89"/>
      <c r="T42" s="89" t="s">
        <v>1124</v>
      </c>
      <c r="U42" s="85"/>
      <c r="V42" s="85"/>
      <c r="W42" s="85"/>
      <c r="X42" s="89" t="s">
        <v>1124</v>
      </c>
      <c r="Y42" s="79"/>
      <c r="Z42" s="79"/>
      <c r="AA42" s="94"/>
      <c r="AB42" s="79" t="s">
        <v>1124</v>
      </c>
      <c r="AC42" s="85"/>
      <c r="AD42" s="85"/>
      <c r="AE42" s="85"/>
      <c r="AF42" s="85"/>
      <c r="AG42" s="85" t="s">
        <v>1124</v>
      </c>
      <c r="AH42" s="85"/>
      <c r="AI42" s="85"/>
      <c r="AJ42" s="85"/>
      <c r="AK42" s="85"/>
      <c r="AL42" s="85"/>
      <c r="AM42" s="85"/>
      <c r="AN42" s="85"/>
      <c r="AO42" s="85"/>
      <c r="AP42" s="85"/>
      <c r="AQ42" s="85"/>
      <c r="AR42" s="85" t="s">
        <v>1124</v>
      </c>
      <c r="AS42" s="85"/>
      <c r="AT42" s="85"/>
      <c r="AU42" s="85"/>
      <c r="AV42" s="85"/>
      <c r="AW42" s="85"/>
      <c r="AX42" s="85"/>
      <c r="AY42" s="85"/>
      <c r="AZ42" s="85"/>
      <c r="BA42" s="85"/>
      <c r="BB42" s="89"/>
      <c r="BC42" s="89" t="s">
        <v>1124</v>
      </c>
      <c r="BD42" s="37"/>
      <c r="BE42" s="37"/>
      <c r="BF42" s="279"/>
      <c r="BG42" s="37"/>
      <c r="BH42" s="37"/>
      <c r="BI42" s="37"/>
      <c r="BJ42" s="283"/>
      <c r="BK42" s="161"/>
      <c r="BL42" s="294"/>
      <c r="BM42"/>
      <c r="BN42"/>
      <c r="BO42"/>
      <c r="BP42"/>
      <c r="BQ42"/>
      <c r="BR42"/>
      <c r="BS42"/>
      <c r="BT42"/>
      <c r="BU42"/>
      <c r="BV42"/>
      <c r="BW42"/>
      <c r="BX42"/>
      <c r="BY42"/>
      <c r="BZ42"/>
      <c r="CA42"/>
      <c r="CB42"/>
      <c r="CC42"/>
      <c r="CD42"/>
      <c r="CE42"/>
      <c r="CF42"/>
      <c r="CG42"/>
      <c r="CH42"/>
      <c r="CI42"/>
      <c r="CJ42"/>
    </row>
    <row r="43" spans="1:88" s="32" customFormat="1" ht="15" customHeight="1" x14ac:dyDescent="0.35">
      <c r="A43" s="473"/>
      <c r="B43" s="313">
        <v>85020</v>
      </c>
      <c r="C43" s="8" t="s">
        <v>873</v>
      </c>
      <c r="D43" s="18">
        <v>8</v>
      </c>
      <c r="E43" s="251">
        <v>320</v>
      </c>
      <c r="F43" s="82">
        <v>1.98</v>
      </c>
      <c r="G43" s="79">
        <v>633.6</v>
      </c>
      <c r="H43" s="90">
        <v>17.943999999999999</v>
      </c>
      <c r="I43" s="85">
        <v>15.04</v>
      </c>
      <c r="J43" s="85">
        <v>17.387</v>
      </c>
      <c r="K43" s="85">
        <v>17.283000000000001</v>
      </c>
      <c r="L43" s="85">
        <v>17.577999999999999</v>
      </c>
      <c r="M43" s="85">
        <v>18.888999999999999</v>
      </c>
      <c r="N43" s="85">
        <v>21.187000000000001</v>
      </c>
      <c r="O43" s="85">
        <v>17.969000000000001</v>
      </c>
      <c r="P43" s="85">
        <v>17.285</v>
      </c>
      <c r="Q43" s="85">
        <v>15.21</v>
      </c>
      <c r="R43" s="85">
        <v>16.736000000000001</v>
      </c>
      <c r="S43" s="89">
        <v>16.888000000000002</v>
      </c>
      <c r="T43" s="89">
        <v>209.39599999999999</v>
      </c>
      <c r="U43" s="85">
        <v>0</v>
      </c>
      <c r="V43" s="85">
        <v>209.39500000000001</v>
      </c>
      <c r="W43" s="85">
        <v>0</v>
      </c>
      <c r="X43" s="89">
        <v>209.39500000000001</v>
      </c>
      <c r="Y43" s="79">
        <v>0</v>
      </c>
      <c r="Z43" s="79">
        <v>1</v>
      </c>
      <c r="AA43" s="94">
        <v>0</v>
      </c>
      <c r="AB43" s="79">
        <v>1</v>
      </c>
      <c r="AC43" s="85">
        <v>61.51</v>
      </c>
      <c r="AD43" s="85">
        <v>113.48699999999999</v>
      </c>
      <c r="AE43" s="85">
        <v>34.399000000000001</v>
      </c>
      <c r="AF43" s="85">
        <v>0</v>
      </c>
      <c r="AG43" s="85">
        <v>209.39599999999999</v>
      </c>
      <c r="AH43" s="85">
        <v>0</v>
      </c>
      <c r="AI43" s="85">
        <v>0</v>
      </c>
      <c r="AJ43" s="85">
        <v>0</v>
      </c>
      <c r="AK43" s="85">
        <v>0</v>
      </c>
      <c r="AL43" s="85">
        <v>0</v>
      </c>
      <c r="AM43" s="85">
        <v>0</v>
      </c>
      <c r="AN43" s="85">
        <v>0</v>
      </c>
      <c r="AO43" s="85">
        <v>0</v>
      </c>
      <c r="AP43" s="85">
        <v>0</v>
      </c>
      <c r="AQ43" s="85">
        <v>0</v>
      </c>
      <c r="AR43" s="85">
        <v>0</v>
      </c>
      <c r="AS43" s="85">
        <v>0</v>
      </c>
      <c r="AT43" s="85">
        <v>0</v>
      </c>
      <c r="AU43" s="85">
        <v>0</v>
      </c>
      <c r="AV43" s="85">
        <v>0</v>
      </c>
      <c r="AW43" s="85">
        <v>0</v>
      </c>
      <c r="AX43" s="85">
        <v>0</v>
      </c>
      <c r="AY43" s="85">
        <v>209.39500000000001</v>
      </c>
      <c r="AZ43" s="85">
        <v>0</v>
      </c>
      <c r="BA43" s="85">
        <v>0</v>
      </c>
      <c r="BB43" s="89">
        <v>0</v>
      </c>
      <c r="BC43" s="89">
        <v>209.39500000000001</v>
      </c>
      <c r="BD43" s="37">
        <v>49097</v>
      </c>
      <c r="BE43" s="37">
        <v>16813</v>
      </c>
      <c r="BF43" s="279">
        <v>18314</v>
      </c>
      <c r="BG43" s="37">
        <v>21828</v>
      </c>
      <c r="BH43" s="37">
        <v>16361</v>
      </c>
      <c r="BI43" s="37">
        <v>3297</v>
      </c>
      <c r="BJ43" s="283">
        <v>59800</v>
      </c>
      <c r="BK43" s="161"/>
      <c r="BL43" s="294"/>
      <c r="BM43"/>
      <c r="BN43"/>
      <c r="BO43"/>
      <c r="BP43"/>
      <c r="BQ43"/>
      <c r="BR43"/>
      <c r="BS43"/>
      <c r="BT43"/>
      <c r="BU43"/>
      <c r="BV43"/>
      <c r="BW43"/>
      <c r="BX43"/>
      <c r="BY43"/>
      <c r="BZ43"/>
      <c r="CA43"/>
      <c r="CB43"/>
      <c r="CC43"/>
      <c r="CD43"/>
      <c r="CE43"/>
      <c r="CF43"/>
      <c r="CG43"/>
      <c r="CH43"/>
      <c r="CI43"/>
      <c r="CJ43"/>
    </row>
    <row r="44" spans="1:88" s="32" customFormat="1" ht="15" customHeight="1" x14ac:dyDescent="0.35">
      <c r="A44" s="473"/>
      <c r="B44" s="313">
        <v>27028</v>
      </c>
      <c r="C44" s="8" t="s">
        <v>180</v>
      </c>
      <c r="D44" s="18">
        <v>12</v>
      </c>
      <c r="E44" s="251">
        <v>2008</v>
      </c>
      <c r="F44" s="82">
        <v>2.25</v>
      </c>
      <c r="G44" s="79">
        <v>4518</v>
      </c>
      <c r="H44" s="90">
        <v>53.134900000000002</v>
      </c>
      <c r="I44" s="85">
        <v>50.316630000000004</v>
      </c>
      <c r="J44" s="85">
        <v>55.903120000000001</v>
      </c>
      <c r="K44" s="85">
        <v>53.823929999999997</v>
      </c>
      <c r="L44" s="85">
        <v>58.084389999999999</v>
      </c>
      <c r="M44" s="85">
        <v>56.483049999999999</v>
      </c>
      <c r="N44" s="85">
        <v>63.821959999999997</v>
      </c>
      <c r="O44" s="85">
        <v>63.286470000000001</v>
      </c>
      <c r="P44" s="85">
        <v>58.950420000000001</v>
      </c>
      <c r="Q44" s="85">
        <v>61.067749999999997</v>
      </c>
      <c r="R44" s="85">
        <v>58.366100000000003</v>
      </c>
      <c r="S44" s="89">
        <v>57.397739999999999</v>
      </c>
      <c r="T44" s="89">
        <v>690.63645999999994</v>
      </c>
      <c r="U44" s="85">
        <v>690.63645999999994</v>
      </c>
      <c r="V44" s="85">
        <v>0</v>
      </c>
      <c r="W44" s="85">
        <v>0</v>
      </c>
      <c r="X44" s="89">
        <v>690.63645999999994</v>
      </c>
      <c r="Y44" s="79">
        <v>1</v>
      </c>
      <c r="Z44" s="79">
        <v>0</v>
      </c>
      <c r="AA44" s="94">
        <v>0</v>
      </c>
      <c r="AB44" s="79">
        <v>1</v>
      </c>
      <c r="AC44" s="85">
        <v>200.94200000000001</v>
      </c>
      <c r="AD44" s="85">
        <v>203.04448400000001</v>
      </c>
      <c r="AE44" s="85">
        <v>286.64997599999992</v>
      </c>
      <c r="AF44" s="85">
        <v>0</v>
      </c>
      <c r="AG44" s="85">
        <v>690.63645999999994</v>
      </c>
      <c r="AH44" s="85">
        <v>690.63645999999994</v>
      </c>
      <c r="AI44" s="85">
        <v>0</v>
      </c>
      <c r="AJ44" s="85">
        <v>0</v>
      </c>
      <c r="AK44" s="85">
        <v>0</v>
      </c>
      <c r="AL44" s="85">
        <v>0</v>
      </c>
      <c r="AM44" s="85">
        <v>0</v>
      </c>
      <c r="AN44" s="85">
        <v>0</v>
      </c>
      <c r="AO44" s="85">
        <v>0</v>
      </c>
      <c r="AP44" s="85">
        <v>0</v>
      </c>
      <c r="AQ44" s="85">
        <v>0</v>
      </c>
      <c r="AR44" s="85">
        <v>690.63645999999994</v>
      </c>
      <c r="AS44" s="85">
        <v>0</v>
      </c>
      <c r="AT44" s="85">
        <v>0</v>
      </c>
      <c r="AU44" s="85">
        <v>0</v>
      </c>
      <c r="AV44" s="85">
        <v>0</v>
      </c>
      <c r="AW44" s="85">
        <v>0</v>
      </c>
      <c r="AX44" s="85">
        <v>0</v>
      </c>
      <c r="AY44" s="85">
        <v>0</v>
      </c>
      <c r="AZ44" s="85">
        <v>0</v>
      </c>
      <c r="BA44" s="85">
        <v>0</v>
      </c>
      <c r="BB44" s="89">
        <v>0</v>
      </c>
      <c r="BC44" s="89">
        <v>0</v>
      </c>
      <c r="BD44" s="37">
        <v>0</v>
      </c>
      <c r="BE44" s="37">
        <v>0</v>
      </c>
      <c r="BF44" s="279">
        <v>85551</v>
      </c>
      <c r="BG44" s="37">
        <v>174905</v>
      </c>
      <c r="BH44" s="37">
        <v>145236</v>
      </c>
      <c r="BI44" s="37">
        <v>0</v>
      </c>
      <c r="BJ44" s="283">
        <v>405692</v>
      </c>
      <c r="BK44" s="161" t="s">
        <v>1517</v>
      </c>
      <c r="BL44" s="294"/>
      <c r="BM44"/>
      <c r="BN44"/>
      <c r="BO44"/>
      <c r="BP44"/>
      <c r="BQ44"/>
      <c r="BR44"/>
      <c r="BS44"/>
      <c r="BT44"/>
      <c r="BU44"/>
      <c r="BV44"/>
      <c r="BW44"/>
      <c r="BX44"/>
      <c r="BY44"/>
      <c r="BZ44"/>
      <c r="CA44"/>
      <c r="CB44"/>
      <c r="CC44"/>
      <c r="CD44"/>
      <c r="CE44"/>
      <c r="CF44"/>
      <c r="CG44"/>
      <c r="CH44"/>
      <c r="CI44"/>
      <c r="CJ44"/>
    </row>
    <row r="45" spans="1:88" s="32" customFormat="1" ht="15" customHeight="1" x14ac:dyDescent="0.35">
      <c r="A45" s="473"/>
      <c r="B45" s="313">
        <v>70022</v>
      </c>
      <c r="C45" s="8" t="s">
        <v>699</v>
      </c>
      <c r="D45" s="18">
        <v>16</v>
      </c>
      <c r="E45" s="251">
        <v>6803</v>
      </c>
      <c r="F45" s="82">
        <v>2.2634996582365003</v>
      </c>
      <c r="G45" s="79">
        <v>15398.588174982911</v>
      </c>
      <c r="H45" s="90">
        <v>262.26900000000001</v>
      </c>
      <c r="I45" s="85">
        <v>248.16800000000001</v>
      </c>
      <c r="J45" s="85">
        <v>259.62599999999998</v>
      </c>
      <c r="K45" s="85">
        <v>241.88300000000001</v>
      </c>
      <c r="L45" s="85">
        <v>246.989</v>
      </c>
      <c r="M45" s="85">
        <v>249.31100000000001</v>
      </c>
      <c r="N45" s="85">
        <v>262.68200000000002</v>
      </c>
      <c r="O45" s="85">
        <v>253.98400000000001</v>
      </c>
      <c r="P45" s="85">
        <v>214.364</v>
      </c>
      <c r="Q45" s="85">
        <v>201.464</v>
      </c>
      <c r="R45" s="85">
        <v>196.16399999999999</v>
      </c>
      <c r="S45" s="89">
        <v>221.065</v>
      </c>
      <c r="T45" s="89">
        <v>2857.9689999999996</v>
      </c>
      <c r="U45" s="85">
        <v>2114.3150000000001</v>
      </c>
      <c r="V45" s="85">
        <v>0</v>
      </c>
      <c r="W45" s="85">
        <v>743.65599999999995</v>
      </c>
      <c r="X45" s="89">
        <v>2857.971</v>
      </c>
      <c r="Y45" s="79">
        <v>1</v>
      </c>
      <c r="Z45" s="79">
        <v>0</v>
      </c>
      <c r="AA45" s="94">
        <v>1</v>
      </c>
      <c r="AB45" s="79">
        <v>2</v>
      </c>
      <c r="AC45" s="85">
        <v>1448.5259400415182</v>
      </c>
      <c r="AD45" s="85">
        <v>163.2381646492031</v>
      </c>
      <c r="AE45" s="85">
        <v>1240.2048953092783</v>
      </c>
      <c r="AF45" s="85">
        <v>6</v>
      </c>
      <c r="AG45" s="85">
        <v>2857.9689999999996</v>
      </c>
      <c r="AH45" s="85">
        <v>0</v>
      </c>
      <c r="AI45" s="85">
        <v>0</v>
      </c>
      <c r="AJ45" s="85">
        <v>2114.3150000000001</v>
      </c>
      <c r="AK45" s="85">
        <v>0</v>
      </c>
      <c r="AL45" s="85">
        <v>0</v>
      </c>
      <c r="AM45" s="85">
        <v>0</v>
      </c>
      <c r="AN45" s="85">
        <v>0</v>
      </c>
      <c r="AO45" s="85">
        <v>0</v>
      </c>
      <c r="AP45" s="85">
        <v>0</v>
      </c>
      <c r="AQ45" s="85">
        <v>0</v>
      </c>
      <c r="AR45" s="85">
        <v>2114.3150000000001</v>
      </c>
      <c r="AS45" s="85">
        <v>0</v>
      </c>
      <c r="AT45" s="85">
        <v>0</v>
      </c>
      <c r="AU45" s="85">
        <v>743.65599999999995</v>
      </c>
      <c r="AV45" s="85">
        <v>0</v>
      </c>
      <c r="AW45" s="85">
        <v>0</v>
      </c>
      <c r="AX45" s="85">
        <v>0</v>
      </c>
      <c r="AY45" s="85">
        <v>0</v>
      </c>
      <c r="AZ45" s="85">
        <v>0</v>
      </c>
      <c r="BA45" s="85">
        <v>0</v>
      </c>
      <c r="BB45" s="89">
        <v>0</v>
      </c>
      <c r="BC45" s="89">
        <v>743.65599999999995</v>
      </c>
      <c r="BD45" s="37">
        <v>0</v>
      </c>
      <c r="BE45" s="37">
        <v>0</v>
      </c>
      <c r="BF45" s="279">
        <v>90000</v>
      </c>
      <c r="BG45" s="37">
        <v>711247</v>
      </c>
      <c r="BH45" s="37">
        <v>131282</v>
      </c>
      <c r="BI45" s="37">
        <v>0</v>
      </c>
      <c r="BJ45" s="283">
        <v>932529</v>
      </c>
      <c r="BK45" s="161" t="s">
        <v>1445</v>
      </c>
      <c r="BL45" s="294"/>
      <c r="BM45"/>
      <c r="BN45"/>
      <c r="BO45"/>
      <c r="BP45"/>
      <c r="BQ45"/>
      <c r="BR45"/>
      <c r="BS45"/>
      <c r="BT45"/>
      <c r="BU45"/>
      <c r="BV45"/>
      <c r="BW45"/>
      <c r="BX45"/>
      <c r="BY45"/>
      <c r="BZ45"/>
      <c r="CA45"/>
      <c r="CB45"/>
      <c r="CC45"/>
      <c r="CD45"/>
      <c r="CE45"/>
      <c r="CF45"/>
      <c r="CG45"/>
      <c r="CH45"/>
      <c r="CI45"/>
      <c r="CJ45"/>
    </row>
    <row r="46" spans="1:88" s="32" customFormat="1" ht="15" customHeight="1" x14ac:dyDescent="0.35">
      <c r="A46" s="473"/>
      <c r="B46" s="313">
        <v>31008</v>
      </c>
      <c r="C46" s="8" t="s">
        <v>237</v>
      </c>
      <c r="D46" s="18">
        <v>12</v>
      </c>
      <c r="E46" s="251">
        <v>169</v>
      </c>
      <c r="F46" s="82">
        <v>1.8660194174757281</v>
      </c>
      <c r="G46" s="79">
        <v>315.35728155339802</v>
      </c>
      <c r="H46" s="90">
        <v>4.21</v>
      </c>
      <c r="I46" s="85">
        <v>3.5750000000000002</v>
      </c>
      <c r="J46" s="85">
        <v>4.5039999999999996</v>
      </c>
      <c r="K46" s="85">
        <v>4.7229999999999999</v>
      </c>
      <c r="L46" s="85">
        <v>4.5199999999999996</v>
      </c>
      <c r="M46" s="85">
        <v>4.8680000000000003</v>
      </c>
      <c r="N46" s="85">
        <v>5.21</v>
      </c>
      <c r="O46" s="85">
        <v>4.7809999999999997</v>
      </c>
      <c r="P46" s="85">
        <v>4.1150000000000002</v>
      </c>
      <c r="Q46" s="85">
        <v>3.601</v>
      </c>
      <c r="R46" s="85">
        <v>3.6589999999999998</v>
      </c>
      <c r="S46" s="89">
        <v>3.3759999999999999</v>
      </c>
      <c r="T46" s="89">
        <v>51.141999999999996</v>
      </c>
      <c r="U46" s="85">
        <v>0</v>
      </c>
      <c r="V46" s="85">
        <v>51.142000000000003</v>
      </c>
      <c r="W46" s="85">
        <v>0</v>
      </c>
      <c r="X46" s="89">
        <v>51.142000000000003</v>
      </c>
      <c r="Y46" s="79">
        <v>0</v>
      </c>
      <c r="Z46" s="79">
        <v>2</v>
      </c>
      <c r="AA46" s="94">
        <v>0</v>
      </c>
      <c r="AB46" s="79">
        <v>2</v>
      </c>
      <c r="AC46" s="85">
        <v>43.722000000000001</v>
      </c>
      <c r="AD46" s="85">
        <v>3.613</v>
      </c>
      <c r="AE46" s="85">
        <v>3.8069999999999999</v>
      </c>
      <c r="AF46" s="85">
        <v>0</v>
      </c>
      <c r="AG46" s="85">
        <v>51.142000000000003</v>
      </c>
      <c r="AH46" s="85">
        <v>0</v>
      </c>
      <c r="AI46" s="85">
        <v>0</v>
      </c>
      <c r="AJ46" s="85">
        <v>0</v>
      </c>
      <c r="AK46" s="85">
        <v>0</v>
      </c>
      <c r="AL46" s="85">
        <v>0</v>
      </c>
      <c r="AM46" s="85">
        <v>0</v>
      </c>
      <c r="AN46" s="85">
        <v>0</v>
      </c>
      <c r="AO46" s="85">
        <v>0</v>
      </c>
      <c r="AP46" s="85">
        <v>0</v>
      </c>
      <c r="AQ46" s="85">
        <v>0</v>
      </c>
      <c r="AR46" s="85">
        <v>0</v>
      </c>
      <c r="AS46" s="85">
        <v>51.142000000000003</v>
      </c>
      <c r="AT46" s="85">
        <v>0</v>
      </c>
      <c r="AU46" s="85">
        <v>0</v>
      </c>
      <c r="AV46" s="85">
        <v>0</v>
      </c>
      <c r="AW46" s="85">
        <v>0</v>
      </c>
      <c r="AX46" s="85">
        <v>0</v>
      </c>
      <c r="AY46" s="85">
        <v>0</v>
      </c>
      <c r="AZ46" s="85">
        <v>0</v>
      </c>
      <c r="BA46" s="85">
        <v>0</v>
      </c>
      <c r="BB46" s="89">
        <v>0</v>
      </c>
      <c r="BC46" s="89">
        <v>51.142000000000003</v>
      </c>
      <c r="BD46" s="37">
        <v>0</v>
      </c>
      <c r="BE46" s="37">
        <v>0</v>
      </c>
      <c r="BF46" s="279">
        <v>3700</v>
      </c>
      <c r="BG46" s="37">
        <v>1700</v>
      </c>
      <c r="BH46" s="37">
        <v>7500</v>
      </c>
      <c r="BI46" s="37">
        <v>4280</v>
      </c>
      <c r="BJ46" s="283">
        <v>17180</v>
      </c>
      <c r="BK46" s="161"/>
      <c r="BL46" s="294"/>
      <c r="BM46"/>
      <c r="BN46"/>
      <c r="BO46"/>
      <c r="BP46"/>
      <c r="BQ46"/>
      <c r="BR46"/>
      <c r="BS46"/>
      <c r="BT46"/>
      <c r="BU46"/>
      <c r="BV46"/>
      <c r="BW46"/>
      <c r="BX46"/>
      <c r="BY46"/>
      <c r="BZ46"/>
      <c r="CA46"/>
      <c r="CB46"/>
      <c r="CC46"/>
      <c r="CD46"/>
      <c r="CE46"/>
      <c r="CF46"/>
      <c r="CG46"/>
      <c r="CH46"/>
      <c r="CI46"/>
      <c r="CJ46"/>
    </row>
    <row r="47" spans="1:88" s="32" customFormat="1" ht="15" customHeight="1" x14ac:dyDescent="0.35">
      <c r="A47" s="473"/>
      <c r="B47" s="313">
        <v>19105</v>
      </c>
      <c r="C47" s="8" t="s">
        <v>135</v>
      </c>
      <c r="D47" s="18">
        <v>12</v>
      </c>
      <c r="E47" s="251">
        <v>705</v>
      </c>
      <c r="F47" s="82">
        <v>2.4812656119900085</v>
      </c>
      <c r="G47" s="79">
        <v>1749.2922564529561</v>
      </c>
      <c r="H47" s="90">
        <v>8.8870000000000005</v>
      </c>
      <c r="I47" s="85">
        <v>8.2210000000000001</v>
      </c>
      <c r="J47" s="85">
        <v>9.8689999999999998</v>
      </c>
      <c r="K47" s="85">
        <v>9.2349999999999994</v>
      </c>
      <c r="L47" s="85">
        <v>11.151999999999999</v>
      </c>
      <c r="M47" s="85">
        <v>12.548999999999999</v>
      </c>
      <c r="N47" s="85">
        <v>15.983000000000001</v>
      </c>
      <c r="O47" s="85">
        <v>12.863</v>
      </c>
      <c r="P47" s="85">
        <v>10.430999999999999</v>
      </c>
      <c r="Q47" s="85">
        <v>10.263</v>
      </c>
      <c r="R47" s="85">
        <v>9.9130000000000003</v>
      </c>
      <c r="S47" s="89">
        <v>9.4890000000000008</v>
      </c>
      <c r="T47" s="89">
        <v>128.85499999999999</v>
      </c>
      <c r="U47" s="85">
        <v>0</v>
      </c>
      <c r="V47" s="85">
        <v>128.85499999999999</v>
      </c>
      <c r="W47" s="85">
        <v>0</v>
      </c>
      <c r="X47" s="89">
        <v>128.85499999999999</v>
      </c>
      <c r="Y47" s="79">
        <v>0</v>
      </c>
      <c r="Z47" s="79">
        <v>4</v>
      </c>
      <c r="AA47" s="94">
        <v>0</v>
      </c>
      <c r="AB47" s="79">
        <v>4</v>
      </c>
      <c r="AC47" s="85">
        <v>96.223736187845304</v>
      </c>
      <c r="AD47" s="85">
        <v>4.5260888121546827</v>
      </c>
      <c r="AE47" s="85">
        <v>28.105174999999999</v>
      </c>
      <c r="AF47" s="85">
        <v>0</v>
      </c>
      <c r="AG47" s="85">
        <v>128.85499999999999</v>
      </c>
      <c r="AH47" s="85">
        <v>0</v>
      </c>
      <c r="AI47" s="85">
        <v>0</v>
      </c>
      <c r="AJ47" s="85">
        <v>0</v>
      </c>
      <c r="AK47" s="85">
        <v>0</v>
      </c>
      <c r="AL47" s="85">
        <v>0</v>
      </c>
      <c r="AM47" s="85">
        <v>0</v>
      </c>
      <c r="AN47" s="85">
        <v>0</v>
      </c>
      <c r="AO47" s="85">
        <v>0</v>
      </c>
      <c r="AP47" s="85">
        <v>0</v>
      </c>
      <c r="AQ47" s="85">
        <v>0</v>
      </c>
      <c r="AR47" s="85">
        <v>0</v>
      </c>
      <c r="AS47" s="85">
        <v>0</v>
      </c>
      <c r="AT47" s="85">
        <v>0</v>
      </c>
      <c r="AU47" s="85">
        <v>0</v>
      </c>
      <c r="AV47" s="85">
        <v>0</v>
      </c>
      <c r="AW47" s="85">
        <v>0</v>
      </c>
      <c r="AX47" s="85">
        <v>0</v>
      </c>
      <c r="AY47" s="85">
        <v>128.85499999999999</v>
      </c>
      <c r="AZ47" s="85">
        <v>0</v>
      </c>
      <c r="BA47" s="85">
        <v>0</v>
      </c>
      <c r="BB47" s="89">
        <v>0</v>
      </c>
      <c r="BC47" s="89">
        <v>128.85499999999999</v>
      </c>
      <c r="BD47" s="37">
        <v>0</v>
      </c>
      <c r="BE47" s="37">
        <v>15027</v>
      </c>
      <c r="BF47" s="279">
        <v>11300</v>
      </c>
      <c r="BG47" s="37">
        <v>23385</v>
      </c>
      <c r="BH47" s="37">
        <v>13095</v>
      </c>
      <c r="BI47" s="37">
        <v>0</v>
      </c>
      <c r="BJ47" s="283">
        <v>47780</v>
      </c>
      <c r="BK47" s="161"/>
      <c r="BL47" s="294"/>
      <c r="BM47"/>
      <c r="BN47"/>
      <c r="BO47"/>
      <c r="BP47"/>
      <c r="BQ47"/>
      <c r="BR47"/>
      <c r="BS47"/>
      <c r="BT47"/>
      <c r="BU47"/>
      <c r="BV47"/>
      <c r="BW47"/>
      <c r="BX47"/>
      <c r="BY47"/>
      <c r="BZ47"/>
      <c r="CA47"/>
      <c r="CB47"/>
      <c r="CC47"/>
      <c r="CD47"/>
      <c r="CE47"/>
      <c r="CF47"/>
      <c r="CG47"/>
      <c r="CH47"/>
      <c r="CI47"/>
      <c r="CJ47"/>
    </row>
    <row r="48" spans="1:88" s="32" customFormat="1" ht="15" customHeight="1" x14ac:dyDescent="0.35">
      <c r="A48" s="473"/>
      <c r="B48" s="313">
        <v>21025</v>
      </c>
      <c r="C48" s="8" t="s">
        <v>148</v>
      </c>
      <c r="D48" s="18">
        <v>3</v>
      </c>
      <c r="E48" s="251">
        <v>2482</v>
      </c>
      <c r="F48" s="82">
        <v>1.52</v>
      </c>
      <c r="G48" s="79">
        <v>3772.64</v>
      </c>
      <c r="H48" s="90">
        <v>52.295000000000002</v>
      </c>
      <c r="I48" s="85">
        <v>47.207999999999998</v>
      </c>
      <c r="J48" s="85">
        <v>53.323</v>
      </c>
      <c r="K48" s="85">
        <v>44.177</v>
      </c>
      <c r="L48" s="85">
        <v>55.920999999999999</v>
      </c>
      <c r="M48" s="85">
        <v>67.233999999999995</v>
      </c>
      <c r="N48" s="85">
        <v>91.769000000000005</v>
      </c>
      <c r="O48" s="85">
        <v>86.073999999999998</v>
      </c>
      <c r="P48" s="85">
        <v>62.978000000000002</v>
      </c>
      <c r="Q48" s="85">
        <v>59.814999999999998</v>
      </c>
      <c r="R48" s="85">
        <v>52.37</v>
      </c>
      <c r="S48" s="89">
        <v>60.402999999999999</v>
      </c>
      <c r="T48" s="89">
        <v>733.56699999999989</v>
      </c>
      <c r="U48" s="85">
        <v>733.56700000000001</v>
      </c>
      <c r="V48" s="85">
        <v>0</v>
      </c>
      <c r="W48" s="85">
        <v>0</v>
      </c>
      <c r="X48" s="89">
        <v>733.56700000000001</v>
      </c>
      <c r="Y48" s="79">
        <v>1</v>
      </c>
      <c r="Z48" s="79">
        <v>0</v>
      </c>
      <c r="AA48" s="94">
        <v>0</v>
      </c>
      <c r="AB48" s="79">
        <v>1</v>
      </c>
      <c r="AC48" s="85">
        <v>262</v>
      </c>
      <c r="AD48" s="85">
        <v>302.73321750000002</v>
      </c>
      <c r="AE48" s="85">
        <v>94.170782499999959</v>
      </c>
      <c r="AF48" s="85">
        <v>74.662999999999897</v>
      </c>
      <c r="AG48" s="85">
        <v>733.56699999999989</v>
      </c>
      <c r="AH48" s="85">
        <v>0</v>
      </c>
      <c r="AI48" s="85">
        <v>0</v>
      </c>
      <c r="AJ48" s="85">
        <v>0</v>
      </c>
      <c r="AK48" s="85">
        <v>733.56700000000001</v>
      </c>
      <c r="AL48" s="85">
        <v>0</v>
      </c>
      <c r="AM48" s="85">
        <v>0</v>
      </c>
      <c r="AN48" s="85">
        <v>0</v>
      </c>
      <c r="AO48" s="85">
        <v>0</v>
      </c>
      <c r="AP48" s="85">
        <v>0</v>
      </c>
      <c r="AQ48" s="85">
        <v>0</v>
      </c>
      <c r="AR48" s="85">
        <v>733.56700000000001</v>
      </c>
      <c r="AS48" s="85">
        <v>0</v>
      </c>
      <c r="AT48" s="85">
        <v>0</v>
      </c>
      <c r="AU48" s="85">
        <v>0</v>
      </c>
      <c r="AV48" s="85">
        <v>0</v>
      </c>
      <c r="AW48" s="85">
        <v>0</v>
      </c>
      <c r="AX48" s="85">
        <v>0</v>
      </c>
      <c r="AY48" s="85">
        <v>0</v>
      </c>
      <c r="AZ48" s="85">
        <v>0</v>
      </c>
      <c r="BA48" s="85">
        <v>0</v>
      </c>
      <c r="BB48" s="89">
        <v>0</v>
      </c>
      <c r="BC48" s="89">
        <v>0</v>
      </c>
      <c r="BD48" s="37">
        <v>0</v>
      </c>
      <c r="BE48" s="37">
        <v>0</v>
      </c>
      <c r="BF48" s="279">
        <v>93513</v>
      </c>
      <c r="BG48" s="37">
        <v>153713</v>
      </c>
      <c r="BH48" s="37">
        <v>92615</v>
      </c>
      <c r="BI48" s="37">
        <v>0</v>
      </c>
      <c r="BJ48" s="283">
        <v>339841</v>
      </c>
      <c r="BK48" s="161"/>
      <c r="BL48" s="294"/>
      <c r="BM48"/>
      <c r="BN48"/>
      <c r="BO48"/>
      <c r="BP48"/>
      <c r="BQ48"/>
      <c r="BR48"/>
      <c r="BS48"/>
      <c r="BT48"/>
      <c r="BU48"/>
      <c r="BV48"/>
      <c r="BW48"/>
      <c r="BX48"/>
      <c r="BY48"/>
      <c r="BZ48"/>
      <c r="CA48"/>
      <c r="CB48"/>
      <c r="CC48"/>
      <c r="CD48"/>
      <c r="CE48"/>
      <c r="CF48"/>
      <c r="CG48"/>
      <c r="CH48"/>
      <c r="CI48"/>
      <c r="CJ48"/>
    </row>
    <row r="49" spans="1:88" s="32" customFormat="1" ht="15" customHeight="1" x14ac:dyDescent="0.35">
      <c r="A49" s="473"/>
      <c r="B49" s="313">
        <v>38010</v>
      </c>
      <c r="C49" s="8" t="s">
        <v>326</v>
      </c>
      <c r="D49" s="18">
        <v>17</v>
      </c>
      <c r="E49" s="251">
        <v>6369</v>
      </c>
      <c r="F49" s="82">
        <v>2.0779999999999998</v>
      </c>
      <c r="G49" s="79">
        <v>13234.781999999999</v>
      </c>
      <c r="H49" s="90">
        <v>297.06389999999999</v>
      </c>
      <c r="I49" s="85">
        <v>281.10300000000001</v>
      </c>
      <c r="J49" s="85">
        <v>312.09890000000001</v>
      </c>
      <c r="K49" s="85">
        <v>300.9153</v>
      </c>
      <c r="L49" s="85">
        <v>341.4271</v>
      </c>
      <c r="M49" s="85">
        <v>344.18630000000002</v>
      </c>
      <c r="N49" s="85">
        <v>367.1198</v>
      </c>
      <c r="O49" s="85">
        <v>370.49459999999999</v>
      </c>
      <c r="P49" s="85">
        <v>312.16660000000002</v>
      </c>
      <c r="Q49" s="85">
        <v>317.29399999999998</v>
      </c>
      <c r="R49" s="85">
        <v>288.4452</v>
      </c>
      <c r="S49" s="89">
        <v>299.48340000000002</v>
      </c>
      <c r="T49" s="89">
        <v>3831.7981</v>
      </c>
      <c r="U49" s="85">
        <v>3456.58068</v>
      </c>
      <c r="V49" s="85">
        <v>375.21742999999998</v>
      </c>
      <c r="W49" s="85">
        <v>0</v>
      </c>
      <c r="X49" s="89">
        <v>3831.7981100000002</v>
      </c>
      <c r="Y49" s="79">
        <v>1</v>
      </c>
      <c r="Z49" s="79">
        <v>1</v>
      </c>
      <c r="AA49" s="94">
        <v>0</v>
      </c>
      <c r="AB49" s="79">
        <v>2</v>
      </c>
      <c r="AC49" s="85">
        <v>1031.8800000000001</v>
      </c>
      <c r="AD49" s="85">
        <v>687.98811000000023</v>
      </c>
      <c r="AE49" s="85">
        <v>489.54199999999997</v>
      </c>
      <c r="AF49" s="85">
        <v>1622.3879999999999</v>
      </c>
      <c r="AG49" s="85">
        <v>3831.7981100000002</v>
      </c>
      <c r="AH49" s="85">
        <v>3456.58068</v>
      </c>
      <c r="AI49" s="85">
        <v>0</v>
      </c>
      <c r="AJ49" s="85">
        <v>0</v>
      </c>
      <c r="AK49" s="85">
        <v>0</v>
      </c>
      <c r="AL49" s="85">
        <v>0</v>
      </c>
      <c r="AM49" s="85">
        <v>0</v>
      </c>
      <c r="AN49" s="85">
        <v>0</v>
      </c>
      <c r="AO49" s="85">
        <v>0</v>
      </c>
      <c r="AP49" s="85">
        <v>0</v>
      </c>
      <c r="AQ49" s="85">
        <v>0</v>
      </c>
      <c r="AR49" s="85">
        <v>3456.58068</v>
      </c>
      <c r="AS49" s="85">
        <v>0</v>
      </c>
      <c r="AT49" s="85">
        <v>0</v>
      </c>
      <c r="AU49" s="85">
        <v>0</v>
      </c>
      <c r="AV49" s="85">
        <v>0</v>
      </c>
      <c r="AW49" s="85">
        <v>0</v>
      </c>
      <c r="AX49" s="85">
        <v>0</v>
      </c>
      <c r="AY49" s="85">
        <v>375.21742999999998</v>
      </c>
      <c r="AZ49" s="85">
        <v>0</v>
      </c>
      <c r="BA49" s="85">
        <v>0</v>
      </c>
      <c r="BB49" s="89">
        <v>0</v>
      </c>
      <c r="BC49" s="89">
        <v>375.21742999999998</v>
      </c>
      <c r="BD49" s="37">
        <v>1392959</v>
      </c>
      <c r="BE49" s="37">
        <v>263321</v>
      </c>
      <c r="BF49" s="279">
        <v>324489</v>
      </c>
      <c r="BG49" s="37">
        <v>1554811</v>
      </c>
      <c r="BH49" s="37">
        <v>711573</v>
      </c>
      <c r="BI49" s="37">
        <v>193535</v>
      </c>
      <c r="BJ49" s="283">
        <v>2784408</v>
      </c>
      <c r="BK49" s="161"/>
      <c r="BL49" s="294"/>
      <c r="BM49"/>
      <c r="BN49"/>
      <c r="BO49"/>
      <c r="BP49"/>
      <c r="BQ49"/>
      <c r="BR49"/>
      <c r="BS49"/>
      <c r="BT49"/>
      <c r="BU49"/>
      <c r="BV49"/>
      <c r="BW49"/>
      <c r="BX49"/>
      <c r="BY49"/>
      <c r="BZ49"/>
      <c r="CA49"/>
      <c r="CB49"/>
      <c r="CC49"/>
      <c r="CD49"/>
      <c r="CE49"/>
      <c r="CF49"/>
      <c r="CG49"/>
      <c r="CH49"/>
      <c r="CI49"/>
      <c r="CJ49"/>
    </row>
    <row r="50" spans="1:88" s="32" customFormat="1" ht="15" customHeight="1" x14ac:dyDescent="0.35">
      <c r="A50" s="473"/>
      <c r="B50" s="313">
        <v>46040</v>
      </c>
      <c r="C50" s="8" t="s">
        <v>433</v>
      </c>
      <c r="D50" s="18">
        <v>5</v>
      </c>
      <c r="E50" s="251"/>
      <c r="F50" s="82"/>
      <c r="G50" s="79"/>
      <c r="H50" s="90"/>
      <c r="I50" s="85"/>
      <c r="J50" s="85"/>
      <c r="K50" s="85"/>
      <c r="L50" s="85"/>
      <c r="M50" s="85"/>
      <c r="N50" s="85"/>
      <c r="O50" s="85"/>
      <c r="P50" s="85"/>
      <c r="Q50" s="85"/>
      <c r="R50" s="85"/>
      <c r="S50" s="89"/>
      <c r="T50" s="89" t="s">
        <v>1124</v>
      </c>
      <c r="U50" s="85"/>
      <c r="V50" s="85"/>
      <c r="W50" s="85"/>
      <c r="X50" s="89" t="s">
        <v>1124</v>
      </c>
      <c r="Y50" s="79"/>
      <c r="Z50" s="79"/>
      <c r="AA50" s="94"/>
      <c r="AB50" s="79" t="s">
        <v>1124</v>
      </c>
      <c r="AC50" s="85"/>
      <c r="AD50" s="85"/>
      <c r="AE50" s="85"/>
      <c r="AF50" s="85"/>
      <c r="AG50" s="85" t="s">
        <v>1124</v>
      </c>
      <c r="AH50" s="85"/>
      <c r="AI50" s="85"/>
      <c r="AJ50" s="85"/>
      <c r="AK50" s="85"/>
      <c r="AL50" s="85"/>
      <c r="AM50" s="85"/>
      <c r="AN50" s="85"/>
      <c r="AO50" s="85"/>
      <c r="AP50" s="85"/>
      <c r="AQ50" s="85"/>
      <c r="AR50" s="85" t="s">
        <v>1124</v>
      </c>
      <c r="AS50" s="85"/>
      <c r="AT50" s="85"/>
      <c r="AU50" s="85"/>
      <c r="AV50" s="85"/>
      <c r="AW50" s="85"/>
      <c r="AX50" s="85"/>
      <c r="AY50" s="85"/>
      <c r="AZ50" s="85"/>
      <c r="BA50" s="85"/>
      <c r="BB50" s="89"/>
      <c r="BC50" s="89" t="s">
        <v>1124</v>
      </c>
      <c r="BD50" s="37"/>
      <c r="BE50" s="37"/>
      <c r="BF50" s="279"/>
      <c r="BG50" s="37"/>
      <c r="BH50" s="37"/>
      <c r="BI50" s="37"/>
      <c r="BJ50" s="283"/>
      <c r="BK50" s="161"/>
      <c r="BL50" s="294"/>
      <c r="BM50"/>
      <c r="BN50"/>
      <c r="BO50"/>
      <c r="BP50"/>
      <c r="BQ50"/>
      <c r="BR50"/>
      <c r="BS50"/>
      <c r="BT50"/>
      <c r="BU50"/>
      <c r="BV50"/>
      <c r="BW50"/>
      <c r="BX50"/>
      <c r="BY50"/>
      <c r="BZ50"/>
      <c r="CA50"/>
      <c r="CB50"/>
      <c r="CC50"/>
      <c r="CD50"/>
      <c r="CE50"/>
      <c r="CF50"/>
      <c r="CG50"/>
      <c r="CH50"/>
      <c r="CI50"/>
      <c r="CJ50"/>
    </row>
    <row r="51" spans="1:88" s="32" customFormat="1" ht="15" customHeight="1" x14ac:dyDescent="0.35">
      <c r="A51" s="473"/>
      <c r="B51" s="313">
        <v>46035</v>
      </c>
      <c r="C51" s="8" t="s">
        <v>432</v>
      </c>
      <c r="D51" s="18">
        <v>5</v>
      </c>
      <c r="E51" s="251">
        <v>1474</v>
      </c>
      <c r="F51" s="82">
        <v>2.4425087108013939</v>
      </c>
      <c r="G51" s="79">
        <v>3600.2578397212546</v>
      </c>
      <c r="H51" s="90">
        <v>45.851999999999997</v>
      </c>
      <c r="I51" s="85">
        <v>50.697000000000003</v>
      </c>
      <c r="J51" s="85">
        <v>50.706000000000003</v>
      </c>
      <c r="K51" s="85">
        <v>51.173999999999999</v>
      </c>
      <c r="L51" s="85">
        <v>49.869</v>
      </c>
      <c r="M51" s="85">
        <v>51.776000000000003</v>
      </c>
      <c r="N51" s="85">
        <v>84.403000000000006</v>
      </c>
      <c r="O51" s="85">
        <v>96.756</v>
      </c>
      <c r="P51" s="85">
        <v>94.745999999999995</v>
      </c>
      <c r="Q51" s="85">
        <v>92.603999999999999</v>
      </c>
      <c r="R51" s="85">
        <v>87.375</v>
      </c>
      <c r="S51" s="89">
        <v>70.516999999999996</v>
      </c>
      <c r="T51" s="89">
        <v>826.47500000000014</v>
      </c>
      <c r="U51" s="85">
        <v>826.47500000000002</v>
      </c>
      <c r="V51" s="85">
        <v>0</v>
      </c>
      <c r="W51" s="85">
        <v>0</v>
      </c>
      <c r="X51" s="89">
        <v>826.47500000000002</v>
      </c>
      <c r="Y51" s="79">
        <v>1</v>
      </c>
      <c r="Z51" s="79">
        <v>0</v>
      </c>
      <c r="AA51" s="94">
        <v>0</v>
      </c>
      <c r="AB51" s="79">
        <v>1</v>
      </c>
      <c r="AC51" s="85">
        <v>280.18400000000003</v>
      </c>
      <c r="AD51" s="85">
        <v>304.77374066326536</v>
      </c>
      <c r="AE51" s="85">
        <v>199.67225933673473</v>
      </c>
      <c r="AF51" s="85">
        <v>41.844999999999999</v>
      </c>
      <c r="AG51" s="85">
        <v>826.47500000000014</v>
      </c>
      <c r="AH51" s="85">
        <v>826.47500000000002</v>
      </c>
      <c r="AI51" s="85">
        <v>0</v>
      </c>
      <c r="AJ51" s="85">
        <v>0</v>
      </c>
      <c r="AK51" s="85">
        <v>0</v>
      </c>
      <c r="AL51" s="85">
        <v>0</v>
      </c>
      <c r="AM51" s="85">
        <v>0</v>
      </c>
      <c r="AN51" s="85">
        <v>0</v>
      </c>
      <c r="AO51" s="85">
        <v>0</v>
      </c>
      <c r="AP51" s="85">
        <v>0</v>
      </c>
      <c r="AQ51" s="85">
        <v>0</v>
      </c>
      <c r="AR51" s="85">
        <v>826.47500000000002</v>
      </c>
      <c r="AS51" s="85">
        <v>0</v>
      </c>
      <c r="AT51" s="85">
        <v>0</v>
      </c>
      <c r="AU51" s="85">
        <v>0</v>
      </c>
      <c r="AV51" s="85">
        <v>0</v>
      </c>
      <c r="AW51" s="85">
        <v>0</v>
      </c>
      <c r="AX51" s="85">
        <v>0</v>
      </c>
      <c r="AY51" s="85">
        <v>0</v>
      </c>
      <c r="AZ51" s="85">
        <v>0</v>
      </c>
      <c r="BA51" s="85">
        <v>0</v>
      </c>
      <c r="BB51" s="89">
        <v>0</v>
      </c>
      <c r="BC51" s="89">
        <v>0</v>
      </c>
      <c r="BD51" s="37">
        <v>0</v>
      </c>
      <c r="BE51" s="37">
        <v>0</v>
      </c>
      <c r="BF51" s="279">
        <v>120751</v>
      </c>
      <c r="BG51" s="37">
        <v>173951</v>
      </c>
      <c r="BH51" s="37">
        <v>68594</v>
      </c>
      <c r="BI51" s="37">
        <v>87440</v>
      </c>
      <c r="BJ51" s="283">
        <v>450736</v>
      </c>
      <c r="BK51" s="161"/>
      <c r="BL51" s="294"/>
      <c r="BM51"/>
      <c r="BN51"/>
      <c r="BO51"/>
      <c r="BP51"/>
      <c r="BQ51"/>
      <c r="BR51"/>
      <c r="BS51"/>
      <c r="BT51"/>
      <c r="BU51"/>
      <c r="BV51"/>
      <c r="BW51"/>
      <c r="BX51"/>
      <c r="BY51"/>
      <c r="BZ51"/>
      <c r="CA51"/>
      <c r="CB51"/>
      <c r="CC51"/>
      <c r="CD51"/>
      <c r="CE51"/>
      <c r="CF51"/>
      <c r="CG51"/>
      <c r="CH51"/>
      <c r="CI51"/>
      <c r="CJ51"/>
    </row>
    <row r="52" spans="1:88" s="32" customFormat="1" ht="15" customHeight="1" x14ac:dyDescent="0.35">
      <c r="A52" s="473"/>
      <c r="B52" s="313">
        <v>94250</v>
      </c>
      <c r="C52" s="8" t="s">
        <v>982</v>
      </c>
      <c r="D52" s="18">
        <v>2</v>
      </c>
      <c r="E52" s="251">
        <v>294</v>
      </c>
      <c r="F52" s="82">
        <v>1.9758454106280192</v>
      </c>
      <c r="G52" s="79">
        <v>580.89855072463763</v>
      </c>
      <c r="H52" s="90">
        <v>5.7370000000000001</v>
      </c>
      <c r="I52" s="85">
        <v>6.0819999999999999</v>
      </c>
      <c r="J52" s="85">
        <v>6.3419999999999996</v>
      </c>
      <c r="K52" s="85">
        <v>5.8550000000000004</v>
      </c>
      <c r="L52" s="85">
        <v>6.6289999999999996</v>
      </c>
      <c r="M52" s="85">
        <v>6.88</v>
      </c>
      <c r="N52" s="85">
        <v>6.6520000000000001</v>
      </c>
      <c r="O52" s="85">
        <v>5.6639999999999997</v>
      </c>
      <c r="P52" s="85">
        <v>4.5709999999999997</v>
      </c>
      <c r="Q52" s="85">
        <v>4.5659999999999998</v>
      </c>
      <c r="R52" s="85">
        <v>4.13</v>
      </c>
      <c r="S52" s="89">
        <v>4.37</v>
      </c>
      <c r="T52" s="89">
        <v>67.478000000000009</v>
      </c>
      <c r="U52" s="85">
        <v>0</v>
      </c>
      <c r="V52" s="85">
        <v>67.477999999999994</v>
      </c>
      <c r="W52" s="85">
        <v>0</v>
      </c>
      <c r="X52" s="89">
        <v>67.477999999999994</v>
      </c>
      <c r="Y52" s="79">
        <v>0</v>
      </c>
      <c r="Z52" s="79">
        <v>1</v>
      </c>
      <c r="AA52" s="94">
        <v>0</v>
      </c>
      <c r="AB52" s="79">
        <v>1</v>
      </c>
      <c r="AC52" s="85">
        <v>51.271000000000001</v>
      </c>
      <c r="AD52" s="85">
        <v>10.337999999999999</v>
      </c>
      <c r="AE52" s="85">
        <v>5.8689999999999998</v>
      </c>
      <c r="AF52" s="85">
        <v>0</v>
      </c>
      <c r="AG52" s="85">
        <v>67.478000000000009</v>
      </c>
      <c r="AH52" s="85">
        <v>0</v>
      </c>
      <c r="AI52" s="85">
        <v>0</v>
      </c>
      <c r="AJ52" s="85">
        <v>0</v>
      </c>
      <c r="AK52" s="85">
        <v>0</v>
      </c>
      <c r="AL52" s="85">
        <v>0</v>
      </c>
      <c r="AM52" s="85">
        <v>0</v>
      </c>
      <c r="AN52" s="85">
        <v>0</v>
      </c>
      <c r="AO52" s="85">
        <v>0</v>
      </c>
      <c r="AP52" s="85">
        <v>0</v>
      </c>
      <c r="AQ52" s="85">
        <v>0</v>
      </c>
      <c r="AR52" s="85">
        <v>0</v>
      </c>
      <c r="AS52" s="85">
        <v>0</v>
      </c>
      <c r="AT52" s="85">
        <v>0</v>
      </c>
      <c r="AU52" s="85">
        <v>0</v>
      </c>
      <c r="AV52" s="85">
        <v>0</v>
      </c>
      <c r="AW52" s="85">
        <v>0</v>
      </c>
      <c r="AX52" s="85">
        <v>0</v>
      </c>
      <c r="AY52" s="85">
        <v>67.477999999999994</v>
      </c>
      <c r="AZ52" s="85">
        <v>0</v>
      </c>
      <c r="BA52" s="85">
        <v>0</v>
      </c>
      <c r="BB52" s="89">
        <v>0</v>
      </c>
      <c r="BC52" s="89">
        <v>67.477999999999994</v>
      </c>
      <c r="BD52" s="37">
        <v>0</v>
      </c>
      <c r="BE52" s="37">
        <v>0</v>
      </c>
      <c r="BF52" s="279">
        <v>5759</v>
      </c>
      <c r="BG52" s="37">
        <v>8399</v>
      </c>
      <c r="BH52" s="37">
        <v>250</v>
      </c>
      <c r="BI52" s="37">
        <v>2347</v>
      </c>
      <c r="BJ52" s="283">
        <v>16755</v>
      </c>
      <c r="BK52" s="161"/>
      <c r="BL52" s="294"/>
      <c r="BM52"/>
      <c r="BN52"/>
      <c r="BO52"/>
      <c r="BP52"/>
      <c r="BQ52"/>
      <c r="BR52"/>
      <c r="BS52"/>
      <c r="BT52"/>
      <c r="BU52"/>
      <c r="BV52"/>
      <c r="BW52"/>
      <c r="BX52"/>
      <c r="BY52"/>
      <c r="BZ52"/>
      <c r="CA52"/>
      <c r="CB52"/>
      <c r="CC52"/>
      <c r="CD52"/>
      <c r="CE52"/>
      <c r="CF52"/>
      <c r="CG52"/>
      <c r="CH52"/>
      <c r="CI52"/>
      <c r="CJ52"/>
    </row>
    <row r="53" spans="1:88" s="32" customFormat="1" ht="15" customHeight="1" x14ac:dyDescent="0.35">
      <c r="A53" s="473"/>
      <c r="B53" s="313">
        <v>89050</v>
      </c>
      <c r="C53" s="8" t="s">
        <v>933</v>
      </c>
      <c r="D53" s="18">
        <v>8</v>
      </c>
      <c r="E53" s="251"/>
      <c r="F53" s="82"/>
      <c r="G53" s="79"/>
      <c r="H53" s="90"/>
      <c r="I53" s="85"/>
      <c r="J53" s="85"/>
      <c r="K53" s="85"/>
      <c r="L53" s="85"/>
      <c r="M53" s="85"/>
      <c r="N53" s="85"/>
      <c r="O53" s="85"/>
      <c r="P53" s="85"/>
      <c r="Q53" s="85"/>
      <c r="R53" s="85"/>
      <c r="S53" s="89"/>
      <c r="T53" s="89" t="s">
        <v>1124</v>
      </c>
      <c r="U53" s="85"/>
      <c r="V53" s="85"/>
      <c r="W53" s="85"/>
      <c r="X53" s="89" t="s">
        <v>1124</v>
      </c>
      <c r="Y53" s="79"/>
      <c r="Z53" s="79"/>
      <c r="AA53" s="94"/>
      <c r="AB53" s="79" t="s">
        <v>1124</v>
      </c>
      <c r="AC53" s="85"/>
      <c r="AD53" s="85"/>
      <c r="AE53" s="85"/>
      <c r="AF53" s="85"/>
      <c r="AG53" s="85" t="s">
        <v>1124</v>
      </c>
      <c r="AH53" s="85"/>
      <c r="AI53" s="85"/>
      <c r="AJ53" s="85"/>
      <c r="AK53" s="85"/>
      <c r="AL53" s="85"/>
      <c r="AM53" s="85"/>
      <c r="AN53" s="85"/>
      <c r="AO53" s="85"/>
      <c r="AP53" s="85"/>
      <c r="AQ53" s="85"/>
      <c r="AR53" s="85" t="s">
        <v>1124</v>
      </c>
      <c r="AS53" s="85"/>
      <c r="AT53" s="85"/>
      <c r="AU53" s="85"/>
      <c r="AV53" s="85"/>
      <c r="AW53" s="85"/>
      <c r="AX53" s="85"/>
      <c r="AY53" s="85"/>
      <c r="AZ53" s="85"/>
      <c r="BA53" s="85"/>
      <c r="BB53" s="89"/>
      <c r="BC53" s="89" t="s">
        <v>1124</v>
      </c>
      <c r="BD53" s="37"/>
      <c r="BE53" s="37"/>
      <c r="BF53" s="279"/>
      <c r="BG53" s="37"/>
      <c r="BH53" s="37"/>
      <c r="BI53" s="37"/>
      <c r="BJ53" s="283"/>
      <c r="BK53" s="161"/>
      <c r="BL53" s="294"/>
      <c r="BM53"/>
      <c r="BN53"/>
      <c r="BO53"/>
      <c r="BP53"/>
      <c r="BQ53"/>
      <c r="BR53"/>
      <c r="BS53"/>
      <c r="BT53"/>
      <c r="BU53"/>
      <c r="BV53"/>
      <c r="BW53"/>
      <c r="BX53"/>
      <c r="BY53"/>
      <c r="BZ53"/>
      <c r="CA53"/>
      <c r="CB53"/>
      <c r="CC53"/>
      <c r="CD53"/>
      <c r="CE53"/>
      <c r="CF53"/>
      <c r="CG53"/>
      <c r="CH53"/>
      <c r="CI53"/>
      <c r="CJ53"/>
    </row>
    <row r="54" spans="1:88" s="32" customFormat="1" ht="15" customHeight="1" x14ac:dyDescent="0.35">
      <c r="A54" s="473"/>
      <c r="B54" s="313">
        <v>85065</v>
      </c>
      <c r="C54" s="8" t="s">
        <v>881</v>
      </c>
      <c r="D54" s="18">
        <v>8</v>
      </c>
      <c r="E54" s="251"/>
      <c r="F54" s="82"/>
      <c r="G54" s="79"/>
      <c r="H54" s="90"/>
      <c r="I54" s="85"/>
      <c r="J54" s="85"/>
      <c r="K54" s="85"/>
      <c r="L54" s="85"/>
      <c r="M54" s="85"/>
      <c r="N54" s="85"/>
      <c r="O54" s="85"/>
      <c r="P54" s="85"/>
      <c r="Q54" s="85"/>
      <c r="R54" s="85"/>
      <c r="S54" s="89"/>
      <c r="T54" s="89" t="s">
        <v>1124</v>
      </c>
      <c r="U54" s="85"/>
      <c r="V54" s="85"/>
      <c r="W54" s="85"/>
      <c r="X54" s="89" t="s">
        <v>1124</v>
      </c>
      <c r="Y54" s="79"/>
      <c r="Z54" s="79"/>
      <c r="AA54" s="94"/>
      <c r="AB54" s="79" t="s">
        <v>1124</v>
      </c>
      <c r="AC54" s="85"/>
      <c r="AD54" s="85"/>
      <c r="AE54" s="85"/>
      <c r="AF54" s="85"/>
      <c r="AG54" s="85" t="s">
        <v>1124</v>
      </c>
      <c r="AH54" s="85"/>
      <c r="AI54" s="85"/>
      <c r="AJ54" s="85"/>
      <c r="AK54" s="85"/>
      <c r="AL54" s="85"/>
      <c r="AM54" s="85"/>
      <c r="AN54" s="85"/>
      <c r="AO54" s="85"/>
      <c r="AP54" s="85"/>
      <c r="AQ54" s="85"/>
      <c r="AR54" s="85" t="s">
        <v>1124</v>
      </c>
      <c r="AS54" s="85"/>
      <c r="AT54" s="85"/>
      <c r="AU54" s="85"/>
      <c r="AV54" s="85"/>
      <c r="AW54" s="85"/>
      <c r="AX54" s="85"/>
      <c r="AY54" s="85"/>
      <c r="AZ54" s="85"/>
      <c r="BA54" s="85"/>
      <c r="BB54" s="89"/>
      <c r="BC54" s="89" t="s">
        <v>1124</v>
      </c>
      <c r="BD54" s="37"/>
      <c r="BE54" s="37"/>
      <c r="BF54" s="279"/>
      <c r="BG54" s="37"/>
      <c r="BH54" s="37"/>
      <c r="BI54" s="37"/>
      <c r="BJ54" s="283"/>
      <c r="BK54" s="161"/>
      <c r="BL54" s="294"/>
      <c r="BM54"/>
      <c r="BN54"/>
      <c r="BO54"/>
      <c r="BP54"/>
      <c r="BQ54"/>
      <c r="BR54"/>
      <c r="BS54"/>
      <c r="BT54"/>
      <c r="BU54"/>
      <c r="BV54"/>
      <c r="BW54"/>
      <c r="BX54"/>
      <c r="BY54"/>
      <c r="BZ54"/>
      <c r="CA54"/>
      <c r="CB54"/>
      <c r="CC54"/>
      <c r="CD54"/>
      <c r="CE54"/>
      <c r="CF54"/>
      <c r="CG54"/>
      <c r="CH54"/>
      <c r="CI54"/>
      <c r="CJ54"/>
    </row>
    <row r="55" spans="1:88" s="32" customFormat="1" ht="15" customHeight="1" x14ac:dyDescent="0.35">
      <c r="A55" s="473"/>
      <c r="B55" s="313">
        <v>57040</v>
      </c>
      <c r="C55" s="8" t="s">
        <v>588</v>
      </c>
      <c r="D55" s="18">
        <v>16</v>
      </c>
      <c r="E55" s="251"/>
      <c r="F55" s="82"/>
      <c r="G55" s="79"/>
      <c r="H55" s="90"/>
      <c r="I55" s="85"/>
      <c r="J55" s="85"/>
      <c r="K55" s="85"/>
      <c r="L55" s="85"/>
      <c r="M55" s="85"/>
      <c r="N55" s="85"/>
      <c r="O55" s="85"/>
      <c r="P55" s="85"/>
      <c r="Q55" s="85"/>
      <c r="R55" s="85"/>
      <c r="S55" s="89"/>
      <c r="T55" s="89" t="s">
        <v>1124</v>
      </c>
      <c r="U55" s="85"/>
      <c r="V55" s="85"/>
      <c r="W55" s="85"/>
      <c r="X55" s="89" t="s">
        <v>1124</v>
      </c>
      <c r="Y55" s="79"/>
      <c r="Z55" s="79"/>
      <c r="AA55" s="94"/>
      <c r="AB55" s="79" t="s">
        <v>1124</v>
      </c>
      <c r="AC55" s="85"/>
      <c r="AD55" s="85"/>
      <c r="AE55" s="85"/>
      <c r="AF55" s="85"/>
      <c r="AG55" s="85" t="s">
        <v>1124</v>
      </c>
      <c r="AH55" s="85"/>
      <c r="AI55" s="85"/>
      <c r="AJ55" s="85"/>
      <c r="AK55" s="85"/>
      <c r="AL55" s="85"/>
      <c r="AM55" s="85"/>
      <c r="AN55" s="85"/>
      <c r="AO55" s="85"/>
      <c r="AP55" s="85"/>
      <c r="AQ55" s="85"/>
      <c r="AR55" s="85" t="s">
        <v>1124</v>
      </c>
      <c r="AS55" s="85"/>
      <c r="AT55" s="85"/>
      <c r="AU55" s="85"/>
      <c r="AV55" s="85"/>
      <c r="AW55" s="85"/>
      <c r="AX55" s="85"/>
      <c r="AY55" s="85"/>
      <c r="AZ55" s="85"/>
      <c r="BA55" s="85"/>
      <c r="BB55" s="89"/>
      <c r="BC55" s="89" t="s">
        <v>1124</v>
      </c>
      <c r="BD55" s="37"/>
      <c r="BE55" s="37"/>
      <c r="BF55" s="279"/>
      <c r="BG55" s="37"/>
      <c r="BH55" s="37"/>
      <c r="BI55" s="37"/>
      <c r="BJ55" s="283"/>
      <c r="BK55" s="161"/>
      <c r="BL55" s="294"/>
      <c r="BM55"/>
      <c r="BN55"/>
      <c r="BO55"/>
      <c r="BP55"/>
      <c r="BQ55"/>
      <c r="BR55"/>
      <c r="BS55"/>
      <c r="BT55"/>
      <c r="BU55"/>
      <c r="BV55"/>
      <c r="BW55"/>
      <c r="BX55"/>
      <c r="BY55"/>
      <c r="BZ55"/>
      <c r="CA55"/>
      <c r="CB55"/>
      <c r="CC55"/>
      <c r="CD55"/>
      <c r="CE55"/>
      <c r="CF55"/>
      <c r="CG55"/>
      <c r="CH55"/>
      <c r="CI55"/>
      <c r="CJ55"/>
    </row>
    <row r="56" spans="1:88" s="32" customFormat="1" ht="15" customHeight="1" x14ac:dyDescent="0.35">
      <c r="A56" s="473"/>
      <c r="B56" s="313">
        <v>88070</v>
      </c>
      <c r="C56" s="8" t="s">
        <v>923</v>
      </c>
      <c r="D56" s="18">
        <v>8</v>
      </c>
      <c r="E56" s="251"/>
      <c r="F56" s="82"/>
      <c r="G56" s="79"/>
      <c r="H56" s="90"/>
      <c r="I56" s="85"/>
      <c r="J56" s="85"/>
      <c r="K56" s="85"/>
      <c r="L56" s="85"/>
      <c r="M56" s="85"/>
      <c r="N56" s="85"/>
      <c r="O56" s="85"/>
      <c r="P56" s="85"/>
      <c r="Q56" s="85"/>
      <c r="R56" s="85"/>
      <c r="S56" s="89"/>
      <c r="T56" s="89" t="s">
        <v>1124</v>
      </c>
      <c r="U56" s="85"/>
      <c r="V56" s="85"/>
      <c r="W56" s="85"/>
      <c r="X56" s="89" t="s">
        <v>1124</v>
      </c>
      <c r="Y56" s="79"/>
      <c r="Z56" s="79"/>
      <c r="AA56" s="94"/>
      <c r="AB56" s="79" t="s">
        <v>1124</v>
      </c>
      <c r="AC56" s="85"/>
      <c r="AD56" s="85"/>
      <c r="AE56" s="85"/>
      <c r="AF56" s="85"/>
      <c r="AG56" s="85" t="s">
        <v>1124</v>
      </c>
      <c r="AH56" s="85"/>
      <c r="AI56" s="85"/>
      <c r="AJ56" s="85"/>
      <c r="AK56" s="85"/>
      <c r="AL56" s="85"/>
      <c r="AM56" s="85"/>
      <c r="AN56" s="85"/>
      <c r="AO56" s="85"/>
      <c r="AP56" s="85"/>
      <c r="AQ56" s="85"/>
      <c r="AR56" s="85" t="s">
        <v>1124</v>
      </c>
      <c r="AS56" s="85"/>
      <c r="AT56" s="85"/>
      <c r="AU56" s="85"/>
      <c r="AV56" s="85"/>
      <c r="AW56" s="85"/>
      <c r="AX56" s="85"/>
      <c r="AY56" s="85"/>
      <c r="AZ56" s="85"/>
      <c r="BA56" s="85"/>
      <c r="BB56" s="89"/>
      <c r="BC56" s="89" t="s">
        <v>1124</v>
      </c>
      <c r="BD56" s="37"/>
      <c r="BE56" s="37"/>
      <c r="BF56" s="279"/>
      <c r="BG56" s="37"/>
      <c r="BH56" s="37"/>
      <c r="BI56" s="37"/>
      <c r="BJ56" s="283"/>
      <c r="BK56" s="161"/>
      <c r="BL56" s="294"/>
      <c r="BM56"/>
      <c r="BN56"/>
      <c r="BO56"/>
      <c r="BP56"/>
      <c r="BQ56"/>
      <c r="BR56"/>
      <c r="BS56"/>
      <c r="BT56"/>
      <c r="BU56"/>
      <c r="BV56"/>
      <c r="BW56"/>
      <c r="BX56"/>
      <c r="BY56"/>
      <c r="BZ56"/>
      <c r="CA56"/>
      <c r="CB56"/>
      <c r="CC56"/>
      <c r="CD56"/>
      <c r="CE56"/>
      <c r="CF56"/>
      <c r="CG56"/>
      <c r="CH56"/>
      <c r="CI56"/>
      <c r="CJ56"/>
    </row>
    <row r="57" spans="1:88" s="32" customFormat="1" ht="15" customHeight="1" x14ac:dyDescent="0.35">
      <c r="A57" s="473"/>
      <c r="B57" s="313">
        <v>18065</v>
      </c>
      <c r="C57" s="8" t="s">
        <v>116</v>
      </c>
      <c r="D57" s="18">
        <v>12</v>
      </c>
      <c r="E57" s="251">
        <v>618</v>
      </c>
      <c r="F57" s="82">
        <v>2.0817369093231162</v>
      </c>
      <c r="G57" s="79">
        <v>1286.5134099616857</v>
      </c>
      <c r="H57" s="90">
        <v>8.4149999999999991</v>
      </c>
      <c r="I57" s="85">
        <v>8.3330000000000002</v>
      </c>
      <c r="J57" s="85">
        <v>8.6869999999999994</v>
      </c>
      <c r="K57" s="85">
        <v>8.6560000000000006</v>
      </c>
      <c r="L57" s="85">
        <v>10.651999999999999</v>
      </c>
      <c r="M57" s="85">
        <v>13.856999999999999</v>
      </c>
      <c r="N57" s="85">
        <v>14.864000000000001</v>
      </c>
      <c r="O57" s="85">
        <v>11.215</v>
      </c>
      <c r="P57" s="85">
        <v>8.9789999999999992</v>
      </c>
      <c r="Q57" s="85">
        <v>8.4269999999999996</v>
      </c>
      <c r="R57" s="85">
        <v>6.556</v>
      </c>
      <c r="S57" s="89">
        <v>7.4530000000000003</v>
      </c>
      <c r="T57" s="89">
        <v>116.09400000000001</v>
      </c>
      <c r="U57" s="85">
        <v>0</v>
      </c>
      <c r="V57" s="85">
        <v>116.09399999999999</v>
      </c>
      <c r="W57" s="85">
        <v>0</v>
      </c>
      <c r="X57" s="89">
        <v>116.09399999999999</v>
      </c>
      <c r="Y57" s="79">
        <v>0</v>
      </c>
      <c r="Z57" s="79">
        <v>1</v>
      </c>
      <c r="AA57" s="94">
        <v>0</v>
      </c>
      <c r="AB57" s="79">
        <v>1</v>
      </c>
      <c r="AC57" s="85">
        <v>105.697</v>
      </c>
      <c r="AD57" s="85">
        <v>5.7484100000000113</v>
      </c>
      <c r="AE57" s="85">
        <v>4.6485899999999942</v>
      </c>
      <c r="AF57" s="85">
        <v>0</v>
      </c>
      <c r="AG57" s="85">
        <v>116.09400000000001</v>
      </c>
      <c r="AH57" s="85">
        <v>0</v>
      </c>
      <c r="AI57" s="85">
        <v>0</v>
      </c>
      <c r="AJ57" s="85">
        <v>0</v>
      </c>
      <c r="AK57" s="85">
        <v>0</v>
      </c>
      <c r="AL57" s="85">
        <v>0</v>
      </c>
      <c r="AM57" s="85">
        <v>0</v>
      </c>
      <c r="AN57" s="85">
        <v>0</v>
      </c>
      <c r="AO57" s="85">
        <v>0</v>
      </c>
      <c r="AP57" s="85">
        <v>0</v>
      </c>
      <c r="AQ57" s="85">
        <v>0</v>
      </c>
      <c r="AR57" s="85">
        <v>0</v>
      </c>
      <c r="AS57" s="85">
        <v>116.09399999999999</v>
      </c>
      <c r="AT57" s="85">
        <v>0</v>
      </c>
      <c r="AU57" s="85">
        <v>0</v>
      </c>
      <c r="AV57" s="85">
        <v>0</v>
      </c>
      <c r="AW57" s="85">
        <v>0</v>
      </c>
      <c r="AX57" s="85">
        <v>0</v>
      </c>
      <c r="AY57" s="85">
        <v>0</v>
      </c>
      <c r="AZ57" s="85">
        <v>0</v>
      </c>
      <c r="BA57" s="85">
        <v>0</v>
      </c>
      <c r="BB57" s="89">
        <v>0</v>
      </c>
      <c r="BC57" s="89">
        <v>116.09399999999999</v>
      </c>
      <c r="BD57" s="37">
        <v>49327</v>
      </c>
      <c r="BE57" s="37">
        <v>195142</v>
      </c>
      <c r="BF57" s="279">
        <v>27907</v>
      </c>
      <c r="BG57" s="37">
        <v>39549</v>
      </c>
      <c r="BH57" s="37">
        <v>22250</v>
      </c>
      <c r="BI57" s="37">
        <v>17307</v>
      </c>
      <c r="BJ57" s="283">
        <v>107013</v>
      </c>
      <c r="BK57" s="161"/>
      <c r="BL57" s="294"/>
      <c r="BM57"/>
      <c r="BN57"/>
      <c r="BO57"/>
      <c r="BP57"/>
      <c r="BQ57"/>
      <c r="BR57"/>
      <c r="BS57"/>
      <c r="BT57"/>
      <c r="BU57"/>
      <c r="BV57"/>
      <c r="BW57"/>
      <c r="BX57"/>
      <c r="BY57"/>
      <c r="BZ57"/>
      <c r="CA57"/>
      <c r="CB57"/>
      <c r="CC57"/>
      <c r="CD57"/>
      <c r="CE57"/>
      <c r="CF57"/>
      <c r="CG57"/>
      <c r="CH57"/>
      <c r="CI57"/>
      <c r="CJ57"/>
    </row>
    <row r="58" spans="1:88" s="32" customFormat="1" ht="15" customHeight="1" x14ac:dyDescent="0.35">
      <c r="A58" s="473"/>
      <c r="B58" s="313">
        <v>52035</v>
      </c>
      <c r="C58" s="8" t="s">
        <v>518</v>
      </c>
      <c r="D58" s="18">
        <v>14</v>
      </c>
      <c r="E58" s="251">
        <v>2314</v>
      </c>
      <c r="F58" s="82">
        <v>1.9013590530469093</v>
      </c>
      <c r="G58" s="79">
        <v>4399.744848750548</v>
      </c>
      <c r="H58" s="90">
        <v>210.56899999999999</v>
      </c>
      <c r="I58" s="85">
        <v>202.32</v>
      </c>
      <c r="J58" s="85">
        <v>209.02099999999999</v>
      </c>
      <c r="K58" s="85">
        <v>197.02799999999999</v>
      </c>
      <c r="L58" s="85">
        <v>201.19</v>
      </c>
      <c r="M58" s="85">
        <v>219.94200000000001</v>
      </c>
      <c r="N58" s="85">
        <v>243.38800000000001</v>
      </c>
      <c r="O58" s="85">
        <v>254.357</v>
      </c>
      <c r="P58" s="85">
        <v>214.99</v>
      </c>
      <c r="Q58" s="85">
        <v>213.33199999999999</v>
      </c>
      <c r="R58" s="85">
        <v>211.90799999999999</v>
      </c>
      <c r="S58" s="89">
        <v>185.65</v>
      </c>
      <c r="T58" s="89">
        <v>2563.6949999999997</v>
      </c>
      <c r="U58" s="85">
        <v>2563.6950000000002</v>
      </c>
      <c r="V58" s="85">
        <v>0</v>
      </c>
      <c r="W58" s="85">
        <v>0</v>
      </c>
      <c r="X58" s="89">
        <v>2563.6950000000002</v>
      </c>
      <c r="Y58" s="79">
        <v>1</v>
      </c>
      <c r="Z58" s="79">
        <v>0</v>
      </c>
      <c r="AA58" s="94">
        <v>0</v>
      </c>
      <c r="AB58" s="79">
        <v>1</v>
      </c>
      <c r="AC58" s="85">
        <v>269.56200000000001</v>
      </c>
      <c r="AD58" s="85">
        <v>1336.8350000000003</v>
      </c>
      <c r="AE58" s="85">
        <v>299.91399999999999</v>
      </c>
      <c r="AF58" s="85">
        <v>657.38400000000001</v>
      </c>
      <c r="AG58" s="85">
        <v>2563.6950000000006</v>
      </c>
      <c r="AH58" s="85">
        <v>2563.6950000000002</v>
      </c>
      <c r="AI58" s="85">
        <v>0</v>
      </c>
      <c r="AJ58" s="85">
        <v>0</v>
      </c>
      <c r="AK58" s="85">
        <v>0</v>
      </c>
      <c r="AL58" s="85">
        <v>0</v>
      </c>
      <c r="AM58" s="85">
        <v>0</v>
      </c>
      <c r="AN58" s="85">
        <v>0</v>
      </c>
      <c r="AO58" s="85">
        <v>0</v>
      </c>
      <c r="AP58" s="85">
        <v>0</v>
      </c>
      <c r="AQ58" s="85">
        <v>0</v>
      </c>
      <c r="AR58" s="85">
        <v>2563.6950000000002</v>
      </c>
      <c r="AS58" s="85">
        <v>0</v>
      </c>
      <c r="AT58" s="85">
        <v>0</v>
      </c>
      <c r="AU58" s="85">
        <v>0</v>
      </c>
      <c r="AV58" s="85">
        <v>0</v>
      </c>
      <c r="AW58" s="85">
        <v>0</v>
      </c>
      <c r="AX58" s="85">
        <v>0</v>
      </c>
      <c r="AY58" s="85">
        <v>0</v>
      </c>
      <c r="AZ58" s="85">
        <v>0</v>
      </c>
      <c r="BA58" s="85">
        <v>0</v>
      </c>
      <c r="BB58" s="89">
        <v>0</v>
      </c>
      <c r="BC58" s="89">
        <v>0</v>
      </c>
      <c r="BD58" s="37">
        <v>0</v>
      </c>
      <c r="BE58" s="37">
        <v>0</v>
      </c>
      <c r="BF58" s="279">
        <v>144474</v>
      </c>
      <c r="BG58" s="37">
        <v>326292</v>
      </c>
      <c r="BH58" s="37">
        <v>50706</v>
      </c>
      <c r="BI58" s="37">
        <v>23879</v>
      </c>
      <c r="BJ58" s="283">
        <v>545351</v>
      </c>
      <c r="BK58" s="161" t="s">
        <v>1483</v>
      </c>
      <c r="BL58" s="294"/>
      <c r="BM58"/>
      <c r="BN58"/>
      <c r="BO58"/>
      <c r="BP58"/>
      <c r="BQ58"/>
      <c r="BR58"/>
      <c r="BS58"/>
      <c r="BT58"/>
      <c r="BU58"/>
      <c r="BV58"/>
      <c r="BW58"/>
      <c r="BX58"/>
      <c r="BY58"/>
      <c r="BZ58"/>
      <c r="CA58"/>
      <c r="CB58"/>
      <c r="CC58"/>
      <c r="CD58"/>
      <c r="CE58"/>
      <c r="CF58"/>
      <c r="CG58"/>
      <c r="CH58"/>
      <c r="CI58"/>
      <c r="CJ58"/>
    </row>
    <row r="59" spans="1:88" s="32" customFormat="1" ht="15" customHeight="1" x14ac:dyDescent="0.35">
      <c r="A59" s="473"/>
      <c r="B59" s="313">
        <v>48005</v>
      </c>
      <c r="C59" s="8" t="s">
        <v>456</v>
      </c>
      <c r="D59" s="18">
        <v>16</v>
      </c>
      <c r="E59" s="251"/>
      <c r="F59" s="82"/>
      <c r="G59" s="79"/>
      <c r="H59" s="90"/>
      <c r="I59" s="85"/>
      <c r="J59" s="85"/>
      <c r="K59" s="85"/>
      <c r="L59" s="85"/>
      <c r="M59" s="85"/>
      <c r="N59" s="85"/>
      <c r="O59" s="85"/>
      <c r="P59" s="85"/>
      <c r="Q59" s="85"/>
      <c r="R59" s="85"/>
      <c r="S59" s="89"/>
      <c r="T59" s="89" t="s">
        <v>1124</v>
      </c>
      <c r="U59" s="85"/>
      <c r="V59" s="85"/>
      <c r="W59" s="85"/>
      <c r="X59" s="89" t="s">
        <v>1124</v>
      </c>
      <c r="Y59" s="79"/>
      <c r="Z59" s="79"/>
      <c r="AA59" s="94"/>
      <c r="AB59" s="79" t="s">
        <v>1124</v>
      </c>
      <c r="AC59" s="85"/>
      <c r="AD59" s="85"/>
      <c r="AE59" s="85"/>
      <c r="AF59" s="85"/>
      <c r="AG59" s="85" t="s">
        <v>1124</v>
      </c>
      <c r="AH59" s="85"/>
      <c r="AI59" s="85"/>
      <c r="AJ59" s="85"/>
      <c r="AK59" s="85"/>
      <c r="AL59" s="85"/>
      <c r="AM59" s="85"/>
      <c r="AN59" s="85"/>
      <c r="AO59" s="85"/>
      <c r="AP59" s="85"/>
      <c r="AQ59" s="85"/>
      <c r="AR59" s="85" t="s">
        <v>1124</v>
      </c>
      <c r="AS59" s="85"/>
      <c r="AT59" s="85"/>
      <c r="AU59" s="85"/>
      <c r="AV59" s="85"/>
      <c r="AW59" s="85"/>
      <c r="AX59" s="85"/>
      <c r="AY59" s="85"/>
      <c r="AZ59" s="85"/>
      <c r="BA59" s="85"/>
      <c r="BB59" s="89"/>
      <c r="BC59" s="89" t="s">
        <v>1124</v>
      </c>
      <c r="BD59" s="37"/>
      <c r="BE59" s="37"/>
      <c r="BF59" s="279"/>
      <c r="BG59" s="37"/>
      <c r="BH59" s="37"/>
      <c r="BI59" s="37"/>
      <c r="BJ59" s="283"/>
      <c r="BK59" s="161"/>
      <c r="BL59" s="294"/>
      <c r="BM59"/>
      <c r="BN59"/>
      <c r="BO59"/>
      <c r="BP59"/>
      <c r="BQ59"/>
      <c r="BR59"/>
      <c r="BS59"/>
      <c r="BT59"/>
      <c r="BU59"/>
      <c r="BV59"/>
      <c r="BW59"/>
      <c r="BX59"/>
      <c r="BY59"/>
      <c r="BZ59"/>
      <c r="CA59"/>
      <c r="CB59"/>
      <c r="CC59"/>
      <c r="CD59"/>
      <c r="CE59"/>
      <c r="CF59"/>
      <c r="CG59"/>
      <c r="CH59"/>
      <c r="CI59"/>
      <c r="CJ59"/>
    </row>
    <row r="60" spans="1:88" s="32" customFormat="1" ht="15" customHeight="1" x14ac:dyDescent="0.35">
      <c r="A60" s="473"/>
      <c r="B60" s="313">
        <v>13055</v>
      </c>
      <c r="C60" s="8" t="s">
        <v>50</v>
      </c>
      <c r="D60" s="18">
        <v>1</v>
      </c>
      <c r="E60" s="251"/>
      <c r="F60" s="82"/>
      <c r="G60" s="79"/>
      <c r="H60" s="90"/>
      <c r="I60" s="85"/>
      <c r="J60" s="85"/>
      <c r="K60" s="85"/>
      <c r="L60" s="85"/>
      <c r="M60" s="85"/>
      <c r="N60" s="85"/>
      <c r="O60" s="85"/>
      <c r="P60" s="85"/>
      <c r="Q60" s="85"/>
      <c r="R60" s="85"/>
      <c r="S60" s="89"/>
      <c r="T60" s="89" t="s">
        <v>1124</v>
      </c>
      <c r="U60" s="85"/>
      <c r="V60" s="85"/>
      <c r="W60" s="85"/>
      <c r="X60" s="89" t="s">
        <v>1124</v>
      </c>
      <c r="Y60" s="79"/>
      <c r="Z60" s="79"/>
      <c r="AA60" s="94"/>
      <c r="AB60" s="79" t="s">
        <v>1124</v>
      </c>
      <c r="AC60" s="85"/>
      <c r="AD60" s="85"/>
      <c r="AE60" s="85"/>
      <c r="AF60" s="85"/>
      <c r="AG60" s="85" t="s">
        <v>1124</v>
      </c>
      <c r="AH60" s="85"/>
      <c r="AI60" s="85"/>
      <c r="AJ60" s="85"/>
      <c r="AK60" s="85"/>
      <c r="AL60" s="85"/>
      <c r="AM60" s="85"/>
      <c r="AN60" s="85"/>
      <c r="AO60" s="85"/>
      <c r="AP60" s="85"/>
      <c r="AQ60" s="85"/>
      <c r="AR60" s="85" t="s">
        <v>1124</v>
      </c>
      <c r="AS60" s="85"/>
      <c r="AT60" s="85"/>
      <c r="AU60" s="85"/>
      <c r="AV60" s="85"/>
      <c r="AW60" s="85"/>
      <c r="AX60" s="85"/>
      <c r="AY60" s="85"/>
      <c r="AZ60" s="85"/>
      <c r="BA60" s="85"/>
      <c r="BB60" s="89"/>
      <c r="BC60" s="89" t="s">
        <v>1124</v>
      </c>
      <c r="BD60" s="37"/>
      <c r="BE60" s="37"/>
      <c r="BF60" s="279"/>
      <c r="BG60" s="37"/>
      <c r="BH60" s="37"/>
      <c r="BI60" s="37"/>
      <c r="BJ60" s="283"/>
      <c r="BK60" s="161"/>
      <c r="BL60" s="294"/>
      <c r="BM60"/>
      <c r="BN60"/>
      <c r="BO60"/>
      <c r="BP60"/>
      <c r="BQ60"/>
      <c r="BR60"/>
      <c r="BS60"/>
      <c r="BT60"/>
      <c r="BU60"/>
      <c r="BV60"/>
      <c r="BW60"/>
      <c r="BX60"/>
      <c r="BY60"/>
      <c r="BZ60"/>
      <c r="CA60"/>
      <c r="CB60"/>
      <c r="CC60"/>
      <c r="CD60"/>
      <c r="CE60"/>
      <c r="CF60"/>
      <c r="CG60"/>
      <c r="CH60"/>
      <c r="CI60"/>
      <c r="CJ60"/>
    </row>
    <row r="61" spans="1:88" s="32" customFormat="1" ht="15" customHeight="1" x14ac:dyDescent="0.35">
      <c r="A61" s="473"/>
      <c r="B61" s="313">
        <v>73015</v>
      </c>
      <c r="C61" s="8" t="s">
        <v>736</v>
      </c>
      <c r="D61" s="18">
        <v>15</v>
      </c>
      <c r="E61" s="251"/>
      <c r="F61" s="82"/>
      <c r="G61" s="79"/>
      <c r="H61" s="90"/>
      <c r="I61" s="85"/>
      <c r="J61" s="85"/>
      <c r="K61" s="85"/>
      <c r="L61" s="85"/>
      <c r="M61" s="85"/>
      <c r="N61" s="85"/>
      <c r="O61" s="85"/>
      <c r="P61" s="85"/>
      <c r="Q61" s="85"/>
      <c r="R61" s="85"/>
      <c r="S61" s="89"/>
      <c r="T61" s="89" t="s">
        <v>1124</v>
      </c>
      <c r="U61" s="85"/>
      <c r="V61" s="85"/>
      <c r="W61" s="85"/>
      <c r="X61" s="89" t="s">
        <v>1124</v>
      </c>
      <c r="Y61" s="79"/>
      <c r="Z61" s="79"/>
      <c r="AA61" s="94"/>
      <c r="AB61" s="79" t="s">
        <v>1124</v>
      </c>
      <c r="AC61" s="85"/>
      <c r="AD61" s="85"/>
      <c r="AE61" s="85"/>
      <c r="AF61" s="85"/>
      <c r="AG61" s="85" t="s">
        <v>1124</v>
      </c>
      <c r="AH61" s="85"/>
      <c r="AI61" s="85"/>
      <c r="AJ61" s="85"/>
      <c r="AK61" s="85"/>
      <c r="AL61" s="85"/>
      <c r="AM61" s="85"/>
      <c r="AN61" s="85"/>
      <c r="AO61" s="85"/>
      <c r="AP61" s="85"/>
      <c r="AQ61" s="85"/>
      <c r="AR61" s="85" t="s">
        <v>1124</v>
      </c>
      <c r="AS61" s="85"/>
      <c r="AT61" s="85"/>
      <c r="AU61" s="85"/>
      <c r="AV61" s="85"/>
      <c r="AW61" s="85"/>
      <c r="AX61" s="85"/>
      <c r="AY61" s="85"/>
      <c r="AZ61" s="85"/>
      <c r="BA61" s="85"/>
      <c r="BB61" s="89"/>
      <c r="BC61" s="89" t="s">
        <v>1124</v>
      </c>
      <c r="BD61" s="37"/>
      <c r="BE61" s="37"/>
      <c r="BF61" s="279"/>
      <c r="BG61" s="37"/>
      <c r="BH61" s="37"/>
      <c r="BI61" s="37"/>
      <c r="BJ61" s="283"/>
      <c r="BK61" s="161"/>
      <c r="BL61" s="294"/>
      <c r="BM61"/>
      <c r="BN61"/>
      <c r="BO61"/>
      <c r="BP61"/>
      <c r="BQ61"/>
      <c r="BR61"/>
      <c r="BS61"/>
      <c r="BT61"/>
      <c r="BU61"/>
      <c r="BV61"/>
      <c r="BW61"/>
      <c r="BX61"/>
      <c r="BY61"/>
      <c r="BZ61"/>
      <c r="CA61"/>
      <c r="CB61"/>
      <c r="CC61"/>
      <c r="CD61"/>
      <c r="CE61"/>
      <c r="CF61"/>
      <c r="CG61"/>
      <c r="CH61"/>
      <c r="CI61"/>
      <c r="CJ61"/>
    </row>
    <row r="62" spans="1:88" s="32" customFormat="1" ht="15" customHeight="1" x14ac:dyDescent="0.35">
      <c r="A62" s="473"/>
      <c r="B62" s="313">
        <v>98005</v>
      </c>
      <c r="C62" s="8" t="s">
        <v>1006</v>
      </c>
      <c r="D62" s="18">
        <v>9</v>
      </c>
      <c r="E62" s="251"/>
      <c r="F62" s="82"/>
      <c r="G62" s="79"/>
      <c r="H62" s="90"/>
      <c r="I62" s="85"/>
      <c r="J62" s="85"/>
      <c r="K62" s="85"/>
      <c r="L62" s="85"/>
      <c r="M62" s="85"/>
      <c r="N62" s="85"/>
      <c r="O62" s="85"/>
      <c r="P62" s="85"/>
      <c r="Q62" s="85"/>
      <c r="R62" s="85"/>
      <c r="S62" s="89"/>
      <c r="T62" s="89" t="s">
        <v>1124</v>
      </c>
      <c r="U62" s="85"/>
      <c r="V62" s="85"/>
      <c r="W62" s="85"/>
      <c r="X62" s="89" t="s">
        <v>1124</v>
      </c>
      <c r="Y62" s="79"/>
      <c r="Z62" s="79"/>
      <c r="AA62" s="94"/>
      <c r="AB62" s="79" t="s">
        <v>1124</v>
      </c>
      <c r="AC62" s="85"/>
      <c r="AD62" s="85"/>
      <c r="AE62" s="85"/>
      <c r="AF62" s="85"/>
      <c r="AG62" s="85" t="s">
        <v>1124</v>
      </c>
      <c r="AH62" s="85"/>
      <c r="AI62" s="85"/>
      <c r="AJ62" s="85"/>
      <c r="AK62" s="85"/>
      <c r="AL62" s="85"/>
      <c r="AM62" s="85"/>
      <c r="AN62" s="85"/>
      <c r="AO62" s="85"/>
      <c r="AP62" s="85"/>
      <c r="AQ62" s="85"/>
      <c r="AR62" s="85" t="s">
        <v>1124</v>
      </c>
      <c r="AS62" s="85"/>
      <c r="AT62" s="85"/>
      <c r="AU62" s="85"/>
      <c r="AV62" s="85"/>
      <c r="AW62" s="85"/>
      <c r="AX62" s="85"/>
      <c r="AY62" s="85"/>
      <c r="AZ62" s="85"/>
      <c r="BA62" s="85"/>
      <c r="BB62" s="89"/>
      <c r="BC62" s="89" t="s">
        <v>1124</v>
      </c>
      <c r="BD62" s="37"/>
      <c r="BE62" s="37"/>
      <c r="BF62" s="279"/>
      <c r="BG62" s="37"/>
      <c r="BH62" s="37"/>
      <c r="BI62" s="37"/>
      <c r="BJ62" s="283"/>
      <c r="BK62" s="161"/>
      <c r="BL62" s="294"/>
      <c r="BM62"/>
      <c r="BN62"/>
      <c r="BO62"/>
      <c r="BP62"/>
      <c r="BQ62"/>
      <c r="BR62"/>
      <c r="BS62"/>
      <c r="BT62"/>
      <c r="BU62"/>
      <c r="BV62"/>
      <c r="BW62"/>
      <c r="BX62"/>
      <c r="BY62"/>
      <c r="BZ62"/>
      <c r="CA62"/>
      <c r="CB62"/>
      <c r="CC62"/>
      <c r="CD62"/>
      <c r="CE62"/>
      <c r="CF62"/>
      <c r="CG62"/>
      <c r="CH62"/>
      <c r="CI62"/>
      <c r="CJ62"/>
    </row>
    <row r="63" spans="1:88" s="32" customFormat="1" ht="15" customHeight="1" x14ac:dyDescent="0.35">
      <c r="A63" s="473"/>
      <c r="B63" s="313">
        <v>83045</v>
      </c>
      <c r="C63" s="8" t="s">
        <v>841</v>
      </c>
      <c r="D63" s="18">
        <v>7</v>
      </c>
      <c r="E63" s="251"/>
      <c r="F63" s="82"/>
      <c r="G63" s="79"/>
      <c r="H63" s="90"/>
      <c r="I63" s="85"/>
      <c r="J63" s="85"/>
      <c r="K63" s="85"/>
      <c r="L63" s="85"/>
      <c r="M63" s="85"/>
      <c r="N63" s="85"/>
      <c r="O63" s="85"/>
      <c r="P63" s="85"/>
      <c r="Q63" s="85"/>
      <c r="R63" s="85"/>
      <c r="S63" s="89"/>
      <c r="T63" s="89" t="s">
        <v>1124</v>
      </c>
      <c r="U63" s="85"/>
      <c r="V63" s="85"/>
      <c r="W63" s="85"/>
      <c r="X63" s="89" t="s">
        <v>1124</v>
      </c>
      <c r="Y63" s="79"/>
      <c r="Z63" s="79"/>
      <c r="AA63" s="94"/>
      <c r="AB63" s="79" t="s">
        <v>1124</v>
      </c>
      <c r="AC63" s="85"/>
      <c r="AD63" s="85"/>
      <c r="AE63" s="85"/>
      <c r="AF63" s="85"/>
      <c r="AG63" s="85" t="s">
        <v>1124</v>
      </c>
      <c r="AH63" s="85"/>
      <c r="AI63" s="85"/>
      <c r="AJ63" s="85"/>
      <c r="AK63" s="85"/>
      <c r="AL63" s="85"/>
      <c r="AM63" s="85"/>
      <c r="AN63" s="85"/>
      <c r="AO63" s="85"/>
      <c r="AP63" s="85"/>
      <c r="AQ63" s="85"/>
      <c r="AR63" s="85" t="s">
        <v>1124</v>
      </c>
      <c r="AS63" s="85"/>
      <c r="AT63" s="85"/>
      <c r="AU63" s="85"/>
      <c r="AV63" s="85"/>
      <c r="AW63" s="85"/>
      <c r="AX63" s="85"/>
      <c r="AY63" s="85"/>
      <c r="AZ63" s="85"/>
      <c r="BA63" s="85"/>
      <c r="BB63" s="89"/>
      <c r="BC63" s="89" t="s">
        <v>1124</v>
      </c>
      <c r="BD63" s="37"/>
      <c r="BE63" s="37"/>
      <c r="BF63" s="279"/>
      <c r="BG63" s="37"/>
      <c r="BH63" s="37"/>
      <c r="BI63" s="37"/>
      <c r="BJ63" s="283"/>
      <c r="BK63" s="161"/>
      <c r="BL63" s="294"/>
      <c r="BM63"/>
      <c r="BN63"/>
      <c r="BO63"/>
      <c r="BP63"/>
      <c r="BQ63"/>
      <c r="BR63"/>
      <c r="BS63"/>
      <c r="BT63"/>
      <c r="BU63"/>
      <c r="BV63"/>
      <c r="BW63"/>
      <c r="BX63"/>
      <c r="BY63"/>
      <c r="BZ63"/>
      <c r="CA63"/>
      <c r="CB63"/>
      <c r="CC63"/>
      <c r="CD63"/>
      <c r="CE63"/>
      <c r="CF63"/>
      <c r="CG63"/>
      <c r="CH63"/>
      <c r="CI63"/>
      <c r="CJ63"/>
    </row>
    <row r="64" spans="1:88" s="32" customFormat="1" ht="15" customHeight="1" x14ac:dyDescent="0.35">
      <c r="A64" s="473"/>
      <c r="B64" s="313">
        <v>80115</v>
      </c>
      <c r="C64" s="8" t="s">
        <v>821</v>
      </c>
      <c r="D64" s="18">
        <v>7</v>
      </c>
      <c r="E64" s="251"/>
      <c r="F64" s="82"/>
      <c r="G64" s="79"/>
      <c r="H64" s="90"/>
      <c r="I64" s="85"/>
      <c r="J64" s="85"/>
      <c r="K64" s="85"/>
      <c r="L64" s="85"/>
      <c r="M64" s="85"/>
      <c r="N64" s="85"/>
      <c r="O64" s="85"/>
      <c r="P64" s="85"/>
      <c r="Q64" s="85"/>
      <c r="R64" s="85"/>
      <c r="S64" s="89"/>
      <c r="T64" s="89" t="s">
        <v>1124</v>
      </c>
      <c r="U64" s="85"/>
      <c r="V64" s="85"/>
      <c r="W64" s="85"/>
      <c r="X64" s="89" t="s">
        <v>1124</v>
      </c>
      <c r="Y64" s="79"/>
      <c r="Z64" s="79"/>
      <c r="AA64" s="94"/>
      <c r="AB64" s="79" t="s">
        <v>1124</v>
      </c>
      <c r="AC64" s="85"/>
      <c r="AD64" s="85"/>
      <c r="AE64" s="85"/>
      <c r="AF64" s="85"/>
      <c r="AG64" s="85" t="s">
        <v>1124</v>
      </c>
      <c r="AH64" s="85"/>
      <c r="AI64" s="85"/>
      <c r="AJ64" s="85"/>
      <c r="AK64" s="85"/>
      <c r="AL64" s="85"/>
      <c r="AM64" s="85"/>
      <c r="AN64" s="85"/>
      <c r="AO64" s="85"/>
      <c r="AP64" s="85"/>
      <c r="AQ64" s="85"/>
      <c r="AR64" s="85" t="s">
        <v>1124</v>
      </c>
      <c r="AS64" s="85"/>
      <c r="AT64" s="85"/>
      <c r="AU64" s="85"/>
      <c r="AV64" s="85"/>
      <c r="AW64" s="85"/>
      <c r="AX64" s="85"/>
      <c r="AY64" s="85"/>
      <c r="AZ64" s="85"/>
      <c r="BA64" s="85"/>
      <c r="BB64" s="89"/>
      <c r="BC64" s="89" t="s">
        <v>1124</v>
      </c>
      <c r="BD64" s="37"/>
      <c r="BE64" s="37"/>
      <c r="BF64" s="279"/>
      <c r="BG64" s="37"/>
      <c r="BH64" s="37"/>
      <c r="BI64" s="37"/>
      <c r="BJ64" s="283"/>
      <c r="BK64" s="161"/>
      <c r="BL64" s="294"/>
      <c r="BM64"/>
      <c r="BN64"/>
      <c r="BO64"/>
      <c r="BP64"/>
      <c r="BQ64"/>
      <c r="BR64"/>
      <c r="BS64"/>
      <c r="BT64"/>
      <c r="BU64"/>
      <c r="BV64"/>
      <c r="BW64"/>
      <c r="BX64"/>
      <c r="BY64"/>
      <c r="BZ64"/>
      <c r="CA64"/>
      <c r="CB64"/>
      <c r="CC64"/>
      <c r="CD64"/>
      <c r="CE64"/>
      <c r="CF64"/>
      <c r="CG64"/>
      <c r="CH64"/>
      <c r="CI64"/>
      <c r="CJ64"/>
    </row>
    <row r="65" spans="1:88" s="32" customFormat="1" ht="15" customHeight="1" x14ac:dyDescent="0.35">
      <c r="A65" s="473"/>
      <c r="B65" s="313">
        <v>73005</v>
      </c>
      <c r="C65" s="8" t="s">
        <v>734</v>
      </c>
      <c r="D65" s="18">
        <v>15</v>
      </c>
      <c r="E65" s="251"/>
      <c r="F65" s="82"/>
      <c r="G65" s="79"/>
      <c r="H65" s="90"/>
      <c r="I65" s="85"/>
      <c r="J65" s="85"/>
      <c r="K65" s="85"/>
      <c r="L65" s="85"/>
      <c r="M65" s="85"/>
      <c r="N65" s="85"/>
      <c r="O65" s="85"/>
      <c r="P65" s="85"/>
      <c r="Q65" s="85"/>
      <c r="R65" s="85"/>
      <c r="S65" s="89"/>
      <c r="T65" s="89" t="s">
        <v>1124</v>
      </c>
      <c r="U65" s="85"/>
      <c r="V65" s="85"/>
      <c r="W65" s="85"/>
      <c r="X65" s="89" t="s">
        <v>1124</v>
      </c>
      <c r="Y65" s="79"/>
      <c r="Z65" s="79"/>
      <c r="AA65" s="94"/>
      <c r="AB65" s="79" t="s">
        <v>1124</v>
      </c>
      <c r="AC65" s="85"/>
      <c r="AD65" s="85"/>
      <c r="AE65" s="85"/>
      <c r="AF65" s="85"/>
      <c r="AG65" s="85" t="s">
        <v>1124</v>
      </c>
      <c r="AH65" s="85"/>
      <c r="AI65" s="85"/>
      <c r="AJ65" s="85"/>
      <c r="AK65" s="85"/>
      <c r="AL65" s="85"/>
      <c r="AM65" s="85"/>
      <c r="AN65" s="85"/>
      <c r="AO65" s="85"/>
      <c r="AP65" s="85"/>
      <c r="AQ65" s="85"/>
      <c r="AR65" s="85" t="s">
        <v>1124</v>
      </c>
      <c r="AS65" s="85"/>
      <c r="AT65" s="85"/>
      <c r="AU65" s="85"/>
      <c r="AV65" s="85"/>
      <c r="AW65" s="85"/>
      <c r="AX65" s="85"/>
      <c r="AY65" s="85"/>
      <c r="AZ65" s="85"/>
      <c r="BA65" s="85"/>
      <c r="BB65" s="89"/>
      <c r="BC65" s="89" t="s">
        <v>1124</v>
      </c>
      <c r="BD65" s="37"/>
      <c r="BE65" s="37"/>
      <c r="BF65" s="279"/>
      <c r="BG65" s="37"/>
      <c r="BH65" s="37"/>
      <c r="BI65" s="37"/>
      <c r="BJ65" s="283"/>
      <c r="BK65" s="161"/>
      <c r="BL65" s="294"/>
      <c r="BM65"/>
      <c r="BN65"/>
      <c r="BO65"/>
      <c r="BP65"/>
      <c r="BQ65"/>
      <c r="BR65"/>
      <c r="BS65"/>
      <c r="BT65"/>
      <c r="BU65"/>
      <c r="BV65"/>
      <c r="BW65"/>
      <c r="BX65"/>
      <c r="BY65"/>
      <c r="BZ65"/>
      <c r="CA65"/>
      <c r="CB65"/>
      <c r="CC65"/>
      <c r="CD65"/>
      <c r="CE65"/>
      <c r="CF65"/>
      <c r="CG65"/>
      <c r="CH65"/>
      <c r="CI65"/>
      <c r="CJ65"/>
    </row>
    <row r="66" spans="1:88" s="32" customFormat="1" ht="15" customHeight="1" x14ac:dyDescent="0.35">
      <c r="A66" s="473"/>
      <c r="B66" s="313">
        <v>21045</v>
      </c>
      <c r="C66" s="8" t="s">
        <v>152</v>
      </c>
      <c r="D66" s="18">
        <v>3</v>
      </c>
      <c r="E66" s="251">
        <v>2290</v>
      </c>
      <c r="F66" s="82">
        <v>2.6765299260255548</v>
      </c>
      <c r="G66" s="79">
        <v>6129.2535305985202</v>
      </c>
      <c r="H66" s="90">
        <v>80.558000000000007</v>
      </c>
      <c r="I66" s="85">
        <v>72.376000000000005</v>
      </c>
      <c r="J66" s="85">
        <v>83.034999999999997</v>
      </c>
      <c r="K66" s="85">
        <v>82.587999999999994</v>
      </c>
      <c r="L66" s="85">
        <v>108.453</v>
      </c>
      <c r="M66" s="85">
        <v>119.099</v>
      </c>
      <c r="N66" s="85">
        <v>150.679</v>
      </c>
      <c r="O66" s="85">
        <v>133.339</v>
      </c>
      <c r="P66" s="85">
        <v>107.05500000000001</v>
      </c>
      <c r="Q66" s="85">
        <v>99.146000000000001</v>
      </c>
      <c r="R66" s="85">
        <v>82.531999999999996</v>
      </c>
      <c r="S66" s="89">
        <v>84.213999999999999</v>
      </c>
      <c r="T66" s="89">
        <v>1203.0739999999998</v>
      </c>
      <c r="U66" s="85">
        <v>1203.0740000000001</v>
      </c>
      <c r="V66" s="85">
        <v>0</v>
      </c>
      <c r="W66" s="85">
        <v>0</v>
      </c>
      <c r="X66" s="89">
        <v>1203.0740000000001</v>
      </c>
      <c r="Y66" s="79">
        <v>1</v>
      </c>
      <c r="Z66" s="79">
        <v>0</v>
      </c>
      <c r="AA66" s="94">
        <v>0</v>
      </c>
      <c r="AB66" s="79">
        <v>1</v>
      </c>
      <c r="AC66" s="85">
        <v>625.55993243656383</v>
      </c>
      <c r="AD66" s="85">
        <v>23.410787563435974</v>
      </c>
      <c r="AE66" s="85">
        <v>132.47728000000006</v>
      </c>
      <c r="AF66" s="85">
        <v>421.62599999999998</v>
      </c>
      <c r="AG66" s="85">
        <v>1203.0739999999998</v>
      </c>
      <c r="AH66" s="85">
        <v>1203.0740000000001</v>
      </c>
      <c r="AI66" s="85">
        <v>0</v>
      </c>
      <c r="AJ66" s="85">
        <v>0</v>
      </c>
      <c r="AK66" s="85">
        <v>0</v>
      </c>
      <c r="AL66" s="85">
        <v>0</v>
      </c>
      <c r="AM66" s="85">
        <v>0</v>
      </c>
      <c r="AN66" s="85">
        <v>0</v>
      </c>
      <c r="AO66" s="85">
        <v>0</v>
      </c>
      <c r="AP66" s="85">
        <v>0</v>
      </c>
      <c r="AQ66" s="85">
        <v>0</v>
      </c>
      <c r="AR66" s="85">
        <v>1203.0740000000001</v>
      </c>
      <c r="AS66" s="85">
        <v>0</v>
      </c>
      <c r="AT66" s="85">
        <v>0</v>
      </c>
      <c r="AU66" s="85">
        <v>0</v>
      </c>
      <c r="AV66" s="85">
        <v>0</v>
      </c>
      <c r="AW66" s="85">
        <v>0</v>
      </c>
      <c r="AX66" s="85">
        <v>0</v>
      </c>
      <c r="AY66" s="85">
        <v>0</v>
      </c>
      <c r="AZ66" s="85">
        <v>0</v>
      </c>
      <c r="BA66" s="85">
        <v>0</v>
      </c>
      <c r="BB66" s="89">
        <v>0</v>
      </c>
      <c r="BC66" s="89">
        <v>0</v>
      </c>
      <c r="BD66" s="37">
        <v>7287358</v>
      </c>
      <c r="BE66" s="37">
        <v>1255942</v>
      </c>
      <c r="BF66" s="279">
        <v>53371</v>
      </c>
      <c r="BG66" s="37">
        <v>244311</v>
      </c>
      <c r="BH66" s="37">
        <v>71013</v>
      </c>
      <c r="BI66" s="37">
        <v>12227</v>
      </c>
      <c r="BJ66" s="283">
        <v>380922</v>
      </c>
      <c r="BK66" s="161"/>
      <c r="BL66" s="294"/>
      <c r="BM66"/>
      <c r="BN66"/>
      <c r="BO66"/>
      <c r="BP66"/>
      <c r="BQ66"/>
      <c r="BR66"/>
      <c r="BS66"/>
      <c r="BT66"/>
      <c r="BU66"/>
      <c r="BV66"/>
      <c r="BW66"/>
      <c r="BX66"/>
      <c r="BY66"/>
      <c r="BZ66"/>
      <c r="CA66"/>
      <c r="CB66"/>
      <c r="CC66"/>
      <c r="CD66"/>
      <c r="CE66"/>
      <c r="CF66"/>
      <c r="CG66"/>
      <c r="CH66"/>
      <c r="CI66"/>
      <c r="CJ66"/>
    </row>
    <row r="67" spans="1:88" s="32" customFormat="1" ht="15" customHeight="1" x14ac:dyDescent="0.35">
      <c r="A67" s="473"/>
      <c r="B67" s="313">
        <v>73030</v>
      </c>
      <c r="C67" s="8" t="s">
        <v>739</v>
      </c>
      <c r="D67" s="18">
        <v>15</v>
      </c>
      <c r="E67" s="251"/>
      <c r="F67" s="82"/>
      <c r="G67" s="79"/>
      <c r="H67" s="90"/>
      <c r="I67" s="85"/>
      <c r="J67" s="85"/>
      <c r="K67" s="85"/>
      <c r="L67" s="85"/>
      <c r="M67" s="85"/>
      <c r="N67" s="85"/>
      <c r="O67" s="85"/>
      <c r="P67" s="85"/>
      <c r="Q67" s="85"/>
      <c r="R67" s="85"/>
      <c r="S67" s="89"/>
      <c r="T67" s="89" t="s">
        <v>1124</v>
      </c>
      <c r="U67" s="85"/>
      <c r="V67" s="85"/>
      <c r="W67" s="85"/>
      <c r="X67" s="89" t="s">
        <v>1124</v>
      </c>
      <c r="Y67" s="79"/>
      <c r="Z67" s="79"/>
      <c r="AA67" s="94"/>
      <c r="AB67" s="79" t="s">
        <v>1124</v>
      </c>
      <c r="AC67" s="85"/>
      <c r="AD67" s="85"/>
      <c r="AE67" s="85"/>
      <c r="AF67" s="85"/>
      <c r="AG67" s="85" t="s">
        <v>1124</v>
      </c>
      <c r="AH67" s="85"/>
      <c r="AI67" s="85"/>
      <c r="AJ67" s="85"/>
      <c r="AK67" s="85"/>
      <c r="AL67" s="85"/>
      <c r="AM67" s="85"/>
      <c r="AN67" s="85"/>
      <c r="AO67" s="85"/>
      <c r="AP67" s="85"/>
      <c r="AQ67" s="85"/>
      <c r="AR67" s="85" t="s">
        <v>1124</v>
      </c>
      <c r="AS67" s="85"/>
      <c r="AT67" s="85"/>
      <c r="AU67" s="85"/>
      <c r="AV67" s="85"/>
      <c r="AW67" s="85"/>
      <c r="AX67" s="85"/>
      <c r="AY67" s="85"/>
      <c r="AZ67" s="85"/>
      <c r="BA67" s="85"/>
      <c r="BB67" s="89"/>
      <c r="BC67" s="89" t="s">
        <v>1124</v>
      </c>
      <c r="BD67" s="37"/>
      <c r="BE67" s="37"/>
      <c r="BF67" s="279"/>
      <c r="BG67" s="37"/>
      <c r="BH67" s="37"/>
      <c r="BI67" s="37"/>
      <c r="BJ67" s="283"/>
      <c r="BK67" s="161"/>
      <c r="BL67" s="294"/>
      <c r="BM67"/>
      <c r="BN67"/>
      <c r="BO67"/>
      <c r="BP67"/>
      <c r="BQ67"/>
      <c r="BR67"/>
      <c r="BS67"/>
      <c r="BT67"/>
      <c r="BU67"/>
      <c r="BV67"/>
      <c r="BW67"/>
      <c r="BX67"/>
      <c r="BY67"/>
      <c r="BZ67"/>
      <c r="CA67"/>
      <c r="CB67"/>
      <c r="CC67"/>
      <c r="CD67"/>
      <c r="CE67"/>
      <c r="CF67"/>
      <c r="CG67"/>
      <c r="CH67"/>
      <c r="CI67"/>
      <c r="CJ67"/>
    </row>
    <row r="68" spans="1:88" s="32" customFormat="1" ht="15" customHeight="1" x14ac:dyDescent="0.35">
      <c r="A68" s="473"/>
      <c r="B68" s="313">
        <v>83085</v>
      </c>
      <c r="C68" s="8" t="s">
        <v>848</v>
      </c>
      <c r="D68" s="18">
        <v>7</v>
      </c>
      <c r="E68" s="251"/>
      <c r="F68" s="82"/>
      <c r="G68" s="79"/>
      <c r="H68" s="90"/>
      <c r="I68" s="85"/>
      <c r="J68" s="85"/>
      <c r="K68" s="85"/>
      <c r="L68" s="85"/>
      <c r="M68" s="85"/>
      <c r="N68" s="85"/>
      <c r="O68" s="85"/>
      <c r="P68" s="85"/>
      <c r="Q68" s="85"/>
      <c r="R68" s="85"/>
      <c r="S68" s="89"/>
      <c r="T68" s="89" t="s">
        <v>1124</v>
      </c>
      <c r="U68" s="85"/>
      <c r="V68" s="85"/>
      <c r="W68" s="85"/>
      <c r="X68" s="89" t="s">
        <v>1124</v>
      </c>
      <c r="Y68" s="79"/>
      <c r="Z68" s="79"/>
      <c r="AA68" s="94"/>
      <c r="AB68" s="79" t="s">
        <v>1124</v>
      </c>
      <c r="AC68" s="85"/>
      <c r="AD68" s="85"/>
      <c r="AE68" s="85"/>
      <c r="AF68" s="85"/>
      <c r="AG68" s="85" t="s">
        <v>1124</v>
      </c>
      <c r="AH68" s="85"/>
      <c r="AI68" s="85"/>
      <c r="AJ68" s="85"/>
      <c r="AK68" s="85"/>
      <c r="AL68" s="85"/>
      <c r="AM68" s="85"/>
      <c r="AN68" s="85"/>
      <c r="AO68" s="85"/>
      <c r="AP68" s="85"/>
      <c r="AQ68" s="85"/>
      <c r="AR68" s="85" t="s">
        <v>1124</v>
      </c>
      <c r="AS68" s="85"/>
      <c r="AT68" s="85"/>
      <c r="AU68" s="85"/>
      <c r="AV68" s="85"/>
      <c r="AW68" s="85"/>
      <c r="AX68" s="85"/>
      <c r="AY68" s="85"/>
      <c r="AZ68" s="85"/>
      <c r="BA68" s="85"/>
      <c r="BB68" s="89"/>
      <c r="BC68" s="89" t="s">
        <v>1124</v>
      </c>
      <c r="BD68" s="37"/>
      <c r="BE68" s="37"/>
      <c r="BF68" s="279"/>
      <c r="BG68" s="37"/>
      <c r="BH68" s="37"/>
      <c r="BI68" s="37"/>
      <c r="BJ68" s="283"/>
      <c r="BK68" s="161"/>
      <c r="BL68" s="294"/>
      <c r="BM68"/>
      <c r="BN68"/>
      <c r="BO68"/>
      <c r="BP68"/>
      <c r="BQ68"/>
      <c r="BR68"/>
      <c r="BS68"/>
      <c r="BT68"/>
      <c r="BU68"/>
      <c r="BV68"/>
      <c r="BW68"/>
      <c r="BX68"/>
      <c r="BY68"/>
      <c r="BZ68"/>
      <c r="CA68"/>
      <c r="CB68"/>
      <c r="CC68"/>
      <c r="CD68"/>
      <c r="CE68"/>
      <c r="CF68"/>
      <c r="CG68"/>
      <c r="CH68"/>
      <c r="CI68"/>
      <c r="CJ68"/>
    </row>
    <row r="69" spans="1:88" s="32" customFormat="1" ht="15" customHeight="1" x14ac:dyDescent="0.35">
      <c r="A69" s="473"/>
      <c r="B69" s="313">
        <v>45095</v>
      </c>
      <c r="C69" s="8" t="s">
        <v>423</v>
      </c>
      <c r="D69" s="18">
        <v>5</v>
      </c>
      <c r="E69" s="251"/>
      <c r="F69" s="82"/>
      <c r="G69" s="79"/>
      <c r="H69" s="90"/>
      <c r="I69" s="85"/>
      <c r="J69" s="85"/>
      <c r="K69" s="85"/>
      <c r="L69" s="85"/>
      <c r="M69" s="85"/>
      <c r="N69" s="85"/>
      <c r="O69" s="85"/>
      <c r="P69" s="85"/>
      <c r="Q69" s="85"/>
      <c r="R69" s="85"/>
      <c r="S69" s="89"/>
      <c r="T69" s="89" t="s">
        <v>1124</v>
      </c>
      <c r="U69" s="85"/>
      <c r="V69" s="85"/>
      <c r="W69" s="85"/>
      <c r="X69" s="89" t="s">
        <v>1124</v>
      </c>
      <c r="Y69" s="79"/>
      <c r="Z69" s="79"/>
      <c r="AA69" s="94"/>
      <c r="AB69" s="79" t="s">
        <v>1124</v>
      </c>
      <c r="AC69" s="85"/>
      <c r="AD69" s="85"/>
      <c r="AE69" s="85"/>
      <c r="AF69" s="85"/>
      <c r="AG69" s="85" t="s">
        <v>1124</v>
      </c>
      <c r="AH69" s="85"/>
      <c r="AI69" s="85"/>
      <c r="AJ69" s="85"/>
      <c r="AK69" s="85"/>
      <c r="AL69" s="85"/>
      <c r="AM69" s="85"/>
      <c r="AN69" s="85"/>
      <c r="AO69" s="85"/>
      <c r="AP69" s="85"/>
      <c r="AQ69" s="85"/>
      <c r="AR69" s="85" t="s">
        <v>1124</v>
      </c>
      <c r="AS69" s="85"/>
      <c r="AT69" s="85"/>
      <c r="AU69" s="85"/>
      <c r="AV69" s="85"/>
      <c r="AW69" s="85"/>
      <c r="AX69" s="85"/>
      <c r="AY69" s="85"/>
      <c r="AZ69" s="85"/>
      <c r="BA69" s="85"/>
      <c r="BB69" s="89"/>
      <c r="BC69" s="89" t="s">
        <v>1124</v>
      </c>
      <c r="BD69" s="37"/>
      <c r="BE69" s="37"/>
      <c r="BF69" s="279"/>
      <c r="BG69" s="37"/>
      <c r="BH69" s="37"/>
      <c r="BI69" s="37"/>
      <c r="BJ69" s="283"/>
      <c r="BK69" s="161"/>
      <c r="BL69" s="294"/>
      <c r="BM69"/>
      <c r="BN69"/>
      <c r="BO69"/>
      <c r="BP69"/>
      <c r="BQ69"/>
      <c r="BR69"/>
      <c r="BS69"/>
      <c r="BT69"/>
      <c r="BU69"/>
      <c r="BV69"/>
      <c r="BW69"/>
      <c r="BX69"/>
      <c r="BY69"/>
      <c r="BZ69"/>
      <c r="CA69"/>
      <c r="CB69"/>
      <c r="CC69"/>
      <c r="CD69"/>
      <c r="CE69"/>
      <c r="CF69"/>
      <c r="CG69"/>
      <c r="CH69"/>
      <c r="CI69"/>
      <c r="CJ69"/>
    </row>
    <row r="70" spans="1:88" s="32" customFormat="1" ht="15" customHeight="1" x14ac:dyDescent="0.35">
      <c r="A70" s="473"/>
      <c r="B70" s="313">
        <v>46065</v>
      </c>
      <c r="C70" s="8" t="s">
        <v>437</v>
      </c>
      <c r="D70" s="18">
        <v>5</v>
      </c>
      <c r="E70" s="251"/>
      <c r="F70" s="82"/>
      <c r="G70" s="79"/>
      <c r="H70" s="90"/>
      <c r="I70" s="85"/>
      <c r="J70" s="85"/>
      <c r="K70" s="85"/>
      <c r="L70" s="85"/>
      <c r="M70" s="85"/>
      <c r="N70" s="85"/>
      <c r="O70" s="85"/>
      <c r="P70" s="85"/>
      <c r="Q70" s="85"/>
      <c r="R70" s="85"/>
      <c r="S70" s="89"/>
      <c r="T70" s="89" t="s">
        <v>1124</v>
      </c>
      <c r="U70" s="85"/>
      <c r="V70" s="85"/>
      <c r="W70" s="85"/>
      <c r="X70" s="89" t="s">
        <v>1124</v>
      </c>
      <c r="Y70" s="79"/>
      <c r="Z70" s="79"/>
      <c r="AA70" s="94"/>
      <c r="AB70" s="79" t="s">
        <v>1124</v>
      </c>
      <c r="AC70" s="85"/>
      <c r="AD70" s="85"/>
      <c r="AE70" s="85"/>
      <c r="AF70" s="85"/>
      <c r="AG70" s="85" t="s">
        <v>1124</v>
      </c>
      <c r="AH70" s="85"/>
      <c r="AI70" s="85"/>
      <c r="AJ70" s="85"/>
      <c r="AK70" s="85"/>
      <c r="AL70" s="85"/>
      <c r="AM70" s="85"/>
      <c r="AN70" s="85"/>
      <c r="AO70" s="85"/>
      <c r="AP70" s="85"/>
      <c r="AQ70" s="85"/>
      <c r="AR70" s="85" t="s">
        <v>1124</v>
      </c>
      <c r="AS70" s="85"/>
      <c r="AT70" s="85"/>
      <c r="AU70" s="85"/>
      <c r="AV70" s="85"/>
      <c r="AW70" s="85"/>
      <c r="AX70" s="85"/>
      <c r="AY70" s="85"/>
      <c r="AZ70" s="85"/>
      <c r="BA70" s="85"/>
      <c r="BB70" s="89"/>
      <c r="BC70" s="89" t="s">
        <v>1124</v>
      </c>
      <c r="BD70" s="37"/>
      <c r="BE70" s="37"/>
      <c r="BF70" s="279"/>
      <c r="BG70" s="37"/>
      <c r="BH70" s="37"/>
      <c r="BI70" s="37"/>
      <c r="BJ70" s="283"/>
      <c r="BK70" s="161"/>
      <c r="BL70" s="294"/>
      <c r="BM70"/>
      <c r="BN70"/>
      <c r="BO70"/>
      <c r="BP70"/>
      <c r="BQ70"/>
      <c r="BR70"/>
      <c r="BS70"/>
      <c r="BT70"/>
      <c r="BU70"/>
      <c r="BV70"/>
      <c r="BW70"/>
      <c r="BX70"/>
      <c r="BY70"/>
      <c r="BZ70"/>
      <c r="CA70"/>
      <c r="CB70"/>
      <c r="CC70"/>
      <c r="CD70"/>
      <c r="CE70"/>
      <c r="CF70"/>
      <c r="CG70"/>
      <c r="CH70"/>
      <c r="CI70"/>
      <c r="CJ70"/>
    </row>
    <row r="71" spans="1:88" s="32" customFormat="1" ht="15" customHeight="1" x14ac:dyDescent="0.35">
      <c r="A71" s="473"/>
      <c r="B71" s="313">
        <v>5045</v>
      </c>
      <c r="C71" s="8" t="s">
        <v>1050</v>
      </c>
      <c r="D71" s="18">
        <v>11</v>
      </c>
      <c r="E71" s="251">
        <v>836</v>
      </c>
      <c r="F71" s="82">
        <v>2.1073359073359073</v>
      </c>
      <c r="G71" s="79">
        <v>1761.7328185328186</v>
      </c>
      <c r="H71" s="90">
        <v>26.1265</v>
      </c>
      <c r="I71" s="85">
        <v>21.601600000000001</v>
      </c>
      <c r="J71" s="85">
        <v>22.895600000000002</v>
      </c>
      <c r="K71" s="85">
        <v>23.258299999999998</v>
      </c>
      <c r="L71" s="85">
        <v>28.442799999999998</v>
      </c>
      <c r="M71" s="85">
        <v>29.273599999999998</v>
      </c>
      <c r="N71" s="85">
        <v>36.700200000000002</v>
      </c>
      <c r="O71" s="85">
        <v>31.6266</v>
      </c>
      <c r="P71" s="85">
        <v>23.233000000000001</v>
      </c>
      <c r="Q71" s="85">
        <v>20.896100000000001</v>
      </c>
      <c r="R71" s="85">
        <v>20.383299999999998</v>
      </c>
      <c r="S71" s="89">
        <v>22.079799999999999</v>
      </c>
      <c r="T71" s="89">
        <v>306.51740000000001</v>
      </c>
      <c r="U71" s="85">
        <v>0</v>
      </c>
      <c r="V71" s="85">
        <v>306.517</v>
      </c>
      <c r="W71" s="85">
        <v>0</v>
      </c>
      <c r="X71" s="89">
        <v>306.517</v>
      </c>
      <c r="Y71" s="79">
        <v>0</v>
      </c>
      <c r="Z71" s="79">
        <v>1</v>
      </c>
      <c r="AA71" s="94">
        <v>0</v>
      </c>
      <c r="AB71" s="79">
        <v>1</v>
      </c>
      <c r="AC71" s="85">
        <v>245.0709145945946</v>
      </c>
      <c r="AD71" s="85">
        <v>30.688240405405402</v>
      </c>
      <c r="AE71" s="85">
        <v>30.758245000000009</v>
      </c>
      <c r="AF71" s="85">
        <v>0</v>
      </c>
      <c r="AG71" s="85">
        <v>306.51740000000001</v>
      </c>
      <c r="AH71" s="85">
        <v>0</v>
      </c>
      <c r="AI71" s="85">
        <v>0</v>
      </c>
      <c r="AJ71" s="85">
        <v>0</v>
      </c>
      <c r="AK71" s="85">
        <v>0</v>
      </c>
      <c r="AL71" s="85">
        <v>0</v>
      </c>
      <c r="AM71" s="85">
        <v>0</v>
      </c>
      <c r="AN71" s="85">
        <v>0</v>
      </c>
      <c r="AO71" s="85">
        <v>0</v>
      </c>
      <c r="AP71" s="85">
        <v>0</v>
      </c>
      <c r="AQ71" s="85">
        <v>0</v>
      </c>
      <c r="AR71" s="85">
        <v>0</v>
      </c>
      <c r="AS71" s="85">
        <v>0</v>
      </c>
      <c r="AT71" s="85">
        <v>0</v>
      </c>
      <c r="AU71" s="85">
        <v>0</v>
      </c>
      <c r="AV71" s="85">
        <v>0</v>
      </c>
      <c r="AW71" s="85">
        <v>0</v>
      </c>
      <c r="AX71" s="85">
        <v>0</v>
      </c>
      <c r="AY71" s="85">
        <v>0</v>
      </c>
      <c r="AZ71" s="85">
        <v>0</v>
      </c>
      <c r="BA71" s="85">
        <v>306.517</v>
      </c>
      <c r="BB71" s="89">
        <v>0</v>
      </c>
      <c r="BC71" s="89">
        <v>306.517</v>
      </c>
      <c r="BD71" s="37">
        <v>90485</v>
      </c>
      <c r="BE71" s="37">
        <v>714339</v>
      </c>
      <c r="BF71" s="279">
        <v>0</v>
      </c>
      <c r="BG71" s="37">
        <v>0</v>
      </c>
      <c r="BH71" s="37">
        <v>13276</v>
      </c>
      <c r="BI71" s="37">
        <v>0</v>
      </c>
      <c r="BJ71" s="283">
        <v>13276</v>
      </c>
      <c r="BK71" s="161" t="s">
        <v>1501</v>
      </c>
      <c r="BL71" s="294"/>
      <c r="BM71"/>
      <c r="BN71"/>
      <c r="BO71"/>
      <c r="BP71"/>
      <c r="BQ71"/>
      <c r="BR71"/>
      <c r="BS71"/>
      <c r="BT71"/>
      <c r="BU71"/>
      <c r="BV71"/>
      <c r="BW71"/>
      <c r="BX71"/>
      <c r="BY71"/>
      <c r="BZ71"/>
      <c r="CA71"/>
      <c r="CB71"/>
      <c r="CC71"/>
      <c r="CD71"/>
      <c r="CE71"/>
      <c r="CF71"/>
      <c r="CG71"/>
      <c r="CH71"/>
      <c r="CI71"/>
      <c r="CJ71"/>
    </row>
    <row r="72" spans="1:88" s="32" customFormat="1" ht="15" customHeight="1" x14ac:dyDescent="0.35">
      <c r="A72" s="473"/>
      <c r="B72" s="313">
        <v>98010</v>
      </c>
      <c r="C72" s="8" t="s">
        <v>1007</v>
      </c>
      <c r="D72" s="18">
        <v>9</v>
      </c>
      <c r="E72" s="251"/>
      <c r="F72" s="82"/>
      <c r="G72" s="79"/>
      <c r="H72" s="90"/>
      <c r="I72" s="85"/>
      <c r="J72" s="85"/>
      <c r="K72" s="85"/>
      <c r="L72" s="85"/>
      <c r="M72" s="85"/>
      <c r="N72" s="85"/>
      <c r="O72" s="85"/>
      <c r="P72" s="85"/>
      <c r="Q72" s="85"/>
      <c r="R72" s="85"/>
      <c r="S72" s="89"/>
      <c r="T72" s="89" t="s">
        <v>1124</v>
      </c>
      <c r="U72" s="85"/>
      <c r="V72" s="85"/>
      <c r="W72" s="85"/>
      <c r="X72" s="89" t="s">
        <v>1124</v>
      </c>
      <c r="Y72" s="79"/>
      <c r="Z72" s="79"/>
      <c r="AA72" s="94"/>
      <c r="AB72" s="79" t="s">
        <v>1124</v>
      </c>
      <c r="AC72" s="85"/>
      <c r="AD72" s="85"/>
      <c r="AE72" s="85"/>
      <c r="AF72" s="85"/>
      <c r="AG72" s="85" t="s">
        <v>1124</v>
      </c>
      <c r="AH72" s="85"/>
      <c r="AI72" s="85"/>
      <c r="AJ72" s="85"/>
      <c r="AK72" s="85"/>
      <c r="AL72" s="85"/>
      <c r="AM72" s="85"/>
      <c r="AN72" s="85"/>
      <c r="AO72" s="85"/>
      <c r="AP72" s="85"/>
      <c r="AQ72" s="85"/>
      <c r="AR72" s="85" t="s">
        <v>1124</v>
      </c>
      <c r="AS72" s="85"/>
      <c r="AT72" s="85"/>
      <c r="AU72" s="85"/>
      <c r="AV72" s="85"/>
      <c r="AW72" s="85"/>
      <c r="AX72" s="85"/>
      <c r="AY72" s="85"/>
      <c r="AZ72" s="85"/>
      <c r="BA72" s="85"/>
      <c r="BB72" s="89"/>
      <c r="BC72" s="89" t="s">
        <v>1124</v>
      </c>
      <c r="BD72" s="37"/>
      <c r="BE72" s="37"/>
      <c r="BF72" s="279"/>
      <c r="BG72" s="37"/>
      <c r="BH72" s="37"/>
      <c r="BI72" s="37"/>
      <c r="BJ72" s="283"/>
      <c r="BK72" s="161"/>
      <c r="BL72" s="294"/>
      <c r="BM72"/>
      <c r="BN72"/>
      <c r="BO72"/>
      <c r="BP72"/>
      <c r="BQ72"/>
      <c r="BR72"/>
      <c r="BS72"/>
      <c r="BT72"/>
      <c r="BU72"/>
      <c r="BV72"/>
      <c r="BW72"/>
      <c r="BX72"/>
      <c r="BY72"/>
      <c r="BZ72"/>
      <c r="CA72"/>
      <c r="CB72"/>
      <c r="CC72"/>
      <c r="CD72"/>
      <c r="CE72"/>
      <c r="CF72"/>
      <c r="CG72"/>
      <c r="CH72"/>
      <c r="CI72"/>
      <c r="CJ72"/>
    </row>
    <row r="73" spans="1:88" s="32" customFormat="1" ht="15" customHeight="1" x14ac:dyDescent="0.35">
      <c r="A73" s="473"/>
      <c r="B73" s="313">
        <v>42040</v>
      </c>
      <c r="C73" s="8" t="s">
        <v>383</v>
      </c>
      <c r="D73" s="18">
        <v>5</v>
      </c>
      <c r="E73" s="251"/>
      <c r="F73" s="82"/>
      <c r="G73" s="79"/>
      <c r="H73" s="90"/>
      <c r="I73" s="85"/>
      <c r="J73" s="85"/>
      <c r="K73" s="85"/>
      <c r="L73" s="85"/>
      <c r="M73" s="85"/>
      <c r="N73" s="85"/>
      <c r="O73" s="85"/>
      <c r="P73" s="85"/>
      <c r="Q73" s="85"/>
      <c r="R73" s="85"/>
      <c r="S73" s="89"/>
      <c r="T73" s="89" t="s">
        <v>1124</v>
      </c>
      <c r="U73" s="85"/>
      <c r="V73" s="85"/>
      <c r="W73" s="85"/>
      <c r="X73" s="89" t="s">
        <v>1124</v>
      </c>
      <c r="Y73" s="79"/>
      <c r="Z73" s="79"/>
      <c r="AA73" s="94"/>
      <c r="AB73" s="79" t="s">
        <v>1124</v>
      </c>
      <c r="AC73" s="85"/>
      <c r="AD73" s="85"/>
      <c r="AE73" s="85"/>
      <c r="AF73" s="85"/>
      <c r="AG73" s="85" t="s">
        <v>1124</v>
      </c>
      <c r="AH73" s="85"/>
      <c r="AI73" s="85"/>
      <c r="AJ73" s="85"/>
      <c r="AK73" s="85"/>
      <c r="AL73" s="85"/>
      <c r="AM73" s="85"/>
      <c r="AN73" s="85"/>
      <c r="AO73" s="85"/>
      <c r="AP73" s="85"/>
      <c r="AQ73" s="85"/>
      <c r="AR73" s="85" t="s">
        <v>1124</v>
      </c>
      <c r="AS73" s="85"/>
      <c r="AT73" s="85"/>
      <c r="AU73" s="85"/>
      <c r="AV73" s="85"/>
      <c r="AW73" s="85"/>
      <c r="AX73" s="85"/>
      <c r="AY73" s="85"/>
      <c r="AZ73" s="85"/>
      <c r="BA73" s="85"/>
      <c r="BB73" s="89"/>
      <c r="BC73" s="89" t="s">
        <v>1124</v>
      </c>
      <c r="BD73" s="37"/>
      <c r="BE73" s="37"/>
      <c r="BF73" s="279"/>
      <c r="BG73" s="37"/>
      <c r="BH73" s="37"/>
      <c r="BI73" s="37"/>
      <c r="BJ73" s="283"/>
      <c r="BK73" s="161"/>
      <c r="BL73" s="294"/>
      <c r="BM73"/>
      <c r="BN73"/>
      <c r="BO73"/>
      <c r="BP73"/>
      <c r="BQ73"/>
      <c r="BR73"/>
      <c r="BS73"/>
      <c r="BT73"/>
      <c r="BU73"/>
      <c r="BV73"/>
      <c r="BW73"/>
      <c r="BX73"/>
      <c r="BY73"/>
      <c r="BZ73"/>
      <c r="CA73"/>
      <c r="CB73"/>
      <c r="CC73"/>
      <c r="CD73"/>
      <c r="CE73"/>
      <c r="CF73"/>
      <c r="CG73"/>
      <c r="CH73"/>
      <c r="CI73"/>
      <c r="CJ73"/>
    </row>
    <row r="74" spans="1:88" s="32" customFormat="1" ht="15" customHeight="1" x14ac:dyDescent="0.35">
      <c r="A74" s="473"/>
      <c r="B74" s="313">
        <v>58033</v>
      </c>
      <c r="C74" s="8" t="s">
        <v>596</v>
      </c>
      <c r="D74" s="18">
        <v>16</v>
      </c>
      <c r="E74" s="251"/>
      <c r="F74" s="82"/>
      <c r="G74" s="79"/>
      <c r="H74" s="90"/>
      <c r="I74" s="85"/>
      <c r="J74" s="85"/>
      <c r="K74" s="85"/>
      <c r="L74" s="85"/>
      <c r="M74" s="85"/>
      <c r="N74" s="85"/>
      <c r="O74" s="85"/>
      <c r="P74" s="85"/>
      <c r="Q74" s="85"/>
      <c r="R74" s="85"/>
      <c r="S74" s="89"/>
      <c r="T74" s="89" t="s">
        <v>1124</v>
      </c>
      <c r="U74" s="85"/>
      <c r="V74" s="85"/>
      <c r="W74" s="85"/>
      <c r="X74" s="89" t="s">
        <v>1124</v>
      </c>
      <c r="Y74" s="79"/>
      <c r="Z74" s="79"/>
      <c r="AA74" s="94"/>
      <c r="AB74" s="79" t="s">
        <v>1124</v>
      </c>
      <c r="AC74" s="85"/>
      <c r="AD74" s="85"/>
      <c r="AE74" s="85"/>
      <c r="AF74" s="85"/>
      <c r="AG74" s="85" t="s">
        <v>1124</v>
      </c>
      <c r="AH74" s="85"/>
      <c r="AI74" s="85"/>
      <c r="AJ74" s="85"/>
      <c r="AK74" s="85"/>
      <c r="AL74" s="85"/>
      <c r="AM74" s="85"/>
      <c r="AN74" s="85"/>
      <c r="AO74" s="85"/>
      <c r="AP74" s="85"/>
      <c r="AQ74" s="85"/>
      <c r="AR74" s="85" t="s">
        <v>1124</v>
      </c>
      <c r="AS74" s="85"/>
      <c r="AT74" s="85"/>
      <c r="AU74" s="85"/>
      <c r="AV74" s="85"/>
      <c r="AW74" s="85"/>
      <c r="AX74" s="85"/>
      <c r="AY74" s="85"/>
      <c r="AZ74" s="85"/>
      <c r="BA74" s="85"/>
      <c r="BB74" s="89"/>
      <c r="BC74" s="89" t="s">
        <v>1124</v>
      </c>
      <c r="BD74" s="37"/>
      <c r="BE74" s="37"/>
      <c r="BF74" s="279"/>
      <c r="BG74" s="37"/>
      <c r="BH74" s="37"/>
      <c r="BI74" s="37"/>
      <c r="BJ74" s="283"/>
      <c r="BK74" s="161"/>
      <c r="BL74" s="294"/>
      <c r="BM74"/>
      <c r="BN74"/>
      <c r="BO74"/>
      <c r="BP74"/>
      <c r="BQ74"/>
      <c r="BR74"/>
      <c r="BS74"/>
      <c r="BT74"/>
      <c r="BU74"/>
      <c r="BV74"/>
      <c r="BW74"/>
      <c r="BX74"/>
      <c r="BY74"/>
      <c r="BZ74"/>
      <c r="CA74"/>
      <c r="CB74"/>
      <c r="CC74"/>
      <c r="CD74"/>
      <c r="CE74"/>
      <c r="CF74"/>
      <c r="CG74"/>
      <c r="CH74"/>
      <c r="CI74"/>
      <c r="CJ74"/>
    </row>
    <row r="75" spans="1:88" s="32" customFormat="1" ht="15" customHeight="1" x14ac:dyDescent="0.35">
      <c r="A75" s="473"/>
      <c r="B75" s="313">
        <v>83050</v>
      </c>
      <c r="C75" s="8" t="s">
        <v>842</v>
      </c>
      <c r="D75" s="18">
        <v>7</v>
      </c>
      <c r="E75" s="251"/>
      <c r="F75" s="82"/>
      <c r="G75" s="79"/>
      <c r="H75" s="90"/>
      <c r="I75" s="85"/>
      <c r="J75" s="85"/>
      <c r="K75" s="85"/>
      <c r="L75" s="85"/>
      <c r="M75" s="85"/>
      <c r="N75" s="85"/>
      <c r="O75" s="85"/>
      <c r="P75" s="85"/>
      <c r="Q75" s="85"/>
      <c r="R75" s="85"/>
      <c r="S75" s="89"/>
      <c r="T75" s="89" t="s">
        <v>1124</v>
      </c>
      <c r="U75" s="85"/>
      <c r="V75" s="85"/>
      <c r="W75" s="85"/>
      <c r="X75" s="89" t="s">
        <v>1124</v>
      </c>
      <c r="Y75" s="79"/>
      <c r="Z75" s="79"/>
      <c r="AA75" s="94"/>
      <c r="AB75" s="79" t="s">
        <v>1124</v>
      </c>
      <c r="AC75" s="85"/>
      <c r="AD75" s="85"/>
      <c r="AE75" s="85"/>
      <c r="AF75" s="85"/>
      <c r="AG75" s="85" t="s">
        <v>1124</v>
      </c>
      <c r="AH75" s="85"/>
      <c r="AI75" s="85"/>
      <c r="AJ75" s="85"/>
      <c r="AK75" s="85"/>
      <c r="AL75" s="85"/>
      <c r="AM75" s="85"/>
      <c r="AN75" s="85"/>
      <c r="AO75" s="85"/>
      <c r="AP75" s="85"/>
      <c r="AQ75" s="85"/>
      <c r="AR75" s="85" t="s">
        <v>1124</v>
      </c>
      <c r="AS75" s="85"/>
      <c r="AT75" s="85"/>
      <c r="AU75" s="85"/>
      <c r="AV75" s="85"/>
      <c r="AW75" s="85"/>
      <c r="AX75" s="85"/>
      <c r="AY75" s="85"/>
      <c r="AZ75" s="85"/>
      <c r="BA75" s="85"/>
      <c r="BB75" s="89"/>
      <c r="BC75" s="89" t="s">
        <v>1124</v>
      </c>
      <c r="BD75" s="37"/>
      <c r="BE75" s="37"/>
      <c r="BF75" s="279"/>
      <c r="BG75" s="37"/>
      <c r="BH75" s="37"/>
      <c r="BI75" s="37"/>
      <c r="BJ75" s="283"/>
      <c r="BK75" s="161"/>
      <c r="BL75" s="294"/>
      <c r="BM75"/>
      <c r="BN75"/>
      <c r="BO75"/>
      <c r="BP75"/>
      <c r="BQ75"/>
      <c r="BR75"/>
      <c r="BS75"/>
      <c r="BT75"/>
      <c r="BU75"/>
      <c r="BV75"/>
      <c r="BW75"/>
      <c r="BX75"/>
      <c r="BY75"/>
      <c r="BZ75"/>
      <c r="CA75"/>
      <c r="CB75"/>
      <c r="CC75"/>
      <c r="CD75"/>
      <c r="CE75"/>
      <c r="CF75"/>
      <c r="CG75"/>
      <c r="CH75"/>
      <c r="CI75"/>
      <c r="CJ75"/>
    </row>
    <row r="76" spans="1:88" s="32" customFormat="1" ht="15" customHeight="1" x14ac:dyDescent="0.35">
      <c r="A76" s="473"/>
      <c r="B76" s="313">
        <v>80145</v>
      </c>
      <c r="C76" s="8" t="s">
        <v>826</v>
      </c>
      <c r="D76" s="18">
        <v>7</v>
      </c>
      <c r="E76" s="251"/>
      <c r="F76" s="82"/>
      <c r="G76" s="79"/>
      <c r="H76" s="90"/>
      <c r="I76" s="85"/>
      <c r="J76" s="85"/>
      <c r="K76" s="85"/>
      <c r="L76" s="85"/>
      <c r="M76" s="85"/>
      <c r="N76" s="85"/>
      <c r="O76" s="85"/>
      <c r="P76" s="85"/>
      <c r="Q76" s="85"/>
      <c r="R76" s="85"/>
      <c r="S76" s="89"/>
      <c r="T76" s="89" t="s">
        <v>1124</v>
      </c>
      <c r="U76" s="85"/>
      <c r="V76" s="85"/>
      <c r="W76" s="85"/>
      <c r="X76" s="89" t="s">
        <v>1124</v>
      </c>
      <c r="Y76" s="79"/>
      <c r="Z76" s="79"/>
      <c r="AA76" s="94"/>
      <c r="AB76" s="79" t="s">
        <v>1124</v>
      </c>
      <c r="AC76" s="85"/>
      <c r="AD76" s="85"/>
      <c r="AE76" s="85"/>
      <c r="AF76" s="85"/>
      <c r="AG76" s="85" t="s">
        <v>1124</v>
      </c>
      <c r="AH76" s="85"/>
      <c r="AI76" s="85"/>
      <c r="AJ76" s="85"/>
      <c r="AK76" s="85"/>
      <c r="AL76" s="85"/>
      <c r="AM76" s="85"/>
      <c r="AN76" s="85"/>
      <c r="AO76" s="85"/>
      <c r="AP76" s="85"/>
      <c r="AQ76" s="85"/>
      <c r="AR76" s="85" t="s">
        <v>1124</v>
      </c>
      <c r="AS76" s="85"/>
      <c r="AT76" s="85"/>
      <c r="AU76" s="85"/>
      <c r="AV76" s="85"/>
      <c r="AW76" s="85"/>
      <c r="AX76" s="85"/>
      <c r="AY76" s="85"/>
      <c r="AZ76" s="85"/>
      <c r="BA76" s="85"/>
      <c r="BB76" s="89"/>
      <c r="BC76" s="89" t="s">
        <v>1124</v>
      </c>
      <c r="BD76" s="37"/>
      <c r="BE76" s="37"/>
      <c r="BF76" s="279"/>
      <c r="BG76" s="37"/>
      <c r="BH76" s="37"/>
      <c r="BI76" s="37"/>
      <c r="BJ76" s="283"/>
      <c r="BK76" s="161"/>
      <c r="BL76" s="294"/>
      <c r="BM76"/>
      <c r="BN76"/>
      <c r="BO76"/>
      <c r="BP76"/>
      <c r="BQ76"/>
      <c r="BR76"/>
      <c r="BS76"/>
      <c r="BT76"/>
      <c r="BU76"/>
      <c r="BV76"/>
      <c r="BW76"/>
      <c r="BX76"/>
      <c r="BY76"/>
      <c r="BZ76"/>
      <c r="CA76"/>
      <c r="CB76"/>
      <c r="CC76"/>
      <c r="CD76"/>
      <c r="CE76"/>
      <c r="CF76"/>
      <c r="CG76"/>
      <c r="CH76"/>
      <c r="CI76"/>
      <c r="CJ76"/>
    </row>
    <row r="77" spans="1:88" s="32" customFormat="1" ht="15" customHeight="1" x14ac:dyDescent="0.35">
      <c r="A77" s="473"/>
      <c r="B77" s="313">
        <v>78075</v>
      </c>
      <c r="C77" s="8" t="s">
        <v>778</v>
      </c>
      <c r="D77" s="18">
        <v>15</v>
      </c>
      <c r="E77" s="251">
        <v>402</v>
      </c>
      <c r="F77" s="82">
        <v>2.14</v>
      </c>
      <c r="G77" s="79">
        <v>860.28000000000009</v>
      </c>
      <c r="H77" s="90">
        <v>9.6780000000000008</v>
      </c>
      <c r="I77" s="85">
        <v>8.01</v>
      </c>
      <c r="J77" s="85">
        <v>9.3930000000000007</v>
      </c>
      <c r="K77" s="85">
        <v>8.3059999999999992</v>
      </c>
      <c r="L77" s="85">
        <v>6.4219999999999997</v>
      </c>
      <c r="M77" s="85">
        <v>6.556</v>
      </c>
      <c r="N77" s="85">
        <v>7.7430000000000003</v>
      </c>
      <c r="O77" s="85">
        <v>7.4130000000000003</v>
      </c>
      <c r="P77" s="85">
        <v>7.952</v>
      </c>
      <c r="Q77" s="85">
        <v>6.593</v>
      </c>
      <c r="R77" s="85">
        <v>6.3540000000000001</v>
      </c>
      <c r="S77" s="89">
        <v>6.3079999999999998</v>
      </c>
      <c r="T77" s="89">
        <v>90.728000000000009</v>
      </c>
      <c r="U77" s="85">
        <v>0</v>
      </c>
      <c r="V77" s="85">
        <v>90.727999999999994</v>
      </c>
      <c r="W77" s="85">
        <v>0</v>
      </c>
      <c r="X77" s="89">
        <v>90.727999999999994</v>
      </c>
      <c r="Y77" s="79">
        <v>0</v>
      </c>
      <c r="Z77" s="79">
        <v>1</v>
      </c>
      <c r="AA77" s="94">
        <v>0</v>
      </c>
      <c r="AB77" s="79">
        <v>1</v>
      </c>
      <c r="AC77" s="85">
        <v>64.677999999999997</v>
      </c>
      <c r="AD77" s="85">
        <v>10.679999999999993</v>
      </c>
      <c r="AE77" s="85">
        <v>15.37</v>
      </c>
      <c r="AF77" s="85">
        <v>0</v>
      </c>
      <c r="AG77" s="85">
        <v>90.727999999999994</v>
      </c>
      <c r="AH77" s="85">
        <v>0</v>
      </c>
      <c r="AI77" s="85">
        <v>0</v>
      </c>
      <c r="AJ77" s="85">
        <v>0</v>
      </c>
      <c r="AK77" s="85">
        <v>0</v>
      </c>
      <c r="AL77" s="85">
        <v>0</v>
      </c>
      <c r="AM77" s="85">
        <v>0</v>
      </c>
      <c r="AN77" s="85">
        <v>0</v>
      </c>
      <c r="AO77" s="85">
        <v>0</v>
      </c>
      <c r="AP77" s="85">
        <v>0</v>
      </c>
      <c r="AQ77" s="85">
        <v>0</v>
      </c>
      <c r="AR77" s="85">
        <v>0</v>
      </c>
      <c r="AS77" s="85">
        <v>90.727999999999994</v>
      </c>
      <c r="AT77" s="85">
        <v>0</v>
      </c>
      <c r="AU77" s="85">
        <v>0</v>
      </c>
      <c r="AV77" s="85">
        <v>0</v>
      </c>
      <c r="AW77" s="85">
        <v>0</v>
      </c>
      <c r="AX77" s="85">
        <v>0</v>
      </c>
      <c r="AY77" s="85">
        <v>0</v>
      </c>
      <c r="AZ77" s="85">
        <v>0</v>
      </c>
      <c r="BA77" s="85">
        <v>0</v>
      </c>
      <c r="BB77" s="89">
        <v>0</v>
      </c>
      <c r="BC77" s="89">
        <v>90.727999999999994</v>
      </c>
      <c r="BD77" s="37">
        <v>0</v>
      </c>
      <c r="BE77" s="37">
        <v>0</v>
      </c>
      <c r="BF77" s="279">
        <v>3888</v>
      </c>
      <c r="BG77" s="37">
        <v>18866</v>
      </c>
      <c r="BH77" s="37">
        <v>14252</v>
      </c>
      <c r="BI77" s="37">
        <v>0</v>
      </c>
      <c r="BJ77" s="283">
        <v>37006</v>
      </c>
      <c r="BK77" s="161"/>
      <c r="BL77" s="294"/>
      <c r="BM77"/>
      <c r="BN77"/>
      <c r="BO77"/>
      <c r="BP77"/>
      <c r="BQ77"/>
      <c r="BR77"/>
      <c r="BS77"/>
      <c r="BT77"/>
      <c r="BU77"/>
      <c r="BV77"/>
      <c r="BW77"/>
      <c r="BX77"/>
      <c r="BY77"/>
      <c r="BZ77"/>
      <c r="CA77"/>
      <c r="CB77"/>
      <c r="CC77"/>
      <c r="CD77"/>
      <c r="CE77"/>
      <c r="CF77"/>
      <c r="CG77"/>
      <c r="CH77"/>
      <c r="CI77"/>
      <c r="CJ77"/>
    </row>
    <row r="78" spans="1:88" s="32" customFormat="1" ht="15" customHeight="1" x14ac:dyDescent="0.35">
      <c r="A78" s="473"/>
      <c r="B78" s="313">
        <v>46090</v>
      </c>
      <c r="C78" s="8" t="s">
        <v>443</v>
      </c>
      <c r="D78" s="18">
        <v>5</v>
      </c>
      <c r="E78" s="251"/>
      <c r="F78" s="82"/>
      <c r="G78" s="79"/>
      <c r="H78" s="90"/>
      <c r="I78" s="85"/>
      <c r="J78" s="85"/>
      <c r="K78" s="85"/>
      <c r="L78" s="85"/>
      <c r="M78" s="85"/>
      <c r="N78" s="85"/>
      <c r="O78" s="85"/>
      <c r="P78" s="85"/>
      <c r="Q78" s="85"/>
      <c r="R78" s="85"/>
      <c r="S78" s="89"/>
      <c r="T78" s="89" t="s">
        <v>1124</v>
      </c>
      <c r="U78" s="85"/>
      <c r="V78" s="85"/>
      <c r="W78" s="85"/>
      <c r="X78" s="89" t="s">
        <v>1124</v>
      </c>
      <c r="Y78" s="79"/>
      <c r="Z78" s="79"/>
      <c r="AA78" s="94"/>
      <c r="AB78" s="79" t="s">
        <v>1124</v>
      </c>
      <c r="AC78" s="85"/>
      <c r="AD78" s="85"/>
      <c r="AE78" s="85"/>
      <c r="AF78" s="85"/>
      <c r="AG78" s="85" t="s">
        <v>1124</v>
      </c>
      <c r="AH78" s="85"/>
      <c r="AI78" s="85"/>
      <c r="AJ78" s="85"/>
      <c r="AK78" s="85"/>
      <c r="AL78" s="85"/>
      <c r="AM78" s="85"/>
      <c r="AN78" s="85"/>
      <c r="AO78" s="85"/>
      <c r="AP78" s="85"/>
      <c r="AQ78" s="85"/>
      <c r="AR78" s="85" t="s">
        <v>1124</v>
      </c>
      <c r="AS78" s="85"/>
      <c r="AT78" s="85"/>
      <c r="AU78" s="85"/>
      <c r="AV78" s="85"/>
      <c r="AW78" s="85"/>
      <c r="AX78" s="85"/>
      <c r="AY78" s="85"/>
      <c r="AZ78" s="85"/>
      <c r="BA78" s="85"/>
      <c r="BB78" s="89"/>
      <c r="BC78" s="89" t="s">
        <v>1124</v>
      </c>
      <c r="BD78" s="37"/>
      <c r="BE78" s="37"/>
      <c r="BF78" s="279"/>
      <c r="BG78" s="37"/>
      <c r="BH78" s="37"/>
      <c r="BI78" s="37"/>
      <c r="BJ78" s="283"/>
      <c r="BK78" s="161"/>
      <c r="BL78" s="294"/>
      <c r="BM78"/>
      <c r="BN78"/>
      <c r="BO78"/>
      <c r="BP78"/>
      <c r="BQ78"/>
      <c r="BR78"/>
      <c r="BS78"/>
      <c r="BT78"/>
      <c r="BU78"/>
      <c r="BV78"/>
      <c r="BW78"/>
      <c r="BX78"/>
      <c r="BY78"/>
      <c r="BZ78"/>
      <c r="CA78"/>
      <c r="CB78"/>
      <c r="CC78"/>
      <c r="CD78"/>
      <c r="CE78"/>
      <c r="CF78"/>
      <c r="CG78"/>
      <c r="CH78"/>
      <c r="CI78"/>
      <c r="CJ78"/>
    </row>
    <row r="79" spans="1:88" s="32" customFormat="1" ht="15" customHeight="1" x14ac:dyDescent="0.35">
      <c r="A79" s="473"/>
      <c r="B79" s="313">
        <v>84005</v>
      </c>
      <c r="C79" s="8" t="s">
        <v>852</v>
      </c>
      <c r="D79" s="18">
        <v>7</v>
      </c>
      <c r="E79" s="251"/>
      <c r="F79" s="82"/>
      <c r="G79" s="79"/>
      <c r="H79" s="90"/>
      <c r="I79" s="85"/>
      <c r="J79" s="85"/>
      <c r="K79" s="85"/>
      <c r="L79" s="85"/>
      <c r="M79" s="85"/>
      <c r="N79" s="85"/>
      <c r="O79" s="85"/>
      <c r="P79" s="85"/>
      <c r="Q79" s="85"/>
      <c r="R79" s="85"/>
      <c r="S79" s="89"/>
      <c r="T79" s="89" t="s">
        <v>1124</v>
      </c>
      <c r="U79" s="85"/>
      <c r="V79" s="85"/>
      <c r="W79" s="85"/>
      <c r="X79" s="89" t="s">
        <v>1124</v>
      </c>
      <c r="Y79" s="79"/>
      <c r="Z79" s="79"/>
      <c r="AA79" s="94"/>
      <c r="AB79" s="79" t="s">
        <v>1124</v>
      </c>
      <c r="AC79" s="85"/>
      <c r="AD79" s="85"/>
      <c r="AE79" s="85"/>
      <c r="AF79" s="85"/>
      <c r="AG79" s="85" t="s">
        <v>1124</v>
      </c>
      <c r="AH79" s="85"/>
      <c r="AI79" s="85"/>
      <c r="AJ79" s="85"/>
      <c r="AK79" s="85"/>
      <c r="AL79" s="85"/>
      <c r="AM79" s="85"/>
      <c r="AN79" s="85"/>
      <c r="AO79" s="85"/>
      <c r="AP79" s="85"/>
      <c r="AQ79" s="85"/>
      <c r="AR79" s="85" t="s">
        <v>1124</v>
      </c>
      <c r="AS79" s="85"/>
      <c r="AT79" s="85"/>
      <c r="AU79" s="85"/>
      <c r="AV79" s="85"/>
      <c r="AW79" s="85"/>
      <c r="AX79" s="85"/>
      <c r="AY79" s="85"/>
      <c r="AZ79" s="85"/>
      <c r="BA79" s="85"/>
      <c r="BB79" s="89"/>
      <c r="BC79" s="89" t="s">
        <v>1124</v>
      </c>
      <c r="BD79" s="37"/>
      <c r="BE79" s="37"/>
      <c r="BF79" s="279"/>
      <c r="BG79" s="37"/>
      <c r="BH79" s="37"/>
      <c r="BI79" s="37"/>
      <c r="BJ79" s="283"/>
      <c r="BK79" s="161"/>
      <c r="BL79" s="294"/>
      <c r="BM79"/>
      <c r="BN79"/>
      <c r="BO79"/>
      <c r="BP79"/>
      <c r="BQ79"/>
      <c r="BR79"/>
      <c r="BS79"/>
      <c r="BT79"/>
      <c r="BU79"/>
      <c r="BV79"/>
      <c r="BW79"/>
      <c r="BX79"/>
      <c r="BY79"/>
      <c r="BZ79"/>
      <c r="CA79"/>
      <c r="CB79"/>
      <c r="CC79"/>
      <c r="CD79"/>
      <c r="CE79"/>
      <c r="CF79"/>
      <c r="CG79"/>
      <c r="CH79"/>
      <c r="CI79"/>
      <c r="CJ79"/>
    </row>
    <row r="80" spans="1:88" s="32" customFormat="1" ht="15" customHeight="1" x14ac:dyDescent="0.35">
      <c r="A80" s="473"/>
      <c r="B80" s="313">
        <v>46070</v>
      </c>
      <c r="C80" s="8" t="s">
        <v>438</v>
      </c>
      <c r="D80" s="18">
        <v>5</v>
      </c>
      <c r="E80" s="251"/>
      <c r="F80" s="82"/>
      <c r="G80" s="79"/>
      <c r="H80" s="90"/>
      <c r="I80" s="85"/>
      <c r="J80" s="85"/>
      <c r="K80" s="85"/>
      <c r="L80" s="85"/>
      <c r="M80" s="85"/>
      <c r="N80" s="85"/>
      <c r="O80" s="85"/>
      <c r="P80" s="85"/>
      <c r="Q80" s="85"/>
      <c r="R80" s="85"/>
      <c r="S80" s="89"/>
      <c r="T80" s="89" t="s">
        <v>1124</v>
      </c>
      <c r="U80" s="85"/>
      <c r="V80" s="85"/>
      <c r="W80" s="85"/>
      <c r="X80" s="89" t="s">
        <v>1124</v>
      </c>
      <c r="Y80" s="79"/>
      <c r="Z80" s="79"/>
      <c r="AA80" s="94"/>
      <c r="AB80" s="79" t="s">
        <v>1124</v>
      </c>
      <c r="AC80" s="85"/>
      <c r="AD80" s="85"/>
      <c r="AE80" s="85"/>
      <c r="AF80" s="85"/>
      <c r="AG80" s="85" t="s">
        <v>1124</v>
      </c>
      <c r="AH80" s="85"/>
      <c r="AI80" s="85"/>
      <c r="AJ80" s="85"/>
      <c r="AK80" s="85"/>
      <c r="AL80" s="85"/>
      <c r="AM80" s="85"/>
      <c r="AN80" s="85"/>
      <c r="AO80" s="85"/>
      <c r="AP80" s="85"/>
      <c r="AQ80" s="85"/>
      <c r="AR80" s="85" t="s">
        <v>1124</v>
      </c>
      <c r="AS80" s="85"/>
      <c r="AT80" s="85"/>
      <c r="AU80" s="85"/>
      <c r="AV80" s="85"/>
      <c r="AW80" s="85"/>
      <c r="AX80" s="85"/>
      <c r="AY80" s="85"/>
      <c r="AZ80" s="85"/>
      <c r="BA80" s="85"/>
      <c r="BB80" s="89"/>
      <c r="BC80" s="89" t="s">
        <v>1124</v>
      </c>
      <c r="BD80" s="37"/>
      <c r="BE80" s="37"/>
      <c r="BF80" s="279"/>
      <c r="BG80" s="37"/>
      <c r="BH80" s="37"/>
      <c r="BI80" s="37"/>
      <c r="BJ80" s="283"/>
      <c r="BK80" s="161"/>
      <c r="BL80" s="294"/>
      <c r="BM80"/>
      <c r="BN80"/>
      <c r="BO80"/>
      <c r="BP80"/>
      <c r="BQ80"/>
      <c r="BR80"/>
      <c r="BS80"/>
      <c r="BT80"/>
      <c r="BU80"/>
      <c r="BV80"/>
      <c r="BW80"/>
      <c r="BX80"/>
      <c r="BY80"/>
      <c r="BZ80"/>
      <c r="CA80"/>
      <c r="CB80"/>
      <c r="CC80"/>
      <c r="CD80"/>
      <c r="CE80"/>
      <c r="CF80"/>
      <c r="CG80"/>
      <c r="CH80"/>
      <c r="CI80"/>
      <c r="CJ80"/>
    </row>
    <row r="81" spans="1:88" s="32" customFormat="1" ht="15" customHeight="1" x14ac:dyDescent="0.35">
      <c r="A81" s="473"/>
      <c r="B81" s="313">
        <v>46078</v>
      </c>
      <c r="C81" s="8" t="s">
        <v>440</v>
      </c>
      <c r="D81" s="18">
        <v>5</v>
      </c>
      <c r="E81" s="251">
        <v>3832</v>
      </c>
      <c r="F81" s="82">
        <v>1.9981681253816406</v>
      </c>
      <c r="G81" s="79">
        <v>7656.980256462447</v>
      </c>
      <c r="H81" s="90">
        <v>146.755</v>
      </c>
      <c r="I81" s="85">
        <v>130.82900000000001</v>
      </c>
      <c r="J81" s="85">
        <v>150.16800000000001</v>
      </c>
      <c r="K81" s="85">
        <v>154.58500000000001</v>
      </c>
      <c r="L81" s="85">
        <v>166.08500000000001</v>
      </c>
      <c r="M81" s="85">
        <v>185.47300000000001</v>
      </c>
      <c r="N81" s="85">
        <v>226.90899999999999</v>
      </c>
      <c r="O81" s="85">
        <v>218.55500000000001</v>
      </c>
      <c r="P81" s="85">
        <v>180.511</v>
      </c>
      <c r="Q81" s="85">
        <v>182.82499999999999</v>
      </c>
      <c r="R81" s="85">
        <v>149.232</v>
      </c>
      <c r="S81" s="89">
        <v>150.458</v>
      </c>
      <c r="T81" s="89">
        <v>2042.3850000000002</v>
      </c>
      <c r="U81" s="85">
        <v>2042.386</v>
      </c>
      <c r="V81" s="85">
        <v>0</v>
      </c>
      <c r="W81" s="85">
        <v>0</v>
      </c>
      <c r="X81" s="89">
        <v>2042.386</v>
      </c>
      <c r="Y81" s="79">
        <v>1</v>
      </c>
      <c r="Z81" s="79">
        <v>0</v>
      </c>
      <c r="AA81" s="94">
        <v>0</v>
      </c>
      <c r="AB81" s="79">
        <v>1</v>
      </c>
      <c r="AC81" s="85">
        <v>991.89499999999998</v>
      </c>
      <c r="AD81" s="85">
        <v>951.37452494898002</v>
      </c>
      <c r="AE81" s="85">
        <v>99.115475051020297</v>
      </c>
      <c r="AF81" s="85">
        <v>0</v>
      </c>
      <c r="AG81" s="85">
        <v>2042.3850000000002</v>
      </c>
      <c r="AH81" s="85">
        <v>2042.386</v>
      </c>
      <c r="AI81" s="85">
        <v>0</v>
      </c>
      <c r="AJ81" s="85">
        <v>0</v>
      </c>
      <c r="AK81" s="85">
        <v>0</v>
      </c>
      <c r="AL81" s="85">
        <v>0</v>
      </c>
      <c r="AM81" s="85">
        <v>0</v>
      </c>
      <c r="AN81" s="85">
        <v>0</v>
      </c>
      <c r="AO81" s="85">
        <v>0</v>
      </c>
      <c r="AP81" s="85">
        <v>0</v>
      </c>
      <c r="AQ81" s="85">
        <v>0</v>
      </c>
      <c r="AR81" s="85">
        <v>2042.386</v>
      </c>
      <c r="AS81" s="85">
        <v>0</v>
      </c>
      <c r="AT81" s="85">
        <v>0</v>
      </c>
      <c r="AU81" s="85">
        <v>0</v>
      </c>
      <c r="AV81" s="85">
        <v>0</v>
      </c>
      <c r="AW81" s="85">
        <v>0</v>
      </c>
      <c r="AX81" s="85">
        <v>0</v>
      </c>
      <c r="AY81" s="85">
        <v>0</v>
      </c>
      <c r="AZ81" s="85">
        <v>0</v>
      </c>
      <c r="BA81" s="85">
        <v>0</v>
      </c>
      <c r="BB81" s="89">
        <v>0</v>
      </c>
      <c r="BC81" s="89">
        <v>0</v>
      </c>
      <c r="BD81" s="37">
        <v>166925</v>
      </c>
      <c r="BE81" s="37">
        <v>162876</v>
      </c>
      <c r="BF81" s="279">
        <v>103216</v>
      </c>
      <c r="BG81" s="37">
        <v>454839</v>
      </c>
      <c r="BH81" s="37">
        <v>214180</v>
      </c>
      <c r="BI81" s="37">
        <v>0</v>
      </c>
      <c r="BJ81" s="283">
        <v>772235</v>
      </c>
      <c r="BK81" s="161"/>
      <c r="BL81" s="294"/>
      <c r="BM81"/>
      <c r="BN81"/>
      <c r="BO81"/>
      <c r="BP81"/>
      <c r="BQ81"/>
      <c r="BR81"/>
      <c r="BS81"/>
      <c r="BT81"/>
      <c r="BU81"/>
      <c r="BV81"/>
      <c r="BW81"/>
      <c r="BX81"/>
      <c r="BY81"/>
      <c r="BZ81"/>
      <c r="CA81"/>
      <c r="CB81"/>
      <c r="CC81"/>
      <c r="CD81"/>
      <c r="CE81"/>
      <c r="CF81"/>
      <c r="CG81"/>
      <c r="CH81"/>
      <c r="CI81"/>
      <c r="CJ81"/>
    </row>
    <row r="82" spans="1:88" s="32" customFormat="1" ht="15" customHeight="1" x14ac:dyDescent="0.35">
      <c r="A82" s="473"/>
      <c r="B82" s="313">
        <v>58007</v>
      </c>
      <c r="C82" s="8" t="s">
        <v>594</v>
      </c>
      <c r="D82" s="18">
        <v>16</v>
      </c>
      <c r="E82" s="251"/>
      <c r="F82" s="82"/>
      <c r="G82" s="79"/>
      <c r="H82" s="90"/>
      <c r="I82" s="85"/>
      <c r="J82" s="85"/>
      <c r="K82" s="85"/>
      <c r="L82" s="85"/>
      <c r="M82" s="85"/>
      <c r="N82" s="85"/>
      <c r="O82" s="85"/>
      <c r="P82" s="85"/>
      <c r="Q82" s="85"/>
      <c r="R82" s="85"/>
      <c r="S82" s="89"/>
      <c r="T82" s="89" t="s">
        <v>1124</v>
      </c>
      <c r="U82" s="85"/>
      <c r="V82" s="85"/>
      <c r="W82" s="85"/>
      <c r="X82" s="89" t="s">
        <v>1124</v>
      </c>
      <c r="Y82" s="79"/>
      <c r="Z82" s="79"/>
      <c r="AA82" s="94"/>
      <c r="AB82" s="79" t="s">
        <v>1124</v>
      </c>
      <c r="AC82" s="85"/>
      <c r="AD82" s="85"/>
      <c r="AE82" s="85"/>
      <c r="AF82" s="85"/>
      <c r="AG82" s="85" t="s">
        <v>1124</v>
      </c>
      <c r="AH82" s="85"/>
      <c r="AI82" s="85"/>
      <c r="AJ82" s="85"/>
      <c r="AK82" s="85"/>
      <c r="AL82" s="85"/>
      <c r="AM82" s="85"/>
      <c r="AN82" s="85"/>
      <c r="AO82" s="85"/>
      <c r="AP82" s="85"/>
      <c r="AQ82" s="85"/>
      <c r="AR82" s="85" t="s">
        <v>1124</v>
      </c>
      <c r="AS82" s="85"/>
      <c r="AT82" s="85"/>
      <c r="AU82" s="85"/>
      <c r="AV82" s="85"/>
      <c r="AW82" s="85"/>
      <c r="AX82" s="85"/>
      <c r="AY82" s="85"/>
      <c r="AZ82" s="85"/>
      <c r="BA82" s="85"/>
      <c r="BB82" s="89"/>
      <c r="BC82" s="89" t="s">
        <v>1124</v>
      </c>
      <c r="BD82" s="37"/>
      <c r="BE82" s="37"/>
      <c r="BF82" s="279"/>
      <c r="BG82" s="37"/>
      <c r="BH82" s="37"/>
      <c r="BI82" s="37"/>
      <c r="BJ82" s="283"/>
      <c r="BK82" s="161"/>
      <c r="BL82" s="294"/>
      <c r="BM82"/>
      <c r="BN82"/>
      <c r="BO82"/>
      <c r="BP82"/>
      <c r="BQ82"/>
      <c r="BR82"/>
      <c r="BS82"/>
      <c r="BT82"/>
      <c r="BU82"/>
      <c r="BV82"/>
      <c r="BW82"/>
      <c r="BX82"/>
      <c r="BY82"/>
      <c r="BZ82"/>
      <c r="CA82"/>
      <c r="CB82"/>
      <c r="CC82"/>
      <c r="CD82"/>
      <c r="CE82"/>
      <c r="CF82"/>
      <c r="CG82"/>
      <c r="CH82"/>
      <c r="CI82"/>
      <c r="CJ82"/>
    </row>
    <row r="83" spans="1:88" s="32" customFormat="1" ht="15" customHeight="1" x14ac:dyDescent="0.35">
      <c r="A83" s="473"/>
      <c r="B83" s="313">
        <v>76043</v>
      </c>
      <c r="C83" s="8" t="s">
        <v>752</v>
      </c>
      <c r="D83" s="18">
        <v>15</v>
      </c>
      <c r="E83" s="251">
        <v>1485</v>
      </c>
      <c r="F83" s="82">
        <v>2.1875187518751877</v>
      </c>
      <c r="G83" s="79">
        <v>3248.4653465346537</v>
      </c>
      <c r="H83" s="90">
        <v>53.075000000000003</v>
      </c>
      <c r="I83" s="85">
        <v>50.274999999999999</v>
      </c>
      <c r="J83" s="85">
        <v>59.127000000000002</v>
      </c>
      <c r="K83" s="85">
        <v>56.850999999999999</v>
      </c>
      <c r="L83" s="85">
        <v>47.015999999999998</v>
      </c>
      <c r="M83" s="85">
        <v>47.524000000000001</v>
      </c>
      <c r="N83" s="85">
        <v>63.212000000000003</v>
      </c>
      <c r="O83" s="85">
        <v>60.93</v>
      </c>
      <c r="P83" s="85">
        <v>52.837000000000003</v>
      </c>
      <c r="Q83" s="85">
        <v>50.81</v>
      </c>
      <c r="R83" s="85">
        <v>44.484999999999999</v>
      </c>
      <c r="S83" s="89">
        <v>47.939</v>
      </c>
      <c r="T83" s="89">
        <v>634.0809999999999</v>
      </c>
      <c r="U83" s="85">
        <v>634.08100000000002</v>
      </c>
      <c r="V83" s="85">
        <v>0</v>
      </c>
      <c r="W83" s="85">
        <v>0</v>
      </c>
      <c r="X83" s="89">
        <v>634.08100000000002</v>
      </c>
      <c r="Y83" s="79">
        <v>1</v>
      </c>
      <c r="Z83" s="79">
        <v>0</v>
      </c>
      <c r="AA83" s="94">
        <v>0</v>
      </c>
      <c r="AB83" s="79">
        <v>1</v>
      </c>
      <c r="AC83" s="85">
        <v>217.01</v>
      </c>
      <c r="AD83" s="85">
        <v>180.10599999999999</v>
      </c>
      <c r="AE83" s="85">
        <v>236.965</v>
      </c>
      <c r="AF83" s="85">
        <v>0</v>
      </c>
      <c r="AG83" s="85">
        <v>634.08100000000002</v>
      </c>
      <c r="AH83" s="85">
        <v>0</v>
      </c>
      <c r="AI83" s="85">
        <v>634.08100000000002</v>
      </c>
      <c r="AJ83" s="85">
        <v>0</v>
      </c>
      <c r="AK83" s="85">
        <v>0</v>
      </c>
      <c r="AL83" s="85">
        <v>0</v>
      </c>
      <c r="AM83" s="85">
        <v>0</v>
      </c>
      <c r="AN83" s="85">
        <v>0</v>
      </c>
      <c r="AO83" s="85">
        <v>0</v>
      </c>
      <c r="AP83" s="85">
        <v>0</v>
      </c>
      <c r="AQ83" s="85">
        <v>0</v>
      </c>
      <c r="AR83" s="85">
        <v>634.08100000000002</v>
      </c>
      <c r="AS83" s="85">
        <v>0</v>
      </c>
      <c r="AT83" s="85">
        <v>0</v>
      </c>
      <c r="AU83" s="85">
        <v>0</v>
      </c>
      <c r="AV83" s="85">
        <v>0</v>
      </c>
      <c r="AW83" s="85">
        <v>0</v>
      </c>
      <c r="AX83" s="85">
        <v>0</v>
      </c>
      <c r="AY83" s="85">
        <v>0</v>
      </c>
      <c r="AZ83" s="85">
        <v>0</v>
      </c>
      <c r="BA83" s="85">
        <v>0</v>
      </c>
      <c r="BB83" s="89">
        <v>0</v>
      </c>
      <c r="BC83" s="89">
        <v>0</v>
      </c>
      <c r="BD83" s="37">
        <v>0</v>
      </c>
      <c r="BE83" s="37">
        <v>0</v>
      </c>
      <c r="BF83" s="279">
        <v>77127</v>
      </c>
      <c r="BG83" s="37">
        <v>95820</v>
      </c>
      <c r="BH83" s="37">
        <v>43121</v>
      </c>
      <c r="BI83" s="37">
        <v>61868</v>
      </c>
      <c r="BJ83" s="283">
        <v>277936</v>
      </c>
      <c r="BK83" s="161"/>
      <c r="BL83" s="294"/>
      <c r="BM83"/>
      <c r="BN83"/>
      <c r="BO83"/>
      <c r="BP83"/>
      <c r="BQ83"/>
      <c r="BR83"/>
      <c r="BS83"/>
      <c r="BT83"/>
      <c r="BU83"/>
      <c r="BV83"/>
      <c r="BW83"/>
      <c r="BX83"/>
      <c r="BY83"/>
      <c r="BZ83"/>
      <c r="CA83"/>
      <c r="CB83"/>
      <c r="CC83"/>
      <c r="CD83"/>
      <c r="CE83"/>
      <c r="CF83"/>
      <c r="CG83"/>
      <c r="CH83"/>
      <c r="CI83"/>
      <c r="CJ83"/>
    </row>
    <row r="84" spans="1:88" s="32" customFormat="1" ht="15" customHeight="1" x14ac:dyDescent="0.35">
      <c r="A84" s="473"/>
      <c r="B84" s="313">
        <v>84025</v>
      </c>
      <c r="C84" s="8" t="s">
        <v>856</v>
      </c>
      <c r="D84" s="18">
        <v>7</v>
      </c>
      <c r="E84" s="251"/>
      <c r="F84" s="82"/>
      <c r="G84" s="79"/>
      <c r="H84" s="90"/>
      <c r="I84" s="85"/>
      <c r="J84" s="85"/>
      <c r="K84" s="85"/>
      <c r="L84" s="85"/>
      <c r="M84" s="85"/>
      <c r="N84" s="85"/>
      <c r="O84" s="85"/>
      <c r="P84" s="85"/>
      <c r="Q84" s="85"/>
      <c r="R84" s="85"/>
      <c r="S84" s="89"/>
      <c r="T84" s="89" t="s">
        <v>1124</v>
      </c>
      <c r="U84" s="85"/>
      <c r="V84" s="85"/>
      <c r="W84" s="85"/>
      <c r="X84" s="89" t="s">
        <v>1124</v>
      </c>
      <c r="Y84" s="79"/>
      <c r="Z84" s="79"/>
      <c r="AA84" s="94"/>
      <c r="AB84" s="79" t="s">
        <v>1124</v>
      </c>
      <c r="AC84" s="85"/>
      <c r="AD84" s="85"/>
      <c r="AE84" s="85"/>
      <c r="AF84" s="85"/>
      <c r="AG84" s="85" t="s">
        <v>1124</v>
      </c>
      <c r="AH84" s="85"/>
      <c r="AI84" s="85"/>
      <c r="AJ84" s="85"/>
      <c r="AK84" s="85"/>
      <c r="AL84" s="85"/>
      <c r="AM84" s="85"/>
      <c r="AN84" s="85"/>
      <c r="AO84" s="85"/>
      <c r="AP84" s="85"/>
      <c r="AQ84" s="85"/>
      <c r="AR84" s="85" t="s">
        <v>1124</v>
      </c>
      <c r="AS84" s="85"/>
      <c r="AT84" s="85"/>
      <c r="AU84" s="85"/>
      <c r="AV84" s="85"/>
      <c r="AW84" s="85"/>
      <c r="AX84" s="85"/>
      <c r="AY84" s="85"/>
      <c r="AZ84" s="85"/>
      <c r="BA84" s="85"/>
      <c r="BB84" s="89"/>
      <c r="BC84" s="89" t="s">
        <v>1124</v>
      </c>
      <c r="BD84" s="37"/>
      <c r="BE84" s="37"/>
      <c r="BF84" s="279"/>
      <c r="BG84" s="37"/>
      <c r="BH84" s="37"/>
      <c r="BI84" s="37"/>
      <c r="BJ84" s="283"/>
      <c r="BK84" s="161"/>
      <c r="BL84" s="294"/>
      <c r="BM84"/>
      <c r="BN84"/>
      <c r="BO84"/>
      <c r="BP84"/>
      <c r="BQ84"/>
      <c r="BR84"/>
      <c r="BS84"/>
      <c r="BT84"/>
      <c r="BU84"/>
      <c r="BV84"/>
      <c r="BW84"/>
      <c r="BX84"/>
      <c r="BY84"/>
      <c r="BZ84"/>
      <c r="CA84"/>
      <c r="CB84"/>
      <c r="CC84"/>
      <c r="CD84"/>
      <c r="CE84"/>
      <c r="CF84"/>
      <c r="CG84"/>
      <c r="CH84"/>
      <c r="CI84"/>
      <c r="CJ84"/>
    </row>
    <row r="85" spans="1:88" s="32" customFormat="1" ht="15" customHeight="1" x14ac:dyDescent="0.35">
      <c r="A85" s="473"/>
      <c r="B85" s="313">
        <v>41070</v>
      </c>
      <c r="C85" s="8" t="s">
        <v>373</v>
      </c>
      <c r="D85" s="18">
        <v>5</v>
      </c>
      <c r="E85" s="251"/>
      <c r="F85" s="82"/>
      <c r="G85" s="79"/>
      <c r="H85" s="90"/>
      <c r="I85" s="85"/>
      <c r="J85" s="85"/>
      <c r="K85" s="85"/>
      <c r="L85" s="85"/>
      <c r="M85" s="85"/>
      <c r="N85" s="85"/>
      <c r="O85" s="85"/>
      <c r="P85" s="85"/>
      <c r="Q85" s="85"/>
      <c r="R85" s="85"/>
      <c r="S85" s="89"/>
      <c r="T85" s="89" t="s">
        <v>1124</v>
      </c>
      <c r="U85" s="85"/>
      <c r="V85" s="85"/>
      <c r="W85" s="85"/>
      <c r="X85" s="89" t="s">
        <v>1124</v>
      </c>
      <c r="Y85" s="79"/>
      <c r="Z85" s="79"/>
      <c r="AA85" s="94"/>
      <c r="AB85" s="79" t="s">
        <v>1124</v>
      </c>
      <c r="AC85" s="85"/>
      <c r="AD85" s="85"/>
      <c r="AE85" s="85"/>
      <c r="AF85" s="85"/>
      <c r="AG85" s="85" t="s">
        <v>1124</v>
      </c>
      <c r="AH85" s="85"/>
      <c r="AI85" s="85"/>
      <c r="AJ85" s="85"/>
      <c r="AK85" s="85"/>
      <c r="AL85" s="85"/>
      <c r="AM85" s="85"/>
      <c r="AN85" s="85"/>
      <c r="AO85" s="85"/>
      <c r="AP85" s="85"/>
      <c r="AQ85" s="85"/>
      <c r="AR85" s="85" t="s">
        <v>1124</v>
      </c>
      <c r="AS85" s="85"/>
      <c r="AT85" s="85"/>
      <c r="AU85" s="85"/>
      <c r="AV85" s="85"/>
      <c r="AW85" s="85"/>
      <c r="AX85" s="85"/>
      <c r="AY85" s="85"/>
      <c r="AZ85" s="85"/>
      <c r="BA85" s="85"/>
      <c r="BB85" s="89"/>
      <c r="BC85" s="89" t="s">
        <v>1124</v>
      </c>
      <c r="BD85" s="37"/>
      <c r="BE85" s="37"/>
      <c r="BF85" s="279"/>
      <c r="BG85" s="37"/>
      <c r="BH85" s="37"/>
      <c r="BI85" s="37"/>
      <c r="BJ85" s="283"/>
      <c r="BK85" s="161"/>
      <c r="BL85" s="294"/>
      <c r="BM85"/>
      <c r="BN85"/>
      <c r="BO85"/>
      <c r="BP85"/>
      <c r="BQ85"/>
      <c r="BR85"/>
      <c r="BS85"/>
      <c r="BT85"/>
      <c r="BU85"/>
      <c r="BV85"/>
      <c r="BW85"/>
      <c r="BX85"/>
      <c r="BY85"/>
      <c r="BZ85"/>
      <c r="CA85"/>
      <c r="CB85"/>
      <c r="CC85"/>
      <c r="CD85"/>
      <c r="CE85"/>
      <c r="CF85"/>
      <c r="CG85"/>
      <c r="CH85"/>
      <c r="CI85"/>
      <c r="CJ85"/>
    </row>
    <row r="86" spans="1:88" s="32" customFormat="1" ht="15" customHeight="1" x14ac:dyDescent="0.35">
      <c r="A86" s="473"/>
      <c r="B86" s="313">
        <v>12057</v>
      </c>
      <c r="C86" s="8" t="s">
        <v>37</v>
      </c>
      <c r="D86" s="18">
        <v>1</v>
      </c>
      <c r="E86" s="251">
        <v>592</v>
      </c>
      <c r="F86" s="82">
        <v>1.9518716577540107</v>
      </c>
      <c r="G86" s="79">
        <v>1155.5080213903743</v>
      </c>
      <c r="H86" s="90">
        <v>10.068</v>
      </c>
      <c r="I86" s="85">
        <v>8.81</v>
      </c>
      <c r="J86" s="85">
        <v>9.7919999999999998</v>
      </c>
      <c r="K86" s="85">
        <v>10.275</v>
      </c>
      <c r="L86" s="85">
        <v>10.923999999999999</v>
      </c>
      <c r="M86" s="85">
        <v>12.974</v>
      </c>
      <c r="N86" s="85">
        <v>15.587</v>
      </c>
      <c r="O86" s="85">
        <v>11.77</v>
      </c>
      <c r="P86" s="85">
        <v>10.407999999999999</v>
      </c>
      <c r="Q86" s="85">
        <v>10.773999999999999</v>
      </c>
      <c r="R86" s="85">
        <v>9.3000000000000007</v>
      </c>
      <c r="S86" s="89">
        <v>10.257999999999999</v>
      </c>
      <c r="T86" s="89">
        <v>130.94</v>
      </c>
      <c r="U86" s="85">
        <v>0</v>
      </c>
      <c r="V86" s="85">
        <v>130.94</v>
      </c>
      <c r="W86" s="85">
        <v>0</v>
      </c>
      <c r="X86" s="89">
        <v>130.94</v>
      </c>
      <c r="Y86" s="79">
        <v>0</v>
      </c>
      <c r="Z86" s="79">
        <v>2</v>
      </c>
      <c r="AA86" s="94">
        <v>0</v>
      </c>
      <c r="AB86" s="79">
        <v>2</v>
      </c>
      <c r="AC86" s="85">
        <v>94.706999999999994</v>
      </c>
      <c r="AD86" s="85">
        <v>25.908928214285726</v>
      </c>
      <c r="AE86" s="85">
        <v>10.324071785714278</v>
      </c>
      <c r="AF86" s="85">
        <v>0</v>
      </c>
      <c r="AG86" s="85">
        <v>130.94</v>
      </c>
      <c r="AH86" s="85">
        <v>0</v>
      </c>
      <c r="AI86" s="85">
        <v>0</v>
      </c>
      <c r="AJ86" s="85">
        <v>0</v>
      </c>
      <c r="AK86" s="85">
        <v>0</v>
      </c>
      <c r="AL86" s="85">
        <v>0</v>
      </c>
      <c r="AM86" s="85">
        <v>0</v>
      </c>
      <c r="AN86" s="85">
        <v>0</v>
      </c>
      <c r="AO86" s="85">
        <v>0</v>
      </c>
      <c r="AP86" s="85">
        <v>0</v>
      </c>
      <c r="AQ86" s="85">
        <v>0</v>
      </c>
      <c r="AR86" s="85">
        <v>0</v>
      </c>
      <c r="AS86" s="85">
        <v>0</v>
      </c>
      <c r="AT86" s="85">
        <v>0</v>
      </c>
      <c r="AU86" s="85">
        <v>0</v>
      </c>
      <c r="AV86" s="85">
        <v>0</v>
      </c>
      <c r="AW86" s="85">
        <v>0</v>
      </c>
      <c r="AX86" s="85">
        <v>0</v>
      </c>
      <c r="AY86" s="85">
        <v>0</v>
      </c>
      <c r="AZ86" s="85">
        <v>0</v>
      </c>
      <c r="BA86" s="85">
        <v>130.94</v>
      </c>
      <c r="BB86" s="89">
        <v>0</v>
      </c>
      <c r="BC86" s="89">
        <v>130.94</v>
      </c>
      <c r="BD86" s="37">
        <v>0</v>
      </c>
      <c r="BE86" s="37">
        <v>0</v>
      </c>
      <c r="BF86" s="279">
        <v>1000</v>
      </c>
      <c r="BG86" s="37">
        <v>8704</v>
      </c>
      <c r="BH86" s="37">
        <v>4471</v>
      </c>
      <c r="BI86" s="37">
        <v>0</v>
      </c>
      <c r="BJ86" s="283">
        <v>14175</v>
      </c>
      <c r="BK86" s="161"/>
      <c r="BL86" s="294"/>
      <c r="BM86"/>
      <c r="BN86"/>
      <c r="BO86"/>
      <c r="BP86"/>
      <c r="BQ86"/>
      <c r="BR86"/>
      <c r="BS86"/>
      <c r="BT86"/>
      <c r="BU86"/>
      <c r="BV86"/>
      <c r="BW86"/>
      <c r="BX86"/>
      <c r="BY86"/>
      <c r="BZ86"/>
      <c r="CA86"/>
      <c r="CB86"/>
      <c r="CC86"/>
      <c r="CD86"/>
      <c r="CE86"/>
      <c r="CF86"/>
      <c r="CG86"/>
      <c r="CH86"/>
      <c r="CI86"/>
      <c r="CJ86"/>
    </row>
    <row r="87" spans="1:88" s="32" customFormat="1" ht="15" customHeight="1" x14ac:dyDescent="0.35">
      <c r="A87" s="473"/>
      <c r="B87" s="313">
        <v>59030</v>
      </c>
      <c r="C87" s="8" t="s">
        <v>603</v>
      </c>
      <c r="D87" s="18">
        <v>16</v>
      </c>
      <c r="E87" s="251"/>
      <c r="F87" s="82"/>
      <c r="G87" s="79"/>
      <c r="H87" s="90"/>
      <c r="I87" s="85"/>
      <c r="J87" s="85"/>
      <c r="K87" s="85"/>
      <c r="L87" s="85"/>
      <c r="M87" s="85"/>
      <c r="N87" s="85"/>
      <c r="O87" s="85"/>
      <c r="P87" s="85"/>
      <c r="Q87" s="85"/>
      <c r="R87" s="85"/>
      <c r="S87" s="89"/>
      <c r="T87" s="89" t="s">
        <v>1124</v>
      </c>
      <c r="U87" s="85"/>
      <c r="V87" s="85"/>
      <c r="W87" s="85"/>
      <c r="X87" s="89" t="s">
        <v>1124</v>
      </c>
      <c r="Y87" s="79"/>
      <c r="Z87" s="79"/>
      <c r="AA87" s="94"/>
      <c r="AB87" s="79" t="s">
        <v>1124</v>
      </c>
      <c r="AC87" s="85"/>
      <c r="AD87" s="85"/>
      <c r="AE87" s="85"/>
      <c r="AF87" s="85"/>
      <c r="AG87" s="85" t="s">
        <v>1124</v>
      </c>
      <c r="AH87" s="85"/>
      <c r="AI87" s="85"/>
      <c r="AJ87" s="85"/>
      <c r="AK87" s="85"/>
      <c r="AL87" s="85"/>
      <c r="AM87" s="85"/>
      <c r="AN87" s="85"/>
      <c r="AO87" s="85"/>
      <c r="AP87" s="85"/>
      <c r="AQ87" s="85"/>
      <c r="AR87" s="85" t="s">
        <v>1124</v>
      </c>
      <c r="AS87" s="85"/>
      <c r="AT87" s="85"/>
      <c r="AU87" s="85"/>
      <c r="AV87" s="85"/>
      <c r="AW87" s="85"/>
      <c r="AX87" s="85"/>
      <c r="AY87" s="85"/>
      <c r="AZ87" s="85"/>
      <c r="BA87" s="85"/>
      <c r="BB87" s="89"/>
      <c r="BC87" s="89" t="s">
        <v>1124</v>
      </c>
      <c r="BD87" s="37"/>
      <c r="BE87" s="37"/>
      <c r="BF87" s="279"/>
      <c r="BG87" s="37"/>
      <c r="BH87" s="37"/>
      <c r="BI87" s="37"/>
      <c r="BJ87" s="283"/>
      <c r="BK87" s="161"/>
      <c r="BL87" s="294"/>
      <c r="BM87"/>
      <c r="BN87"/>
      <c r="BO87"/>
      <c r="BP87"/>
      <c r="BQ87"/>
      <c r="BR87"/>
      <c r="BS87"/>
      <c r="BT87"/>
      <c r="BU87"/>
      <c r="BV87"/>
      <c r="BW87"/>
      <c r="BX87"/>
      <c r="BY87"/>
      <c r="BZ87"/>
      <c r="CA87"/>
      <c r="CB87"/>
      <c r="CC87"/>
      <c r="CD87"/>
      <c r="CE87"/>
      <c r="CF87"/>
      <c r="CG87"/>
      <c r="CH87"/>
      <c r="CI87"/>
      <c r="CJ87"/>
    </row>
    <row r="88" spans="1:88" s="32" customFormat="1" ht="15" customHeight="1" x14ac:dyDescent="0.35">
      <c r="A88" s="473"/>
      <c r="B88" s="313">
        <v>84030</v>
      </c>
      <c r="C88" s="8" t="s">
        <v>857</v>
      </c>
      <c r="D88" s="18">
        <v>7</v>
      </c>
      <c r="E88" s="251"/>
      <c r="F88" s="82"/>
      <c r="G88" s="79"/>
      <c r="H88" s="90"/>
      <c r="I88" s="85"/>
      <c r="J88" s="85"/>
      <c r="K88" s="85"/>
      <c r="L88" s="85"/>
      <c r="M88" s="85"/>
      <c r="N88" s="85"/>
      <c r="O88" s="85"/>
      <c r="P88" s="85"/>
      <c r="Q88" s="85"/>
      <c r="R88" s="85"/>
      <c r="S88" s="89"/>
      <c r="T88" s="89" t="s">
        <v>1124</v>
      </c>
      <c r="U88" s="85"/>
      <c r="V88" s="85"/>
      <c r="W88" s="85"/>
      <c r="X88" s="89" t="s">
        <v>1124</v>
      </c>
      <c r="Y88" s="79"/>
      <c r="Z88" s="79"/>
      <c r="AA88" s="94"/>
      <c r="AB88" s="79" t="s">
        <v>1124</v>
      </c>
      <c r="AC88" s="85"/>
      <c r="AD88" s="85"/>
      <c r="AE88" s="85"/>
      <c r="AF88" s="85"/>
      <c r="AG88" s="85" t="s">
        <v>1124</v>
      </c>
      <c r="AH88" s="85"/>
      <c r="AI88" s="85"/>
      <c r="AJ88" s="85"/>
      <c r="AK88" s="85"/>
      <c r="AL88" s="85"/>
      <c r="AM88" s="85"/>
      <c r="AN88" s="85"/>
      <c r="AO88" s="85"/>
      <c r="AP88" s="85"/>
      <c r="AQ88" s="85"/>
      <c r="AR88" s="85" t="s">
        <v>1124</v>
      </c>
      <c r="AS88" s="85"/>
      <c r="AT88" s="85"/>
      <c r="AU88" s="85"/>
      <c r="AV88" s="85"/>
      <c r="AW88" s="85"/>
      <c r="AX88" s="85"/>
      <c r="AY88" s="85"/>
      <c r="AZ88" s="85"/>
      <c r="BA88" s="85"/>
      <c r="BB88" s="89"/>
      <c r="BC88" s="89" t="s">
        <v>1124</v>
      </c>
      <c r="BD88" s="37"/>
      <c r="BE88" s="37"/>
      <c r="BF88" s="279"/>
      <c r="BG88" s="37"/>
      <c r="BH88" s="37"/>
      <c r="BI88" s="37"/>
      <c r="BJ88" s="283"/>
      <c r="BK88" s="161"/>
      <c r="BL88" s="294"/>
      <c r="BM88"/>
      <c r="BN88"/>
      <c r="BO88"/>
      <c r="BP88"/>
      <c r="BQ88"/>
      <c r="BR88"/>
      <c r="BS88"/>
      <c r="BT88"/>
      <c r="BU88"/>
      <c r="BV88"/>
      <c r="BW88"/>
      <c r="BX88"/>
      <c r="BY88"/>
      <c r="BZ88"/>
      <c r="CA88"/>
      <c r="CB88"/>
      <c r="CC88"/>
      <c r="CD88"/>
      <c r="CE88"/>
      <c r="CF88"/>
      <c r="CG88"/>
      <c r="CH88"/>
      <c r="CI88"/>
      <c r="CJ88"/>
    </row>
    <row r="89" spans="1:88" s="32" customFormat="1" ht="15" customHeight="1" x14ac:dyDescent="0.35">
      <c r="A89" s="473"/>
      <c r="B89" s="313">
        <v>67020</v>
      </c>
      <c r="C89" s="8" t="s">
        <v>665</v>
      </c>
      <c r="D89" s="18">
        <v>16</v>
      </c>
      <c r="E89" s="251"/>
      <c r="F89" s="82"/>
      <c r="G89" s="79"/>
      <c r="H89" s="90"/>
      <c r="I89" s="85"/>
      <c r="J89" s="85"/>
      <c r="K89" s="85"/>
      <c r="L89" s="85"/>
      <c r="M89" s="85"/>
      <c r="N89" s="85"/>
      <c r="O89" s="85"/>
      <c r="P89" s="85"/>
      <c r="Q89" s="85"/>
      <c r="R89" s="85"/>
      <c r="S89" s="89"/>
      <c r="T89" s="89" t="s">
        <v>1124</v>
      </c>
      <c r="U89" s="85"/>
      <c r="V89" s="85"/>
      <c r="W89" s="85"/>
      <c r="X89" s="89" t="s">
        <v>1124</v>
      </c>
      <c r="Y89" s="79"/>
      <c r="Z89" s="79"/>
      <c r="AA89" s="94"/>
      <c r="AB89" s="79" t="s">
        <v>1124</v>
      </c>
      <c r="AC89" s="85"/>
      <c r="AD89" s="85"/>
      <c r="AE89" s="85"/>
      <c r="AF89" s="85"/>
      <c r="AG89" s="85" t="s">
        <v>1124</v>
      </c>
      <c r="AH89" s="85"/>
      <c r="AI89" s="85"/>
      <c r="AJ89" s="85"/>
      <c r="AK89" s="85"/>
      <c r="AL89" s="85"/>
      <c r="AM89" s="85"/>
      <c r="AN89" s="85"/>
      <c r="AO89" s="85"/>
      <c r="AP89" s="85"/>
      <c r="AQ89" s="85"/>
      <c r="AR89" s="85" t="s">
        <v>1124</v>
      </c>
      <c r="AS89" s="85"/>
      <c r="AT89" s="85"/>
      <c r="AU89" s="85"/>
      <c r="AV89" s="85"/>
      <c r="AW89" s="85"/>
      <c r="AX89" s="85"/>
      <c r="AY89" s="85"/>
      <c r="AZ89" s="85"/>
      <c r="BA89" s="85"/>
      <c r="BB89" s="89"/>
      <c r="BC89" s="89" t="s">
        <v>1124</v>
      </c>
      <c r="BD89" s="37"/>
      <c r="BE89" s="37"/>
      <c r="BF89" s="279"/>
      <c r="BG89" s="37"/>
      <c r="BH89" s="37"/>
      <c r="BI89" s="37"/>
      <c r="BJ89" s="283"/>
      <c r="BK89" s="161"/>
      <c r="BL89" s="294"/>
      <c r="BM89"/>
      <c r="BN89"/>
      <c r="BO89"/>
      <c r="BP89"/>
      <c r="BQ89"/>
      <c r="BR89"/>
      <c r="BS89"/>
      <c r="BT89"/>
      <c r="BU89"/>
      <c r="BV89"/>
      <c r="BW89"/>
      <c r="BX89"/>
      <c r="BY89"/>
      <c r="BZ89"/>
      <c r="CA89"/>
      <c r="CB89"/>
      <c r="CC89"/>
      <c r="CD89"/>
      <c r="CE89"/>
      <c r="CF89"/>
      <c r="CG89"/>
      <c r="CH89"/>
      <c r="CI89"/>
      <c r="CJ89"/>
    </row>
    <row r="90" spans="1:88" s="32" customFormat="1" ht="15" customHeight="1" x14ac:dyDescent="0.35">
      <c r="A90" s="473"/>
      <c r="B90" s="313">
        <v>82020</v>
      </c>
      <c r="C90" s="8" t="s">
        <v>831</v>
      </c>
      <c r="D90" s="18">
        <v>7</v>
      </c>
      <c r="E90" s="251"/>
      <c r="F90" s="82"/>
      <c r="G90" s="79"/>
      <c r="H90" s="90"/>
      <c r="I90" s="85"/>
      <c r="J90" s="85"/>
      <c r="K90" s="85"/>
      <c r="L90" s="85"/>
      <c r="M90" s="85"/>
      <c r="N90" s="85"/>
      <c r="O90" s="85"/>
      <c r="P90" s="85"/>
      <c r="Q90" s="85"/>
      <c r="R90" s="85"/>
      <c r="S90" s="89"/>
      <c r="T90" s="89" t="s">
        <v>1124</v>
      </c>
      <c r="U90" s="85"/>
      <c r="V90" s="85"/>
      <c r="W90" s="85"/>
      <c r="X90" s="89" t="s">
        <v>1124</v>
      </c>
      <c r="Y90" s="79"/>
      <c r="Z90" s="79"/>
      <c r="AA90" s="94"/>
      <c r="AB90" s="79" t="s">
        <v>1124</v>
      </c>
      <c r="AC90" s="85"/>
      <c r="AD90" s="85"/>
      <c r="AE90" s="85"/>
      <c r="AF90" s="85"/>
      <c r="AG90" s="85" t="s">
        <v>1124</v>
      </c>
      <c r="AH90" s="85"/>
      <c r="AI90" s="85"/>
      <c r="AJ90" s="85"/>
      <c r="AK90" s="85"/>
      <c r="AL90" s="85"/>
      <c r="AM90" s="85"/>
      <c r="AN90" s="85"/>
      <c r="AO90" s="85"/>
      <c r="AP90" s="85"/>
      <c r="AQ90" s="85"/>
      <c r="AR90" s="85" t="s">
        <v>1124</v>
      </c>
      <c r="AS90" s="85"/>
      <c r="AT90" s="85"/>
      <c r="AU90" s="85"/>
      <c r="AV90" s="85"/>
      <c r="AW90" s="85"/>
      <c r="AX90" s="85"/>
      <c r="AY90" s="85"/>
      <c r="AZ90" s="85"/>
      <c r="BA90" s="85"/>
      <c r="BB90" s="89"/>
      <c r="BC90" s="89" t="s">
        <v>1124</v>
      </c>
      <c r="BD90" s="37"/>
      <c r="BE90" s="37"/>
      <c r="BF90" s="279"/>
      <c r="BG90" s="37"/>
      <c r="BH90" s="37"/>
      <c r="BI90" s="37"/>
      <c r="BJ90" s="283"/>
      <c r="BK90" s="161"/>
      <c r="BL90" s="294"/>
      <c r="BM90"/>
      <c r="BN90"/>
      <c r="BO90"/>
      <c r="BP90"/>
      <c r="BQ90"/>
      <c r="BR90"/>
      <c r="BS90"/>
      <c r="BT90"/>
      <c r="BU90"/>
      <c r="BV90"/>
      <c r="BW90"/>
      <c r="BX90"/>
      <c r="BY90"/>
      <c r="BZ90"/>
      <c r="CA90"/>
      <c r="CB90"/>
      <c r="CC90"/>
      <c r="CD90"/>
      <c r="CE90"/>
      <c r="CF90"/>
      <c r="CG90"/>
      <c r="CH90"/>
      <c r="CI90"/>
      <c r="CJ90"/>
    </row>
    <row r="91" spans="1:88" s="32" customFormat="1" ht="15" customHeight="1" x14ac:dyDescent="0.35">
      <c r="A91" s="473"/>
      <c r="B91" s="313">
        <v>4047</v>
      </c>
      <c r="C91" s="8" t="s">
        <v>1043</v>
      </c>
      <c r="D91" s="18">
        <v>11</v>
      </c>
      <c r="E91" s="251">
        <v>945</v>
      </c>
      <c r="F91" s="82">
        <v>1.8736434108527131</v>
      </c>
      <c r="G91" s="79">
        <v>1770.5930232558139</v>
      </c>
      <c r="H91" s="90">
        <v>43.045000000000002</v>
      </c>
      <c r="I91" s="85">
        <v>76.539999999999992</v>
      </c>
      <c r="J91" s="85">
        <v>74.923000000000002</v>
      </c>
      <c r="K91" s="85">
        <v>52.997</v>
      </c>
      <c r="L91" s="85">
        <v>51.686</v>
      </c>
      <c r="M91" s="85">
        <v>67.7</v>
      </c>
      <c r="N91" s="85">
        <v>46.738</v>
      </c>
      <c r="O91" s="85">
        <v>89.007000000000005</v>
      </c>
      <c r="P91" s="85">
        <v>37.777999999999999</v>
      </c>
      <c r="Q91" s="85">
        <v>36.518999999999998</v>
      </c>
      <c r="R91" s="85">
        <v>46.691000000000003</v>
      </c>
      <c r="S91" s="89">
        <v>50.446000000000005</v>
      </c>
      <c r="T91" s="89">
        <v>674.07</v>
      </c>
      <c r="U91" s="85">
        <v>0</v>
      </c>
      <c r="V91" s="85">
        <v>674.06999999999994</v>
      </c>
      <c r="W91" s="85">
        <v>0</v>
      </c>
      <c r="X91" s="89">
        <v>674.06999999999994</v>
      </c>
      <c r="Y91" s="79">
        <v>0</v>
      </c>
      <c r="Z91" s="79">
        <v>1</v>
      </c>
      <c r="AA91" s="94">
        <v>0</v>
      </c>
      <c r="AB91" s="79">
        <v>1</v>
      </c>
      <c r="AC91" s="85">
        <v>346.65100671140942</v>
      </c>
      <c r="AD91" s="85">
        <v>46.791422625325424</v>
      </c>
      <c r="AE91" s="85">
        <v>280.6275706632652</v>
      </c>
      <c r="AF91" s="85">
        <v>0</v>
      </c>
      <c r="AG91" s="85">
        <v>674.07</v>
      </c>
      <c r="AH91" s="85">
        <v>0</v>
      </c>
      <c r="AI91" s="85">
        <v>0</v>
      </c>
      <c r="AJ91" s="85">
        <v>0</v>
      </c>
      <c r="AK91" s="85">
        <v>0</v>
      </c>
      <c r="AL91" s="85">
        <v>0</v>
      </c>
      <c r="AM91" s="85">
        <v>0</v>
      </c>
      <c r="AN91" s="85">
        <v>0</v>
      </c>
      <c r="AO91" s="85">
        <v>0</v>
      </c>
      <c r="AP91" s="85">
        <v>0</v>
      </c>
      <c r="AQ91" s="85">
        <v>0</v>
      </c>
      <c r="AR91" s="85">
        <v>0</v>
      </c>
      <c r="AS91" s="85">
        <v>0</v>
      </c>
      <c r="AT91" s="85">
        <v>0</v>
      </c>
      <c r="AU91" s="85">
        <v>0</v>
      </c>
      <c r="AV91" s="85">
        <v>0</v>
      </c>
      <c r="AW91" s="85">
        <v>0</v>
      </c>
      <c r="AX91" s="85">
        <v>0</v>
      </c>
      <c r="AY91" s="85">
        <v>0</v>
      </c>
      <c r="AZ91" s="85">
        <v>0</v>
      </c>
      <c r="BA91" s="85">
        <v>674.07</v>
      </c>
      <c r="BB91" s="89">
        <v>0</v>
      </c>
      <c r="BC91" s="89">
        <v>674.07</v>
      </c>
      <c r="BD91" s="37">
        <v>0</v>
      </c>
      <c r="BE91" s="37">
        <v>0</v>
      </c>
      <c r="BF91" s="279">
        <v>0</v>
      </c>
      <c r="BG91" s="37">
        <v>0</v>
      </c>
      <c r="BH91" s="37">
        <v>0</v>
      </c>
      <c r="BI91" s="37">
        <v>76007</v>
      </c>
      <c r="BJ91" s="283">
        <v>76007</v>
      </c>
      <c r="BK91" s="161" t="s">
        <v>1549</v>
      </c>
      <c r="BL91" s="294"/>
      <c r="BM91"/>
      <c r="BN91"/>
      <c r="BO91"/>
      <c r="BP91"/>
      <c r="BQ91"/>
      <c r="BR91"/>
      <c r="BS91"/>
      <c r="BT91"/>
      <c r="BU91"/>
      <c r="BV91"/>
      <c r="BW91"/>
      <c r="BX91"/>
      <c r="BY91"/>
      <c r="BZ91"/>
      <c r="CA91"/>
      <c r="CB91"/>
      <c r="CC91"/>
      <c r="CD91"/>
      <c r="CE91"/>
      <c r="CF91"/>
      <c r="CG91"/>
      <c r="CH91"/>
      <c r="CI91"/>
      <c r="CJ91"/>
    </row>
    <row r="92" spans="1:88" s="32" customFormat="1" ht="15" customHeight="1" x14ac:dyDescent="0.35">
      <c r="A92" s="473"/>
      <c r="B92" s="313">
        <v>5060</v>
      </c>
      <c r="C92" s="8" t="s">
        <v>1053</v>
      </c>
      <c r="D92" s="18">
        <v>11</v>
      </c>
      <c r="E92" s="251">
        <v>968</v>
      </c>
      <c r="F92" s="82">
        <v>2.1366982124079916</v>
      </c>
      <c r="G92" s="79">
        <v>2068.3238696109361</v>
      </c>
      <c r="H92" s="90">
        <v>29.754999999999999</v>
      </c>
      <c r="I92" s="85">
        <v>26.79</v>
      </c>
      <c r="J92" s="85">
        <v>31.353000000000002</v>
      </c>
      <c r="K92" s="85">
        <v>24.06</v>
      </c>
      <c r="L92" s="85">
        <v>28.440999999999999</v>
      </c>
      <c r="M92" s="85">
        <v>28.285</v>
      </c>
      <c r="N92" s="85">
        <v>33.484999999999999</v>
      </c>
      <c r="O92" s="85">
        <v>32.328000000000003</v>
      </c>
      <c r="P92" s="85">
        <v>27.46</v>
      </c>
      <c r="Q92" s="85">
        <v>25.585999999999999</v>
      </c>
      <c r="R92" s="85">
        <v>21.681999999999999</v>
      </c>
      <c r="S92" s="89">
        <v>23.405999999999999</v>
      </c>
      <c r="T92" s="89">
        <v>332.63100000000003</v>
      </c>
      <c r="U92" s="85">
        <v>0</v>
      </c>
      <c r="V92" s="85">
        <v>332.63099999999997</v>
      </c>
      <c r="W92" s="85">
        <v>0</v>
      </c>
      <c r="X92" s="89">
        <v>332.63099999999997</v>
      </c>
      <c r="Y92" s="79">
        <v>0</v>
      </c>
      <c r="Z92" s="79">
        <v>1</v>
      </c>
      <c r="AA92" s="94">
        <v>0</v>
      </c>
      <c r="AB92" s="79">
        <v>1</v>
      </c>
      <c r="AC92" s="85">
        <v>268.34370800781249</v>
      </c>
      <c r="AD92" s="85">
        <v>19.054756992187571</v>
      </c>
      <c r="AE92" s="85">
        <v>45.232534999999963</v>
      </c>
      <c r="AF92" s="85">
        <v>0</v>
      </c>
      <c r="AG92" s="85">
        <v>332.63100000000003</v>
      </c>
      <c r="AH92" s="85">
        <v>0</v>
      </c>
      <c r="AI92" s="85">
        <v>0</v>
      </c>
      <c r="AJ92" s="85">
        <v>0</v>
      </c>
      <c r="AK92" s="85">
        <v>0</v>
      </c>
      <c r="AL92" s="85">
        <v>0</v>
      </c>
      <c r="AM92" s="85">
        <v>0</v>
      </c>
      <c r="AN92" s="85">
        <v>0</v>
      </c>
      <c r="AO92" s="85">
        <v>0</v>
      </c>
      <c r="AP92" s="85">
        <v>0</v>
      </c>
      <c r="AQ92" s="85">
        <v>0</v>
      </c>
      <c r="AR92" s="85">
        <v>0</v>
      </c>
      <c r="AS92" s="85">
        <v>0</v>
      </c>
      <c r="AT92" s="85">
        <v>0</v>
      </c>
      <c r="AU92" s="85">
        <v>0</v>
      </c>
      <c r="AV92" s="85">
        <v>0</v>
      </c>
      <c r="AW92" s="85">
        <v>0</v>
      </c>
      <c r="AX92" s="85">
        <v>0</v>
      </c>
      <c r="AY92" s="85">
        <v>332.63099999999997</v>
      </c>
      <c r="AZ92" s="85">
        <v>0</v>
      </c>
      <c r="BA92" s="85">
        <v>0</v>
      </c>
      <c r="BB92" s="89">
        <v>0</v>
      </c>
      <c r="BC92" s="89">
        <v>332.63099999999997</v>
      </c>
      <c r="BD92" s="37">
        <v>0</v>
      </c>
      <c r="BE92" s="37">
        <v>0</v>
      </c>
      <c r="BF92" s="279">
        <v>7111</v>
      </c>
      <c r="BG92" s="37">
        <v>9490</v>
      </c>
      <c r="BH92" s="37">
        <v>24478</v>
      </c>
      <c r="BI92" s="37">
        <v>15210</v>
      </c>
      <c r="BJ92" s="283">
        <v>56289</v>
      </c>
      <c r="BK92" s="161"/>
      <c r="BL92" s="294"/>
      <c r="BM92"/>
      <c r="BN92"/>
      <c r="BO92"/>
      <c r="BP92"/>
      <c r="BQ92"/>
      <c r="BR92"/>
      <c r="BS92"/>
      <c r="BT92"/>
      <c r="BU92"/>
      <c r="BV92"/>
      <c r="BW92"/>
      <c r="BX92"/>
      <c r="BY92"/>
      <c r="BZ92"/>
      <c r="CA92"/>
      <c r="CB92"/>
      <c r="CC92"/>
      <c r="CD92"/>
      <c r="CE92"/>
      <c r="CF92"/>
      <c r="CG92"/>
      <c r="CH92"/>
      <c r="CI92"/>
      <c r="CJ92"/>
    </row>
    <row r="93" spans="1:88" s="32" customFormat="1" ht="15" customHeight="1" x14ac:dyDescent="0.35">
      <c r="A93" s="473"/>
      <c r="B93" s="313">
        <v>18045</v>
      </c>
      <c r="C93" s="8" t="s">
        <v>112</v>
      </c>
      <c r="D93" s="18">
        <v>12</v>
      </c>
      <c r="E93" s="251">
        <v>700</v>
      </c>
      <c r="F93" s="82">
        <v>2.2552271088680604</v>
      </c>
      <c r="G93" s="79">
        <v>1578.6589762076424</v>
      </c>
      <c r="H93" s="90">
        <v>30.743142857142853</v>
      </c>
      <c r="I93" s="85">
        <v>30.842518518518517</v>
      </c>
      <c r="J93" s="85">
        <v>19.36</v>
      </c>
      <c r="K93" s="85">
        <v>18.719000000000001</v>
      </c>
      <c r="L93" s="85">
        <v>19.984999999999999</v>
      </c>
      <c r="M93" s="85">
        <v>20.814</v>
      </c>
      <c r="N93" s="85">
        <v>22.489000000000001</v>
      </c>
      <c r="O93" s="85">
        <v>19.821000000000002</v>
      </c>
      <c r="P93" s="85">
        <v>19.37</v>
      </c>
      <c r="Q93" s="85">
        <v>19.806999999999999</v>
      </c>
      <c r="R93" s="85">
        <v>21.794285714285714</v>
      </c>
      <c r="S93" s="89">
        <v>23.5352</v>
      </c>
      <c r="T93" s="89">
        <v>267.28014708994709</v>
      </c>
      <c r="U93" s="85">
        <v>0</v>
      </c>
      <c r="V93" s="85">
        <v>267.28014708994709</v>
      </c>
      <c r="W93" s="85">
        <v>0</v>
      </c>
      <c r="X93" s="89">
        <v>267.28014708994709</v>
      </c>
      <c r="Y93" s="79">
        <v>0</v>
      </c>
      <c r="Z93" s="79">
        <v>1</v>
      </c>
      <c r="AA93" s="94">
        <v>0</v>
      </c>
      <c r="AB93" s="79">
        <v>1</v>
      </c>
      <c r="AC93" s="85">
        <v>57.034742404227217</v>
      </c>
      <c r="AD93" s="85">
        <v>33.357976571352935</v>
      </c>
      <c r="AE93" s="85">
        <v>176.88742811436694</v>
      </c>
      <c r="AF93" s="85">
        <v>0</v>
      </c>
      <c r="AG93" s="85">
        <v>267.28014708994709</v>
      </c>
      <c r="AH93" s="85">
        <v>0</v>
      </c>
      <c r="AI93" s="85">
        <v>0</v>
      </c>
      <c r="AJ93" s="85">
        <v>0</v>
      </c>
      <c r="AK93" s="85">
        <v>0</v>
      </c>
      <c r="AL93" s="85">
        <v>0</v>
      </c>
      <c r="AM93" s="85">
        <v>0</v>
      </c>
      <c r="AN93" s="85">
        <v>0</v>
      </c>
      <c r="AO93" s="85">
        <v>0</v>
      </c>
      <c r="AP93" s="85">
        <v>0</v>
      </c>
      <c r="AQ93" s="85">
        <v>0</v>
      </c>
      <c r="AR93" s="85">
        <v>0</v>
      </c>
      <c r="AS93" s="85">
        <v>0</v>
      </c>
      <c r="AT93" s="85">
        <v>0</v>
      </c>
      <c r="AU93" s="85">
        <v>0</v>
      </c>
      <c r="AV93" s="85">
        <v>0</v>
      </c>
      <c r="AW93" s="85">
        <v>0</v>
      </c>
      <c r="AX93" s="85">
        <v>267.28014708994709</v>
      </c>
      <c r="AY93" s="85">
        <v>0</v>
      </c>
      <c r="AZ93" s="85">
        <v>0</v>
      </c>
      <c r="BA93" s="85">
        <v>0</v>
      </c>
      <c r="BB93" s="89">
        <v>0</v>
      </c>
      <c r="BC93" s="89">
        <v>267.28014708994709</v>
      </c>
      <c r="BD93" s="37">
        <v>0</v>
      </c>
      <c r="BE93" s="37">
        <v>0</v>
      </c>
      <c r="BF93" s="279">
        <v>11587</v>
      </c>
      <c r="BG93" s="37">
        <v>55799</v>
      </c>
      <c r="BH93" s="37">
        <v>38103</v>
      </c>
      <c r="BI93" s="37">
        <v>97532</v>
      </c>
      <c r="BJ93" s="283">
        <v>203021</v>
      </c>
      <c r="BK93" s="161"/>
      <c r="BL93" s="294"/>
      <c r="BM93"/>
      <c r="BN93"/>
      <c r="BO93"/>
      <c r="BP93"/>
      <c r="BQ93"/>
      <c r="BR93"/>
      <c r="BS93"/>
      <c r="BT93"/>
      <c r="BU93"/>
      <c r="BV93"/>
      <c r="BW93"/>
      <c r="BX93"/>
      <c r="BY93"/>
      <c r="BZ93"/>
      <c r="CA93"/>
      <c r="CB93"/>
      <c r="CC93"/>
      <c r="CD93"/>
      <c r="CE93"/>
      <c r="CF93"/>
      <c r="CG93"/>
      <c r="CH93"/>
      <c r="CI93"/>
      <c r="CJ93"/>
    </row>
    <row r="94" spans="1:88" s="32" customFormat="1" ht="15" customHeight="1" x14ac:dyDescent="0.35">
      <c r="A94" s="473"/>
      <c r="B94" s="313">
        <v>34030</v>
      </c>
      <c r="C94" s="8" t="s">
        <v>288</v>
      </c>
      <c r="D94" s="18">
        <v>3</v>
      </c>
      <c r="E94" s="251">
        <v>1314</v>
      </c>
      <c r="F94" s="82">
        <v>2.3503698722259583</v>
      </c>
      <c r="G94" s="79">
        <v>3088.3860121049092</v>
      </c>
      <c r="H94" s="90">
        <v>22.08</v>
      </c>
      <c r="I94" s="85">
        <v>20.47</v>
      </c>
      <c r="J94" s="85">
        <v>21.64</v>
      </c>
      <c r="K94" s="85">
        <v>21.15</v>
      </c>
      <c r="L94" s="85">
        <v>25.79</v>
      </c>
      <c r="M94" s="85">
        <v>23.59</v>
      </c>
      <c r="N94" s="85">
        <v>26.64</v>
      </c>
      <c r="O94" s="85">
        <v>24.78</v>
      </c>
      <c r="P94" s="85">
        <v>19.77</v>
      </c>
      <c r="Q94" s="85">
        <v>21.88</v>
      </c>
      <c r="R94" s="85">
        <v>19.329999999999998</v>
      </c>
      <c r="S94" s="89">
        <v>20.350000000000001</v>
      </c>
      <c r="T94" s="89">
        <v>267.47000000000003</v>
      </c>
      <c r="U94" s="85">
        <v>0</v>
      </c>
      <c r="V94" s="85">
        <v>267.47000000000003</v>
      </c>
      <c r="W94" s="85">
        <v>0</v>
      </c>
      <c r="X94" s="89">
        <v>267.47000000000003</v>
      </c>
      <c r="Y94" s="79">
        <v>0</v>
      </c>
      <c r="Z94" s="79">
        <v>1</v>
      </c>
      <c r="AA94" s="94">
        <v>0</v>
      </c>
      <c r="AB94" s="79">
        <v>1</v>
      </c>
      <c r="AC94" s="85">
        <v>209.05550935251799</v>
      </c>
      <c r="AD94" s="85">
        <v>16.103540647482014</v>
      </c>
      <c r="AE94" s="85">
        <v>42.310950000000027</v>
      </c>
      <c r="AF94" s="85">
        <v>0</v>
      </c>
      <c r="AG94" s="85">
        <v>267.47000000000003</v>
      </c>
      <c r="AH94" s="85">
        <v>0</v>
      </c>
      <c r="AI94" s="85">
        <v>0</v>
      </c>
      <c r="AJ94" s="85">
        <v>0</v>
      </c>
      <c r="AK94" s="85">
        <v>0</v>
      </c>
      <c r="AL94" s="85">
        <v>0</v>
      </c>
      <c r="AM94" s="85">
        <v>0</v>
      </c>
      <c r="AN94" s="85">
        <v>0</v>
      </c>
      <c r="AO94" s="85">
        <v>0</v>
      </c>
      <c r="AP94" s="85">
        <v>0</v>
      </c>
      <c r="AQ94" s="85">
        <v>0</v>
      </c>
      <c r="AR94" s="85">
        <v>0</v>
      </c>
      <c r="AS94" s="85">
        <v>0</v>
      </c>
      <c r="AT94" s="85">
        <v>0</v>
      </c>
      <c r="AU94" s="85">
        <v>267.47000000000003</v>
      </c>
      <c r="AV94" s="85">
        <v>0</v>
      </c>
      <c r="AW94" s="85">
        <v>0</v>
      </c>
      <c r="AX94" s="85">
        <v>0</v>
      </c>
      <c r="AY94" s="85">
        <v>0</v>
      </c>
      <c r="AZ94" s="85">
        <v>0</v>
      </c>
      <c r="BA94" s="85">
        <v>0</v>
      </c>
      <c r="BB94" s="89">
        <v>0</v>
      </c>
      <c r="BC94" s="89">
        <v>267.47000000000003</v>
      </c>
      <c r="BD94" s="37">
        <v>0</v>
      </c>
      <c r="BE94" s="37">
        <v>0</v>
      </c>
      <c r="BF94" s="279">
        <v>134257</v>
      </c>
      <c r="BG94" s="37">
        <v>49900</v>
      </c>
      <c r="BH94" s="37">
        <v>31240</v>
      </c>
      <c r="BI94" s="37">
        <v>13737</v>
      </c>
      <c r="BJ94" s="283">
        <v>229134</v>
      </c>
      <c r="BK94" s="161"/>
      <c r="BL94" s="294"/>
      <c r="BM94"/>
      <c r="BN94"/>
      <c r="BO94"/>
      <c r="BP94"/>
      <c r="BQ94"/>
      <c r="BR94"/>
      <c r="BS94"/>
      <c r="BT94"/>
      <c r="BU94"/>
      <c r="BV94"/>
      <c r="BW94"/>
      <c r="BX94"/>
      <c r="BY94"/>
      <c r="BZ94"/>
      <c r="CA94"/>
      <c r="CB94"/>
      <c r="CC94"/>
      <c r="CD94"/>
      <c r="CE94"/>
      <c r="CF94"/>
      <c r="CG94"/>
      <c r="CH94"/>
      <c r="CI94"/>
      <c r="CJ94"/>
    </row>
    <row r="95" spans="1:88" s="32" customFormat="1" ht="15" customHeight="1" x14ac:dyDescent="0.35">
      <c r="A95" s="473"/>
      <c r="B95" s="313">
        <v>57010</v>
      </c>
      <c r="C95" s="8" t="s">
        <v>582</v>
      </c>
      <c r="D95" s="18">
        <v>16</v>
      </c>
      <c r="E95" s="251">
        <v>3282</v>
      </c>
      <c r="F95" s="82">
        <v>2.7180809904565386</v>
      </c>
      <c r="G95" s="79">
        <v>8920.7418106783589</v>
      </c>
      <c r="H95" s="90">
        <v>61.313000000000002</v>
      </c>
      <c r="I95" s="85">
        <v>56.277999999999999</v>
      </c>
      <c r="J95" s="85">
        <v>62.688000000000002</v>
      </c>
      <c r="K95" s="85">
        <v>62.603999999999999</v>
      </c>
      <c r="L95" s="85">
        <v>80.349000000000004</v>
      </c>
      <c r="M95" s="85">
        <v>95.828999999999994</v>
      </c>
      <c r="N95" s="85">
        <v>125.244</v>
      </c>
      <c r="O95" s="85">
        <v>107.331</v>
      </c>
      <c r="P95" s="85">
        <v>79.430000000000007</v>
      </c>
      <c r="Q95" s="85">
        <v>65.478999999999999</v>
      </c>
      <c r="R95" s="85">
        <v>57.856000000000002</v>
      </c>
      <c r="S95" s="89">
        <v>62.924999999999997</v>
      </c>
      <c r="T95" s="89">
        <v>917.32600000000002</v>
      </c>
      <c r="U95" s="85">
        <v>917.32600000000002</v>
      </c>
      <c r="V95" s="85">
        <v>0</v>
      </c>
      <c r="W95" s="85">
        <v>0</v>
      </c>
      <c r="X95" s="89">
        <v>917.32600000000002</v>
      </c>
      <c r="Y95" s="79">
        <v>1</v>
      </c>
      <c r="Z95" s="79">
        <v>0</v>
      </c>
      <c r="AA95" s="94">
        <v>0</v>
      </c>
      <c r="AB95" s="79">
        <v>1</v>
      </c>
      <c r="AC95" s="85">
        <v>811.93735253107002</v>
      </c>
      <c r="AD95" s="85">
        <v>17.979327468930023</v>
      </c>
      <c r="AE95" s="85">
        <v>87.409319999999965</v>
      </c>
      <c r="AF95" s="85">
        <v>0</v>
      </c>
      <c r="AG95" s="85">
        <v>917.32600000000002</v>
      </c>
      <c r="AH95" s="85">
        <v>0</v>
      </c>
      <c r="AI95" s="85">
        <v>0</v>
      </c>
      <c r="AJ95" s="85">
        <v>917.32600000000002</v>
      </c>
      <c r="AK95" s="85">
        <v>0</v>
      </c>
      <c r="AL95" s="85">
        <v>0</v>
      </c>
      <c r="AM95" s="85">
        <v>0</v>
      </c>
      <c r="AN95" s="85">
        <v>0</v>
      </c>
      <c r="AO95" s="85">
        <v>0</v>
      </c>
      <c r="AP95" s="85">
        <v>0</v>
      </c>
      <c r="AQ95" s="85">
        <v>0</v>
      </c>
      <c r="AR95" s="85">
        <v>917.32600000000002</v>
      </c>
      <c r="AS95" s="85">
        <v>0</v>
      </c>
      <c r="AT95" s="85">
        <v>0</v>
      </c>
      <c r="AU95" s="85">
        <v>0</v>
      </c>
      <c r="AV95" s="85">
        <v>0</v>
      </c>
      <c r="AW95" s="85">
        <v>0</v>
      </c>
      <c r="AX95" s="85">
        <v>0</v>
      </c>
      <c r="AY95" s="85">
        <v>0</v>
      </c>
      <c r="AZ95" s="85">
        <v>0</v>
      </c>
      <c r="BA95" s="85">
        <v>0</v>
      </c>
      <c r="BB95" s="89">
        <v>0</v>
      </c>
      <c r="BC95" s="89">
        <v>0</v>
      </c>
      <c r="BD95" s="37">
        <v>0</v>
      </c>
      <c r="BE95" s="37">
        <v>0</v>
      </c>
      <c r="BF95" s="279">
        <v>45729</v>
      </c>
      <c r="BG95" s="37">
        <v>113112</v>
      </c>
      <c r="BH95" s="37">
        <v>112785</v>
      </c>
      <c r="BI95" s="37">
        <v>0</v>
      </c>
      <c r="BJ95" s="283">
        <v>271626</v>
      </c>
      <c r="BK95" s="161"/>
      <c r="BL95" s="294"/>
      <c r="BM95"/>
      <c r="BN95"/>
      <c r="BO95"/>
      <c r="BP95"/>
      <c r="BQ95"/>
      <c r="BR95"/>
      <c r="BS95"/>
      <c r="BT95"/>
      <c r="BU95"/>
      <c r="BV95"/>
      <c r="BW95"/>
      <c r="BX95"/>
      <c r="BY95"/>
      <c r="BZ95"/>
      <c r="CA95"/>
      <c r="CB95"/>
      <c r="CC95"/>
      <c r="CD95"/>
      <c r="CE95"/>
      <c r="CF95"/>
      <c r="CG95"/>
      <c r="CH95"/>
      <c r="CI95"/>
      <c r="CJ95"/>
    </row>
    <row r="96" spans="1:88" s="32" customFormat="1" ht="15" customHeight="1" x14ac:dyDescent="0.35">
      <c r="A96" s="473"/>
      <c r="B96" s="313">
        <v>6013</v>
      </c>
      <c r="C96" s="8" t="s">
        <v>1058</v>
      </c>
      <c r="D96" s="18">
        <v>11</v>
      </c>
      <c r="E96" s="251">
        <v>1825</v>
      </c>
      <c r="F96" s="82">
        <v>2.0291603821015585</v>
      </c>
      <c r="G96" s="79">
        <v>3703.2176973353444</v>
      </c>
      <c r="H96" s="90">
        <v>77.058999999999997</v>
      </c>
      <c r="I96" s="85">
        <v>63.332000000000001</v>
      </c>
      <c r="J96" s="85">
        <v>67.075000000000003</v>
      </c>
      <c r="K96" s="85">
        <v>69.775999999999996</v>
      </c>
      <c r="L96" s="85">
        <v>73.418000000000006</v>
      </c>
      <c r="M96" s="85">
        <v>96.352000000000004</v>
      </c>
      <c r="N96" s="85">
        <v>98.932000000000002</v>
      </c>
      <c r="O96" s="85">
        <v>119.054</v>
      </c>
      <c r="P96" s="85">
        <v>119.98399999999999</v>
      </c>
      <c r="Q96" s="85">
        <v>79.573999999999998</v>
      </c>
      <c r="R96" s="85">
        <v>68.947000000000003</v>
      </c>
      <c r="S96" s="89">
        <v>74.575999999999993</v>
      </c>
      <c r="T96" s="89">
        <v>1008.0790000000001</v>
      </c>
      <c r="U96" s="85">
        <v>0</v>
      </c>
      <c r="V96" s="85">
        <v>1008.079</v>
      </c>
      <c r="W96" s="85">
        <v>0</v>
      </c>
      <c r="X96" s="89">
        <v>1008.079</v>
      </c>
      <c r="Y96" s="79">
        <v>0</v>
      </c>
      <c r="Z96" s="79">
        <v>3</v>
      </c>
      <c r="AA96" s="94">
        <v>0</v>
      </c>
      <c r="AB96" s="79">
        <v>3</v>
      </c>
      <c r="AC96" s="85">
        <v>531.22471061902365</v>
      </c>
      <c r="AD96" s="85">
        <v>62.276474380976424</v>
      </c>
      <c r="AE96" s="85">
        <v>414.57781499999999</v>
      </c>
      <c r="AF96" s="85">
        <v>0</v>
      </c>
      <c r="AG96" s="85">
        <v>1008.0790000000001</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1008.079</v>
      </c>
      <c r="AZ96" s="85">
        <v>0</v>
      </c>
      <c r="BA96" s="85">
        <v>0</v>
      </c>
      <c r="BB96" s="89">
        <v>0</v>
      </c>
      <c r="BC96" s="89">
        <v>1008.079</v>
      </c>
      <c r="BD96" s="37">
        <v>0</v>
      </c>
      <c r="BE96" s="37">
        <v>0</v>
      </c>
      <c r="BF96" s="279">
        <v>159780</v>
      </c>
      <c r="BG96" s="37">
        <v>90821</v>
      </c>
      <c r="BH96" s="37">
        <v>61672</v>
      </c>
      <c r="BI96" s="37">
        <v>13000</v>
      </c>
      <c r="BJ96" s="283">
        <v>325273</v>
      </c>
      <c r="BK96" s="161"/>
      <c r="BL96" s="294"/>
      <c r="BM96"/>
      <c r="BN96"/>
      <c r="BO96"/>
      <c r="BP96"/>
      <c r="BQ96"/>
      <c r="BR96"/>
      <c r="BS96"/>
      <c r="BT96"/>
      <c r="BU96"/>
      <c r="BV96"/>
      <c r="BW96"/>
      <c r="BX96"/>
      <c r="BY96"/>
      <c r="BZ96"/>
      <c r="CA96"/>
      <c r="CB96"/>
      <c r="CC96"/>
      <c r="CD96"/>
      <c r="CE96"/>
      <c r="CF96"/>
      <c r="CG96"/>
      <c r="CH96"/>
      <c r="CI96"/>
      <c r="CJ96"/>
    </row>
    <row r="97" spans="1:88" s="32" customFormat="1" ht="15" customHeight="1" x14ac:dyDescent="0.35">
      <c r="A97" s="473"/>
      <c r="B97" s="313">
        <v>5077</v>
      </c>
      <c r="C97" s="8" t="s">
        <v>1056</v>
      </c>
      <c r="D97" s="18">
        <v>11</v>
      </c>
      <c r="E97" s="251"/>
      <c r="F97" s="82"/>
      <c r="G97" s="79"/>
      <c r="H97" s="90"/>
      <c r="I97" s="85"/>
      <c r="J97" s="85"/>
      <c r="K97" s="85"/>
      <c r="L97" s="85"/>
      <c r="M97" s="85"/>
      <c r="N97" s="85"/>
      <c r="O97" s="85"/>
      <c r="P97" s="85"/>
      <c r="Q97" s="85"/>
      <c r="R97" s="85"/>
      <c r="S97" s="89"/>
      <c r="T97" s="89" t="s">
        <v>1124</v>
      </c>
      <c r="U97" s="85"/>
      <c r="V97" s="85"/>
      <c r="W97" s="85"/>
      <c r="X97" s="89" t="s">
        <v>1124</v>
      </c>
      <c r="Y97" s="79"/>
      <c r="Z97" s="79"/>
      <c r="AA97" s="94"/>
      <c r="AB97" s="79" t="s">
        <v>1124</v>
      </c>
      <c r="AC97" s="85"/>
      <c r="AD97" s="85"/>
      <c r="AE97" s="85"/>
      <c r="AF97" s="85"/>
      <c r="AG97" s="85" t="s">
        <v>1124</v>
      </c>
      <c r="AH97" s="85"/>
      <c r="AI97" s="85"/>
      <c r="AJ97" s="85"/>
      <c r="AK97" s="85"/>
      <c r="AL97" s="85"/>
      <c r="AM97" s="85"/>
      <c r="AN97" s="85"/>
      <c r="AO97" s="85"/>
      <c r="AP97" s="85"/>
      <c r="AQ97" s="85"/>
      <c r="AR97" s="85" t="s">
        <v>1124</v>
      </c>
      <c r="AS97" s="85"/>
      <c r="AT97" s="85"/>
      <c r="AU97" s="85"/>
      <c r="AV97" s="85"/>
      <c r="AW97" s="85"/>
      <c r="AX97" s="85"/>
      <c r="AY97" s="85"/>
      <c r="AZ97" s="85"/>
      <c r="BA97" s="85"/>
      <c r="BB97" s="89"/>
      <c r="BC97" s="89" t="s">
        <v>1124</v>
      </c>
      <c r="BD97" s="37"/>
      <c r="BE97" s="37"/>
      <c r="BF97" s="279"/>
      <c r="BG97" s="37"/>
      <c r="BH97" s="37"/>
      <c r="BI97" s="37"/>
      <c r="BJ97" s="283"/>
      <c r="BK97" s="161"/>
      <c r="BL97" s="294"/>
      <c r="BM97"/>
      <c r="BN97"/>
      <c r="BO97"/>
      <c r="BP97"/>
      <c r="BQ97"/>
      <c r="BR97"/>
      <c r="BS97"/>
      <c r="BT97"/>
      <c r="BU97"/>
      <c r="BV97"/>
      <c r="BW97"/>
      <c r="BX97"/>
      <c r="BY97"/>
      <c r="BZ97"/>
      <c r="CA97"/>
      <c r="CB97"/>
      <c r="CC97"/>
      <c r="CD97"/>
      <c r="CE97"/>
      <c r="CF97"/>
      <c r="CG97"/>
      <c r="CH97"/>
      <c r="CI97"/>
      <c r="CJ97"/>
    </row>
    <row r="98" spans="1:88" s="32" customFormat="1" ht="15" customHeight="1" x14ac:dyDescent="0.35">
      <c r="A98" s="473"/>
      <c r="B98" s="313">
        <v>7018</v>
      </c>
      <c r="C98" s="8" t="s">
        <v>1070</v>
      </c>
      <c r="D98" s="18">
        <v>1</v>
      </c>
      <c r="E98" s="251">
        <v>884</v>
      </c>
      <c r="F98" s="82">
        <v>2.0841539838854075</v>
      </c>
      <c r="G98" s="79">
        <v>1842.3921217547002</v>
      </c>
      <c r="H98" s="90">
        <v>24.506</v>
      </c>
      <c r="I98" s="85">
        <v>24.128</v>
      </c>
      <c r="J98" s="85">
        <v>34.808</v>
      </c>
      <c r="K98" s="85">
        <v>22.728999999999999</v>
      </c>
      <c r="L98" s="85">
        <v>26.154</v>
      </c>
      <c r="M98" s="85">
        <v>23.073</v>
      </c>
      <c r="N98" s="85">
        <v>26.228999999999999</v>
      </c>
      <c r="O98" s="85">
        <v>24.797000000000001</v>
      </c>
      <c r="P98" s="85">
        <v>24.927999999999997</v>
      </c>
      <c r="Q98" s="85">
        <v>24.253</v>
      </c>
      <c r="R98" s="85">
        <v>22.056999999999999</v>
      </c>
      <c r="S98" s="89">
        <v>22.664999999999999</v>
      </c>
      <c r="T98" s="89">
        <v>300.32700000000006</v>
      </c>
      <c r="U98" s="85">
        <v>0</v>
      </c>
      <c r="V98" s="85">
        <v>300.327</v>
      </c>
      <c r="W98" s="85">
        <v>0</v>
      </c>
      <c r="X98" s="89">
        <v>300.327</v>
      </c>
      <c r="Y98" s="79">
        <v>0</v>
      </c>
      <c r="Z98" s="79">
        <v>1</v>
      </c>
      <c r="AA98" s="94">
        <v>0</v>
      </c>
      <c r="AB98" s="79">
        <v>1</v>
      </c>
      <c r="AC98" s="85">
        <v>238.40244301075268</v>
      </c>
      <c r="AD98" s="85">
        <v>16.910461989247366</v>
      </c>
      <c r="AE98" s="85">
        <v>45.014095000000012</v>
      </c>
      <c r="AF98" s="85">
        <v>0</v>
      </c>
      <c r="AG98" s="85">
        <v>300.32700000000006</v>
      </c>
      <c r="AH98" s="85">
        <v>0</v>
      </c>
      <c r="AI98" s="85">
        <v>0</v>
      </c>
      <c r="AJ98" s="85">
        <v>0</v>
      </c>
      <c r="AK98" s="85">
        <v>0</v>
      </c>
      <c r="AL98" s="85">
        <v>0</v>
      </c>
      <c r="AM98" s="85">
        <v>0</v>
      </c>
      <c r="AN98" s="85">
        <v>0</v>
      </c>
      <c r="AO98" s="85">
        <v>0</v>
      </c>
      <c r="AP98" s="85">
        <v>0</v>
      </c>
      <c r="AQ98" s="85">
        <v>0</v>
      </c>
      <c r="AR98" s="85">
        <v>0</v>
      </c>
      <c r="AS98" s="85">
        <v>0</v>
      </c>
      <c r="AT98" s="85">
        <v>0</v>
      </c>
      <c r="AU98" s="85">
        <v>0</v>
      </c>
      <c r="AV98" s="85">
        <v>0</v>
      </c>
      <c r="AW98" s="85">
        <v>0</v>
      </c>
      <c r="AX98" s="85">
        <v>0</v>
      </c>
      <c r="AY98" s="85">
        <v>300.327</v>
      </c>
      <c r="AZ98" s="85">
        <v>0</v>
      </c>
      <c r="BA98" s="85">
        <v>0</v>
      </c>
      <c r="BB98" s="89">
        <v>0</v>
      </c>
      <c r="BC98" s="89">
        <v>300.327</v>
      </c>
      <c r="BD98" s="37">
        <v>45520</v>
      </c>
      <c r="BE98" s="37">
        <v>0</v>
      </c>
      <c r="BF98" s="279">
        <v>43000</v>
      </c>
      <c r="BG98" s="37">
        <v>33000</v>
      </c>
      <c r="BH98" s="37">
        <v>38000</v>
      </c>
      <c r="BI98" s="37">
        <v>0</v>
      </c>
      <c r="BJ98" s="283">
        <v>114000</v>
      </c>
      <c r="BK98" s="161"/>
      <c r="BL98" s="294"/>
      <c r="BM98"/>
      <c r="BN98"/>
      <c r="BO98"/>
      <c r="BP98"/>
      <c r="BQ98"/>
      <c r="BR98"/>
      <c r="BS98"/>
      <c r="BT98"/>
      <c r="BU98"/>
      <c r="BV98"/>
      <c r="BW98"/>
      <c r="BX98"/>
      <c r="BY98"/>
      <c r="BZ98"/>
      <c r="CA98"/>
      <c r="CB98"/>
      <c r="CC98"/>
      <c r="CD98"/>
      <c r="CE98"/>
      <c r="CF98"/>
      <c r="CG98"/>
      <c r="CH98"/>
      <c r="CI98"/>
      <c r="CJ98"/>
    </row>
    <row r="99" spans="1:88" s="32" customFormat="1" ht="15" customHeight="1" x14ac:dyDescent="0.35">
      <c r="A99" s="473"/>
      <c r="B99" s="313">
        <v>83040</v>
      </c>
      <c r="C99" s="8" t="s">
        <v>840</v>
      </c>
      <c r="D99" s="18">
        <v>7</v>
      </c>
      <c r="E99" s="251"/>
      <c r="F99" s="82"/>
      <c r="G99" s="79"/>
      <c r="H99" s="90"/>
      <c r="I99" s="85"/>
      <c r="J99" s="85"/>
      <c r="K99" s="85"/>
      <c r="L99" s="85"/>
      <c r="M99" s="85"/>
      <c r="N99" s="85"/>
      <c r="O99" s="85"/>
      <c r="P99" s="85"/>
      <c r="Q99" s="85"/>
      <c r="R99" s="85"/>
      <c r="S99" s="89"/>
      <c r="T99" s="89" t="s">
        <v>1124</v>
      </c>
      <c r="U99" s="85"/>
      <c r="V99" s="85"/>
      <c r="W99" s="85"/>
      <c r="X99" s="89" t="s">
        <v>1124</v>
      </c>
      <c r="Y99" s="79"/>
      <c r="Z99" s="79"/>
      <c r="AA99" s="94"/>
      <c r="AB99" s="79" t="s">
        <v>1124</v>
      </c>
      <c r="AC99" s="85"/>
      <c r="AD99" s="85"/>
      <c r="AE99" s="85"/>
      <c r="AF99" s="85"/>
      <c r="AG99" s="85" t="s">
        <v>1124</v>
      </c>
      <c r="AH99" s="85"/>
      <c r="AI99" s="85"/>
      <c r="AJ99" s="85"/>
      <c r="AK99" s="85"/>
      <c r="AL99" s="85"/>
      <c r="AM99" s="85"/>
      <c r="AN99" s="85"/>
      <c r="AO99" s="85"/>
      <c r="AP99" s="85"/>
      <c r="AQ99" s="85"/>
      <c r="AR99" s="85" t="s">
        <v>1124</v>
      </c>
      <c r="AS99" s="85"/>
      <c r="AT99" s="85"/>
      <c r="AU99" s="85"/>
      <c r="AV99" s="85"/>
      <c r="AW99" s="85"/>
      <c r="AX99" s="85"/>
      <c r="AY99" s="85"/>
      <c r="AZ99" s="85"/>
      <c r="BA99" s="85"/>
      <c r="BB99" s="89"/>
      <c r="BC99" s="89" t="s">
        <v>1124</v>
      </c>
      <c r="BD99" s="37"/>
      <c r="BE99" s="37"/>
      <c r="BF99" s="279"/>
      <c r="BG99" s="37"/>
      <c r="BH99" s="37"/>
      <c r="BI99" s="37"/>
      <c r="BJ99" s="283"/>
      <c r="BK99" s="161"/>
      <c r="BL99" s="294"/>
      <c r="BM99"/>
      <c r="BN99"/>
      <c r="BO99"/>
      <c r="BP99"/>
      <c r="BQ99"/>
      <c r="BR99"/>
      <c r="BS99"/>
      <c r="BT99"/>
      <c r="BU99"/>
      <c r="BV99"/>
      <c r="BW99"/>
      <c r="BX99"/>
      <c r="BY99"/>
      <c r="BZ99"/>
      <c r="CA99"/>
      <c r="CB99"/>
      <c r="CC99"/>
      <c r="CD99"/>
      <c r="CE99"/>
      <c r="CF99"/>
      <c r="CG99"/>
      <c r="CH99"/>
      <c r="CI99"/>
      <c r="CJ99"/>
    </row>
    <row r="100" spans="1:88" s="32" customFormat="1" ht="15" customHeight="1" x14ac:dyDescent="0.35">
      <c r="A100" s="473"/>
      <c r="B100" s="313">
        <v>57005</v>
      </c>
      <c r="C100" s="8" t="s">
        <v>581</v>
      </c>
      <c r="D100" s="21">
        <v>16</v>
      </c>
      <c r="E100" s="251"/>
      <c r="F100" s="82"/>
      <c r="G100" s="79"/>
      <c r="H100" s="90"/>
      <c r="I100" s="85"/>
      <c r="J100" s="85"/>
      <c r="K100" s="85"/>
      <c r="L100" s="85"/>
      <c r="M100" s="85"/>
      <c r="N100" s="85"/>
      <c r="O100" s="85"/>
      <c r="P100" s="85"/>
      <c r="Q100" s="85"/>
      <c r="R100" s="85"/>
      <c r="S100" s="89"/>
      <c r="T100" s="89" t="s">
        <v>1124</v>
      </c>
      <c r="U100" s="85"/>
      <c r="V100" s="85"/>
      <c r="W100" s="85"/>
      <c r="X100" s="89" t="s">
        <v>1124</v>
      </c>
      <c r="Y100" s="79"/>
      <c r="Z100" s="79"/>
      <c r="AA100" s="94"/>
      <c r="AB100" s="79" t="s">
        <v>1124</v>
      </c>
      <c r="AC100" s="85"/>
      <c r="AD100" s="85"/>
      <c r="AE100" s="85"/>
      <c r="AF100" s="85"/>
      <c r="AG100" s="85" t="s">
        <v>1124</v>
      </c>
      <c r="AH100" s="85"/>
      <c r="AI100" s="85"/>
      <c r="AJ100" s="85"/>
      <c r="AK100" s="85"/>
      <c r="AL100" s="85"/>
      <c r="AM100" s="85"/>
      <c r="AN100" s="85"/>
      <c r="AO100" s="85"/>
      <c r="AP100" s="85"/>
      <c r="AQ100" s="85"/>
      <c r="AR100" s="85" t="s">
        <v>1124</v>
      </c>
      <c r="AS100" s="85"/>
      <c r="AT100" s="85"/>
      <c r="AU100" s="85"/>
      <c r="AV100" s="85"/>
      <c r="AW100" s="85"/>
      <c r="AX100" s="85"/>
      <c r="AY100" s="85"/>
      <c r="AZ100" s="85"/>
      <c r="BA100" s="85"/>
      <c r="BB100" s="89"/>
      <c r="BC100" s="89" t="s">
        <v>1124</v>
      </c>
      <c r="BD100" s="37"/>
      <c r="BE100" s="37"/>
      <c r="BF100" s="279"/>
      <c r="BG100" s="37"/>
      <c r="BH100" s="37"/>
      <c r="BI100" s="37"/>
      <c r="BJ100" s="283"/>
      <c r="BK100" s="161"/>
      <c r="BL100" s="294"/>
      <c r="BM100"/>
      <c r="BN100"/>
      <c r="BO100"/>
      <c r="BP100"/>
      <c r="BQ100"/>
      <c r="BR100"/>
      <c r="BS100"/>
      <c r="BT100"/>
      <c r="BU100"/>
      <c r="BV100"/>
      <c r="BW100"/>
      <c r="BX100"/>
      <c r="BY100"/>
      <c r="BZ100"/>
      <c r="CA100"/>
      <c r="CB100"/>
      <c r="CC100"/>
      <c r="CD100"/>
      <c r="CE100"/>
      <c r="CF100"/>
      <c r="CG100"/>
      <c r="CH100"/>
      <c r="CI100"/>
      <c r="CJ100"/>
    </row>
    <row r="101" spans="1:88" s="32" customFormat="1" ht="15" customHeight="1" x14ac:dyDescent="0.35">
      <c r="A101" s="473"/>
      <c r="B101" s="313">
        <v>91020</v>
      </c>
      <c r="C101" s="8" t="s">
        <v>940</v>
      </c>
      <c r="D101" s="18">
        <v>2</v>
      </c>
      <c r="E101" s="251">
        <v>675</v>
      </c>
      <c r="F101" s="82">
        <v>2.0045558086560367</v>
      </c>
      <c r="G101" s="79">
        <v>1353.0751708428247</v>
      </c>
      <c r="H101" s="90">
        <v>37.987299999999998</v>
      </c>
      <c r="I101" s="85">
        <v>24.2715</v>
      </c>
      <c r="J101" s="85">
        <v>25.039100000000001</v>
      </c>
      <c r="K101" s="85">
        <v>26.649699999999999</v>
      </c>
      <c r="L101" s="85">
        <v>26.000800000000002</v>
      </c>
      <c r="M101" s="85">
        <v>27.938199999999998</v>
      </c>
      <c r="N101" s="85">
        <v>32.412399999999998</v>
      </c>
      <c r="O101" s="85">
        <v>31.288399999999999</v>
      </c>
      <c r="P101" s="85">
        <v>28.072399999999998</v>
      </c>
      <c r="Q101" s="85">
        <v>26.061800000000002</v>
      </c>
      <c r="R101" s="85">
        <v>20.7483</v>
      </c>
      <c r="S101" s="89">
        <v>26.558700000000002</v>
      </c>
      <c r="T101" s="89">
        <v>333.02859999999993</v>
      </c>
      <c r="U101" s="85">
        <v>0</v>
      </c>
      <c r="V101" s="85">
        <v>333.02859999999993</v>
      </c>
      <c r="W101" s="85">
        <v>0</v>
      </c>
      <c r="X101" s="89">
        <v>333.02859999999993</v>
      </c>
      <c r="Y101" s="79">
        <v>0</v>
      </c>
      <c r="Z101" s="79">
        <v>1</v>
      </c>
      <c r="AA101" s="94">
        <v>0</v>
      </c>
      <c r="AB101" s="79">
        <v>1</v>
      </c>
      <c r="AC101" s="85">
        <v>168.863</v>
      </c>
      <c r="AD101" s="85">
        <v>78.369291571428505</v>
      </c>
      <c r="AE101" s="85">
        <v>85.796308428571407</v>
      </c>
      <c r="AF101" s="85">
        <v>0</v>
      </c>
      <c r="AG101" s="85">
        <v>333.02859999999993</v>
      </c>
      <c r="AH101" s="85">
        <v>0</v>
      </c>
      <c r="AI101" s="85">
        <v>0</v>
      </c>
      <c r="AJ101" s="85">
        <v>0</v>
      </c>
      <c r="AK101" s="85">
        <v>0</v>
      </c>
      <c r="AL101" s="85">
        <v>0</v>
      </c>
      <c r="AM101" s="85">
        <v>0</v>
      </c>
      <c r="AN101" s="85">
        <v>0</v>
      </c>
      <c r="AO101" s="85">
        <v>0</v>
      </c>
      <c r="AP101" s="85">
        <v>0</v>
      </c>
      <c r="AQ101" s="85">
        <v>0</v>
      </c>
      <c r="AR101" s="85">
        <v>0</v>
      </c>
      <c r="AS101" s="85">
        <v>0</v>
      </c>
      <c r="AT101" s="85">
        <v>0</v>
      </c>
      <c r="AU101" s="85">
        <v>0</v>
      </c>
      <c r="AV101" s="85">
        <v>0</v>
      </c>
      <c r="AW101" s="85">
        <v>0</v>
      </c>
      <c r="AX101" s="85">
        <v>0</v>
      </c>
      <c r="AY101" s="85">
        <v>333.02859999999993</v>
      </c>
      <c r="AZ101" s="85">
        <v>0</v>
      </c>
      <c r="BA101" s="85">
        <v>0</v>
      </c>
      <c r="BB101" s="89">
        <v>0</v>
      </c>
      <c r="BC101" s="89">
        <v>333.02859999999993</v>
      </c>
      <c r="BD101" s="37">
        <v>1838436</v>
      </c>
      <c r="BE101" s="37">
        <v>468603</v>
      </c>
      <c r="BF101" s="279">
        <v>105023</v>
      </c>
      <c r="BG101" s="37">
        <v>86330</v>
      </c>
      <c r="BH101" s="37">
        <v>49276</v>
      </c>
      <c r="BI101" s="37">
        <v>4135</v>
      </c>
      <c r="BJ101" s="283">
        <v>244764</v>
      </c>
      <c r="BK101" s="161"/>
      <c r="BL101" s="294"/>
      <c r="BM101"/>
      <c r="BN101"/>
      <c r="BO101"/>
      <c r="BP101"/>
      <c r="BQ101"/>
      <c r="BR101"/>
      <c r="BS101"/>
      <c r="BT101"/>
      <c r="BU101"/>
      <c r="BV101"/>
      <c r="BW101"/>
      <c r="BX101"/>
      <c r="BY101"/>
      <c r="BZ101"/>
      <c r="CA101"/>
      <c r="CB101"/>
      <c r="CC101"/>
      <c r="CD101"/>
      <c r="CE101"/>
      <c r="CF101"/>
      <c r="CG101"/>
      <c r="CH101"/>
      <c r="CI101"/>
      <c r="CJ101"/>
    </row>
    <row r="102" spans="1:88" s="32" customFormat="1" ht="15" customHeight="1" x14ac:dyDescent="0.35">
      <c r="A102" s="473"/>
      <c r="B102" s="313">
        <v>37220</v>
      </c>
      <c r="C102" s="8" t="s">
        <v>318</v>
      </c>
      <c r="D102" s="18">
        <v>4</v>
      </c>
      <c r="E102" s="251"/>
      <c r="F102" s="82"/>
      <c r="G102" s="79"/>
      <c r="H102" s="90"/>
      <c r="I102" s="85"/>
      <c r="J102" s="85"/>
      <c r="K102" s="85"/>
      <c r="L102" s="85"/>
      <c r="M102" s="85"/>
      <c r="N102" s="85"/>
      <c r="O102" s="85"/>
      <c r="P102" s="85"/>
      <c r="Q102" s="85"/>
      <c r="R102" s="85"/>
      <c r="S102" s="89"/>
      <c r="T102" s="89" t="s">
        <v>1124</v>
      </c>
      <c r="U102" s="85"/>
      <c r="V102" s="85"/>
      <c r="W102" s="85"/>
      <c r="X102" s="89" t="s">
        <v>1124</v>
      </c>
      <c r="Y102" s="79"/>
      <c r="Z102" s="79"/>
      <c r="AA102" s="94"/>
      <c r="AB102" s="79" t="s">
        <v>1124</v>
      </c>
      <c r="AC102" s="85"/>
      <c r="AD102" s="85"/>
      <c r="AE102" s="85"/>
      <c r="AF102" s="85"/>
      <c r="AG102" s="85" t="s">
        <v>1124</v>
      </c>
      <c r="AH102" s="85"/>
      <c r="AI102" s="85"/>
      <c r="AJ102" s="85"/>
      <c r="AK102" s="85"/>
      <c r="AL102" s="85"/>
      <c r="AM102" s="85"/>
      <c r="AN102" s="85"/>
      <c r="AO102" s="85"/>
      <c r="AP102" s="85"/>
      <c r="AQ102" s="85"/>
      <c r="AR102" s="85" t="s">
        <v>1124</v>
      </c>
      <c r="AS102" s="85"/>
      <c r="AT102" s="85"/>
      <c r="AU102" s="85"/>
      <c r="AV102" s="85"/>
      <c r="AW102" s="85"/>
      <c r="AX102" s="85"/>
      <c r="AY102" s="85"/>
      <c r="AZ102" s="85"/>
      <c r="BA102" s="85"/>
      <c r="BB102" s="89"/>
      <c r="BC102" s="89" t="s">
        <v>1124</v>
      </c>
      <c r="BD102" s="37"/>
      <c r="BE102" s="37"/>
      <c r="BF102" s="279"/>
      <c r="BG102" s="37"/>
      <c r="BH102" s="37"/>
      <c r="BI102" s="37"/>
      <c r="BJ102" s="283"/>
      <c r="BK102" s="161"/>
      <c r="BL102" s="294"/>
      <c r="BM102"/>
      <c r="BN102"/>
      <c r="BO102"/>
      <c r="BP102"/>
      <c r="BQ102"/>
      <c r="BR102"/>
      <c r="BS102"/>
      <c r="BT102"/>
      <c r="BU102"/>
      <c r="BV102"/>
      <c r="BW102"/>
      <c r="BX102"/>
      <c r="BY102"/>
      <c r="BZ102"/>
      <c r="CA102"/>
      <c r="CB102"/>
      <c r="CC102"/>
      <c r="CD102"/>
      <c r="CE102"/>
      <c r="CF102"/>
      <c r="CG102"/>
      <c r="CH102"/>
      <c r="CI102"/>
      <c r="CJ102"/>
    </row>
    <row r="103" spans="1:88" s="32" customFormat="1" ht="15" customHeight="1" x14ac:dyDescent="0.35">
      <c r="A103" s="473"/>
      <c r="B103" s="313">
        <v>88005</v>
      </c>
      <c r="C103" s="8" t="s">
        <v>911</v>
      </c>
      <c r="D103" s="18">
        <v>8</v>
      </c>
      <c r="E103" s="251"/>
      <c r="F103" s="82"/>
      <c r="G103" s="79"/>
      <c r="H103" s="90"/>
      <c r="I103" s="85"/>
      <c r="J103" s="85"/>
      <c r="K103" s="85"/>
      <c r="L103" s="85"/>
      <c r="M103" s="85"/>
      <c r="N103" s="85"/>
      <c r="O103" s="85"/>
      <c r="P103" s="85"/>
      <c r="Q103" s="85"/>
      <c r="R103" s="85"/>
      <c r="S103" s="89"/>
      <c r="T103" s="89" t="s">
        <v>1124</v>
      </c>
      <c r="U103" s="85"/>
      <c r="V103" s="85"/>
      <c r="W103" s="85"/>
      <c r="X103" s="89" t="s">
        <v>1124</v>
      </c>
      <c r="Y103" s="79"/>
      <c r="Z103" s="79"/>
      <c r="AA103" s="94"/>
      <c r="AB103" s="79" t="s">
        <v>1124</v>
      </c>
      <c r="AC103" s="85"/>
      <c r="AD103" s="85"/>
      <c r="AE103" s="85"/>
      <c r="AF103" s="85"/>
      <c r="AG103" s="85" t="s">
        <v>1124</v>
      </c>
      <c r="AH103" s="85"/>
      <c r="AI103" s="85"/>
      <c r="AJ103" s="85"/>
      <c r="AK103" s="85"/>
      <c r="AL103" s="85"/>
      <c r="AM103" s="85"/>
      <c r="AN103" s="85"/>
      <c r="AO103" s="85"/>
      <c r="AP103" s="85"/>
      <c r="AQ103" s="85"/>
      <c r="AR103" s="85" t="s">
        <v>1124</v>
      </c>
      <c r="AS103" s="85"/>
      <c r="AT103" s="85"/>
      <c r="AU103" s="85"/>
      <c r="AV103" s="85"/>
      <c r="AW103" s="85"/>
      <c r="AX103" s="85"/>
      <c r="AY103" s="85"/>
      <c r="AZ103" s="85"/>
      <c r="BA103" s="85"/>
      <c r="BB103" s="89"/>
      <c r="BC103" s="89" t="s">
        <v>1124</v>
      </c>
      <c r="BD103" s="37"/>
      <c r="BE103" s="37"/>
      <c r="BF103" s="279"/>
      <c r="BG103" s="37"/>
      <c r="BH103" s="37"/>
      <c r="BI103" s="37"/>
      <c r="BJ103" s="283"/>
      <c r="BK103" s="161"/>
      <c r="BL103" s="294"/>
      <c r="BM103"/>
      <c r="BN103"/>
      <c r="BO103"/>
      <c r="BP103"/>
      <c r="BQ103"/>
      <c r="BR103"/>
      <c r="BS103"/>
      <c r="BT103"/>
      <c r="BU103"/>
      <c r="BV103"/>
      <c r="BW103"/>
      <c r="BX103"/>
      <c r="BY103"/>
      <c r="BZ103"/>
      <c r="CA103"/>
      <c r="CB103"/>
      <c r="CC103"/>
      <c r="CD103"/>
      <c r="CE103"/>
      <c r="CF103"/>
      <c r="CG103"/>
      <c r="CH103"/>
      <c r="CI103"/>
      <c r="CJ103"/>
    </row>
    <row r="104" spans="1:88" s="32" customFormat="1" ht="15" customHeight="1" x14ac:dyDescent="0.35">
      <c r="A104" s="473"/>
      <c r="B104" s="313">
        <v>2028</v>
      </c>
      <c r="C104" s="8" t="s">
        <v>1029</v>
      </c>
      <c r="D104" s="18">
        <v>11</v>
      </c>
      <c r="E104" s="251">
        <v>3898</v>
      </c>
      <c r="F104" s="82">
        <v>2.1396280400572247</v>
      </c>
      <c r="G104" s="79">
        <v>8340.2701001430614</v>
      </c>
      <c r="H104" s="90">
        <v>240.03299999999999</v>
      </c>
      <c r="I104" s="85">
        <v>221.542</v>
      </c>
      <c r="J104" s="85">
        <v>263.214</v>
      </c>
      <c r="K104" s="85">
        <v>258.47300000000001</v>
      </c>
      <c r="L104" s="85">
        <v>264.58699999999999</v>
      </c>
      <c r="M104" s="85">
        <v>231.47200000000001</v>
      </c>
      <c r="N104" s="85">
        <v>243.929</v>
      </c>
      <c r="O104" s="85">
        <v>244.745</v>
      </c>
      <c r="P104" s="85">
        <v>216.13399999999999</v>
      </c>
      <c r="Q104" s="85">
        <v>208.22399999999999</v>
      </c>
      <c r="R104" s="85">
        <v>210.71100000000001</v>
      </c>
      <c r="S104" s="89">
        <v>232.36600000000001</v>
      </c>
      <c r="T104" s="89">
        <v>2835.4300000000003</v>
      </c>
      <c r="U104" s="85">
        <v>1864.873</v>
      </c>
      <c r="V104" s="85">
        <v>970.55700000000002</v>
      </c>
      <c r="W104" s="85">
        <v>0</v>
      </c>
      <c r="X104" s="89">
        <v>2835.4300000000003</v>
      </c>
      <c r="Y104" s="79">
        <v>1</v>
      </c>
      <c r="Z104" s="79">
        <v>1</v>
      </c>
      <c r="AA104" s="94">
        <v>0</v>
      </c>
      <c r="AB104" s="79">
        <v>2</v>
      </c>
      <c r="AC104" s="85">
        <v>1484.4343550568592</v>
      </c>
      <c r="AD104" s="85">
        <v>240.91135133489388</v>
      </c>
      <c r="AE104" s="85">
        <v>1110.0842936082472</v>
      </c>
      <c r="AF104" s="85">
        <v>0</v>
      </c>
      <c r="AG104" s="85">
        <v>2835.4300000000003</v>
      </c>
      <c r="AH104" s="85">
        <v>1864.873</v>
      </c>
      <c r="AI104" s="85">
        <v>0</v>
      </c>
      <c r="AJ104" s="85">
        <v>0</v>
      </c>
      <c r="AK104" s="85">
        <v>0</v>
      </c>
      <c r="AL104" s="85">
        <v>0</v>
      </c>
      <c r="AM104" s="85">
        <v>0</v>
      </c>
      <c r="AN104" s="85">
        <v>0</v>
      </c>
      <c r="AO104" s="85">
        <v>0</v>
      </c>
      <c r="AP104" s="85">
        <v>0</v>
      </c>
      <c r="AQ104" s="85">
        <v>0</v>
      </c>
      <c r="AR104" s="85">
        <v>1864.873</v>
      </c>
      <c r="AS104" s="85">
        <v>970.55700000000002</v>
      </c>
      <c r="AT104" s="85">
        <v>0</v>
      </c>
      <c r="AU104" s="85">
        <v>0</v>
      </c>
      <c r="AV104" s="85">
        <v>0</v>
      </c>
      <c r="AW104" s="85">
        <v>0</v>
      </c>
      <c r="AX104" s="85">
        <v>0</v>
      </c>
      <c r="AY104" s="85">
        <v>0</v>
      </c>
      <c r="AZ104" s="85">
        <v>0</v>
      </c>
      <c r="BA104" s="85">
        <v>0</v>
      </c>
      <c r="BB104" s="89">
        <v>0</v>
      </c>
      <c r="BC104" s="89">
        <v>970.55700000000002</v>
      </c>
      <c r="BD104" s="37">
        <v>0</v>
      </c>
      <c r="BE104" s="37">
        <v>0</v>
      </c>
      <c r="BF104" s="279">
        <v>39335</v>
      </c>
      <c r="BG104" s="37">
        <v>244100</v>
      </c>
      <c r="BH104" s="37">
        <v>97474</v>
      </c>
      <c r="BI104" s="37">
        <v>0</v>
      </c>
      <c r="BJ104" s="283">
        <v>380909</v>
      </c>
      <c r="BK104" s="161"/>
      <c r="BL104" s="294"/>
      <c r="BM104"/>
      <c r="BN104"/>
      <c r="BO104"/>
      <c r="BP104"/>
      <c r="BQ104"/>
      <c r="BR104"/>
      <c r="BS104"/>
      <c r="BT104"/>
      <c r="BU104"/>
      <c r="BV104"/>
      <c r="BW104"/>
      <c r="BX104"/>
      <c r="BY104"/>
      <c r="BZ104"/>
      <c r="CA104"/>
      <c r="CB104"/>
      <c r="CC104"/>
      <c r="CD104"/>
      <c r="CE104"/>
      <c r="CF104"/>
      <c r="CG104"/>
      <c r="CH104"/>
      <c r="CI104"/>
      <c r="CJ104"/>
    </row>
    <row r="105" spans="1:88" s="32" customFormat="1" ht="15" customHeight="1" x14ac:dyDescent="0.35">
      <c r="A105" s="473"/>
      <c r="B105" s="313">
        <v>99020</v>
      </c>
      <c r="C105" s="8" t="s">
        <v>1021</v>
      </c>
      <c r="D105" s="18">
        <v>10</v>
      </c>
      <c r="E105" s="251">
        <v>709</v>
      </c>
      <c r="F105" s="82">
        <v>2.41</v>
      </c>
      <c r="G105" s="79">
        <v>1708.69</v>
      </c>
      <c r="H105" s="90">
        <v>155.399</v>
      </c>
      <c r="I105" s="85">
        <v>132.80000000000001</v>
      </c>
      <c r="J105" s="85">
        <v>134.197</v>
      </c>
      <c r="K105" s="85">
        <v>128.66499999999999</v>
      </c>
      <c r="L105" s="85">
        <v>121.49299999999999</v>
      </c>
      <c r="M105" s="85">
        <v>68.451999999999998</v>
      </c>
      <c r="N105" s="85">
        <v>127.771</v>
      </c>
      <c r="O105" s="85">
        <v>112.28400000000001</v>
      </c>
      <c r="P105" s="85">
        <v>109.083</v>
      </c>
      <c r="Q105" s="85">
        <v>112.28400000000001</v>
      </c>
      <c r="R105" s="85">
        <v>102.91800000000001</v>
      </c>
      <c r="S105" s="89">
        <v>130.899</v>
      </c>
      <c r="T105" s="89">
        <v>1436.2449999999999</v>
      </c>
      <c r="U105" s="85">
        <v>0</v>
      </c>
      <c r="V105" s="85">
        <v>1436.2449999999999</v>
      </c>
      <c r="W105" s="85">
        <v>0</v>
      </c>
      <c r="X105" s="89">
        <v>1436.2449999999999</v>
      </c>
      <c r="Y105" s="79">
        <v>0</v>
      </c>
      <c r="Z105" s="79">
        <v>1</v>
      </c>
      <c r="AA105" s="94">
        <v>0</v>
      </c>
      <c r="AB105" s="79">
        <v>1</v>
      </c>
      <c r="AC105" s="85">
        <v>591</v>
      </c>
      <c r="AD105" s="85">
        <v>573.28</v>
      </c>
      <c r="AE105" s="85">
        <v>272</v>
      </c>
      <c r="AF105" s="85">
        <v>0</v>
      </c>
      <c r="AG105" s="85">
        <v>1436.28</v>
      </c>
      <c r="AH105" s="85">
        <v>0</v>
      </c>
      <c r="AI105" s="85">
        <v>0</v>
      </c>
      <c r="AJ105" s="85">
        <v>0</v>
      </c>
      <c r="AK105" s="85">
        <v>0</v>
      </c>
      <c r="AL105" s="85">
        <v>0</v>
      </c>
      <c r="AM105" s="85">
        <v>0</v>
      </c>
      <c r="AN105" s="85">
        <v>0</v>
      </c>
      <c r="AO105" s="85">
        <v>0</v>
      </c>
      <c r="AP105" s="85">
        <v>0</v>
      </c>
      <c r="AQ105" s="85">
        <v>0</v>
      </c>
      <c r="AR105" s="85">
        <v>0</v>
      </c>
      <c r="AS105" s="85">
        <v>0</v>
      </c>
      <c r="AT105" s="85">
        <v>0</v>
      </c>
      <c r="AU105" s="85">
        <v>0</v>
      </c>
      <c r="AV105" s="85">
        <v>0</v>
      </c>
      <c r="AW105" s="85">
        <v>0</v>
      </c>
      <c r="AX105" s="85">
        <v>0</v>
      </c>
      <c r="AY105" s="85">
        <v>0</v>
      </c>
      <c r="AZ105" s="85">
        <v>0</v>
      </c>
      <c r="BA105" s="85">
        <v>1436.2449999999999</v>
      </c>
      <c r="BB105" s="89">
        <v>0</v>
      </c>
      <c r="BC105" s="89">
        <v>1436.2449999999999</v>
      </c>
      <c r="BD105" s="37">
        <v>0</v>
      </c>
      <c r="BE105" s="37">
        <v>0</v>
      </c>
      <c r="BF105" s="279">
        <v>59676</v>
      </c>
      <c r="BG105" s="37">
        <v>85914</v>
      </c>
      <c r="BH105" s="37">
        <v>123600</v>
      </c>
      <c r="BI105" s="37">
        <v>0</v>
      </c>
      <c r="BJ105" s="283">
        <v>269190</v>
      </c>
      <c r="BK105" s="161"/>
      <c r="BL105" s="294"/>
      <c r="BM105"/>
      <c r="BN105"/>
      <c r="BO105"/>
      <c r="BP105"/>
      <c r="BQ105"/>
      <c r="BR105"/>
      <c r="BS105"/>
      <c r="BT105"/>
      <c r="BU105"/>
      <c r="BV105"/>
      <c r="BW105"/>
      <c r="BX105"/>
      <c r="BY105"/>
      <c r="BZ105"/>
      <c r="CA105"/>
      <c r="CB105"/>
      <c r="CC105"/>
      <c r="CD105"/>
      <c r="CE105"/>
      <c r="CF105"/>
      <c r="CG105"/>
      <c r="CH105"/>
      <c r="CI105"/>
      <c r="CJ105"/>
    </row>
    <row r="106" spans="1:88" s="32" customFormat="1" ht="15" customHeight="1" x14ac:dyDescent="0.35">
      <c r="A106" s="473"/>
      <c r="B106" s="313">
        <v>51080</v>
      </c>
      <c r="C106" s="8" t="s">
        <v>512</v>
      </c>
      <c r="D106" s="18">
        <v>4</v>
      </c>
      <c r="E106" s="251">
        <v>356</v>
      </c>
      <c r="F106" s="82">
        <v>2.0250521920668056</v>
      </c>
      <c r="G106" s="79">
        <v>720.91858037578277</v>
      </c>
      <c r="H106" s="90">
        <v>15.145099999999999</v>
      </c>
      <c r="I106" s="85">
        <v>14.524040000000001</v>
      </c>
      <c r="J106" s="85">
        <v>13.134</v>
      </c>
      <c r="K106" s="85">
        <v>13.170999999999999</v>
      </c>
      <c r="L106" s="85">
        <v>14.64</v>
      </c>
      <c r="M106" s="85">
        <v>15.61</v>
      </c>
      <c r="N106" s="85">
        <v>17.943608000000008</v>
      </c>
      <c r="O106" s="85">
        <v>16.592644</v>
      </c>
      <c r="P106" s="85">
        <v>13.553000000000001</v>
      </c>
      <c r="Q106" s="85">
        <v>13.634290000000007</v>
      </c>
      <c r="R106" s="85">
        <v>11.827999999999999</v>
      </c>
      <c r="S106" s="89">
        <v>12.523318</v>
      </c>
      <c r="T106" s="89">
        <v>172.29899999999998</v>
      </c>
      <c r="U106" s="85">
        <v>0</v>
      </c>
      <c r="V106" s="85">
        <v>172.29899999999998</v>
      </c>
      <c r="W106" s="85">
        <v>0</v>
      </c>
      <c r="X106" s="89">
        <v>172.29899999999998</v>
      </c>
      <c r="Y106" s="79">
        <v>0</v>
      </c>
      <c r="Z106" s="79">
        <v>1</v>
      </c>
      <c r="AA106" s="94">
        <v>0</v>
      </c>
      <c r="AB106" s="79">
        <v>1</v>
      </c>
      <c r="AC106" s="85">
        <v>84.754131070496086</v>
      </c>
      <c r="AD106" s="85">
        <v>10.044769912361019</v>
      </c>
      <c r="AE106" s="85">
        <v>8.6613848171428742</v>
      </c>
      <c r="AF106" s="85">
        <v>68.838714199999998</v>
      </c>
      <c r="AG106" s="85">
        <v>172.29899999999998</v>
      </c>
      <c r="AH106" s="85">
        <v>0</v>
      </c>
      <c r="AI106" s="85">
        <v>0</v>
      </c>
      <c r="AJ106" s="85">
        <v>0</v>
      </c>
      <c r="AK106" s="85">
        <v>0</v>
      </c>
      <c r="AL106" s="85">
        <v>0</v>
      </c>
      <c r="AM106" s="85">
        <v>0</v>
      </c>
      <c r="AN106" s="85">
        <v>0</v>
      </c>
      <c r="AO106" s="85">
        <v>0</v>
      </c>
      <c r="AP106" s="85">
        <v>0</v>
      </c>
      <c r="AQ106" s="85">
        <v>0</v>
      </c>
      <c r="AR106" s="85">
        <v>0</v>
      </c>
      <c r="AS106" s="85">
        <v>0</v>
      </c>
      <c r="AT106" s="85">
        <v>0</v>
      </c>
      <c r="AU106" s="85">
        <v>0</v>
      </c>
      <c r="AV106" s="85">
        <v>0</v>
      </c>
      <c r="AW106" s="85">
        <v>0</v>
      </c>
      <c r="AX106" s="85">
        <v>0</v>
      </c>
      <c r="AY106" s="85">
        <v>0</v>
      </c>
      <c r="AZ106" s="85">
        <v>0</v>
      </c>
      <c r="BA106" s="85">
        <v>172.29899999999998</v>
      </c>
      <c r="BB106" s="89">
        <v>0</v>
      </c>
      <c r="BC106" s="89">
        <v>172.29899999999998</v>
      </c>
      <c r="BD106" s="37">
        <v>0</v>
      </c>
      <c r="BE106" s="37">
        <v>0</v>
      </c>
      <c r="BF106" s="279">
        <v>22325</v>
      </c>
      <c r="BG106" s="37">
        <v>36919</v>
      </c>
      <c r="BH106" s="37">
        <v>35130</v>
      </c>
      <c r="BI106" s="37">
        <v>0</v>
      </c>
      <c r="BJ106" s="283">
        <v>94374</v>
      </c>
      <c r="BK106" s="161" t="s">
        <v>1591</v>
      </c>
      <c r="BL106" s="294"/>
      <c r="BM106"/>
      <c r="BN106"/>
      <c r="BO106"/>
      <c r="BP106"/>
      <c r="BQ106"/>
      <c r="BR106"/>
      <c r="BS106"/>
      <c r="BT106"/>
      <c r="BU106"/>
      <c r="BV106"/>
      <c r="BW106"/>
      <c r="BX106"/>
      <c r="BY106"/>
      <c r="BZ106"/>
      <c r="CA106"/>
      <c r="CB106"/>
      <c r="CC106"/>
      <c r="CD106"/>
      <c r="CE106"/>
      <c r="CF106"/>
      <c r="CG106"/>
      <c r="CH106"/>
      <c r="CI106"/>
      <c r="CJ106"/>
    </row>
    <row r="107" spans="1:88" s="32" customFormat="1" ht="15" customHeight="1" x14ac:dyDescent="0.35">
      <c r="A107" s="473"/>
      <c r="B107" s="313">
        <v>60005</v>
      </c>
      <c r="C107" s="8" t="s">
        <v>605</v>
      </c>
      <c r="D107" s="18">
        <v>14</v>
      </c>
      <c r="E107" s="251"/>
      <c r="F107" s="82"/>
      <c r="G107" s="79"/>
      <c r="H107" s="90"/>
      <c r="I107" s="85"/>
      <c r="J107" s="85"/>
      <c r="K107" s="85"/>
      <c r="L107" s="85"/>
      <c r="M107" s="85"/>
      <c r="N107" s="85"/>
      <c r="O107" s="85"/>
      <c r="P107" s="85"/>
      <c r="Q107" s="85"/>
      <c r="R107" s="85"/>
      <c r="S107" s="89"/>
      <c r="T107" s="89" t="s">
        <v>1124</v>
      </c>
      <c r="U107" s="85"/>
      <c r="V107" s="85"/>
      <c r="W107" s="85"/>
      <c r="X107" s="89" t="s">
        <v>1124</v>
      </c>
      <c r="Y107" s="79"/>
      <c r="Z107" s="79"/>
      <c r="AA107" s="94"/>
      <c r="AB107" s="79" t="s">
        <v>1124</v>
      </c>
      <c r="AC107" s="85"/>
      <c r="AD107" s="85"/>
      <c r="AE107" s="85"/>
      <c r="AF107" s="85"/>
      <c r="AG107" s="85" t="s">
        <v>1124</v>
      </c>
      <c r="AH107" s="85"/>
      <c r="AI107" s="85"/>
      <c r="AJ107" s="85"/>
      <c r="AK107" s="85"/>
      <c r="AL107" s="85"/>
      <c r="AM107" s="85"/>
      <c r="AN107" s="85"/>
      <c r="AO107" s="85"/>
      <c r="AP107" s="85"/>
      <c r="AQ107" s="85"/>
      <c r="AR107" s="85" t="s">
        <v>1124</v>
      </c>
      <c r="AS107" s="85"/>
      <c r="AT107" s="85"/>
      <c r="AU107" s="85"/>
      <c r="AV107" s="85"/>
      <c r="AW107" s="85"/>
      <c r="AX107" s="85"/>
      <c r="AY107" s="85"/>
      <c r="AZ107" s="85"/>
      <c r="BA107" s="85"/>
      <c r="BB107" s="89"/>
      <c r="BC107" s="89" t="s">
        <v>1124</v>
      </c>
      <c r="BD107" s="37"/>
      <c r="BE107" s="37"/>
      <c r="BF107" s="279"/>
      <c r="BG107" s="37"/>
      <c r="BH107" s="37"/>
      <c r="BI107" s="37"/>
      <c r="BJ107" s="283"/>
      <c r="BK107" s="161"/>
      <c r="BL107" s="294"/>
      <c r="BM107"/>
      <c r="BN107"/>
      <c r="BO107"/>
      <c r="BP107"/>
      <c r="BQ107"/>
      <c r="BR107"/>
      <c r="BS107"/>
      <c r="BT107"/>
      <c r="BU107"/>
      <c r="BV107"/>
      <c r="BW107"/>
      <c r="BX107"/>
      <c r="BY107"/>
      <c r="BZ107"/>
      <c r="CA107"/>
      <c r="CB107"/>
      <c r="CC107"/>
      <c r="CD107"/>
      <c r="CE107"/>
      <c r="CF107"/>
      <c r="CG107"/>
      <c r="CH107"/>
      <c r="CI107"/>
      <c r="CJ107"/>
    </row>
    <row r="108" spans="1:88" s="32" customFormat="1" ht="15" customHeight="1" x14ac:dyDescent="0.35">
      <c r="A108" s="473"/>
      <c r="B108" s="313">
        <v>41020</v>
      </c>
      <c r="C108" s="8" t="s">
        <v>366</v>
      </c>
      <c r="D108" s="18">
        <v>5</v>
      </c>
      <c r="E108" s="251"/>
      <c r="F108" s="82"/>
      <c r="G108" s="79"/>
      <c r="H108" s="90"/>
      <c r="I108" s="85"/>
      <c r="J108" s="85"/>
      <c r="K108" s="85"/>
      <c r="L108" s="85"/>
      <c r="M108" s="85"/>
      <c r="N108" s="85"/>
      <c r="O108" s="85"/>
      <c r="P108" s="85"/>
      <c r="Q108" s="85"/>
      <c r="R108" s="85"/>
      <c r="S108" s="89"/>
      <c r="T108" s="89" t="s">
        <v>1124</v>
      </c>
      <c r="U108" s="85"/>
      <c r="V108" s="85"/>
      <c r="W108" s="85"/>
      <c r="X108" s="89" t="s">
        <v>1124</v>
      </c>
      <c r="Y108" s="79"/>
      <c r="Z108" s="79"/>
      <c r="AA108" s="94"/>
      <c r="AB108" s="79" t="s">
        <v>1124</v>
      </c>
      <c r="AC108" s="85"/>
      <c r="AD108" s="85"/>
      <c r="AE108" s="85"/>
      <c r="AF108" s="85"/>
      <c r="AG108" s="85" t="s">
        <v>1124</v>
      </c>
      <c r="AH108" s="85"/>
      <c r="AI108" s="85"/>
      <c r="AJ108" s="85"/>
      <c r="AK108" s="85"/>
      <c r="AL108" s="85"/>
      <c r="AM108" s="85"/>
      <c r="AN108" s="85"/>
      <c r="AO108" s="85"/>
      <c r="AP108" s="85"/>
      <c r="AQ108" s="85"/>
      <c r="AR108" s="85" t="s">
        <v>1124</v>
      </c>
      <c r="AS108" s="85"/>
      <c r="AT108" s="85"/>
      <c r="AU108" s="85"/>
      <c r="AV108" s="85"/>
      <c r="AW108" s="85"/>
      <c r="AX108" s="85"/>
      <c r="AY108" s="85"/>
      <c r="AZ108" s="85"/>
      <c r="BA108" s="85"/>
      <c r="BB108" s="89"/>
      <c r="BC108" s="89" t="s">
        <v>1124</v>
      </c>
      <c r="BD108" s="37"/>
      <c r="BE108" s="37"/>
      <c r="BF108" s="279"/>
      <c r="BG108" s="37"/>
      <c r="BH108" s="37"/>
      <c r="BI108" s="37"/>
      <c r="BJ108" s="283"/>
      <c r="BK108" s="161"/>
      <c r="BL108" s="294"/>
      <c r="BM108"/>
      <c r="BN108"/>
      <c r="BO108"/>
      <c r="BP108"/>
      <c r="BQ108"/>
      <c r="BR108"/>
      <c r="BS108"/>
      <c r="BT108"/>
      <c r="BU108"/>
      <c r="BV108"/>
      <c r="BW108"/>
      <c r="BX108"/>
      <c r="BY108"/>
      <c r="BZ108"/>
      <c r="CA108"/>
      <c r="CB108"/>
      <c r="CC108"/>
      <c r="CD108"/>
      <c r="CE108"/>
      <c r="CF108"/>
      <c r="CG108"/>
      <c r="CH108"/>
      <c r="CI108"/>
      <c r="CJ108"/>
    </row>
    <row r="109" spans="1:88" s="32" customFormat="1" ht="15" customHeight="1" x14ac:dyDescent="0.35">
      <c r="A109" s="473"/>
      <c r="B109" s="313">
        <v>67050</v>
      </c>
      <c r="C109" s="8" t="s">
        <v>671</v>
      </c>
      <c r="D109" s="18">
        <v>16</v>
      </c>
      <c r="E109" s="251">
        <v>19953</v>
      </c>
      <c r="F109" s="82">
        <v>2.5059080075054516</v>
      </c>
      <c r="G109" s="79">
        <v>50000.382473756275</v>
      </c>
      <c r="H109" s="90">
        <v>728.21900000000005</v>
      </c>
      <c r="I109" s="85">
        <v>730.45299999999997</v>
      </c>
      <c r="J109" s="85">
        <v>749.10299999999995</v>
      </c>
      <c r="K109" s="85">
        <v>760.53300000000002</v>
      </c>
      <c r="L109" s="85">
        <v>852.77</v>
      </c>
      <c r="M109" s="85">
        <v>792.98299999999995</v>
      </c>
      <c r="N109" s="85">
        <v>854.07899999999995</v>
      </c>
      <c r="O109" s="85">
        <v>803.98199999999997</v>
      </c>
      <c r="P109" s="85">
        <v>715.71100000000001</v>
      </c>
      <c r="Q109" s="85">
        <v>671.827</v>
      </c>
      <c r="R109" s="85">
        <v>627.84</v>
      </c>
      <c r="S109" s="89">
        <v>692.58500000000004</v>
      </c>
      <c r="T109" s="89">
        <v>8980.0849999999991</v>
      </c>
      <c r="U109" s="85">
        <v>0</v>
      </c>
      <c r="V109" s="85">
        <v>0</v>
      </c>
      <c r="W109" s="85">
        <v>8980.0849999999991</v>
      </c>
      <c r="X109" s="89">
        <v>8980.0849999999991</v>
      </c>
      <c r="Y109" s="79">
        <v>0</v>
      </c>
      <c r="Z109" s="79">
        <v>0</v>
      </c>
      <c r="AA109" s="94">
        <v>1</v>
      </c>
      <c r="AB109" s="79">
        <v>1</v>
      </c>
      <c r="AC109" s="85">
        <v>5629.6990838661332</v>
      </c>
      <c r="AD109" s="85">
        <v>936.38543907201074</v>
      </c>
      <c r="AE109" s="85">
        <v>2414.0004770618552</v>
      </c>
      <c r="AF109" s="85">
        <v>0</v>
      </c>
      <c r="AG109" s="85">
        <v>8980.0849999999991</v>
      </c>
      <c r="AH109" s="85">
        <v>0</v>
      </c>
      <c r="AI109" s="85">
        <v>0</v>
      </c>
      <c r="AJ109" s="85">
        <v>0</v>
      </c>
      <c r="AK109" s="85">
        <v>0</v>
      </c>
      <c r="AL109" s="85">
        <v>0</v>
      </c>
      <c r="AM109" s="85">
        <v>0</v>
      </c>
      <c r="AN109" s="85">
        <v>0</v>
      </c>
      <c r="AO109" s="85">
        <v>0</v>
      </c>
      <c r="AP109" s="85">
        <v>0</v>
      </c>
      <c r="AQ109" s="85">
        <v>0</v>
      </c>
      <c r="AR109" s="85">
        <v>0</v>
      </c>
      <c r="AS109" s="85">
        <v>0</v>
      </c>
      <c r="AT109" s="85">
        <v>0</v>
      </c>
      <c r="AU109" s="85">
        <v>0</v>
      </c>
      <c r="AV109" s="85">
        <v>0</v>
      </c>
      <c r="AW109" s="85">
        <v>0</v>
      </c>
      <c r="AX109" s="85">
        <v>8980.0849999999991</v>
      </c>
      <c r="AY109" s="85">
        <v>0</v>
      </c>
      <c r="AZ109" s="85">
        <v>0</v>
      </c>
      <c r="BA109" s="85">
        <v>0</v>
      </c>
      <c r="BB109" s="89">
        <v>0</v>
      </c>
      <c r="BC109" s="89">
        <v>8980.0849999999991</v>
      </c>
      <c r="BD109" s="37">
        <v>105113</v>
      </c>
      <c r="BE109" s="37">
        <v>16107</v>
      </c>
      <c r="BF109" s="279">
        <v>304541</v>
      </c>
      <c r="BG109" s="37">
        <v>766252</v>
      </c>
      <c r="BH109" s="37">
        <v>448057</v>
      </c>
      <c r="BI109" s="37">
        <v>361346</v>
      </c>
      <c r="BJ109" s="283">
        <v>1880196</v>
      </c>
      <c r="BK109" s="161"/>
      <c r="BL109" s="294"/>
      <c r="BM109"/>
      <c r="BN109"/>
      <c r="BO109"/>
      <c r="BP109"/>
      <c r="BQ109"/>
      <c r="BR109"/>
      <c r="BS109"/>
      <c r="BT109"/>
      <c r="BU109"/>
      <c r="BV109"/>
      <c r="BW109"/>
      <c r="BX109"/>
      <c r="BY109"/>
      <c r="BZ109"/>
      <c r="CA109"/>
      <c r="CB109"/>
      <c r="CC109"/>
      <c r="CD109"/>
      <c r="CE109"/>
      <c r="CF109"/>
      <c r="CG109"/>
      <c r="CH109"/>
      <c r="CI109"/>
      <c r="CJ109"/>
    </row>
    <row r="110" spans="1:88" s="32" customFormat="1" ht="15" customHeight="1" x14ac:dyDescent="0.35">
      <c r="A110" s="473"/>
      <c r="B110" s="313">
        <v>21035</v>
      </c>
      <c r="C110" s="8" t="s">
        <v>150</v>
      </c>
      <c r="D110" s="18">
        <v>3</v>
      </c>
      <c r="E110" s="251">
        <v>2073</v>
      </c>
      <c r="F110" s="82">
        <v>2.33</v>
      </c>
      <c r="G110" s="79">
        <v>4830.09</v>
      </c>
      <c r="H110" s="90">
        <v>40.082000000000001</v>
      </c>
      <c r="I110" s="85">
        <v>37.39</v>
      </c>
      <c r="J110" s="85">
        <v>40.927</v>
      </c>
      <c r="K110" s="85">
        <v>40.292999999999999</v>
      </c>
      <c r="L110" s="85">
        <v>43.973999999999997</v>
      </c>
      <c r="M110" s="85">
        <v>44.761000000000003</v>
      </c>
      <c r="N110" s="85">
        <v>55.762999999999998</v>
      </c>
      <c r="O110" s="85">
        <v>49.972000000000001</v>
      </c>
      <c r="P110" s="85">
        <v>39.380000000000003</v>
      </c>
      <c r="Q110" s="85">
        <v>41.969000000000001</v>
      </c>
      <c r="R110" s="85">
        <v>42.726999999999997</v>
      </c>
      <c r="S110" s="89">
        <v>41.125999999999998</v>
      </c>
      <c r="T110" s="89">
        <v>518.36399999999992</v>
      </c>
      <c r="U110" s="85">
        <v>518.36400000000003</v>
      </c>
      <c r="V110" s="85">
        <v>0</v>
      </c>
      <c r="W110" s="85">
        <v>0</v>
      </c>
      <c r="X110" s="89">
        <v>518.36400000000003</v>
      </c>
      <c r="Y110" s="79">
        <v>1</v>
      </c>
      <c r="Z110" s="79">
        <v>0</v>
      </c>
      <c r="AA110" s="94">
        <v>0</v>
      </c>
      <c r="AB110" s="79">
        <v>1</v>
      </c>
      <c r="AC110" s="85">
        <v>334.83867526485488</v>
      </c>
      <c r="AD110" s="85">
        <v>23.604784735145017</v>
      </c>
      <c r="AE110" s="85">
        <v>159.92054000000002</v>
      </c>
      <c r="AF110" s="85">
        <v>0</v>
      </c>
      <c r="AG110" s="85">
        <v>518.36399999999992</v>
      </c>
      <c r="AH110" s="85">
        <v>0</v>
      </c>
      <c r="AI110" s="85">
        <v>518.36400000000003</v>
      </c>
      <c r="AJ110" s="85">
        <v>0</v>
      </c>
      <c r="AK110" s="85">
        <v>0</v>
      </c>
      <c r="AL110" s="85">
        <v>0</v>
      </c>
      <c r="AM110" s="85">
        <v>0</v>
      </c>
      <c r="AN110" s="85">
        <v>0</v>
      </c>
      <c r="AO110" s="85">
        <v>0</v>
      </c>
      <c r="AP110" s="85">
        <v>0</v>
      </c>
      <c r="AQ110" s="85">
        <v>0</v>
      </c>
      <c r="AR110" s="85">
        <v>518.36400000000003</v>
      </c>
      <c r="AS110" s="85">
        <v>0</v>
      </c>
      <c r="AT110" s="85">
        <v>0</v>
      </c>
      <c r="AU110" s="85">
        <v>0</v>
      </c>
      <c r="AV110" s="85">
        <v>0</v>
      </c>
      <c r="AW110" s="85">
        <v>0</v>
      </c>
      <c r="AX110" s="85">
        <v>0</v>
      </c>
      <c r="AY110" s="85">
        <v>0</v>
      </c>
      <c r="AZ110" s="85">
        <v>0</v>
      </c>
      <c r="BA110" s="85">
        <v>0</v>
      </c>
      <c r="BB110" s="89">
        <v>0</v>
      </c>
      <c r="BC110" s="89">
        <v>0</v>
      </c>
      <c r="BD110" s="37">
        <v>0</v>
      </c>
      <c r="BE110" s="37">
        <v>0</v>
      </c>
      <c r="BF110" s="279">
        <v>60307</v>
      </c>
      <c r="BG110" s="37">
        <v>93107</v>
      </c>
      <c r="BH110" s="37">
        <v>27031</v>
      </c>
      <c r="BI110" s="37">
        <v>9057</v>
      </c>
      <c r="BJ110" s="283">
        <v>189502</v>
      </c>
      <c r="BK110" s="161"/>
      <c r="BL110" s="294"/>
      <c r="BM110"/>
      <c r="BN110"/>
      <c r="BO110"/>
      <c r="BP110"/>
      <c r="BQ110"/>
      <c r="BR110"/>
      <c r="BS110"/>
      <c r="BT110"/>
      <c r="BU110"/>
      <c r="BV110"/>
      <c r="BW110"/>
      <c r="BX110"/>
      <c r="BY110"/>
      <c r="BZ110"/>
      <c r="CA110"/>
      <c r="CB110"/>
      <c r="CC110"/>
      <c r="CD110"/>
      <c r="CE110"/>
      <c r="CF110"/>
      <c r="CG110"/>
      <c r="CH110"/>
      <c r="CI110"/>
      <c r="CJ110"/>
    </row>
    <row r="111" spans="1:88" s="32" customFormat="1" ht="15" customHeight="1" x14ac:dyDescent="0.35">
      <c r="A111" s="473"/>
      <c r="B111" s="313">
        <v>87095</v>
      </c>
      <c r="C111" s="8" t="s">
        <v>905</v>
      </c>
      <c r="D111" s="18">
        <v>8</v>
      </c>
      <c r="E111" s="251"/>
      <c r="F111" s="82"/>
      <c r="G111" s="79"/>
      <c r="H111" s="90"/>
      <c r="I111" s="85"/>
      <c r="J111" s="85"/>
      <c r="K111" s="85"/>
      <c r="L111" s="85"/>
      <c r="M111" s="85"/>
      <c r="N111" s="85"/>
      <c r="O111" s="85"/>
      <c r="P111" s="85"/>
      <c r="Q111" s="85"/>
      <c r="R111" s="85"/>
      <c r="S111" s="89"/>
      <c r="T111" s="89" t="s">
        <v>1124</v>
      </c>
      <c r="U111" s="85"/>
      <c r="V111" s="85"/>
      <c r="W111" s="85"/>
      <c r="X111" s="89" t="s">
        <v>1124</v>
      </c>
      <c r="Y111" s="79"/>
      <c r="Z111" s="79"/>
      <c r="AA111" s="94"/>
      <c r="AB111" s="79" t="s">
        <v>1124</v>
      </c>
      <c r="AC111" s="85"/>
      <c r="AD111" s="85"/>
      <c r="AE111" s="85"/>
      <c r="AF111" s="85"/>
      <c r="AG111" s="85" t="s">
        <v>1124</v>
      </c>
      <c r="AH111" s="85"/>
      <c r="AI111" s="85"/>
      <c r="AJ111" s="85"/>
      <c r="AK111" s="85"/>
      <c r="AL111" s="85"/>
      <c r="AM111" s="85"/>
      <c r="AN111" s="85"/>
      <c r="AO111" s="85"/>
      <c r="AP111" s="85"/>
      <c r="AQ111" s="85"/>
      <c r="AR111" s="85" t="s">
        <v>1124</v>
      </c>
      <c r="AS111" s="85"/>
      <c r="AT111" s="85"/>
      <c r="AU111" s="85"/>
      <c r="AV111" s="85"/>
      <c r="AW111" s="85"/>
      <c r="AX111" s="85"/>
      <c r="AY111" s="85"/>
      <c r="AZ111" s="85"/>
      <c r="BA111" s="85"/>
      <c r="BB111" s="89"/>
      <c r="BC111" s="89" t="s">
        <v>1124</v>
      </c>
      <c r="BD111" s="37"/>
      <c r="BE111" s="37"/>
      <c r="BF111" s="279"/>
      <c r="BG111" s="37"/>
      <c r="BH111" s="37"/>
      <c r="BI111" s="37"/>
      <c r="BJ111" s="283"/>
      <c r="BK111" s="161"/>
      <c r="BL111" s="294"/>
      <c r="BM111"/>
      <c r="BN111"/>
      <c r="BO111"/>
      <c r="BP111"/>
      <c r="BQ111"/>
      <c r="BR111"/>
      <c r="BS111"/>
      <c r="BT111"/>
      <c r="BU111"/>
      <c r="BV111"/>
      <c r="BW111"/>
      <c r="BX111"/>
      <c r="BY111"/>
      <c r="BZ111"/>
      <c r="CA111"/>
      <c r="CB111"/>
      <c r="CC111"/>
      <c r="CD111"/>
      <c r="CE111"/>
      <c r="CF111"/>
      <c r="CG111"/>
      <c r="CH111"/>
      <c r="CI111"/>
      <c r="CJ111"/>
    </row>
    <row r="112" spans="1:88" s="32" customFormat="1" ht="15" customHeight="1" x14ac:dyDescent="0.35">
      <c r="A112" s="473"/>
      <c r="B112" s="313">
        <v>82025</v>
      </c>
      <c r="C112" s="8" t="s">
        <v>832</v>
      </c>
      <c r="D112" s="18">
        <v>7</v>
      </c>
      <c r="E112" s="251">
        <v>104</v>
      </c>
      <c r="F112" s="82">
        <v>2.3625336927223719</v>
      </c>
      <c r="G112" s="79">
        <v>245.70350404312669</v>
      </c>
      <c r="H112" s="90">
        <v>8.7240000000000002</v>
      </c>
      <c r="I112" s="85">
        <v>7.758</v>
      </c>
      <c r="J112" s="85">
        <v>10.079000000000001</v>
      </c>
      <c r="K112" s="85">
        <v>8.7490000000000006</v>
      </c>
      <c r="L112" s="85">
        <v>9.7959999999999994</v>
      </c>
      <c r="M112" s="85">
        <v>10.615</v>
      </c>
      <c r="N112" s="85">
        <v>12.957000000000001</v>
      </c>
      <c r="O112" s="85">
        <v>11.755000000000001</v>
      </c>
      <c r="P112" s="85">
        <v>13.523999999999999</v>
      </c>
      <c r="Q112" s="85">
        <v>11.378</v>
      </c>
      <c r="R112" s="85">
        <v>10.768000000000001</v>
      </c>
      <c r="S112" s="89">
        <v>10.544</v>
      </c>
      <c r="T112" s="89">
        <v>126.64699999999999</v>
      </c>
      <c r="U112" s="85">
        <v>0</v>
      </c>
      <c r="V112" s="85">
        <v>126.64700000000001</v>
      </c>
      <c r="W112" s="85">
        <v>0</v>
      </c>
      <c r="X112" s="89">
        <v>126.64700000000001</v>
      </c>
      <c r="Y112" s="79">
        <v>0</v>
      </c>
      <c r="Z112" s="79">
        <v>1</v>
      </c>
      <c r="AA112" s="94">
        <v>0</v>
      </c>
      <c r="AB112" s="79">
        <v>1</v>
      </c>
      <c r="AC112" s="85">
        <v>15.773999999999999</v>
      </c>
      <c r="AD112" s="85">
        <v>99.423000000000002</v>
      </c>
      <c r="AE112" s="85">
        <v>11.45</v>
      </c>
      <c r="AF112" s="85">
        <v>0</v>
      </c>
      <c r="AG112" s="85">
        <v>126.64700000000001</v>
      </c>
      <c r="AH112" s="85">
        <v>0</v>
      </c>
      <c r="AI112" s="85">
        <v>0</v>
      </c>
      <c r="AJ112" s="85">
        <v>0</v>
      </c>
      <c r="AK112" s="85">
        <v>0</v>
      </c>
      <c r="AL112" s="85">
        <v>0</v>
      </c>
      <c r="AM112" s="85">
        <v>0</v>
      </c>
      <c r="AN112" s="85">
        <v>0</v>
      </c>
      <c r="AO112" s="85">
        <v>0</v>
      </c>
      <c r="AP112" s="85">
        <v>0</v>
      </c>
      <c r="AQ112" s="85">
        <v>0</v>
      </c>
      <c r="AR112" s="85">
        <v>0</v>
      </c>
      <c r="AS112" s="85">
        <v>0</v>
      </c>
      <c r="AT112" s="85">
        <v>0</v>
      </c>
      <c r="AU112" s="85">
        <v>0</v>
      </c>
      <c r="AV112" s="85">
        <v>0</v>
      </c>
      <c r="AW112" s="85">
        <v>126.64700000000001</v>
      </c>
      <c r="AX112" s="85">
        <v>0</v>
      </c>
      <c r="AY112" s="85">
        <v>0</v>
      </c>
      <c r="AZ112" s="85">
        <v>0</v>
      </c>
      <c r="BA112" s="85">
        <v>0</v>
      </c>
      <c r="BB112" s="89">
        <v>0</v>
      </c>
      <c r="BC112" s="89">
        <v>126.64700000000001</v>
      </c>
      <c r="BD112" s="37">
        <v>611421</v>
      </c>
      <c r="BE112" s="37">
        <v>51488</v>
      </c>
      <c r="BF112" s="279">
        <v>28271.74</v>
      </c>
      <c r="BG112" s="37">
        <v>163337.93</v>
      </c>
      <c r="BH112" s="37">
        <v>51679.11</v>
      </c>
      <c r="BI112" s="37">
        <v>15376.01</v>
      </c>
      <c r="BJ112" s="283">
        <v>258664.78999999998</v>
      </c>
      <c r="BK112" s="161"/>
      <c r="BL112" s="294"/>
      <c r="BM112"/>
      <c r="BN112"/>
      <c r="BO112"/>
      <c r="BP112"/>
      <c r="BQ112"/>
      <c r="BR112"/>
      <c r="BS112"/>
      <c r="BT112"/>
      <c r="BU112"/>
      <c r="BV112"/>
      <c r="BW112"/>
      <c r="BX112"/>
      <c r="BY112"/>
      <c r="BZ112"/>
      <c r="CA112"/>
      <c r="CB112"/>
      <c r="CC112"/>
      <c r="CD112"/>
      <c r="CE112"/>
      <c r="CF112"/>
      <c r="CG112"/>
      <c r="CH112"/>
      <c r="CI112"/>
      <c r="CJ112"/>
    </row>
    <row r="113" spans="1:88" s="32" customFormat="1" ht="15" customHeight="1" x14ac:dyDescent="0.35">
      <c r="A113" s="473"/>
      <c r="B113" s="313">
        <v>80103</v>
      </c>
      <c r="C113" s="8" t="s">
        <v>819</v>
      </c>
      <c r="D113" s="18">
        <v>7</v>
      </c>
      <c r="E113" s="251">
        <v>322</v>
      </c>
      <c r="F113" s="82">
        <v>1.89</v>
      </c>
      <c r="G113" s="79">
        <v>608.57999999999993</v>
      </c>
      <c r="H113" s="90">
        <v>5.3029999999999999</v>
      </c>
      <c r="I113" s="85">
        <v>4.7370000000000001</v>
      </c>
      <c r="J113" s="85">
        <v>6.2249999999999996</v>
      </c>
      <c r="K113" s="85">
        <v>6.2919999999999998</v>
      </c>
      <c r="L113" s="85">
        <v>6.8979999999999997</v>
      </c>
      <c r="M113" s="85">
        <v>8.1859999999999999</v>
      </c>
      <c r="N113" s="85">
        <v>11.609</v>
      </c>
      <c r="O113" s="85">
        <v>12.663</v>
      </c>
      <c r="P113" s="85">
        <v>7.4420000000000002</v>
      </c>
      <c r="Q113" s="85">
        <v>6.5270000000000001</v>
      </c>
      <c r="R113" s="85">
        <v>7.2789999999999999</v>
      </c>
      <c r="S113" s="89">
        <v>8.2959999999999994</v>
      </c>
      <c r="T113" s="89">
        <v>91.457000000000022</v>
      </c>
      <c r="U113" s="85">
        <v>0</v>
      </c>
      <c r="V113" s="85">
        <v>91.456999999999994</v>
      </c>
      <c r="W113" s="85">
        <v>0</v>
      </c>
      <c r="X113" s="89">
        <v>91.456999999999994</v>
      </c>
      <c r="Y113" s="79">
        <v>0</v>
      </c>
      <c r="Z113" s="79">
        <v>1</v>
      </c>
      <c r="AA113" s="94">
        <v>0</v>
      </c>
      <c r="AB113" s="79">
        <v>1</v>
      </c>
      <c r="AC113" s="85">
        <v>42.917000000000002</v>
      </c>
      <c r="AD113" s="85">
        <v>12.568</v>
      </c>
      <c r="AE113" s="85">
        <v>35.972000000000001</v>
      </c>
      <c r="AF113" s="85">
        <v>0</v>
      </c>
      <c r="AG113" s="85">
        <v>91.456999999999994</v>
      </c>
      <c r="AH113" s="85">
        <v>0</v>
      </c>
      <c r="AI113" s="85">
        <v>0</v>
      </c>
      <c r="AJ113" s="85">
        <v>0</v>
      </c>
      <c r="AK113" s="85">
        <v>0</v>
      </c>
      <c r="AL113" s="85">
        <v>0</v>
      </c>
      <c r="AM113" s="85">
        <v>0</v>
      </c>
      <c r="AN113" s="85">
        <v>0</v>
      </c>
      <c r="AO113" s="85">
        <v>0</v>
      </c>
      <c r="AP113" s="85">
        <v>0</v>
      </c>
      <c r="AQ113" s="85">
        <v>0</v>
      </c>
      <c r="AR113" s="85">
        <v>0</v>
      </c>
      <c r="AS113" s="85">
        <v>0</v>
      </c>
      <c r="AT113" s="85">
        <v>0</v>
      </c>
      <c r="AU113" s="85">
        <v>0</v>
      </c>
      <c r="AV113" s="85">
        <v>0</v>
      </c>
      <c r="AW113" s="85">
        <v>0</v>
      </c>
      <c r="AX113" s="85">
        <v>0</v>
      </c>
      <c r="AY113" s="85">
        <v>0</v>
      </c>
      <c r="AZ113" s="85">
        <v>91.456999999999994</v>
      </c>
      <c r="BA113" s="85">
        <v>0</v>
      </c>
      <c r="BB113" s="89">
        <v>0</v>
      </c>
      <c r="BC113" s="89">
        <v>91.456999999999994</v>
      </c>
      <c r="BD113" s="37">
        <v>0</v>
      </c>
      <c r="BE113" s="37">
        <v>0</v>
      </c>
      <c r="BF113" s="279">
        <v>9984</v>
      </c>
      <c r="BG113" s="37">
        <v>24379</v>
      </c>
      <c r="BH113" s="37">
        <v>6529</v>
      </c>
      <c r="BI113" s="37">
        <v>2656</v>
      </c>
      <c r="BJ113" s="283">
        <v>43548</v>
      </c>
      <c r="BK113" s="161" t="s">
        <v>1611</v>
      </c>
      <c r="BL113" s="294"/>
      <c r="BM113"/>
      <c r="BN113"/>
      <c r="BO113"/>
      <c r="BP113"/>
      <c r="BQ113"/>
      <c r="BR113"/>
      <c r="BS113"/>
      <c r="BT113"/>
      <c r="BU113"/>
      <c r="BV113"/>
      <c r="BW113"/>
      <c r="BX113"/>
      <c r="BY113"/>
      <c r="BZ113"/>
      <c r="CA113"/>
      <c r="CB113"/>
      <c r="CC113"/>
      <c r="CD113"/>
      <c r="CE113"/>
      <c r="CF113"/>
      <c r="CG113"/>
      <c r="CH113"/>
      <c r="CI113"/>
      <c r="CJ113"/>
    </row>
    <row r="114" spans="1:88" s="32" customFormat="1" ht="15" customHeight="1" x14ac:dyDescent="0.35">
      <c r="A114" s="473"/>
      <c r="B114" s="313">
        <v>62047</v>
      </c>
      <c r="C114" s="8" t="s">
        <v>625</v>
      </c>
      <c r="D114" s="18">
        <v>14</v>
      </c>
      <c r="E114" s="251">
        <v>242</v>
      </c>
      <c r="F114" s="82">
        <v>2.21</v>
      </c>
      <c r="G114" s="79">
        <v>534.81999999999994</v>
      </c>
      <c r="H114" s="90">
        <v>4.2910000000000004</v>
      </c>
      <c r="I114" s="85">
        <v>4.9669999999999996</v>
      </c>
      <c r="J114" s="85">
        <v>5.2279999999999998</v>
      </c>
      <c r="K114" s="85">
        <v>4.9059999999999997</v>
      </c>
      <c r="L114" s="85">
        <v>6.27</v>
      </c>
      <c r="M114" s="85">
        <v>6.4470000000000001</v>
      </c>
      <c r="N114" s="85">
        <v>7.0010000000000003</v>
      </c>
      <c r="O114" s="85">
        <v>6.6449999999999996</v>
      </c>
      <c r="P114" s="85">
        <v>5.7679999999999998</v>
      </c>
      <c r="Q114" s="85">
        <v>5.6280000000000001</v>
      </c>
      <c r="R114" s="85">
        <v>6.7880000000000003</v>
      </c>
      <c r="S114" s="89">
        <v>5.39</v>
      </c>
      <c r="T114" s="89">
        <v>69.328999999999994</v>
      </c>
      <c r="U114" s="85">
        <v>69.328999999999994</v>
      </c>
      <c r="V114" s="85">
        <v>0</v>
      </c>
      <c r="W114" s="85">
        <v>0</v>
      </c>
      <c r="X114" s="89">
        <v>69.328999999999994</v>
      </c>
      <c r="Y114" s="79">
        <v>1</v>
      </c>
      <c r="Z114" s="79">
        <v>0</v>
      </c>
      <c r="AA114" s="94">
        <v>0</v>
      </c>
      <c r="AB114" s="79">
        <v>1</v>
      </c>
      <c r="AC114" s="85">
        <v>44.035326164874554</v>
      </c>
      <c r="AD114" s="85">
        <v>7.7726088351254496</v>
      </c>
      <c r="AE114" s="85">
        <v>17.521064999999989</v>
      </c>
      <c r="AF114" s="85">
        <v>0</v>
      </c>
      <c r="AG114" s="85">
        <v>69.328999999999994</v>
      </c>
      <c r="AH114" s="85">
        <v>0</v>
      </c>
      <c r="AI114" s="85">
        <v>0</v>
      </c>
      <c r="AJ114" s="85">
        <v>0</v>
      </c>
      <c r="AK114" s="85">
        <v>0</v>
      </c>
      <c r="AL114" s="85">
        <v>0</v>
      </c>
      <c r="AM114" s="85">
        <v>0</v>
      </c>
      <c r="AN114" s="85">
        <v>69.328999999999994</v>
      </c>
      <c r="AO114" s="85">
        <v>0</v>
      </c>
      <c r="AP114" s="85">
        <v>0</v>
      </c>
      <c r="AQ114" s="85">
        <v>0</v>
      </c>
      <c r="AR114" s="85">
        <v>69.328999999999994</v>
      </c>
      <c r="AS114" s="85">
        <v>0</v>
      </c>
      <c r="AT114" s="85">
        <v>0</v>
      </c>
      <c r="AU114" s="85">
        <v>0</v>
      </c>
      <c r="AV114" s="85">
        <v>0</v>
      </c>
      <c r="AW114" s="85">
        <v>0</v>
      </c>
      <c r="AX114" s="85">
        <v>0</v>
      </c>
      <c r="AY114" s="85">
        <v>0</v>
      </c>
      <c r="AZ114" s="85">
        <v>0</v>
      </c>
      <c r="BA114" s="85">
        <v>0</v>
      </c>
      <c r="BB114" s="89">
        <v>0</v>
      </c>
      <c r="BC114" s="89">
        <v>0</v>
      </c>
      <c r="BD114" s="37">
        <v>0</v>
      </c>
      <c r="BE114" s="37">
        <v>26681</v>
      </c>
      <c r="BF114" s="279">
        <v>39232</v>
      </c>
      <c r="BG114" s="37">
        <v>18813</v>
      </c>
      <c r="BH114" s="37">
        <v>13722</v>
      </c>
      <c r="BI114" s="37">
        <v>0</v>
      </c>
      <c r="BJ114" s="283">
        <v>71767</v>
      </c>
      <c r="BK114" s="161"/>
      <c r="BL114" s="294"/>
      <c r="BM114"/>
      <c r="BN114"/>
      <c r="BO114"/>
      <c r="BP114"/>
      <c r="BQ114"/>
      <c r="BR114"/>
      <c r="BS114"/>
      <c r="BT114"/>
      <c r="BU114"/>
      <c r="BV114"/>
      <c r="BW114"/>
      <c r="BX114"/>
      <c r="BY114"/>
      <c r="BZ114"/>
      <c r="CA114"/>
      <c r="CB114"/>
      <c r="CC114"/>
      <c r="CD114"/>
      <c r="CE114"/>
      <c r="CF114"/>
      <c r="CG114"/>
      <c r="CH114"/>
      <c r="CI114"/>
      <c r="CJ114"/>
    </row>
    <row r="115" spans="1:88" s="32" customFormat="1" ht="15" customHeight="1" x14ac:dyDescent="0.35">
      <c r="A115" s="473"/>
      <c r="B115" s="313">
        <v>39030</v>
      </c>
      <c r="C115" s="8" t="s">
        <v>342</v>
      </c>
      <c r="D115" s="18">
        <v>17</v>
      </c>
      <c r="E115" s="251">
        <v>153</v>
      </c>
      <c r="F115" s="82">
        <v>2.84</v>
      </c>
      <c r="G115" s="79">
        <v>434.52</v>
      </c>
      <c r="H115" s="90">
        <v>2.9525999999999999</v>
      </c>
      <c r="I115" s="85">
        <v>2.9525999999999999</v>
      </c>
      <c r="J115" s="85">
        <v>4.508</v>
      </c>
      <c r="K115" s="85">
        <v>3.403</v>
      </c>
      <c r="L115" s="85">
        <v>2.4740000000000002</v>
      </c>
      <c r="M115" s="85">
        <v>2.7029999999999998</v>
      </c>
      <c r="N115" s="85">
        <v>3.2589999999999999</v>
      </c>
      <c r="O115" s="85">
        <v>3.3690000000000002</v>
      </c>
      <c r="P115" s="85">
        <v>3.2080000000000002</v>
      </c>
      <c r="Q115" s="85">
        <v>2.29</v>
      </c>
      <c r="R115" s="85">
        <v>2.0710000000000002</v>
      </c>
      <c r="S115" s="89">
        <v>2.2410000000000001</v>
      </c>
      <c r="T115" s="89">
        <v>35.431199999999997</v>
      </c>
      <c r="U115" s="85">
        <v>0</v>
      </c>
      <c r="V115" s="85">
        <v>35.430999999999997</v>
      </c>
      <c r="W115" s="85">
        <v>0</v>
      </c>
      <c r="X115" s="89">
        <v>35.430999999999997</v>
      </c>
      <c r="Y115" s="79">
        <v>0</v>
      </c>
      <c r="Z115" s="79">
        <v>2</v>
      </c>
      <c r="AA115" s="94">
        <v>0</v>
      </c>
      <c r="AB115" s="79">
        <v>2</v>
      </c>
      <c r="AC115" s="85">
        <v>15.605</v>
      </c>
      <c r="AD115" s="85">
        <v>9.9549999999999965</v>
      </c>
      <c r="AE115" s="85">
        <v>9.8710000000000004</v>
      </c>
      <c r="AF115" s="85">
        <v>0</v>
      </c>
      <c r="AG115" s="85">
        <v>35.430999999999997</v>
      </c>
      <c r="AH115" s="85">
        <v>0</v>
      </c>
      <c r="AI115" s="85">
        <v>0</v>
      </c>
      <c r="AJ115" s="85">
        <v>0</v>
      </c>
      <c r="AK115" s="85">
        <v>0</v>
      </c>
      <c r="AL115" s="85">
        <v>0</v>
      </c>
      <c r="AM115" s="85">
        <v>0</v>
      </c>
      <c r="AN115" s="85">
        <v>0</v>
      </c>
      <c r="AO115" s="85">
        <v>0</v>
      </c>
      <c r="AP115" s="85">
        <v>0</v>
      </c>
      <c r="AQ115" s="85">
        <v>0</v>
      </c>
      <c r="AR115" s="85">
        <v>0</v>
      </c>
      <c r="AS115" s="85">
        <v>0</v>
      </c>
      <c r="AT115" s="85">
        <v>0</v>
      </c>
      <c r="AU115" s="85">
        <v>0</v>
      </c>
      <c r="AV115" s="85">
        <v>0</v>
      </c>
      <c r="AW115" s="85">
        <v>0</v>
      </c>
      <c r="AX115" s="85">
        <v>0</v>
      </c>
      <c r="AY115" s="85">
        <v>35.430999999999997</v>
      </c>
      <c r="AZ115" s="85">
        <v>0</v>
      </c>
      <c r="BA115" s="85">
        <v>0</v>
      </c>
      <c r="BB115" s="89">
        <v>0</v>
      </c>
      <c r="BC115" s="89">
        <v>35.430999999999997</v>
      </c>
      <c r="BD115" s="37">
        <v>0</v>
      </c>
      <c r="BE115" s="37">
        <v>0</v>
      </c>
      <c r="BF115" s="279">
        <v>3245</v>
      </c>
      <c r="BG115" s="37">
        <v>11775</v>
      </c>
      <c r="BH115" s="37">
        <v>6901</v>
      </c>
      <c r="BI115" s="37">
        <v>8715</v>
      </c>
      <c r="BJ115" s="283">
        <v>30636</v>
      </c>
      <c r="BK115" s="161"/>
      <c r="BL115" s="294"/>
      <c r="BM115"/>
      <c r="BN115"/>
      <c r="BO115"/>
      <c r="BP115"/>
      <c r="BQ115"/>
      <c r="BR115"/>
      <c r="BS115"/>
      <c r="BT115"/>
      <c r="BU115"/>
      <c r="BV115"/>
      <c r="BW115"/>
      <c r="BX115"/>
      <c r="BY115"/>
      <c r="BZ115"/>
      <c r="CA115"/>
      <c r="CB115"/>
      <c r="CC115"/>
      <c r="CD115"/>
      <c r="CE115"/>
      <c r="CF115"/>
      <c r="CG115"/>
      <c r="CH115"/>
      <c r="CI115"/>
      <c r="CJ115"/>
    </row>
    <row r="116" spans="1:88" s="32" customFormat="1" ht="15" customHeight="1" x14ac:dyDescent="0.35">
      <c r="A116" s="473"/>
      <c r="B116" s="313">
        <v>99025</v>
      </c>
      <c r="C116" s="8" t="s">
        <v>1022</v>
      </c>
      <c r="D116" s="18">
        <v>10</v>
      </c>
      <c r="E116" s="251">
        <v>3263</v>
      </c>
      <c r="F116" s="82">
        <v>2.5254981425194192</v>
      </c>
      <c r="G116" s="79">
        <v>8240.7004390408656</v>
      </c>
      <c r="H116" s="90">
        <v>342.5695458401832</v>
      </c>
      <c r="I116" s="85">
        <v>328.10094491937843</v>
      </c>
      <c r="J116" s="85">
        <v>374.46656115570238</v>
      </c>
      <c r="K116" s="85">
        <v>353.85499399182243</v>
      </c>
      <c r="L116" s="85">
        <v>295.77239266048321</v>
      </c>
      <c r="M116" s="85">
        <v>229.0825220146848</v>
      </c>
      <c r="N116" s="85">
        <v>215.61062001660719</v>
      </c>
      <c r="O116" s="85">
        <v>217.34358153132243</v>
      </c>
      <c r="P116" s="85">
        <v>207.19186420899121</v>
      </c>
      <c r="Q116" s="85">
        <v>212.34570235290721</v>
      </c>
      <c r="R116" s="85">
        <v>265.67420502472083</v>
      </c>
      <c r="S116" s="89">
        <v>315.25174315976881</v>
      </c>
      <c r="T116" s="89">
        <v>3357.2646768765721</v>
      </c>
      <c r="U116" s="85">
        <v>3357.2646768765721</v>
      </c>
      <c r="V116" s="85">
        <v>0</v>
      </c>
      <c r="W116" s="85">
        <v>0</v>
      </c>
      <c r="X116" s="89">
        <v>3357.2646768765721</v>
      </c>
      <c r="Y116" s="79">
        <v>1</v>
      </c>
      <c r="Z116" s="79">
        <v>0</v>
      </c>
      <c r="AA116" s="94">
        <v>0</v>
      </c>
      <c r="AB116" s="79">
        <v>1</v>
      </c>
      <c r="AC116" s="85">
        <v>1855.6277813218389</v>
      </c>
      <c r="AD116" s="85">
        <v>593.88002582953675</v>
      </c>
      <c r="AE116" s="85">
        <v>907.75686972519645</v>
      </c>
      <c r="AF116" s="85">
        <v>0</v>
      </c>
      <c r="AG116" s="85">
        <v>3357.2646768765721</v>
      </c>
      <c r="AH116" s="85">
        <v>0</v>
      </c>
      <c r="AI116" s="85">
        <v>0</v>
      </c>
      <c r="AJ116" s="85">
        <v>0</v>
      </c>
      <c r="AK116" s="85">
        <v>3357.2646768765721</v>
      </c>
      <c r="AL116" s="85">
        <v>0</v>
      </c>
      <c r="AM116" s="85">
        <v>0</v>
      </c>
      <c r="AN116" s="85">
        <v>0</v>
      </c>
      <c r="AO116" s="85">
        <v>0</v>
      </c>
      <c r="AP116" s="85">
        <v>0</v>
      </c>
      <c r="AQ116" s="85">
        <v>0</v>
      </c>
      <c r="AR116" s="85">
        <v>3357.2646768765721</v>
      </c>
      <c r="AS116" s="85">
        <v>0</v>
      </c>
      <c r="AT116" s="85">
        <v>0</v>
      </c>
      <c r="AU116" s="85">
        <v>0</v>
      </c>
      <c r="AV116" s="85">
        <v>0</v>
      </c>
      <c r="AW116" s="85">
        <v>0</v>
      </c>
      <c r="AX116" s="85">
        <v>0</v>
      </c>
      <c r="AY116" s="85">
        <v>0</v>
      </c>
      <c r="AZ116" s="85">
        <v>0</v>
      </c>
      <c r="BA116" s="85">
        <v>0</v>
      </c>
      <c r="BB116" s="89">
        <v>0</v>
      </c>
      <c r="BC116" s="89">
        <v>0</v>
      </c>
      <c r="BD116" s="37">
        <v>0</v>
      </c>
      <c r="BE116" s="37">
        <v>0</v>
      </c>
      <c r="BF116" s="279">
        <v>121021</v>
      </c>
      <c r="BG116" s="37">
        <v>150000</v>
      </c>
      <c r="BH116" s="37">
        <v>224000</v>
      </c>
      <c r="BI116" s="37">
        <v>0</v>
      </c>
      <c r="BJ116" s="283">
        <v>495021</v>
      </c>
      <c r="BK116" s="161" t="s">
        <v>1624</v>
      </c>
      <c r="BL116" s="294"/>
      <c r="BM116"/>
      <c r="BN116"/>
      <c r="BO116"/>
      <c r="BP116"/>
      <c r="BQ116"/>
      <c r="BR116"/>
      <c r="BS116"/>
      <c r="BT116"/>
      <c r="BU116"/>
      <c r="BV116"/>
      <c r="BW116"/>
      <c r="BX116"/>
      <c r="BY116"/>
      <c r="BZ116"/>
      <c r="CA116"/>
      <c r="CB116"/>
      <c r="CC116"/>
      <c r="CD116"/>
      <c r="CE116"/>
      <c r="CF116"/>
      <c r="CG116"/>
      <c r="CH116"/>
      <c r="CI116"/>
      <c r="CJ116"/>
    </row>
    <row r="117" spans="1:88" s="32" customFormat="1" ht="15" customHeight="1" x14ac:dyDescent="0.35">
      <c r="A117" s="473"/>
      <c r="B117" s="313">
        <v>84090</v>
      </c>
      <c r="C117" s="8" t="s">
        <v>867</v>
      </c>
      <c r="D117" s="18">
        <v>7</v>
      </c>
      <c r="E117" s="251"/>
      <c r="F117" s="82"/>
      <c r="G117" s="79"/>
      <c r="H117" s="90"/>
      <c r="I117" s="85"/>
      <c r="J117" s="85"/>
      <c r="K117" s="85"/>
      <c r="L117" s="85"/>
      <c r="M117" s="85"/>
      <c r="N117" s="85"/>
      <c r="O117" s="85"/>
      <c r="P117" s="85"/>
      <c r="Q117" s="85"/>
      <c r="R117" s="85"/>
      <c r="S117" s="89"/>
      <c r="T117" s="89" t="s">
        <v>1124</v>
      </c>
      <c r="U117" s="85"/>
      <c r="V117" s="85"/>
      <c r="W117" s="85"/>
      <c r="X117" s="89" t="s">
        <v>1124</v>
      </c>
      <c r="Y117" s="79"/>
      <c r="Z117" s="79"/>
      <c r="AA117" s="94"/>
      <c r="AB117" s="79" t="s">
        <v>1124</v>
      </c>
      <c r="AC117" s="85"/>
      <c r="AD117" s="85"/>
      <c r="AE117" s="85"/>
      <c r="AF117" s="85"/>
      <c r="AG117" s="85" t="s">
        <v>1124</v>
      </c>
      <c r="AH117" s="85"/>
      <c r="AI117" s="85"/>
      <c r="AJ117" s="85"/>
      <c r="AK117" s="85"/>
      <c r="AL117" s="85"/>
      <c r="AM117" s="85"/>
      <c r="AN117" s="85"/>
      <c r="AO117" s="85"/>
      <c r="AP117" s="85"/>
      <c r="AQ117" s="85"/>
      <c r="AR117" s="85" t="s">
        <v>1124</v>
      </c>
      <c r="AS117" s="85"/>
      <c r="AT117" s="85"/>
      <c r="AU117" s="85"/>
      <c r="AV117" s="85"/>
      <c r="AW117" s="85"/>
      <c r="AX117" s="85"/>
      <c r="AY117" s="85"/>
      <c r="AZ117" s="85"/>
      <c r="BA117" s="85"/>
      <c r="BB117" s="89"/>
      <c r="BC117" s="89" t="s">
        <v>1124</v>
      </c>
      <c r="BD117" s="37"/>
      <c r="BE117" s="37"/>
      <c r="BF117" s="279"/>
      <c r="BG117" s="37"/>
      <c r="BH117" s="37"/>
      <c r="BI117" s="37"/>
      <c r="BJ117" s="283"/>
      <c r="BK117" s="161"/>
      <c r="BL117" s="294"/>
      <c r="BM117"/>
      <c r="BN117"/>
      <c r="BO117"/>
      <c r="BP117"/>
      <c r="BQ117"/>
      <c r="BR117"/>
      <c r="BS117"/>
      <c r="BT117"/>
      <c r="BU117"/>
      <c r="BV117"/>
      <c r="BW117"/>
      <c r="BX117"/>
      <c r="BY117"/>
      <c r="BZ117"/>
      <c r="CA117"/>
      <c r="CB117"/>
      <c r="CC117"/>
      <c r="CD117"/>
      <c r="CE117"/>
      <c r="CF117"/>
      <c r="CG117"/>
      <c r="CH117"/>
      <c r="CI117"/>
      <c r="CJ117"/>
    </row>
    <row r="118" spans="1:88" s="32" customFormat="1" ht="15" customHeight="1" x14ac:dyDescent="0.35">
      <c r="A118" s="473"/>
      <c r="B118" s="313">
        <v>96035</v>
      </c>
      <c r="C118" s="8" t="s">
        <v>1000</v>
      </c>
      <c r="D118" s="18">
        <v>9</v>
      </c>
      <c r="E118" s="251">
        <v>733</v>
      </c>
      <c r="F118" s="82">
        <v>2.5799319727891157</v>
      </c>
      <c r="G118" s="79">
        <v>1891.0901360544217</v>
      </c>
      <c r="H118" s="90">
        <v>34.988033333333291</v>
      </c>
      <c r="I118" s="85">
        <v>36.945983333333437</v>
      </c>
      <c r="J118" s="85">
        <v>37.283760538720486</v>
      </c>
      <c r="K118" s="85">
        <v>36.934175000000138</v>
      </c>
      <c r="L118" s="85">
        <v>53.711424999999863</v>
      </c>
      <c r="M118" s="85">
        <v>33.760513200555827</v>
      </c>
      <c r="N118" s="85">
        <v>41.694933333333211</v>
      </c>
      <c r="O118" s="85">
        <v>30.639908002690035</v>
      </c>
      <c r="P118" s="85">
        <v>27.870783333333375</v>
      </c>
      <c r="Q118" s="85">
        <v>24.894015302013472</v>
      </c>
      <c r="R118" s="85">
        <v>26.321758333333293</v>
      </c>
      <c r="S118" s="89">
        <v>32.590472542716959</v>
      </c>
      <c r="T118" s="89">
        <v>417.6357612533634</v>
      </c>
      <c r="U118" s="85">
        <v>417.6357612533634</v>
      </c>
      <c r="V118" s="85">
        <v>0</v>
      </c>
      <c r="W118" s="85">
        <v>0</v>
      </c>
      <c r="X118" s="89">
        <v>417.6357612533634</v>
      </c>
      <c r="Y118" s="79">
        <v>1</v>
      </c>
      <c r="Z118" s="79">
        <v>0</v>
      </c>
      <c r="AA118" s="94">
        <v>0</v>
      </c>
      <c r="AB118" s="79">
        <v>1</v>
      </c>
      <c r="AC118" s="85">
        <v>200.77874869767444</v>
      </c>
      <c r="AD118" s="85">
        <v>13.192012555688933</v>
      </c>
      <c r="AE118" s="85">
        <v>12.567</v>
      </c>
      <c r="AF118" s="85">
        <v>191.09800000000001</v>
      </c>
      <c r="AG118" s="85">
        <v>417.6357612533634</v>
      </c>
      <c r="AH118" s="85">
        <v>0</v>
      </c>
      <c r="AI118" s="85">
        <v>0</v>
      </c>
      <c r="AJ118" s="85">
        <v>0</v>
      </c>
      <c r="AK118" s="85">
        <v>0</v>
      </c>
      <c r="AL118" s="85">
        <v>0</v>
      </c>
      <c r="AM118" s="85">
        <v>0</v>
      </c>
      <c r="AN118" s="85">
        <v>417.6357612533634</v>
      </c>
      <c r="AO118" s="85">
        <v>0</v>
      </c>
      <c r="AP118" s="85">
        <v>0</v>
      </c>
      <c r="AQ118" s="85">
        <v>0</v>
      </c>
      <c r="AR118" s="85">
        <v>417.6357612533634</v>
      </c>
      <c r="AS118" s="85">
        <v>0</v>
      </c>
      <c r="AT118" s="85">
        <v>0</v>
      </c>
      <c r="AU118" s="85">
        <v>0</v>
      </c>
      <c r="AV118" s="85">
        <v>0</v>
      </c>
      <c r="AW118" s="85">
        <v>0</v>
      </c>
      <c r="AX118" s="85">
        <v>0</v>
      </c>
      <c r="AY118" s="85">
        <v>0</v>
      </c>
      <c r="AZ118" s="85">
        <v>0</v>
      </c>
      <c r="BA118" s="85">
        <v>0</v>
      </c>
      <c r="BB118" s="89">
        <v>0</v>
      </c>
      <c r="BC118" s="89">
        <v>0</v>
      </c>
      <c r="BD118" s="37">
        <v>18481</v>
      </c>
      <c r="BE118" s="37">
        <v>21691</v>
      </c>
      <c r="BF118" s="279">
        <v>97094</v>
      </c>
      <c r="BG118" s="37">
        <v>70679</v>
      </c>
      <c r="BH118" s="37">
        <v>22992</v>
      </c>
      <c r="BI118" s="37">
        <v>42690</v>
      </c>
      <c r="BJ118" s="283">
        <v>233455</v>
      </c>
      <c r="BK118" s="161"/>
      <c r="BL118" s="294"/>
      <c r="BM118"/>
      <c r="BN118"/>
      <c r="BO118"/>
      <c r="BP118"/>
      <c r="BQ118"/>
      <c r="BR118"/>
      <c r="BS118"/>
      <c r="BT118"/>
      <c r="BU118"/>
      <c r="BV118"/>
      <c r="BW118"/>
      <c r="BX118"/>
      <c r="BY118"/>
      <c r="BZ118"/>
      <c r="CA118"/>
      <c r="CB118"/>
      <c r="CC118"/>
      <c r="CD118"/>
      <c r="CE118"/>
      <c r="CF118"/>
      <c r="CG118"/>
      <c r="CH118"/>
      <c r="CI118"/>
      <c r="CJ118"/>
    </row>
    <row r="119" spans="1:88" s="32" customFormat="1" ht="15" customHeight="1" x14ac:dyDescent="0.35">
      <c r="A119" s="473"/>
      <c r="B119" s="313">
        <v>79065</v>
      </c>
      <c r="C119" s="8" t="s">
        <v>796</v>
      </c>
      <c r="D119" s="18">
        <v>15</v>
      </c>
      <c r="E119" s="251"/>
      <c r="F119" s="82"/>
      <c r="G119" s="79"/>
      <c r="H119" s="90"/>
      <c r="I119" s="85"/>
      <c r="J119" s="85"/>
      <c r="K119" s="85"/>
      <c r="L119" s="85"/>
      <c r="M119" s="85"/>
      <c r="N119" s="85"/>
      <c r="O119" s="85"/>
      <c r="P119" s="85"/>
      <c r="Q119" s="85"/>
      <c r="R119" s="85"/>
      <c r="S119" s="89"/>
      <c r="T119" s="89" t="s">
        <v>1124</v>
      </c>
      <c r="U119" s="85"/>
      <c r="V119" s="85"/>
      <c r="W119" s="85"/>
      <c r="X119" s="89" t="s">
        <v>1124</v>
      </c>
      <c r="Y119" s="79"/>
      <c r="Z119" s="79"/>
      <c r="AA119" s="94"/>
      <c r="AB119" s="79" t="s">
        <v>1124</v>
      </c>
      <c r="AC119" s="85"/>
      <c r="AD119" s="85"/>
      <c r="AE119" s="85"/>
      <c r="AF119" s="85"/>
      <c r="AG119" s="85" t="s">
        <v>1124</v>
      </c>
      <c r="AH119" s="85"/>
      <c r="AI119" s="85"/>
      <c r="AJ119" s="85"/>
      <c r="AK119" s="85"/>
      <c r="AL119" s="85"/>
      <c r="AM119" s="85"/>
      <c r="AN119" s="85"/>
      <c r="AO119" s="85"/>
      <c r="AP119" s="85"/>
      <c r="AQ119" s="85"/>
      <c r="AR119" s="85" t="s">
        <v>1124</v>
      </c>
      <c r="AS119" s="85"/>
      <c r="AT119" s="85"/>
      <c r="AU119" s="85"/>
      <c r="AV119" s="85"/>
      <c r="AW119" s="85"/>
      <c r="AX119" s="85"/>
      <c r="AY119" s="85"/>
      <c r="AZ119" s="85"/>
      <c r="BA119" s="85"/>
      <c r="BB119" s="89"/>
      <c r="BC119" s="89" t="s">
        <v>1124</v>
      </c>
      <c r="BD119" s="37"/>
      <c r="BE119" s="37"/>
      <c r="BF119" s="279"/>
      <c r="BG119" s="37"/>
      <c r="BH119" s="37"/>
      <c r="BI119" s="37"/>
      <c r="BJ119" s="283"/>
      <c r="BK119" s="161"/>
      <c r="BL119" s="294"/>
      <c r="BM119"/>
      <c r="BN119"/>
      <c r="BO119"/>
      <c r="BP119"/>
      <c r="BQ119"/>
      <c r="BR119"/>
      <c r="BS119"/>
      <c r="BT119"/>
      <c r="BU119"/>
      <c r="BV119"/>
      <c r="BW119"/>
      <c r="BX119"/>
      <c r="BY119"/>
      <c r="BZ119"/>
      <c r="CA119"/>
      <c r="CB119"/>
      <c r="CC119"/>
      <c r="CD119"/>
      <c r="CE119"/>
      <c r="CF119"/>
      <c r="CG119"/>
      <c r="CH119"/>
      <c r="CI119"/>
      <c r="CJ119"/>
    </row>
    <row r="120" spans="1:88" s="32" customFormat="1" ht="15" customHeight="1" x14ac:dyDescent="0.35">
      <c r="A120" s="473"/>
      <c r="B120" s="313">
        <v>84015</v>
      </c>
      <c r="C120" s="8" t="s">
        <v>854</v>
      </c>
      <c r="D120" s="18">
        <v>7</v>
      </c>
      <c r="E120" s="251"/>
      <c r="F120" s="82"/>
      <c r="G120" s="79"/>
      <c r="H120" s="90"/>
      <c r="I120" s="85"/>
      <c r="J120" s="85"/>
      <c r="K120" s="85"/>
      <c r="L120" s="85"/>
      <c r="M120" s="85"/>
      <c r="N120" s="85"/>
      <c r="O120" s="85"/>
      <c r="P120" s="85"/>
      <c r="Q120" s="85"/>
      <c r="R120" s="85"/>
      <c r="S120" s="89"/>
      <c r="T120" s="89" t="s">
        <v>1124</v>
      </c>
      <c r="U120" s="85"/>
      <c r="V120" s="85"/>
      <c r="W120" s="85"/>
      <c r="X120" s="89" t="s">
        <v>1124</v>
      </c>
      <c r="Y120" s="79"/>
      <c r="Z120" s="79"/>
      <c r="AA120" s="94"/>
      <c r="AB120" s="79" t="s">
        <v>1124</v>
      </c>
      <c r="AC120" s="85"/>
      <c r="AD120" s="85"/>
      <c r="AE120" s="85"/>
      <c r="AF120" s="85"/>
      <c r="AG120" s="85" t="s">
        <v>1124</v>
      </c>
      <c r="AH120" s="85"/>
      <c r="AI120" s="85"/>
      <c r="AJ120" s="85"/>
      <c r="AK120" s="85"/>
      <c r="AL120" s="85"/>
      <c r="AM120" s="85"/>
      <c r="AN120" s="85"/>
      <c r="AO120" s="85"/>
      <c r="AP120" s="85"/>
      <c r="AQ120" s="85"/>
      <c r="AR120" s="85" t="s">
        <v>1124</v>
      </c>
      <c r="AS120" s="85"/>
      <c r="AT120" s="85"/>
      <c r="AU120" s="85"/>
      <c r="AV120" s="85"/>
      <c r="AW120" s="85"/>
      <c r="AX120" s="85"/>
      <c r="AY120" s="85"/>
      <c r="AZ120" s="85"/>
      <c r="BA120" s="85"/>
      <c r="BB120" s="89"/>
      <c r="BC120" s="89" t="s">
        <v>1124</v>
      </c>
      <c r="BD120" s="37"/>
      <c r="BE120" s="37"/>
      <c r="BF120" s="279"/>
      <c r="BG120" s="37"/>
      <c r="BH120" s="37"/>
      <c r="BI120" s="37"/>
      <c r="BJ120" s="283"/>
      <c r="BK120" s="161"/>
      <c r="BL120" s="294"/>
      <c r="BM120"/>
      <c r="BN120"/>
      <c r="BO120"/>
      <c r="BP120"/>
      <c r="BQ120"/>
      <c r="BR120"/>
      <c r="BS120"/>
      <c r="BT120"/>
      <c r="BU120"/>
      <c r="BV120"/>
      <c r="BW120"/>
      <c r="BX120"/>
      <c r="BY120"/>
      <c r="BZ120"/>
      <c r="CA120"/>
      <c r="CB120"/>
      <c r="CC120"/>
      <c r="CD120"/>
      <c r="CE120"/>
      <c r="CF120"/>
      <c r="CG120"/>
      <c r="CH120"/>
      <c r="CI120"/>
      <c r="CJ120"/>
    </row>
    <row r="121" spans="1:88" s="32" customFormat="1" ht="15" customHeight="1" x14ac:dyDescent="0.35">
      <c r="A121" s="473"/>
      <c r="B121" s="313">
        <v>15035</v>
      </c>
      <c r="C121" s="8" t="s">
        <v>81</v>
      </c>
      <c r="D121" s="18">
        <v>3</v>
      </c>
      <c r="E121" s="251">
        <v>1491</v>
      </c>
      <c r="F121" s="82">
        <v>2.2038352272727271</v>
      </c>
      <c r="G121" s="79">
        <v>3285.918323863636</v>
      </c>
      <c r="H121" s="90">
        <v>68.09</v>
      </c>
      <c r="I121" s="85">
        <v>59.634</v>
      </c>
      <c r="J121" s="85">
        <v>65.052999999999997</v>
      </c>
      <c r="K121" s="85">
        <v>62.2</v>
      </c>
      <c r="L121" s="85">
        <v>68.855999999999995</v>
      </c>
      <c r="M121" s="85">
        <v>77.381</v>
      </c>
      <c r="N121" s="85">
        <v>95.242999999999995</v>
      </c>
      <c r="O121" s="85">
        <v>89.694999999999993</v>
      </c>
      <c r="P121" s="85">
        <v>67.838999999999999</v>
      </c>
      <c r="Q121" s="85">
        <v>58.332000000000001</v>
      </c>
      <c r="R121" s="85">
        <v>51.131</v>
      </c>
      <c r="S121" s="89">
        <v>53.908000000000001</v>
      </c>
      <c r="T121" s="89">
        <v>817.36199999999997</v>
      </c>
      <c r="U121" s="85">
        <v>0</v>
      </c>
      <c r="V121" s="85">
        <v>817.36199999999997</v>
      </c>
      <c r="W121" s="85">
        <v>0</v>
      </c>
      <c r="X121" s="89">
        <v>817.36199999999997</v>
      </c>
      <c r="Y121" s="79">
        <v>0</v>
      </c>
      <c r="Z121" s="79">
        <v>1</v>
      </c>
      <c r="AA121" s="94">
        <v>0</v>
      </c>
      <c r="AB121" s="79">
        <v>1</v>
      </c>
      <c r="AC121" s="85">
        <v>386.21811311373523</v>
      </c>
      <c r="AD121" s="85">
        <v>37.757726886264777</v>
      </c>
      <c r="AE121" s="85">
        <v>55.48015999999997</v>
      </c>
      <c r="AF121" s="85">
        <v>337.90600000000001</v>
      </c>
      <c r="AG121" s="85">
        <v>817.36199999999997</v>
      </c>
      <c r="AH121" s="85">
        <v>0</v>
      </c>
      <c r="AI121" s="85">
        <v>0</v>
      </c>
      <c r="AJ121" s="85">
        <v>0</v>
      </c>
      <c r="AK121" s="85">
        <v>0</v>
      </c>
      <c r="AL121" s="85">
        <v>0</v>
      </c>
      <c r="AM121" s="85">
        <v>0</v>
      </c>
      <c r="AN121" s="85">
        <v>0</v>
      </c>
      <c r="AO121" s="85">
        <v>0</v>
      </c>
      <c r="AP121" s="85">
        <v>0</v>
      </c>
      <c r="AQ121" s="85">
        <v>0</v>
      </c>
      <c r="AR121" s="85">
        <v>0</v>
      </c>
      <c r="AS121" s="85">
        <v>817.36199999999997</v>
      </c>
      <c r="AT121" s="85">
        <v>0</v>
      </c>
      <c r="AU121" s="85">
        <v>0</v>
      </c>
      <c r="AV121" s="85">
        <v>0</v>
      </c>
      <c r="AW121" s="85">
        <v>0</v>
      </c>
      <c r="AX121" s="85">
        <v>0</v>
      </c>
      <c r="AY121" s="85">
        <v>0</v>
      </c>
      <c r="AZ121" s="85">
        <v>0</v>
      </c>
      <c r="BA121" s="85">
        <v>0</v>
      </c>
      <c r="BB121" s="89">
        <v>0</v>
      </c>
      <c r="BC121" s="89">
        <v>817.36199999999997</v>
      </c>
      <c r="BD121" s="37">
        <v>0</v>
      </c>
      <c r="BE121" s="37">
        <v>0</v>
      </c>
      <c r="BF121" s="279">
        <v>8500</v>
      </c>
      <c r="BG121" s="37">
        <v>8800</v>
      </c>
      <c r="BH121" s="37">
        <v>51400</v>
      </c>
      <c r="BI121" s="37">
        <v>5000</v>
      </c>
      <c r="BJ121" s="283">
        <v>73700</v>
      </c>
      <c r="BK121" s="161"/>
      <c r="BL121" s="294"/>
      <c r="BM121"/>
      <c r="BN121"/>
      <c r="BO121"/>
      <c r="BP121"/>
      <c r="BQ121"/>
      <c r="BR121"/>
      <c r="BS121"/>
      <c r="BT121"/>
      <c r="BU121"/>
      <c r="BV121"/>
      <c r="BW121"/>
      <c r="BX121"/>
      <c r="BY121"/>
      <c r="BZ121"/>
      <c r="CA121"/>
      <c r="CB121"/>
      <c r="CC121"/>
      <c r="CD121"/>
      <c r="CE121"/>
      <c r="CF121"/>
      <c r="CG121"/>
      <c r="CH121"/>
      <c r="CI121"/>
      <c r="CJ121"/>
    </row>
    <row r="122" spans="1:88" s="32" customFormat="1" ht="15" customHeight="1" x14ac:dyDescent="0.35">
      <c r="A122" s="473"/>
      <c r="B122" s="313">
        <v>87110</v>
      </c>
      <c r="C122" s="8" t="s">
        <v>908</v>
      </c>
      <c r="D122" s="18">
        <v>8</v>
      </c>
      <c r="E122" s="251"/>
      <c r="F122" s="82"/>
      <c r="G122" s="79"/>
      <c r="H122" s="90"/>
      <c r="I122" s="85"/>
      <c r="J122" s="85"/>
      <c r="K122" s="85"/>
      <c r="L122" s="85"/>
      <c r="M122" s="85"/>
      <c r="N122" s="85"/>
      <c r="O122" s="85"/>
      <c r="P122" s="85"/>
      <c r="Q122" s="85"/>
      <c r="R122" s="85"/>
      <c r="S122" s="89"/>
      <c r="T122" s="89" t="s">
        <v>1124</v>
      </c>
      <c r="U122" s="85"/>
      <c r="V122" s="85"/>
      <c r="W122" s="85"/>
      <c r="X122" s="89" t="s">
        <v>1124</v>
      </c>
      <c r="Y122" s="79"/>
      <c r="Z122" s="79"/>
      <c r="AA122" s="94"/>
      <c r="AB122" s="79" t="s">
        <v>1124</v>
      </c>
      <c r="AC122" s="85"/>
      <c r="AD122" s="85"/>
      <c r="AE122" s="85"/>
      <c r="AF122" s="85"/>
      <c r="AG122" s="85" t="s">
        <v>1124</v>
      </c>
      <c r="AH122" s="85"/>
      <c r="AI122" s="85"/>
      <c r="AJ122" s="85"/>
      <c r="AK122" s="85"/>
      <c r="AL122" s="85"/>
      <c r="AM122" s="85"/>
      <c r="AN122" s="85"/>
      <c r="AO122" s="85"/>
      <c r="AP122" s="85"/>
      <c r="AQ122" s="85"/>
      <c r="AR122" s="85" t="s">
        <v>1124</v>
      </c>
      <c r="AS122" s="85"/>
      <c r="AT122" s="85"/>
      <c r="AU122" s="85"/>
      <c r="AV122" s="85"/>
      <c r="AW122" s="85"/>
      <c r="AX122" s="85"/>
      <c r="AY122" s="85"/>
      <c r="AZ122" s="85"/>
      <c r="BA122" s="85"/>
      <c r="BB122" s="89"/>
      <c r="BC122" s="89" t="s">
        <v>1124</v>
      </c>
      <c r="BD122" s="37"/>
      <c r="BE122" s="37"/>
      <c r="BF122" s="279"/>
      <c r="BG122" s="37"/>
      <c r="BH122" s="37"/>
      <c r="BI122" s="37"/>
      <c r="BJ122" s="283"/>
      <c r="BK122" s="161"/>
      <c r="BL122" s="294"/>
      <c r="BM122"/>
      <c r="BN122"/>
      <c r="BO122"/>
      <c r="BP122"/>
      <c r="BQ122"/>
      <c r="BR122"/>
      <c r="BS122"/>
      <c r="BT122"/>
      <c r="BU122"/>
      <c r="BV122"/>
      <c r="BW122"/>
      <c r="BX122"/>
      <c r="BY122"/>
      <c r="BZ122"/>
      <c r="CA122"/>
      <c r="CB122"/>
      <c r="CC122"/>
      <c r="CD122"/>
      <c r="CE122"/>
      <c r="CF122"/>
      <c r="CG122"/>
      <c r="CH122"/>
      <c r="CI122"/>
      <c r="CJ122"/>
    </row>
    <row r="123" spans="1:88" s="32" customFormat="1" ht="15" customHeight="1" x14ac:dyDescent="0.35">
      <c r="A123" s="473"/>
      <c r="B123" s="313">
        <v>87075</v>
      </c>
      <c r="C123" s="8" t="s">
        <v>901</v>
      </c>
      <c r="D123" s="18">
        <v>8</v>
      </c>
      <c r="E123" s="251"/>
      <c r="F123" s="82"/>
      <c r="G123" s="79"/>
      <c r="H123" s="90"/>
      <c r="I123" s="85"/>
      <c r="J123" s="85"/>
      <c r="K123" s="85"/>
      <c r="L123" s="85"/>
      <c r="M123" s="85"/>
      <c r="N123" s="85"/>
      <c r="O123" s="85"/>
      <c r="P123" s="85"/>
      <c r="Q123" s="85"/>
      <c r="R123" s="85"/>
      <c r="S123" s="89"/>
      <c r="T123" s="89" t="s">
        <v>1124</v>
      </c>
      <c r="U123" s="85"/>
      <c r="V123" s="85"/>
      <c r="W123" s="85"/>
      <c r="X123" s="89" t="s">
        <v>1124</v>
      </c>
      <c r="Y123" s="79"/>
      <c r="Z123" s="79"/>
      <c r="AA123" s="94"/>
      <c r="AB123" s="79" t="s">
        <v>1124</v>
      </c>
      <c r="AC123" s="85"/>
      <c r="AD123" s="85"/>
      <c r="AE123" s="85"/>
      <c r="AF123" s="85"/>
      <c r="AG123" s="85" t="s">
        <v>1124</v>
      </c>
      <c r="AH123" s="85"/>
      <c r="AI123" s="85"/>
      <c r="AJ123" s="85"/>
      <c r="AK123" s="85"/>
      <c r="AL123" s="85"/>
      <c r="AM123" s="85"/>
      <c r="AN123" s="85"/>
      <c r="AO123" s="85"/>
      <c r="AP123" s="85"/>
      <c r="AQ123" s="85"/>
      <c r="AR123" s="85" t="s">
        <v>1124</v>
      </c>
      <c r="AS123" s="85"/>
      <c r="AT123" s="85"/>
      <c r="AU123" s="85"/>
      <c r="AV123" s="85"/>
      <c r="AW123" s="85"/>
      <c r="AX123" s="85"/>
      <c r="AY123" s="85"/>
      <c r="AZ123" s="85"/>
      <c r="BA123" s="85"/>
      <c r="BB123" s="89"/>
      <c r="BC123" s="89" t="s">
        <v>1124</v>
      </c>
      <c r="BD123" s="37"/>
      <c r="BE123" s="37"/>
      <c r="BF123" s="279"/>
      <c r="BG123" s="37"/>
      <c r="BH123" s="37"/>
      <c r="BI123" s="37"/>
      <c r="BJ123" s="283"/>
      <c r="BK123" s="161"/>
      <c r="BL123" s="294"/>
      <c r="BM123"/>
      <c r="BN123"/>
      <c r="BO123"/>
      <c r="BP123"/>
      <c r="BQ123"/>
      <c r="BR123"/>
      <c r="BS123"/>
      <c r="BT123"/>
      <c r="BU123"/>
      <c r="BV123"/>
      <c r="BW123"/>
      <c r="BX123"/>
      <c r="BY123"/>
      <c r="BZ123"/>
      <c r="CA123"/>
      <c r="CB123"/>
      <c r="CC123"/>
      <c r="CD123"/>
      <c r="CE123"/>
      <c r="CF123"/>
      <c r="CG123"/>
      <c r="CH123"/>
      <c r="CI123"/>
      <c r="CJ123"/>
    </row>
    <row r="124" spans="1:88" s="32" customFormat="1" ht="15" customHeight="1" x14ac:dyDescent="0.35">
      <c r="A124" s="473"/>
      <c r="B124" s="313">
        <v>42110</v>
      </c>
      <c r="C124" s="8" t="s">
        <v>396</v>
      </c>
      <c r="D124" s="18">
        <v>5</v>
      </c>
      <c r="E124" s="251"/>
      <c r="F124" s="82"/>
      <c r="G124" s="79"/>
      <c r="H124" s="90"/>
      <c r="I124" s="85"/>
      <c r="J124" s="85"/>
      <c r="K124" s="85"/>
      <c r="L124" s="85"/>
      <c r="M124" s="85"/>
      <c r="N124" s="85"/>
      <c r="O124" s="85"/>
      <c r="P124" s="85"/>
      <c r="Q124" s="85"/>
      <c r="R124" s="85"/>
      <c r="S124" s="89"/>
      <c r="T124" s="89" t="s">
        <v>1124</v>
      </c>
      <c r="U124" s="85"/>
      <c r="V124" s="85"/>
      <c r="W124" s="85"/>
      <c r="X124" s="89" t="s">
        <v>1124</v>
      </c>
      <c r="Y124" s="79"/>
      <c r="Z124" s="79"/>
      <c r="AA124" s="94"/>
      <c r="AB124" s="79" t="s">
        <v>1124</v>
      </c>
      <c r="AC124" s="85"/>
      <c r="AD124" s="85"/>
      <c r="AE124" s="85"/>
      <c r="AF124" s="85"/>
      <c r="AG124" s="85" t="s">
        <v>1124</v>
      </c>
      <c r="AH124" s="85"/>
      <c r="AI124" s="85"/>
      <c r="AJ124" s="85"/>
      <c r="AK124" s="85"/>
      <c r="AL124" s="85"/>
      <c r="AM124" s="85"/>
      <c r="AN124" s="85"/>
      <c r="AO124" s="85"/>
      <c r="AP124" s="85"/>
      <c r="AQ124" s="85"/>
      <c r="AR124" s="85" t="s">
        <v>1124</v>
      </c>
      <c r="AS124" s="85"/>
      <c r="AT124" s="85"/>
      <c r="AU124" s="85"/>
      <c r="AV124" s="85"/>
      <c r="AW124" s="85"/>
      <c r="AX124" s="85"/>
      <c r="AY124" s="85"/>
      <c r="AZ124" s="85"/>
      <c r="BA124" s="85"/>
      <c r="BB124" s="89"/>
      <c r="BC124" s="89" t="s">
        <v>1124</v>
      </c>
      <c r="BD124" s="37"/>
      <c r="BE124" s="37"/>
      <c r="BF124" s="279"/>
      <c r="BG124" s="37"/>
      <c r="BH124" s="37"/>
      <c r="BI124" s="37"/>
      <c r="BJ124" s="283"/>
      <c r="BK124" s="161"/>
      <c r="BL124" s="294"/>
      <c r="BM124"/>
      <c r="BN124"/>
      <c r="BO124"/>
      <c r="BP124"/>
      <c r="BQ124"/>
      <c r="BR124"/>
      <c r="BS124"/>
      <c r="BT124"/>
      <c r="BU124"/>
      <c r="BV124"/>
      <c r="BW124"/>
      <c r="BX124"/>
      <c r="BY124"/>
      <c r="BZ124"/>
      <c r="CA124"/>
      <c r="CB124"/>
      <c r="CC124"/>
      <c r="CD124"/>
      <c r="CE124"/>
      <c r="CF124"/>
      <c r="CG124"/>
      <c r="CH124"/>
      <c r="CI124"/>
      <c r="CJ124"/>
    </row>
    <row r="125" spans="1:88" s="32" customFormat="1" ht="15" customHeight="1" x14ac:dyDescent="0.35">
      <c r="A125" s="473"/>
      <c r="B125" s="313">
        <v>3010</v>
      </c>
      <c r="C125" s="8" t="s">
        <v>1032</v>
      </c>
      <c r="D125" s="18">
        <v>11</v>
      </c>
      <c r="E125" s="251"/>
      <c r="F125" s="82"/>
      <c r="G125" s="79"/>
      <c r="H125" s="90"/>
      <c r="I125" s="85"/>
      <c r="J125" s="85"/>
      <c r="K125" s="85"/>
      <c r="L125" s="85"/>
      <c r="M125" s="85"/>
      <c r="N125" s="85"/>
      <c r="O125" s="85"/>
      <c r="P125" s="85"/>
      <c r="Q125" s="85"/>
      <c r="R125" s="85"/>
      <c r="S125" s="89"/>
      <c r="T125" s="89" t="s">
        <v>1124</v>
      </c>
      <c r="U125" s="85"/>
      <c r="V125" s="85"/>
      <c r="W125" s="85"/>
      <c r="X125" s="89" t="s">
        <v>1124</v>
      </c>
      <c r="Y125" s="79"/>
      <c r="Z125" s="79"/>
      <c r="AA125" s="94"/>
      <c r="AB125" s="79" t="s">
        <v>1124</v>
      </c>
      <c r="AC125" s="85"/>
      <c r="AD125" s="85"/>
      <c r="AE125" s="85"/>
      <c r="AF125" s="85"/>
      <c r="AG125" s="85" t="s">
        <v>1124</v>
      </c>
      <c r="AH125" s="85"/>
      <c r="AI125" s="85"/>
      <c r="AJ125" s="85"/>
      <c r="AK125" s="85"/>
      <c r="AL125" s="85"/>
      <c r="AM125" s="85"/>
      <c r="AN125" s="85"/>
      <c r="AO125" s="85"/>
      <c r="AP125" s="85"/>
      <c r="AQ125" s="85"/>
      <c r="AR125" s="85" t="s">
        <v>1124</v>
      </c>
      <c r="AS125" s="85"/>
      <c r="AT125" s="85"/>
      <c r="AU125" s="85"/>
      <c r="AV125" s="85"/>
      <c r="AW125" s="85"/>
      <c r="AX125" s="85"/>
      <c r="AY125" s="85"/>
      <c r="AZ125" s="85"/>
      <c r="BA125" s="85"/>
      <c r="BB125" s="89"/>
      <c r="BC125" s="89" t="s">
        <v>1124</v>
      </c>
      <c r="BD125" s="37"/>
      <c r="BE125" s="37"/>
      <c r="BF125" s="279"/>
      <c r="BG125" s="37"/>
      <c r="BH125" s="37"/>
      <c r="BI125" s="37"/>
      <c r="BJ125" s="283"/>
      <c r="BK125" s="161"/>
      <c r="BL125" s="294"/>
      <c r="BM125"/>
      <c r="BN125"/>
      <c r="BO125"/>
      <c r="BP125"/>
      <c r="BQ125"/>
      <c r="BR125"/>
      <c r="BS125"/>
      <c r="BT125"/>
      <c r="BU125"/>
      <c r="BV125"/>
      <c r="BW125"/>
      <c r="BX125"/>
      <c r="BY125"/>
      <c r="BZ125"/>
      <c r="CA125"/>
      <c r="CB125"/>
      <c r="CC125"/>
      <c r="CD125"/>
      <c r="CE125"/>
      <c r="CF125"/>
      <c r="CG125"/>
      <c r="CH125"/>
      <c r="CI125"/>
      <c r="CJ125"/>
    </row>
    <row r="126" spans="1:88" s="32" customFormat="1" ht="15" customHeight="1" x14ac:dyDescent="0.35">
      <c r="A126" s="473"/>
      <c r="B126" s="313">
        <v>44037</v>
      </c>
      <c r="C126" s="8" t="s">
        <v>403</v>
      </c>
      <c r="D126" s="18">
        <v>5</v>
      </c>
      <c r="E126" s="251"/>
      <c r="F126" s="82"/>
      <c r="G126" s="79"/>
      <c r="H126" s="90"/>
      <c r="I126" s="85"/>
      <c r="J126" s="85"/>
      <c r="K126" s="85"/>
      <c r="L126" s="85"/>
      <c r="M126" s="85"/>
      <c r="N126" s="85"/>
      <c r="O126" s="85"/>
      <c r="P126" s="85"/>
      <c r="Q126" s="85"/>
      <c r="R126" s="85"/>
      <c r="S126" s="89"/>
      <c r="T126" s="89" t="s">
        <v>1124</v>
      </c>
      <c r="U126" s="85"/>
      <c r="V126" s="85"/>
      <c r="W126" s="85"/>
      <c r="X126" s="89" t="s">
        <v>1124</v>
      </c>
      <c r="Y126" s="79"/>
      <c r="Z126" s="79"/>
      <c r="AA126" s="94"/>
      <c r="AB126" s="79" t="s">
        <v>1124</v>
      </c>
      <c r="AC126" s="85"/>
      <c r="AD126" s="85"/>
      <c r="AE126" s="85"/>
      <c r="AF126" s="85"/>
      <c r="AG126" s="85" t="s">
        <v>1124</v>
      </c>
      <c r="AH126" s="85"/>
      <c r="AI126" s="85"/>
      <c r="AJ126" s="85"/>
      <c r="AK126" s="85"/>
      <c r="AL126" s="85"/>
      <c r="AM126" s="85"/>
      <c r="AN126" s="85"/>
      <c r="AO126" s="85"/>
      <c r="AP126" s="85"/>
      <c r="AQ126" s="85"/>
      <c r="AR126" s="85" t="s">
        <v>1124</v>
      </c>
      <c r="AS126" s="85"/>
      <c r="AT126" s="85"/>
      <c r="AU126" s="85"/>
      <c r="AV126" s="85"/>
      <c r="AW126" s="85"/>
      <c r="AX126" s="85"/>
      <c r="AY126" s="85"/>
      <c r="AZ126" s="85"/>
      <c r="BA126" s="85"/>
      <c r="BB126" s="89"/>
      <c r="BC126" s="89" t="s">
        <v>1124</v>
      </c>
      <c r="BD126" s="37"/>
      <c r="BE126" s="37"/>
      <c r="BF126" s="279"/>
      <c r="BG126" s="37"/>
      <c r="BH126" s="37"/>
      <c r="BI126" s="37"/>
      <c r="BJ126" s="283"/>
      <c r="BK126" s="161"/>
      <c r="BL126" s="294"/>
      <c r="BM126"/>
      <c r="BN126"/>
      <c r="BO126"/>
      <c r="BP126"/>
      <c r="BQ126"/>
      <c r="BR126"/>
      <c r="BS126"/>
      <c r="BT126"/>
      <c r="BU126"/>
      <c r="BV126"/>
      <c r="BW126"/>
      <c r="BX126"/>
      <c r="BY126"/>
      <c r="BZ126"/>
      <c r="CA126"/>
      <c r="CB126"/>
      <c r="CC126"/>
      <c r="CD126"/>
      <c r="CE126"/>
      <c r="CF126"/>
      <c r="CG126"/>
      <c r="CH126"/>
      <c r="CI126"/>
      <c r="CJ126"/>
    </row>
    <row r="127" spans="1:88" s="32" customFormat="1" ht="15" customHeight="1" x14ac:dyDescent="0.35">
      <c r="A127" s="473"/>
      <c r="B127" s="313">
        <v>95050</v>
      </c>
      <c r="C127" s="8" t="s">
        <v>993</v>
      </c>
      <c r="D127" s="18">
        <v>9</v>
      </c>
      <c r="E127" s="251"/>
      <c r="F127" s="82"/>
      <c r="G127" s="79"/>
      <c r="H127" s="90"/>
      <c r="I127" s="85"/>
      <c r="J127" s="85"/>
      <c r="K127" s="85"/>
      <c r="L127" s="85"/>
      <c r="M127" s="85"/>
      <c r="N127" s="85"/>
      <c r="O127" s="85"/>
      <c r="P127" s="85"/>
      <c r="Q127" s="85"/>
      <c r="R127" s="85"/>
      <c r="S127" s="89"/>
      <c r="T127" s="89" t="s">
        <v>1124</v>
      </c>
      <c r="U127" s="85"/>
      <c r="V127" s="85"/>
      <c r="W127" s="85"/>
      <c r="X127" s="89" t="s">
        <v>1124</v>
      </c>
      <c r="Y127" s="79"/>
      <c r="Z127" s="79"/>
      <c r="AA127" s="94"/>
      <c r="AB127" s="79" t="s">
        <v>1124</v>
      </c>
      <c r="AC127" s="85"/>
      <c r="AD127" s="85"/>
      <c r="AE127" s="85"/>
      <c r="AF127" s="85"/>
      <c r="AG127" s="85" t="s">
        <v>1124</v>
      </c>
      <c r="AH127" s="85"/>
      <c r="AI127" s="85"/>
      <c r="AJ127" s="85"/>
      <c r="AK127" s="85"/>
      <c r="AL127" s="85"/>
      <c r="AM127" s="85"/>
      <c r="AN127" s="85"/>
      <c r="AO127" s="85"/>
      <c r="AP127" s="85"/>
      <c r="AQ127" s="85"/>
      <c r="AR127" s="85" t="s">
        <v>1124</v>
      </c>
      <c r="AS127" s="85"/>
      <c r="AT127" s="85"/>
      <c r="AU127" s="85"/>
      <c r="AV127" s="85"/>
      <c r="AW127" s="85"/>
      <c r="AX127" s="85"/>
      <c r="AY127" s="85"/>
      <c r="AZ127" s="85"/>
      <c r="BA127" s="85"/>
      <c r="BB127" s="89"/>
      <c r="BC127" s="89" t="s">
        <v>1124</v>
      </c>
      <c r="BD127" s="37"/>
      <c r="BE127" s="37"/>
      <c r="BF127" s="279"/>
      <c r="BG127" s="37"/>
      <c r="BH127" s="37"/>
      <c r="BI127" s="37"/>
      <c r="BJ127" s="283"/>
      <c r="BK127" s="161"/>
      <c r="BL127" s="294"/>
      <c r="BM127"/>
      <c r="BN127"/>
      <c r="BO127"/>
      <c r="BP127"/>
      <c r="BQ127"/>
      <c r="BR127"/>
      <c r="BS127"/>
      <c r="BT127"/>
      <c r="BU127"/>
      <c r="BV127"/>
      <c r="BW127"/>
      <c r="BX127"/>
      <c r="BY127"/>
      <c r="BZ127"/>
      <c r="CA127"/>
      <c r="CB127"/>
      <c r="CC127"/>
      <c r="CD127"/>
      <c r="CE127"/>
      <c r="CF127"/>
      <c r="CG127"/>
      <c r="CH127"/>
      <c r="CI127"/>
      <c r="CJ127"/>
    </row>
    <row r="128" spans="1:88" s="32" customFormat="1" ht="15" customHeight="1" x14ac:dyDescent="0.35">
      <c r="A128" s="473"/>
      <c r="B128" s="313">
        <v>44071</v>
      </c>
      <c r="C128" s="8" t="s">
        <v>408</v>
      </c>
      <c r="D128" s="18">
        <v>5</v>
      </c>
      <c r="E128" s="251">
        <v>583</v>
      </c>
      <c r="F128" s="82">
        <v>2.3626040878122634</v>
      </c>
      <c r="G128" s="79">
        <v>1377.3981831945496</v>
      </c>
      <c r="H128" s="90">
        <v>7.6342100000000004</v>
      </c>
      <c r="I128" s="85">
        <v>9.5735200000000003</v>
      </c>
      <c r="J128" s="85">
        <v>7.4219400000000002</v>
      </c>
      <c r="K128" s="85">
        <v>7.5768000000000004</v>
      </c>
      <c r="L128" s="85">
        <v>11.31898</v>
      </c>
      <c r="M128" s="85">
        <v>12.920959999999999</v>
      </c>
      <c r="N128" s="85">
        <v>14.647399999999999</v>
      </c>
      <c r="O128" s="85">
        <v>13.25426</v>
      </c>
      <c r="P128" s="85">
        <v>12.58337</v>
      </c>
      <c r="Q128" s="85">
        <v>11.795070000000001</v>
      </c>
      <c r="R128" s="85">
        <v>12.848750000000001</v>
      </c>
      <c r="S128" s="89">
        <v>11.64457</v>
      </c>
      <c r="T128" s="89">
        <v>133.21983</v>
      </c>
      <c r="U128" s="85">
        <v>0</v>
      </c>
      <c r="V128" s="85">
        <v>133.22</v>
      </c>
      <c r="W128" s="85">
        <v>0</v>
      </c>
      <c r="X128" s="89">
        <v>133.22</v>
      </c>
      <c r="Y128" s="79">
        <v>0</v>
      </c>
      <c r="Z128" s="79">
        <v>1</v>
      </c>
      <c r="AA128" s="94">
        <v>0</v>
      </c>
      <c r="AB128" s="79">
        <v>1</v>
      </c>
      <c r="AC128" s="85">
        <v>99.582999999999998</v>
      </c>
      <c r="AD128" s="85">
        <v>24.877000000000002</v>
      </c>
      <c r="AE128" s="85">
        <v>8.76</v>
      </c>
      <c r="AF128" s="85">
        <v>0</v>
      </c>
      <c r="AG128" s="85">
        <v>133.22</v>
      </c>
      <c r="AH128" s="85">
        <v>0</v>
      </c>
      <c r="AI128" s="85">
        <v>0</v>
      </c>
      <c r="AJ128" s="85">
        <v>0</v>
      </c>
      <c r="AK128" s="85">
        <v>0</v>
      </c>
      <c r="AL128" s="85">
        <v>0</v>
      </c>
      <c r="AM128" s="85">
        <v>0</v>
      </c>
      <c r="AN128" s="85">
        <v>0</v>
      </c>
      <c r="AO128" s="85">
        <v>0</v>
      </c>
      <c r="AP128" s="85">
        <v>0</v>
      </c>
      <c r="AQ128" s="85">
        <v>0</v>
      </c>
      <c r="AR128" s="85">
        <v>0</v>
      </c>
      <c r="AS128" s="85">
        <v>0</v>
      </c>
      <c r="AT128" s="85">
        <v>0</v>
      </c>
      <c r="AU128" s="85">
        <v>0</v>
      </c>
      <c r="AV128" s="85">
        <v>0</v>
      </c>
      <c r="AW128" s="85">
        <v>0</v>
      </c>
      <c r="AX128" s="85">
        <v>0</v>
      </c>
      <c r="AY128" s="85">
        <v>133.22</v>
      </c>
      <c r="AZ128" s="85">
        <v>0</v>
      </c>
      <c r="BA128" s="85">
        <v>0</v>
      </c>
      <c r="BB128" s="89">
        <v>0</v>
      </c>
      <c r="BC128" s="89">
        <v>133.22</v>
      </c>
      <c r="BD128" s="37">
        <v>0</v>
      </c>
      <c r="BE128" s="37">
        <v>0</v>
      </c>
      <c r="BF128" s="279">
        <v>40159</v>
      </c>
      <c r="BG128" s="37">
        <v>71199</v>
      </c>
      <c r="BH128" s="37">
        <v>0</v>
      </c>
      <c r="BI128" s="37">
        <v>101562</v>
      </c>
      <c r="BJ128" s="283">
        <v>212920</v>
      </c>
      <c r="BK128" s="161"/>
      <c r="BL128" s="294"/>
      <c r="BM128"/>
      <c r="BN128"/>
      <c r="BO128"/>
      <c r="BP128"/>
      <c r="BQ128"/>
      <c r="BR128"/>
      <c r="BS128"/>
      <c r="BT128"/>
      <c r="BU128"/>
      <c r="BV128"/>
      <c r="BW128"/>
      <c r="BX128"/>
      <c r="BY128"/>
      <c r="BZ128"/>
      <c r="CA128"/>
      <c r="CB128"/>
      <c r="CC128"/>
      <c r="CD128"/>
      <c r="CE128"/>
      <c r="CF128"/>
      <c r="CG128"/>
      <c r="CH128"/>
      <c r="CI128"/>
      <c r="CJ128"/>
    </row>
    <row r="129" spans="1:88" s="32" customFormat="1" ht="15" customHeight="1" x14ac:dyDescent="0.35">
      <c r="A129" s="473"/>
      <c r="B129" s="313">
        <v>59035</v>
      </c>
      <c r="C129" s="8" t="s">
        <v>604</v>
      </c>
      <c r="D129" s="18">
        <v>16</v>
      </c>
      <c r="E129" s="251">
        <v>4151</v>
      </c>
      <c r="F129" s="82">
        <v>2.335766423357664</v>
      </c>
      <c r="G129" s="79">
        <v>9695.7664233576634</v>
      </c>
      <c r="H129" s="90">
        <v>130.155</v>
      </c>
      <c r="I129" s="85">
        <v>121.48399999999999</v>
      </c>
      <c r="J129" s="85">
        <v>124.697</v>
      </c>
      <c r="K129" s="85">
        <v>104.751</v>
      </c>
      <c r="L129" s="85">
        <v>137.696</v>
      </c>
      <c r="M129" s="85">
        <v>150.93199999999999</v>
      </c>
      <c r="N129" s="85">
        <v>169.672</v>
      </c>
      <c r="O129" s="85">
        <v>168.19499999999999</v>
      </c>
      <c r="P129" s="85">
        <v>133.03100000000001</v>
      </c>
      <c r="Q129" s="85">
        <v>112.715</v>
      </c>
      <c r="R129" s="85">
        <v>100.05</v>
      </c>
      <c r="S129" s="89">
        <v>93.748999999999995</v>
      </c>
      <c r="T129" s="89">
        <v>1547.127</v>
      </c>
      <c r="U129" s="85">
        <v>1547.127</v>
      </c>
      <c r="V129" s="85">
        <v>0</v>
      </c>
      <c r="W129" s="85">
        <v>0</v>
      </c>
      <c r="X129" s="89">
        <v>1547.127</v>
      </c>
      <c r="Y129" s="79">
        <v>1</v>
      </c>
      <c r="Z129" s="79">
        <v>0</v>
      </c>
      <c r="AA129" s="94">
        <v>0</v>
      </c>
      <c r="AB129" s="79">
        <v>1</v>
      </c>
      <c r="AC129" s="85">
        <v>780.38800000000003</v>
      </c>
      <c r="AD129" s="85">
        <v>542.23259819587634</v>
      </c>
      <c r="AE129" s="85">
        <v>224.50640180412356</v>
      </c>
      <c r="AF129" s="85">
        <v>0</v>
      </c>
      <c r="AG129" s="85">
        <v>1547.127</v>
      </c>
      <c r="AH129" s="85">
        <v>1547.127</v>
      </c>
      <c r="AI129" s="85">
        <v>0</v>
      </c>
      <c r="AJ129" s="85">
        <v>0</v>
      </c>
      <c r="AK129" s="85">
        <v>0</v>
      </c>
      <c r="AL129" s="85">
        <v>0</v>
      </c>
      <c r="AM129" s="85">
        <v>0</v>
      </c>
      <c r="AN129" s="85">
        <v>0</v>
      </c>
      <c r="AO129" s="85">
        <v>0</v>
      </c>
      <c r="AP129" s="85">
        <v>0</v>
      </c>
      <c r="AQ129" s="85">
        <v>0</v>
      </c>
      <c r="AR129" s="85">
        <v>1547.127</v>
      </c>
      <c r="AS129" s="85">
        <v>0</v>
      </c>
      <c r="AT129" s="85">
        <v>0</v>
      </c>
      <c r="AU129" s="85">
        <v>0</v>
      </c>
      <c r="AV129" s="85">
        <v>0</v>
      </c>
      <c r="AW129" s="85">
        <v>0</v>
      </c>
      <c r="AX129" s="85">
        <v>0</v>
      </c>
      <c r="AY129" s="85">
        <v>0</v>
      </c>
      <c r="AZ129" s="85">
        <v>0</v>
      </c>
      <c r="BA129" s="85">
        <v>0</v>
      </c>
      <c r="BB129" s="89">
        <v>0</v>
      </c>
      <c r="BC129" s="89">
        <v>0</v>
      </c>
      <c r="BD129" s="37">
        <v>38295</v>
      </c>
      <c r="BE129" s="37">
        <v>61457</v>
      </c>
      <c r="BF129" s="279">
        <v>39324</v>
      </c>
      <c r="BG129" s="37">
        <v>544784</v>
      </c>
      <c r="BH129" s="37">
        <v>94916</v>
      </c>
      <c r="BI129" s="37">
        <v>8492</v>
      </c>
      <c r="BJ129" s="283">
        <v>687516</v>
      </c>
      <c r="BK129" s="161"/>
      <c r="BL129" s="294"/>
      <c r="BM129"/>
      <c r="BN129"/>
      <c r="BO129"/>
      <c r="BP129"/>
      <c r="BQ129"/>
      <c r="BR129"/>
      <c r="BS129"/>
      <c r="BT129"/>
      <c r="BU129"/>
      <c r="BV129"/>
      <c r="BW129"/>
      <c r="BX129"/>
      <c r="BY129"/>
      <c r="BZ129"/>
      <c r="CA129"/>
      <c r="CB129"/>
      <c r="CC129"/>
      <c r="CD129"/>
      <c r="CE129"/>
      <c r="CF129"/>
      <c r="CG129"/>
      <c r="CH129"/>
      <c r="CI129"/>
      <c r="CJ129"/>
    </row>
    <row r="130" spans="1:88" s="32" customFormat="1" ht="15" customHeight="1" x14ac:dyDescent="0.35">
      <c r="A130" s="473"/>
      <c r="B130" s="313">
        <v>41038</v>
      </c>
      <c r="C130" s="8" t="s">
        <v>369</v>
      </c>
      <c r="D130" s="18">
        <v>5</v>
      </c>
      <c r="E130" s="251">
        <v>1096</v>
      </c>
      <c r="F130" s="82">
        <v>2.3453050627434013</v>
      </c>
      <c r="G130" s="79">
        <v>2570.4543487667679</v>
      </c>
      <c r="H130" s="90">
        <v>40.929449999999996</v>
      </c>
      <c r="I130" s="85">
        <v>44.292790000000004</v>
      </c>
      <c r="J130" s="85">
        <v>44.055330000000005</v>
      </c>
      <c r="K130" s="85">
        <v>42.754300000000001</v>
      </c>
      <c r="L130" s="85">
        <v>44.660800000000002</v>
      </c>
      <c r="M130" s="85">
        <v>40.948539999999994</v>
      </c>
      <c r="N130" s="85">
        <v>41.824460000000009</v>
      </c>
      <c r="O130" s="85">
        <v>38.0991</v>
      </c>
      <c r="P130" s="85">
        <v>33.163249999999998</v>
      </c>
      <c r="Q130" s="85">
        <v>36.104699999999994</v>
      </c>
      <c r="R130" s="85">
        <v>36.001439999999995</v>
      </c>
      <c r="S130" s="89">
        <v>40.029100000000007</v>
      </c>
      <c r="T130" s="89">
        <v>482.86326000000003</v>
      </c>
      <c r="U130" s="85">
        <v>0</v>
      </c>
      <c r="V130" s="85">
        <v>482.86326000000003</v>
      </c>
      <c r="W130" s="85">
        <v>0</v>
      </c>
      <c r="X130" s="89">
        <v>482.86326000000003</v>
      </c>
      <c r="Y130" s="79">
        <v>0</v>
      </c>
      <c r="Z130" s="79">
        <v>3</v>
      </c>
      <c r="AA130" s="94">
        <v>0</v>
      </c>
      <c r="AB130" s="79">
        <v>3</v>
      </c>
      <c r="AC130" s="85">
        <v>183.81221255002859</v>
      </c>
      <c r="AD130" s="85">
        <v>34.472348914257111</v>
      </c>
      <c r="AE130" s="85">
        <v>264.5786985357143</v>
      </c>
      <c r="AF130" s="85">
        <v>0</v>
      </c>
      <c r="AG130" s="85">
        <v>482.86325999999997</v>
      </c>
      <c r="AH130" s="85">
        <v>0</v>
      </c>
      <c r="AI130" s="85">
        <v>0</v>
      </c>
      <c r="AJ130" s="85">
        <v>0</v>
      </c>
      <c r="AK130" s="85">
        <v>0</v>
      </c>
      <c r="AL130" s="85">
        <v>0</v>
      </c>
      <c r="AM130" s="85">
        <v>0</v>
      </c>
      <c r="AN130" s="85">
        <v>0</v>
      </c>
      <c r="AO130" s="85">
        <v>0</v>
      </c>
      <c r="AP130" s="85">
        <v>0</v>
      </c>
      <c r="AQ130" s="85">
        <v>0</v>
      </c>
      <c r="AR130" s="85">
        <v>0</v>
      </c>
      <c r="AS130" s="85">
        <v>0</v>
      </c>
      <c r="AT130" s="85">
        <v>0</v>
      </c>
      <c r="AU130" s="85">
        <v>0</v>
      </c>
      <c r="AV130" s="85">
        <v>0</v>
      </c>
      <c r="AW130" s="85">
        <v>0</v>
      </c>
      <c r="AX130" s="85">
        <v>0</v>
      </c>
      <c r="AY130" s="85">
        <v>376.94400000000002</v>
      </c>
      <c r="AZ130" s="85">
        <v>0</v>
      </c>
      <c r="BA130" s="85">
        <v>105.91926000000001</v>
      </c>
      <c r="BB130" s="89">
        <v>0</v>
      </c>
      <c r="BC130" s="89">
        <v>482.86326000000003</v>
      </c>
      <c r="BD130" s="37">
        <v>0</v>
      </c>
      <c r="BE130" s="37">
        <v>0</v>
      </c>
      <c r="BF130" s="279">
        <v>178473</v>
      </c>
      <c r="BG130" s="37">
        <v>339784</v>
      </c>
      <c r="BH130" s="37">
        <v>71378</v>
      </c>
      <c r="BI130" s="37">
        <v>0</v>
      </c>
      <c r="BJ130" s="283">
        <v>589635</v>
      </c>
      <c r="BK130" s="161"/>
      <c r="BL130" s="294"/>
      <c r="BM130"/>
      <c r="BN130"/>
      <c r="BO130"/>
      <c r="BP130"/>
      <c r="BQ130"/>
      <c r="BR130"/>
      <c r="BS130"/>
      <c r="BT130"/>
      <c r="BU130"/>
      <c r="BV130"/>
      <c r="BW130"/>
      <c r="BX130"/>
      <c r="BY130"/>
      <c r="BZ130"/>
      <c r="CA130"/>
      <c r="CB130"/>
      <c r="CC130"/>
      <c r="CD130"/>
      <c r="CE130"/>
      <c r="CF130"/>
      <c r="CG130"/>
      <c r="CH130"/>
      <c r="CI130"/>
      <c r="CJ130"/>
    </row>
    <row r="131" spans="1:88" s="32" customFormat="1" ht="15" customHeight="1" x14ac:dyDescent="0.35">
      <c r="A131" s="473"/>
      <c r="B131" s="313">
        <v>71040</v>
      </c>
      <c r="C131" s="8" t="s">
        <v>709</v>
      </c>
      <c r="D131" s="18">
        <v>16</v>
      </c>
      <c r="E131" s="251">
        <v>2690</v>
      </c>
      <c r="F131" s="82">
        <v>2.6305779078273592</v>
      </c>
      <c r="G131" s="79">
        <v>7076.2545720555963</v>
      </c>
      <c r="H131" s="90">
        <v>58.622</v>
      </c>
      <c r="I131" s="85">
        <v>52.93</v>
      </c>
      <c r="J131" s="85">
        <v>63.076999999999998</v>
      </c>
      <c r="K131" s="85">
        <v>63.088000000000001</v>
      </c>
      <c r="L131" s="85">
        <v>76.319999999999993</v>
      </c>
      <c r="M131" s="85">
        <v>86.281000000000006</v>
      </c>
      <c r="N131" s="85">
        <v>106.378</v>
      </c>
      <c r="O131" s="85">
        <v>99.584999999999994</v>
      </c>
      <c r="P131" s="85">
        <v>72.289000000000001</v>
      </c>
      <c r="Q131" s="85">
        <v>73.47</v>
      </c>
      <c r="R131" s="85">
        <v>85.623999999999995</v>
      </c>
      <c r="S131" s="89">
        <v>76.542000000000002</v>
      </c>
      <c r="T131" s="89">
        <v>914.20600000000002</v>
      </c>
      <c r="U131" s="85">
        <v>914.20600000000002</v>
      </c>
      <c r="V131" s="85">
        <v>0</v>
      </c>
      <c r="W131" s="85">
        <v>0</v>
      </c>
      <c r="X131" s="89">
        <v>914.20600000000002</v>
      </c>
      <c r="Y131" s="79">
        <v>2</v>
      </c>
      <c r="Z131" s="79">
        <v>0</v>
      </c>
      <c r="AA131" s="94">
        <v>0</v>
      </c>
      <c r="AB131" s="79">
        <v>2</v>
      </c>
      <c r="AC131" s="85">
        <v>687.10976627112552</v>
      </c>
      <c r="AD131" s="85">
        <v>137.36701918805829</v>
      </c>
      <c r="AE131" s="85">
        <v>89.72921454081623</v>
      </c>
      <c r="AF131" s="85">
        <v>0</v>
      </c>
      <c r="AG131" s="85">
        <v>914.20600000000002</v>
      </c>
      <c r="AH131" s="85">
        <v>0</v>
      </c>
      <c r="AI131" s="85">
        <v>523.26800000000003</v>
      </c>
      <c r="AJ131" s="85">
        <v>0</v>
      </c>
      <c r="AK131" s="85">
        <v>390.93799999999999</v>
      </c>
      <c r="AL131" s="85">
        <v>0</v>
      </c>
      <c r="AM131" s="85">
        <v>0</v>
      </c>
      <c r="AN131" s="85">
        <v>0</v>
      </c>
      <c r="AO131" s="85">
        <v>0</v>
      </c>
      <c r="AP131" s="85">
        <v>0</v>
      </c>
      <c r="AQ131" s="85">
        <v>0</v>
      </c>
      <c r="AR131" s="85">
        <v>914.20600000000002</v>
      </c>
      <c r="AS131" s="85">
        <v>0</v>
      </c>
      <c r="AT131" s="85">
        <v>0</v>
      </c>
      <c r="AU131" s="85">
        <v>0</v>
      </c>
      <c r="AV131" s="85">
        <v>0</v>
      </c>
      <c r="AW131" s="85">
        <v>0</v>
      </c>
      <c r="AX131" s="85">
        <v>0</v>
      </c>
      <c r="AY131" s="85">
        <v>0</v>
      </c>
      <c r="AZ131" s="85">
        <v>0</v>
      </c>
      <c r="BA131" s="85">
        <v>0</v>
      </c>
      <c r="BB131" s="89">
        <v>0</v>
      </c>
      <c r="BC131" s="89">
        <v>0</v>
      </c>
      <c r="BD131" s="37">
        <v>18664</v>
      </c>
      <c r="BE131" s="37">
        <v>134668</v>
      </c>
      <c r="BF131" s="279">
        <v>133825</v>
      </c>
      <c r="BG131" s="37">
        <v>165054</v>
      </c>
      <c r="BH131" s="37">
        <v>71748</v>
      </c>
      <c r="BI131" s="37">
        <v>29272</v>
      </c>
      <c r="BJ131" s="283">
        <v>399899</v>
      </c>
      <c r="BK131" s="161"/>
      <c r="BL131" s="294"/>
      <c r="BM131"/>
      <c r="BN131"/>
      <c r="BO131"/>
      <c r="BP131"/>
      <c r="BQ131"/>
      <c r="BR131"/>
      <c r="BS131"/>
      <c r="BT131"/>
      <c r="BU131"/>
      <c r="BV131"/>
      <c r="BW131"/>
      <c r="BX131"/>
      <c r="BY131"/>
      <c r="BZ131"/>
      <c r="CA131"/>
      <c r="CB131"/>
      <c r="CC131"/>
      <c r="CD131"/>
      <c r="CE131"/>
      <c r="CF131"/>
      <c r="CG131"/>
      <c r="CH131"/>
      <c r="CI131"/>
      <c r="CJ131"/>
    </row>
    <row r="132" spans="1:88" s="32" customFormat="1" ht="15" customHeight="1" x14ac:dyDescent="0.35">
      <c r="A132" s="473"/>
      <c r="B132" s="313">
        <v>98015</v>
      </c>
      <c r="C132" s="8" t="s">
        <v>1010</v>
      </c>
      <c r="D132" s="18">
        <v>9</v>
      </c>
      <c r="E132" s="251"/>
      <c r="F132" s="82"/>
      <c r="G132" s="79"/>
      <c r="H132" s="90"/>
      <c r="I132" s="85"/>
      <c r="J132" s="85"/>
      <c r="K132" s="85"/>
      <c r="L132" s="85"/>
      <c r="M132" s="85"/>
      <c r="N132" s="85"/>
      <c r="O132" s="85"/>
      <c r="P132" s="85"/>
      <c r="Q132" s="85"/>
      <c r="R132" s="85"/>
      <c r="S132" s="89"/>
      <c r="T132" s="89" t="s">
        <v>1124</v>
      </c>
      <c r="U132" s="85"/>
      <c r="V132" s="85"/>
      <c r="W132" s="85"/>
      <c r="X132" s="89" t="s">
        <v>1124</v>
      </c>
      <c r="Y132" s="79"/>
      <c r="Z132" s="79"/>
      <c r="AA132" s="94"/>
      <c r="AB132" s="79" t="s">
        <v>1124</v>
      </c>
      <c r="AC132" s="85"/>
      <c r="AD132" s="85"/>
      <c r="AE132" s="85"/>
      <c r="AF132" s="85"/>
      <c r="AG132" s="85" t="s">
        <v>1124</v>
      </c>
      <c r="AH132" s="85"/>
      <c r="AI132" s="85"/>
      <c r="AJ132" s="85"/>
      <c r="AK132" s="85"/>
      <c r="AL132" s="85"/>
      <c r="AM132" s="85"/>
      <c r="AN132" s="85"/>
      <c r="AO132" s="85"/>
      <c r="AP132" s="85"/>
      <c r="AQ132" s="85"/>
      <c r="AR132" s="85" t="s">
        <v>1124</v>
      </c>
      <c r="AS132" s="85"/>
      <c r="AT132" s="85"/>
      <c r="AU132" s="85"/>
      <c r="AV132" s="85"/>
      <c r="AW132" s="85"/>
      <c r="AX132" s="85"/>
      <c r="AY132" s="85"/>
      <c r="AZ132" s="85"/>
      <c r="BA132" s="85"/>
      <c r="BB132" s="89"/>
      <c r="BC132" s="89" t="s">
        <v>1124</v>
      </c>
      <c r="BD132" s="37"/>
      <c r="BE132" s="37"/>
      <c r="BF132" s="279"/>
      <c r="BG132" s="37"/>
      <c r="BH132" s="37"/>
      <c r="BI132" s="37"/>
      <c r="BJ132" s="283"/>
      <c r="BK132" s="161"/>
      <c r="BL132" s="294"/>
      <c r="BM132"/>
      <c r="BN132"/>
      <c r="BO132"/>
      <c r="BP132"/>
      <c r="BQ132"/>
      <c r="BR132"/>
      <c r="BS132"/>
      <c r="BT132"/>
      <c r="BU132"/>
      <c r="BV132"/>
      <c r="BW132"/>
      <c r="BX132"/>
      <c r="BY132"/>
      <c r="BZ132"/>
      <c r="CA132"/>
      <c r="CB132"/>
      <c r="CC132"/>
      <c r="CD132"/>
      <c r="CE132"/>
      <c r="CF132"/>
      <c r="CG132"/>
      <c r="CH132"/>
      <c r="CI132"/>
      <c r="CJ132"/>
    </row>
    <row r="133" spans="1:88" s="32" customFormat="1" ht="15" customHeight="1" x14ac:dyDescent="0.35">
      <c r="A133" s="473"/>
      <c r="B133" s="313">
        <v>66058</v>
      </c>
      <c r="C133" s="8" t="s">
        <v>651</v>
      </c>
      <c r="D133" s="18">
        <v>6</v>
      </c>
      <c r="E133" s="251"/>
      <c r="F133" s="82"/>
      <c r="G133" s="79"/>
      <c r="H133" s="90"/>
      <c r="I133" s="85"/>
      <c r="J133" s="85"/>
      <c r="K133" s="85"/>
      <c r="L133" s="85"/>
      <c r="M133" s="85"/>
      <c r="N133" s="85"/>
      <c r="O133" s="85"/>
      <c r="P133" s="85"/>
      <c r="Q133" s="85"/>
      <c r="R133" s="85"/>
      <c r="S133" s="89"/>
      <c r="T133" s="89" t="s">
        <v>1124</v>
      </c>
      <c r="U133" s="85"/>
      <c r="V133" s="85"/>
      <c r="W133" s="85"/>
      <c r="X133" s="89" t="s">
        <v>1124</v>
      </c>
      <c r="Y133" s="79"/>
      <c r="Z133" s="79"/>
      <c r="AA133" s="94"/>
      <c r="AB133" s="79" t="s">
        <v>1124</v>
      </c>
      <c r="AC133" s="85"/>
      <c r="AD133" s="85"/>
      <c r="AE133" s="85"/>
      <c r="AF133" s="85"/>
      <c r="AG133" s="85" t="s">
        <v>1124</v>
      </c>
      <c r="AH133" s="85"/>
      <c r="AI133" s="85"/>
      <c r="AJ133" s="85"/>
      <c r="AK133" s="85"/>
      <c r="AL133" s="85"/>
      <c r="AM133" s="85"/>
      <c r="AN133" s="85"/>
      <c r="AO133" s="85"/>
      <c r="AP133" s="85"/>
      <c r="AQ133" s="85"/>
      <c r="AR133" s="85" t="s">
        <v>1124</v>
      </c>
      <c r="AS133" s="85"/>
      <c r="AT133" s="85"/>
      <c r="AU133" s="85"/>
      <c r="AV133" s="85"/>
      <c r="AW133" s="85"/>
      <c r="AX133" s="85"/>
      <c r="AY133" s="85"/>
      <c r="AZ133" s="85"/>
      <c r="BA133" s="85"/>
      <c r="BB133" s="89"/>
      <c r="BC133" s="89" t="s">
        <v>1124</v>
      </c>
      <c r="BD133" s="37"/>
      <c r="BE133" s="37"/>
      <c r="BF133" s="279"/>
      <c r="BG133" s="37"/>
      <c r="BH133" s="37"/>
      <c r="BI133" s="37"/>
      <c r="BJ133" s="283"/>
      <c r="BK133" s="161"/>
      <c r="BL133" s="294"/>
      <c r="BM133"/>
      <c r="BN133"/>
      <c r="BO133"/>
      <c r="BP133"/>
      <c r="BQ133"/>
      <c r="BR133"/>
      <c r="BS133"/>
      <c r="BT133"/>
      <c r="BU133"/>
      <c r="BV133"/>
      <c r="BW133"/>
      <c r="BX133"/>
      <c r="BY133"/>
      <c r="BZ133"/>
      <c r="CA133"/>
      <c r="CB133"/>
      <c r="CC133"/>
      <c r="CD133"/>
      <c r="CE133"/>
      <c r="CF133"/>
      <c r="CG133"/>
      <c r="CH133"/>
      <c r="CI133"/>
      <c r="CJ133"/>
    </row>
    <row r="134" spans="1:88" s="32" customFormat="1" ht="15" customHeight="1" x14ac:dyDescent="0.35">
      <c r="A134" s="473"/>
      <c r="B134" s="313">
        <v>30090</v>
      </c>
      <c r="C134" s="8" t="s">
        <v>232</v>
      </c>
      <c r="D134" s="18">
        <v>5</v>
      </c>
      <c r="E134" s="251">
        <v>251</v>
      </c>
      <c r="F134" s="82">
        <v>1.9582309582309583</v>
      </c>
      <c r="G134" s="79">
        <v>491.51597051597054</v>
      </c>
      <c r="H134" s="90">
        <v>4.9779999999999998</v>
      </c>
      <c r="I134" s="85">
        <v>4.3540000000000001</v>
      </c>
      <c r="J134" s="85">
        <v>6.7830000000000004</v>
      </c>
      <c r="K134" s="85">
        <v>5.9219999999999997</v>
      </c>
      <c r="L134" s="85">
        <v>4.7619999999999996</v>
      </c>
      <c r="M134" s="85">
        <v>6.0590000000000002</v>
      </c>
      <c r="N134" s="85">
        <v>4.0510000000000002</v>
      </c>
      <c r="O134" s="85">
        <v>3.8260000000000001</v>
      </c>
      <c r="P134" s="85">
        <v>3.8380000000000001</v>
      </c>
      <c r="Q134" s="85">
        <v>3.71</v>
      </c>
      <c r="R134" s="85">
        <v>3.7469999999999999</v>
      </c>
      <c r="S134" s="89">
        <v>3.6850000000000001</v>
      </c>
      <c r="T134" s="89">
        <v>55.715000000000011</v>
      </c>
      <c r="U134" s="85">
        <v>0</v>
      </c>
      <c r="V134" s="85">
        <v>55.715000000000011</v>
      </c>
      <c r="W134" s="85">
        <v>0</v>
      </c>
      <c r="X134" s="89">
        <v>55.715000000000011</v>
      </c>
      <c r="Y134" s="79">
        <v>0</v>
      </c>
      <c r="Z134" s="79">
        <v>1</v>
      </c>
      <c r="AA134" s="94">
        <v>0</v>
      </c>
      <c r="AB134" s="79">
        <v>1</v>
      </c>
      <c r="AC134" s="85">
        <v>30.858000000000001</v>
      </c>
      <c r="AD134" s="85">
        <v>12.975898788659801</v>
      </c>
      <c r="AE134" s="85">
        <v>11.881101211340209</v>
      </c>
      <c r="AF134" s="85">
        <v>0</v>
      </c>
      <c r="AG134" s="85">
        <v>55.715000000000011</v>
      </c>
      <c r="AH134" s="85">
        <v>0</v>
      </c>
      <c r="AI134" s="85">
        <v>0</v>
      </c>
      <c r="AJ134" s="85">
        <v>0</v>
      </c>
      <c r="AK134" s="85">
        <v>0</v>
      </c>
      <c r="AL134" s="85">
        <v>0</v>
      </c>
      <c r="AM134" s="85">
        <v>0</v>
      </c>
      <c r="AN134" s="85">
        <v>0</v>
      </c>
      <c r="AO134" s="85">
        <v>0</v>
      </c>
      <c r="AP134" s="85">
        <v>0</v>
      </c>
      <c r="AQ134" s="85">
        <v>0</v>
      </c>
      <c r="AR134" s="85">
        <v>0</v>
      </c>
      <c r="AS134" s="85">
        <v>0</v>
      </c>
      <c r="AT134" s="85">
        <v>0</v>
      </c>
      <c r="AU134" s="85">
        <v>0</v>
      </c>
      <c r="AV134" s="85">
        <v>0</v>
      </c>
      <c r="AW134" s="85">
        <v>0</v>
      </c>
      <c r="AX134" s="85">
        <v>0</v>
      </c>
      <c r="AY134" s="85">
        <v>0</v>
      </c>
      <c r="AZ134" s="85">
        <v>55.715000000000011</v>
      </c>
      <c r="BA134" s="85">
        <v>0</v>
      </c>
      <c r="BB134" s="89">
        <v>0</v>
      </c>
      <c r="BC134" s="89">
        <v>55.715000000000011</v>
      </c>
      <c r="BD134" s="37">
        <v>0</v>
      </c>
      <c r="BE134" s="37">
        <v>0</v>
      </c>
      <c r="BF134" s="279">
        <v>24570</v>
      </c>
      <c r="BG134" s="37">
        <v>53478</v>
      </c>
      <c r="BH134" s="37">
        <v>16896</v>
      </c>
      <c r="BI134" s="37">
        <v>7641</v>
      </c>
      <c r="BJ134" s="283">
        <v>102585</v>
      </c>
      <c r="BK134" s="161"/>
      <c r="BL134" s="294"/>
      <c r="BM134"/>
      <c r="BN134"/>
      <c r="BO134"/>
      <c r="BP134"/>
      <c r="BQ134"/>
      <c r="BR134"/>
      <c r="BS134"/>
      <c r="BT134"/>
      <c r="BU134"/>
      <c r="BV134"/>
      <c r="BW134"/>
      <c r="BX134"/>
      <c r="BY134"/>
      <c r="BZ134"/>
      <c r="CA134"/>
      <c r="CB134"/>
      <c r="CC134"/>
      <c r="CD134"/>
      <c r="CE134"/>
      <c r="CF134"/>
      <c r="CG134"/>
      <c r="CH134"/>
      <c r="CI134"/>
      <c r="CJ134"/>
    </row>
    <row r="135" spans="1:88" s="32" customFormat="1" ht="15" customHeight="1" x14ac:dyDescent="0.35">
      <c r="A135" s="473"/>
      <c r="B135" s="313">
        <v>46080</v>
      </c>
      <c r="C135" s="8" t="s">
        <v>441</v>
      </c>
      <c r="D135" s="18">
        <v>5</v>
      </c>
      <c r="E135" s="251">
        <v>6642</v>
      </c>
      <c r="F135" s="82">
        <v>2.1897787948131198</v>
      </c>
      <c r="G135" s="79">
        <v>14544.510755148742</v>
      </c>
      <c r="H135" s="90">
        <v>217.52099999999999</v>
      </c>
      <c r="I135" s="85">
        <v>186.148</v>
      </c>
      <c r="J135" s="85">
        <v>228.779</v>
      </c>
      <c r="K135" s="85">
        <v>204.11</v>
      </c>
      <c r="L135" s="85">
        <v>214.97499999999999</v>
      </c>
      <c r="M135" s="85">
        <v>223.316</v>
      </c>
      <c r="N135" s="85">
        <v>238.46899999999999</v>
      </c>
      <c r="O135" s="85">
        <v>218.946</v>
      </c>
      <c r="P135" s="85">
        <v>199.71299999999999</v>
      </c>
      <c r="Q135" s="85">
        <v>205.20699999999999</v>
      </c>
      <c r="R135" s="85">
        <v>192.56200000000001</v>
      </c>
      <c r="S135" s="89">
        <v>215.655</v>
      </c>
      <c r="T135" s="89">
        <v>2545.4009999999998</v>
      </c>
      <c r="U135" s="85">
        <v>2545.4009999999998</v>
      </c>
      <c r="V135" s="85">
        <v>0</v>
      </c>
      <c r="W135" s="85">
        <v>0</v>
      </c>
      <c r="X135" s="89">
        <v>2545.4009999999998</v>
      </c>
      <c r="Y135" s="79">
        <v>1</v>
      </c>
      <c r="Z135" s="79">
        <v>0</v>
      </c>
      <c r="AA135" s="94">
        <v>0</v>
      </c>
      <c r="AB135" s="79">
        <v>1</v>
      </c>
      <c r="AC135" s="85">
        <v>1451</v>
      </c>
      <c r="AD135" s="85">
        <v>585</v>
      </c>
      <c r="AE135" s="85">
        <v>509</v>
      </c>
      <c r="AF135" s="85">
        <v>0</v>
      </c>
      <c r="AG135" s="85">
        <v>2545</v>
      </c>
      <c r="AH135" s="85">
        <v>2545.4009999999998</v>
      </c>
      <c r="AI135" s="85">
        <v>0</v>
      </c>
      <c r="AJ135" s="85">
        <v>0</v>
      </c>
      <c r="AK135" s="85">
        <v>0</v>
      </c>
      <c r="AL135" s="85">
        <v>0</v>
      </c>
      <c r="AM135" s="85">
        <v>0</v>
      </c>
      <c r="AN135" s="85">
        <v>0</v>
      </c>
      <c r="AO135" s="85">
        <v>0</v>
      </c>
      <c r="AP135" s="85">
        <v>0</v>
      </c>
      <c r="AQ135" s="85">
        <v>0</v>
      </c>
      <c r="AR135" s="85">
        <v>2545.4009999999998</v>
      </c>
      <c r="AS135" s="85">
        <v>0</v>
      </c>
      <c r="AT135" s="85">
        <v>0</v>
      </c>
      <c r="AU135" s="85">
        <v>0</v>
      </c>
      <c r="AV135" s="85">
        <v>0</v>
      </c>
      <c r="AW135" s="85">
        <v>0</v>
      </c>
      <c r="AX135" s="85">
        <v>0</v>
      </c>
      <c r="AY135" s="85">
        <v>0</v>
      </c>
      <c r="AZ135" s="85">
        <v>0</v>
      </c>
      <c r="BA135" s="85">
        <v>0</v>
      </c>
      <c r="BB135" s="89">
        <v>0</v>
      </c>
      <c r="BC135" s="89">
        <v>0</v>
      </c>
      <c r="BD135" s="37">
        <v>0</v>
      </c>
      <c r="BE135" s="37">
        <v>0</v>
      </c>
      <c r="BF135" s="279">
        <v>216534</v>
      </c>
      <c r="BG135" s="37">
        <v>344305</v>
      </c>
      <c r="BH135" s="37">
        <v>179797</v>
      </c>
      <c r="BI135" s="37">
        <v>18472</v>
      </c>
      <c r="BJ135" s="283">
        <v>759108</v>
      </c>
      <c r="BK135" s="161"/>
      <c r="BL135" s="294"/>
      <c r="BM135"/>
      <c r="BN135"/>
      <c r="BO135"/>
      <c r="BP135"/>
      <c r="BQ135"/>
      <c r="BR135"/>
      <c r="BS135"/>
      <c r="BT135"/>
      <c r="BU135"/>
      <c r="BV135"/>
      <c r="BW135"/>
      <c r="BX135"/>
      <c r="BY135"/>
      <c r="BZ135"/>
      <c r="CA135"/>
      <c r="CB135"/>
      <c r="CC135"/>
      <c r="CD135"/>
      <c r="CE135"/>
      <c r="CF135"/>
      <c r="CG135"/>
      <c r="CH135"/>
      <c r="CI135"/>
      <c r="CJ135"/>
    </row>
    <row r="136" spans="1:88" s="32" customFormat="1" ht="15" customHeight="1" x14ac:dyDescent="0.35">
      <c r="A136" s="473"/>
      <c r="B136" s="313">
        <v>61013</v>
      </c>
      <c r="C136" s="8" t="s">
        <v>610</v>
      </c>
      <c r="D136" s="18">
        <v>14</v>
      </c>
      <c r="E136" s="251">
        <v>1294</v>
      </c>
      <c r="F136" s="82">
        <v>2.5479129999999999</v>
      </c>
      <c r="G136" s="79">
        <v>3296.9994219999999</v>
      </c>
      <c r="H136" s="90">
        <v>27.161000000000001</v>
      </c>
      <c r="I136" s="85">
        <v>24.591000000000001</v>
      </c>
      <c r="J136" s="85">
        <v>27.593</v>
      </c>
      <c r="K136" s="85">
        <v>27.58</v>
      </c>
      <c r="L136" s="85">
        <v>34.561</v>
      </c>
      <c r="M136" s="85">
        <v>39.454000000000001</v>
      </c>
      <c r="N136" s="85">
        <v>45.377000000000002</v>
      </c>
      <c r="O136" s="85">
        <v>43.078000000000003</v>
      </c>
      <c r="P136" s="85">
        <v>30.155000000000001</v>
      </c>
      <c r="Q136" s="85">
        <v>27.096</v>
      </c>
      <c r="R136" s="85">
        <v>25.359000000000002</v>
      </c>
      <c r="S136" s="89">
        <v>25.832000000000001</v>
      </c>
      <c r="T136" s="89">
        <v>377.83699999999993</v>
      </c>
      <c r="U136" s="85">
        <v>377.83699999999999</v>
      </c>
      <c r="V136" s="85">
        <v>0</v>
      </c>
      <c r="W136" s="85">
        <v>0</v>
      </c>
      <c r="X136" s="89">
        <v>377.83699999999999</v>
      </c>
      <c r="Y136" s="79">
        <v>1</v>
      </c>
      <c r="Z136" s="79">
        <v>0</v>
      </c>
      <c r="AA136" s="94">
        <v>0</v>
      </c>
      <c r="AB136" s="79">
        <v>1</v>
      </c>
      <c r="AC136" s="85">
        <v>247.97</v>
      </c>
      <c r="AD136" s="85">
        <v>120.858</v>
      </c>
      <c r="AE136" s="85">
        <v>9.0090000000000003</v>
      </c>
      <c r="AF136" s="85">
        <v>0</v>
      </c>
      <c r="AG136" s="85">
        <v>377.83699999999999</v>
      </c>
      <c r="AH136" s="85">
        <v>377.83699999999999</v>
      </c>
      <c r="AI136" s="85">
        <v>0</v>
      </c>
      <c r="AJ136" s="85">
        <v>0</v>
      </c>
      <c r="AK136" s="85">
        <v>0</v>
      </c>
      <c r="AL136" s="85">
        <v>0</v>
      </c>
      <c r="AM136" s="85">
        <v>0</v>
      </c>
      <c r="AN136" s="85">
        <v>0</v>
      </c>
      <c r="AO136" s="85">
        <v>0</v>
      </c>
      <c r="AP136" s="85">
        <v>0</v>
      </c>
      <c r="AQ136" s="85">
        <v>0</v>
      </c>
      <c r="AR136" s="85">
        <v>377.83699999999999</v>
      </c>
      <c r="AS136" s="85">
        <v>0</v>
      </c>
      <c r="AT136" s="85">
        <v>0</v>
      </c>
      <c r="AU136" s="85">
        <v>0</v>
      </c>
      <c r="AV136" s="85">
        <v>0</v>
      </c>
      <c r="AW136" s="85">
        <v>0</v>
      </c>
      <c r="AX136" s="85">
        <v>0</v>
      </c>
      <c r="AY136" s="85">
        <v>0</v>
      </c>
      <c r="AZ136" s="85">
        <v>0</v>
      </c>
      <c r="BA136" s="85">
        <v>0</v>
      </c>
      <c r="BB136" s="89">
        <v>0</v>
      </c>
      <c r="BC136" s="89">
        <v>0</v>
      </c>
      <c r="BD136" s="37">
        <v>0</v>
      </c>
      <c r="BE136" s="37">
        <v>0</v>
      </c>
      <c r="BF136" s="279">
        <v>65647</v>
      </c>
      <c r="BG136" s="37">
        <v>142906</v>
      </c>
      <c r="BH136" s="37">
        <v>37869</v>
      </c>
      <c r="BI136" s="37">
        <v>22181</v>
      </c>
      <c r="BJ136" s="283">
        <v>268603</v>
      </c>
      <c r="BK136" s="161"/>
      <c r="BL136" s="294"/>
      <c r="BM136"/>
      <c r="BN136"/>
      <c r="BO136"/>
      <c r="BP136"/>
      <c r="BQ136"/>
      <c r="BR136"/>
      <c r="BS136"/>
      <c r="BT136"/>
      <c r="BU136"/>
      <c r="BV136"/>
      <c r="BW136"/>
      <c r="BX136"/>
      <c r="BY136"/>
      <c r="BZ136"/>
      <c r="CA136"/>
      <c r="CB136"/>
      <c r="CC136"/>
      <c r="CD136"/>
      <c r="CE136"/>
      <c r="CF136"/>
      <c r="CG136"/>
      <c r="CH136"/>
      <c r="CI136"/>
      <c r="CJ136"/>
    </row>
    <row r="137" spans="1:88" s="32" customFormat="1" ht="15" customHeight="1" x14ac:dyDescent="0.35">
      <c r="A137" s="473"/>
      <c r="B137" s="313">
        <v>40047</v>
      </c>
      <c r="C137" s="8" t="s">
        <v>364</v>
      </c>
      <c r="D137" s="18">
        <v>5</v>
      </c>
      <c r="E137" s="251"/>
      <c r="F137" s="82"/>
      <c r="G137" s="79"/>
      <c r="H137" s="90"/>
      <c r="I137" s="85"/>
      <c r="J137" s="85"/>
      <c r="K137" s="85"/>
      <c r="L137" s="85"/>
      <c r="M137" s="85"/>
      <c r="N137" s="85"/>
      <c r="O137" s="85"/>
      <c r="P137" s="85"/>
      <c r="Q137" s="85"/>
      <c r="R137" s="85"/>
      <c r="S137" s="89"/>
      <c r="T137" s="89" t="s">
        <v>1124</v>
      </c>
      <c r="U137" s="85"/>
      <c r="V137" s="85"/>
      <c r="W137" s="85"/>
      <c r="X137" s="89" t="s">
        <v>1124</v>
      </c>
      <c r="Y137" s="79"/>
      <c r="Z137" s="79"/>
      <c r="AA137" s="94"/>
      <c r="AB137" s="79" t="s">
        <v>1124</v>
      </c>
      <c r="AC137" s="85"/>
      <c r="AD137" s="85"/>
      <c r="AE137" s="85"/>
      <c r="AF137" s="85"/>
      <c r="AG137" s="85" t="s">
        <v>1124</v>
      </c>
      <c r="AH137" s="85"/>
      <c r="AI137" s="85"/>
      <c r="AJ137" s="85"/>
      <c r="AK137" s="85"/>
      <c r="AL137" s="85"/>
      <c r="AM137" s="85"/>
      <c r="AN137" s="85"/>
      <c r="AO137" s="85"/>
      <c r="AP137" s="85"/>
      <c r="AQ137" s="85"/>
      <c r="AR137" s="85" t="s">
        <v>1124</v>
      </c>
      <c r="AS137" s="85"/>
      <c r="AT137" s="85"/>
      <c r="AU137" s="85"/>
      <c r="AV137" s="85"/>
      <c r="AW137" s="85"/>
      <c r="AX137" s="85"/>
      <c r="AY137" s="85"/>
      <c r="AZ137" s="85"/>
      <c r="BA137" s="85"/>
      <c r="BB137" s="89"/>
      <c r="BC137" s="89" t="s">
        <v>1124</v>
      </c>
      <c r="BD137" s="37"/>
      <c r="BE137" s="37"/>
      <c r="BF137" s="279"/>
      <c r="BG137" s="37"/>
      <c r="BH137" s="37"/>
      <c r="BI137" s="37"/>
      <c r="BJ137" s="283"/>
      <c r="BK137" s="161"/>
      <c r="BL137" s="294"/>
      <c r="BM137"/>
      <c r="BN137"/>
      <c r="BO137"/>
      <c r="BP137"/>
      <c r="BQ137"/>
      <c r="BR137"/>
      <c r="BS137"/>
      <c r="BT137"/>
      <c r="BU137"/>
      <c r="BV137"/>
      <c r="BW137"/>
      <c r="BX137"/>
      <c r="BY137"/>
      <c r="BZ137"/>
      <c r="CA137"/>
      <c r="CB137"/>
      <c r="CC137"/>
      <c r="CD137"/>
      <c r="CE137"/>
      <c r="CF137"/>
      <c r="CG137"/>
      <c r="CH137"/>
      <c r="CI137"/>
      <c r="CJ137"/>
    </row>
    <row r="138" spans="1:88" s="32" customFormat="1" ht="15" customHeight="1" x14ac:dyDescent="0.35">
      <c r="A138" s="473"/>
      <c r="B138" s="313">
        <v>39152</v>
      </c>
      <c r="C138" s="8" t="s">
        <v>356</v>
      </c>
      <c r="D138" s="21">
        <v>17</v>
      </c>
      <c r="E138" s="251">
        <v>966</v>
      </c>
      <c r="F138" s="82">
        <v>2.1476323119777159</v>
      </c>
      <c r="G138" s="79">
        <v>2074.6128133704733</v>
      </c>
      <c r="H138" s="90">
        <v>15.827</v>
      </c>
      <c r="I138" s="85">
        <v>16.012</v>
      </c>
      <c r="J138" s="85">
        <v>17.211400000000001</v>
      </c>
      <c r="K138" s="85">
        <v>19.821050000000003</v>
      </c>
      <c r="L138" s="85">
        <v>23.146169999999998</v>
      </c>
      <c r="M138" s="85">
        <v>22.608160000000002</v>
      </c>
      <c r="N138" s="85">
        <v>24.374569999999995</v>
      </c>
      <c r="O138" s="85">
        <v>23.666989999999998</v>
      </c>
      <c r="P138" s="85">
        <v>21.127680000000002</v>
      </c>
      <c r="Q138" s="85">
        <v>18.382270000000002</v>
      </c>
      <c r="R138" s="85">
        <v>13.494109999999999</v>
      </c>
      <c r="S138" s="89">
        <v>13.500500000000001</v>
      </c>
      <c r="T138" s="89">
        <v>229.17189999999999</v>
      </c>
      <c r="U138" s="85">
        <v>229.172</v>
      </c>
      <c r="V138" s="85">
        <v>0</v>
      </c>
      <c r="W138" s="85">
        <v>0</v>
      </c>
      <c r="X138" s="89">
        <v>229.172</v>
      </c>
      <c r="Y138" s="79">
        <v>1</v>
      </c>
      <c r="Z138" s="79">
        <v>0</v>
      </c>
      <c r="AA138" s="94">
        <v>0</v>
      </c>
      <c r="AB138" s="79">
        <v>1</v>
      </c>
      <c r="AC138" s="85">
        <v>171.09</v>
      </c>
      <c r="AD138" s="85">
        <v>42.908999999999999</v>
      </c>
      <c r="AE138" s="85">
        <v>15.173</v>
      </c>
      <c r="AF138" s="85">
        <v>0</v>
      </c>
      <c r="AG138" s="85">
        <v>229.172</v>
      </c>
      <c r="AH138" s="85">
        <v>229.172</v>
      </c>
      <c r="AI138" s="85">
        <v>0</v>
      </c>
      <c r="AJ138" s="85">
        <v>0</v>
      </c>
      <c r="AK138" s="85">
        <v>0</v>
      </c>
      <c r="AL138" s="85">
        <v>0</v>
      </c>
      <c r="AM138" s="85">
        <v>0</v>
      </c>
      <c r="AN138" s="85">
        <v>0</v>
      </c>
      <c r="AO138" s="85">
        <v>0</v>
      </c>
      <c r="AP138" s="85">
        <v>0</v>
      </c>
      <c r="AQ138" s="85">
        <v>0</v>
      </c>
      <c r="AR138" s="85">
        <v>229.172</v>
      </c>
      <c r="AS138" s="85">
        <v>0</v>
      </c>
      <c r="AT138" s="85">
        <v>0</v>
      </c>
      <c r="AU138" s="85">
        <v>0</v>
      </c>
      <c r="AV138" s="85">
        <v>0</v>
      </c>
      <c r="AW138" s="85">
        <v>0</v>
      </c>
      <c r="AX138" s="85">
        <v>0</v>
      </c>
      <c r="AY138" s="85">
        <v>0</v>
      </c>
      <c r="AZ138" s="85">
        <v>0</v>
      </c>
      <c r="BA138" s="85">
        <v>0</v>
      </c>
      <c r="BB138" s="89">
        <v>0</v>
      </c>
      <c r="BC138" s="89">
        <v>0</v>
      </c>
      <c r="BD138" s="37">
        <v>0</v>
      </c>
      <c r="BE138" s="37">
        <v>0</v>
      </c>
      <c r="BF138" s="279">
        <v>93405</v>
      </c>
      <c r="BG138" s="37">
        <v>89968</v>
      </c>
      <c r="BH138" s="37">
        <v>37442</v>
      </c>
      <c r="BI138" s="37">
        <v>20087</v>
      </c>
      <c r="BJ138" s="283">
        <v>240902</v>
      </c>
      <c r="BK138" s="161"/>
      <c r="BL138" s="294"/>
      <c r="BM138"/>
      <c r="BN138"/>
      <c r="BO138"/>
      <c r="BP138"/>
      <c r="BQ138"/>
      <c r="BR138"/>
      <c r="BS138"/>
      <c r="BT138"/>
      <c r="BU138"/>
      <c r="BV138"/>
      <c r="BW138"/>
      <c r="BX138"/>
      <c r="BY138"/>
      <c r="BZ138"/>
      <c r="CA138"/>
      <c r="CB138"/>
      <c r="CC138"/>
      <c r="CD138"/>
      <c r="CE138"/>
      <c r="CF138"/>
      <c r="CG138"/>
      <c r="CH138"/>
      <c r="CI138"/>
      <c r="CJ138"/>
    </row>
    <row r="139" spans="1:88" s="32" customFormat="1" ht="15" customHeight="1" x14ac:dyDescent="0.35">
      <c r="A139" s="473"/>
      <c r="B139" s="313">
        <v>13005</v>
      </c>
      <c r="C139" s="8" t="s">
        <v>41</v>
      </c>
      <c r="D139" s="18">
        <v>1</v>
      </c>
      <c r="E139" s="251">
        <v>1170</v>
      </c>
      <c r="F139" s="82">
        <v>2.0265363128491618</v>
      </c>
      <c r="G139" s="79">
        <v>2371.0474860335194</v>
      </c>
      <c r="H139" s="90">
        <v>41.131999999999998</v>
      </c>
      <c r="I139" s="85">
        <v>38.71</v>
      </c>
      <c r="J139" s="85">
        <v>51.365000000000002</v>
      </c>
      <c r="K139" s="85">
        <v>48.014000000000003</v>
      </c>
      <c r="L139" s="85">
        <v>48.966000000000001</v>
      </c>
      <c r="M139" s="85">
        <v>47.094000000000001</v>
      </c>
      <c r="N139" s="85">
        <v>43.073999999999998</v>
      </c>
      <c r="O139" s="85">
        <v>40.606999999999999</v>
      </c>
      <c r="P139" s="85">
        <v>37.649000000000001</v>
      </c>
      <c r="Q139" s="85">
        <v>45.374000000000002</v>
      </c>
      <c r="R139" s="85">
        <v>41.341000000000001</v>
      </c>
      <c r="S139" s="89">
        <v>47.331000000000003</v>
      </c>
      <c r="T139" s="89">
        <v>530.65700000000004</v>
      </c>
      <c r="U139" s="85">
        <v>530.65700000000004</v>
      </c>
      <c r="V139" s="85">
        <v>0</v>
      </c>
      <c r="W139" s="85">
        <v>0</v>
      </c>
      <c r="X139" s="89">
        <v>530.65700000000004</v>
      </c>
      <c r="Y139" s="79">
        <v>1</v>
      </c>
      <c r="Z139" s="79">
        <v>0</v>
      </c>
      <c r="AA139" s="94">
        <v>0</v>
      </c>
      <c r="AB139" s="79">
        <v>1</v>
      </c>
      <c r="AC139" s="85">
        <v>272.72868210862623</v>
      </c>
      <c r="AD139" s="85">
        <v>27.074172891373792</v>
      </c>
      <c r="AE139" s="85">
        <v>230.85414500000002</v>
      </c>
      <c r="AF139" s="85">
        <v>0</v>
      </c>
      <c r="AG139" s="85">
        <v>530.65700000000004</v>
      </c>
      <c r="AH139" s="85">
        <v>530.65700000000004</v>
      </c>
      <c r="AI139" s="85">
        <v>0</v>
      </c>
      <c r="AJ139" s="85">
        <v>0</v>
      </c>
      <c r="AK139" s="85">
        <v>0</v>
      </c>
      <c r="AL139" s="85">
        <v>0</v>
      </c>
      <c r="AM139" s="85">
        <v>0</v>
      </c>
      <c r="AN139" s="85">
        <v>0</v>
      </c>
      <c r="AO139" s="85">
        <v>0</v>
      </c>
      <c r="AP139" s="85">
        <v>0</v>
      </c>
      <c r="AQ139" s="85">
        <v>0</v>
      </c>
      <c r="AR139" s="85">
        <v>530.65700000000004</v>
      </c>
      <c r="AS139" s="85">
        <v>0</v>
      </c>
      <c r="AT139" s="85">
        <v>0</v>
      </c>
      <c r="AU139" s="85">
        <v>0</v>
      </c>
      <c r="AV139" s="85">
        <v>0</v>
      </c>
      <c r="AW139" s="85">
        <v>0</v>
      </c>
      <c r="AX139" s="85">
        <v>0</v>
      </c>
      <c r="AY139" s="85">
        <v>0</v>
      </c>
      <c r="AZ139" s="85">
        <v>0</v>
      </c>
      <c r="BA139" s="85">
        <v>0</v>
      </c>
      <c r="BB139" s="89">
        <v>0</v>
      </c>
      <c r="BC139" s="89">
        <v>0</v>
      </c>
      <c r="BD139" s="37">
        <v>0</v>
      </c>
      <c r="BE139" s="37">
        <v>0</v>
      </c>
      <c r="BF139" s="279">
        <v>119911</v>
      </c>
      <c r="BG139" s="37">
        <v>203424</v>
      </c>
      <c r="BH139" s="37">
        <v>93882</v>
      </c>
      <c r="BI139" s="37">
        <v>38881</v>
      </c>
      <c r="BJ139" s="283">
        <v>456098</v>
      </c>
      <c r="BK139" s="161"/>
      <c r="BL139" s="294"/>
      <c r="BM139"/>
      <c r="BN139"/>
      <c r="BO139"/>
      <c r="BP139"/>
      <c r="BQ139"/>
      <c r="BR139"/>
      <c r="BS139"/>
      <c r="BT139"/>
      <c r="BU139"/>
      <c r="BV139"/>
      <c r="BW139"/>
      <c r="BX139"/>
      <c r="BY139"/>
      <c r="BZ139"/>
      <c r="CA139"/>
      <c r="CB139"/>
      <c r="CC139"/>
      <c r="CD139"/>
      <c r="CE139"/>
      <c r="CF139"/>
      <c r="CG139"/>
      <c r="CH139"/>
      <c r="CI139"/>
      <c r="CJ139"/>
    </row>
    <row r="140" spans="1:88" s="32" customFormat="1" ht="15" customHeight="1" x14ac:dyDescent="0.35">
      <c r="A140" s="473"/>
      <c r="B140" s="313">
        <v>83070</v>
      </c>
      <c r="C140" s="8" t="s">
        <v>846</v>
      </c>
      <c r="D140" s="18">
        <v>7</v>
      </c>
      <c r="E140" s="251"/>
      <c r="F140" s="82"/>
      <c r="G140" s="79"/>
      <c r="H140" s="90"/>
      <c r="I140" s="85"/>
      <c r="J140" s="85"/>
      <c r="K140" s="85"/>
      <c r="L140" s="85"/>
      <c r="M140" s="85"/>
      <c r="N140" s="85"/>
      <c r="O140" s="85"/>
      <c r="P140" s="85"/>
      <c r="Q140" s="85"/>
      <c r="R140" s="85"/>
      <c r="S140" s="89"/>
      <c r="T140" s="89" t="s">
        <v>1124</v>
      </c>
      <c r="U140" s="85"/>
      <c r="V140" s="85"/>
      <c r="W140" s="85"/>
      <c r="X140" s="89" t="s">
        <v>1124</v>
      </c>
      <c r="Y140" s="79"/>
      <c r="Z140" s="79"/>
      <c r="AA140" s="94"/>
      <c r="AB140" s="79" t="s">
        <v>1124</v>
      </c>
      <c r="AC140" s="85"/>
      <c r="AD140" s="85"/>
      <c r="AE140" s="85"/>
      <c r="AF140" s="85"/>
      <c r="AG140" s="85" t="s">
        <v>1124</v>
      </c>
      <c r="AH140" s="85"/>
      <c r="AI140" s="85"/>
      <c r="AJ140" s="85"/>
      <c r="AK140" s="85"/>
      <c r="AL140" s="85"/>
      <c r="AM140" s="85"/>
      <c r="AN140" s="85"/>
      <c r="AO140" s="85"/>
      <c r="AP140" s="85"/>
      <c r="AQ140" s="85"/>
      <c r="AR140" s="85" t="s">
        <v>1124</v>
      </c>
      <c r="AS140" s="85"/>
      <c r="AT140" s="85"/>
      <c r="AU140" s="85"/>
      <c r="AV140" s="85"/>
      <c r="AW140" s="85"/>
      <c r="AX140" s="85"/>
      <c r="AY140" s="85"/>
      <c r="AZ140" s="85"/>
      <c r="BA140" s="85"/>
      <c r="BB140" s="89"/>
      <c r="BC140" s="89" t="s">
        <v>1124</v>
      </c>
      <c r="BD140" s="37"/>
      <c r="BE140" s="37"/>
      <c r="BF140" s="279"/>
      <c r="BG140" s="37"/>
      <c r="BH140" s="37"/>
      <c r="BI140" s="37"/>
      <c r="BJ140" s="283"/>
      <c r="BK140" s="161"/>
      <c r="BL140" s="294"/>
      <c r="BM140"/>
      <c r="BN140"/>
      <c r="BO140"/>
      <c r="BP140"/>
      <c r="BQ140"/>
      <c r="BR140"/>
      <c r="BS140"/>
      <c r="BT140"/>
      <c r="BU140"/>
      <c r="BV140"/>
      <c r="BW140"/>
      <c r="BX140"/>
      <c r="BY140"/>
      <c r="BZ140"/>
      <c r="CA140"/>
      <c r="CB140"/>
      <c r="CC140"/>
      <c r="CD140"/>
      <c r="CE140"/>
      <c r="CF140"/>
      <c r="CG140"/>
      <c r="CH140"/>
      <c r="CI140"/>
      <c r="CJ140"/>
    </row>
    <row r="141" spans="1:88" s="32" customFormat="1" ht="15" customHeight="1" x14ac:dyDescent="0.35">
      <c r="A141" s="473"/>
      <c r="B141" s="313">
        <v>67025</v>
      </c>
      <c r="C141" s="8" t="s">
        <v>666</v>
      </c>
      <c r="D141" s="18">
        <v>16</v>
      </c>
      <c r="E141" s="251"/>
      <c r="F141" s="82"/>
      <c r="G141" s="79"/>
      <c r="H141" s="90"/>
      <c r="I141" s="85"/>
      <c r="J141" s="85"/>
      <c r="K141" s="85"/>
      <c r="L141" s="85"/>
      <c r="M141" s="85"/>
      <c r="N141" s="85"/>
      <c r="O141" s="85"/>
      <c r="P141" s="85"/>
      <c r="Q141" s="85"/>
      <c r="R141" s="85"/>
      <c r="S141" s="89"/>
      <c r="T141" s="89" t="s">
        <v>1124</v>
      </c>
      <c r="U141" s="85"/>
      <c r="V141" s="85"/>
      <c r="W141" s="85"/>
      <c r="X141" s="89" t="s">
        <v>1124</v>
      </c>
      <c r="Y141" s="79"/>
      <c r="Z141" s="79"/>
      <c r="AA141" s="94"/>
      <c r="AB141" s="79" t="s">
        <v>1124</v>
      </c>
      <c r="AC141" s="85"/>
      <c r="AD141" s="85"/>
      <c r="AE141" s="85"/>
      <c r="AF141" s="85"/>
      <c r="AG141" s="85" t="s">
        <v>1124</v>
      </c>
      <c r="AH141" s="85"/>
      <c r="AI141" s="85"/>
      <c r="AJ141" s="85"/>
      <c r="AK141" s="85"/>
      <c r="AL141" s="85"/>
      <c r="AM141" s="85"/>
      <c r="AN141" s="85"/>
      <c r="AO141" s="85"/>
      <c r="AP141" s="85"/>
      <c r="AQ141" s="85"/>
      <c r="AR141" s="85" t="s">
        <v>1124</v>
      </c>
      <c r="AS141" s="85"/>
      <c r="AT141" s="85"/>
      <c r="AU141" s="85"/>
      <c r="AV141" s="85"/>
      <c r="AW141" s="85"/>
      <c r="AX141" s="85"/>
      <c r="AY141" s="85"/>
      <c r="AZ141" s="85"/>
      <c r="BA141" s="85"/>
      <c r="BB141" s="89"/>
      <c r="BC141" s="89" t="s">
        <v>1124</v>
      </c>
      <c r="BD141" s="37"/>
      <c r="BE141" s="37"/>
      <c r="BF141" s="279"/>
      <c r="BG141" s="37"/>
      <c r="BH141" s="37"/>
      <c r="BI141" s="37"/>
      <c r="BJ141" s="283"/>
      <c r="BK141" s="161"/>
      <c r="BL141" s="294"/>
      <c r="BM141"/>
      <c r="BN141"/>
      <c r="BO141"/>
      <c r="BP141"/>
      <c r="BQ141"/>
      <c r="BR141"/>
      <c r="BS141"/>
      <c r="BT141"/>
      <c r="BU141"/>
      <c r="BV141"/>
      <c r="BW141"/>
      <c r="BX141"/>
      <c r="BY141"/>
      <c r="BZ141"/>
      <c r="CA141"/>
      <c r="CB141"/>
      <c r="CC141"/>
      <c r="CD141"/>
      <c r="CE141"/>
      <c r="CF141"/>
      <c r="CG141"/>
      <c r="CH141"/>
      <c r="CI141"/>
      <c r="CJ141"/>
    </row>
    <row r="142" spans="1:88" s="32" customFormat="1" ht="15" customHeight="1" x14ac:dyDescent="0.35">
      <c r="A142" s="473"/>
      <c r="B142" s="314">
        <v>83005</v>
      </c>
      <c r="C142" s="8" t="s">
        <v>835</v>
      </c>
      <c r="D142" s="18">
        <v>7</v>
      </c>
      <c r="E142" s="251"/>
      <c r="F142" s="82"/>
      <c r="G142" s="79"/>
      <c r="H142" s="90"/>
      <c r="I142" s="85"/>
      <c r="J142" s="85"/>
      <c r="K142" s="85"/>
      <c r="L142" s="85"/>
      <c r="M142" s="85"/>
      <c r="N142" s="85"/>
      <c r="O142" s="85"/>
      <c r="P142" s="85"/>
      <c r="Q142" s="85"/>
      <c r="R142" s="85"/>
      <c r="S142" s="89"/>
      <c r="T142" s="89" t="s">
        <v>1124</v>
      </c>
      <c r="U142" s="85"/>
      <c r="V142" s="85"/>
      <c r="W142" s="85"/>
      <c r="X142" s="89" t="s">
        <v>1124</v>
      </c>
      <c r="Y142" s="79"/>
      <c r="Z142" s="79"/>
      <c r="AA142" s="94"/>
      <c r="AB142" s="79" t="s">
        <v>1124</v>
      </c>
      <c r="AC142" s="85"/>
      <c r="AD142" s="85"/>
      <c r="AE142" s="85"/>
      <c r="AF142" s="85"/>
      <c r="AG142" s="85" t="s">
        <v>1124</v>
      </c>
      <c r="AH142" s="85"/>
      <c r="AI142" s="85"/>
      <c r="AJ142" s="85"/>
      <c r="AK142" s="85"/>
      <c r="AL142" s="85"/>
      <c r="AM142" s="85"/>
      <c r="AN142" s="85"/>
      <c r="AO142" s="85"/>
      <c r="AP142" s="85"/>
      <c r="AQ142" s="85"/>
      <c r="AR142" s="85" t="s">
        <v>1124</v>
      </c>
      <c r="AS142" s="85"/>
      <c r="AT142" s="85"/>
      <c r="AU142" s="85"/>
      <c r="AV142" s="85"/>
      <c r="AW142" s="85"/>
      <c r="AX142" s="85"/>
      <c r="AY142" s="85"/>
      <c r="AZ142" s="85"/>
      <c r="BA142" s="85"/>
      <c r="BB142" s="89"/>
      <c r="BC142" s="89" t="s">
        <v>1124</v>
      </c>
      <c r="BD142" s="37"/>
      <c r="BE142" s="37"/>
      <c r="BF142" s="279"/>
      <c r="BG142" s="37"/>
      <c r="BH142" s="37"/>
      <c r="BI142" s="37"/>
      <c r="BJ142" s="283"/>
      <c r="BK142" s="161"/>
      <c r="BL142" s="294"/>
      <c r="BM142"/>
      <c r="BN142"/>
      <c r="BO142"/>
      <c r="BP142"/>
      <c r="BQ142"/>
      <c r="BR142"/>
      <c r="BS142"/>
      <c r="BT142"/>
      <c r="BU142"/>
      <c r="BV142"/>
      <c r="BW142"/>
      <c r="BX142"/>
      <c r="BY142"/>
      <c r="BZ142"/>
      <c r="CA142"/>
      <c r="CB142"/>
      <c r="CC142"/>
      <c r="CD142"/>
      <c r="CE142"/>
      <c r="CF142"/>
      <c r="CG142"/>
      <c r="CH142"/>
      <c r="CI142"/>
      <c r="CJ142"/>
    </row>
    <row r="143" spans="1:88" s="32" customFormat="1" ht="15" customHeight="1" x14ac:dyDescent="0.35">
      <c r="A143" s="473"/>
      <c r="B143" s="313">
        <v>93005</v>
      </c>
      <c r="C143" s="8" t="s">
        <v>958</v>
      </c>
      <c r="D143" s="18">
        <v>2</v>
      </c>
      <c r="E143" s="251">
        <v>497</v>
      </c>
      <c r="F143" s="82">
        <v>2.0934393638170974</v>
      </c>
      <c r="G143" s="79">
        <v>1040.4393638170975</v>
      </c>
      <c r="H143" s="90">
        <v>13.870667000000001</v>
      </c>
      <c r="I143" s="85">
        <v>13.859667</v>
      </c>
      <c r="J143" s="85">
        <v>15.336667</v>
      </c>
      <c r="K143" s="85">
        <v>14.715667</v>
      </c>
      <c r="L143" s="85">
        <v>17.640666999999997</v>
      </c>
      <c r="M143" s="85">
        <v>15.047667000000001</v>
      </c>
      <c r="N143" s="85">
        <v>16.531666999999999</v>
      </c>
      <c r="O143" s="85">
        <v>14.717667</v>
      </c>
      <c r="P143" s="85">
        <v>14.331666999999999</v>
      </c>
      <c r="Q143" s="85">
        <v>11.737667</v>
      </c>
      <c r="R143" s="85">
        <v>10.859667</v>
      </c>
      <c r="S143" s="89">
        <v>11.952667</v>
      </c>
      <c r="T143" s="89">
        <v>170.60200399999999</v>
      </c>
      <c r="U143" s="85">
        <v>0</v>
      </c>
      <c r="V143" s="85">
        <v>170.60200399999999</v>
      </c>
      <c r="W143" s="85">
        <v>0</v>
      </c>
      <c r="X143" s="89">
        <v>170.60200399999999</v>
      </c>
      <c r="Y143" s="79">
        <v>0</v>
      </c>
      <c r="Z143" s="79">
        <v>2</v>
      </c>
      <c r="AA143" s="94">
        <v>0</v>
      </c>
      <c r="AB143" s="79">
        <v>2</v>
      </c>
      <c r="AC143" s="85">
        <v>132.255</v>
      </c>
      <c r="AD143" s="85">
        <v>10.010033999999969</v>
      </c>
      <c r="AE143" s="85">
        <v>28.336970000000029</v>
      </c>
      <c r="AF143" s="85">
        <v>0</v>
      </c>
      <c r="AG143" s="85">
        <v>170.60200399999999</v>
      </c>
      <c r="AH143" s="85">
        <v>0</v>
      </c>
      <c r="AI143" s="85">
        <v>0</v>
      </c>
      <c r="AJ143" s="85">
        <v>0</v>
      </c>
      <c r="AK143" s="85">
        <v>0</v>
      </c>
      <c r="AL143" s="85">
        <v>0</v>
      </c>
      <c r="AM143" s="85">
        <v>0</v>
      </c>
      <c r="AN143" s="85">
        <v>0</v>
      </c>
      <c r="AO143" s="85">
        <v>0</v>
      </c>
      <c r="AP143" s="85">
        <v>0</v>
      </c>
      <c r="AQ143" s="85">
        <v>0</v>
      </c>
      <c r="AR143" s="85">
        <v>0</v>
      </c>
      <c r="AS143" s="85">
        <v>0</v>
      </c>
      <c r="AT143" s="85">
        <v>0</v>
      </c>
      <c r="AU143" s="85">
        <v>0</v>
      </c>
      <c r="AV143" s="85">
        <v>0</v>
      </c>
      <c r="AW143" s="85">
        <v>0</v>
      </c>
      <c r="AX143" s="85">
        <v>0</v>
      </c>
      <c r="AY143" s="85">
        <v>170.60200399999999</v>
      </c>
      <c r="AZ143" s="85">
        <v>0</v>
      </c>
      <c r="BA143" s="85">
        <v>0</v>
      </c>
      <c r="BB143" s="89">
        <v>0</v>
      </c>
      <c r="BC143" s="89">
        <v>170.60200399999999</v>
      </c>
      <c r="BD143" s="37">
        <v>0</v>
      </c>
      <c r="BE143" s="37">
        <v>0</v>
      </c>
      <c r="BF143" s="279">
        <v>4853</v>
      </c>
      <c r="BG143" s="37">
        <v>13520</v>
      </c>
      <c r="BH143" s="37">
        <v>15092</v>
      </c>
      <c r="BI143" s="37">
        <v>0</v>
      </c>
      <c r="BJ143" s="283">
        <v>33465</v>
      </c>
      <c r="BK143" s="161"/>
      <c r="BL143" s="294"/>
      <c r="BM143"/>
      <c r="BN143"/>
      <c r="BO143"/>
      <c r="BP143"/>
      <c r="BQ143"/>
      <c r="BR143"/>
      <c r="BS143"/>
      <c r="BT143"/>
      <c r="BU143"/>
      <c r="BV143"/>
      <c r="BW143"/>
      <c r="BX143"/>
      <c r="BY143"/>
      <c r="BZ143"/>
      <c r="CA143"/>
      <c r="CB143"/>
      <c r="CC143"/>
      <c r="CD143"/>
      <c r="CE143"/>
      <c r="CF143"/>
      <c r="CG143"/>
      <c r="CH143"/>
      <c r="CI143"/>
      <c r="CJ143"/>
    </row>
    <row r="144" spans="1:88" s="32" customFormat="1" ht="15" customHeight="1" x14ac:dyDescent="0.35">
      <c r="A144" s="473"/>
      <c r="B144" s="313">
        <v>38070</v>
      </c>
      <c r="C144" s="8" t="s">
        <v>336</v>
      </c>
      <c r="D144" s="18">
        <v>17</v>
      </c>
      <c r="E144" s="251">
        <v>452</v>
      </c>
      <c r="F144" s="82">
        <v>1.8333333333333333</v>
      </c>
      <c r="G144" s="79">
        <v>828.66666666666663</v>
      </c>
      <c r="H144" s="90">
        <v>8.8669863636363644</v>
      </c>
      <c r="I144" s="85">
        <v>8.4639136363636371</v>
      </c>
      <c r="J144" s="85">
        <v>9.7029999999999994</v>
      </c>
      <c r="K144" s="85">
        <v>10.016045454545454</v>
      </c>
      <c r="L144" s="85">
        <v>11.685000499999999</v>
      </c>
      <c r="M144" s="85">
        <v>13.062954545454547</v>
      </c>
      <c r="N144" s="85">
        <v>14.610687499999999</v>
      </c>
      <c r="O144" s="85">
        <v>14.016931818181819</v>
      </c>
      <c r="P144" s="85">
        <v>11.709</v>
      </c>
      <c r="Q144" s="85">
        <v>11.435124999999999</v>
      </c>
      <c r="R144" s="85">
        <v>8.91</v>
      </c>
      <c r="S144" s="89">
        <v>9.0653863636363639</v>
      </c>
      <c r="T144" s="89">
        <v>131.54503118181816</v>
      </c>
      <c r="U144" s="85">
        <v>0</v>
      </c>
      <c r="V144" s="85">
        <v>131.54499999999999</v>
      </c>
      <c r="W144" s="85">
        <v>0</v>
      </c>
      <c r="X144" s="89">
        <v>131.54499999999999</v>
      </c>
      <c r="Y144" s="79">
        <v>0</v>
      </c>
      <c r="Z144" s="79">
        <v>2</v>
      </c>
      <c r="AA144" s="94">
        <v>0</v>
      </c>
      <c r="AB144" s="79">
        <v>2</v>
      </c>
      <c r="AC144" s="85">
        <v>81.097999999999999</v>
      </c>
      <c r="AD144" s="85">
        <v>39.998031181818163</v>
      </c>
      <c r="AE144" s="85">
        <v>10.512</v>
      </c>
      <c r="AF144" s="85">
        <v>0</v>
      </c>
      <c r="AG144" s="85">
        <v>131.60803118181815</v>
      </c>
      <c r="AH144" s="85">
        <v>0</v>
      </c>
      <c r="AI144" s="85">
        <v>0</v>
      </c>
      <c r="AJ144" s="85">
        <v>0</v>
      </c>
      <c r="AK144" s="85">
        <v>0</v>
      </c>
      <c r="AL144" s="85">
        <v>0</v>
      </c>
      <c r="AM144" s="85">
        <v>0</v>
      </c>
      <c r="AN144" s="85">
        <v>0</v>
      </c>
      <c r="AO144" s="85">
        <v>0</v>
      </c>
      <c r="AP144" s="85">
        <v>0</v>
      </c>
      <c r="AQ144" s="85">
        <v>0</v>
      </c>
      <c r="AR144" s="85">
        <v>0</v>
      </c>
      <c r="AS144" s="85">
        <v>0</v>
      </c>
      <c r="AT144" s="85">
        <v>0</v>
      </c>
      <c r="AU144" s="85">
        <v>0</v>
      </c>
      <c r="AV144" s="85">
        <v>0</v>
      </c>
      <c r="AW144" s="85">
        <v>0</v>
      </c>
      <c r="AX144" s="85">
        <v>0</v>
      </c>
      <c r="AY144" s="85">
        <v>0</v>
      </c>
      <c r="AZ144" s="85">
        <v>131.54499999999999</v>
      </c>
      <c r="BA144" s="85">
        <v>0</v>
      </c>
      <c r="BB144" s="89">
        <v>0</v>
      </c>
      <c r="BC144" s="89">
        <v>131.54499999999999</v>
      </c>
      <c r="BD144" s="37">
        <v>0</v>
      </c>
      <c r="BE144" s="37">
        <v>0</v>
      </c>
      <c r="BF144" s="279">
        <v>740</v>
      </c>
      <c r="BG144" s="37">
        <v>59302</v>
      </c>
      <c r="BH144" s="37">
        <v>15655</v>
      </c>
      <c r="BI144" s="37">
        <v>0</v>
      </c>
      <c r="BJ144" s="283">
        <v>75697</v>
      </c>
      <c r="BK144" s="161"/>
      <c r="BL144" s="294"/>
      <c r="BM144"/>
      <c r="BN144"/>
      <c r="BO144"/>
      <c r="BP144"/>
      <c r="BQ144"/>
      <c r="BR144"/>
      <c r="BS144"/>
      <c r="BT144"/>
      <c r="BU144"/>
      <c r="BV144"/>
      <c r="BW144"/>
      <c r="BX144"/>
      <c r="BY144"/>
      <c r="BZ144"/>
      <c r="CA144"/>
      <c r="CB144"/>
      <c r="CC144"/>
      <c r="CD144"/>
      <c r="CE144"/>
      <c r="CF144"/>
      <c r="CG144"/>
      <c r="CH144"/>
      <c r="CI144"/>
      <c r="CJ144"/>
    </row>
    <row r="145" spans="1:88" s="32" customFormat="1" ht="15" customHeight="1" x14ac:dyDescent="0.35">
      <c r="A145" s="473"/>
      <c r="B145" s="313">
        <v>34058</v>
      </c>
      <c r="C145" s="8" t="s">
        <v>291</v>
      </c>
      <c r="D145" s="18">
        <v>3</v>
      </c>
      <c r="E145" s="251">
        <v>1082</v>
      </c>
      <c r="F145" s="82">
        <v>2.0019999999999998</v>
      </c>
      <c r="G145" s="79">
        <v>2166.1639999999998</v>
      </c>
      <c r="H145" s="90">
        <v>29.396000000000001</v>
      </c>
      <c r="I145" s="85">
        <v>33.167000000000002</v>
      </c>
      <c r="J145" s="85">
        <v>36.859000000000002</v>
      </c>
      <c r="K145" s="85">
        <v>36.152000000000001</v>
      </c>
      <c r="L145" s="85">
        <v>44.503</v>
      </c>
      <c r="M145" s="85">
        <v>40.332999999999998</v>
      </c>
      <c r="N145" s="85">
        <v>52.195999999999998</v>
      </c>
      <c r="O145" s="85">
        <v>49.106000000000002</v>
      </c>
      <c r="P145" s="85">
        <v>36.709000000000003</v>
      </c>
      <c r="Q145" s="85">
        <v>46.182000000000002</v>
      </c>
      <c r="R145" s="85">
        <v>31.498000000000001</v>
      </c>
      <c r="S145" s="89">
        <v>38.972999999999999</v>
      </c>
      <c r="T145" s="89">
        <v>475.07400000000001</v>
      </c>
      <c r="U145" s="85">
        <v>0</v>
      </c>
      <c r="V145" s="85">
        <v>475.07400000000001</v>
      </c>
      <c r="W145" s="85">
        <v>0</v>
      </c>
      <c r="X145" s="89">
        <v>475.07400000000001</v>
      </c>
      <c r="Y145" s="79">
        <v>0</v>
      </c>
      <c r="Z145" s="79">
        <v>1</v>
      </c>
      <c r="AA145" s="94">
        <v>0</v>
      </c>
      <c r="AB145" s="79">
        <v>1</v>
      </c>
      <c r="AC145" s="85">
        <v>209.52073902236953</v>
      </c>
      <c r="AD145" s="85">
        <v>88.787049089875353</v>
      </c>
      <c r="AE145" s="85">
        <v>110.97921188775513</v>
      </c>
      <c r="AF145" s="85">
        <v>65.787000000000006</v>
      </c>
      <c r="AG145" s="85">
        <v>475.07400000000007</v>
      </c>
      <c r="AH145" s="85">
        <v>0</v>
      </c>
      <c r="AI145" s="85">
        <v>0</v>
      </c>
      <c r="AJ145" s="85">
        <v>0</v>
      </c>
      <c r="AK145" s="85">
        <v>0</v>
      </c>
      <c r="AL145" s="85">
        <v>0</v>
      </c>
      <c r="AM145" s="85">
        <v>0</v>
      </c>
      <c r="AN145" s="85">
        <v>0</v>
      </c>
      <c r="AO145" s="85">
        <v>0</v>
      </c>
      <c r="AP145" s="85">
        <v>0</v>
      </c>
      <c r="AQ145" s="85">
        <v>0</v>
      </c>
      <c r="AR145" s="85">
        <v>0</v>
      </c>
      <c r="AS145" s="85">
        <v>0</v>
      </c>
      <c r="AT145" s="85">
        <v>0</v>
      </c>
      <c r="AU145" s="85">
        <v>0</v>
      </c>
      <c r="AV145" s="85">
        <v>0</v>
      </c>
      <c r="AW145" s="85">
        <v>0</v>
      </c>
      <c r="AX145" s="85">
        <v>0</v>
      </c>
      <c r="AY145" s="85">
        <v>0</v>
      </c>
      <c r="AZ145" s="85">
        <v>0</v>
      </c>
      <c r="BA145" s="85">
        <v>475.07400000000001</v>
      </c>
      <c r="BB145" s="89">
        <v>0</v>
      </c>
      <c r="BC145" s="89">
        <v>475.07400000000001</v>
      </c>
      <c r="BD145" s="37">
        <v>0</v>
      </c>
      <c r="BE145" s="37">
        <v>0</v>
      </c>
      <c r="BF145" s="279">
        <v>1840</v>
      </c>
      <c r="BG145" s="37">
        <v>42442</v>
      </c>
      <c r="BH145" s="37">
        <v>19106</v>
      </c>
      <c r="BI145" s="37">
        <v>15382</v>
      </c>
      <c r="BJ145" s="283">
        <v>78770</v>
      </c>
      <c r="BK145" s="161"/>
      <c r="BL145" s="294"/>
      <c r="BM145"/>
      <c r="BN145"/>
      <c r="BO145"/>
      <c r="BP145"/>
      <c r="BQ145"/>
      <c r="BR145"/>
      <c r="BS145"/>
      <c r="BT145"/>
      <c r="BU145"/>
      <c r="BV145"/>
      <c r="BW145"/>
      <c r="BX145"/>
      <c r="BY145"/>
      <c r="BZ145"/>
      <c r="CA145"/>
      <c r="CB145"/>
      <c r="CC145"/>
      <c r="CD145"/>
      <c r="CE145"/>
      <c r="CF145"/>
      <c r="CG145"/>
      <c r="CH145"/>
      <c r="CI145"/>
      <c r="CJ145"/>
    </row>
    <row r="146" spans="1:88" s="32" customFormat="1" ht="15" customHeight="1" x14ac:dyDescent="0.35">
      <c r="A146" s="473"/>
      <c r="B146" s="313">
        <v>72010</v>
      </c>
      <c r="C146" s="8" t="s">
        <v>728</v>
      </c>
      <c r="D146" s="18">
        <v>15</v>
      </c>
      <c r="E146" s="251">
        <v>7952</v>
      </c>
      <c r="F146" s="82">
        <v>2.4204298150163219</v>
      </c>
      <c r="G146" s="79">
        <v>19247.25788900979</v>
      </c>
      <c r="H146" s="90">
        <v>240.6362</v>
      </c>
      <c r="I146" s="85">
        <v>246.62920000000003</v>
      </c>
      <c r="J146" s="85">
        <v>281.17849999999999</v>
      </c>
      <c r="K146" s="85">
        <v>252.41170000000002</v>
      </c>
      <c r="L146" s="85">
        <v>274.9067</v>
      </c>
      <c r="M146" s="85">
        <v>270.6311</v>
      </c>
      <c r="N146" s="85">
        <v>277.68650000000002</v>
      </c>
      <c r="O146" s="85">
        <v>259.17779999999999</v>
      </c>
      <c r="P146" s="85">
        <v>219.3475</v>
      </c>
      <c r="Q146" s="85">
        <v>214.333</v>
      </c>
      <c r="R146" s="85">
        <v>211.62139999999999</v>
      </c>
      <c r="S146" s="89">
        <v>229.0385</v>
      </c>
      <c r="T146" s="89">
        <v>2977.5981000000002</v>
      </c>
      <c r="U146" s="85">
        <v>2977.598</v>
      </c>
      <c r="V146" s="85">
        <v>0</v>
      </c>
      <c r="W146" s="85">
        <v>0</v>
      </c>
      <c r="X146" s="89">
        <v>2977.598</v>
      </c>
      <c r="Y146" s="79">
        <v>1</v>
      </c>
      <c r="Z146" s="79">
        <v>0</v>
      </c>
      <c r="AA146" s="94">
        <v>0</v>
      </c>
      <c r="AB146" s="79">
        <v>1</v>
      </c>
      <c r="AC146" s="85">
        <v>2703.68</v>
      </c>
      <c r="AD146" s="85">
        <v>160.46500000000015</v>
      </c>
      <c r="AE146" s="85">
        <v>113.453</v>
      </c>
      <c r="AF146" s="85">
        <v>0</v>
      </c>
      <c r="AG146" s="85">
        <v>2977.598</v>
      </c>
      <c r="AH146" s="85">
        <v>0</v>
      </c>
      <c r="AI146" s="85">
        <v>0</v>
      </c>
      <c r="AJ146" s="85">
        <v>0</v>
      </c>
      <c r="AK146" s="85">
        <v>2977.598</v>
      </c>
      <c r="AL146" s="85">
        <v>0</v>
      </c>
      <c r="AM146" s="85">
        <v>0</v>
      </c>
      <c r="AN146" s="85">
        <v>0</v>
      </c>
      <c r="AO146" s="85">
        <v>0</v>
      </c>
      <c r="AP146" s="85">
        <v>0</v>
      </c>
      <c r="AQ146" s="85">
        <v>0</v>
      </c>
      <c r="AR146" s="85">
        <v>2977.598</v>
      </c>
      <c r="AS146" s="85">
        <v>0</v>
      </c>
      <c r="AT146" s="85">
        <v>0</v>
      </c>
      <c r="AU146" s="85">
        <v>0</v>
      </c>
      <c r="AV146" s="85">
        <v>0</v>
      </c>
      <c r="AW146" s="85">
        <v>0</v>
      </c>
      <c r="AX146" s="85">
        <v>0</v>
      </c>
      <c r="AY146" s="85">
        <v>0</v>
      </c>
      <c r="AZ146" s="85">
        <v>0</v>
      </c>
      <c r="BA146" s="85">
        <v>0</v>
      </c>
      <c r="BB146" s="89">
        <v>0</v>
      </c>
      <c r="BC146" s="89">
        <v>0</v>
      </c>
      <c r="BD146" s="37">
        <v>0</v>
      </c>
      <c r="BE146" s="37">
        <v>0</v>
      </c>
      <c r="BF146" s="279">
        <v>231600</v>
      </c>
      <c r="BG146" s="37">
        <v>51600</v>
      </c>
      <c r="BH146" s="37">
        <v>86500</v>
      </c>
      <c r="BI146" s="37">
        <v>53600</v>
      </c>
      <c r="BJ146" s="283">
        <v>423300</v>
      </c>
      <c r="BK146" s="161"/>
      <c r="BL146" s="294"/>
      <c r="BM146"/>
      <c r="BN146"/>
      <c r="BO146"/>
      <c r="BP146"/>
      <c r="BQ146"/>
      <c r="BR146"/>
      <c r="BS146"/>
      <c r="BT146"/>
      <c r="BU146"/>
      <c r="BV146"/>
      <c r="BW146"/>
      <c r="BX146"/>
      <c r="BY146"/>
      <c r="BZ146"/>
      <c r="CA146"/>
      <c r="CB146"/>
      <c r="CC146"/>
      <c r="CD146"/>
      <c r="CE146"/>
      <c r="CF146"/>
      <c r="CG146"/>
      <c r="CH146"/>
      <c r="CI146"/>
      <c r="CJ146"/>
    </row>
    <row r="147" spans="1:88" s="32" customFormat="1" ht="15" customHeight="1" x14ac:dyDescent="0.35">
      <c r="A147" s="473"/>
      <c r="B147" s="313">
        <v>31020</v>
      </c>
      <c r="C147" s="8" t="s">
        <v>239</v>
      </c>
      <c r="D147" s="18">
        <v>12</v>
      </c>
      <c r="E147" s="251"/>
      <c r="F147" s="82"/>
      <c r="G147" s="79"/>
      <c r="H147" s="90"/>
      <c r="I147" s="85"/>
      <c r="J147" s="85"/>
      <c r="K147" s="85"/>
      <c r="L147" s="85"/>
      <c r="M147" s="85"/>
      <c r="N147" s="85"/>
      <c r="O147" s="85"/>
      <c r="P147" s="85"/>
      <c r="Q147" s="85"/>
      <c r="R147" s="85"/>
      <c r="S147" s="89"/>
      <c r="T147" s="89" t="s">
        <v>1124</v>
      </c>
      <c r="U147" s="85"/>
      <c r="V147" s="85"/>
      <c r="W147" s="85"/>
      <c r="X147" s="89" t="s">
        <v>1124</v>
      </c>
      <c r="Y147" s="79"/>
      <c r="Z147" s="79"/>
      <c r="AA147" s="94"/>
      <c r="AB147" s="79" t="s">
        <v>1124</v>
      </c>
      <c r="AC147" s="85"/>
      <c r="AD147" s="85"/>
      <c r="AE147" s="85"/>
      <c r="AF147" s="85"/>
      <c r="AG147" s="85" t="s">
        <v>1124</v>
      </c>
      <c r="AH147" s="85"/>
      <c r="AI147" s="85"/>
      <c r="AJ147" s="85"/>
      <c r="AK147" s="85"/>
      <c r="AL147" s="85"/>
      <c r="AM147" s="85"/>
      <c r="AN147" s="85"/>
      <c r="AO147" s="85"/>
      <c r="AP147" s="85"/>
      <c r="AQ147" s="85"/>
      <c r="AR147" s="85" t="s">
        <v>1124</v>
      </c>
      <c r="AS147" s="85"/>
      <c r="AT147" s="85"/>
      <c r="AU147" s="85"/>
      <c r="AV147" s="85"/>
      <c r="AW147" s="85"/>
      <c r="AX147" s="85"/>
      <c r="AY147" s="85"/>
      <c r="AZ147" s="85"/>
      <c r="BA147" s="85"/>
      <c r="BB147" s="89"/>
      <c r="BC147" s="89" t="s">
        <v>1124</v>
      </c>
      <c r="BD147" s="37"/>
      <c r="BE147" s="37"/>
      <c r="BF147" s="279"/>
      <c r="BG147" s="37"/>
      <c r="BH147" s="37"/>
      <c r="BI147" s="37"/>
      <c r="BJ147" s="283"/>
      <c r="BK147" s="161"/>
      <c r="BL147" s="294"/>
      <c r="BM147"/>
      <c r="BN147"/>
      <c r="BO147"/>
      <c r="BP147"/>
      <c r="BQ147"/>
      <c r="BR147"/>
      <c r="BS147"/>
      <c r="BT147"/>
      <c r="BU147"/>
      <c r="BV147"/>
      <c r="BW147"/>
      <c r="BX147"/>
      <c r="BY147"/>
      <c r="BZ147"/>
      <c r="CA147"/>
      <c r="CB147"/>
      <c r="CC147"/>
      <c r="CD147"/>
      <c r="CE147"/>
      <c r="CF147"/>
      <c r="CG147"/>
      <c r="CH147"/>
      <c r="CI147"/>
      <c r="CJ147"/>
    </row>
    <row r="148" spans="1:88" s="32" customFormat="1" ht="15" customHeight="1" x14ac:dyDescent="0.35">
      <c r="A148" s="473"/>
      <c r="B148" s="313">
        <v>31015</v>
      </c>
      <c r="C148" s="8" t="s">
        <v>238</v>
      </c>
      <c r="D148" s="18">
        <v>12</v>
      </c>
      <c r="E148" s="251">
        <v>1129</v>
      </c>
      <c r="F148" s="82">
        <v>1.9107744107744107</v>
      </c>
      <c r="G148" s="79">
        <v>2157.2643097643095</v>
      </c>
      <c r="H148" s="90">
        <v>30.4025</v>
      </c>
      <c r="I148" s="85">
        <v>29.351099999999999</v>
      </c>
      <c r="J148" s="85">
        <v>40.371199999999995</v>
      </c>
      <c r="K148" s="85">
        <v>28.558299999999999</v>
      </c>
      <c r="L148" s="85">
        <v>27.6343</v>
      </c>
      <c r="M148" s="85">
        <v>26.837400000000002</v>
      </c>
      <c r="N148" s="85">
        <v>29.2088</v>
      </c>
      <c r="O148" s="85">
        <v>26.052599999999998</v>
      </c>
      <c r="P148" s="85">
        <v>27.0532</v>
      </c>
      <c r="Q148" s="85">
        <v>26.0198</v>
      </c>
      <c r="R148" s="85">
        <v>27.607900000000001</v>
      </c>
      <c r="S148" s="89">
        <v>30.401900000000001</v>
      </c>
      <c r="T148" s="89">
        <v>349.49899999999997</v>
      </c>
      <c r="U148" s="85">
        <v>0</v>
      </c>
      <c r="V148" s="85">
        <v>0</v>
      </c>
      <c r="W148" s="85">
        <v>349.44900000000001</v>
      </c>
      <c r="X148" s="89">
        <v>349.44900000000001</v>
      </c>
      <c r="Y148" s="79">
        <v>0</v>
      </c>
      <c r="Z148" s="79">
        <v>0</v>
      </c>
      <c r="AA148" s="94">
        <v>1</v>
      </c>
      <c r="AB148" s="79">
        <v>1</v>
      </c>
      <c r="AC148" s="85">
        <v>105.380197462331</v>
      </c>
      <c r="AD148" s="85">
        <v>126.36769053766902</v>
      </c>
      <c r="AE148" s="85">
        <v>117.70111199999998</v>
      </c>
      <c r="AF148" s="85">
        <v>0</v>
      </c>
      <c r="AG148" s="85">
        <v>349.44900000000001</v>
      </c>
      <c r="AH148" s="85">
        <v>0</v>
      </c>
      <c r="AI148" s="85">
        <v>0</v>
      </c>
      <c r="AJ148" s="85">
        <v>0</v>
      </c>
      <c r="AK148" s="85">
        <v>0</v>
      </c>
      <c r="AL148" s="85">
        <v>0</v>
      </c>
      <c r="AM148" s="85">
        <v>0</v>
      </c>
      <c r="AN148" s="85">
        <v>0</v>
      </c>
      <c r="AO148" s="85">
        <v>0</v>
      </c>
      <c r="AP148" s="85">
        <v>0</v>
      </c>
      <c r="AQ148" s="85">
        <v>0</v>
      </c>
      <c r="AR148" s="85">
        <v>0</v>
      </c>
      <c r="AS148" s="85">
        <v>0</v>
      </c>
      <c r="AT148" s="85">
        <v>0</v>
      </c>
      <c r="AU148" s="85">
        <v>0</v>
      </c>
      <c r="AV148" s="85">
        <v>0</v>
      </c>
      <c r="AW148" s="85">
        <v>0</v>
      </c>
      <c r="AX148" s="85">
        <v>0</v>
      </c>
      <c r="AY148" s="85">
        <v>349.44900000000001</v>
      </c>
      <c r="AZ148" s="85">
        <v>0</v>
      </c>
      <c r="BA148" s="85">
        <v>0</v>
      </c>
      <c r="BB148" s="89">
        <v>0</v>
      </c>
      <c r="BC148" s="89">
        <v>349.44900000000001</v>
      </c>
      <c r="BD148" s="37">
        <v>308095</v>
      </c>
      <c r="BE148" s="37">
        <v>0</v>
      </c>
      <c r="BF148" s="279">
        <v>55637</v>
      </c>
      <c r="BG148" s="37">
        <v>8562</v>
      </c>
      <c r="BH148" s="37">
        <v>74970</v>
      </c>
      <c r="BI148" s="37">
        <v>0</v>
      </c>
      <c r="BJ148" s="283">
        <v>139169</v>
      </c>
      <c r="BK148" s="161"/>
      <c r="BL148" s="294"/>
      <c r="BM148"/>
      <c r="BN148"/>
      <c r="BO148"/>
      <c r="BP148"/>
      <c r="BQ148"/>
      <c r="BR148"/>
      <c r="BS148"/>
      <c r="BT148"/>
      <c r="BU148"/>
      <c r="BV148"/>
      <c r="BW148"/>
      <c r="BX148"/>
      <c r="BY148"/>
      <c r="BZ148"/>
      <c r="CA148"/>
      <c r="CB148"/>
      <c r="CC148"/>
      <c r="CD148"/>
      <c r="CE148"/>
      <c r="CF148"/>
      <c r="CG148"/>
      <c r="CH148"/>
      <c r="CI148"/>
      <c r="CJ148"/>
    </row>
    <row r="149" spans="1:88" s="32" customFormat="1" ht="15" customHeight="1" x14ac:dyDescent="0.35">
      <c r="A149" s="473"/>
      <c r="B149" s="313">
        <v>44023</v>
      </c>
      <c r="C149" s="8" t="s">
        <v>402</v>
      </c>
      <c r="D149" s="18">
        <v>5</v>
      </c>
      <c r="E149" s="251"/>
      <c r="F149" s="82"/>
      <c r="G149" s="79"/>
      <c r="H149" s="90"/>
      <c r="I149" s="85"/>
      <c r="J149" s="85"/>
      <c r="K149" s="85"/>
      <c r="L149" s="85"/>
      <c r="M149" s="85"/>
      <c r="N149" s="85"/>
      <c r="O149" s="85"/>
      <c r="P149" s="85"/>
      <c r="Q149" s="85"/>
      <c r="R149" s="85"/>
      <c r="S149" s="89"/>
      <c r="T149" s="89" t="s">
        <v>1124</v>
      </c>
      <c r="U149" s="85"/>
      <c r="V149" s="85"/>
      <c r="W149" s="85"/>
      <c r="X149" s="89" t="s">
        <v>1124</v>
      </c>
      <c r="Y149" s="79"/>
      <c r="Z149" s="79"/>
      <c r="AA149" s="94"/>
      <c r="AB149" s="79" t="s">
        <v>1124</v>
      </c>
      <c r="AC149" s="85"/>
      <c r="AD149" s="85"/>
      <c r="AE149" s="85"/>
      <c r="AF149" s="85"/>
      <c r="AG149" s="85" t="s">
        <v>1124</v>
      </c>
      <c r="AH149" s="85"/>
      <c r="AI149" s="85"/>
      <c r="AJ149" s="85"/>
      <c r="AK149" s="85"/>
      <c r="AL149" s="85"/>
      <c r="AM149" s="85"/>
      <c r="AN149" s="85"/>
      <c r="AO149" s="85"/>
      <c r="AP149" s="85"/>
      <c r="AQ149" s="85"/>
      <c r="AR149" s="85" t="s">
        <v>1124</v>
      </c>
      <c r="AS149" s="85"/>
      <c r="AT149" s="85"/>
      <c r="AU149" s="85"/>
      <c r="AV149" s="85"/>
      <c r="AW149" s="85"/>
      <c r="AX149" s="85"/>
      <c r="AY149" s="85"/>
      <c r="AZ149" s="85"/>
      <c r="BA149" s="85"/>
      <c r="BB149" s="89"/>
      <c r="BC149" s="89" t="s">
        <v>1124</v>
      </c>
      <c r="BD149" s="37"/>
      <c r="BE149" s="37"/>
      <c r="BF149" s="279"/>
      <c r="BG149" s="37"/>
      <c r="BH149" s="37"/>
      <c r="BI149" s="37"/>
      <c r="BJ149" s="283"/>
      <c r="BK149" s="161"/>
      <c r="BL149" s="294"/>
      <c r="BM149"/>
      <c r="BN149"/>
      <c r="BO149"/>
      <c r="BP149"/>
      <c r="BQ149"/>
      <c r="BR149"/>
      <c r="BS149"/>
      <c r="BT149"/>
      <c r="BU149"/>
      <c r="BV149"/>
      <c r="BW149"/>
      <c r="BX149"/>
      <c r="BY149"/>
      <c r="BZ149"/>
      <c r="CA149"/>
      <c r="CB149"/>
      <c r="CC149"/>
      <c r="CD149"/>
      <c r="CE149"/>
      <c r="CF149"/>
      <c r="CG149"/>
      <c r="CH149"/>
      <c r="CI149"/>
      <c r="CJ149"/>
    </row>
    <row r="150" spans="1:88" s="32" customFormat="1" ht="15" customHeight="1" x14ac:dyDescent="0.35">
      <c r="A150" s="473"/>
      <c r="B150" s="313">
        <v>92022</v>
      </c>
      <c r="C150" s="8" t="s">
        <v>949</v>
      </c>
      <c r="D150" s="18">
        <v>2</v>
      </c>
      <c r="E150" s="251">
        <v>5848</v>
      </c>
      <c r="F150" s="82">
        <v>2.2759891078007368</v>
      </c>
      <c r="G150" s="79">
        <v>13309.984302418708</v>
      </c>
      <c r="H150" s="90">
        <v>187.73400000000001</v>
      </c>
      <c r="I150" s="85">
        <v>177.654</v>
      </c>
      <c r="J150" s="85">
        <v>189.589</v>
      </c>
      <c r="K150" s="85">
        <v>180.255</v>
      </c>
      <c r="L150" s="85">
        <v>184.54300000000001</v>
      </c>
      <c r="M150" s="85">
        <v>192.37100000000001</v>
      </c>
      <c r="N150" s="85">
        <v>216.64</v>
      </c>
      <c r="O150" s="85">
        <v>232.286</v>
      </c>
      <c r="P150" s="85">
        <v>182.84899999999999</v>
      </c>
      <c r="Q150" s="85">
        <v>167.29300000000001</v>
      </c>
      <c r="R150" s="85">
        <v>164.76300000000001</v>
      </c>
      <c r="S150" s="89">
        <v>177.54900000000001</v>
      </c>
      <c r="T150" s="89">
        <v>2253.5259999999998</v>
      </c>
      <c r="U150" s="85">
        <v>2253.5259999999998</v>
      </c>
      <c r="V150" s="85">
        <v>0</v>
      </c>
      <c r="W150" s="85">
        <v>0</v>
      </c>
      <c r="X150" s="89">
        <v>2253.5259999999998</v>
      </c>
      <c r="Y150" s="79">
        <v>2</v>
      </c>
      <c r="Z150" s="79">
        <v>0</v>
      </c>
      <c r="AA150" s="94">
        <v>0</v>
      </c>
      <c r="AB150" s="79">
        <v>2</v>
      </c>
      <c r="AC150" s="85">
        <v>1048.4090000000001</v>
      </c>
      <c r="AD150" s="85">
        <v>438.54</v>
      </c>
      <c r="AE150" s="85">
        <v>766.577</v>
      </c>
      <c r="AF150" s="85">
        <v>0</v>
      </c>
      <c r="AG150" s="85">
        <v>2253.5259999999998</v>
      </c>
      <c r="AH150" s="85">
        <v>2253.5259999999998</v>
      </c>
      <c r="AI150" s="85">
        <v>0</v>
      </c>
      <c r="AJ150" s="85">
        <v>0</v>
      </c>
      <c r="AK150" s="85">
        <v>0</v>
      </c>
      <c r="AL150" s="85">
        <v>0</v>
      </c>
      <c r="AM150" s="85">
        <v>0</v>
      </c>
      <c r="AN150" s="85">
        <v>0</v>
      </c>
      <c r="AO150" s="85">
        <v>0</v>
      </c>
      <c r="AP150" s="85">
        <v>0</v>
      </c>
      <c r="AQ150" s="85">
        <v>0</v>
      </c>
      <c r="AR150" s="85">
        <v>2253.5259999999998</v>
      </c>
      <c r="AS150" s="85">
        <v>0</v>
      </c>
      <c r="AT150" s="85">
        <v>0</v>
      </c>
      <c r="AU150" s="85">
        <v>0</v>
      </c>
      <c r="AV150" s="85">
        <v>0</v>
      </c>
      <c r="AW150" s="85">
        <v>0</v>
      </c>
      <c r="AX150" s="85">
        <v>0</v>
      </c>
      <c r="AY150" s="85">
        <v>0</v>
      </c>
      <c r="AZ150" s="85">
        <v>0</v>
      </c>
      <c r="BA150" s="85">
        <v>0</v>
      </c>
      <c r="BB150" s="89">
        <v>0</v>
      </c>
      <c r="BC150" s="89">
        <v>0</v>
      </c>
      <c r="BD150" s="37">
        <v>0</v>
      </c>
      <c r="BE150" s="37">
        <v>0</v>
      </c>
      <c r="BF150" s="279">
        <v>222046</v>
      </c>
      <c r="BG150" s="37">
        <v>454569</v>
      </c>
      <c r="BH150" s="37">
        <v>172658</v>
      </c>
      <c r="BI150" s="37">
        <v>247087</v>
      </c>
      <c r="BJ150" s="283">
        <v>1096360</v>
      </c>
      <c r="BK150" s="161"/>
      <c r="BL150" s="294"/>
      <c r="BM150"/>
      <c r="BN150"/>
      <c r="BO150"/>
      <c r="BP150"/>
      <c r="BQ150"/>
      <c r="BR150"/>
      <c r="BS150"/>
      <c r="BT150"/>
      <c r="BU150"/>
      <c r="BV150"/>
      <c r="BW150"/>
      <c r="BX150"/>
      <c r="BY150"/>
      <c r="BZ150"/>
      <c r="CA150"/>
      <c r="CB150"/>
      <c r="CC150"/>
      <c r="CD150"/>
      <c r="CE150"/>
      <c r="CF150"/>
      <c r="CG150"/>
      <c r="CH150"/>
      <c r="CI150"/>
      <c r="CJ150"/>
    </row>
    <row r="151" spans="1:88" s="32" customFormat="1" ht="15" customHeight="1" x14ac:dyDescent="0.35">
      <c r="A151" s="473"/>
      <c r="B151" s="313">
        <v>66142</v>
      </c>
      <c r="C151" s="8" t="s">
        <v>1113</v>
      </c>
      <c r="D151" s="18">
        <v>6</v>
      </c>
      <c r="E151" s="251"/>
      <c r="F151" s="82"/>
      <c r="G151" s="79"/>
      <c r="H151" s="90"/>
      <c r="I151" s="85"/>
      <c r="J151" s="85"/>
      <c r="K151" s="85"/>
      <c r="L151" s="85"/>
      <c r="M151" s="85"/>
      <c r="N151" s="85"/>
      <c r="O151" s="85"/>
      <c r="P151" s="85"/>
      <c r="Q151" s="85"/>
      <c r="R151" s="85"/>
      <c r="S151" s="89"/>
      <c r="T151" s="89" t="s">
        <v>1124</v>
      </c>
      <c r="U151" s="85"/>
      <c r="V151" s="85"/>
      <c r="W151" s="85"/>
      <c r="X151" s="89" t="s">
        <v>1124</v>
      </c>
      <c r="Y151" s="79"/>
      <c r="Z151" s="79"/>
      <c r="AA151" s="94"/>
      <c r="AB151" s="79" t="s">
        <v>1124</v>
      </c>
      <c r="AC151" s="85"/>
      <c r="AD151" s="85"/>
      <c r="AE151" s="85"/>
      <c r="AF151" s="85"/>
      <c r="AG151" s="85" t="s">
        <v>1124</v>
      </c>
      <c r="AH151" s="85"/>
      <c r="AI151" s="85"/>
      <c r="AJ151" s="85"/>
      <c r="AK151" s="85"/>
      <c r="AL151" s="85"/>
      <c r="AM151" s="85"/>
      <c r="AN151" s="85"/>
      <c r="AO151" s="85"/>
      <c r="AP151" s="85"/>
      <c r="AQ151" s="85"/>
      <c r="AR151" s="85" t="s">
        <v>1124</v>
      </c>
      <c r="AS151" s="85"/>
      <c r="AT151" s="85"/>
      <c r="AU151" s="85"/>
      <c r="AV151" s="85"/>
      <c r="AW151" s="85"/>
      <c r="AX151" s="85"/>
      <c r="AY151" s="85"/>
      <c r="AZ151" s="85"/>
      <c r="BA151" s="85"/>
      <c r="BB151" s="89"/>
      <c r="BC151" s="89" t="s">
        <v>1124</v>
      </c>
      <c r="BD151" s="37"/>
      <c r="BE151" s="37"/>
      <c r="BF151" s="279"/>
      <c r="BG151" s="37"/>
      <c r="BH151" s="37"/>
      <c r="BI151" s="37"/>
      <c r="BJ151" s="283"/>
      <c r="BK151" s="161"/>
      <c r="BL151" s="294"/>
      <c r="BM151"/>
      <c r="BN151"/>
      <c r="BO151"/>
      <c r="BP151"/>
      <c r="BQ151"/>
      <c r="BR151"/>
      <c r="BS151"/>
      <c r="BT151"/>
      <c r="BU151"/>
      <c r="BV151"/>
      <c r="BW151"/>
      <c r="BX151"/>
      <c r="BY151"/>
      <c r="BZ151"/>
      <c r="CA151"/>
      <c r="CB151"/>
      <c r="CC151"/>
      <c r="CD151"/>
      <c r="CE151"/>
      <c r="CF151"/>
      <c r="CG151"/>
      <c r="CH151"/>
      <c r="CI151"/>
      <c r="CJ151"/>
    </row>
    <row r="152" spans="1:88" s="32" customFormat="1" ht="15" customHeight="1" x14ac:dyDescent="0.35">
      <c r="A152" s="473"/>
      <c r="B152" s="313">
        <v>34025</v>
      </c>
      <c r="C152" s="8" t="s">
        <v>287</v>
      </c>
      <c r="D152" s="18">
        <v>3</v>
      </c>
      <c r="E152" s="251">
        <v>3532</v>
      </c>
      <c r="F152" s="82">
        <v>2.2007233273056057</v>
      </c>
      <c r="G152" s="79">
        <v>7772.9547920433997</v>
      </c>
      <c r="H152" s="90">
        <v>78.629000000000005</v>
      </c>
      <c r="I152" s="85">
        <v>78.864000000000004</v>
      </c>
      <c r="J152" s="85">
        <v>84.823999999999998</v>
      </c>
      <c r="K152" s="85">
        <v>87.856999999999999</v>
      </c>
      <c r="L152" s="85">
        <v>95.135999999999996</v>
      </c>
      <c r="M152" s="85">
        <v>94.058999999999997</v>
      </c>
      <c r="N152" s="85">
        <v>113.755</v>
      </c>
      <c r="O152" s="85">
        <v>103.6</v>
      </c>
      <c r="P152" s="85">
        <v>90.917000000000002</v>
      </c>
      <c r="Q152" s="85">
        <v>94.617000000000004</v>
      </c>
      <c r="R152" s="85">
        <v>89.597999999999999</v>
      </c>
      <c r="S152" s="89">
        <v>89.093000000000004</v>
      </c>
      <c r="T152" s="89">
        <v>1100.9489999999998</v>
      </c>
      <c r="U152" s="85">
        <v>1100.9490000000001</v>
      </c>
      <c r="V152" s="85">
        <v>0</v>
      </c>
      <c r="W152" s="85">
        <v>0</v>
      </c>
      <c r="X152" s="89">
        <v>1100.9490000000001</v>
      </c>
      <c r="Y152" s="79">
        <v>1</v>
      </c>
      <c r="Z152" s="79">
        <v>0</v>
      </c>
      <c r="AA152" s="94">
        <v>0</v>
      </c>
      <c r="AB152" s="79">
        <v>1</v>
      </c>
      <c r="AC152" s="85">
        <v>692.33702275632845</v>
      </c>
      <c r="AD152" s="85">
        <v>191.28066587685512</v>
      </c>
      <c r="AE152" s="85">
        <v>212.89831136681627</v>
      </c>
      <c r="AF152" s="85">
        <v>4.4329999999999998</v>
      </c>
      <c r="AG152" s="85">
        <v>1100.9489999999998</v>
      </c>
      <c r="AH152" s="85">
        <v>0</v>
      </c>
      <c r="AI152" s="85">
        <v>0</v>
      </c>
      <c r="AJ152" s="85">
        <v>0</v>
      </c>
      <c r="AK152" s="85">
        <v>1100.9490000000001</v>
      </c>
      <c r="AL152" s="85">
        <v>0</v>
      </c>
      <c r="AM152" s="85">
        <v>0</v>
      </c>
      <c r="AN152" s="85">
        <v>0</v>
      </c>
      <c r="AO152" s="85">
        <v>0</v>
      </c>
      <c r="AP152" s="85">
        <v>0</v>
      </c>
      <c r="AQ152" s="85">
        <v>0</v>
      </c>
      <c r="AR152" s="85">
        <v>1100.9490000000001</v>
      </c>
      <c r="AS152" s="85">
        <v>0</v>
      </c>
      <c r="AT152" s="85">
        <v>0</v>
      </c>
      <c r="AU152" s="85">
        <v>0</v>
      </c>
      <c r="AV152" s="85">
        <v>0</v>
      </c>
      <c r="AW152" s="85">
        <v>0</v>
      </c>
      <c r="AX152" s="85">
        <v>0</v>
      </c>
      <c r="AY152" s="85">
        <v>0</v>
      </c>
      <c r="AZ152" s="85">
        <v>0</v>
      </c>
      <c r="BA152" s="85">
        <v>0</v>
      </c>
      <c r="BB152" s="89">
        <v>0</v>
      </c>
      <c r="BC152" s="89">
        <v>0</v>
      </c>
      <c r="BD152" s="37">
        <v>0</v>
      </c>
      <c r="BE152" s="37">
        <v>9045</v>
      </c>
      <c r="BF152" s="279">
        <v>216580</v>
      </c>
      <c r="BG152" s="37">
        <v>288405</v>
      </c>
      <c r="BH152" s="37">
        <v>120601</v>
      </c>
      <c r="BI152" s="37">
        <v>88368</v>
      </c>
      <c r="BJ152" s="283">
        <v>713954</v>
      </c>
      <c r="BK152" s="161"/>
      <c r="BL152" s="294"/>
      <c r="BM152"/>
      <c r="BN152"/>
      <c r="BO152"/>
      <c r="BP152"/>
      <c r="BQ152"/>
      <c r="BR152"/>
      <c r="BS152"/>
      <c r="BT152"/>
      <c r="BU152"/>
      <c r="BV152"/>
      <c r="BW152"/>
      <c r="BX152"/>
      <c r="BY152"/>
      <c r="BZ152"/>
      <c r="CA152"/>
      <c r="CB152"/>
      <c r="CC152"/>
      <c r="CD152"/>
      <c r="CE152"/>
      <c r="CF152"/>
      <c r="CG152"/>
      <c r="CH152"/>
      <c r="CI152"/>
      <c r="CJ152"/>
    </row>
    <row r="153" spans="1:88" s="32" customFormat="1" ht="15" customHeight="1" x14ac:dyDescent="0.35">
      <c r="A153" s="473"/>
      <c r="B153" s="313">
        <v>66087</v>
      </c>
      <c r="C153" s="8" t="s">
        <v>654</v>
      </c>
      <c r="D153" s="18">
        <v>6</v>
      </c>
      <c r="E153" s="251"/>
      <c r="F153" s="82"/>
      <c r="G153" s="79"/>
      <c r="H153" s="90"/>
      <c r="I153" s="85"/>
      <c r="J153" s="85"/>
      <c r="K153" s="85"/>
      <c r="L153" s="85"/>
      <c r="M153" s="85"/>
      <c r="N153" s="85"/>
      <c r="O153" s="85"/>
      <c r="P153" s="85"/>
      <c r="Q153" s="85"/>
      <c r="R153" s="85"/>
      <c r="S153" s="89"/>
      <c r="T153" s="89" t="s">
        <v>1124</v>
      </c>
      <c r="U153" s="85"/>
      <c r="V153" s="85"/>
      <c r="W153" s="85"/>
      <c r="X153" s="89" t="s">
        <v>1124</v>
      </c>
      <c r="Y153" s="79"/>
      <c r="Z153" s="79"/>
      <c r="AA153" s="94"/>
      <c r="AB153" s="79" t="s">
        <v>1124</v>
      </c>
      <c r="AC153" s="85"/>
      <c r="AD153" s="85"/>
      <c r="AE153" s="85"/>
      <c r="AF153" s="85"/>
      <c r="AG153" s="85" t="s">
        <v>1124</v>
      </c>
      <c r="AH153" s="85"/>
      <c r="AI153" s="85"/>
      <c r="AJ153" s="85"/>
      <c r="AK153" s="85"/>
      <c r="AL153" s="85"/>
      <c r="AM153" s="85"/>
      <c r="AN153" s="85"/>
      <c r="AO153" s="85"/>
      <c r="AP153" s="85"/>
      <c r="AQ153" s="85"/>
      <c r="AR153" s="85" t="s">
        <v>1124</v>
      </c>
      <c r="AS153" s="85"/>
      <c r="AT153" s="85"/>
      <c r="AU153" s="85"/>
      <c r="AV153" s="85"/>
      <c r="AW153" s="85"/>
      <c r="AX153" s="85"/>
      <c r="AY153" s="85"/>
      <c r="AZ153" s="85"/>
      <c r="BA153" s="85"/>
      <c r="BB153" s="89"/>
      <c r="BC153" s="89" t="s">
        <v>1124</v>
      </c>
      <c r="BD153" s="37"/>
      <c r="BE153" s="37"/>
      <c r="BF153" s="279"/>
      <c r="BG153" s="37"/>
      <c r="BH153" s="37"/>
      <c r="BI153" s="37"/>
      <c r="BJ153" s="283"/>
      <c r="BK153" s="161"/>
      <c r="BL153" s="294"/>
      <c r="BM153"/>
      <c r="BN153"/>
      <c r="BO153"/>
      <c r="BP153"/>
      <c r="BQ153"/>
      <c r="BR153"/>
      <c r="BS153"/>
      <c r="BT153"/>
      <c r="BU153"/>
      <c r="BV153"/>
      <c r="BW153"/>
      <c r="BX153"/>
      <c r="BY153"/>
      <c r="BZ153"/>
      <c r="CA153"/>
      <c r="CB153"/>
      <c r="CC153"/>
      <c r="CD153"/>
      <c r="CE153"/>
      <c r="CF153"/>
      <c r="CG153"/>
      <c r="CH153"/>
      <c r="CI153"/>
      <c r="CJ153"/>
    </row>
    <row r="154" spans="1:88" s="32" customFormat="1" ht="15" customHeight="1" x14ac:dyDescent="0.35">
      <c r="A154" s="473"/>
      <c r="B154" s="313">
        <v>33040</v>
      </c>
      <c r="C154" s="8" t="s">
        <v>272</v>
      </c>
      <c r="D154" s="18">
        <v>12</v>
      </c>
      <c r="E154" s="251"/>
      <c r="F154" s="82"/>
      <c r="G154" s="79"/>
      <c r="H154" s="90"/>
      <c r="I154" s="85"/>
      <c r="J154" s="85"/>
      <c r="K154" s="85"/>
      <c r="L154" s="85"/>
      <c r="M154" s="85"/>
      <c r="N154" s="85"/>
      <c r="O154" s="85"/>
      <c r="P154" s="85"/>
      <c r="Q154" s="85"/>
      <c r="R154" s="85"/>
      <c r="S154" s="89"/>
      <c r="T154" s="89" t="s">
        <v>1124</v>
      </c>
      <c r="U154" s="85"/>
      <c r="V154" s="85"/>
      <c r="W154" s="85"/>
      <c r="X154" s="89" t="s">
        <v>1124</v>
      </c>
      <c r="Y154" s="79"/>
      <c r="Z154" s="79"/>
      <c r="AA154" s="94"/>
      <c r="AB154" s="79" t="s">
        <v>1124</v>
      </c>
      <c r="AC154" s="85"/>
      <c r="AD154" s="85"/>
      <c r="AE154" s="85"/>
      <c r="AF154" s="85"/>
      <c r="AG154" s="85" t="s">
        <v>1124</v>
      </c>
      <c r="AH154" s="85"/>
      <c r="AI154" s="85"/>
      <c r="AJ154" s="85"/>
      <c r="AK154" s="85"/>
      <c r="AL154" s="85"/>
      <c r="AM154" s="85"/>
      <c r="AN154" s="85"/>
      <c r="AO154" s="85"/>
      <c r="AP154" s="85"/>
      <c r="AQ154" s="85"/>
      <c r="AR154" s="85" t="s">
        <v>1124</v>
      </c>
      <c r="AS154" s="85"/>
      <c r="AT154" s="85"/>
      <c r="AU154" s="85"/>
      <c r="AV154" s="85"/>
      <c r="AW154" s="85"/>
      <c r="AX154" s="85"/>
      <c r="AY154" s="85"/>
      <c r="AZ154" s="85"/>
      <c r="BA154" s="85"/>
      <c r="BB154" s="89"/>
      <c r="BC154" s="89" t="s">
        <v>1124</v>
      </c>
      <c r="BD154" s="37"/>
      <c r="BE154" s="37"/>
      <c r="BF154" s="279"/>
      <c r="BG154" s="37"/>
      <c r="BH154" s="37"/>
      <c r="BI154" s="37"/>
      <c r="BJ154" s="283"/>
      <c r="BK154" s="161"/>
      <c r="BL154" s="294"/>
      <c r="BM154"/>
      <c r="BN154"/>
      <c r="BO154"/>
      <c r="BP154"/>
      <c r="BQ154"/>
      <c r="BR154"/>
      <c r="BS154"/>
      <c r="BT154"/>
      <c r="BU154"/>
      <c r="BV154"/>
      <c r="BW154"/>
      <c r="BX154"/>
      <c r="BY154"/>
      <c r="BZ154"/>
      <c r="CA154"/>
      <c r="CB154"/>
      <c r="CC154"/>
      <c r="CD154"/>
      <c r="CE154"/>
      <c r="CF154"/>
      <c r="CG154"/>
      <c r="CH154"/>
      <c r="CI154"/>
      <c r="CJ154"/>
    </row>
    <row r="155" spans="1:88" s="32" customFormat="1" ht="15" customHeight="1" x14ac:dyDescent="0.35">
      <c r="A155" s="473"/>
      <c r="B155" s="313">
        <v>49058</v>
      </c>
      <c r="C155" s="8" t="s">
        <v>471</v>
      </c>
      <c r="D155" s="18">
        <v>17</v>
      </c>
      <c r="E155" s="251">
        <v>34455</v>
      </c>
      <c r="F155" s="82">
        <v>2.1342373998023501</v>
      </c>
      <c r="G155" s="79">
        <v>73535.149610189968</v>
      </c>
      <c r="H155" s="90">
        <v>1098.319</v>
      </c>
      <c r="I155" s="85">
        <v>1031.6189999999999</v>
      </c>
      <c r="J155" s="85">
        <v>1121.01</v>
      </c>
      <c r="K155" s="85">
        <v>1050.492</v>
      </c>
      <c r="L155" s="85">
        <v>1185.78</v>
      </c>
      <c r="M155" s="85">
        <v>1277.152</v>
      </c>
      <c r="N155" s="85">
        <v>1415.4839999999999</v>
      </c>
      <c r="O155" s="85">
        <v>1536.048</v>
      </c>
      <c r="P155" s="85">
        <v>1296.752</v>
      </c>
      <c r="Q155" s="85">
        <v>1196.9280000000001</v>
      </c>
      <c r="R155" s="85">
        <v>1127.8920000000001</v>
      </c>
      <c r="S155" s="89">
        <v>1095.2360000000001</v>
      </c>
      <c r="T155" s="89">
        <v>14432.712000000001</v>
      </c>
      <c r="U155" s="85">
        <v>14432.712</v>
      </c>
      <c r="V155" s="85">
        <v>0</v>
      </c>
      <c r="W155" s="85">
        <v>0</v>
      </c>
      <c r="X155" s="89">
        <v>14432.712</v>
      </c>
      <c r="Y155" s="79">
        <v>1</v>
      </c>
      <c r="Z155" s="79">
        <v>0</v>
      </c>
      <c r="AA155" s="94">
        <v>0</v>
      </c>
      <c r="AB155" s="79">
        <v>1</v>
      </c>
      <c r="AC155" s="85">
        <v>6625.4470000000001</v>
      </c>
      <c r="AD155" s="85">
        <v>4235.308</v>
      </c>
      <c r="AE155" s="85">
        <v>2831.8329999999996</v>
      </c>
      <c r="AF155" s="85">
        <v>740.12400000000002</v>
      </c>
      <c r="AG155" s="85">
        <v>14432.712</v>
      </c>
      <c r="AH155" s="85">
        <v>14432.712</v>
      </c>
      <c r="AI155" s="85">
        <v>0</v>
      </c>
      <c r="AJ155" s="85">
        <v>0</v>
      </c>
      <c r="AK155" s="85">
        <v>0</v>
      </c>
      <c r="AL155" s="85">
        <v>0</v>
      </c>
      <c r="AM155" s="85">
        <v>0</v>
      </c>
      <c r="AN155" s="85">
        <v>0</v>
      </c>
      <c r="AO155" s="85">
        <v>0</v>
      </c>
      <c r="AP155" s="85">
        <v>0</v>
      </c>
      <c r="AQ155" s="85">
        <v>0</v>
      </c>
      <c r="AR155" s="85">
        <v>14432.712</v>
      </c>
      <c r="AS155" s="85">
        <v>0</v>
      </c>
      <c r="AT155" s="85">
        <v>0</v>
      </c>
      <c r="AU155" s="85">
        <v>0</v>
      </c>
      <c r="AV155" s="85">
        <v>0</v>
      </c>
      <c r="AW155" s="85">
        <v>0</v>
      </c>
      <c r="AX155" s="85">
        <v>0</v>
      </c>
      <c r="AY155" s="85">
        <v>0</v>
      </c>
      <c r="AZ155" s="85">
        <v>0</v>
      </c>
      <c r="BA155" s="85">
        <v>0</v>
      </c>
      <c r="BB155" s="89">
        <v>0</v>
      </c>
      <c r="BC155" s="89">
        <v>0</v>
      </c>
      <c r="BD155" s="37">
        <v>843712</v>
      </c>
      <c r="BE155" s="37">
        <v>951986</v>
      </c>
      <c r="BF155" s="279">
        <v>1318738</v>
      </c>
      <c r="BG155" s="37">
        <v>1035902</v>
      </c>
      <c r="BH155" s="37">
        <v>453424</v>
      </c>
      <c r="BI155" s="37">
        <v>187327</v>
      </c>
      <c r="BJ155" s="283">
        <v>2995391</v>
      </c>
      <c r="BK155" s="161"/>
      <c r="BL155" s="294"/>
      <c r="BM155"/>
      <c r="BN155"/>
      <c r="BO155"/>
      <c r="BP155"/>
      <c r="BQ155"/>
      <c r="BR155"/>
      <c r="BS155"/>
      <c r="BT155"/>
      <c r="BU155"/>
      <c r="BV155"/>
      <c r="BW155"/>
      <c r="BX155"/>
      <c r="BY155"/>
      <c r="BZ155"/>
      <c r="CA155"/>
      <c r="CB155"/>
      <c r="CC155"/>
      <c r="CD155"/>
      <c r="CE155"/>
      <c r="CF155"/>
      <c r="CG155"/>
      <c r="CH155"/>
      <c r="CI155"/>
      <c r="CJ155"/>
    </row>
    <row r="156" spans="1:88" s="32" customFormat="1" ht="15" customHeight="1" x14ac:dyDescent="0.35">
      <c r="A156" s="473"/>
      <c r="B156" s="313">
        <v>41117</v>
      </c>
      <c r="C156" s="8" t="s">
        <v>378</v>
      </c>
      <c r="D156" s="18">
        <v>5</v>
      </c>
      <c r="E156" s="251">
        <v>217</v>
      </c>
      <c r="F156" s="82">
        <v>2.1349397590361447</v>
      </c>
      <c r="G156" s="79">
        <v>463.28192771084343</v>
      </c>
      <c r="H156" s="90">
        <v>3.01</v>
      </c>
      <c r="I156" s="85">
        <v>2.887</v>
      </c>
      <c r="J156" s="85">
        <v>3.0619999999999998</v>
      </c>
      <c r="K156" s="85">
        <v>3.5830000000000002</v>
      </c>
      <c r="L156" s="85">
        <v>3.4540000000000002</v>
      </c>
      <c r="M156" s="85">
        <v>2.2000000000000002</v>
      </c>
      <c r="N156" s="85">
        <v>2.9049999999999998</v>
      </c>
      <c r="O156" s="85">
        <v>2.383</v>
      </c>
      <c r="P156" s="85">
        <v>2.665</v>
      </c>
      <c r="Q156" s="85">
        <v>2.6859999999999999</v>
      </c>
      <c r="R156" s="85">
        <v>2.331</v>
      </c>
      <c r="S156" s="89">
        <v>1.9419999999999999</v>
      </c>
      <c r="T156" s="89">
        <v>33.107999999999997</v>
      </c>
      <c r="U156" s="85">
        <v>0</v>
      </c>
      <c r="V156" s="85">
        <v>33.107999999999997</v>
      </c>
      <c r="W156" s="85">
        <v>0</v>
      </c>
      <c r="X156" s="89">
        <v>33.107999999999997</v>
      </c>
      <c r="Y156" s="79">
        <v>0</v>
      </c>
      <c r="Z156" s="79">
        <v>1</v>
      </c>
      <c r="AA156" s="94">
        <v>0</v>
      </c>
      <c r="AB156" s="79">
        <v>1</v>
      </c>
      <c r="AC156" s="85">
        <v>23.695314319526673</v>
      </c>
      <c r="AD156" s="85">
        <v>1.6296856804733233</v>
      </c>
      <c r="AE156" s="85">
        <v>7.7830000000000004</v>
      </c>
      <c r="AF156" s="85">
        <v>0</v>
      </c>
      <c r="AG156" s="85">
        <v>33.107999999999997</v>
      </c>
      <c r="AH156" s="85">
        <v>0</v>
      </c>
      <c r="AI156" s="85">
        <v>0</v>
      </c>
      <c r="AJ156" s="85">
        <v>0</v>
      </c>
      <c r="AK156" s="85">
        <v>0</v>
      </c>
      <c r="AL156" s="85">
        <v>0</v>
      </c>
      <c r="AM156" s="85">
        <v>0</v>
      </c>
      <c r="AN156" s="85">
        <v>0</v>
      </c>
      <c r="AO156" s="85">
        <v>0</v>
      </c>
      <c r="AP156" s="85">
        <v>0</v>
      </c>
      <c r="AQ156" s="85">
        <v>0</v>
      </c>
      <c r="AR156" s="85">
        <v>0</v>
      </c>
      <c r="AS156" s="85">
        <v>0</v>
      </c>
      <c r="AT156" s="85">
        <v>0</v>
      </c>
      <c r="AU156" s="85">
        <v>0</v>
      </c>
      <c r="AV156" s="85">
        <v>0</v>
      </c>
      <c r="AW156" s="85">
        <v>0</v>
      </c>
      <c r="AX156" s="85">
        <v>0</v>
      </c>
      <c r="AY156" s="85">
        <v>33.107999999999997</v>
      </c>
      <c r="AZ156" s="85">
        <v>0</v>
      </c>
      <c r="BA156" s="85">
        <v>0</v>
      </c>
      <c r="BB156" s="89">
        <v>0</v>
      </c>
      <c r="BC156" s="89">
        <v>33.107999999999997</v>
      </c>
      <c r="BD156" s="37" t="s">
        <v>1725</v>
      </c>
      <c r="BE156" s="37">
        <v>33683</v>
      </c>
      <c r="BF156" s="279">
        <v>3067</v>
      </c>
      <c r="BG156" s="37">
        <v>24178</v>
      </c>
      <c r="BH156" s="37">
        <v>3534</v>
      </c>
      <c r="BI156" s="37">
        <v>2905</v>
      </c>
      <c r="BJ156" s="283">
        <v>33684</v>
      </c>
      <c r="BK156" s="161"/>
      <c r="BL156" s="294"/>
      <c r="BM156"/>
      <c r="BN156"/>
      <c r="BO156"/>
      <c r="BP156"/>
      <c r="BQ156"/>
      <c r="BR156"/>
      <c r="BS156"/>
      <c r="BT156"/>
      <c r="BU156"/>
      <c r="BV156"/>
      <c r="BW156"/>
      <c r="BX156"/>
      <c r="BY156"/>
      <c r="BZ156"/>
      <c r="CA156"/>
      <c r="CB156"/>
      <c r="CC156"/>
      <c r="CD156"/>
      <c r="CE156"/>
      <c r="CF156"/>
      <c r="CG156"/>
      <c r="CH156"/>
      <c r="CI156"/>
      <c r="CJ156"/>
    </row>
    <row r="157" spans="1:88" s="32" customFormat="1" ht="15" customHeight="1" x14ac:dyDescent="0.35">
      <c r="A157" s="473"/>
      <c r="B157" s="313">
        <v>80135</v>
      </c>
      <c r="C157" s="8" t="s">
        <v>824</v>
      </c>
      <c r="D157" s="18">
        <v>7</v>
      </c>
      <c r="E157" s="251"/>
      <c r="F157" s="82"/>
      <c r="G157" s="79"/>
      <c r="H157" s="90"/>
      <c r="I157" s="85"/>
      <c r="J157" s="85"/>
      <c r="K157" s="85"/>
      <c r="L157" s="85"/>
      <c r="M157" s="85"/>
      <c r="N157" s="85"/>
      <c r="O157" s="85"/>
      <c r="P157" s="85"/>
      <c r="Q157" s="85"/>
      <c r="R157" s="85"/>
      <c r="S157" s="89"/>
      <c r="T157" s="89" t="s">
        <v>1124</v>
      </c>
      <c r="U157" s="85"/>
      <c r="V157" s="85"/>
      <c r="W157" s="85"/>
      <c r="X157" s="89" t="s">
        <v>1124</v>
      </c>
      <c r="Y157" s="79"/>
      <c r="Z157" s="79"/>
      <c r="AA157" s="94"/>
      <c r="AB157" s="79" t="s">
        <v>1124</v>
      </c>
      <c r="AC157" s="85"/>
      <c r="AD157" s="85"/>
      <c r="AE157" s="85"/>
      <c r="AF157" s="85"/>
      <c r="AG157" s="85" t="s">
        <v>1124</v>
      </c>
      <c r="AH157" s="85"/>
      <c r="AI157" s="85"/>
      <c r="AJ157" s="85"/>
      <c r="AK157" s="85"/>
      <c r="AL157" s="85"/>
      <c r="AM157" s="85"/>
      <c r="AN157" s="85"/>
      <c r="AO157" s="85"/>
      <c r="AP157" s="85"/>
      <c r="AQ157" s="85"/>
      <c r="AR157" s="85" t="s">
        <v>1124</v>
      </c>
      <c r="AS157" s="85"/>
      <c r="AT157" s="85"/>
      <c r="AU157" s="85"/>
      <c r="AV157" s="85"/>
      <c r="AW157" s="85"/>
      <c r="AX157" s="85"/>
      <c r="AY157" s="85"/>
      <c r="AZ157" s="85"/>
      <c r="BA157" s="85"/>
      <c r="BB157" s="89"/>
      <c r="BC157" s="89" t="s">
        <v>1124</v>
      </c>
      <c r="BD157" s="37"/>
      <c r="BE157" s="37"/>
      <c r="BF157" s="279"/>
      <c r="BG157" s="37"/>
      <c r="BH157" s="37"/>
      <c r="BI157" s="37"/>
      <c r="BJ157" s="283"/>
      <c r="BK157" s="161"/>
      <c r="BL157" s="294"/>
      <c r="BM157"/>
      <c r="BN157"/>
      <c r="BO157"/>
      <c r="BP157"/>
      <c r="BQ157"/>
      <c r="BR157"/>
      <c r="BS157"/>
      <c r="BT157"/>
      <c r="BU157"/>
      <c r="BV157"/>
      <c r="BW157"/>
      <c r="BX157"/>
      <c r="BY157"/>
      <c r="BZ157"/>
      <c r="CA157"/>
      <c r="CB157"/>
      <c r="CC157"/>
      <c r="CD157"/>
      <c r="CE157"/>
      <c r="CF157"/>
      <c r="CG157"/>
      <c r="CH157"/>
      <c r="CI157"/>
      <c r="CJ157"/>
    </row>
    <row r="158" spans="1:88" s="32" customFormat="1" ht="15" customHeight="1" x14ac:dyDescent="0.35">
      <c r="A158" s="473"/>
      <c r="B158" s="313">
        <v>85030</v>
      </c>
      <c r="C158" s="8" t="s">
        <v>875</v>
      </c>
      <c r="D158" s="18">
        <v>8</v>
      </c>
      <c r="E158" s="251"/>
      <c r="F158" s="82"/>
      <c r="G158" s="79"/>
      <c r="H158" s="90"/>
      <c r="I158" s="85"/>
      <c r="J158" s="85"/>
      <c r="K158" s="85"/>
      <c r="L158" s="85"/>
      <c r="M158" s="85"/>
      <c r="N158" s="85"/>
      <c r="O158" s="85"/>
      <c r="P158" s="85"/>
      <c r="Q158" s="85"/>
      <c r="R158" s="85"/>
      <c r="S158" s="89"/>
      <c r="T158" s="89" t="s">
        <v>1124</v>
      </c>
      <c r="U158" s="85"/>
      <c r="V158" s="85"/>
      <c r="W158" s="85"/>
      <c r="X158" s="89" t="s">
        <v>1124</v>
      </c>
      <c r="Y158" s="79"/>
      <c r="Z158" s="79"/>
      <c r="AA158" s="94"/>
      <c r="AB158" s="79" t="s">
        <v>1124</v>
      </c>
      <c r="AC158" s="85"/>
      <c r="AD158" s="85"/>
      <c r="AE158" s="85"/>
      <c r="AF158" s="85"/>
      <c r="AG158" s="85" t="s">
        <v>1124</v>
      </c>
      <c r="AH158" s="85"/>
      <c r="AI158" s="85"/>
      <c r="AJ158" s="85"/>
      <c r="AK158" s="85"/>
      <c r="AL158" s="85"/>
      <c r="AM158" s="85"/>
      <c r="AN158" s="85"/>
      <c r="AO158" s="85"/>
      <c r="AP158" s="85"/>
      <c r="AQ158" s="85"/>
      <c r="AR158" s="85" t="s">
        <v>1124</v>
      </c>
      <c r="AS158" s="85"/>
      <c r="AT158" s="85"/>
      <c r="AU158" s="85"/>
      <c r="AV158" s="85"/>
      <c r="AW158" s="85"/>
      <c r="AX158" s="85"/>
      <c r="AY158" s="85"/>
      <c r="AZ158" s="85"/>
      <c r="BA158" s="85"/>
      <c r="BB158" s="89"/>
      <c r="BC158" s="89" t="s">
        <v>1124</v>
      </c>
      <c r="BD158" s="37"/>
      <c r="BE158" s="37"/>
      <c r="BF158" s="279"/>
      <c r="BG158" s="37"/>
      <c r="BH158" s="37"/>
      <c r="BI158" s="37"/>
      <c r="BJ158" s="283"/>
      <c r="BK158" s="161"/>
      <c r="BL158" s="294"/>
      <c r="BM158"/>
      <c r="BN158"/>
      <c r="BO158"/>
      <c r="BP158"/>
      <c r="BQ158"/>
      <c r="BR158"/>
      <c r="BS158"/>
      <c r="BT158"/>
      <c r="BU158"/>
      <c r="BV158"/>
      <c r="BW158"/>
      <c r="BX158"/>
      <c r="BY158"/>
      <c r="BZ158"/>
      <c r="CA158"/>
      <c r="CB158"/>
      <c r="CC158"/>
      <c r="CD158"/>
      <c r="CE158"/>
      <c r="CF158"/>
      <c r="CG158"/>
      <c r="CH158"/>
      <c r="CI158"/>
      <c r="CJ158"/>
    </row>
    <row r="159" spans="1:88" s="32" customFormat="1" ht="15" customHeight="1" x14ac:dyDescent="0.35">
      <c r="A159" s="473"/>
      <c r="B159" s="313">
        <v>69075</v>
      </c>
      <c r="C159" s="8" t="s">
        <v>696</v>
      </c>
      <c r="D159" s="18">
        <v>16</v>
      </c>
      <c r="E159" s="251"/>
      <c r="F159" s="82"/>
      <c r="G159" s="79"/>
      <c r="H159" s="90"/>
      <c r="I159" s="85"/>
      <c r="J159" s="85"/>
      <c r="K159" s="85"/>
      <c r="L159" s="85"/>
      <c r="M159" s="85"/>
      <c r="N159" s="85"/>
      <c r="O159" s="85"/>
      <c r="P159" s="85"/>
      <c r="Q159" s="85"/>
      <c r="R159" s="85"/>
      <c r="S159" s="89"/>
      <c r="T159" s="89" t="s">
        <v>1124</v>
      </c>
      <c r="U159" s="85"/>
      <c r="V159" s="85"/>
      <c r="W159" s="85"/>
      <c r="X159" s="89" t="s">
        <v>1124</v>
      </c>
      <c r="Y159" s="79"/>
      <c r="Z159" s="79"/>
      <c r="AA159" s="94"/>
      <c r="AB159" s="79" t="s">
        <v>1124</v>
      </c>
      <c r="AC159" s="85"/>
      <c r="AD159" s="85"/>
      <c r="AE159" s="85"/>
      <c r="AF159" s="85"/>
      <c r="AG159" s="85" t="s">
        <v>1124</v>
      </c>
      <c r="AH159" s="85"/>
      <c r="AI159" s="85"/>
      <c r="AJ159" s="85"/>
      <c r="AK159" s="85"/>
      <c r="AL159" s="85"/>
      <c r="AM159" s="85"/>
      <c r="AN159" s="85"/>
      <c r="AO159" s="85"/>
      <c r="AP159" s="85"/>
      <c r="AQ159" s="85"/>
      <c r="AR159" s="85" t="s">
        <v>1124</v>
      </c>
      <c r="AS159" s="85"/>
      <c r="AT159" s="85"/>
      <c r="AU159" s="85"/>
      <c r="AV159" s="85"/>
      <c r="AW159" s="85"/>
      <c r="AX159" s="85"/>
      <c r="AY159" s="85"/>
      <c r="AZ159" s="85"/>
      <c r="BA159" s="85"/>
      <c r="BB159" s="89"/>
      <c r="BC159" s="89" t="s">
        <v>1124</v>
      </c>
      <c r="BD159" s="37"/>
      <c r="BE159" s="37"/>
      <c r="BF159" s="279"/>
      <c r="BG159" s="37"/>
      <c r="BH159" s="37"/>
      <c r="BI159" s="37"/>
      <c r="BJ159" s="283"/>
      <c r="BK159" s="161"/>
      <c r="BL159" s="294"/>
      <c r="BM159"/>
      <c r="BN159"/>
      <c r="BO159"/>
      <c r="BP159"/>
      <c r="BQ159"/>
      <c r="BR159"/>
      <c r="BS159"/>
      <c r="BT159"/>
      <c r="BU159"/>
      <c r="BV159"/>
      <c r="BW159"/>
      <c r="BX159"/>
      <c r="BY159"/>
      <c r="BZ159"/>
      <c r="CA159"/>
      <c r="CB159"/>
      <c r="CC159"/>
      <c r="CD159"/>
      <c r="CE159"/>
      <c r="CF159"/>
      <c r="CG159"/>
      <c r="CH159"/>
      <c r="CI159"/>
      <c r="CJ159"/>
    </row>
    <row r="160" spans="1:88" s="32" customFormat="1" ht="15" customHeight="1" x14ac:dyDescent="0.35">
      <c r="A160" s="473"/>
      <c r="B160" s="313">
        <v>46050</v>
      </c>
      <c r="C160" s="8" t="s">
        <v>435</v>
      </c>
      <c r="D160" s="18">
        <v>5</v>
      </c>
      <c r="E160" s="251"/>
      <c r="F160" s="82"/>
      <c r="G160" s="79"/>
      <c r="H160" s="90"/>
      <c r="I160" s="85"/>
      <c r="J160" s="85"/>
      <c r="K160" s="85"/>
      <c r="L160" s="85"/>
      <c r="M160" s="85"/>
      <c r="N160" s="85"/>
      <c r="O160" s="85"/>
      <c r="P160" s="85"/>
      <c r="Q160" s="85"/>
      <c r="R160" s="85"/>
      <c r="S160" s="89"/>
      <c r="T160" s="89" t="s">
        <v>1124</v>
      </c>
      <c r="U160" s="85"/>
      <c r="V160" s="85"/>
      <c r="W160" s="85"/>
      <c r="X160" s="89" t="s">
        <v>1124</v>
      </c>
      <c r="Y160" s="79"/>
      <c r="Z160" s="79"/>
      <c r="AA160" s="94"/>
      <c r="AB160" s="79" t="s">
        <v>1124</v>
      </c>
      <c r="AC160" s="85"/>
      <c r="AD160" s="85"/>
      <c r="AE160" s="85"/>
      <c r="AF160" s="85"/>
      <c r="AG160" s="85" t="s">
        <v>1124</v>
      </c>
      <c r="AH160" s="85"/>
      <c r="AI160" s="85"/>
      <c r="AJ160" s="85"/>
      <c r="AK160" s="85"/>
      <c r="AL160" s="85"/>
      <c r="AM160" s="85"/>
      <c r="AN160" s="85"/>
      <c r="AO160" s="85"/>
      <c r="AP160" s="85"/>
      <c r="AQ160" s="85"/>
      <c r="AR160" s="85" t="s">
        <v>1124</v>
      </c>
      <c r="AS160" s="85"/>
      <c r="AT160" s="85"/>
      <c r="AU160" s="85"/>
      <c r="AV160" s="85"/>
      <c r="AW160" s="85"/>
      <c r="AX160" s="85"/>
      <c r="AY160" s="85"/>
      <c r="AZ160" s="85"/>
      <c r="BA160" s="85"/>
      <c r="BB160" s="89"/>
      <c r="BC160" s="89" t="s">
        <v>1124</v>
      </c>
      <c r="BD160" s="37"/>
      <c r="BE160" s="37"/>
      <c r="BF160" s="279"/>
      <c r="BG160" s="37"/>
      <c r="BH160" s="37"/>
      <c r="BI160" s="37"/>
      <c r="BJ160" s="283"/>
      <c r="BK160" s="161"/>
      <c r="BL160" s="294"/>
      <c r="BM160"/>
      <c r="BN160"/>
      <c r="BO160"/>
      <c r="BP160"/>
      <c r="BQ160"/>
      <c r="BR160"/>
      <c r="BS160"/>
      <c r="BT160"/>
      <c r="BU160"/>
      <c r="BV160"/>
      <c r="BW160"/>
      <c r="BX160"/>
      <c r="BY160"/>
      <c r="BZ160"/>
      <c r="CA160"/>
      <c r="CB160"/>
      <c r="CC160"/>
      <c r="CD160"/>
      <c r="CE160"/>
      <c r="CF160"/>
      <c r="CG160"/>
      <c r="CH160"/>
      <c r="CI160"/>
      <c r="CJ160"/>
    </row>
    <row r="161" spans="1:88" s="32" customFormat="1" ht="15" customHeight="1" x14ac:dyDescent="0.35">
      <c r="A161" s="473"/>
      <c r="B161" s="313">
        <v>87005</v>
      </c>
      <c r="C161" s="8" t="s">
        <v>890</v>
      </c>
      <c r="D161" s="18">
        <v>8</v>
      </c>
      <c r="E161" s="251"/>
      <c r="F161" s="82"/>
      <c r="G161" s="79"/>
      <c r="H161" s="90"/>
      <c r="I161" s="85"/>
      <c r="J161" s="85"/>
      <c r="K161" s="85"/>
      <c r="L161" s="85"/>
      <c r="M161" s="85"/>
      <c r="N161" s="85"/>
      <c r="O161" s="85"/>
      <c r="P161" s="85"/>
      <c r="Q161" s="85"/>
      <c r="R161" s="85"/>
      <c r="S161" s="89"/>
      <c r="T161" s="89" t="s">
        <v>1124</v>
      </c>
      <c r="U161" s="85"/>
      <c r="V161" s="85"/>
      <c r="W161" s="85"/>
      <c r="X161" s="89" t="s">
        <v>1124</v>
      </c>
      <c r="Y161" s="79"/>
      <c r="Z161" s="79"/>
      <c r="AA161" s="94"/>
      <c r="AB161" s="79" t="s">
        <v>1124</v>
      </c>
      <c r="AC161" s="85"/>
      <c r="AD161" s="85"/>
      <c r="AE161" s="85"/>
      <c r="AF161" s="85"/>
      <c r="AG161" s="85" t="s">
        <v>1124</v>
      </c>
      <c r="AH161" s="85"/>
      <c r="AI161" s="85"/>
      <c r="AJ161" s="85"/>
      <c r="AK161" s="85"/>
      <c r="AL161" s="85"/>
      <c r="AM161" s="85"/>
      <c r="AN161" s="85"/>
      <c r="AO161" s="85"/>
      <c r="AP161" s="85"/>
      <c r="AQ161" s="85"/>
      <c r="AR161" s="85" t="s">
        <v>1124</v>
      </c>
      <c r="AS161" s="85"/>
      <c r="AT161" s="85"/>
      <c r="AU161" s="85"/>
      <c r="AV161" s="85"/>
      <c r="AW161" s="85"/>
      <c r="AX161" s="85"/>
      <c r="AY161" s="85"/>
      <c r="AZ161" s="85"/>
      <c r="BA161" s="85"/>
      <c r="BB161" s="89"/>
      <c r="BC161" s="89" t="s">
        <v>1124</v>
      </c>
      <c r="BD161" s="37"/>
      <c r="BE161" s="37"/>
      <c r="BF161" s="279"/>
      <c r="BG161" s="37"/>
      <c r="BH161" s="37"/>
      <c r="BI161" s="37"/>
      <c r="BJ161" s="283"/>
      <c r="BK161" s="161"/>
      <c r="BL161" s="294"/>
      <c r="BM161"/>
      <c r="BN161"/>
      <c r="BO161"/>
      <c r="BP161"/>
      <c r="BQ161"/>
      <c r="BR161"/>
      <c r="BS161"/>
      <c r="BT161"/>
      <c r="BU161"/>
      <c r="BV161"/>
      <c r="BW161"/>
      <c r="BX161"/>
      <c r="BY161"/>
      <c r="BZ161"/>
      <c r="CA161"/>
      <c r="CB161"/>
      <c r="CC161"/>
      <c r="CD161"/>
      <c r="CE161"/>
      <c r="CF161"/>
      <c r="CG161"/>
      <c r="CH161"/>
      <c r="CI161"/>
      <c r="CJ161"/>
    </row>
    <row r="162" spans="1:88" s="32" customFormat="1" ht="15" customHeight="1" x14ac:dyDescent="0.35">
      <c r="A162" s="473"/>
      <c r="B162" s="313">
        <v>87085</v>
      </c>
      <c r="C162" s="8" t="s">
        <v>903</v>
      </c>
      <c r="D162" s="18">
        <v>8</v>
      </c>
      <c r="E162" s="251">
        <v>262</v>
      </c>
      <c r="F162" s="82">
        <v>2.31</v>
      </c>
      <c r="G162" s="79">
        <v>605.22</v>
      </c>
      <c r="H162" s="90">
        <v>6.8879999999999999</v>
      </c>
      <c r="I162" s="85">
        <v>6.5759999999999996</v>
      </c>
      <c r="J162" s="85">
        <v>7.234</v>
      </c>
      <c r="K162" s="85">
        <v>7.5110000000000001</v>
      </c>
      <c r="L162" s="85">
        <v>7.1719999999999997</v>
      </c>
      <c r="M162" s="85">
        <v>6.2569999999999997</v>
      </c>
      <c r="N162" s="85">
        <v>6.3280000000000003</v>
      </c>
      <c r="O162" s="85">
        <v>6.2160000000000002</v>
      </c>
      <c r="P162" s="85">
        <v>5.7670000000000003</v>
      </c>
      <c r="Q162" s="85">
        <v>5.7060000000000004</v>
      </c>
      <c r="R162" s="85">
        <v>5.9050000000000002</v>
      </c>
      <c r="S162" s="89">
        <v>8.9510000000000005</v>
      </c>
      <c r="T162" s="89">
        <v>80.510999999999996</v>
      </c>
      <c r="U162" s="85">
        <v>0</v>
      </c>
      <c r="V162" s="85">
        <v>80.510999999999996</v>
      </c>
      <c r="W162" s="85">
        <v>0</v>
      </c>
      <c r="X162" s="89">
        <v>80.510999999999996</v>
      </c>
      <c r="Y162" s="79">
        <v>0</v>
      </c>
      <c r="Z162" s="79">
        <v>1</v>
      </c>
      <c r="AA162" s="94">
        <v>0</v>
      </c>
      <c r="AB162" s="79">
        <v>1</v>
      </c>
      <c r="AC162" s="85">
        <v>26.758569444444447</v>
      </c>
      <c r="AD162" s="85">
        <v>6.8630955555555602</v>
      </c>
      <c r="AE162" s="85">
        <v>46.889334999999988</v>
      </c>
      <c r="AF162" s="85">
        <v>0</v>
      </c>
      <c r="AG162" s="85">
        <v>80.510999999999996</v>
      </c>
      <c r="AH162" s="85">
        <v>0</v>
      </c>
      <c r="AI162" s="85">
        <v>0</v>
      </c>
      <c r="AJ162" s="85">
        <v>0</v>
      </c>
      <c r="AK162" s="85">
        <v>0</v>
      </c>
      <c r="AL162" s="85">
        <v>0</v>
      </c>
      <c r="AM162" s="85">
        <v>0</v>
      </c>
      <c r="AN162" s="85">
        <v>0</v>
      </c>
      <c r="AO162" s="85">
        <v>0</v>
      </c>
      <c r="AP162" s="85">
        <v>0</v>
      </c>
      <c r="AQ162" s="85">
        <v>0</v>
      </c>
      <c r="AR162" s="85">
        <v>0</v>
      </c>
      <c r="AS162" s="85">
        <v>0</v>
      </c>
      <c r="AT162" s="85">
        <v>0</v>
      </c>
      <c r="AU162" s="85">
        <v>0</v>
      </c>
      <c r="AV162" s="85">
        <v>0</v>
      </c>
      <c r="AW162" s="85">
        <v>0</v>
      </c>
      <c r="AX162" s="85">
        <v>0</v>
      </c>
      <c r="AY162" s="85">
        <v>0</v>
      </c>
      <c r="AZ162" s="85">
        <v>0</v>
      </c>
      <c r="BA162" s="85">
        <v>80.510999999999996</v>
      </c>
      <c r="BB162" s="89">
        <v>0</v>
      </c>
      <c r="BC162" s="89">
        <v>80.510999999999996</v>
      </c>
      <c r="BD162" s="37">
        <v>0</v>
      </c>
      <c r="BE162" s="37">
        <v>0</v>
      </c>
      <c r="BF162" s="279">
        <v>14385</v>
      </c>
      <c r="BG162" s="37">
        <v>10925</v>
      </c>
      <c r="BH162" s="37">
        <v>1734</v>
      </c>
      <c r="BI162" s="37">
        <v>0</v>
      </c>
      <c r="BJ162" s="283">
        <v>27044</v>
      </c>
      <c r="BK162" s="161"/>
      <c r="BL162" s="294"/>
      <c r="BM162"/>
      <c r="BN162"/>
      <c r="BO162"/>
      <c r="BP162"/>
      <c r="BQ162"/>
      <c r="BR162"/>
      <c r="BS162"/>
      <c r="BT162"/>
      <c r="BU162"/>
      <c r="BV162"/>
      <c r="BW162"/>
      <c r="BX162"/>
      <c r="BY162"/>
      <c r="BZ162"/>
      <c r="CA162"/>
      <c r="CB162"/>
      <c r="CC162"/>
      <c r="CD162"/>
      <c r="CE162"/>
      <c r="CF162"/>
      <c r="CG162"/>
      <c r="CH162"/>
      <c r="CI162"/>
      <c r="CJ162"/>
    </row>
    <row r="163" spans="1:88" s="32" customFormat="1" ht="15" customHeight="1" x14ac:dyDescent="0.35">
      <c r="A163" s="473"/>
      <c r="B163" s="313">
        <v>49015</v>
      </c>
      <c r="C163" s="8" t="s">
        <v>465</v>
      </c>
      <c r="D163" s="18">
        <v>17</v>
      </c>
      <c r="E163" s="251">
        <v>240</v>
      </c>
      <c r="F163" s="82">
        <v>2.38</v>
      </c>
      <c r="G163" s="79">
        <v>571.19999999999993</v>
      </c>
      <c r="H163" s="90">
        <v>3.4510000000000001</v>
      </c>
      <c r="I163" s="85">
        <v>3.516</v>
      </c>
      <c r="J163" s="85">
        <v>3.6349999999999998</v>
      </c>
      <c r="K163" s="85">
        <v>5.4260000000000002</v>
      </c>
      <c r="L163" s="85">
        <v>3.9319999999999999</v>
      </c>
      <c r="M163" s="85">
        <v>4.12</v>
      </c>
      <c r="N163" s="85">
        <v>4.1280000000000001</v>
      </c>
      <c r="O163" s="85">
        <v>3.9119999999999999</v>
      </c>
      <c r="P163" s="85">
        <v>3.6659999999999999</v>
      </c>
      <c r="Q163" s="85">
        <v>3.49</v>
      </c>
      <c r="R163" s="85">
        <v>3.23</v>
      </c>
      <c r="S163" s="89">
        <v>3.4569999999999999</v>
      </c>
      <c r="T163" s="89">
        <v>45.962999999999994</v>
      </c>
      <c r="U163" s="85">
        <v>0</v>
      </c>
      <c r="V163" s="85">
        <v>45.963000000000001</v>
      </c>
      <c r="W163" s="85">
        <v>0</v>
      </c>
      <c r="X163" s="89">
        <v>45.963000000000001</v>
      </c>
      <c r="Y163" s="79">
        <v>0</v>
      </c>
      <c r="Z163" s="79">
        <v>1</v>
      </c>
      <c r="AA163" s="94">
        <v>0</v>
      </c>
      <c r="AB163" s="79">
        <v>1</v>
      </c>
      <c r="AC163" s="85">
        <v>33.96</v>
      </c>
      <c r="AD163" s="85">
        <v>3.2360000000000002</v>
      </c>
      <c r="AE163" s="85">
        <v>8.7669999999999995</v>
      </c>
      <c r="AF163" s="85">
        <v>0</v>
      </c>
      <c r="AG163" s="85">
        <v>45.962999999999994</v>
      </c>
      <c r="AH163" s="85">
        <v>0</v>
      </c>
      <c r="AI163" s="85">
        <v>0</v>
      </c>
      <c r="AJ163" s="85">
        <v>0</v>
      </c>
      <c r="AK163" s="85">
        <v>0</v>
      </c>
      <c r="AL163" s="85">
        <v>0</v>
      </c>
      <c r="AM163" s="85">
        <v>0</v>
      </c>
      <c r="AN163" s="85">
        <v>0</v>
      </c>
      <c r="AO163" s="85">
        <v>0</v>
      </c>
      <c r="AP163" s="85">
        <v>0</v>
      </c>
      <c r="AQ163" s="85">
        <v>0</v>
      </c>
      <c r="AR163" s="85">
        <v>0</v>
      </c>
      <c r="AS163" s="85">
        <v>0</v>
      </c>
      <c r="AT163" s="85">
        <v>0</v>
      </c>
      <c r="AU163" s="85">
        <v>0</v>
      </c>
      <c r="AV163" s="85">
        <v>0</v>
      </c>
      <c r="AW163" s="85">
        <v>0</v>
      </c>
      <c r="AX163" s="85">
        <v>0</v>
      </c>
      <c r="AY163" s="85">
        <v>0</v>
      </c>
      <c r="AZ163" s="85">
        <v>0</v>
      </c>
      <c r="BA163" s="85">
        <v>45.963000000000001</v>
      </c>
      <c r="BB163" s="89">
        <v>0</v>
      </c>
      <c r="BC163" s="89">
        <v>45.963000000000001</v>
      </c>
      <c r="BD163" s="37">
        <v>0</v>
      </c>
      <c r="BE163" s="37">
        <v>0</v>
      </c>
      <c r="BF163" s="279">
        <v>7665</v>
      </c>
      <c r="BG163" s="37">
        <v>0</v>
      </c>
      <c r="BH163" s="37">
        <v>6015</v>
      </c>
      <c r="BI163" s="37">
        <v>2391</v>
      </c>
      <c r="BJ163" s="283">
        <v>16071</v>
      </c>
      <c r="BK163" s="161"/>
      <c r="BL163" s="294"/>
      <c r="BM163"/>
      <c r="BN163"/>
      <c r="BO163"/>
      <c r="BP163"/>
      <c r="BQ163"/>
      <c r="BR163"/>
      <c r="BS163"/>
      <c r="BT163"/>
      <c r="BU163"/>
      <c r="BV163"/>
      <c r="BW163"/>
      <c r="BX163"/>
      <c r="BY163"/>
      <c r="BZ163"/>
      <c r="CA163"/>
      <c r="CB163"/>
      <c r="CC163"/>
      <c r="CD163"/>
      <c r="CE163"/>
      <c r="CF163"/>
      <c r="CG163"/>
      <c r="CH163"/>
      <c r="CI163"/>
      <c r="CJ163"/>
    </row>
    <row r="164" spans="1:88" s="32" customFormat="1" ht="15" customHeight="1" x14ac:dyDescent="0.35">
      <c r="A164" s="473"/>
      <c r="B164" s="313">
        <v>41060</v>
      </c>
      <c r="C164" s="8" t="s">
        <v>371</v>
      </c>
      <c r="D164" s="18">
        <v>5</v>
      </c>
      <c r="E164" s="251"/>
      <c r="F164" s="82"/>
      <c r="G164" s="79"/>
      <c r="H164" s="90"/>
      <c r="I164" s="85"/>
      <c r="J164" s="85"/>
      <c r="K164" s="85"/>
      <c r="L164" s="85"/>
      <c r="M164" s="85"/>
      <c r="N164" s="85"/>
      <c r="O164" s="85"/>
      <c r="P164" s="85"/>
      <c r="Q164" s="85"/>
      <c r="R164" s="85"/>
      <c r="S164" s="89"/>
      <c r="T164" s="89" t="s">
        <v>1124</v>
      </c>
      <c r="U164" s="85"/>
      <c r="V164" s="85"/>
      <c r="W164" s="85"/>
      <c r="X164" s="89" t="s">
        <v>1124</v>
      </c>
      <c r="Y164" s="79"/>
      <c r="Z164" s="79"/>
      <c r="AA164" s="94"/>
      <c r="AB164" s="79" t="s">
        <v>1124</v>
      </c>
      <c r="AC164" s="85"/>
      <c r="AD164" s="85"/>
      <c r="AE164" s="85"/>
      <c r="AF164" s="85"/>
      <c r="AG164" s="85" t="s">
        <v>1124</v>
      </c>
      <c r="AH164" s="85"/>
      <c r="AI164" s="85"/>
      <c r="AJ164" s="85"/>
      <c r="AK164" s="85"/>
      <c r="AL164" s="85"/>
      <c r="AM164" s="85"/>
      <c r="AN164" s="85"/>
      <c r="AO164" s="85"/>
      <c r="AP164" s="85"/>
      <c r="AQ164" s="85"/>
      <c r="AR164" s="85" t="s">
        <v>1124</v>
      </c>
      <c r="AS164" s="85"/>
      <c r="AT164" s="85"/>
      <c r="AU164" s="85"/>
      <c r="AV164" s="85"/>
      <c r="AW164" s="85"/>
      <c r="AX164" s="85"/>
      <c r="AY164" s="85"/>
      <c r="AZ164" s="85"/>
      <c r="BA164" s="85"/>
      <c r="BB164" s="89"/>
      <c r="BC164" s="89" t="s">
        <v>1124</v>
      </c>
      <c r="BD164" s="37"/>
      <c r="BE164" s="37"/>
      <c r="BF164" s="279"/>
      <c r="BG164" s="37"/>
      <c r="BH164" s="37"/>
      <c r="BI164" s="37"/>
      <c r="BJ164" s="283"/>
      <c r="BK164" s="161"/>
      <c r="BL164" s="294"/>
      <c r="BM164"/>
      <c r="BN164"/>
      <c r="BO164"/>
      <c r="BP164"/>
      <c r="BQ164"/>
      <c r="BR164"/>
      <c r="BS164"/>
      <c r="BT164"/>
      <c r="BU164"/>
      <c r="BV164"/>
      <c r="BW164"/>
      <c r="BX164"/>
      <c r="BY164"/>
      <c r="BZ164"/>
      <c r="CA164"/>
      <c r="CB164"/>
      <c r="CC164"/>
      <c r="CD164"/>
      <c r="CE164"/>
      <c r="CF164"/>
      <c r="CG164"/>
      <c r="CH164"/>
      <c r="CI164"/>
      <c r="CJ164"/>
    </row>
    <row r="165" spans="1:88" s="32" customFormat="1" ht="15" customHeight="1" x14ac:dyDescent="0.35">
      <c r="A165" s="473"/>
      <c r="B165" s="313">
        <v>31122</v>
      </c>
      <c r="C165" s="8" t="s">
        <v>252</v>
      </c>
      <c r="D165" s="18">
        <v>12</v>
      </c>
      <c r="E165" s="251"/>
      <c r="F165" s="82"/>
      <c r="G165" s="79"/>
      <c r="H165" s="90"/>
      <c r="I165" s="85"/>
      <c r="J165" s="85"/>
      <c r="K165" s="85"/>
      <c r="L165" s="85"/>
      <c r="M165" s="85"/>
      <c r="N165" s="85"/>
      <c r="O165" s="85"/>
      <c r="P165" s="85"/>
      <c r="Q165" s="85"/>
      <c r="R165" s="85"/>
      <c r="S165" s="89"/>
      <c r="T165" s="89" t="s">
        <v>1124</v>
      </c>
      <c r="U165" s="85"/>
      <c r="V165" s="85"/>
      <c r="W165" s="85"/>
      <c r="X165" s="89" t="s">
        <v>1124</v>
      </c>
      <c r="Y165" s="79"/>
      <c r="Z165" s="79"/>
      <c r="AA165" s="94"/>
      <c r="AB165" s="79" t="s">
        <v>1124</v>
      </c>
      <c r="AC165" s="85"/>
      <c r="AD165" s="85"/>
      <c r="AE165" s="85"/>
      <c r="AF165" s="85"/>
      <c r="AG165" s="85" t="s">
        <v>1124</v>
      </c>
      <c r="AH165" s="85"/>
      <c r="AI165" s="85"/>
      <c r="AJ165" s="85"/>
      <c r="AK165" s="85"/>
      <c r="AL165" s="85"/>
      <c r="AM165" s="85"/>
      <c r="AN165" s="85"/>
      <c r="AO165" s="85"/>
      <c r="AP165" s="85"/>
      <c r="AQ165" s="85"/>
      <c r="AR165" s="85" t="s">
        <v>1124</v>
      </c>
      <c r="AS165" s="85"/>
      <c r="AT165" s="85"/>
      <c r="AU165" s="85"/>
      <c r="AV165" s="85"/>
      <c r="AW165" s="85"/>
      <c r="AX165" s="85"/>
      <c r="AY165" s="85"/>
      <c r="AZ165" s="85"/>
      <c r="BA165" s="85"/>
      <c r="BB165" s="89"/>
      <c r="BC165" s="89" t="s">
        <v>1124</v>
      </c>
      <c r="BD165" s="37"/>
      <c r="BE165" s="37"/>
      <c r="BF165" s="279"/>
      <c r="BG165" s="37"/>
      <c r="BH165" s="37"/>
      <c r="BI165" s="37"/>
      <c r="BJ165" s="283"/>
      <c r="BK165" s="161"/>
      <c r="BL165" s="294"/>
      <c r="BM165"/>
      <c r="BN165"/>
      <c r="BO165"/>
      <c r="BP165"/>
      <c r="BQ165"/>
      <c r="BR165"/>
      <c r="BS165"/>
      <c r="BT165"/>
      <c r="BU165"/>
      <c r="BV165"/>
      <c r="BW165"/>
      <c r="BX165"/>
      <c r="BY165"/>
      <c r="BZ165"/>
      <c r="CA165"/>
      <c r="CB165"/>
      <c r="CC165"/>
      <c r="CD165"/>
      <c r="CE165"/>
      <c r="CF165"/>
      <c r="CG165"/>
      <c r="CH165"/>
      <c r="CI165"/>
      <c r="CJ165"/>
    </row>
    <row r="166" spans="1:88" s="32" customFormat="1" ht="15" customHeight="1" x14ac:dyDescent="0.35">
      <c r="A166" s="473"/>
      <c r="B166" s="313">
        <v>46085</v>
      </c>
      <c r="C166" s="8" t="s">
        <v>442</v>
      </c>
      <c r="D166" s="18">
        <v>5</v>
      </c>
      <c r="E166" s="251"/>
      <c r="F166" s="82"/>
      <c r="G166" s="79"/>
      <c r="H166" s="90"/>
      <c r="I166" s="85"/>
      <c r="J166" s="85"/>
      <c r="K166" s="85"/>
      <c r="L166" s="85"/>
      <c r="M166" s="85"/>
      <c r="N166" s="85"/>
      <c r="O166" s="85"/>
      <c r="P166" s="85"/>
      <c r="Q166" s="85"/>
      <c r="R166" s="85"/>
      <c r="S166" s="89"/>
      <c r="T166" s="89" t="s">
        <v>1124</v>
      </c>
      <c r="U166" s="85"/>
      <c r="V166" s="85"/>
      <c r="W166" s="85"/>
      <c r="X166" s="89" t="s">
        <v>1124</v>
      </c>
      <c r="Y166" s="79"/>
      <c r="Z166" s="79"/>
      <c r="AA166" s="94"/>
      <c r="AB166" s="79" t="s">
        <v>1124</v>
      </c>
      <c r="AC166" s="85"/>
      <c r="AD166" s="85"/>
      <c r="AE166" s="85"/>
      <c r="AF166" s="85"/>
      <c r="AG166" s="85" t="s">
        <v>1124</v>
      </c>
      <c r="AH166" s="85"/>
      <c r="AI166" s="85"/>
      <c r="AJ166" s="85"/>
      <c r="AK166" s="85"/>
      <c r="AL166" s="85"/>
      <c r="AM166" s="85"/>
      <c r="AN166" s="85"/>
      <c r="AO166" s="85"/>
      <c r="AP166" s="85"/>
      <c r="AQ166" s="85"/>
      <c r="AR166" s="85" t="s">
        <v>1124</v>
      </c>
      <c r="AS166" s="85"/>
      <c r="AT166" s="85"/>
      <c r="AU166" s="85"/>
      <c r="AV166" s="85"/>
      <c r="AW166" s="85"/>
      <c r="AX166" s="85"/>
      <c r="AY166" s="85"/>
      <c r="AZ166" s="85"/>
      <c r="BA166" s="85"/>
      <c r="BB166" s="89"/>
      <c r="BC166" s="89" t="s">
        <v>1124</v>
      </c>
      <c r="BD166" s="37"/>
      <c r="BE166" s="37"/>
      <c r="BF166" s="279"/>
      <c r="BG166" s="37"/>
      <c r="BH166" s="37"/>
      <c r="BI166" s="37"/>
      <c r="BJ166" s="283"/>
      <c r="BK166" s="161"/>
      <c r="BL166" s="294"/>
      <c r="BM166"/>
      <c r="BN166"/>
      <c r="BO166"/>
      <c r="BP166"/>
      <c r="BQ166"/>
      <c r="BR166"/>
      <c r="BS166"/>
      <c r="BT166"/>
      <c r="BU166"/>
      <c r="BV166"/>
      <c r="BW166"/>
      <c r="BX166"/>
      <c r="BY166"/>
      <c r="BZ166"/>
      <c r="CA166"/>
      <c r="CB166"/>
      <c r="CC166"/>
      <c r="CD166"/>
      <c r="CE166"/>
      <c r="CF166"/>
      <c r="CG166"/>
      <c r="CH166"/>
      <c r="CI166"/>
      <c r="CJ166"/>
    </row>
    <row r="167" spans="1:88" s="32" customFormat="1" ht="15" customHeight="1" x14ac:dyDescent="0.35">
      <c r="A167" s="473"/>
      <c r="B167" s="313">
        <v>44010</v>
      </c>
      <c r="C167" s="8" t="s">
        <v>400</v>
      </c>
      <c r="D167" s="18">
        <v>5</v>
      </c>
      <c r="E167" s="251"/>
      <c r="F167" s="82"/>
      <c r="G167" s="79"/>
      <c r="H167" s="90"/>
      <c r="I167" s="85"/>
      <c r="J167" s="85"/>
      <c r="K167" s="85"/>
      <c r="L167" s="85"/>
      <c r="M167" s="85"/>
      <c r="N167" s="85"/>
      <c r="O167" s="85"/>
      <c r="P167" s="85"/>
      <c r="Q167" s="85"/>
      <c r="R167" s="85"/>
      <c r="S167" s="89"/>
      <c r="T167" s="89" t="s">
        <v>1124</v>
      </c>
      <c r="U167" s="85"/>
      <c r="V167" s="85"/>
      <c r="W167" s="85"/>
      <c r="X167" s="89" t="s">
        <v>1124</v>
      </c>
      <c r="Y167" s="79"/>
      <c r="Z167" s="79"/>
      <c r="AA167" s="94"/>
      <c r="AB167" s="79" t="s">
        <v>1124</v>
      </c>
      <c r="AC167" s="85"/>
      <c r="AD167" s="85"/>
      <c r="AE167" s="85"/>
      <c r="AF167" s="85"/>
      <c r="AG167" s="85" t="s">
        <v>1124</v>
      </c>
      <c r="AH167" s="85"/>
      <c r="AI167" s="85"/>
      <c r="AJ167" s="85"/>
      <c r="AK167" s="85"/>
      <c r="AL167" s="85"/>
      <c r="AM167" s="85"/>
      <c r="AN167" s="85"/>
      <c r="AO167" s="85"/>
      <c r="AP167" s="85"/>
      <c r="AQ167" s="85"/>
      <c r="AR167" s="85" t="s">
        <v>1124</v>
      </c>
      <c r="AS167" s="85"/>
      <c r="AT167" s="85"/>
      <c r="AU167" s="85"/>
      <c r="AV167" s="85"/>
      <c r="AW167" s="85"/>
      <c r="AX167" s="85"/>
      <c r="AY167" s="85"/>
      <c r="AZ167" s="85"/>
      <c r="BA167" s="85"/>
      <c r="BB167" s="89"/>
      <c r="BC167" s="89" t="s">
        <v>1124</v>
      </c>
      <c r="BD167" s="37"/>
      <c r="BE167" s="37"/>
      <c r="BF167" s="279"/>
      <c r="BG167" s="37"/>
      <c r="BH167" s="37"/>
      <c r="BI167" s="37"/>
      <c r="BJ167" s="283"/>
      <c r="BK167" s="161"/>
      <c r="BL167" s="294"/>
      <c r="BM167"/>
      <c r="BN167"/>
      <c r="BO167"/>
      <c r="BP167"/>
      <c r="BQ167"/>
      <c r="BR167"/>
      <c r="BS167"/>
      <c r="BT167"/>
      <c r="BU167"/>
      <c r="BV167"/>
      <c r="BW167"/>
      <c r="BX167"/>
      <c r="BY167"/>
      <c r="BZ167"/>
      <c r="CA167"/>
      <c r="CB167"/>
      <c r="CC167"/>
      <c r="CD167"/>
      <c r="CE167"/>
      <c r="CF167"/>
      <c r="CG167"/>
      <c r="CH167"/>
      <c r="CI167"/>
      <c r="CJ167"/>
    </row>
    <row r="168" spans="1:88" s="32" customFormat="1" ht="15" customHeight="1" x14ac:dyDescent="0.35">
      <c r="A168" s="473"/>
      <c r="B168" s="313">
        <v>45093</v>
      </c>
      <c r="C168" s="8" t="s">
        <v>422</v>
      </c>
      <c r="D168" s="18">
        <v>5</v>
      </c>
      <c r="E168" s="251">
        <v>321</v>
      </c>
      <c r="F168" s="82">
        <v>2.1965065502183405</v>
      </c>
      <c r="G168" s="79">
        <v>705.07860262008728</v>
      </c>
      <c r="H168" s="90">
        <v>12.773</v>
      </c>
      <c r="I168" s="85">
        <v>12.334</v>
      </c>
      <c r="J168" s="85">
        <v>13.88</v>
      </c>
      <c r="K168" s="85">
        <v>15.081</v>
      </c>
      <c r="L168" s="85">
        <v>16.606999999999999</v>
      </c>
      <c r="M168" s="85">
        <v>13.065</v>
      </c>
      <c r="N168" s="85">
        <v>13.276</v>
      </c>
      <c r="O168" s="85">
        <v>13.916</v>
      </c>
      <c r="P168" s="85">
        <v>16.852</v>
      </c>
      <c r="Q168" s="85">
        <v>18.798999999999999</v>
      </c>
      <c r="R168" s="85">
        <v>11</v>
      </c>
      <c r="S168" s="89">
        <v>12.398</v>
      </c>
      <c r="T168" s="89">
        <v>169.98099999999999</v>
      </c>
      <c r="U168" s="85">
        <v>169.98099999999999</v>
      </c>
      <c r="V168" s="85">
        <v>0</v>
      </c>
      <c r="W168" s="85">
        <v>0</v>
      </c>
      <c r="X168" s="89">
        <v>169.98099999999999</v>
      </c>
      <c r="Y168" s="79">
        <v>1</v>
      </c>
      <c r="Z168" s="79">
        <v>0</v>
      </c>
      <c r="AA168" s="94">
        <v>0</v>
      </c>
      <c r="AB168" s="79">
        <v>1</v>
      </c>
      <c r="AC168" s="85">
        <v>42.16</v>
      </c>
      <c r="AD168" s="85">
        <v>38.433999999999997</v>
      </c>
      <c r="AE168" s="85">
        <v>89.387</v>
      </c>
      <c r="AF168" s="85">
        <v>0</v>
      </c>
      <c r="AG168" s="85">
        <v>169.98099999999999</v>
      </c>
      <c r="AH168" s="85">
        <v>0</v>
      </c>
      <c r="AI168" s="85">
        <v>0</v>
      </c>
      <c r="AJ168" s="85">
        <v>0</v>
      </c>
      <c r="AK168" s="85">
        <v>0</v>
      </c>
      <c r="AL168" s="85">
        <v>169.98099999999999</v>
      </c>
      <c r="AM168" s="85">
        <v>0</v>
      </c>
      <c r="AN168" s="85">
        <v>0</v>
      </c>
      <c r="AO168" s="85">
        <v>0</v>
      </c>
      <c r="AP168" s="85">
        <v>0</v>
      </c>
      <c r="AQ168" s="85">
        <v>0</v>
      </c>
      <c r="AR168" s="85">
        <v>169.98099999999999</v>
      </c>
      <c r="AS168" s="85">
        <v>0</v>
      </c>
      <c r="AT168" s="85">
        <v>0</v>
      </c>
      <c r="AU168" s="85">
        <v>0</v>
      </c>
      <c r="AV168" s="85">
        <v>0</v>
      </c>
      <c r="AW168" s="85">
        <v>0</v>
      </c>
      <c r="AX168" s="85">
        <v>0</v>
      </c>
      <c r="AY168" s="85">
        <v>0</v>
      </c>
      <c r="AZ168" s="85">
        <v>0</v>
      </c>
      <c r="BA168" s="85">
        <v>0</v>
      </c>
      <c r="BB168" s="89">
        <v>0</v>
      </c>
      <c r="BC168" s="89">
        <v>0</v>
      </c>
      <c r="BD168" s="37">
        <v>0</v>
      </c>
      <c r="BE168" s="37">
        <v>0</v>
      </c>
      <c r="BF168" s="279">
        <v>22326</v>
      </c>
      <c r="BG168" s="37">
        <v>46380</v>
      </c>
      <c r="BH168" s="37">
        <v>46552</v>
      </c>
      <c r="BI168" s="37">
        <v>0</v>
      </c>
      <c r="BJ168" s="283">
        <v>115258</v>
      </c>
      <c r="BK168" s="161"/>
      <c r="BL168" s="294"/>
      <c r="BM168"/>
      <c r="BN168"/>
      <c r="BO168"/>
      <c r="BP168"/>
      <c r="BQ168"/>
      <c r="BR168"/>
      <c r="BS168"/>
      <c r="BT168"/>
      <c r="BU168"/>
      <c r="BV168"/>
      <c r="BW168"/>
      <c r="BX168"/>
      <c r="BY168"/>
      <c r="BZ168"/>
      <c r="CA168"/>
      <c r="CB168"/>
      <c r="CC168"/>
      <c r="CD168"/>
      <c r="CE168"/>
      <c r="CF168"/>
      <c r="CG168"/>
      <c r="CH168"/>
      <c r="CI168"/>
      <c r="CJ168"/>
    </row>
    <row r="169" spans="1:88" s="32" customFormat="1" ht="15" customHeight="1" x14ac:dyDescent="0.35">
      <c r="A169" s="473"/>
      <c r="B169" s="313">
        <v>83075</v>
      </c>
      <c r="C169" s="8" t="s">
        <v>847</v>
      </c>
      <c r="D169" s="18">
        <v>7</v>
      </c>
      <c r="E169" s="251"/>
      <c r="F169" s="82"/>
      <c r="G169" s="79"/>
      <c r="H169" s="90"/>
      <c r="I169" s="85"/>
      <c r="J169" s="85"/>
      <c r="K169" s="85"/>
      <c r="L169" s="85"/>
      <c r="M169" s="85"/>
      <c r="N169" s="85"/>
      <c r="O169" s="85"/>
      <c r="P169" s="85"/>
      <c r="Q169" s="85"/>
      <c r="R169" s="85"/>
      <c r="S169" s="89"/>
      <c r="T169" s="89" t="s">
        <v>1124</v>
      </c>
      <c r="U169" s="85"/>
      <c r="V169" s="85"/>
      <c r="W169" s="85"/>
      <c r="X169" s="89" t="s">
        <v>1124</v>
      </c>
      <c r="Y169" s="79"/>
      <c r="Z169" s="79"/>
      <c r="AA169" s="94"/>
      <c r="AB169" s="79" t="s">
        <v>1124</v>
      </c>
      <c r="AC169" s="85"/>
      <c r="AD169" s="85"/>
      <c r="AE169" s="85"/>
      <c r="AF169" s="85"/>
      <c r="AG169" s="85" t="s">
        <v>1124</v>
      </c>
      <c r="AH169" s="85"/>
      <c r="AI169" s="85"/>
      <c r="AJ169" s="85"/>
      <c r="AK169" s="85"/>
      <c r="AL169" s="85"/>
      <c r="AM169" s="85"/>
      <c r="AN169" s="85"/>
      <c r="AO169" s="85"/>
      <c r="AP169" s="85"/>
      <c r="AQ169" s="85"/>
      <c r="AR169" s="85" t="s">
        <v>1124</v>
      </c>
      <c r="AS169" s="85"/>
      <c r="AT169" s="85"/>
      <c r="AU169" s="85"/>
      <c r="AV169" s="85"/>
      <c r="AW169" s="85"/>
      <c r="AX169" s="85"/>
      <c r="AY169" s="85"/>
      <c r="AZ169" s="85"/>
      <c r="BA169" s="85"/>
      <c r="BB169" s="89"/>
      <c r="BC169" s="89" t="s">
        <v>1124</v>
      </c>
      <c r="BD169" s="37"/>
      <c r="BE169" s="37"/>
      <c r="BF169" s="279"/>
      <c r="BG169" s="37"/>
      <c r="BH169" s="37"/>
      <c r="BI169" s="37"/>
      <c r="BJ169" s="283"/>
      <c r="BK169" s="161"/>
      <c r="BL169" s="294"/>
      <c r="BM169"/>
      <c r="BN169"/>
      <c r="BO169"/>
      <c r="BP169"/>
      <c r="BQ169"/>
      <c r="BR169"/>
      <c r="BS169"/>
      <c r="BT169"/>
      <c r="BU169"/>
      <c r="BV169"/>
      <c r="BW169"/>
      <c r="BX169"/>
      <c r="BY169"/>
      <c r="BZ169"/>
      <c r="CA169"/>
      <c r="CB169"/>
      <c r="CC169"/>
      <c r="CD169"/>
      <c r="CE169"/>
      <c r="CF169"/>
      <c r="CG169"/>
      <c r="CH169"/>
      <c r="CI169"/>
      <c r="CJ169"/>
    </row>
    <row r="170" spans="1:88" s="32" customFormat="1" ht="15" customHeight="1" x14ac:dyDescent="0.35">
      <c r="A170" s="473"/>
      <c r="B170" s="313">
        <v>69050</v>
      </c>
      <c r="C170" s="8" t="s">
        <v>691</v>
      </c>
      <c r="D170" s="18">
        <v>16</v>
      </c>
      <c r="E170" s="251"/>
      <c r="F170" s="82"/>
      <c r="G170" s="79"/>
      <c r="H170" s="90"/>
      <c r="I170" s="85"/>
      <c r="J170" s="85"/>
      <c r="K170" s="85"/>
      <c r="L170" s="85"/>
      <c r="M170" s="85"/>
      <c r="N170" s="85"/>
      <c r="O170" s="85"/>
      <c r="P170" s="85"/>
      <c r="Q170" s="85"/>
      <c r="R170" s="85"/>
      <c r="S170" s="89"/>
      <c r="T170" s="89" t="s">
        <v>1124</v>
      </c>
      <c r="U170" s="85"/>
      <c r="V170" s="85"/>
      <c r="W170" s="85"/>
      <c r="X170" s="89" t="s">
        <v>1124</v>
      </c>
      <c r="Y170" s="79"/>
      <c r="Z170" s="79"/>
      <c r="AA170" s="94"/>
      <c r="AB170" s="79" t="s">
        <v>1124</v>
      </c>
      <c r="AC170" s="85"/>
      <c r="AD170" s="85"/>
      <c r="AE170" s="85"/>
      <c r="AF170" s="85"/>
      <c r="AG170" s="85" t="s">
        <v>1124</v>
      </c>
      <c r="AH170" s="85"/>
      <c r="AI170" s="85"/>
      <c r="AJ170" s="85"/>
      <c r="AK170" s="85"/>
      <c r="AL170" s="85"/>
      <c r="AM170" s="85"/>
      <c r="AN170" s="85"/>
      <c r="AO170" s="85"/>
      <c r="AP170" s="85"/>
      <c r="AQ170" s="85"/>
      <c r="AR170" s="85" t="s">
        <v>1124</v>
      </c>
      <c r="AS170" s="85"/>
      <c r="AT170" s="85"/>
      <c r="AU170" s="85"/>
      <c r="AV170" s="85"/>
      <c r="AW170" s="85"/>
      <c r="AX170" s="85"/>
      <c r="AY170" s="85"/>
      <c r="AZ170" s="85"/>
      <c r="BA170" s="85"/>
      <c r="BB170" s="89"/>
      <c r="BC170" s="89" t="s">
        <v>1124</v>
      </c>
      <c r="BD170" s="37"/>
      <c r="BE170" s="37"/>
      <c r="BF170" s="279"/>
      <c r="BG170" s="37"/>
      <c r="BH170" s="37"/>
      <c r="BI170" s="37"/>
      <c r="BJ170" s="283"/>
      <c r="BK170" s="161"/>
      <c r="BL170" s="294"/>
      <c r="BM170"/>
      <c r="BN170"/>
      <c r="BO170"/>
      <c r="BP170"/>
      <c r="BQ170"/>
      <c r="BR170"/>
      <c r="BS170"/>
      <c r="BT170"/>
      <c r="BU170"/>
      <c r="BV170"/>
      <c r="BW170"/>
      <c r="BX170"/>
      <c r="BY170"/>
      <c r="BZ170"/>
      <c r="CA170"/>
      <c r="CB170"/>
      <c r="CC170"/>
      <c r="CD170"/>
      <c r="CE170"/>
      <c r="CF170"/>
      <c r="CG170"/>
      <c r="CH170"/>
      <c r="CI170"/>
      <c r="CJ170"/>
    </row>
    <row r="171" spans="1:88" s="32" customFormat="1" ht="15" customHeight="1" x14ac:dyDescent="0.35">
      <c r="A171" s="473"/>
      <c r="B171" s="313">
        <v>62053</v>
      </c>
      <c r="C171" s="8" t="s">
        <v>626</v>
      </c>
      <c r="D171" s="18">
        <v>14</v>
      </c>
      <c r="E171" s="251"/>
      <c r="F171" s="82"/>
      <c r="G171" s="79"/>
      <c r="H171" s="90"/>
      <c r="I171" s="85"/>
      <c r="J171" s="85"/>
      <c r="K171" s="85"/>
      <c r="L171" s="85"/>
      <c r="M171" s="85"/>
      <c r="N171" s="85"/>
      <c r="O171" s="85"/>
      <c r="P171" s="85"/>
      <c r="Q171" s="85"/>
      <c r="R171" s="85"/>
      <c r="S171" s="89"/>
      <c r="T171" s="89" t="s">
        <v>1124</v>
      </c>
      <c r="U171" s="85"/>
      <c r="V171" s="85"/>
      <c r="W171" s="85"/>
      <c r="X171" s="89" t="s">
        <v>1124</v>
      </c>
      <c r="Y171" s="79"/>
      <c r="Z171" s="79"/>
      <c r="AA171" s="94"/>
      <c r="AB171" s="79" t="s">
        <v>1124</v>
      </c>
      <c r="AC171" s="85"/>
      <c r="AD171" s="85"/>
      <c r="AE171" s="85"/>
      <c r="AF171" s="85"/>
      <c r="AG171" s="85" t="s">
        <v>1124</v>
      </c>
      <c r="AH171" s="85"/>
      <c r="AI171" s="85"/>
      <c r="AJ171" s="85"/>
      <c r="AK171" s="85"/>
      <c r="AL171" s="85"/>
      <c r="AM171" s="85"/>
      <c r="AN171" s="85"/>
      <c r="AO171" s="85"/>
      <c r="AP171" s="85"/>
      <c r="AQ171" s="85"/>
      <c r="AR171" s="85" t="s">
        <v>1124</v>
      </c>
      <c r="AS171" s="85"/>
      <c r="AT171" s="85"/>
      <c r="AU171" s="85"/>
      <c r="AV171" s="85"/>
      <c r="AW171" s="85"/>
      <c r="AX171" s="85"/>
      <c r="AY171" s="85"/>
      <c r="AZ171" s="85"/>
      <c r="BA171" s="85"/>
      <c r="BB171" s="89"/>
      <c r="BC171" s="89" t="s">
        <v>1124</v>
      </c>
      <c r="BD171" s="37"/>
      <c r="BE171" s="37"/>
      <c r="BF171" s="279"/>
      <c r="BG171" s="37"/>
      <c r="BH171" s="37"/>
      <c r="BI171" s="37"/>
      <c r="BJ171" s="283"/>
      <c r="BK171" s="161"/>
      <c r="BL171" s="294"/>
      <c r="BM171"/>
      <c r="BN171"/>
      <c r="BO171"/>
      <c r="BP171"/>
      <c r="BQ171"/>
      <c r="BR171"/>
      <c r="BS171"/>
      <c r="BT171"/>
      <c r="BU171"/>
      <c r="BV171"/>
      <c r="BW171"/>
      <c r="BX171"/>
      <c r="BY171"/>
      <c r="BZ171"/>
      <c r="CA171"/>
      <c r="CB171"/>
      <c r="CC171"/>
      <c r="CD171"/>
      <c r="CE171"/>
      <c r="CF171"/>
      <c r="CG171"/>
      <c r="CH171"/>
      <c r="CI171"/>
      <c r="CJ171"/>
    </row>
    <row r="172" spans="1:88" s="32" customFormat="1" ht="15" customHeight="1" x14ac:dyDescent="0.35">
      <c r="A172" s="473"/>
      <c r="B172" s="313">
        <v>6025</v>
      </c>
      <c r="C172" s="8" t="s">
        <v>1060</v>
      </c>
      <c r="D172" s="18">
        <v>11</v>
      </c>
      <c r="E172" s="251"/>
      <c r="F172" s="82"/>
      <c r="G172" s="79"/>
      <c r="H172" s="90"/>
      <c r="I172" s="85"/>
      <c r="J172" s="85"/>
      <c r="K172" s="85"/>
      <c r="L172" s="85"/>
      <c r="M172" s="85"/>
      <c r="N172" s="85"/>
      <c r="O172" s="85"/>
      <c r="P172" s="85"/>
      <c r="Q172" s="85"/>
      <c r="R172" s="85"/>
      <c r="S172" s="89"/>
      <c r="T172" s="89" t="s">
        <v>1124</v>
      </c>
      <c r="U172" s="85"/>
      <c r="V172" s="85"/>
      <c r="W172" s="85"/>
      <c r="X172" s="89" t="s">
        <v>1124</v>
      </c>
      <c r="Y172" s="79"/>
      <c r="Z172" s="79"/>
      <c r="AA172" s="94"/>
      <c r="AB172" s="79" t="s">
        <v>1124</v>
      </c>
      <c r="AC172" s="85"/>
      <c r="AD172" s="85"/>
      <c r="AE172" s="85"/>
      <c r="AF172" s="85"/>
      <c r="AG172" s="85" t="s">
        <v>1124</v>
      </c>
      <c r="AH172" s="85"/>
      <c r="AI172" s="85"/>
      <c r="AJ172" s="85"/>
      <c r="AK172" s="85"/>
      <c r="AL172" s="85"/>
      <c r="AM172" s="85"/>
      <c r="AN172" s="85"/>
      <c r="AO172" s="85"/>
      <c r="AP172" s="85"/>
      <c r="AQ172" s="85"/>
      <c r="AR172" s="85" t="s">
        <v>1124</v>
      </c>
      <c r="AS172" s="85"/>
      <c r="AT172" s="85"/>
      <c r="AU172" s="85"/>
      <c r="AV172" s="85"/>
      <c r="AW172" s="85"/>
      <c r="AX172" s="85"/>
      <c r="AY172" s="85"/>
      <c r="AZ172" s="85"/>
      <c r="BA172" s="85"/>
      <c r="BB172" s="89"/>
      <c r="BC172" s="89" t="s">
        <v>1124</v>
      </c>
      <c r="BD172" s="37"/>
      <c r="BE172" s="37"/>
      <c r="BF172" s="279"/>
      <c r="BG172" s="37"/>
      <c r="BH172" s="37"/>
      <c r="BI172" s="37"/>
      <c r="BJ172" s="283"/>
      <c r="BK172" s="161"/>
      <c r="BL172" s="294"/>
      <c r="BM172"/>
      <c r="BN172"/>
      <c r="BO172"/>
      <c r="BP172"/>
      <c r="BQ172"/>
      <c r="BR172"/>
      <c r="BS172"/>
      <c r="BT172"/>
      <c r="BU172"/>
      <c r="BV172"/>
      <c r="BW172"/>
      <c r="BX172"/>
      <c r="BY172"/>
      <c r="BZ172"/>
      <c r="CA172"/>
      <c r="CB172"/>
      <c r="CC172"/>
      <c r="CD172"/>
      <c r="CE172"/>
      <c r="CF172"/>
      <c r="CG172"/>
      <c r="CH172"/>
      <c r="CI172"/>
      <c r="CJ172"/>
    </row>
    <row r="173" spans="1:88" s="32" customFormat="1" ht="15" customHeight="1" x14ac:dyDescent="0.35">
      <c r="A173" s="473"/>
      <c r="B173" s="313">
        <v>10005</v>
      </c>
      <c r="C173" s="8" t="s">
        <v>8</v>
      </c>
      <c r="D173" s="18">
        <v>1</v>
      </c>
      <c r="E173" s="251"/>
      <c r="F173" s="82"/>
      <c r="G173" s="79"/>
      <c r="H173" s="90"/>
      <c r="I173" s="85"/>
      <c r="J173" s="85"/>
      <c r="K173" s="85"/>
      <c r="L173" s="85"/>
      <c r="M173" s="85"/>
      <c r="N173" s="85"/>
      <c r="O173" s="85"/>
      <c r="P173" s="85"/>
      <c r="Q173" s="85"/>
      <c r="R173" s="85"/>
      <c r="S173" s="89"/>
      <c r="T173" s="89" t="s">
        <v>1124</v>
      </c>
      <c r="U173" s="85"/>
      <c r="V173" s="85"/>
      <c r="W173" s="85"/>
      <c r="X173" s="89" t="s">
        <v>1124</v>
      </c>
      <c r="Y173" s="79"/>
      <c r="Z173" s="79"/>
      <c r="AA173" s="94"/>
      <c r="AB173" s="79" t="s">
        <v>1124</v>
      </c>
      <c r="AC173" s="85"/>
      <c r="AD173" s="85"/>
      <c r="AE173" s="85"/>
      <c r="AF173" s="85"/>
      <c r="AG173" s="85" t="s">
        <v>1124</v>
      </c>
      <c r="AH173" s="85"/>
      <c r="AI173" s="85"/>
      <c r="AJ173" s="85"/>
      <c r="AK173" s="85"/>
      <c r="AL173" s="85"/>
      <c r="AM173" s="85"/>
      <c r="AN173" s="85"/>
      <c r="AO173" s="85"/>
      <c r="AP173" s="85"/>
      <c r="AQ173" s="85"/>
      <c r="AR173" s="85" t="s">
        <v>1124</v>
      </c>
      <c r="AS173" s="85"/>
      <c r="AT173" s="85"/>
      <c r="AU173" s="85"/>
      <c r="AV173" s="85"/>
      <c r="AW173" s="85"/>
      <c r="AX173" s="85"/>
      <c r="AY173" s="85"/>
      <c r="AZ173" s="85"/>
      <c r="BA173" s="85"/>
      <c r="BB173" s="89"/>
      <c r="BC173" s="89" t="s">
        <v>1124</v>
      </c>
      <c r="BD173" s="37"/>
      <c r="BE173" s="37"/>
      <c r="BF173" s="279"/>
      <c r="BG173" s="37"/>
      <c r="BH173" s="37"/>
      <c r="BI173" s="37"/>
      <c r="BJ173" s="283"/>
      <c r="BK173" s="161"/>
      <c r="BL173" s="294"/>
      <c r="BM173"/>
      <c r="BN173"/>
      <c r="BO173"/>
      <c r="BP173"/>
      <c r="BQ173"/>
      <c r="BR173"/>
      <c r="BS173"/>
      <c r="BT173"/>
      <c r="BU173"/>
      <c r="BV173"/>
      <c r="BW173"/>
      <c r="BX173"/>
      <c r="BY173"/>
      <c r="BZ173"/>
      <c r="CA173"/>
      <c r="CB173"/>
      <c r="CC173"/>
      <c r="CD173"/>
      <c r="CE173"/>
      <c r="CF173"/>
      <c r="CG173"/>
      <c r="CH173"/>
      <c r="CI173"/>
      <c r="CJ173"/>
    </row>
    <row r="174" spans="1:88" s="32" customFormat="1" ht="15" customHeight="1" x14ac:dyDescent="0.35">
      <c r="A174" s="473"/>
      <c r="B174" s="313">
        <v>77011</v>
      </c>
      <c r="C174" s="8" t="s">
        <v>756</v>
      </c>
      <c r="D174" s="18">
        <v>15</v>
      </c>
      <c r="E174" s="251"/>
      <c r="F174" s="82"/>
      <c r="G174" s="79"/>
      <c r="H174" s="90"/>
      <c r="I174" s="85"/>
      <c r="J174" s="85"/>
      <c r="K174" s="85"/>
      <c r="L174" s="85"/>
      <c r="M174" s="85"/>
      <c r="N174" s="85"/>
      <c r="O174" s="85"/>
      <c r="P174" s="85"/>
      <c r="Q174" s="85"/>
      <c r="R174" s="85"/>
      <c r="S174" s="89"/>
      <c r="T174" s="89" t="s">
        <v>1124</v>
      </c>
      <c r="U174" s="85"/>
      <c r="V174" s="85"/>
      <c r="W174" s="85"/>
      <c r="X174" s="89" t="s">
        <v>1124</v>
      </c>
      <c r="Y174" s="79"/>
      <c r="Z174" s="79"/>
      <c r="AA174" s="94"/>
      <c r="AB174" s="79" t="s">
        <v>1124</v>
      </c>
      <c r="AC174" s="85"/>
      <c r="AD174" s="85"/>
      <c r="AE174" s="85"/>
      <c r="AF174" s="85"/>
      <c r="AG174" s="85" t="s">
        <v>1124</v>
      </c>
      <c r="AH174" s="85"/>
      <c r="AI174" s="85"/>
      <c r="AJ174" s="85"/>
      <c r="AK174" s="85"/>
      <c r="AL174" s="85"/>
      <c r="AM174" s="85"/>
      <c r="AN174" s="85"/>
      <c r="AO174" s="85"/>
      <c r="AP174" s="85"/>
      <c r="AQ174" s="85"/>
      <c r="AR174" s="85" t="s">
        <v>1124</v>
      </c>
      <c r="AS174" s="85"/>
      <c r="AT174" s="85"/>
      <c r="AU174" s="85"/>
      <c r="AV174" s="85"/>
      <c r="AW174" s="85"/>
      <c r="AX174" s="85"/>
      <c r="AY174" s="85"/>
      <c r="AZ174" s="85"/>
      <c r="BA174" s="85"/>
      <c r="BB174" s="89"/>
      <c r="BC174" s="89" t="s">
        <v>1124</v>
      </c>
      <c r="BD174" s="37"/>
      <c r="BE174" s="37"/>
      <c r="BF174" s="279"/>
      <c r="BG174" s="37"/>
      <c r="BH174" s="37"/>
      <c r="BI174" s="37"/>
      <c r="BJ174" s="283"/>
      <c r="BK174" s="161"/>
      <c r="BL174" s="294"/>
      <c r="BM174"/>
      <c r="BN174"/>
      <c r="BO174"/>
      <c r="BP174"/>
      <c r="BQ174"/>
      <c r="BR174"/>
      <c r="BS174"/>
      <c r="BT174"/>
      <c r="BU174"/>
      <c r="BV174"/>
      <c r="BW174"/>
      <c r="BX174"/>
      <c r="BY174"/>
      <c r="BZ174"/>
      <c r="CA174"/>
      <c r="CB174"/>
      <c r="CC174"/>
      <c r="CD174"/>
      <c r="CE174"/>
      <c r="CF174"/>
      <c r="CG174"/>
      <c r="CH174"/>
      <c r="CI174"/>
      <c r="CJ174"/>
    </row>
    <row r="175" spans="1:88" s="32" customFormat="1" ht="15" customHeight="1" x14ac:dyDescent="0.35">
      <c r="A175" s="473"/>
      <c r="B175" s="313">
        <v>46112</v>
      </c>
      <c r="C175" s="8" t="s">
        <v>447</v>
      </c>
      <c r="D175" s="18">
        <v>5</v>
      </c>
      <c r="E175" s="251">
        <v>4142</v>
      </c>
      <c r="F175" s="82">
        <v>2.260019314340898</v>
      </c>
      <c r="G175" s="79">
        <v>9361</v>
      </c>
      <c r="H175" s="90">
        <v>160.48400000000001</v>
      </c>
      <c r="I175" s="85">
        <v>148.852</v>
      </c>
      <c r="J175" s="85">
        <v>159.52000000000001</v>
      </c>
      <c r="K175" s="85">
        <v>157.60900000000001</v>
      </c>
      <c r="L175" s="85">
        <v>173.197</v>
      </c>
      <c r="M175" s="85">
        <v>179.637</v>
      </c>
      <c r="N175" s="85">
        <v>204.541</v>
      </c>
      <c r="O175" s="85">
        <v>193.83699999999999</v>
      </c>
      <c r="P175" s="85">
        <v>178.72900000000001</v>
      </c>
      <c r="Q175" s="85">
        <v>183.982</v>
      </c>
      <c r="R175" s="85">
        <v>164.053</v>
      </c>
      <c r="S175" s="89">
        <v>146.46700000000001</v>
      </c>
      <c r="T175" s="89">
        <v>2050.9079999999999</v>
      </c>
      <c r="U175" s="85">
        <v>2050.9079999999999</v>
      </c>
      <c r="V175" s="85">
        <v>0</v>
      </c>
      <c r="W175" s="85">
        <v>0</v>
      </c>
      <c r="X175" s="89">
        <v>2050.9079999999999</v>
      </c>
      <c r="Y175" s="79">
        <v>1</v>
      </c>
      <c r="Z175" s="79">
        <v>0</v>
      </c>
      <c r="AA175" s="94">
        <v>0</v>
      </c>
      <c r="AB175" s="79">
        <v>1</v>
      </c>
      <c r="AC175" s="85">
        <v>743.33299999999997</v>
      </c>
      <c r="AD175" s="85">
        <v>420.60399999999981</v>
      </c>
      <c r="AE175" s="85">
        <v>29.962</v>
      </c>
      <c r="AF175" s="85">
        <v>857.00900000000001</v>
      </c>
      <c r="AG175" s="85">
        <v>2050.9079999999999</v>
      </c>
      <c r="AH175" s="85">
        <v>2050.9079999999999</v>
      </c>
      <c r="AI175" s="85">
        <v>0</v>
      </c>
      <c r="AJ175" s="85">
        <v>0</v>
      </c>
      <c r="AK175" s="85">
        <v>0</v>
      </c>
      <c r="AL175" s="85">
        <v>0</v>
      </c>
      <c r="AM175" s="85">
        <v>0</v>
      </c>
      <c r="AN175" s="85">
        <v>0</v>
      </c>
      <c r="AO175" s="85">
        <v>0</v>
      </c>
      <c r="AP175" s="85">
        <v>0</v>
      </c>
      <c r="AQ175" s="85">
        <v>0</v>
      </c>
      <c r="AR175" s="85">
        <v>2050.9079999999999</v>
      </c>
      <c r="AS175" s="85">
        <v>0</v>
      </c>
      <c r="AT175" s="85">
        <v>0</v>
      </c>
      <c r="AU175" s="85">
        <v>0</v>
      </c>
      <c r="AV175" s="85">
        <v>0</v>
      </c>
      <c r="AW175" s="85">
        <v>0</v>
      </c>
      <c r="AX175" s="85">
        <v>0</v>
      </c>
      <c r="AY175" s="85">
        <v>0</v>
      </c>
      <c r="AZ175" s="85">
        <v>0</v>
      </c>
      <c r="BA175" s="85">
        <v>0</v>
      </c>
      <c r="BB175" s="89">
        <v>0</v>
      </c>
      <c r="BC175" s="89">
        <v>0</v>
      </c>
      <c r="BD175" s="37">
        <v>99729</v>
      </c>
      <c r="BE175" s="37">
        <v>49152</v>
      </c>
      <c r="BF175" s="279">
        <v>207441</v>
      </c>
      <c r="BG175" s="37">
        <v>515798</v>
      </c>
      <c r="BH175" s="37">
        <v>119647</v>
      </c>
      <c r="BI175" s="37">
        <v>176271</v>
      </c>
      <c r="BJ175" s="283">
        <v>1019157</v>
      </c>
      <c r="BK175" s="161"/>
      <c r="BL175" s="294"/>
      <c r="BM175"/>
      <c r="BN175"/>
      <c r="BO175"/>
      <c r="BP175"/>
      <c r="BQ175"/>
      <c r="BR175"/>
      <c r="BS175"/>
      <c r="BT175"/>
      <c r="BU175"/>
      <c r="BV175"/>
      <c r="BW175"/>
      <c r="BX175"/>
      <c r="BY175"/>
      <c r="BZ175"/>
      <c r="CA175"/>
      <c r="CB175"/>
      <c r="CC175"/>
      <c r="CD175"/>
      <c r="CE175"/>
      <c r="CF175"/>
      <c r="CG175"/>
      <c r="CH175"/>
      <c r="CI175"/>
      <c r="CJ175"/>
    </row>
    <row r="176" spans="1:88" s="32" customFormat="1" ht="15" customHeight="1" x14ac:dyDescent="0.35">
      <c r="A176" s="473"/>
      <c r="B176" s="313">
        <v>80005</v>
      </c>
      <c r="C176" s="8" t="s">
        <v>803</v>
      </c>
      <c r="D176" s="18">
        <v>7</v>
      </c>
      <c r="E176" s="251">
        <v>383</v>
      </c>
      <c r="F176" s="82">
        <v>1.8072289156626506</v>
      </c>
      <c r="G176" s="79">
        <v>692.16867469879514</v>
      </c>
      <c r="H176" s="90">
        <v>3.9860000000000002</v>
      </c>
      <c r="I176" s="85">
        <v>3.4569999999999999</v>
      </c>
      <c r="J176" s="85">
        <v>3.8079999999999998</v>
      </c>
      <c r="K176" s="85">
        <v>3.8439999999999999</v>
      </c>
      <c r="L176" s="85">
        <v>4.68</v>
      </c>
      <c r="M176" s="85">
        <v>5.1559999999999997</v>
      </c>
      <c r="N176" s="85">
        <v>5.8650000000000002</v>
      </c>
      <c r="O176" s="85">
        <v>5.2910000000000004</v>
      </c>
      <c r="P176" s="85">
        <v>4.38</v>
      </c>
      <c r="Q176" s="85">
        <v>4.3209999999999997</v>
      </c>
      <c r="R176" s="85">
        <v>4.0579999999999998</v>
      </c>
      <c r="S176" s="89">
        <v>4.0389999999999997</v>
      </c>
      <c r="T176" s="89">
        <v>52.885000000000005</v>
      </c>
      <c r="U176" s="85">
        <v>0</v>
      </c>
      <c r="V176" s="85">
        <v>52.884999999999998</v>
      </c>
      <c r="W176" s="85">
        <v>0</v>
      </c>
      <c r="X176" s="89">
        <v>52.884999999999998</v>
      </c>
      <c r="Y176" s="79">
        <v>0</v>
      </c>
      <c r="Z176" s="79">
        <v>1</v>
      </c>
      <c r="AA176" s="94">
        <v>0</v>
      </c>
      <c r="AB176" s="79">
        <v>1</v>
      </c>
      <c r="AC176" s="85">
        <v>35.049999999999997</v>
      </c>
      <c r="AD176" s="85">
        <v>3.63</v>
      </c>
      <c r="AE176" s="85">
        <v>14.205</v>
      </c>
      <c r="AF176" s="85">
        <v>0</v>
      </c>
      <c r="AG176" s="85">
        <v>52.884999999999998</v>
      </c>
      <c r="AH176" s="85">
        <v>0</v>
      </c>
      <c r="AI176" s="85">
        <v>0</v>
      </c>
      <c r="AJ176" s="85">
        <v>0</v>
      </c>
      <c r="AK176" s="85">
        <v>0</v>
      </c>
      <c r="AL176" s="85">
        <v>0</v>
      </c>
      <c r="AM176" s="85">
        <v>0</v>
      </c>
      <c r="AN176" s="85">
        <v>0</v>
      </c>
      <c r="AO176" s="85">
        <v>0</v>
      </c>
      <c r="AP176" s="85">
        <v>0</v>
      </c>
      <c r="AQ176" s="85">
        <v>0</v>
      </c>
      <c r="AR176" s="85">
        <v>0</v>
      </c>
      <c r="AS176" s="85">
        <v>0</v>
      </c>
      <c r="AT176" s="85">
        <v>0</v>
      </c>
      <c r="AU176" s="85">
        <v>0</v>
      </c>
      <c r="AV176" s="85">
        <v>0</v>
      </c>
      <c r="AW176" s="85">
        <v>0</v>
      </c>
      <c r="AX176" s="85">
        <v>0</v>
      </c>
      <c r="AY176" s="85">
        <v>0</v>
      </c>
      <c r="AZ176" s="85">
        <v>52.884999999999998</v>
      </c>
      <c r="BA176" s="85">
        <v>0</v>
      </c>
      <c r="BB176" s="89">
        <v>0</v>
      </c>
      <c r="BC176" s="89">
        <v>52.884999999999998</v>
      </c>
      <c r="BD176" s="37">
        <v>0</v>
      </c>
      <c r="BE176" s="37">
        <v>0</v>
      </c>
      <c r="BF176" s="279">
        <v>913</v>
      </c>
      <c r="BG176" s="37">
        <v>14854</v>
      </c>
      <c r="BH176" s="37">
        <v>8274</v>
      </c>
      <c r="BI176" s="37">
        <v>0</v>
      </c>
      <c r="BJ176" s="283">
        <v>24041</v>
      </c>
      <c r="BK176" s="161"/>
      <c r="BL176" s="294"/>
      <c r="BM176"/>
      <c r="BN176"/>
      <c r="BO176"/>
      <c r="BP176"/>
      <c r="BQ176"/>
      <c r="BR176"/>
      <c r="BS176"/>
      <c r="BT176"/>
      <c r="BU176"/>
      <c r="BV176"/>
      <c r="BW176"/>
      <c r="BX176"/>
      <c r="BY176"/>
      <c r="BZ176"/>
      <c r="CA176"/>
      <c r="CB176"/>
      <c r="CC176"/>
      <c r="CD176"/>
      <c r="CE176"/>
      <c r="CF176"/>
      <c r="CG176"/>
      <c r="CH176"/>
      <c r="CI176"/>
      <c r="CJ176"/>
    </row>
    <row r="177" spans="1:88" s="32" customFormat="1" ht="15" customHeight="1" x14ac:dyDescent="0.35">
      <c r="A177" s="473"/>
      <c r="B177" s="313">
        <v>94220</v>
      </c>
      <c r="C177" s="8" t="s">
        <v>976</v>
      </c>
      <c r="D177" s="18">
        <v>2</v>
      </c>
      <c r="E177" s="251"/>
      <c r="F177" s="82"/>
      <c r="G177" s="79"/>
      <c r="H177" s="90"/>
      <c r="I177" s="85"/>
      <c r="J177" s="85"/>
      <c r="K177" s="85"/>
      <c r="L177" s="85"/>
      <c r="M177" s="85"/>
      <c r="N177" s="85"/>
      <c r="O177" s="85"/>
      <c r="P177" s="85"/>
      <c r="Q177" s="85"/>
      <c r="R177" s="85"/>
      <c r="S177" s="89"/>
      <c r="T177" s="89" t="s">
        <v>1124</v>
      </c>
      <c r="U177" s="85"/>
      <c r="V177" s="85"/>
      <c r="W177" s="85"/>
      <c r="X177" s="89" t="s">
        <v>1124</v>
      </c>
      <c r="Y177" s="79"/>
      <c r="Z177" s="79"/>
      <c r="AA177" s="94"/>
      <c r="AB177" s="79" t="s">
        <v>1124</v>
      </c>
      <c r="AC177" s="85"/>
      <c r="AD177" s="85"/>
      <c r="AE177" s="85"/>
      <c r="AF177" s="85"/>
      <c r="AG177" s="85" t="s">
        <v>1124</v>
      </c>
      <c r="AH177" s="85"/>
      <c r="AI177" s="85"/>
      <c r="AJ177" s="85"/>
      <c r="AK177" s="85"/>
      <c r="AL177" s="85"/>
      <c r="AM177" s="85"/>
      <c r="AN177" s="85"/>
      <c r="AO177" s="85"/>
      <c r="AP177" s="85"/>
      <c r="AQ177" s="85"/>
      <c r="AR177" s="85" t="s">
        <v>1124</v>
      </c>
      <c r="AS177" s="85"/>
      <c r="AT177" s="85"/>
      <c r="AU177" s="85"/>
      <c r="AV177" s="85"/>
      <c r="AW177" s="85"/>
      <c r="AX177" s="85"/>
      <c r="AY177" s="85"/>
      <c r="AZ177" s="85"/>
      <c r="BA177" s="85"/>
      <c r="BB177" s="89"/>
      <c r="BC177" s="89" t="s">
        <v>1124</v>
      </c>
      <c r="BD177" s="37"/>
      <c r="BE177" s="37"/>
      <c r="BF177" s="279"/>
      <c r="BG177" s="37"/>
      <c r="BH177" s="37"/>
      <c r="BI177" s="37"/>
      <c r="BJ177" s="283"/>
      <c r="BK177" s="161"/>
      <c r="BL177" s="294"/>
      <c r="BM177"/>
      <c r="BN177"/>
      <c r="BO177"/>
      <c r="BP177"/>
      <c r="BQ177"/>
      <c r="BR177"/>
      <c r="BS177"/>
      <c r="BT177"/>
      <c r="BU177"/>
      <c r="BV177"/>
      <c r="BW177"/>
      <c r="BX177"/>
      <c r="BY177"/>
      <c r="BZ177"/>
      <c r="CA177"/>
      <c r="CB177"/>
      <c r="CC177"/>
      <c r="CD177"/>
      <c r="CE177"/>
      <c r="CF177"/>
      <c r="CG177"/>
      <c r="CH177"/>
      <c r="CI177"/>
      <c r="CJ177"/>
    </row>
    <row r="178" spans="1:88" s="32" customFormat="1" ht="15" customHeight="1" x14ac:dyDescent="0.35">
      <c r="A178" s="473"/>
      <c r="B178" s="313">
        <v>79097</v>
      </c>
      <c r="C178" s="8" t="s">
        <v>799</v>
      </c>
      <c r="D178" s="18">
        <v>15</v>
      </c>
      <c r="E178" s="251">
        <v>1210</v>
      </c>
      <c r="F178" s="82">
        <v>1.9775524981897177</v>
      </c>
      <c r="G178" s="79">
        <v>2392.8385228095585</v>
      </c>
      <c r="H178" s="90">
        <v>21.199000000000002</v>
      </c>
      <c r="I178" s="85">
        <v>19.277000000000001</v>
      </c>
      <c r="J178" s="85">
        <v>21.658999999999999</v>
      </c>
      <c r="K178" s="85">
        <v>20.286000000000001</v>
      </c>
      <c r="L178" s="85">
        <v>20.512</v>
      </c>
      <c r="M178" s="85">
        <v>23.02</v>
      </c>
      <c r="N178" s="85">
        <v>25.321999999999999</v>
      </c>
      <c r="O178" s="85">
        <v>24.048999999999999</v>
      </c>
      <c r="P178" s="85">
        <v>21.667000000000002</v>
      </c>
      <c r="Q178" s="85">
        <v>22.062000000000001</v>
      </c>
      <c r="R178" s="85">
        <v>20.382999999999999</v>
      </c>
      <c r="S178" s="89">
        <v>21.861999999999998</v>
      </c>
      <c r="T178" s="89">
        <v>261.298</v>
      </c>
      <c r="U178" s="85">
        <v>261.298</v>
      </c>
      <c r="V178" s="85">
        <v>0</v>
      </c>
      <c r="W178" s="85">
        <v>0</v>
      </c>
      <c r="X178" s="89">
        <v>261.298</v>
      </c>
      <c r="Y178" s="79">
        <v>1</v>
      </c>
      <c r="Z178" s="79">
        <v>0</v>
      </c>
      <c r="AA178" s="94">
        <v>0</v>
      </c>
      <c r="AB178" s="79">
        <v>1</v>
      </c>
      <c r="AC178" s="85">
        <v>172.65700000000001</v>
      </c>
      <c r="AD178" s="85">
        <v>37.313999999999993</v>
      </c>
      <c r="AE178" s="85">
        <v>51.326999999999998</v>
      </c>
      <c r="AF178" s="85">
        <v>0</v>
      </c>
      <c r="AG178" s="85">
        <v>261.298</v>
      </c>
      <c r="AH178" s="85">
        <v>0</v>
      </c>
      <c r="AI178" s="85">
        <v>0</v>
      </c>
      <c r="AJ178" s="85">
        <v>261.298</v>
      </c>
      <c r="AK178" s="85">
        <v>0</v>
      </c>
      <c r="AL178" s="85">
        <v>0</v>
      </c>
      <c r="AM178" s="85">
        <v>0</v>
      </c>
      <c r="AN178" s="85">
        <v>0</v>
      </c>
      <c r="AO178" s="85">
        <v>0</v>
      </c>
      <c r="AP178" s="85">
        <v>0</v>
      </c>
      <c r="AQ178" s="85">
        <v>0</v>
      </c>
      <c r="AR178" s="85">
        <v>261.298</v>
      </c>
      <c r="AS178" s="85">
        <v>0</v>
      </c>
      <c r="AT178" s="85">
        <v>0</v>
      </c>
      <c r="AU178" s="85">
        <v>0</v>
      </c>
      <c r="AV178" s="85">
        <v>0</v>
      </c>
      <c r="AW178" s="85">
        <v>0</v>
      </c>
      <c r="AX178" s="85">
        <v>0</v>
      </c>
      <c r="AY178" s="85">
        <v>0</v>
      </c>
      <c r="AZ178" s="85">
        <v>0</v>
      </c>
      <c r="BA178" s="85">
        <v>0</v>
      </c>
      <c r="BB178" s="89">
        <v>0</v>
      </c>
      <c r="BC178" s="89">
        <v>0</v>
      </c>
      <c r="BD178" s="37">
        <v>0</v>
      </c>
      <c r="BE178" s="37">
        <v>4912</v>
      </c>
      <c r="BF178" s="279">
        <v>51021</v>
      </c>
      <c r="BG178" s="37">
        <v>17571</v>
      </c>
      <c r="BH178" s="37">
        <v>27617</v>
      </c>
      <c r="BI178" s="37">
        <v>10154</v>
      </c>
      <c r="BJ178" s="283">
        <v>106363</v>
      </c>
      <c r="BK178" s="161"/>
      <c r="BL178" s="294"/>
      <c r="BM178"/>
      <c r="BN178"/>
      <c r="BO178"/>
      <c r="BP178"/>
      <c r="BQ178"/>
      <c r="BR178"/>
      <c r="BS178"/>
      <c r="BT178"/>
      <c r="BU178"/>
      <c r="BV178"/>
      <c r="BW178"/>
      <c r="BX178"/>
      <c r="BY178"/>
      <c r="BZ178"/>
      <c r="CA178"/>
      <c r="CB178"/>
      <c r="CC178"/>
      <c r="CD178"/>
      <c r="CE178"/>
      <c r="CF178"/>
      <c r="CG178"/>
      <c r="CH178"/>
      <c r="CI178"/>
      <c r="CJ178"/>
    </row>
    <row r="179" spans="1:88" s="32" customFormat="1" ht="15" customHeight="1" x14ac:dyDescent="0.35">
      <c r="A179" s="473"/>
      <c r="B179" s="313">
        <v>97035</v>
      </c>
      <c r="C179" s="8" t="s">
        <v>1004</v>
      </c>
      <c r="D179" s="18">
        <v>9</v>
      </c>
      <c r="E179" s="251">
        <v>1510</v>
      </c>
      <c r="F179" s="82">
        <v>1.7590975254730714</v>
      </c>
      <c r="G179" s="79">
        <v>2656.237263464338</v>
      </c>
      <c r="H179" s="90">
        <v>42.034999999999997</v>
      </c>
      <c r="I179" s="85">
        <v>39.652999999999999</v>
      </c>
      <c r="J179" s="85">
        <v>38.387</v>
      </c>
      <c r="K179" s="85">
        <v>52.326000000000001</v>
      </c>
      <c r="L179" s="85">
        <v>45.598999999999997</v>
      </c>
      <c r="M179" s="85">
        <v>41.758000000000003</v>
      </c>
      <c r="N179" s="85">
        <v>37.584000000000003</v>
      </c>
      <c r="O179" s="85">
        <v>34.411000000000001</v>
      </c>
      <c r="P179" s="85">
        <v>37.951000000000001</v>
      </c>
      <c r="Q179" s="85">
        <v>41.216000000000001</v>
      </c>
      <c r="R179" s="85">
        <v>38.619999999999997</v>
      </c>
      <c r="S179" s="89">
        <v>36.188000000000002</v>
      </c>
      <c r="T179" s="89">
        <v>485.72800000000001</v>
      </c>
      <c r="U179" s="85">
        <v>485.72800000000001</v>
      </c>
      <c r="V179" s="85">
        <v>0</v>
      </c>
      <c r="W179" s="85">
        <v>0</v>
      </c>
      <c r="X179" s="89">
        <v>485.72800000000001</v>
      </c>
      <c r="Y179" s="79">
        <v>1</v>
      </c>
      <c r="Z179" s="79">
        <v>0</v>
      </c>
      <c r="AA179" s="94">
        <v>0</v>
      </c>
      <c r="AB179" s="79">
        <v>1</v>
      </c>
      <c r="AC179" s="85">
        <v>204.49930000000001</v>
      </c>
      <c r="AD179" s="85">
        <v>139.30093199999999</v>
      </c>
      <c r="AE179" s="85">
        <v>141.92776800000001</v>
      </c>
      <c r="AF179" s="85">
        <v>0</v>
      </c>
      <c r="AG179" s="85">
        <v>485.72800000000001</v>
      </c>
      <c r="AH179" s="85">
        <v>0</v>
      </c>
      <c r="AI179" s="85">
        <v>0</v>
      </c>
      <c r="AJ179" s="85">
        <v>0</v>
      </c>
      <c r="AK179" s="85">
        <v>404.04</v>
      </c>
      <c r="AL179" s="85">
        <v>0</v>
      </c>
      <c r="AM179" s="85">
        <v>0</v>
      </c>
      <c r="AN179" s="85">
        <v>81.688000000000002</v>
      </c>
      <c r="AO179" s="85">
        <v>0</v>
      </c>
      <c r="AP179" s="85">
        <v>0</v>
      </c>
      <c r="AQ179" s="85">
        <v>0</v>
      </c>
      <c r="AR179" s="85">
        <v>485.72800000000001</v>
      </c>
      <c r="AS179" s="85">
        <v>0</v>
      </c>
      <c r="AT179" s="85">
        <v>0</v>
      </c>
      <c r="AU179" s="85">
        <v>0</v>
      </c>
      <c r="AV179" s="85">
        <v>0</v>
      </c>
      <c r="AW179" s="85">
        <v>0</v>
      </c>
      <c r="AX179" s="85">
        <v>0</v>
      </c>
      <c r="AY179" s="85">
        <v>0</v>
      </c>
      <c r="AZ179" s="85">
        <v>0</v>
      </c>
      <c r="BA179" s="85">
        <v>0</v>
      </c>
      <c r="BB179" s="89">
        <v>0</v>
      </c>
      <c r="BC179" s="89">
        <v>0</v>
      </c>
      <c r="BD179" s="37">
        <v>0</v>
      </c>
      <c r="BE179" s="37">
        <v>0</v>
      </c>
      <c r="BF179" s="279">
        <v>157204</v>
      </c>
      <c r="BG179" s="37">
        <v>234863</v>
      </c>
      <c r="BH179" s="37">
        <v>98270</v>
      </c>
      <c r="BI179" s="37">
        <v>0</v>
      </c>
      <c r="BJ179" s="283">
        <v>490337</v>
      </c>
      <c r="BK179" s="161"/>
      <c r="BL179" s="294"/>
      <c r="BM179"/>
      <c r="BN179"/>
      <c r="BO179"/>
      <c r="BP179"/>
      <c r="BQ179"/>
      <c r="BR179"/>
      <c r="BS179"/>
      <c r="BT179"/>
      <c r="BU179"/>
      <c r="BV179"/>
      <c r="BW179"/>
      <c r="BX179"/>
      <c r="BY179"/>
      <c r="BZ179"/>
      <c r="CA179"/>
      <c r="CB179"/>
      <c r="CC179"/>
      <c r="CD179"/>
      <c r="CE179"/>
      <c r="CF179"/>
      <c r="CG179"/>
      <c r="CH179"/>
      <c r="CI179"/>
      <c r="CJ179"/>
    </row>
    <row r="180" spans="1:88" s="32" customFormat="1" ht="15" customHeight="1" x14ac:dyDescent="0.35">
      <c r="A180" s="473"/>
      <c r="B180" s="313">
        <v>95045</v>
      </c>
      <c r="C180" s="8" t="s">
        <v>992</v>
      </c>
      <c r="D180" s="18">
        <v>9</v>
      </c>
      <c r="E180" s="251"/>
      <c r="F180" s="82"/>
      <c r="G180" s="79"/>
      <c r="H180" s="90"/>
      <c r="I180" s="85"/>
      <c r="J180" s="85"/>
      <c r="K180" s="85"/>
      <c r="L180" s="85"/>
      <c r="M180" s="85"/>
      <c r="N180" s="85"/>
      <c r="O180" s="85"/>
      <c r="P180" s="85"/>
      <c r="Q180" s="85"/>
      <c r="R180" s="85"/>
      <c r="S180" s="89"/>
      <c r="T180" s="89" t="s">
        <v>1124</v>
      </c>
      <c r="U180" s="85"/>
      <c r="V180" s="85"/>
      <c r="W180" s="85"/>
      <c r="X180" s="89" t="s">
        <v>1124</v>
      </c>
      <c r="Y180" s="79"/>
      <c r="Z180" s="79"/>
      <c r="AA180" s="94"/>
      <c r="AB180" s="79" t="s">
        <v>1124</v>
      </c>
      <c r="AC180" s="85"/>
      <c r="AD180" s="85"/>
      <c r="AE180" s="85"/>
      <c r="AF180" s="85"/>
      <c r="AG180" s="85" t="s">
        <v>1124</v>
      </c>
      <c r="AH180" s="85"/>
      <c r="AI180" s="85"/>
      <c r="AJ180" s="85"/>
      <c r="AK180" s="85"/>
      <c r="AL180" s="85"/>
      <c r="AM180" s="85"/>
      <c r="AN180" s="85"/>
      <c r="AO180" s="85"/>
      <c r="AP180" s="85"/>
      <c r="AQ180" s="85"/>
      <c r="AR180" s="85" t="s">
        <v>1124</v>
      </c>
      <c r="AS180" s="85"/>
      <c r="AT180" s="85"/>
      <c r="AU180" s="85"/>
      <c r="AV180" s="85"/>
      <c r="AW180" s="85"/>
      <c r="AX180" s="85"/>
      <c r="AY180" s="85"/>
      <c r="AZ180" s="85"/>
      <c r="BA180" s="85"/>
      <c r="BB180" s="89"/>
      <c r="BC180" s="89" t="s">
        <v>1124</v>
      </c>
      <c r="BD180" s="37"/>
      <c r="BE180" s="37"/>
      <c r="BF180" s="279"/>
      <c r="BG180" s="37"/>
      <c r="BH180" s="37"/>
      <c r="BI180" s="37"/>
      <c r="BJ180" s="283"/>
      <c r="BK180" s="161"/>
      <c r="BL180" s="294"/>
      <c r="BM180"/>
      <c r="BN180"/>
      <c r="BO180"/>
      <c r="BP180"/>
      <c r="BQ180"/>
      <c r="BR180"/>
      <c r="BS180"/>
      <c r="BT180"/>
      <c r="BU180"/>
      <c r="BV180"/>
      <c r="BW180"/>
      <c r="BX180"/>
      <c r="BY180"/>
      <c r="BZ180"/>
      <c r="CA180"/>
      <c r="CB180"/>
      <c r="CC180"/>
      <c r="CD180"/>
      <c r="CE180"/>
      <c r="CF180"/>
      <c r="CG180"/>
      <c r="CH180"/>
      <c r="CI180"/>
      <c r="CJ180"/>
    </row>
    <row r="181" spans="1:88" s="32" customFormat="1" ht="15" customHeight="1" x14ac:dyDescent="0.35">
      <c r="A181" s="473"/>
      <c r="B181" s="313">
        <v>84060</v>
      </c>
      <c r="C181" s="8" t="s">
        <v>863</v>
      </c>
      <c r="D181" s="18">
        <v>7</v>
      </c>
      <c r="E181" s="251"/>
      <c r="F181" s="82"/>
      <c r="G181" s="79"/>
      <c r="H181" s="90"/>
      <c r="I181" s="85"/>
      <c r="J181" s="85"/>
      <c r="K181" s="85"/>
      <c r="L181" s="85"/>
      <c r="M181" s="85"/>
      <c r="N181" s="85"/>
      <c r="O181" s="85"/>
      <c r="P181" s="85"/>
      <c r="Q181" s="85"/>
      <c r="R181" s="85"/>
      <c r="S181" s="89"/>
      <c r="T181" s="89" t="s">
        <v>1124</v>
      </c>
      <c r="U181" s="85"/>
      <c r="V181" s="85"/>
      <c r="W181" s="85"/>
      <c r="X181" s="89" t="s">
        <v>1124</v>
      </c>
      <c r="Y181" s="79"/>
      <c r="Z181" s="79"/>
      <c r="AA181" s="94"/>
      <c r="AB181" s="79" t="s">
        <v>1124</v>
      </c>
      <c r="AC181" s="85"/>
      <c r="AD181" s="85"/>
      <c r="AE181" s="85"/>
      <c r="AF181" s="85"/>
      <c r="AG181" s="85" t="s">
        <v>1124</v>
      </c>
      <c r="AH181" s="85"/>
      <c r="AI181" s="85"/>
      <c r="AJ181" s="85"/>
      <c r="AK181" s="85"/>
      <c r="AL181" s="85"/>
      <c r="AM181" s="85"/>
      <c r="AN181" s="85"/>
      <c r="AO181" s="85"/>
      <c r="AP181" s="85"/>
      <c r="AQ181" s="85"/>
      <c r="AR181" s="85" t="s">
        <v>1124</v>
      </c>
      <c r="AS181" s="85"/>
      <c r="AT181" s="85"/>
      <c r="AU181" s="85"/>
      <c r="AV181" s="85"/>
      <c r="AW181" s="85"/>
      <c r="AX181" s="85"/>
      <c r="AY181" s="85"/>
      <c r="AZ181" s="85"/>
      <c r="BA181" s="85"/>
      <c r="BB181" s="89"/>
      <c r="BC181" s="89" t="s">
        <v>1124</v>
      </c>
      <c r="BD181" s="37"/>
      <c r="BE181" s="37"/>
      <c r="BF181" s="279"/>
      <c r="BG181" s="37"/>
      <c r="BH181" s="37"/>
      <c r="BI181" s="37"/>
      <c r="BJ181" s="283"/>
      <c r="BK181" s="161"/>
      <c r="BL181" s="294"/>
      <c r="BM181"/>
      <c r="BN181"/>
      <c r="BO181"/>
      <c r="BP181"/>
      <c r="BQ181"/>
      <c r="BR181"/>
      <c r="BS181"/>
      <c r="BT181"/>
      <c r="BU181"/>
      <c r="BV181"/>
      <c r="BW181"/>
      <c r="BX181"/>
      <c r="BY181"/>
      <c r="BZ181"/>
      <c r="CA181"/>
      <c r="CB181"/>
      <c r="CC181"/>
      <c r="CD181"/>
      <c r="CE181"/>
      <c r="CF181"/>
      <c r="CG181"/>
      <c r="CH181"/>
      <c r="CI181"/>
      <c r="CJ181"/>
    </row>
    <row r="182" spans="1:88" s="32" customFormat="1" ht="15" customHeight="1" x14ac:dyDescent="0.35">
      <c r="A182" s="473"/>
      <c r="B182" s="313">
        <v>38047</v>
      </c>
      <c r="C182" s="8" t="s">
        <v>332</v>
      </c>
      <c r="D182" s="18">
        <v>17</v>
      </c>
      <c r="E182" s="251">
        <v>229</v>
      </c>
      <c r="F182" s="82">
        <v>2.1167192429022084</v>
      </c>
      <c r="G182" s="79">
        <v>484.72870662460571</v>
      </c>
      <c r="H182" s="90">
        <v>3.9514999999999998</v>
      </c>
      <c r="I182" s="85">
        <v>3.641</v>
      </c>
      <c r="J182" s="85">
        <v>3.9711099999999999</v>
      </c>
      <c r="K182" s="85">
        <v>3.8125</v>
      </c>
      <c r="L182" s="85">
        <v>4.5445200000000003</v>
      </c>
      <c r="M182" s="85">
        <v>4.6863100000000006</v>
      </c>
      <c r="N182" s="85">
        <v>5.2166099999999993</v>
      </c>
      <c r="O182" s="85">
        <v>4.8567499999999999</v>
      </c>
      <c r="P182" s="85">
        <v>4.43405</v>
      </c>
      <c r="Q182" s="85">
        <v>4.4279200000000003</v>
      </c>
      <c r="R182" s="85">
        <v>4.8885299999999994</v>
      </c>
      <c r="S182" s="89">
        <v>3.9204499999999998</v>
      </c>
      <c r="T182" s="89">
        <v>52.351250000000007</v>
      </c>
      <c r="U182" s="85">
        <v>0</v>
      </c>
      <c r="V182" s="85">
        <v>52.350999999999999</v>
      </c>
      <c r="W182" s="85">
        <v>0</v>
      </c>
      <c r="X182" s="89">
        <v>52.350999999999999</v>
      </c>
      <c r="Y182" s="79">
        <v>0</v>
      </c>
      <c r="Z182" s="79">
        <v>1</v>
      </c>
      <c r="AA182" s="94">
        <v>0</v>
      </c>
      <c r="AB182" s="79">
        <v>1</v>
      </c>
      <c r="AC182" s="85">
        <v>25.954999999999998</v>
      </c>
      <c r="AD182" s="85">
        <v>15.023999999999999</v>
      </c>
      <c r="AE182" s="85">
        <v>11.372</v>
      </c>
      <c r="AF182" s="85">
        <v>0</v>
      </c>
      <c r="AG182" s="85">
        <v>52.350999999999999</v>
      </c>
      <c r="AH182" s="85">
        <v>0</v>
      </c>
      <c r="AI182" s="85">
        <v>0</v>
      </c>
      <c r="AJ182" s="85">
        <v>0</v>
      </c>
      <c r="AK182" s="85">
        <v>0</v>
      </c>
      <c r="AL182" s="85">
        <v>0</v>
      </c>
      <c r="AM182" s="85">
        <v>0</v>
      </c>
      <c r="AN182" s="85">
        <v>0</v>
      </c>
      <c r="AO182" s="85">
        <v>0</v>
      </c>
      <c r="AP182" s="85">
        <v>0</v>
      </c>
      <c r="AQ182" s="85">
        <v>0</v>
      </c>
      <c r="AR182" s="85">
        <v>0</v>
      </c>
      <c r="AS182" s="85">
        <v>0</v>
      </c>
      <c r="AT182" s="85">
        <v>0</v>
      </c>
      <c r="AU182" s="85">
        <v>52.350999999999999</v>
      </c>
      <c r="AV182" s="85">
        <v>0</v>
      </c>
      <c r="AW182" s="85">
        <v>0</v>
      </c>
      <c r="AX182" s="85">
        <v>0</v>
      </c>
      <c r="AY182" s="85">
        <v>0</v>
      </c>
      <c r="AZ182" s="85">
        <v>0</v>
      </c>
      <c r="BA182" s="85">
        <v>0</v>
      </c>
      <c r="BB182" s="89">
        <v>0</v>
      </c>
      <c r="BC182" s="89">
        <v>52.350999999999999</v>
      </c>
      <c r="BD182" s="37">
        <v>0</v>
      </c>
      <c r="BE182" s="37">
        <v>8924</v>
      </c>
      <c r="BF182" s="279">
        <v>28235</v>
      </c>
      <c r="BG182" s="37">
        <v>27036</v>
      </c>
      <c r="BH182" s="37">
        <v>9171</v>
      </c>
      <c r="BI182" s="37">
        <v>2840</v>
      </c>
      <c r="BJ182" s="283">
        <v>67282</v>
      </c>
      <c r="BK182" s="161"/>
      <c r="BL182" s="294"/>
      <c r="BM182"/>
      <c r="BN182"/>
      <c r="BO182"/>
      <c r="BP182"/>
      <c r="BQ182"/>
      <c r="BR182"/>
      <c r="BS182"/>
      <c r="BT182"/>
      <c r="BU182"/>
      <c r="BV182"/>
      <c r="BW182"/>
      <c r="BX182"/>
      <c r="BY182"/>
      <c r="BZ182"/>
      <c r="CA182"/>
      <c r="CB182"/>
      <c r="CC182"/>
      <c r="CD182"/>
      <c r="CE182"/>
      <c r="CF182"/>
      <c r="CG182"/>
      <c r="CH182"/>
      <c r="CI182"/>
      <c r="CJ182"/>
    </row>
    <row r="183" spans="1:88" s="32" customFormat="1" ht="15" customHeight="1" x14ac:dyDescent="0.35">
      <c r="A183" s="473"/>
      <c r="B183" s="314">
        <v>22010</v>
      </c>
      <c r="C183" s="8" t="s">
        <v>154</v>
      </c>
      <c r="D183" s="18">
        <v>3</v>
      </c>
      <c r="E183" s="251">
        <v>1062</v>
      </c>
      <c r="F183" s="82">
        <v>2.2271293375394321</v>
      </c>
      <c r="G183" s="79">
        <v>2365.2113564668771</v>
      </c>
      <c r="H183" s="90">
        <v>17.161000000000001</v>
      </c>
      <c r="I183" s="85">
        <v>16.760999999999999</v>
      </c>
      <c r="J183" s="85">
        <v>17.582000000000001</v>
      </c>
      <c r="K183" s="85">
        <v>16.736000000000001</v>
      </c>
      <c r="L183" s="85">
        <v>20.907</v>
      </c>
      <c r="M183" s="85">
        <v>26.344000000000001</v>
      </c>
      <c r="N183" s="85">
        <v>33.341999999999999</v>
      </c>
      <c r="O183" s="85">
        <v>28.579000000000001</v>
      </c>
      <c r="P183" s="85">
        <v>19.457999999999998</v>
      </c>
      <c r="Q183" s="85">
        <v>19.164000000000001</v>
      </c>
      <c r="R183" s="85">
        <v>14.8</v>
      </c>
      <c r="S183" s="89">
        <v>15.656000000000001</v>
      </c>
      <c r="T183" s="89">
        <v>246.49</v>
      </c>
      <c r="U183" s="85">
        <v>0</v>
      </c>
      <c r="V183" s="85">
        <v>246.49</v>
      </c>
      <c r="W183" s="85">
        <v>0</v>
      </c>
      <c r="X183" s="89">
        <v>246.49</v>
      </c>
      <c r="Y183" s="79">
        <v>0</v>
      </c>
      <c r="Z183" s="79">
        <v>1</v>
      </c>
      <c r="AA183" s="94">
        <v>0</v>
      </c>
      <c r="AB183" s="79">
        <v>1</v>
      </c>
      <c r="AC183" s="85">
        <v>155.17054469156528</v>
      </c>
      <c r="AD183" s="85">
        <v>59.52924476169288</v>
      </c>
      <c r="AE183" s="85">
        <v>31.790210546741847</v>
      </c>
      <c r="AF183" s="85">
        <v>0</v>
      </c>
      <c r="AG183" s="85">
        <v>246.49</v>
      </c>
      <c r="AH183" s="85">
        <v>0</v>
      </c>
      <c r="AI183" s="85">
        <v>0</v>
      </c>
      <c r="AJ183" s="85">
        <v>0</v>
      </c>
      <c r="AK183" s="85">
        <v>0</v>
      </c>
      <c r="AL183" s="85">
        <v>0</v>
      </c>
      <c r="AM183" s="85">
        <v>0</v>
      </c>
      <c r="AN183" s="85">
        <v>0</v>
      </c>
      <c r="AO183" s="85">
        <v>0</v>
      </c>
      <c r="AP183" s="85">
        <v>0</v>
      </c>
      <c r="AQ183" s="85">
        <v>0</v>
      </c>
      <c r="AR183" s="85">
        <v>0</v>
      </c>
      <c r="AS183" s="85">
        <v>0</v>
      </c>
      <c r="AT183" s="85">
        <v>0</v>
      </c>
      <c r="AU183" s="85">
        <v>0</v>
      </c>
      <c r="AV183" s="85">
        <v>0</v>
      </c>
      <c r="AW183" s="85">
        <v>0</v>
      </c>
      <c r="AX183" s="85">
        <v>0</v>
      </c>
      <c r="AY183" s="85">
        <v>246.49</v>
      </c>
      <c r="AZ183" s="85">
        <v>0</v>
      </c>
      <c r="BA183" s="85">
        <v>0</v>
      </c>
      <c r="BB183" s="89">
        <v>0</v>
      </c>
      <c r="BC183" s="89">
        <v>246.49</v>
      </c>
      <c r="BD183" s="37">
        <v>0</v>
      </c>
      <c r="BE183" s="37">
        <v>0</v>
      </c>
      <c r="BF183" s="279">
        <v>5640</v>
      </c>
      <c r="BG183" s="37">
        <v>86069</v>
      </c>
      <c r="BH183" s="37">
        <v>24423</v>
      </c>
      <c r="BI183" s="37">
        <v>0</v>
      </c>
      <c r="BJ183" s="283">
        <v>116132</v>
      </c>
      <c r="BK183" s="161"/>
      <c r="BL183" s="294"/>
      <c r="BM183"/>
      <c r="BN183"/>
      <c r="BO183"/>
      <c r="BP183"/>
      <c r="BQ183"/>
      <c r="BR183"/>
      <c r="BS183"/>
      <c r="BT183"/>
      <c r="BU183"/>
      <c r="BV183"/>
      <c r="BW183"/>
      <c r="BX183"/>
      <c r="BY183"/>
      <c r="BZ183"/>
      <c r="CA183"/>
      <c r="CB183"/>
      <c r="CC183"/>
      <c r="CD183"/>
      <c r="CE183"/>
      <c r="CF183"/>
      <c r="CG183"/>
      <c r="CH183"/>
      <c r="CI183"/>
      <c r="CJ183"/>
    </row>
    <row r="184" spans="1:88" s="32" customFormat="1" ht="15" customHeight="1" x14ac:dyDescent="0.35">
      <c r="A184" s="473"/>
      <c r="B184" s="313">
        <v>26005</v>
      </c>
      <c r="C184" s="8" t="s">
        <v>167</v>
      </c>
      <c r="D184" s="18">
        <v>12</v>
      </c>
      <c r="E184" s="251">
        <v>310</v>
      </c>
      <c r="F184" s="82">
        <v>2.25</v>
      </c>
      <c r="G184" s="79">
        <v>697.5</v>
      </c>
      <c r="H184" s="90">
        <v>6.3490000000000002</v>
      </c>
      <c r="I184" s="85">
        <v>6.3220000000000001</v>
      </c>
      <c r="J184" s="85">
        <v>7.3339999999999996</v>
      </c>
      <c r="K184" s="85">
        <v>7.133</v>
      </c>
      <c r="L184" s="85">
        <v>7.4720000000000004</v>
      </c>
      <c r="M184" s="85">
        <v>6.66</v>
      </c>
      <c r="N184" s="85">
        <v>6.7210000000000001</v>
      </c>
      <c r="O184" s="85">
        <v>6.4930000000000003</v>
      </c>
      <c r="P184" s="85">
        <v>6.1219999999999999</v>
      </c>
      <c r="Q184" s="85">
        <v>5.61</v>
      </c>
      <c r="R184" s="85">
        <v>5.4950000000000001</v>
      </c>
      <c r="S184" s="89">
        <v>5.641</v>
      </c>
      <c r="T184" s="89">
        <v>77.352000000000018</v>
      </c>
      <c r="U184" s="85">
        <v>0</v>
      </c>
      <c r="V184" s="85">
        <v>77.352000000000018</v>
      </c>
      <c r="W184" s="85">
        <v>0</v>
      </c>
      <c r="X184" s="89">
        <v>77.352000000000018</v>
      </c>
      <c r="Y184" s="79">
        <v>0</v>
      </c>
      <c r="Z184" s="79">
        <v>2</v>
      </c>
      <c r="AA184" s="94">
        <v>0</v>
      </c>
      <c r="AB184" s="79">
        <v>2</v>
      </c>
      <c r="AC184" s="85">
        <v>65.087299999999999</v>
      </c>
      <c r="AD184" s="85">
        <v>3.5309799999999942</v>
      </c>
      <c r="AE184" s="85">
        <v>8.7337200000000248</v>
      </c>
      <c r="AF184" s="85">
        <v>0</v>
      </c>
      <c r="AG184" s="85">
        <v>77.352000000000018</v>
      </c>
      <c r="AH184" s="85">
        <v>0</v>
      </c>
      <c r="AI184" s="85">
        <v>0</v>
      </c>
      <c r="AJ184" s="85">
        <v>0</v>
      </c>
      <c r="AK184" s="85">
        <v>0</v>
      </c>
      <c r="AL184" s="85">
        <v>0</v>
      </c>
      <c r="AM184" s="85">
        <v>0</v>
      </c>
      <c r="AN184" s="85">
        <v>0</v>
      </c>
      <c r="AO184" s="85">
        <v>0</v>
      </c>
      <c r="AP184" s="85">
        <v>0</v>
      </c>
      <c r="AQ184" s="85">
        <v>0</v>
      </c>
      <c r="AR184" s="85">
        <v>0</v>
      </c>
      <c r="AS184" s="85">
        <v>0</v>
      </c>
      <c r="AT184" s="85">
        <v>0</v>
      </c>
      <c r="AU184" s="85">
        <v>0</v>
      </c>
      <c r="AV184" s="85">
        <v>77.352000000000018</v>
      </c>
      <c r="AW184" s="85">
        <v>0</v>
      </c>
      <c r="AX184" s="85">
        <v>0</v>
      </c>
      <c r="AY184" s="85">
        <v>0</v>
      </c>
      <c r="AZ184" s="85">
        <v>0</v>
      </c>
      <c r="BA184" s="85">
        <v>0</v>
      </c>
      <c r="BB184" s="89">
        <v>0</v>
      </c>
      <c r="BC184" s="89">
        <v>77.352000000000018</v>
      </c>
      <c r="BD184" s="37">
        <v>31979</v>
      </c>
      <c r="BE184" s="37">
        <v>28372</v>
      </c>
      <c r="BF184" s="279">
        <v>1390</v>
      </c>
      <c r="BG184" s="37">
        <v>30957</v>
      </c>
      <c r="BH184" s="37">
        <v>8005</v>
      </c>
      <c r="BI184" s="37">
        <v>0</v>
      </c>
      <c r="BJ184" s="283">
        <v>40352</v>
      </c>
      <c r="BK184" s="161"/>
      <c r="BL184" s="294"/>
      <c r="BM184"/>
      <c r="BN184"/>
      <c r="BO184"/>
      <c r="BP184"/>
      <c r="BQ184"/>
      <c r="BR184"/>
      <c r="BS184"/>
      <c r="BT184"/>
      <c r="BU184"/>
      <c r="BV184"/>
      <c r="BW184"/>
      <c r="BX184"/>
      <c r="BY184"/>
      <c r="BZ184"/>
      <c r="CA184"/>
      <c r="CB184"/>
      <c r="CC184"/>
      <c r="CD184"/>
      <c r="CE184"/>
      <c r="CF184"/>
      <c r="CG184"/>
      <c r="CH184"/>
      <c r="CI184"/>
      <c r="CJ184"/>
    </row>
    <row r="185" spans="1:88" s="32" customFormat="1" ht="15" customHeight="1" x14ac:dyDescent="0.35">
      <c r="A185" s="473"/>
      <c r="B185" s="313">
        <v>69010</v>
      </c>
      <c r="C185" s="8" t="s">
        <v>685</v>
      </c>
      <c r="D185" s="18">
        <v>16</v>
      </c>
      <c r="E185" s="251"/>
      <c r="F185" s="82"/>
      <c r="G185" s="79"/>
      <c r="H185" s="90"/>
      <c r="I185" s="85"/>
      <c r="J185" s="85"/>
      <c r="K185" s="85"/>
      <c r="L185" s="85"/>
      <c r="M185" s="85"/>
      <c r="N185" s="85"/>
      <c r="O185" s="85"/>
      <c r="P185" s="85"/>
      <c r="Q185" s="85"/>
      <c r="R185" s="85"/>
      <c r="S185" s="89"/>
      <c r="T185" s="89" t="s">
        <v>1124</v>
      </c>
      <c r="U185" s="85"/>
      <c r="V185" s="85"/>
      <c r="W185" s="85"/>
      <c r="X185" s="89" t="s">
        <v>1124</v>
      </c>
      <c r="Y185" s="79"/>
      <c r="Z185" s="79"/>
      <c r="AA185" s="94"/>
      <c r="AB185" s="79" t="s">
        <v>1124</v>
      </c>
      <c r="AC185" s="85"/>
      <c r="AD185" s="85"/>
      <c r="AE185" s="85"/>
      <c r="AF185" s="85"/>
      <c r="AG185" s="85" t="s">
        <v>1124</v>
      </c>
      <c r="AH185" s="85"/>
      <c r="AI185" s="85"/>
      <c r="AJ185" s="85"/>
      <c r="AK185" s="85"/>
      <c r="AL185" s="85"/>
      <c r="AM185" s="85"/>
      <c r="AN185" s="85"/>
      <c r="AO185" s="85"/>
      <c r="AP185" s="85"/>
      <c r="AQ185" s="85"/>
      <c r="AR185" s="85" t="s">
        <v>1124</v>
      </c>
      <c r="AS185" s="85"/>
      <c r="AT185" s="85"/>
      <c r="AU185" s="85"/>
      <c r="AV185" s="85"/>
      <c r="AW185" s="85"/>
      <c r="AX185" s="85"/>
      <c r="AY185" s="85"/>
      <c r="AZ185" s="85"/>
      <c r="BA185" s="85"/>
      <c r="BB185" s="89"/>
      <c r="BC185" s="89" t="s">
        <v>1124</v>
      </c>
      <c r="BD185" s="37"/>
      <c r="BE185" s="37"/>
      <c r="BF185" s="279"/>
      <c r="BG185" s="37"/>
      <c r="BH185" s="37"/>
      <c r="BI185" s="37"/>
      <c r="BJ185" s="283"/>
      <c r="BK185" s="161"/>
      <c r="BL185" s="294"/>
      <c r="BM185"/>
      <c r="BN185"/>
      <c r="BO185"/>
      <c r="BP185"/>
      <c r="BQ185"/>
      <c r="BR185"/>
      <c r="BS185"/>
      <c r="BT185"/>
      <c r="BU185"/>
      <c r="BV185"/>
      <c r="BW185"/>
      <c r="BX185"/>
      <c r="BY185"/>
      <c r="BZ185"/>
      <c r="CA185"/>
      <c r="CB185"/>
      <c r="CC185"/>
      <c r="CD185"/>
      <c r="CE185"/>
      <c r="CF185"/>
      <c r="CG185"/>
      <c r="CH185"/>
      <c r="CI185"/>
      <c r="CJ185"/>
    </row>
    <row r="186" spans="1:88" s="32" customFormat="1" ht="15" customHeight="1" x14ac:dyDescent="0.35">
      <c r="A186" s="473"/>
      <c r="B186" s="313">
        <v>96015</v>
      </c>
      <c r="C186" s="8" t="s">
        <v>996</v>
      </c>
      <c r="D186" s="18">
        <v>9</v>
      </c>
      <c r="E186" s="251"/>
      <c r="F186" s="82"/>
      <c r="G186" s="79"/>
      <c r="H186" s="90"/>
      <c r="I186" s="85"/>
      <c r="J186" s="85"/>
      <c r="K186" s="85"/>
      <c r="L186" s="85"/>
      <c r="M186" s="85"/>
      <c r="N186" s="85"/>
      <c r="O186" s="85"/>
      <c r="P186" s="85"/>
      <c r="Q186" s="85"/>
      <c r="R186" s="85"/>
      <c r="S186" s="89"/>
      <c r="T186" s="89" t="s">
        <v>1124</v>
      </c>
      <c r="U186" s="85"/>
      <c r="V186" s="85"/>
      <c r="W186" s="85"/>
      <c r="X186" s="89" t="s">
        <v>1124</v>
      </c>
      <c r="Y186" s="79"/>
      <c r="Z186" s="79"/>
      <c r="AA186" s="94"/>
      <c r="AB186" s="79" t="s">
        <v>1124</v>
      </c>
      <c r="AC186" s="85"/>
      <c r="AD186" s="85"/>
      <c r="AE186" s="85"/>
      <c r="AF186" s="85"/>
      <c r="AG186" s="85" t="s">
        <v>1124</v>
      </c>
      <c r="AH186" s="85"/>
      <c r="AI186" s="85"/>
      <c r="AJ186" s="85"/>
      <c r="AK186" s="85"/>
      <c r="AL186" s="85"/>
      <c r="AM186" s="85"/>
      <c r="AN186" s="85"/>
      <c r="AO186" s="85"/>
      <c r="AP186" s="85"/>
      <c r="AQ186" s="85"/>
      <c r="AR186" s="85" t="s">
        <v>1124</v>
      </c>
      <c r="AS186" s="85"/>
      <c r="AT186" s="85"/>
      <c r="AU186" s="85"/>
      <c r="AV186" s="85"/>
      <c r="AW186" s="85"/>
      <c r="AX186" s="85"/>
      <c r="AY186" s="85"/>
      <c r="AZ186" s="85"/>
      <c r="BA186" s="85"/>
      <c r="BB186" s="89"/>
      <c r="BC186" s="89" t="s">
        <v>1124</v>
      </c>
      <c r="BD186" s="37"/>
      <c r="BE186" s="37"/>
      <c r="BF186" s="279"/>
      <c r="BG186" s="37"/>
      <c r="BH186" s="37"/>
      <c r="BI186" s="37"/>
      <c r="BJ186" s="283"/>
      <c r="BK186" s="161"/>
      <c r="BL186" s="294"/>
      <c r="BM186"/>
      <c r="BN186"/>
      <c r="BO186"/>
      <c r="BP186"/>
      <c r="BQ186"/>
      <c r="BR186"/>
      <c r="BS186"/>
      <c r="BT186"/>
      <c r="BU186"/>
      <c r="BV186"/>
      <c r="BW186"/>
      <c r="BX186"/>
      <c r="BY186"/>
      <c r="BZ186"/>
      <c r="CA186"/>
      <c r="CB186"/>
      <c r="CC186"/>
      <c r="CD186"/>
      <c r="CE186"/>
      <c r="CF186"/>
      <c r="CG186"/>
      <c r="CH186"/>
      <c r="CI186"/>
      <c r="CJ186"/>
    </row>
    <row r="187" spans="1:88" s="32" customFormat="1" ht="15" customHeight="1" x14ac:dyDescent="0.35">
      <c r="A187" s="473"/>
      <c r="B187" s="313">
        <v>46010</v>
      </c>
      <c r="C187" s="8" t="s">
        <v>428</v>
      </c>
      <c r="D187" s="18">
        <v>5</v>
      </c>
      <c r="E187" s="251"/>
      <c r="F187" s="82"/>
      <c r="G187" s="79"/>
      <c r="H187" s="90"/>
      <c r="I187" s="85"/>
      <c r="J187" s="85"/>
      <c r="K187" s="85"/>
      <c r="L187" s="85"/>
      <c r="M187" s="85"/>
      <c r="N187" s="85"/>
      <c r="O187" s="85"/>
      <c r="P187" s="85"/>
      <c r="Q187" s="85"/>
      <c r="R187" s="85"/>
      <c r="S187" s="89"/>
      <c r="T187" s="89" t="s">
        <v>1124</v>
      </c>
      <c r="U187" s="85"/>
      <c r="V187" s="85"/>
      <c r="W187" s="85"/>
      <c r="X187" s="89" t="s">
        <v>1124</v>
      </c>
      <c r="Y187" s="79"/>
      <c r="Z187" s="79"/>
      <c r="AA187" s="94"/>
      <c r="AB187" s="79" t="s">
        <v>1124</v>
      </c>
      <c r="AC187" s="85"/>
      <c r="AD187" s="85"/>
      <c r="AE187" s="85"/>
      <c r="AF187" s="85"/>
      <c r="AG187" s="85" t="s">
        <v>1124</v>
      </c>
      <c r="AH187" s="85"/>
      <c r="AI187" s="85"/>
      <c r="AJ187" s="85"/>
      <c r="AK187" s="85"/>
      <c r="AL187" s="85"/>
      <c r="AM187" s="85"/>
      <c r="AN187" s="85"/>
      <c r="AO187" s="85"/>
      <c r="AP187" s="85"/>
      <c r="AQ187" s="85"/>
      <c r="AR187" s="85" t="s">
        <v>1124</v>
      </c>
      <c r="AS187" s="85"/>
      <c r="AT187" s="85"/>
      <c r="AU187" s="85"/>
      <c r="AV187" s="85"/>
      <c r="AW187" s="85"/>
      <c r="AX187" s="85"/>
      <c r="AY187" s="85"/>
      <c r="AZ187" s="85"/>
      <c r="BA187" s="85"/>
      <c r="BB187" s="89"/>
      <c r="BC187" s="89" t="s">
        <v>1124</v>
      </c>
      <c r="BD187" s="37"/>
      <c r="BE187" s="37"/>
      <c r="BF187" s="279"/>
      <c r="BG187" s="37"/>
      <c r="BH187" s="37"/>
      <c r="BI187" s="37"/>
      <c r="BJ187" s="283"/>
      <c r="BK187" s="161"/>
      <c r="BL187" s="294"/>
      <c r="BM187"/>
      <c r="BN187"/>
      <c r="BO187"/>
      <c r="BP187"/>
      <c r="BQ187"/>
      <c r="BR187"/>
      <c r="BS187"/>
      <c r="BT187"/>
      <c r="BU187"/>
      <c r="BV187"/>
      <c r="BW187"/>
      <c r="BX187"/>
      <c r="BY187"/>
      <c r="BZ187"/>
      <c r="CA187"/>
      <c r="CB187"/>
      <c r="CC187"/>
      <c r="CD187"/>
      <c r="CE187"/>
      <c r="CF187"/>
      <c r="CG187"/>
      <c r="CH187"/>
      <c r="CI187"/>
      <c r="CJ187"/>
    </row>
    <row r="188" spans="1:88" s="32" customFormat="1" ht="15" customHeight="1" x14ac:dyDescent="0.35">
      <c r="A188" s="473"/>
      <c r="B188" s="313">
        <v>30025</v>
      </c>
      <c r="C188" s="8" t="s">
        <v>221</v>
      </c>
      <c r="D188" s="18">
        <v>5</v>
      </c>
      <c r="E188" s="251">
        <v>184</v>
      </c>
      <c r="F188" s="82">
        <v>2.2707253886010363</v>
      </c>
      <c r="G188" s="79">
        <v>417.81347150259069</v>
      </c>
      <c r="H188" s="90">
        <v>2.6659999999999999</v>
      </c>
      <c r="I188" s="85">
        <v>2.395</v>
      </c>
      <c r="J188" s="85">
        <v>2.64</v>
      </c>
      <c r="K188" s="85">
        <v>2.5760000000000001</v>
      </c>
      <c r="L188" s="85">
        <v>2.952</v>
      </c>
      <c r="M188" s="85">
        <v>3.1179999999999999</v>
      </c>
      <c r="N188" s="85">
        <v>3.6030000000000002</v>
      </c>
      <c r="O188" s="85">
        <v>2.9140000000000001</v>
      </c>
      <c r="P188" s="85">
        <v>2.7269999999999999</v>
      </c>
      <c r="Q188" s="85">
        <v>2.79</v>
      </c>
      <c r="R188" s="85">
        <v>2.6179999999999999</v>
      </c>
      <c r="S188" s="89">
        <v>2.8679999999999999</v>
      </c>
      <c r="T188" s="89">
        <v>33.867000000000004</v>
      </c>
      <c r="U188" s="85">
        <v>0</v>
      </c>
      <c r="V188" s="85">
        <v>33.866999999999997</v>
      </c>
      <c r="W188" s="85">
        <v>0</v>
      </c>
      <c r="X188" s="89">
        <v>33.866999999999997</v>
      </c>
      <c r="Y188" s="79">
        <v>0</v>
      </c>
      <c r="Z188" s="79">
        <v>1</v>
      </c>
      <c r="AA188" s="94">
        <v>0</v>
      </c>
      <c r="AB188" s="79">
        <v>1</v>
      </c>
      <c r="AC188" s="85">
        <v>29.548458315789475</v>
      </c>
      <c r="AD188" s="85">
        <v>1.4715416842105231</v>
      </c>
      <c r="AE188" s="85">
        <v>2.8469999999999995</v>
      </c>
      <c r="AF188" s="85">
        <v>0</v>
      </c>
      <c r="AG188" s="85">
        <v>33.866999999999997</v>
      </c>
      <c r="AH188" s="85">
        <v>0</v>
      </c>
      <c r="AI188" s="85">
        <v>0</v>
      </c>
      <c r="AJ188" s="85">
        <v>0</v>
      </c>
      <c r="AK188" s="85">
        <v>0</v>
      </c>
      <c r="AL188" s="85">
        <v>0</v>
      </c>
      <c r="AM188" s="85">
        <v>0</v>
      </c>
      <c r="AN188" s="85">
        <v>0</v>
      </c>
      <c r="AO188" s="85">
        <v>0</v>
      </c>
      <c r="AP188" s="85">
        <v>0</v>
      </c>
      <c r="AQ188" s="85">
        <v>0</v>
      </c>
      <c r="AR188" s="85">
        <v>0</v>
      </c>
      <c r="AS188" s="85">
        <v>0</v>
      </c>
      <c r="AT188" s="85">
        <v>0</v>
      </c>
      <c r="AU188" s="85">
        <v>0</v>
      </c>
      <c r="AV188" s="85">
        <v>0</v>
      </c>
      <c r="AW188" s="85">
        <v>0</v>
      </c>
      <c r="AX188" s="85">
        <v>0</v>
      </c>
      <c r="AY188" s="85">
        <v>0</v>
      </c>
      <c r="AZ188" s="85">
        <v>33.866999999999997</v>
      </c>
      <c r="BA188" s="85">
        <v>0</v>
      </c>
      <c r="BB188" s="89">
        <v>0</v>
      </c>
      <c r="BC188" s="89">
        <v>33.866999999999997</v>
      </c>
      <c r="BD188" s="37">
        <v>0</v>
      </c>
      <c r="BE188" s="37">
        <v>0</v>
      </c>
      <c r="BF188" s="279">
        <v>14384</v>
      </c>
      <c r="BG188" s="37">
        <v>642</v>
      </c>
      <c r="BH188" s="37">
        <v>13352</v>
      </c>
      <c r="BI188" s="37">
        <v>0</v>
      </c>
      <c r="BJ188" s="283">
        <v>28378</v>
      </c>
      <c r="BK188" s="161"/>
      <c r="BL188" s="294"/>
      <c r="BM188"/>
      <c r="BN188"/>
      <c r="BO188"/>
      <c r="BP188"/>
      <c r="BQ188"/>
      <c r="BR188"/>
      <c r="BS188"/>
      <c r="BT188"/>
      <c r="BU188"/>
      <c r="BV188"/>
      <c r="BW188"/>
      <c r="BX188"/>
      <c r="BY188"/>
      <c r="BZ188"/>
      <c r="CA188"/>
      <c r="CB188"/>
      <c r="CC188"/>
      <c r="CD188"/>
      <c r="CE188"/>
      <c r="CF188"/>
      <c r="CG188"/>
      <c r="CH188"/>
      <c r="CI188"/>
      <c r="CJ188"/>
    </row>
    <row r="189" spans="1:88" s="32" customFormat="1" ht="15" customHeight="1" x14ac:dyDescent="0.35">
      <c r="A189" s="473"/>
      <c r="B189" s="313">
        <v>85055</v>
      </c>
      <c r="C189" s="8" t="s">
        <v>879</v>
      </c>
      <c r="D189" s="18">
        <v>8</v>
      </c>
      <c r="E189" s="251"/>
      <c r="F189" s="82"/>
      <c r="G189" s="79"/>
      <c r="H189" s="90"/>
      <c r="I189" s="85"/>
      <c r="J189" s="85"/>
      <c r="K189" s="85"/>
      <c r="L189" s="85"/>
      <c r="M189" s="85"/>
      <c r="N189" s="85"/>
      <c r="O189" s="85"/>
      <c r="P189" s="85"/>
      <c r="Q189" s="85"/>
      <c r="R189" s="85"/>
      <c r="S189" s="89"/>
      <c r="T189" s="89" t="s">
        <v>1124</v>
      </c>
      <c r="U189" s="85"/>
      <c r="V189" s="85"/>
      <c r="W189" s="85"/>
      <c r="X189" s="89" t="s">
        <v>1124</v>
      </c>
      <c r="Y189" s="79"/>
      <c r="Z189" s="79"/>
      <c r="AA189" s="94"/>
      <c r="AB189" s="79" t="s">
        <v>1124</v>
      </c>
      <c r="AC189" s="85"/>
      <c r="AD189" s="85"/>
      <c r="AE189" s="85"/>
      <c r="AF189" s="85"/>
      <c r="AG189" s="85" t="s">
        <v>1124</v>
      </c>
      <c r="AH189" s="85"/>
      <c r="AI189" s="85"/>
      <c r="AJ189" s="85"/>
      <c r="AK189" s="85"/>
      <c r="AL189" s="85"/>
      <c r="AM189" s="85"/>
      <c r="AN189" s="85"/>
      <c r="AO189" s="85"/>
      <c r="AP189" s="85"/>
      <c r="AQ189" s="85"/>
      <c r="AR189" s="85" t="s">
        <v>1124</v>
      </c>
      <c r="AS189" s="85"/>
      <c r="AT189" s="85"/>
      <c r="AU189" s="85"/>
      <c r="AV189" s="85"/>
      <c r="AW189" s="85"/>
      <c r="AX189" s="85"/>
      <c r="AY189" s="85"/>
      <c r="AZ189" s="85"/>
      <c r="BA189" s="85"/>
      <c r="BB189" s="89"/>
      <c r="BC189" s="89" t="s">
        <v>1124</v>
      </c>
      <c r="BD189" s="37"/>
      <c r="BE189" s="37"/>
      <c r="BF189" s="279"/>
      <c r="BG189" s="37"/>
      <c r="BH189" s="37"/>
      <c r="BI189" s="37"/>
      <c r="BJ189" s="283"/>
      <c r="BK189" s="161"/>
      <c r="BL189" s="294"/>
      <c r="BM189"/>
      <c r="BN189"/>
      <c r="BO189"/>
      <c r="BP189"/>
      <c r="BQ189"/>
      <c r="BR189"/>
      <c r="BS189"/>
      <c r="BT189"/>
      <c r="BU189"/>
      <c r="BV189"/>
      <c r="BW189"/>
      <c r="BX189"/>
      <c r="BY189"/>
      <c r="BZ189"/>
      <c r="CA189"/>
      <c r="CB189"/>
      <c r="CC189"/>
      <c r="CD189"/>
      <c r="CE189"/>
      <c r="CF189"/>
      <c r="CG189"/>
      <c r="CH189"/>
      <c r="CI189"/>
      <c r="CJ189"/>
    </row>
    <row r="190" spans="1:88" s="32" customFormat="1" ht="15" customHeight="1" x14ac:dyDescent="0.35">
      <c r="A190" s="473"/>
      <c r="B190" s="313">
        <v>87020</v>
      </c>
      <c r="C190" s="8" t="s">
        <v>893</v>
      </c>
      <c r="D190" s="18">
        <v>8</v>
      </c>
      <c r="E190" s="251"/>
      <c r="F190" s="82"/>
      <c r="G190" s="79"/>
      <c r="H190" s="90"/>
      <c r="I190" s="85"/>
      <c r="J190" s="85"/>
      <c r="K190" s="85"/>
      <c r="L190" s="85"/>
      <c r="M190" s="85"/>
      <c r="N190" s="85"/>
      <c r="O190" s="85"/>
      <c r="P190" s="85"/>
      <c r="Q190" s="85"/>
      <c r="R190" s="85"/>
      <c r="S190" s="89"/>
      <c r="T190" s="89" t="s">
        <v>1124</v>
      </c>
      <c r="U190" s="85"/>
      <c r="V190" s="85"/>
      <c r="W190" s="85"/>
      <c r="X190" s="89" t="s">
        <v>1124</v>
      </c>
      <c r="Y190" s="79"/>
      <c r="Z190" s="79"/>
      <c r="AA190" s="94"/>
      <c r="AB190" s="79" t="s">
        <v>1124</v>
      </c>
      <c r="AC190" s="85"/>
      <c r="AD190" s="85"/>
      <c r="AE190" s="85"/>
      <c r="AF190" s="85"/>
      <c r="AG190" s="85" t="s">
        <v>1124</v>
      </c>
      <c r="AH190" s="85"/>
      <c r="AI190" s="85"/>
      <c r="AJ190" s="85"/>
      <c r="AK190" s="85"/>
      <c r="AL190" s="85"/>
      <c r="AM190" s="85"/>
      <c r="AN190" s="85"/>
      <c r="AO190" s="85"/>
      <c r="AP190" s="85"/>
      <c r="AQ190" s="85"/>
      <c r="AR190" s="85" t="s">
        <v>1124</v>
      </c>
      <c r="AS190" s="85"/>
      <c r="AT190" s="85"/>
      <c r="AU190" s="85"/>
      <c r="AV190" s="85"/>
      <c r="AW190" s="85"/>
      <c r="AX190" s="85"/>
      <c r="AY190" s="85"/>
      <c r="AZ190" s="85"/>
      <c r="BA190" s="85"/>
      <c r="BB190" s="89"/>
      <c r="BC190" s="89" t="s">
        <v>1124</v>
      </c>
      <c r="BD190" s="37"/>
      <c r="BE190" s="37"/>
      <c r="BF190" s="279"/>
      <c r="BG190" s="37"/>
      <c r="BH190" s="37"/>
      <c r="BI190" s="37"/>
      <c r="BJ190" s="283"/>
      <c r="BK190" s="161"/>
      <c r="BL190" s="294"/>
      <c r="BM190"/>
      <c r="BN190"/>
      <c r="BO190"/>
      <c r="BP190"/>
      <c r="BQ190"/>
      <c r="BR190"/>
      <c r="BS190"/>
      <c r="BT190"/>
      <c r="BU190"/>
      <c r="BV190"/>
      <c r="BW190"/>
      <c r="BX190"/>
      <c r="BY190"/>
      <c r="BZ190"/>
      <c r="CA190"/>
      <c r="CB190"/>
      <c r="CC190"/>
      <c r="CD190"/>
      <c r="CE190"/>
      <c r="CF190"/>
      <c r="CG190"/>
      <c r="CH190"/>
      <c r="CI190"/>
      <c r="CJ190"/>
    </row>
    <row r="191" spans="1:88" s="32" customFormat="1" ht="15" customHeight="1" x14ac:dyDescent="0.35">
      <c r="A191" s="473"/>
      <c r="B191" s="313">
        <v>3005</v>
      </c>
      <c r="C191" s="8" t="s">
        <v>1031</v>
      </c>
      <c r="D191" s="18">
        <v>11</v>
      </c>
      <c r="E191" s="251">
        <v>3769</v>
      </c>
      <c r="F191" s="82">
        <v>2.2079104477611939</v>
      </c>
      <c r="G191" s="79">
        <v>8321.6144776119399</v>
      </c>
      <c r="H191" s="90">
        <v>221.4</v>
      </c>
      <c r="I191" s="85">
        <v>216.1</v>
      </c>
      <c r="J191" s="85">
        <v>204.2</v>
      </c>
      <c r="K191" s="85">
        <v>249.3</v>
      </c>
      <c r="L191" s="85">
        <v>206.1</v>
      </c>
      <c r="M191" s="85">
        <v>252.7</v>
      </c>
      <c r="N191" s="85">
        <v>296.3</v>
      </c>
      <c r="O191" s="85">
        <v>289.39999999999998</v>
      </c>
      <c r="P191" s="85">
        <v>256.39999999999998</v>
      </c>
      <c r="Q191" s="85">
        <v>194.72800000000001</v>
      </c>
      <c r="R191" s="85">
        <v>144.6</v>
      </c>
      <c r="S191" s="89">
        <v>182.66</v>
      </c>
      <c r="T191" s="89">
        <v>2713.8879999999999</v>
      </c>
      <c r="U191" s="85">
        <v>1167.8150000000001</v>
      </c>
      <c r="V191" s="85">
        <v>1546.0730000000001</v>
      </c>
      <c r="W191" s="85">
        <v>0</v>
      </c>
      <c r="X191" s="89">
        <v>2713.8879999999999</v>
      </c>
      <c r="Y191" s="79">
        <v>1</v>
      </c>
      <c r="Z191" s="79">
        <v>1</v>
      </c>
      <c r="AA191" s="94">
        <v>0</v>
      </c>
      <c r="AB191" s="79">
        <v>2</v>
      </c>
      <c r="AC191" s="85">
        <v>1274.2492735378278</v>
      </c>
      <c r="AD191" s="85">
        <v>871.27949748257993</v>
      </c>
      <c r="AE191" s="85">
        <v>568.35922897959222</v>
      </c>
      <c r="AF191" s="85">
        <v>0</v>
      </c>
      <c r="AG191" s="85">
        <v>2713.8879999999999</v>
      </c>
      <c r="AH191" s="85">
        <v>0</v>
      </c>
      <c r="AI191" s="85">
        <v>0</v>
      </c>
      <c r="AJ191" s="85">
        <v>0</v>
      </c>
      <c r="AK191" s="85">
        <v>0</v>
      </c>
      <c r="AL191" s="85">
        <v>0</v>
      </c>
      <c r="AM191" s="85">
        <v>0</v>
      </c>
      <c r="AN191" s="85">
        <v>1167.8150000000001</v>
      </c>
      <c r="AO191" s="85">
        <v>0</v>
      </c>
      <c r="AP191" s="85">
        <v>0</v>
      </c>
      <c r="AQ191" s="85">
        <v>0</v>
      </c>
      <c r="AR191" s="85">
        <v>1167.8150000000001</v>
      </c>
      <c r="AS191" s="85">
        <v>0</v>
      </c>
      <c r="AT191" s="85">
        <v>0</v>
      </c>
      <c r="AU191" s="85">
        <v>0</v>
      </c>
      <c r="AV191" s="85">
        <v>0</v>
      </c>
      <c r="AW191" s="85">
        <v>0</v>
      </c>
      <c r="AX191" s="85">
        <v>0</v>
      </c>
      <c r="AY191" s="85">
        <v>1546.0730000000001</v>
      </c>
      <c r="AZ191" s="85">
        <v>0</v>
      </c>
      <c r="BA191" s="85">
        <v>0</v>
      </c>
      <c r="BB191" s="89">
        <v>0</v>
      </c>
      <c r="BC191" s="89">
        <v>1546.0730000000001</v>
      </c>
      <c r="BD191" s="37">
        <v>4389</v>
      </c>
      <c r="BE191" s="37">
        <v>0</v>
      </c>
      <c r="BF191" s="279">
        <v>250000</v>
      </c>
      <c r="BG191" s="37">
        <v>536000</v>
      </c>
      <c r="BH191" s="37">
        <v>140000</v>
      </c>
      <c r="BI191" s="37">
        <v>10000</v>
      </c>
      <c r="BJ191" s="283">
        <v>936000</v>
      </c>
      <c r="BK191" s="161" t="s">
        <v>1271</v>
      </c>
      <c r="BL191" s="294"/>
      <c r="BM191"/>
      <c r="BN191"/>
      <c r="BO191"/>
      <c r="BP191"/>
      <c r="BQ191"/>
      <c r="BR191"/>
      <c r="BS191"/>
      <c r="BT191"/>
      <c r="BU191"/>
      <c r="BV191"/>
      <c r="BW191"/>
      <c r="BX191"/>
      <c r="BY191"/>
      <c r="BZ191"/>
      <c r="CA191"/>
      <c r="CB191"/>
      <c r="CC191"/>
      <c r="CD191"/>
      <c r="CE191"/>
      <c r="CF191"/>
      <c r="CG191"/>
      <c r="CH191"/>
      <c r="CI191"/>
      <c r="CJ191"/>
    </row>
    <row r="192" spans="1:88" s="32" customFormat="1" ht="15" customHeight="1" x14ac:dyDescent="0.35">
      <c r="A192" s="473"/>
      <c r="B192" s="313">
        <v>81017</v>
      </c>
      <c r="C192" s="8" t="s">
        <v>827</v>
      </c>
      <c r="D192" s="18">
        <v>7</v>
      </c>
      <c r="E192" s="251">
        <v>129190</v>
      </c>
      <c r="F192" s="82">
        <v>2.2187399889047765</v>
      </c>
      <c r="G192" s="79">
        <v>286639.01916660811</v>
      </c>
      <c r="H192" s="90">
        <v>3173.0949999999998</v>
      </c>
      <c r="I192" s="85">
        <v>2897.5889999999999</v>
      </c>
      <c r="J192" s="85">
        <v>3195.7950000000001</v>
      </c>
      <c r="K192" s="85">
        <v>3034.069</v>
      </c>
      <c r="L192" s="85">
        <v>3411.6149999999998</v>
      </c>
      <c r="M192" s="85">
        <v>3454.6970000000001</v>
      </c>
      <c r="N192" s="85">
        <v>4078.761</v>
      </c>
      <c r="O192" s="85">
        <v>3759.8890000000001</v>
      </c>
      <c r="P192" s="85">
        <v>3239.9479999999999</v>
      </c>
      <c r="Q192" s="85">
        <v>2989.2429999999999</v>
      </c>
      <c r="R192" s="85">
        <v>2800.7080000000001</v>
      </c>
      <c r="S192" s="89">
        <v>3006.3560000000002</v>
      </c>
      <c r="T192" s="89">
        <v>39041.764999999999</v>
      </c>
      <c r="U192" s="85">
        <v>39041.764999999999</v>
      </c>
      <c r="V192" s="85">
        <v>0</v>
      </c>
      <c r="W192" s="85">
        <v>0</v>
      </c>
      <c r="X192" s="89">
        <v>39041.764999999999</v>
      </c>
      <c r="Y192" s="79">
        <v>4</v>
      </c>
      <c r="Z192" s="79">
        <v>0</v>
      </c>
      <c r="AA192" s="94">
        <v>0</v>
      </c>
      <c r="AB192" s="79">
        <v>4</v>
      </c>
      <c r="AC192" s="85">
        <v>26155.808799999999</v>
      </c>
      <c r="AD192" s="85">
        <v>5739.6940000000004</v>
      </c>
      <c r="AE192" s="85">
        <v>7146.2619999999997</v>
      </c>
      <c r="AF192" s="85">
        <v>0</v>
      </c>
      <c r="AG192" s="85">
        <v>39041.764799999997</v>
      </c>
      <c r="AH192" s="85">
        <v>39041.764999999999</v>
      </c>
      <c r="AI192" s="85">
        <v>0</v>
      </c>
      <c r="AJ192" s="85">
        <v>0</v>
      </c>
      <c r="AK192" s="85">
        <v>0</v>
      </c>
      <c r="AL192" s="85">
        <v>0</v>
      </c>
      <c r="AM192" s="85">
        <v>0</v>
      </c>
      <c r="AN192" s="85">
        <v>0</v>
      </c>
      <c r="AO192" s="85">
        <v>0</v>
      </c>
      <c r="AP192" s="85">
        <v>0</v>
      </c>
      <c r="AQ192" s="85">
        <v>0</v>
      </c>
      <c r="AR192" s="85">
        <v>39041.764999999999</v>
      </c>
      <c r="AS192" s="85">
        <v>0</v>
      </c>
      <c r="AT192" s="85">
        <v>0</v>
      </c>
      <c r="AU192" s="85">
        <v>0</v>
      </c>
      <c r="AV192" s="85">
        <v>0</v>
      </c>
      <c r="AW192" s="85">
        <v>0</v>
      </c>
      <c r="AX192" s="85">
        <v>0</v>
      </c>
      <c r="AY192" s="85">
        <v>0</v>
      </c>
      <c r="AZ192" s="85">
        <v>0</v>
      </c>
      <c r="BA192" s="85">
        <v>0</v>
      </c>
      <c r="BB192" s="89">
        <v>0</v>
      </c>
      <c r="BC192" s="89">
        <v>0</v>
      </c>
      <c r="BD192" s="37">
        <v>38888312</v>
      </c>
      <c r="BE192" s="37">
        <v>3620611</v>
      </c>
      <c r="BF192" s="279">
        <v>1799528</v>
      </c>
      <c r="BG192" s="37">
        <v>2848977</v>
      </c>
      <c r="BH192" s="37">
        <v>1699911</v>
      </c>
      <c r="BI192" s="37">
        <v>7189</v>
      </c>
      <c r="BJ192" s="283">
        <v>6355605</v>
      </c>
      <c r="BK192" s="161"/>
      <c r="BL192" s="294"/>
      <c r="BM192"/>
      <c r="BN192"/>
      <c r="BO192"/>
      <c r="BP192"/>
      <c r="BQ192"/>
      <c r="BR192"/>
      <c r="BS192"/>
      <c r="BT192"/>
      <c r="BU192"/>
      <c r="BV192"/>
      <c r="BW192"/>
      <c r="BX192"/>
      <c r="BY192"/>
      <c r="BZ192"/>
      <c r="CA192"/>
      <c r="CB192"/>
      <c r="CC192"/>
      <c r="CD192"/>
      <c r="CE192"/>
      <c r="CF192"/>
      <c r="CG192"/>
      <c r="CH192"/>
      <c r="CI192"/>
      <c r="CJ192"/>
    </row>
    <row r="193" spans="1:88" s="32" customFormat="1" ht="15" customHeight="1" x14ac:dyDescent="0.35">
      <c r="A193" s="473"/>
      <c r="B193" s="313">
        <v>92055</v>
      </c>
      <c r="C193" s="8" t="s">
        <v>954</v>
      </c>
      <c r="D193" s="18">
        <v>2</v>
      </c>
      <c r="E193" s="251">
        <v>410</v>
      </c>
      <c r="F193" s="82">
        <v>1.9111111111111112</v>
      </c>
      <c r="G193" s="79">
        <v>783.55555555555554</v>
      </c>
      <c r="H193" s="90">
        <v>7.8890000000000002</v>
      </c>
      <c r="I193" s="85">
        <v>7.468</v>
      </c>
      <c r="J193" s="85">
        <v>9.1449999999999996</v>
      </c>
      <c r="K193" s="85">
        <v>7.9939999999999998</v>
      </c>
      <c r="L193" s="85">
        <v>7.7729999999999997</v>
      </c>
      <c r="M193" s="85">
        <v>7.7510000000000003</v>
      </c>
      <c r="N193" s="85">
        <v>8.5359999999999996</v>
      </c>
      <c r="O193" s="85">
        <v>7.3479999999999999</v>
      </c>
      <c r="P193" s="85">
        <v>6.2270000000000003</v>
      </c>
      <c r="Q193" s="85">
        <v>6.5789999999999997</v>
      </c>
      <c r="R193" s="85">
        <v>6.6070000000000002</v>
      </c>
      <c r="S193" s="89">
        <v>7.5570000000000004</v>
      </c>
      <c r="T193" s="89">
        <v>90.873999999999981</v>
      </c>
      <c r="U193" s="85">
        <v>0</v>
      </c>
      <c r="V193" s="85">
        <v>90.873999999999995</v>
      </c>
      <c r="W193" s="85">
        <v>0</v>
      </c>
      <c r="X193" s="89">
        <v>90.873999999999995</v>
      </c>
      <c r="Y193" s="79">
        <v>0</v>
      </c>
      <c r="Z193" s="79">
        <v>2</v>
      </c>
      <c r="AA193" s="94">
        <v>0</v>
      </c>
      <c r="AB193" s="79">
        <v>2</v>
      </c>
      <c r="AC193" s="85">
        <v>66.100999999999999</v>
      </c>
      <c r="AD193" s="85">
        <v>9.11</v>
      </c>
      <c r="AE193" s="85">
        <v>15.663</v>
      </c>
      <c r="AF193" s="85">
        <v>0</v>
      </c>
      <c r="AG193" s="85">
        <v>90.873999999999995</v>
      </c>
      <c r="AH193" s="85">
        <v>0</v>
      </c>
      <c r="AI193" s="85">
        <v>0</v>
      </c>
      <c r="AJ193" s="85">
        <v>0</v>
      </c>
      <c r="AK193" s="85">
        <v>0</v>
      </c>
      <c r="AL193" s="85">
        <v>0</v>
      </c>
      <c r="AM193" s="85">
        <v>0</v>
      </c>
      <c r="AN193" s="85">
        <v>0</v>
      </c>
      <c r="AO193" s="85">
        <v>0</v>
      </c>
      <c r="AP193" s="85">
        <v>0</v>
      </c>
      <c r="AQ193" s="85">
        <v>0</v>
      </c>
      <c r="AR193" s="85">
        <v>0</v>
      </c>
      <c r="AS193" s="85">
        <v>0</v>
      </c>
      <c r="AT193" s="85">
        <v>0</v>
      </c>
      <c r="AU193" s="85">
        <v>0</v>
      </c>
      <c r="AV193" s="85">
        <v>0</v>
      </c>
      <c r="AW193" s="85">
        <v>0</v>
      </c>
      <c r="AX193" s="85">
        <v>0</v>
      </c>
      <c r="AY193" s="85">
        <v>90.873999999999995</v>
      </c>
      <c r="AZ193" s="85">
        <v>0</v>
      </c>
      <c r="BA193" s="85">
        <v>0</v>
      </c>
      <c r="BB193" s="89">
        <v>0</v>
      </c>
      <c r="BC193" s="89">
        <v>90.873999999999995</v>
      </c>
      <c r="BD193" s="37">
        <v>141800</v>
      </c>
      <c r="BE193" s="37">
        <v>52297</v>
      </c>
      <c r="BF193" s="279">
        <v>3121</v>
      </c>
      <c r="BG193" s="37">
        <v>19768</v>
      </c>
      <c r="BH193" s="37">
        <v>23409</v>
      </c>
      <c r="BI193" s="37">
        <v>14149</v>
      </c>
      <c r="BJ193" s="283">
        <v>60447</v>
      </c>
      <c r="BK193" s="161"/>
      <c r="BL193" s="294"/>
      <c r="BM193"/>
      <c r="BN193"/>
      <c r="BO193"/>
      <c r="BP193"/>
      <c r="BQ193"/>
      <c r="BR193"/>
      <c r="BS193"/>
      <c r="BT193"/>
      <c r="BU193"/>
      <c r="BV193"/>
      <c r="BW193"/>
      <c r="BX193"/>
      <c r="BY193"/>
      <c r="BZ193"/>
      <c r="CA193"/>
      <c r="CB193"/>
      <c r="CC193"/>
      <c r="CD193"/>
      <c r="CE193"/>
      <c r="CF193"/>
      <c r="CG193"/>
      <c r="CH193"/>
      <c r="CI193"/>
      <c r="CJ193"/>
    </row>
    <row r="194" spans="1:88" s="32" customFormat="1" ht="15" customHeight="1" x14ac:dyDescent="0.35">
      <c r="A194" s="473"/>
      <c r="B194" s="313">
        <v>96010</v>
      </c>
      <c r="C194" s="8" t="s">
        <v>995</v>
      </c>
      <c r="D194" s="18">
        <v>9</v>
      </c>
      <c r="E194" s="251"/>
      <c r="F194" s="82"/>
      <c r="G194" s="79"/>
      <c r="H194" s="90"/>
      <c r="I194" s="85"/>
      <c r="J194" s="85"/>
      <c r="K194" s="85"/>
      <c r="L194" s="85"/>
      <c r="M194" s="85"/>
      <c r="N194" s="85"/>
      <c r="O194" s="85"/>
      <c r="P194" s="85"/>
      <c r="Q194" s="85"/>
      <c r="R194" s="85"/>
      <c r="S194" s="89"/>
      <c r="T194" s="89" t="s">
        <v>1124</v>
      </c>
      <c r="U194" s="85"/>
      <c r="V194" s="85"/>
      <c r="W194" s="85"/>
      <c r="X194" s="89" t="s">
        <v>1124</v>
      </c>
      <c r="Y194" s="79"/>
      <c r="Z194" s="79"/>
      <c r="AA194" s="94"/>
      <c r="AB194" s="79" t="s">
        <v>1124</v>
      </c>
      <c r="AC194" s="85"/>
      <c r="AD194" s="85"/>
      <c r="AE194" s="85"/>
      <c r="AF194" s="85"/>
      <c r="AG194" s="85" t="s">
        <v>1124</v>
      </c>
      <c r="AH194" s="85"/>
      <c r="AI194" s="85"/>
      <c r="AJ194" s="85"/>
      <c r="AK194" s="85"/>
      <c r="AL194" s="85"/>
      <c r="AM194" s="85"/>
      <c r="AN194" s="85"/>
      <c r="AO194" s="85"/>
      <c r="AP194" s="85"/>
      <c r="AQ194" s="85"/>
      <c r="AR194" s="85" t="s">
        <v>1124</v>
      </c>
      <c r="AS194" s="85"/>
      <c r="AT194" s="85"/>
      <c r="AU194" s="85"/>
      <c r="AV194" s="85"/>
      <c r="AW194" s="85"/>
      <c r="AX194" s="85"/>
      <c r="AY194" s="85"/>
      <c r="AZ194" s="85"/>
      <c r="BA194" s="85"/>
      <c r="BB194" s="89"/>
      <c r="BC194" s="89" t="s">
        <v>1124</v>
      </c>
      <c r="BD194" s="37"/>
      <c r="BE194" s="37"/>
      <c r="BF194" s="279"/>
      <c r="BG194" s="37"/>
      <c r="BH194" s="37"/>
      <c r="BI194" s="37"/>
      <c r="BJ194" s="283"/>
      <c r="BK194" s="161"/>
      <c r="BL194" s="294"/>
      <c r="BM194"/>
      <c r="BN194"/>
      <c r="BO194"/>
      <c r="BP194"/>
      <c r="BQ194"/>
      <c r="BR194"/>
      <c r="BS194"/>
      <c r="BT194"/>
      <c r="BU194"/>
      <c r="BV194"/>
      <c r="BW194"/>
      <c r="BX194"/>
      <c r="BY194"/>
      <c r="BZ194"/>
      <c r="CA194"/>
      <c r="CB194"/>
      <c r="CC194"/>
      <c r="CD194"/>
      <c r="CE194"/>
      <c r="CF194"/>
      <c r="CG194"/>
      <c r="CH194"/>
      <c r="CI194"/>
      <c r="CJ194"/>
    </row>
    <row r="195" spans="1:88" s="32" customFormat="1" ht="15" customHeight="1" x14ac:dyDescent="0.35">
      <c r="A195" s="473"/>
      <c r="B195" s="313">
        <v>69060</v>
      </c>
      <c r="C195" s="8" t="s">
        <v>693</v>
      </c>
      <c r="D195" s="18">
        <v>16</v>
      </c>
      <c r="E195" s="251"/>
      <c r="F195" s="82"/>
      <c r="G195" s="79"/>
      <c r="H195" s="90"/>
      <c r="I195" s="85"/>
      <c r="J195" s="85"/>
      <c r="K195" s="85"/>
      <c r="L195" s="85"/>
      <c r="M195" s="85"/>
      <c r="N195" s="85"/>
      <c r="O195" s="85"/>
      <c r="P195" s="85"/>
      <c r="Q195" s="85"/>
      <c r="R195" s="85"/>
      <c r="S195" s="89"/>
      <c r="T195" s="89" t="s">
        <v>1124</v>
      </c>
      <c r="U195" s="85"/>
      <c r="V195" s="85"/>
      <c r="W195" s="85"/>
      <c r="X195" s="89" t="s">
        <v>1124</v>
      </c>
      <c r="Y195" s="79"/>
      <c r="Z195" s="79"/>
      <c r="AA195" s="94"/>
      <c r="AB195" s="79" t="s">
        <v>1124</v>
      </c>
      <c r="AC195" s="85"/>
      <c r="AD195" s="85"/>
      <c r="AE195" s="85"/>
      <c r="AF195" s="85"/>
      <c r="AG195" s="85" t="s">
        <v>1124</v>
      </c>
      <c r="AH195" s="85"/>
      <c r="AI195" s="85"/>
      <c r="AJ195" s="85"/>
      <c r="AK195" s="85"/>
      <c r="AL195" s="85"/>
      <c r="AM195" s="85"/>
      <c r="AN195" s="85"/>
      <c r="AO195" s="85"/>
      <c r="AP195" s="85"/>
      <c r="AQ195" s="85"/>
      <c r="AR195" s="85" t="s">
        <v>1124</v>
      </c>
      <c r="AS195" s="85"/>
      <c r="AT195" s="85"/>
      <c r="AU195" s="85"/>
      <c r="AV195" s="85"/>
      <c r="AW195" s="85"/>
      <c r="AX195" s="85"/>
      <c r="AY195" s="85"/>
      <c r="AZ195" s="85"/>
      <c r="BA195" s="85"/>
      <c r="BB195" s="89"/>
      <c r="BC195" s="89" t="s">
        <v>1124</v>
      </c>
      <c r="BD195" s="37"/>
      <c r="BE195" s="37"/>
      <c r="BF195" s="279"/>
      <c r="BG195" s="37"/>
      <c r="BH195" s="37"/>
      <c r="BI195" s="37"/>
      <c r="BJ195" s="283"/>
      <c r="BK195" s="161"/>
      <c r="BL195" s="294"/>
      <c r="BM195"/>
      <c r="BN195"/>
      <c r="BO195"/>
      <c r="BP195"/>
      <c r="BQ195"/>
      <c r="BR195"/>
      <c r="BS195"/>
      <c r="BT195"/>
      <c r="BU195"/>
      <c r="BV195"/>
      <c r="BW195"/>
      <c r="BX195"/>
      <c r="BY195"/>
      <c r="BZ195"/>
      <c r="CA195"/>
      <c r="CB195"/>
      <c r="CC195"/>
      <c r="CD195"/>
      <c r="CE195"/>
      <c r="CF195"/>
      <c r="CG195"/>
      <c r="CH195"/>
      <c r="CI195"/>
      <c r="CJ195"/>
    </row>
    <row r="196" spans="1:88" s="32" customFormat="1" ht="15" customHeight="1" x14ac:dyDescent="0.35">
      <c r="A196" s="473"/>
      <c r="B196" s="313">
        <v>76025</v>
      </c>
      <c r="C196" s="8" t="s">
        <v>749</v>
      </c>
      <c r="D196" s="18">
        <v>15</v>
      </c>
      <c r="E196" s="251"/>
      <c r="F196" s="82"/>
      <c r="G196" s="79"/>
      <c r="H196" s="90"/>
      <c r="I196" s="85"/>
      <c r="J196" s="85"/>
      <c r="K196" s="85"/>
      <c r="L196" s="85"/>
      <c r="M196" s="85"/>
      <c r="N196" s="85"/>
      <c r="O196" s="85"/>
      <c r="P196" s="85"/>
      <c r="Q196" s="85"/>
      <c r="R196" s="85"/>
      <c r="S196" s="89"/>
      <c r="T196" s="89" t="s">
        <v>1124</v>
      </c>
      <c r="U196" s="85"/>
      <c r="V196" s="85"/>
      <c r="W196" s="85"/>
      <c r="X196" s="89" t="s">
        <v>1124</v>
      </c>
      <c r="Y196" s="79"/>
      <c r="Z196" s="79"/>
      <c r="AA196" s="94"/>
      <c r="AB196" s="79" t="s">
        <v>1124</v>
      </c>
      <c r="AC196" s="85"/>
      <c r="AD196" s="85"/>
      <c r="AE196" s="85"/>
      <c r="AF196" s="85"/>
      <c r="AG196" s="85" t="s">
        <v>1124</v>
      </c>
      <c r="AH196" s="85"/>
      <c r="AI196" s="85"/>
      <c r="AJ196" s="85"/>
      <c r="AK196" s="85"/>
      <c r="AL196" s="85"/>
      <c r="AM196" s="85"/>
      <c r="AN196" s="85"/>
      <c r="AO196" s="85"/>
      <c r="AP196" s="85"/>
      <c r="AQ196" s="85"/>
      <c r="AR196" s="85" t="s">
        <v>1124</v>
      </c>
      <c r="AS196" s="85"/>
      <c r="AT196" s="85"/>
      <c r="AU196" s="85"/>
      <c r="AV196" s="85"/>
      <c r="AW196" s="85"/>
      <c r="AX196" s="85"/>
      <c r="AY196" s="85"/>
      <c r="AZ196" s="85"/>
      <c r="BA196" s="85"/>
      <c r="BB196" s="89"/>
      <c r="BC196" s="89" t="s">
        <v>1124</v>
      </c>
      <c r="BD196" s="37"/>
      <c r="BE196" s="37"/>
      <c r="BF196" s="279"/>
      <c r="BG196" s="37"/>
      <c r="BH196" s="37"/>
      <c r="BI196" s="37"/>
      <c r="BJ196" s="283"/>
      <c r="BK196" s="161"/>
      <c r="BL196" s="294"/>
      <c r="BM196"/>
      <c r="BN196"/>
      <c r="BO196"/>
      <c r="BP196"/>
      <c r="BQ196"/>
      <c r="BR196"/>
      <c r="BS196"/>
      <c r="BT196"/>
      <c r="BU196"/>
      <c r="BV196"/>
      <c r="BW196"/>
      <c r="BX196"/>
      <c r="BY196"/>
      <c r="BZ196"/>
      <c r="CA196"/>
      <c r="CB196"/>
      <c r="CC196"/>
      <c r="CD196"/>
      <c r="CE196"/>
      <c r="CF196"/>
      <c r="CG196"/>
      <c r="CH196"/>
      <c r="CI196"/>
      <c r="CJ196"/>
    </row>
    <row r="197" spans="1:88" s="32" customFormat="1" ht="15" customHeight="1" x14ac:dyDescent="0.35">
      <c r="A197" s="473"/>
      <c r="B197" s="313">
        <v>99060</v>
      </c>
      <c r="C197" s="8" t="s">
        <v>1023</v>
      </c>
      <c r="D197" s="18">
        <v>10</v>
      </c>
      <c r="E197" s="251"/>
      <c r="F197" s="82"/>
      <c r="G197" s="79"/>
      <c r="H197" s="90"/>
      <c r="I197" s="85"/>
      <c r="J197" s="85"/>
      <c r="K197" s="85"/>
      <c r="L197" s="85"/>
      <c r="M197" s="85"/>
      <c r="N197" s="85"/>
      <c r="O197" s="85"/>
      <c r="P197" s="85"/>
      <c r="Q197" s="85"/>
      <c r="R197" s="85"/>
      <c r="S197" s="89"/>
      <c r="T197" s="89" t="s">
        <v>1124</v>
      </c>
      <c r="U197" s="85"/>
      <c r="V197" s="85"/>
      <c r="W197" s="85"/>
      <c r="X197" s="89" t="s">
        <v>1124</v>
      </c>
      <c r="Y197" s="79"/>
      <c r="Z197" s="79"/>
      <c r="AA197" s="94"/>
      <c r="AB197" s="79" t="s">
        <v>1124</v>
      </c>
      <c r="AC197" s="85"/>
      <c r="AD197" s="85"/>
      <c r="AE197" s="85"/>
      <c r="AF197" s="85"/>
      <c r="AG197" s="85" t="s">
        <v>1124</v>
      </c>
      <c r="AH197" s="85"/>
      <c r="AI197" s="85"/>
      <c r="AJ197" s="85"/>
      <c r="AK197" s="85"/>
      <c r="AL197" s="85"/>
      <c r="AM197" s="85"/>
      <c r="AN197" s="85"/>
      <c r="AO197" s="85"/>
      <c r="AP197" s="85"/>
      <c r="AQ197" s="85"/>
      <c r="AR197" s="85" t="s">
        <v>1124</v>
      </c>
      <c r="AS197" s="85"/>
      <c r="AT197" s="85"/>
      <c r="AU197" s="85"/>
      <c r="AV197" s="85"/>
      <c r="AW197" s="85"/>
      <c r="AX197" s="85"/>
      <c r="AY197" s="85"/>
      <c r="AZ197" s="85"/>
      <c r="BA197" s="85"/>
      <c r="BB197" s="89"/>
      <c r="BC197" s="89" t="s">
        <v>1124</v>
      </c>
      <c r="BD197" s="37"/>
      <c r="BE197" s="37"/>
      <c r="BF197" s="279"/>
      <c r="BG197" s="37"/>
      <c r="BH197" s="37"/>
      <c r="BI197" s="37"/>
      <c r="BJ197" s="283"/>
      <c r="BK197" s="161"/>
      <c r="BL197" s="294"/>
      <c r="BM197"/>
      <c r="BN197"/>
      <c r="BO197"/>
      <c r="BP197"/>
      <c r="BQ197"/>
      <c r="BR197"/>
      <c r="BS197"/>
      <c r="BT197"/>
      <c r="BU197"/>
      <c r="BV197"/>
      <c r="BW197"/>
      <c r="BX197"/>
      <c r="BY197"/>
      <c r="BZ197"/>
      <c r="CA197"/>
      <c r="CB197"/>
      <c r="CC197"/>
      <c r="CD197"/>
      <c r="CE197"/>
      <c r="CF197"/>
      <c r="CG197"/>
      <c r="CH197"/>
      <c r="CI197"/>
      <c r="CJ197"/>
    </row>
    <row r="198" spans="1:88" s="32" customFormat="1" ht="15" customHeight="1" x14ac:dyDescent="0.35">
      <c r="A198" s="473"/>
      <c r="B198" s="313">
        <v>83032</v>
      </c>
      <c r="C198" s="8" t="s">
        <v>839</v>
      </c>
      <c r="D198" s="18">
        <v>7</v>
      </c>
      <c r="E198" s="251"/>
      <c r="F198" s="82"/>
      <c r="G198" s="79"/>
      <c r="H198" s="90"/>
      <c r="I198" s="85"/>
      <c r="J198" s="85"/>
      <c r="K198" s="85"/>
      <c r="L198" s="85"/>
      <c r="M198" s="85"/>
      <c r="N198" s="85"/>
      <c r="O198" s="85"/>
      <c r="P198" s="85"/>
      <c r="Q198" s="85"/>
      <c r="R198" s="85"/>
      <c r="S198" s="89"/>
      <c r="T198" s="89" t="s">
        <v>1124</v>
      </c>
      <c r="U198" s="85"/>
      <c r="V198" s="85"/>
      <c r="W198" s="85"/>
      <c r="X198" s="89" t="s">
        <v>1124</v>
      </c>
      <c r="Y198" s="79"/>
      <c r="Z198" s="79"/>
      <c r="AA198" s="94"/>
      <c r="AB198" s="79" t="s">
        <v>1124</v>
      </c>
      <c r="AC198" s="85"/>
      <c r="AD198" s="85"/>
      <c r="AE198" s="85"/>
      <c r="AF198" s="85"/>
      <c r="AG198" s="85" t="s">
        <v>1124</v>
      </c>
      <c r="AH198" s="85"/>
      <c r="AI198" s="85"/>
      <c r="AJ198" s="85"/>
      <c r="AK198" s="85"/>
      <c r="AL198" s="85"/>
      <c r="AM198" s="85"/>
      <c r="AN198" s="85"/>
      <c r="AO198" s="85"/>
      <c r="AP198" s="85"/>
      <c r="AQ198" s="85"/>
      <c r="AR198" s="85" t="s">
        <v>1124</v>
      </c>
      <c r="AS198" s="85"/>
      <c r="AT198" s="85"/>
      <c r="AU198" s="85"/>
      <c r="AV198" s="85"/>
      <c r="AW198" s="85"/>
      <c r="AX198" s="85"/>
      <c r="AY198" s="85"/>
      <c r="AZ198" s="85"/>
      <c r="BA198" s="85"/>
      <c r="BB198" s="89"/>
      <c r="BC198" s="89" t="s">
        <v>1124</v>
      </c>
      <c r="BD198" s="37"/>
      <c r="BE198" s="37"/>
      <c r="BF198" s="279"/>
      <c r="BG198" s="37"/>
      <c r="BH198" s="37"/>
      <c r="BI198" s="37"/>
      <c r="BJ198" s="283"/>
      <c r="BK198" s="161"/>
      <c r="BL198" s="294"/>
      <c r="BM198"/>
      <c r="BN198"/>
      <c r="BO198"/>
      <c r="BP198"/>
      <c r="BQ198"/>
      <c r="BR198"/>
      <c r="BS198"/>
      <c r="BT198"/>
      <c r="BU198"/>
      <c r="BV198"/>
      <c r="BW198"/>
      <c r="BX198"/>
      <c r="BY198"/>
      <c r="BZ198"/>
      <c r="CA198"/>
      <c r="CB198"/>
      <c r="CC198"/>
      <c r="CD198"/>
      <c r="CE198"/>
      <c r="CF198"/>
      <c r="CG198"/>
      <c r="CH198"/>
      <c r="CI198"/>
      <c r="CJ198"/>
    </row>
    <row r="199" spans="1:88" s="32" customFormat="1" ht="15" customHeight="1" x14ac:dyDescent="0.35">
      <c r="A199" s="473"/>
      <c r="B199" s="313">
        <v>47017</v>
      </c>
      <c r="C199" s="8" t="s">
        <v>449</v>
      </c>
      <c r="D199" s="18">
        <v>5</v>
      </c>
      <c r="E199" s="251">
        <v>26298</v>
      </c>
      <c r="F199" s="82">
        <v>2.19</v>
      </c>
      <c r="G199" s="79">
        <v>57592.619999999995</v>
      </c>
      <c r="H199" s="90">
        <v>799.31399999999996</v>
      </c>
      <c r="I199" s="85">
        <v>756.76199999999994</v>
      </c>
      <c r="J199" s="85">
        <v>808.47299999999996</v>
      </c>
      <c r="K199" s="85">
        <v>779.00400000000002</v>
      </c>
      <c r="L199" s="85">
        <v>835.67899999999997</v>
      </c>
      <c r="M199" s="85">
        <v>828.14599999999996</v>
      </c>
      <c r="N199" s="85">
        <v>971.86900000000003</v>
      </c>
      <c r="O199" s="85">
        <v>935.024</v>
      </c>
      <c r="P199" s="85">
        <v>800.94799999999998</v>
      </c>
      <c r="Q199" s="85">
        <v>779.24300000000005</v>
      </c>
      <c r="R199" s="85">
        <v>719.25599999999997</v>
      </c>
      <c r="S199" s="89">
        <v>748.74599999999998</v>
      </c>
      <c r="T199" s="89">
        <v>9762.4639999999981</v>
      </c>
      <c r="U199" s="85">
        <v>9762.4639999999999</v>
      </c>
      <c r="V199" s="85">
        <v>0</v>
      </c>
      <c r="W199" s="85">
        <v>0</v>
      </c>
      <c r="X199" s="89">
        <v>9762.4639999999999</v>
      </c>
      <c r="Y199" s="79">
        <v>1</v>
      </c>
      <c r="Z199" s="79">
        <v>0</v>
      </c>
      <c r="AA199" s="94">
        <v>0</v>
      </c>
      <c r="AB199" s="79">
        <v>1</v>
      </c>
      <c r="AC199" s="85">
        <v>5630.91</v>
      </c>
      <c r="AD199" s="85">
        <v>3824.181</v>
      </c>
      <c r="AE199" s="85">
        <v>307.37299999999999</v>
      </c>
      <c r="AF199" s="85">
        <v>0</v>
      </c>
      <c r="AG199" s="85">
        <v>9762.4639999999999</v>
      </c>
      <c r="AH199" s="85">
        <v>9762.4639999999999</v>
      </c>
      <c r="AI199" s="85">
        <v>0</v>
      </c>
      <c r="AJ199" s="85">
        <v>0</v>
      </c>
      <c r="AK199" s="85">
        <v>0</v>
      </c>
      <c r="AL199" s="85">
        <v>0</v>
      </c>
      <c r="AM199" s="85">
        <v>0</v>
      </c>
      <c r="AN199" s="85">
        <v>0</v>
      </c>
      <c r="AO199" s="85">
        <v>0</v>
      </c>
      <c r="AP199" s="85">
        <v>0</v>
      </c>
      <c r="AQ199" s="85">
        <v>0</v>
      </c>
      <c r="AR199" s="85">
        <v>9762.4639999999999</v>
      </c>
      <c r="AS199" s="85">
        <v>0</v>
      </c>
      <c r="AT199" s="85">
        <v>0</v>
      </c>
      <c r="AU199" s="85">
        <v>0</v>
      </c>
      <c r="AV199" s="85">
        <v>0</v>
      </c>
      <c r="AW199" s="85">
        <v>0</v>
      </c>
      <c r="AX199" s="85">
        <v>0</v>
      </c>
      <c r="AY199" s="85">
        <v>0</v>
      </c>
      <c r="AZ199" s="85">
        <v>0</v>
      </c>
      <c r="BA199" s="85">
        <v>0</v>
      </c>
      <c r="BB199" s="89">
        <v>0</v>
      </c>
      <c r="BC199" s="89">
        <v>0</v>
      </c>
      <c r="BD199" s="37">
        <v>502574</v>
      </c>
      <c r="BE199" s="37">
        <v>2698274</v>
      </c>
      <c r="BF199" s="279">
        <v>883756</v>
      </c>
      <c r="BG199" s="37">
        <v>1049579</v>
      </c>
      <c r="BH199" s="37">
        <v>167727</v>
      </c>
      <c r="BI199" s="37">
        <v>241919</v>
      </c>
      <c r="BJ199" s="283">
        <v>2342981</v>
      </c>
      <c r="BK199" s="161"/>
      <c r="BL199" s="294"/>
      <c r="BM199"/>
      <c r="BN199"/>
      <c r="BO199"/>
      <c r="BP199"/>
      <c r="BQ199"/>
      <c r="BR199"/>
      <c r="BS199"/>
      <c r="BT199"/>
      <c r="BU199"/>
      <c r="BV199"/>
      <c r="BW199"/>
      <c r="BX199"/>
      <c r="BY199"/>
      <c r="BZ199"/>
      <c r="CA199"/>
      <c r="CB199"/>
      <c r="CC199"/>
      <c r="CD199"/>
      <c r="CE199"/>
      <c r="CF199"/>
      <c r="CG199"/>
      <c r="CH199"/>
      <c r="CI199"/>
      <c r="CJ199"/>
    </row>
    <row r="200" spans="1:88" s="32" customFormat="1" ht="15" customHeight="1" x14ac:dyDescent="0.35">
      <c r="A200" s="473"/>
      <c r="B200" s="313">
        <v>2015</v>
      </c>
      <c r="C200" s="8" t="s">
        <v>1028</v>
      </c>
      <c r="D200" s="18">
        <v>11</v>
      </c>
      <c r="E200" s="251">
        <v>1391</v>
      </c>
      <c r="F200" s="82">
        <v>2.4759166067577283</v>
      </c>
      <c r="G200" s="79">
        <v>3444</v>
      </c>
      <c r="H200" s="90">
        <v>116.35299999999999</v>
      </c>
      <c r="I200" s="85">
        <v>113.08799999999999</v>
      </c>
      <c r="J200" s="85">
        <v>134.81200000000001</v>
      </c>
      <c r="K200" s="85">
        <v>120.78</v>
      </c>
      <c r="L200" s="85">
        <v>166.65299999999999</v>
      </c>
      <c r="M200" s="85">
        <v>168.56200000000001</v>
      </c>
      <c r="N200" s="85">
        <v>124.298</v>
      </c>
      <c r="O200" s="85">
        <v>127.11</v>
      </c>
      <c r="P200" s="85">
        <v>111.79</v>
      </c>
      <c r="Q200" s="85">
        <v>108.589</v>
      </c>
      <c r="R200" s="85">
        <v>130.53100000000001</v>
      </c>
      <c r="S200" s="89">
        <v>138.55799999999999</v>
      </c>
      <c r="T200" s="89">
        <v>1561.1239999999998</v>
      </c>
      <c r="U200" s="85">
        <v>1561.1239999999998</v>
      </c>
      <c r="V200" s="85">
        <v>0</v>
      </c>
      <c r="W200" s="85">
        <v>0</v>
      </c>
      <c r="X200" s="89">
        <v>1561.1239999999998</v>
      </c>
      <c r="Y200" s="79">
        <v>1</v>
      </c>
      <c r="Z200" s="79">
        <v>0</v>
      </c>
      <c r="AA200" s="94">
        <v>0</v>
      </c>
      <c r="AB200" s="79">
        <v>1</v>
      </c>
      <c r="AC200" s="85">
        <v>652.65347826086963</v>
      </c>
      <c r="AD200" s="85">
        <v>185.49036321872211</v>
      </c>
      <c r="AE200" s="85">
        <v>457.51015852040803</v>
      </c>
      <c r="AF200" s="85">
        <v>265.47000000000003</v>
      </c>
      <c r="AG200" s="85">
        <v>1561.1239999999998</v>
      </c>
      <c r="AH200" s="85">
        <v>1561.1239999999998</v>
      </c>
      <c r="AI200" s="85">
        <v>0</v>
      </c>
      <c r="AJ200" s="85">
        <v>0</v>
      </c>
      <c r="AK200" s="85">
        <v>0</v>
      </c>
      <c r="AL200" s="85">
        <v>0</v>
      </c>
      <c r="AM200" s="85">
        <v>0</v>
      </c>
      <c r="AN200" s="85">
        <v>0</v>
      </c>
      <c r="AO200" s="85">
        <v>0</v>
      </c>
      <c r="AP200" s="85">
        <v>0</v>
      </c>
      <c r="AQ200" s="85">
        <v>0</v>
      </c>
      <c r="AR200" s="85">
        <v>1561.1239999999998</v>
      </c>
      <c r="AS200" s="85">
        <v>0</v>
      </c>
      <c r="AT200" s="85">
        <v>0</v>
      </c>
      <c r="AU200" s="85">
        <v>0</v>
      </c>
      <c r="AV200" s="85">
        <v>0</v>
      </c>
      <c r="AW200" s="85">
        <v>0</v>
      </c>
      <c r="AX200" s="85">
        <v>0</v>
      </c>
      <c r="AY200" s="85">
        <v>0</v>
      </c>
      <c r="AZ200" s="85">
        <v>0</v>
      </c>
      <c r="BA200" s="85">
        <v>0</v>
      </c>
      <c r="BB200" s="89">
        <v>0</v>
      </c>
      <c r="BC200" s="89">
        <v>0</v>
      </c>
      <c r="BD200" s="37">
        <v>0</v>
      </c>
      <c r="BE200" s="37">
        <v>0</v>
      </c>
      <c r="BF200" s="279">
        <v>77581</v>
      </c>
      <c r="BG200" s="37">
        <v>101997</v>
      </c>
      <c r="BH200" s="37">
        <v>58379</v>
      </c>
      <c r="BI200" s="37">
        <v>23191</v>
      </c>
      <c r="BJ200" s="283">
        <v>261148</v>
      </c>
      <c r="BK200" s="161" t="s">
        <v>1802</v>
      </c>
      <c r="BL200" s="294"/>
      <c r="BM200"/>
      <c r="BN200"/>
      <c r="BO200"/>
      <c r="BP200"/>
      <c r="BQ200"/>
      <c r="BR200"/>
      <c r="BS200"/>
      <c r="BT200"/>
      <c r="BU200"/>
      <c r="BV200"/>
      <c r="BW200"/>
      <c r="BX200"/>
      <c r="BY200"/>
      <c r="BZ200"/>
      <c r="CA200"/>
      <c r="CB200"/>
      <c r="CC200"/>
      <c r="CD200"/>
      <c r="CE200"/>
      <c r="CF200"/>
      <c r="CG200"/>
      <c r="CH200"/>
      <c r="CI200"/>
      <c r="CJ200"/>
    </row>
    <row r="201" spans="1:88" s="32" customFormat="1" ht="15" customHeight="1" x14ac:dyDescent="0.35">
      <c r="A201" s="473"/>
      <c r="B201" s="313">
        <v>35040</v>
      </c>
      <c r="C201" s="8" t="s">
        <v>309</v>
      </c>
      <c r="D201" s="18">
        <v>4</v>
      </c>
      <c r="E201" s="251"/>
      <c r="F201" s="82"/>
      <c r="G201" s="79"/>
      <c r="H201" s="90"/>
      <c r="I201" s="85"/>
      <c r="J201" s="85"/>
      <c r="K201" s="85"/>
      <c r="L201" s="85"/>
      <c r="M201" s="85"/>
      <c r="N201" s="85"/>
      <c r="O201" s="85"/>
      <c r="P201" s="85"/>
      <c r="Q201" s="85"/>
      <c r="R201" s="85"/>
      <c r="S201" s="89"/>
      <c r="T201" s="89" t="s">
        <v>1124</v>
      </c>
      <c r="U201" s="85"/>
      <c r="V201" s="85"/>
      <c r="W201" s="85"/>
      <c r="X201" s="89" t="s">
        <v>1124</v>
      </c>
      <c r="Y201" s="79"/>
      <c r="Z201" s="79"/>
      <c r="AA201" s="94"/>
      <c r="AB201" s="79" t="s">
        <v>1124</v>
      </c>
      <c r="AC201" s="85"/>
      <c r="AD201" s="85"/>
      <c r="AE201" s="85"/>
      <c r="AF201" s="85"/>
      <c r="AG201" s="85" t="s">
        <v>1124</v>
      </c>
      <c r="AH201" s="85"/>
      <c r="AI201" s="85"/>
      <c r="AJ201" s="85"/>
      <c r="AK201" s="85"/>
      <c r="AL201" s="85"/>
      <c r="AM201" s="85"/>
      <c r="AN201" s="85"/>
      <c r="AO201" s="85"/>
      <c r="AP201" s="85"/>
      <c r="AQ201" s="85"/>
      <c r="AR201" s="85" t="s">
        <v>1124</v>
      </c>
      <c r="AS201" s="85"/>
      <c r="AT201" s="85"/>
      <c r="AU201" s="85"/>
      <c r="AV201" s="85"/>
      <c r="AW201" s="85"/>
      <c r="AX201" s="85"/>
      <c r="AY201" s="85"/>
      <c r="AZ201" s="85"/>
      <c r="BA201" s="85"/>
      <c r="BB201" s="89"/>
      <c r="BC201" s="89" t="s">
        <v>1124</v>
      </c>
      <c r="BD201" s="37"/>
      <c r="BE201" s="37"/>
      <c r="BF201" s="279"/>
      <c r="BG201" s="37"/>
      <c r="BH201" s="37"/>
      <c r="BI201" s="37"/>
      <c r="BJ201" s="283"/>
      <c r="BK201" s="161"/>
      <c r="BL201" s="294"/>
      <c r="BM201"/>
      <c r="BN201"/>
      <c r="BO201"/>
      <c r="BP201"/>
      <c r="BQ201"/>
      <c r="BR201"/>
      <c r="BS201"/>
      <c r="BT201"/>
      <c r="BU201"/>
      <c r="BV201"/>
      <c r="BW201"/>
      <c r="BX201"/>
      <c r="BY201"/>
      <c r="BZ201"/>
      <c r="CA201"/>
      <c r="CB201"/>
      <c r="CC201"/>
      <c r="CD201"/>
      <c r="CE201"/>
      <c r="CF201"/>
      <c r="CG201"/>
      <c r="CH201"/>
      <c r="CI201"/>
      <c r="CJ201"/>
    </row>
    <row r="202" spans="1:88" s="32" customFormat="1" ht="15" customHeight="1" x14ac:dyDescent="0.35">
      <c r="A202" s="473"/>
      <c r="B202" s="313">
        <v>3020</v>
      </c>
      <c r="C202" s="8" t="s">
        <v>1034</v>
      </c>
      <c r="D202" s="18">
        <v>11</v>
      </c>
      <c r="E202" s="251">
        <v>513</v>
      </c>
      <c r="F202" s="82">
        <v>2</v>
      </c>
      <c r="G202" s="79">
        <v>1026</v>
      </c>
      <c r="H202" s="90">
        <v>28.747333333333337</v>
      </c>
      <c r="I202" s="85">
        <v>25.611090909090908</v>
      </c>
      <c r="J202" s="85">
        <v>25.962</v>
      </c>
      <c r="K202" s="85">
        <v>26.501000000000001</v>
      </c>
      <c r="L202" s="85">
        <v>27.137</v>
      </c>
      <c r="M202" s="85">
        <v>12.684900174438463</v>
      </c>
      <c r="N202" s="85">
        <v>13.46079304147</v>
      </c>
      <c r="O202" s="85">
        <v>13.139737277729999</v>
      </c>
      <c r="P202" s="85">
        <v>11.193453584589999</v>
      </c>
      <c r="Q202" s="85">
        <v>11.28379996506</v>
      </c>
      <c r="R202" s="85">
        <v>11.710654152889999</v>
      </c>
      <c r="S202" s="89">
        <v>11.15998677478</v>
      </c>
      <c r="T202" s="89">
        <v>218.59174921338274</v>
      </c>
      <c r="U202" s="85">
        <v>0</v>
      </c>
      <c r="V202" s="85">
        <v>218.59174921338274</v>
      </c>
      <c r="W202" s="85">
        <v>0</v>
      </c>
      <c r="X202" s="89">
        <v>218.59174921338274</v>
      </c>
      <c r="Y202" s="79">
        <v>0</v>
      </c>
      <c r="Z202" s="79">
        <v>1</v>
      </c>
      <c r="AA202" s="94">
        <v>0</v>
      </c>
      <c r="AB202" s="79">
        <v>1</v>
      </c>
      <c r="AC202" s="85">
        <v>147.3160223463687</v>
      </c>
      <c r="AD202" s="85">
        <v>10.170606867014044</v>
      </c>
      <c r="AE202" s="85">
        <v>61.105119999999999</v>
      </c>
      <c r="AF202" s="85">
        <v>0</v>
      </c>
      <c r="AG202" s="85">
        <v>218.59174921338274</v>
      </c>
      <c r="AH202" s="85">
        <v>0</v>
      </c>
      <c r="AI202" s="85">
        <v>0</v>
      </c>
      <c r="AJ202" s="85">
        <v>0</v>
      </c>
      <c r="AK202" s="85">
        <v>0</v>
      </c>
      <c r="AL202" s="85">
        <v>0</v>
      </c>
      <c r="AM202" s="85">
        <v>0</v>
      </c>
      <c r="AN202" s="85">
        <v>0</v>
      </c>
      <c r="AO202" s="85">
        <v>0</v>
      </c>
      <c r="AP202" s="85">
        <v>0</v>
      </c>
      <c r="AQ202" s="85">
        <v>0</v>
      </c>
      <c r="AR202" s="85">
        <v>0</v>
      </c>
      <c r="AS202" s="85">
        <v>0</v>
      </c>
      <c r="AT202" s="85">
        <v>0</v>
      </c>
      <c r="AU202" s="85">
        <v>0</v>
      </c>
      <c r="AV202" s="85">
        <v>0</v>
      </c>
      <c r="AW202" s="85">
        <v>0</v>
      </c>
      <c r="AX202" s="85">
        <v>0</v>
      </c>
      <c r="AY202" s="85">
        <v>218.59174921338274</v>
      </c>
      <c r="AZ202" s="85">
        <v>0</v>
      </c>
      <c r="BA202" s="85">
        <v>0</v>
      </c>
      <c r="BB202" s="89">
        <v>0</v>
      </c>
      <c r="BC202" s="89">
        <v>218.59174921338274</v>
      </c>
      <c r="BD202" s="37">
        <v>0</v>
      </c>
      <c r="BE202" s="37">
        <v>0</v>
      </c>
      <c r="BF202" s="279">
        <v>44156</v>
      </c>
      <c r="BG202" s="37">
        <v>29445</v>
      </c>
      <c r="BH202" s="37">
        <v>12641</v>
      </c>
      <c r="BI202" s="37">
        <v>6658</v>
      </c>
      <c r="BJ202" s="283">
        <v>92900</v>
      </c>
      <c r="BK202" s="161"/>
      <c r="BL202" s="294"/>
      <c r="BM202"/>
      <c r="BN202"/>
      <c r="BO202"/>
      <c r="BP202"/>
      <c r="BQ202"/>
      <c r="BR202"/>
      <c r="BS202"/>
      <c r="BT202"/>
      <c r="BU202"/>
      <c r="BV202"/>
      <c r="BW202"/>
      <c r="BX202"/>
      <c r="BY202"/>
      <c r="BZ202"/>
      <c r="CA202"/>
      <c r="CB202"/>
      <c r="CC202"/>
      <c r="CD202"/>
      <c r="CE202"/>
      <c r="CF202"/>
      <c r="CG202"/>
      <c r="CH202"/>
      <c r="CI202"/>
      <c r="CJ202"/>
    </row>
    <row r="203" spans="1:88" s="32" customFormat="1" ht="15" customHeight="1" x14ac:dyDescent="0.35">
      <c r="A203" s="473"/>
      <c r="B203" s="313">
        <v>9060</v>
      </c>
      <c r="C203" s="8" t="s">
        <v>1107</v>
      </c>
      <c r="D203" s="18">
        <v>1</v>
      </c>
      <c r="E203" s="251"/>
      <c r="F203" s="82"/>
      <c r="G203" s="79"/>
      <c r="H203" s="90"/>
      <c r="I203" s="85"/>
      <c r="J203" s="85"/>
      <c r="K203" s="85"/>
      <c r="L203" s="85"/>
      <c r="M203" s="85"/>
      <c r="N203" s="85"/>
      <c r="O203" s="85"/>
      <c r="P203" s="85"/>
      <c r="Q203" s="85"/>
      <c r="R203" s="85"/>
      <c r="S203" s="89"/>
      <c r="T203" s="89" t="s">
        <v>1124</v>
      </c>
      <c r="U203" s="85"/>
      <c r="V203" s="85"/>
      <c r="W203" s="85"/>
      <c r="X203" s="89" t="s">
        <v>1124</v>
      </c>
      <c r="Y203" s="79"/>
      <c r="Z203" s="79"/>
      <c r="AA203" s="94"/>
      <c r="AB203" s="79" t="s">
        <v>1124</v>
      </c>
      <c r="AC203" s="85"/>
      <c r="AD203" s="85"/>
      <c r="AE203" s="85"/>
      <c r="AF203" s="85"/>
      <c r="AG203" s="85" t="s">
        <v>1124</v>
      </c>
      <c r="AH203" s="85"/>
      <c r="AI203" s="85"/>
      <c r="AJ203" s="85"/>
      <c r="AK203" s="85"/>
      <c r="AL203" s="85"/>
      <c r="AM203" s="85"/>
      <c r="AN203" s="85"/>
      <c r="AO203" s="85"/>
      <c r="AP203" s="85"/>
      <c r="AQ203" s="85"/>
      <c r="AR203" s="85" t="s">
        <v>1124</v>
      </c>
      <c r="AS203" s="85"/>
      <c r="AT203" s="85"/>
      <c r="AU203" s="85"/>
      <c r="AV203" s="85"/>
      <c r="AW203" s="85"/>
      <c r="AX203" s="85"/>
      <c r="AY203" s="85"/>
      <c r="AZ203" s="85"/>
      <c r="BA203" s="85"/>
      <c r="BB203" s="89"/>
      <c r="BC203" s="89" t="s">
        <v>1124</v>
      </c>
      <c r="BD203" s="37"/>
      <c r="BE203" s="37"/>
      <c r="BF203" s="279"/>
      <c r="BG203" s="37"/>
      <c r="BH203" s="37"/>
      <c r="BI203" s="37"/>
      <c r="BJ203" s="283"/>
      <c r="BK203" s="161"/>
      <c r="BL203" s="294"/>
      <c r="BM203"/>
      <c r="BN203"/>
      <c r="BO203"/>
      <c r="BP203"/>
      <c r="BQ203"/>
      <c r="BR203"/>
      <c r="BS203"/>
      <c r="BT203"/>
      <c r="BU203"/>
      <c r="BV203"/>
      <c r="BW203"/>
      <c r="BX203"/>
      <c r="BY203"/>
      <c r="BZ203"/>
      <c r="CA203"/>
      <c r="CB203"/>
      <c r="CC203"/>
      <c r="CD203"/>
      <c r="CE203"/>
      <c r="CF203"/>
      <c r="CG203"/>
      <c r="CH203"/>
      <c r="CI203"/>
      <c r="CJ203"/>
    </row>
    <row r="204" spans="1:88" s="32" customFormat="1" ht="15" customHeight="1" x14ac:dyDescent="0.35">
      <c r="A204" s="473"/>
      <c r="B204" s="313">
        <v>83095</v>
      </c>
      <c r="C204" s="8" t="s">
        <v>851</v>
      </c>
      <c r="D204" s="18">
        <v>7</v>
      </c>
      <c r="E204" s="251"/>
      <c r="F204" s="82"/>
      <c r="G204" s="79"/>
      <c r="H204" s="90"/>
      <c r="I204" s="85"/>
      <c r="J204" s="85"/>
      <c r="K204" s="85"/>
      <c r="L204" s="85"/>
      <c r="M204" s="85"/>
      <c r="N204" s="85"/>
      <c r="O204" s="85"/>
      <c r="P204" s="85"/>
      <c r="Q204" s="85"/>
      <c r="R204" s="85"/>
      <c r="S204" s="89"/>
      <c r="T204" s="89" t="s">
        <v>1124</v>
      </c>
      <c r="U204" s="85"/>
      <c r="V204" s="85"/>
      <c r="W204" s="85"/>
      <c r="X204" s="89" t="s">
        <v>1124</v>
      </c>
      <c r="Y204" s="79"/>
      <c r="Z204" s="79"/>
      <c r="AA204" s="94"/>
      <c r="AB204" s="79" t="s">
        <v>1124</v>
      </c>
      <c r="AC204" s="85"/>
      <c r="AD204" s="85"/>
      <c r="AE204" s="85"/>
      <c r="AF204" s="85"/>
      <c r="AG204" s="85" t="s">
        <v>1124</v>
      </c>
      <c r="AH204" s="85"/>
      <c r="AI204" s="85"/>
      <c r="AJ204" s="85"/>
      <c r="AK204" s="85"/>
      <c r="AL204" s="85"/>
      <c r="AM204" s="85"/>
      <c r="AN204" s="85"/>
      <c r="AO204" s="85"/>
      <c r="AP204" s="85"/>
      <c r="AQ204" s="85"/>
      <c r="AR204" s="85" t="s">
        <v>1124</v>
      </c>
      <c r="AS204" s="85"/>
      <c r="AT204" s="85"/>
      <c r="AU204" s="85"/>
      <c r="AV204" s="85"/>
      <c r="AW204" s="85"/>
      <c r="AX204" s="85"/>
      <c r="AY204" s="85"/>
      <c r="AZ204" s="85"/>
      <c r="BA204" s="85"/>
      <c r="BB204" s="89"/>
      <c r="BC204" s="89" t="s">
        <v>1124</v>
      </c>
      <c r="BD204" s="37"/>
      <c r="BE204" s="37"/>
      <c r="BF204" s="279"/>
      <c r="BG204" s="37"/>
      <c r="BH204" s="37"/>
      <c r="BI204" s="37"/>
      <c r="BJ204" s="283"/>
      <c r="BK204" s="161"/>
      <c r="BL204" s="294"/>
      <c r="BM204"/>
      <c r="BN204"/>
      <c r="BO204"/>
      <c r="BP204"/>
      <c r="BQ204"/>
      <c r="BR204"/>
      <c r="BS204"/>
      <c r="BT204"/>
      <c r="BU204"/>
      <c r="BV204"/>
      <c r="BW204"/>
      <c r="BX204"/>
      <c r="BY204"/>
      <c r="BZ204"/>
      <c r="CA204"/>
      <c r="CB204"/>
      <c r="CC204"/>
      <c r="CD204"/>
      <c r="CE204"/>
      <c r="CF204"/>
      <c r="CG204"/>
      <c r="CH204"/>
      <c r="CI204"/>
      <c r="CJ204"/>
    </row>
    <row r="205" spans="1:88" s="32" customFormat="1" ht="15" customHeight="1" x14ac:dyDescent="0.35">
      <c r="A205" s="473"/>
      <c r="B205" s="313">
        <v>50065</v>
      </c>
      <c r="C205" s="8" t="s">
        <v>490</v>
      </c>
      <c r="D205" s="18">
        <v>17</v>
      </c>
      <c r="E205" s="251">
        <v>252</v>
      </c>
      <c r="F205" s="82">
        <v>1.9319999999999999</v>
      </c>
      <c r="G205" s="79">
        <v>486.86399999999998</v>
      </c>
      <c r="H205" s="90">
        <v>3.891</v>
      </c>
      <c r="I205" s="85">
        <v>3.5569999999999999</v>
      </c>
      <c r="J205" s="85">
        <v>3.9039999999999999</v>
      </c>
      <c r="K205" s="85">
        <v>4.2729999999999997</v>
      </c>
      <c r="L205" s="85">
        <v>4.7720000000000002</v>
      </c>
      <c r="M205" s="85">
        <v>5.4660000000000002</v>
      </c>
      <c r="N205" s="85">
        <v>6.492</v>
      </c>
      <c r="O205" s="85">
        <v>4.9989999999999997</v>
      </c>
      <c r="P205" s="85">
        <v>4.4240000000000004</v>
      </c>
      <c r="Q205" s="85">
        <v>4.702</v>
      </c>
      <c r="R205" s="85">
        <v>4.6340000000000003</v>
      </c>
      <c r="S205" s="89">
        <v>4.234</v>
      </c>
      <c r="T205" s="89">
        <v>55.347999999999999</v>
      </c>
      <c r="U205" s="85">
        <v>0</v>
      </c>
      <c r="V205" s="85">
        <v>55.347999999999999</v>
      </c>
      <c r="W205" s="85">
        <v>0</v>
      </c>
      <c r="X205" s="89">
        <v>55.347999999999999</v>
      </c>
      <c r="Y205" s="79">
        <v>0</v>
      </c>
      <c r="Z205" s="79">
        <v>1</v>
      </c>
      <c r="AA205" s="94">
        <v>0</v>
      </c>
      <c r="AB205" s="79">
        <v>1</v>
      </c>
      <c r="AC205" s="85">
        <v>29.983000000000001</v>
      </c>
      <c r="AD205" s="85">
        <v>19.408999999999999</v>
      </c>
      <c r="AE205" s="85">
        <v>5.9560000000000004</v>
      </c>
      <c r="AF205" s="85">
        <v>0</v>
      </c>
      <c r="AG205" s="85">
        <v>55.347999999999999</v>
      </c>
      <c r="AH205" s="85">
        <v>0</v>
      </c>
      <c r="AI205" s="85">
        <v>0</v>
      </c>
      <c r="AJ205" s="85">
        <v>0</v>
      </c>
      <c r="AK205" s="85">
        <v>0</v>
      </c>
      <c r="AL205" s="85">
        <v>0</v>
      </c>
      <c r="AM205" s="85">
        <v>0</v>
      </c>
      <c r="AN205" s="85">
        <v>0</v>
      </c>
      <c r="AO205" s="85">
        <v>0</v>
      </c>
      <c r="AP205" s="85">
        <v>0</v>
      </c>
      <c r="AQ205" s="85">
        <v>0</v>
      </c>
      <c r="AR205" s="85">
        <v>0</v>
      </c>
      <c r="AS205" s="85">
        <v>0</v>
      </c>
      <c r="AT205" s="85">
        <v>0</v>
      </c>
      <c r="AU205" s="85">
        <v>0</v>
      </c>
      <c r="AV205" s="85">
        <v>0</v>
      </c>
      <c r="AW205" s="85">
        <v>0</v>
      </c>
      <c r="AX205" s="85">
        <v>0</v>
      </c>
      <c r="AY205" s="85">
        <v>55.347999999999999</v>
      </c>
      <c r="AZ205" s="85">
        <v>0</v>
      </c>
      <c r="BA205" s="85">
        <v>0</v>
      </c>
      <c r="BB205" s="89">
        <v>0</v>
      </c>
      <c r="BC205" s="89">
        <v>55.347999999999999</v>
      </c>
      <c r="BD205" s="37">
        <v>0</v>
      </c>
      <c r="BE205" s="37">
        <v>0</v>
      </c>
      <c r="BF205" s="279">
        <v>12178</v>
      </c>
      <c r="BG205" s="37">
        <v>1276</v>
      </c>
      <c r="BH205" s="37">
        <v>11920</v>
      </c>
      <c r="BI205" s="37">
        <v>0</v>
      </c>
      <c r="BJ205" s="283">
        <v>25374</v>
      </c>
      <c r="BK205" s="161"/>
      <c r="BL205" s="294"/>
      <c r="BM205"/>
      <c r="BN205"/>
      <c r="BO205"/>
      <c r="BP205"/>
      <c r="BQ205"/>
      <c r="BR205"/>
      <c r="BS205"/>
      <c r="BT205"/>
      <c r="BU205"/>
      <c r="BV205"/>
      <c r="BW205"/>
      <c r="BX205"/>
      <c r="BY205"/>
      <c r="BZ205"/>
      <c r="CA205"/>
      <c r="CB205"/>
      <c r="CC205"/>
      <c r="CD205"/>
      <c r="CE205"/>
      <c r="CF205"/>
      <c r="CG205"/>
      <c r="CH205"/>
      <c r="CI205"/>
      <c r="CJ205"/>
    </row>
    <row r="206" spans="1:88" s="32" customFormat="1" ht="15" customHeight="1" x14ac:dyDescent="0.35">
      <c r="A206" s="473"/>
      <c r="B206" s="313">
        <v>76055</v>
      </c>
      <c r="C206" s="8" t="s">
        <v>754</v>
      </c>
      <c r="D206" s="18">
        <v>15</v>
      </c>
      <c r="E206" s="251">
        <v>928</v>
      </c>
      <c r="F206" s="82">
        <v>1.9944567627494456</v>
      </c>
      <c r="G206" s="79">
        <v>1850.8558758314855</v>
      </c>
      <c r="H206" s="90">
        <v>22.428000000000001</v>
      </c>
      <c r="I206" s="85">
        <v>21.478999999999999</v>
      </c>
      <c r="J206" s="85">
        <v>24.824000000000002</v>
      </c>
      <c r="K206" s="85">
        <v>27.818999999999999</v>
      </c>
      <c r="L206" s="85">
        <v>31.597000000000001</v>
      </c>
      <c r="M206" s="85">
        <v>31.420999999999999</v>
      </c>
      <c r="N206" s="85">
        <v>34.686999999999998</v>
      </c>
      <c r="O206" s="85">
        <v>41.088000000000001</v>
      </c>
      <c r="P206" s="85">
        <v>30.358000000000001</v>
      </c>
      <c r="Q206" s="85">
        <v>29.497</v>
      </c>
      <c r="R206" s="85">
        <v>27.962</v>
      </c>
      <c r="S206" s="89">
        <v>25.024000000000001</v>
      </c>
      <c r="T206" s="89">
        <v>348.18399999999997</v>
      </c>
      <c r="U206" s="85">
        <v>0</v>
      </c>
      <c r="V206" s="85">
        <v>348.18399999999997</v>
      </c>
      <c r="W206" s="85">
        <v>0</v>
      </c>
      <c r="X206" s="89">
        <v>348.18399999999997</v>
      </c>
      <c r="Y206" s="79">
        <v>0</v>
      </c>
      <c r="Z206" s="79">
        <v>1</v>
      </c>
      <c r="AA206" s="94">
        <v>0</v>
      </c>
      <c r="AB206" s="79">
        <v>1</v>
      </c>
      <c r="AC206" s="85">
        <v>177.57406548856548</v>
      </c>
      <c r="AD206" s="85">
        <v>13.565998299313264</v>
      </c>
      <c r="AE206" s="85">
        <v>157.04393621212122</v>
      </c>
      <c r="AF206" s="85">
        <v>0</v>
      </c>
      <c r="AG206" s="85">
        <v>348.18399999999997</v>
      </c>
      <c r="AH206" s="85">
        <v>0</v>
      </c>
      <c r="AI206" s="85">
        <v>0</v>
      </c>
      <c r="AJ206" s="85">
        <v>0</v>
      </c>
      <c r="AK206" s="85">
        <v>0</v>
      </c>
      <c r="AL206" s="85">
        <v>0</v>
      </c>
      <c r="AM206" s="85">
        <v>0</v>
      </c>
      <c r="AN206" s="85">
        <v>0</v>
      </c>
      <c r="AO206" s="85">
        <v>0</v>
      </c>
      <c r="AP206" s="85">
        <v>0</v>
      </c>
      <c r="AQ206" s="85">
        <v>0</v>
      </c>
      <c r="AR206" s="85">
        <v>0</v>
      </c>
      <c r="AS206" s="85">
        <v>0</v>
      </c>
      <c r="AT206" s="85">
        <v>0</v>
      </c>
      <c r="AU206" s="85">
        <v>0</v>
      </c>
      <c r="AV206" s="85">
        <v>0</v>
      </c>
      <c r="AW206" s="85">
        <v>0</v>
      </c>
      <c r="AX206" s="85">
        <v>0</v>
      </c>
      <c r="AY206" s="85">
        <v>0</v>
      </c>
      <c r="AZ206" s="85">
        <v>0</v>
      </c>
      <c r="BA206" s="85">
        <v>348.18399999999997</v>
      </c>
      <c r="BB206" s="89">
        <v>0</v>
      </c>
      <c r="BC206" s="89">
        <v>348.18399999999997</v>
      </c>
      <c r="BD206" s="37">
        <v>0</v>
      </c>
      <c r="BE206" s="37">
        <v>0</v>
      </c>
      <c r="BF206" s="279">
        <v>1240</v>
      </c>
      <c r="BG206" s="37">
        <v>51960</v>
      </c>
      <c r="BH206" s="37">
        <v>9767</v>
      </c>
      <c r="BI206" s="37">
        <v>5706</v>
      </c>
      <c r="BJ206" s="283">
        <v>68673</v>
      </c>
      <c r="BK206" s="161" t="s">
        <v>1820</v>
      </c>
      <c r="BL206" s="294"/>
      <c r="BM206"/>
      <c r="BN206"/>
      <c r="BO206"/>
      <c r="BP206"/>
      <c r="BQ206"/>
      <c r="BR206"/>
      <c r="BS206"/>
      <c r="BT206"/>
      <c r="BU206"/>
      <c r="BV206"/>
      <c r="BW206"/>
      <c r="BX206"/>
      <c r="BY206"/>
      <c r="BZ206"/>
      <c r="CA206"/>
      <c r="CB206"/>
      <c r="CC206"/>
      <c r="CD206"/>
      <c r="CE206"/>
      <c r="CF206"/>
      <c r="CG206"/>
      <c r="CH206"/>
      <c r="CI206"/>
      <c r="CJ206"/>
    </row>
    <row r="207" spans="1:88" s="32" customFormat="1" ht="15" customHeight="1" x14ac:dyDescent="0.35">
      <c r="A207" s="473"/>
      <c r="B207" s="313">
        <v>76052</v>
      </c>
      <c r="C207" s="8" t="s">
        <v>753</v>
      </c>
      <c r="D207" s="18">
        <v>15</v>
      </c>
      <c r="E207" s="251">
        <v>254</v>
      </c>
      <c r="F207" s="82">
        <v>2.33</v>
      </c>
      <c r="G207" s="79">
        <v>591.82000000000005</v>
      </c>
      <c r="H207" s="90">
        <v>5.2715500000000004</v>
      </c>
      <c r="I207" s="85">
        <v>4.554759999999999</v>
      </c>
      <c r="J207" s="85">
        <v>4.5920299999999994</v>
      </c>
      <c r="K207" s="85">
        <v>9.6859929999999981</v>
      </c>
      <c r="L207" s="85">
        <v>9.6859929999999981</v>
      </c>
      <c r="M207" s="85">
        <v>8.8403999999999989</v>
      </c>
      <c r="N207" s="85">
        <v>12.1706</v>
      </c>
      <c r="O207" s="85">
        <v>10.971210000000001</v>
      </c>
      <c r="P207" s="85">
        <v>10.2759</v>
      </c>
      <c r="Q207" s="85">
        <v>10.879760000000001</v>
      </c>
      <c r="R207" s="85">
        <v>16.552799999999998</v>
      </c>
      <c r="S207" s="89">
        <v>12.750920000000001</v>
      </c>
      <c r="T207" s="89">
        <v>116.23191600000001</v>
      </c>
      <c r="U207" s="85">
        <v>0</v>
      </c>
      <c r="V207" s="85">
        <v>116.232</v>
      </c>
      <c r="W207" s="85">
        <v>0</v>
      </c>
      <c r="X207" s="89">
        <v>116.232</v>
      </c>
      <c r="Y207" s="79">
        <v>0</v>
      </c>
      <c r="Z207" s="79">
        <v>1</v>
      </c>
      <c r="AA207" s="94">
        <v>0</v>
      </c>
      <c r="AB207" s="79">
        <v>1</v>
      </c>
      <c r="AC207" s="85">
        <v>60.378999999999998</v>
      </c>
      <c r="AD207" s="85">
        <v>28.200999999999993</v>
      </c>
      <c r="AE207" s="85">
        <v>27.652000000000001</v>
      </c>
      <c r="AF207" s="85">
        <v>0</v>
      </c>
      <c r="AG207" s="85">
        <v>116.23199999999999</v>
      </c>
      <c r="AH207" s="85">
        <v>0</v>
      </c>
      <c r="AI207" s="85">
        <v>0</v>
      </c>
      <c r="AJ207" s="85">
        <v>0</v>
      </c>
      <c r="AK207" s="85">
        <v>0</v>
      </c>
      <c r="AL207" s="85">
        <v>0</v>
      </c>
      <c r="AM207" s="85">
        <v>0</v>
      </c>
      <c r="AN207" s="85">
        <v>0</v>
      </c>
      <c r="AO207" s="85">
        <v>0</v>
      </c>
      <c r="AP207" s="85">
        <v>0</v>
      </c>
      <c r="AQ207" s="85">
        <v>0</v>
      </c>
      <c r="AR207" s="85">
        <v>0</v>
      </c>
      <c r="AS207" s="85">
        <v>0</v>
      </c>
      <c r="AT207" s="85">
        <v>0</v>
      </c>
      <c r="AU207" s="85">
        <v>0</v>
      </c>
      <c r="AV207" s="85">
        <v>0</v>
      </c>
      <c r="AW207" s="85">
        <v>0</v>
      </c>
      <c r="AX207" s="85">
        <v>0</v>
      </c>
      <c r="AY207" s="85">
        <v>0</v>
      </c>
      <c r="AZ207" s="85">
        <v>0</v>
      </c>
      <c r="BA207" s="85">
        <v>116.232</v>
      </c>
      <c r="BB207" s="89">
        <v>0</v>
      </c>
      <c r="BC207" s="89">
        <v>116.232</v>
      </c>
      <c r="BD207" s="37">
        <v>0</v>
      </c>
      <c r="BE207" s="37">
        <v>0</v>
      </c>
      <c r="BF207" s="279">
        <v>27</v>
      </c>
      <c r="BG207" s="37">
        <v>19522</v>
      </c>
      <c r="BH207" s="37">
        <v>8318</v>
      </c>
      <c r="BI207" s="37">
        <v>0</v>
      </c>
      <c r="BJ207" s="283">
        <v>27867</v>
      </c>
      <c r="BK207" s="161"/>
      <c r="BL207" s="294"/>
      <c r="BM207"/>
      <c r="BN207"/>
      <c r="BO207"/>
      <c r="BP207"/>
      <c r="BQ207"/>
      <c r="BR207"/>
      <c r="BS207"/>
      <c r="BT207"/>
      <c r="BU207"/>
      <c r="BV207"/>
      <c r="BW207"/>
      <c r="BX207"/>
      <c r="BY207"/>
      <c r="BZ207"/>
      <c r="CA207"/>
      <c r="CB207"/>
      <c r="CC207"/>
      <c r="CD207"/>
      <c r="CE207"/>
      <c r="CF207"/>
      <c r="CG207"/>
      <c r="CH207"/>
      <c r="CI207"/>
      <c r="CJ207"/>
    </row>
    <row r="208" spans="1:88" s="32" customFormat="1" ht="15" customHeight="1" x14ac:dyDescent="0.35">
      <c r="A208" s="473"/>
      <c r="B208" s="313">
        <v>98014</v>
      </c>
      <c r="C208" s="8" t="s">
        <v>1009</v>
      </c>
      <c r="D208" s="18">
        <v>9</v>
      </c>
      <c r="E208" s="251"/>
      <c r="F208" s="82"/>
      <c r="G208" s="79"/>
      <c r="H208" s="90"/>
      <c r="I208" s="85"/>
      <c r="J208" s="85"/>
      <c r="K208" s="85"/>
      <c r="L208" s="85"/>
      <c r="M208" s="85"/>
      <c r="N208" s="85"/>
      <c r="O208" s="85"/>
      <c r="P208" s="85"/>
      <c r="Q208" s="85"/>
      <c r="R208" s="85"/>
      <c r="S208" s="89"/>
      <c r="T208" s="89" t="s">
        <v>1124</v>
      </c>
      <c r="U208" s="85"/>
      <c r="V208" s="85"/>
      <c r="W208" s="85"/>
      <c r="X208" s="89" t="s">
        <v>1124</v>
      </c>
      <c r="Y208" s="79"/>
      <c r="Z208" s="79"/>
      <c r="AA208" s="94"/>
      <c r="AB208" s="79" t="s">
        <v>1124</v>
      </c>
      <c r="AC208" s="85"/>
      <c r="AD208" s="85"/>
      <c r="AE208" s="85"/>
      <c r="AF208" s="85"/>
      <c r="AG208" s="85" t="s">
        <v>1124</v>
      </c>
      <c r="AH208" s="85"/>
      <c r="AI208" s="85"/>
      <c r="AJ208" s="85"/>
      <c r="AK208" s="85"/>
      <c r="AL208" s="85"/>
      <c r="AM208" s="85"/>
      <c r="AN208" s="85"/>
      <c r="AO208" s="85"/>
      <c r="AP208" s="85"/>
      <c r="AQ208" s="85"/>
      <c r="AR208" s="85" t="s">
        <v>1124</v>
      </c>
      <c r="AS208" s="85"/>
      <c r="AT208" s="85"/>
      <c r="AU208" s="85"/>
      <c r="AV208" s="85"/>
      <c r="AW208" s="85"/>
      <c r="AX208" s="85"/>
      <c r="AY208" s="85"/>
      <c r="AZ208" s="85"/>
      <c r="BA208" s="85"/>
      <c r="BB208" s="89"/>
      <c r="BC208" s="89" t="s">
        <v>1124</v>
      </c>
      <c r="BD208" s="37"/>
      <c r="BE208" s="37"/>
      <c r="BF208" s="279"/>
      <c r="BG208" s="37"/>
      <c r="BH208" s="37"/>
      <c r="BI208" s="37"/>
      <c r="BJ208" s="283"/>
      <c r="BK208" s="161"/>
      <c r="BL208" s="294"/>
      <c r="BM208"/>
      <c r="BN208"/>
      <c r="BO208"/>
      <c r="BP208"/>
      <c r="BQ208"/>
      <c r="BR208"/>
      <c r="BS208"/>
      <c r="BT208"/>
      <c r="BU208"/>
      <c r="BV208"/>
      <c r="BW208"/>
      <c r="BX208"/>
      <c r="BY208"/>
      <c r="BZ208"/>
      <c r="CA208"/>
      <c r="CB208"/>
      <c r="CC208"/>
      <c r="CD208"/>
      <c r="CE208"/>
      <c r="CF208"/>
      <c r="CG208"/>
      <c r="CH208"/>
      <c r="CI208"/>
      <c r="CJ208"/>
    </row>
    <row r="209" spans="1:88" s="32" customFormat="1" ht="15" customHeight="1" x14ac:dyDescent="0.35">
      <c r="A209" s="473"/>
      <c r="B209" s="313">
        <v>1042</v>
      </c>
      <c r="C209" s="8" t="s">
        <v>1025</v>
      </c>
      <c r="D209" s="18">
        <v>11</v>
      </c>
      <c r="E209" s="251"/>
      <c r="F209" s="82"/>
      <c r="G209" s="79"/>
      <c r="H209" s="90"/>
      <c r="I209" s="85"/>
      <c r="J209" s="85"/>
      <c r="K209" s="85"/>
      <c r="L209" s="85"/>
      <c r="M209" s="85"/>
      <c r="N209" s="85"/>
      <c r="O209" s="85"/>
      <c r="P209" s="85"/>
      <c r="Q209" s="85"/>
      <c r="R209" s="85"/>
      <c r="S209" s="89"/>
      <c r="T209" s="89" t="s">
        <v>1124</v>
      </c>
      <c r="U209" s="85"/>
      <c r="V209" s="85"/>
      <c r="W209" s="85"/>
      <c r="X209" s="89" t="s">
        <v>1124</v>
      </c>
      <c r="Y209" s="79"/>
      <c r="Z209" s="79"/>
      <c r="AA209" s="94"/>
      <c r="AB209" s="79" t="s">
        <v>1124</v>
      </c>
      <c r="AC209" s="85"/>
      <c r="AD209" s="85"/>
      <c r="AE209" s="85"/>
      <c r="AF209" s="85"/>
      <c r="AG209" s="85" t="s">
        <v>1124</v>
      </c>
      <c r="AH209" s="85"/>
      <c r="AI209" s="85"/>
      <c r="AJ209" s="85"/>
      <c r="AK209" s="85"/>
      <c r="AL209" s="85"/>
      <c r="AM209" s="85"/>
      <c r="AN209" s="85"/>
      <c r="AO209" s="85"/>
      <c r="AP209" s="85"/>
      <c r="AQ209" s="85"/>
      <c r="AR209" s="85" t="s">
        <v>1124</v>
      </c>
      <c r="AS209" s="85"/>
      <c r="AT209" s="85"/>
      <c r="AU209" s="85"/>
      <c r="AV209" s="85"/>
      <c r="AW209" s="85"/>
      <c r="AX209" s="85"/>
      <c r="AY209" s="85"/>
      <c r="AZ209" s="85"/>
      <c r="BA209" s="85"/>
      <c r="BB209" s="89"/>
      <c r="BC209" s="89" t="s">
        <v>1124</v>
      </c>
      <c r="BD209" s="37"/>
      <c r="BE209" s="37"/>
      <c r="BF209" s="279"/>
      <c r="BG209" s="37"/>
      <c r="BH209" s="37"/>
      <c r="BI209" s="37"/>
      <c r="BJ209" s="283"/>
      <c r="BK209" s="161"/>
      <c r="BL209" s="294"/>
      <c r="BM209"/>
      <c r="BN209"/>
      <c r="BO209"/>
      <c r="BP209"/>
      <c r="BQ209"/>
      <c r="BR209"/>
      <c r="BS209"/>
      <c r="BT209"/>
      <c r="BU209"/>
      <c r="BV209"/>
      <c r="BW209"/>
      <c r="BX209"/>
      <c r="BY209"/>
      <c r="BZ209"/>
      <c r="CA209"/>
      <c r="CB209"/>
      <c r="CC209"/>
      <c r="CD209"/>
      <c r="CE209"/>
      <c r="CF209"/>
      <c r="CG209"/>
      <c r="CH209"/>
      <c r="CI209"/>
      <c r="CJ209"/>
    </row>
    <row r="210" spans="1:88" s="32" customFormat="1" ht="15" customHeight="1" x14ac:dyDescent="0.35">
      <c r="A210" s="473"/>
      <c r="B210" s="313">
        <v>8015</v>
      </c>
      <c r="C210" s="8" t="s">
        <v>1088</v>
      </c>
      <c r="D210" s="18">
        <v>1</v>
      </c>
      <c r="E210" s="251"/>
      <c r="F210" s="82"/>
      <c r="G210" s="79"/>
      <c r="H210" s="90"/>
      <c r="I210" s="85"/>
      <c r="J210" s="85"/>
      <c r="K210" s="85"/>
      <c r="L210" s="85"/>
      <c r="M210" s="85"/>
      <c r="N210" s="85"/>
      <c r="O210" s="85"/>
      <c r="P210" s="85"/>
      <c r="Q210" s="85"/>
      <c r="R210" s="85"/>
      <c r="S210" s="89"/>
      <c r="T210" s="89" t="s">
        <v>1124</v>
      </c>
      <c r="U210" s="85"/>
      <c r="V210" s="85"/>
      <c r="W210" s="85"/>
      <c r="X210" s="89" t="s">
        <v>1124</v>
      </c>
      <c r="Y210" s="79"/>
      <c r="Z210" s="79"/>
      <c r="AA210" s="94"/>
      <c r="AB210" s="79" t="s">
        <v>1124</v>
      </c>
      <c r="AC210" s="85"/>
      <c r="AD210" s="85"/>
      <c r="AE210" s="85"/>
      <c r="AF210" s="85"/>
      <c r="AG210" s="85" t="s">
        <v>1124</v>
      </c>
      <c r="AH210" s="85"/>
      <c r="AI210" s="85"/>
      <c r="AJ210" s="85"/>
      <c r="AK210" s="85"/>
      <c r="AL210" s="85"/>
      <c r="AM210" s="85"/>
      <c r="AN210" s="85"/>
      <c r="AO210" s="85"/>
      <c r="AP210" s="85"/>
      <c r="AQ210" s="85"/>
      <c r="AR210" s="85" t="s">
        <v>1124</v>
      </c>
      <c r="AS210" s="85"/>
      <c r="AT210" s="85"/>
      <c r="AU210" s="85"/>
      <c r="AV210" s="85"/>
      <c r="AW210" s="85"/>
      <c r="AX210" s="85"/>
      <c r="AY210" s="85"/>
      <c r="AZ210" s="85"/>
      <c r="BA210" s="85"/>
      <c r="BB210" s="89"/>
      <c r="BC210" s="89" t="s">
        <v>1124</v>
      </c>
      <c r="BD210" s="37"/>
      <c r="BE210" s="37"/>
      <c r="BF210" s="279"/>
      <c r="BG210" s="37"/>
      <c r="BH210" s="37"/>
      <c r="BI210" s="37"/>
      <c r="BJ210" s="283"/>
      <c r="BK210" s="161"/>
      <c r="BL210" s="294"/>
      <c r="BM210"/>
      <c r="BN210"/>
      <c r="BO210"/>
      <c r="BP210"/>
      <c r="BQ210"/>
      <c r="BR210"/>
      <c r="BS210"/>
      <c r="BT210"/>
      <c r="BU210"/>
      <c r="BV210"/>
      <c r="BW210"/>
      <c r="BX210"/>
      <c r="BY210"/>
      <c r="BZ210"/>
      <c r="CA210"/>
      <c r="CB210"/>
      <c r="CC210"/>
      <c r="CD210"/>
      <c r="CE210"/>
      <c r="CF210"/>
      <c r="CG210"/>
      <c r="CH210"/>
      <c r="CI210"/>
      <c r="CJ210"/>
    </row>
    <row r="211" spans="1:88" s="32" customFormat="1" ht="15" customHeight="1" x14ac:dyDescent="0.35">
      <c r="A211" s="473"/>
      <c r="B211" s="313">
        <v>85095</v>
      </c>
      <c r="C211" s="8" t="s">
        <v>886</v>
      </c>
      <c r="D211" s="18">
        <v>8</v>
      </c>
      <c r="E211" s="251"/>
      <c r="F211" s="82"/>
      <c r="G211" s="79"/>
      <c r="H211" s="90"/>
      <c r="I211" s="85"/>
      <c r="J211" s="85"/>
      <c r="K211" s="85"/>
      <c r="L211" s="85"/>
      <c r="M211" s="85"/>
      <c r="N211" s="85"/>
      <c r="O211" s="85"/>
      <c r="P211" s="85"/>
      <c r="Q211" s="85"/>
      <c r="R211" s="85"/>
      <c r="S211" s="89"/>
      <c r="T211" s="89" t="s">
        <v>1124</v>
      </c>
      <c r="U211" s="85"/>
      <c r="V211" s="85"/>
      <c r="W211" s="85"/>
      <c r="X211" s="89" t="s">
        <v>1124</v>
      </c>
      <c r="Y211" s="79"/>
      <c r="Z211" s="79"/>
      <c r="AA211" s="94"/>
      <c r="AB211" s="79" t="s">
        <v>1124</v>
      </c>
      <c r="AC211" s="85"/>
      <c r="AD211" s="85"/>
      <c r="AE211" s="85"/>
      <c r="AF211" s="85"/>
      <c r="AG211" s="85" t="s">
        <v>1124</v>
      </c>
      <c r="AH211" s="85"/>
      <c r="AI211" s="85"/>
      <c r="AJ211" s="85"/>
      <c r="AK211" s="85"/>
      <c r="AL211" s="85"/>
      <c r="AM211" s="85"/>
      <c r="AN211" s="85"/>
      <c r="AO211" s="85"/>
      <c r="AP211" s="85"/>
      <c r="AQ211" s="85"/>
      <c r="AR211" s="85" t="s">
        <v>1124</v>
      </c>
      <c r="AS211" s="85"/>
      <c r="AT211" s="85"/>
      <c r="AU211" s="85"/>
      <c r="AV211" s="85"/>
      <c r="AW211" s="85"/>
      <c r="AX211" s="85"/>
      <c r="AY211" s="85"/>
      <c r="AZ211" s="85"/>
      <c r="BA211" s="85"/>
      <c r="BB211" s="89"/>
      <c r="BC211" s="89" t="s">
        <v>1124</v>
      </c>
      <c r="BD211" s="37"/>
      <c r="BE211" s="37"/>
      <c r="BF211" s="279"/>
      <c r="BG211" s="37"/>
      <c r="BH211" s="37"/>
      <c r="BI211" s="37"/>
      <c r="BJ211" s="283"/>
      <c r="BK211" s="161"/>
      <c r="BL211" s="294"/>
      <c r="BM211"/>
      <c r="BN211"/>
      <c r="BO211"/>
      <c r="BP211"/>
      <c r="BQ211"/>
      <c r="BR211"/>
      <c r="BS211"/>
      <c r="BT211"/>
      <c r="BU211"/>
      <c r="BV211"/>
      <c r="BW211"/>
      <c r="BX211"/>
      <c r="BY211"/>
      <c r="BZ211"/>
      <c r="CA211"/>
      <c r="CB211"/>
      <c r="CC211"/>
      <c r="CD211"/>
      <c r="CE211"/>
      <c r="CF211"/>
      <c r="CG211"/>
      <c r="CH211"/>
      <c r="CI211"/>
      <c r="CJ211"/>
    </row>
    <row r="212" spans="1:88" s="32" customFormat="1" ht="15" customHeight="1" x14ac:dyDescent="0.35">
      <c r="A212" s="473"/>
      <c r="B212" s="313">
        <v>39010</v>
      </c>
      <c r="C212" s="8" t="s">
        <v>338</v>
      </c>
      <c r="D212" s="18">
        <v>17</v>
      </c>
      <c r="E212" s="251">
        <v>256</v>
      </c>
      <c r="F212" s="82">
        <v>2.185542168674699</v>
      </c>
      <c r="G212" s="79">
        <v>559.49879518072294</v>
      </c>
      <c r="H212" s="90">
        <v>3.9740000000000002</v>
      </c>
      <c r="I212" s="85">
        <v>3.4630000000000001</v>
      </c>
      <c r="J212" s="85">
        <v>3.161</v>
      </c>
      <c r="K212" s="85">
        <v>4.0940000000000003</v>
      </c>
      <c r="L212" s="85">
        <v>4.6449999999999996</v>
      </c>
      <c r="M212" s="85">
        <v>4.4790000000000001</v>
      </c>
      <c r="N212" s="85">
        <v>4.4059999999999997</v>
      </c>
      <c r="O212" s="85">
        <v>4.444</v>
      </c>
      <c r="P212" s="85">
        <v>4.1539999999999999</v>
      </c>
      <c r="Q212" s="85">
        <v>3.081</v>
      </c>
      <c r="R212" s="85">
        <v>3.782</v>
      </c>
      <c r="S212" s="89">
        <v>3.8530000000000002</v>
      </c>
      <c r="T212" s="89">
        <v>47.535999999999994</v>
      </c>
      <c r="U212" s="85">
        <v>0</v>
      </c>
      <c r="V212" s="85">
        <v>47.536000000000001</v>
      </c>
      <c r="W212" s="85">
        <v>0</v>
      </c>
      <c r="X212" s="89">
        <v>47.536000000000001</v>
      </c>
      <c r="Y212" s="79">
        <v>0</v>
      </c>
      <c r="Z212" s="79">
        <v>1</v>
      </c>
      <c r="AA212" s="94">
        <v>0</v>
      </c>
      <c r="AB212" s="79">
        <v>1</v>
      </c>
      <c r="AC212" s="85">
        <v>32.55820938628159</v>
      </c>
      <c r="AD212" s="85">
        <v>3.3572356137184034</v>
      </c>
      <c r="AE212" s="85">
        <v>11.620555000000001</v>
      </c>
      <c r="AF212" s="85">
        <v>0</v>
      </c>
      <c r="AG212" s="85">
        <v>47.535999999999994</v>
      </c>
      <c r="AH212" s="85">
        <v>0</v>
      </c>
      <c r="AI212" s="85">
        <v>0</v>
      </c>
      <c r="AJ212" s="85">
        <v>0</v>
      </c>
      <c r="AK212" s="85">
        <v>0</v>
      </c>
      <c r="AL212" s="85">
        <v>0</v>
      </c>
      <c r="AM212" s="85">
        <v>0</v>
      </c>
      <c r="AN212" s="85">
        <v>0</v>
      </c>
      <c r="AO212" s="85">
        <v>0</v>
      </c>
      <c r="AP212" s="85">
        <v>0</v>
      </c>
      <c r="AQ212" s="85">
        <v>0</v>
      </c>
      <c r="AR212" s="85">
        <v>0</v>
      </c>
      <c r="AS212" s="85">
        <v>47.536000000000001</v>
      </c>
      <c r="AT212" s="85">
        <v>0</v>
      </c>
      <c r="AU212" s="85">
        <v>0</v>
      </c>
      <c r="AV212" s="85">
        <v>0</v>
      </c>
      <c r="AW212" s="85">
        <v>0</v>
      </c>
      <c r="AX212" s="85">
        <v>0</v>
      </c>
      <c r="AY212" s="85">
        <v>0</v>
      </c>
      <c r="AZ212" s="85">
        <v>0</v>
      </c>
      <c r="BA212" s="85">
        <v>0</v>
      </c>
      <c r="BB212" s="89">
        <v>0</v>
      </c>
      <c r="BC212" s="89">
        <v>47.536000000000001</v>
      </c>
      <c r="BD212" s="37">
        <v>0</v>
      </c>
      <c r="BE212" s="37">
        <v>0</v>
      </c>
      <c r="BF212" s="279">
        <v>22686</v>
      </c>
      <c r="BG212" s="37">
        <v>25009</v>
      </c>
      <c r="BH212" s="37">
        <v>19769</v>
      </c>
      <c r="BI212" s="37">
        <v>8118</v>
      </c>
      <c r="BJ212" s="283">
        <v>75582</v>
      </c>
      <c r="BK212" s="161"/>
      <c r="BL212" s="294"/>
      <c r="BM212"/>
      <c r="BN212"/>
      <c r="BO212"/>
      <c r="BP212"/>
      <c r="BQ212"/>
      <c r="BR212"/>
      <c r="BS212"/>
      <c r="BT212"/>
      <c r="BU212"/>
      <c r="BV212"/>
      <c r="BW212"/>
      <c r="BX212"/>
      <c r="BY212"/>
      <c r="BZ212"/>
      <c r="CA212"/>
      <c r="CB212"/>
      <c r="CC212"/>
      <c r="CD212"/>
      <c r="CE212"/>
      <c r="CF212"/>
      <c r="CG212"/>
      <c r="CH212"/>
      <c r="CI212"/>
      <c r="CJ212"/>
    </row>
    <row r="213" spans="1:88" s="32" customFormat="1" ht="15" customHeight="1" x14ac:dyDescent="0.35">
      <c r="A213" s="473"/>
      <c r="B213" s="313">
        <v>41075</v>
      </c>
      <c r="C213" s="8" t="s">
        <v>374</v>
      </c>
      <c r="D213" s="18">
        <v>5</v>
      </c>
      <c r="E213" s="251"/>
      <c r="F213" s="82"/>
      <c r="G213" s="79"/>
      <c r="H213" s="90"/>
      <c r="I213" s="85"/>
      <c r="J213" s="85"/>
      <c r="K213" s="85"/>
      <c r="L213" s="85"/>
      <c r="M213" s="85"/>
      <c r="N213" s="85"/>
      <c r="O213" s="85"/>
      <c r="P213" s="85"/>
      <c r="Q213" s="85"/>
      <c r="R213" s="85"/>
      <c r="S213" s="89"/>
      <c r="T213" s="89" t="s">
        <v>1124</v>
      </c>
      <c r="U213" s="85"/>
      <c r="V213" s="85"/>
      <c r="W213" s="85"/>
      <c r="X213" s="89" t="s">
        <v>1124</v>
      </c>
      <c r="Y213" s="79"/>
      <c r="Z213" s="79"/>
      <c r="AA213" s="94"/>
      <c r="AB213" s="79" t="s">
        <v>1124</v>
      </c>
      <c r="AC213" s="85"/>
      <c r="AD213" s="85"/>
      <c r="AE213" s="85"/>
      <c r="AF213" s="85"/>
      <c r="AG213" s="85" t="s">
        <v>1124</v>
      </c>
      <c r="AH213" s="85"/>
      <c r="AI213" s="85"/>
      <c r="AJ213" s="85"/>
      <c r="AK213" s="85"/>
      <c r="AL213" s="85"/>
      <c r="AM213" s="85"/>
      <c r="AN213" s="85"/>
      <c r="AO213" s="85"/>
      <c r="AP213" s="85"/>
      <c r="AQ213" s="85"/>
      <c r="AR213" s="85" t="s">
        <v>1124</v>
      </c>
      <c r="AS213" s="85"/>
      <c r="AT213" s="85"/>
      <c r="AU213" s="85"/>
      <c r="AV213" s="85"/>
      <c r="AW213" s="85"/>
      <c r="AX213" s="85"/>
      <c r="AY213" s="85"/>
      <c r="AZ213" s="85"/>
      <c r="BA213" s="85"/>
      <c r="BB213" s="89"/>
      <c r="BC213" s="89" t="s">
        <v>1124</v>
      </c>
      <c r="BD213" s="37"/>
      <c r="BE213" s="37"/>
      <c r="BF213" s="279"/>
      <c r="BG213" s="37"/>
      <c r="BH213" s="37"/>
      <c r="BI213" s="37"/>
      <c r="BJ213" s="283"/>
      <c r="BK213" s="161"/>
      <c r="BL213" s="294"/>
      <c r="BM213"/>
      <c r="BN213"/>
      <c r="BO213"/>
      <c r="BP213"/>
      <c r="BQ213"/>
      <c r="BR213"/>
      <c r="BS213"/>
      <c r="BT213"/>
      <c r="BU213"/>
      <c r="BV213"/>
      <c r="BW213"/>
      <c r="BX213"/>
      <c r="BY213"/>
      <c r="BZ213"/>
      <c r="CA213"/>
      <c r="CB213"/>
      <c r="CC213"/>
      <c r="CD213"/>
      <c r="CE213"/>
      <c r="CF213"/>
      <c r="CG213"/>
      <c r="CH213"/>
      <c r="CI213"/>
      <c r="CJ213"/>
    </row>
    <row r="214" spans="1:88" s="32" customFormat="1" ht="15" customHeight="1" x14ac:dyDescent="0.35">
      <c r="A214" s="473"/>
      <c r="B214" s="313">
        <v>66062</v>
      </c>
      <c r="C214" s="8" t="s">
        <v>652</v>
      </c>
      <c r="D214" s="18">
        <v>6</v>
      </c>
      <c r="E214" s="251"/>
      <c r="F214" s="82"/>
      <c r="G214" s="79"/>
      <c r="H214" s="90"/>
      <c r="I214" s="85"/>
      <c r="J214" s="85"/>
      <c r="K214" s="85"/>
      <c r="L214" s="85"/>
      <c r="M214" s="85"/>
      <c r="N214" s="85"/>
      <c r="O214" s="85"/>
      <c r="P214" s="85"/>
      <c r="Q214" s="85"/>
      <c r="R214" s="85"/>
      <c r="S214" s="89"/>
      <c r="T214" s="89" t="s">
        <v>1124</v>
      </c>
      <c r="U214" s="85"/>
      <c r="V214" s="85"/>
      <c r="W214" s="85"/>
      <c r="X214" s="89" t="s">
        <v>1124</v>
      </c>
      <c r="Y214" s="79"/>
      <c r="Z214" s="79"/>
      <c r="AA214" s="94"/>
      <c r="AB214" s="79" t="s">
        <v>1124</v>
      </c>
      <c r="AC214" s="85"/>
      <c r="AD214" s="85"/>
      <c r="AE214" s="85"/>
      <c r="AF214" s="85"/>
      <c r="AG214" s="85" t="s">
        <v>1124</v>
      </c>
      <c r="AH214" s="85"/>
      <c r="AI214" s="85"/>
      <c r="AJ214" s="85"/>
      <c r="AK214" s="85"/>
      <c r="AL214" s="85"/>
      <c r="AM214" s="85"/>
      <c r="AN214" s="85"/>
      <c r="AO214" s="85"/>
      <c r="AP214" s="85"/>
      <c r="AQ214" s="85"/>
      <c r="AR214" s="85" t="s">
        <v>1124</v>
      </c>
      <c r="AS214" s="85"/>
      <c r="AT214" s="85"/>
      <c r="AU214" s="85"/>
      <c r="AV214" s="85"/>
      <c r="AW214" s="85"/>
      <c r="AX214" s="85"/>
      <c r="AY214" s="85"/>
      <c r="AZ214" s="85"/>
      <c r="BA214" s="85"/>
      <c r="BB214" s="89"/>
      <c r="BC214" s="89" t="s">
        <v>1124</v>
      </c>
      <c r="BD214" s="37"/>
      <c r="BE214" s="37"/>
      <c r="BF214" s="279"/>
      <c r="BG214" s="37"/>
      <c r="BH214" s="37"/>
      <c r="BI214" s="37"/>
      <c r="BJ214" s="283"/>
      <c r="BK214" s="161"/>
      <c r="BL214" s="294"/>
      <c r="BM214"/>
      <c r="BN214"/>
      <c r="BO214"/>
      <c r="BP214"/>
      <c r="BQ214"/>
      <c r="BR214"/>
      <c r="BS214"/>
      <c r="BT214"/>
      <c r="BU214"/>
      <c r="BV214"/>
      <c r="BW214"/>
      <c r="BX214"/>
      <c r="BY214"/>
      <c r="BZ214"/>
      <c r="CA214"/>
      <c r="CB214"/>
      <c r="CC214"/>
      <c r="CD214"/>
      <c r="CE214"/>
      <c r="CF214"/>
      <c r="CG214"/>
      <c r="CH214"/>
      <c r="CI214"/>
      <c r="CJ214"/>
    </row>
    <row r="215" spans="1:88" s="32" customFormat="1" ht="15" customHeight="1" x14ac:dyDescent="0.35">
      <c r="A215" s="473"/>
      <c r="B215" s="313">
        <v>40005</v>
      </c>
      <c r="C215" s="8" t="s">
        <v>358</v>
      </c>
      <c r="D215" s="18">
        <v>5</v>
      </c>
      <c r="E215" s="251"/>
      <c r="F215" s="82"/>
      <c r="G215" s="79"/>
      <c r="H215" s="90"/>
      <c r="I215" s="85"/>
      <c r="J215" s="85"/>
      <c r="K215" s="85"/>
      <c r="L215" s="85"/>
      <c r="M215" s="85"/>
      <c r="N215" s="85"/>
      <c r="O215" s="85"/>
      <c r="P215" s="85"/>
      <c r="Q215" s="85"/>
      <c r="R215" s="85"/>
      <c r="S215" s="89"/>
      <c r="T215" s="89" t="s">
        <v>1124</v>
      </c>
      <c r="U215" s="85"/>
      <c r="V215" s="85"/>
      <c r="W215" s="85"/>
      <c r="X215" s="89" t="s">
        <v>1124</v>
      </c>
      <c r="Y215" s="79"/>
      <c r="Z215" s="79"/>
      <c r="AA215" s="94"/>
      <c r="AB215" s="79" t="s">
        <v>1124</v>
      </c>
      <c r="AC215" s="85"/>
      <c r="AD215" s="85"/>
      <c r="AE215" s="85"/>
      <c r="AF215" s="85"/>
      <c r="AG215" s="85" t="s">
        <v>1124</v>
      </c>
      <c r="AH215" s="85"/>
      <c r="AI215" s="85"/>
      <c r="AJ215" s="85"/>
      <c r="AK215" s="85"/>
      <c r="AL215" s="85"/>
      <c r="AM215" s="85"/>
      <c r="AN215" s="85"/>
      <c r="AO215" s="85"/>
      <c r="AP215" s="85"/>
      <c r="AQ215" s="85"/>
      <c r="AR215" s="85" t="s">
        <v>1124</v>
      </c>
      <c r="AS215" s="85"/>
      <c r="AT215" s="85"/>
      <c r="AU215" s="85"/>
      <c r="AV215" s="85"/>
      <c r="AW215" s="85"/>
      <c r="AX215" s="85"/>
      <c r="AY215" s="85"/>
      <c r="AZ215" s="85"/>
      <c r="BA215" s="85"/>
      <c r="BB215" s="89"/>
      <c r="BC215" s="89" t="s">
        <v>1124</v>
      </c>
      <c r="BD215" s="37"/>
      <c r="BE215" s="37"/>
      <c r="BF215" s="279"/>
      <c r="BG215" s="37"/>
      <c r="BH215" s="37"/>
      <c r="BI215" s="37"/>
      <c r="BJ215" s="283"/>
      <c r="BK215" s="161"/>
      <c r="BL215" s="294"/>
      <c r="BM215"/>
      <c r="BN215"/>
      <c r="BO215"/>
      <c r="BP215"/>
      <c r="BQ215"/>
      <c r="BR215"/>
      <c r="BS215"/>
      <c r="BT215"/>
      <c r="BU215"/>
      <c r="BV215"/>
      <c r="BW215"/>
      <c r="BX215"/>
      <c r="BY215"/>
      <c r="BZ215"/>
      <c r="CA215"/>
      <c r="CB215"/>
      <c r="CC215"/>
      <c r="CD215"/>
      <c r="CE215"/>
      <c r="CF215"/>
      <c r="CG215"/>
      <c r="CH215"/>
      <c r="CI215"/>
      <c r="CJ215"/>
    </row>
    <row r="216" spans="1:88" s="32" customFormat="1" ht="15" customHeight="1" x14ac:dyDescent="0.35">
      <c r="A216" s="473"/>
      <c r="B216" s="313">
        <v>76065</v>
      </c>
      <c r="C216" s="8" t="s">
        <v>755</v>
      </c>
      <c r="D216" s="18">
        <v>15</v>
      </c>
      <c r="E216" s="251"/>
      <c r="F216" s="82"/>
      <c r="G216" s="79"/>
      <c r="H216" s="90"/>
      <c r="I216" s="85"/>
      <c r="J216" s="85"/>
      <c r="K216" s="85"/>
      <c r="L216" s="85"/>
      <c r="M216" s="85"/>
      <c r="N216" s="85"/>
      <c r="O216" s="85"/>
      <c r="P216" s="85"/>
      <c r="Q216" s="85"/>
      <c r="R216" s="85"/>
      <c r="S216" s="89"/>
      <c r="T216" s="89" t="s">
        <v>1124</v>
      </c>
      <c r="U216" s="85"/>
      <c r="V216" s="85"/>
      <c r="W216" s="85"/>
      <c r="X216" s="89" t="s">
        <v>1124</v>
      </c>
      <c r="Y216" s="79"/>
      <c r="Z216" s="79"/>
      <c r="AA216" s="94"/>
      <c r="AB216" s="79" t="s">
        <v>1124</v>
      </c>
      <c r="AC216" s="85"/>
      <c r="AD216" s="85"/>
      <c r="AE216" s="85"/>
      <c r="AF216" s="85"/>
      <c r="AG216" s="85" t="s">
        <v>1124</v>
      </c>
      <c r="AH216" s="85"/>
      <c r="AI216" s="85"/>
      <c r="AJ216" s="85"/>
      <c r="AK216" s="85"/>
      <c r="AL216" s="85"/>
      <c r="AM216" s="85"/>
      <c r="AN216" s="85"/>
      <c r="AO216" s="85"/>
      <c r="AP216" s="85"/>
      <c r="AQ216" s="85"/>
      <c r="AR216" s="85" t="s">
        <v>1124</v>
      </c>
      <c r="AS216" s="85"/>
      <c r="AT216" s="85"/>
      <c r="AU216" s="85"/>
      <c r="AV216" s="85"/>
      <c r="AW216" s="85"/>
      <c r="AX216" s="85"/>
      <c r="AY216" s="85"/>
      <c r="AZ216" s="85"/>
      <c r="BA216" s="85"/>
      <c r="BB216" s="89"/>
      <c r="BC216" s="89" t="s">
        <v>1124</v>
      </c>
      <c r="BD216" s="37"/>
      <c r="BE216" s="37"/>
      <c r="BF216" s="279"/>
      <c r="BG216" s="37"/>
      <c r="BH216" s="37"/>
      <c r="BI216" s="37"/>
      <c r="BJ216" s="283"/>
      <c r="BK216" s="161"/>
      <c r="BL216" s="294"/>
      <c r="BM216"/>
      <c r="BN216"/>
      <c r="BO216"/>
      <c r="BP216"/>
      <c r="BQ216"/>
      <c r="BR216"/>
      <c r="BS216"/>
      <c r="BT216"/>
      <c r="BU216"/>
      <c r="BV216"/>
      <c r="BW216"/>
      <c r="BX216"/>
      <c r="BY216"/>
      <c r="BZ216"/>
      <c r="CA216"/>
      <c r="CB216"/>
      <c r="CC216"/>
      <c r="CD216"/>
      <c r="CE216"/>
      <c r="CF216"/>
      <c r="CG216"/>
      <c r="CH216"/>
      <c r="CI216"/>
      <c r="CJ216"/>
    </row>
    <row r="217" spans="1:88" s="32" customFormat="1" ht="15" customHeight="1" x14ac:dyDescent="0.35">
      <c r="A217" s="473"/>
      <c r="B217" s="313">
        <v>45055</v>
      </c>
      <c r="C217" s="8" t="s">
        <v>417</v>
      </c>
      <c r="D217" s="18">
        <v>5</v>
      </c>
      <c r="E217" s="251"/>
      <c r="F217" s="82"/>
      <c r="G217" s="79"/>
      <c r="H217" s="90"/>
      <c r="I217" s="85"/>
      <c r="J217" s="85"/>
      <c r="K217" s="85"/>
      <c r="L217" s="85"/>
      <c r="M217" s="85"/>
      <c r="N217" s="85"/>
      <c r="O217" s="85"/>
      <c r="P217" s="85"/>
      <c r="Q217" s="85"/>
      <c r="R217" s="85"/>
      <c r="S217" s="89"/>
      <c r="T217" s="89" t="s">
        <v>1124</v>
      </c>
      <c r="U217" s="85"/>
      <c r="V217" s="85"/>
      <c r="W217" s="85"/>
      <c r="X217" s="89" t="s">
        <v>1124</v>
      </c>
      <c r="Y217" s="79"/>
      <c r="Z217" s="79"/>
      <c r="AA217" s="94"/>
      <c r="AB217" s="79" t="s">
        <v>1124</v>
      </c>
      <c r="AC217" s="85"/>
      <c r="AD217" s="85"/>
      <c r="AE217" s="85"/>
      <c r="AF217" s="85"/>
      <c r="AG217" s="85" t="s">
        <v>1124</v>
      </c>
      <c r="AH217" s="85"/>
      <c r="AI217" s="85"/>
      <c r="AJ217" s="85"/>
      <c r="AK217" s="85"/>
      <c r="AL217" s="85"/>
      <c r="AM217" s="85"/>
      <c r="AN217" s="85"/>
      <c r="AO217" s="85"/>
      <c r="AP217" s="85"/>
      <c r="AQ217" s="85"/>
      <c r="AR217" s="85" t="s">
        <v>1124</v>
      </c>
      <c r="AS217" s="85"/>
      <c r="AT217" s="85"/>
      <c r="AU217" s="85"/>
      <c r="AV217" s="85"/>
      <c r="AW217" s="85"/>
      <c r="AX217" s="85"/>
      <c r="AY217" s="85"/>
      <c r="AZ217" s="85"/>
      <c r="BA217" s="85"/>
      <c r="BB217" s="89"/>
      <c r="BC217" s="89" t="s">
        <v>1124</v>
      </c>
      <c r="BD217" s="37"/>
      <c r="BE217" s="37"/>
      <c r="BF217" s="279"/>
      <c r="BG217" s="37"/>
      <c r="BH217" s="37"/>
      <c r="BI217" s="37"/>
      <c r="BJ217" s="283"/>
      <c r="BK217" s="161"/>
      <c r="BL217" s="294"/>
      <c r="BM217"/>
      <c r="BN217"/>
      <c r="BO217"/>
      <c r="BP217"/>
      <c r="BQ217"/>
      <c r="BR217"/>
      <c r="BS217"/>
      <c r="BT217"/>
      <c r="BU217"/>
      <c r="BV217"/>
      <c r="BW217"/>
      <c r="BX217"/>
      <c r="BY217"/>
      <c r="BZ217"/>
      <c r="CA217"/>
      <c r="CB217"/>
      <c r="CC217"/>
      <c r="CD217"/>
      <c r="CE217"/>
      <c r="CF217"/>
      <c r="CG217"/>
      <c r="CH217"/>
      <c r="CI217"/>
      <c r="CJ217"/>
    </row>
    <row r="218" spans="1:88" s="32" customFormat="1" ht="15" customHeight="1" x14ac:dyDescent="0.35">
      <c r="A218" s="473"/>
      <c r="B218" s="313">
        <v>45043</v>
      </c>
      <c r="C218" s="8" t="s">
        <v>415</v>
      </c>
      <c r="D218" s="18">
        <v>5</v>
      </c>
      <c r="E218" s="251"/>
      <c r="F218" s="82"/>
      <c r="G218" s="79"/>
      <c r="H218" s="90"/>
      <c r="I218" s="85"/>
      <c r="J218" s="85"/>
      <c r="K218" s="85"/>
      <c r="L218" s="85"/>
      <c r="M218" s="85"/>
      <c r="N218" s="85"/>
      <c r="O218" s="85"/>
      <c r="P218" s="85"/>
      <c r="Q218" s="85"/>
      <c r="R218" s="85"/>
      <c r="S218" s="89"/>
      <c r="T218" s="89" t="s">
        <v>1124</v>
      </c>
      <c r="U218" s="85"/>
      <c r="V218" s="85"/>
      <c r="W218" s="85"/>
      <c r="X218" s="89" t="s">
        <v>1124</v>
      </c>
      <c r="Y218" s="79"/>
      <c r="Z218" s="79"/>
      <c r="AA218" s="94"/>
      <c r="AB218" s="79" t="s">
        <v>1124</v>
      </c>
      <c r="AC218" s="85"/>
      <c r="AD218" s="85"/>
      <c r="AE218" s="85"/>
      <c r="AF218" s="85"/>
      <c r="AG218" s="85" t="s">
        <v>1124</v>
      </c>
      <c r="AH218" s="85"/>
      <c r="AI218" s="85"/>
      <c r="AJ218" s="85"/>
      <c r="AK218" s="85"/>
      <c r="AL218" s="85"/>
      <c r="AM218" s="85"/>
      <c r="AN218" s="85"/>
      <c r="AO218" s="85"/>
      <c r="AP218" s="85"/>
      <c r="AQ218" s="85"/>
      <c r="AR218" s="85" t="s">
        <v>1124</v>
      </c>
      <c r="AS218" s="85"/>
      <c r="AT218" s="85"/>
      <c r="AU218" s="85"/>
      <c r="AV218" s="85"/>
      <c r="AW218" s="85"/>
      <c r="AX218" s="85"/>
      <c r="AY218" s="85"/>
      <c r="AZ218" s="85"/>
      <c r="BA218" s="85"/>
      <c r="BB218" s="89"/>
      <c r="BC218" s="89" t="s">
        <v>1124</v>
      </c>
      <c r="BD218" s="37"/>
      <c r="BE218" s="37"/>
      <c r="BF218" s="279"/>
      <c r="BG218" s="37"/>
      <c r="BH218" s="37"/>
      <c r="BI218" s="37"/>
      <c r="BJ218" s="283"/>
      <c r="BK218" s="161"/>
      <c r="BL218" s="294"/>
      <c r="BM218"/>
      <c r="BN218"/>
      <c r="BO218"/>
      <c r="BP218"/>
      <c r="BQ218"/>
      <c r="BR218"/>
      <c r="BS218"/>
      <c r="BT218"/>
      <c r="BU218"/>
      <c r="BV218"/>
      <c r="BW218"/>
      <c r="BX218"/>
      <c r="BY218"/>
      <c r="BZ218"/>
      <c r="CA218"/>
      <c r="CB218"/>
      <c r="CC218"/>
      <c r="CD218"/>
      <c r="CE218"/>
      <c r="CF218"/>
      <c r="CG218"/>
      <c r="CH218"/>
      <c r="CI218"/>
      <c r="CJ218"/>
    </row>
    <row r="219" spans="1:88" s="32" customFormat="1" ht="15" customHeight="1" x14ac:dyDescent="0.35">
      <c r="A219" s="473"/>
      <c r="B219" s="313">
        <v>69005</v>
      </c>
      <c r="C219" s="8" t="s">
        <v>684</v>
      </c>
      <c r="D219" s="18">
        <v>16</v>
      </c>
      <c r="E219" s="251"/>
      <c r="F219" s="82"/>
      <c r="G219" s="79"/>
      <c r="H219" s="90"/>
      <c r="I219" s="85"/>
      <c r="J219" s="85"/>
      <c r="K219" s="85"/>
      <c r="L219" s="85"/>
      <c r="M219" s="85"/>
      <c r="N219" s="85"/>
      <c r="O219" s="85"/>
      <c r="P219" s="85"/>
      <c r="Q219" s="85"/>
      <c r="R219" s="85"/>
      <c r="S219" s="89"/>
      <c r="T219" s="89" t="s">
        <v>1124</v>
      </c>
      <c r="U219" s="85"/>
      <c r="V219" s="85"/>
      <c r="W219" s="85"/>
      <c r="X219" s="89" t="s">
        <v>1124</v>
      </c>
      <c r="Y219" s="79"/>
      <c r="Z219" s="79"/>
      <c r="AA219" s="94"/>
      <c r="AB219" s="79" t="s">
        <v>1124</v>
      </c>
      <c r="AC219" s="85"/>
      <c r="AD219" s="85"/>
      <c r="AE219" s="85"/>
      <c r="AF219" s="85"/>
      <c r="AG219" s="85" t="s">
        <v>1124</v>
      </c>
      <c r="AH219" s="85"/>
      <c r="AI219" s="85"/>
      <c r="AJ219" s="85"/>
      <c r="AK219" s="85"/>
      <c r="AL219" s="85"/>
      <c r="AM219" s="85"/>
      <c r="AN219" s="85"/>
      <c r="AO219" s="85"/>
      <c r="AP219" s="85"/>
      <c r="AQ219" s="85"/>
      <c r="AR219" s="85" t="s">
        <v>1124</v>
      </c>
      <c r="AS219" s="85"/>
      <c r="AT219" s="85"/>
      <c r="AU219" s="85"/>
      <c r="AV219" s="85"/>
      <c r="AW219" s="85"/>
      <c r="AX219" s="85"/>
      <c r="AY219" s="85"/>
      <c r="AZ219" s="85"/>
      <c r="BA219" s="85"/>
      <c r="BB219" s="89"/>
      <c r="BC219" s="89" t="s">
        <v>1124</v>
      </c>
      <c r="BD219" s="37"/>
      <c r="BE219" s="37"/>
      <c r="BF219" s="279"/>
      <c r="BG219" s="37"/>
      <c r="BH219" s="37"/>
      <c r="BI219" s="37"/>
      <c r="BJ219" s="283"/>
      <c r="BK219" s="161"/>
      <c r="BL219" s="294"/>
      <c r="BM219"/>
      <c r="BN219"/>
      <c r="BO219"/>
      <c r="BP219"/>
      <c r="BQ219"/>
      <c r="BR219"/>
      <c r="BS219"/>
      <c r="BT219"/>
      <c r="BU219"/>
      <c r="BV219"/>
      <c r="BW219"/>
      <c r="BX219"/>
      <c r="BY219"/>
      <c r="BZ219"/>
      <c r="CA219"/>
      <c r="CB219"/>
      <c r="CC219"/>
      <c r="CD219"/>
      <c r="CE219"/>
      <c r="CF219"/>
      <c r="CG219"/>
      <c r="CH219"/>
      <c r="CI219"/>
      <c r="CJ219"/>
    </row>
    <row r="220" spans="1:88" s="32" customFormat="1" ht="15" customHeight="1" x14ac:dyDescent="0.35">
      <c r="A220" s="473"/>
      <c r="B220" s="313">
        <v>98040</v>
      </c>
      <c r="C220" s="8" t="s">
        <v>1015</v>
      </c>
      <c r="D220" s="18">
        <v>9</v>
      </c>
      <c r="E220" s="251"/>
      <c r="F220" s="82"/>
      <c r="G220" s="79"/>
      <c r="H220" s="90"/>
      <c r="I220" s="85"/>
      <c r="J220" s="85"/>
      <c r="K220" s="85"/>
      <c r="L220" s="85"/>
      <c r="M220" s="85"/>
      <c r="N220" s="85"/>
      <c r="O220" s="85"/>
      <c r="P220" s="85"/>
      <c r="Q220" s="85"/>
      <c r="R220" s="85"/>
      <c r="S220" s="89"/>
      <c r="T220" s="89" t="s">
        <v>1124</v>
      </c>
      <c r="U220" s="85"/>
      <c r="V220" s="85"/>
      <c r="W220" s="85"/>
      <c r="X220" s="89" t="s">
        <v>1124</v>
      </c>
      <c r="Y220" s="79"/>
      <c r="Z220" s="79"/>
      <c r="AA220" s="94"/>
      <c r="AB220" s="79" t="s">
        <v>1124</v>
      </c>
      <c r="AC220" s="85"/>
      <c r="AD220" s="85"/>
      <c r="AE220" s="85"/>
      <c r="AF220" s="85"/>
      <c r="AG220" s="85" t="s">
        <v>1124</v>
      </c>
      <c r="AH220" s="85"/>
      <c r="AI220" s="85"/>
      <c r="AJ220" s="85"/>
      <c r="AK220" s="85"/>
      <c r="AL220" s="85"/>
      <c r="AM220" s="85"/>
      <c r="AN220" s="85"/>
      <c r="AO220" s="85"/>
      <c r="AP220" s="85"/>
      <c r="AQ220" s="85"/>
      <c r="AR220" s="85" t="s">
        <v>1124</v>
      </c>
      <c r="AS220" s="85"/>
      <c r="AT220" s="85"/>
      <c r="AU220" s="85"/>
      <c r="AV220" s="85"/>
      <c r="AW220" s="85"/>
      <c r="AX220" s="85"/>
      <c r="AY220" s="85"/>
      <c r="AZ220" s="85"/>
      <c r="BA220" s="85"/>
      <c r="BB220" s="89"/>
      <c r="BC220" s="89" t="s">
        <v>1124</v>
      </c>
      <c r="BD220" s="37"/>
      <c r="BE220" s="37"/>
      <c r="BF220" s="279"/>
      <c r="BG220" s="37"/>
      <c r="BH220" s="37"/>
      <c r="BI220" s="37"/>
      <c r="BJ220" s="283"/>
      <c r="BK220" s="161"/>
      <c r="BL220" s="294"/>
      <c r="BM220"/>
      <c r="BN220"/>
      <c r="BO220"/>
      <c r="BP220"/>
      <c r="BQ220"/>
      <c r="BR220"/>
      <c r="BS220"/>
      <c r="BT220"/>
      <c r="BU220"/>
      <c r="BV220"/>
      <c r="BW220"/>
      <c r="BX220"/>
      <c r="BY220"/>
      <c r="BZ220"/>
      <c r="CA220"/>
      <c r="CB220"/>
      <c r="CC220"/>
      <c r="CD220"/>
      <c r="CE220"/>
      <c r="CF220"/>
      <c r="CG220"/>
      <c r="CH220"/>
      <c r="CI220"/>
      <c r="CJ220"/>
    </row>
    <row r="221" spans="1:88" s="32" customFormat="1" ht="15" customHeight="1" x14ac:dyDescent="0.35">
      <c r="A221" s="473"/>
      <c r="B221" s="313">
        <v>93020</v>
      </c>
      <c r="C221" s="8" t="s">
        <v>960</v>
      </c>
      <c r="D221" s="18">
        <v>2</v>
      </c>
      <c r="E221" s="251">
        <v>1094</v>
      </c>
      <c r="F221" s="82">
        <v>2.2680776014109347</v>
      </c>
      <c r="G221" s="79">
        <v>2481.2768959435625</v>
      </c>
      <c r="H221" s="90">
        <v>39.07</v>
      </c>
      <c r="I221" s="85">
        <v>41.546999999999997</v>
      </c>
      <c r="J221" s="85">
        <v>48.694000000000003</v>
      </c>
      <c r="K221" s="85">
        <v>37.835999999999999</v>
      </c>
      <c r="L221" s="85">
        <v>37.07</v>
      </c>
      <c r="M221" s="85">
        <v>38.311999999999998</v>
      </c>
      <c r="N221" s="85">
        <v>40.959000000000003</v>
      </c>
      <c r="O221" s="85">
        <v>39.667999999999999</v>
      </c>
      <c r="P221" s="85">
        <v>33.802</v>
      </c>
      <c r="Q221" s="85">
        <v>34.456000000000003</v>
      </c>
      <c r="R221" s="85">
        <v>34.463000000000001</v>
      </c>
      <c r="S221" s="89">
        <v>32.780999999999999</v>
      </c>
      <c r="T221" s="89">
        <v>458.65800000000007</v>
      </c>
      <c r="U221" s="85">
        <v>0</v>
      </c>
      <c r="V221" s="85">
        <v>458.65800000000002</v>
      </c>
      <c r="W221" s="85">
        <v>0</v>
      </c>
      <c r="X221" s="89">
        <v>458.65800000000002</v>
      </c>
      <c r="Y221" s="79">
        <v>0</v>
      </c>
      <c r="Z221" s="79">
        <v>1</v>
      </c>
      <c r="AA221" s="94">
        <v>0</v>
      </c>
      <c r="AB221" s="79">
        <v>1</v>
      </c>
      <c r="AC221" s="85">
        <v>237.54499999999999</v>
      </c>
      <c r="AD221" s="85">
        <v>39.884</v>
      </c>
      <c r="AE221" s="85">
        <v>181.22900000000001</v>
      </c>
      <c r="AF221" s="85">
        <v>0</v>
      </c>
      <c r="AG221" s="85">
        <v>458.65800000000002</v>
      </c>
      <c r="AH221" s="85">
        <v>0</v>
      </c>
      <c r="AI221" s="85">
        <v>0</v>
      </c>
      <c r="AJ221" s="85">
        <v>0</v>
      </c>
      <c r="AK221" s="85">
        <v>0</v>
      </c>
      <c r="AL221" s="85">
        <v>0</v>
      </c>
      <c r="AM221" s="85">
        <v>0</v>
      </c>
      <c r="AN221" s="85">
        <v>0</v>
      </c>
      <c r="AO221" s="85">
        <v>0</v>
      </c>
      <c r="AP221" s="85">
        <v>0</v>
      </c>
      <c r="AQ221" s="85">
        <v>0</v>
      </c>
      <c r="AR221" s="85">
        <v>0</v>
      </c>
      <c r="AS221" s="85">
        <v>0</v>
      </c>
      <c r="AT221" s="85">
        <v>0</v>
      </c>
      <c r="AU221" s="85">
        <v>0</v>
      </c>
      <c r="AV221" s="85">
        <v>0</v>
      </c>
      <c r="AW221" s="85">
        <v>0</v>
      </c>
      <c r="AX221" s="85">
        <v>0</v>
      </c>
      <c r="AY221" s="85">
        <v>458.65800000000002</v>
      </c>
      <c r="AZ221" s="85">
        <v>0</v>
      </c>
      <c r="BA221" s="85">
        <v>0</v>
      </c>
      <c r="BB221" s="89">
        <v>0</v>
      </c>
      <c r="BC221" s="89">
        <v>458.65800000000002</v>
      </c>
      <c r="BD221" s="37">
        <v>0</v>
      </c>
      <c r="BE221" s="37">
        <v>0</v>
      </c>
      <c r="BF221" s="279">
        <v>10500</v>
      </c>
      <c r="BG221" s="37">
        <v>68016</v>
      </c>
      <c r="BH221" s="37">
        <v>20322</v>
      </c>
      <c r="BI221" s="37">
        <v>16031</v>
      </c>
      <c r="BJ221" s="283">
        <v>114869</v>
      </c>
      <c r="BK221" s="161"/>
      <c r="BL221" s="294"/>
      <c r="BM221"/>
      <c r="BN221"/>
      <c r="BO221"/>
      <c r="BP221"/>
      <c r="BQ221"/>
      <c r="BR221"/>
      <c r="BS221"/>
      <c r="BT221"/>
      <c r="BU221"/>
      <c r="BV221"/>
      <c r="BW221"/>
      <c r="BX221"/>
      <c r="BY221"/>
      <c r="BZ221"/>
      <c r="CA221"/>
      <c r="CB221"/>
      <c r="CC221"/>
      <c r="CD221"/>
      <c r="CE221"/>
      <c r="CF221"/>
      <c r="CG221"/>
      <c r="CH221"/>
      <c r="CI221"/>
      <c r="CJ221"/>
    </row>
    <row r="222" spans="1:88" s="32" customFormat="1" ht="15" customHeight="1" x14ac:dyDescent="0.35">
      <c r="A222" s="473"/>
      <c r="B222" s="313">
        <v>93025</v>
      </c>
      <c r="C222" s="8" t="s">
        <v>961</v>
      </c>
      <c r="D222" s="18">
        <v>2</v>
      </c>
      <c r="E222" s="251"/>
      <c r="F222" s="82"/>
      <c r="G222" s="79"/>
      <c r="H222" s="90"/>
      <c r="I222" s="85"/>
      <c r="J222" s="85"/>
      <c r="K222" s="85"/>
      <c r="L222" s="85"/>
      <c r="M222" s="85"/>
      <c r="N222" s="85"/>
      <c r="O222" s="85"/>
      <c r="P222" s="85"/>
      <c r="Q222" s="85"/>
      <c r="R222" s="85"/>
      <c r="S222" s="89"/>
      <c r="T222" s="89" t="s">
        <v>1124</v>
      </c>
      <c r="U222" s="85"/>
      <c r="V222" s="85"/>
      <c r="W222" s="85"/>
      <c r="X222" s="89" t="s">
        <v>1124</v>
      </c>
      <c r="Y222" s="79"/>
      <c r="Z222" s="79"/>
      <c r="AA222" s="94"/>
      <c r="AB222" s="79" t="s">
        <v>1124</v>
      </c>
      <c r="AC222" s="85"/>
      <c r="AD222" s="85"/>
      <c r="AE222" s="85"/>
      <c r="AF222" s="85"/>
      <c r="AG222" s="85" t="s">
        <v>1124</v>
      </c>
      <c r="AH222" s="85"/>
      <c r="AI222" s="85"/>
      <c r="AJ222" s="85"/>
      <c r="AK222" s="85"/>
      <c r="AL222" s="85"/>
      <c r="AM222" s="85"/>
      <c r="AN222" s="85"/>
      <c r="AO222" s="85"/>
      <c r="AP222" s="85"/>
      <c r="AQ222" s="85"/>
      <c r="AR222" s="85" t="s">
        <v>1124</v>
      </c>
      <c r="AS222" s="85"/>
      <c r="AT222" s="85"/>
      <c r="AU222" s="85"/>
      <c r="AV222" s="85"/>
      <c r="AW222" s="85"/>
      <c r="AX222" s="85"/>
      <c r="AY222" s="85"/>
      <c r="AZ222" s="85"/>
      <c r="BA222" s="85"/>
      <c r="BB222" s="89"/>
      <c r="BC222" s="89" t="s">
        <v>1124</v>
      </c>
      <c r="BD222" s="37"/>
      <c r="BE222" s="37"/>
      <c r="BF222" s="279"/>
      <c r="BG222" s="37"/>
      <c r="BH222" s="37"/>
      <c r="BI222" s="37"/>
      <c r="BJ222" s="283"/>
      <c r="BK222" s="161"/>
      <c r="BL222" s="294"/>
      <c r="BM222"/>
      <c r="BN222"/>
      <c r="BO222"/>
      <c r="BP222"/>
      <c r="BQ222"/>
      <c r="BR222"/>
      <c r="BS222"/>
      <c r="BT222"/>
      <c r="BU222"/>
      <c r="BV222"/>
      <c r="BW222"/>
      <c r="BX222"/>
      <c r="BY222"/>
      <c r="BZ222"/>
      <c r="CA222"/>
      <c r="CB222"/>
      <c r="CC222"/>
      <c r="CD222"/>
      <c r="CE222"/>
      <c r="CF222"/>
      <c r="CG222"/>
      <c r="CH222"/>
      <c r="CI222"/>
      <c r="CJ222"/>
    </row>
    <row r="223" spans="1:88" s="32" customFormat="1" ht="15" customHeight="1" x14ac:dyDescent="0.35">
      <c r="A223" s="473"/>
      <c r="B223" s="313">
        <v>68015</v>
      </c>
      <c r="C223" s="8" t="s">
        <v>675</v>
      </c>
      <c r="D223" s="18">
        <v>16</v>
      </c>
      <c r="E223" s="251"/>
      <c r="F223" s="82"/>
      <c r="G223" s="79"/>
      <c r="H223" s="90"/>
      <c r="I223" s="85"/>
      <c r="J223" s="85"/>
      <c r="K223" s="85"/>
      <c r="L223" s="85"/>
      <c r="M223" s="85"/>
      <c r="N223" s="85"/>
      <c r="O223" s="85"/>
      <c r="P223" s="85"/>
      <c r="Q223" s="85"/>
      <c r="R223" s="85"/>
      <c r="S223" s="89"/>
      <c r="T223" s="89" t="s">
        <v>1124</v>
      </c>
      <c r="U223" s="85"/>
      <c r="V223" s="85"/>
      <c r="W223" s="85"/>
      <c r="X223" s="89" t="s">
        <v>1124</v>
      </c>
      <c r="Y223" s="79"/>
      <c r="Z223" s="79"/>
      <c r="AA223" s="94"/>
      <c r="AB223" s="79" t="s">
        <v>1124</v>
      </c>
      <c r="AC223" s="85"/>
      <c r="AD223" s="85"/>
      <c r="AE223" s="85"/>
      <c r="AF223" s="85"/>
      <c r="AG223" s="85" t="s">
        <v>1124</v>
      </c>
      <c r="AH223" s="85"/>
      <c r="AI223" s="85"/>
      <c r="AJ223" s="85"/>
      <c r="AK223" s="85"/>
      <c r="AL223" s="85"/>
      <c r="AM223" s="85"/>
      <c r="AN223" s="85"/>
      <c r="AO223" s="85"/>
      <c r="AP223" s="85"/>
      <c r="AQ223" s="85"/>
      <c r="AR223" s="85" t="s">
        <v>1124</v>
      </c>
      <c r="AS223" s="85"/>
      <c r="AT223" s="85"/>
      <c r="AU223" s="85"/>
      <c r="AV223" s="85"/>
      <c r="AW223" s="85"/>
      <c r="AX223" s="85"/>
      <c r="AY223" s="85"/>
      <c r="AZ223" s="85"/>
      <c r="BA223" s="85"/>
      <c r="BB223" s="89"/>
      <c r="BC223" s="89" t="s">
        <v>1124</v>
      </c>
      <c r="BD223" s="37"/>
      <c r="BE223" s="37"/>
      <c r="BF223" s="279"/>
      <c r="BG223" s="37"/>
      <c r="BH223" s="37"/>
      <c r="BI223" s="37"/>
      <c r="BJ223" s="283"/>
      <c r="BK223" s="161"/>
      <c r="BL223" s="294"/>
      <c r="BM223"/>
      <c r="BN223"/>
      <c r="BO223"/>
      <c r="BP223"/>
      <c r="BQ223"/>
      <c r="BR223"/>
      <c r="BS223"/>
      <c r="BT223"/>
      <c r="BU223"/>
      <c r="BV223"/>
      <c r="BW223"/>
      <c r="BX223"/>
      <c r="BY223"/>
      <c r="BZ223"/>
      <c r="CA223"/>
      <c r="CB223"/>
      <c r="CC223"/>
      <c r="CD223"/>
      <c r="CE223"/>
      <c r="CF223"/>
      <c r="CG223"/>
      <c r="CH223"/>
      <c r="CI223"/>
      <c r="CJ223"/>
    </row>
    <row r="224" spans="1:88" s="32" customFormat="1" ht="15" customHeight="1" x14ac:dyDescent="0.35">
      <c r="A224" s="473"/>
      <c r="B224" s="313">
        <v>68010</v>
      </c>
      <c r="C224" s="8" t="s">
        <v>674</v>
      </c>
      <c r="D224" s="18">
        <v>16</v>
      </c>
      <c r="E224" s="251">
        <v>453</v>
      </c>
      <c r="F224" s="82">
        <v>1.9694656488549618</v>
      </c>
      <c r="G224" s="79">
        <v>892.16793893129773</v>
      </c>
      <c r="H224" s="90">
        <v>9.298</v>
      </c>
      <c r="I224" s="85">
        <v>9.24</v>
      </c>
      <c r="J224" s="85">
        <v>7.0609999999999999</v>
      </c>
      <c r="K224" s="85">
        <v>6.7359999999999998</v>
      </c>
      <c r="L224" s="85">
        <v>7.4290000000000003</v>
      </c>
      <c r="M224" s="85">
        <v>8.9990000000000006</v>
      </c>
      <c r="N224" s="85">
        <v>10.496</v>
      </c>
      <c r="O224" s="85">
        <v>10.132</v>
      </c>
      <c r="P224" s="85">
        <v>7.2880000000000003</v>
      </c>
      <c r="Q224" s="85">
        <v>8.9459999999999997</v>
      </c>
      <c r="R224" s="85">
        <v>10.801</v>
      </c>
      <c r="S224" s="89">
        <v>6.9169999999999998</v>
      </c>
      <c r="T224" s="89">
        <v>103.343</v>
      </c>
      <c r="U224" s="85">
        <v>0</v>
      </c>
      <c r="V224" s="85">
        <v>103.343</v>
      </c>
      <c r="W224" s="85">
        <v>0</v>
      </c>
      <c r="X224" s="89">
        <v>103.343</v>
      </c>
      <c r="Y224" s="79">
        <v>0</v>
      </c>
      <c r="Z224" s="79">
        <v>1</v>
      </c>
      <c r="AA224" s="94">
        <v>0</v>
      </c>
      <c r="AB224" s="79">
        <v>1</v>
      </c>
      <c r="AC224" s="85">
        <v>78.839651574803142</v>
      </c>
      <c r="AD224" s="85">
        <v>7.7434934251968599</v>
      </c>
      <c r="AE224" s="85">
        <v>16.759855000000005</v>
      </c>
      <c r="AF224" s="85">
        <v>0</v>
      </c>
      <c r="AG224" s="85">
        <v>103.343</v>
      </c>
      <c r="AH224" s="85">
        <v>0</v>
      </c>
      <c r="AI224" s="85">
        <v>0</v>
      </c>
      <c r="AJ224" s="85">
        <v>0</v>
      </c>
      <c r="AK224" s="85">
        <v>0</v>
      </c>
      <c r="AL224" s="85">
        <v>0</v>
      </c>
      <c r="AM224" s="85">
        <v>0</v>
      </c>
      <c r="AN224" s="85">
        <v>0</v>
      </c>
      <c r="AO224" s="85">
        <v>0</v>
      </c>
      <c r="AP224" s="85">
        <v>0</v>
      </c>
      <c r="AQ224" s="85">
        <v>0</v>
      </c>
      <c r="AR224" s="85">
        <v>0</v>
      </c>
      <c r="AS224" s="85">
        <v>0</v>
      </c>
      <c r="AT224" s="85">
        <v>0</v>
      </c>
      <c r="AU224" s="85">
        <v>0</v>
      </c>
      <c r="AV224" s="85">
        <v>0</v>
      </c>
      <c r="AW224" s="85">
        <v>0</v>
      </c>
      <c r="AX224" s="85">
        <v>0</v>
      </c>
      <c r="AY224" s="85">
        <v>103.343</v>
      </c>
      <c r="AZ224" s="85">
        <v>0</v>
      </c>
      <c r="BA224" s="85">
        <v>0</v>
      </c>
      <c r="BB224" s="89">
        <v>0</v>
      </c>
      <c r="BC224" s="89">
        <v>103.343</v>
      </c>
      <c r="BD224" s="37">
        <v>0</v>
      </c>
      <c r="BE224" s="37">
        <v>0</v>
      </c>
      <c r="BF224" s="279">
        <v>37561</v>
      </c>
      <c r="BG224" s="37">
        <v>35158</v>
      </c>
      <c r="BH224" s="37">
        <v>8497</v>
      </c>
      <c r="BI224" s="37">
        <v>0</v>
      </c>
      <c r="BJ224" s="283">
        <v>81216</v>
      </c>
      <c r="BK224" s="161"/>
      <c r="BL224" s="294"/>
      <c r="BM224"/>
      <c r="BN224"/>
      <c r="BO224"/>
      <c r="BP224"/>
      <c r="BQ224"/>
      <c r="BR224"/>
      <c r="BS224"/>
      <c r="BT224"/>
      <c r="BU224"/>
      <c r="BV224"/>
      <c r="BW224"/>
      <c r="BX224"/>
      <c r="BY224"/>
      <c r="BZ224"/>
      <c r="CA224"/>
      <c r="CB224"/>
      <c r="CC224"/>
      <c r="CD224"/>
      <c r="CE224"/>
      <c r="CF224"/>
      <c r="CG224"/>
      <c r="CH224"/>
      <c r="CI224"/>
      <c r="CJ224"/>
    </row>
    <row r="225" spans="1:88" s="32" customFormat="1" ht="15" customHeight="1" x14ac:dyDescent="0.35">
      <c r="A225" s="473"/>
      <c r="B225" s="313">
        <v>56042</v>
      </c>
      <c r="C225" s="8" t="s">
        <v>573</v>
      </c>
      <c r="D225" s="18">
        <v>16</v>
      </c>
      <c r="E225" s="251"/>
      <c r="F225" s="82"/>
      <c r="G225" s="79"/>
      <c r="H225" s="90"/>
      <c r="I225" s="85"/>
      <c r="J225" s="85"/>
      <c r="K225" s="85"/>
      <c r="L225" s="85"/>
      <c r="M225" s="85"/>
      <c r="N225" s="85"/>
      <c r="O225" s="85"/>
      <c r="P225" s="85"/>
      <c r="Q225" s="85"/>
      <c r="R225" s="85"/>
      <c r="S225" s="89"/>
      <c r="T225" s="89" t="s">
        <v>1124</v>
      </c>
      <c r="U225" s="85"/>
      <c r="V225" s="85"/>
      <c r="W225" s="85"/>
      <c r="X225" s="89" t="s">
        <v>1124</v>
      </c>
      <c r="Y225" s="79"/>
      <c r="Z225" s="79"/>
      <c r="AA225" s="94"/>
      <c r="AB225" s="79" t="s">
        <v>1124</v>
      </c>
      <c r="AC225" s="85"/>
      <c r="AD225" s="85"/>
      <c r="AE225" s="85"/>
      <c r="AF225" s="85"/>
      <c r="AG225" s="85" t="s">
        <v>1124</v>
      </c>
      <c r="AH225" s="85"/>
      <c r="AI225" s="85"/>
      <c r="AJ225" s="85"/>
      <c r="AK225" s="85"/>
      <c r="AL225" s="85"/>
      <c r="AM225" s="85"/>
      <c r="AN225" s="85"/>
      <c r="AO225" s="85"/>
      <c r="AP225" s="85"/>
      <c r="AQ225" s="85"/>
      <c r="AR225" s="85" t="s">
        <v>1124</v>
      </c>
      <c r="AS225" s="85"/>
      <c r="AT225" s="85"/>
      <c r="AU225" s="85"/>
      <c r="AV225" s="85"/>
      <c r="AW225" s="85"/>
      <c r="AX225" s="85"/>
      <c r="AY225" s="85"/>
      <c r="AZ225" s="85"/>
      <c r="BA225" s="85"/>
      <c r="BB225" s="89"/>
      <c r="BC225" s="89" t="s">
        <v>1124</v>
      </c>
      <c r="BD225" s="37"/>
      <c r="BE225" s="37"/>
      <c r="BF225" s="279"/>
      <c r="BG225" s="37"/>
      <c r="BH225" s="37"/>
      <c r="BI225" s="37"/>
      <c r="BJ225" s="283"/>
      <c r="BK225" s="161"/>
      <c r="BL225" s="294"/>
      <c r="BM225"/>
      <c r="BN225"/>
      <c r="BO225"/>
      <c r="BP225"/>
      <c r="BQ225"/>
      <c r="BR225"/>
      <c r="BS225"/>
      <c r="BT225"/>
      <c r="BU225"/>
      <c r="BV225"/>
      <c r="BW225"/>
      <c r="BX225"/>
      <c r="BY225"/>
      <c r="BZ225"/>
      <c r="CA225"/>
      <c r="CB225"/>
      <c r="CC225"/>
      <c r="CD225"/>
      <c r="CE225"/>
      <c r="CF225"/>
      <c r="CG225"/>
      <c r="CH225"/>
      <c r="CI225"/>
      <c r="CJ225"/>
    </row>
    <row r="226" spans="1:88" s="32" customFormat="1" ht="15" customHeight="1" x14ac:dyDescent="0.35">
      <c r="A226" s="473"/>
      <c r="B226" s="313">
        <v>35035</v>
      </c>
      <c r="C226" s="8" t="s">
        <v>308</v>
      </c>
      <c r="D226" s="18">
        <v>4</v>
      </c>
      <c r="E226" s="251"/>
      <c r="F226" s="82"/>
      <c r="G226" s="79"/>
      <c r="H226" s="90"/>
      <c r="I226" s="85"/>
      <c r="J226" s="85"/>
      <c r="K226" s="85"/>
      <c r="L226" s="85"/>
      <c r="M226" s="85"/>
      <c r="N226" s="85"/>
      <c r="O226" s="85"/>
      <c r="P226" s="85"/>
      <c r="Q226" s="85"/>
      <c r="R226" s="85"/>
      <c r="S226" s="89"/>
      <c r="T226" s="89" t="s">
        <v>1124</v>
      </c>
      <c r="U226" s="85"/>
      <c r="V226" s="85"/>
      <c r="W226" s="85"/>
      <c r="X226" s="89" t="s">
        <v>1124</v>
      </c>
      <c r="Y226" s="79"/>
      <c r="Z226" s="79"/>
      <c r="AA226" s="94"/>
      <c r="AB226" s="79" t="s">
        <v>1124</v>
      </c>
      <c r="AC226" s="85"/>
      <c r="AD226" s="85"/>
      <c r="AE226" s="85"/>
      <c r="AF226" s="85"/>
      <c r="AG226" s="85" t="s">
        <v>1124</v>
      </c>
      <c r="AH226" s="85"/>
      <c r="AI226" s="85"/>
      <c r="AJ226" s="85"/>
      <c r="AK226" s="85"/>
      <c r="AL226" s="85"/>
      <c r="AM226" s="85"/>
      <c r="AN226" s="85"/>
      <c r="AO226" s="85"/>
      <c r="AP226" s="85"/>
      <c r="AQ226" s="85"/>
      <c r="AR226" s="85" t="s">
        <v>1124</v>
      </c>
      <c r="AS226" s="85"/>
      <c r="AT226" s="85"/>
      <c r="AU226" s="85"/>
      <c r="AV226" s="85"/>
      <c r="AW226" s="85"/>
      <c r="AX226" s="85"/>
      <c r="AY226" s="85"/>
      <c r="AZ226" s="85"/>
      <c r="BA226" s="85"/>
      <c r="BB226" s="89"/>
      <c r="BC226" s="89" t="s">
        <v>1124</v>
      </c>
      <c r="BD226" s="37"/>
      <c r="BE226" s="37"/>
      <c r="BF226" s="279"/>
      <c r="BG226" s="37"/>
      <c r="BH226" s="37"/>
      <c r="BI226" s="37"/>
      <c r="BJ226" s="283"/>
      <c r="BK226" s="161"/>
      <c r="BL226" s="294"/>
      <c r="BM226"/>
      <c r="BN226"/>
      <c r="BO226"/>
      <c r="BP226"/>
      <c r="BQ226"/>
      <c r="BR226"/>
      <c r="BS226"/>
      <c r="BT226"/>
      <c r="BU226"/>
      <c r="BV226"/>
      <c r="BW226"/>
      <c r="BX226"/>
      <c r="BY226"/>
      <c r="BZ226"/>
      <c r="CA226"/>
      <c r="CB226"/>
      <c r="CC226"/>
      <c r="CD226"/>
      <c r="CE226"/>
      <c r="CF226"/>
      <c r="CG226"/>
      <c r="CH226"/>
      <c r="CI226"/>
      <c r="CJ226"/>
    </row>
    <row r="227" spans="1:88" s="32" customFormat="1" ht="15" customHeight="1" x14ac:dyDescent="0.35">
      <c r="A227" s="473"/>
      <c r="B227" s="313">
        <v>69045</v>
      </c>
      <c r="C227" s="8" t="s">
        <v>690</v>
      </c>
      <c r="D227" s="18">
        <v>16</v>
      </c>
      <c r="E227" s="251"/>
      <c r="F227" s="82"/>
      <c r="G227" s="79"/>
      <c r="H227" s="90"/>
      <c r="I227" s="85"/>
      <c r="J227" s="85"/>
      <c r="K227" s="85"/>
      <c r="L227" s="85"/>
      <c r="M227" s="85"/>
      <c r="N227" s="85"/>
      <c r="O227" s="85"/>
      <c r="P227" s="85"/>
      <c r="Q227" s="85"/>
      <c r="R227" s="85"/>
      <c r="S227" s="89"/>
      <c r="T227" s="89" t="s">
        <v>1124</v>
      </c>
      <c r="U227" s="85"/>
      <c r="V227" s="85"/>
      <c r="W227" s="85"/>
      <c r="X227" s="89" t="s">
        <v>1124</v>
      </c>
      <c r="Y227" s="79"/>
      <c r="Z227" s="79"/>
      <c r="AA227" s="94"/>
      <c r="AB227" s="79" t="s">
        <v>1124</v>
      </c>
      <c r="AC227" s="85"/>
      <c r="AD227" s="85"/>
      <c r="AE227" s="85"/>
      <c r="AF227" s="85"/>
      <c r="AG227" s="85" t="s">
        <v>1124</v>
      </c>
      <c r="AH227" s="85"/>
      <c r="AI227" s="85"/>
      <c r="AJ227" s="85"/>
      <c r="AK227" s="85"/>
      <c r="AL227" s="85"/>
      <c r="AM227" s="85"/>
      <c r="AN227" s="85"/>
      <c r="AO227" s="85"/>
      <c r="AP227" s="85"/>
      <c r="AQ227" s="85"/>
      <c r="AR227" s="85" t="s">
        <v>1124</v>
      </c>
      <c r="AS227" s="85"/>
      <c r="AT227" s="85"/>
      <c r="AU227" s="85"/>
      <c r="AV227" s="85"/>
      <c r="AW227" s="85"/>
      <c r="AX227" s="85"/>
      <c r="AY227" s="85"/>
      <c r="AZ227" s="85"/>
      <c r="BA227" s="85"/>
      <c r="BB227" s="89"/>
      <c r="BC227" s="89" t="s">
        <v>1124</v>
      </c>
      <c r="BD227" s="37"/>
      <c r="BE227" s="37"/>
      <c r="BF227" s="279"/>
      <c r="BG227" s="37"/>
      <c r="BH227" s="37"/>
      <c r="BI227" s="37"/>
      <c r="BJ227" s="283"/>
      <c r="BK227" s="161"/>
      <c r="BL227" s="294"/>
      <c r="BM227"/>
      <c r="BN227"/>
      <c r="BO227"/>
      <c r="BP227"/>
      <c r="BQ227"/>
      <c r="BR227"/>
      <c r="BS227"/>
      <c r="BT227"/>
      <c r="BU227"/>
      <c r="BV227"/>
      <c r="BW227"/>
      <c r="BX227"/>
      <c r="BY227"/>
      <c r="BZ227"/>
      <c r="CA227"/>
      <c r="CB227"/>
      <c r="CC227"/>
      <c r="CD227"/>
      <c r="CE227"/>
      <c r="CF227"/>
      <c r="CG227"/>
      <c r="CH227"/>
      <c r="CI227"/>
      <c r="CJ227"/>
    </row>
    <row r="228" spans="1:88" s="32" customFormat="1" ht="15" customHeight="1" x14ac:dyDescent="0.35">
      <c r="A228" s="473"/>
      <c r="B228" s="313">
        <v>19070</v>
      </c>
      <c r="C228" s="8" t="s">
        <v>130</v>
      </c>
      <c r="D228" s="18">
        <v>12</v>
      </c>
      <c r="E228" s="251">
        <v>182</v>
      </c>
      <c r="F228" s="82">
        <v>2.6516516516516515</v>
      </c>
      <c r="G228" s="79">
        <v>482.60060060060056</v>
      </c>
      <c r="H228" s="90">
        <v>2.5660099999999999</v>
      </c>
      <c r="I228" s="85">
        <v>2.31799</v>
      </c>
      <c r="J228" s="85">
        <v>2.4997699999999998</v>
      </c>
      <c r="K228" s="85">
        <v>2.5310000000000001</v>
      </c>
      <c r="L228" s="85">
        <v>2.8987799999999999</v>
      </c>
      <c r="M228" s="85">
        <v>3.05362</v>
      </c>
      <c r="N228" s="85">
        <v>3.5419999999999998</v>
      </c>
      <c r="O228" s="85">
        <v>3.2692899999999998</v>
      </c>
      <c r="P228" s="85">
        <v>2.7202999999999999</v>
      </c>
      <c r="Q228" s="85">
        <v>2.5768</v>
      </c>
      <c r="R228" s="85">
        <v>2.5169899999999998</v>
      </c>
      <c r="S228" s="89">
        <v>2.54</v>
      </c>
      <c r="T228" s="89">
        <v>33.032550000000001</v>
      </c>
      <c r="U228" s="85">
        <v>0</v>
      </c>
      <c r="V228" s="85">
        <v>33.032550000000001</v>
      </c>
      <c r="W228" s="85">
        <v>0</v>
      </c>
      <c r="X228" s="89">
        <v>33.032550000000001</v>
      </c>
      <c r="Y228" s="79">
        <v>0</v>
      </c>
      <c r="Z228" s="79">
        <v>4</v>
      </c>
      <c r="AA228" s="94">
        <v>0</v>
      </c>
      <c r="AB228" s="79">
        <v>4</v>
      </c>
      <c r="AC228" s="85">
        <v>27.442799999999998</v>
      </c>
      <c r="AD228" s="85">
        <v>2.4557500000000019</v>
      </c>
      <c r="AE228" s="85">
        <v>3.1340000000000003</v>
      </c>
      <c r="AF228" s="85">
        <v>0</v>
      </c>
      <c r="AG228" s="85">
        <v>33.032550000000001</v>
      </c>
      <c r="AH228" s="85">
        <v>0</v>
      </c>
      <c r="AI228" s="85">
        <v>0</v>
      </c>
      <c r="AJ228" s="85">
        <v>0</v>
      </c>
      <c r="AK228" s="85">
        <v>0</v>
      </c>
      <c r="AL228" s="85">
        <v>0</v>
      </c>
      <c r="AM228" s="85">
        <v>0</v>
      </c>
      <c r="AN228" s="85">
        <v>0</v>
      </c>
      <c r="AO228" s="85">
        <v>0</v>
      </c>
      <c r="AP228" s="85">
        <v>0</v>
      </c>
      <c r="AQ228" s="85">
        <v>0</v>
      </c>
      <c r="AR228" s="85">
        <v>0</v>
      </c>
      <c r="AS228" s="85">
        <v>0</v>
      </c>
      <c r="AT228" s="85">
        <v>0</v>
      </c>
      <c r="AU228" s="85">
        <v>0</v>
      </c>
      <c r="AV228" s="85">
        <v>0</v>
      </c>
      <c r="AW228" s="85">
        <v>0</v>
      </c>
      <c r="AX228" s="85">
        <v>33.032550000000001</v>
      </c>
      <c r="AY228" s="85">
        <v>0</v>
      </c>
      <c r="AZ228" s="85">
        <v>0</v>
      </c>
      <c r="BA228" s="85">
        <v>0</v>
      </c>
      <c r="BB228" s="89">
        <v>0</v>
      </c>
      <c r="BC228" s="89">
        <v>33.032550000000001</v>
      </c>
      <c r="BD228" s="37">
        <v>0</v>
      </c>
      <c r="BE228" s="37">
        <v>0</v>
      </c>
      <c r="BF228" s="279">
        <v>29351</v>
      </c>
      <c r="BG228" s="37">
        <v>19279</v>
      </c>
      <c r="BH228" s="37">
        <v>12821</v>
      </c>
      <c r="BI228" s="37">
        <v>1018</v>
      </c>
      <c r="BJ228" s="283">
        <v>62469</v>
      </c>
      <c r="BK228" s="161"/>
      <c r="BL228" s="294"/>
      <c r="BM228"/>
      <c r="BN228"/>
      <c r="BO228"/>
      <c r="BP228"/>
      <c r="BQ228"/>
      <c r="BR228"/>
      <c r="BS228"/>
      <c r="BT228"/>
      <c r="BU228"/>
      <c r="BV228"/>
      <c r="BW228"/>
      <c r="BX228"/>
      <c r="BY228"/>
      <c r="BZ228"/>
      <c r="CA228"/>
      <c r="CB228"/>
      <c r="CC228"/>
      <c r="CD228"/>
      <c r="CE228"/>
      <c r="CF228"/>
      <c r="CG228"/>
      <c r="CH228"/>
      <c r="CI228"/>
      <c r="CJ228"/>
    </row>
    <row r="229" spans="1:88" s="32" customFormat="1" ht="15" customHeight="1" x14ac:dyDescent="0.35">
      <c r="A229" s="473"/>
      <c r="B229" s="313">
        <v>5025</v>
      </c>
      <c r="C229" s="8" t="s">
        <v>1047</v>
      </c>
      <c r="D229" s="18">
        <v>11</v>
      </c>
      <c r="E229" s="251"/>
      <c r="F229" s="82"/>
      <c r="G229" s="79"/>
      <c r="H229" s="90"/>
      <c r="I229" s="85"/>
      <c r="J229" s="85"/>
      <c r="K229" s="85"/>
      <c r="L229" s="85"/>
      <c r="M229" s="85"/>
      <c r="N229" s="85"/>
      <c r="O229" s="85"/>
      <c r="P229" s="85"/>
      <c r="Q229" s="85"/>
      <c r="R229" s="85"/>
      <c r="S229" s="89"/>
      <c r="T229" s="89" t="s">
        <v>1124</v>
      </c>
      <c r="U229" s="85"/>
      <c r="V229" s="85"/>
      <c r="W229" s="85"/>
      <c r="X229" s="89" t="s">
        <v>1124</v>
      </c>
      <c r="Y229" s="79"/>
      <c r="Z229" s="79"/>
      <c r="AA229" s="94"/>
      <c r="AB229" s="79" t="s">
        <v>1124</v>
      </c>
      <c r="AC229" s="85"/>
      <c r="AD229" s="85"/>
      <c r="AE229" s="85"/>
      <c r="AF229" s="85"/>
      <c r="AG229" s="85" t="s">
        <v>1124</v>
      </c>
      <c r="AH229" s="85"/>
      <c r="AI229" s="85"/>
      <c r="AJ229" s="85"/>
      <c r="AK229" s="85"/>
      <c r="AL229" s="85"/>
      <c r="AM229" s="85"/>
      <c r="AN229" s="85"/>
      <c r="AO229" s="85"/>
      <c r="AP229" s="85"/>
      <c r="AQ229" s="85"/>
      <c r="AR229" s="85" t="s">
        <v>1124</v>
      </c>
      <c r="AS229" s="85"/>
      <c r="AT229" s="85"/>
      <c r="AU229" s="85"/>
      <c r="AV229" s="85"/>
      <c r="AW229" s="85"/>
      <c r="AX229" s="85"/>
      <c r="AY229" s="85"/>
      <c r="AZ229" s="85"/>
      <c r="BA229" s="85"/>
      <c r="BB229" s="89"/>
      <c r="BC229" s="89" t="s">
        <v>1124</v>
      </c>
      <c r="BD229" s="37"/>
      <c r="BE229" s="37"/>
      <c r="BF229" s="279"/>
      <c r="BG229" s="37"/>
      <c r="BH229" s="37"/>
      <c r="BI229" s="37"/>
      <c r="BJ229" s="283"/>
      <c r="BK229" s="161"/>
      <c r="BL229" s="294"/>
      <c r="BM229"/>
      <c r="BN229"/>
      <c r="BO229"/>
      <c r="BP229"/>
      <c r="BQ229"/>
      <c r="BR229"/>
      <c r="BS229"/>
      <c r="BT229"/>
      <c r="BU229"/>
      <c r="BV229"/>
      <c r="BW229"/>
      <c r="BX229"/>
      <c r="BY229"/>
      <c r="BZ229"/>
      <c r="CA229"/>
      <c r="CB229"/>
      <c r="CC229"/>
      <c r="CD229"/>
      <c r="CE229"/>
      <c r="CF229"/>
      <c r="CG229"/>
      <c r="CH229"/>
      <c r="CI229"/>
      <c r="CJ229"/>
    </row>
    <row r="230" spans="1:88" s="32" customFormat="1" ht="15" customHeight="1" x14ac:dyDescent="0.35">
      <c r="A230" s="473"/>
      <c r="B230" s="313">
        <v>5020</v>
      </c>
      <c r="C230" s="8" t="s">
        <v>1046</v>
      </c>
      <c r="D230" s="18">
        <v>11</v>
      </c>
      <c r="E230" s="251"/>
      <c r="F230" s="82"/>
      <c r="G230" s="79"/>
      <c r="H230" s="90"/>
      <c r="I230" s="85"/>
      <c r="J230" s="85"/>
      <c r="K230" s="85"/>
      <c r="L230" s="85"/>
      <c r="M230" s="85"/>
      <c r="N230" s="85"/>
      <c r="O230" s="85"/>
      <c r="P230" s="85"/>
      <c r="Q230" s="85"/>
      <c r="R230" s="85"/>
      <c r="S230" s="89"/>
      <c r="T230" s="89" t="s">
        <v>1124</v>
      </c>
      <c r="U230" s="85"/>
      <c r="V230" s="85"/>
      <c r="W230" s="85"/>
      <c r="X230" s="89" t="s">
        <v>1124</v>
      </c>
      <c r="Y230" s="79"/>
      <c r="Z230" s="79"/>
      <c r="AA230" s="94"/>
      <c r="AB230" s="79" t="s">
        <v>1124</v>
      </c>
      <c r="AC230" s="85"/>
      <c r="AD230" s="85"/>
      <c r="AE230" s="85"/>
      <c r="AF230" s="85"/>
      <c r="AG230" s="85" t="s">
        <v>1124</v>
      </c>
      <c r="AH230" s="85"/>
      <c r="AI230" s="85"/>
      <c r="AJ230" s="85"/>
      <c r="AK230" s="85"/>
      <c r="AL230" s="85"/>
      <c r="AM230" s="85"/>
      <c r="AN230" s="85"/>
      <c r="AO230" s="85"/>
      <c r="AP230" s="85"/>
      <c r="AQ230" s="85"/>
      <c r="AR230" s="85" t="s">
        <v>1124</v>
      </c>
      <c r="AS230" s="85"/>
      <c r="AT230" s="85"/>
      <c r="AU230" s="85"/>
      <c r="AV230" s="85"/>
      <c r="AW230" s="85"/>
      <c r="AX230" s="85"/>
      <c r="AY230" s="85"/>
      <c r="AZ230" s="85"/>
      <c r="BA230" s="85"/>
      <c r="BB230" s="89"/>
      <c r="BC230" s="89" t="s">
        <v>1124</v>
      </c>
      <c r="BD230" s="37"/>
      <c r="BE230" s="37"/>
      <c r="BF230" s="279"/>
      <c r="BG230" s="37"/>
      <c r="BH230" s="37"/>
      <c r="BI230" s="37"/>
      <c r="BJ230" s="283"/>
      <c r="BK230" s="161"/>
      <c r="BL230" s="294"/>
      <c r="BM230"/>
      <c r="BN230"/>
      <c r="BO230"/>
      <c r="BP230"/>
      <c r="BQ230"/>
      <c r="BR230"/>
      <c r="BS230"/>
      <c r="BT230"/>
      <c r="BU230"/>
      <c r="BV230"/>
      <c r="BW230"/>
      <c r="BX230"/>
      <c r="BY230"/>
      <c r="BZ230"/>
      <c r="CA230"/>
      <c r="CB230"/>
      <c r="CC230"/>
      <c r="CD230"/>
      <c r="CE230"/>
      <c r="CF230"/>
      <c r="CG230"/>
      <c r="CH230"/>
      <c r="CI230"/>
      <c r="CJ230"/>
    </row>
    <row r="231" spans="1:88" s="32" customFormat="1" ht="15" customHeight="1" x14ac:dyDescent="0.35">
      <c r="A231" s="473"/>
      <c r="B231" s="313">
        <v>69025</v>
      </c>
      <c r="C231" s="8" t="s">
        <v>687</v>
      </c>
      <c r="D231" s="18">
        <v>16</v>
      </c>
      <c r="E231" s="251"/>
      <c r="F231" s="82"/>
      <c r="G231" s="79"/>
      <c r="H231" s="90"/>
      <c r="I231" s="85"/>
      <c r="J231" s="85"/>
      <c r="K231" s="85"/>
      <c r="L231" s="85"/>
      <c r="M231" s="85"/>
      <c r="N231" s="85"/>
      <c r="O231" s="85"/>
      <c r="P231" s="85"/>
      <c r="Q231" s="85"/>
      <c r="R231" s="85"/>
      <c r="S231" s="89"/>
      <c r="T231" s="89" t="s">
        <v>1124</v>
      </c>
      <c r="U231" s="85"/>
      <c r="V231" s="85"/>
      <c r="W231" s="85"/>
      <c r="X231" s="89" t="s">
        <v>1124</v>
      </c>
      <c r="Y231" s="79"/>
      <c r="Z231" s="79"/>
      <c r="AA231" s="94"/>
      <c r="AB231" s="79" t="s">
        <v>1124</v>
      </c>
      <c r="AC231" s="85"/>
      <c r="AD231" s="85"/>
      <c r="AE231" s="85"/>
      <c r="AF231" s="85"/>
      <c r="AG231" s="85" t="s">
        <v>1124</v>
      </c>
      <c r="AH231" s="85"/>
      <c r="AI231" s="85"/>
      <c r="AJ231" s="85"/>
      <c r="AK231" s="85"/>
      <c r="AL231" s="85"/>
      <c r="AM231" s="85"/>
      <c r="AN231" s="85"/>
      <c r="AO231" s="85"/>
      <c r="AP231" s="85"/>
      <c r="AQ231" s="85"/>
      <c r="AR231" s="85" t="s">
        <v>1124</v>
      </c>
      <c r="AS231" s="85"/>
      <c r="AT231" s="85"/>
      <c r="AU231" s="85"/>
      <c r="AV231" s="85"/>
      <c r="AW231" s="85"/>
      <c r="AX231" s="85"/>
      <c r="AY231" s="85"/>
      <c r="AZ231" s="85"/>
      <c r="BA231" s="85"/>
      <c r="BB231" s="89"/>
      <c r="BC231" s="89" t="s">
        <v>1124</v>
      </c>
      <c r="BD231" s="37"/>
      <c r="BE231" s="37"/>
      <c r="BF231" s="279"/>
      <c r="BG231" s="37"/>
      <c r="BH231" s="37"/>
      <c r="BI231" s="37"/>
      <c r="BJ231" s="283"/>
      <c r="BK231" s="161"/>
      <c r="BL231" s="294"/>
      <c r="BM231"/>
      <c r="BN231"/>
      <c r="BO231"/>
      <c r="BP231"/>
      <c r="BQ231"/>
      <c r="BR231"/>
      <c r="BS231"/>
      <c r="BT231"/>
      <c r="BU231"/>
      <c r="BV231"/>
      <c r="BW231"/>
      <c r="BX231"/>
      <c r="BY231"/>
      <c r="BZ231"/>
      <c r="CA231"/>
      <c r="CB231"/>
      <c r="CC231"/>
      <c r="CD231"/>
      <c r="CE231"/>
      <c r="CF231"/>
      <c r="CG231"/>
      <c r="CH231"/>
      <c r="CI231"/>
      <c r="CJ231"/>
    </row>
    <row r="232" spans="1:88" s="32" customFormat="1" ht="15" customHeight="1" x14ac:dyDescent="0.35">
      <c r="A232" s="473"/>
      <c r="B232" s="313">
        <v>78065</v>
      </c>
      <c r="C232" s="8" t="s">
        <v>776</v>
      </c>
      <c r="D232" s="18">
        <v>15</v>
      </c>
      <c r="E232" s="251">
        <v>252</v>
      </c>
      <c r="F232" s="82">
        <v>1.8193018480492813</v>
      </c>
      <c r="G232" s="79">
        <v>458.4640657084189</v>
      </c>
      <c r="H232" s="90">
        <v>5.8520000000000003</v>
      </c>
      <c r="I232" s="85">
        <v>6.0359999999999996</v>
      </c>
      <c r="J232" s="85">
        <v>6.601</v>
      </c>
      <c r="K232" s="85">
        <v>7.4429999999999996</v>
      </c>
      <c r="L232" s="85">
        <v>6.399</v>
      </c>
      <c r="M232" s="85">
        <v>8.0510000000000002</v>
      </c>
      <c r="N232" s="85">
        <v>7.9290000000000003</v>
      </c>
      <c r="O232" s="85">
        <v>8.4139999999999997</v>
      </c>
      <c r="P232" s="85">
        <v>7.4690000000000003</v>
      </c>
      <c r="Q232" s="85">
        <v>7.5350000000000001</v>
      </c>
      <c r="R232" s="85">
        <v>7.11</v>
      </c>
      <c r="S232" s="89">
        <v>7.2850000000000001</v>
      </c>
      <c r="T232" s="89">
        <v>86.123999999999995</v>
      </c>
      <c r="U232" s="85">
        <v>0</v>
      </c>
      <c r="V232" s="85">
        <v>86.123999999999995</v>
      </c>
      <c r="W232" s="85">
        <v>0</v>
      </c>
      <c r="X232" s="89">
        <v>86.123999999999995</v>
      </c>
      <c r="Y232" s="79">
        <v>0</v>
      </c>
      <c r="Z232" s="79">
        <v>1</v>
      </c>
      <c r="AA232" s="94">
        <v>0</v>
      </c>
      <c r="AB232" s="79">
        <v>1</v>
      </c>
      <c r="AC232" s="85">
        <v>23.71</v>
      </c>
      <c r="AD232" s="85">
        <v>18.13</v>
      </c>
      <c r="AE232" s="85">
        <v>44.28</v>
      </c>
      <c r="AF232" s="85">
        <v>0</v>
      </c>
      <c r="AG232" s="85">
        <v>86.12</v>
      </c>
      <c r="AH232" s="85">
        <v>0</v>
      </c>
      <c r="AI232" s="85">
        <v>0</v>
      </c>
      <c r="AJ232" s="85">
        <v>0</v>
      </c>
      <c r="AK232" s="85">
        <v>0</v>
      </c>
      <c r="AL232" s="85">
        <v>0</v>
      </c>
      <c r="AM232" s="85">
        <v>0</v>
      </c>
      <c r="AN232" s="85">
        <v>0</v>
      </c>
      <c r="AO232" s="85">
        <v>0</v>
      </c>
      <c r="AP232" s="85">
        <v>0</v>
      </c>
      <c r="AQ232" s="85">
        <v>0</v>
      </c>
      <c r="AR232" s="85">
        <v>0</v>
      </c>
      <c r="AS232" s="85">
        <v>0</v>
      </c>
      <c r="AT232" s="85">
        <v>0</v>
      </c>
      <c r="AU232" s="85">
        <v>0</v>
      </c>
      <c r="AV232" s="85">
        <v>0</v>
      </c>
      <c r="AW232" s="85">
        <v>0</v>
      </c>
      <c r="AX232" s="85">
        <v>0</v>
      </c>
      <c r="AY232" s="85">
        <v>86.123999999999995</v>
      </c>
      <c r="AZ232" s="85">
        <v>0</v>
      </c>
      <c r="BA232" s="85">
        <v>0</v>
      </c>
      <c r="BB232" s="89">
        <v>0</v>
      </c>
      <c r="BC232" s="89">
        <v>86.123999999999995</v>
      </c>
      <c r="BD232" s="37">
        <v>0</v>
      </c>
      <c r="BE232" s="37">
        <v>0</v>
      </c>
      <c r="BF232" s="279">
        <v>9682</v>
      </c>
      <c r="BG232" s="37">
        <v>14289</v>
      </c>
      <c r="BH232" s="37">
        <v>5213</v>
      </c>
      <c r="BI232" s="37">
        <v>0</v>
      </c>
      <c r="BJ232" s="283">
        <v>29184</v>
      </c>
      <c r="BK232" s="161" t="s">
        <v>1856</v>
      </c>
      <c r="BL232" s="294"/>
      <c r="BM232"/>
      <c r="BN232"/>
      <c r="BO232"/>
      <c r="BP232"/>
      <c r="BQ232"/>
      <c r="BR232"/>
      <c r="BS232"/>
      <c r="BT232"/>
      <c r="BU232"/>
      <c r="BV232"/>
      <c r="BW232"/>
      <c r="BX232"/>
      <c r="BY232"/>
      <c r="BZ232"/>
      <c r="CA232"/>
      <c r="CB232"/>
      <c r="CC232"/>
      <c r="CD232"/>
      <c r="CE232"/>
      <c r="CF232"/>
      <c r="CG232"/>
      <c r="CH232"/>
      <c r="CI232"/>
      <c r="CJ232"/>
    </row>
    <row r="233" spans="1:88" s="32" customFormat="1" ht="15" customHeight="1" x14ac:dyDescent="0.35">
      <c r="A233" s="473"/>
      <c r="B233" s="313">
        <v>71100</v>
      </c>
      <c r="C233" s="8" t="s">
        <v>720</v>
      </c>
      <c r="D233" s="18">
        <v>16</v>
      </c>
      <c r="E233" s="251">
        <v>2331</v>
      </c>
      <c r="F233" s="82">
        <v>2.2138390996248436</v>
      </c>
      <c r="G233" s="79">
        <v>5160.45894122551</v>
      </c>
      <c r="H233" s="90">
        <v>69.358000000000004</v>
      </c>
      <c r="I233" s="85">
        <v>70.492000000000004</v>
      </c>
      <c r="J233" s="85">
        <v>70.448999999999998</v>
      </c>
      <c r="K233" s="85">
        <v>77.784000000000006</v>
      </c>
      <c r="L233" s="85">
        <v>90.216999999999999</v>
      </c>
      <c r="M233" s="85">
        <v>96.742000000000004</v>
      </c>
      <c r="N233" s="85">
        <v>100.584</v>
      </c>
      <c r="O233" s="85">
        <v>91.616</v>
      </c>
      <c r="P233" s="85">
        <v>93.563999999999993</v>
      </c>
      <c r="Q233" s="85">
        <v>78.358999999999995</v>
      </c>
      <c r="R233" s="85">
        <v>69.605999999999995</v>
      </c>
      <c r="S233" s="89">
        <v>68.944999999999993</v>
      </c>
      <c r="T233" s="89">
        <v>977.71599999999989</v>
      </c>
      <c r="U233" s="85">
        <v>0</v>
      </c>
      <c r="V233" s="85">
        <v>977.71599999999989</v>
      </c>
      <c r="W233" s="85">
        <v>0</v>
      </c>
      <c r="X233" s="89">
        <v>977.71599999999989</v>
      </c>
      <c r="Y233" s="79">
        <v>0</v>
      </c>
      <c r="Z233" s="79">
        <v>2</v>
      </c>
      <c r="AA233" s="94">
        <v>0</v>
      </c>
      <c r="AB233" s="79">
        <v>2</v>
      </c>
      <c r="AC233" s="85">
        <v>476.79499999999996</v>
      </c>
      <c r="AD233" s="85">
        <v>128.55823999999984</v>
      </c>
      <c r="AE233" s="85">
        <v>372.36276000000009</v>
      </c>
      <c r="AF233" s="85">
        <v>0</v>
      </c>
      <c r="AG233" s="85">
        <v>977.71599999999989</v>
      </c>
      <c r="AH233" s="85">
        <v>0</v>
      </c>
      <c r="AI233" s="85">
        <v>0</v>
      </c>
      <c r="AJ233" s="85">
        <v>0</v>
      </c>
      <c r="AK233" s="85">
        <v>0</v>
      </c>
      <c r="AL233" s="85">
        <v>0</v>
      </c>
      <c r="AM233" s="85">
        <v>0</v>
      </c>
      <c r="AN233" s="85">
        <v>0</v>
      </c>
      <c r="AO233" s="85">
        <v>0</v>
      </c>
      <c r="AP233" s="85">
        <v>0</v>
      </c>
      <c r="AQ233" s="85">
        <v>0</v>
      </c>
      <c r="AR233" s="85">
        <v>0</v>
      </c>
      <c r="AS233" s="85">
        <v>0</v>
      </c>
      <c r="AT233" s="85">
        <v>0</v>
      </c>
      <c r="AU233" s="85">
        <v>0</v>
      </c>
      <c r="AV233" s="85">
        <v>0</v>
      </c>
      <c r="AW233" s="85">
        <v>0</v>
      </c>
      <c r="AX233" s="85">
        <v>977.71599999999989</v>
      </c>
      <c r="AY233" s="85">
        <v>0</v>
      </c>
      <c r="AZ233" s="85">
        <v>0</v>
      </c>
      <c r="BA233" s="85">
        <v>0</v>
      </c>
      <c r="BB233" s="89">
        <v>0</v>
      </c>
      <c r="BC233" s="89">
        <v>977.71599999999989</v>
      </c>
      <c r="BD233" s="37">
        <v>518364</v>
      </c>
      <c r="BE233" s="37">
        <v>437105</v>
      </c>
      <c r="BF233" s="279">
        <v>13069.5</v>
      </c>
      <c r="BG233" s="37">
        <v>97954.75</v>
      </c>
      <c r="BH233" s="37">
        <v>67137.399999999994</v>
      </c>
      <c r="BI233" s="37">
        <v>0</v>
      </c>
      <c r="BJ233" s="283">
        <v>178161.65</v>
      </c>
      <c r="BK233" s="161"/>
      <c r="BL233" s="294"/>
      <c r="BM233"/>
      <c r="BN233"/>
      <c r="BO233"/>
      <c r="BP233"/>
      <c r="BQ233"/>
      <c r="BR233"/>
      <c r="BS233"/>
      <c r="BT233"/>
      <c r="BU233"/>
      <c r="BV233"/>
      <c r="BW233"/>
      <c r="BX233"/>
      <c r="BY233"/>
      <c r="BZ233"/>
      <c r="CA233"/>
      <c r="CB233"/>
      <c r="CC233"/>
      <c r="CD233"/>
      <c r="CE233"/>
      <c r="CF233"/>
      <c r="CG233"/>
      <c r="CH233"/>
      <c r="CI233"/>
      <c r="CJ233"/>
    </row>
    <row r="234" spans="1:88" s="32" customFormat="1" ht="15" customHeight="1" x14ac:dyDescent="0.35">
      <c r="A234" s="473"/>
      <c r="B234" s="313">
        <v>69055</v>
      </c>
      <c r="C234" s="8" t="s">
        <v>692</v>
      </c>
      <c r="D234" s="18">
        <v>16</v>
      </c>
      <c r="E234" s="251"/>
      <c r="F234" s="82"/>
      <c r="G234" s="79"/>
      <c r="H234" s="90"/>
      <c r="I234" s="85"/>
      <c r="J234" s="85"/>
      <c r="K234" s="85"/>
      <c r="L234" s="85"/>
      <c r="M234" s="85"/>
      <c r="N234" s="85"/>
      <c r="O234" s="85"/>
      <c r="P234" s="85"/>
      <c r="Q234" s="85"/>
      <c r="R234" s="85"/>
      <c r="S234" s="89"/>
      <c r="T234" s="89" t="s">
        <v>1124</v>
      </c>
      <c r="U234" s="85"/>
      <c r="V234" s="85"/>
      <c r="W234" s="85"/>
      <c r="X234" s="89" t="s">
        <v>1124</v>
      </c>
      <c r="Y234" s="79"/>
      <c r="Z234" s="79"/>
      <c r="AA234" s="94"/>
      <c r="AB234" s="79" t="s">
        <v>1124</v>
      </c>
      <c r="AC234" s="85"/>
      <c r="AD234" s="85"/>
      <c r="AE234" s="85"/>
      <c r="AF234" s="85"/>
      <c r="AG234" s="85" t="s">
        <v>1124</v>
      </c>
      <c r="AH234" s="85"/>
      <c r="AI234" s="85"/>
      <c r="AJ234" s="85"/>
      <c r="AK234" s="85"/>
      <c r="AL234" s="85"/>
      <c r="AM234" s="85"/>
      <c r="AN234" s="85"/>
      <c r="AO234" s="85"/>
      <c r="AP234" s="85"/>
      <c r="AQ234" s="85"/>
      <c r="AR234" s="85" t="s">
        <v>1124</v>
      </c>
      <c r="AS234" s="85"/>
      <c r="AT234" s="85"/>
      <c r="AU234" s="85"/>
      <c r="AV234" s="85"/>
      <c r="AW234" s="85"/>
      <c r="AX234" s="85"/>
      <c r="AY234" s="85"/>
      <c r="AZ234" s="85"/>
      <c r="BA234" s="85"/>
      <c r="BB234" s="89"/>
      <c r="BC234" s="89" t="s">
        <v>1124</v>
      </c>
      <c r="BD234" s="37"/>
      <c r="BE234" s="37"/>
      <c r="BF234" s="279"/>
      <c r="BG234" s="37"/>
      <c r="BH234" s="37"/>
      <c r="BI234" s="37"/>
      <c r="BJ234" s="283"/>
      <c r="BK234" s="161"/>
      <c r="BL234" s="294"/>
      <c r="BM234"/>
      <c r="BN234"/>
      <c r="BO234"/>
      <c r="BP234"/>
      <c r="BQ234"/>
      <c r="BR234"/>
      <c r="BS234"/>
      <c r="BT234"/>
      <c r="BU234"/>
      <c r="BV234"/>
      <c r="BW234"/>
      <c r="BX234"/>
      <c r="BY234"/>
      <c r="BZ234"/>
      <c r="CA234"/>
      <c r="CB234"/>
      <c r="CC234"/>
      <c r="CD234"/>
      <c r="CE234"/>
      <c r="CF234"/>
      <c r="CG234"/>
      <c r="CH234"/>
      <c r="CI234"/>
      <c r="CJ234"/>
    </row>
    <row r="235" spans="1:88" s="32" customFormat="1" ht="15" customHeight="1" x14ac:dyDescent="0.35">
      <c r="A235" s="473"/>
      <c r="B235" s="313">
        <v>32058</v>
      </c>
      <c r="C235" s="8" t="s">
        <v>262</v>
      </c>
      <c r="D235" s="18">
        <v>17</v>
      </c>
      <c r="E235" s="251"/>
      <c r="F235" s="82"/>
      <c r="G235" s="79"/>
      <c r="H235" s="90"/>
      <c r="I235" s="85"/>
      <c r="J235" s="85"/>
      <c r="K235" s="85"/>
      <c r="L235" s="85"/>
      <c r="M235" s="85"/>
      <c r="N235" s="85"/>
      <c r="O235" s="85"/>
      <c r="P235" s="85"/>
      <c r="Q235" s="85"/>
      <c r="R235" s="85"/>
      <c r="S235" s="89"/>
      <c r="T235" s="89" t="s">
        <v>1124</v>
      </c>
      <c r="U235" s="85"/>
      <c r="V235" s="85"/>
      <c r="W235" s="85"/>
      <c r="X235" s="89" t="s">
        <v>1124</v>
      </c>
      <c r="Y235" s="79"/>
      <c r="Z235" s="79"/>
      <c r="AA235" s="94"/>
      <c r="AB235" s="79" t="s">
        <v>1124</v>
      </c>
      <c r="AC235" s="85"/>
      <c r="AD235" s="85"/>
      <c r="AE235" s="85"/>
      <c r="AF235" s="85"/>
      <c r="AG235" s="85" t="s">
        <v>1124</v>
      </c>
      <c r="AH235" s="85"/>
      <c r="AI235" s="85"/>
      <c r="AJ235" s="85"/>
      <c r="AK235" s="85"/>
      <c r="AL235" s="85"/>
      <c r="AM235" s="85"/>
      <c r="AN235" s="85"/>
      <c r="AO235" s="85"/>
      <c r="AP235" s="85"/>
      <c r="AQ235" s="85"/>
      <c r="AR235" s="85" t="s">
        <v>1124</v>
      </c>
      <c r="AS235" s="85"/>
      <c r="AT235" s="85"/>
      <c r="AU235" s="85"/>
      <c r="AV235" s="85"/>
      <c r="AW235" s="85"/>
      <c r="AX235" s="85"/>
      <c r="AY235" s="85"/>
      <c r="AZ235" s="85"/>
      <c r="BA235" s="85"/>
      <c r="BB235" s="89"/>
      <c r="BC235" s="89" t="s">
        <v>1124</v>
      </c>
      <c r="BD235" s="37"/>
      <c r="BE235" s="37"/>
      <c r="BF235" s="279"/>
      <c r="BG235" s="37"/>
      <c r="BH235" s="37"/>
      <c r="BI235" s="37"/>
      <c r="BJ235" s="283"/>
      <c r="BK235" s="161"/>
      <c r="BL235" s="294"/>
      <c r="BM235"/>
      <c r="BN235"/>
      <c r="BO235"/>
      <c r="BP235"/>
      <c r="BQ235"/>
      <c r="BR235"/>
      <c r="BS235"/>
      <c r="BT235"/>
      <c r="BU235"/>
      <c r="BV235"/>
      <c r="BW235"/>
      <c r="BX235"/>
      <c r="BY235"/>
      <c r="BZ235"/>
      <c r="CA235"/>
      <c r="CB235"/>
      <c r="CC235"/>
      <c r="CD235"/>
      <c r="CE235"/>
      <c r="CF235"/>
      <c r="CG235"/>
      <c r="CH235"/>
      <c r="CI235"/>
      <c r="CJ235"/>
    </row>
    <row r="236" spans="1:88" s="32" customFormat="1" ht="15" customHeight="1" x14ac:dyDescent="0.35">
      <c r="A236" s="473"/>
      <c r="B236" s="313">
        <v>31040</v>
      </c>
      <c r="C236" s="8" t="s">
        <v>243</v>
      </c>
      <c r="D236" s="18">
        <v>12</v>
      </c>
      <c r="E236" s="251"/>
      <c r="F236" s="82"/>
      <c r="G236" s="79"/>
      <c r="H236" s="90"/>
      <c r="I236" s="85"/>
      <c r="J236" s="85"/>
      <c r="K236" s="85"/>
      <c r="L236" s="85"/>
      <c r="M236" s="85"/>
      <c r="N236" s="85"/>
      <c r="O236" s="85"/>
      <c r="P236" s="85"/>
      <c r="Q236" s="85"/>
      <c r="R236" s="85"/>
      <c r="S236" s="89"/>
      <c r="T236" s="89" t="s">
        <v>1124</v>
      </c>
      <c r="U236" s="85"/>
      <c r="V236" s="85"/>
      <c r="W236" s="85"/>
      <c r="X236" s="89" t="s">
        <v>1124</v>
      </c>
      <c r="Y236" s="79"/>
      <c r="Z236" s="79"/>
      <c r="AA236" s="94"/>
      <c r="AB236" s="79" t="s">
        <v>1124</v>
      </c>
      <c r="AC236" s="85"/>
      <c r="AD236" s="85"/>
      <c r="AE236" s="85"/>
      <c r="AF236" s="85"/>
      <c r="AG236" s="85" t="s">
        <v>1124</v>
      </c>
      <c r="AH236" s="85"/>
      <c r="AI236" s="85"/>
      <c r="AJ236" s="85"/>
      <c r="AK236" s="85"/>
      <c r="AL236" s="85"/>
      <c r="AM236" s="85"/>
      <c r="AN236" s="85"/>
      <c r="AO236" s="85"/>
      <c r="AP236" s="85"/>
      <c r="AQ236" s="85"/>
      <c r="AR236" s="85" t="s">
        <v>1124</v>
      </c>
      <c r="AS236" s="85"/>
      <c r="AT236" s="85"/>
      <c r="AU236" s="85"/>
      <c r="AV236" s="85"/>
      <c r="AW236" s="85"/>
      <c r="AX236" s="85"/>
      <c r="AY236" s="85"/>
      <c r="AZ236" s="85"/>
      <c r="BA236" s="85"/>
      <c r="BB236" s="89"/>
      <c r="BC236" s="89" t="s">
        <v>1124</v>
      </c>
      <c r="BD236" s="37"/>
      <c r="BE236" s="37"/>
      <c r="BF236" s="279"/>
      <c r="BG236" s="37"/>
      <c r="BH236" s="37"/>
      <c r="BI236" s="37"/>
      <c r="BJ236" s="283"/>
      <c r="BK236" s="161"/>
      <c r="BL236" s="294"/>
      <c r="BM236"/>
      <c r="BN236"/>
      <c r="BO236"/>
      <c r="BP236"/>
      <c r="BQ236"/>
      <c r="BR236"/>
      <c r="BS236"/>
      <c r="BT236"/>
      <c r="BU236"/>
      <c r="BV236"/>
      <c r="BW236"/>
      <c r="BX236"/>
      <c r="BY236"/>
      <c r="BZ236"/>
      <c r="CA236"/>
      <c r="CB236"/>
      <c r="CC236"/>
      <c r="CD236"/>
      <c r="CE236"/>
      <c r="CF236"/>
      <c r="CG236"/>
      <c r="CH236"/>
      <c r="CI236"/>
      <c r="CJ236"/>
    </row>
    <row r="237" spans="1:88" s="32" customFormat="1" ht="15" customHeight="1" x14ac:dyDescent="0.35">
      <c r="A237" s="473"/>
      <c r="B237" s="313">
        <v>78042</v>
      </c>
      <c r="C237" s="8" t="s">
        <v>771</v>
      </c>
      <c r="D237" s="18">
        <v>15</v>
      </c>
      <c r="E237" s="251"/>
      <c r="F237" s="82"/>
      <c r="G237" s="79"/>
      <c r="H237" s="90"/>
      <c r="I237" s="85"/>
      <c r="J237" s="85"/>
      <c r="K237" s="85"/>
      <c r="L237" s="85"/>
      <c r="M237" s="85"/>
      <c r="N237" s="85"/>
      <c r="O237" s="85"/>
      <c r="P237" s="85"/>
      <c r="Q237" s="85"/>
      <c r="R237" s="85"/>
      <c r="S237" s="89"/>
      <c r="T237" s="89" t="s">
        <v>1124</v>
      </c>
      <c r="U237" s="85"/>
      <c r="V237" s="85"/>
      <c r="W237" s="85"/>
      <c r="X237" s="89" t="s">
        <v>1124</v>
      </c>
      <c r="Y237" s="79"/>
      <c r="Z237" s="79"/>
      <c r="AA237" s="94"/>
      <c r="AB237" s="79" t="s">
        <v>1124</v>
      </c>
      <c r="AC237" s="85"/>
      <c r="AD237" s="85"/>
      <c r="AE237" s="85"/>
      <c r="AF237" s="85"/>
      <c r="AG237" s="85" t="s">
        <v>1124</v>
      </c>
      <c r="AH237" s="85"/>
      <c r="AI237" s="85"/>
      <c r="AJ237" s="85"/>
      <c r="AK237" s="85"/>
      <c r="AL237" s="85"/>
      <c r="AM237" s="85"/>
      <c r="AN237" s="85"/>
      <c r="AO237" s="85"/>
      <c r="AP237" s="85"/>
      <c r="AQ237" s="85"/>
      <c r="AR237" s="85" t="s">
        <v>1124</v>
      </c>
      <c r="AS237" s="85"/>
      <c r="AT237" s="85"/>
      <c r="AU237" s="85"/>
      <c r="AV237" s="85"/>
      <c r="AW237" s="85"/>
      <c r="AX237" s="85"/>
      <c r="AY237" s="85"/>
      <c r="AZ237" s="85"/>
      <c r="BA237" s="85"/>
      <c r="BB237" s="89"/>
      <c r="BC237" s="89" t="s">
        <v>1124</v>
      </c>
      <c r="BD237" s="37"/>
      <c r="BE237" s="37"/>
      <c r="BF237" s="279"/>
      <c r="BG237" s="37"/>
      <c r="BH237" s="37"/>
      <c r="BI237" s="37"/>
      <c r="BJ237" s="283"/>
      <c r="BK237" s="161"/>
      <c r="BL237" s="294"/>
      <c r="BM237"/>
      <c r="BN237"/>
      <c r="BO237"/>
      <c r="BP237"/>
      <c r="BQ237"/>
      <c r="BR237"/>
      <c r="BS237"/>
      <c r="BT237"/>
      <c r="BU237"/>
      <c r="BV237"/>
      <c r="BW237"/>
      <c r="BX237"/>
      <c r="BY237"/>
      <c r="BZ237"/>
      <c r="CA237"/>
      <c r="CB237"/>
      <c r="CC237"/>
      <c r="CD237"/>
      <c r="CE237"/>
      <c r="CF237"/>
      <c r="CG237"/>
      <c r="CH237"/>
      <c r="CI237"/>
      <c r="CJ237"/>
    </row>
    <row r="238" spans="1:88" s="32" customFormat="1" ht="15" customHeight="1" x14ac:dyDescent="0.35">
      <c r="A238" s="473"/>
      <c r="B238" s="313">
        <v>61025</v>
      </c>
      <c r="C238" s="8" t="s">
        <v>612</v>
      </c>
      <c r="D238" s="18">
        <v>14</v>
      </c>
      <c r="E238" s="251">
        <v>17159</v>
      </c>
      <c r="F238" s="82">
        <v>2.0529000000000002</v>
      </c>
      <c r="G238" s="79">
        <v>35225.7111</v>
      </c>
      <c r="H238" s="90">
        <v>444.93599999999998</v>
      </c>
      <c r="I238" s="85">
        <v>419.99400000000003</v>
      </c>
      <c r="J238" s="85">
        <v>457.71800000000002</v>
      </c>
      <c r="K238" s="85">
        <v>444.27800000000002</v>
      </c>
      <c r="L238" s="85">
        <v>536.70299999999997</v>
      </c>
      <c r="M238" s="85">
        <v>633.13199999999995</v>
      </c>
      <c r="N238" s="85">
        <v>783.37199999999996</v>
      </c>
      <c r="O238" s="85">
        <v>788.476</v>
      </c>
      <c r="P238" s="85">
        <v>596.56500000000005</v>
      </c>
      <c r="Q238" s="85">
        <v>524.85</v>
      </c>
      <c r="R238" s="85">
        <v>456.12</v>
      </c>
      <c r="S238" s="89">
        <v>442.63900000000001</v>
      </c>
      <c r="T238" s="89">
        <v>6528.7829999999994</v>
      </c>
      <c r="U238" s="85">
        <v>6528.7830000000004</v>
      </c>
      <c r="V238" s="85">
        <v>0</v>
      </c>
      <c r="W238" s="85">
        <v>0</v>
      </c>
      <c r="X238" s="89">
        <v>6528.7830000000004</v>
      </c>
      <c r="Y238" s="79">
        <v>1</v>
      </c>
      <c r="Z238" s="79">
        <v>0</v>
      </c>
      <c r="AA238" s="94">
        <v>0</v>
      </c>
      <c r="AB238" s="79">
        <v>1</v>
      </c>
      <c r="AC238" s="85">
        <v>3895.9169999999999</v>
      </c>
      <c r="AD238" s="85">
        <v>1676.3889999999999</v>
      </c>
      <c r="AE238" s="85">
        <v>682.74199999999996</v>
      </c>
      <c r="AF238" s="85">
        <v>273.73500000000001</v>
      </c>
      <c r="AG238" s="85">
        <v>6528.7829999999994</v>
      </c>
      <c r="AH238" s="85">
        <v>6528.7830000000004</v>
      </c>
      <c r="AI238" s="85">
        <v>0</v>
      </c>
      <c r="AJ238" s="85">
        <v>0</v>
      </c>
      <c r="AK238" s="85">
        <v>0</v>
      </c>
      <c r="AL238" s="85">
        <v>0</v>
      </c>
      <c r="AM238" s="85">
        <v>0</v>
      </c>
      <c r="AN238" s="85">
        <v>0</v>
      </c>
      <c r="AO238" s="85">
        <v>0</v>
      </c>
      <c r="AP238" s="85">
        <v>0</v>
      </c>
      <c r="AQ238" s="85">
        <v>0</v>
      </c>
      <c r="AR238" s="85">
        <v>6528.7830000000004</v>
      </c>
      <c r="AS238" s="85">
        <v>0</v>
      </c>
      <c r="AT238" s="85">
        <v>0</v>
      </c>
      <c r="AU238" s="85">
        <v>0</v>
      </c>
      <c r="AV238" s="85">
        <v>0</v>
      </c>
      <c r="AW238" s="85">
        <v>0</v>
      </c>
      <c r="AX238" s="85">
        <v>0</v>
      </c>
      <c r="AY238" s="85">
        <v>0</v>
      </c>
      <c r="AZ238" s="85">
        <v>0</v>
      </c>
      <c r="BA238" s="85">
        <v>0</v>
      </c>
      <c r="BB238" s="89">
        <v>0</v>
      </c>
      <c r="BC238" s="89">
        <v>0</v>
      </c>
      <c r="BD238" s="37">
        <v>586672</v>
      </c>
      <c r="BE238" s="37">
        <v>-18761</v>
      </c>
      <c r="BF238" s="279">
        <v>482992</v>
      </c>
      <c r="BG238" s="37">
        <v>901391</v>
      </c>
      <c r="BH238" s="37">
        <v>327944</v>
      </c>
      <c r="BI238" s="37">
        <v>124903</v>
      </c>
      <c r="BJ238" s="283">
        <v>1837230</v>
      </c>
      <c r="BK238" s="161" t="s">
        <v>1861</v>
      </c>
      <c r="BL238" s="294"/>
      <c r="BM238"/>
      <c r="BN238"/>
      <c r="BO238"/>
      <c r="BP238"/>
      <c r="BQ238"/>
      <c r="BR238"/>
      <c r="BS238"/>
      <c r="BT238"/>
      <c r="BU238"/>
      <c r="BV238"/>
      <c r="BW238"/>
      <c r="BX238"/>
      <c r="BY238"/>
      <c r="BZ238"/>
      <c r="CA238"/>
      <c r="CB238"/>
      <c r="CC238"/>
      <c r="CD238"/>
      <c r="CE238"/>
      <c r="CF238"/>
      <c r="CG238"/>
      <c r="CH238"/>
      <c r="CI238"/>
      <c r="CJ238"/>
    </row>
    <row r="239" spans="1:88" s="32" customFormat="1" ht="15" customHeight="1" x14ac:dyDescent="0.35">
      <c r="A239" s="473"/>
      <c r="B239" s="313">
        <v>14050</v>
      </c>
      <c r="C239" s="8" t="s">
        <v>68</v>
      </c>
      <c r="D239" s="18">
        <v>1</v>
      </c>
      <c r="E239" s="251"/>
      <c r="F239" s="82"/>
      <c r="G239" s="79"/>
      <c r="H239" s="90"/>
      <c r="I239" s="85"/>
      <c r="J239" s="85"/>
      <c r="K239" s="85"/>
      <c r="L239" s="85"/>
      <c r="M239" s="85"/>
      <c r="N239" s="85"/>
      <c r="O239" s="85"/>
      <c r="P239" s="85"/>
      <c r="Q239" s="85"/>
      <c r="R239" s="85"/>
      <c r="S239" s="89"/>
      <c r="T239" s="89" t="s">
        <v>1124</v>
      </c>
      <c r="U239" s="85"/>
      <c r="V239" s="85"/>
      <c r="W239" s="85"/>
      <c r="X239" s="89" t="s">
        <v>1124</v>
      </c>
      <c r="Y239" s="79"/>
      <c r="Z239" s="79"/>
      <c r="AA239" s="94"/>
      <c r="AB239" s="79" t="s">
        <v>1124</v>
      </c>
      <c r="AC239" s="85"/>
      <c r="AD239" s="85"/>
      <c r="AE239" s="85"/>
      <c r="AF239" s="85"/>
      <c r="AG239" s="85" t="s">
        <v>1124</v>
      </c>
      <c r="AH239" s="85"/>
      <c r="AI239" s="85"/>
      <c r="AJ239" s="85"/>
      <c r="AK239" s="85"/>
      <c r="AL239" s="85"/>
      <c r="AM239" s="85"/>
      <c r="AN239" s="85"/>
      <c r="AO239" s="85"/>
      <c r="AP239" s="85"/>
      <c r="AQ239" s="85"/>
      <c r="AR239" s="85" t="s">
        <v>1124</v>
      </c>
      <c r="AS239" s="85"/>
      <c r="AT239" s="85"/>
      <c r="AU239" s="85"/>
      <c r="AV239" s="85"/>
      <c r="AW239" s="85"/>
      <c r="AX239" s="85"/>
      <c r="AY239" s="85"/>
      <c r="AZ239" s="85"/>
      <c r="BA239" s="85"/>
      <c r="BB239" s="89"/>
      <c r="BC239" s="89" t="s">
        <v>1124</v>
      </c>
      <c r="BD239" s="37"/>
      <c r="BE239" s="37"/>
      <c r="BF239" s="279"/>
      <c r="BG239" s="37"/>
      <c r="BH239" s="37"/>
      <c r="BI239" s="37"/>
      <c r="BJ239" s="283"/>
      <c r="BK239" s="161"/>
      <c r="BL239" s="294"/>
      <c r="BM239"/>
      <c r="BN239"/>
      <c r="BO239"/>
      <c r="BP239"/>
      <c r="BQ239"/>
      <c r="BR239"/>
      <c r="BS239"/>
      <c r="BT239"/>
      <c r="BU239"/>
      <c r="BV239"/>
      <c r="BW239"/>
      <c r="BX239"/>
      <c r="BY239"/>
      <c r="BZ239"/>
      <c r="CA239"/>
      <c r="CB239"/>
      <c r="CC239"/>
      <c r="CD239"/>
      <c r="CE239"/>
      <c r="CF239"/>
      <c r="CG239"/>
      <c r="CH239"/>
      <c r="CI239"/>
      <c r="CJ239"/>
    </row>
    <row r="240" spans="1:88" s="32" customFormat="1" ht="15" customHeight="1" x14ac:dyDescent="0.35">
      <c r="A240" s="473"/>
      <c r="B240" s="313">
        <v>83015</v>
      </c>
      <c r="C240" s="8" t="s">
        <v>837</v>
      </c>
      <c r="D240" s="18">
        <v>7</v>
      </c>
      <c r="E240" s="251"/>
      <c r="F240" s="82"/>
      <c r="G240" s="79"/>
      <c r="H240" s="90"/>
      <c r="I240" s="85"/>
      <c r="J240" s="85"/>
      <c r="K240" s="85"/>
      <c r="L240" s="85"/>
      <c r="M240" s="85"/>
      <c r="N240" s="85"/>
      <c r="O240" s="85"/>
      <c r="P240" s="85"/>
      <c r="Q240" s="85"/>
      <c r="R240" s="85"/>
      <c r="S240" s="89"/>
      <c r="T240" s="89" t="s">
        <v>1124</v>
      </c>
      <c r="U240" s="85"/>
      <c r="V240" s="85"/>
      <c r="W240" s="85"/>
      <c r="X240" s="89" t="s">
        <v>1124</v>
      </c>
      <c r="Y240" s="79"/>
      <c r="Z240" s="79"/>
      <c r="AA240" s="94"/>
      <c r="AB240" s="79" t="s">
        <v>1124</v>
      </c>
      <c r="AC240" s="85"/>
      <c r="AD240" s="85"/>
      <c r="AE240" s="85"/>
      <c r="AF240" s="85"/>
      <c r="AG240" s="85" t="s">
        <v>1124</v>
      </c>
      <c r="AH240" s="85"/>
      <c r="AI240" s="85"/>
      <c r="AJ240" s="85"/>
      <c r="AK240" s="85"/>
      <c r="AL240" s="85"/>
      <c r="AM240" s="85"/>
      <c r="AN240" s="85"/>
      <c r="AO240" s="85"/>
      <c r="AP240" s="85"/>
      <c r="AQ240" s="85"/>
      <c r="AR240" s="85" t="s">
        <v>1124</v>
      </c>
      <c r="AS240" s="85"/>
      <c r="AT240" s="85"/>
      <c r="AU240" s="85"/>
      <c r="AV240" s="85"/>
      <c r="AW240" s="85"/>
      <c r="AX240" s="85"/>
      <c r="AY240" s="85"/>
      <c r="AZ240" s="85"/>
      <c r="BA240" s="85"/>
      <c r="BB240" s="89"/>
      <c r="BC240" s="89" t="s">
        <v>1124</v>
      </c>
      <c r="BD240" s="37"/>
      <c r="BE240" s="37"/>
      <c r="BF240" s="279"/>
      <c r="BG240" s="37"/>
      <c r="BH240" s="37"/>
      <c r="BI240" s="37"/>
      <c r="BJ240" s="283"/>
      <c r="BK240" s="161"/>
      <c r="BL240" s="294"/>
      <c r="BM240"/>
      <c r="BN240"/>
      <c r="BO240"/>
      <c r="BP240"/>
      <c r="BQ240"/>
      <c r="BR240"/>
      <c r="BS240"/>
      <c r="BT240"/>
      <c r="BU240"/>
      <c r="BV240"/>
      <c r="BW240"/>
      <c r="BX240"/>
      <c r="BY240"/>
      <c r="BZ240"/>
      <c r="CA240"/>
      <c r="CB240"/>
      <c r="CC240"/>
      <c r="CD240"/>
      <c r="CE240"/>
      <c r="CF240"/>
      <c r="CG240"/>
      <c r="CH240"/>
      <c r="CI240"/>
      <c r="CJ240"/>
    </row>
    <row r="241" spans="1:88" s="32" customFormat="1" ht="15" customHeight="1" x14ac:dyDescent="0.35">
      <c r="A241" s="473"/>
      <c r="B241" s="313">
        <v>79025</v>
      </c>
      <c r="C241" s="8" t="s">
        <v>790</v>
      </c>
      <c r="D241" s="18">
        <v>15</v>
      </c>
      <c r="E241" s="251"/>
      <c r="F241" s="82"/>
      <c r="G241" s="79"/>
      <c r="H241" s="90"/>
      <c r="I241" s="85"/>
      <c r="J241" s="85"/>
      <c r="K241" s="85"/>
      <c r="L241" s="85"/>
      <c r="M241" s="85"/>
      <c r="N241" s="85"/>
      <c r="O241" s="85"/>
      <c r="P241" s="85"/>
      <c r="Q241" s="85"/>
      <c r="R241" s="85"/>
      <c r="S241" s="89"/>
      <c r="T241" s="89" t="s">
        <v>1124</v>
      </c>
      <c r="U241" s="85"/>
      <c r="V241" s="85"/>
      <c r="W241" s="85"/>
      <c r="X241" s="89" t="s">
        <v>1124</v>
      </c>
      <c r="Y241" s="79"/>
      <c r="Z241" s="79"/>
      <c r="AA241" s="94"/>
      <c r="AB241" s="79" t="s">
        <v>1124</v>
      </c>
      <c r="AC241" s="85"/>
      <c r="AD241" s="85"/>
      <c r="AE241" s="85"/>
      <c r="AF241" s="85"/>
      <c r="AG241" s="85" t="s">
        <v>1124</v>
      </c>
      <c r="AH241" s="85"/>
      <c r="AI241" s="85"/>
      <c r="AJ241" s="85"/>
      <c r="AK241" s="85"/>
      <c r="AL241" s="85"/>
      <c r="AM241" s="85"/>
      <c r="AN241" s="85"/>
      <c r="AO241" s="85"/>
      <c r="AP241" s="85"/>
      <c r="AQ241" s="85"/>
      <c r="AR241" s="85" t="s">
        <v>1124</v>
      </c>
      <c r="AS241" s="85"/>
      <c r="AT241" s="85"/>
      <c r="AU241" s="85"/>
      <c r="AV241" s="85"/>
      <c r="AW241" s="85"/>
      <c r="AX241" s="85"/>
      <c r="AY241" s="85"/>
      <c r="AZ241" s="85"/>
      <c r="BA241" s="85"/>
      <c r="BB241" s="89"/>
      <c r="BC241" s="89" t="s">
        <v>1124</v>
      </c>
      <c r="BD241" s="37"/>
      <c r="BE241" s="37"/>
      <c r="BF241" s="279"/>
      <c r="BG241" s="37"/>
      <c r="BH241" s="37"/>
      <c r="BI241" s="37"/>
      <c r="BJ241" s="283"/>
      <c r="BK241" s="161"/>
      <c r="BL241" s="294"/>
      <c r="BM241"/>
      <c r="BN241"/>
      <c r="BO241"/>
      <c r="BP241"/>
      <c r="BQ241"/>
      <c r="BR241"/>
      <c r="BS241"/>
      <c r="BT241"/>
      <c r="BU241"/>
      <c r="BV241"/>
      <c r="BW241"/>
      <c r="BX241"/>
      <c r="BY241"/>
      <c r="BZ241"/>
      <c r="CA241"/>
      <c r="CB241"/>
      <c r="CC241"/>
      <c r="CD241"/>
      <c r="CE241"/>
      <c r="CF241"/>
      <c r="CG241"/>
      <c r="CH241"/>
      <c r="CI241"/>
      <c r="CJ241"/>
    </row>
    <row r="242" spans="1:88" s="32" customFormat="1" ht="15" customHeight="1" x14ac:dyDescent="0.35">
      <c r="A242" s="473"/>
      <c r="B242" s="313">
        <v>42070</v>
      </c>
      <c r="C242" s="8" t="s">
        <v>389</v>
      </c>
      <c r="D242" s="18">
        <v>5</v>
      </c>
      <c r="E242" s="251"/>
      <c r="F242" s="82"/>
      <c r="G242" s="79"/>
      <c r="H242" s="90"/>
      <c r="I242" s="85"/>
      <c r="J242" s="85"/>
      <c r="K242" s="85"/>
      <c r="L242" s="85"/>
      <c r="M242" s="85"/>
      <c r="N242" s="85"/>
      <c r="O242" s="85"/>
      <c r="P242" s="85"/>
      <c r="Q242" s="85"/>
      <c r="R242" s="85"/>
      <c r="S242" s="89"/>
      <c r="T242" s="89" t="s">
        <v>1124</v>
      </c>
      <c r="U242" s="85"/>
      <c r="V242" s="85"/>
      <c r="W242" s="85"/>
      <c r="X242" s="89" t="s">
        <v>1124</v>
      </c>
      <c r="Y242" s="79"/>
      <c r="Z242" s="79"/>
      <c r="AA242" s="94"/>
      <c r="AB242" s="79" t="s">
        <v>1124</v>
      </c>
      <c r="AC242" s="85"/>
      <c r="AD242" s="85"/>
      <c r="AE242" s="85"/>
      <c r="AF242" s="85"/>
      <c r="AG242" s="85" t="s">
        <v>1124</v>
      </c>
      <c r="AH242" s="85"/>
      <c r="AI242" s="85"/>
      <c r="AJ242" s="85"/>
      <c r="AK242" s="85"/>
      <c r="AL242" s="85"/>
      <c r="AM242" s="85"/>
      <c r="AN242" s="85"/>
      <c r="AO242" s="85"/>
      <c r="AP242" s="85"/>
      <c r="AQ242" s="85"/>
      <c r="AR242" s="85" t="s">
        <v>1124</v>
      </c>
      <c r="AS242" s="85"/>
      <c r="AT242" s="85"/>
      <c r="AU242" s="85"/>
      <c r="AV242" s="85"/>
      <c r="AW242" s="85"/>
      <c r="AX242" s="85"/>
      <c r="AY242" s="85"/>
      <c r="AZ242" s="85"/>
      <c r="BA242" s="85"/>
      <c r="BB242" s="89"/>
      <c r="BC242" s="89" t="s">
        <v>1124</v>
      </c>
      <c r="BD242" s="37"/>
      <c r="BE242" s="37"/>
      <c r="BF242" s="279"/>
      <c r="BG242" s="37"/>
      <c r="BH242" s="37"/>
      <c r="BI242" s="37"/>
      <c r="BJ242" s="283"/>
      <c r="BK242" s="161"/>
      <c r="BL242" s="294"/>
      <c r="BM242"/>
      <c r="BN242"/>
      <c r="BO242"/>
      <c r="BP242"/>
      <c r="BQ242"/>
      <c r="BR242"/>
      <c r="BS242"/>
      <c r="BT242"/>
      <c r="BU242"/>
      <c r="BV242"/>
      <c r="BW242"/>
      <c r="BX242"/>
      <c r="BY242"/>
      <c r="BZ242"/>
      <c r="CA242"/>
      <c r="CB242"/>
      <c r="CC242"/>
      <c r="CD242"/>
      <c r="CE242"/>
      <c r="CF242"/>
      <c r="CG242"/>
      <c r="CH242"/>
      <c r="CI242"/>
      <c r="CJ242"/>
    </row>
    <row r="243" spans="1:88" s="32" customFormat="1" ht="15" customHeight="1" x14ac:dyDescent="0.35">
      <c r="A243" s="473"/>
      <c r="B243" s="313">
        <v>39097</v>
      </c>
      <c r="C243" s="8" t="s">
        <v>350</v>
      </c>
      <c r="D243" s="18">
        <v>17</v>
      </c>
      <c r="E243" s="251">
        <v>606</v>
      </c>
      <c r="F243" s="82">
        <v>2.2629107981220655</v>
      </c>
      <c r="G243" s="79">
        <v>1371.3239436619717</v>
      </c>
      <c r="H243" s="90">
        <v>13.66</v>
      </c>
      <c r="I243" s="85">
        <v>12.05</v>
      </c>
      <c r="J243" s="85">
        <v>13.1</v>
      </c>
      <c r="K243" s="85">
        <v>13.76</v>
      </c>
      <c r="L243" s="85">
        <v>17.7</v>
      </c>
      <c r="M243" s="85">
        <v>14.51</v>
      </c>
      <c r="N243" s="85">
        <v>17</v>
      </c>
      <c r="O243" s="85">
        <v>14.83</v>
      </c>
      <c r="P243" s="85">
        <v>14.67</v>
      </c>
      <c r="Q243" s="85">
        <v>14.1</v>
      </c>
      <c r="R243" s="85">
        <v>13.93</v>
      </c>
      <c r="S243" s="89">
        <v>13.07</v>
      </c>
      <c r="T243" s="89">
        <v>172.38</v>
      </c>
      <c r="U243" s="85">
        <v>0</v>
      </c>
      <c r="V243" s="85">
        <v>172.38</v>
      </c>
      <c r="W243" s="85">
        <v>0</v>
      </c>
      <c r="X243" s="89">
        <v>172.38</v>
      </c>
      <c r="Y243" s="79">
        <v>0</v>
      </c>
      <c r="Z243" s="79">
        <v>1</v>
      </c>
      <c r="AA243" s="94">
        <v>0</v>
      </c>
      <c r="AB243" s="79">
        <v>1</v>
      </c>
      <c r="AC243" s="85">
        <v>86.156000000000006</v>
      </c>
      <c r="AD243" s="85">
        <v>29.901999999999987</v>
      </c>
      <c r="AE243" s="85">
        <v>56.322000000000003</v>
      </c>
      <c r="AF243" s="85">
        <v>0</v>
      </c>
      <c r="AG243" s="85">
        <v>172.38</v>
      </c>
      <c r="AH243" s="85">
        <v>0</v>
      </c>
      <c r="AI243" s="85">
        <v>0</v>
      </c>
      <c r="AJ243" s="85">
        <v>0</v>
      </c>
      <c r="AK243" s="85">
        <v>0</v>
      </c>
      <c r="AL243" s="85">
        <v>0</v>
      </c>
      <c r="AM243" s="85">
        <v>0</v>
      </c>
      <c r="AN243" s="85">
        <v>0</v>
      </c>
      <c r="AO243" s="85">
        <v>0</v>
      </c>
      <c r="AP243" s="85">
        <v>0</v>
      </c>
      <c r="AQ243" s="85">
        <v>0</v>
      </c>
      <c r="AR243" s="85">
        <v>0</v>
      </c>
      <c r="AS243" s="85">
        <v>172.38</v>
      </c>
      <c r="AT243" s="85">
        <v>0</v>
      </c>
      <c r="AU243" s="85">
        <v>0</v>
      </c>
      <c r="AV243" s="85">
        <v>0</v>
      </c>
      <c r="AW243" s="85">
        <v>0</v>
      </c>
      <c r="AX243" s="85">
        <v>0</v>
      </c>
      <c r="AY243" s="85">
        <v>0</v>
      </c>
      <c r="AZ243" s="85">
        <v>0</v>
      </c>
      <c r="BA243" s="85">
        <v>0</v>
      </c>
      <c r="BB243" s="89">
        <v>0</v>
      </c>
      <c r="BC243" s="89">
        <v>172.38</v>
      </c>
      <c r="BD243" s="37">
        <v>0</v>
      </c>
      <c r="BE243" s="37">
        <v>46699</v>
      </c>
      <c r="BF243" s="279">
        <v>26996</v>
      </c>
      <c r="BG243" s="37">
        <v>10446</v>
      </c>
      <c r="BH243" s="37">
        <v>11951</v>
      </c>
      <c r="BI243" s="37">
        <v>9897</v>
      </c>
      <c r="BJ243" s="283">
        <v>59290</v>
      </c>
      <c r="BK243" s="161"/>
      <c r="BL243" s="294"/>
      <c r="BM243"/>
      <c r="BN243"/>
      <c r="BO243"/>
      <c r="BP243"/>
      <c r="BQ243"/>
      <c r="BR243"/>
      <c r="BS243"/>
      <c r="BT243"/>
      <c r="BU243"/>
      <c r="BV243"/>
      <c r="BW243"/>
      <c r="BX243"/>
      <c r="BY243"/>
      <c r="BZ243"/>
      <c r="CA243"/>
      <c r="CB243"/>
      <c r="CC243"/>
      <c r="CD243"/>
      <c r="CE243"/>
      <c r="CF243"/>
      <c r="CG243"/>
      <c r="CH243"/>
      <c r="CI243"/>
      <c r="CJ243"/>
    </row>
    <row r="244" spans="1:88" s="32" customFormat="1" ht="15" customHeight="1" x14ac:dyDescent="0.35">
      <c r="A244" s="473"/>
      <c r="B244" s="313">
        <v>31105</v>
      </c>
      <c r="C244" s="8" t="s">
        <v>251</v>
      </c>
      <c r="D244" s="18">
        <v>12</v>
      </c>
      <c r="E244" s="251"/>
      <c r="F244" s="82"/>
      <c r="G244" s="79"/>
      <c r="H244" s="90"/>
      <c r="I244" s="85"/>
      <c r="J244" s="85"/>
      <c r="K244" s="85"/>
      <c r="L244" s="85"/>
      <c r="M244" s="85"/>
      <c r="N244" s="85"/>
      <c r="O244" s="85"/>
      <c r="P244" s="85"/>
      <c r="Q244" s="85"/>
      <c r="R244" s="85"/>
      <c r="S244" s="89"/>
      <c r="T244" s="89" t="s">
        <v>1124</v>
      </c>
      <c r="U244" s="85"/>
      <c r="V244" s="85"/>
      <c r="W244" s="85"/>
      <c r="X244" s="89" t="s">
        <v>1124</v>
      </c>
      <c r="Y244" s="79"/>
      <c r="Z244" s="79"/>
      <c r="AA244" s="94"/>
      <c r="AB244" s="79" t="s">
        <v>1124</v>
      </c>
      <c r="AC244" s="85"/>
      <c r="AD244" s="85"/>
      <c r="AE244" s="85"/>
      <c r="AF244" s="85"/>
      <c r="AG244" s="85" t="s">
        <v>1124</v>
      </c>
      <c r="AH244" s="85"/>
      <c r="AI244" s="85"/>
      <c r="AJ244" s="85"/>
      <c r="AK244" s="85"/>
      <c r="AL244" s="85"/>
      <c r="AM244" s="85"/>
      <c r="AN244" s="85"/>
      <c r="AO244" s="85"/>
      <c r="AP244" s="85"/>
      <c r="AQ244" s="85"/>
      <c r="AR244" s="85" t="s">
        <v>1124</v>
      </c>
      <c r="AS244" s="85"/>
      <c r="AT244" s="85"/>
      <c r="AU244" s="85"/>
      <c r="AV244" s="85"/>
      <c r="AW244" s="85"/>
      <c r="AX244" s="85"/>
      <c r="AY244" s="85"/>
      <c r="AZ244" s="85"/>
      <c r="BA244" s="85"/>
      <c r="BB244" s="89"/>
      <c r="BC244" s="89" t="s">
        <v>1124</v>
      </c>
      <c r="BD244" s="37"/>
      <c r="BE244" s="37"/>
      <c r="BF244" s="279"/>
      <c r="BG244" s="37"/>
      <c r="BH244" s="37"/>
      <c r="BI244" s="37"/>
      <c r="BJ244" s="283"/>
      <c r="BK244" s="161"/>
      <c r="BL244" s="294"/>
      <c r="BM244"/>
      <c r="BN244"/>
      <c r="BO244"/>
      <c r="BP244"/>
      <c r="BQ244"/>
      <c r="BR244"/>
      <c r="BS244"/>
      <c r="BT244"/>
      <c r="BU244"/>
      <c r="BV244"/>
      <c r="BW244"/>
      <c r="BX244"/>
      <c r="BY244"/>
      <c r="BZ244"/>
      <c r="CA244"/>
      <c r="CB244"/>
      <c r="CC244"/>
      <c r="CD244"/>
      <c r="CE244"/>
      <c r="CF244"/>
      <c r="CG244"/>
      <c r="CH244"/>
      <c r="CI244"/>
      <c r="CJ244"/>
    </row>
    <row r="245" spans="1:88" s="32" customFormat="1" ht="15" customHeight="1" x14ac:dyDescent="0.35">
      <c r="A245" s="473"/>
      <c r="B245" s="313">
        <v>85010</v>
      </c>
      <c r="C245" s="8" t="s">
        <v>871</v>
      </c>
      <c r="D245" s="18">
        <v>8</v>
      </c>
      <c r="E245" s="251"/>
      <c r="F245" s="82"/>
      <c r="G245" s="79"/>
      <c r="H245" s="90"/>
      <c r="I245" s="85"/>
      <c r="J245" s="85"/>
      <c r="K245" s="85"/>
      <c r="L245" s="85"/>
      <c r="M245" s="85"/>
      <c r="N245" s="85"/>
      <c r="O245" s="85"/>
      <c r="P245" s="85"/>
      <c r="Q245" s="85"/>
      <c r="R245" s="85"/>
      <c r="S245" s="89"/>
      <c r="T245" s="89" t="s">
        <v>1124</v>
      </c>
      <c r="U245" s="85"/>
      <c r="V245" s="85"/>
      <c r="W245" s="85"/>
      <c r="X245" s="89" t="s">
        <v>1124</v>
      </c>
      <c r="Y245" s="79"/>
      <c r="Z245" s="79"/>
      <c r="AA245" s="94"/>
      <c r="AB245" s="79" t="s">
        <v>1124</v>
      </c>
      <c r="AC245" s="85"/>
      <c r="AD245" s="85"/>
      <c r="AE245" s="85"/>
      <c r="AF245" s="85"/>
      <c r="AG245" s="85" t="s">
        <v>1124</v>
      </c>
      <c r="AH245" s="85"/>
      <c r="AI245" s="85"/>
      <c r="AJ245" s="85"/>
      <c r="AK245" s="85"/>
      <c r="AL245" s="85"/>
      <c r="AM245" s="85"/>
      <c r="AN245" s="85"/>
      <c r="AO245" s="85"/>
      <c r="AP245" s="85"/>
      <c r="AQ245" s="85"/>
      <c r="AR245" s="85" t="s">
        <v>1124</v>
      </c>
      <c r="AS245" s="85"/>
      <c r="AT245" s="85"/>
      <c r="AU245" s="85"/>
      <c r="AV245" s="85"/>
      <c r="AW245" s="85"/>
      <c r="AX245" s="85"/>
      <c r="AY245" s="85"/>
      <c r="AZ245" s="85"/>
      <c r="BA245" s="85"/>
      <c r="BB245" s="89"/>
      <c r="BC245" s="89" t="s">
        <v>1124</v>
      </c>
      <c r="BD245" s="37"/>
      <c r="BE245" s="37"/>
      <c r="BF245" s="279"/>
      <c r="BG245" s="37"/>
      <c r="BH245" s="37"/>
      <c r="BI245" s="37"/>
      <c r="BJ245" s="283"/>
      <c r="BK245" s="161"/>
      <c r="BL245" s="294"/>
      <c r="BM245"/>
      <c r="BN245"/>
      <c r="BO245"/>
      <c r="BP245"/>
      <c r="BQ245"/>
      <c r="BR245"/>
      <c r="BS245"/>
      <c r="BT245"/>
      <c r="BU245"/>
      <c r="BV245"/>
      <c r="BW245"/>
      <c r="BX245"/>
      <c r="BY245"/>
      <c r="BZ245"/>
      <c r="CA245"/>
      <c r="CB245"/>
      <c r="CC245"/>
      <c r="CD245"/>
      <c r="CE245"/>
      <c r="CF245"/>
      <c r="CG245"/>
      <c r="CH245"/>
      <c r="CI245"/>
      <c r="CJ245"/>
    </row>
    <row r="246" spans="1:88" s="32" customFormat="1" ht="15" customHeight="1" x14ac:dyDescent="0.35">
      <c r="A246" s="473"/>
      <c r="B246" s="313">
        <v>66102</v>
      </c>
      <c r="C246" s="8" t="s">
        <v>657</v>
      </c>
      <c r="D246" s="18">
        <v>6</v>
      </c>
      <c r="E246" s="251"/>
      <c r="F246" s="82"/>
      <c r="G246" s="79"/>
      <c r="H246" s="90"/>
      <c r="I246" s="85"/>
      <c r="J246" s="85"/>
      <c r="K246" s="85"/>
      <c r="L246" s="85"/>
      <c r="M246" s="85"/>
      <c r="N246" s="85"/>
      <c r="O246" s="85"/>
      <c r="P246" s="85"/>
      <c r="Q246" s="85"/>
      <c r="R246" s="85"/>
      <c r="S246" s="89"/>
      <c r="T246" s="89" t="s">
        <v>1124</v>
      </c>
      <c r="U246" s="85"/>
      <c r="V246" s="85"/>
      <c r="W246" s="85"/>
      <c r="X246" s="89" t="s">
        <v>1124</v>
      </c>
      <c r="Y246" s="79"/>
      <c r="Z246" s="79"/>
      <c r="AA246" s="94"/>
      <c r="AB246" s="79" t="s">
        <v>1124</v>
      </c>
      <c r="AC246" s="85"/>
      <c r="AD246" s="85"/>
      <c r="AE246" s="85"/>
      <c r="AF246" s="85"/>
      <c r="AG246" s="85" t="s">
        <v>1124</v>
      </c>
      <c r="AH246" s="85"/>
      <c r="AI246" s="85"/>
      <c r="AJ246" s="85"/>
      <c r="AK246" s="85"/>
      <c r="AL246" s="85"/>
      <c r="AM246" s="85"/>
      <c r="AN246" s="85"/>
      <c r="AO246" s="85"/>
      <c r="AP246" s="85"/>
      <c r="AQ246" s="85"/>
      <c r="AR246" s="85" t="s">
        <v>1124</v>
      </c>
      <c r="AS246" s="85"/>
      <c r="AT246" s="85"/>
      <c r="AU246" s="85"/>
      <c r="AV246" s="85"/>
      <c r="AW246" s="85"/>
      <c r="AX246" s="85"/>
      <c r="AY246" s="85"/>
      <c r="AZ246" s="85"/>
      <c r="BA246" s="85"/>
      <c r="BB246" s="89"/>
      <c r="BC246" s="89" t="s">
        <v>1124</v>
      </c>
      <c r="BD246" s="37"/>
      <c r="BE246" s="37"/>
      <c r="BF246" s="279"/>
      <c r="BG246" s="37"/>
      <c r="BH246" s="37"/>
      <c r="BI246" s="37"/>
      <c r="BJ246" s="283"/>
      <c r="BK246" s="161"/>
      <c r="BL246" s="294"/>
      <c r="BM246"/>
      <c r="BN246"/>
      <c r="BO246"/>
      <c r="BP246"/>
      <c r="BQ246"/>
      <c r="BR246"/>
      <c r="BS246"/>
      <c r="BT246"/>
      <c r="BU246"/>
      <c r="BV246"/>
      <c r="BW246"/>
      <c r="BX246"/>
      <c r="BY246"/>
      <c r="BZ246"/>
      <c r="CA246"/>
      <c r="CB246"/>
      <c r="CC246"/>
      <c r="CD246"/>
      <c r="CE246"/>
      <c r="CF246"/>
      <c r="CG246"/>
      <c r="CH246"/>
      <c r="CI246"/>
      <c r="CJ246"/>
    </row>
    <row r="247" spans="1:88" s="32" customFormat="1" ht="15" customHeight="1" x14ac:dyDescent="0.35">
      <c r="A247" s="473"/>
      <c r="B247" s="313">
        <v>90017</v>
      </c>
      <c r="C247" s="8" t="s">
        <v>935</v>
      </c>
      <c r="D247" s="18">
        <v>4</v>
      </c>
      <c r="E247" s="251"/>
      <c r="F247" s="82"/>
      <c r="G247" s="79"/>
      <c r="H247" s="90"/>
      <c r="I247" s="85"/>
      <c r="J247" s="85"/>
      <c r="K247" s="85"/>
      <c r="L247" s="85"/>
      <c r="M247" s="85"/>
      <c r="N247" s="85"/>
      <c r="O247" s="85"/>
      <c r="P247" s="85"/>
      <c r="Q247" s="85"/>
      <c r="R247" s="85"/>
      <c r="S247" s="89"/>
      <c r="T247" s="89" t="s">
        <v>1124</v>
      </c>
      <c r="U247" s="85"/>
      <c r="V247" s="85"/>
      <c r="W247" s="85"/>
      <c r="X247" s="89" t="s">
        <v>1124</v>
      </c>
      <c r="Y247" s="79"/>
      <c r="Z247" s="79"/>
      <c r="AA247" s="94"/>
      <c r="AB247" s="79" t="s">
        <v>1124</v>
      </c>
      <c r="AC247" s="85"/>
      <c r="AD247" s="85"/>
      <c r="AE247" s="85"/>
      <c r="AF247" s="85"/>
      <c r="AG247" s="85" t="s">
        <v>1124</v>
      </c>
      <c r="AH247" s="85"/>
      <c r="AI247" s="85"/>
      <c r="AJ247" s="85"/>
      <c r="AK247" s="85"/>
      <c r="AL247" s="85"/>
      <c r="AM247" s="85"/>
      <c r="AN247" s="85"/>
      <c r="AO247" s="85"/>
      <c r="AP247" s="85"/>
      <c r="AQ247" s="85"/>
      <c r="AR247" s="85" t="s">
        <v>1124</v>
      </c>
      <c r="AS247" s="85"/>
      <c r="AT247" s="85"/>
      <c r="AU247" s="85"/>
      <c r="AV247" s="85"/>
      <c r="AW247" s="85"/>
      <c r="AX247" s="85"/>
      <c r="AY247" s="85"/>
      <c r="AZ247" s="85"/>
      <c r="BA247" s="85"/>
      <c r="BB247" s="89"/>
      <c r="BC247" s="89" t="s">
        <v>1124</v>
      </c>
      <c r="BD247" s="37"/>
      <c r="BE247" s="37"/>
      <c r="BF247" s="279"/>
      <c r="BG247" s="37"/>
      <c r="BH247" s="37"/>
      <c r="BI247" s="37"/>
      <c r="BJ247" s="283"/>
      <c r="BK247" s="161"/>
      <c r="BL247" s="294"/>
      <c r="BM247"/>
      <c r="BN247"/>
      <c r="BO247"/>
      <c r="BP247"/>
      <c r="BQ247"/>
      <c r="BR247"/>
      <c r="BS247"/>
      <c r="BT247"/>
      <c r="BU247"/>
      <c r="BV247"/>
      <c r="BW247"/>
      <c r="BX247"/>
      <c r="BY247"/>
      <c r="BZ247"/>
      <c r="CA247"/>
      <c r="CB247"/>
      <c r="CC247"/>
      <c r="CD247"/>
      <c r="CE247"/>
      <c r="CF247"/>
      <c r="CG247"/>
      <c r="CH247"/>
      <c r="CI247"/>
      <c r="CJ247"/>
    </row>
    <row r="248" spans="1:88" s="32" customFormat="1" ht="15" customHeight="1" x14ac:dyDescent="0.35">
      <c r="A248" s="473"/>
      <c r="B248" s="313">
        <v>78115</v>
      </c>
      <c r="C248" s="8" t="s">
        <v>782</v>
      </c>
      <c r="D248" s="18">
        <v>15</v>
      </c>
      <c r="E248" s="251">
        <v>298</v>
      </c>
      <c r="F248" s="82">
        <v>3</v>
      </c>
      <c r="G248" s="79">
        <v>894</v>
      </c>
      <c r="H248" s="90">
        <v>5.28</v>
      </c>
      <c r="I248" s="85">
        <v>5.2919999999999998</v>
      </c>
      <c r="J248" s="85">
        <v>5.3319999999999999</v>
      </c>
      <c r="K248" s="85">
        <v>5.61</v>
      </c>
      <c r="L248" s="85">
        <v>7.2850000000000001</v>
      </c>
      <c r="M248" s="85">
        <v>6.27</v>
      </c>
      <c r="N248" s="85">
        <v>7.9050000000000002</v>
      </c>
      <c r="O248" s="85">
        <v>7.1609999999999996</v>
      </c>
      <c r="P248" s="85">
        <v>6.39</v>
      </c>
      <c r="Q248" s="85">
        <v>6.6959999999999997</v>
      </c>
      <c r="R248" s="85">
        <v>5.7320000000000002</v>
      </c>
      <c r="S248" s="89">
        <v>6.1829999999999998</v>
      </c>
      <c r="T248" s="89">
        <v>75.135999999999996</v>
      </c>
      <c r="U248" s="85">
        <v>0</v>
      </c>
      <c r="V248" s="85">
        <v>75.135999999999996</v>
      </c>
      <c r="W248" s="85">
        <v>0</v>
      </c>
      <c r="X248" s="89">
        <v>75.135999999999996</v>
      </c>
      <c r="Y248" s="79">
        <v>0</v>
      </c>
      <c r="Z248" s="79">
        <v>1</v>
      </c>
      <c r="AA248" s="94">
        <v>0</v>
      </c>
      <c r="AB248" s="79">
        <v>1</v>
      </c>
      <c r="AC248" s="85">
        <v>58.84</v>
      </c>
      <c r="AD248" s="85">
        <v>5.3759999999999906</v>
      </c>
      <c r="AE248" s="85">
        <v>10.92</v>
      </c>
      <c r="AF248" s="85">
        <v>0</v>
      </c>
      <c r="AG248" s="85">
        <v>75.135999999999996</v>
      </c>
      <c r="AH248" s="85">
        <v>0</v>
      </c>
      <c r="AI248" s="85">
        <v>0</v>
      </c>
      <c r="AJ248" s="85">
        <v>0</v>
      </c>
      <c r="AK248" s="85">
        <v>0</v>
      </c>
      <c r="AL248" s="85">
        <v>0</v>
      </c>
      <c r="AM248" s="85">
        <v>0</v>
      </c>
      <c r="AN248" s="85">
        <v>0</v>
      </c>
      <c r="AO248" s="85">
        <v>0</v>
      </c>
      <c r="AP248" s="85">
        <v>0</v>
      </c>
      <c r="AQ248" s="85">
        <v>0</v>
      </c>
      <c r="AR248" s="85">
        <v>0</v>
      </c>
      <c r="AS248" s="85">
        <v>0</v>
      </c>
      <c r="AT248" s="85">
        <v>0</v>
      </c>
      <c r="AU248" s="85">
        <v>0</v>
      </c>
      <c r="AV248" s="85">
        <v>0</v>
      </c>
      <c r="AW248" s="85">
        <v>0</v>
      </c>
      <c r="AX248" s="85">
        <v>0</v>
      </c>
      <c r="AY248" s="85">
        <v>75.135999999999996</v>
      </c>
      <c r="AZ248" s="85">
        <v>0</v>
      </c>
      <c r="BA248" s="85">
        <v>0</v>
      </c>
      <c r="BB248" s="89">
        <v>0</v>
      </c>
      <c r="BC248" s="89">
        <v>75.135999999999996</v>
      </c>
      <c r="BD248" s="37">
        <v>0</v>
      </c>
      <c r="BE248" s="37">
        <v>21583</v>
      </c>
      <c r="BF248" s="279">
        <v>4984</v>
      </c>
      <c r="BG248" s="37">
        <v>25894</v>
      </c>
      <c r="BH248" s="37">
        <v>16996</v>
      </c>
      <c r="BI248" s="37">
        <v>5421</v>
      </c>
      <c r="BJ248" s="283">
        <v>53295</v>
      </c>
      <c r="BK248" s="161"/>
      <c r="BL248" s="294"/>
      <c r="BM248"/>
      <c r="BN248"/>
      <c r="BO248"/>
      <c r="BP248"/>
      <c r="BQ248"/>
      <c r="BR248"/>
      <c r="BS248"/>
      <c r="BT248"/>
      <c r="BU248"/>
      <c r="BV248"/>
      <c r="BW248"/>
      <c r="BX248"/>
      <c r="BY248"/>
      <c r="BZ248"/>
      <c r="CA248"/>
      <c r="CB248"/>
      <c r="CC248"/>
      <c r="CD248"/>
      <c r="CE248"/>
      <c r="CF248"/>
      <c r="CG248"/>
      <c r="CH248"/>
      <c r="CI248"/>
      <c r="CJ248"/>
    </row>
    <row r="249" spans="1:88" s="32" customFormat="1" ht="15" customHeight="1" x14ac:dyDescent="0.35">
      <c r="A249" s="473"/>
      <c r="B249" s="313">
        <v>88030</v>
      </c>
      <c r="C249" s="8" t="s">
        <v>915</v>
      </c>
      <c r="D249" s="18">
        <v>8</v>
      </c>
      <c r="E249" s="251"/>
      <c r="F249" s="82"/>
      <c r="G249" s="79"/>
      <c r="H249" s="90"/>
      <c r="I249" s="85"/>
      <c r="J249" s="85"/>
      <c r="K249" s="85"/>
      <c r="L249" s="85"/>
      <c r="M249" s="85"/>
      <c r="N249" s="85"/>
      <c r="O249" s="85"/>
      <c r="P249" s="85"/>
      <c r="Q249" s="85"/>
      <c r="R249" s="85"/>
      <c r="S249" s="89"/>
      <c r="T249" s="89" t="s">
        <v>1124</v>
      </c>
      <c r="U249" s="85"/>
      <c r="V249" s="85"/>
      <c r="W249" s="85"/>
      <c r="X249" s="89" t="s">
        <v>1124</v>
      </c>
      <c r="Y249" s="79"/>
      <c r="Z249" s="79"/>
      <c r="AA249" s="94"/>
      <c r="AB249" s="79" t="s">
        <v>1124</v>
      </c>
      <c r="AC249" s="85"/>
      <c r="AD249" s="85"/>
      <c r="AE249" s="85"/>
      <c r="AF249" s="85"/>
      <c r="AG249" s="85" t="s">
        <v>1124</v>
      </c>
      <c r="AH249" s="85"/>
      <c r="AI249" s="85"/>
      <c r="AJ249" s="85"/>
      <c r="AK249" s="85"/>
      <c r="AL249" s="85"/>
      <c r="AM249" s="85"/>
      <c r="AN249" s="85"/>
      <c r="AO249" s="85"/>
      <c r="AP249" s="85"/>
      <c r="AQ249" s="85"/>
      <c r="AR249" s="85" t="s">
        <v>1124</v>
      </c>
      <c r="AS249" s="85"/>
      <c r="AT249" s="85"/>
      <c r="AU249" s="85"/>
      <c r="AV249" s="85"/>
      <c r="AW249" s="85"/>
      <c r="AX249" s="85"/>
      <c r="AY249" s="85"/>
      <c r="AZ249" s="85"/>
      <c r="BA249" s="85"/>
      <c r="BB249" s="89"/>
      <c r="BC249" s="89" t="s">
        <v>1124</v>
      </c>
      <c r="BD249" s="37"/>
      <c r="BE249" s="37"/>
      <c r="BF249" s="279"/>
      <c r="BG249" s="37"/>
      <c r="BH249" s="37"/>
      <c r="BI249" s="37"/>
      <c r="BJ249" s="283"/>
      <c r="BK249" s="161"/>
      <c r="BL249" s="294"/>
      <c r="BM249"/>
      <c r="BN249"/>
      <c r="BO249"/>
      <c r="BP249"/>
      <c r="BQ249"/>
      <c r="BR249"/>
      <c r="BS249"/>
      <c r="BT249"/>
      <c r="BU249"/>
      <c r="BV249"/>
      <c r="BW249"/>
      <c r="BX249"/>
      <c r="BY249"/>
      <c r="BZ249"/>
      <c r="CA249"/>
      <c r="CB249"/>
      <c r="CC249"/>
      <c r="CD249"/>
      <c r="CE249"/>
      <c r="CF249"/>
      <c r="CG249"/>
      <c r="CH249"/>
      <c r="CI249"/>
      <c r="CJ249"/>
    </row>
    <row r="250" spans="1:88" s="32" customFormat="1" ht="15" customHeight="1" x14ac:dyDescent="0.35">
      <c r="A250" s="473"/>
      <c r="B250" s="313">
        <v>91050</v>
      </c>
      <c r="C250" s="8" t="s">
        <v>945</v>
      </c>
      <c r="D250" s="18">
        <v>2</v>
      </c>
      <c r="E250" s="251">
        <v>618</v>
      </c>
      <c r="F250" s="82">
        <v>2.1501547987616099</v>
      </c>
      <c r="G250" s="79">
        <v>1328.7956656346748</v>
      </c>
      <c r="H250" s="90">
        <v>20.143999999999998</v>
      </c>
      <c r="I250" s="85">
        <v>18.858000000000001</v>
      </c>
      <c r="J250" s="85">
        <v>21.114000000000001</v>
      </c>
      <c r="K250" s="85">
        <v>21.117000000000001</v>
      </c>
      <c r="L250" s="85">
        <v>20.219000000000001</v>
      </c>
      <c r="M250" s="85">
        <v>21.369</v>
      </c>
      <c r="N250" s="85">
        <v>22.812999999999999</v>
      </c>
      <c r="O250" s="85">
        <v>19.038</v>
      </c>
      <c r="P250" s="85">
        <v>15.696999999999999</v>
      </c>
      <c r="Q250" s="85">
        <v>16.465</v>
      </c>
      <c r="R250" s="85">
        <v>13.590999999999999</v>
      </c>
      <c r="S250" s="89">
        <v>15.048999999999999</v>
      </c>
      <c r="T250" s="89">
        <v>225.47400000000002</v>
      </c>
      <c r="U250" s="85">
        <v>0</v>
      </c>
      <c r="V250" s="85">
        <v>225.47399999999999</v>
      </c>
      <c r="W250" s="85">
        <v>0</v>
      </c>
      <c r="X250" s="89">
        <v>225.47399999999999</v>
      </c>
      <c r="Y250" s="79">
        <v>0</v>
      </c>
      <c r="Z250" s="79">
        <v>1</v>
      </c>
      <c r="AA250" s="94">
        <v>0</v>
      </c>
      <c r="AB250" s="79">
        <v>1</v>
      </c>
      <c r="AC250" s="85">
        <v>121.176</v>
      </c>
      <c r="AD250" s="85">
        <v>33.588999999999999</v>
      </c>
      <c r="AE250" s="85">
        <v>70.709000000000003</v>
      </c>
      <c r="AF250" s="85">
        <v>0</v>
      </c>
      <c r="AG250" s="85">
        <v>225.47399999999999</v>
      </c>
      <c r="AH250" s="85">
        <v>0</v>
      </c>
      <c r="AI250" s="85">
        <v>0</v>
      </c>
      <c r="AJ250" s="85">
        <v>0</v>
      </c>
      <c r="AK250" s="85">
        <v>0</v>
      </c>
      <c r="AL250" s="85">
        <v>0</v>
      </c>
      <c r="AM250" s="85">
        <v>0</v>
      </c>
      <c r="AN250" s="85">
        <v>0</v>
      </c>
      <c r="AO250" s="85">
        <v>0</v>
      </c>
      <c r="AP250" s="85">
        <v>0</v>
      </c>
      <c r="AQ250" s="85">
        <v>0</v>
      </c>
      <c r="AR250" s="85">
        <v>0</v>
      </c>
      <c r="AS250" s="85">
        <v>225.47399999999999</v>
      </c>
      <c r="AT250" s="85">
        <v>0</v>
      </c>
      <c r="AU250" s="85">
        <v>0</v>
      </c>
      <c r="AV250" s="85">
        <v>0</v>
      </c>
      <c r="AW250" s="85">
        <v>0</v>
      </c>
      <c r="AX250" s="85">
        <v>0</v>
      </c>
      <c r="AY250" s="85">
        <v>0</v>
      </c>
      <c r="AZ250" s="85">
        <v>0</v>
      </c>
      <c r="BA250" s="85">
        <v>0</v>
      </c>
      <c r="BB250" s="89">
        <v>0</v>
      </c>
      <c r="BC250" s="89">
        <v>225.47399999999999</v>
      </c>
      <c r="BD250" s="37">
        <v>0</v>
      </c>
      <c r="BE250" s="37">
        <v>0</v>
      </c>
      <c r="BF250" s="279">
        <v>59449</v>
      </c>
      <c r="BG250" s="37">
        <v>58945</v>
      </c>
      <c r="BH250" s="37">
        <v>34148</v>
      </c>
      <c r="BI250" s="37">
        <v>13520</v>
      </c>
      <c r="BJ250" s="283">
        <v>166062</v>
      </c>
      <c r="BK250" s="161"/>
      <c r="BL250" s="294"/>
      <c r="BM250"/>
      <c r="BN250"/>
      <c r="BO250"/>
      <c r="BP250"/>
      <c r="BQ250"/>
      <c r="BR250"/>
      <c r="BS250"/>
      <c r="BT250"/>
      <c r="BU250"/>
      <c r="BV250"/>
      <c r="BW250"/>
      <c r="BX250"/>
      <c r="BY250"/>
      <c r="BZ250"/>
      <c r="CA250"/>
      <c r="CB250"/>
      <c r="CC250"/>
      <c r="CD250"/>
      <c r="CE250"/>
      <c r="CF250"/>
      <c r="CG250"/>
      <c r="CH250"/>
      <c r="CI250"/>
      <c r="CJ250"/>
    </row>
    <row r="251" spans="1:88" s="32" customFormat="1" ht="15" customHeight="1" x14ac:dyDescent="0.35">
      <c r="A251" s="473"/>
      <c r="B251" s="313">
        <v>19090</v>
      </c>
      <c r="C251" s="8" t="s">
        <v>133</v>
      </c>
      <c r="D251" s="18">
        <v>12</v>
      </c>
      <c r="E251" s="251">
        <v>178</v>
      </c>
      <c r="F251" s="82">
        <v>2.2492917847025495</v>
      </c>
      <c r="G251" s="79">
        <v>400.37393767705385</v>
      </c>
      <c r="H251" s="90">
        <v>3.3519999999999999</v>
      </c>
      <c r="I251" s="85">
        <v>3.2280000000000002</v>
      </c>
      <c r="J251" s="85">
        <v>3.351</v>
      </c>
      <c r="K251" s="85">
        <v>3.6629999999999998</v>
      </c>
      <c r="L251" s="85">
        <v>3.54</v>
      </c>
      <c r="M251" s="85">
        <v>3.9940000000000002</v>
      </c>
      <c r="N251" s="85">
        <v>4.0750000000000002</v>
      </c>
      <c r="O251" s="85">
        <v>3.7730000000000001</v>
      </c>
      <c r="P251" s="85">
        <v>3.569</v>
      </c>
      <c r="Q251" s="85">
        <v>3.9239999999999999</v>
      </c>
      <c r="R251" s="85">
        <v>3.86</v>
      </c>
      <c r="S251" s="89">
        <v>3.5640000000000001</v>
      </c>
      <c r="T251" s="89">
        <v>43.893000000000001</v>
      </c>
      <c r="U251" s="85">
        <v>0</v>
      </c>
      <c r="V251" s="85">
        <v>43.893000000000001</v>
      </c>
      <c r="W251" s="85">
        <v>0</v>
      </c>
      <c r="X251" s="89">
        <v>43.893000000000001</v>
      </c>
      <c r="Y251" s="79">
        <v>0</v>
      </c>
      <c r="Z251" s="79">
        <v>1</v>
      </c>
      <c r="AA251" s="94">
        <v>0</v>
      </c>
      <c r="AB251" s="79">
        <v>1</v>
      </c>
      <c r="AC251" s="85">
        <v>32.81942424242424</v>
      </c>
      <c r="AD251" s="85">
        <v>4.3458957575757609</v>
      </c>
      <c r="AE251" s="85">
        <v>6.7276799999999994</v>
      </c>
      <c r="AF251" s="85">
        <v>0</v>
      </c>
      <c r="AG251" s="85">
        <v>43.893000000000001</v>
      </c>
      <c r="AH251" s="85">
        <v>0</v>
      </c>
      <c r="AI251" s="85">
        <v>0</v>
      </c>
      <c r="AJ251" s="85">
        <v>0</v>
      </c>
      <c r="AK251" s="85">
        <v>0</v>
      </c>
      <c r="AL251" s="85">
        <v>0</v>
      </c>
      <c r="AM251" s="85">
        <v>0</v>
      </c>
      <c r="AN251" s="85">
        <v>0</v>
      </c>
      <c r="AO251" s="85">
        <v>0</v>
      </c>
      <c r="AP251" s="85">
        <v>0</v>
      </c>
      <c r="AQ251" s="85">
        <v>0</v>
      </c>
      <c r="AR251" s="85">
        <v>0</v>
      </c>
      <c r="AS251" s="85">
        <v>0</v>
      </c>
      <c r="AT251" s="85">
        <v>0</v>
      </c>
      <c r="AU251" s="85">
        <v>0</v>
      </c>
      <c r="AV251" s="85">
        <v>0</v>
      </c>
      <c r="AW251" s="85">
        <v>0</v>
      </c>
      <c r="AX251" s="85">
        <v>0</v>
      </c>
      <c r="AY251" s="85">
        <v>0</v>
      </c>
      <c r="AZ251" s="85">
        <v>43.893000000000001</v>
      </c>
      <c r="BA251" s="85">
        <v>0</v>
      </c>
      <c r="BB251" s="89">
        <v>0</v>
      </c>
      <c r="BC251" s="89">
        <v>43.893000000000001</v>
      </c>
      <c r="BD251" s="37">
        <v>22355</v>
      </c>
      <c r="BE251" s="37">
        <v>81843</v>
      </c>
      <c r="BF251" s="279">
        <v>6747</v>
      </c>
      <c r="BG251" s="37">
        <v>20530</v>
      </c>
      <c r="BH251" s="37">
        <v>9299</v>
      </c>
      <c r="BI251" s="37">
        <v>9670</v>
      </c>
      <c r="BJ251" s="283">
        <v>46246</v>
      </c>
      <c r="BK251" s="161"/>
      <c r="BL251" s="294"/>
      <c r="BM251"/>
      <c r="BN251"/>
      <c r="BO251"/>
      <c r="BP251"/>
      <c r="BQ251"/>
      <c r="BR251"/>
      <c r="BS251"/>
      <c r="BT251"/>
      <c r="BU251"/>
      <c r="BV251"/>
      <c r="BW251"/>
      <c r="BX251"/>
      <c r="BY251"/>
      <c r="BZ251"/>
      <c r="CA251"/>
      <c r="CB251"/>
      <c r="CC251"/>
      <c r="CD251"/>
      <c r="CE251"/>
      <c r="CF251"/>
      <c r="CG251"/>
      <c r="CH251"/>
      <c r="CI251"/>
      <c r="CJ251"/>
    </row>
    <row r="252" spans="1:88" s="32" customFormat="1" ht="15" customHeight="1" x14ac:dyDescent="0.35">
      <c r="A252" s="473"/>
      <c r="B252" s="313">
        <v>29030</v>
      </c>
      <c r="C252" s="8" t="s">
        <v>205</v>
      </c>
      <c r="D252" s="18">
        <v>12</v>
      </c>
      <c r="E252" s="251">
        <v>719</v>
      </c>
      <c r="F252" s="82">
        <v>2.2994858611825193</v>
      </c>
      <c r="G252" s="79">
        <v>1653.3303341902313</v>
      </c>
      <c r="H252" s="90">
        <v>12.172000000000001</v>
      </c>
      <c r="I252" s="85">
        <v>11.454000000000001</v>
      </c>
      <c r="J252" s="85">
        <v>12.643000000000001</v>
      </c>
      <c r="K252" s="85">
        <v>12.46</v>
      </c>
      <c r="L252" s="85">
        <v>13.034000000000001</v>
      </c>
      <c r="M252" s="85">
        <v>14.025</v>
      </c>
      <c r="N252" s="85">
        <v>15.106</v>
      </c>
      <c r="O252" s="85">
        <v>14.785</v>
      </c>
      <c r="P252" s="85">
        <v>15.071</v>
      </c>
      <c r="Q252" s="85">
        <v>15.2</v>
      </c>
      <c r="R252" s="85">
        <v>13.856999999999999</v>
      </c>
      <c r="S252" s="89">
        <v>12.366</v>
      </c>
      <c r="T252" s="89">
        <v>162.173</v>
      </c>
      <c r="U252" s="85">
        <v>0</v>
      </c>
      <c r="V252" s="85">
        <v>162.173</v>
      </c>
      <c r="W252" s="85">
        <v>0</v>
      </c>
      <c r="X252" s="89">
        <v>162.173</v>
      </c>
      <c r="Y252" s="79">
        <v>0</v>
      </c>
      <c r="Z252" s="79">
        <v>1</v>
      </c>
      <c r="AA252" s="94">
        <v>0</v>
      </c>
      <c r="AB252" s="79">
        <v>1</v>
      </c>
      <c r="AC252" s="85">
        <v>105.824</v>
      </c>
      <c r="AD252" s="85">
        <v>36.309590306122487</v>
      </c>
      <c r="AE252" s="85">
        <v>20.039409693877513</v>
      </c>
      <c r="AF252" s="85">
        <v>0</v>
      </c>
      <c r="AG252" s="85">
        <v>162.17299999999997</v>
      </c>
      <c r="AH252" s="85">
        <v>0</v>
      </c>
      <c r="AI252" s="85">
        <v>0</v>
      </c>
      <c r="AJ252" s="85">
        <v>0</v>
      </c>
      <c r="AK252" s="85">
        <v>0</v>
      </c>
      <c r="AL252" s="85">
        <v>0</v>
      </c>
      <c r="AM252" s="85">
        <v>0</v>
      </c>
      <c r="AN252" s="85">
        <v>0</v>
      </c>
      <c r="AO252" s="85">
        <v>0</v>
      </c>
      <c r="AP252" s="85">
        <v>0</v>
      </c>
      <c r="AQ252" s="85">
        <v>0</v>
      </c>
      <c r="AR252" s="85">
        <v>0</v>
      </c>
      <c r="AS252" s="85">
        <v>0</v>
      </c>
      <c r="AT252" s="85">
        <v>0</v>
      </c>
      <c r="AU252" s="85">
        <v>0</v>
      </c>
      <c r="AV252" s="85">
        <v>0</v>
      </c>
      <c r="AW252" s="85">
        <v>0</v>
      </c>
      <c r="AX252" s="85">
        <v>129.71199999999999</v>
      </c>
      <c r="AY252" s="85">
        <v>32.460999999999999</v>
      </c>
      <c r="AZ252" s="85">
        <v>0</v>
      </c>
      <c r="BA252" s="85">
        <v>0</v>
      </c>
      <c r="BB252" s="89">
        <v>0</v>
      </c>
      <c r="BC252" s="89">
        <v>162.173</v>
      </c>
      <c r="BD252" s="37">
        <v>0</v>
      </c>
      <c r="BE252" s="37">
        <v>0</v>
      </c>
      <c r="BF252" s="279">
        <v>31891</v>
      </c>
      <c r="BG252" s="37">
        <v>18801</v>
      </c>
      <c r="BH252" s="37">
        <v>7629</v>
      </c>
      <c r="BI252" s="37">
        <v>5684</v>
      </c>
      <c r="BJ252" s="283">
        <v>64005</v>
      </c>
      <c r="BK252" s="161" t="s">
        <v>1896</v>
      </c>
      <c r="BL252" s="294"/>
      <c r="BM252"/>
      <c r="BN252"/>
      <c r="BO252"/>
      <c r="BP252"/>
      <c r="BQ252"/>
      <c r="BR252"/>
      <c r="BS252"/>
      <c r="BT252"/>
      <c r="BU252"/>
      <c r="BV252"/>
      <c r="BW252"/>
      <c r="BX252"/>
      <c r="BY252"/>
      <c r="BZ252"/>
      <c r="CA252"/>
      <c r="CB252"/>
      <c r="CC252"/>
      <c r="CD252"/>
      <c r="CE252"/>
      <c r="CF252"/>
      <c r="CG252"/>
      <c r="CH252"/>
      <c r="CI252"/>
      <c r="CJ252"/>
    </row>
    <row r="253" spans="1:88" s="32" customFormat="1" ht="15" customHeight="1" x14ac:dyDescent="0.35">
      <c r="A253" s="473"/>
      <c r="B253" s="313">
        <v>79047</v>
      </c>
      <c r="C253" s="8" t="s">
        <v>793</v>
      </c>
      <c r="D253" s="18">
        <v>15</v>
      </c>
      <c r="E253" s="251"/>
      <c r="F253" s="82"/>
      <c r="G253" s="79"/>
      <c r="H253" s="90"/>
      <c r="I253" s="85"/>
      <c r="J253" s="85"/>
      <c r="K253" s="85"/>
      <c r="L253" s="85"/>
      <c r="M253" s="85"/>
      <c r="N253" s="85"/>
      <c r="O253" s="85"/>
      <c r="P253" s="85"/>
      <c r="Q253" s="85"/>
      <c r="R253" s="85"/>
      <c r="S253" s="89"/>
      <c r="T253" s="89" t="s">
        <v>1124</v>
      </c>
      <c r="U253" s="85"/>
      <c r="V253" s="85"/>
      <c r="W253" s="85"/>
      <c r="X253" s="89" t="s">
        <v>1124</v>
      </c>
      <c r="Y253" s="79"/>
      <c r="Z253" s="79"/>
      <c r="AA253" s="94"/>
      <c r="AB253" s="79" t="s">
        <v>1124</v>
      </c>
      <c r="AC253" s="85"/>
      <c r="AD253" s="85"/>
      <c r="AE253" s="85"/>
      <c r="AF253" s="85"/>
      <c r="AG253" s="85" t="s">
        <v>1124</v>
      </c>
      <c r="AH253" s="85"/>
      <c r="AI253" s="85"/>
      <c r="AJ253" s="85"/>
      <c r="AK253" s="85"/>
      <c r="AL253" s="85"/>
      <c r="AM253" s="85"/>
      <c r="AN253" s="85"/>
      <c r="AO253" s="85"/>
      <c r="AP253" s="85"/>
      <c r="AQ253" s="85"/>
      <c r="AR253" s="85" t="s">
        <v>1124</v>
      </c>
      <c r="AS253" s="85"/>
      <c r="AT253" s="85"/>
      <c r="AU253" s="85"/>
      <c r="AV253" s="85"/>
      <c r="AW253" s="85"/>
      <c r="AX253" s="85"/>
      <c r="AY253" s="85"/>
      <c r="AZ253" s="85"/>
      <c r="BA253" s="85"/>
      <c r="BB253" s="89"/>
      <c r="BC253" s="89" t="s">
        <v>1124</v>
      </c>
      <c r="BD253" s="37"/>
      <c r="BE253" s="37"/>
      <c r="BF253" s="279"/>
      <c r="BG253" s="37"/>
      <c r="BH253" s="37"/>
      <c r="BI253" s="37"/>
      <c r="BJ253" s="283"/>
      <c r="BK253" s="161"/>
      <c r="BL253" s="294"/>
      <c r="BM253"/>
      <c r="BN253"/>
      <c r="BO253"/>
      <c r="BP253"/>
      <c r="BQ253"/>
      <c r="BR253"/>
      <c r="BS253"/>
      <c r="BT253"/>
      <c r="BU253"/>
      <c r="BV253"/>
      <c r="BW253"/>
      <c r="BX253"/>
      <c r="BY253"/>
      <c r="BZ253"/>
      <c r="CA253"/>
      <c r="CB253"/>
      <c r="CC253"/>
      <c r="CD253"/>
      <c r="CE253"/>
      <c r="CF253"/>
      <c r="CG253"/>
      <c r="CH253"/>
      <c r="CI253"/>
      <c r="CJ253"/>
    </row>
    <row r="254" spans="1:88" s="32" customFormat="1" ht="15" customHeight="1" x14ac:dyDescent="0.35">
      <c r="A254" s="473"/>
      <c r="B254" s="313">
        <v>15013</v>
      </c>
      <c r="C254" s="8" t="s">
        <v>78</v>
      </c>
      <c r="D254" s="18">
        <v>3</v>
      </c>
      <c r="E254" s="251">
        <v>2609</v>
      </c>
      <c r="F254" s="82">
        <v>1.8961431226765799</v>
      </c>
      <c r="G254" s="79">
        <v>4947.037407063197</v>
      </c>
      <c r="H254" s="90">
        <v>75.256</v>
      </c>
      <c r="I254" s="85">
        <v>68.775000000000006</v>
      </c>
      <c r="J254" s="85">
        <v>80.27</v>
      </c>
      <c r="K254" s="85">
        <v>73.364000000000004</v>
      </c>
      <c r="L254" s="85">
        <v>80.915000000000006</v>
      </c>
      <c r="M254" s="85">
        <v>92.927000000000007</v>
      </c>
      <c r="N254" s="85">
        <v>106.51600000000001</v>
      </c>
      <c r="O254" s="85">
        <v>101.569</v>
      </c>
      <c r="P254" s="85">
        <v>86.201000000000008</v>
      </c>
      <c r="Q254" s="85">
        <v>79.644999999999996</v>
      </c>
      <c r="R254" s="85">
        <v>73.209000000000003</v>
      </c>
      <c r="S254" s="89">
        <v>78.623999999999995</v>
      </c>
      <c r="T254" s="89">
        <v>997.27099999999996</v>
      </c>
      <c r="U254" s="85">
        <v>0</v>
      </c>
      <c r="V254" s="85">
        <v>997.27099999999996</v>
      </c>
      <c r="W254" s="85">
        <v>0</v>
      </c>
      <c r="X254" s="89">
        <v>997.27099999999996</v>
      </c>
      <c r="Y254" s="79">
        <v>0</v>
      </c>
      <c r="Z254" s="79">
        <v>6</v>
      </c>
      <c r="AA254" s="94">
        <v>0</v>
      </c>
      <c r="AB254" s="79">
        <v>6</v>
      </c>
      <c r="AC254" s="85">
        <v>532.84100000000012</v>
      </c>
      <c r="AD254" s="85">
        <v>176.7585408999999</v>
      </c>
      <c r="AE254" s="85">
        <v>287.67145909999994</v>
      </c>
      <c r="AF254" s="85">
        <v>0</v>
      </c>
      <c r="AG254" s="85">
        <v>997.27099999999996</v>
      </c>
      <c r="AH254" s="85">
        <v>0</v>
      </c>
      <c r="AI254" s="85">
        <v>0</v>
      </c>
      <c r="AJ254" s="85">
        <v>0</v>
      </c>
      <c r="AK254" s="85">
        <v>0</v>
      </c>
      <c r="AL254" s="85">
        <v>0</v>
      </c>
      <c r="AM254" s="85">
        <v>0</v>
      </c>
      <c r="AN254" s="85">
        <v>0</v>
      </c>
      <c r="AO254" s="85">
        <v>0</v>
      </c>
      <c r="AP254" s="85">
        <v>0</v>
      </c>
      <c r="AQ254" s="85">
        <v>0</v>
      </c>
      <c r="AR254" s="85">
        <v>0</v>
      </c>
      <c r="AS254" s="85">
        <v>0</v>
      </c>
      <c r="AT254" s="85">
        <v>0</v>
      </c>
      <c r="AU254" s="85">
        <v>0</v>
      </c>
      <c r="AV254" s="85">
        <v>0</v>
      </c>
      <c r="AW254" s="85">
        <v>0</v>
      </c>
      <c r="AX254" s="85">
        <v>0</v>
      </c>
      <c r="AY254" s="85">
        <v>997.27099999999996</v>
      </c>
      <c r="AZ254" s="85">
        <v>0</v>
      </c>
      <c r="BA254" s="85">
        <v>0</v>
      </c>
      <c r="BB254" s="89">
        <v>0</v>
      </c>
      <c r="BC254" s="89">
        <v>997.27099999999996</v>
      </c>
      <c r="BD254" s="37">
        <v>0</v>
      </c>
      <c r="BE254" s="37">
        <v>0</v>
      </c>
      <c r="BF254" s="279">
        <v>30023</v>
      </c>
      <c r="BG254" s="37">
        <v>224444</v>
      </c>
      <c r="BH254" s="37">
        <v>86462</v>
      </c>
      <c r="BI254" s="37">
        <v>0</v>
      </c>
      <c r="BJ254" s="283">
        <v>340929</v>
      </c>
      <c r="BK254" s="161"/>
      <c r="BL254" s="294"/>
      <c r="BM254"/>
      <c r="BN254"/>
      <c r="BO254"/>
      <c r="BP254"/>
      <c r="BQ254"/>
      <c r="BR254"/>
      <c r="BS254"/>
      <c r="BT254"/>
      <c r="BU254"/>
      <c r="BV254"/>
      <c r="BW254"/>
      <c r="BX254"/>
      <c r="BY254"/>
      <c r="BZ254"/>
      <c r="CA254"/>
      <c r="CB254"/>
      <c r="CC254"/>
      <c r="CD254"/>
      <c r="CE254"/>
      <c r="CF254"/>
      <c r="CG254"/>
      <c r="CH254"/>
      <c r="CI254"/>
      <c r="CJ254"/>
    </row>
    <row r="255" spans="1:88" s="32" customFormat="1" ht="15" customHeight="1" x14ac:dyDescent="0.35">
      <c r="A255" s="473"/>
      <c r="B255" s="313">
        <v>4030</v>
      </c>
      <c r="C255" s="8" t="s">
        <v>1041</v>
      </c>
      <c r="D255" s="18">
        <v>11</v>
      </c>
      <c r="E255" s="251"/>
      <c r="F255" s="82"/>
      <c r="G255" s="79"/>
      <c r="H255" s="90"/>
      <c r="I255" s="85"/>
      <c r="J255" s="85"/>
      <c r="K255" s="85"/>
      <c r="L255" s="85"/>
      <c r="M255" s="85"/>
      <c r="N255" s="85"/>
      <c r="O255" s="85"/>
      <c r="P255" s="85"/>
      <c r="Q255" s="85"/>
      <c r="R255" s="85"/>
      <c r="S255" s="89"/>
      <c r="T255" s="89" t="s">
        <v>1124</v>
      </c>
      <c r="U255" s="85"/>
      <c r="V255" s="85"/>
      <c r="W255" s="85"/>
      <c r="X255" s="89" t="s">
        <v>1124</v>
      </c>
      <c r="Y255" s="79"/>
      <c r="Z255" s="79"/>
      <c r="AA255" s="94"/>
      <c r="AB255" s="79" t="s">
        <v>1124</v>
      </c>
      <c r="AC255" s="85"/>
      <c r="AD255" s="85"/>
      <c r="AE255" s="85"/>
      <c r="AF255" s="85"/>
      <c r="AG255" s="85" t="s">
        <v>1124</v>
      </c>
      <c r="AH255" s="85"/>
      <c r="AI255" s="85"/>
      <c r="AJ255" s="85"/>
      <c r="AK255" s="85"/>
      <c r="AL255" s="85"/>
      <c r="AM255" s="85"/>
      <c r="AN255" s="85"/>
      <c r="AO255" s="85"/>
      <c r="AP255" s="85"/>
      <c r="AQ255" s="85"/>
      <c r="AR255" s="85" t="s">
        <v>1124</v>
      </c>
      <c r="AS255" s="85"/>
      <c r="AT255" s="85"/>
      <c r="AU255" s="85"/>
      <c r="AV255" s="85"/>
      <c r="AW255" s="85"/>
      <c r="AX255" s="85"/>
      <c r="AY255" s="85"/>
      <c r="AZ255" s="85"/>
      <c r="BA255" s="85"/>
      <c r="BB255" s="89"/>
      <c r="BC255" s="89" t="s">
        <v>1124</v>
      </c>
      <c r="BD255" s="37"/>
      <c r="BE255" s="37"/>
      <c r="BF255" s="279"/>
      <c r="BG255" s="37"/>
      <c r="BH255" s="37"/>
      <c r="BI255" s="37"/>
      <c r="BJ255" s="283"/>
      <c r="BK255" s="161"/>
      <c r="BL255" s="294"/>
      <c r="BM255"/>
      <c r="BN255"/>
      <c r="BO255"/>
      <c r="BP255"/>
      <c r="BQ255"/>
      <c r="BR255"/>
      <c r="BS255"/>
      <c r="BT255"/>
      <c r="BU255"/>
      <c r="BV255"/>
      <c r="BW255"/>
      <c r="BX255"/>
      <c r="BY255"/>
      <c r="BZ255"/>
      <c r="CA255"/>
      <c r="CB255"/>
      <c r="CC255"/>
      <c r="CD255"/>
      <c r="CE255"/>
      <c r="CF255"/>
      <c r="CG255"/>
      <c r="CH255"/>
      <c r="CI255"/>
      <c r="CJ255"/>
    </row>
    <row r="256" spans="1:88" s="32" customFormat="1" ht="15" customHeight="1" x14ac:dyDescent="0.35">
      <c r="A256" s="473"/>
      <c r="B256" s="313">
        <v>78130</v>
      </c>
      <c r="C256" s="8" t="s">
        <v>785</v>
      </c>
      <c r="D256" s="18">
        <v>15</v>
      </c>
      <c r="E256" s="251"/>
      <c r="F256" s="82"/>
      <c r="G256" s="79"/>
      <c r="H256" s="90"/>
      <c r="I256" s="85"/>
      <c r="J256" s="85"/>
      <c r="K256" s="85"/>
      <c r="L256" s="85"/>
      <c r="M256" s="85"/>
      <c r="N256" s="85"/>
      <c r="O256" s="85"/>
      <c r="P256" s="85"/>
      <c r="Q256" s="85"/>
      <c r="R256" s="85"/>
      <c r="S256" s="89"/>
      <c r="T256" s="89" t="s">
        <v>1124</v>
      </c>
      <c r="U256" s="85"/>
      <c r="V256" s="85"/>
      <c r="W256" s="85"/>
      <c r="X256" s="89" t="s">
        <v>1124</v>
      </c>
      <c r="Y256" s="79"/>
      <c r="Z256" s="79"/>
      <c r="AA256" s="94"/>
      <c r="AB256" s="79" t="s">
        <v>1124</v>
      </c>
      <c r="AC256" s="85"/>
      <c r="AD256" s="85"/>
      <c r="AE256" s="85"/>
      <c r="AF256" s="85"/>
      <c r="AG256" s="85" t="s">
        <v>1124</v>
      </c>
      <c r="AH256" s="85"/>
      <c r="AI256" s="85"/>
      <c r="AJ256" s="85"/>
      <c r="AK256" s="85"/>
      <c r="AL256" s="85"/>
      <c r="AM256" s="85"/>
      <c r="AN256" s="85"/>
      <c r="AO256" s="85"/>
      <c r="AP256" s="85"/>
      <c r="AQ256" s="85"/>
      <c r="AR256" s="85" t="s">
        <v>1124</v>
      </c>
      <c r="AS256" s="85"/>
      <c r="AT256" s="85"/>
      <c r="AU256" s="85"/>
      <c r="AV256" s="85"/>
      <c r="AW256" s="85"/>
      <c r="AX256" s="85"/>
      <c r="AY256" s="85"/>
      <c r="AZ256" s="85"/>
      <c r="BA256" s="85"/>
      <c r="BB256" s="89"/>
      <c r="BC256" s="89" t="s">
        <v>1124</v>
      </c>
      <c r="BD256" s="37"/>
      <c r="BE256" s="37"/>
      <c r="BF256" s="279"/>
      <c r="BG256" s="37"/>
      <c r="BH256" s="37"/>
      <c r="BI256" s="37"/>
      <c r="BJ256" s="283"/>
      <c r="BK256" s="161"/>
      <c r="BL256" s="294"/>
      <c r="BM256"/>
      <c r="BN256"/>
      <c r="BO256"/>
      <c r="BP256"/>
      <c r="BQ256"/>
      <c r="BR256"/>
      <c r="BS256"/>
      <c r="BT256"/>
      <c r="BU256"/>
      <c r="BV256"/>
      <c r="BW256"/>
      <c r="BX256"/>
      <c r="BY256"/>
      <c r="BZ256"/>
      <c r="CA256"/>
      <c r="CB256"/>
      <c r="CC256"/>
      <c r="CD256"/>
      <c r="CE256"/>
      <c r="CF256"/>
      <c r="CG256"/>
      <c r="CH256"/>
      <c r="CI256"/>
      <c r="CJ256"/>
    </row>
    <row r="257" spans="1:88" s="32" customFormat="1" ht="15" customHeight="1" x14ac:dyDescent="0.35">
      <c r="A257" s="473"/>
      <c r="B257" s="313">
        <v>88015</v>
      </c>
      <c r="C257" s="8" t="s">
        <v>913</v>
      </c>
      <c r="D257" s="18">
        <v>8</v>
      </c>
      <c r="E257" s="251"/>
      <c r="F257" s="82"/>
      <c r="G257" s="79"/>
      <c r="H257" s="90"/>
      <c r="I257" s="85"/>
      <c r="J257" s="85"/>
      <c r="K257" s="85"/>
      <c r="L257" s="85"/>
      <c r="M257" s="85"/>
      <c r="N257" s="85"/>
      <c r="O257" s="85"/>
      <c r="P257" s="85"/>
      <c r="Q257" s="85"/>
      <c r="R257" s="85"/>
      <c r="S257" s="89"/>
      <c r="T257" s="89" t="s">
        <v>1124</v>
      </c>
      <c r="U257" s="85"/>
      <c r="V257" s="85"/>
      <c r="W257" s="85"/>
      <c r="X257" s="89" t="s">
        <v>1124</v>
      </c>
      <c r="Y257" s="79"/>
      <c r="Z257" s="79"/>
      <c r="AA257" s="94"/>
      <c r="AB257" s="79" t="s">
        <v>1124</v>
      </c>
      <c r="AC257" s="85"/>
      <c r="AD257" s="85"/>
      <c r="AE257" s="85"/>
      <c r="AF257" s="85"/>
      <c r="AG257" s="85" t="s">
        <v>1124</v>
      </c>
      <c r="AH257" s="85"/>
      <c r="AI257" s="85"/>
      <c r="AJ257" s="85"/>
      <c r="AK257" s="85"/>
      <c r="AL257" s="85"/>
      <c r="AM257" s="85"/>
      <c r="AN257" s="85"/>
      <c r="AO257" s="85"/>
      <c r="AP257" s="85"/>
      <c r="AQ257" s="85"/>
      <c r="AR257" s="85" t="s">
        <v>1124</v>
      </c>
      <c r="AS257" s="85"/>
      <c r="AT257" s="85"/>
      <c r="AU257" s="85"/>
      <c r="AV257" s="85"/>
      <c r="AW257" s="85"/>
      <c r="AX257" s="85"/>
      <c r="AY257" s="85"/>
      <c r="AZ257" s="85"/>
      <c r="BA257" s="85"/>
      <c r="BB257" s="89"/>
      <c r="BC257" s="89" t="s">
        <v>1124</v>
      </c>
      <c r="BD257" s="37"/>
      <c r="BE257" s="37"/>
      <c r="BF257" s="279"/>
      <c r="BG257" s="37"/>
      <c r="BH257" s="37"/>
      <c r="BI257" s="37"/>
      <c r="BJ257" s="283"/>
      <c r="BK257" s="161"/>
      <c r="BL257" s="294"/>
      <c r="BM257"/>
      <c r="BN257"/>
      <c r="BO257"/>
      <c r="BP257"/>
      <c r="BQ257"/>
      <c r="BR257"/>
      <c r="BS257"/>
      <c r="BT257"/>
      <c r="BU257"/>
      <c r="BV257"/>
      <c r="BW257"/>
      <c r="BX257"/>
      <c r="BY257"/>
      <c r="BZ257"/>
      <c r="CA257"/>
      <c r="CB257"/>
      <c r="CC257"/>
      <c r="CD257"/>
      <c r="CE257"/>
      <c r="CF257"/>
      <c r="CG257"/>
      <c r="CH257"/>
      <c r="CI257"/>
      <c r="CJ257"/>
    </row>
    <row r="258" spans="1:88" s="32" customFormat="1" ht="15" customHeight="1" x14ac:dyDescent="0.35">
      <c r="A258" s="473"/>
      <c r="B258" s="313">
        <v>88045</v>
      </c>
      <c r="C258" s="8" t="s">
        <v>918</v>
      </c>
      <c r="D258" s="18">
        <v>8</v>
      </c>
      <c r="E258" s="251"/>
      <c r="F258" s="82"/>
      <c r="G258" s="79"/>
      <c r="H258" s="90"/>
      <c r="I258" s="85"/>
      <c r="J258" s="85"/>
      <c r="K258" s="85"/>
      <c r="L258" s="85"/>
      <c r="M258" s="85"/>
      <c r="N258" s="85"/>
      <c r="O258" s="85"/>
      <c r="P258" s="85"/>
      <c r="Q258" s="85"/>
      <c r="R258" s="85"/>
      <c r="S258" s="89"/>
      <c r="T258" s="89" t="s">
        <v>1124</v>
      </c>
      <c r="U258" s="85"/>
      <c r="V258" s="85"/>
      <c r="W258" s="85"/>
      <c r="X258" s="89" t="s">
        <v>1124</v>
      </c>
      <c r="Y258" s="79"/>
      <c r="Z258" s="79"/>
      <c r="AA258" s="94"/>
      <c r="AB258" s="79" t="s">
        <v>1124</v>
      </c>
      <c r="AC258" s="85"/>
      <c r="AD258" s="85"/>
      <c r="AE258" s="85"/>
      <c r="AF258" s="85"/>
      <c r="AG258" s="85" t="s">
        <v>1124</v>
      </c>
      <c r="AH258" s="85"/>
      <c r="AI258" s="85"/>
      <c r="AJ258" s="85"/>
      <c r="AK258" s="85"/>
      <c r="AL258" s="85"/>
      <c r="AM258" s="85"/>
      <c r="AN258" s="85"/>
      <c r="AO258" s="85"/>
      <c r="AP258" s="85"/>
      <c r="AQ258" s="85"/>
      <c r="AR258" s="85" t="s">
        <v>1124</v>
      </c>
      <c r="AS258" s="85"/>
      <c r="AT258" s="85"/>
      <c r="AU258" s="85"/>
      <c r="AV258" s="85"/>
      <c r="AW258" s="85"/>
      <c r="AX258" s="85"/>
      <c r="AY258" s="85"/>
      <c r="AZ258" s="85"/>
      <c r="BA258" s="85"/>
      <c r="BB258" s="89"/>
      <c r="BC258" s="89" t="s">
        <v>1124</v>
      </c>
      <c r="BD258" s="37"/>
      <c r="BE258" s="37"/>
      <c r="BF258" s="279"/>
      <c r="BG258" s="37"/>
      <c r="BH258" s="37"/>
      <c r="BI258" s="37"/>
      <c r="BJ258" s="283"/>
      <c r="BK258" s="161"/>
      <c r="BL258" s="294"/>
      <c r="BM258"/>
      <c r="BN258"/>
      <c r="BO258"/>
      <c r="BP258"/>
      <c r="BQ258"/>
      <c r="BR258"/>
      <c r="BS258"/>
      <c r="BT258"/>
      <c r="BU258"/>
      <c r="BV258"/>
      <c r="BW258"/>
      <c r="BX258"/>
      <c r="BY258"/>
      <c r="BZ258"/>
      <c r="CA258"/>
      <c r="CB258"/>
      <c r="CC258"/>
      <c r="CD258"/>
      <c r="CE258"/>
      <c r="CF258"/>
      <c r="CG258"/>
      <c r="CH258"/>
      <c r="CI258"/>
      <c r="CJ258"/>
    </row>
    <row r="259" spans="1:88" s="32" customFormat="1" ht="15" customHeight="1" x14ac:dyDescent="0.35">
      <c r="A259" s="473"/>
      <c r="B259" s="313">
        <v>41027</v>
      </c>
      <c r="C259" s="8" t="s">
        <v>367</v>
      </c>
      <c r="D259" s="18">
        <v>5</v>
      </c>
      <c r="E259" s="251">
        <v>210</v>
      </c>
      <c r="F259" s="82">
        <v>2.75</v>
      </c>
      <c r="G259" s="79">
        <v>577.5</v>
      </c>
      <c r="H259" s="90">
        <v>3.9991049401014873</v>
      </c>
      <c r="I259" s="85">
        <v>5.1053619892932502</v>
      </c>
      <c r="J259" s="85">
        <v>4.4355095297051284</v>
      </c>
      <c r="K259" s="85">
        <v>5.0005486599124627</v>
      </c>
      <c r="L259" s="85">
        <v>4.1572777826215841</v>
      </c>
      <c r="M259" s="85">
        <v>4.444085165745375</v>
      </c>
      <c r="N259" s="85">
        <v>4.8776312100022672</v>
      </c>
      <c r="O259" s="85">
        <v>4.6479947338134515</v>
      </c>
      <c r="P259" s="85">
        <v>4.138220813643259</v>
      </c>
      <c r="Q259" s="85">
        <v>4.3735743805255725</v>
      </c>
      <c r="R259" s="85">
        <v>4.5136431025162613</v>
      </c>
      <c r="S259" s="89">
        <v>4.9500476921199015</v>
      </c>
      <c r="T259" s="89">
        <v>54.643000000000008</v>
      </c>
      <c r="U259" s="85">
        <v>0</v>
      </c>
      <c r="V259" s="85">
        <v>54.643000000000001</v>
      </c>
      <c r="W259" s="85">
        <v>0</v>
      </c>
      <c r="X259" s="89">
        <v>54.643000000000001</v>
      </c>
      <c r="Y259" s="79">
        <v>0</v>
      </c>
      <c r="Z259" s="79">
        <v>1</v>
      </c>
      <c r="AA259" s="94">
        <v>0</v>
      </c>
      <c r="AB259" s="79">
        <v>1</v>
      </c>
      <c r="AC259" s="85">
        <v>38.273000000000003</v>
      </c>
      <c r="AD259" s="85">
        <v>5.3759999999999977</v>
      </c>
      <c r="AE259" s="85">
        <v>10.994</v>
      </c>
      <c r="AF259" s="85">
        <v>0</v>
      </c>
      <c r="AG259" s="85">
        <v>54.643000000000001</v>
      </c>
      <c r="AH259" s="85">
        <v>0</v>
      </c>
      <c r="AI259" s="85">
        <v>0</v>
      </c>
      <c r="AJ259" s="85">
        <v>0</v>
      </c>
      <c r="AK259" s="85">
        <v>0</v>
      </c>
      <c r="AL259" s="85">
        <v>0</v>
      </c>
      <c r="AM259" s="85">
        <v>0</v>
      </c>
      <c r="AN259" s="85">
        <v>0</v>
      </c>
      <c r="AO259" s="85">
        <v>0</v>
      </c>
      <c r="AP259" s="85">
        <v>0</v>
      </c>
      <c r="AQ259" s="85">
        <v>0</v>
      </c>
      <c r="AR259" s="85">
        <v>0</v>
      </c>
      <c r="AS259" s="85">
        <v>0</v>
      </c>
      <c r="AT259" s="85">
        <v>0</v>
      </c>
      <c r="AU259" s="85">
        <v>0</v>
      </c>
      <c r="AV259" s="85">
        <v>0</v>
      </c>
      <c r="AW259" s="85">
        <v>0</v>
      </c>
      <c r="AX259" s="85">
        <v>0</v>
      </c>
      <c r="AY259" s="85">
        <v>54.643000000000001</v>
      </c>
      <c r="AZ259" s="85">
        <v>0</v>
      </c>
      <c r="BA259" s="85">
        <v>0</v>
      </c>
      <c r="BB259" s="89">
        <v>0</v>
      </c>
      <c r="BC259" s="89">
        <v>54.643000000000001</v>
      </c>
      <c r="BD259" s="37">
        <v>0</v>
      </c>
      <c r="BE259" s="37">
        <v>0</v>
      </c>
      <c r="BF259" s="279">
        <v>5394</v>
      </c>
      <c r="BG259" s="37">
        <v>25206</v>
      </c>
      <c r="BH259" s="37">
        <v>5523</v>
      </c>
      <c r="BI259" s="37">
        <v>0</v>
      </c>
      <c r="BJ259" s="283">
        <v>36123</v>
      </c>
      <c r="BK259" s="161"/>
      <c r="BL259" s="294"/>
      <c r="BM259"/>
      <c r="BN259"/>
      <c r="BO259"/>
      <c r="BP259"/>
      <c r="BQ259"/>
      <c r="BR259"/>
      <c r="BS259"/>
      <c r="BT259"/>
      <c r="BU259"/>
      <c r="BV259"/>
      <c r="BW259"/>
      <c r="BX259"/>
      <c r="BY259"/>
      <c r="BZ259"/>
      <c r="CA259"/>
      <c r="CB259"/>
      <c r="CC259"/>
      <c r="CD259"/>
      <c r="CE259"/>
      <c r="CF259"/>
      <c r="CG259"/>
      <c r="CH259"/>
      <c r="CI259"/>
      <c r="CJ259"/>
    </row>
    <row r="260" spans="1:88" s="32" customFormat="1" ht="15" customHeight="1" x14ac:dyDescent="0.35">
      <c r="A260" s="473"/>
      <c r="B260" s="313">
        <v>82035</v>
      </c>
      <c r="C260" s="8" t="s">
        <v>834</v>
      </c>
      <c r="D260" s="18">
        <v>7</v>
      </c>
      <c r="E260" s="251"/>
      <c r="F260" s="82"/>
      <c r="G260" s="79"/>
      <c r="H260" s="90"/>
      <c r="I260" s="85"/>
      <c r="J260" s="85"/>
      <c r="K260" s="85"/>
      <c r="L260" s="85"/>
      <c r="M260" s="85"/>
      <c r="N260" s="85"/>
      <c r="O260" s="85"/>
      <c r="P260" s="85"/>
      <c r="Q260" s="85"/>
      <c r="R260" s="85"/>
      <c r="S260" s="89"/>
      <c r="T260" s="89" t="s">
        <v>1124</v>
      </c>
      <c r="U260" s="85"/>
      <c r="V260" s="85"/>
      <c r="W260" s="85"/>
      <c r="X260" s="89" t="s">
        <v>1124</v>
      </c>
      <c r="Y260" s="79"/>
      <c r="Z260" s="79"/>
      <c r="AA260" s="94"/>
      <c r="AB260" s="79" t="s">
        <v>1124</v>
      </c>
      <c r="AC260" s="85"/>
      <c r="AD260" s="85"/>
      <c r="AE260" s="85"/>
      <c r="AF260" s="85"/>
      <c r="AG260" s="85" t="s">
        <v>1124</v>
      </c>
      <c r="AH260" s="85"/>
      <c r="AI260" s="85"/>
      <c r="AJ260" s="85"/>
      <c r="AK260" s="85"/>
      <c r="AL260" s="85"/>
      <c r="AM260" s="85"/>
      <c r="AN260" s="85"/>
      <c r="AO260" s="85"/>
      <c r="AP260" s="85"/>
      <c r="AQ260" s="85"/>
      <c r="AR260" s="85" t="s">
        <v>1124</v>
      </c>
      <c r="AS260" s="85"/>
      <c r="AT260" s="85"/>
      <c r="AU260" s="85"/>
      <c r="AV260" s="85"/>
      <c r="AW260" s="85"/>
      <c r="AX260" s="85"/>
      <c r="AY260" s="85"/>
      <c r="AZ260" s="85"/>
      <c r="BA260" s="85"/>
      <c r="BB260" s="89"/>
      <c r="BC260" s="89" t="s">
        <v>1124</v>
      </c>
      <c r="BD260" s="37"/>
      <c r="BE260" s="37"/>
      <c r="BF260" s="279"/>
      <c r="BG260" s="37"/>
      <c r="BH260" s="37"/>
      <c r="BI260" s="37"/>
      <c r="BJ260" s="283"/>
      <c r="BK260" s="161"/>
      <c r="BL260" s="294"/>
      <c r="BM260"/>
      <c r="BN260"/>
      <c r="BO260"/>
      <c r="BP260"/>
      <c r="BQ260"/>
      <c r="BR260"/>
      <c r="BS260"/>
      <c r="BT260"/>
      <c r="BU260"/>
      <c r="BV260"/>
      <c r="BW260"/>
      <c r="BX260"/>
      <c r="BY260"/>
      <c r="BZ260"/>
      <c r="CA260"/>
      <c r="CB260"/>
      <c r="CC260"/>
      <c r="CD260"/>
      <c r="CE260"/>
      <c r="CF260"/>
      <c r="CG260"/>
      <c r="CH260"/>
      <c r="CI260"/>
      <c r="CJ260"/>
    </row>
    <row r="261" spans="1:88" s="32" customFormat="1" ht="15" customHeight="1" x14ac:dyDescent="0.35">
      <c r="A261" s="473"/>
      <c r="B261" s="313">
        <v>14085</v>
      </c>
      <c r="C261" s="8" t="s">
        <v>75</v>
      </c>
      <c r="D261" s="18">
        <v>1</v>
      </c>
      <c r="E261" s="251">
        <v>2210</v>
      </c>
      <c r="F261" s="82">
        <v>1.8542986425339367</v>
      </c>
      <c r="G261" s="79">
        <v>4098</v>
      </c>
      <c r="H261" s="90">
        <v>78.02</v>
      </c>
      <c r="I261" s="85">
        <v>66.691999999999993</v>
      </c>
      <c r="J261" s="85">
        <v>73.585999999999999</v>
      </c>
      <c r="K261" s="85">
        <v>65.683999999999997</v>
      </c>
      <c r="L261" s="85">
        <v>68.561999999999998</v>
      </c>
      <c r="M261" s="85">
        <v>67.009</v>
      </c>
      <c r="N261" s="85">
        <v>85.102000000000004</v>
      </c>
      <c r="O261" s="85">
        <v>74.930000000000007</v>
      </c>
      <c r="P261" s="85">
        <v>70.69</v>
      </c>
      <c r="Q261" s="85">
        <v>68.781000000000006</v>
      </c>
      <c r="R261" s="85">
        <v>67.197999999999993</v>
      </c>
      <c r="S261" s="89">
        <v>66.486999999999995</v>
      </c>
      <c r="T261" s="89">
        <v>852.74099999999999</v>
      </c>
      <c r="U261" s="85">
        <v>852.74099999999999</v>
      </c>
      <c r="V261" s="85">
        <v>0</v>
      </c>
      <c r="W261" s="85">
        <v>0</v>
      </c>
      <c r="X261" s="89">
        <v>852.74099999999999</v>
      </c>
      <c r="Y261" s="79">
        <v>1</v>
      </c>
      <c r="Z261" s="79">
        <v>0</v>
      </c>
      <c r="AA261" s="94">
        <v>0</v>
      </c>
      <c r="AB261" s="79">
        <v>1</v>
      </c>
      <c r="AC261" s="85">
        <v>355.15176293103445</v>
      </c>
      <c r="AD261" s="85">
        <v>195.37376191590437</v>
      </c>
      <c r="AE261" s="85">
        <v>244.34147515306114</v>
      </c>
      <c r="AF261" s="85">
        <v>57.874000000000009</v>
      </c>
      <c r="AG261" s="85">
        <v>852.74099999999999</v>
      </c>
      <c r="AH261" s="85">
        <v>852.74099999999999</v>
      </c>
      <c r="AI261" s="85">
        <v>0</v>
      </c>
      <c r="AJ261" s="85">
        <v>0</v>
      </c>
      <c r="AK261" s="85">
        <v>0</v>
      </c>
      <c r="AL261" s="85">
        <v>0</v>
      </c>
      <c r="AM261" s="85">
        <v>0</v>
      </c>
      <c r="AN261" s="85">
        <v>0</v>
      </c>
      <c r="AO261" s="85">
        <v>0</v>
      </c>
      <c r="AP261" s="85">
        <v>0</v>
      </c>
      <c r="AQ261" s="85">
        <v>0</v>
      </c>
      <c r="AR261" s="85">
        <v>852.74099999999999</v>
      </c>
      <c r="AS261" s="85">
        <v>0</v>
      </c>
      <c r="AT261" s="85">
        <v>0</v>
      </c>
      <c r="AU261" s="85">
        <v>0</v>
      </c>
      <c r="AV261" s="85">
        <v>0</v>
      </c>
      <c r="AW261" s="85">
        <v>0</v>
      </c>
      <c r="AX261" s="85">
        <v>0</v>
      </c>
      <c r="AY261" s="85">
        <v>0</v>
      </c>
      <c r="AZ261" s="85">
        <v>0</v>
      </c>
      <c r="BA261" s="85">
        <v>0</v>
      </c>
      <c r="BB261" s="89">
        <v>0</v>
      </c>
      <c r="BC261" s="89">
        <v>0</v>
      </c>
      <c r="BD261" s="37">
        <v>0</v>
      </c>
      <c r="BE261" s="37">
        <v>0</v>
      </c>
      <c r="BF261" s="279">
        <v>60111</v>
      </c>
      <c r="BG261" s="37">
        <v>87542</v>
      </c>
      <c r="BH261" s="37">
        <v>35277</v>
      </c>
      <c r="BI261" s="37">
        <v>39858</v>
      </c>
      <c r="BJ261" s="283">
        <v>222788</v>
      </c>
      <c r="BK261" s="161"/>
      <c r="BL261" s="294"/>
      <c r="BM261"/>
      <c r="BN261"/>
      <c r="BO261"/>
      <c r="BP261"/>
      <c r="BQ261"/>
      <c r="BR261"/>
      <c r="BS261"/>
      <c r="BT261"/>
      <c r="BU261"/>
      <c r="BV261"/>
      <c r="BW261"/>
      <c r="BX261"/>
      <c r="BY261"/>
      <c r="BZ261"/>
      <c r="CA261"/>
      <c r="CB261"/>
      <c r="CC261"/>
      <c r="CD261"/>
      <c r="CE261"/>
      <c r="CF261"/>
      <c r="CG261"/>
      <c r="CH261"/>
      <c r="CI261"/>
      <c r="CJ261"/>
    </row>
    <row r="262" spans="1:88" s="32" customFormat="1" ht="15" customHeight="1" x14ac:dyDescent="0.35">
      <c r="A262" s="473"/>
      <c r="B262" s="313">
        <v>67015</v>
      </c>
      <c r="C262" s="8" t="s">
        <v>664</v>
      </c>
      <c r="D262" s="18">
        <v>16</v>
      </c>
      <c r="E262" s="251">
        <v>10961</v>
      </c>
      <c r="F262" s="82">
        <v>2.5431068732618196</v>
      </c>
      <c r="G262" s="79">
        <v>27874.994437822807</v>
      </c>
      <c r="H262" s="90">
        <v>302.52699999999999</v>
      </c>
      <c r="I262" s="85">
        <v>240.61699999999999</v>
      </c>
      <c r="J262" s="85">
        <v>273.72800000000001</v>
      </c>
      <c r="K262" s="85">
        <v>281.11799999999999</v>
      </c>
      <c r="L262" s="85">
        <v>343.07600000000002</v>
      </c>
      <c r="M262" s="85">
        <v>355.28500000000003</v>
      </c>
      <c r="N262" s="85">
        <v>435.536</v>
      </c>
      <c r="O262" s="85">
        <v>396.56200000000001</v>
      </c>
      <c r="P262" s="85">
        <v>301.92899999999997</v>
      </c>
      <c r="Q262" s="85">
        <v>278.09699999999998</v>
      </c>
      <c r="R262" s="85">
        <v>261.27199999999999</v>
      </c>
      <c r="S262" s="89">
        <v>277.53699999999998</v>
      </c>
      <c r="T262" s="89">
        <v>3747.2840000000001</v>
      </c>
      <c r="U262" s="85">
        <v>3747.2840000000001</v>
      </c>
      <c r="V262" s="85">
        <v>0</v>
      </c>
      <c r="W262" s="85">
        <v>0</v>
      </c>
      <c r="X262" s="89">
        <v>3747.2840000000001</v>
      </c>
      <c r="Y262" s="79">
        <v>1</v>
      </c>
      <c r="Z262" s="79">
        <v>0</v>
      </c>
      <c r="AA262" s="94">
        <v>0</v>
      </c>
      <c r="AB262" s="79">
        <v>1</v>
      </c>
      <c r="AC262" s="85">
        <v>2937.6493251767265</v>
      </c>
      <c r="AD262" s="85">
        <v>548.81031116942722</v>
      </c>
      <c r="AE262" s="85">
        <v>260.82436365384638</v>
      </c>
      <c r="AF262" s="85">
        <v>0</v>
      </c>
      <c r="AG262" s="85">
        <v>3747.2840000000001</v>
      </c>
      <c r="AH262" s="85">
        <v>3747.2840000000001</v>
      </c>
      <c r="AI262" s="85">
        <v>0</v>
      </c>
      <c r="AJ262" s="85">
        <v>0</v>
      </c>
      <c r="AK262" s="85">
        <v>0</v>
      </c>
      <c r="AL262" s="85">
        <v>0</v>
      </c>
      <c r="AM262" s="85">
        <v>0</v>
      </c>
      <c r="AN262" s="85">
        <v>0</v>
      </c>
      <c r="AO262" s="85">
        <v>0</v>
      </c>
      <c r="AP262" s="85">
        <v>0</v>
      </c>
      <c r="AQ262" s="85">
        <v>0</v>
      </c>
      <c r="AR262" s="85">
        <v>3747.2840000000001</v>
      </c>
      <c r="AS262" s="85">
        <v>0</v>
      </c>
      <c r="AT262" s="85">
        <v>0</v>
      </c>
      <c r="AU262" s="85">
        <v>0</v>
      </c>
      <c r="AV262" s="85">
        <v>0</v>
      </c>
      <c r="AW262" s="85">
        <v>0</v>
      </c>
      <c r="AX262" s="85">
        <v>0</v>
      </c>
      <c r="AY262" s="85">
        <v>0</v>
      </c>
      <c r="AZ262" s="85">
        <v>0</v>
      </c>
      <c r="BA262" s="85">
        <v>0</v>
      </c>
      <c r="BB262" s="89">
        <v>0</v>
      </c>
      <c r="BC262" s="89">
        <v>0</v>
      </c>
      <c r="BD262" s="37">
        <v>34043</v>
      </c>
      <c r="BE262" s="37">
        <v>0</v>
      </c>
      <c r="BF262" s="279">
        <v>108637</v>
      </c>
      <c r="BG262" s="37">
        <v>531039</v>
      </c>
      <c r="BH262" s="37">
        <v>230423</v>
      </c>
      <c r="BI262" s="37">
        <v>0</v>
      </c>
      <c r="BJ262" s="283">
        <v>870099</v>
      </c>
      <c r="BK262" s="161"/>
      <c r="BL262" s="294"/>
      <c r="BM262"/>
      <c r="BN262"/>
      <c r="BO262"/>
      <c r="BP262"/>
      <c r="BQ262"/>
      <c r="BR262"/>
      <c r="BS262"/>
      <c r="BT262"/>
      <c r="BU262"/>
      <c r="BV262"/>
      <c r="BW262"/>
      <c r="BX262"/>
      <c r="BY262"/>
      <c r="BZ262"/>
      <c r="CA262"/>
      <c r="CB262"/>
      <c r="CC262"/>
      <c r="CD262"/>
      <c r="CE262"/>
      <c r="CF262"/>
      <c r="CG262"/>
      <c r="CH262"/>
      <c r="CI262"/>
      <c r="CJ262"/>
    </row>
    <row r="263" spans="1:88" s="32" customFormat="1" ht="15" customHeight="1" x14ac:dyDescent="0.35">
      <c r="A263" s="473"/>
      <c r="B263" s="313">
        <v>54035</v>
      </c>
      <c r="C263" s="8" t="s">
        <v>546</v>
      </c>
      <c r="D263" s="18">
        <v>16</v>
      </c>
      <c r="E263" s="251"/>
      <c r="F263" s="82"/>
      <c r="G263" s="79"/>
      <c r="H263" s="90"/>
      <c r="I263" s="85"/>
      <c r="J263" s="85"/>
      <c r="K263" s="85"/>
      <c r="L263" s="85"/>
      <c r="M263" s="85"/>
      <c r="N263" s="85"/>
      <c r="O263" s="85"/>
      <c r="P263" s="85"/>
      <c r="Q263" s="85"/>
      <c r="R263" s="85"/>
      <c r="S263" s="89"/>
      <c r="T263" s="89" t="s">
        <v>1124</v>
      </c>
      <c r="U263" s="85"/>
      <c r="V263" s="85"/>
      <c r="W263" s="85"/>
      <c r="X263" s="89" t="s">
        <v>1124</v>
      </c>
      <c r="Y263" s="79"/>
      <c r="Z263" s="79"/>
      <c r="AA263" s="94"/>
      <c r="AB263" s="79" t="s">
        <v>1124</v>
      </c>
      <c r="AC263" s="85"/>
      <c r="AD263" s="85"/>
      <c r="AE263" s="85"/>
      <c r="AF263" s="85"/>
      <c r="AG263" s="85" t="s">
        <v>1124</v>
      </c>
      <c r="AH263" s="85"/>
      <c r="AI263" s="85"/>
      <c r="AJ263" s="85"/>
      <c r="AK263" s="85"/>
      <c r="AL263" s="85"/>
      <c r="AM263" s="85"/>
      <c r="AN263" s="85"/>
      <c r="AO263" s="85"/>
      <c r="AP263" s="85"/>
      <c r="AQ263" s="85"/>
      <c r="AR263" s="85" t="s">
        <v>1124</v>
      </c>
      <c r="AS263" s="85"/>
      <c r="AT263" s="85"/>
      <c r="AU263" s="85"/>
      <c r="AV263" s="85"/>
      <c r="AW263" s="85"/>
      <c r="AX263" s="85"/>
      <c r="AY263" s="85"/>
      <c r="AZ263" s="85"/>
      <c r="BA263" s="85"/>
      <c r="BB263" s="89"/>
      <c r="BC263" s="89" t="s">
        <v>1124</v>
      </c>
      <c r="BD263" s="37"/>
      <c r="BE263" s="37"/>
      <c r="BF263" s="279"/>
      <c r="BG263" s="37"/>
      <c r="BH263" s="37"/>
      <c r="BI263" s="37"/>
      <c r="BJ263" s="283"/>
      <c r="BK263" s="161"/>
      <c r="BL263" s="294"/>
      <c r="BM263"/>
      <c r="BN263"/>
      <c r="BO263"/>
      <c r="BP263"/>
      <c r="BQ263"/>
      <c r="BR263"/>
      <c r="BS263"/>
      <c r="BT263"/>
      <c r="BU263"/>
      <c r="BV263"/>
      <c r="BW263"/>
      <c r="BX263"/>
      <c r="BY263"/>
      <c r="BZ263"/>
      <c r="CA263"/>
      <c r="CB263"/>
      <c r="CC263"/>
      <c r="CD263"/>
      <c r="CE263"/>
      <c r="CF263"/>
      <c r="CG263"/>
      <c r="CH263"/>
      <c r="CI263"/>
      <c r="CJ263"/>
    </row>
    <row r="264" spans="1:88" s="32" customFormat="1" ht="15" customHeight="1" x14ac:dyDescent="0.35">
      <c r="A264" s="473"/>
      <c r="B264" s="313">
        <v>9005</v>
      </c>
      <c r="C264" s="8" t="s">
        <v>1097</v>
      </c>
      <c r="D264" s="18">
        <v>1</v>
      </c>
      <c r="E264" s="251"/>
      <c r="F264" s="82"/>
      <c r="G264" s="79"/>
      <c r="H264" s="90"/>
      <c r="I264" s="85"/>
      <c r="J264" s="85"/>
      <c r="K264" s="85"/>
      <c r="L264" s="85"/>
      <c r="M264" s="85"/>
      <c r="N264" s="85"/>
      <c r="O264" s="85"/>
      <c r="P264" s="85"/>
      <c r="Q264" s="85"/>
      <c r="R264" s="85"/>
      <c r="S264" s="89"/>
      <c r="T264" s="89" t="s">
        <v>1124</v>
      </c>
      <c r="U264" s="85"/>
      <c r="V264" s="85"/>
      <c r="W264" s="85"/>
      <c r="X264" s="89" t="s">
        <v>1124</v>
      </c>
      <c r="Y264" s="79"/>
      <c r="Z264" s="79"/>
      <c r="AA264" s="94"/>
      <c r="AB264" s="79" t="s">
        <v>1124</v>
      </c>
      <c r="AC264" s="85"/>
      <c r="AD264" s="85"/>
      <c r="AE264" s="85"/>
      <c r="AF264" s="85"/>
      <c r="AG264" s="85" t="s">
        <v>1124</v>
      </c>
      <c r="AH264" s="85"/>
      <c r="AI264" s="85"/>
      <c r="AJ264" s="85"/>
      <c r="AK264" s="85"/>
      <c r="AL264" s="85"/>
      <c r="AM264" s="85"/>
      <c r="AN264" s="85"/>
      <c r="AO264" s="85"/>
      <c r="AP264" s="85"/>
      <c r="AQ264" s="85"/>
      <c r="AR264" s="85" t="s">
        <v>1124</v>
      </c>
      <c r="AS264" s="85"/>
      <c r="AT264" s="85"/>
      <c r="AU264" s="85"/>
      <c r="AV264" s="85"/>
      <c r="AW264" s="85"/>
      <c r="AX264" s="85"/>
      <c r="AY264" s="85"/>
      <c r="AZ264" s="85"/>
      <c r="BA264" s="85"/>
      <c r="BB264" s="89"/>
      <c r="BC264" s="89" t="s">
        <v>1124</v>
      </c>
      <c r="BD264" s="37"/>
      <c r="BE264" s="37"/>
      <c r="BF264" s="279"/>
      <c r="BG264" s="37"/>
      <c r="BH264" s="37"/>
      <c r="BI264" s="37"/>
      <c r="BJ264" s="283"/>
      <c r="BK264" s="161"/>
      <c r="BL264" s="294"/>
      <c r="BM264"/>
      <c r="BN264"/>
      <c r="BO264"/>
      <c r="BP264"/>
      <c r="BQ264"/>
      <c r="BR264"/>
      <c r="BS264"/>
      <c r="BT264"/>
      <c r="BU264"/>
      <c r="BV264"/>
      <c r="BW264"/>
      <c r="BX264"/>
      <c r="BY264"/>
      <c r="BZ264"/>
      <c r="CA264"/>
      <c r="CB264"/>
      <c r="CC264"/>
      <c r="CD264"/>
      <c r="CE264"/>
      <c r="CF264"/>
      <c r="CG264"/>
      <c r="CH264"/>
      <c r="CI264"/>
      <c r="CJ264"/>
    </row>
    <row r="265" spans="1:88" s="32" customFormat="1" ht="15" customHeight="1" x14ac:dyDescent="0.35">
      <c r="A265" s="473"/>
      <c r="B265" s="313">
        <v>87080</v>
      </c>
      <c r="C265" s="8" t="s">
        <v>902</v>
      </c>
      <c r="D265" s="18">
        <v>8</v>
      </c>
      <c r="E265" s="251"/>
      <c r="F265" s="82"/>
      <c r="G265" s="79"/>
      <c r="H265" s="90"/>
      <c r="I265" s="85"/>
      <c r="J265" s="85"/>
      <c r="K265" s="85"/>
      <c r="L265" s="85"/>
      <c r="M265" s="85"/>
      <c r="N265" s="85"/>
      <c r="O265" s="85"/>
      <c r="P265" s="85"/>
      <c r="Q265" s="85"/>
      <c r="R265" s="85"/>
      <c r="S265" s="89"/>
      <c r="T265" s="89" t="s">
        <v>1124</v>
      </c>
      <c r="U265" s="85"/>
      <c r="V265" s="85"/>
      <c r="W265" s="85"/>
      <c r="X265" s="89" t="s">
        <v>1124</v>
      </c>
      <c r="Y265" s="79"/>
      <c r="Z265" s="79"/>
      <c r="AA265" s="94"/>
      <c r="AB265" s="79" t="s">
        <v>1124</v>
      </c>
      <c r="AC265" s="85"/>
      <c r="AD265" s="85"/>
      <c r="AE265" s="85"/>
      <c r="AF265" s="85"/>
      <c r="AG265" s="85" t="s">
        <v>1124</v>
      </c>
      <c r="AH265" s="85"/>
      <c r="AI265" s="85"/>
      <c r="AJ265" s="85"/>
      <c r="AK265" s="85"/>
      <c r="AL265" s="85"/>
      <c r="AM265" s="85"/>
      <c r="AN265" s="85"/>
      <c r="AO265" s="85"/>
      <c r="AP265" s="85"/>
      <c r="AQ265" s="85"/>
      <c r="AR265" s="85" t="s">
        <v>1124</v>
      </c>
      <c r="AS265" s="85"/>
      <c r="AT265" s="85"/>
      <c r="AU265" s="85"/>
      <c r="AV265" s="85"/>
      <c r="AW265" s="85"/>
      <c r="AX265" s="85"/>
      <c r="AY265" s="85"/>
      <c r="AZ265" s="85"/>
      <c r="BA265" s="85"/>
      <c r="BB265" s="89"/>
      <c r="BC265" s="89" t="s">
        <v>1124</v>
      </c>
      <c r="BD265" s="37"/>
      <c r="BE265" s="37"/>
      <c r="BF265" s="279"/>
      <c r="BG265" s="37"/>
      <c r="BH265" s="37"/>
      <c r="BI265" s="37"/>
      <c r="BJ265" s="283"/>
      <c r="BK265" s="161"/>
      <c r="BL265" s="294"/>
      <c r="BM265"/>
      <c r="BN265"/>
      <c r="BO265"/>
      <c r="BP265"/>
      <c r="BQ265"/>
      <c r="BR265"/>
      <c r="BS265"/>
      <c r="BT265"/>
      <c r="BU265"/>
      <c r="BV265"/>
      <c r="BW265"/>
      <c r="BX265"/>
      <c r="BY265"/>
      <c r="BZ265"/>
      <c r="CA265"/>
      <c r="CB265"/>
      <c r="CC265"/>
      <c r="CD265"/>
      <c r="CE265"/>
      <c r="CF265"/>
      <c r="CG265"/>
      <c r="CH265"/>
      <c r="CI265"/>
      <c r="CJ265"/>
    </row>
    <row r="266" spans="1:88" s="32" customFormat="1" ht="15" customHeight="1" x14ac:dyDescent="0.35">
      <c r="A266" s="473"/>
      <c r="B266" s="313">
        <v>87090</v>
      </c>
      <c r="C266" s="8" t="s">
        <v>904</v>
      </c>
      <c r="D266" s="18">
        <v>8</v>
      </c>
      <c r="E266" s="251">
        <v>3516</v>
      </c>
      <c r="F266" s="82">
        <v>2.13</v>
      </c>
      <c r="G266" s="79">
        <v>7489.08</v>
      </c>
      <c r="H266" s="90">
        <v>93.406000000000006</v>
      </c>
      <c r="I266" s="85">
        <v>81.284000000000006</v>
      </c>
      <c r="J266" s="85">
        <v>97.68</v>
      </c>
      <c r="K266" s="85">
        <v>87.411000000000001</v>
      </c>
      <c r="L266" s="85">
        <v>91.974999999999994</v>
      </c>
      <c r="M266" s="85">
        <v>88.227000000000004</v>
      </c>
      <c r="N266" s="85">
        <v>87.218999999999994</v>
      </c>
      <c r="O266" s="85">
        <v>87.042000000000002</v>
      </c>
      <c r="P266" s="85">
        <v>83.570999999999998</v>
      </c>
      <c r="Q266" s="85">
        <v>84.682000000000002</v>
      </c>
      <c r="R266" s="85">
        <v>82.537999999999997</v>
      </c>
      <c r="S266" s="89">
        <v>90.769000000000005</v>
      </c>
      <c r="T266" s="89">
        <v>1055.8040000000001</v>
      </c>
      <c r="U266" s="85">
        <v>0</v>
      </c>
      <c r="V266" s="85">
        <v>1055.8040000000001</v>
      </c>
      <c r="W266" s="85">
        <v>0</v>
      </c>
      <c r="X266" s="89">
        <v>1055.8040000000001</v>
      </c>
      <c r="Y266" s="79">
        <v>0</v>
      </c>
      <c r="Z266" s="79">
        <v>1</v>
      </c>
      <c r="AA266" s="94">
        <v>0</v>
      </c>
      <c r="AB266" s="79">
        <v>1</v>
      </c>
      <c r="AC266" s="85">
        <v>587.15</v>
      </c>
      <c r="AD266" s="85">
        <v>163.44200000000001</v>
      </c>
      <c r="AE266" s="85">
        <v>305.21199999999999</v>
      </c>
      <c r="AF266" s="85">
        <v>0</v>
      </c>
      <c r="AG266" s="85">
        <v>1055.8040000000001</v>
      </c>
      <c r="AH266" s="85">
        <v>0</v>
      </c>
      <c r="AI266" s="85">
        <v>0</v>
      </c>
      <c r="AJ266" s="85">
        <v>0</v>
      </c>
      <c r="AK266" s="85">
        <v>0</v>
      </c>
      <c r="AL266" s="85">
        <v>0</v>
      </c>
      <c r="AM266" s="85">
        <v>0</v>
      </c>
      <c r="AN266" s="85">
        <v>0</v>
      </c>
      <c r="AO266" s="85">
        <v>0</v>
      </c>
      <c r="AP266" s="85">
        <v>0</v>
      </c>
      <c r="AQ266" s="85">
        <v>0</v>
      </c>
      <c r="AR266" s="85">
        <v>0</v>
      </c>
      <c r="AS266" s="85">
        <v>0</v>
      </c>
      <c r="AT266" s="85">
        <v>0</v>
      </c>
      <c r="AU266" s="85">
        <v>0</v>
      </c>
      <c r="AV266" s="85">
        <v>0</v>
      </c>
      <c r="AW266" s="85">
        <v>0</v>
      </c>
      <c r="AX266" s="85">
        <v>0</v>
      </c>
      <c r="AY266" s="85">
        <v>0</v>
      </c>
      <c r="AZ266" s="85">
        <v>0</v>
      </c>
      <c r="BA266" s="85">
        <v>1055.8040000000001</v>
      </c>
      <c r="BB266" s="89">
        <v>0</v>
      </c>
      <c r="BC266" s="89">
        <v>1055.8040000000001</v>
      </c>
      <c r="BD266" s="37">
        <v>0</v>
      </c>
      <c r="BE266" s="37">
        <v>0</v>
      </c>
      <c r="BF266" s="279">
        <v>70110</v>
      </c>
      <c r="BG266" s="37">
        <v>231485</v>
      </c>
      <c r="BH266" s="37">
        <v>76480</v>
      </c>
      <c r="BI266" s="37">
        <v>4059</v>
      </c>
      <c r="BJ266" s="283">
        <v>382134</v>
      </c>
      <c r="BK266" s="161" t="s">
        <v>1940</v>
      </c>
      <c r="BL266" s="294"/>
      <c r="BM266"/>
      <c r="BN266"/>
      <c r="BO266"/>
      <c r="BP266"/>
      <c r="BQ266"/>
      <c r="BR266"/>
      <c r="BS266"/>
      <c r="BT266"/>
      <c r="BU266"/>
      <c r="BV266"/>
      <c r="BW266"/>
      <c r="BX266"/>
      <c r="BY266"/>
      <c r="BZ266"/>
      <c r="CA266"/>
      <c r="CB266"/>
      <c r="CC266"/>
      <c r="CD266"/>
      <c r="CE266"/>
      <c r="CF266"/>
      <c r="CG266"/>
      <c r="CH266"/>
      <c r="CI266"/>
      <c r="CJ266"/>
    </row>
    <row r="267" spans="1:88" s="32" customFormat="1" ht="15" customHeight="1" x14ac:dyDescent="0.35">
      <c r="A267" s="473"/>
      <c r="B267" s="313">
        <v>10010</v>
      </c>
      <c r="C267" s="8" t="s">
        <v>9</v>
      </c>
      <c r="D267" s="18">
        <v>1</v>
      </c>
      <c r="E267" s="251"/>
      <c r="F267" s="82"/>
      <c r="G267" s="79"/>
      <c r="H267" s="90"/>
      <c r="I267" s="85"/>
      <c r="J267" s="85"/>
      <c r="K267" s="85"/>
      <c r="L267" s="85"/>
      <c r="M267" s="85"/>
      <c r="N267" s="85"/>
      <c r="O267" s="85"/>
      <c r="P267" s="85"/>
      <c r="Q267" s="85"/>
      <c r="R267" s="85"/>
      <c r="S267" s="89"/>
      <c r="T267" s="89" t="s">
        <v>1124</v>
      </c>
      <c r="U267" s="85"/>
      <c r="V267" s="85"/>
      <c r="W267" s="85"/>
      <c r="X267" s="89" t="s">
        <v>1124</v>
      </c>
      <c r="Y267" s="79"/>
      <c r="Z267" s="79"/>
      <c r="AA267" s="94"/>
      <c r="AB267" s="79" t="s">
        <v>1124</v>
      </c>
      <c r="AC267" s="85"/>
      <c r="AD267" s="85"/>
      <c r="AE267" s="85"/>
      <c r="AF267" s="85"/>
      <c r="AG267" s="85" t="s">
        <v>1124</v>
      </c>
      <c r="AH267" s="85"/>
      <c r="AI267" s="85"/>
      <c r="AJ267" s="85"/>
      <c r="AK267" s="85"/>
      <c r="AL267" s="85"/>
      <c r="AM267" s="85"/>
      <c r="AN267" s="85"/>
      <c r="AO267" s="85"/>
      <c r="AP267" s="85"/>
      <c r="AQ267" s="85"/>
      <c r="AR267" s="85" t="s">
        <v>1124</v>
      </c>
      <c r="AS267" s="85"/>
      <c r="AT267" s="85"/>
      <c r="AU267" s="85"/>
      <c r="AV267" s="85"/>
      <c r="AW267" s="85"/>
      <c r="AX267" s="85"/>
      <c r="AY267" s="85"/>
      <c r="AZ267" s="85"/>
      <c r="BA267" s="85"/>
      <c r="BB267" s="89"/>
      <c r="BC267" s="89" t="s">
        <v>1124</v>
      </c>
      <c r="BD267" s="37"/>
      <c r="BE267" s="37"/>
      <c r="BF267" s="279"/>
      <c r="BG267" s="37"/>
      <c r="BH267" s="37"/>
      <c r="BI267" s="37"/>
      <c r="BJ267" s="283"/>
      <c r="BK267" s="161"/>
      <c r="BL267" s="294"/>
      <c r="BM267"/>
      <c r="BN267"/>
      <c r="BO267"/>
      <c r="BP267"/>
      <c r="BQ267"/>
      <c r="BR267"/>
      <c r="BS267"/>
      <c r="BT267"/>
      <c r="BU267"/>
      <c r="BV267"/>
      <c r="BW267"/>
      <c r="BX267"/>
      <c r="BY267"/>
      <c r="BZ267"/>
      <c r="CA267"/>
      <c r="CB267"/>
      <c r="CC267"/>
      <c r="CD267"/>
      <c r="CE267"/>
      <c r="CF267"/>
      <c r="CG267"/>
      <c r="CH267"/>
      <c r="CI267"/>
      <c r="CJ267"/>
    </row>
    <row r="268" spans="1:88" s="32" customFormat="1" ht="15" customHeight="1" x14ac:dyDescent="0.35">
      <c r="A268" s="473"/>
      <c r="B268" s="313">
        <v>90012</v>
      </c>
      <c r="C268" s="8" t="s">
        <v>934</v>
      </c>
      <c r="D268" s="18">
        <v>4</v>
      </c>
      <c r="E268" s="251">
        <v>3695</v>
      </c>
      <c r="F268" s="82">
        <v>1.5863407620416967</v>
      </c>
      <c r="G268" s="79">
        <v>5861.5291157440697</v>
      </c>
      <c r="H268" s="90">
        <v>282.10731634595942</v>
      </c>
      <c r="I268" s="85">
        <v>278.50843193886516</v>
      </c>
      <c r="J268" s="85">
        <v>299.32610673520486</v>
      </c>
      <c r="K268" s="85">
        <v>264.99800916445867</v>
      </c>
      <c r="L268" s="85">
        <v>290.25511607976495</v>
      </c>
      <c r="M268" s="85">
        <v>241.45311417615181</v>
      </c>
      <c r="N268" s="85">
        <v>245.19000345955689</v>
      </c>
      <c r="O268" s="85">
        <v>232.44225447534794</v>
      </c>
      <c r="P268" s="85">
        <v>172.1608688358717</v>
      </c>
      <c r="Q268" s="85">
        <v>150.61579790798922</v>
      </c>
      <c r="R268" s="85">
        <v>210.9833549421673</v>
      </c>
      <c r="S268" s="89">
        <v>252.48257698821882</v>
      </c>
      <c r="T268" s="89">
        <v>2920.5229510495565</v>
      </c>
      <c r="U268" s="85">
        <v>2890.8699510495567</v>
      </c>
      <c r="V268" s="85">
        <v>29.652999999999999</v>
      </c>
      <c r="W268" s="85">
        <v>0</v>
      </c>
      <c r="X268" s="89">
        <v>2920.5229510495565</v>
      </c>
      <c r="Y268" s="79">
        <v>2</v>
      </c>
      <c r="Z268" s="79">
        <v>1</v>
      </c>
      <c r="AA268" s="94">
        <v>0</v>
      </c>
      <c r="AB268" s="79">
        <v>3</v>
      </c>
      <c r="AC268" s="85">
        <v>1742.9739999999999</v>
      </c>
      <c r="AD268" s="85">
        <v>719.38395104955657</v>
      </c>
      <c r="AE268" s="85">
        <v>458.16500000000002</v>
      </c>
      <c r="AF268" s="85">
        <v>0</v>
      </c>
      <c r="AG268" s="85">
        <v>2920.5229510495565</v>
      </c>
      <c r="AH268" s="85">
        <v>0</v>
      </c>
      <c r="AI268" s="85">
        <v>0</v>
      </c>
      <c r="AJ268" s="85">
        <v>0</v>
      </c>
      <c r="AK268" s="85">
        <v>63.515061049556607</v>
      </c>
      <c r="AL268" s="85">
        <v>0</v>
      </c>
      <c r="AM268" s="85">
        <v>0</v>
      </c>
      <c r="AN268" s="85">
        <v>0</v>
      </c>
      <c r="AO268" s="85">
        <v>2827.3548900000001</v>
      </c>
      <c r="AP268" s="85">
        <v>0</v>
      </c>
      <c r="AQ268" s="85">
        <v>0</v>
      </c>
      <c r="AR268" s="85">
        <v>2890.8699510495567</v>
      </c>
      <c r="AS268" s="85">
        <v>0</v>
      </c>
      <c r="AT268" s="85">
        <v>0</v>
      </c>
      <c r="AU268" s="85">
        <v>0</v>
      </c>
      <c r="AV268" s="85">
        <v>0</v>
      </c>
      <c r="AW268" s="85">
        <v>0</v>
      </c>
      <c r="AX268" s="85">
        <v>0</v>
      </c>
      <c r="AY268" s="85">
        <v>29.652999999999999</v>
      </c>
      <c r="AZ268" s="85">
        <v>0</v>
      </c>
      <c r="BA268" s="85">
        <v>0</v>
      </c>
      <c r="BB268" s="89">
        <v>0</v>
      </c>
      <c r="BC268" s="89">
        <v>29.652999999999999</v>
      </c>
      <c r="BD268" s="37">
        <v>332872</v>
      </c>
      <c r="BE268" s="37">
        <v>0</v>
      </c>
      <c r="BF268" s="279">
        <v>107651</v>
      </c>
      <c r="BG268" s="37">
        <v>155160</v>
      </c>
      <c r="BH268" s="37">
        <v>45729</v>
      </c>
      <c r="BI268" s="37">
        <v>9396</v>
      </c>
      <c r="BJ268" s="283">
        <v>317936</v>
      </c>
      <c r="BK268" s="161"/>
      <c r="BL268" s="294"/>
      <c r="BM268"/>
      <c r="BN268"/>
      <c r="BO268"/>
      <c r="BP268"/>
      <c r="BQ268"/>
      <c r="BR268"/>
      <c r="BS268"/>
      <c r="BT268"/>
      <c r="BU268"/>
      <c r="BV268"/>
      <c r="BW268"/>
      <c r="BX268"/>
      <c r="BY268"/>
      <c r="BZ268"/>
      <c r="CA268"/>
      <c r="CB268"/>
      <c r="CC268"/>
      <c r="CD268"/>
      <c r="CE268"/>
      <c r="CF268"/>
      <c r="CG268"/>
      <c r="CH268"/>
      <c r="CI268"/>
      <c r="CJ268"/>
    </row>
    <row r="269" spans="1:88" s="32" customFormat="1" ht="15" customHeight="1" x14ac:dyDescent="0.35">
      <c r="A269" s="473"/>
      <c r="B269" s="313">
        <v>52050</v>
      </c>
      <c r="C269" s="8" t="s">
        <v>521</v>
      </c>
      <c r="D269" s="18">
        <v>14</v>
      </c>
      <c r="E269" s="251"/>
      <c r="F269" s="82"/>
      <c r="G269" s="79"/>
      <c r="H269" s="90"/>
      <c r="I269" s="85"/>
      <c r="J269" s="85"/>
      <c r="K269" s="85"/>
      <c r="L269" s="85"/>
      <c r="M269" s="85"/>
      <c r="N269" s="85"/>
      <c r="O269" s="85"/>
      <c r="P269" s="85"/>
      <c r="Q269" s="85"/>
      <c r="R269" s="85"/>
      <c r="S269" s="89"/>
      <c r="T269" s="89" t="s">
        <v>1124</v>
      </c>
      <c r="U269" s="85"/>
      <c r="V269" s="85"/>
      <c r="W269" s="85"/>
      <c r="X269" s="89" t="s">
        <v>1124</v>
      </c>
      <c r="Y269" s="79"/>
      <c r="Z269" s="79"/>
      <c r="AA269" s="94"/>
      <c r="AB269" s="79" t="s">
        <v>1124</v>
      </c>
      <c r="AC269" s="85"/>
      <c r="AD269" s="85"/>
      <c r="AE269" s="85"/>
      <c r="AF269" s="85"/>
      <c r="AG269" s="85" t="s">
        <v>1124</v>
      </c>
      <c r="AH269" s="85"/>
      <c r="AI269" s="85"/>
      <c r="AJ269" s="85"/>
      <c r="AK269" s="85"/>
      <c r="AL269" s="85"/>
      <c r="AM269" s="85"/>
      <c r="AN269" s="85"/>
      <c r="AO269" s="85"/>
      <c r="AP269" s="85"/>
      <c r="AQ269" s="85"/>
      <c r="AR269" s="85" t="s">
        <v>1124</v>
      </c>
      <c r="AS269" s="85"/>
      <c r="AT269" s="85"/>
      <c r="AU269" s="85"/>
      <c r="AV269" s="85"/>
      <c r="AW269" s="85"/>
      <c r="AX269" s="85"/>
      <c r="AY269" s="85"/>
      <c r="AZ269" s="85"/>
      <c r="BA269" s="85"/>
      <c r="BB269" s="89"/>
      <c r="BC269" s="89" t="s">
        <v>1124</v>
      </c>
      <c r="BD269" s="37"/>
      <c r="BE269" s="37"/>
      <c r="BF269" s="279"/>
      <c r="BG269" s="37"/>
      <c r="BH269" s="37"/>
      <c r="BI269" s="37"/>
      <c r="BJ269" s="283"/>
      <c r="BK269" s="161"/>
      <c r="BL269" s="294"/>
      <c r="BM269"/>
      <c r="BN269"/>
      <c r="BO269"/>
      <c r="BP269"/>
      <c r="BQ269"/>
      <c r="BR269"/>
      <c r="BS269"/>
      <c r="BT269"/>
      <c r="BU269"/>
      <c r="BV269"/>
      <c r="BW269"/>
      <c r="BX269"/>
      <c r="BY269"/>
      <c r="BZ269"/>
      <c r="CA269"/>
      <c r="CB269"/>
      <c r="CC269"/>
      <c r="CD269"/>
      <c r="CE269"/>
      <c r="CF269"/>
      <c r="CG269"/>
      <c r="CH269"/>
      <c r="CI269"/>
      <c r="CJ269"/>
    </row>
    <row r="270" spans="1:88" s="32" customFormat="1" ht="15" customHeight="1" x14ac:dyDescent="0.35">
      <c r="A270" s="473"/>
      <c r="B270" s="313">
        <v>50085</v>
      </c>
      <c r="C270" s="8" t="s">
        <v>492</v>
      </c>
      <c r="D270" s="18">
        <v>17</v>
      </c>
      <c r="E270" s="251"/>
      <c r="F270" s="82"/>
      <c r="G270" s="79"/>
      <c r="H270" s="90"/>
      <c r="I270" s="85"/>
      <c r="J270" s="85"/>
      <c r="K270" s="85"/>
      <c r="L270" s="85"/>
      <c r="M270" s="85"/>
      <c r="N270" s="85"/>
      <c r="O270" s="85"/>
      <c r="P270" s="85"/>
      <c r="Q270" s="85"/>
      <c r="R270" s="85"/>
      <c r="S270" s="89"/>
      <c r="T270" s="89" t="s">
        <v>1124</v>
      </c>
      <c r="U270" s="85"/>
      <c r="V270" s="85"/>
      <c r="W270" s="85"/>
      <c r="X270" s="89" t="s">
        <v>1124</v>
      </c>
      <c r="Y270" s="79"/>
      <c r="Z270" s="79"/>
      <c r="AA270" s="94"/>
      <c r="AB270" s="79" t="s">
        <v>1124</v>
      </c>
      <c r="AC270" s="85"/>
      <c r="AD270" s="85"/>
      <c r="AE270" s="85"/>
      <c r="AF270" s="85"/>
      <c r="AG270" s="85" t="s">
        <v>1124</v>
      </c>
      <c r="AH270" s="85"/>
      <c r="AI270" s="85"/>
      <c r="AJ270" s="85"/>
      <c r="AK270" s="85"/>
      <c r="AL270" s="85"/>
      <c r="AM270" s="85"/>
      <c r="AN270" s="85"/>
      <c r="AO270" s="85"/>
      <c r="AP270" s="85"/>
      <c r="AQ270" s="85"/>
      <c r="AR270" s="85" t="s">
        <v>1124</v>
      </c>
      <c r="AS270" s="85"/>
      <c r="AT270" s="85"/>
      <c r="AU270" s="85"/>
      <c r="AV270" s="85"/>
      <c r="AW270" s="85"/>
      <c r="AX270" s="85"/>
      <c r="AY270" s="85"/>
      <c r="AZ270" s="85"/>
      <c r="BA270" s="85"/>
      <c r="BB270" s="89"/>
      <c r="BC270" s="89" t="s">
        <v>1124</v>
      </c>
      <c r="BD270" s="37"/>
      <c r="BE270" s="37"/>
      <c r="BF270" s="279"/>
      <c r="BG270" s="37"/>
      <c r="BH270" s="37"/>
      <c r="BI270" s="37"/>
      <c r="BJ270" s="283"/>
      <c r="BK270" s="161"/>
      <c r="BL270" s="294"/>
      <c r="BM270"/>
      <c r="BN270"/>
      <c r="BO270"/>
      <c r="BP270"/>
      <c r="BQ270"/>
      <c r="BR270"/>
      <c r="BS270"/>
      <c r="BT270"/>
      <c r="BU270"/>
      <c r="BV270"/>
      <c r="BW270"/>
      <c r="BX270"/>
      <c r="BY270"/>
      <c r="BZ270"/>
      <c r="CA270"/>
      <c r="CB270"/>
      <c r="CC270"/>
      <c r="CD270"/>
      <c r="CE270"/>
      <c r="CF270"/>
      <c r="CG270"/>
      <c r="CH270"/>
      <c r="CI270"/>
      <c r="CJ270"/>
    </row>
    <row r="271" spans="1:88" s="32" customFormat="1" ht="15" customHeight="1" x14ac:dyDescent="0.35">
      <c r="A271" s="473"/>
      <c r="B271" s="313">
        <v>78120</v>
      </c>
      <c r="C271" s="8" t="s">
        <v>783</v>
      </c>
      <c r="D271" s="18">
        <v>15</v>
      </c>
      <c r="E271" s="251">
        <v>814</v>
      </c>
      <c r="F271" s="82">
        <v>1.6502363268062121</v>
      </c>
      <c r="G271" s="79">
        <v>1343.2923700202566</v>
      </c>
      <c r="H271" s="90">
        <v>25.476949999999999</v>
      </c>
      <c r="I271" s="85">
        <v>28.30697</v>
      </c>
      <c r="J271" s="85">
        <v>37.474130000000002</v>
      </c>
      <c r="K271" s="85">
        <v>37.52561</v>
      </c>
      <c r="L271" s="85">
        <v>21.015879999999999</v>
      </c>
      <c r="M271" s="85">
        <v>22.45036</v>
      </c>
      <c r="N271" s="85">
        <v>21.768519999999999</v>
      </c>
      <c r="O271" s="85">
        <v>21.44876</v>
      </c>
      <c r="P271" s="85">
        <v>18.988309999999998</v>
      </c>
      <c r="Q271" s="85">
        <v>17.993259999999999</v>
      </c>
      <c r="R271" s="85">
        <v>17.964829999999999</v>
      </c>
      <c r="S271" s="89">
        <v>20.41151</v>
      </c>
      <c r="T271" s="89">
        <v>290.82508999999999</v>
      </c>
      <c r="U271" s="85">
        <v>290.82499999999999</v>
      </c>
      <c r="V271" s="85">
        <v>0</v>
      </c>
      <c r="W271" s="85">
        <v>0</v>
      </c>
      <c r="X271" s="89">
        <v>290.82499999999999</v>
      </c>
      <c r="Y271" s="79">
        <v>1</v>
      </c>
      <c r="Z271" s="79">
        <v>0</v>
      </c>
      <c r="AA271" s="94">
        <v>0</v>
      </c>
      <c r="AB271" s="79">
        <v>1</v>
      </c>
      <c r="AC271" s="85">
        <v>231.88900000000001</v>
      </c>
      <c r="AD271" s="85">
        <v>31.256</v>
      </c>
      <c r="AE271" s="85">
        <v>27.68</v>
      </c>
      <c r="AF271" s="85">
        <v>0</v>
      </c>
      <c r="AG271" s="85">
        <v>290.82499999999999</v>
      </c>
      <c r="AH271" s="85">
        <v>0</v>
      </c>
      <c r="AI271" s="85">
        <v>0</v>
      </c>
      <c r="AJ271" s="85">
        <v>0</v>
      </c>
      <c r="AK271" s="85">
        <v>0</v>
      </c>
      <c r="AL271" s="85">
        <v>0</v>
      </c>
      <c r="AM271" s="85">
        <v>0</v>
      </c>
      <c r="AN271" s="85">
        <v>0</v>
      </c>
      <c r="AO271" s="85">
        <v>290.82499999999999</v>
      </c>
      <c r="AP271" s="85">
        <v>0</v>
      </c>
      <c r="AQ271" s="85">
        <v>0</v>
      </c>
      <c r="AR271" s="85">
        <v>290.82499999999999</v>
      </c>
      <c r="AS271" s="85">
        <v>0</v>
      </c>
      <c r="AT271" s="85">
        <v>0</v>
      </c>
      <c r="AU271" s="85">
        <v>0</v>
      </c>
      <c r="AV271" s="85">
        <v>0</v>
      </c>
      <c r="AW271" s="85">
        <v>0</v>
      </c>
      <c r="AX271" s="85">
        <v>0</v>
      </c>
      <c r="AY271" s="85">
        <v>0</v>
      </c>
      <c r="AZ271" s="85">
        <v>0</v>
      </c>
      <c r="BA271" s="85">
        <v>0</v>
      </c>
      <c r="BB271" s="89">
        <v>0</v>
      </c>
      <c r="BC271" s="89">
        <v>0</v>
      </c>
      <c r="BD271" s="37">
        <v>0</v>
      </c>
      <c r="BE271" s="37">
        <v>0</v>
      </c>
      <c r="BF271" s="279">
        <v>66883</v>
      </c>
      <c r="BG271" s="37">
        <v>42723</v>
      </c>
      <c r="BH271" s="37">
        <v>27343</v>
      </c>
      <c r="BI271" s="37">
        <v>12596</v>
      </c>
      <c r="BJ271" s="283">
        <v>149545</v>
      </c>
      <c r="BK271" s="161"/>
      <c r="BL271" s="294"/>
      <c r="BM271"/>
      <c r="BN271"/>
      <c r="BO271"/>
      <c r="BP271"/>
      <c r="BQ271"/>
      <c r="BR271"/>
      <c r="BS271"/>
      <c r="BT271"/>
      <c r="BU271"/>
      <c r="BV271"/>
      <c r="BW271"/>
      <c r="BX271"/>
      <c r="BY271"/>
      <c r="BZ271"/>
      <c r="CA271"/>
      <c r="CB271"/>
      <c r="CC271"/>
      <c r="CD271"/>
      <c r="CE271"/>
      <c r="CF271"/>
      <c r="CG271"/>
      <c r="CH271"/>
      <c r="CI271"/>
      <c r="CJ271"/>
    </row>
    <row r="272" spans="1:88" s="32" customFormat="1" ht="15" customHeight="1" x14ac:dyDescent="0.35">
      <c r="A272" s="473"/>
      <c r="B272" s="313">
        <v>93055</v>
      </c>
      <c r="C272" s="8" t="s">
        <v>966</v>
      </c>
      <c r="D272" s="18">
        <v>2</v>
      </c>
      <c r="E272" s="251">
        <v>462</v>
      </c>
      <c r="F272" s="82">
        <v>2.3298611111111112</v>
      </c>
      <c r="G272" s="79">
        <v>1076.3958333333333</v>
      </c>
      <c r="H272" s="90">
        <v>14.997</v>
      </c>
      <c r="I272" s="85">
        <v>13.839</v>
      </c>
      <c r="J272" s="85">
        <v>16.045000000000002</v>
      </c>
      <c r="K272" s="85">
        <v>14.872999999999999</v>
      </c>
      <c r="L272" s="85">
        <v>15.208</v>
      </c>
      <c r="M272" s="85">
        <v>14.683</v>
      </c>
      <c r="N272" s="85">
        <v>16.675000000000001</v>
      </c>
      <c r="O272" s="85">
        <v>14.071</v>
      </c>
      <c r="P272" s="85">
        <v>12.409000000000001</v>
      </c>
      <c r="Q272" s="85">
        <v>11.62</v>
      </c>
      <c r="R272" s="85">
        <v>15.428000000000001</v>
      </c>
      <c r="S272" s="89">
        <v>21.283999999999999</v>
      </c>
      <c r="T272" s="89">
        <v>181.13200000000001</v>
      </c>
      <c r="U272" s="85">
        <v>0</v>
      </c>
      <c r="V272" s="85">
        <v>181.13200000000001</v>
      </c>
      <c r="W272" s="85">
        <v>0</v>
      </c>
      <c r="X272" s="89">
        <v>181.13200000000001</v>
      </c>
      <c r="Y272" s="79">
        <v>0</v>
      </c>
      <c r="Z272" s="79">
        <v>1</v>
      </c>
      <c r="AA272" s="94">
        <v>0</v>
      </c>
      <c r="AB272" s="79">
        <v>1</v>
      </c>
      <c r="AC272" s="85">
        <v>104.42</v>
      </c>
      <c r="AD272" s="85">
        <v>13.815</v>
      </c>
      <c r="AE272" s="85">
        <v>62.896999999999998</v>
      </c>
      <c r="AF272" s="85">
        <v>0</v>
      </c>
      <c r="AG272" s="85">
        <v>181.13200000000001</v>
      </c>
      <c r="AH272" s="85">
        <v>0</v>
      </c>
      <c r="AI272" s="85">
        <v>0</v>
      </c>
      <c r="AJ272" s="85">
        <v>0</v>
      </c>
      <c r="AK272" s="85">
        <v>0</v>
      </c>
      <c r="AL272" s="85">
        <v>0</v>
      </c>
      <c r="AM272" s="85">
        <v>0</v>
      </c>
      <c r="AN272" s="85">
        <v>0</v>
      </c>
      <c r="AO272" s="85">
        <v>0</v>
      </c>
      <c r="AP272" s="85">
        <v>0</v>
      </c>
      <c r="AQ272" s="85">
        <v>0</v>
      </c>
      <c r="AR272" s="85">
        <v>0</v>
      </c>
      <c r="AS272" s="85">
        <v>0</v>
      </c>
      <c r="AT272" s="85">
        <v>0</v>
      </c>
      <c r="AU272" s="85">
        <v>0</v>
      </c>
      <c r="AV272" s="85">
        <v>0</v>
      </c>
      <c r="AW272" s="85">
        <v>0</v>
      </c>
      <c r="AX272" s="85">
        <v>0</v>
      </c>
      <c r="AY272" s="85">
        <v>181.13200000000001</v>
      </c>
      <c r="AZ272" s="85">
        <v>0</v>
      </c>
      <c r="BA272" s="85">
        <v>0</v>
      </c>
      <c r="BB272" s="89">
        <v>0</v>
      </c>
      <c r="BC272" s="89">
        <v>181.13200000000001</v>
      </c>
      <c r="BD272" s="37">
        <v>0</v>
      </c>
      <c r="BE272" s="37">
        <v>295035</v>
      </c>
      <c r="BF272" s="279">
        <v>15300</v>
      </c>
      <c r="BG272" s="37">
        <v>11000</v>
      </c>
      <c r="BH272" s="37">
        <v>24500</v>
      </c>
      <c r="BI272" s="37">
        <v>0</v>
      </c>
      <c r="BJ272" s="283">
        <v>50800</v>
      </c>
      <c r="BK272" s="161"/>
      <c r="BL272" s="294"/>
      <c r="BM272"/>
      <c r="BN272"/>
      <c r="BO272"/>
      <c r="BP272"/>
      <c r="BQ272"/>
      <c r="BR272"/>
      <c r="BS272"/>
      <c r="BT272"/>
      <c r="BU272"/>
      <c r="BV272"/>
      <c r="BW272"/>
      <c r="BX272"/>
      <c r="BY272"/>
      <c r="BZ272"/>
      <c r="CA272"/>
      <c r="CB272"/>
      <c r="CC272"/>
      <c r="CD272"/>
      <c r="CE272"/>
      <c r="CF272"/>
      <c r="CG272"/>
      <c r="CH272"/>
      <c r="CI272"/>
      <c r="CJ272"/>
    </row>
    <row r="273" spans="1:88" s="32" customFormat="1" ht="15" customHeight="1" x14ac:dyDescent="0.35">
      <c r="A273" s="473"/>
      <c r="B273" s="313">
        <v>7057</v>
      </c>
      <c r="C273" s="8" t="s">
        <v>1076</v>
      </c>
      <c r="D273" s="18">
        <v>1</v>
      </c>
      <c r="E273" s="251">
        <v>379</v>
      </c>
      <c r="F273" s="82">
        <v>2.6679316888045541</v>
      </c>
      <c r="G273" s="79">
        <v>1011.146110056926</v>
      </c>
      <c r="H273" s="90">
        <v>23.012499999999999</v>
      </c>
      <c r="I273" s="85">
        <v>20.655000000000001</v>
      </c>
      <c r="J273" s="85">
        <v>22.478899999999999</v>
      </c>
      <c r="K273" s="85">
        <v>20.782499999999999</v>
      </c>
      <c r="L273" s="85">
        <v>14.256</v>
      </c>
      <c r="M273" s="85">
        <v>27.109200000000001</v>
      </c>
      <c r="N273" s="85">
        <v>27.916692307692308</v>
      </c>
      <c r="O273" s="85">
        <v>26.845999999999997</v>
      </c>
      <c r="P273" s="85">
        <v>25.843125000000001</v>
      </c>
      <c r="Q273" s="85">
        <v>27.119833333333332</v>
      </c>
      <c r="R273" s="85">
        <v>35.227499999999999</v>
      </c>
      <c r="S273" s="89">
        <v>29.175769230769227</v>
      </c>
      <c r="T273" s="89">
        <v>300.42301987179485</v>
      </c>
      <c r="U273" s="85">
        <v>300.423</v>
      </c>
      <c r="V273" s="85">
        <v>0</v>
      </c>
      <c r="W273" s="85">
        <v>0</v>
      </c>
      <c r="X273" s="89">
        <v>300.423</v>
      </c>
      <c r="Y273" s="79">
        <v>1</v>
      </c>
      <c r="Z273" s="79">
        <v>0</v>
      </c>
      <c r="AA273" s="94">
        <v>0</v>
      </c>
      <c r="AB273" s="79">
        <v>1</v>
      </c>
      <c r="AC273" s="85">
        <v>139.13499999999999</v>
      </c>
      <c r="AD273" s="85">
        <v>18.97</v>
      </c>
      <c r="AE273" s="85">
        <v>142.31800000000001</v>
      </c>
      <c r="AF273" s="85">
        <v>0</v>
      </c>
      <c r="AG273" s="85">
        <v>300.423</v>
      </c>
      <c r="AH273" s="85">
        <v>0</v>
      </c>
      <c r="AI273" s="85">
        <v>0</v>
      </c>
      <c r="AJ273" s="85">
        <v>0</v>
      </c>
      <c r="AK273" s="85">
        <v>0</v>
      </c>
      <c r="AL273" s="85">
        <v>0</v>
      </c>
      <c r="AM273" s="85">
        <v>0</v>
      </c>
      <c r="AN273" s="85">
        <v>300.423</v>
      </c>
      <c r="AO273" s="85">
        <v>0</v>
      </c>
      <c r="AP273" s="85">
        <v>0</v>
      </c>
      <c r="AQ273" s="85">
        <v>0</v>
      </c>
      <c r="AR273" s="85">
        <v>300.423</v>
      </c>
      <c r="AS273" s="85">
        <v>0</v>
      </c>
      <c r="AT273" s="85">
        <v>0</v>
      </c>
      <c r="AU273" s="85">
        <v>0</v>
      </c>
      <c r="AV273" s="85">
        <v>0</v>
      </c>
      <c r="AW273" s="85">
        <v>0</v>
      </c>
      <c r="AX273" s="85">
        <v>0</v>
      </c>
      <c r="AY273" s="85">
        <v>0</v>
      </c>
      <c r="AZ273" s="85">
        <v>0</v>
      </c>
      <c r="BA273" s="85">
        <v>0</v>
      </c>
      <c r="BB273" s="89">
        <v>0</v>
      </c>
      <c r="BC273" s="89">
        <v>0</v>
      </c>
      <c r="BD273" s="37">
        <v>378810</v>
      </c>
      <c r="BE273" s="37">
        <v>165344</v>
      </c>
      <c r="BF273" s="279">
        <v>21794</v>
      </c>
      <c r="BG273" s="37">
        <v>15274</v>
      </c>
      <c r="BH273" s="37">
        <v>1493</v>
      </c>
      <c r="BI273" s="37">
        <v>9320</v>
      </c>
      <c r="BJ273" s="283">
        <v>47881</v>
      </c>
      <c r="BK273" s="161"/>
      <c r="BL273" s="294"/>
      <c r="BM273"/>
      <c r="BN273"/>
      <c r="BO273"/>
      <c r="BP273"/>
      <c r="BQ273"/>
      <c r="BR273"/>
      <c r="BS273"/>
      <c r="BT273"/>
      <c r="BU273"/>
      <c r="BV273"/>
      <c r="BW273"/>
      <c r="BX273"/>
      <c r="BY273"/>
      <c r="BZ273"/>
      <c r="CA273"/>
      <c r="CB273"/>
      <c r="CC273"/>
      <c r="CD273"/>
      <c r="CE273"/>
      <c r="CF273"/>
      <c r="CG273"/>
      <c r="CH273"/>
      <c r="CI273"/>
      <c r="CJ273"/>
    </row>
    <row r="274" spans="1:88" s="32" customFormat="1" ht="15" customHeight="1" x14ac:dyDescent="0.35">
      <c r="A274" s="473"/>
      <c r="B274" s="313">
        <v>35010</v>
      </c>
      <c r="C274" s="8" t="s">
        <v>304</v>
      </c>
      <c r="D274" s="18">
        <v>4</v>
      </c>
      <c r="E274" s="251"/>
      <c r="F274" s="82"/>
      <c r="G274" s="79"/>
      <c r="H274" s="90"/>
      <c r="I274" s="85"/>
      <c r="J274" s="85"/>
      <c r="K274" s="85"/>
      <c r="L274" s="85"/>
      <c r="M274" s="85"/>
      <c r="N274" s="85"/>
      <c r="O274" s="85"/>
      <c r="P274" s="85"/>
      <c r="Q274" s="85"/>
      <c r="R274" s="85"/>
      <c r="S274" s="89"/>
      <c r="T274" s="89" t="s">
        <v>1124</v>
      </c>
      <c r="U274" s="85"/>
      <c r="V274" s="85"/>
      <c r="W274" s="85"/>
      <c r="X274" s="89" t="s">
        <v>1124</v>
      </c>
      <c r="Y274" s="79"/>
      <c r="Z274" s="79"/>
      <c r="AA274" s="94"/>
      <c r="AB274" s="79" t="s">
        <v>1124</v>
      </c>
      <c r="AC274" s="85"/>
      <c r="AD274" s="85"/>
      <c r="AE274" s="85"/>
      <c r="AF274" s="85"/>
      <c r="AG274" s="85" t="s">
        <v>1124</v>
      </c>
      <c r="AH274" s="85"/>
      <c r="AI274" s="85"/>
      <c r="AJ274" s="85"/>
      <c r="AK274" s="85"/>
      <c r="AL274" s="85"/>
      <c r="AM274" s="85"/>
      <c r="AN274" s="85"/>
      <c r="AO274" s="85"/>
      <c r="AP274" s="85"/>
      <c r="AQ274" s="85"/>
      <c r="AR274" s="85" t="s">
        <v>1124</v>
      </c>
      <c r="AS274" s="85"/>
      <c r="AT274" s="85"/>
      <c r="AU274" s="85"/>
      <c r="AV274" s="85"/>
      <c r="AW274" s="85"/>
      <c r="AX274" s="85"/>
      <c r="AY274" s="85"/>
      <c r="AZ274" s="85"/>
      <c r="BA274" s="85"/>
      <c r="BB274" s="89"/>
      <c r="BC274" s="89" t="s">
        <v>1124</v>
      </c>
      <c r="BD274" s="37"/>
      <c r="BE274" s="37"/>
      <c r="BF274" s="279"/>
      <c r="BG274" s="37"/>
      <c r="BH274" s="37"/>
      <c r="BI274" s="37"/>
      <c r="BJ274" s="283"/>
      <c r="BK274" s="161"/>
      <c r="BL274" s="294"/>
      <c r="BM274"/>
      <c r="BN274"/>
      <c r="BO274"/>
      <c r="BP274"/>
      <c r="BQ274"/>
      <c r="BR274"/>
      <c r="BS274"/>
      <c r="BT274"/>
      <c r="BU274"/>
      <c r="BV274"/>
      <c r="BW274"/>
      <c r="BX274"/>
      <c r="BY274"/>
      <c r="BZ274"/>
      <c r="CA274"/>
      <c r="CB274"/>
      <c r="CC274"/>
      <c r="CD274"/>
      <c r="CE274"/>
      <c r="CF274"/>
      <c r="CG274"/>
      <c r="CH274"/>
      <c r="CI274"/>
      <c r="CJ274"/>
    </row>
    <row r="275" spans="1:88" s="32" customFormat="1" ht="15" customHeight="1" x14ac:dyDescent="0.35">
      <c r="A275" s="473"/>
      <c r="B275" s="313">
        <v>22040</v>
      </c>
      <c r="C275" s="8" t="s">
        <v>160</v>
      </c>
      <c r="D275" s="18">
        <v>3</v>
      </c>
      <c r="E275" s="251">
        <v>1523</v>
      </c>
      <c r="F275" s="82">
        <v>2.5552334943639292</v>
      </c>
      <c r="G275" s="79">
        <v>3891.6206119162644</v>
      </c>
      <c r="H275" s="90">
        <v>32.69766666666667</v>
      </c>
      <c r="I275" s="85">
        <v>32.69766666666667</v>
      </c>
      <c r="J275" s="85">
        <v>32.69766666666667</v>
      </c>
      <c r="K275" s="85">
        <v>32.69766666666667</v>
      </c>
      <c r="L275" s="85">
        <v>32.69766666666667</v>
      </c>
      <c r="M275" s="85">
        <v>32.69766666666667</v>
      </c>
      <c r="N275" s="85">
        <v>32.69766666666667</v>
      </c>
      <c r="O275" s="85">
        <v>32.69766666666667</v>
      </c>
      <c r="P275" s="85">
        <v>32.69766666666667</v>
      </c>
      <c r="Q275" s="85">
        <v>32.69766666666667</v>
      </c>
      <c r="R275" s="85">
        <v>32.69766666666667</v>
      </c>
      <c r="S275" s="89">
        <v>32.69766666666667</v>
      </c>
      <c r="T275" s="89">
        <v>392.37200000000013</v>
      </c>
      <c r="U275" s="85">
        <v>0</v>
      </c>
      <c r="V275" s="85">
        <v>392.37200000000001</v>
      </c>
      <c r="W275" s="85">
        <v>0</v>
      </c>
      <c r="X275" s="89">
        <v>392.37200000000001</v>
      </c>
      <c r="Y275" s="79">
        <v>0</v>
      </c>
      <c r="Z275" s="79">
        <v>1</v>
      </c>
      <c r="AA275" s="94">
        <v>0</v>
      </c>
      <c r="AB275" s="79">
        <v>1</v>
      </c>
      <c r="AC275" s="85">
        <v>256.06299999999999</v>
      </c>
      <c r="AD275" s="85">
        <v>72.627000000000024</v>
      </c>
      <c r="AE275" s="85">
        <v>63.682000000000002</v>
      </c>
      <c r="AF275" s="85">
        <v>0</v>
      </c>
      <c r="AG275" s="85">
        <v>392.37200000000001</v>
      </c>
      <c r="AH275" s="85">
        <v>0</v>
      </c>
      <c r="AI275" s="85">
        <v>0</v>
      </c>
      <c r="AJ275" s="85">
        <v>0</v>
      </c>
      <c r="AK275" s="85">
        <v>0</v>
      </c>
      <c r="AL275" s="85">
        <v>0</v>
      </c>
      <c r="AM275" s="85">
        <v>0</v>
      </c>
      <c r="AN275" s="85">
        <v>0</v>
      </c>
      <c r="AO275" s="85">
        <v>0</v>
      </c>
      <c r="AP275" s="85">
        <v>0</v>
      </c>
      <c r="AQ275" s="85">
        <v>0</v>
      </c>
      <c r="AR275" s="85">
        <v>0</v>
      </c>
      <c r="AS275" s="85">
        <v>0</v>
      </c>
      <c r="AT275" s="85">
        <v>0</v>
      </c>
      <c r="AU275" s="85">
        <v>0</v>
      </c>
      <c r="AV275" s="85">
        <v>0</v>
      </c>
      <c r="AW275" s="85">
        <v>0</v>
      </c>
      <c r="AX275" s="85">
        <v>0</v>
      </c>
      <c r="AY275" s="85">
        <v>0</v>
      </c>
      <c r="AZ275" s="85">
        <v>392.37200000000001</v>
      </c>
      <c r="BA275" s="85">
        <v>0</v>
      </c>
      <c r="BB275" s="89">
        <v>0</v>
      </c>
      <c r="BC275" s="89">
        <v>392.37200000000001</v>
      </c>
      <c r="BD275" s="37">
        <v>68408</v>
      </c>
      <c r="BE275" s="37">
        <v>4116</v>
      </c>
      <c r="BF275" s="279">
        <v>83018</v>
      </c>
      <c r="BG275" s="37">
        <v>199030</v>
      </c>
      <c r="BH275" s="37">
        <v>64435</v>
      </c>
      <c r="BI275" s="37">
        <v>7082</v>
      </c>
      <c r="BJ275" s="283">
        <v>353565</v>
      </c>
      <c r="BK275" s="161"/>
      <c r="BL275" s="294"/>
      <c r="BM275"/>
      <c r="BN275"/>
      <c r="BO275"/>
      <c r="BP275"/>
      <c r="BQ275"/>
      <c r="BR275"/>
      <c r="BS275"/>
      <c r="BT275"/>
      <c r="BU275"/>
      <c r="BV275"/>
      <c r="BW275"/>
      <c r="BX275"/>
      <c r="BY275"/>
      <c r="BZ275"/>
      <c r="CA275"/>
      <c r="CB275"/>
      <c r="CC275"/>
      <c r="CD275"/>
      <c r="CE275"/>
      <c r="CF275"/>
      <c r="CG275"/>
      <c r="CH275"/>
      <c r="CI275"/>
      <c r="CJ275"/>
    </row>
    <row r="276" spans="1:88" s="32" customFormat="1" ht="15" customHeight="1" x14ac:dyDescent="0.35">
      <c r="A276" s="473"/>
      <c r="B276" s="313">
        <v>91005</v>
      </c>
      <c r="C276" s="8" t="s">
        <v>937</v>
      </c>
      <c r="D276" s="18">
        <v>2</v>
      </c>
      <c r="E276" s="251">
        <v>450</v>
      </c>
      <c r="F276" s="82">
        <v>1.89</v>
      </c>
      <c r="G276" s="79">
        <v>850.5</v>
      </c>
      <c r="H276" s="90">
        <v>11.221</v>
      </c>
      <c r="I276" s="85">
        <v>12.85</v>
      </c>
      <c r="J276" s="85">
        <v>12.956</v>
      </c>
      <c r="K276" s="85">
        <v>11.532</v>
      </c>
      <c r="L276" s="85">
        <v>12.353999999999999</v>
      </c>
      <c r="M276" s="85">
        <v>9.3469999999999995</v>
      </c>
      <c r="N276" s="85">
        <v>8.6479999999999997</v>
      </c>
      <c r="O276" s="85">
        <v>11.26</v>
      </c>
      <c r="P276" s="85">
        <v>9.3209999999999997</v>
      </c>
      <c r="Q276" s="85">
        <v>10.118</v>
      </c>
      <c r="R276" s="85">
        <v>8.923</v>
      </c>
      <c r="S276" s="89">
        <v>12.478</v>
      </c>
      <c r="T276" s="89">
        <v>131.00799999999998</v>
      </c>
      <c r="U276" s="85">
        <v>131.00800000000001</v>
      </c>
      <c r="V276" s="85">
        <v>0</v>
      </c>
      <c r="W276" s="85">
        <v>0</v>
      </c>
      <c r="X276" s="89">
        <v>131.00800000000001</v>
      </c>
      <c r="Y276" s="79">
        <v>1</v>
      </c>
      <c r="Z276" s="79">
        <v>0</v>
      </c>
      <c r="AA276" s="94">
        <v>0</v>
      </c>
      <c r="AB276" s="79">
        <v>1</v>
      </c>
      <c r="AC276" s="85">
        <v>67.548000000000002</v>
      </c>
      <c r="AD276" s="85">
        <v>7.6689999999999996</v>
      </c>
      <c r="AE276" s="85">
        <v>55.790999999999997</v>
      </c>
      <c r="AF276" s="85">
        <v>0</v>
      </c>
      <c r="AG276" s="85">
        <v>131.00799999999998</v>
      </c>
      <c r="AH276" s="85">
        <v>0</v>
      </c>
      <c r="AI276" s="85">
        <v>0</v>
      </c>
      <c r="AJ276" s="85">
        <v>0</v>
      </c>
      <c r="AK276" s="85">
        <v>131.00800000000001</v>
      </c>
      <c r="AL276" s="85">
        <v>0</v>
      </c>
      <c r="AM276" s="85">
        <v>0</v>
      </c>
      <c r="AN276" s="85">
        <v>0</v>
      </c>
      <c r="AO276" s="85">
        <v>0</v>
      </c>
      <c r="AP276" s="85">
        <v>0</v>
      </c>
      <c r="AQ276" s="85">
        <v>0</v>
      </c>
      <c r="AR276" s="85">
        <v>131.00800000000001</v>
      </c>
      <c r="AS276" s="85">
        <v>0</v>
      </c>
      <c r="AT276" s="85">
        <v>0</v>
      </c>
      <c r="AU276" s="85">
        <v>0</v>
      </c>
      <c r="AV276" s="85">
        <v>0</v>
      </c>
      <c r="AW276" s="85">
        <v>0</v>
      </c>
      <c r="AX276" s="85">
        <v>0</v>
      </c>
      <c r="AY276" s="85">
        <v>0</v>
      </c>
      <c r="AZ276" s="85">
        <v>0</v>
      </c>
      <c r="BA276" s="85">
        <v>0</v>
      </c>
      <c r="BB276" s="89">
        <v>0</v>
      </c>
      <c r="BC276" s="89">
        <v>0</v>
      </c>
      <c r="BD276" s="37">
        <v>0</v>
      </c>
      <c r="BE276" s="37">
        <v>29732</v>
      </c>
      <c r="BF276" s="279">
        <v>57688</v>
      </c>
      <c r="BG276" s="37">
        <v>46224</v>
      </c>
      <c r="BH276" s="37">
        <v>61984</v>
      </c>
      <c r="BI276" s="37">
        <v>0</v>
      </c>
      <c r="BJ276" s="283">
        <v>165896</v>
      </c>
      <c r="BK276" s="161"/>
      <c r="BL276" s="294"/>
      <c r="BM276"/>
      <c r="BN276"/>
      <c r="BO276"/>
      <c r="BP276"/>
      <c r="BQ276"/>
      <c r="BR276"/>
      <c r="BS276"/>
      <c r="BT276"/>
      <c r="BU276"/>
      <c r="BV276"/>
      <c r="BW276"/>
      <c r="BX276"/>
      <c r="BY276"/>
      <c r="BZ276"/>
      <c r="CA276"/>
      <c r="CB276"/>
      <c r="CC276"/>
      <c r="CD276"/>
      <c r="CE276"/>
      <c r="CF276"/>
      <c r="CG276"/>
      <c r="CH276"/>
      <c r="CI276"/>
      <c r="CJ276"/>
    </row>
    <row r="277" spans="1:88" s="32" customFormat="1" ht="15" customHeight="1" x14ac:dyDescent="0.35">
      <c r="A277" s="473"/>
      <c r="B277" s="313">
        <v>46075</v>
      </c>
      <c r="C277" s="8" t="s">
        <v>439</v>
      </c>
      <c r="D277" s="18">
        <v>5</v>
      </c>
      <c r="E277" s="251"/>
      <c r="F277" s="82"/>
      <c r="G277" s="79"/>
      <c r="H277" s="90"/>
      <c r="I277" s="85"/>
      <c r="J277" s="85"/>
      <c r="K277" s="85"/>
      <c r="L277" s="85"/>
      <c r="M277" s="85"/>
      <c r="N277" s="85"/>
      <c r="O277" s="85"/>
      <c r="P277" s="85"/>
      <c r="Q277" s="85"/>
      <c r="R277" s="85"/>
      <c r="S277" s="89"/>
      <c r="T277" s="89" t="s">
        <v>1124</v>
      </c>
      <c r="U277" s="85"/>
      <c r="V277" s="85"/>
      <c r="W277" s="85"/>
      <c r="X277" s="89" t="s">
        <v>1124</v>
      </c>
      <c r="Y277" s="79"/>
      <c r="Z277" s="79"/>
      <c r="AA277" s="94"/>
      <c r="AB277" s="79" t="s">
        <v>1124</v>
      </c>
      <c r="AC277" s="85"/>
      <c r="AD277" s="85"/>
      <c r="AE277" s="85"/>
      <c r="AF277" s="85"/>
      <c r="AG277" s="85" t="s">
        <v>1124</v>
      </c>
      <c r="AH277" s="85"/>
      <c r="AI277" s="85"/>
      <c r="AJ277" s="85"/>
      <c r="AK277" s="85"/>
      <c r="AL277" s="85"/>
      <c r="AM277" s="85"/>
      <c r="AN277" s="85"/>
      <c r="AO277" s="85"/>
      <c r="AP277" s="85"/>
      <c r="AQ277" s="85"/>
      <c r="AR277" s="85" t="s">
        <v>1124</v>
      </c>
      <c r="AS277" s="85"/>
      <c r="AT277" s="85"/>
      <c r="AU277" s="85"/>
      <c r="AV277" s="85"/>
      <c r="AW277" s="85"/>
      <c r="AX277" s="85"/>
      <c r="AY277" s="85"/>
      <c r="AZ277" s="85"/>
      <c r="BA277" s="85"/>
      <c r="BB277" s="89"/>
      <c r="BC277" s="89" t="s">
        <v>1124</v>
      </c>
      <c r="BD277" s="37"/>
      <c r="BE277" s="37"/>
      <c r="BF277" s="279"/>
      <c r="BG277" s="37"/>
      <c r="BH277" s="37"/>
      <c r="BI277" s="37"/>
      <c r="BJ277" s="283"/>
      <c r="BK277" s="161"/>
      <c r="BL277" s="294"/>
      <c r="BM277"/>
      <c r="BN277"/>
      <c r="BO277"/>
      <c r="BP277"/>
      <c r="BQ277"/>
      <c r="BR277"/>
      <c r="BS277"/>
      <c r="BT277"/>
      <c r="BU277"/>
      <c r="BV277"/>
      <c r="BW277"/>
      <c r="BX277"/>
      <c r="BY277"/>
      <c r="BZ277"/>
      <c r="CA277"/>
      <c r="CB277"/>
      <c r="CC277"/>
      <c r="CD277"/>
      <c r="CE277"/>
      <c r="CF277"/>
      <c r="CG277"/>
      <c r="CH277"/>
      <c r="CI277"/>
      <c r="CJ277"/>
    </row>
    <row r="278" spans="1:88" s="32" customFormat="1" ht="15" customHeight="1" x14ac:dyDescent="0.35">
      <c r="A278" s="473"/>
      <c r="B278" s="313">
        <v>22030</v>
      </c>
      <c r="C278" s="8" t="s">
        <v>158</v>
      </c>
      <c r="D278" s="18">
        <v>3</v>
      </c>
      <c r="E278" s="251">
        <v>296</v>
      </c>
      <c r="F278" s="82">
        <v>2.4962962962962965</v>
      </c>
      <c r="G278" s="79">
        <v>738.90370370370374</v>
      </c>
      <c r="H278" s="90">
        <v>5.6020000000000003</v>
      </c>
      <c r="I278" s="85">
        <v>4.8879999999999999</v>
      </c>
      <c r="J278" s="85">
        <v>6.6550000000000002</v>
      </c>
      <c r="K278" s="85">
        <v>5.6020000000000003</v>
      </c>
      <c r="L278" s="85">
        <v>6.4029999999999996</v>
      </c>
      <c r="M278" s="85">
        <v>7.6289999999999996</v>
      </c>
      <c r="N278" s="85">
        <v>9.4740000000000002</v>
      </c>
      <c r="O278" s="85">
        <v>6.8659999999999997</v>
      </c>
      <c r="P278" s="85">
        <v>5.5659999999999998</v>
      </c>
      <c r="Q278" s="85">
        <v>6.0330000000000004</v>
      </c>
      <c r="R278" s="85">
        <v>4.3940000000000001</v>
      </c>
      <c r="S278" s="89">
        <v>4.6989999999999998</v>
      </c>
      <c r="T278" s="89">
        <v>73.811000000000007</v>
      </c>
      <c r="U278" s="85">
        <v>0</v>
      </c>
      <c r="V278" s="85">
        <v>73.811000000000007</v>
      </c>
      <c r="W278" s="85">
        <v>0</v>
      </c>
      <c r="X278" s="89">
        <v>73.811000000000007</v>
      </c>
      <c r="Y278" s="79">
        <v>0</v>
      </c>
      <c r="Z278" s="79">
        <v>3</v>
      </c>
      <c r="AA278" s="94">
        <v>0</v>
      </c>
      <c r="AB278" s="79">
        <v>3</v>
      </c>
      <c r="AC278" s="85">
        <v>43.49</v>
      </c>
      <c r="AD278" s="85">
        <v>23.007164999999993</v>
      </c>
      <c r="AE278" s="85">
        <v>7.3138350000000134</v>
      </c>
      <c r="AF278" s="85">
        <v>0</v>
      </c>
      <c r="AG278" s="85">
        <v>73.811000000000007</v>
      </c>
      <c r="AH278" s="85">
        <v>0</v>
      </c>
      <c r="AI278" s="85">
        <v>0</v>
      </c>
      <c r="AJ278" s="85">
        <v>0</v>
      </c>
      <c r="AK278" s="85">
        <v>0</v>
      </c>
      <c r="AL278" s="85">
        <v>0</v>
      </c>
      <c r="AM278" s="85">
        <v>0</v>
      </c>
      <c r="AN278" s="85">
        <v>0</v>
      </c>
      <c r="AO278" s="85">
        <v>0</v>
      </c>
      <c r="AP278" s="85">
        <v>0</v>
      </c>
      <c r="AQ278" s="85">
        <v>0</v>
      </c>
      <c r="AR278" s="85">
        <v>0</v>
      </c>
      <c r="AS278" s="85">
        <v>0</v>
      </c>
      <c r="AT278" s="85">
        <v>0</v>
      </c>
      <c r="AU278" s="85">
        <v>0</v>
      </c>
      <c r="AV278" s="85">
        <v>0</v>
      </c>
      <c r="AW278" s="85">
        <v>0</v>
      </c>
      <c r="AX278" s="85">
        <v>0</v>
      </c>
      <c r="AY278" s="85">
        <v>73.811000000000007</v>
      </c>
      <c r="AZ278" s="85">
        <v>0</v>
      </c>
      <c r="BA278" s="85">
        <v>0</v>
      </c>
      <c r="BB278" s="89">
        <v>0</v>
      </c>
      <c r="BC278" s="89">
        <v>73.811000000000007</v>
      </c>
      <c r="BD278" s="37">
        <v>0</v>
      </c>
      <c r="BE278" s="37">
        <v>0</v>
      </c>
      <c r="BF278" s="279">
        <v>7053</v>
      </c>
      <c r="BG278" s="37">
        <v>22609</v>
      </c>
      <c r="BH278" s="37">
        <v>0</v>
      </c>
      <c r="BI278" s="37">
        <v>1230</v>
      </c>
      <c r="BJ278" s="283">
        <v>30892</v>
      </c>
      <c r="BK278" s="161"/>
      <c r="BL278" s="294"/>
      <c r="BM278"/>
      <c r="BN278"/>
      <c r="BO278"/>
      <c r="BP278"/>
      <c r="BQ278"/>
      <c r="BR278"/>
      <c r="BS278"/>
      <c r="BT278"/>
      <c r="BU278"/>
      <c r="BV278"/>
      <c r="BW278"/>
      <c r="BX278"/>
      <c r="BY278"/>
      <c r="BZ278"/>
      <c r="CA278"/>
      <c r="CB278"/>
      <c r="CC278"/>
      <c r="CD278"/>
      <c r="CE278"/>
      <c r="CF278"/>
      <c r="CG278"/>
      <c r="CH278"/>
      <c r="CI278"/>
      <c r="CJ278"/>
    </row>
    <row r="279" spans="1:88" s="32" customFormat="1" ht="15" customHeight="1" x14ac:dyDescent="0.35">
      <c r="A279" s="473"/>
      <c r="B279" s="313">
        <v>13060</v>
      </c>
      <c r="C279" s="8" t="s">
        <v>51</v>
      </c>
      <c r="D279" s="18">
        <v>1</v>
      </c>
      <c r="E279" s="251">
        <v>184</v>
      </c>
      <c r="F279" s="82">
        <v>1.8535714285714286</v>
      </c>
      <c r="G279" s="79">
        <v>341.05714285714288</v>
      </c>
      <c r="H279" s="90">
        <v>3.55</v>
      </c>
      <c r="I279" s="85">
        <v>5.2469999999999999</v>
      </c>
      <c r="J279" s="85">
        <v>5.7160000000000002</v>
      </c>
      <c r="K279" s="85">
        <v>3.9079999999999999</v>
      </c>
      <c r="L279" s="85">
        <v>4.8940000000000001</v>
      </c>
      <c r="M279" s="85">
        <v>3.0569999999999999</v>
      </c>
      <c r="N279" s="85">
        <v>3.677</v>
      </c>
      <c r="O279" s="85">
        <v>2.823</v>
      </c>
      <c r="P279" s="85">
        <v>2.516</v>
      </c>
      <c r="Q279" s="85">
        <v>3.4140000000000001</v>
      </c>
      <c r="R279" s="85">
        <v>2.4009999999999998</v>
      </c>
      <c r="S279" s="89">
        <v>2.758</v>
      </c>
      <c r="T279" s="89">
        <v>43.961000000000006</v>
      </c>
      <c r="U279" s="85">
        <v>0</v>
      </c>
      <c r="V279" s="85">
        <v>43.961000000000006</v>
      </c>
      <c r="W279" s="85">
        <v>0</v>
      </c>
      <c r="X279" s="89">
        <v>43.961000000000006</v>
      </c>
      <c r="Y279" s="79">
        <v>0</v>
      </c>
      <c r="Z279" s="79">
        <v>1</v>
      </c>
      <c r="AA279" s="94">
        <v>0</v>
      </c>
      <c r="AB279" s="79">
        <v>1</v>
      </c>
      <c r="AC279" s="85">
        <v>37.817189743589751</v>
      </c>
      <c r="AD279" s="85">
        <v>2.9202252564102582</v>
      </c>
      <c r="AE279" s="85">
        <v>3.2235849999999968</v>
      </c>
      <c r="AF279" s="85">
        <v>0</v>
      </c>
      <c r="AG279" s="85">
        <v>43.961000000000006</v>
      </c>
      <c r="AH279" s="85">
        <v>0</v>
      </c>
      <c r="AI279" s="85">
        <v>0</v>
      </c>
      <c r="AJ279" s="85">
        <v>0</v>
      </c>
      <c r="AK279" s="85">
        <v>0</v>
      </c>
      <c r="AL279" s="85">
        <v>0</v>
      </c>
      <c r="AM279" s="85">
        <v>0</v>
      </c>
      <c r="AN279" s="85">
        <v>0</v>
      </c>
      <c r="AO279" s="85">
        <v>0</v>
      </c>
      <c r="AP279" s="85">
        <v>0</v>
      </c>
      <c r="AQ279" s="85">
        <v>0</v>
      </c>
      <c r="AR279" s="85">
        <v>0</v>
      </c>
      <c r="AS279" s="85">
        <v>0</v>
      </c>
      <c r="AT279" s="85">
        <v>0</v>
      </c>
      <c r="AU279" s="85">
        <v>0</v>
      </c>
      <c r="AV279" s="85">
        <v>0</v>
      </c>
      <c r="AW279" s="85">
        <v>0</v>
      </c>
      <c r="AX279" s="85">
        <v>0</v>
      </c>
      <c r="AY279" s="85">
        <v>0</v>
      </c>
      <c r="AZ279" s="85">
        <v>0</v>
      </c>
      <c r="BA279" s="85">
        <v>43.961000000000006</v>
      </c>
      <c r="BB279" s="89">
        <v>0</v>
      </c>
      <c r="BC279" s="89">
        <v>43.961000000000006</v>
      </c>
      <c r="BD279" s="37">
        <v>0</v>
      </c>
      <c r="BE279" s="37">
        <v>0</v>
      </c>
      <c r="BF279" s="279">
        <v>2727</v>
      </c>
      <c r="BG279" s="37">
        <v>4174</v>
      </c>
      <c r="BH279" s="37">
        <v>2929</v>
      </c>
      <c r="BI279" s="37">
        <v>2015</v>
      </c>
      <c r="BJ279" s="283">
        <v>11845</v>
      </c>
      <c r="BK279" s="161"/>
      <c r="BL279" s="294"/>
      <c r="BM279"/>
      <c r="BN279"/>
      <c r="BO279"/>
      <c r="BP279"/>
      <c r="BQ279"/>
      <c r="BR279"/>
      <c r="BS279"/>
      <c r="BT279"/>
      <c r="BU279"/>
      <c r="BV279"/>
      <c r="BW279"/>
      <c r="BX279"/>
      <c r="BY279"/>
      <c r="BZ279"/>
      <c r="CA279"/>
      <c r="CB279"/>
      <c r="CC279"/>
      <c r="CD279"/>
      <c r="CE279"/>
      <c r="CF279"/>
      <c r="CG279"/>
      <c r="CH279"/>
      <c r="CI279"/>
      <c r="CJ279"/>
    </row>
    <row r="280" spans="1:88" s="32" customFormat="1" ht="15" customHeight="1" x14ac:dyDescent="0.35">
      <c r="A280" s="473"/>
      <c r="B280" s="313">
        <v>79078</v>
      </c>
      <c r="C280" s="8" t="s">
        <v>797</v>
      </c>
      <c r="D280" s="18">
        <v>15</v>
      </c>
      <c r="E280" s="251">
        <v>682</v>
      </c>
      <c r="F280" s="82">
        <v>2.1016566265060241</v>
      </c>
      <c r="G280" s="79">
        <v>1433.3298192771085</v>
      </c>
      <c r="H280" s="90">
        <v>16.131</v>
      </c>
      <c r="I280" s="85">
        <v>14.414999999999999</v>
      </c>
      <c r="J280" s="85">
        <v>16.327999999999999</v>
      </c>
      <c r="K280" s="85">
        <v>15.208</v>
      </c>
      <c r="L280" s="85">
        <v>15.882999999999999</v>
      </c>
      <c r="M280" s="85">
        <v>16.577999999999999</v>
      </c>
      <c r="N280" s="85">
        <v>17.257000000000001</v>
      </c>
      <c r="O280" s="85">
        <v>16.166</v>
      </c>
      <c r="P280" s="85">
        <v>14.961</v>
      </c>
      <c r="Q280" s="85">
        <v>16.408999999999999</v>
      </c>
      <c r="R280" s="85">
        <v>14.273999999999999</v>
      </c>
      <c r="S280" s="89">
        <v>13.558999999999999</v>
      </c>
      <c r="T280" s="89">
        <v>187.16899999999998</v>
      </c>
      <c r="U280" s="85">
        <v>0</v>
      </c>
      <c r="V280" s="85">
        <v>187.16900000000001</v>
      </c>
      <c r="W280" s="85">
        <v>0</v>
      </c>
      <c r="X280" s="89">
        <v>187.16900000000001</v>
      </c>
      <c r="Y280" s="79">
        <v>0</v>
      </c>
      <c r="Z280" s="79">
        <v>2</v>
      </c>
      <c r="AA280" s="94">
        <v>0</v>
      </c>
      <c r="AB280" s="79">
        <v>2</v>
      </c>
      <c r="AC280" s="85">
        <v>125.803</v>
      </c>
      <c r="AD280" s="85">
        <v>10.993000000000023</v>
      </c>
      <c r="AE280" s="85">
        <v>50.372999999999998</v>
      </c>
      <c r="AF280" s="85">
        <v>0</v>
      </c>
      <c r="AG280" s="85">
        <v>187.16900000000001</v>
      </c>
      <c r="AH280" s="85">
        <v>0</v>
      </c>
      <c r="AI280" s="85">
        <v>0</v>
      </c>
      <c r="AJ280" s="85">
        <v>0</v>
      </c>
      <c r="AK280" s="85">
        <v>0</v>
      </c>
      <c r="AL280" s="85">
        <v>0</v>
      </c>
      <c r="AM280" s="85">
        <v>0</v>
      </c>
      <c r="AN280" s="85">
        <v>0</v>
      </c>
      <c r="AO280" s="85">
        <v>0</v>
      </c>
      <c r="AP280" s="85">
        <v>0</v>
      </c>
      <c r="AQ280" s="85">
        <v>0</v>
      </c>
      <c r="AR280" s="85">
        <v>0</v>
      </c>
      <c r="AS280" s="85">
        <v>0</v>
      </c>
      <c r="AT280" s="85">
        <v>0</v>
      </c>
      <c r="AU280" s="85">
        <v>187.16900000000001</v>
      </c>
      <c r="AV280" s="85">
        <v>0</v>
      </c>
      <c r="AW280" s="85">
        <v>0</v>
      </c>
      <c r="AX280" s="85">
        <v>0</v>
      </c>
      <c r="AY280" s="85">
        <v>0</v>
      </c>
      <c r="AZ280" s="85">
        <v>0</v>
      </c>
      <c r="BA280" s="85">
        <v>0</v>
      </c>
      <c r="BB280" s="89">
        <v>0</v>
      </c>
      <c r="BC280" s="89">
        <v>187.16900000000001</v>
      </c>
      <c r="BD280" s="37">
        <v>0</v>
      </c>
      <c r="BE280" s="37">
        <v>0</v>
      </c>
      <c r="BF280" s="279">
        <v>13800</v>
      </c>
      <c r="BG280" s="37">
        <v>65200</v>
      </c>
      <c r="BH280" s="37">
        <v>33800</v>
      </c>
      <c r="BI280" s="37">
        <v>0</v>
      </c>
      <c r="BJ280" s="283">
        <v>112800</v>
      </c>
      <c r="BK280" s="161"/>
      <c r="BL280" s="294"/>
      <c r="BM280"/>
      <c r="BN280"/>
      <c r="BO280"/>
      <c r="BP280"/>
      <c r="BQ280"/>
      <c r="BR280"/>
      <c r="BS280"/>
      <c r="BT280"/>
      <c r="BU280"/>
      <c r="BV280"/>
      <c r="BW280"/>
      <c r="BX280"/>
      <c r="BY280"/>
      <c r="BZ280"/>
      <c r="CA280"/>
      <c r="CB280"/>
      <c r="CC280"/>
      <c r="CD280"/>
      <c r="CE280"/>
      <c r="CF280"/>
      <c r="CG280"/>
      <c r="CH280"/>
      <c r="CI280"/>
      <c r="CJ280"/>
    </row>
    <row r="281" spans="1:88" s="32" customFormat="1" ht="15" customHeight="1" x14ac:dyDescent="0.35">
      <c r="A281" s="473"/>
      <c r="B281" s="313">
        <v>80130</v>
      </c>
      <c r="C281" s="8" t="s">
        <v>823</v>
      </c>
      <c r="D281" s="18">
        <v>7</v>
      </c>
      <c r="E281" s="251"/>
      <c r="F281" s="82"/>
      <c r="G281" s="79"/>
      <c r="H281" s="90"/>
      <c r="I281" s="85"/>
      <c r="J281" s="85"/>
      <c r="K281" s="85"/>
      <c r="L281" s="85"/>
      <c r="M281" s="85"/>
      <c r="N281" s="85"/>
      <c r="O281" s="85"/>
      <c r="P281" s="85"/>
      <c r="Q281" s="85"/>
      <c r="R281" s="85"/>
      <c r="S281" s="89"/>
      <c r="T281" s="89" t="s">
        <v>1124</v>
      </c>
      <c r="U281" s="85"/>
      <c r="V281" s="85"/>
      <c r="W281" s="85"/>
      <c r="X281" s="89" t="s">
        <v>1124</v>
      </c>
      <c r="Y281" s="79"/>
      <c r="Z281" s="79"/>
      <c r="AA281" s="94"/>
      <c r="AB281" s="79" t="s">
        <v>1124</v>
      </c>
      <c r="AC281" s="85"/>
      <c r="AD281" s="85"/>
      <c r="AE281" s="85"/>
      <c r="AF281" s="85"/>
      <c r="AG281" s="85" t="s">
        <v>1124</v>
      </c>
      <c r="AH281" s="85"/>
      <c r="AI281" s="85"/>
      <c r="AJ281" s="85"/>
      <c r="AK281" s="85"/>
      <c r="AL281" s="85"/>
      <c r="AM281" s="85"/>
      <c r="AN281" s="85"/>
      <c r="AO281" s="85"/>
      <c r="AP281" s="85"/>
      <c r="AQ281" s="85"/>
      <c r="AR281" s="85" t="s">
        <v>1124</v>
      </c>
      <c r="AS281" s="85"/>
      <c r="AT281" s="85"/>
      <c r="AU281" s="85"/>
      <c r="AV281" s="85"/>
      <c r="AW281" s="85"/>
      <c r="AX281" s="85"/>
      <c r="AY281" s="85"/>
      <c r="AZ281" s="85"/>
      <c r="BA281" s="85"/>
      <c r="BB281" s="89"/>
      <c r="BC281" s="89" t="s">
        <v>1124</v>
      </c>
      <c r="BD281" s="37"/>
      <c r="BE281" s="37"/>
      <c r="BF281" s="279"/>
      <c r="BG281" s="37"/>
      <c r="BH281" s="37"/>
      <c r="BI281" s="37"/>
      <c r="BJ281" s="283"/>
      <c r="BK281" s="161"/>
      <c r="BL281" s="294"/>
      <c r="BM281"/>
      <c r="BN281"/>
      <c r="BO281"/>
      <c r="BP281"/>
      <c r="BQ281"/>
      <c r="BR281"/>
      <c r="BS281"/>
      <c r="BT281"/>
      <c r="BU281"/>
      <c r="BV281"/>
      <c r="BW281"/>
      <c r="BX281"/>
      <c r="BY281"/>
      <c r="BZ281"/>
      <c r="CA281"/>
      <c r="CB281"/>
      <c r="CC281"/>
      <c r="CD281"/>
      <c r="CE281"/>
      <c r="CF281"/>
      <c r="CG281"/>
      <c r="CH281"/>
      <c r="CI281"/>
      <c r="CJ281"/>
    </row>
    <row r="282" spans="1:88" s="32" customFormat="1" ht="15" customHeight="1" x14ac:dyDescent="0.35">
      <c r="A282" s="473"/>
      <c r="B282" s="313">
        <v>77055</v>
      </c>
      <c r="C282" s="8" t="s">
        <v>763</v>
      </c>
      <c r="D282" s="18">
        <v>15</v>
      </c>
      <c r="E282" s="251"/>
      <c r="F282" s="82"/>
      <c r="G282" s="79"/>
      <c r="H282" s="90"/>
      <c r="I282" s="85"/>
      <c r="J282" s="85"/>
      <c r="K282" s="85"/>
      <c r="L282" s="85"/>
      <c r="M282" s="85"/>
      <c r="N282" s="85"/>
      <c r="O282" s="85"/>
      <c r="P282" s="85"/>
      <c r="Q282" s="85"/>
      <c r="R282" s="85"/>
      <c r="S282" s="89"/>
      <c r="T282" s="89" t="s">
        <v>1124</v>
      </c>
      <c r="U282" s="85"/>
      <c r="V282" s="85"/>
      <c r="W282" s="85"/>
      <c r="X282" s="89" t="s">
        <v>1124</v>
      </c>
      <c r="Y282" s="79"/>
      <c r="Z282" s="79"/>
      <c r="AA282" s="94"/>
      <c r="AB282" s="79" t="s">
        <v>1124</v>
      </c>
      <c r="AC282" s="85"/>
      <c r="AD282" s="85"/>
      <c r="AE282" s="85"/>
      <c r="AF282" s="85"/>
      <c r="AG282" s="85" t="s">
        <v>1124</v>
      </c>
      <c r="AH282" s="85"/>
      <c r="AI282" s="85"/>
      <c r="AJ282" s="85"/>
      <c r="AK282" s="85"/>
      <c r="AL282" s="85"/>
      <c r="AM282" s="85"/>
      <c r="AN282" s="85"/>
      <c r="AO282" s="85"/>
      <c r="AP282" s="85"/>
      <c r="AQ282" s="85"/>
      <c r="AR282" s="85" t="s">
        <v>1124</v>
      </c>
      <c r="AS282" s="85"/>
      <c r="AT282" s="85"/>
      <c r="AU282" s="85"/>
      <c r="AV282" s="85"/>
      <c r="AW282" s="85"/>
      <c r="AX282" s="85"/>
      <c r="AY282" s="85"/>
      <c r="AZ282" s="85"/>
      <c r="BA282" s="85"/>
      <c r="BB282" s="89"/>
      <c r="BC282" s="89" t="s">
        <v>1124</v>
      </c>
      <c r="BD282" s="37"/>
      <c r="BE282" s="37"/>
      <c r="BF282" s="279"/>
      <c r="BG282" s="37"/>
      <c r="BH282" s="37"/>
      <c r="BI282" s="37"/>
      <c r="BJ282" s="283"/>
      <c r="BK282" s="161"/>
      <c r="BL282" s="294"/>
      <c r="BM282"/>
      <c r="BN282"/>
      <c r="BO282"/>
      <c r="BP282"/>
      <c r="BQ282"/>
      <c r="BR282"/>
      <c r="BS282"/>
      <c r="BT282"/>
      <c r="BU282"/>
      <c r="BV282"/>
      <c r="BW282"/>
      <c r="BX282"/>
      <c r="BY282"/>
      <c r="BZ282"/>
      <c r="CA282"/>
      <c r="CB282"/>
      <c r="CC282"/>
      <c r="CD282"/>
      <c r="CE282"/>
      <c r="CF282"/>
      <c r="CG282"/>
      <c r="CH282"/>
      <c r="CI282"/>
      <c r="CJ282"/>
    </row>
    <row r="283" spans="1:88" s="32" customFormat="1" ht="15" customHeight="1" x14ac:dyDescent="0.35">
      <c r="A283" s="473"/>
      <c r="B283" s="313">
        <v>30080</v>
      </c>
      <c r="C283" s="8" t="s">
        <v>230</v>
      </c>
      <c r="D283" s="18">
        <v>5</v>
      </c>
      <c r="E283" s="251">
        <v>294</v>
      </c>
      <c r="F283" s="82">
        <v>2.1482254697286014</v>
      </c>
      <c r="G283" s="79">
        <v>631.57828810020885</v>
      </c>
      <c r="H283" s="90">
        <v>4.8339999999999996</v>
      </c>
      <c r="I283" s="85">
        <v>5.024</v>
      </c>
      <c r="J283" s="85">
        <v>5.1449999999999996</v>
      </c>
      <c r="K283" s="85">
        <v>5.0010000000000003</v>
      </c>
      <c r="L283" s="85">
        <v>5.44</v>
      </c>
      <c r="M283" s="85">
        <v>5.3319999999999999</v>
      </c>
      <c r="N283" s="85">
        <v>5.3890000000000002</v>
      </c>
      <c r="O283" s="85">
        <v>6.1790000000000003</v>
      </c>
      <c r="P283" s="85">
        <v>6.2859999999999996</v>
      </c>
      <c r="Q283" s="85">
        <v>5.9349999999999996</v>
      </c>
      <c r="R283" s="85">
        <v>5.117</v>
      </c>
      <c r="S283" s="89">
        <v>5.2640000000000002</v>
      </c>
      <c r="T283" s="89">
        <v>64.946000000000012</v>
      </c>
      <c r="U283" s="85">
        <v>0</v>
      </c>
      <c r="V283" s="85">
        <v>64.945999999999998</v>
      </c>
      <c r="W283" s="85">
        <v>0</v>
      </c>
      <c r="X283" s="89">
        <v>64.945999999999998</v>
      </c>
      <c r="Y283" s="79">
        <v>0</v>
      </c>
      <c r="Z283" s="79">
        <v>1</v>
      </c>
      <c r="AA283" s="94">
        <v>0</v>
      </c>
      <c r="AB283" s="79">
        <v>1</v>
      </c>
      <c r="AC283" s="85">
        <v>32.991336283185838</v>
      </c>
      <c r="AD283" s="85">
        <v>16.051663716814161</v>
      </c>
      <c r="AE283" s="85">
        <v>15.903</v>
      </c>
      <c r="AF283" s="85">
        <v>0</v>
      </c>
      <c r="AG283" s="85">
        <v>64.945999999999998</v>
      </c>
      <c r="AH283" s="85">
        <v>0</v>
      </c>
      <c r="AI283" s="85">
        <v>0</v>
      </c>
      <c r="AJ283" s="85">
        <v>0</v>
      </c>
      <c r="AK283" s="85">
        <v>0</v>
      </c>
      <c r="AL283" s="85">
        <v>0</v>
      </c>
      <c r="AM283" s="85">
        <v>0</v>
      </c>
      <c r="AN283" s="85">
        <v>0</v>
      </c>
      <c r="AO283" s="85">
        <v>0</v>
      </c>
      <c r="AP283" s="85">
        <v>0</v>
      </c>
      <c r="AQ283" s="85">
        <v>0</v>
      </c>
      <c r="AR283" s="85">
        <v>0</v>
      </c>
      <c r="AS283" s="85">
        <v>0</v>
      </c>
      <c r="AT283" s="85">
        <v>0</v>
      </c>
      <c r="AU283" s="85">
        <v>0</v>
      </c>
      <c r="AV283" s="85">
        <v>0</v>
      </c>
      <c r="AW283" s="85">
        <v>0</v>
      </c>
      <c r="AX283" s="85">
        <v>0</v>
      </c>
      <c r="AY283" s="85">
        <v>0</v>
      </c>
      <c r="AZ283" s="85">
        <v>64.945999999999998</v>
      </c>
      <c r="BA283" s="85">
        <v>0</v>
      </c>
      <c r="BB283" s="89">
        <v>0</v>
      </c>
      <c r="BC283" s="89">
        <v>64.945999999999998</v>
      </c>
      <c r="BD283" s="37">
        <v>0</v>
      </c>
      <c r="BE283" s="37">
        <v>0</v>
      </c>
      <c r="BF283" s="279">
        <v>5103</v>
      </c>
      <c r="BG283" s="37">
        <v>37758</v>
      </c>
      <c r="BH283" s="37">
        <v>22541</v>
      </c>
      <c r="BI283" s="37">
        <v>7737</v>
      </c>
      <c r="BJ283" s="283">
        <v>73139</v>
      </c>
      <c r="BK283" s="161"/>
      <c r="BL283" s="294"/>
      <c r="BM283"/>
      <c r="BN283"/>
      <c r="BO283"/>
      <c r="BP283"/>
      <c r="BQ283"/>
      <c r="BR283"/>
      <c r="BS283"/>
      <c r="BT283"/>
      <c r="BU283"/>
      <c r="BV283"/>
      <c r="BW283"/>
      <c r="BX283"/>
      <c r="BY283"/>
      <c r="BZ283"/>
      <c r="CA283"/>
      <c r="CB283"/>
      <c r="CC283"/>
      <c r="CD283"/>
      <c r="CE283"/>
      <c r="CF283"/>
      <c r="CG283"/>
      <c r="CH283"/>
      <c r="CI283"/>
      <c r="CJ283"/>
    </row>
    <row r="284" spans="1:88" s="32" customFormat="1" ht="15" customHeight="1" x14ac:dyDescent="0.35">
      <c r="A284" s="473"/>
      <c r="B284" s="313">
        <v>79015</v>
      </c>
      <c r="C284" s="8" t="s">
        <v>788</v>
      </c>
      <c r="D284" s="18">
        <v>15</v>
      </c>
      <c r="E284" s="251"/>
      <c r="F284" s="82"/>
      <c r="G284" s="79"/>
      <c r="H284" s="90"/>
      <c r="I284" s="85"/>
      <c r="J284" s="85"/>
      <c r="K284" s="85"/>
      <c r="L284" s="85"/>
      <c r="M284" s="85"/>
      <c r="N284" s="85"/>
      <c r="O284" s="85"/>
      <c r="P284" s="85"/>
      <c r="Q284" s="85"/>
      <c r="R284" s="85"/>
      <c r="S284" s="89"/>
      <c r="T284" s="89" t="s">
        <v>1124</v>
      </c>
      <c r="U284" s="85"/>
      <c r="V284" s="85"/>
      <c r="W284" s="85"/>
      <c r="X284" s="89" t="s">
        <v>1124</v>
      </c>
      <c r="Y284" s="79"/>
      <c r="Z284" s="79"/>
      <c r="AA284" s="94"/>
      <c r="AB284" s="79" t="s">
        <v>1124</v>
      </c>
      <c r="AC284" s="85"/>
      <c r="AD284" s="85"/>
      <c r="AE284" s="85"/>
      <c r="AF284" s="85"/>
      <c r="AG284" s="85" t="s">
        <v>1124</v>
      </c>
      <c r="AH284" s="85"/>
      <c r="AI284" s="85"/>
      <c r="AJ284" s="85"/>
      <c r="AK284" s="85"/>
      <c r="AL284" s="85"/>
      <c r="AM284" s="85"/>
      <c r="AN284" s="85"/>
      <c r="AO284" s="85"/>
      <c r="AP284" s="85"/>
      <c r="AQ284" s="85"/>
      <c r="AR284" s="85" t="s">
        <v>1124</v>
      </c>
      <c r="AS284" s="85"/>
      <c r="AT284" s="85"/>
      <c r="AU284" s="85"/>
      <c r="AV284" s="85"/>
      <c r="AW284" s="85"/>
      <c r="AX284" s="85"/>
      <c r="AY284" s="85"/>
      <c r="AZ284" s="85"/>
      <c r="BA284" s="85"/>
      <c r="BB284" s="89"/>
      <c r="BC284" s="89" t="s">
        <v>1124</v>
      </c>
      <c r="BD284" s="37"/>
      <c r="BE284" s="37"/>
      <c r="BF284" s="279"/>
      <c r="BG284" s="37"/>
      <c r="BH284" s="37"/>
      <c r="BI284" s="37"/>
      <c r="BJ284" s="283"/>
      <c r="BK284" s="161"/>
      <c r="BL284" s="294"/>
      <c r="BM284"/>
      <c r="BN284"/>
      <c r="BO284"/>
      <c r="BP284"/>
      <c r="BQ284"/>
      <c r="BR284"/>
      <c r="BS284"/>
      <c r="BT284"/>
      <c r="BU284"/>
      <c r="BV284"/>
      <c r="BW284"/>
      <c r="BX284"/>
      <c r="BY284"/>
      <c r="BZ284"/>
      <c r="CA284"/>
      <c r="CB284"/>
      <c r="CC284"/>
      <c r="CD284"/>
      <c r="CE284"/>
      <c r="CF284"/>
      <c r="CG284"/>
      <c r="CH284"/>
      <c r="CI284"/>
      <c r="CJ284"/>
    </row>
    <row r="285" spans="1:88" s="32" customFormat="1" ht="15" customHeight="1" x14ac:dyDescent="0.35">
      <c r="A285" s="473"/>
      <c r="B285" s="313">
        <v>90027</v>
      </c>
      <c r="C285" s="8" t="s">
        <v>936</v>
      </c>
      <c r="D285" s="18">
        <v>4</v>
      </c>
      <c r="E285" s="251"/>
      <c r="F285" s="82"/>
      <c r="G285" s="79"/>
      <c r="H285" s="90"/>
      <c r="I285" s="85"/>
      <c r="J285" s="85"/>
      <c r="K285" s="85"/>
      <c r="L285" s="85"/>
      <c r="M285" s="85"/>
      <c r="N285" s="85"/>
      <c r="O285" s="85"/>
      <c r="P285" s="85"/>
      <c r="Q285" s="85"/>
      <c r="R285" s="85"/>
      <c r="S285" s="89"/>
      <c r="T285" s="89" t="s">
        <v>1124</v>
      </c>
      <c r="U285" s="85"/>
      <c r="V285" s="85"/>
      <c r="W285" s="85"/>
      <c r="X285" s="89" t="s">
        <v>1124</v>
      </c>
      <c r="Y285" s="79"/>
      <c r="Z285" s="79"/>
      <c r="AA285" s="94"/>
      <c r="AB285" s="79" t="s">
        <v>1124</v>
      </c>
      <c r="AC285" s="85"/>
      <c r="AD285" s="85"/>
      <c r="AE285" s="85"/>
      <c r="AF285" s="85"/>
      <c r="AG285" s="85" t="s">
        <v>1124</v>
      </c>
      <c r="AH285" s="85"/>
      <c r="AI285" s="85"/>
      <c r="AJ285" s="85"/>
      <c r="AK285" s="85"/>
      <c r="AL285" s="85"/>
      <c r="AM285" s="85"/>
      <c r="AN285" s="85"/>
      <c r="AO285" s="85"/>
      <c r="AP285" s="85"/>
      <c r="AQ285" s="85"/>
      <c r="AR285" s="85" t="s">
        <v>1124</v>
      </c>
      <c r="AS285" s="85"/>
      <c r="AT285" s="85"/>
      <c r="AU285" s="85"/>
      <c r="AV285" s="85"/>
      <c r="AW285" s="85"/>
      <c r="AX285" s="85"/>
      <c r="AY285" s="85"/>
      <c r="AZ285" s="85"/>
      <c r="BA285" s="85"/>
      <c r="BB285" s="89"/>
      <c r="BC285" s="89" t="s">
        <v>1124</v>
      </c>
      <c r="BD285" s="37"/>
      <c r="BE285" s="37"/>
      <c r="BF285" s="279"/>
      <c r="BG285" s="37"/>
      <c r="BH285" s="37"/>
      <c r="BI285" s="37"/>
      <c r="BJ285" s="283"/>
      <c r="BK285" s="161"/>
      <c r="BL285" s="294"/>
      <c r="BM285"/>
      <c r="BN285"/>
      <c r="BO285"/>
      <c r="BP285"/>
      <c r="BQ285"/>
      <c r="BR285"/>
      <c r="BS285"/>
      <c r="BT285"/>
      <c r="BU285"/>
      <c r="BV285"/>
      <c r="BW285"/>
      <c r="BX285"/>
      <c r="BY285"/>
      <c r="BZ285"/>
      <c r="CA285"/>
      <c r="CB285"/>
      <c r="CC285"/>
      <c r="CD285"/>
      <c r="CE285"/>
      <c r="CF285"/>
      <c r="CG285"/>
      <c r="CH285"/>
      <c r="CI285"/>
      <c r="CJ285"/>
    </row>
    <row r="286" spans="1:88" s="32" customFormat="1" ht="15" customHeight="1" x14ac:dyDescent="0.35">
      <c r="A286" s="473"/>
      <c r="B286" s="313">
        <v>28053</v>
      </c>
      <c r="C286" s="8" t="s">
        <v>196</v>
      </c>
      <c r="D286" s="18">
        <v>12</v>
      </c>
      <c r="E286" s="251">
        <v>1532</v>
      </c>
      <c r="F286" s="82">
        <v>1.8218471636193154</v>
      </c>
      <c r="G286" s="79">
        <v>2791.0698546647914</v>
      </c>
      <c r="H286" s="90">
        <v>25.568999999999999</v>
      </c>
      <c r="I286" s="85">
        <v>28.468</v>
      </c>
      <c r="J286" s="85">
        <v>31.882999999999999</v>
      </c>
      <c r="K286" s="85">
        <v>28.111000000000001</v>
      </c>
      <c r="L286" s="85">
        <v>29.076000000000001</v>
      </c>
      <c r="M286" s="85">
        <v>34.436999999999998</v>
      </c>
      <c r="N286" s="85">
        <v>37.052</v>
      </c>
      <c r="O286" s="85">
        <v>31.632000000000001</v>
      </c>
      <c r="P286" s="85">
        <v>25.091999999999999</v>
      </c>
      <c r="Q286" s="85">
        <v>30.22</v>
      </c>
      <c r="R286" s="85">
        <v>23.376000000000001</v>
      </c>
      <c r="S286" s="89">
        <v>25.411999999999999</v>
      </c>
      <c r="T286" s="89">
        <v>350.32799999999992</v>
      </c>
      <c r="U286" s="85">
        <v>324.43400000000003</v>
      </c>
      <c r="V286" s="85">
        <v>25.893999999999998</v>
      </c>
      <c r="W286" s="85">
        <v>0</v>
      </c>
      <c r="X286" s="89">
        <v>350.32800000000003</v>
      </c>
      <c r="Y286" s="79">
        <v>1</v>
      </c>
      <c r="Z286" s="79">
        <v>1</v>
      </c>
      <c r="AA286" s="94">
        <v>0</v>
      </c>
      <c r="AB286" s="79">
        <v>2</v>
      </c>
      <c r="AC286" s="85">
        <v>317.04457692307693</v>
      </c>
      <c r="AD286" s="85">
        <v>12.71344707692314</v>
      </c>
      <c r="AE286" s="85">
        <v>19.46997599999996</v>
      </c>
      <c r="AF286" s="85">
        <v>1.1000000000000001</v>
      </c>
      <c r="AG286" s="85">
        <v>350.32800000000009</v>
      </c>
      <c r="AH286" s="85">
        <v>324.43400000000003</v>
      </c>
      <c r="AI286" s="85">
        <v>0</v>
      </c>
      <c r="AJ286" s="85">
        <v>0</v>
      </c>
      <c r="AK286" s="85">
        <v>0</v>
      </c>
      <c r="AL286" s="85">
        <v>0</v>
      </c>
      <c r="AM286" s="85">
        <v>0</v>
      </c>
      <c r="AN286" s="85">
        <v>0</v>
      </c>
      <c r="AO286" s="85">
        <v>0</v>
      </c>
      <c r="AP286" s="85">
        <v>0</v>
      </c>
      <c r="AQ286" s="85">
        <v>0</v>
      </c>
      <c r="AR286" s="85">
        <v>324.43400000000003</v>
      </c>
      <c r="AS286" s="85">
        <v>0</v>
      </c>
      <c r="AT286" s="85">
        <v>0</v>
      </c>
      <c r="AU286" s="85">
        <v>0</v>
      </c>
      <c r="AV286" s="85">
        <v>0</v>
      </c>
      <c r="AW286" s="85">
        <v>0</v>
      </c>
      <c r="AX286" s="85">
        <v>0</v>
      </c>
      <c r="AY286" s="85">
        <v>0</v>
      </c>
      <c r="AZ286" s="85">
        <v>0</v>
      </c>
      <c r="BA286" s="85">
        <v>25.893999999999998</v>
      </c>
      <c r="BB286" s="89">
        <v>0</v>
      </c>
      <c r="BC286" s="89">
        <v>25.893999999999998</v>
      </c>
      <c r="BD286" s="37">
        <v>0</v>
      </c>
      <c r="BE286" s="37">
        <v>0</v>
      </c>
      <c r="BF286" s="279">
        <v>33093</v>
      </c>
      <c r="BG286" s="37">
        <v>73518</v>
      </c>
      <c r="BH286" s="37">
        <v>49779</v>
      </c>
      <c r="BI286" s="37">
        <v>0</v>
      </c>
      <c r="BJ286" s="283">
        <v>156390</v>
      </c>
      <c r="BK286" s="161"/>
      <c r="BL286" s="294"/>
      <c r="BM286"/>
      <c r="BN286"/>
      <c r="BO286"/>
      <c r="BP286"/>
      <c r="BQ286"/>
      <c r="BR286"/>
      <c r="BS286"/>
      <c r="BT286"/>
      <c r="BU286"/>
      <c r="BV286"/>
      <c r="BW286"/>
      <c r="BX286"/>
      <c r="BY286"/>
      <c r="BZ286"/>
      <c r="CA286"/>
      <c r="CB286"/>
      <c r="CC286"/>
      <c r="CD286"/>
      <c r="CE286"/>
      <c r="CF286"/>
      <c r="CG286"/>
      <c r="CH286"/>
      <c r="CI286"/>
      <c r="CJ286"/>
    </row>
    <row r="287" spans="1:88" s="32" customFormat="1" ht="15" customHeight="1" x14ac:dyDescent="0.35">
      <c r="A287" s="473"/>
      <c r="B287" s="313">
        <v>18010</v>
      </c>
      <c r="C287" s="8" t="s">
        <v>105</v>
      </c>
      <c r="D287" s="18">
        <v>12</v>
      </c>
      <c r="E287" s="251"/>
      <c r="F287" s="82"/>
      <c r="G287" s="79"/>
      <c r="H287" s="90"/>
      <c r="I287" s="85"/>
      <c r="J287" s="85"/>
      <c r="K287" s="85"/>
      <c r="L287" s="85"/>
      <c r="M287" s="85"/>
      <c r="N287" s="85"/>
      <c r="O287" s="85"/>
      <c r="P287" s="85"/>
      <c r="Q287" s="85"/>
      <c r="R287" s="85"/>
      <c r="S287" s="89"/>
      <c r="T287" s="89" t="s">
        <v>1124</v>
      </c>
      <c r="U287" s="85"/>
      <c r="V287" s="85"/>
      <c r="W287" s="85"/>
      <c r="X287" s="89" t="s">
        <v>1124</v>
      </c>
      <c r="Y287" s="79"/>
      <c r="Z287" s="79"/>
      <c r="AA287" s="94"/>
      <c r="AB287" s="79" t="s">
        <v>1124</v>
      </c>
      <c r="AC287" s="85"/>
      <c r="AD287" s="85"/>
      <c r="AE287" s="85"/>
      <c r="AF287" s="85"/>
      <c r="AG287" s="85" t="s">
        <v>1124</v>
      </c>
      <c r="AH287" s="85"/>
      <c r="AI287" s="85"/>
      <c r="AJ287" s="85"/>
      <c r="AK287" s="85"/>
      <c r="AL287" s="85"/>
      <c r="AM287" s="85"/>
      <c r="AN287" s="85"/>
      <c r="AO287" s="85"/>
      <c r="AP287" s="85"/>
      <c r="AQ287" s="85"/>
      <c r="AR287" s="85" t="s">
        <v>1124</v>
      </c>
      <c r="AS287" s="85"/>
      <c r="AT287" s="85"/>
      <c r="AU287" s="85"/>
      <c r="AV287" s="85"/>
      <c r="AW287" s="85"/>
      <c r="AX287" s="85"/>
      <c r="AY287" s="85"/>
      <c r="AZ287" s="85"/>
      <c r="BA287" s="85"/>
      <c r="BB287" s="89"/>
      <c r="BC287" s="89" t="s">
        <v>1124</v>
      </c>
      <c r="BD287" s="37"/>
      <c r="BE287" s="37"/>
      <c r="BF287" s="279"/>
      <c r="BG287" s="37"/>
      <c r="BH287" s="37"/>
      <c r="BI287" s="37"/>
      <c r="BJ287" s="283"/>
      <c r="BK287" s="161"/>
      <c r="BL287" s="294"/>
      <c r="BM287"/>
      <c r="BN287"/>
      <c r="BO287"/>
      <c r="BP287"/>
      <c r="BQ287"/>
      <c r="BR287"/>
      <c r="BS287"/>
      <c r="BT287"/>
      <c r="BU287"/>
      <c r="BV287"/>
      <c r="BW287"/>
      <c r="BX287"/>
      <c r="BY287"/>
      <c r="BZ287"/>
      <c r="CA287"/>
      <c r="CB287"/>
      <c r="CC287"/>
      <c r="CD287"/>
      <c r="CE287"/>
      <c r="CF287"/>
      <c r="CG287"/>
      <c r="CH287"/>
      <c r="CI287"/>
      <c r="CJ287"/>
    </row>
    <row r="288" spans="1:88" s="32" customFormat="1" ht="15" customHeight="1" x14ac:dyDescent="0.35">
      <c r="A288" s="473"/>
      <c r="B288" s="313">
        <v>76020</v>
      </c>
      <c r="C288" s="8" t="s">
        <v>748</v>
      </c>
      <c r="D288" s="18">
        <v>15</v>
      </c>
      <c r="E288" s="251">
        <v>6702</v>
      </c>
      <c r="F288" s="82">
        <v>2.0038011251330392</v>
      </c>
      <c r="G288" s="79">
        <v>13429.475140641629</v>
      </c>
      <c r="H288" s="90">
        <v>212.541</v>
      </c>
      <c r="I288" s="85">
        <v>197.952</v>
      </c>
      <c r="J288" s="85">
        <v>240.53800000000001</v>
      </c>
      <c r="K288" s="85">
        <v>249.947</v>
      </c>
      <c r="L288" s="85">
        <v>274.71600000000001</v>
      </c>
      <c r="M288" s="85">
        <v>281.44099999999997</v>
      </c>
      <c r="N288" s="85">
        <v>285.70299999999997</v>
      </c>
      <c r="O288" s="85">
        <v>259.00099999999998</v>
      </c>
      <c r="P288" s="85">
        <v>227.233</v>
      </c>
      <c r="Q288" s="85">
        <v>216.18600000000001</v>
      </c>
      <c r="R288" s="85">
        <v>211.33799999999999</v>
      </c>
      <c r="S288" s="89">
        <v>217.31399999999999</v>
      </c>
      <c r="T288" s="89">
        <v>2873.9100000000003</v>
      </c>
      <c r="U288" s="85">
        <v>0</v>
      </c>
      <c r="V288" s="85">
        <v>2873.91</v>
      </c>
      <c r="W288" s="85">
        <v>0</v>
      </c>
      <c r="X288" s="89">
        <v>2873.91</v>
      </c>
      <c r="Y288" s="79">
        <v>0</v>
      </c>
      <c r="Z288" s="79">
        <v>1</v>
      </c>
      <c r="AA288" s="94">
        <v>0</v>
      </c>
      <c r="AB288" s="79">
        <v>1</v>
      </c>
      <c r="AC288" s="85">
        <v>1164.4469999999999</v>
      </c>
      <c r="AD288" s="85">
        <v>459.01599999999962</v>
      </c>
      <c r="AE288" s="85">
        <v>1182.884</v>
      </c>
      <c r="AF288" s="85">
        <v>67.563000000000002</v>
      </c>
      <c r="AG288" s="85">
        <v>2873.91</v>
      </c>
      <c r="AH288" s="85">
        <v>0</v>
      </c>
      <c r="AI288" s="85">
        <v>0</v>
      </c>
      <c r="AJ288" s="85">
        <v>0</v>
      </c>
      <c r="AK288" s="85">
        <v>0</v>
      </c>
      <c r="AL288" s="85">
        <v>0</v>
      </c>
      <c r="AM288" s="85">
        <v>0</v>
      </c>
      <c r="AN288" s="85">
        <v>0</v>
      </c>
      <c r="AO288" s="85">
        <v>0</v>
      </c>
      <c r="AP288" s="85">
        <v>0</v>
      </c>
      <c r="AQ288" s="85">
        <v>0</v>
      </c>
      <c r="AR288" s="85">
        <v>0</v>
      </c>
      <c r="AS288" s="85">
        <v>0</v>
      </c>
      <c r="AT288" s="85">
        <v>0</v>
      </c>
      <c r="AU288" s="85">
        <v>0</v>
      </c>
      <c r="AV288" s="85">
        <v>0</v>
      </c>
      <c r="AW288" s="85">
        <v>0</v>
      </c>
      <c r="AX288" s="85">
        <v>0</v>
      </c>
      <c r="AY288" s="85">
        <v>0</v>
      </c>
      <c r="AZ288" s="85">
        <v>2873.91</v>
      </c>
      <c r="BA288" s="85">
        <v>0</v>
      </c>
      <c r="BB288" s="89">
        <v>0</v>
      </c>
      <c r="BC288" s="89">
        <v>2873.91</v>
      </c>
      <c r="BD288" s="37">
        <v>44652</v>
      </c>
      <c r="BE288" s="37">
        <v>165718</v>
      </c>
      <c r="BF288" s="279">
        <v>160978</v>
      </c>
      <c r="BG288" s="37">
        <v>265600</v>
      </c>
      <c r="BH288" s="37">
        <v>215512</v>
      </c>
      <c r="BI288" s="37">
        <v>0</v>
      </c>
      <c r="BJ288" s="283">
        <v>642090</v>
      </c>
      <c r="BK288" s="161"/>
      <c r="BL288" s="294"/>
      <c r="BM288"/>
      <c r="BN288"/>
      <c r="BO288"/>
      <c r="BP288"/>
      <c r="BQ288"/>
      <c r="BR288"/>
      <c r="BS288"/>
      <c r="BT288"/>
      <c r="BU288"/>
      <c r="BV288"/>
      <c r="BW288"/>
      <c r="BX288"/>
      <c r="BY288"/>
      <c r="BZ288"/>
      <c r="CA288"/>
      <c r="CB288"/>
      <c r="CC288"/>
      <c r="CD288"/>
      <c r="CE288"/>
      <c r="CF288"/>
      <c r="CG288"/>
      <c r="CH288"/>
      <c r="CI288"/>
      <c r="CJ288"/>
    </row>
    <row r="289" spans="1:88" s="32" customFormat="1" ht="15" customHeight="1" x14ac:dyDescent="0.35">
      <c r="A289" s="473"/>
      <c r="B289" s="313">
        <v>30030</v>
      </c>
      <c r="C289" s="8" t="s">
        <v>222</v>
      </c>
      <c r="D289" s="18">
        <v>5</v>
      </c>
      <c r="E289" s="251">
        <v>3071</v>
      </c>
      <c r="F289" s="82">
        <v>1.89</v>
      </c>
      <c r="G289" s="79">
        <v>5804.19</v>
      </c>
      <c r="H289" s="90">
        <v>78.980999999999995</v>
      </c>
      <c r="I289" s="85">
        <v>73.552999999999997</v>
      </c>
      <c r="J289" s="85">
        <v>80.94</v>
      </c>
      <c r="K289" s="85">
        <v>82.564999999999998</v>
      </c>
      <c r="L289" s="85">
        <v>88.528000000000006</v>
      </c>
      <c r="M289" s="85">
        <v>93.445999999999998</v>
      </c>
      <c r="N289" s="85">
        <v>96.435000000000002</v>
      </c>
      <c r="O289" s="85">
        <v>92.188000000000002</v>
      </c>
      <c r="P289" s="85">
        <v>84.31</v>
      </c>
      <c r="Q289" s="85">
        <v>77.194000000000003</v>
      </c>
      <c r="R289" s="85">
        <v>77.001999999999995</v>
      </c>
      <c r="S289" s="89">
        <v>76.959999999999994</v>
      </c>
      <c r="T289" s="89">
        <v>1002.1020000000001</v>
      </c>
      <c r="U289" s="85">
        <v>0</v>
      </c>
      <c r="V289" s="85">
        <v>1002.102</v>
      </c>
      <c r="W289" s="85">
        <v>0</v>
      </c>
      <c r="X289" s="89">
        <v>1002.102</v>
      </c>
      <c r="Y289" s="79">
        <v>0</v>
      </c>
      <c r="Z289" s="79">
        <v>1</v>
      </c>
      <c r="AA289" s="94">
        <v>0</v>
      </c>
      <c r="AB289" s="79">
        <v>1</v>
      </c>
      <c r="AC289" s="85">
        <v>351.59737656903764</v>
      </c>
      <c r="AD289" s="85">
        <v>598.7156234309623</v>
      </c>
      <c r="AE289" s="85">
        <v>8.9440000000000008</v>
      </c>
      <c r="AF289" s="85">
        <v>42.844999999999999</v>
      </c>
      <c r="AG289" s="85">
        <v>1002.1019999999999</v>
      </c>
      <c r="AH289" s="85">
        <v>0</v>
      </c>
      <c r="AI289" s="85">
        <v>0</v>
      </c>
      <c r="AJ289" s="85">
        <v>0</v>
      </c>
      <c r="AK289" s="85">
        <v>0</v>
      </c>
      <c r="AL289" s="85">
        <v>0</v>
      </c>
      <c r="AM289" s="85">
        <v>0</v>
      </c>
      <c r="AN289" s="85">
        <v>0</v>
      </c>
      <c r="AO289" s="85">
        <v>0</v>
      </c>
      <c r="AP289" s="85">
        <v>0</v>
      </c>
      <c r="AQ289" s="85">
        <v>0</v>
      </c>
      <c r="AR289" s="85">
        <v>0</v>
      </c>
      <c r="AS289" s="85">
        <v>0</v>
      </c>
      <c r="AT289" s="85">
        <v>0</v>
      </c>
      <c r="AU289" s="85">
        <v>0</v>
      </c>
      <c r="AV289" s="85">
        <v>0</v>
      </c>
      <c r="AW289" s="85">
        <v>0</v>
      </c>
      <c r="AX289" s="85">
        <v>1002.102</v>
      </c>
      <c r="AY289" s="85">
        <v>0</v>
      </c>
      <c r="AZ289" s="85">
        <v>0</v>
      </c>
      <c r="BA289" s="85">
        <v>0</v>
      </c>
      <c r="BB289" s="89">
        <v>0</v>
      </c>
      <c r="BC289" s="89">
        <v>1002.102</v>
      </c>
      <c r="BD289" s="37">
        <v>0</v>
      </c>
      <c r="BE289" s="37">
        <v>0</v>
      </c>
      <c r="BF289" s="279">
        <v>44185</v>
      </c>
      <c r="BG289" s="37">
        <v>122308</v>
      </c>
      <c r="BH289" s="37">
        <v>94383</v>
      </c>
      <c r="BI289" s="37">
        <v>46740</v>
      </c>
      <c r="BJ289" s="283">
        <v>307616</v>
      </c>
      <c r="BK289" s="161"/>
      <c r="BL289" s="294"/>
      <c r="BM289"/>
      <c r="BN289"/>
      <c r="BO289"/>
      <c r="BP289"/>
      <c r="BQ289"/>
      <c r="BR289"/>
      <c r="BS289"/>
      <c r="BT289"/>
      <c r="BU289"/>
      <c r="BV289"/>
      <c r="BW289"/>
      <c r="BX289"/>
      <c r="BY289"/>
      <c r="BZ289"/>
      <c r="CA289"/>
      <c r="CB289"/>
      <c r="CC289"/>
      <c r="CD289"/>
      <c r="CE289"/>
      <c r="CF289"/>
      <c r="CG289"/>
      <c r="CH289"/>
      <c r="CI289"/>
      <c r="CJ289"/>
    </row>
    <row r="290" spans="1:88" s="32" customFormat="1" ht="15" customHeight="1" x14ac:dyDescent="0.35">
      <c r="A290" s="473"/>
      <c r="B290" s="313">
        <v>56023</v>
      </c>
      <c r="C290" s="8" t="s">
        <v>570</v>
      </c>
      <c r="D290" s="18">
        <v>16</v>
      </c>
      <c r="E290" s="251"/>
      <c r="F290" s="82"/>
      <c r="G290" s="79"/>
      <c r="H290" s="90"/>
      <c r="I290" s="85"/>
      <c r="J290" s="85"/>
      <c r="K290" s="85"/>
      <c r="L290" s="85"/>
      <c r="M290" s="85"/>
      <c r="N290" s="85"/>
      <c r="O290" s="85"/>
      <c r="P290" s="85"/>
      <c r="Q290" s="85"/>
      <c r="R290" s="85"/>
      <c r="S290" s="89"/>
      <c r="T290" s="89" t="s">
        <v>1124</v>
      </c>
      <c r="U290" s="85"/>
      <c r="V290" s="85"/>
      <c r="W290" s="85"/>
      <c r="X290" s="89" t="s">
        <v>1124</v>
      </c>
      <c r="Y290" s="79"/>
      <c r="Z290" s="79"/>
      <c r="AA290" s="94"/>
      <c r="AB290" s="79" t="s">
        <v>1124</v>
      </c>
      <c r="AC290" s="85"/>
      <c r="AD290" s="85"/>
      <c r="AE290" s="85"/>
      <c r="AF290" s="85"/>
      <c r="AG290" s="85" t="s">
        <v>1124</v>
      </c>
      <c r="AH290" s="85"/>
      <c r="AI290" s="85"/>
      <c r="AJ290" s="85"/>
      <c r="AK290" s="85"/>
      <c r="AL290" s="85"/>
      <c r="AM290" s="85"/>
      <c r="AN290" s="85"/>
      <c r="AO290" s="85"/>
      <c r="AP290" s="85"/>
      <c r="AQ290" s="85"/>
      <c r="AR290" s="85" t="s">
        <v>1124</v>
      </c>
      <c r="AS290" s="85"/>
      <c r="AT290" s="85"/>
      <c r="AU290" s="85"/>
      <c r="AV290" s="85"/>
      <c r="AW290" s="85"/>
      <c r="AX290" s="85"/>
      <c r="AY290" s="85"/>
      <c r="AZ290" s="85"/>
      <c r="BA290" s="85"/>
      <c r="BB290" s="89"/>
      <c r="BC290" s="89" t="s">
        <v>1124</v>
      </c>
      <c r="BD290" s="37"/>
      <c r="BE290" s="37"/>
      <c r="BF290" s="279"/>
      <c r="BG290" s="37"/>
      <c r="BH290" s="37"/>
      <c r="BI290" s="37"/>
      <c r="BJ290" s="283"/>
      <c r="BK290" s="161"/>
      <c r="BL290" s="294"/>
      <c r="BM290"/>
      <c r="BN290"/>
      <c r="BO290"/>
      <c r="BP290"/>
      <c r="BQ290"/>
      <c r="BR290"/>
      <c r="BS290"/>
      <c r="BT290"/>
      <c r="BU290"/>
      <c r="BV290"/>
      <c r="BW290"/>
      <c r="BX290"/>
      <c r="BY290"/>
      <c r="BZ290"/>
      <c r="CA290"/>
      <c r="CB290"/>
      <c r="CC290"/>
      <c r="CD290"/>
      <c r="CE290"/>
      <c r="CF290"/>
      <c r="CG290"/>
      <c r="CH290"/>
      <c r="CI290"/>
      <c r="CJ290"/>
    </row>
    <row r="291" spans="1:88" s="32" customFormat="1" ht="15" customHeight="1" x14ac:dyDescent="0.35">
      <c r="A291" s="473"/>
      <c r="B291" s="313">
        <v>29095</v>
      </c>
      <c r="C291" s="8" t="s">
        <v>212</v>
      </c>
      <c r="D291" s="18">
        <v>12</v>
      </c>
      <c r="E291" s="251"/>
      <c r="F291" s="82"/>
      <c r="G291" s="79"/>
      <c r="H291" s="90"/>
      <c r="I291" s="85"/>
      <c r="J291" s="85"/>
      <c r="K291" s="85"/>
      <c r="L291" s="85"/>
      <c r="M291" s="85"/>
      <c r="N291" s="85"/>
      <c r="O291" s="85"/>
      <c r="P291" s="85"/>
      <c r="Q291" s="85"/>
      <c r="R291" s="85"/>
      <c r="S291" s="89"/>
      <c r="T291" s="89" t="s">
        <v>1124</v>
      </c>
      <c r="U291" s="85"/>
      <c r="V291" s="85"/>
      <c r="W291" s="85"/>
      <c r="X291" s="89" t="s">
        <v>1124</v>
      </c>
      <c r="Y291" s="79"/>
      <c r="Z291" s="79"/>
      <c r="AA291" s="94"/>
      <c r="AB291" s="79" t="s">
        <v>1124</v>
      </c>
      <c r="AC291" s="85"/>
      <c r="AD291" s="85"/>
      <c r="AE291" s="85"/>
      <c r="AF291" s="85"/>
      <c r="AG291" s="85" t="s">
        <v>1124</v>
      </c>
      <c r="AH291" s="85"/>
      <c r="AI291" s="85"/>
      <c r="AJ291" s="85"/>
      <c r="AK291" s="85"/>
      <c r="AL291" s="85"/>
      <c r="AM291" s="85"/>
      <c r="AN291" s="85"/>
      <c r="AO291" s="85"/>
      <c r="AP291" s="85"/>
      <c r="AQ291" s="85"/>
      <c r="AR291" s="85" t="s">
        <v>1124</v>
      </c>
      <c r="AS291" s="85"/>
      <c r="AT291" s="85"/>
      <c r="AU291" s="85"/>
      <c r="AV291" s="85"/>
      <c r="AW291" s="85"/>
      <c r="AX291" s="85"/>
      <c r="AY291" s="85"/>
      <c r="AZ291" s="85"/>
      <c r="BA291" s="85"/>
      <c r="BB291" s="89"/>
      <c r="BC291" s="89" t="s">
        <v>1124</v>
      </c>
      <c r="BD291" s="37"/>
      <c r="BE291" s="37"/>
      <c r="BF291" s="279"/>
      <c r="BG291" s="37"/>
      <c r="BH291" s="37"/>
      <c r="BI291" s="37"/>
      <c r="BJ291" s="283"/>
      <c r="BK291" s="161"/>
      <c r="BL291" s="294"/>
      <c r="BM291"/>
      <c r="BN291"/>
      <c r="BO291"/>
      <c r="BP291"/>
      <c r="BQ291"/>
      <c r="BR291"/>
      <c r="BS291"/>
      <c r="BT291"/>
      <c r="BU291"/>
      <c r="BV291"/>
      <c r="BW291"/>
      <c r="BX291"/>
      <c r="BY291"/>
      <c r="BZ291"/>
      <c r="CA291"/>
      <c r="CB291"/>
      <c r="CC291"/>
      <c r="CD291"/>
      <c r="CE291"/>
      <c r="CF291"/>
      <c r="CG291"/>
      <c r="CH291"/>
      <c r="CI291"/>
      <c r="CJ291"/>
    </row>
    <row r="292" spans="1:88" s="32" customFormat="1" ht="15" customHeight="1" x14ac:dyDescent="0.35">
      <c r="A292" s="473"/>
      <c r="B292" s="313">
        <v>79060</v>
      </c>
      <c r="C292" s="8" t="s">
        <v>795</v>
      </c>
      <c r="D292" s="18">
        <v>15</v>
      </c>
      <c r="E292" s="251"/>
      <c r="F292" s="82"/>
      <c r="G292" s="79"/>
      <c r="H292" s="90"/>
      <c r="I292" s="85"/>
      <c r="J292" s="85"/>
      <c r="K292" s="85"/>
      <c r="L292" s="85"/>
      <c r="M292" s="85"/>
      <c r="N292" s="85"/>
      <c r="O292" s="85"/>
      <c r="P292" s="85"/>
      <c r="Q292" s="85"/>
      <c r="R292" s="85"/>
      <c r="S292" s="89"/>
      <c r="T292" s="89" t="s">
        <v>1124</v>
      </c>
      <c r="U292" s="85"/>
      <c r="V292" s="85"/>
      <c r="W292" s="85"/>
      <c r="X292" s="89" t="s">
        <v>1124</v>
      </c>
      <c r="Y292" s="79"/>
      <c r="Z292" s="79"/>
      <c r="AA292" s="94"/>
      <c r="AB292" s="79" t="s">
        <v>1124</v>
      </c>
      <c r="AC292" s="85"/>
      <c r="AD292" s="85"/>
      <c r="AE292" s="85"/>
      <c r="AF292" s="85"/>
      <c r="AG292" s="85" t="s">
        <v>1124</v>
      </c>
      <c r="AH292" s="85"/>
      <c r="AI292" s="85"/>
      <c r="AJ292" s="85"/>
      <c r="AK292" s="85"/>
      <c r="AL292" s="85"/>
      <c r="AM292" s="85"/>
      <c r="AN292" s="85"/>
      <c r="AO292" s="85"/>
      <c r="AP292" s="85"/>
      <c r="AQ292" s="85"/>
      <c r="AR292" s="85" t="s">
        <v>1124</v>
      </c>
      <c r="AS292" s="85"/>
      <c r="AT292" s="85"/>
      <c r="AU292" s="85"/>
      <c r="AV292" s="85"/>
      <c r="AW292" s="85"/>
      <c r="AX292" s="85"/>
      <c r="AY292" s="85"/>
      <c r="AZ292" s="85"/>
      <c r="BA292" s="85"/>
      <c r="BB292" s="89"/>
      <c r="BC292" s="89" t="s">
        <v>1124</v>
      </c>
      <c r="BD292" s="37"/>
      <c r="BE292" s="37"/>
      <c r="BF292" s="279"/>
      <c r="BG292" s="37"/>
      <c r="BH292" s="37"/>
      <c r="BI292" s="37"/>
      <c r="BJ292" s="283"/>
      <c r="BK292" s="161"/>
      <c r="BL292" s="294"/>
      <c r="BM292"/>
      <c r="BN292"/>
      <c r="BO292"/>
      <c r="BP292"/>
      <c r="BQ292"/>
      <c r="BR292"/>
      <c r="BS292"/>
      <c r="BT292"/>
      <c r="BU292"/>
      <c r="BV292"/>
      <c r="BW292"/>
      <c r="BX292"/>
      <c r="BY292"/>
      <c r="BZ292"/>
      <c r="CA292"/>
      <c r="CB292"/>
      <c r="CC292"/>
      <c r="CD292"/>
      <c r="CE292"/>
      <c r="CF292"/>
      <c r="CG292"/>
      <c r="CH292"/>
      <c r="CI292"/>
      <c r="CJ292"/>
    </row>
    <row r="293" spans="1:88" s="32" customFormat="1" ht="15" customHeight="1" x14ac:dyDescent="0.35">
      <c r="A293" s="473"/>
      <c r="B293" s="313">
        <v>83020</v>
      </c>
      <c r="C293" s="8" t="s">
        <v>838</v>
      </c>
      <c r="D293" s="18">
        <v>7</v>
      </c>
      <c r="E293" s="251"/>
      <c r="F293" s="82"/>
      <c r="G293" s="79"/>
      <c r="H293" s="90"/>
      <c r="I293" s="85"/>
      <c r="J293" s="85"/>
      <c r="K293" s="85"/>
      <c r="L293" s="85"/>
      <c r="M293" s="85"/>
      <c r="N293" s="85"/>
      <c r="O293" s="85"/>
      <c r="P293" s="85"/>
      <c r="Q293" s="85"/>
      <c r="R293" s="85"/>
      <c r="S293" s="89"/>
      <c r="T293" s="89" t="s">
        <v>1124</v>
      </c>
      <c r="U293" s="85"/>
      <c r="V293" s="85"/>
      <c r="W293" s="85"/>
      <c r="X293" s="89" t="s">
        <v>1124</v>
      </c>
      <c r="Y293" s="79"/>
      <c r="Z293" s="79"/>
      <c r="AA293" s="94"/>
      <c r="AB293" s="79" t="s">
        <v>1124</v>
      </c>
      <c r="AC293" s="85"/>
      <c r="AD293" s="85"/>
      <c r="AE293" s="85"/>
      <c r="AF293" s="85"/>
      <c r="AG293" s="85" t="s">
        <v>1124</v>
      </c>
      <c r="AH293" s="85"/>
      <c r="AI293" s="85"/>
      <c r="AJ293" s="85"/>
      <c r="AK293" s="85"/>
      <c r="AL293" s="85"/>
      <c r="AM293" s="85"/>
      <c r="AN293" s="85"/>
      <c r="AO293" s="85"/>
      <c r="AP293" s="85"/>
      <c r="AQ293" s="85"/>
      <c r="AR293" s="85" t="s">
        <v>1124</v>
      </c>
      <c r="AS293" s="85"/>
      <c r="AT293" s="85"/>
      <c r="AU293" s="85"/>
      <c r="AV293" s="85"/>
      <c r="AW293" s="85"/>
      <c r="AX293" s="85"/>
      <c r="AY293" s="85"/>
      <c r="AZ293" s="85"/>
      <c r="BA293" s="85"/>
      <c r="BB293" s="89"/>
      <c r="BC293" s="89" t="s">
        <v>1124</v>
      </c>
      <c r="BD293" s="37"/>
      <c r="BE293" s="37"/>
      <c r="BF293" s="279"/>
      <c r="BG293" s="37"/>
      <c r="BH293" s="37"/>
      <c r="BI293" s="37"/>
      <c r="BJ293" s="283"/>
      <c r="BK293" s="161"/>
      <c r="BL293" s="294"/>
      <c r="BM293"/>
      <c r="BN293"/>
      <c r="BO293"/>
      <c r="BP293"/>
      <c r="BQ293"/>
      <c r="BR293"/>
      <c r="BS293"/>
      <c r="BT293"/>
      <c r="BU293"/>
      <c r="BV293"/>
      <c r="BW293"/>
      <c r="BX293"/>
      <c r="BY293"/>
      <c r="BZ293"/>
      <c r="CA293"/>
      <c r="CB293"/>
      <c r="CC293"/>
      <c r="CD293"/>
      <c r="CE293"/>
      <c r="CF293"/>
      <c r="CG293"/>
      <c r="CH293"/>
      <c r="CI293"/>
      <c r="CJ293"/>
    </row>
    <row r="294" spans="1:88" s="32" customFormat="1" ht="15" customHeight="1" x14ac:dyDescent="0.35">
      <c r="A294" s="473"/>
      <c r="B294" s="314">
        <v>22015</v>
      </c>
      <c r="C294" s="8" t="s">
        <v>155</v>
      </c>
      <c r="D294" s="18">
        <v>3</v>
      </c>
      <c r="E294" s="251"/>
      <c r="F294" s="82"/>
      <c r="G294" s="79"/>
      <c r="H294" s="90"/>
      <c r="I294" s="85"/>
      <c r="J294" s="85"/>
      <c r="K294" s="85"/>
      <c r="L294" s="85"/>
      <c r="M294" s="85"/>
      <c r="N294" s="85"/>
      <c r="O294" s="85"/>
      <c r="P294" s="85"/>
      <c r="Q294" s="85"/>
      <c r="R294" s="85"/>
      <c r="S294" s="89"/>
      <c r="T294" s="89" t="s">
        <v>1124</v>
      </c>
      <c r="U294" s="85"/>
      <c r="V294" s="85"/>
      <c r="W294" s="85"/>
      <c r="X294" s="89" t="s">
        <v>1124</v>
      </c>
      <c r="Y294" s="79"/>
      <c r="Z294" s="79"/>
      <c r="AA294" s="94"/>
      <c r="AB294" s="79" t="s">
        <v>1124</v>
      </c>
      <c r="AC294" s="85"/>
      <c r="AD294" s="85"/>
      <c r="AE294" s="85"/>
      <c r="AF294" s="85"/>
      <c r="AG294" s="85" t="s">
        <v>1124</v>
      </c>
      <c r="AH294" s="85"/>
      <c r="AI294" s="85"/>
      <c r="AJ294" s="85"/>
      <c r="AK294" s="85"/>
      <c r="AL294" s="85"/>
      <c r="AM294" s="85"/>
      <c r="AN294" s="85"/>
      <c r="AO294" s="85"/>
      <c r="AP294" s="85"/>
      <c r="AQ294" s="85"/>
      <c r="AR294" s="85" t="s">
        <v>1124</v>
      </c>
      <c r="AS294" s="85"/>
      <c r="AT294" s="85"/>
      <c r="AU294" s="85"/>
      <c r="AV294" s="85"/>
      <c r="AW294" s="85"/>
      <c r="AX294" s="85"/>
      <c r="AY294" s="85"/>
      <c r="AZ294" s="85"/>
      <c r="BA294" s="85"/>
      <c r="BB294" s="89"/>
      <c r="BC294" s="89" t="s">
        <v>1124</v>
      </c>
      <c r="BD294" s="37"/>
      <c r="BE294" s="37"/>
      <c r="BF294" s="279"/>
      <c r="BG294" s="37"/>
      <c r="BH294" s="37"/>
      <c r="BI294" s="37"/>
      <c r="BJ294" s="283"/>
      <c r="BK294" s="161"/>
      <c r="BL294" s="294"/>
      <c r="BM294"/>
      <c r="BN294"/>
      <c r="BO294"/>
      <c r="BP294"/>
      <c r="BQ294"/>
      <c r="BR294"/>
      <c r="BS294"/>
      <c r="BT294"/>
      <c r="BU294"/>
      <c r="BV294"/>
      <c r="BW294"/>
      <c r="BX294"/>
      <c r="BY294"/>
      <c r="BZ294"/>
      <c r="CA294"/>
      <c r="CB294"/>
      <c r="CC294"/>
      <c r="CD294"/>
      <c r="CE294"/>
      <c r="CF294"/>
      <c r="CG294"/>
      <c r="CH294"/>
      <c r="CI294"/>
      <c r="CJ294"/>
    </row>
    <row r="295" spans="1:88" s="32" customFormat="1" ht="15" customHeight="1" x14ac:dyDescent="0.35">
      <c r="A295" s="473"/>
      <c r="B295" s="313">
        <v>79105</v>
      </c>
      <c r="C295" s="8" t="s">
        <v>800</v>
      </c>
      <c r="D295" s="18">
        <v>15</v>
      </c>
      <c r="E295" s="251"/>
      <c r="F295" s="82"/>
      <c r="G295" s="79"/>
      <c r="H295" s="90"/>
      <c r="I295" s="85"/>
      <c r="J295" s="85"/>
      <c r="K295" s="85"/>
      <c r="L295" s="85"/>
      <c r="M295" s="85"/>
      <c r="N295" s="85"/>
      <c r="O295" s="85"/>
      <c r="P295" s="85"/>
      <c r="Q295" s="85"/>
      <c r="R295" s="85"/>
      <c r="S295" s="89"/>
      <c r="T295" s="89" t="s">
        <v>1124</v>
      </c>
      <c r="U295" s="85"/>
      <c r="V295" s="85"/>
      <c r="W295" s="85"/>
      <c r="X295" s="89" t="s">
        <v>1124</v>
      </c>
      <c r="Y295" s="79"/>
      <c r="Z295" s="79"/>
      <c r="AA295" s="94"/>
      <c r="AB295" s="79" t="s">
        <v>1124</v>
      </c>
      <c r="AC295" s="85"/>
      <c r="AD295" s="85"/>
      <c r="AE295" s="85"/>
      <c r="AF295" s="85"/>
      <c r="AG295" s="85" t="s">
        <v>1124</v>
      </c>
      <c r="AH295" s="85"/>
      <c r="AI295" s="85"/>
      <c r="AJ295" s="85"/>
      <c r="AK295" s="85"/>
      <c r="AL295" s="85"/>
      <c r="AM295" s="85"/>
      <c r="AN295" s="85"/>
      <c r="AO295" s="85"/>
      <c r="AP295" s="85"/>
      <c r="AQ295" s="85"/>
      <c r="AR295" s="85" t="s">
        <v>1124</v>
      </c>
      <c r="AS295" s="85"/>
      <c r="AT295" s="85"/>
      <c r="AU295" s="85"/>
      <c r="AV295" s="85"/>
      <c r="AW295" s="85"/>
      <c r="AX295" s="85"/>
      <c r="AY295" s="85"/>
      <c r="AZ295" s="85"/>
      <c r="BA295" s="85"/>
      <c r="BB295" s="89"/>
      <c r="BC295" s="89" t="s">
        <v>1124</v>
      </c>
      <c r="BD295" s="37"/>
      <c r="BE295" s="37"/>
      <c r="BF295" s="279"/>
      <c r="BG295" s="37"/>
      <c r="BH295" s="37"/>
      <c r="BI295" s="37"/>
      <c r="BJ295" s="283"/>
      <c r="BK295" s="161"/>
      <c r="BL295" s="294"/>
      <c r="BM295"/>
      <c r="BN295"/>
      <c r="BO295"/>
      <c r="BP295"/>
      <c r="BQ295"/>
      <c r="BR295"/>
      <c r="BS295"/>
      <c r="BT295"/>
      <c r="BU295"/>
      <c r="BV295"/>
      <c r="BW295"/>
      <c r="BX295"/>
      <c r="BY295"/>
      <c r="BZ295"/>
      <c r="CA295"/>
      <c r="CB295"/>
      <c r="CC295"/>
      <c r="CD295"/>
      <c r="CE295"/>
      <c r="CF295"/>
      <c r="CG295"/>
      <c r="CH295"/>
      <c r="CI295"/>
      <c r="CJ295"/>
    </row>
    <row r="296" spans="1:88" s="32" customFormat="1" ht="15" customHeight="1" x14ac:dyDescent="0.35">
      <c r="A296" s="473"/>
      <c r="B296" s="313">
        <v>34120</v>
      </c>
      <c r="C296" s="8" t="s">
        <v>300</v>
      </c>
      <c r="D296" s="18">
        <v>3</v>
      </c>
      <c r="E296" s="251"/>
      <c r="F296" s="82"/>
      <c r="G296" s="79"/>
      <c r="H296" s="90"/>
      <c r="I296" s="85"/>
      <c r="J296" s="85"/>
      <c r="K296" s="85"/>
      <c r="L296" s="85"/>
      <c r="M296" s="85"/>
      <c r="N296" s="85"/>
      <c r="O296" s="85"/>
      <c r="P296" s="85"/>
      <c r="Q296" s="85"/>
      <c r="R296" s="85"/>
      <c r="S296" s="89"/>
      <c r="T296" s="89" t="s">
        <v>1124</v>
      </c>
      <c r="U296" s="85"/>
      <c r="V296" s="85"/>
      <c r="W296" s="85"/>
      <c r="X296" s="89" t="s">
        <v>1124</v>
      </c>
      <c r="Y296" s="79"/>
      <c r="Z296" s="79"/>
      <c r="AA296" s="94"/>
      <c r="AB296" s="79" t="s">
        <v>1124</v>
      </c>
      <c r="AC296" s="85"/>
      <c r="AD296" s="85"/>
      <c r="AE296" s="85"/>
      <c r="AF296" s="85"/>
      <c r="AG296" s="85" t="s">
        <v>1124</v>
      </c>
      <c r="AH296" s="85"/>
      <c r="AI296" s="85"/>
      <c r="AJ296" s="85"/>
      <c r="AK296" s="85"/>
      <c r="AL296" s="85"/>
      <c r="AM296" s="85"/>
      <c r="AN296" s="85"/>
      <c r="AO296" s="85"/>
      <c r="AP296" s="85"/>
      <c r="AQ296" s="85"/>
      <c r="AR296" s="85" t="s">
        <v>1124</v>
      </c>
      <c r="AS296" s="85"/>
      <c r="AT296" s="85"/>
      <c r="AU296" s="85"/>
      <c r="AV296" s="85"/>
      <c r="AW296" s="85"/>
      <c r="AX296" s="85"/>
      <c r="AY296" s="85"/>
      <c r="AZ296" s="85"/>
      <c r="BA296" s="85"/>
      <c r="BB296" s="89"/>
      <c r="BC296" s="89" t="s">
        <v>1124</v>
      </c>
      <c r="BD296" s="37"/>
      <c r="BE296" s="37"/>
      <c r="BF296" s="279"/>
      <c r="BG296" s="37"/>
      <c r="BH296" s="37"/>
      <c r="BI296" s="37"/>
      <c r="BJ296" s="283"/>
      <c r="BK296" s="161"/>
      <c r="BL296" s="294"/>
      <c r="BM296"/>
      <c r="BN296"/>
      <c r="BO296"/>
      <c r="BP296"/>
      <c r="BQ296"/>
      <c r="BR296"/>
      <c r="BS296"/>
      <c r="BT296"/>
      <c r="BU296"/>
      <c r="BV296"/>
      <c r="BW296"/>
      <c r="BX296"/>
      <c r="BY296"/>
      <c r="BZ296"/>
      <c r="CA296"/>
      <c r="CB296"/>
      <c r="CC296"/>
      <c r="CD296"/>
      <c r="CE296"/>
      <c r="CF296"/>
      <c r="CG296"/>
      <c r="CH296"/>
      <c r="CI296"/>
      <c r="CJ296"/>
    </row>
    <row r="297" spans="1:88" s="32" customFormat="1" ht="15" customHeight="1" x14ac:dyDescent="0.35">
      <c r="A297" s="473"/>
      <c r="B297" s="313">
        <v>80095</v>
      </c>
      <c r="C297" s="8" t="s">
        <v>818</v>
      </c>
      <c r="D297" s="18">
        <v>7</v>
      </c>
      <c r="E297" s="251"/>
      <c r="F297" s="82"/>
      <c r="G297" s="79"/>
      <c r="H297" s="90"/>
      <c r="I297" s="85"/>
      <c r="J297" s="85"/>
      <c r="K297" s="85"/>
      <c r="L297" s="85"/>
      <c r="M297" s="85"/>
      <c r="N297" s="85"/>
      <c r="O297" s="85"/>
      <c r="P297" s="85"/>
      <c r="Q297" s="85"/>
      <c r="R297" s="85"/>
      <c r="S297" s="89"/>
      <c r="T297" s="89" t="s">
        <v>1124</v>
      </c>
      <c r="U297" s="85"/>
      <c r="V297" s="85"/>
      <c r="W297" s="85"/>
      <c r="X297" s="89" t="s">
        <v>1124</v>
      </c>
      <c r="Y297" s="79"/>
      <c r="Z297" s="79"/>
      <c r="AA297" s="94"/>
      <c r="AB297" s="79" t="s">
        <v>1124</v>
      </c>
      <c r="AC297" s="85"/>
      <c r="AD297" s="85"/>
      <c r="AE297" s="85"/>
      <c r="AF297" s="85"/>
      <c r="AG297" s="85" t="s">
        <v>1124</v>
      </c>
      <c r="AH297" s="85"/>
      <c r="AI297" s="85"/>
      <c r="AJ297" s="85"/>
      <c r="AK297" s="85"/>
      <c r="AL297" s="85"/>
      <c r="AM297" s="85"/>
      <c r="AN297" s="85"/>
      <c r="AO297" s="85"/>
      <c r="AP297" s="85"/>
      <c r="AQ297" s="85"/>
      <c r="AR297" s="85" t="s">
        <v>1124</v>
      </c>
      <c r="AS297" s="85"/>
      <c r="AT297" s="85"/>
      <c r="AU297" s="85"/>
      <c r="AV297" s="85"/>
      <c r="AW297" s="85"/>
      <c r="AX297" s="85"/>
      <c r="AY297" s="85"/>
      <c r="AZ297" s="85"/>
      <c r="BA297" s="85"/>
      <c r="BB297" s="89"/>
      <c r="BC297" s="89" t="s">
        <v>1124</v>
      </c>
      <c r="BD297" s="37"/>
      <c r="BE297" s="37"/>
      <c r="BF297" s="279"/>
      <c r="BG297" s="37"/>
      <c r="BH297" s="37"/>
      <c r="BI297" s="37"/>
      <c r="BJ297" s="283"/>
      <c r="BK297" s="161"/>
      <c r="BL297" s="294"/>
      <c r="BM297"/>
      <c r="BN297"/>
      <c r="BO297"/>
      <c r="BP297"/>
      <c r="BQ297"/>
      <c r="BR297"/>
      <c r="BS297"/>
      <c r="BT297"/>
      <c r="BU297"/>
      <c r="BV297"/>
      <c r="BW297"/>
      <c r="BX297"/>
      <c r="BY297"/>
      <c r="BZ297"/>
      <c r="CA297"/>
      <c r="CB297"/>
      <c r="CC297"/>
      <c r="CD297"/>
      <c r="CE297"/>
      <c r="CF297"/>
      <c r="CG297"/>
      <c r="CH297"/>
      <c r="CI297"/>
      <c r="CJ297"/>
    </row>
    <row r="298" spans="1:88" s="32" customFormat="1" ht="15" customHeight="1" x14ac:dyDescent="0.35">
      <c r="A298" s="473"/>
      <c r="B298" s="313">
        <v>78095</v>
      </c>
      <c r="C298" s="8" t="s">
        <v>779</v>
      </c>
      <c r="D298" s="18">
        <v>15</v>
      </c>
      <c r="E298" s="251"/>
      <c r="F298" s="82"/>
      <c r="G298" s="79"/>
      <c r="H298" s="90"/>
      <c r="I298" s="85"/>
      <c r="J298" s="85"/>
      <c r="K298" s="85"/>
      <c r="L298" s="85"/>
      <c r="M298" s="85"/>
      <c r="N298" s="85"/>
      <c r="O298" s="85"/>
      <c r="P298" s="85"/>
      <c r="Q298" s="85"/>
      <c r="R298" s="85"/>
      <c r="S298" s="89"/>
      <c r="T298" s="89" t="s">
        <v>1124</v>
      </c>
      <c r="U298" s="85"/>
      <c r="V298" s="85"/>
      <c r="W298" s="85"/>
      <c r="X298" s="89" t="s">
        <v>1124</v>
      </c>
      <c r="Y298" s="79"/>
      <c r="Z298" s="79"/>
      <c r="AA298" s="94"/>
      <c r="AB298" s="79" t="s">
        <v>1124</v>
      </c>
      <c r="AC298" s="85"/>
      <c r="AD298" s="85"/>
      <c r="AE298" s="85"/>
      <c r="AF298" s="85"/>
      <c r="AG298" s="85" t="s">
        <v>1124</v>
      </c>
      <c r="AH298" s="85"/>
      <c r="AI298" s="85"/>
      <c r="AJ298" s="85"/>
      <c r="AK298" s="85"/>
      <c r="AL298" s="85"/>
      <c r="AM298" s="85"/>
      <c r="AN298" s="85"/>
      <c r="AO298" s="85"/>
      <c r="AP298" s="85"/>
      <c r="AQ298" s="85"/>
      <c r="AR298" s="85" t="s">
        <v>1124</v>
      </c>
      <c r="AS298" s="85"/>
      <c r="AT298" s="85"/>
      <c r="AU298" s="85"/>
      <c r="AV298" s="85"/>
      <c r="AW298" s="85"/>
      <c r="AX298" s="85"/>
      <c r="AY298" s="85"/>
      <c r="AZ298" s="85"/>
      <c r="BA298" s="85"/>
      <c r="BB298" s="89"/>
      <c r="BC298" s="89" t="s">
        <v>1124</v>
      </c>
      <c r="BD298" s="37"/>
      <c r="BE298" s="37"/>
      <c r="BF298" s="279"/>
      <c r="BG298" s="37"/>
      <c r="BH298" s="37"/>
      <c r="BI298" s="37"/>
      <c r="BJ298" s="283"/>
      <c r="BK298" s="161"/>
      <c r="BL298" s="294"/>
      <c r="BM298"/>
      <c r="BN298"/>
      <c r="BO298"/>
      <c r="BP298"/>
      <c r="BQ298"/>
      <c r="BR298"/>
      <c r="BS298"/>
      <c r="BT298"/>
      <c r="BU298"/>
      <c r="BV298"/>
      <c r="BW298"/>
      <c r="BX298"/>
      <c r="BY298"/>
      <c r="BZ298"/>
      <c r="CA298"/>
      <c r="CB298"/>
      <c r="CC298"/>
      <c r="CD298"/>
      <c r="CE298"/>
      <c r="CF298"/>
      <c r="CG298"/>
      <c r="CH298"/>
      <c r="CI298"/>
      <c r="CJ298"/>
    </row>
    <row r="299" spans="1:88" s="32" customFormat="1" ht="15" customHeight="1" x14ac:dyDescent="0.35">
      <c r="A299" s="473"/>
      <c r="B299" s="313">
        <v>78127</v>
      </c>
      <c r="C299" s="8" t="s">
        <v>784</v>
      </c>
      <c r="D299" s="18">
        <v>15</v>
      </c>
      <c r="E299" s="251"/>
      <c r="F299" s="82"/>
      <c r="G299" s="79"/>
      <c r="H299" s="90"/>
      <c r="I299" s="85"/>
      <c r="J299" s="85"/>
      <c r="K299" s="85"/>
      <c r="L299" s="85"/>
      <c r="M299" s="85"/>
      <c r="N299" s="85"/>
      <c r="O299" s="85"/>
      <c r="P299" s="85"/>
      <c r="Q299" s="85"/>
      <c r="R299" s="85"/>
      <c r="S299" s="89"/>
      <c r="T299" s="89" t="s">
        <v>1124</v>
      </c>
      <c r="U299" s="85"/>
      <c r="V299" s="85"/>
      <c r="W299" s="85"/>
      <c r="X299" s="89" t="s">
        <v>1124</v>
      </c>
      <c r="Y299" s="79"/>
      <c r="Z299" s="79"/>
      <c r="AA299" s="94"/>
      <c r="AB299" s="79" t="s">
        <v>1124</v>
      </c>
      <c r="AC299" s="85"/>
      <c r="AD299" s="85"/>
      <c r="AE299" s="85"/>
      <c r="AF299" s="85"/>
      <c r="AG299" s="85" t="s">
        <v>1124</v>
      </c>
      <c r="AH299" s="85"/>
      <c r="AI299" s="85"/>
      <c r="AJ299" s="85"/>
      <c r="AK299" s="85"/>
      <c r="AL299" s="85"/>
      <c r="AM299" s="85"/>
      <c r="AN299" s="85"/>
      <c r="AO299" s="85"/>
      <c r="AP299" s="85"/>
      <c r="AQ299" s="85"/>
      <c r="AR299" s="85" t="s">
        <v>1124</v>
      </c>
      <c r="AS299" s="85"/>
      <c r="AT299" s="85"/>
      <c r="AU299" s="85"/>
      <c r="AV299" s="85"/>
      <c r="AW299" s="85"/>
      <c r="AX299" s="85"/>
      <c r="AY299" s="85"/>
      <c r="AZ299" s="85"/>
      <c r="BA299" s="85"/>
      <c r="BB299" s="89"/>
      <c r="BC299" s="89" t="s">
        <v>1124</v>
      </c>
      <c r="BD299" s="37"/>
      <c r="BE299" s="37"/>
      <c r="BF299" s="279"/>
      <c r="BG299" s="37"/>
      <c r="BH299" s="37"/>
      <c r="BI299" s="37"/>
      <c r="BJ299" s="283"/>
      <c r="BK299" s="161"/>
      <c r="BL299" s="294"/>
      <c r="BM299"/>
      <c r="BN299"/>
      <c r="BO299"/>
      <c r="BP299"/>
      <c r="BQ299"/>
      <c r="BR299"/>
      <c r="BS299"/>
      <c r="BT299"/>
      <c r="BU299"/>
      <c r="BV299"/>
      <c r="BW299"/>
      <c r="BX299"/>
      <c r="BY299"/>
      <c r="BZ299"/>
      <c r="CA299"/>
      <c r="CB299"/>
      <c r="CC299"/>
      <c r="CD299"/>
      <c r="CE299"/>
      <c r="CF299"/>
      <c r="CG299"/>
      <c r="CH299"/>
      <c r="CI299"/>
      <c r="CJ299"/>
    </row>
    <row r="300" spans="1:88" s="32" customFormat="1" ht="15" customHeight="1" x14ac:dyDescent="0.35">
      <c r="A300" s="473"/>
      <c r="B300" s="313">
        <v>85070</v>
      </c>
      <c r="C300" s="8" t="s">
        <v>882</v>
      </c>
      <c r="D300" s="18">
        <v>8</v>
      </c>
      <c r="E300" s="251"/>
      <c r="F300" s="82"/>
      <c r="G300" s="79"/>
      <c r="H300" s="90"/>
      <c r="I300" s="85"/>
      <c r="J300" s="85"/>
      <c r="K300" s="85"/>
      <c r="L300" s="85"/>
      <c r="M300" s="85"/>
      <c r="N300" s="85"/>
      <c r="O300" s="85"/>
      <c r="P300" s="85"/>
      <c r="Q300" s="85"/>
      <c r="R300" s="85"/>
      <c r="S300" s="89"/>
      <c r="T300" s="89" t="s">
        <v>1124</v>
      </c>
      <c r="U300" s="85"/>
      <c r="V300" s="85"/>
      <c r="W300" s="85"/>
      <c r="X300" s="89" t="s">
        <v>1124</v>
      </c>
      <c r="Y300" s="79"/>
      <c r="Z300" s="79"/>
      <c r="AA300" s="94"/>
      <c r="AB300" s="79" t="s">
        <v>1124</v>
      </c>
      <c r="AC300" s="85"/>
      <c r="AD300" s="85"/>
      <c r="AE300" s="85"/>
      <c r="AF300" s="85"/>
      <c r="AG300" s="85" t="s">
        <v>1124</v>
      </c>
      <c r="AH300" s="85"/>
      <c r="AI300" s="85"/>
      <c r="AJ300" s="85"/>
      <c r="AK300" s="85"/>
      <c r="AL300" s="85"/>
      <c r="AM300" s="85"/>
      <c r="AN300" s="85"/>
      <c r="AO300" s="85"/>
      <c r="AP300" s="85"/>
      <c r="AQ300" s="85"/>
      <c r="AR300" s="85" t="s">
        <v>1124</v>
      </c>
      <c r="AS300" s="85"/>
      <c r="AT300" s="85"/>
      <c r="AU300" s="85"/>
      <c r="AV300" s="85"/>
      <c r="AW300" s="85"/>
      <c r="AX300" s="85"/>
      <c r="AY300" s="85"/>
      <c r="AZ300" s="85"/>
      <c r="BA300" s="85"/>
      <c r="BB300" s="89"/>
      <c r="BC300" s="89" t="s">
        <v>1124</v>
      </c>
      <c r="BD300" s="37"/>
      <c r="BE300" s="37"/>
      <c r="BF300" s="279"/>
      <c r="BG300" s="37"/>
      <c r="BH300" s="37"/>
      <c r="BI300" s="37"/>
      <c r="BJ300" s="283"/>
      <c r="BK300" s="161"/>
      <c r="BL300" s="294"/>
      <c r="BM300"/>
      <c r="BN300"/>
      <c r="BO300"/>
      <c r="BP300"/>
      <c r="BQ300"/>
      <c r="BR300"/>
      <c r="BS300"/>
      <c r="BT300"/>
      <c r="BU300"/>
      <c r="BV300"/>
      <c r="BW300"/>
      <c r="BX300"/>
      <c r="BY300"/>
      <c r="BZ300"/>
      <c r="CA300"/>
      <c r="CB300"/>
      <c r="CC300"/>
      <c r="CD300"/>
      <c r="CE300"/>
      <c r="CF300"/>
      <c r="CG300"/>
      <c r="CH300"/>
      <c r="CI300"/>
      <c r="CJ300"/>
    </row>
    <row r="301" spans="1:88" s="32" customFormat="1" ht="15" customHeight="1" x14ac:dyDescent="0.35">
      <c r="A301" s="473"/>
      <c r="B301" s="313">
        <v>93060</v>
      </c>
      <c r="C301" s="8" t="s">
        <v>967</v>
      </c>
      <c r="D301" s="18">
        <v>2</v>
      </c>
      <c r="E301" s="251">
        <v>191</v>
      </c>
      <c r="F301" s="82">
        <v>1.7692307692307692</v>
      </c>
      <c r="G301" s="79">
        <v>337.92307692307691</v>
      </c>
      <c r="H301" s="90">
        <v>2.5</v>
      </c>
      <c r="I301" s="85">
        <v>2.5</v>
      </c>
      <c r="J301" s="85">
        <v>3</v>
      </c>
      <c r="K301" s="85">
        <v>3</v>
      </c>
      <c r="L301" s="85">
        <v>3</v>
      </c>
      <c r="M301" s="85">
        <v>4</v>
      </c>
      <c r="N301" s="85">
        <v>4</v>
      </c>
      <c r="O301" s="85">
        <v>4</v>
      </c>
      <c r="P301" s="85">
        <v>3</v>
      </c>
      <c r="Q301" s="85">
        <v>3</v>
      </c>
      <c r="R301" s="85">
        <v>3</v>
      </c>
      <c r="S301" s="89">
        <v>3</v>
      </c>
      <c r="T301" s="89">
        <v>38</v>
      </c>
      <c r="U301" s="85">
        <v>0</v>
      </c>
      <c r="V301" s="85">
        <v>38</v>
      </c>
      <c r="W301" s="85">
        <v>0</v>
      </c>
      <c r="X301" s="89">
        <v>38</v>
      </c>
      <c r="Y301" s="79">
        <v>0</v>
      </c>
      <c r="Z301" s="79">
        <v>1</v>
      </c>
      <c r="AA301" s="94">
        <v>0</v>
      </c>
      <c r="AB301" s="79">
        <v>1</v>
      </c>
      <c r="AC301" s="85">
        <v>38</v>
      </c>
      <c r="AD301" s="85">
        <v>0</v>
      </c>
      <c r="AE301" s="85">
        <v>0</v>
      </c>
      <c r="AF301" s="85">
        <v>0</v>
      </c>
      <c r="AG301" s="85">
        <v>38</v>
      </c>
      <c r="AH301" s="85">
        <v>0</v>
      </c>
      <c r="AI301" s="85">
        <v>0</v>
      </c>
      <c r="AJ301" s="85">
        <v>0</v>
      </c>
      <c r="AK301" s="85">
        <v>0</v>
      </c>
      <c r="AL301" s="85">
        <v>0</v>
      </c>
      <c r="AM301" s="85">
        <v>0</v>
      </c>
      <c r="AN301" s="85">
        <v>0</v>
      </c>
      <c r="AO301" s="85">
        <v>0</v>
      </c>
      <c r="AP301" s="85">
        <v>0</v>
      </c>
      <c r="AQ301" s="85">
        <v>0</v>
      </c>
      <c r="AR301" s="85">
        <v>0</v>
      </c>
      <c r="AS301" s="85">
        <v>0</v>
      </c>
      <c r="AT301" s="85">
        <v>0</v>
      </c>
      <c r="AU301" s="85">
        <v>0</v>
      </c>
      <c r="AV301" s="85">
        <v>0</v>
      </c>
      <c r="AW301" s="85">
        <v>0</v>
      </c>
      <c r="AX301" s="85">
        <v>0</v>
      </c>
      <c r="AY301" s="85">
        <v>0</v>
      </c>
      <c r="AZ301" s="85">
        <v>38</v>
      </c>
      <c r="BA301" s="85">
        <v>0</v>
      </c>
      <c r="BB301" s="89">
        <v>0</v>
      </c>
      <c r="BC301" s="89">
        <v>38</v>
      </c>
      <c r="BD301" s="37">
        <v>0</v>
      </c>
      <c r="BE301" s="37">
        <v>0</v>
      </c>
      <c r="BF301" s="279">
        <v>13590</v>
      </c>
      <c r="BG301" s="37">
        <v>8660</v>
      </c>
      <c r="BH301" s="37">
        <v>10422</v>
      </c>
      <c r="BI301" s="37">
        <v>5048</v>
      </c>
      <c r="BJ301" s="283">
        <v>37720</v>
      </c>
      <c r="BK301" s="161"/>
      <c r="BL301" s="294"/>
      <c r="BM301"/>
      <c r="BN301"/>
      <c r="BO301"/>
      <c r="BP301"/>
      <c r="BQ301"/>
      <c r="BR301"/>
      <c r="BS301"/>
      <c r="BT301"/>
      <c r="BU301"/>
      <c r="BV301"/>
      <c r="BW301"/>
      <c r="BX301"/>
      <c r="BY301"/>
      <c r="BZ301"/>
      <c r="CA301"/>
      <c r="CB301"/>
      <c r="CC301"/>
      <c r="CD301"/>
      <c r="CE301"/>
      <c r="CF301"/>
      <c r="CG301"/>
      <c r="CH301"/>
      <c r="CI301"/>
      <c r="CJ301"/>
    </row>
    <row r="302" spans="1:88" s="32" customFormat="1" ht="15" customHeight="1" x14ac:dyDescent="0.35">
      <c r="A302" s="473"/>
      <c r="B302" s="313">
        <v>30095</v>
      </c>
      <c r="C302" s="8" t="s">
        <v>233</v>
      </c>
      <c r="D302" s="18">
        <v>5</v>
      </c>
      <c r="E302" s="251">
        <v>582</v>
      </c>
      <c r="F302" s="82">
        <v>2.2583333333333333</v>
      </c>
      <c r="G302" s="79">
        <v>1314.35</v>
      </c>
      <c r="H302" s="90">
        <v>12.8743</v>
      </c>
      <c r="I302" s="85">
        <v>12.3451</v>
      </c>
      <c r="J302" s="85">
        <v>13.402899999999999</v>
      </c>
      <c r="K302" s="85">
        <v>12.9666</v>
      </c>
      <c r="L302" s="85">
        <v>16.588799999999999</v>
      </c>
      <c r="M302" s="85">
        <v>19.121400000000001</v>
      </c>
      <c r="N302" s="85">
        <v>19.451400000000003</v>
      </c>
      <c r="O302" s="85">
        <v>14.7988</v>
      </c>
      <c r="P302" s="85">
        <v>19.011900000000001</v>
      </c>
      <c r="Q302" s="85">
        <v>20.424900000000001</v>
      </c>
      <c r="R302" s="85">
        <v>18.302499999999998</v>
      </c>
      <c r="S302" s="89">
        <v>18.868400000000001</v>
      </c>
      <c r="T302" s="89">
        <v>198.15700000000001</v>
      </c>
      <c r="U302" s="85">
        <v>0</v>
      </c>
      <c r="V302" s="85">
        <v>198.15700000000001</v>
      </c>
      <c r="W302" s="85">
        <v>0</v>
      </c>
      <c r="X302" s="89">
        <v>198.15700000000001</v>
      </c>
      <c r="Y302" s="79">
        <v>0</v>
      </c>
      <c r="Z302" s="79">
        <v>7</v>
      </c>
      <c r="AA302" s="94">
        <v>0</v>
      </c>
      <c r="AB302" s="79">
        <v>7</v>
      </c>
      <c r="AC302" s="85">
        <v>75.760000000000005</v>
      </c>
      <c r="AD302" s="85">
        <v>23.281091030927826</v>
      </c>
      <c r="AE302" s="85">
        <v>99.11590896907218</v>
      </c>
      <c r="AF302" s="85">
        <v>0</v>
      </c>
      <c r="AG302" s="85">
        <v>198.15700000000001</v>
      </c>
      <c r="AH302" s="85">
        <v>0</v>
      </c>
      <c r="AI302" s="85">
        <v>0</v>
      </c>
      <c r="AJ302" s="85">
        <v>0</v>
      </c>
      <c r="AK302" s="85">
        <v>0</v>
      </c>
      <c r="AL302" s="85">
        <v>0</v>
      </c>
      <c r="AM302" s="85">
        <v>0</v>
      </c>
      <c r="AN302" s="85">
        <v>0</v>
      </c>
      <c r="AO302" s="85">
        <v>0</v>
      </c>
      <c r="AP302" s="85">
        <v>0</v>
      </c>
      <c r="AQ302" s="85">
        <v>0</v>
      </c>
      <c r="AR302" s="85">
        <v>0</v>
      </c>
      <c r="AS302" s="85">
        <v>0</v>
      </c>
      <c r="AT302" s="85">
        <v>0</v>
      </c>
      <c r="AU302" s="85">
        <v>0</v>
      </c>
      <c r="AV302" s="85">
        <v>0</v>
      </c>
      <c r="AW302" s="85">
        <v>0</v>
      </c>
      <c r="AX302" s="85">
        <v>0</v>
      </c>
      <c r="AY302" s="85">
        <v>198.15700000000001</v>
      </c>
      <c r="AZ302" s="85">
        <v>0</v>
      </c>
      <c r="BA302" s="85">
        <v>0</v>
      </c>
      <c r="BB302" s="89">
        <v>0</v>
      </c>
      <c r="BC302" s="89">
        <v>198.15700000000001</v>
      </c>
      <c r="BD302" s="37">
        <v>0</v>
      </c>
      <c r="BE302" s="37">
        <v>0</v>
      </c>
      <c r="BF302" s="279">
        <v>76499</v>
      </c>
      <c r="BG302" s="37">
        <v>36563</v>
      </c>
      <c r="BH302" s="37">
        <v>32713</v>
      </c>
      <c r="BI302" s="37">
        <v>87921</v>
      </c>
      <c r="BJ302" s="283">
        <v>233696</v>
      </c>
      <c r="BK302" s="161"/>
      <c r="BL302" s="294"/>
      <c r="BM302"/>
      <c r="BN302"/>
      <c r="BO302"/>
      <c r="BP302"/>
      <c r="BQ302"/>
      <c r="BR302"/>
      <c r="BS302"/>
      <c r="BT302"/>
      <c r="BU302"/>
      <c r="BV302"/>
      <c r="BW302"/>
      <c r="BX302"/>
      <c r="BY302"/>
      <c r="BZ302"/>
      <c r="CA302"/>
      <c r="CB302"/>
      <c r="CC302"/>
      <c r="CD302"/>
      <c r="CE302"/>
      <c r="CF302"/>
      <c r="CG302"/>
      <c r="CH302"/>
      <c r="CI302"/>
      <c r="CJ302"/>
    </row>
    <row r="303" spans="1:88" s="32" customFormat="1" ht="15" customHeight="1" x14ac:dyDescent="0.35">
      <c r="A303" s="473"/>
      <c r="B303" s="313">
        <v>23057</v>
      </c>
      <c r="C303" s="8" t="s">
        <v>164</v>
      </c>
      <c r="D303" s="18">
        <v>3</v>
      </c>
      <c r="E303" s="251"/>
      <c r="F303" s="82"/>
      <c r="G303" s="79"/>
      <c r="H303" s="90"/>
      <c r="I303" s="85"/>
      <c r="J303" s="85"/>
      <c r="K303" s="85"/>
      <c r="L303" s="85"/>
      <c r="M303" s="85"/>
      <c r="N303" s="85"/>
      <c r="O303" s="85"/>
      <c r="P303" s="85"/>
      <c r="Q303" s="85"/>
      <c r="R303" s="85"/>
      <c r="S303" s="89"/>
      <c r="T303" s="89" t="s">
        <v>1124</v>
      </c>
      <c r="U303" s="85"/>
      <c r="V303" s="85"/>
      <c r="W303" s="85"/>
      <c r="X303" s="89" t="s">
        <v>1124</v>
      </c>
      <c r="Y303" s="79"/>
      <c r="Z303" s="79"/>
      <c r="AA303" s="94"/>
      <c r="AB303" s="79" t="s">
        <v>1124</v>
      </c>
      <c r="AC303" s="85"/>
      <c r="AD303" s="85"/>
      <c r="AE303" s="85"/>
      <c r="AF303" s="85"/>
      <c r="AG303" s="85" t="s">
        <v>1124</v>
      </c>
      <c r="AH303" s="85"/>
      <c r="AI303" s="85"/>
      <c r="AJ303" s="85"/>
      <c r="AK303" s="85"/>
      <c r="AL303" s="85"/>
      <c r="AM303" s="85"/>
      <c r="AN303" s="85"/>
      <c r="AO303" s="85"/>
      <c r="AP303" s="85"/>
      <c r="AQ303" s="85"/>
      <c r="AR303" s="85" t="s">
        <v>1124</v>
      </c>
      <c r="AS303" s="85"/>
      <c r="AT303" s="85"/>
      <c r="AU303" s="85"/>
      <c r="AV303" s="85"/>
      <c r="AW303" s="85"/>
      <c r="AX303" s="85"/>
      <c r="AY303" s="85"/>
      <c r="AZ303" s="85"/>
      <c r="BA303" s="85"/>
      <c r="BB303" s="89"/>
      <c r="BC303" s="89" t="s">
        <v>1124</v>
      </c>
      <c r="BD303" s="37"/>
      <c r="BE303" s="37"/>
      <c r="BF303" s="279"/>
      <c r="BG303" s="37"/>
      <c r="BH303" s="37"/>
      <c r="BI303" s="37"/>
      <c r="BJ303" s="283"/>
      <c r="BK303" s="161"/>
      <c r="BL303" s="294"/>
      <c r="BM303"/>
      <c r="BN303"/>
      <c r="BO303"/>
      <c r="BP303"/>
      <c r="BQ303"/>
      <c r="BR303"/>
      <c r="BS303"/>
      <c r="BT303"/>
      <c r="BU303"/>
      <c r="BV303"/>
      <c r="BW303"/>
      <c r="BX303"/>
      <c r="BY303"/>
      <c r="BZ303"/>
      <c r="CA303"/>
      <c r="CB303"/>
      <c r="CC303"/>
      <c r="CD303"/>
      <c r="CE303"/>
      <c r="CF303"/>
      <c r="CG303"/>
      <c r="CH303"/>
      <c r="CI303"/>
      <c r="CJ303"/>
    </row>
    <row r="304" spans="1:88" s="32" customFormat="1" ht="15" customHeight="1" x14ac:dyDescent="0.35">
      <c r="A304" s="473"/>
      <c r="B304" s="313">
        <v>88035</v>
      </c>
      <c r="C304" s="8" t="s">
        <v>916</v>
      </c>
      <c r="D304" s="18">
        <v>8</v>
      </c>
      <c r="E304" s="251">
        <v>270</v>
      </c>
      <c r="F304" s="82">
        <v>2.5157068062827226</v>
      </c>
      <c r="G304" s="79">
        <v>679.24083769633512</v>
      </c>
      <c r="H304" s="90">
        <v>3.0190000000000001</v>
      </c>
      <c r="I304" s="85">
        <v>2.867</v>
      </c>
      <c r="J304" s="85">
        <v>3.14</v>
      </c>
      <c r="K304" s="85">
        <v>3.0819999999999999</v>
      </c>
      <c r="L304" s="85">
        <v>3.4809999999999999</v>
      </c>
      <c r="M304" s="85">
        <v>3.6720000000000002</v>
      </c>
      <c r="N304" s="85">
        <v>3.524</v>
      </c>
      <c r="O304" s="85">
        <v>3.2050000000000001</v>
      </c>
      <c r="P304" s="85">
        <v>2.9820000000000002</v>
      </c>
      <c r="Q304" s="85">
        <v>3.1480000000000001</v>
      </c>
      <c r="R304" s="85">
        <v>3.2309999999999999</v>
      </c>
      <c r="S304" s="89">
        <v>3.218</v>
      </c>
      <c r="T304" s="89">
        <v>38.569000000000003</v>
      </c>
      <c r="U304" s="85">
        <v>0</v>
      </c>
      <c r="V304" s="85">
        <v>38.569000000000003</v>
      </c>
      <c r="W304" s="85">
        <v>0</v>
      </c>
      <c r="X304" s="89">
        <v>38.569000000000003</v>
      </c>
      <c r="Y304" s="79">
        <v>0</v>
      </c>
      <c r="Z304" s="79">
        <v>1</v>
      </c>
      <c r="AA304" s="94">
        <v>0</v>
      </c>
      <c r="AB304" s="79">
        <v>1</v>
      </c>
      <c r="AC304" s="85">
        <v>29.178439999999998</v>
      </c>
      <c r="AD304" s="85">
        <v>6.9395600000000037</v>
      </c>
      <c r="AE304" s="85">
        <v>2.4510000000000001</v>
      </c>
      <c r="AF304" s="85">
        <v>0</v>
      </c>
      <c r="AG304" s="85">
        <v>38.569000000000003</v>
      </c>
      <c r="AH304" s="85">
        <v>0</v>
      </c>
      <c r="AI304" s="85">
        <v>0</v>
      </c>
      <c r="AJ304" s="85">
        <v>0</v>
      </c>
      <c r="AK304" s="85">
        <v>0</v>
      </c>
      <c r="AL304" s="85">
        <v>0</v>
      </c>
      <c r="AM304" s="85">
        <v>0</v>
      </c>
      <c r="AN304" s="85">
        <v>0</v>
      </c>
      <c r="AO304" s="85">
        <v>0</v>
      </c>
      <c r="AP304" s="85">
        <v>0</v>
      </c>
      <c r="AQ304" s="85">
        <v>0</v>
      </c>
      <c r="AR304" s="85">
        <v>0</v>
      </c>
      <c r="AS304" s="85">
        <v>0</v>
      </c>
      <c r="AT304" s="85">
        <v>0</v>
      </c>
      <c r="AU304" s="85">
        <v>0</v>
      </c>
      <c r="AV304" s="85">
        <v>0</v>
      </c>
      <c r="AW304" s="85">
        <v>38.569000000000003</v>
      </c>
      <c r="AX304" s="85">
        <v>0</v>
      </c>
      <c r="AY304" s="85">
        <v>0</v>
      </c>
      <c r="AZ304" s="85">
        <v>0</v>
      </c>
      <c r="BA304" s="85">
        <v>0</v>
      </c>
      <c r="BB304" s="89">
        <v>0</v>
      </c>
      <c r="BC304" s="89">
        <v>38.569000000000003</v>
      </c>
      <c r="BD304" s="37">
        <v>0</v>
      </c>
      <c r="BE304" s="37">
        <v>0</v>
      </c>
      <c r="BF304" s="279">
        <v>28863</v>
      </c>
      <c r="BG304" s="37">
        <v>50548</v>
      </c>
      <c r="BH304" s="37">
        <v>16403</v>
      </c>
      <c r="BI304" s="37">
        <v>4359</v>
      </c>
      <c r="BJ304" s="283">
        <v>100173</v>
      </c>
      <c r="BK304" s="161"/>
      <c r="BL304" s="294"/>
      <c r="BM304"/>
      <c r="BN304"/>
      <c r="BO304"/>
      <c r="BP304"/>
      <c r="BQ304"/>
      <c r="BR304"/>
      <c r="BS304"/>
      <c r="BT304"/>
      <c r="BU304"/>
      <c r="BV304"/>
      <c r="BW304"/>
      <c r="BX304"/>
      <c r="BY304"/>
      <c r="BZ304"/>
      <c r="CA304"/>
      <c r="CB304"/>
      <c r="CC304"/>
      <c r="CD304"/>
      <c r="CE304"/>
      <c r="CF304"/>
      <c r="CG304"/>
      <c r="CH304"/>
      <c r="CI304"/>
      <c r="CJ304"/>
    </row>
    <row r="305" spans="1:88" s="32" customFormat="1" ht="15" customHeight="1" x14ac:dyDescent="0.35">
      <c r="A305" s="473"/>
      <c r="B305" s="313">
        <v>21040</v>
      </c>
      <c r="C305" s="8" t="s">
        <v>151</v>
      </c>
      <c r="D305" s="18">
        <v>3</v>
      </c>
      <c r="E305" s="251"/>
      <c r="F305" s="82"/>
      <c r="G305" s="79"/>
      <c r="H305" s="90"/>
      <c r="I305" s="85"/>
      <c r="J305" s="85"/>
      <c r="K305" s="85"/>
      <c r="L305" s="85"/>
      <c r="M305" s="85"/>
      <c r="N305" s="85"/>
      <c r="O305" s="85"/>
      <c r="P305" s="85"/>
      <c r="Q305" s="85"/>
      <c r="R305" s="85"/>
      <c r="S305" s="89"/>
      <c r="T305" s="89" t="s">
        <v>1124</v>
      </c>
      <c r="U305" s="85"/>
      <c r="V305" s="85"/>
      <c r="W305" s="85"/>
      <c r="X305" s="89" t="s">
        <v>1124</v>
      </c>
      <c r="Y305" s="79"/>
      <c r="Z305" s="79"/>
      <c r="AA305" s="94"/>
      <c r="AB305" s="79" t="s">
        <v>1124</v>
      </c>
      <c r="AC305" s="85"/>
      <c r="AD305" s="85"/>
      <c r="AE305" s="85"/>
      <c r="AF305" s="85"/>
      <c r="AG305" s="85" t="s">
        <v>1124</v>
      </c>
      <c r="AH305" s="85"/>
      <c r="AI305" s="85"/>
      <c r="AJ305" s="85"/>
      <c r="AK305" s="85"/>
      <c r="AL305" s="85"/>
      <c r="AM305" s="85"/>
      <c r="AN305" s="85"/>
      <c r="AO305" s="85"/>
      <c r="AP305" s="85"/>
      <c r="AQ305" s="85"/>
      <c r="AR305" s="85" t="s">
        <v>1124</v>
      </c>
      <c r="AS305" s="85"/>
      <c r="AT305" s="85"/>
      <c r="AU305" s="85"/>
      <c r="AV305" s="85"/>
      <c r="AW305" s="85"/>
      <c r="AX305" s="85"/>
      <c r="AY305" s="85"/>
      <c r="AZ305" s="85"/>
      <c r="BA305" s="85"/>
      <c r="BB305" s="89"/>
      <c r="BC305" s="89" t="s">
        <v>1124</v>
      </c>
      <c r="BD305" s="37"/>
      <c r="BE305" s="37"/>
      <c r="BF305" s="279"/>
      <c r="BG305" s="37"/>
      <c r="BH305" s="37"/>
      <c r="BI305" s="37"/>
      <c r="BJ305" s="283"/>
      <c r="BK305" s="161"/>
      <c r="BL305" s="294"/>
      <c r="BM305"/>
      <c r="BN305"/>
      <c r="BO305"/>
      <c r="BP305"/>
      <c r="BQ305"/>
      <c r="BR305"/>
      <c r="BS305"/>
      <c r="BT305"/>
      <c r="BU305"/>
      <c r="BV305"/>
      <c r="BW305"/>
      <c r="BX305"/>
      <c r="BY305"/>
      <c r="BZ305"/>
      <c r="CA305"/>
      <c r="CB305"/>
      <c r="CC305"/>
      <c r="CD305"/>
      <c r="CE305"/>
      <c r="CF305"/>
      <c r="CG305"/>
      <c r="CH305"/>
      <c r="CI305"/>
      <c r="CJ305"/>
    </row>
    <row r="306" spans="1:88" s="32" customFormat="1" ht="15" customHeight="1" x14ac:dyDescent="0.35">
      <c r="A306" s="473"/>
      <c r="B306" s="313">
        <v>82005</v>
      </c>
      <c r="C306" s="8" t="s">
        <v>828</v>
      </c>
      <c r="D306" s="18">
        <v>7</v>
      </c>
      <c r="E306" s="251"/>
      <c r="F306" s="82"/>
      <c r="G306" s="79"/>
      <c r="H306" s="90"/>
      <c r="I306" s="85"/>
      <c r="J306" s="85"/>
      <c r="K306" s="85"/>
      <c r="L306" s="85"/>
      <c r="M306" s="85"/>
      <c r="N306" s="85"/>
      <c r="O306" s="85"/>
      <c r="P306" s="85"/>
      <c r="Q306" s="85"/>
      <c r="R306" s="85"/>
      <c r="S306" s="89"/>
      <c r="T306" s="89" t="s">
        <v>1124</v>
      </c>
      <c r="U306" s="85"/>
      <c r="V306" s="85"/>
      <c r="W306" s="85"/>
      <c r="X306" s="89" t="s">
        <v>1124</v>
      </c>
      <c r="Y306" s="79"/>
      <c r="Z306" s="79"/>
      <c r="AA306" s="94"/>
      <c r="AB306" s="79" t="s">
        <v>1124</v>
      </c>
      <c r="AC306" s="85"/>
      <c r="AD306" s="85"/>
      <c r="AE306" s="85"/>
      <c r="AF306" s="85"/>
      <c r="AG306" s="85" t="s">
        <v>1124</v>
      </c>
      <c r="AH306" s="85"/>
      <c r="AI306" s="85"/>
      <c r="AJ306" s="85"/>
      <c r="AK306" s="85"/>
      <c r="AL306" s="85"/>
      <c r="AM306" s="85"/>
      <c r="AN306" s="85"/>
      <c r="AO306" s="85"/>
      <c r="AP306" s="85"/>
      <c r="AQ306" s="85"/>
      <c r="AR306" s="85" t="s">
        <v>1124</v>
      </c>
      <c r="AS306" s="85"/>
      <c r="AT306" s="85"/>
      <c r="AU306" s="85"/>
      <c r="AV306" s="85"/>
      <c r="AW306" s="85"/>
      <c r="AX306" s="85"/>
      <c r="AY306" s="85"/>
      <c r="AZ306" s="85"/>
      <c r="BA306" s="85"/>
      <c r="BB306" s="89"/>
      <c r="BC306" s="89" t="s">
        <v>1124</v>
      </c>
      <c r="BD306" s="37"/>
      <c r="BE306" s="37"/>
      <c r="BF306" s="279"/>
      <c r="BG306" s="37"/>
      <c r="BH306" s="37"/>
      <c r="BI306" s="37"/>
      <c r="BJ306" s="283"/>
      <c r="BK306" s="161"/>
      <c r="BL306" s="294"/>
      <c r="BM306"/>
      <c r="BN306"/>
      <c r="BO306"/>
      <c r="BP306"/>
      <c r="BQ306"/>
      <c r="BR306"/>
      <c r="BS306"/>
      <c r="BT306"/>
      <c r="BU306"/>
      <c r="BV306"/>
      <c r="BW306"/>
      <c r="BX306"/>
      <c r="BY306"/>
      <c r="BZ306"/>
      <c r="CA306"/>
      <c r="CB306"/>
      <c r="CC306"/>
      <c r="CD306"/>
      <c r="CE306"/>
      <c r="CF306"/>
      <c r="CG306"/>
      <c r="CH306"/>
      <c r="CI306"/>
      <c r="CJ306"/>
    </row>
    <row r="307" spans="1:88" s="32" customFormat="1" ht="15" customHeight="1" x14ac:dyDescent="0.35">
      <c r="A307" s="473"/>
      <c r="B307" s="313">
        <v>52017</v>
      </c>
      <c r="C307" s="8" t="s">
        <v>516</v>
      </c>
      <c r="D307" s="18">
        <v>14</v>
      </c>
      <c r="E307" s="251">
        <v>1647</v>
      </c>
      <c r="F307" s="82">
        <v>2.4293243890752274</v>
      </c>
      <c r="G307" s="79">
        <v>4001.0972688068996</v>
      </c>
      <c r="H307" s="90">
        <v>27.917000000000002</v>
      </c>
      <c r="I307" s="85">
        <v>26</v>
      </c>
      <c r="J307" s="85">
        <v>28.963000000000001</v>
      </c>
      <c r="K307" s="85">
        <v>30.327999999999999</v>
      </c>
      <c r="L307" s="85">
        <v>34.383000000000003</v>
      </c>
      <c r="M307" s="85">
        <v>38.890999999999998</v>
      </c>
      <c r="N307" s="85">
        <v>42.747999999999998</v>
      </c>
      <c r="O307" s="85">
        <v>41.780999999999999</v>
      </c>
      <c r="P307" s="85">
        <v>31.242000000000001</v>
      </c>
      <c r="Q307" s="85">
        <v>29.841000000000001</v>
      </c>
      <c r="R307" s="85">
        <v>26.338000000000001</v>
      </c>
      <c r="S307" s="89">
        <v>27.306000000000001</v>
      </c>
      <c r="T307" s="89">
        <v>385.738</v>
      </c>
      <c r="U307" s="85">
        <v>0</v>
      </c>
      <c r="V307" s="85">
        <v>385.738</v>
      </c>
      <c r="W307" s="85">
        <v>0</v>
      </c>
      <c r="X307" s="89">
        <v>385.738</v>
      </c>
      <c r="Y307" s="79">
        <v>0</v>
      </c>
      <c r="Z307" s="79">
        <v>1</v>
      </c>
      <c r="AA307" s="94">
        <v>0</v>
      </c>
      <c r="AB307" s="79">
        <v>1</v>
      </c>
      <c r="AC307" s="85">
        <v>201.62700000000001</v>
      </c>
      <c r="AD307" s="85">
        <v>74.75</v>
      </c>
      <c r="AE307" s="85">
        <v>109.361</v>
      </c>
      <c r="AF307" s="85">
        <v>0</v>
      </c>
      <c r="AG307" s="85">
        <v>385.738</v>
      </c>
      <c r="AH307" s="85">
        <v>0</v>
      </c>
      <c r="AI307" s="85">
        <v>0</v>
      </c>
      <c r="AJ307" s="85">
        <v>0</v>
      </c>
      <c r="AK307" s="85">
        <v>0</v>
      </c>
      <c r="AL307" s="85">
        <v>0</v>
      </c>
      <c r="AM307" s="85">
        <v>0</v>
      </c>
      <c r="AN307" s="85">
        <v>0</v>
      </c>
      <c r="AO307" s="85">
        <v>0</v>
      </c>
      <c r="AP307" s="85">
        <v>0</v>
      </c>
      <c r="AQ307" s="85">
        <v>0</v>
      </c>
      <c r="AR307" s="85">
        <v>0</v>
      </c>
      <c r="AS307" s="85">
        <v>0</v>
      </c>
      <c r="AT307" s="85">
        <v>0</v>
      </c>
      <c r="AU307" s="85">
        <v>0</v>
      </c>
      <c r="AV307" s="85">
        <v>0</v>
      </c>
      <c r="AW307" s="85">
        <v>0</v>
      </c>
      <c r="AX307" s="85">
        <v>0</v>
      </c>
      <c r="AY307" s="85">
        <v>385.738</v>
      </c>
      <c r="AZ307" s="85">
        <v>0</v>
      </c>
      <c r="BA307" s="85">
        <v>0</v>
      </c>
      <c r="BB307" s="89">
        <v>0</v>
      </c>
      <c r="BC307" s="89">
        <v>385.738</v>
      </c>
      <c r="BD307" s="37">
        <v>0</v>
      </c>
      <c r="BE307" s="37">
        <v>0</v>
      </c>
      <c r="BF307" s="279">
        <v>39350</v>
      </c>
      <c r="BG307" s="37">
        <v>117983</v>
      </c>
      <c r="BH307" s="37">
        <v>23915</v>
      </c>
      <c r="BI307" s="37">
        <v>27367</v>
      </c>
      <c r="BJ307" s="283">
        <v>208615</v>
      </c>
      <c r="BK307" s="161"/>
      <c r="BL307" s="294"/>
      <c r="BM307"/>
      <c r="BN307"/>
      <c r="BO307"/>
      <c r="BP307"/>
      <c r="BQ307"/>
      <c r="BR307"/>
      <c r="BS307"/>
      <c r="BT307"/>
      <c r="BU307"/>
      <c r="BV307"/>
      <c r="BW307"/>
      <c r="BX307"/>
      <c r="BY307"/>
      <c r="BZ307"/>
      <c r="CA307"/>
      <c r="CB307"/>
      <c r="CC307"/>
      <c r="CD307"/>
      <c r="CE307"/>
      <c r="CF307"/>
      <c r="CG307"/>
      <c r="CH307"/>
      <c r="CI307"/>
      <c r="CJ307"/>
    </row>
    <row r="308" spans="1:88" s="32" customFormat="1" ht="15" customHeight="1" x14ac:dyDescent="0.35">
      <c r="A308" s="473"/>
      <c r="B308" s="313">
        <v>94210</v>
      </c>
      <c r="C308" s="8" t="s">
        <v>974</v>
      </c>
      <c r="D308" s="18">
        <v>2</v>
      </c>
      <c r="E308" s="251"/>
      <c r="F308" s="82"/>
      <c r="G308" s="79"/>
      <c r="H308" s="90"/>
      <c r="I308" s="85"/>
      <c r="J308" s="85"/>
      <c r="K308" s="85"/>
      <c r="L308" s="85"/>
      <c r="M308" s="85"/>
      <c r="N308" s="85"/>
      <c r="O308" s="85"/>
      <c r="P308" s="85"/>
      <c r="Q308" s="85"/>
      <c r="R308" s="85"/>
      <c r="S308" s="89"/>
      <c r="T308" s="89" t="s">
        <v>1124</v>
      </c>
      <c r="U308" s="85"/>
      <c r="V308" s="85"/>
      <c r="W308" s="85"/>
      <c r="X308" s="89" t="s">
        <v>1124</v>
      </c>
      <c r="Y308" s="79"/>
      <c r="Z308" s="79"/>
      <c r="AA308" s="94"/>
      <c r="AB308" s="79" t="s">
        <v>1124</v>
      </c>
      <c r="AC308" s="85"/>
      <c r="AD308" s="85"/>
      <c r="AE308" s="85"/>
      <c r="AF308" s="85"/>
      <c r="AG308" s="85" t="s">
        <v>1124</v>
      </c>
      <c r="AH308" s="85"/>
      <c r="AI308" s="85"/>
      <c r="AJ308" s="85"/>
      <c r="AK308" s="85"/>
      <c r="AL308" s="85"/>
      <c r="AM308" s="85"/>
      <c r="AN308" s="85"/>
      <c r="AO308" s="85"/>
      <c r="AP308" s="85"/>
      <c r="AQ308" s="85"/>
      <c r="AR308" s="85" t="s">
        <v>1124</v>
      </c>
      <c r="AS308" s="85"/>
      <c r="AT308" s="85"/>
      <c r="AU308" s="85"/>
      <c r="AV308" s="85"/>
      <c r="AW308" s="85"/>
      <c r="AX308" s="85"/>
      <c r="AY308" s="85"/>
      <c r="AZ308" s="85"/>
      <c r="BA308" s="85"/>
      <c r="BB308" s="89"/>
      <c r="BC308" s="89" t="s">
        <v>1124</v>
      </c>
      <c r="BD308" s="37"/>
      <c r="BE308" s="37"/>
      <c r="BF308" s="279"/>
      <c r="BG308" s="37"/>
      <c r="BH308" s="37"/>
      <c r="BI308" s="37"/>
      <c r="BJ308" s="283"/>
      <c r="BK308" s="161"/>
      <c r="BL308" s="294"/>
      <c r="BM308"/>
      <c r="BN308"/>
      <c r="BO308"/>
      <c r="BP308"/>
      <c r="BQ308"/>
      <c r="BR308"/>
      <c r="BS308"/>
      <c r="BT308"/>
      <c r="BU308"/>
      <c r="BV308"/>
      <c r="BW308"/>
      <c r="BX308"/>
      <c r="BY308"/>
      <c r="BZ308"/>
      <c r="CA308"/>
      <c r="CB308"/>
      <c r="CC308"/>
      <c r="CD308"/>
      <c r="CE308"/>
      <c r="CF308"/>
      <c r="CG308"/>
      <c r="CH308"/>
      <c r="CI308"/>
      <c r="CJ308"/>
    </row>
    <row r="309" spans="1:88" s="32" customFormat="1" ht="15" customHeight="1" x14ac:dyDescent="0.35">
      <c r="A309" s="473"/>
      <c r="B309" s="313">
        <v>78015</v>
      </c>
      <c r="C309" s="8" t="s">
        <v>768</v>
      </c>
      <c r="D309" s="18">
        <v>15</v>
      </c>
      <c r="E309" s="251"/>
      <c r="F309" s="82"/>
      <c r="G309" s="79"/>
      <c r="H309" s="90"/>
      <c r="I309" s="85"/>
      <c r="J309" s="85"/>
      <c r="K309" s="85"/>
      <c r="L309" s="85"/>
      <c r="M309" s="85"/>
      <c r="N309" s="85"/>
      <c r="O309" s="85"/>
      <c r="P309" s="85"/>
      <c r="Q309" s="85"/>
      <c r="R309" s="85"/>
      <c r="S309" s="89"/>
      <c r="T309" s="89" t="s">
        <v>1124</v>
      </c>
      <c r="U309" s="85"/>
      <c r="V309" s="85"/>
      <c r="W309" s="85"/>
      <c r="X309" s="89" t="s">
        <v>1124</v>
      </c>
      <c r="Y309" s="79"/>
      <c r="Z309" s="79"/>
      <c r="AA309" s="94"/>
      <c r="AB309" s="79" t="s">
        <v>1124</v>
      </c>
      <c r="AC309" s="85"/>
      <c r="AD309" s="85"/>
      <c r="AE309" s="85"/>
      <c r="AF309" s="85"/>
      <c r="AG309" s="85" t="s">
        <v>1124</v>
      </c>
      <c r="AH309" s="85"/>
      <c r="AI309" s="85"/>
      <c r="AJ309" s="85"/>
      <c r="AK309" s="85"/>
      <c r="AL309" s="85"/>
      <c r="AM309" s="85"/>
      <c r="AN309" s="85"/>
      <c r="AO309" s="85"/>
      <c r="AP309" s="85"/>
      <c r="AQ309" s="85"/>
      <c r="AR309" s="85" t="s">
        <v>1124</v>
      </c>
      <c r="AS309" s="85"/>
      <c r="AT309" s="85"/>
      <c r="AU309" s="85"/>
      <c r="AV309" s="85"/>
      <c r="AW309" s="85"/>
      <c r="AX309" s="85"/>
      <c r="AY309" s="85"/>
      <c r="AZ309" s="85"/>
      <c r="BA309" s="85"/>
      <c r="BB309" s="89"/>
      <c r="BC309" s="89" t="s">
        <v>1124</v>
      </c>
      <c r="BD309" s="37"/>
      <c r="BE309" s="37"/>
      <c r="BF309" s="279"/>
      <c r="BG309" s="37"/>
      <c r="BH309" s="37"/>
      <c r="BI309" s="37"/>
      <c r="BJ309" s="283"/>
      <c r="BK309" s="161"/>
      <c r="BL309" s="294"/>
      <c r="BM309"/>
      <c r="BN309"/>
      <c r="BO309"/>
      <c r="BP309"/>
      <c r="BQ309"/>
      <c r="BR309"/>
      <c r="BS309"/>
      <c r="BT309"/>
      <c r="BU309"/>
      <c r="BV309"/>
      <c r="BW309"/>
      <c r="BX309"/>
      <c r="BY309"/>
      <c r="BZ309"/>
      <c r="CA309"/>
      <c r="CB309"/>
      <c r="CC309"/>
      <c r="CD309"/>
      <c r="CE309"/>
      <c r="CF309"/>
      <c r="CG309"/>
      <c r="CH309"/>
      <c r="CI309"/>
      <c r="CJ309"/>
    </row>
    <row r="310" spans="1:88" s="32" customFormat="1" ht="15" customHeight="1" x14ac:dyDescent="0.35">
      <c r="A310" s="473"/>
      <c r="B310" s="313">
        <v>94265</v>
      </c>
      <c r="C310" s="8" t="s">
        <v>985</v>
      </c>
      <c r="D310" s="18">
        <v>2</v>
      </c>
      <c r="E310" s="251"/>
      <c r="F310" s="82"/>
      <c r="G310" s="79"/>
      <c r="H310" s="90"/>
      <c r="I310" s="85"/>
      <c r="J310" s="85"/>
      <c r="K310" s="85"/>
      <c r="L310" s="85"/>
      <c r="M310" s="85"/>
      <c r="N310" s="85"/>
      <c r="O310" s="85"/>
      <c r="P310" s="85"/>
      <c r="Q310" s="85"/>
      <c r="R310" s="85"/>
      <c r="S310" s="89"/>
      <c r="T310" s="89" t="s">
        <v>1124</v>
      </c>
      <c r="U310" s="85"/>
      <c r="V310" s="85"/>
      <c r="W310" s="85"/>
      <c r="X310" s="89" t="s">
        <v>1124</v>
      </c>
      <c r="Y310" s="79"/>
      <c r="Z310" s="79"/>
      <c r="AA310" s="94"/>
      <c r="AB310" s="79" t="s">
        <v>1124</v>
      </c>
      <c r="AC310" s="85"/>
      <c r="AD310" s="85"/>
      <c r="AE310" s="85"/>
      <c r="AF310" s="85"/>
      <c r="AG310" s="85" t="s">
        <v>1124</v>
      </c>
      <c r="AH310" s="85"/>
      <c r="AI310" s="85"/>
      <c r="AJ310" s="85"/>
      <c r="AK310" s="85"/>
      <c r="AL310" s="85"/>
      <c r="AM310" s="85"/>
      <c r="AN310" s="85"/>
      <c r="AO310" s="85"/>
      <c r="AP310" s="85"/>
      <c r="AQ310" s="85"/>
      <c r="AR310" s="85" t="s">
        <v>1124</v>
      </c>
      <c r="AS310" s="85"/>
      <c r="AT310" s="85"/>
      <c r="AU310" s="85"/>
      <c r="AV310" s="85"/>
      <c r="AW310" s="85"/>
      <c r="AX310" s="85"/>
      <c r="AY310" s="85"/>
      <c r="AZ310" s="85"/>
      <c r="BA310" s="85"/>
      <c r="BB310" s="89"/>
      <c r="BC310" s="89" t="s">
        <v>1124</v>
      </c>
      <c r="BD310" s="37"/>
      <c r="BE310" s="37"/>
      <c r="BF310" s="279"/>
      <c r="BG310" s="37"/>
      <c r="BH310" s="37"/>
      <c r="BI310" s="37"/>
      <c r="BJ310" s="283"/>
      <c r="BK310" s="161"/>
      <c r="BL310" s="294"/>
      <c r="BM310"/>
      <c r="BN310"/>
      <c r="BO310"/>
      <c r="BP310"/>
      <c r="BQ310"/>
      <c r="BR310"/>
      <c r="BS310"/>
      <c r="BT310"/>
      <c r="BU310"/>
      <c r="BV310"/>
      <c r="BW310"/>
      <c r="BX310"/>
      <c r="BY310"/>
      <c r="BZ310"/>
      <c r="CA310"/>
      <c r="CB310"/>
      <c r="CC310"/>
      <c r="CD310"/>
      <c r="CE310"/>
      <c r="CF310"/>
      <c r="CG310"/>
      <c r="CH310"/>
      <c r="CI310"/>
      <c r="CJ310"/>
    </row>
    <row r="311" spans="1:88" s="32" customFormat="1" ht="15" customHeight="1" x14ac:dyDescent="0.35">
      <c r="A311" s="473"/>
      <c r="B311" s="314">
        <v>79050</v>
      </c>
      <c r="C311" s="8" t="s">
        <v>794</v>
      </c>
      <c r="D311" s="18">
        <v>15</v>
      </c>
      <c r="E311" s="251">
        <v>177</v>
      </c>
      <c r="F311" s="82">
        <v>1.7284210526315789</v>
      </c>
      <c r="G311" s="79">
        <v>305.93052631578945</v>
      </c>
      <c r="H311" s="90">
        <v>2.7069999999999999</v>
      </c>
      <c r="I311" s="85">
        <v>2.3650000000000002</v>
      </c>
      <c r="J311" s="85">
        <v>2.8370000000000002</v>
      </c>
      <c r="K311" s="85">
        <v>2.7349999999999999</v>
      </c>
      <c r="L311" s="85">
        <v>3.0219999999999998</v>
      </c>
      <c r="M311" s="85">
        <v>3.5640000000000001</v>
      </c>
      <c r="N311" s="85">
        <v>3.637</v>
      </c>
      <c r="O311" s="85">
        <v>3.7040000000000002</v>
      </c>
      <c r="P311" s="85">
        <v>2.6909999999999998</v>
      </c>
      <c r="Q311" s="85">
        <v>2.6789999999999998</v>
      </c>
      <c r="R311" s="85">
        <v>2.4769999999999999</v>
      </c>
      <c r="S311" s="89">
        <v>2.8559999999999999</v>
      </c>
      <c r="T311" s="89">
        <v>35.274000000000001</v>
      </c>
      <c r="U311" s="85">
        <v>0</v>
      </c>
      <c r="V311" s="85">
        <v>35.274000000000001</v>
      </c>
      <c r="W311" s="85">
        <v>0</v>
      </c>
      <c r="X311" s="89">
        <v>35.274000000000001</v>
      </c>
      <c r="Y311" s="79">
        <v>0</v>
      </c>
      <c r="Z311" s="79">
        <v>1</v>
      </c>
      <c r="AA311" s="94">
        <v>0</v>
      </c>
      <c r="AB311" s="79">
        <v>1</v>
      </c>
      <c r="AC311" s="85">
        <v>22.925000000000001</v>
      </c>
      <c r="AD311" s="85">
        <v>2.990000000000002</v>
      </c>
      <c r="AE311" s="85">
        <v>9.359</v>
      </c>
      <c r="AF311" s="85">
        <v>0</v>
      </c>
      <c r="AG311" s="85">
        <v>35.274000000000001</v>
      </c>
      <c r="AH311" s="85">
        <v>0</v>
      </c>
      <c r="AI311" s="85">
        <v>0</v>
      </c>
      <c r="AJ311" s="85">
        <v>0</v>
      </c>
      <c r="AK311" s="85">
        <v>0</v>
      </c>
      <c r="AL311" s="85">
        <v>0</v>
      </c>
      <c r="AM311" s="85">
        <v>0</v>
      </c>
      <c r="AN311" s="85">
        <v>0</v>
      </c>
      <c r="AO311" s="85">
        <v>0</v>
      </c>
      <c r="AP311" s="85">
        <v>0</v>
      </c>
      <c r="AQ311" s="85">
        <v>0</v>
      </c>
      <c r="AR311" s="85">
        <v>0</v>
      </c>
      <c r="AS311" s="85">
        <v>0</v>
      </c>
      <c r="AT311" s="85">
        <v>0</v>
      </c>
      <c r="AU311" s="85">
        <v>0</v>
      </c>
      <c r="AV311" s="85">
        <v>0</v>
      </c>
      <c r="AW311" s="85">
        <v>0</v>
      </c>
      <c r="AX311" s="85">
        <v>0</v>
      </c>
      <c r="AY311" s="85">
        <v>0</v>
      </c>
      <c r="AZ311" s="85">
        <v>0</v>
      </c>
      <c r="BA311" s="85">
        <v>35.274000000000001</v>
      </c>
      <c r="BB311" s="89">
        <v>0</v>
      </c>
      <c r="BC311" s="89">
        <v>35.274000000000001</v>
      </c>
      <c r="BD311" s="37">
        <v>0</v>
      </c>
      <c r="BE311" s="37">
        <v>0</v>
      </c>
      <c r="BF311" s="279">
        <v>3799</v>
      </c>
      <c r="BG311" s="37">
        <v>4875</v>
      </c>
      <c r="BH311" s="37">
        <v>6207</v>
      </c>
      <c r="BI311" s="37">
        <v>8154</v>
      </c>
      <c r="BJ311" s="283">
        <v>23035</v>
      </c>
      <c r="BK311" s="161"/>
      <c r="BL311" s="294"/>
      <c r="BM311"/>
      <c r="BN311"/>
      <c r="BO311"/>
      <c r="BP311"/>
      <c r="BQ311"/>
      <c r="BR311"/>
      <c r="BS311"/>
      <c r="BT311"/>
      <c r="BU311"/>
      <c r="BV311"/>
      <c r="BW311"/>
      <c r="BX311"/>
      <c r="BY311"/>
      <c r="BZ311"/>
      <c r="CA311"/>
      <c r="CB311"/>
      <c r="CC311"/>
      <c r="CD311"/>
      <c r="CE311"/>
      <c r="CF311"/>
      <c r="CG311"/>
      <c r="CH311"/>
      <c r="CI311"/>
      <c r="CJ311"/>
    </row>
    <row r="312" spans="1:88" s="32" customFormat="1" ht="15" customHeight="1" x14ac:dyDescent="0.35">
      <c r="A312" s="473"/>
      <c r="B312" s="313">
        <v>93065</v>
      </c>
      <c r="C312" s="8" t="s">
        <v>968</v>
      </c>
      <c r="D312" s="18">
        <v>2</v>
      </c>
      <c r="E312" s="251">
        <v>1062</v>
      </c>
      <c r="F312" s="82">
        <v>2.1941112322791714</v>
      </c>
      <c r="G312" s="79">
        <v>2330.1461286804802</v>
      </c>
      <c r="H312" s="90">
        <v>35.11</v>
      </c>
      <c r="I312" s="85">
        <v>34.576000000000001</v>
      </c>
      <c r="J312" s="85">
        <v>40.962000000000003</v>
      </c>
      <c r="K312" s="85">
        <v>40.386000000000003</v>
      </c>
      <c r="L312" s="85">
        <v>44.652999999999999</v>
      </c>
      <c r="M312" s="85">
        <v>49.511000000000003</v>
      </c>
      <c r="N312" s="85">
        <v>53.804000000000002</v>
      </c>
      <c r="O312" s="85">
        <v>46.56</v>
      </c>
      <c r="P312" s="85">
        <v>33.874000000000002</v>
      </c>
      <c r="Q312" s="85">
        <v>32.043999999999997</v>
      </c>
      <c r="R312" s="85">
        <v>28.667999999999999</v>
      </c>
      <c r="S312" s="89">
        <v>29.085000000000001</v>
      </c>
      <c r="T312" s="89">
        <v>469.233</v>
      </c>
      <c r="U312" s="85">
        <v>0</v>
      </c>
      <c r="V312" s="85">
        <v>469.233</v>
      </c>
      <c r="W312" s="85">
        <v>0</v>
      </c>
      <c r="X312" s="89">
        <v>469.233</v>
      </c>
      <c r="Y312" s="79">
        <v>0</v>
      </c>
      <c r="Z312" s="79">
        <v>1</v>
      </c>
      <c r="AA312" s="94">
        <v>0</v>
      </c>
      <c r="AB312" s="79">
        <v>1</v>
      </c>
      <c r="AC312" s="85">
        <v>177.35400000000001</v>
      </c>
      <c r="AD312" s="85">
        <v>73.14</v>
      </c>
      <c r="AE312" s="85">
        <v>14.828567908163283</v>
      </c>
      <c r="AF312" s="85">
        <v>204.01</v>
      </c>
      <c r="AG312" s="85">
        <v>469.3325679081633</v>
      </c>
      <c r="AH312" s="85">
        <v>0</v>
      </c>
      <c r="AI312" s="85">
        <v>0</v>
      </c>
      <c r="AJ312" s="85">
        <v>0</v>
      </c>
      <c r="AK312" s="85">
        <v>0</v>
      </c>
      <c r="AL312" s="85">
        <v>0</v>
      </c>
      <c r="AM312" s="85">
        <v>0</v>
      </c>
      <c r="AN312" s="85">
        <v>0</v>
      </c>
      <c r="AO312" s="85">
        <v>0</v>
      </c>
      <c r="AP312" s="85">
        <v>0</v>
      </c>
      <c r="AQ312" s="85">
        <v>0</v>
      </c>
      <c r="AR312" s="85">
        <v>0</v>
      </c>
      <c r="AS312" s="85">
        <v>0</v>
      </c>
      <c r="AT312" s="85">
        <v>0</v>
      </c>
      <c r="AU312" s="85">
        <v>0</v>
      </c>
      <c r="AV312" s="85">
        <v>0</v>
      </c>
      <c r="AW312" s="85">
        <v>0</v>
      </c>
      <c r="AX312" s="85">
        <v>0</v>
      </c>
      <c r="AY312" s="85">
        <v>469.233</v>
      </c>
      <c r="AZ312" s="85">
        <v>0</v>
      </c>
      <c r="BA312" s="85">
        <v>0</v>
      </c>
      <c r="BB312" s="89">
        <v>0</v>
      </c>
      <c r="BC312" s="89">
        <v>469.233</v>
      </c>
      <c r="BD312" s="37">
        <v>0</v>
      </c>
      <c r="BE312" s="37">
        <v>0</v>
      </c>
      <c r="BF312" s="279">
        <v>6231</v>
      </c>
      <c r="BG312" s="37">
        <v>62365</v>
      </c>
      <c r="BH312" s="37">
        <v>33317</v>
      </c>
      <c r="BI312" s="37">
        <v>4224</v>
      </c>
      <c r="BJ312" s="283">
        <v>106137</v>
      </c>
      <c r="BK312" s="161"/>
      <c r="BL312" s="294"/>
      <c r="BM312"/>
      <c r="BN312"/>
      <c r="BO312"/>
      <c r="BP312"/>
      <c r="BQ312"/>
      <c r="BR312"/>
      <c r="BS312"/>
      <c r="BT312"/>
      <c r="BU312"/>
      <c r="BV312"/>
      <c r="BW312"/>
      <c r="BX312"/>
      <c r="BY312"/>
      <c r="BZ312"/>
      <c r="CA312"/>
      <c r="CB312"/>
      <c r="CC312"/>
      <c r="CD312"/>
      <c r="CE312"/>
      <c r="CF312"/>
      <c r="CG312"/>
      <c r="CH312"/>
      <c r="CI312"/>
      <c r="CJ312"/>
    </row>
    <row r="313" spans="1:88" s="32" customFormat="1" ht="15" customHeight="1" x14ac:dyDescent="0.35">
      <c r="A313" s="473"/>
      <c r="B313" s="313">
        <v>6060</v>
      </c>
      <c r="C313" s="8" t="s">
        <v>1067</v>
      </c>
      <c r="D313" s="18">
        <v>11</v>
      </c>
      <c r="E313" s="251"/>
      <c r="F313" s="82"/>
      <c r="G313" s="79"/>
      <c r="H313" s="90"/>
      <c r="I313" s="85"/>
      <c r="J313" s="85"/>
      <c r="K313" s="85"/>
      <c r="L313" s="85"/>
      <c r="M313" s="85"/>
      <c r="N313" s="85"/>
      <c r="O313" s="85"/>
      <c r="P313" s="85"/>
      <c r="Q313" s="85"/>
      <c r="R313" s="85"/>
      <c r="S313" s="89"/>
      <c r="T313" s="89" t="s">
        <v>1124</v>
      </c>
      <c r="U313" s="85"/>
      <c r="V313" s="85"/>
      <c r="W313" s="85"/>
      <c r="X313" s="89" t="s">
        <v>1124</v>
      </c>
      <c r="Y313" s="79"/>
      <c r="Z313" s="79"/>
      <c r="AA313" s="94"/>
      <c r="AB313" s="79" t="s">
        <v>1124</v>
      </c>
      <c r="AC313" s="85"/>
      <c r="AD313" s="85"/>
      <c r="AE313" s="85"/>
      <c r="AF313" s="85"/>
      <c r="AG313" s="85" t="s">
        <v>1124</v>
      </c>
      <c r="AH313" s="85"/>
      <c r="AI313" s="85"/>
      <c r="AJ313" s="85"/>
      <c r="AK313" s="85"/>
      <c r="AL313" s="85"/>
      <c r="AM313" s="85"/>
      <c r="AN313" s="85"/>
      <c r="AO313" s="85"/>
      <c r="AP313" s="85"/>
      <c r="AQ313" s="85"/>
      <c r="AR313" s="85" t="s">
        <v>1124</v>
      </c>
      <c r="AS313" s="85"/>
      <c r="AT313" s="85"/>
      <c r="AU313" s="85"/>
      <c r="AV313" s="85"/>
      <c r="AW313" s="85"/>
      <c r="AX313" s="85"/>
      <c r="AY313" s="85"/>
      <c r="AZ313" s="85"/>
      <c r="BA313" s="85"/>
      <c r="BB313" s="89"/>
      <c r="BC313" s="89" t="s">
        <v>1124</v>
      </c>
      <c r="BD313" s="37"/>
      <c r="BE313" s="37"/>
      <c r="BF313" s="279"/>
      <c r="BG313" s="37"/>
      <c r="BH313" s="37"/>
      <c r="BI313" s="37"/>
      <c r="BJ313" s="283"/>
      <c r="BK313" s="161"/>
      <c r="BL313" s="294"/>
      <c r="BM313"/>
      <c r="BN313"/>
      <c r="BO313"/>
      <c r="BP313"/>
      <c r="BQ313"/>
      <c r="BR313"/>
      <c r="BS313"/>
      <c r="BT313"/>
      <c r="BU313"/>
      <c r="BV313"/>
      <c r="BW313"/>
      <c r="BX313"/>
      <c r="BY313"/>
      <c r="BZ313"/>
      <c r="CA313"/>
      <c r="CB313"/>
      <c r="CC313"/>
      <c r="CD313"/>
      <c r="CE313"/>
      <c r="CF313"/>
      <c r="CG313"/>
      <c r="CH313"/>
      <c r="CI313"/>
      <c r="CJ313"/>
    </row>
    <row r="314" spans="1:88" s="32" customFormat="1" ht="15" customHeight="1" x14ac:dyDescent="0.35">
      <c r="A314" s="473"/>
      <c r="B314" s="313">
        <v>60028</v>
      </c>
      <c r="C314" s="8" t="s">
        <v>608</v>
      </c>
      <c r="D314" s="18">
        <v>14</v>
      </c>
      <c r="E314" s="251">
        <v>9122</v>
      </c>
      <c r="F314" s="82">
        <v>2.5883206788744975</v>
      </c>
      <c r="G314" s="79">
        <v>23610.661232693164</v>
      </c>
      <c r="H314" s="90">
        <v>208.065</v>
      </c>
      <c r="I314" s="85">
        <v>206.54599999999999</v>
      </c>
      <c r="J314" s="85">
        <v>206.74600000000001</v>
      </c>
      <c r="K314" s="85">
        <v>188.851</v>
      </c>
      <c r="L314" s="85">
        <v>224.083</v>
      </c>
      <c r="M314" s="85">
        <v>238.512</v>
      </c>
      <c r="N314" s="85">
        <v>539.41499999999996</v>
      </c>
      <c r="O314" s="85">
        <v>290.62599999999998</v>
      </c>
      <c r="P314" s="85">
        <v>201.97499999999999</v>
      </c>
      <c r="Q314" s="85">
        <v>239.13399999999999</v>
      </c>
      <c r="R314" s="85">
        <v>214.84299999999999</v>
      </c>
      <c r="S314" s="89">
        <v>212.35300000000001</v>
      </c>
      <c r="T314" s="89">
        <v>2971.1489999999999</v>
      </c>
      <c r="U314" s="85">
        <v>2971.1489999999999</v>
      </c>
      <c r="V314" s="85">
        <v>0</v>
      </c>
      <c r="W314" s="85">
        <v>0</v>
      </c>
      <c r="X314" s="89">
        <v>2971.1489999999999</v>
      </c>
      <c r="Y314" s="79">
        <v>1</v>
      </c>
      <c r="Z314" s="79">
        <v>0</v>
      </c>
      <c r="AA314" s="94">
        <v>0</v>
      </c>
      <c r="AB314" s="79">
        <v>1</v>
      </c>
      <c r="AC314" s="85">
        <v>1605.2270000000001</v>
      </c>
      <c r="AD314" s="85">
        <v>969.09299999999973</v>
      </c>
      <c r="AE314" s="85">
        <v>207.92</v>
      </c>
      <c r="AF314" s="85">
        <v>188.90899999999999</v>
      </c>
      <c r="AG314" s="85">
        <v>2971.1489999999999</v>
      </c>
      <c r="AH314" s="85">
        <v>2971.1489999999999</v>
      </c>
      <c r="AI314" s="85">
        <v>0</v>
      </c>
      <c r="AJ314" s="85">
        <v>0</v>
      </c>
      <c r="AK314" s="85">
        <v>0</v>
      </c>
      <c r="AL314" s="85">
        <v>0</v>
      </c>
      <c r="AM314" s="85">
        <v>0</v>
      </c>
      <c r="AN314" s="85">
        <v>0</v>
      </c>
      <c r="AO314" s="85">
        <v>0</v>
      </c>
      <c r="AP314" s="85">
        <v>0</v>
      </c>
      <c r="AQ314" s="85">
        <v>0</v>
      </c>
      <c r="AR314" s="85">
        <v>2971.1489999999999</v>
      </c>
      <c r="AS314" s="85">
        <v>0</v>
      </c>
      <c r="AT314" s="85">
        <v>0</v>
      </c>
      <c r="AU314" s="85">
        <v>0</v>
      </c>
      <c r="AV314" s="85">
        <v>0</v>
      </c>
      <c r="AW314" s="85">
        <v>0</v>
      </c>
      <c r="AX314" s="85">
        <v>0</v>
      </c>
      <c r="AY314" s="85">
        <v>0</v>
      </c>
      <c r="AZ314" s="85">
        <v>0</v>
      </c>
      <c r="BA314" s="85">
        <v>0</v>
      </c>
      <c r="BB314" s="89">
        <v>0</v>
      </c>
      <c r="BC314" s="89">
        <v>0</v>
      </c>
      <c r="BD314" s="37">
        <v>1546700</v>
      </c>
      <c r="BE314" s="37">
        <v>1638800</v>
      </c>
      <c r="BF314" s="279">
        <v>400000</v>
      </c>
      <c r="BG314" s="37">
        <v>680000</v>
      </c>
      <c r="BH314" s="37">
        <v>250000</v>
      </c>
      <c r="BI314" s="37">
        <v>0</v>
      </c>
      <c r="BJ314" s="283">
        <v>1330000</v>
      </c>
      <c r="BK314" s="161"/>
      <c r="BL314" s="294"/>
      <c r="BM314"/>
      <c r="BN314"/>
      <c r="BO314"/>
      <c r="BP314"/>
      <c r="BQ314"/>
      <c r="BR314"/>
      <c r="BS314"/>
      <c r="BT314"/>
      <c r="BU314"/>
      <c r="BV314"/>
      <c r="BW314"/>
      <c r="BX314"/>
      <c r="BY314"/>
      <c r="BZ314"/>
      <c r="CA314"/>
      <c r="CB314"/>
      <c r="CC314"/>
      <c r="CD314"/>
      <c r="CE314"/>
      <c r="CF314"/>
      <c r="CG314"/>
      <c r="CH314"/>
      <c r="CI314"/>
      <c r="CJ314"/>
    </row>
    <row r="315" spans="1:88" s="32" customFormat="1" ht="15" customHeight="1" x14ac:dyDescent="0.35">
      <c r="A315" s="473"/>
      <c r="B315" s="313">
        <v>85060</v>
      </c>
      <c r="C315" s="8" t="s">
        <v>880</v>
      </c>
      <c r="D315" s="18">
        <v>8</v>
      </c>
      <c r="E315" s="251"/>
      <c r="F315" s="82"/>
      <c r="G315" s="79"/>
      <c r="H315" s="90"/>
      <c r="I315" s="85"/>
      <c r="J315" s="85"/>
      <c r="K315" s="85"/>
      <c r="L315" s="85"/>
      <c r="M315" s="85"/>
      <c r="N315" s="85"/>
      <c r="O315" s="85"/>
      <c r="P315" s="85"/>
      <c r="Q315" s="85"/>
      <c r="R315" s="85"/>
      <c r="S315" s="89"/>
      <c r="T315" s="89" t="s">
        <v>1124</v>
      </c>
      <c r="U315" s="85"/>
      <c r="V315" s="85"/>
      <c r="W315" s="85"/>
      <c r="X315" s="89" t="s">
        <v>1124</v>
      </c>
      <c r="Y315" s="79"/>
      <c r="Z315" s="79"/>
      <c r="AA315" s="94"/>
      <c r="AB315" s="79" t="s">
        <v>1124</v>
      </c>
      <c r="AC315" s="85"/>
      <c r="AD315" s="85"/>
      <c r="AE315" s="85"/>
      <c r="AF315" s="85"/>
      <c r="AG315" s="85" t="s">
        <v>1124</v>
      </c>
      <c r="AH315" s="85"/>
      <c r="AI315" s="85"/>
      <c r="AJ315" s="85"/>
      <c r="AK315" s="85"/>
      <c r="AL315" s="85"/>
      <c r="AM315" s="85"/>
      <c r="AN315" s="85"/>
      <c r="AO315" s="85"/>
      <c r="AP315" s="85"/>
      <c r="AQ315" s="85"/>
      <c r="AR315" s="85" t="s">
        <v>1124</v>
      </c>
      <c r="AS315" s="85"/>
      <c r="AT315" s="85"/>
      <c r="AU315" s="85"/>
      <c r="AV315" s="85"/>
      <c r="AW315" s="85"/>
      <c r="AX315" s="85"/>
      <c r="AY315" s="85"/>
      <c r="AZ315" s="85"/>
      <c r="BA315" s="85"/>
      <c r="BB315" s="89"/>
      <c r="BC315" s="89" t="s">
        <v>1124</v>
      </c>
      <c r="BD315" s="37"/>
      <c r="BE315" s="37"/>
      <c r="BF315" s="279"/>
      <c r="BG315" s="37"/>
      <c r="BH315" s="37"/>
      <c r="BI315" s="37"/>
      <c r="BJ315" s="283"/>
      <c r="BK315" s="161"/>
      <c r="BL315" s="294"/>
      <c r="BM315"/>
      <c r="BN315"/>
      <c r="BO315"/>
      <c r="BP315"/>
      <c r="BQ315"/>
      <c r="BR315"/>
      <c r="BS315"/>
      <c r="BT315"/>
      <c r="BU315"/>
      <c r="BV315"/>
      <c r="BW315"/>
      <c r="BX315"/>
      <c r="BY315"/>
      <c r="BZ315"/>
      <c r="CA315"/>
      <c r="CB315"/>
      <c r="CC315"/>
      <c r="CD315"/>
      <c r="CE315"/>
      <c r="CF315"/>
      <c r="CG315"/>
      <c r="CH315"/>
      <c r="CI315"/>
      <c r="CJ315"/>
    </row>
    <row r="316" spans="1:88" s="32" customFormat="1" ht="15" customHeight="1" x14ac:dyDescent="0.35">
      <c r="A316" s="473"/>
      <c r="B316" s="313">
        <v>88080</v>
      </c>
      <c r="C316" s="8" t="s">
        <v>925</v>
      </c>
      <c r="D316" s="18">
        <v>8</v>
      </c>
      <c r="E316" s="251"/>
      <c r="F316" s="82"/>
      <c r="G316" s="79"/>
      <c r="H316" s="90"/>
      <c r="I316" s="85"/>
      <c r="J316" s="85"/>
      <c r="K316" s="85"/>
      <c r="L316" s="85"/>
      <c r="M316" s="85"/>
      <c r="N316" s="85"/>
      <c r="O316" s="85"/>
      <c r="P316" s="85"/>
      <c r="Q316" s="85"/>
      <c r="R316" s="85"/>
      <c r="S316" s="89"/>
      <c r="T316" s="89" t="s">
        <v>1124</v>
      </c>
      <c r="U316" s="85"/>
      <c r="V316" s="85"/>
      <c r="W316" s="85"/>
      <c r="X316" s="89" t="s">
        <v>1124</v>
      </c>
      <c r="Y316" s="79"/>
      <c r="Z316" s="79"/>
      <c r="AA316" s="94"/>
      <c r="AB316" s="79" t="s">
        <v>1124</v>
      </c>
      <c r="AC316" s="85"/>
      <c r="AD316" s="85"/>
      <c r="AE316" s="85"/>
      <c r="AF316" s="85"/>
      <c r="AG316" s="85" t="s">
        <v>1124</v>
      </c>
      <c r="AH316" s="85"/>
      <c r="AI316" s="85"/>
      <c r="AJ316" s="85"/>
      <c r="AK316" s="85"/>
      <c r="AL316" s="85"/>
      <c r="AM316" s="85"/>
      <c r="AN316" s="85"/>
      <c r="AO316" s="85"/>
      <c r="AP316" s="85"/>
      <c r="AQ316" s="85"/>
      <c r="AR316" s="85" t="s">
        <v>1124</v>
      </c>
      <c r="AS316" s="85"/>
      <c r="AT316" s="85"/>
      <c r="AU316" s="85"/>
      <c r="AV316" s="85"/>
      <c r="AW316" s="85"/>
      <c r="AX316" s="85"/>
      <c r="AY316" s="85"/>
      <c r="AZ316" s="85"/>
      <c r="BA316" s="85"/>
      <c r="BB316" s="89"/>
      <c r="BC316" s="89" t="s">
        <v>1124</v>
      </c>
      <c r="BD316" s="37"/>
      <c r="BE316" s="37"/>
      <c r="BF316" s="279"/>
      <c r="BG316" s="37"/>
      <c r="BH316" s="37"/>
      <c r="BI316" s="37"/>
      <c r="BJ316" s="283"/>
      <c r="BK316" s="161"/>
      <c r="BL316" s="294"/>
      <c r="BM316"/>
      <c r="BN316"/>
      <c r="BO316"/>
      <c r="BP316"/>
      <c r="BQ316"/>
      <c r="BR316"/>
      <c r="BS316"/>
      <c r="BT316"/>
      <c r="BU316"/>
      <c r="BV316"/>
      <c r="BW316"/>
      <c r="BX316"/>
      <c r="BY316"/>
      <c r="BZ316"/>
      <c r="CA316"/>
      <c r="CB316"/>
      <c r="CC316"/>
      <c r="CD316"/>
      <c r="CE316"/>
      <c r="CF316"/>
      <c r="CG316"/>
      <c r="CH316"/>
      <c r="CI316"/>
      <c r="CJ316"/>
    </row>
    <row r="317" spans="1:88" s="32" customFormat="1" ht="15" customHeight="1" x14ac:dyDescent="0.35">
      <c r="A317" s="473"/>
      <c r="B317" s="313">
        <v>33060</v>
      </c>
      <c r="C317" s="8" t="s">
        <v>275</v>
      </c>
      <c r="D317" s="18">
        <v>12</v>
      </c>
      <c r="E317" s="251"/>
      <c r="F317" s="82"/>
      <c r="G317" s="79"/>
      <c r="H317" s="90"/>
      <c r="I317" s="85"/>
      <c r="J317" s="85"/>
      <c r="K317" s="85"/>
      <c r="L317" s="85"/>
      <c r="M317" s="85"/>
      <c r="N317" s="85"/>
      <c r="O317" s="85"/>
      <c r="P317" s="85"/>
      <c r="Q317" s="85"/>
      <c r="R317" s="85"/>
      <c r="S317" s="89"/>
      <c r="T317" s="89" t="s">
        <v>1124</v>
      </c>
      <c r="U317" s="85"/>
      <c r="V317" s="85"/>
      <c r="W317" s="85"/>
      <c r="X317" s="89" t="s">
        <v>1124</v>
      </c>
      <c r="Y317" s="79"/>
      <c r="Z317" s="79"/>
      <c r="AA317" s="94"/>
      <c r="AB317" s="79" t="s">
        <v>1124</v>
      </c>
      <c r="AC317" s="85"/>
      <c r="AD317" s="85"/>
      <c r="AE317" s="85"/>
      <c r="AF317" s="85"/>
      <c r="AG317" s="85" t="s">
        <v>1124</v>
      </c>
      <c r="AH317" s="85"/>
      <c r="AI317" s="85"/>
      <c r="AJ317" s="85"/>
      <c r="AK317" s="85"/>
      <c r="AL317" s="85"/>
      <c r="AM317" s="85"/>
      <c r="AN317" s="85"/>
      <c r="AO317" s="85"/>
      <c r="AP317" s="85"/>
      <c r="AQ317" s="85"/>
      <c r="AR317" s="85" t="s">
        <v>1124</v>
      </c>
      <c r="AS317" s="85"/>
      <c r="AT317" s="85"/>
      <c r="AU317" s="85"/>
      <c r="AV317" s="85"/>
      <c r="AW317" s="85"/>
      <c r="AX317" s="85"/>
      <c r="AY317" s="85"/>
      <c r="AZ317" s="85"/>
      <c r="BA317" s="85"/>
      <c r="BB317" s="89"/>
      <c r="BC317" s="89" t="s">
        <v>1124</v>
      </c>
      <c r="BD317" s="37"/>
      <c r="BE317" s="37"/>
      <c r="BF317" s="279"/>
      <c r="BG317" s="37"/>
      <c r="BH317" s="37"/>
      <c r="BI317" s="37"/>
      <c r="BJ317" s="283"/>
      <c r="BK317" s="161"/>
      <c r="BL317" s="294"/>
      <c r="BM317"/>
      <c r="BN317"/>
      <c r="BO317"/>
      <c r="BP317"/>
      <c r="BQ317"/>
      <c r="BR317"/>
      <c r="BS317"/>
      <c r="BT317"/>
      <c r="BU317"/>
      <c r="BV317"/>
      <c r="BW317"/>
      <c r="BX317"/>
      <c r="BY317"/>
      <c r="BZ317"/>
      <c r="CA317"/>
      <c r="CB317"/>
      <c r="CC317"/>
      <c r="CD317"/>
      <c r="CE317"/>
      <c r="CF317"/>
      <c r="CG317"/>
      <c r="CH317"/>
      <c r="CI317"/>
      <c r="CJ317"/>
    </row>
    <row r="318" spans="1:88" s="32" customFormat="1" ht="15" customHeight="1" x14ac:dyDescent="0.35">
      <c r="A318" s="473"/>
      <c r="B318" s="313">
        <v>32072</v>
      </c>
      <c r="C318" s="8" t="s">
        <v>264</v>
      </c>
      <c r="D318" s="18">
        <v>17</v>
      </c>
      <c r="E318" s="251">
        <v>335</v>
      </c>
      <c r="F318" s="82">
        <v>2.2006633499170811</v>
      </c>
      <c r="G318" s="79">
        <v>737.22222222222217</v>
      </c>
      <c r="H318" s="90">
        <v>7.5380000000000003</v>
      </c>
      <c r="I318" s="85">
        <v>6.6580000000000004</v>
      </c>
      <c r="J318" s="85">
        <v>7.5549999999999997</v>
      </c>
      <c r="K318" s="85">
        <v>7.2320000000000002</v>
      </c>
      <c r="L318" s="85">
        <v>7.9690000000000003</v>
      </c>
      <c r="M318" s="85">
        <v>8.5690000000000008</v>
      </c>
      <c r="N318" s="85">
        <v>10.1</v>
      </c>
      <c r="O318" s="85">
        <v>9.3089999999999993</v>
      </c>
      <c r="P318" s="85">
        <v>8.3520000000000003</v>
      </c>
      <c r="Q318" s="85">
        <v>9.1129999999999995</v>
      </c>
      <c r="R318" s="85">
        <v>8.375</v>
      </c>
      <c r="S318" s="89">
        <v>8.0399999999999991</v>
      </c>
      <c r="T318" s="89">
        <v>98.81</v>
      </c>
      <c r="U318" s="85">
        <v>0</v>
      </c>
      <c r="V318" s="85">
        <v>98.81</v>
      </c>
      <c r="W318" s="85">
        <v>0</v>
      </c>
      <c r="X318" s="89">
        <v>98.81</v>
      </c>
      <c r="Y318" s="79">
        <v>0</v>
      </c>
      <c r="Z318" s="79">
        <v>1</v>
      </c>
      <c r="AA318" s="94">
        <v>0</v>
      </c>
      <c r="AB318" s="79">
        <v>1</v>
      </c>
      <c r="AC318" s="85">
        <v>61.280999999999999</v>
      </c>
      <c r="AD318" s="85">
        <v>7.3230000000000004</v>
      </c>
      <c r="AE318" s="85">
        <v>30.206</v>
      </c>
      <c r="AF318" s="85">
        <v>0</v>
      </c>
      <c r="AG318" s="85">
        <v>98.81</v>
      </c>
      <c r="AH318" s="85">
        <v>0</v>
      </c>
      <c r="AI318" s="85">
        <v>0</v>
      </c>
      <c r="AJ318" s="85">
        <v>0</v>
      </c>
      <c r="AK318" s="85">
        <v>0</v>
      </c>
      <c r="AL318" s="85">
        <v>0</v>
      </c>
      <c r="AM318" s="85">
        <v>0</v>
      </c>
      <c r="AN318" s="85">
        <v>0</v>
      </c>
      <c r="AO318" s="85">
        <v>0</v>
      </c>
      <c r="AP318" s="85">
        <v>0</v>
      </c>
      <c r="AQ318" s="85">
        <v>0</v>
      </c>
      <c r="AR318" s="85">
        <v>0</v>
      </c>
      <c r="AS318" s="85">
        <v>0</v>
      </c>
      <c r="AT318" s="85">
        <v>0</v>
      </c>
      <c r="AU318" s="85">
        <v>0</v>
      </c>
      <c r="AV318" s="85">
        <v>0</v>
      </c>
      <c r="AW318" s="85">
        <v>0</v>
      </c>
      <c r="AX318" s="85">
        <v>0</v>
      </c>
      <c r="AY318" s="85">
        <v>0</v>
      </c>
      <c r="AZ318" s="85">
        <v>0</v>
      </c>
      <c r="BA318" s="85">
        <v>98.81</v>
      </c>
      <c r="BB318" s="89">
        <v>0</v>
      </c>
      <c r="BC318" s="89">
        <v>98.81</v>
      </c>
      <c r="BD318" s="37">
        <v>8725</v>
      </c>
      <c r="BE318" s="37">
        <v>7055</v>
      </c>
      <c r="BF318" s="279">
        <v>1727</v>
      </c>
      <c r="BG318" s="37">
        <v>9068</v>
      </c>
      <c r="BH318" s="37">
        <v>6621</v>
      </c>
      <c r="BI318" s="37">
        <v>2422</v>
      </c>
      <c r="BJ318" s="283">
        <v>19838</v>
      </c>
      <c r="BK318" s="161"/>
      <c r="BL318" s="294"/>
      <c r="BM318"/>
      <c r="BN318"/>
      <c r="BO318"/>
      <c r="BP318"/>
      <c r="BQ318"/>
      <c r="BR318"/>
      <c r="BS318"/>
      <c r="BT318"/>
      <c r="BU318"/>
      <c r="BV318"/>
      <c r="BW318"/>
      <c r="BX318"/>
      <c r="BY318"/>
      <c r="BZ318"/>
      <c r="CA318"/>
      <c r="CB318"/>
      <c r="CC318"/>
      <c r="CD318"/>
      <c r="CE318"/>
      <c r="CF318"/>
      <c r="CG318"/>
      <c r="CH318"/>
      <c r="CI318"/>
      <c r="CJ318"/>
    </row>
    <row r="319" spans="1:88" s="32" customFormat="1" ht="15" customHeight="1" x14ac:dyDescent="0.35">
      <c r="A319" s="473"/>
      <c r="B319" s="313">
        <v>65005</v>
      </c>
      <c r="C319" s="8" t="s">
        <v>646</v>
      </c>
      <c r="D319" s="18">
        <v>13</v>
      </c>
      <c r="E319" s="251">
        <v>171752</v>
      </c>
      <c r="F319" s="82">
        <v>2.5084943198200795</v>
      </c>
      <c r="G319" s="79">
        <v>430838.91641773831</v>
      </c>
      <c r="H319" s="90">
        <v>5704</v>
      </c>
      <c r="I319" s="85">
        <v>5347.6</v>
      </c>
      <c r="J319" s="85">
        <v>5967.7</v>
      </c>
      <c r="K319" s="85">
        <v>5681.2</v>
      </c>
      <c r="L319" s="85">
        <v>6235.1</v>
      </c>
      <c r="M319" s="85">
        <v>6819</v>
      </c>
      <c r="N319" s="85">
        <v>7610.1</v>
      </c>
      <c r="O319" s="85">
        <v>7473.8</v>
      </c>
      <c r="P319" s="85">
        <v>6111.8</v>
      </c>
      <c r="Q319" s="85">
        <v>5492.1</v>
      </c>
      <c r="R319" s="85">
        <v>5119.5</v>
      </c>
      <c r="S319" s="89">
        <v>5440.3</v>
      </c>
      <c r="T319" s="89">
        <v>73002.2</v>
      </c>
      <c r="U319" s="85">
        <v>73002.2</v>
      </c>
      <c r="V319" s="85">
        <v>0</v>
      </c>
      <c r="W319" s="85">
        <v>0</v>
      </c>
      <c r="X319" s="89">
        <v>73002.2</v>
      </c>
      <c r="Y319" s="79">
        <v>3</v>
      </c>
      <c r="Z319" s="79">
        <v>0</v>
      </c>
      <c r="AA319" s="94">
        <v>0</v>
      </c>
      <c r="AB319" s="79">
        <v>3</v>
      </c>
      <c r="AC319" s="85">
        <v>38550.938000000002</v>
      </c>
      <c r="AD319" s="85">
        <v>12976.616872448976</v>
      </c>
      <c r="AE319" s="85">
        <v>21474.645127551019</v>
      </c>
      <c r="AF319" s="85">
        <v>0</v>
      </c>
      <c r="AG319" s="85">
        <v>73002.2</v>
      </c>
      <c r="AH319" s="85">
        <v>73002.2</v>
      </c>
      <c r="AI319" s="85">
        <v>0</v>
      </c>
      <c r="AJ319" s="85">
        <v>0</v>
      </c>
      <c r="AK319" s="85">
        <v>0</v>
      </c>
      <c r="AL319" s="85">
        <v>0</v>
      </c>
      <c r="AM319" s="85">
        <v>0</v>
      </c>
      <c r="AN319" s="85">
        <v>0</v>
      </c>
      <c r="AO319" s="85">
        <v>0</v>
      </c>
      <c r="AP319" s="85">
        <v>0</v>
      </c>
      <c r="AQ319" s="85">
        <v>0</v>
      </c>
      <c r="AR319" s="85">
        <v>73002.2</v>
      </c>
      <c r="AS319" s="85">
        <v>0</v>
      </c>
      <c r="AT319" s="85">
        <v>0</v>
      </c>
      <c r="AU319" s="85">
        <v>0</v>
      </c>
      <c r="AV319" s="85">
        <v>0</v>
      </c>
      <c r="AW319" s="85">
        <v>0</v>
      </c>
      <c r="AX319" s="85">
        <v>0</v>
      </c>
      <c r="AY319" s="85">
        <v>0</v>
      </c>
      <c r="AZ319" s="85">
        <v>0</v>
      </c>
      <c r="BA319" s="85">
        <v>0</v>
      </c>
      <c r="BB319" s="89">
        <v>0</v>
      </c>
      <c r="BC319" s="89">
        <v>0</v>
      </c>
      <c r="BD319" s="37">
        <v>1292400</v>
      </c>
      <c r="BE319" s="37">
        <v>3503000</v>
      </c>
      <c r="BF319" s="279">
        <v>3085934</v>
      </c>
      <c r="BG319" s="37">
        <v>6550727</v>
      </c>
      <c r="BH319" s="37">
        <v>2892909</v>
      </c>
      <c r="BI319" s="37">
        <v>234819</v>
      </c>
      <c r="BJ319" s="283">
        <v>12764389</v>
      </c>
      <c r="BK319" s="161"/>
      <c r="BL319" s="294"/>
      <c r="BM319"/>
      <c r="BN319"/>
      <c r="BO319"/>
      <c r="BP319"/>
      <c r="BQ319"/>
      <c r="BR319"/>
      <c r="BS319"/>
      <c r="BT319"/>
      <c r="BU319"/>
      <c r="BV319"/>
      <c r="BW319"/>
      <c r="BX319"/>
      <c r="BY319"/>
      <c r="BZ319"/>
      <c r="CA319"/>
      <c r="CB319"/>
      <c r="CC319"/>
      <c r="CD319"/>
      <c r="CE319"/>
      <c r="CF319"/>
      <c r="CG319"/>
      <c r="CH319"/>
      <c r="CI319"/>
      <c r="CJ319"/>
    </row>
    <row r="320" spans="1:88" s="32" customFormat="1" ht="15" customHeight="1" x14ac:dyDescent="0.35">
      <c r="A320" s="473"/>
      <c r="B320" s="313">
        <v>52007</v>
      </c>
      <c r="C320" s="8" t="s">
        <v>515</v>
      </c>
      <c r="D320" s="18">
        <v>14</v>
      </c>
      <c r="E320" s="251">
        <v>5088</v>
      </c>
      <c r="F320" s="82">
        <v>2.5805443177638838</v>
      </c>
      <c r="G320" s="79">
        <v>13129.809488782641</v>
      </c>
      <c r="H320" s="90">
        <v>109.10599999999999</v>
      </c>
      <c r="I320" s="85">
        <v>96.427999999999997</v>
      </c>
      <c r="J320" s="85">
        <v>102.11499999999999</v>
      </c>
      <c r="K320" s="85">
        <v>97.986000000000004</v>
      </c>
      <c r="L320" s="85">
        <v>112.774</v>
      </c>
      <c r="M320" s="85">
        <v>127.732</v>
      </c>
      <c r="N320" s="85">
        <v>137.71799999999999</v>
      </c>
      <c r="O320" s="85">
        <v>134.55099999999999</v>
      </c>
      <c r="P320" s="85">
        <v>108.241</v>
      </c>
      <c r="Q320" s="85">
        <v>99.584000000000003</v>
      </c>
      <c r="R320" s="85">
        <v>91.013000000000005</v>
      </c>
      <c r="S320" s="89">
        <v>94.406000000000006</v>
      </c>
      <c r="T320" s="89">
        <v>1311.6539999999998</v>
      </c>
      <c r="U320" s="85">
        <v>1311.654</v>
      </c>
      <c r="V320" s="85">
        <v>0</v>
      </c>
      <c r="W320" s="85">
        <v>0</v>
      </c>
      <c r="X320" s="89">
        <v>1311.654</v>
      </c>
      <c r="Y320" s="79">
        <v>1</v>
      </c>
      <c r="Z320" s="79">
        <v>0</v>
      </c>
      <c r="AA320" s="94">
        <v>0</v>
      </c>
      <c r="AB320" s="79">
        <v>1</v>
      </c>
      <c r="AC320" s="85">
        <v>913.17700000000002</v>
      </c>
      <c r="AD320" s="85">
        <v>61.843999999999994</v>
      </c>
      <c r="AE320" s="85">
        <v>336.63299999999998</v>
      </c>
      <c r="AF320" s="85">
        <v>0</v>
      </c>
      <c r="AG320" s="85">
        <v>1311.654</v>
      </c>
      <c r="AH320" s="85">
        <v>0</v>
      </c>
      <c r="AI320" s="85">
        <v>0</v>
      </c>
      <c r="AJ320" s="85">
        <v>1311.654</v>
      </c>
      <c r="AK320" s="85">
        <v>0</v>
      </c>
      <c r="AL320" s="85">
        <v>0</v>
      </c>
      <c r="AM320" s="85">
        <v>0</v>
      </c>
      <c r="AN320" s="85">
        <v>0</v>
      </c>
      <c r="AO320" s="85">
        <v>0</v>
      </c>
      <c r="AP320" s="85">
        <v>0</v>
      </c>
      <c r="AQ320" s="85">
        <v>0</v>
      </c>
      <c r="AR320" s="85">
        <v>1311.654</v>
      </c>
      <c r="AS320" s="85">
        <v>0</v>
      </c>
      <c r="AT320" s="85">
        <v>0</v>
      </c>
      <c r="AU320" s="85">
        <v>0</v>
      </c>
      <c r="AV320" s="85">
        <v>0</v>
      </c>
      <c r="AW320" s="85">
        <v>0</v>
      </c>
      <c r="AX320" s="85">
        <v>0</v>
      </c>
      <c r="AY320" s="85">
        <v>0</v>
      </c>
      <c r="AZ320" s="85">
        <v>0</v>
      </c>
      <c r="BA320" s="85">
        <v>0</v>
      </c>
      <c r="BB320" s="89">
        <v>0</v>
      </c>
      <c r="BC320" s="89">
        <v>0</v>
      </c>
      <c r="BD320" s="37">
        <v>0</v>
      </c>
      <c r="BE320" s="37">
        <v>106576</v>
      </c>
      <c r="BF320" s="279">
        <v>241989</v>
      </c>
      <c r="BG320" s="37">
        <v>414878</v>
      </c>
      <c r="BH320" s="37">
        <v>89849</v>
      </c>
      <c r="BI320" s="37">
        <v>30306</v>
      </c>
      <c r="BJ320" s="283">
        <v>777022</v>
      </c>
      <c r="BK320" s="161"/>
      <c r="BL320" s="294"/>
      <c r="BM320"/>
      <c r="BN320"/>
      <c r="BO320"/>
      <c r="BP320"/>
      <c r="BQ320"/>
      <c r="BR320"/>
      <c r="BS320"/>
      <c r="BT320"/>
      <c r="BU320"/>
      <c r="BV320"/>
      <c r="BW320"/>
      <c r="BX320"/>
      <c r="BY320"/>
      <c r="BZ320"/>
      <c r="CA320"/>
      <c r="CB320"/>
      <c r="CC320"/>
      <c r="CD320"/>
      <c r="CE320"/>
      <c r="CF320"/>
      <c r="CG320"/>
      <c r="CH320"/>
      <c r="CI320"/>
      <c r="CJ320"/>
    </row>
    <row r="321" spans="1:88" s="32" customFormat="1" ht="15" customHeight="1" x14ac:dyDescent="0.35">
      <c r="A321" s="473"/>
      <c r="B321" s="313">
        <v>49025</v>
      </c>
      <c r="C321" s="8" t="s">
        <v>467</v>
      </c>
      <c r="D321" s="18">
        <v>17</v>
      </c>
      <c r="E321" s="251"/>
      <c r="F321" s="82"/>
      <c r="G321" s="79"/>
      <c r="H321" s="90"/>
      <c r="I321" s="85"/>
      <c r="J321" s="85"/>
      <c r="K321" s="85"/>
      <c r="L321" s="85"/>
      <c r="M321" s="85"/>
      <c r="N321" s="85"/>
      <c r="O321" s="85"/>
      <c r="P321" s="85"/>
      <c r="Q321" s="85"/>
      <c r="R321" s="85"/>
      <c r="S321" s="89"/>
      <c r="T321" s="89" t="s">
        <v>1124</v>
      </c>
      <c r="U321" s="85"/>
      <c r="V321" s="85"/>
      <c r="W321" s="85"/>
      <c r="X321" s="89" t="s">
        <v>1124</v>
      </c>
      <c r="Y321" s="79"/>
      <c r="Z321" s="79"/>
      <c r="AA321" s="94"/>
      <c r="AB321" s="79" t="s">
        <v>1124</v>
      </c>
      <c r="AC321" s="85"/>
      <c r="AD321" s="85"/>
      <c r="AE321" s="85"/>
      <c r="AF321" s="85"/>
      <c r="AG321" s="85" t="s">
        <v>1124</v>
      </c>
      <c r="AH321" s="85"/>
      <c r="AI321" s="85"/>
      <c r="AJ321" s="85"/>
      <c r="AK321" s="85"/>
      <c r="AL321" s="85"/>
      <c r="AM321" s="85"/>
      <c r="AN321" s="85"/>
      <c r="AO321" s="85"/>
      <c r="AP321" s="85"/>
      <c r="AQ321" s="85"/>
      <c r="AR321" s="85" t="s">
        <v>1124</v>
      </c>
      <c r="AS321" s="85"/>
      <c r="AT321" s="85"/>
      <c r="AU321" s="85"/>
      <c r="AV321" s="85"/>
      <c r="AW321" s="85"/>
      <c r="AX321" s="85"/>
      <c r="AY321" s="85"/>
      <c r="AZ321" s="85"/>
      <c r="BA321" s="85"/>
      <c r="BB321" s="89"/>
      <c r="BC321" s="89" t="s">
        <v>1124</v>
      </c>
      <c r="BD321" s="37"/>
      <c r="BE321" s="37"/>
      <c r="BF321" s="279"/>
      <c r="BG321" s="37"/>
      <c r="BH321" s="37"/>
      <c r="BI321" s="37"/>
      <c r="BJ321" s="283"/>
      <c r="BK321" s="161"/>
      <c r="BL321" s="294"/>
      <c r="BM321"/>
      <c r="BN321"/>
      <c r="BO321"/>
      <c r="BP321"/>
      <c r="BQ321"/>
      <c r="BR321"/>
      <c r="BS321"/>
      <c r="BT321"/>
      <c r="BU321"/>
      <c r="BV321"/>
      <c r="BW321"/>
      <c r="BX321"/>
      <c r="BY321"/>
      <c r="BZ321"/>
      <c r="CA321"/>
      <c r="CB321"/>
      <c r="CC321"/>
      <c r="CD321"/>
      <c r="CE321"/>
      <c r="CF321"/>
      <c r="CG321"/>
      <c r="CH321"/>
      <c r="CI321"/>
      <c r="CJ321"/>
    </row>
    <row r="322" spans="1:88" s="32" customFormat="1" ht="15" customHeight="1" x14ac:dyDescent="0.35">
      <c r="A322" s="473"/>
      <c r="B322" s="313">
        <v>85052</v>
      </c>
      <c r="C322" s="8" t="s">
        <v>878</v>
      </c>
      <c r="D322" s="18">
        <v>8</v>
      </c>
      <c r="E322" s="251">
        <v>228</v>
      </c>
      <c r="F322" s="82">
        <v>2.5</v>
      </c>
      <c r="G322" s="79">
        <v>570</v>
      </c>
      <c r="H322" s="90">
        <v>22.834</v>
      </c>
      <c r="I322" s="85">
        <v>20.984999999999999</v>
      </c>
      <c r="J322" s="85">
        <v>23.872</v>
      </c>
      <c r="K322" s="85">
        <v>22.219000000000001</v>
      </c>
      <c r="L322" s="85">
        <v>23.472000000000001</v>
      </c>
      <c r="M322" s="85">
        <v>19.463000000000001</v>
      </c>
      <c r="N322" s="85">
        <v>22.86</v>
      </c>
      <c r="O322" s="85">
        <v>22.355</v>
      </c>
      <c r="P322" s="85">
        <v>20.626999999999999</v>
      </c>
      <c r="Q322" s="85">
        <v>22.088000000000001</v>
      </c>
      <c r="R322" s="85">
        <v>20.352</v>
      </c>
      <c r="S322" s="89">
        <v>21.852</v>
      </c>
      <c r="T322" s="89">
        <v>262.97899999999998</v>
      </c>
      <c r="U322" s="85">
        <v>0</v>
      </c>
      <c r="V322" s="85">
        <v>262.89999999999998</v>
      </c>
      <c r="W322" s="85">
        <v>0</v>
      </c>
      <c r="X322" s="89">
        <v>262.89999999999998</v>
      </c>
      <c r="Y322" s="79">
        <v>0</v>
      </c>
      <c r="Z322" s="79">
        <v>1</v>
      </c>
      <c r="AA322" s="94">
        <v>0</v>
      </c>
      <c r="AB322" s="79">
        <v>1</v>
      </c>
      <c r="AC322" s="85">
        <v>44.161999999999999</v>
      </c>
      <c r="AD322" s="85">
        <v>155.15199999999999</v>
      </c>
      <c r="AE322" s="85">
        <v>63.664999999999999</v>
      </c>
      <c r="AF322" s="85">
        <v>0</v>
      </c>
      <c r="AG322" s="85">
        <v>262.97899999999998</v>
      </c>
      <c r="AH322" s="85">
        <v>0</v>
      </c>
      <c r="AI322" s="85">
        <v>0</v>
      </c>
      <c r="AJ322" s="85">
        <v>0</v>
      </c>
      <c r="AK322" s="85">
        <v>0</v>
      </c>
      <c r="AL322" s="85">
        <v>0</v>
      </c>
      <c r="AM322" s="85">
        <v>0</v>
      </c>
      <c r="AN322" s="85">
        <v>0</v>
      </c>
      <c r="AO322" s="85">
        <v>0</v>
      </c>
      <c r="AP322" s="85">
        <v>0</v>
      </c>
      <c r="AQ322" s="85">
        <v>0</v>
      </c>
      <c r="AR322" s="85">
        <v>0</v>
      </c>
      <c r="AS322" s="85">
        <v>0</v>
      </c>
      <c r="AT322" s="85">
        <v>0</v>
      </c>
      <c r="AU322" s="85">
        <v>0</v>
      </c>
      <c r="AV322" s="85">
        <v>0</v>
      </c>
      <c r="AW322" s="85">
        <v>0</v>
      </c>
      <c r="AX322" s="85">
        <v>0</v>
      </c>
      <c r="AY322" s="85">
        <v>0</v>
      </c>
      <c r="AZ322" s="85">
        <v>0</v>
      </c>
      <c r="BA322" s="85">
        <v>262.89999999999998</v>
      </c>
      <c r="BB322" s="89">
        <v>0</v>
      </c>
      <c r="BC322" s="89">
        <v>262.89999999999998</v>
      </c>
      <c r="BD322" s="37">
        <v>5398</v>
      </c>
      <c r="BE322" s="37">
        <v>0</v>
      </c>
      <c r="BF322" s="279">
        <v>302</v>
      </c>
      <c r="BG322" s="37">
        <v>17237</v>
      </c>
      <c r="BH322" s="37">
        <v>12997</v>
      </c>
      <c r="BI322" s="37">
        <v>5004</v>
      </c>
      <c r="BJ322" s="283">
        <v>35540</v>
      </c>
      <c r="BK322" s="161"/>
      <c r="BL322" s="294"/>
      <c r="BM322"/>
      <c r="BN322"/>
      <c r="BO322"/>
      <c r="BP322"/>
      <c r="BQ322"/>
      <c r="BR322"/>
      <c r="BS322"/>
      <c r="BT322"/>
      <c r="BU322"/>
      <c r="BV322"/>
      <c r="BW322"/>
      <c r="BX322"/>
      <c r="BY322"/>
      <c r="BZ322"/>
      <c r="CA322"/>
      <c r="CB322"/>
      <c r="CC322"/>
      <c r="CD322"/>
      <c r="CE322"/>
      <c r="CF322"/>
      <c r="CG322"/>
      <c r="CH322"/>
      <c r="CI322"/>
      <c r="CJ322"/>
    </row>
    <row r="323" spans="1:88" s="32" customFormat="1" ht="15" customHeight="1" x14ac:dyDescent="0.35">
      <c r="A323" s="473"/>
      <c r="B323" s="313">
        <v>42045</v>
      </c>
      <c r="C323" s="8" t="s">
        <v>384</v>
      </c>
      <c r="D323" s="18">
        <v>5</v>
      </c>
      <c r="E323" s="251"/>
      <c r="F323" s="82"/>
      <c r="G323" s="79"/>
      <c r="H323" s="90"/>
      <c r="I323" s="85"/>
      <c r="J323" s="85"/>
      <c r="K323" s="85"/>
      <c r="L323" s="85"/>
      <c r="M323" s="85"/>
      <c r="N323" s="85"/>
      <c r="O323" s="85"/>
      <c r="P323" s="85"/>
      <c r="Q323" s="85"/>
      <c r="R323" s="85"/>
      <c r="S323" s="89"/>
      <c r="T323" s="89" t="s">
        <v>1124</v>
      </c>
      <c r="U323" s="85"/>
      <c r="V323" s="85"/>
      <c r="W323" s="85"/>
      <c r="X323" s="89" t="s">
        <v>1124</v>
      </c>
      <c r="Y323" s="79"/>
      <c r="Z323" s="79"/>
      <c r="AA323" s="94"/>
      <c r="AB323" s="79" t="s">
        <v>1124</v>
      </c>
      <c r="AC323" s="85"/>
      <c r="AD323" s="85"/>
      <c r="AE323" s="85"/>
      <c r="AF323" s="85"/>
      <c r="AG323" s="85" t="s">
        <v>1124</v>
      </c>
      <c r="AH323" s="85"/>
      <c r="AI323" s="85"/>
      <c r="AJ323" s="85"/>
      <c r="AK323" s="85"/>
      <c r="AL323" s="85"/>
      <c r="AM323" s="85"/>
      <c r="AN323" s="85"/>
      <c r="AO323" s="85"/>
      <c r="AP323" s="85"/>
      <c r="AQ323" s="85"/>
      <c r="AR323" s="85" t="s">
        <v>1124</v>
      </c>
      <c r="AS323" s="85"/>
      <c r="AT323" s="85"/>
      <c r="AU323" s="85"/>
      <c r="AV323" s="85"/>
      <c r="AW323" s="85"/>
      <c r="AX323" s="85"/>
      <c r="AY323" s="85"/>
      <c r="AZ323" s="85"/>
      <c r="BA323" s="85"/>
      <c r="BB323" s="89"/>
      <c r="BC323" s="89" t="s">
        <v>1124</v>
      </c>
      <c r="BD323" s="37"/>
      <c r="BE323" s="37"/>
      <c r="BF323" s="279"/>
      <c r="BG323" s="37"/>
      <c r="BH323" s="37"/>
      <c r="BI323" s="37"/>
      <c r="BJ323" s="283"/>
      <c r="BK323" s="161"/>
      <c r="BL323" s="294"/>
      <c r="BM323"/>
      <c r="BN323"/>
      <c r="BO323"/>
      <c r="BP323"/>
      <c r="BQ323"/>
      <c r="BR323"/>
      <c r="BS323"/>
      <c r="BT323"/>
      <c r="BU323"/>
      <c r="BV323"/>
      <c r="BW323"/>
      <c r="BX323"/>
      <c r="BY323"/>
      <c r="BZ323"/>
      <c r="CA323"/>
      <c r="CB323"/>
      <c r="CC323"/>
      <c r="CD323"/>
      <c r="CE323"/>
      <c r="CF323"/>
      <c r="CG323"/>
      <c r="CH323"/>
      <c r="CI323"/>
      <c r="CJ323"/>
    </row>
    <row r="324" spans="1:88" s="32" customFormat="1" ht="15" customHeight="1" x14ac:dyDescent="0.35">
      <c r="A324" s="473"/>
      <c r="B324" s="313">
        <v>99005</v>
      </c>
      <c r="C324" s="8" t="s">
        <v>1019</v>
      </c>
      <c r="D324" s="18">
        <v>10</v>
      </c>
      <c r="E324" s="251"/>
      <c r="F324" s="82"/>
      <c r="G324" s="79"/>
      <c r="H324" s="90"/>
      <c r="I324" s="85"/>
      <c r="J324" s="85"/>
      <c r="K324" s="85"/>
      <c r="L324" s="85"/>
      <c r="M324" s="85"/>
      <c r="N324" s="85"/>
      <c r="O324" s="85"/>
      <c r="P324" s="85"/>
      <c r="Q324" s="85"/>
      <c r="R324" s="85"/>
      <c r="S324" s="89"/>
      <c r="T324" s="89" t="s">
        <v>1124</v>
      </c>
      <c r="U324" s="85"/>
      <c r="V324" s="85"/>
      <c r="W324" s="85"/>
      <c r="X324" s="89" t="s">
        <v>1124</v>
      </c>
      <c r="Y324" s="79"/>
      <c r="Z324" s="79"/>
      <c r="AA324" s="94"/>
      <c r="AB324" s="79" t="s">
        <v>1124</v>
      </c>
      <c r="AC324" s="85"/>
      <c r="AD324" s="85"/>
      <c r="AE324" s="85"/>
      <c r="AF324" s="85"/>
      <c r="AG324" s="85" t="s">
        <v>1124</v>
      </c>
      <c r="AH324" s="85"/>
      <c r="AI324" s="85"/>
      <c r="AJ324" s="85"/>
      <c r="AK324" s="85"/>
      <c r="AL324" s="85"/>
      <c r="AM324" s="85"/>
      <c r="AN324" s="85"/>
      <c r="AO324" s="85"/>
      <c r="AP324" s="85"/>
      <c r="AQ324" s="85"/>
      <c r="AR324" s="85" t="s">
        <v>1124</v>
      </c>
      <c r="AS324" s="85"/>
      <c r="AT324" s="85"/>
      <c r="AU324" s="85"/>
      <c r="AV324" s="85"/>
      <c r="AW324" s="85"/>
      <c r="AX324" s="85"/>
      <c r="AY324" s="85"/>
      <c r="AZ324" s="85"/>
      <c r="BA324" s="85"/>
      <c r="BB324" s="89"/>
      <c r="BC324" s="89" t="s">
        <v>1124</v>
      </c>
      <c r="BD324" s="37"/>
      <c r="BE324" s="37"/>
      <c r="BF324" s="279"/>
      <c r="BG324" s="37"/>
      <c r="BH324" s="37"/>
      <c r="BI324" s="37"/>
      <c r="BJ324" s="283"/>
      <c r="BK324" s="161"/>
      <c r="BL324" s="294"/>
      <c r="BM324"/>
      <c r="BN324"/>
      <c r="BO324"/>
      <c r="BP324"/>
      <c r="BQ324"/>
      <c r="BR324"/>
      <c r="BS324"/>
      <c r="BT324"/>
      <c r="BU324"/>
      <c r="BV324"/>
      <c r="BW324"/>
      <c r="BX324"/>
      <c r="BY324"/>
      <c r="BZ324"/>
      <c r="CA324"/>
      <c r="CB324"/>
      <c r="CC324"/>
      <c r="CD324"/>
      <c r="CE324"/>
      <c r="CF324"/>
      <c r="CG324"/>
      <c r="CH324"/>
      <c r="CI324"/>
      <c r="CJ324"/>
    </row>
    <row r="325" spans="1:88" s="32" customFormat="1" ht="15" customHeight="1" x14ac:dyDescent="0.35">
      <c r="A325" s="473"/>
      <c r="B325" s="313">
        <v>33123</v>
      </c>
      <c r="C325" s="8" t="s">
        <v>284</v>
      </c>
      <c r="D325" s="18">
        <v>12</v>
      </c>
      <c r="E325" s="251"/>
      <c r="F325" s="82"/>
      <c r="G325" s="79"/>
      <c r="H325" s="90"/>
      <c r="I325" s="85"/>
      <c r="J325" s="85"/>
      <c r="K325" s="85"/>
      <c r="L325" s="85"/>
      <c r="M325" s="85"/>
      <c r="N325" s="85"/>
      <c r="O325" s="85"/>
      <c r="P325" s="85"/>
      <c r="Q325" s="85"/>
      <c r="R325" s="85"/>
      <c r="S325" s="89"/>
      <c r="T325" s="89" t="s">
        <v>1124</v>
      </c>
      <c r="U325" s="85"/>
      <c r="V325" s="85"/>
      <c r="W325" s="85"/>
      <c r="X325" s="89" t="s">
        <v>1124</v>
      </c>
      <c r="Y325" s="79"/>
      <c r="Z325" s="79"/>
      <c r="AA325" s="94"/>
      <c r="AB325" s="79" t="s">
        <v>1124</v>
      </c>
      <c r="AC325" s="85"/>
      <c r="AD325" s="85"/>
      <c r="AE325" s="85"/>
      <c r="AF325" s="85"/>
      <c r="AG325" s="85" t="s">
        <v>1124</v>
      </c>
      <c r="AH325" s="85"/>
      <c r="AI325" s="85"/>
      <c r="AJ325" s="85"/>
      <c r="AK325" s="85"/>
      <c r="AL325" s="85"/>
      <c r="AM325" s="85"/>
      <c r="AN325" s="85"/>
      <c r="AO325" s="85"/>
      <c r="AP325" s="85"/>
      <c r="AQ325" s="85"/>
      <c r="AR325" s="85" t="s">
        <v>1124</v>
      </c>
      <c r="AS325" s="85"/>
      <c r="AT325" s="85"/>
      <c r="AU325" s="85"/>
      <c r="AV325" s="85"/>
      <c r="AW325" s="85"/>
      <c r="AX325" s="85"/>
      <c r="AY325" s="85"/>
      <c r="AZ325" s="85"/>
      <c r="BA325" s="85"/>
      <c r="BB325" s="89"/>
      <c r="BC325" s="89" t="s">
        <v>1124</v>
      </c>
      <c r="BD325" s="37"/>
      <c r="BE325" s="37"/>
      <c r="BF325" s="279"/>
      <c r="BG325" s="37"/>
      <c r="BH325" s="37"/>
      <c r="BI325" s="37"/>
      <c r="BJ325" s="283"/>
      <c r="BK325" s="161"/>
      <c r="BL325" s="294"/>
      <c r="BM325"/>
      <c r="BN325"/>
      <c r="BO325"/>
      <c r="BP325"/>
      <c r="BQ325"/>
      <c r="BR325"/>
      <c r="BS325"/>
      <c r="BT325"/>
      <c r="BU325"/>
      <c r="BV325"/>
      <c r="BW325"/>
      <c r="BX325"/>
      <c r="BY325"/>
      <c r="BZ325"/>
      <c r="CA325"/>
      <c r="CB325"/>
      <c r="CC325"/>
      <c r="CD325"/>
      <c r="CE325"/>
      <c r="CF325"/>
      <c r="CG325"/>
      <c r="CH325"/>
      <c r="CI325"/>
      <c r="CJ325"/>
    </row>
    <row r="326" spans="1:88" s="32" customFormat="1" ht="15" customHeight="1" x14ac:dyDescent="0.35">
      <c r="A326" s="473"/>
      <c r="B326" s="313">
        <v>49020</v>
      </c>
      <c r="C326" s="8" t="s">
        <v>466</v>
      </c>
      <c r="D326" s="18">
        <v>17</v>
      </c>
      <c r="E326" s="251"/>
      <c r="F326" s="82"/>
      <c r="G326" s="79"/>
      <c r="H326" s="90"/>
      <c r="I326" s="85"/>
      <c r="J326" s="85"/>
      <c r="K326" s="85"/>
      <c r="L326" s="85"/>
      <c r="M326" s="85"/>
      <c r="N326" s="85"/>
      <c r="O326" s="85"/>
      <c r="P326" s="85"/>
      <c r="Q326" s="85"/>
      <c r="R326" s="85"/>
      <c r="S326" s="89"/>
      <c r="T326" s="89" t="s">
        <v>1124</v>
      </c>
      <c r="U326" s="85"/>
      <c r="V326" s="85"/>
      <c r="W326" s="85"/>
      <c r="X326" s="89" t="s">
        <v>1124</v>
      </c>
      <c r="Y326" s="79"/>
      <c r="Z326" s="79"/>
      <c r="AA326" s="94"/>
      <c r="AB326" s="79" t="s">
        <v>1124</v>
      </c>
      <c r="AC326" s="85"/>
      <c r="AD326" s="85"/>
      <c r="AE326" s="85"/>
      <c r="AF326" s="85"/>
      <c r="AG326" s="85" t="s">
        <v>1124</v>
      </c>
      <c r="AH326" s="85"/>
      <c r="AI326" s="85"/>
      <c r="AJ326" s="85"/>
      <c r="AK326" s="85"/>
      <c r="AL326" s="85"/>
      <c r="AM326" s="85"/>
      <c r="AN326" s="85"/>
      <c r="AO326" s="85"/>
      <c r="AP326" s="85"/>
      <c r="AQ326" s="85"/>
      <c r="AR326" s="85" t="s">
        <v>1124</v>
      </c>
      <c r="AS326" s="85"/>
      <c r="AT326" s="85"/>
      <c r="AU326" s="85"/>
      <c r="AV326" s="85"/>
      <c r="AW326" s="85"/>
      <c r="AX326" s="85"/>
      <c r="AY326" s="85"/>
      <c r="AZ326" s="85"/>
      <c r="BA326" s="85"/>
      <c r="BB326" s="89"/>
      <c r="BC326" s="89" t="s">
        <v>1124</v>
      </c>
      <c r="BD326" s="37"/>
      <c r="BE326" s="37"/>
      <c r="BF326" s="279"/>
      <c r="BG326" s="37"/>
      <c r="BH326" s="37"/>
      <c r="BI326" s="37"/>
      <c r="BJ326" s="283"/>
      <c r="BK326" s="161"/>
      <c r="BL326" s="294"/>
      <c r="BM326"/>
      <c r="BN326"/>
      <c r="BO326"/>
      <c r="BP326"/>
      <c r="BQ326"/>
      <c r="BR326"/>
      <c r="BS326"/>
      <c r="BT326"/>
      <c r="BU326"/>
      <c r="BV326"/>
      <c r="BW326"/>
      <c r="BX326"/>
      <c r="BY326"/>
      <c r="BZ326"/>
      <c r="CA326"/>
      <c r="CB326"/>
      <c r="CC326"/>
      <c r="CD326"/>
      <c r="CE326"/>
      <c r="CF326"/>
      <c r="CG326"/>
      <c r="CH326"/>
      <c r="CI326"/>
      <c r="CJ326"/>
    </row>
    <row r="327" spans="1:88" s="32" customFormat="1" ht="15" customHeight="1" x14ac:dyDescent="0.35">
      <c r="A327" s="473"/>
      <c r="B327" s="313">
        <v>13050</v>
      </c>
      <c r="C327" s="8" t="s">
        <v>49</v>
      </c>
      <c r="D327" s="18">
        <v>1</v>
      </c>
      <c r="E327" s="251"/>
      <c r="F327" s="82"/>
      <c r="G327" s="79"/>
      <c r="H327" s="90"/>
      <c r="I327" s="85"/>
      <c r="J327" s="85"/>
      <c r="K327" s="85"/>
      <c r="L327" s="85"/>
      <c r="M327" s="85"/>
      <c r="N327" s="85"/>
      <c r="O327" s="85"/>
      <c r="P327" s="85"/>
      <c r="Q327" s="85"/>
      <c r="R327" s="85"/>
      <c r="S327" s="89"/>
      <c r="T327" s="89" t="s">
        <v>1124</v>
      </c>
      <c r="U327" s="85"/>
      <c r="V327" s="85"/>
      <c r="W327" s="85"/>
      <c r="X327" s="89" t="s">
        <v>1124</v>
      </c>
      <c r="Y327" s="79"/>
      <c r="Z327" s="79"/>
      <c r="AA327" s="94"/>
      <c r="AB327" s="79" t="s">
        <v>1124</v>
      </c>
      <c r="AC327" s="85"/>
      <c r="AD327" s="85"/>
      <c r="AE327" s="85"/>
      <c r="AF327" s="85"/>
      <c r="AG327" s="85" t="s">
        <v>1124</v>
      </c>
      <c r="AH327" s="85"/>
      <c r="AI327" s="85"/>
      <c r="AJ327" s="85"/>
      <c r="AK327" s="85"/>
      <c r="AL327" s="85"/>
      <c r="AM327" s="85"/>
      <c r="AN327" s="85"/>
      <c r="AO327" s="85"/>
      <c r="AP327" s="85"/>
      <c r="AQ327" s="85"/>
      <c r="AR327" s="85" t="s">
        <v>1124</v>
      </c>
      <c r="AS327" s="85"/>
      <c r="AT327" s="85"/>
      <c r="AU327" s="85"/>
      <c r="AV327" s="85"/>
      <c r="AW327" s="85"/>
      <c r="AX327" s="85"/>
      <c r="AY327" s="85"/>
      <c r="AZ327" s="85"/>
      <c r="BA327" s="85"/>
      <c r="BB327" s="89"/>
      <c r="BC327" s="89" t="s">
        <v>1124</v>
      </c>
      <c r="BD327" s="37"/>
      <c r="BE327" s="37"/>
      <c r="BF327" s="279"/>
      <c r="BG327" s="37"/>
      <c r="BH327" s="37"/>
      <c r="BI327" s="37"/>
      <c r="BJ327" s="283"/>
      <c r="BK327" s="161"/>
      <c r="BL327" s="294"/>
      <c r="BM327"/>
      <c r="BN327"/>
      <c r="BO327"/>
      <c r="BP327"/>
      <c r="BQ327"/>
      <c r="BR327"/>
      <c r="BS327"/>
      <c r="BT327"/>
      <c r="BU327"/>
      <c r="BV327"/>
      <c r="BW327"/>
      <c r="BX327"/>
      <c r="BY327"/>
      <c r="BZ327"/>
      <c r="CA327"/>
      <c r="CB327"/>
      <c r="CC327"/>
      <c r="CD327"/>
      <c r="CE327"/>
      <c r="CF327"/>
      <c r="CG327"/>
      <c r="CH327"/>
      <c r="CI327"/>
      <c r="CJ327"/>
    </row>
    <row r="328" spans="1:88" s="32" customFormat="1" ht="15" customHeight="1" x14ac:dyDescent="0.35">
      <c r="A328" s="473"/>
      <c r="B328" s="313">
        <v>38020</v>
      </c>
      <c r="C328" s="8" t="s">
        <v>328</v>
      </c>
      <c r="D328" s="18">
        <v>17</v>
      </c>
      <c r="E328" s="251"/>
      <c r="F328" s="82"/>
      <c r="G328" s="79"/>
      <c r="H328" s="90"/>
      <c r="I328" s="85"/>
      <c r="J328" s="85"/>
      <c r="K328" s="85"/>
      <c r="L328" s="85"/>
      <c r="M328" s="85"/>
      <c r="N328" s="85"/>
      <c r="O328" s="85"/>
      <c r="P328" s="85"/>
      <c r="Q328" s="85"/>
      <c r="R328" s="85"/>
      <c r="S328" s="89"/>
      <c r="T328" s="89" t="s">
        <v>1124</v>
      </c>
      <c r="U328" s="85"/>
      <c r="V328" s="85"/>
      <c r="W328" s="85"/>
      <c r="X328" s="89" t="s">
        <v>1124</v>
      </c>
      <c r="Y328" s="79"/>
      <c r="Z328" s="79"/>
      <c r="AA328" s="94"/>
      <c r="AB328" s="79" t="s">
        <v>1124</v>
      </c>
      <c r="AC328" s="85"/>
      <c r="AD328" s="85"/>
      <c r="AE328" s="85"/>
      <c r="AF328" s="85"/>
      <c r="AG328" s="85" t="s">
        <v>1124</v>
      </c>
      <c r="AH328" s="85"/>
      <c r="AI328" s="85"/>
      <c r="AJ328" s="85"/>
      <c r="AK328" s="85"/>
      <c r="AL328" s="85"/>
      <c r="AM328" s="85"/>
      <c r="AN328" s="85"/>
      <c r="AO328" s="85"/>
      <c r="AP328" s="85"/>
      <c r="AQ328" s="85"/>
      <c r="AR328" s="85" t="s">
        <v>1124</v>
      </c>
      <c r="AS328" s="85"/>
      <c r="AT328" s="85"/>
      <c r="AU328" s="85"/>
      <c r="AV328" s="85"/>
      <c r="AW328" s="85"/>
      <c r="AX328" s="85"/>
      <c r="AY328" s="85"/>
      <c r="AZ328" s="85"/>
      <c r="BA328" s="85"/>
      <c r="BB328" s="89"/>
      <c r="BC328" s="89" t="s">
        <v>1124</v>
      </c>
      <c r="BD328" s="37"/>
      <c r="BE328" s="37"/>
      <c r="BF328" s="279"/>
      <c r="BG328" s="37"/>
      <c r="BH328" s="37"/>
      <c r="BI328" s="37"/>
      <c r="BJ328" s="283"/>
      <c r="BK328" s="161"/>
      <c r="BL328" s="294"/>
      <c r="BM328"/>
      <c r="BN328"/>
      <c r="BO328"/>
      <c r="BP328"/>
      <c r="BQ328"/>
      <c r="BR328"/>
      <c r="BS328"/>
      <c r="BT328"/>
      <c r="BU328"/>
      <c r="BV328"/>
      <c r="BW328"/>
      <c r="BX328"/>
      <c r="BY328"/>
      <c r="BZ328"/>
      <c r="CA328"/>
      <c r="CB328"/>
      <c r="CC328"/>
      <c r="CD328"/>
      <c r="CE328"/>
      <c r="CF328"/>
      <c r="CG328"/>
      <c r="CH328"/>
      <c r="CI328"/>
      <c r="CJ328"/>
    </row>
    <row r="329" spans="1:88" s="32" customFormat="1" ht="15" customHeight="1" x14ac:dyDescent="0.35">
      <c r="A329" s="473"/>
      <c r="B329" s="313">
        <v>60037</v>
      </c>
      <c r="C329" s="8" t="s">
        <v>1125</v>
      </c>
      <c r="D329" s="18">
        <v>14</v>
      </c>
      <c r="E329" s="251">
        <v>2542</v>
      </c>
      <c r="F329" s="82">
        <v>2.4459534368070952</v>
      </c>
      <c r="G329" s="79">
        <v>6217.613636363636</v>
      </c>
      <c r="H329" s="90">
        <v>42.128</v>
      </c>
      <c r="I329" s="85">
        <v>38.738</v>
      </c>
      <c r="J329" s="85">
        <v>43.551000000000002</v>
      </c>
      <c r="K329" s="85">
        <v>44.375</v>
      </c>
      <c r="L329" s="85">
        <v>54.146999999999998</v>
      </c>
      <c r="M329" s="85">
        <v>59.558</v>
      </c>
      <c r="N329" s="85">
        <v>67.206000000000003</v>
      </c>
      <c r="O329" s="85">
        <v>67.090999999999994</v>
      </c>
      <c r="P329" s="85">
        <v>53.289000000000001</v>
      </c>
      <c r="Q329" s="85">
        <v>48.526000000000003</v>
      </c>
      <c r="R329" s="85">
        <v>45.491</v>
      </c>
      <c r="S329" s="89">
        <v>49.334000000000003</v>
      </c>
      <c r="T329" s="89">
        <v>613.43399999999997</v>
      </c>
      <c r="U329" s="85">
        <v>613.43399999999997</v>
      </c>
      <c r="V329" s="85">
        <v>0</v>
      </c>
      <c r="W329" s="85">
        <v>0</v>
      </c>
      <c r="X329" s="89">
        <v>613.43399999999997</v>
      </c>
      <c r="Y329" s="79">
        <v>1</v>
      </c>
      <c r="Z329" s="79">
        <v>0</v>
      </c>
      <c r="AA329" s="94">
        <v>0</v>
      </c>
      <c r="AB329" s="79">
        <v>1</v>
      </c>
      <c r="AC329" s="85">
        <v>400.62799999999999</v>
      </c>
      <c r="AD329" s="85">
        <v>95.331000000000003</v>
      </c>
      <c r="AE329" s="85">
        <v>117.47499999999999</v>
      </c>
      <c r="AF329" s="85">
        <v>0</v>
      </c>
      <c r="AG329" s="85">
        <v>613.43399999999997</v>
      </c>
      <c r="AH329" s="85">
        <v>613.43399999999997</v>
      </c>
      <c r="AI329" s="85">
        <v>0</v>
      </c>
      <c r="AJ329" s="85">
        <v>0</v>
      </c>
      <c r="AK329" s="85">
        <v>0</v>
      </c>
      <c r="AL329" s="85">
        <v>0</v>
      </c>
      <c r="AM329" s="85">
        <v>0</v>
      </c>
      <c r="AN329" s="85">
        <v>0</v>
      </c>
      <c r="AO329" s="85">
        <v>0</v>
      </c>
      <c r="AP329" s="85">
        <v>0</v>
      </c>
      <c r="AQ329" s="85">
        <v>0</v>
      </c>
      <c r="AR329" s="85">
        <v>613.43399999999997</v>
      </c>
      <c r="AS329" s="85">
        <v>0</v>
      </c>
      <c r="AT329" s="85">
        <v>0</v>
      </c>
      <c r="AU329" s="85">
        <v>0</v>
      </c>
      <c r="AV329" s="85">
        <v>0</v>
      </c>
      <c r="AW329" s="85">
        <v>0</v>
      </c>
      <c r="AX329" s="85">
        <v>0</v>
      </c>
      <c r="AY329" s="85">
        <v>0</v>
      </c>
      <c r="AZ329" s="85">
        <v>0</v>
      </c>
      <c r="BA329" s="85">
        <v>0</v>
      </c>
      <c r="BB329" s="89">
        <v>0</v>
      </c>
      <c r="BC329" s="89">
        <v>0</v>
      </c>
      <c r="BD329" s="37">
        <v>2672532</v>
      </c>
      <c r="BE329" s="37">
        <v>0</v>
      </c>
      <c r="BF329" s="279">
        <v>152818</v>
      </c>
      <c r="BG329" s="37">
        <v>273362</v>
      </c>
      <c r="BH329" s="37">
        <v>72455</v>
      </c>
      <c r="BI329" s="37">
        <v>20823</v>
      </c>
      <c r="BJ329" s="283">
        <v>519458</v>
      </c>
      <c r="BK329" s="161"/>
      <c r="BL329" s="294"/>
      <c r="BM329"/>
      <c r="BN329"/>
      <c r="BO329"/>
      <c r="BP329"/>
      <c r="BQ329"/>
      <c r="BR329"/>
      <c r="BS329"/>
      <c r="BT329"/>
      <c r="BU329"/>
      <c r="BV329"/>
      <c r="BW329"/>
      <c r="BX329"/>
      <c r="BY329"/>
      <c r="BZ329"/>
      <c r="CA329"/>
      <c r="CB329"/>
      <c r="CC329"/>
      <c r="CD329"/>
      <c r="CE329"/>
      <c r="CF329"/>
      <c r="CG329"/>
      <c r="CH329"/>
      <c r="CI329"/>
      <c r="CJ329"/>
    </row>
    <row r="330" spans="1:88" s="32" customFormat="1" ht="15" customHeight="1" x14ac:dyDescent="0.35">
      <c r="A330" s="473"/>
      <c r="B330" s="313">
        <v>67055</v>
      </c>
      <c r="C330" s="8" t="s">
        <v>672</v>
      </c>
      <c r="D330" s="18">
        <v>16</v>
      </c>
      <c r="E330" s="251"/>
      <c r="F330" s="82"/>
      <c r="G330" s="79"/>
      <c r="H330" s="90"/>
      <c r="I330" s="85"/>
      <c r="J330" s="85"/>
      <c r="K330" s="85"/>
      <c r="L330" s="85"/>
      <c r="M330" s="85"/>
      <c r="N330" s="85"/>
      <c r="O330" s="85"/>
      <c r="P330" s="85"/>
      <c r="Q330" s="85"/>
      <c r="R330" s="85"/>
      <c r="S330" s="89"/>
      <c r="T330" s="89" t="s">
        <v>1124</v>
      </c>
      <c r="U330" s="85"/>
      <c r="V330" s="85"/>
      <c r="W330" s="85"/>
      <c r="X330" s="89" t="s">
        <v>1124</v>
      </c>
      <c r="Y330" s="79"/>
      <c r="Z330" s="79"/>
      <c r="AA330" s="94"/>
      <c r="AB330" s="79" t="s">
        <v>1124</v>
      </c>
      <c r="AC330" s="85"/>
      <c r="AD330" s="85"/>
      <c r="AE330" s="85"/>
      <c r="AF330" s="85"/>
      <c r="AG330" s="85" t="s">
        <v>1124</v>
      </c>
      <c r="AH330" s="85"/>
      <c r="AI330" s="85"/>
      <c r="AJ330" s="85"/>
      <c r="AK330" s="85"/>
      <c r="AL330" s="85"/>
      <c r="AM330" s="85"/>
      <c r="AN330" s="85"/>
      <c r="AO330" s="85"/>
      <c r="AP330" s="85"/>
      <c r="AQ330" s="85"/>
      <c r="AR330" s="85" t="s">
        <v>1124</v>
      </c>
      <c r="AS330" s="85"/>
      <c r="AT330" s="85"/>
      <c r="AU330" s="85"/>
      <c r="AV330" s="85"/>
      <c r="AW330" s="85"/>
      <c r="AX330" s="85"/>
      <c r="AY330" s="85"/>
      <c r="AZ330" s="85"/>
      <c r="BA330" s="85"/>
      <c r="BB330" s="89"/>
      <c r="BC330" s="89" t="s">
        <v>1124</v>
      </c>
      <c r="BD330" s="37"/>
      <c r="BE330" s="37"/>
      <c r="BF330" s="279"/>
      <c r="BG330" s="37"/>
      <c r="BH330" s="37"/>
      <c r="BI330" s="37"/>
      <c r="BJ330" s="283"/>
      <c r="BK330" s="161"/>
      <c r="BL330" s="294"/>
      <c r="BM330"/>
      <c r="BN330"/>
      <c r="BO330"/>
      <c r="BP330"/>
      <c r="BQ330"/>
      <c r="BR330"/>
      <c r="BS330"/>
      <c r="BT330"/>
      <c r="BU330"/>
      <c r="BV330"/>
      <c r="BW330"/>
      <c r="BX330"/>
      <c r="BY330"/>
      <c r="BZ330"/>
      <c r="CA330"/>
      <c r="CB330"/>
      <c r="CC330"/>
      <c r="CD330"/>
      <c r="CE330"/>
      <c r="CF330"/>
      <c r="CG330"/>
      <c r="CH330"/>
      <c r="CI330"/>
      <c r="CJ330"/>
    </row>
    <row r="331" spans="1:88" s="32" customFormat="1" ht="15" customHeight="1" x14ac:dyDescent="0.35">
      <c r="A331" s="473"/>
      <c r="B331" s="313">
        <v>95018</v>
      </c>
      <c r="C331" s="8" t="s">
        <v>988</v>
      </c>
      <c r="D331" s="18">
        <v>9</v>
      </c>
      <c r="E331" s="251">
        <v>224</v>
      </c>
      <c r="F331" s="82">
        <v>1.9594202898550726</v>
      </c>
      <c r="G331" s="79">
        <v>438.91014492753624</v>
      </c>
      <c r="H331" s="90">
        <v>7.28</v>
      </c>
      <c r="I331" s="85">
        <v>6.72</v>
      </c>
      <c r="J331" s="85">
        <v>7.24</v>
      </c>
      <c r="K331" s="85">
        <v>8.2100000000000009</v>
      </c>
      <c r="L331" s="85">
        <v>11.33</v>
      </c>
      <c r="M331" s="85">
        <v>9.56</v>
      </c>
      <c r="N331" s="85">
        <v>12.15</v>
      </c>
      <c r="O331" s="85">
        <v>11.9</v>
      </c>
      <c r="P331" s="85">
        <v>9.4700000000000006</v>
      </c>
      <c r="Q331" s="85">
        <v>9.58</v>
      </c>
      <c r="R331" s="85">
        <v>8.34</v>
      </c>
      <c r="S331" s="89">
        <v>8.85</v>
      </c>
      <c r="T331" s="89">
        <v>110.63</v>
      </c>
      <c r="U331" s="85">
        <v>110.63</v>
      </c>
      <c r="V331" s="85">
        <v>0</v>
      </c>
      <c r="W331" s="85">
        <v>0</v>
      </c>
      <c r="X331" s="89">
        <v>110.63</v>
      </c>
      <c r="Y331" s="79">
        <v>1</v>
      </c>
      <c r="Z331" s="79">
        <v>0</v>
      </c>
      <c r="AA331" s="94">
        <v>0</v>
      </c>
      <c r="AB331" s="79">
        <v>1</v>
      </c>
      <c r="AC331" s="85">
        <v>76.107037037037045</v>
      </c>
      <c r="AD331" s="85">
        <v>17.561962962962951</v>
      </c>
      <c r="AE331" s="85">
        <v>16.960999999999999</v>
      </c>
      <c r="AF331" s="85">
        <v>0</v>
      </c>
      <c r="AG331" s="85">
        <v>110.63</v>
      </c>
      <c r="AH331" s="85">
        <v>0</v>
      </c>
      <c r="AI331" s="85">
        <v>0</v>
      </c>
      <c r="AJ331" s="85">
        <v>0</v>
      </c>
      <c r="AK331" s="85">
        <v>0</v>
      </c>
      <c r="AL331" s="85">
        <v>0</v>
      </c>
      <c r="AM331" s="85">
        <v>0</v>
      </c>
      <c r="AN331" s="85">
        <v>110.63</v>
      </c>
      <c r="AO331" s="85">
        <v>0</v>
      </c>
      <c r="AP331" s="85">
        <v>0</v>
      </c>
      <c r="AQ331" s="85">
        <v>0</v>
      </c>
      <c r="AR331" s="85">
        <v>110.63</v>
      </c>
      <c r="AS331" s="85">
        <v>0</v>
      </c>
      <c r="AT331" s="85">
        <v>0</v>
      </c>
      <c r="AU331" s="85">
        <v>0</v>
      </c>
      <c r="AV331" s="85">
        <v>0</v>
      </c>
      <c r="AW331" s="85">
        <v>0</v>
      </c>
      <c r="AX331" s="85">
        <v>0</v>
      </c>
      <c r="AY331" s="85">
        <v>0</v>
      </c>
      <c r="AZ331" s="85">
        <v>0</v>
      </c>
      <c r="BA331" s="85">
        <v>0</v>
      </c>
      <c r="BB331" s="89">
        <v>0</v>
      </c>
      <c r="BC331" s="89">
        <v>0</v>
      </c>
      <c r="BD331" s="37">
        <v>0</v>
      </c>
      <c r="BE331" s="37">
        <v>0</v>
      </c>
      <c r="BF331" s="279">
        <v>6198</v>
      </c>
      <c r="BG331" s="37">
        <v>32182</v>
      </c>
      <c r="BH331" s="37">
        <v>749</v>
      </c>
      <c r="BI331" s="37">
        <v>7872</v>
      </c>
      <c r="BJ331" s="283">
        <v>47001</v>
      </c>
      <c r="BK331" s="161"/>
      <c r="BL331" s="294"/>
      <c r="BM331"/>
      <c r="BN331"/>
      <c r="BO331"/>
      <c r="BP331"/>
      <c r="BQ331"/>
      <c r="BR331"/>
      <c r="BS331"/>
      <c r="BT331"/>
      <c r="BU331"/>
      <c r="BV331"/>
      <c r="BW331"/>
      <c r="BX331"/>
      <c r="BY331"/>
      <c r="BZ331"/>
      <c r="CA331"/>
      <c r="CB331"/>
      <c r="CC331"/>
      <c r="CD331"/>
      <c r="CE331"/>
      <c r="CF331"/>
      <c r="CG331"/>
      <c r="CH331"/>
      <c r="CI331"/>
      <c r="CJ331"/>
    </row>
    <row r="332" spans="1:88" s="32" customFormat="1" ht="15" customHeight="1" x14ac:dyDescent="0.35">
      <c r="A332" s="473"/>
      <c r="B332" s="313">
        <v>71050</v>
      </c>
      <c r="C332" s="8" t="s">
        <v>711</v>
      </c>
      <c r="D332" s="18">
        <v>16</v>
      </c>
      <c r="E332" s="251"/>
      <c r="F332" s="82"/>
      <c r="G332" s="79"/>
      <c r="H332" s="90"/>
      <c r="I332" s="85"/>
      <c r="J332" s="85"/>
      <c r="K332" s="85"/>
      <c r="L332" s="85"/>
      <c r="M332" s="85"/>
      <c r="N332" s="85"/>
      <c r="O332" s="85"/>
      <c r="P332" s="85"/>
      <c r="Q332" s="85"/>
      <c r="R332" s="85"/>
      <c r="S332" s="89"/>
      <c r="T332" s="89" t="s">
        <v>1124</v>
      </c>
      <c r="U332" s="85"/>
      <c r="V332" s="85"/>
      <c r="W332" s="85"/>
      <c r="X332" s="89" t="s">
        <v>1124</v>
      </c>
      <c r="Y332" s="79"/>
      <c r="Z332" s="79"/>
      <c r="AA332" s="94"/>
      <c r="AB332" s="79" t="s">
        <v>1124</v>
      </c>
      <c r="AC332" s="85"/>
      <c r="AD332" s="85"/>
      <c r="AE332" s="85"/>
      <c r="AF332" s="85"/>
      <c r="AG332" s="85" t="s">
        <v>1124</v>
      </c>
      <c r="AH332" s="85"/>
      <c r="AI332" s="85"/>
      <c r="AJ332" s="85"/>
      <c r="AK332" s="85"/>
      <c r="AL332" s="85"/>
      <c r="AM332" s="85"/>
      <c r="AN332" s="85"/>
      <c r="AO332" s="85"/>
      <c r="AP332" s="85"/>
      <c r="AQ332" s="85"/>
      <c r="AR332" s="85" t="s">
        <v>1124</v>
      </c>
      <c r="AS332" s="85"/>
      <c r="AT332" s="85"/>
      <c r="AU332" s="85"/>
      <c r="AV332" s="85"/>
      <c r="AW332" s="85"/>
      <c r="AX332" s="85"/>
      <c r="AY332" s="85"/>
      <c r="AZ332" s="85"/>
      <c r="BA332" s="85"/>
      <c r="BB332" s="89"/>
      <c r="BC332" s="89" t="s">
        <v>1124</v>
      </c>
      <c r="BD332" s="37"/>
      <c r="BE332" s="37"/>
      <c r="BF332" s="279"/>
      <c r="BG332" s="37"/>
      <c r="BH332" s="37"/>
      <c r="BI332" s="37"/>
      <c r="BJ332" s="283"/>
      <c r="BK332" s="161"/>
      <c r="BL332" s="294"/>
      <c r="BM332"/>
      <c r="BN332"/>
      <c r="BO332"/>
      <c r="BP332"/>
      <c r="BQ332"/>
      <c r="BR332"/>
      <c r="BS332"/>
      <c r="BT332"/>
      <c r="BU332"/>
      <c r="BV332"/>
      <c r="BW332"/>
      <c r="BX332"/>
      <c r="BY332"/>
      <c r="BZ332"/>
      <c r="CA332"/>
      <c r="CB332"/>
      <c r="CC332"/>
      <c r="CD332"/>
      <c r="CE332"/>
      <c r="CF332"/>
      <c r="CG332"/>
      <c r="CH332"/>
      <c r="CI332"/>
      <c r="CJ332"/>
    </row>
    <row r="333" spans="1:88" s="32" customFormat="1" ht="15" customHeight="1" x14ac:dyDescent="0.35">
      <c r="A333" s="473"/>
      <c r="B333" s="313">
        <v>71033</v>
      </c>
      <c r="C333" s="8" t="s">
        <v>708</v>
      </c>
      <c r="D333" s="18">
        <v>16</v>
      </c>
      <c r="E333" s="251">
        <v>2415</v>
      </c>
      <c r="F333" s="82">
        <v>2.30828025477707</v>
      </c>
      <c r="G333" s="79">
        <v>5574.496815286624</v>
      </c>
      <c r="H333" s="90">
        <v>65.44</v>
      </c>
      <c r="I333" s="85">
        <v>73.543000000000006</v>
      </c>
      <c r="J333" s="85">
        <v>66.129000000000005</v>
      </c>
      <c r="K333" s="85">
        <v>78.563999999999993</v>
      </c>
      <c r="L333" s="85">
        <v>76.956000000000003</v>
      </c>
      <c r="M333" s="85">
        <v>71.546000000000006</v>
      </c>
      <c r="N333" s="85">
        <v>79.563000000000002</v>
      </c>
      <c r="O333" s="85">
        <v>76.22</v>
      </c>
      <c r="P333" s="85">
        <v>59.011000000000003</v>
      </c>
      <c r="Q333" s="85">
        <v>55.957000000000001</v>
      </c>
      <c r="R333" s="85">
        <v>54.274000000000001</v>
      </c>
      <c r="S333" s="89">
        <v>57.656999999999996</v>
      </c>
      <c r="T333" s="89">
        <v>814.86</v>
      </c>
      <c r="U333" s="85">
        <v>814.86</v>
      </c>
      <c r="V333" s="85">
        <v>0</v>
      </c>
      <c r="W333" s="85">
        <v>0</v>
      </c>
      <c r="X333" s="89">
        <v>814.86</v>
      </c>
      <c r="Y333" s="79">
        <v>1</v>
      </c>
      <c r="Z333" s="79">
        <v>0</v>
      </c>
      <c r="AA333" s="94">
        <v>0</v>
      </c>
      <c r="AB333" s="79">
        <v>1</v>
      </c>
      <c r="AC333" s="85">
        <v>621.7111499414292</v>
      </c>
      <c r="AD333" s="85">
        <v>117.36005005857089</v>
      </c>
      <c r="AE333" s="85">
        <v>75.788799999999981</v>
      </c>
      <c r="AF333" s="85">
        <v>0</v>
      </c>
      <c r="AG333" s="85">
        <v>814.86000000000013</v>
      </c>
      <c r="AH333" s="85">
        <v>0</v>
      </c>
      <c r="AI333" s="85">
        <v>0</v>
      </c>
      <c r="AJ333" s="85">
        <v>0</v>
      </c>
      <c r="AK333" s="85">
        <v>814.86</v>
      </c>
      <c r="AL333" s="85">
        <v>0</v>
      </c>
      <c r="AM333" s="85">
        <v>0</v>
      </c>
      <c r="AN333" s="85">
        <v>0</v>
      </c>
      <c r="AO333" s="85">
        <v>0</v>
      </c>
      <c r="AP333" s="85">
        <v>0</v>
      </c>
      <c r="AQ333" s="85">
        <v>0</v>
      </c>
      <c r="AR333" s="85">
        <v>814.86</v>
      </c>
      <c r="AS333" s="85">
        <v>0</v>
      </c>
      <c r="AT333" s="85">
        <v>0</v>
      </c>
      <c r="AU333" s="85">
        <v>0</v>
      </c>
      <c r="AV333" s="85">
        <v>0</v>
      </c>
      <c r="AW333" s="85">
        <v>0</v>
      </c>
      <c r="AX333" s="85">
        <v>0</v>
      </c>
      <c r="AY333" s="85">
        <v>0</v>
      </c>
      <c r="AZ333" s="85">
        <v>0</v>
      </c>
      <c r="BA333" s="85">
        <v>0</v>
      </c>
      <c r="BB333" s="89">
        <v>0</v>
      </c>
      <c r="BC333" s="89">
        <v>0</v>
      </c>
      <c r="BD333" s="37">
        <v>71087</v>
      </c>
      <c r="BE333" s="37">
        <v>0</v>
      </c>
      <c r="BF333" s="279">
        <v>12593.02</v>
      </c>
      <c r="BG333" s="37">
        <v>39906.92</v>
      </c>
      <c r="BH333" s="37">
        <v>49258.25</v>
      </c>
      <c r="BI333" s="37">
        <v>16309.55</v>
      </c>
      <c r="BJ333" s="283">
        <v>118067.74</v>
      </c>
      <c r="BK333" s="161"/>
      <c r="BL333" s="294"/>
      <c r="BM333"/>
      <c r="BN333"/>
      <c r="BO333"/>
      <c r="BP333"/>
      <c r="BQ333"/>
      <c r="BR333"/>
      <c r="BS333"/>
      <c r="BT333"/>
      <c r="BU333"/>
      <c r="BV333"/>
      <c r="BW333"/>
      <c r="BX333"/>
      <c r="BY333"/>
      <c r="BZ333"/>
      <c r="CA333"/>
      <c r="CB333"/>
      <c r="CC333"/>
      <c r="CD333"/>
      <c r="CE333"/>
      <c r="CF333"/>
      <c r="CG333"/>
      <c r="CH333"/>
      <c r="CI333"/>
      <c r="CJ333"/>
    </row>
    <row r="334" spans="1:88" s="32" customFormat="1" ht="15" customHeight="1" x14ac:dyDescent="0.35">
      <c r="A334" s="473"/>
      <c r="B334" s="313">
        <v>16048</v>
      </c>
      <c r="C334" s="8" t="s">
        <v>87</v>
      </c>
      <c r="D334" s="18">
        <v>3</v>
      </c>
      <c r="E334" s="251">
        <v>315</v>
      </c>
      <c r="F334" s="82">
        <v>1.6320868516284681</v>
      </c>
      <c r="G334" s="79">
        <v>514.10735826296741</v>
      </c>
      <c r="H334" s="90">
        <v>12.472</v>
      </c>
      <c r="I334" s="85">
        <v>10.992000000000001</v>
      </c>
      <c r="J334" s="85">
        <v>13.25</v>
      </c>
      <c r="K334" s="85">
        <v>11.358000000000001</v>
      </c>
      <c r="L334" s="85">
        <v>11.69</v>
      </c>
      <c r="M334" s="85">
        <v>13.339</v>
      </c>
      <c r="N334" s="85">
        <v>16.542000000000002</v>
      </c>
      <c r="O334" s="85">
        <v>17.57</v>
      </c>
      <c r="P334" s="85">
        <v>13.252000000000001</v>
      </c>
      <c r="Q334" s="85">
        <v>11.943</v>
      </c>
      <c r="R334" s="85">
        <v>9.9740000000000002</v>
      </c>
      <c r="S334" s="89">
        <v>11.698</v>
      </c>
      <c r="T334" s="89">
        <v>154.07999999999998</v>
      </c>
      <c r="U334" s="85">
        <v>92.447999999999993</v>
      </c>
      <c r="V334" s="85">
        <v>61.631999999999998</v>
      </c>
      <c r="W334" s="85">
        <v>0</v>
      </c>
      <c r="X334" s="89">
        <v>154.07999999999998</v>
      </c>
      <c r="Y334" s="79">
        <v>1</v>
      </c>
      <c r="Z334" s="79">
        <v>2</v>
      </c>
      <c r="AA334" s="94">
        <v>0</v>
      </c>
      <c r="AB334" s="79">
        <v>3</v>
      </c>
      <c r="AC334" s="85">
        <v>86.926000000000002</v>
      </c>
      <c r="AD334" s="85">
        <v>10.865999999999985</v>
      </c>
      <c r="AE334" s="85">
        <v>56.287999999999997</v>
      </c>
      <c r="AF334" s="85">
        <v>0</v>
      </c>
      <c r="AG334" s="85">
        <v>154.07999999999998</v>
      </c>
      <c r="AH334" s="85">
        <v>0</v>
      </c>
      <c r="AI334" s="85">
        <v>0</v>
      </c>
      <c r="AJ334" s="85">
        <v>0</v>
      </c>
      <c r="AK334" s="85">
        <v>0</v>
      </c>
      <c r="AL334" s="85">
        <v>0</v>
      </c>
      <c r="AM334" s="85">
        <v>0</v>
      </c>
      <c r="AN334" s="85">
        <v>92.447999999999993</v>
      </c>
      <c r="AO334" s="85">
        <v>0</v>
      </c>
      <c r="AP334" s="85">
        <v>0</v>
      </c>
      <c r="AQ334" s="85">
        <v>0</v>
      </c>
      <c r="AR334" s="85">
        <v>92.447999999999993</v>
      </c>
      <c r="AS334" s="85">
        <v>0</v>
      </c>
      <c r="AT334" s="85">
        <v>0</v>
      </c>
      <c r="AU334" s="85">
        <v>0</v>
      </c>
      <c r="AV334" s="85">
        <v>0</v>
      </c>
      <c r="AW334" s="85">
        <v>0</v>
      </c>
      <c r="AX334" s="85">
        <v>0</v>
      </c>
      <c r="AY334" s="85">
        <v>0</v>
      </c>
      <c r="AZ334" s="85">
        <v>0</v>
      </c>
      <c r="BA334" s="85">
        <v>61.631999999999998</v>
      </c>
      <c r="BB334" s="89">
        <v>0</v>
      </c>
      <c r="BC334" s="89">
        <v>61.631999999999998</v>
      </c>
      <c r="BD334" s="37">
        <v>2992</v>
      </c>
      <c r="BE334" s="37">
        <v>3255</v>
      </c>
      <c r="BF334" s="279">
        <v>57931</v>
      </c>
      <c r="BG334" s="37">
        <v>76806</v>
      </c>
      <c r="BH334" s="37">
        <v>25067</v>
      </c>
      <c r="BI334" s="37">
        <v>24543</v>
      </c>
      <c r="BJ334" s="283">
        <v>184347</v>
      </c>
      <c r="BK334" s="161"/>
      <c r="BL334" s="294"/>
      <c r="BM334"/>
      <c r="BN334"/>
      <c r="BO334"/>
      <c r="BP334"/>
      <c r="BQ334"/>
      <c r="BR334"/>
      <c r="BS334"/>
      <c r="BT334"/>
      <c r="BU334"/>
      <c r="BV334"/>
      <c r="BW334"/>
      <c r="BX334"/>
      <c r="BY334"/>
      <c r="BZ334"/>
      <c r="CA334"/>
      <c r="CB334"/>
      <c r="CC334"/>
      <c r="CD334"/>
      <c r="CE334"/>
      <c r="CF334"/>
      <c r="CG334"/>
      <c r="CH334"/>
      <c r="CI334"/>
      <c r="CJ334"/>
    </row>
    <row r="335" spans="1:88" s="32" customFormat="1" ht="15" customHeight="1" x14ac:dyDescent="0.35">
      <c r="A335" s="473"/>
      <c r="B335" s="313">
        <v>95025</v>
      </c>
      <c r="C335" s="8" t="s">
        <v>989</v>
      </c>
      <c r="D335" s="18">
        <v>9</v>
      </c>
      <c r="E335" s="251"/>
      <c r="F335" s="82"/>
      <c r="G335" s="79"/>
      <c r="H335" s="90"/>
      <c r="I335" s="85"/>
      <c r="J335" s="85"/>
      <c r="K335" s="85"/>
      <c r="L335" s="85"/>
      <c r="M335" s="85"/>
      <c r="N335" s="85"/>
      <c r="O335" s="85"/>
      <c r="P335" s="85"/>
      <c r="Q335" s="85"/>
      <c r="R335" s="85"/>
      <c r="S335" s="89"/>
      <c r="T335" s="89" t="s">
        <v>1124</v>
      </c>
      <c r="U335" s="85"/>
      <c r="V335" s="85"/>
      <c r="W335" s="85"/>
      <c r="X335" s="89" t="s">
        <v>1124</v>
      </c>
      <c r="Y335" s="79"/>
      <c r="Z335" s="79"/>
      <c r="AA335" s="94"/>
      <c r="AB335" s="79" t="s">
        <v>1124</v>
      </c>
      <c r="AC335" s="85"/>
      <c r="AD335" s="85"/>
      <c r="AE335" s="85"/>
      <c r="AF335" s="85"/>
      <c r="AG335" s="85" t="s">
        <v>1124</v>
      </c>
      <c r="AH335" s="85"/>
      <c r="AI335" s="85"/>
      <c r="AJ335" s="85"/>
      <c r="AK335" s="85"/>
      <c r="AL335" s="85"/>
      <c r="AM335" s="85"/>
      <c r="AN335" s="85"/>
      <c r="AO335" s="85"/>
      <c r="AP335" s="85"/>
      <c r="AQ335" s="85"/>
      <c r="AR335" s="85" t="s">
        <v>1124</v>
      </c>
      <c r="AS335" s="85"/>
      <c r="AT335" s="85"/>
      <c r="AU335" s="85"/>
      <c r="AV335" s="85"/>
      <c r="AW335" s="85"/>
      <c r="AX335" s="85"/>
      <c r="AY335" s="85"/>
      <c r="AZ335" s="85"/>
      <c r="BA335" s="85"/>
      <c r="BB335" s="89"/>
      <c r="BC335" s="89" t="s">
        <v>1124</v>
      </c>
      <c r="BD335" s="37"/>
      <c r="BE335" s="37"/>
      <c r="BF335" s="279"/>
      <c r="BG335" s="37"/>
      <c r="BH335" s="37"/>
      <c r="BI335" s="37"/>
      <c r="BJ335" s="283"/>
      <c r="BK335" s="161"/>
      <c r="BL335" s="294"/>
      <c r="BM335"/>
      <c r="BN335"/>
      <c r="BO335"/>
      <c r="BP335"/>
      <c r="BQ335"/>
      <c r="BR335"/>
      <c r="BS335"/>
      <c r="BT335"/>
      <c r="BU335"/>
      <c r="BV335"/>
      <c r="BW335"/>
      <c r="BX335"/>
      <c r="BY335"/>
      <c r="BZ335"/>
      <c r="CA335"/>
      <c r="CB335"/>
      <c r="CC335"/>
      <c r="CD335"/>
      <c r="CE335"/>
      <c r="CF335"/>
      <c r="CG335"/>
      <c r="CH335"/>
      <c r="CI335"/>
      <c r="CJ335"/>
    </row>
    <row r="336" spans="1:88" s="32" customFormat="1" ht="15" customHeight="1" x14ac:dyDescent="0.35">
      <c r="A336" s="473"/>
      <c r="B336" s="313">
        <v>9015</v>
      </c>
      <c r="C336" s="8" t="s">
        <v>1099</v>
      </c>
      <c r="D336" s="18">
        <v>1</v>
      </c>
      <c r="E336" s="251"/>
      <c r="F336" s="82"/>
      <c r="G336" s="79"/>
      <c r="H336" s="90"/>
      <c r="I336" s="85"/>
      <c r="J336" s="85"/>
      <c r="K336" s="85"/>
      <c r="L336" s="85"/>
      <c r="M336" s="85"/>
      <c r="N336" s="85"/>
      <c r="O336" s="85"/>
      <c r="P336" s="85"/>
      <c r="Q336" s="85"/>
      <c r="R336" s="85"/>
      <c r="S336" s="89"/>
      <c r="T336" s="89" t="s">
        <v>1124</v>
      </c>
      <c r="U336" s="85"/>
      <c r="V336" s="85"/>
      <c r="W336" s="85"/>
      <c r="X336" s="89" t="s">
        <v>1124</v>
      </c>
      <c r="Y336" s="79"/>
      <c r="Z336" s="79"/>
      <c r="AA336" s="94"/>
      <c r="AB336" s="79" t="s">
        <v>1124</v>
      </c>
      <c r="AC336" s="85"/>
      <c r="AD336" s="85"/>
      <c r="AE336" s="85"/>
      <c r="AF336" s="85"/>
      <c r="AG336" s="85" t="s">
        <v>1124</v>
      </c>
      <c r="AH336" s="85"/>
      <c r="AI336" s="85"/>
      <c r="AJ336" s="85"/>
      <c r="AK336" s="85"/>
      <c r="AL336" s="85"/>
      <c r="AM336" s="85"/>
      <c r="AN336" s="85"/>
      <c r="AO336" s="85"/>
      <c r="AP336" s="85"/>
      <c r="AQ336" s="85"/>
      <c r="AR336" s="85" t="s">
        <v>1124</v>
      </c>
      <c r="AS336" s="85"/>
      <c r="AT336" s="85"/>
      <c r="AU336" s="85"/>
      <c r="AV336" s="85"/>
      <c r="AW336" s="85"/>
      <c r="AX336" s="85"/>
      <c r="AY336" s="85"/>
      <c r="AZ336" s="85"/>
      <c r="BA336" s="85"/>
      <c r="BB336" s="89"/>
      <c r="BC336" s="89" t="s">
        <v>1124</v>
      </c>
      <c r="BD336" s="37"/>
      <c r="BE336" s="37"/>
      <c r="BF336" s="279"/>
      <c r="BG336" s="37"/>
      <c r="BH336" s="37"/>
      <c r="BI336" s="37"/>
      <c r="BJ336" s="283"/>
      <c r="BK336" s="161"/>
      <c r="BL336" s="294"/>
      <c r="BM336"/>
      <c r="BN336"/>
      <c r="BO336"/>
      <c r="BP336"/>
      <c r="BQ336"/>
      <c r="BR336"/>
      <c r="BS336"/>
      <c r="BT336"/>
      <c r="BU336"/>
      <c r="BV336"/>
      <c r="BW336"/>
      <c r="BX336"/>
      <c r="BY336"/>
      <c r="BZ336"/>
      <c r="CA336"/>
      <c r="CB336"/>
      <c r="CC336"/>
      <c r="CD336"/>
      <c r="CE336"/>
      <c r="CF336"/>
      <c r="CG336"/>
      <c r="CH336"/>
      <c r="CI336"/>
      <c r="CJ336"/>
    </row>
    <row r="337" spans="1:88" s="32" customFormat="1" ht="15" customHeight="1" x14ac:dyDescent="0.35">
      <c r="A337" s="473"/>
      <c r="B337" s="313">
        <v>1023</v>
      </c>
      <c r="C337" s="8" t="s">
        <v>1024</v>
      </c>
      <c r="D337" s="18">
        <v>11</v>
      </c>
      <c r="E337" s="251"/>
      <c r="F337" s="82"/>
      <c r="G337" s="79"/>
      <c r="H337" s="90"/>
      <c r="I337" s="85"/>
      <c r="J337" s="85"/>
      <c r="K337" s="85"/>
      <c r="L337" s="85"/>
      <c r="M337" s="85"/>
      <c r="N337" s="85"/>
      <c r="O337" s="85"/>
      <c r="P337" s="85"/>
      <c r="Q337" s="85"/>
      <c r="R337" s="85"/>
      <c r="S337" s="89"/>
      <c r="T337" s="89" t="s">
        <v>1124</v>
      </c>
      <c r="U337" s="85"/>
      <c r="V337" s="85"/>
      <c r="W337" s="85"/>
      <c r="X337" s="89" t="s">
        <v>1124</v>
      </c>
      <c r="Y337" s="79"/>
      <c r="Z337" s="79"/>
      <c r="AA337" s="94"/>
      <c r="AB337" s="79" t="s">
        <v>1124</v>
      </c>
      <c r="AC337" s="85"/>
      <c r="AD337" s="85"/>
      <c r="AE337" s="85"/>
      <c r="AF337" s="85"/>
      <c r="AG337" s="85" t="s">
        <v>1124</v>
      </c>
      <c r="AH337" s="85"/>
      <c r="AI337" s="85"/>
      <c r="AJ337" s="85"/>
      <c r="AK337" s="85"/>
      <c r="AL337" s="85"/>
      <c r="AM337" s="85"/>
      <c r="AN337" s="85"/>
      <c r="AO337" s="85"/>
      <c r="AP337" s="85"/>
      <c r="AQ337" s="85"/>
      <c r="AR337" s="85" t="s">
        <v>1124</v>
      </c>
      <c r="AS337" s="85"/>
      <c r="AT337" s="85"/>
      <c r="AU337" s="85"/>
      <c r="AV337" s="85"/>
      <c r="AW337" s="85"/>
      <c r="AX337" s="85"/>
      <c r="AY337" s="85"/>
      <c r="AZ337" s="85"/>
      <c r="BA337" s="85"/>
      <c r="BB337" s="89"/>
      <c r="BC337" s="89" t="s">
        <v>1124</v>
      </c>
      <c r="BD337" s="37"/>
      <c r="BE337" s="37"/>
      <c r="BF337" s="279"/>
      <c r="BG337" s="37"/>
      <c r="BH337" s="37"/>
      <c r="BI337" s="37"/>
      <c r="BJ337" s="283"/>
      <c r="BK337" s="161"/>
      <c r="BL337" s="294"/>
      <c r="BM337"/>
      <c r="BN337"/>
      <c r="BO337"/>
      <c r="BP337"/>
      <c r="BQ337"/>
      <c r="BR337"/>
      <c r="BS337"/>
      <c r="BT337"/>
      <c r="BU337"/>
      <c r="BV337"/>
      <c r="BW337"/>
      <c r="BX337"/>
      <c r="BY337"/>
      <c r="BZ337"/>
      <c r="CA337"/>
      <c r="CB337"/>
      <c r="CC337"/>
      <c r="CD337"/>
      <c r="CE337"/>
      <c r="CF337"/>
      <c r="CG337"/>
      <c r="CH337"/>
      <c r="CI337"/>
      <c r="CJ337"/>
    </row>
    <row r="338" spans="1:88" s="32" customFormat="1" ht="15" customHeight="1" x14ac:dyDescent="0.35">
      <c r="A338" s="473"/>
      <c r="B338" s="313">
        <v>8005</v>
      </c>
      <c r="C338" s="8" t="s">
        <v>1086</v>
      </c>
      <c r="D338" s="18">
        <v>1</v>
      </c>
      <c r="E338" s="251">
        <v>397</v>
      </c>
      <c r="F338" s="82">
        <v>1.726148409893993</v>
      </c>
      <c r="G338" s="79">
        <v>685.28091872791526</v>
      </c>
      <c r="H338" s="90">
        <v>23.952000000000002</v>
      </c>
      <c r="I338" s="85">
        <v>20.795000000000002</v>
      </c>
      <c r="J338" s="85">
        <v>23.295999999999999</v>
      </c>
      <c r="K338" s="85">
        <v>21.5</v>
      </c>
      <c r="L338" s="85">
        <v>23.274000000000001</v>
      </c>
      <c r="M338" s="85">
        <v>24.565000000000001</v>
      </c>
      <c r="N338" s="85">
        <v>28.59</v>
      </c>
      <c r="O338" s="85">
        <v>29.981000000000002</v>
      </c>
      <c r="P338" s="85">
        <v>20.638000000000002</v>
      </c>
      <c r="Q338" s="85">
        <v>20.489000000000001</v>
      </c>
      <c r="R338" s="85">
        <v>19.184999999999999</v>
      </c>
      <c r="S338" s="89">
        <v>20.297000000000001</v>
      </c>
      <c r="T338" s="89">
        <v>276.56200000000001</v>
      </c>
      <c r="U338" s="85">
        <v>276.56200000000001</v>
      </c>
      <c r="V338" s="85">
        <v>0</v>
      </c>
      <c r="W338" s="85">
        <v>0</v>
      </c>
      <c r="X338" s="89">
        <v>276.56200000000001</v>
      </c>
      <c r="Y338" s="79">
        <v>1</v>
      </c>
      <c r="Z338" s="79">
        <v>0</v>
      </c>
      <c r="AA338" s="94">
        <v>0</v>
      </c>
      <c r="AB338" s="79">
        <v>1</v>
      </c>
      <c r="AC338" s="85">
        <v>62.506</v>
      </c>
      <c r="AD338" s="85">
        <v>54.998748532360054</v>
      </c>
      <c r="AE338" s="85">
        <v>159.05725146763996</v>
      </c>
      <c r="AF338" s="85">
        <v>0</v>
      </c>
      <c r="AG338" s="85">
        <v>276.56200000000001</v>
      </c>
      <c r="AH338" s="85">
        <v>0</v>
      </c>
      <c r="AI338" s="85">
        <v>0</v>
      </c>
      <c r="AJ338" s="85">
        <v>0</v>
      </c>
      <c r="AK338" s="85">
        <v>276.56200000000001</v>
      </c>
      <c r="AL338" s="85">
        <v>0</v>
      </c>
      <c r="AM338" s="85">
        <v>0</v>
      </c>
      <c r="AN338" s="85">
        <v>0</v>
      </c>
      <c r="AO338" s="85">
        <v>0</v>
      </c>
      <c r="AP338" s="85">
        <v>0</v>
      </c>
      <c r="AQ338" s="85">
        <v>0</v>
      </c>
      <c r="AR338" s="85">
        <v>276.56200000000001</v>
      </c>
      <c r="AS338" s="85">
        <v>0</v>
      </c>
      <c r="AT338" s="85">
        <v>0</v>
      </c>
      <c r="AU338" s="85">
        <v>0</v>
      </c>
      <c r="AV338" s="85">
        <v>0</v>
      </c>
      <c r="AW338" s="85">
        <v>0</v>
      </c>
      <c r="AX338" s="85">
        <v>0</v>
      </c>
      <c r="AY338" s="85">
        <v>0</v>
      </c>
      <c r="AZ338" s="85">
        <v>0</v>
      </c>
      <c r="BA338" s="85">
        <v>0</v>
      </c>
      <c r="BB338" s="89">
        <v>0</v>
      </c>
      <c r="BC338" s="89">
        <v>0</v>
      </c>
      <c r="BD338" s="37">
        <v>0</v>
      </c>
      <c r="BE338" s="37">
        <v>0</v>
      </c>
      <c r="BF338" s="279">
        <v>4619</v>
      </c>
      <c r="BG338" s="37">
        <v>50000</v>
      </c>
      <c r="BH338" s="37">
        <v>52189</v>
      </c>
      <c r="BI338" s="37">
        <v>0</v>
      </c>
      <c r="BJ338" s="283">
        <v>106808</v>
      </c>
      <c r="BK338" s="161"/>
      <c r="BL338" s="294"/>
      <c r="BM338"/>
      <c r="BN338"/>
      <c r="BO338"/>
      <c r="BP338"/>
      <c r="BQ338"/>
      <c r="BR338"/>
      <c r="BS338"/>
      <c r="BT338"/>
      <c r="BU338"/>
      <c r="BV338"/>
      <c r="BW338"/>
      <c r="BX338"/>
      <c r="BY338"/>
      <c r="BZ338"/>
      <c r="CA338"/>
      <c r="CB338"/>
      <c r="CC338"/>
      <c r="CD338"/>
      <c r="CE338"/>
      <c r="CF338"/>
      <c r="CG338"/>
      <c r="CH338"/>
      <c r="CI338"/>
      <c r="CJ338"/>
    </row>
    <row r="339" spans="1:88" s="32" customFormat="1" ht="15" customHeight="1" x14ac:dyDescent="0.35">
      <c r="A339" s="473"/>
      <c r="B339" s="313">
        <v>25213</v>
      </c>
      <c r="C339" s="8" t="s">
        <v>166</v>
      </c>
      <c r="D339" s="18">
        <v>12</v>
      </c>
      <c r="E339" s="251">
        <v>64887</v>
      </c>
      <c r="F339" s="82">
        <v>2.2850516025591134</v>
      </c>
      <c r="G339" s="79">
        <v>148270.1433352532</v>
      </c>
      <c r="H339" s="90">
        <v>1700.3109999999999</v>
      </c>
      <c r="I339" s="85">
        <v>1514.5650000000001</v>
      </c>
      <c r="J339" s="85">
        <v>1612.2729999999999</v>
      </c>
      <c r="K339" s="85">
        <v>1465.617</v>
      </c>
      <c r="L339" s="85">
        <v>1608.008</v>
      </c>
      <c r="M339" s="85">
        <v>1597.5909999999999</v>
      </c>
      <c r="N339" s="85">
        <v>1812.6220000000001</v>
      </c>
      <c r="O339" s="85">
        <v>1616.7439999999999</v>
      </c>
      <c r="P339" s="85">
        <v>1408.8309999999999</v>
      </c>
      <c r="Q339" s="85">
        <v>1401.037</v>
      </c>
      <c r="R339" s="85">
        <v>1366.877</v>
      </c>
      <c r="S339" s="89">
        <v>1445.6790000000001</v>
      </c>
      <c r="T339" s="89">
        <v>18550.154999999999</v>
      </c>
      <c r="U339" s="85">
        <v>18550.154999999999</v>
      </c>
      <c r="V339" s="85">
        <v>0</v>
      </c>
      <c r="W339" s="85">
        <v>0</v>
      </c>
      <c r="X339" s="89">
        <v>18550.154999999999</v>
      </c>
      <c r="Y339" s="79">
        <v>3</v>
      </c>
      <c r="Z339" s="79">
        <v>0</v>
      </c>
      <c r="AA339" s="94">
        <v>0</v>
      </c>
      <c r="AB339" s="79">
        <v>3</v>
      </c>
      <c r="AC339" s="85">
        <v>12311.53</v>
      </c>
      <c r="AD339" s="85">
        <v>3277.5249999999983</v>
      </c>
      <c r="AE339" s="85">
        <v>2961.1</v>
      </c>
      <c r="AF339" s="85">
        <v>0</v>
      </c>
      <c r="AG339" s="85">
        <v>18550.154999999999</v>
      </c>
      <c r="AH339" s="85">
        <v>18550.154999999999</v>
      </c>
      <c r="AI339" s="85">
        <v>0</v>
      </c>
      <c r="AJ339" s="85">
        <v>0</v>
      </c>
      <c r="AK339" s="85">
        <v>0</v>
      </c>
      <c r="AL339" s="85">
        <v>0</v>
      </c>
      <c r="AM339" s="85">
        <v>0</v>
      </c>
      <c r="AN339" s="85">
        <v>0</v>
      </c>
      <c r="AO339" s="85">
        <v>0</v>
      </c>
      <c r="AP339" s="85">
        <v>0</v>
      </c>
      <c r="AQ339" s="85">
        <v>0</v>
      </c>
      <c r="AR339" s="85">
        <v>18550.154999999999</v>
      </c>
      <c r="AS339" s="85">
        <v>0</v>
      </c>
      <c r="AT339" s="85">
        <v>0</v>
      </c>
      <c r="AU339" s="85">
        <v>0</v>
      </c>
      <c r="AV339" s="85">
        <v>0</v>
      </c>
      <c r="AW339" s="85">
        <v>0</v>
      </c>
      <c r="AX339" s="85">
        <v>0</v>
      </c>
      <c r="AY339" s="85">
        <v>0</v>
      </c>
      <c r="AZ339" s="85">
        <v>0</v>
      </c>
      <c r="BA339" s="85">
        <v>0</v>
      </c>
      <c r="BB339" s="89">
        <v>0</v>
      </c>
      <c r="BC339" s="89">
        <v>0</v>
      </c>
      <c r="BD339" s="37">
        <v>207036</v>
      </c>
      <c r="BE339" s="37">
        <v>484485</v>
      </c>
      <c r="BF339" s="279">
        <v>1144133</v>
      </c>
      <c r="BG339" s="37">
        <v>1824867</v>
      </c>
      <c r="BH339" s="37">
        <v>1471127</v>
      </c>
      <c r="BI339" s="37">
        <v>42884</v>
      </c>
      <c r="BJ339" s="283">
        <v>4483011</v>
      </c>
      <c r="BK339" s="161" t="s">
        <v>2094</v>
      </c>
      <c r="BL339" s="294"/>
      <c r="BM339"/>
      <c r="BN339"/>
      <c r="BO339"/>
      <c r="BP339"/>
      <c r="BQ339"/>
      <c r="BR339"/>
      <c r="BS339"/>
      <c r="BT339"/>
      <c r="BU339"/>
      <c r="BV339"/>
      <c r="BW339"/>
      <c r="BX339"/>
      <c r="BY339"/>
      <c r="BZ339"/>
      <c r="CA339"/>
      <c r="CB339"/>
      <c r="CC339"/>
      <c r="CD339"/>
      <c r="CE339"/>
      <c r="CF339"/>
      <c r="CG339"/>
      <c r="CH339"/>
      <c r="CI339"/>
      <c r="CJ339"/>
    </row>
    <row r="340" spans="1:88" s="32" customFormat="1" ht="15" customHeight="1" x14ac:dyDescent="0.35">
      <c r="A340" s="473"/>
      <c r="B340" s="313">
        <v>71095</v>
      </c>
      <c r="C340" s="8" t="s">
        <v>719</v>
      </c>
      <c r="D340" s="18">
        <v>16</v>
      </c>
      <c r="E340" s="251"/>
      <c r="F340" s="82"/>
      <c r="G340" s="79"/>
      <c r="H340" s="90"/>
      <c r="I340" s="85"/>
      <c r="J340" s="85"/>
      <c r="K340" s="85"/>
      <c r="L340" s="85"/>
      <c r="M340" s="85"/>
      <c r="N340" s="85"/>
      <c r="O340" s="85"/>
      <c r="P340" s="85"/>
      <c r="Q340" s="85"/>
      <c r="R340" s="85"/>
      <c r="S340" s="89"/>
      <c r="T340" s="89" t="s">
        <v>1124</v>
      </c>
      <c r="U340" s="85"/>
      <c r="V340" s="85"/>
      <c r="W340" s="85"/>
      <c r="X340" s="89" t="s">
        <v>1124</v>
      </c>
      <c r="Y340" s="79"/>
      <c r="Z340" s="79"/>
      <c r="AA340" s="94"/>
      <c r="AB340" s="79" t="s">
        <v>1124</v>
      </c>
      <c r="AC340" s="85"/>
      <c r="AD340" s="85"/>
      <c r="AE340" s="85"/>
      <c r="AF340" s="85"/>
      <c r="AG340" s="85" t="s">
        <v>1124</v>
      </c>
      <c r="AH340" s="85"/>
      <c r="AI340" s="85"/>
      <c r="AJ340" s="85"/>
      <c r="AK340" s="85"/>
      <c r="AL340" s="85"/>
      <c r="AM340" s="85"/>
      <c r="AN340" s="85"/>
      <c r="AO340" s="85"/>
      <c r="AP340" s="85"/>
      <c r="AQ340" s="85"/>
      <c r="AR340" s="85" t="s">
        <v>1124</v>
      </c>
      <c r="AS340" s="85"/>
      <c r="AT340" s="85"/>
      <c r="AU340" s="85"/>
      <c r="AV340" s="85"/>
      <c r="AW340" s="85"/>
      <c r="AX340" s="85"/>
      <c r="AY340" s="85"/>
      <c r="AZ340" s="85"/>
      <c r="BA340" s="85"/>
      <c r="BB340" s="89"/>
      <c r="BC340" s="89" t="s">
        <v>1124</v>
      </c>
      <c r="BD340" s="37"/>
      <c r="BE340" s="37"/>
      <c r="BF340" s="279"/>
      <c r="BG340" s="37"/>
      <c r="BH340" s="37"/>
      <c r="BI340" s="37"/>
      <c r="BJ340" s="283"/>
      <c r="BK340" s="161"/>
      <c r="BL340" s="294"/>
      <c r="BM340"/>
      <c r="BN340"/>
      <c r="BO340"/>
      <c r="BP340"/>
      <c r="BQ340"/>
      <c r="BR340"/>
      <c r="BS340"/>
      <c r="BT340"/>
      <c r="BU340"/>
      <c r="BV340"/>
      <c r="BW340"/>
      <c r="BX340"/>
      <c r="BY340"/>
      <c r="BZ340"/>
      <c r="CA340"/>
      <c r="CB340"/>
      <c r="CC340"/>
      <c r="CD340"/>
      <c r="CE340"/>
      <c r="CF340"/>
      <c r="CG340"/>
      <c r="CH340"/>
      <c r="CI340"/>
      <c r="CJ340"/>
    </row>
    <row r="341" spans="1:88" s="32" customFormat="1" ht="15" customHeight="1" x14ac:dyDescent="0.35">
      <c r="A341" s="473"/>
      <c r="B341" s="313">
        <v>98020</v>
      </c>
      <c r="C341" s="8" t="s">
        <v>1011</v>
      </c>
      <c r="D341" s="18">
        <v>9</v>
      </c>
      <c r="E341" s="251"/>
      <c r="F341" s="82"/>
      <c r="G341" s="79"/>
      <c r="H341" s="90"/>
      <c r="I341" s="85"/>
      <c r="J341" s="85"/>
      <c r="K341" s="85"/>
      <c r="L341" s="85"/>
      <c r="M341" s="85"/>
      <c r="N341" s="85"/>
      <c r="O341" s="85"/>
      <c r="P341" s="85"/>
      <c r="Q341" s="85"/>
      <c r="R341" s="85"/>
      <c r="S341" s="89"/>
      <c r="T341" s="89" t="s">
        <v>1124</v>
      </c>
      <c r="U341" s="85"/>
      <c r="V341" s="85"/>
      <c r="W341" s="85"/>
      <c r="X341" s="89" t="s">
        <v>1124</v>
      </c>
      <c r="Y341" s="79"/>
      <c r="Z341" s="79"/>
      <c r="AA341" s="94"/>
      <c r="AB341" s="79" t="s">
        <v>1124</v>
      </c>
      <c r="AC341" s="85"/>
      <c r="AD341" s="85"/>
      <c r="AE341" s="85"/>
      <c r="AF341" s="85"/>
      <c r="AG341" s="85" t="s">
        <v>1124</v>
      </c>
      <c r="AH341" s="85"/>
      <c r="AI341" s="85"/>
      <c r="AJ341" s="85"/>
      <c r="AK341" s="85"/>
      <c r="AL341" s="85"/>
      <c r="AM341" s="85"/>
      <c r="AN341" s="85"/>
      <c r="AO341" s="85"/>
      <c r="AP341" s="85"/>
      <c r="AQ341" s="85"/>
      <c r="AR341" s="85" t="s">
        <v>1124</v>
      </c>
      <c r="AS341" s="85"/>
      <c r="AT341" s="85"/>
      <c r="AU341" s="85"/>
      <c r="AV341" s="85"/>
      <c r="AW341" s="85"/>
      <c r="AX341" s="85"/>
      <c r="AY341" s="85"/>
      <c r="AZ341" s="85"/>
      <c r="BA341" s="85"/>
      <c r="BB341" s="89"/>
      <c r="BC341" s="89" t="s">
        <v>1124</v>
      </c>
      <c r="BD341" s="37"/>
      <c r="BE341" s="37"/>
      <c r="BF341" s="279"/>
      <c r="BG341" s="37"/>
      <c r="BH341" s="37"/>
      <c r="BI341" s="37"/>
      <c r="BJ341" s="283"/>
      <c r="BK341" s="161"/>
      <c r="BL341" s="294"/>
      <c r="BM341"/>
      <c r="BN341"/>
      <c r="BO341"/>
      <c r="BP341"/>
      <c r="BQ341"/>
      <c r="BR341"/>
      <c r="BS341"/>
      <c r="BT341"/>
      <c r="BU341"/>
      <c r="BV341"/>
      <c r="BW341"/>
      <c r="BX341"/>
      <c r="BY341"/>
      <c r="BZ341"/>
      <c r="CA341"/>
      <c r="CB341"/>
      <c r="CC341"/>
      <c r="CD341"/>
      <c r="CE341"/>
      <c r="CF341"/>
      <c r="CG341"/>
      <c r="CH341"/>
      <c r="CI341"/>
      <c r="CJ341"/>
    </row>
    <row r="342" spans="1:88" s="32" customFormat="1" ht="15" customHeight="1" x14ac:dyDescent="0.35">
      <c r="A342" s="473"/>
      <c r="B342" s="313">
        <v>66092</v>
      </c>
      <c r="C342" s="8" t="s">
        <v>655</v>
      </c>
      <c r="D342" s="18">
        <v>6</v>
      </c>
      <c r="E342" s="251"/>
      <c r="F342" s="82"/>
      <c r="G342" s="79"/>
      <c r="H342" s="90"/>
      <c r="I342" s="85"/>
      <c r="J342" s="85"/>
      <c r="K342" s="85"/>
      <c r="L342" s="85"/>
      <c r="M342" s="85"/>
      <c r="N342" s="85"/>
      <c r="O342" s="85"/>
      <c r="P342" s="85"/>
      <c r="Q342" s="85"/>
      <c r="R342" s="85"/>
      <c r="S342" s="89"/>
      <c r="T342" s="89" t="s">
        <v>1124</v>
      </c>
      <c r="U342" s="85"/>
      <c r="V342" s="85"/>
      <c r="W342" s="85"/>
      <c r="X342" s="89" t="s">
        <v>1124</v>
      </c>
      <c r="Y342" s="79"/>
      <c r="Z342" s="79"/>
      <c r="AA342" s="94"/>
      <c r="AB342" s="79" t="s">
        <v>1124</v>
      </c>
      <c r="AC342" s="85"/>
      <c r="AD342" s="85"/>
      <c r="AE342" s="85"/>
      <c r="AF342" s="85"/>
      <c r="AG342" s="85" t="s">
        <v>1124</v>
      </c>
      <c r="AH342" s="85"/>
      <c r="AI342" s="85"/>
      <c r="AJ342" s="85"/>
      <c r="AK342" s="85"/>
      <c r="AL342" s="85"/>
      <c r="AM342" s="85"/>
      <c r="AN342" s="85"/>
      <c r="AO342" s="85"/>
      <c r="AP342" s="85"/>
      <c r="AQ342" s="85"/>
      <c r="AR342" s="85" t="s">
        <v>1124</v>
      </c>
      <c r="AS342" s="85"/>
      <c r="AT342" s="85"/>
      <c r="AU342" s="85"/>
      <c r="AV342" s="85"/>
      <c r="AW342" s="85"/>
      <c r="AX342" s="85"/>
      <c r="AY342" s="85"/>
      <c r="AZ342" s="85"/>
      <c r="BA342" s="85"/>
      <c r="BB342" s="89"/>
      <c r="BC342" s="89" t="s">
        <v>1124</v>
      </c>
      <c r="BD342" s="37"/>
      <c r="BE342" s="37"/>
      <c r="BF342" s="279"/>
      <c r="BG342" s="37"/>
      <c r="BH342" s="37"/>
      <c r="BI342" s="37"/>
      <c r="BJ342" s="283"/>
      <c r="BK342" s="161"/>
      <c r="BL342" s="294"/>
      <c r="BM342"/>
      <c r="BN342"/>
      <c r="BO342"/>
      <c r="BP342"/>
      <c r="BQ342"/>
      <c r="BR342"/>
      <c r="BS342"/>
      <c r="BT342"/>
      <c r="BU342"/>
      <c r="BV342"/>
      <c r="BW342"/>
      <c r="BX342"/>
      <c r="BY342"/>
      <c r="BZ342"/>
      <c r="CA342"/>
      <c r="CB342"/>
      <c r="CC342"/>
      <c r="CD342"/>
      <c r="CE342"/>
      <c r="CF342"/>
      <c r="CG342"/>
      <c r="CH342"/>
      <c r="CI342"/>
      <c r="CJ342"/>
    </row>
    <row r="343" spans="1:88" s="32" customFormat="1" ht="15" customHeight="1" x14ac:dyDescent="0.35">
      <c r="A343" s="473"/>
      <c r="B343" s="313">
        <v>84035</v>
      </c>
      <c r="C343" s="8" t="s">
        <v>858</v>
      </c>
      <c r="D343" s="18">
        <v>7</v>
      </c>
      <c r="E343" s="251"/>
      <c r="F343" s="82"/>
      <c r="G343" s="79"/>
      <c r="H343" s="90"/>
      <c r="I343" s="85"/>
      <c r="J343" s="85"/>
      <c r="K343" s="85"/>
      <c r="L343" s="85"/>
      <c r="M343" s="85"/>
      <c r="N343" s="85"/>
      <c r="O343" s="85"/>
      <c r="P343" s="85"/>
      <c r="Q343" s="85"/>
      <c r="R343" s="85"/>
      <c r="S343" s="89"/>
      <c r="T343" s="89" t="s">
        <v>1124</v>
      </c>
      <c r="U343" s="85"/>
      <c r="V343" s="85"/>
      <c r="W343" s="85"/>
      <c r="X343" s="89" t="s">
        <v>1124</v>
      </c>
      <c r="Y343" s="79"/>
      <c r="Z343" s="79"/>
      <c r="AA343" s="94"/>
      <c r="AB343" s="79" t="s">
        <v>1124</v>
      </c>
      <c r="AC343" s="85"/>
      <c r="AD343" s="85"/>
      <c r="AE343" s="85"/>
      <c r="AF343" s="85"/>
      <c r="AG343" s="85" t="s">
        <v>1124</v>
      </c>
      <c r="AH343" s="85"/>
      <c r="AI343" s="85"/>
      <c r="AJ343" s="85"/>
      <c r="AK343" s="85"/>
      <c r="AL343" s="85"/>
      <c r="AM343" s="85"/>
      <c r="AN343" s="85"/>
      <c r="AO343" s="85"/>
      <c r="AP343" s="85"/>
      <c r="AQ343" s="85"/>
      <c r="AR343" s="85" t="s">
        <v>1124</v>
      </c>
      <c r="AS343" s="85"/>
      <c r="AT343" s="85"/>
      <c r="AU343" s="85"/>
      <c r="AV343" s="85"/>
      <c r="AW343" s="85"/>
      <c r="AX343" s="85"/>
      <c r="AY343" s="85"/>
      <c r="AZ343" s="85"/>
      <c r="BA343" s="85"/>
      <c r="BB343" s="89"/>
      <c r="BC343" s="89" t="s">
        <v>1124</v>
      </c>
      <c r="BD343" s="37"/>
      <c r="BE343" s="37"/>
      <c r="BF343" s="279"/>
      <c r="BG343" s="37"/>
      <c r="BH343" s="37"/>
      <c r="BI343" s="37"/>
      <c r="BJ343" s="283"/>
      <c r="BK343" s="161"/>
      <c r="BL343" s="294"/>
      <c r="BM343"/>
      <c r="BN343"/>
      <c r="BO343"/>
      <c r="BP343"/>
      <c r="BQ343"/>
      <c r="BR343"/>
      <c r="BS343"/>
      <c r="BT343"/>
      <c r="BU343"/>
      <c r="BV343"/>
      <c r="BW343"/>
      <c r="BX343"/>
      <c r="BY343"/>
      <c r="BZ343"/>
      <c r="CA343"/>
      <c r="CB343"/>
      <c r="CC343"/>
      <c r="CD343"/>
      <c r="CE343"/>
      <c r="CF343"/>
      <c r="CG343"/>
      <c r="CH343"/>
      <c r="CI343"/>
      <c r="CJ343"/>
    </row>
    <row r="344" spans="1:88" s="32" customFormat="1" ht="15" customHeight="1" x14ac:dyDescent="0.35">
      <c r="A344" s="473"/>
      <c r="B344" s="313">
        <v>71060</v>
      </c>
      <c r="C344" s="8" t="s">
        <v>713</v>
      </c>
      <c r="D344" s="18">
        <v>16</v>
      </c>
      <c r="E344" s="251"/>
      <c r="F344" s="82"/>
      <c r="G344" s="79"/>
      <c r="H344" s="90"/>
      <c r="I344" s="85"/>
      <c r="J344" s="85"/>
      <c r="K344" s="85"/>
      <c r="L344" s="85"/>
      <c r="M344" s="85"/>
      <c r="N344" s="85"/>
      <c r="O344" s="85"/>
      <c r="P344" s="85"/>
      <c r="Q344" s="85"/>
      <c r="R344" s="85"/>
      <c r="S344" s="89"/>
      <c r="T344" s="89" t="s">
        <v>1124</v>
      </c>
      <c r="U344" s="85"/>
      <c r="V344" s="85"/>
      <c r="W344" s="85"/>
      <c r="X344" s="89" t="s">
        <v>1124</v>
      </c>
      <c r="Y344" s="79"/>
      <c r="Z344" s="79"/>
      <c r="AA344" s="94"/>
      <c r="AB344" s="79" t="s">
        <v>1124</v>
      </c>
      <c r="AC344" s="85"/>
      <c r="AD344" s="85"/>
      <c r="AE344" s="85"/>
      <c r="AF344" s="85"/>
      <c r="AG344" s="85" t="s">
        <v>1124</v>
      </c>
      <c r="AH344" s="85"/>
      <c r="AI344" s="85"/>
      <c r="AJ344" s="85"/>
      <c r="AK344" s="85"/>
      <c r="AL344" s="85"/>
      <c r="AM344" s="85"/>
      <c r="AN344" s="85"/>
      <c r="AO344" s="85"/>
      <c r="AP344" s="85"/>
      <c r="AQ344" s="85"/>
      <c r="AR344" s="85" t="s">
        <v>1124</v>
      </c>
      <c r="AS344" s="85"/>
      <c r="AT344" s="85"/>
      <c r="AU344" s="85"/>
      <c r="AV344" s="85"/>
      <c r="AW344" s="85"/>
      <c r="AX344" s="85"/>
      <c r="AY344" s="85"/>
      <c r="AZ344" s="85"/>
      <c r="BA344" s="85"/>
      <c r="BB344" s="89"/>
      <c r="BC344" s="89" t="s">
        <v>1124</v>
      </c>
      <c r="BD344" s="37"/>
      <c r="BE344" s="37"/>
      <c r="BF344" s="279"/>
      <c r="BG344" s="37"/>
      <c r="BH344" s="37"/>
      <c r="BI344" s="37"/>
      <c r="BJ344" s="283"/>
      <c r="BK344" s="161"/>
      <c r="BL344" s="294"/>
      <c r="BM344"/>
      <c r="BN344"/>
      <c r="BO344"/>
      <c r="BP344"/>
      <c r="BQ344"/>
      <c r="BR344"/>
      <c r="BS344"/>
      <c r="BT344"/>
      <c r="BU344"/>
      <c r="BV344"/>
      <c r="BW344"/>
      <c r="BX344"/>
      <c r="BY344"/>
      <c r="BZ344"/>
      <c r="CA344"/>
      <c r="CB344"/>
      <c r="CC344"/>
      <c r="CD344"/>
      <c r="CE344"/>
      <c r="CF344"/>
      <c r="CG344"/>
      <c r="CH344"/>
      <c r="CI344"/>
      <c r="CJ344"/>
    </row>
    <row r="345" spans="1:88" s="32" customFormat="1" ht="15" customHeight="1" x14ac:dyDescent="0.35">
      <c r="A345" s="473"/>
      <c r="B345" s="313">
        <v>41085</v>
      </c>
      <c r="C345" s="8" t="s">
        <v>376</v>
      </c>
      <c r="D345" s="18">
        <v>5</v>
      </c>
      <c r="E345" s="251"/>
      <c r="F345" s="82"/>
      <c r="G345" s="79"/>
      <c r="H345" s="90"/>
      <c r="I345" s="85"/>
      <c r="J345" s="85"/>
      <c r="K345" s="85"/>
      <c r="L345" s="85"/>
      <c r="M345" s="85"/>
      <c r="N345" s="85"/>
      <c r="O345" s="85"/>
      <c r="P345" s="85"/>
      <c r="Q345" s="85"/>
      <c r="R345" s="85"/>
      <c r="S345" s="89"/>
      <c r="T345" s="89" t="s">
        <v>1124</v>
      </c>
      <c r="U345" s="85"/>
      <c r="V345" s="85"/>
      <c r="W345" s="85"/>
      <c r="X345" s="89" t="s">
        <v>1124</v>
      </c>
      <c r="Y345" s="79"/>
      <c r="Z345" s="79"/>
      <c r="AA345" s="94"/>
      <c r="AB345" s="79" t="s">
        <v>1124</v>
      </c>
      <c r="AC345" s="85"/>
      <c r="AD345" s="85"/>
      <c r="AE345" s="85"/>
      <c r="AF345" s="85"/>
      <c r="AG345" s="85" t="s">
        <v>1124</v>
      </c>
      <c r="AH345" s="85"/>
      <c r="AI345" s="85"/>
      <c r="AJ345" s="85"/>
      <c r="AK345" s="85"/>
      <c r="AL345" s="85"/>
      <c r="AM345" s="85"/>
      <c r="AN345" s="85"/>
      <c r="AO345" s="85"/>
      <c r="AP345" s="85"/>
      <c r="AQ345" s="85"/>
      <c r="AR345" s="85" t="s">
        <v>1124</v>
      </c>
      <c r="AS345" s="85"/>
      <c r="AT345" s="85"/>
      <c r="AU345" s="85"/>
      <c r="AV345" s="85"/>
      <c r="AW345" s="85"/>
      <c r="AX345" s="85"/>
      <c r="AY345" s="85"/>
      <c r="AZ345" s="85"/>
      <c r="BA345" s="85"/>
      <c r="BB345" s="89"/>
      <c r="BC345" s="89" t="s">
        <v>1124</v>
      </c>
      <c r="BD345" s="37"/>
      <c r="BE345" s="37"/>
      <c r="BF345" s="279"/>
      <c r="BG345" s="37"/>
      <c r="BH345" s="37"/>
      <c r="BI345" s="37"/>
      <c r="BJ345" s="283"/>
      <c r="BK345" s="161"/>
      <c r="BL345" s="294"/>
      <c r="BM345"/>
      <c r="BN345"/>
      <c r="BO345"/>
      <c r="BP345"/>
      <c r="BQ345"/>
      <c r="BR345"/>
      <c r="BS345"/>
      <c r="BT345"/>
      <c r="BU345"/>
      <c r="BV345"/>
      <c r="BW345"/>
      <c r="BX345"/>
      <c r="BY345"/>
      <c r="BZ345"/>
      <c r="CA345"/>
      <c r="CB345"/>
      <c r="CC345"/>
      <c r="CD345"/>
      <c r="CE345"/>
      <c r="CF345"/>
      <c r="CG345"/>
      <c r="CH345"/>
      <c r="CI345"/>
      <c r="CJ345"/>
    </row>
    <row r="346" spans="1:88" s="32" customFormat="1" ht="15" customHeight="1" x14ac:dyDescent="0.35">
      <c r="A346" s="473"/>
      <c r="B346" s="313">
        <v>84082</v>
      </c>
      <c r="C346" s="8" t="s">
        <v>866</v>
      </c>
      <c r="D346" s="18">
        <v>7</v>
      </c>
      <c r="E346" s="251"/>
      <c r="F346" s="82"/>
      <c r="G346" s="79"/>
      <c r="H346" s="90"/>
      <c r="I346" s="85"/>
      <c r="J346" s="85"/>
      <c r="K346" s="85"/>
      <c r="L346" s="85"/>
      <c r="M346" s="85"/>
      <c r="N346" s="85"/>
      <c r="O346" s="85"/>
      <c r="P346" s="85"/>
      <c r="Q346" s="85"/>
      <c r="R346" s="85"/>
      <c r="S346" s="89"/>
      <c r="T346" s="89" t="s">
        <v>1124</v>
      </c>
      <c r="U346" s="85"/>
      <c r="V346" s="85"/>
      <c r="W346" s="85"/>
      <c r="X346" s="89" t="s">
        <v>1124</v>
      </c>
      <c r="Y346" s="79"/>
      <c r="Z346" s="79"/>
      <c r="AA346" s="94"/>
      <c r="AB346" s="79" t="s">
        <v>1124</v>
      </c>
      <c r="AC346" s="85"/>
      <c r="AD346" s="85"/>
      <c r="AE346" s="85"/>
      <c r="AF346" s="85"/>
      <c r="AG346" s="85" t="s">
        <v>1124</v>
      </c>
      <c r="AH346" s="85"/>
      <c r="AI346" s="85"/>
      <c r="AJ346" s="85"/>
      <c r="AK346" s="85"/>
      <c r="AL346" s="85"/>
      <c r="AM346" s="85"/>
      <c r="AN346" s="85"/>
      <c r="AO346" s="85"/>
      <c r="AP346" s="85"/>
      <c r="AQ346" s="85"/>
      <c r="AR346" s="85" t="s">
        <v>1124</v>
      </c>
      <c r="AS346" s="85"/>
      <c r="AT346" s="85"/>
      <c r="AU346" s="85"/>
      <c r="AV346" s="85"/>
      <c r="AW346" s="85"/>
      <c r="AX346" s="85"/>
      <c r="AY346" s="85"/>
      <c r="AZ346" s="85"/>
      <c r="BA346" s="85"/>
      <c r="BB346" s="89"/>
      <c r="BC346" s="89" t="s">
        <v>1124</v>
      </c>
      <c r="BD346" s="37"/>
      <c r="BE346" s="37"/>
      <c r="BF346" s="279"/>
      <c r="BG346" s="37"/>
      <c r="BH346" s="37"/>
      <c r="BI346" s="37"/>
      <c r="BJ346" s="283"/>
      <c r="BK346" s="161"/>
      <c r="BL346" s="294"/>
      <c r="BM346"/>
      <c r="BN346"/>
      <c r="BO346"/>
      <c r="BP346"/>
      <c r="BQ346"/>
      <c r="BR346"/>
      <c r="BS346"/>
      <c r="BT346"/>
      <c r="BU346"/>
      <c r="BV346"/>
      <c r="BW346"/>
      <c r="BX346"/>
      <c r="BY346"/>
      <c r="BZ346"/>
      <c r="CA346"/>
      <c r="CB346"/>
      <c r="CC346"/>
      <c r="CD346"/>
      <c r="CE346"/>
      <c r="CF346"/>
      <c r="CG346"/>
      <c r="CH346"/>
      <c r="CI346"/>
      <c r="CJ346"/>
    </row>
    <row r="347" spans="1:88" s="32" customFormat="1" ht="15" customHeight="1" x14ac:dyDescent="0.35">
      <c r="A347" s="473"/>
      <c r="B347" s="313">
        <v>16023</v>
      </c>
      <c r="C347" s="8" t="s">
        <v>86</v>
      </c>
      <c r="D347" s="18">
        <v>3</v>
      </c>
      <c r="E347" s="251">
        <v>534</v>
      </c>
      <c r="F347" s="82">
        <v>1.503382949932341</v>
      </c>
      <c r="G347" s="79">
        <v>802.80649526387015</v>
      </c>
      <c r="H347" s="90">
        <v>5.5380000000000003</v>
      </c>
      <c r="I347" s="85">
        <v>5.0890000000000004</v>
      </c>
      <c r="J347" s="85">
        <v>5.7089999999999996</v>
      </c>
      <c r="K347" s="85">
        <v>5.6070000000000002</v>
      </c>
      <c r="L347" s="85">
        <v>6.7030000000000003</v>
      </c>
      <c r="M347" s="85">
        <v>8.8740000000000006</v>
      </c>
      <c r="N347" s="85">
        <v>11.991</v>
      </c>
      <c r="O347" s="85">
        <v>10.835000000000001</v>
      </c>
      <c r="P347" s="85">
        <v>8.2279999999999998</v>
      </c>
      <c r="Q347" s="85">
        <v>8.7520000000000007</v>
      </c>
      <c r="R347" s="85">
        <v>6.0389999999999997</v>
      </c>
      <c r="S347" s="89">
        <v>5.9850000000000003</v>
      </c>
      <c r="T347" s="89">
        <v>89.35</v>
      </c>
      <c r="U347" s="85">
        <v>89.35</v>
      </c>
      <c r="V347" s="85">
        <v>0</v>
      </c>
      <c r="W347" s="85">
        <v>0</v>
      </c>
      <c r="X347" s="89">
        <v>89.35</v>
      </c>
      <c r="Y347" s="79">
        <v>1</v>
      </c>
      <c r="Z347" s="79">
        <v>0</v>
      </c>
      <c r="AA347" s="94">
        <v>0</v>
      </c>
      <c r="AB347" s="79">
        <v>1</v>
      </c>
      <c r="AC347" s="85">
        <v>62.484000000000002</v>
      </c>
      <c r="AD347" s="85">
        <v>6.7189999999999994</v>
      </c>
      <c r="AE347" s="85">
        <v>20.148</v>
      </c>
      <c r="AF347" s="85">
        <v>0</v>
      </c>
      <c r="AG347" s="85">
        <v>89.350999999999999</v>
      </c>
      <c r="AH347" s="85">
        <v>89.35</v>
      </c>
      <c r="AI347" s="85">
        <v>0</v>
      </c>
      <c r="AJ347" s="85">
        <v>0</v>
      </c>
      <c r="AK347" s="85">
        <v>0</v>
      </c>
      <c r="AL347" s="85">
        <v>0</v>
      </c>
      <c r="AM347" s="85">
        <v>0</v>
      </c>
      <c r="AN347" s="85">
        <v>0</v>
      </c>
      <c r="AO347" s="85">
        <v>0</v>
      </c>
      <c r="AP347" s="85">
        <v>0</v>
      </c>
      <c r="AQ347" s="85">
        <v>0</v>
      </c>
      <c r="AR347" s="85">
        <v>89.35</v>
      </c>
      <c r="AS347" s="85">
        <v>0</v>
      </c>
      <c r="AT347" s="85">
        <v>0</v>
      </c>
      <c r="AU347" s="85">
        <v>0</v>
      </c>
      <c r="AV347" s="85">
        <v>0</v>
      </c>
      <c r="AW347" s="85">
        <v>0</v>
      </c>
      <c r="AX347" s="85">
        <v>0</v>
      </c>
      <c r="AY347" s="85">
        <v>0</v>
      </c>
      <c r="AZ347" s="85">
        <v>0</v>
      </c>
      <c r="BA347" s="85">
        <v>0</v>
      </c>
      <c r="BB347" s="89">
        <v>0</v>
      </c>
      <c r="BC347" s="89">
        <v>0</v>
      </c>
      <c r="BD347" s="37">
        <v>0</v>
      </c>
      <c r="BE347" s="37">
        <v>0</v>
      </c>
      <c r="BF347" s="279">
        <v>89009</v>
      </c>
      <c r="BG347" s="37">
        <v>69273</v>
      </c>
      <c r="BH347" s="37">
        <v>55112</v>
      </c>
      <c r="BI347" s="37">
        <v>0</v>
      </c>
      <c r="BJ347" s="283">
        <v>213394</v>
      </c>
      <c r="BK347" s="161"/>
      <c r="BL347" s="294"/>
      <c r="BM347"/>
      <c r="BN347"/>
      <c r="BO347"/>
      <c r="BP347"/>
      <c r="BQ347"/>
      <c r="BR347"/>
      <c r="BS347"/>
      <c r="BT347"/>
      <c r="BU347"/>
      <c r="BV347"/>
      <c r="BW347"/>
      <c r="BX347"/>
      <c r="BY347"/>
      <c r="BZ347"/>
      <c r="CA347"/>
      <c r="CB347"/>
      <c r="CC347"/>
      <c r="CD347"/>
      <c r="CE347"/>
      <c r="CF347"/>
      <c r="CG347"/>
      <c r="CH347"/>
      <c r="CI347"/>
      <c r="CJ347"/>
    </row>
    <row r="348" spans="1:88" s="32" customFormat="1" ht="15" customHeight="1" x14ac:dyDescent="0.35">
      <c r="A348" s="473"/>
      <c r="B348" s="313">
        <v>17078</v>
      </c>
      <c r="C348" s="8" t="s">
        <v>103</v>
      </c>
      <c r="D348" s="18">
        <v>12</v>
      </c>
      <c r="E348" s="251">
        <v>1292</v>
      </c>
      <c r="F348" s="82">
        <v>2.094719651605879</v>
      </c>
      <c r="G348" s="79">
        <v>2706.3777898747958</v>
      </c>
      <c r="H348" s="90">
        <v>33.469000000000001</v>
      </c>
      <c r="I348" s="85">
        <v>31.326000000000001</v>
      </c>
      <c r="J348" s="85">
        <v>34.124000000000002</v>
      </c>
      <c r="K348" s="85">
        <v>31.864000000000001</v>
      </c>
      <c r="L348" s="85">
        <v>36.323999999999998</v>
      </c>
      <c r="M348" s="85">
        <v>35.329000000000001</v>
      </c>
      <c r="N348" s="85">
        <v>38.844000000000001</v>
      </c>
      <c r="O348" s="85">
        <v>33.581000000000003</v>
      </c>
      <c r="P348" s="85">
        <v>29.119</v>
      </c>
      <c r="Q348" s="85">
        <v>29.873999999999999</v>
      </c>
      <c r="R348" s="85">
        <v>32.901000000000003</v>
      </c>
      <c r="S348" s="89">
        <v>31.14</v>
      </c>
      <c r="T348" s="89">
        <v>397.89500000000004</v>
      </c>
      <c r="U348" s="85">
        <v>397.89499999999998</v>
      </c>
      <c r="V348" s="85">
        <v>0</v>
      </c>
      <c r="W348" s="85">
        <v>0</v>
      </c>
      <c r="X348" s="89">
        <v>397.89499999999998</v>
      </c>
      <c r="Y348" s="79">
        <v>1</v>
      </c>
      <c r="Z348" s="79">
        <v>0</v>
      </c>
      <c r="AA348" s="94">
        <v>0</v>
      </c>
      <c r="AB348" s="79">
        <v>1</v>
      </c>
      <c r="AC348" s="85">
        <v>220.93299999999999</v>
      </c>
      <c r="AD348" s="85">
        <v>111.95399999999999</v>
      </c>
      <c r="AE348" s="85">
        <v>65.007999999999996</v>
      </c>
      <c r="AF348" s="85">
        <v>0</v>
      </c>
      <c r="AG348" s="85">
        <v>397.89499999999998</v>
      </c>
      <c r="AH348" s="85">
        <v>397.89499999999998</v>
      </c>
      <c r="AI348" s="85">
        <v>0</v>
      </c>
      <c r="AJ348" s="85">
        <v>0</v>
      </c>
      <c r="AK348" s="85">
        <v>0</v>
      </c>
      <c r="AL348" s="85">
        <v>0</v>
      </c>
      <c r="AM348" s="85">
        <v>0</v>
      </c>
      <c r="AN348" s="85">
        <v>0</v>
      </c>
      <c r="AO348" s="85">
        <v>0</v>
      </c>
      <c r="AP348" s="85">
        <v>0</v>
      </c>
      <c r="AQ348" s="85">
        <v>0</v>
      </c>
      <c r="AR348" s="85">
        <v>397.89499999999998</v>
      </c>
      <c r="AS348" s="85">
        <v>0</v>
      </c>
      <c r="AT348" s="85">
        <v>0</v>
      </c>
      <c r="AU348" s="85">
        <v>0</v>
      </c>
      <c r="AV348" s="85">
        <v>0</v>
      </c>
      <c r="AW348" s="85">
        <v>0</v>
      </c>
      <c r="AX348" s="85">
        <v>0</v>
      </c>
      <c r="AY348" s="85">
        <v>0</v>
      </c>
      <c r="AZ348" s="85">
        <v>0</v>
      </c>
      <c r="BA348" s="85">
        <v>0</v>
      </c>
      <c r="BB348" s="89">
        <v>0</v>
      </c>
      <c r="BC348" s="89">
        <v>0</v>
      </c>
      <c r="BD348" s="37">
        <v>2728529</v>
      </c>
      <c r="BE348" s="37">
        <v>243813</v>
      </c>
      <c r="BF348" s="279">
        <v>143764</v>
      </c>
      <c r="BG348" s="37">
        <v>289525</v>
      </c>
      <c r="BH348" s="37">
        <v>40487</v>
      </c>
      <c r="BI348" s="37">
        <v>28970</v>
      </c>
      <c r="BJ348" s="283">
        <v>502746</v>
      </c>
      <c r="BK348" s="161"/>
      <c r="BL348" s="294"/>
      <c r="BM348"/>
      <c r="BN348"/>
      <c r="BO348"/>
      <c r="BP348"/>
      <c r="BQ348"/>
      <c r="BR348"/>
      <c r="BS348"/>
      <c r="BT348"/>
      <c r="BU348"/>
      <c r="BV348"/>
      <c r="BW348"/>
      <c r="BX348"/>
      <c r="BY348"/>
      <c r="BZ348"/>
      <c r="CA348"/>
      <c r="CB348"/>
      <c r="CC348"/>
      <c r="CD348"/>
      <c r="CE348"/>
      <c r="CF348"/>
      <c r="CG348"/>
      <c r="CH348"/>
      <c r="CI348"/>
      <c r="CJ348"/>
    </row>
    <row r="349" spans="1:88" s="32" customFormat="1" ht="15" customHeight="1" x14ac:dyDescent="0.35">
      <c r="A349" s="473"/>
      <c r="B349" s="313">
        <v>12043</v>
      </c>
      <c r="C349" s="8" t="s">
        <v>35</v>
      </c>
      <c r="D349" s="18">
        <v>1</v>
      </c>
      <c r="E349" s="251">
        <v>474</v>
      </c>
      <c r="F349" s="82">
        <v>2.0299999999999998</v>
      </c>
      <c r="G349" s="79">
        <v>962.21999999999991</v>
      </c>
      <c r="H349" s="90">
        <v>6.3494999999999999</v>
      </c>
      <c r="I349" s="85">
        <v>5.9520999999999997</v>
      </c>
      <c r="J349" s="85">
        <v>6.7945609999999999</v>
      </c>
      <c r="K349" s="85">
        <v>6.3423449999999999</v>
      </c>
      <c r="L349" s="85">
        <v>6.9706000000000001</v>
      </c>
      <c r="M349" s="85">
        <v>7.2769000000000004</v>
      </c>
      <c r="N349" s="85">
        <v>8.9013000000000009</v>
      </c>
      <c r="O349" s="85">
        <v>7.9188000000000001</v>
      </c>
      <c r="P349" s="85">
        <v>7.2789999999999999</v>
      </c>
      <c r="Q349" s="85">
        <v>7.1688999999999998</v>
      </c>
      <c r="R349" s="85">
        <v>6.3855000000000004</v>
      </c>
      <c r="S349" s="89">
        <v>6.5647000000000002</v>
      </c>
      <c r="T349" s="89">
        <v>83.904206000000002</v>
      </c>
      <c r="U349" s="85">
        <v>0</v>
      </c>
      <c r="V349" s="85">
        <v>83.903999999999996</v>
      </c>
      <c r="W349" s="85">
        <v>0</v>
      </c>
      <c r="X349" s="89">
        <v>83.903999999999996</v>
      </c>
      <c r="Y349" s="79">
        <v>0</v>
      </c>
      <c r="Z349" s="79">
        <v>1</v>
      </c>
      <c r="AA349" s="94">
        <v>0</v>
      </c>
      <c r="AB349" s="79">
        <v>1</v>
      </c>
      <c r="AC349" s="85">
        <v>68.184209708737853</v>
      </c>
      <c r="AD349" s="85">
        <v>7.1593712912621461</v>
      </c>
      <c r="AE349" s="85">
        <v>8.4856250000000024</v>
      </c>
      <c r="AF349" s="85">
        <v>7.4999999999999997E-2</v>
      </c>
      <c r="AG349" s="85">
        <v>83.904206000000002</v>
      </c>
      <c r="AH349" s="85">
        <v>0</v>
      </c>
      <c r="AI349" s="85">
        <v>0</v>
      </c>
      <c r="AJ349" s="85">
        <v>0</v>
      </c>
      <c r="AK349" s="85">
        <v>0</v>
      </c>
      <c r="AL349" s="85">
        <v>0</v>
      </c>
      <c r="AM349" s="85">
        <v>0</v>
      </c>
      <c r="AN349" s="85">
        <v>0</v>
      </c>
      <c r="AO349" s="85">
        <v>0</v>
      </c>
      <c r="AP349" s="85">
        <v>0</v>
      </c>
      <c r="AQ349" s="85">
        <v>0</v>
      </c>
      <c r="AR349" s="85">
        <v>0</v>
      </c>
      <c r="AS349" s="85">
        <v>0</v>
      </c>
      <c r="AT349" s="85">
        <v>0</v>
      </c>
      <c r="AU349" s="85">
        <v>0</v>
      </c>
      <c r="AV349" s="85">
        <v>0</v>
      </c>
      <c r="AW349" s="85">
        <v>0</v>
      </c>
      <c r="AX349" s="85">
        <v>0</v>
      </c>
      <c r="AY349" s="85">
        <v>83.903999999999996</v>
      </c>
      <c r="AZ349" s="85">
        <v>0</v>
      </c>
      <c r="BA349" s="85">
        <v>0</v>
      </c>
      <c r="BB349" s="89">
        <v>0</v>
      </c>
      <c r="BC349" s="89">
        <v>83.903999999999996</v>
      </c>
      <c r="BD349" s="37">
        <v>0</v>
      </c>
      <c r="BE349" s="37">
        <v>0</v>
      </c>
      <c r="BF349" s="279">
        <v>6190</v>
      </c>
      <c r="BG349" s="37">
        <v>33282</v>
      </c>
      <c r="BH349" s="37">
        <v>5848</v>
      </c>
      <c r="BI349" s="37">
        <v>11654</v>
      </c>
      <c r="BJ349" s="283">
        <v>56974</v>
      </c>
      <c r="BK349" s="161" t="s">
        <v>2105</v>
      </c>
      <c r="BL349" s="294"/>
      <c r="BM349"/>
      <c r="BN349"/>
      <c r="BO349"/>
      <c r="BP349"/>
      <c r="BQ349"/>
      <c r="BR349"/>
      <c r="BS349"/>
      <c r="BT349"/>
      <c r="BU349"/>
      <c r="BV349"/>
      <c r="BW349"/>
      <c r="BX349"/>
      <c r="BY349"/>
      <c r="BZ349"/>
      <c r="CA349"/>
      <c r="CB349"/>
      <c r="CC349"/>
      <c r="CD349"/>
      <c r="CE349"/>
      <c r="CF349"/>
      <c r="CG349"/>
      <c r="CH349"/>
      <c r="CI349"/>
      <c r="CJ349"/>
    </row>
    <row r="350" spans="1:88" s="32" customFormat="1" ht="15" customHeight="1" x14ac:dyDescent="0.35">
      <c r="A350" s="473"/>
      <c r="B350" s="313">
        <v>84040</v>
      </c>
      <c r="C350" s="8" t="s">
        <v>859</v>
      </c>
      <c r="D350" s="18">
        <v>7</v>
      </c>
      <c r="E350" s="251"/>
      <c r="F350" s="82"/>
      <c r="G350" s="79"/>
      <c r="H350" s="90"/>
      <c r="I350" s="85"/>
      <c r="J350" s="85"/>
      <c r="K350" s="85"/>
      <c r="L350" s="85"/>
      <c r="M350" s="85"/>
      <c r="N350" s="85"/>
      <c r="O350" s="85"/>
      <c r="P350" s="85"/>
      <c r="Q350" s="85"/>
      <c r="R350" s="85"/>
      <c r="S350" s="89"/>
      <c r="T350" s="89" t="s">
        <v>1124</v>
      </c>
      <c r="U350" s="85"/>
      <c r="V350" s="85"/>
      <c r="W350" s="85"/>
      <c r="X350" s="89" t="s">
        <v>1124</v>
      </c>
      <c r="Y350" s="79"/>
      <c r="Z350" s="79"/>
      <c r="AA350" s="94"/>
      <c r="AB350" s="79" t="s">
        <v>1124</v>
      </c>
      <c r="AC350" s="85"/>
      <c r="AD350" s="85"/>
      <c r="AE350" s="85"/>
      <c r="AF350" s="85"/>
      <c r="AG350" s="85" t="s">
        <v>1124</v>
      </c>
      <c r="AH350" s="85"/>
      <c r="AI350" s="85"/>
      <c r="AJ350" s="85"/>
      <c r="AK350" s="85"/>
      <c r="AL350" s="85"/>
      <c r="AM350" s="85"/>
      <c r="AN350" s="85"/>
      <c r="AO350" s="85"/>
      <c r="AP350" s="85"/>
      <c r="AQ350" s="85"/>
      <c r="AR350" s="85" t="s">
        <v>1124</v>
      </c>
      <c r="AS350" s="85"/>
      <c r="AT350" s="85"/>
      <c r="AU350" s="85"/>
      <c r="AV350" s="85"/>
      <c r="AW350" s="85"/>
      <c r="AX350" s="85"/>
      <c r="AY350" s="85"/>
      <c r="AZ350" s="85"/>
      <c r="BA350" s="85"/>
      <c r="BB350" s="89"/>
      <c r="BC350" s="89" t="s">
        <v>1124</v>
      </c>
      <c r="BD350" s="37"/>
      <c r="BE350" s="37"/>
      <c r="BF350" s="279"/>
      <c r="BG350" s="37"/>
      <c r="BH350" s="37"/>
      <c r="BI350" s="37"/>
      <c r="BJ350" s="283"/>
      <c r="BK350" s="161"/>
      <c r="BL350" s="294"/>
      <c r="BM350"/>
      <c r="BN350"/>
      <c r="BO350"/>
      <c r="BP350"/>
      <c r="BQ350"/>
      <c r="BR350"/>
      <c r="BS350"/>
      <c r="BT350"/>
      <c r="BU350"/>
      <c r="BV350"/>
      <c r="BW350"/>
      <c r="BX350"/>
      <c r="BY350"/>
      <c r="BZ350"/>
      <c r="CA350"/>
      <c r="CB350"/>
      <c r="CC350"/>
      <c r="CD350"/>
      <c r="CE350"/>
      <c r="CF350"/>
      <c r="CG350"/>
      <c r="CH350"/>
      <c r="CI350"/>
      <c r="CJ350"/>
    </row>
    <row r="351" spans="1:88" s="32" customFormat="1" ht="15" customHeight="1" x14ac:dyDescent="0.35">
      <c r="A351" s="473"/>
      <c r="B351" s="313">
        <v>80055</v>
      </c>
      <c r="C351" s="8" t="s">
        <v>811</v>
      </c>
      <c r="D351" s="18">
        <v>7</v>
      </c>
      <c r="E351" s="251"/>
      <c r="F351" s="82"/>
      <c r="G351" s="79"/>
      <c r="H351" s="90"/>
      <c r="I351" s="85"/>
      <c r="J351" s="85"/>
      <c r="K351" s="85"/>
      <c r="L351" s="85"/>
      <c r="M351" s="85"/>
      <c r="N351" s="85"/>
      <c r="O351" s="85"/>
      <c r="P351" s="85"/>
      <c r="Q351" s="85"/>
      <c r="R351" s="85"/>
      <c r="S351" s="89"/>
      <c r="T351" s="89" t="s">
        <v>1124</v>
      </c>
      <c r="U351" s="85"/>
      <c r="V351" s="85"/>
      <c r="W351" s="85"/>
      <c r="X351" s="89" t="s">
        <v>1124</v>
      </c>
      <c r="Y351" s="79"/>
      <c r="Z351" s="79"/>
      <c r="AA351" s="94"/>
      <c r="AB351" s="79" t="s">
        <v>1124</v>
      </c>
      <c r="AC351" s="85"/>
      <c r="AD351" s="85"/>
      <c r="AE351" s="85"/>
      <c r="AF351" s="85"/>
      <c r="AG351" s="85" t="s">
        <v>1124</v>
      </c>
      <c r="AH351" s="85"/>
      <c r="AI351" s="85"/>
      <c r="AJ351" s="85"/>
      <c r="AK351" s="85"/>
      <c r="AL351" s="85"/>
      <c r="AM351" s="85"/>
      <c r="AN351" s="85"/>
      <c r="AO351" s="85"/>
      <c r="AP351" s="85"/>
      <c r="AQ351" s="85"/>
      <c r="AR351" s="85" t="s">
        <v>1124</v>
      </c>
      <c r="AS351" s="85"/>
      <c r="AT351" s="85"/>
      <c r="AU351" s="85"/>
      <c r="AV351" s="85"/>
      <c r="AW351" s="85"/>
      <c r="AX351" s="85"/>
      <c r="AY351" s="85"/>
      <c r="AZ351" s="85"/>
      <c r="BA351" s="85"/>
      <c r="BB351" s="89"/>
      <c r="BC351" s="89" t="s">
        <v>1124</v>
      </c>
      <c r="BD351" s="37"/>
      <c r="BE351" s="37"/>
      <c r="BF351" s="279"/>
      <c r="BG351" s="37"/>
      <c r="BH351" s="37"/>
      <c r="BI351" s="37"/>
      <c r="BJ351" s="283"/>
      <c r="BK351" s="161"/>
      <c r="BL351" s="294"/>
      <c r="BM351"/>
      <c r="BN351"/>
      <c r="BO351"/>
      <c r="BP351"/>
      <c r="BQ351"/>
      <c r="BR351"/>
      <c r="BS351"/>
      <c r="BT351"/>
      <c r="BU351"/>
      <c r="BV351"/>
      <c r="BW351"/>
      <c r="BX351"/>
      <c r="BY351"/>
      <c r="BZ351"/>
      <c r="CA351"/>
      <c r="CB351"/>
      <c r="CC351"/>
      <c r="CD351"/>
      <c r="CE351"/>
      <c r="CF351"/>
      <c r="CG351"/>
      <c r="CH351"/>
      <c r="CI351"/>
      <c r="CJ351"/>
    </row>
    <row r="352" spans="1:88" s="32" customFormat="1" ht="15" customHeight="1" x14ac:dyDescent="0.35">
      <c r="A352" s="473"/>
      <c r="B352" s="313">
        <v>80060</v>
      </c>
      <c r="C352" s="8" t="s">
        <v>812</v>
      </c>
      <c r="D352" s="18">
        <v>7</v>
      </c>
      <c r="E352" s="251"/>
      <c r="F352" s="82"/>
      <c r="G352" s="79"/>
      <c r="H352" s="90"/>
      <c r="I352" s="85"/>
      <c r="J352" s="85"/>
      <c r="K352" s="85"/>
      <c r="L352" s="85"/>
      <c r="M352" s="85"/>
      <c r="N352" s="85"/>
      <c r="O352" s="85"/>
      <c r="P352" s="85"/>
      <c r="Q352" s="85"/>
      <c r="R352" s="85"/>
      <c r="S352" s="89"/>
      <c r="T352" s="89" t="s">
        <v>1124</v>
      </c>
      <c r="U352" s="85"/>
      <c r="V352" s="85"/>
      <c r="W352" s="85"/>
      <c r="X352" s="89" t="s">
        <v>1124</v>
      </c>
      <c r="Y352" s="79"/>
      <c r="Z352" s="79"/>
      <c r="AA352" s="94"/>
      <c r="AB352" s="79" t="s">
        <v>1124</v>
      </c>
      <c r="AC352" s="85"/>
      <c r="AD352" s="85"/>
      <c r="AE352" s="85"/>
      <c r="AF352" s="85"/>
      <c r="AG352" s="85" t="s">
        <v>1124</v>
      </c>
      <c r="AH352" s="85"/>
      <c r="AI352" s="85"/>
      <c r="AJ352" s="85"/>
      <c r="AK352" s="85"/>
      <c r="AL352" s="85"/>
      <c r="AM352" s="85"/>
      <c r="AN352" s="85"/>
      <c r="AO352" s="85"/>
      <c r="AP352" s="85"/>
      <c r="AQ352" s="85"/>
      <c r="AR352" s="85" t="s">
        <v>1124</v>
      </c>
      <c r="AS352" s="85"/>
      <c r="AT352" s="85"/>
      <c r="AU352" s="85"/>
      <c r="AV352" s="85"/>
      <c r="AW352" s="85"/>
      <c r="AX352" s="85"/>
      <c r="AY352" s="85"/>
      <c r="AZ352" s="85"/>
      <c r="BA352" s="85"/>
      <c r="BB352" s="89"/>
      <c r="BC352" s="89" t="s">
        <v>1124</v>
      </c>
      <c r="BD352" s="37"/>
      <c r="BE352" s="37"/>
      <c r="BF352" s="279"/>
      <c r="BG352" s="37"/>
      <c r="BH352" s="37"/>
      <c r="BI352" s="37"/>
      <c r="BJ352" s="283"/>
      <c r="BK352" s="161"/>
      <c r="BL352" s="294"/>
      <c r="BM352"/>
      <c r="BN352"/>
      <c r="BO352"/>
      <c r="BP352"/>
      <c r="BQ352"/>
      <c r="BR352"/>
      <c r="BS352"/>
      <c r="BT352"/>
      <c r="BU352"/>
      <c r="BV352"/>
      <c r="BW352"/>
      <c r="BX352"/>
      <c r="BY352"/>
      <c r="BZ352"/>
      <c r="CA352"/>
      <c r="CB352"/>
      <c r="CC352"/>
      <c r="CD352"/>
      <c r="CE352"/>
      <c r="CF352"/>
      <c r="CG352"/>
      <c r="CH352"/>
      <c r="CI352"/>
      <c r="CJ352"/>
    </row>
    <row r="353" spans="1:88" s="32" customFormat="1" ht="15" customHeight="1" x14ac:dyDescent="0.35">
      <c r="A353" s="473"/>
      <c r="B353" s="313">
        <v>98045</v>
      </c>
      <c r="C353" s="8" t="s">
        <v>1016</v>
      </c>
      <c r="D353" s="18">
        <v>9</v>
      </c>
      <c r="E353" s="251">
        <v>244</v>
      </c>
      <c r="F353" s="82">
        <v>1.6366906474820144</v>
      </c>
      <c r="G353" s="79">
        <v>399.35251798561154</v>
      </c>
      <c r="H353" s="90">
        <v>7.6549999999999994</v>
      </c>
      <c r="I353" s="85">
        <v>6.8479999999999999</v>
      </c>
      <c r="J353" s="85">
        <v>8.1660000000000004</v>
      </c>
      <c r="K353" s="85">
        <v>7.0369999999999999</v>
      </c>
      <c r="L353" s="85">
        <v>9.423</v>
      </c>
      <c r="M353" s="85">
        <v>7.6259999999999994</v>
      </c>
      <c r="N353" s="85">
        <v>10.114999999999998</v>
      </c>
      <c r="O353" s="85">
        <v>9.8090000000000011</v>
      </c>
      <c r="P353" s="85">
        <v>8.6059999999999999</v>
      </c>
      <c r="Q353" s="85">
        <v>8.048</v>
      </c>
      <c r="R353" s="85">
        <v>5.9279999999999999</v>
      </c>
      <c r="S353" s="89">
        <v>5.84</v>
      </c>
      <c r="T353" s="89">
        <v>95.100999999999985</v>
      </c>
      <c r="U353" s="85">
        <v>0</v>
      </c>
      <c r="V353" s="85">
        <v>95.100999999999985</v>
      </c>
      <c r="W353" s="85">
        <v>0</v>
      </c>
      <c r="X353" s="89">
        <v>95.100999999999985</v>
      </c>
      <c r="Y353" s="79">
        <v>0</v>
      </c>
      <c r="Z353" s="79">
        <v>2</v>
      </c>
      <c r="AA353" s="94">
        <v>0</v>
      </c>
      <c r="AB353" s="79">
        <v>2</v>
      </c>
      <c r="AC353" s="85">
        <v>52.575828793774321</v>
      </c>
      <c r="AD353" s="85">
        <v>4.2281712062256815</v>
      </c>
      <c r="AE353" s="85">
        <v>38.296999999999997</v>
      </c>
      <c r="AF353" s="85">
        <v>0</v>
      </c>
      <c r="AG353" s="85">
        <v>95.100999999999999</v>
      </c>
      <c r="AH353" s="85">
        <v>0</v>
      </c>
      <c r="AI353" s="85">
        <v>0</v>
      </c>
      <c r="AJ353" s="85">
        <v>0</v>
      </c>
      <c r="AK353" s="85">
        <v>0</v>
      </c>
      <c r="AL353" s="85">
        <v>0</v>
      </c>
      <c r="AM353" s="85">
        <v>0</v>
      </c>
      <c r="AN353" s="85">
        <v>0</v>
      </c>
      <c r="AO353" s="85">
        <v>0</v>
      </c>
      <c r="AP353" s="85">
        <v>0</v>
      </c>
      <c r="AQ353" s="85">
        <v>0</v>
      </c>
      <c r="AR353" s="85">
        <v>0</v>
      </c>
      <c r="AS353" s="85">
        <v>0</v>
      </c>
      <c r="AT353" s="85">
        <v>0</v>
      </c>
      <c r="AU353" s="85">
        <v>0</v>
      </c>
      <c r="AV353" s="85">
        <v>0</v>
      </c>
      <c r="AW353" s="85">
        <v>0</v>
      </c>
      <c r="AX353" s="85">
        <v>0</v>
      </c>
      <c r="AY353" s="85">
        <v>0</v>
      </c>
      <c r="AZ353" s="85">
        <v>95.100999999999985</v>
      </c>
      <c r="BA353" s="85">
        <v>0</v>
      </c>
      <c r="BB353" s="89">
        <v>0</v>
      </c>
      <c r="BC353" s="89">
        <v>95.100999999999985</v>
      </c>
      <c r="BD353" s="37">
        <v>0</v>
      </c>
      <c r="BE353" s="37">
        <v>0</v>
      </c>
      <c r="BF353" s="279">
        <v>8349</v>
      </c>
      <c r="BG353" s="37">
        <v>12683</v>
      </c>
      <c r="BH353" s="37">
        <v>8743</v>
      </c>
      <c r="BI353" s="37">
        <v>0</v>
      </c>
      <c r="BJ353" s="283">
        <v>29775</v>
      </c>
      <c r="BK353" s="161"/>
      <c r="BL353" s="294"/>
      <c r="BM353"/>
      <c r="BN353"/>
      <c r="BO353"/>
      <c r="BP353"/>
      <c r="BQ353"/>
      <c r="BR353"/>
      <c r="BS353"/>
      <c r="BT353"/>
      <c r="BU353"/>
      <c r="BV353"/>
      <c r="BW353"/>
      <c r="BX353"/>
      <c r="BY353"/>
      <c r="BZ353"/>
      <c r="CA353"/>
      <c r="CB353"/>
      <c r="CC353"/>
      <c r="CD353"/>
      <c r="CE353"/>
      <c r="CF353"/>
      <c r="CG353"/>
      <c r="CH353"/>
      <c r="CI353"/>
      <c r="CJ353"/>
    </row>
    <row r="354" spans="1:88" s="32" customFormat="1" ht="15" customHeight="1" x14ac:dyDescent="0.35">
      <c r="A354" s="473"/>
      <c r="B354" s="313">
        <v>95032</v>
      </c>
      <c r="C354" s="8" t="s">
        <v>990</v>
      </c>
      <c r="D354" s="18">
        <v>9</v>
      </c>
      <c r="E354" s="251">
        <v>565</v>
      </c>
      <c r="F354" s="82">
        <v>2.0720338983050848</v>
      </c>
      <c r="G354" s="79">
        <v>1170.699152542373</v>
      </c>
      <c r="H354" s="90">
        <v>17.986000000000001</v>
      </c>
      <c r="I354" s="85">
        <v>17.100999999999999</v>
      </c>
      <c r="J354" s="85">
        <v>20.898</v>
      </c>
      <c r="K354" s="85">
        <v>20.824999999999999</v>
      </c>
      <c r="L354" s="85">
        <v>21.6</v>
      </c>
      <c r="M354" s="85">
        <v>22.754999999999999</v>
      </c>
      <c r="N354" s="85">
        <v>24.417000000000002</v>
      </c>
      <c r="O354" s="85">
        <v>18.548999999999999</v>
      </c>
      <c r="P354" s="85">
        <v>14.430999999999999</v>
      </c>
      <c r="Q354" s="85">
        <v>14.877000000000001</v>
      </c>
      <c r="R354" s="85">
        <v>16.335000000000001</v>
      </c>
      <c r="S354" s="89">
        <v>16.423999999999999</v>
      </c>
      <c r="T354" s="89">
        <v>226.19800000000004</v>
      </c>
      <c r="U354" s="85">
        <v>0</v>
      </c>
      <c r="V354" s="85">
        <v>226.19800000000001</v>
      </c>
      <c r="W354" s="85">
        <v>0</v>
      </c>
      <c r="X354" s="89">
        <v>226.19800000000001</v>
      </c>
      <c r="Y354" s="79">
        <v>0</v>
      </c>
      <c r="Z354" s="79">
        <v>1</v>
      </c>
      <c r="AA354" s="94">
        <v>0</v>
      </c>
      <c r="AB354" s="79">
        <v>1</v>
      </c>
      <c r="AC354" s="85">
        <v>120.45272991379311</v>
      </c>
      <c r="AD354" s="85">
        <v>6.5908300862069069</v>
      </c>
      <c r="AE354" s="85">
        <v>99.154439999999994</v>
      </c>
      <c r="AF354" s="85">
        <v>0</v>
      </c>
      <c r="AG354" s="85">
        <v>226.19800000000001</v>
      </c>
      <c r="AH354" s="85">
        <v>0</v>
      </c>
      <c r="AI354" s="85">
        <v>0</v>
      </c>
      <c r="AJ354" s="85">
        <v>0</v>
      </c>
      <c r="AK354" s="85">
        <v>0</v>
      </c>
      <c r="AL354" s="85">
        <v>0</v>
      </c>
      <c r="AM354" s="85">
        <v>0</v>
      </c>
      <c r="AN354" s="85">
        <v>0</v>
      </c>
      <c r="AO354" s="85">
        <v>0</v>
      </c>
      <c r="AP354" s="85">
        <v>0</v>
      </c>
      <c r="AQ354" s="85">
        <v>0</v>
      </c>
      <c r="AR354" s="85">
        <v>0</v>
      </c>
      <c r="AS354" s="85">
        <v>0</v>
      </c>
      <c r="AT354" s="85">
        <v>0</v>
      </c>
      <c r="AU354" s="85">
        <v>0</v>
      </c>
      <c r="AV354" s="85">
        <v>0</v>
      </c>
      <c r="AW354" s="85">
        <v>0</v>
      </c>
      <c r="AX354" s="85">
        <v>0</v>
      </c>
      <c r="AY354" s="85">
        <v>226.19800000000001</v>
      </c>
      <c r="AZ354" s="85">
        <v>0</v>
      </c>
      <c r="BA354" s="85">
        <v>0</v>
      </c>
      <c r="BB354" s="89">
        <v>0</v>
      </c>
      <c r="BC354" s="89">
        <v>226.19800000000001</v>
      </c>
      <c r="BD354" s="37">
        <v>0</v>
      </c>
      <c r="BE354" s="37">
        <v>0</v>
      </c>
      <c r="BF354" s="279">
        <v>33281</v>
      </c>
      <c r="BG354" s="37">
        <v>66835</v>
      </c>
      <c r="BH354" s="37">
        <v>21546</v>
      </c>
      <c r="BI354" s="37">
        <v>7085</v>
      </c>
      <c r="BJ354" s="283">
        <v>128747</v>
      </c>
      <c r="BK354" s="161"/>
      <c r="BL354" s="294"/>
      <c r="BM354"/>
      <c r="BN354"/>
      <c r="BO354"/>
      <c r="BP354"/>
      <c r="BQ354"/>
      <c r="BR354"/>
      <c r="BS354"/>
      <c r="BT354"/>
      <c r="BU354"/>
      <c r="BV354"/>
      <c r="BW354"/>
      <c r="BX354"/>
      <c r="BY354"/>
      <c r="BZ354"/>
      <c r="CA354"/>
      <c r="CB354"/>
      <c r="CC354"/>
      <c r="CD354"/>
      <c r="CE354"/>
      <c r="CF354"/>
      <c r="CG354"/>
      <c r="CH354"/>
      <c r="CI354"/>
      <c r="CJ354"/>
    </row>
    <row r="355" spans="1:88" s="32" customFormat="1" ht="15" customHeight="1" x14ac:dyDescent="0.35">
      <c r="A355" s="473"/>
      <c r="B355" s="313">
        <v>58227</v>
      </c>
      <c r="C355" s="8" t="s">
        <v>598</v>
      </c>
      <c r="D355" s="18">
        <v>16</v>
      </c>
      <c r="E355" s="251">
        <v>112514</v>
      </c>
      <c r="F355" s="82">
        <v>2.1882720709039725</v>
      </c>
      <c r="G355" s="79">
        <v>246211.24378568956</v>
      </c>
      <c r="H355" s="90">
        <v>6740.567</v>
      </c>
      <c r="I355" s="85">
        <v>6642.01</v>
      </c>
      <c r="J355" s="85">
        <v>6663.8450000000003</v>
      </c>
      <c r="K355" s="85">
        <v>6503.0929999999998</v>
      </c>
      <c r="L355" s="85">
        <v>6814.5709999999999</v>
      </c>
      <c r="M355" s="85">
        <v>7645.61</v>
      </c>
      <c r="N355" s="85">
        <v>7320.0129999999999</v>
      </c>
      <c r="O355" s="85">
        <v>7500.7730000000001</v>
      </c>
      <c r="P355" s="85">
        <v>6605.1019999999999</v>
      </c>
      <c r="Q355" s="85">
        <v>6096.7219999999998</v>
      </c>
      <c r="R355" s="85">
        <v>6122.335</v>
      </c>
      <c r="S355" s="89">
        <v>6682.9750000000004</v>
      </c>
      <c r="T355" s="89">
        <v>81337.616000000009</v>
      </c>
      <c r="U355" s="85">
        <v>81337.616000000009</v>
      </c>
      <c r="V355" s="85">
        <v>0</v>
      </c>
      <c r="W355" s="85">
        <v>0</v>
      </c>
      <c r="X355" s="89">
        <v>81337.616000000009</v>
      </c>
      <c r="Y355" s="79">
        <v>3</v>
      </c>
      <c r="Z355" s="79">
        <v>0</v>
      </c>
      <c r="AA355" s="94">
        <v>0</v>
      </c>
      <c r="AB355" s="79">
        <v>3</v>
      </c>
      <c r="AC355" s="85">
        <v>25660.894000000004</v>
      </c>
      <c r="AD355" s="85">
        <v>13087.055939999991</v>
      </c>
      <c r="AE355" s="85">
        <v>12573.838060000002</v>
      </c>
      <c r="AF355" s="85">
        <v>30015.828000000001</v>
      </c>
      <c r="AG355" s="85">
        <v>81337.615999999995</v>
      </c>
      <c r="AH355" s="85">
        <v>81337.616000000009</v>
      </c>
      <c r="AI355" s="85">
        <v>0</v>
      </c>
      <c r="AJ355" s="85">
        <v>0</v>
      </c>
      <c r="AK355" s="85">
        <v>0</v>
      </c>
      <c r="AL355" s="85">
        <v>0</v>
      </c>
      <c r="AM355" s="85">
        <v>0</v>
      </c>
      <c r="AN355" s="85">
        <v>0</v>
      </c>
      <c r="AO355" s="85">
        <v>0</v>
      </c>
      <c r="AP355" s="85">
        <v>0</v>
      </c>
      <c r="AQ355" s="85">
        <v>0</v>
      </c>
      <c r="AR355" s="85">
        <v>81337.616000000009</v>
      </c>
      <c r="AS355" s="85">
        <v>0</v>
      </c>
      <c r="AT355" s="85">
        <v>0</v>
      </c>
      <c r="AU355" s="85">
        <v>0</v>
      </c>
      <c r="AV355" s="85">
        <v>0</v>
      </c>
      <c r="AW355" s="85">
        <v>0</v>
      </c>
      <c r="AX355" s="85">
        <v>0</v>
      </c>
      <c r="AY355" s="85">
        <v>0</v>
      </c>
      <c r="AZ355" s="85">
        <v>0</v>
      </c>
      <c r="BA355" s="85">
        <v>0</v>
      </c>
      <c r="BB355" s="89">
        <v>0</v>
      </c>
      <c r="BC355" s="89">
        <v>0</v>
      </c>
      <c r="BD355" s="37">
        <v>4985239</v>
      </c>
      <c r="BE355" s="37">
        <v>10683500</v>
      </c>
      <c r="BF355" s="279">
        <v>0</v>
      </c>
      <c r="BG355" s="37">
        <v>0</v>
      </c>
      <c r="BH355" s="37">
        <v>0</v>
      </c>
      <c r="BI355" s="37">
        <v>2881322</v>
      </c>
      <c r="BJ355" s="283">
        <v>2881322</v>
      </c>
      <c r="BK355" s="161"/>
      <c r="BL355" s="294"/>
      <c r="BM355"/>
      <c r="BN355"/>
      <c r="BO355"/>
      <c r="BP355"/>
      <c r="BQ355"/>
      <c r="BR355"/>
      <c r="BS355"/>
      <c r="BT355"/>
      <c r="BU355"/>
      <c r="BV355"/>
      <c r="BW355"/>
      <c r="BX355"/>
      <c r="BY355"/>
      <c r="BZ355"/>
      <c r="CA355"/>
      <c r="CB355"/>
      <c r="CC355"/>
      <c r="CD355"/>
      <c r="CE355"/>
      <c r="CF355"/>
      <c r="CG355"/>
      <c r="CH355"/>
      <c r="CI355"/>
      <c r="CJ355"/>
    </row>
    <row r="356" spans="1:88" s="32" customFormat="1" ht="15" customHeight="1" x14ac:dyDescent="0.35">
      <c r="A356" s="473"/>
      <c r="B356" s="313">
        <v>73025</v>
      </c>
      <c r="C356" s="8" t="s">
        <v>738</v>
      </c>
      <c r="D356" s="18">
        <v>15</v>
      </c>
      <c r="E356" s="251"/>
      <c r="F356" s="82"/>
      <c r="G356" s="79"/>
      <c r="H356" s="90"/>
      <c r="I356" s="85"/>
      <c r="J356" s="85"/>
      <c r="K356" s="85"/>
      <c r="L356" s="85"/>
      <c r="M356" s="85"/>
      <c r="N356" s="85"/>
      <c r="O356" s="85"/>
      <c r="P356" s="85"/>
      <c r="Q356" s="85"/>
      <c r="R356" s="85"/>
      <c r="S356" s="89"/>
      <c r="T356" s="89" t="s">
        <v>1124</v>
      </c>
      <c r="U356" s="85"/>
      <c r="V356" s="85"/>
      <c r="W356" s="85"/>
      <c r="X356" s="89" t="s">
        <v>1124</v>
      </c>
      <c r="Y356" s="79"/>
      <c r="Z356" s="79"/>
      <c r="AA356" s="94"/>
      <c r="AB356" s="79" t="s">
        <v>1124</v>
      </c>
      <c r="AC356" s="85"/>
      <c r="AD356" s="85"/>
      <c r="AE356" s="85"/>
      <c r="AF356" s="85"/>
      <c r="AG356" s="85" t="s">
        <v>1124</v>
      </c>
      <c r="AH356" s="85"/>
      <c r="AI356" s="85"/>
      <c r="AJ356" s="85"/>
      <c r="AK356" s="85"/>
      <c r="AL356" s="85"/>
      <c r="AM356" s="85"/>
      <c r="AN356" s="85"/>
      <c r="AO356" s="85"/>
      <c r="AP356" s="85"/>
      <c r="AQ356" s="85"/>
      <c r="AR356" s="85" t="s">
        <v>1124</v>
      </c>
      <c r="AS356" s="85"/>
      <c r="AT356" s="85"/>
      <c r="AU356" s="85"/>
      <c r="AV356" s="85"/>
      <c r="AW356" s="85"/>
      <c r="AX356" s="85"/>
      <c r="AY356" s="85"/>
      <c r="AZ356" s="85"/>
      <c r="BA356" s="85"/>
      <c r="BB356" s="89"/>
      <c r="BC356" s="89" t="s">
        <v>1124</v>
      </c>
      <c r="BD356" s="37"/>
      <c r="BE356" s="37"/>
      <c r="BF356" s="279"/>
      <c r="BG356" s="37"/>
      <c r="BH356" s="37"/>
      <c r="BI356" s="37"/>
      <c r="BJ356" s="283"/>
      <c r="BK356" s="161"/>
      <c r="BL356" s="294"/>
      <c r="BM356"/>
      <c r="BN356"/>
      <c r="BO356"/>
      <c r="BP356"/>
      <c r="BQ356"/>
      <c r="BR356"/>
      <c r="BS356"/>
      <c r="BT356"/>
      <c r="BU356"/>
      <c r="BV356"/>
      <c r="BW356"/>
      <c r="BX356"/>
      <c r="BY356"/>
      <c r="BZ356"/>
      <c r="CA356"/>
      <c r="CB356"/>
      <c r="CC356"/>
      <c r="CD356"/>
      <c r="CE356"/>
      <c r="CF356"/>
      <c r="CG356"/>
      <c r="CH356"/>
      <c r="CI356"/>
      <c r="CJ356"/>
    </row>
    <row r="357" spans="1:88" s="32" customFormat="1" ht="15" customHeight="1" x14ac:dyDescent="0.35">
      <c r="A357" s="473"/>
      <c r="B357" s="313">
        <v>85037</v>
      </c>
      <c r="C357" s="8" t="s">
        <v>876</v>
      </c>
      <c r="D357" s="18">
        <v>8</v>
      </c>
      <c r="E357" s="251">
        <v>525</v>
      </c>
      <c r="F357" s="82">
        <v>1.82</v>
      </c>
      <c r="G357" s="79">
        <v>955.5</v>
      </c>
      <c r="H357" s="90">
        <v>9.1010000000000009</v>
      </c>
      <c r="I357" s="85">
        <v>8.4260000000000002</v>
      </c>
      <c r="J357" s="85">
        <v>8.6959999999999997</v>
      </c>
      <c r="K357" s="85">
        <v>8.2240000000000002</v>
      </c>
      <c r="L357" s="85">
        <v>8.8800000000000008</v>
      </c>
      <c r="M357" s="85">
        <v>9.4809999999999999</v>
      </c>
      <c r="N357" s="85">
        <v>10.711</v>
      </c>
      <c r="O357" s="85">
        <v>10.696999999999999</v>
      </c>
      <c r="P357" s="85">
        <v>10.488</v>
      </c>
      <c r="Q357" s="85">
        <v>9.94</v>
      </c>
      <c r="R357" s="85">
        <v>8.1969999999999992</v>
      </c>
      <c r="S357" s="89">
        <v>9.0180000000000007</v>
      </c>
      <c r="T357" s="89">
        <v>111.85900000000001</v>
      </c>
      <c r="U357" s="85">
        <v>0</v>
      </c>
      <c r="V357" s="85">
        <v>111.85899999999999</v>
      </c>
      <c r="W357" s="85">
        <v>0</v>
      </c>
      <c r="X357" s="89">
        <v>111.85899999999999</v>
      </c>
      <c r="Y357" s="79">
        <v>0</v>
      </c>
      <c r="Z357" s="79">
        <v>1</v>
      </c>
      <c r="AA357" s="94">
        <v>0</v>
      </c>
      <c r="AB357" s="79">
        <v>1</v>
      </c>
      <c r="AC357" s="85">
        <v>85.753</v>
      </c>
      <c r="AD357" s="85">
        <v>11.538</v>
      </c>
      <c r="AE357" s="85">
        <v>14.568</v>
      </c>
      <c r="AF357" s="85">
        <v>0</v>
      </c>
      <c r="AG357" s="85">
        <v>111.85899999999999</v>
      </c>
      <c r="AH357" s="85">
        <v>0</v>
      </c>
      <c r="AI357" s="85">
        <v>0</v>
      </c>
      <c r="AJ357" s="85">
        <v>0</v>
      </c>
      <c r="AK357" s="85">
        <v>0</v>
      </c>
      <c r="AL357" s="85">
        <v>0</v>
      </c>
      <c r="AM357" s="85">
        <v>0</v>
      </c>
      <c r="AN357" s="85">
        <v>0</v>
      </c>
      <c r="AO357" s="85">
        <v>0</v>
      </c>
      <c r="AP357" s="85">
        <v>0</v>
      </c>
      <c r="AQ357" s="85">
        <v>0</v>
      </c>
      <c r="AR357" s="85">
        <v>0</v>
      </c>
      <c r="AS357" s="85">
        <v>0</v>
      </c>
      <c r="AT357" s="85">
        <v>0</v>
      </c>
      <c r="AU357" s="85">
        <v>0</v>
      </c>
      <c r="AV357" s="85">
        <v>0</v>
      </c>
      <c r="AW357" s="85">
        <v>0</v>
      </c>
      <c r="AX357" s="85">
        <v>0</v>
      </c>
      <c r="AY357" s="85">
        <v>0</v>
      </c>
      <c r="AZ357" s="85">
        <v>0</v>
      </c>
      <c r="BA357" s="85">
        <v>111.85899999999999</v>
      </c>
      <c r="BB357" s="89">
        <v>0</v>
      </c>
      <c r="BC357" s="89">
        <v>111.85899999999999</v>
      </c>
      <c r="BD357" s="37">
        <v>0</v>
      </c>
      <c r="BE357" s="37">
        <v>0</v>
      </c>
      <c r="BF357" s="279">
        <v>4955</v>
      </c>
      <c r="BG357" s="37">
        <v>11188</v>
      </c>
      <c r="BH357" s="37">
        <v>9849</v>
      </c>
      <c r="BI357" s="37">
        <v>16363</v>
      </c>
      <c r="BJ357" s="283">
        <v>42355</v>
      </c>
      <c r="BK357" s="161"/>
      <c r="BL357" s="294"/>
      <c r="BM357"/>
      <c r="BN357"/>
      <c r="BO357"/>
      <c r="BP357"/>
      <c r="BQ357"/>
      <c r="BR357"/>
      <c r="BS357"/>
      <c r="BT357"/>
      <c r="BU357"/>
      <c r="BV357"/>
      <c r="BW357"/>
      <c r="BX357"/>
      <c r="BY357"/>
      <c r="BZ357"/>
      <c r="CA357"/>
      <c r="CB357"/>
      <c r="CC357"/>
      <c r="CD357"/>
      <c r="CE357"/>
      <c r="CF357"/>
      <c r="CG357"/>
      <c r="CH357"/>
      <c r="CI357"/>
      <c r="CJ357"/>
    </row>
    <row r="358" spans="1:88" s="32" customFormat="1" ht="15" customHeight="1" x14ac:dyDescent="0.35">
      <c r="A358" s="473"/>
      <c r="B358" s="313">
        <v>33115</v>
      </c>
      <c r="C358" s="8" t="s">
        <v>283</v>
      </c>
      <c r="D358" s="18">
        <v>12</v>
      </c>
      <c r="E358" s="251"/>
      <c r="F358" s="82"/>
      <c r="G358" s="79"/>
      <c r="H358" s="90"/>
      <c r="I358" s="85"/>
      <c r="J358" s="85"/>
      <c r="K358" s="85"/>
      <c r="L358" s="85"/>
      <c r="M358" s="85"/>
      <c r="N358" s="85"/>
      <c r="O358" s="85"/>
      <c r="P358" s="85"/>
      <c r="Q358" s="85"/>
      <c r="R358" s="85"/>
      <c r="S358" s="89"/>
      <c r="T358" s="89" t="s">
        <v>1124</v>
      </c>
      <c r="U358" s="85"/>
      <c r="V358" s="85"/>
      <c r="W358" s="85"/>
      <c r="X358" s="89" t="s">
        <v>1124</v>
      </c>
      <c r="Y358" s="79"/>
      <c r="Z358" s="79"/>
      <c r="AA358" s="94"/>
      <c r="AB358" s="79" t="s">
        <v>1124</v>
      </c>
      <c r="AC358" s="85"/>
      <c r="AD358" s="85"/>
      <c r="AE358" s="85"/>
      <c r="AF358" s="85"/>
      <c r="AG358" s="85" t="s">
        <v>1124</v>
      </c>
      <c r="AH358" s="85"/>
      <c r="AI358" s="85"/>
      <c r="AJ358" s="85"/>
      <c r="AK358" s="85"/>
      <c r="AL358" s="85"/>
      <c r="AM358" s="85"/>
      <c r="AN358" s="85"/>
      <c r="AO358" s="85"/>
      <c r="AP358" s="85"/>
      <c r="AQ358" s="85"/>
      <c r="AR358" s="85" t="s">
        <v>1124</v>
      </c>
      <c r="AS358" s="85"/>
      <c r="AT358" s="85"/>
      <c r="AU358" s="85"/>
      <c r="AV358" s="85"/>
      <c r="AW358" s="85"/>
      <c r="AX358" s="85"/>
      <c r="AY358" s="85"/>
      <c r="AZ358" s="85"/>
      <c r="BA358" s="85"/>
      <c r="BB358" s="89"/>
      <c r="BC358" s="89" t="s">
        <v>1124</v>
      </c>
      <c r="BD358" s="37"/>
      <c r="BE358" s="37"/>
      <c r="BF358" s="279"/>
      <c r="BG358" s="37"/>
      <c r="BH358" s="37"/>
      <c r="BI358" s="37"/>
      <c r="BJ358" s="283"/>
      <c r="BK358" s="161"/>
      <c r="BL358" s="294"/>
      <c r="BM358"/>
      <c r="BN358"/>
      <c r="BO358"/>
      <c r="BP358"/>
      <c r="BQ358"/>
      <c r="BR358"/>
      <c r="BS358"/>
      <c r="BT358"/>
      <c r="BU358"/>
      <c r="BV358"/>
      <c r="BW358"/>
      <c r="BX358"/>
      <c r="BY358"/>
      <c r="BZ358"/>
      <c r="CA358"/>
      <c r="CB358"/>
      <c r="CC358"/>
      <c r="CD358"/>
      <c r="CE358"/>
      <c r="CF358"/>
      <c r="CG358"/>
      <c r="CH358"/>
      <c r="CI358"/>
      <c r="CJ358"/>
    </row>
    <row r="359" spans="1:88" s="32" customFormat="1" ht="15" customHeight="1" x14ac:dyDescent="0.35">
      <c r="A359" s="473"/>
      <c r="B359" s="313">
        <v>51015</v>
      </c>
      <c r="C359" s="8" t="s">
        <v>499</v>
      </c>
      <c r="D359" s="18">
        <v>4</v>
      </c>
      <c r="E359" s="251">
        <v>3841</v>
      </c>
      <c r="F359" s="82">
        <v>1.9289340101522843</v>
      </c>
      <c r="G359" s="79">
        <v>7409.0355329949243</v>
      </c>
      <c r="H359" s="90">
        <v>267.41500000000002</v>
      </c>
      <c r="I359" s="85">
        <v>230.36500000000001</v>
      </c>
      <c r="J359" s="85">
        <v>229.56</v>
      </c>
      <c r="K359" s="85">
        <v>229.86799999999999</v>
      </c>
      <c r="L359" s="85">
        <v>291.32</v>
      </c>
      <c r="M359" s="85">
        <v>259.86200000000002</v>
      </c>
      <c r="N359" s="85">
        <v>298.99099999999999</v>
      </c>
      <c r="O359" s="85">
        <v>367.61099999999999</v>
      </c>
      <c r="P359" s="85">
        <v>254.95500000000001</v>
      </c>
      <c r="Q359" s="85">
        <v>284.92899999999997</v>
      </c>
      <c r="R359" s="85">
        <v>211.36699999999999</v>
      </c>
      <c r="S359" s="89">
        <v>217.75299999999999</v>
      </c>
      <c r="T359" s="89">
        <v>3143.9960000000005</v>
      </c>
      <c r="U359" s="85">
        <v>0</v>
      </c>
      <c r="V359" s="85">
        <v>3143.9960000000005</v>
      </c>
      <c r="W359" s="85">
        <v>0</v>
      </c>
      <c r="X359" s="89">
        <v>3143.9960000000005</v>
      </c>
      <c r="Y359" s="79">
        <v>0</v>
      </c>
      <c r="Z359" s="79">
        <v>2</v>
      </c>
      <c r="AA359" s="94">
        <v>0</v>
      </c>
      <c r="AB359" s="79">
        <v>2</v>
      </c>
      <c r="AC359" s="85">
        <v>515.07809999999995</v>
      </c>
      <c r="AD359" s="85">
        <v>805.60514836734694</v>
      </c>
      <c r="AE359" s="85">
        <v>110.32275163265324</v>
      </c>
      <c r="AF359" s="85">
        <v>1712.9900000000005</v>
      </c>
      <c r="AG359" s="85">
        <v>3143.9960000000001</v>
      </c>
      <c r="AH359" s="85">
        <v>0</v>
      </c>
      <c r="AI359" s="85">
        <v>0</v>
      </c>
      <c r="AJ359" s="85">
        <v>0</v>
      </c>
      <c r="AK359" s="85">
        <v>0</v>
      </c>
      <c r="AL359" s="85">
        <v>0</v>
      </c>
      <c r="AM359" s="85">
        <v>0</v>
      </c>
      <c r="AN359" s="85">
        <v>0</v>
      </c>
      <c r="AO359" s="85">
        <v>0</v>
      </c>
      <c r="AP359" s="85">
        <v>0</v>
      </c>
      <c r="AQ359" s="85">
        <v>0</v>
      </c>
      <c r="AR359" s="85">
        <v>0</v>
      </c>
      <c r="AS359" s="85">
        <v>3143.9960000000005</v>
      </c>
      <c r="AT359" s="85">
        <v>0</v>
      </c>
      <c r="AU359" s="85">
        <v>0</v>
      </c>
      <c r="AV359" s="85">
        <v>0</v>
      </c>
      <c r="AW359" s="85">
        <v>0</v>
      </c>
      <c r="AX359" s="85">
        <v>0</v>
      </c>
      <c r="AY359" s="85">
        <v>0</v>
      </c>
      <c r="AZ359" s="85">
        <v>0</v>
      </c>
      <c r="BA359" s="85">
        <v>0</v>
      </c>
      <c r="BB359" s="89">
        <v>0</v>
      </c>
      <c r="BC359" s="89">
        <v>3143.9960000000005</v>
      </c>
      <c r="BD359" s="37">
        <v>0</v>
      </c>
      <c r="BE359" s="37">
        <v>0</v>
      </c>
      <c r="BF359" s="279">
        <v>47869</v>
      </c>
      <c r="BG359" s="37">
        <v>192184</v>
      </c>
      <c r="BH359" s="37">
        <v>168634</v>
      </c>
      <c r="BI359" s="37">
        <v>0</v>
      </c>
      <c r="BJ359" s="283">
        <v>408687</v>
      </c>
      <c r="BK359" s="161" t="s">
        <v>2125</v>
      </c>
      <c r="BL359" s="294"/>
      <c r="BM359"/>
      <c r="BN359"/>
      <c r="BO359"/>
      <c r="BP359"/>
      <c r="BQ359"/>
      <c r="BR359"/>
      <c r="BS359"/>
      <c r="BT359"/>
      <c r="BU359"/>
      <c r="BV359"/>
      <c r="BW359"/>
      <c r="BX359"/>
      <c r="BY359"/>
      <c r="BZ359"/>
      <c r="CA359"/>
      <c r="CB359"/>
      <c r="CC359"/>
      <c r="CD359"/>
      <c r="CE359"/>
      <c r="CF359"/>
      <c r="CG359"/>
      <c r="CH359"/>
      <c r="CI359"/>
      <c r="CJ359"/>
    </row>
    <row r="360" spans="1:88" s="32" customFormat="1" ht="15" customHeight="1" x14ac:dyDescent="0.35">
      <c r="A360" s="473"/>
      <c r="B360" s="313">
        <v>83010</v>
      </c>
      <c r="C360" s="8" t="s">
        <v>836</v>
      </c>
      <c r="D360" s="18">
        <v>7</v>
      </c>
      <c r="E360" s="251"/>
      <c r="F360" s="82"/>
      <c r="G360" s="79"/>
      <c r="H360" s="90"/>
      <c r="I360" s="85"/>
      <c r="J360" s="85"/>
      <c r="K360" s="85"/>
      <c r="L360" s="85"/>
      <c r="M360" s="85"/>
      <c r="N360" s="85"/>
      <c r="O360" s="85"/>
      <c r="P360" s="85"/>
      <c r="Q360" s="85"/>
      <c r="R360" s="85"/>
      <c r="S360" s="89"/>
      <c r="T360" s="89" t="s">
        <v>1124</v>
      </c>
      <c r="U360" s="85"/>
      <c r="V360" s="85"/>
      <c r="W360" s="85"/>
      <c r="X360" s="89" t="s">
        <v>1124</v>
      </c>
      <c r="Y360" s="79"/>
      <c r="Z360" s="79"/>
      <c r="AA360" s="94"/>
      <c r="AB360" s="79" t="s">
        <v>1124</v>
      </c>
      <c r="AC360" s="85"/>
      <c r="AD360" s="85"/>
      <c r="AE360" s="85"/>
      <c r="AF360" s="85"/>
      <c r="AG360" s="85" t="s">
        <v>1124</v>
      </c>
      <c r="AH360" s="85"/>
      <c r="AI360" s="85"/>
      <c r="AJ360" s="85"/>
      <c r="AK360" s="85"/>
      <c r="AL360" s="85"/>
      <c r="AM360" s="85"/>
      <c r="AN360" s="85"/>
      <c r="AO360" s="85"/>
      <c r="AP360" s="85"/>
      <c r="AQ360" s="85"/>
      <c r="AR360" s="85" t="s">
        <v>1124</v>
      </c>
      <c r="AS360" s="85"/>
      <c r="AT360" s="85"/>
      <c r="AU360" s="85"/>
      <c r="AV360" s="85"/>
      <c r="AW360" s="85"/>
      <c r="AX360" s="85"/>
      <c r="AY360" s="85"/>
      <c r="AZ360" s="85"/>
      <c r="BA360" s="85"/>
      <c r="BB360" s="89"/>
      <c r="BC360" s="89" t="s">
        <v>1124</v>
      </c>
      <c r="BD360" s="37"/>
      <c r="BE360" s="37"/>
      <c r="BF360" s="279"/>
      <c r="BG360" s="37"/>
      <c r="BH360" s="37"/>
      <c r="BI360" s="37"/>
      <c r="BJ360" s="283"/>
      <c r="BK360" s="161"/>
      <c r="BL360" s="294"/>
      <c r="BM360"/>
      <c r="BN360"/>
      <c r="BO360"/>
      <c r="BP360"/>
      <c r="BQ360"/>
      <c r="BR360"/>
      <c r="BS360"/>
      <c r="BT360"/>
      <c r="BU360"/>
      <c r="BV360"/>
      <c r="BW360"/>
      <c r="BX360"/>
      <c r="BY360"/>
      <c r="BZ360"/>
      <c r="CA360"/>
      <c r="CB360"/>
      <c r="CC360"/>
      <c r="CD360"/>
      <c r="CE360"/>
      <c r="CF360"/>
      <c r="CG360"/>
      <c r="CH360"/>
      <c r="CI360"/>
      <c r="CJ360"/>
    </row>
    <row r="361" spans="1:88" s="32" customFormat="1" ht="15" customHeight="1" x14ac:dyDescent="0.35">
      <c r="A361" s="473"/>
      <c r="B361" s="313">
        <v>32065</v>
      </c>
      <c r="C361" s="8" t="s">
        <v>263</v>
      </c>
      <c r="D361" s="18">
        <v>17</v>
      </c>
      <c r="E361" s="251">
        <v>543</v>
      </c>
      <c r="F361" s="82">
        <v>2.1316489361702127</v>
      </c>
      <c r="G361" s="79">
        <v>1157.4853723404256</v>
      </c>
      <c r="H361" s="90">
        <v>6.7569999999999997</v>
      </c>
      <c r="I361" s="85">
        <v>7.9820000000000002</v>
      </c>
      <c r="J361" s="85">
        <v>7.5789999999999997</v>
      </c>
      <c r="K361" s="85">
        <v>6.7750000000000004</v>
      </c>
      <c r="L361" s="85">
        <v>8.8859999999999992</v>
      </c>
      <c r="M361" s="85">
        <v>8.8970000000000002</v>
      </c>
      <c r="N361" s="85">
        <v>11.46</v>
      </c>
      <c r="O361" s="85">
        <v>10.222</v>
      </c>
      <c r="P361" s="85">
        <v>6.9359999999999999</v>
      </c>
      <c r="Q361" s="85">
        <v>8.4809999999999999</v>
      </c>
      <c r="R361" s="85">
        <v>8.3650000000000002</v>
      </c>
      <c r="S361" s="89">
        <v>6.2549999999999999</v>
      </c>
      <c r="T361" s="89">
        <v>98.594999999999985</v>
      </c>
      <c r="U361" s="85">
        <v>0</v>
      </c>
      <c r="V361" s="85">
        <v>98.594999999999999</v>
      </c>
      <c r="W361" s="85">
        <v>0</v>
      </c>
      <c r="X361" s="89">
        <v>98.594999999999999</v>
      </c>
      <c r="Y361" s="79">
        <v>0</v>
      </c>
      <c r="Z361" s="79">
        <v>1</v>
      </c>
      <c r="AA361" s="94">
        <v>0</v>
      </c>
      <c r="AB361" s="79">
        <v>1</v>
      </c>
      <c r="AC361" s="85">
        <v>75.435000000000002</v>
      </c>
      <c r="AD361" s="85">
        <v>6.5049999999999999</v>
      </c>
      <c r="AE361" s="85">
        <v>16.655000000000001</v>
      </c>
      <c r="AF361" s="85">
        <v>0</v>
      </c>
      <c r="AG361" s="85">
        <v>98.594999999999999</v>
      </c>
      <c r="AH361" s="85">
        <v>0</v>
      </c>
      <c r="AI361" s="85">
        <v>0</v>
      </c>
      <c r="AJ361" s="85">
        <v>0</v>
      </c>
      <c r="AK361" s="85">
        <v>0</v>
      </c>
      <c r="AL361" s="85">
        <v>0</v>
      </c>
      <c r="AM361" s="85">
        <v>0</v>
      </c>
      <c r="AN361" s="85">
        <v>0</v>
      </c>
      <c r="AO361" s="85">
        <v>0</v>
      </c>
      <c r="AP361" s="85">
        <v>0</v>
      </c>
      <c r="AQ361" s="85">
        <v>0</v>
      </c>
      <c r="AR361" s="85">
        <v>0</v>
      </c>
      <c r="AS361" s="85">
        <v>0</v>
      </c>
      <c r="AT361" s="85">
        <v>0</v>
      </c>
      <c r="AU361" s="85">
        <v>0</v>
      </c>
      <c r="AV361" s="85">
        <v>0</v>
      </c>
      <c r="AW361" s="85">
        <v>0</v>
      </c>
      <c r="AX361" s="85">
        <v>0</v>
      </c>
      <c r="AY361" s="85">
        <v>0</v>
      </c>
      <c r="AZ361" s="85">
        <v>0</v>
      </c>
      <c r="BA361" s="85">
        <v>98.594999999999999</v>
      </c>
      <c r="BB361" s="89">
        <v>0</v>
      </c>
      <c r="BC361" s="89">
        <v>98.594999999999999</v>
      </c>
      <c r="BD361" s="37">
        <v>0</v>
      </c>
      <c r="BE361" s="37">
        <v>0</v>
      </c>
      <c r="BF361" s="279">
        <v>11733</v>
      </c>
      <c r="BG361" s="37">
        <v>20863</v>
      </c>
      <c r="BH361" s="37">
        <v>13019</v>
      </c>
      <c r="BI361" s="37">
        <v>529</v>
      </c>
      <c r="BJ361" s="283">
        <v>46144</v>
      </c>
      <c r="BK361" s="161"/>
      <c r="BL361" s="294"/>
      <c r="BM361"/>
      <c r="BN361"/>
      <c r="BO361"/>
      <c r="BP361"/>
      <c r="BQ361"/>
      <c r="BR361"/>
      <c r="BS361"/>
      <c r="BT361"/>
      <c r="BU361"/>
      <c r="BV361"/>
      <c r="BW361"/>
      <c r="BX361"/>
      <c r="BY361"/>
      <c r="BZ361"/>
      <c r="CA361"/>
      <c r="CB361"/>
      <c r="CC361"/>
      <c r="CD361"/>
      <c r="CE361"/>
      <c r="CF361"/>
      <c r="CG361"/>
      <c r="CH361"/>
      <c r="CI361"/>
      <c r="CJ361"/>
    </row>
    <row r="362" spans="1:88" s="32" customFormat="1" ht="15" customHeight="1" x14ac:dyDescent="0.35">
      <c r="A362" s="473"/>
      <c r="B362" s="313">
        <v>87058</v>
      </c>
      <c r="C362" s="8" t="s">
        <v>899</v>
      </c>
      <c r="D362" s="18">
        <v>8</v>
      </c>
      <c r="E362" s="251">
        <v>592</v>
      </c>
      <c r="F362" s="82">
        <v>2.4533333333333331</v>
      </c>
      <c r="G362" s="79">
        <v>1452.3733333333332</v>
      </c>
      <c r="H362" s="90">
        <v>16.951000000000001</v>
      </c>
      <c r="I362" s="85">
        <v>14.775</v>
      </c>
      <c r="J362" s="85">
        <v>17.047999999999998</v>
      </c>
      <c r="K362" s="85">
        <v>18.619</v>
      </c>
      <c r="L362" s="85">
        <v>18.766999999999999</v>
      </c>
      <c r="M362" s="85">
        <v>19.202000000000002</v>
      </c>
      <c r="N362" s="85">
        <v>21.501000000000001</v>
      </c>
      <c r="O362" s="85">
        <v>19.866</v>
      </c>
      <c r="P362" s="85">
        <v>17.745999999999999</v>
      </c>
      <c r="Q362" s="85">
        <v>18.181000000000001</v>
      </c>
      <c r="R362" s="85">
        <v>19.027000000000001</v>
      </c>
      <c r="S362" s="89">
        <v>18.972000000000001</v>
      </c>
      <c r="T362" s="89">
        <v>220.655</v>
      </c>
      <c r="U362" s="85">
        <v>220.655</v>
      </c>
      <c r="V362" s="85">
        <v>0</v>
      </c>
      <c r="W362" s="85">
        <v>0</v>
      </c>
      <c r="X362" s="89">
        <v>220.655</v>
      </c>
      <c r="Y362" s="79">
        <v>1</v>
      </c>
      <c r="Z362" s="79">
        <v>0</v>
      </c>
      <c r="AA362" s="94">
        <v>0</v>
      </c>
      <c r="AB362" s="79">
        <v>1</v>
      </c>
      <c r="AC362" s="85">
        <v>151.13999999999999</v>
      </c>
      <c r="AD362" s="85">
        <v>6.6280000000000001</v>
      </c>
      <c r="AE362" s="85">
        <v>62.887</v>
      </c>
      <c r="AF362" s="85">
        <v>0</v>
      </c>
      <c r="AG362" s="85">
        <v>220.65499999999997</v>
      </c>
      <c r="AH362" s="85">
        <v>220.655</v>
      </c>
      <c r="AI362" s="85">
        <v>0</v>
      </c>
      <c r="AJ362" s="85">
        <v>0</v>
      </c>
      <c r="AK362" s="85">
        <v>0</v>
      </c>
      <c r="AL362" s="85">
        <v>0</v>
      </c>
      <c r="AM362" s="85">
        <v>0</v>
      </c>
      <c r="AN362" s="85">
        <v>0</v>
      </c>
      <c r="AO362" s="85">
        <v>0</v>
      </c>
      <c r="AP362" s="85">
        <v>0</v>
      </c>
      <c r="AQ362" s="85">
        <v>0</v>
      </c>
      <c r="AR362" s="85">
        <v>220.655</v>
      </c>
      <c r="AS362" s="85">
        <v>0</v>
      </c>
      <c r="AT362" s="85">
        <v>0</v>
      </c>
      <c r="AU362" s="85">
        <v>0</v>
      </c>
      <c r="AV362" s="85">
        <v>0</v>
      </c>
      <c r="AW362" s="85">
        <v>0</v>
      </c>
      <c r="AX362" s="85">
        <v>0</v>
      </c>
      <c r="AY362" s="85">
        <v>0</v>
      </c>
      <c r="AZ362" s="85">
        <v>0</v>
      </c>
      <c r="BA362" s="85">
        <v>0</v>
      </c>
      <c r="BB362" s="89">
        <v>0</v>
      </c>
      <c r="BC362" s="89">
        <v>0</v>
      </c>
      <c r="BD362" s="37">
        <v>0</v>
      </c>
      <c r="BE362" s="37">
        <v>0</v>
      </c>
      <c r="BF362" s="279">
        <v>63981</v>
      </c>
      <c r="BG362" s="37">
        <v>102865</v>
      </c>
      <c r="BH362" s="37">
        <v>48362</v>
      </c>
      <c r="BI362" s="37">
        <v>0</v>
      </c>
      <c r="BJ362" s="283">
        <v>215208</v>
      </c>
      <c r="BK362" s="161"/>
      <c r="BL362" s="294"/>
      <c r="BM362"/>
      <c r="BN362"/>
      <c r="BO362"/>
      <c r="BP362"/>
      <c r="BQ362"/>
      <c r="BR362"/>
      <c r="BS362"/>
      <c r="BT362"/>
      <c r="BU362"/>
      <c r="BV362"/>
      <c r="BW362"/>
      <c r="BX362"/>
      <c r="BY362"/>
      <c r="BZ362"/>
      <c r="CA362"/>
      <c r="CB362"/>
      <c r="CC362"/>
      <c r="CD362"/>
      <c r="CE362"/>
      <c r="CF362"/>
      <c r="CG362"/>
      <c r="CH362"/>
      <c r="CI362"/>
      <c r="CJ362"/>
    </row>
    <row r="363" spans="1:88" s="32" customFormat="1" ht="15" customHeight="1" x14ac:dyDescent="0.35">
      <c r="A363" s="473"/>
      <c r="B363" s="313">
        <v>39165</v>
      </c>
      <c r="C363" s="8" t="s">
        <v>1114</v>
      </c>
      <c r="D363" s="18">
        <v>17</v>
      </c>
      <c r="E363" s="251"/>
      <c r="F363" s="82"/>
      <c r="G363" s="79"/>
      <c r="H363" s="90"/>
      <c r="I363" s="85"/>
      <c r="J363" s="85"/>
      <c r="K363" s="85"/>
      <c r="L363" s="85"/>
      <c r="M363" s="85"/>
      <c r="N363" s="85"/>
      <c r="O363" s="85"/>
      <c r="P363" s="85"/>
      <c r="Q363" s="85"/>
      <c r="R363" s="85"/>
      <c r="S363" s="89"/>
      <c r="T363" s="89" t="s">
        <v>1124</v>
      </c>
      <c r="U363" s="85"/>
      <c r="V363" s="85"/>
      <c r="W363" s="85"/>
      <c r="X363" s="89" t="s">
        <v>1124</v>
      </c>
      <c r="Y363" s="79"/>
      <c r="Z363" s="79"/>
      <c r="AA363" s="94"/>
      <c r="AB363" s="79" t="s">
        <v>1124</v>
      </c>
      <c r="AC363" s="85"/>
      <c r="AD363" s="85"/>
      <c r="AE363" s="85"/>
      <c r="AF363" s="85"/>
      <c r="AG363" s="85" t="s">
        <v>1124</v>
      </c>
      <c r="AH363" s="85"/>
      <c r="AI363" s="85"/>
      <c r="AJ363" s="85"/>
      <c r="AK363" s="85"/>
      <c r="AL363" s="85"/>
      <c r="AM363" s="85"/>
      <c r="AN363" s="85"/>
      <c r="AO363" s="85"/>
      <c r="AP363" s="85"/>
      <c r="AQ363" s="85"/>
      <c r="AR363" s="85" t="s">
        <v>1124</v>
      </c>
      <c r="AS363" s="85"/>
      <c r="AT363" s="85"/>
      <c r="AU363" s="85"/>
      <c r="AV363" s="85"/>
      <c r="AW363" s="85"/>
      <c r="AX363" s="85"/>
      <c r="AY363" s="85"/>
      <c r="AZ363" s="85"/>
      <c r="BA363" s="85"/>
      <c r="BB363" s="89"/>
      <c r="BC363" s="89" t="s">
        <v>1124</v>
      </c>
      <c r="BD363" s="37"/>
      <c r="BE363" s="37"/>
      <c r="BF363" s="279"/>
      <c r="BG363" s="37"/>
      <c r="BH363" s="37"/>
      <c r="BI363" s="37"/>
      <c r="BJ363" s="283"/>
      <c r="BK363" s="161"/>
      <c r="BL363" s="294"/>
      <c r="BM363"/>
      <c r="BN363"/>
      <c r="BO363"/>
      <c r="BP363"/>
      <c r="BQ363"/>
      <c r="BR363"/>
      <c r="BS363"/>
      <c r="BT363"/>
      <c r="BU363"/>
      <c r="BV363"/>
      <c r="BW363"/>
      <c r="BX363"/>
      <c r="BY363"/>
      <c r="BZ363"/>
      <c r="CA363"/>
      <c r="CB363"/>
      <c r="CC363"/>
      <c r="CD363"/>
      <c r="CE363"/>
      <c r="CF363"/>
      <c r="CG363"/>
      <c r="CH363"/>
      <c r="CI363"/>
      <c r="CJ363"/>
    </row>
    <row r="364" spans="1:88" s="32" customFormat="1" ht="15" customHeight="1" x14ac:dyDescent="0.35">
      <c r="A364" s="473"/>
      <c r="B364" s="313">
        <v>45072</v>
      </c>
      <c r="C364" s="8" t="s">
        <v>419</v>
      </c>
      <c r="D364" s="18">
        <v>5</v>
      </c>
      <c r="E364" s="251">
        <v>11862</v>
      </c>
      <c r="F364" s="82">
        <v>1.9869266725094945</v>
      </c>
      <c r="G364" s="79">
        <v>23568.924189307625</v>
      </c>
      <c r="H364" s="90">
        <v>272.83600000000001</v>
      </c>
      <c r="I364" s="85">
        <v>258.57900000000001</v>
      </c>
      <c r="J364" s="85">
        <v>287.35199999999998</v>
      </c>
      <c r="K364" s="85">
        <v>294.71699999999998</v>
      </c>
      <c r="L364" s="85">
        <v>316.74299999999999</v>
      </c>
      <c r="M364" s="85">
        <v>326.33</v>
      </c>
      <c r="N364" s="85">
        <v>367.38200000000001</v>
      </c>
      <c r="O364" s="85">
        <v>351.87299999999999</v>
      </c>
      <c r="P364" s="85">
        <v>295.31</v>
      </c>
      <c r="Q364" s="85">
        <v>284.827</v>
      </c>
      <c r="R364" s="85">
        <v>261.90499999999997</v>
      </c>
      <c r="S364" s="89">
        <v>285.76499999999999</v>
      </c>
      <c r="T364" s="89">
        <v>3603.6189999999992</v>
      </c>
      <c r="U364" s="85">
        <v>3603.6190000000001</v>
      </c>
      <c r="V364" s="85">
        <v>0</v>
      </c>
      <c r="W364" s="85">
        <v>0</v>
      </c>
      <c r="X364" s="89">
        <v>3603.6190000000001</v>
      </c>
      <c r="Y364" s="79">
        <v>1</v>
      </c>
      <c r="Z364" s="79">
        <v>0</v>
      </c>
      <c r="AA364" s="94">
        <v>0</v>
      </c>
      <c r="AB364" s="79">
        <v>1</v>
      </c>
      <c r="AC364" s="85">
        <v>2476.9177151787185</v>
      </c>
      <c r="AD364" s="85">
        <v>521.96344482128484</v>
      </c>
      <c r="AE364" s="85">
        <v>604.73783999999682</v>
      </c>
      <c r="AF364" s="85">
        <v>0</v>
      </c>
      <c r="AG364" s="85">
        <v>3603.6190000000006</v>
      </c>
      <c r="AH364" s="85">
        <v>0</v>
      </c>
      <c r="AI364" s="85">
        <v>0</v>
      </c>
      <c r="AJ364" s="85">
        <v>0</v>
      </c>
      <c r="AK364" s="85">
        <v>3603.6189999999992</v>
      </c>
      <c r="AL364" s="85">
        <v>0</v>
      </c>
      <c r="AM364" s="85">
        <v>0</v>
      </c>
      <c r="AN364" s="85">
        <v>0</v>
      </c>
      <c r="AO364" s="85">
        <v>0</v>
      </c>
      <c r="AP364" s="85">
        <v>0</v>
      </c>
      <c r="AQ364" s="85">
        <v>0</v>
      </c>
      <c r="AR364" s="85">
        <v>3603.6189999999992</v>
      </c>
      <c r="AS364" s="85">
        <v>0</v>
      </c>
      <c r="AT364" s="85">
        <v>0</v>
      </c>
      <c r="AU364" s="85">
        <v>0</v>
      </c>
      <c r="AV364" s="85">
        <v>0</v>
      </c>
      <c r="AW364" s="85">
        <v>0</v>
      </c>
      <c r="AX364" s="85">
        <v>0</v>
      </c>
      <c r="AY364" s="85">
        <v>0</v>
      </c>
      <c r="AZ364" s="85">
        <v>0</v>
      </c>
      <c r="BA364" s="85">
        <v>0</v>
      </c>
      <c r="BB364" s="89">
        <v>0</v>
      </c>
      <c r="BC364" s="89">
        <v>0</v>
      </c>
      <c r="BD364" s="37">
        <v>848795</v>
      </c>
      <c r="BE364" s="37">
        <v>147634</v>
      </c>
      <c r="BF364" s="279">
        <v>129452</v>
      </c>
      <c r="BG364" s="37">
        <v>453577</v>
      </c>
      <c r="BH364" s="37">
        <v>342311</v>
      </c>
      <c r="BI364" s="37">
        <v>0</v>
      </c>
      <c r="BJ364" s="283">
        <v>925340</v>
      </c>
      <c r="BK364" s="161"/>
      <c r="BL364" s="294"/>
      <c r="BM364"/>
      <c r="BN364"/>
      <c r="BO364"/>
      <c r="BP364"/>
      <c r="BQ364"/>
      <c r="BR364"/>
      <c r="BS364"/>
      <c r="BT364"/>
      <c r="BU364"/>
      <c r="BV364"/>
      <c r="BW364"/>
      <c r="BX364"/>
      <c r="BY364"/>
      <c r="BZ364"/>
      <c r="CA364"/>
      <c r="CB364"/>
      <c r="CC364"/>
      <c r="CD364"/>
      <c r="CE364"/>
      <c r="CF364"/>
      <c r="CG364"/>
      <c r="CH364"/>
      <c r="CI364"/>
      <c r="CJ364"/>
    </row>
    <row r="365" spans="1:88" s="32" customFormat="1" ht="15" customHeight="1" x14ac:dyDescent="0.35">
      <c r="A365" s="473"/>
      <c r="B365" s="313">
        <v>89015</v>
      </c>
      <c r="C365" s="8" t="s">
        <v>930</v>
      </c>
      <c r="D365" s="18">
        <v>8</v>
      </c>
      <c r="E365" s="251"/>
      <c r="F365" s="82"/>
      <c r="G365" s="79"/>
      <c r="H365" s="90"/>
      <c r="I365" s="85"/>
      <c r="J365" s="85"/>
      <c r="K365" s="85"/>
      <c r="L365" s="85"/>
      <c r="M365" s="85"/>
      <c r="N365" s="85"/>
      <c r="O365" s="85"/>
      <c r="P365" s="85"/>
      <c r="Q365" s="85"/>
      <c r="R365" s="85"/>
      <c r="S365" s="89"/>
      <c r="T365" s="89" t="s">
        <v>1124</v>
      </c>
      <c r="U365" s="85"/>
      <c r="V365" s="85"/>
      <c r="W365" s="85"/>
      <c r="X365" s="89" t="s">
        <v>1124</v>
      </c>
      <c r="Y365" s="79"/>
      <c r="Z365" s="79"/>
      <c r="AA365" s="94"/>
      <c r="AB365" s="79" t="s">
        <v>1124</v>
      </c>
      <c r="AC365" s="85"/>
      <c r="AD365" s="85"/>
      <c r="AE365" s="85"/>
      <c r="AF365" s="85"/>
      <c r="AG365" s="85" t="s">
        <v>1124</v>
      </c>
      <c r="AH365" s="85"/>
      <c r="AI365" s="85"/>
      <c r="AJ365" s="85"/>
      <c r="AK365" s="85"/>
      <c r="AL365" s="85"/>
      <c r="AM365" s="85"/>
      <c r="AN365" s="85"/>
      <c r="AO365" s="85"/>
      <c r="AP365" s="85"/>
      <c r="AQ365" s="85"/>
      <c r="AR365" s="85" t="s">
        <v>1124</v>
      </c>
      <c r="AS365" s="85"/>
      <c r="AT365" s="85"/>
      <c r="AU365" s="85"/>
      <c r="AV365" s="85"/>
      <c r="AW365" s="85"/>
      <c r="AX365" s="85"/>
      <c r="AY365" s="85"/>
      <c r="AZ365" s="85"/>
      <c r="BA365" s="85"/>
      <c r="BB365" s="89"/>
      <c r="BC365" s="89" t="s">
        <v>1124</v>
      </c>
      <c r="BD365" s="37"/>
      <c r="BE365" s="37"/>
      <c r="BF365" s="279"/>
      <c r="BG365" s="37"/>
      <c r="BH365" s="37"/>
      <c r="BI365" s="37"/>
      <c r="BJ365" s="283"/>
      <c r="BK365" s="161"/>
      <c r="BL365" s="294"/>
      <c r="BM365"/>
      <c r="BN365"/>
      <c r="BO365"/>
      <c r="BP365"/>
      <c r="BQ365"/>
      <c r="BR365"/>
      <c r="BS365"/>
      <c r="BT365"/>
      <c r="BU365"/>
      <c r="BV365"/>
      <c r="BW365"/>
      <c r="BX365"/>
      <c r="BY365"/>
      <c r="BZ365"/>
      <c r="CA365"/>
      <c r="CB365"/>
      <c r="CC365"/>
      <c r="CD365"/>
      <c r="CE365"/>
      <c r="CF365"/>
      <c r="CG365"/>
      <c r="CH365"/>
      <c r="CI365"/>
      <c r="CJ365"/>
    </row>
    <row r="366" spans="1:88" s="32" customFormat="1" ht="15" customHeight="1" x14ac:dyDescent="0.35">
      <c r="A366" s="473"/>
      <c r="B366" s="313">
        <v>52095</v>
      </c>
      <c r="C366" s="8" t="s">
        <v>529</v>
      </c>
      <c r="D366" s="18">
        <v>14</v>
      </c>
      <c r="E366" s="251">
        <v>427</v>
      </c>
      <c r="F366" s="82">
        <v>1.97</v>
      </c>
      <c r="G366" s="79">
        <v>841.18999999999994</v>
      </c>
      <c r="H366" s="90">
        <v>6.6630000000000003</v>
      </c>
      <c r="I366" s="85">
        <v>6.1449999999999996</v>
      </c>
      <c r="J366" s="85">
        <v>6.1909999999999998</v>
      </c>
      <c r="K366" s="85">
        <v>6.02</v>
      </c>
      <c r="L366" s="85">
        <v>7.1180000000000003</v>
      </c>
      <c r="M366" s="85">
        <v>8.0519999999999996</v>
      </c>
      <c r="N366" s="85">
        <v>9.9737380952380938</v>
      </c>
      <c r="O366" s="85">
        <v>9.81</v>
      </c>
      <c r="P366" s="85">
        <v>9.1999999999999993</v>
      </c>
      <c r="Q366" s="85">
        <v>7.1762666666666677</v>
      </c>
      <c r="R366" s="85">
        <v>5.4649999999999999</v>
      </c>
      <c r="S366" s="89">
        <v>5.7842777777777776</v>
      </c>
      <c r="T366" s="89">
        <v>87.598282539682543</v>
      </c>
      <c r="U366" s="85">
        <v>0</v>
      </c>
      <c r="V366" s="85">
        <v>87.598282999999995</v>
      </c>
      <c r="W366" s="85">
        <v>0</v>
      </c>
      <c r="X366" s="89">
        <v>87.598282999999995</v>
      </c>
      <c r="Y366" s="79">
        <v>0</v>
      </c>
      <c r="Z366" s="79">
        <v>1</v>
      </c>
      <c r="AA366" s="94">
        <v>0</v>
      </c>
      <c r="AB366" s="79">
        <v>1</v>
      </c>
      <c r="AC366" s="85">
        <v>61.271000000000001</v>
      </c>
      <c r="AD366" s="85">
        <v>3.3372829999999958</v>
      </c>
      <c r="AE366" s="85">
        <v>22.99</v>
      </c>
      <c r="AF366" s="85">
        <v>0</v>
      </c>
      <c r="AG366" s="85">
        <v>87.598282999999995</v>
      </c>
      <c r="AH366" s="85">
        <v>0</v>
      </c>
      <c r="AI366" s="85">
        <v>0</v>
      </c>
      <c r="AJ366" s="85">
        <v>0</v>
      </c>
      <c r="AK366" s="85">
        <v>0</v>
      </c>
      <c r="AL366" s="85">
        <v>0</v>
      </c>
      <c r="AM366" s="85">
        <v>0</v>
      </c>
      <c r="AN366" s="85">
        <v>0</v>
      </c>
      <c r="AO366" s="85">
        <v>0</v>
      </c>
      <c r="AP366" s="85">
        <v>0</v>
      </c>
      <c r="AQ366" s="85">
        <v>0</v>
      </c>
      <c r="AR366" s="85">
        <v>0</v>
      </c>
      <c r="AS366" s="85">
        <v>0</v>
      </c>
      <c r="AT366" s="85">
        <v>0</v>
      </c>
      <c r="AU366" s="85">
        <v>0</v>
      </c>
      <c r="AV366" s="85">
        <v>0</v>
      </c>
      <c r="AW366" s="85">
        <v>0</v>
      </c>
      <c r="AX366" s="85">
        <v>0</v>
      </c>
      <c r="AY366" s="85">
        <v>0</v>
      </c>
      <c r="AZ366" s="85">
        <v>0</v>
      </c>
      <c r="BA366" s="85">
        <v>87.598282999999995</v>
      </c>
      <c r="BB366" s="89">
        <v>0</v>
      </c>
      <c r="BC366" s="89">
        <v>87.598282999999995</v>
      </c>
      <c r="BD366" s="37">
        <v>0</v>
      </c>
      <c r="BE366" s="37">
        <v>0</v>
      </c>
      <c r="BF366" s="279">
        <v>26173</v>
      </c>
      <c r="BG366" s="37">
        <v>43758</v>
      </c>
      <c r="BH366" s="37">
        <v>15340</v>
      </c>
      <c r="BI366" s="37">
        <v>0</v>
      </c>
      <c r="BJ366" s="283">
        <v>85271</v>
      </c>
      <c r="BK366" s="161"/>
      <c r="BL366" s="294"/>
      <c r="BM366"/>
      <c r="BN366"/>
      <c r="BO366"/>
      <c r="BP366"/>
      <c r="BQ366"/>
      <c r="BR366"/>
      <c r="BS366"/>
      <c r="BT366"/>
      <c r="BU366"/>
      <c r="BV366"/>
      <c r="BW366"/>
      <c r="BX366"/>
      <c r="BY366"/>
      <c r="BZ366"/>
      <c r="CA366"/>
      <c r="CB366"/>
      <c r="CC366"/>
      <c r="CD366"/>
      <c r="CE366"/>
      <c r="CF366"/>
      <c r="CG366"/>
      <c r="CH366"/>
      <c r="CI366"/>
      <c r="CJ366"/>
    </row>
    <row r="367" spans="1:88" s="32" customFormat="1" ht="15" customHeight="1" x14ac:dyDescent="0.35">
      <c r="A367" s="473"/>
      <c r="B367" s="313">
        <v>83065</v>
      </c>
      <c r="C367" s="8" t="s">
        <v>845</v>
      </c>
      <c r="D367" s="18">
        <v>7</v>
      </c>
      <c r="E367" s="251">
        <v>2131</v>
      </c>
      <c r="F367" s="82">
        <v>1.825261158594492</v>
      </c>
      <c r="G367" s="79">
        <v>3889.6315289648624</v>
      </c>
      <c r="H367" s="90">
        <v>64.89</v>
      </c>
      <c r="I367" s="85">
        <v>60.904000000000003</v>
      </c>
      <c r="J367" s="85">
        <v>71.674000000000007</v>
      </c>
      <c r="K367" s="85">
        <v>65.090999999999994</v>
      </c>
      <c r="L367" s="85">
        <v>67.992000000000004</v>
      </c>
      <c r="M367" s="85">
        <v>70.89</v>
      </c>
      <c r="N367" s="85">
        <v>81.597999999999999</v>
      </c>
      <c r="O367" s="85">
        <v>81.474999999999994</v>
      </c>
      <c r="P367" s="85">
        <v>71.283000000000001</v>
      </c>
      <c r="Q367" s="85">
        <v>66.129000000000005</v>
      </c>
      <c r="R367" s="85">
        <v>62.546999999999997</v>
      </c>
      <c r="S367" s="89">
        <v>63.72</v>
      </c>
      <c r="T367" s="89">
        <v>828.1930000000001</v>
      </c>
      <c r="U367" s="85">
        <v>0</v>
      </c>
      <c r="V367" s="85">
        <v>0</v>
      </c>
      <c r="W367" s="85">
        <v>828.19299999999998</v>
      </c>
      <c r="X367" s="89">
        <v>828.19299999999998</v>
      </c>
      <c r="Y367" s="79">
        <v>0</v>
      </c>
      <c r="Z367" s="79">
        <v>0</v>
      </c>
      <c r="AA367" s="94">
        <v>1</v>
      </c>
      <c r="AB367" s="79">
        <v>1</v>
      </c>
      <c r="AC367" s="85">
        <v>240.24</v>
      </c>
      <c r="AD367" s="85">
        <v>502.85500000000002</v>
      </c>
      <c r="AE367" s="85">
        <v>37.58</v>
      </c>
      <c r="AF367" s="85">
        <v>47.518000000000001</v>
      </c>
      <c r="AG367" s="85">
        <v>828.1930000000001</v>
      </c>
      <c r="AH367" s="85">
        <v>0</v>
      </c>
      <c r="AI367" s="85">
        <v>0</v>
      </c>
      <c r="AJ367" s="85">
        <v>0</v>
      </c>
      <c r="AK367" s="85">
        <v>0</v>
      </c>
      <c r="AL367" s="85">
        <v>0</v>
      </c>
      <c r="AM367" s="85">
        <v>0</v>
      </c>
      <c r="AN367" s="85">
        <v>0</v>
      </c>
      <c r="AO367" s="85">
        <v>0</v>
      </c>
      <c r="AP367" s="85">
        <v>0</v>
      </c>
      <c r="AQ367" s="85">
        <v>0</v>
      </c>
      <c r="AR367" s="85">
        <v>0</v>
      </c>
      <c r="AS367" s="85">
        <v>0</v>
      </c>
      <c r="AT367" s="85">
        <v>0</v>
      </c>
      <c r="AU367" s="85">
        <v>0</v>
      </c>
      <c r="AV367" s="85">
        <v>0</v>
      </c>
      <c r="AW367" s="85">
        <v>0</v>
      </c>
      <c r="AX367" s="85">
        <v>828.19299999999998</v>
      </c>
      <c r="AY367" s="85">
        <v>0</v>
      </c>
      <c r="AZ367" s="85">
        <v>0</v>
      </c>
      <c r="BA367" s="85">
        <v>0</v>
      </c>
      <c r="BB367" s="89">
        <v>0</v>
      </c>
      <c r="BC367" s="89">
        <v>828.19299999999998</v>
      </c>
      <c r="BD367" s="37">
        <v>54008</v>
      </c>
      <c r="BE367" s="37">
        <v>0</v>
      </c>
      <c r="BF367" s="279">
        <v>77561</v>
      </c>
      <c r="BG367" s="37">
        <v>21238</v>
      </c>
      <c r="BH367" s="37">
        <v>77816</v>
      </c>
      <c r="BI367" s="37">
        <v>7504</v>
      </c>
      <c r="BJ367" s="283">
        <v>184119</v>
      </c>
      <c r="BK367" s="161"/>
      <c r="BL367" s="294"/>
      <c r="BM367"/>
      <c r="BN367"/>
      <c r="BO367"/>
      <c r="BP367"/>
      <c r="BQ367"/>
      <c r="BR367"/>
      <c r="BS367"/>
      <c r="BT367"/>
      <c r="BU367"/>
      <c r="BV367"/>
      <c r="BW367"/>
      <c r="BX367"/>
      <c r="BY367"/>
      <c r="BZ367"/>
      <c r="CA367"/>
      <c r="CB367"/>
      <c r="CC367"/>
      <c r="CD367"/>
      <c r="CE367"/>
      <c r="CF367"/>
      <c r="CG367"/>
      <c r="CH367"/>
      <c r="CI367"/>
      <c r="CJ367"/>
    </row>
    <row r="368" spans="1:88" s="32" customFormat="1" ht="15" customHeight="1" x14ac:dyDescent="0.35">
      <c r="A368" s="473"/>
      <c r="B368" s="313">
        <v>38028</v>
      </c>
      <c r="C368" s="8" t="s">
        <v>329</v>
      </c>
      <c r="D368" s="18">
        <v>17</v>
      </c>
      <c r="E368" s="251"/>
      <c r="F368" s="82"/>
      <c r="G368" s="79"/>
      <c r="H368" s="90"/>
      <c r="I368" s="85"/>
      <c r="J368" s="85"/>
      <c r="K368" s="85"/>
      <c r="L368" s="85"/>
      <c r="M368" s="85"/>
      <c r="N368" s="85"/>
      <c r="O368" s="85"/>
      <c r="P368" s="85"/>
      <c r="Q368" s="85"/>
      <c r="R368" s="85"/>
      <c r="S368" s="89"/>
      <c r="T368" s="89" t="s">
        <v>1124</v>
      </c>
      <c r="U368" s="85"/>
      <c r="V368" s="85"/>
      <c r="W368" s="85"/>
      <c r="X368" s="89" t="s">
        <v>1124</v>
      </c>
      <c r="Y368" s="79"/>
      <c r="Z368" s="79"/>
      <c r="AA368" s="94"/>
      <c r="AB368" s="79" t="s">
        <v>1124</v>
      </c>
      <c r="AC368" s="85"/>
      <c r="AD368" s="85"/>
      <c r="AE368" s="85"/>
      <c r="AF368" s="85"/>
      <c r="AG368" s="85" t="s">
        <v>1124</v>
      </c>
      <c r="AH368" s="85"/>
      <c r="AI368" s="85"/>
      <c r="AJ368" s="85"/>
      <c r="AK368" s="85"/>
      <c r="AL368" s="85"/>
      <c r="AM368" s="85"/>
      <c r="AN368" s="85"/>
      <c r="AO368" s="85"/>
      <c r="AP368" s="85"/>
      <c r="AQ368" s="85"/>
      <c r="AR368" s="85" t="s">
        <v>1124</v>
      </c>
      <c r="AS368" s="85"/>
      <c r="AT368" s="85"/>
      <c r="AU368" s="85"/>
      <c r="AV368" s="85"/>
      <c r="AW368" s="85"/>
      <c r="AX368" s="85"/>
      <c r="AY368" s="85"/>
      <c r="AZ368" s="85"/>
      <c r="BA368" s="85"/>
      <c r="BB368" s="89"/>
      <c r="BC368" s="89" t="s">
        <v>1124</v>
      </c>
      <c r="BD368" s="37"/>
      <c r="BE368" s="37"/>
      <c r="BF368" s="279"/>
      <c r="BG368" s="37"/>
      <c r="BH368" s="37"/>
      <c r="BI368" s="37"/>
      <c r="BJ368" s="283"/>
      <c r="BK368" s="161"/>
      <c r="BL368" s="294"/>
      <c r="BM368"/>
      <c r="BN368"/>
      <c r="BO368"/>
      <c r="BP368"/>
      <c r="BQ368"/>
      <c r="BR368"/>
      <c r="BS368"/>
      <c r="BT368"/>
      <c r="BU368"/>
      <c r="BV368"/>
      <c r="BW368"/>
      <c r="BX368"/>
      <c r="BY368"/>
      <c r="BZ368"/>
      <c r="CA368"/>
      <c r="CB368"/>
      <c r="CC368"/>
      <c r="CD368"/>
      <c r="CE368"/>
      <c r="CF368"/>
      <c r="CG368"/>
      <c r="CH368"/>
      <c r="CI368"/>
      <c r="CJ368"/>
    </row>
    <row r="369" spans="1:88" s="32" customFormat="1" ht="15" customHeight="1" x14ac:dyDescent="0.35">
      <c r="A369" s="473"/>
      <c r="B369" s="313">
        <v>84065</v>
      </c>
      <c r="C369" s="8" t="s">
        <v>864</v>
      </c>
      <c r="D369" s="18">
        <v>7</v>
      </c>
      <c r="E369" s="251"/>
      <c r="F369" s="82"/>
      <c r="G369" s="79"/>
      <c r="H369" s="90"/>
      <c r="I369" s="85"/>
      <c r="J369" s="85"/>
      <c r="K369" s="85"/>
      <c r="L369" s="85"/>
      <c r="M369" s="85"/>
      <c r="N369" s="85"/>
      <c r="O369" s="85"/>
      <c r="P369" s="85"/>
      <c r="Q369" s="85"/>
      <c r="R369" s="85"/>
      <c r="S369" s="89"/>
      <c r="T369" s="89" t="s">
        <v>1124</v>
      </c>
      <c r="U369" s="85"/>
      <c r="V369" s="85"/>
      <c r="W369" s="85"/>
      <c r="X369" s="89" t="s">
        <v>1124</v>
      </c>
      <c r="Y369" s="79"/>
      <c r="Z369" s="79"/>
      <c r="AA369" s="94"/>
      <c r="AB369" s="79" t="s">
        <v>1124</v>
      </c>
      <c r="AC369" s="85"/>
      <c r="AD369" s="85"/>
      <c r="AE369" s="85"/>
      <c r="AF369" s="85"/>
      <c r="AG369" s="85" t="s">
        <v>1124</v>
      </c>
      <c r="AH369" s="85"/>
      <c r="AI369" s="85"/>
      <c r="AJ369" s="85"/>
      <c r="AK369" s="85"/>
      <c r="AL369" s="85"/>
      <c r="AM369" s="85"/>
      <c r="AN369" s="85"/>
      <c r="AO369" s="85"/>
      <c r="AP369" s="85"/>
      <c r="AQ369" s="85"/>
      <c r="AR369" s="85" t="s">
        <v>1124</v>
      </c>
      <c r="AS369" s="85"/>
      <c r="AT369" s="85"/>
      <c r="AU369" s="85"/>
      <c r="AV369" s="85"/>
      <c r="AW369" s="85"/>
      <c r="AX369" s="85"/>
      <c r="AY369" s="85"/>
      <c r="AZ369" s="85"/>
      <c r="BA369" s="85"/>
      <c r="BB369" s="89"/>
      <c r="BC369" s="89" t="s">
        <v>1124</v>
      </c>
      <c r="BD369" s="37"/>
      <c r="BE369" s="37"/>
      <c r="BF369" s="279"/>
      <c r="BG369" s="37"/>
      <c r="BH369" s="37"/>
      <c r="BI369" s="37"/>
      <c r="BJ369" s="283"/>
      <c r="BK369" s="161"/>
      <c r="BL369" s="294"/>
      <c r="BM369"/>
      <c r="BN369"/>
      <c r="BO369"/>
      <c r="BP369"/>
      <c r="BQ369"/>
      <c r="BR369"/>
      <c r="BS369"/>
      <c r="BT369"/>
      <c r="BU369"/>
      <c r="BV369"/>
      <c r="BW369"/>
      <c r="BX369"/>
      <c r="BY369"/>
      <c r="BZ369"/>
      <c r="CA369"/>
      <c r="CB369"/>
      <c r="CC369"/>
      <c r="CD369"/>
      <c r="CE369"/>
      <c r="CF369"/>
      <c r="CG369"/>
      <c r="CH369"/>
      <c r="CI369"/>
      <c r="CJ369"/>
    </row>
    <row r="370" spans="1:88" s="32" customFormat="1" ht="15" customHeight="1" x14ac:dyDescent="0.35">
      <c r="A370" s="473"/>
      <c r="B370" s="313">
        <v>6005</v>
      </c>
      <c r="C370" s="8" t="s">
        <v>1057</v>
      </c>
      <c r="D370" s="18">
        <v>11</v>
      </c>
      <c r="E370" s="251">
        <v>1163</v>
      </c>
      <c r="F370" s="82">
        <v>2.3658969804618115</v>
      </c>
      <c r="G370" s="79">
        <v>2751.5381882770866</v>
      </c>
      <c r="H370" s="90">
        <v>36.606999999999999</v>
      </c>
      <c r="I370" s="85">
        <v>31.905999999999999</v>
      </c>
      <c r="J370" s="85">
        <v>37.56</v>
      </c>
      <c r="K370" s="85">
        <v>37.219000000000001</v>
      </c>
      <c r="L370" s="85">
        <v>41.905999999999999</v>
      </c>
      <c r="M370" s="85">
        <v>38.335000000000001</v>
      </c>
      <c r="N370" s="85">
        <v>42.575000000000003</v>
      </c>
      <c r="O370" s="85">
        <v>41.737000000000002</v>
      </c>
      <c r="P370" s="85">
        <v>37.784999999999997</v>
      </c>
      <c r="Q370" s="85">
        <v>36.11</v>
      </c>
      <c r="R370" s="85">
        <v>37.405999999999999</v>
      </c>
      <c r="S370" s="89">
        <v>41.908999999999999</v>
      </c>
      <c r="T370" s="89">
        <v>461.05500000000001</v>
      </c>
      <c r="U370" s="85">
        <v>0</v>
      </c>
      <c r="V370" s="85">
        <v>461.05500000000001</v>
      </c>
      <c r="W370" s="85">
        <v>0</v>
      </c>
      <c r="X370" s="89">
        <v>461.05500000000001</v>
      </c>
      <c r="Y370" s="79">
        <v>0</v>
      </c>
      <c r="Z370" s="79">
        <v>1</v>
      </c>
      <c r="AA370" s="94">
        <v>0</v>
      </c>
      <c r="AB370" s="79">
        <v>1</v>
      </c>
      <c r="AC370" s="85">
        <v>228.13896880131364</v>
      </c>
      <c r="AD370" s="85">
        <v>113.04296573950268</v>
      </c>
      <c r="AE370" s="85">
        <v>119.87306545918369</v>
      </c>
      <c r="AF370" s="85">
        <v>0</v>
      </c>
      <c r="AG370" s="85">
        <v>461.05500000000001</v>
      </c>
      <c r="AH370" s="85">
        <v>0</v>
      </c>
      <c r="AI370" s="85">
        <v>0</v>
      </c>
      <c r="AJ370" s="85">
        <v>0</v>
      </c>
      <c r="AK370" s="85">
        <v>0</v>
      </c>
      <c r="AL370" s="85">
        <v>0</v>
      </c>
      <c r="AM370" s="85">
        <v>0</v>
      </c>
      <c r="AN370" s="85">
        <v>0</v>
      </c>
      <c r="AO370" s="85">
        <v>0</v>
      </c>
      <c r="AP370" s="85">
        <v>0</v>
      </c>
      <c r="AQ370" s="85">
        <v>0</v>
      </c>
      <c r="AR370" s="85">
        <v>0</v>
      </c>
      <c r="AS370" s="85">
        <v>0</v>
      </c>
      <c r="AT370" s="85">
        <v>0</v>
      </c>
      <c r="AU370" s="85">
        <v>0</v>
      </c>
      <c r="AV370" s="85">
        <v>0</v>
      </c>
      <c r="AW370" s="85">
        <v>0</v>
      </c>
      <c r="AX370" s="85">
        <v>0</v>
      </c>
      <c r="AY370" s="85">
        <v>461.05500000000001</v>
      </c>
      <c r="AZ370" s="85">
        <v>0</v>
      </c>
      <c r="BA370" s="85">
        <v>0</v>
      </c>
      <c r="BB370" s="89">
        <v>0</v>
      </c>
      <c r="BC370" s="89">
        <v>461.05500000000001</v>
      </c>
      <c r="BD370" s="37">
        <v>0</v>
      </c>
      <c r="BE370" s="37">
        <v>0</v>
      </c>
      <c r="BF370" s="279">
        <v>3500</v>
      </c>
      <c r="BG370" s="37">
        <v>4538</v>
      </c>
      <c r="BH370" s="37">
        <v>13000</v>
      </c>
      <c r="BI370" s="37">
        <v>0</v>
      </c>
      <c r="BJ370" s="283">
        <v>21038</v>
      </c>
      <c r="BK370" s="161"/>
      <c r="BL370" s="294"/>
      <c r="BM370"/>
      <c r="BN370"/>
      <c r="BO370"/>
      <c r="BP370"/>
      <c r="BQ370"/>
      <c r="BR370"/>
      <c r="BS370"/>
      <c r="BT370"/>
      <c r="BU370"/>
      <c r="BV370"/>
      <c r="BW370"/>
      <c r="BX370"/>
      <c r="BY370"/>
      <c r="BZ370"/>
      <c r="CA370"/>
      <c r="CB370"/>
      <c r="CC370"/>
      <c r="CD370"/>
      <c r="CE370"/>
      <c r="CF370"/>
      <c r="CG370"/>
      <c r="CH370"/>
      <c r="CI370"/>
      <c r="CJ370"/>
    </row>
    <row r="371" spans="1:88" s="32" customFormat="1" ht="15" customHeight="1" x14ac:dyDescent="0.35">
      <c r="A371" s="473"/>
      <c r="B371" s="313">
        <v>42065</v>
      </c>
      <c r="C371" s="8" t="s">
        <v>388</v>
      </c>
      <c r="D371" s="18">
        <v>5</v>
      </c>
      <c r="E371" s="251"/>
      <c r="F371" s="82"/>
      <c r="G371" s="79"/>
      <c r="H371" s="90"/>
      <c r="I371" s="85"/>
      <c r="J371" s="85"/>
      <c r="K371" s="85"/>
      <c r="L371" s="85"/>
      <c r="M371" s="85"/>
      <c r="N371" s="85"/>
      <c r="O371" s="85"/>
      <c r="P371" s="85"/>
      <c r="Q371" s="85"/>
      <c r="R371" s="85"/>
      <c r="S371" s="89"/>
      <c r="T371" s="89" t="s">
        <v>1124</v>
      </c>
      <c r="U371" s="85"/>
      <c r="V371" s="85"/>
      <c r="W371" s="85"/>
      <c r="X371" s="89" t="s">
        <v>1124</v>
      </c>
      <c r="Y371" s="79"/>
      <c r="Z371" s="79"/>
      <c r="AA371" s="94"/>
      <c r="AB371" s="79" t="s">
        <v>1124</v>
      </c>
      <c r="AC371" s="85"/>
      <c r="AD371" s="85"/>
      <c r="AE371" s="85"/>
      <c r="AF371" s="85"/>
      <c r="AG371" s="85" t="s">
        <v>1124</v>
      </c>
      <c r="AH371" s="85"/>
      <c r="AI371" s="85"/>
      <c r="AJ371" s="85"/>
      <c r="AK371" s="85"/>
      <c r="AL371" s="85"/>
      <c r="AM371" s="85"/>
      <c r="AN371" s="85"/>
      <c r="AO371" s="85"/>
      <c r="AP371" s="85"/>
      <c r="AQ371" s="85"/>
      <c r="AR371" s="85" t="s">
        <v>1124</v>
      </c>
      <c r="AS371" s="85"/>
      <c r="AT371" s="85"/>
      <c r="AU371" s="85"/>
      <c r="AV371" s="85"/>
      <c r="AW371" s="85"/>
      <c r="AX371" s="85"/>
      <c r="AY371" s="85"/>
      <c r="AZ371" s="85"/>
      <c r="BA371" s="85"/>
      <c r="BB371" s="89"/>
      <c r="BC371" s="89" t="s">
        <v>1124</v>
      </c>
      <c r="BD371" s="37"/>
      <c r="BE371" s="37"/>
      <c r="BF371" s="279"/>
      <c r="BG371" s="37"/>
      <c r="BH371" s="37"/>
      <c r="BI371" s="37"/>
      <c r="BJ371" s="283"/>
      <c r="BK371" s="161"/>
      <c r="BL371" s="294"/>
      <c r="BM371"/>
      <c r="BN371"/>
      <c r="BO371"/>
      <c r="BP371"/>
      <c r="BQ371"/>
      <c r="BR371"/>
      <c r="BS371"/>
      <c r="BT371"/>
      <c r="BU371"/>
      <c r="BV371"/>
      <c r="BW371"/>
      <c r="BX371"/>
      <c r="BY371"/>
      <c r="BZ371"/>
      <c r="CA371"/>
      <c r="CB371"/>
      <c r="CC371"/>
      <c r="CD371"/>
      <c r="CE371"/>
      <c r="CF371"/>
      <c r="CG371"/>
      <c r="CH371"/>
      <c r="CI371"/>
      <c r="CJ371"/>
    </row>
    <row r="372" spans="1:88" s="32" customFormat="1" ht="15" customHeight="1" x14ac:dyDescent="0.35">
      <c r="A372" s="473"/>
      <c r="B372" s="313">
        <v>55048</v>
      </c>
      <c r="C372" s="8" t="s">
        <v>564</v>
      </c>
      <c r="D372" s="18">
        <v>16</v>
      </c>
      <c r="E372" s="251"/>
      <c r="F372" s="82"/>
      <c r="G372" s="79"/>
      <c r="H372" s="90"/>
      <c r="I372" s="85"/>
      <c r="J372" s="85"/>
      <c r="K372" s="85"/>
      <c r="L372" s="85"/>
      <c r="M372" s="85"/>
      <c r="N372" s="85"/>
      <c r="O372" s="85"/>
      <c r="P372" s="85"/>
      <c r="Q372" s="85"/>
      <c r="R372" s="85"/>
      <c r="S372" s="89"/>
      <c r="T372" s="89" t="s">
        <v>1124</v>
      </c>
      <c r="U372" s="85"/>
      <c r="V372" s="85"/>
      <c r="W372" s="85"/>
      <c r="X372" s="89" t="s">
        <v>1124</v>
      </c>
      <c r="Y372" s="79"/>
      <c r="Z372" s="79"/>
      <c r="AA372" s="94"/>
      <c r="AB372" s="79" t="s">
        <v>1124</v>
      </c>
      <c r="AC372" s="85"/>
      <c r="AD372" s="85"/>
      <c r="AE372" s="85"/>
      <c r="AF372" s="85"/>
      <c r="AG372" s="85" t="s">
        <v>1124</v>
      </c>
      <c r="AH372" s="85"/>
      <c r="AI372" s="85"/>
      <c r="AJ372" s="85"/>
      <c r="AK372" s="85"/>
      <c r="AL372" s="85"/>
      <c r="AM372" s="85"/>
      <c r="AN372" s="85"/>
      <c r="AO372" s="85"/>
      <c r="AP372" s="85"/>
      <c r="AQ372" s="85"/>
      <c r="AR372" s="85" t="s">
        <v>1124</v>
      </c>
      <c r="AS372" s="85"/>
      <c r="AT372" s="85"/>
      <c r="AU372" s="85"/>
      <c r="AV372" s="85"/>
      <c r="AW372" s="85"/>
      <c r="AX372" s="85"/>
      <c r="AY372" s="85"/>
      <c r="AZ372" s="85"/>
      <c r="BA372" s="85"/>
      <c r="BB372" s="89"/>
      <c r="BC372" s="89" t="s">
        <v>1124</v>
      </c>
      <c r="BD372" s="37"/>
      <c r="BE372" s="37"/>
      <c r="BF372" s="279"/>
      <c r="BG372" s="37"/>
      <c r="BH372" s="37"/>
      <c r="BI372" s="37"/>
      <c r="BJ372" s="283"/>
      <c r="BK372" s="161"/>
      <c r="BL372" s="294"/>
      <c r="BM372"/>
      <c r="BN372"/>
      <c r="BO372"/>
      <c r="BP372"/>
      <c r="BQ372"/>
      <c r="BR372"/>
      <c r="BS372"/>
      <c r="BT372"/>
      <c r="BU372"/>
      <c r="BV372"/>
      <c r="BW372"/>
      <c r="BX372"/>
      <c r="BY372"/>
      <c r="BZ372"/>
      <c r="CA372"/>
      <c r="CB372"/>
      <c r="CC372"/>
      <c r="CD372"/>
      <c r="CE372"/>
      <c r="CF372"/>
      <c r="CG372"/>
      <c r="CH372"/>
      <c r="CI372"/>
      <c r="CJ372"/>
    </row>
    <row r="373" spans="1:88" s="32" customFormat="1" ht="15" customHeight="1" x14ac:dyDescent="0.35">
      <c r="A373" s="473"/>
      <c r="B373" s="313">
        <v>4025</v>
      </c>
      <c r="C373" s="8" t="s">
        <v>1040</v>
      </c>
      <c r="D373" s="18">
        <v>11</v>
      </c>
      <c r="E373" s="251"/>
      <c r="F373" s="82"/>
      <c r="G373" s="79"/>
      <c r="H373" s="90"/>
      <c r="I373" s="85"/>
      <c r="J373" s="85"/>
      <c r="K373" s="85"/>
      <c r="L373" s="85"/>
      <c r="M373" s="85"/>
      <c r="N373" s="85"/>
      <c r="O373" s="85"/>
      <c r="P373" s="85"/>
      <c r="Q373" s="85"/>
      <c r="R373" s="85"/>
      <c r="S373" s="89"/>
      <c r="T373" s="89" t="s">
        <v>1124</v>
      </c>
      <c r="U373" s="85"/>
      <c r="V373" s="85"/>
      <c r="W373" s="85"/>
      <c r="X373" s="89" t="s">
        <v>1124</v>
      </c>
      <c r="Y373" s="79"/>
      <c r="Z373" s="79"/>
      <c r="AA373" s="94"/>
      <c r="AB373" s="79" t="s">
        <v>1124</v>
      </c>
      <c r="AC373" s="85"/>
      <c r="AD373" s="85"/>
      <c r="AE373" s="85"/>
      <c r="AF373" s="85"/>
      <c r="AG373" s="85" t="s">
        <v>1124</v>
      </c>
      <c r="AH373" s="85"/>
      <c r="AI373" s="85"/>
      <c r="AJ373" s="85"/>
      <c r="AK373" s="85"/>
      <c r="AL373" s="85"/>
      <c r="AM373" s="85"/>
      <c r="AN373" s="85"/>
      <c r="AO373" s="85"/>
      <c r="AP373" s="85"/>
      <c r="AQ373" s="85"/>
      <c r="AR373" s="85" t="s">
        <v>1124</v>
      </c>
      <c r="AS373" s="85"/>
      <c r="AT373" s="85"/>
      <c r="AU373" s="85"/>
      <c r="AV373" s="85"/>
      <c r="AW373" s="85"/>
      <c r="AX373" s="85"/>
      <c r="AY373" s="85"/>
      <c r="AZ373" s="85"/>
      <c r="BA373" s="85"/>
      <c r="BB373" s="89"/>
      <c r="BC373" s="89" t="s">
        <v>1124</v>
      </c>
      <c r="BD373" s="37"/>
      <c r="BE373" s="37"/>
      <c r="BF373" s="279"/>
      <c r="BG373" s="37"/>
      <c r="BH373" s="37"/>
      <c r="BI373" s="37"/>
      <c r="BJ373" s="283"/>
      <c r="BK373" s="161"/>
      <c r="BL373" s="294"/>
      <c r="BM373"/>
      <c r="BN373"/>
      <c r="BO373"/>
      <c r="BP373"/>
      <c r="BQ373"/>
      <c r="BR373"/>
      <c r="BS373"/>
      <c r="BT373"/>
      <c r="BU373"/>
      <c r="BV373"/>
      <c r="BW373"/>
      <c r="BX373"/>
      <c r="BY373"/>
      <c r="BZ373"/>
      <c r="CA373"/>
      <c r="CB373"/>
      <c r="CC373"/>
      <c r="CD373"/>
      <c r="CE373"/>
      <c r="CF373"/>
      <c r="CG373"/>
      <c r="CH373"/>
      <c r="CI373"/>
      <c r="CJ373"/>
    </row>
    <row r="374" spans="1:88" s="32" customFormat="1" ht="15" customHeight="1" x14ac:dyDescent="0.35">
      <c r="A374" s="473"/>
      <c r="B374" s="313">
        <v>30035</v>
      </c>
      <c r="C374" s="8" t="s">
        <v>223</v>
      </c>
      <c r="D374" s="18">
        <v>5</v>
      </c>
      <c r="E374" s="251"/>
      <c r="F374" s="82"/>
      <c r="G374" s="79"/>
      <c r="H374" s="90"/>
      <c r="I374" s="85"/>
      <c r="J374" s="85"/>
      <c r="K374" s="85"/>
      <c r="L374" s="85"/>
      <c r="M374" s="85"/>
      <c r="N374" s="85"/>
      <c r="O374" s="85"/>
      <c r="P374" s="85"/>
      <c r="Q374" s="85"/>
      <c r="R374" s="85"/>
      <c r="S374" s="89"/>
      <c r="T374" s="89" t="s">
        <v>1124</v>
      </c>
      <c r="U374" s="85"/>
      <c r="V374" s="85"/>
      <c r="W374" s="85"/>
      <c r="X374" s="89" t="s">
        <v>1124</v>
      </c>
      <c r="Y374" s="79"/>
      <c r="Z374" s="79"/>
      <c r="AA374" s="94"/>
      <c r="AB374" s="79" t="s">
        <v>1124</v>
      </c>
      <c r="AC374" s="85"/>
      <c r="AD374" s="85"/>
      <c r="AE374" s="85"/>
      <c r="AF374" s="85"/>
      <c r="AG374" s="85" t="s">
        <v>1124</v>
      </c>
      <c r="AH374" s="85"/>
      <c r="AI374" s="85"/>
      <c r="AJ374" s="85"/>
      <c r="AK374" s="85"/>
      <c r="AL374" s="85"/>
      <c r="AM374" s="85"/>
      <c r="AN374" s="85"/>
      <c r="AO374" s="85"/>
      <c r="AP374" s="85"/>
      <c r="AQ374" s="85"/>
      <c r="AR374" s="85" t="s">
        <v>1124</v>
      </c>
      <c r="AS374" s="85"/>
      <c r="AT374" s="85"/>
      <c r="AU374" s="85"/>
      <c r="AV374" s="85"/>
      <c r="AW374" s="85"/>
      <c r="AX374" s="85"/>
      <c r="AY374" s="85"/>
      <c r="AZ374" s="85"/>
      <c r="BA374" s="85"/>
      <c r="BB374" s="89"/>
      <c r="BC374" s="89" t="s">
        <v>1124</v>
      </c>
      <c r="BD374" s="37"/>
      <c r="BE374" s="37"/>
      <c r="BF374" s="279"/>
      <c r="BG374" s="37"/>
      <c r="BH374" s="37"/>
      <c r="BI374" s="37"/>
      <c r="BJ374" s="283"/>
      <c r="BK374" s="161"/>
      <c r="BL374" s="294"/>
      <c r="BM374"/>
      <c r="BN374"/>
      <c r="BO374"/>
      <c r="BP374"/>
      <c r="BQ374"/>
      <c r="BR374"/>
      <c r="BS374"/>
      <c r="BT374"/>
      <c r="BU374"/>
      <c r="BV374"/>
      <c r="BW374"/>
      <c r="BX374"/>
      <c r="BY374"/>
      <c r="BZ374"/>
      <c r="CA374"/>
      <c r="CB374"/>
      <c r="CC374"/>
      <c r="CD374"/>
      <c r="CE374"/>
      <c r="CF374"/>
      <c r="CG374"/>
      <c r="CH374"/>
      <c r="CI374"/>
      <c r="CJ374"/>
    </row>
    <row r="375" spans="1:88" s="32" customFormat="1" ht="15" customHeight="1" x14ac:dyDescent="0.35">
      <c r="A375" s="473"/>
      <c r="B375" s="313">
        <v>44060</v>
      </c>
      <c r="C375" s="8" t="s">
        <v>407</v>
      </c>
      <c r="D375" s="18">
        <v>5</v>
      </c>
      <c r="E375" s="251"/>
      <c r="F375" s="82"/>
      <c r="G375" s="79"/>
      <c r="H375" s="90"/>
      <c r="I375" s="85"/>
      <c r="J375" s="85"/>
      <c r="K375" s="85"/>
      <c r="L375" s="85"/>
      <c r="M375" s="85"/>
      <c r="N375" s="85"/>
      <c r="O375" s="85"/>
      <c r="P375" s="85"/>
      <c r="Q375" s="85"/>
      <c r="R375" s="85"/>
      <c r="S375" s="89"/>
      <c r="T375" s="89" t="s">
        <v>1124</v>
      </c>
      <c r="U375" s="85"/>
      <c r="V375" s="85"/>
      <c r="W375" s="85"/>
      <c r="X375" s="89" t="s">
        <v>1124</v>
      </c>
      <c r="Y375" s="79"/>
      <c r="Z375" s="79"/>
      <c r="AA375" s="94"/>
      <c r="AB375" s="79" t="s">
        <v>1124</v>
      </c>
      <c r="AC375" s="85"/>
      <c r="AD375" s="85"/>
      <c r="AE375" s="85"/>
      <c r="AF375" s="85"/>
      <c r="AG375" s="85" t="s">
        <v>1124</v>
      </c>
      <c r="AH375" s="85"/>
      <c r="AI375" s="85"/>
      <c r="AJ375" s="85"/>
      <c r="AK375" s="85"/>
      <c r="AL375" s="85"/>
      <c r="AM375" s="85"/>
      <c r="AN375" s="85"/>
      <c r="AO375" s="85"/>
      <c r="AP375" s="85"/>
      <c r="AQ375" s="85"/>
      <c r="AR375" s="85" t="s">
        <v>1124</v>
      </c>
      <c r="AS375" s="85"/>
      <c r="AT375" s="85"/>
      <c r="AU375" s="85"/>
      <c r="AV375" s="85"/>
      <c r="AW375" s="85"/>
      <c r="AX375" s="85"/>
      <c r="AY375" s="85"/>
      <c r="AZ375" s="85"/>
      <c r="BA375" s="85"/>
      <c r="BB375" s="89"/>
      <c r="BC375" s="89" t="s">
        <v>1124</v>
      </c>
      <c r="BD375" s="37"/>
      <c r="BE375" s="37"/>
      <c r="BF375" s="279"/>
      <c r="BG375" s="37"/>
      <c r="BH375" s="37"/>
      <c r="BI375" s="37"/>
      <c r="BJ375" s="283"/>
      <c r="BK375" s="161"/>
      <c r="BL375" s="294"/>
      <c r="BM375"/>
      <c r="BN375"/>
      <c r="BO375"/>
      <c r="BP375"/>
      <c r="BQ375"/>
      <c r="BR375"/>
      <c r="BS375"/>
      <c r="BT375"/>
      <c r="BU375"/>
      <c r="BV375"/>
      <c r="BW375"/>
      <c r="BX375"/>
      <c r="BY375"/>
      <c r="BZ375"/>
      <c r="CA375"/>
      <c r="CB375"/>
      <c r="CC375"/>
      <c r="CD375"/>
      <c r="CE375"/>
      <c r="CF375"/>
      <c r="CG375"/>
      <c r="CH375"/>
      <c r="CI375"/>
      <c r="CJ375"/>
    </row>
    <row r="376" spans="1:88" s="32" customFormat="1" ht="15" customHeight="1" x14ac:dyDescent="0.35">
      <c r="A376" s="473"/>
      <c r="B376" s="313">
        <v>64015</v>
      </c>
      <c r="C376" s="8" t="s">
        <v>645</v>
      </c>
      <c r="D376" s="18">
        <v>14</v>
      </c>
      <c r="E376" s="251"/>
      <c r="F376" s="82"/>
      <c r="G376" s="79"/>
      <c r="H376" s="90"/>
      <c r="I376" s="85"/>
      <c r="J376" s="85"/>
      <c r="K376" s="85"/>
      <c r="L376" s="85"/>
      <c r="M376" s="85"/>
      <c r="N376" s="85"/>
      <c r="O376" s="85"/>
      <c r="P376" s="85"/>
      <c r="Q376" s="85"/>
      <c r="R376" s="85"/>
      <c r="S376" s="89"/>
      <c r="T376" s="89" t="s">
        <v>1124</v>
      </c>
      <c r="U376" s="85"/>
      <c r="V376" s="85"/>
      <c r="W376" s="85"/>
      <c r="X376" s="89" t="s">
        <v>1124</v>
      </c>
      <c r="Y376" s="79"/>
      <c r="Z376" s="79"/>
      <c r="AA376" s="94"/>
      <c r="AB376" s="79" t="s">
        <v>1124</v>
      </c>
      <c r="AC376" s="85"/>
      <c r="AD376" s="85"/>
      <c r="AE376" s="85"/>
      <c r="AF376" s="85"/>
      <c r="AG376" s="85" t="s">
        <v>1124</v>
      </c>
      <c r="AH376" s="85"/>
      <c r="AI376" s="85"/>
      <c r="AJ376" s="85"/>
      <c r="AK376" s="85"/>
      <c r="AL376" s="85"/>
      <c r="AM376" s="85"/>
      <c r="AN376" s="85"/>
      <c r="AO376" s="85"/>
      <c r="AP376" s="85"/>
      <c r="AQ376" s="85"/>
      <c r="AR376" s="85" t="s">
        <v>1124</v>
      </c>
      <c r="AS376" s="85"/>
      <c r="AT376" s="85"/>
      <c r="AU376" s="85"/>
      <c r="AV376" s="85"/>
      <c r="AW376" s="85"/>
      <c r="AX376" s="85"/>
      <c r="AY376" s="85"/>
      <c r="AZ376" s="85"/>
      <c r="BA376" s="85"/>
      <c r="BB376" s="89"/>
      <c r="BC376" s="89" t="s">
        <v>1124</v>
      </c>
      <c r="BD376" s="37"/>
      <c r="BE376" s="37"/>
      <c r="BF376" s="279"/>
      <c r="BG376" s="37"/>
      <c r="BH376" s="37"/>
      <c r="BI376" s="37"/>
      <c r="BJ376" s="283"/>
      <c r="BK376" s="161"/>
      <c r="BL376" s="294"/>
      <c r="BM376"/>
      <c r="BN376"/>
      <c r="BO376"/>
      <c r="BP376"/>
      <c r="BQ376"/>
      <c r="BR376"/>
      <c r="BS376"/>
      <c r="BT376"/>
      <c r="BU376"/>
      <c r="BV376"/>
      <c r="BW376"/>
      <c r="BX376"/>
      <c r="BY376"/>
      <c r="BZ376"/>
      <c r="CA376"/>
      <c r="CB376"/>
      <c r="CC376"/>
      <c r="CD376"/>
      <c r="CE376"/>
      <c r="CF376"/>
      <c r="CG376"/>
      <c r="CH376"/>
      <c r="CI376"/>
      <c r="CJ376"/>
    </row>
    <row r="377" spans="1:88" s="32" customFormat="1" ht="15" customHeight="1" x14ac:dyDescent="0.35">
      <c r="A377" s="473"/>
      <c r="B377" s="314">
        <v>51008</v>
      </c>
      <c r="C377" s="8" t="s">
        <v>498</v>
      </c>
      <c r="D377" s="18">
        <v>4</v>
      </c>
      <c r="E377" s="251"/>
      <c r="F377" s="82"/>
      <c r="G377" s="79"/>
      <c r="H377" s="90"/>
      <c r="I377" s="85"/>
      <c r="J377" s="85"/>
      <c r="K377" s="85"/>
      <c r="L377" s="85"/>
      <c r="M377" s="85"/>
      <c r="N377" s="85"/>
      <c r="O377" s="85"/>
      <c r="P377" s="85"/>
      <c r="Q377" s="85"/>
      <c r="R377" s="85"/>
      <c r="S377" s="89"/>
      <c r="T377" s="89" t="s">
        <v>1124</v>
      </c>
      <c r="U377" s="85"/>
      <c r="V377" s="85"/>
      <c r="W377" s="85"/>
      <c r="X377" s="89" t="s">
        <v>1124</v>
      </c>
      <c r="Y377" s="79"/>
      <c r="Z377" s="79"/>
      <c r="AA377" s="94"/>
      <c r="AB377" s="79" t="s">
        <v>1124</v>
      </c>
      <c r="AC377" s="85"/>
      <c r="AD377" s="85"/>
      <c r="AE377" s="85"/>
      <c r="AF377" s="85"/>
      <c r="AG377" s="85" t="s">
        <v>1124</v>
      </c>
      <c r="AH377" s="85"/>
      <c r="AI377" s="85"/>
      <c r="AJ377" s="85"/>
      <c r="AK377" s="85"/>
      <c r="AL377" s="85"/>
      <c r="AM377" s="85"/>
      <c r="AN377" s="85"/>
      <c r="AO377" s="85"/>
      <c r="AP377" s="85"/>
      <c r="AQ377" s="85"/>
      <c r="AR377" s="85" t="s">
        <v>1124</v>
      </c>
      <c r="AS377" s="85"/>
      <c r="AT377" s="85"/>
      <c r="AU377" s="85"/>
      <c r="AV377" s="85"/>
      <c r="AW377" s="85"/>
      <c r="AX377" s="85"/>
      <c r="AY377" s="85"/>
      <c r="AZ377" s="85"/>
      <c r="BA377" s="85"/>
      <c r="BB377" s="89"/>
      <c r="BC377" s="89" t="s">
        <v>1124</v>
      </c>
      <c r="BD377" s="37"/>
      <c r="BE377" s="37"/>
      <c r="BF377" s="279"/>
      <c r="BG377" s="37"/>
      <c r="BH377" s="37"/>
      <c r="BI377" s="37"/>
      <c r="BJ377" s="283"/>
      <c r="BK377" s="161"/>
      <c r="BL377" s="294"/>
      <c r="BM377"/>
      <c r="BN377"/>
      <c r="BO377"/>
      <c r="BP377"/>
      <c r="BQ377"/>
      <c r="BR377"/>
      <c r="BS377"/>
      <c r="BT377"/>
      <c r="BU377"/>
      <c r="BV377"/>
      <c r="BW377"/>
      <c r="BX377"/>
      <c r="BY377"/>
      <c r="BZ377"/>
      <c r="CA377"/>
      <c r="CB377"/>
      <c r="CC377"/>
      <c r="CD377"/>
      <c r="CE377"/>
      <c r="CF377"/>
      <c r="CG377"/>
      <c r="CH377"/>
      <c r="CI377"/>
      <c r="CJ377"/>
    </row>
    <row r="378" spans="1:88" s="32" customFormat="1" ht="15" customHeight="1" x14ac:dyDescent="0.35">
      <c r="A378" s="473"/>
      <c r="B378" s="313">
        <v>53010</v>
      </c>
      <c r="C378" s="8" t="s">
        <v>531</v>
      </c>
      <c r="D378" s="18">
        <v>16</v>
      </c>
      <c r="E378" s="251"/>
      <c r="F378" s="82"/>
      <c r="G378" s="79"/>
      <c r="H378" s="90"/>
      <c r="I378" s="85"/>
      <c r="J378" s="85"/>
      <c r="K378" s="85"/>
      <c r="L378" s="85"/>
      <c r="M378" s="85"/>
      <c r="N378" s="85"/>
      <c r="O378" s="85"/>
      <c r="P378" s="85"/>
      <c r="Q378" s="85"/>
      <c r="R378" s="85"/>
      <c r="S378" s="89"/>
      <c r="T378" s="89" t="s">
        <v>1124</v>
      </c>
      <c r="U378" s="85"/>
      <c r="V378" s="85"/>
      <c r="W378" s="85"/>
      <c r="X378" s="89" t="s">
        <v>1124</v>
      </c>
      <c r="Y378" s="79"/>
      <c r="Z378" s="79"/>
      <c r="AA378" s="94"/>
      <c r="AB378" s="79" t="s">
        <v>1124</v>
      </c>
      <c r="AC378" s="85"/>
      <c r="AD378" s="85"/>
      <c r="AE378" s="85"/>
      <c r="AF378" s="85"/>
      <c r="AG378" s="85" t="s">
        <v>1124</v>
      </c>
      <c r="AH378" s="85"/>
      <c r="AI378" s="85"/>
      <c r="AJ378" s="85"/>
      <c r="AK378" s="85"/>
      <c r="AL378" s="85"/>
      <c r="AM378" s="85"/>
      <c r="AN378" s="85"/>
      <c r="AO378" s="85"/>
      <c r="AP378" s="85"/>
      <c r="AQ378" s="85"/>
      <c r="AR378" s="85" t="s">
        <v>1124</v>
      </c>
      <c r="AS378" s="85"/>
      <c r="AT378" s="85"/>
      <c r="AU378" s="85"/>
      <c r="AV378" s="85"/>
      <c r="AW378" s="85"/>
      <c r="AX378" s="85"/>
      <c r="AY378" s="85"/>
      <c r="AZ378" s="85"/>
      <c r="BA378" s="85"/>
      <c r="BB378" s="89"/>
      <c r="BC378" s="89" t="s">
        <v>1124</v>
      </c>
      <c r="BD378" s="37"/>
      <c r="BE378" s="37"/>
      <c r="BF378" s="279"/>
      <c r="BG378" s="37"/>
      <c r="BH378" s="37"/>
      <c r="BI378" s="37"/>
      <c r="BJ378" s="283"/>
      <c r="BK378" s="161"/>
      <c r="BL378" s="294"/>
      <c r="BM378"/>
      <c r="BN378"/>
      <c r="BO378"/>
      <c r="BP378"/>
      <c r="BQ378"/>
      <c r="BR378"/>
      <c r="BS378"/>
      <c r="BT378"/>
      <c r="BU378"/>
      <c r="BV378"/>
      <c r="BW378"/>
      <c r="BX378"/>
      <c r="BY378"/>
      <c r="BZ378"/>
      <c r="CA378"/>
      <c r="CB378"/>
      <c r="CC378"/>
      <c r="CD378"/>
      <c r="CE378"/>
      <c r="CF378"/>
      <c r="CG378"/>
      <c r="CH378"/>
      <c r="CI378"/>
      <c r="CJ378"/>
    </row>
    <row r="379" spans="1:88" s="32" customFormat="1" ht="15" customHeight="1" x14ac:dyDescent="0.35">
      <c r="A379" s="473"/>
      <c r="B379" s="313">
        <v>99015</v>
      </c>
      <c r="C379" s="8" t="s">
        <v>1020</v>
      </c>
      <c r="D379" s="18">
        <v>10</v>
      </c>
      <c r="E379" s="251"/>
      <c r="F379" s="82"/>
      <c r="G379" s="79"/>
      <c r="H379" s="90"/>
      <c r="I379" s="85"/>
      <c r="J379" s="85"/>
      <c r="K379" s="85"/>
      <c r="L379" s="85"/>
      <c r="M379" s="85"/>
      <c r="N379" s="85"/>
      <c r="O379" s="85"/>
      <c r="P379" s="85"/>
      <c r="Q379" s="85"/>
      <c r="R379" s="85"/>
      <c r="S379" s="89"/>
      <c r="T379" s="89" t="s">
        <v>1124</v>
      </c>
      <c r="U379" s="85"/>
      <c r="V379" s="85"/>
      <c r="W379" s="85"/>
      <c r="X379" s="89" t="s">
        <v>1124</v>
      </c>
      <c r="Y379" s="79"/>
      <c r="Z379" s="79"/>
      <c r="AA379" s="94"/>
      <c r="AB379" s="79" t="s">
        <v>1124</v>
      </c>
      <c r="AC379" s="85"/>
      <c r="AD379" s="85"/>
      <c r="AE379" s="85"/>
      <c r="AF379" s="85"/>
      <c r="AG379" s="85" t="s">
        <v>1124</v>
      </c>
      <c r="AH379" s="85"/>
      <c r="AI379" s="85"/>
      <c r="AJ379" s="85"/>
      <c r="AK379" s="85"/>
      <c r="AL379" s="85"/>
      <c r="AM379" s="85"/>
      <c r="AN379" s="85"/>
      <c r="AO379" s="85"/>
      <c r="AP379" s="85"/>
      <c r="AQ379" s="85"/>
      <c r="AR379" s="85" t="s">
        <v>1124</v>
      </c>
      <c r="AS379" s="85"/>
      <c r="AT379" s="85"/>
      <c r="AU379" s="85"/>
      <c r="AV379" s="85"/>
      <c r="AW379" s="85"/>
      <c r="AX379" s="85"/>
      <c r="AY379" s="85"/>
      <c r="AZ379" s="85"/>
      <c r="BA379" s="85"/>
      <c r="BB379" s="89"/>
      <c r="BC379" s="89" t="s">
        <v>1124</v>
      </c>
      <c r="BD379" s="37"/>
      <c r="BE379" s="37"/>
      <c r="BF379" s="279"/>
      <c r="BG379" s="37"/>
      <c r="BH379" s="37"/>
      <c r="BI379" s="37"/>
      <c r="BJ379" s="283"/>
      <c r="BK379" s="161"/>
      <c r="BL379" s="294"/>
      <c r="BM379"/>
      <c r="BN379"/>
      <c r="BO379"/>
      <c r="BP379"/>
      <c r="BQ379"/>
      <c r="BR379"/>
      <c r="BS379"/>
      <c r="BT379"/>
      <c r="BU379"/>
      <c r="BV379"/>
      <c r="BW379"/>
      <c r="BX379"/>
      <c r="BY379"/>
      <c r="BZ379"/>
      <c r="CA379"/>
      <c r="CB379"/>
      <c r="CC379"/>
      <c r="CD379"/>
      <c r="CE379"/>
      <c r="CF379"/>
      <c r="CG379"/>
      <c r="CH379"/>
      <c r="CI379"/>
      <c r="CJ379"/>
    </row>
    <row r="380" spans="1:88" s="32" customFormat="1" ht="15" customHeight="1" x14ac:dyDescent="0.35">
      <c r="A380" s="473"/>
      <c r="B380" s="313">
        <v>8053</v>
      </c>
      <c r="C380" s="8" t="s">
        <v>1093</v>
      </c>
      <c r="D380" s="18">
        <v>1</v>
      </c>
      <c r="E380" s="251">
        <v>4959</v>
      </c>
      <c r="F380" s="82">
        <v>1.9780280906688916</v>
      </c>
      <c r="G380" s="79">
        <v>9809.041301627034</v>
      </c>
      <c r="H380" s="90">
        <v>171.41200000000001</v>
      </c>
      <c r="I380" s="85">
        <v>162.52599999999998</v>
      </c>
      <c r="J380" s="85">
        <v>197.80599999999998</v>
      </c>
      <c r="K380" s="85">
        <v>218.423</v>
      </c>
      <c r="L380" s="85">
        <v>254.30699999999999</v>
      </c>
      <c r="M380" s="85">
        <v>235.72800000000001</v>
      </c>
      <c r="N380" s="85">
        <v>219.125</v>
      </c>
      <c r="O380" s="85">
        <v>215.65</v>
      </c>
      <c r="P380" s="85">
        <v>173.80799999999999</v>
      </c>
      <c r="Q380" s="85">
        <v>168.97800000000001</v>
      </c>
      <c r="R380" s="85">
        <v>157.90600000000001</v>
      </c>
      <c r="S380" s="89">
        <v>145.81100000000001</v>
      </c>
      <c r="T380" s="89">
        <v>2321.4800000000005</v>
      </c>
      <c r="U380" s="85">
        <v>0</v>
      </c>
      <c r="V380" s="85">
        <v>2321.4800000000005</v>
      </c>
      <c r="W380" s="85">
        <v>0</v>
      </c>
      <c r="X380" s="89">
        <v>2321.4800000000005</v>
      </c>
      <c r="Y380" s="79">
        <v>0</v>
      </c>
      <c r="Z380" s="79">
        <v>2</v>
      </c>
      <c r="AA380" s="94">
        <v>0</v>
      </c>
      <c r="AB380" s="79">
        <v>2</v>
      </c>
      <c r="AC380" s="85">
        <v>1239.6576321303842</v>
      </c>
      <c r="AD380" s="85">
        <v>891.90579602751109</v>
      </c>
      <c r="AE380" s="85">
        <v>189.91657184210527</v>
      </c>
      <c r="AF380" s="85">
        <v>0</v>
      </c>
      <c r="AG380" s="85">
        <v>2321.4800000000005</v>
      </c>
      <c r="AH380" s="85">
        <v>0</v>
      </c>
      <c r="AI380" s="85">
        <v>0</v>
      </c>
      <c r="AJ380" s="85">
        <v>0</v>
      </c>
      <c r="AK380" s="85">
        <v>0</v>
      </c>
      <c r="AL380" s="85">
        <v>0</v>
      </c>
      <c r="AM380" s="85">
        <v>0</v>
      </c>
      <c r="AN380" s="85">
        <v>0</v>
      </c>
      <c r="AO380" s="85">
        <v>0</v>
      </c>
      <c r="AP380" s="85">
        <v>0</v>
      </c>
      <c r="AQ380" s="85">
        <v>0</v>
      </c>
      <c r="AR380" s="85">
        <v>0</v>
      </c>
      <c r="AS380" s="85">
        <v>0</v>
      </c>
      <c r="AT380" s="85">
        <v>0</v>
      </c>
      <c r="AU380" s="85">
        <v>0</v>
      </c>
      <c r="AV380" s="85">
        <v>0</v>
      </c>
      <c r="AW380" s="85">
        <v>0</v>
      </c>
      <c r="AX380" s="85">
        <v>0</v>
      </c>
      <c r="AY380" s="85">
        <v>2321.4800000000005</v>
      </c>
      <c r="AZ380" s="85">
        <v>0</v>
      </c>
      <c r="BA380" s="85">
        <v>0</v>
      </c>
      <c r="BB380" s="89">
        <v>0</v>
      </c>
      <c r="BC380" s="89">
        <v>2321.4800000000005</v>
      </c>
      <c r="BD380" s="37">
        <v>0</v>
      </c>
      <c r="BE380" s="37">
        <v>5639</v>
      </c>
      <c r="BF380" s="279">
        <v>177358</v>
      </c>
      <c r="BG380" s="37">
        <v>1042812</v>
      </c>
      <c r="BH380" s="37">
        <v>198134</v>
      </c>
      <c r="BI380" s="37">
        <v>329618</v>
      </c>
      <c r="BJ380" s="283">
        <v>1747922</v>
      </c>
      <c r="BK380" s="161"/>
      <c r="BL380" s="294"/>
      <c r="BM380"/>
      <c r="BN380"/>
      <c r="BO380"/>
      <c r="BP380"/>
      <c r="BQ380"/>
      <c r="BR380"/>
      <c r="BS380"/>
      <c r="BT380"/>
      <c r="BU380"/>
      <c r="BV380"/>
      <c r="BW380"/>
      <c r="BX380"/>
      <c r="BY380"/>
      <c r="BZ380"/>
      <c r="CA380"/>
      <c r="CB380"/>
      <c r="CC380"/>
      <c r="CD380"/>
      <c r="CE380"/>
      <c r="CF380"/>
      <c r="CG380"/>
      <c r="CH380"/>
      <c r="CI380"/>
      <c r="CJ380"/>
    </row>
    <row r="381" spans="1:88" s="32" customFormat="1" ht="15" customHeight="1" x14ac:dyDescent="0.35">
      <c r="A381" s="473"/>
      <c r="B381" s="313">
        <v>6045</v>
      </c>
      <c r="C381" s="8" t="s">
        <v>1064</v>
      </c>
      <c r="D381" s="18">
        <v>11</v>
      </c>
      <c r="E381" s="251"/>
      <c r="F381" s="82"/>
      <c r="G381" s="79"/>
      <c r="H381" s="90"/>
      <c r="I381" s="85"/>
      <c r="J381" s="85"/>
      <c r="K381" s="85"/>
      <c r="L381" s="85"/>
      <c r="M381" s="85"/>
      <c r="N381" s="85"/>
      <c r="O381" s="85"/>
      <c r="P381" s="85"/>
      <c r="Q381" s="85"/>
      <c r="R381" s="85"/>
      <c r="S381" s="89"/>
      <c r="T381" s="89" t="s">
        <v>1124</v>
      </c>
      <c r="U381" s="85"/>
      <c r="V381" s="85"/>
      <c r="W381" s="85"/>
      <c r="X381" s="89" t="s">
        <v>1124</v>
      </c>
      <c r="Y381" s="79"/>
      <c r="Z381" s="79"/>
      <c r="AA381" s="94"/>
      <c r="AB381" s="79" t="s">
        <v>1124</v>
      </c>
      <c r="AC381" s="85"/>
      <c r="AD381" s="85"/>
      <c r="AE381" s="85"/>
      <c r="AF381" s="85"/>
      <c r="AG381" s="85" t="s">
        <v>1124</v>
      </c>
      <c r="AH381" s="85"/>
      <c r="AI381" s="85"/>
      <c r="AJ381" s="85"/>
      <c r="AK381" s="85"/>
      <c r="AL381" s="85"/>
      <c r="AM381" s="85"/>
      <c r="AN381" s="85"/>
      <c r="AO381" s="85"/>
      <c r="AP381" s="85"/>
      <c r="AQ381" s="85"/>
      <c r="AR381" s="85" t="s">
        <v>1124</v>
      </c>
      <c r="AS381" s="85"/>
      <c r="AT381" s="85"/>
      <c r="AU381" s="85"/>
      <c r="AV381" s="85"/>
      <c r="AW381" s="85"/>
      <c r="AX381" s="85"/>
      <c r="AY381" s="85"/>
      <c r="AZ381" s="85"/>
      <c r="BA381" s="85"/>
      <c r="BB381" s="89"/>
      <c r="BC381" s="89" t="s">
        <v>1124</v>
      </c>
      <c r="BD381" s="37"/>
      <c r="BE381" s="37"/>
      <c r="BF381" s="279"/>
      <c r="BG381" s="37"/>
      <c r="BH381" s="37"/>
      <c r="BI381" s="37"/>
      <c r="BJ381" s="283"/>
      <c r="BK381" s="161"/>
      <c r="BL381" s="294"/>
      <c r="BM381"/>
      <c r="BN381"/>
      <c r="BO381"/>
      <c r="BP381"/>
      <c r="BQ381"/>
      <c r="BR381"/>
      <c r="BS381"/>
      <c r="BT381"/>
      <c r="BU381"/>
      <c r="BV381"/>
      <c r="BW381"/>
      <c r="BX381"/>
      <c r="BY381"/>
      <c r="BZ381"/>
      <c r="CA381"/>
      <c r="CB381"/>
      <c r="CC381"/>
      <c r="CD381"/>
      <c r="CE381"/>
      <c r="CF381"/>
      <c r="CG381"/>
      <c r="CH381"/>
      <c r="CI381"/>
      <c r="CJ381"/>
    </row>
    <row r="382" spans="1:88" s="32" customFormat="1" ht="15" customHeight="1" x14ac:dyDescent="0.35">
      <c r="A382" s="473"/>
      <c r="B382" s="313">
        <v>80065</v>
      </c>
      <c r="C382" s="8" t="s">
        <v>813</v>
      </c>
      <c r="D382" s="18">
        <v>7</v>
      </c>
      <c r="E382" s="251"/>
      <c r="F382" s="82"/>
      <c r="G382" s="79"/>
      <c r="H382" s="90"/>
      <c r="I382" s="85"/>
      <c r="J382" s="85"/>
      <c r="K382" s="85"/>
      <c r="L382" s="85"/>
      <c r="M382" s="85"/>
      <c r="N382" s="85"/>
      <c r="O382" s="85"/>
      <c r="P382" s="85"/>
      <c r="Q382" s="85"/>
      <c r="R382" s="85"/>
      <c r="S382" s="89"/>
      <c r="T382" s="89" t="s">
        <v>1124</v>
      </c>
      <c r="U382" s="85"/>
      <c r="V382" s="85"/>
      <c r="W382" s="85"/>
      <c r="X382" s="89" t="s">
        <v>1124</v>
      </c>
      <c r="Y382" s="79"/>
      <c r="Z382" s="79"/>
      <c r="AA382" s="94"/>
      <c r="AB382" s="79" t="s">
        <v>1124</v>
      </c>
      <c r="AC382" s="85"/>
      <c r="AD382" s="85"/>
      <c r="AE382" s="85"/>
      <c r="AF382" s="85"/>
      <c r="AG382" s="85" t="s">
        <v>1124</v>
      </c>
      <c r="AH382" s="85"/>
      <c r="AI382" s="85"/>
      <c r="AJ382" s="85"/>
      <c r="AK382" s="85"/>
      <c r="AL382" s="85"/>
      <c r="AM382" s="85"/>
      <c r="AN382" s="85"/>
      <c r="AO382" s="85"/>
      <c r="AP382" s="85"/>
      <c r="AQ382" s="85"/>
      <c r="AR382" s="85" t="s">
        <v>1124</v>
      </c>
      <c r="AS382" s="85"/>
      <c r="AT382" s="85"/>
      <c r="AU382" s="85"/>
      <c r="AV382" s="85"/>
      <c r="AW382" s="85"/>
      <c r="AX382" s="85"/>
      <c r="AY382" s="85"/>
      <c r="AZ382" s="85"/>
      <c r="BA382" s="85"/>
      <c r="BB382" s="89"/>
      <c r="BC382" s="89" t="s">
        <v>1124</v>
      </c>
      <c r="BD382" s="37"/>
      <c r="BE382" s="37"/>
      <c r="BF382" s="279"/>
      <c r="BG382" s="37"/>
      <c r="BH382" s="37"/>
      <c r="BI382" s="37"/>
      <c r="BJ382" s="283"/>
      <c r="BK382" s="161"/>
      <c r="BL382" s="294"/>
      <c r="BM382"/>
      <c r="BN382"/>
      <c r="BO382"/>
      <c r="BP382"/>
      <c r="BQ382"/>
      <c r="BR382"/>
      <c r="BS382"/>
      <c r="BT382"/>
      <c r="BU382"/>
      <c r="BV382"/>
      <c r="BW382"/>
      <c r="BX382"/>
      <c r="BY382"/>
      <c r="BZ382"/>
      <c r="CA382"/>
      <c r="CB382"/>
      <c r="CC382"/>
      <c r="CD382"/>
      <c r="CE382"/>
      <c r="CF382"/>
      <c r="CG382"/>
      <c r="CH382"/>
      <c r="CI382"/>
      <c r="CJ382"/>
    </row>
    <row r="383" spans="1:88" s="32" customFormat="1" ht="15" customHeight="1" x14ac:dyDescent="0.35">
      <c r="A383" s="473"/>
      <c r="B383" s="313">
        <v>57025</v>
      </c>
      <c r="C383" s="8" t="s">
        <v>584</v>
      </c>
      <c r="D383" s="18">
        <v>16</v>
      </c>
      <c r="E383" s="251"/>
      <c r="F383" s="82"/>
      <c r="G383" s="79"/>
      <c r="H383" s="90"/>
      <c r="I383" s="85"/>
      <c r="J383" s="85"/>
      <c r="K383" s="85"/>
      <c r="L383" s="85"/>
      <c r="M383" s="85"/>
      <c r="N383" s="85"/>
      <c r="O383" s="85"/>
      <c r="P383" s="85"/>
      <c r="Q383" s="85"/>
      <c r="R383" s="85"/>
      <c r="S383" s="89"/>
      <c r="T383" s="89" t="s">
        <v>1124</v>
      </c>
      <c r="U383" s="85"/>
      <c r="V383" s="85"/>
      <c r="W383" s="85"/>
      <c r="X383" s="89" t="s">
        <v>1124</v>
      </c>
      <c r="Y383" s="79"/>
      <c r="Z383" s="79"/>
      <c r="AA383" s="94"/>
      <c r="AB383" s="79" t="s">
        <v>1124</v>
      </c>
      <c r="AC383" s="85"/>
      <c r="AD383" s="85"/>
      <c r="AE383" s="85"/>
      <c r="AF383" s="85"/>
      <c r="AG383" s="85" t="s">
        <v>1124</v>
      </c>
      <c r="AH383" s="85"/>
      <c r="AI383" s="85"/>
      <c r="AJ383" s="85"/>
      <c r="AK383" s="85"/>
      <c r="AL383" s="85"/>
      <c r="AM383" s="85"/>
      <c r="AN383" s="85"/>
      <c r="AO383" s="85"/>
      <c r="AP383" s="85"/>
      <c r="AQ383" s="85"/>
      <c r="AR383" s="85" t="s">
        <v>1124</v>
      </c>
      <c r="AS383" s="85"/>
      <c r="AT383" s="85"/>
      <c r="AU383" s="85"/>
      <c r="AV383" s="85"/>
      <c r="AW383" s="85"/>
      <c r="AX383" s="85"/>
      <c r="AY383" s="85"/>
      <c r="AZ383" s="85"/>
      <c r="BA383" s="85"/>
      <c r="BB383" s="89"/>
      <c r="BC383" s="89" t="s">
        <v>1124</v>
      </c>
      <c r="BD383" s="37"/>
      <c r="BE383" s="37"/>
      <c r="BF383" s="279"/>
      <c r="BG383" s="37"/>
      <c r="BH383" s="37"/>
      <c r="BI383" s="37"/>
      <c r="BJ383" s="283"/>
      <c r="BK383" s="161"/>
      <c r="BL383" s="294"/>
      <c r="BM383"/>
      <c r="BN383"/>
      <c r="BO383"/>
      <c r="BP383"/>
      <c r="BQ383"/>
      <c r="BR383"/>
      <c r="BS383"/>
      <c r="BT383"/>
      <c r="BU383"/>
      <c r="BV383"/>
      <c r="BW383"/>
      <c r="BX383"/>
      <c r="BY383"/>
      <c r="BZ383"/>
      <c r="CA383"/>
      <c r="CB383"/>
      <c r="CC383"/>
      <c r="CD383"/>
      <c r="CE383"/>
      <c r="CF383"/>
      <c r="CG383"/>
      <c r="CH383"/>
      <c r="CI383"/>
      <c r="CJ383"/>
    </row>
    <row r="384" spans="1:88" s="32" customFormat="1" ht="15" customHeight="1" x14ac:dyDescent="0.35">
      <c r="A384" s="473"/>
      <c r="B384" s="313">
        <v>42075</v>
      </c>
      <c r="C384" s="8" t="s">
        <v>390</v>
      </c>
      <c r="D384" s="18">
        <v>5</v>
      </c>
      <c r="E384" s="251"/>
      <c r="F384" s="82"/>
      <c r="G384" s="79"/>
      <c r="H384" s="90"/>
      <c r="I384" s="85"/>
      <c r="J384" s="85"/>
      <c r="K384" s="85"/>
      <c r="L384" s="85"/>
      <c r="M384" s="85"/>
      <c r="N384" s="85"/>
      <c r="O384" s="85"/>
      <c r="P384" s="85"/>
      <c r="Q384" s="85"/>
      <c r="R384" s="85"/>
      <c r="S384" s="89"/>
      <c r="T384" s="89" t="s">
        <v>1124</v>
      </c>
      <c r="U384" s="85"/>
      <c r="V384" s="85"/>
      <c r="W384" s="85"/>
      <c r="X384" s="89" t="s">
        <v>1124</v>
      </c>
      <c r="Y384" s="79"/>
      <c r="Z384" s="79"/>
      <c r="AA384" s="94"/>
      <c r="AB384" s="79" t="s">
        <v>1124</v>
      </c>
      <c r="AC384" s="85"/>
      <c r="AD384" s="85"/>
      <c r="AE384" s="85"/>
      <c r="AF384" s="85"/>
      <c r="AG384" s="85" t="s">
        <v>1124</v>
      </c>
      <c r="AH384" s="85"/>
      <c r="AI384" s="85"/>
      <c r="AJ384" s="85"/>
      <c r="AK384" s="85"/>
      <c r="AL384" s="85"/>
      <c r="AM384" s="85"/>
      <c r="AN384" s="85"/>
      <c r="AO384" s="85"/>
      <c r="AP384" s="85"/>
      <c r="AQ384" s="85"/>
      <c r="AR384" s="85" t="s">
        <v>1124</v>
      </c>
      <c r="AS384" s="85"/>
      <c r="AT384" s="85"/>
      <c r="AU384" s="85"/>
      <c r="AV384" s="85"/>
      <c r="AW384" s="85"/>
      <c r="AX384" s="85"/>
      <c r="AY384" s="85"/>
      <c r="AZ384" s="85"/>
      <c r="BA384" s="85"/>
      <c r="BB384" s="89"/>
      <c r="BC384" s="89" t="s">
        <v>1124</v>
      </c>
      <c r="BD384" s="37"/>
      <c r="BE384" s="37"/>
      <c r="BF384" s="279"/>
      <c r="BG384" s="37"/>
      <c r="BH384" s="37"/>
      <c r="BI384" s="37"/>
      <c r="BJ384" s="283"/>
      <c r="BK384" s="161"/>
      <c r="BL384" s="294"/>
      <c r="BM384"/>
      <c r="BN384"/>
      <c r="BO384"/>
      <c r="BP384"/>
      <c r="BQ384"/>
      <c r="BR384"/>
      <c r="BS384"/>
      <c r="BT384"/>
      <c r="BU384"/>
      <c r="BV384"/>
      <c r="BW384"/>
      <c r="BX384"/>
      <c r="BY384"/>
      <c r="BZ384"/>
      <c r="CA384"/>
      <c r="CB384"/>
      <c r="CC384"/>
      <c r="CD384"/>
      <c r="CE384"/>
      <c r="CF384"/>
      <c r="CG384"/>
      <c r="CH384"/>
      <c r="CI384"/>
      <c r="CJ384"/>
    </row>
    <row r="385" spans="1:88" s="32" customFormat="1" ht="15" customHeight="1" x14ac:dyDescent="0.35">
      <c r="A385" s="473"/>
      <c r="B385" s="313">
        <v>67045</v>
      </c>
      <c r="C385" s="8" t="s">
        <v>670</v>
      </c>
      <c r="D385" s="18">
        <v>16</v>
      </c>
      <c r="E385" s="251"/>
      <c r="F385" s="82"/>
      <c r="G385" s="79"/>
      <c r="H385" s="90"/>
      <c r="I385" s="85"/>
      <c r="J385" s="85"/>
      <c r="K385" s="85"/>
      <c r="L385" s="85"/>
      <c r="M385" s="85"/>
      <c r="N385" s="85"/>
      <c r="O385" s="85"/>
      <c r="P385" s="85"/>
      <c r="Q385" s="85"/>
      <c r="R385" s="85"/>
      <c r="S385" s="89"/>
      <c r="T385" s="89" t="s">
        <v>1124</v>
      </c>
      <c r="U385" s="85"/>
      <c r="V385" s="85"/>
      <c r="W385" s="85"/>
      <c r="X385" s="89" t="s">
        <v>1124</v>
      </c>
      <c r="Y385" s="79"/>
      <c r="Z385" s="79"/>
      <c r="AA385" s="94"/>
      <c r="AB385" s="79" t="s">
        <v>1124</v>
      </c>
      <c r="AC385" s="85"/>
      <c r="AD385" s="85"/>
      <c r="AE385" s="85"/>
      <c r="AF385" s="85"/>
      <c r="AG385" s="85" t="s">
        <v>1124</v>
      </c>
      <c r="AH385" s="85"/>
      <c r="AI385" s="85"/>
      <c r="AJ385" s="85"/>
      <c r="AK385" s="85"/>
      <c r="AL385" s="85"/>
      <c r="AM385" s="85"/>
      <c r="AN385" s="85"/>
      <c r="AO385" s="85"/>
      <c r="AP385" s="85"/>
      <c r="AQ385" s="85"/>
      <c r="AR385" s="85" t="s">
        <v>1124</v>
      </c>
      <c r="AS385" s="85"/>
      <c r="AT385" s="85"/>
      <c r="AU385" s="85"/>
      <c r="AV385" s="85"/>
      <c r="AW385" s="85"/>
      <c r="AX385" s="85"/>
      <c r="AY385" s="85"/>
      <c r="AZ385" s="85"/>
      <c r="BA385" s="85"/>
      <c r="BB385" s="89"/>
      <c r="BC385" s="89" t="s">
        <v>1124</v>
      </c>
      <c r="BD385" s="37"/>
      <c r="BE385" s="37"/>
      <c r="BF385" s="279"/>
      <c r="BG385" s="37"/>
      <c r="BH385" s="37"/>
      <c r="BI385" s="37"/>
      <c r="BJ385" s="283"/>
      <c r="BK385" s="161"/>
      <c r="BL385" s="294"/>
      <c r="BM385"/>
      <c r="BN385"/>
      <c r="BO385"/>
      <c r="BP385"/>
      <c r="BQ385"/>
      <c r="BR385"/>
      <c r="BS385"/>
      <c r="BT385"/>
      <c r="BU385"/>
      <c r="BV385"/>
      <c r="BW385"/>
      <c r="BX385"/>
      <c r="BY385"/>
      <c r="BZ385"/>
      <c r="CA385"/>
      <c r="CB385"/>
      <c r="CC385"/>
      <c r="CD385"/>
      <c r="CE385"/>
      <c r="CF385"/>
      <c r="CG385"/>
      <c r="CH385"/>
      <c r="CI385"/>
      <c r="CJ385"/>
    </row>
    <row r="386" spans="1:88" s="32" customFormat="1" ht="15" customHeight="1" x14ac:dyDescent="0.35">
      <c r="A386" s="473"/>
      <c r="B386" s="314">
        <v>83060</v>
      </c>
      <c r="C386" s="8" t="s">
        <v>844</v>
      </c>
      <c r="D386" s="18">
        <v>7</v>
      </c>
      <c r="E386" s="251"/>
      <c r="F386" s="82"/>
      <c r="G386" s="79"/>
      <c r="H386" s="90"/>
      <c r="I386" s="85"/>
      <c r="J386" s="85"/>
      <c r="K386" s="85"/>
      <c r="L386" s="85"/>
      <c r="M386" s="85"/>
      <c r="N386" s="85"/>
      <c r="O386" s="85"/>
      <c r="P386" s="85"/>
      <c r="Q386" s="85"/>
      <c r="R386" s="85"/>
      <c r="S386" s="89"/>
      <c r="T386" s="89" t="s">
        <v>1124</v>
      </c>
      <c r="U386" s="85"/>
      <c r="V386" s="85"/>
      <c r="W386" s="85"/>
      <c r="X386" s="89" t="s">
        <v>1124</v>
      </c>
      <c r="Y386" s="79"/>
      <c r="Z386" s="79"/>
      <c r="AA386" s="94"/>
      <c r="AB386" s="79" t="s">
        <v>1124</v>
      </c>
      <c r="AC386" s="85"/>
      <c r="AD386" s="85"/>
      <c r="AE386" s="85"/>
      <c r="AF386" s="85"/>
      <c r="AG386" s="85" t="s">
        <v>1124</v>
      </c>
      <c r="AH386" s="85"/>
      <c r="AI386" s="85"/>
      <c r="AJ386" s="85"/>
      <c r="AK386" s="85"/>
      <c r="AL386" s="85"/>
      <c r="AM386" s="85"/>
      <c r="AN386" s="85"/>
      <c r="AO386" s="85"/>
      <c r="AP386" s="85"/>
      <c r="AQ386" s="85"/>
      <c r="AR386" s="85" t="s">
        <v>1124</v>
      </c>
      <c r="AS386" s="85"/>
      <c r="AT386" s="85"/>
      <c r="AU386" s="85"/>
      <c r="AV386" s="85"/>
      <c r="AW386" s="85"/>
      <c r="AX386" s="85"/>
      <c r="AY386" s="85"/>
      <c r="AZ386" s="85"/>
      <c r="BA386" s="85"/>
      <c r="BB386" s="89"/>
      <c r="BC386" s="89" t="s">
        <v>1124</v>
      </c>
      <c r="BD386" s="37"/>
      <c r="BE386" s="37"/>
      <c r="BF386" s="279"/>
      <c r="BG386" s="37"/>
      <c r="BH386" s="37"/>
      <c r="BI386" s="37"/>
      <c r="BJ386" s="283"/>
      <c r="BK386" s="161"/>
      <c r="BL386" s="294"/>
      <c r="BM386"/>
      <c r="BN386"/>
      <c r="BO386"/>
      <c r="BP386"/>
      <c r="BQ386"/>
      <c r="BR386"/>
      <c r="BS386"/>
      <c r="BT386"/>
      <c r="BU386"/>
      <c r="BV386"/>
      <c r="BW386"/>
      <c r="BX386"/>
      <c r="BY386"/>
      <c r="BZ386"/>
      <c r="CA386"/>
      <c r="CB386"/>
      <c r="CC386"/>
      <c r="CD386"/>
      <c r="CE386"/>
      <c r="CF386"/>
      <c r="CG386"/>
      <c r="CH386"/>
      <c r="CI386"/>
      <c r="CJ386"/>
    </row>
    <row r="387" spans="1:88" s="32" customFormat="1" ht="15" customHeight="1" x14ac:dyDescent="0.35">
      <c r="A387" s="473"/>
      <c r="B387" s="314">
        <v>93012</v>
      </c>
      <c r="C387" s="8" t="s">
        <v>959</v>
      </c>
      <c r="D387" s="18">
        <v>2</v>
      </c>
      <c r="E387" s="251">
        <v>1300</v>
      </c>
      <c r="F387" s="82">
        <v>2.1198057204533187</v>
      </c>
      <c r="G387" s="79">
        <v>2755.7474365893145</v>
      </c>
      <c r="H387" s="90">
        <v>38.136589999999998</v>
      </c>
      <c r="I387" s="85">
        <v>36.869999999999997</v>
      </c>
      <c r="J387" s="85">
        <v>41.56812</v>
      </c>
      <c r="K387" s="85">
        <v>39.958300000000001</v>
      </c>
      <c r="L387" s="85">
        <v>36.649166999999998</v>
      </c>
      <c r="M387" s="85">
        <v>46.246200000000002</v>
      </c>
      <c r="N387" s="85">
        <v>50.4621</v>
      </c>
      <c r="O387" s="85">
        <v>44.202399999999997</v>
      </c>
      <c r="P387" s="85">
        <v>37.221899999999998</v>
      </c>
      <c r="Q387" s="85">
        <v>35.283200000000001</v>
      </c>
      <c r="R387" s="85">
        <v>31.809100000000001</v>
      </c>
      <c r="S387" s="89">
        <v>34.883299999999998</v>
      </c>
      <c r="T387" s="89">
        <v>473.29037700000009</v>
      </c>
      <c r="U387" s="85">
        <v>0</v>
      </c>
      <c r="V387" s="85">
        <v>473.29037700000009</v>
      </c>
      <c r="W387" s="85">
        <v>0</v>
      </c>
      <c r="X387" s="89">
        <v>473.29037700000009</v>
      </c>
      <c r="Y387" s="79">
        <v>0</v>
      </c>
      <c r="Z387" s="79">
        <v>2</v>
      </c>
      <c r="AA387" s="94">
        <v>0</v>
      </c>
      <c r="AB387" s="79">
        <v>2</v>
      </c>
      <c r="AC387" s="85">
        <v>280.44099999999997</v>
      </c>
      <c r="AD387" s="85">
        <v>92.310377000000159</v>
      </c>
      <c r="AE387" s="85">
        <v>100.53899999999996</v>
      </c>
      <c r="AF387" s="85">
        <v>0</v>
      </c>
      <c r="AG387" s="85">
        <v>473.29037700000015</v>
      </c>
      <c r="AH387" s="85">
        <v>0</v>
      </c>
      <c r="AI387" s="85">
        <v>0</v>
      </c>
      <c r="AJ387" s="85">
        <v>0</v>
      </c>
      <c r="AK387" s="85">
        <v>0</v>
      </c>
      <c r="AL387" s="85">
        <v>0</v>
      </c>
      <c r="AM387" s="85">
        <v>0</v>
      </c>
      <c r="AN387" s="85">
        <v>0</v>
      </c>
      <c r="AO387" s="85">
        <v>0</v>
      </c>
      <c r="AP387" s="85">
        <v>0</v>
      </c>
      <c r="AQ387" s="85">
        <v>0</v>
      </c>
      <c r="AR387" s="85">
        <v>0</v>
      </c>
      <c r="AS387" s="85">
        <v>0</v>
      </c>
      <c r="AT387" s="85">
        <v>0</v>
      </c>
      <c r="AU387" s="85">
        <v>0</v>
      </c>
      <c r="AV387" s="85">
        <v>0</v>
      </c>
      <c r="AW387" s="85">
        <v>0</v>
      </c>
      <c r="AX387" s="85">
        <v>0</v>
      </c>
      <c r="AY387" s="85">
        <v>473.29037700000009</v>
      </c>
      <c r="AZ387" s="85">
        <v>0</v>
      </c>
      <c r="BA387" s="85">
        <v>0</v>
      </c>
      <c r="BB387" s="89">
        <v>0</v>
      </c>
      <c r="BC387" s="89">
        <v>473.29037700000009</v>
      </c>
      <c r="BD387" s="37">
        <v>0</v>
      </c>
      <c r="BE387" s="37">
        <v>0</v>
      </c>
      <c r="BF387" s="279">
        <v>35450</v>
      </c>
      <c r="BG387" s="37">
        <v>12902</v>
      </c>
      <c r="BH387" s="37">
        <v>4500</v>
      </c>
      <c r="BI387" s="37">
        <v>0</v>
      </c>
      <c r="BJ387" s="283">
        <v>52852</v>
      </c>
      <c r="BK387" s="161"/>
      <c r="BL387" s="294"/>
      <c r="BM387"/>
      <c r="BN387"/>
      <c r="BO387"/>
      <c r="BP387"/>
      <c r="BQ387"/>
      <c r="BR387"/>
      <c r="BS387"/>
      <c r="BT387"/>
      <c r="BU387"/>
      <c r="BV387"/>
      <c r="BW387"/>
      <c r="BX387"/>
      <c r="BY387"/>
      <c r="BZ387"/>
      <c r="CA387"/>
      <c r="CB387"/>
      <c r="CC387"/>
      <c r="CD387"/>
      <c r="CE387"/>
      <c r="CF387"/>
      <c r="CG387"/>
      <c r="CH387"/>
      <c r="CI387"/>
      <c r="CJ387"/>
    </row>
    <row r="388" spans="1:88" s="32" customFormat="1" ht="15" customHeight="1" x14ac:dyDescent="0.35">
      <c r="A388" s="473"/>
      <c r="B388" s="313">
        <v>9048</v>
      </c>
      <c r="C388" s="8" t="s">
        <v>1105</v>
      </c>
      <c r="D388" s="18">
        <v>1</v>
      </c>
      <c r="E388" s="251">
        <v>184</v>
      </c>
      <c r="F388" s="82">
        <v>1.95</v>
      </c>
      <c r="G388" s="79">
        <v>358.8</v>
      </c>
      <c r="H388" s="90">
        <v>11.265000000000001</v>
      </c>
      <c r="I388" s="85">
        <v>10.132999999999999</v>
      </c>
      <c r="J388" s="85">
        <v>11.663</v>
      </c>
      <c r="K388" s="85">
        <v>10.967000000000001</v>
      </c>
      <c r="L388" s="85">
        <v>11.61</v>
      </c>
      <c r="M388" s="85">
        <v>14.282999999999999</v>
      </c>
      <c r="N388" s="85">
        <v>18.314</v>
      </c>
      <c r="O388" s="85">
        <v>16.07</v>
      </c>
      <c r="P388" s="85">
        <v>10.46</v>
      </c>
      <c r="Q388" s="85">
        <v>9.07</v>
      </c>
      <c r="R388" s="85">
        <v>7.6749999999999998</v>
      </c>
      <c r="S388" s="89">
        <v>9.8239999999999998</v>
      </c>
      <c r="T388" s="89">
        <v>141.334</v>
      </c>
      <c r="U388" s="85">
        <v>0</v>
      </c>
      <c r="V388" s="85">
        <v>141.334</v>
      </c>
      <c r="W388" s="85">
        <v>0</v>
      </c>
      <c r="X388" s="89">
        <v>141.334</v>
      </c>
      <c r="Y388" s="79">
        <v>0</v>
      </c>
      <c r="Z388" s="79">
        <v>1</v>
      </c>
      <c r="AA388" s="94">
        <v>0</v>
      </c>
      <c r="AB388" s="79">
        <v>1</v>
      </c>
      <c r="AC388" s="85">
        <v>29.863199999999999</v>
      </c>
      <c r="AD388" s="85">
        <v>22.538205153061213</v>
      </c>
      <c r="AE388" s="85">
        <v>88.932594846938784</v>
      </c>
      <c r="AF388" s="85">
        <v>0</v>
      </c>
      <c r="AG388" s="85">
        <v>141.334</v>
      </c>
      <c r="AH388" s="85">
        <v>0</v>
      </c>
      <c r="AI388" s="85">
        <v>0</v>
      </c>
      <c r="AJ388" s="85">
        <v>0</v>
      </c>
      <c r="AK388" s="85">
        <v>0</v>
      </c>
      <c r="AL388" s="85">
        <v>0</v>
      </c>
      <c r="AM388" s="85">
        <v>0</v>
      </c>
      <c r="AN388" s="85">
        <v>0</v>
      </c>
      <c r="AO388" s="85">
        <v>0</v>
      </c>
      <c r="AP388" s="85">
        <v>0</v>
      </c>
      <c r="AQ388" s="85">
        <v>0</v>
      </c>
      <c r="AR388" s="85">
        <v>0</v>
      </c>
      <c r="AS388" s="85">
        <v>0</v>
      </c>
      <c r="AT388" s="85">
        <v>0</v>
      </c>
      <c r="AU388" s="85">
        <v>0</v>
      </c>
      <c r="AV388" s="85">
        <v>0</v>
      </c>
      <c r="AW388" s="85">
        <v>0</v>
      </c>
      <c r="AX388" s="85">
        <v>0</v>
      </c>
      <c r="AY388" s="85">
        <v>0</v>
      </c>
      <c r="AZ388" s="85">
        <v>141.334</v>
      </c>
      <c r="BA388" s="85">
        <v>0</v>
      </c>
      <c r="BB388" s="89">
        <v>0</v>
      </c>
      <c r="BC388" s="89">
        <v>141.334</v>
      </c>
      <c r="BD388" s="37">
        <v>0</v>
      </c>
      <c r="BE388" s="37">
        <v>0</v>
      </c>
      <c r="BF388" s="279">
        <v>17023</v>
      </c>
      <c r="BG388" s="37">
        <v>28930</v>
      </c>
      <c r="BH388" s="37">
        <v>5883</v>
      </c>
      <c r="BI388" s="37">
        <v>20108</v>
      </c>
      <c r="BJ388" s="283">
        <v>71944</v>
      </c>
      <c r="BK388" s="161"/>
      <c r="BL388" s="294"/>
      <c r="BM388"/>
      <c r="BN388"/>
      <c r="BO388"/>
      <c r="BP388"/>
      <c r="BQ388"/>
      <c r="BR388"/>
      <c r="BS388"/>
      <c r="BT388"/>
      <c r="BU388"/>
      <c r="BV388"/>
      <c r="BW388"/>
      <c r="BX388"/>
      <c r="BY388"/>
      <c r="BZ388"/>
      <c r="CA388"/>
      <c r="CB388"/>
      <c r="CC388"/>
      <c r="CD388"/>
      <c r="CE388"/>
      <c r="CF388"/>
      <c r="CG388"/>
      <c r="CH388"/>
      <c r="CI388"/>
      <c r="CJ388"/>
    </row>
    <row r="389" spans="1:88" s="32" customFormat="1" ht="15" customHeight="1" x14ac:dyDescent="0.35">
      <c r="A389" s="473"/>
      <c r="B389" s="313">
        <v>30040</v>
      </c>
      <c r="C389" s="8" t="s">
        <v>224</v>
      </c>
      <c r="D389" s="18">
        <v>5</v>
      </c>
      <c r="E389" s="251"/>
      <c r="F389" s="82"/>
      <c r="G389" s="79"/>
      <c r="H389" s="90"/>
      <c r="I389" s="85"/>
      <c r="J389" s="85"/>
      <c r="K389" s="85"/>
      <c r="L389" s="85"/>
      <c r="M389" s="85"/>
      <c r="N389" s="85"/>
      <c r="O389" s="85"/>
      <c r="P389" s="85"/>
      <c r="Q389" s="85"/>
      <c r="R389" s="85"/>
      <c r="S389" s="89"/>
      <c r="T389" s="89" t="s">
        <v>1124</v>
      </c>
      <c r="U389" s="85"/>
      <c r="V389" s="85"/>
      <c r="W389" s="85"/>
      <c r="X389" s="89" t="s">
        <v>1124</v>
      </c>
      <c r="Y389" s="79"/>
      <c r="Z389" s="79"/>
      <c r="AA389" s="94"/>
      <c r="AB389" s="79" t="s">
        <v>1124</v>
      </c>
      <c r="AC389" s="85"/>
      <c r="AD389" s="85"/>
      <c r="AE389" s="85"/>
      <c r="AF389" s="85"/>
      <c r="AG389" s="85" t="s">
        <v>1124</v>
      </c>
      <c r="AH389" s="85"/>
      <c r="AI389" s="85"/>
      <c r="AJ389" s="85"/>
      <c r="AK389" s="85"/>
      <c r="AL389" s="85"/>
      <c r="AM389" s="85"/>
      <c r="AN389" s="85"/>
      <c r="AO389" s="85"/>
      <c r="AP389" s="85"/>
      <c r="AQ389" s="85"/>
      <c r="AR389" s="85" t="s">
        <v>1124</v>
      </c>
      <c r="AS389" s="85"/>
      <c r="AT389" s="85"/>
      <c r="AU389" s="85"/>
      <c r="AV389" s="85"/>
      <c r="AW389" s="85"/>
      <c r="AX389" s="85"/>
      <c r="AY389" s="85"/>
      <c r="AZ389" s="85"/>
      <c r="BA389" s="85"/>
      <c r="BB389" s="89"/>
      <c r="BC389" s="89" t="s">
        <v>1124</v>
      </c>
      <c r="BD389" s="37"/>
      <c r="BE389" s="37"/>
      <c r="BF389" s="279"/>
      <c r="BG389" s="37"/>
      <c r="BH389" s="37"/>
      <c r="BI389" s="37"/>
      <c r="BJ389" s="283"/>
      <c r="BK389" s="161"/>
      <c r="BL389" s="294"/>
      <c r="BM389"/>
      <c r="BN389"/>
      <c r="BO389"/>
      <c r="BP389"/>
      <c r="BQ389"/>
      <c r="BR389"/>
      <c r="BS389"/>
      <c r="BT389"/>
      <c r="BU389"/>
      <c r="BV389"/>
      <c r="BW389"/>
      <c r="BX389"/>
      <c r="BY389"/>
      <c r="BZ389"/>
      <c r="CA389"/>
      <c r="CB389"/>
      <c r="CC389"/>
      <c r="CD389"/>
      <c r="CE389"/>
      <c r="CF389"/>
      <c r="CG389"/>
      <c r="CH389"/>
      <c r="CI389"/>
      <c r="CJ389"/>
    </row>
    <row r="390" spans="1:88" s="32" customFormat="1" ht="15" customHeight="1" x14ac:dyDescent="0.35">
      <c r="A390" s="473"/>
      <c r="B390" s="313">
        <v>76030</v>
      </c>
      <c r="C390" s="8" t="s">
        <v>750</v>
      </c>
      <c r="D390" s="18">
        <v>15</v>
      </c>
      <c r="E390" s="251"/>
      <c r="F390" s="82"/>
      <c r="G390" s="79"/>
      <c r="H390" s="90"/>
      <c r="I390" s="85"/>
      <c r="J390" s="85"/>
      <c r="K390" s="85"/>
      <c r="L390" s="85"/>
      <c r="M390" s="85"/>
      <c r="N390" s="85"/>
      <c r="O390" s="85"/>
      <c r="P390" s="85"/>
      <c r="Q390" s="85"/>
      <c r="R390" s="85"/>
      <c r="S390" s="89"/>
      <c r="T390" s="89" t="s">
        <v>1124</v>
      </c>
      <c r="U390" s="85"/>
      <c r="V390" s="85"/>
      <c r="W390" s="85"/>
      <c r="X390" s="89" t="s">
        <v>1124</v>
      </c>
      <c r="Y390" s="79"/>
      <c r="Z390" s="79"/>
      <c r="AA390" s="94"/>
      <c r="AB390" s="79" t="s">
        <v>1124</v>
      </c>
      <c r="AC390" s="85"/>
      <c r="AD390" s="85"/>
      <c r="AE390" s="85"/>
      <c r="AF390" s="85"/>
      <c r="AG390" s="85" t="s">
        <v>1124</v>
      </c>
      <c r="AH390" s="85"/>
      <c r="AI390" s="85"/>
      <c r="AJ390" s="85"/>
      <c r="AK390" s="85"/>
      <c r="AL390" s="85"/>
      <c r="AM390" s="85"/>
      <c r="AN390" s="85"/>
      <c r="AO390" s="85"/>
      <c r="AP390" s="85"/>
      <c r="AQ390" s="85"/>
      <c r="AR390" s="85" t="s">
        <v>1124</v>
      </c>
      <c r="AS390" s="85"/>
      <c r="AT390" s="85"/>
      <c r="AU390" s="85"/>
      <c r="AV390" s="85"/>
      <c r="AW390" s="85"/>
      <c r="AX390" s="85"/>
      <c r="AY390" s="85"/>
      <c r="AZ390" s="85"/>
      <c r="BA390" s="85"/>
      <c r="BB390" s="89"/>
      <c r="BC390" s="89" t="s">
        <v>1124</v>
      </c>
      <c r="BD390" s="37"/>
      <c r="BE390" s="37"/>
      <c r="BF390" s="279"/>
      <c r="BG390" s="37"/>
      <c r="BH390" s="37"/>
      <c r="BI390" s="37"/>
      <c r="BJ390" s="283"/>
      <c r="BK390" s="161"/>
      <c r="BL390" s="294"/>
      <c r="BM390"/>
      <c r="BN390"/>
      <c r="BO390"/>
      <c r="BP390"/>
      <c r="BQ390"/>
      <c r="BR390"/>
      <c r="BS390"/>
      <c r="BT390"/>
      <c r="BU390"/>
      <c r="BV390"/>
      <c r="BW390"/>
      <c r="BX390"/>
      <c r="BY390"/>
      <c r="BZ390"/>
      <c r="CA390"/>
      <c r="CB390"/>
      <c r="CC390"/>
      <c r="CD390"/>
      <c r="CE390"/>
      <c r="CF390"/>
      <c r="CG390"/>
      <c r="CH390"/>
      <c r="CI390"/>
      <c r="CJ390"/>
    </row>
    <row r="391" spans="1:88" s="32" customFormat="1" ht="15" customHeight="1" x14ac:dyDescent="0.35">
      <c r="A391" s="473"/>
      <c r="B391" s="313">
        <v>74005</v>
      </c>
      <c r="C391" s="8" t="s">
        <v>741</v>
      </c>
      <c r="D391" s="18">
        <v>15</v>
      </c>
      <c r="E391" s="251">
        <v>7848</v>
      </c>
      <c r="F391" s="82">
        <v>2.5721097657893508</v>
      </c>
      <c r="G391" s="79">
        <v>20185.917441914826</v>
      </c>
      <c r="H391" s="90">
        <v>142.38400000000001</v>
      </c>
      <c r="I391" s="85">
        <v>126.79599999999999</v>
      </c>
      <c r="J391" s="85">
        <v>166.58100000000002</v>
      </c>
      <c r="K391" s="85">
        <v>166.11600000000001</v>
      </c>
      <c r="L391" s="85">
        <v>182.55500000000001</v>
      </c>
      <c r="M391" s="85">
        <v>182.01599999999999</v>
      </c>
      <c r="N391" s="85">
        <v>187.655</v>
      </c>
      <c r="O391" s="85">
        <v>181.53299999999999</v>
      </c>
      <c r="P391" s="85">
        <v>181.93099999999998</v>
      </c>
      <c r="Q391" s="85">
        <v>176.08</v>
      </c>
      <c r="R391" s="85">
        <v>155.09499999999997</v>
      </c>
      <c r="S391" s="89">
        <v>172.93</v>
      </c>
      <c r="T391" s="89">
        <v>2021.672</v>
      </c>
      <c r="U391" s="85">
        <v>99.528000000000006</v>
      </c>
      <c r="V391" s="85">
        <v>1922.144</v>
      </c>
      <c r="W391" s="85">
        <v>0</v>
      </c>
      <c r="X391" s="89">
        <v>2021.672</v>
      </c>
      <c r="Y391" s="79">
        <v>1</v>
      </c>
      <c r="Z391" s="79">
        <v>7</v>
      </c>
      <c r="AA391" s="94">
        <v>0</v>
      </c>
      <c r="AB391" s="79">
        <v>8</v>
      </c>
      <c r="AC391" s="85">
        <v>1210.9263903073338</v>
      </c>
      <c r="AD391" s="85">
        <v>551.32406137266639</v>
      </c>
      <c r="AE391" s="85">
        <v>259.42154831999989</v>
      </c>
      <c r="AF391" s="85">
        <v>0</v>
      </c>
      <c r="AG391" s="85">
        <v>2021.672</v>
      </c>
      <c r="AH391" s="85">
        <v>99.528000000000006</v>
      </c>
      <c r="AI391" s="85">
        <v>0</v>
      </c>
      <c r="AJ391" s="85">
        <v>0</v>
      </c>
      <c r="AK391" s="85">
        <v>0</v>
      </c>
      <c r="AL391" s="85">
        <v>0</v>
      </c>
      <c r="AM391" s="85">
        <v>0</v>
      </c>
      <c r="AN391" s="85">
        <v>0</v>
      </c>
      <c r="AO391" s="85">
        <v>0</v>
      </c>
      <c r="AP391" s="85">
        <v>0</v>
      </c>
      <c r="AQ391" s="85">
        <v>0</v>
      </c>
      <c r="AR391" s="85">
        <v>99.528000000000006</v>
      </c>
      <c r="AS391" s="85">
        <v>115.706</v>
      </c>
      <c r="AT391" s="85">
        <v>0</v>
      </c>
      <c r="AU391" s="85">
        <v>0</v>
      </c>
      <c r="AV391" s="85">
        <v>0</v>
      </c>
      <c r="AW391" s="85">
        <v>1331.731</v>
      </c>
      <c r="AX391" s="85">
        <v>80.37</v>
      </c>
      <c r="AY391" s="85">
        <v>0</v>
      </c>
      <c r="AZ391" s="85">
        <v>0</v>
      </c>
      <c r="BA391" s="85">
        <v>394.33699999999999</v>
      </c>
      <c r="BB391" s="89">
        <v>0</v>
      </c>
      <c r="BC391" s="89">
        <v>1922.1439999999998</v>
      </c>
      <c r="BD391" s="37">
        <v>577818</v>
      </c>
      <c r="BE391" s="37">
        <v>114621</v>
      </c>
      <c r="BF391" s="279">
        <v>274700</v>
      </c>
      <c r="BG391" s="37">
        <v>387500</v>
      </c>
      <c r="BH391" s="37">
        <v>249500</v>
      </c>
      <c r="BI391" s="37">
        <v>0</v>
      </c>
      <c r="BJ391" s="283">
        <v>911700</v>
      </c>
      <c r="BK391" s="161"/>
      <c r="BL391" s="294"/>
      <c r="BM391"/>
      <c r="BN391"/>
      <c r="BO391"/>
      <c r="BP391"/>
      <c r="BQ391"/>
      <c r="BR391"/>
      <c r="BS391"/>
      <c r="BT391"/>
      <c r="BU391"/>
      <c r="BV391"/>
      <c r="BW391"/>
      <c r="BX391"/>
      <c r="BY391"/>
      <c r="BZ391"/>
      <c r="CA391"/>
      <c r="CB391"/>
      <c r="CC391"/>
      <c r="CD391"/>
      <c r="CE391"/>
      <c r="CF391"/>
      <c r="CG391"/>
      <c r="CH391"/>
      <c r="CI391"/>
      <c r="CJ391"/>
    </row>
    <row r="392" spans="1:88" s="32" customFormat="1" ht="15" customHeight="1" x14ac:dyDescent="0.35">
      <c r="A392" s="473"/>
      <c r="B392" s="313">
        <v>85075</v>
      </c>
      <c r="C392" s="8" t="s">
        <v>883</v>
      </c>
      <c r="D392" s="18">
        <v>8</v>
      </c>
      <c r="E392" s="251"/>
      <c r="F392" s="82"/>
      <c r="G392" s="79"/>
      <c r="H392" s="90"/>
      <c r="I392" s="85"/>
      <c r="J392" s="85"/>
      <c r="K392" s="85"/>
      <c r="L392" s="85"/>
      <c r="M392" s="85"/>
      <c r="N392" s="85"/>
      <c r="O392" s="85"/>
      <c r="P392" s="85"/>
      <c r="Q392" s="85"/>
      <c r="R392" s="85"/>
      <c r="S392" s="89"/>
      <c r="T392" s="89" t="s">
        <v>1124</v>
      </c>
      <c r="U392" s="85"/>
      <c r="V392" s="85"/>
      <c r="W392" s="85"/>
      <c r="X392" s="89" t="s">
        <v>1124</v>
      </c>
      <c r="Y392" s="79"/>
      <c r="Z392" s="79"/>
      <c r="AA392" s="94"/>
      <c r="AB392" s="79" t="s">
        <v>1124</v>
      </c>
      <c r="AC392" s="85"/>
      <c r="AD392" s="85"/>
      <c r="AE392" s="85"/>
      <c r="AF392" s="85"/>
      <c r="AG392" s="85" t="s">
        <v>1124</v>
      </c>
      <c r="AH392" s="85"/>
      <c r="AI392" s="85"/>
      <c r="AJ392" s="85"/>
      <c r="AK392" s="85"/>
      <c r="AL392" s="85"/>
      <c r="AM392" s="85"/>
      <c r="AN392" s="85"/>
      <c r="AO392" s="85"/>
      <c r="AP392" s="85"/>
      <c r="AQ392" s="85"/>
      <c r="AR392" s="85" t="s">
        <v>1124</v>
      </c>
      <c r="AS392" s="85"/>
      <c r="AT392" s="85"/>
      <c r="AU392" s="85"/>
      <c r="AV392" s="85"/>
      <c r="AW392" s="85"/>
      <c r="AX392" s="85"/>
      <c r="AY392" s="85"/>
      <c r="AZ392" s="85"/>
      <c r="BA392" s="85"/>
      <c r="BB392" s="89"/>
      <c r="BC392" s="89" t="s">
        <v>1124</v>
      </c>
      <c r="BD392" s="37"/>
      <c r="BE392" s="37"/>
      <c r="BF392" s="279"/>
      <c r="BG392" s="37"/>
      <c r="BH392" s="37"/>
      <c r="BI392" s="37"/>
      <c r="BJ392" s="283"/>
      <c r="BK392" s="161"/>
      <c r="BL392" s="294"/>
      <c r="BM392"/>
      <c r="BN392"/>
      <c r="BO392"/>
      <c r="BP392"/>
      <c r="BQ392"/>
      <c r="BR392"/>
      <c r="BS392"/>
      <c r="BT392"/>
      <c r="BU392"/>
      <c r="BV392"/>
      <c r="BW392"/>
      <c r="BX392"/>
      <c r="BY392"/>
      <c r="BZ392"/>
      <c r="CA392"/>
      <c r="CB392"/>
      <c r="CC392"/>
      <c r="CD392"/>
      <c r="CE392"/>
      <c r="CF392"/>
      <c r="CG392"/>
      <c r="CH392"/>
      <c r="CI392"/>
      <c r="CJ392"/>
    </row>
    <row r="393" spans="1:88" s="32" customFormat="1" ht="15" customHeight="1" x14ac:dyDescent="0.35">
      <c r="A393" s="473"/>
      <c r="B393" s="313">
        <v>78055</v>
      </c>
      <c r="C393" s="8" t="s">
        <v>774</v>
      </c>
      <c r="D393" s="18">
        <v>15</v>
      </c>
      <c r="E393" s="251"/>
      <c r="F393" s="82"/>
      <c r="G393" s="79"/>
      <c r="H393" s="90"/>
      <c r="I393" s="85"/>
      <c r="J393" s="85"/>
      <c r="K393" s="85"/>
      <c r="L393" s="85"/>
      <c r="M393" s="85"/>
      <c r="N393" s="85"/>
      <c r="O393" s="85"/>
      <c r="P393" s="85"/>
      <c r="Q393" s="85"/>
      <c r="R393" s="85"/>
      <c r="S393" s="89"/>
      <c r="T393" s="89" t="s">
        <v>1124</v>
      </c>
      <c r="U393" s="85"/>
      <c r="V393" s="85"/>
      <c r="W393" s="85"/>
      <c r="X393" s="89" t="s">
        <v>1124</v>
      </c>
      <c r="Y393" s="79"/>
      <c r="Z393" s="79"/>
      <c r="AA393" s="94"/>
      <c r="AB393" s="79" t="s">
        <v>1124</v>
      </c>
      <c r="AC393" s="85"/>
      <c r="AD393" s="85"/>
      <c r="AE393" s="85"/>
      <c r="AF393" s="85"/>
      <c r="AG393" s="85" t="s">
        <v>1124</v>
      </c>
      <c r="AH393" s="85"/>
      <c r="AI393" s="85"/>
      <c r="AJ393" s="85"/>
      <c r="AK393" s="85"/>
      <c r="AL393" s="85"/>
      <c r="AM393" s="85"/>
      <c r="AN393" s="85"/>
      <c r="AO393" s="85"/>
      <c r="AP393" s="85"/>
      <c r="AQ393" s="85"/>
      <c r="AR393" s="85" t="s">
        <v>1124</v>
      </c>
      <c r="AS393" s="85"/>
      <c r="AT393" s="85"/>
      <c r="AU393" s="85"/>
      <c r="AV393" s="85"/>
      <c r="AW393" s="85"/>
      <c r="AX393" s="85"/>
      <c r="AY393" s="85"/>
      <c r="AZ393" s="85"/>
      <c r="BA393" s="85"/>
      <c r="BB393" s="89"/>
      <c r="BC393" s="89" t="s">
        <v>1124</v>
      </c>
      <c r="BD393" s="37"/>
      <c r="BE393" s="37"/>
      <c r="BF393" s="279"/>
      <c r="BG393" s="37"/>
      <c r="BH393" s="37"/>
      <c r="BI393" s="37"/>
      <c r="BJ393" s="283"/>
      <c r="BK393" s="161"/>
      <c r="BL393" s="294"/>
      <c r="BM393"/>
      <c r="BN393"/>
      <c r="BO393"/>
      <c r="BP393"/>
      <c r="BQ393"/>
      <c r="BR393"/>
      <c r="BS393"/>
      <c r="BT393"/>
      <c r="BU393"/>
      <c r="BV393"/>
      <c r="BW393"/>
      <c r="BX393"/>
      <c r="BY393"/>
      <c r="BZ393"/>
      <c r="CA393"/>
      <c r="CB393"/>
      <c r="CC393"/>
      <c r="CD393"/>
      <c r="CE393"/>
      <c r="CF393"/>
      <c r="CG393"/>
      <c r="CH393"/>
      <c r="CI393"/>
      <c r="CJ393"/>
    </row>
    <row r="394" spans="1:88" s="32" customFormat="1" ht="15" customHeight="1" x14ac:dyDescent="0.35">
      <c r="A394" s="473"/>
      <c r="B394" s="313">
        <v>14005</v>
      </c>
      <c r="C394" s="8" t="s">
        <v>60</v>
      </c>
      <c r="D394" s="18">
        <v>1</v>
      </c>
      <c r="E394" s="251">
        <v>259</v>
      </c>
      <c r="F394" s="82">
        <v>2.2128060263653482</v>
      </c>
      <c r="G394" s="79">
        <v>573.11676082862516</v>
      </c>
      <c r="H394" s="90">
        <v>5.9580000000000002</v>
      </c>
      <c r="I394" s="85">
        <v>5.4950000000000001</v>
      </c>
      <c r="J394" s="85">
        <v>5.8559999999999999</v>
      </c>
      <c r="K394" s="85">
        <v>5.2839999999999998</v>
      </c>
      <c r="L394" s="85">
        <v>5.7640000000000002</v>
      </c>
      <c r="M394" s="85">
        <v>6.7009999999999996</v>
      </c>
      <c r="N394" s="85">
        <v>8.33</v>
      </c>
      <c r="O394" s="85">
        <v>8.1989999999999998</v>
      </c>
      <c r="P394" s="85">
        <v>6.5750000000000002</v>
      </c>
      <c r="Q394" s="85">
        <v>5.7080000000000002</v>
      </c>
      <c r="R394" s="85">
        <v>5.1509999999999998</v>
      </c>
      <c r="S394" s="89">
        <v>5.6289999999999996</v>
      </c>
      <c r="T394" s="89">
        <v>74.649999999999991</v>
      </c>
      <c r="U394" s="85">
        <v>74.650000000000006</v>
      </c>
      <c r="V394" s="85">
        <v>0</v>
      </c>
      <c r="W394" s="85">
        <v>0</v>
      </c>
      <c r="X394" s="89">
        <v>74.650000000000006</v>
      </c>
      <c r="Y394" s="79">
        <v>1</v>
      </c>
      <c r="Z394" s="79">
        <v>0</v>
      </c>
      <c r="AA394" s="94">
        <v>0</v>
      </c>
      <c r="AB394" s="79">
        <v>1</v>
      </c>
      <c r="AC394" s="85">
        <v>58.912999999999997</v>
      </c>
      <c r="AD394" s="85">
        <v>6.5789999999999953</v>
      </c>
      <c r="AE394" s="85">
        <v>9.1579999999999995</v>
      </c>
      <c r="AF394" s="85">
        <v>0</v>
      </c>
      <c r="AG394" s="85">
        <v>74.649999999999991</v>
      </c>
      <c r="AH394" s="85">
        <v>74.650000000000006</v>
      </c>
      <c r="AI394" s="85">
        <v>0</v>
      </c>
      <c r="AJ394" s="85">
        <v>0</v>
      </c>
      <c r="AK394" s="85">
        <v>0</v>
      </c>
      <c r="AL394" s="85">
        <v>0</v>
      </c>
      <c r="AM394" s="85">
        <v>0</v>
      </c>
      <c r="AN394" s="85">
        <v>0</v>
      </c>
      <c r="AO394" s="85">
        <v>0</v>
      </c>
      <c r="AP394" s="85">
        <v>0</v>
      </c>
      <c r="AQ394" s="85">
        <v>0</v>
      </c>
      <c r="AR394" s="85">
        <v>74.650000000000006</v>
      </c>
      <c r="AS394" s="85">
        <v>0</v>
      </c>
      <c r="AT394" s="85">
        <v>0</v>
      </c>
      <c r="AU394" s="85">
        <v>0</v>
      </c>
      <c r="AV394" s="85">
        <v>0</v>
      </c>
      <c r="AW394" s="85">
        <v>0</v>
      </c>
      <c r="AX394" s="85">
        <v>0</v>
      </c>
      <c r="AY394" s="85">
        <v>0</v>
      </c>
      <c r="AZ394" s="85">
        <v>0</v>
      </c>
      <c r="BA394" s="85">
        <v>0</v>
      </c>
      <c r="BB394" s="89">
        <v>0</v>
      </c>
      <c r="BC394" s="89">
        <v>0</v>
      </c>
      <c r="BD394" s="37">
        <v>29315</v>
      </c>
      <c r="BE394" s="37">
        <v>0</v>
      </c>
      <c r="BF394" s="279">
        <v>30229</v>
      </c>
      <c r="BG394" s="37">
        <v>48246</v>
      </c>
      <c r="BH394" s="37">
        <v>18699</v>
      </c>
      <c r="BI394" s="37">
        <v>11377</v>
      </c>
      <c r="BJ394" s="283">
        <v>108551</v>
      </c>
      <c r="BK394" s="161"/>
      <c r="BL394" s="294"/>
      <c r="BM394"/>
      <c r="BN394"/>
      <c r="BO394"/>
      <c r="BP394"/>
      <c r="BQ394"/>
      <c r="BR394"/>
      <c r="BS394"/>
      <c r="BT394"/>
      <c r="BU394"/>
      <c r="BV394"/>
      <c r="BW394"/>
      <c r="BX394"/>
      <c r="BY394"/>
      <c r="BZ394"/>
      <c r="CA394"/>
      <c r="CB394"/>
      <c r="CC394"/>
      <c r="CD394"/>
      <c r="CE394"/>
      <c r="CF394"/>
      <c r="CG394"/>
      <c r="CH394"/>
      <c r="CI394"/>
      <c r="CJ394"/>
    </row>
    <row r="395" spans="1:88" s="32" customFormat="1" ht="15" customHeight="1" x14ac:dyDescent="0.35">
      <c r="A395" s="473"/>
      <c r="B395" s="313">
        <v>83088</v>
      </c>
      <c r="C395" s="8" t="s">
        <v>849</v>
      </c>
      <c r="D395" s="18">
        <v>7</v>
      </c>
      <c r="E395" s="251"/>
      <c r="F395" s="82"/>
      <c r="G395" s="79"/>
      <c r="H395" s="90"/>
      <c r="I395" s="85"/>
      <c r="J395" s="85"/>
      <c r="K395" s="85"/>
      <c r="L395" s="85"/>
      <c r="M395" s="85"/>
      <c r="N395" s="85"/>
      <c r="O395" s="85"/>
      <c r="P395" s="85"/>
      <c r="Q395" s="85"/>
      <c r="R395" s="85"/>
      <c r="S395" s="89"/>
      <c r="T395" s="89" t="s">
        <v>1124</v>
      </c>
      <c r="U395" s="85"/>
      <c r="V395" s="85"/>
      <c r="W395" s="85"/>
      <c r="X395" s="89" t="s">
        <v>1124</v>
      </c>
      <c r="Y395" s="79"/>
      <c r="Z395" s="79"/>
      <c r="AA395" s="94"/>
      <c r="AB395" s="79" t="s">
        <v>1124</v>
      </c>
      <c r="AC395" s="85"/>
      <c r="AD395" s="85"/>
      <c r="AE395" s="85"/>
      <c r="AF395" s="85"/>
      <c r="AG395" s="85" t="s">
        <v>1124</v>
      </c>
      <c r="AH395" s="85"/>
      <c r="AI395" s="85"/>
      <c r="AJ395" s="85"/>
      <c r="AK395" s="85"/>
      <c r="AL395" s="85"/>
      <c r="AM395" s="85"/>
      <c r="AN395" s="85"/>
      <c r="AO395" s="85"/>
      <c r="AP395" s="85"/>
      <c r="AQ395" s="85"/>
      <c r="AR395" s="85" t="s">
        <v>1124</v>
      </c>
      <c r="AS395" s="85"/>
      <c r="AT395" s="85"/>
      <c r="AU395" s="85"/>
      <c r="AV395" s="85"/>
      <c r="AW395" s="85"/>
      <c r="AX395" s="85"/>
      <c r="AY395" s="85"/>
      <c r="AZ395" s="85"/>
      <c r="BA395" s="85"/>
      <c r="BB395" s="89"/>
      <c r="BC395" s="89" t="s">
        <v>1124</v>
      </c>
      <c r="BD395" s="37"/>
      <c r="BE395" s="37"/>
      <c r="BF395" s="279"/>
      <c r="BG395" s="37"/>
      <c r="BH395" s="37"/>
      <c r="BI395" s="37"/>
      <c r="BJ395" s="283"/>
      <c r="BK395" s="161"/>
      <c r="BL395" s="294"/>
      <c r="BM395"/>
      <c r="BN395"/>
      <c r="BO395"/>
      <c r="BP395"/>
      <c r="BQ395"/>
      <c r="BR395"/>
      <c r="BS395"/>
      <c r="BT395"/>
      <c r="BU395"/>
      <c r="BV395"/>
      <c r="BW395"/>
      <c r="BX395"/>
      <c r="BY395"/>
      <c r="BZ395"/>
      <c r="CA395"/>
      <c r="CB395"/>
      <c r="CC395"/>
      <c r="CD395"/>
      <c r="CE395"/>
      <c r="CF395"/>
      <c r="CG395"/>
      <c r="CH395"/>
      <c r="CI395"/>
      <c r="CJ395"/>
    </row>
    <row r="396" spans="1:88" s="32" customFormat="1" ht="15" customHeight="1" x14ac:dyDescent="0.35">
      <c r="A396" s="473"/>
      <c r="B396" s="313">
        <v>80010</v>
      </c>
      <c r="C396" s="8" t="s">
        <v>804</v>
      </c>
      <c r="D396" s="18">
        <v>7</v>
      </c>
      <c r="E396" s="251"/>
      <c r="F396" s="82"/>
      <c r="G396" s="79"/>
      <c r="H396" s="90"/>
      <c r="I396" s="85"/>
      <c r="J396" s="85"/>
      <c r="K396" s="85"/>
      <c r="L396" s="85"/>
      <c r="M396" s="85"/>
      <c r="N396" s="85"/>
      <c r="O396" s="85"/>
      <c r="P396" s="85"/>
      <c r="Q396" s="85"/>
      <c r="R396" s="85"/>
      <c r="S396" s="89"/>
      <c r="T396" s="89" t="s">
        <v>1124</v>
      </c>
      <c r="U396" s="85"/>
      <c r="V396" s="85"/>
      <c r="W396" s="85"/>
      <c r="X396" s="89" t="s">
        <v>1124</v>
      </c>
      <c r="Y396" s="79"/>
      <c r="Z396" s="79"/>
      <c r="AA396" s="94"/>
      <c r="AB396" s="79" t="s">
        <v>1124</v>
      </c>
      <c r="AC396" s="85"/>
      <c r="AD396" s="85"/>
      <c r="AE396" s="85"/>
      <c r="AF396" s="85"/>
      <c r="AG396" s="85" t="s">
        <v>1124</v>
      </c>
      <c r="AH396" s="85"/>
      <c r="AI396" s="85"/>
      <c r="AJ396" s="85"/>
      <c r="AK396" s="85"/>
      <c r="AL396" s="85"/>
      <c r="AM396" s="85"/>
      <c r="AN396" s="85"/>
      <c r="AO396" s="85"/>
      <c r="AP396" s="85"/>
      <c r="AQ396" s="85"/>
      <c r="AR396" s="85" t="s">
        <v>1124</v>
      </c>
      <c r="AS396" s="85"/>
      <c r="AT396" s="85"/>
      <c r="AU396" s="85"/>
      <c r="AV396" s="85"/>
      <c r="AW396" s="85"/>
      <c r="AX396" s="85"/>
      <c r="AY396" s="85"/>
      <c r="AZ396" s="85"/>
      <c r="BA396" s="85"/>
      <c r="BB396" s="89"/>
      <c r="BC396" s="89" t="s">
        <v>1124</v>
      </c>
      <c r="BD396" s="37"/>
      <c r="BE396" s="37"/>
      <c r="BF396" s="279"/>
      <c r="BG396" s="37"/>
      <c r="BH396" s="37"/>
      <c r="BI396" s="37"/>
      <c r="BJ396" s="283"/>
      <c r="BK396" s="161"/>
      <c r="BL396" s="294"/>
      <c r="BM396"/>
      <c r="BN396"/>
      <c r="BO396"/>
      <c r="BP396"/>
      <c r="BQ396"/>
      <c r="BR396"/>
      <c r="BS396"/>
      <c r="BT396"/>
      <c r="BU396"/>
      <c r="BV396"/>
      <c r="BW396"/>
      <c r="BX396"/>
      <c r="BY396"/>
      <c r="BZ396"/>
      <c r="CA396"/>
      <c r="CB396"/>
      <c r="CC396"/>
      <c r="CD396"/>
      <c r="CE396"/>
      <c r="CF396"/>
      <c r="CG396"/>
      <c r="CH396"/>
      <c r="CI396"/>
      <c r="CJ396"/>
    </row>
    <row r="397" spans="1:88" s="32" customFormat="1" ht="15" customHeight="1" x14ac:dyDescent="0.35">
      <c r="A397" s="473"/>
      <c r="B397" s="313">
        <v>9077</v>
      </c>
      <c r="C397" s="8" t="s">
        <v>1110</v>
      </c>
      <c r="D397" s="18">
        <v>1</v>
      </c>
      <c r="E397" s="251">
        <v>3082</v>
      </c>
      <c r="F397" s="82">
        <v>2.0138933764135705</v>
      </c>
      <c r="G397" s="79">
        <v>6206.8193861066238</v>
      </c>
      <c r="H397" s="90">
        <v>100.87</v>
      </c>
      <c r="I397" s="85">
        <v>89.703000000000003</v>
      </c>
      <c r="J397" s="85">
        <v>114.179</v>
      </c>
      <c r="K397" s="85">
        <v>107.741</v>
      </c>
      <c r="L397" s="85">
        <v>109.628</v>
      </c>
      <c r="M397" s="85">
        <v>113.37</v>
      </c>
      <c r="N397" s="85">
        <v>123.742</v>
      </c>
      <c r="O397" s="85">
        <v>117.312</v>
      </c>
      <c r="P397" s="85">
        <v>100.794</v>
      </c>
      <c r="Q397" s="85">
        <v>97.12</v>
      </c>
      <c r="R397" s="85">
        <v>95.677000000000007</v>
      </c>
      <c r="S397" s="89">
        <v>99.953000000000003</v>
      </c>
      <c r="T397" s="89">
        <v>1270.0889999999997</v>
      </c>
      <c r="U397" s="85">
        <v>1270.0889999999999</v>
      </c>
      <c r="V397" s="85">
        <v>0</v>
      </c>
      <c r="W397" s="85">
        <v>0</v>
      </c>
      <c r="X397" s="89">
        <v>1270.0889999999999</v>
      </c>
      <c r="Y397" s="79">
        <v>1</v>
      </c>
      <c r="Z397" s="79">
        <v>0</v>
      </c>
      <c r="AA397" s="94">
        <v>0</v>
      </c>
      <c r="AB397" s="79">
        <v>1</v>
      </c>
      <c r="AC397" s="85">
        <v>528.56579166666666</v>
      </c>
      <c r="AD397" s="85">
        <v>56.679758333332984</v>
      </c>
      <c r="AE397" s="85">
        <v>563.72445000000005</v>
      </c>
      <c r="AF397" s="85">
        <v>121.119</v>
      </c>
      <c r="AG397" s="85">
        <v>1270.0889999999997</v>
      </c>
      <c r="AH397" s="85">
        <v>0</v>
      </c>
      <c r="AI397" s="85">
        <v>0</v>
      </c>
      <c r="AJ397" s="85">
        <v>1270.0889999999999</v>
      </c>
      <c r="AK397" s="85">
        <v>0</v>
      </c>
      <c r="AL397" s="85">
        <v>0</v>
      </c>
      <c r="AM397" s="85">
        <v>0</v>
      </c>
      <c r="AN397" s="85">
        <v>0</v>
      </c>
      <c r="AO397" s="85">
        <v>0</v>
      </c>
      <c r="AP397" s="85">
        <v>0</v>
      </c>
      <c r="AQ397" s="85">
        <v>0</v>
      </c>
      <c r="AR397" s="85">
        <v>1270.0889999999999</v>
      </c>
      <c r="AS397" s="85">
        <v>0</v>
      </c>
      <c r="AT397" s="85">
        <v>0</v>
      </c>
      <c r="AU397" s="85">
        <v>0</v>
      </c>
      <c r="AV397" s="85">
        <v>0</v>
      </c>
      <c r="AW397" s="85">
        <v>0</v>
      </c>
      <c r="AX397" s="85">
        <v>0</v>
      </c>
      <c r="AY397" s="85">
        <v>0</v>
      </c>
      <c r="AZ397" s="85">
        <v>0</v>
      </c>
      <c r="BA397" s="85">
        <v>0</v>
      </c>
      <c r="BB397" s="89">
        <v>0</v>
      </c>
      <c r="BC397" s="89">
        <v>0</v>
      </c>
      <c r="BD397" s="37">
        <v>0</v>
      </c>
      <c r="BE397" s="37">
        <v>32284</v>
      </c>
      <c r="BF397" s="279">
        <v>88874</v>
      </c>
      <c r="BG397" s="37">
        <v>216240</v>
      </c>
      <c r="BH397" s="37">
        <v>94842</v>
      </c>
      <c r="BI397" s="37">
        <v>6238</v>
      </c>
      <c r="BJ397" s="283">
        <v>406194</v>
      </c>
      <c r="BK397" s="161"/>
      <c r="BL397" s="294"/>
      <c r="BM397"/>
      <c r="BN397"/>
      <c r="BO397"/>
      <c r="BP397"/>
      <c r="BQ397"/>
      <c r="BR397"/>
      <c r="BS397"/>
      <c r="BT397"/>
      <c r="BU397"/>
      <c r="BV397"/>
      <c r="BW397"/>
      <c r="BX397"/>
      <c r="BY397"/>
      <c r="BZ397"/>
      <c r="CA397"/>
      <c r="CB397"/>
      <c r="CC397"/>
      <c r="CD397"/>
      <c r="CE397"/>
      <c r="CF397"/>
      <c r="CG397"/>
      <c r="CH397"/>
      <c r="CI397"/>
      <c r="CJ397"/>
    </row>
    <row r="398" spans="1:88" s="32" customFormat="1" ht="15" customHeight="1" x14ac:dyDescent="0.35">
      <c r="A398" s="473"/>
      <c r="B398" s="313">
        <v>79088</v>
      </c>
      <c r="C398" s="8" t="s">
        <v>798</v>
      </c>
      <c r="D398" s="18">
        <v>15</v>
      </c>
      <c r="E398" s="251"/>
      <c r="F398" s="82"/>
      <c r="G398" s="79"/>
      <c r="H398" s="90"/>
      <c r="I398" s="85"/>
      <c r="J398" s="85"/>
      <c r="K398" s="85"/>
      <c r="L398" s="85"/>
      <c r="M398" s="85"/>
      <c r="N398" s="85"/>
      <c r="O398" s="85"/>
      <c r="P398" s="85"/>
      <c r="Q398" s="85"/>
      <c r="R398" s="85"/>
      <c r="S398" s="89"/>
      <c r="T398" s="89" t="s">
        <v>1124</v>
      </c>
      <c r="U398" s="85"/>
      <c r="V398" s="85"/>
      <c r="W398" s="85"/>
      <c r="X398" s="89" t="s">
        <v>1124</v>
      </c>
      <c r="Y398" s="79"/>
      <c r="Z398" s="79"/>
      <c r="AA398" s="94"/>
      <c r="AB398" s="79" t="s">
        <v>1124</v>
      </c>
      <c r="AC398" s="85"/>
      <c r="AD398" s="85"/>
      <c r="AE398" s="85"/>
      <c r="AF398" s="85"/>
      <c r="AG398" s="85" t="s">
        <v>1124</v>
      </c>
      <c r="AH398" s="85"/>
      <c r="AI398" s="85"/>
      <c r="AJ398" s="85"/>
      <c r="AK398" s="85"/>
      <c r="AL398" s="85"/>
      <c r="AM398" s="85"/>
      <c r="AN398" s="85"/>
      <c r="AO398" s="85"/>
      <c r="AP398" s="85"/>
      <c r="AQ398" s="85"/>
      <c r="AR398" s="85" t="s">
        <v>1124</v>
      </c>
      <c r="AS398" s="85"/>
      <c r="AT398" s="85"/>
      <c r="AU398" s="85"/>
      <c r="AV398" s="85"/>
      <c r="AW398" s="85"/>
      <c r="AX398" s="85"/>
      <c r="AY398" s="85"/>
      <c r="AZ398" s="85"/>
      <c r="BA398" s="85"/>
      <c r="BB398" s="89"/>
      <c r="BC398" s="89" t="s">
        <v>1124</v>
      </c>
      <c r="BD398" s="37"/>
      <c r="BE398" s="37"/>
      <c r="BF398" s="279"/>
      <c r="BG398" s="37"/>
      <c r="BH398" s="37"/>
      <c r="BI398" s="37"/>
      <c r="BJ398" s="283"/>
      <c r="BK398" s="161"/>
      <c r="BL398" s="294"/>
      <c r="BM398"/>
      <c r="BN398"/>
      <c r="BO398"/>
      <c r="BP398"/>
      <c r="BQ398"/>
      <c r="BR398"/>
      <c r="BS398"/>
      <c r="BT398"/>
      <c r="BU398"/>
      <c r="BV398"/>
      <c r="BW398"/>
      <c r="BX398"/>
      <c r="BY398"/>
      <c r="BZ398"/>
      <c r="CA398"/>
      <c r="CB398"/>
      <c r="CC398"/>
      <c r="CD398"/>
      <c r="CE398"/>
      <c r="CF398"/>
      <c r="CG398"/>
      <c r="CH398"/>
      <c r="CI398"/>
      <c r="CJ398"/>
    </row>
    <row r="399" spans="1:88" s="32" customFormat="1" ht="15" customHeight="1" x14ac:dyDescent="0.35">
      <c r="A399" s="473"/>
      <c r="B399" s="313">
        <v>18050</v>
      </c>
      <c r="C399" s="8" t="s">
        <v>113</v>
      </c>
      <c r="D399" s="18">
        <v>12</v>
      </c>
      <c r="E399" s="251">
        <v>5113</v>
      </c>
      <c r="F399" s="82">
        <v>2.053024781341108</v>
      </c>
      <c r="G399" s="79">
        <v>10497.115706997085</v>
      </c>
      <c r="H399" s="90">
        <v>142.74600000000001</v>
      </c>
      <c r="I399" s="85">
        <v>116.346</v>
      </c>
      <c r="J399" s="85">
        <v>115.535</v>
      </c>
      <c r="K399" s="85">
        <v>112.44499999999999</v>
      </c>
      <c r="L399" s="85">
        <v>120.875</v>
      </c>
      <c r="M399" s="85">
        <v>136.846</v>
      </c>
      <c r="N399" s="85">
        <v>158.80199999999999</v>
      </c>
      <c r="O399" s="85">
        <v>142.535</v>
      </c>
      <c r="P399" s="85">
        <v>131.37</v>
      </c>
      <c r="Q399" s="85">
        <v>130.06299999999999</v>
      </c>
      <c r="R399" s="85">
        <v>115.884</v>
      </c>
      <c r="S399" s="89">
        <v>116.872</v>
      </c>
      <c r="T399" s="89">
        <v>1540.3190000000002</v>
      </c>
      <c r="U399" s="85">
        <v>1540.319</v>
      </c>
      <c r="V399" s="85">
        <v>0</v>
      </c>
      <c r="W399" s="85">
        <v>0</v>
      </c>
      <c r="X399" s="89">
        <v>1540.319</v>
      </c>
      <c r="Y399" s="79">
        <v>1</v>
      </c>
      <c r="Z399" s="79">
        <v>0</v>
      </c>
      <c r="AA399" s="94">
        <v>0</v>
      </c>
      <c r="AB399" s="79">
        <v>1</v>
      </c>
      <c r="AC399" s="85">
        <v>1073</v>
      </c>
      <c r="AD399" s="85">
        <v>327.95359556122457</v>
      </c>
      <c r="AE399" s="85">
        <v>139.36540443877536</v>
      </c>
      <c r="AF399" s="85">
        <v>0</v>
      </c>
      <c r="AG399" s="85">
        <v>1540.319</v>
      </c>
      <c r="AH399" s="85">
        <v>1540.319</v>
      </c>
      <c r="AI399" s="85">
        <v>0</v>
      </c>
      <c r="AJ399" s="85">
        <v>0</v>
      </c>
      <c r="AK399" s="85">
        <v>0</v>
      </c>
      <c r="AL399" s="85">
        <v>0</v>
      </c>
      <c r="AM399" s="85">
        <v>0</v>
      </c>
      <c r="AN399" s="85">
        <v>0</v>
      </c>
      <c r="AO399" s="85">
        <v>0</v>
      </c>
      <c r="AP399" s="85">
        <v>0</v>
      </c>
      <c r="AQ399" s="85">
        <v>0</v>
      </c>
      <c r="AR399" s="85">
        <v>1540.319</v>
      </c>
      <c r="AS399" s="85">
        <v>0</v>
      </c>
      <c r="AT399" s="85">
        <v>0</v>
      </c>
      <c r="AU399" s="85">
        <v>0</v>
      </c>
      <c r="AV399" s="85">
        <v>0</v>
      </c>
      <c r="AW399" s="85">
        <v>0</v>
      </c>
      <c r="AX399" s="85">
        <v>0</v>
      </c>
      <c r="AY399" s="85">
        <v>0</v>
      </c>
      <c r="AZ399" s="85">
        <v>0</v>
      </c>
      <c r="BA399" s="85">
        <v>0</v>
      </c>
      <c r="BB399" s="89">
        <v>0</v>
      </c>
      <c r="BC399" s="89">
        <v>0</v>
      </c>
      <c r="BD399" s="37">
        <v>372333</v>
      </c>
      <c r="BE399" s="37">
        <v>448138</v>
      </c>
      <c r="BF399" s="279">
        <v>264109.44</v>
      </c>
      <c r="BG399" s="37">
        <v>405640.03</v>
      </c>
      <c r="BH399" s="37">
        <v>73359.12</v>
      </c>
      <c r="BI399" s="37">
        <v>67171.39</v>
      </c>
      <c r="BJ399" s="283">
        <v>810279.98</v>
      </c>
      <c r="BK399" s="161" t="s">
        <v>2220</v>
      </c>
      <c r="BL399" s="294"/>
      <c r="BM399"/>
      <c r="BN399"/>
      <c r="BO399"/>
      <c r="BP399"/>
      <c r="BQ399"/>
      <c r="BR399"/>
      <c r="BS399"/>
      <c r="BT399"/>
      <c r="BU399"/>
      <c r="BV399"/>
      <c r="BW399"/>
      <c r="BX399"/>
      <c r="BY399"/>
      <c r="BZ399"/>
      <c r="CA399"/>
      <c r="CB399"/>
      <c r="CC399"/>
      <c r="CD399"/>
      <c r="CE399"/>
      <c r="CF399"/>
      <c r="CG399"/>
      <c r="CH399"/>
      <c r="CI399"/>
      <c r="CJ399"/>
    </row>
    <row r="400" spans="1:88" s="32" customFormat="1" ht="15" customHeight="1" x14ac:dyDescent="0.35">
      <c r="A400" s="473"/>
      <c r="B400" s="313">
        <v>80090</v>
      </c>
      <c r="C400" s="8" t="s">
        <v>817</v>
      </c>
      <c r="D400" s="18">
        <v>7</v>
      </c>
      <c r="E400" s="251"/>
      <c r="F400" s="82"/>
      <c r="G400" s="79"/>
      <c r="H400" s="90"/>
      <c r="I400" s="85"/>
      <c r="J400" s="85"/>
      <c r="K400" s="85"/>
      <c r="L400" s="85"/>
      <c r="M400" s="85"/>
      <c r="N400" s="85"/>
      <c r="O400" s="85"/>
      <c r="P400" s="85"/>
      <c r="Q400" s="85"/>
      <c r="R400" s="85"/>
      <c r="S400" s="89"/>
      <c r="T400" s="89" t="s">
        <v>1124</v>
      </c>
      <c r="U400" s="85"/>
      <c r="V400" s="85"/>
      <c r="W400" s="85"/>
      <c r="X400" s="89" t="s">
        <v>1124</v>
      </c>
      <c r="Y400" s="79"/>
      <c r="Z400" s="79"/>
      <c r="AA400" s="94"/>
      <c r="AB400" s="79" t="s">
        <v>1124</v>
      </c>
      <c r="AC400" s="85"/>
      <c r="AD400" s="85"/>
      <c r="AE400" s="85"/>
      <c r="AF400" s="85"/>
      <c r="AG400" s="85" t="s">
        <v>1124</v>
      </c>
      <c r="AH400" s="85"/>
      <c r="AI400" s="85"/>
      <c r="AJ400" s="85"/>
      <c r="AK400" s="85"/>
      <c r="AL400" s="85"/>
      <c r="AM400" s="85"/>
      <c r="AN400" s="85"/>
      <c r="AO400" s="85"/>
      <c r="AP400" s="85"/>
      <c r="AQ400" s="85"/>
      <c r="AR400" s="85" t="s">
        <v>1124</v>
      </c>
      <c r="AS400" s="85"/>
      <c r="AT400" s="85"/>
      <c r="AU400" s="85"/>
      <c r="AV400" s="85"/>
      <c r="AW400" s="85"/>
      <c r="AX400" s="85"/>
      <c r="AY400" s="85"/>
      <c r="AZ400" s="85"/>
      <c r="BA400" s="85"/>
      <c r="BB400" s="89"/>
      <c r="BC400" s="89" t="s">
        <v>1124</v>
      </c>
      <c r="BD400" s="37"/>
      <c r="BE400" s="37"/>
      <c r="BF400" s="279"/>
      <c r="BG400" s="37"/>
      <c r="BH400" s="37"/>
      <c r="BI400" s="37"/>
      <c r="BJ400" s="283"/>
      <c r="BK400" s="161"/>
      <c r="BL400" s="294"/>
      <c r="BM400"/>
      <c r="BN400">
        <v>0</v>
      </c>
      <c r="BO400"/>
      <c r="BP400"/>
      <c r="BQ400"/>
      <c r="BR400"/>
      <c r="BS400"/>
      <c r="BT400"/>
      <c r="BU400"/>
      <c r="BV400"/>
      <c r="BW400"/>
      <c r="BX400"/>
      <c r="BY400"/>
      <c r="BZ400"/>
      <c r="CA400"/>
      <c r="CB400"/>
      <c r="CC400"/>
      <c r="CD400"/>
      <c r="CE400"/>
      <c r="CF400"/>
      <c r="CG400"/>
      <c r="CH400"/>
      <c r="CI400"/>
      <c r="CJ400"/>
    </row>
    <row r="401" spans="1:88" s="32" customFormat="1" ht="15" customHeight="1" x14ac:dyDescent="0.35">
      <c r="A401" s="473"/>
      <c r="B401" s="313">
        <v>66023</v>
      </c>
      <c r="C401" s="8" t="s">
        <v>648</v>
      </c>
      <c r="D401" s="18">
        <v>6</v>
      </c>
      <c r="E401" s="251">
        <v>986435</v>
      </c>
      <c r="F401" s="82">
        <v>2.06</v>
      </c>
      <c r="G401" s="79">
        <v>2032056.1</v>
      </c>
      <c r="H401" s="90">
        <v>47287.471215999998</v>
      </c>
      <c r="I401" s="85">
        <v>44106.79</v>
      </c>
      <c r="J401" s="85">
        <v>47066.69</v>
      </c>
      <c r="K401" s="85">
        <v>44417.21</v>
      </c>
      <c r="L401" s="85">
        <v>46785.11</v>
      </c>
      <c r="M401" s="85">
        <v>47828.72</v>
      </c>
      <c r="N401" s="85">
        <v>53490.55</v>
      </c>
      <c r="O401" s="85">
        <v>53132.77</v>
      </c>
      <c r="P401" s="85">
        <v>46382.98</v>
      </c>
      <c r="Q401" s="85">
        <v>45518.91</v>
      </c>
      <c r="R401" s="85">
        <v>43347.22</v>
      </c>
      <c r="S401" s="89">
        <v>44782.83</v>
      </c>
      <c r="T401" s="89">
        <v>564147.25121599995</v>
      </c>
      <c r="U401" s="85">
        <v>564147.25121599995</v>
      </c>
      <c r="V401" s="85">
        <v>0</v>
      </c>
      <c r="W401" s="85">
        <v>0</v>
      </c>
      <c r="X401" s="89">
        <v>564147.25121599995</v>
      </c>
      <c r="Y401" s="79">
        <v>6</v>
      </c>
      <c r="Z401" s="79">
        <v>0</v>
      </c>
      <c r="AA401" s="94">
        <v>0</v>
      </c>
      <c r="AB401" s="79">
        <v>6</v>
      </c>
      <c r="AC401" s="85">
        <v>204557.27849999996</v>
      </c>
      <c r="AD401" s="85">
        <v>154517.0191825355</v>
      </c>
      <c r="AE401" s="85">
        <v>153759.34853346448</v>
      </c>
      <c r="AF401" s="85">
        <v>51313.605000000003</v>
      </c>
      <c r="AG401" s="85">
        <v>564147.25121599995</v>
      </c>
      <c r="AH401" s="85">
        <v>67221.218087000001</v>
      </c>
      <c r="AI401" s="85">
        <v>496926.03312899993</v>
      </c>
      <c r="AJ401" s="85">
        <v>0</v>
      </c>
      <c r="AK401" s="85">
        <v>0</v>
      </c>
      <c r="AL401" s="85">
        <v>0</v>
      </c>
      <c r="AM401" s="85">
        <v>0</v>
      </c>
      <c r="AN401" s="85">
        <v>0</v>
      </c>
      <c r="AO401" s="85">
        <v>0</v>
      </c>
      <c r="AP401" s="85">
        <v>0</v>
      </c>
      <c r="AQ401" s="85">
        <v>0</v>
      </c>
      <c r="AR401" s="85">
        <v>564147.25121599995</v>
      </c>
      <c r="AS401" s="85">
        <v>0</v>
      </c>
      <c r="AT401" s="85">
        <v>0</v>
      </c>
      <c r="AU401" s="85">
        <v>0</v>
      </c>
      <c r="AV401" s="85">
        <v>0</v>
      </c>
      <c r="AW401" s="85">
        <v>0</v>
      </c>
      <c r="AX401" s="85">
        <v>0</v>
      </c>
      <c r="AY401" s="85">
        <v>0</v>
      </c>
      <c r="AZ401" s="85">
        <v>0</v>
      </c>
      <c r="BA401" s="85">
        <v>0</v>
      </c>
      <c r="BB401" s="89">
        <v>0</v>
      </c>
      <c r="BC401" s="89">
        <v>0</v>
      </c>
      <c r="BD401" s="37">
        <v>46873000</v>
      </c>
      <c r="BE401" s="37">
        <v>28480000</v>
      </c>
      <c r="BF401" s="279">
        <v>0</v>
      </c>
      <c r="BG401" s="37">
        <v>0</v>
      </c>
      <c r="BH401" s="37">
        <v>0</v>
      </c>
      <c r="BI401" s="37">
        <v>134909301</v>
      </c>
      <c r="BJ401" s="283">
        <v>134909301</v>
      </c>
      <c r="BK401" s="161" t="s">
        <v>2235</v>
      </c>
      <c r="BL401" s="294"/>
      <c r="BM401"/>
      <c r="BN401"/>
      <c r="BO401"/>
      <c r="BP401"/>
      <c r="BQ401"/>
      <c r="BR401"/>
      <c r="BS401"/>
      <c r="BT401"/>
      <c r="BU401"/>
      <c r="BV401"/>
      <c r="BW401"/>
      <c r="BX401"/>
      <c r="BY401"/>
      <c r="BZ401"/>
      <c r="CA401"/>
      <c r="CB401"/>
      <c r="CC401"/>
      <c r="CD401"/>
      <c r="CE401"/>
      <c r="CF401"/>
      <c r="CG401"/>
      <c r="CH401"/>
      <c r="CI401"/>
      <c r="CJ401"/>
    </row>
    <row r="402" spans="1:88" s="32" customFormat="1" ht="15" customHeight="1" x14ac:dyDescent="0.35">
      <c r="A402" s="473"/>
      <c r="B402" s="313">
        <v>66007</v>
      </c>
      <c r="C402" s="8" t="s">
        <v>647</v>
      </c>
      <c r="D402" s="18">
        <v>6</v>
      </c>
      <c r="E402" s="251"/>
      <c r="F402" s="82"/>
      <c r="G402" s="79"/>
      <c r="H402" s="90"/>
      <c r="I402" s="85"/>
      <c r="J402" s="85"/>
      <c r="K402" s="85"/>
      <c r="L402" s="85"/>
      <c r="M402" s="85"/>
      <c r="N402" s="85"/>
      <c r="O402" s="85"/>
      <c r="P402" s="85"/>
      <c r="Q402" s="85"/>
      <c r="R402" s="85"/>
      <c r="S402" s="89"/>
      <c r="T402" s="89" t="s">
        <v>1124</v>
      </c>
      <c r="U402" s="85"/>
      <c r="V402" s="85"/>
      <c r="W402" s="85"/>
      <c r="X402" s="89" t="s">
        <v>1124</v>
      </c>
      <c r="Y402" s="79"/>
      <c r="Z402" s="79"/>
      <c r="AA402" s="94"/>
      <c r="AB402" s="79" t="s">
        <v>1124</v>
      </c>
      <c r="AC402" s="85"/>
      <c r="AD402" s="85"/>
      <c r="AE402" s="85"/>
      <c r="AF402" s="85"/>
      <c r="AG402" s="85" t="s">
        <v>1124</v>
      </c>
      <c r="AH402" s="85"/>
      <c r="AI402" s="85"/>
      <c r="AJ402" s="85"/>
      <c r="AK402" s="85"/>
      <c r="AL402" s="85"/>
      <c r="AM402" s="85"/>
      <c r="AN402" s="85"/>
      <c r="AO402" s="85"/>
      <c r="AP402" s="85"/>
      <c r="AQ402" s="85"/>
      <c r="AR402" s="85" t="s">
        <v>1124</v>
      </c>
      <c r="AS402" s="85"/>
      <c r="AT402" s="85"/>
      <c r="AU402" s="85"/>
      <c r="AV402" s="85"/>
      <c r="AW402" s="85"/>
      <c r="AX402" s="85"/>
      <c r="AY402" s="85"/>
      <c r="AZ402" s="85"/>
      <c r="BA402" s="85"/>
      <c r="BB402" s="89"/>
      <c r="BC402" s="89" t="s">
        <v>1124</v>
      </c>
      <c r="BD402" s="37"/>
      <c r="BE402" s="37"/>
      <c r="BF402" s="279"/>
      <c r="BG402" s="37"/>
      <c r="BH402" s="37"/>
      <c r="BI402" s="37"/>
      <c r="BJ402" s="283"/>
      <c r="BK402" s="161"/>
      <c r="BL402" s="294"/>
      <c r="BM402"/>
      <c r="BN402"/>
      <c r="BO402"/>
      <c r="BP402"/>
      <c r="BQ402"/>
      <c r="BR402"/>
      <c r="BS402"/>
      <c r="BT402"/>
      <c r="BU402"/>
      <c r="BV402"/>
      <c r="BW402"/>
      <c r="BX402"/>
      <c r="BY402"/>
      <c r="BZ402"/>
      <c r="CA402"/>
      <c r="CB402"/>
      <c r="CC402"/>
      <c r="CD402"/>
      <c r="CE402"/>
      <c r="CF402"/>
      <c r="CG402"/>
      <c r="CH402"/>
      <c r="CI402"/>
      <c r="CJ402"/>
    </row>
    <row r="403" spans="1:88" s="32" customFormat="1" ht="15" customHeight="1" x14ac:dyDescent="0.35">
      <c r="A403" s="473"/>
      <c r="B403" s="313">
        <v>66047</v>
      </c>
      <c r="C403" s="8" t="s">
        <v>650</v>
      </c>
      <c r="D403" s="18">
        <v>6</v>
      </c>
      <c r="E403" s="251"/>
      <c r="F403" s="82"/>
      <c r="G403" s="79"/>
      <c r="H403" s="90"/>
      <c r="I403" s="85"/>
      <c r="J403" s="85"/>
      <c r="K403" s="85"/>
      <c r="L403" s="85"/>
      <c r="M403" s="85"/>
      <c r="N403" s="85"/>
      <c r="O403" s="85"/>
      <c r="P403" s="85"/>
      <c r="Q403" s="85"/>
      <c r="R403" s="85"/>
      <c r="S403" s="89"/>
      <c r="T403" s="89" t="s">
        <v>1124</v>
      </c>
      <c r="U403" s="85"/>
      <c r="V403" s="85"/>
      <c r="W403" s="85"/>
      <c r="X403" s="89" t="s">
        <v>1124</v>
      </c>
      <c r="Y403" s="79"/>
      <c r="Z403" s="79"/>
      <c r="AA403" s="94"/>
      <c r="AB403" s="79" t="s">
        <v>1124</v>
      </c>
      <c r="AC403" s="85"/>
      <c r="AD403" s="85"/>
      <c r="AE403" s="85"/>
      <c r="AF403" s="85"/>
      <c r="AG403" s="85" t="s">
        <v>1124</v>
      </c>
      <c r="AH403" s="85"/>
      <c r="AI403" s="85"/>
      <c r="AJ403" s="85"/>
      <c r="AK403" s="85"/>
      <c r="AL403" s="85"/>
      <c r="AM403" s="85"/>
      <c r="AN403" s="85"/>
      <c r="AO403" s="85"/>
      <c r="AP403" s="85"/>
      <c r="AQ403" s="85"/>
      <c r="AR403" s="85" t="s">
        <v>1124</v>
      </c>
      <c r="AS403" s="85"/>
      <c r="AT403" s="85"/>
      <c r="AU403" s="85"/>
      <c r="AV403" s="85"/>
      <c r="AW403" s="85"/>
      <c r="AX403" s="85"/>
      <c r="AY403" s="85"/>
      <c r="AZ403" s="85"/>
      <c r="BA403" s="85"/>
      <c r="BB403" s="89"/>
      <c r="BC403" s="89" t="s">
        <v>1124</v>
      </c>
      <c r="BD403" s="37"/>
      <c r="BE403" s="37"/>
      <c r="BF403" s="279"/>
      <c r="BG403" s="37"/>
      <c r="BH403" s="37"/>
      <c r="BI403" s="37"/>
      <c r="BJ403" s="283"/>
      <c r="BK403" s="161"/>
      <c r="BL403" s="294"/>
      <c r="BM403"/>
      <c r="BN403"/>
      <c r="BO403"/>
      <c r="BP403"/>
      <c r="BQ403"/>
      <c r="BR403"/>
      <c r="BS403"/>
      <c r="BT403"/>
      <c r="BU403"/>
      <c r="BV403"/>
      <c r="BW403"/>
      <c r="BX403"/>
      <c r="BY403"/>
      <c r="BZ403"/>
      <c r="CA403"/>
      <c r="CB403"/>
      <c r="CC403"/>
      <c r="CD403"/>
      <c r="CE403"/>
      <c r="CF403"/>
      <c r="CG403"/>
      <c r="CH403"/>
      <c r="CI403"/>
      <c r="CJ403"/>
    </row>
    <row r="404" spans="1:88" s="32" customFormat="1" ht="15" customHeight="1" x14ac:dyDescent="0.35">
      <c r="A404" s="473"/>
      <c r="B404" s="313">
        <v>66072</v>
      </c>
      <c r="C404" s="8" t="s">
        <v>653</v>
      </c>
      <c r="D404" s="18">
        <v>6</v>
      </c>
      <c r="E404" s="251"/>
      <c r="F404" s="82"/>
      <c r="G404" s="79"/>
      <c r="H404" s="90"/>
      <c r="I404" s="85"/>
      <c r="J404" s="85"/>
      <c r="K404" s="85"/>
      <c r="L404" s="85"/>
      <c r="M404" s="85"/>
      <c r="N404" s="85"/>
      <c r="O404" s="85"/>
      <c r="P404" s="85"/>
      <c r="Q404" s="85"/>
      <c r="R404" s="85"/>
      <c r="S404" s="89"/>
      <c r="T404" s="89" t="s">
        <v>1124</v>
      </c>
      <c r="U404" s="85"/>
      <c r="V404" s="85"/>
      <c r="W404" s="85"/>
      <c r="X404" s="89" t="s">
        <v>1124</v>
      </c>
      <c r="Y404" s="79"/>
      <c r="Z404" s="79"/>
      <c r="AA404" s="94"/>
      <c r="AB404" s="79" t="s">
        <v>1124</v>
      </c>
      <c r="AC404" s="85"/>
      <c r="AD404" s="85"/>
      <c r="AE404" s="85"/>
      <c r="AF404" s="85"/>
      <c r="AG404" s="85" t="s">
        <v>1124</v>
      </c>
      <c r="AH404" s="85"/>
      <c r="AI404" s="85"/>
      <c r="AJ404" s="85"/>
      <c r="AK404" s="85"/>
      <c r="AL404" s="85"/>
      <c r="AM404" s="85"/>
      <c r="AN404" s="85"/>
      <c r="AO404" s="85"/>
      <c r="AP404" s="85"/>
      <c r="AQ404" s="85"/>
      <c r="AR404" s="85" t="s">
        <v>1124</v>
      </c>
      <c r="AS404" s="85"/>
      <c r="AT404" s="85"/>
      <c r="AU404" s="85"/>
      <c r="AV404" s="85"/>
      <c r="AW404" s="85"/>
      <c r="AX404" s="85"/>
      <c r="AY404" s="85"/>
      <c r="AZ404" s="85"/>
      <c r="BA404" s="85"/>
      <c r="BB404" s="89"/>
      <c r="BC404" s="89" t="s">
        <v>1124</v>
      </c>
      <c r="BD404" s="37"/>
      <c r="BE404" s="37"/>
      <c r="BF404" s="279"/>
      <c r="BG404" s="37"/>
      <c r="BH404" s="37"/>
      <c r="BI404" s="37"/>
      <c r="BJ404" s="283"/>
      <c r="BK404" s="161"/>
      <c r="BL404" s="294"/>
      <c r="BM404"/>
      <c r="BN404"/>
      <c r="BO404"/>
      <c r="BP404"/>
      <c r="BQ404"/>
      <c r="BR404"/>
      <c r="BS404"/>
      <c r="BT404"/>
      <c r="BU404"/>
      <c r="BV404"/>
      <c r="BW404"/>
      <c r="BX404"/>
      <c r="BY404"/>
      <c r="BZ404"/>
      <c r="CA404"/>
      <c r="CB404"/>
      <c r="CC404"/>
      <c r="CD404"/>
      <c r="CE404"/>
      <c r="CF404"/>
      <c r="CG404"/>
      <c r="CH404"/>
      <c r="CI404"/>
      <c r="CJ404"/>
    </row>
    <row r="405" spans="1:88" s="32" customFormat="1" ht="15" customHeight="1" x14ac:dyDescent="0.35">
      <c r="A405" s="473"/>
      <c r="B405" s="313">
        <v>56097</v>
      </c>
      <c r="C405" s="8" t="s">
        <v>579</v>
      </c>
      <c r="D405" s="18">
        <v>16</v>
      </c>
      <c r="E405" s="251"/>
      <c r="F405" s="82"/>
      <c r="G405" s="79"/>
      <c r="H405" s="90"/>
      <c r="I405" s="85"/>
      <c r="J405" s="85"/>
      <c r="K405" s="85"/>
      <c r="L405" s="85"/>
      <c r="M405" s="85"/>
      <c r="N405" s="85"/>
      <c r="O405" s="85"/>
      <c r="P405" s="85"/>
      <c r="Q405" s="85"/>
      <c r="R405" s="85"/>
      <c r="S405" s="89"/>
      <c r="T405" s="89" t="s">
        <v>1124</v>
      </c>
      <c r="U405" s="85"/>
      <c r="V405" s="85"/>
      <c r="W405" s="85"/>
      <c r="X405" s="89" t="s">
        <v>1124</v>
      </c>
      <c r="Y405" s="79"/>
      <c r="Z405" s="79"/>
      <c r="AA405" s="94"/>
      <c r="AB405" s="79" t="s">
        <v>1124</v>
      </c>
      <c r="AC405" s="85"/>
      <c r="AD405" s="85"/>
      <c r="AE405" s="85"/>
      <c r="AF405" s="85"/>
      <c r="AG405" s="85" t="s">
        <v>1124</v>
      </c>
      <c r="AH405" s="85"/>
      <c r="AI405" s="85"/>
      <c r="AJ405" s="85"/>
      <c r="AK405" s="85"/>
      <c r="AL405" s="85"/>
      <c r="AM405" s="85"/>
      <c r="AN405" s="85"/>
      <c r="AO405" s="85"/>
      <c r="AP405" s="85"/>
      <c r="AQ405" s="85"/>
      <c r="AR405" s="85" t="s">
        <v>1124</v>
      </c>
      <c r="AS405" s="85"/>
      <c r="AT405" s="85"/>
      <c r="AU405" s="85"/>
      <c r="AV405" s="85"/>
      <c r="AW405" s="85"/>
      <c r="AX405" s="85"/>
      <c r="AY405" s="85"/>
      <c r="AZ405" s="85"/>
      <c r="BA405" s="85"/>
      <c r="BB405" s="89"/>
      <c r="BC405" s="89" t="s">
        <v>1124</v>
      </c>
      <c r="BD405" s="37"/>
      <c r="BE405" s="37"/>
      <c r="BF405" s="279"/>
      <c r="BG405" s="37"/>
      <c r="BH405" s="37"/>
      <c r="BI405" s="37"/>
      <c r="BJ405" s="283"/>
      <c r="BK405" s="161"/>
      <c r="BL405" s="294"/>
      <c r="BM405"/>
      <c r="BN405"/>
      <c r="BO405"/>
      <c r="BP405"/>
      <c r="BQ405"/>
      <c r="BR405"/>
      <c r="BS405"/>
      <c r="BT405"/>
      <c r="BU405"/>
      <c r="BV405"/>
      <c r="BW405"/>
      <c r="BX405"/>
      <c r="BY405"/>
      <c r="BZ405"/>
      <c r="CA405"/>
      <c r="CB405"/>
      <c r="CC405"/>
      <c r="CD405"/>
      <c r="CE405"/>
      <c r="CF405"/>
      <c r="CG405"/>
      <c r="CH405"/>
      <c r="CI405"/>
      <c r="CJ405"/>
    </row>
    <row r="406" spans="1:88" s="32" customFormat="1" ht="15" customHeight="1" x14ac:dyDescent="0.35">
      <c r="A406" s="473"/>
      <c r="B406" s="313">
        <v>57035</v>
      </c>
      <c r="C406" s="8" t="s">
        <v>587</v>
      </c>
      <c r="D406" s="18">
        <v>16</v>
      </c>
      <c r="E406" s="251"/>
      <c r="F406" s="82"/>
      <c r="G406" s="79"/>
      <c r="H406" s="90"/>
      <c r="I406" s="85"/>
      <c r="J406" s="85"/>
      <c r="K406" s="85"/>
      <c r="L406" s="85"/>
      <c r="M406" s="85"/>
      <c r="N406" s="85"/>
      <c r="O406" s="85"/>
      <c r="P406" s="85"/>
      <c r="Q406" s="85"/>
      <c r="R406" s="85"/>
      <c r="S406" s="89"/>
      <c r="T406" s="89" t="s">
        <v>1124</v>
      </c>
      <c r="U406" s="85"/>
      <c r="V406" s="85"/>
      <c r="W406" s="85"/>
      <c r="X406" s="89" t="s">
        <v>1124</v>
      </c>
      <c r="Y406" s="79"/>
      <c r="Z406" s="79"/>
      <c r="AA406" s="94"/>
      <c r="AB406" s="79" t="s">
        <v>1124</v>
      </c>
      <c r="AC406" s="85"/>
      <c r="AD406" s="85"/>
      <c r="AE406" s="85"/>
      <c r="AF406" s="85"/>
      <c r="AG406" s="85" t="s">
        <v>1124</v>
      </c>
      <c r="AH406" s="85"/>
      <c r="AI406" s="85"/>
      <c r="AJ406" s="85"/>
      <c r="AK406" s="85"/>
      <c r="AL406" s="85"/>
      <c r="AM406" s="85"/>
      <c r="AN406" s="85"/>
      <c r="AO406" s="85"/>
      <c r="AP406" s="85"/>
      <c r="AQ406" s="85"/>
      <c r="AR406" s="85" t="s">
        <v>1124</v>
      </c>
      <c r="AS406" s="85"/>
      <c r="AT406" s="85"/>
      <c r="AU406" s="85"/>
      <c r="AV406" s="85"/>
      <c r="AW406" s="85"/>
      <c r="AX406" s="85"/>
      <c r="AY406" s="85"/>
      <c r="AZ406" s="85"/>
      <c r="BA406" s="85"/>
      <c r="BB406" s="89"/>
      <c r="BC406" s="89" t="s">
        <v>1124</v>
      </c>
      <c r="BD406" s="37"/>
      <c r="BE406" s="37"/>
      <c r="BF406" s="279"/>
      <c r="BG406" s="37"/>
      <c r="BH406" s="37"/>
      <c r="BI406" s="37"/>
      <c r="BJ406" s="283"/>
      <c r="BK406" s="161"/>
      <c r="BL406" s="294"/>
      <c r="BM406"/>
      <c r="BN406">
        <v>0</v>
      </c>
      <c r="BO406"/>
      <c r="BP406"/>
      <c r="BQ406"/>
      <c r="BR406"/>
      <c r="BS406"/>
      <c r="BT406"/>
      <c r="BU406"/>
      <c r="BV406"/>
      <c r="BW406"/>
      <c r="BX406"/>
      <c r="BY406"/>
      <c r="BZ406"/>
      <c r="CA406"/>
      <c r="CB406"/>
      <c r="CC406"/>
      <c r="CD406"/>
      <c r="CE406"/>
      <c r="CF406"/>
      <c r="CG406"/>
      <c r="CH406"/>
      <c r="CI406"/>
      <c r="CJ406"/>
    </row>
    <row r="407" spans="1:88" s="32" customFormat="1" ht="15" customHeight="1" x14ac:dyDescent="0.35">
      <c r="A407" s="473"/>
      <c r="B407" s="313">
        <v>79110</v>
      </c>
      <c r="C407" s="8" t="s">
        <v>801</v>
      </c>
      <c r="D407" s="18">
        <v>15</v>
      </c>
      <c r="E407" s="251">
        <v>149</v>
      </c>
      <c r="F407" s="82">
        <v>2.52</v>
      </c>
      <c r="G407" s="79">
        <v>375.48</v>
      </c>
      <c r="H407" s="90">
        <v>3.8439999999999999</v>
      </c>
      <c r="I407" s="85">
        <v>3.7959999999999998</v>
      </c>
      <c r="J407" s="85">
        <v>3.899</v>
      </c>
      <c r="K407" s="85">
        <v>3.8109999999999999</v>
      </c>
      <c r="L407" s="85">
        <v>3.335</v>
      </c>
      <c r="M407" s="85">
        <v>3.105</v>
      </c>
      <c r="N407" s="85">
        <v>3.7639999999999998</v>
      </c>
      <c r="O407" s="85">
        <v>3.4220000000000002</v>
      </c>
      <c r="P407" s="85">
        <v>3.2530000000000001</v>
      </c>
      <c r="Q407" s="85">
        <v>3.496</v>
      </c>
      <c r="R407" s="85">
        <v>3.3759999999999999</v>
      </c>
      <c r="S407" s="89">
        <v>3.3079999999999998</v>
      </c>
      <c r="T407" s="89">
        <v>42.408999999999999</v>
      </c>
      <c r="U407" s="85">
        <v>0</v>
      </c>
      <c r="V407" s="85">
        <v>42.408999999999999</v>
      </c>
      <c r="W407" s="85">
        <v>0</v>
      </c>
      <c r="X407" s="89">
        <v>42.408999999999999</v>
      </c>
      <c r="Y407" s="79">
        <v>0</v>
      </c>
      <c r="Z407" s="79">
        <v>1</v>
      </c>
      <c r="AA407" s="94">
        <v>0</v>
      </c>
      <c r="AB407" s="79">
        <v>1</v>
      </c>
      <c r="AC407" s="85">
        <v>36.557000000000002</v>
      </c>
      <c r="AD407" s="85">
        <v>1.6169999999999973</v>
      </c>
      <c r="AE407" s="85">
        <v>4.2350000000000003</v>
      </c>
      <c r="AF407" s="85">
        <v>0</v>
      </c>
      <c r="AG407" s="85">
        <v>42.408999999999999</v>
      </c>
      <c r="AH407" s="85">
        <v>0</v>
      </c>
      <c r="AI407" s="85">
        <v>0</v>
      </c>
      <c r="AJ407" s="85">
        <v>0</v>
      </c>
      <c r="AK407" s="85">
        <v>0</v>
      </c>
      <c r="AL407" s="85">
        <v>0</v>
      </c>
      <c r="AM407" s="85">
        <v>0</v>
      </c>
      <c r="AN407" s="85">
        <v>0</v>
      </c>
      <c r="AO407" s="85">
        <v>0</v>
      </c>
      <c r="AP407" s="85">
        <v>0</v>
      </c>
      <c r="AQ407" s="85">
        <v>0</v>
      </c>
      <c r="AR407" s="85">
        <v>0</v>
      </c>
      <c r="AS407" s="85">
        <v>0</v>
      </c>
      <c r="AT407" s="85">
        <v>0</v>
      </c>
      <c r="AU407" s="85">
        <v>0</v>
      </c>
      <c r="AV407" s="85">
        <v>0</v>
      </c>
      <c r="AW407" s="85">
        <v>0</v>
      </c>
      <c r="AX407" s="85">
        <v>0</v>
      </c>
      <c r="AY407" s="85">
        <v>42.408999999999999</v>
      </c>
      <c r="AZ407" s="85">
        <v>0</v>
      </c>
      <c r="BA407" s="85">
        <v>0</v>
      </c>
      <c r="BB407" s="89">
        <v>0</v>
      </c>
      <c r="BC407" s="89">
        <v>42.408999999999999</v>
      </c>
      <c r="BD407" s="37">
        <v>27854</v>
      </c>
      <c r="BE407" s="37">
        <v>0</v>
      </c>
      <c r="BF407" s="279">
        <v>592</v>
      </c>
      <c r="BG407" s="37">
        <v>15689</v>
      </c>
      <c r="BH407" s="37">
        <v>5440</v>
      </c>
      <c r="BI407" s="37">
        <v>6090</v>
      </c>
      <c r="BJ407" s="283">
        <v>27811</v>
      </c>
      <c r="BK407" s="161"/>
      <c r="BL407" s="294"/>
      <c r="BM407"/>
      <c r="BN407"/>
      <c r="BO407"/>
      <c r="BP407"/>
      <c r="BQ407"/>
      <c r="BR407"/>
      <c r="BS407"/>
      <c r="BT407"/>
      <c r="BU407"/>
      <c r="BV407"/>
      <c r="BW407"/>
      <c r="BX407"/>
      <c r="BY407"/>
      <c r="BZ407"/>
      <c r="CA407"/>
      <c r="CB407"/>
      <c r="CC407"/>
      <c r="CD407"/>
      <c r="CE407"/>
      <c r="CF407"/>
      <c r="CG407"/>
      <c r="CH407"/>
      <c r="CI407"/>
      <c r="CJ407"/>
    </row>
    <row r="408" spans="1:88" s="32" customFormat="1" ht="15" customHeight="1" x14ac:dyDescent="0.35">
      <c r="A408" s="473"/>
      <c r="B408" s="313">
        <v>4015</v>
      </c>
      <c r="C408" s="8" t="s">
        <v>1038</v>
      </c>
      <c r="D408" s="18">
        <v>11</v>
      </c>
      <c r="E408" s="251"/>
      <c r="F408" s="82"/>
      <c r="G408" s="79"/>
      <c r="H408" s="90"/>
      <c r="I408" s="85"/>
      <c r="J408" s="85"/>
      <c r="K408" s="85"/>
      <c r="L408" s="85"/>
      <c r="M408" s="85"/>
      <c r="N408" s="85"/>
      <c r="O408" s="85"/>
      <c r="P408" s="85"/>
      <c r="Q408" s="85"/>
      <c r="R408" s="85"/>
      <c r="S408" s="89"/>
      <c r="T408" s="89" t="s">
        <v>1124</v>
      </c>
      <c r="U408" s="85"/>
      <c r="V408" s="85"/>
      <c r="W408" s="85"/>
      <c r="X408" s="89" t="s">
        <v>1124</v>
      </c>
      <c r="Y408" s="79"/>
      <c r="Z408" s="79"/>
      <c r="AA408" s="94"/>
      <c r="AB408" s="79" t="s">
        <v>1124</v>
      </c>
      <c r="AC408" s="85"/>
      <c r="AD408" s="85"/>
      <c r="AE408" s="85"/>
      <c r="AF408" s="85"/>
      <c r="AG408" s="85" t="s">
        <v>1124</v>
      </c>
      <c r="AH408" s="85"/>
      <c r="AI408" s="85"/>
      <c r="AJ408" s="85"/>
      <c r="AK408" s="85"/>
      <c r="AL408" s="85"/>
      <c r="AM408" s="85"/>
      <c r="AN408" s="85"/>
      <c r="AO408" s="85"/>
      <c r="AP408" s="85"/>
      <c r="AQ408" s="85"/>
      <c r="AR408" s="85" t="s">
        <v>1124</v>
      </c>
      <c r="AS408" s="85"/>
      <c r="AT408" s="85"/>
      <c r="AU408" s="85"/>
      <c r="AV408" s="85"/>
      <c r="AW408" s="85"/>
      <c r="AX408" s="85"/>
      <c r="AY408" s="85"/>
      <c r="AZ408" s="85"/>
      <c r="BA408" s="85"/>
      <c r="BB408" s="89"/>
      <c r="BC408" s="89" t="s">
        <v>1124</v>
      </c>
      <c r="BD408" s="37"/>
      <c r="BE408" s="37"/>
      <c r="BF408" s="279"/>
      <c r="BG408" s="37"/>
      <c r="BH408" s="37"/>
      <c r="BI408" s="37"/>
      <c r="BJ408" s="283"/>
      <c r="BK408" s="161"/>
      <c r="BL408" s="294"/>
      <c r="BM408"/>
      <c r="BN408"/>
      <c r="BO408"/>
      <c r="BP408"/>
      <c r="BQ408"/>
      <c r="BR408"/>
      <c r="BS408"/>
      <c r="BT408"/>
      <c r="BU408"/>
      <c r="BV408"/>
      <c r="BW408"/>
      <c r="BX408"/>
      <c r="BY408"/>
      <c r="BZ408"/>
      <c r="CA408"/>
      <c r="CB408"/>
      <c r="CC408"/>
      <c r="CD408"/>
      <c r="CE408"/>
      <c r="CF408"/>
      <c r="CG408"/>
      <c r="CH408"/>
      <c r="CI408"/>
      <c r="CJ408"/>
    </row>
    <row r="409" spans="1:88" s="32" customFormat="1" ht="15" customHeight="1" x14ac:dyDescent="0.35">
      <c r="A409" s="473"/>
      <c r="B409" s="314">
        <v>78102</v>
      </c>
      <c r="C409" s="8" t="s">
        <v>781</v>
      </c>
      <c r="D409" s="18">
        <v>15</v>
      </c>
      <c r="E409" s="251">
        <v>5383</v>
      </c>
      <c r="F409" s="82">
        <v>1.1203133743704532</v>
      </c>
      <c r="G409" s="79">
        <v>6030.6468942361498</v>
      </c>
      <c r="H409" s="90">
        <v>211.38900000000001</v>
      </c>
      <c r="I409" s="85">
        <v>198.53399999999999</v>
      </c>
      <c r="J409" s="85">
        <v>220.923</v>
      </c>
      <c r="K409" s="85">
        <v>179.476</v>
      </c>
      <c r="L409" s="85">
        <v>200.71</v>
      </c>
      <c r="M409" s="85">
        <v>242.87700000000001</v>
      </c>
      <c r="N409" s="85">
        <v>285.06299999999999</v>
      </c>
      <c r="O409" s="85">
        <v>287.06100000000004</v>
      </c>
      <c r="P409" s="85">
        <v>220.97</v>
      </c>
      <c r="Q409" s="85">
        <v>174.321</v>
      </c>
      <c r="R409" s="85">
        <v>161.65199999999999</v>
      </c>
      <c r="S409" s="89">
        <v>204.31299999999999</v>
      </c>
      <c r="T409" s="89">
        <v>2587.2890000000007</v>
      </c>
      <c r="U409" s="85">
        <v>2587.2890000000002</v>
      </c>
      <c r="V409" s="85">
        <v>0</v>
      </c>
      <c r="W409" s="85">
        <v>0</v>
      </c>
      <c r="X409" s="89">
        <v>2587.2890000000002</v>
      </c>
      <c r="Y409" s="79">
        <v>2</v>
      </c>
      <c r="Z409" s="79">
        <v>0</v>
      </c>
      <c r="AA409" s="94">
        <v>0</v>
      </c>
      <c r="AB409" s="79">
        <v>2</v>
      </c>
      <c r="AC409" s="85">
        <v>925.12238000000002</v>
      </c>
      <c r="AD409" s="85">
        <v>981.46272422397988</v>
      </c>
      <c r="AE409" s="85">
        <v>680.70389577602032</v>
      </c>
      <c r="AF409" s="85">
        <v>0</v>
      </c>
      <c r="AG409" s="85">
        <v>2587.2890000000002</v>
      </c>
      <c r="AH409" s="85">
        <v>1180.0419999999999</v>
      </c>
      <c r="AI409" s="85">
        <v>0</v>
      </c>
      <c r="AJ409" s="85">
        <v>0</v>
      </c>
      <c r="AK409" s="85">
        <v>1407.2470000000001</v>
      </c>
      <c r="AL409" s="85">
        <v>0</v>
      </c>
      <c r="AM409" s="85">
        <v>0</v>
      </c>
      <c r="AN409" s="85">
        <v>0</v>
      </c>
      <c r="AO409" s="85">
        <v>0</v>
      </c>
      <c r="AP409" s="85">
        <v>0</v>
      </c>
      <c r="AQ409" s="85">
        <v>0</v>
      </c>
      <c r="AR409" s="85">
        <v>2587.2889999999998</v>
      </c>
      <c r="AS409" s="85">
        <v>0</v>
      </c>
      <c r="AT409" s="85">
        <v>0</v>
      </c>
      <c r="AU409" s="85">
        <v>0</v>
      </c>
      <c r="AV409" s="85">
        <v>0</v>
      </c>
      <c r="AW409" s="85">
        <v>0</v>
      </c>
      <c r="AX409" s="85">
        <v>0</v>
      </c>
      <c r="AY409" s="85">
        <v>0</v>
      </c>
      <c r="AZ409" s="85">
        <v>0</v>
      </c>
      <c r="BA409" s="85">
        <v>0</v>
      </c>
      <c r="BB409" s="89">
        <v>0</v>
      </c>
      <c r="BC409" s="89">
        <v>0</v>
      </c>
      <c r="BD409" s="37">
        <v>139166</v>
      </c>
      <c r="BE409" s="37">
        <v>369366</v>
      </c>
      <c r="BF409" s="279">
        <v>156030</v>
      </c>
      <c r="BG409" s="37">
        <v>201251</v>
      </c>
      <c r="BH409" s="37">
        <v>194490</v>
      </c>
      <c r="BI409" s="37">
        <v>0</v>
      </c>
      <c r="BJ409" s="283">
        <v>551771</v>
      </c>
      <c r="BK409" s="161"/>
      <c r="BL409" s="294"/>
      <c r="BM409"/>
      <c r="BN409"/>
      <c r="BO409"/>
      <c r="BP409"/>
      <c r="BQ409"/>
      <c r="BR409"/>
      <c r="BS409"/>
      <c r="BT409"/>
      <c r="BU409"/>
      <c r="BV409"/>
      <c r="BW409"/>
      <c r="BX409"/>
      <c r="BY409"/>
      <c r="BZ409"/>
      <c r="CA409"/>
      <c r="CB409"/>
      <c r="CC409"/>
      <c r="CD409"/>
      <c r="CE409"/>
      <c r="CF409"/>
      <c r="CG409"/>
      <c r="CH409"/>
      <c r="CI409"/>
      <c r="CJ409"/>
    </row>
    <row r="410" spans="1:88" s="32" customFormat="1" ht="15" customHeight="1" x14ac:dyDescent="0.35">
      <c r="A410" s="473"/>
      <c r="B410" s="313">
        <v>77050</v>
      </c>
      <c r="C410" s="8" t="s">
        <v>762</v>
      </c>
      <c r="D410" s="18">
        <v>15</v>
      </c>
      <c r="E410" s="251">
        <v>922</v>
      </c>
      <c r="F410" s="82">
        <v>2.1</v>
      </c>
      <c r="G410" s="79">
        <v>1936.2</v>
      </c>
      <c r="H410" s="90">
        <v>19.274000000000001</v>
      </c>
      <c r="I410" s="85">
        <v>18.071999999999999</v>
      </c>
      <c r="J410" s="85">
        <v>19.364000000000001</v>
      </c>
      <c r="K410" s="85">
        <v>18.051000000000002</v>
      </c>
      <c r="L410" s="85">
        <v>21.107999999999997</v>
      </c>
      <c r="M410" s="85">
        <v>22.656999999999996</v>
      </c>
      <c r="N410" s="85">
        <v>26.054000000000002</v>
      </c>
      <c r="O410" s="85">
        <v>36.194000000000003</v>
      </c>
      <c r="P410" s="85">
        <v>21.438000000000002</v>
      </c>
      <c r="Q410" s="85">
        <v>19.246000000000002</v>
      </c>
      <c r="R410" s="85">
        <v>18.672000000000001</v>
      </c>
      <c r="S410" s="89">
        <v>20.465999999999998</v>
      </c>
      <c r="T410" s="89">
        <v>260.596</v>
      </c>
      <c r="U410" s="85">
        <v>0</v>
      </c>
      <c r="V410" s="85">
        <v>260.596</v>
      </c>
      <c r="W410" s="85">
        <v>0</v>
      </c>
      <c r="X410" s="89">
        <v>260.596</v>
      </c>
      <c r="Y410" s="79">
        <v>0</v>
      </c>
      <c r="Z410" s="79">
        <v>14</v>
      </c>
      <c r="AA410" s="94">
        <v>0</v>
      </c>
      <c r="AB410" s="79">
        <v>14</v>
      </c>
      <c r="AC410" s="85">
        <v>153.06</v>
      </c>
      <c r="AD410" s="85">
        <v>37.770000000000003</v>
      </c>
      <c r="AE410" s="85">
        <v>69.676226666666651</v>
      </c>
      <c r="AF410" s="85">
        <v>0</v>
      </c>
      <c r="AG410" s="85">
        <v>260.50622666666663</v>
      </c>
      <c r="AH410" s="85">
        <v>0</v>
      </c>
      <c r="AI410" s="85">
        <v>0</v>
      </c>
      <c r="AJ410" s="85">
        <v>0</v>
      </c>
      <c r="AK410" s="85">
        <v>0</v>
      </c>
      <c r="AL410" s="85">
        <v>0</v>
      </c>
      <c r="AM410" s="85">
        <v>0</v>
      </c>
      <c r="AN410" s="85">
        <v>0</v>
      </c>
      <c r="AO410" s="85">
        <v>0</v>
      </c>
      <c r="AP410" s="85">
        <v>0</v>
      </c>
      <c r="AQ410" s="85">
        <v>0</v>
      </c>
      <c r="AR410" s="85">
        <v>0</v>
      </c>
      <c r="AS410" s="85">
        <v>0</v>
      </c>
      <c r="AT410" s="85">
        <v>0</v>
      </c>
      <c r="AU410" s="85">
        <v>0</v>
      </c>
      <c r="AV410" s="85">
        <v>0</v>
      </c>
      <c r="AW410" s="85">
        <v>0</v>
      </c>
      <c r="AX410" s="85">
        <v>0</v>
      </c>
      <c r="AY410" s="85">
        <v>260.596</v>
      </c>
      <c r="AZ410" s="85">
        <v>0</v>
      </c>
      <c r="BA410" s="85">
        <v>0</v>
      </c>
      <c r="BB410" s="89">
        <v>0</v>
      </c>
      <c r="BC410" s="89">
        <v>260.596</v>
      </c>
      <c r="BD410" s="37">
        <v>0</v>
      </c>
      <c r="BE410" s="37">
        <v>0</v>
      </c>
      <c r="BF410" s="279">
        <v>72245</v>
      </c>
      <c r="BG410" s="37">
        <v>107574</v>
      </c>
      <c r="BH410" s="37">
        <v>44411</v>
      </c>
      <c r="BI410" s="37">
        <v>0</v>
      </c>
      <c r="BJ410" s="283">
        <v>224230</v>
      </c>
      <c r="BK410" s="161" t="s">
        <v>4616</v>
      </c>
      <c r="BL410" s="294"/>
      <c r="BM410"/>
      <c r="BN410">
        <v>0</v>
      </c>
      <c r="BO410"/>
      <c r="BP410"/>
      <c r="BQ410"/>
      <c r="BR410"/>
      <c r="BS410"/>
      <c r="BT410"/>
      <c r="BU410"/>
      <c r="BV410"/>
      <c r="BW410"/>
      <c r="BX410"/>
      <c r="BY410"/>
      <c r="BZ410"/>
      <c r="CA410"/>
      <c r="CB410"/>
      <c r="CC410"/>
      <c r="CD410"/>
      <c r="CE410"/>
      <c r="CF410"/>
      <c r="CG410"/>
      <c r="CH410"/>
      <c r="CI410"/>
      <c r="CJ410"/>
    </row>
    <row r="411" spans="1:88" s="32" customFormat="1" ht="15" customHeight="1" x14ac:dyDescent="0.35">
      <c r="A411" s="473"/>
      <c r="B411" s="313">
        <v>80085</v>
      </c>
      <c r="C411" s="8" t="s">
        <v>816</v>
      </c>
      <c r="D411" s="18">
        <v>7</v>
      </c>
      <c r="E411" s="251"/>
      <c r="F411" s="82"/>
      <c r="G411" s="79"/>
      <c r="H411" s="90"/>
      <c r="I411" s="85"/>
      <c r="J411" s="85"/>
      <c r="K411" s="85"/>
      <c r="L411" s="85"/>
      <c r="M411" s="85"/>
      <c r="N411" s="85"/>
      <c r="O411" s="85"/>
      <c r="P411" s="85"/>
      <c r="Q411" s="85"/>
      <c r="R411" s="85"/>
      <c r="S411" s="89"/>
      <c r="T411" s="89" t="s">
        <v>1124</v>
      </c>
      <c r="U411" s="85"/>
      <c r="V411" s="85"/>
      <c r="W411" s="85"/>
      <c r="X411" s="89" t="s">
        <v>1124</v>
      </c>
      <c r="Y411" s="79"/>
      <c r="Z411" s="79"/>
      <c r="AA411" s="94"/>
      <c r="AB411" s="79" t="s">
        <v>1124</v>
      </c>
      <c r="AC411" s="85"/>
      <c r="AD411" s="85"/>
      <c r="AE411" s="85"/>
      <c r="AF411" s="85"/>
      <c r="AG411" s="85" t="s">
        <v>1124</v>
      </c>
      <c r="AH411" s="85"/>
      <c r="AI411" s="85"/>
      <c r="AJ411" s="85"/>
      <c r="AK411" s="85"/>
      <c r="AL411" s="85"/>
      <c r="AM411" s="85"/>
      <c r="AN411" s="85"/>
      <c r="AO411" s="85"/>
      <c r="AP411" s="85"/>
      <c r="AQ411" s="85"/>
      <c r="AR411" s="85" t="s">
        <v>1124</v>
      </c>
      <c r="AS411" s="85"/>
      <c r="AT411" s="85"/>
      <c r="AU411" s="85"/>
      <c r="AV411" s="85"/>
      <c r="AW411" s="85"/>
      <c r="AX411" s="85"/>
      <c r="AY411" s="85"/>
      <c r="AZ411" s="85"/>
      <c r="BA411" s="85"/>
      <c r="BB411" s="89"/>
      <c r="BC411" s="89" t="s">
        <v>1124</v>
      </c>
      <c r="BD411" s="37"/>
      <c r="BE411" s="37"/>
      <c r="BF411" s="279"/>
      <c r="BG411" s="37"/>
      <c r="BH411" s="37"/>
      <c r="BI411" s="37"/>
      <c r="BJ411" s="283"/>
      <c r="BK411" s="161"/>
      <c r="BL411" s="294"/>
      <c r="BM411"/>
      <c r="BN411"/>
      <c r="BO411"/>
      <c r="BP411"/>
      <c r="BQ411"/>
      <c r="BR411"/>
      <c r="BS411"/>
      <c r="BT411"/>
      <c r="BU411"/>
      <c r="BV411"/>
      <c r="BW411"/>
      <c r="BX411"/>
      <c r="BY411"/>
      <c r="BZ411"/>
      <c r="CA411"/>
      <c r="CB411"/>
      <c r="CC411"/>
      <c r="CD411"/>
      <c r="CE411"/>
      <c r="CF411"/>
      <c r="CG411"/>
      <c r="CH411"/>
      <c r="CI411"/>
      <c r="CJ411"/>
    </row>
    <row r="412" spans="1:88" s="32" customFormat="1" ht="15" customHeight="1" x14ac:dyDescent="0.35">
      <c r="A412" s="473"/>
      <c r="B412" s="313">
        <v>3025</v>
      </c>
      <c r="C412" s="8" t="s">
        <v>1035</v>
      </c>
      <c r="D412" s="18">
        <v>11</v>
      </c>
      <c r="E412" s="251">
        <v>453</v>
      </c>
      <c r="F412" s="82">
        <v>1.2776659959758552</v>
      </c>
      <c r="G412" s="79">
        <v>578.78269617706235</v>
      </c>
      <c r="H412" s="90">
        <v>25.41</v>
      </c>
      <c r="I412" s="85">
        <v>27.370999999999999</v>
      </c>
      <c r="J412" s="85">
        <v>25.792000000000002</v>
      </c>
      <c r="K412" s="85">
        <v>20.695</v>
      </c>
      <c r="L412" s="85">
        <v>23.266999999999999</v>
      </c>
      <c r="M412" s="85">
        <v>21.635999999999999</v>
      </c>
      <c r="N412" s="85">
        <v>21.832000000000001</v>
      </c>
      <c r="O412" s="85">
        <v>22.160999999999998</v>
      </c>
      <c r="P412" s="85">
        <v>26.453333333333333</v>
      </c>
      <c r="Q412" s="85">
        <v>22.564</v>
      </c>
      <c r="R412" s="85">
        <v>21.266999999999999</v>
      </c>
      <c r="S412" s="89">
        <v>24.835999999999999</v>
      </c>
      <c r="T412" s="89">
        <v>283.28433333333334</v>
      </c>
      <c r="U412" s="85">
        <v>0</v>
      </c>
      <c r="V412" s="85">
        <v>283.28433333333334</v>
      </c>
      <c r="W412" s="85">
        <v>0</v>
      </c>
      <c r="X412" s="89">
        <v>283.28433333333334</v>
      </c>
      <c r="Y412" s="79">
        <v>0</v>
      </c>
      <c r="Z412" s="79">
        <v>1</v>
      </c>
      <c r="AA412" s="94">
        <v>0</v>
      </c>
      <c r="AB412" s="79">
        <v>1</v>
      </c>
      <c r="AC412" s="85">
        <v>66.289000000000001</v>
      </c>
      <c r="AD412" s="85">
        <v>40.335359710884376</v>
      </c>
      <c r="AE412" s="85">
        <v>176.65997362244897</v>
      </c>
      <c r="AF412" s="85">
        <v>0</v>
      </c>
      <c r="AG412" s="85">
        <v>283.28433333333334</v>
      </c>
      <c r="AH412" s="85">
        <v>0</v>
      </c>
      <c r="AI412" s="85">
        <v>0</v>
      </c>
      <c r="AJ412" s="85">
        <v>0</v>
      </c>
      <c r="AK412" s="85">
        <v>0</v>
      </c>
      <c r="AL412" s="85">
        <v>0</v>
      </c>
      <c r="AM412" s="85">
        <v>0</v>
      </c>
      <c r="AN412" s="85">
        <v>0</v>
      </c>
      <c r="AO412" s="85">
        <v>0</v>
      </c>
      <c r="AP412" s="85">
        <v>0</v>
      </c>
      <c r="AQ412" s="85">
        <v>0</v>
      </c>
      <c r="AR412" s="85">
        <v>0</v>
      </c>
      <c r="AS412" s="85">
        <v>283.28433333333334</v>
      </c>
      <c r="AT412" s="85">
        <v>0</v>
      </c>
      <c r="AU412" s="85">
        <v>0</v>
      </c>
      <c r="AV412" s="85">
        <v>0</v>
      </c>
      <c r="AW412" s="85">
        <v>0</v>
      </c>
      <c r="AX412" s="85">
        <v>0</v>
      </c>
      <c r="AY412" s="85">
        <v>0</v>
      </c>
      <c r="AZ412" s="85">
        <v>0</v>
      </c>
      <c r="BA412" s="85">
        <v>0</v>
      </c>
      <c r="BB412" s="89">
        <v>0</v>
      </c>
      <c r="BC412" s="89">
        <v>283.28433333333334</v>
      </c>
      <c r="BD412" s="37">
        <v>0</v>
      </c>
      <c r="BE412" s="37">
        <v>0</v>
      </c>
      <c r="BF412" s="279">
        <v>33439</v>
      </c>
      <c r="BG412" s="37">
        <v>24721</v>
      </c>
      <c r="BH412" s="37">
        <v>18218</v>
      </c>
      <c r="BI412" s="37">
        <v>0</v>
      </c>
      <c r="BJ412" s="283">
        <v>76378</v>
      </c>
      <c r="BK412" s="161"/>
      <c r="BL412" s="294"/>
      <c r="BM412"/>
      <c r="BN412"/>
      <c r="BO412"/>
      <c r="BP412"/>
      <c r="BQ412"/>
      <c r="BR412"/>
      <c r="BS412"/>
      <c r="BT412"/>
      <c r="BU412"/>
      <c r="BV412"/>
      <c r="BW412"/>
      <c r="BX412"/>
      <c r="BY412"/>
      <c r="BZ412"/>
      <c r="CA412"/>
      <c r="CB412"/>
      <c r="CC412"/>
      <c r="CD412"/>
      <c r="CE412"/>
      <c r="CF412"/>
      <c r="CG412"/>
      <c r="CH412"/>
      <c r="CI412"/>
      <c r="CJ412"/>
    </row>
    <row r="413" spans="1:88" s="32" customFormat="1" ht="15" customHeight="1" x14ac:dyDescent="0.35">
      <c r="A413" s="473"/>
      <c r="B413" s="313">
        <v>80110</v>
      </c>
      <c r="C413" s="8" t="s">
        <v>820</v>
      </c>
      <c r="D413" s="18">
        <v>7</v>
      </c>
      <c r="E413" s="251"/>
      <c r="F413" s="82"/>
      <c r="G413" s="79"/>
      <c r="H413" s="90"/>
      <c r="I413" s="85"/>
      <c r="J413" s="85"/>
      <c r="K413" s="85"/>
      <c r="L413" s="85"/>
      <c r="M413" s="85"/>
      <c r="N413" s="85"/>
      <c r="O413" s="85"/>
      <c r="P413" s="85"/>
      <c r="Q413" s="85"/>
      <c r="R413" s="85"/>
      <c r="S413" s="89"/>
      <c r="T413" s="89" t="s">
        <v>1124</v>
      </c>
      <c r="U413" s="85"/>
      <c r="V413" s="85"/>
      <c r="W413" s="85"/>
      <c r="X413" s="89" t="s">
        <v>1124</v>
      </c>
      <c r="Y413" s="79"/>
      <c r="Z413" s="79"/>
      <c r="AA413" s="94"/>
      <c r="AB413" s="79" t="s">
        <v>1124</v>
      </c>
      <c r="AC413" s="85"/>
      <c r="AD413" s="85"/>
      <c r="AE413" s="85"/>
      <c r="AF413" s="85"/>
      <c r="AG413" s="85" t="s">
        <v>1124</v>
      </c>
      <c r="AH413" s="85"/>
      <c r="AI413" s="85"/>
      <c r="AJ413" s="85"/>
      <c r="AK413" s="85"/>
      <c r="AL413" s="85"/>
      <c r="AM413" s="85"/>
      <c r="AN413" s="85"/>
      <c r="AO413" s="85"/>
      <c r="AP413" s="85"/>
      <c r="AQ413" s="85"/>
      <c r="AR413" s="85" t="s">
        <v>1124</v>
      </c>
      <c r="AS413" s="85"/>
      <c r="AT413" s="85"/>
      <c r="AU413" s="85"/>
      <c r="AV413" s="85"/>
      <c r="AW413" s="85"/>
      <c r="AX413" s="85"/>
      <c r="AY413" s="85"/>
      <c r="AZ413" s="85"/>
      <c r="BA413" s="85"/>
      <c r="BB413" s="89"/>
      <c r="BC413" s="89" t="s">
        <v>1124</v>
      </c>
      <c r="BD413" s="37"/>
      <c r="BE413" s="37"/>
      <c r="BF413" s="279"/>
      <c r="BG413" s="37"/>
      <c r="BH413" s="37"/>
      <c r="BI413" s="37"/>
      <c r="BJ413" s="283"/>
      <c r="BK413" s="161"/>
      <c r="BL413" s="294"/>
      <c r="BM413"/>
      <c r="BN413"/>
      <c r="BO413"/>
      <c r="BP413"/>
      <c r="BQ413"/>
      <c r="BR413"/>
      <c r="BS413"/>
      <c r="BT413"/>
      <c r="BU413"/>
      <c r="BV413"/>
      <c r="BW413"/>
      <c r="BX413"/>
      <c r="BY413"/>
      <c r="BZ413"/>
      <c r="CA413"/>
      <c r="CB413"/>
      <c r="CC413"/>
      <c r="CD413"/>
      <c r="CE413"/>
      <c r="CF413"/>
      <c r="CG413"/>
      <c r="CH413"/>
      <c r="CI413"/>
      <c r="CJ413"/>
    </row>
    <row r="414" spans="1:88" s="32" customFormat="1" ht="15" customHeight="1" x14ac:dyDescent="0.35">
      <c r="A414" s="473"/>
      <c r="B414" s="313">
        <v>30045</v>
      </c>
      <c r="C414" s="8" t="s">
        <v>225</v>
      </c>
      <c r="D414" s="18">
        <v>5</v>
      </c>
      <c r="E414" s="251">
        <v>163</v>
      </c>
      <c r="F414" s="82">
        <v>2.380634390651085</v>
      </c>
      <c r="G414" s="79">
        <v>388.04340567612684</v>
      </c>
      <c r="H414" s="90">
        <v>2.2711700000000001</v>
      </c>
      <c r="I414" s="85">
        <v>2.2898700000000001</v>
      </c>
      <c r="J414" s="85">
        <v>2.798</v>
      </c>
      <c r="K414" s="85">
        <v>2.7422800000000001</v>
      </c>
      <c r="L414" s="85">
        <v>2.7160199999999999</v>
      </c>
      <c r="M414" s="85">
        <v>2.80105</v>
      </c>
      <c r="N414" s="85">
        <v>2.67441</v>
      </c>
      <c r="O414" s="85">
        <v>2.24234</v>
      </c>
      <c r="P414" s="85">
        <v>1.9878899999999999</v>
      </c>
      <c r="Q414" s="85">
        <v>1.9336</v>
      </c>
      <c r="R414" s="85">
        <v>1.9698</v>
      </c>
      <c r="S414" s="89">
        <v>2.407</v>
      </c>
      <c r="T414" s="89">
        <v>28.833429999999996</v>
      </c>
      <c r="U414" s="85">
        <v>0</v>
      </c>
      <c r="V414" s="85">
        <v>28.833429999999996</v>
      </c>
      <c r="W414" s="85">
        <v>0</v>
      </c>
      <c r="X414" s="89">
        <v>28.833429999999996</v>
      </c>
      <c r="Y414" s="79">
        <v>0</v>
      </c>
      <c r="Z414" s="79">
        <v>2</v>
      </c>
      <c r="AA414" s="94">
        <v>0</v>
      </c>
      <c r="AB414" s="79">
        <v>2</v>
      </c>
      <c r="AC414" s="85">
        <v>25.550229672383718</v>
      </c>
      <c r="AD414" s="85">
        <v>1.7940003276162764</v>
      </c>
      <c r="AE414" s="85">
        <v>1.4892000000000016</v>
      </c>
      <c r="AF414" s="85">
        <v>0</v>
      </c>
      <c r="AG414" s="85">
        <v>28.833429999999996</v>
      </c>
      <c r="AH414" s="85">
        <v>0</v>
      </c>
      <c r="AI414" s="85">
        <v>0</v>
      </c>
      <c r="AJ414" s="85">
        <v>0</v>
      </c>
      <c r="AK414" s="85">
        <v>0</v>
      </c>
      <c r="AL414" s="85">
        <v>0</v>
      </c>
      <c r="AM414" s="85">
        <v>0</v>
      </c>
      <c r="AN414" s="85">
        <v>0</v>
      </c>
      <c r="AO414" s="85">
        <v>0</v>
      </c>
      <c r="AP414" s="85">
        <v>0</v>
      </c>
      <c r="AQ414" s="85">
        <v>0</v>
      </c>
      <c r="AR414" s="85">
        <v>0</v>
      </c>
      <c r="AS414" s="85">
        <v>0</v>
      </c>
      <c r="AT414" s="85">
        <v>0</v>
      </c>
      <c r="AU414" s="85">
        <v>0</v>
      </c>
      <c r="AV414" s="85">
        <v>0</v>
      </c>
      <c r="AW414" s="85">
        <v>0</v>
      </c>
      <c r="AX414" s="85">
        <v>0</v>
      </c>
      <c r="AY414" s="85">
        <v>28.833429999999996</v>
      </c>
      <c r="AZ414" s="85">
        <v>0</v>
      </c>
      <c r="BA414" s="85">
        <v>0</v>
      </c>
      <c r="BB414" s="89">
        <v>0</v>
      </c>
      <c r="BC414" s="89">
        <v>28.833429999999996</v>
      </c>
      <c r="BD414" s="37">
        <v>0</v>
      </c>
      <c r="BE414" s="37">
        <v>0</v>
      </c>
      <c r="BF414" s="279">
        <v>3201</v>
      </c>
      <c r="BG414" s="37">
        <v>16741</v>
      </c>
      <c r="BH414" s="37">
        <v>3718</v>
      </c>
      <c r="BI414" s="37">
        <v>0</v>
      </c>
      <c r="BJ414" s="283">
        <v>23660</v>
      </c>
      <c r="BK414" s="161"/>
      <c r="BL414" s="294"/>
      <c r="BM414"/>
      <c r="BN414"/>
      <c r="BO414"/>
      <c r="BP414"/>
      <c r="BQ414"/>
      <c r="BR414"/>
      <c r="BS414"/>
      <c r="BT414"/>
      <c r="BU414"/>
      <c r="BV414"/>
      <c r="BW414"/>
      <c r="BX414"/>
      <c r="BY414"/>
      <c r="BZ414"/>
      <c r="CA414"/>
      <c r="CB414"/>
      <c r="CC414"/>
      <c r="CD414"/>
      <c r="CE414"/>
      <c r="CF414"/>
      <c r="CG414"/>
      <c r="CH414"/>
      <c r="CI414"/>
      <c r="CJ414"/>
    </row>
    <row r="415" spans="1:88" s="32" customFormat="1" ht="15" customHeight="1" x14ac:dyDescent="0.35">
      <c r="A415" s="473"/>
      <c r="B415" s="313">
        <v>68030</v>
      </c>
      <c r="C415" s="8" t="s">
        <v>678</v>
      </c>
      <c r="D415" s="18">
        <v>16</v>
      </c>
      <c r="E415" s="251">
        <v>1783</v>
      </c>
      <c r="F415" s="82">
        <v>2.3662366800000001</v>
      </c>
      <c r="G415" s="79">
        <v>4219.0000004399999</v>
      </c>
      <c r="H415" s="90">
        <v>41.750500000000002</v>
      </c>
      <c r="I415" s="85">
        <v>32.953600000000002</v>
      </c>
      <c r="J415" s="85">
        <v>38.276800000000001</v>
      </c>
      <c r="K415" s="85">
        <v>38.015636842105259</v>
      </c>
      <c r="L415" s="85">
        <v>39.707157142857156</v>
      </c>
      <c r="M415" s="85">
        <v>42.27885454545455</v>
      </c>
      <c r="N415" s="85">
        <v>44.982623076923083</v>
      </c>
      <c r="O415" s="85">
        <v>32.82279230769231</v>
      </c>
      <c r="P415" s="85">
        <v>38.638039999999997</v>
      </c>
      <c r="Q415" s="85">
        <v>41.065700000000014</v>
      </c>
      <c r="R415" s="85">
        <v>36.890682352941177</v>
      </c>
      <c r="S415" s="89">
        <v>39.760600000000004</v>
      </c>
      <c r="T415" s="89">
        <v>467.14298626797353</v>
      </c>
      <c r="U415" s="85">
        <v>0</v>
      </c>
      <c r="V415" s="85">
        <v>467.14299999999997</v>
      </c>
      <c r="W415" s="85">
        <v>0</v>
      </c>
      <c r="X415" s="89">
        <v>467.14299999999997</v>
      </c>
      <c r="Y415" s="79">
        <v>0</v>
      </c>
      <c r="Z415" s="79">
        <v>3</v>
      </c>
      <c r="AA415" s="94">
        <v>0</v>
      </c>
      <c r="AB415" s="79">
        <v>3</v>
      </c>
      <c r="AC415" s="85">
        <v>298.06402450719236</v>
      </c>
      <c r="AD415" s="85">
        <v>40.61893089343431</v>
      </c>
      <c r="AE415" s="85">
        <v>128.46003086734686</v>
      </c>
      <c r="AF415" s="85">
        <v>0</v>
      </c>
      <c r="AG415" s="85">
        <v>467.14298626797353</v>
      </c>
      <c r="AH415" s="85">
        <v>0</v>
      </c>
      <c r="AI415" s="85">
        <v>0</v>
      </c>
      <c r="AJ415" s="85">
        <v>0</v>
      </c>
      <c r="AK415" s="85">
        <v>0</v>
      </c>
      <c r="AL415" s="85">
        <v>0</v>
      </c>
      <c r="AM415" s="85">
        <v>0</v>
      </c>
      <c r="AN415" s="85">
        <v>0</v>
      </c>
      <c r="AO415" s="85">
        <v>0</v>
      </c>
      <c r="AP415" s="85">
        <v>0</v>
      </c>
      <c r="AQ415" s="85">
        <v>0</v>
      </c>
      <c r="AR415" s="85">
        <v>0</v>
      </c>
      <c r="AS415" s="85">
        <v>0</v>
      </c>
      <c r="AT415" s="85">
        <v>0</v>
      </c>
      <c r="AU415" s="85">
        <v>0</v>
      </c>
      <c r="AV415" s="85">
        <v>0</v>
      </c>
      <c r="AW415" s="85">
        <v>467.14299999999997</v>
      </c>
      <c r="AX415" s="85">
        <v>0</v>
      </c>
      <c r="AY415" s="85">
        <v>0</v>
      </c>
      <c r="AZ415" s="85">
        <v>0</v>
      </c>
      <c r="BA415" s="85">
        <v>0</v>
      </c>
      <c r="BB415" s="89">
        <v>0</v>
      </c>
      <c r="BC415" s="89">
        <v>467.14299999999997</v>
      </c>
      <c r="BD415" s="37">
        <v>0</v>
      </c>
      <c r="BE415" s="37">
        <v>0</v>
      </c>
      <c r="BF415" s="279">
        <v>80719</v>
      </c>
      <c r="BG415" s="37">
        <v>29056</v>
      </c>
      <c r="BH415" s="37">
        <v>41347</v>
      </c>
      <c r="BI415" s="37">
        <v>16311</v>
      </c>
      <c r="BJ415" s="283">
        <v>167433</v>
      </c>
      <c r="BK415" s="161" t="s">
        <v>2274</v>
      </c>
      <c r="BL415" s="294"/>
      <c r="BM415"/>
      <c r="BN415"/>
      <c r="BO415"/>
      <c r="BP415"/>
      <c r="BQ415"/>
      <c r="BR415"/>
      <c r="BS415"/>
      <c r="BT415"/>
      <c r="BU415"/>
      <c r="BV415"/>
      <c r="BW415"/>
      <c r="BX415"/>
      <c r="BY415"/>
      <c r="BZ415"/>
      <c r="CA415"/>
      <c r="CB415"/>
      <c r="CC415"/>
      <c r="CD415"/>
      <c r="CE415"/>
      <c r="CF415"/>
      <c r="CG415"/>
      <c r="CH415"/>
      <c r="CI415"/>
      <c r="CJ415"/>
    </row>
    <row r="416" spans="1:88" s="32" customFormat="1" ht="15" customHeight="1" x14ac:dyDescent="0.35">
      <c r="A416" s="473"/>
      <c r="B416" s="313">
        <v>98025</v>
      </c>
      <c r="C416" s="8" t="s">
        <v>1012</v>
      </c>
      <c r="D416" s="18">
        <v>9</v>
      </c>
      <c r="E416" s="251"/>
      <c r="F416" s="82"/>
      <c r="G416" s="79"/>
      <c r="H416" s="90"/>
      <c r="I416" s="85"/>
      <c r="J416" s="85"/>
      <c r="K416" s="85"/>
      <c r="L416" s="85"/>
      <c r="M416" s="85"/>
      <c r="N416" s="85"/>
      <c r="O416" s="85"/>
      <c r="P416" s="85"/>
      <c r="Q416" s="85"/>
      <c r="R416" s="85"/>
      <c r="S416" s="89"/>
      <c r="T416" s="89" t="s">
        <v>1124</v>
      </c>
      <c r="U416" s="85"/>
      <c r="V416" s="85"/>
      <c r="W416" s="85"/>
      <c r="X416" s="89" t="s">
        <v>1124</v>
      </c>
      <c r="Y416" s="79"/>
      <c r="Z416" s="79"/>
      <c r="AA416" s="94"/>
      <c r="AB416" s="79" t="s">
        <v>1124</v>
      </c>
      <c r="AC416" s="85"/>
      <c r="AD416" s="85"/>
      <c r="AE416" s="85"/>
      <c r="AF416" s="85"/>
      <c r="AG416" s="85" t="s">
        <v>1124</v>
      </c>
      <c r="AH416" s="85"/>
      <c r="AI416" s="85"/>
      <c r="AJ416" s="85"/>
      <c r="AK416" s="85"/>
      <c r="AL416" s="85"/>
      <c r="AM416" s="85"/>
      <c r="AN416" s="85"/>
      <c r="AO416" s="85"/>
      <c r="AP416" s="85"/>
      <c r="AQ416" s="85"/>
      <c r="AR416" s="85" t="s">
        <v>1124</v>
      </c>
      <c r="AS416" s="85"/>
      <c r="AT416" s="85"/>
      <c r="AU416" s="85"/>
      <c r="AV416" s="85"/>
      <c r="AW416" s="85"/>
      <c r="AX416" s="85"/>
      <c r="AY416" s="85"/>
      <c r="AZ416" s="85"/>
      <c r="BA416" s="85"/>
      <c r="BB416" s="89"/>
      <c r="BC416" s="89" t="s">
        <v>1124</v>
      </c>
      <c r="BD416" s="37"/>
      <c r="BE416" s="37"/>
      <c r="BF416" s="279"/>
      <c r="BG416" s="37"/>
      <c r="BH416" s="37"/>
      <c r="BI416" s="37"/>
      <c r="BJ416" s="283"/>
      <c r="BK416" s="161"/>
      <c r="BL416" s="294"/>
      <c r="BM416"/>
      <c r="BN416"/>
      <c r="BO416"/>
      <c r="BP416"/>
      <c r="BQ416"/>
      <c r="BR416"/>
      <c r="BS416"/>
      <c r="BT416"/>
      <c r="BU416"/>
      <c r="BV416"/>
      <c r="BW416"/>
      <c r="BX416"/>
      <c r="BY416"/>
      <c r="BZ416"/>
      <c r="CA416"/>
      <c r="CB416"/>
      <c r="CC416"/>
      <c r="CD416"/>
      <c r="CE416"/>
      <c r="CF416"/>
      <c r="CG416"/>
      <c r="CH416"/>
      <c r="CI416"/>
      <c r="CJ416"/>
    </row>
    <row r="417" spans="1:88" s="32" customFormat="1" ht="15" customHeight="1" x14ac:dyDescent="0.35">
      <c r="A417" s="473"/>
      <c r="B417" s="313">
        <v>85100</v>
      </c>
      <c r="C417" s="8" t="s">
        <v>887</v>
      </c>
      <c r="D417" s="18">
        <v>8</v>
      </c>
      <c r="E417" s="251"/>
      <c r="F417" s="82"/>
      <c r="G417" s="79"/>
      <c r="H417" s="90"/>
      <c r="I417" s="85"/>
      <c r="J417" s="85"/>
      <c r="K417" s="85"/>
      <c r="L417" s="85"/>
      <c r="M417" s="85"/>
      <c r="N417" s="85"/>
      <c r="O417" s="85"/>
      <c r="P417" s="85"/>
      <c r="Q417" s="85"/>
      <c r="R417" s="85"/>
      <c r="S417" s="89"/>
      <c r="T417" s="89" t="s">
        <v>1124</v>
      </c>
      <c r="U417" s="85"/>
      <c r="V417" s="85"/>
      <c r="W417" s="85"/>
      <c r="X417" s="89" t="s">
        <v>1124</v>
      </c>
      <c r="Y417" s="79"/>
      <c r="Z417" s="79"/>
      <c r="AA417" s="94"/>
      <c r="AB417" s="79" t="s">
        <v>1124</v>
      </c>
      <c r="AC417" s="85"/>
      <c r="AD417" s="85"/>
      <c r="AE417" s="85"/>
      <c r="AF417" s="85"/>
      <c r="AG417" s="85" t="s">
        <v>1124</v>
      </c>
      <c r="AH417" s="85"/>
      <c r="AI417" s="85"/>
      <c r="AJ417" s="85"/>
      <c r="AK417" s="85"/>
      <c r="AL417" s="85"/>
      <c r="AM417" s="85"/>
      <c r="AN417" s="85"/>
      <c r="AO417" s="85"/>
      <c r="AP417" s="85"/>
      <c r="AQ417" s="85"/>
      <c r="AR417" s="85" t="s">
        <v>1124</v>
      </c>
      <c r="AS417" s="85"/>
      <c r="AT417" s="85"/>
      <c r="AU417" s="85"/>
      <c r="AV417" s="85"/>
      <c r="AW417" s="85"/>
      <c r="AX417" s="85"/>
      <c r="AY417" s="85"/>
      <c r="AZ417" s="85"/>
      <c r="BA417" s="85"/>
      <c r="BB417" s="89"/>
      <c r="BC417" s="89" t="s">
        <v>1124</v>
      </c>
      <c r="BD417" s="37"/>
      <c r="BE417" s="37"/>
      <c r="BF417" s="279"/>
      <c r="BG417" s="37"/>
      <c r="BH417" s="37"/>
      <c r="BI417" s="37"/>
      <c r="BJ417" s="283"/>
      <c r="BK417" s="161"/>
      <c r="BL417" s="294"/>
      <c r="BM417"/>
      <c r="BN417"/>
      <c r="BO417"/>
      <c r="BP417"/>
      <c r="BQ417"/>
      <c r="BR417"/>
      <c r="BS417"/>
      <c r="BT417"/>
      <c r="BU417"/>
      <c r="BV417"/>
      <c r="BW417"/>
      <c r="BX417"/>
      <c r="BY417"/>
      <c r="BZ417"/>
      <c r="CA417"/>
      <c r="CB417"/>
      <c r="CC417"/>
      <c r="CD417"/>
      <c r="CE417"/>
      <c r="CF417"/>
      <c r="CG417"/>
      <c r="CH417"/>
      <c r="CI417"/>
      <c r="CJ417"/>
    </row>
    <row r="418" spans="1:88" s="32" customFormat="1" ht="15" customHeight="1" x14ac:dyDescent="0.35">
      <c r="A418" s="473"/>
      <c r="B418" s="313">
        <v>34007</v>
      </c>
      <c r="C418" s="8" t="s">
        <v>285</v>
      </c>
      <c r="D418" s="18">
        <v>3</v>
      </c>
      <c r="E418" s="251">
        <v>1316</v>
      </c>
      <c r="F418" s="82">
        <v>2.443355119825708</v>
      </c>
      <c r="G418" s="79">
        <v>3215.4553376906315</v>
      </c>
      <c r="H418" s="90">
        <v>24.957000000000001</v>
      </c>
      <c r="I418" s="85">
        <v>22.766999999999999</v>
      </c>
      <c r="J418" s="85">
        <v>25.510999999999999</v>
      </c>
      <c r="K418" s="85">
        <v>25.434000000000001</v>
      </c>
      <c r="L418" s="85">
        <v>37.831000000000003</v>
      </c>
      <c r="M418" s="85">
        <v>37.206540000000004</v>
      </c>
      <c r="N418" s="85">
        <v>43.414999999999999</v>
      </c>
      <c r="O418" s="85">
        <v>39.661999999999999</v>
      </c>
      <c r="P418" s="85">
        <v>29.702000000000002</v>
      </c>
      <c r="Q418" s="85">
        <v>27.768999999999998</v>
      </c>
      <c r="R418" s="85">
        <v>23.844000000000001</v>
      </c>
      <c r="S418" s="89">
        <v>25.161000000000001</v>
      </c>
      <c r="T418" s="89">
        <v>363.25954000000002</v>
      </c>
      <c r="U418" s="85">
        <v>0</v>
      </c>
      <c r="V418" s="85">
        <v>0</v>
      </c>
      <c r="W418" s="85">
        <v>363.26</v>
      </c>
      <c r="X418" s="89">
        <v>363.26</v>
      </c>
      <c r="Y418" s="79">
        <v>0</v>
      </c>
      <c r="Z418" s="79">
        <v>0</v>
      </c>
      <c r="AA418" s="94">
        <v>1</v>
      </c>
      <c r="AB418" s="79">
        <v>1</v>
      </c>
      <c r="AC418" s="85">
        <v>241.20400000000001</v>
      </c>
      <c r="AD418" s="85">
        <v>23.410440000000023</v>
      </c>
      <c r="AE418" s="85">
        <v>98.645099999999985</v>
      </c>
      <c r="AF418" s="85">
        <v>0</v>
      </c>
      <c r="AG418" s="85">
        <v>363.25954000000002</v>
      </c>
      <c r="AH418" s="85">
        <v>0</v>
      </c>
      <c r="AI418" s="85">
        <v>0</v>
      </c>
      <c r="AJ418" s="85">
        <v>0</v>
      </c>
      <c r="AK418" s="85">
        <v>0</v>
      </c>
      <c r="AL418" s="85">
        <v>0</v>
      </c>
      <c r="AM418" s="85">
        <v>0</v>
      </c>
      <c r="AN418" s="85">
        <v>0</v>
      </c>
      <c r="AO418" s="85">
        <v>0</v>
      </c>
      <c r="AP418" s="85">
        <v>0</v>
      </c>
      <c r="AQ418" s="85">
        <v>0</v>
      </c>
      <c r="AR418" s="85">
        <v>0</v>
      </c>
      <c r="AS418" s="85">
        <v>0</v>
      </c>
      <c r="AT418" s="85">
        <v>0</v>
      </c>
      <c r="AU418" s="85">
        <v>0</v>
      </c>
      <c r="AV418" s="85">
        <v>0</v>
      </c>
      <c r="AW418" s="85">
        <v>0</v>
      </c>
      <c r="AX418" s="85">
        <v>0</v>
      </c>
      <c r="AY418" s="85">
        <v>0</v>
      </c>
      <c r="AZ418" s="85">
        <v>363.26</v>
      </c>
      <c r="BA418" s="85">
        <v>0</v>
      </c>
      <c r="BB418" s="89">
        <v>0</v>
      </c>
      <c r="BC418" s="89">
        <v>363.26</v>
      </c>
      <c r="BD418" s="37">
        <v>0</v>
      </c>
      <c r="BE418" s="37">
        <v>0</v>
      </c>
      <c r="BF418" s="279">
        <v>44831</v>
      </c>
      <c r="BG418" s="37">
        <v>84362</v>
      </c>
      <c r="BH418" s="37">
        <v>34405</v>
      </c>
      <c r="BI418" s="37">
        <v>21381</v>
      </c>
      <c r="BJ418" s="283">
        <v>184979</v>
      </c>
      <c r="BK418" s="161"/>
      <c r="BL418" s="294"/>
      <c r="BM418"/>
      <c r="BN418"/>
      <c r="BO418"/>
      <c r="BP418"/>
      <c r="BQ418"/>
      <c r="BR418"/>
      <c r="BS418"/>
      <c r="BT418"/>
      <c r="BU418"/>
      <c r="BV418"/>
      <c r="BW418"/>
      <c r="BX418"/>
      <c r="BY418"/>
      <c r="BZ418"/>
      <c r="CA418"/>
      <c r="CB418"/>
      <c r="CC418"/>
      <c r="CD418"/>
      <c r="CE418"/>
      <c r="CF418"/>
      <c r="CG418"/>
      <c r="CH418"/>
      <c r="CI418"/>
      <c r="CJ418"/>
    </row>
    <row r="419" spans="1:88" s="32" customFormat="1" ht="15" customHeight="1" x14ac:dyDescent="0.35">
      <c r="A419" s="473"/>
      <c r="B419" s="313">
        <v>5040</v>
      </c>
      <c r="C419" s="8" t="s">
        <v>1049</v>
      </c>
      <c r="D419" s="18">
        <v>11</v>
      </c>
      <c r="E419" s="251">
        <v>530</v>
      </c>
      <c r="F419" s="82">
        <v>2.16</v>
      </c>
      <c r="G419" s="79">
        <v>1144.8000000000002</v>
      </c>
      <c r="H419" s="90">
        <v>37.841000000000001</v>
      </c>
      <c r="I419" s="85">
        <v>28.731999999999999</v>
      </c>
      <c r="J419" s="85">
        <v>24.887</v>
      </c>
      <c r="K419" s="85">
        <v>24.422000000000001</v>
      </c>
      <c r="L419" s="85">
        <v>23.640999999999998</v>
      </c>
      <c r="M419" s="85">
        <v>23.54</v>
      </c>
      <c r="N419" s="85">
        <v>24.359000000000002</v>
      </c>
      <c r="O419" s="85">
        <v>25.111000000000001</v>
      </c>
      <c r="P419" s="85">
        <v>19.335999999999999</v>
      </c>
      <c r="Q419" s="85">
        <v>22.09</v>
      </c>
      <c r="R419" s="85">
        <v>18.707000000000001</v>
      </c>
      <c r="S419" s="89">
        <v>20.056999999999999</v>
      </c>
      <c r="T419" s="89">
        <v>292.72300000000001</v>
      </c>
      <c r="U419" s="85">
        <v>0</v>
      </c>
      <c r="V419" s="85">
        <v>292.72300000000001</v>
      </c>
      <c r="W419" s="85">
        <v>0</v>
      </c>
      <c r="X419" s="89">
        <v>292.72300000000001</v>
      </c>
      <c r="Y419" s="79">
        <v>0</v>
      </c>
      <c r="Z419" s="79">
        <v>1</v>
      </c>
      <c r="AA419" s="94">
        <v>0</v>
      </c>
      <c r="AB419" s="79">
        <v>1</v>
      </c>
      <c r="AC419" s="85">
        <v>132.34363636363636</v>
      </c>
      <c r="AD419" s="85">
        <v>44.618208636363647</v>
      </c>
      <c r="AE419" s="85">
        <v>115.761155</v>
      </c>
      <c r="AF419" s="85">
        <v>0</v>
      </c>
      <c r="AG419" s="85">
        <v>292.72300000000001</v>
      </c>
      <c r="AH419" s="85">
        <v>0</v>
      </c>
      <c r="AI419" s="85">
        <v>0</v>
      </c>
      <c r="AJ419" s="85">
        <v>0</v>
      </c>
      <c r="AK419" s="85">
        <v>0</v>
      </c>
      <c r="AL419" s="85">
        <v>0</v>
      </c>
      <c r="AM419" s="85">
        <v>0</v>
      </c>
      <c r="AN419" s="85">
        <v>0</v>
      </c>
      <c r="AO419" s="85">
        <v>0</v>
      </c>
      <c r="AP419" s="85">
        <v>0</v>
      </c>
      <c r="AQ419" s="85">
        <v>0</v>
      </c>
      <c r="AR419" s="85">
        <v>0</v>
      </c>
      <c r="AS419" s="85">
        <v>292.72300000000001</v>
      </c>
      <c r="AT419" s="85">
        <v>0</v>
      </c>
      <c r="AU419" s="85">
        <v>0</v>
      </c>
      <c r="AV419" s="85">
        <v>0</v>
      </c>
      <c r="AW419" s="85">
        <v>0</v>
      </c>
      <c r="AX419" s="85">
        <v>0</v>
      </c>
      <c r="AY419" s="85">
        <v>0</v>
      </c>
      <c r="AZ419" s="85">
        <v>0</v>
      </c>
      <c r="BA419" s="85">
        <v>0</v>
      </c>
      <c r="BB419" s="89">
        <v>0</v>
      </c>
      <c r="BC419" s="89">
        <v>292.72300000000001</v>
      </c>
      <c r="BD419" s="37">
        <v>0</v>
      </c>
      <c r="BE419" s="37">
        <v>0</v>
      </c>
      <c r="BF419" s="279">
        <v>52000</v>
      </c>
      <c r="BG419" s="37">
        <v>25100</v>
      </c>
      <c r="BH419" s="37">
        <v>23000</v>
      </c>
      <c r="BI419" s="37">
        <v>4731</v>
      </c>
      <c r="BJ419" s="283">
        <v>104831</v>
      </c>
      <c r="BK419" s="161"/>
      <c r="BL419" s="294"/>
      <c r="BM419"/>
      <c r="BN419"/>
      <c r="BO419"/>
      <c r="BP419"/>
      <c r="BQ419"/>
      <c r="BR419"/>
      <c r="BS419"/>
      <c r="BT419"/>
      <c r="BU419"/>
      <c r="BV419"/>
      <c r="BW419"/>
      <c r="BX419"/>
      <c r="BY419"/>
      <c r="BZ419"/>
      <c r="CA419"/>
      <c r="CB419"/>
      <c r="CC419"/>
      <c r="CD419"/>
      <c r="CE419"/>
      <c r="CF419"/>
      <c r="CG419"/>
      <c r="CH419"/>
      <c r="CI419"/>
      <c r="CJ419"/>
    </row>
    <row r="420" spans="1:88" s="32" customFormat="1" ht="15" customHeight="1" x14ac:dyDescent="0.35">
      <c r="A420" s="473"/>
      <c r="B420" s="313">
        <v>5070</v>
      </c>
      <c r="C420" s="8" t="s">
        <v>1055</v>
      </c>
      <c r="D420" s="18">
        <v>11</v>
      </c>
      <c r="E420" s="251">
        <v>1728</v>
      </c>
      <c r="F420" s="82">
        <v>2.2710733778047301</v>
      </c>
      <c r="G420" s="79">
        <v>3924.4147968465736</v>
      </c>
      <c r="H420" s="90">
        <v>52.491999999999997</v>
      </c>
      <c r="I420" s="85">
        <v>42.704000000000001</v>
      </c>
      <c r="J420" s="85">
        <v>47.747999999999998</v>
      </c>
      <c r="K420" s="85">
        <v>48.043999999999997</v>
      </c>
      <c r="L420" s="85">
        <v>53.348999999999997</v>
      </c>
      <c r="M420" s="85">
        <v>52.987000000000002</v>
      </c>
      <c r="N420" s="85">
        <v>56.598999999999997</v>
      </c>
      <c r="O420" s="85">
        <v>56.609000000000002</v>
      </c>
      <c r="P420" s="85">
        <v>49.162999999999997</v>
      </c>
      <c r="Q420" s="85">
        <v>51.308</v>
      </c>
      <c r="R420" s="85">
        <v>49.911000000000001</v>
      </c>
      <c r="S420" s="89">
        <v>53.670999999999999</v>
      </c>
      <c r="T420" s="89">
        <v>614.58500000000004</v>
      </c>
      <c r="U420" s="85">
        <v>0</v>
      </c>
      <c r="V420" s="85">
        <v>614.58500000000004</v>
      </c>
      <c r="W420" s="85">
        <v>0</v>
      </c>
      <c r="X420" s="89">
        <v>614.58500000000004</v>
      </c>
      <c r="Y420" s="79">
        <v>0</v>
      </c>
      <c r="Z420" s="79">
        <v>1</v>
      </c>
      <c r="AA420" s="94">
        <v>0</v>
      </c>
      <c r="AB420" s="79">
        <v>1</v>
      </c>
      <c r="AC420" s="85">
        <v>449.29073847747281</v>
      </c>
      <c r="AD420" s="85">
        <v>62.000036522527211</v>
      </c>
      <c r="AE420" s="85">
        <v>103.29422500000001</v>
      </c>
      <c r="AF420" s="85">
        <v>0</v>
      </c>
      <c r="AG420" s="85">
        <v>614.58500000000004</v>
      </c>
      <c r="AH420" s="85">
        <v>0</v>
      </c>
      <c r="AI420" s="85">
        <v>0</v>
      </c>
      <c r="AJ420" s="85">
        <v>0</v>
      </c>
      <c r="AK420" s="85">
        <v>0</v>
      </c>
      <c r="AL420" s="85">
        <v>0</v>
      </c>
      <c r="AM420" s="85">
        <v>0</v>
      </c>
      <c r="AN420" s="85">
        <v>0</v>
      </c>
      <c r="AO420" s="85">
        <v>0</v>
      </c>
      <c r="AP420" s="85">
        <v>0</v>
      </c>
      <c r="AQ420" s="85">
        <v>0</v>
      </c>
      <c r="AR420" s="85">
        <v>0</v>
      </c>
      <c r="AS420" s="85">
        <v>0</v>
      </c>
      <c r="AT420" s="85">
        <v>0</v>
      </c>
      <c r="AU420" s="85">
        <v>0</v>
      </c>
      <c r="AV420" s="85">
        <v>0</v>
      </c>
      <c r="AW420" s="85">
        <v>0</v>
      </c>
      <c r="AX420" s="85">
        <v>0</v>
      </c>
      <c r="AY420" s="85">
        <v>614.58500000000004</v>
      </c>
      <c r="AZ420" s="85">
        <v>0</v>
      </c>
      <c r="BA420" s="85">
        <v>0</v>
      </c>
      <c r="BB420" s="89">
        <v>0</v>
      </c>
      <c r="BC420" s="89">
        <v>614.58500000000004</v>
      </c>
      <c r="BD420" s="37">
        <v>0</v>
      </c>
      <c r="BE420" s="37">
        <v>0</v>
      </c>
      <c r="BF420" s="279">
        <v>88210</v>
      </c>
      <c r="BG420" s="37">
        <v>122839</v>
      </c>
      <c r="BH420" s="37">
        <v>92500</v>
      </c>
      <c r="BI420" s="37">
        <v>0</v>
      </c>
      <c r="BJ420" s="283">
        <v>303549</v>
      </c>
      <c r="BK420" s="161"/>
      <c r="BL420" s="294"/>
      <c r="BM420"/>
      <c r="BN420"/>
      <c r="BO420"/>
      <c r="BP420"/>
      <c r="BQ420"/>
      <c r="BR420"/>
      <c r="BS420"/>
      <c r="BT420"/>
      <c r="BU420"/>
      <c r="BV420"/>
      <c r="BW420"/>
      <c r="BX420"/>
      <c r="BY420"/>
      <c r="BZ420"/>
      <c r="CA420"/>
      <c r="CB420"/>
      <c r="CC420"/>
      <c r="CD420"/>
      <c r="CE420"/>
      <c r="CF420"/>
      <c r="CG420"/>
      <c r="CH420"/>
      <c r="CI420"/>
      <c r="CJ420"/>
    </row>
    <row r="421" spans="1:88" s="32" customFormat="1" ht="15" customHeight="1" x14ac:dyDescent="0.35">
      <c r="A421" s="473"/>
      <c r="B421" s="313">
        <v>41037</v>
      </c>
      <c r="C421" s="8" t="s">
        <v>368</v>
      </c>
      <c r="D421" s="18">
        <v>5</v>
      </c>
      <c r="E421" s="251"/>
      <c r="F421" s="82"/>
      <c r="G421" s="79"/>
      <c r="H421" s="90"/>
      <c r="I421" s="85"/>
      <c r="J421" s="85"/>
      <c r="K421" s="85"/>
      <c r="L421" s="85"/>
      <c r="M421" s="85"/>
      <c r="N421" s="85"/>
      <c r="O421" s="85"/>
      <c r="P421" s="85"/>
      <c r="Q421" s="85"/>
      <c r="R421" s="85"/>
      <c r="S421" s="89"/>
      <c r="T421" s="89" t="s">
        <v>1124</v>
      </c>
      <c r="U421" s="85"/>
      <c r="V421" s="85"/>
      <c r="W421" s="85"/>
      <c r="X421" s="89" t="s">
        <v>1124</v>
      </c>
      <c r="Y421" s="79"/>
      <c r="Z421" s="79"/>
      <c r="AA421" s="94"/>
      <c r="AB421" s="79" t="s">
        <v>1124</v>
      </c>
      <c r="AC421" s="85"/>
      <c r="AD421" s="85"/>
      <c r="AE421" s="85"/>
      <c r="AF421" s="85"/>
      <c r="AG421" s="85" t="s">
        <v>1124</v>
      </c>
      <c r="AH421" s="85"/>
      <c r="AI421" s="85"/>
      <c r="AJ421" s="85"/>
      <c r="AK421" s="85"/>
      <c r="AL421" s="85"/>
      <c r="AM421" s="85"/>
      <c r="AN421" s="85"/>
      <c r="AO421" s="85"/>
      <c r="AP421" s="85"/>
      <c r="AQ421" s="85"/>
      <c r="AR421" s="85" t="s">
        <v>1124</v>
      </c>
      <c r="AS421" s="85"/>
      <c r="AT421" s="85"/>
      <c r="AU421" s="85"/>
      <c r="AV421" s="85"/>
      <c r="AW421" s="85"/>
      <c r="AX421" s="85"/>
      <c r="AY421" s="85"/>
      <c r="AZ421" s="85"/>
      <c r="BA421" s="85"/>
      <c r="BB421" s="89"/>
      <c r="BC421" s="89" t="s">
        <v>1124</v>
      </c>
      <c r="BD421" s="37"/>
      <c r="BE421" s="37"/>
      <c r="BF421" s="279"/>
      <c r="BG421" s="37"/>
      <c r="BH421" s="37"/>
      <c r="BI421" s="37"/>
      <c r="BJ421" s="283"/>
      <c r="BK421" s="161"/>
      <c r="BL421" s="294"/>
      <c r="BM421"/>
      <c r="BN421"/>
      <c r="BO421"/>
      <c r="BP421"/>
      <c r="BQ421"/>
      <c r="BR421"/>
      <c r="BS421"/>
      <c r="BT421"/>
      <c r="BU421"/>
      <c r="BV421"/>
      <c r="BW421"/>
      <c r="BX421"/>
      <c r="BY421"/>
      <c r="BZ421"/>
      <c r="CA421"/>
      <c r="CB421"/>
      <c r="CC421"/>
      <c r="CD421"/>
      <c r="CE421"/>
      <c r="CF421"/>
      <c r="CG421"/>
      <c r="CH421"/>
      <c r="CI421"/>
      <c r="CJ421"/>
    </row>
    <row r="422" spans="1:88" s="32" customFormat="1" ht="15" customHeight="1" x14ac:dyDescent="0.35">
      <c r="A422" s="473"/>
      <c r="B422" s="313">
        <v>50072</v>
      </c>
      <c r="C422" s="8" t="s">
        <v>491</v>
      </c>
      <c r="D422" s="18">
        <v>17</v>
      </c>
      <c r="E422" s="251">
        <v>4180</v>
      </c>
      <c r="F422" s="82">
        <v>2.1885182311869666</v>
      </c>
      <c r="G422" s="79">
        <v>9148.0062063615205</v>
      </c>
      <c r="H422" s="90">
        <v>149.274</v>
      </c>
      <c r="I422" s="85">
        <v>145.37299999999999</v>
      </c>
      <c r="J422" s="85">
        <v>164.39599999999999</v>
      </c>
      <c r="K422" s="85">
        <v>151.584</v>
      </c>
      <c r="L422" s="85">
        <v>173.98500000000001</v>
      </c>
      <c r="M422" s="85">
        <v>177.13300000000001</v>
      </c>
      <c r="N422" s="85">
        <v>180.37899999999999</v>
      </c>
      <c r="O422" s="85">
        <v>173.84899999999999</v>
      </c>
      <c r="P422" s="85">
        <v>151.82599999999999</v>
      </c>
      <c r="Q422" s="85">
        <v>150.65700000000001</v>
      </c>
      <c r="R422" s="85">
        <v>137.87299999999999</v>
      </c>
      <c r="S422" s="89">
        <v>139.68199999999999</v>
      </c>
      <c r="T422" s="89">
        <v>1896.011</v>
      </c>
      <c r="U422" s="85">
        <v>1896.011</v>
      </c>
      <c r="V422" s="85">
        <v>0</v>
      </c>
      <c r="W422" s="85">
        <v>0</v>
      </c>
      <c r="X422" s="89">
        <v>1896.011</v>
      </c>
      <c r="Y422" s="79">
        <v>1</v>
      </c>
      <c r="Z422" s="79">
        <v>0</v>
      </c>
      <c r="AA422" s="94">
        <v>0</v>
      </c>
      <c r="AB422" s="79">
        <v>1</v>
      </c>
      <c r="AC422" s="85">
        <v>689.77599999999995</v>
      </c>
      <c r="AD422" s="85">
        <v>135.48200000000008</v>
      </c>
      <c r="AE422" s="85">
        <v>542.94100000000003</v>
      </c>
      <c r="AF422" s="85">
        <v>527.81200000000001</v>
      </c>
      <c r="AG422" s="85">
        <v>1896.011</v>
      </c>
      <c r="AH422" s="85">
        <v>1896.011</v>
      </c>
      <c r="AI422" s="85">
        <v>0</v>
      </c>
      <c r="AJ422" s="85">
        <v>0</v>
      </c>
      <c r="AK422" s="85">
        <v>0</v>
      </c>
      <c r="AL422" s="85">
        <v>0</v>
      </c>
      <c r="AM422" s="85">
        <v>0</v>
      </c>
      <c r="AN422" s="85">
        <v>0</v>
      </c>
      <c r="AO422" s="85">
        <v>0</v>
      </c>
      <c r="AP422" s="85">
        <v>0</v>
      </c>
      <c r="AQ422" s="85">
        <v>0</v>
      </c>
      <c r="AR422" s="85">
        <v>1896.011</v>
      </c>
      <c r="AS422" s="85">
        <v>0</v>
      </c>
      <c r="AT422" s="85">
        <v>0</v>
      </c>
      <c r="AU422" s="85">
        <v>0</v>
      </c>
      <c r="AV422" s="85">
        <v>0</v>
      </c>
      <c r="AW422" s="85">
        <v>0</v>
      </c>
      <c r="AX422" s="85">
        <v>0</v>
      </c>
      <c r="AY422" s="85">
        <v>0</v>
      </c>
      <c r="AZ422" s="85">
        <v>0</v>
      </c>
      <c r="BA422" s="85">
        <v>0</v>
      </c>
      <c r="BB422" s="89">
        <v>0</v>
      </c>
      <c r="BC422" s="89">
        <v>0</v>
      </c>
      <c r="BD422" s="37">
        <v>332689</v>
      </c>
      <c r="BE422" s="37">
        <v>1938161</v>
      </c>
      <c r="BF422" s="279">
        <v>119624</v>
      </c>
      <c r="BG422" s="37">
        <v>589608</v>
      </c>
      <c r="BH422" s="37">
        <v>102942</v>
      </c>
      <c r="BI422" s="37">
        <v>0</v>
      </c>
      <c r="BJ422" s="283">
        <v>812174</v>
      </c>
      <c r="BK422" s="161"/>
      <c r="BL422" s="294"/>
      <c r="BM422"/>
      <c r="BN422"/>
      <c r="BO422"/>
      <c r="BP422"/>
      <c r="BQ422"/>
      <c r="BR422"/>
      <c r="BS422"/>
      <c r="BT422"/>
      <c r="BU422"/>
      <c r="BV422"/>
      <c r="BW422"/>
      <c r="BX422"/>
      <c r="BY422"/>
      <c r="BZ422"/>
      <c r="CA422"/>
      <c r="CB422"/>
      <c r="CC422"/>
      <c r="CD422"/>
      <c r="CE422"/>
      <c r="CF422"/>
      <c r="CG422"/>
      <c r="CH422"/>
      <c r="CI422"/>
      <c r="CJ422"/>
    </row>
    <row r="423" spans="1:88" s="32" customFormat="1" ht="15" customHeight="1" x14ac:dyDescent="0.35">
      <c r="A423" s="473"/>
      <c r="B423" s="313">
        <v>79030</v>
      </c>
      <c r="C423" s="8" t="s">
        <v>791</v>
      </c>
      <c r="D423" s="18">
        <v>15</v>
      </c>
      <c r="E423" s="251">
        <v>355</v>
      </c>
      <c r="F423" s="82">
        <v>1.7963917525773196</v>
      </c>
      <c r="G423" s="79">
        <v>637.71907216494844</v>
      </c>
      <c r="H423" s="90">
        <v>23.033000000000001</v>
      </c>
      <c r="I423" s="85">
        <v>23.954000000000001</v>
      </c>
      <c r="J423" s="85">
        <v>23.707000000000001</v>
      </c>
      <c r="K423" s="85">
        <v>24.914999999999999</v>
      </c>
      <c r="L423" s="85">
        <v>29.605</v>
      </c>
      <c r="M423" s="85">
        <v>25.53</v>
      </c>
      <c r="N423" s="85">
        <v>25.808</v>
      </c>
      <c r="O423" s="85">
        <v>23.327999999999999</v>
      </c>
      <c r="P423" s="85">
        <v>16.559999999999999</v>
      </c>
      <c r="Q423" s="85">
        <v>16.86</v>
      </c>
      <c r="R423" s="85">
        <v>14.55</v>
      </c>
      <c r="S423" s="89">
        <v>16.988</v>
      </c>
      <c r="T423" s="89">
        <v>264.83800000000002</v>
      </c>
      <c r="U423" s="85">
        <v>0</v>
      </c>
      <c r="V423" s="85">
        <v>264.83800000000002</v>
      </c>
      <c r="W423" s="85">
        <v>0</v>
      </c>
      <c r="X423" s="89">
        <v>264.83800000000002</v>
      </c>
      <c r="Y423" s="79">
        <v>0</v>
      </c>
      <c r="Z423" s="79">
        <v>1</v>
      </c>
      <c r="AA423" s="94">
        <v>0</v>
      </c>
      <c r="AB423" s="79">
        <v>1</v>
      </c>
      <c r="AC423" s="85">
        <v>112.59092465753425</v>
      </c>
      <c r="AD423" s="85">
        <v>30.300585342465794</v>
      </c>
      <c r="AE423" s="85">
        <v>121.94649</v>
      </c>
      <c r="AF423" s="85">
        <v>0</v>
      </c>
      <c r="AG423" s="85">
        <v>264.83800000000002</v>
      </c>
      <c r="AH423" s="85">
        <v>0</v>
      </c>
      <c r="AI423" s="85">
        <v>0</v>
      </c>
      <c r="AJ423" s="85">
        <v>0</v>
      </c>
      <c r="AK423" s="85">
        <v>0</v>
      </c>
      <c r="AL423" s="85">
        <v>0</v>
      </c>
      <c r="AM423" s="85">
        <v>0</v>
      </c>
      <c r="AN423" s="85">
        <v>0</v>
      </c>
      <c r="AO423" s="85">
        <v>0</v>
      </c>
      <c r="AP423" s="85">
        <v>0</v>
      </c>
      <c r="AQ423" s="85">
        <v>0</v>
      </c>
      <c r="AR423" s="85">
        <v>0</v>
      </c>
      <c r="AS423" s="85">
        <v>0</v>
      </c>
      <c r="AT423" s="85">
        <v>0</v>
      </c>
      <c r="AU423" s="85">
        <v>264.83800000000002</v>
      </c>
      <c r="AV423" s="85">
        <v>0</v>
      </c>
      <c r="AW423" s="85">
        <v>0</v>
      </c>
      <c r="AX423" s="85">
        <v>0</v>
      </c>
      <c r="AY423" s="85">
        <v>0</v>
      </c>
      <c r="AZ423" s="85">
        <v>0</v>
      </c>
      <c r="BA423" s="85">
        <v>0</v>
      </c>
      <c r="BB423" s="89">
        <v>0</v>
      </c>
      <c r="BC423" s="89">
        <v>264.83800000000002</v>
      </c>
      <c r="BD423" s="37">
        <v>0</v>
      </c>
      <c r="BE423" s="37">
        <v>0</v>
      </c>
      <c r="BF423" s="279">
        <v>24421</v>
      </c>
      <c r="BG423" s="37">
        <v>68543</v>
      </c>
      <c r="BH423" s="37">
        <v>33928</v>
      </c>
      <c r="BI423" s="37">
        <v>6458</v>
      </c>
      <c r="BJ423" s="283">
        <v>133350</v>
      </c>
      <c r="BK423" s="161"/>
      <c r="BL423" s="294"/>
      <c r="BM423"/>
      <c r="BN423"/>
      <c r="BO423"/>
      <c r="BP423"/>
      <c r="BQ423"/>
      <c r="BR423"/>
      <c r="BS423"/>
      <c r="BT423"/>
      <c r="BU423"/>
      <c r="BV423"/>
      <c r="BW423"/>
      <c r="BX423"/>
      <c r="BY423"/>
      <c r="BZ423"/>
      <c r="CA423"/>
      <c r="CB423"/>
      <c r="CC423"/>
      <c r="CD423"/>
      <c r="CE423"/>
      <c r="CF423"/>
      <c r="CG423"/>
      <c r="CH423"/>
      <c r="CI423"/>
      <c r="CJ423"/>
    </row>
    <row r="424" spans="1:88" s="32" customFormat="1" ht="15" customHeight="1" x14ac:dyDescent="0.35">
      <c r="A424" s="473"/>
      <c r="B424" s="313">
        <v>92040</v>
      </c>
      <c r="C424" s="8" t="s">
        <v>951</v>
      </c>
      <c r="D424" s="18">
        <v>2</v>
      </c>
      <c r="E424" s="251"/>
      <c r="F424" s="82"/>
      <c r="G424" s="79"/>
      <c r="H424" s="90"/>
      <c r="I424" s="85"/>
      <c r="J424" s="85"/>
      <c r="K424" s="85"/>
      <c r="L424" s="85"/>
      <c r="M424" s="85"/>
      <c r="N424" s="85"/>
      <c r="O424" s="85"/>
      <c r="P424" s="85"/>
      <c r="Q424" s="85"/>
      <c r="R424" s="85"/>
      <c r="S424" s="89"/>
      <c r="T424" s="89" t="s">
        <v>1124</v>
      </c>
      <c r="U424" s="85"/>
      <c r="V424" s="85"/>
      <c r="W424" s="85"/>
      <c r="X424" s="89" t="s">
        <v>1124</v>
      </c>
      <c r="Y424" s="79"/>
      <c r="Z424" s="79"/>
      <c r="AA424" s="94"/>
      <c r="AB424" s="79" t="s">
        <v>1124</v>
      </c>
      <c r="AC424" s="85"/>
      <c r="AD424" s="85"/>
      <c r="AE424" s="85"/>
      <c r="AF424" s="85"/>
      <c r="AG424" s="85" t="s">
        <v>1124</v>
      </c>
      <c r="AH424" s="85"/>
      <c r="AI424" s="85"/>
      <c r="AJ424" s="85"/>
      <c r="AK424" s="85"/>
      <c r="AL424" s="85"/>
      <c r="AM424" s="85"/>
      <c r="AN424" s="85"/>
      <c r="AO424" s="85"/>
      <c r="AP424" s="85"/>
      <c r="AQ424" s="85"/>
      <c r="AR424" s="85" t="s">
        <v>1124</v>
      </c>
      <c r="AS424" s="85"/>
      <c r="AT424" s="85"/>
      <c r="AU424" s="85"/>
      <c r="AV424" s="85"/>
      <c r="AW424" s="85"/>
      <c r="AX424" s="85"/>
      <c r="AY424" s="85"/>
      <c r="AZ424" s="85"/>
      <c r="BA424" s="85"/>
      <c r="BB424" s="89"/>
      <c r="BC424" s="89" t="s">
        <v>1124</v>
      </c>
      <c r="BD424" s="37"/>
      <c r="BE424" s="37"/>
      <c r="BF424" s="279"/>
      <c r="BG424" s="37"/>
      <c r="BH424" s="37"/>
      <c r="BI424" s="37"/>
      <c r="BJ424" s="283"/>
      <c r="BK424" s="161"/>
      <c r="BL424" s="294"/>
      <c r="BM424"/>
      <c r="BN424"/>
      <c r="BO424"/>
      <c r="BP424"/>
      <c r="BQ424"/>
      <c r="BR424"/>
      <c r="BS424"/>
      <c r="BT424"/>
      <c r="BU424"/>
      <c r="BV424"/>
      <c r="BW424"/>
      <c r="BX424"/>
      <c r="BY424"/>
      <c r="BZ424"/>
      <c r="CA424"/>
      <c r="CB424"/>
      <c r="CC424"/>
      <c r="CD424"/>
      <c r="CE424"/>
      <c r="CF424"/>
      <c r="CG424"/>
      <c r="CH424"/>
      <c r="CI424"/>
      <c r="CJ424"/>
    </row>
    <row r="425" spans="1:88" s="32" customFormat="1" ht="15" customHeight="1" x14ac:dyDescent="0.35">
      <c r="A425" s="473"/>
      <c r="B425" s="313">
        <v>87115</v>
      </c>
      <c r="C425" s="8" t="s">
        <v>909</v>
      </c>
      <c r="D425" s="18">
        <v>8</v>
      </c>
      <c r="E425" s="251"/>
      <c r="F425" s="82"/>
      <c r="G425" s="79"/>
      <c r="H425" s="90"/>
      <c r="I425" s="85"/>
      <c r="J425" s="85"/>
      <c r="K425" s="85"/>
      <c r="L425" s="85"/>
      <c r="M425" s="85"/>
      <c r="N425" s="85"/>
      <c r="O425" s="85"/>
      <c r="P425" s="85"/>
      <c r="Q425" s="85"/>
      <c r="R425" s="85"/>
      <c r="S425" s="89"/>
      <c r="T425" s="89" t="s">
        <v>1124</v>
      </c>
      <c r="U425" s="85"/>
      <c r="V425" s="85"/>
      <c r="W425" s="85"/>
      <c r="X425" s="89" t="s">
        <v>1124</v>
      </c>
      <c r="Y425" s="79"/>
      <c r="Z425" s="79"/>
      <c r="AA425" s="94"/>
      <c r="AB425" s="79" t="s">
        <v>1124</v>
      </c>
      <c r="AC425" s="85"/>
      <c r="AD425" s="85"/>
      <c r="AE425" s="85"/>
      <c r="AF425" s="85"/>
      <c r="AG425" s="85" t="s">
        <v>1124</v>
      </c>
      <c r="AH425" s="85"/>
      <c r="AI425" s="85"/>
      <c r="AJ425" s="85"/>
      <c r="AK425" s="85"/>
      <c r="AL425" s="85"/>
      <c r="AM425" s="85"/>
      <c r="AN425" s="85"/>
      <c r="AO425" s="85"/>
      <c r="AP425" s="85"/>
      <c r="AQ425" s="85"/>
      <c r="AR425" s="85" t="s">
        <v>1124</v>
      </c>
      <c r="AS425" s="85"/>
      <c r="AT425" s="85"/>
      <c r="AU425" s="85"/>
      <c r="AV425" s="85"/>
      <c r="AW425" s="85"/>
      <c r="AX425" s="85"/>
      <c r="AY425" s="85"/>
      <c r="AZ425" s="85"/>
      <c r="BA425" s="85"/>
      <c r="BB425" s="89"/>
      <c r="BC425" s="89" t="s">
        <v>1124</v>
      </c>
      <c r="BD425" s="37"/>
      <c r="BE425" s="37"/>
      <c r="BF425" s="279"/>
      <c r="BG425" s="37"/>
      <c r="BH425" s="37"/>
      <c r="BI425" s="37"/>
      <c r="BJ425" s="283"/>
      <c r="BK425" s="161"/>
      <c r="BL425" s="294"/>
      <c r="BM425"/>
      <c r="BN425"/>
      <c r="BO425"/>
      <c r="BP425"/>
      <c r="BQ425"/>
      <c r="BR425"/>
      <c r="BS425"/>
      <c r="BT425"/>
      <c r="BU425"/>
      <c r="BV425"/>
      <c r="BW425"/>
      <c r="BX425"/>
      <c r="BY425"/>
      <c r="BZ425"/>
      <c r="CA425"/>
      <c r="CB425"/>
      <c r="CC425"/>
      <c r="CD425"/>
      <c r="CE425"/>
      <c r="CF425"/>
      <c r="CG425"/>
      <c r="CH425"/>
      <c r="CI425"/>
      <c r="CJ425"/>
    </row>
    <row r="426" spans="1:88" s="32" customFormat="1" ht="15" customHeight="1" x14ac:dyDescent="0.35">
      <c r="A426" s="473"/>
      <c r="B426" s="313">
        <v>45050</v>
      </c>
      <c r="C426" s="8" t="s">
        <v>416</v>
      </c>
      <c r="D426" s="18">
        <v>5</v>
      </c>
      <c r="E426" s="251"/>
      <c r="F426" s="82"/>
      <c r="G426" s="79"/>
      <c r="H426" s="90"/>
      <c r="I426" s="85"/>
      <c r="J426" s="85"/>
      <c r="K426" s="85"/>
      <c r="L426" s="85"/>
      <c r="M426" s="85"/>
      <c r="N426" s="85"/>
      <c r="O426" s="85"/>
      <c r="P426" s="85"/>
      <c r="Q426" s="85"/>
      <c r="R426" s="85"/>
      <c r="S426" s="89"/>
      <c r="T426" s="89" t="s">
        <v>1124</v>
      </c>
      <c r="U426" s="85"/>
      <c r="V426" s="85"/>
      <c r="W426" s="85"/>
      <c r="X426" s="89" t="s">
        <v>1124</v>
      </c>
      <c r="Y426" s="79"/>
      <c r="Z426" s="79"/>
      <c r="AA426" s="94"/>
      <c r="AB426" s="79" t="s">
        <v>1124</v>
      </c>
      <c r="AC426" s="85"/>
      <c r="AD426" s="85"/>
      <c r="AE426" s="85"/>
      <c r="AF426" s="85"/>
      <c r="AG426" s="85" t="s">
        <v>1124</v>
      </c>
      <c r="AH426" s="85"/>
      <c r="AI426" s="85"/>
      <c r="AJ426" s="85"/>
      <c r="AK426" s="85"/>
      <c r="AL426" s="85"/>
      <c r="AM426" s="85"/>
      <c r="AN426" s="85"/>
      <c r="AO426" s="85"/>
      <c r="AP426" s="85"/>
      <c r="AQ426" s="85"/>
      <c r="AR426" s="85" t="s">
        <v>1124</v>
      </c>
      <c r="AS426" s="85"/>
      <c r="AT426" s="85"/>
      <c r="AU426" s="85"/>
      <c r="AV426" s="85"/>
      <c r="AW426" s="85"/>
      <c r="AX426" s="85"/>
      <c r="AY426" s="85"/>
      <c r="AZ426" s="85"/>
      <c r="BA426" s="85"/>
      <c r="BB426" s="89"/>
      <c r="BC426" s="89" t="s">
        <v>1124</v>
      </c>
      <c r="BD426" s="37"/>
      <c r="BE426" s="37"/>
      <c r="BF426" s="279"/>
      <c r="BG426" s="37"/>
      <c r="BH426" s="37"/>
      <c r="BI426" s="37"/>
      <c r="BJ426" s="283"/>
      <c r="BK426" s="161"/>
      <c r="BL426" s="294"/>
      <c r="BM426"/>
      <c r="BN426"/>
      <c r="BO426"/>
      <c r="BP426"/>
      <c r="BQ426"/>
      <c r="BR426"/>
      <c r="BS426"/>
      <c r="BT426"/>
      <c r="BU426"/>
      <c r="BV426"/>
      <c r="BW426"/>
      <c r="BX426"/>
      <c r="BY426"/>
      <c r="BZ426"/>
      <c r="CA426"/>
      <c r="CB426"/>
      <c r="CC426"/>
      <c r="CD426"/>
      <c r="CE426"/>
      <c r="CF426"/>
      <c r="CG426"/>
      <c r="CH426"/>
      <c r="CI426"/>
      <c r="CJ426"/>
    </row>
    <row r="427" spans="1:88" s="32" customFormat="1" ht="15" customHeight="1" x14ac:dyDescent="0.35">
      <c r="A427" s="473"/>
      <c r="B427" s="313">
        <v>19010</v>
      </c>
      <c r="C427" s="8" t="s">
        <v>119</v>
      </c>
      <c r="D427" s="18">
        <v>12</v>
      </c>
      <c r="E427" s="251">
        <v>268</v>
      </c>
      <c r="F427" s="82">
        <v>1.8987951807228916</v>
      </c>
      <c r="G427" s="79">
        <v>508.87710843373492</v>
      </c>
      <c r="H427" s="90">
        <v>6.0590000000000002</v>
      </c>
      <c r="I427" s="85">
        <v>5.609</v>
      </c>
      <c r="J427" s="85">
        <v>6.1550000000000002</v>
      </c>
      <c r="K427" s="85">
        <v>5.7789999999999999</v>
      </c>
      <c r="L427" s="85">
        <v>5.4660000000000002</v>
      </c>
      <c r="M427" s="85">
        <v>5.8109999999999999</v>
      </c>
      <c r="N427" s="85">
        <v>6.86</v>
      </c>
      <c r="O427" s="85">
        <v>6.8</v>
      </c>
      <c r="P427" s="85">
        <v>6.6470000000000002</v>
      </c>
      <c r="Q427" s="85">
        <v>5.6310000000000002</v>
      </c>
      <c r="R427" s="85">
        <v>5.3129999999999997</v>
      </c>
      <c r="S427" s="89">
        <v>5.9729999999999999</v>
      </c>
      <c r="T427" s="89">
        <v>72.102999999999994</v>
      </c>
      <c r="U427" s="85">
        <v>0</v>
      </c>
      <c r="V427" s="85">
        <v>72.102999999999994</v>
      </c>
      <c r="W427" s="85">
        <v>0</v>
      </c>
      <c r="X427" s="89">
        <v>72.102999999999994</v>
      </c>
      <c r="Y427" s="79">
        <v>0</v>
      </c>
      <c r="Z427" s="79">
        <v>1</v>
      </c>
      <c r="AA427" s="94">
        <v>0</v>
      </c>
      <c r="AB427" s="79">
        <v>1</v>
      </c>
      <c r="AC427" s="85">
        <v>56.591999999999999</v>
      </c>
      <c r="AD427" s="85">
        <v>6.7839999999999954</v>
      </c>
      <c r="AE427" s="85">
        <v>8.7270000000000003</v>
      </c>
      <c r="AF427" s="85">
        <v>0</v>
      </c>
      <c r="AG427" s="85">
        <v>72.102999999999994</v>
      </c>
      <c r="AH427" s="85">
        <v>0</v>
      </c>
      <c r="AI427" s="85">
        <v>0</v>
      </c>
      <c r="AJ427" s="85">
        <v>0</v>
      </c>
      <c r="AK427" s="85">
        <v>0</v>
      </c>
      <c r="AL427" s="85">
        <v>0</v>
      </c>
      <c r="AM427" s="85">
        <v>0</v>
      </c>
      <c r="AN427" s="85">
        <v>0</v>
      </c>
      <c r="AO427" s="85">
        <v>0</v>
      </c>
      <c r="AP427" s="85">
        <v>0</v>
      </c>
      <c r="AQ427" s="85">
        <v>0</v>
      </c>
      <c r="AR427" s="85">
        <v>0</v>
      </c>
      <c r="AS427" s="85">
        <v>0</v>
      </c>
      <c r="AT427" s="85">
        <v>0</v>
      </c>
      <c r="AU427" s="85">
        <v>0</v>
      </c>
      <c r="AV427" s="85">
        <v>0</v>
      </c>
      <c r="AW427" s="85">
        <v>0</v>
      </c>
      <c r="AX427" s="85">
        <v>0</v>
      </c>
      <c r="AY427" s="85">
        <v>72.102999999999994</v>
      </c>
      <c r="AZ427" s="85">
        <v>0</v>
      </c>
      <c r="BA427" s="85">
        <v>0</v>
      </c>
      <c r="BB427" s="89">
        <v>0</v>
      </c>
      <c r="BC427" s="89">
        <v>72.102999999999994</v>
      </c>
      <c r="BD427" s="37">
        <v>0</v>
      </c>
      <c r="BE427" s="37">
        <v>0</v>
      </c>
      <c r="BF427" s="279">
        <v>20028</v>
      </c>
      <c r="BG427" s="37">
        <v>31254</v>
      </c>
      <c r="BH427" s="37">
        <v>12988</v>
      </c>
      <c r="BI427" s="37">
        <v>0</v>
      </c>
      <c r="BJ427" s="283">
        <v>64270</v>
      </c>
      <c r="BK427" s="161"/>
      <c r="BL427" s="294"/>
      <c r="BM427"/>
      <c r="BN427"/>
      <c r="BO427"/>
      <c r="BP427"/>
      <c r="BQ427"/>
      <c r="BR427"/>
      <c r="BS427"/>
      <c r="BT427"/>
      <c r="BU427"/>
      <c r="BV427"/>
      <c r="BW427"/>
      <c r="BX427"/>
      <c r="BY427"/>
      <c r="BZ427"/>
      <c r="CA427"/>
      <c r="CB427"/>
      <c r="CC427"/>
      <c r="CD427"/>
      <c r="CE427"/>
      <c r="CF427"/>
      <c r="CG427"/>
      <c r="CH427"/>
      <c r="CI427"/>
      <c r="CJ427"/>
    </row>
    <row r="428" spans="1:88" s="32" customFormat="1" ht="15" customHeight="1" x14ac:dyDescent="0.35">
      <c r="A428" s="473"/>
      <c r="B428" s="313">
        <v>80015</v>
      </c>
      <c r="C428" s="8" t="s">
        <v>805</v>
      </c>
      <c r="D428" s="18">
        <v>7</v>
      </c>
      <c r="E428" s="251"/>
      <c r="F428" s="82"/>
      <c r="G428" s="79"/>
      <c r="H428" s="90"/>
      <c r="I428" s="85"/>
      <c r="J428" s="85"/>
      <c r="K428" s="85"/>
      <c r="L428" s="85"/>
      <c r="M428" s="85"/>
      <c r="N428" s="85"/>
      <c r="O428" s="85"/>
      <c r="P428" s="85"/>
      <c r="Q428" s="85"/>
      <c r="R428" s="85"/>
      <c r="S428" s="89"/>
      <c r="T428" s="89" t="s">
        <v>1124</v>
      </c>
      <c r="U428" s="85"/>
      <c r="V428" s="85"/>
      <c r="W428" s="85"/>
      <c r="X428" s="89" t="s">
        <v>1124</v>
      </c>
      <c r="Y428" s="79"/>
      <c r="Z428" s="79"/>
      <c r="AA428" s="94"/>
      <c r="AB428" s="79" t="s">
        <v>1124</v>
      </c>
      <c r="AC428" s="85"/>
      <c r="AD428" s="85"/>
      <c r="AE428" s="85"/>
      <c r="AF428" s="85"/>
      <c r="AG428" s="85" t="s">
        <v>1124</v>
      </c>
      <c r="AH428" s="85"/>
      <c r="AI428" s="85"/>
      <c r="AJ428" s="85"/>
      <c r="AK428" s="85"/>
      <c r="AL428" s="85"/>
      <c r="AM428" s="85"/>
      <c r="AN428" s="85"/>
      <c r="AO428" s="85"/>
      <c r="AP428" s="85"/>
      <c r="AQ428" s="85"/>
      <c r="AR428" s="85" t="s">
        <v>1124</v>
      </c>
      <c r="AS428" s="85"/>
      <c r="AT428" s="85"/>
      <c r="AU428" s="85"/>
      <c r="AV428" s="85"/>
      <c r="AW428" s="85"/>
      <c r="AX428" s="85"/>
      <c r="AY428" s="85"/>
      <c r="AZ428" s="85"/>
      <c r="BA428" s="85"/>
      <c r="BB428" s="89"/>
      <c r="BC428" s="89" t="s">
        <v>1124</v>
      </c>
      <c r="BD428" s="37"/>
      <c r="BE428" s="37"/>
      <c r="BF428" s="279"/>
      <c r="BG428" s="37"/>
      <c r="BH428" s="37"/>
      <c r="BI428" s="37"/>
      <c r="BJ428" s="283"/>
      <c r="BK428" s="161"/>
      <c r="BL428" s="294"/>
      <c r="BM428"/>
      <c r="BN428"/>
      <c r="BO428"/>
      <c r="BP428"/>
      <c r="BQ428"/>
      <c r="BR428"/>
      <c r="BS428"/>
      <c r="BT428"/>
      <c r="BU428"/>
      <c r="BV428"/>
      <c r="BW428"/>
      <c r="BX428"/>
      <c r="BY428"/>
      <c r="BZ428"/>
      <c r="CA428"/>
      <c r="CB428"/>
      <c r="CC428"/>
      <c r="CD428"/>
      <c r="CE428"/>
      <c r="CF428"/>
      <c r="CG428"/>
      <c r="CH428"/>
      <c r="CI428"/>
      <c r="CJ428"/>
    </row>
    <row r="429" spans="1:88" s="32" customFormat="1" ht="15" customHeight="1" x14ac:dyDescent="0.35">
      <c r="A429" s="473"/>
      <c r="B429" s="313">
        <v>39015</v>
      </c>
      <c r="C429" s="8" t="s">
        <v>339</v>
      </c>
      <c r="D429" s="18">
        <v>17</v>
      </c>
      <c r="E429" s="251"/>
      <c r="F429" s="82"/>
      <c r="G429" s="79"/>
      <c r="H429" s="90"/>
      <c r="I429" s="85"/>
      <c r="J429" s="85"/>
      <c r="K429" s="85"/>
      <c r="L429" s="85"/>
      <c r="M429" s="85"/>
      <c r="N429" s="85"/>
      <c r="O429" s="85"/>
      <c r="P429" s="85"/>
      <c r="Q429" s="85"/>
      <c r="R429" s="85"/>
      <c r="S429" s="89"/>
      <c r="T429" s="89" t="s">
        <v>1124</v>
      </c>
      <c r="U429" s="85"/>
      <c r="V429" s="85"/>
      <c r="W429" s="85"/>
      <c r="X429" s="89" t="s">
        <v>1124</v>
      </c>
      <c r="Y429" s="79"/>
      <c r="Z429" s="79"/>
      <c r="AA429" s="94"/>
      <c r="AB429" s="79" t="s">
        <v>1124</v>
      </c>
      <c r="AC429" s="85"/>
      <c r="AD429" s="85"/>
      <c r="AE429" s="85"/>
      <c r="AF429" s="85"/>
      <c r="AG429" s="85" t="s">
        <v>1124</v>
      </c>
      <c r="AH429" s="85"/>
      <c r="AI429" s="85"/>
      <c r="AJ429" s="85"/>
      <c r="AK429" s="85"/>
      <c r="AL429" s="85"/>
      <c r="AM429" s="85"/>
      <c r="AN429" s="85"/>
      <c r="AO429" s="85"/>
      <c r="AP429" s="85"/>
      <c r="AQ429" s="85"/>
      <c r="AR429" s="85" t="s">
        <v>1124</v>
      </c>
      <c r="AS429" s="85"/>
      <c r="AT429" s="85"/>
      <c r="AU429" s="85"/>
      <c r="AV429" s="85"/>
      <c r="AW429" s="85"/>
      <c r="AX429" s="85"/>
      <c r="AY429" s="85"/>
      <c r="AZ429" s="85"/>
      <c r="BA429" s="85"/>
      <c r="BB429" s="89"/>
      <c r="BC429" s="89" t="s">
        <v>1124</v>
      </c>
      <c r="BD429" s="37"/>
      <c r="BE429" s="37"/>
      <c r="BF429" s="279"/>
      <c r="BG429" s="37"/>
      <c r="BH429" s="37"/>
      <c r="BI429" s="37"/>
      <c r="BJ429" s="283"/>
      <c r="BK429" s="161"/>
      <c r="BL429" s="294"/>
      <c r="BM429"/>
      <c r="BN429"/>
      <c r="BO429"/>
      <c r="BP429"/>
      <c r="BQ429"/>
      <c r="BR429"/>
      <c r="BS429"/>
      <c r="BT429"/>
      <c r="BU429"/>
      <c r="BV429"/>
      <c r="BW429"/>
      <c r="BX429"/>
      <c r="BY429"/>
      <c r="BZ429"/>
      <c r="CA429"/>
      <c r="CB429"/>
      <c r="CC429"/>
      <c r="CD429"/>
      <c r="CE429"/>
      <c r="CF429"/>
      <c r="CG429"/>
      <c r="CH429"/>
      <c r="CI429"/>
      <c r="CJ429"/>
    </row>
    <row r="430" spans="1:88" s="32" customFormat="1" ht="15" customHeight="1" x14ac:dyDescent="0.35">
      <c r="A430" s="473"/>
      <c r="B430" s="313">
        <v>62055</v>
      </c>
      <c r="C430" s="8" t="s">
        <v>627</v>
      </c>
      <c r="D430" s="18">
        <v>14</v>
      </c>
      <c r="E430" s="251"/>
      <c r="F430" s="82"/>
      <c r="G430" s="79"/>
      <c r="H430" s="90"/>
      <c r="I430" s="85"/>
      <c r="J430" s="85"/>
      <c r="K430" s="85"/>
      <c r="L430" s="85"/>
      <c r="M430" s="85"/>
      <c r="N430" s="85"/>
      <c r="O430" s="85"/>
      <c r="P430" s="85"/>
      <c r="Q430" s="85"/>
      <c r="R430" s="85"/>
      <c r="S430" s="89"/>
      <c r="T430" s="89" t="s">
        <v>1124</v>
      </c>
      <c r="U430" s="85"/>
      <c r="V430" s="85"/>
      <c r="W430" s="85"/>
      <c r="X430" s="89" t="s">
        <v>1124</v>
      </c>
      <c r="Y430" s="79"/>
      <c r="Z430" s="79"/>
      <c r="AA430" s="94"/>
      <c r="AB430" s="79" t="s">
        <v>1124</v>
      </c>
      <c r="AC430" s="85"/>
      <c r="AD430" s="85"/>
      <c r="AE430" s="85"/>
      <c r="AF430" s="85"/>
      <c r="AG430" s="85" t="s">
        <v>1124</v>
      </c>
      <c r="AH430" s="85"/>
      <c r="AI430" s="85"/>
      <c r="AJ430" s="85"/>
      <c r="AK430" s="85"/>
      <c r="AL430" s="85"/>
      <c r="AM430" s="85"/>
      <c r="AN430" s="85"/>
      <c r="AO430" s="85"/>
      <c r="AP430" s="85"/>
      <c r="AQ430" s="85"/>
      <c r="AR430" s="85" t="s">
        <v>1124</v>
      </c>
      <c r="AS430" s="85"/>
      <c r="AT430" s="85"/>
      <c r="AU430" s="85"/>
      <c r="AV430" s="85"/>
      <c r="AW430" s="85"/>
      <c r="AX430" s="85"/>
      <c r="AY430" s="85"/>
      <c r="AZ430" s="85"/>
      <c r="BA430" s="85"/>
      <c r="BB430" s="89"/>
      <c r="BC430" s="89" t="s">
        <v>1124</v>
      </c>
      <c r="BD430" s="37"/>
      <c r="BE430" s="37"/>
      <c r="BF430" s="279"/>
      <c r="BG430" s="37"/>
      <c r="BH430" s="37"/>
      <c r="BI430" s="37"/>
      <c r="BJ430" s="283"/>
      <c r="BK430" s="161"/>
      <c r="BL430" s="294"/>
      <c r="BM430"/>
      <c r="BN430"/>
      <c r="BO430"/>
      <c r="BP430"/>
      <c r="BQ430"/>
      <c r="BR430"/>
      <c r="BS430"/>
      <c r="BT430"/>
      <c r="BU430"/>
      <c r="BV430"/>
      <c r="BW430"/>
      <c r="BX430"/>
      <c r="BY430"/>
      <c r="BZ430"/>
      <c r="CA430"/>
      <c r="CB430"/>
      <c r="CC430"/>
      <c r="CD430"/>
      <c r="CE430"/>
      <c r="CF430"/>
      <c r="CG430"/>
      <c r="CH430"/>
      <c r="CI430"/>
      <c r="CJ430"/>
    </row>
    <row r="431" spans="1:88" s="32" customFormat="1" ht="15" customHeight="1" x14ac:dyDescent="0.35">
      <c r="A431" s="473"/>
      <c r="B431" s="313">
        <v>80020</v>
      </c>
      <c r="C431" s="8" t="s">
        <v>806</v>
      </c>
      <c r="D431" s="18">
        <v>7</v>
      </c>
      <c r="E431" s="251"/>
      <c r="F431" s="82"/>
      <c r="G431" s="79"/>
      <c r="H431" s="90"/>
      <c r="I431" s="85"/>
      <c r="J431" s="85"/>
      <c r="K431" s="85"/>
      <c r="L431" s="85"/>
      <c r="M431" s="85"/>
      <c r="N431" s="85"/>
      <c r="O431" s="85"/>
      <c r="P431" s="85"/>
      <c r="Q431" s="85"/>
      <c r="R431" s="85"/>
      <c r="S431" s="89"/>
      <c r="T431" s="89" t="s">
        <v>1124</v>
      </c>
      <c r="U431" s="85"/>
      <c r="V431" s="85"/>
      <c r="W431" s="85"/>
      <c r="X431" s="89" t="s">
        <v>1124</v>
      </c>
      <c r="Y431" s="79"/>
      <c r="Z431" s="79"/>
      <c r="AA431" s="94"/>
      <c r="AB431" s="79" t="s">
        <v>1124</v>
      </c>
      <c r="AC431" s="85"/>
      <c r="AD431" s="85"/>
      <c r="AE431" s="85"/>
      <c r="AF431" s="85"/>
      <c r="AG431" s="85" t="s">
        <v>1124</v>
      </c>
      <c r="AH431" s="85"/>
      <c r="AI431" s="85"/>
      <c r="AJ431" s="85"/>
      <c r="AK431" s="85"/>
      <c r="AL431" s="85"/>
      <c r="AM431" s="85"/>
      <c r="AN431" s="85"/>
      <c r="AO431" s="85"/>
      <c r="AP431" s="85"/>
      <c r="AQ431" s="85"/>
      <c r="AR431" s="85" t="s">
        <v>1124</v>
      </c>
      <c r="AS431" s="85"/>
      <c r="AT431" s="85"/>
      <c r="AU431" s="85"/>
      <c r="AV431" s="85"/>
      <c r="AW431" s="85"/>
      <c r="AX431" s="85"/>
      <c r="AY431" s="85"/>
      <c r="AZ431" s="85"/>
      <c r="BA431" s="85"/>
      <c r="BB431" s="89"/>
      <c r="BC431" s="89" t="s">
        <v>1124</v>
      </c>
      <c r="BD431" s="37"/>
      <c r="BE431" s="37"/>
      <c r="BF431" s="279"/>
      <c r="BG431" s="37"/>
      <c r="BH431" s="37"/>
      <c r="BI431" s="37"/>
      <c r="BJ431" s="283"/>
      <c r="BK431" s="161"/>
      <c r="BL431" s="294"/>
      <c r="BM431"/>
      <c r="BN431"/>
      <c r="BO431"/>
      <c r="BP431"/>
      <c r="BQ431"/>
      <c r="BR431"/>
      <c r="BS431"/>
      <c r="BT431"/>
      <c r="BU431"/>
      <c r="BV431"/>
      <c r="BW431"/>
      <c r="BX431"/>
      <c r="BY431"/>
      <c r="BZ431"/>
      <c r="CA431"/>
      <c r="CB431"/>
      <c r="CC431"/>
      <c r="CD431"/>
      <c r="CE431"/>
      <c r="CF431"/>
      <c r="CG431"/>
      <c r="CH431"/>
      <c r="CI431"/>
      <c r="CJ431"/>
    </row>
    <row r="432" spans="1:88" s="32" customFormat="1" ht="15" customHeight="1" x14ac:dyDescent="0.35">
      <c r="A432" s="473"/>
      <c r="B432" s="313">
        <v>82010</v>
      </c>
      <c r="C432" s="8" t="s">
        <v>829</v>
      </c>
      <c r="D432" s="18">
        <v>7</v>
      </c>
      <c r="E432" s="251"/>
      <c r="F432" s="82"/>
      <c r="G432" s="79"/>
      <c r="H432" s="90"/>
      <c r="I432" s="85"/>
      <c r="J432" s="85"/>
      <c r="K432" s="85"/>
      <c r="L432" s="85"/>
      <c r="M432" s="85"/>
      <c r="N432" s="85"/>
      <c r="O432" s="85"/>
      <c r="P432" s="85"/>
      <c r="Q432" s="85"/>
      <c r="R432" s="85"/>
      <c r="S432" s="89"/>
      <c r="T432" s="89" t="s">
        <v>1124</v>
      </c>
      <c r="U432" s="85"/>
      <c r="V432" s="85"/>
      <c r="W432" s="85"/>
      <c r="X432" s="89" t="s">
        <v>1124</v>
      </c>
      <c r="Y432" s="79"/>
      <c r="Z432" s="79"/>
      <c r="AA432" s="94"/>
      <c r="AB432" s="79" t="s">
        <v>1124</v>
      </c>
      <c r="AC432" s="85"/>
      <c r="AD432" s="85"/>
      <c r="AE432" s="85"/>
      <c r="AF432" s="85"/>
      <c r="AG432" s="85" t="s">
        <v>1124</v>
      </c>
      <c r="AH432" s="85"/>
      <c r="AI432" s="85"/>
      <c r="AJ432" s="85"/>
      <c r="AK432" s="85"/>
      <c r="AL432" s="85"/>
      <c r="AM432" s="85"/>
      <c r="AN432" s="85"/>
      <c r="AO432" s="85"/>
      <c r="AP432" s="85"/>
      <c r="AQ432" s="85"/>
      <c r="AR432" s="85" t="s">
        <v>1124</v>
      </c>
      <c r="AS432" s="85"/>
      <c r="AT432" s="85"/>
      <c r="AU432" s="85"/>
      <c r="AV432" s="85"/>
      <c r="AW432" s="85"/>
      <c r="AX432" s="85"/>
      <c r="AY432" s="85"/>
      <c r="AZ432" s="85"/>
      <c r="BA432" s="85"/>
      <c r="BB432" s="89"/>
      <c r="BC432" s="89" t="s">
        <v>1124</v>
      </c>
      <c r="BD432" s="37"/>
      <c r="BE432" s="37"/>
      <c r="BF432" s="279"/>
      <c r="BG432" s="37"/>
      <c r="BH432" s="37"/>
      <c r="BI432" s="37"/>
      <c r="BJ432" s="283"/>
      <c r="BK432" s="161"/>
      <c r="BL432" s="294"/>
      <c r="BM432"/>
      <c r="BN432"/>
      <c r="BO432"/>
      <c r="BP432"/>
      <c r="BQ432"/>
      <c r="BR432"/>
      <c r="BS432"/>
      <c r="BT432"/>
      <c r="BU432"/>
      <c r="BV432"/>
      <c r="BW432"/>
      <c r="BX432"/>
      <c r="BY432"/>
      <c r="BZ432"/>
      <c r="CA432"/>
      <c r="CB432"/>
      <c r="CC432"/>
      <c r="CD432"/>
      <c r="CE432"/>
      <c r="CF432"/>
      <c r="CG432"/>
      <c r="CH432"/>
      <c r="CI432"/>
      <c r="CJ432"/>
    </row>
    <row r="433" spans="1:88" s="32" customFormat="1" ht="15" customHeight="1" x14ac:dyDescent="0.35">
      <c r="A433" s="473"/>
      <c r="B433" s="313">
        <v>71065</v>
      </c>
      <c r="C433" s="8" t="s">
        <v>714</v>
      </c>
      <c r="D433" s="18">
        <v>16</v>
      </c>
      <c r="E433" s="251"/>
      <c r="F433" s="82"/>
      <c r="G433" s="79"/>
      <c r="H433" s="90"/>
      <c r="I433" s="85"/>
      <c r="J433" s="85"/>
      <c r="K433" s="85"/>
      <c r="L433" s="85"/>
      <c r="M433" s="85"/>
      <c r="N433" s="85"/>
      <c r="O433" s="85"/>
      <c r="P433" s="85"/>
      <c r="Q433" s="85"/>
      <c r="R433" s="85"/>
      <c r="S433" s="89"/>
      <c r="T433" s="89" t="s">
        <v>1124</v>
      </c>
      <c r="U433" s="85"/>
      <c r="V433" s="85"/>
      <c r="W433" s="85"/>
      <c r="X433" s="89" t="s">
        <v>1124</v>
      </c>
      <c r="Y433" s="79"/>
      <c r="Z433" s="79"/>
      <c r="AA433" s="94"/>
      <c r="AB433" s="79" t="s">
        <v>1124</v>
      </c>
      <c r="AC433" s="85"/>
      <c r="AD433" s="85"/>
      <c r="AE433" s="85"/>
      <c r="AF433" s="85"/>
      <c r="AG433" s="85" t="s">
        <v>1124</v>
      </c>
      <c r="AH433" s="85"/>
      <c r="AI433" s="85"/>
      <c r="AJ433" s="85"/>
      <c r="AK433" s="85"/>
      <c r="AL433" s="85"/>
      <c r="AM433" s="85"/>
      <c r="AN433" s="85"/>
      <c r="AO433" s="85"/>
      <c r="AP433" s="85"/>
      <c r="AQ433" s="85"/>
      <c r="AR433" s="85" t="s">
        <v>1124</v>
      </c>
      <c r="AS433" s="85"/>
      <c r="AT433" s="85"/>
      <c r="AU433" s="85"/>
      <c r="AV433" s="85"/>
      <c r="AW433" s="85"/>
      <c r="AX433" s="85"/>
      <c r="AY433" s="85"/>
      <c r="AZ433" s="85"/>
      <c r="BA433" s="85"/>
      <c r="BB433" s="89"/>
      <c r="BC433" s="89" t="s">
        <v>1124</v>
      </c>
      <c r="BD433" s="37"/>
      <c r="BE433" s="37"/>
      <c r="BF433" s="279"/>
      <c r="BG433" s="37"/>
      <c r="BH433" s="37"/>
      <c r="BI433" s="37"/>
      <c r="BJ433" s="283"/>
      <c r="BK433" s="161"/>
      <c r="BL433" s="294"/>
      <c r="BM433"/>
      <c r="BN433"/>
      <c r="BO433"/>
      <c r="BP433"/>
      <c r="BQ433"/>
      <c r="BR433"/>
      <c r="BS433"/>
      <c r="BT433"/>
      <c r="BU433"/>
      <c r="BV433"/>
      <c r="BW433"/>
      <c r="BX433"/>
      <c r="BY433"/>
      <c r="BZ433"/>
      <c r="CA433"/>
      <c r="CB433"/>
      <c r="CC433"/>
      <c r="CD433"/>
      <c r="CE433"/>
      <c r="CF433"/>
      <c r="CG433"/>
      <c r="CH433"/>
      <c r="CI433"/>
      <c r="CJ433"/>
    </row>
    <row r="434" spans="1:88" s="32" customFormat="1" ht="15" customHeight="1" x14ac:dyDescent="0.35">
      <c r="A434" s="473"/>
      <c r="B434" s="313">
        <v>92060</v>
      </c>
      <c r="C434" s="8" t="s">
        <v>955</v>
      </c>
      <c r="D434" s="18">
        <v>2</v>
      </c>
      <c r="E434" s="251"/>
      <c r="F434" s="82"/>
      <c r="G434" s="79"/>
      <c r="H434" s="90"/>
      <c r="I434" s="85"/>
      <c r="J434" s="85"/>
      <c r="K434" s="85"/>
      <c r="L434" s="85"/>
      <c r="M434" s="85"/>
      <c r="N434" s="85"/>
      <c r="O434" s="85"/>
      <c r="P434" s="85"/>
      <c r="Q434" s="85"/>
      <c r="R434" s="85"/>
      <c r="S434" s="89"/>
      <c r="T434" s="89" t="s">
        <v>1124</v>
      </c>
      <c r="U434" s="85"/>
      <c r="V434" s="85"/>
      <c r="W434" s="85"/>
      <c r="X434" s="89" t="s">
        <v>1124</v>
      </c>
      <c r="Y434" s="79"/>
      <c r="Z434" s="79"/>
      <c r="AA434" s="94"/>
      <c r="AB434" s="79" t="s">
        <v>1124</v>
      </c>
      <c r="AC434" s="85"/>
      <c r="AD434" s="85"/>
      <c r="AE434" s="85"/>
      <c r="AF434" s="85"/>
      <c r="AG434" s="85" t="s">
        <v>1124</v>
      </c>
      <c r="AH434" s="85"/>
      <c r="AI434" s="85"/>
      <c r="AJ434" s="85"/>
      <c r="AK434" s="85"/>
      <c r="AL434" s="85"/>
      <c r="AM434" s="85"/>
      <c r="AN434" s="85"/>
      <c r="AO434" s="85"/>
      <c r="AP434" s="85"/>
      <c r="AQ434" s="85"/>
      <c r="AR434" s="85" t="s">
        <v>1124</v>
      </c>
      <c r="AS434" s="85"/>
      <c r="AT434" s="85"/>
      <c r="AU434" s="85"/>
      <c r="AV434" s="85"/>
      <c r="AW434" s="85"/>
      <c r="AX434" s="85"/>
      <c r="AY434" s="85"/>
      <c r="AZ434" s="85"/>
      <c r="BA434" s="85"/>
      <c r="BB434" s="89"/>
      <c r="BC434" s="89" t="s">
        <v>1124</v>
      </c>
      <c r="BD434" s="37"/>
      <c r="BE434" s="37"/>
      <c r="BF434" s="279"/>
      <c r="BG434" s="37"/>
      <c r="BH434" s="37"/>
      <c r="BI434" s="37"/>
      <c r="BJ434" s="283"/>
      <c r="BK434" s="161"/>
      <c r="BL434" s="294"/>
      <c r="BM434"/>
      <c r="BN434"/>
      <c r="BO434"/>
      <c r="BP434"/>
      <c r="BQ434"/>
      <c r="BR434"/>
      <c r="BS434"/>
      <c r="BT434"/>
      <c r="BU434"/>
      <c r="BV434"/>
      <c r="BW434"/>
      <c r="BX434"/>
      <c r="BY434"/>
      <c r="BZ434"/>
      <c r="CA434"/>
      <c r="CB434"/>
      <c r="CC434"/>
      <c r="CD434"/>
      <c r="CE434"/>
      <c r="CF434"/>
      <c r="CG434"/>
      <c r="CH434"/>
      <c r="CI434"/>
      <c r="CJ434"/>
    </row>
    <row r="435" spans="1:88" s="32" customFormat="1" ht="15" customHeight="1" x14ac:dyDescent="0.35">
      <c r="A435" s="473"/>
      <c r="B435" s="313">
        <v>61045</v>
      </c>
      <c r="C435" s="8" t="s">
        <v>617</v>
      </c>
      <c r="D435" s="18">
        <v>14</v>
      </c>
      <c r="E435" s="251">
        <v>402</v>
      </c>
      <c r="F435" s="82">
        <v>2.4704370179948585</v>
      </c>
      <c r="G435" s="79">
        <v>993.11568123393306</v>
      </c>
      <c r="H435" s="90">
        <v>6.867</v>
      </c>
      <c r="I435" s="85">
        <v>5.66</v>
      </c>
      <c r="J435" s="85">
        <v>6.7320000000000002</v>
      </c>
      <c r="K435" s="85">
        <v>8.234</v>
      </c>
      <c r="L435" s="85">
        <v>8.0280000000000005</v>
      </c>
      <c r="M435" s="85">
        <v>8.0250000000000004</v>
      </c>
      <c r="N435" s="85">
        <v>8.6940000000000008</v>
      </c>
      <c r="O435" s="85">
        <v>9.1240000000000006</v>
      </c>
      <c r="P435" s="85">
        <v>8.3819999999999997</v>
      </c>
      <c r="Q435" s="85">
        <v>8.3249999999999993</v>
      </c>
      <c r="R435" s="85">
        <v>8.2260000000000009</v>
      </c>
      <c r="S435" s="89">
        <v>7.4859999999999998</v>
      </c>
      <c r="T435" s="89">
        <v>93.783000000000015</v>
      </c>
      <c r="U435" s="85">
        <v>0</v>
      </c>
      <c r="V435" s="85">
        <v>93.783000000000001</v>
      </c>
      <c r="W435" s="85">
        <v>0</v>
      </c>
      <c r="X435" s="89">
        <v>93.783000000000001</v>
      </c>
      <c r="Y435" s="79">
        <v>0</v>
      </c>
      <c r="Z435" s="79">
        <v>1</v>
      </c>
      <c r="AA435" s="94">
        <v>0</v>
      </c>
      <c r="AB435" s="79">
        <v>1</v>
      </c>
      <c r="AC435" s="85">
        <v>63.784999999999997</v>
      </c>
      <c r="AD435" s="85">
        <v>10.292</v>
      </c>
      <c r="AE435" s="85">
        <v>19.706</v>
      </c>
      <c r="AF435" s="85">
        <v>0</v>
      </c>
      <c r="AG435" s="85">
        <v>93.783000000000001</v>
      </c>
      <c r="AH435" s="85">
        <v>0</v>
      </c>
      <c r="AI435" s="85">
        <v>0</v>
      </c>
      <c r="AJ435" s="85">
        <v>0</v>
      </c>
      <c r="AK435" s="85">
        <v>0</v>
      </c>
      <c r="AL435" s="85">
        <v>0</v>
      </c>
      <c r="AM435" s="85">
        <v>0</v>
      </c>
      <c r="AN435" s="85">
        <v>0</v>
      </c>
      <c r="AO435" s="85">
        <v>0</v>
      </c>
      <c r="AP435" s="85">
        <v>0</v>
      </c>
      <c r="AQ435" s="85">
        <v>0</v>
      </c>
      <c r="AR435" s="85">
        <v>0</v>
      </c>
      <c r="AS435" s="85">
        <v>0</v>
      </c>
      <c r="AT435" s="85">
        <v>0</v>
      </c>
      <c r="AU435" s="85">
        <v>0</v>
      </c>
      <c r="AV435" s="85">
        <v>0</v>
      </c>
      <c r="AW435" s="85">
        <v>0</v>
      </c>
      <c r="AX435" s="85">
        <v>0</v>
      </c>
      <c r="AY435" s="85">
        <v>93.783000000000001</v>
      </c>
      <c r="AZ435" s="85">
        <v>0</v>
      </c>
      <c r="BA435" s="85">
        <v>0</v>
      </c>
      <c r="BB435" s="89">
        <v>0</v>
      </c>
      <c r="BC435" s="89">
        <v>93.783000000000001</v>
      </c>
      <c r="BD435" s="37">
        <v>0</v>
      </c>
      <c r="BE435" s="37">
        <v>0</v>
      </c>
      <c r="BF435" s="279">
        <v>7628</v>
      </c>
      <c r="BG435" s="37">
        <v>18523</v>
      </c>
      <c r="BH435" s="37">
        <v>6042</v>
      </c>
      <c r="BI435" s="37">
        <v>7562</v>
      </c>
      <c r="BJ435" s="283">
        <v>39755</v>
      </c>
      <c r="BK435" s="161"/>
      <c r="BL435" s="294"/>
      <c r="BM435"/>
      <c r="BN435"/>
      <c r="BO435"/>
      <c r="BP435"/>
      <c r="BQ435"/>
      <c r="BR435"/>
      <c r="BS435"/>
      <c r="BT435"/>
      <c r="BU435"/>
      <c r="BV435"/>
      <c r="BW435"/>
      <c r="BX435"/>
      <c r="BY435"/>
      <c r="BZ435"/>
      <c r="CA435"/>
      <c r="CB435"/>
      <c r="CC435"/>
      <c r="CD435"/>
      <c r="CE435"/>
      <c r="CF435"/>
      <c r="CG435"/>
      <c r="CH435"/>
      <c r="CI435"/>
      <c r="CJ435"/>
    </row>
    <row r="436" spans="1:88" s="32" customFormat="1" ht="15" customHeight="1" x14ac:dyDescent="0.35">
      <c r="A436" s="473"/>
      <c r="B436" s="313">
        <v>32080</v>
      </c>
      <c r="C436" s="8" t="s">
        <v>265</v>
      </c>
      <c r="D436" s="18">
        <v>17</v>
      </c>
      <c r="E436" s="251"/>
      <c r="F436" s="82"/>
      <c r="G436" s="79"/>
      <c r="H436" s="90"/>
      <c r="I436" s="85"/>
      <c r="J436" s="85"/>
      <c r="K436" s="85"/>
      <c r="L436" s="85"/>
      <c r="M436" s="85"/>
      <c r="N436" s="85"/>
      <c r="O436" s="85"/>
      <c r="P436" s="85"/>
      <c r="Q436" s="85"/>
      <c r="R436" s="85"/>
      <c r="S436" s="89"/>
      <c r="T436" s="89" t="s">
        <v>1124</v>
      </c>
      <c r="U436" s="85"/>
      <c r="V436" s="85"/>
      <c r="W436" s="85"/>
      <c r="X436" s="89" t="s">
        <v>1124</v>
      </c>
      <c r="Y436" s="79"/>
      <c r="Z436" s="79"/>
      <c r="AA436" s="94"/>
      <c r="AB436" s="79" t="s">
        <v>1124</v>
      </c>
      <c r="AC436" s="85"/>
      <c r="AD436" s="85"/>
      <c r="AE436" s="85"/>
      <c r="AF436" s="85"/>
      <c r="AG436" s="85" t="s">
        <v>1124</v>
      </c>
      <c r="AH436" s="85"/>
      <c r="AI436" s="85"/>
      <c r="AJ436" s="85"/>
      <c r="AK436" s="85"/>
      <c r="AL436" s="85"/>
      <c r="AM436" s="85"/>
      <c r="AN436" s="85"/>
      <c r="AO436" s="85"/>
      <c r="AP436" s="85"/>
      <c r="AQ436" s="85"/>
      <c r="AR436" s="85" t="s">
        <v>1124</v>
      </c>
      <c r="AS436" s="85"/>
      <c r="AT436" s="85"/>
      <c r="AU436" s="85"/>
      <c r="AV436" s="85"/>
      <c r="AW436" s="85"/>
      <c r="AX436" s="85"/>
      <c r="AY436" s="85"/>
      <c r="AZ436" s="85"/>
      <c r="BA436" s="85"/>
      <c r="BB436" s="89"/>
      <c r="BC436" s="89" t="s">
        <v>1124</v>
      </c>
      <c r="BD436" s="37"/>
      <c r="BE436" s="37"/>
      <c r="BF436" s="279"/>
      <c r="BG436" s="37"/>
      <c r="BH436" s="37"/>
      <c r="BI436" s="37"/>
      <c r="BJ436" s="283"/>
      <c r="BK436" s="161"/>
      <c r="BL436" s="294"/>
      <c r="BM436"/>
      <c r="BN436"/>
      <c r="BO436"/>
      <c r="BP436"/>
      <c r="BQ436"/>
      <c r="BR436"/>
      <c r="BS436"/>
      <c r="BT436"/>
      <c r="BU436"/>
      <c r="BV436"/>
      <c r="BW436"/>
      <c r="BX436"/>
      <c r="BY436"/>
      <c r="BZ436"/>
      <c r="CA436"/>
      <c r="CB436"/>
      <c r="CC436"/>
      <c r="CD436"/>
      <c r="CE436"/>
      <c r="CF436"/>
      <c r="CG436"/>
      <c r="CH436"/>
      <c r="CI436"/>
      <c r="CJ436"/>
    </row>
    <row r="437" spans="1:88" s="32" customFormat="1" ht="15" customHeight="1" x14ac:dyDescent="0.35">
      <c r="A437" s="473"/>
      <c r="B437" s="313">
        <v>35005</v>
      </c>
      <c r="C437" s="8" t="s">
        <v>303</v>
      </c>
      <c r="D437" s="18">
        <v>4</v>
      </c>
      <c r="E437" s="251"/>
      <c r="F437" s="82"/>
      <c r="G437" s="79"/>
      <c r="H437" s="90"/>
      <c r="I437" s="85"/>
      <c r="J437" s="85"/>
      <c r="K437" s="85"/>
      <c r="L437" s="85"/>
      <c r="M437" s="85"/>
      <c r="N437" s="85"/>
      <c r="O437" s="85"/>
      <c r="P437" s="85"/>
      <c r="Q437" s="85"/>
      <c r="R437" s="85"/>
      <c r="S437" s="89"/>
      <c r="T437" s="89" t="s">
        <v>1124</v>
      </c>
      <c r="U437" s="85"/>
      <c r="V437" s="85"/>
      <c r="W437" s="85"/>
      <c r="X437" s="89" t="s">
        <v>1124</v>
      </c>
      <c r="Y437" s="79"/>
      <c r="Z437" s="79"/>
      <c r="AA437" s="94"/>
      <c r="AB437" s="79" t="s">
        <v>1124</v>
      </c>
      <c r="AC437" s="85"/>
      <c r="AD437" s="85"/>
      <c r="AE437" s="85"/>
      <c r="AF437" s="85"/>
      <c r="AG437" s="85" t="s">
        <v>1124</v>
      </c>
      <c r="AH437" s="85"/>
      <c r="AI437" s="85"/>
      <c r="AJ437" s="85"/>
      <c r="AK437" s="85"/>
      <c r="AL437" s="85"/>
      <c r="AM437" s="85"/>
      <c r="AN437" s="85"/>
      <c r="AO437" s="85"/>
      <c r="AP437" s="85"/>
      <c r="AQ437" s="85"/>
      <c r="AR437" s="85" t="s">
        <v>1124</v>
      </c>
      <c r="AS437" s="85"/>
      <c r="AT437" s="85"/>
      <c r="AU437" s="85"/>
      <c r="AV437" s="85"/>
      <c r="AW437" s="85"/>
      <c r="AX437" s="85"/>
      <c r="AY437" s="85"/>
      <c r="AZ437" s="85"/>
      <c r="BA437" s="85"/>
      <c r="BB437" s="89"/>
      <c r="BC437" s="89" t="s">
        <v>1124</v>
      </c>
      <c r="BD437" s="37"/>
      <c r="BE437" s="37"/>
      <c r="BF437" s="279"/>
      <c r="BG437" s="37"/>
      <c r="BH437" s="37"/>
      <c r="BI437" s="37"/>
      <c r="BJ437" s="283"/>
      <c r="BK437" s="161"/>
      <c r="BL437" s="294"/>
      <c r="BM437"/>
      <c r="BN437"/>
      <c r="BO437"/>
      <c r="BP437"/>
      <c r="BQ437"/>
      <c r="BR437"/>
      <c r="BS437"/>
      <c r="BT437"/>
      <c r="BU437"/>
      <c r="BV437"/>
      <c r="BW437"/>
      <c r="BX437"/>
      <c r="BY437"/>
      <c r="BZ437"/>
      <c r="CA437"/>
      <c r="CB437"/>
      <c r="CC437"/>
      <c r="CD437"/>
      <c r="CE437"/>
      <c r="CF437"/>
      <c r="CG437"/>
      <c r="CH437"/>
      <c r="CI437"/>
      <c r="CJ437"/>
    </row>
    <row r="438" spans="1:88" s="32" customFormat="1" ht="15" customHeight="1" x14ac:dyDescent="0.35">
      <c r="A438" s="473"/>
      <c r="B438" s="313">
        <v>79010</v>
      </c>
      <c r="C438" s="8" t="s">
        <v>787</v>
      </c>
      <c r="D438" s="18">
        <v>15</v>
      </c>
      <c r="E438" s="251"/>
      <c r="F438" s="82"/>
      <c r="G438" s="79"/>
      <c r="H438" s="90"/>
      <c r="I438" s="85"/>
      <c r="J438" s="85"/>
      <c r="K438" s="85"/>
      <c r="L438" s="85"/>
      <c r="M438" s="85"/>
      <c r="N438" s="85"/>
      <c r="O438" s="85"/>
      <c r="P438" s="85"/>
      <c r="Q438" s="85"/>
      <c r="R438" s="85"/>
      <c r="S438" s="89"/>
      <c r="T438" s="89" t="s">
        <v>1124</v>
      </c>
      <c r="U438" s="85"/>
      <c r="V438" s="85"/>
      <c r="W438" s="85"/>
      <c r="X438" s="89" t="s">
        <v>1124</v>
      </c>
      <c r="Y438" s="79"/>
      <c r="Z438" s="79"/>
      <c r="AA438" s="94"/>
      <c r="AB438" s="79" t="s">
        <v>1124</v>
      </c>
      <c r="AC438" s="85"/>
      <c r="AD438" s="85"/>
      <c r="AE438" s="85"/>
      <c r="AF438" s="85"/>
      <c r="AG438" s="85" t="s">
        <v>1124</v>
      </c>
      <c r="AH438" s="85"/>
      <c r="AI438" s="85"/>
      <c r="AJ438" s="85"/>
      <c r="AK438" s="85"/>
      <c r="AL438" s="85"/>
      <c r="AM438" s="85"/>
      <c r="AN438" s="85"/>
      <c r="AO438" s="85"/>
      <c r="AP438" s="85"/>
      <c r="AQ438" s="85"/>
      <c r="AR438" s="85" t="s">
        <v>1124</v>
      </c>
      <c r="AS438" s="85"/>
      <c r="AT438" s="85"/>
      <c r="AU438" s="85"/>
      <c r="AV438" s="85"/>
      <c r="AW438" s="85"/>
      <c r="AX438" s="85"/>
      <c r="AY438" s="85"/>
      <c r="AZ438" s="85"/>
      <c r="BA438" s="85"/>
      <c r="BB438" s="89"/>
      <c r="BC438" s="89" t="s">
        <v>1124</v>
      </c>
      <c r="BD438" s="37"/>
      <c r="BE438" s="37"/>
      <c r="BF438" s="279"/>
      <c r="BG438" s="37"/>
      <c r="BH438" s="37"/>
      <c r="BI438" s="37"/>
      <c r="BJ438" s="283"/>
      <c r="BK438" s="161"/>
      <c r="BL438" s="294"/>
      <c r="BM438"/>
      <c r="BN438"/>
      <c r="BO438"/>
      <c r="BP438"/>
      <c r="BQ438"/>
      <c r="BR438"/>
      <c r="BS438"/>
      <c r="BT438"/>
      <c r="BU438"/>
      <c r="BV438"/>
      <c r="BW438"/>
      <c r="BX438"/>
      <c r="BY438"/>
      <c r="BZ438"/>
      <c r="CA438"/>
      <c r="CB438"/>
      <c r="CC438"/>
      <c r="CD438"/>
      <c r="CE438"/>
      <c r="CF438"/>
      <c r="CG438"/>
      <c r="CH438"/>
      <c r="CI438"/>
      <c r="CJ438"/>
    </row>
    <row r="439" spans="1:88" s="32" customFormat="1" ht="15" customHeight="1" x14ac:dyDescent="0.35">
      <c r="A439" s="473"/>
      <c r="B439" s="313">
        <v>23015</v>
      </c>
      <c r="C439" s="8" t="s">
        <v>162</v>
      </c>
      <c r="D439" s="18">
        <v>3</v>
      </c>
      <c r="E439" s="251"/>
      <c r="F439" s="82"/>
      <c r="G439" s="79"/>
      <c r="H439" s="90"/>
      <c r="I439" s="85"/>
      <c r="J439" s="85"/>
      <c r="K439" s="85"/>
      <c r="L439" s="85"/>
      <c r="M439" s="85"/>
      <c r="N439" s="85"/>
      <c r="O439" s="85"/>
      <c r="P439" s="85"/>
      <c r="Q439" s="85"/>
      <c r="R439" s="85"/>
      <c r="S439" s="89"/>
      <c r="T439" s="89" t="s">
        <v>1124</v>
      </c>
      <c r="U439" s="85"/>
      <c r="V439" s="85"/>
      <c r="W439" s="85"/>
      <c r="X439" s="89" t="s">
        <v>1124</v>
      </c>
      <c r="Y439" s="79"/>
      <c r="Z439" s="79"/>
      <c r="AA439" s="94"/>
      <c r="AB439" s="79" t="s">
        <v>1124</v>
      </c>
      <c r="AC439" s="85"/>
      <c r="AD439" s="85"/>
      <c r="AE439" s="85"/>
      <c r="AF439" s="85"/>
      <c r="AG439" s="85" t="s">
        <v>1124</v>
      </c>
      <c r="AH439" s="85"/>
      <c r="AI439" s="85"/>
      <c r="AJ439" s="85"/>
      <c r="AK439" s="85"/>
      <c r="AL439" s="85"/>
      <c r="AM439" s="85"/>
      <c r="AN439" s="85"/>
      <c r="AO439" s="85"/>
      <c r="AP439" s="85"/>
      <c r="AQ439" s="85"/>
      <c r="AR439" s="85" t="s">
        <v>1124</v>
      </c>
      <c r="AS439" s="85"/>
      <c r="AT439" s="85"/>
      <c r="AU439" s="85"/>
      <c r="AV439" s="85"/>
      <c r="AW439" s="85"/>
      <c r="AX439" s="85"/>
      <c r="AY439" s="85"/>
      <c r="AZ439" s="85"/>
      <c r="BA439" s="85"/>
      <c r="BB439" s="89"/>
      <c r="BC439" s="89" t="s">
        <v>1124</v>
      </c>
      <c r="BD439" s="37"/>
      <c r="BE439" s="37"/>
      <c r="BF439" s="279"/>
      <c r="BG439" s="37"/>
      <c r="BH439" s="37"/>
      <c r="BI439" s="37"/>
      <c r="BJ439" s="283"/>
      <c r="BK439" s="161"/>
      <c r="BL439" s="294"/>
      <c r="BM439"/>
      <c r="BN439"/>
      <c r="BO439"/>
      <c r="BP439"/>
      <c r="BQ439"/>
      <c r="BR439"/>
      <c r="BS439"/>
      <c r="BT439"/>
      <c r="BU439"/>
      <c r="BV439"/>
      <c r="BW439"/>
      <c r="BX439"/>
      <c r="BY439"/>
      <c r="BZ439"/>
      <c r="CA439"/>
      <c r="CB439"/>
      <c r="CC439"/>
      <c r="CD439"/>
      <c r="CE439"/>
      <c r="CF439"/>
      <c r="CG439"/>
      <c r="CH439"/>
      <c r="CI439"/>
      <c r="CJ439"/>
    </row>
    <row r="440" spans="1:88" s="32" customFormat="1" ht="15" customHeight="1" x14ac:dyDescent="0.35">
      <c r="A440" s="473"/>
      <c r="B440" s="313">
        <v>30010</v>
      </c>
      <c r="C440" s="8" t="s">
        <v>218</v>
      </c>
      <c r="D440" s="18">
        <v>5</v>
      </c>
      <c r="E440" s="251"/>
      <c r="F440" s="82"/>
      <c r="G440" s="79"/>
      <c r="H440" s="90"/>
      <c r="I440" s="85"/>
      <c r="J440" s="85"/>
      <c r="K440" s="85"/>
      <c r="L440" s="85"/>
      <c r="M440" s="85"/>
      <c r="N440" s="85"/>
      <c r="O440" s="85"/>
      <c r="P440" s="85"/>
      <c r="Q440" s="85"/>
      <c r="R440" s="85"/>
      <c r="S440" s="89"/>
      <c r="T440" s="89" t="s">
        <v>1124</v>
      </c>
      <c r="U440" s="85"/>
      <c r="V440" s="85"/>
      <c r="W440" s="85"/>
      <c r="X440" s="89" t="s">
        <v>1124</v>
      </c>
      <c r="Y440" s="79"/>
      <c r="Z440" s="79"/>
      <c r="AA440" s="94"/>
      <c r="AB440" s="79" t="s">
        <v>1124</v>
      </c>
      <c r="AC440" s="85"/>
      <c r="AD440" s="85"/>
      <c r="AE440" s="85"/>
      <c r="AF440" s="85"/>
      <c r="AG440" s="85" t="s">
        <v>1124</v>
      </c>
      <c r="AH440" s="85"/>
      <c r="AI440" s="85"/>
      <c r="AJ440" s="85"/>
      <c r="AK440" s="85"/>
      <c r="AL440" s="85"/>
      <c r="AM440" s="85"/>
      <c r="AN440" s="85"/>
      <c r="AO440" s="85"/>
      <c r="AP440" s="85"/>
      <c r="AQ440" s="85"/>
      <c r="AR440" s="85" t="s">
        <v>1124</v>
      </c>
      <c r="AS440" s="85"/>
      <c r="AT440" s="85"/>
      <c r="AU440" s="85"/>
      <c r="AV440" s="85"/>
      <c r="AW440" s="85"/>
      <c r="AX440" s="85"/>
      <c r="AY440" s="85"/>
      <c r="AZ440" s="85"/>
      <c r="BA440" s="85"/>
      <c r="BB440" s="89"/>
      <c r="BC440" s="89" t="s">
        <v>1124</v>
      </c>
      <c r="BD440" s="37"/>
      <c r="BE440" s="37"/>
      <c r="BF440" s="279"/>
      <c r="BG440" s="37"/>
      <c r="BH440" s="37"/>
      <c r="BI440" s="37"/>
      <c r="BJ440" s="283"/>
      <c r="BK440" s="161"/>
      <c r="BL440" s="294"/>
      <c r="BM440"/>
      <c r="BN440"/>
      <c r="BO440"/>
      <c r="BP440"/>
      <c r="BQ440"/>
      <c r="BR440"/>
      <c r="BS440"/>
      <c r="BT440"/>
      <c r="BU440"/>
      <c r="BV440"/>
      <c r="BW440"/>
      <c r="BX440"/>
      <c r="BY440"/>
      <c r="BZ440"/>
      <c r="CA440"/>
      <c r="CB440"/>
      <c r="CC440"/>
      <c r="CD440"/>
      <c r="CE440"/>
      <c r="CF440"/>
      <c r="CG440"/>
      <c r="CH440"/>
      <c r="CI440"/>
      <c r="CJ440"/>
    </row>
    <row r="441" spans="1:88" s="32" customFormat="1" ht="15" customHeight="1" x14ac:dyDescent="0.35">
      <c r="A441" s="473"/>
      <c r="B441" s="313">
        <v>15025</v>
      </c>
      <c r="C441" s="8" t="s">
        <v>79</v>
      </c>
      <c r="D441" s="18">
        <v>3</v>
      </c>
      <c r="E441" s="251">
        <v>378</v>
      </c>
      <c r="F441" s="82">
        <v>2.2627118644067798</v>
      </c>
      <c r="G441" s="79">
        <v>855.30508474576277</v>
      </c>
      <c r="H441" s="90">
        <v>4.6900416666666658</v>
      </c>
      <c r="I441" s="85">
        <v>4.3120000000000003</v>
      </c>
      <c r="J441" s="85">
        <v>4.5570000000000004</v>
      </c>
      <c r="K441" s="85">
        <v>4.955172413793103</v>
      </c>
      <c r="L441" s="85">
        <v>5.4850000000000003</v>
      </c>
      <c r="M441" s="85">
        <v>6.12</v>
      </c>
      <c r="N441" s="85">
        <v>6.6669999999999998</v>
      </c>
      <c r="O441" s="85">
        <v>5.6070000000000002</v>
      </c>
      <c r="P441" s="85">
        <v>5.5819999999999999</v>
      </c>
      <c r="Q441" s="85">
        <v>4.7160000000000002</v>
      </c>
      <c r="R441" s="85">
        <v>4.1079999999999997</v>
      </c>
      <c r="S441" s="89">
        <v>4.4939999999999998</v>
      </c>
      <c r="T441" s="89">
        <v>61.293214080459769</v>
      </c>
      <c r="U441" s="85">
        <v>0</v>
      </c>
      <c r="V441" s="85">
        <v>61.292999999999999</v>
      </c>
      <c r="W441" s="85">
        <v>0</v>
      </c>
      <c r="X441" s="89">
        <v>61.292999999999999</v>
      </c>
      <c r="Y441" s="79">
        <v>0</v>
      </c>
      <c r="Z441" s="79">
        <v>1</v>
      </c>
      <c r="AA441" s="94">
        <v>0</v>
      </c>
      <c r="AB441" s="79">
        <v>1</v>
      </c>
      <c r="AC441" s="85">
        <v>53.306813471502593</v>
      </c>
      <c r="AD441" s="85">
        <v>2.0477956089571787</v>
      </c>
      <c r="AE441" s="85">
        <v>5.9386049999999972</v>
      </c>
      <c r="AF441" s="85">
        <v>0</v>
      </c>
      <c r="AG441" s="85">
        <v>61.293214080459769</v>
      </c>
      <c r="AH441" s="85">
        <v>0</v>
      </c>
      <c r="AI441" s="85">
        <v>0</v>
      </c>
      <c r="AJ441" s="85">
        <v>0</v>
      </c>
      <c r="AK441" s="85">
        <v>0</v>
      </c>
      <c r="AL441" s="85">
        <v>0</v>
      </c>
      <c r="AM441" s="85">
        <v>0</v>
      </c>
      <c r="AN441" s="85">
        <v>0</v>
      </c>
      <c r="AO441" s="85">
        <v>0</v>
      </c>
      <c r="AP441" s="85">
        <v>0</v>
      </c>
      <c r="AQ441" s="85">
        <v>0</v>
      </c>
      <c r="AR441" s="85">
        <v>0</v>
      </c>
      <c r="AS441" s="85">
        <v>0</v>
      </c>
      <c r="AT441" s="85">
        <v>0</v>
      </c>
      <c r="AU441" s="85">
        <v>0</v>
      </c>
      <c r="AV441" s="85">
        <v>0</v>
      </c>
      <c r="AW441" s="85">
        <v>0</v>
      </c>
      <c r="AX441" s="85">
        <v>0</v>
      </c>
      <c r="AY441" s="85">
        <v>0</v>
      </c>
      <c r="AZ441" s="85">
        <v>0</v>
      </c>
      <c r="BA441" s="85">
        <v>61.292999999999999</v>
      </c>
      <c r="BB441" s="89">
        <v>0</v>
      </c>
      <c r="BC441" s="89">
        <v>61.292999999999999</v>
      </c>
      <c r="BD441" s="37">
        <v>0</v>
      </c>
      <c r="BE441" s="37">
        <v>0</v>
      </c>
      <c r="BF441" s="279">
        <v>1275</v>
      </c>
      <c r="BG441" s="37">
        <v>6661</v>
      </c>
      <c r="BH441" s="37">
        <v>2815</v>
      </c>
      <c r="BI441" s="37">
        <v>2055</v>
      </c>
      <c r="BJ441" s="283">
        <v>12806</v>
      </c>
      <c r="BK441" s="161"/>
      <c r="BL441" s="294"/>
      <c r="BM441"/>
      <c r="BN441"/>
      <c r="BO441"/>
      <c r="BP441"/>
      <c r="BQ441"/>
      <c r="BR441"/>
      <c r="BS441"/>
      <c r="BT441"/>
      <c r="BU441"/>
      <c r="BV441"/>
      <c r="BW441"/>
      <c r="BX441"/>
      <c r="BY441"/>
      <c r="BZ441"/>
      <c r="CA441"/>
      <c r="CB441"/>
      <c r="CC441"/>
      <c r="CD441"/>
      <c r="CE441"/>
      <c r="CF441"/>
      <c r="CG441"/>
      <c r="CH441"/>
      <c r="CI441"/>
      <c r="CJ441"/>
    </row>
    <row r="442" spans="1:88" s="32" customFormat="1" ht="15" customHeight="1" x14ac:dyDescent="0.35">
      <c r="A442" s="473"/>
      <c r="B442" s="313">
        <v>11045</v>
      </c>
      <c r="C442" s="8" t="s">
        <v>25</v>
      </c>
      <c r="D442" s="18">
        <v>1</v>
      </c>
      <c r="E442" s="251"/>
      <c r="F442" s="82"/>
      <c r="G442" s="79"/>
      <c r="H442" s="90"/>
      <c r="I442" s="85"/>
      <c r="J442" s="85"/>
      <c r="K442" s="85"/>
      <c r="L442" s="85"/>
      <c r="M442" s="85"/>
      <c r="N442" s="85"/>
      <c r="O442" s="85"/>
      <c r="P442" s="85"/>
      <c r="Q442" s="85"/>
      <c r="R442" s="85"/>
      <c r="S442" s="89"/>
      <c r="T442" s="89" t="s">
        <v>1124</v>
      </c>
      <c r="U442" s="85"/>
      <c r="V442" s="85"/>
      <c r="W442" s="85"/>
      <c r="X442" s="89" t="s">
        <v>1124</v>
      </c>
      <c r="Y442" s="79"/>
      <c r="Z442" s="79"/>
      <c r="AA442" s="94"/>
      <c r="AB442" s="79" t="s">
        <v>1124</v>
      </c>
      <c r="AC442" s="85"/>
      <c r="AD442" s="85"/>
      <c r="AE442" s="85"/>
      <c r="AF442" s="85"/>
      <c r="AG442" s="85" t="s">
        <v>1124</v>
      </c>
      <c r="AH442" s="85"/>
      <c r="AI442" s="85"/>
      <c r="AJ442" s="85"/>
      <c r="AK442" s="85"/>
      <c r="AL442" s="85"/>
      <c r="AM442" s="85"/>
      <c r="AN442" s="85"/>
      <c r="AO442" s="85"/>
      <c r="AP442" s="85"/>
      <c r="AQ442" s="85"/>
      <c r="AR442" s="85" t="s">
        <v>1124</v>
      </c>
      <c r="AS442" s="85"/>
      <c r="AT442" s="85"/>
      <c r="AU442" s="85"/>
      <c r="AV442" s="85"/>
      <c r="AW442" s="85"/>
      <c r="AX442" s="85"/>
      <c r="AY442" s="85"/>
      <c r="AZ442" s="85"/>
      <c r="BA442" s="85"/>
      <c r="BB442" s="89"/>
      <c r="BC442" s="89" t="s">
        <v>1124</v>
      </c>
      <c r="BD442" s="37"/>
      <c r="BE442" s="37"/>
      <c r="BF442" s="279"/>
      <c r="BG442" s="37"/>
      <c r="BH442" s="37"/>
      <c r="BI442" s="37"/>
      <c r="BJ442" s="283"/>
      <c r="BK442" s="161"/>
      <c r="BL442" s="294"/>
      <c r="BM442"/>
      <c r="BN442"/>
      <c r="BO442"/>
      <c r="BP442"/>
      <c r="BQ442"/>
      <c r="BR442"/>
      <c r="BS442"/>
      <c r="BT442"/>
      <c r="BU442"/>
      <c r="BV442"/>
      <c r="BW442"/>
      <c r="BX442"/>
      <c r="BY442"/>
      <c r="BZ442"/>
      <c r="CA442"/>
      <c r="CB442"/>
      <c r="CC442"/>
      <c r="CD442"/>
      <c r="CE442"/>
      <c r="CF442"/>
      <c r="CG442"/>
      <c r="CH442"/>
      <c r="CI442"/>
      <c r="CJ442"/>
    </row>
    <row r="443" spans="1:88" s="32" customFormat="1" ht="15" customHeight="1" x14ac:dyDescent="0.35">
      <c r="A443" s="473"/>
      <c r="B443" s="313">
        <v>29120</v>
      </c>
      <c r="C443" s="8" t="s">
        <v>215</v>
      </c>
      <c r="D443" s="18">
        <v>12</v>
      </c>
      <c r="E443" s="251">
        <v>669</v>
      </c>
      <c r="F443" s="82">
        <v>2.1766233766233767</v>
      </c>
      <c r="G443" s="79">
        <v>1456.1610389610389</v>
      </c>
      <c r="H443" s="90">
        <v>9.1910000000000007</v>
      </c>
      <c r="I443" s="85">
        <v>8.32</v>
      </c>
      <c r="J443" s="85">
        <v>9.6470000000000002</v>
      </c>
      <c r="K443" s="85">
        <v>9.8279999999999994</v>
      </c>
      <c r="L443" s="85">
        <v>11.663</v>
      </c>
      <c r="M443" s="85">
        <v>10.738</v>
      </c>
      <c r="N443" s="85">
        <v>11.601000000000001</v>
      </c>
      <c r="O443" s="85">
        <v>10.319000000000001</v>
      </c>
      <c r="P443" s="85">
        <v>10.252000000000001</v>
      </c>
      <c r="Q443" s="85">
        <v>10.317</v>
      </c>
      <c r="R443" s="85">
        <v>9.5579999999999998</v>
      </c>
      <c r="S443" s="89">
        <v>10.318</v>
      </c>
      <c r="T443" s="89">
        <v>121.752</v>
      </c>
      <c r="U443" s="85">
        <v>0</v>
      </c>
      <c r="V443" s="85">
        <v>121.752</v>
      </c>
      <c r="W443" s="85">
        <v>0</v>
      </c>
      <c r="X443" s="89">
        <v>121.752</v>
      </c>
      <c r="Y443" s="79">
        <v>0</v>
      </c>
      <c r="Z443" s="79">
        <v>1</v>
      </c>
      <c r="AA443" s="94">
        <v>0</v>
      </c>
      <c r="AB443" s="79">
        <v>1</v>
      </c>
      <c r="AC443" s="85">
        <v>86.260599999999997</v>
      </c>
      <c r="AD443" s="85">
        <v>10.135024613402067</v>
      </c>
      <c r="AE443" s="85">
        <v>25.356375386597932</v>
      </c>
      <c r="AF443" s="85">
        <v>0</v>
      </c>
      <c r="AG443" s="85">
        <v>121.752</v>
      </c>
      <c r="AH443" s="85">
        <v>0</v>
      </c>
      <c r="AI443" s="85">
        <v>0</v>
      </c>
      <c r="AJ443" s="85">
        <v>0</v>
      </c>
      <c r="AK443" s="85">
        <v>0</v>
      </c>
      <c r="AL443" s="85">
        <v>0</v>
      </c>
      <c r="AM443" s="85">
        <v>0</v>
      </c>
      <c r="AN443" s="85">
        <v>0</v>
      </c>
      <c r="AO443" s="85">
        <v>0</v>
      </c>
      <c r="AP443" s="85">
        <v>0</v>
      </c>
      <c r="AQ443" s="85">
        <v>0</v>
      </c>
      <c r="AR443" s="85">
        <v>0</v>
      </c>
      <c r="AS443" s="85">
        <v>0</v>
      </c>
      <c r="AT443" s="85">
        <v>0</v>
      </c>
      <c r="AU443" s="85">
        <v>0</v>
      </c>
      <c r="AV443" s="85">
        <v>0</v>
      </c>
      <c r="AW443" s="85">
        <v>0</v>
      </c>
      <c r="AX443" s="85">
        <v>0</v>
      </c>
      <c r="AY443" s="85">
        <v>0</v>
      </c>
      <c r="AZ443" s="85">
        <v>121.752</v>
      </c>
      <c r="BA443" s="85">
        <v>0</v>
      </c>
      <c r="BB443" s="89">
        <v>0</v>
      </c>
      <c r="BC443" s="89">
        <v>121.752</v>
      </c>
      <c r="BD443" s="37">
        <v>0</v>
      </c>
      <c r="BE443" s="37">
        <v>0</v>
      </c>
      <c r="BF443" s="279">
        <v>51262</v>
      </c>
      <c r="BG443" s="37">
        <v>49101</v>
      </c>
      <c r="BH443" s="37">
        <v>29498</v>
      </c>
      <c r="BI443" s="37">
        <v>310221</v>
      </c>
      <c r="BJ443" s="283">
        <v>440082</v>
      </c>
      <c r="BK443" s="161" t="s">
        <v>2328</v>
      </c>
      <c r="BL443" s="294"/>
      <c r="BM443"/>
      <c r="BN443"/>
      <c r="BO443"/>
      <c r="BP443"/>
      <c r="BQ443"/>
      <c r="BR443"/>
      <c r="BS443"/>
      <c r="BT443"/>
      <c r="BU443"/>
      <c r="BV443"/>
      <c r="BW443"/>
      <c r="BX443"/>
      <c r="BY443"/>
      <c r="BZ443"/>
      <c r="CA443"/>
      <c r="CB443"/>
      <c r="CC443"/>
      <c r="CD443"/>
      <c r="CE443"/>
      <c r="CF443"/>
      <c r="CG443"/>
      <c r="CH443"/>
      <c r="CI443"/>
      <c r="CJ443"/>
    </row>
    <row r="444" spans="1:88" s="32" customFormat="1" ht="15" customHeight="1" x14ac:dyDescent="0.35">
      <c r="A444" s="473"/>
      <c r="B444" s="313">
        <v>61030</v>
      </c>
      <c r="C444" s="8" t="s">
        <v>614</v>
      </c>
      <c r="D444" s="18">
        <v>14</v>
      </c>
      <c r="E444" s="251"/>
      <c r="F444" s="82"/>
      <c r="G444" s="79"/>
      <c r="H444" s="90"/>
      <c r="I444" s="85"/>
      <c r="J444" s="85"/>
      <c r="K444" s="85"/>
      <c r="L444" s="85"/>
      <c r="M444" s="85"/>
      <c r="N444" s="85"/>
      <c r="O444" s="85"/>
      <c r="P444" s="85"/>
      <c r="Q444" s="85"/>
      <c r="R444" s="85"/>
      <c r="S444" s="89"/>
      <c r="T444" s="89" t="s">
        <v>1124</v>
      </c>
      <c r="U444" s="85"/>
      <c r="V444" s="85"/>
      <c r="W444" s="85"/>
      <c r="X444" s="89" t="s">
        <v>1124</v>
      </c>
      <c r="Y444" s="79"/>
      <c r="Z444" s="79"/>
      <c r="AA444" s="94"/>
      <c r="AB444" s="79" t="s">
        <v>1124</v>
      </c>
      <c r="AC444" s="85"/>
      <c r="AD444" s="85"/>
      <c r="AE444" s="85"/>
      <c r="AF444" s="85"/>
      <c r="AG444" s="85" t="s">
        <v>1124</v>
      </c>
      <c r="AH444" s="85"/>
      <c r="AI444" s="85"/>
      <c r="AJ444" s="85"/>
      <c r="AK444" s="85"/>
      <c r="AL444" s="85"/>
      <c r="AM444" s="85"/>
      <c r="AN444" s="85"/>
      <c r="AO444" s="85"/>
      <c r="AP444" s="85"/>
      <c r="AQ444" s="85"/>
      <c r="AR444" s="85" t="s">
        <v>1124</v>
      </c>
      <c r="AS444" s="85"/>
      <c r="AT444" s="85"/>
      <c r="AU444" s="85"/>
      <c r="AV444" s="85"/>
      <c r="AW444" s="85"/>
      <c r="AX444" s="85"/>
      <c r="AY444" s="85"/>
      <c r="AZ444" s="85"/>
      <c r="BA444" s="85"/>
      <c r="BB444" s="89"/>
      <c r="BC444" s="89" t="s">
        <v>1124</v>
      </c>
      <c r="BD444" s="37"/>
      <c r="BE444" s="37"/>
      <c r="BF444" s="279"/>
      <c r="BG444" s="37"/>
      <c r="BH444" s="37"/>
      <c r="BI444" s="37"/>
      <c r="BJ444" s="283"/>
      <c r="BK444" s="161"/>
      <c r="BL444" s="294"/>
      <c r="BM444"/>
      <c r="BN444"/>
      <c r="BO444"/>
      <c r="BP444"/>
      <c r="BQ444"/>
      <c r="BR444"/>
      <c r="BS444"/>
      <c r="BT444"/>
      <c r="BU444"/>
      <c r="BV444"/>
      <c r="BW444"/>
      <c r="BX444"/>
      <c r="BY444"/>
      <c r="BZ444"/>
      <c r="CA444"/>
      <c r="CB444"/>
      <c r="CC444"/>
      <c r="CD444"/>
      <c r="CE444"/>
      <c r="CF444"/>
      <c r="CG444"/>
      <c r="CH444"/>
      <c r="CI444"/>
      <c r="CJ444"/>
    </row>
    <row r="445" spans="1:88" s="32" customFormat="1" ht="15" customHeight="1" x14ac:dyDescent="0.35">
      <c r="A445" s="473"/>
      <c r="B445" s="313">
        <v>12045</v>
      </c>
      <c r="C445" s="8" t="s">
        <v>36</v>
      </c>
      <c r="D445" s="18">
        <v>1</v>
      </c>
      <c r="E445" s="251"/>
      <c r="F445" s="82"/>
      <c r="G445" s="79"/>
      <c r="H445" s="90"/>
      <c r="I445" s="85"/>
      <c r="J445" s="85"/>
      <c r="K445" s="85"/>
      <c r="L445" s="85"/>
      <c r="M445" s="85"/>
      <c r="N445" s="85"/>
      <c r="O445" s="85"/>
      <c r="P445" s="85"/>
      <c r="Q445" s="85"/>
      <c r="R445" s="85"/>
      <c r="S445" s="89"/>
      <c r="T445" s="89" t="s">
        <v>1124</v>
      </c>
      <c r="U445" s="85"/>
      <c r="V445" s="85"/>
      <c r="W445" s="85"/>
      <c r="X445" s="89" t="s">
        <v>1124</v>
      </c>
      <c r="Y445" s="79"/>
      <c r="Z445" s="79"/>
      <c r="AA445" s="94"/>
      <c r="AB445" s="79" t="s">
        <v>1124</v>
      </c>
      <c r="AC445" s="85"/>
      <c r="AD445" s="85"/>
      <c r="AE445" s="85"/>
      <c r="AF445" s="85"/>
      <c r="AG445" s="85" t="s">
        <v>1124</v>
      </c>
      <c r="AH445" s="85"/>
      <c r="AI445" s="85"/>
      <c r="AJ445" s="85"/>
      <c r="AK445" s="85"/>
      <c r="AL445" s="85"/>
      <c r="AM445" s="85"/>
      <c r="AN445" s="85"/>
      <c r="AO445" s="85"/>
      <c r="AP445" s="85"/>
      <c r="AQ445" s="85"/>
      <c r="AR445" s="85" t="s">
        <v>1124</v>
      </c>
      <c r="AS445" s="85"/>
      <c r="AT445" s="85"/>
      <c r="AU445" s="85"/>
      <c r="AV445" s="85"/>
      <c r="AW445" s="85"/>
      <c r="AX445" s="85"/>
      <c r="AY445" s="85"/>
      <c r="AZ445" s="85"/>
      <c r="BA445" s="85"/>
      <c r="BB445" s="89"/>
      <c r="BC445" s="89" t="s">
        <v>1124</v>
      </c>
      <c r="BD445" s="37"/>
      <c r="BE445" s="37"/>
      <c r="BF445" s="279"/>
      <c r="BG445" s="37"/>
      <c r="BH445" s="37"/>
      <c r="BI445" s="37"/>
      <c r="BJ445" s="283"/>
      <c r="BK445" s="161"/>
      <c r="BL445" s="294"/>
      <c r="BM445"/>
      <c r="BN445"/>
      <c r="BO445"/>
      <c r="BP445"/>
      <c r="BQ445"/>
      <c r="BR445"/>
      <c r="BS445"/>
      <c r="BT445"/>
      <c r="BU445"/>
      <c r="BV445"/>
      <c r="BW445"/>
      <c r="BX445"/>
      <c r="BY445"/>
      <c r="BZ445"/>
      <c r="CA445"/>
      <c r="CB445"/>
      <c r="CC445"/>
      <c r="CD445"/>
      <c r="CE445"/>
      <c r="CF445"/>
      <c r="CG445"/>
      <c r="CH445"/>
      <c r="CI445"/>
      <c r="CJ445"/>
    </row>
    <row r="446" spans="1:88" s="32" customFormat="1" ht="15" customHeight="1" x14ac:dyDescent="0.35">
      <c r="A446" s="473"/>
      <c r="B446" s="313">
        <v>46100</v>
      </c>
      <c r="C446" s="8" t="s">
        <v>445</v>
      </c>
      <c r="D446" s="18">
        <v>5</v>
      </c>
      <c r="E446" s="251"/>
      <c r="F446" s="82"/>
      <c r="G446" s="79"/>
      <c r="H446" s="90"/>
      <c r="I446" s="85"/>
      <c r="J446" s="85"/>
      <c r="K446" s="85"/>
      <c r="L446" s="85"/>
      <c r="M446" s="85"/>
      <c r="N446" s="85"/>
      <c r="O446" s="85"/>
      <c r="P446" s="85"/>
      <c r="Q446" s="85"/>
      <c r="R446" s="85"/>
      <c r="S446" s="89"/>
      <c r="T446" s="89" t="s">
        <v>1124</v>
      </c>
      <c r="U446" s="85"/>
      <c r="V446" s="85"/>
      <c r="W446" s="85"/>
      <c r="X446" s="89" t="s">
        <v>1124</v>
      </c>
      <c r="Y446" s="79"/>
      <c r="Z446" s="79"/>
      <c r="AA446" s="94"/>
      <c r="AB446" s="79" t="s">
        <v>1124</v>
      </c>
      <c r="AC446" s="85"/>
      <c r="AD446" s="85"/>
      <c r="AE446" s="85"/>
      <c r="AF446" s="85"/>
      <c r="AG446" s="85" t="s">
        <v>1124</v>
      </c>
      <c r="AH446" s="85"/>
      <c r="AI446" s="85"/>
      <c r="AJ446" s="85"/>
      <c r="AK446" s="85"/>
      <c r="AL446" s="85"/>
      <c r="AM446" s="85"/>
      <c r="AN446" s="85"/>
      <c r="AO446" s="85"/>
      <c r="AP446" s="85"/>
      <c r="AQ446" s="85"/>
      <c r="AR446" s="85" t="s">
        <v>1124</v>
      </c>
      <c r="AS446" s="85"/>
      <c r="AT446" s="85"/>
      <c r="AU446" s="85"/>
      <c r="AV446" s="85"/>
      <c r="AW446" s="85"/>
      <c r="AX446" s="85"/>
      <c r="AY446" s="85"/>
      <c r="AZ446" s="85"/>
      <c r="BA446" s="85"/>
      <c r="BB446" s="89"/>
      <c r="BC446" s="89" t="s">
        <v>1124</v>
      </c>
      <c r="BD446" s="37"/>
      <c r="BE446" s="37"/>
      <c r="BF446" s="279"/>
      <c r="BG446" s="37"/>
      <c r="BH446" s="37"/>
      <c r="BI446" s="37"/>
      <c r="BJ446" s="283"/>
      <c r="BK446" s="161"/>
      <c r="BL446" s="294"/>
      <c r="BM446"/>
      <c r="BN446"/>
      <c r="BO446"/>
      <c r="BP446"/>
      <c r="BQ446"/>
      <c r="BR446"/>
      <c r="BS446"/>
      <c r="BT446"/>
      <c r="BU446"/>
      <c r="BV446"/>
      <c r="BW446"/>
      <c r="BX446"/>
      <c r="BY446"/>
      <c r="BZ446"/>
      <c r="CA446"/>
      <c r="CB446"/>
      <c r="CC446"/>
      <c r="CD446"/>
      <c r="CE446"/>
      <c r="CF446"/>
      <c r="CG446"/>
      <c r="CH446"/>
      <c r="CI446"/>
      <c r="CJ446"/>
    </row>
    <row r="447" spans="1:88" s="32" customFormat="1" ht="15" customHeight="1" x14ac:dyDescent="0.35">
      <c r="A447" s="473"/>
      <c r="B447" s="313">
        <v>49080</v>
      </c>
      <c r="C447" s="8" t="s">
        <v>474</v>
      </c>
      <c r="D447" s="18">
        <v>17</v>
      </c>
      <c r="E447" s="251"/>
      <c r="F447" s="82"/>
      <c r="G447" s="79"/>
      <c r="H447" s="90"/>
      <c r="I447" s="85"/>
      <c r="J447" s="85"/>
      <c r="K447" s="85"/>
      <c r="L447" s="85"/>
      <c r="M447" s="85"/>
      <c r="N447" s="85"/>
      <c r="O447" s="85"/>
      <c r="P447" s="85"/>
      <c r="Q447" s="85"/>
      <c r="R447" s="85"/>
      <c r="S447" s="89"/>
      <c r="T447" s="89" t="s">
        <v>1124</v>
      </c>
      <c r="U447" s="85"/>
      <c r="V447" s="85"/>
      <c r="W447" s="85"/>
      <c r="X447" s="89" t="s">
        <v>1124</v>
      </c>
      <c r="Y447" s="79"/>
      <c r="Z447" s="79"/>
      <c r="AA447" s="94"/>
      <c r="AB447" s="79" t="s">
        <v>1124</v>
      </c>
      <c r="AC447" s="85"/>
      <c r="AD447" s="85"/>
      <c r="AE447" s="85"/>
      <c r="AF447" s="85"/>
      <c r="AG447" s="85" t="s">
        <v>1124</v>
      </c>
      <c r="AH447" s="85"/>
      <c r="AI447" s="85"/>
      <c r="AJ447" s="85"/>
      <c r="AK447" s="85"/>
      <c r="AL447" s="85"/>
      <c r="AM447" s="85"/>
      <c r="AN447" s="85"/>
      <c r="AO447" s="85"/>
      <c r="AP447" s="85"/>
      <c r="AQ447" s="85"/>
      <c r="AR447" s="85" t="s">
        <v>1124</v>
      </c>
      <c r="AS447" s="85"/>
      <c r="AT447" s="85"/>
      <c r="AU447" s="85"/>
      <c r="AV447" s="85"/>
      <c r="AW447" s="85"/>
      <c r="AX447" s="85"/>
      <c r="AY447" s="85"/>
      <c r="AZ447" s="85"/>
      <c r="BA447" s="85"/>
      <c r="BB447" s="89"/>
      <c r="BC447" s="89" t="s">
        <v>1124</v>
      </c>
      <c r="BD447" s="37"/>
      <c r="BE447" s="37"/>
      <c r="BF447" s="279"/>
      <c r="BG447" s="37"/>
      <c r="BH447" s="37"/>
      <c r="BI447" s="37"/>
      <c r="BJ447" s="283"/>
      <c r="BK447" s="161"/>
      <c r="BL447" s="294"/>
      <c r="BM447"/>
      <c r="BN447"/>
      <c r="BO447"/>
      <c r="BP447"/>
      <c r="BQ447"/>
      <c r="BR447"/>
      <c r="BS447"/>
      <c r="BT447"/>
      <c r="BU447"/>
      <c r="BV447"/>
      <c r="BW447"/>
      <c r="BX447"/>
      <c r="BY447"/>
      <c r="BZ447"/>
      <c r="CA447"/>
      <c r="CB447"/>
      <c r="CC447"/>
      <c r="CD447"/>
      <c r="CE447"/>
      <c r="CF447"/>
      <c r="CG447"/>
      <c r="CH447"/>
      <c r="CI447"/>
      <c r="CJ447"/>
    </row>
    <row r="448" spans="1:88" s="32" customFormat="1" ht="15" customHeight="1" x14ac:dyDescent="0.35">
      <c r="A448" s="473"/>
      <c r="B448" s="313">
        <v>49075</v>
      </c>
      <c r="C448" s="8" t="s">
        <v>473</v>
      </c>
      <c r="D448" s="18">
        <v>17</v>
      </c>
      <c r="E448" s="251">
        <v>754</v>
      </c>
      <c r="F448" s="82">
        <v>2.4004914004914006</v>
      </c>
      <c r="G448" s="79">
        <v>1809.9705159705161</v>
      </c>
      <c r="H448" s="90">
        <v>84.204333300000002</v>
      </c>
      <c r="I448" s="85">
        <v>84.204333300000002</v>
      </c>
      <c r="J448" s="85">
        <v>84.204333300000002</v>
      </c>
      <c r="K448" s="85">
        <v>84.204333300000002</v>
      </c>
      <c r="L448" s="85">
        <v>84.204333300000002</v>
      </c>
      <c r="M448" s="85">
        <v>84.204333300000002</v>
      </c>
      <c r="N448" s="85">
        <v>84.204333300000002</v>
      </c>
      <c r="O448" s="85">
        <v>84.204333300000002</v>
      </c>
      <c r="P448" s="85">
        <v>84.204333300000002</v>
      </c>
      <c r="Q448" s="85">
        <v>84.204333300000002</v>
      </c>
      <c r="R448" s="85">
        <v>84.204333300000002</v>
      </c>
      <c r="S448" s="89">
        <v>84.204333300000002</v>
      </c>
      <c r="T448" s="89">
        <v>1010.4519996000002</v>
      </c>
      <c r="U448" s="85">
        <v>0</v>
      </c>
      <c r="V448" s="85">
        <v>1010.452</v>
      </c>
      <c r="W448" s="85">
        <v>0</v>
      </c>
      <c r="X448" s="89">
        <v>1010.452</v>
      </c>
      <c r="Y448" s="79">
        <v>0</v>
      </c>
      <c r="Z448" s="79">
        <v>1</v>
      </c>
      <c r="AA448" s="94">
        <v>0</v>
      </c>
      <c r="AB448" s="79">
        <v>1</v>
      </c>
      <c r="AC448" s="85">
        <v>135.08969999999999</v>
      </c>
      <c r="AD448" s="85">
        <v>807.42629999999997</v>
      </c>
      <c r="AE448" s="85">
        <v>66.475999999999999</v>
      </c>
      <c r="AF448" s="85">
        <v>1.46</v>
      </c>
      <c r="AG448" s="85">
        <v>1010.452</v>
      </c>
      <c r="AH448" s="85">
        <v>0</v>
      </c>
      <c r="AI448" s="85">
        <v>0</v>
      </c>
      <c r="AJ448" s="85">
        <v>0</v>
      </c>
      <c r="AK448" s="85">
        <v>0</v>
      </c>
      <c r="AL448" s="85">
        <v>0</v>
      </c>
      <c r="AM448" s="85">
        <v>0</v>
      </c>
      <c r="AN448" s="85">
        <v>0</v>
      </c>
      <c r="AO448" s="85">
        <v>0</v>
      </c>
      <c r="AP448" s="85">
        <v>0</v>
      </c>
      <c r="AQ448" s="85">
        <v>0</v>
      </c>
      <c r="AR448" s="85">
        <v>0</v>
      </c>
      <c r="AS448" s="85">
        <v>0</v>
      </c>
      <c r="AT448" s="85">
        <v>0</v>
      </c>
      <c r="AU448" s="85">
        <v>0</v>
      </c>
      <c r="AV448" s="85">
        <v>0</v>
      </c>
      <c r="AW448" s="85">
        <v>0</v>
      </c>
      <c r="AX448" s="85">
        <v>0</v>
      </c>
      <c r="AY448" s="85">
        <v>1010.452</v>
      </c>
      <c r="AZ448" s="85">
        <v>0</v>
      </c>
      <c r="BA448" s="85">
        <v>0</v>
      </c>
      <c r="BB448" s="89">
        <v>0</v>
      </c>
      <c r="BC448" s="89">
        <v>1010.452</v>
      </c>
      <c r="BD448" s="37">
        <v>0</v>
      </c>
      <c r="BE448" s="37">
        <v>0</v>
      </c>
      <c r="BF448" s="279">
        <v>61564</v>
      </c>
      <c r="BG448" s="37">
        <v>35191</v>
      </c>
      <c r="BH448" s="37">
        <v>35136</v>
      </c>
      <c r="BI448" s="37">
        <v>1744</v>
      </c>
      <c r="BJ448" s="283">
        <v>133635</v>
      </c>
      <c r="BK448" s="161"/>
      <c r="BL448" s="294"/>
      <c r="BM448"/>
      <c r="BN448"/>
      <c r="BO448"/>
      <c r="BP448"/>
      <c r="BQ448"/>
      <c r="BR448"/>
      <c r="BS448"/>
      <c r="BT448"/>
      <c r="BU448"/>
      <c r="BV448"/>
      <c r="BW448"/>
      <c r="BX448"/>
      <c r="BY448"/>
      <c r="BZ448"/>
      <c r="CA448"/>
      <c r="CB448"/>
      <c r="CC448"/>
      <c r="CD448"/>
      <c r="CE448"/>
      <c r="CF448"/>
      <c r="CG448"/>
      <c r="CH448"/>
      <c r="CI448"/>
      <c r="CJ448"/>
    </row>
    <row r="449" spans="1:88" s="32" customFormat="1" ht="15" customHeight="1" x14ac:dyDescent="0.35">
      <c r="A449" s="473"/>
      <c r="B449" s="313">
        <v>79005</v>
      </c>
      <c r="C449" s="8" t="s">
        <v>786</v>
      </c>
      <c r="D449" s="18">
        <v>15</v>
      </c>
      <c r="E449" s="251"/>
      <c r="F449" s="82"/>
      <c r="G449" s="79"/>
      <c r="H449" s="90"/>
      <c r="I449" s="85"/>
      <c r="J449" s="85"/>
      <c r="K449" s="85"/>
      <c r="L449" s="85"/>
      <c r="M449" s="85"/>
      <c r="N449" s="85"/>
      <c r="O449" s="85"/>
      <c r="P449" s="85"/>
      <c r="Q449" s="85"/>
      <c r="R449" s="85"/>
      <c r="S449" s="89"/>
      <c r="T449" s="89" t="s">
        <v>1124</v>
      </c>
      <c r="U449" s="85"/>
      <c r="V449" s="85"/>
      <c r="W449" s="85"/>
      <c r="X449" s="89" t="s">
        <v>1124</v>
      </c>
      <c r="Y449" s="79"/>
      <c r="Z449" s="79"/>
      <c r="AA449" s="94"/>
      <c r="AB449" s="79" t="s">
        <v>1124</v>
      </c>
      <c r="AC449" s="85"/>
      <c r="AD449" s="85"/>
      <c r="AE449" s="85"/>
      <c r="AF449" s="85"/>
      <c r="AG449" s="85" t="s">
        <v>1124</v>
      </c>
      <c r="AH449" s="85"/>
      <c r="AI449" s="85"/>
      <c r="AJ449" s="85"/>
      <c r="AK449" s="85"/>
      <c r="AL449" s="85"/>
      <c r="AM449" s="85"/>
      <c r="AN449" s="85"/>
      <c r="AO449" s="85"/>
      <c r="AP449" s="85"/>
      <c r="AQ449" s="85"/>
      <c r="AR449" s="85" t="s">
        <v>1124</v>
      </c>
      <c r="AS449" s="85"/>
      <c r="AT449" s="85"/>
      <c r="AU449" s="85"/>
      <c r="AV449" s="85"/>
      <c r="AW449" s="85"/>
      <c r="AX449" s="85"/>
      <c r="AY449" s="85"/>
      <c r="AZ449" s="85"/>
      <c r="BA449" s="85"/>
      <c r="BB449" s="89"/>
      <c r="BC449" s="89" t="s">
        <v>1124</v>
      </c>
      <c r="BD449" s="37"/>
      <c r="BE449" s="37"/>
      <c r="BF449" s="279"/>
      <c r="BG449" s="37"/>
      <c r="BH449" s="37"/>
      <c r="BI449" s="37"/>
      <c r="BJ449" s="283"/>
      <c r="BK449" s="161"/>
      <c r="BL449" s="294"/>
      <c r="BM449"/>
      <c r="BN449"/>
      <c r="BO449"/>
      <c r="BP449"/>
      <c r="BQ449"/>
      <c r="BR449"/>
      <c r="BS449"/>
      <c r="BT449"/>
      <c r="BU449"/>
      <c r="BV449"/>
      <c r="BW449"/>
      <c r="BX449"/>
      <c r="BY449"/>
      <c r="BZ449"/>
      <c r="CA449"/>
      <c r="CB449"/>
      <c r="CC449"/>
      <c r="CD449"/>
      <c r="CE449"/>
      <c r="CF449"/>
      <c r="CG449"/>
      <c r="CH449"/>
      <c r="CI449"/>
      <c r="CJ449"/>
    </row>
    <row r="450" spans="1:88" s="32" customFormat="1" ht="15" customHeight="1" x14ac:dyDescent="0.35">
      <c r="A450" s="473"/>
      <c r="B450" s="313">
        <v>37235</v>
      </c>
      <c r="C450" s="8" t="s">
        <v>321</v>
      </c>
      <c r="D450" s="18">
        <v>4</v>
      </c>
      <c r="E450" s="251">
        <v>2407</v>
      </c>
      <c r="F450" s="82">
        <v>2.3576264436479488</v>
      </c>
      <c r="G450" s="79">
        <v>5674.8068498606126</v>
      </c>
      <c r="H450" s="90">
        <v>59.542999999999999</v>
      </c>
      <c r="I450" s="85">
        <v>54.298999999999999</v>
      </c>
      <c r="J450" s="85">
        <v>63.165999999999997</v>
      </c>
      <c r="K450" s="85">
        <v>57.545000000000002</v>
      </c>
      <c r="L450" s="85">
        <v>62.884</v>
      </c>
      <c r="M450" s="85">
        <v>70.653999999999996</v>
      </c>
      <c r="N450" s="85">
        <v>76.131</v>
      </c>
      <c r="O450" s="85">
        <v>65.266999999999996</v>
      </c>
      <c r="P450" s="85">
        <v>52.923000000000002</v>
      </c>
      <c r="Q450" s="85">
        <v>53.412999999999997</v>
      </c>
      <c r="R450" s="85">
        <v>46.865000000000002</v>
      </c>
      <c r="S450" s="89">
        <v>52.872</v>
      </c>
      <c r="T450" s="89">
        <v>715.56200000000001</v>
      </c>
      <c r="U450" s="85">
        <v>0</v>
      </c>
      <c r="V450" s="85">
        <v>715.56200000000001</v>
      </c>
      <c r="W450" s="85">
        <v>0</v>
      </c>
      <c r="X450" s="89">
        <v>715.56200000000001</v>
      </c>
      <c r="Y450" s="79">
        <v>0</v>
      </c>
      <c r="Z450" s="79">
        <v>5</v>
      </c>
      <c r="AA450" s="94">
        <v>0</v>
      </c>
      <c r="AB450" s="79">
        <v>5</v>
      </c>
      <c r="AC450" s="85">
        <v>428.2727227339102</v>
      </c>
      <c r="AD450" s="85">
        <v>35.979277266089809</v>
      </c>
      <c r="AE450" s="85">
        <v>251.31</v>
      </c>
      <c r="AF450" s="85">
        <v>0</v>
      </c>
      <c r="AG450" s="85">
        <v>715.56200000000001</v>
      </c>
      <c r="AH450" s="85">
        <v>0</v>
      </c>
      <c r="AI450" s="85">
        <v>0</v>
      </c>
      <c r="AJ450" s="85">
        <v>0</v>
      </c>
      <c r="AK450" s="85">
        <v>0</v>
      </c>
      <c r="AL450" s="85">
        <v>0</v>
      </c>
      <c r="AM450" s="85">
        <v>0</v>
      </c>
      <c r="AN450" s="85">
        <v>0</v>
      </c>
      <c r="AO450" s="85">
        <v>0</v>
      </c>
      <c r="AP450" s="85">
        <v>0</v>
      </c>
      <c r="AQ450" s="85">
        <v>0</v>
      </c>
      <c r="AR450" s="85">
        <v>0</v>
      </c>
      <c r="AS450" s="85">
        <v>0</v>
      </c>
      <c r="AT450" s="85">
        <v>0</v>
      </c>
      <c r="AU450" s="85">
        <v>0</v>
      </c>
      <c r="AV450" s="85">
        <v>0</v>
      </c>
      <c r="AW450" s="85">
        <v>0</v>
      </c>
      <c r="AX450" s="85">
        <v>0</v>
      </c>
      <c r="AY450" s="85">
        <v>0</v>
      </c>
      <c r="AZ450" s="85">
        <v>0</v>
      </c>
      <c r="BA450" s="85">
        <v>715.56200000000001</v>
      </c>
      <c r="BB450" s="89">
        <v>0</v>
      </c>
      <c r="BC450" s="89">
        <v>715.56200000000001</v>
      </c>
      <c r="BD450" s="37">
        <v>9057</v>
      </c>
      <c r="BE450" s="37">
        <v>0</v>
      </c>
      <c r="BF450" s="279">
        <v>27682</v>
      </c>
      <c r="BG450" s="37">
        <v>432243</v>
      </c>
      <c r="BH450" s="37">
        <v>64626</v>
      </c>
      <c r="BI450" s="37">
        <v>0</v>
      </c>
      <c r="BJ450" s="283">
        <v>524551</v>
      </c>
      <c r="BK450" s="161"/>
      <c r="BL450" s="294"/>
      <c r="BM450"/>
      <c r="BN450"/>
      <c r="BO450"/>
      <c r="BP450"/>
      <c r="BQ450"/>
      <c r="BR450"/>
      <c r="BS450"/>
      <c r="BT450"/>
      <c r="BU450"/>
      <c r="BV450"/>
      <c r="BW450"/>
      <c r="BX450"/>
      <c r="BY450"/>
      <c r="BZ450"/>
      <c r="CA450"/>
      <c r="CB450"/>
      <c r="CC450"/>
      <c r="CD450"/>
      <c r="CE450"/>
      <c r="CF450"/>
      <c r="CG450"/>
      <c r="CH450"/>
      <c r="CI450"/>
      <c r="CJ450"/>
    </row>
    <row r="451" spans="1:88" s="32" customFormat="1" ht="15" customHeight="1" x14ac:dyDescent="0.35">
      <c r="A451" s="473"/>
      <c r="B451" s="313">
        <v>85090</v>
      </c>
      <c r="C451" s="8" t="s">
        <v>885</v>
      </c>
      <c r="D451" s="18">
        <v>8</v>
      </c>
      <c r="E451" s="251">
        <v>475</v>
      </c>
      <c r="F451" s="82">
        <v>1.87</v>
      </c>
      <c r="G451" s="79">
        <v>888.25</v>
      </c>
      <c r="H451" s="90">
        <v>10.484999999999999</v>
      </c>
      <c r="I451" s="85">
        <v>14.3908</v>
      </c>
      <c r="J451" s="85">
        <v>10.3347</v>
      </c>
      <c r="K451" s="85">
        <v>11.0898</v>
      </c>
      <c r="L451" s="85">
        <v>12.3066</v>
      </c>
      <c r="M451" s="85">
        <v>13.787000000000001</v>
      </c>
      <c r="N451" s="85">
        <v>14.641999999999999</v>
      </c>
      <c r="O451" s="85">
        <v>12.656700000000001</v>
      </c>
      <c r="P451" s="85">
        <v>9.6539999999999999</v>
      </c>
      <c r="Q451" s="85">
        <v>11.192600000000001</v>
      </c>
      <c r="R451" s="85">
        <v>11.031000000000001</v>
      </c>
      <c r="S451" s="89">
        <v>11.162000000000001</v>
      </c>
      <c r="T451" s="89">
        <v>142.73220000000001</v>
      </c>
      <c r="U451" s="85">
        <v>0</v>
      </c>
      <c r="V451" s="85">
        <v>0</v>
      </c>
      <c r="W451" s="85">
        <v>142.733</v>
      </c>
      <c r="X451" s="89">
        <v>142.733</v>
      </c>
      <c r="Y451" s="79">
        <v>0</v>
      </c>
      <c r="Z451" s="79">
        <v>0</v>
      </c>
      <c r="AA451" s="94">
        <v>1</v>
      </c>
      <c r="AB451" s="79">
        <v>1</v>
      </c>
      <c r="AC451" s="85">
        <v>93.593999999999994</v>
      </c>
      <c r="AD451" s="85">
        <v>25.344749132653057</v>
      </c>
      <c r="AE451" s="85">
        <v>23.793450867346955</v>
      </c>
      <c r="AF451" s="85">
        <v>0</v>
      </c>
      <c r="AG451" s="85">
        <v>142.73220000000001</v>
      </c>
      <c r="AH451" s="85">
        <v>0</v>
      </c>
      <c r="AI451" s="85">
        <v>0</v>
      </c>
      <c r="AJ451" s="85">
        <v>0</v>
      </c>
      <c r="AK451" s="85">
        <v>0</v>
      </c>
      <c r="AL451" s="85">
        <v>0</v>
      </c>
      <c r="AM451" s="85">
        <v>0</v>
      </c>
      <c r="AN451" s="85">
        <v>0</v>
      </c>
      <c r="AO451" s="85">
        <v>0</v>
      </c>
      <c r="AP451" s="85">
        <v>0</v>
      </c>
      <c r="AQ451" s="85">
        <v>0</v>
      </c>
      <c r="AR451" s="85">
        <v>0</v>
      </c>
      <c r="AS451" s="85">
        <v>0</v>
      </c>
      <c r="AT451" s="85">
        <v>0</v>
      </c>
      <c r="AU451" s="85">
        <v>0</v>
      </c>
      <c r="AV451" s="85">
        <v>0</v>
      </c>
      <c r="AW451" s="85">
        <v>0</v>
      </c>
      <c r="AX451" s="85">
        <v>0</v>
      </c>
      <c r="AY451" s="85">
        <v>142.733</v>
      </c>
      <c r="AZ451" s="85">
        <v>0</v>
      </c>
      <c r="BA451" s="85">
        <v>0</v>
      </c>
      <c r="BB451" s="89">
        <v>0</v>
      </c>
      <c r="BC451" s="89">
        <v>142.733</v>
      </c>
      <c r="BD451" s="37">
        <v>6000</v>
      </c>
      <c r="BE451" s="37">
        <v>36800</v>
      </c>
      <c r="BF451" s="279">
        <v>16618</v>
      </c>
      <c r="BG451" s="37">
        <v>2618</v>
      </c>
      <c r="BH451" s="37">
        <v>20756</v>
      </c>
      <c r="BI451" s="37">
        <v>3677</v>
      </c>
      <c r="BJ451" s="283">
        <v>43669</v>
      </c>
      <c r="BK451" s="161"/>
      <c r="BL451" s="294"/>
      <c r="BM451"/>
      <c r="BN451"/>
      <c r="BO451"/>
      <c r="BP451"/>
      <c r="BQ451"/>
      <c r="BR451"/>
      <c r="BS451"/>
      <c r="BT451"/>
      <c r="BU451"/>
      <c r="BV451"/>
      <c r="BW451"/>
      <c r="BX451"/>
      <c r="BY451"/>
      <c r="BZ451"/>
      <c r="CA451"/>
      <c r="CB451"/>
      <c r="CC451"/>
      <c r="CD451"/>
      <c r="CE451"/>
      <c r="CF451"/>
      <c r="CG451"/>
      <c r="CH451"/>
      <c r="CI451"/>
      <c r="CJ451"/>
    </row>
    <row r="452" spans="1:88" s="32" customFormat="1" ht="15" customHeight="1" x14ac:dyDescent="0.35">
      <c r="A452" s="473"/>
      <c r="B452" s="313">
        <v>12080</v>
      </c>
      <c r="C452" s="8" t="s">
        <v>40</v>
      </c>
      <c r="D452" s="18">
        <v>1</v>
      </c>
      <c r="E452" s="251"/>
      <c r="F452" s="82"/>
      <c r="G452" s="79"/>
      <c r="H452" s="90"/>
      <c r="I452" s="85"/>
      <c r="J452" s="85"/>
      <c r="K452" s="85"/>
      <c r="L452" s="85"/>
      <c r="M452" s="85"/>
      <c r="N452" s="85"/>
      <c r="O452" s="85"/>
      <c r="P452" s="85"/>
      <c r="Q452" s="85"/>
      <c r="R452" s="85"/>
      <c r="S452" s="89"/>
      <c r="T452" s="89" t="s">
        <v>1124</v>
      </c>
      <c r="U452" s="85"/>
      <c r="V452" s="85"/>
      <c r="W452" s="85"/>
      <c r="X452" s="89" t="s">
        <v>1124</v>
      </c>
      <c r="Y452" s="79"/>
      <c r="Z452" s="79"/>
      <c r="AA452" s="94"/>
      <c r="AB452" s="79" t="s">
        <v>1124</v>
      </c>
      <c r="AC452" s="85"/>
      <c r="AD452" s="85"/>
      <c r="AE452" s="85"/>
      <c r="AF452" s="85"/>
      <c r="AG452" s="85" t="s">
        <v>1124</v>
      </c>
      <c r="AH452" s="85"/>
      <c r="AI452" s="85"/>
      <c r="AJ452" s="85"/>
      <c r="AK452" s="85"/>
      <c r="AL452" s="85"/>
      <c r="AM452" s="85"/>
      <c r="AN452" s="85"/>
      <c r="AO452" s="85"/>
      <c r="AP452" s="85"/>
      <c r="AQ452" s="85"/>
      <c r="AR452" s="85" t="s">
        <v>1124</v>
      </c>
      <c r="AS452" s="85"/>
      <c r="AT452" s="85"/>
      <c r="AU452" s="85"/>
      <c r="AV452" s="85"/>
      <c r="AW452" s="85"/>
      <c r="AX452" s="85"/>
      <c r="AY452" s="85"/>
      <c r="AZ452" s="85"/>
      <c r="BA452" s="85"/>
      <c r="BB452" s="89"/>
      <c r="BC452" s="89" t="s">
        <v>1124</v>
      </c>
      <c r="BD452" s="37"/>
      <c r="BE452" s="37"/>
      <c r="BF452" s="279"/>
      <c r="BG452" s="37"/>
      <c r="BH452" s="37"/>
      <c r="BI452" s="37"/>
      <c r="BJ452" s="283"/>
      <c r="BK452" s="161"/>
      <c r="BL452" s="294"/>
      <c r="BM452"/>
      <c r="BN452"/>
      <c r="BO452"/>
      <c r="BP452"/>
      <c r="BQ452"/>
      <c r="BR452"/>
      <c r="BS452"/>
      <c r="BT452"/>
      <c r="BU452"/>
      <c r="BV452"/>
      <c r="BW452"/>
      <c r="BX452"/>
      <c r="BY452"/>
      <c r="BZ452"/>
      <c r="CA452"/>
      <c r="CB452"/>
      <c r="CC452"/>
      <c r="CD452"/>
      <c r="CE452"/>
      <c r="CF452"/>
      <c r="CG452"/>
      <c r="CH452"/>
      <c r="CI452"/>
      <c r="CJ452"/>
    </row>
    <row r="453" spans="1:88" s="32" customFormat="1" ht="15" customHeight="1" x14ac:dyDescent="0.35">
      <c r="A453" s="473"/>
      <c r="B453" s="313">
        <v>18040</v>
      </c>
      <c r="C453" s="8" t="s">
        <v>111</v>
      </c>
      <c r="D453" s="18">
        <v>12</v>
      </c>
      <c r="E453" s="251">
        <v>162</v>
      </c>
      <c r="F453" s="82">
        <v>1.966824644549763</v>
      </c>
      <c r="G453" s="79">
        <v>318.62559241706163</v>
      </c>
      <c r="H453" s="90">
        <v>1.77</v>
      </c>
      <c r="I453" s="85">
        <v>1.716</v>
      </c>
      <c r="J453" s="85">
        <v>1.8180000000000001</v>
      </c>
      <c r="K453" s="85">
        <v>1.82</v>
      </c>
      <c r="L453" s="85">
        <v>1.7410000000000001</v>
      </c>
      <c r="M453" s="85">
        <v>2.012</v>
      </c>
      <c r="N453" s="85">
        <v>1.968</v>
      </c>
      <c r="O453" s="85">
        <v>1.6739999999999999</v>
      </c>
      <c r="P453" s="85">
        <v>1.74</v>
      </c>
      <c r="Q453" s="85">
        <v>1.601</v>
      </c>
      <c r="R453" s="85">
        <v>1.446</v>
      </c>
      <c r="S453" s="89">
        <v>1.665</v>
      </c>
      <c r="T453" s="89">
        <v>20.971</v>
      </c>
      <c r="U453" s="85">
        <v>0</v>
      </c>
      <c r="V453" s="85">
        <v>20.971</v>
      </c>
      <c r="W453" s="85">
        <v>0</v>
      </c>
      <c r="X453" s="89">
        <v>20.971</v>
      </c>
      <c r="Y453" s="79">
        <v>0</v>
      </c>
      <c r="Z453" s="79">
        <v>2</v>
      </c>
      <c r="AA453" s="94">
        <v>0</v>
      </c>
      <c r="AB453" s="79">
        <v>2</v>
      </c>
      <c r="AC453" s="85">
        <v>20.561</v>
      </c>
      <c r="AD453" s="85">
        <v>0.41</v>
      </c>
      <c r="AE453" s="85">
        <v>0</v>
      </c>
      <c r="AF453" s="85">
        <v>0</v>
      </c>
      <c r="AG453" s="85">
        <v>20.971</v>
      </c>
      <c r="AH453" s="85">
        <v>0</v>
      </c>
      <c r="AI453" s="85">
        <v>0</v>
      </c>
      <c r="AJ453" s="85">
        <v>0</v>
      </c>
      <c r="AK453" s="85">
        <v>0</v>
      </c>
      <c r="AL453" s="85">
        <v>0</v>
      </c>
      <c r="AM453" s="85">
        <v>0</v>
      </c>
      <c r="AN453" s="85">
        <v>0</v>
      </c>
      <c r="AO453" s="85">
        <v>0</v>
      </c>
      <c r="AP453" s="85">
        <v>0</v>
      </c>
      <c r="AQ453" s="85">
        <v>0</v>
      </c>
      <c r="AR453" s="85">
        <v>0</v>
      </c>
      <c r="AS453" s="85">
        <v>0</v>
      </c>
      <c r="AT453" s="85">
        <v>0</v>
      </c>
      <c r="AU453" s="85">
        <v>0</v>
      </c>
      <c r="AV453" s="85">
        <v>0</v>
      </c>
      <c r="AW453" s="85">
        <v>0</v>
      </c>
      <c r="AX453" s="85">
        <v>0</v>
      </c>
      <c r="AY453" s="85">
        <v>20.971</v>
      </c>
      <c r="AZ453" s="85">
        <v>0</v>
      </c>
      <c r="BA453" s="85">
        <v>0</v>
      </c>
      <c r="BB453" s="89">
        <v>0</v>
      </c>
      <c r="BC453" s="89">
        <v>20.971</v>
      </c>
      <c r="BD453" s="37">
        <v>0</v>
      </c>
      <c r="BE453" s="37">
        <v>0</v>
      </c>
      <c r="BF453" s="279">
        <v>5305</v>
      </c>
      <c r="BG453" s="37">
        <v>26823</v>
      </c>
      <c r="BH453" s="37">
        <v>6871</v>
      </c>
      <c r="BI453" s="37">
        <v>3941</v>
      </c>
      <c r="BJ453" s="283">
        <v>42940</v>
      </c>
      <c r="BK453" s="161" t="s">
        <v>2348</v>
      </c>
      <c r="BL453" s="294"/>
      <c r="BM453"/>
      <c r="BN453"/>
      <c r="BO453"/>
      <c r="BP453"/>
      <c r="BQ453"/>
      <c r="BR453"/>
      <c r="BS453"/>
      <c r="BT453"/>
      <c r="BU453"/>
      <c r="BV453"/>
      <c r="BW453"/>
      <c r="BX453"/>
      <c r="BY453"/>
      <c r="BZ453"/>
      <c r="CA453"/>
      <c r="CB453"/>
      <c r="CC453"/>
      <c r="CD453"/>
      <c r="CE453"/>
      <c r="CF453"/>
      <c r="CG453"/>
      <c r="CH453"/>
      <c r="CI453"/>
      <c r="CJ453"/>
    </row>
    <row r="454" spans="1:88" s="32" customFormat="1" ht="15" customHeight="1" x14ac:dyDescent="0.35">
      <c r="A454" s="473"/>
      <c r="B454" s="313">
        <v>33085</v>
      </c>
      <c r="C454" s="8" t="s">
        <v>279</v>
      </c>
      <c r="D454" s="18">
        <v>12</v>
      </c>
      <c r="E454" s="251"/>
      <c r="F454" s="82"/>
      <c r="G454" s="79"/>
      <c r="H454" s="90"/>
      <c r="I454" s="85"/>
      <c r="J454" s="85"/>
      <c r="K454" s="85"/>
      <c r="L454" s="85"/>
      <c r="M454" s="85"/>
      <c r="N454" s="85"/>
      <c r="O454" s="85"/>
      <c r="P454" s="85"/>
      <c r="Q454" s="85"/>
      <c r="R454" s="85"/>
      <c r="S454" s="89"/>
      <c r="T454" s="89" t="s">
        <v>1124</v>
      </c>
      <c r="U454" s="85"/>
      <c r="V454" s="85"/>
      <c r="W454" s="85"/>
      <c r="X454" s="89" t="s">
        <v>1124</v>
      </c>
      <c r="Y454" s="79"/>
      <c r="Z454" s="79"/>
      <c r="AA454" s="94"/>
      <c r="AB454" s="79" t="s">
        <v>1124</v>
      </c>
      <c r="AC454" s="85"/>
      <c r="AD454" s="85"/>
      <c r="AE454" s="85"/>
      <c r="AF454" s="85"/>
      <c r="AG454" s="85" t="s">
        <v>1124</v>
      </c>
      <c r="AH454" s="85"/>
      <c r="AI454" s="85"/>
      <c r="AJ454" s="85"/>
      <c r="AK454" s="85"/>
      <c r="AL454" s="85"/>
      <c r="AM454" s="85"/>
      <c r="AN454" s="85"/>
      <c r="AO454" s="85"/>
      <c r="AP454" s="85"/>
      <c r="AQ454" s="85"/>
      <c r="AR454" s="85" t="s">
        <v>1124</v>
      </c>
      <c r="AS454" s="85"/>
      <c r="AT454" s="85"/>
      <c r="AU454" s="85"/>
      <c r="AV454" s="85"/>
      <c r="AW454" s="85"/>
      <c r="AX454" s="85"/>
      <c r="AY454" s="85"/>
      <c r="AZ454" s="85"/>
      <c r="BA454" s="85"/>
      <c r="BB454" s="89"/>
      <c r="BC454" s="89" t="s">
        <v>1124</v>
      </c>
      <c r="BD454" s="37"/>
      <c r="BE454" s="37"/>
      <c r="BF454" s="279"/>
      <c r="BG454" s="37"/>
      <c r="BH454" s="37"/>
      <c r="BI454" s="37"/>
      <c r="BJ454" s="283"/>
      <c r="BK454" s="161"/>
      <c r="BL454" s="294"/>
      <c r="BM454"/>
      <c r="BN454"/>
      <c r="BO454"/>
      <c r="BP454"/>
      <c r="BQ454"/>
      <c r="BR454"/>
      <c r="BS454"/>
      <c r="BT454"/>
      <c r="BU454"/>
      <c r="BV454"/>
      <c r="BW454"/>
      <c r="BX454"/>
      <c r="BY454"/>
      <c r="BZ454"/>
      <c r="CA454"/>
      <c r="CB454"/>
      <c r="CC454"/>
      <c r="CD454"/>
      <c r="CE454"/>
      <c r="CF454"/>
      <c r="CG454"/>
      <c r="CH454"/>
      <c r="CI454"/>
      <c r="CJ454"/>
    </row>
    <row r="455" spans="1:88" s="32" customFormat="1" ht="15" customHeight="1" x14ac:dyDescent="0.35">
      <c r="A455" s="473"/>
      <c r="B455" s="313">
        <v>6020</v>
      </c>
      <c r="C455" s="8" t="s">
        <v>1059</v>
      </c>
      <c r="D455" s="18">
        <v>11</v>
      </c>
      <c r="E455" s="251"/>
      <c r="F455" s="82"/>
      <c r="G455" s="79"/>
      <c r="H455" s="90"/>
      <c r="I455" s="85"/>
      <c r="J455" s="85"/>
      <c r="K455" s="85"/>
      <c r="L455" s="85"/>
      <c r="M455" s="85"/>
      <c r="N455" s="85"/>
      <c r="O455" s="85"/>
      <c r="P455" s="85"/>
      <c r="Q455" s="85"/>
      <c r="R455" s="85"/>
      <c r="S455" s="89"/>
      <c r="T455" s="89" t="s">
        <v>1124</v>
      </c>
      <c r="U455" s="85"/>
      <c r="V455" s="85"/>
      <c r="W455" s="85"/>
      <c r="X455" s="89" t="s">
        <v>1124</v>
      </c>
      <c r="Y455" s="79"/>
      <c r="Z455" s="79"/>
      <c r="AA455" s="94"/>
      <c r="AB455" s="79" t="s">
        <v>1124</v>
      </c>
      <c r="AC455" s="85"/>
      <c r="AD455" s="85"/>
      <c r="AE455" s="85"/>
      <c r="AF455" s="85"/>
      <c r="AG455" s="85" t="s">
        <v>1124</v>
      </c>
      <c r="AH455" s="85"/>
      <c r="AI455" s="85"/>
      <c r="AJ455" s="85"/>
      <c r="AK455" s="85"/>
      <c r="AL455" s="85"/>
      <c r="AM455" s="85"/>
      <c r="AN455" s="85"/>
      <c r="AO455" s="85"/>
      <c r="AP455" s="85"/>
      <c r="AQ455" s="85"/>
      <c r="AR455" s="85" t="s">
        <v>1124</v>
      </c>
      <c r="AS455" s="85"/>
      <c r="AT455" s="85"/>
      <c r="AU455" s="85"/>
      <c r="AV455" s="85"/>
      <c r="AW455" s="85"/>
      <c r="AX455" s="85"/>
      <c r="AY455" s="85"/>
      <c r="AZ455" s="85"/>
      <c r="BA455" s="85"/>
      <c r="BB455" s="89"/>
      <c r="BC455" s="89" t="s">
        <v>1124</v>
      </c>
      <c r="BD455" s="37"/>
      <c r="BE455" s="37"/>
      <c r="BF455" s="279"/>
      <c r="BG455" s="37"/>
      <c r="BH455" s="37"/>
      <c r="BI455" s="37"/>
      <c r="BJ455" s="283"/>
      <c r="BK455" s="161"/>
      <c r="BL455" s="294"/>
      <c r="BM455"/>
      <c r="BN455"/>
      <c r="BO455"/>
      <c r="BP455"/>
      <c r="BQ455"/>
      <c r="BR455"/>
      <c r="BS455"/>
      <c r="BT455"/>
      <c r="BU455"/>
      <c r="BV455"/>
      <c r="BW455"/>
      <c r="BX455"/>
      <c r="BY455"/>
      <c r="BZ455"/>
      <c r="CA455"/>
      <c r="CB455"/>
      <c r="CC455"/>
      <c r="CD455"/>
      <c r="CE455"/>
      <c r="CF455"/>
      <c r="CG455"/>
      <c r="CH455"/>
      <c r="CI455"/>
      <c r="CJ455"/>
    </row>
    <row r="456" spans="1:88" s="32" customFormat="1" ht="15" customHeight="1" x14ac:dyDescent="0.35">
      <c r="A456" s="473"/>
      <c r="B456" s="313">
        <v>56015</v>
      </c>
      <c r="C456" s="8" t="s">
        <v>569</v>
      </c>
      <c r="D456" s="18">
        <v>16</v>
      </c>
      <c r="E456" s="251"/>
      <c r="F456" s="82"/>
      <c r="G456" s="79"/>
      <c r="H456" s="90"/>
      <c r="I456" s="85"/>
      <c r="J456" s="85"/>
      <c r="K456" s="85"/>
      <c r="L456" s="85"/>
      <c r="M456" s="85"/>
      <c r="N456" s="85"/>
      <c r="O456" s="85"/>
      <c r="P456" s="85"/>
      <c r="Q456" s="85"/>
      <c r="R456" s="85"/>
      <c r="S456" s="89"/>
      <c r="T456" s="89" t="s">
        <v>1124</v>
      </c>
      <c r="U456" s="85"/>
      <c r="V456" s="85"/>
      <c r="W456" s="85"/>
      <c r="X456" s="89" t="s">
        <v>1124</v>
      </c>
      <c r="Y456" s="79"/>
      <c r="Z456" s="79"/>
      <c r="AA456" s="94"/>
      <c r="AB456" s="79" t="s">
        <v>1124</v>
      </c>
      <c r="AC456" s="85"/>
      <c r="AD456" s="85"/>
      <c r="AE456" s="85"/>
      <c r="AF456" s="85"/>
      <c r="AG456" s="85" t="s">
        <v>1124</v>
      </c>
      <c r="AH456" s="85"/>
      <c r="AI456" s="85"/>
      <c r="AJ456" s="85"/>
      <c r="AK456" s="85"/>
      <c r="AL456" s="85"/>
      <c r="AM456" s="85"/>
      <c r="AN456" s="85"/>
      <c r="AO456" s="85"/>
      <c r="AP456" s="85"/>
      <c r="AQ456" s="85"/>
      <c r="AR456" s="85" t="s">
        <v>1124</v>
      </c>
      <c r="AS456" s="85"/>
      <c r="AT456" s="85"/>
      <c r="AU456" s="85"/>
      <c r="AV456" s="85"/>
      <c r="AW456" s="85"/>
      <c r="AX456" s="85"/>
      <c r="AY456" s="85"/>
      <c r="AZ456" s="85"/>
      <c r="BA456" s="85"/>
      <c r="BB456" s="89"/>
      <c r="BC456" s="89" t="s">
        <v>1124</v>
      </c>
      <c r="BD456" s="37"/>
      <c r="BE456" s="37"/>
      <c r="BF456" s="279"/>
      <c r="BG456" s="37"/>
      <c r="BH456" s="37"/>
      <c r="BI456" s="37"/>
      <c r="BJ456" s="283"/>
      <c r="BK456" s="161"/>
      <c r="BL456" s="294"/>
      <c r="BM456"/>
      <c r="BN456"/>
      <c r="BO456"/>
      <c r="BP456"/>
      <c r="BQ456"/>
      <c r="BR456"/>
      <c r="BS456"/>
      <c r="BT456"/>
      <c r="BU456"/>
      <c r="BV456"/>
      <c r="BW456"/>
      <c r="BX456"/>
      <c r="BY456"/>
      <c r="BZ456"/>
      <c r="CA456"/>
      <c r="CB456"/>
      <c r="CC456"/>
      <c r="CD456"/>
      <c r="CE456"/>
      <c r="CF456"/>
      <c r="CG456"/>
      <c r="CH456"/>
      <c r="CI456"/>
      <c r="CJ456"/>
    </row>
    <row r="457" spans="1:88" s="32" customFormat="1" ht="15" customHeight="1" x14ac:dyDescent="0.35">
      <c r="A457" s="473"/>
      <c r="B457" s="313">
        <v>45020</v>
      </c>
      <c r="C457" s="8" t="s">
        <v>411</v>
      </c>
      <c r="D457" s="18">
        <v>5</v>
      </c>
      <c r="E457" s="251"/>
      <c r="F457" s="82"/>
      <c r="G457" s="79"/>
      <c r="H457" s="90"/>
      <c r="I457" s="85"/>
      <c r="J457" s="85"/>
      <c r="K457" s="85"/>
      <c r="L457" s="85"/>
      <c r="M457" s="85"/>
      <c r="N457" s="85"/>
      <c r="O457" s="85"/>
      <c r="P457" s="85"/>
      <c r="Q457" s="85"/>
      <c r="R457" s="85"/>
      <c r="S457" s="89"/>
      <c r="T457" s="89" t="s">
        <v>1124</v>
      </c>
      <c r="U457" s="85"/>
      <c r="V457" s="85"/>
      <c r="W457" s="85"/>
      <c r="X457" s="89" t="s">
        <v>1124</v>
      </c>
      <c r="Y457" s="79"/>
      <c r="Z457" s="79"/>
      <c r="AA457" s="94"/>
      <c r="AB457" s="79" t="s">
        <v>1124</v>
      </c>
      <c r="AC457" s="85"/>
      <c r="AD457" s="85"/>
      <c r="AE457" s="85"/>
      <c r="AF457" s="85"/>
      <c r="AG457" s="85" t="s">
        <v>1124</v>
      </c>
      <c r="AH457" s="85"/>
      <c r="AI457" s="85"/>
      <c r="AJ457" s="85"/>
      <c r="AK457" s="85"/>
      <c r="AL457" s="85"/>
      <c r="AM457" s="85"/>
      <c r="AN457" s="85"/>
      <c r="AO457" s="85"/>
      <c r="AP457" s="85"/>
      <c r="AQ457" s="85"/>
      <c r="AR457" s="85" t="s">
        <v>1124</v>
      </c>
      <c r="AS457" s="85"/>
      <c r="AT457" s="85"/>
      <c r="AU457" s="85"/>
      <c r="AV457" s="85"/>
      <c r="AW457" s="85"/>
      <c r="AX457" s="85"/>
      <c r="AY457" s="85"/>
      <c r="AZ457" s="85"/>
      <c r="BA457" s="85"/>
      <c r="BB457" s="89"/>
      <c r="BC457" s="89" t="s">
        <v>1124</v>
      </c>
      <c r="BD457" s="37"/>
      <c r="BE457" s="37"/>
      <c r="BF457" s="279"/>
      <c r="BG457" s="37"/>
      <c r="BH457" s="37"/>
      <c r="BI457" s="37"/>
      <c r="BJ457" s="283"/>
      <c r="BK457" s="161"/>
      <c r="BL457" s="294"/>
      <c r="BM457"/>
      <c r="BN457"/>
      <c r="BO457"/>
      <c r="BP457"/>
      <c r="BQ457"/>
      <c r="BR457"/>
      <c r="BS457"/>
      <c r="BT457"/>
      <c r="BU457"/>
      <c r="BV457"/>
      <c r="BW457"/>
      <c r="BX457"/>
      <c r="BY457"/>
      <c r="BZ457"/>
      <c r="CA457"/>
      <c r="CB457"/>
      <c r="CC457"/>
      <c r="CD457"/>
      <c r="CE457"/>
      <c r="CF457"/>
      <c r="CG457"/>
      <c r="CH457"/>
      <c r="CI457"/>
      <c r="CJ457"/>
    </row>
    <row r="458" spans="1:88" s="32" customFormat="1" ht="15" customHeight="1" x14ac:dyDescent="0.35">
      <c r="A458" s="473"/>
      <c r="B458" s="313">
        <v>72032</v>
      </c>
      <c r="C458" s="8" t="s">
        <v>732</v>
      </c>
      <c r="D458" s="18">
        <v>15</v>
      </c>
      <c r="E458" s="251">
        <v>1294</v>
      </c>
      <c r="F458" s="82">
        <v>2.7470167064439139</v>
      </c>
      <c r="G458" s="79">
        <v>3554.6396181384248</v>
      </c>
      <c r="H458" s="90">
        <v>20.032</v>
      </c>
      <c r="I458" s="85">
        <v>18.318999999999999</v>
      </c>
      <c r="J458" s="85">
        <v>21.692</v>
      </c>
      <c r="K458" s="85">
        <v>21.212</v>
      </c>
      <c r="L458" s="85">
        <v>25.798999999999999</v>
      </c>
      <c r="M458" s="85">
        <v>29.783000000000001</v>
      </c>
      <c r="N458" s="85">
        <v>33.781999999999996</v>
      </c>
      <c r="O458" s="85">
        <v>32.08</v>
      </c>
      <c r="P458" s="85">
        <v>22.596</v>
      </c>
      <c r="Q458" s="85">
        <v>21.196999999999999</v>
      </c>
      <c r="R458" s="85">
        <v>17.419</v>
      </c>
      <c r="S458" s="89">
        <v>17.756</v>
      </c>
      <c r="T458" s="89">
        <v>281.66699999999992</v>
      </c>
      <c r="U458" s="85">
        <v>281.66699999999997</v>
      </c>
      <c r="V458" s="85">
        <v>0</v>
      </c>
      <c r="W458" s="85">
        <v>0</v>
      </c>
      <c r="X458" s="89">
        <v>281.66699999999997</v>
      </c>
      <c r="Y458" s="79">
        <v>1</v>
      </c>
      <c r="Z458" s="79">
        <v>0</v>
      </c>
      <c r="AA458" s="94">
        <v>0</v>
      </c>
      <c r="AB458" s="79">
        <v>1</v>
      </c>
      <c r="AC458" s="85">
        <v>198.59899999999999</v>
      </c>
      <c r="AD458" s="85">
        <v>20.839999999999975</v>
      </c>
      <c r="AE458" s="85">
        <v>62.228000000000002</v>
      </c>
      <c r="AF458" s="85">
        <v>0</v>
      </c>
      <c r="AG458" s="85">
        <v>281.66699999999997</v>
      </c>
      <c r="AH458" s="85">
        <v>281.66699999999997</v>
      </c>
      <c r="AI458" s="85">
        <v>0</v>
      </c>
      <c r="AJ458" s="85">
        <v>0</v>
      </c>
      <c r="AK458" s="85">
        <v>0</v>
      </c>
      <c r="AL458" s="85">
        <v>0</v>
      </c>
      <c r="AM458" s="85">
        <v>0</v>
      </c>
      <c r="AN458" s="85">
        <v>0</v>
      </c>
      <c r="AO458" s="85">
        <v>0</v>
      </c>
      <c r="AP458" s="85">
        <v>0</v>
      </c>
      <c r="AQ458" s="85">
        <v>0</v>
      </c>
      <c r="AR458" s="85">
        <v>281.66699999999997</v>
      </c>
      <c r="AS458" s="85">
        <v>0</v>
      </c>
      <c r="AT458" s="85">
        <v>0</v>
      </c>
      <c r="AU458" s="85">
        <v>0</v>
      </c>
      <c r="AV458" s="85">
        <v>0</v>
      </c>
      <c r="AW458" s="85">
        <v>0</v>
      </c>
      <c r="AX458" s="85">
        <v>0</v>
      </c>
      <c r="AY458" s="85">
        <v>0</v>
      </c>
      <c r="AZ458" s="85">
        <v>0</v>
      </c>
      <c r="BA458" s="85">
        <v>0</v>
      </c>
      <c r="BB458" s="89">
        <v>0</v>
      </c>
      <c r="BC458" s="89">
        <v>0</v>
      </c>
      <c r="BD458" s="37">
        <v>238531</v>
      </c>
      <c r="BE458" s="37">
        <v>0</v>
      </c>
      <c r="BF458" s="279">
        <v>45341</v>
      </c>
      <c r="BG458" s="37">
        <v>132345</v>
      </c>
      <c r="BH458" s="37">
        <v>31789</v>
      </c>
      <c r="BI458" s="37">
        <v>84703</v>
      </c>
      <c r="BJ458" s="283">
        <v>294178</v>
      </c>
      <c r="BK458" s="161" t="s">
        <v>2354</v>
      </c>
      <c r="BL458" s="294"/>
      <c r="BM458"/>
      <c r="BN458"/>
      <c r="BO458"/>
      <c r="BP458"/>
      <c r="BQ458"/>
      <c r="BR458"/>
      <c r="BS458"/>
      <c r="BT458"/>
      <c r="BU458"/>
      <c r="BV458"/>
      <c r="BW458"/>
      <c r="BX458"/>
      <c r="BY458"/>
      <c r="BZ458"/>
      <c r="CA458"/>
      <c r="CB458"/>
      <c r="CC458"/>
      <c r="CD458"/>
      <c r="CE458"/>
      <c r="CF458"/>
      <c r="CG458"/>
      <c r="CH458"/>
      <c r="CI458"/>
      <c r="CJ458"/>
    </row>
    <row r="459" spans="1:88" s="32" customFormat="1" ht="15" customHeight="1" x14ac:dyDescent="0.35">
      <c r="A459" s="473"/>
      <c r="B459" s="313">
        <v>45115</v>
      </c>
      <c r="C459" s="8" t="s">
        <v>426</v>
      </c>
      <c r="D459" s="18">
        <v>5</v>
      </c>
      <c r="E459" s="251">
        <v>919</v>
      </c>
      <c r="F459" s="82">
        <v>2.3088161209068012</v>
      </c>
      <c r="G459" s="79">
        <v>2121.8020151133505</v>
      </c>
      <c r="H459" s="90">
        <v>31.596</v>
      </c>
      <c r="I459" s="85">
        <v>27.373999999999999</v>
      </c>
      <c r="J459" s="85">
        <v>30.952000000000002</v>
      </c>
      <c r="K459" s="85">
        <v>25.981999999999999</v>
      </c>
      <c r="L459" s="85">
        <v>27.916</v>
      </c>
      <c r="M459" s="85">
        <v>28.908999999999999</v>
      </c>
      <c r="N459" s="85">
        <v>35.634</v>
      </c>
      <c r="O459" s="85">
        <v>31.324999999999999</v>
      </c>
      <c r="P459" s="85">
        <v>27.577000000000002</v>
      </c>
      <c r="Q459" s="85">
        <v>29.72</v>
      </c>
      <c r="R459" s="85">
        <v>23.154</v>
      </c>
      <c r="S459" s="89">
        <v>26.484999999999999</v>
      </c>
      <c r="T459" s="89">
        <v>346.62400000000002</v>
      </c>
      <c r="U459" s="85">
        <v>0</v>
      </c>
      <c r="V459" s="85">
        <v>346.62400000000002</v>
      </c>
      <c r="W459" s="85">
        <v>0</v>
      </c>
      <c r="X459" s="89">
        <v>346.62400000000002</v>
      </c>
      <c r="Y459" s="79">
        <v>0</v>
      </c>
      <c r="Z459" s="79">
        <v>9</v>
      </c>
      <c r="AA459" s="94">
        <v>0</v>
      </c>
      <c r="AB459" s="79">
        <v>9</v>
      </c>
      <c r="AC459" s="85">
        <v>304.39575026910654</v>
      </c>
      <c r="AD459" s="85">
        <v>8.5116097308935039</v>
      </c>
      <c r="AE459" s="85">
        <v>33.716639999999977</v>
      </c>
      <c r="AF459" s="85">
        <v>0</v>
      </c>
      <c r="AG459" s="85">
        <v>346.62400000000002</v>
      </c>
      <c r="AH459" s="85">
        <v>0</v>
      </c>
      <c r="AI459" s="85">
        <v>0</v>
      </c>
      <c r="AJ459" s="85">
        <v>0</v>
      </c>
      <c r="AK459" s="85">
        <v>0</v>
      </c>
      <c r="AL459" s="85">
        <v>0</v>
      </c>
      <c r="AM459" s="85">
        <v>0</v>
      </c>
      <c r="AN459" s="85">
        <v>0</v>
      </c>
      <c r="AO459" s="85">
        <v>0</v>
      </c>
      <c r="AP459" s="85">
        <v>0</v>
      </c>
      <c r="AQ459" s="85">
        <v>0</v>
      </c>
      <c r="AR459" s="85">
        <v>0</v>
      </c>
      <c r="AS459" s="85">
        <v>0</v>
      </c>
      <c r="AT459" s="85">
        <v>0</v>
      </c>
      <c r="AU459" s="85">
        <v>0</v>
      </c>
      <c r="AV459" s="85">
        <v>0</v>
      </c>
      <c r="AW459" s="85">
        <v>0</v>
      </c>
      <c r="AX459" s="85">
        <v>0</v>
      </c>
      <c r="AY459" s="85">
        <v>0</v>
      </c>
      <c r="AZ459" s="85">
        <v>0</v>
      </c>
      <c r="BA459" s="85">
        <v>346.62400000000002</v>
      </c>
      <c r="BB459" s="89">
        <v>0</v>
      </c>
      <c r="BC459" s="89">
        <v>346.62400000000002</v>
      </c>
      <c r="BD459" s="37">
        <v>0</v>
      </c>
      <c r="BE459" s="37">
        <v>0</v>
      </c>
      <c r="BF459" s="279">
        <v>51300</v>
      </c>
      <c r="BG459" s="37">
        <v>99650</v>
      </c>
      <c r="BH459" s="37">
        <v>49209</v>
      </c>
      <c r="BI459" s="37">
        <v>0</v>
      </c>
      <c r="BJ459" s="283">
        <v>200159</v>
      </c>
      <c r="BK459" s="161"/>
      <c r="BL459" s="294"/>
      <c r="BM459"/>
      <c r="BN459"/>
      <c r="BO459"/>
      <c r="BP459"/>
      <c r="BQ459"/>
      <c r="BR459"/>
      <c r="BS459"/>
      <c r="BT459"/>
      <c r="BU459"/>
      <c r="BV459"/>
      <c r="BW459"/>
      <c r="BX459"/>
      <c r="BY459"/>
      <c r="BZ459"/>
      <c r="CA459"/>
      <c r="CB459"/>
      <c r="CC459"/>
      <c r="CD459"/>
      <c r="CE459"/>
      <c r="CF459"/>
      <c r="CG459"/>
      <c r="CH459"/>
      <c r="CI459"/>
      <c r="CJ459"/>
    </row>
    <row r="460" spans="1:88" s="32" customFormat="1" ht="15" customHeight="1" x14ac:dyDescent="0.35">
      <c r="A460" s="473"/>
      <c r="B460" s="313">
        <v>69037</v>
      </c>
      <c r="C460" s="8" t="s">
        <v>689</v>
      </c>
      <c r="D460" s="18">
        <v>16</v>
      </c>
      <c r="E460" s="251"/>
      <c r="F460" s="82"/>
      <c r="G460" s="79"/>
      <c r="H460" s="90"/>
      <c r="I460" s="85"/>
      <c r="J460" s="85"/>
      <c r="K460" s="85"/>
      <c r="L460" s="85"/>
      <c r="M460" s="85"/>
      <c r="N460" s="85"/>
      <c r="O460" s="85"/>
      <c r="P460" s="85"/>
      <c r="Q460" s="85"/>
      <c r="R460" s="85"/>
      <c r="S460" s="89"/>
      <c r="T460" s="89" t="s">
        <v>1124</v>
      </c>
      <c r="U460" s="85"/>
      <c r="V460" s="85"/>
      <c r="W460" s="85"/>
      <c r="X460" s="89" t="s">
        <v>1124</v>
      </c>
      <c r="Y460" s="79"/>
      <c r="Z460" s="79"/>
      <c r="AA460" s="94"/>
      <c r="AB460" s="79" t="s">
        <v>1124</v>
      </c>
      <c r="AC460" s="85"/>
      <c r="AD460" s="85"/>
      <c r="AE460" s="85"/>
      <c r="AF460" s="85"/>
      <c r="AG460" s="85" t="s">
        <v>1124</v>
      </c>
      <c r="AH460" s="85"/>
      <c r="AI460" s="85"/>
      <c r="AJ460" s="85"/>
      <c r="AK460" s="85"/>
      <c r="AL460" s="85"/>
      <c r="AM460" s="85"/>
      <c r="AN460" s="85"/>
      <c r="AO460" s="85"/>
      <c r="AP460" s="85"/>
      <c r="AQ460" s="85"/>
      <c r="AR460" s="85" t="s">
        <v>1124</v>
      </c>
      <c r="AS460" s="85"/>
      <c r="AT460" s="85"/>
      <c r="AU460" s="85"/>
      <c r="AV460" s="85"/>
      <c r="AW460" s="85"/>
      <c r="AX460" s="85"/>
      <c r="AY460" s="85"/>
      <c r="AZ460" s="85"/>
      <c r="BA460" s="85"/>
      <c r="BB460" s="89"/>
      <c r="BC460" s="89" t="s">
        <v>1124</v>
      </c>
      <c r="BD460" s="37"/>
      <c r="BE460" s="37"/>
      <c r="BF460" s="279"/>
      <c r="BG460" s="37"/>
      <c r="BH460" s="37"/>
      <c r="BI460" s="37"/>
      <c r="BJ460" s="283"/>
      <c r="BK460" s="161"/>
      <c r="BL460" s="294"/>
      <c r="BM460"/>
      <c r="BN460"/>
      <c r="BO460"/>
      <c r="BP460"/>
      <c r="BQ460"/>
      <c r="BR460"/>
      <c r="BS460"/>
      <c r="BT460"/>
      <c r="BU460"/>
      <c r="BV460"/>
      <c r="BW460"/>
      <c r="BX460"/>
      <c r="BY460"/>
      <c r="BZ460"/>
      <c r="CA460"/>
      <c r="CB460"/>
      <c r="CC460"/>
      <c r="CD460"/>
      <c r="CE460"/>
      <c r="CF460"/>
      <c r="CG460"/>
      <c r="CH460"/>
      <c r="CI460"/>
      <c r="CJ460"/>
    </row>
    <row r="461" spans="1:88" s="32" customFormat="1" ht="15" customHeight="1" x14ac:dyDescent="0.35">
      <c r="A461" s="473"/>
      <c r="B461" s="313">
        <v>84055</v>
      </c>
      <c r="C461" s="8" t="s">
        <v>862</v>
      </c>
      <c r="D461" s="18">
        <v>7</v>
      </c>
      <c r="E461" s="251"/>
      <c r="F461" s="82"/>
      <c r="G461" s="79"/>
      <c r="H461" s="90"/>
      <c r="I461" s="85"/>
      <c r="J461" s="85"/>
      <c r="K461" s="85"/>
      <c r="L461" s="85"/>
      <c r="M461" s="85"/>
      <c r="N461" s="85"/>
      <c r="O461" s="85"/>
      <c r="P461" s="85"/>
      <c r="Q461" s="85"/>
      <c r="R461" s="85"/>
      <c r="S461" s="89"/>
      <c r="T461" s="89" t="s">
        <v>1124</v>
      </c>
      <c r="U461" s="85"/>
      <c r="V461" s="85"/>
      <c r="W461" s="85"/>
      <c r="X461" s="89" t="s">
        <v>1124</v>
      </c>
      <c r="Y461" s="79"/>
      <c r="Z461" s="79"/>
      <c r="AA461" s="94"/>
      <c r="AB461" s="79" t="s">
        <v>1124</v>
      </c>
      <c r="AC461" s="85"/>
      <c r="AD461" s="85"/>
      <c r="AE461" s="85"/>
      <c r="AF461" s="85"/>
      <c r="AG461" s="85" t="s">
        <v>1124</v>
      </c>
      <c r="AH461" s="85"/>
      <c r="AI461" s="85"/>
      <c r="AJ461" s="85"/>
      <c r="AK461" s="85"/>
      <c r="AL461" s="85"/>
      <c r="AM461" s="85"/>
      <c r="AN461" s="85"/>
      <c r="AO461" s="85"/>
      <c r="AP461" s="85"/>
      <c r="AQ461" s="85"/>
      <c r="AR461" s="85" t="s">
        <v>1124</v>
      </c>
      <c r="AS461" s="85"/>
      <c r="AT461" s="85"/>
      <c r="AU461" s="85"/>
      <c r="AV461" s="85"/>
      <c r="AW461" s="85"/>
      <c r="AX461" s="85"/>
      <c r="AY461" s="85"/>
      <c r="AZ461" s="85"/>
      <c r="BA461" s="85"/>
      <c r="BB461" s="89"/>
      <c r="BC461" s="89" t="s">
        <v>1124</v>
      </c>
      <c r="BD461" s="37"/>
      <c r="BE461" s="37"/>
      <c r="BF461" s="279"/>
      <c r="BG461" s="37"/>
      <c r="BH461" s="37"/>
      <c r="BI461" s="37"/>
      <c r="BJ461" s="283"/>
      <c r="BK461" s="161"/>
      <c r="BL461" s="294"/>
      <c r="BM461"/>
      <c r="BN461"/>
      <c r="BO461"/>
      <c r="BP461"/>
      <c r="BQ461"/>
      <c r="BR461"/>
      <c r="BS461"/>
      <c r="BT461"/>
      <c r="BU461"/>
      <c r="BV461"/>
      <c r="BW461"/>
      <c r="BX461"/>
      <c r="BY461"/>
      <c r="BZ461"/>
      <c r="CA461"/>
      <c r="CB461"/>
      <c r="CC461"/>
      <c r="CD461"/>
      <c r="CE461"/>
      <c r="CF461"/>
      <c r="CG461"/>
      <c r="CH461"/>
      <c r="CI461"/>
      <c r="CJ461"/>
    </row>
    <row r="462" spans="1:88" s="32" customFormat="1" ht="15" customHeight="1" x14ac:dyDescent="0.35">
      <c r="A462" s="473"/>
      <c r="B462" s="313">
        <v>57030</v>
      </c>
      <c r="C462" s="8" t="s">
        <v>585</v>
      </c>
      <c r="D462" s="18">
        <v>16</v>
      </c>
      <c r="E462" s="251"/>
      <c r="F462" s="82"/>
      <c r="G462" s="79"/>
      <c r="H462" s="90"/>
      <c r="I462" s="85"/>
      <c r="J462" s="85"/>
      <c r="K462" s="85"/>
      <c r="L462" s="85"/>
      <c r="M462" s="85"/>
      <c r="N462" s="85"/>
      <c r="O462" s="85"/>
      <c r="P462" s="85"/>
      <c r="Q462" s="85"/>
      <c r="R462" s="85"/>
      <c r="S462" s="89"/>
      <c r="T462" s="89" t="s">
        <v>1124</v>
      </c>
      <c r="U462" s="85"/>
      <c r="V462" s="85"/>
      <c r="W462" s="85"/>
      <c r="X462" s="89" t="s">
        <v>1124</v>
      </c>
      <c r="Y462" s="79"/>
      <c r="Z462" s="79"/>
      <c r="AA462" s="94"/>
      <c r="AB462" s="79" t="s">
        <v>1124</v>
      </c>
      <c r="AC462" s="85"/>
      <c r="AD462" s="85"/>
      <c r="AE462" s="85"/>
      <c r="AF462" s="85"/>
      <c r="AG462" s="85" t="s">
        <v>1124</v>
      </c>
      <c r="AH462" s="85"/>
      <c r="AI462" s="85"/>
      <c r="AJ462" s="85"/>
      <c r="AK462" s="85"/>
      <c r="AL462" s="85"/>
      <c r="AM462" s="85"/>
      <c r="AN462" s="85"/>
      <c r="AO462" s="85"/>
      <c r="AP462" s="85"/>
      <c r="AQ462" s="85"/>
      <c r="AR462" s="85" t="s">
        <v>1124</v>
      </c>
      <c r="AS462" s="85"/>
      <c r="AT462" s="85"/>
      <c r="AU462" s="85"/>
      <c r="AV462" s="85"/>
      <c r="AW462" s="85"/>
      <c r="AX462" s="85"/>
      <c r="AY462" s="85"/>
      <c r="AZ462" s="85"/>
      <c r="BA462" s="85"/>
      <c r="BB462" s="89"/>
      <c r="BC462" s="89" t="s">
        <v>1124</v>
      </c>
      <c r="BD462" s="37"/>
      <c r="BE462" s="37"/>
      <c r="BF462" s="279"/>
      <c r="BG462" s="37"/>
      <c r="BH462" s="37"/>
      <c r="BI462" s="37"/>
      <c r="BJ462" s="283"/>
      <c r="BK462" s="161"/>
      <c r="BL462" s="294"/>
      <c r="BM462"/>
      <c r="BN462"/>
      <c r="BO462"/>
      <c r="BP462"/>
      <c r="BQ462"/>
      <c r="BR462"/>
      <c r="BS462"/>
      <c r="BT462"/>
      <c r="BU462"/>
      <c r="BV462"/>
      <c r="BW462"/>
      <c r="BX462"/>
      <c r="BY462"/>
      <c r="BZ462"/>
      <c r="CA462"/>
      <c r="CB462"/>
      <c r="CC462"/>
      <c r="CD462"/>
      <c r="CE462"/>
      <c r="CF462"/>
      <c r="CG462"/>
      <c r="CH462"/>
      <c r="CI462"/>
      <c r="CJ462"/>
    </row>
    <row r="463" spans="1:88" s="32" customFormat="1" ht="15" customHeight="1" x14ac:dyDescent="0.35">
      <c r="A463" s="473"/>
      <c r="B463" s="313">
        <v>13015</v>
      </c>
      <c r="C463" s="8" t="s">
        <v>43</v>
      </c>
      <c r="D463" s="18">
        <v>1</v>
      </c>
      <c r="E463" s="251"/>
      <c r="F463" s="82"/>
      <c r="G463" s="79"/>
      <c r="H463" s="90"/>
      <c r="I463" s="85"/>
      <c r="J463" s="85"/>
      <c r="K463" s="85"/>
      <c r="L463" s="85"/>
      <c r="M463" s="85"/>
      <c r="N463" s="85"/>
      <c r="O463" s="85"/>
      <c r="P463" s="85"/>
      <c r="Q463" s="85"/>
      <c r="R463" s="85"/>
      <c r="S463" s="89"/>
      <c r="T463" s="89" t="s">
        <v>1124</v>
      </c>
      <c r="U463" s="85"/>
      <c r="V463" s="85"/>
      <c r="W463" s="85"/>
      <c r="X463" s="89" t="s">
        <v>1124</v>
      </c>
      <c r="Y463" s="79"/>
      <c r="Z463" s="79"/>
      <c r="AA463" s="94"/>
      <c r="AB463" s="79" t="s">
        <v>1124</v>
      </c>
      <c r="AC463" s="85"/>
      <c r="AD463" s="85"/>
      <c r="AE463" s="85"/>
      <c r="AF463" s="85"/>
      <c r="AG463" s="85" t="s">
        <v>1124</v>
      </c>
      <c r="AH463" s="85"/>
      <c r="AI463" s="85"/>
      <c r="AJ463" s="85"/>
      <c r="AK463" s="85"/>
      <c r="AL463" s="85"/>
      <c r="AM463" s="85"/>
      <c r="AN463" s="85"/>
      <c r="AO463" s="85"/>
      <c r="AP463" s="85"/>
      <c r="AQ463" s="85"/>
      <c r="AR463" s="85" t="s">
        <v>1124</v>
      </c>
      <c r="AS463" s="85"/>
      <c r="AT463" s="85"/>
      <c r="AU463" s="85"/>
      <c r="AV463" s="85"/>
      <c r="AW463" s="85"/>
      <c r="AX463" s="85"/>
      <c r="AY463" s="85"/>
      <c r="AZ463" s="85"/>
      <c r="BA463" s="85"/>
      <c r="BB463" s="89"/>
      <c r="BC463" s="89" t="s">
        <v>1124</v>
      </c>
      <c r="BD463" s="37"/>
      <c r="BE463" s="37"/>
      <c r="BF463" s="279"/>
      <c r="BG463" s="37"/>
      <c r="BH463" s="37"/>
      <c r="BI463" s="37"/>
      <c r="BJ463" s="283"/>
      <c r="BK463" s="161"/>
      <c r="BL463" s="294"/>
      <c r="BM463"/>
      <c r="BN463"/>
      <c r="BO463"/>
      <c r="BP463"/>
      <c r="BQ463"/>
      <c r="BR463"/>
      <c r="BS463"/>
      <c r="BT463"/>
      <c r="BU463"/>
      <c r="BV463"/>
      <c r="BW463"/>
      <c r="BX463"/>
      <c r="BY463"/>
      <c r="BZ463"/>
      <c r="CA463"/>
      <c r="CB463"/>
      <c r="CC463"/>
      <c r="CD463"/>
      <c r="CE463"/>
      <c r="CF463"/>
      <c r="CG463"/>
      <c r="CH463"/>
      <c r="CI463"/>
      <c r="CJ463"/>
    </row>
    <row r="464" spans="1:88" s="32" customFormat="1" ht="15" customHeight="1" x14ac:dyDescent="0.35">
      <c r="A464" s="473"/>
      <c r="B464" s="313">
        <v>9040</v>
      </c>
      <c r="C464" s="8" t="s">
        <v>1104</v>
      </c>
      <c r="D464" s="18">
        <v>1</v>
      </c>
      <c r="E464" s="251"/>
      <c r="F464" s="82"/>
      <c r="G464" s="79"/>
      <c r="H464" s="90"/>
      <c r="I464" s="85"/>
      <c r="J464" s="85"/>
      <c r="K464" s="85"/>
      <c r="L464" s="85"/>
      <c r="M464" s="85"/>
      <c r="N464" s="85"/>
      <c r="O464" s="85"/>
      <c r="P464" s="85"/>
      <c r="Q464" s="85"/>
      <c r="R464" s="85"/>
      <c r="S464" s="89"/>
      <c r="T464" s="89" t="s">
        <v>1124</v>
      </c>
      <c r="U464" s="85"/>
      <c r="V464" s="85"/>
      <c r="W464" s="85"/>
      <c r="X464" s="89" t="s">
        <v>1124</v>
      </c>
      <c r="Y464" s="79"/>
      <c r="Z464" s="79"/>
      <c r="AA464" s="94"/>
      <c r="AB464" s="79" t="s">
        <v>1124</v>
      </c>
      <c r="AC464" s="85"/>
      <c r="AD464" s="85"/>
      <c r="AE464" s="85"/>
      <c r="AF464" s="85"/>
      <c r="AG464" s="85" t="s">
        <v>1124</v>
      </c>
      <c r="AH464" s="85"/>
      <c r="AI464" s="85"/>
      <c r="AJ464" s="85"/>
      <c r="AK464" s="85"/>
      <c r="AL464" s="85"/>
      <c r="AM464" s="85"/>
      <c r="AN464" s="85"/>
      <c r="AO464" s="85"/>
      <c r="AP464" s="85"/>
      <c r="AQ464" s="85"/>
      <c r="AR464" s="85" t="s">
        <v>1124</v>
      </c>
      <c r="AS464" s="85"/>
      <c r="AT464" s="85"/>
      <c r="AU464" s="85"/>
      <c r="AV464" s="85"/>
      <c r="AW464" s="85"/>
      <c r="AX464" s="85"/>
      <c r="AY464" s="85"/>
      <c r="AZ464" s="85"/>
      <c r="BA464" s="85"/>
      <c r="BB464" s="89"/>
      <c r="BC464" s="89" t="s">
        <v>1124</v>
      </c>
      <c r="BD464" s="37"/>
      <c r="BE464" s="37"/>
      <c r="BF464" s="279"/>
      <c r="BG464" s="37"/>
      <c r="BH464" s="37"/>
      <c r="BI464" s="37"/>
      <c r="BJ464" s="283"/>
      <c r="BK464" s="161"/>
      <c r="BL464" s="294"/>
      <c r="BM464"/>
      <c r="BN464"/>
      <c r="BO464"/>
      <c r="BP464"/>
      <c r="BQ464"/>
      <c r="BR464"/>
      <c r="BS464"/>
      <c r="BT464"/>
      <c r="BU464"/>
      <c r="BV464"/>
      <c r="BW464"/>
      <c r="BX464"/>
      <c r="BY464"/>
      <c r="BZ464"/>
      <c r="CA464"/>
      <c r="CB464"/>
      <c r="CC464"/>
      <c r="CD464"/>
      <c r="CE464"/>
      <c r="CF464"/>
      <c r="CG464"/>
      <c r="CH464"/>
      <c r="CI464"/>
      <c r="CJ464"/>
    </row>
    <row r="465" spans="1:88" s="32" customFormat="1" ht="15" customHeight="1" x14ac:dyDescent="0.35">
      <c r="A465" s="473"/>
      <c r="B465" s="313">
        <v>87025</v>
      </c>
      <c r="C465" s="8" t="s">
        <v>894</v>
      </c>
      <c r="D465" s="18">
        <v>8</v>
      </c>
      <c r="E465" s="251"/>
      <c r="F465" s="82"/>
      <c r="G465" s="79"/>
      <c r="H465" s="90"/>
      <c r="I465" s="85"/>
      <c r="J465" s="85"/>
      <c r="K465" s="85"/>
      <c r="L465" s="85"/>
      <c r="M465" s="85"/>
      <c r="N465" s="85"/>
      <c r="O465" s="85"/>
      <c r="P465" s="85"/>
      <c r="Q465" s="85"/>
      <c r="R465" s="85"/>
      <c r="S465" s="89"/>
      <c r="T465" s="89" t="s">
        <v>1124</v>
      </c>
      <c r="U465" s="85"/>
      <c r="V465" s="85"/>
      <c r="W465" s="85"/>
      <c r="X465" s="89" t="s">
        <v>1124</v>
      </c>
      <c r="Y465" s="79"/>
      <c r="Z465" s="79"/>
      <c r="AA465" s="94"/>
      <c r="AB465" s="79" t="s">
        <v>1124</v>
      </c>
      <c r="AC465" s="85"/>
      <c r="AD465" s="85"/>
      <c r="AE465" s="85"/>
      <c r="AF465" s="85"/>
      <c r="AG465" s="85" t="s">
        <v>1124</v>
      </c>
      <c r="AH465" s="85"/>
      <c r="AI465" s="85"/>
      <c r="AJ465" s="85"/>
      <c r="AK465" s="85"/>
      <c r="AL465" s="85"/>
      <c r="AM465" s="85"/>
      <c r="AN465" s="85"/>
      <c r="AO465" s="85"/>
      <c r="AP465" s="85"/>
      <c r="AQ465" s="85"/>
      <c r="AR465" s="85" t="s">
        <v>1124</v>
      </c>
      <c r="AS465" s="85"/>
      <c r="AT465" s="85"/>
      <c r="AU465" s="85"/>
      <c r="AV465" s="85"/>
      <c r="AW465" s="85"/>
      <c r="AX465" s="85"/>
      <c r="AY465" s="85"/>
      <c r="AZ465" s="85"/>
      <c r="BA465" s="85"/>
      <c r="BB465" s="89"/>
      <c r="BC465" s="89" t="s">
        <v>1124</v>
      </c>
      <c r="BD465" s="37"/>
      <c r="BE465" s="37"/>
      <c r="BF465" s="279"/>
      <c r="BG465" s="37"/>
      <c r="BH465" s="37"/>
      <c r="BI465" s="37"/>
      <c r="BJ465" s="283"/>
      <c r="BK465" s="161"/>
      <c r="BL465" s="294"/>
      <c r="BM465"/>
      <c r="BN465"/>
      <c r="BO465"/>
      <c r="BP465"/>
      <c r="BQ465"/>
      <c r="BR465"/>
      <c r="BS465"/>
      <c r="BT465"/>
      <c r="BU465"/>
      <c r="BV465"/>
      <c r="BW465"/>
      <c r="BX465"/>
      <c r="BY465"/>
      <c r="BZ465"/>
      <c r="CA465"/>
      <c r="CB465"/>
      <c r="CC465"/>
      <c r="CD465"/>
      <c r="CE465"/>
      <c r="CF465"/>
      <c r="CG465"/>
      <c r="CH465"/>
      <c r="CI465"/>
      <c r="CJ465"/>
    </row>
    <row r="466" spans="1:88" s="32" customFormat="1" ht="15" customHeight="1" x14ac:dyDescent="0.35">
      <c r="A466" s="473"/>
      <c r="B466" s="313">
        <v>80037</v>
      </c>
      <c r="C466" s="8" t="s">
        <v>808</v>
      </c>
      <c r="D466" s="18">
        <v>7</v>
      </c>
      <c r="E466" s="251">
        <v>990</v>
      </c>
      <c r="F466" s="82">
        <v>1.8860986547085201</v>
      </c>
      <c r="G466" s="79">
        <v>1867.2376681614348</v>
      </c>
      <c r="H466" s="90">
        <v>22.055</v>
      </c>
      <c r="I466" s="85">
        <v>19.042999999999999</v>
      </c>
      <c r="J466" s="85">
        <v>18.398</v>
      </c>
      <c r="K466" s="85">
        <v>18.712</v>
      </c>
      <c r="L466" s="85">
        <v>20.149000000000001</v>
      </c>
      <c r="M466" s="85">
        <v>22.535</v>
      </c>
      <c r="N466" s="85">
        <v>25.146000000000001</v>
      </c>
      <c r="O466" s="85">
        <v>22.606000000000002</v>
      </c>
      <c r="P466" s="85">
        <v>21.134</v>
      </c>
      <c r="Q466" s="85">
        <v>20.321999999999999</v>
      </c>
      <c r="R466" s="85">
        <v>19.263000000000002</v>
      </c>
      <c r="S466" s="89">
        <v>19.718</v>
      </c>
      <c r="T466" s="89">
        <v>249.08100000000002</v>
      </c>
      <c r="U466" s="85">
        <v>0</v>
      </c>
      <c r="V466" s="85">
        <v>249.08100000000002</v>
      </c>
      <c r="W466" s="85">
        <v>0</v>
      </c>
      <c r="X466" s="89">
        <v>249.08100000000002</v>
      </c>
      <c r="Y466" s="79">
        <v>0</v>
      </c>
      <c r="Z466" s="79">
        <v>1</v>
      </c>
      <c r="AA466" s="94">
        <v>0</v>
      </c>
      <c r="AB466" s="79">
        <v>1</v>
      </c>
      <c r="AC466" s="85">
        <v>96.200870349864005</v>
      </c>
      <c r="AD466" s="85">
        <v>52.430839132653489</v>
      </c>
      <c r="AE466" s="85">
        <v>100.44929051748252</v>
      </c>
      <c r="AF466" s="85">
        <v>0</v>
      </c>
      <c r="AG466" s="85">
        <v>249.08100000000002</v>
      </c>
      <c r="AH466" s="85">
        <v>0</v>
      </c>
      <c r="AI466" s="85">
        <v>0</v>
      </c>
      <c r="AJ466" s="85">
        <v>0</v>
      </c>
      <c r="AK466" s="85">
        <v>0</v>
      </c>
      <c r="AL466" s="85">
        <v>0</v>
      </c>
      <c r="AM466" s="85">
        <v>0</v>
      </c>
      <c r="AN466" s="85">
        <v>0</v>
      </c>
      <c r="AO466" s="85">
        <v>0</v>
      </c>
      <c r="AP466" s="85">
        <v>0</v>
      </c>
      <c r="AQ466" s="85">
        <v>0</v>
      </c>
      <c r="AR466" s="85">
        <v>0</v>
      </c>
      <c r="AS466" s="85">
        <v>0</v>
      </c>
      <c r="AT466" s="85">
        <v>0</v>
      </c>
      <c r="AU466" s="85">
        <v>0</v>
      </c>
      <c r="AV466" s="85">
        <v>0</v>
      </c>
      <c r="AW466" s="85">
        <v>0</v>
      </c>
      <c r="AX466" s="85">
        <v>0</v>
      </c>
      <c r="AY466" s="85">
        <v>249.08100000000002</v>
      </c>
      <c r="AZ466" s="85">
        <v>0</v>
      </c>
      <c r="BA466" s="85">
        <v>0</v>
      </c>
      <c r="BB466" s="89">
        <v>0</v>
      </c>
      <c r="BC466" s="89">
        <v>249.08100000000002</v>
      </c>
      <c r="BD466" s="37">
        <v>0</v>
      </c>
      <c r="BE466" s="37">
        <v>0</v>
      </c>
      <c r="BF466" s="279">
        <v>345</v>
      </c>
      <c r="BG466" s="37">
        <v>19000</v>
      </c>
      <c r="BH466" s="37">
        <v>12267</v>
      </c>
      <c r="BI466" s="37">
        <v>4220</v>
      </c>
      <c r="BJ466" s="283">
        <v>35832</v>
      </c>
      <c r="BK466" s="161"/>
      <c r="BL466" s="294"/>
      <c r="BM466"/>
      <c r="BN466"/>
      <c r="BO466"/>
      <c r="BP466"/>
      <c r="BQ466"/>
      <c r="BR466"/>
      <c r="BS466"/>
      <c r="BT466"/>
      <c r="BU466"/>
      <c r="BV466"/>
      <c r="BW466"/>
      <c r="BX466"/>
      <c r="BY466"/>
      <c r="BZ466"/>
      <c r="CA466"/>
      <c r="CB466"/>
      <c r="CC466"/>
      <c r="CD466"/>
      <c r="CE466"/>
      <c r="CF466"/>
      <c r="CG466"/>
      <c r="CH466"/>
      <c r="CI466"/>
      <c r="CJ466"/>
    </row>
    <row r="467" spans="1:88" s="32" customFormat="1" ht="15" customHeight="1" x14ac:dyDescent="0.35">
      <c r="A467" s="473"/>
      <c r="B467" s="313">
        <v>38055</v>
      </c>
      <c r="C467" s="8" t="s">
        <v>333</v>
      </c>
      <c r="D467" s="18">
        <v>17</v>
      </c>
      <c r="E467" s="251">
        <v>271</v>
      </c>
      <c r="F467" s="82">
        <v>2.2661290322580645</v>
      </c>
      <c r="G467" s="79">
        <v>614.12096774193549</v>
      </c>
      <c r="H467" s="90">
        <v>7.4329999999999998</v>
      </c>
      <c r="I467" s="85">
        <v>6.601</v>
      </c>
      <c r="J467" s="85">
        <v>7.6980000000000004</v>
      </c>
      <c r="K467" s="85">
        <v>7.0730000000000004</v>
      </c>
      <c r="L467" s="85">
        <v>8.8559999999999999</v>
      </c>
      <c r="M467" s="85">
        <v>8.5589999999999993</v>
      </c>
      <c r="N467" s="85">
        <v>9.9529999999999994</v>
      </c>
      <c r="O467" s="85">
        <v>9.1150000000000002</v>
      </c>
      <c r="P467" s="85">
        <v>7.9450000000000003</v>
      </c>
      <c r="Q467" s="85">
        <v>8.4109999999999996</v>
      </c>
      <c r="R467" s="85">
        <v>7.3159999999999998</v>
      </c>
      <c r="S467" s="89">
        <v>7.6390000000000002</v>
      </c>
      <c r="T467" s="89">
        <v>96.599000000000004</v>
      </c>
      <c r="U467" s="85">
        <v>0</v>
      </c>
      <c r="V467" s="85">
        <v>96.599000000000004</v>
      </c>
      <c r="W467" s="85">
        <v>0</v>
      </c>
      <c r="X467" s="89">
        <v>96.599000000000004</v>
      </c>
      <c r="Y467" s="79">
        <v>0</v>
      </c>
      <c r="Z467" s="79">
        <v>1</v>
      </c>
      <c r="AA467" s="94">
        <v>0</v>
      </c>
      <c r="AB467" s="79">
        <v>1</v>
      </c>
      <c r="AC467" s="85">
        <v>65.042000000000002</v>
      </c>
      <c r="AD467" s="85">
        <v>16.09</v>
      </c>
      <c r="AE467" s="85">
        <v>15.467000000000001</v>
      </c>
      <c r="AF467" s="85">
        <v>0</v>
      </c>
      <c r="AG467" s="85">
        <v>96.599000000000004</v>
      </c>
      <c r="AH467" s="85">
        <v>0</v>
      </c>
      <c r="AI467" s="85">
        <v>0</v>
      </c>
      <c r="AJ467" s="85">
        <v>0</v>
      </c>
      <c r="AK467" s="85">
        <v>0</v>
      </c>
      <c r="AL467" s="85">
        <v>0</v>
      </c>
      <c r="AM467" s="85">
        <v>0</v>
      </c>
      <c r="AN467" s="85">
        <v>0</v>
      </c>
      <c r="AO467" s="85">
        <v>0</v>
      </c>
      <c r="AP467" s="85">
        <v>0</v>
      </c>
      <c r="AQ467" s="85">
        <v>0</v>
      </c>
      <c r="AR467" s="85">
        <v>0</v>
      </c>
      <c r="AS467" s="85">
        <v>0</v>
      </c>
      <c r="AT467" s="85">
        <v>0</v>
      </c>
      <c r="AU467" s="85">
        <v>0</v>
      </c>
      <c r="AV467" s="85">
        <v>0</v>
      </c>
      <c r="AW467" s="85">
        <v>0</v>
      </c>
      <c r="AX467" s="85">
        <v>0</v>
      </c>
      <c r="AY467" s="85">
        <v>0</v>
      </c>
      <c r="AZ467" s="85">
        <v>0</v>
      </c>
      <c r="BA467" s="85">
        <v>96.599000000000004</v>
      </c>
      <c r="BB467" s="89">
        <v>0</v>
      </c>
      <c r="BC467" s="89">
        <v>96.599000000000004</v>
      </c>
      <c r="BD467" s="37">
        <v>15364</v>
      </c>
      <c r="BE467" s="37">
        <v>54407</v>
      </c>
      <c r="BF467" s="279">
        <v>270</v>
      </c>
      <c r="BG467" s="37">
        <v>7024</v>
      </c>
      <c r="BH467" s="37">
        <v>5765</v>
      </c>
      <c r="BI467" s="37">
        <v>3428</v>
      </c>
      <c r="BJ467" s="283">
        <v>16487</v>
      </c>
      <c r="BK467" s="161"/>
      <c r="BL467" s="294"/>
      <c r="BM467"/>
      <c r="BN467"/>
      <c r="BO467"/>
      <c r="BP467"/>
      <c r="BQ467"/>
      <c r="BR467"/>
      <c r="BS467"/>
      <c r="BT467"/>
      <c r="BU467"/>
      <c r="BV467"/>
      <c r="BW467"/>
      <c r="BX467"/>
      <c r="BY467"/>
      <c r="BZ467"/>
      <c r="CA467"/>
      <c r="CB467"/>
      <c r="CC467"/>
      <c r="CD467"/>
      <c r="CE467"/>
      <c r="CF467"/>
      <c r="CG467"/>
      <c r="CH467"/>
      <c r="CI467"/>
      <c r="CJ467"/>
    </row>
    <row r="468" spans="1:88" s="32" customFormat="1" ht="15" customHeight="1" x14ac:dyDescent="0.35">
      <c r="A468" s="473"/>
      <c r="B468" s="313">
        <v>5032</v>
      </c>
      <c r="C468" s="8" t="s">
        <v>1048</v>
      </c>
      <c r="D468" s="18">
        <v>11</v>
      </c>
      <c r="E468" s="251">
        <v>1520</v>
      </c>
      <c r="F468" s="82">
        <v>2.0368421049999998</v>
      </c>
      <c r="G468" s="79">
        <v>3095.9999995999997</v>
      </c>
      <c r="H468" s="90">
        <v>82.137</v>
      </c>
      <c r="I468" s="85">
        <v>75.608999999999995</v>
      </c>
      <c r="J468" s="85">
        <v>91.122</v>
      </c>
      <c r="K468" s="85">
        <v>90.356999999999999</v>
      </c>
      <c r="L468" s="85">
        <v>96.442999999999998</v>
      </c>
      <c r="M468" s="85">
        <v>92.896000000000001</v>
      </c>
      <c r="N468" s="85">
        <v>88.070999999999998</v>
      </c>
      <c r="O468" s="85">
        <v>82.554000000000002</v>
      </c>
      <c r="P468" s="85">
        <v>85.587999999999994</v>
      </c>
      <c r="Q468" s="85">
        <v>76.134</v>
      </c>
      <c r="R468" s="85">
        <v>65.649000000000001</v>
      </c>
      <c r="S468" s="89">
        <v>72.213999999999999</v>
      </c>
      <c r="T468" s="89">
        <v>998.77399999999989</v>
      </c>
      <c r="U468" s="85">
        <v>0</v>
      </c>
      <c r="V468" s="85">
        <v>998.774</v>
      </c>
      <c r="W468" s="85">
        <v>0</v>
      </c>
      <c r="X468" s="89">
        <v>998.774</v>
      </c>
      <c r="Y468" s="79">
        <v>0</v>
      </c>
      <c r="Z468" s="79">
        <v>1</v>
      </c>
      <c r="AA468" s="94">
        <v>0</v>
      </c>
      <c r="AB468" s="79">
        <v>1</v>
      </c>
      <c r="AC468" s="85">
        <v>378.93599999999998</v>
      </c>
      <c r="AD468" s="85">
        <v>140.06299999999999</v>
      </c>
      <c r="AE468" s="85">
        <v>479.77499999999998</v>
      </c>
      <c r="AF468" s="85">
        <v>0</v>
      </c>
      <c r="AG468" s="85">
        <v>998.774</v>
      </c>
      <c r="AH468" s="85">
        <v>0</v>
      </c>
      <c r="AI468" s="85">
        <v>0</v>
      </c>
      <c r="AJ468" s="85">
        <v>0</v>
      </c>
      <c r="AK468" s="85">
        <v>0</v>
      </c>
      <c r="AL468" s="85">
        <v>0</v>
      </c>
      <c r="AM468" s="85">
        <v>0</v>
      </c>
      <c r="AN468" s="85">
        <v>0</v>
      </c>
      <c r="AO468" s="85">
        <v>0</v>
      </c>
      <c r="AP468" s="85">
        <v>0</v>
      </c>
      <c r="AQ468" s="85">
        <v>0</v>
      </c>
      <c r="AR468" s="85">
        <v>0</v>
      </c>
      <c r="AS468" s="85">
        <v>0</v>
      </c>
      <c r="AT468" s="85">
        <v>0</v>
      </c>
      <c r="AU468" s="85">
        <v>0</v>
      </c>
      <c r="AV468" s="85">
        <v>0</v>
      </c>
      <c r="AW468" s="85">
        <v>0</v>
      </c>
      <c r="AX468" s="85">
        <v>0</v>
      </c>
      <c r="AY468" s="85">
        <v>998.774</v>
      </c>
      <c r="AZ468" s="85">
        <v>0</v>
      </c>
      <c r="BA468" s="85">
        <v>0</v>
      </c>
      <c r="BB468" s="89">
        <v>0</v>
      </c>
      <c r="BC468" s="89">
        <v>998.774</v>
      </c>
      <c r="BD468" s="37">
        <v>0</v>
      </c>
      <c r="BE468" s="37">
        <v>0</v>
      </c>
      <c r="BF468" s="279">
        <v>3000</v>
      </c>
      <c r="BG468" s="37">
        <v>27685</v>
      </c>
      <c r="BH468" s="37">
        <v>56166</v>
      </c>
      <c r="BI468" s="37">
        <v>5481</v>
      </c>
      <c r="BJ468" s="283">
        <v>92332</v>
      </c>
      <c r="BK468" s="161" t="s">
        <v>2367</v>
      </c>
      <c r="BL468" s="294"/>
      <c r="BM468"/>
      <c r="BN468"/>
      <c r="BO468"/>
      <c r="BP468"/>
      <c r="BQ468"/>
      <c r="BR468"/>
      <c r="BS468"/>
      <c r="BT468"/>
      <c r="BU468"/>
      <c r="BV468"/>
      <c r="BW468"/>
      <c r="BX468"/>
      <c r="BY468"/>
      <c r="BZ468"/>
      <c r="CA468"/>
      <c r="CB468"/>
      <c r="CC468"/>
      <c r="CD468"/>
      <c r="CE468"/>
      <c r="CF468"/>
      <c r="CG468"/>
      <c r="CH468"/>
      <c r="CI468"/>
      <c r="CJ468"/>
    </row>
    <row r="469" spans="1:88" s="32" customFormat="1" ht="15" customHeight="1" x14ac:dyDescent="0.35">
      <c r="A469" s="473"/>
      <c r="B469" s="313">
        <v>2005</v>
      </c>
      <c r="C469" s="8" t="s">
        <v>1026</v>
      </c>
      <c r="D469" s="18">
        <v>11</v>
      </c>
      <c r="E469" s="251">
        <v>413</v>
      </c>
      <c r="F469" s="82">
        <v>1.6969866071428572</v>
      </c>
      <c r="G469" s="79">
        <v>700.85546875</v>
      </c>
      <c r="H469" s="90">
        <v>19.240000000000002</v>
      </c>
      <c r="I469" s="85">
        <v>16.315999999999999</v>
      </c>
      <c r="J469" s="85">
        <v>18.221</v>
      </c>
      <c r="K469" s="85">
        <v>19.349</v>
      </c>
      <c r="L469" s="85">
        <v>24.524999999999999</v>
      </c>
      <c r="M469" s="85">
        <v>32.751999999999995</v>
      </c>
      <c r="N469" s="85">
        <v>45.894999999999996</v>
      </c>
      <c r="O469" s="85">
        <v>49.079000000000001</v>
      </c>
      <c r="P469" s="85">
        <v>37.005000000000003</v>
      </c>
      <c r="Q469" s="85">
        <v>29.457999999999998</v>
      </c>
      <c r="R469" s="85">
        <v>19.802</v>
      </c>
      <c r="S469" s="89">
        <v>19.380000000000003</v>
      </c>
      <c r="T469" s="89">
        <v>331.02200000000005</v>
      </c>
      <c r="U469" s="85">
        <v>124.69999999999999</v>
      </c>
      <c r="V469" s="85">
        <v>206.322</v>
      </c>
      <c r="W469" s="85">
        <v>0</v>
      </c>
      <c r="X469" s="89">
        <v>331.02199999999999</v>
      </c>
      <c r="Y469" s="79">
        <v>1</v>
      </c>
      <c r="Z469" s="79">
        <v>1</v>
      </c>
      <c r="AA469" s="94">
        <v>0</v>
      </c>
      <c r="AB469" s="79">
        <v>2</v>
      </c>
      <c r="AC469" s="85">
        <v>118.55523927765236</v>
      </c>
      <c r="AD469" s="85">
        <v>20.280808222347702</v>
      </c>
      <c r="AE469" s="85">
        <v>192.18595249999998</v>
      </c>
      <c r="AF469" s="85">
        <v>0</v>
      </c>
      <c r="AG469" s="85">
        <v>331.02200000000005</v>
      </c>
      <c r="AH469" s="85">
        <v>0</v>
      </c>
      <c r="AI469" s="85">
        <v>0</v>
      </c>
      <c r="AJ469" s="85">
        <v>0</v>
      </c>
      <c r="AK469" s="85">
        <v>0</v>
      </c>
      <c r="AL469" s="85">
        <v>0</v>
      </c>
      <c r="AM469" s="85">
        <v>124.69999999999999</v>
      </c>
      <c r="AN469" s="85">
        <v>0</v>
      </c>
      <c r="AO469" s="85">
        <v>0</v>
      </c>
      <c r="AP469" s="85">
        <v>0</v>
      </c>
      <c r="AQ469" s="85">
        <v>0</v>
      </c>
      <c r="AR469" s="85">
        <v>124.69999999999999</v>
      </c>
      <c r="AS469" s="85">
        <v>0</v>
      </c>
      <c r="AT469" s="85">
        <v>0</v>
      </c>
      <c r="AU469" s="85">
        <v>0</v>
      </c>
      <c r="AV469" s="85">
        <v>0</v>
      </c>
      <c r="AW469" s="85">
        <v>0</v>
      </c>
      <c r="AX469" s="85">
        <v>206.322</v>
      </c>
      <c r="AY469" s="85">
        <v>0</v>
      </c>
      <c r="AZ469" s="85">
        <v>0</v>
      </c>
      <c r="BA469" s="85">
        <v>0</v>
      </c>
      <c r="BB469" s="89">
        <v>0</v>
      </c>
      <c r="BC469" s="89">
        <v>206.322</v>
      </c>
      <c r="BD469" s="37">
        <v>0</v>
      </c>
      <c r="BE469" s="37">
        <v>0</v>
      </c>
      <c r="BF469" s="279">
        <v>64330</v>
      </c>
      <c r="BG469" s="37">
        <v>133848</v>
      </c>
      <c r="BH469" s="37">
        <v>64284</v>
      </c>
      <c r="BI469" s="37">
        <v>184324</v>
      </c>
      <c r="BJ469" s="283">
        <v>446786</v>
      </c>
      <c r="BK469" s="161"/>
      <c r="BL469" s="294"/>
      <c r="BM469"/>
      <c r="BN469"/>
      <c r="BO469"/>
      <c r="BP469"/>
      <c r="BQ469"/>
      <c r="BR469"/>
      <c r="BS469"/>
      <c r="BT469"/>
      <c r="BU469"/>
      <c r="BV469"/>
      <c r="BW469"/>
      <c r="BX469"/>
      <c r="BY469"/>
      <c r="BZ469"/>
      <c r="CA469"/>
      <c r="CB469"/>
      <c r="CC469"/>
      <c r="CD469"/>
      <c r="CE469"/>
      <c r="CF469"/>
      <c r="CG469"/>
      <c r="CH469"/>
      <c r="CI469"/>
      <c r="CJ469"/>
    </row>
    <row r="470" spans="1:88" s="32" customFormat="1" ht="15" customHeight="1" x14ac:dyDescent="0.35">
      <c r="A470" s="473"/>
      <c r="B470" s="313">
        <v>92010</v>
      </c>
      <c r="C470" s="8" t="s">
        <v>947</v>
      </c>
      <c r="D470" s="18">
        <v>2</v>
      </c>
      <c r="E470" s="251"/>
      <c r="F470" s="82"/>
      <c r="G470" s="79"/>
      <c r="H470" s="90"/>
      <c r="I470" s="85"/>
      <c r="J470" s="85"/>
      <c r="K470" s="85"/>
      <c r="L470" s="85"/>
      <c r="M470" s="85"/>
      <c r="N470" s="85"/>
      <c r="O470" s="85"/>
      <c r="P470" s="85"/>
      <c r="Q470" s="85"/>
      <c r="R470" s="85"/>
      <c r="S470" s="89"/>
      <c r="T470" s="89" t="s">
        <v>1124</v>
      </c>
      <c r="U470" s="85"/>
      <c r="V470" s="85"/>
      <c r="W470" s="85"/>
      <c r="X470" s="89" t="s">
        <v>1124</v>
      </c>
      <c r="Y470" s="79"/>
      <c r="Z470" s="79"/>
      <c r="AA470" s="94"/>
      <c r="AB470" s="79" t="s">
        <v>1124</v>
      </c>
      <c r="AC470" s="85"/>
      <c r="AD470" s="85"/>
      <c r="AE470" s="85"/>
      <c r="AF470" s="85"/>
      <c r="AG470" s="85" t="s">
        <v>1124</v>
      </c>
      <c r="AH470" s="85"/>
      <c r="AI470" s="85"/>
      <c r="AJ470" s="85"/>
      <c r="AK470" s="85"/>
      <c r="AL470" s="85"/>
      <c r="AM470" s="85"/>
      <c r="AN470" s="85"/>
      <c r="AO470" s="85"/>
      <c r="AP470" s="85"/>
      <c r="AQ470" s="85"/>
      <c r="AR470" s="85" t="s">
        <v>1124</v>
      </c>
      <c r="AS470" s="85"/>
      <c r="AT470" s="85"/>
      <c r="AU470" s="85"/>
      <c r="AV470" s="85"/>
      <c r="AW470" s="85"/>
      <c r="AX470" s="85"/>
      <c r="AY470" s="85"/>
      <c r="AZ470" s="85"/>
      <c r="BA470" s="85"/>
      <c r="BB470" s="89"/>
      <c r="BC470" s="89" t="s">
        <v>1124</v>
      </c>
      <c r="BD470" s="37"/>
      <c r="BE470" s="37"/>
      <c r="BF470" s="279"/>
      <c r="BG470" s="37"/>
      <c r="BH470" s="37"/>
      <c r="BI470" s="37"/>
      <c r="BJ470" s="283"/>
      <c r="BK470" s="161"/>
      <c r="BL470" s="294"/>
      <c r="BM470"/>
      <c r="BN470"/>
      <c r="BO470"/>
      <c r="BP470"/>
      <c r="BQ470"/>
      <c r="BR470"/>
      <c r="BS470"/>
      <c r="BT470"/>
      <c r="BU470"/>
      <c r="BV470"/>
      <c r="BW470"/>
      <c r="BX470"/>
      <c r="BY470"/>
      <c r="BZ470"/>
      <c r="CA470"/>
      <c r="CB470"/>
      <c r="CC470"/>
      <c r="CD470"/>
      <c r="CE470"/>
      <c r="CF470"/>
      <c r="CG470"/>
      <c r="CH470"/>
      <c r="CI470"/>
      <c r="CJ470"/>
    </row>
    <row r="471" spans="1:88" s="32" customFormat="1" ht="15" customHeight="1" x14ac:dyDescent="0.35">
      <c r="A471" s="473"/>
      <c r="B471" s="313">
        <v>16005</v>
      </c>
      <c r="C471" s="8" t="s">
        <v>84</v>
      </c>
      <c r="D471" s="18">
        <v>3</v>
      </c>
      <c r="E471" s="251">
        <v>538</v>
      </c>
      <c r="F471" s="82">
        <v>1.3031674208144797</v>
      </c>
      <c r="G471" s="79">
        <v>701.10407239819006</v>
      </c>
      <c r="H471" s="90">
        <v>7.25</v>
      </c>
      <c r="I471" s="85">
        <v>7.1280000000000001</v>
      </c>
      <c r="J471" s="85">
        <v>8.891</v>
      </c>
      <c r="K471" s="85">
        <v>7.7329999999999997</v>
      </c>
      <c r="L471" s="85">
        <v>8.3109999999999999</v>
      </c>
      <c r="M471" s="85">
        <v>9.1980000000000004</v>
      </c>
      <c r="N471" s="85">
        <v>13.09</v>
      </c>
      <c r="O471" s="85">
        <v>11.015000000000001</v>
      </c>
      <c r="P471" s="85">
        <v>8.5860000000000003</v>
      </c>
      <c r="Q471" s="85">
        <v>7.9480000000000004</v>
      </c>
      <c r="R471" s="85">
        <v>7.4660000000000002</v>
      </c>
      <c r="S471" s="89">
        <v>8.18</v>
      </c>
      <c r="T471" s="89">
        <v>104.79599999999999</v>
      </c>
      <c r="U471" s="85">
        <v>0</v>
      </c>
      <c r="V471" s="85">
        <v>104.79600000000001</v>
      </c>
      <c r="W471" s="85">
        <v>0</v>
      </c>
      <c r="X471" s="89">
        <v>104.79600000000001</v>
      </c>
      <c r="Y471" s="79">
        <v>0</v>
      </c>
      <c r="Z471" s="79">
        <v>2</v>
      </c>
      <c r="AA471" s="94">
        <v>0</v>
      </c>
      <c r="AB471" s="79">
        <v>2</v>
      </c>
      <c r="AC471" s="85">
        <v>88.2</v>
      </c>
      <c r="AD471" s="85">
        <v>5.0109399999999802</v>
      </c>
      <c r="AE471" s="85">
        <v>11.585060000000009</v>
      </c>
      <c r="AF471" s="85">
        <v>0</v>
      </c>
      <c r="AG471" s="85">
        <v>104.79599999999999</v>
      </c>
      <c r="AH471" s="85">
        <v>0</v>
      </c>
      <c r="AI471" s="85">
        <v>0</v>
      </c>
      <c r="AJ471" s="85">
        <v>0</v>
      </c>
      <c r="AK471" s="85">
        <v>0</v>
      </c>
      <c r="AL471" s="85">
        <v>0</v>
      </c>
      <c r="AM471" s="85">
        <v>0</v>
      </c>
      <c r="AN471" s="85">
        <v>0</v>
      </c>
      <c r="AO471" s="85">
        <v>0</v>
      </c>
      <c r="AP471" s="85">
        <v>0</v>
      </c>
      <c r="AQ471" s="85">
        <v>0</v>
      </c>
      <c r="AR471" s="85">
        <v>0</v>
      </c>
      <c r="AS471" s="85">
        <v>0</v>
      </c>
      <c r="AT471" s="85">
        <v>0</v>
      </c>
      <c r="AU471" s="85">
        <v>0</v>
      </c>
      <c r="AV471" s="85">
        <v>0</v>
      </c>
      <c r="AW471" s="85">
        <v>0</v>
      </c>
      <c r="AX471" s="85">
        <v>0</v>
      </c>
      <c r="AY471" s="85">
        <v>104.79600000000001</v>
      </c>
      <c r="AZ471" s="85">
        <v>0</v>
      </c>
      <c r="BA471" s="85">
        <v>0</v>
      </c>
      <c r="BB471" s="89">
        <v>0</v>
      </c>
      <c r="BC471" s="89">
        <v>104.79600000000001</v>
      </c>
      <c r="BD471" s="37">
        <v>244368</v>
      </c>
      <c r="BE471" s="37">
        <v>72990</v>
      </c>
      <c r="BF471" s="279">
        <v>12000</v>
      </c>
      <c r="BG471" s="37">
        <v>36500</v>
      </c>
      <c r="BH471" s="37">
        <v>12700</v>
      </c>
      <c r="BI471" s="37">
        <v>0</v>
      </c>
      <c r="BJ471" s="283">
        <v>61200</v>
      </c>
      <c r="BK471" s="161"/>
      <c r="BL471" s="294"/>
      <c r="BM471"/>
      <c r="BN471"/>
      <c r="BO471"/>
      <c r="BP471"/>
      <c r="BQ471"/>
      <c r="BR471"/>
      <c r="BS471"/>
      <c r="BT471"/>
      <c r="BU471"/>
      <c r="BV471"/>
      <c r="BW471"/>
      <c r="BX471"/>
      <c r="BY471"/>
      <c r="BZ471"/>
      <c r="CA471"/>
      <c r="CB471"/>
      <c r="CC471"/>
      <c r="CD471"/>
      <c r="CE471"/>
      <c r="CF471"/>
      <c r="CG471"/>
      <c r="CH471"/>
      <c r="CI471"/>
      <c r="CJ471"/>
    </row>
    <row r="472" spans="1:88" s="32" customFormat="1" ht="15" customHeight="1" x14ac:dyDescent="0.35">
      <c r="A472" s="473"/>
      <c r="B472" s="313">
        <v>3015</v>
      </c>
      <c r="C472" s="8" t="s">
        <v>1033</v>
      </c>
      <c r="D472" s="18">
        <v>11</v>
      </c>
      <c r="E472" s="251"/>
      <c r="F472" s="82"/>
      <c r="G472" s="79"/>
      <c r="H472" s="90"/>
      <c r="I472" s="85"/>
      <c r="J472" s="85"/>
      <c r="K472" s="85"/>
      <c r="L472" s="85"/>
      <c r="M472" s="85"/>
      <c r="N472" s="85"/>
      <c r="O472" s="85"/>
      <c r="P472" s="85"/>
      <c r="Q472" s="85"/>
      <c r="R472" s="85"/>
      <c r="S472" s="89"/>
      <c r="T472" s="89" t="s">
        <v>1124</v>
      </c>
      <c r="U472" s="85"/>
      <c r="V472" s="85"/>
      <c r="W472" s="85"/>
      <c r="X472" s="89" t="s">
        <v>1124</v>
      </c>
      <c r="Y472" s="79"/>
      <c r="Z472" s="79"/>
      <c r="AA472" s="94"/>
      <c r="AB472" s="79" t="s">
        <v>1124</v>
      </c>
      <c r="AC472" s="85"/>
      <c r="AD472" s="85"/>
      <c r="AE472" s="85"/>
      <c r="AF472" s="85"/>
      <c r="AG472" s="85" t="s">
        <v>1124</v>
      </c>
      <c r="AH472" s="85"/>
      <c r="AI472" s="85"/>
      <c r="AJ472" s="85"/>
      <c r="AK472" s="85"/>
      <c r="AL472" s="85"/>
      <c r="AM472" s="85"/>
      <c r="AN472" s="85"/>
      <c r="AO472" s="85"/>
      <c r="AP472" s="85"/>
      <c r="AQ472" s="85"/>
      <c r="AR472" s="85" t="s">
        <v>1124</v>
      </c>
      <c r="AS472" s="85"/>
      <c r="AT472" s="85"/>
      <c r="AU472" s="85"/>
      <c r="AV472" s="85"/>
      <c r="AW472" s="85"/>
      <c r="AX472" s="85"/>
      <c r="AY472" s="85"/>
      <c r="AZ472" s="85"/>
      <c r="BA472" s="85"/>
      <c r="BB472" s="89"/>
      <c r="BC472" s="89" t="s">
        <v>1124</v>
      </c>
      <c r="BD472" s="37"/>
      <c r="BE472" s="37"/>
      <c r="BF472" s="279"/>
      <c r="BG472" s="37"/>
      <c r="BH472" s="37"/>
      <c r="BI472" s="37"/>
      <c r="BJ472" s="283"/>
      <c r="BK472" s="161"/>
      <c r="BL472" s="294"/>
      <c r="BM472"/>
      <c r="BN472"/>
      <c r="BO472"/>
      <c r="BP472"/>
      <c r="BQ472"/>
      <c r="BR472"/>
      <c r="BS472"/>
      <c r="BT472"/>
      <c r="BU472"/>
      <c r="BV472"/>
      <c r="BW472"/>
      <c r="BX472"/>
      <c r="BY472"/>
      <c r="BZ472"/>
      <c r="CA472"/>
      <c r="CB472"/>
      <c r="CC472"/>
      <c r="CD472"/>
      <c r="CE472"/>
      <c r="CF472"/>
      <c r="CG472"/>
      <c r="CH472"/>
      <c r="CI472"/>
      <c r="CJ472"/>
    </row>
    <row r="473" spans="1:88" s="32" customFormat="1" ht="15" customHeight="1" x14ac:dyDescent="0.35">
      <c r="A473" s="473"/>
      <c r="B473" s="313">
        <v>94205</v>
      </c>
      <c r="C473" s="8" t="s">
        <v>973</v>
      </c>
      <c r="D473" s="18">
        <v>2</v>
      </c>
      <c r="E473" s="251">
        <v>246</v>
      </c>
      <c r="F473" s="82">
        <v>1.7016129032258065</v>
      </c>
      <c r="G473" s="79">
        <v>418.59677419354841</v>
      </c>
      <c r="H473" s="90">
        <v>7.5810000000000004</v>
      </c>
      <c r="I473" s="85">
        <v>6.7969999999999997</v>
      </c>
      <c r="J473" s="85">
        <v>7.4020000000000001</v>
      </c>
      <c r="K473" s="85">
        <v>6.7190000000000003</v>
      </c>
      <c r="L473" s="85">
        <v>6.7149999999999999</v>
      </c>
      <c r="M473" s="85">
        <v>6.6340000000000003</v>
      </c>
      <c r="N473" s="85">
        <v>7.7080000000000002</v>
      </c>
      <c r="O473" s="85">
        <v>7.0650000000000004</v>
      </c>
      <c r="P473" s="85">
        <v>5.9189999999999996</v>
      </c>
      <c r="Q473" s="85">
        <v>6.16</v>
      </c>
      <c r="R473" s="85">
        <v>6.1609999999999996</v>
      </c>
      <c r="S473" s="89">
        <v>7.4219999999999997</v>
      </c>
      <c r="T473" s="89">
        <v>82.282999999999987</v>
      </c>
      <c r="U473" s="85">
        <v>0</v>
      </c>
      <c r="V473" s="85">
        <v>82.283000000000001</v>
      </c>
      <c r="W473" s="85">
        <v>0</v>
      </c>
      <c r="X473" s="89">
        <v>82.283000000000001</v>
      </c>
      <c r="Y473" s="79">
        <v>0</v>
      </c>
      <c r="Z473" s="79">
        <v>1</v>
      </c>
      <c r="AA473" s="94">
        <v>0</v>
      </c>
      <c r="AB473" s="79">
        <v>1</v>
      </c>
      <c r="AC473" s="85">
        <v>48.02</v>
      </c>
      <c r="AD473" s="85">
        <v>3.9670000000000001</v>
      </c>
      <c r="AE473" s="85">
        <v>30.295999999999999</v>
      </c>
      <c r="AF473" s="85">
        <v>0</v>
      </c>
      <c r="AG473" s="85">
        <v>82.283000000000001</v>
      </c>
      <c r="AH473" s="85">
        <v>0</v>
      </c>
      <c r="AI473" s="85">
        <v>0</v>
      </c>
      <c r="AJ473" s="85">
        <v>0</v>
      </c>
      <c r="AK473" s="85">
        <v>0</v>
      </c>
      <c r="AL473" s="85">
        <v>0</v>
      </c>
      <c r="AM473" s="85">
        <v>0</v>
      </c>
      <c r="AN473" s="85">
        <v>0</v>
      </c>
      <c r="AO473" s="85">
        <v>0</v>
      </c>
      <c r="AP473" s="85">
        <v>0</v>
      </c>
      <c r="AQ473" s="85">
        <v>0</v>
      </c>
      <c r="AR473" s="85">
        <v>0</v>
      </c>
      <c r="AS473" s="85">
        <v>0</v>
      </c>
      <c r="AT473" s="85">
        <v>0</v>
      </c>
      <c r="AU473" s="85">
        <v>0</v>
      </c>
      <c r="AV473" s="85">
        <v>0</v>
      </c>
      <c r="AW473" s="85">
        <v>0</v>
      </c>
      <c r="AX473" s="85">
        <v>0</v>
      </c>
      <c r="AY473" s="85">
        <v>0</v>
      </c>
      <c r="AZ473" s="85">
        <v>82.283000000000001</v>
      </c>
      <c r="BA473" s="85">
        <v>0</v>
      </c>
      <c r="BB473" s="89">
        <v>0</v>
      </c>
      <c r="BC473" s="89">
        <v>82.283000000000001</v>
      </c>
      <c r="BD473" s="37">
        <v>0</v>
      </c>
      <c r="BE473" s="37">
        <v>0</v>
      </c>
      <c r="BF473" s="279">
        <v>3250</v>
      </c>
      <c r="BG473" s="37">
        <v>30000</v>
      </c>
      <c r="BH473" s="37">
        <v>15500</v>
      </c>
      <c r="BI473" s="37">
        <v>0</v>
      </c>
      <c r="BJ473" s="283">
        <v>48750</v>
      </c>
      <c r="BK473" s="161"/>
      <c r="BL473" s="294"/>
      <c r="BM473"/>
      <c r="BN473"/>
      <c r="BO473"/>
      <c r="BP473"/>
      <c r="BQ473"/>
      <c r="BR473"/>
      <c r="BS473"/>
      <c r="BT473"/>
      <c r="BU473"/>
      <c r="BV473"/>
      <c r="BW473"/>
      <c r="BX473"/>
      <c r="BY473"/>
      <c r="BZ473"/>
      <c r="CA473"/>
      <c r="CB473"/>
      <c r="CC473"/>
      <c r="CD473"/>
      <c r="CE473"/>
      <c r="CF473"/>
      <c r="CG473"/>
      <c r="CH473"/>
      <c r="CI473"/>
      <c r="CJ473"/>
    </row>
    <row r="474" spans="1:88" s="32" customFormat="1" ht="15" customHeight="1" x14ac:dyDescent="0.35">
      <c r="A474" s="473"/>
      <c r="B474" s="313">
        <v>77030</v>
      </c>
      <c r="C474" s="8" t="s">
        <v>759</v>
      </c>
      <c r="D474" s="18">
        <v>15</v>
      </c>
      <c r="E474" s="251">
        <v>2082</v>
      </c>
      <c r="F474" s="82">
        <v>1.4391143911439115</v>
      </c>
      <c r="G474" s="79">
        <v>2996.2361623616239</v>
      </c>
      <c r="H474" s="90">
        <v>42.033999999999999</v>
      </c>
      <c r="I474" s="85">
        <v>57.582999999999998</v>
      </c>
      <c r="J474" s="85">
        <v>58.204000000000001</v>
      </c>
      <c r="K474" s="85">
        <v>59.595999999999997</v>
      </c>
      <c r="L474" s="85">
        <v>55.005000000000003</v>
      </c>
      <c r="M474" s="85">
        <v>59.62</v>
      </c>
      <c r="N474" s="85">
        <v>78.656000000000006</v>
      </c>
      <c r="O474" s="85">
        <v>73.98</v>
      </c>
      <c r="P474" s="85">
        <v>79.225999999999999</v>
      </c>
      <c r="Q474" s="85">
        <v>83.59</v>
      </c>
      <c r="R474" s="85">
        <v>74.617000000000004</v>
      </c>
      <c r="S474" s="89">
        <v>96.385000000000005</v>
      </c>
      <c r="T474" s="89">
        <v>818.49599999999998</v>
      </c>
      <c r="U474" s="85">
        <v>0</v>
      </c>
      <c r="V474" s="85">
        <v>818.49599999999998</v>
      </c>
      <c r="W474" s="85">
        <v>0</v>
      </c>
      <c r="X474" s="89">
        <v>818.49599999999998</v>
      </c>
      <c r="Y474" s="79">
        <v>0</v>
      </c>
      <c r="Z474" s="79">
        <v>3</v>
      </c>
      <c r="AA474" s="94">
        <v>0</v>
      </c>
      <c r="AB474" s="79">
        <v>3</v>
      </c>
      <c r="AC474" s="85">
        <v>488.53399999999999</v>
      </c>
      <c r="AD474" s="85">
        <v>101.90599999999995</v>
      </c>
      <c r="AE474" s="85">
        <v>228.05600000000001</v>
      </c>
      <c r="AF474" s="85">
        <v>0</v>
      </c>
      <c r="AG474" s="85">
        <v>818.49599999999998</v>
      </c>
      <c r="AH474" s="85">
        <v>0</v>
      </c>
      <c r="AI474" s="85">
        <v>0</v>
      </c>
      <c r="AJ474" s="85">
        <v>0</v>
      </c>
      <c r="AK474" s="85">
        <v>0</v>
      </c>
      <c r="AL474" s="85">
        <v>0</v>
      </c>
      <c r="AM474" s="85">
        <v>0</v>
      </c>
      <c r="AN474" s="85">
        <v>0</v>
      </c>
      <c r="AO474" s="85">
        <v>0</v>
      </c>
      <c r="AP474" s="85">
        <v>0</v>
      </c>
      <c r="AQ474" s="85">
        <v>0</v>
      </c>
      <c r="AR474" s="85">
        <v>0</v>
      </c>
      <c r="AS474" s="85">
        <v>0</v>
      </c>
      <c r="AT474" s="85">
        <v>0</v>
      </c>
      <c r="AU474" s="85">
        <v>0</v>
      </c>
      <c r="AV474" s="85">
        <v>0</v>
      </c>
      <c r="AW474" s="85">
        <v>0</v>
      </c>
      <c r="AX474" s="85">
        <v>0</v>
      </c>
      <c r="AY474" s="85">
        <v>818.49599999999998</v>
      </c>
      <c r="AZ474" s="85">
        <v>0</v>
      </c>
      <c r="BA474" s="85">
        <v>0</v>
      </c>
      <c r="BB474" s="89">
        <v>0</v>
      </c>
      <c r="BC474" s="89">
        <v>818.49599999999998</v>
      </c>
      <c r="BD474" s="37">
        <v>0</v>
      </c>
      <c r="BE474" s="37">
        <v>0</v>
      </c>
      <c r="BF474" s="279">
        <v>2350</v>
      </c>
      <c r="BG474" s="37">
        <v>227703</v>
      </c>
      <c r="BH474" s="37">
        <v>76331</v>
      </c>
      <c r="BI474" s="37">
        <v>409815</v>
      </c>
      <c r="BJ474" s="283">
        <v>716199</v>
      </c>
      <c r="BK474" s="161"/>
      <c r="BL474" s="294"/>
      <c r="BM474"/>
      <c r="BN474"/>
      <c r="BO474"/>
      <c r="BP474"/>
      <c r="BQ474"/>
      <c r="BR474"/>
      <c r="BS474"/>
      <c r="BT474"/>
      <c r="BU474"/>
      <c r="BV474"/>
      <c r="BW474"/>
      <c r="BX474"/>
      <c r="BY474"/>
      <c r="BZ474"/>
      <c r="CA474"/>
      <c r="CB474"/>
      <c r="CC474"/>
      <c r="CD474"/>
      <c r="CE474"/>
      <c r="CF474"/>
      <c r="CG474"/>
      <c r="CH474"/>
      <c r="CI474"/>
      <c r="CJ474"/>
    </row>
    <row r="475" spans="1:88" s="32" customFormat="1" ht="15" customHeight="1" x14ac:dyDescent="0.35">
      <c r="A475" s="473"/>
      <c r="B475" s="313">
        <v>50113</v>
      </c>
      <c r="C475" s="8" t="s">
        <v>496</v>
      </c>
      <c r="D475" s="18">
        <v>17</v>
      </c>
      <c r="E475" s="251"/>
      <c r="F475" s="82"/>
      <c r="G475" s="79"/>
      <c r="H475" s="90"/>
      <c r="I475" s="85"/>
      <c r="J475" s="85"/>
      <c r="K475" s="85"/>
      <c r="L475" s="85"/>
      <c r="M475" s="85"/>
      <c r="N475" s="85"/>
      <c r="O475" s="85"/>
      <c r="P475" s="85"/>
      <c r="Q475" s="85"/>
      <c r="R475" s="85"/>
      <c r="S475" s="89"/>
      <c r="T475" s="89" t="s">
        <v>1124</v>
      </c>
      <c r="U475" s="85"/>
      <c r="V475" s="85"/>
      <c r="W475" s="85"/>
      <c r="X475" s="89" t="s">
        <v>1124</v>
      </c>
      <c r="Y475" s="79"/>
      <c r="Z475" s="79"/>
      <c r="AA475" s="94"/>
      <c r="AB475" s="79" t="s">
        <v>1124</v>
      </c>
      <c r="AC475" s="85"/>
      <c r="AD475" s="85"/>
      <c r="AE475" s="85"/>
      <c r="AF475" s="85"/>
      <c r="AG475" s="85" t="s">
        <v>1124</v>
      </c>
      <c r="AH475" s="85"/>
      <c r="AI475" s="85"/>
      <c r="AJ475" s="85"/>
      <c r="AK475" s="85"/>
      <c r="AL475" s="85"/>
      <c r="AM475" s="85"/>
      <c r="AN475" s="85"/>
      <c r="AO475" s="85"/>
      <c r="AP475" s="85"/>
      <c r="AQ475" s="85"/>
      <c r="AR475" s="85" t="s">
        <v>1124</v>
      </c>
      <c r="AS475" s="85"/>
      <c r="AT475" s="85"/>
      <c r="AU475" s="85"/>
      <c r="AV475" s="85"/>
      <c r="AW475" s="85"/>
      <c r="AX475" s="85"/>
      <c r="AY475" s="85"/>
      <c r="AZ475" s="85"/>
      <c r="BA475" s="85"/>
      <c r="BB475" s="89"/>
      <c r="BC475" s="89" t="s">
        <v>1124</v>
      </c>
      <c r="BD475" s="37"/>
      <c r="BE475" s="37"/>
      <c r="BF475" s="279"/>
      <c r="BG475" s="37"/>
      <c r="BH475" s="37"/>
      <c r="BI475" s="37"/>
      <c r="BJ475" s="283"/>
      <c r="BK475" s="161"/>
      <c r="BL475" s="294"/>
      <c r="BM475"/>
      <c r="BN475"/>
      <c r="BO475"/>
      <c r="BP475"/>
      <c r="BQ475"/>
      <c r="BR475"/>
      <c r="BS475"/>
      <c r="BT475"/>
      <c r="BU475"/>
      <c r="BV475"/>
      <c r="BW475"/>
      <c r="BX475"/>
      <c r="BY475"/>
      <c r="BZ475"/>
      <c r="CA475"/>
      <c r="CB475"/>
      <c r="CC475"/>
      <c r="CD475"/>
      <c r="CE475"/>
      <c r="CF475"/>
      <c r="CG475"/>
      <c r="CH475"/>
      <c r="CI475"/>
      <c r="CJ475"/>
    </row>
    <row r="476" spans="1:88" s="32" customFormat="1" ht="15" customHeight="1" x14ac:dyDescent="0.35">
      <c r="A476" s="473"/>
      <c r="B476" s="313">
        <v>46025</v>
      </c>
      <c r="C476" s="8" t="s">
        <v>430</v>
      </c>
      <c r="D476" s="18">
        <v>5</v>
      </c>
      <c r="E476" s="251"/>
      <c r="F476" s="82"/>
      <c r="G476" s="79"/>
      <c r="H476" s="90"/>
      <c r="I476" s="85"/>
      <c r="J476" s="85"/>
      <c r="K476" s="85"/>
      <c r="L476" s="85"/>
      <c r="M476" s="85"/>
      <c r="N476" s="85"/>
      <c r="O476" s="85"/>
      <c r="P476" s="85"/>
      <c r="Q476" s="85"/>
      <c r="R476" s="85"/>
      <c r="S476" s="89"/>
      <c r="T476" s="89" t="s">
        <v>1124</v>
      </c>
      <c r="U476" s="85"/>
      <c r="V476" s="85"/>
      <c r="W476" s="85"/>
      <c r="X476" s="89" t="s">
        <v>1124</v>
      </c>
      <c r="Y476" s="79"/>
      <c r="Z476" s="79"/>
      <c r="AA476" s="94"/>
      <c r="AB476" s="79" t="s">
        <v>1124</v>
      </c>
      <c r="AC476" s="85"/>
      <c r="AD476" s="85"/>
      <c r="AE476" s="85"/>
      <c r="AF476" s="85"/>
      <c r="AG476" s="85" t="s">
        <v>1124</v>
      </c>
      <c r="AH476" s="85"/>
      <c r="AI476" s="85"/>
      <c r="AJ476" s="85"/>
      <c r="AK476" s="85"/>
      <c r="AL476" s="85"/>
      <c r="AM476" s="85"/>
      <c r="AN476" s="85"/>
      <c r="AO476" s="85"/>
      <c r="AP476" s="85"/>
      <c r="AQ476" s="85"/>
      <c r="AR476" s="85" t="s">
        <v>1124</v>
      </c>
      <c r="AS476" s="85"/>
      <c r="AT476" s="85"/>
      <c r="AU476" s="85"/>
      <c r="AV476" s="85"/>
      <c r="AW476" s="85"/>
      <c r="AX476" s="85"/>
      <c r="AY476" s="85"/>
      <c r="AZ476" s="85"/>
      <c r="BA476" s="85"/>
      <c r="BB476" s="89"/>
      <c r="BC476" s="89" t="s">
        <v>1124</v>
      </c>
      <c r="BD476" s="37"/>
      <c r="BE476" s="37"/>
      <c r="BF476" s="279"/>
      <c r="BG476" s="37"/>
      <c r="BH476" s="37"/>
      <c r="BI476" s="37"/>
      <c r="BJ476" s="283"/>
      <c r="BK476" s="161"/>
      <c r="BL476" s="294"/>
      <c r="BM476"/>
      <c r="BN476"/>
      <c r="BO476"/>
      <c r="BP476"/>
      <c r="BQ476"/>
      <c r="BR476"/>
      <c r="BS476"/>
      <c r="BT476"/>
      <c r="BU476"/>
      <c r="BV476"/>
      <c r="BW476"/>
      <c r="BX476"/>
      <c r="BY476"/>
      <c r="BZ476"/>
      <c r="CA476"/>
      <c r="CB476"/>
      <c r="CC476"/>
      <c r="CD476"/>
      <c r="CE476"/>
      <c r="CF476"/>
      <c r="CG476"/>
      <c r="CH476"/>
      <c r="CI476"/>
      <c r="CJ476"/>
    </row>
    <row r="477" spans="1:88" s="32" customFormat="1" ht="15" customHeight="1" x14ac:dyDescent="0.35">
      <c r="A477" s="473"/>
      <c r="B477" s="313">
        <v>71070</v>
      </c>
      <c r="C477" s="8" t="s">
        <v>715</v>
      </c>
      <c r="D477" s="18">
        <v>16</v>
      </c>
      <c r="E477" s="251">
        <v>10450</v>
      </c>
      <c r="F477" s="82">
        <v>2.7236363636363636</v>
      </c>
      <c r="G477" s="79">
        <v>28462</v>
      </c>
      <c r="H477" s="90">
        <v>247.67699999999999</v>
      </c>
      <c r="I477" s="85">
        <v>200.512</v>
      </c>
      <c r="J477" s="85">
        <v>257.55500000000001</v>
      </c>
      <c r="K477" s="85">
        <v>251.16900000000001</v>
      </c>
      <c r="L477" s="85">
        <v>286.16300000000001</v>
      </c>
      <c r="M477" s="85">
        <v>401.66399999999999</v>
      </c>
      <c r="N477" s="85">
        <v>425.149</v>
      </c>
      <c r="O477" s="85">
        <v>412.35899999999998</v>
      </c>
      <c r="P477" s="85">
        <v>311.3</v>
      </c>
      <c r="Q477" s="85">
        <v>288.61200000000002</v>
      </c>
      <c r="R477" s="85">
        <v>280.05700000000002</v>
      </c>
      <c r="S477" s="89">
        <v>274.84699999999998</v>
      </c>
      <c r="T477" s="89">
        <v>3637.0640000000003</v>
      </c>
      <c r="U477" s="85">
        <v>3637.0640000000003</v>
      </c>
      <c r="V477" s="85">
        <v>0</v>
      </c>
      <c r="W477" s="85">
        <v>0</v>
      </c>
      <c r="X477" s="89">
        <v>3637.0640000000003</v>
      </c>
      <c r="Y477" s="79">
        <v>1</v>
      </c>
      <c r="Z477" s="79">
        <v>0</v>
      </c>
      <c r="AA477" s="94">
        <v>0</v>
      </c>
      <c r="AB477" s="79">
        <v>1</v>
      </c>
      <c r="AC477" s="85">
        <v>2700.1637372535688</v>
      </c>
      <c r="AD477" s="85">
        <v>301.91415774643178</v>
      </c>
      <c r="AE477" s="85">
        <v>634.98610499999972</v>
      </c>
      <c r="AF477" s="85">
        <v>0</v>
      </c>
      <c r="AG477" s="85">
        <v>3637.0640000000003</v>
      </c>
      <c r="AH477" s="85">
        <v>3637.0640000000003</v>
      </c>
      <c r="AI477" s="85">
        <v>0</v>
      </c>
      <c r="AJ477" s="85">
        <v>0</v>
      </c>
      <c r="AK477" s="85">
        <v>0</v>
      </c>
      <c r="AL477" s="85">
        <v>0</v>
      </c>
      <c r="AM477" s="85">
        <v>0</v>
      </c>
      <c r="AN477" s="85">
        <v>0</v>
      </c>
      <c r="AO477" s="85">
        <v>0</v>
      </c>
      <c r="AP477" s="85">
        <v>0</v>
      </c>
      <c r="AQ477" s="85">
        <v>0</v>
      </c>
      <c r="AR477" s="85">
        <v>3637.0640000000003</v>
      </c>
      <c r="AS477" s="85">
        <v>0</v>
      </c>
      <c r="AT477" s="85">
        <v>0</v>
      </c>
      <c r="AU477" s="85">
        <v>0</v>
      </c>
      <c r="AV477" s="85">
        <v>0</v>
      </c>
      <c r="AW477" s="85">
        <v>0</v>
      </c>
      <c r="AX477" s="85">
        <v>0</v>
      </c>
      <c r="AY477" s="85">
        <v>0</v>
      </c>
      <c r="AZ477" s="85">
        <v>0</v>
      </c>
      <c r="BA477" s="85">
        <v>0</v>
      </c>
      <c r="BB477" s="89">
        <v>0</v>
      </c>
      <c r="BC477" s="89">
        <v>0</v>
      </c>
      <c r="BD477" s="37">
        <v>0</v>
      </c>
      <c r="BE477" s="37">
        <v>0</v>
      </c>
      <c r="BF477" s="279">
        <v>721944.5</v>
      </c>
      <c r="BG477" s="37">
        <v>411853.5</v>
      </c>
      <c r="BH477" s="37">
        <v>721944.5</v>
      </c>
      <c r="BI477" s="37">
        <v>411853.5</v>
      </c>
      <c r="BJ477" s="283">
        <v>2267596</v>
      </c>
      <c r="BK477" s="161" t="s">
        <v>2390</v>
      </c>
      <c r="BL477" s="294"/>
      <c r="BM477"/>
      <c r="BN477"/>
      <c r="BO477"/>
      <c r="BP477"/>
      <c r="BQ477"/>
      <c r="BR477"/>
      <c r="BS477"/>
      <c r="BT477"/>
      <c r="BU477"/>
      <c r="BV477"/>
      <c r="BW477"/>
      <c r="BX477"/>
      <c r="BY477"/>
      <c r="BZ477"/>
      <c r="CA477"/>
      <c r="CB477"/>
      <c r="CC477"/>
      <c r="CD477"/>
      <c r="CE477"/>
      <c r="CF477"/>
      <c r="CG477"/>
      <c r="CH477"/>
      <c r="CI477"/>
      <c r="CJ477"/>
    </row>
    <row r="478" spans="1:88" s="32" customFormat="1" ht="15" customHeight="1" x14ac:dyDescent="0.35">
      <c r="A478" s="473"/>
      <c r="B478" s="313">
        <v>30020</v>
      </c>
      <c r="C478" s="8" t="s">
        <v>220</v>
      </c>
      <c r="D478" s="18">
        <v>5</v>
      </c>
      <c r="E478" s="251"/>
      <c r="F478" s="82"/>
      <c r="G478" s="79"/>
      <c r="H478" s="90"/>
      <c r="I478" s="85"/>
      <c r="J478" s="85"/>
      <c r="K478" s="85"/>
      <c r="L478" s="85"/>
      <c r="M478" s="85"/>
      <c r="N478" s="85"/>
      <c r="O478" s="85"/>
      <c r="P478" s="85"/>
      <c r="Q478" s="85"/>
      <c r="R478" s="85"/>
      <c r="S478" s="89"/>
      <c r="T478" s="89" t="s">
        <v>1124</v>
      </c>
      <c r="U478" s="85"/>
      <c r="V478" s="85"/>
      <c r="W478" s="85"/>
      <c r="X478" s="89" t="s">
        <v>1124</v>
      </c>
      <c r="Y478" s="79"/>
      <c r="Z478" s="79"/>
      <c r="AA478" s="94"/>
      <c r="AB478" s="79" t="s">
        <v>1124</v>
      </c>
      <c r="AC478" s="85"/>
      <c r="AD478" s="85"/>
      <c r="AE478" s="85"/>
      <c r="AF478" s="85"/>
      <c r="AG478" s="85" t="s">
        <v>1124</v>
      </c>
      <c r="AH478" s="85"/>
      <c r="AI478" s="85"/>
      <c r="AJ478" s="85"/>
      <c r="AK478" s="85"/>
      <c r="AL478" s="85"/>
      <c r="AM478" s="85"/>
      <c r="AN478" s="85"/>
      <c r="AO478" s="85"/>
      <c r="AP478" s="85"/>
      <c r="AQ478" s="85"/>
      <c r="AR478" s="85" t="s">
        <v>1124</v>
      </c>
      <c r="AS478" s="85"/>
      <c r="AT478" s="85"/>
      <c r="AU478" s="85"/>
      <c r="AV478" s="85"/>
      <c r="AW478" s="85"/>
      <c r="AX478" s="85"/>
      <c r="AY478" s="85"/>
      <c r="AZ478" s="85"/>
      <c r="BA478" s="85"/>
      <c r="BB478" s="89"/>
      <c r="BC478" s="89" t="s">
        <v>1124</v>
      </c>
      <c r="BD478" s="37"/>
      <c r="BE478" s="37"/>
      <c r="BF478" s="279"/>
      <c r="BG478" s="37"/>
      <c r="BH478" s="37"/>
      <c r="BI478" s="37"/>
      <c r="BJ478" s="283"/>
      <c r="BK478" s="161"/>
      <c r="BL478" s="294"/>
      <c r="BM478"/>
      <c r="BN478"/>
      <c r="BO478"/>
      <c r="BP478"/>
      <c r="BQ478"/>
      <c r="BR478"/>
      <c r="BS478"/>
      <c r="BT478"/>
      <c r="BU478"/>
      <c r="BV478"/>
      <c r="BW478"/>
      <c r="BX478"/>
      <c r="BY478"/>
      <c r="BZ478"/>
      <c r="CA478"/>
      <c r="CB478"/>
      <c r="CC478"/>
      <c r="CD478"/>
      <c r="CE478"/>
      <c r="CF478"/>
      <c r="CG478"/>
      <c r="CH478"/>
      <c r="CI478"/>
      <c r="CJ478"/>
    </row>
    <row r="479" spans="1:88" s="32" customFormat="1" ht="15" customHeight="1" x14ac:dyDescent="0.35">
      <c r="A479" s="473"/>
      <c r="B479" s="313">
        <v>80045</v>
      </c>
      <c r="C479" s="8" t="s">
        <v>809</v>
      </c>
      <c r="D479" s="18">
        <v>7</v>
      </c>
      <c r="E479" s="251"/>
      <c r="F479" s="82"/>
      <c r="G479" s="79"/>
      <c r="H479" s="90"/>
      <c r="I479" s="85"/>
      <c r="J479" s="85"/>
      <c r="K479" s="85"/>
      <c r="L479" s="85"/>
      <c r="M479" s="85"/>
      <c r="N479" s="85"/>
      <c r="O479" s="85"/>
      <c r="P479" s="85"/>
      <c r="Q479" s="85"/>
      <c r="R479" s="85"/>
      <c r="S479" s="89"/>
      <c r="T479" s="89" t="s">
        <v>1124</v>
      </c>
      <c r="U479" s="85"/>
      <c r="V479" s="85"/>
      <c r="W479" s="85"/>
      <c r="X479" s="89" t="s">
        <v>1124</v>
      </c>
      <c r="Y479" s="79"/>
      <c r="Z479" s="79"/>
      <c r="AA479" s="94"/>
      <c r="AB479" s="79" t="s">
        <v>1124</v>
      </c>
      <c r="AC479" s="85"/>
      <c r="AD479" s="85"/>
      <c r="AE479" s="85"/>
      <c r="AF479" s="85"/>
      <c r="AG479" s="85" t="s">
        <v>1124</v>
      </c>
      <c r="AH479" s="85"/>
      <c r="AI479" s="85"/>
      <c r="AJ479" s="85"/>
      <c r="AK479" s="85"/>
      <c r="AL479" s="85"/>
      <c r="AM479" s="85"/>
      <c r="AN479" s="85"/>
      <c r="AO479" s="85"/>
      <c r="AP479" s="85"/>
      <c r="AQ479" s="85"/>
      <c r="AR479" s="85" t="s">
        <v>1124</v>
      </c>
      <c r="AS479" s="85"/>
      <c r="AT479" s="85"/>
      <c r="AU479" s="85"/>
      <c r="AV479" s="85"/>
      <c r="AW479" s="85"/>
      <c r="AX479" s="85"/>
      <c r="AY479" s="85"/>
      <c r="AZ479" s="85"/>
      <c r="BA479" s="85"/>
      <c r="BB479" s="89"/>
      <c r="BC479" s="89" t="s">
        <v>1124</v>
      </c>
      <c r="BD479" s="37"/>
      <c r="BE479" s="37"/>
      <c r="BF479" s="279"/>
      <c r="BG479" s="37"/>
      <c r="BH479" s="37"/>
      <c r="BI479" s="37"/>
      <c r="BJ479" s="283"/>
      <c r="BK479" s="161"/>
      <c r="BL479" s="294"/>
      <c r="BM479"/>
      <c r="BN479"/>
      <c r="BO479"/>
      <c r="BP479"/>
      <c r="BQ479"/>
      <c r="BR479"/>
      <c r="BS479"/>
      <c r="BT479"/>
      <c r="BU479"/>
      <c r="BV479"/>
      <c r="BW479"/>
      <c r="BX479"/>
      <c r="BY479"/>
      <c r="BZ479"/>
      <c r="CA479"/>
      <c r="CB479"/>
      <c r="CC479"/>
      <c r="CD479"/>
      <c r="CE479"/>
      <c r="CF479"/>
      <c r="CG479"/>
      <c r="CH479"/>
      <c r="CI479"/>
      <c r="CJ479"/>
    </row>
    <row r="480" spans="1:88" s="32" customFormat="1" ht="15" customHeight="1" x14ac:dyDescent="0.35">
      <c r="A480" s="473"/>
      <c r="B480" s="313">
        <v>32045</v>
      </c>
      <c r="C480" s="8" t="s">
        <v>260</v>
      </c>
      <c r="D480" s="18">
        <v>17</v>
      </c>
      <c r="E480" s="251"/>
      <c r="F480" s="82"/>
      <c r="G480" s="79"/>
      <c r="H480" s="90"/>
      <c r="I480" s="85"/>
      <c r="J480" s="85"/>
      <c r="K480" s="85"/>
      <c r="L480" s="85"/>
      <c r="M480" s="85"/>
      <c r="N480" s="85"/>
      <c r="O480" s="85"/>
      <c r="P480" s="85"/>
      <c r="Q480" s="85"/>
      <c r="R480" s="85"/>
      <c r="S480" s="89"/>
      <c r="T480" s="89" t="s">
        <v>1124</v>
      </c>
      <c r="U480" s="85"/>
      <c r="V480" s="85"/>
      <c r="W480" s="85"/>
      <c r="X480" s="89" t="s">
        <v>1124</v>
      </c>
      <c r="Y480" s="79"/>
      <c r="Z480" s="79"/>
      <c r="AA480" s="94"/>
      <c r="AB480" s="79" t="s">
        <v>1124</v>
      </c>
      <c r="AC480" s="85"/>
      <c r="AD480" s="85"/>
      <c r="AE480" s="85"/>
      <c r="AF480" s="85"/>
      <c r="AG480" s="85" t="s">
        <v>1124</v>
      </c>
      <c r="AH480" s="85"/>
      <c r="AI480" s="85"/>
      <c r="AJ480" s="85"/>
      <c r="AK480" s="85"/>
      <c r="AL480" s="85"/>
      <c r="AM480" s="85"/>
      <c r="AN480" s="85"/>
      <c r="AO480" s="85"/>
      <c r="AP480" s="85"/>
      <c r="AQ480" s="85"/>
      <c r="AR480" s="85" t="s">
        <v>1124</v>
      </c>
      <c r="AS480" s="85"/>
      <c r="AT480" s="85"/>
      <c r="AU480" s="85"/>
      <c r="AV480" s="85"/>
      <c r="AW480" s="85"/>
      <c r="AX480" s="85"/>
      <c r="AY480" s="85"/>
      <c r="AZ480" s="85"/>
      <c r="BA480" s="85"/>
      <c r="BB480" s="89"/>
      <c r="BC480" s="89" t="s">
        <v>1124</v>
      </c>
      <c r="BD480" s="37"/>
      <c r="BE480" s="37"/>
      <c r="BF480" s="279"/>
      <c r="BG480" s="37"/>
      <c r="BH480" s="37"/>
      <c r="BI480" s="37"/>
      <c r="BJ480" s="283"/>
      <c r="BK480" s="161"/>
      <c r="BL480" s="294"/>
      <c r="BM480"/>
      <c r="BN480"/>
      <c r="BO480"/>
      <c r="BP480"/>
      <c r="BQ480"/>
      <c r="BR480"/>
      <c r="BS480"/>
      <c r="BT480"/>
      <c r="BU480"/>
      <c r="BV480"/>
      <c r="BW480"/>
      <c r="BX480"/>
      <c r="BY480"/>
      <c r="BZ480"/>
      <c r="CA480"/>
      <c r="CB480"/>
      <c r="CC480"/>
      <c r="CD480"/>
      <c r="CE480"/>
      <c r="CF480"/>
      <c r="CG480"/>
      <c r="CH480"/>
      <c r="CI480"/>
      <c r="CJ480"/>
    </row>
    <row r="481" spans="1:88" s="32" customFormat="1" ht="15" customHeight="1" x14ac:dyDescent="0.35">
      <c r="A481" s="473"/>
      <c r="B481" s="313">
        <v>32040</v>
      </c>
      <c r="C481" s="8" t="s">
        <v>259</v>
      </c>
      <c r="D481" s="18">
        <v>17</v>
      </c>
      <c r="E481" s="251">
        <v>3567</v>
      </c>
      <c r="F481" s="82">
        <v>1.9371681415929203</v>
      </c>
      <c r="G481" s="79">
        <v>6909.8787610619465</v>
      </c>
      <c r="H481" s="90">
        <v>118.38108333333334</v>
      </c>
      <c r="I481" s="85">
        <v>118.38108333333334</v>
      </c>
      <c r="J481" s="85">
        <v>118.38108333333334</v>
      </c>
      <c r="K481" s="85">
        <v>118.38108333333334</v>
      </c>
      <c r="L481" s="85">
        <v>118.38108333333334</v>
      </c>
      <c r="M481" s="85">
        <v>118.38108333333334</v>
      </c>
      <c r="N481" s="85">
        <v>118.38108333333334</v>
      </c>
      <c r="O481" s="85">
        <v>118.38108333333334</v>
      </c>
      <c r="P481" s="85">
        <v>118.38108333333334</v>
      </c>
      <c r="Q481" s="85">
        <v>118.38108333333334</v>
      </c>
      <c r="R481" s="85">
        <v>118.38108333333334</v>
      </c>
      <c r="S481" s="89">
        <v>118.38108333333334</v>
      </c>
      <c r="T481" s="89">
        <v>1420.5730000000003</v>
      </c>
      <c r="U481" s="85">
        <v>1420.5730000000001</v>
      </c>
      <c r="V481" s="85">
        <v>0</v>
      </c>
      <c r="W481" s="85">
        <v>0</v>
      </c>
      <c r="X481" s="89">
        <v>1420.5730000000001</v>
      </c>
      <c r="Y481" s="79">
        <v>1</v>
      </c>
      <c r="Z481" s="79">
        <v>0</v>
      </c>
      <c r="AA481" s="94">
        <v>0</v>
      </c>
      <c r="AB481" s="79">
        <v>1</v>
      </c>
      <c r="AC481" s="85">
        <v>380.16399999999999</v>
      </c>
      <c r="AD481" s="85">
        <v>519.68600000000015</v>
      </c>
      <c r="AE481" s="85">
        <v>304.47399999999999</v>
      </c>
      <c r="AF481" s="85">
        <v>216.249</v>
      </c>
      <c r="AG481" s="85">
        <v>1420.5730000000001</v>
      </c>
      <c r="AH481" s="85">
        <v>1420.5730000000001</v>
      </c>
      <c r="AI481" s="85">
        <v>0</v>
      </c>
      <c r="AJ481" s="85">
        <v>0</v>
      </c>
      <c r="AK481" s="85">
        <v>0</v>
      </c>
      <c r="AL481" s="85">
        <v>0</v>
      </c>
      <c r="AM481" s="85">
        <v>0</v>
      </c>
      <c r="AN481" s="85">
        <v>0</v>
      </c>
      <c r="AO481" s="85">
        <v>0</v>
      </c>
      <c r="AP481" s="85">
        <v>0</v>
      </c>
      <c r="AQ481" s="85">
        <v>0</v>
      </c>
      <c r="AR481" s="85">
        <v>1420.5730000000001</v>
      </c>
      <c r="AS481" s="85">
        <v>0</v>
      </c>
      <c r="AT481" s="85">
        <v>0</v>
      </c>
      <c r="AU481" s="85">
        <v>0</v>
      </c>
      <c r="AV481" s="85">
        <v>0</v>
      </c>
      <c r="AW481" s="85">
        <v>0</v>
      </c>
      <c r="AX481" s="85">
        <v>0</v>
      </c>
      <c r="AY481" s="85">
        <v>0</v>
      </c>
      <c r="AZ481" s="85">
        <v>0</v>
      </c>
      <c r="BA481" s="85">
        <v>0</v>
      </c>
      <c r="BB481" s="89">
        <v>0</v>
      </c>
      <c r="BC481" s="89">
        <v>0</v>
      </c>
      <c r="BD481" s="37">
        <v>0</v>
      </c>
      <c r="BE481" s="37">
        <v>0</v>
      </c>
      <c r="BF481" s="279">
        <v>126792</v>
      </c>
      <c r="BG481" s="37">
        <v>397986</v>
      </c>
      <c r="BH481" s="37">
        <v>172129</v>
      </c>
      <c r="BI481" s="37">
        <v>81003</v>
      </c>
      <c r="BJ481" s="283">
        <v>777910</v>
      </c>
      <c r="BK481" s="161" t="s">
        <v>2399</v>
      </c>
      <c r="BL481" s="294"/>
      <c r="BM481"/>
      <c r="BN481"/>
      <c r="BO481"/>
      <c r="BP481"/>
      <c r="BQ481"/>
      <c r="BR481"/>
      <c r="BS481"/>
      <c r="BT481"/>
      <c r="BU481"/>
      <c r="BV481"/>
      <c r="BW481"/>
      <c r="BX481"/>
      <c r="BY481"/>
      <c r="BZ481"/>
      <c r="CA481"/>
      <c r="CB481"/>
      <c r="CC481"/>
      <c r="CD481"/>
      <c r="CE481"/>
      <c r="CF481"/>
      <c r="CG481"/>
      <c r="CH481"/>
      <c r="CI481"/>
      <c r="CJ481"/>
    </row>
    <row r="482" spans="1:88" s="32" customFormat="1" ht="15" customHeight="1" x14ac:dyDescent="0.35">
      <c r="A482" s="473"/>
      <c r="B482" s="313">
        <v>13095</v>
      </c>
      <c r="C482" s="8" t="s">
        <v>58</v>
      </c>
      <c r="D482" s="18">
        <v>1</v>
      </c>
      <c r="E482" s="251">
        <v>1084</v>
      </c>
      <c r="F482" s="82">
        <v>1.9339908952959028</v>
      </c>
      <c r="G482" s="79">
        <v>2096.4461305007585</v>
      </c>
      <c r="H482" s="90">
        <v>48.066000000000003</v>
      </c>
      <c r="I482" s="85">
        <v>49.667000000000002</v>
      </c>
      <c r="J482" s="85">
        <v>57.814999999999998</v>
      </c>
      <c r="K482" s="85">
        <v>53.649000000000001</v>
      </c>
      <c r="L482" s="85">
        <v>48.878</v>
      </c>
      <c r="M482" s="85">
        <v>48.2</v>
      </c>
      <c r="N482" s="85">
        <v>56.451999999999998</v>
      </c>
      <c r="O482" s="85">
        <v>52.158999999999999</v>
      </c>
      <c r="P482" s="85">
        <v>42.506</v>
      </c>
      <c r="Q482" s="85">
        <v>39.857999999999997</v>
      </c>
      <c r="R482" s="85">
        <v>37.899000000000001</v>
      </c>
      <c r="S482" s="89">
        <v>42.488999999999997</v>
      </c>
      <c r="T482" s="89">
        <v>577.63799999999992</v>
      </c>
      <c r="U482" s="85">
        <v>0</v>
      </c>
      <c r="V482" s="85">
        <v>577.63800000000003</v>
      </c>
      <c r="W482" s="85">
        <v>0</v>
      </c>
      <c r="X482" s="89">
        <v>577.63800000000003</v>
      </c>
      <c r="Y482" s="79">
        <v>0</v>
      </c>
      <c r="Z482" s="79">
        <v>1</v>
      </c>
      <c r="AA482" s="94">
        <v>0</v>
      </c>
      <c r="AB482" s="79">
        <v>1</v>
      </c>
      <c r="AC482" s="85">
        <v>197.15100000000001</v>
      </c>
      <c r="AD482" s="85">
        <v>40.737432704081527</v>
      </c>
      <c r="AE482" s="85">
        <v>339.74956729591838</v>
      </c>
      <c r="AF482" s="85">
        <v>0</v>
      </c>
      <c r="AG482" s="85">
        <v>577.63799999999992</v>
      </c>
      <c r="AH482" s="85">
        <v>0</v>
      </c>
      <c r="AI482" s="85">
        <v>0</v>
      </c>
      <c r="AJ482" s="85">
        <v>0</v>
      </c>
      <c r="AK482" s="85">
        <v>0</v>
      </c>
      <c r="AL482" s="85">
        <v>0</v>
      </c>
      <c r="AM482" s="85">
        <v>0</v>
      </c>
      <c r="AN482" s="85">
        <v>0</v>
      </c>
      <c r="AO482" s="85">
        <v>0</v>
      </c>
      <c r="AP482" s="85">
        <v>0</v>
      </c>
      <c r="AQ482" s="85">
        <v>0</v>
      </c>
      <c r="AR482" s="85">
        <v>0</v>
      </c>
      <c r="AS482" s="85">
        <v>0</v>
      </c>
      <c r="AT482" s="85">
        <v>0</v>
      </c>
      <c r="AU482" s="85">
        <v>0</v>
      </c>
      <c r="AV482" s="85">
        <v>0</v>
      </c>
      <c r="AW482" s="85">
        <v>0</v>
      </c>
      <c r="AX482" s="85">
        <v>0</v>
      </c>
      <c r="AY482" s="85">
        <v>577.63800000000003</v>
      </c>
      <c r="AZ482" s="85">
        <v>0</v>
      </c>
      <c r="BA482" s="85">
        <v>0</v>
      </c>
      <c r="BB482" s="89">
        <v>0</v>
      </c>
      <c r="BC482" s="89">
        <v>577.63800000000003</v>
      </c>
      <c r="BD482" s="37" t="s">
        <v>1725</v>
      </c>
      <c r="BE482" s="37">
        <v>0</v>
      </c>
      <c r="BF482" s="279">
        <v>13107</v>
      </c>
      <c r="BG482" s="37">
        <v>214403</v>
      </c>
      <c r="BH482" s="37">
        <v>47279</v>
      </c>
      <c r="BI482" s="37">
        <v>61981</v>
      </c>
      <c r="BJ482" s="283">
        <v>336770</v>
      </c>
      <c r="BK482" s="161"/>
      <c r="BL482" s="294"/>
      <c r="BM482"/>
      <c r="BN482"/>
      <c r="BO482"/>
      <c r="BP482"/>
      <c r="BQ482"/>
      <c r="BR482"/>
      <c r="BS482"/>
      <c r="BT482"/>
      <c r="BU482"/>
      <c r="BV482"/>
      <c r="BW482"/>
      <c r="BX482"/>
      <c r="BY482"/>
      <c r="BZ482"/>
      <c r="CA482"/>
      <c r="CB482"/>
      <c r="CC482"/>
      <c r="CD482"/>
      <c r="CE482"/>
      <c r="CF482"/>
      <c r="CG482"/>
      <c r="CH482"/>
      <c r="CI482"/>
      <c r="CJ482"/>
    </row>
    <row r="483" spans="1:88" s="32" customFormat="1" ht="15" customHeight="1" x14ac:dyDescent="0.35">
      <c r="A483" s="473"/>
      <c r="B483" s="313">
        <v>6030</v>
      </c>
      <c r="C483" s="8" t="s">
        <v>1061</v>
      </c>
      <c r="D483" s="18">
        <v>11</v>
      </c>
      <c r="E483" s="251"/>
      <c r="F483" s="82"/>
      <c r="G483" s="79"/>
      <c r="H483" s="90"/>
      <c r="I483" s="85"/>
      <c r="J483" s="85"/>
      <c r="K483" s="85"/>
      <c r="L483" s="85"/>
      <c r="M483" s="85"/>
      <c r="N483" s="85"/>
      <c r="O483" s="85"/>
      <c r="P483" s="85"/>
      <c r="Q483" s="85"/>
      <c r="R483" s="85"/>
      <c r="S483" s="89"/>
      <c r="T483" s="89" t="s">
        <v>1124</v>
      </c>
      <c r="U483" s="85"/>
      <c r="V483" s="85"/>
      <c r="W483" s="85"/>
      <c r="X483" s="89" t="s">
        <v>1124</v>
      </c>
      <c r="Y483" s="79"/>
      <c r="Z483" s="79"/>
      <c r="AA483" s="94"/>
      <c r="AB483" s="79" t="s">
        <v>1124</v>
      </c>
      <c r="AC483" s="85"/>
      <c r="AD483" s="85"/>
      <c r="AE483" s="85"/>
      <c r="AF483" s="85"/>
      <c r="AG483" s="85" t="s">
        <v>1124</v>
      </c>
      <c r="AH483" s="85"/>
      <c r="AI483" s="85"/>
      <c r="AJ483" s="85"/>
      <c r="AK483" s="85"/>
      <c r="AL483" s="85"/>
      <c r="AM483" s="85"/>
      <c r="AN483" s="85"/>
      <c r="AO483" s="85"/>
      <c r="AP483" s="85"/>
      <c r="AQ483" s="85"/>
      <c r="AR483" s="85" t="s">
        <v>1124</v>
      </c>
      <c r="AS483" s="85"/>
      <c r="AT483" s="85"/>
      <c r="AU483" s="85"/>
      <c r="AV483" s="85"/>
      <c r="AW483" s="85"/>
      <c r="AX483" s="85"/>
      <c r="AY483" s="85"/>
      <c r="AZ483" s="85"/>
      <c r="BA483" s="85"/>
      <c r="BB483" s="89"/>
      <c r="BC483" s="89" t="s">
        <v>1124</v>
      </c>
      <c r="BD483" s="37"/>
      <c r="BE483" s="37"/>
      <c r="BF483" s="279"/>
      <c r="BG483" s="37"/>
      <c r="BH483" s="37"/>
      <c r="BI483" s="37"/>
      <c r="BJ483" s="283"/>
      <c r="BK483" s="161"/>
      <c r="BL483" s="294"/>
      <c r="BM483"/>
      <c r="BN483"/>
      <c r="BO483"/>
      <c r="BP483"/>
      <c r="BQ483"/>
      <c r="BR483"/>
      <c r="BS483"/>
      <c r="BT483"/>
      <c r="BU483"/>
      <c r="BV483"/>
      <c r="BW483"/>
      <c r="BX483"/>
      <c r="BY483"/>
      <c r="BZ483"/>
      <c r="CA483"/>
      <c r="CB483"/>
      <c r="CC483"/>
      <c r="CD483"/>
      <c r="CE483"/>
      <c r="CF483"/>
      <c r="CG483"/>
      <c r="CH483"/>
      <c r="CI483"/>
      <c r="CJ483"/>
    </row>
    <row r="484" spans="1:88" s="32" customFormat="1" ht="15" customHeight="1" x14ac:dyDescent="0.35">
      <c r="A484" s="473"/>
      <c r="B484" s="314">
        <v>96030</v>
      </c>
      <c r="C484" s="8" t="s">
        <v>999</v>
      </c>
      <c r="D484" s="18">
        <v>9</v>
      </c>
      <c r="E484" s="251">
        <v>589</v>
      </c>
      <c r="F484" s="82">
        <v>2.3421985815602837</v>
      </c>
      <c r="G484" s="79">
        <v>1379.5549645390072</v>
      </c>
      <c r="H484" s="90">
        <v>9.2449999999999992</v>
      </c>
      <c r="I484" s="85">
        <v>8.8949999999999996</v>
      </c>
      <c r="J484" s="85">
        <v>9.4710000000000001</v>
      </c>
      <c r="K484" s="85">
        <v>11.006</v>
      </c>
      <c r="L484" s="85">
        <v>10.510999999999999</v>
      </c>
      <c r="M484" s="85">
        <v>10.169</v>
      </c>
      <c r="N484" s="85">
        <v>11.44</v>
      </c>
      <c r="O484" s="85">
        <v>11.169</v>
      </c>
      <c r="P484" s="85">
        <v>9.298</v>
      </c>
      <c r="Q484" s="85">
        <v>8.6159999999999997</v>
      </c>
      <c r="R484" s="85">
        <v>6.5490000000000004</v>
      </c>
      <c r="S484" s="89">
        <v>10.025</v>
      </c>
      <c r="T484" s="89">
        <v>116.39400000000001</v>
      </c>
      <c r="U484" s="85">
        <v>0</v>
      </c>
      <c r="V484" s="85">
        <v>116.39400000000001</v>
      </c>
      <c r="W484" s="85">
        <v>0</v>
      </c>
      <c r="X484" s="89">
        <v>116.39400000000001</v>
      </c>
      <c r="Y484" s="79">
        <v>0</v>
      </c>
      <c r="Z484" s="79">
        <v>6</v>
      </c>
      <c r="AA484" s="94">
        <v>0</v>
      </c>
      <c r="AB484" s="79">
        <v>6</v>
      </c>
      <c r="AC484" s="85">
        <v>89.292629055173677</v>
      </c>
      <c r="AD484" s="85">
        <v>7.0427229448263162</v>
      </c>
      <c r="AE484" s="85">
        <v>20.058648000000012</v>
      </c>
      <c r="AF484" s="85">
        <v>0</v>
      </c>
      <c r="AG484" s="85">
        <v>116.39400000000001</v>
      </c>
      <c r="AH484" s="85">
        <v>0</v>
      </c>
      <c r="AI484" s="85">
        <v>0</v>
      </c>
      <c r="AJ484" s="85">
        <v>0</v>
      </c>
      <c r="AK484" s="85">
        <v>0</v>
      </c>
      <c r="AL484" s="85">
        <v>0</v>
      </c>
      <c r="AM484" s="85">
        <v>0</v>
      </c>
      <c r="AN484" s="85">
        <v>0</v>
      </c>
      <c r="AO484" s="85">
        <v>0</v>
      </c>
      <c r="AP484" s="85">
        <v>0</v>
      </c>
      <c r="AQ484" s="85">
        <v>0</v>
      </c>
      <c r="AR484" s="85">
        <v>0</v>
      </c>
      <c r="AS484" s="85">
        <v>0</v>
      </c>
      <c r="AT484" s="85">
        <v>0</v>
      </c>
      <c r="AU484" s="85">
        <v>0</v>
      </c>
      <c r="AV484" s="85">
        <v>0</v>
      </c>
      <c r="AW484" s="85">
        <v>0</v>
      </c>
      <c r="AX484" s="85">
        <v>0</v>
      </c>
      <c r="AY484" s="85">
        <v>116.39400000000001</v>
      </c>
      <c r="AZ484" s="85">
        <v>0</v>
      </c>
      <c r="BA484" s="85">
        <v>0</v>
      </c>
      <c r="BB484" s="89">
        <v>0</v>
      </c>
      <c r="BC484" s="89">
        <v>116.39400000000001</v>
      </c>
      <c r="BD484" s="37">
        <v>0</v>
      </c>
      <c r="BE484" s="37">
        <v>0</v>
      </c>
      <c r="BF484" s="279">
        <v>9596</v>
      </c>
      <c r="BG484" s="37">
        <v>79695</v>
      </c>
      <c r="BH484" s="37">
        <v>22821</v>
      </c>
      <c r="BI484" s="37">
        <v>6130</v>
      </c>
      <c r="BJ484" s="283">
        <v>118242</v>
      </c>
      <c r="BK484" s="161"/>
      <c r="BL484" s="294"/>
      <c r="BM484"/>
      <c r="BN484"/>
      <c r="BO484"/>
      <c r="BP484"/>
      <c r="BQ484"/>
      <c r="BR484"/>
      <c r="BS484"/>
      <c r="BT484"/>
      <c r="BU484"/>
      <c r="BV484"/>
      <c r="BW484"/>
      <c r="BX484"/>
      <c r="BY484"/>
      <c r="BZ484"/>
      <c r="CA484"/>
      <c r="CB484"/>
      <c r="CC484"/>
      <c r="CD484"/>
      <c r="CE484"/>
      <c r="CF484"/>
      <c r="CG484"/>
      <c r="CH484"/>
      <c r="CI484"/>
      <c r="CJ484"/>
    </row>
    <row r="485" spans="1:88" s="32" customFormat="1" ht="15" customHeight="1" x14ac:dyDescent="0.35">
      <c r="A485" s="473"/>
      <c r="B485" s="313">
        <v>72020</v>
      </c>
      <c r="C485" s="8" t="s">
        <v>730</v>
      </c>
      <c r="D485" s="18">
        <v>15</v>
      </c>
      <c r="E485" s="251"/>
      <c r="F485" s="82"/>
      <c r="G485" s="79"/>
      <c r="H485" s="90"/>
      <c r="I485" s="85"/>
      <c r="J485" s="85"/>
      <c r="K485" s="85"/>
      <c r="L485" s="85"/>
      <c r="M485" s="85"/>
      <c r="N485" s="85"/>
      <c r="O485" s="85"/>
      <c r="P485" s="85"/>
      <c r="Q485" s="85"/>
      <c r="R485" s="85"/>
      <c r="S485" s="89"/>
      <c r="T485" s="89" t="s">
        <v>1124</v>
      </c>
      <c r="U485" s="85"/>
      <c r="V485" s="85"/>
      <c r="W485" s="85"/>
      <c r="X485" s="89" t="s">
        <v>1124</v>
      </c>
      <c r="Y485" s="79"/>
      <c r="Z485" s="79"/>
      <c r="AA485" s="94"/>
      <c r="AB485" s="79" t="s">
        <v>1124</v>
      </c>
      <c r="AC485" s="85"/>
      <c r="AD485" s="85"/>
      <c r="AE485" s="85"/>
      <c r="AF485" s="85"/>
      <c r="AG485" s="85" t="s">
        <v>1124</v>
      </c>
      <c r="AH485" s="85"/>
      <c r="AI485" s="85"/>
      <c r="AJ485" s="85"/>
      <c r="AK485" s="85"/>
      <c r="AL485" s="85"/>
      <c r="AM485" s="85"/>
      <c r="AN485" s="85"/>
      <c r="AO485" s="85"/>
      <c r="AP485" s="85"/>
      <c r="AQ485" s="85"/>
      <c r="AR485" s="85" t="s">
        <v>1124</v>
      </c>
      <c r="AS485" s="85"/>
      <c r="AT485" s="85"/>
      <c r="AU485" s="85"/>
      <c r="AV485" s="85"/>
      <c r="AW485" s="85"/>
      <c r="AX485" s="85"/>
      <c r="AY485" s="85"/>
      <c r="AZ485" s="85"/>
      <c r="BA485" s="85"/>
      <c r="BB485" s="89"/>
      <c r="BC485" s="89" t="s">
        <v>1124</v>
      </c>
      <c r="BD485" s="37"/>
      <c r="BE485" s="37"/>
      <c r="BF485" s="279"/>
      <c r="BG485" s="37"/>
      <c r="BH485" s="37"/>
      <c r="BI485" s="37"/>
      <c r="BJ485" s="283"/>
      <c r="BK485" s="161"/>
      <c r="BL485" s="294"/>
      <c r="BM485"/>
      <c r="BN485"/>
      <c r="BO485"/>
      <c r="BP485"/>
      <c r="BQ485"/>
      <c r="BR485"/>
      <c r="BS485"/>
      <c r="BT485"/>
      <c r="BU485"/>
      <c r="BV485"/>
      <c r="BW485"/>
      <c r="BX485"/>
      <c r="BY485"/>
      <c r="BZ485"/>
      <c r="CA485"/>
      <c r="CB485"/>
      <c r="CC485"/>
      <c r="CD485"/>
      <c r="CE485"/>
      <c r="CF485"/>
      <c r="CG485"/>
      <c r="CH485"/>
      <c r="CI485"/>
      <c r="CJ485"/>
    </row>
    <row r="486" spans="1:88" s="32" customFormat="1" ht="15" customHeight="1" x14ac:dyDescent="0.35">
      <c r="A486" s="473"/>
      <c r="B486" s="313">
        <v>66097</v>
      </c>
      <c r="C486" s="8" t="s">
        <v>656</v>
      </c>
      <c r="D486" s="18">
        <v>6</v>
      </c>
      <c r="E486" s="251"/>
      <c r="F486" s="82"/>
      <c r="G486" s="79"/>
      <c r="H486" s="90"/>
      <c r="I486" s="85"/>
      <c r="J486" s="85"/>
      <c r="K486" s="85"/>
      <c r="L486" s="85"/>
      <c r="M486" s="85"/>
      <c r="N486" s="85"/>
      <c r="O486" s="85"/>
      <c r="P486" s="85"/>
      <c r="Q486" s="85"/>
      <c r="R486" s="85"/>
      <c r="S486" s="89"/>
      <c r="T486" s="89" t="s">
        <v>1124</v>
      </c>
      <c r="U486" s="85"/>
      <c r="V486" s="85"/>
      <c r="W486" s="85"/>
      <c r="X486" s="89" t="s">
        <v>1124</v>
      </c>
      <c r="Y486" s="79"/>
      <c r="Z486" s="79"/>
      <c r="AA486" s="94"/>
      <c r="AB486" s="79" t="s">
        <v>1124</v>
      </c>
      <c r="AC486" s="85"/>
      <c r="AD486" s="85"/>
      <c r="AE486" s="85"/>
      <c r="AF486" s="85"/>
      <c r="AG486" s="85" t="s">
        <v>1124</v>
      </c>
      <c r="AH486" s="85"/>
      <c r="AI486" s="85"/>
      <c r="AJ486" s="85"/>
      <c r="AK486" s="85"/>
      <c r="AL486" s="85"/>
      <c r="AM486" s="85"/>
      <c r="AN486" s="85"/>
      <c r="AO486" s="85"/>
      <c r="AP486" s="85"/>
      <c r="AQ486" s="85"/>
      <c r="AR486" s="85" t="s">
        <v>1124</v>
      </c>
      <c r="AS486" s="85"/>
      <c r="AT486" s="85"/>
      <c r="AU486" s="85"/>
      <c r="AV486" s="85"/>
      <c r="AW486" s="85"/>
      <c r="AX486" s="85"/>
      <c r="AY486" s="85"/>
      <c r="AZ486" s="85"/>
      <c r="BA486" s="85"/>
      <c r="BB486" s="89"/>
      <c r="BC486" s="89" t="s">
        <v>1124</v>
      </c>
      <c r="BD486" s="37"/>
      <c r="BE486" s="37"/>
      <c r="BF486" s="279"/>
      <c r="BG486" s="37"/>
      <c r="BH486" s="37"/>
      <c r="BI486" s="37"/>
      <c r="BJ486" s="283"/>
      <c r="BK486" s="161"/>
      <c r="BL486" s="294"/>
      <c r="BM486"/>
      <c r="BN486"/>
      <c r="BO486"/>
      <c r="BP486"/>
      <c r="BQ486"/>
      <c r="BR486"/>
      <c r="BS486"/>
      <c r="BT486"/>
      <c r="BU486"/>
      <c r="BV486"/>
      <c r="BW486"/>
      <c r="BX486"/>
      <c r="BY486"/>
      <c r="BZ486"/>
      <c r="CA486"/>
      <c r="CB486"/>
      <c r="CC486"/>
      <c r="CD486"/>
      <c r="CE486"/>
      <c r="CF486"/>
      <c r="CG486"/>
      <c r="CH486"/>
      <c r="CI486"/>
      <c r="CJ486"/>
    </row>
    <row r="487" spans="1:88" s="32" customFormat="1" ht="15" customHeight="1" x14ac:dyDescent="0.35">
      <c r="A487" s="473"/>
      <c r="B487" s="313">
        <v>71055</v>
      </c>
      <c r="C487" s="8" t="s">
        <v>712</v>
      </c>
      <c r="D487" s="18">
        <v>16</v>
      </c>
      <c r="E487" s="251">
        <v>759</v>
      </c>
      <c r="F487" s="82">
        <v>2.3626220362622035</v>
      </c>
      <c r="G487" s="79">
        <v>1793.2301255230125</v>
      </c>
      <c r="H487" s="90">
        <v>12.235900000000139</v>
      </c>
      <c r="I487" s="85">
        <v>10.87109999999986</v>
      </c>
      <c r="J487" s="85">
        <v>12.200800000000047</v>
      </c>
      <c r="K487" s="85">
        <v>12.316899999999906</v>
      </c>
      <c r="L487" s="85">
        <v>19.342700000000185</v>
      </c>
      <c r="M487" s="85">
        <v>20.916</v>
      </c>
      <c r="N487" s="85">
        <v>22.845500000000001</v>
      </c>
      <c r="O487" s="85">
        <v>25.237399999999909</v>
      </c>
      <c r="P487" s="85">
        <v>21.012499999999999</v>
      </c>
      <c r="Q487" s="85">
        <v>18.488699999999952</v>
      </c>
      <c r="R487" s="85">
        <v>13.235900000000139</v>
      </c>
      <c r="S487" s="89">
        <v>13.685299999999813</v>
      </c>
      <c r="T487" s="89">
        <v>202.38869999999991</v>
      </c>
      <c r="U487" s="85">
        <v>0</v>
      </c>
      <c r="V487" s="85">
        <v>202.38869999999991</v>
      </c>
      <c r="W487" s="85">
        <v>0</v>
      </c>
      <c r="X487" s="89">
        <v>202.38869999999991</v>
      </c>
      <c r="Y487" s="79">
        <v>0</v>
      </c>
      <c r="Z487" s="79">
        <v>1</v>
      </c>
      <c r="AA487" s="94">
        <v>0</v>
      </c>
      <c r="AB487" s="79">
        <v>1</v>
      </c>
      <c r="AC487" s="85">
        <v>105.806</v>
      </c>
      <c r="AD487" s="85">
        <v>13.870699999999914</v>
      </c>
      <c r="AE487" s="85">
        <v>82.712000000000003</v>
      </c>
      <c r="AF487" s="85">
        <v>0</v>
      </c>
      <c r="AG487" s="85">
        <v>202.38869999999991</v>
      </c>
      <c r="AH487" s="85">
        <v>0</v>
      </c>
      <c r="AI487" s="85">
        <v>0</v>
      </c>
      <c r="AJ487" s="85">
        <v>0</v>
      </c>
      <c r="AK487" s="85">
        <v>0</v>
      </c>
      <c r="AL487" s="85">
        <v>0</v>
      </c>
      <c r="AM487" s="85">
        <v>0</v>
      </c>
      <c r="AN487" s="85">
        <v>0</v>
      </c>
      <c r="AO487" s="85">
        <v>0</v>
      </c>
      <c r="AP487" s="85">
        <v>0</v>
      </c>
      <c r="AQ487" s="85">
        <v>0</v>
      </c>
      <c r="AR487" s="85">
        <v>0</v>
      </c>
      <c r="AS487" s="85">
        <v>0</v>
      </c>
      <c r="AT487" s="85">
        <v>0</v>
      </c>
      <c r="AU487" s="85">
        <v>0</v>
      </c>
      <c r="AV487" s="85">
        <v>0</v>
      </c>
      <c r="AW487" s="85">
        <v>0</v>
      </c>
      <c r="AX487" s="85">
        <v>202.38869999999991</v>
      </c>
      <c r="AY487" s="85">
        <v>0</v>
      </c>
      <c r="AZ487" s="85">
        <v>0</v>
      </c>
      <c r="BA487" s="85">
        <v>0</v>
      </c>
      <c r="BB487" s="89">
        <v>0</v>
      </c>
      <c r="BC487" s="89">
        <v>202.38869999999991</v>
      </c>
      <c r="BD487" s="37">
        <v>0</v>
      </c>
      <c r="BE487" s="37">
        <v>0</v>
      </c>
      <c r="BF487" s="279">
        <v>10415.780000000001</v>
      </c>
      <c r="BG487" s="37">
        <v>27136.25</v>
      </c>
      <c r="BH487" s="37">
        <v>20996.15</v>
      </c>
      <c r="BI487" s="37">
        <v>0</v>
      </c>
      <c r="BJ487" s="283">
        <v>58548.18</v>
      </c>
      <c r="BK487" s="161"/>
      <c r="BL487" s="294"/>
      <c r="BM487"/>
      <c r="BN487"/>
      <c r="BO487"/>
      <c r="BP487"/>
      <c r="BQ487"/>
      <c r="BR487"/>
      <c r="BS487"/>
      <c r="BT487"/>
      <c r="BU487"/>
      <c r="BV487"/>
      <c r="BW487"/>
      <c r="BX487"/>
      <c r="BY487"/>
      <c r="BZ487"/>
      <c r="CA487"/>
      <c r="CB487"/>
      <c r="CC487"/>
      <c r="CD487"/>
      <c r="CE487"/>
      <c r="CF487"/>
      <c r="CG487"/>
      <c r="CH487"/>
      <c r="CI487"/>
      <c r="CJ487"/>
    </row>
    <row r="488" spans="1:88" s="32" customFormat="1" ht="15" customHeight="1" x14ac:dyDescent="0.35">
      <c r="A488" s="473"/>
      <c r="B488" s="313">
        <v>71140</v>
      </c>
      <c r="C488" s="8" t="s">
        <v>726</v>
      </c>
      <c r="D488" s="18">
        <v>16</v>
      </c>
      <c r="E488" s="251"/>
      <c r="F488" s="82"/>
      <c r="G488" s="79"/>
      <c r="H488" s="90"/>
      <c r="I488" s="85"/>
      <c r="J488" s="85"/>
      <c r="K488" s="85"/>
      <c r="L488" s="85"/>
      <c r="M488" s="85"/>
      <c r="N488" s="85"/>
      <c r="O488" s="85"/>
      <c r="P488" s="85"/>
      <c r="Q488" s="85"/>
      <c r="R488" s="85"/>
      <c r="S488" s="89"/>
      <c r="T488" s="89" t="s">
        <v>1124</v>
      </c>
      <c r="U488" s="85"/>
      <c r="V488" s="85"/>
      <c r="W488" s="85"/>
      <c r="X488" s="89" t="s">
        <v>1124</v>
      </c>
      <c r="Y488" s="79"/>
      <c r="Z488" s="79"/>
      <c r="AA488" s="94"/>
      <c r="AB488" s="79" t="s">
        <v>1124</v>
      </c>
      <c r="AC488" s="85"/>
      <c r="AD488" s="85"/>
      <c r="AE488" s="85"/>
      <c r="AF488" s="85"/>
      <c r="AG488" s="85" t="s">
        <v>1124</v>
      </c>
      <c r="AH488" s="85"/>
      <c r="AI488" s="85"/>
      <c r="AJ488" s="85"/>
      <c r="AK488" s="85"/>
      <c r="AL488" s="85"/>
      <c r="AM488" s="85"/>
      <c r="AN488" s="85"/>
      <c r="AO488" s="85"/>
      <c r="AP488" s="85"/>
      <c r="AQ488" s="85"/>
      <c r="AR488" s="85" t="s">
        <v>1124</v>
      </c>
      <c r="AS488" s="85"/>
      <c r="AT488" s="85"/>
      <c r="AU488" s="85"/>
      <c r="AV488" s="85"/>
      <c r="AW488" s="85"/>
      <c r="AX488" s="85"/>
      <c r="AY488" s="85"/>
      <c r="AZ488" s="85"/>
      <c r="BA488" s="85"/>
      <c r="BB488" s="89"/>
      <c r="BC488" s="89" t="s">
        <v>1124</v>
      </c>
      <c r="BD488" s="37"/>
      <c r="BE488" s="37"/>
      <c r="BF488" s="279"/>
      <c r="BG488" s="37"/>
      <c r="BH488" s="37"/>
      <c r="BI488" s="37"/>
      <c r="BJ488" s="283"/>
      <c r="BK488" s="161"/>
      <c r="BL488" s="294"/>
      <c r="BM488"/>
      <c r="BN488"/>
      <c r="BO488"/>
      <c r="BP488"/>
      <c r="BQ488"/>
      <c r="BR488"/>
      <c r="BS488"/>
      <c r="BT488"/>
      <c r="BU488"/>
      <c r="BV488"/>
      <c r="BW488"/>
      <c r="BX488"/>
      <c r="BY488"/>
      <c r="BZ488"/>
      <c r="CA488"/>
      <c r="CB488"/>
      <c r="CC488"/>
      <c r="CD488"/>
      <c r="CE488"/>
      <c r="CF488"/>
      <c r="CG488"/>
      <c r="CH488"/>
      <c r="CI488"/>
      <c r="CJ488"/>
    </row>
    <row r="489" spans="1:88" s="32" customFormat="1" ht="15" customHeight="1" x14ac:dyDescent="0.35">
      <c r="A489" s="473"/>
      <c r="B489" s="313">
        <v>96025</v>
      </c>
      <c r="C489" s="8" t="s">
        <v>998</v>
      </c>
      <c r="D489" s="18">
        <v>9</v>
      </c>
      <c r="E489" s="251"/>
      <c r="F489" s="82"/>
      <c r="G489" s="79"/>
      <c r="H489" s="90"/>
      <c r="I489" s="85"/>
      <c r="J489" s="85"/>
      <c r="K489" s="85"/>
      <c r="L489" s="85"/>
      <c r="M489" s="85"/>
      <c r="N489" s="85"/>
      <c r="O489" s="85"/>
      <c r="P489" s="85"/>
      <c r="Q489" s="85"/>
      <c r="R489" s="85"/>
      <c r="S489" s="89"/>
      <c r="T489" s="89" t="s">
        <v>1124</v>
      </c>
      <c r="U489" s="85"/>
      <c r="V489" s="85"/>
      <c r="W489" s="85"/>
      <c r="X489" s="89" t="s">
        <v>1124</v>
      </c>
      <c r="Y489" s="79"/>
      <c r="Z489" s="79"/>
      <c r="AA489" s="94"/>
      <c r="AB489" s="79" t="s">
        <v>1124</v>
      </c>
      <c r="AC489" s="85"/>
      <c r="AD489" s="85"/>
      <c r="AE489" s="85"/>
      <c r="AF489" s="85"/>
      <c r="AG489" s="85" t="s">
        <v>1124</v>
      </c>
      <c r="AH489" s="85"/>
      <c r="AI489" s="85"/>
      <c r="AJ489" s="85"/>
      <c r="AK489" s="85"/>
      <c r="AL489" s="85"/>
      <c r="AM489" s="85"/>
      <c r="AN489" s="85"/>
      <c r="AO489" s="85"/>
      <c r="AP489" s="85"/>
      <c r="AQ489" s="85"/>
      <c r="AR489" s="85" t="s">
        <v>1124</v>
      </c>
      <c r="AS489" s="85"/>
      <c r="AT489" s="85"/>
      <c r="AU489" s="85"/>
      <c r="AV489" s="85"/>
      <c r="AW489" s="85"/>
      <c r="AX489" s="85"/>
      <c r="AY489" s="85"/>
      <c r="AZ489" s="85"/>
      <c r="BA489" s="85"/>
      <c r="BB489" s="89"/>
      <c r="BC489" s="89" t="s">
        <v>1124</v>
      </c>
      <c r="BD489" s="37"/>
      <c r="BE489" s="37"/>
      <c r="BF489" s="279"/>
      <c r="BG489" s="37"/>
      <c r="BH489" s="37"/>
      <c r="BI489" s="37"/>
      <c r="BJ489" s="283"/>
      <c r="BK489" s="161"/>
      <c r="BL489" s="294"/>
      <c r="BM489"/>
      <c r="BN489"/>
      <c r="BO489"/>
      <c r="BP489"/>
      <c r="BQ489"/>
      <c r="BR489"/>
      <c r="BS489"/>
      <c r="BT489"/>
      <c r="BU489"/>
      <c r="BV489"/>
      <c r="BW489"/>
      <c r="BX489"/>
      <c r="BY489"/>
      <c r="BZ489"/>
      <c r="CA489"/>
      <c r="CB489"/>
      <c r="CC489"/>
      <c r="CD489"/>
      <c r="CE489"/>
      <c r="CF489"/>
      <c r="CG489"/>
      <c r="CH489"/>
      <c r="CI489"/>
      <c r="CJ489"/>
    </row>
    <row r="490" spans="1:88" s="32" customFormat="1" ht="15" customHeight="1" x14ac:dyDescent="0.35">
      <c r="A490" s="473"/>
      <c r="B490" s="313">
        <v>82030</v>
      </c>
      <c r="C490" s="8" t="s">
        <v>833</v>
      </c>
      <c r="D490" s="18">
        <v>7</v>
      </c>
      <c r="E490" s="251">
        <v>351</v>
      </c>
      <c r="F490" s="82">
        <v>2.308261886204209</v>
      </c>
      <c r="G490" s="79">
        <v>810.19992205767733</v>
      </c>
      <c r="H490" s="90">
        <v>15.86</v>
      </c>
      <c r="I490" s="85">
        <v>13.29</v>
      </c>
      <c r="J490" s="85">
        <v>13.88</v>
      </c>
      <c r="K490" s="85">
        <v>13.48</v>
      </c>
      <c r="L490" s="85">
        <v>17.45</v>
      </c>
      <c r="M490" s="85">
        <v>20.43</v>
      </c>
      <c r="N490" s="85">
        <v>21.02</v>
      </c>
      <c r="O490" s="85">
        <v>18.05</v>
      </c>
      <c r="P490" s="85">
        <v>16.66</v>
      </c>
      <c r="Q490" s="85">
        <v>15.52</v>
      </c>
      <c r="R490" s="85">
        <v>14.62</v>
      </c>
      <c r="S490" s="89">
        <v>15.47</v>
      </c>
      <c r="T490" s="89">
        <v>195.73000000000002</v>
      </c>
      <c r="U490" s="85">
        <v>195.73</v>
      </c>
      <c r="V490" s="85">
        <v>0</v>
      </c>
      <c r="W490" s="85">
        <v>0</v>
      </c>
      <c r="X490" s="89">
        <v>195.73</v>
      </c>
      <c r="Y490" s="79">
        <v>1</v>
      </c>
      <c r="Z490" s="79">
        <v>0</v>
      </c>
      <c r="AA490" s="94">
        <v>0</v>
      </c>
      <c r="AB490" s="79">
        <v>1</v>
      </c>
      <c r="AC490" s="85">
        <v>96.436999999999998</v>
      </c>
      <c r="AD490" s="85">
        <v>67.528000000000006</v>
      </c>
      <c r="AE490" s="85">
        <v>31.765000000000001</v>
      </c>
      <c r="AF490" s="85">
        <v>0</v>
      </c>
      <c r="AG490" s="85">
        <v>195.73000000000002</v>
      </c>
      <c r="AH490" s="85">
        <v>0</v>
      </c>
      <c r="AI490" s="85">
        <v>0</v>
      </c>
      <c r="AJ490" s="85">
        <v>0</v>
      </c>
      <c r="AK490" s="85">
        <v>0</v>
      </c>
      <c r="AL490" s="85">
        <v>195.73</v>
      </c>
      <c r="AM490" s="85">
        <v>0</v>
      </c>
      <c r="AN490" s="85">
        <v>0</v>
      </c>
      <c r="AO490" s="85">
        <v>0</v>
      </c>
      <c r="AP490" s="85">
        <v>0</v>
      </c>
      <c r="AQ490" s="85">
        <v>0</v>
      </c>
      <c r="AR490" s="85">
        <v>195.73</v>
      </c>
      <c r="AS490" s="85">
        <v>0</v>
      </c>
      <c r="AT490" s="85">
        <v>0</v>
      </c>
      <c r="AU490" s="85">
        <v>0</v>
      </c>
      <c r="AV490" s="85">
        <v>0</v>
      </c>
      <c r="AW490" s="85">
        <v>0</v>
      </c>
      <c r="AX490" s="85">
        <v>0</v>
      </c>
      <c r="AY490" s="85">
        <v>0</v>
      </c>
      <c r="AZ490" s="85">
        <v>0</v>
      </c>
      <c r="BA490" s="85">
        <v>0</v>
      </c>
      <c r="BB490" s="89">
        <v>0</v>
      </c>
      <c r="BC490" s="89">
        <v>0</v>
      </c>
      <c r="BD490" s="37">
        <v>53546</v>
      </c>
      <c r="BE490" s="37">
        <v>108211</v>
      </c>
      <c r="BF490" s="279">
        <v>42373</v>
      </c>
      <c r="BG490" s="37">
        <v>68931</v>
      </c>
      <c r="BH490" s="37">
        <v>40008</v>
      </c>
      <c r="BI490" s="37">
        <v>29059</v>
      </c>
      <c r="BJ490" s="283">
        <v>0</v>
      </c>
      <c r="BK490" s="161"/>
      <c r="BL490" s="294"/>
      <c r="BM490"/>
      <c r="BN490"/>
      <c r="BO490"/>
      <c r="BP490"/>
      <c r="BQ490"/>
      <c r="BR490"/>
      <c r="BS490"/>
      <c r="BT490"/>
      <c r="BU490"/>
      <c r="BV490"/>
      <c r="BW490"/>
      <c r="BX490"/>
      <c r="BY490"/>
      <c r="BZ490"/>
      <c r="CA490"/>
      <c r="CB490"/>
      <c r="CC490"/>
      <c r="CD490"/>
      <c r="CE490"/>
      <c r="CF490"/>
      <c r="CG490"/>
      <c r="CH490"/>
      <c r="CI490"/>
      <c r="CJ490"/>
    </row>
    <row r="491" spans="1:88" s="32" customFormat="1" ht="15" customHeight="1" x14ac:dyDescent="0.35">
      <c r="A491" s="473"/>
      <c r="B491" s="313">
        <v>34017</v>
      </c>
      <c r="C491" s="8" t="s">
        <v>286</v>
      </c>
      <c r="D491" s="18">
        <v>3</v>
      </c>
      <c r="E491" s="251">
        <v>3522</v>
      </c>
      <c r="F491" s="82">
        <v>2.5492847854356309</v>
      </c>
      <c r="G491" s="79">
        <v>8978.5810143042927</v>
      </c>
      <c r="H491" s="90">
        <v>94.563999999999993</v>
      </c>
      <c r="I491" s="85">
        <v>92.501000000000005</v>
      </c>
      <c r="J491" s="85">
        <v>96.715000000000003</v>
      </c>
      <c r="K491" s="85">
        <v>90.304000000000002</v>
      </c>
      <c r="L491" s="85">
        <v>100.22199999999999</v>
      </c>
      <c r="M491" s="85">
        <v>108.892</v>
      </c>
      <c r="N491" s="85">
        <v>117.25</v>
      </c>
      <c r="O491" s="85">
        <v>93.602999999999994</v>
      </c>
      <c r="P491" s="85">
        <v>89.558999999999997</v>
      </c>
      <c r="Q491" s="85">
        <v>79.233000000000004</v>
      </c>
      <c r="R491" s="85">
        <v>76.703999999999994</v>
      </c>
      <c r="S491" s="89">
        <v>68.558999999999997</v>
      </c>
      <c r="T491" s="89">
        <v>1108.1059999999998</v>
      </c>
      <c r="U491" s="85">
        <v>0</v>
      </c>
      <c r="V491" s="85">
        <v>1108.106</v>
      </c>
      <c r="W491" s="85">
        <v>0</v>
      </c>
      <c r="X491" s="89">
        <v>1108.106</v>
      </c>
      <c r="Y491" s="79">
        <v>0</v>
      </c>
      <c r="Z491" s="79">
        <v>1</v>
      </c>
      <c r="AA491" s="94">
        <v>0</v>
      </c>
      <c r="AB491" s="79">
        <v>1</v>
      </c>
      <c r="AC491" s="85">
        <v>756.73693907392362</v>
      </c>
      <c r="AD491" s="85">
        <v>195.58092273019983</v>
      </c>
      <c r="AE491" s="85">
        <v>155.78813819587631</v>
      </c>
      <c r="AF491" s="85">
        <v>0</v>
      </c>
      <c r="AG491" s="85">
        <v>1108.1059999999998</v>
      </c>
      <c r="AH491" s="85">
        <v>0</v>
      </c>
      <c r="AI491" s="85">
        <v>0</v>
      </c>
      <c r="AJ491" s="85">
        <v>0</v>
      </c>
      <c r="AK491" s="85">
        <v>0</v>
      </c>
      <c r="AL491" s="85">
        <v>0</v>
      </c>
      <c r="AM491" s="85">
        <v>0</v>
      </c>
      <c r="AN491" s="85">
        <v>0</v>
      </c>
      <c r="AO491" s="85">
        <v>0</v>
      </c>
      <c r="AP491" s="85">
        <v>0</v>
      </c>
      <c r="AQ491" s="85">
        <v>0</v>
      </c>
      <c r="AR491" s="85">
        <v>0</v>
      </c>
      <c r="AS491" s="85">
        <v>0</v>
      </c>
      <c r="AT491" s="85">
        <v>0</v>
      </c>
      <c r="AU491" s="85">
        <v>0</v>
      </c>
      <c r="AV491" s="85">
        <v>0</v>
      </c>
      <c r="AW491" s="85">
        <v>0</v>
      </c>
      <c r="AX491" s="85">
        <v>0</v>
      </c>
      <c r="AY491" s="85">
        <v>1108.106</v>
      </c>
      <c r="AZ491" s="85">
        <v>0</v>
      </c>
      <c r="BA491" s="85">
        <v>0</v>
      </c>
      <c r="BB491" s="89">
        <v>0</v>
      </c>
      <c r="BC491" s="89">
        <v>1108.106</v>
      </c>
      <c r="BD491" s="37">
        <v>0</v>
      </c>
      <c r="BE491" s="37">
        <v>0</v>
      </c>
      <c r="BF491" s="279">
        <v>122727</v>
      </c>
      <c r="BG491" s="37">
        <v>292444</v>
      </c>
      <c r="BH491" s="37">
        <v>98628</v>
      </c>
      <c r="BI491" s="37">
        <v>115092</v>
      </c>
      <c r="BJ491" s="283">
        <v>628891</v>
      </c>
      <c r="BK491" s="161"/>
      <c r="BL491" s="294"/>
      <c r="BM491"/>
      <c r="BN491"/>
      <c r="BO491"/>
      <c r="BP491"/>
      <c r="BQ491"/>
      <c r="BR491"/>
      <c r="BS491"/>
      <c r="BT491"/>
      <c r="BU491"/>
      <c r="BV491"/>
      <c r="BW491"/>
      <c r="BX491"/>
      <c r="BY491"/>
      <c r="BZ491"/>
      <c r="CA491"/>
      <c r="CB491"/>
      <c r="CC491"/>
      <c r="CD491"/>
      <c r="CE491"/>
      <c r="CF491"/>
      <c r="CG491"/>
      <c r="CH491"/>
      <c r="CI491"/>
      <c r="CJ491"/>
    </row>
    <row r="492" spans="1:88" s="32" customFormat="1" ht="15" customHeight="1" x14ac:dyDescent="0.35">
      <c r="A492" s="473"/>
      <c r="B492" s="313">
        <v>84020</v>
      </c>
      <c r="C492" s="8" t="s">
        <v>855</v>
      </c>
      <c r="D492" s="18">
        <v>7</v>
      </c>
      <c r="E492" s="251"/>
      <c r="F492" s="82"/>
      <c r="G492" s="79"/>
      <c r="H492" s="90"/>
      <c r="I492" s="85"/>
      <c r="J492" s="85"/>
      <c r="K492" s="85"/>
      <c r="L492" s="85"/>
      <c r="M492" s="85"/>
      <c r="N492" s="85"/>
      <c r="O492" s="85"/>
      <c r="P492" s="85"/>
      <c r="Q492" s="85"/>
      <c r="R492" s="85"/>
      <c r="S492" s="89"/>
      <c r="T492" s="89" t="s">
        <v>1124</v>
      </c>
      <c r="U492" s="85"/>
      <c r="V492" s="85"/>
      <c r="W492" s="85"/>
      <c r="X492" s="89" t="s">
        <v>1124</v>
      </c>
      <c r="Y492" s="79"/>
      <c r="Z492" s="79"/>
      <c r="AA492" s="94"/>
      <c r="AB492" s="79" t="s">
        <v>1124</v>
      </c>
      <c r="AC492" s="85"/>
      <c r="AD492" s="85"/>
      <c r="AE492" s="85"/>
      <c r="AF492" s="85"/>
      <c r="AG492" s="85" t="s">
        <v>1124</v>
      </c>
      <c r="AH492" s="85"/>
      <c r="AI492" s="85"/>
      <c r="AJ492" s="85"/>
      <c r="AK492" s="85"/>
      <c r="AL492" s="85"/>
      <c r="AM492" s="85"/>
      <c r="AN492" s="85"/>
      <c r="AO492" s="85"/>
      <c r="AP492" s="85"/>
      <c r="AQ492" s="85"/>
      <c r="AR492" s="85" t="s">
        <v>1124</v>
      </c>
      <c r="AS492" s="85"/>
      <c r="AT492" s="85"/>
      <c r="AU492" s="85"/>
      <c r="AV492" s="85"/>
      <c r="AW492" s="85"/>
      <c r="AX492" s="85"/>
      <c r="AY492" s="85"/>
      <c r="AZ492" s="85"/>
      <c r="BA492" s="85"/>
      <c r="BB492" s="89"/>
      <c r="BC492" s="89" t="s">
        <v>1124</v>
      </c>
      <c r="BD492" s="37"/>
      <c r="BE492" s="37"/>
      <c r="BF492" s="279"/>
      <c r="BG492" s="37"/>
      <c r="BH492" s="37"/>
      <c r="BI492" s="37"/>
      <c r="BJ492" s="283"/>
      <c r="BK492" s="161"/>
      <c r="BL492" s="294"/>
      <c r="BM492"/>
      <c r="BN492"/>
      <c r="BO492"/>
      <c r="BP492"/>
      <c r="BQ492"/>
      <c r="BR492"/>
      <c r="BS492"/>
      <c r="BT492"/>
      <c r="BU492"/>
      <c r="BV492"/>
      <c r="BW492"/>
      <c r="BX492"/>
      <c r="BY492"/>
      <c r="BZ492"/>
      <c r="CA492"/>
      <c r="CB492"/>
      <c r="CC492"/>
      <c r="CD492"/>
      <c r="CE492"/>
      <c r="CF492"/>
      <c r="CG492"/>
      <c r="CH492"/>
      <c r="CI492"/>
      <c r="CJ492"/>
    </row>
    <row r="493" spans="1:88" s="32" customFormat="1" ht="15" customHeight="1" x14ac:dyDescent="0.35">
      <c r="A493" s="473"/>
      <c r="B493" s="313">
        <v>97022</v>
      </c>
      <c r="C493" s="8" t="s">
        <v>1003</v>
      </c>
      <c r="D493" s="18">
        <v>9</v>
      </c>
      <c r="E493" s="251">
        <v>2697</v>
      </c>
      <c r="F493" s="82">
        <v>2.4194013703570141</v>
      </c>
      <c r="G493" s="79">
        <v>6525.1254958528671</v>
      </c>
      <c r="H493" s="90">
        <v>84.328000000000003</v>
      </c>
      <c r="I493" s="85">
        <v>81.402000000000001</v>
      </c>
      <c r="J493" s="85">
        <v>80.715570000000014</v>
      </c>
      <c r="K493" s="85">
        <v>98.002570000000006</v>
      </c>
      <c r="L493" s="85">
        <v>81.488</v>
      </c>
      <c r="M493" s="85">
        <v>79.236999999999995</v>
      </c>
      <c r="N493" s="85">
        <v>86.361999999999995</v>
      </c>
      <c r="O493" s="85">
        <v>84.147000000000006</v>
      </c>
      <c r="P493" s="85">
        <v>70.11</v>
      </c>
      <c r="Q493" s="85">
        <v>70.876000000000005</v>
      </c>
      <c r="R493" s="85">
        <v>77.585999999999999</v>
      </c>
      <c r="S493" s="89">
        <v>101.023</v>
      </c>
      <c r="T493" s="89">
        <v>995.27714000000003</v>
      </c>
      <c r="U493" s="85">
        <v>995.27714000000003</v>
      </c>
      <c r="V493" s="85">
        <v>0</v>
      </c>
      <c r="W493" s="85">
        <v>0</v>
      </c>
      <c r="X493" s="89">
        <v>995.27714000000003</v>
      </c>
      <c r="Y493" s="79">
        <v>1</v>
      </c>
      <c r="Z493" s="79">
        <v>0</v>
      </c>
      <c r="AA493" s="94">
        <v>0</v>
      </c>
      <c r="AB493" s="79">
        <v>1</v>
      </c>
      <c r="AC493" s="85">
        <v>591.25612818696879</v>
      </c>
      <c r="AD493" s="85">
        <v>42.643011813031237</v>
      </c>
      <c r="AE493" s="85">
        <v>352.846</v>
      </c>
      <c r="AF493" s="85">
        <v>8.532</v>
      </c>
      <c r="AG493" s="85">
        <v>995.27714000000003</v>
      </c>
      <c r="AH493" s="85">
        <v>995.27714000000003</v>
      </c>
      <c r="AI493" s="85">
        <v>0</v>
      </c>
      <c r="AJ493" s="85">
        <v>0</v>
      </c>
      <c r="AK493" s="85">
        <v>0</v>
      </c>
      <c r="AL493" s="85">
        <v>0</v>
      </c>
      <c r="AM493" s="85">
        <v>0</v>
      </c>
      <c r="AN493" s="85">
        <v>0</v>
      </c>
      <c r="AO493" s="85">
        <v>0</v>
      </c>
      <c r="AP493" s="85">
        <v>0</v>
      </c>
      <c r="AQ493" s="85">
        <v>0</v>
      </c>
      <c r="AR493" s="85">
        <v>995.27714000000003</v>
      </c>
      <c r="AS493" s="85">
        <v>0</v>
      </c>
      <c r="AT493" s="85">
        <v>0</v>
      </c>
      <c r="AU493" s="85">
        <v>0</v>
      </c>
      <c r="AV493" s="85">
        <v>0</v>
      </c>
      <c r="AW493" s="85">
        <v>0</v>
      </c>
      <c r="AX493" s="85">
        <v>0</v>
      </c>
      <c r="AY493" s="85">
        <v>0</v>
      </c>
      <c r="AZ493" s="85">
        <v>0</v>
      </c>
      <c r="BA493" s="85">
        <v>0</v>
      </c>
      <c r="BB493" s="89">
        <v>0</v>
      </c>
      <c r="BC493" s="89">
        <v>0</v>
      </c>
      <c r="BD493" s="37">
        <v>349690</v>
      </c>
      <c r="BE493" s="37">
        <v>885669</v>
      </c>
      <c r="BF493" s="279">
        <v>430373</v>
      </c>
      <c r="BG493" s="37">
        <v>702205</v>
      </c>
      <c r="BH493" s="37">
        <v>250945</v>
      </c>
      <c r="BI493" s="37">
        <v>0</v>
      </c>
      <c r="BJ493" s="283">
        <v>1383523</v>
      </c>
      <c r="BK493" s="161"/>
      <c r="BL493" s="294"/>
      <c r="BM493"/>
      <c r="BN493"/>
      <c r="BO493"/>
      <c r="BP493"/>
      <c r="BQ493"/>
      <c r="BR493"/>
      <c r="BS493"/>
      <c r="BT493"/>
      <c r="BU493"/>
      <c r="BV493"/>
      <c r="BW493"/>
      <c r="BX493"/>
      <c r="BY493"/>
      <c r="BZ493"/>
      <c r="CA493"/>
      <c r="CB493"/>
      <c r="CC493"/>
      <c r="CD493"/>
      <c r="CE493"/>
      <c r="CF493"/>
      <c r="CG493"/>
      <c r="CH493"/>
      <c r="CI493"/>
      <c r="CJ493"/>
    </row>
    <row r="494" spans="1:88" s="32" customFormat="1" ht="15" customHeight="1" x14ac:dyDescent="0.35">
      <c r="A494" s="473"/>
      <c r="B494" s="313">
        <v>2047</v>
      </c>
      <c r="C494" s="8" t="s">
        <v>1030</v>
      </c>
      <c r="D494" s="18">
        <v>11</v>
      </c>
      <c r="E494" s="251">
        <v>490</v>
      </c>
      <c r="F494" s="82">
        <v>1.8731218697829717</v>
      </c>
      <c r="G494" s="79">
        <v>917.82971619365617</v>
      </c>
      <c r="H494" s="90">
        <v>13.15</v>
      </c>
      <c r="I494" s="85">
        <v>12.361000000000001</v>
      </c>
      <c r="J494" s="85">
        <v>13.528</v>
      </c>
      <c r="K494" s="85">
        <v>13.109000000000002</v>
      </c>
      <c r="L494" s="85">
        <v>13.536999999999999</v>
      </c>
      <c r="M494" s="85">
        <v>15.952999999999999</v>
      </c>
      <c r="N494" s="85">
        <v>17.881</v>
      </c>
      <c r="O494" s="85">
        <v>14.815</v>
      </c>
      <c r="P494" s="85">
        <v>13.843999999999999</v>
      </c>
      <c r="Q494" s="85">
        <v>14.563000000000001</v>
      </c>
      <c r="R494" s="85">
        <v>13.301</v>
      </c>
      <c r="S494" s="89">
        <v>13.595000000000001</v>
      </c>
      <c r="T494" s="89">
        <v>169.63699999999997</v>
      </c>
      <c r="U494" s="85">
        <v>0</v>
      </c>
      <c r="V494" s="85">
        <v>131.16399999999999</v>
      </c>
      <c r="W494" s="85">
        <v>38.472999999999999</v>
      </c>
      <c r="X494" s="89">
        <v>169.637</v>
      </c>
      <c r="Y494" s="79">
        <v>0</v>
      </c>
      <c r="Z494" s="79">
        <v>1</v>
      </c>
      <c r="AA494" s="94">
        <v>1</v>
      </c>
      <c r="AB494" s="79">
        <v>2</v>
      </c>
      <c r="AC494" s="85">
        <v>96.350942460317441</v>
      </c>
      <c r="AD494" s="85">
        <v>43.741242029478485</v>
      </c>
      <c r="AE494" s="85">
        <v>29.544815510204074</v>
      </c>
      <c r="AF494" s="85">
        <v>0</v>
      </c>
      <c r="AG494" s="85">
        <v>169.637</v>
      </c>
      <c r="AH494" s="85">
        <v>0</v>
      </c>
      <c r="AI494" s="85">
        <v>0</v>
      </c>
      <c r="AJ494" s="85">
        <v>0</v>
      </c>
      <c r="AK494" s="85">
        <v>0</v>
      </c>
      <c r="AL494" s="85">
        <v>0</v>
      </c>
      <c r="AM494" s="85">
        <v>0</v>
      </c>
      <c r="AN494" s="85">
        <v>0</v>
      </c>
      <c r="AO494" s="85">
        <v>0</v>
      </c>
      <c r="AP494" s="85">
        <v>0</v>
      </c>
      <c r="AQ494" s="85">
        <v>0</v>
      </c>
      <c r="AR494" s="85">
        <v>0</v>
      </c>
      <c r="AS494" s="85">
        <v>0</v>
      </c>
      <c r="AT494" s="85">
        <v>0</v>
      </c>
      <c r="AU494" s="85">
        <v>0</v>
      </c>
      <c r="AV494" s="85">
        <v>0</v>
      </c>
      <c r="AW494" s="85">
        <v>0</v>
      </c>
      <c r="AX494" s="85">
        <v>0</v>
      </c>
      <c r="AY494" s="85">
        <v>169.637</v>
      </c>
      <c r="AZ494" s="85">
        <v>0</v>
      </c>
      <c r="BA494" s="85">
        <v>0</v>
      </c>
      <c r="BB494" s="89">
        <v>0</v>
      </c>
      <c r="BC494" s="89">
        <v>169.637</v>
      </c>
      <c r="BD494" s="37">
        <v>0</v>
      </c>
      <c r="BE494" s="37">
        <v>0</v>
      </c>
      <c r="BF494" s="279">
        <v>69810</v>
      </c>
      <c r="BG494" s="37">
        <v>46788</v>
      </c>
      <c r="BH494" s="37">
        <v>16371</v>
      </c>
      <c r="BI494" s="37">
        <v>0</v>
      </c>
      <c r="BJ494" s="283">
        <v>132969</v>
      </c>
      <c r="BK494" s="161"/>
      <c r="BL494" s="294"/>
      <c r="BM494"/>
      <c r="BN494"/>
      <c r="BO494"/>
      <c r="BP494"/>
      <c r="BQ494"/>
      <c r="BR494"/>
      <c r="BS494"/>
      <c r="BT494"/>
      <c r="BU494"/>
      <c r="BV494"/>
      <c r="BW494"/>
      <c r="BX494"/>
      <c r="BY494"/>
      <c r="BZ494"/>
      <c r="CA494"/>
      <c r="CB494"/>
      <c r="CC494"/>
      <c r="CD494"/>
      <c r="CE494"/>
      <c r="CF494"/>
      <c r="CG494"/>
      <c r="CH494"/>
      <c r="CI494"/>
      <c r="CJ494"/>
    </row>
    <row r="495" spans="1:88" s="32" customFormat="1" ht="15" customHeight="1" x14ac:dyDescent="0.35">
      <c r="A495" s="473"/>
      <c r="B495" s="313">
        <v>34048</v>
      </c>
      <c r="C495" s="8" t="s">
        <v>290</v>
      </c>
      <c r="D495" s="18">
        <v>3</v>
      </c>
      <c r="E495" s="251">
        <v>1371</v>
      </c>
      <c r="F495" s="82">
        <v>2.081812460667086</v>
      </c>
      <c r="G495" s="79">
        <v>2854.164883574575</v>
      </c>
      <c r="H495" s="90">
        <v>31.774000000000001</v>
      </c>
      <c r="I495" s="85">
        <v>36.11</v>
      </c>
      <c r="J495" s="85">
        <v>35.292000000000002</v>
      </c>
      <c r="K495" s="85">
        <v>34.720999999999997</v>
      </c>
      <c r="L495" s="85">
        <v>39.031999999999996</v>
      </c>
      <c r="M495" s="85">
        <v>39.902999999999999</v>
      </c>
      <c r="N495" s="85">
        <v>48.555999999999997</v>
      </c>
      <c r="O495" s="85">
        <v>46.509</v>
      </c>
      <c r="P495" s="85">
        <v>37.017000000000003</v>
      </c>
      <c r="Q495" s="85">
        <v>37.677999999999997</v>
      </c>
      <c r="R495" s="85">
        <v>34.984000000000002</v>
      </c>
      <c r="S495" s="89">
        <v>30.413</v>
      </c>
      <c r="T495" s="89">
        <v>451.98899999999998</v>
      </c>
      <c r="U495" s="85">
        <v>0</v>
      </c>
      <c r="V495" s="85">
        <v>451.98899999999998</v>
      </c>
      <c r="W495" s="85">
        <v>0</v>
      </c>
      <c r="X495" s="89">
        <v>451.98899999999998</v>
      </c>
      <c r="Y495" s="79">
        <v>0</v>
      </c>
      <c r="Z495" s="79">
        <v>1</v>
      </c>
      <c r="AA495" s="94">
        <v>0</v>
      </c>
      <c r="AB495" s="79">
        <v>1</v>
      </c>
      <c r="AC495" s="85">
        <v>355.53399999999999</v>
      </c>
      <c r="AD495" s="85">
        <v>60.783286479591808</v>
      </c>
      <c r="AE495" s="85">
        <v>35.671713520408176</v>
      </c>
      <c r="AF495" s="85">
        <v>0</v>
      </c>
      <c r="AG495" s="85">
        <v>451.98899999999998</v>
      </c>
      <c r="AH495" s="85">
        <v>0</v>
      </c>
      <c r="AI495" s="85">
        <v>0</v>
      </c>
      <c r="AJ495" s="85">
        <v>0</v>
      </c>
      <c r="AK495" s="85">
        <v>0</v>
      </c>
      <c r="AL495" s="85">
        <v>0</v>
      </c>
      <c r="AM495" s="85">
        <v>0</v>
      </c>
      <c r="AN495" s="85">
        <v>0</v>
      </c>
      <c r="AO495" s="85">
        <v>0</v>
      </c>
      <c r="AP495" s="85">
        <v>0</v>
      </c>
      <c r="AQ495" s="85">
        <v>0</v>
      </c>
      <c r="AR495" s="85">
        <v>0</v>
      </c>
      <c r="AS495" s="85">
        <v>0</v>
      </c>
      <c r="AT495" s="85">
        <v>0</v>
      </c>
      <c r="AU495" s="85">
        <v>0</v>
      </c>
      <c r="AV495" s="85">
        <v>0</v>
      </c>
      <c r="AW495" s="85">
        <v>0</v>
      </c>
      <c r="AX495" s="85">
        <v>0</v>
      </c>
      <c r="AY495" s="85">
        <v>451.98899999999998</v>
      </c>
      <c r="AZ495" s="85">
        <v>0</v>
      </c>
      <c r="BA495" s="85">
        <v>0</v>
      </c>
      <c r="BB495" s="89">
        <v>0</v>
      </c>
      <c r="BC495" s="89">
        <v>451.98899999999998</v>
      </c>
      <c r="BD495" s="37">
        <v>0</v>
      </c>
      <c r="BE495" s="37">
        <v>0</v>
      </c>
      <c r="BF495" s="279">
        <v>26917</v>
      </c>
      <c r="BG495" s="37">
        <v>87762</v>
      </c>
      <c r="BH495" s="37">
        <v>45533</v>
      </c>
      <c r="BI495" s="37">
        <v>14564</v>
      </c>
      <c r="BJ495" s="283">
        <v>174776</v>
      </c>
      <c r="BK495" s="161"/>
      <c r="BL495" s="294"/>
      <c r="BM495"/>
      <c r="BN495"/>
      <c r="BO495"/>
      <c r="BP495"/>
      <c r="BQ495"/>
      <c r="BR495"/>
      <c r="BS495"/>
      <c r="BT495"/>
      <c r="BU495"/>
      <c r="BV495"/>
      <c r="BW495"/>
      <c r="BX495"/>
      <c r="BY495"/>
      <c r="BZ495"/>
      <c r="CA495"/>
      <c r="CB495"/>
      <c r="CC495"/>
      <c r="CD495"/>
      <c r="CE495"/>
      <c r="CF495"/>
      <c r="CG495"/>
      <c r="CH495"/>
      <c r="CI495"/>
      <c r="CJ495"/>
    </row>
    <row r="496" spans="1:88" s="32" customFormat="1" ht="15" customHeight="1" x14ac:dyDescent="0.35">
      <c r="A496" s="473"/>
      <c r="B496" s="313">
        <v>95040</v>
      </c>
      <c r="C496" s="8" t="s">
        <v>991</v>
      </c>
      <c r="D496" s="18">
        <v>9</v>
      </c>
      <c r="E496" s="251">
        <v>369</v>
      </c>
      <c r="F496" s="82">
        <v>1.672972972972973</v>
      </c>
      <c r="G496" s="79">
        <v>617.32702702702704</v>
      </c>
      <c r="H496" s="90">
        <v>7.9219999999999997</v>
      </c>
      <c r="I496" s="85">
        <v>7.2910000000000004</v>
      </c>
      <c r="J496" s="85">
        <v>8.8740000000000006</v>
      </c>
      <c r="K496" s="85">
        <v>9.0939999999999994</v>
      </c>
      <c r="L496" s="85">
        <v>8.02</v>
      </c>
      <c r="M496" s="85">
        <v>7.5679999999999996</v>
      </c>
      <c r="N496" s="85">
        <v>8.9499999999999993</v>
      </c>
      <c r="O496" s="85">
        <v>7.516</v>
      </c>
      <c r="P496" s="85">
        <v>6.25</v>
      </c>
      <c r="Q496" s="85">
        <v>6.2309999999999999</v>
      </c>
      <c r="R496" s="85">
        <v>6.5629999999999997</v>
      </c>
      <c r="S496" s="89">
        <v>7.5949999999999998</v>
      </c>
      <c r="T496" s="89">
        <v>91.874000000000009</v>
      </c>
      <c r="U496" s="85">
        <v>0</v>
      </c>
      <c r="V496" s="85">
        <v>91.874000000000009</v>
      </c>
      <c r="W496" s="85">
        <v>0</v>
      </c>
      <c r="X496" s="89">
        <v>91.874000000000009</v>
      </c>
      <c r="Y496" s="79">
        <v>0</v>
      </c>
      <c r="Z496" s="79">
        <v>1</v>
      </c>
      <c r="AA496" s="94">
        <v>0</v>
      </c>
      <c r="AB496" s="79">
        <v>1</v>
      </c>
      <c r="AC496" s="85">
        <v>75.089675445910288</v>
      </c>
      <c r="AD496" s="85">
        <v>3.4130605540897214</v>
      </c>
      <c r="AE496" s="85">
        <v>13.371264</v>
      </c>
      <c r="AF496" s="85">
        <v>0</v>
      </c>
      <c r="AG496" s="85">
        <v>91.874000000000009</v>
      </c>
      <c r="AH496" s="85">
        <v>0</v>
      </c>
      <c r="AI496" s="85">
        <v>0</v>
      </c>
      <c r="AJ496" s="85">
        <v>0</v>
      </c>
      <c r="AK496" s="85">
        <v>0</v>
      </c>
      <c r="AL496" s="85">
        <v>0</v>
      </c>
      <c r="AM496" s="85">
        <v>0</v>
      </c>
      <c r="AN496" s="85">
        <v>0</v>
      </c>
      <c r="AO496" s="85">
        <v>0</v>
      </c>
      <c r="AP496" s="85">
        <v>0</v>
      </c>
      <c r="AQ496" s="85">
        <v>0</v>
      </c>
      <c r="AR496" s="85">
        <v>0</v>
      </c>
      <c r="AS496" s="85">
        <v>0</v>
      </c>
      <c r="AT496" s="85">
        <v>0</v>
      </c>
      <c r="AU496" s="85">
        <v>0</v>
      </c>
      <c r="AV496" s="85">
        <v>0</v>
      </c>
      <c r="AW496" s="85">
        <v>0</v>
      </c>
      <c r="AX496" s="85">
        <v>0</v>
      </c>
      <c r="AY496" s="85">
        <v>91.874000000000009</v>
      </c>
      <c r="AZ496" s="85">
        <v>0</v>
      </c>
      <c r="BA496" s="85">
        <v>0</v>
      </c>
      <c r="BB496" s="89">
        <v>0</v>
      </c>
      <c r="BC496" s="89">
        <v>91.874000000000009</v>
      </c>
      <c r="BD496" s="37">
        <v>0</v>
      </c>
      <c r="BE496" s="37">
        <v>0</v>
      </c>
      <c r="BF496" s="279">
        <v>7609</v>
      </c>
      <c r="BG496" s="37">
        <v>90720</v>
      </c>
      <c r="BH496" s="37">
        <v>24305</v>
      </c>
      <c r="BI496" s="37">
        <v>0</v>
      </c>
      <c r="BJ496" s="283">
        <v>122634</v>
      </c>
      <c r="BK496" s="161"/>
      <c r="BL496" s="294"/>
      <c r="BM496"/>
      <c r="BN496"/>
      <c r="BO496"/>
      <c r="BP496"/>
      <c r="BQ496"/>
      <c r="BR496"/>
      <c r="BS496"/>
      <c r="BT496"/>
      <c r="BU496"/>
      <c r="BV496"/>
      <c r="BW496"/>
      <c r="BX496"/>
      <c r="BY496"/>
      <c r="BZ496"/>
      <c r="CA496"/>
      <c r="CB496"/>
      <c r="CC496"/>
      <c r="CD496"/>
      <c r="CE496"/>
      <c r="CF496"/>
      <c r="CG496"/>
      <c r="CH496"/>
      <c r="CI496"/>
      <c r="CJ496"/>
    </row>
    <row r="497" spans="1:88" s="32" customFormat="1" ht="15" customHeight="1" x14ac:dyDescent="0.35">
      <c r="A497" s="473"/>
      <c r="B497" s="313">
        <v>45030</v>
      </c>
      <c r="C497" s="8" t="s">
        <v>413</v>
      </c>
      <c r="D497" s="18">
        <v>5</v>
      </c>
      <c r="E497" s="251">
        <v>441</v>
      </c>
      <c r="F497" s="82">
        <v>1.7817836812144212</v>
      </c>
      <c r="G497" s="79">
        <v>785.76660341555976</v>
      </c>
      <c r="H497" s="90">
        <v>12.148999999999999</v>
      </c>
      <c r="I497" s="85">
        <v>11.207000000000001</v>
      </c>
      <c r="J497" s="85">
        <v>11.867799999999999</v>
      </c>
      <c r="K497" s="85">
        <v>11.3171</v>
      </c>
      <c r="L497" s="85">
        <v>11.8743</v>
      </c>
      <c r="M497" s="85">
        <v>11.831700000000001</v>
      </c>
      <c r="N497" s="85">
        <v>13.873100000000001</v>
      </c>
      <c r="O497" s="85">
        <v>12.319000000000001</v>
      </c>
      <c r="P497" s="85">
        <v>11.396000000000001</v>
      </c>
      <c r="Q497" s="85">
        <v>10.554</v>
      </c>
      <c r="R497" s="85">
        <v>10.9244</v>
      </c>
      <c r="S497" s="89">
        <v>12.459700000000002</v>
      </c>
      <c r="T497" s="89">
        <v>141.7731</v>
      </c>
      <c r="U497" s="85">
        <v>26.2455</v>
      </c>
      <c r="V497" s="85">
        <v>115.52760000000001</v>
      </c>
      <c r="W497" s="85">
        <v>0</v>
      </c>
      <c r="X497" s="89">
        <v>141.7731</v>
      </c>
      <c r="Y497" s="79">
        <v>1</v>
      </c>
      <c r="Z497" s="79">
        <v>2</v>
      </c>
      <c r="AA497" s="94">
        <v>0</v>
      </c>
      <c r="AB497" s="79">
        <v>3</v>
      </c>
      <c r="AC497" s="85">
        <v>49.806804264766626</v>
      </c>
      <c r="AD497" s="85">
        <v>78.6121131218313</v>
      </c>
      <c r="AE497" s="85">
        <v>13.354182613402077</v>
      </c>
      <c r="AF497" s="85">
        <v>0</v>
      </c>
      <c r="AG497" s="85">
        <v>141.7731</v>
      </c>
      <c r="AH497" s="85">
        <v>0</v>
      </c>
      <c r="AI497" s="85">
        <v>0</v>
      </c>
      <c r="AJ497" s="85">
        <v>0</v>
      </c>
      <c r="AK497" s="85">
        <v>0</v>
      </c>
      <c r="AL497" s="85">
        <v>26.2455</v>
      </c>
      <c r="AM497" s="85">
        <v>0</v>
      </c>
      <c r="AN497" s="85">
        <v>0</v>
      </c>
      <c r="AO497" s="85">
        <v>0</v>
      </c>
      <c r="AP497" s="85">
        <v>0</v>
      </c>
      <c r="AQ497" s="85">
        <v>0</v>
      </c>
      <c r="AR497" s="85">
        <v>26.2455</v>
      </c>
      <c r="AS497" s="85">
        <v>0</v>
      </c>
      <c r="AT497" s="85">
        <v>0</v>
      </c>
      <c r="AU497" s="85">
        <v>0</v>
      </c>
      <c r="AV497" s="85">
        <v>0</v>
      </c>
      <c r="AW497" s="85">
        <v>0</v>
      </c>
      <c r="AX497" s="85">
        <v>0</v>
      </c>
      <c r="AY497" s="85">
        <v>0</v>
      </c>
      <c r="AZ497" s="85">
        <v>0</v>
      </c>
      <c r="BA497" s="85">
        <v>115.52760000000001</v>
      </c>
      <c r="BB497" s="89">
        <v>0</v>
      </c>
      <c r="BC497" s="89">
        <v>115.52760000000001</v>
      </c>
      <c r="BD497" s="37">
        <v>0</v>
      </c>
      <c r="BE497" s="37">
        <v>287000</v>
      </c>
      <c r="BF497" s="279">
        <v>73736</v>
      </c>
      <c r="BG497" s="37">
        <v>38905</v>
      </c>
      <c r="BH497" s="37">
        <v>25899</v>
      </c>
      <c r="BI497" s="37">
        <v>0</v>
      </c>
      <c r="BJ497" s="283">
        <v>138540</v>
      </c>
      <c r="BK497" s="161"/>
      <c r="BL497" s="294"/>
      <c r="BM497"/>
      <c r="BN497"/>
      <c r="BO497"/>
      <c r="BP497"/>
      <c r="BQ497"/>
      <c r="BR497"/>
      <c r="BS497"/>
      <c r="BT497"/>
      <c r="BU497"/>
      <c r="BV497"/>
      <c r="BW497"/>
      <c r="BX497"/>
      <c r="BY497"/>
      <c r="BZ497"/>
      <c r="CA497"/>
      <c r="CB497"/>
      <c r="CC497"/>
      <c r="CD497"/>
      <c r="CE497"/>
      <c r="CF497"/>
      <c r="CG497"/>
      <c r="CH497"/>
      <c r="CI497"/>
      <c r="CJ497"/>
    </row>
    <row r="498" spans="1:88" s="32" customFormat="1" ht="15" customHeight="1" x14ac:dyDescent="0.35">
      <c r="A498" s="473"/>
      <c r="B498" s="313">
        <v>87035</v>
      </c>
      <c r="C498" s="8" t="s">
        <v>896</v>
      </c>
      <c r="D498" s="18">
        <v>8</v>
      </c>
      <c r="E498" s="251"/>
      <c r="F498" s="82"/>
      <c r="G498" s="79"/>
      <c r="H498" s="90"/>
      <c r="I498" s="85"/>
      <c r="J498" s="85"/>
      <c r="K498" s="85"/>
      <c r="L498" s="85"/>
      <c r="M498" s="85"/>
      <c r="N498" s="85"/>
      <c r="O498" s="85"/>
      <c r="P498" s="85"/>
      <c r="Q498" s="85"/>
      <c r="R498" s="85"/>
      <c r="S498" s="89"/>
      <c r="T498" s="89" t="s">
        <v>1124</v>
      </c>
      <c r="U498" s="85"/>
      <c r="V498" s="85"/>
      <c r="W498" s="85"/>
      <c r="X498" s="89" t="s">
        <v>1124</v>
      </c>
      <c r="Y498" s="79"/>
      <c r="Z498" s="79"/>
      <c r="AA498" s="94"/>
      <c r="AB498" s="79" t="s">
        <v>1124</v>
      </c>
      <c r="AC498" s="85"/>
      <c r="AD498" s="85"/>
      <c r="AE498" s="85"/>
      <c r="AF498" s="85"/>
      <c r="AG498" s="85" t="s">
        <v>1124</v>
      </c>
      <c r="AH498" s="85"/>
      <c r="AI498" s="85"/>
      <c r="AJ498" s="85"/>
      <c r="AK498" s="85"/>
      <c r="AL498" s="85"/>
      <c r="AM498" s="85"/>
      <c r="AN498" s="85"/>
      <c r="AO498" s="85"/>
      <c r="AP498" s="85"/>
      <c r="AQ498" s="85"/>
      <c r="AR498" s="85" t="s">
        <v>1124</v>
      </c>
      <c r="AS498" s="85"/>
      <c r="AT498" s="85"/>
      <c r="AU498" s="85"/>
      <c r="AV498" s="85"/>
      <c r="AW498" s="85"/>
      <c r="AX498" s="85"/>
      <c r="AY498" s="85"/>
      <c r="AZ498" s="85"/>
      <c r="BA498" s="85"/>
      <c r="BB498" s="89"/>
      <c r="BC498" s="89" t="s">
        <v>1124</v>
      </c>
      <c r="BD498" s="37"/>
      <c r="BE498" s="37"/>
      <c r="BF498" s="279"/>
      <c r="BG498" s="37"/>
      <c r="BH498" s="37"/>
      <c r="BI498" s="37"/>
      <c r="BJ498" s="283"/>
      <c r="BK498" s="161"/>
      <c r="BL498" s="294"/>
      <c r="BM498"/>
      <c r="BN498"/>
      <c r="BO498"/>
      <c r="BP498"/>
      <c r="BQ498"/>
      <c r="BR498"/>
      <c r="BS498"/>
      <c r="BT498"/>
      <c r="BU498"/>
      <c r="BV498"/>
      <c r="BW498"/>
      <c r="BX498"/>
      <c r="BY498"/>
      <c r="BZ498"/>
      <c r="CA498"/>
      <c r="CB498"/>
      <c r="CC498"/>
      <c r="CD498"/>
      <c r="CE498"/>
      <c r="CF498"/>
      <c r="CG498"/>
      <c r="CH498"/>
      <c r="CI498"/>
      <c r="CJ498"/>
    </row>
    <row r="499" spans="1:88" s="32" customFormat="1" ht="15" customHeight="1" x14ac:dyDescent="0.35">
      <c r="A499" s="473"/>
      <c r="B499" s="313">
        <v>88090</v>
      </c>
      <c r="C499" s="8" t="s">
        <v>927</v>
      </c>
      <c r="D499" s="18">
        <v>8</v>
      </c>
      <c r="E499" s="251"/>
      <c r="F499" s="82"/>
      <c r="G499" s="79"/>
      <c r="H499" s="90"/>
      <c r="I499" s="85"/>
      <c r="J499" s="85"/>
      <c r="K499" s="85"/>
      <c r="L499" s="85"/>
      <c r="M499" s="85"/>
      <c r="N499" s="85"/>
      <c r="O499" s="85"/>
      <c r="P499" s="85"/>
      <c r="Q499" s="85"/>
      <c r="R499" s="85"/>
      <c r="S499" s="89"/>
      <c r="T499" s="89" t="s">
        <v>1124</v>
      </c>
      <c r="U499" s="85"/>
      <c r="V499" s="85"/>
      <c r="W499" s="85"/>
      <c r="X499" s="89" t="s">
        <v>1124</v>
      </c>
      <c r="Y499" s="79"/>
      <c r="Z499" s="79"/>
      <c r="AA499" s="94"/>
      <c r="AB499" s="79" t="s">
        <v>1124</v>
      </c>
      <c r="AC499" s="85"/>
      <c r="AD499" s="85"/>
      <c r="AE499" s="85"/>
      <c r="AF499" s="85"/>
      <c r="AG499" s="85" t="s">
        <v>1124</v>
      </c>
      <c r="AH499" s="85"/>
      <c r="AI499" s="85"/>
      <c r="AJ499" s="85"/>
      <c r="AK499" s="85"/>
      <c r="AL499" s="85"/>
      <c r="AM499" s="85"/>
      <c r="AN499" s="85"/>
      <c r="AO499" s="85"/>
      <c r="AP499" s="85"/>
      <c r="AQ499" s="85"/>
      <c r="AR499" s="85" t="s">
        <v>1124</v>
      </c>
      <c r="AS499" s="85"/>
      <c r="AT499" s="85"/>
      <c r="AU499" s="85"/>
      <c r="AV499" s="85"/>
      <c r="AW499" s="85"/>
      <c r="AX499" s="85"/>
      <c r="AY499" s="85"/>
      <c r="AZ499" s="85"/>
      <c r="BA499" s="85"/>
      <c r="BB499" s="89"/>
      <c r="BC499" s="89" t="s">
        <v>1124</v>
      </c>
      <c r="BD499" s="37"/>
      <c r="BE499" s="37"/>
      <c r="BF499" s="279"/>
      <c r="BG499" s="37"/>
      <c r="BH499" s="37"/>
      <c r="BI499" s="37"/>
      <c r="BJ499" s="283"/>
      <c r="BK499" s="161"/>
      <c r="BL499" s="294"/>
      <c r="BM499"/>
      <c r="BN499"/>
      <c r="BO499"/>
      <c r="BP499"/>
      <c r="BQ499"/>
      <c r="BR499"/>
      <c r="BS499"/>
      <c r="BT499"/>
      <c r="BU499"/>
      <c r="BV499"/>
      <c r="BW499"/>
      <c r="BX499"/>
      <c r="BY499"/>
      <c r="BZ499"/>
      <c r="CA499"/>
      <c r="CB499"/>
      <c r="CC499"/>
      <c r="CD499"/>
      <c r="CE499"/>
      <c r="CF499"/>
      <c r="CG499"/>
      <c r="CH499"/>
      <c r="CI499"/>
      <c r="CJ499"/>
    </row>
    <row r="500" spans="1:88" s="32" customFormat="1" ht="15" customHeight="1" x14ac:dyDescent="0.35">
      <c r="A500" s="473"/>
      <c r="B500" s="313">
        <v>75040</v>
      </c>
      <c r="C500" s="8" t="s">
        <v>745</v>
      </c>
      <c r="D500" s="18">
        <v>15</v>
      </c>
      <c r="E500" s="251">
        <v>2986</v>
      </c>
      <c r="F500" s="82">
        <v>2.4552004433770551</v>
      </c>
      <c r="G500" s="79">
        <v>7331.2285239238863</v>
      </c>
      <c r="H500" s="90">
        <v>89.017987299834346</v>
      </c>
      <c r="I500" s="85">
        <v>90.089818332413031</v>
      </c>
      <c r="J500" s="85">
        <v>112.57239646604087</v>
      </c>
      <c r="K500" s="85">
        <v>103.06152401987852</v>
      </c>
      <c r="L500" s="85">
        <v>106.38123688569851</v>
      </c>
      <c r="M500" s="85">
        <v>109.68693373826615</v>
      </c>
      <c r="N500" s="85">
        <v>117.1613119823302</v>
      </c>
      <c r="O500" s="85">
        <v>112.80036499171729</v>
      </c>
      <c r="P500" s="85">
        <v>89.381759249033678</v>
      </c>
      <c r="Q500" s="85">
        <v>88.037480397570391</v>
      </c>
      <c r="R500" s="85">
        <v>86.429630038652689</v>
      </c>
      <c r="S500" s="89">
        <v>84.675446714522366</v>
      </c>
      <c r="T500" s="89">
        <v>1189.2958901159579</v>
      </c>
      <c r="U500" s="85">
        <v>0</v>
      </c>
      <c r="V500" s="85">
        <v>1189.296</v>
      </c>
      <c r="W500" s="85">
        <v>0</v>
      </c>
      <c r="X500" s="89">
        <v>1189.296</v>
      </c>
      <c r="Y500" s="79">
        <v>0</v>
      </c>
      <c r="Z500" s="79">
        <v>3</v>
      </c>
      <c r="AA500" s="94">
        <v>0</v>
      </c>
      <c r="AB500" s="79">
        <v>3</v>
      </c>
      <c r="AC500" s="85">
        <v>722.35900000000004</v>
      </c>
      <c r="AD500" s="85">
        <v>44.117999999999938</v>
      </c>
      <c r="AE500" s="85">
        <v>422.81900000000002</v>
      </c>
      <c r="AF500" s="85">
        <v>0</v>
      </c>
      <c r="AG500" s="85">
        <v>1189.296</v>
      </c>
      <c r="AH500" s="85">
        <v>0</v>
      </c>
      <c r="AI500" s="85">
        <v>0</v>
      </c>
      <c r="AJ500" s="85">
        <v>0</v>
      </c>
      <c r="AK500" s="85">
        <v>0</v>
      </c>
      <c r="AL500" s="85">
        <v>0</v>
      </c>
      <c r="AM500" s="85">
        <v>0</v>
      </c>
      <c r="AN500" s="85">
        <v>0</v>
      </c>
      <c r="AO500" s="85">
        <v>0</v>
      </c>
      <c r="AP500" s="85">
        <v>0</v>
      </c>
      <c r="AQ500" s="85">
        <v>0</v>
      </c>
      <c r="AR500" s="85">
        <v>0</v>
      </c>
      <c r="AS500" s="85">
        <v>0</v>
      </c>
      <c r="AT500" s="85">
        <v>0</v>
      </c>
      <c r="AU500" s="85">
        <v>465.41199999999998</v>
      </c>
      <c r="AV500" s="85">
        <v>0</v>
      </c>
      <c r="AW500" s="85">
        <v>0</v>
      </c>
      <c r="AX500" s="85">
        <v>0</v>
      </c>
      <c r="AY500" s="85">
        <v>723.88400000000001</v>
      </c>
      <c r="AZ500" s="85">
        <v>0</v>
      </c>
      <c r="BA500" s="85">
        <v>0</v>
      </c>
      <c r="BB500" s="89">
        <v>0</v>
      </c>
      <c r="BC500" s="89">
        <v>1189.296</v>
      </c>
      <c r="BD500" s="37">
        <v>78273</v>
      </c>
      <c r="BE500" s="37">
        <v>14807</v>
      </c>
      <c r="BF500" s="279">
        <v>6819</v>
      </c>
      <c r="BG500" s="37">
        <v>128558</v>
      </c>
      <c r="BH500" s="37">
        <v>125564</v>
      </c>
      <c r="BI500" s="37">
        <v>104748</v>
      </c>
      <c r="BJ500" s="283">
        <v>365689</v>
      </c>
      <c r="BK500" s="161"/>
      <c r="BL500" s="294"/>
      <c r="BM500"/>
      <c r="BN500"/>
      <c r="BO500"/>
      <c r="BP500"/>
      <c r="BQ500"/>
      <c r="BR500"/>
      <c r="BS500"/>
      <c r="BT500"/>
      <c r="BU500"/>
      <c r="BV500"/>
      <c r="BW500"/>
      <c r="BX500"/>
      <c r="BY500"/>
      <c r="BZ500"/>
      <c r="CA500"/>
      <c r="CB500"/>
      <c r="CC500"/>
      <c r="CD500"/>
      <c r="CE500"/>
      <c r="CF500"/>
      <c r="CG500"/>
      <c r="CH500"/>
      <c r="CI500"/>
      <c r="CJ500"/>
    </row>
    <row r="501" spans="1:88" s="32" customFormat="1" ht="15" customHeight="1" x14ac:dyDescent="0.35">
      <c r="A501" s="473"/>
      <c r="B501" s="313">
        <v>9065</v>
      </c>
      <c r="C501" s="8" t="s">
        <v>1108</v>
      </c>
      <c r="D501" s="18">
        <v>1</v>
      </c>
      <c r="E501" s="251">
        <v>704</v>
      </c>
      <c r="F501" s="82">
        <v>2.2849673202614378</v>
      </c>
      <c r="G501" s="79">
        <v>1608.6169934640523</v>
      </c>
      <c r="H501" s="90">
        <v>17.690000000000001</v>
      </c>
      <c r="I501" s="85">
        <v>16.036000000000001</v>
      </c>
      <c r="J501" s="85">
        <v>17.167000000000002</v>
      </c>
      <c r="K501" s="85">
        <v>17.724</v>
      </c>
      <c r="L501" s="85">
        <v>17.015999999999998</v>
      </c>
      <c r="M501" s="85">
        <v>19.027000000000001</v>
      </c>
      <c r="N501" s="85">
        <v>21.972999999999999</v>
      </c>
      <c r="O501" s="85">
        <v>17.875</v>
      </c>
      <c r="P501" s="85">
        <v>12.712999999999999</v>
      </c>
      <c r="Q501" s="85">
        <v>19.125</v>
      </c>
      <c r="R501" s="85">
        <v>19.974</v>
      </c>
      <c r="S501" s="89">
        <v>22.257000000000001</v>
      </c>
      <c r="T501" s="89">
        <v>218.577</v>
      </c>
      <c r="U501" s="85">
        <v>0</v>
      </c>
      <c r="V501" s="85">
        <v>218.577</v>
      </c>
      <c r="W501" s="85">
        <v>0</v>
      </c>
      <c r="X501" s="89">
        <v>218.577</v>
      </c>
      <c r="Y501" s="79">
        <v>0</v>
      </c>
      <c r="Z501" s="79">
        <v>1</v>
      </c>
      <c r="AA501" s="94">
        <v>0</v>
      </c>
      <c r="AB501" s="79">
        <v>1</v>
      </c>
      <c r="AC501" s="85">
        <v>70.846999999999994</v>
      </c>
      <c r="AD501" s="85">
        <v>95.786897142857157</v>
      </c>
      <c r="AE501" s="85">
        <v>4.7301028571428656</v>
      </c>
      <c r="AF501" s="85">
        <v>47.213000000000001</v>
      </c>
      <c r="AG501" s="85">
        <v>218.57700000000003</v>
      </c>
      <c r="AH501" s="85">
        <v>0</v>
      </c>
      <c r="AI501" s="85">
        <v>0</v>
      </c>
      <c r="AJ501" s="85">
        <v>0</v>
      </c>
      <c r="AK501" s="85">
        <v>0</v>
      </c>
      <c r="AL501" s="85">
        <v>0</v>
      </c>
      <c r="AM501" s="85">
        <v>0</v>
      </c>
      <c r="AN501" s="85">
        <v>0</v>
      </c>
      <c r="AO501" s="85">
        <v>0</v>
      </c>
      <c r="AP501" s="85">
        <v>0</v>
      </c>
      <c r="AQ501" s="85">
        <v>0</v>
      </c>
      <c r="AR501" s="85">
        <v>0</v>
      </c>
      <c r="AS501" s="85">
        <v>0</v>
      </c>
      <c r="AT501" s="85">
        <v>0</v>
      </c>
      <c r="AU501" s="85">
        <v>0</v>
      </c>
      <c r="AV501" s="85">
        <v>0</v>
      </c>
      <c r="AW501" s="85">
        <v>0</v>
      </c>
      <c r="AX501" s="85">
        <v>0</v>
      </c>
      <c r="AY501" s="85">
        <v>0</v>
      </c>
      <c r="AZ501" s="85">
        <v>218.577</v>
      </c>
      <c r="BA501" s="85">
        <v>0</v>
      </c>
      <c r="BB501" s="89">
        <v>0</v>
      </c>
      <c r="BC501" s="89">
        <v>218.577</v>
      </c>
      <c r="BD501" s="37">
        <v>0</v>
      </c>
      <c r="BE501" s="37">
        <v>0</v>
      </c>
      <c r="BF501" s="279">
        <v>82022</v>
      </c>
      <c r="BG501" s="37">
        <v>45888</v>
      </c>
      <c r="BH501" s="37">
        <v>37787</v>
      </c>
      <c r="BI501" s="37">
        <v>13574</v>
      </c>
      <c r="BJ501" s="283">
        <v>179271</v>
      </c>
      <c r="BK501" s="161"/>
      <c r="BL501" s="294"/>
      <c r="BM501"/>
      <c r="BN501"/>
      <c r="BO501"/>
      <c r="BP501"/>
      <c r="BQ501"/>
      <c r="BR501"/>
      <c r="BS501"/>
      <c r="BT501"/>
      <c r="BU501"/>
      <c r="BV501"/>
      <c r="BW501"/>
      <c r="BX501"/>
      <c r="BY501"/>
      <c r="BZ501"/>
      <c r="CA501"/>
      <c r="CB501"/>
      <c r="CC501"/>
      <c r="CD501"/>
      <c r="CE501"/>
      <c r="CF501"/>
      <c r="CG501"/>
      <c r="CH501"/>
      <c r="CI501"/>
      <c r="CJ501"/>
    </row>
    <row r="502" spans="1:88" s="32" customFormat="1" ht="15" customHeight="1" x14ac:dyDescent="0.35">
      <c r="A502" s="473"/>
      <c r="B502" s="313">
        <v>32033</v>
      </c>
      <c r="C502" s="8" t="s">
        <v>258</v>
      </c>
      <c r="D502" s="18">
        <v>17</v>
      </c>
      <c r="E502" s="251">
        <v>2199</v>
      </c>
      <c r="F502" s="82">
        <v>2.2747615553925167</v>
      </c>
      <c r="G502" s="79">
        <v>5002.2006603081445</v>
      </c>
      <c r="H502" s="90">
        <v>64.043999999999997</v>
      </c>
      <c r="I502" s="85">
        <v>76.307000000000002</v>
      </c>
      <c r="J502" s="85">
        <v>78.504999999999995</v>
      </c>
      <c r="K502" s="85">
        <v>73.298000000000002</v>
      </c>
      <c r="L502" s="85">
        <v>87.150999999999996</v>
      </c>
      <c r="M502" s="85">
        <v>89.337999999999994</v>
      </c>
      <c r="N502" s="85">
        <v>90.064999999999998</v>
      </c>
      <c r="O502" s="85">
        <v>105.03400000000001</v>
      </c>
      <c r="P502" s="85">
        <v>97.781999999999996</v>
      </c>
      <c r="Q502" s="85">
        <v>84.391000000000005</v>
      </c>
      <c r="R502" s="85">
        <v>86.787999999999997</v>
      </c>
      <c r="S502" s="89">
        <v>92.061000000000007</v>
      </c>
      <c r="T502" s="89">
        <v>1024.7640000000001</v>
      </c>
      <c r="U502" s="85">
        <v>0</v>
      </c>
      <c r="V502" s="85">
        <v>1024.7639999999999</v>
      </c>
      <c r="W502" s="85">
        <v>0</v>
      </c>
      <c r="X502" s="89">
        <v>1024.7639999999999</v>
      </c>
      <c r="Y502" s="79">
        <v>0</v>
      </c>
      <c r="Z502" s="79">
        <v>1</v>
      </c>
      <c r="AA502" s="94">
        <v>0</v>
      </c>
      <c r="AB502" s="79">
        <v>1</v>
      </c>
      <c r="AC502" s="85">
        <v>563.12900000000002</v>
      </c>
      <c r="AD502" s="85">
        <v>341.8</v>
      </c>
      <c r="AE502" s="85">
        <v>119.83499999999999</v>
      </c>
      <c r="AF502" s="85">
        <v>0</v>
      </c>
      <c r="AG502" s="85">
        <v>1024.7640000000001</v>
      </c>
      <c r="AH502" s="85">
        <v>0</v>
      </c>
      <c r="AI502" s="85">
        <v>0</v>
      </c>
      <c r="AJ502" s="85">
        <v>0</v>
      </c>
      <c r="AK502" s="85">
        <v>0</v>
      </c>
      <c r="AL502" s="85">
        <v>0</v>
      </c>
      <c r="AM502" s="85">
        <v>0</v>
      </c>
      <c r="AN502" s="85">
        <v>0</v>
      </c>
      <c r="AO502" s="85">
        <v>0</v>
      </c>
      <c r="AP502" s="85">
        <v>0</v>
      </c>
      <c r="AQ502" s="85">
        <v>0</v>
      </c>
      <c r="AR502" s="85">
        <v>0</v>
      </c>
      <c r="AS502" s="85">
        <v>0</v>
      </c>
      <c r="AT502" s="85">
        <v>0</v>
      </c>
      <c r="AU502" s="85">
        <v>0</v>
      </c>
      <c r="AV502" s="85">
        <v>0</v>
      </c>
      <c r="AW502" s="85">
        <v>0</v>
      </c>
      <c r="AX502" s="85">
        <v>0</v>
      </c>
      <c r="AY502" s="85">
        <v>1024.7639999999999</v>
      </c>
      <c r="AZ502" s="85">
        <v>0</v>
      </c>
      <c r="BA502" s="85">
        <v>0</v>
      </c>
      <c r="BB502" s="89">
        <v>0</v>
      </c>
      <c r="BC502" s="89">
        <v>1024.7639999999999</v>
      </c>
      <c r="BD502" s="37">
        <v>0</v>
      </c>
      <c r="BE502" s="37">
        <v>0</v>
      </c>
      <c r="BF502" s="279">
        <v>21845</v>
      </c>
      <c r="BG502" s="37">
        <v>38969</v>
      </c>
      <c r="BH502" s="37">
        <v>70491</v>
      </c>
      <c r="BI502" s="37">
        <v>56366</v>
      </c>
      <c r="BJ502" s="283">
        <v>187671</v>
      </c>
      <c r="BK502" s="161" t="s">
        <v>2466</v>
      </c>
      <c r="BL502" s="294"/>
      <c r="BM502"/>
      <c r="BN502"/>
      <c r="BO502"/>
      <c r="BP502"/>
      <c r="BQ502"/>
      <c r="BR502"/>
      <c r="BS502"/>
      <c r="BT502"/>
      <c r="BU502"/>
      <c r="BV502"/>
      <c r="BW502"/>
      <c r="BX502"/>
      <c r="BY502"/>
      <c r="BZ502"/>
      <c r="CA502"/>
      <c r="CB502"/>
      <c r="CC502"/>
      <c r="CD502"/>
      <c r="CE502"/>
      <c r="CF502"/>
      <c r="CG502"/>
      <c r="CH502"/>
      <c r="CI502"/>
      <c r="CJ502"/>
    </row>
    <row r="503" spans="1:88" s="32" customFormat="1" ht="15" customHeight="1" x14ac:dyDescent="0.35">
      <c r="A503" s="473"/>
      <c r="B503" s="313">
        <v>23027</v>
      </c>
      <c r="C503" s="8" t="s">
        <v>163</v>
      </c>
      <c r="D503" s="18">
        <v>3</v>
      </c>
      <c r="E503" s="251">
        <v>292060.69187248475</v>
      </c>
      <c r="F503" s="82">
        <v>2.007695716395864</v>
      </c>
      <c r="G503" s="79">
        <v>586369</v>
      </c>
      <c r="H503" s="90">
        <v>6769.3886645459988</v>
      </c>
      <c r="I503" s="85">
        <v>6526.0410259420014</v>
      </c>
      <c r="J503" s="85">
        <v>7295.9131361199097</v>
      </c>
      <c r="K503" s="85">
        <v>6808.3133996915394</v>
      </c>
      <c r="L503" s="85">
        <v>7458.9710166054283</v>
      </c>
      <c r="M503" s="85">
        <v>7367.2543330099988</v>
      </c>
      <c r="N503" s="85">
        <v>8498.5524020899993</v>
      </c>
      <c r="O503" s="85">
        <v>7825.2601294150336</v>
      </c>
      <c r="P503" s="85">
        <v>6900.4060262192734</v>
      </c>
      <c r="Q503" s="85">
        <v>6766.581427596001</v>
      </c>
      <c r="R503" s="85">
        <v>6458.0776160259647</v>
      </c>
      <c r="S503" s="89">
        <v>6640.8722680851524</v>
      </c>
      <c r="T503" s="89">
        <v>85315.631445346313</v>
      </c>
      <c r="U503" s="85">
        <v>84599.920494041959</v>
      </c>
      <c r="V503" s="85">
        <v>715.71095130434787</v>
      </c>
      <c r="W503" s="85">
        <v>0</v>
      </c>
      <c r="X503" s="89">
        <v>85315.631445346313</v>
      </c>
      <c r="Y503" s="79">
        <v>4</v>
      </c>
      <c r="Z503" s="79">
        <v>2</v>
      </c>
      <c r="AA503" s="94">
        <v>0</v>
      </c>
      <c r="AB503" s="79">
        <v>6</v>
      </c>
      <c r="AC503" s="85">
        <v>47908.452154500003</v>
      </c>
      <c r="AD503" s="85">
        <v>23137.458361111636</v>
      </c>
      <c r="AE503" s="85">
        <v>14009.034189734675</v>
      </c>
      <c r="AF503" s="85">
        <v>260.68673999999999</v>
      </c>
      <c r="AG503" s="85">
        <v>85315.631445346327</v>
      </c>
      <c r="AH503" s="85">
        <v>84599.920494041959</v>
      </c>
      <c r="AI503" s="85">
        <v>0</v>
      </c>
      <c r="AJ503" s="85">
        <v>0</v>
      </c>
      <c r="AK503" s="85">
        <v>0</v>
      </c>
      <c r="AL503" s="85">
        <v>0</v>
      </c>
      <c r="AM503" s="85">
        <v>0</v>
      </c>
      <c r="AN503" s="85">
        <v>0</v>
      </c>
      <c r="AO503" s="85">
        <v>0</v>
      </c>
      <c r="AP503" s="85">
        <v>0</v>
      </c>
      <c r="AQ503" s="85">
        <v>0</v>
      </c>
      <c r="AR503" s="85">
        <v>84599.920494041959</v>
      </c>
      <c r="AS503" s="85">
        <v>0</v>
      </c>
      <c r="AT503" s="85">
        <v>0</v>
      </c>
      <c r="AU503" s="85">
        <v>0</v>
      </c>
      <c r="AV503" s="85">
        <v>0</v>
      </c>
      <c r="AW503" s="85">
        <v>0</v>
      </c>
      <c r="AX503" s="85">
        <v>0</v>
      </c>
      <c r="AY503" s="85">
        <v>715.71095130434787</v>
      </c>
      <c r="AZ503" s="85">
        <v>0</v>
      </c>
      <c r="BA503" s="85">
        <v>0</v>
      </c>
      <c r="BB503" s="89">
        <v>0</v>
      </c>
      <c r="BC503" s="89">
        <v>715.71095130434787</v>
      </c>
      <c r="BD503" s="37">
        <v>22509180</v>
      </c>
      <c r="BE503" s="37">
        <v>31692643</v>
      </c>
      <c r="BF503" s="279">
        <v>3826211</v>
      </c>
      <c r="BG503" s="37">
        <v>9581443</v>
      </c>
      <c r="BH503" s="37">
        <v>1652623</v>
      </c>
      <c r="BI503" s="37">
        <v>4861779</v>
      </c>
      <c r="BJ503" s="283">
        <v>19922056</v>
      </c>
      <c r="BK503" s="161" t="s">
        <v>2471</v>
      </c>
      <c r="BL503" s="294"/>
      <c r="BM503"/>
      <c r="BN503"/>
      <c r="BO503"/>
      <c r="BP503"/>
      <c r="BQ503"/>
      <c r="BR503"/>
      <c r="BS503"/>
      <c r="BT503"/>
      <c r="BU503"/>
      <c r="BV503"/>
      <c r="BW503"/>
      <c r="BX503"/>
      <c r="BY503"/>
      <c r="BZ503"/>
      <c r="CA503"/>
      <c r="CB503"/>
      <c r="CC503"/>
      <c r="CD503"/>
      <c r="CE503"/>
      <c r="CF503"/>
      <c r="CG503"/>
      <c r="CH503"/>
      <c r="CI503"/>
      <c r="CJ503"/>
    </row>
    <row r="504" spans="1:88" s="32" customFormat="1" ht="15" customHeight="1" x14ac:dyDescent="0.35">
      <c r="A504" s="473"/>
      <c r="B504" s="313">
        <v>42032</v>
      </c>
      <c r="C504" s="8" t="s">
        <v>382</v>
      </c>
      <c r="D504" s="18">
        <v>5</v>
      </c>
      <c r="E504" s="251"/>
      <c r="F504" s="82"/>
      <c r="G504" s="79"/>
      <c r="H504" s="90"/>
      <c r="I504" s="85"/>
      <c r="J504" s="85"/>
      <c r="K504" s="85"/>
      <c r="L504" s="85"/>
      <c r="M504" s="85"/>
      <c r="N504" s="85"/>
      <c r="O504" s="85"/>
      <c r="P504" s="85"/>
      <c r="Q504" s="85"/>
      <c r="R504" s="85"/>
      <c r="S504" s="89"/>
      <c r="T504" s="89" t="s">
        <v>1124</v>
      </c>
      <c r="U504" s="85"/>
      <c r="V504" s="85"/>
      <c r="W504" s="85"/>
      <c r="X504" s="89" t="s">
        <v>1124</v>
      </c>
      <c r="Y504" s="79"/>
      <c r="Z504" s="79"/>
      <c r="AA504" s="94"/>
      <c r="AB504" s="79" t="s">
        <v>1124</v>
      </c>
      <c r="AC504" s="85"/>
      <c r="AD504" s="85"/>
      <c r="AE504" s="85"/>
      <c r="AF504" s="85"/>
      <c r="AG504" s="85" t="s">
        <v>1124</v>
      </c>
      <c r="AH504" s="85"/>
      <c r="AI504" s="85"/>
      <c r="AJ504" s="85"/>
      <c r="AK504" s="85"/>
      <c r="AL504" s="85"/>
      <c r="AM504" s="85"/>
      <c r="AN504" s="85"/>
      <c r="AO504" s="85"/>
      <c r="AP504" s="85"/>
      <c r="AQ504" s="85"/>
      <c r="AR504" s="85" t="s">
        <v>1124</v>
      </c>
      <c r="AS504" s="85"/>
      <c r="AT504" s="85"/>
      <c r="AU504" s="85"/>
      <c r="AV504" s="85"/>
      <c r="AW504" s="85"/>
      <c r="AX504" s="85"/>
      <c r="AY504" s="85"/>
      <c r="AZ504" s="85"/>
      <c r="BA504" s="85"/>
      <c r="BB504" s="89"/>
      <c r="BC504" s="89" t="s">
        <v>1124</v>
      </c>
      <c r="BD504" s="37"/>
      <c r="BE504" s="37"/>
      <c r="BF504" s="279"/>
      <c r="BG504" s="37"/>
      <c r="BH504" s="37"/>
      <c r="BI504" s="37"/>
      <c r="BJ504" s="283"/>
      <c r="BK504" s="161"/>
      <c r="BL504" s="294"/>
      <c r="BM504"/>
      <c r="BN504"/>
      <c r="BO504"/>
      <c r="BP504"/>
      <c r="BQ504"/>
      <c r="BR504"/>
      <c r="BS504"/>
      <c r="BT504"/>
      <c r="BU504"/>
      <c r="BV504"/>
      <c r="BW504"/>
      <c r="BX504"/>
      <c r="BY504"/>
      <c r="BZ504"/>
      <c r="CA504"/>
      <c r="CB504"/>
      <c r="CC504"/>
      <c r="CD504"/>
      <c r="CE504"/>
      <c r="CF504"/>
      <c r="CG504"/>
      <c r="CH504"/>
      <c r="CI504"/>
      <c r="CJ504"/>
    </row>
    <row r="505" spans="1:88" s="32" customFormat="1" ht="15" customHeight="1" x14ac:dyDescent="0.35">
      <c r="A505" s="473"/>
      <c r="B505" s="313">
        <v>96040</v>
      </c>
      <c r="C505" s="8" t="s">
        <v>1001</v>
      </c>
      <c r="D505" s="18">
        <v>9</v>
      </c>
      <c r="E505" s="251"/>
      <c r="F505" s="82"/>
      <c r="G505" s="79"/>
      <c r="H505" s="90"/>
      <c r="I505" s="85"/>
      <c r="J505" s="85"/>
      <c r="K505" s="85"/>
      <c r="L505" s="85"/>
      <c r="M505" s="85"/>
      <c r="N505" s="85"/>
      <c r="O505" s="85"/>
      <c r="P505" s="85"/>
      <c r="Q505" s="85"/>
      <c r="R505" s="85"/>
      <c r="S505" s="89"/>
      <c r="T505" s="89" t="s">
        <v>1124</v>
      </c>
      <c r="U505" s="85"/>
      <c r="V505" s="85"/>
      <c r="W505" s="85"/>
      <c r="X505" s="89" t="s">
        <v>1124</v>
      </c>
      <c r="Y505" s="79"/>
      <c r="Z505" s="79"/>
      <c r="AA505" s="94"/>
      <c r="AB505" s="79" t="s">
        <v>1124</v>
      </c>
      <c r="AC505" s="85"/>
      <c r="AD505" s="85"/>
      <c r="AE505" s="85"/>
      <c r="AF505" s="85"/>
      <c r="AG505" s="85" t="s">
        <v>1124</v>
      </c>
      <c r="AH505" s="85"/>
      <c r="AI505" s="85"/>
      <c r="AJ505" s="85"/>
      <c r="AK505" s="85"/>
      <c r="AL505" s="85"/>
      <c r="AM505" s="85"/>
      <c r="AN505" s="85"/>
      <c r="AO505" s="85"/>
      <c r="AP505" s="85"/>
      <c r="AQ505" s="85"/>
      <c r="AR505" s="85" t="s">
        <v>1124</v>
      </c>
      <c r="AS505" s="85"/>
      <c r="AT505" s="85"/>
      <c r="AU505" s="85"/>
      <c r="AV505" s="85"/>
      <c r="AW505" s="85"/>
      <c r="AX505" s="85"/>
      <c r="AY505" s="85"/>
      <c r="AZ505" s="85"/>
      <c r="BA505" s="85"/>
      <c r="BB505" s="89"/>
      <c r="BC505" s="89" t="s">
        <v>1124</v>
      </c>
      <c r="BD505" s="37"/>
      <c r="BE505" s="37"/>
      <c r="BF505" s="279"/>
      <c r="BG505" s="37"/>
      <c r="BH505" s="37"/>
      <c r="BI505" s="37"/>
      <c r="BJ505" s="283"/>
      <c r="BK505" s="161"/>
      <c r="BL505" s="294"/>
      <c r="BM505"/>
      <c r="BN505"/>
      <c r="BO505"/>
      <c r="BP505"/>
      <c r="BQ505"/>
      <c r="BR505"/>
      <c r="BS505"/>
      <c r="BT505"/>
      <c r="BU505"/>
      <c r="BV505"/>
      <c r="BW505"/>
      <c r="BX505"/>
      <c r="BY505"/>
      <c r="BZ505"/>
      <c r="CA505"/>
      <c r="CB505"/>
      <c r="CC505"/>
      <c r="CD505"/>
      <c r="CE505"/>
      <c r="CF505"/>
      <c r="CG505"/>
      <c r="CH505"/>
      <c r="CI505"/>
      <c r="CJ505"/>
    </row>
    <row r="506" spans="1:88" s="32" customFormat="1" ht="15" customHeight="1" x14ac:dyDescent="0.35">
      <c r="A506" s="473"/>
      <c r="B506" s="313">
        <v>87010</v>
      </c>
      <c r="C506" s="8" t="s">
        <v>891</v>
      </c>
      <c r="D506" s="18">
        <v>8</v>
      </c>
      <c r="E506" s="251"/>
      <c r="F506" s="82"/>
      <c r="G506" s="79"/>
      <c r="H506" s="90"/>
      <c r="I506" s="85"/>
      <c r="J506" s="85"/>
      <c r="K506" s="85"/>
      <c r="L506" s="85"/>
      <c r="M506" s="85"/>
      <c r="N506" s="85"/>
      <c r="O506" s="85"/>
      <c r="P506" s="85"/>
      <c r="Q506" s="85"/>
      <c r="R506" s="85"/>
      <c r="S506" s="89"/>
      <c r="T506" s="89" t="s">
        <v>1124</v>
      </c>
      <c r="U506" s="85"/>
      <c r="V506" s="85"/>
      <c r="W506" s="85"/>
      <c r="X506" s="89" t="s">
        <v>1124</v>
      </c>
      <c r="Y506" s="79"/>
      <c r="Z506" s="79"/>
      <c r="AA506" s="94"/>
      <c r="AB506" s="79" t="s">
        <v>1124</v>
      </c>
      <c r="AC506" s="85"/>
      <c r="AD506" s="85"/>
      <c r="AE506" s="85"/>
      <c r="AF506" s="85"/>
      <c r="AG506" s="85" t="s">
        <v>1124</v>
      </c>
      <c r="AH506" s="85"/>
      <c r="AI506" s="85"/>
      <c r="AJ506" s="85"/>
      <c r="AK506" s="85"/>
      <c r="AL506" s="85"/>
      <c r="AM506" s="85"/>
      <c r="AN506" s="85"/>
      <c r="AO506" s="85"/>
      <c r="AP506" s="85"/>
      <c r="AQ506" s="85"/>
      <c r="AR506" s="85" t="s">
        <v>1124</v>
      </c>
      <c r="AS506" s="85"/>
      <c r="AT506" s="85"/>
      <c r="AU506" s="85"/>
      <c r="AV506" s="85"/>
      <c r="AW506" s="85"/>
      <c r="AX506" s="85"/>
      <c r="AY506" s="85"/>
      <c r="AZ506" s="85"/>
      <c r="BA506" s="85"/>
      <c r="BB506" s="89"/>
      <c r="BC506" s="89" t="s">
        <v>1124</v>
      </c>
      <c r="BD506" s="37"/>
      <c r="BE506" s="37"/>
      <c r="BF506" s="279"/>
      <c r="BG506" s="37"/>
      <c r="BH506" s="37"/>
      <c r="BI506" s="37"/>
      <c r="BJ506" s="283"/>
      <c r="BK506" s="161"/>
      <c r="BL506" s="294"/>
      <c r="BM506"/>
      <c r="BN506"/>
      <c r="BO506"/>
      <c r="BP506"/>
      <c r="BQ506"/>
      <c r="BR506"/>
      <c r="BS506"/>
      <c r="BT506"/>
      <c r="BU506"/>
      <c r="BV506"/>
      <c r="BW506"/>
      <c r="BX506"/>
      <c r="BY506"/>
      <c r="BZ506"/>
      <c r="CA506"/>
      <c r="CB506"/>
      <c r="CC506"/>
      <c r="CD506"/>
      <c r="CE506"/>
      <c r="CF506"/>
      <c r="CG506"/>
      <c r="CH506"/>
      <c r="CI506"/>
      <c r="CJ506"/>
    </row>
    <row r="507" spans="1:88" s="32" customFormat="1" ht="15" customHeight="1" x14ac:dyDescent="0.35">
      <c r="A507" s="473"/>
      <c r="B507" s="313">
        <v>84100</v>
      </c>
      <c r="C507" s="8" t="s">
        <v>869</v>
      </c>
      <c r="D507" s="18">
        <v>7</v>
      </c>
      <c r="E507" s="251"/>
      <c r="F507" s="82"/>
      <c r="G507" s="79"/>
      <c r="H507" s="90"/>
      <c r="I507" s="85"/>
      <c r="J507" s="85"/>
      <c r="K507" s="85"/>
      <c r="L507" s="85"/>
      <c r="M507" s="85"/>
      <c r="N507" s="85"/>
      <c r="O507" s="85"/>
      <c r="P507" s="85"/>
      <c r="Q507" s="85"/>
      <c r="R507" s="85"/>
      <c r="S507" s="89"/>
      <c r="T507" s="89" t="s">
        <v>1124</v>
      </c>
      <c r="U507" s="85"/>
      <c r="V507" s="85"/>
      <c r="W507" s="85"/>
      <c r="X507" s="89" t="s">
        <v>1124</v>
      </c>
      <c r="Y507" s="79"/>
      <c r="Z507" s="79"/>
      <c r="AA507" s="94"/>
      <c r="AB507" s="79" t="s">
        <v>1124</v>
      </c>
      <c r="AC507" s="85"/>
      <c r="AD507" s="85"/>
      <c r="AE507" s="85"/>
      <c r="AF507" s="85"/>
      <c r="AG507" s="85" t="s">
        <v>1124</v>
      </c>
      <c r="AH507" s="85"/>
      <c r="AI507" s="85"/>
      <c r="AJ507" s="85"/>
      <c r="AK507" s="85"/>
      <c r="AL507" s="85"/>
      <c r="AM507" s="85"/>
      <c r="AN507" s="85"/>
      <c r="AO507" s="85"/>
      <c r="AP507" s="85"/>
      <c r="AQ507" s="85"/>
      <c r="AR507" s="85" t="s">
        <v>1124</v>
      </c>
      <c r="AS507" s="85"/>
      <c r="AT507" s="85"/>
      <c r="AU507" s="85"/>
      <c r="AV507" s="85"/>
      <c r="AW507" s="85"/>
      <c r="AX507" s="85"/>
      <c r="AY507" s="85"/>
      <c r="AZ507" s="85"/>
      <c r="BA507" s="85"/>
      <c r="BB507" s="89"/>
      <c r="BC507" s="89" t="s">
        <v>1124</v>
      </c>
      <c r="BD507" s="37"/>
      <c r="BE507" s="37"/>
      <c r="BF507" s="279"/>
      <c r="BG507" s="37"/>
      <c r="BH507" s="37"/>
      <c r="BI507" s="37"/>
      <c r="BJ507" s="283"/>
      <c r="BK507" s="161"/>
      <c r="BL507" s="294"/>
      <c r="BM507"/>
      <c r="BN507"/>
      <c r="BO507"/>
      <c r="BP507"/>
      <c r="BQ507"/>
      <c r="BR507"/>
      <c r="BS507"/>
      <c r="BT507"/>
      <c r="BU507"/>
      <c r="BV507"/>
      <c r="BW507"/>
      <c r="BX507"/>
      <c r="BY507"/>
      <c r="BZ507"/>
      <c r="CA507"/>
      <c r="CB507"/>
      <c r="CC507"/>
      <c r="CD507"/>
      <c r="CE507"/>
      <c r="CF507"/>
      <c r="CG507"/>
      <c r="CH507"/>
      <c r="CI507"/>
      <c r="CJ507"/>
    </row>
    <row r="508" spans="1:88" s="32" customFormat="1" ht="15" customHeight="1" x14ac:dyDescent="0.35">
      <c r="A508" s="473"/>
      <c r="B508" s="313">
        <v>62037</v>
      </c>
      <c r="C508" s="8" t="s">
        <v>624</v>
      </c>
      <c r="D508" s="18">
        <v>14</v>
      </c>
      <c r="E508" s="251">
        <v>3305</v>
      </c>
      <c r="F508" s="82">
        <v>2.0119866032081792</v>
      </c>
      <c r="G508" s="79">
        <v>6649.6157236030322</v>
      </c>
      <c r="H508" s="90">
        <v>82.21</v>
      </c>
      <c r="I508" s="85">
        <v>71.97</v>
      </c>
      <c r="J508" s="85">
        <v>81.198999999999998</v>
      </c>
      <c r="K508" s="85">
        <v>80.185000000000002</v>
      </c>
      <c r="L508" s="85">
        <v>88.182000000000002</v>
      </c>
      <c r="M508" s="85">
        <v>93.460999999999999</v>
      </c>
      <c r="N508" s="85">
        <v>105.765</v>
      </c>
      <c r="O508" s="85">
        <v>114.035</v>
      </c>
      <c r="P508" s="85">
        <v>94.263000000000005</v>
      </c>
      <c r="Q508" s="85">
        <v>89.046000000000006</v>
      </c>
      <c r="R508" s="85">
        <v>78.188000000000002</v>
      </c>
      <c r="S508" s="89">
        <v>82.200999999999993</v>
      </c>
      <c r="T508" s="89">
        <v>1060.7050000000002</v>
      </c>
      <c r="U508" s="85">
        <v>126.134</v>
      </c>
      <c r="V508" s="85">
        <v>934.57100000000003</v>
      </c>
      <c r="W508" s="85">
        <v>0</v>
      </c>
      <c r="X508" s="89">
        <v>1060.7049999999999</v>
      </c>
      <c r="Y508" s="79">
        <v>1</v>
      </c>
      <c r="Z508" s="79">
        <v>2</v>
      </c>
      <c r="AA508" s="94">
        <v>0</v>
      </c>
      <c r="AB508" s="79">
        <v>3</v>
      </c>
      <c r="AC508" s="85">
        <v>628.70899999999995</v>
      </c>
      <c r="AD508" s="85">
        <v>274.23500000000001</v>
      </c>
      <c r="AE508" s="85">
        <v>157.761</v>
      </c>
      <c r="AF508" s="85">
        <v>0</v>
      </c>
      <c r="AG508" s="85">
        <v>1060.7049999999999</v>
      </c>
      <c r="AH508" s="85">
        <v>0</v>
      </c>
      <c r="AI508" s="85">
        <v>0</v>
      </c>
      <c r="AJ508" s="85">
        <v>0</v>
      </c>
      <c r="AK508" s="85">
        <v>126.134</v>
      </c>
      <c r="AL508" s="85">
        <v>0</v>
      </c>
      <c r="AM508" s="85">
        <v>0</v>
      </c>
      <c r="AN508" s="85">
        <v>0</v>
      </c>
      <c r="AO508" s="85">
        <v>0</v>
      </c>
      <c r="AP508" s="85">
        <v>0</v>
      </c>
      <c r="AQ508" s="85">
        <v>0</v>
      </c>
      <c r="AR508" s="85">
        <v>126.134</v>
      </c>
      <c r="AS508" s="85">
        <v>0</v>
      </c>
      <c r="AT508" s="85">
        <v>0</v>
      </c>
      <c r="AU508" s="85">
        <v>0</v>
      </c>
      <c r="AV508" s="85">
        <v>0</v>
      </c>
      <c r="AW508" s="85">
        <v>0</v>
      </c>
      <c r="AX508" s="85">
        <v>0</v>
      </c>
      <c r="AY508" s="85">
        <v>934.57100000000003</v>
      </c>
      <c r="AZ508" s="85">
        <v>0</v>
      </c>
      <c r="BA508" s="85">
        <v>0</v>
      </c>
      <c r="BB508" s="89">
        <v>0</v>
      </c>
      <c r="BC508" s="89">
        <v>934.57100000000003</v>
      </c>
      <c r="BD508" s="37">
        <v>144933</v>
      </c>
      <c r="BE508" s="37">
        <v>166917</v>
      </c>
      <c r="BF508" s="279">
        <v>72451</v>
      </c>
      <c r="BG508" s="37">
        <v>202314</v>
      </c>
      <c r="BH508" s="37">
        <v>110868</v>
      </c>
      <c r="BI508" s="37">
        <v>2230</v>
      </c>
      <c r="BJ508" s="283">
        <v>387863</v>
      </c>
      <c r="BK508" s="161"/>
      <c r="BL508" s="294"/>
      <c r="BM508"/>
      <c r="BN508"/>
      <c r="BO508"/>
      <c r="BP508"/>
      <c r="BQ508"/>
      <c r="BR508"/>
      <c r="BS508"/>
      <c r="BT508"/>
      <c r="BU508"/>
      <c r="BV508"/>
      <c r="BW508"/>
      <c r="BX508"/>
      <c r="BY508"/>
      <c r="BZ508"/>
      <c r="CA508"/>
      <c r="CB508"/>
      <c r="CC508"/>
      <c r="CD508"/>
      <c r="CE508"/>
      <c r="CF508"/>
      <c r="CG508"/>
      <c r="CH508"/>
      <c r="CI508"/>
      <c r="CJ508"/>
    </row>
    <row r="509" spans="1:88" s="32" customFormat="1" ht="15" customHeight="1" x14ac:dyDescent="0.35">
      <c r="A509" s="473"/>
      <c r="B509" s="313">
        <v>85105</v>
      </c>
      <c r="C509" s="8" t="s">
        <v>888</v>
      </c>
      <c r="D509" s="18">
        <v>8</v>
      </c>
      <c r="E509" s="251"/>
      <c r="F509" s="82"/>
      <c r="G509" s="79"/>
      <c r="H509" s="90"/>
      <c r="I509" s="85"/>
      <c r="J509" s="85"/>
      <c r="K509" s="85"/>
      <c r="L509" s="85"/>
      <c r="M509" s="85"/>
      <c r="N509" s="85"/>
      <c r="O509" s="85"/>
      <c r="P509" s="85"/>
      <c r="Q509" s="85"/>
      <c r="R509" s="85"/>
      <c r="S509" s="89"/>
      <c r="T509" s="89" t="s">
        <v>1124</v>
      </c>
      <c r="U509" s="85"/>
      <c r="V509" s="85"/>
      <c r="W509" s="85"/>
      <c r="X509" s="89" t="s">
        <v>1124</v>
      </c>
      <c r="Y509" s="79"/>
      <c r="Z509" s="79"/>
      <c r="AA509" s="94"/>
      <c r="AB509" s="79" t="s">
        <v>1124</v>
      </c>
      <c r="AC509" s="85"/>
      <c r="AD509" s="85"/>
      <c r="AE509" s="85"/>
      <c r="AF509" s="85"/>
      <c r="AG509" s="85" t="s">
        <v>1124</v>
      </c>
      <c r="AH509" s="85"/>
      <c r="AI509" s="85"/>
      <c r="AJ509" s="85"/>
      <c r="AK509" s="85"/>
      <c r="AL509" s="85"/>
      <c r="AM509" s="85"/>
      <c r="AN509" s="85"/>
      <c r="AO509" s="85"/>
      <c r="AP509" s="85"/>
      <c r="AQ509" s="85"/>
      <c r="AR509" s="85" t="s">
        <v>1124</v>
      </c>
      <c r="AS509" s="85"/>
      <c r="AT509" s="85"/>
      <c r="AU509" s="85"/>
      <c r="AV509" s="85"/>
      <c r="AW509" s="85"/>
      <c r="AX509" s="85"/>
      <c r="AY509" s="85"/>
      <c r="AZ509" s="85"/>
      <c r="BA509" s="85"/>
      <c r="BB509" s="89"/>
      <c r="BC509" s="89" t="s">
        <v>1124</v>
      </c>
      <c r="BD509" s="37"/>
      <c r="BE509" s="37"/>
      <c r="BF509" s="279"/>
      <c r="BG509" s="37"/>
      <c r="BH509" s="37"/>
      <c r="BI509" s="37"/>
      <c r="BJ509" s="283"/>
      <c r="BK509" s="161"/>
      <c r="BL509" s="294"/>
      <c r="BM509"/>
      <c r="BN509"/>
      <c r="BO509"/>
      <c r="BP509"/>
      <c r="BQ509"/>
      <c r="BR509"/>
      <c r="BS509"/>
      <c r="BT509"/>
      <c r="BU509"/>
      <c r="BV509"/>
      <c r="BW509"/>
      <c r="BX509"/>
      <c r="BY509"/>
      <c r="BZ509"/>
      <c r="CA509"/>
      <c r="CB509"/>
      <c r="CC509"/>
      <c r="CD509"/>
      <c r="CE509"/>
      <c r="CF509"/>
      <c r="CG509"/>
      <c r="CH509"/>
      <c r="CI509"/>
      <c r="CJ509"/>
    </row>
    <row r="510" spans="1:88" s="32" customFormat="1" ht="15" customHeight="1" x14ac:dyDescent="0.35">
      <c r="A510" s="473"/>
      <c r="B510" s="313">
        <v>60013</v>
      </c>
      <c r="C510" s="8" t="s">
        <v>606</v>
      </c>
      <c r="D510" s="18">
        <v>14</v>
      </c>
      <c r="E510" s="251">
        <v>34546</v>
      </c>
      <c r="F510" s="82">
        <v>2.4701557343831415</v>
      </c>
      <c r="G510" s="79">
        <v>85334</v>
      </c>
      <c r="H510" s="90">
        <v>680.12900000000002</v>
      </c>
      <c r="I510" s="85">
        <v>575.15499999999997</v>
      </c>
      <c r="J510" s="85">
        <v>661.55499999999995</v>
      </c>
      <c r="K510" s="85">
        <v>652.58199999999999</v>
      </c>
      <c r="L510" s="85">
        <v>803.77200000000005</v>
      </c>
      <c r="M510" s="85">
        <v>922.49199999999996</v>
      </c>
      <c r="N510" s="85">
        <v>1075.2539999999999</v>
      </c>
      <c r="O510" s="85">
        <v>1068.6400000000001</v>
      </c>
      <c r="P510" s="85">
        <v>778.96400000000006</v>
      </c>
      <c r="Q510" s="85">
        <v>634.06100000000004</v>
      </c>
      <c r="R510" s="85">
        <v>638.71799999999996</v>
      </c>
      <c r="S510" s="89">
        <v>655.70399999999995</v>
      </c>
      <c r="T510" s="89">
        <v>9147.0259999999998</v>
      </c>
      <c r="U510" s="85">
        <v>9147.0259999999998</v>
      </c>
      <c r="V510" s="85">
        <v>0</v>
      </c>
      <c r="W510" s="85">
        <v>0</v>
      </c>
      <c r="X510" s="89">
        <v>9147.0259999999998</v>
      </c>
      <c r="Y510" s="79">
        <v>1</v>
      </c>
      <c r="Z510" s="79">
        <v>0</v>
      </c>
      <c r="AA510" s="94">
        <v>0</v>
      </c>
      <c r="AB510" s="79">
        <v>1</v>
      </c>
      <c r="AC510" s="85">
        <v>6374.1549999999997</v>
      </c>
      <c r="AD510" s="85">
        <v>2451.5860000000002</v>
      </c>
      <c r="AE510" s="85">
        <v>321.28500000000003</v>
      </c>
      <c r="AF510" s="85">
        <v>0</v>
      </c>
      <c r="AG510" s="85">
        <v>9147.0259999999998</v>
      </c>
      <c r="AH510" s="85">
        <v>9147.0259999999998</v>
      </c>
      <c r="AI510" s="85">
        <v>0</v>
      </c>
      <c r="AJ510" s="85">
        <v>0</v>
      </c>
      <c r="AK510" s="85">
        <v>0</v>
      </c>
      <c r="AL510" s="85">
        <v>0</v>
      </c>
      <c r="AM510" s="85">
        <v>0</v>
      </c>
      <c r="AN510" s="85">
        <v>0</v>
      </c>
      <c r="AO510" s="85">
        <v>0</v>
      </c>
      <c r="AP510" s="85">
        <v>0</v>
      </c>
      <c r="AQ510" s="85">
        <v>0</v>
      </c>
      <c r="AR510" s="85">
        <v>9147.0259999999998</v>
      </c>
      <c r="AS510" s="85">
        <v>0</v>
      </c>
      <c r="AT510" s="85">
        <v>0</v>
      </c>
      <c r="AU510" s="85">
        <v>0</v>
      </c>
      <c r="AV510" s="85">
        <v>0</v>
      </c>
      <c r="AW510" s="85">
        <v>0</v>
      </c>
      <c r="AX510" s="85">
        <v>0</v>
      </c>
      <c r="AY510" s="85">
        <v>0</v>
      </c>
      <c r="AZ510" s="85">
        <v>0</v>
      </c>
      <c r="BA510" s="85">
        <v>0</v>
      </c>
      <c r="BB510" s="89">
        <v>0</v>
      </c>
      <c r="BC510" s="89">
        <v>0</v>
      </c>
      <c r="BD510" s="37">
        <v>234161</v>
      </c>
      <c r="BE510" s="37">
        <v>2044470</v>
      </c>
      <c r="BF510" s="279">
        <v>970413</v>
      </c>
      <c r="BG510" s="37">
        <v>1533327</v>
      </c>
      <c r="BH510" s="37">
        <v>620446</v>
      </c>
      <c r="BI510" s="37">
        <v>84539</v>
      </c>
      <c r="BJ510" s="283">
        <v>3208725</v>
      </c>
      <c r="BK510" s="161"/>
      <c r="BL510" s="294"/>
      <c r="BM510"/>
      <c r="BN510"/>
      <c r="BO510"/>
      <c r="BP510"/>
      <c r="BQ510"/>
      <c r="BR510"/>
      <c r="BS510"/>
      <c r="BT510"/>
      <c r="BU510"/>
      <c r="BV510"/>
      <c r="BW510"/>
      <c r="BX510"/>
      <c r="BY510"/>
      <c r="BZ510"/>
      <c r="CA510"/>
      <c r="CB510"/>
      <c r="CC510"/>
      <c r="CD510"/>
      <c r="CE510"/>
      <c r="CF510"/>
      <c r="CG510"/>
      <c r="CH510"/>
      <c r="CI510"/>
      <c r="CJ510"/>
    </row>
    <row r="511" spans="1:88" s="32" customFormat="1" ht="15" customHeight="1" x14ac:dyDescent="0.35">
      <c r="A511" s="473"/>
      <c r="B511" s="313">
        <v>55057</v>
      </c>
      <c r="C511" s="8" t="s">
        <v>565</v>
      </c>
      <c r="D511" s="18">
        <v>16</v>
      </c>
      <c r="E511" s="251"/>
      <c r="F511" s="82"/>
      <c r="G511" s="79"/>
      <c r="H511" s="90"/>
      <c r="I511" s="85"/>
      <c r="J511" s="85"/>
      <c r="K511" s="85"/>
      <c r="L511" s="85"/>
      <c r="M511" s="85"/>
      <c r="N511" s="85"/>
      <c r="O511" s="85"/>
      <c r="P511" s="85"/>
      <c r="Q511" s="85"/>
      <c r="R511" s="85"/>
      <c r="S511" s="89"/>
      <c r="T511" s="89" t="s">
        <v>1124</v>
      </c>
      <c r="U511" s="85"/>
      <c r="V511" s="85"/>
      <c r="W511" s="85"/>
      <c r="X511" s="89" t="s">
        <v>1124</v>
      </c>
      <c r="Y511" s="79"/>
      <c r="Z511" s="79"/>
      <c r="AA511" s="94"/>
      <c r="AB511" s="79" t="s">
        <v>1124</v>
      </c>
      <c r="AC511" s="85"/>
      <c r="AD511" s="85"/>
      <c r="AE511" s="85"/>
      <c r="AF511" s="85"/>
      <c r="AG511" s="85" t="s">
        <v>1124</v>
      </c>
      <c r="AH511" s="85"/>
      <c r="AI511" s="85"/>
      <c r="AJ511" s="85"/>
      <c r="AK511" s="85"/>
      <c r="AL511" s="85"/>
      <c r="AM511" s="85"/>
      <c r="AN511" s="85"/>
      <c r="AO511" s="85"/>
      <c r="AP511" s="85"/>
      <c r="AQ511" s="85"/>
      <c r="AR511" s="85" t="s">
        <v>1124</v>
      </c>
      <c r="AS511" s="85"/>
      <c r="AT511" s="85"/>
      <c r="AU511" s="85"/>
      <c r="AV511" s="85"/>
      <c r="AW511" s="85"/>
      <c r="AX511" s="85"/>
      <c r="AY511" s="85"/>
      <c r="AZ511" s="85"/>
      <c r="BA511" s="85"/>
      <c r="BB511" s="89"/>
      <c r="BC511" s="89" t="s">
        <v>1124</v>
      </c>
      <c r="BD511" s="37"/>
      <c r="BE511" s="37"/>
      <c r="BF511" s="279"/>
      <c r="BG511" s="37"/>
      <c r="BH511" s="37"/>
      <c r="BI511" s="37"/>
      <c r="BJ511" s="283"/>
      <c r="BK511" s="161"/>
      <c r="BL511" s="294"/>
      <c r="BM511"/>
      <c r="BN511"/>
      <c r="BO511"/>
      <c r="BP511"/>
      <c r="BQ511"/>
      <c r="BR511"/>
      <c r="BS511"/>
      <c r="BT511"/>
      <c r="BU511"/>
      <c r="BV511"/>
      <c r="BW511"/>
      <c r="BX511"/>
      <c r="BY511"/>
      <c r="BZ511"/>
      <c r="CA511"/>
      <c r="CB511"/>
      <c r="CC511"/>
      <c r="CD511"/>
      <c r="CE511"/>
      <c r="CF511"/>
      <c r="CG511"/>
      <c r="CH511"/>
      <c r="CI511"/>
      <c r="CJ511"/>
    </row>
    <row r="512" spans="1:88" s="32" customFormat="1" ht="15" customHeight="1" x14ac:dyDescent="0.35">
      <c r="A512" s="473"/>
      <c r="B512" s="313">
        <v>42098</v>
      </c>
      <c r="C512" s="8" t="s">
        <v>394</v>
      </c>
      <c r="D512" s="18">
        <v>5</v>
      </c>
      <c r="E512" s="251">
        <v>1696</v>
      </c>
      <c r="F512" s="82">
        <v>1.942627548736543</v>
      </c>
      <c r="G512" s="79">
        <v>3294.696322657177</v>
      </c>
      <c r="H512" s="90">
        <v>48.957000000000001</v>
      </c>
      <c r="I512" s="85">
        <v>50.709000000000003</v>
      </c>
      <c r="J512" s="85">
        <v>50.334000000000003</v>
      </c>
      <c r="K512" s="85">
        <v>55.067</v>
      </c>
      <c r="L512" s="85">
        <v>52.406999999999996</v>
      </c>
      <c r="M512" s="85">
        <v>65.195999999999998</v>
      </c>
      <c r="N512" s="85">
        <v>74.677000000000007</v>
      </c>
      <c r="O512" s="85">
        <v>54.731999999999999</v>
      </c>
      <c r="P512" s="85">
        <v>54.959000000000003</v>
      </c>
      <c r="Q512" s="85">
        <v>59.26</v>
      </c>
      <c r="R512" s="85">
        <v>55.065582089552187</v>
      </c>
      <c r="S512" s="89">
        <v>48.600999999999999</v>
      </c>
      <c r="T512" s="89">
        <v>669.96458208955221</v>
      </c>
      <c r="U512" s="85">
        <v>0</v>
      </c>
      <c r="V512" s="85">
        <v>669.96458208955221</v>
      </c>
      <c r="W512" s="85">
        <v>0</v>
      </c>
      <c r="X512" s="89">
        <v>669.96458208955221</v>
      </c>
      <c r="Y512" s="79">
        <v>0</v>
      </c>
      <c r="Z512" s="79">
        <v>2</v>
      </c>
      <c r="AA512" s="94">
        <v>0</v>
      </c>
      <c r="AB512" s="79">
        <v>2</v>
      </c>
      <c r="AC512" s="85">
        <v>484.94506054279753</v>
      </c>
      <c r="AD512" s="85">
        <v>87.129971546754646</v>
      </c>
      <c r="AE512" s="85">
        <v>97.889550000000028</v>
      </c>
      <c r="AF512" s="85">
        <v>0</v>
      </c>
      <c r="AG512" s="85">
        <v>669.96458208955221</v>
      </c>
      <c r="AH512" s="85">
        <v>0</v>
      </c>
      <c r="AI512" s="85">
        <v>0</v>
      </c>
      <c r="AJ512" s="85">
        <v>0</v>
      </c>
      <c r="AK512" s="85">
        <v>0</v>
      </c>
      <c r="AL512" s="85">
        <v>0</v>
      </c>
      <c r="AM512" s="85">
        <v>0</v>
      </c>
      <c r="AN512" s="85">
        <v>0</v>
      </c>
      <c r="AO512" s="85">
        <v>0</v>
      </c>
      <c r="AP512" s="85">
        <v>0</v>
      </c>
      <c r="AQ512" s="85">
        <v>0</v>
      </c>
      <c r="AR512" s="85">
        <v>0</v>
      </c>
      <c r="AS512" s="85">
        <v>669.96458208955221</v>
      </c>
      <c r="AT512" s="85">
        <v>0</v>
      </c>
      <c r="AU512" s="85">
        <v>0</v>
      </c>
      <c r="AV512" s="85">
        <v>0</v>
      </c>
      <c r="AW512" s="85">
        <v>0</v>
      </c>
      <c r="AX512" s="85">
        <v>0</v>
      </c>
      <c r="AY512" s="85">
        <v>0</v>
      </c>
      <c r="AZ512" s="85">
        <v>0</v>
      </c>
      <c r="BA512" s="85">
        <v>0</v>
      </c>
      <c r="BB512" s="89">
        <v>0</v>
      </c>
      <c r="BC512" s="89">
        <v>669.96458208955221</v>
      </c>
      <c r="BD512" s="37">
        <v>0</v>
      </c>
      <c r="BE512" s="37">
        <v>0</v>
      </c>
      <c r="BF512" s="279">
        <v>72633</v>
      </c>
      <c r="BG512" s="37">
        <v>129714</v>
      </c>
      <c r="BH512" s="37">
        <v>29538</v>
      </c>
      <c r="BI512" s="37">
        <v>10491</v>
      </c>
      <c r="BJ512" s="283">
        <v>242376</v>
      </c>
      <c r="BK512" s="161" t="s">
        <v>2492</v>
      </c>
      <c r="BL512" s="294"/>
      <c r="BM512"/>
      <c r="BN512"/>
      <c r="BO512"/>
      <c r="BP512"/>
      <c r="BQ512"/>
      <c r="BR512"/>
      <c r="BS512"/>
      <c r="BT512"/>
      <c r="BU512"/>
      <c r="BV512"/>
      <c r="BW512"/>
      <c r="BX512"/>
      <c r="BY512"/>
      <c r="BZ512"/>
      <c r="CA512"/>
      <c r="CB512"/>
      <c r="CC512"/>
      <c r="CD512"/>
      <c r="CE512"/>
      <c r="CF512"/>
      <c r="CG512"/>
      <c r="CH512"/>
      <c r="CI512"/>
      <c r="CJ512"/>
    </row>
    <row r="513" spans="1:88" s="32" customFormat="1" ht="15" customHeight="1" x14ac:dyDescent="0.35">
      <c r="A513" s="473"/>
      <c r="B513" s="313">
        <v>71133</v>
      </c>
      <c r="C513" s="8" t="s">
        <v>725</v>
      </c>
      <c r="D513" s="18">
        <v>16</v>
      </c>
      <c r="E513" s="251"/>
      <c r="F513" s="82"/>
      <c r="G513" s="79"/>
      <c r="H513" s="90"/>
      <c r="I513" s="85"/>
      <c r="J513" s="85"/>
      <c r="K513" s="85"/>
      <c r="L513" s="85"/>
      <c r="M513" s="85"/>
      <c r="N513" s="85"/>
      <c r="O513" s="85"/>
      <c r="P513" s="85"/>
      <c r="Q513" s="85"/>
      <c r="R513" s="85"/>
      <c r="S513" s="89"/>
      <c r="T513" s="89" t="s">
        <v>1124</v>
      </c>
      <c r="U513" s="85"/>
      <c r="V513" s="85"/>
      <c r="W513" s="85"/>
      <c r="X513" s="89" t="s">
        <v>1124</v>
      </c>
      <c r="Y513" s="79"/>
      <c r="Z513" s="79"/>
      <c r="AA513" s="94"/>
      <c r="AB513" s="79" t="s">
        <v>1124</v>
      </c>
      <c r="AC513" s="85"/>
      <c r="AD513" s="85"/>
      <c r="AE513" s="85"/>
      <c r="AF513" s="85"/>
      <c r="AG513" s="85" t="s">
        <v>1124</v>
      </c>
      <c r="AH513" s="85"/>
      <c r="AI513" s="85"/>
      <c r="AJ513" s="85"/>
      <c r="AK513" s="85"/>
      <c r="AL513" s="85"/>
      <c r="AM513" s="85"/>
      <c r="AN513" s="85"/>
      <c r="AO513" s="85"/>
      <c r="AP513" s="85"/>
      <c r="AQ513" s="85"/>
      <c r="AR513" s="85" t="s">
        <v>1124</v>
      </c>
      <c r="AS513" s="85"/>
      <c r="AT513" s="85"/>
      <c r="AU513" s="85"/>
      <c r="AV513" s="85"/>
      <c r="AW513" s="85"/>
      <c r="AX513" s="85"/>
      <c r="AY513" s="85"/>
      <c r="AZ513" s="85"/>
      <c r="BA513" s="85"/>
      <c r="BB513" s="89"/>
      <c r="BC513" s="89" t="s">
        <v>1124</v>
      </c>
      <c r="BD513" s="37"/>
      <c r="BE513" s="37"/>
      <c r="BF513" s="279"/>
      <c r="BG513" s="37"/>
      <c r="BH513" s="37"/>
      <c r="BI513" s="37"/>
      <c r="BJ513" s="283"/>
      <c r="BK513" s="161"/>
      <c r="BL513" s="294"/>
      <c r="BM513"/>
      <c r="BN513"/>
      <c r="BO513"/>
      <c r="BP513"/>
      <c r="BQ513"/>
      <c r="BR513"/>
      <c r="BS513"/>
      <c r="BT513"/>
      <c r="BU513"/>
      <c r="BV513"/>
      <c r="BW513"/>
      <c r="BX513"/>
      <c r="BY513"/>
      <c r="BZ513"/>
      <c r="CA513"/>
      <c r="CB513"/>
      <c r="CC513"/>
      <c r="CD513"/>
      <c r="CE513"/>
      <c r="CF513"/>
      <c r="CG513"/>
      <c r="CH513"/>
      <c r="CI513"/>
      <c r="CJ513"/>
    </row>
    <row r="514" spans="1:88" s="32" customFormat="1" ht="15" customHeight="1" x14ac:dyDescent="0.35">
      <c r="A514" s="473"/>
      <c r="B514" s="313">
        <v>10043</v>
      </c>
      <c r="C514" s="8" t="s">
        <v>13</v>
      </c>
      <c r="D514" s="18">
        <v>1</v>
      </c>
      <c r="E514" s="251">
        <v>23503</v>
      </c>
      <c r="F514" s="82">
        <v>2.0596846846846848</v>
      </c>
      <c r="G514" s="79">
        <v>48408.769144144149</v>
      </c>
      <c r="H514" s="90">
        <v>592.69483491999995</v>
      </c>
      <c r="I514" s="85">
        <v>617.59765714000002</v>
      </c>
      <c r="J514" s="85">
        <v>669.10558106000008</v>
      </c>
      <c r="K514" s="85">
        <v>667.12454280000009</v>
      </c>
      <c r="L514" s="85">
        <v>704.33024808000005</v>
      </c>
      <c r="M514" s="85">
        <v>687.45988951999993</v>
      </c>
      <c r="N514" s="85">
        <v>717.87552346000007</v>
      </c>
      <c r="O514" s="85">
        <v>680.68350350000003</v>
      </c>
      <c r="P514" s="85">
        <v>584.5156803000001</v>
      </c>
      <c r="Q514" s="85">
        <v>568.61182034000001</v>
      </c>
      <c r="R514" s="85">
        <v>537.53763196</v>
      </c>
      <c r="S514" s="89">
        <v>561.63777493999999</v>
      </c>
      <c r="T514" s="89">
        <v>7589.1746880200008</v>
      </c>
      <c r="U514" s="85">
        <v>0</v>
      </c>
      <c r="V514" s="85">
        <v>7589.1750000000002</v>
      </c>
      <c r="W514" s="85">
        <v>0</v>
      </c>
      <c r="X514" s="89">
        <v>7589.1750000000002</v>
      </c>
      <c r="Y514" s="79">
        <v>0</v>
      </c>
      <c r="Z514" s="79">
        <v>3</v>
      </c>
      <c r="AA514" s="94">
        <v>0</v>
      </c>
      <c r="AB514" s="79">
        <v>3</v>
      </c>
      <c r="AC514" s="85">
        <v>3699.7810000000004</v>
      </c>
      <c r="AD514" s="85">
        <v>1148.0237212674231</v>
      </c>
      <c r="AE514" s="85">
        <v>2737.0649667525772</v>
      </c>
      <c r="AF514" s="85">
        <v>4.3049999999999997</v>
      </c>
      <c r="AG514" s="85">
        <v>7589.1746880200008</v>
      </c>
      <c r="AH514" s="85">
        <v>0</v>
      </c>
      <c r="AI514" s="85">
        <v>0</v>
      </c>
      <c r="AJ514" s="85">
        <v>0</v>
      </c>
      <c r="AK514" s="85">
        <v>0</v>
      </c>
      <c r="AL514" s="85">
        <v>0</v>
      </c>
      <c r="AM514" s="85">
        <v>0</v>
      </c>
      <c r="AN514" s="85">
        <v>0</v>
      </c>
      <c r="AO514" s="85">
        <v>0</v>
      </c>
      <c r="AP514" s="85">
        <v>0</v>
      </c>
      <c r="AQ514" s="85">
        <v>0</v>
      </c>
      <c r="AR514" s="85">
        <v>0</v>
      </c>
      <c r="AS514" s="85">
        <v>0</v>
      </c>
      <c r="AT514" s="85">
        <v>0</v>
      </c>
      <c r="AU514" s="85">
        <v>0</v>
      </c>
      <c r="AV514" s="85">
        <v>0</v>
      </c>
      <c r="AW514" s="85">
        <v>0</v>
      </c>
      <c r="AX514" s="85">
        <v>0</v>
      </c>
      <c r="AY514" s="85">
        <v>7560.2830000000004</v>
      </c>
      <c r="AZ514" s="85">
        <v>0</v>
      </c>
      <c r="BA514" s="85">
        <v>28.891999999999999</v>
      </c>
      <c r="BB514" s="89">
        <v>0</v>
      </c>
      <c r="BC514" s="89">
        <v>7589.1750000000002</v>
      </c>
      <c r="BD514" s="37">
        <v>0</v>
      </c>
      <c r="BE514" s="37">
        <v>701250</v>
      </c>
      <c r="BF514" s="279">
        <v>2836</v>
      </c>
      <c r="BG514" s="37">
        <v>64029</v>
      </c>
      <c r="BH514" s="37">
        <v>344936</v>
      </c>
      <c r="BI514" s="37">
        <v>0</v>
      </c>
      <c r="BJ514" s="283">
        <v>411801</v>
      </c>
      <c r="BK514" s="161" t="s">
        <v>2499</v>
      </c>
      <c r="BL514" s="294"/>
      <c r="BM514"/>
      <c r="BN514"/>
      <c r="BO514"/>
      <c r="BP514"/>
      <c r="BQ514"/>
      <c r="BR514"/>
      <c r="BS514"/>
      <c r="BT514"/>
      <c r="BU514"/>
      <c r="BV514"/>
      <c r="BW514"/>
      <c r="BX514"/>
      <c r="BY514"/>
      <c r="BZ514"/>
      <c r="CA514"/>
      <c r="CB514"/>
      <c r="CC514"/>
      <c r="CD514"/>
      <c r="CE514"/>
      <c r="CF514"/>
      <c r="CG514"/>
      <c r="CH514"/>
      <c r="CI514"/>
      <c r="CJ514"/>
    </row>
    <row r="515" spans="1:88" s="32" customFormat="1" ht="15" customHeight="1" x14ac:dyDescent="0.35">
      <c r="A515" s="473"/>
      <c r="B515" s="313">
        <v>80078</v>
      </c>
      <c r="C515" s="8" t="s">
        <v>815</v>
      </c>
      <c r="D515" s="18">
        <v>7</v>
      </c>
      <c r="E515" s="251"/>
      <c r="F515" s="82"/>
      <c r="G515" s="79"/>
      <c r="H515" s="90"/>
      <c r="I515" s="85"/>
      <c r="J515" s="85"/>
      <c r="K515" s="85"/>
      <c r="L515" s="85"/>
      <c r="M515" s="85"/>
      <c r="N515" s="85"/>
      <c r="O515" s="85"/>
      <c r="P515" s="85"/>
      <c r="Q515" s="85"/>
      <c r="R515" s="85"/>
      <c r="S515" s="89"/>
      <c r="T515" s="89" t="s">
        <v>1124</v>
      </c>
      <c r="U515" s="85"/>
      <c r="V515" s="85"/>
      <c r="W515" s="85"/>
      <c r="X515" s="89" t="s">
        <v>1124</v>
      </c>
      <c r="Y515" s="79"/>
      <c r="Z515" s="79"/>
      <c r="AA515" s="94"/>
      <c r="AB515" s="79" t="s">
        <v>1124</v>
      </c>
      <c r="AC515" s="85"/>
      <c r="AD515" s="85"/>
      <c r="AE515" s="85"/>
      <c r="AF515" s="85"/>
      <c r="AG515" s="85" t="s">
        <v>1124</v>
      </c>
      <c r="AH515" s="85"/>
      <c r="AI515" s="85"/>
      <c r="AJ515" s="85"/>
      <c r="AK515" s="85"/>
      <c r="AL515" s="85"/>
      <c r="AM515" s="85"/>
      <c r="AN515" s="85"/>
      <c r="AO515" s="85"/>
      <c r="AP515" s="85"/>
      <c r="AQ515" s="85"/>
      <c r="AR515" s="85" t="s">
        <v>1124</v>
      </c>
      <c r="AS515" s="85"/>
      <c r="AT515" s="85"/>
      <c r="AU515" s="85"/>
      <c r="AV515" s="85"/>
      <c r="AW515" s="85"/>
      <c r="AX515" s="85"/>
      <c r="AY515" s="85"/>
      <c r="AZ515" s="85"/>
      <c r="BA515" s="85"/>
      <c r="BB515" s="89"/>
      <c r="BC515" s="89" t="s">
        <v>1124</v>
      </c>
      <c r="BD515" s="37"/>
      <c r="BE515" s="37"/>
      <c r="BF515" s="279"/>
      <c r="BG515" s="37"/>
      <c r="BH515" s="37"/>
      <c r="BI515" s="37"/>
      <c r="BJ515" s="283"/>
      <c r="BK515" s="161"/>
      <c r="BL515" s="294"/>
      <c r="BM515"/>
      <c r="BN515"/>
      <c r="BO515"/>
      <c r="BP515"/>
      <c r="BQ515"/>
      <c r="BR515"/>
      <c r="BS515"/>
      <c r="BT515"/>
      <c r="BU515"/>
      <c r="BV515"/>
      <c r="BW515"/>
      <c r="BX515"/>
      <c r="BY515"/>
      <c r="BZ515"/>
      <c r="CA515"/>
      <c r="CB515"/>
      <c r="CC515"/>
      <c r="CD515"/>
      <c r="CE515"/>
      <c r="CF515"/>
      <c r="CG515"/>
      <c r="CH515"/>
      <c r="CI515"/>
      <c r="CJ515"/>
    </row>
    <row r="516" spans="1:88" s="32" customFormat="1" ht="15" customHeight="1" x14ac:dyDescent="0.35">
      <c r="A516" s="473"/>
      <c r="B516" s="313">
        <v>6035</v>
      </c>
      <c r="C516" s="8" t="s">
        <v>1062</v>
      </c>
      <c r="D516" s="18">
        <v>11</v>
      </c>
      <c r="E516" s="251"/>
      <c r="F516" s="82"/>
      <c r="G516" s="79"/>
      <c r="H516" s="90"/>
      <c r="I516" s="85"/>
      <c r="J516" s="85"/>
      <c r="K516" s="85"/>
      <c r="L516" s="85"/>
      <c r="M516" s="85"/>
      <c r="N516" s="85"/>
      <c r="O516" s="85"/>
      <c r="P516" s="85"/>
      <c r="Q516" s="85"/>
      <c r="R516" s="85"/>
      <c r="S516" s="89"/>
      <c r="T516" s="89" t="s">
        <v>1124</v>
      </c>
      <c r="U516" s="85"/>
      <c r="V516" s="85"/>
      <c r="W516" s="85"/>
      <c r="X516" s="89" t="s">
        <v>1124</v>
      </c>
      <c r="Y516" s="79"/>
      <c r="Z516" s="79"/>
      <c r="AA516" s="94"/>
      <c r="AB516" s="79" t="s">
        <v>1124</v>
      </c>
      <c r="AC516" s="85"/>
      <c r="AD516" s="85"/>
      <c r="AE516" s="85"/>
      <c r="AF516" s="85"/>
      <c r="AG516" s="85" t="s">
        <v>1124</v>
      </c>
      <c r="AH516" s="85"/>
      <c r="AI516" s="85"/>
      <c r="AJ516" s="85"/>
      <c r="AK516" s="85"/>
      <c r="AL516" s="85"/>
      <c r="AM516" s="85"/>
      <c r="AN516" s="85"/>
      <c r="AO516" s="85"/>
      <c r="AP516" s="85"/>
      <c r="AQ516" s="85"/>
      <c r="AR516" s="85" t="s">
        <v>1124</v>
      </c>
      <c r="AS516" s="85"/>
      <c r="AT516" s="85"/>
      <c r="AU516" s="85"/>
      <c r="AV516" s="85"/>
      <c r="AW516" s="85"/>
      <c r="AX516" s="85"/>
      <c r="AY516" s="85"/>
      <c r="AZ516" s="85"/>
      <c r="BA516" s="85"/>
      <c r="BB516" s="89"/>
      <c r="BC516" s="89" t="s">
        <v>1124</v>
      </c>
      <c r="BD516" s="37"/>
      <c r="BE516" s="37"/>
      <c r="BF516" s="279"/>
      <c r="BG516" s="37"/>
      <c r="BH516" s="37"/>
      <c r="BI516" s="37"/>
      <c r="BJ516" s="283"/>
      <c r="BK516" s="161"/>
      <c r="BL516" s="294"/>
      <c r="BM516"/>
      <c r="BN516"/>
      <c r="BO516"/>
      <c r="BP516"/>
      <c r="BQ516"/>
      <c r="BR516"/>
      <c r="BS516"/>
      <c r="BT516"/>
      <c r="BU516"/>
      <c r="BV516"/>
      <c r="BW516"/>
      <c r="BX516"/>
      <c r="BY516"/>
      <c r="BZ516"/>
      <c r="CA516"/>
      <c r="CB516"/>
      <c r="CC516"/>
      <c r="CD516"/>
      <c r="CE516"/>
      <c r="CF516"/>
      <c r="CG516"/>
      <c r="CH516"/>
      <c r="CI516"/>
      <c r="CJ516"/>
    </row>
    <row r="517" spans="1:88" s="32" customFormat="1" ht="15" customHeight="1" x14ac:dyDescent="0.35">
      <c r="A517" s="473"/>
      <c r="B517" s="313">
        <v>4020</v>
      </c>
      <c r="C517" s="8" t="s">
        <v>1039</v>
      </c>
      <c r="D517" s="18">
        <v>11</v>
      </c>
      <c r="E517" s="251"/>
      <c r="F517" s="82"/>
      <c r="G517" s="79"/>
      <c r="H517" s="90"/>
      <c r="I517" s="85"/>
      <c r="J517" s="85"/>
      <c r="K517" s="85"/>
      <c r="L517" s="85"/>
      <c r="M517" s="85"/>
      <c r="N517" s="85"/>
      <c r="O517" s="85"/>
      <c r="P517" s="85"/>
      <c r="Q517" s="85"/>
      <c r="R517" s="85"/>
      <c r="S517" s="89"/>
      <c r="T517" s="89" t="s">
        <v>1124</v>
      </c>
      <c r="U517" s="85"/>
      <c r="V517" s="85"/>
      <c r="W517" s="85"/>
      <c r="X517" s="89" t="s">
        <v>1124</v>
      </c>
      <c r="Y517" s="79"/>
      <c r="Z517" s="79"/>
      <c r="AA517" s="94"/>
      <c r="AB517" s="79" t="s">
        <v>1124</v>
      </c>
      <c r="AC517" s="85"/>
      <c r="AD517" s="85"/>
      <c r="AE517" s="85"/>
      <c r="AF517" s="85"/>
      <c r="AG517" s="85" t="s">
        <v>1124</v>
      </c>
      <c r="AH517" s="85"/>
      <c r="AI517" s="85"/>
      <c r="AJ517" s="85"/>
      <c r="AK517" s="85"/>
      <c r="AL517" s="85"/>
      <c r="AM517" s="85"/>
      <c r="AN517" s="85"/>
      <c r="AO517" s="85"/>
      <c r="AP517" s="85"/>
      <c r="AQ517" s="85"/>
      <c r="AR517" s="85" t="s">
        <v>1124</v>
      </c>
      <c r="AS517" s="85"/>
      <c r="AT517" s="85"/>
      <c r="AU517" s="85"/>
      <c r="AV517" s="85"/>
      <c r="AW517" s="85"/>
      <c r="AX517" s="85"/>
      <c r="AY517" s="85"/>
      <c r="AZ517" s="85"/>
      <c r="BA517" s="85"/>
      <c r="BB517" s="89"/>
      <c r="BC517" s="89" t="s">
        <v>1124</v>
      </c>
      <c r="BD517" s="37"/>
      <c r="BE517" s="37"/>
      <c r="BF517" s="279"/>
      <c r="BG517" s="37"/>
      <c r="BH517" s="37"/>
      <c r="BI517" s="37"/>
      <c r="BJ517" s="283"/>
      <c r="BK517" s="161"/>
      <c r="BL517" s="294"/>
      <c r="BM517"/>
      <c r="BN517"/>
      <c r="BO517"/>
      <c r="BP517"/>
      <c r="BQ517"/>
      <c r="BR517"/>
      <c r="BS517"/>
      <c r="BT517"/>
      <c r="BU517"/>
      <c r="BV517"/>
      <c r="BW517"/>
      <c r="BX517"/>
      <c r="BY517"/>
      <c r="BZ517"/>
      <c r="CA517"/>
      <c r="CB517"/>
      <c r="CC517"/>
      <c r="CD517"/>
      <c r="CE517"/>
      <c r="CF517"/>
      <c r="CG517"/>
      <c r="CH517"/>
      <c r="CI517"/>
      <c r="CJ517"/>
    </row>
    <row r="518" spans="1:88" s="32" customFormat="1" ht="15" customHeight="1" x14ac:dyDescent="0.35">
      <c r="A518" s="473"/>
      <c r="B518" s="313">
        <v>34135</v>
      </c>
      <c r="C518" s="8" t="s">
        <v>302</v>
      </c>
      <c r="D518" s="18">
        <v>3</v>
      </c>
      <c r="E518" s="251">
        <v>197</v>
      </c>
      <c r="F518" s="82">
        <v>1.7666666666666666</v>
      </c>
      <c r="G518" s="79">
        <v>348.0333333333333</v>
      </c>
      <c r="H518" s="90">
        <v>5.7469999999999999</v>
      </c>
      <c r="I518" s="85">
        <v>5.8010000000000002</v>
      </c>
      <c r="J518" s="85">
        <v>6.7549999999999999</v>
      </c>
      <c r="K518" s="85">
        <v>6.2389999999999999</v>
      </c>
      <c r="L518" s="85">
        <v>5.9690000000000003</v>
      </c>
      <c r="M518" s="85">
        <v>5.5750000000000002</v>
      </c>
      <c r="N518" s="85">
        <v>6.9740000000000002</v>
      </c>
      <c r="O518" s="85">
        <v>6.2860000000000005</v>
      </c>
      <c r="P518" s="85">
        <v>6.1839999999999993</v>
      </c>
      <c r="Q518" s="85">
        <v>6.4020000000000001</v>
      </c>
      <c r="R518" s="85">
        <v>6.03</v>
      </c>
      <c r="S518" s="89">
        <v>6.8029999999999999</v>
      </c>
      <c r="T518" s="89">
        <v>74.765000000000001</v>
      </c>
      <c r="U518" s="85">
        <v>0</v>
      </c>
      <c r="V518" s="85">
        <v>74.765000000000001</v>
      </c>
      <c r="W518" s="85">
        <v>0</v>
      </c>
      <c r="X518" s="89">
        <v>74.765000000000001</v>
      </c>
      <c r="Y518" s="79">
        <v>0</v>
      </c>
      <c r="Z518" s="79">
        <v>1</v>
      </c>
      <c r="AA518" s="94">
        <v>0</v>
      </c>
      <c r="AB518" s="79">
        <v>1</v>
      </c>
      <c r="AC518" s="85">
        <v>36.785961538461542</v>
      </c>
      <c r="AD518" s="85">
        <v>3.1755134615384577</v>
      </c>
      <c r="AE518" s="85">
        <v>34.803525</v>
      </c>
      <c r="AF518" s="85">
        <v>0</v>
      </c>
      <c r="AG518" s="85">
        <v>74.765000000000001</v>
      </c>
      <c r="AH518" s="85">
        <v>0</v>
      </c>
      <c r="AI518" s="85">
        <v>0</v>
      </c>
      <c r="AJ518" s="85">
        <v>0</v>
      </c>
      <c r="AK518" s="85">
        <v>0</v>
      </c>
      <c r="AL518" s="85">
        <v>0</v>
      </c>
      <c r="AM518" s="85">
        <v>0</v>
      </c>
      <c r="AN518" s="85">
        <v>0</v>
      </c>
      <c r="AO518" s="85">
        <v>0</v>
      </c>
      <c r="AP518" s="85">
        <v>0</v>
      </c>
      <c r="AQ518" s="85">
        <v>0</v>
      </c>
      <c r="AR518" s="85">
        <v>0</v>
      </c>
      <c r="AS518" s="85">
        <v>0</v>
      </c>
      <c r="AT518" s="85">
        <v>0</v>
      </c>
      <c r="AU518" s="85">
        <v>0</v>
      </c>
      <c r="AV518" s="85">
        <v>0</v>
      </c>
      <c r="AW518" s="85">
        <v>0</v>
      </c>
      <c r="AX518" s="85">
        <v>0</v>
      </c>
      <c r="AY518" s="85">
        <v>74.765000000000001</v>
      </c>
      <c r="AZ518" s="85">
        <v>0</v>
      </c>
      <c r="BA518" s="85">
        <v>0</v>
      </c>
      <c r="BB518" s="89">
        <v>0</v>
      </c>
      <c r="BC518" s="89">
        <v>74.765000000000001</v>
      </c>
      <c r="BD518" s="37">
        <v>0</v>
      </c>
      <c r="BE518" s="37">
        <v>0</v>
      </c>
      <c r="BF518" s="279">
        <v>1080</v>
      </c>
      <c r="BG518" s="37">
        <v>2000</v>
      </c>
      <c r="BH518" s="37">
        <v>5115</v>
      </c>
      <c r="BI518" s="37">
        <v>0</v>
      </c>
      <c r="BJ518" s="283">
        <v>8195</v>
      </c>
      <c r="BK518" s="161"/>
      <c r="BL518" s="294"/>
      <c r="BM518"/>
      <c r="BN518"/>
      <c r="BO518"/>
      <c r="BP518"/>
      <c r="BQ518"/>
      <c r="BR518"/>
      <c r="BS518"/>
      <c r="BT518"/>
      <c r="BU518"/>
      <c r="BV518"/>
      <c r="BW518"/>
      <c r="BX518"/>
      <c r="BY518"/>
      <c r="BZ518"/>
      <c r="CA518"/>
      <c r="CB518"/>
      <c r="CC518"/>
      <c r="CD518"/>
      <c r="CE518"/>
      <c r="CF518"/>
      <c r="CG518"/>
      <c r="CH518"/>
      <c r="CI518"/>
      <c r="CJ518"/>
    </row>
    <row r="519" spans="1:88" s="32" customFormat="1" ht="15" customHeight="1" x14ac:dyDescent="0.35">
      <c r="A519" s="473"/>
      <c r="B519" s="313">
        <v>98055</v>
      </c>
      <c r="C519" s="8" t="s">
        <v>1018</v>
      </c>
      <c r="D519" s="18">
        <v>9</v>
      </c>
      <c r="E519" s="251"/>
      <c r="F519" s="82"/>
      <c r="G519" s="79"/>
      <c r="H519" s="90"/>
      <c r="I519" s="85"/>
      <c r="J519" s="85"/>
      <c r="K519" s="85"/>
      <c r="L519" s="85"/>
      <c r="M519" s="85"/>
      <c r="N519" s="85"/>
      <c r="O519" s="85"/>
      <c r="P519" s="85"/>
      <c r="Q519" s="85"/>
      <c r="R519" s="85"/>
      <c r="S519" s="89"/>
      <c r="T519" s="89" t="s">
        <v>1124</v>
      </c>
      <c r="U519" s="85"/>
      <c r="V519" s="85"/>
      <c r="W519" s="85"/>
      <c r="X519" s="89" t="s">
        <v>1124</v>
      </c>
      <c r="Y519" s="79"/>
      <c r="Z519" s="79"/>
      <c r="AA519" s="94"/>
      <c r="AB519" s="79" t="s">
        <v>1124</v>
      </c>
      <c r="AC519" s="85"/>
      <c r="AD519" s="85"/>
      <c r="AE519" s="85"/>
      <c r="AF519" s="85"/>
      <c r="AG519" s="85" t="s">
        <v>1124</v>
      </c>
      <c r="AH519" s="85"/>
      <c r="AI519" s="85"/>
      <c r="AJ519" s="85"/>
      <c r="AK519" s="85"/>
      <c r="AL519" s="85"/>
      <c r="AM519" s="85"/>
      <c r="AN519" s="85"/>
      <c r="AO519" s="85"/>
      <c r="AP519" s="85"/>
      <c r="AQ519" s="85"/>
      <c r="AR519" s="85" t="s">
        <v>1124</v>
      </c>
      <c r="AS519" s="85"/>
      <c r="AT519" s="85"/>
      <c r="AU519" s="85"/>
      <c r="AV519" s="85"/>
      <c r="AW519" s="85"/>
      <c r="AX519" s="85"/>
      <c r="AY519" s="85"/>
      <c r="AZ519" s="85"/>
      <c r="BA519" s="85"/>
      <c r="BB519" s="89"/>
      <c r="BC519" s="89" t="s">
        <v>1124</v>
      </c>
      <c r="BD519" s="37"/>
      <c r="BE519" s="37"/>
      <c r="BF519" s="279"/>
      <c r="BG519" s="37"/>
      <c r="BH519" s="37"/>
      <c r="BI519" s="37"/>
      <c r="BJ519" s="283"/>
      <c r="BK519" s="161"/>
      <c r="BL519" s="294"/>
      <c r="BM519"/>
      <c r="BN519"/>
      <c r="BO519"/>
      <c r="BP519"/>
      <c r="BQ519"/>
      <c r="BR519"/>
      <c r="BS519"/>
      <c r="BT519"/>
      <c r="BU519"/>
      <c r="BV519"/>
      <c r="BW519"/>
      <c r="BX519"/>
      <c r="BY519"/>
      <c r="BZ519"/>
      <c r="CA519"/>
      <c r="CB519"/>
      <c r="CC519"/>
      <c r="CD519"/>
      <c r="CE519"/>
      <c r="CF519"/>
      <c r="CG519"/>
      <c r="CH519"/>
      <c r="CI519"/>
      <c r="CJ519"/>
    </row>
    <row r="520" spans="1:88" s="32" customFormat="1" ht="15" customHeight="1" x14ac:dyDescent="0.35">
      <c r="A520" s="473"/>
      <c r="B520" s="313">
        <v>71005</v>
      </c>
      <c r="C520" s="8" t="s">
        <v>704</v>
      </c>
      <c r="D520" s="18">
        <v>16</v>
      </c>
      <c r="E520" s="251"/>
      <c r="F520" s="82"/>
      <c r="G520" s="79"/>
      <c r="H520" s="90"/>
      <c r="I520" s="85"/>
      <c r="J520" s="85"/>
      <c r="K520" s="85"/>
      <c r="L520" s="85"/>
      <c r="M520" s="85"/>
      <c r="N520" s="85"/>
      <c r="O520" s="85"/>
      <c r="P520" s="85"/>
      <c r="Q520" s="85"/>
      <c r="R520" s="85"/>
      <c r="S520" s="89"/>
      <c r="T520" s="89" t="s">
        <v>1124</v>
      </c>
      <c r="U520" s="85"/>
      <c r="V520" s="85"/>
      <c r="W520" s="85"/>
      <c r="X520" s="89" t="s">
        <v>1124</v>
      </c>
      <c r="Y520" s="79"/>
      <c r="Z520" s="79"/>
      <c r="AA520" s="94"/>
      <c r="AB520" s="79" t="s">
        <v>1124</v>
      </c>
      <c r="AC520" s="85"/>
      <c r="AD520" s="85"/>
      <c r="AE520" s="85"/>
      <c r="AF520" s="85"/>
      <c r="AG520" s="85" t="s">
        <v>1124</v>
      </c>
      <c r="AH520" s="85"/>
      <c r="AI520" s="85"/>
      <c r="AJ520" s="85"/>
      <c r="AK520" s="85"/>
      <c r="AL520" s="85"/>
      <c r="AM520" s="85"/>
      <c r="AN520" s="85"/>
      <c r="AO520" s="85"/>
      <c r="AP520" s="85"/>
      <c r="AQ520" s="85"/>
      <c r="AR520" s="85" t="s">
        <v>1124</v>
      </c>
      <c r="AS520" s="85"/>
      <c r="AT520" s="85"/>
      <c r="AU520" s="85"/>
      <c r="AV520" s="85"/>
      <c r="AW520" s="85"/>
      <c r="AX520" s="85"/>
      <c r="AY520" s="85"/>
      <c r="AZ520" s="85"/>
      <c r="BA520" s="85"/>
      <c r="BB520" s="89"/>
      <c r="BC520" s="89" t="s">
        <v>1124</v>
      </c>
      <c r="BD520" s="37"/>
      <c r="BE520" s="37"/>
      <c r="BF520" s="279"/>
      <c r="BG520" s="37"/>
      <c r="BH520" s="37"/>
      <c r="BI520" s="37"/>
      <c r="BJ520" s="283"/>
      <c r="BK520" s="161"/>
      <c r="BL520" s="294"/>
      <c r="BM520"/>
      <c r="BN520"/>
      <c r="BO520"/>
      <c r="BP520"/>
      <c r="BQ520"/>
      <c r="BR520"/>
      <c r="BS520"/>
      <c r="BT520"/>
      <c r="BU520"/>
      <c r="BV520"/>
      <c r="BW520"/>
      <c r="BX520"/>
      <c r="BY520"/>
      <c r="BZ520"/>
      <c r="CA520"/>
      <c r="CB520"/>
      <c r="CC520"/>
      <c r="CD520"/>
      <c r="CE520"/>
      <c r="CF520"/>
      <c r="CG520"/>
      <c r="CH520"/>
      <c r="CI520"/>
      <c r="CJ520"/>
    </row>
    <row r="521" spans="1:88" s="32" customFormat="1" ht="15" customHeight="1" x14ac:dyDescent="0.35">
      <c r="A521" s="473"/>
      <c r="B521" s="313">
        <v>13025</v>
      </c>
      <c r="C521" s="8" t="s">
        <v>45</v>
      </c>
      <c r="D521" s="18">
        <v>1</v>
      </c>
      <c r="E521" s="251">
        <v>480</v>
      </c>
      <c r="F521" s="82">
        <v>1.8914027149321266</v>
      </c>
      <c r="G521" s="79">
        <v>907.87330316742077</v>
      </c>
      <c r="H521" s="90">
        <v>15.959</v>
      </c>
      <c r="I521" s="85">
        <v>14.667999999999999</v>
      </c>
      <c r="J521" s="85">
        <v>16.657</v>
      </c>
      <c r="K521" s="85">
        <v>14.426</v>
      </c>
      <c r="L521" s="85">
        <v>13.853</v>
      </c>
      <c r="M521" s="85">
        <v>13.464</v>
      </c>
      <c r="N521" s="85">
        <v>16.07</v>
      </c>
      <c r="O521" s="85">
        <v>17.79</v>
      </c>
      <c r="P521" s="85">
        <v>13.544499999999999</v>
      </c>
      <c r="Q521" s="85">
        <v>12.967000000000001</v>
      </c>
      <c r="R521" s="85">
        <v>12.5565</v>
      </c>
      <c r="S521" s="89">
        <v>11.266999999999999</v>
      </c>
      <c r="T521" s="89">
        <v>173.22200000000001</v>
      </c>
      <c r="U521" s="85">
        <v>0</v>
      </c>
      <c r="V521" s="85">
        <v>173.22200000000001</v>
      </c>
      <c r="W521" s="85">
        <v>0</v>
      </c>
      <c r="X521" s="89">
        <v>173.22200000000001</v>
      </c>
      <c r="Y521" s="79">
        <v>0</v>
      </c>
      <c r="Z521" s="79">
        <v>1</v>
      </c>
      <c r="AA521" s="94">
        <v>0</v>
      </c>
      <c r="AB521" s="79">
        <v>1</v>
      </c>
      <c r="AC521" s="85">
        <v>109.11099029126213</v>
      </c>
      <c r="AD521" s="85">
        <v>44.765064708737853</v>
      </c>
      <c r="AE521" s="85">
        <v>19.345945000000025</v>
      </c>
      <c r="AF521" s="85">
        <v>0</v>
      </c>
      <c r="AG521" s="85">
        <v>173.22200000000001</v>
      </c>
      <c r="AH521" s="85">
        <v>0</v>
      </c>
      <c r="AI521" s="85">
        <v>0</v>
      </c>
      <c r="AJ521" s="85">
        <v>0</v>
      </c>
      <c r="AK521" s="85">
        <v>0</v>
      </c>
      <c r="AL521" s="85">
        <v>0</v>
      </c>
      <c r="AM521" s="85">
        <v>0</v>
      </c>
      <c r="AN521" s="85">
        <v>0</v>
      </c>
      <c r="AO521" s="85">
        <v>0</v>
      </c>
      <c r="AP521" s="85">
        <v>0</v>
      </c>
      <c r="AQ521" s="85">
        <v>0</v>
      </c>
      <c r="AR521" s="85">
        <v>0</v>
      </c>
      <c r="AS521" s="85">
        <v>0</v>
      </c>
      <c r="AT521" s="85">
        <v>0</v>
      </c>
      <c r="AU521" s="85">
        <v>0</v>
      </c>
      <c r="AV521" s="85">
        <v>0</v>
      </c>
      <c r="AW521" s="85">
        <v>0</v>
      </c>
      <c r="AX521" s="85">
        <v>0</v>
      </c>
      <c r="AY521" s="85">
        <v>173.22200000000001</v>
      </c>
      <c r="AZ521" s="85">
        <v>0</v>
      </c>
      <c r="BA521" s="85">
        <v>0</v>
      </c>
      <c r="BB521" s="89">
        <v>0</v>
      </c>
      <c r="BC521" s="89">
        <v>173.22200000000001</v>
      </c>
      <c r="BD521" s="37">
        <v>0</v>
      </c>
      <c r="BE521" s="37">
        <v>0</v>
      </c>
      <c r="BF521" s="279">
        <v>32704</v>
      </c>
      <c r="BG521" s="37">
        <v>49134</v>
      </c>
      <c r="BH521" s="37">
        <v>20358</v>
      </c>
      <c r="BI521" s="37">
        <v>15811</v>
      </c>
      <c r="BJ521" s="283">
        <v>118007</v>
      </c>
      <c r="BK521" s="161"/>
      <c r="BL521" s="294"/>
      <c r="BM521"/>
      <c r="BN521"/>
      <c r="BO521"/>
      <c r="BP521"/>
      <c r="BQ521"/>
      <c r="BR521"/>
      <c r="BS521"/>
      <c r="BT521"/>
      <c r="BU521"/>
      <c r="BV521"/>
      <c r="BW521"/>
      <c r="BX521"/>
      <c r="BY521"/>
      <c r="BZ521"/>
      <c r="CA521"/>
      <c r="CB521"/>
      <c r="CC521"/>
      <c r="CD521"/>
      <c r="CE521"/>
      <c r="CF521"/>
      <c r="CG521"/>
      <c r="CH521"/>
      <c r="CI521"/>
      <c r="CJ521"/>
    </row>
    <row r="522" spans="1:88" s="32" customFormat="1" ht="15" customHeight="1" x14ac:dyDescent="0.35">
      <c r="A522" s="473"/>
      <c r="B522" s="313">
        <v>12072</v>
      </c>
      <c r="C522" s="8" t="s">
        <v>39</v>
      </c>
      <c r="D522" s="18">
        <v>1</v>
      </c>
      <c r="E522" s="251">
        <v>9155</v>
      </c>
      <c r="F522" s="82">
        <v>2.2999999999999998</v>
      </c>
      <c r="G522" s="79">
        <v>21056.5</v>
      </c>
      <c r="H522" s="90">
        <v>309.27699999999999</v>
      </c>
      <c r="I522" s="85">
        <v>292.18299999999999</v>
      </c>
      <c r="J522" s="85">
        <v>320.67500000000001</v>
      </c>
      <c r="K522" s="85">
        <v>314.61099999999999</v>
      </c>
      <c r="L522" s="85">
        <v>327.84699999999998</v>
      </c>
      <c r="M522" s="85">
        <v>324.86700000000002</v>
      </c>
      <c r="N522" s="85">
        <v>362.62799999999999</v>
      </c>
      <c r="O522" s="85">
        <v>349.78100000000001</v>
      </c>
      <c r="P522" s="85">
        <v>320.06200000000001</v>
      </c>
      <c r="Q522" s="85">
        <v>320.476</v>
      </c>
      <c r="R522" s="85">
        <v>307.59300000000002</v>
      </c>
      <c r="S522" s="89">
        <v>324.74599999999998</v>
      </c>
      <c r="T522" s="89">
        <v>3874.7460000000001</v>
      </c>
      <c r="U522" s="85">
        <v>2153.288</v>
      </c>
      <c r="V522" s="85">
        <v>0</v>
      </c>
      <c r="W522" s="85">
        <v>1721.4580000000001</v>
      </c>
      <c r="X522" s="89">
        <v>3874.7460000000001</v>
      </c>
      <c r="Y522" s="79">
        <v>1</v>
      </c>
      <c r="Z522" s="79">
        <v>0</v>
      </c>
      <c r="AA522" s="94">
        <v>1</v>
      </c>
      <c r="AB522" s="79">
        <v>2</v>
      </c>
      <c r="AC522" s="85">
        <v>2001.2829999999999</v>
      </c>
      <c r="AD522" s="85">
        <v>1653.9683359693881</v>
      </c>
      <c r="AE522" s="85">
        <v>208.6946640306121</v>
      </c>
      <c r="AF522" s="85">
        <v>10.8</v>
      </c>
      <c r="AG522" s="85">
        <v>3874.7460000000001</v>
      </c>
      <c r="AH522" s="85">
        <v>2153.288</v>
      </c>
      <c r="AI522" s="85">
        <v>0</v>
      </c>
      <c r="AJ522" s="85">
        <v>0</v>
      </c>
      <c r="AK522" s="85">
        <v>0</v>
      </c>
      <c r="AL522" s="85">
        <v>0</v>
      </c>
      <c r="AM522" s="85">
        <v>0</v>
      </c>
      <c r="AN522" s="85">
        <v>0</v>
      </c>
      <c r="AO522" s="85">
        <v>0</v>
      </c>
      <c r="AP522" s="85">
        <v>0</v>
      </c>
      <c r="AQ522" s="85">
        <v>0</v>
      </c>
      <c r="AR522" s="85">
        <v>2153.288</v>
      </c>
      <c r="AS522" s="85">
        <v>1721.4580000000001</v>
      </c>
      <c r="AT522" s="85">
        <v>0</v>
      </c>
      <c r="AU522" s="85">
        <v>0</v>
      </c>
      <c r="AV522" s="85">
        <v>0</v>
      </c>
      <c r="AW522" s="85">
        <v>0</v>
      </c>
      <c r="AX522" s="85">
        <v>0</v>
      </c>
      <c r="AY522" s="85">
        <v>0</v>
      </c>
      <c r="AZ522" s="85">
        <v>0</v>
      </c>
      <c r="BA522" s="85">
        <v>0</v>
      </c>
      <c r="BB522" s="89">
        <v>0</v>
      </c>
      <c r="BC522" s="89">
        <v>1721.4580000000001</v>
      </c>
      <c r="BD522" s="37">
        <v>0</v>
      </c>
      <c r="BE522" s="37">
        <v>0</v>
      </c>
      <c r="BF522" s="279">
        <v>332083</v>
      </c>
      <c r="BG522" s="37">
        <v>318101</v>
      </c>
      <c r="BH522" s="37">
        <v>166024</v>
      </c>
      <c r="BI522" s="37">
        <v>0</v>
      </c>
      <c r="BJ522" s="283">
        <v>816208</v>
      </c>
      <c r="BK522" s="161" t="s">
        <v>2514</v>
      </c>
      <c r="BL522" s="294"/>
      <c r="BM522"/>
      <c r="BN522"/>
      <c r="BO522"/>
      <c r="BP522"/>
      <c r="BQ522"/>
      <c r="BR522"/>
      <c r="BS522"/>
      <c r="BT522"/>
      <c r="BU522"/>
      <c r="BV522"/>
      <c r="BW522"/>
      <c r="BX522"/>
      <c r="BY522"/>
      <c r="BZ522"/>
      <c r="CA522"/>
      <c r="CB522"/>
      <c r="CC522"/>
      <c r="CD522"/>
      <c r="CE522"/>
      <c r="CF522"/>
      <c r="CG522"/>
      <c r="CH522"/>
      <c r="CI522"/>
      <c r="CJ522"/>
    </row>
    <row r="523" spans="1:88" s="32" customFormat="1" ht="15" customHeight="1" x14ac:dyDescent="0.35">
      <c r="A523" s="473"/>
      <c r="B523" s="313">
        <v>94215</v>
      </c>
      <c r="C523" s="8" t="s">
        <v>975</v>
      </c>
      <c r="D523" s="18">
        <v>2</v>
      </c>
      <c r="E523" s="251"/>
      <c r="F523" s="82"/>
      <c r="G523" s="79"/>
      <c r="H523" s="90"/>
      <c r="I523" s="85"/>
      <c r="J523" s="85"/>
      <c r="K523" s="85"/>
      <c r="L523" s="85"/>
      <c r="M523" s="85"/>
      <c r="N523" s="85"/>
      <c r="O523" s="85"/>
      <c r="P523" s="85"/>
      <c r="Q523" s="85"/>
      <c r="R523" s="85"/>
      <c r="S523" s="89"/>
      <c r="T523" s="89" t="s">
        <v>1124</v>
      </c>
      <c r="U523" s="85"/>
      <c r="V523" s="85"/>
      <c r="W523" s="85"/>
      <c r="X523" s="89" t="s">
        <v>1124</v>
      </c>
      <c r="Y523" s="79"/>
      <c r="Z523" s="79"/>
      <c r="AA523" s="94"/>
      <c r="AB523" s="79" t="s">
        <v>1124</v>
      </c>
      <c r="AC523" s="85"/>
      <c r="AD523" s="85"/>
      <c r="AE523" s="85"/>
      <c r="AF523" s="85"/>
      <c r="AG523" s="85" t="s">
        <v>1124</v>
      </c>
      <c r="AH523" s="85"/>
      <c r="AI523" s="85"/>
      <c r="AJ523" s="85"/>
      <c r="AK523" s="85"/>
      <c r="AL523" s="85"/>
      <c r="AM523" s="85"/>
      <c r="AN523" s="85"/>
      <c r="AO523" s="85"/>
      <c r="AP523" s="85"/>
      <c r="AQ523" s="85"/>
      <c r="AR523" s="85" t="s">
        <v>1124</v>
      </c>
      <c r="AS523" s="85"/>
      <c r="AT523" s="85"/>
      <c r="AU523" s="85"/>
      <c r="AV523" s="85"/>
      <c r="AW523" s="85"/>
      <c r="AX523" s="85"/>
      <c r="AY523" s="85"/>
      <c r="AZ523" s="85"/>
      <c r="BA523" s="85"/>
      <c r="BB523" s="89"/>
      <c r="BC523" s="89" t="s">
        <v>1124</v>
      </c>
      <c r="BD523" s="37"/>
      <c r="BE523" s="37"/>
      <c r="BF523" s="279"/>
      <c r="BG523" s="37"/>
      <c r="BH523" s="37"/>
      <c r="BI523" s="37"/>
      <c r="BJ523" s="283"/>
      <c r="BK523" s="161"/>
      <c r="BL523" s="294"/>
      <c r="BM523"/>
      <c r="BN523"/>
      <c r="BO523"/>
      <c r="BP523"/>
      <c r="BQ523"/>
      <c r="BR523"/>
      <c r="BS523"/>
      <c r="BT523"/>
      <c r="BU523"/>
      <c r="BV523"/>
      <c r="BW523"/>
      <c r="BX523"/>
      <c r="BY523"/>
      <c r="BZ523"/>
      <c r="CA523"/>
      <c r="CB523"/>
      <c r="CC523"/>
      <c r="CD523"/>
      <c r="CE523"/>
      <c r="CF523"/>
      <c r="CG523"/>
      <c r="CH523"/>
      <c r="CI523"/>
      <c r="CJ523"/>
    </row>
    <row r="524" spans="1:88" s="32" customFormat="1" ht="15" customHeight="1" x14ac:dyDescent="0.35">
      <c r="A524" s="473"/>
      <c r="B524" s="313">
        <v>89010</v>
      </c>
      <c r="C524" s="8" t="s">
        <v>929</v>
      </c>
      <c r="D524" s="18">
        <v>8</v>
      </c>
      <c r="E524" s="251"/>
      <c r="F524" s="82"/>
      <c r="G524" s="79"/>
      <c r="H524" s="90"/>
      <c r="I524" s="85"/>
      <c r="J524" s="85"/>
      <c r="K524" s="85"/>
      <c r="L524" s="85"/>
      <c r="M524" s="85"/>
      <c r="N524" s="85"/>
      <c r="O524" s="85"/>
      <c r="P524" s="85"/>
      <c r="Q524" s="85"/>
      <c r="R524" s="85"/>
      <c r="S524" s="89"/>
      <c r="T524" s="89" t="s">
        <v>1124</v>
      </c>
      <c r="U524" s="85"/>
      <c r="V524" s="85"/>
      <c r="W524" s="85"/>
      <c r="X524" s="89" t="s">
        <v>1124</v>
      </c>
      <c r="Y524" s="79"/>
      <c r="Z524" s="79"/>
      <c r="AA524" s="94"/>
      <c r="AB524" s="79" t="s">
        <v>1124</v>
      </c>
      <c r="AC524" s="85"/>
      <c r="AD524" s="85"/>
      <c r="AE524" s="85"/>
      <c r="AF524" s="85"/>
      <c r="AG524" s="85" t="s">
        <v>1124</v>
      </c>
      <c r="AH524" s="85"/>
      <c r="AI524" s="85"/>
      <c r="AJ524" s="85"/>
      <c r="AK524" s="85"/>
      <c r="AL524" s="85"/>
      <c r="AM524" s="85"/>
      <c r="AN524" s="85"/>
      <c r="AO524" s="85"/>
      <c r="AP524" s="85"/>
      <c r="AQ524" s="85"/>
      <c r="AR524" s="85" t="s">
        <v>1124</v>
      </c>
      <c r="AS524" s="85"/>
      <c r="AT524" s="85"/>
      <c r="AU524" s="85"/>
      <c r="AV524" s="85"/>
      <c r="AW524" s="85"/>
      <c r="AX524" s="85"/>
      <c r="AY524" s="85"/>
      <c r="AZ524" s="85"/>
      <c r="BA524" s="85"/>
      <c r="BB524" s="89"/>
      <c r="BC524" s="89" t="s">
        <v>1124</v>
      </c>
      <c r="BD524" s="37"/>
      <c r="BE524" s="37"/>
      <c r="BF524" s="279"/>
      <c r="BG524" s="37"/>
      <c r="BH524" s="37"/>
      <c r="BI524" s="37"/>
      <c r="BJ524" s="283"/>
      <c r="BK524" s="161"/>
      <c r="BL524" s="294"/>
      <c r="BM524"/>
      <c r="BN524"/>
      <c r="BO524"/>
      <c r="BP524"/>
      <c r="BQ524"/>
      <c r="BR524"/>
      <c r="BS524"/>
      <c r="BT524"/>
      <c r="BU524"/>
      <c r="BV524"/>
      <c r="BW524"/>
      <c r="BX524"/>
      <c r="BY524"/>
      <c r="BZ524"/>
      <c r="CA524"/>
      <c r="CB524"/>
      <c r="CC524"/>
      <c r="CD524"/>
      <c r="CE524"/>
      <c r="CF524"/>
      <c r="CG524"/>
      <c r="CH524"/>
      <c r="CI524"/>
      <c r="CJ524"/>
    </row>
    <row r="525" spans="1:88" s="32" customFormat="1" ht="15" customHeight="1" x14ac:dyDescent="0.35">
      <c r="A525" s="473"/>
      <c r="B525" s="313">
        <v>14065</v>
      </c>
      <c r="C525" s="8" t="s">
        <v>71</v>
      </c>
      <c r="D525" s="18">
        <v>1</v>
      </c>
      <c r="E525" s="251">
        <v>277</v>
      </c>
      <c r="F525" s="82">
        <v>2.0505263157894738</v>
      </c>
      <c r="G525" s="79">
        <v>567.99578947368423</v>
      </c>
      <c r="H525" s="90">
        <v>6.3630000000000004</v>
      </c>
      <c r="I525" s="85">
        <v>6.0170000000000003</v>
      </c>
      <c r="J525" s="85">
        <v>6.7919999999999998</v>
      </c>
      <c r="K525" s="85">
        <v>6.7670000000000003</v>
      </c>
      <c r="L525" s="85">
        <v>8.3450000000000006</v>
      </c>
      <c r="M525" s="85">
        <v>9.3689999999999998</v>
      </c>
      <c r="N525" s="85">
        <v>12.234999999999999</v>
      </c>
      <c r="O525" s="85">
        <v>11.507999999999999</v>
      </c>
      <c r="P525" s="85">
        <v>9.1240000000000006</v>
      </c>
      <c r="Q525" s="85">
        <v>6.4749999999999996</v>
      </c>
      <c r="R525" s="85">
        <v>6.5979999999999999</v>
      </c>
      <c r="S525" s="89">
        <v>7.2869999999999999</v>
      </c>
      <c r="T525" s="89">
        <v>96.88</v>
      </c>
      <c r="U525" s="85">
        <v>96.88</v>
      </c>
      <c r="V525" s="85">
        <v>0</v>
      </c>
      <c r="W525" s="85">
        <v>0</v>
      </c>
      <c r="X525" s="89">
        <v>96.88</v>
      </c>
      <c r="Y525" s="79">
        <v>1</v>
      </c>
      <c r="Z525" s="79">
        <v>0</v>
      </c>
      <c r="AA525" s="94">
        <v>0</v>
      </c>
      <c r="AB525" s="79">
        <v>1</v>
      </c>
      <c r="AC525" s="85">
        <v>40.640999999999998</v>
      </c>
      <c r="AD525" s="85">
        <v>53.979069696969688</v>
      </c>
      <c r="AE525" s="85">
        <v>2.2599303030303086</v>
      </c>
      <c r="AF525" s="85">
        <v>0</v>
      </c>
      <c r="AG525" s="85">
        <v>96.88</v>
      </c>
      <c r="AH525" s="85">
        <v>96.88</v>
      </c>
      <c r="AI525" s="85">
        <v>0</v>
      </c>
      <c r="AJ525" s="85">
        <v>0</v>
      </c>
      <c r="AK525" s="85">
        <v>0</v>
      </c>
      <c r="AL525" s="85">
        <v>0</v>
      </c>
      <c r="AM525" s="85">
        <v>0</v>
      </c>
      <c r="AN525" s="85">
        <v>0</v>
      </c>
      <c r="AO525" s="85">
        <v>0</v>
      </c>
      <c r="AP525" s="85">
        <v>0</v>
      </c>
      <c r="AQ525" s="85">
        <v>0</v>
      </c>
      <c r="AR525" s="85">
        <v>96.88</v>
      </c>
      <c r="AS525" s="85">
        <v>0</v>
      </c>
      <c r="AT525" s="85">
        <v>0</v>
      </c>
      <c r="AU525" s="85">
        <v>0</v>
      </c>
      <c r="AV525" s="85">
        <v>0</v>
      </c>
      <c r="AW525" s="85">
        <v>0</v>
      </c>
      <c r="AX525" s="85">
        <v>0</v>
      </c>
      <c r="AY525" s="85">
        <v>0</v>
      </c>
      <c r="AZ525" s="85">
        <v>0</v>
      </c>
      <c r="BA525" s="85">
        <v>0</v>
      </c>
      <c r="BB525" s="89">
        <v>0</v>
      </c>
      <c r="BC525" s="89">
        <v>0</v>
      </c>
      <c r="BD525" s="37">
        <v>0</v>
      </c>
      <c r="BE525" s="37">
        <v>0</v>
      </c>
      <c r="BF525" s="279">
        <v>27484</v>
      </c>
      <c r="BG525" s="37">
        <v>1581</v>
      </c>
      <c r="BH525" s="37">
        <v>22795</v>
      </c>
      <c r="BI525" s="37">
        <v>104383</v>
      </c>
      <c r="BJ525" s="283">
        <v>156243</v>
      </c>
      <c r="BK525" s="161"/>
      <c r="BL525" s="294"/>
      <c r="BM525"/>
      <c r="BN525"/>
      <c r="BO525"/>
      <c r="BP525"/>
      <c r="BQ525"/>
      <c r="BR525"/>
      <c r="BS525"/>
      <c r="BT525"/>
      <c r="BU525"/>
      <c r="BV525"/>
      <c r="BW525"/>
      <c r="BX525"/>
      <c r="BY525"/>
      <c r="BZ525"/>
      <c r="CA525"/>
      <c r="CB525"/>
      <c r="CC525"/>
      <c r="CD525"/>
      <c r="CE525"/>
      <c r="CF525"/>
      <c r="CG525"/>
      <c r="CH525"/>
      <c r="CI525"/>
      <c r="CJ525"/>
    </row>
    <row r="526" spans="1:88" s="32" customFormat="1" ht="15" customHeight="1" x14ac:dyDescent="0.35">
      <c r="A526" s="473"/>
      <c r="B526" s="313">
        <v>79037</v>
      </c>
      <c r="C526" s="8" t="s">
        <v>792</v>
      </c>
      <c r="D526" s="18">
        <v>15</v>
      </c>
      <c r="E526" s="251">
        <v>1502</v>
      </c>
      <c r="F526" s="82">
        <v>1.7995119967466451</v>
      </c>
      <c r="G526" s="79">
        <v>2702.8670191134611</v>
      </c>
      <c r="H526" s="90">
        <v>38.521000000000001</v>
      </c>
      <c r="I526" s="85">
        <v>35.552999999999997</v>
      </c>
      <c r="J526" s="85">
        <v>43.454000000000001</v>
      </c>
      <c r="K526" s="85">
        <v>43.99</v>
      </c>
      <c r="L526" s="85">
        <v>48.457000000000001</v>
      </c>
      <c r="M526" s="85">
        <v>49.164999999999999</v>
      </c>
      <c r="N526" s="85">
        <v>54.402999999999999</v>
      </c>
      <c r="O526" s="85">
        <v>51.103999999999999</v>
      </c>
      <c r="P526" s="85">
        <v>44.918999999999997</v>
      </c>
      <c r="Q526" s="85">
        <v>40.712000000000003</v>
      </c>
      <c r="R526" s="85">
        <v>39.792999999999999</v>
      </c>
      <c r="S526" s="89">
        <v>39.834000000000003</v>
      </c>
      <c r="T526" s="89">
        <v>529.90499999999997</v>
      </c>
      <c r="U526" s="85">
        <v>0</v>
      </c>
      <c r="V526" s="85">
        <v>529.90499999999997</v>
      </c>
      <c r="W526" s="85">
        <v>0</v>
      </c>
      <c r="X526" s="89">
        <v>529.90499999999997</v>
      </c>
      <c r="Y526" s="79">
        <v>0</v>
      </c>
      <c r="Z526" s="79">
        <v>2</v>
      </c>
      <c r="AA526" s="94">
        <v>0</v>
      </c>
      <c r="AB526" s="79">
        <v>2</v>
      </c>
      <c r="AC526" s="85">
        <v>281.20149502809329</v>
      </c>
      <c r="AD526" s="85">
        <v>32.12476897190669</v>
      </c>
      <c r="AE526" s="85">
        <v>216.57873599999999</v>
      </c>
      <c r="AF526" s="85">
        <v>0</v>
      </c>
      <c r="AG526" s="85">
        <v>529.90499999999997</v>
      </c>
      <c r="AH526" s="85">
        <v>0</v>
      </c>
      <c r="AI526" s="85">
        <v>0</v>
      </c>
      <c r="AJ526" s="85">
        <v>0</v>
      </c>
      <c r="AK526" s="85">
        <v>0</v>
      </c>
      <c r="AL526" s="85">
        <v>0</v>
      </c>
      <c r="AM526" s="85">
        <v>0</v>
      </c>
      <c r="AN526" s="85">
        <v>0</v>
      </c>
      <c r="AO526" s="85">
        <v>0</v>
      </c>
      <c r="AP526" s="85">
        <v>0</v>
      </c>
      <c r="AQ526" s="85">
        <v>0</v>
      </c>
      <c r="AR526" s="85">
        <v>0</v>
      </c>
      <c r="AS526" s="85">
        <v>0</v>
      </c>
      <c r="AT526" s="85">
        <v>0</v>
      </c>
      <c r="AU526" s="85">
        <v>374.47199999999998</v>
      </c>
      <c r="AV526" s="85">
        <v>0</v>
      </c>
      <c r="AW526" s="85">
        <v>0</v>
      </c>
      <c r="AX526" s="85">
        <v>0</v>
      </c>
      <c r="AY526" s="85">
        <v>155.43299999999999</v>
      </c>
      <c r="AZ526" s="85">
        <v>0</v>
      </c>
      <c r="BA526" s="85">
        <v>0</v>
      </c>
      <c r="BB526" s="89">
        <v>0</v>
      </c>
      <c r="BC526" s="89">
        <v>529.90499999999997</v>
      </c>
      <c r="BD526" s="37">
        <v>1013439</v>
      </c>
      <c r="BE526" s="37">
        <v>17626</v>
      </c>
      <c r="BF526" s="279">
        <v>230860</v>
      </c>
      <c r="BG526" s="37">
        <v>66270</v>
      </c>
      <c r="BH526" s="37">
        <v>56700</v>
      </c>
      <c r="BI526" s="37">
        <v>0</v>
      </c>
      <c r="BJ526" s="283">
        <v>353830</v>
      </c>
      <c r="BK526" s="161"/>
      <c r="BL526" s="294"/>
      <c r="BM526"/>
      <c r="BN526"/>
      <c r="BO526"/>
      <c r="BP526"/>
      <c r="BQ526"/>
      <c r="BR526"/>
      <c r="BS526"/>
      <c r="BT526"/>
      <c r="BU526"/>
      <c r="BV526"/>
      <c r="BW526"/>
      <c r="BX526"/>
      <c r="BY526"/>
      <c r="BZ526"/>
      <c r="CA526"/>
      <c r="CB526"/>
      <c r="CC526"/>
      <c r="CD526"/>
      <c r="CE526"/>
      <c r="CF526"/>
      <c r="CG526"/>
      <c r="CH526"/>
      <c r="CI526"/>
      <c r="CJ526"/>
    </row>
    <row r="527" spans="1:88" s="32" customFormat="1" ht="15" customHeight="1" x14ac:dyDescent="0.35">
      <c r="A527" s="473"/>
      <c r="B527" s="313">
        <v>98050</v>
      </c>
      <c r="C527" s="8" t="s">
        <v>1017</v>
      </c>
      <c r="D527" s="18">
        <v>9</v>
      </c>
      <c r="E527" s="251"/>
      <c r="F527" s="82"/>
      <c r="G527" s="79"/>
      <c r="H527" s="90"/>
      <c r="I527" s="85"/>
      <c r="J527" s="85"/>
      <c r="K527" s="85"/>
      <c r="L527" s="85"/>
      <c r="M527" s="85"/>
      <c r="N527" s="85"/>
      <c r="O527" s="85"/>
      <c r="P527" s="85"/>
      <c r="Q527" s="85"/>
      <c r="R527" s="85"/>
      <c r="S527" s="89"/>
      <c r="T527" s="89" t="s">
        <v>1124</v>
      </c>
      <c r="U527" s="85"/>
      <c r="V527" s="85"/>
      <c r="W527" s="85"/>
      <c r="X527" s="89" t="s">
        <v>1124</v>
      </c>
      <c r="Y527" s="79"/>
      <c r="Z527" s="79"/>
      <c r="AA527" s="94"/>
      <c r="AB527" s="79" t="s">
        <v>1124</v>
      </c>
      <c r="AC527" s="85"/>
      <c r="AD527" s="85"/>
      <c r="AE527" s="85"/>
      <c r="AF527" s="85"/>
      <c r="AG527" s="85" t="s">
        <v>1124</v>
      </c>
      <c r="AH527" s="85"/>
      <c r="AI527" s="85"/>
      <c r="AJ527" s="85"/>
      <c r="AK527" s="85"/>
      <c r="AL527" s="85"/>
      <c r="AM527" s="85"/>
      <c r="AN527" s="85"/>
      <c r="AO527" s="85"/>
      <c r="AP527" s="85"/>
      <c r="AQ527" s="85"/>
      <c r="AR527" s="85" t="s">
        <v>1124</v>
      </c>
      <c r="AS527" s="85"/>
      <c r="AT527" s="85"/>
      <c r="AU527" s="85"/>
      <c r="AV527" s="85"/>
      <c r="AW527" s="85"/>
      <c r="AX527" s="85"/>
      <c r="AY527" s="85"/>
      <c r="AZ527" s="85"/>
      <c r="BA527" s="85"/>
      <c r="BB527" s="89"/>
      <c r="BC527" s="89" t="s">
        <v>1124</v>
      </c>
      <c r="BD527" s="37"/>
      <c r="BE527" s="37"/>
      <c r="BF527" s="279"/>
      <c r="BG527" s="37"/>
      <c r="BH527" s="37"/>
      <c r="BI527" s="37"/>
      <c r="BJ527" s="283"/>
      <c r="BK527" s="161"/>
      <c r="BL527" s="294"/>
      <c r="BM527"/>
      <c r="BN527"/>
      <c r="BO527"/>
      <c r="BP527"/>
      <c r="BQ527"/>
      <c r="BR527"/>
      <c r="BS527"/>
      <c r="BT527"/>
      <c r="BU527"/>
      <c r="BV527"/>
      <c r="BW527"/>
      <c r="BX527"/>
      <c r="BY527"/>
      <c r="BZ527"/>
      <c r="CA527"/>
      <c r="CB527"/>
      <c r="CC527"/>
      <c r="CD527"/>
      <c r="CE527"/>
      <c r="CF527"/>
      <c r="CG527"/>
      <c r="CH527"/>
      <c r="CI527"/>
      <c r="CJ527"/>
    </row>
    <row r="528" spans="1:88" s="32" customFormat="1" ht="15" customHeight="1" x14ac:dyDescent="0.35">
      <c r="A528" s="473"/>
      <c r="B528" s="313">
        <v>91025</v>
      </c>
      <c r="C528" s="8" t="s">
        <v>941</v>
      </c>
      <c r="D528" s="18">
        <v>2</v>
      </c>
      <c r="E528" s="251">
        <v>4498</v>
      </c>
      <c r="F528" s="82">
        <v>2.168774531181858</v>
      </c>
      <c r="G528" s="79">
        <v>9755.1478412559973</v>
      </c>
      <c r="H528" s="90">
        <v>127.07599999999999</v>
      </c>
      <c r="I528" s="85">
        <v>119.16800000000001</v>
      </c>
      <c r="J528" s="85">
        <v>148.00899999999999</v>
      </c>
      <c r="K528" s="85">
        <v>131.49700000000001</v>
      </c>
      <c r="L528" s="85">
        <v>135.255</v>
      </c>
      <c r="M528" s="85">
        <v>135.786</v>
      </c>
      <c r="N528" s="85">
        <v>151.00299999999999</v>
      </c>
      <c r="O528" s="85">
        <v>141.637</v>
      </c>
      <c r="P528" s="85">
        <v>120.146</v>
      </c>
      <c r="Q528" s="85">
        <v>113.235</v>
      </c>
      <c r="R528" s="85">
        <v>120.504</v>
      </c>
      <c r="S528" s="89">
        <v>131.87</v>
      </c>
      <c r="T528" s="89">
        <v>1575.1859999999997</v>
      </c>
      <c r="U528" s="85">
        <v>1575.1859999999999</v>
      </c>
      <c r="V528" s="85">
        <v>0</v>
      </c>
      <c r="W528" s="85">
        <v>0</v>
      </c>
      <c r="X528" s="89">
        <v>1575.1859999999999</v>
      </c>
      <c r="Y528" s="79">
        <v>1</v>
      </c>
      <c r="Z528" s="79">
        <v>0</v>
      </c>
      <c r="AA528" s="94">
        <v>0</v>
      </c>
      <c r="AB528" s="79">
        <v>1</v>
      </c>
      <c r="AC528" s="85">
        <v>965.67200000000003</v>
      </c>
      <c r="AD528" s="85">
        <v>293.88799999999998</v>
      </c>
      <c r="AE528" s="85">
        <v>315.62599999999998</v>
      </c>
      <c r="AF528" s="85">
        <v>0</v>
      </c>
      <c r="AG528" s="85">
        <v>1575.1859999999999</v>
      </c>
      <c r="AH528" s="85">
        <v>1575.1859999999999</v>
      </c>
      <c r="AI528" s="85">
        <v>0</v>
      </c>
      <c r="AJ528" s="85">
        <v>0</v>
      </c>
      <c r="AK528" s="85">
        <v>0</v>
      </c>
      <c r="AL528" s="85">
        <v>0</v>
      </c>
      <c r="AM528" s="85">
        <v>0</v>
      </c>
      <c r="AN528" s="85">
        <v>0</v>
      </c>
      <c r="AO528" s="85">
        <v>0</v>
      </c>
      <c r="AP528" s="85">
        <v>0</v>
      </c>
      <c r="AQ528" s="85">
        <v>0</v>
      </c>
      <c r="AR528" s="85">
        <v>1575.1859999999999</v>
      </c>
      <c r="AS528" s="85">
        <v>0</v>
      </c>
      <c r="AT528" s="85">
        <v>0</v>
      </c>
      <c r="AU528" s="85">
        <v>0</v>
      </c>
      <c r="AV528" s="85">
        <v>0</v>
      </c>
      <c r="AW528" s="85">
        <v>0</v>
      </c>
      <c r="AX528" s="85">
        <v>0</v>
      </c>
      <c r="AY528" s="85">
        <v>0</v>
      </c>
      <c r="AZ528" s="85">
        <v>0</v>
      </c>
      <c r="BA528" s="85">
        <v>0</v>
      </c>
      <c r="BB528" s="89">
        <v>0</v>
      </c>
      <c r="BC528" s="89">
        <v>0</v>
      </c>
      <c r="BD528" s="37">
        <v>0</v>
      </c>
      <c r="BE528" s="37">
        <v>0</v>
      </c>
      <c r="BF528" s="279">
        <v>187181</v>
      </c>
      <c r="BG528" s="37">
        <v>212026</v>
      </c>
      <c r="BH528" s="37">
        <v>126741</v>
      </c>
      <c r="BI528" s="37">
        <v>0</v>
      </c>
      <c r="BJ528" s="283">
        <v>525948</v>
      </c>
      <c r="BK528" s="161"/>
      <c r="BL528" s="294"/>
      <c r="BM528"/>
      <c r="BN528"/>
      <c r="BO528"/>
      <c r="BP528"/>
      <c r="BQ528"/>
      <c r="BR528"/>
      <c r="BS528"/>
      <c r="BT528"/>
      <c r="BU528"/>
      <c r="BV528"/>
      <c r="BW528"/>
      <c r="BX528"/>
      <c r="BY528"/>
      <c r="BZ528"/>
      <c r="CA528"/>
      <c r="CB528"/>
      <c r="CC528"/>
      <c r="CD528"/>
      <c r="CE528"/>
      <c r="CF528"/>
      <c r="CG528"/>
      <c r="CH528"/>
      <c r="CI528"/>
      <c r="CJ528"/>
    </row>
    <row r="529" spans="1:88" s="32" customFormat="1" ht="15" customHeight="1" x14ac:dyDescent="0.35">
      <c r="A529" s="473"/>
      <c r="B529" s="313">
        <v>88010</v>
      </c>
      <c r="C529" s="8" t="s">
        <v>912</v>
      </c>
      <c r="D529" s="18">
        <v>8</v>
      </c>
      <c r="E529" s="251"/>
      <c r="F529" s="82"/>
      <c r="G529" s="79"/>
      <c r="H529" s="90"/>
      <c r="I529" s="85"/>
      <c r="J529" s="85"/>
      <c r="K529" s="85"/>
      <c r="L529" s="85"/>
      <c r="M529" s="85"/>
      <c r="N529" s="85"/>
      <c r="O529" s="85"/>
      <c r="P529" s="85"/>
      <c r="Q529" s="85"/>
      <c r="R529" s="85"/>
      <c r="S529" s="89"/>
      <c r="T529" s="89" t="s">
        <v>1124</v>
      </c>
      <c r="U529" s="85"/>
      <c r="V529" s="85"/>
      <c r="W529" s="85"/>
      <c r="X529" s="89" t="s">
        <v>1124</v>
      </c>
      <c r="Y529" s="79"/>
      <c r="Z529" s="79"/>
      <c r="AA529" s="94"/>
      <c r="AB529" s="79" t="s">
        <v>1124</v>
      </c>
      <c r="AC529" s="85"/>
      <c r="AD529" s="85"/>
      <c r="AE529" s="85"/>
      <c r="AF529" s="85"/>
      <c r="AG529" s="85" t="s">
        <v>1124</v>
      </c>
      <c r="AH529" s="85"/>
      <c r="AI529" s="85"/>
      <c r="AJ529" s="85"/>
      <c r="AK529" s="85"/>
      <c r="AL529" s="85"/>
      <c r="AM529" s="85"/>
      <c r="AN529" s="85"/>
      <c r="AO529" s="85"/>
      <c r="AP529" s="85"/>
      <c r="AQ529" s="85"/>
      <c r="AR529" s="85" t="s">
        <v>1124</v>
      </c>
      <c r="AS529" s="85"/>
      <c r="AT529" s="85"/>
      <c r="AU529" s="85"/>
      <c r="AV529" s="85"/>
      <c r="AW529" s="85"/>
      <c r="AX529" s="85"/>
      <c r="AY529" s="85"/>
      <c r="AZ529" s="85"/>
      <c r="BA529" s="85"/>
      <c r="BB529" s="89"/>
      <c r="BC529" s="89" t="s">
        <v>1124</v>
      </c>
      <c r="BD529" s="37"/>
      <c r="BE529" s="37"/>
      <c r="BF529" s="279"/>
      <c r="BG529" s="37"/>
      <c r="BH529" s="37"/>
      <c r="BI529" s="37"/>
      <c r="BJ529" s="283"/>
      <c r="BK529" s="161"/>
      <c r="BL529" s="294"/>
      <c r="BM529"/>
      <c r="BN529"/>
      <c r="BO529"/>
      <c r="BP529"/>
      <c r="BQ529"/>
      <c r="BR529"/>
      <c r="BS529"/>
      <c r="BT529"/>
      <c r="BU529"/>
      <c r="BV529"/>
      <c r="BW529"/>
      <c r="BX529"/>
      <c r="BY529"/>
      <c r="BZ529"/>
      <c r="CA529"/>
      <c r="CB529"/>
      <c r="CC529"/>
      <c r="CD529"/>
      <c r="CE529"/>
      <c r="CF529"/>
      <c r="CG529"/>
      <c r="CH529"/>
      <c r="CI529"/>
      <c r="CJ529"/>
    </row>
    <row r="530" spans="1:88" s="32" customFormat="1" ht="15" customHeight="1" x14ac:dyDescent="0.35">
      <c r="A530" s="473"/>
      <c r="B530" s="313">
        <v>87015</v>
      </c>
      <c r="C530" s="8" t="s">
        <v>892</v>
      </c>
      <c r="D530" s="18">
        <v>8</v>
      </c>
      <c r="E530" s="251"/>
      <c r="F530" s="82"/>
      <c r="G530" s="79"/>
      <c r="H530" s="90"/>
      <c r="I530" s="85"/>
      <c r="J530" s="85"/>
      <c r="K530" s="85"/>
      <c r="L530" s="85"/>
      <c r="M530" s="85"/>
      <c r="N530" s="85"/>
      <c r="O530" s="85"/>
      <c r="P530" s="85"/>
      <c r="Q530" s="85"/>
      <c r="R530" s="85"/>
      <c r="S530" s="89"/>
      <c r="T530" s="89" t="s">
        <v>1124</v>
      </c>
      <c r="U530" s="85"/>
      <c r="V530" s="85"/>
      <c r="W530" s="85"/>
      <c r="X530" s="89" t="s">
        <v>1124</v>
      </c>
      <c r="Y530" s="79"/>
      <c r="Z530" s="79"/>
      <c r="AA530" s="94"/>
      <c r="AB530" s="79" t="s">
        <v>1124</v>
      </c>
      <c r="AC530" s="85"/>
      <c r="AD530" s="85"/>
      <c r="AE530" s="85"/>
      <c r="AF530" s="85"/>
      <c r="AG530" s="85" t="s">
        <v>1124</v>
      </c>
      <c r="AH530" s="85"/>
      <c r="AI530" s="85"/>
      <c r="AJ530" s="85"/>
      <c r="AK530" s="85"/>
      <c r="AL530" s="85"/>
      <c r="AM530" s="85"/>
      <c r="AN530" s="85"/>
      <c r="AO530" s="85"/>
      <c r="AP530" s="85"/>
      <c r="AQ530" s="85"/>
      <c r="AR530" s="85" t="s">
        <v>1124</v>
      </c>
      <c r="AS530" s="85"/>
      <c r="AT530" s="85"/>
      <c r="AU530" s="85"/>
      <c r="AV530" s="85"/>
      <c r="AW530" s="85"/>
      <c r="AX530" s="85"/>
      <c r="AY530" s="85"/>
      <c r="AZ530" s="85"/>
      <c r="BA530" s="85"/>
      <c r="BB530" s="89"/>
      <c r="BC530" s="89" t="s">
        <v>1124</v>
      </c>
      <c r="BD530" s="37"/>
      <c r="BE530" s="37"/>
      <c r="BF530" s="279"/>
      <c r="BG530" s="37"/>
      <c r="BH530" s="37"/>
      <c r="BI530" s="37"/>
      <c r="BJ530" s="283"/>
      <c r="BK530" s="161"/>
      <c r="BL530" s="294"/>
      <c r="BM530"/>
      <c r="BN530"/>
      <c r="BO530"/>
      <c r="BP530"/>
      <c r="BQ530"/>
      <c r="BR530"/>
      <c r="BS530"/>
      <c r="BT530"/>
      <c r="BU530"/>
      <c r="BV530"/>
      <c r="BW530"/>
      <c r="BX530"/>
      <c r="BY530"/>
      <c r="BZ530"/>
      <c r="CA530"/>
      <c r="CB530"/>
      <c r="CC530"/>
      <c r="CD530"/>
      <c r="CE530"/>
      <c r="CF530"/>
      <c r="CG530"/>
      <c r="CH530"/>
      <c r="CI530"/>
      <c r="CJ530"/>
    </row>
    <row r="531" spans="1:88" s="32" customFormat="1" ht="15" customHeight="1" x14ac:dyDescent="0.35">
      <c r="A531" s="473"/>
      <c r="B531" s="313">
        <v>73020</v>
      </c>
      <c r="C531" s="8" t="s">
        <v>737</v>
      </c>
      <c r="D531" s="18">
        <v>15</v>
      </c>
      <c r="E531" s="251">
        <v>4911</v>
      </c>
      <c r="F531" s="82">
        <v>2.6896153846153847</v>
      </c>
      <c r="G531" s="79">
        <v>13208.701153846154</v>
      </c>
      <c r="H531" s="90">
        <v>332.56299999999999</v>
      </c>
      <c r="I531" s="85">
        <v>321.767</v>
      </c>
      <c r="J531" s="85">
        <v>349.334</v>
      </c>
      <c r="K531" s="85">
        <v>350.233</v>
      </c>
      <c r="L531" s="85">
        <v>426.529</v>
      </c>
      <c r="M531" s="85">
        <v>486.81200000000001</v>
      </c>
      <c r="N531" s="85">
        <v>521.452</v>
      </c>
      <c r="O531" s="85">
        <v>525.79300000000001</v>
      </c>
      <c r="P531" s="85">
        <v>405.96800000000002</v>
      </c>
      <c r="Q531" s="85">
        <v>336.70699999999999</v>
      </c>
      <c r="R531" s="85">
        <v>306.55900000000003</v>
      </c>
      <c r="S531" s="89">
        <v>327.529</v>
      </c>
      <c r="T531" s="89">
        <v>4691.2459999999992</v>
      </c>
      <c r="U531" s="85">
        <v>4691.2459999999992</v>
      </c>
      <c r="V531" s="85">
        <v>0</v>
      </c>
      <c r="W531" s="85">
        <v>0</v>
      </c>
      <c r="X531" s="89">
        <v>4691.2459999999992</v>
      </c>
      <c r="Y531" s="79">
        <v>1</v>
      </c>
      <c r="Z531" s="79">
        <v>0</v>
      </c>
      <c r="AA531" s="94">
        <v>0</v>
      </c>
      <c r="AB531" s="79">
        <v>1</v>
      </c>
      <c r="AC531" s="85">
        <v>1177.2351800000001</v>
      </c>
      <c r="AD531" s="85">
        <v>532.91125185659803</v>
      </c>
      <c r="AE531" s="85">
        <v>598.99656814340108</v>
      </c>
      <c r="AF531" s="85">
        <v>2382.1030000000001</v>
      </c>
      <c r="AG531" s="85">
        <v>4691.2459999999992</v>
      </c>
      <c r="AH531" s="85">
        <v>4691.2459999999992</v>
      </c>
      <c r="AI531" s="85">
        <v>0</v>
      </c>
      <c r="AJ531" s="85">
        <v>0</v>
      </c>
      <c r="AK531" s="85">
        <v>0</v>
      </c>
      <c r="AL531" s="85">
        <v>0</v>
      </c>
      <c r="AM531" s="85">
        <v>0</v>
      </c>
      <c r="AN531" s="85">
        <v>0</v>
      </c>
      <c r="AO531" s="85">
        <v>0</v>
      </c>
      <c r="AP531" s="85">
        <v>0</v>
      </c>
      <c r="AQ531" s="85">
        <v>0</v>
      </c>
      <c r="AR531" s="85">
        <v>4691.2459999999992</v>
      </c>
      <c r="AS531" s="85">
        <v>0</v>
      </c>
      <c r="AT531" s="85">
        <v>0</v>
      </c>
      <c r="AU531" s="85">
        <v>0</v>
      </c>
      <c r="AV531" s="85">
        <v>0</v>
      </c>
      <c r="AW531" s="85">
        <v>0</v>
      </c>
      <c r="AX531" s="85">
        <v>0</v>
      </c>
      <c r="AY531" s="85">
        <v>0</v>
      </c>
      <c r="AZ531" s="85">
        <v>0</v>
      </c>
      <c r="BA531" s="85">
        <v>0</v>
      </c>
      <c r="BB531" s="89">
        <v>0</v>
      </c>
      <c r="BC531" s="89">
        <v>0</v>
      </c>
      <c r="BD531" s="37">
        <v>9921</v>
      </c>
      <c r="BE531" s="37">
        <v>0</v>
      </c>
      <c r="BF531" s="279">
        <v>298579</v>
      </c>
      <c r="BG531" s="37">
        <v>579205</v>
      </c>
      <c r="BH531" s="37">
        <v>177759</v>
      </c>
      <c r="BI531" s="37">
        <v>107721</v>
      </c>
      <c r="BJ531" s="283">
        <v>1163264</v>
      </c>
      <c r="BK531" s="161"/>
      <c r="BL531" s="294"/>
      <c r="BM531"/>
      <c r="BN531"/>
      <c r="BO531"/>
      <c r="BP531"/>
      <c r="BQ531"/>
      <c r="BR531"/>
      <c r="BS531"/>
      <c r="BT531"/>
      <c r="BU531"/>
      <c r="BV531"/>
      <c r="BW531"/>
      <c r="BX531"/>
      <c r="BY531"/>
      <c r="BZ531"/>
      <c r="CA531"/>
      <c r="CB531"/>
      <c r="CC531"/>
      <c r="CD531"/>
      <c r="CE531"/>
      <c r="CF531"/>
      <c r="CG531"/>
      <c r="CH531"/>
      <c r="CI531"/>
      <c r="CJ531"/>
    </row>
    <row r="532" spans="1:88" s="32" customFormat="1" ht="15" customHeight="1" x14ac:dyDescent="0.35">
      <c r="A532" s="473"/>
      <c r="B532" s="313">
        <v>55037</v>
      </c>
      <c r="C532" s="8" t="s">
        <v>563</v>
      </c>
      <c r="D532" s="18">
        <v>16</v>
      </c>
      <c r="E532" s="251"/>
      <c r="F532" s="82"/>
      <c r="G532" s="79"/>
      <c r="H532" s="90"/>
      <c r="I532" s="85"/>
      <c r="J532" s="85"/>
      <c r="K532" s="85"/>
      <c r="L532" s="85"/>
      <c r="M532" s="85"/>
      <c r="N532" s="85"/>
      <c r="O532" s="85"/>
      <c r="P532" s="85"/>
      <c r="Q532" s="85"/>
      <c r="R532" s="85"/>
      <c r="S532" s="89"/>
      <c r="T532" s="89" t="s">
        <v>1124</v>
      </c>
      <c r="U532" s="85"/>
      <c r="V532" s="85"/>
      <c r="W532" s="85"/>
      <c r="X532" s="89" t="s">
        <v>1124</v>
      </c>
      <c r="Y532" s="79"/>
      <c r="Z532" s="79"/>
      <c r="AA532" s="94"/>
      <c r="AB532" s="79" t="s">
        <v>1124</v>
      </c>
      <c r="AC532" s="85"/>
      <c r="AD532" s="85"/>
      <c r="AE532" s="85"/>
      <c r="AF532" s="85"/>
      <c r="AG532" s="85" t="s">
        <v>1124</v>
      </c>
      <c r="AH532" s="85"/>
      <c r="AI532" s="85"/>
      <c r="AJ532" s="85"/>
      <c r="AK532" s="85"/>
      <c r="AL532" s="85"/>
      <c r="AM532" s="85"/>
      <c r="AN532" s="85"/>
      <c r="AO532" s="85"/>
      <c r="AP532" s="85"/>
      <c r="AQ532" s="85"/>
      <c r="AR532" s="85" t="s">
        <v>1124</v>
      </c>
      <c r="AS532" s="85"/>
      <c r="AT532" s="85"/>
      <c r="AU532" s="85"/>
      <c r="AV532" s="85"/>
      <c r="AW532" s="85"/>
      <c r="AX532" s="85"/>
      <c r="AY532" s="85"/>
      <c r="AZ532" s="85"/>
      <c r="BA532" s="85"/>
      <c r="BB532" s="89"/>
      <c r="BC532" s="89" t="s">
        <v>1124</v>
      </c>
      <c r="BD532" s="37"/>
      <c r="BE532" s="37"/>
      <c r="BF532" s="279"/>
      <c r="BG532" s="37"/>
      <c r="BH532" s="37"/>
      <c r="BI532" s="37"/>
      <c r="BJ532" s="283"/>
      <c r="BK532" s="161"/>
      <c r="BL532" s="294"/>
      <c r="BM532"/>
      <c r="BN532"/>
      <c r="BO532"/>
      <c r="BP532"/>
      <c r="BQ532"/>
      <c r="BR532"/>
      <c r="BS532"/>
      <c r="BT532"/>
      <c r="BU532"/>
      <c r="BV532"/>
      <c r="BW532"/>
      <c r="BX532"/>
      <c r="BY532"/>
      <c r="BZ532"/>
      <c r="CA532"/>
      <c r="CB532"/>
      <c r="CC532"/>
      <c r="CD532"/>
      <c r="CE532"/>
      <c r="CF532"/>
      <c r="CG532"/>
      <c r="CH532"/>
      <c r="CI532"/>
      <c r="CJ532"/>
    </row>
    <row r="533" spans="1:88" s="32" customFormat="1" ht="15" customHeight="1" x14ac:dyDescent="0.35">
      <c r="A533" s="473"/>
      <c r="B533" s="313">
        <v>86042</v>
      </c>
      <c r="C533" s="8" t="s">
        <v>889</v>
      </c>
      <c r="D533" s="18">
        <v>8</v>
      </c>
      <c r="E533" s="251">
        <v>15933</v>
      </c>
      <c r="F533" s="82">
        <v>2.1238579682947307</v>
      </c>
      <c r="G533" s="79">
        <v>33839.429008839943</v>
      </c>
      <c r="H533" s="90">
        <v>411.86320000000001</v>
      </c>
      <c r="I533" s="85">
        <v>372.21890000000002</v>
      </c>
      <c r="J533" s="85">
        <v>412.74</v>
      </c>
      <c r="K533" s="85">
        <v>392.7912</v>
      </c>
      <c r="L533" s="85">
        <v>406.0376</v>
      </c>
      <c r="M533" s="85">
        <v>377.0428</v>
      </c>
      <c r="N533" s="85">
        <v>392.5763</v>
      </c>
      <c r="O533" s="85">
        <v>378.09469999999999</v>
      </c>
      <c r="P533" s="85">
        <v>382.25220000000002</v>
      </c>
      <c r="Q533" s="85">
        <v>374.58940000000001</v>
      </c>
      <c r="R533" s="85">
        <v>360.84359999999998</v>
      </c>
      <c r="S533" s="89">
        <v>389.36529999999999</v>
      </c>
      <c r="T533" s="89">
        <v>4650.4152000000004</v>
      </c>
      <c r="U533" s="85">
        <v>4370.51</v>
      </c>
      <c r="V533" s="85">
        <v>279.89999999999998</v>
      </c>
      <c r="W533" s="85">
        <v>0</v>
      </c>
      <c r="X533" s="89">
        <v>4650.41</v>
      </c>
      <c r="Y533" s="79">
        <v>1</v>
      </c>
      <c r="Z533" s="79">
        <v>3</v>
      </c>
      <c r="AA533" s="94">
        <v>0</v>
      </c>
      <c r="AB533" s="79">
        <v>4</v>
      </c>
      <c r="AC533" s="85">
        <v>1331.8527168407854</v>
      </c>
      <c r="AD533" s="85">
        <v>1397.2096944857444</v>
      </c>
      <c r="AE533" s="85">
        <v>1921.34758867347</v>
      </c>
      <c r="AF533" s="85">
        <v>0</v>
      </c>
      <c r="AG533" s="85">
        <v>4650.41</v>
      </c>
      <c r="AH533" s="85">
        <v>4370.51</v>
      </c>
      <c r="AI533" s="85">
        <v>0</v>
      </c>
      <c r="AJ533" s="85">
        <v>0</v>
      </c>
      <c r="AK533" s="85">
        <v>0</v>
      </c>
      <c r="AL533" s="85">
        <v>0</v>
      </c>
      <c r="AM533" s="85">
        <v>0</v>
      </c>
      <c r="AN533" s="85">
        <v>0</v>
      </c>
      <c r="AO533" s="85">
        <v>0</v>
      </c>
      <c r="AP533" s="85">
        <v>0</v>
      </c>
      <c r="AQ533" s="85">
        <v>0</v>
      </c>
      <c r="AR533" s="85">
        <v>4370.51</v>
      </c>
      <c r="AS533" s="85">
        <v>0</v>
      </c>
      <c r="AT533" s="85">
        <v>0</v>
      </c>
      <c r="AU533" s="85">
        <v>33.700000000000003</v>
      </c>
      <c r="AV533" s="85">
        <v>0</v>
      </c>
      <c r="AW533" s="85">
        <v>0</v>
      </c>
      <c r="AX533" s="85">
        <v>0</v>
      </c>
      <c r="AY533" s="85">
        <v>81.87</v>
      </c>
      <c r="AZ533" s="85">
        <v>0</v>
      </c>
      <c r="BA533" s="85">
        <v>164.33</v>
      </c>
      <c r="BB533" s="89">
        <v>0</v>
      </c>
      <c r="BC533" s="89">
        <v>279.90000000000003</v>
      </c>
      <c r="BD533" s="37">
        <v>57067</v>
      </c>
      <c r="BE533" s="37">
        <v>44586</v>
      </c>
      <c r="BF533" s="279">
        <v>379717</v>
      </c>
      <c r="BG533" s="37">
        <v>749594</v>
      </c>
      <c r="BH533" s="37">
        <v>257767</v>
      </c>
      <c r="BI533" s="37">
        <v>216687</v>
      </c>
      <c r="BJ533" s="283">
        <v>1603765</v>
      </c>
      <c r="BK533" s="161"/>
      <c r="BL533" s="294"/>
      <c r="BM533"/>
      <c r="BN533"/>
      <c r="BO533"/>
      <c r="BP533"/>
      <c r="BQ533"/>
      <c r="BR533"/>
      <c r="BS533"/>
      <c r="BT533"/>
      <c r="BU533"/>
      <c r="BV533"/>
      <c r="BW533"/>
      <c r="BX533"/>
      <c r="BY533"/>
      <c r="BZ533"/>
      <c r="CA533"/>
      <c r="CB533"/>
      <c r="CC533"/>
      <c r="CD533"/>
      <c r="CE533"/>
      <c r="CF533"/>
      <c r="CG533"/>
      <c r="CH533"/>
      <c r="CI533"/>
      <c r="CJ533"/>
    </row>
    <row r="534" spans="1:88" s="32" customFormat="1" ht="15" customHeight="1" x14ac:dyDescent="0.35">
      <c r="A534" s="473"/>
      <c r="B534" s="313">
        <v>48015</v>
      </c>
      <c r="C534" s="8" t="s">
        <v>458</v>
      </c>
      <c r="D534" s="18">
        <v>16</v>
      </c>
      <c r="E534" s="251"/>
      <c r="F534" s="82"/>
      <c r="G534" s="79"/>
      <c r="H534" s="90"/>
      <c r="I534" s="85"/>
      <c r="J534" s="85"/>
      <c r="K534" s="85"/>
      <c r="L534" s="85"/>
      <c r="M534" s="85"/>
      <c r="N534" s="85"/>
      <c r="O534" s="85"/>
      <c r="P534" s="85"/>
      <c r="Q534" s="85"/>
      <c r="R534" s="85"/>
      <c r="S534" s="89"/>
      <c r="T534" s="89" t="s">
        <v>1124</v>
      </c>
      <c r="U534" s="85"/>
      <c r="V534" s="85"/>
      <c r="W534" s="85"/>
      <c r="X534" s="89" t="s">
        <v>1124</v>
      </c>
      <c r="Y534" s="79"/>
      <c r="Z534" s="79"/>
      <c r="AA534" s="94"/>
      <c r="AB534" s="79" t="s">
        <v>1124</v>
      </c>
      <c r="AC534" s="85"/>
      <c r="AD534" s="85"/>
      <c r="AE534" s="85"/>
      <c r="AF534" s="85"/>
      <c r="AG534" s="85" t="s">
        <v>1124</v>
      </c>
      <c r="AH534" s="85"/>
      <c r="AI534" s="85"/>
      <c r="AJ534" s="85"/>
      <c r="AK534" s="85"/>
      <c r="AL534" s="85"/>
      <c r="AM534" s="85"/>
      <c r="AN534" s="85"/>
      <c r="AO534" s="85"/>
      <c r="AP534" s="85"/>
      <c r="AQ534" s="85"/>
      <c r="AR534" s="85" t="s">
        <v>1124</v>
      </c>
      <c r="AS534" s="85"/>
      <c r="AT534" s="85"/>
      <c r="AU534" s="85"/>
      <c r="AV534" s="85"/>
      <c r="AW534" s="85"/>
      <c r="AX534" s="85"/>
      <c r="AY534" s="85"/>
      <c r="AZ534" s="85"/>
      <c r="BA534" s="85"/>
      <c r="BB534" s="89"/>
      <c r="BC534" s="89" t="s">
        <v>1124</v>
      </c>
      <c r="BD534" s="37"/>
      <c r="BE534" s="37"/>
      <c r="BF534" s="279"/>
      <c r="BG534" s="37"/>
      <c r="BH534" s="37"/>
      <c r="BI534" s="37"/>
      <c r="BJ534" s="283"/>
      <c r="BK534" s="161"/>
      <c r="BL534" s="294"/>
      <c r="BM534"/>
      <c r="BN534"/>
      <c r="BO534"/>
      <c r="BP534"/>
      <c r="BQ534"/>
      <c r="BR534"/>
      <c r="BS534"/>
      <c r="BT534"/>
      <c r="BU534"/>
      <c r="BV534"/>
      <c r="BW534"/>
      <c r="BX534"/>
      <c r="BY534"/>
      <c r="BZ534"/>
      <c r="CA534"/>
      <c r="CB534"/>
      <c r="CC534"/>
      <c r="CD534"/>
      <c r="CE534"/>
      <c r="CF534"/>
      <c r="CG534"/>
      <c r="CH534"/>
      <c r="CI534"/>
      <c r="CJ534"/>
    </row>
    <row r="535" spans="1:88" s="32" customFormat="1" ht="15" customHeight="1" x14ac:dyDescent="0.35">
      <c r="A535" s="473"/>
      <c r="B535" s="313">
        <v>48010</v>
      </c>
      <c r="C535" s="8" t="s">
        <v>457</v>
      </c>
      <c r="D535" s="18">
        <v>16</v>
      </c>
      <c r="E535" s="251"/>
      <c r="F535" s="82"/>
      <c r="G535" s="79"/>
      <c r="H535" s="90"/>
      <c r="I535" s="85"/>
      <c r="J535" s="85"/>
      <c r="K535" s="85"/>
      <c r="L535" s="85"/>
      <c r="M535" s="85"/>
      <c r="N535" s="85"/>
      <c r="O535" s="85"/>
      <c r="P535" s="85"/>
      <c r="Q535" s="85"/>
      <c r="R535" s="85"/>
      <c r="S535" s="89"/>
      <c r="T535" s="89" t="s">
        <v>1124</v>
      </c>
      <c r="U535" s="85"/>
      <c r="V535" s="85"/>
      <c r="W535" s="85"/>
      <c r="X535" s="89" t="s">
        <v>1124</v>
      </c>
      <c r="Y535" s="79"/>
      <c r="Z535" s="79"/>
      <c r="AA535" s="94"/>
      <c r="AB535" s="79" t="s">
        <v>1124</v>
      </c>
      <c r="AC535" s="85"/>
      <c r="AD535" s="85"/>
      <c r="AE535" s="85"/>
      <c r="AF535" s="85"/>
      <c r="AG535" s="85" t="s">
        <v>1124</v>
      </c>
      <c r="AH535" s="85"/>
      <c r="AI535" s="85"/>
      <c r="AJ535" s="85"/>
      <c r="AK535" s="85"/>
      <c r="AL535" s="85"/>
      <c r="AM535" s="85"/>
      <c r="AN535" s="85"/>
      <c r="AO535" s="85"/>
      <c r="AP535" s="85"/>
      <c r="AQ535" s="85"/>
      <c r="AR535" s="85" t="s">
        <v>1124</v>
      </c>
      <c r="AS535" s="85"/>
      <c r="AT535" s="85"/>
      <c r="AU535" s="85"/>
      <c r="AV535" s="85"/>
      <c r="AW535" s="85"/>
      <c r="AX535" s="85"/>
      <c r="AY535" s="85"/>
      <c r="AZ535" s="85"/>
      <c r="BA535" s="85"/>
      <c r="BB535" s="89"/>
      <c r="BC535" s="89" t="s">
        <v>1124</v>
      </c>
      <c r="BD535" s="37"/>
      <c r="BE535" s="37"/>
      <c r="BF535" s="279"/>
      <c r="BG535" s="37"/>
      <c r="BH535" s="37"/>
      <c r="BI535" s="37"/>
      <c r="BJ535" s="283"/>
      <c r="BK535" s="161"/>
      <c r="BL535" s="294"/>
      <c r="BM535"/>
      <c r="BN535"/>
      <c r="BO535"/>
      <c r="BP535"/>
      <c r="BQ535"/>
      <c r="BR535"/>
      <c r="BS535"/>
      <c r="BT535"/>
      <c r="BU535"/>
      <c r="BV535"/>
      <c r="BW535"/>
      <c r="BX535"/>
      <c r="BY535"/>
      <c r="BZ535"/>
      <c r="CA535"/>
      <c r="CB535"/>
      <c r="CC535"/>
      <c r="CD535"/>
      <c r="CE535"/>
      <c r="CF535"/>
      <c r="CG535"/>
      <c r="CH535"/>
      <c r="CI535"/>
      <c r="CJ535"/>
    </row>
    <row r="536" spans="1:88" s="32" customFormat="1" ht="15" customHeight="1" x14ac:dyDescent="0.35">
      <c r="A536" s="473"/>
      <c r="B536" s="313">
        <v>47047</v>
      </c>
      <c r="C536" s="8" t="s">
        <v>454</v>
      </c>
      <c r="D536" s="18">
        <v>5</v>
      </c>
      <c r="E536" s="251">
        <v>1123</v>
      </c>
      <c r="F536" s="82">
        <v>2.4169675090252709</v>
      </c>
      <c r="G536" s="79">
        <v>2714.2545126353793</v>
      </c>
      <c r="H536" s="90">
        <v>17.66</v>
      </c>
      <c r="I536" s="85">
        <v>14.722</v>
      </c>
      <c r="J536" s="85">
        <v>14.798000000000002</v>
      </c>
      <c r="K536" s="85">
        <v>17.998999999999999</v>
      </c>
      <c r="L536" s="85">
        <v>19.130000000000003</v>
      </c>
      <c r="M536" s="85">
        <v>15.030999999999999</v>
      </c>
      <c r="N536" s="85">
        <v>15.705000000000002</v>
      </c>
      <c r="O536" s="85">
        <v>18.489000000000001</v>
      </c>
      <c r="P536" s="85">
        <v>13.476999999999999</v>
      </c>
      <c r="Q536" s="85">
        <v>16.376999999999999</v>
      </c>
      <c r="R536" s="85">
        <v>12.912000000000001</v>
      </c>
      <c r="S536" s="89">
        <v>13.306999999999999</v>
      </c>
      <c r="T536" s="89">
        <v>189.607</v>
      </c>
      <c r="U536" s="85">
        <v>0</v>
      </c>
      <c r="V536" s="85">
        <v>189.607</v>
      </c>
      <c r="W536" s="85">
        <v>0</v>
      </c>
      <c r="X536" s="89">
        <v>189.607</v>
      </c>
      <c r="Y536" s="79">
        <v>0</v>
      </c>
      <c r="Z536" s="79">
        <v>3</v>
      </c>
      <c r="AA536" s="94">
        <v>0</v>
      </c>
      <c r="AB536" s="79">
        <v>3</v>
      </c>
      <c r="AC536" s="85">
        <v>162.81880000000001</v>
      </c>
      <c r="AD536" s="85">
        <v>11.665199999999999</v>
      </c>
      <c r="AE536" s="85">
        <v>15.122999999999999</v>
      </c>
      <c r="AF536" s="85">
        <v>0</v>
      </c>
      <c r="AG536" s="85">
        <v>189.607</v>
      </c>
      <c r="AH536" s="85">
        <v>0</v>
      </c>
      <c r="AI536" s="85">
        <v>0</v>
      </c>
      <c r="AJ536" s="85">
        <v>0</v>
      </c>
      <c r="AK536" s="85">
        <v>0</v>
      </c>
      <c r="AL536" s="85">
        <v>0</v>
      </c>
      <c r="AM536" s="85">
        <v>0</v>
      </c>
      <c r="AN536" s="85">
        <v>0</v>
      </c>
      <c r="AO536" s="85">
        <v>0</v>
      </c>
      <c r="AP536" s="85">
        <v>0</v>
      </c>
      <c r="AQ536" s="85">
        <v>0</v>
      </c>
      <c r="AR536" s="85">
        <v>0</v>
      </c>
      <c r="AS536" s="85">
        <v>0</v>
      </c>
      <c r="AT536" s="85">
        <v>0</v>
      </c>
      <c r="AU536" s="85">
        <v>0</v>
      </c>
      <c r="AV536" s="85">
        <v>0</v>
      </c>
      <c r="AW536" s="85">
        <v>0</v>
      </c>
      <c r="AX536" s="85">
        <v>0</v>
      </c>
      <c r="AY536" s="85">
        <v>189.607</v>
      </c>
      <c r="AZ536" s="85">
        <v>0</v>
      </c>
      <c r="BA536" s="85">
        <v>0</v>
      </c>
      <c r="BB536" s="89">
        <v>0</v>
      </c>
      <c r="BC536" s="89">
        <v>189.607</v>
      </c>
      <c r="BD536" s="37">
        <v>142381</v>
      </c>
      <c r="BE536" s="37">
        <v>0</v>
      </c>
      <c r="BF536" s="279">
        <v>53244</v>
      </c>
      <c r="BG536" s="37">
        <v>65630</v>
      </c>
      <c r="BH536" s="37">
        <v>19609</v>
      </c>
      <c r="BI536" s="37">
        <v>0</v>
      </c>
      <c r="BJ536" s="283">
        <v>138483</v>
      </c>
      <c r="BK536" s="161"/>
      <c r="BL536" s="294"/>
      <c r="BM536"/>
      <c r="BN536"/>
      <c r="BO536"/>
      <c r="BP536"/>
      <c r="BQ536"/>
      <c r="BR536"/>
      <c r="BS536"/>
      <c r="BT536"/>
      <c r="BU536"/>
      <c r="BV536"/>
      <c r="BW536"/>
      <c r="BX536"/>
      <c r="BY536"/>
      <c r="BZ536"/>
      <c r="CA536"/>
      <c r="CB536"/>
      <c r="CC536"/>
      <c r="CD536"/>
      <c r="CE536"/>
      <c r="CF536"/>
      <c r="CG536"/>
      <c r="CH536"/>
      <c r="CI536"/>
      <c r="CJ536"/>
    </row>
    <row r="537" spans="1:88" s="32" customFormat="1" ht="15" customHeight="1" x14ac:dyDescent="0.35">
      <c r="A537" s="473"/>
      <c r="B537" s="313">
        <v>95010</v>
      </c>
      <c r="C537" s="8" t="s">
        <v>987</v>
      </c>
      <c r="D537" s="18">
        <v>9</v>
      </c>
      <c r="E537" s="251"/>
      <c r="F537" s="82"/>
      <c r="G537" s="79"/>
      <c r="H537" s="90"/>
      <c r="I537" s="85"/>
      <c r="J537" s="85"/>
      <c r="K537" s="85"/>
      <c r="L537" s="85"/>
      <c r="M537" s="85"/>
      <c r="N537" s="85"/>
      <c r="O537" s="85"/>
      <c r="P537" s="85"/>
      <c r="Q537" s="85"/>
      <c r="R537" s="85"/>
      <c r="S537" s="89"/>
      <c r="T537" s="89" t="s">
        <v>1124</v>
      </c>
      <c r="U537" s="85"/>
      <c r="V537" s="85"/>
      <c r="W537" s="85"/>
      <c r="X537" s="89" t="s">
        <v>1124</v>
      </c>
      <c r="Y537" s="79"/>
      <c r="Z537" s="79"/>
      <c r="AA537" s="94"/>
      <c r="AB537" s="79" t="s">
        <v>1124</v>
      </c>
      <c r="AC537" s="85"/>
      <c r="AD537" s="85"/>
      <c r="AE537" s="85"/>
      <c r="AF537" s="85"/>
      <c r="AG537" s="85" t="s">
        <v>1124</v>
      </c>
      <c r="AH537" s="85"/>
      <c r="AI537" s="85"/>
      <c r="AJ537" s="85"/>
      <c r="AK537" s="85"/>
      <c r="AL537" s="85"/>
      <c r="AM537" s="85"/>
      <c r="AN537" s="85"/>
      <c r="AO537" s="85"/>
      <c r="AP537" s="85"/>
      <c r="AQ537" s="85"/>
      <c r="AR537" s="85" t="s">
        <v>1124</v>
      </c>
      <c r="AS537" s="85"/>
      <c r="AT537" s="85"/>
      <c r="AU537" s="85"/>
      <c r="AV537" s="85"/>
      <c r="AW537" s="85"/>
      <c r="AX537" s="85"/>
      <c r="AY537" s="85"/>
      <c r="AZ537" s="85"/>
      <c r="BA537" s="85"/>
      <c r="BB537" s="89"/>
      <c r="BC537" s="89" t="s">
        <v>1124</v>
      </c>
      <c r="BD537" s="37"/>
      <c r="BE537" s="37"/>
      <c r="BF537" s="279"/>
      <c r="BG537" s="37"/>
      <c r="BH537" s="37"/>
      <c r="BI537" s="37"/>
      <c r="BJ537" s="283"/>
      <c r="BK537" s="161"/>
      <c r="BL537" s="294"/>
      <c r="BM537"/>
      <c r="BN537"/>
      <c r="BO537"/>
      <c r="BP537"/>
      <c r="BQ537"/>
      <c r="BR537"/>
      <c r="BS537"/>
      <c r="BT537"/>
      <c r="BU537"/>
      <c r="BV537"/>
      <c r="BW537"/>
      <c r="BX537"/>
      <c r="BY537"/>
      <c r="BZ537"/>
      <c r="CA537"/>
      <c r="CB537"/>
      <c r="CC537"/>
      <c r="CD537"/>
      <c r="CE537"/>
      <c r="CF537"/>
      <c r="CG537"/>
      <c r="CH537"/>
      <c r="CI537"/>
      <c r="CJ537"/>
    </row>
    <row r="538" spans="1:88" s="32" customFormat="1" ht="15" customHeight="1" x14ac:dyDescent="0.35">
      <c r="A538" s="473"/>
      <c r="B538" s="313">
        <v>31130</v>
      </c>
      <c r="C538" s="8" t="s">
        <v>253</v>
      </c>
      <c r="D538" s="18">
        <v>12</v>
      </c>
      <c r="E538" s="251"/>
      <c r="F538" s="82"/>
      <c r="G538" s="79"/>
      <c r="H538" s="90"/>
      <c r="I538" s="85"/>
      <c r="J538" s="85"/>
      <c r="K538" s="85"/>
      <c r="L538" s="85"/>
      <c r="M538" s="85"/>
      <c r="N538" s="85"/>
      <c r="O538" s="85"/>
      <c r="P538" s="85"/>
      <c r="Q538" s="85"/>
      <c r="R538" s="85"/>
      <c r="S538" s="89"/>
      <c r="T538" s="89" t="s">
        <v>1124</v>
      </c>
      <c r="U538" s="85"/>
      <c r="V538" s="85"/>
      <c r="W538" s="85"/>
      <c r="X538" s="89" t="s">
        <v>1124</v>
      </c>
      <c r="Y538" s="79"/>
      <c r="Z538" s="79"/>
      <c r="AA538" s="94"/>
      <c r="AB538" s="79" t="s">
        <v>1124</v>
      </c>
      <c r="AC538" s="85"/>
      <c r="AD538" s="85"/>
      <c r="AE538" s="85"/>
      <c r="AF538" s="85"/>
      <c r="AG538" s="85" t="s">
        <v>1124</v>
      </c>
      <c r="AH538" s="85"/>
      <c r="AI538" s="85"/>
      <c r="AJ538" s="85"/>
      <c r="AK538" s="85"/>
      <c r="AL538" s="85"/>
      <c r="AM538" s="85"/>
      <c r="AN538" s="85"/>
      <c r="AO538" s="85"/>
      <c r="AP538" s="85"/>
      <c r="AQ538" s="85"/>
      <c r="AR538" s="85" t="s">
        <v>1124</v>
      </c>
      <c r="AS538" s="85"/>
      <c r="AT538" s="85"/>
      <c r="AU538" s="85"/>
      <c r="AV538" s="85"/>
      <c r="AW538" s="85"/>
      <c r="AX538" s="85"/>
      <c r="AY538" s="85"/>
      <c r="AZ538" s="85"/>
      <c r="BA538" s="85"/>
      <c r="BB538" s="89"/>
      <c r="BC538" s="89" t="s">
        <v>1124</v>
      </c>
      <c r="BD538" s="37"/>
      <c r="BE538" s="37"/>
      <c r="BF538" s="279"/>
      <c r="BG538" s="37"/>
      <c r="BH538" s="37"/>
      <c r="BI538" s="37"/>
      <c r="BJ538" s="283"/>
      <c r="BK538" s="161"/>
      <c r="BL538" s="294"/>
      <c r="BM538"/>
      <c r="BN538"/>
      <c r="BO538"/>
      <c r="BP538"/>
      <c r="BQ538"/>
      <c r="BR538"/>
      <c r="BS538"/>
      <c r="BT538"/>
      <c r="BU538"/>
      <c r="BV538"/>
      <c r="BW538"/>
      <c r="BX538"/>
      <c r="BY538"/>
      <c r="BZ538"/>
      <c r="CA538"/>
      <c r="CB538"/>
      <c r="CC538"/>
      <c r="CD538"/>
      <c r="CE538"/>
      <c r="CF538"/>
      <c r="CG538"/>
      <c r="CH538"/>
      <c r="CI538"/>
      <c r="CJ538"/>
    </row>
    <row r="539" spans="1:88" s="32" customFormat="1" ht="15" customHeight="1" x14ac:dyDescent="0.35">
      <c r="A539" s="473"/>
      <c r="B539" s="313">
        <v>94068</v>
      </c>
      <c r="C539" s="8" t="s">
        <v>972</v>
      </c>
      <c r="D539" s="18">
        <v>2</v>
      </c>
      <c r="E539" s="251">
        <v>65628</v>
      </c>
      <c r="F539" s="82">
        <v>2.096341951721771</v>
      </c>
      <c r="G539" s="79">
        <v>137578.72960759638</v>
      </c>
      <c r="H539" s="90">
        <v>2269.5909999999999</v>
      </c>
      <c r="I539" s="85">
        <v>2186.7600000000002</v>
      </c>
      <c r="J539" s="85">
        <v>2383.3530000000001</v>
      </c>
      <c r="K539" s="85">
        <v>2298.7350000000001</v>
      </c>
      <c r="L539" s="85">
        <v>2422.1750000000002</v>
      </c>
      <c r="M539" s="85">
        <v>2421.2820000000002</v>
      </c>
      <c r="N539" s="85">
        <v>2606.5650000000001</v>
      </c>
      <c r="O539" s="85">
        <v>2448.3420000000001</v>
      </c>
      <c r="P539" s="85">
        <v>2248.848</v>
      </c>
      <c r="Q539" s="85">
        <v>2215.6660000000002</v>
      </c>
      <c r="R539" s="85">
        <v>2100.59</v>
      </c>
      <c r="S539" s="89">
        <v>2243.4520000000002</v>
      </c>
      <c r="T539" s="89">
        <v>27845.359</v>
      </c>
      <c r="U539" s="85">
        <v>21300.975999999999</v>
      </c>
      <c r="V539" s="85">
        <v>6544.384</v>
      </c>
      <c r="W539" s="85">
        <v>0</v>
      </c>
      <c r="X539" s="89">
        <v>27845.360000000001</v>
      </c>
      <c r="Y539" s="79">
        <v>3</v>
      </c>
      <c r="Z539" s="79">
        <v>1</v>
      </c>
      <c r="AA539" s="94">
        <v>0</v>
      </c>
      <c r="AB539" s="79">
        <v>4</v>
      </c>
      <c r="AC539" s="85">
        <v>12554.059076693169</v>
      </c>
      <c r="AD539" s="85">
        <v>7566.0456922353987</v>
      </c>
      <c r="AE539" s="85">
        <v>7701.019231071431</v>
      </c>
      <c r="AF539" s="85">
        <v>24.234999999999999</v>
      </c>
      <c r="AG539" s="85">
        <v>27845.359</v>
      </c>
      <c r="AH539" s="85">
        <v>13946.227999999999</v>
      </c>
      <c r="AI539" s="85">
        <v>0</v>
      </c>
      <c r="AJ539" s="85">
        <v>0</v>
      </c>
      <c r="AK539" s="85">
        <v>5184.9080000000004</v>
      </c>
      <c r="AL539" s="85">
        <v>0</v>
      </c>
      <c r="AM539" s="85">
        <v>0</v>
      </c>
      <c r="AN539" s="85">
        <v>0</v>
      </c>
      <c r="AO539" s="85">
        <v>2169.84</v>
      </c>
      <c r="AP539" s="85">
        <v>0</v>
      </c>
      <c r="AQ539" s="85">
        <v>0</v>
      </c>
      <c r="AR539" s="85">
        <v>21300.975999999999</v>
      </c>
      <c r="AS539" s="85">
        <v>0</v>
      </c>
      <c r="AT539" s="85">
        <v>0</v>
      </c>
      <c r="AU539" s="85">
        <v>0</v>
      </c>
      <c r="AV539" s="85">
        <v>0</v>
      </c>
      <c r="AW539" s="85">
        <v>0</v>
      </c>
      <c r="AX539" s="85">
        <v>0</v>
      </c>
      <c r="AY539" s="85">
        <v>22.974</v>
      </c>
      <c r="AZ539" s="85">
        <v>0</v>
      </c>
      <c r="BA539" s="85">
        <v>6521.41</v>
      </c>
      <c r="BB539" s="89">
        <v>0</v>
      </c>
      <c r="BC539" s="89">
        <v>6544.384</v>
      </c>
      <c r="BD539" s="37">
        <v>3766000</v>
      </c>
      <c r="BE539" s="37">
        <v>121500</v>
      </c>
      <c r="BF539" s="279">
        <v>1105271</v>
      </c>
      <c r="BG539" s="37">
        <v>2245658</v>
      </c>
      <c r="BH539" s="37">
        <v>1329740</v>
      </c>
      <c r="BI539" s="37">
        <v>0</v>
      </c>
      <c r="BJ539" s="283">
        <v>4680669</v>
      </c>
      <c r="BK539" s="161"/>
      <c r="BL539" s="294"/>
      <c r="BM539"/>
      <c r="BN539"/>
      <c r="BO539"/>
      <c r="BP539"/>
      <c r="BQ539"/>
      <c r="BR539"/>
      <c r="BS539"/>
      <c r="BT539"/>
      <c r="BU539"/>
      <c r="BV539"/>
      <c r="BW539"/>
      <c r="BX539"/>
      <c r="BY539"/>
      <c r="BZ539"/>
      <c r="CA539"/>
      <c r="CB539"/>
      <c r="CC539"/>
      <c r="CD539"/>
      <c r="CE539"/>
      <c r="CF539"/>
      <c r="CG539"/>
      <c r="CH539"/>
      <c r="CI539"/>
      <c r="CJ539"/>
    </row>
    <row r="540" spans="1:88" s="32" customFormat="1" ht="15" customHeight="1" x14ac:dyDescent="0.35">
      <c r="A540" s="473"/>
      <c r="B540" s="313">
        <v>17015</v>
      </c>
      <c r="C540" s="8" t="s">
        <v>92</v>
      </c>
      <c r="D540" s="18">
        <v>12</v>
      </c>
      <c r="E540" s="251"/>
      <c r="F540" s="82"/>
      <c r="G540" s="79"/>
      <c r="H540" s="90"/>
      <c r="I540" s="85"/>
      <c r="J540" s="85"/>
      <c r="K540" s="85"/>
      <c r="L540" s="85"/>
      <c r="M540" s="85"/>
      <c r="N540" s="85"/>
      <c r="O540" s="85"/>
      <c r="P540" s="85"/>
      <c r="Q540" s="85"/>
      <c r="R540" s="85"/>
      <c r="S540" s="89"/>
      <c r="T540" s="89" t="s">
        <v>1124</v>
      </c>
      <c r="U540" s="85"/>
      <c r="V540" s="85"/>
      <c r="W540" s="85"/>
      <c r="X540" s="89" t="s">
        <v>1124</v>
      </c>
      <c r="Y540" s="79"/>
      <c r="Z540" s="79"/>
      <c r="AA540" s="94"/>
      <c r="AB540" s="79" t="s">
        <v>1124</v>
      </c>
      <c r="AC540" s="85"/>
      <c r="AD540" s="85"/>
      <c r="AE540" s="85"/>
      <c r="AF540" s="85"/>
      <c r="AG540" s="85" t="s">
        <v>1124</v>
      </c>
      <c r="AH540" s="85"/>
      <c r="AI540" s="85"/>
      <c r="AJ540" s="85"/>
      <c r="AK540" s="85"/>
      <c r="AL540" s="85"/>
      <c r="AM540" s="85"/>
      <c r="AN540" s="85"/>
      <c r="AO540" s="85"/>
      <c r="AP540" s="85"/>
      <c r="AQ540" s="85"/>
      <c r="AR540" s="85" t="s">
        <v>1124</v>
      </c>
      <c r="AS540" s="85"/>
      <c r="AT540" s="85"/>
      <c r="AU540" s="85"/>
      <c r="AV540" s="85"/>
      <c r="AW540" s="85"/>
      <c r="AX540" s="85"/>
      <c r="AY540" s="85"/>
      <c r="AZ540" s="85"/>
      <c r="BA540" s="85"/>
      <c r="BB540" s="89"/>
      <c r="BC540" s="89" t="s">
        <v>1124</v>
      </c>
      <c r="BD540" s="37"/>
      <c r="BE540" s="37"/>
      <c r="BF540" s="279"/>
      <c r="BG540" s="37"/>
      <c r="BH540" s="37"/>
      <c r="BI540" s="37"/>
      <c r="BJ540" s="283"/>
      <c r="BK540" s="161"/>
      <c r="BL540" s="294"/>
      <c r="BM540"/>
      <c r="BN540"/>
      <c r="BO540"/>
      <c r="BP540"/>
      <c r="BQ540"/>
      <c r="BR540"/>
      <c r="BS540"/>
      <c r="BT540"/>
      <c r="BU540"/>
      <c r="BV540"/>
      <c r="BW540"/>
      <c r="BX540"/>
      <c r="BY540"/>
      <c r="BZ540"/>
      <c r="CA540"/>
      <c r="CB540"/>
      <c r="CC540"/>
      <c r="CD540"/>
      <c r="CE540"/>
      <c r="CF540"/>
      <c r="CG540"/>
      <c r="CH540"/>
      <c r="CI540"/>
      <c r="CJ540"/>
    </row>
    <row r="541" spans="1:88" s="32" customFormat="1" ht="15" customHeight="1" x14ac:dyDescent="0.35">
      <c r="A541" s="473"/>
      <c r="B541" s="313">
        <v>8030</v>
      </c>
      <c r="C541" s="8" t="s">
        <v>1090</v>
      </c>
      <c r="D541" s="18">
        <v>1</v>
      </c>
      <c r="E541" s="251"/>
      <c r="F541" s="82"/>
      <c r="G541" s="79"/>
      <c r="H541" s="90"/>
      <c r="I541" s="85"/>
      <c r="J541" s="85"/>
      <c r="K541" s="85"/>
      <c r="L541" s="85"/>
      <c r="M541" s="85"/>
      <c r="N541" s="85"/>
      <c r="O541" s="85"/>
      <c r="P541" s="85"/>
      <c r="Q541" s="85"/>
      <c r="R541" s="85"/>
      <c r="S541" s="89"/>
      <c r="T541" s="89" t="s">
        <v>1124</v>
      </c>
      <c r="U541" s="85"/>
      <c r="V541" s="85"/>
      <c r="W541" s="85"/>
      <c r="X541" s="89" t="s">
        <v>1124</v>
      </c>
      <c r="Y541" s="79"/>
      <c r="Z541" s="79"/>
      <c r="AA541" s="94"/>
      <c r="AB541" s="79" t="s">
        <v>1124</v>
      </c>
      <c r="AC541" s="85"/>
      <c r="AD541" s="85"/>
      <c r="AE541" s="85"/>
      <c r="AF541" s="85"/>
      <c r="AG541" s="85" t="s">
        <v>1124</v>
      </c>
      <c r="AH541" s="85"/>
      <c r="AI541" s="85"/>
      <c r="AJ541" s="85"/>
      <c r="AK541" s="85"/>
      <c r="AL541" s="85"/>
      <c r="AM541" s="85"/>
      <c r="AN541" s="85"/>
      <c r="AO541" s="85"/>
      <c r="AP541" s="85"/>
      <c r="AQ541" s="85"/>
      <c r="AR541" s="85" t="s">
        <v>1124</v>
      </c>
      <c r="AS541" s="85"/>
      <c r="AT541" s="85"/>
      <c r="AU541" s="85"/>
      <c r="AV541" s="85"/>
      <c r="AW541" s="85"/>
      <c r="AX541" s="85"/>
      <c r="AY541" s="85"/>
      <c r="AZ541" s="85"/>
      <c r="BA541" s="85"/>
      <c r="BB541" s="89"/>
      <c r="BC541" s="89" t="s">
        <v>1124</v>
      </c>
      <c r="BD541" s="37"/>
      <c r="BE541" s="37"/>
      <c r="BF541" s="279"/>
      <c r="BG541" s="37"/>
      <c r="BH541" s="37"/>
      <c r="BI541" s="37"/>
      <c r="BJ541" s="283"/>
      <c r="BK541" s="161"/>
      <c r="BL541" s="294"/>
      <c r="BM541"/>
      <c r="BN541"/>
      <c r="BO541"/>
      <c r="BP541"/>
      <c r="BQ541"/>
      <c r="BR541"/>
      <c r="BS541"/>
      <c r="BT541"/>
      <c r="BU541"/>
      <c r="BV541"/>
      <c r="BW541"/>
      <c r="BX541"/>
      <c r="BY541"/>
      <c r="BZ541"/>
      <c r="CA541"/>
      <c r="CB541"/>
      <c r="CC541"/>
      <c r="CD541"/>
      <c r="CE541"/>
      <c r="CF541"/>
      <c r="CG541"/>
      <c r="CH541"/>
      <c r="CI541"/>
      <c r="CJ541"/>
    </row>
    <row r="542" spans="1:88" s="32" customFormat="1" ht="15" customHeight="1" x14ac:dyDescent="0.35">
      <c r="A542" s="473"/>
      <c r="B542" s="313">
        <v>35015</v>
      </c>
      <c r="C542" s="8" t="s">
        <v>305</v>
      </c>
      <c r="D542" s="18">
        <v>4</v>
      </c>
      <c r="E542" s="251">
        <v>393</v>
      </c>
      <c r="F542" s="82">
        <v>1.9527720739219712</v>
      </c>
      <c r="G542" s="79">
        <v>767.43942505133464</v>
      </c>
      <c r="H542" s="90">
        <v>6.8284506152263065</v>
      </c>
      <c r="I542" s="85">
        <v>5.816361686401252</v>
      </c>
      <c r="J542" s="85">
        <v>6.084082305540659</v>
      </c>
      <c r="K542" s="85">
        <v>5.6357815040797687</v>
      </c>
      <c r="L542" s="85">
        <v>4.7528284033101924</v>
      </c>
      <c r="M542" s="85">
        <v>7.0982710039275929</v>
      </c>
      <c r="N542" s="85">
        <v>7.3512932361338557</v>
      </c>
      <c r="O542" s="85">
        <v>5.9234499340570146</v>
      </c>
      <c r="P542" s="85">
        <v>4.9407577790982478</v>
      </c>
      <c r="Q542" s="85">
        <v>6.982783678024318</v>
      </c>
      <c r="R542" s="85">
        <v>5.3859089262163211</v>
      </c>
      <c r="S542" s="89">
        <v>5.6410309279844633</v>
      </c>
      <c r="T542" s="89">
        <v>72.440999999999988</v>
      </c>
      <c r="U542" s="85">
        <v>0</v>
      </c>
      <c r="V542" s="85">
        <v>72.441000000000003</v>
      </c>
      <c r="W542" s="85">
        <v>0</v>
      </c>
      <c r="X542" s="89">
        <v>72.441000000000003</v>
      </c>
      <c r="Y542" s="79">
        <v>0</v>
      </c>
      <c r="Z542" s="79">
        <v>1</v>
      </c>
      <c r="AA542" s="94">
        <v>0</v>
      </c>
      <c r="AB542" s="79">
        <v>1</v>
      </c>
      <c r="AC542" s="85">
        <v>54.831914357682621</v>
      </c>
      <c r="AD542" s="85">
        <v>3.3601176321132975</v>
      </c>
      <c r="AE542" s="85">
        <v>14.248968010204084</v>
      </c>
      <c r="AF542" s="85">
        <v>0</v>
      </c>
      <c r="AG542" s="85">
        <v>72.441000000000003</v>
      </c>
      <c r="AH542" s="85">
        <v>0</v>
      </c>
      <c r="AI542" s="85">
        <v>0</v>
      </c>
      <c r="AJ542" s="85">
        <v>0</v>
      </c>
      <c r="AK542" s="85">
        <v>0</v>
      </c>
      <c r="AL542" s="85">
        <v>0</v>
      </c>
      <c r="AM542" s="85">
        <v>0</v>
      </c>
      <c r="AN542" s="85">
        <v>0</v>
      </c>
      <c r="AO542" s="85">
        <v>0</v>
      </c>
      <c r="AP542" s="85">
        <v>0</v>
      </c>
      <c r="AQ542" s="85">
        <v>0</v>
      </c>
      <c r="AR542" s="85">
        <v>0</v>
      </c>
      <c r="AS542" s="85">
        <v>0</v>
      </c>
      <c r="AT542" s="85">
        <v>0</v>
      </c>
      <c r="AU542" s="85">
        <v>0</v>
      </c>
      <c r="AV542" s="85">
        <v>0</v>
      </c>
      <c r="AW542" s="85">
        <v>0</v>
      </c>
      <c r="AX542" s="85">
        <v>0</v>
      </c>
      <c r="AY542" s="85">
        <v>72.441000000000003</v>
      </c>
      <c r="AZ542" s="85">
        <v>0</v>
      </c>
      <c r="BA542" s="85">
        <v>0</v>
      </c>
      <c r="BB542" s="89">
        <v>0</v>
      </c>
      <c r="BC542" s="89">
        <v>72.441000000000003</v>
      </c>
      <c r="BD542" s="37">
        <v>0</v>
      </c>
      <c r="BE542" s="37">
        <v>15641</v>
      </c>
      <c r="BF542" s="279">
        <v>24932</v>
      </c>
      <c r="BG542" s="37">
        <v>23650</v>
      </c>
      <c r="BH542" s="37">
        <v>9742</v>
      </c>
      <c r="BI542" s="37">
        <v>0</v>
      </c>
      <c r="BJ542" s="283">
        <v>58324</v>
      </c>
      <c r="BK542" s="161"/>
      <c r="BL542" s="294"/>
      <c r="BM542"/>
      <c r="BN542"/>
      <c r="BO542"/>
      <c r="BP542"/>
      <c r="BQ542"/>
      <c r="BR542"/>
      <c r="BS542"/>
      <c r="BT542"/>
      <c r="BU542"/>
      <c r="BV542"/>
      <c r="BW542"/>
      <c r="BX542"/>
      <c r="BY542"/>
      <c r="BZ542"/>
      <c r="CA542"/>
      <c r="CB542"/>
      <c r="CC542"/>
      <c r="CD542"/>
      <c r="CE542"/>
      <c r="CF542"/>
      <c r="CG542"/>
      <c r="CH542"/>
      <c r="CI542"/>
      <c r="CJ542"/>
    </row>
    <row r="543" spans="1:88" s="32" customFormat="1" ht="15" customHeight="1" x14ac:dyDescent="0.35">
      <c r="A543" s="473"/>
      <c r="B543" s="315">
        <v>77065</v>
      </c>
      <c r="C543" s="9" t="s">
        <v>765</v>
      </c>
      <c r="D543" s="23">
        <v>15</v>
      </c>
      <c r="E543" s="251">
        <v>648</v>
      </c>
      <c r="F543" s="82">
        <v>1.3699421965317919</v>
      </c>
      <c r="G543" s="79">
        <v>887.72254335260118</v>
      </c>
      <c r="H543" s="90">
        <v>11.824999999999999</v>
      </c>
      <c r="I543" s="85">
        <v>12.228999999999999</v>
      </c>
      <c r="J543" s="85">
        <v>13.276999999999999</v>
      </c>
      <c r="K543" s="85">
        <v>19.352</v>
      </c>
      <c r="L543" s="85">
        <v>15.615</v>
      </c>
      <c r="M543" s="85">
        <v>16.699000000000002</v>
      </c>
      <c r="N543" s="85">
        <v>20.477</v>
      </c>
      <c r="O543" s="85">
        <v>20.161000000000001</v>
      </c>
      <c r="P543" s="85">
        <v>27.34</v>
      </c>
      <c r="Q543" s="85">
        <v>19.423999999999999</v>
      </c>
      <c r="R543" s="85">
        <v>13.555</v>
      </c>
      <c r="S543" s="89">
        <v>10.752000000000001</v>
      </c>
      <c r="T543" s="89">
        <v>200.70600000000002</v>
      </c>
      <c r="U543" s="85">
        <v>11.631</v>
      </c>
      <c r="V543" s="85">
        <v>189.07499999999999</v>
      </c>
      <c r="W543" s="85">
        <v>0</v>
      </c>
      <c r="X543" s="89">
        <v>200.70599999999999</v>
      </c>
      <c r="Y543" s="79">
        <v>1</v>
      </c>
      <c r="Z543" s="79">
        <v>2</v>
      </c>
      <c r="AA543" s="94">
        <v>0</v>
      </c>
      <c r="AB543" s="79">
        <v>3</v>
      </c>
      <c r="AC543" s="85">
        <v>129.994</v>
      </c>
      <c r="AD543" s="85">
        <v>41.670999999999999</v>
      </c>
      <c r="AE543" s="85">
        <v>29.041</v>
      </c>
      <c r="AF543" s="85">
        <v>0</v>
      </c>
      <c r="AG543" s="85">
        <v>200.70599999999999</v>
      </c>
      <c r="AH543" s="85">
        <v>0</v>
      </c>
      <c r="AI543" s="85">
        <v>0</v>
      </c>
      <c r="AJ543" s="85">
        <v>0</v>
      </c>
      <c r="AK543" s="85">
        <v>11.631</v>
      </c>
      <c r="AL543" s="85">
        <v>0</v>
      </c>
      <c r="AM543" s="85">
        <v>0</v>
      </c>
      <c r="AN543" s="85">
        <v>0</v>
      </c>
      <c r="AO543" s="85">
        <v>0</v>
      </c>
      <c r="AP543" s="85">
        <v>0</v>
      </c>
      <c r="AQ543" s="85">
        <v>0</v>
      </c>
      <c r="AR543" s="85">
        <v>11.631</v>
      </c>
      <c r="AS543" s="85">
        <v>0</v>
      </c>
      <c r="AT543" s="85">
        <v>0</v>
      </c>
      <c r="AU543" s="85">
        <v>0</v>
      </c>
      <c r="AV543" s="85">
        <v>0</v>
      </c>
      <c r="AW543" s="85">
        <v>0</v>
      </c>
      <c r="AX543" s="85">
        <v>0</v>
      </c>
      <c r="AY543" s="85">
        <v>189.07499999999999</v>
      </c>
      <c r="AZ543" s="85">
        <v>0</v>
      </c>
      <c r="BA543" s="85">
        <v>0</v>
      </c>
      <c r="BB543" s="89">
        <v>0</v>
      </c>
      <c r="BC543" s="89">
        <v>189.07499999999999</v>
      </c>
      <c r="BD543" s="37">
        <v>0</v>
      </c>
      <c r="BE543" s="37">
        <v>0</v>
      </c>
      <c r="BF543" s="279">
        <v>51907</v>
      </c>
      <c r="BG543" s="37">
        <v>107773</v>
      </c>
      <c r="BH543" s="37">
        <v>46917</v>
      </c>
      <c r="BI543" s="37">
        <v>0</v>
      </c>
      <c r="BJ543" s="283">
        <v>206597</v>
      </c>
      <c r="BK543" s="161" t="s">
        <v>2566</v>
      </c>
      <c r="BL543" s="294"/>
      <c r="BM543"/>
      <c r="BN543"/>
      <c r="BO543"/>
      <c r="BP543"/>
      <c r="BQ543"/>
      <c r="BR543"/>
      <c r="BS543"/>
      <c r="BT543"/>
      <c r="BU543"/>
      <c r="BV543"/>
      <c r="BW543"/>
      <c r="BX543"/>
      <c r="BY543"/>
      <c r="BZ543"/>
      <c r="CA543"/>
      <c r="CB543"/>
      <c r="CC543"/>
      <c r="CD543"/>
      <c r="CE543"/>
      <c r="CF543"/>
      <c r="CG543"/>
      <c r="CH543"/>
      <c r="CI543"/>
      <c r="CJ543"/>
    </row>
    <row r="544" spans="1:88" s="32" customFormat="1" ht="15" customHeight="1" x14ac:dyDescent="0.35">
      <c r="A544" s="473"/>
      <c r="B544" s="313">
        <v>40010</v>
      </c>
      <c r="C544" s="8" t="s">
        <v>359</v>
      </c>
      <c r="D544" s="18">
        <v>5</v>
      </c>
      <c r="E544" s="251"/>
      <c r="F544" s="82"/>
      <c r="G544" s="79"/>
      <c r="H544" s="90"/>
      <c r="I544" s="85"/>
      <c r="J544" s="85"/>
      <c r="K544" s="85"/>
      <c r="L544" s="85"/>
      <c r="M544" s="85"/>
      <c r="N544" s="85"/>
      <c r="O544" s="85"/>
      <c r="P544" s="85"/>
      <c r="Q544" s="85"/>
      <c r="R544" s="85"/>
      <c r="S544" s="89"/>
      <c r="T544" s="89" t="s">
        <v>1124</v>
      </c>
      <c r="U544" s="85"/>
      <c r="V544" s="85"/>
      <c r="W544" s="85"/>
      <c r="X544" s="89" t="s">
        <v>1124</v>
      </c>
      <c r="Y544" s="79"/>
      <c r="Z544" s="79"/>
      <c r="AA544" s="94"/>
      <c r="AB544" s="79" t="s">
        <v>1124</v>
      </c>
      <c r="AC544" s="85"/>
      <c r="AD544" s="85"/>
      <c r="AE544" s="85"/>
      <c r="AF544" s="85"/>
      <c r="AG544" s="85" t="s">
        <v>1124</v>
      </c>
      <c r="AH544" s="85"/>
      <c r="AI544" s="85"/>
      <c r="AJ544" s="85"/>
      <c r="AK544" s="85"/>
      <c r="AL544" s="85"/>
      <c r="AM544" s="85"/>
      <c r="AN544" s="85"/>
      <c r="AO544" s="85"/>
      <c r="AP544" s="85"/>
      <c r="AQ544" s="85"/>
      <c r="AR544" s="85" t="s">
        <v>1124</v>
      </c>
      <c r="AS544" s="85"/>
      <c r="AT544" s="85"/>
      <c r="AU544" s="85"/>
      <c r="AV544" s="85"/>
      <c r="AW544" s="85"/>
      <c r="AX544" s="85"/>
      <c r="AY544" s="85"/>
      <c r="AZ544" s="85"/>
      <c r="BA544" s="85"/>
      <c r="BB544" s="89"/>
      <c r="BC544" s="89" t="s">
        <v>1124</v>
      </c>
      <c r="BD544" s="37"/>
      <c r="BE544" s="37"/>
      <c r="BF544" s="279"/>
      <c r="BG544" s="37"/>
      <c r="BH544" s="37"/>
      <c r="BI544" s="37"/>
      <c r="BJ544" s="283"/>
      <c r="BK544" s="161"/>
      <c r="BL544" s="294"/>
      <c r="BM544"/>
      <c r="BN544"/>
      <c r="BO544"/>
      <c r="BP544"/>
      <c r="BQ544"/>
      <c r="BR544"/>
      <c r="BS544"/>
      <c r="BT544"/>
      <c r="BU544"/>
      <c r="BV544"/>
      <c r="BW544"/>
      <c r="BX544"/>
      <c r="BY544"/>
      <c r="BZ544"/>
      <c r="CA544"/>
      <c r="CB544"/>
      <c r="CC544"/>
      <c r="CD544"/>
      <c r="CE544"/>
      <c r="CF544"/>
      <c r="CG544"/>
      <c r="CH544"/>
      <c r="CI544"/>
      <c r="CJ544"/>
    </row>
    <row r="545" spans="1:88" s="32" customFormat="1" ht="15" customHeight="1" x14ac:dyDescent="0.35">
      <c r="A545" s="473"/>
      <c r="B545" s="313">
        <v>31095</v>
      </c>
      <c r="C545" s="8" t="s">
        <v>249</v>
      </c>
      <c r="D545" s="18">
        <v>12</v>
      </c>
      <c r="E545" s="251"/>
      <c r="F545" s="82"/>
      <c r="G545" s="79"/>
      <c r="H545" s="90"/>
      <c r="I545" s="85"/>
      <c r="J545" s="85"/>
      <c r="K545" s="85"/>
      <c r="L545" s="85"/>
      <c r="M545" s="85"/>
      <c r="N545" s="85"/>
      <c r="O545" s="85"/>
      <c r="P545" s="85"/>
      <c r="Q545" s="85"/>
      <c r="R545" s="85"/>
      <c r="S545" s="89"/>
      <c r="T545" s="89" t="s">
        <v>1124</v>
      </c>
      <c r="U545" s="85"/>
      <c r="V545" s="85"/>
      <c r="W545" s="85"/>
      <c r="X545" s="89" t="s">
        <v>1124</v>
      </c>
      <c r="Y545" s="79"/>
      <c r="Z545" s="79"/>
      <c r="AA545" s="94"/>
      <c r="AB545" s="79" t="s">
        <v>1124</v>
      </c>
      <c r="AC545" s="85"/>
      <c r="AD545" s="85"/>
      <c r="AE545" s="85"/>
      <c r="AF545" s="85"/>
      <c r="AG545" s="85" t="s">
        <v>1124</v>
      </c>
      <c r="AH545" s="85"/>
      <c r="AI545" s="85"/>
      <c r="AJ545" s="85"/>
      <c r="AK545" s="85"/>
      <c r="AL545" s="85"/>
      <c r="AM545" s="85"/>
      <c r="AN545" s="85"/>
      <c r="AO545" s="85"/>
      <c r="AP545" s="85"/>
      <c r="AQ545" s="85"/>
      <c r="AR545" s="85" t="s">
        <v>1124</v>
      </c>
      <c r="AS545" s="85"/>
      <c r="AT545" s="85"/>
      <c r="AU545" s="85"/>
      <c r="AV545" s="85"/>
      <c r="AW545" s="85"/>
      <c r="AX545" s="85"/>
      <c r="AY545" s="85"/>
      <c r="AZ545" s="85"/>
      <c r="BA545" s="85"/>
      <c r="BB545" s="89"/>
      <c r="BC545" s="89" t="s">
        <v>1124</v>
      </c>
      <c r="BD545" s="37"/>
      <c r="BE545" s="37"/>
      <c r="BF545" s="279"/>
      <c r="BG545" s="37"/>
      <c r="BH545" s="37"/>
      <c r="BI545" s="37"/>
      <c r="BJ545" s="283"/>
      <c r="BK545" s="161"/>
      <c r="BL545" s="294"/>
      <c r="BM545"/>
      <c r="BN545"/>
      <c r="BO545"/>
      <c r="BP545"/>
      <c r="BQ545"/>
      <c r="BR545"/>
      <c r="BS545"/>
      <c r="BT545"/>
      <c r="BU545"/>
      <c r="BV545"/>
      <c r="BW545"/>
      <c r="BX545"/>
      <c r="BY545"/>
      <c r="BZ545"/>
      <c r="CA545"/>
      <c r="CB545"/>
      <c r="CC545"/>
      <c r="CD545"/>
      <c r="CE545"/>
      <c r="CF545"/>
      <c r="CG545"/>
      <c r="CH545"/>
      <c r="CI545"/>
      <c r="CJ545"/>
    </row>
    <row r="546" spans="1:88" s="32" customFormat="1" ht="15" customHeight="1" x14ac:dyDescent="0.35">
      <c r="A546" s="473"/>
      <c r="B546" s="313">
        <v>33045</v>
      </c>
      <c r="C546" s="8" t="s">
        <v>273</v>
      </c>
      <c r="D546" s="18">
        <v>12</v>
      </c>
      <c r="E546" s="251">
        <v>1507</v>
      </c>
      <c r="F546" s="82">
        <v>2.3329815303430079</v>
      </c>
      <c r="G546" s="79">
        <v>3515.8031662269132</v>
      </c>
      <c r="H546" s="90">
        <v>26.792999999999999</v>
      </c>
      <c r="I546" s="85">
        <v>23.196000000000002</v>
      </c>
      <c r="J546" s="85">
        <v>25.753</v>
      </c>
      <c r="K546" s="85">
        <v>25.741</v>
      </c>
      <c r="L546" s="85">
        <v>30.693000000000001</v>
      </c>
      <c r="M546" s="85">
        <v>28.13</v>
      </c>
      <c r="N546" s="85">
        <v>30.603000000000002</v>
      </c>
      <c r="O546" s="85">
        <v>28.280999999999999</v>
      </c>
      <c r="P546" s="85">
        <v>27.143000000000001</v>
      </c>
      <c r="Q546" s="85">
        <v>26.873000000000001</v>
      </c>
      <c r="R546" s="85">
        <v>25.411000000000001</v>
      </c>
      <c r="S546" s="89">
        <v>25.312000000000001</v>
      </c>
      <c r="T546" s="89">
        <v>323.92900000000003</v>
      </c>
      <c r="U546" s="85">
        <v>0</v>
      </c>
      <c r="V546" s="85">
        <v>323.92899999999997</v>
      </c>
      <c r="W546" s="85">
        <v>0</v>
      </c>
      <c r="X546" s="89">
        <v>323.92899999999997</v>
      </c>
      <c r="Y546" s="79">
        <v>0</v>
      </c>
      <c r="Z546" s="79">
        <v>1</v>
      </c>
      <c r="AA546" s="94">
        <v>0</v>
      </c>
      <c r="AB546" s="79">
        <v>1</v>
      </c>
      <c r="AC546" s="85">
        <v>201.38</v>
      </c>
      <c r="AD546" s="85">
        <v>85.138999999999996</v>
      </c>
      <c r="AE546" s="85">
        <v>37.409999999999997</v>
      </c>
      <c r="AF546" s="85">
        <v>0</v>
      </c>
      <c r="AG546" s="85">
        <v>323.92899999999997</v>
      </c>
      <c r="AH546" s="85">
        <v>0</v>
      </c>
      <c r="AI546" s="85">
        <v>0</v>
      </c>
      <c r="AJ546" s="85">
        <v>0</v>
      </c>
      <c r="AK546" s="85">
        <v>0</v>
      </c>
      <c r="AL546" s="85">
        <v>0</v>
      </c>
      <c r="AM546" s="85">
        <v>0</v>
      </c>
      <c r="AN546" s="85">
        <v>0</v>
      </c>
      <c r="AO546" s="85">
        <v>0</v>
      </c>
      <c r="AP546" s="85">
        <v>0</v>
      </c>
      <c r="AQ546" s="85">
        <v>0</v>
      </c>
      <c r="AR546" s="85">
        <v>0</v>
      </c>
      <c r="AS546" s="85">
        <v>323.92899999999997</v>
      </c>
      <c r="AT546" s="85">
        <v>0</v>
      </c>
      <c r="AU546" s="85">
        <v>0</v>
      </c>
      <c r="AV546" s="85">
        <v>0</v>
      </c>
      <c r="AW546" s="85">
        <v>0</v>
      </c>
      <c r="AX546" s="85">
        <v>0</v>
      </c>
      <c r="AY546" s="85">
        <v>0</v>
      </c>
      <c r="AZ546" s="85">
        <v>0</v>
      </c>
      <c r="BA546" s="85">
        <v>0</v>
      </c>
      <c r="BB546" s="89">
        <v>0</v>
      </c>
      <c r="BC546" s="89">
        <v>323.92899999999997</v>
      </c>
      <c r="BD546" s="37">
        <v>0</v>
      </c>
      <c r="BE546" s="37">
        <v>0</v>
      </c>
      <c r="BF546" s="279">
        <v>139775</v>
      </c>
      <c r="BG546" s="37">
        <v>119001</v>
      </c>
      <c r="BH546" s="37">
        <v>70800</v>
      </c>
      <c r="BI546" s="37">
        <v>16679</v>
      </c>
      <c r="BJ546" s="283">
        <v>346255</v>
      </c>
      <c r="BK546" s="161"/>
      <c r="BL546" s="294"/>
      <c r="BM546"/>
      <c r="BN546"/>
      <c r="BO546"/>
      <c r="BP546"/>
      <c r="BQ546"/>
      <c r="BR546"/>
      <c r="BS546"/>
      <c r="BT546"/>
      <c r="BU546"/>
      <c r="BV546"/>
      <c r="BW546"/>
      <c r="BX546"/>
      <c r="BY546"/>
      <c r="BZ546"/>
      <c r="CA546"/>
      <c r="CB546"/>
      <c r="CC546"/>
      <c r="CD546"/>
      <c r="CE546"/>
      <c r="CF546"/>
      <c r="CG546"/>
      <c r="CH546"/>
      <c r="CI546"/>
      <c r="CJ546"/>
    </row>
    <row r="547" spans="1:88" s="32" customFormat="1" ht="15" customHeight="1" x14ac:dyDescent="0.35">
      <c r="A547" s="473"/>
      <c r="B547" s="313">
        <v>53015</v>
      </c>
      <c r="C547" s="8" t="s">
        <v>532</v>
      </c>
      <c r="D547" s="18">
        <v>16</v>
      </c>
      <c r="E547" s="251"/>
      <c r="F547" s="82"/>
      <c r="G547" s="79"/>
      <c r="H547" s="90"/>
      <c r="I547" s="85"/>
      <c r="J547" s="85"/>
      <c r="K547" s="85"/>
      <c r="L547" s="85"/>
      <c r="M547" s="85"/>
      <c r="N547" s="85"/>
      <c r="O547" s="85"/>
      <c r="P547" s="85"/>
      <c r="Q547" s="85"/>
      <c r="R547" s="85"/>
      <c r="S547" s="89"/>
      <c r="T547" s="89" t="s">
        <v>1124</v>
      </c>
      <c r="U547" s="85"/>
      <c r="V547" s="85"/>
      <c r="W547" s="85"/>
      <c r="X547" s="89" t="s">
        <v>1124</v>
      </c>
      <c r="Y547" s="79"/>
      <c r="Z547" s="79"/>
      <c r="AA547" s="94"/>
      <c r="AB547" s="79" t="s">
        <v>1124</v>
      </c>
      <c r="AC547" s="85"/>
      <c r="AD547" s="85"/>
      <c r="AE547" s="85"/>
      <c r="AF547" s="85"/>
      <c r="AG547" s="85" t="s">
        <v>1124</v>
      </c>
      <c r="AH547" s="85"/>
      <c r="AI547" s="85"/>
      <c r="AJ547" s="85"/>
      <c r="AK547" s="85"/>
      <c r="AL547" s="85"/>
      <c r="AM547" s="85"/>
      <c r="AN547" s="85"/>
      <c r="AO547" s="85"/>
      <c r="AP547" s="85"/>
      <c r="AQ547" s="85"/>
      <c r="AR547" s="85" t="s">
        <v>1124</v>
      </c>
      <c r="AS547" s="85"/>
      <c r="AT547" s="85"/>
      <c r="AU547" s="85"/>
      <c r="AV547" s="85"/>
      <c r="AW547" s="85"/>
      <c r="AX547" s="85"/>
      <c r="AY547" s="85"/>
      <c r="AZ547" s="85"/>
      <c r="BA547" s="85"/>
      <c r="BB547" s="89"/>
      <c r="BC547" s="89" t="s">
        <v>1124</v>
      </c>
      <c r="BD547" s="37"/>
      <c r="BE547" s="37"/>
      <c r="BF547" s="279"/>
      <c r="BG547" s="37"/>
      <c r="BH547" s="37"/>
      <c r="BI547" s="37"/>
      <c r="BJ547" s="283"/>
      <c r="BK547" s="161"/>
      <c r="BL547" s="294"/>
      <c r="BM547"/>
      <c r="BN547"/>
      <c r="BO547"/>
      <c r="BP547"/>
      <c r="BQ547"/>
      <c r="BR547"/>
      <c r="BS547"/>
      <c r="BT547"/>
      <c r="BU547"/>
      <c r="BV547"/>
      <c r="BW547"/>
      <c r="BX547"/>
      <c r="BY547"/>
      <c r="BZ547"/>
      <c r="CA547"/>
      <c r="CB547"/>
      <c r="CC547"/>
      <c r="CD547"/>
      <c r="CE547"/>
      <c r="CF547"/>
      <c r="CG547"/>
      <c r="CH547"/>
      <c r="CI547"/>
      <c r="CJ547"/>
    </row>
    <row r="548" spans="1:88" s="32" customFormat="1" ht="15" customHeight="1" x14ac:dyDescent="0.35">
      <c r="A548" s="473"/>
      <c r="B548" s="313">
        <v>15030</v>
      </c>
      <c r="C548" s="8" t="s">
        <v>80</v>
      </c>
      <c r="D548" s="18">
        <v>3</v>
      </c>
      <c r="E548" s="251"/>
      <c r="F548" s="82"/>
      <c r="G548" s="79"/>
      <c r="H548" s="90"/>
      <c r="I548" s="85"/>
      <c r="J548" s="85"/>
      <c r="K548" s="85"/>
      <c r="L548" s="85"/>
      <c r="M548" s="85"/>
      <c r="N548" s="85"/>
      <c r="O548" s="85"/>
      <c r="P548" s="85"/>
      <c r="Q548" s="85"/>
      <c r="R548" s="85"/>
      <c r="S548" s="89"/>
      <c r="T548" s="89" t="s">
        <v>1124</v>
      </c>
      <c r="U548" s="85"/>
      <c r="V548" s="85"/>
      <c r="W548" s="85"/>
      <c r="X548" s="89" t="s">
        <v>1124</v>
      </c>
      <c r="Y548" s="79"/>
      <c r="Z548" s="79"/>
      <c r="AA548" s="94"/>
      <c r="AB548" s="79" t="s">
        <v>1124</v>
      </c>
      <c r="AC548" s="85"/>
      <c r="AD548" s="85"/>
      <c r="AE548" s="85"/>
      <c r="AF548" s="85"/>
      <c r="AG548" s="85" t="s">
        <v>1124</v>
      </c>
      <c r="AH548" s="85"/>
      <c r="AI548" s="85"/>
      <c r="AJ548" s="85"/>
      <c r="AK548" s="85"/>
      <c r="AL548" s="85"/>
      <c r="AM548" s="85"/>
      <c r="AN548" s="85"/>
      <c r="AO548" s="85"/>
      <c r="AP548" s="85"/>
      <c r="AQ548" s="85"/>
      <c r="AR548" s="85" t="s">
        <v>1124</v>
      </c>
      <c r="AS548" s="85"/>
      <c r="AT548" s="85"/>
      <c r="AU548" s="85"/>
      <c r="AV548" s="85"/>
      <c r="AW548" s="85"/>
      <c r="AX548" s="85"/>
      <c r="AY548" s="85"/>
      <c r="AZ548" s="85"/>
      <c r="BA548" s="85"/>
      <c r="BB548" s="89"/>
      <c r="BC548" s="89" t="s">
        <v>1124</v>
      </c>
      <c r="BD548" s="37"/>
      <c r="BE548" s="37"/>
      <c r="BF548" s="279"/>
      <c r="BG548" s="37"/>
      <c r="BH548" s="37"/>
      <c r="BI548" s="37"/>
      <c r="BJ548" s="283"/>
      <c r="BK548" s="161"/>
      <c r="BL548" s="294"/>
      <c r="BM548"/>
      <c r="BN548"/>
      <c r="BO548"/>
      <c r="BP548"/>
      <c r="BQ548"/>
      <c r="BR548"/>
      <c r="BS548"/>
      <c r="BT548"/>
      <c r="BU548"/>
      <c r="BV548"/>
      <c r="BW548"/>
      <c r="BX548"/>
      <c r="BY548"/>
      <c r="BZ548"/>
      <c r="CA548"/>
      <c r="CB548"/>
      <c r="CC548"/>
      <c r="CD548"/>
      <c r="CE548"/>
      <c r="CF548"/>
      <c r="CG548"/>
      <c r="CH548"/>
      <c r="CI548"/>
      <c r="CJ548"/>
    </row>
    <row r="549" spans="1:88" s="32" customFormat="1" ht="15" customHeight="1" x14ac:dyDescent="0.35">
      <c r="A549" s="473"/>
      <c r="B549" s="313">
        <v>79022</v>
      </c>
      <c r="C549" s="8" t="s">
        <v>789</v>
      </c>
      <c r="D549" s="18">
        <v>15</v>
      </c>
      <c r="E549" s="251"/>
      <c r="F549" s="82"/>
      <c r="G549" s="79"/>
      <c r="H549" s="90"/>
      <c r="I549" s="85"/>
      <c r="J549" s="85"/>
      <c r="K549" s="85"/>
      <c r="L549" s="85"/>
      <c r="M549" s="85"/>
      <c r="N549" s="85"/>
      <c r="O549" s="85"/>
      <c r="P549" s="85"/>
      <c r="Q549" s="85"/>
      <c r="R549" s="85"/>
      <c r="S549" s="89"/>
      <c r="T549" s="89" t="s">
        <v>1124</v>
      </c>
      <c r="U549" s="85"/>
      <c r="V549" s="85"/>
      <c r="W549" s="85"/>
      <c r="X549" s="89" t="s">
        <v>1124</v>
      </c>
      <c r="Y549" s="79"/>
      <c r="Z549" s="79"/>
      <c r="AA549" s="94"/>
      <c r="AB549" s="79" t="s">
        <v>1124</v>
      </c>
      <c r="AC549" s="85"/>
      <c r="AD549" s="85"/>
      <c r="AE549" s="85"/>
      <c r="AF549" s="85"/>
      <c r="AG549" s="85" t="s">
        <v>1124</v>
      </c>
      <c r="AH549" s="85"/>
      <c r="AI549" s="85"/>
      <c r="AJ549" s="85"/>
      <c r="AK549" s="85"/>
      <c r="AL549" s="85"/>
      <c r="AM549" s="85"/>
      <c r="AN549" s="85"/>
      <c r="AO549" s="85"/>
      <c r="AP549" s="85"/>
      <c r="AQ549" s="85"/>
      <c r="AR549" s="85" t="s">
        <v>1124</v>
      </c>
      <c r="AS549" s="85"/>
      <c r="AT549" s="85"/>
      <c r="AU549" s="85"/>
      <c r="AV549" s="85"/>
      <c r="AW549" s="85"/>
      <c r="AX549" s="85"/>
      <c r="AY549" s="85"/>
      <c r="AZ549" s="85"/>
      <c r="BA549" s="85"/>
      <c r="BB549" s="89"/>
      <c r="BC549" s="89" t="s">
        <v>1124</v>
      </c>
      <c r="BD549" s="37"/>
      <c r="BE549" s="37"/>
      <c r="BF549" s="279"/>
      <c r="BG549" s="37"/>
      <c r="BH549" s="37"/>
      <c r="BI549" s="37"/>
      <c r="BJ549" s="283"/>
      <c r="BK549" s="161"/>
      <c r="BL549" s="294"/>
      <c r="BM549"/>
      <c r="BN549"/>
      <c r="BO549"/>
      <c r="BP549"/>
      <c r="BQ549"/>
      <c r="BR549"/>
      <c r="BS549"/>
      <c r="BT549"/>
      <c r="BU549"/>
      <c r="BV549"/>
      <c r="BW549"/>
      <c r="BX549"/>
      <c r="BY549"/>
      <c r="BZ549"/>
      <c r="CA549"/>
      <c r="CB549"/>
      <c r="CC549"/>
      <c r="CD549"/>
      <c r="CE549"/>
      <c r="CF549"/>
      <c r="CG549"/>
      <c r="CH549"/>
      <c r="CI549"/>
      <c r="CJ549"/>
    </row>
    <row r="550" spans="1:88" s="32" customFormat="1" ht="15" customHeight="1" x14ac:dyDescent="0.35">
      <c r="A550" s="473"/>
      <c r="B550" s="313">
        <v>34097</v>
      </c>
      <c r="C550" s="8" t="s">
        <v>297</v>
      </c>
      <c r="D550" s="18">
        <v>3</v>
      </c>
      <c r="E550" s="251">
        <v>469</v>
      </c>
      <c r="F550" s="82">
        <v>2.2623853211009175</v>
      </c>
      <c r="G550" s="79">
        <v>1061.0587155963303</v>
      </c>
      <c r="H550" s="90">
        <v>8.8810000000000002</v>
      </c>
      <c r="I550" s="85">
        <v>7.9790000000000001</v>
      </c>
      <c r="J550" s="85">
        <v>9.0069999999999997</v>
      </c>
      <c r="K550" s="85">
        <v>9.516</v>
      </c>
      <c r="L550" s="85">
        <v>10.129999999999999</v>
      </c>
      <c r="M550" s="85">
        <v>12.612000000000002</v>
      </c>
      <c r="N550" s="85">
        <v>13.422000000000001</v>
      </c>
      <c r="O550" s="85">
        <v>12.004999999999999</v>
      </c>
      <c r="P550" s="85">
        <v>11.624000000000001</v>
      </c>
      <c r="Q550" s="85">
        <v>13.526999999999999</v>
      </c>
      <c r="R550" s="85">
        <v>12.414</v>
      </c>
      <c r="S550" s="89">
        <v>10.083</v>
      </c>
      <c r="T550" s="89">
        <v>131.19999999999999</v>
      </c>
      <c r="U550" s="85">
        <v>0</v>
      </c>
      <c r="V550" s="85">
        <v>131.19999999999999</v>
      </c>
      <c r="W550" s="85">
        <v>0</v>
      </c>
      <c r="X550" s="89">
        <v>131.19999999999999</v>
      </c>
      <c r="Y550" s="79">
        <v>0</v>
      </c>
      <c r="Z550" s="79">
        <v>2</v>
      </c>
      <c r="AA550" s="94">
        <v>0</v>
      </c>
      <c r="AB550" s="79">
        <v>2</v>
      </c>
      <c r="AC550" s="85">
        <v>94.702226737474035</v>
      </c>
      <c r="AD550" s="85">
        <v>5.6867732625259535</v>
      </c>
      <c r="AE550" s="85">
        <v>30.811</v>
      </c>
      <c r="AF550" s="85">
        <v>0</v>
      </c>
      <c r="AG550" s="85">
        <v>131.19999999999999</v>
      </c>
      <c r="AH550" s="85">
        <v>0</v>
      </c>
      <c r="AI550" s="85">
        <v>0</v>
      </c>
      <c r="AJ550" s="85">
        <v>0</v>
      </c>
      <c r="AK550" s="85">
        <v>0</v>
      </c>
      <c r="AL550" s="85">
        <v>0</v>
      </c>
      <c r="AM550" s="85">
        <v>0</v>
      </c>
      <c r="AN550" s="85">
        <v>0</v>
      </c>
      <c r="AO550" s="85">
        <v>0</v>
      </c>
      <c r="AP550" s="85">
        <v>0</v>
      </c>
      <c r="AQ550" s="85">
        <v>0</v>
      </c>
      <c r="AR550" s="85">
        <v>0</v>
      </c>
      <c r="AS550" s="85">
        <v>0</v>
      </c>
      <c r="AT550" s="85">
        <v>0</v>
      </c>
      <c r="AU550" s="85">
        <v>0</v>
      </c>
      <c r="AV550" s="85">
        <v>0</v>
      </c>
      <c r="AW550" s="85">
        <v>0</v>
      </c>
      <c r="AX550" s="85">
        <v>0</v>
      </c>
      <c r="AY550" s="85">
        <v>131.19999999999999</v>
      </c>
      <c r="AZ550" s="85">
        <v>0</v>
      </c>
      <c r="BA550" s="85">
        <v>0</v>
      </c>
      <c r="BB550" s="89">
        <v>0</v>
      </c>
      <c r="BC550" s="89">
        <v>131.19999999999999</v>
      </c>
      <c r="BD550" s="37">
        <v>0</v>
      </c>
      <c r="BE550" s="37">
        <v>0</v>
      </c>
      <c r="BF550" s="279">
        <v>20935</v>
      </c>
      <c r="BG550" s="37">
        <v>19401</v>
      </c>
      <c r="BH550" s="37">
        <v>9448</v>
      </c>
      <c r="BI550" s="37">
        <v>11082</v>
      </c>
      <c r="BJ550" s="283">
        <v>60866</v>
      </c>
      <c r="BK550" s="161"/>
      <c r="BL550" s="294"/>
      <c r="BM550"/>
      <c r="BN550"/>
      <c r="BO550"/>
      <c r="BP550"/>
      <c r="BQ550"/>
      <c r="BR550"/>
      <c r="BS550"/>
      <c r="BT550"/>
      <c r="BU550"/>
      <c r="BV550"/>
      <c r="BW550"/>
      <c r="BX550"/>
      <c r="BY550"/>
      <c r="BZ550"/>
      <c r="CA550"/>
      <c r="CB550"/>
      <c r="CC550"/>
      <c r="CD550"/>
      <c r="CE550"/>
      <c r="CF550"/>
      <c r="CG550"/>
      <c r="CH550"/>
      <c r="CI550"/>
      <c r="CJ550"/>
    </row>
    <row r="551" spans="1:88" s="32" customFormat="1" ht="15" customHeight="1" x14ac:dyDescent="0.35">
      <c r="A551" s="473"/>
      <c r="B551" s="313">
        <v>39085</v>
      </c>
      <c r="C551" s="8" t="s">
        <v>348</v>
      </c>
      <c r="D551" s="18">
        <v>17</v>
      </c>
      <c r="E551" s="251"/>
      <c r="F551" s="82"/>
      <c r="G551" s="79"/>
      <c r="H551" s="90"/>
      <c r="I551" s="85"/>
      <c r="J551" s="85"/>
      <c r="K551" s="85"/>
      <c r="L551" s="85"/>
      <c r="M551" s="85"/>
      <c r="N551" s="85"/>
      <c r="O551" s="85"/>
      <c r="P551" s="85"/>
      <c r="Q551" s="85"/>
      <c r="R551" s="85"/>
      <c r="S551" s="89"/>
      <c r="T551" s="89" t="s">
        <v>1124</v>
      </c>
      <c r="U551" s="85"/>
      <c r="V551" s="85"/>
      <c r="W551" s="85"/>
      <c r="X551" s="89" t="s">
        <v>1124</v>
      </c>
      <c r="Y551" s="79"/>
      <c r="Z551" s="79"/>
      <c r="AA551" s="94"/>
      <c r="AB551" s="79" t="s">
        <v>1124</v>
      </c>
      <c r="AC551" s="85"/>
      <c r="AD551" s="85"/>
      <c r="AE551" s="85"/>
      <c r="AF551" s="85"/>
      <c r="AG551" s="85" t="s">
        <v>1124</v>
      </c>
      <c r="AH551" s="85"/>
      <c r="AI551" s="85"/>
      <c r="AJ551" s="85"/>
      <c r="AK551" s="85"/>
      <c r="AL551" s="85"/>
      <c r="AM551" s="85"/>
      <c r="AN551" s="85"/>
      <c r="AO551" s="85"/>
      <c r="AP551" s="85"/>
      <c r="AQ551" s="85"/>
      <c r="AR551" s="85" t="s">
        <v>1124</v>
      </c>
      <c r="AS551" s="85"/>
      <c r="AT551" s="85"/>
      <c r="AU551" s="85"/>
      <c r="AV551" s="85"/>
      <c r="AW551" s="85"/>
      <c r="AX551" s="85"/>
      <c r="AY551" s="85"/>
      <c r="AZ551" s="85"/>
      <c r="BA551" s="85"/>
      <c r="BB551" s="89"/>
      <c r="BC551" s="89" t="s">
        <v>1124</v>
      </c>
      <c r="BD551" s="37"/>
      <c r="BE551" s="37"/>
      <c r="BF551" s="279"/>
      <c r="BG551" s="37"/>
      <c r="BH551" s="37"/>
      <c r="BI551" s="37"/>
      <c r="BJ551" s="283"/>
      <c r="BK551" s="161"/>
      <c r="BL551" s="294"/>
      <c r="BM551"/>
      <c r="BN551"/>
      <c r="BO551"/>
      <c r="BP551"/>
      <c r="BQ551"/>
      <c r="BR551"/>
      <c r="BS551"/>
      <c r="BT551"/>
      <c r="BU551"/>
      <c r="BV551"/>
      <c r="BW551"/>
      <c r="BX551"/>
      <c r="BY551"/>
      <c r="BZ551"/>
      <c r="CA551"/>
      <c r="CB551"/>
      <c r="CC551"/>
      <c r="CD551"/>
      <c r="CE551"/>
      <c r="CF551"/>
      <c r="CG551"/>
      <c r="CH551"/>
      <c r="CI551"/>
      <c r="CJ551"/>
    </row>
    <row r="552" spans="1:88" s="32" customFormat="1" ht="15" customHeight="1" x14ac:dyDescent="0.35">
      <c r="A552" s="473"/>
      <c r="B552" s="313">
        <v>56055</v>
      </c>
      <c r="C552" s="8" t="s">
        <v>575</v>
      </c>
      <c r="D552" s="18">
        <v>16</v>
      </c>
      <c r="E552" s="251">
        <v>655</v>
      </c>
      <c r="F552" s="82">
        <v>2.5199600798403194</v>
      </c>
      <c r="G552" s="79">
        <v>1650.5738522954093</v>
      </c>
      <c r="H552" s="90">
        <v>9.4659999999999993</v>
      </c>
      <c r="I552" s="85">
        <v>8.4730000000000008</v>
      </c>
      <c r="J552" s="85">
        <v>10.183999999999999</v>
      </c>
      <c r="K552" s="85">
        <v>10.393000000000001</v>
      </c>
      <c r="L552" s="85">
        <v>12.361000000000001</v>
      </c>
      <c r="M552" s="85">
        <v>13.406000000000001</v>
      </c>
      <c r="N552" s="85">
        <v>13.464</v>
      </c>
      <c r="O552" s="85">
        <v>11.542</v>
      </c>
      <c r="P552" s="85">
        <v>10.598000000000001</v>
      </c>
      <c r="Q552" s="85">
        <v>10.503</v>
      </c>
      <c r="R552" s="85">
        <v>10.464</v>
      </c>
      <c r="S552" s="89">
        <v>10.374000000000001</v>
      </c>
      <c r="T552" s="89">
        <v>131.22800000000001</v>
      </c>
      <c r="U552" s="85">
        <v>0</v>
      </c>
      <c r="V552" s="85">
        <v>131.22800000000001</v>
      </c>
      <c r="W552" s="85">
        <v>0</v>
      </c>
      <c r="X552" s="89">
        <v>131.22800000000001</v>
      </c>
      <c r="Y552" s="79">
        <v>0</v>
      </c>
      <c r="Z552" s="79">
        <v>1</v>
      </c>
      <c r="AA552" s="94">
        <v>0</v>
      </c>
      <c r="AB552" s="79">
        <v>1</v>
      </c>
      <c r="AC552" s="85">
        <v>94.344999999999999</v>
      </c>
      <c r="AD552" s="85">
        <v>10.877929793814435</v>
      </c>
      <c r="AE552" s="85">
        <v>26.005070206185575</v>
      </c>
      <c r="AF552" s="85">
        <v>0</v>
      </c>
      <c r="AG552" s="85">
        <v>131.22800000000001</v>
      </c>
      <c r="AH552" s="85">
        <v>0</v>
      </c>
      <c r="AI552" s="85">
        <v>0</v>
      </c>
      <c r="AJ552" s="85">
        <v>0</v>
      </c>
      <c r="AK552" s="85">
        <v>0</v>
      </c>
      <c r="AL552" s="85">
        <v>0</v>
      </c>
      <c r="AM552" s="85">
        <v>0</v>
      </c>
      <c r="AN552" s="85">
        <v>0</v>
      </c>
      <c r="AO552" s="85">
        <v>0</v>
      </c>
      <c r="AP552" s="85">
        <v>0</v>
      </c>
      <c r="AQ552" s="85">
        <v>0</v>
      </c>
      <c r="AR552" s="85">
        <v>0</v>
      </c>
      <c r="AS552" s="85">
        <v>131.22800000000001</v>
      </c>
      <c r="AT552" s="85">
        <v>0</v>
      </c>
      <c r="AU552" s="85">
        <v>0</v>
      </c>
      <c r="AV552" s="85">
        <v>0</v>
      </c>
      <c r="AW552" s="85">
        <v>0</v>
      </c>
      <c r="AX552" s="85">
        <v>0</v>
      </c>
      <c r="AY552" s="85">
        <v>0</v>
      </c>
      <c r="AZ552" s="85">
        <v>0</v>
      </c>
      <c r="BA552" s="85">
        <v>0</v>
      </c>
      <c r="BB552" s="89">
        <v>0</v>
      </c>
      <c r="BC552" s="89">
        <v>131.22800000000001</v>
      </c>
      <c r="BD552" s="37">
        <v>0</v>
      </c>
      <c r="BE552" s="37">
        <v>7467</v>
      </c>
      <c r="BF552" s="279">
        <v>18255</v>
      </c>
      <c r="BG552" s="37">
        <v>104350</v>
      </c>
      <c r="BH552" s="37">
        <v>14542</v>
      </c>
      <c r="BI552" s="37">
        <v>6563</v>
      </c>
      <c r="BJ552" s="283">
        <v>143710</v>
      </c>
      <c r="BK552" s="161"/>
      <c r="BL552" s="294"/>
      <c r="BM552"/>
      <c r="BN552"/>
      <c r="BO552"/>
      <c r="BP552"/>
      <c r="BQ552"/>
      <c r="BR552"/>
      <c r="BS552"/>
      <c r="BT552"/>
      <c r="BU552"/>
      <c r="BV552"/>
      <c r="BW552"/>
      <c r="BX552"/>
      <c r="BY552"/>
      <c r="BZ552"/>
      <c r="CA552"/>
      <c r="CB552"/>
      <c r="CC552"/>
      <c r="CD552"/>
      <c r="CE552"/>
      <c r="CF552"/>
      <c r="CG552"/>
      <c r="CH552"/>
      <c r="CI552"/>
      <c r="CJ552"/>
    </row>
    <row r="553" spans="1:88" s="32" customFormat="1" ht="15" customHeight="1" x14ac:dyDescent="0.35">
      <c r="A553" s="473"/>
      <c r="B553" s="313">
        <v>14035</v>
      </c>
      <c r="C553" s="8" t="s">
        <v>65</v>
      </c>
      <c r="D553" s="18">
        <v>1</v>
      </c>
      <c r="E553" s="251">
        <v>603</v>
      </c>
      <c r="F553" s="82">
        <v>2.5298944900351699</v>
      </c>
      <c r="G553" s="79">
        <v>1525.5263774912075</v>
      </c>
      <c r="H553" s="90">
        <v>28.306000000000001</v>
      </c>
      <c r="I553" s="85">
        <v>26.651</v>
      </c>
      <c r="J553" s="85">
        <v>29.821999999999999</v>
      </c>
      <c r="K553" s="85">
        <v>30.887</v>
      </c>
      <c r="L553" s="85">
        <v>31.321999999999999</v>
      </c>
      <c r="M553" s="85">
        <v>29.068999999999999</v>
      </c>
      <c r="N553" s="85">
        <v>33.363</v>
      </c>
      <c r="O553" s="85">
        <v>30.594999999999999</v>
      </c>
      <c r="P553" s="85">
        <v>26.081</v>
      </c>
      <c r="Q553" s="85">
        <v>28.096</v>
      </c>
      <c r="R553" s="85">
        <v>26.277000000000001</v>
      </c>
      <c r="S553" s="89">
        <v>26.713000000000001</v>
      </c>
      <c r="T553" s="89">
        <v>347.18200000000002</v>
      </c>
      <c r="U553" s="85">
        <v>0</v>
      </c>
      <c r="V553" s="85">
        <v>347.18200000000002</v>
      </c>
      <c r="W553" s="85">
        <v>0</v>
      </c>
      <c r="X553" s="89">
        <v>347.18200000000002</v>
      </c>
      <c r="Y553" s="79">
        <v>0</v>
      </c>
      <c r="Z553" s="79">
        <v>1</v>
      </c>
      <c r="AA553" s="94">
        <v>0</v>
      </c>
      <c r="AB553" s="79">
        <v>1</v>
      </c>
      <c r="AC553" s="85">
        <v>119.33369999999999</v>
      </c>
      <c r="AD553" s="85">
        <v>175.87962540816324</v>
      </c>
      <c r="AE553" s="85">
        <v>51.968674591836802</v>
      </c>
      <c r="AF553" s="85">
        <v>0</v>
      </c>
      <c r="AG553" s="85">
        <v>347.18200000000002</v>
      </c>
      <c r="AH553" s="85">
        <v>0</v>
      </c>
      <c r="AI553" s="85">
        <v>0</v>
      </c>
      <c r="AJ553" s="85">
        <v>0</v>
      </c>
      <c r="AK553" s="85">
        <v>0</v>
      </c>
      <c r="AL553" s="85">
        <v>0</v>
      </c>
      <c r="AM553" s="85">
        <v>0</v>
      </c>
      <c r="AN553" s="85">
        <v>0</v>
      </c>
      <c r="AO553" s="85">
        <v>0</v>
      </c>
      <c r="AP553" s="85">
        <v>0</v>
      </c>
      <c r="AQ553" s="85">
        <v>0</v>
      </c>
      <c r="AR553" s="85">
        <v>0</v>
      </c>
      <c r="AS553" s="85">
        <v>0</v>
      </c>
      <c r="AT553" s="85">
        <v>0</v>
      </c>
      <c r="AU553" s="85">
        <v>0</v>
      </c>
      <c r="AV553" s="85">
        <v>0</v>
      </c>
      <c r="AW553" s="85">
        <v>0</v>
      </c>
      <c r="AX553" s="85">
        <v>0</v>
      </c>
      <c r="AY553" s="85">
        <v>0</v>
      </c>
      <c r="AZ553" s="85">
        <v>0</v>
      </c>
      <c r="BA553" s="85">
        <v>0</v>
      </c>
      <c r="BB553" s="89">
        <v>347.18200000000002</v>
      </c>
      <c r="BC553" s="89">
        <v>347.18200000000002</v>
      </c>
      <c r="BD553" s="37">
        <v>0</v>
      </c>
      <c r="BE553" s="37">
        <v>0</v>
      </c>
      <c r="BF553" s="279">
        <v>56864</v>
      </c>
      <c r="BG553" s="37">
        <v>60325</v>
      </c>
      <c r="BH553" s="37">
        <v>39036</v>
      </c>
      <c r="BI553" s="37">
        <v>10783</v>
      </c>
      <c r="BJ553" s="283">
        <v>167008</v>
      </c>
      <c r="BK553" s="161"/>
      <c r="BL553" s="294"/>
      <c r="BM553"/>
      <c r="BN553"/>
      <c r="BO553"/>
      <c r="BP553"/>
      <c r="BQ553"/>
      <c r="BR553"/>
      <c r="BS553"/>
      <c r="BT553"/>
      <c r="BU553"/>
      <c r="BV553"/>
      <c r="BW553"/>
      <c r="BX553"/>
      <c r="BY553"/>
      <c r="BZ553"/>
      <c r="CA553"/>
      <c r="CB553"/>
      <c r="CC553"/>
      <c r="CD553"/>
      <c r="CE553"/>
      <c r="CF553"/>
      <c r="CG553"/>
      <c r="CH553"/>
      <c r="CI553"/>
      <c r="CJ553"/>
    </row>
    <row r="554" spans="1:88" s="32" customFormat="1" ht="15" customHeight="1" x14ac:dyDescent="0.35">
      <c r="A554" s="473"/>
      <c r="B554" s="313">
        <v>7065</v>
      </c>
      <c r="C554" s="8" t="s">
        <v>1077</v>
      </c>
      <c r="D554" s="18">
        <v>1</v>
      </c>
      <c r="E554" s="251"/>
      <c r="F554" s="82"/>
      <c r="G554" s="79"/>
      <c r="H554" s="90"/>
      <c r="I554" s="85"/>
      <c r="J554" s="85"/>
      <c r="K554" s="85"/>
      <c r="L554" s="85"/>
      <c r="M554" s="85"/>
      <c r="N554" s="85"/>
      <c r="O554" s="85"/>
      <c r="P554" s="85"/>
      <c r="Q554" s="85"/>
      <c r="R554" s="85"/>
      <c r="S554" s="89"/>
      <c r="T554" s="89" t="s">
        <v>1124</v>
      </c>
      <c r="U554" s="85"/>
      <c r="V554" s="85"/>
      <c r="W554" s="85"/>
      <c r="X554" s="89" t="s">
        <v>1124</v>
      </c>
      <c r="Y554" s="79"/>
      <c r="Z554" s="79"/>
      <c r="AA554" s="94"/>
      <c r="AB554" s="79" t="s">
        <v>1124</v>
      </c>
      <c r="AC554" s="85"/>
      <c r="AD554" s="85"/>
      <c r="AE554" s="85"/>
      <c r="AF554" s="85"/>
      <c r="AG554" s="85" t="s">
        <v>1124</v>
      </c>
      <c r="AH554" s="85"/>
      <c r="AI554" s="85"/>
      <c r="AJ554" s="85"/>
      <c r="AK554" s="85"/>
      <c r="AL554" s="85"/>
      <c r="AM554" s="85"/>
      <c r="AN554" s="85"/>
      <c r="AO554" s="85"/>
      <c r="AP554" s="85"/>
      <c r="AQ554" s="85"/>
      <c r="AR554" s="85" t="s">
        <v>1124</v>
      </c>
      <c r="AS554" s="85"/>
      <c r="AT554" s="85"/>
      <c r="AU554" s="85"/>
      <c r="AV554" s="85"/>
      <c r="AW554" s="85"/>
      <c r="AX554" s="85"/>
      <c r="AY554" s="85"/>
      <c r="AZ554" s="85"/>
      <c r="BA554" s="85"/>
      <c r="BB554" s="89"/>
      <c r="BC554" s="89" t="s">
        <v>1124</v>
      </c>
      <c r="BD554" s="37"/>
      <c r="BE554" s="37"/>
      <c r="BF554" s="279"/>
      <c r="BG554" s="37"/>
      <c r="BH554" s="37"/>
      <c r="BI554" s="37"/>
      <c r="BJ554" s="283"/>
      <c r="BK554" s="161"/>
      <c r="BL554" s="294"/>
      <c r="BM554"/>
      <c r="BN554"/>
      <c r="BO554"/>
      <c r="BP554"/>
      <c r="BQ554"/>
      <c r="BR554"/>
      <c r="BS554"/>
      <c r="BT554"/>
      <c r="BU554"/>
      <c r="BV554"/>
      <c r="BW554"/>
      <c r="BX554"/>
      <c r="BY554"/>
      <c r="BZ554"/>
      <c r="CA554"/>
      <c r="CB554"/>
      <c r="CC554"/>
      <c r="CD554"/>
      <c r="CE554"/>
      <c r="CF554"/>
      <c r="CG554"/>
      <c r="CH554"/>
      <c r="CI554"/>
      <c r="CJ554"/>
    </row>
    <row r="555" spans="1:88" s="32" customFormat="1" ht="15" customHeight="1" x14ac:dyDescent="0.35">
      <c r="A555" s="473"/>
      <c r="B555" s="313">
        <v>63023</v>
      </c>
      <c r="C555" s="8" t="s">
        <v>636</v>
      </c>
      <c r="D555" s="18">
        <v>14</v>
      </c>
      <c r="E555" s="251">
        <v>207</v>
      </c>
      <c r="F555" s="82">
        <v>2.78</v>
      </c>
      <c r="G555" s="79">
        <v>575.45999999999992</v>
      </c>
      <c r="H555" s="90">
        <v>6.13</v>
      </c>
      <c r="I555" s="85">
        <v>5.5640000000000001</v>
      </c>
      <c r="J555" s="85">
        <v>6.2060000000000004</v>
      </c>
      <c r="K555" s="85">
        <v>5.9880000000000004</v>
      </c>
      <c r="L555" s="85">
        <v>4.6159999999999997</v>
      </c>
      <c r="M555" s="85">
        <v>4.0570000000000004</v>
      </c>
      <c r="N555" s="85">
        <v>4.4740000000000002</v>
      </c>
      <c r="O555" s="85">
        <v>4.7809999999999997</v>
      </c>
      <c r="P555" s="85">
        <v>4.7670000000000003</v>
      </c>
      <c r="Q555" s="85">
        <v>6.1970000000000001</v>
      </c>
      <c r="R555" s="85">
        <v>3.3559999999999999</v>
      </c>
      <c r="S555" s="89">
        <v>3.4630000000000001</v>
      </c>
      <c r="T555" s="89">
        <v>59.599000000000004</v>
      </c>
      <c r="U555" s="85">
        <v>0</v>
      </c>
      <c r="V555" s="85">
        <v>59.598999999999997</v>
      </c>
      <c r="W555" s="85">
        <v>0</v>
      </c>
      <c r="X555" s="89">
        <v>59.598999999999997</v>
      </c>
      <c r="Y555" s="79">
        <v>0</v>
      </c>
      <c r="Z555" s="79">
        <v>1</v>
      </c>
      <c r="AA555" s="94">
        <v>0</v>
      </c>
      <c r="AB555" s="79">
        <v>1</v>
      </c>
      <c r="AC555" s="85">
        <v>36.131999999999998</v>
      </c>
      <c r="AD555" s="85">
        <v>2.8140000000000001</v>
      </c>
      <c r="AE555" s="85">
        <v>20.652999999999999</v>
      </c>
      <c r="AF555" s="85">
        <v>0</v>
      </c>
      <c r="AG555" s="85">
        <v>59.598999999999997</v>
      </c>
      <c r="AH555" s="85">
        <v>0</v>
      </c>
      <c r="AI555" s="85">
        <v>0</v>
      </c>
      <c r="AJ555" s="85">
        <v>0</v>
      </c>
      <c r="AK555" s="85">
        <v>0</v>
      </c>
      <c r="AL555" s="85">
        <v>0</v>
      </c>
      <c r="AM555" s="85">
        <v>0</v>
      </c>
      <c r="AN555" s="85">
        <v>0</v>
      </c>
      <c r="AO555" s="85">
        <v>0</v>
      </c>
      <c r="AP555" s="85">
        <v>0</v>
      </c>
      <c r="AQ555" s="85">
        <v>0</v>
      </c>
      <c r="AR555" s="85">
        <v>0</v>
      </c>
      <c r="AS555" s="85">
        <v>0</v>
      </c>
      <c r="AT555" s="85">
        <v>0</v>
      </c>
      <c r="AU555" s="85">
        <v>0</v>
      </c>
      <c r="AV555" s="85">
        <v>0</v>
      </c>
      <c r="AW555" s="85">
        <v>0</v>
      </c>
      <c r="AX555" s="85">
        <v>59.598999999999997</v>
      </c>
      <c r="AY555" s="85">
        <v>0</v>
      </c>
      <c r="AZ555" s="85">
        <v>0</v>
      </c>
      <c r="BA555" s="85">
        <v>0</v>
      </c>
      <c r="BB555" s="89">
        <v>0</v>
      </c>
      <c r="BC555" s="89">
        <v>59.598999999999997</v>
      </c>
      <c r="BD555" s="37">
        <v>0</v>
      </c>
      <c r="BE555" s="37">
        <v>0</v>
      </c>
      <c r="BF555" s="279">
        <v>15532</v>
      </c>
      <c r="BG555" s="37">
        <v>21301</v>
      </c>
      <c r="BH555" s="37">
        <v>14662</v>
      </c>
      <c r="BI555" s="37">
        <v>0</v>
      </c>
      <c r="BJ555" s="283">
        <v>51495</v>
      </c>
      <c r="BK555" s="161" t="s">
        <v>2600</v>
      </c>
      <c r="BL555" s="294"/>
      <c r="BM555"/>
      <c r="BN555"/>
      <c r="BO555"/>
      <c r="BP555"/>
      <c r="BQ555"/>
      <c r="BR555"/>
      <c r="BS555"/>
      <c r="BT555"/>
      <c r="BU555"/>
      <c r="BV555"/>
      <c r="BW555"/>
      <c r="BX555"/>
      <c r="BY555"/>
      <c r="BZ555"/>
      <c r="CA555"/>
      <c r="CB555"/>
      <c r="CC555"/>
      <c r="CD555"/>
      <c r="CE555"/>
      <c r="CF555"/>
      <c r="CG555"/>
      <c r="CH555"/>
      <c r="CI555"/>
      <c r="CJ555"/>
    </row>
    <row r="556" spans="1:88" s="32" customFormat="1" ht="15" customHeight="1" x14ac:dyDescent="0.35">
      <c r="A556" s="473"/>
      <c r="B556" s="313">
        <v>6050</v>
      </c>
      <c r="C556" s="8" t="s">
        <v>1065</v>
      </c>
      <c r="D556" s="18">
        <v>11</v>
      </c>
      <c r="E556" s="251">
        <v>272</v>
      </c>
      <c r="F556" s="82">
        <v>1.7440273037542662</v>
      </c>
      <c r="G556" s="79">
        <v>474.37542662116039</v>
      </c>
      <c r="H556" s="90">
        <v>3.0379999999999998</v>
      </c>
      <c r="I556" s="85">
        <v>2.5910000000000002</v>
      </c>
      <c r="J556" s="85">
        <v>2.8380000000000001</v>
      </c>
      <c r="K556" s="85">
        <v>2.62</v>
      </c>
      <c r="L556" s="85">
        <v>2.8010000000000002</v>
      </c>
      <c r="M556" s="85">
        <v>2.9809999999999999</v>
      </c>
      <c r="N556" s="85">
        <v>3.2349999999999999</v>
      </c>
      <c r="O556" s="85">
        <v>2.835</v>
      </c>
      <c r="P556" s="85">
        <v>2.5710000000000002</v>
      </c>
      <c r="Q556" s="85">
        <v>2.7040000000000002</v>
      </c>
      <c r="R556" s="85">
        <v>2.6150000000000002</v>
      </c>
      <c r="S556" s="89">
        <v>3.0049999999999999</v>
      </c>
      <c r="T556" s="89">
        <v>33.834000000000003</v>
      </c>
      <c r="U556" s="85">
        <v>0</v>
      </c>
      <c r="V556" s="85">
        <v>33.834000000000003</v>
      </c>
      <c r="W556" s="85">
        <v>0</v>
      </c>
      <c r="X556" s="89">
        <v>33.834000000000003</v>
      </c>
      <c r="Y556" s="79">
        <v>0</v>
      </c>
      <c r="Z556" s="79">
        <v>1</v>
      </c>
      <c r="AA556" s="94">
        <v>0</v>
      </c>
      <c r="AB556" s="79">
        <v>1</v>
      </c>
      <c r="AC556" s="85">
        <v>30.239887323943663</v>
      </c>
      <c r="AD556" s="85">
        <v>1.8416226760563383</v>
      </c>
      <c r="AE556" s="85">
        <v>1.7524900000000023</v>
      </c>
      <c r="AF556" s="85">
        <v>0</v>
      </c>
      <c r="AG556" s="85">
        <v>33.834000000000003</v>
      </c>
      <c r="AH556" s="85">
        <v>0</v>
      </c>
      <c r="AI556" s="85">
        <v>0</v>
      </c>
      <c r="AJ556" s="85">
        <v>0</v>
      </c>
      <c r="AK556" s="85">
        <v>0</v>
      </c>
      <c r="AL556" s="85">
        <v>0</v>
      </c>
      <c r="AM556" s="85">
        <v>0</v>
      </c>
      <c r="AN556" s="85">
        <v>0</v>
      </c>
      <c r="AO556" s="85">
        <v>0</v>
      </c>
      <c r="AP556" s="85">
        <v>0</v>
      </c>
      <c r="AQ556" s="85">
        <v>0</v>
      </c>
      <c r="AR556" s="85">
        <v>0</v>
      </c>
      <c r="AS556" s="85">
        <v>0</v>
      </c>
      <c r="AT556" s="85">
        <v>0</v>
      </c>
      <c r="AU556" s="85">
        <v>0</v>
      </c>
      <c r="AV556" s="85">
        <v>0</v>
      </c>
      <c r="AW556" s="85">
        <v>0</v>
      </c>
      <c r="AX556" s="85">
        <v>0</v>
      </c>
      <c r="AY556" s="85">
        <v>33.834000000000003</v>
      </c>
      <c r="AZ556" s="85">
        <v>0</v>
      </c>
      <c r="BA556" s="85">
        <v>0</v>
      </c>
      <c r="BB556" s="89">
        <v>0</v>
      </c>
      <c r="BC556" s="89">
        <v>33.834000000000003</v>
      </c>
      <c r="BD556" s="37">
        <v>0</v>
      </c>
      <c r="BE556" s="37">
        <v>0</v>
      </c>
      <c r="BF556" s="279">
        <v>7641</v>
      </c>
      <c r="BG556" s="37">
        <v>19445</v>
      </c>
      <c r="BH556" s="37">
        <v>15192</v>
      </c>
      <c r="BI556" s="37">
        <v>38450</v>
      </c>
      <c r="BJ556" s="283">
        <v>80728</v>
      </c>
      <c r="BK556" s="161"/>
      <c r="BL556" s="294"/>
      <c r="BM556"/>
      <c r="BN556"/>
      <c r="BO556"/>
      <c r="BP556"/>
      <c r="BQ556"/>
      <c r="BR556"/>
      <c r="BS556"/>
      <c r="BT556"/>
      <c r="BU556"/>
      <c r="BV556"/>
      <c r="BW556"/>
      <c r="BX556"/>
      <c r="BY556"/>
      <c r="BZ556"/>
      <c r="CA556"/>
      <c r="CB556"/>
      <c r="CC556"/>
      <c r="CD556"/>
      <c r="CE556"/>
      <c r="CF556"/>
      <c r="CG556"/>
      <c r="CH556"/>
      <c r="CI556"/>
      <c r="CJ556"/>
    </row>
    <row r="557" spans="1:88" s="32" customFormat="1" ht="15" customHeight="1" x14ac:dyDescent="0.35">
      <c r="A557" s="473"/>
      <c r="B557" s="313">
        <v>51065</v>
      </c>
      <c r="C557" s="8" t="s">
        <v>509</v>
      </c>
      <c r="D557" s="18">
        <v>4</v>
      </c>
      <c r="E557" s="251"/>
      <c r="F557" s="82"/>
      <c r="G557" s="79"/>
      <c r="H557" s="90"/>
      <c r="I557" s="85"/>
      <c r="J557" s="85"/>
      <c r="K557" s="85"/>
      <c r="L557" s="85"/>
      <c r="M557" s="85"/>
      <c r="N557" s="85"/>
      <c r="O557" s="85"/>
      <c r="P557" s="85"/>
      <c r="Q557" s="85"/>
      <c r="R557" s="85"/>
      <c r="S557" s="89"/>
      <c r="T557" s="89" t="s">
        <v>1124</v>
      </c>
      <c r="U557" s="85"/>
      <c r="V557" s="85"/>
      <c r="W557" s="85"/>
      <c r="X557" s="89" t="s">
        <v>1124</v>
      </c>
      <c r="Y557" s="79"/>
      <c r="Z557" s="79"/>
      <c r="AA557" s="94"/>
      <c r="AB557" s="79" t="s">
        <v>1124</v>
      </c>
      <c r="AC557" s="85"/>
      <c r="AD557" s="85"/>
      <c r="AE557" s="85"/>
      <c r="AF557" s="85"/>
      <c r="AG557" s="85" t="s">
        <v>1124</v>
      </c>
      <c r="AH557" s="85"/>
      <c r="AI557" s="85"/>
      <c r="AJ557" s="85"/>
      <c r="AK557" s="85"/>
      <c r="AL557" s="85"/>
      <c r="AM557" s="85"/>
      <c r="AN557" s="85"/>
      <c r="AO557" s="85"/>
      <c r="AP557" s="85"/>
      <c r="AQ557" s="85"/>
      <c r="AR557" s="85" t="s">
        <v>1124</v>
      </c>
      <c r="AS557" s="85"/>
      <c r="AT557" s="85"/>
      <c r="AU557" s="85"/>
      <c r="AV557" s="85"/>
      <c r="AW557" s="85"/>
      <c r="AX557" s="85"/>
      <c r="AY557" s="85"/>
      <c r="AZ557" s="85"/>
      <c r="BA557" s="85"/>
      <c r="BB557" s="89"/>
      <c r="BC557" s="89" t="s">
        <v>1124</v>
      </c>
      <c r="BD557" s="37"/>
      <c r="BE557" s="37"/>
      <c r="BF557" s="279"/>
      <c r="BG557" s="37"/>
      <c r="BH557" s="37"/>
      <c r="BI557" s="37"/>
      <c r="BJ557" s="283"/>
      <c r="BK557" s="161"/>
      <c r="BL557" s="294"/>
      <c r="BM557"/>
      <c r="BN557"/>
      <c r="BO557"/>
      <c r="BP557"/>
      <c r="BQ557"/>
      <c r="BR557"/>
      <c r="BS557"/>
      <c r="BT557"/>
      <c r="BU557"/>
      <c r="BV557"/>
      <c r="BW557"/>
      <c r="BX557"/>
      <c r="BY557"/>
      <c r="BZ557"/>
      <c r="CA557"/>
      <c r="CB557"/>
      <c r="CC557"/>
      <c r="CD557"/>
      <c r="CE557"/>
      <c r="CF557"/>
      <c r="CG557"/>
      <c r="CH557"/>
      <c r="CI557"/>
      <c r="CJ557"/>
    </row>
    <row r="558" spans="1:88" s="32" customFormat="1" ht="15" customHeight="1" x14ac:dyDescent="0.35">
      <c r="A558" s="473"/>
      <c r="B558" s="313">
        <v>27015</v>
      </c>
      <c r="C558" s="8" t="s">
        <v>179</v>
      </c>
      <c r="D558" s="18">
        <v>12</v>
      </c>
      <c r="E558" s="251"/>
      <c r="F558" s="82"/>
      <c r="G558" s="79"/>
      <c r="H558" s="90"/>
      <c r="I558" s="85"/>
      <c r="J558" s="85"/>
      <c r="K558" s="85"/>
      <c r="L558" s="85"/>
      <c r="M558" s="85"/>
      <c r="N558" s="85"/>
      <c r="O558" s="85"/>
      <c r="P558" s="85"/>
      <c r="Q558" s="85"/>
      <c r="R558" s="85"/>
      <c r="S558" s="89"/>
      <c r="T558" s="89" t="s">
        <v>1124</v>
      </c>
      <c r="U558" s="85"/>
      <c r="V558" s="85"/>
      <c r="W558" s="85"/>
      <c r="X558" s="89" t="s">
        <v>1124</v>
      </c>
      <c r="Y558" s="79"/>
      <c r="Z558" s="79"/>
      <c r="AA558" s="94"/>
      <c r="AB558" s="79" t="s">
        <v>1124</v>
      </c>
      <c r="AC558" s="85"/>
      <c r="AD558" s="85"/>
      <c r="AE558" s="85"/>
      <c r="AF558" s="85"/>
      <c r="AG558" s="85" t="s">
        <v>1124</v>
      </c>
      <c r="AH558" s="85"/>
      <c r="AI558" s="85"/>
      <c r="AJ558" s="85"/>
      <c r="AK558" s="85"/>
      <c r="AL558" s="85"/>
      <c r="AM558" s="85"/>
      <c r="AN558" s="85"/>
      <c r="AO558" s="85"/>
      <c r="AP558" s="85"/>
      <c r="AQ558" s="85"/>
      <c r="AR558" s="85" t="s">
        <v>1124</v>
      </c>
      <c r="AS558" s="85"/>
      <c r="AT558" s="85"/>
      <c r="AU558" s="85"/>
      <c r="AV558" s="85"/>
      <c r="AW558" s="85"/>
      <c r="AX558" s="85"/>
      <c r="AY558" s="85"/>
      <c r="AZ558" s="85"/>
      <c r="BA558" s="85"/>
      <c r="BB558" s="89"/>
      <c r="BC558" s="89" t="s">
        <v>1124</v>
      </c>
      <c r="BD558" s="37"/>
      <c r="BE558" s="37"/>
      <c r="BF558" s="279"/>
      <c r="BG558" s="37"/>
      <c r="BH558" s="37"/>
      <c r="BI558" s="37"/>
      <c r="BJ558" s="283"/>
      <c r="BK558" s="161"/>
      <c r="BL558" s="294"/>
      <c r="BM558"/>
      <c r="BN558"/>
      <c r="BO558"/>
      <c r="BP558"/>
      <c r="BQ558"/>
      <c r="BR558"/>
      <c r="BS558"/>
      <c r="BT558"/>
      <c r="BU558"/>
      <c r="BV558"/>
      <c r="BW558"/>
      <c r="BX558"/>
      <c r="BY558"/>
      <c r="BZ558"/>
      <c r="CA558"/>
      <c r="CB558"/>
      <c r="CC558"/>
      <c r="CD558"/>
      <c r="CE558"/>
      <c r="CF558"/>
      <c r="CG558"/>
      <c r="CH558"/>
      <c r="CI558"/>
      <c r="CJ558"/>
    </row>
    <row r="559" spans="1:88" s="32" customFormat="1" ht="15" customHeight="1" x14ac:dyDescent="0.35">
      <c r="A559" s="473"/>
      <c r="B559" s="313">
        <v>5065</v>
      </c>
      <c r="C559" s="8" t="s">
        <v>1054</v>
      </c>
      <c r="D559" s="18">
        <v>11</v>
      </c>
      <c r="E559" s="251">
        <v>230</v>
      </c>
      <c r="F559" s="82">
        <v>2.2168284789644015</v>
      </c>
      <c r="G559" s="79">
        <v>509.87055016181233</v>
      </c>
      <c r="H559" s="90">
        <v>4.984</v>
      </c>
      <c r="I559" s="85">
        <v>5.1980000000000004</v>
      </c>
      <c r="J559" s="85">
        <v>6.1849999999999996</v>
      </c>
      <c r="K559" s="85">
        <v>5.0910000000000002</v>
      </c>
      <c r="L559" s="85">
        <v>4.05</v>
      </c>
      <c r="M559" s="85">
        <v>4.4480000000000004</v>
      </c>
      <c r="N559" s="85">
        <v>3.754</v>
      </c>
      <c r="O559" s="85">
        <v>3.5030000000000001</v>
      </c>
      <c r="P559" s="85">
        <v>3.4350000000000001</v>
      </c>
      <c r="Q559" s="85">
        <v>3.5379999999999998</v>
      </c>
      <c r="R559" s="85">
        <v>2.9940000000000002</v>
      </c>
      <c r="S559" s="89">
        <v>3.5529999999999999</v>
      </c>
      <c r="T559" s="89">
        <v>50.732999999999997</v>
      </c>
      <c r="U559" s="85">
        <v>0</v>
      </c>
      <c r="V559" s="85">
        <v>50.732999999999997</v>
      </c>
      <c r="W559" s="85">
        <v>0</v>
      </c>
      <c r="X559" s="89">
        <v>50.732999999999997</v>
      </c>
      <c r="Y559" s="79">
        <v>0</v>
      </c>
      <c r="Z559" s="79">
        <v>1</v>
      </c>
      <c r="AA559" s="94">
        <v>0</v>
      </c>
      <c r="AB559" s="79">
        <v>1</v>
      </c>
      <c r="AC559" s="85">
        <v>45.040409836065571</v>
      </c>
      <c r="AD559" s="85">
        <v>3.5025851639344276</v>
      </c>
      <c r="AE559" s="85">
        <v>2.1900049999999984</v>
      </c>
      <c r="AF559" s="85">
        <v>0</v>
      </c>
      <c r="AG559" s="85">
        <v>50.732999999999997</v>
      </c>
      <c r="AH559" s="85">
        <v>0</v>
      </c>
      <c r="AI559" s="85">
        <v>0</v>
      </c>
      <c r="AJ559" s="85">
        <v>0</v>
      </c>
      <c r="AK559" s="85">
        <v>0</v>
      </c>
      <c r="AL559" s="85">
        <v>0</v>
      </c>
      <c r="AM559" s="85">
        <v>0</v>
      </c>
      <c r="AN559" s="85">
        <v>0</v>
      </c>
      <c r="AO559" s="85">
        <v>0</v>
      </c>
      <c r="AP559" s="85">
        <v>0</v>
      </c>
      <c r="AQ559" s="85">
        <v>0</v>
      </c>
      <c r="AR559" s="85">
        <v>0</v>
      </c>
      <c r="AS559" s="85">
        <v>0</v>
      </c>
      <c r="AT559" s="85">
        <v>0</v>
      </c>
      <c r="AU559" s="85">
        <v>0</v>
      </c>
      <c r="AV559" s="85">
        <v>0</v>
      </c>
      <c r="AW559" s="85">
        <v>0</v>
      </c>
      <c r="AX559" s="85">
        <v>0</v>
      </c>
      <c r="AY559" s="85">
        <v>50.732999999999997</v>
      </c>
      <c r="AZ559" s="85">
        <v>0</v>
      </c>
      <c r="BA559" s="85">
        <v>0</v>
      </c>
      <c r="BB559" s="89">
        <v>0</v>
      </c>
      <c r="BC559" s="89">
        <v>50.732999999999997</v>
      </c>
      <c r="BD559" s="37" t="s">
        <v>1725</v>
      </c>
      <c r="BE559" s="37">
        <v>110675</v>
      </c>
      <c r="BF559" s="279">
        <v>55282</v>
      </c>
      <c r="BG559" s="37">
        <v>40881</v>
      </c>
      <c r="BH559" s="37">
        <v>10588</v>
      </c>
      <c r="BI559" s="37">
        <v>0</v>
      </c>
      <c r="BJ559" s="283">
        <v>106751</v>
      </c>
      <c r="BK559" s="161"/>
      <c r="BL559" s="294"/>
      <c r="BM559"/>
      <c r="BN559"/>
      <c r="BO559"/>
      <c r="BP559"/>
      <c r="BQ559"/>
      <c r="BR559"/>
      <c r="BS559"/>
      <c r="BT559"/>
      <c r="BU559"/>
      <c r="BV559"/>
      <c r="BW559"/>
      <c r="BX559"/>
      <c r="BY559"/>
      <c r="BZ559"/>
      <c r="CA559"/>
      <c r="CB559"/>
      <c r="CC559"/>
      <c r="CD559"/>
      <c r="CE559"/>
      <c r="CF559"/>
      <c r="CG559"/>
      <c r="CH559"/>
      <c r="CI559"/>
      <c r="CJ559"/>
    </row>
    <row r="560" spans="1:88" s="32" customFormat="1" ht="15" customHeight="1" x14ac:dyDescent="0.35">
      <c r="A560" s="473"/>
      <c r="B560" s="313">
        <v>47010</v>
      </c>
      <c r="C560" s="8" t="s">
        <v>448</v>
      </c>
      <c r="D560" s="18">
        <v>5</v>
      </c>
      <c r="E560" s="251"/>
      <c r="F560" s="82"/>
      <c r="G560" s="79"/>
      <c r="H560" s="90"/>
      <c r="I560" s="85"/>
      <c r="J560" s="85"/>
      <c r="K560" s="85"/>
      <c r="L560" s="85"/>
      <c r="M560" s="85"/>
      <c r="N560" s="85"/>
      <c r="O560" s="85"/>
      <c r="P560" s="85"/>
      <c r="Q560" s="85"/>
      <c r="R560" s="85"/>
      <c r="S560" s="89"/>
      <c r="T560" s="89" t="s">
        <v>1124</v>
      </c>
      <c r="U560" s="85"/>
      <c r="V560" s="85"/>
      <c r="W560" s="85"/>
      <c r="X560" s="89" t="s">
        <v>1124</v>
      </c>
      <c r="Y560" s="79"/>
      <c r="Z560" s="79"/>
      <c r="AA560" s="94"/>
      <c r="AB560" s="79" t="s">
        <v>1124</v>
      </c>
      <c r="AC560" s="85"/>
      <c r="AD560" s="85"/>
      <c r="AE560" s="85"/>
      <c r="AF560" s="85"/>
      <c r="AG560" s="85" t="s">
        <v>1124</v>
      </c>
      <c r="AH560" s="85"/>
      <c r="AI560" s="85"/>
      <c r="AJ560" s="85"/>
      <c r="AK560" s="85"/>
      <c r="AL560" s="85"/>
      <c r="AM560" s="85"/>
      <c r="AN560" s="85"/>
      <c r="AO560" s="85"/>
      <c r="AP560" s="85"/>
      <c r="AQ560" s="85"/>
      <c r="AR560" s="85" t="s">
        <v>1124</v>
      </c>
      <c r="AS560" s="85"/>
      <c r="AT560" s="85"/>
      <c r="AU560" s="85"/>
      <c r="AV560" s="85"/>
      <c r="AW560" s="85"/>
      <c r="AX560" s="85"/>
      <c r="AY560" s="85"/>
      <c r="AZ560" s="85"/>
      <c r="BA560" s="85"/>
      <c r="BB560" s="89"/>
      <c r="BC560" s="89" t="s">
        <v>1124</v>
      </c>
      <c r="BD560" s="37"/>
      <c r="BE560" s="37"/>
      <c r="BF560" s="279"/>
      <c r="BG560" s="37"/>
      <c r="BH560" s="37"/>
      <c r="BI560" s="37"/>
      <c r="BJ560" s="283"/>
      <c r="BK560" s="161"/>
      <c r="BL560" s="294"/>
      <c r="BM560"/>
      <c r="BN560"/>
      <c r="BO560"/>
      <c r="BP560"/>
      <c r="BQ560"/>
      <c r="BR560"/>
      <c r="BS560"/>
      <c r="BT560"/>
      <c r="BU560"/>
      <c r="BV560"/>
      <c r="BW560"/>
      <c r="BX560"/>
      <c r="BY560"/>
      <c r="BZ560"/>
      <c r="CA560"/>
      <c r="CB560"/>
      <c r="CC560"/>
      <c r="CD560"/>
      <c r="CE560"/>
      <c r="CF560"/>
      <c r="CG560"/>
      <c r="CH560"/>
      <c r="CI560"/>
      <c r="CJ560"/>
    </row>
    <row r="561" spans="1:88" s="32" customFormat="1" ht="15" customHeight="1" x14ac:dyDescent="0.35">
      <c r="A561" s="473"/>
      <c r="B561" s="313">
        <v>62025</v>
      </c>
      <c r="C561" s="8" t="s">
        <v>622</v>
      </c>
      <c r="D561" s="18">
        <v>14</v>
      </c>
      <c r="E561" s="251">
        <v>255</v>
      </c>
      <c r="F561" s="82">
        <v>1.4947029018885307</v>
      </c>
      <c r="G561" s="79">
        <v>381.14923998157531</v>
      </c>
      <c r="H561" s="90">
        <v>3.1240000000000001</v>
      </c>
      <c r="I561" s="85">
        <v>3.0550000000000002</v>
      </c>
      <c r="J561" s="85">
        <v>3.7829999999999999</v>
      </c>
      <c r="K561" s="85">
        <v>3.6779999999999999</v>
      </c>
      <c r="L561" s="85">
        <v>3.9510000000000001</v>
      </c>
      <c r="M561" s="85">
        <v>4.6820000000000004</v>
      </c>
      <c r="N561" s="85">
        <v>4.9969999999999999</v>
      </c>
      <c r="O561" s="85">
        <v>4.5579999999999998</v>
      </c>
      <c r="P561" s="85">
        <v>4.0590000000000002</v>
      </c>
      <c r="Q561" s="85">
        <v>4.7119999999999997</v>
      </c>
      <c r="R561" s="85">
        <v>3.9980000000000002</v>
      </c>
      <c r="S561" s="89">
        <v>3.585</v>
      </c>
      <c r="T561" s="89">
        <v>48.182000000000002</v>
      </c>
      <c r="U561" s="85">
        <v>0</v>
      </c>
      <c r="V561" s="85">
        <v>48.182000000000002</v>
      </c>
      <c r="W561" s="85">
        <v>0</v>
      </c>
      <c r="X561" s="89">
        <v>48.182000000000002</v>
      </c>
      <c r="Y561" s="79">
        <v>0</v>
      </c>
      <c r="Z561" s="79">
        <v>1</v>
      </c>
      <c r="AA561" s="94">
        <v>0</v>
      </c>
      <c r="AB561" s="79">
        <v>1</v>
      </c>
      <c r="AC561" s="85">
        <v>29.007999999999999</v>
      </c>
      <c r="AD561" s="85">
        <v>7.6040000000000028</v>
      </c>
      <c r="AE561" s="85">
        <v>11.535</v>
      </c>
      <c r="AF561" s="85">
        <v>3.5000000000000003E-2</v>
      </c>
      <c r="AG561" s="85">
        <v>48.182000000000002</v>
      </c>
      <c r="AH561" s="85">
        <v>0</v>
      </c>
      <c r="AI561" s="85">
        <v>0</v>
      </c>
      <c r="AJ561" s="85">
        <v>0</v>
      </c>
      <c r="AK561" s="85">
        <v>0</v>
      </c>
      <c r="AL561" s="85">
        <v>0</v>
      </c>
      <c r="AM561" s="85">
        <v>0</v>
      </c>
      <c r="AN561" s="85">
        <v>0</v>
      </c>
      <c r="AO561" s="85">
        <v>0</v>
      </c>
      <c r="AP561" s="85">
        <v>0</v>
      </c>
      <c r="AQ561" s="85">
        <v>0</v>
      </c>
      <c r="AR561" s="85">
        <v>0</v>
      </c>
      <c r="AS561" s="85">
        <v>0</v>
      </c>
      <c r="AT561" s="85">
        <v>0</v>
      </c>
      <c r="AU561" s="85">
        <v>0</v>
      </c>
      <c r="AV561" s="85">
        <v>0</v>
      </c>
      <c r="AW561" s="85">
        <v>0</v>
      </c>
      <c r="AX561" s="85">
        <v>0</v>
      </c>
      <c r="AY561" s="85">
        <v>48.182000000000002</v>
      </c>
      <c r="AZ561" s="85">
        <v>0</v>
      </c>
      <c r="BA561" s="85">
        <v>0</v>
      </c>
      <c r="BB561" s="89">
        <v>0</v>
      </c>
      <c r="BC561" s="89">
        <v>48.182000000000002</v>
      </c>
      <c r="BD561" s="37">
        <v>0</v>
      </c>
      <c r="BE561" s="37">
        <v>0</v>
      </c>
      <c r="BF561" s="279">
        <v>39363</v>
      </c>
      <c r="BG561" s="37">
        <v>78890</v>
      </c>
      <c r="BH561" s="37">
        <v>17782</v>
      </c>
      <c r="BI561" s="37">
        <v>6304</v>
      </c>
      <c r="BJ561" s="283">
        <v>142339</v>
      </c>
      <c r="BK561" s="161"/>
      <c r="BL561" s="294"/>
      <c r="BM561"/>
      <c r="BN561"/>
      <c r="BO561"/>
      <c r="BP561"/>
      <c r="BQ561"/>
      <c r="BR561"/>
      <c r="BS561"/>
      <c r="BT561"/>
      <c r="BU561"/>
      <c r="BV561"/>
      <c r="BW561"/>
      <c r="BX561"/>
      <c r="BY561"/>
      <c r="BZ561"/>
      <c r="CA561"/>
      <c r="CB561"/>
      <c r="CC561"/>
      <c r="CD561"/>
      <c r="CE561"/>
      <c r="CF561"/>
      <c r="CG561"/>
      <c r="CH561"/>
      <c r="CI561"/>
      <c r="CJ561"/>
    </row>
    <row r="562" spans="1:88" s="32" customFormat="1" ht="15" customHeight="1" x14ac:dyDescent="0.35">
      <c r="A562" s="473"/>
      <c r="B562" s="313">
        <v>59015</v>
      </c>
      <c r="C562" s="8" t="s">
        <v>600</v>
      </c>
      <c r="D562" s="18">
        <v>16</v>
      </c>
      <c r="E562" s="251"/>
      <c r="F562" s="82"/>
      <c r="G562" s="79"/>
      <c r="H562" s="90"/>
      <c r="I562" s="85"/>
      <c r="J562" s="85"/>
      <c r="K562" s="85"/>
      <c r="L562" s="85"/>
      <c r="M562" s="85"/>
      <c r="N562" s="85"/>
      <c r="O562" s="85"/>
      <c r="P562" s="85"/>
      <c r="Q562" s="85"/>
      <c r="R562" s="85"/>
      <c r="S562" s="89"/>
      <c r="T562" s="89" t="s">
        <v>1124</v>
      </c>
      <c r="U562" s="85"/>
      <c r="V562" s="85"/>
      <c r="W562" s="85"/>
      <c r="X562" s="89" t="s">
        <v>1124</v>
      </c>
      <c r="Y562" s="79"/>
      <c r="Z562" s="79"/>
      <c r="AA562" s="94"/>
      <c r="AB562" s="79" t="s">
        <v>1124</v>
      </c>
      <c r="AC562" s="85"/>
      <c r="AD562" s="85"/>
      <c r="AE562" s="85"/>
      <c r="AF562" s="85"/>
      <c r="AG562" s="85" t="s">
        <v>1124</v>
      </c>
      <c r="AH562" s="85"/>
      <c r="AI562" s="85"/>
      <c r="AJ562" s="85"/>
      <c r="AK562" s="85"/>
      <c r="AL562" s="85"/>
      <c r="AM562" s="85"/>
      <c r="AN562" s="85"/>
      <c r="AO562" s="85"/>
      <c r="AP562" s="85"/>
      <c r="AQ562" s="85"/>
      <c r="AR562" s="85" t="s">
        <v>1124</v>
      </c>
      <c r="AS562" s="85"/>
      <c r="AT562" s="85"/>
      <c r="AU562" s="85"/>
      <c r="AV562" s="85"/>
      <c r="AW562" s="85"/>
      <c r="AX562" s="85"/>
      <c r="AY562" s="85"/>
      <c r="AZ562" s="85"/>
      <c r="BA562" s="85"/>
      <c r="BB562" s="89"/>
      <c r="BC562" s="89" t="s">
        <v>1124</v>
      </c>
      <c r="BD562" s="37"/>
      <c r="BE562" s="37"/>
      <c r="BF562" s="279"/>
      <c r="BG562" s="37"/>
      <c r="BH562" s="37"/>
      <c r="BI562" s="37"/>
      <c r="BJ562" s="283"/>
      <c r="BK562" s="161"/>
      <c r="BL562" s="294"/>
      <c r="BM562"/>
      <c r="BN562"/>
      <c r="BO562"/>
      <c r="BP562"/>
      <c r="BQ562"/>
      <c r="BR562"/>
      <c r="BS562"/>
      <c r="BT562"/>
      <c r="BU562"/>
      <c r="BV562"/>
      <c r="BW562"/>
      <c r="BX562"/>
      <c r="BY562"/>
      <c r="BZ562"/>
      <c r="CA562"/>
      <c r="CB562"/>
      <c r="CC562"/>
      <c r="CD562"/>
      <c r="CE562"/>
      <c r="CF562"/>
      <c r="CG562"/>
      <c r="CH562"/>
      <c r="CI562"/>
      <c r="CJ562"/>
    </row>
    <row r="563" spans="1:88" s="32" customFormat="1" ht="15" customHeight="1" x14ac:dyDescent="0.35">
      <c r="A563" s="473"/>
      <c r="B563" s="313">
        <v>94255</v>
      </c>
      <c r="C563" s="8" t="s">
        <v>983</v>
      </c>
      <c r="D563" s="18">
        <v>2</v>
      </c>
      <c r="E563" s="251"/>
      <c r="F563" s="82"/>
      <c r="G563" s="79"/>
      <c r="H563" s="90"/>
      <c r="I563" s="85"/>
      <c r="J563" s="85"/>
      <c r="K563" s="85"/>
      <c r="L563" s="85"/>
      <c r="M563" s="85"/>
      <c r="N563" s="85"/>
      <c r="O563" s="85"/>
      <c r="P563" s="85"/>
      <c r="Q563" s="85"/>
      <c r="R563" s="85"/>
      <c r="S563" s="89"/>
      <c r="T563" s="89" t="s">
        <v>1124</v>
      </c>
      <c r="U563" s="85"/>
      <c r="V563" s="85"/>
      <c r="W563" s="85"/>
      <c r="X563" s="89" t="s">
        <v>1124</v>
      </c>
      <c r="Y563" s="79"/>
      <c r="Z563" s="79"/>
      <c r="AA563" s="94"/>
      <c r="AB563" s="79" t="s">
        <v>1124</v>
      </c>
      <c r="AC563" s="85"/>
      <c r="AD563" s="85"/>
      <c r="AE563" s="85"/>
      <c r="AF563" s="85"/>
      <c r="AG563" s="85" t="s">
        <v>1124</v>
      </c>
      <c r="AH563" s="85"/>
      <c r="AI563" s="85"/>
      <c r="AJ563" s="85"/>
      <c r="AK563" s="85"/>
      <c r="AL563" s="85"/>
      <c r="AM563" s="85"/>
      <c r="AN563" s="85"/>
      <c r="AO563" s="85"/>
      <c r="AP563" s="85"/>
      <c r="AQ563" s="85"/>
      <c r="AR563" s="85" t="s">
        <v>1124</v>
      </c>
      <c r="AS563" s="85"/>
      <c r="AT563" s="85"/>
      <c r="AU563" s="85"/>
      <c r="AV563" s="85"/>
      <c r="AW563" s="85"/>
      <c r="AX563" s="85"/>
      <c r="AY563" s="85"/>
      <c r="AZ563" s="85"/>
      <c r="BA563" s="85"/>
      <c r="BB563" s="89"/>
      <c r="BC563" s="89" t="s">
        <v>1124</v>
      </c>
      <c r="BD563" s="37"/>
      <c r="BE563" s="37"/>
      <c r="BF563" s="279"/>
      <c r="BG563" s="37"/>
      <c r="BH563" s="37"/>
      <c r="BI563" s="37"/>
      <c r="BJ563" s="283"/>
      <c r="BK563" s="161"/>
      <c r="BL563" s="294"/>
      <c r="BM563"/>
      <c r="BN563"/>
      <c r="BO563"/>
      <c r="BP563"/>
      <c r="BQ563"/>
      <c r="BR563"/>
      <c r="BS563"/>
      <c r="BT563"/>
      <c r="BU563"/>
      <c r="BV563"/>
      <c r="BW563"/>
      <c r="BX563"/>
      <c r="BY563"/>
      <c r="BZ563"/>
      <c r="CA563"/>
      <c r="CB563"/>
      <c r="CC563"/>
      <c r="CD563"/>
      <c r="CE563"/>
      <c r="CF563"/>
      <c r="CG563"/>
      <c r="CH563"/>
      <c r="CI563"/>
      <c r="CJ563"/>
    </row>
    <row r="564" spans="1:88" s="32" customFormat="1" ht="15" customHeight="1" x14ac:dyDescent="0.35">
      <c r="A564" s="473"/>
      <c r="B564" s="313">
        <v>61040</v>
      </c>
      <c r="C564" s="8" t="s">
        <v>616</v>
      </c>
      <c r="D564" s="18">
        <v>14</v>
      </c>
      <c r="E564" s="251">
        <v>617</v>
      </c>
      <c r="F564" s="82">
        <v>2.4042296072507554</v>
      </c>
      <c r="G564" s="79">
        <v>1483.4096676737161</v>
      </c>
      <c r="H564" s="90">
        <v>10.073</v>
      </c>
      <c r="I564" s="85">
        <v>9.6679999999999993</v>
      </c>
      <c r="J564" s="85">
        <v>10.106</v>
      </c>
      <c r="K564" s="85">
        <v>10.476000000000001</v>
      </c>
      <c r="L564" s="85">
        <v>0</v>
      </c>
      <c r="M564" s="85">
        <v>13.725</v>
      </c>
      <c r="N564" s="85">
        <v>14.541</v>
      </c>
      <c r="O564" s="85">
        <v>14.045</v>
      </c>
      <c r="P564" s="85">
        <v>11.925000000000001</v>
      </c>
      <c r="Q564" s="85">
        <v>11.472</v>
      </c>
      <c r="R564" s="85">
        <v>10.651</v>
      </c>
      <c r="S564" s="89">
        <v>11.068</v>
      </c>
      <c r="T564" s="89">
        <v>127.74999999999999</v>
      </c>
      <c r="U564" s="85">
        <v>0</v>
      </c>
      <c r="V564" s="85">
        <v>127.75</v>
      </c>
      <c r="W564" s="85">
        <v>0</v>
      </c>
      <c r="X564" s="89">
        <v>127.75</v>
      </c>
      <c r="Y564" s="79">
        <v>0</v>
      </c>
      <c r="Z564" s="79">
        <v>1</v>
      </c>
      <c r="AA564" s="94">
        <v>0</v>
      </c>
      <c r="AB564" s="79">
        <v>1</v>
      </c>
      <c r="AC564" s="85">
        <v>110.547</v>
      </c>
      <c r="AD564" s="85">
        <v>8.7929999999999993</v>
      </c>
      <c r="AE564" s="85">
        <v>8.41</v>
      </c>
      <c r="AF564" s="85">
        <v>0</v>
      </c>
      <c r="AG564" s="85">
        <v>127.75</v>
      </c>
      <c r="AH564" s="85">
        <v>0</v>
      </c>
      <c r="AI564" s="85">
        <v>0</v>
      </c>
      <c r="AJ564" s="85">
        <v>0</v>
      </c>
      <c r="AK564" s="85">
        <v>0</v>
      </c>
      <c r="AL564" s="85">
        <v>0</v>
      </c>
      <c r="AM564" s="85">
        <v>0</v>
      </c>
      <c r="AN564" s="85">
        <v>0</v>
      </c>
      <c r="AO564" s="85">
        <v>0</v>
      </c>
      <c r="AP564" s="85">
        <v>0</v>
      </c>
      <c r="AQ564" s="85">
        <v>0</v>
      </c>
      <c r="AR564" s="85">
        <v>0</v>
      </c>
      <c r="AS564" s="85">
        <v>0</v>
      </c>
      <c r="AT564" s="85">
        <v>0</v>
      </c>
      <c r="AU564" s="85">
        <v>127.75</v>
      </c>
      <c r="AV564" s="85">
        <v>0</v>
      </c>
      <c r="AW564" s="85">
        <v>0</v>
      </c>
      <c r="AX564" s="85">
        <v>0</v>
      </c>
      <c r="AY564" s="85">
        <v>0</v>
      </c>
      <c r="AZ564" s="85">
        <v>0</v>
      </c>
      <c r="BA564" s="85">
        <v>0</v>
      </c>
      <c r="BB564" s="89">
        <v>0</v>
      </c>
      <c r="BC564" s="89">
        <v>127.75</v>
      </c>
      <c r="BD564" s="37">
        <v>0</v>
      </c>
      <c r="BE564" s="37">
        <v>0</v>
      </c>
      <c r="BF564" s="279">
        <v>48099</v>
      </c>
      <c r="BG564" s="37">
        <v>40867</v>
      </c>
      <c r="BH564" s="37">
        <v>16026</v>
      </c>
      <c r="BI564" s="37">
        <v>131983</v>
      </c>
      <c r="BJ564" s="283">
        <v>236975</v>
      </c>
      <c r="BK564" s="161"/>
      <c r="BL564" s="294"/>
      <c r="BM564"/>
      <c r="BN564"/>
      <c r="BO564"/>
      <c r="BP564"/>
      <c r="BQ564"/>
      <c r="BR564"/>
      <c r="BS564"/>
      <c r="BT564"/>
      <c r="BU564"/>
      <c r="BV564"/>
      <c r="BW564"/>
      <c r="BX564"/>
      <c r="BY564"/>
      <c r="BZ564"/>
      <c r="CA564"/>
      <c r="CB564"/>
      <c r="CC564"/>
      <c r="CD564"/>
      <c r="CE564"/>
      <c r="CF564"/>
      <c r="CG564"/>
      <c r="CH564"/>
      <c r="CI564"/>
      <c r="CJ564"/>
    </row>
    <row r="565" spans="1:88" s="32" customFormat="1" ht="15" customHeight="1" x14ac:dyDescent="0.35">
      <c r="A565" s="473"/>
      <c r="B565" s="313">
        <v>10030</v>
      </c>
      <c r="C565" s="8" t="s">
        <v>12</v>
      </c>
      <c r="D565" s="18">
        <v>1</v>
      </c>
      <c r="E565" s="251">
        <v>792</v>
      </c>
      <c r="F565" s="82">
        <v>2.3877708978328172</v>
      </c>
      <c r="G565" s="79">
        <v>1891.1145510835911</v>
      </c>
      <c r="H565" s="90">
        <v>13.553000000000001</v>
      </c>
      <c r="I565" s="85">
        <v>14.016999999999999</v>
      </c>
      <c r="J565" s="85">
        <v>14.787000000000001</v>
      </c>
      <c r="K565" s="85">
        <v>13.584</v>
      </c>
      <c r="L565" s="85">
        <v>15.801</v>
      </c>
      <c r="M565" s="85">
        <v>17.324999999999999</v>
      </c>
      <c r="N565" s="85">
        <v>18.628</v>
      </c>
      <c r="O565" s="85">
        <v>16.818000000000001</v>
      </c>
      <c r="P565" s="85">
        <v>15.114000000000001</v>
      </c>
      <c r="Q565" s="85">
        <v>15.435</v>
      </c>
      <c r="R565" s="85">
        <v>14.571</v>
      </c>
      <c r="S565" s="89">
        <v>14.295999999999999</v>
      </c>
      <c r="T565" s="89">
        <v>183.929</v>
      </c>
      <c r="U565" s="85">
        <v>0</v>
      </c>
      <c r="V565" s="85">
        <v>183.929</v>
      </c>
      <c r="W565" s="85">
        <v>0</v>
      </c>
      <c r="X565" s="89">
        <v>183.929</v>
      </c>
      <c r="Y565" s="79">
        <v>0</v>
      </c>
      <c r="Z565" s="79">
        <v>1</v>
      </c>
      <c r="AA565" s="94">
        <v>0</v>
      </c>
      <c r="AB565" s="79">
        <v>1</v>
      </c>
      <c r="AC565" s="85">
        <v>159.55783783783787</v>
      </c>
      <c r="AD565" s="85">
        <v>7.1910971621621513</v>
      </c>
      <c r="AE565" s="85">
        <v>17.180064999999985</v>
      </c>
      <c r="AF565" s="85">
        <v>0</v>
      </c>
      <c r="AG565" s="85">
        <v>183.929</v>
      </c>
      <c r="AH565" s="85">
        <v>0</v>
      </c>
      <c r="AI565" s="85">
        <v>0</v>
      </c>
      <c r="AJ565" s="85">
        <v>0</v>
      </c>
      <c r="AK565" s="85">
        <v>0</v>
      </c>
      <c r="AL565" s="85">
        <v>0</v>
      </c>
      <c r="AM565" s="85">
        <v>0</v>
      </c>
      <c r="AN565" s="85">
        <v>0</v>
      </c>
      <c r="AO565" s="85">
        <v>0</v>
      </c>
      <c r="AP565" s="85">
        <v>0</v>
      </c>
      <c r="AQ565" s="85">
        <v>0</v>
      </c>
      <c r="AR565" s="85">
        <v>0</v>
      </c>
      <c r="AS565" s="85">
        <v>183.929</v>
      </c>
      <c r="AT565" s="85">
        <v>0</v>
      </c>
      <c r="AU565" s="85">
        <v>0</v>
      </c>
      <c r="AV565" s="85">
        <v>0</v>
      </c>
      <c r="AW565" s="85">
        <v>0</v>
      </c>
      <c r="AX565" s="85">
        <v>0</v>
      </c>
      <c r="AY565" s="85">
        <v>0</v>
      </c>
      <c r="AZ565" s="85">
        <v>0</v>
      </c>
      <c r="BA565" s="85">
        <v>0</v>
      </c>
      <c r="BB565" s="89">
        <v>0</v>
      </c>
      <c r="BC565" s="89">
        <v>183.929</v>
      </c>
      <c r="BD565" s="37">
        <v>0</v>
      </c>
      <c r="BE565" s="37">
        <v>0</v>
      </c>
      <c r="BF565" s="279">
        <v>6072</v>
      </c>
      <c r="BG565" s="37">
        <v>11313</v>
      </c>
      <c r="BH565" s="37">
        <v>1796</v>
      </c>
      <c r="BI565" s="37">
        <v>0</v>
      </c>
      <c r="BJ565" s="283">
        <v>19181</v>
      </c>
      <c r="BK565" s="161"/>
      <c r="BL565" s="294"/>
      <c r="BM565"/>
      <c r="BN565"/>
      <c r="BO565"/>
      <c r="BP565"/>
      <c r="BQ565"/>
      <c r="BR565"/>
      <c r="BS565"/>
      <c r="BT565"/>
      <c r="BU565"/>
      <c r="BV565"/>
      <c r="BW565"/>
      <c r="BX565"/>
      <c r="BY565"/>
      <c r="BZ565"/>
      <c r="CA565"/>
      <c r="CB565"/>
      <c r="CC565"/>
      <c r="CD565"/>
      <c r="CE565"/>
      <c r="CF565"/>
      <c r="CG565"/>
      <c r="CH565"/>
      <c r="CI565"/>
      <c r="CJ565"/>
    </row>
    <row r="566" spans="1:88" s="32" customFormat="1" ht="15" customHeight="1" x14ac:dyDescent="0.35">
      <c r="A566" s="473"/>
      <c r="B566" s="313">
        <v>14040</v>
      </c>
      <c r="C566" s="8" t="s">
        <v>66</v>
      </c>
      <c r="D566" s="18">
        <v>1</v>
      </c>
      <c r="E566" s="251">
        <v>146</v>
      </c>
      <c r="F566" s="82">
        <v>2.4981684981684982</v>
      </c>
      <c r="G566" s="79">
        <v>364.73260073260076</v>
      </c>
      <c r="H566" s="90">
        <v>3.4689999999999999</v>
      </c>
      <c r="I566" s="85">
        <v>3.2269999999999999</v>
      </c>
      <c r="J566" s="85">
        <v>3.5289999999999999</v>
      </c>
      <c r="K566" s="85">
        <v>3.6970000000000001</v>
      </c>
      <c r="L566" s="85">
        <v>3.302</v>
      </c>
      <c r="M566" s="85">
        <v>3.391</v>
      </c>
      <c r="N566" s="85">
        <v>3.6080000000000001</v>
      </c>
      <c r="O566" s="85">
        <v>3.448</v>
      </c>
      <c r="P566" s="85">
        <v>3.2210000000000001</v>
      </c>
      <c r="Q566" s="85">
        <v>3.5150000000000001</v>
      </c>
      <c r="R566" s="85">
        <v>3.3250000000000002</v>
      </c>
      <c r="S566" s="89">
        <v>3.4630000000000001</v>
      </c>
      <c r="T566" s="89">
        <v>41.195000000000007</v>
      </c>
      <c r="U566" s="85">
        <v>0</v>
      </c>
      <c r="V566" s="85">
        <v>41.195</v>
      </c>
      <c r="W566" s="85">
        <v>0</v>
      </c>
      <c r="X566" s="89">
        <v>41.195</v>
      </c>
      <c r="Y566" s="79">
        <v>0</v>
      </c>
      <c r="Z566" s="79">
        <v>1</v>
      </c>
      <c r="AA566" s="94">
        <v>0</v>
      </c>
      <c r="AB566" s="79">
        <v>1</v>
      </c>
      <c r="AC566" s="85">
        <v>18.439</v>
      </c>
      <c r="AD566" s="85">
        <v>16.787034336734706</v>
      </c>
      <c r="AE566" s="85">
        <v>5.968965663265303</v>
      </c>
      <c r="AF566" s="85">
        <v>0</v>
      </c>
      <c r="AG566" s="85">
        <v>41.195000000000007</v>
      </c>
      <c r="AH566" s="85">
        <v>0</v>
      </c>
      <c r="AI566" s="85">
        <v>0</v>
      </c>
      <c r="AJ566" s="85">
        <v>0</v>
      </c>
      <c r="AK566" s="85">
        <v>0</v>
      </c>
      <c r="AL566" s="85">
        <v>0</v>
      </c>
      <c r="AM566" s="85">
        <v>0</v>
      </c>
      <c r="AN566" s="85">
        <v>0</v>
      </c>
      <c r="AO566" s="85">
        <v>0</v>
      </c>
      <c r="AP566" s="85">
        <v>0</v>
      </c>
      <c r="AQ566" s="85">
        <v>0</v>
      </c>
      <c r="AR566" s="85">
        <v>0</v>
      </c>
      <c r="AS566" s="85">
        <v>0</v>
      </c>
      <c r="AT566" s="85">
        <v>0</v>
      </c>
      <c r="AU566" s="85">
        <v>0</v>
      </c>
      <c r="AV566" s="85">
        <v>0</v>
      </c>
      <c r="AW566" s="85">
        <v>0</v>
      </c>
      <c r="AX566" s="85">
        <v>0</v>
      </c>
      <c r="AY566" s="85">
        <v>41.195</v>
      </c>
      <c r="AZ566" s="85">
        <v>0</v>
      </c>
      <c r="BA566" s="85">
        <v>0</v>
      </c>
      <c r="BB566" s="89">
        <v>0</v>
      </c>
      <c r="BC566" s="89">
        <v>41.195</v>
      </c>
      <c r="BD566" s="37">
        <v>0</v>
      </c>
      <c r="BE566" s="37">
        <v>4331</v>
      </c>
      <c r="BF566" s="279">
        <v>7348</v>
      </c>
      <c r="BG566" s="37">
        <v>27140</v>
      </c>
      <c r="BH566" s="37">
        <v>4817</v>
      </c>
      <c r="BI566" s="37">
        <v>1454</v>
      </c>
      <c r="BJ566" s="283">
        <v>40759</v>
      </c>
      <c r="BK566" s="161"/>
      <c r="BL566" s="294"/>
      <c r="BM566"/>
      <c r="BN566"/>
      <c r="BO566"/>
      <c r="BP566"/>
      <c r="BQ566"/>
      <c r="BR566"/>
      <c r="BS566"/>
      <c r="BT566"/>
      <c r="BU566"/>
      <c r="BV566"/>
      <c r="BW566"/>
      <c r="BX566"/>
      <c r="BY566"/>
      <c r="BZ566"/>
      <c r="CA566"/>
      <c r="CB566"/>
      <c r="CC566"/>
      <c r="CD566"/>
      <c r="CE566"/>
      <c r="CF566"/>
      <c r="CG566"/>
      <c r="CH566"/>
      <c r="CI566"/>
      <c r="CJ566"/>
    </row>
    <row r="567" spans="1:88" s="32" customFormat="1" ht="15" customHeight="1" x14ac:dyDescent="0.35">
      <c r="A567" s="473"/>
      <c r="B567" s="313">
        <v>80027</v>
      </c>
      <c r="C567" s="8" t="s">
        <v>807</v>
      </c>
      <c r="D567" s="18">
        <v>7</v>
      </c>
      <c r="E567" s="251"/>
      <c r="F567" s="82"/>
      <c r="G567" s="79"/>
      <c r="H567" s="90"/>
      <c r="I567" s="85"/>
      <c r="J567" s="85"/>
      <c r="K567" s="85"/>
      <c r="L567" s="85"/>
      <c r="M567" s="85"/>
      <c r="N567" s="85"/>
      <c r="O567" s="85"/>
      <c r="P567" s="85"/>
      <c r="Q567" s="85"/>
      <c r="R567" s="85"/>
      <c r="S567" s="89"/>
      <c r="T567" s="89" t="s">
        <v>1124</v>
      </c>
      <c r="U567" s="85"/>
      <c r="V567" s="85"/>
      <c r="W567" s="85"/>
      <c r="X567" s="89" t="s">
        <v>1124</v>
      </c>
      <c r="Y567" s="79"/>
      <c r="Z567" s="79"/>
      <c r="AA567" s="94"/>
      <c r="AB567" s="79" t="s">
        <v>1124</v>
      </c>
      <c r="AC567" s="85"/>
      <c r="AD567" s="85"/>
      <c r="AE567" s="85"/>
      <c r="AF567" s="85"/>
      <c r="AG567" s="85" t="s">
        <v>1124</v>
      </c>
      <c r="AH567" s="85"/>
      <c r="AI567" s="85"/>
      <c r="AJ567" s="85"/>
      <c r="AK567" s="85"/>
      <c r="AL567" s="85"/>
      <c r="AM567" s="85"/>
      <c r="AN567" s="85"/>
      <c r="AO567" s="85"/>
      <c r="AP567" s="85"/>
      <c r="AQ567" s="85"/>
      <c r="AR567" s="85" t="s">
        <v>1124</v>
      </c>
      <c r="AS567" s="85"/>
      <c r="AT567" s="85"/>
      <c r="AU567" s="85"/>
      <c r="AV567" s="85"/>
      <c r="AW567" s="85"/>
      <c r="AX567" s="85"/>
      <c r="AY567" s="85"/>
      <c r="AZ567" s="85"/>
      <c r="BA567" s="85"/>
      <c r="BB567" s="89"/>
      <c r="BC567" s="89" t="s">
        <v>1124</v>
      </c>
      <c r="BD567" s="37"/>
      <c r="BE567" s="37"/>
      <c r="BF567" s="279"/>
      <c r="BG567" s="37"/>
      <c r="BH567" s="37"/>
      <c r="BI567" s="37"/>
      <c r="BJ567" s="283"/>
      <c r="BK567" s="161"/>
      <c r="BL567" s="294"/>
      <c r="BM567"/>
      <c r="BN567"/>
      <c r="BO567"/>
      <c r="BP567"/>
      <c r="BQ567"/>
      <c r="BR567"/>
      <c r="BS567"/>
      <c r="BT567"/>
      <c r="BU567"/>
      <c r="BV567"/>
      <c r="BW567"/>
      <c r="BX567"/>
      <c r="BY567"/>
      <c r="BZ567"/>
      <c r="CA567"/>
      <c r="CB567"/>
      <c r="CC567"/>
      <c r="CD567"/>
      <c r="CE567"/>
      <c r="CF567"/>
      <c r="CG567"/>
      <c r="CH567"/>
      <c r="CI567"/>
      <c r="CJ567"/>
    </row>
    <row r="568" spans="1:88" s="32" customFormat="1" ht="15" customHeight="1" x14ac:dyDescent="0.35">
      <c r="A568" s="473"/>
      <c r="B568" s="313">
        <v>76008</v>
      </c>
      <c r="C568" s="8" t="s">
        <v>747</v>
      </c>
      <c r="D568" s="18">
        <v>15</v>
      </c>
      <c r="E568" s="251"/>
      <c r="F568" s="82"/>
      <c r="G568" s="79"/>
      <c r="H568" s="90"/>
      <c r="I568" s="85"/>
      <c r="J568" s="85"/>
      <c r="K568" s="85"/>
      <c r="L568" s="85"/>
      <c r="M568" s="85"/>
      <c r="N568" s="85"/>
      <c r="O568" s="85"/>
      <c r="P568" s="85"/>
      <c r="Q568" s="85"/>
      <c r="R568" s="85"/>
      <c r="S568" s="89"/>
      <c r="T568" s="89" t="s">
        <v>1124</v>
      </c>
      <c r="U568" s="85"/>
      <c r="V568" s="85"/>
      <c r="W568" s="85"/>
      <c r="X568" s="89" t="s">
        <v>1124</v>
      </c>
      <c r="Y568" s="79"/>
      <c r="Z568" s="79"/>
      <c r="AA568" s="94"/>
      <c r="AB568" s="79" t="s">
        <v>1124</v>
      </c>
      <c r="AC568" s="85"/>
      <c r="AD568" s="85"/>
      <c r="AE568" s="85"/>
      <c r="AF568" s="85"/>
      <c r="AG568" s="85" t="s">
        <v>1124</v>
      </c>
      <c r="AH568" s="85"/>
      <c r="AI568" s="85"/>
      <c r="AJ568" s="85"/>
      <c r="AK568" s="85"/>
      <c r="AL568" s="85"/>
      <c r="AM568" s="85"/>
      <c r="AN568" s="85"/>
      <c r="AO568" s="85"/>
      <c r="AP568" s="85"/>
      <c r="AQ568" s="85"/>
      <c r="AR568" s="85" t="s">
        <v>1124</v>
      </c>
      <c r="AS568" s="85"/>
      <c r="AT568" s="85"/>
      <c r="AU568" s="85"/>
      <c r="AV568" s="85"/>
      <c r="AW568" s="85"/>
      <c r="AX568" s="85"/>
      <c r="AY568" s="85"/>
      <c r="AZ568" s="85"/>
      <c r="BA568" s="85"/>
      <c r="BB568" s="89"/>
      <c r="BC568" s="89" t="s">
        <v>1124</v>
      </c>
      <c r="BD568" s="37"/>
      <c r="BE568" s="37"/>
      <c r="BF568" s="279"/>
      <c r="BG568" s="37"/>
      <c r="BH568" s="37"/>
      <c r="BI568" s="37"/>
      <c r="BJ568" s="283"/>
      <c r="BK568" s="161"/>
      <c r="BL568" s="294"/>
      <c r="BM568"/>
      <c r="BN568"/>
      <c r="BO568"/>
      <c r="BP568"/>
      <c r="BQ568"/>
      <c r="BR568"/>
      <c r="BS568"/>
      <c r="BT568"/>
      <c r="BU568"/>
      <c r="BV568"/>
      <c r="BW568"/>
      <c r="BX568"/>
      <c r="BY568"/>
      <c r="BZ568"/>
      <c r="CA568"/>
      <c r="CB568"/>
      <c r="CC568"/>
      <c r="CD568"/>
      <c r="CE568"/>
      <c r="CF568"/>
      <c r="CG568"/>
      <c r="CH568"/>
      <c r="CI568"/>
      <c r="CJ568"/>
    </row>
    <row r="569" spans="1:88" s="32" customFormat="1" ht="15" customHeight="1" x14ac:dyDescent="0.35">
      <c r="A569" s="473"/>
      <c r="B569" s="313">
        <v>6040</v>
      </c>
      <c r="C569" s="8" t="s">
        <v>1063</v>
      </c>
      <c r="D569" s="18">
        <v>11</v>
      </c>
      <c r="E569" s="251"/>
      <c r="F569" s="82"/>
      <c r="G569" s="79"/>
      <c r="H569" s="90"/>
      <c r="I569" s="85"/>
      <c r="J569" s="85"/>
      <c r="K569" s="85"/>
      <c r="L569" s="85"/>
      <c r="M569" s="85"/>
      <c r="N569" s="85"/>
      <c r="O569" s="85"/>
      <c r="P569" s="85"/>
      <c r="Q569" s="85"/>
      <c r="R569" s="85"/>
      <c r="S569" s="89"/>
      <c r="T569" s="89" t="s">
        <v>1124</v>
      </c>
      <c r="U569" s="85"/>
      <c r="V569" s="85"/>
      <c r="W569" s="85"/>
      <c r="X569" s="89" t="s">
        <v>1124</v>
      </c>
      <c r="Y569" s="79"/>
      <c r="Z569" s="79"/>
      <c r="AA569" s="94"/>
      <c r="AB569" s="79" t="s">
        <v>1124</v>
      </c>
      <c r="AC569" s="85"/>
      <c r="AD569" s="85"/>
      <c r="AE569" s="85"/>
      <c r="AF569" s="85"/>
      <c r="AG569" s="85" t="s">
        <v>1124</v>
      </c>
      <c r="AH569" s="85"/>
      <c r="AI569" s="85"/>
      <c r="AJ569" s="85"/>
      <c r="AK569" s="85"/>
      <c r="AL569" s="85"/>
      <c r="AM569" s="85"/>
      <c r="AN569" s="85"/>
      <c r="AO569" s="85"/>
      <c r="AP569" s="85"/>
      <c r="AQ569" s="85"/>
      <c r="AR569" s="85" t="s">
        <v>1124</v>
      </c>
      <c r="AS569" s="85"/>
      <c r="AT569" s="85"/>
      <c r="AU569" s="85"/>
      <c r="AV569" s="85"/>
      <c r="AW569" s="85"/>
      <c r="AX569" s="85"/>
      <c r="AY569" s="85"/>
      <c r="AZ569" s="85"/>
      <c r="BA569" s="85"/>
      <c r="BB569" s="89"/>
      <c r="BC569" s="89" t="s">
        <v>1124</v>
      </c>
      <c r="BD569" s="37"/>
      <c r="BE569" s="37"/>
      <c r="BF569" s="279"/>
      <c r="BG569" s="37"/>
      <c r="BH569" s="37"/>
      <c r="BI569" s="37"/>
      <c r="BJ569" s="283"/>
      <c r="BK569" s="161"/>
      <c r="BL569" s="294"/>
      <c r="BM569"/>
      <c r="BN569"/>
      <c r="BO569"/>
      <c r="BP569"/>
      <c r="BQ569"/>
      <c r="BR569"/>
      <c r="BS569"/>
      <c r="BT569"/>
      <c r="BU569"/>
      <c r="BV569"/>
      <c r="BW569"/>
      <c r="BX569"/>
      <c r="BY569"/>
      <c r="BZ569"/>
      <c r="CA569"/>
      <c r="CB569"/>
      <c r="CC569"/>
      <c r="CD569"/>
      <c r="CE569"/>
      <c r="CF569"/>
      <c r="CG569"/>
      <c r="CH569"/>
      <c r="CI569"/>
      <c r="CJ569"/>
    </row>
    <row r="570" spans="1:88" s="32" customFormat="1" ht="15" customHeight="1" x14ac:dyDescent="0.35">
      <c r="A570" s="473"/>
      <c r="B570" s="313">
        <v>91010</v>
      </c>
      <c r="C570" s="8" t="s">
        <v>938</v>
      </c>
      <c r="D570" s="18">
        <v>2</v>
      </c>
      <c r="E570" s="251"/>
      <c r="F570" s="82"/>
      <c r="G570" s="79"/>
      <c r="H570" s="90"/>
      <c r="I570" s="85"/>
      <c r="J570" s="85"/>
      <c r="K570" s="85"/>
      <c r="L570" s="85"/>
      <c r="M570" s="85"/>
      <c r="N570" s="85"/>
      <c r="O570" s="85"/>
      <c r="P570" s="85"/>
      <c r="Q570" s="85"/>
      <c r="R570" s="85"/>
      <c r="S570" s="89"/>
      <c r="T570" s="89" t="s">
        <v>1124</v>
      </c>
      <c r="U570" s="85"/>
      <c r="V570" s="85"/>
      <c r="W570" s="85"/>
      <c r="X570" s="89" t="s">
        <v>1124</v>
      </c>
      <c r="Y570" s="79"/>
      <c r="Z570" s="79"/>
      <c r="AA570" s="94"/>
      <c r="AB570" s="79" t="s">
        <v>1124</v>
      </c>
      <c r="AC570" s="85"/>
      <c r="AD570" s="85"/>
      <c r="AE570" s="85"/>
      <c r="AF570" s="85"/>
      <c r="AG570" s="85" t="s">
        <v>1124</v>
      </c>
      <c r="AH570" s="85"/>
      <c r="AI570" s="85"/>
      <c r="AJ570" s="85"/>
      <c r="AK570" s="85"/>
      <c r="AL570" s="85"/>
      <c r="AM570" s="85"/>
      <c r="AN570" s="85"/>
      <c r="AO570" s="85"/>
      <c r="AP570" s="85"/>
      <c r="AQ570" s="85"/>
      <c r="AR570" s="85" t="s">
        <v>1124</v>
      </c>
      <c r="AS570" s="85"/>
      <c r="AT570" s="85"/>
      <c r="AU570" s="85"/>
      <c r="AV570" s="85"/>
      <c r="AW570" s="85"/>
      <c r="AX570" s="85"/>
      <c r="AY570" s="85"/>
      <c r="AZ570" s="85"/>
      <c r="BA570" s="85"/>
      <c r="BB570" s="89"/>
      <c r="BC570" s="89" t="s">
        <v>1124</v>
      </c>
      <c r="BD570" s="37"/>
      <c r="BE570" s="37"/>
      <c r="BF570" s="279"/>
      <c r="BG570" s="37"/>
      <c r="BH570" s="37"/>
      <c r="BI570" s="37"/>
      <c r="BJ570" s="283"/>
      <c r="BK570" s="161"/>
      <c r="BL570" s="294"/>
      <c r="BM570"/>
      <c r="BN570"/>
      <c r="BO570"/>
      <c r="BP570"/>
      <c r="BQ570"/>
      <c r="BR570"/>
      <c r="BS570"/>
      <c r="BT570"/>
      <c r="BU570"/>
      <c r="BV570"/>
      <c r="BW570"/>
      <c r="BX570"/>
      <c r="BY570"/>
      <c r="BZ570"/>
      <c r="CA570"/>
      <c r="CB570"/>
      <c r="CC570"/>
      <c r="CD570"/>
      <c r="CE570"/>
      <c r="CF570"/>
      <c r="CG570"/>
      <c r="CH570"/>
      <c r="CI570"/>
      <c r="CJ570"/>
    </row>
    <row r="571" spans="1:88" s="32" customFormat="1" ht="15" customHeight="1" x14ac:dyDescent="0.35">
      <c r="A571" s="473"/>
      <c r="B571" s="313">
        <v>69070</v>
      </c>
      <c r="C571" s="8" t="s">
        <v>695</v>
      </c>
      <c r="D571" s="18">
        <v>16</v>
      </c>
      <c r="E571" s="251"/>
      <c r="F571" s="82"/>
      <c r="G571" s="79"/>
      <c r="H571" s="90"/>
      <c r="I571" s="85"/>
      <c r="J571" s="85"/>
      <c r="K571" s="85"/>
      <c r="L571" s="85"/>
      <c r="M571" s="85"/>
      <c r="N571" s="85"/>
      <c r="O571" s="85"/>
      <c r="P571" s="85"/>
      <c r="Q571" s="85"/>
      <c r="R571" s="85"/>
      <c r="S571" s="89"/>
      <c r="T571" s="89" t="s">
        <v>1124</v>
      </c>
      <c r="U571" s="85"/>
      <c r="V571" s="85"/>
      <c r="W571" s="85"/>
      <c r="X571" s="89" t="s">
        <v>1124</v>
      </c>
      <c r="Y571" s="79"/>
      <c r="Z571" s="79"/>
      <c r="AA571" s="94"/>
      <c r="AB571" s="79" t="s">
        <v>1124</v>
      </c>
      <c r="AC571" s="85"/>
      <c r="AD571" s="85"/>
      <c r="AE571" s="85"/>
      <c r="AF571" s="85"/>
      <c r="AG571" s="85" t="s">
        <v>1124</v>
      </c>
      <c r="AH571" s="85"/>
      <c r="AI571" s="85"/>
      <c r="AJ571" s="85"/>
      <c r="AK571" s="85"/>
      <c r="AL571" s="85"/>
      <c r="AM571" s="85"/>
      <c r="AN571" s="85"/>
      <c r="AO571" s="85"/>
      <c r="AP571" s="85"/>
      <c r="AQ571" s="85"/>
      <c r="AR571" s="85" t="s">
        <v>1124</v>
      </c>
      <c r="AS571" s="85"/>
      <c r="AT571" s="85"/>
      <c r="AU571" s="85"/>
      <c r="AV571" s="85"/>
      <c r="AW571" s="85"/>
      <c r="AX571" s="85"/>
      <c r="AY571" s="85"/>
      <c r="AZ571" s="85"/>
      <c r="BA571" s="85"/>
      <c r="BB571" s="89"/>
      <c r="BC571" s="89" t="s">
        <v>1124</v>
      </c>
      <c r="BD571" s="37"/>
      <c r="BE571" s="37"/>
      <c r="BF571" s="279"/>
      <c r="BG571" s="37"/>
      <c r="BH571" s="37"/>
      <c r="BI571" s="37"/>
      <c r="BJ571" s="283"/>
      <c r="BK571" s="161"/>
      <c r="BL571" s="294"/>
      <c r="BM571"/>
      <c r="BN571"/>
      <c r="BO571"/>
      <c r="BP571"/>
      <c r="BQ571"/>
      <c r="BR571"/>
      <c r="BS571"/>
      <c r="BT571"/>
      <c r="BU571"/>
      <c r="BV571"/>
      <c r="BW571"/>
      <c r="BX571"/>
      <c r="BY571"/>
      <c r="BZ571"/>
      <c r="CA571"/>
      <c r="CB571"/>
      <c r="CC571"/>
      <c r="CD571"/>
      <c r="CE571"/>
      <c r="CF571"/>
      <c r="CG571"/>
      <c r="CH571"/>
      <c r="CI571"/>
      <c r="CJ571"/>
    </row>
    <row r="572" spans="1:88" s="32" customFormat="1" ht="15" customHeight="1" x14ac:dyDescent="0.35">
      <c r="A572" s="473"/>
      <c r="B572" s="313">
        <v>19062</v>
      </c>
      <c r="C572" s="8" t="s">
        <v>128</v>
      </c>
      <c r="D572" s="18">
        <v>12</v>
      </c>
      <c r="E572" s="251">
        <v>1376</v>
      </c>
      <c r="F572" s="82">
        <v>2.3759530791788857</v>
      </c>
      <c r="G572" s="79">
        <v>3269.3114369501468</v>
      </c>
      <c r="H572" s="90">
        <v>117.02</v>
      </c>
      <c r="I572" s="85">
        <v>101.62</v>
      </c>
      <c r="J572" s="85">
        <v>110.46</v>
      </c>
      <c r="K572" s="85">
        <v>107.658</v>
      </c>
      <c r="L572" s="85">
        <v>115.009</v>
      </c>
      <c r="M572" s="85">
        <v>107.8</v>
      </c>
      <c r="N572" s="85">
        <v>125.11</v>
      </c>
      <c r="O572" s="85">
        <v>121.191</v>
      </c>
      <c r="P572" s="85">
        <v>109.78</v>
      </c>
      <c r="Q572" s="85">
        <v>121.23</v>
      </c>
      <c r="R572" s="85">
        <v>109.41</v>
      </c>
      <c r="S572" s="89">
        <v>105.87</v>
      </c>
      <c r="T572" s="89">
        <v>1352.1579999999999</v>
      </c>
      <c r="U572" s="85">
        <v>1352.1579999999999</v>
      </c>
      <c r="V572" s="85">
        <v>0</v>
      </c>
      <c r="W572" s="85">
        <v>0</v>
      </c>
      <c r="X572" s="89">
        <v>1352.1579999999999</v>
      </c>
      <c r="Y572" s="79">
        <v>1</v>
      </c>
      <c r="Z572" s="79">
        <v>0</v>
      </c>
      <c r="AA572" s="94">
        <v>0</v>
      </c>
      <c r="AB572" s="79">
        <v>1</v>
      </c>
      <c r="AC572" s="85">
        <v>210.80799999999999</v>
      </c>
      <c r="AD572" s="85">
        <v>1052.9680000000001</v>
      </c>
      <c r="AE572" s="85">
        <v>88.088999999999999</v>
      </c>
      <c r="AF572" s="85">
        <v>0.29299999999999998</v>
      </c>
      <c r="AG572" s="85">
        <v>1352.1579999999999</v>
      </c>
      <c r="AH572" s="85">
        <v>0</v>
      </c>
      <c r="AI572" s="85">
        <v>0</v>
      </c>
      <c r="AJ572" s="85">
        <v>1352.1579999999999</v>
      </c>
      <c r="AK572" s="85">
        <v>0</v>
      </c>
      <c r="AL572" s="85">
        <v>0</v>
      </c>
      <c r="AM572" s="85">
        <v>0</v>
      </c>
      <c r="AN572" s="85">
        <v>0</v>
      </c>
      <c r="AO572" s="85">
        <v>0</v>
      </c>
      <c r="AP572" s="85">
        <v>0</v>
      </c>
      <c r="AQ572" s="85">
        <v>0</v>
      </c>
      <c r="AR572" s="85">
        <v>1352.1579999999999</v>
      </c>
      <c r="AS572" s="85">
        <v>0</v>
      </c>
      <c r="AT572" s="85">
        <v>0</v>
      </c>
      <c r="AU572" s="85">
        <v>0</v>
      </c>
      <c r="AV572" s="85">
        <v>0</v>
      </c>
      <c r="AW572" s="85">
        <v>0</v>
      </c>
      <c r="AX572" s="85">
        <v>0</v>
      </c>
      <c r="AY572" s="85">
        <v>0</v>
      </c>
      <c r="AZ572" s="85">
        <v>0</v>
      </c>
      <c r="BA572" s="85">
        <v>0</v>
      </c>
      <c r="BB572" s="89">
        <v>0</v>
      </c>
      <c r="BC572" s="89">
        <v>0</v>
      </c>
      <c r="BD572" s="37">
        <v>72992</v>
      </c>
      <c r="BE572" s="37">
        <v>4898</v>
      </c>
      <c r="BF572" s="279">
        <v>165116</v>
      </c>
      <c r="BG572" s="37">
        <v>170775</v>
      </c>
      <c r="BH572" s="37">
        <v>119067</v>
      </c>
      <c r="BI572" s="37">
        <v>20000</v>
      </c>
      <c r="BJ572" s="283">
        <v>474958</v>
      </c>
      <c r="BK572" s="161"/>
      <c r="BL572" s="294"/>
      <c r="BM572"/>
      <c r="BN572"/>
      <c r="BO572"/>
      <c r="BP572"/>
      <c r="BQ572"/>
      <c r="BR572"/>
      <c r="BS572"/>
      <c r="BT572"/>
      <c r="BU572"/>
      <c r="BV572"/>
      <c r="BW572"/>
      <c r="BX572"/>
      <c r="BY572"/>
      <c r="BZ572"/>
      <c r="CA572"/>
      <c r="CB572"/>
      <c r="CC572"/>
      <c r="CD572"/>
      <c r="CE572"/>
      <c r="CF572"/>
      <c r="CG572"/>
      <c r="CH572"/>
      <c r="CI572"/>
      <c r="CJ572"/>
    </row>
    <row r="573" spans="1:88" s="32" customFormat="1" ht="15" customHeight="1" x14ac:dyDescent="0.35">
      <c r="A573" s="473"/>
      <c r="B573" s="313">
        <v>18070</v>
      </c>
      <c r="C573" s="8" t="s">
        <v>117</v>
      </c>
      <c r="D573" s="18">
        <v>12</v>
      </c>
      <c r="E573" s="251"/>
      <c r="F573" s="82"/>
      <c r="G573" s="79"/>
      <c r="H573" s="90"/>
      <c r="I573" s="85"/>
      <c r="J573" s="85"/>
      <c r="K573" s="85"/>
      <c r="L573" s="85"/>
      <c r="M573" s="85"/>
      <c r="N573" s="85"/>
      <c r="O573" s="85"/>
      <c r="P573" s="85"/>
      <c r="Q573" s="85"/>
      <c r="R573" s="85"/>
      <c r="S573" s="89"/>
      <c r="T573" s="89" t="s">
        <v>1124</v>
      </c>
      <c r="U573" s="85"/>
      <c r="V573" s="85"/>
      <c r="W573" s="85"/>
      <c r="X573" s="89" t="s">
        <v>1124</v>
      </c>
      <c r="Y573" s="79"/>
      <c r="Z573" s="79"/>
      <c r="AA573" s="94"/>
      <c r="AB573" s="79" t="s">
        <v>1124</v>
      </c>
      <c r="AC573" s="85"/>
      <c r="AD573" s="85"/>
      <c r="AE573" s="85"/>
      <c r="AF573" s="85"/>
      <c r="AG573" s="85" t="s">
        <v>1124</v>
      </c>
      <c r="AH573" s="85"/>
      <c r="AI573" s="85"/>
      <c r="AJ573" s="85"/>
      <c r="AK573" s="85"/>
      <c r="AL573" s="85"/>
      <c r="AM573" s="85"/>
      <c r="AN573" s="85"/>
      <c r="AO573" s="85"/>
      <c r="AP573" s="85"/>
      <c r="AQ573" s="85"/>
      <c r="AR573" s="85" t="s">
        <v>1124</v>
      </c>
      <c r="AS573" s="85"/>
      <c r="AT573" s="85"/>
      <c r="AU573" s="85"/>
      <c r="AV573" s="85"/>
      <c r="AW573" s="85"/>
      <c r="AX573" s="85"/>
      <c r="AY573" s="85"/>
      <c r="AZ573" s="85"/>
      <c r="BA573" s="85"/>
      <c r="BB573" s="89"/>
      <c r="BC573" s="89" t="s">
        <v>1124</v>
      </c>
      <c r="BD573" s="37"/>
      <c r="BE573" s="37"/>
      <c r="BF573" s="279"/>
      <c r="BG573" s="37"/>
      <c r="BH573" s="37"/>
      <c r="BI573" s="37"/>
      <c r="BJ573" s="283"/>
      <c r="BK573" s="161"/>
      <c r="BL573" s="294"/>
      <c r="BM573"/>
      <c r="BN573"/>
      <c r="BO573"/>
      <c r="BP573"/>
      <c r="BQ573"/>
      <c r="BR573"/>
      <c r="BS573"/>
      <c r="BT573"/>
      <c r="BU573"/>
      <c r="BV573"/>
      <c r="BW573"/>
      <c r="BX573"/>
      <c r="BY573"/>
      <c r="BZ573"/>
      <c r="CA573"/>
      <c r="CB573"/>
      <c r="CC573"/>
      <c r="CD573"/>
      <c r="CE573"/>
      <c r="CF573"/>
      <c r="CG573"/>
      <c r="CH573"/>
      <c r="CI573"/>
      <c r="CJ573"/>
    </row>
    <row r="574" spans="1:88" s="32" customFormat="1" ht="15" customHeight="1" x14ac:dyDescent="0.35">
      <c r="A574" s="473"/>
      <c r="B574" s="313">
        <v>33095</v>
      </c>
      <c r="C574" s="8" t="s">
        <v>281</v>
      </c>
      <c r="D574" s="18">
        <v>12</v>
      </c>
      <c r="E574" s="251"/>
      <c r="F574" s="82"/>
      <c r="G574" s="79"/>
      <c r="H574" s="90"/>
      <c r="I574" s="85"/>
      <c r="J574" s="85"/>
      <c r="K574" s="85"/>
      <c r="L574" s="85"/>
      <c r="M574" s="85"/>
      <c r="N574" s="85"/>
      <c r="O574" s="85"/>
      <c r="P574" s="85"/>
      <c r="Q574" s="85"/>
      <c r="R574" s="85"/>
      <c r="S574" s="89"/>
      <c r="T574" s="89" t="s">
        <v>1124</v>
      </c>
      <c r="U574" s="85"/>
      <c r="V574" s="85"/>
      <c r="W574" s="85"/>
      <c r="X574" s="89" t="s">
        <v>1124</v>
      </c>
      <c r="Y574" s="79"/>
      <c r="Z574" s="79"/>
      <c r="AA574" s="94"/>
      <c r="AB574" s="79" t="s">
        <v>1124</v>
      </c>
      <c r="AC574" s="85"/>
      <c r="AD574" s="85"/>
      <c r="AE574" s="85"/>
      <c r="AF574" s="85"/>
      <c r="AG574" s="85" t="s">
        <v>1124</v>
      </c>
      <c r="AH574" s="85"/>
      <c r="AI574" s="85"/>
      <c r="AJ574" s="85"/>
      <c r="AK574" s="85"/>
      <c r="AL574" s="85"/>
      <c r="AM574" s="85"/>
      <c r="AN574" s="85"/>
      <c r="AO574" s="85"/>
      <c r="AP574" s="85"/>
      <c r="AQ574" s="85"/>
      <c r="AR574" s="85" t="s">
        <v>1124</v>
      </c>
      <c r="AS574" s="85"/>
      <c r="AT574" s="85"/>
      <c r="AU574" s="85"/>
      <c r="AV574" s="85"/>
      <c r="AW574" s="85"/>
      <c r="AX574" s="85"/>
      <c r="AY574" s="85"/>
      <c r="AZ574" s="85"/>
      <c r="BA574" s="85"/>
      <c r="BB574" s="89"/>
      <c r="BC574" s="89" t="s">
        <v>1124</v>
      </c>
      <c r="BD574" s="37"/>
      <c r="BE574" s="37"/>
      <c r="BF574" s="279"/>
      <c r="BG574" s="37"/>
      <c r="BH574" s="37"/>
      <c r="BI574" s="37"/>
      <c r="BJ574" s="283"/>
      <c r="BK574" s="161"/>
      <c r="BL574" s="294"/>
      <c r="BM574"/>
      <c r="BN574"/>
      <c r="BO574"/>
      <c r="BP574"/>
      <c r="BQ574"/>
      <c r="BR574"/>
      <c r="BS574"/>
      <c r="BT574"/>
      <c r="BU574"/>
      <c r="BV574"/>
      <c r="BW574"/>
      <c r="BX574"/>
      <c r="BY574"/>
      <c r="BZ574"/>
      <c r="CA574"/>
      <c r="CB574"/>
      <c r="CC574"/>
      <c r="CD574"/>
      <c r="CE574"/>
      <c r="CF574"/>
      <c r="CG574"/>
      <c r="CH574"/>
      <c r="CI574"/>
      <c r="CJ574"/>
    </row>
    <row r="575" spans="1:88" s="32" customFormat="1" ht="15" customHeight="1" x14ac:dyDescent="0.35">
      <c r="A575" s="473"/>
      <c r="B575" s="313">
        <v>57075</v>
      </c>
      <c r="C575" s="8" t="s">
        <v>593</v>
      </c>
      <c r="D575" s="18">
        <v>16</v>
      </c>
      <c r="E575" s="251"/>
      <c r="F575" s="82"/>
      <c r="G575" s="79"/>
      <c r="H575" s="90"/>
      <c r="I575" s="85"/>
      <c r="J575" s="85"/>
      <c r="K575" s="85"/>
      <c r="L575" s="85"/>
      <c r="M575" s="85"/>
      <c r="N575" s="85"/>
      <c r="O575" s="85"/>
      <c r="P575" s="85"/>
      <c r="Q575" s="85"/>
      <c r="R575" s="85"/>
      <c r="S575" s="89"/>
      <c r="T575" s="89" t="s">
        <v>1124</v>
      </c>
      <c r="U575" s="85"/>
      <c r="V575" s="85"/>
      <c r="W575" s="85"/>
      <c r="X575" s="89" t="s">
        <v>1124</v>
      </c>
      <c r="Y575" s="79"/>
      <c r="Z575" s="79"/>
      <c r="AA575" s="94"/>
      <c r="AB575" s="79" t="s">
        <v>1124</v>
      </c>
      <c r="AC575" s="85"/>
      <c r="AD575" s="85"/>
      <c r="AE575" s="85"/>
      <c r="AF575" s="85"/>
      <c r="AG575" s="85" t="s">
        <v>1124</v>
      </c>
      <c r="AH575" s="85"/>
      <c r="AI575" s="85"/>
      <c r="AJ575" s="85"/>
      <c r="AK575" s="85"/>
      <c r="AL575" s="85"/>
      <c r="AM575" s="85"/>
      <c r="AN575" s="85"/>
      <c r="AO575" s="85"/>
      <c r="AP575" s="85"/>
      <c r="AQ575" s="85"/>
      <c r="AR575" s="85" t="s">
        <v>1124</v>
      </c>
      <c r="AS575" s="85"/>
      <c r="AT575" s="85"/>
      <c r="AU575" s="85"/>
      <c r="AV575" s="85"/>
      <c r="AW575" s="85"/>
      <c r="AX575" s="85"/>
      <c r="AY575" s="85"/>
      <c r="AZ575" s="85"/>
      <c r="BA575" s="85"/>
      <c r="BB575" s="89"/>
      <c r="BC575" s="89" t="s">
        <v>1124</v>
      </c>
      <c r="BD575" s="37"/>
      <c r="BE575" s="37"/>
      <c r="BF575" s="279"/>
      <c r="BG575" s="37"/>
      <c r="BH575" s="37"/>
      <c r="BI575" s="37"/>
      <c r="BJ575" s="283"/>
      <c r="BK575" s="161"/>
      <c r="BL575" s="294"/>
      <c r="BM575"/>
      <c r="BN575"/>
      <c r="BO575"/>
      <c r="BP575"/>
      <c r="BQ575"/>
      <c r="BR575"/>
      <c r="BS575"/>
      <c r="BT575"/>
      <c r="BU575"/>
      <c r="BV575"/>
      <c r="BW575"/>
      <c r="BX575"/>
      <c r="BY575"/>
      <c r="BZ575"/>
      <c r="CA575"/>
      <c r="CB575"/>
      <c r="CC575"/>
      <c r="CD575"/>
      <c r="CE575"/>
      <c r="CF575"/>
      <c r="CG575"/>
      <c r="CH575"/>
      <c r="CI575"/>
      <c r="CJ575"/>
    </row>
    <row r="576" spans="1:88" s="32" customFormat="1" ht="15" customHeight="1" x14ac:dyDescent="0.35">
      <c r="A576" s="473"/>
      <c r="B576" s="313">
        <v>12015</v>
      </c>
      <c r="C576" s="8" t="s">
        <v>30</v>
      </c>
      <c r="D576" s="18">
        <v>1</v>
      </c>
      <c r="E576" s="251">
        <v>1190</v>
      </c>
      <c r="F576" s="82">
        <v>2.6058168316831685</v>
      </c>
      <c r="G576" s="79">
        <v>3100.9220297029706</v>
      </c>
      <c r="H576" s="90">
        <v>20.616</v>
      </c>
      <c r="I576" s="85">
        <v>22.818000000000001</v>
      </c>
      <c r="J576" s="85">
        <v>20.905999999999999</v>
      </c>
      <c r="K576" s="85">
        <v>19.404</v>
      </c>
      <c r="L576" s="85">
        <v>30.245999999999999</v>
      </c>
      <c r="M576" s="85">
        <v>31.341000000000001</v>
      </c>
      <c r="N576" s="85">
        <v>34.314</v>
      </c>
      <c r="O576" s="85">
        <v>30.352</v>
      </c>
      <c r="P576" s="85">
        <v>25.844999999999999</v>
      </c>
      <c r="Q576" s="85">
        <v>23.253</v>
      </c>
      <c r="R576" s="85">
        <v>22.454999999999998</v>
      </c>
      <c r="S576" s="89">
        <v>25.215</v>
      </c>
      <c r="T576" s="89">
        <v>306.76499999999993</v>
      </c>
      <c r="U576" s="85">
        <v>0</v>
      </c>
      <c r="V576" s="85">
        <v>306.76499999999993</v>
      </c>
      <c r="W576" s="85">
        <v>0</v>
      </c>
      <c r="X576" s="89">
        <v>306.76499999999993</v>
      </c>
      <c r="Y576" s="79">
        <v>0</v>
      </c>
      <c r="Z576" s="79">
        <v>1</v>
      </c>
      <c r="AA576" s="94">
        <v>0</v>
      </c>
      <c r="AB576" s="79">
        <v>1</v>
      </c>
      <c r="AC576" s="85">
        <v>231.09423715415016</v>
      </c>
      <c r="AD576" s="85">
        <v>17.198207845849765</v>
      </c>
      <c r="AE576" s="85">
        <v>58.472555</v>
      </c>
      <c r="AF576" s="85">
        <v>0</v>
      </c>
      <c r="AG576" s="85">
        <v>306.76499999999993</v>
      </c>
      <c r="AH576" s="85">
        <v>0</v>
      </c>
      <c r="AI576" s="85">
        <v>0</v>
      </c>
      <c r="AJ576" s="85">
        <v>0</v>
      </c>
      <c r="AK576" s="85">
        <v>0</v>
      </c>
      <c r="AL576" s="85">
        <v>0</v>
      </c>
      <c r="AM576" s="85">
        <v>0</v>
      </c>
      <c r="AN576" s="85">
        <v>0</v>
      </c>
      <c r="AO576" s="85">
        <v>0</v>
      </c>
      <c r="AP576" s="85">
        <v>0</v>
      </c>
      <c r="AQ576" s="85">
        <v>0</v>
      </c>
      <c r="AR576" s="85">
        <v>0</v>
      </c>
      <c r="AS576" s="85">
        <v>0</v>
      </c>
      <c r="AT576" s="85">
        <v>0</v>
      </c>
      <c r="AU576" s="85">
        <v>306.76499999999993</v>
      </c>
      <c r="AV576" s="85">
        <v>0</v>
      </c>
      <c r="AW576" s="85">
        <v>0</v>
      </c>
      <c r="AX576" s="85">
        <v>0</v>
      </c>
      <c r="AY576" s="85">
        <v>0</v>
      </c>
      <c r="AZ576" s="85">
        <v>0</v>
      </c>
      <c r="BA576" s="85">
        <v>0</v>
      </c>
      <c r="BB576" s="89">
        <v>0</v>
      </c>
      <c r="BC576" s="89">
        <v>306.76499999999993</v>
      </c>
      <c r="BD576" s="37">
        <v>50850</v>
      </c>
      <c r="BE576" s="37">
        <v>0</v>
      </c>
      <c r="BF576" s="279">
        <v>18113</v>
      </c>
      <c r="BG576" s="37">
        <v>53589</v>
      </c>
      <c r="BH576" s="37">
        <v>65185</v>
      </c>
      <c r="BI576" s="37">
        <v>213710</v>
      </c>
      <c r="BJ576" s="283">
        <v>350597</v>
      </c>
      <c r="BK576" s="161"/>
      <c r="BL576" s="294"/>
      <c r="BM576"/>
      <c r="BN576"/>
      <c r="BO576"/>
      <c r="BP576"/>
      <c r="BQ576"/>
      <c r="BR576"/>
      <c r="BS576"/>
      <c r="BT576"/>
      <c r="BU576"/>
      <c r="BV576"/>
      <c r="BW576"/>
      <c r="BX576"/>
      <c r="BY576"/>
      <c r="BZ576"/>
      <c r="CA576"/>
      <c r="CB576"/>
      <c r="CC576"/>
      <c r="CD576"/>
      <c r="CE576"/>
      <c r="CF576"/>
      <c r="CG576"/>
      <c r="CH576"/>
      <c r="CI576"/>
      <c r="CJ576"/>
    </row>
    <row r="577" spans="1:88" s="32" customFormat="1" ht="15" customHeight="1" x14ac:dyDescent="0.35">
      <c r="A577" s="473"/>
      <c r="B577" s="313">
        <v>33090</v>
      </c>
      <c r="C577" s="8" t="s">
        <v>280</v>
      </c>
      <c r="D577" s="18">
        <v>12</v>
      </c>
      <c r="E577" s="251">
        <v>1979</v>
      </c>
      <c r="F577" s="82">
        <v>2.4579040852575487</v>
      </c>
      <c r="G577" s="79">
        <v>4864.1921847246886</v>
      </c>
      <c r="H577" s="90">
        <v>28.113199999999999</v>
      </c>
      <c r="I577" s="85">
        <v>25.653099999999998</v>
      </c>
      <c r="J577" s="85">
        <v>29.217400000000001</v>
      </c>
      <c r="K577" s="85">
        <v>29.793299999999999</v>
      </c>
      <c r="L577" s="85">
        <v>33.470199999999998</v>
      </c>
      <c r="M577" s="85">
        <v>35.486600000000003</v>
      </c>
      <c r="N577" s="85">
        <v>39.941800000000001</v>
      </c>
      <c r="O577" s="85">
        <v>36.042200000000001</v>
      </c>
      <c r="P577" s="85">
        <v>30.805800000000001</v>
      </c>
      <c r="Q577" s="85">
        <v>31.788900000000002</v>
      </c>
      <c r="R577" s="85">
        <v>29.6812</v>
      </c>
      <c r="S577" s="89">
        <v>31.334099999999999</v>
      </c>
      <c r="T577" s="89">
        <v>381.32779999999997</v>
      </c>
      <c r="U577" s="85">
        <v>0</v>
      </c>
      <c r="V577" s="85">
        <v>381.32779999999997</v>
      </c>
      <c r="W577" s="85">
        <v>0</v>
      </c>
      <c r="X577" s="89">
        <v>381.32779999999997</v>
      </c>
      <c r="Y577" s="79">
        <v>0</v>
      </c>
      <c r="Z577" s="79">
        <v>6</v>
      </c>
      <c r="AA577" s="94">
        <v>0</v>
      </c>
      <c r="AB577" s="79">
        <v>6</v>
      </c>
      <c r="AC577" s="85">
        <v>288.90800000000002</v>
      </c>
      <c r="AD577" s="85">
        <v>59.320305721649532</v>
      </c>
      <c r="AE577" s="85">
        <v>33.09949427835042</v>
      </c>
      <c r="AF577" s="85">
        <v>0</v>
      </c>
      <c r="AG577" s="85">
        <v>381.32780000000002</v>
      </c>
      <c r="AH577" s="85">
        <v>0</v>
      </c>
      <c r="AI577" s="85">
        <v>0</v>
      </c>
      <c r="AJ577" s="85">
        <v>0</v>
      </c>
      <c r="AK577" s="85">
        <v>0</v>
      </c>
      <c r="AL577" s="85">
        <v>0</v>
      </c>
      <c r="AM577" s="85">
        <v>0</v>
      </c>
      <c r="AN577" s="85">
        <v>0</v>
      </c>
      <c r="AO577" s="85">
        <v>0</v>
      </c>
      <c r="AP577" s="85">
        <v>0</v>
      </c>
      <c r="AQ577" s="85">
        <v>0</v>
      </c>
      <c r="AR577" s="85">
        <v>0</v>
      </c>
      <c r="AS577" s="85">
        <v>0</v>
      </c>
      <c r="AT577" s="85">
        <v>0</v>
      </c>
      <c r="AU577" s="85">
        <v>0</v>
      </c>
      <c r="AV577" s="85">
        <v>0</v>
      </c>
      <c r="AW577" s="85">
        <v>0</v>
      </c>
      <c r="AX577" s="85">
        <v>0</v>
      </c>
      <c r="AY577" s="85">
        <v>0</v>
      </c>
      <c r="AZ577" s="85">
        <v>381.32779999999997</v>
      </c>
      <c r="BA577" s="85">
        <v>0</v>
      </c>
      <c r="BB577" s="89">
        <v>0</v>
      </c>
      <c r="BC577" s="89">
        <v>381.32779999999997</v>
      </c>
      <c r="BD577" s="37">
        <v>0</v>
      </c>
      <c r="BE577" s="37">
        <v>0</v>
      </c>
      <c r="BF577" s="279">
        <v>31204</v>
      </c>
      <c r="BG577" s="37">
        <v>115190</v>
      </c>
      <c r="BH577" s="37">
        <v>58983</v>
      </c>
      <c r="BI577" s="37">
        <v>10046</v>
      </c>
      <c r="BJ577" s="283">
        <v>215423</v>
      </c>
      <c r="BK577" s="161"/>
      <c r="BL577" s="294"/>
      <c r="BM577"/>
      <c r="BN577"/>
      <c r="BO577"/>
      <c r="BP577"/>
      <c r="BQ577"/>
      <c r="BR577"/>
      <c r="BS577"/>
      <c r="BT577"/>
      <c r="BU577"/>
      <c r="BV577"/>
      <c r="BW577"/>
      <c r="BX577"/>
      <c r="BY577"/>
      <c r="BZ577"/>
      <c r="CA577"/>
      <c r="CB577"/>
      <c r="CC577"/>
      <c r="CD577"/>
      <c r="CE577"/>
      <c r="CF577"/>
      <c r="CG577"/>
      <c r="CH577"/>
      <c r="CI577"/>
      <c r="CJ577"/>
    </row>
    <row r="578" spans="1:88" s="32" customFormat="1" ht="15" customHeight="1" x14ac:dyDescent="0.35">
      <c r="A578" s="473"/>
      <c r="B578" s="313">
        <v>46017</v>
      </c>
      <c r="C578" s="8" t="s">
        <v>429</v>
      </c>
      <c r="D578" s="18">
        <v>5</v>
      </c>
      <c r="E578" s="251"/>
      <c r="F578" s="82"/>
      <c r="G578" s="79"/>
      <c r="H578" s="90"/>
      <c r="I578" s="85"/>
      <c r="J578" s="85"/>
      <c r="K578" s="85"/>
      <c r="L578" s="85"/>
      <c r="M578" s="85"/>
      <c r="N578" s="85"/>
      <c r="O578" s="85"/>
      <c r="P578" s="85"/>
      <c r="Q578" s="85"/>
      <c r="R578" s="85"/>
      <c r="S578" s="89"/>
      <c r="T578" s="89" t="s">
        <v>1124</v>
      </c>
      <c r="U578" s="85"/>
      <c r="V578" s="85"/>
      <c r="W578" s="85"/>
      <c r="X578" s="89" t="s">
        <v>1124</v>
      </c>
      <c r="Y578" s="79"/>
      <c r="Z578" s="79"/>
      <c r="AA578" s="94"/>
      <c r="AB578" s="79" t="s">
        <v>1124</v>
      </c>
      <c r="AC578" s="85"/>
      <c r="AD578" s="85"/>
      <c r="AE578" s="85"/>
      <c r="AF578" s="85"/>
      <c r="AG578" s="85" t="s">
        <v>1124</v>
      </c>
      <c r="AH578" s="85"/>
      <c r="AI578" s="85"/>
      <c r="AJ578" s="85"/>
      <c r="AK578" s="85"/>
      <c r="AL578" s="85"/>
      <c r="AM578" s="85"/>
      <c r="AN578" s="85"/>
      <c r="AO578" s="85"/>
      <c r="AP578" s="85"/>
      <c r="AQ578" s="85"/>
      <c r="AR578" s="85" t="s">
        <v>1124</v>
      </c>
      <c r="AS578" s="85"/>
      <c r="AT578" s="85"/>
      <c r="AU578" s="85"/>
      <c r="AV578" s="85"/>
      <c r="AW578" s="85"/>
      <c r="AX578" s="85"/>
      <c r="AY578" s="85"/>
      <c r="AZ578" s="85"/>
      <c r="BA578" s="85"/>
      <c r="BB578" s="89"/>
      <c r="BC578" s="89" t="s">
        <v>1124</v>
      </c>
      <c r="BD578" s="37"/>
      <c r="BE578" s="37"/>
      <c r="BF578" s="279"/>
      <c r="BG578" s="37"/>
      <c r="BH578" s="37"/>
      <c r="BI578" s="37"/>
      <c r="BJ578" s="283"/>
      <c r="BK578" s="161"/>
      <c r="BL578" s="294"/>
      <c r="BM578"/>
      <c r="BN578"/>
      <c r="BO578"/>
      <c r="BP578"/>
      <c r="BQ578"/>
      <c r="BR578"/>
      <c r="BS578"/>
      <c r="BT578"/>
      <c r="BU578"/>
      <c r="BV578"/>
      <c r="BW578"/>
      <c r="BX578"/>
      <c r="BY578"/>
      <c r="BZ578"/>
      <c r="CA578"/>
      <c r="CB578"/>
      <c r="CC578"/>
      <c r="CD578"/>
      <c r="CE578"/>
      <c r="CF578"/>
      <c r="CG578"/>
      <c r="CH578"/>
      <c r="CI578"/>
      <c r="CJ578"/>
    </row>
    <row r="579" spans="1:88" s="32" customFormat="1" ht="15" customHeight="1" x14ac:dyDescent="0.35">
      <c r="A579" s="473"/>
      <c r="B579" s="313">
        <v>12065</v>
      </c>
      <c r="C579" s="8" t="s">
        <v>38</v>
      </c>
      <c r="D579" s="18">
        <v>1</v>
      </c>
      <c r="E579" s="251">
        <v>281</v>
      </c>
      <c r="F579" s="82">
        <v>2.5487804878048781</v>
      </c>
      <c r="G579" s="79">
        <v>716.20731707317077</v>
      </c>
      <c r="H579" s="90">
        <v>4.8600000000000003</v>
      </c>
      <c r="I579" s="85">
        <v>4.3259999999999996</v>
      </c>
      <c r="J579" s="85">
        <v>4.8289999999999997</v>
      </c>
      <c r="K579" s="85">
        <v>4.5679999999999996</v>
      </c>
      <c r="L579" s="85">
        <v>5.7990000000000004</v>
      </c>
      <c r="M579" s="85">
        <v>5.8120000000000003</v>
      </c>
      <c r="N579" s="85">
        <v>6.1159999999999997</v>
      </c>
      <c r="O579" s="85">
        <v>5.4089999999999998</v>
      </c>
      <c r="P579" s="85">
        <v>4.8550000000000004</v>
      </c>
      <c r="Q579" s="85">
        <v>4.8650000000000002</v>
      </c>
      <c r="R579" s="85">
        <v>4.6559999999999997</v>
      </c>
      <c r="S579" s="89">
        <v>4.7412999999999998</v>
      </c>
      <c r="T579" s="89">
        <v>60.836300000000001</v>
      </c>
      <c r="U579" s="85">
        <v>0</v>
      </c>
      <c r="V579" s="85">
        <v>60.835999999999999</v>
      </c>
      <c r="W579" s="85">
        <v>0</v>
      </c>
      <c r="X579" s="89">
        <v>60.835999999999999</v>
      </c>
      <c r="Y579" s="79">
        <v>0</v>
      </c>
      <c r="Z579" s="79">
        <v>1</v>
      </c>
      <c r="AA579" s="94">
        <v>0</v>
      </c>
      <c r="AB579" s="79">
        <v>1</v>
      </c>
      <c r="AC579" s="85">
        <v>35.548999999999999</v>
      </c>
      <c r="AD579" s="85">
        <v>11.514240131578951</v>
      </c>
      <c r="AE579" s="85">
        <v>13.773059868421051</v>
      </c>
      <c r="AF579" s="85">
        <v>0</v>
      </c>
      <c r="AG579" s="85">
        <v>60.836300000000001</v>
      </c>
      <c r="AH579" s="85">
        <v>0</v>
      </c>
      <c r="AI579" s="85">
        <v>0</v>
      </c>
      <c r="AJ579" s="85">
        <v>0</v>
      </c>
      <c r="AK579" s="85">
        <v>0</v>
      </c>
      <c r="AL579" s="85">
        <v>0</v>
      </c>
      <c r="AM579" s="85">
        <v>0</v>
      </c>
      <c r="AN579" s="85">
        <v>0</v>
      </c>
      <c r="AO579" s="85">
        <v>0</v>
      </c>
      <c r="AP579" s="85">
        <v>0</v>
      </c>
      <c r="AQ579" s="85">
        <v>0</v>
      </c>
      <c r="AR579" s="85">
        <v>0</v>
      </c>
      <c r="AS579" s="85">
        <v>0</v>
      </c>
      <c r="AT579" s="85">
        <v>0</v>
      </c>
      <c r="AU579" s="85">
        <v>0</v>
      </c>
      <c r="AV579" s="85">
        <v>0</v>
      </c>
      <c r="AW579" s="85">
        <v>0</v>
      </c>
      <c r="AX579" s="85">
        <v>60.835999999999999</v>
      </c>
      <c r="AY579" s="85">
        <v>0</v>
      </c>
      <c r="AZ579" s="85">
        <v>0</v>
      </c>
      <c r="BA579" s="85">
        <v>0</v>
      </c>
      <c r="BB579" s="89">
        <v>0</v>
      </c>
      <c r="BC579" s="89">
        <v>60.835999999999999</v>
      </c>
      <c r="BD579" s="37">
        <v>0</v>
      </c>
      <c r="BE579" s="37">
        <v>0</v>
      </c>
      <c r="BF579" s="279">
        <v>1240</v>
      </c>
      <c r="BG579" s="37">
        <v>5450</v>
      </c>
      <c r="BH579" s="37">
        <v>6340</v>
      </c>
      <c r="BI579" s="37">
        <v>0</v>
      </c>
      <c r="BJ579" s="283">
        <v>13030</v>
      </c>
      <c r="BK579" s="161"/>
      <c r="BL579" s="294"/>
      <c r="BM579"/>
      <c r="BN579"/>
      <c r="BO579"/>
      <c r="BP579"/>
      <c r="BQ579"/>
      <c r="BR579"/>
      <c r="BS579"/>
      <c r="BT579"/>
      <c r="BU579"/>
      <c r="BV579"/>
      <c r="BW579"/>
      <c r="BX579"/>
      <c r="BY579"/>
      <c r="BZ579"/>
      <c r="CA579"/>
      <c r="CB579"/>
      <c r="CC579"/>
      <c r="CD579"/>
      <c r="CE579"/>
      <c r="CF579"/>
      <c r="CG579"/>
      <c r="CH579"/>
      <c r="CI579"/>
      <c r="CJ579"/>
    </row>
    <row r="580" spans="1:88" s="32" customFormat="1" ht="15" customHeight="1" x14ac:dyDescent="0.35">
      <c r="A580" s="473"/>
      <c r="B580" s="313">
        <v>13100</v>
      </c>
      <c r="C580" s="8" t="s">
        <v>59</v>
      </c>
      <c r="D580" s="18">
        <v>1</v>
      </c>
      <c r="E580" s="251"/>
      <c r="F580" s="82"/>
      <c r="G580" s="79"/>
      <c r="H580" s="90"/>
      <c r="I580" s="85"/>
      <c r="J580" s="85"/>
      <c r="K580" s="85"/>
      <c r="L580" s="85"/>
      <c r="M580" s="85"/>
      <c r="N580" s="85"/>
      <c r="O580" s="85"/>
      <c r="P580" s="85"/>
      <c r="Q580" s="85"/>
      <c r="R580" s="85"/>
      <c r="S580" s="89"/>
      <c r="T580" s="89" t="s">
        <v>1124</v>
      </c>
      <c r="U580" s="85"/>
      <c r="V580" s="85"/>
      <c r="W580" s="85"/>
      <c r="X580" s="89" t="s">
        <v>1124</v>
      </c>
      <c r="Y580" s="79"/>
      <c r="Z580" s="79"/>
      <c r="AA580" s="94"/>
      <c r="AB580" s="79" t="s">
        <v>1124</v>
      </c>
      <c r="AC580" s="85"/>
      <c r="AD580" s="85"/>
      <c r="AE580" s="85"/>
      <c r="AF580" s="85"/>
      <c r="AG580" s="85" t="s">
        <v>1124</v>
      </c>
      <c r="AH580" s="85"/>
      <c r="AI580" s="85"/>
      <c r="AJ580" s="85"/>
      <c r="AK580" s="85"/>
      <c r="AL580" s="85"/>
      <c r="AM580" s="85"/>
      <c r="AN580" s="85"/>
      <c r="AO580" s="85"/>
      <c r="AP580" s="85"/>
      <c r="AQ580" s="85"/>
      <c r="AR580" s="85" t="s">
        <v>1124</v>
      </c>
      <c r="AS580" s="85"/>
      <c r="AT580" s="85"/>
      <c r="AU580" s="85"/>
      <c r="AV580" s="85"/>
      <c r="AW580" s="85"/>
      <c r="AX580" s="85"/>
      <c r="AY580" s="85"/>
      <c r="AZ580" s="85"/>
      <c r="BA580" s="85"/>
      <c r="BB580" s="89"/>
      <c r="BC580" s="89" t="s">
        <v>1124</v>
      </c>
      <c r="BD580" s="37"/>
      <c r="BE580" s="37"/>
      <c r="BF580" s="279"/>
      <c r="BG580" s="37"/>
      <c r="BH580" s="37"/>
      <c r="BI580" s="37"/>
      <c r="BJ580" s="283"/>
      <c r="BK580" s="161"/>
      <c r="BL580" s="294"/>
      <c r="BM580"/>
      <c r="BN580"/>
      <c r="BO580"/>
      <c r="BP580"/>
      <c r="BQ580"/>
      <c r="BR580"/>
      <c r="BS580"/>
      <c r="BT580"/>
      <c r="BU580"/>
      <c r="BV580"/>
      <c r="BW580"/>
      <c r="BX580"/>
      <c r="BY580"/>
      <c r="BZ580"/>
      <c r="CA580"/>
      <c r="CB580"/>
      <c r="CC580"/>
      <c r="CD580"/>
      <c r="CE580"/>
      <c r="CF580"/>
      <c r="CG580"/>
      <c r="CH580"/>
      <c r="CI580"/>
      <c r="CJ580"/>
    </row>
    <row r="581" spans="1:88" s="32" customFormat="1" ht="15" customHeight="1" x14ac:dyDescent="0.35">
      <c r="A581" s="473"/>
      <c r="B581" s="313">
        <v>17055</v>
      </c>
      <c r="C581" s="8" t="s">
        <v>99</v>
      </c>
      <c r="D581" s="18">
        <v>12</v>
      </c>
      <c r="E581" s="251"/>
      <c r="F581" s="82"/>
      <c r="G581" s="79"/>
      <c r="H581" s="90"/>
      <c r="I581" s="85"/>
      <c r="J581" s="85"/>
      <c r="K581" s="85"/>
      <c r="L581" s="85"/>
      <c r="M581" s="85"/>
      <c r="N581" s="85"/>
      <c r="O581" s="85"/>
      <c r="P581" s="85"/>
      <c r="Q581" s="85"/>
      <c r="R581" s="85"/>
      <c r="S581" s="89"/>
      <c r="T581" s="89" t="s">
        <v>1124</v>
      </c>
      <c r="U581" s="85"/>
      <c r="V581" s="85"/>
      <c r="W581" s="85"/>
      <c r="X581" s="89" t="s">
        <v>1124</v>
      </c>
      <c r="Y581" s="79"/>
      <c r="Z581" s="79"/>
      <c r="AA581" s="94"/>
      <c r="AB581" s="79" t="s">
        <v>1124</v>
      </c>
      <c r="AC581" s="85"/>
      <c r="AD581" s="85"/>
      <c r="AE581" s="85"/>
      <c r="AF581" s="85"/>
      <c r="AG581" s="85" t="s">
        <v>1124</v>
      </c>
      <c r="AH581" s="85"/>
      <c r="AI581" s="85"/>
      <c r="AJ581" s="85"/>
      <c r="AK581" s="85"/>
      <c r="AL581" s="85"/>
      <c r="AM581" s="85"/>
      <c r="AN581" s="85"/>
      <c r="AO581" s="85"/>
      <c r="AP581" s="85"/>
      <c r="AQ581" s="85"/>
      <c r="AR581" s="85" t="s">
        <v>1124</v>
      </c>
      <c r="AS581" s="85"/>
      <c r="AT581" s="85"/>
      <c r="AU581" s="85"/>
      <c r="AV581" s="85"/>
      <c r="AW581" s="85"/>
      <c r="AX581" s="85"/>
      <c r="AY581" s="85"/>
      <c r="AZ581" s="85"/>
      <c r="BA581" s="85"/>
      <c r="BB581" s="89"/>
      <c r="BC581" s="89" t="s">
        <v>1124</v>
      </c>
      <c r="BD581" s="37"/>
      <c r="BE581" s="37"/>
      <c r="BF581" s="279"/>
      <c r="BG581" s="37"/>
      <c r="BH581" s="37"/>
      <c r="BI581" s="37"/>
      <c r="BJ581" s="283"/>
      <c r="BK581" s="161"/>
      <c r="BL581" s="294"/>
      <c r="BM581"/>
      <c r="BN581"/>
      <c r="BO581"/>
      <c r="BP581"/>
      <c r="BQ581"/>
      <c r="BR581"/>
      <c r="BS581"/>
      <c r="BT581"/>
      <c r="BU581"/>
      <c r="BV581"/>
      <c r="BW581"/>
      <c r="BX581"/>
      <c r="BY581"/>
      <c r="BZ581"/>
      <c r="CA581"/>
      <c r="CB581"/>
      <c r="CC581"/>
      <c r="CD581"/>
      <c r="CE581"/>
      <c r="CF581"/>
      <c r="CG581"/>
      <c r="CH581"/>
      <c r="CI581"/>
      <c r="CJ581"/>
    </row>
    <row r="582" spans="1:88" s="32" customFormat="1" ht="15" customHeight="1" x14ac:dyDescent="0.35">
      <c r="A582" s="473"/>
      <c r="B582" s="313">
        <v>92005</v>
      </c>
      <c r="C582" s="8" t="s">
        <v>946</v>
      </c>
      <c r="D582" s="18">
        <v>2</v>
      </c>
      <c r="E582" s="251"/>
      <c r="F582" s="82"/>
      <c r="G582" s="79"/>
      <c r="H582" s="90"/>
      <c r="I582" s="85"/>
      <c r="J582" s="85"/>
      <c r="K582" s="85"/>
      <c r="L582" s="85"/>
      <c r="M582" s="85"/>
      <c r="N582" s="85"/>
      <c r="O582" s="85"/>
      <c r="P582" s="85"/>
      <c r="Q582" s="85"/>
      <c r="R582" s="85"/>
      <c r="S582" s="89"/>
      <c r="T582" s="89" t="s">
        <v>1124</v>
      </c>
      <c r="U582" s="85"/>
      <c r="V582" s="85"/>
      <c r="W582" s="85"/>
      <c r="X582" s="89" t="s">
        <v>1124</v>
      </c>
      <c r="Y582" s="79"/>
      <c r="Z582" s="79"/>
      <c r="AA582" s="94"/>
      <c r="AB582" s="79" t="s">
        <v>1124</v>
      </c>
      <c r="AC582" s="85"/>
      <c r="AD582" s="85"/>
      <c r="AE582" s="85"/>
      <c r="AF582" s="85"/>
      <c r="AG582" s="85" t="s">
        <v>1124</v>
      </c>
      <c r="AH582" s="85"/>
      <c r="AI582" s="85"/>
      <c r="AJ582" s="85"/>
      <c r="AK582" s="85"/>
      <c r="AL582" s="85"/>
      <c r="AM582" s="85"/>
      <c r="AN582" s="85"/>
      <c r="AO582" s="85"/>
      <c r="AP582" s="85"/>
      <c r="AQ582" s="85"/>
      <c r="AR582" s="85" t="s">
        <v>1124</v>
      </c>
      <c r="AS582" s="85"/>
      <c r="AT582" s="85"/>
      <c r="AU582" s="85"/>
      <c r="AV582" s="85"/>
      <c r="AW582" s="85"/>
      <c r="AX582" s="85"/>
      <c r="AY582" s="85"/>
      <c r="AZ582" s="85"/>
      <c r="BA582" s="85"/>
      <c r="BB582" s="89"/>
      <c r="BC582" s="89" t="s">
        <v>1124</v>
      </c>
      <c r="BD582" s="37"/>
      <c r="BE582" s="37"/>
      <c r="BF582" s="279"/>
      <c r="BG582" s="37"/>
      <c r="BH582" s="37"/>
      <c r="BI582" s="37"/>
      <c r="BJ582" s="283"/>
      <c r="BK582" s="161"/>
      <c r="BL582" s="294"/>
      <c r="BM582"/>
      <c r="BN582"/>
      <c r="BO582"/>
      <c r="BP582"/>
      <c r="BQ582"/>
      <c r="BR582"/>
      <c r="BS582"/>
      <c r="BT582"/>
      <c r="BU582"/>
      <c r="BV582"/>
      <c r="BW582"/>
      <c r="BX582"/>
      <c r="BY582"/>
      <c r="BZ582"/>
      <c r="CA582"/>
      <c r="CB582"/>
      <c r="CC582"/>
      <c r="CD582"/>
      <c r="CE582"/>
      <c r="CF582"/>
      <c r="CG582"/>
      <c r="CH582"/>
      <c r="CI582"/>
      <c r="CJ582"/>
    </row>
    <row r="583" spans="1:88" s="32" customFormat="1" ht="15" customHeight="1" x14ac:dyDescent="0.35">
      <c r="A583" s="473"/>
      <c r="B583" s="313">
        <v>98012</v>
      </c>
      <c r="C583" s="8" t="s">
        <v>1008</v>
      </c>
      <c r="D583" s="18">
        <v>9</v>
      </c>
      <c r="E583" s="251"/>
      <c r="F583" s="82"/>
      <c r="G583" s="79"/>
      <c r="H583" s="90"/>
      <c r="I583" s="85"/>
      <c r="J583" s="85"/>
      <c r="K583" s="85"/>
      <c r="L583" s="85"/>
      <c r="M583" s="85"/>
      <c r="N583" s="85"/>
      <c r="O583" s="85"/>
      <c r="P583" s="85"/>
      <c r="Q583" s="85"/>
      <c r="R583" s="85"/>
      <c r="S583" s="89"/>
      <c r="T583" s="89" t="s">
        <v>1124</v>
      </c>
      <c r="U583" s="85"/>
      <c r="V583" s="85"/>
      <c r="W583" s="85"/>
      <c r="X583" s="89" t="s">
        <v>1124</v>
      </c>
      <c r="Y583" s="79"/>
      <c r="Z583" s="79"/>
      <c r="AA583" s="94"/>
      <c r="AB583" s="79" t="s">
        <v>1124</v>
      </c>
      <c r="AC583" s="85"/>
      <c r="AD583" s="85"/>
      <c r="AE583" s="85"/>
      <c r="AF583" s="85"/>
      <c r="AG583" s="85" t="s">
        <v>1124</v>
      </c>
      <c r="AH583" s="85"/>
      <c r="AI583" s="85"/>
      <c r="AJ583" s="85"/>
      <c r="AK583" s="85"/>
      <c r="AL583" s="85"/>
      <c r="AM583" s="85"/>
      <c r="AN583" s="85"/>
      <c r="AO583" s="85"/>
      <c r="AP583" s="85"/>
      <c r="AQ583" s="85"/>
      <c r="AR583" s="85" t="s">
        <v>1124</v>
      </c>
      <c r="AS583" s="85"/>
      <c r="AT583" s="85"/>
      <c r="AU583" s="85"/>
      <c r="AV583" s="85"/>
      <c r="AW583" s="85"/>
      <c r="AX583" s="85"/>
      <c r="AY583" s="85"/>
      <c r="AZ583" s="85"/>
      <c r="BA583" s="85"/>
      <c r="BB583" s="89"/>
      <c r="BC583" s="89" t="s">
        <v>1124</v>
      </c>
      <c r="BD583" s="37"/>
      <c r="BE583" s="37"/>
      <c r="BF583" s="279"/>
      <c r="BG583" s="37"/>
      <c r="BH583" s="37"/>
      <c r="BI583" s="37"/>
      <c r="BJ583" s="283"/>
      <c r="BK583" s="161"/>
      <c r="BL583" s="294"/>
      <c r="BM583"/>
      <c r="BN583"/>
      <c r="BO583"/>
      <c r="BP583"/>
      <c r="BQ583"/>
      <c r="BR583"/>
      <c r="BS583"/>
      <c r="BT583"/>
      <c r="BU583"/>
      <c r="BV583"/>
      <c r="BW583"/>
      <c r="BX583"/>
      <c r="BY583"/>
      <c r="BZ583"/>
      <c r="CA583"/>
      <c r="CB583"/>
      <c r="CC583"/>
      <c r="CD583"/>
      <c r="CE583"/>
      <c r="CF583"/>
      <c r="CG583"/>
      <c r="CH583"/>
      <c r="CI583"/>
      <c r="CJ583"/>
    </row>
    <row r="584" spans="1:88" s="32" customFormat="1" ht="15" customHeight="1" x14ac:dyDescent="0.35">
      <c r="A584" s="473"/>
      <c r="B584" s="313">
        <v>23072</v>
      </c>
      <c r="C584" s="8" t="s">
        <v>165</v>
      </c>
      <c r="D584" s="18">
        <v>3</v>
      </c>
      <c r="E584" s="251"/>
      <c r="F584" s="82"/>
      <c r="G584" s="79"/>
      <c r="H584" s="90"/>
      <c r="I584" s="85"/>
      <c r="J584" s="85"/>
      <c r="K584" s="85"/>
      <c r="L584" s="85"/>
      <c r="M584" s="85"/>
      <c r="N584" s="85"/>
      <c r="O584" s="85"/>
      <c r="P584" s="85"/>
      <c r="Q584" s="85"/>
      <c r="R584" s="85"/>
      <c r="S584" s="89"/>
      <c r="T584" s="89" t="s">
        <v>1124</v>
      </c>
      <c r="U584" s="85"/>
      <c r="V584" s="85"/>
      <c r="W584" s="85"/>
      <c r="X584" s="89" t="s">
        <v>1124</v>
      </c>
      <c r="Y584" s="79"/>
      <c r="Z584" s="79"/>
      <c r="AA584" s="94"/>
      <c r="AB584" s="79" t="s">
        <v>1124</v>
      </c>
      <c r="AC584" s="85"/>
      <c r="AD584" s="85"/>
      <c r="AE584" s="85"/>
      <c r="AF584" s="85"/>
      <c r="AG584" s="85" t="s">
        <v>1124</v>
      </c>
      <c r="AH584" s="85"/>
      <c r="AI584" s="85"/>
      <c r="AJ584" s="85"/>
      <c r="AK584" s="85"/>
      <c r="AL584" s="85"/>
      <c r="AM584" s="85"/>
      <c r="AN584" s="85"/>
      <c r="AO584" s="85"/>
      <c r="AP584" s="85"/>
      <c r="AQ584" s="85"/>
      <c r="AR584" s="85" t="s">
        <v>1124</v>
      </c>
      <c r="AS584" s="85"/>
      <c r="AT584" s="85"/>
      <c r="AU584" s="85"/>
      <c r="AV584" s="85"/>
      <c r="AW584" s="85"/>
      <c r="AX584" s="85"/>
      <c r="AY584" s="85"/>
      <c r="AZ584" s="85"/>
      <c r="BA584" s="85"/>
      <c r="BB584" s="89"/>
      <c r="BC584" s="89" t="s">
        <v>1124</v>
      </c>
      <c r="BD584" s="37"/>
      <c r="BE584" s="37"/>
      <c r="BF584" s="279"/>
      <c r="BG584" s="37"/>
      <c r="BH584" s="37"/>
      <c r="BI584" s="37"/>
      <c r="BJ584" s="283"/>
      <c r="BK584" s="161"/>
      <c r="BL584" s="294"/>
      <c r="BM584"/>
      <c r="BN584"/>
      <c r="BO584"/>
      <c r="BP584"/>
      <c r="BQ584"/>
      <c r="BR584"/>
      <c r="BS584"/>
      <c r="BT584"/>
      <c r="BU584"/>
      <c r="BV584"/>
      <c r="BW584"/>
      <c r="BX584"/>
      <c r="BY584"/>
      <c r="BZ584"/>
      <c r="CA584"/>
      <c r="CB584"/>
      <c r="CC584"/>
      <c r="CD584"/>
      <c r="CE584"/>
      <c r="CF584"/>
      <c r="CG584"/>
      <c r="CH584"/>
      <c r="CI584"/>
      <c r="CJ584"/>
    </row>
    <row r="585" spans="1:88" s="32" customFormat="1" ht="15" customHeight="1" x14ac:dyDescent="0.35">
      <c r="A585" s="473"/>
      <c r="B585" s="313">
        <v>30005</v>
      </c>
      <c r="C585" s="8" t="s">
        <v>217</v>
      </c>
      <c r="D585" s="18">
        <v>5</v>
      </c>
      <c r="E585" s="251"/>
      <c r="F585" s="82"/>
      <c r="G585" s="79"/>
      <c r="H585" s="90"/>
      <c r="I585" s="85"/>
      <c r="J585" s="85"/>
      <c r="K585" s="85"/>
      <c r="L585" s="85"/>
      <c r="M585" s="85"/>
      <c r="N585" s="85"/>
      <c r="O585" s="85"/>
      <c r="P585" s="85"/>
      <c r="Q585" s="85"/>
      <c r="R585" s="85"/>
      <c r="S585" s="89"/>
      <c r="T585" s="89" t="s">
        <v>1124</v>
      </c>
      <c r="U585" s="85"/>
      <c r="V585" s="85"/>
      <c r="W585" s="85"/>
      <c r="X585" s="89" t="s">
        <v>1124</v>
      </c>
      <c r="Y585" s="79"/>
      <c r="Z585" s="79"/>
      <c r="AA585" s="94"/>
      <c r="AB585" s="79" t="s">
        <v>1124</v>
      </c>
      <c r="AC585" s="85"/>
      <c r="AD585" s="85"/>
      <c r="AE585" s="85"/>
      <c r="AF585" s="85"/>
      <c r="AG585" s="85" t="s">
        <v>1124</v>
      </c>
      <c r="AH585" s="85"/>
      <c r="AI585" s="85"/>
      <c r="AJ585" s="85"/>
      <c r="AK585" s="85"/>
      <c r="AL585" s="85"/>
      <c r="AM585" s="85"/>
      <c r="AN585" s="85"/>
      <c r="AO585" s="85"/>
      <c r="AP585" s="85"/>
      <c r="AQ585" s="85"/>
      <c r="AR585" s="85" t="s">
        <v>1124</v>
      </c>
      <c r="AS585" s="85"/>
      <c r="AT585" s="85"/>
      <c r="AU585" s="85"/>
      <c r="AV585" s="85"/>
      <c r="AW585" s="85"/>
      <c r="AX585" s="85"/>
      <c r="AY585" s="85"/>
      <c r="AZ585" s="85"/>
      <c r="BA585" s="85"/>
      <c r="BB585" s="89"/>
      <c r="BC585" s="89" t="s">
        <v>1124</v>
      </c>
      <c r="BD585" s="37"/>
      <c r="BE585" s="37"/>
      <c r="BF585" s="279"/>
      <c r="BG585" s="37"/>
      <c r="BH585" s="37"/>
      <c r="BI585" s="37"/>
      <c r="BJ585" s="283"/>
      <c r="BK585" s="161"/>
      <c r="BL585" s="294"/>
      <c r="BM585"/>
      <c r="BN585"/>
      <c r="BO585"/>
      <c r="BP585"/>
      <c r="BQ585"/>
      <c r="BR585"/>
      <c r="BS585"/>
      <c r="BT585"/>
      <c r="BU585"/>
      <c r="BV585"/>
      <c r="BW585"/>
      <c r="BX585"/>
      <c r="BY585"/>
      <c r="BZ585"/>
      <c r="CA585"/>
      <c r="CB585"/>
      <c r="CC585"/>
      <c r="CD585"/>
      <c r="CE585"/>
      <c r="CF585"/>
      <c r="CG585"/>
      <c r="CH585"/>
      <c r="CI585"/>
      <c r="CJ585"/>
    </row>
    <row r="586" spans="1:88" s="32" customFormat="1" ht="15" customHeight="1" x14ac:dyDescent="0.35">
      <c r="A586" s="473"/>
      <c r="B586" s="313">
        <v>51025</v>
      </c>
      <c r="C586" s="8" t="s">
        <v>501</v>
      </c>
      <c r="D586" s="18">
        <v>4</v>
      </c>
      <c r="E586" s="251"/>
      <c r="F586" s="82"/>
      <c r="G586" s="79"/>
      <c r="H586" s="90"/>
      <c r="I586" s="85"/>
      <c r="J586" s="85"/>
      <c r="K586" s="85"/>
      <c r="L586" s="85"/>
      <c r="M586" s="85"/>
      <c r="N586" s="85"/>
      <c r="O586" s="85"/>
      <c r="P586" s="85"/>
      <c r="Q586" s="85"/>
      <c r="R586" s="85"/>
      <c r="S586" s="89"/>
      <c r="T586" s="89" t="s">
        <v>1124</v>
      </c>
      <c r="U586" s="85"/>
      <c r="V586" s="85"/>
      <c r="W586" s="85"/>
      <c r="X586" s="89" t="s">
        <v>1124</v>
      </c>
      <c r="Y586" s="79"/>
      <c r="Z586" s="79"/>
      <c r="AA586" s="94"/>
      <c r="AB586" s="79" t="s">
        <v>1124</v>
      </c>
      <c r="AC586" s="85"/>
      <c r="AD586" s="85"/>
      <c r="AE586" s="85"/>
      <c r="AF586" s="85"/>
      <c r="AG586" s="85" t="s">
        <v>1124</v>
      </c>
      <c r="AH586" s="85"/>
      <c r="AI586" s="85"/>
      <c r="AJ586" s="85"/>
      <c r="AK586" s="85"/>
      <c r="AL586" s="85"/>
      <c r="AM586" s="85"/>
      <c r="AN586" s="85"/>
      <c r="AO586" s="85"/>
      <c r="AP586" s="85"/>
      <c r="AQ586" s="85"/>
      <c r="AR586" s="85" t="s">
        <v>1124</v>
      </c>
      <c r="AS586" s="85"/>
      <c r="AT586" s="85"/>
      <c r="AU586" s="85"/>
      <c r="AV586" s="85"/>
      <c r="AW586" s="85"/>
      <c r="AX586" s="85"/>
      <c r="AY586" s="85"/>
      <c r="AZ586" s="85"/>
      <c r="BA586" s="85"/>
      <c r="BB586" s="89"/>
      <c r="BC586" s="89" t="s">
        <v>1124</v>
      </c>
      <c r="BD586" s="37"/>
      <c r="BE586" s="37"/>
      <c r="BF586" s="279"/>
      <c r="BG586" s="37"/>
      <c r="BH586" s="37"/>
      <c r="BI586" s="37"/>
      <c r="BJ586" s="283"/>
      <c r="BK586" s="161"/>
      <c r="BL586" s="294"/>
      <c r="BM586"/>
      <c r="BN586"/>
      <c r="BO586"/>
      <c r="BP586"/>
      <c r="BQ586"/>
      <c r="BR586"/>
      <c r="BS586"/>
      <c r="BT586"/>
      <c r="BU586"/>
      <c r="BV586"/>
      <c r="BW586"/>
      <c r="BX586"/>
      <c r="BY586"/>
      <c r="BZ586"/>
      <c r="CA586"/>
      <c r="CB586"/>
      <c r="CC586"/>
      <c r="CD586"/>
      <c r="CE586"/>
      <c r="CF586"/>
      <c r="CG586"/>
      <c r="CH586"/>
      <c r="CI586"/>
      <c r="CJ586"/>
    </row>
    <row r="587" spans="1:88" s="32" customFormat="1" ht="15" customHeight="1" x14ac:dyDescent="0.35">
      <c r="A587" s="473"/>
      <c r="B587" s="313">
        <v>54105</v>
      </c>
      <c r="C587" s="8" t="s">
        <v>554</v>
      </c>
      <c r="D587" s="18">
        <v>16</v>
      </c>
      <c r="E587" s="251"/>
      <c r="F587" s="82"/>
      <c r="G587" s="79"/>
      <c r="H587" s="90"/>
      <c r="I587" s="85"/>
      <c r="J587" s="85"/>
      <c r="K587" s="85"/>
      <c r="L587" s="85"/>
      <c r="M587" s="85"/>
      <c r="N587" s="85"/>
      <c r="O587" s="85"/>
      <c r="P587" s="85"/>
      <c r="Q587" s="85"/>
      <c r="R587" s="85"/>
      <c r="S587" s="89"/>
      <c r="T587" s="89" t="s">
        <v>1124</v>
      </c>
      <c r="U587" s="85"/>
      <c r="V587" s="85"/>
      <c r="W587" s="85"/>
      <c r="X587" s="89" t="s">
        <v>1124</v>
      </c>
      <c r="Y587" s="79"/>
      <c r="Z587" s="79"/>
      <c r="AA587" s="94"/>
      <c r="AB587" s="79" t="s">
        <v>1124</v>
      </c>
      <c r="AC587" s="85"/>
      <c r="AD587" s="85"/>
      <c r="AE587" s="85"/>
      <c r="AF587" s="85"/>
      <c r="AG587" s="85" t="s">
        <v>1124</v>
      </c>
      <c r="AH587" s="85"/>
      <c r="AI587" s="85"/>
      <c r="AJ587" s="85"/>
      <c r="AK587" s="85"/>
      <c r="AL587" s="85"/>
      <c r="AM587" s="85"/>
      <c r="AN587" s="85"/>
      <c r="AO587" s="85"/>
      <c r="AP587" s="85"/>
      <c r="AQ587" s="85"/>
      <c r="AR587" s="85" t="s">
        <v>1124</v>
      </c>
      <c r="AS587" s="85"/>
      <c r="AT587" s="85"/>
      <c r="AU587" s="85"/>
      <c r="AV587" s="85"/>
      <c r="AW587" s="85"/>
      <c r="AX587" s="85"/>
      <c r="AY587" s="85"/>
      <c r="AZ587" s="85"/>
      <c r="BA587" s="85"/>
      <c r="BB587" s="89"/>
      <c r="BC587" s="89" t="s">
        <v>1124</v>
      </c>
      <c r="BD587" s="37"/>
      <c r="BE587" s="37"/>
      <c r="BF587" s="279"/>
      <c r="BG587" s="37"/>
      <c r="BH587" s="37"/>
      <c r="BI587" s="37"/>
      <c r="BJ587" s="283"/>
      <c r="BK587" s="161"/>
      <c r="BL587" s="294"/>
      <c r="BM587"/>
      <c r="BN587"/>
      <c r="BO587"/>
      <c r="BP587"/>
      <c r="BQ587"/>
      <c r="BR587"/>
      <c r="BS587"/>
      <c r="BT587"/>
      <c r="BU587"/>
      <c r="BV587"/>
      <c r="BW587"/>
      <c r="BX587"/>
      <c r="BY587"/>
      <c r="BZ587"/>
      <c r="CA587"/>
      <c r="CB587"/>
      <c r="CC587"/>
      <c r="CD587"/>
      <c r="CE587"/>
      <c r="CF587"/>
      <c r="CG587"/>
      <c r="CH587"/>
      <c r="CI587"/>
      <c r="CJ587"/>
    </row>
    <row r="588" spans="1:88" s="32" customFormat="1" ht="15" customHeight="1" x14ac:dyDescent="0.35">
      <c r="A588" s="473"/>
      <c r="B588" s="313">
        <v>52055</v>
      </c>
      <c r="C588" s="8" t="s">
        <v>522</v>
      </c>
      <c r="D588" s="18">
        <v>14</v>
      </c>
      <c r="E588" s="251">
        <v>809</v>
      </c>
      <c r="F588" s="82">
        <v>2.0111223458038423</v>
      </c>
      <c r="G588" s="79">
        <v>1626.9979777553085</v>
      </c>
      <c r="H588" s="90">
        <v>17.766999999999999</v>
      </c>
      <c r="I588" s="85">
        <v>17.108000000000001</v>
      </c>
      <c r="J588" s="85">
        <v>20.765999999999998</v>
      </c>
      <c r="K588" s="85">
        <v>18.84</v>
      </c>
      <c r="L588" s="85">
        <v>18.928000000000001</v>
      </c>
      <c r="M588" s="85">
        <v>20.821000000000002</v>
      </c>
      <c r="N588" s="85">
        <v>21.085999999999999</v>
      </c>
      <c r="O588" s="85">
        <v>19.805</v>
      </c>
      <c r="P588" s="85">
        <v>16.364999999999998</v>
      </c>
      <c r="Q588" s="85">
        <v>16.274000000000001</v>
      </c>
      <c r="R588" s="85">
        <v>16.056999999999999</v>
      </c>
      <c r="S588" s="89">
        <v>19.109000000000002</v>
      </c>
      <c r="T588" s="89">
        <v>222.92599999999999</v>
      </c>
      <c r="U588" s="85">
        <v>0</v>
      </c>
      <c r="V588" s="85">
        <v>222.92599999999999</v>
      </c>
      <c r="W588" s="85">
        <v>0</v>
      </c>
      <c r="X588" s="89">
        <v>222.92599999999999</v>
      </c>
      <c r="Y588" s="79">
        <v>0</v>
      </c>
      <c r="Z588" s="79">
        <v>1</v>
      </c>
      <c r="AA588" s="94">
        <v>0</v>
      </c>
      <c r="AB588" s="79">
        <v>1</v>
      </c>
      <c r="AC588" s="85">
        <v>101.21599999999999</v>
      </c>
      <c r="AD588" s="85">
        <v>36.335999999999999</v>
      </c>
      <c r="AE588" s="85">
        <v>76.444999999999993</v>
      </c>
      <c r="AF588" s="85">
        <v>8.9290000000000003</v>
      </c>
      <c r="AG588" s="85">
        <v>222.92599999999999</v>
      </c>
      <c r="AH588" s="85">
        <v>0</v>
      </c>
      <c r="AI588" s="85">
        <v>0</v>
      </c>
      <c r="AJ588" s="85">
        <v>0</v>
      </c>
      <c r="AK588" s="85">
        <v>0</v>
      </c>
      <c r="AL588" s="85">
        <v>0</v>
      </c>
      <c r="AM588" s="85">
        <v>0</v>
      </c>
      <c r="AN588" s="85">
        <v>0</v>
      </c>
      <c r="AO588" s="85">
        <v>0</v>
      </c>
      <c r="AP588" s="85">
        <v>0</v>
      </c>
      <c r="AQ588" s="85">
        <v>0</v>
      </c>
      <c r="AR588" s="85">
        <v>0</v>
      </c>
      <c r="AS588" s="85">
        <v>0</v>
      </c>
      <c r="AT588" s="85">
        <v>0</v>
      </c>
      <c r="AU588" s="85">
        <v>222.92599999999999</v>
      </c>
      <c r="AV588" s="85">
        <v>0</v>
      </c>
      <c r="AW588" s="85">
        <v>0</v>
      </c>
      <c r="AX588" s="85">
        <v>0</v>
      </c>
      <c r="AY588" s="85">
        <v>0</v>
      </c>
      <c r="AZ588" s="85">
        <v>0</v>
      </c>
      <c r="BA588" s="85">
        <v>0</v>
      </c>
      <c r="BB588" s="89">
        <v>0</v>
      </c>
      <c r="BC588" s="89">
        <v>222.92599999999999</v>
      </c>
      <c r="BD588" s="37">
        <v>0</v>
      </c>
      <c r="BE588" s="37">
        <v>0</v>
      </c>
      <c r="BF588" s="279">
        <v>20495</v>
      </c>
      <c r="BG588" s="37">
        <v>50132</v>
      </c>
      <c r="BH588" s="37">
        <v>36852</v>
      </c>
      <c r="BI588" s="37">
        <v>12292</v>
      </c>
      <c r="BJ588" s="283">
        <v>119771</v>
      </c>
      <c r="BK588" s="161"/>
      <c r="BL588" s="294"/>
      <c r="BM588"/>
      <c r="BN588"/>
      <c r="BO588"/>
      <c r="BP588"/>
      <c r="BQ588"/>
      <c r="BR588"/>
      <c r="BS588"/>
      <c r="BT588"/>
      <c r="BU588"/>
      <c r="BV588"/>
      <c r="BW588"/>
      <c r="BX588"/>
      <c r="BY588"/>
      <c r="BZ588"/>
      <c r="CA588"/>
      <c r="CB588"/>
      <c r="CC588"/>
      <c r="CD588"/>
      <c r="CE588"/>
      <c r="CF588"/>
      <c r="CG588"/>
      <c r="CH588"/>
      <c r="CI588"/>
      <c r="CJ588"/>
    </row>
    <row r="589" spans="1:88" s="32" customFormat="1" ht="15" customHeight="1" x14ac:dyDescent="0.35">
      <c r="A589" s="473"/>
      <c r="B589" s="313">
        <v>34038</v>
      </c>
      <c r="C589" s="8" t="s">
        <v>289</v>
      </c>
      <c r="D589" s="18">
        <v>3</v>
      </c>
      <c r="E589" s="251"/>
      <c r="F589" s="82"/>
      <c r="G589" s="79"/>
      <c r="H589" s="90"/>
      <c r="I589" s="85"/>
      <c r="J589" s="85"/>
      <c r="K589" s="85"/>
      <c r="L589" s="85"/>
      <c r="M589" s="85"/>
      <c r="N589" s="85"/>
      <c r="O589" s="85"/>
      <c r="P589" s="85"/>
      <c r="Q589" s="85"/>
      <c r="R589" s="85"/>
      <c r="S589" s="89"/>
      <c r="T589" s="89" t="s">
        <v>1124</v>
      </c>
      <c r="U589" s="85"/>
      <c r="V589" s="85"/>
      <c r="W589" s="85"/>
      <c r="X589" s="89" t="s">
        <v>1124</v>
      </c>
      <c r="Y589" s="79"/>
      <c r="Z589" s="79"/>
      <c r="AA589" s="94"/>
      <c r="AB589" s="79" t="s">
        <v>1124</v>
      </c>
      <c r="AC589" s="85"/>
      <c r="AD589" s="85"/>
      <c r="AE589" s="85"/>
      <c r="AF589" s="85"/>
      <c r="AG589" s="85" t="s">
        <v>1124</v>
      </c>
      <c r="AH589" s="85"/>
      <c r="AI589" s="85"/>
      <c r="AJ589" s="85"/>
      <c r="AK589" s="85"/>
      <c r="AL589" s="85"/>
      <c r="AM589" s="85"/>
      <c r="AN589" s="85"/>
      <c r="AO589" s="85"/>
      <c r="AP589" s="85"/>
      <c r="AQ589" s="85"/>
      <c r="AR589" s="85" t="s">
        <v>1124</v>
      </c>
      <c r="AS589" s="85"/>
      <c r="AT589" s="85"/>
      <c r="AU589" s="85"/>
      <c r="AV589" s="85"/>
      <c r="AW589" s="85"/>
      <c r="AX589" s="85"/>
      <c r="AY589" s="85"/>
      <c r="AZ589" s="85"/>
      <c r="BA589" s="85"/>
      <c r="BB589" s="89"/>
      <c r="BC589" s="89" t="s">
        <v>1124</v>
      </c>
      <c r="BD589" s="37"/>
      <c r="BE589" s="37"/>
      <c r="BF589" s="279"/>
      <c r="BG589" s="37"/>
      <c r="BH589" s="37"/>
      <c r="BI589" s="37"/>
      <c r="BJ589" s="283"/>
      <c r="BK589" s="161"/>
      <c r="BL589" s="294"/>
      <c r="BM589"/>
      <c r="BN589"/>
      <c r="BO589"/>
      <c r="BP589"/>
      <c r="BQ589"/>
      <c r="BR589"/>
      <c r="BS589"/>
      <c r="BT589"/>
      <c r="BU589"/>
      <c r="BV589"/>
      <c r="BW589"/>
      <c r="BX589"/>
      <c r="BY589"/>
      <c r="BZ589"/>
      <c r="CA589"/>
      <c r="CB589"/>
      <c r="CC589"/>
      <c r="CD589"/>
      <c r="CE589"/>
      <c r="CF589"/>
      <c r="CG589"/>
      <c r="CH589"/>
      <c r="CI589"/>
      <c r="CJ589"/>
    </row>
    <row r="590" spans="1:88" s="32" customFormat="1" ht="15" customHeight="1" x14ac:dyDescent="0.35">
      <c r="A590" s="473"/>
      <c r="B590" s="313">
        <v>57020</v>
      </c>
      <c r="C590" s="8" t="s">
        <v>583</v>
      </c>
      <c r="D590" s="18">
        <v>16</v>
      </c>
      <c r="E590" s="251"/>
      <c r="F590" s="82"/>
      <c r="G590" s="79"/>
      <c r="H590" s="90"/>
      <c r="I590" s="85"/>
      <c r="J590" s="85"/>
      <c r="K590" s="85"/>
      <c r="L590" s="85"/>
      <c r="M590" s="85"/>
      <c r="N590" s="85"/>
      <c r="O590" s="85"/>
      <c r="P590" s="85"/>
      <c r="Q590" s="85"/>
      <c r="R590" s="85"/>
      <c r="S590" s="89"/>
      <c r="T590" s="89" t="s">
        <v>1124</v>
      </c>
      <c r="U590" s="85"/>
      <c r="V590" s="85"/>
      <c r="W590" s="85"/>
      <c r="X590" s="89" t="s">
        <v>1124</v>
      </c>
      <c r="Y590" s="79"/>
      <c r="Z590" s="79"/>
      <c r="AA590" s="94"/>
      <c r="AB590" s="79" t="s">
        <v>1124</v>
      </c>
      <c r="AC590" s="85"/>
      <c r="AD590" s="85"/>
      <c r="AE590" s="85"/>
      <c r="AF590" s="85"/>
      <c r="AG590" s="85" t="s">
        <v>1124</v>
      </c>
      <c r="AH590" s="85"/>
      <c r="AI590" s="85"/>
      <c r="AJ590" s="85"/>
      <c r="AK590" s="85"/>
      <c r="AL590" s="85"/>
      <c r="AM590" s="85"/>
      <c r="AN590" s="85"/>
      <c r="AO590" s="85"/>
      <c r="AP590" s="85"/>
      <c r="AQ590" s="85"/>
      <c r="AR590" s="85" t="s">
        <v>1124</v>
      </c>
      <c r="AS590" s="85"/>
      <c r="AT590" s="85"/>
      <c r="AU590" s="85"/>
      <c r="AV590" s="85"/>
      <c r="AW590" s="85"/>
      <c r="AX590" s="85"/>
      <c r="AY590" s="85"/>
      <c r="AZ590" s="85"/>
      <c r="BA590" s="85"/>
      <c r="BB590" s="89"/>
      <c r="BC590" s="89" t="s">
        <v>1124</v>
      </c>
      <c r="BD590" s="37"/>
      <c r="BE590" s="37"/>
      <c r="BF590" s="279"/>
      <c r="BG590" s="37"/>
      <c r="BH590" s="37"/>
      <c r="BI590" s="37"/>
      <c r="BJ590" s="283"/>
      <c r="BK590" s="161"/>
      <c r="BL590" s="294"/>
      <c r="BM590"/>
      <c r="BN590"/>
      <c r="BO590"/>
      <c r="BP590"/>
      <c r="BQ590"/>
      <c r="BR590"/>
      <c r="BS590"/>
      <c r="BT590"/>
      <c r="BU590"/>
      <c r="BV590"/>
      <c r="BW590"/>
      <c r="BX590"/>
      <c r="BY590"/>
      <c r="BZ590"/>
      <c r="CA590"/>
      <c r="CB590"/>
      <c r="CC590"/>
      <c r="CD590"/>
      <c r="CE590"/>
      <c r="CF590"/>
      <c r="CG590"/>
      <c r="CH590"/>
      <c r="CI590"/>
      <c r="CJ590"/>
    </row>
    <row r="591" spans="1:88" s="32" customFormat="1" ht="15" customHeight="1" x14ac:dyDescent="0.35">
      <c r="A591" s="473"/>
      <c r="B591" s="313">
        <v>28025</v>
      </c>
      <c r="C591" s="8" t="s">
        <v>191</v>
      </c>
      <c r="D591" s="18">
        <v>12</v>
      </c>
      <c r="E591" s="251"/>
      <c r="F591" s="82"/>
      <c r="G591" s="79"/>
      <c r="H591" s="90"/>
      <c r="I591" s="85"/>
      <c r="J591" s="85"/>
      <c r="K591" s="85"/>
      <c r="L591" s="85"/>
      <c r="M591" s="85"/>
      <c r="N591" s="85"/>
      <c r="O591" s="85"/>
      <c r="P591" s="85"/>
      <c r="Q591" s="85"/>
      <c r="R591" s="85"/>
      <c r="S591" s="89"/>
      <c r="T591" s="89" t="s">
        <v>1124</v>
      </c>
      <c r="U591" s="85"/>
      <c r="V591" s="85"/>
      <c r="W591" s="85"/>
      <c r="X591" s="89" t="s">
        <v>1124</v>
      </c>
      <c r="Y591" s="79"/>
      <c r="Z591" s="79"/>
      <c r="AA591" s="94"/>
      <c r="AB591" s="79" t="s">
        <v>1124</v>
      </c>
      <c r="AC591" s="85"/>
      <c r="AD591" s="85"/>
      <c r="AE591" s="85"/>
      <c r="AF591" s="85"/>
      <c r="AG591" s="85" t="s">
        <v>1124</v>
      </c>
      <c r="AH591" s="85"/>
      <c r="AI591" s="85"/>
      <c r="AJ591" s="85"/>
      <c r="AK591" s="85"/>
      <c r="AL591" s="85"/>
      <c r="AM591" s="85"/>
      <c r="AN591" s="85"/>
      <c r="AO591" s="85"/>
      <c r="AP591" s="85"/>
      <c r="AQ591" s="85"/>
      <c r="AR591" s="85" t="s">
        <v>1124</v>
      </c>
      <c r="AS591" s="85"/>
      <c r="AT591" s="85"/>
      <c r="AU591" s="85"/>
      <c r="AV591" s="85"/>
      <c r="AW591" s="85"/>
      <c r="AX591" s="85"/>
      <c r="AY591" s="85"/>
      <c r="AZ591" s="85"/>
      <c r="BA591" s="85"/>
      <c r="BB591" s="89"/>
      <c r="BC591" s="89" t="s">
        <v>1124</v>
      </c>
      <c r="BD591" s="37"/>
      <c r="BE591" s="37"/>
      <c r="BF591" s="279"/>
      <c r="BG591" s="37"/>
      <c r="BH591" s="37"/>
      <c r="BI591" s="37"/>
      <c r="BJ591" s="283"/>
      <c r="BK591" s="161"/>
      <c r="BL591" s="294"/>
      <c r="BM591"/>
      <c r="BN591"/>
      <c r="BO591"/>
      <c r="BP591"/>
      <c r="BQ591"/>
      <c r="BR591"/>
      <c r="BS591"/>
      <c r="BT591"/>
      <c r="BU591"/>
      <c r="BV591"/>
      <c r="BW591"/>
      <c r="BX591"/>
      <c r="BY591"/>
      <c r="BZ591"/>
      <c r="CA591"/>
      <c r="CB591"/>
      <c r="CC591"/>
      <c r="CD591"/>
      <c r="CE591"/>
      <c r="CF591"/>
      <c r="CG591"/>
      <c r="CH591"/>
      <c r="CI591"/>
      <c r="CJ591"/>
    </row>
    <row r="592" spans="1:88" s="32" customFormat="1" ht="15" customHeight="1" x14ac:dyDescent="0.35">
      <c r="A592" s="473"/>
      <c r="B592" s="313">
        <v>45080</v>
      </c>
      <c r="C592" s="8" t="s">
        <v>420</v>
      </c>
      <c r="D592" s="18">
        <v>5</v>
      </c>
      <c r="E592" s="251"/>
      <c r="F592" s="82"/>
      <c r="G592" s="79"/>
      <c r="H592" s="90"/>
      <c r="I592" s="85"/>
      <c r="J592" s="85"/>
      <c r="K592" s="85"/>
      <c r="L592" s="85"/>
      <c r="M592" s="85"/>
      <c r="N592" s="85"/>
      <c r="O592" s="85"/>
      <c r="P592" s="85"/>
      <c r="Q592" s="85"/>
      <c r="R592" s="85"/>
      <c r="S592" s="89"/>
      <c r="T592" s="89" t="s">
        <v>1124</v>
      </c>
      <c r="U592" s="85"/>
      <c r="V592" s="85"/>
      <c r="W592" s="85"/>
      <c r="X592" s="89" t="s">
        <v>1124</v>
      </c>
      <c r="Y592" s="79"/>
      <c r="Z592" s="79"/>
      <c r="AA592" s="94"/>
      <c r="AB592" s="79" t="s">
        <v>1124</v>
      </c>
      <c r="AC592" s="85"/>
      <c r="AD592" s="85"/>
      <c r="AE592" s="85"/>
      <c r="AF592" s="85"/>
      <c r="AG592" s="85" t="s">
        <v>1124</v>
      </c>
      <c r="AH592" s="85"/>
      <c r="AI592" s="85"/>
      <c r="AJ592" s="85"/>
      <c r="AK592" s="85"/>
      <c r="AL592" s="85"/>
      <c r="AM592" s="85"/>
      <c r="AN592" s="85"/>
      <c r="AO592" s="85"/>
      <c r="AP592" s="85"/>
      <c r="AQ592" s="85"/>
      <c r="AR592" s="85" t="s">
        <v>1124</v>
      </c>
      <c r="AS592" s="85"/>
      <c r="AT592" s="85"/>
      <c r="AU592" s="85"/>
      <c r="AV592" s="85"/>
      <c r="AW592" s="85"/>
      <c r="AX592" s="85"/>
      <c r="AY592" s="85"/>
      <c r="AZ592" s="85"/>
      <c r="BA592" s="85"/>
      <c r="BB592" s="89"/>
      <c r="BC592" s="89" t="s">
        <v>1124</v>
      </c>
      <c r="BD592" s="37"/>
      <c r="BE592" s="37"/>
      <c r="BF592" s="279"/>
      <c r="BG592" s="37"/>
      <c r="BH592" s="37"/>
      <c r="BI592" s="37"/>
      <c r="BJ592" s="283"/>
      <c r="BK592" s="161"/>
      <c r="BL592" s="294"/>
      <c r="BM592"/>
      <c r="BN592"/>
      <c r="BO592"/>
      <c r="BP592"/>
      <c r="BQ592"/>
      <c r="BR592"/>
      <c r="BS592"/>
      <c r="BT592"/>
      <c r="BU592"/>
      <c r="BV592"/>
      <c r="BW592"/>
      <c r="BX592"/>
      <c r="BY592"/>
      <c r="BZ592"/>
      <c r="CA592"/>
      <c r="CB592"/>
      <c r="CC592"/>
      <c r="CD592"/>
      <c r="CE592"/>
      <c r="CF592"/>
      <c r="CG592"/>
      <c r="CH592"/>
      <c r="CI592"/>
      <c r="CJ592"/>
    </row>
    <row r="593" spans="1:88" s="32" customFormat="1" ht="15" customHeight="1" x14ac:dyDescent="0.35">
      <c r="A593" s="473"/>
      <c r="B593" s="313">
        <v>29100</v>
      </c>
      <c r="C593" s="8" t="s">
        <v>213</v>
      </c>
      <c r="D593" s="18">
        <v>12</v>
      </c>
      <c r="E593" s="251">
        <v>343</v>
      </c>
      <c r="F593" s="82">
        <v>2.2782485875706215</v>
      </c>
      <c r="G593" s="79">
        <v>781.43926553672316</v>
      </c>
      <c r="H593" s="90">
        <v>8.2460000000000004</v>
      </c>
      <c r="I593" s="85">
        <v>8.01</v>
      </c>
      <c r="J593" s="85">
        <v>9.1530000000000005</v>
      </c>
      <c r="K593" s="85">
        <v>9.0419999999999998</v>
      </c>
      <c r="L593" s="85">
        <v>9.0649999999999995</v>
      </c>
      <c r="M593" s="85">
        <v>7.6680000000000001</v>
      </c>
      <c r="N593" s="85">
        <v>8.9960000000000004</v>
      </c>
      <c r="O593" s="85">
        <v>9.3759999999999994</v>
      </c>
      <c r="P593" s="85">
        <v>6.3319999999999999</v>
      </c>
      <c r="Q593" s="85">
        <v>6.2249999999999996</v>
      </c>
      <c r="R593" s="85">
        <v>5.98</v>
      </c>
      <c r="S593" s="89">
        <v>6.5229999999999997</v>
      </c>
      <c r="T593" s="89">
        <v>94.615999999999985</v>
      </c>
      <c r="U593" s="85">
        <v>0</v>
      </c>
      <c r="V593" s="85">
        <v>94.616</v>
      </c>
      <c r="W593" s="85">
        <v>0</v>
      </c>
      <c r="X593" s="89">
        <v>94.616</v>
      </c>
      <c r="Y593" s="79">
        <v>0</v>
      </c>
      <c r="Z593" s="79">
        <v>2</v>
      </c>
      <c r="AA593" s="94">
        <v>0</v>
      </c>
      <c r="AB593" s="79">
        <v>2</v>
      </c>
      <c r="AC593" s="85">
        <v>35.326999999999998</v>
      </c>
      <c r="AD593" s="85">
        <v>13.781000000000001</v>
      </c>
      <c r="AE593" s="85">
        <v>45.508000000000003</v>
      </c>
      <c r="AF593" s="85">
        <v>0</v>
      </c>
      <c r="AG593" s="85">
        <v>94.616</v>
      </c>
      <c r="AH593" s="85">
        <v>0</v>
      </c>
      <c r="AI593" s="85">
        <v>0</v>
      </c>
      <c r="AJ593" s="85">
        <v>0</v>
      </c>
      <c r="AK593" s="85">
        <v>0</v>
      </c>
      <c r="AL593" s="85">
        <v>0</v>
      </c>
      <c r="AM593" s="85">
        <v>0</v>
      </c>
      <c r="AN593" s="85">
        <v>0</v>
      </c>
      <c r="AO593" s="85">
        <v>0</v>
      </c>
      <c r="AP593" s="85">
        <v>0</v>
      </c>
      <c r="AQ593" s="85">
        <v>0</v>
      </c>
      <c r="AR593" s="85">
        <v>0</v>
      </c>
      <c r="AS593" s="85">
        <v>0</v>
      </c>
      <c r="AT593" s="85">
        <v>94.616</v>
      </c>
      <c r="AU593" s="85">
        <v>0</v>
      </c>
      <c r="AV593" s="85">
        <v>0</v>
      </c>
      <c r="AW593" s="85">
        <v>0</v>
      </c>
      <c r="AX593" s="85">
        <v>0</v>
      </c>
      <c r="AY593" s="85">
        <v>0</v>
      </c>
      <c r="AZ593" s="85">
        <v>0</v>
      </c>
      <c r="BA593" s="85">
        <v>0</v>
      </c>
      <c r="BB593" s="89">
        <v>0</v>
      </c>
      <c r="BC593" s="89">
        <v>94.616</v>
      </c>
      <c r="BD593" s="37">
        <v>0</v>
      </c>
      <c r="BE593" s="37">
        <v>0</v>
      </c>
      <c r="BF593" s="279">
        <v>7619</v>
      </c>
      <c r="BG593" s="37">
        <v>18231</v>
      </c>
      <c r="BH593" s="37">
        <v>22527</v>
      </c>
      <c r="BI593" s="37">
        <v>14864</v>
      </c>
      <c r="BJ593" s="283">
        <v>63241</v>
      </c>
      <c r="BK593" s="161"/>
      <c r="BL593" s="294"/>
      <c r="BM593"/>
      <c r="BN593"/>
      <c r="BO593"/>
      <c r="BP593"/>
      <c r="BQ593"/>
      <c r="BR593"/>
      <c r="BS593"/>
      <c r="BT593"/>
      <c r="BU593"/>
      <c r="BV593"/>
      <c r="BW593"/>
      <c r="BX593"/>
      <c r="BY593"/>
      <c r="BZ593"/>
      <c r="CA593"/>
      <c r="CB593"/>
      <c r="CC593"/>
      <c r="CD593"/>
      <c r="CE593"/>
      <c r="CF593"/>
      <c r="CG593"/>
      <c r="CH593"/>
      <c r="CI593"/>
      <c r="CJ593"/>
    </row>
    <row r="594" spans="1:88" s="32" customFormat="1" ht="15" customHeight="1" x14ac:dyDescent="0.35">
      <c r="A594" s="473"/>
      <c r="B594" s="313">
        <v>26055</v>
      </c>
      <c r="C594" s="8" t="s">
        <v>175</v>
      </c>
      <c r="D594" s="18">
        <v>12</v>
      </c>
      <c r="E594" s="251">
        <v>632</v>
      </c>
      <c r="F594" s="82">
        <v>2.6544276457883371</v>
      </c>
      <c r="G594" s="79">
        <v>1677.598272138229</v>
      </c>
      <c r="H594" s="90">
        <v>10.39789</v>
      </c>
      <c r="I594" s="85">
        <v>9.2001499999999989</v>
      </c>
      <c r="J594" s="85">
        <v>10.18918</v>
      </c>
      <c r="K594" s="85">
        <v>10.26939</v>
      </c>
      <c r="L594" s="85">
        <v>12.9818</v>
      </c>
      <c r="M594" s="85">
        <v>12.718200000000001</v>
      </c>
      <c r="N594" s="85">
        <v>15.414100000000001</v>
      </c>
      <c r="O594" s="85">
        <v>12.138</v>
      </c>
      <c r="P594" s="85">
        <v>11.391399999999999</v>
      </c>
      <c r="Q594" s="85">
        <v>12.0191</v>
      </c>
      <c r="R594" s="85">
        <v>10.611600000000001</v>
      </c>
      <c r="S594" s="89">
        <v>10.967799999999999</v>
      </c>
      <c r="T594" s="89">
        <v>138.29861</v>
      </c>
      <c r="U594" s="85">
        <v>0</v>
      </c>
      <c r="V594" s="85">
        <v>138.29861</v>
      </c>
      <c r="W594" s="85">
        <v>0</v>
      </c>
      <c r="X594" s="89">
        <v>138.29861</v>
      </c>
      <c r="Y594" s="79">
        <v>0</v>
      </c>
      <c r="Z594" s="79">
        <v>5</v>
      </c>
      <c r="AA594" s="94">
        <v>0</v>
      </c>
      <c r="AB594" s="79">
        <v>5</v>
      </c>
      <c r="AC594" s="85">
        <v>85.286109999999994</v>
      </c>
      <c r="AD594" s="85">
        <v>10.622119846938773</v>
      </c>
      <c r="AE594" s="85">
        <v>42.39038015306123</v>
      </c>
      <c r="AF594" s="85">
        <v>0</v>
      </c>
      <c r="AG594" s="85">
        <v>138.29861</v>
      </c>
      <c r="AH594" s="85">
        <v>0</v>
      </c>
      <c r="AI594" s="85">
        <v>0</v>
      </c>
      <c r="AJ594" s="85">
        <v>0</v>
      </c>
      <c r="AK594" s="85">
        <v>0</v>
      </c>
      <c r="AL594" s="85">
        <v>0</v>
      </c>
      <c r="AM594" s="85">
        <v>0</v>
      </c>
      <c r="AN594" s="85">
        <v>0</v>
      </c>
      <c r="AO594" s="85">
        <v>0</v>
      </c>
      <c r="AP594" s="85">
        <v>0</v>
      </c>
      <c r="AQ594" s="85">
        <v>0</v>
      </c>
      <c r="AR594" s="85">
        <v>0</v>
      </c>
      <c r="AS594" s="85">
        <v>0</v>
      </c>
      <c r="AT594" s="85">
        <v>0</v>
      </c>
      <c r="AU594" s="85">
        <v>0</v>
      </c>
      <c r="AV594" s="85">
        <v>0</v>
      </c>
      <c r="AW594" s="85">
        <v>0</v>
      </c>
      <c r="AX594" s="85">
        <v>0</v>
      </c>
      <c r="AY594" s="85">
        <v>0</v>
      </c>
      <c r="AZ594" s="85">
        <v>0</v>
      </c>
      <c r="BA594" s="85">
        <v>138.29861</v>
      </c>
      <c r="BB594" s="89">
        <v>0</v>
      </c>
      <c r="BC594" s="89">
        <v>138.29861</v>
      </c>
      <c r="BD594" s="37">
        <v>26360</v>
      </c>
      <c r="BE594" s="37">
        <v>201387</v>
      </c>
      <c r="BF594" s="279">
        <v>406</v>
      </c>
      <c r="BG594" s="37">
        <v>13305</v>
      </c>
      <c r="BH594" s="37">
        <v>14243</v>
      </c>
      <c r="BI594" s="37">
        <v>0</v>
      </c>
      <c r="BJ594" s="283">
        <v>27954</v>
      </c>
      <c r="BK594" s="161"/>
      <c r="BL594" s="294"/>
      <c r="BM594"/>
      <c r="BN594"/>
      <c r="BO594"/>
      <c r="BP594"/>
      <c r="BQ594"/>
      <c r="BR594"/>
      <c r="BS594"/>
      <c r="BT594"/>
      <c r="BU594"/>
      <c r="BV594"/>
      <c r="BW594"/>
      <c r="BX594"/>
      <c r="BY594"/>
      <c r="BZ594"/>
      <c r="CA594"/>
      <c r="CB594"/>
      <c r="CC594"/>
      <c r="CD594"/>
      <c r="CE594"/>
      <c r="CF594"/>
      <c r="CG594"/>
      <c r="CH594"/>
      <c r="CI594"/>
      <c r="CJ594"/>
    </row>
    <row r="595" spans="1:88" s="32" customFormat="1" ht="15" customHeight="1" x14ac:dyDescent="0.35">
      <c r="A595" s="473"/>
      <c r="B595" s="313">
        <v>68005</v>
      </c>
      <c r="C595" s="8" t="s">
        <v>673</v>
      </c>
      <c r="D595" s="18">
        <v>16</v>
      </c>
      <c r="E595" s="251"/>
      <c r="F595" s="82"/>
      <c r="G595" s="79"/>
      <c r="H595" s="90"/>
      <c r="I595" s="85"/>
      <c r="J595" s="85"/>
      <c r="K595" s="85"/>
      <c r="L595" s="85"/>
      <c r="M595" s="85"/>
      <c r="N595" s="85"/>
      <c r="O595" s="85"/>
      <c r="P595" s="85"/>
      <c r="Q595" s="85"/>
      <c r="R595" s="85"/>
      <c r="S595" s="89"/>
      <c r="T595" s="89" t="s">
        <v>1124</v>
      </c>
      <c r="U595" s="85"/>
      <c r="V595" s="85"/>
      <c r="W595" s="85"/>
      <c r="X595" s="89" t="s">
        <v>1124</v>
      </c>
      <c r="Y595" s="79"/>
      <c r="Z595" s="79"/>
      <c r="AA595" s="94"/>
      <c r="AB595" s="79" t="s">
        <v>1124</v>
      </c>
      <c r="AC595" s="85"/>
      <c r="AD595" s="85"/>
      <c r="AE595" s="85"/>
      <c r="AF595" s="85"/>
      <c r="AG595" s="85" t="s">
        <v>1124</v>
      </c>
      <c r="AH595" s="85"/>
      <c r="AI595" s="85"/>
      <c r="AJ595" s="85"/>
      <c r="AK595" s="85"/>
      <c r="AL595" s="85"/>
      <c r="AM595" s="85"/>
      <c r="AN595" s="85"/>
      <c r="AO595" s="85"/>
      <c r="AP595" s="85"/>
      <c r="AQ595" s="85"/>
      <c r="AR595" s="85" t="s">
        <v>1124</v>
      </c>
      <c r="AS595" s="85"/>
      <c r="AT595" s="85"/>
      <c r="AU595" s="85"/>
      <c r="AV595" s="85"/>
      <c r="AW595" s="85"/>
      <c r="AX595" s="85"/>
      <c r="AY595" s="85"/>
      <c r="AZ595" s="85"/>
      <c r="BA595" s="85"/>
      <c r="BB595" s="89"/>
      <c r="BC595" s="89" t="s">
        <v>1124</v>
      </c>
      <c r="BD595" s="37"/>
      <c r="BE595" s="37"/>
      <c r="BF595" s="279"/>
      <c r="BG595" s="37"/>
      <c r="BH595" s="37"/>
      <c r="BI595" s="37"/>
      <c r="BJ595" s="283"/>
      <c r="BK595" s="161"/>
      <c r="BL595" s="294"/>
      <c r="BM595"/>
      <c r="BN595"/>
      <c r="BO595"/>
      <c r="BP595"/>
      <c r="BQ595"/>
      <c r="BR595"/>
      <c r="BS595"/>
      <c r="BT595"/>
      <c r="BU595"/>
      <c r="BV595"/>
      <c r="BW595"/>
      <c r="BX595"/>
      <c r="BY595"/>
      <c r="BZ595"/>
      <c r="CA595"/>
      <c r="CB595"/>
      <c r="CC595"/>
      <c r="CD595"/>
      <c r="CE595"/>
      <c r="CF595"/>
      <c r="CG595"/>
      <c r="CH595"/>
      <c r="CI595"/>
      <c r="CJ595"/>
    </row>
    <row r="596" spans="1:88" s="32" customFormat="1" ht="15" customHeight="1" x14ac:dyDescent="0.35">
      <c r="A596" s="473"/>
      <c r="B596" s="313">
        <v>54115</v>
      </c>
      <c r="C596" s="8" t="s">
        <v>556</v>
      </c>
      <c r="D596" s="18">
        <v>16</v>
      </c>
      <c r="E596" s="251"/>
      <c r="F596" s="82"/>
      <c r="G596" s="79"/>
      <c r="H596" s="90"/>
      <c r="I596" s="85"/>
      <c r="J596" s="85"/>
      <c r="K596" s="85"/>
      <c r="L596" s="85"/>
      <c r="M596" s="85"/>
      <c r="N596" s="85"/>
      <c r="O596" s="85"/>
      <c r="P596" s="85"/>
      <c r="Q596" s="85"/>
      <c r="R596" s="85"/>
      <c r="S596" s="89"/>
      <c r="T596" s="89" t="s">
        <v>1124</v>
      </c>
      <c r="U596" s="85"/>
      <c r="V596" s="85"/>
      <c r="W596" s="85"/>
      <c r="X596" s="89" t="s">
        <v>1124</v>
      </c>
      <c r="Y596" s="79"/>
      <c r="Z596" s="79"/>
      <c r="AA596" s="94"/>
      <c r="AB596" s="79" t="s">
        <v>1124</v>
      </c>
      <c r="AC596" s="85"/>
      <c r="AD596" s="85"/>
      <c r="AE596" s="85"/>
      <c r="AF596" s="85"/>
      <c r="AG596" s="85" t="s">
        <v>1124</v>
      </c>
      <c r="AH596" s="85"/>
      <c r="AI596" s="85"/>
      <c r="AJ596" s="85"/>
      <c r="AK596" s="85"/>
      <c r="AL596" s="85"/>
      <c r="AM596" s="85"/>
      <c r="AN596" s="85"/>
      <c r="AO596" s="85"/>
      <c r="AP596" s="85"/>
      <c r="AQ596" s="85"/>
      <c r="AR596" s="85" t="s">
        <v>1124</v>
      </c>
      <c r="AS596" s="85"/>
      <c r="AT596" s="85"/>
      <c r="AU596" s="85"/>
      <c r="AV596" s="85"/>
      <c r="AW596" s="85"/>
      <c r="AX596" s="85"/>
      <c r="AY596" s="85"/>
      <c r="AZ596" s="85"/>
      <c r="BA596" s="85"/>
      <c r="BB596" s="89"/>
      <c r="BC596" s="89" t="s">
        <v>1124</v>
      </c>
      <c r="BD596" s="37"/>
      <c r="BE596" s="37"/>
      <c r="BF596" s="279"/>
      <c r="BG596" s="37"/>
      <c r="BH596" s="37"/>
      <c r="BI596" s="37"/>
      <c r="BJ596" s="283"/>
      <c r="BK596" s="161"/>
      <c r="BL596" s="294"/>
      <c r="BM596"/>
      <c r="BN596"/>
      <c r="BO596"/>
      <c r="BP596"/>
      <c r="BQ596"/>
      <c r="BR596"/>
      <c r="BS596"/>
      <c r="BT596"/>
      <c r="BU596"/>
      <c r="BV596"/>
      <c r="BW596"/>
      <c r="BX596"/>
      <c r="BY596"/>
      <c r="BZ596"/>
      <c r="CA596"/>
      <c r="CB596"/>
      <c r="CC596"/>
      <c r="CD596"/>
      <c r="CE596"/>
      <c r="CF596"/>
      <c r="CG596"/>
      <c r="CH596"/>
      <c r="CI596"/>
      <c r="CJ596"/>
    </row>
    <row r="597" spans="1:88" s="32" customFormat="1" ht="15" customHeight="1" x14ac:dyDescent="0.35">
      <c r="A597" s="473"/>
      <c r="B597" s="313">
        <v>56065</v>
      </c>
      <c r="C597" s="8" t="s">
        <v>577</v>
      </c>
      <c r="D597" s="18">
        <v>16</v>
      </c>
      <c r="E597" s="251"/>
      <c r="F597" s="82"/>
      <c r="G597" s="79"/>
      <c r="H597" s="90"/>
      <c r="I597" s="85"/>
      <c r="J597" s="85"/>
      <c r="K597" s="85"/>
      <c r="L597" s="85"/>
      <c r="M597" s="85"/>
      <c r="N597" s="85"/>
      <c r="O597" s="85"/>
      <c r="P597" s="85"/>
      <c r="Q597" s="85"/>
      <c r="R597" s="85"/>
      <c r="S597" s="89"/>
      <c r="T597" s="89" t="s">
        <v>1124</v>
      </c>
      <c r="U597" s="85"/>
      <c r="V597" s="85"/>
      <c r="W597" s="85"/>
      <c r="X597" s="89" t="s">
        <v>1124</v>
      </c>
      <c r="Y597" s="79"/>
      <c r="Z597" s="79"/>
      <c r="AA597" s="94"/>
      <c r="AB597" s="79" t="s">
        <v>1124</v>
      </c>
      <c r="AC597" s="85"/>
      <c r="AD597" s="85"/>
      <c r="AE597" s="85"/>
      <c r="AF597" s="85"/>
      <c r="AG597" s="85" t="s">
        <v>1124</v>
      </c>
      <c r="AH597" s="85"/>
      <c r="AI597" s="85"/>
      <c r="AJ597" s="85"/>
      <c r="AK597" s="85"/>
      <c r="AL597" s="85"/>
      <c r="AM597" s="85"/>
      <c r="AN597" s="85"/>
      <c r="AO597" s="85"/>
      <c r="AP597" s="85"/>
      <c r="AQ597" s="85"/>
      <c r="AR597" s="85" t="s">
        <v>1124</v>
      </c>
      <c r="AS597" s="85"/>
      <c r="AT597" s="85"/>
      <c r="AU597" s="85"/>
      <c r="AV597" s="85"/>
      <c r="AW597" s="85"/>
      <c r="AX597" s="85"/>
      <c r="AY597" s="85"/>
      <c r="AZ597" s="85"/>
      <c r="BA597" s="85"/>
      <c r="BB597" s="89"/>
      <c r="BC597" s="89" t="s">
        <v>1124</v>
      </c>
      <c r="BD597" s="37"/>
      <c r="BE597" s="37"/>
      <c r="BF597" s="279"/>
      <c r="BG597" s="37"/>
      <c r="BH597" s="37"/>
      <c r="BI597" s="37"/>
      <c r="BJ597" s="283"/>
      <c r="BK597" s="161"/>
      <c r="BL597" s="294"/>
      <c r="BM597"/>
      <c r="BN597"/>
      <c r="BO597"/>
      <c r="BP597"/>
      <c r="BQ597"/>
      <c r="BR597"/>
      <c r="BS597"/>
      <c r="BT597"/>
      <c r="BU597"/>
      <c r="BV597"/>
      <c r="BW597"/>
      <c r="BX597"/>
      <c r="BY597"/>
      <c r="BZ597"/>
      <c r="CA597"/>
      <c r="CB597"/>
      <c r="CC597"/>
      <c r="CD597"/>
      <c r="CE597"/>
      <c r="CF597"/>
      <c r="CG597"/>
      <c r="CH597"/>
      <c r="CI597"/>
      <c r="CJ597"/>
    </row>
    <row r="598" spans="1:88" s="32" customFormat="1" ht="15" customHeight="1" x14ac:dyDescent="0.35">
      <c r="A598" s="473"/>
      <c r="B598" s="313">
        <v>49125</v>
      </c>
      <c r="C598" s="8" t="s">
        <v>480</v>
      </c>
      <c r="D598" s="18">
        <v>17</v>
      </c>
      <c r="E598" s="251"/>
      <c r="F598" s="82"/>
      <c r="G598" s="79"/>
      <c r="H598" s="90"/>
      <c r="I598" s="85"/>
      <c r="J598" s="85"/>
      <c r="K598" s="85"/>
      <c r="L598" s="85"/>
      <c r="M598" s="85"/>
      <c r="N598" s="85"/>
      <c r="O598" s="85"/>
      <c r="P598" s="85"/>
      <c r="Q598" s="85"/>
      <c r="R598" s="85"/>
      <c r="S598" s="89"/>
      <c r="T598" s="89" t="s">
        <v>1124</v>
      </c>
      <c r="U598" s="85"/>
      <c r="V598" s="85"/>
      <c r="W598" s="85"/>
      <c r="X598" s="89" t="s">
        <v>1124</v>
      </c>
      <c r="Y598" s="79"/>
      <c r="Z598" s="79"/>
      <c r="AA598" s="94"/>
      <c r="AB598" s="79" t="s">
        <v>1124</v>
      </c>
      <c r="AC598" s="85"/>
      <c r="AD598" s="85"/>
      <c r="AE598" s="85"/>
      <c r="AF598" s="85"/>
      <c r="AG598" s="85" t="s">
        <v>1124</v>
      </c>
      <c r="AH598" s="85"/>
      <c r="AI598" s="85"/>
      <c r="AJ598" s="85"/>
      <c r="AK598" s="85"/>
      <c r="AL598" s="85"/>
      <c r="AM598" s="85"/>
      <c r="AN598" s="85"/>
      <c r="AO598" s="85"/>
      <c r="AP598" s="85"/>
      <c r="AQ598" s="85"/>
      <c r="AR598" s="85" t="s">
        <v>1124</v>
      </c>
      <c r="AS598" s="85"/>
      <c r="AT598" s="85"/>
      <c r="AU598" s="85"/>
      <c r="AV598" s="85"/>
      <c r="AW598" s="85"/>
      <c r="AX598" s="85"/>
      <c r="AY598" s="85"/>
      <c r="AZ598" s="85"/>
      <c r="BA598" s="85"/>
      <c r="BB598" s="89"/>
      <c r="BC598" s="89" t="s">
        <v>1124</v>
      </c>
      <c r="BD598" s="37"/>
      <c r="BE598" s="37"/>
      <c r="BF598" s="279"/>
      <c r="BG598" s="37"/>
      <c r="BH598" s="37"/>
      <c r="BI598" s="37"/>
      <c r="BJ598" s="283"/>
      <c r="BK598" s="161"/>
      <c r="BL598" s="294"/>
      <c r="BM598"/>
      <c r="BN598"/>
      <c r="BO598"/>
      <c r="BP598"/>
      <c r="BQ598"/>
      <c r="BR598"/>
      <c r="BS598"/>
      <c r="BT598"/>
      <c r="BU598"/>
      <c r="BV598"/>
      <c r="BW598"/>
      <c r="BX598"/>
      <c r="BY598"/>
      <c r="BZ598"/>
      <c r="CA598"/>
      <c r="CB598"/>
      <c r="CC598"/>
      <c r="CD598"/>
      <c r="CE598"/>
      <c r="CF598"/>
      <c r="CG598"/>
      <c r="CH598"/>
      <c r="CI598"/>
      <c r="CJ598"/>
    </row>
    <row r="599" spans="1:88" s="32" customFormat="1" ht="15" customHeight="1" x14ac:dyDescent="0.35">
      <c r="A599" s="473"/>
      <c r="B599" s="313">
        <v>51085</v>
      </c>
      <c r="C599" s="8" t="s">
        <v>513</v>
      </c>
      <c r="D599" s="18">
        <v>4</v>
      </c>
      <c r="E599" s="251"/>
      <c r="F599" s="82"/>
      <c r="G599" s="79"/>
      <c r="H599" s="90"/>
      <c r="I599" s="85"/>
      <c r="J599" s="85"/>
      <c r="K599" s="85"/>
      <c r="L599" s="85"/>
      <c r="M599" s="85"/>
      <c r="N599" s="85"/>
      <c r="O599" s="85"/>
      <c r="P599" s="85"/>
      <c r="Q599" s="85"/>
      <c r="R599" s="85"/>
      <c r="S599" s="89"/>
      <c r="T599" s="89" t="s">
        <v>1124</v>
      </c>
      <c r="U599" s="85"/>
      <c r="V599" s="85"/>
      <c r="W599" s="85"/>
      <c r="X599" s="89" t="s">
        <v>1124</v>
      </c>
      <c r="Y599" s="79"/>
      <c r="Z599" s="79"/>
      <c r="AA599" s="94"/>
      <c r="AB599" s="79" t="s">
        <v>1124</v>
      </c>
      <c r="AC599" s="85"/>
      <c r="AD599" s="85"/>
      <c r="AE599" s="85"/>
      <c r="AF599" s="85"/>
      <c r="AG599" s="85" t="s">
        <v>1124</v>
      </c>
      <c r="AH599" s="85"/>
      <c r="AI599" s="85"/>
      <c r="AJ599" s="85"/>
      <c r="AK599" s="85"/>
      <c r="AL599" s="85"/>
      <c r="AM599" s="85"/>
      <c r="AN599" s="85"/>
      <c r="AO599" s="85"/>
      <c r="AP599" s="85"/>
      <c r="AQ599" s="85"/>
      <c r="AR599" s="85" t="s">
        <v>1124</v>
      </c>
      <c r="AS599" s="85"/>
      <c r="AT599" s="85"/>
      <c r="AU599" s="85"/>
      <c r="AV599" s="85"/>
      <c r="AW599" s="85"/>
      <c r="AX599" s="85"/>
      <c r="AY599" s="85"/>
      <c r="AZ599" s="85"/>
      <c r="BA599" s="85"/>
      <c r="BB599" s="89"/>
      <c r="BC599" s="89" t="s">
        <v>1124</v>
      </c>
      <c r="BD599" s="37"/>
      <c r="BE599" s="37"/>
      <c r="BF599" s="279"/>
      <c r="BG599" s="37"/>
      <c r="BH599" s="37"/>
      <c r="BI599" s="37"/>
      <c r="BJ599" s="283"/>
      <c r="BK599" s="161"/>
      <c r="BL599" s="294"/>
      <c r="BM599"/>
      <c r="BN599"/>
      <c r="BO599"/>
      <c r="BP599"/>
      <c r="BQ599"/>
      <c r="BR599"/>
      <c r="BS599"/>
      <c r="BT599"/>
      <c r="BU599"/>
      <c r="BV599"/>
      <c r="BW599"/>
      <c r="BX599"/>
      <c r="BY599"/>
      <c r="BZ599"/>
      <c r="CA599"/>
      <c r="CB599"/>
      <c r="CC599"/>
      <c r="CD599"/>
      <c r="CE599"/>
      <c r="CF599"/>
      <c r="CG599"/>
      <c r="CH599"/>
      <c r="CI599"/>
      <c r="CJ599"/>
    </row>
    <row r="600" spans="1:88" s="32" customFormat="1" ht="15" customHeight="1" x14ac:dyDescent="0.35">
      <c r="A600" s="473"/>
      <c r="B600" s="313">
        <v>93030</v>
      </c>
      <c r="C600" s="8" t="s">
        <v>962</v>
      </c>
      <c r="D600" s="18">
        <v>2</v>
      </c>
      <c r="E600" s="251">
        <v>2171</v>
      </c>
      <c r="F600" s="82">
        <v>2.4</v>
      </c>
      <c r="G600" s="79">
        <v>5210.3999999999996</v>
      </c>
      <c r="H600" s="90">
        <v>84.036000000000001</v>
      </c>
      <c r="I600" s="85">
        <v>72.962000000000003</v>
      </c>
      <c r="J600" s="85">
        <v>81.823999999999998</v>
      </c>
      <c r="K600" s="85">
        <v>80.257999999999996</v>
      </c>
      <c r="L600" s="85">
        <v>77.366</v>
      </c>
      <c r="M600" s="85">
        <v>80.283000000000001</v>
      </c>
      <c r="N600" s="85">
        <v>88.902000000000001</v>
      </c>
      <c r="O600" s="85">
        <v>86.406999999999996</v>
      </c>
      <c r="P600" s="85">
        <v>74.251000000000005</v>
      </c>
      <c r="Q600" s="85">
        <v>69.554000000000002</v>
      </c>
      <c r="R600" s="85">
        <v>66.692999999999998</v>
      </c>
      <c r="S600" s="89">
        <v>69.191999999999993</v>
      </c>
      <c r="T600" s="89">
        <v>931.72799999999995</v>
      </c>
      <c r="U600" s="85">
        <v>0</v>
      </c>
      <c r="V600" s="85">
        <v>0</v>
      </c>
      <c r="W600" s="85">
        <v>931.72799999999995</v>
      </c>
      <c r="X600" s="89">
        <v>931.72799999999995</v>
      </c>
      <c r="Y600" s="79">
        <v>0</v>
      </c>
      <c r="Z600" s="79">
        <v>0</v>
      </c>
      <c r="AA600" s="94">
        <v>1</v>
      </c>
      <c r="AB600" s="79">
        <v>1</v>
      </c>
      <c r="AC600" s="85">
        <v>487.33100000000002</v>
      </c>
      <c r="AD600" s="85">
        <v>141.26300000000001</v>
      </c>
      <c r="AE600" s="85">
        <v>303.13400000000001</v>
      </c>
      <c r="AF600" s="85">
        <v>0</v>
      </c>
      <c r="AG600" s="85">
        <v>931.72800000000007</v>
      </c>
      <c r="AH600" s="85">
        <v>0</v>
      </c>
      <c r="AI600" s="85">
        <v>0</v>
      </c>
      <c r="AJ600" s="85">
        <v>0</v>
      </c>
      <c r="AK600" s="85">
        <v>0</v>
      </c>
      <c r="AL600" s="85">
        <v>0</v>
      </c>
      <c r="AM600" s="85">
        <v>0</v>
      </c>
      <c r="AN600" s="85">
        <v>0</v>
      </c>
      <c r="AO600" s="85">
        <v>0</v>
      </c>
      <c r="AP600" s="85">
        <v>0</v>
      </c>
      <c r="AQ600" s="85">
        <v>0</v>
      </c>
      <c r="AR600" s="85">
        <v>0</v>
      </c>
      <c r="AS600" s="85">
        <v>0</v>
      </c>
      <c r="AT600" s="85">
        <v>0</v>
      </c>
      <c r="AU600" s="85">
        <v>0</v>
      </c>
      <c r="AV600" s="85">
        <v>0</v>
      </c>
      <c r="AW600" s="85">
        <v>0</v>
      </c>
      <c r="AX600" s="85">
        <v>0</v>
      </c>
      <c r="AY600" s="85">
        <v>931.72799999999995</v>
      </c>
      <c r="AZ600" s="85">
        <v>0</v>
      </c>
      <c r="BA600" s="85">
        <v>0</v>
      </c>
      <c r="BB600" s="89">
        <v>0</v>
      </c>
      <c r="BC600" s="89">
        <v>931.72799999999995</v>
      </c>
      <c r="BD600" s="37">
        <v>0</v>
      </c>
      <c r="BE600" s="37">
        <v>0</v>
      </c>
      <c r="BF600" s="279">
        <v>154807</v>
      </c>
      <c r="BG600" s="37">
        <v>216241</v>
      </c>
      <c r="BH600" s="37">
        <v>88065</v>
      </c>
      <c r="BI600" s="37">
        <v>0</v>
      </c>
      <c r="BJ600" s="283">
        <v>459113</v>
      </c>
      <c r="BK600" s="161" t="s">
        <v>2668</v>
      </c>
      <c r="BL600" s="294"/>
      <c r="BM600"/>
      <c r="BN600"/>
      <c r="BO600"/>
      <c r="BP600"/>
      <c r="BQ600"/>
      <c r="BR600"/>
      <c r="BS600"/>
      <c r="BT600"/>
      <c r="BU600"/>
      <c r="BV600"/>
      <c r="BW600"/>
      <c r="BX600"/>
      <c r="BY600"/>
      <c r="BZ600"/>
      <c r="CA600"/>
      <c r="CB600"/>
      <c r="CC600"/>
      <c r="CD600"/>
      <c r="CE600"/>
      <c r="CF600"/>
      <c r="CG600"/>
      <c r="CH600"/>
      <c r="CI600"/>
      <c r="CJ600"/>
    </row>
    <row r="601" spans="1:88" s="32" customFormat="1" ht="15" customHeight="1" x14ac:dyDescent="0.35">
      <c r="A601" s="473"/>
      <c r="B601" s="313">
        <v>85045</v>
      </c>
      <c r="C601" s="8" t="s">
        <v>877</v>
      </c>
      <c r="D601" s="18">
        <v>8</v>
      </c>
      <c r="E601" s="251">
        <v>256</v>
      </c>
      <c r="F601" s="82">
        <v>2.27</v>
      </c>
      <c r="G601" s="79">
        <v>581.12</v>
      </c>
      <c r="H601" s="90">
        <v>5.1029999999999998</v>
      </c>
      <c r="I601" s="85">
        <v>4.9210000000000003</v>
      </c>
      <c r="J601" s="85">
        <v>5.66</v>
      </c>
      <c r="K601" s="85">
        <v>5.5750000000000002</v>
      </c>
      <c r="L601" s="85">
        <v>5.4690000000000003</v>
      </c>
      <c r="M601" s="85">
        <v>5.899</v>
      </c>
      <c r="N601" s="85">
        <v>5.2629999999999999</v>
      </c>
      <c r="O601" s="85">
        <v>6.1479999999999997</v>
      </c>
      <c r="P601" s="85">
        <v>5.7889999999999997</v>
      </c>
      <c r="Q601" s="85">
        <v>6.0839999999999996</v>
      </c>
      <c r="R601" s="85">
        <v>5.9539999999999997</v>
      </c>
      <c r="S601" s="89">
        <v>5.282</v>
      </c>
      <c r="T601" s="89">
        <v>67.147000000000006</v>
      </c>
      <c r="U601" s="85">
        <v>0</v>
      </c>
      <c r="V601" s="85">
        <v>67.147000000000006</v>
      </c>
      <c r="W601" s="85">
        <v>0</v>
      </c>
      <c r="X601" s="89">
        <v>67.147000000000006</v>
      </c>
      <c r="Y601" s="79">
        <v>0</v>
      </c>
      <c r="Z601" s="79">
        <v>1</v>
      </c>
      <c r="AA601" s="94">
        <v>0</v>
      </c>
      <c r="AB601" s="79">
        <v>1</v>
      </c>
      <c r="AC601" s="85">
        <v>41.838999999999999</v>
      </c>
      <c r="AD601" s="85">
        <v>7.7119999999999997</v>
      </c>
      <c r="AE601" s="85">
        <v>17.596</v>
      </c>
      <c r="AF601" s="85">
        <v>0</v>
      </c>
      <c r="AG601" s="85">
        <v>67.147000000000006</v>
      </c>
      <c r="AH601" s="85">
        <v>0</v>
      </c>
      <c r="AI601" s="85">
        <v>0</v>
      </c>
      <c r="AJ601" s="85">
        <v>0</v>
      </c>
      <c r="AK601" s="85">
        <v>0</v>
      </c>
      <c r="AL601" s="85">
        <v>0</v>
      </c>
      <c r="AM601" s="85">
        <v>0</v>
      </c>
      <c r="AN601" s="85">
        <v>0</v>
      </c>
      <c r="AO601" s="85">
        <v>0</v>
      </c>
      <c r="AP601" s="85">
        <v>0</v>
      </c>
      <c r="AQ601" s="85">
        <v>0</v>
      </c>
      <c r="AR601" s="85">
        <v>0</v>
      </c>
      <c r="AS601" s="85">
        <v>0</v>
      </c>
      <c r="AT601" s="85">
        <v>0</v>
      </c>
      <c r="AU601" s="85">
        <v>0</v>
      </c>
      <c r="AV601" s="85">
        <v>0</v>
      </c>
      <c r="AW601" s="85">
        <v>0</v>
      </c>
      <c r="AX601" s="85">
        <v>0</v>
      </c>
      <c r="AY601" s="85">
        <v>0</v>
      </c>
      <c r="AZ601" s="85">
        <v>0</v>
      </c>
      <c r="BA601" s="85">
        <v>0</v>
      </c>
      <c r="BB601" s="89">
        <v>67.147000000000006</v>
      </c>
      <c r="BC601" s="89">
        <v>67.147000000000006</v>
      </c>
      <c r="BD601" s="37">
        <v>13016</v>
      </c>
      <c r="BE601" s="37">
        <v>546370</v>
      </c>
      <c r="BF601" s="279">
        <v>20049</v>
      </c>
      <c r="BG601" s="37">
        <v>33522</v>
      </c>
      <c r="BH601" s="37">
        <v>19283</v>
      </c>
      <c r="BI601" s="37">
        <v>2000</v>
      </c>
      <c r="BJ601" s="283">
        <v>74854</v>
      </c>
      <c r="BK601" s="161"/>
      <c r="BL601" s="294"/>
      <c r="BM601"/>
      <c r="BN601"/>
      <c r="BO601"/>
      <c r="BP601"/>
      <c r="BQ601"/>
      <c r="BR601"/>
      <c r="BS601"/>
      <c r="BT601"/>
      <c r="BU601"/>
      <c r="BV601"/>
      <c r="BW601"/>
      <c r="BX601"/>
      <c r="BY601"/>
      <c r="BZ601"/>
      <c r="CA601"/>
      <c r="CB601"/>
      <c r="CC601"/>
      <c r="CD601"/>
      <c r="CE601"/>
      <c r="CF601"/>
      <c r="CG601"/>
      <c r="CH601"/>
      <c r="CI601"/>
      <c r="CJ601"/>
    </row>
    <row r="602" spans="1:88" s="32" customFormat="1" ht="15" customHeight="1" x14ac:dyDescent="0.35">
      <c r="A602" s="473"/>
      <c r="B602" s="313">
        <v>14010</v>
      </c>
      <c r="C602" s="8" t="s">
        <v>61</v>
      </c>
      <c r="D602" s="18">
        <v>1</v>
      </c>
      <c r="E602" s="251"/>
      <c r="F602" s="82"/>
      <c r="G602" s="79"/>
      <c r="H602" s="90"/>
      <c r="I602" s="85"/>
      <c r="J602" s="85"/>
      <c r="K602" s="85"/>
      <c r="L602" s="85"/>
      <c r="M602" s="85"/>
      <c r="N602" s="85"/>
      <c r="O602" s="85"/>
      <c r="P602" s="85"/>
      <c r="Q602" s="85"/>
      <c r="R602" s="85"/>
      <c r="S602" s="89"/>
      <c r="T602" s="89" t="s">
        <v>1124</v>
      </c>
      <c r="U602" s="85"/>
      <c r="V602" s="85"/>
      <c r="W602" s="85"/>
      <c r="X602" s="89" t="s">
        <v>1124</v>
      </c>
      <c r="Y602" s="79"/>
      <c r="Z602" s="79"/>
      <c r="AA602" s="94"/>
      <c r="AB602" s="79" t="s">
        <v>1124</v>
      </c>
      <c r="AC602" s="85"/>
      <c r="AD602" s="85"/>
      <c r="AE602" s="85"/>
      <c r="AF602" s="85"/>
      <c r="AG602" s="85" t="s">
        <v>1124</v>
      </c>
      <c r="AH602" s="85"/>
      <c r="AI602" s="85"/>
      <c r="AJ602" s="85"/>
      <c r="AK602" s="85"/>
      <c r="AL602" s="85"/>
      <c r="AM602" s="85"/>
      <c r="AN602" s="85"/>
      <c r="AO602" s="85"/>
      <c r="AP602" s="85"/>
      <c r="AQ602" s="85"/>
      <c r="AR602" s="85" t="s">
        <v>1124</v>
      </c>
      <c r="AS602" s="85"/>
      <c r="AT602" s="85"/>
      <c r="AU602" s="85"/>
      <c r="AV602" s="85"/>
      <c r="AW602" s="85"/>
      <c r="AX602" s="85"/>
      <c r="AY602" s="85"/>
      <c r="AZ602" s="85"/>
      <c r="BA602" s="85"/>
      <c r="BB602" s="89"/>
      <c r="BC602" s="89" t="s">
        <v>1124</v>
      </c>
      <c r="BD602" s="37"/>
      <c r="BE602" s="37"/>
      <c r="BF602" s="279"/>
      <c r="BG602" s="37"/>
      <c r="BH602" s="37"/>
      <c r="BI602" s="37"/>
      <c r="BJ602" s="283"/>
      <c r="BK602" s="161"/>
      <c r="BL602" s="294"/>
      <c r="BM602"/>
      <c r="BN602"/>
      <c r="BO602"/>
      <c r="BP602"/>
      <c r="BQ602"/>
      <c r="BR602"/>
      <c r="BS602"/>
      <c r="BT602"/>
      <c r="BU602"/>
      <c r="BV602"/>
      <c r="BW602"/>
      <c r="BX602"/>
      <c r="BY602"/>
      <c r="BZ602"/>
      <c r="CA602"/>
      <c r="CB602"/>
      <c r="CC602"/>
      <c r="CD602"/>
      <c r="CE602"/>
      <c r="CF602"/>
      <c r="CG602"/>
      <c r="CH602"/>
      <c r="CI602"/>
      <c r="CJ602"/>
    </row>
    <row r="603" spans="1:88" s="32" customFormat="1" ht="15" customHeight="1" x14ac:dyDescent="0.35">
      <c r="A603" s="473"/>
      <c r="B603" s="313">
        <v>58037</v>
      </c>
      <c r="C603" s="8" t="s">
        <v>597</v>
      </c>
      <c r="D603" s="18">
        <v>16</v>
      </c>
      <c r="E603" s="251"/>
      <c r="F603" s="82"/>
      <c r="G603" s="79"/>
      <c r="H603" s="90"/>
      <c r="I603" s="85"/>
      <c r="J603" s="85"/>
      <c r="K603" s="85"/>
      <c r="L603" s="85"/>
      <c r="M603" s="85"/>
      <c r="N603" s="85"/>
      <c r="O603" s="85"/>
      <c r="P603" s="85"/>
      <c r="Q603" s="85"/>
      <c r="R603" s="85"/>
      <c r="S603" s="89"/>
      <c r="T603" s="89" t="s">
        <v>1124</v>
      </c>
      <c r="U603" s="85"/>
      <c r="V603" s="85"/>
      <c r="W603" s="85"/>
      <c r="X603" s="89" t="s">
        <v>1124</v>
      </c>
      <c r="Y603" s="79"/>
      <c r="Z603" s="79"/>
      <c r="AA603" s="94"/>
      <c r="AB603" s="79" t="s">
        <v>1124</v>
      </c>
      <c r="AC603" s="85"/>
      <c r="AD603" s="85"/>
      <c r="AE603" s="85"/>
      <c r="AF603" s="85"/>
      <c r="AG603" s="85" t="s">
        <v>1124</v>
      </c>
      <c r="AH603" s="85"/>
      <c r="AI603" s="85"/>
      <c r="AJ603" s="85"/>
      <c r="AK603" s="85"/>
      <c r="AL603" s="85"/>
      <c r="AM603" s="85"/>
      <c r="AN603" s="85"/>
      <c r="AO603" s="85"/>
      <c r="AP603" s="85"/>
      <c r="AQ603" s="85"/>
      <c r="AR603" s="85" t="s">
        <v>1124</v>
      </c>
      <c r="AS603" s="85"/>
      <c r="AT603" s="85"/>
      <c r="AU603" s="85"/>
      <c r="AV603" s="85"/>
      <c r="AW603" s="85"/>
      <c r="AX603" s="85"/>
      <c r="AY603" s="85"/>
      <c r="AZ603" s="85"/>
      <c r="BA603" s="85"/>
      <c r="BB603" s="89"/>
      <c r="BC603" s="89" t="s">
        <v>1124</v>
      </c>
      <c r="BD603" s="37"/>
      <c r="BE603" s="37"/>
      <c r="BF603" s="279"/>
      <c r="BG603" s="37"/>
      <c r="BH603" s="37"/>
      <c r="BI603" s="37"/>
      <c r="BJ603" s="283"/>
      <c r="BK603" s="161"/>
      <c r="BL603" s="294"/>
      <c r="BM603"/>
      <c r="BN603"/>
      <c r="BO603"/>
      <c r="BP603"/>
      <c r="BQ603"/>
      <c r="BR603"/>
      <c r="BS603"/>
      <c r="BT603"/>
      <c r="BU603"/>
      <c r="BV603"/>
      <c r="BW603"/>
      <c r="BX603"/>
      <c r="BY603"/>
      <c r="BZ603"/>
      <c r="CA603"/>
      <c r="CB603"/>
      <c r="CC603"/>
      <c r="CD603"/>
      <c r="CE603"/>
      <c r="CF603"/>
      <c r="CG603"/>
      <c r="CH603"/>
      <c r="CI603"/>
      <c r="CJ603"/>
    </row>
    <row r="604" spans="1:88" s="32" customFormat="1" ht="15" customHeight="1" x14ac:dyDescent="0.35">
      <c r="A604" s="473"/>
      <c r="B604" s="313">
        <v>63055</v>
      </c>
      <c r="C604" s="8" t="s">
        <v>641</v>
      </c>
      <c r="D604" s="18">
        <v>14</v>
      </c>
      <c r="E604" s="251">
        <v>573</v>
      </c>
      <c r="F604" s="82">
        <v>1.9392248062015505</v>
      </c>
      <c r="G604" s="79">
        <v>1111.1758139534884</v>
      </c>
      <c r="H604" s="90">
        <v>12.8</v>
      </c>
      <c r="I604" s="85">
        <v>12.933</v>
      </c>
      <c r="J604" s="85">
        <v>17.786999999999999</v>
      </c>
      <c r="K604" s="85">
        <v>17.053999999999998</v>
      </c>
      <c r="L604" s="85">
        <v>14.93</v>
      </c>
      <c r="M604" s="85">
        <v>15.003</v>
      </c>
      <c r="N604" s="85">
        <v>14.647</v>
      </c>
      <c r="O604" s="85">
        <v>13.303000000000001</v>
      </c>
      <c r="P604" s="85">
        <v>13.161</v>
      </c>
      <c r="Q604" s="85">
        <v>11.597</v>
      </c>
      <c r="R604" s="85">
        <v>11.686999999999999</v>
      </c>
      <c r="S604" s="89">
        <v>11.183999999999999</v>
      </c>
      <c r="T604" s="89">
        <v>166.08600000000001</v>
      </c>
      <c r="U604" s="85">
        <v>0</v>
      </c>
      <c r="V604" s="85">
        <v>166.08600000000001</v>
      </c>
      <c r="W604" s="85">
        <v>0</v>
      </c>
      <c r="X604" s="89">
        <v>166.08600000000001</v>
      </c>
      <c r="Y604" s="79">
        <v>0</v>
      </c>
      <c r="Z604" s="79">
        <v>1</v>
      </c>
      <c r="AA604" s="94">
        <v>0</v>
      </c>
      <c r="AB604" s="79">
        <v>1</v>
      </c>
      <c r="AC604" s="85">
        <v>112.069</v>
      </c>
      <c r="AD604" s="85">
        <v>13.052</v>
      </c>
      <c r="AE604" s="85">
        <v>40.965000000000003</v>
      </c>
      <c r="AF604" s="85">
        <v>0</v>
      </c>
      <c r="AG604" s="85">
        <v>166.08600000000001</v>
      </c>
      <c r="AH604" s="85">
        <v>0</v>
      </c>
      <c r="AI604" s="85">
        <v>0</v>
      </c>
      <c r="AJ604" s="85">
        <v>0</v>
      </c>
      <c r="AK604" s="85">
        <v>0</v>
      </c>
      <c r="AL604" s="85">
        <v>0</v>
      </c>
      <c r="AM604" s="85">
        <v>0</v>
      </c>
      <c r="AN604" s="85">
        <v>0</v>
      </c>
      <c r="AO604" s="85">
        <v>0</v>
      </c>
      <c r="AP604" s="85">
        <v>0</v>
      </c>
      <c r="AQ604" s="85">
        <v>0</v>
      </c>
      <c r="AR604" s="85">
        <v>0</v>
      </c>
      <c r="AS604" s="85">
        <v>0</v>
      </c>
      <c r="AT604" s="85">
        <v>0</v>
      </c>
      <c r="AU604" s="85">
        <v>166.08600000000001</v>
      </c>
      <c r="AV604" s="85">
        <v>0</v>
      </c>
      <c r="AW604" s="85">
        <v>0</v>
      </c>
      <c r="AX604" s="85">
        <v>0</v>
      </c>
      <c r="AY604" s="85">
        <v>0</v>
      </c>
      <c r="AZ604" s="85">
        <v>0</v>
      </c>
      <c r="BA604" s="85">
        <v>0</v>
      </c>
      <c r="BB604" s="89">
        <v>0</v>
      </c>
      <c r="BC604" s="89">
        <v>166.08600000000001</v>
      </c>
      <c r="BD604" s="37">
        <v>3539</v>
      </c>
      <c r="BE604" s="37">
        <v>0</v>
      </c>
      <c r="BF604" s="279">
        <v>13671</v>
      </c>
      <c r="BG604" s="37">
        <v>43430</v>
      </c>
      <c r="BH604" s="37">
        <v>29809</v>
      </c>
      <c r="BI604" s="37">
        <v>0</v>
      </c>
      <c r="BJ604" s="283">
        <v>86910</v>
      </c>
      <c r="BK604" s="161"/>
      <c r="BL604" s="294"/>
      <c r="BM604"/>
      <c r="BN604"/>
      <c r="BO604"/>
      <c r="BP604"/>
      <c r="BQ604"/>
      <c r="BR604"/>
      <c r="BS604"/>
      <c r="BT604"/>
      <c r="BU604"/>
      <c r="BV604"/>
      <c r="BW604"/>
      <c r="BX604"/>
      <c r="BY604"/>
      <c r="BZ604"/>
      <c r="CA604"/>
      <c r="CB604"/>
      <c r="CC604"/>
      <c r="CD604"/>
      <c r="CE604"/>
      <c r="CF604"/>
      <c r="CG604"/>
      <c r="CH604"/>
      <c r="CI604"/>
      <c r="CJ604"/>
    </row>
    <row r="605" spans="1:88" s="32" customFormat="1" ht="15" customHeight="1" x14ac:dyDescent="0.35">
      <c r="A605" s="473"/>
      <c r="B605" s="313">
        <v>40025</v>
      </c>
      <c r="C605" s="8" t="s">
        <v>361</v>
      </c>
      <c r="D605" s="18">
        <v>5</v>
      </c>
      <c r="E605" s="251"/>
      <c r="F605" s="82"/>
      <c r="G605" s="79"/>
      <c r="H605" s="90"/>
      <c r="I605" s="85"/>
      <c r="J605" s="85"/>
      <c r="K605" s="85"/>
      <c r="L605" s="85"/>
      <c r="M605" s="85"/>
      <c r="N605" s="85"/>
      <c r="O605" s="85"/>
      <c r="P605" s="85"/>
      <c r="Q605" s="85"/>
      <c r="R605" s="85"/>
      <c r="S605" s="89"/>
      <c r="T605" s="89" t="s">
        <v>1124</v>
      </c>
      <c r="U605" s="85"/>
      <c r="V605" s="85"/>
      <c r="W605" s="85"/>
      <c r="X605" s="89" t="s">
        <v>1124</v>
      </c>
      <c r="Y605" s="79"/>
      <c r="Z605" s="79"/>
      <c r="AA605" s="94"/>
      <c r="AB605" s="79" t="s">
        <v>1124</v>
      </c>
      <c r="AC605" s="85"/>
      <c r="AD605" s="85"/>
      <c r="AE605" s="85"/>
      <c r="AF605" s="85"/>
      <c r="AG605" s="85" t="s">
        <v>1124</v>
      </c>
      <c r="AH605" s="85"/>
      <c r="AI605" s="85"/>
      <c r="AJ605" s="85"/>
      <c r="AK605" s="85"/>
      <c r="AL605" s="85"/>
      <c r="AM605" s="85"/>
      <c r="AN605" s="85"/>
      <c r="AO605" s="85"/>
      <c r="AP605" s="85"/>
      <c r="AQ605" s="85"/>
      <c r="AR605" s="85" t="s">
        <v>1124</v>
      </c>
      <c r="AS605" s="85"/>
      <c r="AT605" s="85"/>
      <c r="AU605" s="85"/>
      <c r="AV605" s="85"/>
      <c r="AW605" s="85"/>
      <c r="AX605" s="85"/>
      <c r="AY605" s="85"/>
      <c r="AZ605" s="85"/>
      <c r="BA605" s="85"/>
      <c r="BB605" s="89"/>
      <c r="BC605" s="89" t="s">
        <v>1124</v>
      </c>
      <c r="BD605" s="37"/>
      <c r="BE605" s="37"/>
      <c r="BF605" s="279"/>
      <c r="BG605" s="37"/>
      <c r="BH605" s="37"/>
      <c r="BI605" s="37"/>
      <c r="BJ605" s="283"/>
      <c r="BK605" s="161"/>
      <c r="BL605" s="294"/>
      <c r="BM605"/>
      <c r="BN605"/>
      <c r="BO605"/>
      <c r="BP605"/>
      <c r="BQ605"/>
      <c r="BR605"/>
      <c r="BS605"/>
      <c r="BT605"/>
      <c r="BU605"/>
      <c r="BV605"/>
      <c r="BW605"/>
      <c r="BX605"/>
      <c r="BY605"/>
      <c r="BZ605"/>
      <c r="CA605"/>
      <c r="CB605"/>
      <c r="CC605"/>
      <c r="CD605"/>
      <c r="CE605"/>
      <c r="CF605"/>
      <c r="CG605"/>
      <c r="CH605"/>
      <c r="CI605"/>
      <c r="CJ605"/>
    </row>
    <row r="606" spans="1:88" s="32" customFormat="1" ht="15" customHeight="1" x14ac:dyDescent="0.35">
      <c r="A606" s="473"/>
      <c r="B606" s="313">
        <v>28070</v>
      </c>
      <c r="C606" s="8" t="s">
        <v>199</v>
      </c>
      <c r="D606" s="18">
        <v>12</v>
      </c>
      <c r="E606" s="251"/>
      <c r="F606" s="82"/>
      <c r="G606" s="79"/>
      <c r="H606" s="90"/>
      <c r="I606" s="85"/>
      <c r="J606" s="85"/>
      <c r="K606" s="85"/>
      <c r="L606" s="85"/>
      <c r="M606" s="85"/>
      <c r="N606" s="85"/>
      <c r="O606" s="85"/>
      <c r="P606" s="85"/>
      <c r="Q606" s="85"/>
      <c r="R606" s="85"/>
      <c r="S606" s="89"/>
      <c r="T606" s="89" t="s">
        <v>1124</v>
      </c>
      <c r="U606" s="85"/>
      <c r="V606" s="85"/>
      <c r="W606" s="85"/>
      <c r="X606" s="89" t="s">
        <v>1124</v>
      </c>
      <c r="Y606" s="79"/>
      <c r="Z606" s="79"/>
      <c r="AA606" s="94"/>
      <c r="AB606" s="79" t="s">
        <v>1124</v>
      </c>
      <c r="AC606" s="85"/>
      <c r="AD606" s="85"/>
      <c r="AE606" s="85"/>
      <c r="AF606" s="85"/>
      <c r="AG606" s="85" t="s">
        <v>1124</v>
      </c>
      <c r="AH606" s="85"/>
      <c r="AI606" s="85"/>
      <c r="AJ606" s="85"/>
      <c r="AK606" s="85"/>
      <c r="AL606" s="85"/>
      <c r="AM606" s="85"/>
      <c r="AN606" s="85"/>
      <c r="AO606" s="85"/>
      <c r="AP606" s="85"/>
      <c r="AQ606" s="85"/>
      <c r="AR606" s="85" t="s">
        <v>1124</v>
      </c>
      <c r="AS606" s="85"/>
      <c r="AT606" s="85"/>
      <c r="AU606" s="85"/>
      <c r="AV606" s="85"/>
      <c r="AW606" s="85"/>
      <c r="AX606" s="85"/>
      <c r="AY606" s="85"/>
      <c r="AZ606" s="85"/>
      <c r="BA606" s="85"/>
      <c r="BB606" s="89"/>
      <c r="BC606" s="89" t="s">
        <v>1124</v>
      </c>
      <c r="BD606" s="37"/>
      <c r="BE606" s="37"/>
      <c r="BF606" s="279"/>
      <c r="BG606" s="37"/>
      <c r="BH606" s="37"/>
      <c r="BI606" s="37"/>
      <c r="BJ606" s="283"/>
      <c r="BK606" s="161"/>
      <c r="BL606" s="294"/>
      <c r="BM606"/>
      <c r="BN606"/>
      <c r="BO606"/>
      <c r="BP606"/>
      <c r="BQ606"/>
      <c r="BR606"/>
      <c r="BS606"/>
      <c r="BT606"/>
      <c r="BU606"/>
      <c r="BV606"/>
      <c r="BW606"/>
      <c r="BX606"/>
      <c r="BY606"/>
      <c r="BZ606"/>
      <c r="CA606"/>
      <c r="CB606"/>
      <c r="CC606"/>
      <c r="CD606"/>
      <c r="CE606"/>
      <c r="CF606"/>
      <c r="CG606"/>
      <c r="CH606"/>
      <c r="CI606"/>
      <c r="CJ606"/>
    </row>
    <row r="607" spans="1:88" s="32" customFormat="1" ht="15" customHeight="1" x14ac:dyDescent="0.35">
      <c r="A607" s="473"/>
      <c r="B607" s="313">
        <v>34078</v>
      </c>
      <c r="C607" s="8" t="s">
        <v>294</v>
      </c>
      <c r="D607" s="18">
        <v>3</v>
      </c>
      <c r="E607" s="251">
        <v>769</v>
      </c>
      <c r="F607" s="82">
        <v>1.8461538461538463</v>
      </c>
      <c r="G607" s="79">
        <v>1419.6923076923078</v>
      </c>
      <c r="H607" s="90">
        <v>18.804500000000001</v>
      </c>
      <c r="I607" s="85">
        <v>16.556799999999996</v>
      </c>
      <c r="J607" s="85">
        <v>16.510300000000001</v>
      </c>
      <c r="K607" s="85">
        <v>14.4261</v>
      </c>
      <c r="L607" s="85">
        <v>18.852600000000002</v>
      </c>
      <c r="M607" s="85">
        <v>21.706500000000002</v>
      </c>
      <c r="N607" s="85">
        <v>19.206699999999998</v>
      </c>
      <c r="O607" s="85">
        <v>17.905099999999997</v>
      </c>
      <c r="P607" s="85">
        <v>17.438600000000001</v>
      </c>
      <c r="Q607" s="85">
        <v>18.764900000000001</v>
      </c>
      <c r="R607" s="85">
        <v>18.386200000000002</v>
      </c>
      <c r="S607" s="89">
        <v>20.837900000000001</v>
      </c>
      <c r="T607" s="89">
        <v>219.39620000000002</v>
      </c>
      <c r="U607" s="85">
        <v>219.39599999999999</v>
      </c>
      <c r="V607" s="85">
        <v>0</v>
      </c>
      <c r="W607" s="85">
        <v>0</v>
      </c>
      <c r="X607" s="89">
        <v>219.39599999999999</v>
      </c>
      <c r="Y607" s="79">
        <v>2</v>
      </c>
      <c r="Z607" s="79">
        <v>0</v>
      </c>
      <c r="AA607" s="94">
        <v>0</v>
      </c>
      <c r="AB607" s="79">
        <v>2</v>
      </c>
      <c r="AC607" s="85">
        <v>182.96756500000001</v>
      </c>
      <c r="AD607" s="85">
        <v>22.377892975000044</v>
      </c>
      <c r="AE607" s="85">
        <v>14.050742024999971</v>
      </c>
      <c r="AF607" s="85">
        <v>0</v>
      </c>
      <c r="AG607" s="85">
        <v>219.39620000000002</v>
      </c>
      <c r="AH607" s="85">
        <v>195.423</v>
      </c>
      <c r="AI607" s="85">
        <v>0</v>
      </c>
      <c r="AJ607" s="85">
        <v>0</v>
      </c>
      <c r="AK607" s="85">
        <v>0</v>
      </c>
      <c r="AL607" s="85">
        <v>23.972999999999999</v>
      </c>
      <c r="AM607" s="85">
        <v>0</v>
      </c>
      <c r="AN607" s="85">
        <v>0</v>
      </c>
      <c r="AO607" s="85">
        <v>0</v>
      </c>
      <c r="AP607" s="85">
        <v>0</v>
      </c>
      <c r="AQ607" s="85">
        <v>0</v>
      </c>
      <c r="AR607" s="85">
        <v>219.39600000000002</v>
      </c>
      <c r="AS607" s="85">
        <v>0</v>
      </c>
      <c r="AT607" s="85">
        <v>0</v>
      </c>
      <c r="AU607" s="85">
        <v>0</v>
      </c>
      <c r="AV607" s="85">
        <v>0</v>
      </c>
      <c r="AW607" s="85">
        <v>0</v>
      </c>
      <c r="AX607" s="85">
        <v>0</v>
      </c>
      <c r="AY607" s="85">
        <v>0</v>
      </c>
      <c r="AZ607" s="85">
        <v>0</v>
      </c>
      <c r="BA607" s="85">
        <v>0</v>
      </c>
      <c r="BB607" s="89">
        <v>0</v>
      </c>
      <c r="BC607" s="89">
        <v>0</v>
      </c>
      <c r="BD607" s="37">
        <v>0</v>
      </c>
      <c r="BE607" s="37">
        <v>0</v>
      </c>
      <c r="BF607" s="279">
        <v>114288</v>
      </c>
      <c r="BG607" s="37">
        <v>79631</v>
      </c>
      <c r="BH607" s="37">
        <v>39400</v>
      </c>
      <c r="BI607" s="37">
        <v>27489</v>
      </c>
      <c r="BJ607" s="283">
        <v>260808</v>
      </c>
      <c r="BK607" s="161"/>
      <c r="BL607" s="294"/>
      <c r="BM607"/>
      <c r="BN607"/>
      <c r="BO607"/>
      <c r="BP607"/>
      <c r="BQ607"/>
      <c r="BR607"/>
      <c r="BS607"/>
      <c r="BT607"/>
      <c r="BU607"/>
      <c r="BV607"/>
      <c r="BW607"/>
      <c r="BX607"/>
      <c r="BY607"/>
      <c r="BZ607"/>
      <c r="CA607"/>
      <c r="CB607"/>
      <c r="CC607"/>
      <c r="CD607"/>
      <c r="CE607"/>
      <c r="CF607"/>
      <c r="CG607"/>
      <c r="CH607"/>
      <c r="CI607"/>
      <c r="CJ607"/>
    </row>
    <row r="608" spans="1:88" s="32" customFormat="1" ht="15" customHeight="1" x14ac:dyDescent="0.35">
      <c r="A608" s="473"/>
      <c r="B608" s="313">
        <v>50035</v>
      </c>
      <c r="C608" s="8" t="s">
        <v>486</v>
      </c>
      <c r="D608" s="18">
        <v>17</v>
      </c>
      <c r="E608" s="251"/>
      <c r="F608" s="82"/>
      <c r="G608" s="79"/>
      <c r="H608" s="90"/>
      <c r="I608" s="85"/>
      <c r="J608" s="85"/>
      <c r="K608" s="85"/>
      <c r="L608" s="85"/>
      <c r="M608" s="85"/>
      <c r="N608" s="85"/>
      <c r="O608" s="85"/>
      <c r="P608" s="85"/>
      <c r="Q608" s="85"/>
      <c r="R608" s="85"/>
      <c r="S608" s="89"/>
      <c r="T608" s="89" t="s">
        <v>1124</v>
      </c>
      <c r="U608" s="85"/>
      <c r="V608" s="85"/>
      <c r="W608" s="85"/>
      <c r="X608" s="89" t="s">
        <v>1124</v>
      </c>
      <c r="Y608" s="79"/>
      <c r="Z608" s="79"/>
      <c r="AA608" s="94"/>
      <c r="AB608" s="79" t="s">
        <v>1124</v>
      </c>
      <c r="AC608" s="85"/>
      <c r="AD608" s="85"/>
      <c r="AE608" s="85"/>
      <c r="AF608" s="85"/>
      <c r="AG608" s="85" t="s">
        <v>1124</v>
      </c>
      <c r="AH608" s="85"/>
      <c r="AI608" s="85"/>
      <c r="AJ608" s="85"/>
      <c r="AK608" s="85"/>
      <c r="AL608" s="85"/>
      <c r="AM608" s="85"/>
      <c r="AN608" s="85"/>
      <c r="AO608" s="85"/>
      <c r="AP608" s="85"/>
      <c r="AQ608" s="85"/>
      <c r="AR608" s="85" t="s">
        <v>1124</v>
      </c>
      <c r="AS608" s="85"/>
      <c r="AT608" s="85"/>
      <c r="AU608" s="85"/>
      <c r="AV608" s="85"/>
      <c r="AW608" s="85"/>
      <c r="AX608" s="85"/>
      <c r="AY608" s="85"/>
      <c r="AZ608" s="85"/>
      <c r="BA608" s="85"/>
      <c r="BB608" s="89"/>
      <c r="BC608" s="89" t="s">
        <v>1124</v>
      </c>
      <c r="BD608" s="37"/>
      <c r="BE608" s="37"/>
      <c r="BF608" s="279"/>
      <c r="BG608" s="37"/>
      <c r="BH608" s="37"/>
      <c r="BI608" s="37"/>
      <c r="BJ608" s="283"/>
      <c r="BK608" s="161"/>
      <c r="BL608" s="294"/>
      <c r="BM608"/>
      <c r="BN608"/>
      <c r="BO608"/>
      <c r="BP608"/>
      <c r="BQ608"/>
      <c r="BR608"/>
      <c r="BS608"/>
      <c r="BT608"/>
      <c r="BU608"/>
      <c r="BV608"/>
      <c r="BW608"/>
      <c r="BX608"/>
      <c r="BY608"/>
      <c r="BZ608"/>
      <c r="CA608"/>
      <c r="CB608"/>
      <c r="CC608"/>
      <c r="CD608"/>
      <c r="CE608"/>
      <c r="CF608"/>
      <c r="CG608"/>
      <c r="CH608"/>
      <c r="CI608"/>
      <c r="CJ608"/>
    </row>
    <row r="609" spans="1:88" s="32" customFormat="1" ht="15" customHeight="1" x14ac:dyDescent="0.35">
      <c r="A609" s="473"/>
      <c r="B609" s="313">
        <v>50030</v>
      </c>
      <c r="C609" s="8" t="s">
        <v>485</v>
      </c>
      <c r="D609" s="18">
        <v>17</v>
      </c>
      <c r="E609" s="251"/>
      <c r="F609" s="82"/>
      <c r="G609" s="79"/>
      <c r="H609" s="90"/>
      <c r="I609" s="85"/>
      <c r="J609" s="85"/>
      <c r="K609" s="85"/>
      <c r="L609" s="85"/>
      <c r="M609" s="85"/>
      <c r="N609" s="85"/>
      <c r="O609" s="85"/>
      <c r="P609" s="85"/>
      <c r="Q609" s="85"/>
      <c r="R609" s="85"/>
      <c r="S609" s="89"/>
      <c r="T609" s="89" t="s">
        <v>1124</v>
      </c>
      <c r="U609" s="85"/>
      <c r="V609" s="85"/>
      <c r="W609" s="85"/>
      <c r="X609" s="89" t="s">
        <v>1124</v>
      </c>
      <c r="Y609" s="79"/>
      <c r="Z609" s="79"/>
      <c r="AA609" s="94"/>
      <c r="AB609" s="79" t="s">
        <v>1124</v>
      </c>
      <c r="AC609" s="85"/>
      <c r="AD609" s="85"/>
      <c r="AE609" s="85"/>
      <c r="AF609" s="85"/>
      <c r="AG609" s="85" t="s">
        <v>1124</v>
      </c>
      <c r="AH609" s="85"/>
      <c r="AI609" s="85"/>
      <c r="AJ609" s="85"/>
      <c r="AK609" s="85"/>
      <c r="AL609" s="85"/>
      <c r="AM609" s="85"/>
      <c r="AN609" s="85"/>
      <c r="AO609" s="85"/>
      <c r="AP609" s="85"/>
      <c r="AQ609" s="85"/>
      <c r="AR609" s="85" t="s">
        <v>1124</v>
      </c>
      <c r="AS609" s="85"/>
      <c r="AT609" s="85"/>
      <c r="AU609" s="85"/>
      <c r="AV609" s="85"/>
      <c r="AW609" s="85"/>
      <c r="AX609" s="85"/>
      <c r="AY609" s="85"/>
      <c r="AZ609" s="85"/>
      <c r="BA609" s="85"/>
      <c r="BB609" s="89"/>
      <c r="BC609" s="89" t="s">
        <v>1124</v>
      </c>
      <c r="BD609" s="37"/>
      <c r="BE609" s="37"/>
      <c r="BF609" s="279"/>
      <c r="BG609" s="37"/>
      <c r="BH609" s="37"/>
      <c r="BI609" s="37"/>
      <c r="BJ609" s="283"/>
      <c r="BK609" s="161"/>
      <c r="BL609" s="294"/>
      <c r="BM609"/>
      <c r="BN609"/>
      <c r="BO609"/>
      <c r="BP609"/>
      <c r="BQ609"/>
      <c r="BR609"/>
      <c r="BS609"/>
      <c r="BT609"/>
      <c r="BU609"/>
      <c r="BV609"/>
      <c r="BW609"/>
      <c r="BX609"/>
      <c r="BY609"/>
      <c r="BZ609"/>
      <c r="CA609"/>
      <c r="CB609"/>
      <c r="CC609"/>
      <c r="CD609"/>
      <c r="CE609"/>
      <c r="CF609"/>
      <c r="CG609"/>
      <c r="CH609"/>
      <c r="CI609"/>
      <c r="CJ609"/>
    </row>
    <row r="610" spans="1:88" s="32" customFormat="1" ht="15" customHeight="1" x14ac:dyDescent="0.35">
      <c r="A610" s="473"/>
      <c r="B610" s="313">
        <v>55023</v>
      </c>
      <c r="C610" s="8" t="s">
        <v>561</v>
      </c>
      <c r="D610" s="18">
        <v>16</v>
      </c>
      <c r="E610" s="251">
        <v>2543</v>
      </c>
      <c r="F610" s="82">
        <v>2.3609678698928995</v>
      </c>
      <c r="G610" s="79">
        <v>6003.9412931376437</v>
      </c>
      <c r="H610" s="90">
        <v>65.152000000000001</v>
      </c>
      <c r="I610" s="85">
        <v>54.582000000000001</v>
      </c>
      <c r="J610" s="85">
        <v>60.462000000000003</v>
      </c>
      <c r="K610" s="85">
        <v>62.405999999999999</v>
      </c>
      <c r="L610" s="85">
        <v>70.096999999999994</v>
      </c>
      <c r="M610" s="85">
        <v>71.819000000000003</v>
      </c>
      <c r="N610" s="85">
        <v>78.936000000000007</v>
      </c>
      <c r="O610" s="85">
        <v>83.814999999999998</v>
      </c>
      <c r="P610" s="85">
        <v>80.551000000000002</v>
      </c>
      <c r="Q610" s="85">
        <v>80.551000000000002</v>
      </c>
      <c r="R610" s="85">
        <v>69.004999999999995</v>
      </c>
      <c r="S610" s="89">
        <v>66.641000000000005</v>
      </c>
      <c r="T610" s="89">
        <v>844.01700000000005</v>
      </c>
      <c r="U610" s="85">
        <v>0</v>
      </c>
      <c r="V610" s="85">
        <v>844.01700000000005</v>
      </c>
      <c r="W610" s="85">
        <v>0</v>
      </c>
      <c r="X610" s="89">
        <v>844.01700000000005</v>
      </c>
      <c r="Y610" s="79">
        <v>0</v>
      </c>
      <c r="Z610" s="79">
        <v>1</v>
      </c>
      <c r="AA610" s="94">
        <v>0</v>
      </c>
      <c r="AB610" s="79">
        <v>1</v>
      </c>
      <c r="AC610" s="85">
        <v>365.65600000000006</v>
      </c>
      <c r="AD610" s="85">
        <v>364.048</v>
      </c>
      <c r="AE610" s="85">
        <v>114.313</v>
      </c>
      <c r="AF610" s="85">
        <v>0</v>
      </c>
      <c r="AG610" s="85">
        <v>844.01700000000005</v>
      </c>
      <c r="AH610" s="85">
        <v>0</v>
      </c>
      <c r="AI610" s="85">
        <v>0</v>
      </c>
      <c r="AJ610" s="85">
        <v>0</v>
      </c>
      <c r="AK610" s="85">
        <v>0</v>
      </c>
      <c r="AL610" s="85">
        <v>0</v>
      </c>
      <c r="AM610" s="85">
        <v>0</v>
      </c>
      <c r="AN610" s="85">
        <v>0</v>
      </c>
      <c r="AO610" s="85">
        <v>0</v>
      </c>
      <c r="AP610" s="85">
        <v>0</v>
      </c>
      <c r="AQ610" s="85">
        <v>0</v>
      </c>
      <c r="AR610" s="85">
        <v>0</v>
      </c>
      <c r="AS610" s="85">
        <v>0</v>
      </c>
      <c r="AT610" s="85">
        <v>0</v>
      </c>
      <c r="AU610" s="85">
        <v>0</v>
      </c>
      <c r="AV610" s="85">
        <v>0</v>
      </c>
      <c r="AW610" s="85">
        <v>0</v>
      </c>
      <c r="AX610" s="85">
        <v>0</v>
      </c>
      <c r="AY610" s="85">
        <v>844.01700000000005</v>
      </c>
      <c r="AZ610" s="85">
        <v>0</v>
      </c>
      <c r="BA610" s="85">
        <v>0</v>
      </c>
      <c r="BB610" s="89">
        <v>0</v>
      </c>
      <c r="BC610" s="89">
        <v>844.01700000000005</v>
      </c>
      <c r="BD610" s="37" t="s">
        <v>1725</v>
      </c>
      <c r="BE610" s="37">
        <v>0</v>
      </c>
      <c r="BF610" s="279">
        <v>4067</v>
      </c>
      <c r="BG610" s="37">
        <v>85617</v>
      </c>
      <c r="BH610" s="37">
        <v>70014</v>
      </c>
      <c r="BI610" s="37">
        <v>0</v>
      </c>
      <c r="BJ610" s="283">
        <v>159698</v>
      </c>
      <c r="BK610" s="161" t="s">
        <v>2686</v>
      </c>
      <c r="BL610" s="294"/>
      <c r="BM610"/>
      <c r="BN610"/>
      <c r="BO610"/>
      <c r="BP610"/>
      <c r="BQ610"/>
      <c r="BR610"/>
      <c r="BS610"/>
      <c r="BT610"/>
      <c r="BU610"/>
      <c r="BV610"/>
      <c r="BW610"/>
      <c r="BX610"/>
      <c r="BY610"/>
      <c r="BZ610"/>
      <c r="CA610"/>
      <c r="CB610"/>
      <c r="CC610"/>
      <c r="CD610"/>
      <c r="CE610"/>
      <c r="CF610"/>
      <c r="CG610"/>
      <c r="CH610"/>
      <c r="CI610"/>
      <c r="CJ610"/>
    </row>
    <row r="611" spans="1:88" s="32" customFormat="1" ht="15" customHeight="1" x14ac:dyDescent="0.35">
      <c r="A611" s="473"/>
      <c r="B611" s="313">
        <v>61035</v>
      </c>
      <c r="C611" s="8" t="s">
        <v>615</v>
      </c>
      <c r="D611" s="18">
        <v>14</v>
      </c>
      <c r="E611" s="251">
        <v>7177</v>
      </c>
      <c r="F611" s="82">
        <v>2.0631792493841474</v>
      </c>
      <c r="G611" s="79">
        <v>14807.437472830026</v>
      </c>
      <c r="H611" s="90">
        <v>141.77099999999999</v>
      </c>
      <c r="I611" s="85">
        <v>131.565</v>
      </c>
      <c r="J611" s="85">
        <v>138.11000000000001</v>
      </c>
      <c r="K611" s="85">
        <v>137.96700000000001</v>
      </c>
      <c r="L611" s="85">
        <v>170.202</v>
      </c>
      <c r="M611" s="85">
        <v>196.19399999999999</v>
      </c>
      <c r="N611" s="85">
        <v>230.60599999999999</v>
      </c>
      <c r="O611" s="85">
        <v>221.31</v>
      </c>
      <c r="P611" s="85">
        <v>170.244</v>
      </c>
      <c r="Q611" s="85">
        <v>138.66200000000001</v>
      </c>
      <c r="R611" s="85">
        <v>126.73699999999999</v>
      </c>
      <c r="S611" s="89">
        <v>130.74</v>
      </c>
      <c r="T611" s="89">
        <v>1934.1079999999999</v>
      </c>
      <c r="U611" s="85">
        <v>1484.7729999999999</v>
      </c>
      <c r="V611" s="85">
        <v>449.33499999999998</v>
      </c>
      <c r="W611" s="85">
        <v>0</v>
      </c>
      <c r="X611" s="89">
        <v>1934.1079999999999</v>
      </c>
      <c r="Y611" s="79">
        <v>1</v>
      </c>
      <c r="Z611" s="79">
        <v>7</v>
      </c>
      <c r="AA611" s="94">
        <v>0</v>
      </c>
      <c r="AB611" s="79">
        <v>8</v>
      </c>
      <c r="AC611" s="85">
        <v>922.21299999999997</v>
      </c>
      <c r="AD611" s="85">
        <v>740.06599999999992</v>
      </c>
      <c r="AE611" s="85">
        <v>94.603999999999999</v>
      </c>
      <c r="AF611" s="85">
        <v>177.22499999999999</v>
      </c>
      <c r="AG611" s="85">
        <v>1934.1079999999999</v>
      </c>
      <c r="AH611" s="85">
        <v>1484.7729999999999</v>
      </c>
      <c r="AI611" s="85">
        <v>0</v>
      </c>
      <c r="AJ611" s="85">
        <v>0</v>
      </c>
      <c r="AK611" s="85">
        <v>0</v>
      </c>
      <c r="AL611" s="85">
        <v>0</v>
      </c>
      <c r="AM611" s="85">
        <v>0</v>
      </c>
      <c r="AN611" s="85">
        <v>0</v>
      </c>
      <c r="AO611" s="85">
        <v>0</v>
      </c>
      <c r="AP611" s="85">
        <v>0</v>
      </c>
      <c r="AQ611" s="85">
        <v>0</v>
      </c>
      <c r="AR611" s="85">
        <v>1484.7729999999999</v>
      </c>
      <c r="AS611" s="85">
        <v>449.33499999999998</v>
      </c>
      <c r="AT611" s="85">
        <v>0</v>
      </c>
      <c r="AU611" s="85">
        <v>0</v>
      </c>
      <c r="AV611" s="85">
        <v>0</v>
      </c>
      <c r="AW611" s="85">
        <v>0</v>
      </c>
      <c r="AX611" s="85">
        <v>0</v>
      </c>
      <c r="AY611" s="85">
        <v>0</v>
      </c>
      <c r="AZ611" s="85">
        <v>0</v>
      </c>
      <c r="BA611" s="85">
        <v>0</v>
      </c>
      <c r="BB611" s="89">
        <v>0</v>
      </c>
      <c r="BC611" s="89">
        <v>449.33499999999998</v>
      </c>
      <c r="BD611" s="37">
        <v>0</v>
      </c>
      <c r="BE611" s="37">
        <v>0</v>
      </c>
      <c r="BF611" s="279">
        <v>296444</v>
      </c>
      <c r="BG611" s="37">
        <v>266920</v>
      </c>
      <c r="BH611" s="37">
        <v>187488</v>
      </c>
      <c r="BI611" s="37">
        <v>17295</v>
      </c>
      <c r="BJ611" s="283">
        <v>768147</v>
      </c>
      <c r="BK611" s="161"/>
      <c r="BL611" s="294"/>
      <c r="BM611"/>
      <c r="BN611"/>
      <c r="BO611"/>
      <c r="BP611"/>
      <c r="BQ611"/>
      <c r="BR611"/>
      <c r="BS611"/>
      <c r="BT611"/>
      <c r="BU611"/>
      <c r="BV611"/>
      <c r="BW611"/>
      <c r="BX611"/>
      <c r="BY611"/>
      <c r="BZ611"/>
      <c r="CA611"/>
      <c r="CB611"/>
      <c r="CC611"/>
      <c r="CD611"/>
      <c r="CE611"/>
      <c r="CF611"/>
      <c r="CG611"/>
      <c r="CH611"/>
      <c r="CI611"/>
      <c r="CJ611"/>
    </row>
    <row r="612" spans="1:88" s="32" customFormat="1" ht="15" customHeight="1" x14ac:dyDescent="0.35">
      <c r="A612" s="473"/>
      <c r="B612" s="313">
        <v>19097</v>
      </c>
      <c r="C612" s="8" t="s">
        <v>134</v>
      </c>
      <c r="D612" s="18">
        <v>12</v>
      </c>
      <c r="E612" s="251">
        <v>734</v>
      </c>
      <c r="F612" s="82">
        <v>2.330834114339269</v>
      </c>
      <c r="G612" s="79">
        <v>1710.8322399250235</v>
      </c>
      <c r="H612" s="90">
        <v>23.606000000000002</v>
      </c>
      <c r="I612" s="85">
        <v>19.052</v>
      </c>
      <c r="J612" s="85">
        <v>22.155999999999999</v>
      </c>
      <c r="K612" s="85">
        <v>20.658000000000001</v>
      </c>
      <c r="L612" s="85">
        <v>21.382999999999999</v>
      </c>
      <c r="M612" s="85">
        <v>19.859000000000002</v>
      </c>
      <c r="N612" s="85">
        <v>20.884</v>
      </c>
      <c r="O612" s="85">
        <v>19.844000000000001</v>
      </c>
      <c r="P612" s="85">
        <v>17.698</v>
      </c>
      <c r="Q612" s="85">
        <v>16.641999999999999</v>
      </c>
      <c r="R612" s="85">
        <v>15.837999999999999</v>
      </c>
      <c r="S612" s="89">
        <v>20.111000000000001</v>
      </c>
      <c r="T612" s="89">
        <v>237.73099999999999</v>
      </c>
      <c r="U612" s="85">
        <v>0</v>
      </c>
      <c r="V612" s="85">
        <v>237.73099999999999</v>
      </c>
      <c r="W612" s="85">
        <v>0</v>
      </c>
      <c r="X612" s="89">
        <v>237.73099999999999</v>
      </c>
      <c r="Y612" s="79">
        <v>0</v>
      </c>
      <c r="Z612" s="79">
        <v>1</v>
      </c>
      <c r="AA612" s="94">
        <v>0</v>
      </c>
      <c r="AB612" s="79">
        <v>1</v>
      </c>
      <c r="AC612" s="85">
        <v>102.867</v>
      </c>
      <c r="AD612" s="85">
        <v>22.487763144329875</v>
      </c>
      <c r="AE612" s="85">
        <v>112.3762368556701</v>
      </c>
      <c r="AF612" s="85">
        <v>0</v>
      </c>
      <c r="AG612" s="85">
        <v>237.73099999999999</v>
      </c>
      <c r="AH612" s="85">
        <v>0</v>
      </c>
      <c r="AI612" s="85">
        <v>0</v>
      </c>
      <c r="AJ612" s="85">
        <v>0</v>
      </c>
      <c r="AK612" s="85">
        <v>0</v>
      </c>
      <c r="AL612" s="85">
        <v>0</v>
      </c>
      <c r="AM612" s="85">
        <v>0</v>
      </c>
      <c r="AN612" s="85">
        <v>0</v>
      </c>
      <c r="AO612" s="85">
        <v>0</v>
      </c>
      <c r="AP612" s="85">
        <v>0</v>
      </c>
      <c r="AQ612" s="85">
        <v>0</v>
      </c>
      <c r="AR612" s="85">
        <v>0</v>
      </c>
      <c r="AS612" s="85">
        <v>0</v>
      </c>
      <c r="AT612" s="85">
        <v>0</v>
      </c>
      <c r="AU612" s="85">
        <v>237.73099999999999</v>
      </c>
      <c r="AV612" s="85">
        <v>0</v>
      </c>
      <c r="AW612" s="85">
        <v>0</v>
      </c>
      <c r="AX612" s="85">
        <v>0</v>
      </c>
      <c r="AY612" s="85">
        <v>0</v>
      </c>
      <c r="AZ612" s="85">
        <v>0</v>
      </c>
      <c r="BA612" s="85">
        <v>0</v>
      </c>
      <c r="BB612" s="89">
        <v>0</v>
      </c>
      <c r="BC612" s="89">
        <v>237.73099999999999</v>
      </c>
      <c r="BD612" s="37">
        <v>31672</v>
      </c>
      <c r="BE612" s="37">
        <v>135779</v>
      </c>
      <c r="BF612" s="279">
        <v>46998</v>
      </c>
      <c r="BG612" s="37">
        <v>27009</v>
      </c>
      <c r="BH612" s="37">
        <v>39783</v>
      </c>
      <c r="BI612" s="37">
        <v>21510</v>
      </c>
      <c r="BJ612" s="283">
        <v>135300</v>
      </c>
      <c r="BK612" s="161"/>
      <c r="BL612" s="294"/>
      <c r="BM612"/>
      <c r="BN612"/>
      <c r="BO612"/>
      <c r="BP612"/>
      <c r="BQ612"/>
      <c r="BR612"/>
      <c r="BS612"/>
      <c r="BT612"/>
      <c r="BU612"/>
      <c r="BV612"/>
      <c r="BW612"/>
      <c r="BX612"/>
      <c r="BY612"/>
      <c r="BZ612"/>
      <c r="CA612"/>
      <c r="CB612"/>
      <c r="CC612"/>
      <c r="CD612"/>
      <c r="CE612"/>
      <c r="CF612"/>
      <c r="CG612"/>
      <c r="CH612"/>
      <c r="CI612"/>
      <c r="CJ612"/>
    </row>
    <row r="613" spans="1:88" s="32" customFormat="1" ht="15" customHeight="1" x14ac:dyDescent="0.35">
      <c r="A613" s="473"/>
      <c r="B613" s="313">
        <v>94260</v>
      </c>
      <c r="C613" s="8" t="s">
        <v>984</v>
      </c>
      <c r="D613" s="18">
        <v>2</v>
      </c>
      <c r="E613" s="251">
        <v>275</v>
      </c>
      <c r="F613" s="82">
        <v>2.177650429799427</v>
      </c>
      <c r="G613" s="79">
        <v>598.85386819484245</v>
      </c>
      <c r="H613" s="90">
        <v>10.872</v>
      </c>
      <c r="I613" s="85">
        <v>10.195</v>
      </c>
      <c r="J613" s="85">
        <v>13.196</v>
      </c>
      <c r="K613" s="85">
        <v>12.356999999999999</v>
      </c>
      <c r="L613" s="85">
        <v>13.489000000000001</v>
      </c>
      <c r="M613" s="85">
        <v>13.289</v>
      </c>
      <c r="N613" s="85">
        <v>13.031000000000001</v>
      </c>
      <c r="O613" s="85">
        <v>11.5</v>
      </c>
      <c r="P613" s="85">
        <v>10.814</v>
      </c>
      <c r="Q613" s="85">
        <v>10.98</v>
      </c>
      <c r="R613" s="85">
        <v>10.977</v>
      </c>
      <c r="S613" s="89">
        <v>12.377000000000001</v>
      </c>
      <c r="T613" s="89">
        <v>143.077</v>
      </c>
      <c r="U613" s="85">
        <v>0</v>
      </c>
      <c r="V613" s="85">
        <v>143.077</v>
      </c>
      <c r="W613" s="85">
        <v>0</v>
      </c>
      <c r="X613" s="89">
        <v>143.077</v>
      </c>
      <c r="Y613" s="79">
        <v>0</v>
      </c>
      <c r="Z613" s="79">
        <v>1</v>
      </c>
      <c r="AA613" s="94">
        <v>0</v>
      </c>
      <c r="AB613" s="79">
        <v>1</v>
      </c>
      <c r="AC613" s="85">
        <v>97.956000000000003</v>
      </c>
      <c r="AD613" s="85">
        <v>15.326000000000001</v>
      </c>
      <c r="AE613" s="85">
        <v>29.795000000000002</v>
      </c>
      <c r="AF613" s="85">
        <v>0</v>
      </c>
      <c r="AG613" s="85">
        <v>143.077</v>
      </c>
      <c r="AH613" s="85">
        <v>0</v>
      </c>
      <c r="AI613" s="85">
        <v>0</v>
      </c>
      <c r="AJ613" s="85">
        <v>0</v>
      </c>
      <c r="AK613" s="85">
        <v>0</v>
      </c>
      <c r="AL613" s="85">
        <v>0</v>
      </c>
      <c r="AM613" s="85">
        <v>0</v>
      </c>
      <c r="AN613" s="85">
        <v>0</v>
      </c>
      <c r="AO613" s="85">
        <v>0</v>
      </c>
      <c r="AP613" s="85">
        <v>0</v>
      </c>
      <c r="AQ613" s="85">
        <v>0</v>
      </c>
      <c r="AR613" s="85">
        <v>0</v>
      </c>
      <c r="AS613" s="85">
        <v>143.077</v>
      </c>
      <c r="AT613" s="85">
        <v>0</v>
      </c>
      <c r="AU613" s="85">
        <v>0</v>
      </c>
      <c r="AV613" s="85">
        <v>0</v>
      </c>
      <c r="AW613" s="85">
        <v>0</v>
      </c>
      <c r="AX613" s="85">
        <v>0</v>
      </c>
      <c r="AY613" s="85">
        <v>0</v>
      </c>
      <c r="AZ613" s="85">
        <v>0</v>
      </c>
      <c r="BA613" s="85">
        <v>0</v>
      </c>
      <c r="BB613" s="89">
        <v>0</v>
      </c>
      <c r="BC613" s="89">
        <v>143.077</v>
      </c>
      <c r="BD613" s="37">
        <v>0</v>
      </c>
      <c r="BE613" s="37">
        <v>0</v>
      </c>
      <c r="BF613" s="279">
        <v>30210</v>
      </c>
      <c r="BG613" s="37">
        <v>23143</v>
      </c>
      <c r="BH613" s="37">
        <v>17900</v>
      </c>
      <c r="BI613" s="37">
        <v>0</v>
      </c>
      <c r="BJ613" s="283">
        <v>71253</v>
      </c>
      <c r="BK613" s="161"/>
      <c r="BL613" s="294"/>
      <c r="BM613"/>
      <c r="BN613"/>
      <c r="BO613"/>
      <c r="BP613"/>
      <c r="BQ613"/>
      <c r="BR613"/>
      <c r="BS613"/>
      <c r="BT613"/>
      <c r="BU613"/>
      <c r="BV613"/>
      <c r="BW613"/>
      <c r="BX613"/>
      <c r="BY613"/>
      <c r="BZ613"/>
      <c r="CA613"/>
      <c r="CB613"/>
      <c r="CC613"/>
      <c r="CD613"/>
      <c r="CE613"/>
      <c r="CF613"/>
      <c r="CG613"/>
      <c r="CH613"/>
      <c r="CI613"/>
      <c r="CJ613"/>
    </row>
    <row r="614" spans="1:88" s="32" customFormat="1" ht="15" customHeight="1" x14ac:dyDescent="0.35">
      <c r="A614" s="473"/>
      <c r="B614" s="313">
        <v>9010</v>
      </c>
      <c r="C614" s="8" t="s">
        <v>1098</v>
      </c>
      <c r="D614" s="18">
        <v>1</v>
      </c>
      <c r="E614" s="251"/>
      <c r="F614" s="82"/>
      <c r="G614" s="79"/>
      <c r="H614" s="90"/>
      <c r="I614" s="85"/>
      <c r="J614" s="85"/>
      <c r="K614" s="85"/>
      <c r="L614" s="85"/>
      <c r="M614" s="85"/>
      <c r="N614" s="85"/>
      <c r="O614" s="85"/>
      <c r="P614" s="85"/>
      <c r="Q614" s="85"/>
      <c r="R614" s="85"/>
      <c r="S614" s="89"/>
      <c r="T614" s="89" t="s">
        <v>1124</v>
      </c>
      <c r="U614" s="85"/>
      <c r="V614" s="85"/>
      <c r="W614" s="85"/>
      <c r="X614" s="89" t="s">
        <v>1124</v>
      </c>
      <c r="Y614" s="79"/>
      <c r="Z614" s="79"/>
      <c r="AA614" s="94"/>
      <c r="AB614" s="79" t="s">
        <v>1124</v>
      </c>
      <c r="AC614" s="85"/>
      <c r="AD614" s="85"/>
      <c r="AE614" s="85"/>
      <c r="AF614" s="85"/>
      <c r="AG614" s="85" t="s">
        <v>1124</v>
      </c>
      <c r="AH614" s="85"/>
      <c r="AI614" s="85"/>
      <c r="AJ614" s="85"/>
      <c r="AK614" s="85"/>
      <c r="AL614" s="85"/>
      <c r="AM614" s="85"/>
      <c r="AN614" s="85"/>
      <c r="AO614" s="85"/>
      <c r="AP614" s="85"/>
      <c r="AQ614" s="85"/>
      <c r="AR614" s="85" t="s">
        <v>1124</v>
      </c>
      <c r="AS614" s="85"/>
      <c r="AT614" s="85"/>
      <c r="AU614" s="85"/>
      <c r="AV614" s="85"/>
      <c r="AW614" s="85"/>
      <c r="AX614" s="85"/>
      <c r="AY614" s="85"/>
      <c r="AZ614" s="85"/>
      <c r="BA614" s="85"/>
      <c r="BB614" s="89"/>
      <c r="BC614" s="89" t="s">
        <v>1124</v>
      </c>
      <c r="BD614" s="37"/>
      <c r="BE614" s="37"/>
      <c r="BF614" s="279"/>
      <c r="BG614" s="37"/>
      <c r="BH614" s="37"/>
      <c r="BI614" s="37"/>
      <c r="BJ614" s="283"/>
      <c r="BK614" s="161"/>
      <c r="BL614" s="294"/>
      <c r="BM614"/>
      <c r="BN614"/>
      <c r="BO614"/>
      <c r="BP614"/>
      <c r="BQ614"/>
      <c r="BR614"/>
      <c r="BS614"/>
      <c r="BT614"/>
      <c r="BU614"/>
      <c r="BV614"/>
      <c r="BW614"/>
      <c r="BX614"/>
      <c r="BY614"/>
      <c r="BZ614"/>
      <c r="CA614"/>
      <c r="CB614"/>
      <c r="CC614"/>
      <c r="CD614"/>
      <c r="CE614"/>
      <c r="CF614"/>
      <c r="CG614"/>
      <c r="CH614"/>
      <c r="CI614"/>
      <c r="CJ614"/>
    </row>
    <row r="615" spans="1:88" s="32" customFormat="1" ht="15" customHeight="1" x14ac:dyDescent="0.35">
      <c r="A615" s="473"/>
      <c r="B615" s="313">
        <v>57057</v>
      </c>
      <c r="C615" s="8" t="s">
        <v>591</v>
      </c>
      <c r="D615" s="18">
        <v>16</v>
      </c>
      <c r="E615" s="251"/>
      <c r="F615" s="82"/>
      <c r="G615" s="79"/>
      <c r="H615" s="90"/>
      <c r="I615" s="85"/>
      <c r="J615" s="85"/>
      <c r="K615" s="85"/>
      <c r="L615" s="85"/>
      <c r="M615" s="85"/>
      <c r="N615" s="85"/>
      <c r="O615" s="85"/>
      <c r="P615" s="85"/>
      <c r="Q615" s="85"/>
      <c r="R615" s="85"/>
      <c r="S615" s="89"/>
      <c r="T615" s="89" t="s">
        <v>1124</v>
      </c>
      <c r="U615" s="85"/>
      <c r="V615" s="85"/>
      <c r="W615" s="85"/>
      <c r="X615" s="89" t="s">
        <v>1124</v>
      </c>
      <c r="Y615" s="79"/>
      <c r="Z615" s="79"/>
      <c r="AA615" s="94"/>
      <c r="AB615" s="79" t="s">
        <v>1124</v>
      </c>
      <c r="AC615" s="85"/>
      <c r="AD615" s="85"/>
      <c r="AE615" s="85"/>
      <c r="AF615" s="85"/>
      <c r="AG615" s="85" t="s">
        <v>1124</v>
      </c>
      <c r="AH615" s="85"/>
      <c r="AI615" s="85"/>
      <c r="AJ615" s="85"/>
      <c r="AK615" s="85"/>
      <c r="AL615" s="85"/>
      <c r="AM615" s="85"/>
      <c r="AN615" s="85"/>
      <c r="AO615" s="85"/>
      <c r="AP615" s="85"/>
      <c r="AQ615" s="85"/>
      <c r="AR615" s="85" t="s">
        <v>1124</v>
      </c>
      <c r="AS615" s="85"/>
      <c r="AT615" s="85"/>
      <c r="AU615" s="85"/>
      <c r="AV615" s="85"/>
      <c r="AW615" s="85"/>
      <c r="AX615" s="85"/>
      <c r="AY615" s="85"/>
      <c r="AZ615" s="85"/>
      <c r="BA615" s="85"/>
      <c r="BB615" s="89"/>
      <c r="BC615" s="89" t="s">
        <v>1124</v>
      </c>
      <c r="BD615" s="37"/>
      <c r="BE615" s="37"/>
      <c r="BF615" s="279"/>
      <c r="BG615" s="37"/>
      <c r="BH615" s="37"/>
      <c r="BI615" s="37"/>
      <c r="BJ615" s="283"/>
      <c r="BK615" s="161"/>
      <c r="BL615" s="294"/>
      <c r="BM615"/>
      <c r="BN615"/>
      <c r="BO615"/>
      <c r="BP615"/>
      <c r="BQ615"/>
      <c r="BR615"/>
      <c r="BS615"/>
      <c r="BT615"/>
      <c r="BU615"/>
      <c r="BV615"/>
      <c r="BW615"/>
      <c r="BX615"/>
      <c r="BY615"/>
      <c r="BZ615"/>
      <c r="CA615"/>
      <c r="CB615"/>
      <c r="CC615"/>
      <c r="CD615"/>
      <c r="CE615"/>
      <c r="CF615"/>
      <c r="CG615"/>
      <c r="CH615"/>
      <c r="CI615"/>
      <c r="CJ615"/>
    </row>
    <row r="616" spans="1:88" s="32" customFormat="1" ht="15" customHeight="1" x14ac:dyDescent="0.35">
      <c r="A616" s="473"/>
      <c r="B616" s="313">
        <v>39060</v>
      </c>
      <c r="C616" s="8" t="s">
        <v>345</v>
      </c>
      <c r="D616" s="18">
        <v>17</v>
      </c>
      <c r="E616" s="251"/>
      <c r="F616" s="82"/>
      <c r="G616" s="79"/>
      <c r="H616" s="90"/>
      <c r="I616" s="85"/>
      <c r="J616" s="85"/>
      <c r="K616" s="85"/>
      <c r="L616" s="85"/>
      <c r="M616" s="85"/>
      <c r="N616" s="85"/>
      <c r="O616" s="85"/>
      <c r="P616" s="85"/>
      <c r="Q616" s="85"/>
      <c r="R616" s="85"/>
      <c r="S616" s="89"/>
      <c r="T616" s="89" t="s">
        <v>1124</v>
      </c>
      <c r="U616" s="85"/>
      <c r="V616" s="85"/>
      <c r="W616" s="85"/>
      <c r="X616" s="89" t="s">
        <v>1124</v>
      </c>
      <c r="Y616" s="79"/>
      <c r="Z616" s="79"/>
      <c r="AA616" s="94"/>
      <c r="AB616" s="79" t="s">
        <v>1124</v>
      </c>
      <c r="AC616" s="85"/>
      <c r="AD616" s="85"/>
      <c r="AE616" s="85"/>
      <c r="AF616" s="85"/>
      <c r="AG616" s="85" t="s">
        <v>1124</v>
      </c>
      <c r="AH616" s="85"/>
      <c r="AI616" s="85"/>
      <c r="AJ616" s="85"/>
      <c r="AK616" s="85"/>
      <c r="AL616" s="85"/>
      <c r="AM616" s="85"/>
      <c r="AN616" s="85"/>
      <c r="AO616" s="85"/>
      <c r="AP616" s="85"/>
      <c r="AQ616" s="85"/>
      <c r="AR616" s="85" t="s">
        <v>1124</v>
      </c>
      <c r="AS616" s="85"/>
      <c r="AT616" s="85"/>
      <c r="AU616" s="85"/>
      <c r="AV616" s="85"/>
      <c r="AW616" s="85"/>
      <c r="AX616" s="85"/>
      <c r="AY616" s="85"/>
      <c r="AZ616" s="85"/>
      <c r="BA616" s="85"/>
      <c r="BB616" s="89"/>
      <c r="BC616" s="89" t="s">
        <v>1124</v>
      </c>
      <c r="BD616" s="37"/>
      <c r="BE616" s="37"/>
      <c r="BF616" s="279"/>
      <c r="BG616" s="37"/>
      <c r="BH616" s="37"/>
      <c r="BI616" s="37"/>
      <c r="BJ616" s="283"/>
      <c r="BK616" s="161"/>
      <c r="BL616" s="294"/>
      <c r="BM616"/>
      <c r="BN616"/>
      <c r="BO616"/>
      <c r="BP616"/>
      <c r="BQ616"/>
      <c r="BR616"/>
      <c r="BS616"/>
      <c r="BT616"/>
      <c r="BU616"/>
      <c r="BV616"/>
      <c r="BW616"/>
      <c r="BX616"/>
      <c r="BY616"/>
      <c r="BZ616"/>
      <c r="CA616"/>
      <c r="CB616"/>
      <c r="CC616"/>
      <c r="CD616"/>
      <c r="CE616"/>
      <c r="CF616"/>
      <c r="CG616"/>
      <c r="CH616"/>
      <c r="CI616"/>
      <c r="CJ616"/>
    </row>
    <row r="617" spans="1:88" s="32" customFormat="1" ht="15" customHeight="1" x14ac:dyDescent="0.35">
      <c r="A617" s="473"/>
      <c r="B617" s="313">
        <v>69017</v>
      </c>
      <c r="C617" s="8" t="s">
        <v>686</v>
      </c>
      <c r="D617" s="18">
        <v>16</v>
      </c>
      <c r="E617" s="251">
        <v>553</v>
      </c>
      <c r="F617" s="82">
        <v>2.395039858281665</v>
      </c>
      <c r="G617" s="79">
        <v>1324.4570416297609</v>
      </c>
      <c r="H617" s="90">
        <v>17.021999999999998</v>
      </c>
      <c r="I617" s="85">
        <v>15.246</v>
      </c>
      <c r="J617" s="85">
        <v>16.381</v>
      </c>
      <c r="K617" s="85">
        <v>15.61</v>
      </c>
      <c r="L617" s="85">
        <v>12.393000000000001</v>
      </c>
      <c r="M617" s="85">
        <v>13.895</v>
      </c>
      <c r="N617" s="85">
        <v>15.952</v>
      </c>
      <c r="O617" s="85">
        <v>14.669</v>
      </c>
      <c r="P617" s="85">
        <v>11.340999999999999</v>
      </c>
      <c r="Q617" s="85">
        <v>13.657999999999999</v>
      </c>
      <c r="R617" s="85">
        <v>12.597</v>
      </c>
      <c r="S617" s="89">
        <v>11.691000000000001</v>
      </c>
      <c r="T617" s="89">
        <v>170.45499999999998</v>
      </c>
      <c r="U617" s="85">
        <v>0</v>
      </c>
      <c r="V617" s="85">
        <v>170.45499999999998</v>
      </c>
      <c r="W617" s="85">
        <v>0</v>
      </c>
      <c r="X617" s="89">
        <v>170.45499999999998</v>
      </c>
      <c r="Y617" s="79">
        <v>0</v>
      </c>
      <c r="Z617" s="79">
        <v>1</v>
      </c>
      <c r="AA617" s="94">
        <v>0</v>
      </c>
      <c r="AB617" s="79">
        <v>1</v>
      </c>
      <c r="AC617" s="85">
        <v>123.48543689320388</v>
      </c>
      <c r="AD617" s="85">
        <v>17.535388106796091</v>
      </c>
      <c r="AE617" s="85">
        <v>29.434175000000021</v>
      </c>
      <c r="AF617" s="85">
        <v>0</v>
      </c>
      <c r="AG617" s="85">
        <v>170.45499999999998</v>
      </c>
      <c r="AH617" s="85">
        <v>0</v>
      </c>
      <c r="AI617" s="85">
        <v>0</v>
      </c>
      <c r="AJ617" s="85">
        <v>0</v>
      </c>
      <c r="AK617" s="85">
        <v>0</v>
      </c>
      <c r="AL617" s="85">
        <v>0</v>
      </c>
      <c r="AM617" s="85">
        <v>0</v>
      </c>
      <c r="AN617" s="85">
        <v>0</v>
      </c>
      <c r="AO617" s="85">
        <v>0</v>
      </c>
      <c r="AP617" s="85">
        <v>0</v>
      </c>
      <c r="AQ617" s="85">
        <v>0</v>
      </c>
      <c r="AR617" s="85">
        <v>0</v>
      </c>
      <c r="AS617" s="85">
        <v>170.45499999999998</v>
      </c>
      <c r="AT617" s="85">
        <v>0</v>
      </c>
      <c r="AU617" s="85">
        <v>0</v>
      </c>
      <c r="AV617" s="85">
        <v>0</v>
      </c>
      <c r="AW617" s="85">
        <v>0</v>
      </c>
      <c r="AX617" s="85">
        <v>0</v>
      </c>
      <c r="AY617" s="85">
        <v>0</v>
      </c>
      <c r="AZ617" s="85">
        <v>0</v>
      </c>
      <c r="BA617" s="85">
        <v>0</v>
      </c>
      <c r="BB617" s="89">
        <v>0</v>
      </c>
      <c r="BC617" s="89">
        <v>170.45499999999998</v>
      </c>
      <c r="BD617" s="37">
        <v>2924</v>
      </c>
      <c r="BE617" s="37">
        <v>0</v>
      </c>
      <c r="BF617" s="279">
        <v>9118.56</v>
      </c>
      <c r="BG617" s="37">
        <v>30756.93</v>
      </c>
      <c r="BH617" s="37">
        <v>15224.02</v>
      </c>
      <c r="BI617" s="37">
        <v>5922.72</v>
      </c>
      <c r="BJ617" s="283">
        <v>61022.229999999996</v>
      </c>
      <c r="BK617" s="161"/>
      <c r="BL617" s="294"/>
      <c r="BM617"/>
      <c r="BN617"/>
      <c r="BO617"/>
      <c r="BP617"/>
      <c r="BQ617"/>
      <c r="BR617"/>
      <c r="BS617"/>
      <c r="BT617"/>
      <c r="BU617"/>
      <c r="BV617"/>
      <c r="BW617"/>
      <c r="BX617"/>
      <c r="BY617"/>
      <c r="BZ617"/>
      <c r="CA617"/>
      <c r="CB617"/>
      <c r="CC617"/>
      <c r="CD617"/>
      <c r="CE617"/>
      <c r="CF617"/>
      <c r="CG617"/>
      <c r="CH617"/>
      <c r="CI617"/>
      <c r="CJ617"/>
    </row>
    <row r="618" spans="1:88" s="32" customFormat="1" ht="15" customHeight="1" x14ac:dyDescent="0.35">
      <c r="A618" s="473"/>
      <c r="B618" s="313">
        <v>42100</v>
      </c>
      <c r="C618" s="8" t="s">
        <v>395</v>
      </c>
      <c r="D618" s="18">
        <v>5</v>
      </c>
      <c r="E618" s="251"/>
      <c r="F618" s="82"/>
      <c r="G618" s="79"/>
      <c r="H618" s="90"/>
      <c r="I618" s="85"/>
      <c r="J618" s="85"/>
      <c r="K618" s="85"/>
      <c r="L618" s="85"/>
      <c r="M618" s="85"/>
      <c r="N618" s="85"/>
      <c r="O618" s="85"/>
      <c r="P618" s="85"/>
      <c r="Q618" s="85"/>
      <c r="R618" s="85"/>
      <c r="S618" s="89"/>
      <c r="T618" s="89" t="s">
        <v>1124</v>
      </c>
      <c r="U618" s="85"/>
      <c r="V618" s="85"/>
      <c r="W618" s="85"/>
      <c r="X618" s="89" t="s">
        <v>1124</v>
      </c>
      <c r="Y618" s="79"/>
      <c r="Z618" s="79"/>
      <c r="AA618" s="94"/>
      <c r="AB618" s="79" t="s">
        <v>1124</v>
      </c>
      <c r="AC618" s="85"/>
      <c r="AD618" s="85"/>
      <c r="AE618" s="85"/>
      <c r="AF618" s="85"/>
      <c r="AG618" s="85" t="s">
        <v>1124</v>
      </c>
      <c r="AH618" s="85"/>
      <c r="AI618" s="85"/>
      <c r="AJ618" s="85"/>
      <c r="AK618" s="85"/>
      <c r="AL618" s="85"/>
      <c r="AM618" s="85"/>
      <c r="AN618" s="85"/>
      <c r="AO618" s="85"/>
      <c r="AP618" s="85"/>
      <c r="AQ618" s="85"/>
      <c r="AR618" s="85" t="s">
        <v>1124</v>
      </c>
      <c r="AS618" s="85"/>
      <c r="AT618" s="85"/>
      <c r="AU618" s="85"/>
      <c r="AV618" s="85"/>
      <c r="AW618" s="85"/>
      <c r="AX618" s="85"/>
      <c r="AY618" s="85"/>
      <c r="AZ618" s="85"/>
      <c r="BA618" s="85"/>
      <c r="BB618" s="89"/>
      <c r="BC618" s="89" t="s">
        <v>1124</v>
      </c>
      <c r="BD618" s="37"/>
      <c r="BE618" s="37"/>
      <c r="BF618" s="279"/>
      <c r="BG618" s="37"/>
      <c r="BH618" s="37"/>
      <c r="BI618" s="37"/>
      <c r="BJ618" s="283"/>
      <c r="BK618" s="161"/>
      <c r="BL618" s="294"/>
      <c r="BM618"/>
      <c r="BN618"/>
      <c r="BO618"/>
      <c r="BP618"/>
      <c r="BQ618"/>
      <c r="BR618"/>
      <c r="BS618"/>
      <c r="BT618"/>
      <c r="BU618"/>
      <c r="BV618"/>
      <c r="BW618"/>
      <c r="BX618"/>
      <c r="BY618"/>
      <c r="BZ618"/>
      <c r="CA618"/>
      <c r="CB618"/>
      <c r="CC618"/>
      <c r="CD618"/>
      <c r="CE618"/>
      <c r="CF618"/>
      <c r="CG618"/>
      <c r="CH618"/>
      <c r="CI618"/>
      <c r="CJ618"/>
    </row>
    <row r="619" spans="1:88" s="32" customFormat="1" ht="15" customHeight="1" x14ac:dyDescent="0.35">
      <c r="A619" s="473"/>
      <c r="B619" s="313">
        <v>11005</v>
      </c>
      <c r="C619" s="8" t="s">
        <v>17</v>
      </c>
      <c r="D619" s="18">
        <v>1</v>
      </c>
      <c r="E619" s="251"/>
      <c r="F619" s="82"/>
      <c r="G619" s="79"/>
      <c r="H619" s="90"/>
      <c r="I619" s="85"/>
      <c r="J619" s="85"/>
      <c r="K619" s="85"/>
      <c r="L619" s="85"/>
      <c r="M619" s="85"/>
      <c r="N619" s="85"/>
      <c r="O619" s="85"/>
      <c r="P619" s="85"/>
      <c r="Q619" s="85"/>
      <c r="R619" s="85"/>
      <c r="S619" s="89"/>
      <c r="T619" s="89" t="s">
        <v>1124</v>
      </c>
      <c r="U619" s="85"/>
      <c r="V619" s="85"/>
      <c r="W619" s="85"/>
      <c r="X619" s="89" t="s">
        <v>1124</v>
      </c>
      <c r="Y619" s="79"/>
      <c r="Z619" s="79"/>
      <c r="AA619" s="94"/>
      <c r="AB619" s="79" t="s">
        <v>1124</v>
      </c>
      <c r="AC619" s="85"/>
      <c r="AD619" s="85"/>
      <c r="AE619" s="85"/>
      <c r="AF619" s="85"/>
      <c r="AG619" s="85" t="s">
        <v>1124</v>
      </c>
      <c r="AH619" s="85"/>
      <c r="AI619" s="85"/>
      <c r="AJ619" s="85"/>
      <c r="AK619" s="85"/>
      <c r="AL619" s="85"/>
      <c r="AM619" s="85"/>
      <c r="AN619" s="85"/>
      <c r="AO619" s="85"/>
      <c r="AP619" s="85"/>
      <c r="AQ619" s="85"/>
      <c r="AR619" s="85" t="s">
        <v>1124</v>
      </c>
      <c r="AS619" s="85"/>
      <c r="AT619" s="85"/>
      <c r="AU619" s="85"/>
      <c r="AV619" s="85"/>
      <c r="AW619" s="85"/>
      <c r="AX619" s="85"/>
      <c r="AY619" s="85"/>
      <c r="AZ619" s="85"/>
      <c r="BA619" s="85"/>
      <c r="BB619" s="89"/>
      <c r="BC619" s="89" t="s">
        <v>1124</v>
      </c>
      <c r="BD619" s="37"/>
      <c r="BE619" s="37"/>
      <c r="BF619" s="279"/>
      <c r="BG619" s="37"/>
      <c r="BH619" s="37"/>
      <c r="BI619" s="37"/>
      <c r="BJ619" s="283"/>
      <c r="BK619" s="161"/>
      <c r="BL619" s="294"/>
      <c r="BM619"/>
      <c r="BN619"/>
      <c r="BO619"/>
      <c r="BP619"/>
      <c r="BQ619"/>
      <c r="BR619"/>
      <c r="BS619"/>
      <c r="BT619"/>
      <c r="BU619"/>
      <c r="BV619"/>
      <c r="BW619"/>
      <c r="BX619"/>
      <c r="BY619"/>
      <c r="BZ619"/>
      <c r="CA619"/>
      <c r="CB619"/>
      <c r="CC619"/>
      <c r="CD619"/>
      <c r="CE619"/>
      <c r="CF619"/>
      <c r="CG619"/>
      <c r="CH619"/>
      <c r="CI619"/>
      <c r="CJ619"/>
    </row>
    <row r="620" spans="1:88" s="32" customFormat="1" ht="15" customHeight="1" x14ac:dyDescent="0.35">
      <c r="A620" s="473"/>
      <c r="B620" s="313">
        <v>7090</v>
      </c>
      <c r="C620" s="8" t="s">
        <v>1082</v>
      </c>
      <c r="D620" s="18">
        <v>1</v>
      </c>
      <c r="E620" s="251"/>
      <c r="F620" s="82"/>
      <c r="G620" s="79"/>
      <c r="H620" s="90"/>
      <c r="I620" s="85"/>
      <c r="J620" s="85"/>
      <c r="K620" s="85"/>
      <c r="L620" s="85"/>
      <c r="M620" s="85"/>
      <c r="N620" s="85"/>
      <c r="O620" s="85"/>
      <c r="P620" s="85"/>
      <c r="Q620" s="85"/>
      <c r="R620" s="85"/>
      <c r="S620" s="89"/>
      <c r="T620" s="89" t="s">
        <v>1124</v>
      </c>
      <c r="U620" s="85"/>
      <c r="V620" s="85"/>
      <c r="W620" s="85"/>
      <c r="X620" s="89" t="s">
        <v>1124</v>
      </c>
      <c r="Y620" s="79"/>
      <c r="Z620" s="79"/>
      <c r="AA620" s="94"/>
      <c r="AB620" s="79" t="s">
        <v>1124</v>
      </c>
      <c r="AC620" s="85"/>
      <c r="AD620" s="85"/>
      <c r="AE620" s="85"/>
      <c r="AF620" s="85"/>
      <c r="AG620" s="85" t="s">
        <v>1124</v>
      </c>
      <c r="AH620" s="85"/>
      <c r="AI620" s="85"/>
      <c r="AJ620" s="85"/>
      <c r="AK620" s="85"/>
      <c r="AL620" s="85"/>
      <c r="AM620" s="85"/>
      <c r="AN620" s="85"/>
      <c r="AO620" s="85"/>
      <c r="AP620" s="85"/>
      <c r="AQ620" s="85"/>
      <c r="AR620" s="85" t="s">
        <v>1124</v>
      </c>
      <c r="AS620" s="85"/>
      <c r="AT620" s="85"/>
      <c r="AU620" s="85"/>
      <c r="AV620" s="85"/>
      <c r="AW620" s="85"/>
      <c r="AX620" s="85"/>
      <c r="AY620" s="85"/>
      <c r="AZ620" s="85"/>
      <c r="BA620" s="85"/>
      <c r="BB620" s="89"/>
      <c r="BC620" s="89" t="s">
        <v>1124</v>
      </c>
      <c r="BD620" s="37"/>
      <c r="BE620" s="37"/>
      <c r="BF620" s="279"/>
      <c r="BG620" s="37"/>
      <c r="BH620" s="37"/>
      <c r="BI620" s="37"/>
      <c r="BJ620" s="283"/>
      <c r="BK620" s="161"/>
      <c r="BL620" s="294"/>
      <c r="BM620"/>
      <c r="BN620"/>
      <c r="BO620"/>
      <c r="BP620"/>
      <c r="BQ620"/>
      <c r="BR620"/>
      <c r="BS620"/>
      <c r="BT620"/>
      <c r="BU620"/>
      <c r="BV620"/>
      <c r="BW620"/>
      <c r="BX620"/>
      <c r="BY620"/>
      <c r="BZ620"/>
      <c r="CA620"/>
      <c r="CB620"/>
      <c r="CC620"/>
      <c r="CD620"/>
      <c r="CE620"/>
      <c r="CF620"/>
      <c r="CG620"/>
      <c r="CH620"/>
      <c r="CI620"/>
      <c r="CJ620"/>
    </row>
    <row r="621" spans="1:88" s="32" customFormat="1" ht="15" customHeight="1" x14ac:dyDescent="0.35">
      <c r="A621" s="473"/>
      <c r="B621" s="313">
        <v>52075</v>
      </c>
      <c r="C621" s="8" t="s">
        <v>525</v>
      </c>
      <c r="D621" s="18">
        <v>14</v>
      </c>
      <c r="E621" s="251"/>
      <c r="F621" s="82"/>
      <c r="G621" s="79"/>
      <c r="H621" s="90"/>
      <c r="I621" s="85"/>
      <c r="J621" s="85"/>
      <c r="K621" s="85"/>
      <c r="L621" s="85"/>
      <c r="M621" s="85"/>
      <c r="N621" s="85"/>
      <c r="O621" s="85"/>
      <c r="P621" s="85"/>
      <c r="Q621" s="85"/>
      <c r="R621" s="85"/>
      <c r="S621" s="89"/>
      <c r="T621" s="89" t="s">
        <v>1124</v>
      </c>
      <c r="U621" s="85"/>
      <c r="V621" s="85"/>
      <c r="W621" s="85"/>
      <c r="X621" s="89" t="s">
        <v>1124</v>
      </c>
      <c r="Y621" s="79"/>
      <c r="Z621" s="79"/>
      <c r="AA621" s="94"/>
      <c r="AB621" s="79" t="s">
        <v>1124</v>
      </c>
      <c r="AC621" s="85"/>
      <c r="AD621" s="85"/>
      <c r="AE621" s="85"/>
      <c r="AF621" s="85"/>
      <c r="AG621" s="85" t="s">
        <v>1124</v>
      </c>
      <c r="AH621" s="85"/>
      <c r="AI621" s="85"/>
      <c r="AJ621" s="85"/>
      <c r="AK621" s="85"/>
      <c r="AL621" s="85"/>
      <c r="AM621" s="85"/>
      <c r="AN621" s="85"/>
      <c r="AO621" s="85"/>
      <c r="AP621" s="85"/>
      <c r="AQ621" s="85"/>
      <c r="AR621" s="85" t="s">
        <v>1124</v>
      </c>
      <c r="AS621" s="85"/>
      <c r="AT621" s="85"/>
      <c r="AU621" s="85"/>
      <c r="AV621" s="85"/>
      <c r="AW621" s="85"/>
      <c r="AX621" s="85"/>
      <c r="AY621" s="85"/>
      <c r="AZ621" s="85"/>
      <c r="BA621" s="85"/>
      <c r="BB621" s="89"/>
      <c r="BC621" s="89" t="s">
        <v>1124</v>
      </c>
      <c r="BD621" s="37"/>
      <c r="BE621" s="37"/>
      <c r="BF621" s="279"/>
      <c r="BG621" s="37"/>
      <c r="BH621" s="37"/>
      <c r="BI621" s="37"/>
      <c r="BJ621" s="283"/>
      <c r="BK621" s="161"/>
      <c r="BL621" s="294"/>
      <c r="BM621"/>
      <c r="BN621"/>
      <c r="BO621"/>
      <c r="BP621"/>
      <c r="BQ621"/>
      <c r="BR621"/>
      <c r="BS621"/>
      <c r="BT621"/>
      <c r="BU621"/>
      <c r="BV621"/>
      <c r="BW621"/>
      <c r="BX621"/>
      <c r="BY621"/>
      <c r="BZ621"/>
      <c r="CA621"/>
      <c r="CB621"/>
      <c r="CC621"/>
      <c r="CD621"/>
      <c r="CE621"/>
      <c r="CF621"/>
      <c r="CG621"/>
      <c r="CH621"/>
      <c r="CI621"/>
      <c r="CJ621"/>
    </row>
    <row r="622" spans="1:88" s="32" customFormat="1" ht="15" customHeight="1" x14ac:dyDescent="0.35">
      <c r="A622" s="473"/>
      <c r="B622" s="313">
        <v>71045</v>
      </c>
      <c r="C622" s="8" t="s">
        <v>710</v>
      </c>
      <c r="D622" s="18">
        <v>16</v>
      </c>
      <c r="E622" s="251"/>
      <c r="F622" s="82"/>
      <c r="G622" s="79"/>
      <c r="H622" s="90"/>
      <c r="I622" s="85"/>
      <c r="J622" s="85"/>
      <c r="K622" s="85"/>
      <c r="L622" s="85"/>
      <c r="M622" s="85"/>
      <c r="N622" s="85"/>
      <c r="O622" s="85"/>
      <c r="P622" s="85"/>
      <c r="Q622" s="85"/>
      <c r="R622" s="85"/>
      <c r="S622" s="89"/>
      <c r="T622" s="89" t="s">
        <v>1124</v>
      </c>
      <c r="U622" s="85"/>
      <c r="V622" s="85"/>
      <c r="W622" s="85"/>
      <c r="X622" s="89" t="s">
        <v>1124</v>
      </c>
      <c r="Y622" s="79"/>
      <c r="Z622" s="79"/>
      <c r="AA622" s="94"/>
      <c r="AB622" s="79" t="s">
        <v>1124</v>
      </c>
      <c r="AC622" s="85"/>
      <c r="AD622" s="85"/>
      <c r="AE622" s="85"/>
      <c r="AF622" s="85"/>
      <c r="AG622" s="85" t="s">
        <v>1124</v>
      </c>
      <c r="AH622" s="85"/>
      <c r="AI622" s="85"/>
      <c r="AJ622" s="85"/>
      <c r="AK622" s="85"/>
      <c r="AL622" s="85"/>
      <c r="AM622" s="85"/>
      <c r="AN622" s="85"/>
      <c r="AO622" s="85"/>
      <c r="AP622" s="85"/>
      <c r="AQ622" s="85"/>
      <c r="AR622" s="85" t="s">
        <v>1124</v>
      </c>
      <c r="AS622" s="85"/>
      <c r="AT622" s="85"/>
      <c r="AU622" s="85"/>
      <c r="AV622" s="85"/>
      <c r="AW622" s="85"/>
      <c r="AX622" s="85"/>
      <c r="AY622" s="85"/>
      <c r="AZ622" s="85"/>
      <c r="BA622" s="85"/>
      <c r="BB622" s="89"/>
      <c r="BC622" s="89" t="s">
        <v>1124</v>
      </c>
      <c r="BD622" s="37"/>
      <c r="BE622" s="37"/>
      <c r="BF622" s="279"/>
      <c r="BG622" s="37"/>
      <c r="BH622" s="37"/>
      <c r="BI622" s="37"/>
      <c r="BJ622" s="283"/>
      <c r="BK622" s="161"/>
      <c r="BL622" s="294"/>
      <c r="BM622"/>
      <c r="BN622"/>
      <c r="BO622"/>
      <c r="BP622"/>
      <c r="BQ622"/>
      <c r="BR622"/>
      <c r="BS622"/>
      <c r="BT622"/>
      <c r="BU622"/>
      <c r="BV622"/>
      <c r="BW622"/>
      <c r="BX622"/>
      <c r="BY622"/>
      <c r="BZ622"/>
      <c r="CA622"/>
      <c r="CB622"/>
      <c r="CC622"/>
      <c r="CD622"/>
      <c r="CE622"/>
      <c r="CF622"/>
      <c r="CG622"/>
      <c r="CH622"/>
      <c r="CI622"/>
      <c r="CJ622"/>
    </row>
    <row r="623" spans="1:88" s="32" customFormat="1" ht="15" customHeight="1" x14ac:dyDescent="0.35">
      <c r="A623" s="473"/>
      <c r="B623" s="313">
        <v>75005</v>
      </c>
      <c r="C623" s="8" t="s">
        <v>742</v>
      </c>
      <c r="D623" s="18">
        <v>15</v>
      </c>
      <c r="E623" s="251"/>
      <c r="F623" s="82"/>
      <c r="G623" s="79"/>
      <c r="H623" s="90"/>
      <c r="I623" s="85"/>
      <c r="J623" s="85"/>
      <c r="K623" s="85"/>
      <c r="L623" s="85"/>
      <c r="M623" s="85"/>
      <c r="N623" s="85"/>
      <c r="O623" s="85"/>
      <c r="P623" s="85"/>
      <c r="Q623" s="85"/>
      <c r="R623" s="85"/>
      <c r="S623" s="89"/>
      <c r="T623" s="89" t="s">
        <v>1124</v>
      </c>
      <c r="U623" s="85"/>
      <c r="V623" s="85"/>
      <c r="W623" s="85"/>
      <c r="X623" s="89" t="s">
        <v>1124</v>
      </c>
      <c r="Y623" s="79"/>
      <c r="Z623" s="79"/>
      <c r="AA623" s="94"/>
      <c r="AB623" s="79" t="s">
        <v>1124</v>
      </c>
      <c r="AC623" s="85"/>
      <c r="AD623" s="85"/>
      <c r="AE623" s="85"/>
      <c r="AF623" s="85"/>
      <c r="AG623" s="85" t="s">
        <v>1124</v>
      </c>
      <c r="AH623" s="85"/>
      <c r="AI623" s="85"/>
      <c r="AJ623" s="85"/>
      <c r="AK623" s="85"/>
      <c r="AL623" s="85"/>
      <c r="AM623" s="85"/>
      <c r="AN623" s="85"/>
      <c r="AO623" s="85"/>
      <c r="AP623" s="85"/>
      <c r="AQ623" s="85"/>
      <c r="AR623" s="85" t="s">
        <v>1124</v>
      </c>
      <c r="AS623" s="85"/>
      <c r="AT623" s="85"/>
      <c r="AU623" s="85"/>
      <c r="AV623" s="85"/>
      <c r="AW623" s="85"/>
      <c r="AX623" s="85"/>
      <c r="AY623" s="85"/>
      <c r="AZ623" s="85"/>
      <c r="BA623" s="85"/>
      <c r="BB623" s="89"/>
      <c r="BC623" s="89" t="s">
        <v>1124</v>
      </c>
      <c r="BD623" s="37"/>
      <c r="BE623" s="37"/>
      <c r="BF623" s="279"/>
      <c r="BG623" s="37"/>
      <c r="BH623" s="37"/>
      <c r="BI623" s="37"/>
      <c r="BJ623" s="283"/>
      <c r="BK623" s="161"/>
      <c r="BL623" s="294"/>
      <c r="BM623"/>
      <c r="BN623"/>
      <c r="BO623"/>
      <c r="BP623"/>
      <c r="BQ623"/>
      <c r="BR623"/>
      <c r="BS623"/>
      <c r="BT623"/>
      <c r="BU623"/>
      <c r="BV623"/>
      <c r="BW623"/>
      <c r="BX623"/>
      <c r="BY623"/>
      <c r="BZ623"/>
      <c r="CA623"/>
      <c r="CB623"/>
      <c r="CC623"/>
      <c r="CD623"/>
      <c r="CE623"/>
      <c r="CF623"/>
      <c r="CG623"/>
      <c r="CH623"/>
      <c r="CI623"/>
      <c r="CJ623"/>
    </row>
    <row r="624" spans="1:88" s="32" customFormat="1" ht="15" customHeight="1" x14ac:dyDescent="0.35">
      <c r="A624" s="473"/>
      <c r="B624" s="313">
        <v>62065</v>
      </c>
      <c r="C624" s="8" t="s">
        <v>629</v>
      </c>
      <c r="D624" s="18">
        <v>14</v>
      </c>
      <c r="E624" s="251">
        <v>600</v>
      </c>
      <c r="F624" s="82">
        <v>1.0940128649183571</v>
      </c>
      <c r="G624" s="79">
        <v>656.40771895101432</v>
      </c>
      <c r="H624" s="90">
        <v>13.323</v>
      </c>
      <c r="I624" s="85">
        <v>13.276999999999999</v>
      </c>
      <c r="J624" s="85">
        <v>14.919</v>
      </c>
      <c r="K624" s="85">
        <v>14.885</v>
      </c>
      <c r="L624" s="85">
        <v>12.032</v>
      </c>
      <c r="M624" s="85">
        <v>13.52</v>
      </c>
      <c r="N624" s="85">
        <v>18.048999999999999</v>
      </c>
      <c r="O624" s="85">
        <v>19.213999999999999</v>
      </c>
      <c r="P624" s="85">
        <v>13.782</v>
      </c>
      <c r="Q624" s="85">
        <v>12.087999999999999</v>
      </c>
      <c r="R624" s="85">
        <v>11.885</v>
      </c>
      <c r="S624" s="89">
        <v>14.586</v>
      </c>
      <c r="T624" s="89">
        <v>171.56</v>
      </c>
      <c r="U624" s="85">
        <v>0</v>
      </c>
      <c r="V624" s="85">
        <v>171.56</v>
      </c>
      <c r="W624" s="85">
        <v>0</v>
      </c>
      <c r="X624" s="89">
        <v>171.56</v>
      </c>
      <c r="Y624" s="79">
        <v>0</v>
      </c>
      <c r="Z624" s="79">
        <v>1</v>
      </c>
      <c r="AA624" s="94">
        <v>0</v>
      </c>
      <c r="AB624" s="79">
        <v>1</v>
      </c>
      <c r="AC624" s="85">
        <v>104.79600000000001</v>
      </c>
      <c r="AD624" s="85">
        <v>10.083</v>
      </c>
      <c r="AE624" s="85">
        <v>56.680999999999997</v>
      </c>
      <c r="AF624" s="85">
        <v>0</v>
      </c>
      <c r="AG624" s="85">
        <v>171.56</v>
      </c>
      <c r="AH624" s="85">
        <v>0</v>
      </c>
      <c r="AI624" s="85">
        <v>0</v>
      </c>
      <c r="AJ624" s="85">
        <v>0</v>
      </c>
      <c r="AK624" s="85">
        <v>0</v>
      </c>
      <c r="AL624" s="85">
        <v>0</v>
      </c>
      <c r="AM624" s="85">
        <v>0</v>
      </c>
      <c r="AN624" s="85">
        <v>0</v>
      </c>
      <c r="AO624" s="85">
        <v>0</v>
      </c>
      <c r="AP624" s="85">
        <v>0</v>
      </c>
      <c r="AQ624" s="85">
        <v>0</v>
      </c>
      <c r="AR624" s="85">
        <v>0</v>
      </c>
      <c r="AS624" s="85">
        <v>0</v>
      </c>
      <c r="AT624" s="85">
        <v>0</v>
      </c>
      <c r="AU624" s="85">
        <v>0</v>
      </c>
      <c r="AV624" s="85">
        <v>0</v>
      </c>
      <c r="AW624" s="85">
        <v>0</v>
      </c>
      <c r="AX624" s="85">
        <v>0</v>
      </c>
      <c r="AY624" s="85">
        <v>171.56</v>
      </c>
      <c r="AZ624" s="85">
        <v>0</v>
      </c>
      <c r="BA624" s="85">
        <v>0</v>
      </c>
      <c r="BB624" s="89">
        <v>0</v>
      </c>
      <c r="BC624" s="89">
        <v>171.56</v>
      </c>
      <c r="BD624" s="37">
        <v>156040</v>
      </c>
      <c r="BE624" s="37">
        <v>0</v>
      </c>
      <c r="BF624" s="279">
        <v>6240</v>
      </c>
      <c r="BG624" s="37">
        <v>28716</v>
      </c>
      <c r="BH624" s="37">
        <v>8521</v>
      </c>
      <c r="BI624" s="37">
        <v>0</v>
      </c>
      <c r="BJ624" s="283">
        <v>43477</v>
      </c>
      <c r="BK624" s="161"/>
      <c r="BL624" s="294"/>
      <c r="BM624"/>
      <c r="BN624"/>
      <c r="BO624"/>
      <c r="BP624"/>
      <c r="BQ624"/>
      <c r="BR624"/>
      <c r="BS624"/>
      <c r="BT624"/>
      <c r="BU624"/>
      <c r="BV624"/>
      <c r="BW624"/>
      <c r="BX624"/>
      <c r="BY624"/>
      <c r="BZ624"/>
      <c r="CA624"/>
      <c r="CB624"/>
      <c r="CC624"/>
      <c r="CD624"/>
      <c r="CE624"/>
      <c r="CF624"/>
      <c r="CG624"/>
      <c r="CH624"/>
      <c r="CI624"/>
      <c r="CJ624"/>
    </row>
    <row r="625" spans="1:88" s="32" customFormat="1" ht="15" customHeight="1" x14ac:dyDescent="0.35">
      <c r="A625" s="473"/>
      <c r="B625" s="313">
        <v>29057</v>
      </c>
      <c r="C625" s="8" t="s">
        <v>209</v>
      </c>
      <c r="D625" s="18">
        <v>12</v>
      </c>
      <c r="E625" s="251">
        <v>890</v>
      </c>
      <c r="F625" s="82">
        <v>2.3846715328467152</v>
      </c>
      <c r="G625" s="79">
        <v>2122.3576642335765</v>
      </c>
      <c r="H625" s="90">
        <v>18.652999999999999</v>
      </c>
      <c r="I625" s="85">
        <v>17.925999999999998</v>
      </c>
      <c r="J625" s="85">
        <v>19.989999999999998</v>
      </c>
      <c r="K625" s="85">
        <v>19.859000000000002</v>
      </c>
      <c r="L625" s="85">
        <v>24.606999999999999</v>
      </c>
      <c r="M625" s="85">
        <v>25.748000000000001</v>
      </c>
      <c r="N625" s="85">
        <v>21.37</v>
      </c>
      <c r="O625" s="85">
        <v>19.105</v>
      </c>
      <c r="P625" s="85">
        <v>18.506</v>
      </c>
      <c r="Q625" s="85">
        <v>21.16</v>
      </c>
      <c r="R625" s="85">
        <v>20.082999999999998</v>
      </c>
      <c r="S625" s="89">
        <v>21.588000000000001</v>
      </c>
      <c r="T625" s="89">
        <v>248.59499999999997</v>
      </c>
      <c r="U625" s="85">
        <v>0</v>
      </c>
      <c r="V625" s="85">
        <v>248.595</v>
      </c>
      <c r="W625" s="85">
        <v>0</v>
      </c>
      <c r="X625" s="89">
        <v>248.595</v>
      </c>
      <c r="Y625" s="79">
        <v>0</v>
      </c>
      <c r="Z625" s="79">
        <v>1</v>
      </c>
      <c r="AA625" s="94">
        <v>0</v>
      </c>
      <c r="AB625" s="79">
        <v>1</v>
      </c>
      <c r="AC625" s="85">
        <v>133.22200000000001</v>
      </c>
      <c r="AD625" s="85">
        <v>16.402999999999999</v>
      </c>
      <c r="AE625" s="85">
        <v>98.97</v>
      </c>
      <c r="AF625" s="85">
        <v>0</v>
      </c>
      <c r="AG625" s="85">
        <v>248.595</v>
      </c>
      <c r="AH625" s="85">
        <v>0</v>
      </c>
      <c r="AI625" s="85">
        <v>0</v>
      </c>
      <c r="AJ625" s="85">
        <v>0</v>
      </c>
      <c r="AK625" s="85">
        <v>0</v>
      </c>
      <c r="AL625" s="85">
        <v>0</v>
      </c>
      <c r="AM625" s="85">
        <v>0</v>
      </c>
      <c r="AN625" s="85">
        <v>0</v>
      </c>
      <c r="AO625" s="85">
        <v>0</v>
      </c>
      <c r="AP625" s="85">
        <v>0</v>
      </c>
      <c r="AQ625" s="85">
        <v>0</v>
      </c>
      <c r="AR625" s="85">
        <v>0</v>
      </c>
      <c r="AS625" s="85">
        <v>248.595</v>
      </c>
      <c r="AT625" s="85">
        <v>0</v>
      </c>
      <c r="AU625" s="85">
        <v>0</v>
      </c>
      <c r="AV625" s="85">
        <v>0</v>
      </c>
      <c r="AW625" s="85">
        <v>0</v>
      </c>
      <c r="AX625" s="85">
        <v>0</v>
      </c>
      <c r="AY625" s="85">
        <v>0</v>
      </c>
      <c r="AZ625" s="85">
        <v>0</v>
      </c>
      <c r="BA625" s="85">
        <v>0</v>
      </c>
      <c r="BB625" s="89">
        <v>0</v>
      </c>
      <c r="BC625" s="89">
        <v>248.595</v>
      </c>
      <c r="BD625" s="37">
        <v>0</v>
      </c>
      <c r="BE625" s="37">
        <v>0</v>
      </c>
      <c r="BF625" s="279">
        <v>96499</v>
      </c>
      <c r="BG625" s="37">
        <v>160897</v>
      </c>
      <c r="BH625" s="37">
        <v>47423</v>
      </c>
      <c r="BI625" s="37">
        <v>13805</v>
      </c>
      <c r="BJ625" s="283">
        <v>318624</v>
      </c>
      <c r="BK625" s="161"/>
      <c r="BL625" s="294"/>
      <c r="BM625"/>
      <c r="BN625"/>
      <c r="BO625"/>
      <c r="BP625"/>
      <c r="BQ625"/>
      <c r="BR625"/>
      <c r="BS625"/>
      <c r="BT625"/>
      <c r="BU625"/>
      <c r="BV625"/>
      <c r="BW625"/>
      <c r="BX625"/>
      <c r="BY625"/>
      <c r="BZ625"/>
      <c r="CA625"/>
      <c r="CB625"/>
      <c r="CC625"/>
      <c r="CD625"/>
      <c r="CE625"/>
      <c r="CF625"/>
      <c r="CG625"/>
      <c r="CH625"/>
      <c r="CI625"/>
      <c r="CJ625"/>
    </row>
    <row r="626" spans="1:88" s="32" customFormat="1" ht="15" customHeight="1" x14ac:dyDescent="0.35">
      <c r="A626" s="473"/>
      <c r="B626" s="313">
        <v>67035</v>
      </c>
      <c r="C626" s="8" t="s">
        <v>668</v>
      </c>
      <c r="D626" s="18">
        <v>16</v>
      </c>
      <c r="E626" s="251"/>
      <c r="F626" s="82"/>
      <c r="G626" s="79"/>
      <c r="H626" s="90"/>
      <c r="I626" s="85"/>
      <c r="J626" s="85"/>
      <c r="K626" s="85"/>
      <c r="L626" s="85"/>
      <c r="M626" s="85"/>
      <c r="N626" s="85"/>
      <c r="O626" s="85"/>
      <c r="P626" s="85"/>
      <c r="Q626" s="85"/>
      <c r="R626" s="85"/>
      <c r="S626" s="89"/>
      <c r="T626" s="89" t="s">
        <v>1124</v>
      </c>
      <c r="U626" s="85"/>
      <c r="V626" s="85"/>
      <c r="W626" s="85"/>
      <c r="X626" s="89" t="s">
        <v>1124</v>
      </c>
      <c r="Y626" s="79"/>
      <c r="Z626" s="79"/>
      <c r="AA626" s="94"/>
      <c r="AB626" s="79" t="s">
        <v>1124</v>
      </c>
      <c r="AC626" s="85"/>
      <c r="AD626" s="85"/>
      <c r="AE626" s="85"/>
      <c r="AF626" s="85"/>
      <c r="AG626" s="85" t="s">
        <v>1124</v>
      </c>
      <c r="AH626" s="85"/>
      <c r="AI626" s="85"/>
      <c r="AJ626" s="85"/>
      <c r="AK626" s="85"/>
      <c r="AL626" s="85"/>
      <c r="AM626" s="85"/>
      <c r="AN626" s="85"/>
      <c r="AO626" s="85"/>
      <c r="AP626" s="85"/>
      <c r="AQ626" s="85"/>
      <c r="AR626" s="85" t="s">
        <v>1124</v>
      </c>
      <c r="AS626" s="85"/>
      <c r="AT626" s="85"/>
      <c r="AU626" s="85"/>
      <c r="AV626" s="85"/>
      <c r="AW626" s="85"/>
      <c r="AX626" s="85"/>
      <c r="AY626" s="85"/>
      <c r="AZ626" s="85"/>
      <c r="BA626" s="85"/>
      <c r="BB626" s="89"/>
      <c r="BC626" s="89" t="s">
        <v>1124</v>
      </c>
      <c r="BD626" s="37"/>
      <c r="BE626" s="37"/>
      <c r="BF626" s="279"/>
      <c r="BG626" s="37"/>
      <c r="BH626" s="37"/>
      <c r="BI626" s="37"/>
      <c r="BJ626" s="283"/>
      <c r="BK626" s="161"/>
      <c r="BL626" s="294"/>
      <c r="BM626"/>
      <c r="BN626"/>
      <c r="BO626"/>
      <c r="BP626"/>
      <c r="BQ626"/>
      <c r="BR626"/>
      <c r="BS626"/>
      <c r="BT626"/>
      <c r="BU626"/>
      <c r="BV626"/>
      <c r="BW626"/>
      <c r="BX626"/>
      <c r="BY626"/>
      <c r="BZ626"/>
      <c r="CA626"/>
      <c r="CB626"/>
      <c r="CC626"/>
      <c r="CD626"/>
      <c r="CE626"/>
      <c r="CF626"/>
      <c r="CG626"/>
      <c r="CH626"/>
      <c r="CI626"/>
      <c r="CJ626"/>
    </row>
    <row r="627" spans="1:88" s="32" customFormat="1" ht="15" customHeight="1" x14ac:dyDescent="0.35">
      <c r="A627" s="473"/>
      <c r="B627" s="313">
        <v>52062</v>
      </c>
      <c r="C627" s="8" t="s">
        <v>523</v>
      </c>
      <c r="D627" s="18">
        <v>14</v>
      </c>
      <c r="E627" s="251"/>
      <c r="F627" s="82"/>
      <c r="G627" s="79"/>
      <c r="H627" s="90"/>
      <c r="I627" s="85"/>
      <c r="J627" s="85"/>
      <c r="K627" s="85"/>
      <c r="L627" s="85"/>
      <c r="M627" s="85"/>
      <c r="N627" s="85"/>
      <c r="O627" s="85"/>
      <c r="P627" s="85"/>
      <c r="Q627" s="85"/>
      <c r="R627" s="85"/>
      <c r="S627" s="89"/>
      <c r="T627" s="89" t="s">
        <v>1124</v>
      </c>
      <c r="U627" s="85"/>
      <c r="V627" s="85"/>
      <c r="W627" s="85"/>
      <c r="X627" s="89" t="s">
        <v>1124</v>
      </c>
      <c r="Y627" s="79"/>
      <c r="Z627" s="79"/>
      <c r="AA627" s="94"/>
      <c r="AB627" s="79" t="s">
        <v>1124</v>
      </c>
      <c r="AC627" s="85"/>
      <c r="AD627" s="85"/>
      <c r="AE627" s="85"/>
      <c r="AF627" s="85"/>
      <c r="AG627" s="85" t="s">
        <v>1124</v>
      </c>
      <c r="AH627" s="85"/>
      <c r="AI627" s="85"/>
      <c r="AJ627" s="85"/>
      <c r="AK627" s="85"/>
      <c r="AL627" s="85"/>
      <c r="AM627" s="85"/>
      <c r="AN627" s="85"/>
      <c r="AO627" s="85"/>
      <c r="AP627" s="85"/>
      <c r="AQ627" s="85"/>
      <c r="AR627" s="85" t="s">
        <v>1124</v>
      </c>
      <c r="AS627" s="85"/>
      <c r="AT627" s="85"/>
      <c r="AU627" s="85"/>
      <c r="AV627" s="85"/>
      <c r="AW627" s="85"/>
      <c r="AX627" s="85"/>
      <c r="AY627" s="85"/>
      <c r="AZ627" s="85"/>
      <c r="BA627" s="85"/>
      <c r="BB627" s="89"/>
      <c r="BC627" s="89" t="s">
        <v>1124</v>
      </c>
      <c r="BD627" s="37"/>
      <c r="BE627" s="37"/>
      <c r="BF627" s="279"/>
      <c r="BG627" s="37"/>
      <c r="BH627" s="37"/>
      <c r="BI627" s="37"/>
      <c r="BJ627" s="283"/>
      <c r="BK627" s="161"/>
      <c r="BL627" s="294"/>
      <c r="BM627"/>
      <c r="BN627"/>
      <c r="BO627"/>
      <c r="BP627"/>
      <c r="BQ627"/>
      <c r="BR627"/>
      <c r="BS627"/>
      <c r="BT627"/>
      <c r="BU627"/>
      <c r="BV627"/>
      <c r="BW627"/>
      <c r="BX627"/>
      <c r="BY627"/>
      <c r="BZ627"/>
      <c r="CA627"/>
      <c r="CB627"/>
      <c r="CC627"/>
      <c r="CD627"/>
      <c r="CE627"/>
      <c r="CF627"/>
      <c r="CG627"/>
      <c r="CH627"/>
      <c r="CI627"/>
      <c r="CJ627"/>
    </row>
    <row r="628" spans="1:88" s="32" customFormat="1" ht="15" customHeight="1" x14ac:dyDescent="0.35">
      <c r="A628" s="473"/>
      <c r="B628" s="313">
        <v>12005</v>
      </c>
      <c r="C628" s="8" t="s">
        <v>28</v>
      </c>
      <c r="D628" s="18">
        <v>1</v>
      </c>
      <c r="E628" s="251">
        <v>396</v>
      </c>
      <c r="F628" s="82">
        <v>1.99624765478424</v>
      </c>
      <c r="G628" s="79">
        <v>790.51407129455902</v>
      </c>
      <c r="H628" s="90">
        <v>7.8867000000000003</v>
      </c>
      <c r="I628" s="85">
        <v>6.5057999999999998</v>
      </c>
      <c r="J628" s="85">
        <v>7.2061000000000002</v>
      </c>
      <c r="K628" s="85">
        <v>6.9916999999999998</v>
      </c>
      <c r="L628" s="85">
        <v>7.3827999999999996</v>
      </c>
      <c r="M628" s="85">
        <v>8.2586999999999993</v>
      </c>
      <c r="N628" s="85">
        <v>8.2216000000000005</v>
      </c>
      <c r="O628" s="85">
        <v>8.1356000000000002</v>
      </c>
      <c r="P628" s="85">
        <v>8.6696000000000009</v>
      </c>
      <c r="Q628" s="85">
        <v>8.1114999999999995</v>
      </c>
      <c r="R628" s="85">
        <v>9.0952000000000002</v>
      </c>
      <c r="S628" s="89">
        <v>12.960599999999999</v>
      </c>
      <c r="T628" s="89">
        <v>99.425900000000013</v>
      </c>
      <c r="U628" s="85">
        <v>0</v>
      </c>
      <c r="V628" s="85">
        <v>99.426000000000002</v>
      </c>
      <c r="W628" s="85">
        <v>0</v>
      </c>
      <c r="X628" s="89">
        <v>99.426000000000002</v>
      </c>
      <c r="Y628" s="79">
        <v>0</v>
      </c>
      <c r="Z628" s="79">
        <v>1</v>
      </c>
      <c r="AA628" s="94">
        <v>0</v>
      </c>
      <c r="AB628" s="79">
        <v>1</v>
      </c>
      <c r="AC628" s="85">
        <v>71.611000000000004</v>
      </c>
      <c r="AD628" s="85">
        <v>20.807000000000002</v>
      </c>
      <c r="AE628" s="85">
        <v>7.008</v>
      </c>
      <c r="AF628" s="85">
        <v>0</v>
      </c>
      <c r="AG628" s="85">
        <v>99.426000000000002</v>
      </c>
      <c r="AH628" s="85">
        <v>0</v>
      </c>
      <c r="AI628" s="85">
        <v>0</v>
      </c>
      <c r="AJ628" s="85">
        <v>0</v>
      </c>
      <c r="AK628" s="85">
        <v>0</v>
      </c>
      <c r="AL628" s="85">
        <v>0</v>
      </c>
      <c r="AM628" s="85">
        <v>0</v>
      </c>
      <c r="AN628" s="85">
        <v>0</v>
      </c>
      <c r="AO628" s="85">
        <v>0</v>
      </c>
      <c r="AP628" s="85">
        <v>0</v>
      </c>
      <c r="AQ628" s="85">
        <v>0</v>
      </c>
      <c r="AR628" s="85">
        <v>0</v>
      </c>
      <c r="AS628" s="85">
        <v>0</v>
      </c>
      <c r="AT628" s="85">
        <v>0</v>
      </c>
      <c r="AU628" s="85">
        <v>0</v>
      </c>
      <c r="AV628" s="85">
        <v>0</v>
      </c>
      <c r="AW628" s="85">
        <v>0</v>
      </c>
      <c r="AX628" s="85">
        <v>0</v>
      </c>
      <c r="AY628" s="85">
        <v>0</v>
      </c>
      <c r="AZ628" s="85">
        <v>99.426000000000002</v>
      </c>
      <c r="BA628" s="85">
        <v>0</v>
      </c>
      <c r="BB628" s="89">
        <v>0</v>
      </c>
      <c r="BC628" s="89">
        <v>99.426000000000002</v>
      </c>
      <c r="BD628" s="37">
        <v>0</v>
      </c>
      <c r="BE628" s="37">
        <v>0</v>
      </c>
      <c r="BF628" s="279">
        <v>18728</v>
      </c>
      <c r="BG628" s="37">
        <v>26687</v>
      </c>
      <c r="BH628" s="37">
        <v>18690</v>
      </c>
      <c r="BI628" s="37">
        <v>8865</v>
      </c>
      <c r="BJ628" s="283">
        <v>72970</v>
      </c>
      <c r="BK628" s="161" t="s">
        <v>2724</v>
      </c>
      <c r="BL628" s="294"/>
      <c r="BM628"/>
      <c r="BN628" t="s">
        <v>4635</v>
      </c>
      <c r="BO628"/>
      <c r="BP628"/>
      <c r="BQ628"/>
      <c r="BR628"/>
      <c r="BS628"/>
      <c r="BT628"/>
      <c r="BU628"/>
      <c r="BV628"/>
      <c r="BW628"/>
      <c r="BX628"/>
      <c r="BY628"/>
      <c r="BZ628"/>
      <c r="CA628"/>
      <c r="CB628"/>
      <c r="CC628"/>
      <c r="CD628"/>
      <c r="CE628"/>
      <c r="CF628"/>
      <c r="CG628"/>
      <c r="CH628"/>
      <c r="CI628"/>
      <c r="CJ628"/>
    </row>
    <row r="629" spans="1:88" s="32" customFormat="1" ht="15" customHeight="1" x14ac:dyDescent="0.35">
      <c r="A629" s="473"/>
      <c r="B629" s="313">
        <v>28040</v>
      </c>
      <c r="C629" s="8" t="s">
        <v>194</v>
      </c>
      <c r="D629" s="18">
        <v>12</v>
      </c>
      <c r="E629" s="251"/>
      <c r="F629" s="82"/>
      <c r="G629" s="79"/>
      <c r="H629" s="90"/>
      <c r="I629" s="85"/>
      <c r="J629" s="85"/>
      <c r="K629" s="85"/>
      <c r="L629" s="85"/>
      <c r="M629" s="85"/>
      <c r="N629" s="85"/>
      <c r="O629" s="85"/>
      <c r="P629" s="85"/>
      <c r="Q629" s="85"/>
      <c r="R629" s="85"/>
      <c r="S629" s="89"/>
      <c r="T629" s="89" t="s">
        <v>1124</v>
      </c>
      <c r="U629" s="85"/>
      <c r="V629" s="85"/>
      <c r="W629" s="85"/>
      <c r="X629" s="89" t="s">
        <v>1124</v>
      </c>
      <c r="Y629" s="79"/>
      <c r="Z629" s="79"/>
      <c r="AA629" s="94"/>
      <c r="AB629" s="79" t="s">
        <v>1124</v>
      </c>
      <c r="AC629" s="85"/>
      <c r="AD629" s="85"/>
      <c r="AE629" s="85"/>
      <c r="AF629" s="85"/>
      <c r="AG629" s="85" t="s">
        <v>1124</v>
      </c>
      <c r="AH629" s="85"/>
      <c r="AI629" s="85"/>
      <c r="AJ629" s="85"/>
      <c r="AK629" s="85"/>
      <c r="AL629" s="85"/>
      <c r="AM629" s="85"/>
      <c r="AN629" s="85"/>
      <c r="AO629" s="85"/>
      <c r="AP629" s="85"/>
      <c r="AQ629" s="85"/>
      <c r="AR629" s="85" t="s">
        <v>1124</v>
      </c>
      <c r="AS629" s="85"/>
      <c r="AT629" s="85"/>
      <c r="AU629" s="85"/>
      <c r="AV629" s="85"/>
      <c r="AW629" s="85"/>
      <c r="AX629" s="85"/>
      <c r="AY629" s="85"/>
      <c r="AZ629" s="85"/>
      <c r="BA629" s="85"/>
      <c r="BB629" s="89"/>
      <c r="BC629" s="89" t="s">
        <v>1124</v>
      </c>
      <c r="BD629" s="37"/>
      <c r="BE629" s="37"/>
      <c r="BF629" s="279"/>
      <c r="BG629" s="37"/>
      <c r="BH629" s="37"/>
      <c r="BI629" s="37"/>
      <c r="BJ629" s="283"/>
      <c r="BK629" s="161"/>
      <c r="BL629" s="294"/>
      <c r="BM629"/>
      <c r="BN629"/>
      <c r="BO629"/>
      <c r="BP629"/>
      <c r="BQ629"/>
      <c r="BR629"/>
      <c r="BS629"/>
      <c r="BT629"/>
      <c r="BU629"/>
      <c r="BV629"/>
      <c r="BW629"/>
      <c r="BX629"/>
      <c r="BY629"/>
      <c r="BZ629"/>
      <c r="CA629"/>
      <c r="CB629"/>
      <c r="CC629"/>
      <c r="CD629"/>
      <c r="CE629"/>
      <c r="CF629"/>
      <c r="CG629"/>
      <c r="CH629"/>
      <c r="CI629"/>
      <c r="CJ629"/>
    </row>
    <row r="630" spans="1:88" s="32" customFormat="1" ht="15" customHeight="1" x14ac:dyDescent="0.35">
      <c r="A630" s="473"/>
      <c r="B630" s="313">
        <v>68035</v>
      </c>
      <c r="C630" s="8" t="s">
        <v>679</v>
      </c>
      <c r="D630" s="18">
        <v>16</v>
      </c>
      <c r="E630" s="251">
        <v>191</v>
      </c>
      <c r="F630" s="82">
        <v>3.5318021201413425</v>
      </c>
      <c r="G630" s="79">
        <v>674.57420494699647</v>
      </c>
      <c r="H630" s="90">
        <v>4.8860000000000001</v>
      </c>
      <c r="I630" s="85">
        <v>3.262</v>
      </c>
      <c r="J630" s="85">
        <v>3.726</v>
      </c>
      <c r="K630" s="85">
        <v>2.8140000000000001</v>
      </c>
      <c r="L630" s="85">
        <v>4.6040000000000001</v>
      </c>
      <c r="M630" s="85">
        <v>5.681</v>
      </c>
      <c r="N630" s="85">
        <v>5.9059999999999997</v>
      </c>
      <c r="O630" s="85">
        <v>5.01</v>
      </c>
      <c r="P630" s="85">
        <v>4.7130000000000001</v>
      </c>
      <c r="Q630" s="85">
        <v>4.7329999999999997</v>
      </c>
      <c r="R630" s="85">
        <v>4.6399999999999997</v>
      </c>
      <c r="S630" s="89">
        <v>4.4450000000000003</v>
      </c>
      <c r="T630" s="89">
        <v>54.419999999999995</v>
      </c>
      <c r="U630" s="85">
        <v>0</v>
      </c>
      <c r="V630" s="85">
        <v>54.42</v>
      </c>
      <c r="W630" s="85">
        <v>0</v>
      </c>
      <c r="X630" s="89">
        <v>54.42</v>
      </c>
      <c r="Y630" s="79">
        <v>0</v>
      </c>
      <c r="Z630" s="79">
        <v>2</v>
      </c>
      <c r="AA630" s="94">
        <v>0</v>
      </c>
      <c r="AB630" s="79">
        <v>2</v>
      </c>
      <c r="AC630" s="85">
        <v>43.419147058823533</v>
      </c>
      <c r="AD630" s="85">
        <v>6.8354779411764639</v>
      </c>
      <c r="AE630" s="85">
        <v>4.1653749999999947</v>
      </c>
      <c r="AF630" s="85">
        <v>0</v>
      </c>
      <c r="AG630" s="85">
        <v>54.419999999999995</v>
      </c>
      <c r="AH630" s="85">
        <v>0</v>
      </c>
      <c r="AI630" s="85">
        <v>0</v>
      </c>
      <c r="AJ630" s="85">
        <v>0</v>
      </c>
      <c r="AK630" s="85">
        <v>0</v>
      </c>
      <c r="AL630" s="85">
        <v>0</v>
      </c>
      <c r="AM630" s="85">
        <v>0</v>
      </c>
      <c r="AN630" s="85">
        <v>0</v>
      </c>
      <c r="AO630" s="85">
        <v>0</v>
      </c>
      <c r="AP630" s="85">
        <v>0</v>
      </c>
      <c r="AQ630" s="85">
        <v>0</v>
      </c>
      <c r="AR630" s="85">
        <v>0</v>
      </c>
      <c r="AS630" s="85">
        <v>0</v>
      </c>
      <c r="AT630" s="85">
        <v>0</v>
      </c>
      <c r="AU630" s="85">
        <v>0</v>
      </c>
      <c r="AV630" s="85">
        <v>0</v>
      </c>
      <c r="AW630" s="85">
        <v>0</v>
      </c>
      <c r="AX630" s="85">
        <v>0</v>
      </c>
      <c r="AY630" s="85">
        <v>54.42</v>
      </c>
      <c r="AZ630" s="85">
        <v>0</v>
      </c>
      <c r="BA630" s="85">
        <v>0</v>
      </c>
      <c r="BB630" s="89">
        <v>0</v>
      </c>
      <c r="BC630" s="89">
        <v>54.42</v>
      </c>
      <c r="BD630" s="37">
        <v>41739</v>
      </c>
      <c r="BE630" s="37">
        <v>54963</v>
      </c>
      <c r="BF630" s="279">
        <v>6787</v>
      </c>
      <c r="BG630" s="37">
        <v>11756</v>
      </c>
      <c r="BH630" s="37">
        <v>7700</v>
      </c>
      <c r="BI630" s="37">
        <v>10839</v>
      </c>
      <c r="BJ630" s="283">
        <v>37082</v>
      </c>
      <c r="BK630" s="161"/>
      <c r="BL630" s="294"/>
      <c r="BM630"/>
      <c r="BN630" t="s">
        <v>1123</v>
      </c>
      <c r="BO630"/>
      <c r="BP630"/>
      <c r="BQ630"/>
      <c r="BR630"/>
      <c r="BS630"/>
      <c r="BT630"/>
      <c r="BU630"/>
      <c r="BV630"/>
      <c r="BW630"/>
      <c r="BX630"/>
      <c r="BY630"/>
      <c r="BZ630"/>
      <c r="CA630"/>
      <c r="CB630"/>
      <c r="CC630"/>
      <c r="CD630"/>
      <c r="CE630"/>
      <c r="CF630"/>
      <c r="CG630"/>
      <c r="CH630"/>
      <c r="CI630"/>
      <c r="CJ630"/>
    </row>
    <row r="631" spans="1:88" s="32" customFormat="1" ht="15" customHeight="1" x14ac:dyDescent="0.35">
      <c r="A631" s="473"/>
      <c r="B631" s="313">
        <v>17045</v>
      </c>
      <c r="C631" s="8" t="s">
        <v>98</v>
      </c>
      <c r="D631" s="18">
        <v>12</v>
      </c>
      <c r="E631" s="251"/>
      <c r="F631" s="82"/>
      <c r="G631" s="79"/>
      <c r="H631" s="90"/>
      <c r="I631" s="85"/>
      <c r="J631" s="85"/>
      <c r="K631" s="85"/>
      <c r="L631" s="85"/>
      <c r="M631" s="85"/>
      <c r="N631" s="85"/>
      <c r="O631" s="85"/>
      <c r="P631" s="85"/>
      <c r="Q631" s="85"/>
      <c r="R631" s="85"/>
      <c r="S631" s="89"/>
      <c r="T631" s="89" t="s">
        <v>1124</v>
      </c>
      <c r="U631" s="85"/>
      <c r="V631" s="85"/>
      <c r="W631" s="85"/>
      <c r="X631" s="89" t="s">
        <v>1124</v>
      </c>
      <c r="Y631" s="79"/>
      <c r="Z631" s="79"/>
      <c r="AA631" s="94"/>
      <c r="AB631" s="79" t="s">
        <v>1124</v>
      </c>
      <c r="AC631" s="85"/>
      <c r="AD631" s="85"/>
      <c r="AE631" s="85"/>
      <c r="AF631" s="85"/>
      <c r="AG631" s="85" t="s">
        <v>1124</v>
      </c>
      <c r="AH631" s="85"/>
      <c r="AI631" s="85"/>
      <c r="AJ631" s="85"/>
      <c r="AK631" s="85"/>
      <c r="AL631" s="85"/>
      <c r="AM631" s="85"/>
      <c r="AN631" s="85"/>
      <c r="AO631" s="85"/>
      <c r="AP631" s="85"/>
      <c r="AQ631" s="85"/>
      <c r="AR631" s="85" t="s">
        <v>1124</v>
      </c>
      <c r="AS631" s="85"/>
      <c r="AT631" s="85"/>
      <c r="AU631" s="85"/>
      <c r="AV631" s="85"/>
      <c r="AW631" s="85"/>
      <c r="AX631" s="85"/>
      <c r="AY631" s="85"/>
      <c r="AZ631" s="85"/>
      <c r="BA631" s="85"/>
      <c r="BB631" s="89"/>
      <c r="BC631" s="89" t="s">
        <v>1124</v>
      </c>
      <c r="BD631" s="37"/>
      <c r="BE631" s="37"/>
      <c r="BF631" s="279"/>
      <c r="BG631" s="37"/>
      <c r="BH631" s="37"/>
      <c r="BI631" s="37"/>
      <c r="BJ631" s="283"/>
      <c r="BK631" s="161"/>
      <c r="BL631" s="294"/>
      <c r="BM631"/>
      <c r="BN631"/>
      <c r="BO631"/>
      <c r="BP631"/>
      <c r="BQ631"/>
      <c r="BR631"/>
      <c r="BS631"/>
      <c r="BT631"/>
      <c r="BU631"/>
      <c r="BV631"/>
      <c r="BW631"/>
      <c r="BX631"/>
      <c r="BY631"/>
      <c r="BZ631"/>
      <c r="CA631"/>
      <c r="CB631"/>
      <c r="CC631"/>
      <c r="CD631"/>
      <c r="CE631"/>
      <c r="CF631"/>
      <c r="CG631"/>
      <c r="CH631"/>
      <c r="CI631"/>
      <c r="CJ631"/>
    </row>
    <row r="632" spans="1:88" s="32" customFormat="1" ht="15" customHeight="1" x14ac:dyDescent="0.35">
      <c r="A632" s="473"/>
      <c r="B632" s="313">
        <v>49070</v>
      </c>
      <c r="C632" s="8" t="s">
        <v>472</v>
      </c>
      <c r="D632" s="18">
        <v>17</v>
      </c>
      <c r="E632" s="251"/>
      <c r="F632" s="82"/>
      <c r="G632" s="79"/>
      <c r="H632" s="90"/>
      <c r="I632" s="85"/>
      <c r="J632" s="85"/>
      <c r="K632" s="85"/>
      <c r="L632" s="85"/>
      <c r="M632" s="85"/>
      <c r="N632" s="85"/>
      <c r="O632" s="85"/>
      <c r="P632" s="85"/>
      <c r="Q632" s="85"/>
      <c r="R632" s="85"/>
      <c r="S632" s="89"/>
      <c r="T632" s="89" t="s">
        <v>1124</v>
      </c>
      <c r="U632" s="85"/>
      <c r="V632" s="85"/>
      <c r="W632" s="85"/>
      <c r="X632" s="89" t="s">
        <v>1124</v>
      </c>
      <c r="Y632" s="79"/>
      <c r="Z632" s="79"/>
      <c r="AA632" s="94"/>
      <c r="AB632" s="79" t="s">
        <v>1124</v>
      </c>
      <c r="AC632" s="85"/>
      <c r="AD632" s="85"/>
      <c r="AE632" s="85"/>
      <c r="AF632" s="85"/>
      <c r="AG632" s="85" t="s">
        <v>1124</v>
      </c>
      <c r="AH632" s="85"/>
      <c r="AI632" s="85"/>
      <c r="AJ632" s="85"/>
      <c r="AK632" s="85"/>
      <c r="AL632" s="85"/>
      <c r="AM632" s="85"/>
      <c r="AN632" s="85"/>
      <c r="AO632" s="85"/>
      <c r="AP632" s="85"/>
      <c r="AQ632" s="85"/>
      <c r="AR632" s="85" t="s">
        <v>1124</v>
      </c>
      <c r="AS632" s="85"/>
      <c r="AT632" s="85"/>
      <c r="AU632" s="85"/>
      <c r="AV632" s="85"/>
      <c r="AW632" s="85"/>
      <c r="AX632" s="85"/>
      <c r="AY632" s="85"/>
      <c r="AZ632" s="85"/>
      <c r="BA632" s="85"/>
      <c r="BB632" s="89"/>
      <c r="BC632" s="89" t="s">
        <v>1124</v>
      </c>
      <c r="BD632" s="37"/>
      <c r="BE632" s="37"/>
      <c r="BF632" s="279"/>
      <c r="BG632" s="37"/>
      <c r="BH632" s="37"/>
      <c r="BI632" s="37"/>
      <c r="BJ632" s="283"/>
      <c r="BK632" s="161"/>
      <c r="BL632" s="294"/>
      <c r="BM632"/>
      <c r="BN632"/>
      <c r="BO632"/>
      <c r="BP632"/>
      <c r="BQ632"/>
      <c r="BR632"/>
      <c r="BS632"/>
      <c r="BT632"/>
      <c r="BU632"/>
      <c r="BV632"/>
      <c r="BW632"/>
      <c r="BX632"/>
      <c r="BY632"/>
      <c r="BZ632"/>
      <c r="CA632"/>
      <c r="CB632"/>
      <c r="CC632"/>
      <c r="CD632"/>
      <c r="CE632"/>
      <c r="CF632"/>
      <c r="CG632"/>
      <c r="CH632"/>
      <c r="CI632"/>
      <c r="CJ632"/>
    </row>
    <row r="633" spans="1:88" s="32" customFormat="1" ht="15" customHeight="1" x14ac:dyDescent="0.35">
      <c r="A633" s="473"/>
      <c r="B633" s="313">
        <v>7105</v>
      </c>
      <c r="C633" s="8" t="s">
        <v>1085</v>
      </c>
      <c r="D633" s="18">
        <v>1</v>
      </c>
      <c r="E633" s="251"/>
      <c r="F633" s="82"/>
      <c r="G633" s="79"/>
      <c r="H633" s="90"/>
      <c r="I633" s="85"/>
      <c r="J633" s="85"/>
      <c r="K633" s="85"/>
      <c r="L633" s="85"/>
      <c r="M633" s="85"/>
      <c r="N633" s="85"/>
      <c r="O633" s="85"/>
      <c r="P633" s="85"/>
      <c r="Q633" s="85"/>
      <c r="R633" s="85"/>
      <c r="S633" s="89"/>
      <c r="T633" s="89" t="s">
        <v>1124</v>
      </c>
      <c r="U633" s="85"/>
      <c r="V633" s="85"/>
      <c r="W633" s="85"/>
      <c r="X633" s="89" t="s">
        <v>1124</v>
      </c>
      <c r="Y633" s="79"/>
      <c r="Z633" s="79"/>
      <c r="AA633" s="94"/>
      <c r="AB633" s="79" t="s">
        <v>1124</v>
      </c>
      <c r="AC633" s="85"/>
      <c r="AD633" s="85"/>
      <c r="AE633" s="85"/>
      <c r="AF633" s="85"/>
      <c r="AG633" s="85" t="s">
        <v>1124</v>
      </c>
      <c r="AH633" s="85"/>
      <c r="AI633" s="85"/>
      <c r="AJ633" s="85"/>
      <c r="AK633" s="85"/>
      <c r="AL633" s="85"/>
      <c r="AM633" s="85"/>
      <c r="AN633" s="85"/>
      <c r="AO633" s="85"/>
      <c r="AP633" s="85"/>
      <c r="AQ633" s="85"/>
      <c r="AR633" s="85" t="s">
        <v>1124</v>
      </c>
      <c r="AS633" s="85"/>
      <c r="AT633" s="85"/>
      <c r="AU633" s="85"/>
      <c r="AV633" s="85"/>
      <c r="AW633" s="85"/>
      <c r="AX633" s="85"/>
      <c r="AY633" s="85"/>
      <c r="AZ633" s="85"/>
      <c r="BA633" s="85"/>
      <c r="BB633" s="89"/>
      <c r="BC633" s="89" t="s">
        <v>1124</v>
      </c>
      <c r="BD633" s="37"/>
      <c r="BE633" s="37"/>
      <c r="BF633" s="279"/>
      <c r="BG633" s="37"/>
      <c r="BH633" s="37"/>
      <c r="BI633" s="37"/>
      <c r="BJ633" s="283"/>
      <c r="BK633" s="161"/>
      <c r="BL633" s="294"/>
      <c r="BM633"/>
      <c r="BN633"/>
      <c r="BO633"/>
      <c r="BP633"/>
      <c r="BQ633"/>
      <c r="BR633"/>
      <c r="BS633"/>
      <c r="BT633"/>
      <c r="BU633"/>
      <c r="BV633"/>
      <c r="BW633"/>
      <c r="BX633"/>
      <c r="BY633"/>
      <c r="BZ633"/>
      <c r="CA633"/>
      <c r="CB633"/>
      <c r="CC633"/>
      <c r="CD633"/>
      <c r="CE633"/>
      <c r="CF633"/>
      <c r="CG633"/>
      <c r="CH633"/>
      <c r="CI633"/>
      <c r="CJ633"/>
    </row>
    <row r="634" spans="1:88" s="32" customFormat="1" ht="15" customHeight="1" x14ac:dyDescent="0.35">
      <c r="A634" s="473"/>
      <c r="B634" s="313">
        <v>54017</v>
      </c>
      <c r="C634" s="8" t="s">
        <v>543</v>
      </c>
      <c r="D634" s="18">
        <v>16</v>
      </c>
      <c r="E634" s="251">
        <v>1083</v>
      </c>
      <c r="F634" s="82">
        <v>1.839779005524862</v>
      </c>
      <c r="G634" s="79">
        <v>1992.4806629834254</v>
      </c>
      <c r="H634" s="90">
        <v>134.738</v>
      </c>
      <c r="I634" s="85">
        <v>127.288</v>
      </c>
      <c r="J634" s="85">
        <v>140.077</v>
      </c>
      <c r="K634" s="85">
        <v>133.22900000000001</v>
      </c>
      <c r="L634" s="85">
        <v>140.291</v>
      </c>
      <c r="M634" s="85">
        <v>132.09299999999999</v>
      </c>
      <c r="N634" s="85">
        <v>156.29499999999999</v>
      </c>
      <c r="O634" s="85">
        <v>144.23699999999999</v>
      </c>
      <c r="P634" s="85">
        <v>128.435</v>
      </c>
      <c r="Q634" s="85">
        <v>132.84</v>
      </c>
      <c r="R634" s="85">
        <v>124.434</v>
      </c>
      <c r="S634" s="89">
        <v>115.18899999999999</v>
      </c>
      <c r="T634" s="89">
        <v>1609.146</v>
      </c>
      <c r="U634" s="85">
        <v>1609.146</v>
      </c>
      <c r="V634" s="85">
        <v>0</v>
      </c>
      <c r="W634" s="85">
        <v>0</v>
      </c>
      <c r="X634" s="89">
        <v>1609.146</v>
      </c>
      <c r="Y634" s="79">
        <v>1</v>
      </c>
      <c r="Z634" s="79">
        <v>0</v>
      </c>
      <c r="AA634" s="94">
        <v>0</v>
      </c>
      <c r="AB634" s="79">
        <v>1</v>
      </c>
      <c r="AC634" s="85">
        <v>159.09</v>
      </c>
      <c r="AD634" s="85">
        <v>1423.1370629360233</v>
      </c>
      <c r="AE634" s="85">
        <v>26.918937063976678</v>
      </c>
      <c r="AF634" s="85">
        <v>0</v>
      </c>
      <c r="AG634" s="85">
        <v>1609.146</v>
      </c>
      <c r="AH634" s="85">
        <v>1609.146</v>
      </c>
      <c r="AI634" s="85">
        <v>0</v>
      </c>
      <c r="AJ634" s="85">
        <v>0</v>
      </c>
      <c r="AK634" s="85">
        <v>0</v>
      </c>
      <c r="AL634" s="85">
        <v>0</v>
      </c>
      <c r="AM634" s="85">
        <v>0</v>
      </c>
      <c r="AN634" s="85">
        <v>0</v>
      </c>
      <c r="AO634" s="85">
        <v>0</v>
      </c>
      <c r="AP634" s="85">
        <v>0</v>
      </c>
      <c r="AQ634" s="85">
        <v>0</v>
      </c>
      <c r="AR634" s="85">
        <v>1609.146</v>
      </c>
      <c r="AS634" s="85">
        <v>0</v>
      </c>
      <c r="AT634" s="85">
        <v>0</v>
      </c>
      <c r="AU634" s="85">
        <v>0</v>
      </c>
      <c r="AV634" s="85">
        <v>0</v>
      </c>
      <c r="AW634" s="85">
        <v>0</v>
      </c>
      <c r="AX634" s="85">
        <v>0</v>
      </c>
      <c r="AY634" s="85">
        <v>0</v>
      </c>
      <c r="AZ634" s="85">
        <v>0</v>
      </c>
      <c r="BA634" s="85">
        <v>0</v>
      </c>
      <c r="BB634" s="89">
        <v>0</v>
      </c>
      <c r="BC634" s="89">
        <v>0</v>
      </c>
      <c r="BD634" s="37">
        <v>0</v>
      </c>
      <c r="BE634" s="37">
        <v>645812</v>
      </c>
      <c r="BF634" s="279">
        <v>119626</v>
      </c>
      <c r="BG634" s="37">
        <v>4421</v>
      </c>
      <c r="BH634" s="37">
        <v>110962.84</v>
      </c>
      <c r="BI634" s="37">
        <v>410801.91</v>
      </c>
      <c r="BJ634" s="283">
        <v>645811.75</v>
      </c>
      <c r="BK634" s="161"/>
      <c r="BL634" s="294"/>
      <c r="BM634"/>
      <c r="BN634"/>
      <c r="BO634"/>
      <c r="BP634"/>
      <c r="BQ634"/>
      <c r="BR634"/>
      <c r="BS634"/>
      <c r="BT634"/>
      <c r="BU634"/>
      <c r="BV634"/>
      <c r="BW634"/>
      <c r="BX634"/>
      <c r="BY634"/>
      <c r="BZ634"/>
      <c r="CA634"/>
      <c r="CB634"/>
      <c r="CC634"/>
      <c r="CD634"/>
      <c r="CE634"/>
      <c r="CF634"/>
      <c r="CG634"/>
      <c r="CH634"/>
      <c r="CI634"/>
      <c r="CJ634"/>
    </row>
    <row r="635" spans="1:88" s="32" customFormat="1" ht="15" customHeight="1" x14ac:dyDescent="0.35">
      <c r="A635" s="473"/>
      <c r="B635" s="313">
        <v>17040</v>
      </c>
      <c r="C635" s="8" t="s">
        <v>97</v>
      </c>
      <c r="D635" s="18">
        <v>12</v>
      </c>
      <c r="E635" s="251"/>
      <c r="F635" s="82"/>
      <c r="G635" s="79"/>
      <c r="H635" s="90"/>
      <c r="I635" s="85"/>
      <c r="J635" s="85"/>
      <c r="K635" s="85"/>
      <c r="L635" s="85"/>
      <c r="M635" s="85"/>
      <c r="N635" s="85"/>
      <c r="O635" s="85"/>
      <c r="P635" s="85"/>
      <c r="Q635" s="85"/>
      <c r="R635" s="85"/>
      <c r="S635" s="89"/>
      <c r="T635" s="89" t="s">
        <v>1124</v>
      </c>
      <c r="U635" s="85"/>
      <c r="V635" s="85"/>
      <c r="W635" s="85"/>
      <c r="X635" s="89" t="s">
        <v>1124</v>
      </c>
      <c r="Y635" s="79"/>
      <c r="Z635" s="79"/>
      <c r="AA635" s="94"/>
      <c r="AB635" s="79" t="s">
        <v>1124</v>
      </c>
      <c r="AC635" s="85"/>
      <c r="AD635" s="85"/>
      <c r="AE635" s="85"/>
      <c r="AF635" s="85"/>
      <c r="AG635" s="85" t="s">
        <v>1124</v>
      </c>
      <c r="AH635" s="85"/>
      <c r="AI635" s="85"/>
      <c r="AJ635" s="85"/>
      <c r="AK635" s="85"/>
      <c r="AL635" s="85"/>
      <c r="AM635" s="85"/>
      <c r="AN635" s="85"/>
      <c r="AO635" s="85"/>
      <c r="AP635" s="85"/>
      <c r="AQ635" s="85"/>
      <c r="AR635" s="85" t="s">
        <v>1124</v>
      </c>
      <c r="AS635" s="85"/>
      <c r="AT635" s="85"/>
      <c r="AU635" s="85"/>
      <c r="AV635" s="85"/>
      <c r="AW635" s="85"/>
      <c r="AX635" s="85"/>
      <c r="AY635" s="85"/>
      <c r="AZ635" s="85"/>
      <c r="BA635" s="85"/>
      <c r="BB635" s="89"/>
      <c r="BC635" s="89" t="s">
        <v>1124</v>
      </c>
      <c r="BD635" s="37"/>
      <c r="BE635" s="37"/>
      <c r="BF635" s="279"/>
      <c r="BG635" s="37"/>
      <c r="BH635" s="37"/>
      <c r="BI635" s="37"/>
      <c r="BJ635" s="283"/>
      <c r="BK635" s="161"/>
      <c r="BL635" s="294"/>
      <c r="BM635"/>
      <c r="BN635"/>
      <c r="BO635"/>
      <c r="BP635"/>
      <c r="BQ635"/>
      <c r="BR635"/>
      <c r="BS635"/>
      <c r="BT635"/>
      <c r="BU635"/>
      <c r="BV635"/>
      <c r="BW635"/>
      <c r="BX635"/>
      <c r="BY635"/>
      <c r="BZ635"/>
      <c r="CA635"/>
      <c r="CB635"/>
      <c r="CC635"/>
      <c r="CD635"/>
      <c r="CE635"/>
      <c r="CF635"/>
      <c r="CG635"/>
      <c r="CH635"/>
      <c r="CI635"/>
      <c r="CJ635"/>
    </row>
    <row r="636" spans="1:88" s="32" customFormat="1" ht="15" customHeight="1" x14ac:dyDescent="0.35">
      <c r="A636" s="473"/>
      <c r="B636" s="313">
        <v>62075</v>
      </c>
      <c r="C636" s="8" t="s">
        <v>631</v>
      </c>
      <c r="D636" s="18">
        <v>14</v>
      </c>
      <c r="E636" s="251"/>
      <c r="F636" s="82"/>
      <c r="G636" s="79"/>
      <c r="H636" s="90"/>
      <c r="I636" s="85"/>
      <c r="J636" s="85"/>
      <c r="K636" s="85"/>
      <c r="L636" s="85"/>
      <c r="M636" s="85"/>
      <c r="N636" s="85"/>
      <c r="O636" s="85"/>
      <c r="P636" s="85"/>
      <c r="Q636" s="85"/>
      <c r="R636" s="85"/>
      <c r="S636" s="89"/>
      <c r="T636" s="89" t="s">
        <v>1124</v>
      </c>
      <c r="U636" s="85"/>
      <c r="V636" s="85"/>
      <c r="W636" s="85"/>
      <c r="X636" s="89" t="s">
        <v>1124</v>
      </c>
      <c r="Y636" s="79"/>
      <c r="Z636" s="79"/>
      <c r="AA636" s="94"/>
      <c r="AB636" s="79" t="s">
        <v>1124</v>
      </c>
      <c r="AC636" s="85"/>
      <c r="AD636" s="85"/>
      <c r="AE636" s="85"/>
      <c r="AF636" s="85"/>
      <c r="AG636" s="85" t="s">
        <v>1124</v>
      </c>
      <c r="AH636" s="85"/>
      <c r="AI636" s="85"/>
      <c r="AJ636" s="85"/>
      <c r="AK636" s="85"/>
      <c r="AL636" s="85"/>
      <c r="AM636" s="85"/>
      <c r="AN636" s="85"/>
      <c r="AO636" s="85"/>
      <c r="AP636" s="85"/>
      <c r="AQ636" s="85"/>
      <c r="AR636" s="85" t="s">
        <v>1124</v>
      </c>
      <c r="AS636" s="85"/>
      <c r="AT636" s="85"/>
      <c r="AU636" s="85"/>
      <c r="AV636" s="85"/>
      <c r="AW636" s="85"/>
      <c r="AX636" s="85"/>
      <c r="AY636" s="85"/>
      <c r="AZ636" s="85"/>
      <c r="BA636" s="85"/>
      <c r="BB636" s="89"/>
      <c r="BC636" s="89" t="s">
        <v>1124</v>
      </c>
      <c r="BD636" s="37"/>
      <c r="BE636" s="37"/>
      <c r="BF636" s="279"/>
      <c r="BG636" s="37"/>
      <c r="BH636" s="37"/>
      <c r="BI636" s="37"/>
      <c r="BJ636" s="283"/>
      <c r="BK636" s="161"/>
      <c r="BL636" s="294"/>
      <c r="BM636"/>
      <c r="BN636"/>
      <c r="BO636"/>
      <c r="BP636"/>
      <c r="BQ636"/>
      <c r="BR636"/>
      <c r="BS636"/>
      <c r="BT636"/>
      <c r="BU636"/>
      <c r="BV636"/>
      <c r="BW636"/>
      <c r="BX636"/>
      <c r="BY636"/>
      <c r="BZ636"/>
      <c r="CA636"/>
      <c r="CB636"/>
      <c r="CC636"/>
      <c r="CD636"/>
      <c r="CE636"/>
      <c r="CF636"/>
      <c r="CG636"/>
      <c r="CH636"/>
      <c r="CI636"/>
      <c r="CJ636"/>
    </row>
    <row r="637" spans="1:88" s="32" customFormat="1" ht="15" customHeight="1" x14ac:dyDescent="0.35">
      <c r="A637" s="473"/>
      <c r="B637" s="313">
        <v>19030</v>
      </c>
      <c r="C637" s="8" t="s">
        <v>123</v>
      </c>
      <c r="D637" s="18">
        <v>12</v>
      </c>
      <c r="E637" s="251">
        <v>559</v>
      </c>
      <c r="F637" s="82">
        <v>2.1981566820276499</v>
      </c>
      <c r="G637" s="79">
        <v>1228.7695852534564</v>
      </c>
      <c r="H637" s="90">
        <v>34.337000000000003</v>
      </c>
      <c r="I637" s="85">
        <v>35.11</v>
      </c>
      <c r="J637" s="85">
        <v>40.340000000000003</v>
      </c>
      <c r="K637" s="85">
        <v>30.79</v>
      </c>
      <c r="L637" s="85">
        <v>29.08</v>
      </c>
      <c r="M637" s="85">
        <v>27.29</v>
      </c>
      <c r="N637" s="85">
        <v>25.88</v>
      </c>
      <c r="O637" s="85">
        <v>26.72</v>
      </c>
      <c r="P637" s="85">
        <v>24.11</v>
      </c>
      <c r="Q637" s="85">
        <v>26.16</v>
      </c>
      <c r="R637" s="85">
        <v>25.7</v>
      </c>
      <c r="S637" s="89">
        <v>30.42</v>
      </c>
      <c r="T637" s="89">
        <v>355.93700000000001</v>
      </c>
      <c r="U637" s="85">
        <v>0</v>
      </c>
      <c r="V637" s="85">
        <v>355.93700000000001</v>
      </c>
      <c r="W637" s="85">
        <v>0</v>
      </c>
      <c r="X637" s="89">
        <v>355.93700000000001</v>
      </c>
      <c r="Y637" s="79">
        <v>0</v>
      </c>
      <c r="Z637" s="79">
        <v>1</v>
      </c>
      <c r="AA637" s="94">
        <v>0</v>
      </c>
      <c r="AB637" s="79">
        <v>1</v>
      </c>
      <c r="AC637" s="85">
        <v>90.054109999999994</v>
      </c>
      <c r="AD637" s="85">
        <v>70.944842701644291</v>
      </c>
      <c r="AE637" s="85">
        <v>194.93804729835574</v>
      </c>
      <c r="AF637" s="85">
        <v>0</v>
      </c>
      <c r="AG637" s="85">
        <v>355.93700000000001</v>
      </c>
      <c r="AH637" s="85">
        <v>0</v>
      </c>
      <c r="AI637" s="85">
        <v>0</v>
      </c>
      <c r="AJ637" s="85">
        <v>0</v>
      </c>
      <c r="AK637" s="85">
        <v>0</v>
      </c>
      <c r="AL637" s="85">
        <v>0</v>
      </c>
      <c r="AM637" s="85">
        <v>0</v>
      </c>
      <c r="AN637" s="85">
        <v>0</v>
      </c>
      <c r="AO637" s="85">
        <v>0</v>
      </c>
      <c r="AP637" s="85">
        <v>0</v>
      </c>
      <c r="AQ637" s="85">
        <v>0</v>
      </c>
      <c r="AR637" s="85">
        <v>0</v>
      </c>
      <c r="AS637" s="85">
        <v>0</v>
      </c>
      <c r="AT637" s="85">
        <v>0</v>
      </c>
      <c r="AU637" s="85">
        <v>0</v>
      </c>
      <c r="AV637" s="85">
        <v>0</v>
      </c>
      <c r="AW637" s="85">
        <v>0</v>
      </c>
      <c r="AX637" s="85">
        <v>0</v>
      </c>
      <c r="AY637" s="85">
        <v>355.93700000000001</v>
      </c>
      <c r="AZ637" s="85">
        <v>0</v>
      </c>
      <c r="BA637" s="85">
        <v>0</v>
      </c>
      <c r="BB637" s="89">
        <v>0</v>
      </c>
      <c r="BC637" s="89">
        <v>355.93700000000001</v>
      </c>
      <c r="BD637" s="37">
        <v>0</v>
      </c>
      <c r="BE637" s="37">
        <v>0</v>
      </c>
      <c r="BF637" s="279">
        <v>23248</v>
      </c>
      <c r="BG637" s="37">
        <v>12665</v>
      </c>
      <c r="BH637" s="37">
        <v>24036</v>
      </c>
      <c r="BI637" s="37">
        <v>0</v>
      </c>
      <c r="BJ637" s="283">
        <v>59949</v>
      </c>
      <c r="BK637" s="161"/>
      <c r="BL637" s="294"/>
      <c r="BM637"/>
      <c r="BN637"/>
      <c r="BO637"/>
      <c r="BP637"/>
      <c r="BQ637"/>
      <c r="BR637"/>
      <c r="BS637"/>
      <c r="BT637"/>
      <c r="BU637"/>
      <c r="BV637"/>
      <c r="BW637"/>
      <c r="BX637"/>
      <c r="BY637"/>
      <c r="BZ637"/>
      <c r="CA637"/>
      <c r="CB637"/>
      <c r="CC637"/>
      <c r="CD637"/>
      <c r="CE637"/>
      <c r="CF637"/>
      <c r="CG637"/>
      <c r="CH637"/>
      <c r="CI637"/>
      <c r="CJ637"/>
    </row>
    <row r="638" spans="1:88" s="32" customFormat="1" ht="15" customHeight="1" x14ac:dyDescent="0.35">
      <c r="A638" s="473"/>
      <c r="B638" s="313">
        <v>53005</v>
      </c>
      <c r="C638" s="8" t="s">
        <v>530</v>
      </c>
      <c r="D638" s="18">
        <v>16</v>
      </c>
      <c r="E638" s="251"/>
      <c r="F638" s="82"/>
      <c r="G638" s="79"/>
      <c r="H638" s="90"/>
      <c r="I638" s="85"/>
      <c r="J638" s="85"/>
      <c r="K638" s="85"/>
      <c r="L638" s="85"/>
      <c r="M638" s="85"/>
      <c r="N638" s="85"/>
      <c r="O638" s="85"/>
      <c r="P638" s="85"/>
      <c r="Q638" s="85"/>
      <c r="R638" s="85"/>
      <c r="S638" s="89"/>
      <c r="T638" s="89" t="s">
        <v>1124</v>
      </c>
      <c r="U638" s="85"/>
      <c r="V638" s="85"/>
      <c r="W638" s="85"/>
      <c r="X638" s="89" t="s">
        <v>1124</v>
      </c>
      <c r="Y638" s="79"/>
      <c r="Z638" s="79"/>
      <c r="AA638" s="94"/>
      <c r="AB638" s="79" t="s">
        <v>1124</v>
      </c>
      <c r="AC638" s="85"/>
      <c r="AD638" s="85"/>
      <c r="AE638" s="85"/>
      <c r="AF638" s="85"/>
      <c r="AG638" s="85" t="s">
        <v>1124</v>
      </c>
      <c r="AH638" s="85"/>
      <c r="AI638" s="85"/>
      <c r="AJ638" s="85"/>
      <c r="AK638" s="85"/>
      <c r="AL638" s="85"/>
      <c r="AM638" s="85"/>
      <c r="AN638" s="85"/>
      <c r="AO638" s="85"/>
      <c r="AP638" s="85"/>
      <c r="AQ638" s="85"/>
      <c r="AR638" s="85" t="s">
        <v>1124</v>
      </c>
      <c r="AS638" s="85"/>
      <c r="AT638" s="85"/>
      <c r="AU638" s="85"/>
      <c r="AV638" s="85"/>
      <c r="AW638" s="85"/>
      <c r="AX638" s="85"/>
      <c r="AY638" s="85"/>
      <c r="AZ638" s="85"/>
      <c r="BA638" s="85"/>
      <c r="BB638" s="89"/>
      <c r="BC638" s="89" t="s">
        <v>1124</v>
      </c>
      <c r="BD638" s="37"/>
      <c r="BE638" s="37"/>
      <c r="BF638" s="279"/>
      <c r="BG638" s="37"/>
      <c r="BH638" s="37"/>
      <c r="BI638" s="37"/>
      <c r="BJ638" s="283"/>
      <c r="BK638" s="161"/>
      <c r="BL638" s="294"/>
      <c r="BM638"/>
      <c r="BN638"/>
      <c r="BO638"/>
      <c r="BP638"/>
      <c r="BQ638"/>
      <c r="BR638"/>
      <c r="BS638"/>
      <c r="BT638"/>
      <c r="BU638"/>
      <c r="BV638"/>
      <c r="BW638"/>
      <c r="BX638"/>
      <c r="BY638"/>
      <c r="BZ638"/>
      <c r="CA638"/>
      <c r="CB638"/>
      <c r="CC638"/>
      <c r="CD638"/>
      <c r="CE638"/>
      <c r="CF638"/>
      <c r="CG638"/>
      <c r="CH638"/>
      <c r="CI638"/>
      <c r="CJ638"/>
    </row>
    <row r="639" spans="1:88" s="32" customFormat="1" ht="15" customHeight="1" x14ac:dyDescent="0.35">
      <c r="A639" s="473"/>
      <c r="B639" s="313">
        <v>94245</v>
      </c>
      <c r="C639" s="8" t="s">
        <v>981</v>
      </c>
      <c r="D639" s="18">
        <v>2</v>
      </c>
      <c r="E639" s="251">
        <v>1408</v>
      </c>
      <c r="F639" s="82">
        <v>2.1150705270972532</v>
      </c>
      <c r="G639" s="79">
        <v>2978.0193021529326</v>
      </c>
      <c r="H639" s="90">
        <v>41.756</v>
      </c>
      <c r="I639" s="85">
        <v>39.262</v>
      </c>
      <c r="J639" s="85">
        <v>45.402999999999999</v>
      </c>
      <c r="K639" s="85">
        <v>39.911999999999999</v>
      </c>
      <c r="L639" s="85">
        <v>38.816000000000003</v>
      </c>
      <c r="M639" s="85">
        <v>43.749000000000002</v>
      </c>
      <c r="N639" s="85">
        <v>49.115000000000002</v>
      </c>
      <c r="O639" s="85">
        <v>45.701999999999998</v>
      </c>
      <c r="P639" s="85">
        <v>45.119</v>
      </c>
      <c r="Q639" s="85">
        <v>46.372999999999998</v>
      </c>
      <c r="R639" s="85">
        <v>38.877000000000002</v>
      </c>
      <c r="S639" s="89">
        <v>45.183</v>
      </c>
      <c r="T639" s="89">
        <v>519.26699999999994</v>
      </c>
      <c r="U639" s="85">
        <v>83.465000000000003</v>
      </c>
      <c r="V639" s="85">
        <v>435.80200000000002</v>
      </c>
      <c r="W639" s="85">
        <v>0</v>
      </c>
      <c r="X639" s="89">
        <v>519.26700000000005</v>
      </c>
      <c r="Y639" s="79">
        <v>1</v>
      </c>
      <c r="Z639" s="79">
        <v>1</v>
      </c>
      <c r="AA639" s="94">
        <v>0</v>
      </c>
      <c r="AB639" s="79">
        <v>2</v>
      </c>
      <c r="AC639" s="85">
        <v>209.02907208237988</v>
      </c>
      <c r="AD639" s="85">
        <v>30.179957917620072</v>
      </c>
      <c r="AE639" s="85">
        <v>280.05797000000001</v>
      </c>
      <c r="AF639" s="85">
        <v>0</v>
      </c>
      <c r="AG639" s="85">
        <v>519.26699999999994</v>
      </c>
      <c r="AH639" s="85">
        <v>83.465000000000003</v>
      </c>
      <c r="AI639" s="85">
        <v>0</v>
      </c>
      <c r="AJ639" s="85">
        <v>0</v>
      </c>
      <c r="AK639" s="85">
        <v>0</v>
      </c>
      <c r="AL639" s="85">
        <v>0</v>
      </c>
      <c r="AM639" s="85">
        <v>0</v>
      </c>
      <c r="AN639" s="85">
        <v>0</v>
      </c>
      <c r="AO639" s="85">
        <v>0</v>
      </c>
      <c r="AP639" s="85">
        <v>0</v>
      </c>
      <c r="AQ639" s="85">
        <v>0</v>
      </c>
      <c r="AR639" s="85">
        <v>83.465000000000003</v>
      </c>
      <c r="AS639" s="85">
        <v>0</v>
      </c>
      <c r="AT639" s="85">
        <v>0</v>
      </c>
      <c r="AU639" s="85">
        <v>0</v>
      </c>
      <c r="AV639" s="85">
        <v>0</v>
      </c>
      <c r="AW639" s="85">
        <v>0</v>
      </c>
      <c r="AX639" s="85">
        <v>0</v>
      </c>
      <c r="AY639" s="85">
        <v>435.80200000000002</v>
      </c>
      <c r="AZ639" s="85">
        <v>0</v>
      </c>
      <c r="BA639" s="85">
        <v>0</v>
      </c>
      <c r="BB639" s="89">
        <v>0</v>
      </c>
      <c r="BC639" s="89">
        <v>435.80200000000002</v>
      </c>
      <c r="BD639" s="37">
        <v>62580</v>
      </c>
      <c r="BE639" s="37">
        <v>0</v>
      </c>
      <c r="BF639" s="279">
        <v>155244</v>
      </c>
      <c r="BG639" s="37">
        <v>91993</v>
      </c>
      <c r="BH639" s="37">
        <v>82036</v>
      </c>
      <c r="BI639" s="37">
        <v>0</v>
      </c>
      <c r="BJ639" s="283">
        <v>329273</v>
      </c>
      <c r="BK639" s="161"/>
      <c r="BL639" s="294"/>
      <c r="BM639"/>
      <c r="BN639"/>
      <c r="BO639"/>
      <c r="BP639"/>
      <c r="BQ639"/>
      <c r="BR639"/>
      <c r="BS639"/>
      <c r="BT639"/>
      <c r="BU639"/>
      <c r="BV639"/>
      <c r="BW639"/>
      <c r="BX639"/>
      <c r="BY639"/>
      <c r="BZ639"/>
      <c r="CA639"/>
      <c r="CB639"/>
      <c r="CC639"/>
      <c r="CD639"/>
      <c r="CE639"/>
      <c r="CF639"/>
      <c r="CG639"/>
      <c r="CH639"/>
      <c r="CI639"/>
      <c r="CJ639"/>
    </row>
    <row r="640" spans="1:88" s="32" customFormat="1" ht="15" customHeight="1" x14ac:dyDescent="0.35">
      <c r="A640" s="473"/>
      <c r="B640" s="314">
        <v>14055</v>
      </c>
      <c r="C640" s="8" t="s">
        <v>69</v>
      </c>
      <c r="D640" s="18">
        <v>1</v>
      </c>
      <c r="E640" s="251"/>
      <c r="F640" s="82"/>
      <c r="G640" s="79"/>
      <c r="H640" s="90"/>
      <c r="I640" s="85"/>
      <c r="J640" s="85"/>
      <c r="K640" s="85"/>
      <c r="L640" s="85"/>
      <c r="M640" s="85"/>
      <c r="N640" s="85"/>
      <c r="O640" s="85"/>
      <c r="P640" s="85"/>
      <c r="Q640" s="85"/>
      <c r="R640" s="85"/>
      <c r="S640" s="89"/>
      <c r="T640" s="89" t="s">
        <v>1124</v>
      </c>
      <c r="U640" s="85"/>
      <c r="V640" s="85"/>
      <c r="W640" s="85"/>
      <c r="X640" s="89" t="s">
        <v>1124</v>
      </c>
      <c r="Y640" s="79"/>
      <c r="Z640" s="79"/>
      <c r="AA640" s="94"/>
      <c r="AB640" s="79" t="s">
        <v>1124</v>
      </c>
      <c r="AC640" s="85"/>
      <c r="AD640" s="85"/>
      <c r="AE640" s="85"/>
      <c r="AF640" s="85"/>
      <c r="AG640" s="85" t="s">
        <v>1124</v>
      </c>
      <c r="AH640" s="85"/>
      <c r="AI640" s="85"/>
      <c r="AJ640" s="85"/>
      <c r="AK640" s="85"/>
      <c r="AL640" s="85"/>
      <c r="AM640" s="85"/>
      <c r="AN640" s="85"/>
      <c r="AO640" s="85"/>
      <c r="AP640" s="85"/>
      <c r="AQ640" s="85"/>
      <c r="AR640" s="85" t="s">
        <v>1124</v>
      </c>
      <c r="AS640" s="85"/>
      <c r="AT640" s="85"/>
      <c r="AU640" s="85"/>
      <c r="AV640" s="85"/>
      <c r="AW640" s="85"/>
      <c r="AX640" s="85"/>
      <c r="AY640" s="85"/>
      <c r="AZ640" s="85"/>
      <c r="BA640" s="85"/>
      <c r="BB640" s="89"/>
      <c r="BC640" s="89" t="s">
        <v>1124</v>
      </c>
      <c r="BD640" s="37"/>
      <c r="BE640" s="37"/>
      <c r="BF640" s="279"/>
      <c r="BG640" s="37"/>
      <c r="BH640" s="37"/>
      <c r="BI640" s="37"/>
      <c r="BJ640" s="283"/>
      <c r="BK640" s="161"/>
      <c r="BL640" s="294"/>
      <c r="BM640"/>
      <c r="BN640"/>
      <c r="BO640"/>
      <c r="BP640"/>
      <c r="BQ640"/>
      <c r="BR640"/>
      <c r="BS640"/>
      <c r="BT640"/>
      <c r="BU640"/>
      <c r="BV640"/>
      <c r="BW640"/>
      <c r="BX640"/>
      <c r="BY640"/>
      <c r="BZ640"/>
      <c r="CA640"/>
      <c r="CB640"/>
      <c r="CC640"/>
      <c r="CD640"/>
      <c r="CE640"/>
      <c r="CF640"/>
      <c r="CG640"/>
      <c r="CH640"/>
      <c r="CI640"/>
      <c r="CJ640"/>
    </row>
    <row r="641" spans="1:88" s="32" customFormat="1" ht="15" customHeight="1" x14ac:dyDescent="0.35">
      <c r="A641" s="473"/>
      <c r="B641" s="313">
        <v>42025</v>
      </c>
      <c r="C641" s="8" t="s">
        <v>381</v>
      </c>
      <c r="D641" s="18">
        <v>5</v>
      </c>
      <c r="E641" s="251"/>
      <c r="F641" s="82"/>
      <c r="G641" s="79"/>
      <c r="H641" s="90"/>
      <c r="I641" s="85"/>
      <c r="J641" s="85"/>
      <c r="K641" s="85"/>
      <c r="L641" s="85"/>
      <c r="M641" s="85"/>
      <c r="N641" s="85"/>
      <c r="O641" s="85"/>
      <c r="P641" s="85"/>
      <c r="Q641" s="85"/>
      <c r="R641" s="85"/>
      <c r="S641" s="89"/>
      <c r="T641" s="89" t="s">
        <v>1124</v>
      </c>
      <c r="U641" s="85"/>
      <c r="V641" s="85"/>
      <c r="W641" s="85"/>
      <c r="X641" s="89" t="s">
        <v>1124</v>
      </c>
      <c r="Y641" s="79"/>
      <c r="Z641" s="79"/>
      <c r="AA641" s="94"/>
      <c r="AB641" s="79" t="s">
        <v>1124</v>
      </c>
      <c r="AC641" s="85"/>
      <c r="AD641" s="85"/>
      <c r="AE641" s="85"/>
      <c r="AF641" s="85"/>
      <c r="AG641" s="85" t="s">
        <v>1124</v>
      </c>
      <c r="AH641" s="85"/>
      <c r="AI641" s="85"/>
      <c r="AJ641" s="85"/>
      <c r="AK641" s="85"/>
      <c r="AL641" s="85"/>
      <c r="AM641" s="85"/>
      <c r="AN641" s="85"/>
      <c r="AO641" s="85"/>
      <c r="AP641" s="85"/>
      <c r="AQ641" s="85"/>
      <c r="AR641" s="85" t="s">
        <v>1124</v>
      </c>
      <c r="AS641" s="85"/>
      <c r="AT641" s="85"/>
      <c r="AU641" s="85"/>
      <c r="AV641" s="85"/>
      <c r="AW641" s="85"/>
      <c r="AX641" s="85"/>
      <c r="AY641" s="85"/>
      <c r="AZ641" s="85"/>
      <c r="BA641" s="85"/>
      <c r="BB641" s="89"/>
      <c r="BC641" s="89" t="s">
        <v>1124</v>
      </c>
      <c r="BD641" s="37"/>
      <c r="BE641" s="37"/>
      <c r="BF641" s="279"/>
      <c r="BG641" s="37"/>
      <c r="BH641" s="37"/>
      <c r="BI641" s="37"/>
      <c r="BJ641" s="283"/>
      <c r="BK641" s="161"/>
      <c r="BL641" s="294"/>
      <c r="BM641"/>
      <c r="BN641"/>
      <c r="BO641"/>
      <c r="BP641"/>
      <c r="BQ641"/>
      <c r="BR641"/>
      <c r="BS641"/>
      <c r="BT641"/>
      <c r="BU641"/>
      <c r="BV641"/>
      <c r="BW641"/>
      <c r="BX641"/>
      <c r="BY641"/>
      <c r="BZ641"/>
      <c r="CA641"/>
      <c r="CB641"/>
      <c r="CC641"/>
      <c r="CD641"/>
      <c r="CE641"/>
      <c r="CF641"/>
      <c r="CG641"/>
      <c r="CH641"/>
      <c r="CI641"/>
      <c r="CJ641"/>
    </row>
    <row r="642" spans="1:88" s="32" customFormat="1" ht="15" customHeight="1" x14ac:dyDescent="0.35">
      <c r="A642" s="473"/>
      <c r="B642" s="313">
        <v>57068</v>
      </c>
      <c r="C642" s="8" t="s">
        <v>592</v>
      </c>
      <c r="D642" s="18">
        <v>16</v>
      </c>
      <c r="E642" s="251">
        <v>5000</v>
      </c>
      <c r="F642" s="82">
        <v>2.2992125984251968</v>
      </c>
      <c r="G642" s="79">
        <v>11496.062992125984</v>
      </c>
      <c r="H642" s="90">
        <v>327.60199999999998</v>
      </c>
      <c r="I642" s="85">
        <v>303.2</v>
      </c>
      <c r="J642" s="85">
        <v>340.61099999999999</v>
      </c>
      <c r="K642" s="85">
        <v>304.27600000000001</v>
      </c>
      <c r="L642" s="85">
        <v>406.30599999999998</v>
      </c>
      <c r="M642" s="85">
        <v>412.31900000000002</v>
      </c>
      <c r="N642" s="85">
        <v>501.661</v>
      </c>
      <c r="O642" s="85">
        <v>495.45299999999997</v>
      </c>
      <c r="P642" s="85">
        <v>425.78500000000003</v>
      </c>
      <c r="Q642" s="85">
        <v>395.96800000000002</v>
      </c>
      <c r="R642" s="85">
        <v>332.48500000000001</v>
      </c>
      <c r="S642" s="89">
        <v>311.33</v>
      </c>
      <c r="T642" s="89">
        <v>4556.9959999999992</v>
      </c>
      <c r="U642" s="85">
        <v>4556.9960000000001</v>
      </c>
      <c r="V642" s="85">
        <v>0</v>
      </c>
      <c r="W642" s="85">
        <v>0</v>
      </c>
      <c r="X642" s="89">
        <v>4556.9960000000001</v>
      </c>
      <c r="Y642" s="79">
        <v>1</v>
      </c>
      <c r="Z642" s="79">
        <v>0</v>
      </c>
      <c r="AA642" s="94">
        <v>0</v>
      </c>
      <c r="AB642" s="79">
        <v>1</v>
      </c>
      <c r="AC642" s="85">
        <v>896.45100000000002</v>
      </c>
      <c r="AD642" s="85">
        <v>1224.6346352319579</v>
      </c>
      <c r="AE642" s="85">
        <v>210.52936476804112</v>
      </c>
      <c r="AF642" s="85">
        <v>2225.3809999999999</v>
      </c>
      <c r="AG642" s="85">
        <v>4556.9959999999992</v>
      </c>
      <c r="AH642" s="85">
        <v>0</v>
      </c>
      <c r="AI642" s="85">
        <v>0</v>
      </c>
      <c r="AJ642" s="85">
        <v>0</v>
      </c>
      <c r="AK642" s="85">
        <v>0</v>
      </c>
      <c r="AL642" s="85">
        <v>4556.9959999999992</v>
      </c>
      <c r="AM642" s="85">
        <v>0</v>
      </c>
      <c r="AN642" s="85">
        <v>0</v>
      </c>
      <c r="AO642" s="85">
        <v>0</v>
      </c>
      <c r="AP642" s="85">
        <v>0</v>
      </c>
      <c r="AQ642" s="85">
        <v>0</v>
      </c>
      <c r="AR642" s="85">
        <v>4556.9959999999992</v>
      </c>
      <c r="AS642" s="85">
        <v>0</v>
      </c>
      <c r="AT642" s="85">
        <v>0</v>
      </c>
      <c r="AU642" s="85">
        <v>0</v>
      </c>
      <c r="AV642" s="85">
        <v>0</v>
      </c>
      <c r="AW642" s="85">
        <v>0</v>
      </c>
      <c r="AX642" s="85">
        <v>0</v>
      </c>
      <c r="AY642" s="85">
        <v>0</v>
      </c>
      <c r="AZ642" s="85">
        <v>0</v>
      </c>
      <c r="BA642" s="85">
        <v>0</v>
      </c>
      <c r="BB642" s="89">
        <v>0</v>
      </c>
      <c r="BC642" s="89">
        <v>0</v>
      </c>
      <c r="BD642" s="37">
        <v>0</v>
      </c>
      <c r="BE642" s="37">
        <v>76856</v>
      </c>
      <c r="BF642" s="279">
        <v>201148</v>
      </c>
      <c r="BG642" s="37">
        <v>596970</v>
      </c>
      <c r="BH642" s="37">
        <v>310480</v>
      </c>
      <c r="BI642" s="37">
        <v>73417</v>
      </c>
      <c r="BJ642" s="283">
        <v>1182015</v>
      </c>
      <c r="BK642" s="161"/>
      <c r="BL642" s="294"/>
      <c r="BM642"/>
      <c r="BN642"/>
      <c r="BO642"/>
      <c r="BP642"/>
      <c r="BQ642"/>
      <c r="BR642"/>
      <c r="BS642"/>
      <c r="BT642"/>
      <c r="BU642"/>
      <c r="BV642"/>
      <c r="BW642"/>
      <c r="BX642"/>
      <c r="BY642"/>
      <c r="BZ642"/>
      <c r="CA642"/>
      <c r="CB642"/>
      <c r="CC642"/>
      <c r="CD642"/>
      <c r="CE642"/>
      <c r="CF642"/>
      <c r="CG642"/>
      <c r="CH642"/>
      <c r="CI642"/>
      <c r="CJ642"/>
    </row>
    <row r="643" spans="1:88" s="32" customFormat="1" ht="15" customHeight="1" x14ac:dyDescent="0.35">
      <c r="A643" s="473"/>
      <c r="B643" s="313">
        <v>52090</v>
      </c>
      <c r="C643" s="8" t="s">
        <v>528</v>
      </c>
      <c r="D643" s="18">
        <v>14</v>
      </c>
      <c r="E643" s="251"/>
      <c r="F643" s="82"/>
      <c r="G643" s="79"/>
      <c r="H643" s="90"/>
      <c r="I643" s="85"/>
      <c r="J643" s="85"/>
      <c r="K643" s="85"/>
      <c r="L643" s="85"/>
      <c r="M643" s="85"/>
      <c r="N643" s="85"/>
      <c r="O643" s="85"/>
      <c r="P643" s="85"/>
      <c r="Q643" s="85"/>
      <c r="R643" s="85"/>
      <c r="S643" s="89"/>
      <c r="T643" s="89" t="s">
        <v>1124</v>
      </c>
      <c r="U643" s="85"/>
      <c r="V643" s="85"/>
      <c r="W643" s="85"/>
      <c r="X643" s="89" t="s">
        <v>1124</v>
      </c>
      <c r="Y643" s="79"/>
      <c r="Z643" s="79"/>
      <c r="AA643" s="94"/>
      <c r="AB643" s="79" t="s">
        <v>1124</v>
      </c>
      <c r="AC643" s="85"/>
      <c r="AD643" s="85"/>
      <c r="AE643" s="85"/>
      <c r="AF643" s="85"/>
      <c r="AG643" s="85" t="s">
        <v>1124</v>
      </c>
      <c r="AH643" s="85"/>
      <c r="AI643" s="85"/>
      <c r="AJ643" s="85"/>
      <c r="AK643" s="85"/>
      <c r="AL643" s="85"/>
      <c r="AM643" s="85"/>
      <c r="AN643" s="85"/>
      <c r="AO643" s="85"/>
      <c r="AP643" s="85"/>
      <c r="AQ643" s="85"/>
      <c r="AR643" s="85" t="s">
        <v>1124</v>
      </c>
      <c r="AS643" s="85"/>
      <c r="AT643" s="85"/>
      <c r="AU643" s="85"/>
      <c r="AV643" s="85"/>
      <c r="AW643" s="85"/>
      <c r="AX643" s="85"/>
      <c r="AY643" s="85"/>
      <c r="AZ643" s="85"/>
      <c r="BA643" s="85"/>
      <c r="BB643" s="89"/>
      <c r="BC643" s="89" t="s">
        <v>1124</v>
      </c>
      <c r="BD643" s="37"/>
      <c r="BE643" s="37"/>
      <c r="BF643" s="279"/>
      <c r="BG643" s="37"/>
      <c r="BH643" s="37"/>
      <c r="BI643" s="37"/>
      <c r="BJ643" s="283"/>
      <c r="BK643" s="161"/>
      <c r="BL643" s="294"/>
      <c r="BM643"/>
      <c r="BN643"/>
      <c r="BO643"/>
      <c r="BP643"/>
      <c r="BQ643"/>
      <c r="BR643"/>
      <c r="BS643"/>
      <c r="BT643"/>
      <c r="BU643"/>
      <c r="BV643"/>
      <c r="BW643"/>
      <c r="BX643"/>
      <c r="BY643"/>
      <c r="BZ643"/>
      <c r="CA643"/>
      <c r="CB643"/>
      <c r="CC643"/>
      <c r="CD643"/>
      <c r="CE643"/>
      <c r="CF643"/>
      <c r="CG643"/>
      <c r="CH643"/>
      <c r="CI643"/>
      <c r="CJ643"/>
    </row>
    <row r="644" spans="1:88" s="32" customFormat="1" ht="15" customHeight="1" x14ac:dyDescent="0.35">
      <c r="A644" s="473"/>
      <c r="B644" s="313">
        <v>54060</v>
      </c>
      <c r="C644" s="8" t="s">
        <v>548</v>
      </c>
      <c r="D644" s="18">
        <v>16</v>
      </c>
      <c r="E644" s="251">
        <v>691</v>
      </c>
      <c r="F644" s="82">
        <v>2.526829268292683</v>
      </c>
      <c r="G644" s="79">
        <v>1746.0390243902439</v>
      </c>
      <c r="H644" s="90">
        <v>17.48</v>
      </c>
      <c r="I644" s="85">
        <v>15.74</v>
      </c>
      <c r="J644" s="85">
        <v>18.013999999999999</v>
      </c>
      <c r="K644" s="85">
        <v>18.204000000000001</v>
      </c>
      <c r="L644" s="85">
        <v>18.116</v>
      </c>
      <c r="M644" s="85">
        <v>18.943999999999999</v>
      </c>
      <c r="N644" s="85">
        <v>19.914999999999999</v>
      </c>
      <c r="O644" s="85">
        <v>20.358000000000001</v>
      </c>
      <c r="P644" s="85">
        <v>19.561</v>
      </c>
      <c r="Q644" s="85">
        <v>16.815000000000001</v>
      </c>
      <c r="R644" s="85">
        <v>16.265999999999998</v>
      </c>
      <c r="S644" s="89">
        <v>16.399000000000001</v>
      </c>
      <c r="T644" s="89">
        <v>215.81199999999998</v>
      </c>
      <c r="U644" s="85">
        <v>0</v>
      </c>
      <c r="V644" s="85">
        <v>215.81199999999998</v>
      </c>
      <c r="W644" s="85">
        <v>0</v>
      </c>
      <c r="X644" s="89">
        <v>215.81199999999998</v>
      </c>
      <c r="Y644" s="79">
        <v>0</v>
      </c>
      <c r="Z644" s="79">
        <v>2</v>
      </c>
      <c r="AA644" s="94">
        <v>0</v>
      </c>
      <c r="AB644" s="79">
        <v>2</v>
      </c>
      <c r="AC644" s="85">
        <v>155.36000000000001</v>
      </c>
      <c r="AD644" s="85">
        <v>35.908380510204069</v>
      </c>
      <c r="AE644" s="85">
        <v>24.543619489795887</v>
      </c>
      <c r="AF644" s="85">
        <v>0</v>
      </c>
      <c r="AG644" s="85">
        <v>215.81199999999995</v>
      </c>
      <c r="AH644" s="85">
        <v>0</v>
      </c>
      <c r="AI644" s="85">
        <v>0</v>
      </c>
      <c r="AJ644" s="85">
        <v>0</v>
      </c>
      <c r="AK644" s="85">
        <v>0</v>
      </c>
      <c r="AL644" s="85">
        <v>0</v>
      </c>
      <c r="AM644" s="85">
        <v>0</v>
      </c>
      <c r="AN644" s="85">
        <v>0</v>
      </c>
      <c r="AO644" s="85">
        <v>0</v>
      </c>
      <c r="AP644" s="85">
        <v>0</v>
      </c>
      <c r="AQ644" s="85">
        <v>0</v>
      </c>
      <c r="AR644" s="85">
        <v>0</v>
      </c>
      <c r="AS644" s="85">
        <v>0</v>
      </c>
      <c r="AT644" s="85">
        <v>0</v>
      </c>
      <c r="AU644" s="85">
        <v>0</v>
      </c>
      <c r="AV644" s="85">
        <v>0</v>
      </c>
      <c r="AW644" s="85">
        <v>0</v>
      </c>
      <c r="AX644" s="85">
        <v>0</v>
      </c>
      <c r="AY644" s="85">
        <v>215.81199999999995</v>
      </c>
      <c r="AZ644" s="85">
        <v>0</v>
      </c>
      <c r="BA644" s="85">
        <v>0</v>
      </c>
      <c r="BB644" s="89">
        <v>0</v>
      </c>
      <c r="BC644" s="89">
        <v>215.81199999999995</v>
      </c>
      <c r="BD644" s="37">
        <v>0</v>
      </c>
      <c r="BE644" s="37">
        <v>0</v>
      </c>
      <c r="BF644" s="279">
        <v>7926</v>
      </c>
      <c r="BG644" s="37">
        <v>58680</v>
      </c>
      <c r="BH644" s="37">
        <v>10451</v>
      </c>
      <c r="BI644" s="37">
        <v>6803</v>
      </c>
      <c r="BJ644" s="283">
        <v>83860</v>
      </c>
      <c r="BK644" s="161"/>
      <c r="BL644" s="294"/>
      <c r="BM644"/>
      <c r="BN644"/>
      <c r="BO644"/>
      <c r="BP644"/>
      <c r="BQ644"/>
      <c r="BR644"/>
      <c r="BS644"/>
      <c r="BT644"/>
      <c r="BU644"/>
      <c r="BV644"/>
      <c r="BW644"/>
      <c r="BX644"/>
      <c r="BY644"/>
      <c r="BZ644"/>
      <c r="CA644"/>
      <c r="CB644"/>
      <c r="CC644"/>
      <c r="CD644"/>
      <c r="CE644"/>
      <c r="CF644"/>
      <c r="CG644"/>
      <c r="CH644"/>
      <c r="CI644"/>
      <c r="CJ644"/>
    </row>
    <row r="645" spans="1:88" s="32" customFormat="1" ht="15" customHeight="1" x14ac:dyDescent="0.35">
      <c r="A645" s="473"/>
      <c r="B645" s="313">
        <v>88065</v>
      </c>
      <c r="C645" s="8" t="s">
        <v>922</v>
      </c>
      <c r="D645" s="18">
        <v>8</v>
      </c>
      <c r="E645" s="251"/>
      <c r="F645" s="82"/>
      <c r="G645" s="79"/>
      <c r="H645" s="90"/>
      <c r="I645" s="85"/>
      <c r="J645" s="85"/>
      <c r="K645" s="85"/>
      <c r="L645" s="85"/>
      <c r="M645" s="85"/>
      <c r="N645" s="85"/>
      <c r="O645" s="85"/>
      <c r="P645" s="85"/>
      <c r="Q645" s="85"/>
      <c r="R645" s="85"/>
      <c r="S645" s="89"/>
      <c r="T645" s="89" t="s">
        <v>1124</v>
      </c>
      <c r="U645" s="85"/>
      <c r="V645" s="85"/>
      <c r="W645" s="85"/>
      <c r="X645" s="89" t="s">
        <v>1124</v>
      </c>
      <c r="Y645" s="79"/>
      <c r="Z645" s="79"/>
      <c r="AA645" s="94"/>
      <c r="AB645" s="79" t="s">
        <v>1124</v>
      </c>
      <c r="AC645" s="85"/>
      <c r="AD645" s="85"/>
      <c r="AE645" s="85"/>
      <c r="AF645" s="85"/>
      <c r="AG645" s="85" t="s">
        <v>1124</v>
      </c>
      <c r="AH645" s="85"/>
      <c r="AI645" s="85"/>
      <c r="AJ645" s="85"/>
      <c r="AK645" s="85"/>
      <c r="AL645" s="85"/>
      <c r="AM645" s="85"/>
      <c r="AN645" s="85"/>
      <c r="AO645" s="85"/>
      <c r="AP645" s="85"/>
      <c r="AQ645" s="85"/>
      <c r="AR645" s="85" t="s">
        <v>1124</v>
      </c>
      <c r="AS645" s="85"/>
      <c r="AT645" s="85"/>
      <c r="AU645" s="85"/>
      <c r="AV645" s="85"/>
      <c r="AW645" s="85"/>
      <c r="AX645" s="85"/>
      <c r="AY645" s="85"/>
      <c r="AZ645" s="85"/>
      <c r="BA645" s="85"/>
      <c r="BB645" s="89"/>
      <c r="BC645" s="89" t="s">
        <v>1124</v>
      </c>
      <c r="BD645" s="37"/>
      <c r="BE645" s="37"/>
      <c r="BF645" s="279"/>
      <c r="BG645" s="37"/>
      <c r="BH645" s="37"/>
      <c r="BI645" s="37"/>
      <c r="BJ645" s="283"/>
      <c r="BK645" s="161"/>
      <c r="BL645" s="294"/>
      <c r="BM645"/>
      <c r="BN645"/>
      <c r="BO645"/>
      <c r="BP645"/>
      <c r="BQ645"/>
      <c r="BR645"/>
      <c r="BS645"/>
      <c r="BT645"/>
      <c r="BU645"/>
      <c r="BV645"/>
      <c r="BW645"/>
      <c r="BX645"/>
      <c r="BY645"/>
      <c r="BZ645"/>
      <c r="CA645"/>
      <c r="CB645"/>
      <c r="CC645"/>
      <c r="CD645"/>
      <c r="CE645"/>
      <c r="CF645"/>
      <c r="CG645"/>
      <c r="CH645"/>
      <c r="CI645"/>
      <c r="CJ645"/>
    </row>
    <row r="646" spans="1:88" s="32" customFormat="1" ht="15" customHeight="1" x14ac:dyDescent="0.35">
      <c r="A646" s="473"/>
      <c r="B646" s="313">
        <v>9030</v>
      </c>
      <c r="C646" s="8" t="s">
        <v>1102</v>
      </c>
      <c r="D646" s="18">
        <v>1</v>
      </c>
      <c r="E646" s="251"/>
      <c r="F646" s="82"/>
      <c r="G646" s="79"/>
      <c r="H646" s="90"/>
      <c r="I646" s="85"/>
      <c r="J646" s="85"/>
      <c r="K646" s="85"/>
      <c r="L646" s="85"/>
      <c r="M646" s="85"/>
      <c r="N646" s="85"/>
      <c r="O646" s="85"/>
      <c r="P646" s="85"/>
      <c r="Q646" s="85"/>
      <c r="R646" s="85"/>
      <c r="S646" s="89"/>
      <c r="T646" s="89" t="s">
        <v>1124</v>
      </c>
      <c r="U646" s="85"/>
      <c r="V646" s="85"/>
      <c r="W646" s="85"/>
      <c r="X646" s="89" t="s">
        <v>1124</v>
      </c>
      <c r="Y646" s="79"/>
      <c r="Z646" s="79"/>
      <c r="AA646" s="94"/>
      <c r="AB646" s="79" t="s">
        <v>1124</v>
      </c>
      <c r="AC646" s="85"/>
      <c r="AD646" s="85"/>
      <c r="AE646" s="85"/>
      <c r="AF646" s="85"/>
      <c r="AG646" s="85" t="s">
        <v>1124</v>
      </c>
      <c r="AH646" s="85"/>
      <c r="AI646" s="85"/>
      <c r="AJ646" s="85"/>
      <c r="AK646" s="85"/>
      <c r="AL646" s="85"/>
      <c r="AM646" s="85"/>
      <c r="AN646" s="85"/>
      <c r="AO646" s="85"/>
      <c r="AP646" s="85"/>
      <c r="AQ646" s="85"/>
      <c r="AR646" s="85" t="s">
        <v>1124</v>
      </c>
      <c r="AS646" s="85"/>
      <c r="AT646" s="85"/>
      <c r="AU646" s="85"/>
      <c r="AV646" s="85"/>
      <c r="AW646" s="85"/>
      <c r="AX646" s="85"/>
      <c r="AY646" s="85"/>
      <c r="AZ646" s="85"/>
      <c r="BA646" s="85"/>
      <c r="BB646" s="89"/>
      <c r="BC646" s="89" t="s">
        <v>1124</v>
      </c>
      <c r="BD646" s="37"/>
      <c r="BE646" s="37"/>
      <c r="BF646" s="279"/>
      <c r="BG646" s="37"/>
      <c r="BH646" s="37"/>
      <c r="BI646" s="37"/>
      <c r="BJ646" s="283"/>
      <c r="BK646" s="161"/>
      <c r="BL646" s="294"/>
      <c r="BM646"/>
      <c r="BN646"/>
      <c r="BO646"/>
      <c r="BP646"/>
      <c r="BQ646"/>
      <c r="BR646"/>
      <c r="BS646"/>
      <c r="BT646"/>
      <c r="BU646"/>
      <c r="BV646"/>
      <c r="BW646"/>
      <c r="BX646"/>
      <c r="BY646"/>
      <c r="BZ646"/>
      <c r="CA646"/>
      <c r="CB646"/>
      <c r="CC646"/>
      <c r="CD646"/>
      <c r="CE646"/>
      <c r="CF646"/>
      <c r="CG646"/>
      <c r="CH646"/>
      <c r="CI646"/>
      <c r="CJ646"/>
    </row>
    <row r="647" spans="1:88" s="32" customFormat="1" ht="15" customHeight="1" x14ac:dyDescent="0.35">
      <c r="A647" s="473"/>
      <c r="B647" s="313">
        <v>62060</v>
      </c>
      <c r="C647" s="8" t="s">
        <v>628</v>
      </c>
      <c r="D647" s="18">
        <v>14</v>
      </c>
      <c r="E647" s="251"/>
      <c r="F647" s="82"/>
      <c r="G647" s="79"/>
      <c r="H647" s="90"/>
      <c r="I647" s="85"/>
      <c r="J647" s="85"/>
      <c r="K647" s="85"/>
      <c r="L647" s="85"/>
      <c r="M647" s="85"/>
      <c r="N647" s="85"/>
      <c r="O647" s="85"/>
      <c r="P647" s="85"/>
      <c r="Q647" s="85"/>
      <c r="R647" s="85"/>
      <c r="S647" s="89"/>
      <c r="T647" s="89" t="s">
        <v>1124</v>
      </c>
      <c r="U647" s="85"/>
      <c r="V647" s="85"/>
      <c r="W647" s="85"/>
      <c r="X647" s="89" t="s">
        <v>1124</v>
      </c>
      <c r="Y647" s="79"/>
      <c r="Z647" s="79"/>
      <c r="AA647" s="94"/>
      <c r="AB647" s="79" t="s">
        <v>1124</v>
      </c>
      <c r="AC647" s="85"/>
      <c r="AD647" s="85"/>
      <c r="AE647" s="85"/>
      <c r="AF647" s="85"/>
      <c r="AG647" s="85" t="s">
        <v>1124</v>
      </c>
      <c r="AH647" s="85"/>
      <c r="AI647" s="85"/>
      <c r="AJ647" s="85"/>
      <c r="AK647" s="85"/>
      <c r="AL647" s="85"/>
      <c r="AM647" s="85"/>
      <c r="AN647" s="85"/>
      <c r="AO647" s="85"/>
      <c r="AP647" s="85"/>
      <c r="AQ647" s="85"/>
      <c r="AR647" s="85" t="s">
        <v>1124</v>
      </c>
      <c r="AS647" s="85"/>
      <c r="AT647" s="85"/>
      <c r="AU647" s="85"/>
      <c r="AV647" s="85"/>
      <c r="AW647" s="85"/>
      <c r="AX647" s="85"/>
      <c r="AY647" s="85"/>
      <c r="AZ647" s="85"/>
      <c r="BA647" s="85"/>
      <c r="BB647" s="89"/>
      <c r="BC647" s="89" t="s">
        <v>1124</v>
      </c>
      <c r="BD647" s="37"/>
      <c r="BE647" s="37"/>
      <c r="BF647" s="279"/>
      <c r="BG647" s="37"/>
      <c r="BH647" s="37"/>
      <c r="BI647" s="37"/>
      <c r="BJ647" s="283"/>
      <c r="BK647" s="161"/>
      <c r="BL647" s="294"/>
      <c r="BM647"/>
      <c r="BN647"/>
      <c r="BO647"/>
      <c r="BP647"/>
      <c r="BQ647"/>
      <c r="BR647"/>
      <c r="BS647"/>
      <c r="BT647"/>
      <c r="BU647"/>
      <c r="BV647"/>
      <c r="BW647"/>
      <c r="BX647"/>
      <c r="BY647"/>
      <c r="BZ647"/>
      <c r="CA647"/>
      <c r="CB647"/>
      <c r="CC647"/>
      <c r="CD647"/>
      <c r="CE647"/>
      <c r="CF647"/>
      <c r="CG647"/>
      <c r="CH647"/>
      <c r="CI647"/>
      <c r="CJ647"/>
    </row>
    <row r="648" spans="1:88" s="32" customFormat="1" ht="15" customHeight="1" x14ac:dyDescent="0.35">
      <c r="A648" s="473"/>
      <c r="B648" s="313">
        <v>77022</v>
      </c>
      <c r="C648" s="8" t="s">
        <v>758</v>
      </c>
      <c r="D648" s="18">
        <v>15</v>
      </c>
      <c r="E648" s="251">
        <v>6501</v>
      </c>
      <c r="F648" s="82">
        <v>1.7431311560393987</v>
      </c>
      <c r="G648" s="79">
        <v>11332.095645412131</v>
      </c>
      <c r="H648" s="90">
        <v>184.13900000000001</v>
      </c>
      <c r="I648" s="85">
        <v>185.941</v>
      </c>
      <c r="J648" s="85">
        <v>179.68935700000003</v>
      </c>
      <c r="K648" s="85">
        <v>183.96133300000005</v>
      </c>
      <c r="L648" s="85">
        <v>190.55777600000002</v>
      </c>
      <c r="M648" s="85">
        <v>205.54461800000001</v>
      </c>
      <c r="N648" s="85">
        <v>223.09379799999999</v>
      </c>
      <c r="O648" s="85">
        <v>224.40342900000002</v>
      </c>
      <c r="P648" s="85">
        <v>199.97290600000002</v>
      </c>
      <c r="Q648" s="85">
        <v>182.30452200000002</v>
      </c>
      <c r="R648" s="85">
        <v>154.55508779999997</v>
      </c>
      <c r="S648" s="89">
        <v>164.67447499999997</v>
      </c>
      <c r="T648" s="89">
        <v>2278.8373017999998</v>
      </c>
      <c r="U648" s="85">
        <v>0</v>
      </c>
      <c r="V648" s="85">
        <v>2278.837</v>
      </c>
      <c r="W648" s="85">
        <v>0</v>
      </c>
      <c r="X648" s="89">
        <v>2278.837</v>
      </c>
      <c r="Y648" s="79">
        <v>0</v>
      </c>
      <c r="Z648" s="79">
        <v>3</v>
      </c>
      <c r="AA648" s="94">
        <v>0</v>
      </c>
      <c r="AB648" s="79">
        <v>3</v>
      </c>
      <c r="AC648" s="85">
        <v>764.11900000000003</v>
      </c>
      <c r="AD648" s="85">
        <v>298.27500000000009</v>
      </c>
      <c r="AE648" s="85">
        <v>1216.443</v>
      </c>
      <c r="AF648" s="85">
        <v>0</v>
      </c>
      <c r="AG648" s="85">
        <v>2278.8370000000004</v>
      </c>
      <c r="AH648" s="85">
        <v>0</v>
      </c>
      <c r="AI648" s="85">
        <v>0</v>
      </c>
      <c r="AJ648" s="85">
        <v>0</v>
      </c>
      <c r="AK648" s="85">
        <v>0</v>
      </c>
      <c r="AL648" s="85">
        <v>0</v>
      </c>
      <c r="AM648" s="85">
        <v>0</v>
      </c>
      <c r="AN648" s="85">
        <v>0</v>
      </c>
      <c r="AO648" s="85">
        <v>0</v>
      </c>
      <c r="AP648" s="85">
        <v>0</v>
      </c>
      <c r="AQ648" s="85">
        <v>0</v>
      </c>
      <c r="AR648" s="85">
        <v>0</v>
      </c>
      <c r="AS648" s="85">
        <v>0</v>
      </c>
      <c r="AT648" s="85">
        <v>0</v>
      </c>
      <c r="AU648" s="85">
        <v>0</v>
      </c>
      <c r="AV648" s="85">
        <v>0</v>
      </c>
      <c r="AW648" s="85">
        <v>0</v>
      </c>
      <c r="AX648" s="85">
        <v>0</v>
      </c>
      <c r="AY648" s="85">
        <v>2278.837</v>
      </c>
      <c r="AZ648" s="85">
        <v>0</v>
      </c>
      <c r="BA648" s="85">
        <v>0</v>
      </c>
      <c r="BB648" s="89">
        <v>0</v>
      </c>
      <c r="BC648" s="89">
        <v>2278.837</v>
      </c>
      <c r="BD648" s="37">
        <v>0</v>
      </c>
      <c r="BE648" s="37">
        <v>0</v>
      </c>
      <c r="BF648" s="279">
        <v>83262</v>
      </c>
      <c r="BG648" s="37">
        <v>83833</v>
      </c>
      <c r="BH648" s="37">
        <v>123405</v>
      </c>
      <c r="BI648" s="37">
        <v>28206</v>
      </c>
      <c r="BJ648" s="283">
        <v>318706</v>
      </c>
      <c r="BK648" s="161"/>
      <c r="BL648" s="294"/>
      <c r="BM648"/>
      <c r="BN648"/>
      <c r="BO648"/>
      <c r="BP648"/>
      <c r="BQ648"/>
      <c r="BR648"/>
      <c r="BS648"/>
      <c r="BT648"/>
      <c r="BU648"/>
      <c r="BV648"/>
      <c r="BW648"/>
      <c r="BX648"/>
      <c r="BY648"/>
      <c r="BZ648"/>
      <c r="CA648"/>
      <c r="CB648"/>
      <c r="CC648"/>
      <c r="CD648"/>
      <c r="CE648"/>
      <c r="CF648"/>
      <c r="CG648"/>
      <c r="CH648"/>
      <c r="CI648"/>
      <c r="CJ648"/>
    </row>
    <row r="649" spans="1:88" s="32" customFormat="1" ht="15" customHeight="1" x14ac:dyDescent="0.35">
      <c r="A649" s="473"/>
      <c r="B649" s="313">
        <v>33017</v>
      </c>
      <c r="C649" s="8" t="s">
        <v>268</v>
      </c>
      <c r="D649" s="18">
        <v>12</v>
      </c>
      <c r="E649" s="251">
        <v>372</v>
      </c>
      <c r="F649" s="82">
        <v>2.191011235955056</v>
      </c>
      <c r="G649" s="79">
        <v>815.05617977528084</v>
      </c>
      <c r="H649" s="90">
        <v>5.7709999999999999</v>
      </c>
      <c r="I649" s="85">
        <v>5.4059999999999997</v>
      </c>
      <c r="J649" s="85">
        <v>5.875</v>
      </c>
      <c r="K649" s="85">
        <v>5.5069999999999997</v>
      </c>
      <c r="L649" s="85">
        <v>6.17</v>
      </c>
      <c r="M649" s="85">
        <v>6.23</v>
      </c>
      <c r="N649" s="85">
        <v>6.9880000000000004</v>
      </c>
      <c r="O649" s="85">
        <v>6.0579999999999998</v>
      </c>
      <c r="P649" s="85">
        <v>5.8049999999999997</v>
      </c>
      <c r="Q649" s="85">
        <v>5.5069999999999997</v>
      </c>
      <c r="R649" s="85">
        <v>5.0839999999999996</v>
      </c>
      <c r="S649" s="89">
        <v>5.5919999999999996</v>
      </c>
      <c r="T649" s="89">
        <v>69.992999999999995</v>
      </c>
      <c r="U649" s="85">
        <v>0</v>
      </c>
      <c r="V649" s="85">
        <v>69.992999999999995</v>
      </c>
      <c r="W649" s="85">
        <v>0</v>
      </c>
      <c r="X649" s="89">
        <v>69.992999999999995</v>
      </c>
      <c r="Y649" s="79">
        <v>0</v>
      </c>
      <c r="Z649" s="79">
        <v>3</v>
      </c>
      <c r="AA649" s="94">
        <v>0</v>
      </c>
      <c r="AB649" s="79">
        <v>3</v>
      </c>
      <c r="AC649" s="85">
        <v>33.256</v>
      </c>
      <c r="AD649" s="85">
        <v>22.113</v>
      </c>
      <c r="AE649" s="85">
        <v>14.624000000000001</v>
      </c>
      <c r="AF649" s="85">
        <v>0</v>
      </c>
      <c r="AG649" s="85">
        <v>69.992999999999995</v>
      </c>
      <c r="AH649" s="85">
        <v>0</v>
      </c>
      <c r="AI649" s="85">
        <v>0</v>
      </c>
      <c r="AJ649" s="85">
        <v>0</v>
      </c>
      <c r="AK649" s="85">
        <v>0</v>
      </c>
      <c r="AL649" s="85">
        <v>0</v>
      </c>
      <c r="AM649" s="85">
        <v>0</v>
      </c>
      <c r="AN649" s="85">
        <v>0</v>
      </c>
      <c r="AO649" s="85">
        <v>0</v>
      </c>
      <c r="AP649" s="85">
        <v>0</v>
      </c>
      <c r="AQ649" s="85">
        <v>0</v>
      </c>
      <c r="AR649" s="85">
        <v>0</v>
      </c>
      <c r="AS649" s="85">
        <v>69.992999999999995</v>
      </c>
      <c r="AT649" s="85">
        <v>0</v>
      </c>
      <c r="AU649" s="85">
        <v>0</v>
      </c>
      <c r="AV649" s="85">
        <v>0</v>
      </c>
      <c r="AW649" s="85">
        <v>0</v>
      </c>
      <c r="AX649" s="85">
        <v>0</v>
      </c>
      <c r="AY649" s="85">
        <v>0</v>
      </c>
      <c r="AZ649" s="85">
        <v>0</v>
      </c>
      <c r="BA649" s="85">
        <v>0</v>
      </c>
      <c r="BB649" s="89">
        <v>0</v>
      </c>
      <c r="BC649" s="89">
        <v>69.992999999999995</v>
      </c>
      <c r="BD649" s="37">
        <v>0</v>
      </c>
      <c r="BE649" s="37">
        <v>0</v>
      </c>
      <c r="BF649" s="279">
        <v>6486</v>
      </c>
      <c r="BG649" s="37">
        <v>14440</v>
      </c>
      <c r="BH649" s="37">
        <v>4810</v>
      </c>
      <c r="BI649" s="37">
        <v>12613</v>
      </c>
      <c r="BJ649" s="283">
        <v>38349</v>
      </c>
      <c r="BK649" s="161"/>
      <c r="BL649" s="294"/>
      <c r="BM649"/>
      <c r="BN649"/>
      <c r="BO649"/>
      <c r="BP649"/>
      <c r="BQ649"/>
      <c r="BR649"/>
      <c r="BS649"/>
      <c r="BT649"/>
      <c r="BU649"/>
      <c r="BV649"/>
      <c r="BW649"/>
      <c r="BX649"/>
      <c r="BY649"/>
      <c r="BZ649"/>
      <c r="CA649"/>
      <c r="CB649"/>
      <c r="CC649"/>
      <c r="CD649"/>
      <c r="CE649"/>
      <c r="CF649"/>
      <c r="CG649"/>
      <c r="CH649"/>
      <c r="CI649"/>
      <c r="CJ649"/>
    </row>
    <row r="650" spans="1:88" s="32" customFormat="1" ht="15" customHeight="1" x14ac:dyDescent="0.35">
      <c r="A650" s="473"/>
      <c r="B650" s="313">
        <v>78032</v>
      </c>
      <c r="C650" s="8" t="s">
        <v>770</v>
      </c>
      <c r="D650" s="18">
        <v>15</v>
      </c>
      <c r="E650" s="251">
        <v>3773</v>
      </c>
      <c r="F650" s="82">
        <v>1.8414043583535109</v>
      </c>
      <c r="G650" s="79">
        <v>6947.6186440677966</v>
      </c>
      <c r="H650" s="90">
        <v>193.715</v>
      </c>
      <c r="I650" s="85">
        <v>178.18</v>
      </c>
      <c r="J650" s="85">
        <v>199.946</v>
      </c>
      <c r="K650" s="85">
        <v>184.24299999999999</v>
      </c>
      <c r="L650" s="85">
        <v>197.96899999999999</v>
      </c>
      <c r="M650" s="85">
        <v>213.345</v>
      </c>
      <c r="N650" s="85">
        <v>247.58099999999999</v>
      </c>
      <c r="O650" s="85">
        <v>232.01</v>
      </c>
      <c r="P650" s="85">
        <v>187.05600000000001</v>
      </c>
      <c r="Q650" s="85">
        <v>169.73599999999999</v>
      </c>
      <c r="R650" s="85">
        <v>160.953</v>
      </c>
      <c r="S650" s="89">
        <v>173.684</v>
      </c>
      <c r="T650" s="89">
        <v>2338.4180000000001</v>
      </c>
      <c r="U650" s="85">
        <v>2338.4180000000001</v>
      </c>
      <c r="V650" s="85">
        <v>0</v>
      </c>
      <c r="W650" s="85">
        <v>0</v>
      </c>
      <c r="X650" s="89">
        <v>2338.4180000000001</v>
      </c>
      <c r="Y650" s="79">
        <v>1</v>
      </c>
      <c r="Z650" s="79">
        <v>0</v>
      </c>
      <c r="AA650" s="94">
        <v>0</v>
      </c>
      <c r="AB650" s="79">
        <v>1</v>
      </c>
      <c r="AC650" s="85">
        <v>634.86378548895902</v>
      </c>
      <c r="AD650" s="85">
        <v>306.99256951104121</v>
      </c>
      <c r="AE650" s="85">
        <v>1396.561645</v>
      </c>
      <c r="AF650" s="85">
        <v>0</v>
      </c>
      <c r="AG650" s="85">
        <v>2338.4180000000001</v>
      </c>
      <c r="AH650" s="85">
        <v>0</v>
      </c>
      <c r="AI650" s="85">
        <v>0</v>
      </c>
      <c r="AJ650" s="85">
        <v>0</v>
      </c>
      <c r="AK650" s="85">
        <v>2338.4180000000001</v>
      </c>
      <c r="AL650" s="85">
        <v>0</v>
      </c>
      <c r="AM650" s="85">
        <v>0</v>
      </c>
      <c r="AN650" s="85">
        <v>0</v>
      </c>
      <c r="AO650" s="85">
        <v>0</v>
      </c>
      <c r="AP650" s="85">
        <v>0</v>
      </c>
      <c r="AQ650" s="85">
        <v>0</v>
      </c>
      <c r="AR650" s="85">
        <v>2338.4180000000001</v>
      </c>
      <c r="AS650" s="85">
        <v>0</v>
      </c>
      <c r="AT650" s="85">
        <v>0</v>
      </c>
      <c r="AU650" s="85">
        <v>0</v>
      </c>
      <c r="AV650" s="85">
        <v>0</v>
      </c>
      <c r="AW650" s="85">
        <v>0</v>
      </c>
      <c r="AX650" s="85">
        <v>0</v>
      </c>
      <c r="AY650" s="85">
        <v>0</v>
      </c>
      <c r="AZ650" s="85">
        <v>0</v>
      </c>
      <c r="BA650" s="85">
        <v>0</v>
      </c>
      <c r="BB650" s="89">
        <v>0</v>
      </c>
      <c r="BC650" s="89">
        <v>0</v>
      </c>
      <c r="BD650" s="37">
        <v>0</v>
      </c>
      <c r="BE650" s="37">
        <v>0</v>
      </c>
      <c r="BF650" s="279">
        <v>209837</v>
      </c>
      <c r="BG650" s="37">
        <v>129997</v>
      </c>
      <c r="BH650" s="37">
        <v>130350</v>
      </c>
      <c r="BI650" s="37">
        <v>0</v>
      </c>
      <c r="BJ650" s="283">
        <v>470184</v>
      </c>
      <c r="BK650" s="161"/>
      <c r="BL650" s="294"/>
      <c r="BM650"/>
      <c r="BN650"/>
      <c r="BO650"/>
      <c r="BP650"/>
      <c r="BQ650"/>
      <c r="BR650"/>
      <c r="BS650"/>
      <c r="BT650"/>
      <c r="BU650"/>
      <c r="BV650"/>
      <c r="BW650"/>
      <c r="BX650"/>
      <c r="BY650"/>
      <c r="BZ650"/>
      <c r="CA650"/>
      <c r="CB650"/>
      <c r="CC650"/>
      <c r="CD650"/>
      <c r="CE650"/>
      <c r="CF650"/>
      <c r="CG650"/>
      <c r="CH650"/>
      <c r="CI650"/>
      <c r="CJ650"/>
    </row>
    <row r="651" spans="1:88" s="32" customFormat="1" ht="15" customHeight="1" x14ac:dyDescent="0.35">
      <c r="A651" s="473"/>
      <c r="B651" s="314">
        <v>9035</v>
      </c>
      <c r="C651" s="8" t="s">
        <v>1103</v>
      </c>
      <c r="D651" s="18">
        <v>1</v>
      </c>
      <c r="E651" s="251">
        <v>283</v>
      </c>
      <c r="F651" s="82">
        <v>2.072210065645514</v>
      </c>
      <c r="G651" s="79">
        <v>586.43544857768052</v>
      </c>
      <c r="H651" s="90">
        <v>12.775</v>
      </c>
      <c r="I651" s="85">
        <v>11.773</v>
      </c>
      <c r="J651" s="85">
        <v>13.388999999999999</v>
      </c>
      <c r="K651" s="85">
        <v>13.176</v>
      </c>
      <c r="L651" s="85">
        <v>13.669</v>
      </c>
      <c r="M651" s="85">
        <v>12.706</v>
      </c>
      <c r="N651" s="85">
        <v>13.109</v>
      </c>
      <c r="O651" s="85">
        <v>7.5330000000000004</v>
      </c>
      <c r="P651" s="85">
        <v>9.2279999999999998</v>
      </c>
      <c r="Q651" s="85">
        <v>9.9550000000000001</v>
      </c>
      <c r="R651" s="85">
        <v>18.227</v>
      </c>
      <c r="S651" s="89">
        <v>11.227</v>
      </c>
      <c r="T651" s="89">
        <v>146.767</v>
      </c>
      <c r="U651" s="85">
        <v>0</v>
      </c>
      <c r="V651" s="85">
        <v>146.767</v>
      </c>
      <c r="W651" s="85">
        <v>0</v>
      </c>
      <c r="X651" s="89">
        <v>146.767</v>
      </c>
      <c r="Y651" s="79">
        <v>0</v>
      </c>
      <c r="Z651" s="79">
        <v>2</v>
      </c>
      <c r="AA651" s="94">
        <v>0</v>
      </c>
      <c r="AB651" s="79">
        <v>2</v>
      </c>
      <c r="AC651" s="85">
        <v>70.129351724137933</v>
      </c>
      <c r="AD651" s="85">
        <v>3.9361532758620683</v>
      </c>
      <c r="AE651" s="85">
        <v>72.701494999999994</v>
      </c>
      <c r="AF651" s="85">
        <v>0</v>
      </c>
      <c r="AG651" s="85">
        <v>146.767</v>
      </c>
      <c r="AH651" s="85">
        <v>0</v>
      </c>
      <c r="AI651" s="85">
        <v>0</v>
      </c>
      <c r="AJ651" s="85">
        <v>0</v>
      </c>
      <c r="AK651" s="85">
        <v>0</v>
      </c>
      <c r="AL651" s="85">
        <v>0</v>
      </c>
      <c r="AM651" s="85">
        <v>0</v>
      </c>
      <c r="AN651" s="85">
        <v>0</v>
      </c>
      <c r="AO651" s="85">
        <v>0</v>
      </c>
      <c r="AP651" s="85">
        <v>0</v>
      </c>
      <c r="AQ651" s="85">
        <v>0</v>
      </c>
      <c r="AR651" s="85">
        <v>0</v>
      </c>
      <c r="AS651" s="85">
        <v>0</v>
      </c>
      <c r="AT651" s="85">
        <v>0</v>
      </c>
      <c r="AU651" s="85">
        <v>0</v>
      </c>
      <c r="AV651" s="85">
        <v>0</v>
      </c>
      <c r="AW651" s="85">
        <v>0</v>
      </c>
      <c r="AX651" s="85">
        <v>0</v>
      </c>
      <c r="AY651" s="85">
        <v>0</v>
      </c>
      <c r="AZ651" s="85">
        <v>0</v>
      </c>
      <c r="BA651" s="85">
        <v>146.767</v>
      </c>
      <c r="BB651" s="89">
        <v>0</v>
      </c>
      <c r="BC651" s="89">
        <v>146.767</v>
      </c>
      <c r="BD651" s="37">
        <v>0</v>
      </c>
      <c r="BE651" s="37">
        <v>0</v>
      </c>
      <c r="BF651" s="279">
        <v>6729</v>
      </c>
      <c r="BG651" s="37">
        <v>3674</v>
      </c>
      <c r="BH651" s="37">
        <v>8182</v>
      </c>
      <c r="BI651" s="37">
        <v>2120</v>
      </c>
      <c r="BJ651" s="283">
        <v>20705</v>
      </c>
      <c r="BK651" s="161"/>
      <c r="BL651" s="294"/>
      <c r="BM651"/>
      <c r="BN651"/>
      <c r="BO651"/>
      <c r="BP651"/>
      <c r="BQ651"/>
      <c r="BR651"/>
      <c r="BS651"/>
      <c r="BT651"/>
      <c r="BU651"/>
      <c r="BV651"/>
      <c r="BW651"/>
      <c r="BX651"/>
      <c r="BY651"/>
      <c r="BZ651"/>
      <c r="CA651"/>
      <c r="CB651"/>
      <c r="CC651"/>
      <c r="CD651"/>
      <c r="CE651"/>
      <c r="CF651"/>
      <c r="CG651"/>
      <c r="CH651"/>
      <c r="CI651"/>
      <c r="CJ651"/>
    </row>
    <row r="652" spans="1:88" s="32" customFormat="1" ht="15" customHeight="1" x14ac:dyDescent="0.35">
      <c r="A652" s="473"/>
      <c r="B652" s="313">
        <v>55030</v>
      </c>
      <c r="C652" s="8" t="s">
        <v>562</v>
      </c>
      <c r="D652" s="18">
        <v>16</v>
      </c>
      <c r="E652" s="251"/>
      <c r="F652" s="82"/>
      <c r="G652" s="79"/>
      <c r="H652" s="90"/>
      <c r="I652" s="85"/>
      <c r="J652" s="85"/>
      <c r="K652" s="85"/>
      <c r="L652" s="85"/>
      <c r="M652" s="85"/>
      <c r="N652" s="85"/>
      <c r="O652" s="85"/>
      <c r="P652" s="85"/>
      <c r="Q652" s="85"/>
      <c r="R652" s="85"/>
      <c r="S652" s="89"/>
      <c r="T652" s="89" t="s">
        <v>1124</v>
      </c>
      <c r="U652" s="85"/>
      <c r="V652" s="85"/>
      <c r="W652" s="85"/>
      <c r="X652" s="89" t="s">
        <v>1124</v>
      </c>
      <c r="Y652" s="79"/>
      <c r="Z652" s="79"/>
      <c r="AA652" s="94"/>
      <c r="AB652" s="79" t="s">
        <v>1124</v>
      </c>
      <c r="AC652" s="85"/>
      <c r="AD652" s="85"/>
      <c r="AE652" s="85"/>
      <c r="AF652" s="85"/>
      <c r="AG652" s="85" t="s">
        <v>1124</v>
      </c>
      <c r="AH652" s="85"/>
      <c r="AI652" s="85"/>
      <c r="AJ652" s="85"/>
      <c r="AK652" s="85"/>
      <c r="AL652" s="85"/>
      <c r="AM652" s="85"/>
      <c r="AN652" s="85"/>
      <c r="AO652" s="85"/>
      <c r="AP652" s="85"/>
      <c r="AQ652" s="85"/>
      <c r="AR652" s="85" t="s">
        <v>1124</v>
      </c>
      <c r="AS652" s="85"/>
      <c r="AT652" s="85"/>
      <c r="AU652" s="85"/>
      <c r="AV652" s="85"/>
      <c r="AW652" s="85"/>
      <c r="AX652" s="85"/>
      <c r="AY652" s="85"/>
      <c r="AZ652" s="85"/>
      <c r="BA652" s="85"/>
      <c r="BB652" s="89"/>
      <c r="BC652" s="89" t="s">
        <v>1124</v>
      </c>
      <c r="BD652" s="37"/>
      <c r="BE652" s="37"/>
      <c r="BF652" s="279"/>
      <c r="BG652" s="37"/>
      <c r="BH652" s="37"/>
      <c r="BI652" s="37"/>
      <c r="BJ652" s="283"/>
      <c r="BK652" s="161"/>
      <c r="BL652" s="294"/>
      <c r="BM652"/>
      <c r="BN652"/>
      <c r="BO652"/>
      <c r="BP652"/>
      <c r="BQ652"/>
      <c r="BR652"/>
      <c r="BS652"/>
      <c r="BT652"/>
      <c r="BU652"/>
      <c r="BV652"/>
      <c r="BW652"/>
      <c r="BX652"/>
      <c r="BY652"/>
      <c r="BZ652"/>
      <c r="CA652"/>
      <c r="CB652"/>
      <c r="CC652"/>
      <c r="CD652"/>
      <c r="CE652"/>
      <c r="CF652"/>
      <c r="CG652"/>
      <c r="CH652"/>
      <c r="CI652"/>
      <c r="CJ652"/>
    </row>
    <row r="653" spans="1:88" s="32" customFormat="1" ht="15" customHeight="1" x14ac:dyDescent="0.35">
      <c r="A653" s="473"/>
      <c r="B653" s="313">
        <v>51055</v>
      </c>
      <c r="C653" s="8" t="s">
        <v>507</v>
      </c>
      <c r="D653" s="18">
        <v>4</v>
      </c>
      <c r="E653" s="251"/>
      <c r="F653" s="82"/>
      <c r="G653" s="79"/>
      <c r="H653" s="90"/>
      <c r="I653" s="85"/>
      <c r="J653" s="85"/>
      <c r="K653" s="85"/>
      <c r="L653" s="85"/>
      <c r="M653" s="85"/>
      <c r="N653" s="85"/>
      <c r="O653" s="85"/>
      <c r="P653" s="85"/>
      <c r="Q653" s="85"/>
      <c r="R653" s="85"/>
      <c r="S653" s="89"/>
      <c r="T653" s="89" t="s">
        <v>1124</v>
      </c>
      <c r="U653" s="85"/>
      <c r="V653" s="85"/>
      <c r="W653" s="85"/>
      <c r="X653" s="89" t="s">
        <v>1124</v>
      </c>
      <c r="Y653" s="79"/>
      <c r="Z653" s="79"/>
      <c r="AA653" s="94"/>
      <c r="AB653" s="79" t="s">
        <v>1124</v>
      </c>
      <c r="AC653" s="85"/>
      <c r="AD653" s="85"/>
      <c r="AE653" s="85"/>
      <c r="AF653" s="85"/>
      <c r="AG653" s="85" t="s">
        <v>1124</v>
      </c>
      <c r="AH653" s="85"/>
      <c r="AI653" s="85"/>
      <c r="AJ653" s="85"/>
      <c r="AK653" s="85"/>
      <c r="AL653" s="85"/>
      <c r="AM653" s="85"/>
      <c r="AN653" s="85"/>
      <c r="AO653" s="85"/>
      <c r="AP653" s="85"/>
      <c r="AQ653" s="85"/>
      <c r="AR653" s="85" t="s">
        <v>1124</v>
      </c>
      <c r="AS653" s="85"/>
      <c r="AT653" s="85"/>
      <c r="AU653" s="85"/>
      <c r="AV653" s="85"/>
      <c r="AW653" s="85"/>
      <c r="AX653" s="85"/>
      <c r="AY653" s="85"/>
      <c r="AZ653" s="85"/>
      <c r="BA653" s="85"/>
      <c r="BB653" s="89"/>
      <c r="BC653" s="89" t="s">
        <v>1124</v>
      </c>
      <c r="BD653" s="37"/>
      <c r="BE653" s="37"/>
      <c r="BF653" s="279"/>
      <c r="BG653" s="37"/>
      <c r="BH653" s="37"/>
      <c r="BI653" s="37"/>
      <c r="BJ653" s="283"/>
      <c r="BK653" s="161"/>
      <c r="BL653" s="294"/>
      <c r="BM653"/>
      <c r="BN653"/>
      <c r="BO653"/>
      <c r="BP653"/>
      <c r="BQ653"/>
      <c r="BR653"/>
      <c r="BS653"/>
      <c r="BT653"/>
      <c r="BU653"/>
      <c r="BV653"/>
      <c r="BW653"/>
      <c r="BX653"/>
      <c r="BY653"/>
      <c r="BZ653"/>
      <c r="CA653"/>
      <c r="CB653"/>
      <c r="CC653"/>
      <c r="CD653"/>
      <c r="CE653"/>
      <c r="CF653"/>
      <c r="CG653"/>
      <c r="CH653"/>
      <c r="CI653"/>
      <c r="CJ653"/>
    </row>
    <row r="654" spans="1:88" s="32" customFormat="1" ht="15" customHeight="1" x14ac:dyDescent="0.35">
      <c r="A654" s="473"/>
      <c r="B654" s="313">
        <v>21030</v>
      </c>
      <c r="C654" s="8" t="s">
        <v>149</v>
      </c>
      <c r="D654" s="18">
        <v>3</v>
      </c>
      <c r="E654" s="251">
        <v>1546</v>
      </c>
      <c r="F654" s="82">
        <v>2.0160502442428472</v>
      </c>
      <c r="G654" s="79">
        <v>3116.8136775994417</v>
      </c>
      <c r="H654" s="90">
        <v>31.646562000000003</v>
      </c>
      <c r="I654" s="85">
        <v>29.285952000000002</v>
      </c>
      <c r="J654" s="85">
        <v>31.854084</v>
      </c>
      <c r="K654" s="85">
        <v>31.878522</v>
      </c>
      <c r="L654" s="85">
        <v>35.040108000000004</v>
      </c>
      <c r="M654" s="85">
        <v>36.280955999999996</v>
      </c>
      <c r="N654" s="85">
        <v>40.444446000000006</v>
      </c>
      <c r="O654" s="85">
        <v>37.929936000000005</v>
      </c>
      <c r="P654" s="85">
        <v>33.327570000000001</v>
      </c>
      <c r="Q654" s="85">
        <v>32.863776000000001</v>
      </c>
      <c r="R654" s="85">
        <v>29.662457999999997</v>
      </c>
      <c r="S654" s="89">
        <v>30.557963999999998</v>
      </c>
      <c r="T654" s="89">
        <v>400.772334</v>
      </c>
      <c r="U654" s="85">
        <v>0</v>
      </c>
      <c r="V654" s="85">
        <v>400.772334</v>
      </c>
      <c r="W654" s="85">
        <v>0</v>
      </c>
      <c r="X654" s="89">
        <v>400.772334</v>
      </c>
      <c r="Y654" s="79">
        <v>0</v>
      </c>
      <c r="Z654" s="79">
        <v>1</v>
      </c>
      <c r="AA654" s="94">
        <v>0</v>
      </c>
      <c r="AB654" s="79">
        <v>1</v>
      </c>
      <c r="AC654" s="85">
        <v>235.42179706744872</v>
      </c>
      <c r="AD654" s="85">
        <v>30.224032932551268</v>
      </c>
      <c r="AE654" s="85">
        <v>135.12650400000001</v>
      </c>
      <c r="AF654" s="85">
        <v>0</v>
      </c>
      <c r="AG654" s="85">
        <v>400.772334</v>
      </c>
      <c r="AH654" s="85">
        <v>0</v>
      </c>
      <c r="AI654" s="85">
        <v>0</v>
      </c>
      <c r="AJ654" s="85">
        <v>0</v>
      </c>
      <c r="AK654" s="85">
        <v>0</v>
      </c>
      <c r="AL654" s="85">
        <v>0</v>
      </c>
      <c r="AM654" s="85">
        <v>0</v>
      </c>
      <c r="AN654" s="85">
        <v>0</v>
      </c>
      <c r="AO654" s="85">
        <v>0</v>
      </c>
      <c r="AP654" s="85">
        <v>0</v>
      </c>
      <c r="AQ654" s="85">
        <v>0</v>
      </c>
      <c r="AR654" s="85">
        <v>0</v>
      </c>
      <c r="AS654" s="85">
        <v>0</v>
      </c>
      <c r="AT654" s="85">
        <v>0</v>
      </c>
      <c r="AU654" s="85">
        <v>0</v>
      </c>
      <c r="AV654" s="85">
        <v>0</v>
      </c>
      <c r="AW654" s="85">
        <v>0</v>
      </c>
      <c r="AX654" s="85">
        <v>0</v>
      </c>
      <c r="AY654" s="85">
        <v>400.772334</v>
      </c>
      <c r="AZ654" s="85">
        <v>0</v>
      </c>
      <c r="BA654" s="85">
        <v>0</v>
      </c>
      <c r="BB654" s="89">
        <v>0</v>
      </c>
      <c r="BC654" s="89">
        <v>400.772334</v>
      </c>
      <c r="BD654" s="37">
        <v>0</v>
      </c>
      <c r="BE654" s="37">
        <v>0</v>
      </c>
      <c r="BF654" s="279">
        <v>64568</v>
      </c>
      <c r="BG654" s="37">
        <v>45518</v>
      </c>
      <c r="BH654" s="37">
        <v>26631</v>
      </c>
      <c r="BI654" s="37">
        <v>0</v>
      </c>
      <c r="BJ654" s="283">
        <v>136717</v>
      </c>
      <c r="BK654" s="161"/>
      <c r="BL654" s="294"/>
      <c r="BM654"/>
      <c r="BN654"/>
      <c r="BO654"/>
      <c r="BP654"/>
      <c r="BQ654"/>
      <c r="BR654"/>
      <c r="BS654"/>
      <c r="BT654"/>
      <c r="BU654"/>
      <c r="BV654"/>
      <c r="BW654"/>
      <c r="BX654"/>
      <c r="BY654"/>
      <c r="BZ654"/>
      <c r="CA654"/>
      <c r="CB654"/>
      <c r="CC654"/>
      <c r="CD654"/>
      <c r="CE654"/>
      <c r="CF654"/>
      <c r="CG654"/>
      <c r="CH654"/>
      <c r="CI654"/>
      <c r="CJ654"/>
    </row>
    <row r="655" spans="1:88" s="32" customFormat="1" ht="15" customHeight="1" x14ac:dyDescent="0.35">
      <c r="A655" s="473"/>
      <c r="B655" s="313">
        <v>66117</v>
      </c>
      <c r="C655" s="8" t="s">
        <v>660</v>
      </c>
      <c r="D655" s="18">
        <v>6</v>
      </c>
      <c r="E655" s="251"/>
      <c r="F655" s="82"/>
      <c r="G655" s="79"/>
      <c r="H655" s="90"/>
      <c r="I655" s="85"/>
      <c r="J655" s="85"/>
      <c r="K655" s="85"/>
      <c r="L655" s="85"/>
      <c r="M655" s="85"/>
      <c r="N655" s="85"/>
      <c r="O655" s="85"/>
      <c r="P655" s="85"/>
      <c r="Q655" s="85"/>
      <c r="R655" s="85"/>
      <c r="S655" s="89"/>
      <c r="T655" s="89" t="s">
        <v>1124</v>
      </c>
      <c r="U655" s="85"/>
      <c r="V655" s="85"/>
      <c r="W655" s="85"/>
      <c r="X655" s="89" t="s">
        <v>1124</v>
      </c>
      <c r="Y655" s="79"/>
      <c r="Z655" s="79"/>
      <c r="AA655" s="94"/>
      <c r="AB655" s="79" t="s">
        <v>1124</v>
      </c>
      <c r="AC655" s="85"/>
      <c r="AD655" s="85"/>
      <c r="AE655" s="85"/>
      <c r="AF655" s="85"/>
      <c r="AG655" s="85" t="s">
        <v>1124</v>
      </c>
      <c r="AH655" s="85"/>
      <c r="AI655" s="85"/>
      <c r="AJ655" s="85"/>
      <c r="AK655" s="85"/>
      <c r="AL655" s="85"/>
      <c r="AM655" s="85"/>
      <c r="AN655" s="85"/>
      <c r="AO655" s="85"/>
      <c r="AP655" s="85"/>
      <c r="AQ655" s="85"/>
      <c r="AR655" s="85" t="s">
        <v>1124</v>
      </c>
      <c r="AS655" s="85"/>
      <c r="AT655" s="85"/>
      <c r="AU655" s="85"/>
      <c r="AV655" s="85"/>
      <c r="AW655" s="85"/>
      <c r="AX655" s="85"/>
      <c r="AY655" s="85"/>
      <c r="AZ655" s="85"/>
      <c r="BA655" s="85"/>
      <c r="BB655" s="89"/>
      <c r="BC655" s="89" t="s">
        <v>1124</v>
      </c>
      <c r="BD655" s="37"/>
      <c r="BE655" s="37"/>
      <c r="BF655" s="279"/>
      <c r="BG655" s="37"/>
      <c r="BH655" s="37"/>
      <c r="BI655" s="37"/>
      <c r="BJ655" s="283"/>
      <c r="BK655" s="161"/>
      <c r="BL655" s="294"/>
      <c r="BM655"/>
      <c r="BN655"/>
      <c r="BO655"/>
      <c r="BP655"/>
      <c r="BQ655"/>
      <c r="BR655"/>
      <c r="BS655"/>
      <c r="BT655"/>
      <c r="BU655"/>
      <c r="BV655"/>
      <c r="BW655"/>
      <c r="BX655"/>
      <c r="BY655"/>
      <c r="BZ655"/>
      <c r="CA655"/>
      <c r="CB655"/>
      <c r="CC655"/>
      <c r="CD655"/>
      <c r="CE655"/>
      <c r="CF655"/>
      <c r="CG655"/>
      <c r="CH655"/>
      <c r="CI655"/>
      <c r="CJ655"/>
    </row>
    <row r="656" spans="1:88" s="32" customFormat="1" ht="15" customHeight="1" x14ac:dyDescent="0.35">
      <c r="A656" s="473"/>
      <c r="B656" s="313">
        <v>37205</v>
      </c>
      <c r="C656" s="8" t="s">
        <v>315</v>
      </c>
      <c r="D656" s="18">
        <v>4</v>
      </c>
      <c r="E656" s="251"/>
      <c r="F656" s="82"/>
      <c r="G656" s="79"/>
      <c r="H656" s="90"/>
      <c r="I656" s="85"/>
      <c r="J656" s="85"/>
      <c r="K656" s="85"/>
      <c r="L656" s="85"/>
      <c r="M656" s="85"/>
      <c r="N656" s="85"/>
      <c r="O656" s="85"/>
      <c r="P656" s="85"/>
      <c r="Q656" s="85"/>
      <c r="R656" s="85"/>
      <c r="S656" s="89"/>
      <c r="T656" s="89" t="s">
        <v>1124</v>
      </c>
      <c r="U656" s="85"/>
      <c r="V656" s="85"/>
      <c r="W656" s="85"/>
      <c r="X656" s="89" t="s">
        <v>1124</v>
      </c>
      <c r="Y656" s="79"/>
      <c r="Z656" s="79"/>
      <c r="AA656" s="94"/>
      <c r="AB656" s="79" t="s">
        <v>1124</v>
      </c>
      <c r="AC656" s="85"/>
      <c r="AD656" s="85"/>
      <c r="AE656" s="85"/>
      <c r="AF656" s="85"/>
      <c r="AG656" s="85" t="s">
        <v>1124</v>
      </c>
      <c r="AH656" s="85"/>
      <c r="AI656" s="85"/>
      <c r="AJ656" s="85"/>
      <c r="AK656" s="85"/>
      <c r="AL656" s="85"/>
      <c r="AM656" s="85"/>
      <c r="AN656" s="85"/>
      <c r="AO656" s="85"/>
      <c r="AP656" s="85"/>
      <c r="AQ656" s="85"/>
      <c r="AR656" s="85" t="s">
        <v>1124</v>
      </c>
      <c r="AS656" s="85"/>
      <c r="AT656" s="85"/>
      <c r="AU656" s="85"/>
      <c r="AV656" s="85"/>
      <c r="AW656" s="85"/>
      <c r="AX656" s="85"/>
      <c r="AY656" s="85"/>
      <c r="AZ656" s="85"/>
      <c r="BA656" s="85"/>
      <c r="BB656" s="89"/>
      <c r="BC656" s="89" t="s">
        <v>1124</v>
      </c>
      <c r="BD656" s="37"/>
      <c r="BE656" s="37"/>
      <c r="BF656" s="279"/>
      <c r="BG656" s="37"/>
      <c r="BH656" s="37"/>
      <c r="BI656" s="37"/>
      <c r="BJ656" s="283"/>
      <c r="BK656" s="161"/>
      <c r="BL656" s="294"/>
      <c r="BM656"/>
      <c r="BN656"/>
      <c r="BO656"/>
      <c r="BP656"/>
      <c r="BQ656"/>
      <c r="BR656"/>
      <c r="BS656"/>
      <c r="BT656"/>
      <c r="BU656"/>
      <c r="BV656"/>
      <c r="BW656"/>
      <c r="BX656"/>
      <c r="BY656"/>
      <c r="BZ656"/>
      <c r="CA656"/>
      <c r="CB656"/>
      <c r="CC656"/>
      <c r="CD656"/>
      <c r="CE656"/>
      <c r="CF656"/>
      <c r="CG656"/>
      <c r="CH656"/>
      <c r="CI656"/>
      <c r="CJ656"/>
    </row>
    <row r="657" spans="1:88" s="32" customFormat="1" ht="15" customHeight="1" x14ac:dyDescent="0.35">
      <c r="A657" s="473"/>
      <c r="B657" s="313">
        <v>14090</v>
      </c>
      <c r="C657" s="8" t="s">
        <v>76</v>
      </c>
      <c r="D657" s="18">
        <v>1</v>
      </c>
      <c r="E657" s="251"/>
      <c r="F657" s="82"/>
      <c r="G657" s="79"/>
      <c r="H657" s="90"/>
      <c r="I657" s="85"/>
      <c r="J657" s="85"/>
      <c r="K657" s="85"/>
      <c r="L657" s="85"/>
      <c r="M657" s="85"/>
      <c r="N657" s="85"/>
      <c r="O657" s="85"/>
      <c r="P657" s="85"/>
      <c r="Q657" s="85"/>
      <c r="R657" s="85"/>
      <c r="S657" s="89"/>
      <c r="T657" s="89" t="s">
        <v>1124</v>
      </c>
      <c r="U657" s="85"/>
      <c r="V657" s="85"/>
      <c r="W657" s="85"/>
      <c r="X657" s="89" t="s">
        <v>1124</v>
      </c>
      <c r="Y657" s="79"/>
      <c r="Z657" s="79"/>
      <c r="AA657" s="94"/>
      <c r="AB657" s="79" t="s">
        <v>1124</v>
      </c>
      <c r="AC657" s="85"/>
      <c r="AD657" s="85"/>
      <c r="AE657" s="85"/>
      <c r="AF657" s="85"/>
      <c r="AG657" s="85" t="s">
        <v>1124</v>
      </c>
      <c r="AH657" s="85"/>
      <c r="AI657" s="85"/>
      <c r="AJ657" s="85"/>
      <c r="AK657" s="85"/>
      <c r="AL657" s="85"/>
      <c r="AM657" s="85"/>
      <c r="AN657" s="85"/>
      <c r="AO657" s="85"/>
      <c r="AP657" s="85"/>
      <c r="AQ657" s="85"/>
      <c r="AR657" s="85" t="s">
        <v>1124</v>
      </c>
      <c r="AS657" s="85"/>
      <c r="AT657" s="85"/>
      <c r="AU657" s="85"/>
      <c r="AV657" s="85"/>
      <c r="AW657" s="85"/>
      <c r="AX657" s="85"/>
      <c r="AY657" s="85"/>
      <c r="AZ657" s="85"/>
      <c r="BA657" s="85"/>
      <c r="BB657" s="89"/>
      <c r="BC657" s="89" t="s">
        <v>1124</v>
      </c>
      <c r="BD657" s="37"/>
      <c r="BE657" s="37"/>
      <c r="BF657" s="279"/>
      <c r="BG657" s="37"/>
      <c r="BH657" s="37"/>
      <c r="BI657" s="37"/>
      <c r="BJ657" s="283"/>
      <c r="BK657" s="161"/>
      <c r="BL657" s="294"/>
      <c r="BM657"/>
      <c r="BN657"/>
      <c r="BO657"/>
      <c r="BP657"/>
      <c r="BQ657"/>
      <c r="BR657"/>
      <c r="BS657"/>
      <c r="BT657"/>
      <c r="BU657"/>
      <c r="BV657"/>
      <c r="BW657"/>
      <c r="BX657"/>
      <c r="BY657"/>
      <c r="BZ657"/>
      <c r="CA657"/>
      <c r="CB657"/>
      <c r="CC657"/>
      <c r="CD657"/>
      <c r="CE657"/>
      <c r="CF657"/>
      <c r="CG657"/>
      <c r="CH657"/>
      <c r="CI657"/>
      <c r="CJ657"/>
    </row>
    <row r="658" spans="1:88" s="32" customFormat="1" ht="15" customHeight="1" x14ac:dyDescent="0.35">
      <c r="A658" s="473"/>
      <c r="B658" s="313">
        <v>42050</v>
      </c>
      <c r="C658" s="8" t="s">
        <v>385</v>
      </c>
      <c r="D658" s="18">
        <v>5</v>
      </c>
      <c r="E658" s="251"/>
      <c r="F658" s="82"/>
      <c r="G658" s="79"/>
      <c r="H658" s="90"/>
      <c r="I658" s="85"/>
      <c r="J658" s="85"/>
      <c r="K658" s="85"/>
      <c r="L658" s="85"/>
      <c r="M658" s="85"/>
      <c r="N658" s="85"/>
      <c r="O658" s="85"/>
      <c r="P658" s="85"/>
      <c r="Q658" s="85"/>
      <c r="R658" s="85"/>
      <c r="S658" s="89"/>
      <c r="T658" s="89" t="s">
        <v>1124</v>
      </c>
      <c r="U658" s="85"/>
      <c r="V658" s="85"/>
      <c r="W658" s="85"/>
      <c r="X658" s="89" t="s">
        <v>1124</v>
      </c>
      <c r="Y658" s="79"/>
      <c r="Z658" s="79"/>
      <c r="AA658" s="94"/>
      <c r="AB658" s="79" t="s">
        <v>1124</v>
      </c>
      <c r="AC658" s="85"/>
      <c r="AD658" s="85"/>
      <c r="AE658" s="85"/>
      <c r="AF658" s="85"/>
      <c r="AG658" s="85" t="s">
        <v>1124</v>
      </c>
      <c r="AH658" s="85"/>
      <c r="AI658" s="85"/>
      <c r="AJ658" s="85"/>
      <c r="AK658" s="85"/>
      <c r="AL658" s="85"/>
      <c r="AM658" s="85"/>
      <c r="AN658" s="85"/>
      <c r="AO658" s="85"/>
      <c r="AP658" s="85"/>
      <c r="AQ658" s="85"/>
      <c r="AR658" s="85" t="s">
        <v>1124</v>
      </c>
      <c r="AS658" s="85"/>
      <c r="AT658" s="85"/>
      <c r="AU658" s="85"/>
      <c r="AV658" s="85"/>
      <c r="AW658" s="85"/>
      <c r="AX658" s="85"/>
      <c r="AY658" s="85"/>
      <c r="AZ658" s="85"/>
      <c r="BA658" s="85"/>
      <c r="BB658" s="89"/>
      <c r="BC658" s="89" t="s">
        <v>1124</v>
      </c>
      <c r="BD658" s="37"/>
      <c r="BE658" s="37"/>
      <c r="BF658" s="279"/>
      <c r="BG658" s="37"/>
      <c r="BH658" s="37"/>
      <c r="BI658" s="37"/>
      <c r="BJ658" s="283"/>
      <c r="BK658" s="161"/>
      <c r="BL658" s="294"/>
      <c r="BM658"/>
      <c r="BN658"/>
      <c r="BO658"/>
      <c r="BP658"/>
      <c r="BQ658"/>
      <c r="BR658"/>
      <c r="BS658"/>
      <c r="BT658"/>
      <c r="BU658"/>
      <c r="BV658"/>
      <c r="BW658"/>
      <c r="BX658"/>
      <c r="BY658"/>
      <c r="BZ658"/>
      <c r="CA658"/>
      <c r="CB658"/>
      <c r="CC658"/>
      <c r="CD658"/>
      <c r="CE658"/>
      <c r="CF658"/>
      <c r="CG658"/>
      <c r="CH658"/>
      <c r="CI658"/>
      <c r="CJ658"/>
    </row>
    <row r="659" spans="1:88" s="32" customFormat="1" ht="15" customHeight="1" x14ac:dyDescent="0.35">
      <c r="A659" s="473"/>
      <c r="B659" s="313">
        <v>56060</v>
      </c>
      <c r="C659" s="8" t="s">
        <v>576</v>
      </c>
      <c r="D659" s="18">
        <v>16</v>
      </c>
      <c r="E659" s="251"/>
      <c r="F659" s="82"/>
      <c r="G659" s="79"/>
      <c r="H659" s="90"/>
      <c r="I659" s="85"/>
      <c r="J659" s="85"/>
      <c r="K659" s="85"/>
      <c r="L659" s="85"/>
      <c r="M659" s="85"/>
      <c r="N659" s="85"/>
      <c r="O659" s="85"/>
      <c r="P659" s="85"/>
      <c r="Q659" s="85"/>
      <c r="R659" s="85"/>
      <c r="S659" s="89"/>
      <c r="T659" s="89" t="s">
        <v>1124</v>
      </c>
      <c r="U659" s="85"/>
      <c r="V659" s="85"/>
      <c r="W659" s="85"/>
      <c r="X659" s="89" t="s">
        <v>1124</v>
      </c>
      <c r="Y659" s="79"/>
      <c r="Z659" s="79"/>
      <c r="AA659" s="94"/>
      <c r="AB659" s="79" t="s">
        <v>1124</v>
      </c>
      <c r="AC659" s="85"/>
      <c r="AD659" s="85"/>
      <c r="AE659" s="85"/>
      <c r="AF659" s="85"/>
      <c r="AG659" s="85" t="s">
        <v>1124</v>
      </c>
      <c r="AH659" s="85"/>
      <c r="AI659" s="85"/>
      <c r="AJ659" s="85"/>
      <c r="AK659" s="85"/>
      <c r="AL659" s="85"/>
      <c r="AM659" s="85"/>
      <c r="AN659" s="85"/>
      <c r="AO659" s="85"/>
      <c r="AP659" s="85"/>
      <c r="AQ659" s="85"/>
      <c r="AR659" s="85" t="s">
        <v>1124</v>
      </c>
      <c r="AS659" s="85"/>
      <c r="AT659" s="85"/>
      <c r="AU659" s="85"/>
      <c r="AV659" s="85"/>
      <c r="AW659" s="85"/>
      <c r="AX659" s="85"/>
      <c r="AY659" s="85"/>
      <c r="AZ659" s="85"/>
      <c r="BA659" s="85"/>
      <c r="BB659" s="89"/>
      <c r="BC659" s="89" t="s">
        <v>1124</v>
      </c>
      <c r="BD659" s="37"/>
      <c r="BE659" s="37"/>
      <c r="BF659" s="279"/>
      <c r="BG659" s="37"/>
      <c r="BH659" s="37"/>
      <c r="BI659" s="37"/>
      <c r="BJ659" s="283"/>
      <c r="BK659" s="161"/>
      <c r="BL659" s="294"/>
      <c r="BM659"/>
      <c r="BN659"/>
      <c r="BO659"/>
      <c r="BP659"/>
      <c r="BQ659"/>
      <c r="BR659"/>
      <c r="BS659"/>
      <c r="BT659"/>
      <c r="BU659"/>
      <c r="BV659"/>
      <c r="BW659"/>
      <c r="BX659"/>
      <c r="BY659"/>
      <c r="BZ659"/>
      <c r="CA659"/>
      <c r="CB659"/>
      <c r="CC659"/>
      <c r="CD659"/>
      <c r="CE659"/>
      <c r="CF659"/>
      <c r="CG659"/>
      <c r="CH659"/>
      <c r="CI659"/>
      <c r="CJ659"/>
    </row>
    <row r="660" spans="1:88" s="32" customFormat="1" ht="15" customHeight="1" x14ac:dyDescent="0.35">
      <c r="A660" s="473"/>
      <c r="B660" s="313">
        <v>77035</v>
      </c>
      <c r="C660" s="8" t="s">
        <v>760</v>
      </c>
      <c r="D660" s="18">
        <v>15</v>
      </c>
      <c r="E660" s="251"/>
      <c r="F660" s="82"/>
      <c r="G660" s="79"/>
      <c r="H660" s="90"/>
      <c r="I660" s="85"/>
      <c r="J660" s="85"/>
      <c r="K660" s="85"/>
      <c r="L660" s="85"/>
      <c r="M660" s="85"/>
      <c r="N660" s="85"/>
      <c r="O660" s="85"/>
      <c r="P660" s="85"/>
      <c r="Q660" s="85"/>
      <c r="R660" s="85"/>
      <c r="S660" s="89"/>
      <c r="T660" s="89" t="s">
        <v>1124</v>
      </c>
      <c r="U660" s="85"/>
      <c r="V660" s="85"/>
      <c r="W660" s="85"/>
      <c r="X660" s="89" t="s">
        <v>1124</v>
      </c>
      <c r="Y660" s="79"/>
      <c r="Z660" s="79"/>
      <c r="AA660" s="94"/>
      <c r="AB660" s="79" t="s">
        <v>1124</v>
      </c>
      <c r="AC660" s="85"/>
      <c r="AD660" s="85"/>
      <c r="AE660" s="85"/>
      <c r="AF660" s="85"/>
      <c r="AG660" s="85" t="s">
        <v>1124</v>
      </c>
      <c r="AH660" s="85"/>
      <c r="AI660" s="85"/>
      <c r="AJ660" s="85"/>
      <c r="AK660" s="85"/>
      <c r="AL660" s="85"/>
      <c r="AM660" s="85"/>
      <c r="AN660" s="85"/>
      <c r="AO660" s="85"/>
      <c r="AP660" s="85"/>
      <c r="AQ660" s="85"/>
      <c r="AR660" s="85" t="s">
        <v>1124</v>
      </c>
      <c r="AS660" s="85"/>
      <c r="AT660" s="85"/>
      <c r="AU660" s="85"/>
      <c r="AV660" s="85"/>
      <c r="AW660" s="85"/>
      <c r="AX660" s="85"/>
      <c r="AY660" s="85"/>
      <c r="AZ660" s="85"/>
      <c r="BA660" s="85"/>
      <c r="BB660" s="89"/>
      <c r="BC660" s="89" t="s">
        <v>1124</v>
      </c>
      <c r="BD660" s="37"/>
      <c r="BE660" s="37"/>
      <c r="BF660" s="279"/>
      <c r="BG660" s="37"/>
      <c r="BH660" s="37"/>
      <c r="BI660" s="37"/>
      <c r="BJ660" s="283"/>
      <c r="BK660" s="161"/>
      <c r="BL660" s="294"/>
      <c r="BM660"/>
      <c r="BN660"/>
      <c r="BO660"/>
      <c r="BP660"/>
      <c r="BQ660"/>
      <c r="BR660"/>
      <c r="BS660"/>
      <c r="BT660"/>
      <c r="BU660"/>
      <c r="BV660"/>
      <c r="BW660"/>
      <c r="BX660"/>
      <c r="BY660"/>
      <c r="BZ660"/>
      <c r="CA660"/>
      <c r="CB660"/>
      <c r="CC660"/>
      <c r="CD660"/>
      <c r="CE660"/>
      <c r="CF660"/>
      <c r="CG660"/>
      <c r="CH660"/>
      <c r="CI660"/>
      <c r="CJ660"/>
    </row>
    <row r="661" spans="1:88" s="32" customFormat="1" ht="15" customHeight="1" x14ac:dyDescent="0.35">
      <c r="A661" s="473"/>
      <c r="B661" s="313">
        <v>4037</v>
      </c>
      <c r="C661" s="8" t="s">
        <v>1042</v>
      </c>
      <c r="D661" s="18">
        <v>11</v>
      </c>
      <c r="E661" s="251">
        <v>2775</v>
      </c>
      <c r="F661" s="82">
        <v>2.0480432707604201</v>
      </c>
      <c r="G661" s="79">
        <v>5683.3200763601662</v>
      </c>
      <c r="H661" s="90">
        <v>192.196</v>
      </c>
      <c r="I661" s="85">
        <v>183.714</v>
      </c>
      <c r="J661" s="85">
        <v>214.666</v>
      </c>
      <c r="K661" s="85">
        <v>220.90199999999999</v>
      </c>
      <c r="L661" s="85">
        <v>222.40299999999999</v>
      </c>
      <c r="M661" s="85">
        <v>207.965</v>
      </c>
      <c r="N661" s="85">
        <v>208.02600000000001</v>
      </c>
      <c r="O661" s="85">
        <v>213.63399999999999</v>
      </c>
      <c r="P661" s="85">
        <v>200.90600000000001</v>
      </c>
      <c r="Q661" s="85">
        <v>194.714</v>
      </c>
      <c r="R661" s="85">
        <v>199.28299999999999</v>
      </c>
      <c r="S661" s="89">
        <v>198.84399999999999</v>
      </c>
      <c r="T661" s="89">
        <v>2457.2530000000002</v>
      </c>
      <c r="U661" s="85">
        <v>0</v>
      </c>
      <c r="V661" s="85">
        <v>2457.2530000000002</v>
      </c>
      <c r="W661" s="85">
        <v>0</v>
      </c>
      <c r="X661" s="89">
        <v>2457.2530000000002</v>
      </c>
      <c r="Y661" s="79">
        <v>0</v>
      </c>
      <c r="Z661" s="79">
        <v>1</v>
      </c>
      <c r="AA661" s="94">
        <v>0</v>
      </c>
      <c r="AB661" s="79">
        <v>1</v>
      </c>
      <c r="AC661" s="85">
        <v>1995.7855500000001</v>
      </c>
      <c r="AD661" s="85">
        <v>292.79358250000007</v>
      </c>
      <c r="AE661" s="85">
        <v>168.6738675</v>
      </c>
      <c r="AF661" s="85">
        <v>0</v>
      </c>
      <c r="AG661" s="85">
        <v>2457.2530000000002</v>
      </c>
      <c r="AH661" s="85">
        <v>0</v>
      </c>
      <c r="AI661" s="85">
        <v>0</v>
      </c>
      <c r="AJ661" s="85">
        <v>0</v>
      </c>
      <c r="AK661" s="85">
        <v>0</v>
      </c>
      <c r="AL661" s="85">
        <v>0</v>
      </c>
      <c r="AM661" s="85">
        <v>0</v>
      </c>
      <c r="AN661" s="85">
        <v>0</v>
      </c>
      <c r="AO661" s="85">
        <v>0</v>
      </c>
      <c r="AP661" s="85">
        <v>0</v>
      </c>
      <c r="AQ661" s="85">
        <v>0</v>
      </c>
      <c r="AR661" s="85">
        <v>0</v>
      </c>
      <c r="AS661" s="85">
        <v>0</v>
      </c>
      <c r="AT661" s="85">
        <v>0</v>
      </c>
      <c r="AU661" s="85">
        <v>0</v>
      </c>
      <c r="AV661" s="85">
        <v>0</v>
      </c>
      <c r="AW661" s="85">
        <v>0</v>
      </c>
      <c r="AX661" s="85">
        <v>0</v>
      </c>
      <c r="AY661" s="85">
        <v>2457.2530000000002</v>
      </c>
      <c r="AZ661" s="85">
        <v>0</v>
      </c>
      <c r="BA661" s="85">
        <v>0</v>
      </c>
      <c r="BB661" s="89">
        <v>0</v>
      </c>
      <c r="BC661" s="89">
        <v>2457.2530000000002</v>
      </c>
      <c r="BD661" s="37">
        <v>217226</v>
      </c>
      <c r="BE661" s="37">
        <v>760662</v>
      </c>
      <c r="BF661" s="279">
        <v>130763</v>
      </c>
      <c r="BG661" s="37">
        <v>250635</v>
      </c>
      <c r="BH661" s="37">
        <v>149292</v>
      </c>
      <c r="BI661" s="37">
        <v>0</v>
      </c>
      <c r="BJ661" s="283">
        <v>530690</v>
      </c>
      <c r="BK661" s="161"/>
      <c r="BL661" s="294"/>
      <c r="BM661"/>
      <c r="BN661"/>
      <c r="BO661"/>
      <c r="BP661"/>
      <c r="BQ661"/>
      <c r="BR661"/>
      <c r="BS661"/>
      <c r="BT661"/>
      <c r="BU661"/>
      <c r="BV661"/>
      <c r="BW661"/>
      <c r="BX661"/>
      <c r="BY661"/>
      <c r="BZ661"/>
      <c r="CA661"/>
      <c r="CB661"/>
      <c r="CC661"/>
      <c r="CD661"/>
      <c r="CE661"/>
      <c r="CF661"/>
      <c r="CG661"/>
      <c r="CH661"/>
      <c r="CI661"/>
      <c r="CJ661"/>
    </row>
    <row r="662" spans="1:88" s="32" customFormat="1" ht="15" customHeight="1" x14ac:dyDescent="0.35">
      <c r="A662" s="473"/>
      <c r="B662" s="313">
        <v>53065</v>
      </c>
      <c r="C662" s="8" t="s">
        <v>539</v>
      </c>
      <c r="D662" s="18">
        <v>16</v>
      </c>
      <c r="E662" s="251"/>
      <c r="F662" s="82"/>
      <c r="G662" s="79"/>
      <c r="H662" s="90"/>
      <c r="I662" s="85"/>
      <c r="J662" s="85"/>
      <c r="K662" s="85"/>
      <c r="L662" s="85"/>
      <c r="M662" s="85"/>
      <c r="N662" s="85"/>
      <c r="O662" s="85"/>
      <c r="P662" s="85"/>
      <c r="Q662" s="85"/>
      <c r="R662" s="85"/>
      <c r="S662" s="89"/>
      <c r="T662" s="89" t="s">
        <v>1124</v>
      </c>
      <c r="U662" s="85"/>
      <c r="V662" s="85"/>
      <c r="W662" s="85"/>
      <c r="X662" s="89" t="s">
        <v>1124</v>
      </c>
      <c r="Y662" s="79"/>
      <c r="Z662" s="79"/>
      <c r="AA662" s="94"/>
      <c r="AB662" s="79" t="s">
        <v>1124</v>
      </c>
      <c r="AC662" s="85"/>
      <c r="AD662" s="85"/>
      <c r="AE662" s="85"/>
      <c r="AF662" s="85"/>
      <c r="AG662" s="85" t="s">
        <v>1124</v>
      </c>
      <c r="AH662" s="85"/>
      <c r="AI662" s="85"/>
      <c r="AJ662" s="85"/>
      <c r="AK662" s="85"/>
      <c r="AL662" s="85"/>
      <c r="AM662" s="85"/>
      <c r="AN662" s="85"/>
      <c r="AO662" s="85"/>
      <c r="AP662" s="85"/>
      <c r="AQ662" s="85"/>
      <c r="AR662" s="85" t="s">
        <v>1124</v>
      </c>
      <c r="AS662" s="85"/>
      <c r="AT662" s="85"/>
      <c r="AU662" s="85"/>
      <c r="AV662" s="85"/>
      <c r="AW662" s="85"/>
      <c r="AX662" s="85"/>
      <c r="AY662" s="85"/>
      <c r="AZ662" s="85"/>
      <c r="BA662" s="85"/>
      <c r="BB662" s="89"/>
      <c r="BC662" s="89" t="s">
        <v>1124</v>
      </c>
      <c r="BD662" s="37"/>
      <c r="BE662" s="37"/>
      <c r="BF662" s="279"/>
      <c r="BG662" s="37"/>
      <c r="BH662" s="37"/>
      <c r="BI662" s="37"/>
      <c r="BJ662" s="283"/>
      <c r="BK662" s="161"/>
      <c r="BL662" s="294"/>
      <c r="BM662"/>
      <c r="BN662"/>
      <c r="BO662"/>
      <c r="BP662"/>
      <c r="BQ662"/>
      <c r="BR662"/>
      <c r="BS662"/>
      <c r="BT662"/>
      <c r="BU662"/>
      <c r="BV662"/>
      <c r="BW662"/>
      <c r="BX662"/>
      <c r="BY662"/>
      <c r="BZ662"/>
      <c r="CA662"/>
      <c r="CB662"/>
      <c r="CC662"/>
      <c r="CD662"/>
      <c r="CE662"/>
      <c r="CF662"/>
      <c r="CG662"/>
      <c r="CH662"/>
      <c r="CI662"/>
      <c r="CJ662"/>
    </row>
    <row r="663" spans="1:88" s="32" customFormat="1" ht="15" customHeight="1" x14ac:dyDescent="0.35">
      <c r="A663" s="473"/>
      <c r="B663" s="313">
        <v>73035</v>
      </c>
      <c r="C663" s="8" t="s">
        <v>740</v>
      </c>
      <c r="D663" s="18">
        <v>15</v>
      </c>
      <c r="E663" s="251">
        <v>5600</v>
      </c>
      <c r="F663" s="82">
        <v>2.4</v>
      </c>
      <c r="G663" s="79">
        <v>13440</v>
      </c>
      <c r="H663" s="90">
        <v>95.277000000000001</v>
      </c>
      <c r="I663" s="85">
        <v>85.680999999999997</v>
      </c>
      <c r="J663" s="85">
        <v>96.635000000000005</v>
      </c>
      <c r="K663" s="85">
        <v>96.447000000000003</v>
      </c>
      <c r="L663" s="85">
        <v>128.24</v>
      </c>
      <c r="M663" s="85">
        <v>134.41800000000001</v>
      </c>
      <c r="N663" s="85">
        <v>140.80099999999999</v>
      </c>
      <c r="O663" s="85">
        <v>127.63500000000001</v>
      </c>
      <c r="P663" s="85">
        <v>107.27200000000001</v>
      </c>
      <c r="Q663" s="85">
        <v>102.363</v>
      </c>
      <c r="R663" s="85">
        <v>92.054000000000002</v>
      </c>
      <c r="S663" s="89">
        <v>99.878</v>
      </c>
      <c r="T663" s="89">
        <v>1306.701</v>
      </c>
      <c r="U663" s="85">
        <v>0</v>
      </c>
      <c r="V663" s="85">
        <v>1306.701</v>
      </c>
      <c r="W663" s="85">
        <v>0</v>
      </c>
      <c r="X663" s="89">
        <v>1306.701</v>
      </c>
      <c r="Y663" s="79">
        <v>0</v>
      </c>
      <c r="Z663" s="79">
        <v>1</v>
      </c>
      <c r="AA663" s="94">
        <v>0</v>
      </c>
      <c r="AB663" s="79">
        <v>1</v>
      </c>
      <c r="AC663" s="85">
        <v>943.16800000000001</v>
      </c>
      <c r="AD663" s="85">
        <v>182.31200000000013</v>
      </c>
      <c r="AE663" s="85">
        <v>181.22</v>
      </c>
      <c r="AF663" s="85">
        <v>0</v>
      </c>
      <c r="AG663" s="85">
        <v>1306.7</v>
      </c>
      <c r="AH663" s="85">
        <v>0</v>
      </c>
      <c r="AI663" s="85">
        <v>0</v>
      </c>
      <c r="AJ663" s="85">
        <v>0</v>
      </c>
      <c r="AK663" s="85">
        <v>0</v>
      </c>
      <c r="AL663" s="85">
        <v>0</v>
      </c>
      <c r="AM663" s="85">
        <v>0</v>
      </c>
      <c r="AN663" s="85">
        <v>0</v>
      </c>
      <c r="AO663" s="85">
        <v>0</v>
      </c>
      <c r="AP663" s="85">
        <v>0</v>
      </c>
      <c r="AQ663" s="85">
        <v>0</v>
      </c>
      <c r="AR663" s="85">
        <v>0</v>
      </c>
      <c r="AS663" s="85">
        <v>0</v>
      </c>
      <c r="AT663" s="85">
        <v>0</v>
      </c>
      <c r="AU663" s="85">
        <v>1306.701</v>
      </c>
      <c r="AV663" s="85">
        <v>0</v>
      </c>
      <c r="AW663" s="85">
        <v>0</v>
      </c>
      <c r="AX663" s="85">
        <v>0</v>
      </c>
      <c r="AY663" s="85">
        <v>0</v>
      </c>
      <c r="AZ663" s="85">
        <v>0</v>
      </c>
      <c r="BA663" s="85">
        <v>0</v>
      </c>
      <c r="BB663" s="89">
        <v>0</v>
      </c>
      <c r="BC663" s="89">
        <v>1306.701</v>
      </c>
      <c r="BD663" s="37">
        <v>0</v>
      </c>
      <c r="BE663" s="37">
        <v>0</v>
      </c>
      <c r="BF663" s="279">
        <v>198002</v>
      </c>
      <c r="BG663" s="37">
        <v>287425</v>
      </c>
      <c r="BH663" s="37">
        <v>131915</v>
      </c>
      <c r="BI663" s="37">
        <v>70597</v>
      </c>
      <c r="BJ663" s="283">
        <v>687939</v>
      </c>
      <c r="BK663" s="161"/>
      <c r="BL663" s="294"/>
      <c r="BM663"/>
      <c r="BN663"/>
      <c r="BO663"/>
      <c r="BP663"/>
      <c r="BQ663"/>
      <c r="BR663"/>
      <c r="BS663"/>
      <c r="BT663"/>
      <c r="BU663"/>
      <c r="BV663"/>
      <c r="BW663"/>
      <c r="BX663"/>
      <c r="BY663"/>
      <c r="BZ663"/>
      <c r="CA663"/>
      <c r="CB663"/>
      <c r="CC663"/>
      <c r="CD663"/>
      <c r="CE663"/>
      <c r="CF663"/>
      <c r="CG663"/>
      <c r="CH663"/>
      <c r="CI663"/>
      <c r="CJ663"/>
    </row>
    <row r="664" spans="1:88" s="32" customFormat="1" ht="15" customHeight="1" x14ac:dyDescent="0.35">
      <c r="A664" s="473"/>
      <c r="B664" s="313">
        <v>79115</v>
      </c>
      <c r="C664" s="8" t="s">
        <v>802</v>
      </c>
      <c r="D664" s="18">
        <v>15</v>
      </c>
      <c r="E664" s="251"/>
      <c r="F664" s="82"/>
      <c r="G664" s="79"/>
      <c r="H664" s="90"/>
      <c r="I664" s="85"/>
      <c r="J664" s="85"/>
      <c r="K664" s="85"/>
      <c r="L664" s="85"/>
      <c r="M664" s="85"/>
      <c r="N664" s="85"/>
      <c r="O664" s="85"/>
      <c r="P664" s="85"/>
      <c r="Q664" s="85"/>
      <c r="R664" s="85"/>
      <c r="S664" s="89"/>
      <c r="T664" s="89" t="s">
        <v>1124</v>
      </c>
      <c r="U664" s="85"/>
      <c r="V664" s="85"/>
      <c r="W664" s="85"/>
      <c r="X664" s="89" t="s">
        <v>1124</v>
      </c>
      <c r="Y664" s="79"/>
      <c r="Z664" s="79"/>
      <c r="AA664" s="94"/>
      <c r="AB664" s="79" t="s">
        <v>1124</v>
      </c>
      <c r="AC664" s="85"/>
      <c r="AD664" s="85"/>
      <c r="AE664" s="85"/>
      <c r="AF664" s="85"/>
      <c r="AG664" s="85" t="s">
        <v>1124</v>
      </c>
      <c r="AH664" s="85"/>
      <c r="AI664" s="85"/>
      <c r="AJ664" s="85"/>
      <c r="AK664" s="85"/>
      <c r="AL664" s="85"/>
      <c r="AM664" s="85"/>
      <c r="AN664" s="85"/>
      <c r="AO664" s="85"/>
      <c r="AP664" s="85"/>
      <c r="AQ664" s="85"/>
      <c r="AR664" s="85" t="s">
        <v>1124</v>
      </c>
      <c r="AS664" s="85"/>
      <c r="AT664" s="85"/>
      <c r="AU664" s="85"/>
      <c r="AV664" s="85"/>
      <c r="AW664" s="85"/>
      <c r="AX664" s="85"/>
      <c r="AY664" s="85"/>
      <c r="AZ664" s="85"/>
      <c r="BA664" s="85"/>
      <c r="BB664" s="89"/>
      <c r="BC664" s="89" t="s">
        <v>1124</v>
      </c>
      <c r="BD664" s="37"/>
      <c r="BE664" s="37"/>
      <c r="BF664" s="279"/>
      <c r="BG664" s="37"/>
      <c r="BH664" s="37"/>
      <c r="BI664" s="37"/>
      <c r="BJ664" s="283"/>
      <c r="BK664" s="161"/>
      <c r="BL664" s="294"/>
      <c r="BM664"/>
      <c r="BN664"/>
      <c r="BO664"/>
      <c r="BP664"/>
      <c r="BQ664"/>
      <c r="BR664"/>
      <c r="BS664"/>
      <c r="BT664"/>
      <c r="BU664"/>
      <c r="BV664"/>
      <c r="BW664"/>
      <c r="BX664"/>
      <c r="BY664"/>
      <c r="BZ664"/>
      <c r="CA664"/>
      <c r="CB664"/>
      <c r="CC664"/>
      <c r="CD664"/>
      <c r="CE664"/>
      <c r="CF664"/>
      <c r="CG664"/>
      <c r="CH664"/>
      <c r="CI664"/>
      <c r="CJ664"/>
    </row>
    <row r="665" spans="1:88" s="32" customFormat="1" ht="15" customHeight="1" x14ac:dyDescent="0.35">
      <c r="A665" s="473"/>
      <c r="B665" s="313">
        <v>18025</v>
      </c>
      <c r="C665" s="8" t="s">
        <v>108</v>
      </c>
      <c r="D665" s="18">
        <v>12</v>
      </c>
      <c r="E665" s="251"/>
      <c r="F665" s="82"/>
      <c r="G665" s="79"/>
      <c r="H665" s="90"/>
      <c r="I665" s="85"/>
      <c r="J665" s="85"/>
      <c r="K665" s="85"/>
      <c r="L665" s="85"/>
      <c r="M665" s="85"/>
      <c r="N665" s="85"/>
      <c r="O665" s="85"/>
      <c r="P665" s="85"/>
      <c r="Q665" s="85"/>
      <c r="R665" s="85"/>
      <c r="S665" s="89"/>
      <c r="T665" s="89" t="s">
        <v>1124</v>
      </c>
      <c r="U665" s="85"/>
      <c r="V665" s="85"/>
      <c r="W665" s="85"/>
      <c r="X665" s="89" t="s">
        <v>1124</v>
      </c>
      <c r="Y665" s="79"/>
      <c r="Z665" s="79"/>
      <c r="AA665" s="94"/>
      <c r="AB665" s="79" t="s">
        <v>1124</v>
      </c>
      <c r="AC665" s="85"/>
      <c r="AD665" s="85"/>
      <c r="AE665" s="85"/>
      <c r="AF665" s="85"/>
      <c r="AG665" s="85" t="s">
        <v>1124</v>
      </c>
      <c r="AH665" s="85"/>
      <c r="AI665" s="85"/>
      <c r="AJ665" s="85"/>
      <c r="AK665" s="85"/>
      <c r="AL665" s="85"/>
      <c r="AM665" s="85"/>
      <c r="AN665" s="85"/>
      <c r="AO665" s="85"/>
      <c r="AP665" s="85"/>
      <c r="AQ665" s="85"/>
      <c r="AR665" s="85" t="s">
        <v>1124</v>
      </c>
      <c r="AS665" s="85"/>
      <c r="AT665" s="85"/>
      <c r="AU665" s="85"/>
      <c r="AV665" s="85"/>
      <c r="AW665" s="85"/>
      <c r="AX665" s="85"/>
      <c r="AY665" s="85"/>
      <c r="AZ665" s="85"/>
      <c r="BA665" s="85"/>
      <c r="BB665" s="89"/>
      <c r="BC665" s="89" t="s">
        <v>1124</v>
      </c>
      <c r="BD665" s="37"/>
      <c r="BE665" s="37"/>
      <c r="BF665" s="279"/>
      <c r="BG665" s="37"/>
      <c r="BH665" s="37"/>
      <c r="BI665" s="37"/>
      <c r="BJ665" s="283"/>
      <c r="BK665" s="161"/>
      <c r="BL665" s="294"/>
      <c r="BM665"/>
      <c r="BN665"/>
      <c r="BO665"/>
      <c r="BP665"/>
      <c r="BQ665"/>
      <c r="BR665"/>
      <c r="BS665"/>
      <c r="BT665"/>
      <c r="BU665"/>
      <c r="BV665"/>
      <c r="BW665"/>
      <c r="BX665"/>
      <c r="BY665"/>
      <c r="BZ665"/>
      <c r="CA665"/>
      <c r="CB665"/>
      <c r="CC665"/>
      <c r="CD665"/>
      <c r="CE665"/>
      <c r="CF665"/>
      <c r="CG665"/>
      <c r="CH665"/>
      <c r="CI665"/>
      <c r="CJ665"/>
    </row>
    <row r="666" spans="1:88" s="32" customFormat="1" ht="15" customHeight="1" x14ac:dyDescent="0.35">
      <c r="A666" s="473"/>
      <c r="B666" s="313">
        <v>28015</v>
      </c>
      <c r="C666" s="8" t="s">
        <v>189</v>
      </c>
      <c r="D666" s="18">
        <v>12</v>
      </c>
      <c r="E666" s="251">
        <v>276</v>
      </c>
      <c r="F666" s="82">
        <v>1.5655430711610487</v>
      </c>
      <c r="G666" s="79">
        <v>432.08988764044943</v>
      </c>
      <c r="H666" s="90">
        <v>8.6010000000000009</v>
      </c>
      <c r="I666" s="85">
        <v>7.4059999999999997</v>
      </c>
      <c r="J666" s="85">
        <v>6.9560000000000004</v>
      </c>
      <c r="K666" s="85">
        <v>6.7779999999999996</v>
      </c>
      <c r="L666" s="85">
        <v>6.8689999999999998</v>
      </c>
      <c r="M666" s="85">
        <v>6.101</v>
      </c>
      <c r="N666" s="85">
        <v>5.9669999999999996</v>
      </c>
      <c r="O666" s="85">
        <v>6.1589999999999998</v>
      </c>
      <c r="P666" s="85">
        <v>6.2750000000000004</v>
      </c>
      <c r="Q666" s="85">
        <v>6.5940000000000003</v>
      </c>
      <c r="R666" s="85">
        <v>6.1639999999999997</v>
      </c>
      <c r="S666" s="89">
        <v>5.984</v>
      </c>
      <c r="T666" s="89">
        <v>79.853999999999985</v>
      </c>
      <c r="U666" s="85">
        <v>0</v>
      </c>
      <c r="V666" s="85">
        <v>0</v>
      </c>
      <c r="W666" s="85">
        <v>79.853999999999999</v>
      </c>
      <c r="X666" s="89">
        <v>79.853999999999999</v>
      </c>
      <c r="Y666" s="79">
        <v>0</v>
      </c>
      <c r="Z666" s="79">
        <v>0</v>
      </c>
      <c r="AA666" s="94">
        <v>1</v>
      </c>
      <c r="AB666" s="79">
        <v>1</v>
      </c>
      <c r="AC666" s="85">
        <v>33.646000000000001</v>
      </c>
      <c r="AD666" s="85">
        <v>19.242999999999999</v>
      </c>
      <c r="AE666" s="85">
        <v>26.965</v>
      </c>
      <c r="AF666" s="85">
        <v>0</v>
      </c>
      <c r="AG666" s="85">
        <v>79.853999999999999</v>
      </c>
      <c r="AH666" s="85">
        <v>0</v>
      </c>
      <c r="AI666" s="85">
        <v>0</v>
      </c>
      <c r="AJ666" s="85">
        <v>0</v>
      </c>
      <c r="AK666" s="85">
        <v>0</v>
      </c>
      <c r="AL666" s="85">
        <v>0</v>
      </c>
      <c r="AM666" s="85">
        <v>0</v>
      </c>
      <c r="AN666" s="85">
        <v>0</v>
      </c>
      <c r="AO666" s="85">
        <v>0</v>
      </c>
      <c r="AP666" s="85">
        <v>0</v>
      </c>
      <c r="AQ666" s="85">
        <v>0</v>
      </c>
      <c r="AR666" s="85">
        <v>0</v>
      </c>
      <c r="AS666" s="85">
        <v>0</v>
      </c>
      <c r="AT666" s="85">
        <v>0</v>
      </c>
      <c r="AU666" s="85">
        <v>0</v>
      </c>
      <c r="AV666" s="85">
        <v>79.853999999999999</v>
      </c>
      <c r="AW666" s="85">
        <v>0</v>
      </c>
      <c r="AX666" s="85">
        <v>0</v>
      </c>
      <c r="AY666" s="85">
        <v>0</v>
      </c>
      <c r="AZ666" s="85">
        <v>0</v>
      </c>
      <c r="BA666" s="85">
        <v>0</v>
      </c>
      <c r="BB666" s="89">
        <v>0</v>
      </c>
      <c r="BC666" s="89">
        <v>79.853999999999999</v>
      </c>
      <c r="BD666" s="37">
        <v>0</v>
      </c>
      <c r="BE666" s="37">
        <v>0</v>
      </c>
      <c r="BF666" s="279">
        <v>17220</v>
      </c>
      <c r="BG666" s="37">
        <v>42082</v>
      </c>
      <c r="BH666" s="37">
        <v>24662</v>
      </c>
      <c r="BI666" s="37">
        <v>0</v>
      </c>
      <c r="BJ666" s="283">
        <v>83964</v>
      </c>
      <c r="BK666" s="161"/>
      <c r="BL666" s="294"/>
      <c r="BM666"/>
      <c r="BN666"/>
      <c r="BO666"/>
      <c r="BP666"/>
      <c r="BQ666"/>
      <c r="BR666"/>
      <c r="BS666"/>
      <c r="BT666"/>
      <c r="BU666"/>
      <c r="BV666"/>
      <c r="BW666"/>
      <c r="BX666"/>
      <c r="BY666"/>
      <c r="BZ666"/>
      <c r="CA666"/>
      <c r="CB666"/>
      <c r="CC666"/>
      <c r="CD666"/>
      <c r="CE666"/>
      <c r="CF666"/>
      <c r="CG666"/>
      <c r="CH666"/>
      <c r="CI666"/>
      <c r="CJ666"/>
    </row>
    <row r="667" spans="1:88" s="32" customFormat="1" ht="15" customHeight="1" x14ac:dyDescent="0.35">
      <c r="A667" s="473"/>
      <c r="B667" s="313">
        <v>69065</v>
      </c>
      <c r="C667" s="8" t="s">
        <v>694</v>
      </c>
      <c r="D667" s="18">
        <v>16</v>
      </c>
      <c r="E667" s="251"/>
      <c r="F667" s="82"/>
      <c r="G667" s="79"/>
      <c r="H667" s="90"/>
      <c r="I667" s="85"/>
      <c r="J667" s="85"/>
      <c r="K667" s="85"/>
      <c r="L667" s="85"/>
      <c r="M667" s="85"/>
      <c r="N667" s="85"/>
      <c r="O667" s="85"/>
      <c r="P667" s="85"/>
      <c r="Q667" s="85"/>
      <c r="R667" s="85"/>
      <c r="S667" s="89"/>
      <c r="T667" s="89" t="s">
        <v>1124</v>
      </c>
      <c r="U667" s="85"/>
      <c r="V667" s="85"/>
      <c r="W667" s="85"/>
      <c r="X667" s="89" t="s">
        <v>1124</v>
      </c>
      <c r="Y667" s="79"/>
      <c r="Z667" s="79"/>
      <c r="AA667" s="94"/>
      <c r="AB667" s="79" t="s">
        <v>1124</v>
      </c>
      <c r="AC667" s="85"/>
      <c r="AD667" s="85"/>
      <c r="AE667" s="85"/>
      <c r="AF667" s="85"/>
      <c r="AG667" s="85" t="s">
        <v>1124</v>
      </c>
      <c r="AH667" s="85"/>
      <c r="AI667" s="85"/>
      <c r="AJ667" s="85"/>
      <c r="AK667" s="85"/>
      <c r="AL667" s="85"/>
      <c r="AM667" s="85"/>
      <c r="AN667" s="85"/>
      <c r="AO667" s="85"/>
      <c r="AP667" s="85"/>
      <c r="AQ667" s="85"/>
      <c r="AR667" s="85" t="s">
        <v>1124</v>
      </c>
      <c r="AS667" s="85"/>
      <c r="AT667" s="85"/>
      <c r="AU667" s="85"/>
      <c r="AV667" s="85"/>
      <c r="AW667" s="85"/>
      <c r="AX667" s="85"/>
      <c r="AY667" s="85"/>
      <c r="AZ667" s="85"/>
      <c r="BA667" s="85"/>
      <c r="BB667" s="89"/>
      <c r="BC667" s="89" t="s">
        <v>1124</v>
      </c>
      <c r="BD667" s="37"/>
      <c r="BE667" s="37"/>
      <c r="BF667" s="279"/>
      <c r="BG667" s="37"/>
      <c r="BH667" s="37"/>
      <c r="BI667" s="37"/>
      <c r="BJ667" s="283"/>
      <c r="BK667" s="161"/>
      <c r="BL667" s="294"/>
      <c r="BM667"/>
      <c r="BN667"/>
      <c r="BO667"/>
      <c r="BP667"/>
      <c r="BQ667"/>
      <c r="BR667"/>
      <c r="BS667"/>
      <c r="BT667"/>
      <c r="BU667"/>
      <c r="BV667"/>
      <c r="BW667"/>
      <c r="BX667"/>
      <c r="BY667"/>
      <c r="BZ667"/>
      <c r="CA667"/>
      <c r="CB667"/>
      <c r="CC667"/>
      <c r="CD667"/>
      <c r="CE667"/>
      <c r="CF667"/>
      <c r="CG667"/>
      <c r="CH667"/>
      <c r="CI667"/>
      <c r="CJ667"/>
    </row>
    <row r="668" spans="1:88" s="32" customFormat="1" ht="15" customHeight="1" x14ac:dyDescent="0.35">
      <c r="A668" s="473"/>
      <c r="B668" s="313">
        <v>62020</v>
      </c>
      <c r="C668" s="8" t="s">
        <v>621</v>
      </c>
      <c r="D668" s="18">
        <v>14</v>
      </c>
      <c r="E668" s="251"/>
      <c r="F668" s="82"/>
      <c r="G668" s="79"/>
      <c r="H668" s="90"/>
      <c r="I668" s="85"/>
      <c r="J668" s="85"/>
      <c r="K668" s="85"/>
      <c r="L668" s="85"/>
      <c r="M668" s="85"/>
      <c r="N668" s="85"/>
      <c r="O668" s="85"/>
      <c r="P668" s="85"/>
      <c r="Q668" s="85"/>
      <c r="R668" s="85"/>
      <c r="S668" s="89"/>
      <c r="T668" s="89" t="s">
        <v>1124</v>
      </c>
      <c r="U668" s="85"/>
      <c r="V668" s="85"/>
      <c r="W668" s="85"/>
      <c r="X668" s="89" t="s">
        <v>1124</v>
      </c>
      <c r="Y668" s="79"/>
      <c r="Z668" s="79"/>
      <c r="AA668" s="94"/>
      <c r="AB668" s="79" t="s">
        <v>1124</v>
      </c>
      <c r="AC668" s="85"/>
      <c r="AD668" s="85"/>
      <c r="AE668" s="85"/>
      <c r="AF668" s="85"/>
      <c r="AG668" s="85" t="s">
        <v>1124</v>
      </c>
      <c r="AH668" s="85"/>
      <c r="AI668" s="85"/>
      <c r="AJ668" s="85"/>
      <c r="AK668" s="85"/>
      <c r="AL668" s="85"/>
      <c r="AM668" s="85"/>
      <c r="AN668" s="85"/>
      <c r="AO668" s="85"/>
      <c r="AP668" s="85"/>
      <c r="AQ668" s="85"/>
      <c r="AR668" s="85" t="s">
        <v>1124</v>
      </c>
      <c r="AS668" s="85"/>
      <c r="AT668" s="85"/>
      <c r="AU668" s="85"/>
      <c r="AV668" s="85"/>
      <c r="AW668" s="85"/>
      <c r="AX668" s="85"/>
      <c r="AY668" s="85"/>
      <c r="AZ668" s="85"/>
      <c r="BA668" s="85"/>
      <c r="BB668" s="89"/>
      <c r="BC668" s="89" t="s">
        <v>1124</v>
      </c>
      <c r="BD668" s="37"/>
      <c r="BE668" s="37"/>
      <c r="BF668" s="279"/>
      <c r="BG668" s="37"/>
      <c r="BH668" s="37"/>
      <c r="BI668" s="37"/>
      <c r="BJ668" s="283"/>
      <c r="BK668" s="161"/>
      <c r="BL668" s="294"/>
      <c r="BM668"/>
      <c r="BN668"/>
      <c r="BO668"/>
      <c r="BP668"/>
      <c r="BQ668"/>
      <c r="BR668"/>
      <c r="BS668"/>
      <c r="BT668"/>
      <c r="BU668"/>
      <c r="BV668"/>
      <c r="BW668"/>
      <c r="BX668"/>
      <c r="BY668"/>
      <c r="BZ668"/>
      <c r="CA668"/>
      <c r="CB668"/>
      <c r="CC668"/>
      <c r="CD668"/>
      <c r="CE668"/>
      <c r="CF668"/>
      <c r="CG668"/>
      <c r="CH668"/>
      <c r="CI668"/>
      <c r="CJ668"/>
    </row>
    <row r="669" spans="1:88" s="32" customFormat="1" ht="15" customHeight="1" x14ac:dyDescent="0.35">
      <c r="A669" s="473"/>
      <c r="B669" s="313">
        <v>56105</v>
      </c>
      <c r="C669" s="8" t="s">
        <v>580</v>
      </c>
      <c r="D669" s="18">
        <v>16</v>
      </c>
      <c r="E669" s="251"/>
      <c r="F669" s="82"/>
      <c r="G669" s="79"/>
      <c r="H669" s="90"/>
      <c r="I669" s="85"/>
      <c r="J669" s="85"/>
      <c r="K669" s="85"/>
      <c r="L669" s="85"/>
      <c r="M669" s="85"/>
      <c r="N669" s="85"/>
      <c r="O669" s="85"/>
      <c r="P669" s="85"/>
      <c r="Q669" s="85"/>
      <c r="R669" s="85"/>
      <c r="S669" s="89"/>
      <c r="T669" s="89" t="s">
        <v>1124</v>
      </c>
      <c r="U669" s="85"/>
      <c r="V669" s="85"/>
      <c r="W669" s="85"/>
      <c r="X669" s="89" t="s">
        <v>1124</v>
      </c>
      <c r="Y669" s="79"/>
      <c r="Z669" s="79"/>
      <c r="AA669" s="94"/>
      <c r="AB669" s="79" t="s">
        <v>1124</v>
      </c>
      <c r="AC669" s="85"/>
      <c r="AD669" s="85"/>
      <c r="AE669" s="85"/>
      <c r="AF669" s="85"/>
      <c r="AG669" s="85" t="s">
        <v>1124</v>
      </c>
      <c r="AH669" s="85"/>
      <c r="AI669" s="85"/>
      <c r="AJ669" s="85"/>
      <c r="AK669" s="85"/>
      <c r="AL669" s="85"/>
      <c r="AM669" s="85"/>
      <c r="AN669" s="85"/>
      <c r="AO669" s="85"/>
      <c r="AP669" s="85"/>
      <c r="AQ669" s="85"/>
      <c r="AR669" s="85" t="s">
        <v>1124</v>
      </c>
      <c r="AS669" s="85"/>
      <c r="AT669" s="85"/>
      <c r="AU669" s="85"/>
      <c r="AV669" s="85"/>
      <c r="AW669" s="85"/>
      <c r="AX669" s="85"/>
      <c r="AY669" s="85"/>
      <c r="AZ669" s="85"/>
      <c r="BA669" s="85"/>
      <c r="BB669" s="89"/>
      <c r="BC669" s="89" t="s">
        <v>1124</v>
      </c>
      <c r="BD669" s="37"/>
      <c r="BE669" s="37"/>
      <c r="BF669" s="279"/>
      <c r="BG669" s="37"/>
      <c r="BH669" s="37"/>
      <c r="BI669" s="37"/>
      <c r="BJ669" s="283"/>
      <c r="BK669" s="161"/>
      <c r="BL669" s="294"/>
      <c r="BM669"/>
      <c r="BN669"/>
      <c r="BO669"/>
      <c r="BP669"/>
      <c r="BQ669"/>
      <c r="BR669"/>
      <c r="BS669"/>
      <c r="BT669"/>
      <c r="BU669"/>
      <c r="BV669"/>
      <c r="BW669"/>
      <c r="BX669"/>
      <c r="BY669"/>
      <c r="BZ669"/>
      <c r="CA669"/>
      <c r="CB669"/>
      <c r="CC669"/>
      <c r="CD669"/>
      <c r="CE669"/>
      <c r="CF669"/>
      <c r="CG669"/>
      <c r="CH669"/>
      <c r="CI669"/>
      <c r="CJ669"/>
    </row>
    <row r="670" spans="1:88" s="32" customFormat="1" ht="15" customHeight="1" x14ac:dyDescent="0.35">
      <c r="A670" s="473"/>
      <c r="B670" s="313">
        <v>22045</v>
      </c>
      <c r="C670" s="8" t="s">
        <v>161</v>
      </c>
      <c r="D670" s="18">
        <v>3</v>
      </c>
      <c r="E670" s="251">
        <v>1615</v>
      </c>
      <c r="F670" s="82">
        <v>2.5888707037643206</v>
      </c>
      <c r="G670" s="79">
        <v>4181.0261865793782</v>
      </c>
      <c r="H670" s="90">
        <v>34.811999999999998</v>
      </c>
      <c r="I670" s="85">
        <v>33.478000000000002</v>
      </c>
      <c r="J670" s="85">
        <v>41.021999999999998</v>
      </c>
      <c r="K670" s="85">
        <v>44.637</v>
      </c>
      <c r="L670" s="85">
        <v>50.045999999999999</v>
      </c>
      <c r="M670" s="85">
        <v>47.9</v>
      </c>
      <c r="N670" s="85">
        <v>52.847999999999999</v>
      </c>
      <c r="O670" s="85">
        <v>45.454000000000001</v>
      </c>
      <c r="P670" s="85">
        <v>39.116999999999997</v>
      </c>
      <c r="Q670" s="85">
        <v>34.468000000000004</v>
      </c>
      <c r="R670" s="85">
        <v>31.800999999999998</v>
      </c>
      <c r="S670" s="89">
        <v>33.427</v>
      </c>
      <c r="T670" s="89">
        <v>489.01000000000005</v>
      </c>
      <c r="U670" s="85">
        <v>0</v>
      </c>
      <c r="V670" s="85">
        <v>489.01000000000005</v>
      </c>
      <c r="W670" s="85">
        <v>0</v>
      </c>
      <c r="X670" s="89">
        <v>489.01000000000005</v>
      </c>
      <c r="Y670" s="79">
        <v>0</v>
      </c>
      <c r="Z670" s="79">
        <v>3</v>
      </c>
      <c r="AA670" s="94">
        <v>0</v>
      </c>
      <c r="AB670" s="79">
        <v>3</v>
      </c>
      <c r="AC670" s="85">
        <v>345.65567087845966</v>
      </c>
      <c r="AD670" s="85">
        <v>17.67305055011181</v>
      </c>
      <c r="AE670" s="85">
        <v>125.68127857142858</v>
      </c>
      <c r="AF670" s="85">
        <v>0</v>
      </c>
      <c r="AG670" s="85">
        <v>489.0100000000001</v>
      </c>
      <c r="AH670" s="85">
        <v>0</v>
      </c>
      <c r="AI670" s="85">
        <v>0</v>
      </c>
      <c r="AJ670" s="85">
        <v>0</v>
      </c>
      <c r="AK670" s="85">
        <v>0</v>
      </c>
      <c r="AL670" s="85">
        <v>0</v>
      </c>
      <c r="AM670" s="85">
        <v>0</v>
      </c>
      <c r="AN670" s="85">
        <v>0</v>
      </c>
      <c r="AO670" s="85">
        <v>0</v>
      </c>
      <c r="AP670" s="85">
        <v>0</v>
      </c>
      <c r="AQ670" s="85">
        <v>0</v>
      </c>
      <c r="AR670" s="85">
        <v>0</v>
      </c>
      <c r="AS670" s="85">
        <v>489.01000000000005</v>
      </c>
      <c r="AT670" s="85">
        <v>0</v>
      </c>
      <c r="AU670" s="85">
        <v>0</v>
      </c>
      <c r="AV670" s="85">
        <v>0</v>
      </c>
      <c r="AW670" s="85">
        <v>0</v>
      </c>
      <c r="AX670" s="85">
        <v>0</v>
      </c>
      <c r="AY670" s="85">
        <v>0</v>
      </c>
      <c r="AZ670" s="85">
        <v>0</v>
      </c>
      <c r="BA670" s="85">
        <v>0</v>
      </c>
      <c r="BB670" s="89">
        <v>0</v>
      </c>
      <c r="BC670" s="89">
        <v>489.01000000000005</v>
      </c>
      <c r="BD670" s="37">
        <v>0</v>
      </c>
      <c r="BE670" s="37">
        <v>0</v>
      </c>
      <c r="BF670" s="279">
        <v>180363</v>
      </c>
      <c r="BG670" s="37">
        <v>34250</v>
      </c>
      <c r="BH670" s="37">
        <v>180363</v>
      </c>
      <c r="BI670" s="37">
        <v>0</v>
      </c>
      <c r="BJ670" s="283">
        <v>394976</v>
      </c>
      <c r="BK670" s="161"/>
      <c r="BL670" s="294"/>
      <c r="BM670"/>
      <c r="BN670"/>
      <c r="BO670"/>
      <c r="BP670"/>
      <c r="BQ670"/>
      <c r="BR670"/>
      <c r="BS670"/>
      <c r="BT670"/>
      <c r="BU670"/>
      <c r="BV670"/>
      <c r="BW670"/>
      <c r="BX670"/>
      <c r="BY670"/>
      <c r="BZ670"/>
      <c r="CA670"/>
      <c r="CB670"/>
      <c r="CC670"/>
      <c r="CD670"/>
      <c r="CE670"/>
      <c r="CF670"/>
      <c r="CG670"/>
      <c r="CH670"/>
      <c r="CI670"/>
      <c r="CJ670"/>
    </row>
    <row r="671" spans="1:88" s="32" customFormat="1" ht="15" customHeight="1" x14ac:dyDescent="0.35">
      <c r="A671" s="473"/>
      <c r="B671" s="313">
        <v>49085</v>
      </c>
      <c r="C671" s="8" t="s">
        <v>475</v>
      </c>
      <c r="D671" s="18">
        <v>17</v>
      </c>
      <c r="E671" s="251"/>
      <c r="F671" s="82"/>
      <c r="G671" s="79"/>
      <c r="H671" s="90"/>
      <c r="I671" s="85"/>
      <c r="J671" s="85"/>
      <c r="K671" s="85"/>
      <c r="L671" s="85"/>
      <c r="M671" s="85"/>
      <c r="N671" s="85"/>
      <c r="O671" s="85"/>
      <c r="P671" s="85"/>
      <c r="Q671" s="85"/>
      <c r="R671" s="85"/>
      <c r="S671" s="89"/>
      <c r="T671" s="89" t="s">
        <v>1124</v>
      </c>
      <c r="U671" s="85"/>
      <c r="V671" s="85"/>
      <c r="W671" s="85"/>
      <c r="X671" s="89" t="s">
        <v>1124</v>
      </c>
      <c r="Y671" s="79"/>
      <c r="Z671" s="79"/>
      <c r="AA671" s="94"/>
      <c r="AB671" s="79" t="s">
        <v>1124</v>
      </c>
      <c r="AC671" s="85"/>
      <c r="AD671" s="85"/>
      <c r="AE671" s="85"/>
      <c r="AF671" s="85"/>
      <c r="AG671" s="85" t="s">
        <v>1124</v>
      </c>
      <c r="AH671" s="85"/>
      <c r="AI671" s="85"/>
      <c r="AJ671" s="85"/>
      <c r="AK671" s="85"/>
      <c r="AL671" s="85"/>
      <c r="AM671" s="85"/>
      <c r="AN671" s="85"/>
      <c r="AO671" s="85"/>
      <c r="AP671" s="85"/>
      <c r="AQ671" s="85"/>
      <c r="AR671" s="85" t="s">
        <v>1124</v>
      </c>
      <c r="AS671" s="85"/>
      <c r="AT671" s="85"/>
      <c r="AU671" s="85"/>
      <c r="AV671" s="85"/>
      <c r="AW671" s="85"/>
      <c r="AX671" s="85"/>
      <c r="AY671" s="85"/>
      <c r="AZ671" s="85"/>
      <c r="BA671" s="85"/>
      <c r="BB671" s="89"/>
      <c r="BC671" s="89" t="s">
        <v>1124</v>
      </c>
      <c r="BD671" s="37"/>
      <c r="BE671" s="37"/>
      <c r="BF671" s="279"/>
      <c r="BG671" s="37"/>
      <c r="BH671" s="37"/>
      <c r="BI671" s="37"/>
      <c r="BJ671" s="283"/>
      <c r="BK671" s="161"/>
      <c r="BL671" s="294"/>
      <c r="BM671"/>
      <c r="BN671"/>
      <c r="BO671"/>
      <c r="BP671"/>
      <c r="BQ671"/>
      <c r="BR671"/>
      <c r="BS671"/>
      <c r="BT671"/>
      <c r="BU671"/>
      <c r="BV671"/>
      <c r="BW671"/>
      <c r="BX671"/>
      <c r="BY671"/>
      <c r="BZ671"/>
      <c r="CA671"/>
      <c r="CB671"/>
      <c r="CC671"/>
      <c r="CD671"/>
      <c r="CE671"/>
      <c r="CF671"/>
      <c r="CG671"/>
      <c r="CH671"/>
      <c r="CI671"/>
      <c r="CJ671"/>
    </row>
    <row r="672" spans="1:88" s="32" customFormat="1" ht="15" customHeight="1" x14ac:dyDescent="0.35">
      <c r="A672" s="473"/>
      <c r="B672" s="313">
        <v>67030</v>
      </c>
      <c r="C672" s="8" t="s">
        <v>667</v>
      </c>
      <c r="D672" s="18">
        <v>16</v>
      </c>
      <c r="E672" s="251"/>
      <c r="F672" s="82"/>
      <c r="G672" s="79"/>
      <c r="H672" s="90"/>
      <c r="I672" s="85"/>
      <c r="J672" s="85"/>
      <c r="K672" s="85"/>
      <c r="L672" s="85"/>
      <c r="M672" s="85"/>
      <c r="N672" s="85"/>
      <c r="O672" s="85"/>
      <c r="P672" s="85"/>
      <c r="Q672" s="85"/>
      <c r="R672" s="85"/>
      <c r="S672" s="89"/>
      <c r="T672" s="89" t="s">
        <v>1124</v>
      </c>
      <c r="U672" s="85"/>
      <c r="V672" s="85"/>
      <c r="W672" s="85"/>
      <c r="X672" s="89" t="s">
        <v>1124</v>
      </c>
      <c r="Y672" s="79"/>
      <c r="Z672" s="79"/>
      <c r="AA672" s="94"/>
      <c r="AB672" s="79" t="s">
        <v>1124</v>
      </c>
      <c r="AC672" s="85"/>
      <c r="AD672" s="85"/>
      <c r="AE672" s="85"/>
      <c r="AF672" s="85"/>
      <c r="AG672" s="85" t="s">
        <v>1124</v>
      </c>
      <c r="AH672" s="85"/>
      <c r="AI672" s="85"/>
      <c r="AJ672" s="85"/>
      <c r="AK672" s="85"/>
      <c r="AL672" s="85"/>
      <c r="AM672" s="85"/>
      <c r="AN672" s="85"/>
      <c r="AO672" s="85"/>
      <c r="AP672" s="85"/>
      <c r="AQ672" s="85"/>
      <c r="AR672" s="85" t="s">
        <v>1124</v>
      </c>
      <c r="AS672" s="85"/>
      <c r="AT672" s="85"/>
      <c r="AU672" s="85"/>
      <c r="AV672" s="85"/>
      <c r="AW672" s="85"/>
      <c r="AX672" s="85"/>
      <c r="AY672" s="85"/>
      <c r="AZ672" s="85"/>
      <c r="BA672" s="85"/>
      <c r="BB672" s="89"/>
      <c r="BC672" s="89" t="s">
        <v>1124</v>
      </c>
      <c r="BD672" s="37"/>
      <c r="BE672" s="37"/>
      <c r="BF672" s="279"/>
      <c r="BG672" s="37"/>
      <c r="BH672" s="37"/>
      <c r="BI672" s="37"/>
      <c r="BJ672" s="283"/>
      <c r="BK672" s="161"/>
      <c r="BL672" s="294"/>
      <c r="BM672"/>
      <c r="BN672"/>
      <c r="BO672"/>
      <c r="BP672"/>
      <c r="BQ672"/>
      <c r="BR672"/>
      <c r="BS672"/>
      <c r="BT672"/>
      <c r="BU672"/>
      <c r="BV672"/>
      <c r="BW672"/>
      <c r="BX672"/>
      <c r="BY672"/>
      <c r="BZ672"/>
      <c r="CA672"/>
      <c r="CB672"/>
      <c r="CC672"/>
      <c r="CD672"/>
      <c r="CE672"/>
      <c r="CF672"/>
      <c r="CG672"/>
      <c r="CH672"/>
      <c r="CI672"/>
      <c r="CJ672"/>
    </row>
    <row r="673" spans="1:88" s="32" customFormat="1" ht="15" customHeight="1" x14ac:dyDescent="0.35">
      <c r="A673" s="473"/>
      <c r="B673" s="313">
        <v>45060</v>
      </c>
      <c r="C673" s="8" t="s">
        <v>418</v>
      </c>
      <c r="D673" s="18">
        <v>5</v>
      </c>
      <c r="E673" s="251"/>
      <c r="F673" s="82"/>
      <c r="G673" s="79"/>
      <c r="H673" s="90"/>
      <c r="I673" s="85"/>
      <c r="J673" s="85"/>
      <c r="K673" s="85"/>
      <c r="L673" s="85"/>
      <c r="M673" s="85"/>
      <c r="N673" s="85"/>
      <c r="O673" s="85"/>
      <c r="P673" s="85"/>
      <c r="Q673" s="85"/>
      <c r="R673" s="85"/>
      <c r="S673" s="89"/>
      <c r="T673" s="89" t="s">
        <v>1124</v>
      </c>
      <c r="U673" s="85"/>
      <c r="V673" s="85"/>
      <c r="W673" s="85"/>
      <c r="X673" s="89" t="s">
        <v>1124</v>
      </c>
      <c r="Y673" s="79"/>
      <c r="Z673" s="79"/>
      <c r="AA673" s="94"/>
      <c r="AB673" s="79" t="s">
        <v>1124</v>
      </c>
      <c r="AC673" s="85"/>
      <c r="AD673" s="85"/>
      <c r="AE673" s="85"/>
      <c r="AF673" s="85"/>
      <c r="AG673" s="85" t="s">
        <v>1124</v>
      </c>
      <c r="AH673" s="85"/>
      <c r="AI673" s="85"/>
      <c r="AJ673" s="85"/>
      <c r="AK673" s="85"/>
      <c r="AL673" s="85"/>
      <c r="AM673" s="85"/>
      <c r="AN673" s="85"/>
      <c r="AO673" s="85"/>
      <c r="AP673" s="85"/>
      <c r="AQ673" s="85"/>
      <c r="AR673" s="85" t="s">
        <v>1124</v>
      </c>
      <c r="AS673" s="85"/>
      <c r="AT673" s="85"/>
      <c r="AU673" s="85"/>
      <c r="AV673" s="85"/>
      <c r="AW673" s="85"/>
      <c r="AX673" s="85"/>
      <c r="AY673" s="85"/>
      <c r="AZ673" s="85"/>
      <c r="BA673" s="85"/>
      <c r="BB673" s="89"/>
      <c r="BC673" s="89" t="s">
        <v>1124</v>
      </c>
      <c r="BD673" s="37"/>
      <c r="BE673" s="37"/>
      <c r="BF673" s="279"/>
      <c r="BG673" s="37"/>
      <c r="BH673" s="37"/>
      <c r="BI673" s="37"/>
      <c r="BJ673" s="283"/>
      <c r="BK673" s="161"/>
      <c r="BL673" s="294"/>
      <c r="BM673"/>
      <c r="BN673"/>
      <c r="BO673"/>
      <c r="BP673"/>
      <c r="BQ673"/>
      <c r="BR673"/>
      <c r="BS673"/>
      <c r="BT673"/>
      <c r="BU673"/>
      <c r="BV673"/>
      <c r="BW673"/>
      <c r="BX673"/>
      <c r="BY673"/>
      <c r="BZ673"/>
      <c r="CA673"/>
      <c r="CB673"/>
      <c r="CC673"/>
      <c r="CD673"/>
      <c r="CE673"/>
      <c r="CF673"/>
      <c r="CG673"/>
      <c r="CH673"/>
      <c r="CI673"/>
      <c r="CJ673"/>
    </row>
    <row r="674" spans="1:88" s="32" customFormat="1" ht="15" customHeight="1" x14ac:dyDescent="0.35">
      <c r="A674" s="473"/>
      <c r="B674" s="313">
        <v>22005</v>
      </c>
      <c r="C674" s="8" t="s">
        <v>153</v>
      </c>
      <c r="D674" s="18">
        <v>3</v>
      </c>
      <c r="E674" s="251">
        <v>1929</v>
      </c>
      <c r="F674" s="82">
        <v>2.6102027468933944</v>
      </c>
      <c r="G674" s="79">
        <v>5035.0810987573577</v>
      </c>
      <c r="H674" s="90">
        <v>34.939800000000005</v>
      </c>
      <c r="I674" s="85">
        <v>31.0136</v>
      </c>
      <c r="J674" s="85">
        <v>36.298400000000001</v>
      </c>
      <c r="K674" s="85">
        <v>38.144400000000005</v>
      </c>
      <c r="L674" s="85">
        <v>42.823999999999998</v>
      </c>
      <c r="M674" s="85">
        <v>45.356699999999996</v>
      </c>
      <c r="N674" s="85">
        <v>52.442399999999999</v>
      </c>
      <c r="O674" s="85">
        <v>46.737000000000002</v>
      </c>
      <c r="P674" s="85">
        <v>42.377000000000002</v>
      </c>
      <c r="Q674" s="85">
        <v>37.993499999999997</v>
      </c>
      <c r="R674" s="85">
        <v>35.477699999999999</v>
      </c>
      <c r="S674" s="89">
        <v>40.511099999999999</v>
      </c>
      <c r="T674" s="89">
        <v>484.11560000000003</v>
      </c>
      <c r="U674" s="85">
        <v>115.89700000000001</v>
      </c>
      <c r="V674" s="85">
        <v>368.21899999999999</v>
      </c>
      <c r="W674" s="85">
        <v>0</v>
      </c>
      <c r="X674" s="89">
        <v>484.11599999999999</v>
      </c>
      <c r="Y674" s="79">
        <v>1</v>
      </c>
      <c r="Z674" s="79">
        <v>3</v>
      </c>
      <c r="AA674" s="94">
        <v>0</v>
      </c>
      <c r="AB674" s="79">
        <v>4</v>
      </c>
      <c r="AC674" s="85">
        <v>338</v>
      </c>
      <c r="AD674" s="85">
        <v>104.31343301020405</v>
      </c>
      <c r="AE674" s="85">
        <v>41.802166989795978</v>
      </c>
      <c r="AF674" s="85">
        <v>0</v>
      </c>
      <c r="AG674" s="85">
        <v>484.11560000000003</v>
      </c>
      <c r="AH674" s="85">
        <v>115.89700000000001</v>
      </c>
      <c r="AI674" s="85">
        <v>0</v>
      </c>
      <c r="AJ674" s="85">
        <v>0</v>
      </c>
      <c r="AK674" s="85">
        <v>0</v>
      </c>
      <c r="AL674" s="85">
        <v>0</v>
      </c>
      <c r="AM674" s="85">
        <v>0</v>
      </c>
      <c r="AN674" s="85">
        <v>0</v>
      </c>
      <c r="AO674" s="85">
        <v>0</v>
      </c>
      <c r="AP674" s="85">
        <v>0</v>
      </c>
      <c r="AQ674" s="85">
        <v>0</v>
      </c>
      <c r="AR674" s="85">
        <v>115.89700000000001</v>
      </c>
      <c r="AS674" s="85">
        <v>0</v>
      </c>
      <c r="AT674" s="85">
        <v>0</v>
      </c>
      <c r="AU674" s="85">
        <v>0</v>
      </c>
      <c r="AV674" s="85">
        <v>0</v>
      </c>
      <c r="AW674" s="85">
        <v>0</v>
      </c>
      <c r="AX674" s="85">
        <v>0</v>
      </c>
      <c r="AY674" s="85">
        <v>368.21899999999999</v>
      </c>
      <c r="AZ674" s="85">
        <v>0</v>
      </c>
      <c r="BA674" s="85">
        <v>0</v>
      </c>
      <c r="BB674" s="89">
        <v>0</v>
      </c>
      <c r="BC674" s="89">
        <v>368.21899999999999</v>
      </c>
      <c r="BD674" s="37">
        <v>11549</v>
      </c>
      <c r="BE674" s="37">
        <v>0</v>
      </c>
      <c r="BF674" s="279">
        <v>50681</v>
      </c>
      <c r="BG674" s="37">
        <v>110754</v>
      </c>
      <c r="BH674" s="37">
        <v>62479</v>
      </c>
      <c r="BI674" s="37">
        <v>55189</v>
      </c>
      <c r="BJ674" s="283">
        <v>279103</v>
      </c>
      <c r="BK674" s="161"/>
      <c r="BL674" s="294"/>
      <c r="BM674"/>
      <c r="BN674"/>
      <c r="BO674"/>
      <c r="BP674"/>
      <c r="BQ674"/>
      <c r="BR674"/>
      <c r="BS674"/>
      <c r="BT674"/>
      <c r="BU674"/>
      <c r="BV674"/>
      <c r="BW674"/>
      <c r="BX674"/>
      <c r="BY674"/>
      <c r="BZ674"/>
      <c r="CA674"/>
      <c r="CB674"/>
      <c r="CC674"/>
      <c r="CD674"/>
      <c r="CE674"/>
      <c r="CF674"/>
      <c r="CG674"/>
      <c r="CH674"/>
      <c r="CI674"/>
      <c r="CJ674"/>
    </row>
    <row r="675" spans="1:88" s="32" customFormat="1" ht="15" customHeight="1" x14ac:dyDescent="0.35">
      <c r="A675" s="473"/>
      <c r="B675" s="313">
        <v>38060</v>
      </c>
      <c r="C675" s="8" t="s">
        <v>334</v>
      </c>
      <c r="D675" s="18">
        <v>17</v>
      </c>
      <c r="E675" s="251"/>
      <c r="F675" s="82"/>
      <c r="G675" s="79"/>
      <c r="H675" s="90"/>
      <c r="I675" s="85"/>
      <c r="J675" s="85"/>
      <c r="K675" s="85"/>
      <c r="L675" s="85"/>
      <c r="M675" s="85"/>
      <c r="N675" s="85"/>
      <c r="O675" s="85"/>
      <c r="P675" s="85"/>
      <c r="Q675" s="85"/>
      <c r="R675" s="85"/>
      <c r="S675" s="89"/>
      <c r="T675" s="89" t="s">
        <v>1124</v>
      </c>
      <c r="U675" s="85"/>
      <c r="V675" s="85"/>
      <c r="W675" s="85"/>
      <c r="X675" s="89" t="s">
        <v>1124</v>
      </c>
      <c r="Y675" s="79"/>
      <c r="Z675" s="79"/>
      <c r="AA675" s="94"/>
      <c r="AB675" s="79" t="s">
        <v>1124</v>
      </c>
      <c r="AC675" s="85"/>
      <c r="AD675" s="85"/>
      <c r="AE675" s="85"/>
      <c r="AF675" s="85"/>
      <c r="AG675" s="85" t="s">
        <v>1124</v>
      </c>
      <c r="AH675" s="85"/>
      <c r="AI675" s="85"/>
      <c r="AJ675" s="85"/>
      <c r="AK675" s="85"/>
      <c r="AL675" s="85"/>
      <c r="AM675" s="85"/>
      <c r="AN675" s="85"/>
      <c r="AO675" s="85"/>
      <c r="AP675" s="85"/>
      <c r="AQ675" s="85"/>
      <c r="AR675" s="85" t="s">
        <v>1124</v>
      </c>
      <c r="AS675" s="85"/>
      <c r="AT675" s="85"/>
      <c r="AU675" s="85"/>
      <c r="AV675" s="85"/>
      <c r="AW675" s="85"/>
      <c r="AX675" s="85"/>
      <c r="AY675" s="85"/>
      <c r="AZ675" s="85"/>
      <c r="BA675" s="85"/>
      <c r="BB675" s="89"/>
      <c r="BC675" s="89" t="s">
        <v>1124</v>
      </c>
      <c r="BD675" s="37"/>
      <c r="BE675" s="37"/>
      <c r="BF675" s="279"/>
      <c r="BG675" s="37"/>
      <c r="BH675" s="37"/>
      <c r="BI675" s="37"/>
      <c r="BJ675" s="283"/>
      <c r="BK675" s="161"/>
      <c r="BL675" s="294"/>
      <c r="BM675"/>
      <c r="BN675"/>
      <c r="BO675"/>
      <c r="BP675"/>
      <c r="BQ675"/>
      <c r="BR675"/>
      <c r="BS675"/>
      <c r="BT675"/>
      <c r="BU675"/>
      <c r="BV675"/>
      <c r="BW675"/>
      <c r="BX675"/>
      <c r="BY675"/>
      <c r="BZ675"/>
      <c r="CA675"/>
      <c r="CB675"/>
      <c r="CC675"/>
      <c r="CD675"/>
      <c r="CE675"/>
      <c r="CF675"/>
      <c r="CG675"/>
      <c r="CH675"/>
      <c r="CI675"/>
      <c r="CJ675"/>
    </row>
    <row r="676" spans="1:88" s="32" customFormat="1" ht="15" customHeight="1" x14ac:dyDescent="0.35">
      <c r="A676" s="473"/>
      <c r="B676" s="313">
        <v>47055</v>
      </c>
      <c r="C676" s="8" t="s">
        <v>455</v>
      </c>
      <c r="D676" s="18">
        <v>5</v>
      </c>
      <c r="E676" s="251"/>
      <c r="F676" s="82"/>
      <c r="G676" s="79"/>
      <c r="H676" s="90"/>
      <c r="I676" s="85"/>
      <c r="J676" s="85"/>
      <c r="K676" s="85"/>
      <c r="L676" s="85"/>
      <c r="M676" s="85"/>
      <c r="N676" s="85"/>
      <c r="O676" s="85"/>
      <c r="P676" s="85"/>
      <c r="Q676" s="85"/>
      <c r="R676" s="85"/>
      <c r="S676" s="89"/>
      <c r="T676" s="89" t="s">
        <v>1124</v>
      </c>
      <c r="U676" s="85"/>
      <c r="V676" s="85"/>
      <c r="W676" s="85"/>
      <c r="X676" s="89" t="s">
        <v>1124</v>
      </c>
      <c r="Y676" s="79"/>
      <c r="Z676" s="79"/>
      <c r="AA676" s="94"/>
      <c r="AB676" s="79" t="s">
        <v>1124</v>
      </c>
      <c r="AC676" s="85"/>
      <c r="AD676" s="85"/>
      <c r="AE676" s="85"/>
      <c r="AF676" s="85"/>
      <c r="AG676" s="85" t="s">
        <v>1124</v>
      </c>
      <c r="AH676" s="85"/>
      <c r="AI676" s="85"/>
      <c r="AJ676" s="85"/>
      <c r="AK676" s="85"/>
      <c r="AL676" s="85"/>
      <c r="AM676" s="85"/>
      <c r="AN676" s="85"/>
      <c r="AO676" s="85"/>
      <c r="AP676" s="85"/>
      <c r="AQ676" s="85"/>
      <c r="AR676" s="85" t="s">
        <v>1124</v>
      </c>
      <c r="AS676" s="85"/>
      <c r="AT676" s="85"/>
      <c r="AU676" s="85"/>
      <c r="AV676" s="85"/>
      <c r="AW676" s="85"/>
      <c r="AX676" s="85"/>
      <c r="AY676" s="85"/>
      <c r="AZ676" s="85"/>
      <c r="BA676" s="85"/>
      <c r="BB676" s="89"/>
      <c r="BC676" s="89" t="s">
        <v>1124</v>
      </c>
      <c r="BD676" s="37"/>
      <c r="BE676" s="37"/>
      <c r="BF676" s="279"/>
      <c r="BG676" s="37"/>
      <c r="BH676" s="37"/>
      <c r="BI676" s="37"/>
      <c r="BJ676" s="283"/>
      <c r="BK676" s="161"/>
      <c r="BL676" s="294"/>
      <c r="BM676"/>
      <c r="BN676"/>
      <c r="BO676"/>
      <c r="BP676"/>
      <c r="BQ676"/>
      <c r="BR676"/>
      <c r="BS676"/>
      <c r="BT676"/>
      <c r="BU676"/>
      <c r="BV676"/>
      <c r="BW676"/>
      <c r="BX676"/>
      <c r="BY676"/>
      <c r="BZ676"/>
      <c r="CA676"/>
      <c r="CB676"/>
      <c r="CC676"/>
      <c r="CD676"/>
      <c r="CE676"/>
      <c r="CF676"/>
      <c r="CG676"/>
      <c r="CH676"/>
      <c r="CI676"/>
      <c r="CJ676"/>
    </row>
    <row r="677" spans="1:88" s="32" customFormat="1" ht="15" customHeight="1" x14ac:dyDescent="0.35">
      <c r="A677" s="473"/>
      <c r="B677" s="313">
        <v>30050</v>
      </c>
      <c r="C677" s="8" t="s">
        <v>226</v>
      </c>
      <c r="D677" s="18">
        <v>5</v>
      </c>
      <c r="E677" s="251"/>
      <c r="F677" s="82"/>
      <c r="G677" s="79"/>
      <c r="H677" s="90"/>
      <c r="I677" s="85"/>
      <c r="J677" s="85"/>
      <c r="K677" s="85"/>
      <c r="L677" s="85"/>
      <c r="M677" s="85"/>
      <c r="N677" s="85"/>
      <c r="O677" s="85"/>
      <c r="P677" s="85"/>
      <c r="Q677" s="85"/>
      <c r="R677" s="85"/>
      <c r="S677" s="89"/>
      <c r="T677" s="89" t="s">
        <v>1124</v>
      </c>
      <c r="U677" s="85"/>
      <c r="V677" s="85"/>
      <c r="W677" s="85"/>
      <c r="X677" s="89" t="s">
        <v>1124</v>
      </c>
      <c r="Y677" s="79"/>
      <c r="Z677" s="79"/>
      <c r="AA677" s="94"/>
      <c r="AB677" s="79" t="s">
        <v>1124</v>
      </c>
      <c r="AC677" s="85"/>
      <c r="AD677" s="85"/>
      <c r="AE677" s="85"/>
      <c r="AF677" s="85"/>
      <c r="AG677" s="85" t="s">
        <v>1124</v>
      </c>
      <c r="AH677" s="85"/>
      <c r="AI677" s="85"/>
      <c r="AJ677" s="85"/>
      <c r="AK677" s="85"/>
      <c r="AL677" s="85"/>
      <c r="AM677" s="85"/>
      <c r="AN677" s="85"/>
      <c r="AO677" s="85"/>
      <c r="AP677" s="85"/>
      <c r="AQ677" s="85"/>
      <c r="AR677" s="85" t="s">
        <v>1124</v>
      </c>
      <c r="AS677" s="85"/>
      <c r="AT677" s="85"/>
      <c r="AU677" s="85"/>
      <c r="AV677" s="85"/>
      <c r="AW677" s="85"/>
      <c r="AX677" s="85"/>
      <c r="AY677" s="85"/>
      <c r="AZ677" s="85"/>
      <c r="BA677" s="85"/>
      <c r="BB677" s="89"/>
      <c r="BC677" s="89" t="s">
        <v>1124</v>
      </c>
      <c r="BD677" s="37"/>
      <c r="BE677" s="37"/>
      <c r="BF677" s="279"/>
      <c r="BG677" s="37"/>
      <c r="BH677" s="37"/>
      <c r="BI677" s="37"/>
      <c r="BJ677" s="283"/>
      <c r="BK677" s="161"/>
      <c r="BL677" s="294"/>
      <c r="BM677"/>
      <c r="BN677"/>
      <c r="BO677"/>
      <c r="BP677"/>
      <c r="BQ677"/>
      <c r="BR677"/>
      <c r="BS677"/>
      <c r="BT677"/>
      <c r="BU677"/>
      <c r="BV677"/>
      <c r="BW677"/>
      <c r="BX677"/>
      <c r="BY677"/>
      <c r="BZ677"/>
      <c r="CA677"/>
      <c r="CB677"/>
      <c r="CC677"/>
      <c r="CD677"/>
      <c r="CE677"/>
      <c r="CF677"/>
      <c r="CG677"/>
      <c r="CH677"/>
      <c r="CI677"/>
      <c r="CJ677"/>
    </row>
    <row r="678" spans="1:88" s="32" customFormat="1" ht="15" customHeight="1" x14ac:dyDescent="0.35">
      <c r="A678" s="473"/>
      <c r="B678" s="313">
        <v>48020</v>
      </c>
      <c r="C678" s="8" t="s">
        <v>459</v>
      </c>
      <c r="D678" s="18">
        <v>16</v>
      </c>
      <c r="E678" s="251"/>
      <c r="F678" s="82"/>
      <c r="G678" s="79"/>
      <c r="H678" s="90"/>
      <c r="I678" s="85"/>
      <c r="J678" s="85"/>
      <c r="K678" s="85"/>
      <c r="L678" s="85"/>
      <c r="M678" s="85"/>
      <c r="N678" s="85"/>
      <c r="O678" s="85"/>
      <c r="P678" s="85"/>
      <c r="Q678" s="85"/>
      <c r="R678" s="85"/>
      <c r="S678" s="89"/>
      <c r="T678" s="89" t="s">
        <v>1124</v>
      </c>
      <c r="U678" s="85"/>
      <c r="V678" s="85"/>
      <c r="W678" s="85"/>
      <c r="X678" s="89" t="s">
        <v>1124</v>
      </c>
      <c r="Y678" s="79"/>
      <c r="Z678" s="79"/>
      <c r="AA678" s="94"/>
      <c r="AB678" s="79" t="s">
        <v>1124</v>
      </c>
      <c r="AC678" s="85"/>
      <c r="AD678" s="85"/>
      <c r="AE678" s="85"/>
      <c r="AF678" s="85"/>
      <c r="AG678" s="85" t="s">
        <v>1124</v>
      </c>
      <c r="AH678" s="85"/>
      <c r="AI678" s="85"/>
      <c r="AJ678" s="85"/>
      <c r="AK678" s="85"/>
      <c r="AL678" s="85"/>
      <c r="AM678" s="85"/>
      <c r="AN678" s="85"/>
      <c r="AO678" s="85"/>
      <c r="AP678" s="85"/>
      <c r="AQ678" s="85"/>
      <c r="AR678" s="85" t="s">
        <v>1124</v>
      </c>
      <c r="AS678" s="85"/>
      <c r="AT678" s="85"/>
      <c r="AU678" s="85"/>
      <c r="AV678" s="85"/>
      <c r="AW678" s="85"/>
      <c r="AX678" s="85"/>
      <c r="AY678" s="85"/>
      <c r="AZ678" s="85"/>
      <c r="BA678" s="85"/>
      <c r="BB678" s="89"/>
      <c r="BC678" s="89" t="s">
        <v>1124</v>
      </c>
      <c r="BD678" s="37"/>
      <c r="BE678" s="37"/>
      <c r="BF678" s="279"/>
      <c r="BG678" s="37"/>
      <c r="BH678" s="37"/>
      <c r="BI678" s="37"/>
      <c r="BJ678" s="283"/>
      <c r="BK678" s="161"/>
      <c r="BL678" s="294"/>
      <c r="BM678"/>
      <c r="BN678"/>
      <c r="BO678"/>
      <c r="BP678"/>
      <c r="BQ678"/>
      <c r="BR678"/>
      <c r="BS678"/>
      <c r="BT678"/>
      <c r="BU678"/>
      <c r="BV678"/>
      <c r="BW678"/>
      <c r="BX678"/>
      <c r="BY678"/>
      <c r="BZ678"/>
      <c r="CA678"/>
      <c r="CB678"/>
      <c r="CC678"/>
      <c r="CD678"/>
      <c r="CE678"/>
      <c r="CF678"/>
      <c r="CG678"/>
      <c r="CH678"/>
      <c r="CI678"/>
      <c r="CJ678"/>
    </row>
    <row r="679" spans="1:88" s="32" customFormat="1" ht="15" customHeight="1" x14ac:dyDescent="0.35">
      <c r="A679" s="473"/>
      <c r="B679" s="313">
        <v>34105</v>
      </c>
      <c r="C679" s="8" t="s">
        <v>298</v>
      </c>
      <c r="D679" s="18">
        <v>3</v>
      </c>
      <c r="E679" s="251"/>
      <c r="F679" s="82"/>
      <c r="G679" s="79"/>
      <c r="H679" s="90"/>
      <c r="I679" s="85"/>
      <c r="J679" s="85"/>
      <c r="K679" s="85"/>
      <c r="L679" s="85"/>
      <c r="M679" s="85"/>
      <c r="N679" s="85"/>
      <c r="O679" s="85"/>
      <c r="P679" s="85"/>
      <c r="Q679" s="85"/>
      <c r="R679" s="85"/>
      <c r="S679" s="89"/>
      <c r="T679" s="89" t="s">
        <v>1124</v>
      </c>
      <c r="U679" s="85"/>
      <c r="V679" s="85"/>
      <c r="W679" s="85"/>
      <c r="X679" s="89" t="s">
        <v>1124</v>
      </c>
      <c r="Y679" s="79"/>
      <c r="Z679" s="79"/>
      <c r="AA679" s="94"/>
      <c r="AB679" s="79" t="s">
        <v>1124</v>
      </c>
      <c r="AC679" s="85"/>
      <c r="AD679" s="85"/>
      <c r="AE679" s="85"/>
      <c r="AF679" s="85"/>
      <c r="AG679" s="85" t="s">
        <v>1124</v>
      </c>
      <c r="AH679" s="85"/>
      <c r="AI679" s="85"/>
      <c r="AJ679" s="85"/>
      <c r="AK679" s="85"/>
      <c r="AL679" s="85"/>
      <c r="AM679" s="85"/>
      <c r="AN679" s="85"/>
      <c r="AO679" s="85"/>
      <c r="AP679" s="85"/>
      <c r="AQ679" s="85"/>
      <c r="AR679" s="85" t="s">
        <v>1124</v>
      </c>
      <c r="AS679" s="85"/>
      <c r="AT679" s="85"/>
      <c r="AU679" s="85"/>
      <c r="AV679" s="85"/>
      <c r="AW679" s="85"/>
      <c r="AX679" s="85"/>
      <c r="AY679" s="85"/>
      <c r="AZ679" s="85"/>
      <c r="BA679" s="85"/>
      <c r="BB679" s="89"/>
      <c r="BC679" s="89" t="s">
        <v>1124</v>
      </c>
      <c r="BD679" s="37"/>
      <c r="BE679" s="37"/>
      <c r="BF679" s="279"/>
      <c r="BG679" s="37"/>
      <c r="BH679" s="37"/>
      <c r="BI679" s="37"/>
      <c r="BJ679" s="283"/>
      <c r="BK679" s="161"/>
      <c r="BL679" s="294"/>
      <c r="BM679"/>
      <c r="BN679"/>
      <c r="BO679"/>
      <c r="BP679"/>
      <c r="BQ679"/>
      <c r="BR679"/>
      <c r="BS679"/>
      <c r="BT679"/>
      <c r="BU679"/>
      <c r="BV679"/>
      <c r="BW679"/>
      <c r="BX679"/>
      <c r="BY679"/>
      <c r="BZ679"/>
      <c r="CA679"/>
      <c r="CB679"/>
      <c r="CC679"/>
      <c r="CD679"/>
      <c r="CE679"/>
      <c r="CF679"/>
      <c r="CG679"/>
      <c r="CH679"/>
      <c r="CI679"/>
      <c r="CJ679"/>
    </row>
    <row r="680" spans="1:88" s="32" customFormat="1" ht="15" customHeight="1" x14ac:dyDescent="0.35">
      <c r="A680" s="473"/>
      <c r="B680" s="313">
        <v>19055</v>
      </c>
      <c r="C680" s="8" t="s">
        <v>127</v>
      </c>
      <c r="D680" s="18">
        <v>12</v>
      </c>
      <c r="E680" s="251">
        <v>1240</v>
      </c>
      <c r="F680" s="82">
        <v>2.1562889165628891</v>
      </c>
      <c r="G680" s="79">
        <v>2673.7982565379825</v>
      </c>
      <c r="H680" s="90">
        <v>58.246000000000002</v>
      </c>
      <c r="I680" s="85">
        <v>51.953000000000003</v>
      </c>
      <c r="J680" s="85">
        <v>63.914999999999999</v>
      </c>
      <c r="K680" s="85">
        <v>58.920999999999999</v>
      </c>
      <c r="L680" s="85">
        <v>64.242999999999995</v>
      </c>
      <c r="M680" s="85">
        <v>65.153999999999996</v>
      </c>
      <c r="N680" s="85">
        <v>74.051000000000002</v>
      </c>
      <c r="O680" s="85">
        <v>68.064999999999998</v>
      </c>
      <c r="P680" s="85">
        <v>65.733000000000004</v>
      </c>
      <c r="Q680" s="85">
        <v>60.216999999999999</v>
      </c>
      <c r="R680" s="85">
        <v>52.295999999999999</v>
      </c>
      <c r="S680" s="89">
        <v>59.347999999999999</v>
      </c>
      <c r="T680" s="89">
        <v>742.14199999999994</v>
      </c>
      <c r="U680" s="85">
        <v>0</v>
      </c>
      <c r="V680" s="85">
        <v>742.14200000000005</v>
      </c>
      <c r="W680" s="85">
        <v>0</v>
      </c>
      <c r="X680" s="89">
        <v>742.14200000000005</v>
      </c>
      <c r="Y680" s="79">
        <v>0</v>
      </c>
      <c r="Z680" s="79">
        <v>1</v>
      </c>
      <c r="AA680" s="94">
        <v>0</v>
      </c>
      <c r="AB680" s="79">
        <v>1</v>
      </c>
      <c r="AC680" s="85">
        <v>165.39400000000001</v>
      </c>
      <c r="AD680" s="85">
        <v>457.31799999999998</v>
      </c>
      <c r="AE680" s="85">
        <v>119.43</v>
      </c>
      <c r="AF680" s="85">
        <v>0</v>
      </c>
      <c r="AG680" s="85">
        <v>742.14200000000005</v>
      </c>
      <c r="AH680" s="85">
        <v>0</v>
      </c>
      <c r="AI680" s="85">
        <v>0</v>
      </c>
      <c r="AJ680" s="85">
        <v>0</v>
      </c>
      <c r="AK680" s="85">
        <v>0</v>
      </c>
      <c r="AL680" s="85">
        <v>0</v>
      </c>
      <c r="AM680" s="85">
        <v>0</v>
      </c>
      <c r="AN680" s="85">
        <v>0</v>
      </c>
      <c r="AO680" s="85">
        <v>0</v>
      </c>
      <c r="AP680" s="85">
        <v>0</v>
      </c>
      <c r="AQ680" s="85">
        <v>0</v>
      </c>
      <c r="AR680" s="85">
        <v>0</v>
      </c>
      <c r="AS680" s="85">
        <v>0</v>
      </c>
      <c r="AT680" s="85">
        <v>0</v>
      </c>
      <c r="AU680" s="85">
        <v>0</v>
      </c>
      <c r="AV680" s="85">
        <v>0</v>
      </c>
      <c r="AW680" s="85">
        <v>0</v>
      </c>
      <c r="AX680" s="85">
        <v>0</v>
      </c>
      <c r="AY680" s="85">
        <v>0</v>
      </c>
      <c r="AZ680" s="85">
        <v>742.14200000000005</v>
      </c>
      <c r="BA680" s="85">
        <v>0</v>
      </c>
      <c r="BB680" s="89">
        <v>0</v>
      </c>
      <c r="BC680" s="89">
        <v>742.14200000000005</v>
      </c>
      <c r="BD680" s="37">
        <v>0</v>
      </c>
      <c r="BE680" s="37">
        <v>0</v>
      </c>
      <c r="BF680" s="279">
        <v>57491</v>
      </c>
      <c r="BG680" s="37">
        <v>45133</v>
      </c>
      <c r="BH680" s="37">
        <v>76583</v>
      </c>
      <c r="BI680" s="37">
        <v>0</v>
      </c>
      <c r="BJ680" s="283">
        <v>179207</v>
      </c>
      <c r="BK680" s="161"/>
      <c r="BL680" s="294"/>
      <c r="BM680"/>
      <c r="BN680"/>
      <c r="BO680"/>
      <c r="BP680"/>
      <c r="BQ680"/>
      <c r="BR680"/>
      <c r="BS680"/>
      <c r="BT680"/>
      <c r="BU680"/>
      <c r="BV680"/>
      <c r="BW680"/>
      <c r="BX680"/>
      <c r="BY680"/>
      <c r="BZ680"/>
      <c r="CA680"/>
      <c r="CB680"/>
      <c r="CC680"/>
      <c r="CD680"/>
      <c r="CE680"/>
      <c r="CF680"/>
      <c r="CG680"/>
      <c r="CH680"/>
      <c r="CI680"/>
      <c r="CJ680"/>
    </row>
    <row r="681" spans="1:88" s="32" customFormat="1" ht="15" customHeight="1" x14ac:dyDescent="0.35">
      <c r="A681" s="473"/>
      <c r="B681" s="313">
        <v>68020</v>
      </c>
      <c r="C681" s="8" t="s">
        <v>676</v>
      </c>
      <c r="D681" s="18">
        <v>16</v>
      </c>
      <c r="E681" s="251"/>
      <c r="F681" s="82"/>
      <c r="G681" s="79"/>
      <c r="H681" s="90"/>
      <c r="I681" s="85"/>
      <c r="J681" s="85"/>
      <c r="K681" s="85"/>
      <c r="L681" s="85"/>
      <c r="M681" s="85"/>
      <c r="N681" s="85"/>
      <c r="O681" s="85"/>
      <c r="P681" s="85"/>
      <c r="Q681" s="85"/>
      <c r="R681" s="85"/>
      <c r="S681" s="89"/>
      <c r="T681" s="89" t="s">
        <v>1124</v>
      </c>
      <c r="U681" s="85"/>
      <c r="V681" s="85"/>
      <c r="W681" s="85"/>
      <c r="X681" s="89" t="s">
        <v>1124</v>
      </c>
      <c r="Y681" s="79"/>
      <c r="Z681" s="79"/>
      <c r="AA681" s="94"/>
      <c r="AB681" s="79" t="s">
        <v>1124</v>
      </c>
      <c r="AC681" s="85"/>
      <c r="AD681" s="85"/>
      <c r="AE681" s="85"/>
      <c r="AF681" s="85"/>
      <c r="AG681" s="85" t="s">
        <v>1124</v>
      </c>
      <c r="AH681" s="85"/>
      <c r="AI681" s="85"/>
      <c r="AJ681" s="85"/>
      <c r="AK681" s="85"/>
      <c r="AL681" s="85"/>
      <c r="AM681" s="85"/>
      <c r="AN681" s="85"/>
      <c r="AO681" s="85"/>
      <c r="AP681" s="85"/>
      <c r="AQ681" s="85"/>
      <c r="AR681" s="85" t="s">
        <v>1124</v>
      </c>
      <c r="AS681" s="85"/>
      <c r="AT681" s="85"/>
      <c r="AU681" s="85"/>
      <c r="AV681" s="85"/>
      <c r="AW681" s="85"/>
      <c r="AX681" s="85"/>
      <c r="AY681" s="85"/>
      <c r="AZ681" s="85"/>
      <c r="BA681" s="85"/>
      <c r="BB681" s="89"/>
      <c r="BC681" s="89" t="s">
        <v>1124</v>
      </c>
      <c r="BD681" s="37"/>
      <c r="BE681" s="37"/>
      <c r="BF681" s="279"/>
      <c r="BG681" s="37"/>
      <c r="BH681" s="37"/>
      <c r="BI681" s="37"/>
      <c r="BJ681" s="283"/>
      <c r="BK681" s="161"/>
      <c r="BL681" s="294"/>
      <c r="BM681"/>
      <c r="BN681"/>
      <c r="BO681"/>
      <c r="BP681"/>
      <c r="BQ681"/>
      <c r="BR681"/>
      <c r="BS681"/>
      <c r="BT681"/>
      <c r="BU681"/>
      <c r="BV681"/>
      <c r="BW681"/>
      <c r="BX681"/>
      <c r="BY681"/>
      <c r="BZ681"/>
      <c r="CA681"/>
      <c r="CB681"/>
      <c r="CC681"/>
      <c r="CD681"/>
      <c r="CE681"/>
      <c r="CF681"/>
      <c r="CG681"/>
      <c r="CH681"/>
      <c r="CI681"/>
      <c r="CJ681"/>
    </row>
    <row r="682" spans="1:88" s="32" customFormat="1" ht="15" customHeight="1" x14ac:dyDescent="0.35">
      <c r="A682" s="473"/>
      <c r="B682" s="313">
        <v>31060</v>
      </c>
      <c r="C682" s="8" t="s">
        <v>247</v>
      </c>
      <c r="D682" s="18">
        <v>12</v>
      </c>
      <c r="E682" s="251"/>
      <c r="F682" s="82"/>
      <c r="G682" s="79"/>
      <c r="H682" s="90"/>
      <c r="I682" s="85"/>
      <c r="J682" s="85"/>
      <c r="K682" s="85"/>
      <c r="L682" s="85"/>
      <c r="M682" s="85"/>
      <c r="N682" s="85"/>
      <c r="O682" s="85"/>
      <c r="P682" s="85"/>
      <c r="Q682" s="85"/>
      <c r="R682" s="85"/>
      <c r="S682" s="89"/>
      <c r="T682" s="89" t="s">
        <v>1124</v>
      </c>
      <c r="U682" s="85"/>
      <c r="V682" s="85"/>
      <c r="W682" s="85"/>
      <c r="X682" s="89" t="s">
        <v>1124</v>
      </c>
      <c r="Y682" s="79"/>
      <c r="Z682" s="79"/>
      <c r="AA682" s="94"/>
      <c r="AB682" s="79" t="s">
        <v>1124</v>
      </c>
      <c r="AC682" s="85"/>
      <c r="AD682" s="85"/>
      <c r="AE682" s="85"/>
      <c r="AF682" s="85"/>
      <c r="AG682" s="85" t="s">
        <v>1124</v>
      </c>
      <c r="AH682" s="85"/>
      <c r="AI682" s="85"/>
      <c r="AJ682" s="85"/>
      <c r="AK682" s="85"/>
      <c r="AL682" s="85"/>
      <c r="AM682" s="85"/>
      <c r="AN682" s="85"/>
      <c r="AO682" s="85"/>
      <c r="AP682" s="85"/>
      <c r="AQ682" s="85"/>
      <c r="AR682" s="85" t="s">
        <v>1124</v>
      </c>
      <c r="AS682" s="85"/>
      <c r="AT682" s="85"/>
      <c r="AU682" s="85"/>
      <c r="AV682" s="85"/>
      <c r="AW682" s="85"/>
      <c r="AX682" s="85"/>
      <c r="AY682" s="85"/>
      <c r="AZ682" s="85"/>
      <c r="BA682" s="85"/>
      <c r="BB682" s="89"/>
      <c r="BC682" s="89" t="s">
        <v>1124</v>
      </c>
      <c r="BD682" s="37"/>
      <c r="BE682" s="37"/>
      <c r="BF682" s="279"/>
      <c r="BG682" s="37"/>
      <c r="BH682" s="37"/>
      <c r="BI682" s="37"/>
      <c r="BJ682" s="283"/>
      <c r="BK682" s="161"/>
      <c r="BL682" s="294"/>
      <c r="BM682"/>
      <c r="BN682"/>
      <c r="BO682"/>
      <c r="BP682"/>
      <c r="BQ682"/>
      <c r="BR682"/>
      <c r="BS682"/>
      <c r="BT682"/>
      <c r="BU682"/>
      <c r="BV682"/>
      <c r="BW682"/>
      <c r="BX682"/>
      <c r="BY682"/>
      <c r="BZ682"/>
      <c r="CA682"/>
      <c r="CB682"/>
      <c r="CC682"/>
      <c r="CD682"/>
      <c r="CE682"/>
      <c r="CF682"/>
      <c r="CG682"/>
      <c r="CH682"/>
      <c r="CI682"/>
      <c r="CJ682"/>
    </row>
    <row r="683" spans="1:88" s="32" customFormat="1" ht="15" customHeight="1" x14ac:dyDescent="0.35">
      <c r="A683" s="473"/>
      <c r="B683" s="313">
        <v>39117</v>
      </c>
      <c r="C683" s="8" t="s">
        <v>352</v>
      </c>
      <c r="D683" s="18">
        <v>17</v>
      </c>
      <c r="E683" s="251">
        <v>171</v>
      </c>
      <c r="F683" s="82">
        <v>2.1934604904632153</v>
      </c>
      <c r="G683" s="79">
        <v>375.08174386920984</v>
      </c>
      <c r="H683" s="90">
        <v>4.6159999999999997</v>
      </c>
      <c r="I683" s="85">
        <v>3.2080000000000002</v>
      </c>
      <c r="J683" s="85">
        <v>4.0819999999999999</v>
      </c>
      <c r="K683" s="85">
        <v>3.492</v>
      </c>
      <c r="L683" s="85">
        <v>4.6689999999999996</v>
      </c>
      <c r="M683" s="85">
        <v>3.9359999999999999</v>
      </c>
      <c r="N683" s="85">
        <v>4.8360000000000003</v>
      </c>
      <c r="O683" s="85">
        <v>4.3449999999999998</v>
      </c>
      <c r="P683" s="85">
        <v>3.6760000000000002</v>
      </c>
      <c r="Q683" s="85">
        <v>5.1769999999999996</v>
      </c>
      <c r="R683" s="85">
        <v>3.7970000000000002</v>
      </c>
      <c r="S683" s="89">
        <v>4.0940000000000003</v>
      </c>
      <c r="T683" s="89">
        <v>49.927999999999997</v>
      </c>
      <c r="U683" s="85">
        <v>0</v>
      </c>
      <c r="V683" s="85">
        <v>49.927999999999997</v>
      </c>
      <c r="W683" s="85">
        <v>0</v>
      </c>
      <c r="X683" s="89">
        <v>49.927999999999997</v>
      </c>
      <c r="Y683" s="79">
        <v>0</v>
      </c>
      <c r="Z683" s="79">
        <v>1</v>
      </c>
      <c r="AA683" s="94">
        <v>0</v>
      </c>
      <c r="AB683" s="79">
        <v>1</v>
      </c>
      <c r="AC683" s="85">
        <v>30.18</v>
      </c>
      <c r="AD683" s="85">
        <v>10.037000000000001</v>
      </c>
      <c r="AE683" s="85">
        <v>9.7110000000000003</v>
      </c>
      <c r="AF683" s="85">
        <v>0</v>
      </c>
      <c r="AG683" s="85">
        <v>49.927999999999997</v>
      </c>
      <c r="AH683" s="85">
        <v>0</v>
      </c>
      <c r="AI683" s="85">
        <v>0</v>
      </c>
      <c r="AJ683" s="85">
        <v>0</v>
      </c>
      <c r="AK683" s="85">
        <v>0</v>
      </c>
      <c r="AL683" s="85">
        <v>0</v>
      </c>
      <c r="AM683" s="85">
        <v>0</v>
      </c>
      <c r="AN683" s="85">
        <v>0</v>
      </c>
      <c r="AO683" s="85">
        <v>0</v>
      </c>
      <c r="AP683" s="85">
        <v>0</v>
      </c>
      <c r="AQ683" s="85">
        <v>0</v>
      </c>
      <c r="AR683" s="85">
        <v>0</v>
      </c>
      <c r="AS683" s="85">
        <v>0</v>
      </c>
      <c r="AT683" s="85">
        <v>0</v>
      </c>
      <c r="AU683" s="85">
        <v>49.927999999999997</v>
      </c>
      <c r="AV683" s="85">
        <v>0</v>
      </c>
      <c r="AW683" s="85">
        <v>0</v>
      </c>
      <c r="AX683" s="85">
        <v>0</v>
      </c>
      <c r="AY683" s="85">
        <v>0</v>
      </c>
      <c r="AZ683" s="85">
        <v>0</v>
      </c>
      <c r="BA683" s="85">
        <v>0</v>
      </c>
      <c r="BB683" s="89">
        <v>0</v>
      </c>
      <c r="BC683" s="89">
        <v>49.927999999999997</v>
      </c>
      <c r="BD683" s="37">
        <v>0</v>
      </c>
      <c r="BE683" s="37">
        <v>0</v>
      </c>
      <c r="BF683" s="279">
        <v>18505</v>
      </c>
      <c r="BG683" s="37">
        <v>33760</v>
      </c>
      <c r="BH683" s="37">
        <v>15503</v>
      </c>
      <c r="BI683" s="37">
        <v>6308</v>
      </c>
      <c r="BJ683" s="283">
        <v>74076</v>
      </c>
      <c r="BK683" s="161"/>
      <c r="BL683" s="294"/>
      <c r="BM683"/>
      <c r="BN683"/>
      <c r="BO683"/>
      <c r="BP683"/>
      <c r="BQ683"/>
      <c r="BR683"/>
      <c r="BS683"/>
      <c r="BT683"/>
      <c r="BU683"/>
      <c r="BV683"/>
      <c r="BW683"/>
      <c r="BX683"/>
      <c r="BY683"/>
      <c r="BZ683"/>
      <c r="CA683"/>
      <c r="CB683"/>
      <c r="CC683"/>
      <c r="CD683"/>
      <c r="CE683"/>
      <c r="CF683"/>
      <c r="CG683"/>
      <c r="CH683"/>
      <c r="CI683"/>
      <c r="CJ683"/>
    </row>
    <row r="684" spans="1:88" s="32" customFormat="1" ht="15" customHeight="1" x14ac:dyDescent="0.35">
      <c r="A684" s="473"/>
      <c r="B684" s="313">
        <v>33102</v>
      </c>
      <c r="C684" s="8" t="s">
        <v>282</v>
      </c>
      <c r="D684" s="18">
        <v>12</v>
      </c>
      <c r="E684" s="251">
        <v>862</v>
      </c>
      <c r="F684" s="82">
        <v>2.1208791208791209</v>
      </c>
      <c r="G684" s="79">
        <v>1828.1978021978023</v>
      </c>
      <c r="H684" s="90">
        <v>16.925999999999998</v>
      </c>
      <c r="I684" s="85">
        <v>17.533999999999999</v>
      </c>
      <c r="J684" s="85">
        <v>21.363</v>
      </c>
      <c r="K684" s="85">
        <v>16.167999999999999</v>
      </c>
      <c r="L684" s="85">
        <v>20.186</v>
      </c>
      <c r="M684" s="85">
        <v>17.792999999999999</v>
      </c>
      <c r="N684" s="85">
        <v>20.018000000000001</v>
      </c>
      <c r="O684" s="85">
        <v>17.835999999999999</v>
      </c>
      <c r="P684" s="85">
        <v>18.347000000000001</v>
      </c>
      <c r="Q684" s="85">
        <v>17.402999999999999</v>
      </c>
      <c r="R684" s="85">
        <v>17.777999999999999</v>
      </c>
      <c r="S684" s="89">
        <v>19.545000000000002</v>
      </c>
      <c r="T684" s="89">
        <v>220.89699999999999</v>
      </c>
      <c r="U684" s="85">
        <v>0</v>
      </c>
      <c r="V684" s="85">
        <v>220.89699999999999</v>
      </c>
      <c r="W684" s="85">
        <v>0</v>
      </c>
      <c r="X684" s="89">
        <v>220.89699999999999</v>
      </c>
      <c r="Y684" s="79">
        <v>0</v>
      </c>
      <c r="Z684" s="79">
        <v>3</v>
      </c>
      <c r="AA684" s="94">
        <v>0</v>
      </c>
      <c r="AB684" s="79">
        <v>3</v>
      </c>
      <c r="AC684" s="85">
        <v>99.13</v>
      </c>
      <c r="AD684" s="85">
        <v>68.760000000000005</v>
      </c>
      <c r="AE684" s="85">
        <v>53.006999999999998</v>
      </c>
      <c r="AF684" s="85">
        <v>0</v>
      </c>
      <c r="AG684" s="85">
        <v>220.89699999999999</v>
      </c>
      <c r="AH684" s="85">
        <v>0</v>
      </c>
      <c r="AI684" s="85">
        <v>0</v>
      </c>
      <c r="AJ684" s="85">
        <v>0</v>
      </c>
      <c r="AK684" s="85">
        <v>0</v>
      </c>
      <c r="AL684" s="85">
        <v>0</v>
      </c>
      <c r="AM684" s="85">
        <v>0</v>
      </c>
      <c r="AN684" s="85">
        <v>0</v>
      </c>
      <c r="AO684" s="85">
        <v>0</v>
      </c>
      <c r="AP684" s="85">
        <v>0</v>
      </c>
      <c r="AQ684" s="85">
        <v>0</v>
      </c>
      <c r="AR684" s="85">
        <v>0</v>
      </c>
      <c r="AS684" s="85">
        <v>0</v>
      </c>
      <c r="AT684" s="85">
        <v>0</v>
      </c>
      <c r="AU684" s="85">
        <v>220.89699999999999</v>
      </c>
      <c r="AV684" s="85">
        <v>0</v>
      </c>
      <c r="AW684" s="85">
        <v>0</v>
      </c>
      <c r="AX684" s="85">
        <v>0</v>
      </c>
      <c r="AY684" s="85">
        <v>0</v>
      </c>
      <c r="AZ684" s="85">
        <v>0</v>
      </c>
      <c r="BA684" s="85">
        <v>0</v>
      </c>
      <c r="BB684" s="89">
        <v>0</v>
      </c>
      <c r="BC684" s="89">
        <v>220.89699999999999</v>
      </c>
      <c r="BD684" s="37">
        <v>0</v>
      </c>
      <c r="BE684" s="37">
        <v>28206</v>
      </c>
      <c r="BF684" s="279">
        <v>98294</v>
      </c>
      <c r="BG684" s="37">
        <v>142802</v>
      </c>
      <c r="BH684" s="37">
        <v>22434</v>
      </c>
      <c r="BI684" s="37">
        <v>10975</v>
      </c>
      <c r="BJ684" s="283">
        <v>274505</v>
      </c>
      <c r="BK684" s="161"/>
      <c r="BL684" s="294"/>
      <c r="BM684"/>
      <c r="BN684"/>
      <c r="BO684"/>
      <c r="BP684"/>
      <c r="BQ684"/>
      <c r="BR684"/>
      <c r="BS684"/>
      <c r="BT684"/>
      <c r="BU684"/>
      <c r="BV684"/>
      <c r="BW684"/>
      <c r="BX684"/>
      <c r="BY684"/>
      <c r="BZ684"/>
      <c r="CA684"/>
      <c r="CB684"/>
      <c r="CC684"/>
      <c r="CD684"/>
      <c r="CE684"/>
      <c r="CF684"/>
      <c r="CG684"/>
      <c r="CH684"/>
      <c r="CI684"/>
      <c r="CJ684"/>
    </row>
    <row r="685" spans="1:88" s="32" customFormat="1" ht="15" customHeight="1" x14ac:dyDescent="0.35">
      <c r="A685" s="473"/>
      <c r="B685" s="313">
        <v>49100</v>
      </c>
      <c r="C685" s="8" t="s">
        <v>477</v>
      </c>
      <c r="D685" s="18">
        <v>17</v>
      </c>
      <c r="E685" s="251"/>
      <c r="F685" s="82"/>
      <c r="G685" s="79"/>
      <c r="H685" s="90"/>
      <c r="I685" s="85"/>
      <c r="J685" s="85"/>
      <c r="K685" s="85"/>
      <c r="L685" s="85"/>
      <c r="M685" s="85"/>
      <c r="N685" s="85"/>
      <c r="O685" s="85"/>
      <c r="P685" s="85"/>
      <c r="Q685" s="85"/>
      <c r="R685" s="85"/>
      <c r="S685" s="89"/>
      <c r="T685" s="89" t="s">
        <v>1124</v>
      </c>
      <c r="U685" s="85"/>
      <c r="V685" s="85"/>
      <c r="W685" s="85"/>
      <c r="X685" s="89" t="s">
        <v>1124</v>
      </c>
      <c r="Y685" s="79"/>
      <c r="Z685" s="79"/>
      <c r="AA685" s="94"/>
      <c r="AB685" s="79" t="s">
        <v>1124</v>
      </c>
      <c r="AC685" s="85"/>
      <c r="AD685" s="85"/>
      <c r="AE685" s="85"/>
      <c r="AF685" s="85"/>
      <c r="AG685" s="85" t="s">
        <v>1124</v>
      </c>
      <c r="AH685" s="85"/>
      <c r="AI685" s="85"/>
      <c r="AJ685" s="85"/>
      <c r="AK685" s="85"/>
      <c r="AL685" s="85"/>
      <c r="AM685" s="85"/>
      <c r="AN685" s="85"/>
      <c r="AO685" s="85"/>
      <c r="AP685" s="85"/>
      <c r="AQ685" s="85"/>
      <c r="AR685" s="85" t="s">
        <v>1124</v>
      </c>
      <c r="AS685" s="85"/>
      <c r="AT685" s="85"/>
      <c r="AU685" s="85"/>
      <c r="AV685" s="85"/>
      <c r="AW685" s="85"/>
      <c r="AX685" s="85"/>
      <c r="AY685" s="85"/>
      <c r="AZ685" s="85"/>
      <c r="BA685" s="85"/>
      <c r="BB685" s="89"/>
      <c r="BC685" s="89" t="s">
        <v>1124</v>
      </c>
      <c r="BD685" s="37"/>
      <c r="BE685" s="37"/>
      <c r="BF685" s="279"/>
      <c r="BG685" s="37"/>
      <c r="BH685" s="37"/>
      <c r="BI685" s="37"/>
      <c r="BJ685" s="283"/>
      <c r="BK685" s="161"/>
      <c r="BL685" s="294"/>
      <c r="BM685"/>
      <c r="BN685"/>
      <c r="BO685"/>
      <c r="BP685"/>
      <c r="BQ685"/>
      <c r="BR685"/>
      <c r="BS685"/>
      <c r="BT685"/>
      <c r="BU685"/>
      <c r="BV685"/>
      <c r="BW685"/>
      <c r="BX685"/>
      <c r="BY685"/>
      <c r="BZ685"/>
      <c r="CA685"/>
      <c r="CB685"/>
      <c r="CC685"/>
      <c r="CD685"/>
      <c r="CE685"/>
      <c r="CF685"/>
      <c r="CG685"/>
      <c r="CH685"/>
      <c r="CI685"/>
      <c r="CJ685"/>
    </row>
    <row r="686" spans="1:88" s="32" customFormat="1" ht="15" customHeight="1" x14ac:dyDescent="0.35">
      <c r="A686" s="473"/>
      <c r="B686" s="314">
        <v>92050</v>
      </c>
      <c r="C686" s="8" t="s">
        <v>953</v>
      </c>
      <c r="D686" s="18">
        <v>2</v>
      </c>
      <c r="E686" s="251"/>
      <c r="F686" s="82"/>
      <c r="G686" s="79"/>
      <c r="H686" s="90"/>
      <c r="I686" s="85"/>
      <c r="J686" s="85"/>
      <c r="K686" s="85"/>
      <c r="L686" s="85"/>
      <c r="M686" s="85"/>
      <c r="N686" s="85"/>
      <c r="O686" s="85"/>
      <c r="P686" s="85"/>
      <c r="Q686" s="85"/>
      <c r="R686" s="85"/>
      <c r="S686" s="89"/>
      <c r="T686" s="89" t="s">
        <v>1124</v>
      </c>
      <c r="U686" s="85"/>
      <c r="V686" s="85"/>
      <c r="W686" s="85"/>
      <c r="X686" s="89" t="s">
        <v>1124</v>
      </c>
      <c r="Y686" s="79"/>
      <c r="Z686" s="79"/>
      <c r="AA686" s="94"/>
      <c r="AB686" s="79" t="s">
        <v>1124</v>
      </c>
      <c r="AC686" s="85"/>
      <c r="AD686" s="85"/>
      <c r="AE686" s="85"/>
      <c r="AF686" s="85"/>
      <c r="AG686" s="85" t="s">
        <v>1124</v>
      </c>
      <c r="AH686" s="85"/>
      <c r="AI686" s="85"/>
      <c r="AJ686" s="85"/>
      <c r="AK686" s="85"/>
      <c r="AL686" s="85"/>
      <c r="AM686" s="85"/>
      <c r="AN686" s="85"/>
      <c r="AO686" s="85"/>
      <c r="AP686" s="85"/>
      <c r="AQ686" s="85"/>
      <c r="AR686" s="85" t="s">
        <v>1124</v>
      </c>
      <c r="AS686" s="85"/>
      <c r="AT686" s="85"/>
      <c r="AU686" s="85"/>
      <c r="AV686" s="85"/>
      <c r="AW686" s="85"/>
      <c r="AX686" s="85"/>
      <c r="AY686" s="85"/>
      <c r="AZ686" s="85"/>
      <c r="BA686" s="85"/>
      <c r="BB686" s="89"/>
      <c r="BC686" s="89" t="s">
        <v>1124</v>
      </c>
      <c r="BD686" s="37"/>
      <c r="BE686" s="37"/>
      <c r="BF686" s="279"/>
      <c r="BG686" s="37"/>
      <c r="BH686" s="37"/>
      <c r="BI686" s="37"/>
      <c r="BJ686" s="283"/>
      <c r="BK686" s="161"/>
      <c r="BL686" s="294"/>
      <c r="BM686"/>
      <c r="BN686"/>
      <c r="BO686"/>
      <c r="BP686"/>
      <c r="BQ686"/>
      <c r="BR686"/>
      <c r="BS686"/>
      <c r="BT686"/>
      <c r="BU686"/>
      <c r="BV686"/>
      <c r="BW686"/>
      <c r="BX686"/>
      <c r="BY686"/>
      <c r="BZ686"/>
      <c r="CA686"/>
      <c r="CB686"/>
      <c r="CC686"/>
      <c r="CD686"/>
      <c r="CE686"/>
      <c r="CF686"/>
      <c r="CG686"/>
      <c r="CH686"/>
      <c r="CI686"/>
      <c r="CJ686"/>
    </row>
    <row r="687" spans="1:88" s="32" customFormat="1" ht="15" customHeight="1" x14ac:dyDescent="0.35">
      <c r="A687" s="473"/>
      <c r="B687" s="313">
        <v>68045</v>
      </c>
      <c r="C687" s="8" t="s">
        <v>681</v>
      </c>
      <c r="D687" s="18">
        <v>16</v>
      </c>
      <c r="E687" s="251"/>
      <c r="F687" s="82"/>
      <c r="G687" s="79"/>
      <c r="H687" s="90"/>
      <c r="I687" s="85"/>
      <c r="J687" s="85"/>
      <c r="K687" s="85"/>
      <c r="L687" s="85"/>
      <c r="M687" s="85"/>
      <c r="N687" s="85"/>
      <c r="O687" s="85"/>
      <c r="P687" s="85"/>
      <c r="Q687" s="85"/>
      <c r="R687" s="85"/>
      <c r="S687" s="89"/>
      <c r="T687" s="89" t="s">
        <v>1124</v>
      </c>
      <c r="U687" s="85"/>
      <c r="V687" s="85"/>
      <c r="W687" s="85"/>
      <c r="X687" s="89" t="s">
        <v>1124</v>
      </c>
      <c r="Y687" s="79"/>
      <c r="Z687" s="79"/>
      <c r="AA687" s="94"/>
      <c r="AB687" s="79" t="s">
        <v>1124</v>
      </c>
      <c r="AC687" s="85"/>
      <c r="AD687" s="85"/>
      <c r="AE687" s="85"/>
      <c r="AF687" s="85"/>
      <c r="AG687" s="85" t="s">
        <v>1124</v>
      </c>
      <c r="AH687" s="85"/>
      <c r="AI687" s="85"/>
      <c r="AJ687" s="85"/>
      <c r="AK687" s="85"/>
      <c r="AL687" s="85"/>
      <c r="AM687" s="85"/>
      <c r="AN687" s="85"/>
      <c r="AO687" s="85"/>
      <c r="AP687" s="85"/>
      <c r="AQ687" s="85"/>
      <c r="AR687" s="85" t="s">
        <v>1124</v>
      </c>
      <c r="AS687" s="85"/>
      <c r="AT687" s="85"/>
      <c r="AU687" s="85"/>
      <c r="AV687" s="85"/>
      <c r="AW687" s="85"/>
      <c r="AX687" s="85"/>
      <c r="AY687" s="85"/>
      <c r="AZ687" s="85"/>
      <c r="BA687" s="85"/>
      <c r="BB687" s="89"/>
      <c r="BC687" s="89" t="s">
        <v>1124</v>
      </c>
      <c r="BD687" s="37"/>
      <c r="BE687" s="37"/>
      <c r="BF687" s="279"/>
      <c r="BG687" s="37"/>
      <c r="BH687" s="37"/>
      <c r="BI687" s="37"/>
      <c r="BJ687" s="283"/>
      <c r="BK687" s="161"/>
      <c r="BL687" s="294"/>
      <c r="BM687"/>
      <c r="BN687"/>
      <c r="BO687"/>
      <c r="BP687"/>
      <c r="BQ687"/>
      <c r="BR687"/>
      <c r="BS687"/>
      <c r="BT687"/>
      <c r="BU687"/>
      <c r="BV687"/>
      <c r="BW687"/>
      <c r="BX687"/>
      <c r="BY687"/>
      <c r="BZ687"/>
      <c r="CA687"/>
      <c r="CB687"/>
      <c r="CC687"/>
      <c r="CD687"/>
      <c r="CE687"/>
      <c r="CF687"/>
      <c r="CG687"/>
      <c r="CH687"/>
      <c r="CI687"/>
      <c r="CJ687"/>
    </row>
    <row r="688" spans="1:88" s="32" customFormat="1" ht="15" customHeight="1" x14ac:dyDescent="0.35">
      <c r="A688" s="473"/>
      <c r="B688" s="313">
        <v>85015</v>
      </c>
      <c r="C688" s="8" t="s">
        <v>872</v>
      </c>
      <c r="D688" s="18">
        <v>8</v>
      </c>
      <c r="E688" s="251">
        <v>212</v>
      </c>
      <c r="F688" s="82">
        <v>2.1182432432432434</v>
      </c>
      <c r="G688" s="79">
        <v>449.06756756756761</v>
      </c>
      <c r="H688" s="90">
        <v>4.3730000000000002</v>
      </c>
      <c r="I688" s="85">
        <v>3.9140000000000001</v>
      </c>
      <c r="J688" s="85">
        <v>4.367</v>
      </c>
      <c r="K688" s="85">
        <v>3.3069999999999999</v>
      </c>
      <c r="L688" s="85">
        <v>3.2930000000000001</v>
      </c>
      <c r="M688" s="85">
        <v>4.1639999999999997</v>
      </c>
      <c r="N688" s="85">
        <v>4.1449999999999996</v>
      </c>
      <c r="O688" s="85">
        <v>4.2569999999999997</v>
      </c>
      <c r="P688" s="85">
        <v>3.5059999999999998</v>
      </c>
      <c r="Q688" s="85">
        <v>3.69</v>
      </c>
      <c r="R688" s="85">
        <v>3.8159999999999998</v>
      </c>
      <c r="S688" s="89">
        <v>4.056</v>
      </c>
      <c r="T688" s="89">
        <v>46.887999999999998</v>
      </c>
      <c r="U688" s="85">
        <v>0</v>
      </c>
      <c r="V688" s="85">
        <v>46.887999999999998</v>
      </c>
      <c r="W688" s="85">
        <v>0</v>
      </c>
      <c r="X688" s="89">
        <v>46.887999999999998</v>
      </c>
      <c r="Y688" s="79">
        <v>0</v>
      </c>
      <c r="Z688" s="79">
        <v>1</v>
      </c>
      <c r="AA688" s="94">
        <v>0</v>
      </c>
      <c r="AB688" s="79">
        <v>1</v>
      </c>
      <c r="AC688" s="85">
        <v>33.207000000000001</v>
      </c>
      <c r="AD688" s="85">
        <v>4.4580000000000002</v>
      </c>
      <c r="AE688" s="85">
        <v>9.2240000000000002</v>
      </c>
      <c r="AF688" s="85">
        <v>0</v>
      </c>
      <c r="AG688" s="85">
        <v>46.888999999999996</v>
      </c>
      <c r="AH688" s="85">
        <v>0</v>
      </c>
      <c r="AI688" s="85">
        <v>0</v>
      </c>
      <c r="AJ688" s="85">
        <v>0</v>
      </c>
      <c r="AK688" s="85">
        <v>0</v>
      </c>
      <c r="AL688" s="85">
        <v>0</v>
      </c>
      <c r="AM688" s="85">
        <v>0</v>
      </c>
      <c r="AN688" s="85">
        <v>0</v>
      </c>
      <c r="AO688" s="85">
        <v>0</v>
      </c>
      <c r="AP688" s="85">
        <v>0</v>
      </c>
      <c r="AQ688" s="85">
        <v>0</v>
      </c>
      <c r="AR688" s="85">
        <v>0</v>
      </c>
      <c r="AS688" s="85">
        <v>0</v>
      </c>
      <c r="AT688" s="85">
        <v>0</v>
      </c>
      <c r="AU688" s="85">
        <v>0</v>
      </c>
      <c r="AV688" s="85">
        <v>0</v>
      </c>
      <c r="AW688" s="85">
        <v>0</v>
      </c>
      <c r="AX688" s="85">
        <v>0</v>
      </c>
      <c r="AY688" s="85">
        <v>46.887999999999998</v>
      </c>
      <c r="AZ688" s="85">
        <v>0</v>
      </c>
      <c r="BA688" s="85">
        <v>0</v>
      </c>
      <c r="BB688" s="89">
        <v>0</v>
      </c>
      <c r="BC688" s="89">
        <v>46.887999999999998</v>
      </c>
      <c r="BD688" s="37">
        <v>0</v>
      </c>
      <c r="BE688" s="37">
        <v>0</v>
      </c>
      <c r="BF688" s="279">
        <v>13207</v>
      </c>
      <c r="BG688" s="37">
        <v>14854</v>
      </c>
      <c r="BH688" s="37">
        <v>6089</v>
      </c>
      <c r="BI688" s="37">
        <v>5922</v>
      </c>
      <c r="BJ688" s="283">
        <v>40072</v>
      </c>
      <c r="BK688" s="161"/>
      <c r="BL688" s="294"/>
      <c r="BM688"/>
      <c r="BN688"/>
      <c r="BO688"/>
      <c r="BP688"/>
      <c r="BQ688"/>
      <c r="BR688"/>
      <c r="BS688"/>
      <c r="BT688"/>
      <c r="BU688"/>
      <c r="BV688"/>
      <c r="BW688"/>
      <c r="BX688"/>
      <c r="BY688"/>
      <c r="BZ688"/>
      <c r="CA688"/>
      <c r="CB688"/>
      <c r="CC688"/>
      <c r="CD688"/>
      <c r="CE688"/>
      <c r="CF688"/>
      <c r="CG688"/>
      <c r="CH688"/>
      <c r="CI688"/>
      <c r="CJ688"/>
    </row>
    <row r="689" spans="1:88" s="32" customFormat="1" ht="15" customHeight="1" x14ac:dyDescent="0.35">
      <c r="A689" s="473"/>
      <c r="B689" s="313">
        <v>33080</v>
      </c>
      <c r="C689" s="8" t="s">
        <v>278</v>
      </c>
      <c r="D689" s="18">
        <v>12</v>
      </c>
      <c r="E689" s="251">
        <v>303</v>
      </c>
      <c r="F689" s="82">
        <v>2.1495495495495494</v>
      </c>
      <c r="G689" s="79">
        <v>651.3135135135135</v>
      </c>
      <c r="H689" s="90">
        <v>7.0129999999999999</v>
      </c>
      <c r="I689" s="85">
        <v>5.8010000000000002</v>
      </c>
      <c r="J689" s="85">
        <v>6.54</v>
      </c>
      <c r="K689" s="85">
        <v>6.867</v>
      </c>
      <c r="L689" s="85">
        <v>8.9689999999999994</v>
      </c>
      <c r="M689" s="85">
        <v>7.4980000000000002</v>
      </c>
      <c r="N689" s="85">
        <v>7.7830000000000004</v>
      </c>
      <c r="O689" s="85">
        <v>7.1079999999999997</v>
      </c>
      <c r="P689" s="85">
        <v>6.9029999999999996</v>
      </c>
      <c r="Q689" s="85">
        <v>7.5810000000000004</v>
      </c>
      <c r="R689" s="85">
        <v>6.7050000000000001</v>
      </c>
      <c r="S689" s="89">
        <v>7.4290000000000003</v>
      </c>
      <c r="T689" s="89">
        <v>86.197000000000003</v>
      </c>
      <c r="U689" s="85">
        <v>0</v>
      </c>
      <c r="V689" s="85">
        <v>86.197000000000003</v>
      </c>
      <c r="W689" s="85">
        <v>0</v>
      </c>
      <c r="X689" s="89">
        <v>86.197000000000003</v>
      </c>
      <c r="Y689" s="79">
        <v>0</v>
      </c>
      <c r="Z689" s="79">
        <v>3</v>
      </c>
      <c r="AA689" s="94">
        <v>0</v>
      </c>
      <c r="AB689" s="79">
        <v>3</v>
      </c>
      <c r="AC689" s="85">
        <v>60.014000000000003</v>
      </c>
      <c r="AD689" s="85">
        <v>6.2450000000000001</v>
      </c>
      <c r="AE689" s="85">
        <v>19.937999999999999</v>
      </c>
      <c r="AF689" s="85">
        <v>0</v>
      </c>
      <c r="AG689" s="85">
        <v>86.197000000000003</v>
      </c>
      <c r="AH689" s="85">
        <v>0</v>
      </c>
      <c r="AI689" s="85">
        <v>0</v>
      </c>
      <c r="AJ689" s="85">
        <v>0</v>
      </c>
      <c r="AK689" s="85">
        <v>0</v>
      </c>
      <c r="AL689" s="85">
        <v>0</v>
      </c>
      <c r="AM689" s="85">
        <v>0</v>
      </c>
      <c r="AN689" s="85">
        <v>0</v>
      </c>
      <c r="AO689" s="85">
        <v>0</v>
      </c>
      <c r="AP689" s="85">
        <v>0</v>
      </c>
      <c r="AQ689" s="85">
        <v>0</v>
      </c>
      <c r="AR689" s="85">
        <v>0</v>
      </c>
      <c r="AS689" s="85">
        <v>0</v>
      </c>
      <c r="AT689" s="85">
        <v>0</v>
      </c>
      <c r="AU689" s="85">
        <v>86.197000000000003</v>
      </c>
      <c r="AV689" s="85">
        <v>0</v>
      </c>
      <c r="AW689" s="85">
        <v>0</v>
      </c>
      <c r="AX689" s="85">
        <v>0</v>
      </c>
      <c r="AY689" s="85">
        <v>0</v>
      </c>
      <c r="AZ689" s="85">
        <v>0</v>
      </c>
      <c r="BA689" s="85">
        <v>0</v>
      </c>
      <c r="BB689" s="89">
        <v>0</v>
      </c>
      <c r="BC689" s="89">
        <v>86.197000000000003</v>
      </c>
      <c r="BD689" s="37">
        <v>0</v>
      </c>
      <c r="BE689" s="37">
        <v>0</v>
      </c>
      <c r="BF689" s="279">
        <v>16510</v>
      </c>
      <c r="BG689" s="37">
        <v>40900</v>
      </c>
      <c r="BH689" s="37">
        <v>24473</v>
      </c>
      <c r="BI689" s="37">
        <v>0</v>
      </c>
      <c r="BJ689" s="283">
        <v>81883</v>
      </c>
      <c r="BK689" s="161"/>
      <c r="BL689" s="294"/>
      <c r="BM689"/>
      <c r="BN689"/>
      <c r="BO689"/>
      <c r="BP689"/>
      <c r="BQ689"/>
      <c r="BR689"/>
      <c r="BS689"/>
      <c r="BT689"/>
      <c r="BU689"/>
      <c r="BV689"/>
      <c r="BW689"/>
      <c r="BX689"/>
      <c r="BY689"/>
      <c r="BZ689"/>
      <c r="CA689"/>
      <c r="CB689"/>
      <c r="CC689"/>
      <c r="CD689"/>
      <c r="CE689"/>
      <c r="CF689"/>
      <c r="CG689"/>
      <c r="CH689"/>
      <c r="CI689"/>
      <c r="CJ689"/>
    </row>
    <row r="690" spans="1:88" s="32" customFormat="1" ht="15" customHeight="1" x14ac:dyDescent="0.35">
      <c r="A690" s="473"/>
      <c r="B690" s="313">
        <v>51050</v>
      </c>
      <c r="C690" s="8" t="s">
        <v>506</v>
      </c>
      <c r="D690" s="18">
        <v>4</v>
      </c>
      <c r="E690" s="251">
        <v>163</v>
      </c>
      <c r="F690" s="82">
        <v>1.9650537634408602</v>
      </c>
      <c r="G690" s="79">
        <v>320.30376344086022</v>
      </c>
      <c r="H690" s="90">
        <v>2.5209999999999999</v>
      </c>
      <c r="I690" s="85">
        <v>2.4430000000000001</v>
      </c>
      <c r="J690" s="85">
        <v>2.984</v>
      </c>
      <c r="K690" s="85">
        <v>2.5230000000000001</v>
      </c>
      <c r="L690" s="85">
        <v>4.8810000000000002</v>
      </c>
      <c r="M690" s="85">
        <v>4.7119999999999997</v>
      </c>
      <c r="N690" s="85">
        <v>6.9610000000000003</v>
      </c>
      <c r="O690" s="85">
        <v>5.9619999999999997</v>
      </c>
      <c r="P690" s="85">
        <v>4.0259999999999998</v>
      </c>
      <c r="Q690" s="85">
        <v>5.3730000000000002</v>
      </c>
      <c r="R690" s="85">
        <v>3.4889999999999999</v>
      </c>
      <c r="S690" s="89">
        <v>3.415</v>
      </c>
      <c r="T690" s="89">
        <v>49.289999999999985</v>
      </c>
      <c r="U690" s="85">
        <v>0</v>
      </c>
      <c r="V690" s="85">
        <v>49.289999999999985</v>
      </c>
      <c r="W690" s="85">
        <v>0</v>
      </c>
      <c r="X690" s="89">
        <v>49.289999999999985</v>
      </c>
      <c r="Y690" s="79">
        <v>0</v>
      </c>
      <c r="Z690" s="79">
        <v>1</v>
      </c>
      <c r="AA690" s="94">
        <v>0</v>
      </c>
      <c r="AB690" s="79">
        <v>1</v>
      </c>
      <c r="AC690" s="85">
        <v>18.102157303370788</v>
      </c>
      <c r="AD690" s="85">
        <v>14.270458533427536</v>
      </c>
      <c r="AE690" s="85">
        <v>16.91738416320166</v>
      </c>
      <c r="AF690" s="85">
        <v>0</v>
      </c>
      <c r="AG690" s="85">
        <v>49.289999999999985</v>
      </c>
      <c r="AH690" s="85">
        <v>0</v>
      </c>
      <c r="AI690" s="85">
        <v>0</v>
      </c>
      <c r="AJ690" s="85">
        <v>0</v>
      </c>
      <c r="AK690" s="85">
        <v>0</v>
      </c>
      <c r="AL690" s="85">
        <v>0</v>
      </c>
      <c r="AM690" s="85">
        <v>0</v>
      </c>
      <c r="AN690" s="85">
        <v>0</v>
      </c>
      <c r="AO690" s="85">
        <v>0</v>
      </c>
      <c r="AP690" s="85">
        <v>0</v>
      </c>
      <c r="AQ690" s="85">
        <v>0</v>
      </c>
      <c r="AR690" s="85">
        <v>0</v>
      </c>
      <c r="AS690" s="85">
        <v>0</v>
      </c>
      <c r="AT690" s="85">
        <v>0</v>
      </c>
      <c r="AU690" s="85">
        <v>0</v>
      </c>
      <c r="AV690" s="85">
        <v>0</v>
      </c>
      <c r="AW690" s="85">
        <v>0</v>
      </c>
      <c r="AX690" s="85">
        <v>0</v>
      </c>
      <c r="AY690" s="85">
        <v>0</v>
      </c>
      <c r="AZ690" s="85">
        <v>49.289999999999985</v>
      </c>
      <c r="BA690" s="85">
        <v>0</v>
      </c>
      <c r="BB690" s="89">
        <v>0</v>
      </c>
      <c r="BC690" s="89">
        <v>49.289999999999985</v>
      </c>
      <c r="BD690" s="37">
        <v>0</v>
      </c>
      <c r="BE690" s="37">
        <v>0</v>
      </c>
      <c r="BF690" s="279">
        <v>20351</v>
      </c>
      <c r="BG690" s="37">
        <v>23451</v>
      </c>
      <c r="BH690" s="37">
        <v>7389</v>
      </c>
      <c r="BI690" s="37">
        <v>0</v>
      </c>
      <c r="BJ690" s="283">
        <v>51191</v>
      </c>
      <c r="BK690" s="161"/>
      <c r="BL690" s="294"/>
      <c r="BM690"/>
      <c r="BN690"/>
      <c r="BO690"/>
      <c r="BP690"/>
      <c r="BQ690"/>
      <c r="BR690"/>
      <c r="BS690"/>
      <c r="BT690"/>
      <c r="BU690"/>
      <c r="BV690"/>
      <c r="BW690"/>
      <c r="BX690"/>
      <c r="BY690"/>
      <c r="BZ690"/>
      <c r="CA690"/>
      <c r="CB690"/>
      <c r="CC690"/>
      <c r="CD690"/>
      <c r="CE690"/>
      <c r="CF690"/>
      <c r="CG690"/>
      <c r="CH690"/>
      <c r="CI690"/>
      <c r="CJ690"/>
    </row>
    <row r="691" spans="1:88" s="32" customFormat="1" ht="15" customHeight="1" x14ac:dyDescent="0.35">
      <c r="A691" s="473"/>
      <c r="B691" s="313">
        <v>44055</v>
      </c>
      <c r="C691" s="8" t="s">
        <v>406</v>
      </c>
      <c r="D691" s="18">
        <v>5</v>
      </c>
      <c r="E691" s="251"/>
      <c r="F691" s="82"/>
      <c r="G691" s="79"/>
      <c r="H691" s="90"/>
      <c r="I691" s="85"/>
      <c r="J691" s="85"/>
      <c r="K691" s="85"/>
      <c r="L691" s="85"/>
      <c r="M691" s="85"/>
      <c r="N691" s="85"/>
      <c r="O691" s="85"/>
      <c r="P691" s="85"/>
      <c r="Q691" s="85"/>
      <c r="R691" s="85"/>
      <c r="S691" s="89"/>
      <c r="T691" s="89" t="s">
        <v>1124</v>
      </c>
      <c r="U691" s="85"/>
      <c r="V691" s="85"/>
      <c r="W691" s="85"/>
      <c r="X691" s="89" t="s">
        <v>1124</v>
      </c>
      <c r="Y691" s="79"/>
      <c r="Z691" s="79"/>
      <c r="AA691" s="94"/>
      <c r="AB691" s="79" t="s">
        <v>1124</v>
      </c>
      <c r="AC691" s="85"/>
      <c r="AD691" s="85"/>
      <c r="AE691" s="85"/>
      <c r="AF691" s="85"/>
      <c r="AG691" s="85" t="s">
        <v>1124</v>
      </c>
      <c r="AH691" s="85"/>
      <c r="AI691" s="85"/>
      <c r="AJ691" s="85"/>
      <c r="AK691" s="85"/>
      <c r="AL691" s="85"/>
      <c r="AM691" s="85"/>
      <c r="AN691" s="85"/>
      <c r="AO691" s="85"/>
      <c r="AP691" s="85"/>
      <c r="AQ691" s="85"/>
      <c r="AR691" s="85" t="s">
        <v>1124</v>
      </c>
      <c r="AS691" s="85"/>
      <c r="AT691" s="85"/>
      <c r="AU691" s="85"/>
      <c r="AV691" s="85"/>
      <c r="AW691" s="85"/>
      <c r="AX691" s="85"/>
      <c r="AY691" s="85"/>
      <c r="AZ691" s="85"/>
      <c r="BA691" s="85"/>
      <c r="BB691" s="89"/>
      <c r="BC691" s="89" t="s">
        <v>1124</v>
      </c>
      <c r="BD691" s="37"/>
      <c r="BE691" s="37"/>
      <c r="BF691" s="279"/>
      <c r="BG691" s="37"/>
      <c r="BH691" s="37"/>
      <c r="BI691" s="37"/>
      <c r="BJ691" s="283"/>
      <c r="BK691" s="161"/>
      <c r="BL691" s="294"/>
      <c r="BM691"/>
      <c r="BN691"/>
      <c r="BO691"/>
      <c r="BP691"/>
      <c r="BQ691"/>
      <c r="BR691"/>
      <c r="BS691"/>
      <c r="BT691"/>
      <c r="BU691"/>
      <c r="BV691"/>
      <c r="BW691"/>
      <c r="BX691"/>
      <c r="BY691"/>
      <c r="BZ691"/>
      <c r="CA691"/>
      <c r="CB691"/>
      <c r="CC691"/>
      <c r="CD691"/>
      <c r="CE691"/>
      <c r="CF691"/>
      <c r="CG691"/>
      <c r="CH691"/>
      <c r="CI691"/>
      <c r="CJ691"/>
    </row>
    <row r="692" spans="1:88" s="32" customFormat="1" ht="15" customHeight="1" x14ac:dyDescent="0.35">
      <c r="A692" s="473"/>
      <c r="B692" s="313">
        <v>52030</v>
      </c>
      <c r="C692" s="8" t="s">
        <v>517</v>
      </c>
      <c r="D692" s="18">
        <v>14</v>
      </c>
      <c r="E692" s="251">
        <v>610</v>
      </c>
      <c r="F692" s="82">
        <v>2.3738019169329072</v>
      </c>
      <c r="G692" s="79">
        <v>1448.0191693290733</v>
      </c>
      <c r="H692" s="90">
        <v>40.610999999999997</v>
      </c>
      <c r="I692" s="85">
        <v>37.098999999999997</v>
      </c>
      <c r="J692" s="85">
        <v>40.53</v>
      </c>
      <c r="K692" s="85">
        <v>34.905999999999999</v>
      </c>
      <c r="L692" s="85">
        <v>33.258000000000003</v>
      </c>
      <c r="M692" s="85">
        <v>34.984000000000002</v>
      </c>
      <c r="N692" s="85">
        <v>40.929000000000002</v>
      </c>
      <c r="O692" s="85">
        <v>37.317</v>
      </c>
      <c r="P692" s="85">
        <v>29.6</v>
      </c>
      <c r="Q692" s="85">
        <v>32.037999999999997</v>
      </c>
      <c r="R692" s="85">
        <v>35.871000000000002</v>
      </c>
      <c r="S692" s="89">
        <v>43.86</v>
      </c>
      <c r="T692" s="89">
        <v>441.00300000000004</v>
      </c>
      <c r="U692" s="85">
        <v>0</v>
      </c>
      <c r="V692" s="85">
        <v>441.00299999999999</v>
      </c>
      <c r="W692" s="85">
        <v>0</v>
      </c>
      <c r="X692" s="89">
        <v>441.00299999999999</v>
      </c>
      <c r="Y692" s="79">
        <v>0</v>
      </c>
      <c r="Z692" s="79">
        <v>1</v>
      </c>
      <c r="AA692" s="94">
        <v>0</v>
      </c>
      <c r="AB692" s="79">
        <v>1</v>
      </c>
      <c r="AC692" s="85">
        <v>255.04300000000001</v>
      </c>
      <c r="AD692" s="85">
        <v>73.841999999999985</v>
      </c>
      <c r="AE692" s="85">
        <v>59.762</v>
      </c>
      <c r="AF692" s="85">
        <v>52.356000000000002</v>
      </c>
      <c r="AG692" s="85">
        <v>441.00299999999999</v>
      </c>
      <c r="AH692" s="85">
        <v>0</v>
      </c>
      <c r="AI692" s="85">
        <v>0</v>
      </c>
      <c r="AJ692" s="85">
        <v>0</v>
      </c>
      <c r="AK692" s="85">
        <v>0</v>
      </c>
      <c r="AL692" s="85">
        <v>0</v>
      </c>
      <c r="AM692" s="85">
        <v>0</v>
      </c>
      <c r="AN692" s="85">
        <v>0</v>
      </c>
      <c r="AO692" s="85">
        <v>0</v>
      </c>
      <c r="AP692" s="85">
        <v>0</v>
      </c>
      <c r="AQ692" s="85">
        <v>0</v>
      </c>
      <c r="AR692" s="85">
        <v>0</v>
      </c>
      <c r="AS692" s="85">
        <v>0</v>
      </c>
      <c r="AT692" s="85">
        <v>0</v>
      </c>
      <c r="AU692" s="85">
        <v>0</v>
      </c>
      <c r="AV692" s="85">
        <v>0</v>
      </c>
      <c r="AW692" s="85">
        <v>0</v>
      </c>
      <c r="AX692" s="85">
        <v>0</v>
      </c>
      <c r="AY692" s="85">
        <v>441.00299999999999</v>
      </c>
      <c r="AZ692" s="85">
        <v>0</v>
      </c>
      <c r="BA692" s="85">
        <v>0</v>
      </c>
      <c r="BB692" s="89">
        <v>0</v>
      </c>
      <c r="BC692" s="89">
        <v>441.00299999999999</v>
      </c>
      <c r="BD692" s="37">
        <v>2051903</v>
      </c>
      <c r="BE692" s="37">
        <v>168681</v>
      </c>
      <c r="BF692" s="279">
        <v>54706</v>
      </c>
      <c r="BG692" s="37">
        <v>91464</v>
      </c>
      <c r="BH692" s="37">
        <v>14000</v>
      </c>
      <c r="BI692" s="37">
        <v>0</v>
      </c>
      <c r="BJ692" s="283">
        <v>160170</v>
      </c>
      <c r="BK692" s="161"/>
      <c r="BL692" s="294"/>
      <c r="BM692"/>
      <c r="BN692"/>
      <c r="BO692"/>
      <c r="BP692"/>
      <c r="BQ692"/>
      <c r="BR692"/>
      <c r="BS692"/>
      <c r="BT692"/>
      <c r="BU692"/>
      <c r="BV692"/>
      <c r="BW692"/>
      <c r="BX692"/>
      <c r="BY692"/>
      <c r="BZ692"/>
      <c r="CA692"/>
      <c r="CB692"/>
      <c r="CC692"/>
      <c r="CD692"/>
      <c r="CE692"/>
      <c r="CF692"/>
      <c r="CG692"/>
      <c r="CH692"/>
      <c r="CI692"/>
      <c r="CJ692"/>
    </row>
    <row r="693" spans="1:88" s="32" customFormat="1" ht="15" customHeight="1" x14ac:dyDescent="0.35">
      <c r="A693" s="473"/>
      <c r="B693" s="313">
        <v>39090</v>
      </c>
      <c r="C693" s="8" t="s">
        <v>349</v>
      </c>
      <c r="D693" s="18">
        <v>17</v>
      </c>
      <c r="E693" s="251"/>
      <c r="F693" s="82"/>
      <c r="G693" s="79"/>
      <c r="H693" s="90"/>
      <c r="I693" s="85"/>
      <c r="J693" s="85"/>
      <c r="K693" s="85"/>
      <c r="L693" s="85"/>
      <c r="M693" s="85"/>
      <c r="N693" s="85"/>
      <c r="O693" s="85"/>
      <c r="P693" s="85"/>
      <c r="Q693" s="85"/>
      <c r="R693" s="85"/>
      <c r="S693" s="89"/>
      <c r="T693" s="89" t="s">
        <v>1124</v>
      </c>
      <c r="U693" s="85"/>
      <c r="V693" s="85"/>
      <c r="W693" s="85"/>
      <c r="X693" s="89" t="s">
        <v>1124</v>
      </c>
      <c r="Y693" s="79"/>
      <c r="Z693" s="79"/>
      <c r="AA693" s="94"/>
      <c r="AB693" s="79" t="s">
        <v>1124</v>
      </c>
      <c r="AC693" s="85"/>
      <c r="AD693" s="85"/>
      <c r="AE693" s="85"/>
      <c r="AF693" s="85"/>
      <c r="AG693" s="85" t="s">
        <v>1124</v>
      </c>
      <c r="AH693" s="85"/>
      <c r="AI693" s="85"/>
      <c r="AJ693" s="85"/>
      <c r="AK693" s="85"/>
      <c r="AL693" s="85"/>
      <c r="AM693" s="85"/>
      <c r="AN693" s="85"/>
      <c r="AO693" s="85"/>
      <c r="AP693" s="85"/>
      <c r="AQ693" s="85"/>
      <c r="AR693" s="85" t="s">
        <v>1124</v>
      </c>
      <c r="AS693" s="85"/>
      <c r="AT693" s="85"/>
      <c r="AU693" s="85"/>
      <c r="AV693" s="85"/>
      <c r="AW693" s="85"/>
      <c r="AX693" s="85"/>
      <c r="AY693" s="85"/>
      <c r="AZ693" s="85"/>
      <c r="BA693" s="85"/>
      <c r="BB693" s="89"/>
      <c r="BC693" s="89" t="s">
        <v>1124</v>
      </c>
      <c r="BD693" s="37"/>
      <c r="BE693" s="37"/>
      <c r="BF693" s="279"/>
      <c r="BG693" s="37"/>
      <c r="BH693" s="37"/>
      <c r="BI693" s="37"/>
      <c r="BJ693" s="283"/>
      <c r="BK693" s="161"/>
      <c r="BL693" s="294"/>
      <c r="BM693"/>
      <c r="BN693"/>
      <c r="BO693"/>
      <c r="BP693"/>
      <c r="BQ693"/>
      <c r="BR693"/>
      <c r="BS693"/>
      <c r="BT693"/>
      <c r="BU693"/>
      <c r="BV693"/>
      <c r="BW693"/>
      <c r="BX693"/>
      <c r="BY693"/>
      <c r="BZ693"/>
      <c r="CA693"/>
      <c r="CB693"/>
      <c r="CC693"/>
      <c r="CD693"/>
      <c r="CE693"/>
      <c r="CF693"/>
      <c r="CG693"/>
      <c r="CH693"/>
      <c r="CI693"/>
      <c r="CJ693"/>
    </row>
    <row r="694" spans="1:88" s="32" customFormat="1" ht="15" customHeight="1" x14ac:dyDescent="0.35">
      <c r="A694" s="473"/>
      <c r="B694" s="313">
        <v>62070</v>
      </c>
      <c r="C694" s="8" t="s">
        <v>630</v>
      </c>
      <c r="D694" s="18">
        <v>14</v>
      </c>
      <c r="E694" s="251">
        <v>269</v>
      </c>
      <c r="F694" s="82">
        <v>1.4672727272727273</v>
      </c>
      <c r="G694" s="79">
        <v>394.69636363636363</v>
      </c>
      <c r="H694" s="90">
        <v>9.7899999999999991</v>
      </c>
      <c r="I694" s="85">
        <v>10.257999999999999</v>
      </c>
      <c r="J694" s="85">
        <v>6.5430000000000001</v>
      </c>
      <c r="K694" s="85">
        <v>6.6429999999999998</v>
      </c>
      <c r="L694" s="85">
        <v>6.38</v>
      </c>
      <c r="M694" s="85">
        <v>6.4340000000000002</v>
      </c>
      <c r="N694" s="85">
        <v>10.182</v>
      </c>
      <c r="O694" s="85">
        <v>8.032</v>
      </c>
      <c r="P694" s="85">
        <v>5.94</v>
      </c>
      <c r="Q694" s="85">
        <v>5.9539999999999997</v>
      </c>
      <c r="R694" s="85">
        <v>5.6449999999999996</v>
      </c>
      <c r="S694" s="89">
        <v>6.5919999999999996</v>
      </c>
      <c r="T694" s="89">
        <v>88.392999999999986</v>
      </c>
      <c r="U694" s="85">
        <v>0</v>
      </c>
      <c r="V694" s="85">
        <v>88.393000000000001</v>
      </c>
      <c r="W694" s="85">
        <v>0</v>
      </c>
      <c r="X694" s="89">
        <v>88.393000000000001</v>
      </c>
      <c r="Y694" s="79">
        <v>0</v>
      </c>
      <c r="Z694" s="79">
        <v>1</v>
      </c>
      <c r="AA694" s="94">
        <v>0</v>
      </c>
      <c r="AB694" s="79">
        <v>1</v>
      </c>
      <c r="AC694" s="85">
        <v>54.667999999999999</v>
      </c>
      <c r="AD694" s="85">
        <v>6.0220000000000002</v>
      </c>
      <c r="AE694" s="85">
        <v>27.702999999999999</v>
      </c>
      <c r="AF694" s="85">
        <v>0</v>
      </c>
      <c r="AG694" s="85">
        <v>88.393000000000001</v>
      </c>
      <c r="AH694" s="85">
        <v>0</v>
      </c>
      <c r="AI694" s="85">
        <v>0</v>
      </c>
      <c r="AJ694" s="85">
        <v>0</v>
      </c>
      <c r="AK694" s="85">
        <v>0</v>
      </c>
      <c r="AL694" s="85">
        <v>0</v>
      </c>
      <c r="AM694" s="85">
        <v>0</v>
      </c>
      <c r="AN694" s="85">
        <v>0</v>
      </c>
      <c r="AO694" s="85">
        <v>0</v>
      </c>
      <c r="AP694" s="85">
        <v>0</v>
      </c>
      <c r="AQ694" s="85">
        <v>0</v>
      </c>
      <c r="AR694" s="85">
        <v>0</v>
      </c>
      <c r="AS694" s="85">
        <v>0</v>
      </c>
      <c r="AT694" s="85">
        <v>0</v>
      </c>
      <c r="AU694" s="85">
        <v>0</v>
      </c>
      <c r="AV694" s="85">
        <v>0</v>
      </c>
      <c r="AW694" s="85">
        <v>0</v>
      </c>
      <c r="AX694" s="85">
        <v>0</v>
      </c>
      <c r="AY694" s="85">
        <v>88.393000000000001</v>
      </c>
      <c r="AZ694" s="85">
        <v>0</v>
      </c>
      <c r="BA694" s="85">
        <v>0</v>
      </c>
      <c r="BB694" s="89">
        <v>0</v>
      </c>
      <c r="BC694" s="89">
        <v>88.393000000000001</v>
      </c>
      <c r="BD694" s="37">
        <v>0</v>
      </c>
      <c r="BE694" s="37">
        <v>0</v>
      </c>
      <c r="BF694" s="279">
        <v>3447</v>
      </c>
      <c r="BG694" s="37">
        <v>13175</v>
      </c>
      <c r="BH694" s="37">
        <v>13650</v>
      </c>
      <c r="BI694" s="37">
        <v>0</v>
      </c>
      <c r="BJ694" s="283">
        <v>30272</v>
      </c>
      <c r="BK694" s="161"/>
      <c r="BL694" s="294"/>
      <c r="BM694"/>
      <c r="BN694"/>
      <c r="BO694"/>
      <c r="BP694"/>
      <c r="BQ694"/>
      <c r="BR694"/>
      <c r="BS694"/>
      <c r="BT694"/>
      <c r="BU694"/>
      <c r="BV694"/>
      <c r="BW694"/>
      <c r="BX694"/>
      <c r="BY694"/>
      <c r="BZ694"/>
      <c r="CA694"/>
      <c r="CB694"/>
      <c r="CC694"/>
      <c r="CD694"/>
      <c r="CE694"/>
      <c r="CF694"/>
      <c r="CG694"/>
      <c r="CH694"/>
      <c r="CI694"/>
      <c r="CJ694"/>
    </row>
    <row r="695" spans="1:88" s="32" customFormat="1" ht="15" customHeight="1" x14ac:dyDescent="0.35">
      <c r="A695" s="473"/>
      <c r="B695" s="313">
        <v>50005</v>
      </c>
      <c r="C695" s="8" t="s">
        <v>482</v>
      </c>
      <c r="D695" s="18">
        <v>17</v>
      </c>
      <c r="E695" s="251">
        <v>221</v>
      </c>
      <c r="F695" s="82">
        <v>2.4746192893401013</v>
      </c>
      <c r="G695" s="79">
        <v>546.89086294416245</v>
      </c>
      <c r="H695" s="90">
        <v>5.5359999999999996</v>
      </c>
      <c r="I695" s="85">
        <v>5.2249999999999996</v>
      </c>
      <c r="J695" s="85">
        <v>5.4820000000000002</v>
      </c>
      <c r="K695" s="85">
        <v>5.1429999999999998</v>
      </c>
      <c r="L695" s="85">
        <v>5.6829999999999998</v>
      </c>
      <c r="M695" s="85">
        <v>5.7409999999999997</v>
      </c>
      <c r="N695" s="85">
        <v>7.181</v>
      </c>
      <c r="O695" s="85">
        <v>7.282</v>
      </c>
      <c r="P695" s="85">
        <v>5.8620000000000001</v>
      </c>
      <c r="Q695" s="85">
        <v>6.5880000000000001</v>
      </c>
      <c r="R695" s="85">
        <v>6.415</v>
      </c>
      <c r="S695" s="89">
        <v>5.7919999999999998</v>
      </c>
      <c r="T695" s="89">
        <v>71.930000000000007</v>
      </c>
      <c r="U695" s="85">
        <v>0</v>
      </c>
      <c r="V695" s="85">
        <v>71.930000000000007</v>
      </c>
      <c r="W695" s="85">
        <v>0</v>
      </c>
      <c r="X695" s="89">
        <v>71.930000000000007</v>
      </c>
      <c r="Y695" s="79">
        <v>0</v>
      </c>
      <c r="Z695" s="79">
        <v>1</v>
      </c>
      <c r="AA695" s="94">
        <v>0</v>
      </c>
      <c r="AB695" s="79">
        <v>1</v>
      </c>
      <c r="AC695" s="85">
        <v>37.369999999999997</v>
      </c>
      <c r="AD695" s="85">
        <v>6.2880000000000109</v>
      </c>
      <c r="AE695" s="85">
        <v>28.271999999999998</v>
      </c>
      <c r="AF695" s="85">
        <v>0</v>
      </c>
      <c r="AG695" s="85">
        <v>71.930000000000007</v>
      </c>
      <c r="AH695" s="85">
        <v>0</v>
      </c>
      <c r="AI695" s="85">
        <v>0</v>
      </c>
      <c r="AJ695" s="85">
        <v>0</v>
      </c>
      <c r="AK695" s="85">
        <v>0</v>
      </c>
      <c r="AL695" s="85">
        <v>0</v>
      </c>
      <c r="AM695" s="85">
        <v>0</v>
      </c>
      <c r="AN695" s="85">
        <v>0</v>
      </c>
      <c r="AO695" s="85">
        <v>0</v>
      </c>
      <c r="AP695" s="85">
        <v>0</v>
      </c>
      <c r="AQ695" s="85">
        <v>0</v>
      </c>
      <c r="AR695" s="85">
        <v>0</v>
      </c>
      <c r="AS695" s="85">
        <v>0</v>
      </c>
      <c r="AT695" s="85">
        <v>0</v>
      </c>
      <c r="AU695" s="85">
        <v>0</v>
      </c>
      <c r="AV695" s="85">
        <v>0</v>
      </c>
      <c r="AW695" s="85">
        <v>0</v>
      </c>
      <c r="AX695" s="85">
        <v>0</v>
      </c>
      <c r="AY695" s="85">
        <v>71.930000000000007</v>
      </c>
      <c r="AZ695" s="85">
        <v>0</v>
      </c>
      <c r="BA695" s="85">
        <v>0</v>
      </c>
      <c r="BB695" s="89">
        <v>0</v>
      </c>
      <c r="BC695" s="89">
        <v>71.930000000000007</v>
      </c>
      <c r="BD695" s="37">
        <v>0</v>
      </c>
      <c r="BE695" s="37">
        <v>0</v>
      </c>
      <c r="BF695" s="279">
        <v>28938</v>
      </c>
      <c r="BG695" s="37">
        <v>100733</v>
      </c>
      <c r="BH695" s="37">
        <v>16472</v>
      </c>
      <c r="BI695" s="37">
        <v>767</v>
      </c>
      <c r="BJ695" s="283">
        <v>146910</v>
      </c>
      <c r="BK695" s="161"/>
      <c r="BL695" s="294"/>
      <c r="BM695"/>
      <c r="BN695"/>
      <c r="BO695"/>
      <c r="BP695"/>
      <c r="BQ695"/>
      <c r="BR695"/>
      <c r="BS695"/>
      <c r="BT695"/>
      <c r="BU695"/>
      <c r="BV695"/>
      <c r="BW695"/>
      <c r="BX695"/>
      <c r="BY695"/>
      <c r="BZ695"/>
      <c r="CA695"/>
      <c r="CB695"/>
      <c r="CC695"/>
      <c r="CD695"/>
      <c r="CE695"/>
      <c r="CF695"/>
      <c r="CG695"/>
      <c r="CH695"/>
      <c r="CI695"/>
      <c r="CJ695"/>
    </row>
    <row r="696" spans="1:88" s="32" customFormat="1" ht="15" customHeight="1" x14ac:dyDescent="0.35">
      <c r="A696" s="473"/>
      <c r="B696" s="313">
        <v>18035</v>
      </c>
      <c r="C696" s="8" t="s">
        <v>110</v>
      </c>
      <c r="D696" s="18">
        <v>12</v>
      </c>
      <c r="E696" s="251"/>
      <c r="F696" s="82"/>
      <c r="G696" s="79"/>
      <c r="H696" s="90"/>
      <c r="I696" s="85"/>
      <c r="J696" s="85"/>
      <c r="K696" s="85"/>
      <c r="L696" s="85"/>
      <c r="M696" s="85"/>
      <c r="N696" s="85"/>
      <c r="O696" s="85"/>
      <c r="P696" s="85"/>
      <c r="Q696" s="85"/>
      <c r="R696" s="85"/>
      <c r="S696" s="89"/>
      <c r="T696" s="89" t="s">
        <v>1124</v>
      </c>
      <c r="U696" s="85"/>
      <c r="V696" s="85"/>
      <c r="W696" s="85"/>
      <c r="X696" s="89" t="s">
        <v>1124</v>
      </c>
      <c r="Y696" s="79"/>
      <c r="Z696" s="79"/>
      <c r="AA696" s="94"/>
      <c r="AB696" s="79" t="s">
        <v>1124</v>
      </c>
      <c r="AC696" s="85"/>
      <c r="AD696" s="85"/>
      <c r="AE696" s="85"/>
      <c r="AF696" s="85"/>
      <c r="AG696" s="85" t="s">
        <v>1124</v>
      </c>
      <c r="AH696" s="85"/>
      <c r="AI696" s="85"/>
      <c r="AJ696" s="85"/>
      <c r="AK696" s="85"/>
      <c r="AL696" s="85"/>
      <c r="AM696" s="85"/>
      <c r="AN696" s="85"/>
      <c r="AO696" s="85"/>
      <c r="AP696" s="85"/>
      <c r="AQ696" s="85"/>
      <c r="AR696" s="85" t="s">
        <v>1124</v>
      </c>
      <c r="AS696" s="85"/>
      <c r="AT696" s="85"/>
      <c r="AU696" s="85"/>
      <c r="AV696" s="85"/>
      <c r="AW696" s="85"/>
      <c r="AX696" s="85"/>
      <c r="AY696" s="85"/>
      <c r="AZ696" s="85"/>
      <c r="BA696" s="85"/>
      <c r="BB696" s="89"/>
      <c r="BC696" s="89" t="s">
        <v>1124</v>
      </c>
      <c r="BD696" s="37"/>
      <c r="BE696" s="37"/>
      <c r="BF696" s="279"/>
      <c r="BG696" s="37"/>
      <c r="BH696" s="37"/>
      <c r="BI696" s="37"/>
      <c r="BJ696" s="283"/>
      <c r="BK696" s="161"/>
      <c r="BL696" s="294"/>
      <c r="BM696"/>
      <c r="BN696"/>
      <c r="BO696"/>
      <c r="BP696"/>
      <c r="BQ696"/>
      <c r="BR696"/>
      <c r="BS696"/>
      <c r="BT696"/>
      <c r="BU696"/>
      <c r="BV696"/>
      <c r="BW696"/>
      <c r="BX696"/>
      <c r="BY696"/>
      <c r="BZ696"/>
      <c r="CA696"/>
      <c r="CB696"/>
      <c r="CC696"/>
      <c r="CD696"/>
      <c r="CE696"/>
      <c r="CF696"/>
      <c r="CG696"/>
      <c r="CH696"/>
      <c r="CI696"/>
      <c r="CJ696"/>
    </row>
    <row r="697" spans="1:88" s="32" customFormat="1" ht="15" customHeight="1" x14ac:dyDescent="0.35">
      <c r="A697" s="473"/>
      <c r="B697" s="316">
        <v>20010</v>
      </c>
      <c r="C697" s="10" t="s">
        <v>139</v>
      </c>
      <c r="D697" s="24">
        <v>3</v>
      </c>
      <c r="E697" s="251"/>
      <c r="F697" s="82"/>
      <c r="G697" s="79"/>
      <c r="H697" s="90"/>
      <c r="I697" s="85"/>
      <c r="J697" s="85"/>
      <c r="K697" s="85"/>
      <c r="L697" s="85"/>
      <c r="M697" s="85"/>
      <c r="N697" s="85"/>
      <c r="O697" s="85"/>
      <c r="P697" s="85"/>
      <c r="Q697" s="85"/>
      <c r="R697" s="85"/>
      <c r="S697" s="89"/>
      <c r="T697" s="89" t="s">
        <v>1124</v>
      </c>
      <c r="U697" s="85"/>
      <c r="V697" s="85"/>
      <c r="W697" s="85"/>
      <c r="X697" s="89" t="s">
        <v>1124</v>
      </c>
      <c r="Y697" s="79"/>
      <c r="Z697" s="79"/>
      <c r="AA697" s="94"/>
      <c r="AB697" s="79" t="s">
        <v>1124</v>
      </c>
      <c r="AC697" s="85"/>
      <c r="AD697" s="85"/>
      <c r="AE697" s="85"/>
      <c r="AF697" s="85"/>
      <c r="AG697" s="85" t="s">
        <v>1124</v>
      </c>
      <c r="AH697" s="85"/>
      <c r="AI697" s="85"/>
      <c r="AJ697" s="85"/>
      <c r="AK697" s="85"/>
      <c r="AL697" s="85"/>
      <c r="AM697" s="85"/>
      <c r="AN697" s="85"/>
      <c r="AO697" s="85"/>
      <c r="AP697" s="85"/>
      <c r="AQ697" s="85"/>
      <c r="AR697" s="85" t="s">
        <v>1124</v>
      </c>
      <c r="AS697" s="85"/>
      <c r="AT697" s="85"/>
      <c r="AU697" s="85"/>
      <c r="AV697" s="85"/>
      <c r="AW697" s="85"/>
      <c r="AX697" s="85"/>
      <c r="AY697" s="85"/>
      <c r="AZ697" s="85"/>
      <c r="BA697" s="85"/>
      <c r="BB697" s="89"/>
      <c r="BC697" s="89" t="s">
        <v>1124</v>
      </c>
      <c r="BD697" s="37"/>
      <c r="BE697" s="37"/>
      <c r="BF697" s="279"/>
      <c r="BG697" s="37"/>
      <c r="BH697" s="37"/>
      <c r="BI697" s="37"/>
      <c r="BJ697" s="283"/>
      <c r="BK697" s="161"/>
      <c r="BL697" s="294"/>
      <c r="BM697"/>
      <c r="BN697"/>
      <c r="BO697"/>
      <c r="BP697"/>
      <c r="BQ697"/>
      <c r="BR697"/>
      <c r="BS697"/>
      <c r="BT697"/>
      <c r="BU697"/>
      <c r="BV697"/>
      <c r="BW697"/>
      <c r="BX697"/>
      <c r="BY697"/>
      <c r="BZ697"/>
      <c r="CA697"/>
      <c r="CB697"/>
      <c r="CC697"/>
      <c r="CD697"/>
      <c r="CE697"/>
      <c r="CF697"/>
      <c r="CG697"/>
      <c r="CH697"/>
      <c r="CI697"/>
      <c r="CJ697"/>
    </row>
    <row r="698" spans="1:88" s="32" customFormat="1" ht="15" customHeight="1" x14ac:dyDescent="0.35">
      <c r="A698" s="473"/>
      <c r="B698" s="313">
        <v>8023</v>
      </c>
      <c r="C698" s="8" t="s">
        <v>1089</v>
      </c>
      <c r="D698" s="18">
        <v>1</v>
      </c>
      <c r="E698" s="251">
        <v>272</v>
      </c>
      <c r="F698" s="82">
        <v>1.967741935483871</v>
      </c>
      <c r="G698" s="79">
        <v>535.22580645161293</v>
      </c>
      <c r="H698" s="90">
        <v>11.973000000000001</v>
      </c>
      <c r="I698" s="85">
        <v>10.345000000000001</v>
      </c>
      <c r="J698" s="85">
        <v>11.504</v>
      </c>
      <c r="K698" s="85">
        <v>11.256</v>
      </c>
      <c r="L698" s="85">
        <v>13.226000000000001</v>
      </c>
      <c r="M698" s="85">
        <v>12.413</v>
      </c>
      <c r="N698" s="85">
        <v>17.167000000000002</v>
      </c>
      <c r="O698" s="85">
        <v>12.457000000000001</v>
      </c>
      <c r="P698" s="85">
        <v>10.737</v>
      </c>
      <c r="Q698" s="85">
        <v>8.85</v>
      </c>
      <c r="R698" s="85">
        <v>7.7789999999999999</v>
      </c>
      <c r="S698" s="89">
        <v>8.3320000000000007</v>
      </c>
      <c r="T698" s="89">
        <v>136.03899999999999</v>
      </c>
      <c r="U698" s="85">
        <v>136.03899999999999</v>
      </c>
      <c r="V698" s="85">
        <v>0</v>
      </c>
      <c r="W698" s="85">
        <v>0</v>
      </c>
      <c r="X698" s="89">
        <v>136.03899999999999</v>
      </c>
      <c r="Y698" s="79">
        <v>1</v>
      </c>
      <c r="Z698" s="79">
        <v>0</v>
      </c>
      <c r="AA698" s="94">
        <v>0</v>
      </c>
      <c r="AB698" s="79">
        <v>1</v>
      </c>
      <c r="AC698" s="85">
        <v>34.271000000000001</v>
      </c>
      <c r="AD698" s="85">
        <v>3.427</v>
      </c>
      <c r="AE698" s="85">
        <v>98.340999999999994</v>
      </c>
      <c r="AF698" s="85">
        <v>0</v>
      </c>
      <c r="AG698" s="85">
        <v>136.03899999999999</v>
      </c>
      <c r="AH698" s="85">
        <v>0</v>
      </c>
      <c r="AI698" s="85">
        <v>0</v>
      </c>
      <c r="AJ698" s="85">
        <v>0</v>
      </c>
      <c r="AK698" s="85">
        <v>0</v>
      </c>
      <c r="AL698" s="85">
        <v>0</v>
      </c>
      <c r="AM698" s="85">
        <v>0</v>
      </c>
      <c r="AN698" s="85">
        <v>136.03899999999999</v>
      </c>
      <c r="AO698" s="85">
        <v>0</v>
      </c>
      <c r="AP698" s="85">
        <v>0</v>
      </c>
      <c r="AQ698" s="85">
        <v>0</v>
      </c>
      <c r="AR698" s="85">
        <v>136.03899999999999</v>
      </c>
      <c r="AS698" s="85">
        <v>0</v>
      </c>
      <c r="AT698" s="85">
        <v>0</v>
      </c>
      <c r="AU698" s="85">
        <v>0</v>
      </c>
      <c r="AV698" s="85">
        <v>0</v>
      </c>
      <c r="AW698" s="85">
        <v>0</v>
      </c>
      <c r="AX698" s="85">
        <v>0</v>
      </c>
      <c r="AY698" s="85">
        <v>0</v>
      </c>
      <c r="AZ698" s="85">
        <v>0</v>
      </c>
      <c r="BA698" s="85">
        <v>0</v>
      </c>
      <c r="BB698" s="89">
        <v>0</v>
      </c>
      <c r="BC698" s="89">
        <v>0</v>
      </c>
      <c r="BD698" s="37">
        <v>15748</v>
      </c>
      <c r="BE698" s="37">
        <v>15684</v>
      </c>
      <c r="BF698" s="279">
        <v>2374</v>
      </c>
      <c r="BG698" s="37">
        <v>27645</v>
      </c>
      <c r="BH698" s="37">
        <v>390</v>
      </c>
      <c r="BI698" s="37">
        <v>3327</v>
      </c>
      <c r="BJ698" s="283">
        <v>33736</v>
      </c>
      <c r="BK698" s="161"/>
      <c r="BL698" s="294"/>
      <c r="BM698"/>
      <c r="BN698"/>
      <c r="BO698"/>
      <c r="BP698"/>
      <c r="BQ698"/>
      <c r="BR698"/>
      <c r="BS698"/>
      <c r="BT698"/>
      <c r="BU698"/>
      <c r="BV698"/>
      <c r="BW698"/>
      <c r="BX698"/>
      <c r="BY698"/>
      <c r="BZ698"/>
      <c r="CA698"/>
      <c r="CB698"/>
      <c r="CC698"/>
      <c r="CD698"/>
      <c r="CE698"/>
      <c r="CF698"/>
      <c r="CG698"/>
      <c r="CH698"/>
      <c r="CI698"/>
      <c r="CJ698"/>
    </row>
    <row r="699" spans="1:88" s="32" customFormat="1" ht="15" customHeight="1" x14ac:dyDescent="0.35">
      <c r="A699" s="473"/>
      <c r="B699" s="313">
        <v>17025</v>
      </c>
      <c r="C699" s="8" t="s">
        <v>94</v>
      </c>
      <c r="D699" s="18">
        <v>12</v>
      </c>
      <c r="E699" s="251"/>
      <c r="F699" s="82"/>
      <c r="G699" s="79"/>
      <c r="H699" s="90"/>
      <c r="I699" s="85"/>
      <c r="J699" s="85"/>
      <c r="K699" s="85"/>
      <c r="L699" s="85"/>
      <c r="M699" s="85"/>
      <c r="N699" s="85"/>
      <c r="O699" s="85"/>
      <c r="P699" s="85"/>
      <c r="Q699" s="85"/>
      <c r="R699" s="85"/>
      <c r="S699" s="89"/>
      <c r="T699" s="89" t="s">
        <v>1124</v>
      </c>
      <c r="U699" s="85"/>
      <c r="V699" s="85"/>
      <c r="W699" s="85"/>
      <c r="X699" s="89" t="s">
        <v>1124</v>
      </c>
      <c r="Y699" s="79"/>
      <c r="Z699" s="79"/>
      <c r="AA699" s="94"/>
      <c r="AB699" s="79" t="s">
        <v>1124</v>
      </c>
      <c r="AC699" s="85"/>
      <c r="AD699" s="85"/>
      <c r="AE699" s="85"/>
      <c r="AF699" s="85"/>
      <c r="AG699" s="85" t="s">
        <v>1124</v>
      </c>
      <c r="AH699" s="85"/>
      <c r="AI699" s="85"/>
      <c r="AJ699" s="85"/>
      <c r="AK699" s="85"/>
      <c r="AL699" s="85"/>
      <c r="AM699" s="85"/>
      <c r="AN699" s="85"/>
      <c r="AO699" s="85"/>
      <c r="AP699" s="85"/>
      <c r="AQ699" s="85"/>
      <c r="AR699" s="85" t="s">
        <v>1124</v>
      </c>
      <c r="AS699" s="85"/>
      <c r="AT699" s="85"/>
      <c r="AU699" s="85"/>
      <c r="AV699" s="85"/>
      <c r="AW699" s="85"/>
      <c r="AX699" s="85"/>
      <c r="AY699" s="85"/>
      <c r="AZ699" s="85"/>
      <c r="BA699" s="85"/>
      <c r="BB699" s="89"/>
      <c r="BC699" s="89" t="s">
        <v>1124</v>
      </c>
      <c r="BD699" s="37"/>
      <c r="BE699" s="37"/>
      <c r="BF699" s="279"/>
      <c r="BG699" s="37"/>
      <c r="BH699" s="37"/>
      <c r="BI699" s="37"/>
      <c r="BJ699" s="283"/>
      <c r="BK699" s="161"/>
      <c r="BL699" s="294"/>
      <c r="BM699"/>
      <c r="BN699"/>
      <c r="BO699"/>
      <c r="BP699"/>
      <c r="BQ699"/>
      <c r="BR699"/>
      <c r="BS699"/>
      <c r="BT699"/>
      <c r="BU699"/>
      <c r="BV699"/>
      <c r="BW699"/>
      <c r="BX699"/>
      <c r="BY699"/>
      <c r="BZ699"/>
      <c r="CA699"/>
      <c r="CB699"/>
      <c r="CC699"/>
      <c r="CD699"/>
      <c r="CE699"/>
      <c r="CF699"/>
      <c r="CG699"/>
      <c r="CH699"/>
      <c r="CI699"/>
      <c r="CJ699"/>
    </row>
    <row r="700" spans="1:88" s="32" customFormat="1" ht="15" customHeight="1" x14ac:dyDescent="0.35">
      <c r="A700" s="473"/>
      <c r="B700" s="313">
        <v>9085</v>
      </c>
      <c r="C700" s="8" t="s">
        <v>1111</v>
      </c>
      <c r="D700" s="18">
        <v>1</v>
      </c>
      <c r="E700" s="251"/>
      <c r="F700" s="82"/>
      <c r="G700" s="79"/>
      <c r="H700" s="90"/>
      <c r="I700" s="85"/>
      <c r="J700" s="85"/>
      <c r="K700" s="85"/>
      <c r="L700" s="85"/>
      <c r="M700" s="85"/>
      <c r="N700" s="85"/>
      <c r="O700" s="85"/>
      <c r="P700" s="85"/>
      <c r="Q700" s="85"/>
      <c r="R700" s="85"/>
      <c r="S700" s="89"/>
      <c r="T700" s="89" t="s">
        <v>1124</v>
      </c>
      <c r="U700" s="85"/>
      <c r="V700" s="85"/>
      <c r="W700" s="85"/>
      <c r="X700" s="89" t="s">
        <v>1124</v>
      </c>
      <c r="Y700" s="79"/>
      <c r="Z700" s="79"/>
      <c r="AA700" s="94"/>
      <c r="AB700" s="79" t="s">
        <v>1124</v>
      </c>
      <c r="AC700" s="85"/>
      <c r="AD700" s="85"/>
      <c r="AE700" s="85"/>
      <c r="AF700" s="85"/>
      <c r="AG700" s="85" t="s">
        <v>1124</v>
      </c>
      <c r="AH700" s="85"/>
      <c r="AI700" s="85"/>
      <c r="AJ700" s="85"/>
      <c r="AK700" s="85"/>
      <c r="AL700" s="85"/>
      <c r="AM700" s="85"/>
      <c r="AN700" s="85"/>
      <c r="AO700" s="85"/>
      <c r="AP700" s="85"/>
      <c r="AQ700" s="85"/>
      <c r="AR700" s="85" t="s">
        <v>1124</v>
      </c>
      <c r="AS700" s="85"/>
      <c r="AT700" s="85"/>
      <c r="AU700" s="85"/>
      <c r="AV700" s="85"/>
      <c r="AW700" s="85"/>
      <c r="AX700" s="85"/>
      <c r="AY700" s="85"/>
      <c r="AZ700" s="85"/>
      <c r="BA700" s="85"/>
      <c r="BB700" s="89"/>
      <c r="BC700" s="89" t="s">
        <v>1124</v>
      </c>
      <c r="BD700" s="37"/>
      <c r="BE700" s="37"/>
      <c r="BF700" s="279"/>
      <c r="BG700" s="37"/>
      <c r="BH700" s="37"/>
      <c r="BI700" s="37"/>
      <c r="BJ700" s="283"/>
      <c r="BK700" s="161"/>
      <c r="BL700" s="294"/>
      <c r="BM700"/>
      <c r="BN700"/>
      <c r="BO700"/>
      <c r="BP700"/>
      <c r="BQ700"/>
      <c r="BR700"/>
      <c r="BS700"/>
      <c r="BT700"/>
      <c r="BU700"/>
      <c r="BV700"/>
      <c r="BW700"/>
      <c r="BX700"/>
      <c r="BY700"/>
      <c r="BZ700"/>
      <c r="CA700"/>
      <c r="CB700"/>
      <c r="CC700"/>
      <c r="CD700"/>
      <c r="CE700"/>
      <c r="CF700"/>
      <c r="CG700"/>
      <c r="CH700"/>
      <c r="CI700"/>
      <c r="CJ700"/>
    </row>
    <row r="701" spans="1:88" s="32" customFormat="1" ht="15" customHeight="1" x14ac:dyDescent="0.35">
      <c r="A701" s="473"/>
      <c r="B701" s="313">
        <v>7010</v>
      </c>
      <c r="C701" s="8" t="s">
        <v>1069</v>
      </c>
      <c r="D701" s="18">
        <v>1</v>
      </c>
      <c r="E701" s="251"/>
      <c r="F701" s="82"/>
      <c r="G701" s="79"/>
      <c r="H701" s="90"/>
      <c r="I701" s="85"/>
      <c r="J701" s="85"/>
      <c r="K701" s="85"/>
      <c r="L701" s="85"/>
      <c r="M701" s="85"/>
      <c r="N701" s="85"/>
      <c r="O701" s="85"/>
      <c r="P701" s="85"/>
      <c r="Q701" s="85"/>
      <c r="R701" s="85"/>
      <c r="S701" s="89"/>
      <c r="T701" s="89" t="s">
        <v>1124</v>
      </c>
      <c r="U701" s="85"/>
      <c r="V701" s="85"/>
      <c r="W701" s="85"/>
      <c r="X701" s="89" t="s">
        <v>1124</v>
      </c>
      <c r="Y701" s="79"/>
      <c r="Z701" s="79"/>
      <c r="AA701" s="94"/>
      <c r="AB701" s="79" t="s">
        <v>1124</v>
      </c>
      <c r="AC701" s="85"/>
      <c r="AD701" s="85"/>
      <c r="AE701" s="85"/>
      <c r="AF701" s="85"/>
      <c r="AG701" s="85" t="s">
        <v>1124</v>
      </c>
      <c r="AH701" s="85"/>
      <c r="AI701" s="85"/>
      <c r="AJ701" s="85"/>
      <c r="AK701" s="85"/>
      <c r="AL701" s="85"/>
      <c r="AM701" s="85"/>
      <c r="AN701" s="85"/>
      <c r="AO701" s="85"/>
      <c r="AP701" s="85"/>
      <c r="AQ701" s="85"/>
      <c r="AR701" s="85" t="s">
        <v>1124</v>
      </c>
      <c r="AS701" s="85"/>
      <c r="AT701" s="85"/>
      <c r="AU701" s="85"/>
      <c r="AV701" s="85"/>
      <c r="AW701" s="85"/>
      <c r="AX701" s="85"/>
      <c r="AY701" s="85"/>
      <c r="AZ701" s="85"/>
      <c r="BA701" s="85"/>
      <c r="BB701" s="89"/>
      <c r="BC701" s="89" t="s">
        <v>1124</v>
      </c>
      <c r="BD701" s="37"/>
      <c r="BE701" s="37"/>
      <c r="BF701" s="279"/>
      <c r="BG701" s="37"/>
      <c r="BH701" s="37"/>
      <c r="BI701" s="37"/>
      <c r="BJ701" s="283"/>
      <c r="BK701" s="161"/>
      <c r="BL701" s="294"/>
      <c r="BM701"/>
      <c r="BN701"/>
      <c r="BO701"/>
      <c r="BP701"/>
      <c r="BQ701"/>
      <c r="BR701"/>
      <c r="BS701"/>
      <c r="BT701"/>
      <c r="BU701"/>
      <c r="BV701"/>
      <c r="BW701"/>
      <c r="BX701"/>
      <c r="BY701"/>
      <c r="BZ701"/>
      <c r="CA701"/>
      <c r="CB701"/>
      <c r="CC701"/>
      <c r="CD701"/>
      <c r="CE701"/>
      <c r="CF701"/>
      <c r="CG701"/>
      <c r="CH701"/>
      <c r="CI701"/>
      <c r="CJ701"/>
    </row>
    <row r="702" spans="1:88" s="32" customFormat="1" ht="15" customHeight="1" x14ac:dyDescent="0.35">
      <c r="A702" s="473"/>
      <c r="B702" s="313">
        <v>11030</v>
      </c>
      <c r="C702" s="8" t="s">
        <v>22</v>
      </c>
      <c r="D702" s="18">
        <v>1</v>
      </c>
      <c r="E702" s="251"/>
      <c r="F702" s="82"/>
      <c r="G702" s="79"/>
      <c r="H702" s="90"/>
      <c r="I702" s="85"/>
      <c r="J702" s="85"/>
      <c r="K702" s="85"/>
      <c r="L702" s="85"/>
      <c r="M702" s="85"/>
      <c r="N702" s="85"/>
      <c r="O702" s="85"/>
      <c r="P702" s="85"/>
      <c r="Q702" s="85"/>
      <c r="R702" s="85"/>
      <c r="S702" s="89"/>
      <c r="T702" s="89" t="s">
        <v>1124</v>
      </c>
      <c r="U702" s="85"/>
      <c r="V702" s="85"/>
      <c r="W702" s="85"/>
      <c r="X702" s="89" t="s">
        <v>1124</v>
      </c>
      <c r="Y702" s="79"/>
      <c r="Z702" s="79"/>
      <c r="AA702" s="94"/>
      <c r="AB702" s="79" t="s">
        <v>1124</v>
      </c>
      <c r="AC702" s="85"/>
      <c r="AD702" s="85"/>
      <c r="AE702" s="85"/>
      <c r="AF702" s="85"/>
      <c r="AG702" s="85" t="s">
        <v>1124</v>
      </c>
      <c r="AH702" s="85"/>
      <c r="AI702" s="85"/>
      <c r="AJ702" s="85"/>
      <c r="AK702" s="85"/>
      <c r="AL702" s="85"/>
      <c r="AM702" s="85"/>
      <c r="AN702" s="85"/>
      <c r="AO702" s="85"/>
      <c r="AP702" s="85"/>
      <c r="AQ702" s="85"/>
      <c r="AR702" s="85" t="s">
        <v>1124</v>
      </c>
      <c r="AS702" s="85"/>
      <c r="AT702" s="85"/>
      <c r="AU702" s="85"/>
      <c r="AV702" s="85"/>
      <c r="AW702" s="85"/>
      <c r="AX702" s="85"/>
      <c r="AY702" s="85"/>
      <c r="AZ702" s="85"/>
      <c r="BA702" s="85"/>
      <c r="BB702" s="89"/>
      <c r="BC702" s="89" t="s">
        <v>1124</v>
      </c>
      <c r="BD702" s="37"/>
      <c r="BE702" s="37"/>
      <c r="BF702" s="279"/>
      <c r="BG702" s="37"/>
      <c r="BH702" s="37"/>
      <c r="BI702" s="37"/>
      <c r="BJ702" s="283"/>
      <c r="BK702" s="161"/>
      <c r="BL702" s="294"/>
      <c r="BM702"/>
      <c r="BN702"/>
      <c r="BO702"/>
      <c r="BP702"/>
      <c r="BQ702"/>
      <c r="BR702"/>
      <c r="BS702"/>
      <c r="BT702"/>
      <c r="BU702"/>
      <c r="BV702"/>
      <c r="BW702"/>
      <c r="BX702"/>
      <c r="BY702"/>
      <c r="BZ702"/>
      <c r="CA702"/>
      <c r="CB702"/>
      <c r="CC702"/>
      <c r="CD702"/>
      <c r="CE702"/>
      <c r="CF702"/>
      <c r="CG702"/>
      <c r="CH702"/>
      <c r="CI702"/>
      <c r="CJ702"/>
    </row>
    <row r="703" spans="1:88" s="32" customFormat="1" ht="15" customHeight="1" x14ac:dyDescent="0.35">
      <c r="A703" s="473"/>
      <c r="B703" s="313">
        <v>38035</v>
      </c>
      <c r="C703" s="8" t="s">
        <v>330</v>
      </c>
      <c r="D703" s="18">
        <v>17</v>
      </c>
      <c r="E703" s="251"/>
      <c r="F703" s="82"/>
      <c r="G703" s="79"/>
      <c r="H703" s="90"/>
      <c r="I703" s="85"/>
      <c r="J703" s="85"/>
      <c r="K703" s="85"/>
      <c r="L703" s="85"/>
      <c r="M703" s="85"/>
      <c r="N703" s="85"/>
      <c r="O703" s="85"/>
      <c r="P703" s="85"/>
      <c r="Q703" s="85"/>
      <c r="R703" s="85"/>
      <c r="S703" s="89"/>
      <c r="T703" s="89" t="s">
        <v>1124</v>
      </c>
      <c r="U703" s="85"/>
      <c r="V703" s="85"/>
      <c r="W703" s="85"/>
      <c r="X703" s="89" t="s">
        <v>1124</v>
      </c>
      <c r="Y703" s="79"/>
      <c r="Z703" s="79"/>
      <c r="AA703" s="94"/>
      <c r="AB703" s="79" t="s">
        <v>1124</v>
      </c>
      <c r="AC703" s="85"/>
      <c r="AD703" s="85"/>
      <c r="AE703" s="85"/>
      <c r="AF703" s="85"/>
      <c r="AG703" s="85" t="s">
        <v>1124</v>
      </c>
      <c r="AH703" s="85"/>
      <c r="AI703" s="85"/>
      <c r="AJ703" s="85"/>
      <c r="AK703" s="85"/>
      <c r="AL703" s="85"/>
      <c r="AM703" s="85"/>
      <c r="AN703" s="85"/>
      <c r="AO703" s="85"/>
      <c r="AP703" s="85"/>
      <c r="AQ703" s="85"/>
      <c r="AR703" s="85" t="s">
        <v>1124</v>
      </c>
      <c r="AS703" s="85"/>
      <c r="AT703" s="85"/>
      <c r="AU703" s="85"/>
      <c r="AV703" s="85"/>
      <c r="AW703" s="85"/>
      <c r="AX703" s="85"/>
      <c r="AY703" s="85"/>
      <c r="AZ703" s="85"/>
      <c r="BA703" s="85"/>
      <c r="BB703" s="89"/>
      <c r="BC703" s="89" t="s">
        <v>1124</v>
      </c>
      <c r="BD703" s="37"/>
      <c r="BE703" s="37"/>
      <c r="BF703" s="279"/>
      <c r="BG703" s="37"/>
      <c r="BH703" s="37"/>
      <c r="BI703" s="37"/>
      <c r="BJ703" s="283"/>
      <c r="BK703" s="161"/>
      <c r="BL703" s="294"/>
      <c r="BM703"/>
      <c r="BN703"/>
      <c r="BO703"/>
      <c r="BP703"/>
      <c r="BQ703"/>
      <c r="BR703"/>
      <c r="BS703"/>
      <c r="BT703"/>
      <c r="BU703"/>
      <c r="BV703"/>
      <c r="BW703"/>
      <c r="BX703"/>
      <c r="BY703"/>
      <c r="BZ703"/>
      <c r="CA703"/>
      <c r="CB703"/>
      <c r="CC703"/>
      <c r="CD703"/>
      <c r="CE703"/>
      <c r="CF703"/>
      <c r="CG703"/>
      <c r="CH703"/>
      <c r="CI703"/>
      <c r="CJ703"/>
    </row>
    <row r="704" spans="1:88" s="32" customFormat="1" ht="15" customHeight="1" x14ac:dyDescent="0.35">
      <c r="A704" s="473"/>
      <c r="B704" s="313">
        <v>37215</v>
      </c>
      <c r="C704" s="8" t="s">
        <v>317</v>
      </c>
      <c r="D704" s="18">
        <v>4</v>
      </c>
      <c r="E704" s="251">
        <v>434</v>
      </c>
      <c r="F704" s="82">
        <v>1.85451197053407</v>
      </c>
      <c r="G704" s="79">
        <v>804.85819521178644</v>
      </c>
      <c r="H704" s="90">
        <v>9.0530000000000008</v>
      </c>
      <c r="I704" s="85">
        <v>7.0469999999999997</v>
      </c>
      <c r="J704" s="85">
        <v>7.9059999999999997</v>
      </c>
      <c r="K704" s="85">
        <v>9.4879999999999995</v>
      </c>
      <c r="L704" s="85">
        <v>11.254291666666667</v>
      </c>
      <c r="M704" s="85">
        <v>11.526</v>
      </c>
      <c r="N704" s="85">
        <v>13.27</v>
      </c>
      <c r="O704" s="85">
        <v>14.222</v>
      </c>
      <c r="P704" s="85">
        <v>9.8699999999999992</v>
      </c>
      <c r="Q704" s="85">
        <v>9.3409999999999993</v>
      </c>
      <c r="R704" s="85">
        <v>8.1760000000000002</v>
      </c>
      <c r="S704" s="89">
        <v>8.6859999999999999</v>
      </c>
      <c r="T704" s="89">
        <v>119.83929166666667</v>
      </c>
      <c r="U704" s="85">
        <v>0</v>
      </c>
      <c r="V704" s="85">
        <v>119.83929166666667</v>
      </c>
      <c r="W704" s="85">
        <v>0</v>
      </c>
      <c r="X704" s="89">
        <v>119.83929166666667</v>
      </c>
      <c r="Y704" s="79">
        <v>0</v>
      </c>
      <c r="Z704" s="79">
        <v>1</v>
      </c>
      <c r="AA704" s="94">
        <v>0</v>
      </c>
      <c r="AB704" s="79">
        <v>1</v>
      </c>
      <c r="AC704" s="85">
        <v>56.54</v>
      </c>
      <c r="AD704" s="85">
        <v>49.702291666666667</v>
      </c>
      <c r="AE704" s="85">
        <v>13.597</v>
      </c>
      <c r="AF704" s="85">
        <v>0</v>
      </c>
      <c r="AG704" s="85">
        <v>119.83929166666665</v>
      </c>
      <c r="AH704" s="85">
        <v>0</v>
      </c>
      <c r="AI704" s="85">
        <v>0</v>
      </c>
      <c r="AJ704" s="85">
        <v>0</v>
      </c>
      <c r="AK704" s="85">
        <v>0</v>
      </c>
      <c r="AL704" s="85">
        <v>0</v>
      </c>
      <c r="AM704" s="85">
        <v>0</v>
      </c>
      <c r="AN704" s="85">
        <v>0</v>
      </c>
      <c r="AO704" s="85">
        <v>0</v>
      </c>
      <c r="AP704" s="85">
        <v>0</v>
      </c>
      <c r="AQ704" s="85">
        <v>0</v>
      </c>
      <c r="AR704" s="85">
        <v>0</v>
      </c>
      <c r="AS704" s="85">
        <v>0</v>
      </c>
      <c r="AT704" s="85">
        <v>0</v>
      </c>
      <c r="AU704" s="85">
        <v>0</v>
      </c>
      <c r="AV704" s="85">
        <v>119.83929166666667</v>
      </c>
      <c r="AW704" s="85">
        <v>0</v>
      </c>
      <c r="AX704" s="85">
        <v>0</v>
      </c>
      <c r="AY704" s="85">
        <v>0</v>
      </c>
      <c r="AZ704" s="85">
        <v>0</v>
      </c>
      <c r="BA704" s="85">
        <v>0</v>
      </c>
      <c r="BB704" s="89">
        <v>0</v>
      </c>
      <c r="BC704" s="89">
        <v>119.83929166666667</v>
      </c>
      <c r="BD704" s="37">
        <v>0</v>
      </c>
      <c r="BE704" s="37">
        <v>0</v>
      </c>
      <c r="BF704" s="279">
        <v>23637</v>
      </c>
      <c r="BG704" s="37">
        <v>13965</v>
      </c>
      <c r="BH704" s="37">
        <v>26991</v>
      </c>
      <c r="BI704" s="37">
        <v>0</v>
      </c>
      <c r="BJ704" s="283">
        <v>64593</v>
      </c>
      <c r="BK704" s="161"/>
      <c r="BL704" s="294"/>
      <c r="BM704"/>
      <c r="BN704"/>
      <c r="BO704"/>
      <c r="BP704"/>
      <c r="BQ704"/>
      <c r="BR704"/>
      <c r="BS704"/>
      <c r="BT704"/>
      <c r="BU704"/>
      <c r="BV704"/>
      <c r="BW704"/>
      <c r="BX704"/>
      <c r="BY704"/>
      <c r="BZ704"/>
      <c r="CA704"/>
      <c r="CB704"/>
      <c r="CC704"/>
      <c r="CD704"/>
      <c r="CE704"/>
      <c r="CF704"/>
      <c r="CG704"/>
      <c r="CH704"/>
      <c r="CI704"/>
      <c r="CJ704"/>
    </row>
    <row r="705" spans="1:88" s="32" customFormat="1" ht="15" customHeight="1" x14ac:dyDescent="0.35">
      <c r="A705" s="473"/>
      <c r="B705" s="313">
        <v>52040</v>
      </c>
      <c r="C705" s="8" t="s">
        <v>519</v>
      </c>
      <c r="D705" s="18">
        <v>14</v>
      </c>
      <c r="E705" s="251"/>
      <c r="F705" s="82"/>
      <c r="G705" s="79"/>
      <c r="H705" s="90"/>
      <c r="I705" s="85"/>
      <c r="J705" s="85"/>
      <c r="K705" s="85"/>
      <c r="L705" s="85"/>
      <c r="M705" s="85"/>
      <c r="N705" s="85"/>
      <c r="O705" s="85"/>
      <c r="P705" s="85"/>
      <c r="Q705" s="85"/>
      <c r="R705" s="85"/>
      <c r="S705" s="89"/>
      <c r="T705" s="89" t="s">
        <v>1124</v>
      </c>
      <c r="U705" s="85"/>
      <c r="V705" s="85"/>
      <c r="W705" s="85"/>
      <c r="X705" s="89" t="s">
        <v>1124</v>
      </c>
      <c r="Y705" s="79"/>
      <c r="Z705" s="79"/>
      <c r="AA705" s="94"/>
      <c r="AB705" s="79" t="s">
        <v>1124</v>
      </c>
      <c r="AC705" s="85"/>
      <c r="AD705" s="85"/>
      <c r="AE705" s="85"/>
      <c r="AF705" s="85"/>
      <c r="AG705" s="85" t="s">
        <v>1124</v>
      </c>
      <c r="AH705" s="85"/>
      <c r="AI705" s="85"/>
      <c r="AJ705" s="85"/>
      <c r="AK705" s="85"/>
      <c r="AL705" s="85"/>
      <c r="AM705" s="85"/>
      <c r="AN705" s="85"/>
      <c r="AO705" s="85"/>
      <c r="AP705" s="85"/>
      <c r="AQ705" s="85"/>
      <c r="AR705" s="85" t="s">
        <v>1124</v>
      </c>
      <c r="AS705" s="85"/>
      <c r="AT705" s="85"/>
      <c r="AU705" s="85"/>
      <c r="AV705" s="85"/>
      <c r="AW705" s="85"/>
      <c r="AX705" s="85"/>
      <c r="AY705" s="85"/>
      <c r="AZ705" s="85"/>
      <c r="BA705" s="85"/>
      <c r="BB705" s="89"/>
      <c r="BC705" s="89" t="s">
        <v>1124</v>
      </c>
      <c r="BD705" s="37"/>
      <c r="BE705" s="37"/>
      <c r="BF705" s="279"/>
      <c r="BG705" s="37"/>
      <c r="BH705" s="37"/>
      <c r="BI705" s="37"/>
      <c r="BJ705" s="283"/>
      <c r="BK705" s="161"/>
      <c r="BL705" s="294"/>
      <c r="BM705"/>
      <c r="BN705"/>
      <c r="BO705"/>
      <c r="BP705"/>
      <c r="BQ705"/>
      <c r="BR705"/>
      <c r="BS705"/>
      <c r="BT705"/>
      <c r="BU705"/>
      <c r="BV705"/>
      <c r="BW705"/>
      <c r="BX705"/>
      <c r="BY705"/>
      <c r="BZ705"/>
      <c r="CA705"/>
      <c r="CB705"/>
      <c r="CC705"/>
      <c r="CD705"/>
      <c r="CE705"/>
      <c r="CF705"/>
      <c r="CG705"/>
      <c r="CH705"/>
      <c r="CI705"/>
      <c r="CJ705"/>
    </row>
    <row r="706" spans="1:88" s="32" customFormat="1" ht="15" customHeight="1" x14ac:dyDescent="0.35">
      <c r="A706" s="473"/>
      <c r="B706" s="313">
        <v>87030</v>
      </c>
      <c r="C706" s="8" t="s">
        <v>895</v>
      </c>
      <c r="D706" s="18">
        <v>8</v>
      </c>
      <c r="E706" s="251"/>
      <c r="F706" s="82"/>
      <c r="G706" s="79"/>
      <c r="H706" s="90"/>
      <c r="I706" s="85"/>
      <c r="J706" s="85"/>
      <c r="K706" s="85"/>
      <c r="L706" s="85"/>
      <c r="M706" s="85"/>
      <c r="N706" s="85"/>
      <c r="O706" s="85"/>
      <c r="P706" s="85"/>
      <c r="Q706" s="85"/>
      <c r="R706" s="85"/>
      <c r="S706" s="89"/>
      <c r="T706" s="89" t="s">
        <v>1124</v>
      </c>
      <c r="U706" s="85"/>
      <c r="V706" s="85"/>
      <c r="W706" s="85"/>
      <c r="X706" s="89" t="s">
        <v>1124</v>
      </c>
      <c r="Y706" s="79"/>
      <c r="Z706" s="79"/>
      <c r="AA706" s="94"/>
      <c r="AB706" s="79" t="s">
        <v>1124</v>
      </c>
      <c r="AC706" s="85"/>
      <c r="AD706" s="85"/>
      <c r="AE706" s="85"/>
      <c r="AF706" s="85"/>
      <c r="AG706" s="85" t="s">
        <v>1124</v>
      </c>
      <c r="AH706" s="85"/>
      <c r="AI706" s="85"/>
      <c r="AJ706" s="85"/>
      <c r="AK706" s="85"/>
      <c r="AL706" s="85"/>
      <c r="AM706" s="85"/>
      <c r="AN706" s="85"/>
      <c r="AO706" s="85"/>
      <c r="AP706" s="85"/>
      <c r="AQ706" s="85"/>
      <c r="AR706" s="85" t="s">
        <v>1124</v>
      </c>
      <c r="AS706" s="85"/>
      <c r="AT706" s="85"/>
      <c r="AU706" s="85"/>
      <c r="AV706" s="85"/>
      <c r="AW706" s="85"/>
      <c r="AX706" s="85"/>
      <c r="AY706" s="85"/>
      <c r="AZ706" s="85"/>
      <c r="BA706" s="85"/>
      <c r="BB706" s="89"/>
      <c r="BC706" s="89" t="s">
        <v>1124</v>
      </c>
      <c r="BD706" s="37"/>
      <c r="BE706" s="37"/>
      <c r="BF706" s="279"/>
      <c r="BG706" s="37"/>
      <c r="BH706" s="37"/>
      <c r="BI706" s="37"/>
      <c r="BJ706" s="283"/>
      <c r="BK706" s="161"/>
      <c r="BL706" s="294"/>
      <c r="BM706"/>
      <c r="BN706"/>
      <c r="BO706"/>
      <c r="BP706"/>
      <c r="BQ706"/>
      <c r="BR706"/>
      <c r="BS706"/>
      <c r="BT706"/>
      <c r="BU706"/>
      <c r="BV706"/>
      <c r="BW706"/>
      <c r="BX706"/>
      <c r="BY706"/>
      <c r="BZ706"/>
      <c r="CA706"/>
      <c r="CB706"/>
      <c r="CC706"/>
      <c r="CD706"/>
      <c r="CE706"/>
      <c r="CF706"/>
      <c r="CG706"/>
      <c r="CH706"/>
      <c r="CI706"/>
      <c r="CJ706"/>
    </row>
    <row r="707" spans="1:88" s="32" customFormat="1" ht="15" customHeight="1" x14ac:dyDescent="0.35">
      <c r="A707" s="473"/>
      <c r="B707" s="313">
        <v>88085</v>
      </c>
      <c r="C707" s="8" t="s">
        <v>926</v>
      </c>
      <c r="D707" s="18">
        <v>8</v>
      </c>
      <c r="E707" s="251"/>
      <c r="F707" s="82"/>
      <c r="G707" s="79"/>
      <c r="H707" s="90"/>
      <c r="I707" s="85"/>
      <c r="J707" s="85"/>
      <c r="K707" s="85"/>
      <c r="L707" s="85"/>
      <c r="M707" s="85"/>
      <c r="N707" s="85"/>
      <c r="O707" s="85"/>
      <c r="P707" s="85"/>
      <c r="Q707" s="85"/>
      <c r="R707" s="85"/>
      <c r="S707" s="89"/>
      <c r="T707" s="89" t="s">
        <v>1124</v>
      </c>
      <c r="U707" s="85"/>
      <c r="V707" s="85"/>
      <c r="W707" s="85"/>
      <c r="X707" s="89" t="s">
        <v>1124</v>
      </c>
      <c r="Y707" s="79"/>
      <c r="Z707" s="79"/>
      <c r="AA707" s="94"/>
      <c r="AB707" s="79" t="s">
        <v>1124</v>
      </c>
      <c r="AC707" s="85"/>
      <c r="AD707" s="85"/>
      <c r="AE707" s="85"/>
      <c r="AF707" s="85"/>
      <c r="AG707" s="85" t="s">
        <v>1124</v>
      </c>
      <c r="AH707" s="85"/>
      <c r="AI707" s="85"/>
      <c r="AJ707" s="85"/>
      <c r="AK707" s="85"/>
      <c r="AL707" s="85"/>
      <c r="AM707" s="85"/>
      <c r="AN707" s="85"/>
      <c r="AO707" s="85"/>
      <c r="AP707" s="85"/>
      <c r="AQ707" s="85"/>
      <c r="AR707" s="85" t="s">
        <v>1124</v>
      </c>
      <c r="AS707" s="85"/>
      <c r="AT707" s="85"/>
      <c r="AU707" s="85"/>
      <c r="AV707" s="85"/>
      <c r="AW707" s="85"/>
      <c r="AX707" s="85"/>
      <c r="AY707" s="85"/>
      <c r="AZ707" s="85"/>
      <c r="BA707" s="85"/>
      <c r="BB707" s="89"/>
      <c r="BC707" s="89" t="s">
        <v>1124</v>
      </c>
      <c r="BD707" s="37"/>
      <c r="BE707" s="37"/>
      <c r="BF707" s="279"/>
      <c r="BG707" s="37"/>
      <c r="BH707" s="37"/>
      <c r="BI707" s="37"/>
      <c r="BJ707" s="283"/>
      <c r="BK707" s="161"/>
      <c r="BL707" s="294"/>
      <c r="BM707"/>
      <c r="BN707"/>
      <c r="BO707"/>
      <c r="BP707"/>
      <c r="BQ707"/>
      <c r="BR707"/>
      <c r="BS707"/>
      <c r="BT707"/>
      <c r="BU707"/>
      <c r="BV707"/>
      <c r="BW707"/>
      <c r="BX707"/>
      <c r="BY707"/>
      <c r="BZ707"/>
      <c r="CA707"/>
      <c r="CB707"/>
      <c r="CC707"/>
      <c r="CD707"/>
      <c r="CE707"/>
      <c r="CF707"/>
      <c r="CG707"/>
      <c r="CH707"/>
      <c r="CI707"/>
      <c r="CJ707"/>
    </row>
    <row r="708" spans="1:88" s="32" customFormat="1" ht="15" customHeight="1" x14ac:dyDescent="0.35">
      <c r="A708" s="473"/>
      <c r="B708" s="313">
        <v>91030</v>
      </c>
      <c r="C708" s="8" t="s">
        <v>942</v>
      </c>
      <c r="D708" s="18">
        <v>2</v>
      </c>
      <c r="E708" s="251">
        <v>221</v>
      </c>
      <c r="F708" s="82">
        <v>2.0231481481481484</v>
      </c>
      <c r="G708" s="79">
        <v>447.11574074074076</v>
      </c>
      <c r="H708" s="90">
        <v>5.0469999999999997</v>
      </c>
      <c r="I708" s="85">
        <v>4.6669999999999998</v>
      </c>
      <c r="J708" s="85">
        <v>5.0919999999999996</v>
      </c>
      <c r="K708" s="85">
        <v>4.7869999999999999</v>
      </c>
      <c r="L708" s="85">
        <v>4.8319999999999999</v>
      </c>
      <c r="M708" s="85">
        <v>5.5350000000000001</v>
      </c>
      <c r="N708" s="85">
        <v>5.1790000000000003</v>
      </c>
      <c r="O708" s="85">
        <v>4.1269999999999998</v>
      </c>
      <c r="P708" s="85">
        <v>4.1479999999999997</v>
      </c>
      <c r="Q708" s="85">
        <v>5.2670000000000003</v>
      </c>
      <c r="R708" s="85">
        <v>4.8230000000000004</v>
      </c>
      <c r="S708" s="89">
        <v>4.5190000000000001</v>
      </c>
      <c r="T708" s="89">
        <v>58.023000000000003</v>
      </c>
      <c r="U708" s="85">
        <v>0</v>
      </c>
      <c r="V708" s="85">
        <v>58.023000000000003</v>
      </c>
      <c r="W708" s="85">
        <v>0</v>
      </c>
      <c r="X708" s="89">
        <v>58.023000000000003</v>
      </c>
      <c r="Y708" s="79">
        <v>0</v>
      </c>
      <c r="Z708" s="79">
        <v>1</v>
      </c>
      <c r="AA708" s="94">
        <v>0</v>
      </c>
      <c r="AB708" s="79">
        <v>1</v>
      </c>
      <c r="AC708" s="85">
        <v>46.521000000000001</v>
      </c>
      <c r="AD708" s="85">
        <v>3.1960000000000002</v>
      </c>
      <c r="AE708" s="85">
        <v>8.3059999999999992</v>
      </c>
      <c r="AF708" s="85">
        <v>0</v>
      </c>
      <c r="AG708" s="85">
        <v>58.022999999999996</v>
      </c>
      <c r="AH708" s="85">
        <v>0</v>
      </c>
      <c r="AI708" s="85">
        <v>0</v>
      </c>
      <c r="AJ708" s="85">
        <v>0</v>
      </c>
      <c r="AK708" s="85">
        <v>0</v>
      </c>
      <c r="AL708" s="85">
        <v>0</v>
      </c>
      <c r="AM708" s="85">
        <v>0</v>
      </c>
      <c r="AN708" s="85">
        <v>0</v>
      </c>
      <c r="AO708" s="85">
        <v>0</v>
      </c>
      <c r="AP708" s="85">
        <v>0</v>
      </c>
      <c r="AQ708" s="85">
        <v>0</v>
      </c>
      <c r="AR708" s="85">
        <v>0</v>
      </c>
      <c r="AS708" s="85">
        <v>0</v>
      </c>
      <c r="AT708" s="85">
        <v>0</v>
      </c>
      <c r="AU708" s="85">
        <v>0</v>
      </c>
      <c r="AV708" s="85">
        <v>0</v>
      </c>
      <c r="AW708" s="85">
        <v>0</v>
      </c>
      <c r="AX708" s="85">
        <v>0</v>
      </c>
      <c r="AY708" s="85">
        <v>0</v>
      </c>
      <c r="AZ708" s="85">
        <v>58.023000000000003</v>
      </c>
      <c r="BA708" s="85">
        <v>0</v>
      </c>
      <c r="BB708" s="89">
        <v>0</v>
      </c>
      <c r="BC708" s="89">
        <v>58.023000000000003</v>
      </c>
      <c r="BD708" s="37">
        <v>0</v>
      </c>
      <c r="BE708" s="37">
        <v>0</v>
      </c>
      <c r="BF708" s="279">
        <v>8409</v>
      </c>
      <c r="BG708" s="37">
        <v>14268</v>
      </c>
      <c r="BH708" s="37">
        <v>16080</v>
      </c>
      <c r="BI708" s="37">
        <v>0</v>
      </c>
      <c r="BJ708" s="283">
        <v>38757</v>
      </c>
      <c r="BK708" s="161"/>
      <c r="BL708" s="294"/>
      <c r="BM708"/>
      <c r="BN708"/>
      <c r="BO708"/>
      <c r="BP708"/>
      <c r="BQ708"/>
      <c r="BR708"/>
      <c r="BS708"/>
      <c r="BT708"/>
      <c r="BU708"/>
      <c r="BV708"/>
      <c r="BW708"/>
      <c r="BX708"/>
      <c r="BY708"/>
      <c r="BZ708"/>
      <c r="CA708"/>
      <c r="CB708"/>
      <c r="CC708"/>
      <c r="CD708"/>
      <c r="CE708"/>
      <c r="CF708"/>
      <c r="CG708"/>
      <c r="CH708"/>
      <c r="CI708"/>
      <c r="CJ708"/>
    </row>
    <row r="709" spans="1:88" s="32" customFormat="1" ht="15" customHeight="1" x14ac:dyDescent="0.35">
      <c r="A709" s="473"/>
      <c r="B709" s="313">
        <v>54095</v>
      </c>
      <c r="C709" s="8" t="s">
        <v>552</v>
      </c>
      <c r="D709" s="18">
        <v>16</v>
      </c>
      <c r="E709" s="251">
        <v>419</v>
      </c>
      <c r="F709" s="82">
        <v>2.3716690042075736</v>
      </c>
      <c r="G709" s="79">
        <v>993.72931276297334</v>
      </c>
      <c r="H709" s="90">
        <v>9.3620000000000001</v>
      </c>
      <c r="I709" s="85">
        <v>7.5910000000000002</v>
      </c>
      <c r="J709" s="85">
        <v>8.6110000000000007</v>
      </c>
      <c r="K709" s="85">
        <v>8.6189999999999998</v>
      </c>
      <c r="L709" s="85">
        <v>10</v>
      </c>
      <c r="M709" s="85">
        <v>11.590999999999999</v>
      </c>
      <c r="N709" s="85">
        <v>12.426</v>
      </c>
      <c r="O709" s="85">
        <v>9.298</v>
      </c>
      <c r="P709" s="85">
        <v>8.9160000000000004</v>
      </c>
      <c r="Q709" s="85">
        <v>9.1780000000000008</v>
      </c>
      <c r="R709" s="85">
        <v>7.9889999999999999</v>
      </c>
      <c r="S709" s="89">
        <v>8.0640000000000001</v>
      </c>
      <c r="T709" s="89">
        <v>111.64500000000001</v>
      </c>
      <c r="U709" s="85">
        <v>0</v>
      </c>
      <c r="V709" s="85">
        <v>111.64500000000001</v>
      </c>
      <c r="W709" s="85">
        <v>0</v>
      </c>
      <c r="X709" s="89">
        <v>111.64500000000001</v>
      </c>
      <c r="Y709" s="79">
        <v>0</v>
      </c>
      <c r="Z709" s="79">
        <v>1</v>
      </c>
      <c r="AA709" s="94">
        <v>0</v>
      </c>
      <c r="AB709" s="79">
        <v>1</v>
      </c>
      <c r="AC709" s="85">
        <v>70.620865546218482</v>
      </c>
      <c r="AD709" s="85">
        <v>11.28180945378152</v>
      </c>
      <c r="AE709" s="85">
        <v>29.742325000000005</v>
      </c>
      <c r="AF709" s="85">
        <v>0</v>
      </c>
      <c r="AG709" s="85">
        <v>111.64500000000001</v>
      </c>
      <c r="AH709" s="85">
        <v>0</v>
      </c>
      <c r="AI709" s="85">
        <v>0</v>
      </c>
      <c r="AJ709" s="85">
        <v>0</v>
      </c>
      <c r="AK709" s="85">
        <v>0</v>
      </c>
      <c r="AL709" s="85">
        <v>0</v>
      </c>
      <c r="AM709" s="85">
        <v>0</v>
      </c>
      <c r="AN709" s="85">
        <v>0</v>
      </c>
      <c r="AO709" s="85">
        <v>0</v>
      </c>
      <c r="AP709" s="85">
        <v>0</v>
      </c>
      <c r="AQ709" s="85">
        <v>0</v>
      </c>
      <c r="AR709" s="85">
        <v>0</v>
      </c>
      <c r="AS709" s="85">
        <v>0</v>
      </c>
      <c r="AT709" s="85">
        <v>0</v>
      </c>
      <c r="AU709" s="85">
        <v>0</v>
      </c>
      <c r="AV709" s="85">
        <v>111.64500000000001</v>
      </c>
      <c r="AW709" s="85">
        <v>0</v>
      </c>
      <c r="AX709" s="85">
        <v>0</v>
      </c>
      <c r="AY709" s="85">
        <v>0</v>
      </c>
      <c r="AZ709" s="85">
        <v>0</v>
      </c>
      <c r="BA709" s="85">
        <v>0</v>
      </c>
      <c r="BB709" s="89">
        <v>0</v>
      </c>
      <c r="BC709" s="89">
        <v>111.64500000000001</v>
      </c>
      <c r="BD709" s="37">
        <v>6156</v>
      </c>
      <c r="BE709" s="37">
        <v>0</v>
      </c>
      <c r="BF709" s="279">
        <v>37254</v>
      </c>
      <c r="BG709" s="37">
        <v>75575</v>
      </c>
      <c r="BH709" s="37">
        <v>22134</v>
      </c>
      <c r="BI709" s="37">
        <v>0</v>
      </c>
      <c r="BJ709" s="283">
        <v>134963</v>
      </c>
      <c r="BK709" s="161"/>
      <c r="BL709" s="294"/>
      <c r="BM709"/>
      <c r="BN709"/>
      <c r="BO709"/>
      <c r="BP709"/>
      <c r="BQ709"/>
      <c r="BR709"/>
      <c r="BS709"/>
      <c r="BT709"/>
      <c r="BU709"/>
      <c r="BV709"/>
      <c r="BW709"/>
      <c r="BX709"/>
      <c r="BY709"/>
      <c r="BZ709"/>
      <c r="CA709"/>
      <c r="CB709"/>
      <c r="CC709"/>
      <c r="CD709"/>
      <c r="CE709"/>
      <c r="CF709"/>
      <c r="CG709"/>
      <c r="CH709"/>
      <c r="CI709"/>
      <c r="CJ709"/>
    </row>
    <row r="710" spans="1:88" s="32" customFormat="1" ht="15" customHeight="1" x14ac:dyDescent="0.35">
      <c r="A710" s="473"/>
      <c r="B710" s="313">
        <v>39035</v>
      </c>
      <c r="C710" s="8" t="s">
        <v>343</v>
      </c>
      <c r="D710" s="18">
        <v>17</v>
      </c>
      <c r="E710" s="251"/>
      <c r="F710" s="82"/>
      <c r="G710" s="79"/>
      <c r="H710" s="90"/>
      <c r="I710" s="85"/>
      <c r="J710" s="85"/>
      <c r="K710" s="85"/>
      <c r="L710" s="85"/>
      <c r="M710" s="85"/>
      <c r="N710" s="85"/>
      <c r="O710" s="85"/>
      <c r="P710" s="85"/>
      <c r="Q710" s="85"/>
      <c r="R710" s="85"/>
      <c r="S710" s="89"/>
      <c r="T710" s="89" t="s">
        <v>1124</v>
      </c>
      <c r="U710" s="85"/>
      <c r="V710" s="85"/>
      <c r="W710" s="85"/>
      <c r="X710" s="89" t="s">
        <v>1124</v>
      </c>
      <c r="Y710" s="79"/>
      <c r="Z710" s="79"/>
      <c r="AA710" s="94"/>
      <c r="AB710" s="79" t="s">
        <v>1124</v>
      </c>
      <c r="AC710" s="85"/>
      <c r="AD710" s="85"/>
      <c r="AE710" s="85"/>
      <c r="AF710" s="85"/>
      <c r="AG710" s="85" t="s">
        <v>1124</v>
      </c>
      <c r="AH710" s="85"/>
      <c r="AI710" s="85"/>
      <c r="AJ710" s="85"/>
      <c r="AK710" s="85"/>
      <c r="AL710" s="85"/>
      <c r="AM710" s="85"/>
      <c r="AN710" s="85"/>
      <c r="AO710" s="85"/>
      <c r="AP710" s="85"/>
      <c r="AQ710" s="85"/>
      <c r="AR710" s="85" t="s">
        <v>1124</v>
      </c>
      <c r="AS710" s="85"/>
      <c r="AT710" s="85"/>
      <c r="AU710" s="85"/>
      <c r="AV710" s="85"/>
      <c r="AW710" s="85"/>
      <c r="AX710" s="85"/>
      <c r="AY710" s="85"/>
      <c r="AZ710" s="85"/>
      <c r="BA710" s="85"/>
      <c r="BB710" s="89"/>
      <c r="BC710" s="89" t="s">
        <v>1124</v>
      </c>
      <c r="BD710" s="37"/>
      <c r="BE710" s="37"/>
      <c r="BF710" s="279"/>
      <c r="BG710" s="37"/>
      <c r="BH710" s="37"/>
      <c r="BI710" s="37"/>
      <c r="BJ710" s="283"/>
      <c r="BK710" s="161"/>
      <c r="BL710" s="294"/>
      <c r="BM710"/>
      <c r="BN710"/>
      <c r="BO710"/>
      <c r="BP710"/>
      <c r="BQ710"/>
      <c r="BR710"/>
      <c r="BS710"/>
      <c r="BT710"/>
      <c r="BU710"/>
      <c r="BV710"/>
      <c r="BW710"/>
      <c r="BX710"/>
      <c r="BY710"/>
      <c r="BZ710"/>
      <c r="CA710"/>
      <c r="CB710"/>
      <c r="CC710"/>
      <c r="CD710"/>
      <c r="CE710"/>
      <c r="CF710"/>
      <c r="CG710"/>
      <c r="CH710"/>
      <c r="CI710"/>
      <c r="CJ710"/>
    </row>
    <row r="711" spans="1:88" s="32" customFormat="1" ht="15" customHeight="1" x14ac:dyDescent="0.35">
      <c r="A711" s="473"/>
      <c r="B711" s="313">
        <v>14025</v>
      </c>
      <c r="C711" s="8" t="s">
        <v>63</v>
      </c>
      <c r="D711" s="18">
        <v>1</v>
      </c>
      <c r="E711" s="251">
        <v>239</v>
      </c>
      <c r="F711" s="82">
        <v>2.2043795620437958</v>
      </c>
      <c r="G711" s="79">
        <v>526.84671532846721</v>
      </c>
      <c r="H711" s="90">
        <v>3.153</v>
      </c>
      <c r="I711" s="85">
        <v>2.762</v>
      </c>
      <c r="J711" s="85">
        <v>3.1179999999999999</v>
      </c>
      <c r="K711" s="85">
        <v>3.4169999999999998</v>
      </c>
      <c r="L711" s="85">
        <v>4.1130000000000004</v>
      </c>
      <c r="M711" s="85">
        <v>4.1920000000000002</v>
      </c>
      <c r="N711" s="85">
        <v>5.8710000000000004</v>
      </c>
      <c r="O711" s="85">
        <v>4.8129999999999997</v>
      </c>
      <c r="P711" s="85">
        <v>3.7429999999999999</v>
      </c>
      <c r="Q711" s="85">
        <v>3.7629999999999999</v>
      </c>
      <c r="R711" s="85">
        <v>3.2210000000000001</v>
      </c>
      <c r="S711" s="89">
        <v>3.3029999999999999</v>
      </c>
      <c r="T711" s="89">
        <v>45.468999999999994</v>
      </c>
      <c r="U711" s="85">
        <v>0</v>
      </c>
      <c r="V711" s="85">
        <v>45.469000000000001</v>
      </c>
      <c r="W711" s="85">
        <v>0</v>
      </c>
      <c r="X711" s="89">
        <v>45.469000000000001</v>
      </c>
      <c r="Y711" s="79">
        <v>0</v>
      </c>
      <c r="Z711" s="79">
        <v>1</v>
      </c>
      <c r="AA711" s="94">
        <v>0</v>
      </c>
      <c r="AB711" s="79">
        <v>1</v>
      </c>
      <c r="AC711" s="85">
        <v>37.286999999999999</v>
      </c>
      <c r="AD711" s="85">
        <v>3.0490000000000022</v>
      </c>
      <c r="AE711" s="85">
        <v>5.133</v>
      </c>
      <c r="AF711" s="85">
        <v>0</v>
      </c>
      <c r="AG711" s="85">
        <v>45.469000000000001</v>
      </c>
      <c r="AH711" s="85">
        <v>0</v>
      </c>
      <c r="AI711" s="85">
        <v>0</v>
      </c>
      <c r="AJ711" s="85">
        <v>0</v>
      </c>
      <c r="AK711" s="85">
        <v>0</v>
      </c>
      <c r="AL711" s="85">
        <v>0</v>
      </c>
      <c r="AM711" s="85">
        <v>0</v>
      </c>
      <c r="AN711" s="85">
        <v>0</v>
      </c>
      <c r="AO711" s="85">
        <v>0</v>
      </c>
      <c r="AP711" s="85">
        <v>0</v>
      </c>
      <c r="AQ711" s="85">
        <v>0</v>
      </c>
      <c r="AR711" s="85">
        <v>0</v>
      </c>
      <c r="AS711" s="85">
        <v>0</v>
      </c>
      <c r="AT711" s="85">
        <v>0</v>
      </c>
      <c r="AU711" s="85">
        <v>0</v>
      </c>
      <c r="AV711" s="85">
        <v>0</v>
      </c>
      <c r="AW711" s="85">
        <v>0</v>
      </c>
      <c r="AX711" s="85">
        <v>0</v>
      </c>
      <c r="AY711" s="85">
        <v>0</v>
      </c>
      <c r="AZ711" s="85">
        <v>0</v>
      </c>
      <c r="BA711" s="85">
        <v>45.469000000000001</v>
      </c>
      <c r="BB711" s="89">
        <v>0</v>
      </c>
      <c r="BC711" s="89">
        <v>45.469000000000001</v>
      </c>
      <c r="BD711" s="37">
        <v>0</v>
      </c>
      <c r="BE711" s="37">
        <v>0</v>
      </c>
      <c r="BF711" s="279">
        <v>3986</v>
      </c>
      <c r="BG711" s="37">
        <v>24600</v>
      </c>
      <c r="BH711" s="37">
        <v>4371</v>
      </c>
      <c r="BI711" s="37">
        <v>7283</v>
      </c>
      <c r="BJ711" s="283">
        <v>40240</v>
      </c>
      <c r="BK711" s="161" t="s">
        <v>2894</v>
      </c>
      <c r="BL711" s="294"/>
      <c r="BM711"/>
      <c r="BN711"/>
      <c r="BO711"/>
      <c r="BP711"/>
      <c r="BQ711"/>
      <c r="BR711"/>
      <c r="BS711"/>
      <c r="BT711"/>
      <c r="BU711"/>
      <c r="BV711"/>
      <c r="BW711"/>
      <c r="BX711"/>
      <c r="BY711"/>
      <c r="BZ711"/>
      <c r="CA711"/>
      <c r="CB711"/>
      <c r="CC711"/>
      <c r="CD711"/>
      <c r="CE711"/>
      <c r="CF711"/>
      <c r="CG711"/>
      <c r="CH711"/>
      <c r="CI711"/>
      <c r="CJ711"/>
    </row>
    <row r="712" spans="1:88" s="32" customFormat="1" ht="15" customHeight="1" x14ac:dyDescent="0.35">
      <c r="A712" s="473"/>
      <c r="B712" s="313">
        <v>87070</v>
      </c>
      <c r="C712" s="8" t="s">
        <v>900</v>
      </c>
      <c r="D712" s="18">
        <v>8</v>
      </c>
      <c r="E712" s="251"/>
      <c r="F712" s="82"/>
      <c r="G712" s="79"/>
      <c r="H712" s="90"/>
      <c r="I712" s="85"/>
      <c r="J712" s="85"/>
      <c r="K712" s="85"/>
      <c r="L712" s="85"/>
      <c r="M712" s="85"/>
      <c r="N712" s="85"/>
      <c r="O712" s="85"/>
      <c r="P712" s="85"/>
      <c r="Q712" s="85"/>
      <c r="R712" s="85"/>
      <c r="S712" s="89"/>
      <c r="T712" s="89" t="s">
        <v>1124</v>
      </c>
      <c r="U712" s="85"/>
      <c r="V712" s="85"/>
      <c r="W712" s="85"/>
      <c r="X712" s="89" t="s">
        <v>1124</v>
      </c>
      <c r="Y712" s="79"/>
      <c r="Z712" s="79"/>
      <c r="AA712" s="94"/>
      <c r="AB712" s="79" t="s">
        <v>1124</v>
      </c>
      <c r="AC712" s="85"/>
      <c r="AD712" s="85"/>
      <c r="AE712" s="85"/>
      <c r="AF712" s="85"/>
      <c r="AG712" s="85" t="s">
        <v>1124</v>
      </c>
      <c r="AH712" s="85"/>
      <c r="AI712" s="85"/>
      <c r="AJ712" s="85"/>
      <c r="AK712" s="85"/>
      <c r="AL712" s="85"/>
      <c r="AM712" s="85"/>
      <c r="AN712" s="85"/>
      <c r="AO712" s="85"/>
      <c r="AP712" s="85"/>
      <c r="AQ712" s="85"/>
      <c r="AR712" s="85" t="s">
        <v>1124</v>
      </c>
      <c r="AS712" s="85"/>
      <c r="AT712" s="85"/>
      <c r="AU712" s="85"/>
      <c r="AV712" s="85"/>
      <c r="AW712" s="85"/>
      <c r="AX712" s="85"/>
      <c r="AY712" s="85"/>
      <c r="AZ712" s="85"/>
      <c r="BA712" s="85"/>
      <c r="BB712" s="89"/>
      <c r="BC712" s="89" t="s">
        <v>1124</v>
      </c>
      <c r="BD712" s="37"/>
      <c r="BE712" s="37"/>
      <c r="BF712" s="279"/>
      <c r="BG712" s="37"/>
      <c r="BH712" s="37"/>
      <c r="BI712" s="37"/>
      <c r="BJ712" s="283"/>
      <c r="BK712" s="161"/>
      <c r="BL712" s="294"/>
      <c r="BM712"/>
      <c r="BN712"/>
      <c r="BO712"/>
      <c r="BP712"/>
      <c r="BQ712"/>
      <c r="BR712"/>
      <c r="BS712"/>
      <c r="BT712"/>
      <c r="BU712"/>
      <c r="BV712"/>
      <c r="BW712"/>
      <c r="BX712"/>
      <c r="BY712"/>
      <c r="BZ712"/>
      <c r="CA712"/>
      <c r="CB712"/>
      <c r="CC712"/>
      <c r="CD712"/>
      <c r="CE712"/>
      <c r="CF712"/>
      <c r="CG712"/>
      <c r="CH712"/>
      <c r="CI712"/>
      <c r="CJ712"/>
    </row>
    <row r="713" spans="1:88" s="32" customFormat="1" ht="15" customHeight="1" x14ac:dyDescent="0.35">
      <c r="A713" s="473"/>
      <c r="B713" s="313">
        <v>26040</v>
      </c>
      <c r="C713" s="8" t="s">
        <v>173</v>
      </c>
      <c r="D713" s="18">
        <v>12</v>
      </c>
      <c r="E713" s="251">
        <v>340</v>
      </c>
      <c r="F713" s="82">
        <v>2.5836575875486383</v>
      </c>
      <c r="G713" s="79">
        <v>878.44357976653703</v>
      </c>
      <c r="H713" s="90">
        <v>8.0980000000000008</v>
      </c>
      <c r="I713" s="85">
        <v>5.7910000000000004</v>
      </c>
      <c r="J713" s="85">
        <v>6.6660000000000004</v>
      </c>
      <c r="K713" s="85">
        <v>6.633</v>
      </c>
      <c r="L713" s="85">
        <v>7.6740000000000004</v>
      </c>
      <c r="M713" s="85">
        <v>7.9989999999999997</v>
      </c>
      <c r="N713" s="85">
        <v>8.0259999999999998</v>
      </c>
      <c r="O713" s="85">
        <v>7.327</v>
      </c>
      <c r="P713" s="85">
        <v>7.476</v>
      </c>
      <c r="Q713" s="85">
        <v>6.5620000000000003</v>
      </c>
      <c r="R713" s="85">
        <v>6.7489999999999997</v>
      </c>
      <c r="S713" s="89">
        <v>7.0039999999999996</v>
      </c>
      <c r="T713" s="89">
        <v>86.004999999999995</v>
      </c>
      <c r="U713" s="85">
        <v>0</v>
      </c>
      <c r="V713" s="85">
        <v>86.004999999999995</v>
      </c>
      <c r="W713" s="85">
        <v>0</v>
      </c>
      <c r="X713" s="89">
        <v>86.004999999999995</v>
      </c>
      <c r="Y713" s="79">
        <v>0</v>
      </c>
      <c r="Z713" s="79">
        <v>3</v>
      </c>
      <c r="AA713" s="94">
        <v>0</v>
      </c>
      <c r="AB713" s="79">
        <v>3</v>
      </c>
      <c r="AC713" s="85">
        <v>63.063600000000001</v>
      </c>
      <c r="AD713" s="85">
        <v>9.3809199999999997</v>
      </c>
      <c r="AE713" s="85">
        <v>13.560479999999995</v>
      </c>
      <c r="AF713" s="85">
        <v>0</v>
      </c>
      <c r="AG713" s="85">
        <v>86.004999999999995</v>
      </c>
      <c r="AH713" s="85">
        <v>0</v>
      </c>
      <c r="AI713" s="85">
        <v>0</v>
      </c>
      <c r="AJ713" s="85">
        <v>0</v>
      </c>
      <c r="AK713" s="85">
        <v>0</v>
      </c>
      <c r="AL713" s="85">
        <v>0</v>
      </c>
      <c r="AM713" s="85">
        <v>0</v>
      </c>
      <c r="AN713" s="85">
        <v>0</v>
      </c>
      <c r="AO713" s="85">
        <v>0</v>
      </c>
      <c r="AP713" s="85">
        <v>0</v>
      </c>
      <c r="AQ713" s="85">
        <v>0</v>
      </c>
      <c r="AR713" s="85">
        <v>0</v>
      </c>
      <c r="AS713" s="85">
        <v>0</v>
      </c>
      <c r="AT713" s="85">
        <v>0</v>
      </c>
      <c r="AU713" s="85">
        <v>0</v>
      </c>
      <c r="AV713" s="85">
        <v>0</v>
      </c>
      <c r="AW713" s="85">
        <v>0</v>
      </c>
      <c r="AX713" s="85">
        <v>0</v>
      </c>
      <c r="AY713" s="85">
        <v>0</v>
      </c>
      <c r="AZ713" s="85">
        <v>86.004999999999995</v>
      </c>
      <c r="BA713" s="85">
        <v>0</v>
      </c>
      <c r="BB713" s="89">
        <v>0</v>
      </c>
      <c r="BC713" s="89">
        <v>86.004999999999995</v>
      </c>
      <c r="BD713" s="37">
        <v>0</v>
      </c>
      <c r="BE713" s="37">
        <v>0</v>
      </c>
      <c r="BF713" s="279">
        <v>12945</v>
      </c>
      <c r="BG713" s="37">
        <v>54157</v>
      </c>
      <c r="BH713" s="37">
        <v>15224</v>
      </c>
      <c r="BI713" s="37">
        <v>5707</v>
      </c>
      <c r="BJ713" s="283">
        <v>88033</v>
      </c>
      <c r="BK713" s="161"/>
      <c r="BL713" s="294"/>
      <c r="BM713"/>
      <c r="BN713"/>
      <c r="BO713"/>
      <c r="BP713"/>
      <c r="BQ713"/>
      <c r="BR713"/>
      <c r="BS713"/>
      <c r="BT713"/>
      <c r="BU713"/>
      <c r="BV713"/>
      <c r="BW713"/>
      <c r="BX713"/>
      <c r="BY713"/>
      <c r="BZ713"/>
      <c r="CA713"/>
      <c r="CB713"/>
      <c r="CC713"/>
      <c r="CD713"/>
      <c r="CE713"/>
      <c r="CF713"/>
      <c r="CG713"/>
      <c r="CH713"/>
      <c r="CI713"/>
      <c r="CJ713"/>
    </row>
    <row r="714" spans="1:88" s="32" customFormat="1" ht="15" customHeight="1" x14ac:dyDescent="0.35">
      <c r="A714" s="473"/>
      <c r="B714" s="313">
        <v>7040</v>
      </c>
      <c r="C714" s="8" t="s">
        <v>1074</v>
      </c>
      <c r="D714" s="18">
        <v>1</v>
      </c>
      <c r="E714" s="251"/>
      <c r="F714" s="82"/>
      <c r="G714" s="79"/>
      <c r="H714" s="90"/>
      <c r="I714" s="85"/>
      <c r="J714" s="85"/>
      <c r="K714" s="85"/>
      <c r="L714" s="85"/>
      <c r="M714" s="85"/>
      <c r="N714" s="85"/>
      <c r="O714" s="85"/>
      <c r="P714" s="85"/>
      <c r="Q714" s="85"/>
      <c r="R714" s="85"/>
      <c r="S714" s="89"/>
      <c r="T714" s="89" t="s">
        <v>1124</v>
      </c>
      <c r="U714" s="85"/>
      <c r="V714" s="85"/>
      <c r="W714" s="85"/>
      <c r="X714" s="89" t="s">
        <v>1124</v>
      </c>
      <c r="Y714" s="79"/>
      <c r="Z714" s="79"/>
      <c r="AA714" s="94"/>
      <c r="AB714" s="79" t="s">
        <v>1124</v>
      </c>
      <c r="AC714" s="85"/>
      <c r="AD714" s="85"/>
      <c r="AE714" s="85"/>
      <c r="AF714" s="85"/>
      <c r="AG714" s="85" t="s">
        <v>1124</v>
      </c>
      <c r="AH714" s="85"/>
      <c r="AI714" s="85"/>
      <c r="AJ714" s="85"/>
      <c r="AK714" s="85"/>
      <c r="AL714" s="85"/>
      <c r="AM714" s="85"/>
      <c r="AN714" s="85"/>
      <c r="AO714" s="85"/>
      <c r="AP714" s="85"/>
      <c r="AQ714" s="85"/>
      <c r="AR714" s="85" t="s">
        <v>1124</v>
      </c>
      <c r="AS714" s="85"/>
      <c r="AT714" s="85"/>
      <c r="AU714" s="85"/>
      <c r="AV714" s="85"/>
      <c r="AW714" s="85"/>
      <c r="AX714" s="85"/>
      <c r="AY714" s="85"/>
      <c r="AZ714" s="85"/>
      <c r="BA714" s="85"/>
      <c r="BB714" s="89"/>
      <c r="BC714" s="89" t="s">
        <v>1124</v>
      </c>
      <c r="BD714" s="37"/>
      <c r="BE714" s="37"/>
      <c r="BF714" s="279"/>
      <c r="BG714" s="37"/>
      <c r="BH714" s="37"/>
      <c r="BI714" s="37"/>
      <c r="BJ714" s="283"/>
      <c r="BK714" s="161"/>
      <c r="BL714" s="294"/>
      <c r="BM714"/>
      <c r="BN714"/>
      <c r="BO714"/>
      <c r="BP714"/>
      <c r="BQ714"/>
      <c r="BR714"/>
      <c r="BS714"/>
      <c r="BT714"/>
      <c r="BU714"/>
      <c r="BV714"/>
      <c r="BW714"/>
      <c r="BX714"/>
      <c r="BY714"/>
      <c r="BZ714"/>
      <c r="CA714"/>
      <c r="CB714"/>
      <c r="CC714"/>
      <c r="CD714"/>
      <c r="CE714"/>
      <c r="CF714"/>
      <c r="CG714"/>
      <c r="CH714"/>
      <c r="CI714"/>
      <c r="CJ714"/>
    </row>
    <row r="715" spans="1:88" s="32" customFormat="1" ht="15" customHeight="1" x14ac:dyDescent="0.35">
      <c r="A715" s="473"/>
      <c r="B715" s="313">
        <v>9020</v>
      </c>
      <c r="C715" s="8" t="s">
        <v>1100</v>
      </c>
      <c r="D715" s="18">
        <v>1</v>
      </c>
      <c r="E715" s="251"/>
      <c r="F715" s="82"/>
      <c r="G715" s="79"/>
      <c r="H715" s="90"/>
      <c r="I715" s="85"/>
      <c r="J715" s="85"/>
      <c r="K715" s="85"/>
      <c r="L715" s="85"/>
      <c r="M715" s="85"/>
      <c r="N715" s="85"/>
      <c r="O715" s="85"/>
      <c r="P715" s="85"/>
      <c r="Q715" s="85"/>
      <c r="R715" s="85"/>
      <c r="S715" s="89"/>
      <c r="T715" s="89" t="s">
        <v>1124</v>
      </c>
      <c r="U715" s="85"/>
      <c r="V715" s="85"/>
      <c r="W715" s="85"/>
      <c r="X715" s="89" t="s">
        <v>1124</v>
      </c>
      <c r="Y715" s="79"/>
      <c r="Z715" s="79"/>
      <c r="AA715" s="94"/>
      <c r="AB715" s="79" t="s">
        <v>1124</v>
      </c>
      <c r="AC715" s="85"/>
      <c r="AD715" s="85"/>
      <c r="AE715" s="85"/>
      <c r="AF715" s="85"/>
      <c r="AG715" s="85" t="s">
        <v>1124</v>
      </c>
      <c r="AH715" s="85"/>
      <c r="AI715" s="85"/>
      <c r="AJ715" s="85"/>
      <c r="AK715" s="85"/>
      <c r="AL715" s="85"/>
      <c r="AM715" s="85"/>
      <c r="AN715" s="85"/>
      <c r="AO715" s="85"/>
      <c r="AP715" s="85"/>
      <c r="AQ715" s="85"/>
      <c r="AR715" s="85" t="s">
        <v>1124</v>
      </c>
      <c r="AS715" s="85"/>
      <c r="AT715" s="85"/>
      <c r="AU715" s="85"/>
      <c r="AV715" s="85"/>
      <c r="AW715" s="85"/>
      <c r="AX715" s="85"/>
      <c r="AY715" s="85"/>
      <c r="AZ715" s="85"/>
      <c r="BA715" s="85"/>
      <c r="BB715" s="89"/>
      <c r="BC715" s="89" t="s">
        <v>1124</v>
      </c>
      <c r="BD715" s="37"/>
      <c r="BE715" s="37"/>
      <c r="BF715" s="279"/>
      <c r="BG715" s="37"/>
      <c r="BH715" s="37"/>
      <c r="BI715" s="37"/>
      <c r="BJ715" s="283"/>
      <c r="BK715" s="161"/>
      <c r="BL715" s="294"/>
      <c r="BM715"/>
      <c r="BN715"/>
      <c r="BO715"/>
      <c r="BP715"/>
      <c r="BQ715"/>
      <c r="BR715"/>
      <c r="BS715"/>
      <c r="BT715"/>
      <c r="BU715"/>
      <c r="BV715"/>
      <c r="BW715"/>
      <c r="BX715"/>
      <c r="BY715"/>
      <c r="BZ715"/>
      <c r="CA715"/>
      <c r="CB715"/>
      <c r="CC715"/>
      <c r="CD715"/>
      <c r="CE715"/>
      <c r="CF715"/>
      <c r="CG715"/>
      <c r="CH715"/>
      <c r="CI715"/>
      <c r="CJ715"/>
    </row>
    <row r="716" spans="1:88" s="32" customFormat="1" ht="15" customHeight="1" x14ac:dyDescent="0.35">
      <c r="A716" s="473"/>
      <c r="B716" s="313">
        <v>92015</v>
      </c>
      <c r="C716" s="8" t="s">
        <v>948</v>
      </c>
      <c r="D716" s="18">
        <v>2</v>
      </c>
      <c r="E716" s="251"/>
      <c r="F716" s="82"/>
      <c r="G716" s="79"/>
      <c r="H716" s="90"/>
      <c r="I716" s="85"/>
      <c r="J716" s="85"/>
      <c r="K716" s="85"/>
      <c r="L716" s="85"/>
      <c r="M716" s="85"/>
      <c r="N716" s="85"/>
      <c r="O716" s="85"/>
      <c r="P716" s="85"/>
      <c r="Q716" s="85"/>
      <c r="R716" s="85"/>
      <c r="S716" s="89"/>
      <c r="T716" s="89" t="s">
        <v>1124</v>
      </c>
      <c r="U716" s="85"/>
      <c r="V716" s="85"/>
      <c r="W716" s="85"/>
      <c r="X716" s="89" t="s">
        <v>1124</v>
      </c>
      <c r="Y716" s="79"/>
      <c r="Z716" s="79"/>
      <c r="AA716" s="94"/>
      <c r="AB716" s="79" t="s">
        <v>1124</v>
      </c>
      <c r="AC716" s="85"/>
      <c r="AD716" s="85"/>
      <c r="AE716" s="85"/>
      <c r="AF716" s="85"/>
      <c r="AG716" s="85" t="s">
        <v>1124</v>
      </c>
      <c r="AH716" s="85"/>
      <c r="AI716" s="85"/>
      <c r="AJ716" s="85"/>
      <c r="AK716" s="85"/>
      <c r="AL716" s="85"/>
      <c r="AM716" s="85"/>
      <c r="AN716" s="85"/>
      <c r="AO716" s="85"/>
      <c r="AP716" s="85"/>
      <c r="AQ716" s="85"/>
      <c r="AR716" s="85" t="s">
        <v>1124</v>
      </c>
      <c r="AS716" s="85"/>
      <c r="AT716" s="85"/>
      <c r="AU716" s="85"/>
      <c r="AV716" s="85"/>
      <c r="AW716" s="85"/>
      <c r="AX716" s="85"/>
      <c r="AY716" s="85"/>
      <c r="AZ716" s="85"/>
      <c r="BA716" s="85"/>
      <c r="BB716" s="89"/>
      <c r="BC716" s="89" t="s">
        <v>1124</v>
      </c>
      <c r="BD716" s="37"/>
      <c r="BE716" s="37"/>
      <c r="BF716" s="279"/>
      <c r="BG716" s="37"/>
      <c r="BH716" s="37"/>
      <c r="BI716" s="37"/>
      <c r="BJ716" s="283"/>
      <c r="BK716" s="161"/>
      <c r="BL716" s="294"/>
      <c r="BM716"/>
      <c r="BN716"/>
      <c r="BO716"/>
      <c r="BP716"/>
      <c r="BQ716"/>
      <c r="BR716"/>
      <c r="BS716"/>
      <c r="BT716"/>
      <c r="BU716"/>
      <c r="BV716"/>
      <c r="BW716"/>
      <c r="BX716"/>
      <c r="BY716"/>
      <c r="BZ716"/>
      <c r="CA716"/>
      <c r="CB716"/>
      <c r="CC716"/>
      <c r="CD716"/>
      <c r="CE716"/>
      <c r="CF716"/>
      <c r="CG716"/>
      <c r="CH716"/>
      <c r="CI716"/>
      <c r="CJ716"/>
    </row>
    <row r="717" spans="1:88" s="32" customFormat="1" ht="15" customHeight="1" x14ac:dyDescent="0.35">
      <c r="A717" s="473"/>
      <c r="B717" s="313">
        <v>59010</v>
      </c>
      <c r="C717" s="8" t="s">
        <v>599</v>
      </c>
      <c r="D717" s="18">
        <v>16</v>
      </c>
      <c r="E717" s="251">
        <v>11633</v>
      </c>
      <c r="F717" s="82">
        <v>2.570188257543196</v>
      </c>
      <c r="G717" s="79">
        <v>29899</v>
      </c>
      <c r="H717" s="90">
        <v>295.64400000000001</v>
      </c>
      <c r="I717" s="85">
        <v>267.55399999999997</v>
      </c>
      <c r="J717" s="85">
        <v>298.04500000000002</v>
      </c>
      <c r="K717" s="85">
        <v>305.892</v>
      </c>
      <c r="L717" s="85">
        <v>417.40499999999997</v>
      </c>
      <c r="M717" s="85">
        <v>423.678</v>
      </c>
      <c r="N717" s="85">
        <v>463.12</v>
      </c>
      <c r="O717" s="85">
        <v>435.44200000000001</v>
      </c>
      <c r="P717" s="85">
        <v>357.31200000000001</v>
      </c>
      <c r="Q717" s="85">
        <v>326.94499999999999</v>
      </c>
      <c r="R717" s="85">
        <v>287.35899999999998</v>
      </c>
      <c r="S717" s="89">
        <v>295.26299999999998</v>
      </c>
      <c r="T717" s="89">
        <v>4173.6589999999997</v>
      </c>
      <c r="U717" s="85">
        <v>4173.6589999999997</v>
      </c>
      <c r="V717" s="85">
        <v>0</v>
      </c>
      <c r="W717" s="85">
        <v>0</v>
      </c>
      <c r="X717" s="89">
        <v>4173.6589999999997</v>
      </c>
      <c r="Y717" s="79">
        <v>1</v>
      </c>
      <c r="Z717" s="79">
        <v>0</v>
      </c>
      <c r="AA717" s="94">
        <v>0</v>
      </c>
      <c r="AB717" s="79">
        <v>1</v>
      </c>
      <c r="AC717" s="85">
        <v>2728.28</v>
      </c>
      <c r="AD717" s="85">
        <v>865.88391249999995</v>
      </c>
      <c r="AE717" s="85">
        <v>579.4950874999995</v>
      </c>
      <c r="AF717" s="85">
        <v>0</v>
      </c>
      <c r="AG717" s="85">
        <v>4173.6589999999997</v>
      </c>
      <c r="AH717" s="85">
        <v>4173.6589999999997</v>
      </c>
      <c r="AI717" s="85">
        <v>0</v>
      </c>
      <c r="AJ717" s="85">
        <v>0</v>
      </c>
      <c r="AK717" s="85">
        <v>0</v>
      </c>
      <c r="AL717" s="85">
        <v>0</v>
      </c>
      <c r="AM717" s="85">
        <v>0</v>
      </c>
      <c r="AN717" s="85">
        <v>0</v>
      </c>
      <c r="AO717" s="85">
        <v>0</v>
      </c>
      <c r="AP717" s="85">
        <v>0</v>
      </c>
      <c r="AQ717" s="85">
        <v>0</v>
      </c>
      <c r="AR717" s="85">
        <v>4173.6589999999997</v>
      </c>
      <c r="AS717" s="85">
        <v>0</v>
      </c>
      <c r="AT717" s="85">
        <v>0</v>
      </c>
      <c r="AU717" s="85">
        <v>0</v>
      </c>
      <c r="AV717" s="85">
        <v>0</v>
      </c>
      <c r="AW717" s="85">
        <v>0</v>
      </c>
      <c r="AX717" s="85">
        <v>0</v>
      </c>
      <c r="AY717" s="85">
        <v>0</v>
      </c>
      <c r="AZ717" s="85">
        <v>0</v>
      </c>
      <c r="BA717" s="85">
        <v>0</v>
      </c>
      <c r="BB717" s="89">
        <v>0</v>
      </c>
      <c r="BC717" s="89">
        <v>0</v>
      </c>
      <c r="BD717" s="37">
        <v>5300</v>
      </c>
      <c r="BE717" s="37">
        <v>14754</v>
      </c>
      <c r="BF717" s="279">
        <v>100008</v>
      </c>
      <c r="BG717" s="37">
        <v>270221</v>
      </c>
      <c r="BH717" s="37">
        <v>128040</v>
      </c>
      <c r="BI717" s="37">
        <v>0</v>
      </c>
      <c r="BJ717" s="283">
        <v>498269</v>
      </c>
      <c r="BK717" s="161"/>
      <c r="BL717" s="294"/>
      <c r="BM717"/>
      <c r="BN717"/>
      <c r="BO717"/>
      <c r="BP717"/>
      <c r="BQ717"/>
      <c r="BR717"/>
      <c r="BS717"/>
      <c r="BT717"/>
      <c r="BU717"/>
      <c r="BV717"/>
      <c r="BW717"/>
      <c r="BX717"/>
      <c r="BY717"/>
      <c r="BZ717"/>
      <c r="CA717"/>
      <c r="CB717"/>
      <c r="CC717"/>
      <c r="CD717"/>
      <c r="CE717"/>
      <c r="CF717"/>
      <c r="CG717"/>
      <c r="CH717"/>
      <c r="CI717"/>
      <c r="CJ717"/>
    </row>
    <row r="718" spans="1:88" s="32" customFormat="1" ht="15" customHeight="1" x14ac:dyDescent="0.35">
      <c r="A718" s="473"/>
      <c r="B718" s="313">
        <v>63060</v>
      </c>
      <c r="C718" s="8" t="s">
        <v>642</v>
      </c>
      <c r="D718" s="18">
        <v>14</v>
      </c>
      <c r="E718" s="251"/>
      <c r="F718" s="82"/>
      <c r="G718" s="79"/>
      <c r="H718" s="90"/>
      <c r="I718" s="85"/>
      <c r="J718" s="85"/>
      <c r="K718" s="85"/>
      <c r="L718" s="85"/>
      <c r="M718" s="85"/>
      <c r="N718" s="85"/>
      <c r="O718" s="85"/>
      <c r="P718" s="85"/>
      <c r="Q718" s="85"/>
      <c r="R718" s="85"/>
      <c r="S718" s="89"/>
      <c r="T718" s="89" t="s">
        <v>1124</v>
      </c>
      <c r="U718" s="85"/>
      <c r="V718" s="85"/>
      <c r="W718" s="85"/>
      <c r="X718" s="89" t="s">
        <v>1124</v>
      </c>
      <c r="Y718" s="79"/>
      <c r="Z718" s="79"/>
      <c r="AA718" s="94"/>
      <c r="AB718" s="79" t="s">
        <v>1124</v>
      </c>
      <c r="AC718" s="85"/>
      <c r="AD718" s="85"/>
      <c r="AE718" s="85"/>
      <c r="AF718" s="85"/>
      <c r="AG718" s="85" t="s">
        <v>1124</v>
      </c>
      <c r="AH718" s="85"/>
      <c r="AI718" s="85"/>
      <c r="AJ718" s="85"/>
      <c r="AK718" s="85"/>
      <c r="AL718" s="85"/>
      <c r="AM718" s="85"/>
      <c r="AN718" s="85"/>
      <c r="AO718" s="85"/>
      <c r="AP718" s="85"/>
      <c r="AQ718" s="85"/>
      <c r="AR718" s="85" t="s">
        <v>1124</v>
      </c>
      <c r="AS718" s="85"/>
      <c r="AT718" s="85"/>
      <c r="AU718" s="85"/>
      <c r="AV718" s="85"/>
      <c r="AW718" s="85"/>
      <c r="AX718" s="85"/>
      <c r="AY718" s="85"/>
      <c r="AZ718" s="85"/>
      <c r="BA718" s="85"/>
      <c r="BB718" s="89"/>
      <c r="BC718" s="89" t="s">
        <v>1124</v>
      </c>
      <c r="BD718" s="37"/>
      <c r="BE718" s="37"/>
      <c r="BF718" s="279"/>
      <c r="BG718" s="37"/>
      <c r="BH718" s="37"/>
      <c r="BI718" s="37"/>
      <c r="BJ718" s="283"/>
      <c r="BK718" s="161"/>
      <c r="BL718" s="294"/>
      <c r="BM718"/>
      <c r="BN718"/>
      <c r="BO718"/>
      <c r="BP718"/>
      <c r="BQ718"/>
      <c r="BR718"/>
      <c r="BS718"/>
      <c r="BT718"/>
      <c r="BU718"/>
      <c r="BV718"/>
      <c r="BW718"/>
      <c r="BX718"/>
      <c r="BY718"/>
      <c r="BZ718"/>
      <c r="CA718"/>
      <c r="CB718"/>
      <c r="CC718"/>
      <c r="CD718"/>
      <c r="CE718"/>
      <c r="CF718"/>
      <c r="CG718"/>
      <c r="CH718"/>
      <c r="CI718"/>
      <c r="CJ718"/>
    </row>
    <row r="719" spans="1:88" s="32" customFormat="1" ht="15" customHeight="1" x14ac:dyDescent="0.35">
      <c r="A719" s="473"/>
      <c r="B719" s="313">
        <v>28045</v>
      </c>
      <c r="C719" s="8" t="s">
        <v>195</v>
      </c>
      <c r="D719" s="18">
        <v>12</v>
      </c>
      <c r="E719" s="251">
        <v>606</v>
      </c>
      <c r="F719" s="82">
        <v>2.4</v>
      </c>
      <c r="G719" s="79">
        <v>1454.3999999999999</v>
      </c>
      <c r="H719" s="90">
        <v>16.986999999999998</v>
      </c>
      <c r="I719" s="85">
        <v>12.458</v>
      </c>
      <c r="J719" s="85">
        <v>13.888</v>
      </c>
      <c r="K719" s="85">
        <v>14.106</v>
      </c>
      <c r="L719" s="85">
        <v>14.395</v>
      </c>
      <c r="M719" s="85">
        <v>14.901</v>
      </c>
      <c r="N719" s="85">
        <v>16.106000000000002</v>
      </c>
      <c r="O719" s="85">
        <v>15.106999999999999</v>
      </c>
      <c r="P719" s="85">
        <v>13.503</v>
      </c>
      <c r="Q719" s="85">
        <v>14.955</v>
      </c>
      <c r="R719" s="85">
        <v>13.983000000000001</v>
      </c>
      <c r="S719" s="89">
        <v>14.821</v>
      </c>
      <c r="T719" s="89">
        <v>175.21000000000004</v>
      </c>
      <c r="U719" s="85">
        <v>0</v>
      </c>
      <c r="V719" s="85">
        <v>175.21000000000004</v>
      </c>
      <c r="W719" s="85">
        <v>0</v>
      </c>
      <c r="X719" s="89">
        <v>175.21000000000004</v>
      </c>
      <c r="Y719" s="79">
        <v>0</v>
      </c>
      <c r="Z719" s="79">
        <v>1</v>
      </c>
      <c r="AA719" s="94">
        <v>0</v>
      </c>
      <c r="AB719" s="79">
        <v>1</v>
      </c>
      <c r="AC719" s="85">
        <v>115.839</v>
      </c>
      <c r="AD719" s="85">
        <v>12.377150000000022</v>
      </c>
      <c r="AE719" s="85">
        <v>46.993850000000016</v>
      </c>
      <c r="AF719" s="85">
        <v>0</v>
      </c>
      <c r="AG719" s="85">
        <v>175.21000000000004</v>
      </c>
      <c r="AH719" s="85">
        <v>0</v>
      </c>
      <c r="AI719" s="85">
        <v>0</v>
      </c>
      <c r="AJ719" s="85">
        <v>0</v>
      </c>
      <c r="AK719" s="85">
        <v>0</v>
      </c>
      <c r="AL719" s="85">
        <v>0</v>
      </c>
      <c r="AM719" s="85">
        <v>0</v>
      </c>
      <c r="AN719" s="85">
        <v>0</v>
      </c>
      <c r="AO719" s="85">
        <v>0</v>
      </c>
      <c r="AP719" s="85">
        <v>0</v>
      </c>
      <c r="AQ719" s="85">
        <v>0</v>
      </c>
      <c r="AR719" s="85">
        <v>0</v>
      </c>
      <c r="AS719" s="85">
        <v>0</v>
      </c>
      <c r="AT719" s="85">
        <v>0</v>
      </c>
      <c r="AU719" s="85">
        <v>175.21000000000004</v>
      </c>
      <c r="AV719" s="85">
        <v>0</v>
      </c>
      <c r="AW719" s="85">
        <v>0</v>
      </c>
      <c r="AX719" s="85">
        <v>0</v>
      </c>
      <c r="AY719" s="85">
        <v>0</v>
      </c>
      <c r="AZ719" s="85">
        <v>0</v>
      </c>
      <c r="BA719" s="85">
        <v>0</v>
      </c>
      <c r="BB719" s="89">
        <v>0</v>
      </c>
      <c r="BC719" s="89">
        <v>175.21000000000004</v>
      </c>
      <c r="BD719" s="37">
        <v>0</v>
      </c>
      <c r="BE719" s="37">
        <v>456166</v>
      </c>
      <c r="BF719" s="279">
        <v>41278</v>
      </c>
      <c r="BG719" s="37">
        <v>40096</v>
      </c>
      <c r="BH719" s="37">
        <v>30495</v>
      </c>
      <c r="BI719" s="37">
        <v>14573</v>
      </c>
      <c r="BJ719" s="283">
        <v>126442</v>
      </c>
      <c r="BK719" s="161"/>
      <c r="BL719" s="294"/>
      <c r="BM719"/>
      <c r="BN719"/>
      <c r="BO719"/>
      <c r="BP719"/>
      <c r="BQ719"/>
      <c r="BR719"/>
      <c r="BS719"/>
      <c r="BT719"/>
      <c r="BU719"/>
      <c r="BV719"/>
      <c r="BW719"/>
      <c r="BX719"/>
      <c r="BY719"/>
      <c r="BZ719"/>
      <c r="CA719"/>
      <c r="CB719"/>
      <c r="CC719"/>
      <c r="CD719"/>
      <c r="CE719"/>
      <c r="CF719"/>
      <c r="CG719"/>
      <c r="CH719"/>
      <c r="CI719"/>
      <c r="CJ719"/>
    </row>
    <row r="720" spans="1:88" s="32" customFormat="1" ht="15" customHeight="1" x14ac:dyDescent="0.35">
      <c r="A720" s="473"/>
      <c r="B720" s="313">
        <v>71115</v>
      </c>
      <c r="C720" s="8" t="s">
        <v>723</v>
      </c>
      <c r="D720" s="18">
        <v>16</v>
      </c>
      <c r="E720" s="251"/>
      <c r="F720" s="82"/>
      <c r="G720" s="79"/>
      <c r="H720" s="90"/>
      <c r="I720" s="85"/>
      <c r="J720" s="85"/>
      <c r="K720" s="85"/>
      <c r="L720" s="85"/>
      <c r="M720" s="85"/>
      <c r="N720" s="85"/>
      <c r="O720" s="85"/>
      <c r="P720" s="85"/>
      <c r="Q720" s="85"/>
      <c r="R720" s="85"/>
      <c r="S720" s="89"/>
      <c r="T720" s="89" t="s">
        <v>1124</v>
      </c>
      <c r="U720" s="85"/>
      <c r="V720" s="85"/>
      <c r="W720" s="85"/>
      <c r="X720" s="89" t="s">
        <v>1124</v>
      </c>
      <c r="Y720" s="79"/>
      <c r="Z720" s="79"/>
      <c r="AA720" s="94"/>
      <c r="AB720" s="79" t="s">
        <v>1124</v>
      </c>
      <c r="AC720" s="85"/>
      <c r="AD720" s="85"/>
      <c r="AE720" s="85"/>
      <c r="AF720" s="85"/>
      <c r="AG720" s="85" t="s">
        <v>1124</v>
      </c>
      <c r="AH720" s="85"/>
      <c r="AI720" s="85"/>
      <c r="AJ720" s="85"/>
      <c r="AK720" s="85"/>
      <c r="AL720" s="85"/>
      <c r="AM720" s="85"/>
      <c r="AN720" s="85"/>
      <c r="AO720" s="85"/>
      <c r="AP720" s="85"/>
      <c r="AQ720" s="85"/>
      <c r="AR720" s="85" t="s">
        <v>1124</v>
      </c>
      <c r="AS720" s="85"/>
      <c r="AT720" s="85"/>
      <c r="AU720" s="85"/>
      <c r="AV720" s="85"/>
      <c r="AW720" s="85"/>
      <c r="AX720" s="85"/>
      <c r="AY720" s="85"/>
      <c r="AZ720" s="85"/>
      <c r="BA720" s="85"/>
      <c r="BB720" s="89"/>
      <c r="BC720" s="89" t="s">
        <v>1124</v>
      </c>
      <c r="BD720" s="37"/>
      <c r="BE720" s="37"/>
      <c r="BF720" s="279"/>
      <c r="BG720" s="37"/>
      <c r="BH720" s="37"/>
      <c r="BI720" s="37"/>
      <c r="BJ720" s="283"/>
      <c r="BK720" s="161"/>
      <c r="BL720" s="294"/>
      <c r="BM720"/>
      <c r="BN720"/>
      <c r="BO720"/>
      <c r="BP720"/>
      <c r="BQ720"/>
      <c r="BR720"/>
      <c r="BS720"/>
      <c r="BT720"/>
      <c r="BU720"/>
      <c r="BV720"/>
      <c r="BW720"/>
      <c r="BX720"/>
      <c r="BY720"/>
      <c r="BZ720"/>
      <c r="CA720"/>
      <c r="CB720"/>
      <c r="CC720"/>
      <c r="CD720"/>
      <c r="CE720"/>
      <c r="CF720"/>
      <c r="CG720"/>
      <c r="CH720"/>
      <c r="CI720"/>
      <c r="CJ720"/>
    </row>
    <row r="721" spans="1:88" s="32" customFormat="1" ht="15" customHeight="1" x14ac:dyDescent="0.35">
      <c r="A721" s="473"/>
      <c r="B721" s="313">
        <v>51075</v>
      </c>
      <c r="C721" s="8" t="s">
        <v>511</v>
      </c>
      <c r="D721" s="18">
        <v>4</v>
      </c>
      <c r="E721" s="251"/>
      <c r="F721" s="82"/>
      <c r="G721" s="79"/>
      <c r="H721" s="90"/>
      <c r="I721" s="85"/>
      <c r="J721" s="85"/>
      <c r="K721" s="85"/>
      <c r="L721" s="85"/>
      <c r="M721" s="85"/>
      <c r="N721" s="85"/>
      <c r="O721" s="85"/>
      <c r="P721" s="85"/>
      <c r="Q721" s="85"/>
      <c r="R721" s="85"/>
      <c r="S721" s="89"/>
      <c r="T721" s="89" t="s">
        <v>1124</v>
      </c>
      <c r="U721" s="85"/>
      <c r="V721" s="85"/>
      <c r="W721" s="85"/>
      <c r="X721" s="89" t="s">
        <v>1124</v>
      </c>
      <c r="Y721" s="79"/>
      <c r="Z721" s="79"/>
      <c r="AA721" s="94"/>
      <c r="AB721" s="79" t="s">
        <v>1124</v>
      </c>
      <c r="AC721" s="85"/>
      <c r="AD721" s="85"/>
      <c r="AE721" s="85"/>
      <c r="AF721" s="85"/>
      <c r="AG721" s="85" t="s">
        <v>1124</v>
      </c>
      <c r="AH721" s="85"/>
      <c r="AI721" s="85"/>
      <c r="AJ721" s="85"/>
      <c r="AK721" s="85"/>
      <c r="AL721" s="85"/>
      <c r="AM721" s="85"/>
      <c r="AN721" s="85"/>
      <c r="AO721" s="85"/>
      <c r="AP721" s="85"/>
      <c r="AQ721" s="85"/>
      <c r="AR721" s="85" t="s">
        <v>1124</v>
      </c>
      <c r="AS721" s="85"/>
      <c r="AT721" s="85"/>
      <c r="AU721" s="85"/>
      <c r="AV721" s="85"/>
      <c r="AW721" s="85"/>
      <c r="AX721" s="85"/>
      <c r="AY721" s="85"/>
      <c r="AZ721" s="85"/>
      <c r="BA721" s="85"/>
      <c r="BB721" s="89"/>
      <c r="BC721" s="89" t="s">
        <v>1124</v>
      </c>
      <c r="BD721" s="37"/>
      <c r="BE721" s="37"/>
      <c r="BF721" s="279"/>
      <c r="BG721" s="37"/>
      <c r="BH721" s="37"/>
      <c r="BI721" s="37"/>
      <c r="BJ721" s="283"/>
      <c r="BK721" s="161"/>
      <c r="BL721" s="294"/>
      <c r="BM721"/>
      <c r="BN721"/>
      <c r="BO721"/>
      <c r="BP721"/>
      <c r="BQ721"/>
      <c r="BR721"/>
      <c r="BS721"/>
      <c r="BT721"/>
      <c r="BU721"/>
      <c r="BV721"/>
      <c r="BW721"/>
      <c r="BX721"/>
      <c r="BY721"/>
      <c r="BZ721"/>
      <c r="CA721"/>
      <c r="CB721"/>
      <c r="CC721"/>
      <c r="CD721"/>
      <c r="CE721"/>
      <c r="CF721"/>
      <c r="CG721"/>
      <c r="CH721"/>
      <c r="CI721"/>
      <c r="CJ721"/>
    </row>
    <row r="722" spans="1:88" s="32" customFormat="1" ht="15" customHeight="1" x14ac:dyDescent="0.35">
      <c r="A722" s="473"/>
      <c r="B722" s="313">
        <v>11035</v>
      </c>
      <c r="C722" s="8" t="s">
        <v>23</v>
      </c>
      <c r="D722" s="18">
        <v>1</v>
      </c>
      <c r="E722" s="251"/>
      <c r="F722" s="82"/>
      <c r="G722" s="79"/>
      <c r="H722" s="90"/>
      <c r="I722" s="85"/>
      <c r="J722" s="85"/>
      <c r="K722" s="85"/>
      <c r="L722" s="85"/>
      <c r="M722" s="85"/>
      <c r="N722" s="85"/>
      <c r="O722" s="85"/>
      <c r="P722" s="85"/>
      <c r="Q722" s="85"/>
      <c r="R722" s="85"/>
      <c r="S722" s="89"/>
      <c r="T722" s="89" t="s">
        <v>1124</v>
      </c>
      <c r="U722" s="85"/>
      <c r="V722" s="85"/>
      <c r="W722" s="85"/>
      <c r="X722" s="89" t="s">
        <v>1124</v>
      </c>
      <c r="Y722" s="79"/>
      <c r="Z722" s="79"/>
      <c r="AA722" s="94"/>
      <c r="AB722" s="79" t="s">
        <v>1124</v>
      </c>
      <c r="AC722" s="85"/>
      <c r="AD722" s="85"/>
      <c r="AE722" s="85"/>
      <c r="AF722" s="85"/>
      <c r="AG722" s="85" t="s">
        <v>1124</v>
      </c>
      <c r="AH722" s="85"/>
      <c r="AI722" s="85"/>
      <c r="AJ722" s="85"/>
      <c r="AK722" s="85"/>
      <c r="AL722" s="85"/>
      <c r="AM722" s="85"/>
      <c r="AN722" s="85"/>
      <c r="AO722" s="85"/>
      <c r="AP722" s="85"/>
      <c r="AQ722" s="85"/>
      <c r="AR722" s="85" t="s">
        <v>1124</v>
      </c>
      <c r="AS722" s="85"/>
      <c r="AT722" s="85"/>
      <c r="AU722" s="85"/>
      <c r="AV722" s="85"/>
      <c r="AW722" s="85"/>
      <c r="AX722" s="85"/>
      <c r="AY722" s="85"/>
      <c r="AZ722" s="85"/>
      <c r="BA722" s="85"/>
      <c r="BB722" s="89"/>
      <c r="BC722" s="89" t="s">
        <v>1124</v>
      </c>
      <c r="BD722" s="37"/>
      <c r="BE722" s="37"/>
      <c r="BF722" s="279"/>
      <c r="BG722" s="37"/>
      <c r="BH722" s="37"/>
      <c r="BI722" s="37"/>
      <c r="BJ722" s="283"/>
      <c r="BK722" s="161"/>
      <c r="BL722" s="294"/>
      <c r="BM722"/>
      <c r="BN722"/>
      <c r="BO722"/>
      <c r="BP722"/>
      <c r="BQ722"/>
      <c r="BR722"/>
      <c r="BS722"/>
      <c r="BT722"/>
      <c r="BU722"/>
      <c r="BV722"/>
      <c r="BW722"/>
      <c r="BX722"/>
      <c r="BY722"/>
      <c r="BZ722"/>
      <c r="CA722"/>
      <c r="CB722"/>
      <c r="CC722"/>
      <c r="CD722"/>
      <c r="CE722"/>
      <c r="CF722"/>
      <c r="CG722"/>
      <c r="CH722"/>
      <c r="CI722"/>
      <c r="CJ722"/>
    </row>
    <row r="723" spans="1:88" s="32" customFormat="1" ht="15" customHeight="1" x14ac:dyDescent="0.35">
      <c r="A723" s="473"/>
      <c r="B723" s="313">
        <v>17060</v>
      </c>
      <c r="C723" s="8" t="s">
        <v>100</v>
      </c>
      <c r="D723" s="18">
        <v>12</v>
      </c>
      <c r="E723" s="251"/>
      <c r="F723" s="82"/>
      <c r="G723" s="79"/>
      <c r="H723" s="90"/>
      <c r="I723" s="85"/>
      <c r="J723" s="85"/>
      <c r="K723" s="85"/>
      <c r="L723" s="85"/>
      <c r="M723" s="85"/>
      <c r="N723" s="85"/>
      <c r="O723" s="85"/>
      <c r="P723" s="85"/>
      <c r="Q723" s="85"/>
      <c r="R723" s="85"/>
      <c r="S723" s="89"/>
      <c r="T723" s="89" t="s">
        <v>1124</v>
      </c>
      <c r="U723" s="85"/>
      <c r="V723" s="85"/>
      <c r="W723" s="85"/>
      <c r="X723" s="89" t="s">
        <v>1124</v>
      </c>
      <c r="Y723" s="79"/>
      <c r="Z723" s="79"/>
      <c r="AA723" s="94"/>
      <c r="AB723" s="79" t="s">
        <v>1124</v>
      </c>
      <c r="AC723" s="85"/>
      <c r="AD723" s="85"/>
      <c r="AE723" s="85"/>
      <c r="AF723" s="85"/>
      <c r="AG723" s="85" t="s">
        <v>1124</v>
      </c>
      <c r="AH723" s="85"/>
      <c r="AI723" s="85"/>
      <c r="AJ723" s="85"/>
      <c r="AK723" s="85"/>
      <c r="AL723" s="85"/>
      <c r="AM723" s="85"/>
      <c r="AN723" s="85"/>
      <c r="AO723" s="85"/>
      <c r="AP723" s="85"/>
      <c r="AQ723" s="85"/>
      <c r="AR723" s="85" t="s">
        <v>1124</v>
      </c>
      <c r="AS723" s="85"/>
      <c r="AT723" s="85"/>
      <c r="AU723" s="85"/>
      <c r="AV723" s="85"/>
      <c r="AW723" s="85"/>
      <c r="AX723" s="85"/>
      <c r="AY723" s="85"/>
      <c r="AZ723" s="85"/>
      <c r="BA723" s="85"/>
      <c r="BB723" s="89"/>
      <c r="BC723" s="89" t="s">
        <v>1124</v>
      </c>
      <c r="BD723" s="37"/>
      <c r="BE723" s="37"/>
      <c r="BF723" s="279"/>
      <c r="BG723" s="37"/>
      <c r="BH723" s="37"/>
      <c r="BI723" s="37"/>
      <c r="BJ723" s="283"/>
      <c r="BK723" s="161"/>
      <c r="BL723" s="294"/>
      <c r="BM723"/>
      <c r="BN723"/>
      <c r="BO723"/>
      <c r="BP723"/>
      <c r="BQ723"/>
      <c r="BR723"/>
      <c r="BS723"/>
      <c r="BT723"/>
      <c r="BU723"/>
      <c r="BV723"/>
      <c r="BW723"/>
      <c r="BX723"/>
      <c r="BY723"/>
      <c r="BZ723"/>
      <c r="CA723"/>
      <c r="CB723"/>
      <c r="CC723"/>
      <c r="CD723"/>
      <c r="CE723"/>
      <c r="CF723"/>
      <c r="CG723"/>
      <c r="CH723"/>
      <c r="CI723"/>
      <c r="CJ723"/>
    </row>
    <row r="724" spans="1:88" s="32" customFormat="1" ht="15" customHeight="1" x14ac:dyDescent="0.35">
      <c r="A724" s="473"/>
      <c r="B724" s="313">
        <v>50095</v>
      </c>
      <c r="C724" s="8" t="s">
        <v>494</v>
      </c>
      <c r="D724" s="18">
        <v>17</v>
      </c>
      <c r="E724" s="251"/>
      <c r="F724" s="82"/>
      <c r="G724" s="79"/>
      <c r="H724" s="90"/>
      <c r="I724" s="85"/>
      <c r="J724" s="85"/>
      <c r="K724" s="85"/>
      <c r="L724" s="85"/>
      <c r="M724" s="85"/>
      <c r="N724" s="85"/>
      <c r="O724" s="85"/>
      <c r="P724" s="85"/>
      <c r="Q724" s="85"/>
      <c r="R724" s="85"/>
      <c r="S724" s="89"/>
      <c r="T724" s="89" t="s">
        <v>1124</v>
      </c>
      <c r="U724" s="85"/>
      <c r="V724" s="85"/>
      <c r="W724" s="85"/>
      <c r="X724" s="89" t="s">
        <v>1124</v>
      </c>
      <c r="Y724" s="79"/>
      <c r="Z724" s="79"/>
      <c r="AA724" s="94"/>
      <c r="AB724" s="79" t="s">
        <v>1124</v>
      </c>
      <c r="AC724" s="85"/>
      <c r="AD724" s="85"/>
      <c r="AE724" s="85"/>
      <c r="AF724" s="85"/>
      <c r="AG724" s="85" t="s">
        <v>1124</v>
      </c>
      <c r="AH724" s="85"/>
      <c r="AI724" s="85"/>
      <c r="AJ724" s="85"/>
      <c r="AK724" s="85"/>
      <c r="AL724" s="85"/>
      <c r="AM724" s="85"/>
      <c r="AN724" s="85"/>
      <c r="AO724" s="85"/>
      <c r="AP724" s="85"/>
      <c r="AQ724" s="85"/>
      <c r="AR724" s="85" t="s">
        <v>1124</v>
      </c>
      <c r="AS724" s="85"/>
      <c r="AT724" s="85"/>
      <c r="AU724" s="85"/>
      <c r="AV724" s="85"/>
      <c r="AW724" s="85"/>
      <c r="AX724" s="85"/>
      <c r="AY724" s="85"/>
      <c r="AZ724" s="85"/>
      <c r="BA724" s="85"/>
      <c r="BB724" s="89"/>
      <c r="BC724" s="89" t="s">
        <v>1124</v>
      </c>
      <c r="BD724" s="37"/>
      <c r="BE724" s="37"/>
      <c r="BF724" s="279"/>
      <c r="BG724" s="37"/>
      <c r="BH724" s="37"/>
      <c r="BI724" s="37"/>
      <c r="BJ724" s="283"/>
      <c r="BK724" s="161"/>
      <c r="BL724" s="294"/>
      <c r="BM724"/>
      <c r="BN724"/>
      <c r="BO724"/>
      <c r="BP724"/>
      <c r="BQ724"/>
      <c r="BR724"/>
      <c r="BS724"/>
      <c r="BT724"/>
      <c r="BU724"/>
      <c r="BV724"/>
      <c r="BW724"/>
      <c r="BX724"/>
      <c r="BY724"/>
      <c r="BZ724"/>
      <c r="CA724"/>
      <c r="CB724"/>
      <c r="CC724"/>
      <c r="CD724"/>
      <c r="CE724"/>
      <c r="CF724"/>
      <c r="CG724"/>
      <c r="CH724"/>
      <c r="CI724"/>
      <c r="CJ724"/>
    </row>
    <row r="725" spans="1:88" s="32" customFormat="1" ht="15" customHeight="1" x14ac:dyDescent="0.35">
      <c r="A725" s="473"/>
      <c r="B725" s="313">
        <v>9092</v>
      </c>
      <c r="C725" s="8" t="s">
        <v>1112</v>
      </c>
      <c r="D725" s="18">
        <v>1</v>
      </c>
      <c r="E725" s="251">
        <v>1483</v>
      </c>
      <c r="F725" s="82">
        <v>2.2550120288692863</v>
      </c>
      <c r="G725" s="79">
        <v>3344.1828388131516</v>
      </c>
      <c r="H725" s="90">
        <v>24.667999999999999</v>
      </c>
      <c r="I725" s="85">
        <v>23.248000000000001</v>
      </c>
      <c r="J725" s="85">
        <v>28.463000000000001</v>
      </c>
      <c r="K725" s="85">
        <v>29.35</v>
      </c>
      <c r="L725" s="85">
        <v>33.487000000000002</v>
      </c>
      <c r="M725" s="85">
        <v>34.296999999999997</v>
      </c>
      <c r="N725" s="85">
        <v>40.844999999999999</v>
      </c>
      <c r="O725" s="85">
        <v>37.99</v>
      </c>
      <c r="P725" s="85">
        <v>32.228000000000002</v>
      </c>
      <c r="Q725" s="85">
        <v>30.78</v>
      </c>
      <c r="R725" s="85">
        <v>28.719000000000001</v>
      </c>
      <c r="S725" s="89">
        <v>29.734000000000002</v>
      </c>
      <c r="T725" s="89">
        <v>373.80899999999997</v>
      </c>
      <c r="U725" s="85">
        <v>0</v>
      </c>
      <c r="V725" s="85">
        <v>373.80900000000003</v>
      </c>
      <c r="W725" s="85">
        <v>0</v>
      </c>
      <c r="X725" s="89">
        <v>373.80900000000003</v>
      </c>
      <c r="Y725" s="79">
        <v>0</v>
      </c>
      <c r="Z725" s="79">
        <v>2</v>
      </c>
      <c r="AA725" s="94">
        <v>0</v>
      </c>
      <c r="AB725" s="79">
        <v>2</v>
      </c>
      <c r="AC725" s="85">
        <v>243.899</v>
      </c>
      <c r="AD725" s="85">
        <v>65.456402704081626</v>
      </c>
      <c r="AE725" s="85">
        <v>64.453597295918343</v>
      </c>
      <c r="AF725" s="85">
        <v>0</v>
      </c>
      <c r="AG725" s="85">
        <v>373.80899999999997</v>
      </c>
      <c r="AH725" s="85">
        <v>0</v>
      </c>
      <c r="AI725" s="85">
        <v>0</v>
      </c>
      <c r="AJ725" s="85">
        <v>0</v>
      </c>
      <c r="AK725" s="85">
        <v>0</v>
      </c>
      <c r="AL725" s="85">
        <v>0</v>
      </c>
      <c r="AM725" s="85">
        <v>0</v>
      </c>
      <c r="AN725" s="85">
        <v>0</v>
      </c>
      <c r="AO725" s="85">
        <v>0</v>
      </c>
      <c r="AP725" s="85">
        <v>0</v>
      </c>
      <c r="AQ725" s="85">
        <v>0</v>
      </c>
      <c r="AR725" s="85">
        <v>0</v>
      </c>
      <c r="AS725" s="85">
        <v>0</v>
      </c>
      <c r="AT725" s="85">
        <v>0</v>
      </c>
      <c r="AU725" s="85">
        <v>0</v>
      </c>
      <c r="AV725" s="85">
        <v>0</v>
      </c>
      <c r="AW725" s="85">
        <v>0</v>
      </c>
      <c r="AX725" s="85">
        <v>0</v>
      </c>
      <c r="AY725" s="85">
        <v>373.80899999999997</v>
      </c>
      <c r="AZ725" s="85">
        <v>0</v>
      </c>
      <c r="BA725" s="85">
        <v>0</v>
      </c>
      <c r="BB725" s="89">
        <v>0</v>
      </c>
      <c r="BC725" s="89">
        <v>373.80899999999997</v>
      </c>
      <c r="BD725" s="37">
        <v>0</v>
      </c>
      <c r="BE725" s="37">
        <v>43924</v>
      </c>
      <c r="BF725" s="279">
        <v>7384</v>
      </c>
      <c r="BG725" s="37">
        <v>24329</v>
      </c>
      <c r="BH725" s="37">
        <v>2203</v>
      </c>
      <c r="BI725" s="37">
        <v>100408</v>
      </c>
      <c r="BJ725" s="283">
        <v>134324</v>
      </c>
      <c r="BK725" s="161"/>
      <c r="BL725" s="294"/>
      <c r="BM725"/>
      <c r="BN725"/>
      <c r="BO725"/>
      <c r="BP725"/>
      <c r="BQ725"/>
      <c r="BR725"/>
      <c r="BS725"/>
      <c r="BT725"/>
      <c r="BU725"/>
      <c r="BV725"/>
      <c r="BW725"/>
      <c r="BX725"/>
      <c r="BY725"/>
      <c r="BZ725"/>
      <c r="CA725"/>
      <c r="CB725"/>
      <c r="CC725"/>
      <c r="CD725"/>
      <c r="CE725"/>
      <c r="CF725"/>
      <c r="CG725"/>
      <c r="CH725"/>
      <c r="CI725"/>
      <c r="CJ725"/>
    </row>
    <row r="726" spans="1:88" s="32" customFormat="1" ht="15" customHeight="1" x14ac:dyDescent="0.35">
      <c r="A726" s="473"/>
      <c r="B726" s="313">
        <v>18020</v>
      </c>
      <c r="C726" s="8" t="s">
        <v>107</v>
      </c>
      <c r="D726" s="18">
        <v>12</v>
      </c>
      <c r="E726" s="251"/>
      <c r="F726" s="82"/>
      <c r="G726" s="79"/>
      <c r="H726" s="90"/>
      <c r="I726" s="85"/>
      <c r="J726" s="85"/>
      <c r="K726" s="85"/>
      <c r="L726" s="85"/>
      <c r="M726" s="85"/>
      <c r="N726" s="85"/>
      <c r="O726" s="85"/>
      <c r="P726" s="85"/>
      <c r="Q726" s="85"/>
      <c r="R726" s="85"/>
      <c r="S726" s="89"/>
      <c r="T726" s="89" t="s">
        <v>1124</v>
      </c>
      <c r="U726" s="85"/>
      <c r="V726" s="85"/>
      <c r="W726" s="85"/>
      <c r="X726" s="89" t="s">
        <v>1124</v>
      </c>
      <c r="Y726" s="79"/>
      <c r="Z726" s="79"/>
      <c r="AA726" s="94"/>
      <c r="AB726" s="79" t="s">
        <v>1124</v>
      </c>
      <c r="AC726" s="85"/>
      <c r="AD726" s="85"/>
      <c r="AE726" s="85"/>
      <c r="AF726" s="85"/>
      <c r="AG726" s="85" t="s">
        <v>1124</v>
      </c>
      <c r="AH726" s="85"/>
      <c r="AI726" s="85"/>
      <c r="AJ726" s="85"/>
      <c r="AK726" s="85"/>
      <c r="AL726" s="85"/>
      <c r="AM726" s="85"/>
      <c r="AN726" s="85"/>
      <c r="AO726" s="85"/>
      <c r="AP726" s="85"/>
      <c r="AQ726" s="85"/>
      <c r="AR726" s="85" t="s">
        <v>1124</v>
      </c>
      <c r="AS726" s="85"/>
      <c r="AT726" s="85"/>
      <c r="AU726" s="85"/>
      <c r="AV726" s="85"/>
      <c r="AW726" s="85"/>
      <c r="AX726" s="85"/>
      <c r="AY726" s="85"/>
      <c r="AZ726" s="85"/>
      <c r="BA726" s="85"/>
      <c r="BB726" s="89"/>
      <c r="BC726" s="89" t="s">
        <v>1124</v>
      </c>
      <c r="BD726" s="37"/>
      <c r="BE726" s="37"/>
      <c r="BF726" s="279"/>
      <c r="BG726" s="37"/>
      <c r="BH726" s="37"/>
      <c r="BI726" s="37"/>
      <c r="BJ726" s="283"/>
      <c r="BK726" s="161"/>
      <c r="BL726" s="294"/>
      <c r="BM726"/>
      <c r="BN726"/>
      <c r="BO726"/>
      <c r="BP726"/>
      <c r="BQ726"/>
      <c r="BR726"/>
      <c r="BS726"/>
      <c r="BT726"/>
      <c r="BU726"/>
      <c r="BV726"/>
      <c r="BW726"/>
      <c r="BX726"/>
      <c r="BY726"/>
      <c r="BZ726"/>
      <c r="CA726"/>
      <c r="CB726"/>
      <c r="CC726"/>
      <c r="CD726"/>
      <c r="CE726"/>
      <c r="CF726"/>
      <c r="CG726"/>
      <c r="CH726"/>
      <c r="CI726"/>
      <c r="CJ726"/>
    </row>
    <row r="727" spans="1:88" s="32" customFormat="1" ht="15" customHeight="1" x14ac:dyDescent="0.35">
      <c r="A727" s="473"/>
      <c r="B727" s="313">
        <v>78020</v>
      </c>
      <c r="C727" s="8" t="s">
        <v>769</v>
      </c>
      <c r="D727" s="18">
        <v>15</v>
      </c>
      <c r="E727" s="251">
        <v>350</v>
      </c>
      <c r="F727" s="82">
        <v>1.834874504623514</v>
      </c>
      <c r="G727" s="79">
        <v>642.20607661822987</v>
      </c>
      <c r="H727" s="90">
        <v>7.7360899999999999</v>
      </c>
      <c r="I727" s="85">
        <v>7.3292000000000002</v>
      </c>
      <c r="J727" s="85">
        <v>7.7092999999999998</v>
      </c>
      <c r="K727" s="85">
        <v>8.3035999999999994</v>
      </c>
      <c r="L727" s="85">
        <v>8.8130000000000006</v>
      </c>
      <c r="M727" s="85">
        <v>9.8001299999999993</v>
      </c>
      <c r="N727" s="85">
        <v>10.927659999999999</v>
      </c>
      <c r="O727" s="85">
        <v>7.6919599999999999</v>
      </c>
      <c r="P727" s="85">
        <v>6.6180000000000003</v>
      </c>
      <c r="Q727" s="85">
        <v>5.2255199999999995</v>
      </c>
      <c r="R727" s="85">
        <v>5.657</v>
      </c>
      <c r="S727" s="89">
        <v>6.3220400000000003</v>
      </c>
      <c r="T727" s="89">
        <v>92.133499999999998</v>
      </c>
      <c r="U727" s="85">
        <v>0</v>
      </c>
      <c r="V727" s="85">
        <v>92.133499999999998</v>
      </c>
      <c r="W727" s="85">
        <v>0</v>
      </c>
      <c r="X727" s="89">
        <v>92.133499999999998</v>
      </c>
      <c r="Y727" s="79">
        <v>0</v>
      </c>
      <c r="Z727" s="79">
        <v>2</v>
      </c>
      <c r="AA727" s="94">
        <v>0</v>
      </c>
      <c r="AB727" s="79">
        <v>2</v>
      </c>
      <c r="AC727" s="85">
        <v>10.077</v>
      </c>
      <c r="AD727" s="85">
        <v>68.390900000000002</v>
      </c>
      <c r="AE727" s="85">
        <v>13.6656</v>
      </c>
      <c r="AF727" s="85">
        <v>0</v>
      </c>
      <c r="AG727" s="85">
        <v>92.133499999999998</v>
      </c>
      <c r="AH727" s="85">
        <v>0</v>
      </c>
      <c r="AI727" s="85">
        <v>0</v>
      </c>
      <c r="AJ727" s="85">
        <v>0</v>
      </c>
      <c r="AK727" s="85">
        <v>0</v>
      </c>
      <c r="AL727" s="85">
        <v>0</v>
      </c>
      <c r="AM727" s="85">
        <v>0</v>
      </c>
      <c r="AN727" s="85">
        <v>0</v>
      </c>
      <c r="AO727" s="85">
        <v>0</v>
      </c>
      <c r="AP727" s="85">
        <v>0</v>
      </c>
      <c r="AQ727" s="85">
        <v>0</v>
      </c>
      <c r="AR727" s="85">
        <v>0</v>
      </c>
      <c r="AS727" s="85">
        <v>0</v>
      </c>
      <c r="AT727" s="85">
        <v>0</v>
      </c>
      <c r="AU727" s="85">
        <v>0</v>
      </c>
      <c r="AV727" s="85">
        <v>0</v>
      </c>
      <c r="AW727" s="85">
        <v>0</v>
      </c>
      <c r="AX727" s="85">
        <v>0</v>
      </c>
      <c r="AY727" s="85">
        <v>74.187359999999998</v>
      </c>
      <c r="AZ727" s="85">
        <v>17.94614</v>
      </c>
      <c r="BA727" s="85">
        <v>0</v>
      </c>
      <c r="BB727" s="89">
        <v>0</v>
      </c>
      <c r="BC727" s="89">
        <v>92.133499999999998</v>
      </c>
      <c r="BD727" s="37">
        <v>0</v>
      </c>
      <c r="BE727" s="37">
        <v>0</v>
      </c>
      <c r="BF727" s="279">
        <v>2014</v>
      </c>
      <c r="BG727" s="37">
        <v>19493</v>
      </c>
      <c r="BH727" s="37">
        <v>11687</v>
      </c>
      <c r="BI727" s="37">
        <v>0</v>
      </c>
      <c r="BJ727" s="283">
        <v>33194</v>
      </c>
      <c r="BK727" s="161"/>
      <c r="BL727" s="294"/>
      <c r="BM727"/>
      <c r="BN727"/>
      <c r="BO727"/>
      <c r="BP727"/>
      <c r="BQ727"/>
      <c r="BR727"/>
      <c r="BS727"/>
      <c r="BT727"/>
      <c r="BU727"/>
      <c r="BV727"/>
      <c r="BW727"/>
      <c r="BX727"/>
      <c r="BY727"/>
      <c r="BZ727"/>
      <c r="CA727"/>
      <c r="CB727"/>
      <c r="CC727"/>
      <c r="CD727"/>
      <c r="CE727"/>
      <c r="CF727"/>
      <c r="CG727"/>
      <c r="CH727"/>
      <c r="CI727"/>
      <c r="CJ727"/>
    </row>
    <row r="728" spans="1:88" s="32" customFormat="1" ht="15" customHeight="1" x14ac:dyDescent="0.35">
      <c r="A728" s="473"/>
      <c r="B728" s="313">
        <v>5050</v>
      </c>
      <c r="C728" s="8" t="s">
        <v>1051</v>
      </c>
      <c r="D728" s="18">
        <v>11</v>
      </c>
      <c r="E728" s="251"/>
      <c r="F728" s="82"/>
      <c r="G728" s="79"/>
      <c r="H728" s="90"/>
      <c r="I728" s="85"/>
      <c r="J728" s="85"/>
      <c r="K728" s="85"/>
      <c r="L728" s="85"/>
      <c r="M728" s="85"/>
      <c r="N728" s="85"/>
      <c r="O728" s="85"/>
      <c r="P728" s="85"/>
      <c r="Q728" s="85"/>
      <c r="R728" s="85"/>
      <c r="S728" s="89"/>
      <c r="T728" s="89" t="s">
        <v>1124</v>
      </c>
      <c r="U728" s="85"/>
      <c r="V728" s="85"/>
      <c r="W728" s="85"/>
      <c r="X728" s="89" t="s">
        <v>1124</v>
      </c>
      <c r="Y728" s="79"/>
      <c r="Z728" s="79"/>
      <c r="AA728" s="94"/>
      <c r="AB728" s="79" t="s">
        <v>1124</v>
      </c>
      <c r="AC728" s="85"/>
      <c r="AD728" s="85"/>
      <c r="AE728" s="85"/>
      <c r="AF728" s="85"/>
      <c r="AG728" s="85" t="s">
        <v>1124</v>
      </c>
      <c r="AH728" s="85"/>
      <c r="AI728" s="85"/>
      <c r="AJ728" s="85"/>
      <c r="AK728" s="85"/>
      <c r="AL728" s="85"/>
      <c r="AM728" s="85"/>
      <c r="AN728" s="85"/>
      <c r="AO728" s="85"/>
      <c r="AP728" s="85"/>
      <c r="AQ728" s="85"/>
      <c r="AR728" s="85" t="s">
        <v>1124</v>
      </c>
      <c r="AS728" s="85"/>
      <c r="AT728" s="85"/>
      <c r="AU728" s="85"/>
      <c r="AV728" s="85"/>
      <c r="AW728" s="85"/>
      <c r="AX728" s="85"/>
      <c r="AY728" s="85"/>
      <c r="AZ728" s="85"/>
      <c r="BA728" s="85"/>
      <c r="BB728" s="89"/>
      <c r="BC728" s="89" t="s">
        <v>1124</v>
      </c>
      <c r="BD728" s="37"/>
      <c r="BE728" s="37"/>
      <c r="BF728" s="279"/>
      <c r="BG728" s="37"/>
      <c r="BH728" s="37"/>
      <c r="BI728" s="37"/>
      <c r="BJ728" s="283"/>
      <c r="BK728" s="161"/>
      <c r="BL728" s="294"/>
      <c r="BM728"/>
      <c r="BN728"/>
      <c r="BO728"/>
      <c r="BP728"/>
      <c r="BQ728"/>
      <c r="BR728"/>
      <c r="BS728"/>
      <c r="BT728"/>
      <c r="BU728"/>
      <c r="BV728"/>
      <c r="BW728"/>
      <c r="BX728"/>
      <c r="BY728"/>
      <c r="BZ728"/>
      <c r="CA728"/>
      <c r="CB728"/>
      <c r="CC728"/>
      <c r="CD728"/>
      <c r="CE728"/>
      <c r="CF728"/>
      <c r="CG728"/>
      <c r="CH728"/>
      <c r="CI728"/>
      <c r="CJ728"/>
    </row>
    <row r="729" spans="1:88" s="32" customFormat="1" ht="15" customHeight="1" x14ac:dyDescent="0.35">
      <c r="A729" s="473"/>
      <c r="B729" s="313">
        <v>26022</v>
      </c>
      <c r="C729" s="8" t="s">
        <v>170</v>
      </c>
      <c r="D729" s="18">
        <v>12</v>
      </c>
      <c r="E729" s="251">
        <v>720</v>
      </c>
      <c r="F729" s="82">
        <v>2.2949999999999999</v>
      </c>
      <c r="G729" s="79">
        <v>1652.3999999999999</v>
      </c>
      <c r="H729" s="90">
        <v>12.058</v>
      </c>
      <c r="I729" s="85">
        <v>11.798999999999999</v>
      </c>
      <c r="J729" s="85">
        <v>12.292</v>
      </c>
      <c r="K729" s="85">
        <v>12.535</v>
      </c>
      <c r="L729" s="85">
        <v>13.884</v>
      </c>
      <c r="M729" s="85">
        <v>13.766</v>
      </c>
      <c r="N729" s="85">
        <v>15.853999999999999</v>
      </c>
      <c r="O729" s="85">
        <v>16.242999999999999</v>
      </c>
      <c r="P729" s="85">
        <v>15.417999999999999</v>
      </c>
      <c r="Q729" s="85">
        <v>13.247999999999999</v>
      </c>
      <c r="R729" s="85">
        <v>13.776</v>
      </c>
      <c r="S729" s="89">
        <v>14.879</v>
      </c>
      <c r="T729" s="89">
        <v>165.75199999999998</v>
      </c>
      <c r="U729" s="85">
        <v>0</v>
      </c>
      <c r="V729" s="85">
        <v>165.75200000000001</v>
      </c>
      <c r="W729" s="85">
        <v>0</v>
      </c>
      <c r="X729" s="89">
        <v>165.75200000000001</v>
      </c>
      <c r="Y729" s="79">
        <v>0</v>
      </c>
      <c r="Z729" s="79">
        <v>1</v>
      </c>
      <c r="AA729" s="94">
        <v>0</v>
      </c>
      <c r="AB729" s="79">
        <v>1</v>
      </c>
      <c r="AC729" s="85">
        <v>128.45599999999999</v>
      </c>
      <c r="AD729" s="85">
        <v>16.937000000000001</v>
      </c>
      <c r="AE729" s="85">
        <v>20.359000000000002</v>
      </c>
      <c r="AF729" s="85">
        <v>0</v>
      </c>
      <c r="AG729" s="85">
        <v>165.75200000000001</v>
      </c>
      <c r="AH729" s="85">
        <v>0</v>
      </c>
      <c r="AI729" s="85">
        <v>0</v>
      </c>
      <c r="AJ729" s="85">
        <v>0</v>
      </c>
      <c r="AK729" s="85">
        <v>0</v>
      </c>
      <c r="AL729" s="85">
        <v>0</v>
      </c>
      <c r="AM729" s="85">
        <v>0</v>
      </c>
      <c r="AN729" s="85">
        <v>0</v>
      </c>
      <c r="AO729" s="85">
        <v>0</v>
      </c>
      <c r="AP729" s="85">
        <v>0</v>
      </c>
      <c r="AQ729" s="85">
        <v>0</v>
      </c>
      <c r="AR729" s="85">
        <v>0</v>
      </c>
      <c r="AS729" s="85">
        <v>0</v>
      </c>
      <c r="AT729" s="85">
        <v>0</v>
      </c>
      <c r="AU729" s="85">
        <v>0</v>
      </c>
      <c r="AV729" s="85">
        <v>0</v>
      </c>
      <c r="AW729" s="85">
        <v>0</v>
      </c>
      <c r="AX729" s="85">
        <v>0</v>
      </c>
      <c r="AY729" s="85">
        <v>165.75200000000001</v>
      </c>
      <c r="AZ729" s="85">
        <v>0</v>
      </c>
      <c r="BA729" s="85">
        <v>0</v>
      </c>
      <c r="BB729" s="89">
        <v>0</v>
      </c>
      <c r="BC729" s="89">
        <v>165.75200000000001</v>
      </c>
      <c r="BD729" s="37">
        <v>0</v>
      </c>
      <c r="BE729" s="37">
        <v>0</v>
      </c>
      <c r="BF729" s="279">
        <v>45000</v>
      </c>
      <c r="BG729" s="37">
        <v>30000</v>
      </c>
      <c r="BH729" s="37">
        <v>20200</v>
      </c>
      <c r="BI729" s="37">
        <v>0</v>
      </c>
      <c r="BJ729" s="283">
        <v>95200</v>
      </c>
      <c r="BK729" s="161"/>
      <c r="BL729" s="294"/>
      <c r="BM729"/>
      <c r="BN729"/>
      <c r="BO729"/>
      <c r="BP729"/>
      <c r="BQ729"/>
      <c r="BR729"/>
      <c r="BS729"/>
      <c r="BT729"/>
      <c r="BU729"/>
      <c r="BV729"/>
      <c r="BW729"/>
      <c r="BX729"/>
      <c r="BY729"/>
      <c r="BZ729"/>
      <c r="CA729"/>
      <c r="CB729"/>
      <c r="CC729"/>
      <c r="CD729"/>
      <c r="CE729"/>
      <c r="CF729"/>
      <c r="CG729"/>
      <c r="CH729"/>
      <c r="CI729"/>
      <c r="CJ729"/>
    </row>
    <row r="730" spans="1:88" s="32" customFormat="1" ht="15" customHeight="1" x14ac:dyDescent="0.35">
      <c r="A730" s="473"/>
      <c r="B730" s="313">
        <v>13085</v>
      </c>
      <c r="C730" s="8" t="s">
        <v>56</v>
      </c>
      <c r="D730" s="18">
        <v>1</v>
      </c>
      <c r="E730" s="251"/>
      <c r="F730" s="82"/>
      <c r="G730" s="79"/>
      <c r="H730" s="90"/>
      <c r="I730" s="85"/>
      <c r="J730" s="85"/>
      <c r="K730" s="85"/>
      <c r="L730" s="85"/>
      <c r="M730" s="85"/>
      <c r="N730" s="85"/>
      <c r="O730" s="85"/>
      <c r="P730" s="85"/>
      <c r="Q730" s="85"/>
      <c r="R730" s="85"/>
      <c r="S730" s="89"/>
      <c r="T730" s="89" t="s">
        <v>1124</v>
      </c>
      <c r="U730" s="85"/>
      <c r="V730" s="85"/>
      <c r="W730" s="85"/>
      <c r="X730" s="89" t="s">
        <v>1124</v>
      </c>
      <c r="Y730" s="79"/>
      <c r="Z730" s="79"/>
      <c r="AA730" s="94"/>
      <c r="AB730" s="79" t="s">
        <v>1124</v>
      </c>
      <c r="AC730" s="85"/>
      <c r="AD730" s="85"/>
      <c r="AE730" s="85"/>
      <c r="AF730" s="85"/>
      <c r="AG730" s="85" t="s">
        <v>1124</v>
      </c>
      <c r="AH730" s="85"/>
      <c r="AI730" s="85"/>
      <c r="AJ730" s="85"/>
      <c r="AK730" s="85"/>
      <c r="AL730" s="85"/>
      <c r="AM730" s="85"/>
      <c r="AN730" s="85"/>
      <c r="AO730" s="85"/>
      <c r="AP730" s="85"/>
      <c r="AQ730" s="85"/>
      <c r="AR730" s="85" t="s">
        <v>1124</v>
      </c>
      <c r="AS730" s="85"/>
      <c r="AT730" s="85"/>
      <c r="AU730" s="85"/>
      <c r="AV730" s="85"/>
      <c r="AW730" s="85"/>
      <c r="AX730" s="85"/>
      <c r="AY730" s="85"/>
      <c r="AZ730" s="85"/>
      <c r="BA730" s="85"/>
      <c r="BB730" s="89"/>
      <c r="BC730" s="89" t="s">
        <v>1124</v>
      </c>
      <c r="BD730" s="37"/>
      <c r="BE730" s="37"/>
      <c r="BF730" s="279"/>
      <c r="BG730" s="37"/>
      <c r="BH730" s="37"/>
      <c r="BI730" s="37"/>
      <c r="BJ730" s="283"/>
      <c r="BK730" s="161"/>
      <c r="BL730" s="294"/>
      <c r="BM730"/>
      <c r="BN730"/>
      <c r="BO730"/>
      <c r="BP730"/>
      <c r="BQ730"/>
      <c r="BR730"/>
      <c r="BS730"/>
      <c r="BT730"/>
      <c r="BU730"/>
      <c r="BV730"/>
      <c r="BW730"/>
      <c r="BX730"/>
      <c r="BY730"/>
      <c r="BZ730"/>
      <c r="CA730"/>
      <c r="CB730"/>
      <c r="CC730"/>
      <c r="CD730"/>
      <c r="CE730"/>
      <c r="CF730"/>
      <c r="CG730"/>
      <c r="CH730"/>
      <c r="CI730"/>
      <c r="CJ730"/>
    </row>
    <row r="731" spans="1:88" s="32" customFormat="1" ht="15" customHeight="1" x14ac:dyDescent="0.35">
      <c r="A731" s="473"/>
      <c r="B731" s="313">
        <v>54025</v>
      </c>
      <c r="C731" s="8" t="s">
        <v>544</v>
      </c>
      <c r="D731" s="18">
        <v>16</v>
      </c>
      <c r="E731" s="251"/>
      <c r="F731" s="82"/>
      <c r="G731" s="79"/>
      <c r="H731" s="90"/>
      <c r="I731" s="85"/>
      <c r="J731" s="85"/>
      <c r="K731" s="85"/>
      <c r="L731" s="85"/>
      <c r="M731" s="85"/>
      <c r="N731" s="85"/>
      <c r="O731" s="85"/>
      <c r="P731" s="85"/>
      <c r="Q731" s="85"/>
      <c r="R731" s="85"/>
      <c r="S731" s="89"/>
      <c r="T731" s="89" t="s">
        <v>1124</v>
      </c>
      <c r="U731" s="85"/>
      <c r="V731" s="85"/>
      <c r="W731" s="85"/>
      <c r="X731" s="89" t="s">
        <v>1124</v>
      </c>
      <c r="Y731" s="79"/>
      <c r="Z731" s="79"/>
      <c r="AA731" s="94"/>
      <c r="AB731" s="79" t="s">
        <v>1124</v>
      </c>
      <c r="AC731" s="85"/>
      <c r="AD731" s="85"/>
      <c r="AE731" s="85"/>
      <c r="AF731" s="85"/>
      <c r="AG731" s="85" t="s">
        <v>1124</v>
      </c>
      <c r="AH731" s="85"/>
      <c r="AI731" s="85"/>
      <c r="AJ731" s="85"/>
      <c r="AK731" s="85"/>
      <c r="AL731" s="85"/>
      <c r="AM731" s="85"/>
      <c r="AN731" s="85"/>
      <c r="AO731" s="85"/>
      <c r="AP731" s="85"/>
      <c r="AQ731" s="85"/>
      <c r="AR731" s="85" t="s">
        <v>1124</v>
      </c>
      <c r="AS731" s="85"/>
      <c r="AT731" s="85"/>
      <c r="AU731" s="85"/>
      <c r="AV731" s="85"/>
      <c r="AW731" s="85"/>
      <c r="AX731" s="85"/>
      <c r="AY731" s="85"/>
      <c r="AZ731" s="85"/>
      <c r="BA731" s="85"/>
      <c r="BB731" s="89"/>
      <c r="BC731" s="89" t="s">
        <v>1124</v>
      </c>
      <c r="BD731" s="37"/>
      <c r="BE731" s="37"/>
      <c r="BF731" s="279"/>
      <c r="BG731" s="37"/>
      <c r="BH731" s="37"/>
      <c r="BI731" s="37"/>
      <c r="BJ731" s="283"/>
      <c r="BK731" s="161"/>
      <c r="BL731" s="294"/>
      <c r="BM731"/>
      <c r="BN731"/>
      <c r="BO731"/>
      <c r="BP731"/>
      <c r="BQ731"/>
      <c r="BR731"/>
      <c r="BS731"/>
      <c r="BT731"/>
      <c r="BU731"/>
      <c r="BV731"/>
      <c r="BW731"/>
      <c r="BX731"/>
      <c r="BY731"/>
      <c r="BZ731"/>
      <c r="CA731"/>
      <c r="CB731"/>
      <c r="CC731"/>
      <c r="CD731"/>
      <c r="CE731"/>
      <c r="CF731"/>
      <c r="CG731"/>
      <c r="CH731"/>
      <c r="CI731"/>
      <c r="CJ731"/>
    </row>
    <row r="732" spans="1:88" s="32" customFormat="1" ht="15" customHeight="1" x14ac:dyDescent="0.35">
      <c r="A732" s="473"/>
      <c r="B732" s="313">
        <v>4005</v>
      </c>
      <c r="C732" s="8" t="s">
        <v>1036</v>
      </c>
      <c r="D732" s="18">
        <v>11</v>
      </c>
      <c r="E732" s="251">
        <v>231</v>
      </c>
      <c r="F732" s="82">
        <v>1.3169642857142858</v>
      </c>
      <c r="G732" s="79">
        <v>304.21875</v>
      </c>
      <c r="H732" s="90">
        <v>3.9180000000000001</v>
      </c>
      <c r="I732" s="85">
        <v>3.1909999999999998</v>
      </c>
      <c r="J732" s="85">
        <v>6.1710000000000003</v>
      </c>
      <c r="K732" s="85">
        <v>6.0640000000000001</v>
      </c>
      <c r="L732" s="85">
        <v>3.839</v>
      </c>
      <c r="M732" s="85">
        <v>4.45</v>
      </c>
      <c r="N732" s="85">
        <v>6.2839999999999998</v>
      </c>
      <c r="O732" s="85">
        <v>6.133</v>
      </c>
      <c r="P732" s="85">
        <v>4.41</v>
      </c>
      <c r="Q732" s="85">
        <v>4.0209999999999999</v>
      </c>
      <c r="R732" s="85">
        <v>3.089</v>
      </c>
      <c r="S732" s="89">
        <v>3.4180000000000001</v>
      </c>
      <c r="T732" s="89">
        <v>54.988000000000007</v>
      </c>
      <c r="U732" s="85">
        <v>0</v>
      </c>
      <c r="V732" s="85">
        <v>54.988</v>
      </c>
      <c r="W732" s="85">
        <v>0</v>
      </c>
      <c r="X732" s="89">
        <v>54.988</v>
      </c>
      <c r="Y732" s="79">
        <v>0</v>
      </c>
      <c r="Z732" s="79">
        <v>1</v>
      </c>
      <c r="AA732" s="94">
        <v>0</v>
      </c>
      <c r="AB732" s="79">
        <v>1</v>
      </c>
      <c r="AC732" s="85">
        <v>25.210999999999999</v>
      </c>
      <c r="AD732" s="85">
        <v>4.640728520408171</v>
      </c>
      <c r="AE732" s="85">
        <v>25.136271479591837</v>
      </c>
      <c r="AF732" s="85">
        <v>0</v>
      </c>
      <c r="AG732" s="85">
        <v>54.988000000000007</v>
      </c>
      <c r="AH732" s="85">
        <v>0</v>
      </c>
      <c r="AI732" s="85">
        <v>0</v>
      </c>
      <c r="AJ732" s="85">
        <v>0</v>
      </c>
      <c r="AK732" s="85">
        <v>0</v>
      </c>
      <c r="AL732" s="85">
        <v>0</v>
      </c>
      <c r="AM732" s="85">
        <v>0</v>
      </c>
      <c r="AN732" s="85">
        <v>0</v>
      </c>
      <c r="AO732" s="85">
        <v>0</v>
      </c>
      <c r="AP732" s="85">
        <v>0</v>
      </c>
      <c r="AQ732" s="85">
        <v>0</v>
      </c>
      <c r="AR732" s="85">
        <v>0</v>
      </c>
      <c r="AS732" s="85">
        <v>0</v>
      </c>
      <c r="AT732" s="85">
        <v>0</v>
      </c>
      <c r="AU732" s="85">
        <v>0</v>
      </c>
      <c r="AV732" s="85">
        <v>0</v>
      </c>
      <c r="AW732" s="85">
        <v>0</v>
      </c>
      <c r="AX732" s="85">
        <v>54.988</v>
      </c>
      <c r="AY732" s="85">
        <v>0</v>
      </c>
      <c r="AZ732" s="85">
        <v>0</v>
      </c>
      <c r="BA732" s="85">
        <v>0</v>
      </c>
      <c r="BB732" s="89">
        <v>0</v>
      </c>
      <c r="BC732" s="89">
        <v>54.988</v>
      </c>
      <c r="BD732" s="37">
        <v>3575</v>
      </c>
      <c r="BE732" s="37">
        <v>0</v>
      </c>
      <c r="BF732" s="279">
        <v>11298</v>
      </c>
      <c r="BG732" s="37">
        <v>72925</v>
      </c>
      <c r="BH732" s="37">
        <v>20505</v>
      </c>
      <c r="BI732" s="37">
        <v>0</v>
      </c>
      <c r="BJ732" s="283">
        <v>104728</v>
      </c>
      <c r="BK732" s="161"/>
      <c r="BL732" s="294"/>
      <c r="BM732"/>
      <c r="BN732"/>
      <c r="BO732"/>
      <c r="BP732"/>
      <c r="BQ732"/>
      <c r="BR732"/>
      <c r="BS732"/>
      <c r="BT732"/>
      <c r="BU732"/>
      <c r="BV732"/>
      <c r="BW732"/>
      <c r="BX732"/>
      <c r="BY732"/>
      <c r="BZ732"/>
      <c r="CA732"/>
      <c r="CB732"/>
      <c r="CC732"/>
      <c r="CD732"/>
      <c r="CE732"/>
      <c r="CF732"/>
      <c r="CG732"/>
      <c r="CH732"/>
      <c r="CI732"/>
      <c r="CJ732"/>
    </row>
    <row r="733" spans="1:88" s="32" customFormat="1" ht="15" customHeight="1" x14ac:dyDescent="0.35">
      <c r="A733" s="473"/>
      <c r="B733" s="313">
        <v>62030</v>
      </c>
      <c r="C733" s="8" t="s">
        <v>623</v>
      </c>
      <c r="D733" s="18">
        <v>14</v>
      </c>
      <c r="E733" s="251"/>
      <c r="F733" s="82"/>
      <c r="G733" s="79"/>
      <c r="H733" s="90"/>
      <c r="I733" s="85"/>
      <c r="J733" s="85"/>
      <c r="K733" s="85"/>
      <c r="L733" s="85"/>
      <c r="M733" s="85"/>
      <c r="N733" s="85"/>
      <c r="O733" s="85"/>
      <c r="P733" s="85"/>
      <c r="Q733" s="85"/>
      <c r="R733" s="85"/>
      <c r="S733" s="89"/>
      <c r="T733" s="89" t="s">
        <v>1124</v>
      </c>
      <c r="U733" s="85"/>
      <c r="V733" s="85"/>
      <c r="W733" s="85"/>
      <c r="X733" s="89" t="s">
        <v>1124</v>
      </c>
      <c r="Y733" s="79"/>
      <c r="Z733" s="79"/>
      <c r="AA733" s="94"/>
      <c r="AB733" s="79" t="s">
        <v>1124</v>
      </c>
      <c r="AC733" s="85"/>
      <c r="AD733" s="85"/>
      <c r="AE733" s="85"/>
      <c r="AF733" s="85"/>
      <c r="AG733" s="85" t="s">
        <v>1124</v>
      </c>
      <c r="AH733" s="85"/>
      <c r="AI733" s="85"/>
      <c r="AJ733" s="85"/>
      <c r="AK733" s="85"/>
      <c r="AL733" s="85"/>
      <c r="AM733" s="85"/>
      <c r="AN733" s="85"/>
      <c r="AO733" s="85"/>
      <c r="AP733" s="85"/>
      <c r="AQ733" s="85"/>
      <c r="AR733" s="85" t="s">
        <v>1124</v>
      </c>
      <c r="AS733" s="85"/>
      <c r="AT733" s="85"/>
      <c r="AU733" s="85"/>
      <c r="AV733" s="85"/>
      <c r="AW733" s="85"/>
      <c r="AX733" s="85"/>
      <c r="AY733" s="85"/>
      <c r="AZ733" s="85"/>
      <c r="BA733" s="85"/>
      <c r="BB733" s="89"/>
      <c r="BC733" s="89" t="s">
        <v>1124</v>
      </c>
      <c r="BD733" s="37"/>
      <c r="BE733" s="37"/>
      <c r="BF733" s="279"/>
      <c r="BG733" s="37"/>
      <c r="BH733" s="37"/>
      <c r="BI733" s="37"/>
      <c r="BJ733" s="283"/>
      <c r="BK733" s="161"/>
      <c r="BL733" s="294"/>
      <c r="BM733"/>
      <c r="BN733"/>
      <c r="BO733"/>
      <c r="BP733"/>
      <c r="BQ733"/>
      <c r="BR733"/>
      <c r="BS733"/>
      <c r="BT733"/>
      <c r="BU733"/>
      <c r="BV733"/>
      <c r="BW733"/>
      <c r="BX733"/>
      <c r="BY733"/>
      <c r="BZ733"/>
      <c r="CA733"/>
      <c r="CB733"/>
      <c r="CC733"/>
      <c r="CD733"/>
      <c r="CE733"/>
      <c r="CF733"/>
      <c r="CG733"/>
      <c r="CH733"/>
      <c r="CI733"/>
      <c r="CJ733"/>
    </row>
    <row r="734" spans="1:88" s="32" customFormat="1" ht="15" customHeight="1" x14ac:dyDescent="0.35">
      <c r="A734" s="473"/>
      <c r="B734" s="313">
        <v>26035</v>
      </c>
      <c r="C734" s="8" t="s">
        <v>172</v>
      </c>
      <c r="D734" s="18">
        <v>12</v>
      </c>
      <c r="E734" s="251">
        <v>249</v>
      </c>
      <c r="F734" s="82">
        <v>2.3326488706365502</v>
      </c>
      <c r="G734" s="79">
        <v>580.82956878850098</v>
      </c>
      <c r="H734" s="90">
        <v>2.5739999999999998</v>
      </c>
      <c r="I734" s="85">
        <v>2.4990000000000001</v>
      </c>
      <c r="J734" s="85">
        <v>2.9289999999999998</v>
      </c>
      <c r="K734" s="85">
        <v>2.9279999999999999</v>
      </c>
      <c r="L734" s="85">
        <v>3.4689999999999999</v>
      </c>
      <c r="M734" s="85">
        <v>3.4369999999999998</v>
      </c>
      <c r="N734" s="85">
        <v>4.3730000000000002</v>
      </c>
      <c r="O734" s="85">
        <v>4.0220000000000002</v>
      </c>
      <c r="P734" s="85">
        <v>4.0449999999999999</v>
      </c>
      <c r="Q734" s="85">
        <v>3.1890000000000001</v>
      </c>
      <c r="R734" s="85">
        <v>2.9689999999999999</v>
      </c>
      <c r="S734" s="89">
        <v>2.9359999999999999</v>
      </c>
      <c r="T734" s="89">
        <v>39.370000000000005</v>
      </c>
      <c r="U734" s="85">
        <v>0</v>
      </c>
      <c r="V734" s="85">
        <v>39.369999999999997</v>
      </c>
      <c r="W734" s="85">
        <v>0</v>
      </c>
      <c r="X734" s="89">
        <v>39.369999999999997</v>
      </c>
      <c r="Y734" s="79">
        <v>0</v>
      </c>
      <c r="Z734" s="79">
        <v>4</v>
      </c>
      <c r="AA734" s="94">
        <v>0</v>
      </c>
      <c r="AB734" s="79">
        <v>4</v>
      </c>
      <c r="AC734" s="85">
        <v>28.843</v>
      </c>
      <c r="AD734" s="85">
        <v>4.8769999999999998</v>
      </c>
      <c r="AE734" s="85">
        <v>5.65</v>
      </c>
      <c r="AF734" s="85">
        <v>0</v>
      </c>
      <c r="AG734" s="85">
        <v>39.369999999999997</v>
      </c>
      <c r="AH734" s="85">
        <v>0</v>
      </c>
      <c r="AI734" s="85">
        <v>0</v>
      </c>
      <c r="AJ734" s="85">
        <v>0</v>
      </c>
      <c r="AK734" s="85">
        <v>0</v>
      </c>
      <c r="AL734" s="85">
        <v>0</v>
      </c>
      <c r="AM734" s="85">
        <v>0</v>
      </c>
      <c r="AN734" s="85">
        <v>0</v>
      </c>
      <c r="AO734" s="85">
        <v>0</v>
      </c>
      <c r="AP734" s="85">
        <v>0</v>
      </c>
      <c r="AQ734" s="85">
        <v>0</v>
      </c>
      <c r="AR734" s="85">
        <v>0</v>
      </c>
      <c r="AS734" s="85">
        <v>39.369999999999997</v>
      </c>
      <c r="AT734" s="85">
        <v>0</v>
      </c>
      <c r="AU734" s="85">
        <v>0</v>
      </c>
      <c r="AV734" s="85">
        <v>0</v>
      </c>
      <c r="AW734" s="85">
        <v>0</v>
      </c>
      <c r="AX734" s="85">
        <v>0</v>
      </c>
      <c r="AY734" s="85">
        <v>0</v>
      </c>
      <c r="AZ734" s="85">
        <v>0</v>
      </c>
      <c r="BA734" s="85">
        <v>0</v>
      </c>
      <c r="BB734" s="89">
        <v>0</v>
      </c>
      <c r="BC734" s="89">
        <v>39.369999999999997</v>
      </c>
      <c r="BD734" s="37">
        <v>0</v>
      </c>
      <c r="BE734" s="37">
        <v>0</v>
      </c>
      <c r="BF734" s="279">
        <v>14977</v>
      </c>
      <c r="BG734" s="37">
        <v>20619</v>
      </c>
      <c r="BH734" s="37">
        <v>13883</v>
      </c>
      <c r="BI734" s="37">
        <v>0</v>
      </c>
      <c r="BJ734" s="283">
        <v>49479</v>
      </c>
      <c r="BK734" s="161"/>
      <c r="BL734" s="294"/>
      <c r="BM734"/>
      <c r="BN734"/>
      <c r="BO734"/>
      <c r="BP734"/>
      <c r="BQ734"/>
      <c r="BR734"/>
      <c r="BS734"/>
      <c r="BT734"/>
      <c r="BU734"/>
      <c r="BV734"/>
      <c r="BW734"/>
      <c r="BX734"/>
      <c r="BY734"/>
      <c r="BZ734"/>
      <c r="CA734"/>
      <c r="CB734"/>
      <c r="CC734"/>
      <c r="CD734"/>
      <c r="CE734"/>
      <c r="CF734"/>
      <c r="CG734"/>
      <c r="CH734"/>
      <c r="CI734"/>
      <c r="CJ734"/>
    </row>
    <row r="735" spans="1:88" s="32" customFormat="1" ht="15" customHeight="1" x14ac:dyDescent="0.35">
      <c r="A735" s="473"/>
      <c r="B735" s="313">
        <v>77012</v>
      </c>
      <c r="C735" s="8" t="s">
        <v>757</v>
      </c>
      <c r="D735" s="18">
        <v>15</v>
      </c>
      <c r="E735" s="251">
        <v>756</v>
      </c>
      <c r="F735" s="82">
        <v>1.4221799143265113</v>
      </c>
      <c r="G735" s="79">
        <v>1075.1680152308425</v>
      </c>
      <c r="H735" s="90">
        <v>21.472000000000001</v>
      </c>
      <c r="I735" s="85">
        <v>20.515000000000001</v>
      </c>
      <c r="J735" s="85">
        <v>26.091999999999999</v>
      </c>
      <c r="K735" s="85">
        <v>21.238</v>
      </c>
      <c r="L735" s="85">
        <v>20.234999999999999</v>
      </c>
      <c r="M735" s="85">
        <v>30.404</v>
      </c>
      <c r="N735" s="85">
        <v>22.538</v>
      </c>
      <c r="O735" s="85">
        <v>28.207999999999998</v>
      </c>
      <c r="P735" s="85">
        <v>21.670999999999999</v>
      </c>
      <c r="Q735" s="85">
        <v>19.548999999999999</v>
      </c>
      <c r="R735" s="85">
        <v>18.915885131851901</v>
      </c>
      <c r="S735" s="89">
        <v>20.876999999999999</v>
      </c>
      <c r="T735" s="89">
        <v>271.71488513185193</v>
      </c>
      <c r="U735" s="85">
        <v>0</v>
      </c>
      <c r="V735" s="85">
        <v>271.71499999999997</v>
      </c>
      <c r="W735" s="85">
        <v>0</v>
      </c>
      <c r="X735" s="89">
        <v>271.71499999999997</v>
      </c>
      <c r="Y735" s="79">
        <v>0</v>
      </c>
      <c r="Z735" s="79">
        <v>1</v>
      </c>
      <c r="AA735" s="94">
        <v>0</v>
      </c>
      <c r="AB735" s="79">
        <v>1</v>
      </c>
      <c r="AC735" s="85">
        <v>177.48599999999999</v>
      </c>
      <c r="AD735" s="85">
        <v>12.798999999999978</v>
      </c>
      <c r="AE735" s="85">
        <v>21.265000000000001</v>
      </c>
      <c r="AF735" s="85">
        <v>60.164999999999999</v>
      </c>
      <c r="AG735" s="85">
        <v>271.71499999999997</v>
      </c>
      <c r="AH735" s="85">
        <v>0</v>
      </c>
      <c r="AI735" s="85">
        <v>0</v>
      </c>
      <c r="AJ735" s="85">
        <v>0</v>
      </c>
      <c r="AK735" s="85">
        <v>0</v>
      </c>
      <c r="AL735" s="85">
        <v>0</v>
      </c>
      <c r="AM735" s="85">
        <v>0</v>
      </c>
      <c r="AN735" s="85">
        <v>0</v>
      </c>
      <c r="AO735" s="85">
        <v>0</v>
      </c>
      <c r="AP735" s="85">
        <v>0</v>
      </c>
      <c r="AQ735" s="85">
        <v>0</v>
      </c>
      <c r="AR735" s="85">
        <v>0</v>
      </c>
      <c r="AS735" s="85">
        <v>0</v>
      </c>
      <c r="AT735" s="85">
        <v>0</v>
      </c>
      <c r="AU735" s="85">
        <v>0</v>
      </c>
      <c r="AV735" s="85">
        <v>0</v>
      </c>
      <c r="AW735" s="85">
        <v>0</v>
      </c>
      <c r="AX735" s="85">
        <v>0</v>
      </c>
      <c r="AY735" s="85">
        <v>271.71499999999997</v>
      </c>
      <c r="AZ735" s="85">
        <v>0</v>
      </c>
      <c r="BA735" s="85">
        <v>0</v>
      </c>
      <c r="BB735" s="89">
        <v>0</v>
      </c>
      <c r="BC735" s="89">
        <v>271.71499999999997</v>
      </c>
      <c r="BD735" s="37">
        <v>266579</v>
      </c>
      <c r="BE735" s="37">
        <v>315606</v>
      </c>
      <c r="BF735" s="279">
        <v>13155</v>
      </c>
      <c r="BG735" s="37">
        <v>37779</v>
      </c>
      <c r="BH735" s="37">
        <v>17757</v>
      </c>
      <c r="BI735" s="37">
        <v>4690</v>
      </c>
      <c r="BJ735" s="283">
        <v>73381</v>
      </c>
      <c r="BK735" s="161" t="s">
        <v>2940</v>
      </c>
      <c r="BL735" s="294"/>
      <c r="BM735"/>
      <c r="BN735"/>
      <c r="BO735"/>
      <c r="BP735"/>
      <c r="BQ735"/>
      <c r="BR735"/>
      <c r="BS735"/>
      <c r="BT735"/>
      <c r="BU735"/>
      <c r="BV735"/>
      <c r="BW735"/>
      <c r="BX735"/>
      <c r="BY735"/>
      <c r="BZ735"/>
      <c r="CA735"/>
      <c r="CB735"/>
      <c r="CC735"/>
      <c r="CD735"/>
      <c r="CE735"/>
      <c r="CF735"/>
      <c r="CG735"/>
      <c r="CH735"/>
      <c r="CI735"/>
      <c r="CJ735"/>
    </row>
    <row r="736" spans="1:88" s="32" customFormat="1" ht="15" customHeight="1" x14ac:dyDescent="0.35">
      <c r="A736" s="473"/>
      <c r="B736" s="313">
        <v>7005</v>
      </c>
      <c r="C736" s="8" t="s">
        <v>1068</v>
      </c>
      <c r="D736" s="18">
        <v>1</v>
      </c>
      <c r="E736" s="251"/>
      <c r="F736" s="82"/>
      <c r="G736" s="79"/>
      <c r="H736" s="90"/>
      <c r="I736" s="85"/>
      <c r="J736" s="85"/>
      <c r="K736" s="85"/>
      <c r="L736" s="85"/>
      <c r="M736" s="85"/>
      <c r="N736" s="85"/>
      <c r="O736" s="85"/>
      <c r="P736" s="85"/>
      <c r="Q736" s="85"/>
      <c r="R736" s="85"/>
      <c r="S736" s="89"/>
      <c r="T736" s="89" t="s">
        <v>1124</v>
      </c>
      <c r="U736" s="85"/>
      <c r="V736" s="85"/>
      <c r="W736" s="85"/>
      <c r="X736" s="89" t="s">
        <v>1124</v>
      </c>
      <c r="Y736" s="79"/>
      <c r="Z736" s="79"/>
      <c r="AA736" s="94"/>
      <c r="AB736" s="79" t="s">
        <v>1124</v>
      </c>
      <c r="AC736" s="85"/>
      <c r="AD736" s="85"/>
      <c r="AE736" s="85"/>
      <c r="AF736" s="85"/>
      <c r="AG736" s="85" t="s">
        <v>1124</v>
      </c>
      <c r="AH736" s="85"/>
      <c r="AI736" s="85"/>
      <c r="AJ736" s="85"/>
      <c r="AK736" s="85"/>
      <c r="AL736" s="85"/>
      <c r="AM736" s="85"/>
      <c r="AN736" s="85"/>
      <c r="AO736" s="85"/>
      <c r="AP736" s="85"/>
      <c r="AQ736" s="85"/>
      <c r="AR736" s="85" t="s">
        <v>1124</v>
      </c>
      <c r="AS736" s="85"/>
      <c r="AT736" s="85"/>
      <c r="AU736" s="85"/>
      <c r="AV736" s="85"/>
      <c r="AW736" s="85"/>
      <c r="AX736" s="85"/>
      <c r="AY736" s="85"/>
      <c r="AZ736" s="85"/>
      <c r="BA736" s="85"/>
      <c r="BB736" s="89"/>
      <c r="BC736" s="89" t="s">
        <v>1124</v>
      </c>
      <c r="BD736" s="37"/>
      <c r="BE736" s="37"/>
      <c r="BF736" s="279"/>
      <c r="BG736" s="37"/>
      <c r="BH736" s="37"/>
      <c r="BI736" s="37"/>
      <c r="BJ736" s="283"/>
      <c r="BK736" s="161"/>
      <c r="BL736" s="294"/>
      <c r="BM736"/>
      <c r="BN736"/>
      <c r="BO736"/>
      <c r="BP736"/>
      <c r="BQ736"/>
      <c r="BR736"/>
      <c r="BS736"/>
      <c r="BT736"/>
      <c r="BU736"/>
      <c r="BV736"/>
      <c r="BW736"/>
      <c r="BX736"/>
      <c r="BY736"/>
      <c r="BZ736"/>
      <c r="CA736"/>
      <c r="CB736"/>
      <c r="CC736"/>
      <c r="CD736"/>
      <c r="CE736"/>
      <c r="CF736"/>
      <c r="CG736"/>
      <c r="CH736"/>
      <c r="CI736"/>
      <c r="CJ736"/>
    </row>
    <row r="737" spans="1:88" s="32" customFormat="1" ht="15" customHeight="1" x14ac:dyDescent="0.35">
      <c r="A737" s="473"/>
      <c r="B737" s="313">
        <v>26030</v>
      </c>
      <c r="C737" s="8" t="s">
        <v>171</v>
      </c>
      <c r="D737" s="18">
        <v>12</v>
      </c>
      <c r="E737" s="251">
        <v>4472</v>
      </c>
      <c r="F737" s="82">
        <v>2.4500000000000002</v>
      </c>
      <c r="G737" s="79">
        <v>10956.400000000001</v>
      </c>
      <c r="H737" s="90">
        <v>129.1</v>
      </c>
      <c r="I737" s="85">
        <v>118.068</v>
      </c>
      <c r="J737" s="85">
        <v>129.529</v>
      </c>
      <c r="K737" s="85">
        <v>147.285</v>
      </c>
      <c r="L737" s="85">
        <v>139.77600000000001</v>
      </c>
      <c r="M737" s="85">
        <v>147.559</v>
      </c>
      <c r="N737" s="85">
        <v>177.64400000000001</v>
      </c>
      <c r="O737" s="85">
        <v>154.995</v>
      </c>
      <c r="P737" s="85">
        <v>162.215</v>
      </c>
      <c r="Q737" s="85">
        <v>140.91200000000001</v>
      </c>
      <c r="R737" s="85">
        <v>136.09399999999999</v>
      </c>
      <c r="S737" s="89">
        <v>130.99299999999999</v>
      </c>
      <c r="T737" s="89">
        <v>1714.17</v>
      </c>
      <c r="U737" s="85">
        <v>1714.17</v>
      </c>
      <c r="V737" s="85">
        <v>0</v>
      </c>
      <c r="W737" s="85">
        <v>0</v>
      </c>
      <c r="X737" s="89">
        <v>1714.17</v>
      </c>
      <c r="Y737" s="79">
        <v>1</v>
      </c>
      <c r="Z737" s="79">
        <v>0</v>
      </c>
      <c r="AA737" s="94">
        <v>0</v>
      </c>
      <c r="AB737" s="79">
        <v>1</v>
      </c>
      <c r="AC737" s="85">
        <v>901.24</v>
      </c>
      <c r="AD737" s="85">
        <v>376.33199999999999</v>
      </c>
      <c r="AE737" s="85">
        <v>436.59800000000001</v>
      </c>
      <c r="AF737" s="85">
        <v>0</v>
      </c>
      <c r="AG737" s="85">
        <v>1714.17</v>
      </c>
      <c r="AH737" s="85">
        <v>0</v>
      </c>
      <c r="AI737" s="85">
        <v>0</v>
      </c>
      <c r="AJ737" s="85">
        <v>0</v>
      </c>
      <c r="AK737" s="85">
        <v>1714.17</v>
      </c>
      <c r="AL737" s="85">
        <v>0</v>
      </c>
      <c r="AM737" s="85">
        <v>0</v>
      </c>
      <c r="AN737" s="85">
        <v>0</v>
      </c>
      <c r="AO737" s="85">
        <v>0</v>
      </c>
      <c r="AP737" s="85">
        <v>0</v>
      </c>
      <c r="AQ737" s="85">
        <v>0</v>
      </c>
      <c r="AR737" s="85">
        <v>1714.17</v>
      </c>
      <c r="AS737" s="85">
        <v>0</v>
      </c>
      <c r="AT737" s="85">
        <v>0</v>
      </c>
      <c r="AU737" s="85">
        <v>0</v>
      </c>
      <c r="AV737" s="85">
        <v>0</v>
      </c>
      <c r="AW737" s="85">
        <v>0</v>
      </c>
      <c r="AX737" s="85">
        <v>0</v>
      </c>
      <c r="AY737" s="85">
        <v>0</v>
      </c>
      <c r="AZ737" s="85">
        <v>0</v>
      </c>
      <c r="BA737" s="85">
        <v>0</v>
      </c>
      <c r="BB737" s="89">
        <v>0</v>
      </c>
      <c r="BC737" s="89">
        <v>0</v>
      </c>
      <c r="BD737" s="37">
        <v>0</v>
      </c>
      <c r="BE737" s="37">
        <v>0</v>
      </c>
      <c r="BF737" s="279">
        <v>486660</v>
      </c>
      <c r="BG737" s="37">
        <v>244000</v>
      </c>
      <c r="BH737" s="37">
        <v>286905</v>
      </c>
      <c r="BI737" s="37">
        <v>0</v>
      </c>
      <c r="BJ737" s="283">
        <v>1017565</v>
      </c>
      <c r="BK737" s="161"/>
      <c r="BL737" s="294"/>
      <c r="BM737"/>
      <c r="BN737"/>
      <c r="BO737"/>
      <c r="BP737"/>
      <c r="BQ737"/>
      <c r="BR737"/>
      <c r="BS737"/>
      <c r="BT737"/>
      <c r="BU737"/>
      <c r="BV737"/>
      <c r="BW737"/>
      <c r="BX737"/>
      <c r="BY737"/>
      <c r="BZ737"/>
      <c r="CA737"/>
      <c r="CB737"/>
      <c r="CC737"/>
      <c r="CD737"/>
      <c r="CE737"/>
      <c r="CF737"/>
      <c r="CG737"/>
      <c r="CH737"/>
      <c r="CI737"/>
      <c r="CJ737"/>
    </row>
    <row r="738" spans="1:88" s="32" customFormat="1" ht="15" customHeight="1" x14ac:dyDescent="0.35">
      <c r="A738" s="473"/>
      <c r="B738" s="313">
        <v>38015</v>
      </c>
      <c r="C738" s="8" t="s">
        <v>327</v>
      </c>
      <c r="D738" s="18">
        <v>17</v>
      </c>
      <c r="E738" s="251"/>
      <c r="F738" s="82"/>
      <c r="G738" s="79"/>
      <c r="H738" s="90"/>
      <c r="I738" s="85"/>
      <c r="J738" s="85"/>
      <c r="K738" s="85"/>
      <c r="L738" s="85"/>
      <c r="M738" s="85"/>
      <c r="N738" s="85"/>
      <c r="O738" s="85"/>
      <c r="P738" s="85"/>
      <c r="Q738" s="85"/>
      <c r="R738" s="85"/>
      <c r="S738" s="89"/>
      <c r="T738" s="89" t="s">
        <v>1124</v>
      </c>
      <c r="U738" s="85"/>
      <c r="V738" s="85"/>
      <c r="W738" s="85"/>
      <c r="X738" s="89" t="s">
        <v>1124</v>
      </c>
      <c r="Y738" s="79"/>
      <c r="Z738" s="79"/>
      <c r="AA738" s="94"/>
      <c r="AB738" s="79" t="s">
        <v>1124</v>
      </c>
      <c r="AC738" s="85"/>
      <c r="AD738" s="85"/>
      <c r="AE738" s="85"/>
      <c r="AF738" s="85"/>
      <c r="AG738" s="85" t="s">
        <v>1124</v>
      </c>
      <c r="AH738" s="85"/>
      <c r="AI738" s="85"/>
      <c r="AJ738" s="85"/>
      <c r="AK738" s="85"/>
      <c r="AL738" s="85"/>
      <c r="AM738" s="85"/>
      <c r="AN738" s="85"/>
      <c r="AO738" s="85"/>
      <c r="AP738" s="85"/>
      <c r="AQ738" s="85"/>
      <c r="AR738" s="85" t="s">
        <v>1124</v>
      </c>
      <c r="AS738" s="85"/>
      <c r="AT738" s="85"/>
      <c r="AU738" s="85"/>
      <c r="AV738" s="85"/>
      <c r="AW738" s="85"/>
      <c r="AX738" s="85"/>
      <c r="AY738" s="85"/>
      <c r="AZ738" s="85"/>
      <c r="BA738" s="85"/>
      <c r="BB738" s="89"/>
      <c r="BC738" s="89" t="s">
        <v>1124</v>
      </c>
      <c r="BD738" s="37"/>
      <c r="BE738" s="37"/>
      <c r="BF738" s="279"/>
      <c r="BG738" s="37"/>
      <c r="BH738" s="37"/>
      <c r="BI738" s="37"/>
      <c r="BJ738" s="283"/>
      <c r="BK738" s="161"/>
      <c r="BL738" s="294"/>
      <c r="BM738"/>
      <c r="BN738"/>
      <c r="BO738"/>
      <c r="BP738"/>
      <c r="BQ738"/>
      <c r="BR738"/>
      <c r="BS738"/>
      <c r="BT738"/>
      <c r="BU738"/>
      <c r="BV738"/>
      <c r="BW738"/>
      <c r="BX738"/>
      <c r="BY738"/>
      <c r="BZ738"/>
      <c r="CA738"/>
      <c r="CB738"/>
      <c r="CC738"/>
      <c r="CD738"/>
      <c r="CE738"/>
      <c r="CF738"/>
      <c r="CG738"/>
      <c r="CH738"/>
      <c r="CI738"/>
      <c r="CJ738"/>
    </row>
    <row r="739" spans="1:88" s="32" customFormat="1" ht="15" customHeight="1" x14ac:dyDescent="0.35">
      <c r="A739" s="473"/>
      <c r="B739" s="313">
        <v>54030</v>
      </c>
      <c r="C739" s="8" t="s">
        <v>545</v>
      </c>
      <c r="D739" s="18">
        <v>16</v>
      </c>
      <c r="E739" s="251"/>
      <c r="F739" s="82"/>
      <c r="G739" s="79"/>
      <c r="H739" s="90"/>
      <c r="I739" s="85"/>
      <c r="J739" s="85"/>
      <c r="K739" s="85"/>
      <c r="L739" s="85"/>
      <c r="M739" s="85"/>
      <c r="N739" s="85"/>
      <c r="O739" s="85"/>
      <c r="P739" s="85"/>
      <c r="Q739" s="85"/>
      <c r="R739" s="85"/>
      <c r="S739" s="89"/>
      <c r="T739" s="89" t="s">
        <v>1124</v>
      </c>
      <c r="U739" s="85"/>
      <c r="V739" s="85"/>
      <c r="W739" s="85"/>
      <c r="X739" s="89" t="s">
        <v>1124</v>
      </c>
      <c r="Y739" s="79"/>
      <c r="Z739" s="79"/>
      <c r="AA739" s="94"/>
      <c r="AB739" s="79" t="s">
        <v>1124</v>
      </c>
      <c r="AC739" s="85"/>
      <c r="AD739" s="85"/>
      <c r="AE739" s="85"/>
      <c r="AF739" s="85"/>
      <c r="AG739" s="85" t="s">
        <v>1124</v>
      </c>
      <c r="AH739" s="85"/>
      <c r="AI739" s="85"/>
      <c r="AJ739" s="85"/>
      <c r="AK739" s="85"/>
      <c r="AL739" s="85"/>
      <c r="AM739" s="85"/>
      <c r="AN739" s="85"/>
      <c r="AO739" s="85"/>
      <c r="AP739" s="85"/>
      <c r="AQ739" s="85"/>
      <c r="AR739" s="85" t="s">
        <v>1124</v>
      </c>
      <c r="AS739" s="85"/>
      <c r="AT739" s="85"/>
      <c r="AU739" s="85"/>
      <c r="AV739" s="85"/>
      <c r="AW739" s="85"/>
      <c r="AX739" s="85"/>
      <c r="AY739" s="85"/>
      <c r="AZ739" s="85"/>
      <c r="BA739" s="85"/>
      <c r="BB739" s="89"/>
      <c r="BC739" s="89" t="s">
        <v>1124</v>
      </c>
      <c r="BD739" s="37"/>
      <c r="BE739" s="37"/>
      <c r="BF739" s="279"/>
      <c r="BG739" s="37"/>
      <c r="BH739" s="37"/>
      <c r="BI739" s="37"/>
      <c r="BJ739" s="283"/>
      <c r="BK739" s="161"/>
      <c r="BL739" s="294"/>
      <c r="BM739"/>
      <c r="BN739"/>
      <c r="BO739"/>
      <c r="BP739"/>
      <c r="BQ739"/>
      <c r="BR739"/>
      <c r="BS739"/>
      <c r="BT739"/>
      <c r="BU739"/>
      <c r="BV739"/>
      <c r="BW739"/>
      <c r="BX739"/>
      <c r="BY739"/>
      <c r="BZ739"/>
      <c r="CA739"/>
      <c r="CB739"/>
      <c r="CC739"/>
      <c r="CD739"/>
      <c r="CE739"/>
      <c r="CF739"/>
      <c r="CG739"/>
      <c r="CH739"/>
      <c r="CI739"/>
      <c r="CJ739"/>
    </row>
    <row r="740" spans="1:88" s="32" customFormat="1" ht="15" customHeight="1" x14ac:dyDescent="0.35">
      <c r="A740" s="473"/>
      <c r="B740" s="313">
        <v>63005</v>
      </c>
      <c r="C740" s="8" t="s">
        <v>634</v>
      </c>
      <c r="D740" s="18">
        <v>14</v>
      </c>
      <c r="E740" s="251"/>
      <c r="F740" s="82"/>
      <c r="G740" s="79"/>
      <c r="H740" s="90"/>
      <c r="I740" s="85"/>
      <c r="J740" s="85"/>
      <c r="K740" s="85"/>
      <c r="L740" s="85"/>
      <c r="M740" s="85"/>
      <c r="N740" s="85"/>
      <c r="O740" s="85"/>
      <c r="P740" s="85"/>
      <c r="Q740" s="85"/>
      <c r="R740" s="85"/>
      <c r="S740" s="89"/>
      <c r="T740" s="89" t="s">
        <v>1124</v>
      </c>
      <c r="U740" s="85"/>
      <c r="V740" s="85"/>
      <c r="W740" s="85"/>
      <c r="X740" s="89" t="s">
        <v>1124</v>
      </c>
      <c r="Y740" s="79"/>
      <c r="Z740" s="79"/>
      <c r="AA740" s="94"/>
      <c r="AB740" s="79" t="s">
        <v>1124</v>
      </c>
      <c r="AC740" s="85"/>
      <c r="AD740" s="85"/>
      <c r="AE740" s="85"/>
      <c r="AF740" s="85"/>
      <c r="AG740" s="85" t="s">
        <v>1124</v>
      </c>
      <c r="AH740" s="85"/>
      <c r="AI740" s="85"/>
      <c r="AJ740" s="85"/>
      <c r="AK740" s="85"/>
      <c r="AL740" s="85"/>
      <c r="AM740" s="85"/>
      <c r="AN740" s="85"/>
      <c r="AO740" s="85"/>
      <c r="AP740" s="85"/>
      <c r="AQ740" s="85"/>
      <c r="AR740" s="85" t="s">
        <v>1124</v>
      </c>
      <c r="AS740" s="85"/>
      <c r="AT740" s="85"/>
      <c r="AU740" s="85"/>
      <c r="AV740" s="85"/>
      <c r="AW740" s="85"/>
      <c r="AX740" s="85"/>
      <c r="AY740" s="85"/>
      <c r="AZ740" s="85"/>
      <c r="BA740" s="85"/>
      <c r="BB740" s="89"/>
      <c r="BC740" s="89" t="s">
        <v>1124</v>
      </c>
      <c r="BD740" s="37"/>
      <c r="BE740" s="37"/>
      <c r="BF740" s="279"/>
      <c r="BG740" s="37"/>
      <c r="BH740" s="37"/>
      <c r="BI740" s="37"/>
      <c r="BJ740" s="283"/>
      <c r="BK740" s="161"/>
      <c r="BL740" s="294"/>
      <c r="BM740"/>
      <c r="BN740"/>
      <c r="BO740"/>
      <c r="BP740"/>
      <c r="BQ740"/>
      <c r="BR740"/>
      <c r="BS740"/>
      <c r="BT740"/>
      <c r="BU740"/>
      <c r="BV740"/>
      <c r="BW740"/>
      <c r="BX740"/>
      <c r="BY740"/>
      <c r="BZ740"/>
      <c r="CA740"/>
      <c r="CB740"/>
      <c r="CC740"/>
      <c r="CD740"/>
      <c r="CE740"/>
      <c r="CF740"/>
      <c r="CG740"/>
      <c r="CH740"/>
      <c r="CI740"/>
      <c r="CJ740"/>
    </row>
    <row r="741" spans="1:88" s="32" customFormat="1" ht="15" customHeight="1" x14ac:dyDescent="0.35">
      <c r="A741" s="473"/>
      <c r="B741" s="313">
        <v>71110</v>
      </c>
      <c r="C741" s="8" t="s">
        <v>722</v>
      </c>
      <c r="D741" s="18">
        <v>16</v>
      </c>
      <c r="E741" s="251"/>
      <c r="F741" s="82"/>
      <c r="G741" s="79"/>
      <c r="H741" s="90"/>
      <c r="I741" s="85"/>
      <c r="J741" s="85"/>
      <c r="K741" s="85"/>
      <c r="L741" s="85"/>
      <c r="M741" s="85"/>
      <c r="N741" s="85"/>
      <c r="O741" s="85"/>
      <c r="P741" s="85"/>
      <c r="Q741" s="85"/>
      <c r="R741" s="85"/>
      <c r="S741" s="89"/>
      <c r="T741" s="89" t="s">
        <v>1124</v>
      </c>
      <c r="U741" s="85"/>
      <c r="V741" s="85"/>
      <c r="W741" s="85"/>
      <c r="X741" s="89" t="s">
        <v>1124</v>
      </c>
      <c r="Y741" s="79"/>
      <c r="Z741" s="79"/>
      <c r="AA741" s="94"/>
      <c r="AB741" s="79" t="s">
        <v>1124</v>
      </c>
      <c r="AC741" s="85"/>
      <c r="AD741" s="85"/>
      <c r="AE741" s="85"/>
      <c r="AF741" s="85"/>
      <c r="AG741" s="85" t="s">
        <v>1124</v>
      </c>
      <c r="AH741" s="85"/>
      <c r="AI741" s="85"/>
      <c r="AJ741" s="85"/>
      <c r="AK741" s="85"/>
      <c r="AL741" s="85"/>
      <c r="AM741" s="85"/>
      <c r="AN741" s="85"/>
      <c r="AO741" s="85"/>
      <c r="AP741" s="85"/>
      <c r="AQ741" s="85"/>
      <c r="AR741" s="85" t="s">
        <v>1124</v>
      </c>
      <c r="AS741" s="85"/>
      <c r="AT741" s="85"/>
      <c r="AU741" s="85"/>
      <c r="AV741" s="85"/>
      <c r="AW741" s="85"/>
      <c r="AX741" s="85"/>
      <c r="AY741" s="85"/>
      <c r="AZ741" s="85"/>
      <c r="BA741" s="85"/>
      <c r="BB741" s="89"/>
      <c r="BC741" s="89" t="s">
        <v>1124</v>
      </c>
      <c r="BD741" s="37"/>
      <c r="BE741" s="37"/>
      <c r="BF741" s="279"/>
      <c r="BG741" s="37"/>
      <c r="BH741" s="37"/>
      <c r="BI741" s="37"/>
      <c r="BJ741" s="283"/>
      <c r="BK741" s="161"/>
      <c r="BL741" s="294"/>
      <c r="BM741"/>
      <c r="BN741"/>
      <c r="BO741"/>
      <c r="BP741"/>
      <c r="BQ741"/>
      <c r="BR741"/>
      <c r="BS741"/>
      <c r="BT741"/>
      <c r="BU741"/>
      <c r="BV741"/>
      <c r="BW741"/>
      <c r="BX741"/>
      <c r="BY741"/>
      <c r="BZ741"/>
      <c r="CA741"/>
      <c r="CB741"/>
      <c r="CC741"/>
      <c r="CD741"/>
      <c r="CE741"/>
      <c r="CF741"/>
      <c r="CG741"/>
      <c r="CH741"/>
      <c r="CI741"/>
      <c r="CJ741"/>
    </row>
    <row r="742" spans="1:88" s="32" customFormat="1" ht="15" customHeight="1" x14ac:dyDescent="0.35">
      <c r="A742" s="473"/>
      <c r="B742" s="313">
        <v>72015</v>
      </c>
      <c r="C742" s="8" t="s">
        <v>729</v>
      </c>
      <c r="D742" s="18">
        <v>15</v>
      </c>
      <c r="E742" s="251">
        <v>7468</v>
      </c>
      <c r="F742" s="82">
        <v>2.7252871933059142</v>
      </c>
      <c r="G742" s="79">
        <v>20352.444759608567</v>
      </c>
      <c r="H742" s="90">
        <v>180.2772143051163</v>
      </c>
      <c r="I742" s="85">
        <v>128.72200000000001</v>
      </c>
      <c r="J742" s="85">
        <v>112.9</v>
      </c>
      <c r="K742" s="85">
        <v>155.55000000000001</v>
      </c>
      <c r="L742" s="85">
        <v>175.423</v>
      </c>
      <c r="M742" s="85">
        <v>188.071</v>
      </c>
      <c r="N742" s="85">
        <v>185.83799999999999</v>
      </c>
      <c r="O742" s="85">
        <v>152.946</v>
      </c>
      <c r="P742" s="85">
        <v>127.97</v>
      </c>
      <c r="Q742" s="85">
        <v>143.749</v>
      </c>
      <c r="R742" s="85">
        <v>140.154</v>
      </c>
      <c r="S742" s="89">
        <v>137.989</v>
      </c>
      <c r="T742" s="89">
        <v>1829.5892143051165</v>
      </c>
      <c r="U742" s="85">
        <v>0</v>
      </c>
      <c r="V742" s="85">
        <v>1829.5892143051165</v>
      </c>
      <c r="W742" s="85">
        <v>0</v>
      </c>
      <c r="X742" s="89">
        <v>1829.5892143051165</v>
      </c>
      <c r="Y742" s="79">
        <v>0</v>
      </c>
      <c r="Z742" s="79">
        <v>1</v>
      </c>
      <c r="AA742" s="94">
        <v>0</v>
      </c>
      <c r="AB742" s="79">
        <v>1</v>
      </c>
      <c r="AC742" s="85">
        <v>1257.1952762561905</v>
      </c>
      <c r="AD742" s="85">
        <v>100.22593804892597</v>
      </c>
      <c r="AE742" s="85">
        <v>472.16800000000001</v>
      </c>
      <c r="AF742" s="85">
        <v>0</v>
      </c>
      <c r="AG742" s="85">
        <v>1829.5892143051165</v>
      </c>
      <c r="AH742" s="85">
        <v>0</v>
      </c>
      <c r="AI742" s="85">
        <v>0</v>
      </c>
      <c r="AJ742" s="85">
        <v>0</v>
      </c>
      <c r="AK742" s="85">
        <v>0</v>
      </c>
      <c r="AL742" s="85">
        <v>0</v>
      </c>
      <c r="AM742" s="85">
        <v>0</v>
      </c>
      <c r="AN742" s="85">
        <v>0</v>
      </c>
      <c r="AO742" s="85">
        <v>0</v>
      </c>
      <c r="AP742" s="85">
        <v>0</v>
      </c>
      <c r="AQ742" s="85">
        <v>0</v>
      </c>
      <c r="AR742" s="85">
        <v>0</v>
      </c>
      <c r="AS742" s="85">
        <v>0</v>
      </c>
      <c r="AT742" s="85">
        <v>0</v>
      </c>
      <c r="AU742" s="85">
        <v>0</v>
      </c>
      <c r="AV742" s="85">
        <v>0</v>
      </c>
      <c r="AW742" s="85">
        <v>1829.5892143051165</v>
      </c>
      <c r="AX742" s="85">
        <v>0</v>
      </c>
      <c r="AY742" s="85">
        <v>0</v>
      </c>
      <c r="AZ742" s="85">
        <v>0</v>
      </c>
      <c r="BA742" s="85">
        <v>0</v>
      </c>
      <c r="BB742" s="89">
        <v>0</v>
      </c>
      <c r="BC742" s="89">
        <v>1829.5892143051165</v>
      </c>
      <c r="BD742" s="37">
        <v>21896</v>
      </c>
      <c r="BE742" s="37">
        <v>0</v>
      </c>
      <c r="BF742" s="279">
        <v>248453</v>
      </c>
      <c r="BG742" s="37">
        <v>301993</v>
      </c>
      <c r="BH742" s="37">
        <v>341034</v>
      </c>
      <c r="BI742" s="37">
        <v>366261</v>
      </c>
      <c r="BJ742" s="283">
        <v>1257741</v>
      </c>
      <c r="BK742" s="161"/>
      <c r="BL742" s="294"/>
      <c r="BM742"/>
      <c r="BN742"/>
      <c r="BO742"/>
      <c r="BP742"/>
      <c r="BQ742"/>
      <c r="BR742"/>
      <c r="BS742"/>
      <c r="BT742"/>
      <c r="BU742"/>
      <c r="BV742"/>
      <c r="BW742"/>
      <c r="BX742"/>
      <c r="BY742"/>
      <c r="BZ742"/>
      <c r="CA742"/>
      <c r="CB742"/>
      <c r="CC742"/>
      <c r="CD742"/>
      <c r="CE742"/>
      <c r="CF742"/>
      <c r="CG742"/>
      <c r="CH742"/>
      <c r="CI742"/>
      <c r="CJ742"/>
    </row>
    <row r="743" spans="1:88" s="32" customFormat="1" ht="15" customHeight="1" x14ac:dyDescent="0.35">
      <c r="A743" s="473"/>
      <c r="B743" s="313">
        <v>70012</v>
      </c>
      <c r="C743" s="8" t="s">
        <v>698</v>
      </c>
      <c r="D743" s="18">
        <v>16</v>
      </c>
      <c r="E743" s="251"/>
      <c r="F743" s="82"/>
      <c r="G743" s="79"/>
      <c r="H743" s="90"/>
      <c r="I743" s="85"/>
      <c r="J743" s="85"/>
      <c r="K743" s="85"/>
      <c r="L743" s="85"/>
      <c r="M743" s="85"/>
      <c r="N743" s="85"/>
      <c r="O743" s="85"/>
      <c r="P743" s="85"/>
      <c r="Q743" s="85"/>
      <c r="R743" s="85"/>
      <c r="S743" s="89"/>
      <c r="T743" s="89" t="s">
        <v>1124</v>
      </c>
      <c r="U743" s="85"/>
      <c r="V743" s="85"/>
      <c r="W743" s="85"/>
      <c r="X743" s="89" t="s">
        <v>1124</v>
      </c>
      <c r="Y743" s="79"/>
      <c r="Z743" s="79"/>
      <c r="AA743" s="94"/>
      <c r="AB743" s="79" t="s">
        <v>1124</v>
      </c>
      <c r="AC743" s="85"/>
      <c r="AD743" s="85"/>
      <c r="AE743" s="85"/>
      <c r="AF743" s="85"/>
      <c r="AG743" s="85" t="s">
        <v>1124</v>
      </c>
      <c r="AH743" s="85"/>
      <c r="AI743" s="85"/>
      <c r="AJ743" s="85"/>
      <c r="AK743" s="85"/>
      <c r="AL743" s="85"/>
      <c r="AM743" s="85"/>
      <c r="AN743" s="85"/>
      <c r="AO743" s="85"/>
      <c r="AP743" s="85"/>
      <c r="AQ743" s="85"/>
      <c r="AR743" s="85" t="s">
        <v>1124</v>
      </c>
      <c r="AS743" s="85"/>
      <c r="AT743" s="85"/>
      <c r="AU743" s="85"/>
      <c r="AV743" s="85"/>
      <c r="AW743" s="85"/>
      <c r="AX743" s="85"/>
      <c r="AY743" s="85"/>
      <c r="AZ743" s="85"/>
      <c r="BA743" s="85"/>
      <c r="BB743" s="89"/>
      <c r="BC743" s="89" t="s">
        <v>1124</v>
      </c>
      <c r="BD743" s="37"/>
      <c r="BE743" s="37"/>
      <c r="BF743" s="279"/>
      <c r="BG743" s="37"/>
      <c r="BH743" s="37"/>
      <c r="BI743" s="37"/>
      <c r="BJ743" s="283"/>
      <c r="BK743" s="161"/>
      <c r="BL743" s="294"/>
      <c r="BM743"/>
      <c r="BN743"/>
      <c r="BO743"/>
      <c r="BP743"/>
      <c r="BQ743"/>
      <c r="BR743"/>
      <c r="BS743"/>
      <c r="BT743"/>
      <c r="BU743"/>
      <c r="BV743"/>
      <c r="BW743"/>
      <c r="BX743"/>
      <c r="BY743"/>
      <c r="BZ743"/>
      <c r="CA743"/>
      <c r="CB743"/>
      <c r="CC743"/>
      <c r="CD743"/>
      <c r="CE743"/>
      <c r="CF743"/>
      <c r="CG743"/>
      <c r="CH743"/>
      <c r="CI743"/>
      <c r="CJ743"/>
    </row>
    <row r="744" spans="1:88" s="32" customFormat="1" ht="15" customHeight="1" x14ac:dyDescent="0.35">
      <c r="A744" s="473"/>
      <c r="B744" s="313">
        <v>61050</v>
      </c>
      <c r="C744" s="8" t="s">
        <v>618</v>
      </c>
      <c r="D744" s="18">
        <v>14</v>
      </c>
      <c r="E744" s="251"/>
      <c r="F744" s="82"/>
      <c r="G744" s="79"/>
      <c r="H744" s="90"/>
      <c r="I744" s="85"/>
      <c r="J744" s="85"/>
      <c r="K744" s="85"/>
      <c r="L744" s="85"/>
      <c r="M744" s="85"/>
      <c r="N744" s="85"/>
      <c r="O744" s="85"/>
      <c r="P744" s="85"/>
      <c r="Q744" s="85"/>
      <c r="R744" s="85"/>
      <c r="S744" s="89"/>
      <c r="T744" s="89" t="s">
        <v>1124</v>
      </c>
      <c r="U744" s="85"/>
      <c r="V744" s="85"/>
      <c r="W744" s="85"/>
      <c r="X744" s="89" t="s">
        <v>1124</v>
      </c>
      <c r="Y744" s="79"/>
      <c r="Z744" s="79"/>
      <c r="AA744" s="94"/>
      <c r="AB744" s="79" t="s">
        <v>1124</v>
      </c>
      <c r="AC744" s="85"/>
      <c r="AD744" s="85"/>
      <c r="AE744" s="85"/>
      <c r="AF744" s="85"/>
      <c r="AG744" s="85" t="s">
        <v>1124</v>
      </c>
      <c r="AH744" s="85"/>
      <c r="AI744" s="85"/>
      <c r="AJ744" s="85"/>
      <c r="AK744" s="85"/>
      <c r="AL744" s="85"/>
      <c r="AM744" s="85"/>
      <c r="AN744" s="85"/>
      <c r="AO744" s="85"/>
      <c r="AP744" s="85"/>
      <c r="AQ744" s="85"/>
      <c r="AR744" s="85" t="s">
        <v>1124</v>
      </c>
      <c r="AS744" s="85"/>
      <c r="AT744" s="85"/>
      <c r="AU744" s="85"/>
      <c r="AV744" s="85"/>
      <c r="AW744" s="85"/>
      <c r="AX744" s="85"/>
      <c r="AY744" s="85"/>
      <c r="AZ744" s="85"/>
      <c r="BA744" s="85"/>
      <c r="BB744" s="89"/>
      <c r="BC744" s="89" t="s">
        <v>1124</v>
      </c>
      <c r="BD744" s="37"/>
      <c r="BE744" s="37"/>
      <c r="BF744" s="279"/>
      <c r="BG744" s="37"/>
      <c r="BH744" s="37"/>
      <c r="BI744" s="37"/>
      <c r="BJ744" s="283"/>
      <c r="BK744" s="161"/>
      <c r="BL744" s="294"/>
      <c r="BM744"/>
      <c r="BN744"/>
      <c r="BO744"/>
      <c r="BP744"/>
      <c r="BQ744"/>
      <c r="BR744"/>
      <c r="BS744"/>
      <c r="BT744"/>
      <c r="BU744"/>
      <c r="BV744"/>
      <c r="BW744"/>
      <c r="BX744"/>
      <c r="BY744"/>
      <c r="BZ744"/>
      <c r="CA744"/>
      <c r="CB744"/>
      <c r="CC744"/>
      <c r="CD744"/>
      <c r="CE744"/>
      <c r="CF744"/>
      <c r="CG744"/>
      <c r="CH744"/>
      <c r="CI744"/>
      <c r="CJ744"/>
    </row>
    <row r="745" spans="1:88" s="32" customFormat="1" ht="15" customHeight="1" x14ac:dyDescent="0.35">
      <c r="A745" s="473"/>
      <c r="B745" s="313">
        <v>80125</v>
      </c>
      <c r="C745" s="8" t="s">
        <v>822</v>
      </c>
      <c r="D745" s="18">
        <v>7</v>
      </c>
      <c r="E745" s="251"/>
      <c r="F745" s="82"/>
      <c r="G745" s="79"/>
      <c r="H745" s="90"/>
      <c r="I745" s="85"/>
      <c r="J745" s="85"/>
      <c r="K745" s="85"/>
      <c r="L745" s="85"/>
      <c r="M745" s="85"/>
      <c r="N745" s="85"/>
      <c r="O745" s="85"/>
      <c r="P745" s="85"/>
      <c r="Q745" s="85"/>
      <c r="R745" s="85"/>
      <c r="S745" s="89"/>
      <c r="T745" s="89" t="s">
        <v>1124</v>
      </c>
      <c r="U745" s="85"/>
      <c r="V745" s="85"/>
      <c r="W745" s="85"/>
      <c r="X745" s="89" t="s">
        <v>1124</v>
      </c>
      <c r="Y745" s="79"/>
      <c r="Z745" s="79"/>
      <c r="AA745" s="94"/>
      <c r="AB745" s="79" t="s">
        <v>1124</v>
      </c>
      <c r="AC745" s="85"/>
      <c r="AD745" s="85"/>
      <c r="AE745" s="85"/>
      <c r="AF745" s="85"/>
      <c r="AG745" s="85" t="s">
        <v>1124</v>
      </c>
      <c r="AH745" s="85"/>
      <c r="AI745" s="85"/>
      <c r="AJ745" s="85"/>
      <c r="AK745" s="85"/>
      <c r="AL745" s="85"/>
      <c r="AM745" s="85"/>
      <c r="AN745" s="85"/>
      <c r="AO745" s="85"/>
      <c r="AP745" s="85"/>
      <c r="AQ745" s="85"/>
      <c r="AR745" s="85" t="s">
        <v>1124</v>
      </c>
      <c r="AS745" s="85"/>
      <c r="AT745" s="85"/>
      <c r="AU745" s="85"/>
      <c r="AV745" s="85"/>
      <c r="AW745" s="85"/>
      <c r="AX745" s="85"/>
      <c r="AY745" s="85"/>
      <c r="AZ745" s="85"/>
      <c r="BA745" s="85"/>
      <c r="BB745" s="89"/>
      <c r="BC745" s="89" t="s">
        <v>1124</v>
      </c>
      <c r="BD745" s="37"/>
      <c r="BE745" s="37"/>
      <c r="BF745" s="279"/>
      <c r="BG745" s="37"/>
      <c r="BH745" s="37"/>
      <c r="BI745" s="37"/>
      <c r="BJ745" s="283"/>
      <c r="BK745" s="161"/>
      <c r="BL745" s="294"/>
      <c r="BM745"/>
      <c r="BN745"/>
      <c r="BO745"/>
      <c r="BP745"/>
      <c r="BQ745"/>
      <c r="BR745"/>
      <c r="BS745"/>
      <c r="BT745"/>
      <c r="BU745"/>
      <c r="BV745"/>
      <c r="BW745"/>
      <c r="BX745"/>
      <c r="BY745"/>
      <c r="BZ745"/>
      <c r="CA745"/>
      <c r="CB745"/>
      <c r="CC745"/>
      <c r="CD745"/>
      <c r="CE745"/>
      <c r="CF745"/>
      <c r="CG745"/>
      <c r="CH745"/>
      <c r="CI745"/>
      <c r="CJ745"/>
    </row>
    <row r="746" spans="1:88" s="32" customFormat="1" ht="15" customHeight="1" x14ac:dyDescent="0.35">
      <c r="A746" s="473"/>
      <c r="B746" s="313">
        <v>93075</v>
      </c>
      <c r="C746" s="8" t="s">
        <v>970</v>
      </c>
      <c r="D746" s="18">
        <v>2</v>
      </c>
      <c r="E746" s="251">
        <v>425</v>
      </c>
      <c r="F746" s="82">
        <v>2.2553191489361701</v>
      </c>
      <c r="G746" s="79">
        <v>958.51063829787233</v>
      </c>
      <c r="H746" s="90">
        <v>10.067</v>
      </c>
      <c r="I746" s="85">
        <v>9.3680000000000003</v>
      </c>
      <c r="J746" s="85">
        <v>11.364000000000001</v>
      </c>
      <c r="K746" s="85">
        <v>9.4969999999999999</v>
      </c>
      <c r="L746" s="85">
        <v>10.427</v>
      </c>
      <c r="M746" s="85">
        <v>10.048</v>
      </c>
      <c r="N746" s="85">
        <v>10.718</v>
      </c>
      <c r="O746" s="85">
        <v>9.8409999999999993</v>
      </c>
      <c r="P746" s="85">
        <v>8.7970000000000006</v>
      </c>
      <c r="Q746" s="85">
        <v>8.3379999999999992</v>
      </c>
      <c r="R746" s="85">
        <v>7.06</v>
      </c>
      <c r="S746" s="89">
        <v>7.6550000000000002</v>
      </c>
      <c r="T746" s="89">
        <v>113.17999999999999</v>
      </c>
      <c r="U746" s="85">
        <v>0</v>
      </c>
      <c r="V746" s="85">
        <v>113.18</v>
      </c>
      <c r="W746" s="85">
        <v>0</v>
      </c>
      <c r="X746" s="89">
        <v>113.18</v>
      </c>
      <c r="Y746" s="79">
        <v>0</v>
      </c>
      <c r="Z746" s="79">
        <v>1</v>
      </c>
      <c r="AA746" s="94">
        <v>0</v>
      </c>
      <c r="AB746" s="79">
        <v>1</v>
      </c>
      <c r="AC746" s="85">
        <v>91.340999999999994</v>
      </c>
      <c r="AD746" s="85">
        <v>5.1369999999999996</v>
      </c>
      <c r="AE746" s="85">
        <v>16.702000000000002</v>
      </c>
      <c r="AF746" s="85">
        <v>0</v>
      </c>
      <c r="AG746" s="85">
        <v>113.17999999999999</v>
      </c>
      <c r="AH746" s="85">
        <v>0</v>
      </c>
      <c r="AI746" s="85">
        <v>0</v>
      </c>
      <c r="AJ746" s="85">
        <v>0</v>
      </c>
      <c r="AK746" s="85">
        <v>0</v>
      </c>
      <c r="AL746" s="85">
        <v>0</v>
      </c>
      <c r="AM746" s="85">
        <v>0</v>
      </c>
      <c r="AN746" s="85">
        <v>0</v>
      </c>
      <c r="AO746" s="85">
        <v>0</v>
      </c>
      <c r="AP746" s="85">
        <v>0</v>
      </c>
      <c r="AQ746" s="85">
        <v>0</v>
      </c>
      <c r="AR746" s="85">
        <v>0</v>
      </c>
      <c r="AS746" s="85">
        <v>0</v>
      </c>
      <c r="AT746" s="85">
        <v>0</v>
      </c>
      <c r="AU746" s="85">
        <v>0</v>
      </c>
      <c r="AV746" s="85">
        <v>0</v>
      </c>
      <c r="AW746" s="85">
        <v>0</v>
      </c>
      <c r="AX746" s="85">
        <v>0</v>
      </c>
      <c r="AY746" s="85">
        <v>113.18</v>
      </c>
      <c r="AZ746" s="85">
        <v>0</v>
      </c>
      <c r="BA746" s="85">
        <v>0</v>
      </c>
      <c r="BB746" s="89">
        <v>0</v>
      </c>
      <c r="BC746" s="89">
        <v>113.18</v>
      </c>
      <c r="BD746" s="37">
        <v>0</v>
      </c>
      <c r="BE746" s="37">
        <v>4691</v>
      </c>
      <c r="BF746" s="279">
        <v>24478</v>
      </c>
      <c r="BG746" s="37">
        <v>35502</v>
      </c>
      <c r="BH746" s="37">
        <v>9582</v>
      </c>
      <c r="BI746" s="37">
        <v>0</v>
      </c>
      <c r="BJ746" s="283">
        <v>69562</v>
      </c>
      <c r="BK746" s="161"/>
      <c r="BL746" s="294"/>
      <c r="BM746"/>
      <c r="BN746"/>
      <c r="BO746"/>
      <c r="BP746"/>
      <c r="BQ746"/>
      <c r="BR746"/>
      <c r="BS746"/>
      <c r="BT746"/>
      <c r="BU746"/>
      <c r="BV746"/>
      <c r="BW746"/>
      <c r="BX746"/>
      <c r="BY746"/>
      <c r="BZ746"/>
      <c r="CA746"/>
      <c r="CB746"/>
      <c r="CC746"/>
      <c r="CD746"/>
      <c r="CE746"/>
      <c r="CF746"/>
      <c r="CG746"/>
      <c r="CH746"/>
      <c r="CI746"/>
      <c r="CJ746"/>
    </row>
    <row r="747" spans="1:88" s="32" customFormat="1" ht="15" customHeight="1" x14ac:dyDescent="0.35">
      <c r="A747" s="473"/>
      <c r="B747" s="313">
        <v>50057</v>
      </c>
      <c r="C747" s="8" t="s">
        <v>489</v>
      </c>
      <c r="D747" s="18">
        <v>17</v>
      </c>
      <c r="E747" s="251"/>
      <c r="F747" s="82"/>
      <c r="G747" s="79"/>
      <c r="H747" s="90"/>
      <c r="I747" s="85"/>
      <c r="J747" s="85"/>
      <c r="K747" s="85"/>
      <c r="L747" s="85"/>
      <c r="M747" s="85"/>
      <c r="N747" s="85"/>
      <c r="O747" s="85"/>
      <c r="P747" s="85"/>
      <c r="Q747" s="85"/>
      <c r="R747" s="85"/>
      <c r="S747" s="89"/>
      <c r="T747" s="89" t="s">
        <v>1124</v>
      </c>
      <c r="U747" s="85"/>
      <c r="V747" s="85"/>
      <c r="W747" s="85"/>
      <c r="X747" s="89" t="s">
        <v>1124</v>
      </c>
      <c r="Y747" s="79"/>
      <c r="Z747" s="79"/>
      <c r="AA747" s="94"/>
      <c r="AB747" s="79" t="s">
        <v>1124</v>
      </c>
      <c r="AC747" s="85"/>
      <c r="AD747" s="85"/>
      <c r="AE747" s="85"/>
      <c r="AF747" s="85"/>
      <c r="AG747" s="85" t="s">
        <v>1124</v>
      </c>
      <c r="AH747" s="85"/>
      <c r="AI747" s="85"/>
      <c r="AJ747" s="85"/>
      <c r="AK747" s="85"/>
      <c r="AL747" s="85"/>
      <c r="AM747" s="85"/>
      <c r="AN747" s="85"/>
      <c r="AO747" s="85"/>
      <c r="AP747" s="85"/>
      <c r="AQ747" s="85"/>
      <c r="AR747" s="85" t="s">
        <v>1124</v>
      </c>
      <c r="AS747" s="85"/>
      <c r="AT747" s="85"/>
      <c r="AU747" s="85"/>
      <c r="AV747" s="85"/>
      <c r="AW747" s="85"/>
      <c r="AX747" s="85"/>
      <c r="AY747" s="85"/>
      <c r="AZ747" s="85"/>
      <c r="BA747" s="85"/>
      <c r="BB747" s="89"/>
      <c r="BC747" s="89" t="s">
        <v>1124</v>
      </c>
      <c r="BD747" s="37"/>
      <c r="BE747" s="37"/>
      <c r="BF747" s="279"/>
      <c r="BG747" s="37"/>
      <c r="BH747" s="37"/>
      <c r="BI747" s="37"/>
      <c r="BJ747" s="283"/>
      <c r="BK747" s="161"/>
      <c r="BL747" s="294"/>
      <c r="BM747"/>
      <c r="BN747"/>
      <c r="BO747"/>
      <c r="BP747"/>
      <c r="BQ747"/>
      <c r="BR747"/>
      <c r="BS747"/>
      <c r="BT747"/>
      <c r="BU747"/>
      <c r="BV747"/>
      <c r="BW747"/>
      <c r="BX747"/>
      <c r="BY747"/>
      <c r="BZ747"/>
      <c r="CA747"/>
      <c r="CB747"/>
      <c r="CC747"/>
      <c r="CD747"/>
      <c r="CE747"/>
      <c r="CF747"/>
      <c r="CG747"/>
      <c r="CH747"/>
      <c r="CI747"/>
      <c r="CJ747"/>
    </row>
    <row r="748" spans="1:88" s="32" customFormat="1" ht="15" customHeight="1" x14ac:dyDescent="0.35">
      <c r="A748" s="473"/>
      <c r="B748" s="313">
        <v>8040</v>
      </c>
      <c r="C748" s="8" t="s">
        <v>1092</v>
      </c>
      <c r="D748" s="18">
        <v>1</v>
      </c>
      <c r="E748" s="251"/>
      <c r="F748" s="82"/>
      <c r="G748" s="79"/>
      <c r="H748" s="90"/>
      <c r="I748" s="85"/>
      <c r="J748" s="85"/>
      <c r="K748" s="85"/>
      <c r="L748" s="85"/>
      <c r="M748" s="85"/>
      <c r="N748" s="85"/>
      <c r="O748" s="85"/>
      <c r="P748" s="85"/>
      <c r="Q748" s="85"/>
      <c r="R748" s="85"/>
      <c r="S748" s="89"/>
      <c r="T748" s="89" t="s">
        <v>1124</v>
      </c>
      <c r="U748" s="85"/>
      <c r="V748" s="85"/>
      <c r="W748" s="85"/>
      <c r="X748" s="89" t="s">
        <v>1124</v>
      </c>
      <c r="Y748" s="79"/>
      <c r="Z748" s="79"/>
      <c r="AA748" s="94"/>
      <c r="AB748" s="79" t="s">
        <v>1124</v>
      </c>
      <c r="AC748" s="85"/>
      <c r="AD748" s="85"/>
      <c r="AE748" s="85"/>
      <c r="AF748" s="85"/>
      <c r="AG748" s="85" t="s">
        <v>1124</v>
      </c>
      <c r="AH748" s="85"/>
      <c r="AI748" s="85"/>
      <c r="AJ748" s="85"/>
      <c r="AK748" s="85"/>
      <c r="AL748" s="85"/>
      <c r="AM748" s="85"/>
      <c r="AN748" s="85"/>
      <c r="AO748" s="85"/>
      <c r="AP748" s="85"/>
      <c r="AQ748" s="85"/>
      <c r="AR748" s="85" t="s">
        <v>1124</v>
      </c>
      <c r="AS748" s="85"/>
      <c r="AT748" s="85"/>
      <c r="AU748" s="85"/>
      <c r="AV748" s="85"/>
      <c r="AW748" s="85"/>
      <c r="AX748" s="85"/>
      <c r="AY748" s="85"/>
      <c r="AZ748" s="85"/>
      <c r="BA748" s="85"/>
      <c r="BB748" s="89"/>
      <c r="BC748" s="89" t="s">
        <v>1124</v>
      </c>
      <c r="BD748" s="37"/>
      <c r="BE748" s="37"/>
      <c r="BF748" s="279"/>
      <c r="BG748" s="37"/>
      <c r="BH748" s="37"/>
      <c r="BI748" s="37"/>
      <c r="BJ748" s="283"/>
      <c r="BK748" s="161"/>
      <c r="BL748" s="294"/>
      <c r="BM748"/>
      <c r="BN748"/>
      <c r="BO748"/>
      <c r="BP748"/>
      <c r="BQ748"/>
      <c r="BR748"/>
      <c r="BS748"/>
      <c r="BT748"/>
      <c r="BU748"/>
      <c r="BV748"/>
      <c r="BW748"/>
      <c r="BX748"/>
      <c r="BY748"/>
      <c r="BZ748"/>
      <c r="CA748"/>
      <c r="CB748"/>
      <c r="CC748"/>
      <c r="CD748"/>
      <c r="CE748"/>
      <c r="CF748"/>
      <c r="CG748"/>
      <c r="CH748"/>
      <c r="CI748"/>
      <c r="CJ748"/>
    </row>
    <row r="749" spans="1:88" s="32" customFormat="1" ht="15" customHeight="1" x14ac:dyDescent="0.35">
      <c r="A749" s="473"/>
      <c r="B749" s="313">
        <v>17030</v>
      </c>
      <c r="C749" s="8" t="s">
        <v>95</v>
      </c>
      <c r="D749" s="18">
        <v>12</v>
      </c>
      <c r="E749" s="251">
        <v>620</v>
      </c>
      <c r="F749" s="82">
        <v>2.0249687890137329</v>
      </c>
      <c r="G749" s="79">
        <v>1255.4806491885145</v>
      </c>
      <c r="H749" s="90">
        <v>14.473000000000001</v>
      </c>
      <c r="I749" s="85">
        <v>13.683</v>
      </c>
      <c r="J749" s="85">
        <v>15.081</v>
      </c>
      <c r="K749" s="85">
        <v>13.849</v>
      </c>
      <c r="L749" s="85">
        <v>13.945</v>
      </c>
      <c r="M749" s="85">
        <v>14.301</v>
      </c>
      <c r="N749" s="85">
        <v>14.394</v>
      </c>
      <c r="O749" s="85">
        <v>12.398999999999999</v>
      </c>
      <c r="P749" s="85">
        <v>11.486000000000001</v>
      </c>
      <c r="Q749" s="85">
        <v>12.420999999999999</v>
      </c>
      <c r="R749" s="85">
        <v>10.925000000000001</v>
      </c>
      <c r="S749" s="89">
        <v>10.753</v>
      </c>
      <c r="T749" s="89">
        <v>157.71000000000004</v>
      </c>
      <c r="U749" s="85">
        <v>0</v>
      </c>
      <c r="V749" s="85">
        <v>157.71</v>
      </c>
      <c r="W749" s="85">
        <v>0</v>
      </c>
      <c r="X749" s="89">
        <v>157.71</v>
      </c>
      <c r="Y749" s="79">
        <v>0</v>
      </c>
      <c r="Z749" s="79">
        <v>2</v>
      </c>
      <c r="AA749" s="94">
        <v>0</v>
      </c>
      <c r="AB749" s="79">
        <v>2</v>
      </c>
      <c r="AC749" s="85">
        <v>142.136</v>
      </c>
      <c r="AD749" s="85">
        <v>8.7850000000000001</v>
      </c>
      <c r="AE749" s="85">
        <v>6.7889999999999997</v>
      </c>
      <c r="AF749" s="85">
        <v>0</v>
      </c>
      <c r="AG749" s="85">
        <v>157.70999999999998</v>
      </c>
      <c r="AH749" s="85">
        <v>0</v>
      </c>
      <c r="AI749" s="85">
        <v>0</v>
      </c>
      <c r="AJ749" s="85">
        <v>0</v>
      </c>
      <c r="AK749" s="85">
        <v>0</v>
      </c>
      <c r="AL749" s="85">
        <v>0</v>
      </c>
      <c r="AM749" s="85">
        <v>0</v>
      </c>
      <c r="AN749" s="85">
        <v>0</v>
      </c>
      <c r="AO749" s="85">
        <v>0</v>
      </c>
      <c r="AP749" s="85">
        <v>0</v>
      </c>
      <c r="AQ749" s="85">
        <v>0</v>
      </c>
      <c r="AR749" s="85">
        <v>0</v>
      </c>
      <c r="AS749" s="85">
        <v>157.71</v>
      </c>
      <c r="AT749" s="85">
        <v>0</v>
      </c>
      <c r="AU749" s="85">
        <v>0</v>
      </c>
      <c r="AV749" s="85">
        <v>0</v>
      </c>
      <c r="AW749" s="85">
        <v>0</v>
      </c>
      <c r="AX749" s="85">
        <v>0</v>
      </c>
      <c r="AY749" s="85">
        <v>0</v>
      </c>
      <c r="AZ749" s="85">
        <v>0</v>
      </c>
      <c r="BA749" s="85">
        <v>0</v>
      </c>
      <c r="BB749" s="89">
        <v>0</v>
      </c>
      <c r="BC749" s="89">
        <v>157.71</v>
      </c>
      <c r="BD749" s="37">
        <v>0</v>
      </c>
      <c r="BE749" s="37">
        <v>0</v>
      </c>
      <c r="BF749" s="279">
        <v>4275</v>
      </c>
      <c r="BG749" s="37">
        <v>16631</v>
      </c>
      <c r="BH749" s="37">
        <v>5515</v>
      </c>
      <c r="BI749" s="37">
        <v>0</v>
      </c>
      <c r="BJ749" s="283">
        <v>26421</v>
      </c>
      <c r="BK749" s="161"/>
      <c r="BL749" s="294"/>
      <c r="BM749"/>
      <c r="BN749"/>
      <c r="BO749"/>
      <c r="BP749"/>
      <c r="BQ749"/>
      <c r="BR749"/>
      <c r="BS749"/>
      <c r="BT749"/>
      <c r="BU749"/>
      <c r="BV749"/>
      <c r="BW749"/>
      <c r="BX749"/>
      <c r="BY749"/>
      <c r="BZ749"/>
      <c r="CA749"/>
      <c r="CB749"/>
      <c r="CC749"/>
      <c r="CD749"/>
      <c r="CE749"/>
      <c r="CF749"/>
      <c r="CG749"/>
      <c r="CH749"/>
      <c r="CI749"/>
      <c r="CJ749"/>
    </row>
    <row r="750" spans="1:88" s="32" customFormat="1" ht="15" customHeight="1" x14ac:dyDescent="0.35">
      <c r="A750" s="473"/>
      <c r="B750" s="313">
        <v>50050</v>
      </c>
      <c r="C750" s="8" t="s">
        <v>488</v>
      </c>
      <c r="D750" s="18">
        <v>17</v>
      </c>
      <c r="E750" s="251"/>
      <c r="F750" s="82"/>
      <c r="G750" s="79"/>
      <c r="H750" s="90"/>
      <c r="I750" s="85"/>
      <c r="J750" s="85"/>
      <c r="K750" s="85"/>
      <c r="L750" s="85"/>
      <c r="M750" s="85"/>
      <c r="N750" s="85"/>
      <c r="O750" s="85"/>
      <c r="P750" s="85"/>
      <c r="Q750" s="85"/>
      <c r="R750" s="85"/>
      <c r="S750" s="89"/>
      <c r="T750" s="89" t="s">
        <v>1124</v>
      </c>
      <c r="U750" s="85"/>
      <c r="V750" s="85"/>
      <c r="W750" s="85"/>
      <c r="X750" s="89" t="s">
        <v>1124</v>
      </c>
      <c r="Y750" s="79"/>
      <c r="Z750" s="79"/>
      <c r="AA750" s="94"/>
      <c r="AB750" s="79" t="s">
        <v>1124</v>
      </c>
      <c r="AC750" s="85"/>
      <c r="AD750" s="85"/>
      <c r="AE750" s="85"/>
      <c r="AF750" s="85"/>
      <c r="AG750" s="85" t="s">
        <v>1124</v>
      </c>
      <c r="AH750" s="85"/>
      <c r="AI750" s="85"/>
      <c r="AJ750" s="85"/>
      <c r="AK750" s="85"/>
      <c r="AL750" s="85"/>
      <c r="AM750" s="85"/>
      <c r="AN750" s="85"/>
      <c r="AO750" s="85"/>
      <c r="AP750" s="85"/>
      <c r="AQ750" s="85"/>
      <c r="AR750" s="85" t="s">
        <v>1124</v>
      </c>
      <c r="AS750" s="85"/>
      <c r="AT750" s="85"/>
      <c r="AU750" s="85"/>
      <c r="AV750" s="85"/>
      <c r="AW750" s="85"/>
      <c r="AX750" s="85"/>
      <c r="AY750" s="85"/>
      <c r="AZ750" s="85"/>
      <c r="BA750" s="85"/>
      <c r="BB750" s="89"/>
      <c r="BC750" s="89" t="s">
        <v>1124</v>
      </c>
      <c r="BD750" s="37"/>
      <c r="BE750" s="37"/>
      <c r="BF750" s="279"/>
      <c r="BG750" s="37"/>
      <c r="BH750" s="37"/>
      <c r="BI750" s="37"/>
      <c r="BJ750" s="283"/>
      <c r="BK750" s="161"/>
      <c r="BL750" s="294"/>
      <c r="BM750"/>
      <c r="BN750"/>
      <c r="BO750"/>
      <c r="BP750"/>
      <c r="BQ750"/>
      <c r="BR750"/>
      <c r="BS750"/>
      <c r="BT750"/>
      <c r="BU750"/>
      <c r="BV750"/>
      <c r="BW750"/>
      <c r="BX750"/>
      <c r="BY750"/>
      <c r="BZ750"/>
      <c r="CA750"/>
      <c r="CB750"/>
      <c r="CC750"/>
      <c r="CD750"/>
      <c r="CE750"/>
      <c r="CF750"/>
      <c r="CG750"/>
      <c r="CH750"/>
      <c r="CI750"/>
      <c r="CJ750"/>
    </row>
    <row r="751" spans="1:88" s="32" customFormat="1" ht="15" customHeight="1" x14ac:dyDescent="0.35">
      <c r="A751" s="473"/>
      <c r="B751" s="313">
        <v>20030</v>
      </c>
      <c r="C751" s="8" t="s">
        <v>143</v>
      </c>
      <c r="D751" s="18">
        <v>3</v>
      </c>
      <c r="E751" s="251"/>
      <c r="F751" s="82"/>
      <c r="G751" s="79"/>
      <c r="H751" s="90"/>
      <c r="I751" s="85"/>
      <c r="J751" s="85"/>
      <c r="K751" s="85"/>
      <c r="L751" s="85"/>
      <c r="M751" s="85"/>
      <c r="N751" s="85"/>
      <c r="O751" s="85"/>
      <c r="P751" s="85"/>
      <c r="Q751" s="85"/>
      <c r="R751" s="85"/>
      <c r="S751" s="89"/>
      <c r="T751" s="89" t="s">
        <v>1124</v>
      </c>
      <c r="U751" s="85"/>
      <c r="V751" s="85"/>
      <c r="W751" s="85"/>
      <c r="X751" s="89" t="s">
        <v>1124</v>
      </c>
      <c r="Y751" s="79"/>
      <c r="Z751" s="79"/>
      <c r="AA751" s="94"/>
      <c r="AB751" s="79" t="s">
        <v>1124</v>
      </c>
      <c r="AC751" s="85"/>
      <c r="AD751" s="85"/>
      <c r="AE751" s="85"/>
      <c r="AF751" s="85"/>
      <c r="AG751" s="85" t="s">
        <v>1124</v>
      </c>
      <c r="AH751" s="85"/>
      <c r="AI751" s="85"/>
      <c r="AJ751" s="85"/>
      <c r="AK751" s="85"/>
      <c r="AL751" s="85"/>
      <c r="AM751" s="85"/>
      <c r="AN751" s="85"/>
      <c r="AO751" s="85"/>
      <c r="AP751" s="85"/>
      <c r="AQ751" s="85"/>
      <c r="AR751" s="85" t="s">
        <v>1124</v>
      </c>
      <c r="AS751" s="85"/>
      <c r="AT751" s="85"/>
      <c r="AU751" s="85"/>
      <c r="AV751" s="85"/>
      <c r="AW751" s="85"/>
      <c r="AX751" s="85"/>
      <c r="AY751" s="85"/>
      <c r="AZ751" s="85"/>
      <c r="BA751" s="85"/>
      <c r="BB751" s="89"/>
      <c r="BC751" s="89" t="s">
        <v>1124</v>
      </c>
      <c r="BD751" s="37"/>
      <c r="BE751" s="37"/>
      <c r="BF751" s="279"/>
      <c r="BG751" s="37"/>
      <c r="BH751" s="37"/>
      <c r="BI751" s="37"/>
      <c r="BJ751" s="283"/>
      <c r="BK751" s="161"/>
      <c r="BL751" s="294"/>
      <c r="BM751"/>
      <c r="BN751"/>
      <c r="BO751"/>
      <c r="BP751"/>
      <c r="BQ751"/>
      <c r="BR751"/>
      <c r="BS751"/>
      <c r="BT751"/>
      <c r="BU751"/>
      <c r="BV751"/>
      <c r="BW751"/>
      <c r="BX751"/>
      <c r="BY751"/>
      <c r="BZ751"/>
      <c r="CA751"/>
      <c r="CB751"/>
      <c r="CC751"/>
      <c r="CD751"/>
      <c r="CE751"/>
      <c r="CF751"/>
      <c r="CG751"/>
      <c r="CH751"/>
      <c r="CI751"/>
      <c r="CJ751"/>
    </row>
    <row r="752" spans="1:88" s="32" customFormat="1" ht="15" customHeight="1" x14ac:dyDescent="0.35">
      <c r="A752" s="473"/>
      <c r="B752" s="313">
        <v>29112</v>
      </c>
      <c r="C752" s="8" t="s">
        <v>214</v>
      </c>
      <c r="D752" s="18">
        <v>12</v>
      </c>
      <c r="E752" s="251">
        <v>739</v>
      </c>
      <c r="F752" s="82">
        <v>2.44</v>
      </c>
      <c r="G752" s="79">
        <v>1803.1599999999999</v>
      </c>
      <c r="H752" s="90">
        <v>13.388</v>
      </c>
      <c r="I752" s="85">
        <v>12.629</v>
      </c>
      <c r="J752" s="85">
        <v>14.919</v>
      </c>
      <c r="K752" s="85">
        <v>13.079000000000001</v>
      </c>
      <c r="L752" s="85">
        <v>14.224</v>
      </c>
      <c r="M752" s="85">
        <v>13.446</v>
      </c>
      <c r="N752" s="85">
        <v>14.446999999999999</v>
      </c>
      <c r="O752" s="85">
        <v>13.776</v>
      </c>
      <c r="P752" s="85">
        <v>13.768000000000001</v>
      </c>
      <c r="Q752" s="85">
        <v>14.53</v>
      </c>
      <c r="R752" s="85">
        <v>15.125</v>
      </c>
      <c r="S752" s="89">
        <v>16.914999999999999</v>
      </c>
      <c r="T752" s="89">
        <v>170.24599999999998</v>
      </c>
      <c r="U752" s="85">
        <v>0</v>
      </c>
      <c r="V752" s="85">
        <v>170.24600000000001</v>
      </c>
      <c r="W752" s="85">
        <v>0</v>
      </c>
      <c r="X752" s="89">
        <v>170.24600000000001</v>
      </c>
      <c r="Y752" s="79">
        <v>0</v>
      </c>
      <c r="Z752" s="79">
        <v>2</v>
      </c>
      <c r="AA752" s="94">
        <v>0</v>
      </c>
      <c r="AB752" s="79">
        <v>2</v>
      </c>
      <c r="AC752" s="85">
        <v>112.259</v>
      </c>
      <c r="AD752" s="85">
        <v>41.003999999999998</v>
      </c>
      <c r="AE752" s="85">
        <v>16.983000000000001</v>
      </c>
      <c r="AF752" s="85">
        <v>0</v>
      </c>
      <c r="AG752" s="85">
        <v>170.24600000000001</v>
      </c>
      <c r="AH752" s="85">
        <v>0</v>
      </c>
      <c r="AI752" s="85">
        <v>0</v>
      </c>
      <c r="AJ752" s="85">
        <v>0</v>
      </c>
      <c r="AK752" s="85">
        <v>0</v>
      </c>
      <c r="AL752" s="85">
        <v>0</v>
      </c>
      <c r="AM752" s="85">
        <v>0</v>
      </c>
      <c r="AN752" s="85">
        <v>0</v>
      </c>
      <c r="AO752" s="85">
        <v>0</v>
      </c>
      <c r="AP752" s="85">
        <v>0</v>
      </c>
      <c r="AQ752" s="85">
        <v>0</v>
      </c>
      <c r="AR752" s="85">
        <v>0</v>
      </c>
      <c r="AS752" s="85">
        <v>170.24600000000001</v>
      </c>
      <c r="AT752" s="85">
        <v>0</v>
      </c>
      <c r="AU752" s="85">
        <v>0</v>
      </c>
      <c r="AV752" s="85">
        <v>0</v>
      </c>
      <c r="AW752" s="85">
        <v>0</v>
      </c>
      <c r="AX752" s="85">
        <v>0</v>
      </c>
      <c r="AY752" s="85">
        <v>0</v>
      </c>
      <c r="AZ752" s="85">
        <v>0</v>
      </c>
      <c r="BA752" s="85">
        <v>0</v>
      </c>
      <c r="BB752" s="89">
        <v>0</v>
      </c>
      <c r="BC752" s="89">
        <v>170.24600000000001</v>
      </c>
      <c r="BD752" s="37">
        <v>5628</v>
      </c>
      <c r="BE752" s="37">
        <v>0</v>
      </c>
      <c r="BF752" s="279">
        <v>17124</v>
      </c>
      <c r="BG752" s="37">
        <v>73722</v>
      </c>
      <c r="BH752" s="37">
        <v>33426</v>
      </c>
      <c r="BI752" s="37">
        <v>0</v>
      </c>
      <c r="BJ752" s="283">
        <v>124272</v>
      </c>
      <c r="BK752" s="161"/>
      <c r="BL752" s="294"/>
      <c r="BM752"/>
      <c r="BN752"/>
      <c r="BO752"/>
      <c r="BP752"/>
      <c r="BQ752"/>
      <c r="BR752"/>
      <c r="BS752"/>
      <c r="BT752"/>
      <c r="BU752"/>
      <c r="BV752"/>
      <c r="BW752"/>
      <c r="BX752"/>
      <c r="BY752"/>
      <c r="BZ752"/>
      <c r="CA752"/>
      <c r="CB752"/>
      <c r="CC752"/>
      <c r="CD752"/>
      <c r="CE752"/>
      <c r="CF752"/>
      <c r="CG752"/>
      <c r="CH752"/>
      <c r="CI752"/>
      <c r="CJ752"/>
    </row>
    <row r="753" spans="1:88" s="32" customFormat="1" ht="15" customHeight="1" x14ac:dyDescent="0.35">
      <c r="A753" s="473"/>
      <c r="B753" s="313">
        <v>12030</v>
      </c>
      <c r="C753" s="8" t="s">
        <v>33</v>
      </c>
      <c r="D753" s="18">
        <v>1</v>
      </c>
      <c r="E753" s="251">
        <v>264</v>
      </c>
      <c r="F753" s="82">
        <v>2.026829268292683</v>
      </c>
      <c r="G753" s="79">
        <v>535.08292682926833</v>
      </c>
      <c r="H753" s="90">
        <v>2.8570000000000002</v>
      </c>
      <c r="I753" s="85">
        <v>2.726</v>
      </c>
      <c r="J753" s="85">
        <v>3.048</v>
      </c>
      <c r="K753" s="85">
        <v>2.9860000000000002</v>
      </c>
      <c r="L753" s="85">
        <v>3.2170000000000001</v>
      </c>
      <c r="M753" s="85">
        <v>3.5739999999999998</v>
      </c>
      <c r="N753" s="85">
        <v>3.6240000000000001</v>
      </c>
      <c r="O753" s="85">
        <v>3.5569999999999999</v>
      </c>
      <c r="P753" s="85">
        <v>2.8769999999999998</v>
      </c>
      <c r="Q753" s="85">
        <v>3.47</v>
      </c>
      <c r="R753" s="85">
        <v>3.5590000000000002</v>
      </c>
      <c r="S753" s="89">
        <v>3.2349999999999999</v>
      </c>
      <c r="T753" s="89">
        <v>38.729999999999997</v>
      </c>
      <c r="U753" s="85">
        <v>0</v>
      </c>
      <c r="V753" s="85">
        <v>38.729999999999997</v>
      </c>
      <c r="W753" s="85">
        <v>0</v>
      </c>
      <c r="X753" s="89">
        <v>38.729999999999997</v>
      </c>
      <c r="Y753" s="79">
        <v>0</v>
      </c>
      <c r="Z753" s="79">
        <v>1</v>
      </c>
      <c r="AA753" s="94">
        <v>0</v>
      </c>
      <c r="AB753" s="79">
        <v>1</v>
      </c>
      <c r="AC753" s="85">
        <v>31.878</v>
      </c>
      <c r="AD753" s="85">
        <v>4.3594668041237092</v>
      </c>
      <c r="AE753" s="85">
        <v>2.4925331958762871</v>
      </c>
      <c r="AF753" s="85">
        <v>0</v>
      </c>
      <c r="AG753" s="85">
        <v>38.729999999999997</v>
      </c>
      <c r="AH753" s="85">
        <v>0</v>
      </c>
      <c r="AI753" s="85">
        <v>0</v>
      </c>
      <c r="AJ753" s="85">
        <v>0</v>
      </c>
      <c r="AK753" s="85">
        <v>0</v>
      </c>
      <c r="AL753" s="85">
        <v>0</v>
      </c>
      <c r="AM753" s="85">
        <v>0</v>
      </c>
      <c r="AN753" s="85">
        <v>0</v>
      </c>
      <c r="AO753" s="85">
        <v>0</v>
      </c>
      <c r="AP753" s="85">
        <v>0</v>
      </c>
      <c r="AQ753" s="85">
        <v>0</v>
      </c>
      <c r="AR753" s="85">
        <v>0</v>
      </c>
      <c r="AS753" s="85">
        <v>0</v>
      </c>
      <c r="AT753" s="85">
        <v>0</v>
      </c>
      <c r="AU753" s="85">
        <v>0</v>
      </c>
      <c r="AV753" s="85">
        <v>0</v>
      </c>
      <c r="AW753" s="85">
        <v>0</v>
      </c>
      <c r="AX753" s="85">
        <v>0</v>
      </c>
      <c r="AY753" s="85">
        <v>38.729999999999997</v>
      </c>
      <c r="AZ753" s="85">
        <v>0</v>
      </c>
      <c r="BA753" s="85">
        <v>0</v>
      </c>
      <c r="BB753" s="89">
        <v>0</v>
      </c>
      <c r="BC753" s="89">
        <v>38.729999999999997</v>
      </c>
      <c r="BD753" s="37">
        <v>0</v>
      </c>
      <c r="BE753" s="37">
        <v>0</v>
      </c>
      <c r="BF753" s="279">
        <v>1955</v>
      </c>
      <c r="BG753" s="37">
        <v>11066</v>
      </c>
      <c r="BH753" s="37">
        <v>9070</v>
      </c>
      <c r="BI753" s="37">
        <v>3046</v>
      </c>
      <c r="BJ753" s="283">
        <v>25137</v>
      </c>
      <c r="BK753" s="161"/>
      <c r="BL753" s="294"/>
      <c r="BM753"/>
      <c r="BN753"/>
      <c r="BO753"/>
      <c r="BP753"/>
      <c r="BQ753"/>
      <c r="BR753"/>
      <c r="BS753"/>
      <c r="BT753"/>
      <c r="BU753"/>
      <c r="BV753"/>
      <c r="BW753"/>
      <c r="BX753"/>
      <c r="BY753"/>
      <c r="BZ753"/>
      <c r="CA753"/>
      <c r="CB753"/>
      <c r="CC753"/>
      <c r="CD753"/>
      <c r="CE753"/>
      <c r="CF753"/>
      <c r="CG753"/>
      <c r="CH753"/>
      <c r="CI753"/>
      <c r="CJ753"/>
    </row>
    <row r="754" spans="1:88" s="32" customFormat="1" ht="15" customHeight="1" x14ac:dyDescent="0.35">
      <c r="A754" s="473"/>
      <c r="B754" s="313">
        <v>31050</v>
      </c>
      <c r="C754" s="8" t="s">
        <v>245</v>
      </c>
      <c r="D754" s="18">
        <v>12</v>
      </c>
      <c r="E754" s="251"/>
      <c r="F754" s="82"/>
      <c r="G754" s="79"/>
      <c r="H754" s="90"/>
      <c r="I754" s="85"/>
      <c r="J754" s="85"/>
      <c r="K754" s="85"/>
      <c r="L754" s="85"/>
      <c r="M754" s="85"/>
      <c r="N754" s="85"/>
      <c r="O754" s="85"/>
      <c r="P754" s="85"/>
      <c r="Q754" s="85"/>
      <c r="R754" s="85"/>
      <c r="S754" s="89"/>
      <c r="T754" s="89" t="s">
        <v>1124</v>
      </c>
      <c r="U754" s="85"/>
      <c r="V754" s="85"/>
      <c r="W754" s="85"/>
      <c r="X754" s="89" t="s">
        <v>1124</v>
      </c>
      <c r="Y754" s="79"/>
      <c r="Z754" s="79"/>
      <c r="AA754" s="94"/>
      <c r="AB754" s="79" t="s">
        <v>1124</v>
      </c>
      <c r="AC754" s="85"/>
      <c r="AD754" s="85"/>
      <c r="AE754" s="85"/>
      <c r="AF754" s="85"/>
      <c r="AG754" s="85" t="s">
        <v>1124</v>
      </c>
      <c r="AH754" s="85"/>
      <c r="AI754" s="85"/>
      <c r="AJ754" s="85"/>
      <c r="AK754" s="85"/>
      <c r="AL754" s="85"/>
      <c r="AM754" s="85"/>
      <c r="AN754" s="85"/>
      <c r="AO754" s="85"/>
      <c r="AP754" s="85"/>
      <c r="AQ754" s="85"/>
      <c r="AR754" s="85" t="s">
        <v>1124</v>
      </c>
      <c r="AS754" s="85"/>
      <c r="AT754" s="85"/>
      <c r="AU754" s="85"/>
      <c r="AV754" s="85"/>
      <c r="AW754" s="85"/>
      <c r="AX754" s="85"/>
      <c r="AY754" s="85"/>
      <c r="AZ754" s="85"/>
      <c r="BA754" s="85"/>
      <c r="BB754" s="89"/>
      <c r="BC754" s="89" t="s">
        <v>1124</v>
      </c>
      <c r="BD754" s="37"/>
      <c r="BE754" s="37"/>
      <c r="BF754" s="279"/>
      <c r="BG754" s="37"/>
      <c r="BH754" s="37"/>
      <c r="BI754" s="37"/>
      <c r="BJ754" s="283"/>
      <c r="BK754" s="161"/>
      <c r="BL754" s="294"/>
      <c r="BM754"/>
      <c r="BN754"/>
      <c r="BO754"/>
      <c r="BP754"/>
      <c r="BQ754"/>
      <c r="BR754"/>
      <c r="BS754"/>
      <c r="BT754"/>
      <c r="BU754"/>
      <c r="BV754"/>
      <c r="BW754"/>
      <c r="BX754"/>
      <c r="BY754"/>
      <c r="BZ754"/>
      <c r="CA754"/>
      <c r="CB754"/>
      <c r="CC754"/>
      <c r="CD754"/>
      <c r="CE754"/>
      <c r="CF754"/>
      <c r="CG754"/>
      <c r="CH754"/>
      <c r="CI754"/>
      <c r="CJ754"/>
    </row>
    <row r="755" spans="1:88" s="32" customFormat="1" ht="15" customHeight="1" x14ac:dyDescent="0.35">
      <c r="A755" s="473"/>
      <c r="B755" s="313">
        <v>11015</v>
      </c>
      <c r="C755" s="8" t="s">
        <v>19</v>
      </c>
      <c r="D755" s="18">
        <v>1</v>
      </c>
      <c r="E755" s="251"/>
      <c r="F755" s="82"/>
      <c r="G755" s="79"/>
      <c r="H755" s="90"/>
      <c r="I755" s="85"/>
      <c r="J755" s="85"/>
      <c r="K755" s="85"/>
      <c r="L755" s="85"/>
      <c r="M755" s="85"/>
      <c r="N755" s="85"/>
      <c r="O755" s="85"/>
      <c r="P755" s="85"/>
      <c r="Q755" s="85"/>
      <c r="R755" s="85"/>
      <c r="S755" s="89"/>
      <c r="T755" s="89" t="s">
        <v>1124</v>
      </c>
      <c r="U755" s="85"/>
      <c r="V755" s="85"/>
      <c r="W755" s="85"/>
      <c r="X755" s="89" t="s">
        <v>1124</v>
      </c>
      <c r="Y755" s="79"/>
      <c r="Z755" s="79"/>
      <c r="AA755" s="94"/>
      <c r="AB755" s="79" t="s">
        <v>1124</v>
      </c>
      <c r="AC755" s="85"/>
      <c r="AD755" s="85"/>
      <c r="AE755" s="85"/>
      <c r="AF755" s="85"/>
      <c r="AG755" s="85" t="s">
        <v>1124</v>
      </c>
      <c r="AH755" s="85"/>
      <c r="AI755" s="85"/>
      <c r="AJ755" s="85"/>
      <c r="AK755" s="85"/>
      <c r="AL755" s="85"/>
      <c r="AM755" s="85"/>
      <c r="AN755" s="85"/>
      <c r="AO755" s="85"/>
      <c r="AP755" s="85"/>
      <c r="AQ755" s="85"/>
      <c r="AR755" s="85" t="s">
        <v>1124</v>
      </c>
      <c r="AS755" s="85"/>
      <c r="AT755" s="85"/>
      <c r="AU755" s="85"/>
      <c r="AV755" s="85"/>
      <c r="AW755" s="85"/>
      <c r="AX755" s="85"/>
      <c r="AY755" s="85"/>
      <c r="AZ755" s="85"/>
      <c r="BA755" s="85"/>
      <c r="BB755" s="89"/>
      <c r="BC755" s="89" t="s">
        <v>1124</v>
      </c>
      <c r="BD755" s="37"/>
      <c r="BE755" s="37"/>
      <c r="BF755" s="279"/>
      <c r="BG755" s="37"/>
      <c r="BH755" s="37"/>
      <c r="BI755" s="37"/>
      <c r="BJ755" s="283"/>
      <c r="BK755" s="161"/>
      <c r="BL755" s="294"/>
      <c r="BM755"/>
      <c r="BN755"/>
      <c r="BO755"/>
      <c r="BP755"/>
      <c r="BQ755"/>
      <c r="BR755"/>
      <c r="BS755"/>
      <c r="BT755"/>
      <c r="BU755"/>
      <c r="BV755"/>
      <c r="BW755"/>
      <c r="BX755"/>
      <c r="BY755"/>
      <c r="BZ755"/>
      <c r="CA755"/>
      <c r="CB755"/>
      <c r="CC755"/>
      <c r="CD755"/>
      <c r="CE755"/>
      <c r="CF755"/>
      <c r="CG755"/>
      <c r="CH755"/>
      <c r="CI755"/>
      <c r="CJ755"/>
    </row>
    <row r="756" spans="1:88" s="32" customFormat="1" ht="15" customHeight="1" x14ac:dyDescent="0.35">
      <c r="A756" s="473"/>
      <c r="B756" s="313">
        <v>28030</v>
      </c>
      <c r="C756" s="8" t="s">
        <v>192</v>
      </c>
      <c r="D756" s="18">
        <v>12</v>
      </c>
      <c r="E756" s="251"/>
      <c r="F756" s="82"/>
      <c r="G756" s="79"/>
      <c r="H756" s="90"/>
      <c r="I756" s="85"/>
      <c r="J756" s="85"/>
      <c r="K756" s="85"/>
      <c r="L756" s="85"/>
      <c r="M756" s="85"/>
      <c r="N756" s="85"/>
      <c r="O756" s="85"/>
      <c r="P756" s="85"/>
      <c r="Q756" s="85"/>
      <c r="R756" s="85"/>
      <c r="S756" s="89"/>
      <c r="T756" s="89" t="s">
        <v>1124</v>
      </c>
      <c r="U756" s="85"/>
      <c r="V756" s="85"/>
      <c r="W756" s="85"/>
      <c r="X756" s="89" t="s">
        <v>1124</v>
      </c>
      <c r="Y756" s="79"/>
      <c r="Z756" s="79"/>
      <c r="AA756" s="94"/>
      <c r="AB756" s="79" t="s">
        <v>1124</v>
      </c>
      <c r="AC756" s="85"/>
      <c r="AD756" s="85"/>
      <c r="AE756" s="85"/>
      <c r="AF756" s="85"/>
      <c r="AG756" s="85" t="s">
        <v>1124</v>
      </c>
      <c r="AH756" s="85"/>
      <c r="AI756" s="85"/>
      <c r="AJ756" s="85"/>
      <c r="AK756" s="85"/>
      <c r="AL756" s="85"/>
      <c r="AM756" s="85"/>
      <c r="AN756" s="85"/>
      <c r="AO756" s="85"/>
      <c r="AP756" s="85"/>
      <c r="AQ756" s="85"/>
      <c r="AR756" s="85" t="s">
        <v>1124</v>
      </c>
      <c r="AS756" s="85"/>
      <c r="AT756" s="85"/>
      <c r="AU756" s="85"/>
      <c r="AV756" s="85"/>
      <c r="AW756" s="85"/>
      <c r="AX756" s="85"/>
      <c r="AY756" s="85"/>
      <c r="AZ756" s="85"/>
      <c r="BA756" s="85"/>
      <c r="BB756" s="89"/>
      <c r="BC756" s="89" t="s">
        <v>1124</v>
      </c>
      <c r="BD756" s="37"/>
      <c r="BE756" s="37"/>
      <c r="BF756" s="279"/>
      <c r="BG756" s="37"/>
      <c r="BH756" s="37"/>
      <c r="BI756" s="37"/>
      <c r="BJ756" s="283"/>
      <c r="BK756" s="161"/>
      <c r="BL756" s="294"/>
      <c r="BM756"/>
      <c r="BN756"/>
      <c r="BO756"/>
      <c r="BP756"/>
      <c r="BQ756"/>
      <c r="BR756"/>
      <c r="BS756"/>
      <c r="BT756"/>
      <c r="BU756"/>
      <c r="BV756"/>
      <c r="BW756"/>
      <c r="BX756"/>
      <c r="BY756"/>
      <c r="BZ756"/>
      <c r="CA756"/>
      <c r="CB756"/>
      <c r="CC756"/>
      <c r="CD756"/>
      <c r="CE756"/>
      <c r="CF756"/>
      <c r="CG756"/>
      <c r="CH756"/>
      <c r="CI756"/>
      <c r="CJ756"/>
    </row>
    <row r="757" spans="1:88" s="32" customFormat="1" ht="15" customHeight="1" x14ac:dyDescent="0.35">
      <c r="A757" s="473"/>
      <c r="B757" s="313">
        <v>94230</v>
      </c>
      <c r="C757" s="8" t="s">
        <v>978</v>
      </c>
      <c r="D757" s="18">
        <v>2</v>
      </c>
      <c r="E757" s="251"/>
      <c r="F757" s="82"/>
      <c r="G757" s="79"/>
      <c r="H757" s="90"/>
      <c r="I757" s="85"/>
      <c r="J757" s="85"/>
      <c r="K757" s="85"/>
      <c r="L757" s="85"/>
      <c r="M757" s="85"/>
      <c r="N757" s="85"/>
      <c r="O757" s="85"/>
      <c r="P757" s="85"/>
      <c r="Q757" s="85"/>
      <c r="R757" s="85"/>
      <c r="S757" s="89"/>
      <c r="T757" s="89" t="s">
        <v>1124</v>
      </c>
      <c r="U757" s="85"/>
      <c r="V757" s="85"/>
      <c r="W757" s="85"/>
      <c r="X757" s="89" t="s">
        <v>1124</v>
      </c>
      <c r="Y757" s="79"/>
      <c r="Z757" s="79"/>
      <c r="AA757" s="94"/>
      <c r="AB757" s="79" t="s">
        <v>1124</v>
      </c>
      <c r="AC757" s="85"/>
      <c r="AD757" s="85"/>
      <c r="AE757" s="85"/>
      <c r="AF757" s="85"/>
      <c r="AG757" s="85" t="s">
        <v>1124</v>
      </c>
      <c r="AH757" s="85"/>
      <c r="AI757" s="85"/>
      <c r="AJ757" s="85"/>
      <c r="AK757" s="85"/>
      <c r="AL757" s="85"/>
      <c r="AM757" s="85"/>
      <c r="AN757" s="85"/>
      <c r="AO757" s="85"/>
      <c r="AP757" s="85"/>
      <c r="AQ757" s="85"/>
      <c r="AR757" s="85" t="s">
        <v>1124</v>
      </c>
      <c r="AS757" s="85"/>
      <c r="AT757" s="85"/>
      <c r="AU757" s="85"/>
      <c r="AV757" s="85"/>
      <c r="AW757" s="85"/>
      <c r="AX757" s="85"/>
      <c r="AY757" s="85"/>
      <c r="AZ757" s="85"/>
      <c r="BA757" s="85"/>
      <c r="BB757" s="89"/>
      <c r="BC757" s="89" t="s">
        <v>1124</v>
      </c>
      <c r="BD757" s="37"/>
      <c r="BE757" s="37"/>
      <c r="BF757" s="279"/>
      <c r="BG757" s="37"/>
      <c r="BH757" s="37"/>
      <c r="BI757" s="37"/>
      <c r="BJ757" s="283"/>
      <c r="BK757" s="161"/>
      <c r="BL757" s="294"/>
      <c r="BM757"/>
      <c r="BN757"/>
      <c r="BO757"/>
      <c r="BP757"/>
      <c r="BQ757"/>
      <c r="BR757"/>
      <c r="BS757"/>
      <c r="BT757"/>
      <c r="BU757"/>
      <c r="BV757"/>
      <c r="BW757"/>
      <c r="BX757"/>
      <c r="BY757"/>
      <c r="BZ757"/>
      <c r="CA757"/>
      <c r="CB757"/>
      <c r="CC757"/>
      <c r="CD757"/>
      <c r="CE757"/>
      <c r="CF757"/>
      <c r="CG757"/>
      <c r="CH757"/>
      <c r="CI757"/>
      <c r="CJ757"/>
    </row>
    <row r="758" spans="1:88" s="32" customFormat="1" ht="15" customHeight="1" x14ac:dyDescent="0.35">
      <c r="A758" s="473"/>
      <c r="B758" s="313">
        <v>28065</v>
      </c>
      <c r="C758" s="8" t="s">
        <v>198</v>
      </c>
      <c r="D758" s="18">
        <v>12</v>
      </c>
      <c r="E758" s="251"/>
      <c r="F758" s="82"/>
      <c r="G758" s="79"/>
      <c r="H758" s="90"/>
      <c r="I758" s="85"/>
      <c r="J758" s="85"/>
      <c r="K758" s="85"/>
      <c r="L758" s="85"/>
      <c r="M758" s="85"/>
      <c r="N758" s="85"/>
      <c r="O758" s="85"/>
      <c r="P758" s="85"/>
      <c r="Q758" s="85"/>
      <c r="R758" s="85"/>
      <c r="S758" s="89"/>
      <c r="T758" s="89" t="s">
        <v>1124</v>
      </c>
      <c r="U758" s="85"/>
      <c r="V758" s="85"/>
      <c r="W758" s="85"/>
      <c r="X758" s="89" t="s">
        <v>1124</v>
      </c>
      <c r="Y758" s="79"/>
      <c r="Z758" s="79"/>
      <c r="AA758" s="94"/>
      <c r="AB758" s="79" t="s">
        <v>1124</v>
      </c>
      <c r="AC758" s="85"/>
      <c r="AD758" s="85"/>
      <c r="AE758" s="85"/>
      <c r="AF758" s="85"/>
      <c r="AG758" s="85" t="s">
        <v>1124</v>
      </c>
      <c r="AH758" s="85"/>
      <c r="AI758" s="85"/>
      <c r="AJ758" s="85"/>
      <c r="AK758" s="85"/>
      <c r="AL758" s="85"/>
      <c r="AM758" s="85"/>
      <c r="AN758" s="85"/>
      <c r="AO758" s="85"/>
      <c r="AP758" s="85"/>
      <c r="AQ758" s="85"/>
      <c r="AR758" s="85" t="s">
        <v>1124</v>
      </c>
      <c r="AS758" s="85"/>
      <c r="AT758" s="85"/>
      <c r="AU758" s="85"/>
      <c r="AV758" s="85"/>
      <c r="AW758" s="85"/>
      <c r="AX758" s="85"/>
      <c r="AY758" s="85"/>
      <c r="AZ758" s="85"/>
      <c r="BA758" s="85"/>
      <c r="BB758" s="89"/>
      <c r="BC758" s="89" t="s">
        <v>1124</v>
      </c>
      <c r="BD758" s="37"/>
      <c r="BE758" s="37"/>
      <c r="BF758" s="279"/>
      <c r="BG758" s="37"/>
      <c r="BH758" s="37"/>
      <c r="BI758" s="37"/>
      <c r="BJ758" s="283"/>
      <c r="BK758" s="161"/>
      <c r="BL758" s="294"/>
      <c r="BM758"/>
      <c r="BN758"/>
      <c r="BO758"/>
      <c r="BP758"/>
      <c r="BQ758"/>
      <c r="BR758"/>
      <c r="BS758"/>
      <c r="BT758"/>
      <c r="BU758"/>
      <c r="BV758"/>
      <c r="BW758"/>
      <c r="BX758"/>
      <c r="BY758"/>
      <c r="BZ758"/>
      <c r="CA758"/>
      <c r="CB758"/>
      <c r="CC758"/>
      <c r="CD758"/>
      <c r="CE758"/>
      <c r="CF758"/>
      <c r="CG758"/>
      <c r="CH758"/>
      <c r="CI758"/>
      <c r="CJ758"/>
    </row>
    <row r="759" spans="1:88" s="32" customFormat="1" ht="15" customHeight="1" x14ac:dyDescent="0.35">
      <c r="A759" s="473"/>
      <c r="B759" s="313">
        <v>46105</v>
      </c>
      <c r="C759" s="8" t="s">
        <v>446</v>
      </c>
      <c r="D759" s="18">
        <v>5</v>
      </c>
      <c r="E759" s="251"/>
      <c r="F759" s="82"/>
      <c r="G759" s="79"/>
      <c r="H759" s="90"/>
      <c r="I759" s="85"/>
      <c r="J759" s="85"/>
      <c r="K759" s="85"/>
      <c r="L759" s="85"/>
      <c r="M759" s="85"/>
      <c r="N759" s="85"/>
      <c r="O759" s="85"/>
      <c r="P759" s="85"/>
      <c r="Q759" s="85"/>
      <c r="R759" s="85"/>
      <c r="S759" s="89"/>
      <c r="T759" s="89" t="s">
        <v>1124</v>
      </c>
      <c r="U759" s="85"/>
      <c r="V759" s="85"/>
      <c r="W759" s="85"/>
      <c r="X759" s="89" t="s">
        <v>1124</v>
      </c>
      <c r="Y759" s="79"/>
      <c r="Z759" s="79"/>
      <c r="AA759" s="94"/>
      <c r="AB759" s="79" t="s">
        <v>1124</v>
      </c>
      <c r="AC759" s="85"/>
      <c r="AD759" s="85"/>
      <c r="AE759" s="85"/>
      <c r="AF759" s="85"/>
      <c r="AG759" s="85" t="s">
        <v>1124</v>
      </c>
      <c r="AH759" s="85"/>
      <c r="AI759" s="85"/>
      <c r="AJ759" s="85"/>
      <c r="AK759" s="85"/>
      <c r="AL759" s="85"/>
      <c r="AM759" s="85"/>
      <c r="AN759" s="85"/>
      <c r="AO759" s="85"/>
      <c r="AP759" s="85"/>
      <c r="AQ759" s="85"/>
      <c r="AR759" s="85" t="s">
        <v>1124</v>
      </c>
      <c r="AS759" s="85"/>
      <c r="AT759" s="85"/>
      <c r="AU759" s="85"/>
      <c r="AV759" s="85"/>
      <c r="AW759" s="85"/>
      <c r="AX759" s="85"/>
      <c r="AY759" s="85"/>
      <c r="AZ759" s="85"/>
      <c r="BA759" s="85"/>
      <c r="BB759" s="89"/>
      <c r="BC759" s="89" t="s">
        <v>1124</v>
      </c>
      <c r="BD759" s="37"/>
      <c r="BE759" s="37"/>
      <c r="BF759" s="279"/>
      <c r="BG759" s="37"/>
      <c r="BH759" s="37"/>
      <c r="BI759" s="37"/>
      <c r="BJ759" s="283"/>
      <c r="BK759" s="161"/>
      <c r="BL759" s="294"/>
      <c r="BM759"/>
      <c r="BN759"/>
      <c r="BO759"/>
      <c r="BP759"/>
      <c r="BQ759"/>
      <c r="BR759"/>
      <c r="BS759"/>
      <c r="BT759"/>
      <c r="BU759"/>
      <c r="BV759"/>
      <c r="BW759"/>
      <c r="BX759"/>
      <c r="BY759"/>
      <c r="BZ759"/>
      <c r="CA759"/>
      <c r="CB759"/>
      <c r="CC759"/>
      <c r="CD759"/>
      <c r="CE759"/>
      <c r="CF759"/>
      <c r="CG759"/>
      <c r="CH759"/>
      <c r="CI759"/>
      <c r="CJ759"/>
    </row>
    <row r="760" spans="1:88" s="32" customFormat="1" ht="15" customHeight="1" x14ac:dyDescent="0.35">
      <c r="A760" s="473"/>
      <c r="B760" s="313">
        <v>39105</v>
      </c>
      <c r="C760" s="8" t="s">
        <v>351</v>
      </c>
      <c r="D760" s="18">
        <v>17</v>
      </c>
      <c r="E760" s="251"/>
      <c r="F760" s="82"/>
      <c r="G760" s="79"/>
      <c r="H760" s="90"/>
      <c r="I760" s="85"/>
      <c r="J760" s="85"/>
      <c r="K760" s="85"/>
      <c r="L760" s="85"/>
      <c r="M760" s="85"/>
      <c r="N760" s="85"/>
      <c r="O760" s="85"/>
      <c r="P760" s="85"/>
      <c r="Q760" s="85"/>
      <c r="R760" s="85"/>
      <c r="S760" s="89"/>
      <c r="T760" s="89" t="s">
        <v>1124</v>
      </c>
      <c r="U760" s="85"/>
      <c r="V760" s="85"/>
      <c r="W760" s="85"/>
      <c r="X760" s="89" t="s">
        <v>1124</v>
      </c>
      <c r="Y760" s="79"/>
      <c r="Z760" s="79"/>
      <c r="AA760" s="94"/>
      <c r="AB760" s="79" t="s">
        <v>1124</v>
      </c>
      <c r="AC760" s="85"/>
      <c r="AD760" s="85"/>
      <c r="AE760" s="85"/>
      <c r="AF760" s="85"/>
      <c r="AG760" s="85" t="s">
        <v>1124</v>
      </c>
      <c r="AH760" s="85"/>
      <c r="AI760" s="85"/>
      <c r="AJ760" s="85"/>
      <c r="AK760" s="85"/>
      <c r="AL760" s="85"/>
      <c r="AM760" s="85"/>
      <c r="AN760" s="85"/>
      <c r="AO760" s="85"/>
      <c r="AP760" s="85"/>
      <c r="AQ760" s="85"/>
      <c r="AR760" s="85" t="s">
        <v>1124</v>
      </c>
      <c r="AS760" s="85"/>
      <c r="AT760" s="85"/>
      <c r="AU760" s="85"/>
      <c r="AV760" s="85"/>
      <c r="AW760" s="85"/>
      <c r="AX760" s="85"/>
      <c r="AY760" s="85"/>
      <c r="AZ760" s="85"/>
      <c r="BA760" s="85"/>
      <c r="BB760" s="89"/>
      <c r="BC760" s="89" t="s">
        <v>1124</v>
      </c>
      <c r="BD760" s="37"/>
      <c r="BE760" s="37"/>
      <c r="BF760" s="279"/>
      <c r="BG760" s="37"/>
      <c r="BH760" s="37"/>
      <c r="BI760" s="37"/>
      <c r="BJ760" s="283"/>
      <c r="BK760" s="161"/>
      <c r="BL760" s="294"/>
      <c r="BM760"/>
      <c r="BN760"/>
      <c r="BO760"/>
      <c r="BP760"/>
      <c r="BQ760"/>
      <c r="BR760"/>
      <c r="BS760"/>
      <c r="BT760"/>
      <c r="BU760"/>
      <c r="BV760"/>
      <c r="BW760"/>
      <c r="BX760"/>
      <c r="BY760"/>
      <c r="BZ760"/>
      <c r="CA760"/>
      <c r="CB760"/>
      <c r="CC760"/>
      <c r="CD760"/>
      <c r="CE760"/>
      <c r="CF760"/>
      <c r="CG760"/>
      <c r="CH760"/>
      <c r="CI760"/>
      <c r="CJ760"/>
    </row>
    <row r="761" spans="1:88" s="32" customFormat="1" ht="15" customHeight="1" x14ac:dyDescent="0.35">
      <c r="A761" s="473"/>
      <c r="B761" s="313">
        <v>75028</v>
      </c>
      <c r="C761" s="8" t="s">
        <v>744</v>
      </c>
      <c r="D761" s="18">
        <v>15</v>
      </c>
      <c r="E761" s="251">
        <v>945</v>
      </c>
      <c r="F761" s="82">
        <v>2.5032132715588102</v>
      </c>
      <c r="G761" s="79">
        <v>2365.5365416230757</v>
      </c>
      <c r="H761" s="90">
        <v>20.135000000000002</v>
      </c>
      <c r="I761" s="85">
        <v>18.372</v>
      </c>
      <c r="J761" s="85">
        <v>22.37</v>
      </c>
      <c r="K761" s="85">
        <v>19.908000000000001</v>
      </c>
      <c r="L761" s="85">
        <v>24.349</v>
      </c>
      <c r="M761" s="85">
        <v>27.315999999999999</v>
      </c>
      <c r="N761" s="85">
        <v>30.585000000000001</v>
      </c>
      <c r="O761" s="85">
        <v>29.707000000000001</v>
      </c>
      <c r="P761" s="85">
        <v>24.939</v>
      </c>
      <c r="Q761" s="85">
        <v>23.989000000000001</v>
      </c>
      <c r="R761" s="85">
        <v>22.693000000000001</v>
      </c>
      <c r="S761" s="89">
        <v>24.879000000000001</v>
      </c>
      <c r="T761" s="89">
        <v>289.24200000000002</v>
      </c>
      <c r="U761" s="85">
        <v>252.56200000000001</v>
      </c>
      <c r="V761" s="85">
        <v>36.68</v>
      </c>
      <c r="W761" s="85">
        <v>0</v>
      </c>
      <c r="X761" s="89">
        <v>289.24200000000002</v>
      </c>
      <c r="Y761" s="79">
        <v>1</v>
      </c>
      <c r="Z761" s="79">
        <v>2</v>
      </c>
      <c r="AA761" s="94">
        <v>0</v>
      </c>
      <c r="AB761" s="79">
        <v>3</v>
      </c>
      <c r="AC761" s="85">
        <v>180.2</v>
      </c>
      <c r="AD761" s="85">
        <v>29.966000000000001</v>
      </c>
      <c r="AE761" s="85">
        <v>79.075999999999993</v>
      </c>
      <c r="AF761" s="85">
        <v>0</v>
      </c>
      <c r="AG761" s="85">
        <v>289.24199999999996</v>
      </c>
      <c r="AH761" s="85">
        <v>252.56200000000001</v>
      </c>
      <c r="AI761" s="85">
        <v>0</v>
      </c>
      <c r="AJ761" s="85">
        <v>0</v>
      </c>
      <c r="AK761" s="85">
        <v>0</v>
      </c>
      <c r="AL761" s="85">
        <v>0</v>
      </c>
      <c r="AM761" s="85">
        <v>0</v>
      </c>
      <c r="AN761" s="85">
        <v>0</v>
      </c>
      <c r="AO761" s="85">
        <v>0</v>
      </c>
      <c r="AP761" s="85">
        <v>0</v>
      </c>
      <c r="AQ761" s="85">
        <v>0</v>
      </c>
      <c r="AR761" s="85">
        <v>252.56200000000001</v>
      </c>
      <c r="AS761" s="85">
        <v>0</v>
      </c>
      <c r="AT761" s="85">
        <v>0</v>
      </c>
      <c r="AU761" s="85">
        <v>0</v>
      </c>
      <c r="AV761" s="85">
        <v>24.059000000000001</v>
      </c>
      <c r="AW761" s="85">
        <v>0</v>
      </c>
      <c r="AX761" s="85">
        <v>0</v>
      </c>
      <c r="AY761" s="85">
        <v>12.621</v>
      </c>
      <c r="AZ761" s="85">
        <v>0</v>
      </c>
      <c r="BA761" s="85">
        <v>0</v>
      </c>
      <c r="BB761" s="89">
        <v>0</v>
      </c>
      <c r="BC761" s="89">
        <v>36.68</v>
      </c>
      <c r="BD761" s="37">
        <v>10761</v>
      </c>
      <c r="BE761" s="37">
        <v>40420</v>
      </c>
      <c r="BF761" s="279">
        <v>46994</v>
      </c>
      <c r="BG761" s="37">
        <v>127801</v>
      </c>
      <c r="BH761" s="37">
        <v>39720</v>
      </c>
      <c r="BI761" s="37">
        <v>0</v>
      </c>
      <c r="BJ761" s="283">
        <v>214515</v>
      </c>
      <c r="BK761" s="161"/>
      <c r="BL761" s="294"/>
      <c r="BM761"/>
      <c r="BN761"/>
      <c r="BO761"/>
      <c r="BP761"/>
      <c r="BQ761"/>
      <c r="BR761"/>
      <c r="BS761"/>
      <c r="BT761"/>
      <c r="BU761"/>
      <c r="BV761"/>
      <c r="BW761"/>
      <c r="BX761"/>
      <c r="BY761"/>
      <c r="BZ761"/>
      <c r="CA761"/>
      <c r="CB761"/>
      <c r="CC761"/>
      <c r="CD761"/>
      <c r="CE761"/>
      <c r="CF761"/>
      <c r="CG761"/>
      <c r="CH761"/>
      <c r="CI761"/>
      <c r="CJ761"/>
    </row>
    <row r="762" spans="1:88" s="32" customFormat="1" ht="15" customHeight="1" x14ac:dyDescent="0.35">
      <c r="A762" s="473"/>
      <c r="B762" s="313">
        <v>38040</v>
      </c>
      <c r="C762" s="8" t="s">
        <v>331</v>
      </c>
      <c r="D762" s="18">
        <v>17</v>
      </c>
      <c r="E762" s="251"/>
      <c r="F762" s="82"/>
      <c r="G762" s="79"/>
      <c r="H762" s="90"/>
      <c r="I762" s="85"/>
      <c r="J762" s="85"/>
      <c r="K762" s="85"/>
      <c r="L762" s="85"/>
      <c r="M762" s="85"/>
      <c r="N762" s="85"/>
      <c r="O762" s="85"/>
      <c r="P762" s="85"/>
      <c r="Q762" s="85"/>
      <c r="R762" s="85"/>
      <c r="S762" s="89"/>
      <c r="T762" s="89" t="s">
        <v>1124</v>
      </c>
      <c r="U762" s="85"/>
      <c r="V762" s="85"/>
      <c r="W762" s="85"/>
      <c r="X762" s="89" t="s">
        <v>1124</v>
      </c>
      <c r="Y762" s="79"/>
      <c r="Z762" s="79"/>
      <c r="AA762" s="94"/>
      <c r="AB762" s="79" t="s">
        <v>1124</v>
      </c>
      <c r="AC762" s="85"/>
      <c r="AD762" s="85"/>
      <c r="AE762" s="85"/>
      <c r="AF762" s="85"/>
      <c r="AG762" s="85" t="s">
        <v>1124</v>
      </c>
      <c r="AH762" s="85"/>
      <c r="AI762" s="85"/>
      <c r="AJ762" s="85"/>
      <c r="AK762" s="85"/>
      <c r="AL762" s="85"/>
      <c r="AM762" s="85"/>
      <c r="AN762" s="85"/>
      <c r="AO762" s="85"/>
      <c r="AP762" s="85"/>
      <c r="AQ762" s="85"/>
      <c r="AR762" s="85" t="s">
        <v>1124</v>
      </c>
      <c r="AS762" s="85"/>
      <c r="AT762" s="85"/>
      <c r="AU762" s="85"/>
      <c r="AV762" s="85"/>
      <c r="AW762" s="85"/>
      <c r="AX762" s="85"/>
      <c r="AY762" s="85"/>
      <c r="AZ762" s="85"/>
      <c r="BA762" s="85"/>
      <c r="BB762" s="89"/>
      <c r="BC762" s="89" t="s">
        <v>1124</v>
      </c>
      <c r="BD762" s="37"/>
      <c r="BE762" s="37"/>
      <c r="BF762" s="279"/>
      <c r="BG762" s="37"/>
      <c r="BH762" s="37"/>
      <c r="BI762" s="37"/>
      <c r="BJ762" s="283"/>
      <c r="BK762" s="161"/>
      <c r="BL762" s="294"/>
      <c r="BM762"/>
      <c r="BN762"/>
      <c r="BO762"/>
      <c r="BP762"/>
      <c r="BQ762"/>
      <c r="BR762"/>
      <c r="BS762"/>
      <c r="BT762"/>
      <c r="BU762"/>
      <c r="BV762"/>
      <c r="BW762"/>
      <c r="BX762"/>
      <c r="BY762"/>
      <c r="BZ762"/>
      <c r="CA762"/>
      <c r="CB762"/>
      <c r="CC762"/>
      <c r="CD762"/>
      <c r="CE762"/>
      <c r="CF762"/>
      <c r="CG762"/>
      <c r="CH762"/>
      <c r="CI762"/>
      <c r="CJ762"/>
    </row>
    <row r="763" spans="1:88" s="32" customFormat="1" ht="15" customHeight="1" x14ac:dyDescent="0.35">
      <c r="A763" s="473"/>
      <c r="B763" s="313">
        <v>32023</v>
      </c>
      <c r="C763" s="8" t="s">
        <v>257</v>
      </c>
      <c r="D763" s="18">
        <v>17</v>
      </c>
      <c r="E763" s="251"/>
      <c r="F763" s="82"/>
      <c r="G763" s="79"/>
      <c r="H763" s="90"/>
      <c r="I763" s="85"/>
      <c r="J763" s="85"/>
      <c r="K763" s="85"/>
      <c r="L763" s="85"/>
      <c r="M763" s="85"/>
      <c r="N763" s="85"/>
      <c r="O763" s="85"/>
      <c r="P763" s="85"/>
      <c r="Q763" s="85"/>
      <c r="R763" s="85"/>
      <c r="S763" s="89"/>
      <c r="T763" s="89" t="s">
        <v>1124</v>
      </c>
      <c r="U763" s="85"/>
      <c r="V763" s="85"/>
      <c r="W763" s="85"/>
      <c r="X763" s="89" t="s">
        <v>1124</v>
      </c>
      <c r="Y763" s="79"/>
      <c r="Z763" s="79"/>
      <c r="AA763" s="94"/>
      <c r="AB763" s="79" t="s">
        <v>1124</v>
      </c>
      <c r="AC763" s="85"/>
      <c r="AD763" s="85"/>
      <c r="AE763" s="85"/>
      <c r="AF763" s="85"/>
      <c r="AG763" s="85" t="s">
        <v>1124</v>
      </c>
      <c r="AH763" s="85"/>
      <c r="AI763" s="85"/>
      <c r="AJ763" s="85"/>
      <c r="AK763" s="85"/>
      <c r="AL763" s="85"/>
      <c r="AM763" s="85"/>
      <c r="AN763" s="85"/>
      <c r="AO763" s="85"/>
      <c r="AP763" s="85"/>
      <c r="AQ763" s="85"/>
      <c r="AR763" s="85" t="s">
        <v>1124</v>
      </c>
      <c r="AS763" s="85"/>
      <c r="AT763" s="85"/>
      <c r="AU763" s="85"/>
      <c r="AV763" s="85"/>
      <c r="AW763" s="85"/>
      <c r="AX763" s="85"/>
      <c r="AY763" s="85"/>
      <c r="AZ763" s="85"/>
      <c r="BA763" s="85"/>
      <c r="BB763" s="89"/>
      <c r="BC763" s="89" t="s">
        <v>1124</v>
      </c>
      <c r="BD763" s="37"/>
      <c r="BE763" s="37"/>
      <c r="BF763" s="279"/>
      <c r="BG763" s="37"/>
      <c r="BH763" s="37"/>
      <c r="BI763" s="37"/>
      <c r="BJ763" s="283"/>
      <c r="BK763" s="161"/>
      <c r="BL763" s="294"/>
      <c r="BM763"/>
      <c r="BN763"/>
      <c r="BO763"/>
      <c r="BP763"/>
      <c r="BQ763"/>
      <c r="BR763"/>
      <c r="BS763"/>
      <c r="BT763"/>
      <c r="BU763"/>
      <c r="BV763"/>
      <c r="BW763"/>
      <c r="BX763"/>
      <c r="BY763"/>
      <c r="BZ763"/>
      <c r="CA763"/>
      <c r="CB763"/>
      <c r="CC763"/>
      <c r="CD763"/>
      <c r="CE763"/>
      <c r="CF763"/>
      <c r="CG763"/>
      <c r="CH763"/>
      <c r="CI763"/>
      <c r="CJ763"/>
    </row>
    <row r="764" spans="1:88" s="32" customFormat="1" ht="15" customHeight="1" x14ac:dyDescent="0.35">
      <c r="A764" s="473"/>
      <c r="B764" s="313">
        <v>63030</v>
      </c>
      <c r="C764" s="8" t="s">
        <v>637</v>
      </c>
      <c r="D764" s="18">
        <v>14</v>
      </c>
      <c r="E764" s="251">
        <v>618</v>
      </c>
      <c r="F764" s="82">
        <v>2.3543123543123543</v>
      </c>
      <c r="G764" s="79">
        <v>1454.9650349650349</v>
      </c>
      <c r="H764" s="90">
        <v>20.995999999999999</v>
      </c>
      <c r="I764" s="85">
        <v>15.34</v>
      </c>
      <c r="J764" s="85">
        <v>16.100999999999999</v>
      </c>
      <c r="K764" s="85">
        <v>15.62</v>
      </c>
      <c r="L764" s="85">
        <v>19.995000000000001</v>
      </c>
      <c r="M764" s="85">
        <v>21.318000000000001</v>
      </c>
      <c r="N764" s="85">
        <v>23.849</v>
      </c>
      <c r="O764" s="85">
        <v>24.256</v>
      </c>
      <c r="P764" s="85">
        <v>18.707000000000001</v>
      </c>
      <c r="Q764" s="85">
        <v>19.391999999999999</v>
      </c>
      <c r="R764" s="85">
        <v>18.684000000000001</v>
      </c>
      <c r="S764" s="89">
        <v>16.158999999999999</v>
      </c>
      <c r="T764" s="89">
        <v>230.41699999999997</v>
      </c>
      <c r="U764" s="85">
        <v>0</v>
      </c>
      <c r="V764" s="85">
        <v>230.417</v>
      </c>
      <c r="W764" s="85">
        <v>0</v>
      </c>
      <c r="X764" s="89">
        <v>230.417</v>
      </c>
      <c r="Y764" s="79">
        <v>0</v>
      </c>
      <c r="Z764" s="79">
        <v>1</v>
      </c>
      <c r="AA764" s="94">
        <v>0</v>
      </c>
      <c r="AB764" s="79">
        <v>1</v>
      </c>
      <c r="AC764" s="85">
        <v>70.174999999999997</v>
      </c>
      <c r="AD764" s="85">
        <v>69.519000000000005</v>
      </c>
      <c r="AE764" s="85">
        <v>51.573</v>
      </c>
      <c r="AF764" s="85">
        <v>39.15</v>
      </c>
      <c r="AG764" s="85">
        <v>230.41700000000003</v>
      </c>
      <c r="AH764" s="85">
        <v>0</v>
      </c>
      <c r="AI764" s="85">
        <v>0</v>
      </c>
      <c r="AJ764" s="85">
        <v>0</v>
      </c>
      <c r="AK764" s="85">
        <v>0</v>
      </c>
      <c r="AL764" s="85">
        <v>0</v>
      </c>
      <c r="AM764" s="85">
        <v>0</v>
      </c>
      <c r="AN764" s="85">
        <v>0</v>
      </c>
      <c r="AO764" s="85">
        <v>0</v>
      </c>
      <c r="AP764" s="85">
        <v>0</v>
      </c>
      <c r="AQ764" s="85">
        <v>0</v>
      </c>
      <c r="AR764" s="85">
        <v>0</v>
      </c>
      <c r="AS764" s="85">
        <v>0</v>
      </c>
      <c r="AT764" s="85">
        <v>0</v>
      </c>
      <c r="AU764" s="85">
        <v>0</v>
      </c>
      <c r="AV764" s="85">
        <v>0</v>
      </c>
      <c r="AW764" s="85">
        <v>0</v>
      </c>
      <c r="AX764" s="85">
        <v>0</v>
      </c>
      <c r="AY764" s="85">
        <v>0</v>
      </c>
      <c r="AZ764" s="85">
        <v>230.417</v>
      </c>
      <c r="BA764" s="85">
        <v>0</v>
      </c>
      <c r="BB764" s="89">
        <v>0</v>
      </c>
      <c r="BC764" s="89">
        <v>230.417</v>
      </c>
      <c r="BD764" s="37">
        <v>367099</v>
      </c>
      <c r="BE764" s="37">
        <v>18835</v>
      </c>
      <c r="BF764" s="279">
        <v>18163</v>
      </c>
      <c r="BG764" s="37">
        <v>82050</v>
      </c>
      <c r="BH764" s="37">
        <v>45254</v>
      </c>
      <c r="BI764" s="37">
        <v>0</v>
      </c>
      <c r="BJ764" s="283">
        <v>145467</v>
      </c>
      <c r="BK764" s="161"/>
      <c r="BL764" s="294"/>
      <c r="BM764"/>
      <c r="BN764"/>
      <c r="BO764"/>
      <c r="BP764"/>
      <c r="BQ764"/>
      <c r="BR764"/>
      <c r="BS764"/>
      <c r="BT764"/>
      <c r="BU764"/>
      <c r="BV764"/>
      <c r="BW764"/>
      <c r="BX764"/>
      <c r="BY764"/>
      <c r="BZ764"/>
      <c r="CA764"/>
      <c r="CB764"/>
      <c r="CC764"/>
      <c r="CD764"/>
      <c r="CE764"/>
      <c r="CF764"/>
      <c r="CG764"/>
      <c r="CH764"/>
      <c r="CI764"/>
      <c r="CJ764"/>
    </row>
    <row r="765" spans="1:88" s="32" customFormat="1" ht="15" customHeight="1" x14ac:dyDescent="0.35">
      <c r="A765" s="473"/>
      <c r="B765" s="313">
        <v>35050</v>
      </c>
      <c r="C765" s="8" t="s">
        <v>311</v>
      </c>
      <c r="D765" s="18">
        <v>4</v>
      </c>
      <c r="E765" s="251">
        <v>1409</v>
      </c>
      <c r="F765" s="82">
        <v>1.8948687534347297</v>
      </c>
      <c r="G765" s="79">
        <v>2669.8700735895341</v>
      </c>
      <c r="H765" s="90">
        <v>16.554919999999999</v>
      </c>
      <c r="I765" s="85">
        <v>15.049379999999999</v>
      </c>
      <c r="J765" s="85">
        <v>17.11121</v>
      </c>
      <c r="K765" s="85">
        <v>17.623080000000002</v>
      </c>
      <c r="L765" s="85">
        <v>18.85314</v>
      </c>
      <c r="M765" s="85">
        <v>21.192640000000001</v>
      </c>
      <c r="N765" s="85">
        <v>24.06382</v>
      </c>
      <c r="O765" s="85">
        <v>21.692040000000002</v>
      </c>
      <c r="P765" s="85">
        <v>19.002119999999998</v>
      </c>
      <c r="Q765" s="85">
        <v>19.26943</v>
      </c>
      <c r="R765" s="85">
        <v>17.636089999999999</v>
      </c>
      <c r="S765" s="89">
        <v>18.745039999999999</v>
      </c>
      <c r="T765" s="89">
        <v>226.79290999999995</v>
      </c>
      <c r="U765" s="85">
        <v>0</v>
      </c>
      <c r="V765" s="85">
        <v>226.79291000000001</v>
      </c>
      <c r="W765" s="85">
        <v>0</v>
      </c>
      <c r="X765" s="89">
        <v>226.79291000000001</v>
      </c>
      <c r="Y765" s="79">
        <v>0</v>
      </c>
      <c r="Z765" s="79">
        <v>1</v>
      </c>
      <c r="AA765" s="94">
        <v>0</v>
      </c>
      <c r="AB765" s="79">
        <v>1</v>
      </c>
      <c r="AC765" s="85">
        <v>149.14253499520615</v>
      </c>
      <c r="AD765" s="85">
        <v>25.994375004793795</v>
      </c>
      <c r="AE765" s="85">
        <v>51.656000000000006</v>
      </c>
      <c r="AF765" s="85">
        <v>0</v>
      </c>
      <c r="AG765" s="85">
        <v>226.79290999999995</v>
      </c>
      <c r="AH765" s="85">
        <v>0</v>
      </c>
      <c r="AI765" s="85">
        <v>0</v>
      </c>
      <c r="AJ765" s="85">
        <v>0</v>
      </c>
      <c r="AK765" s="85">
        <v>0</v>
      </c>
      <c r="AL765" s="85">
        <v>0</v>
      </c>
      <c r="AM765" s="85">
        <v>0</v>
      </c>
      <c r="AN765" s="85">
        <v>0</v>
      </c>
      <c r="AO765" s="85">
        <v>0</v>
      </c>
      <c r="AP765" s="85">
        <v>0</v>
      </c>
      <c r="AQ765" s="85">
        <v>0</v>
      </c>
      <c r="AR765" s="85">
        <v>0</v>
      </c>
      <c r="AS765" s="85">
        <v>0</v>
      </c>
      <c r="AT765" s="85">
        <v>0</v>
      </c>
      <c r="AU765" s="85">
        <v>0</v>
      </c>
      <c r="AV765" s="85">
        <v>0</v>
      </c>
      <c r="AW765" s="85">
        <v>0</v>
      </c>
      <c r="AX765" s="85">
        <v>0</v>
      </c>
      <c r="AY765" s="85">
        <v>226.79291000000001</v>
      </c>
      <c r="AZ765" s="85">
        <v>0</v>
      </c>
      <c r="BA765" s="85">
        <v>0</v>
      </c>
      <c r="BB765" s="89">
        <v>0</v>
      </c>
      <c r="BC765" s="89">
        <v>226.79291000000001</v>
      </c>
      <c r="BD765" s="37">
        <v>0</v>
      </c>
      <c r="BE765" s="37">
        <v>0</v>
      </c>
      <c r="BF765" s="279">
        <v>40516</v>
      </c>
      <c r="BG765" s="37">
        <v>20218</v>
      </c>
      <c r="BH765" s="37">
        <v>10615</v>
      </c>
      <c r="BI765" s="37">
        <v>0</v>
      </c>
      <c r="BJ765" s="283">
        <v>71349</v>
      </c>
      <c r="BK765" s="161"/>
      <c r="BL765" s="294"/>
      <c r="BM765"/>
      <c r="BN765"/>
      <c r="BO765"/>
      <c r="BP765"/>
      <c r="BQ765"/>
      <c r="BR765"/>
      <c r="BS765"/>
      <c r="BT765"/>
      <c r="BU765"/>
      <c r="BV765"/>
      <c r="BW765"/>
      <c r="BX765"/>
      <c r="BY765"/>
      <c r="BZ765"/>
      <c r="CA765"/>
      <c r="CB765"/>
      <c r="CC765"/>
      <c r="CD765"/>
      <c r="CE765"/>
      <c r="CF765"/>
      <c r="CG765"/>
      <c r="CH765"/>
      <c r="CI765"/>
      <c r="CJ765"/>
    </row>
    <row r="766" spans="1:88" s="32" customFormat="1" ht="15" customHeight="1" x14ac:dyDescent="0.35">
      <c r="A766" s="473"/>
      <c r="B766" s="313">
        <v>73010</v>
      </c>
      <c r="C766" s="8" t="s">
        <v>735</v>
      </c>
      <c r="D766" s="18">
        <v>15</v>
      </c>
      <c r="E766" s="251">
        <v>13859</v>
      </c>
      <c r="F766" s="82">
        <v>1.9413107511045655</v>
      </c>
      <c r="G766" s="79">
        <v>26904.625699558175</v>
      </c>
      <c r="H766" s="90">
        <v>1689.2059999999999</v>
      </c>
      <c r="I766" s="85">
        <v>1544.1579999999999</v>
      </c>
      <c r="J766" s="85">
        <v>1699.33</v>
      </c>
      <c r="K766" s="85">
        <v>1584.7719999999999</v>
      </c>
      <c r="L766" s="85">
        <v>1919.8689999999999</v>
      </c>
      <c r="M766" s="85">
        <v>2111.239</v>
      </c>
      <c r="N766" s="85">
        <v>2336.0169999999998</v>
      </c>
      <c r="O766" s="85">
        <v>2359.971</v>
      </c>
      <c r="P766" s="85">
        <v>1946.4780000000001</v>
      </c>
      <c r="Q766" s="85">
        <v>1717.11</v>
      </c>
      <c r="R766" s="85">
        <v>1621.1</v>
      </c>
      <c r="S766" s="89">
        <v>1603.0050000000001</v>
      </c>
      <c r="T766" s="89">
        <v>22132.254999999997</v>
      </c>
      <c r="U766" s="85">
        <v>22132.254999999997</v>
      </c>
      <c r="V766" s="85">
        <v>0</v>
      </c>
      <c r="W766" s="85">
        <v>0</v>
      </c>
      <c r="X766" s="89">
        <v>22132.254999999997</v>
      </c>
      <c r="Y766" s="79">
        <v>1</v>
      </c>
      <c r="Z766" s="79">
        <v>0</v>
      </c>
      <c r="AA766" s="94">
        <v>0</v>
      </c>
      <c r="AB766" s="79">
        <v>1</v>
      </c>
      <c r="AC766" s="85">
        <v>5957.58</v>
      </c>
      <c r="AD766" s="85">
        <v>932</v>
      </c>
      <c r="AE766" s="85">
        <v>312</v>
      </c>
      <c r="AF766" s="85">
        <v>14930.674999999999</v>
      </c>
      <c r="AG766" s="85">
        <v>22132.254999999997</v>
      </c>
      <c r="AH766" s="85">
        <v>22132.255000000001</v>
      </c>
      <c r="AI766" s="85">
        <v>0</v>
      </c>
      <c r="AJ766" s="85">
        <v>0</v>
      </c>
      <c r="AK766" s="85">
        <v>0</v>
      </c>
      <c r="AL766" s="85">
        <v>0</v>
      </c>
      <c r="AM766" s="85">
        <v>0</v>
      </c>
      <c r="AN766" s="85">
        <v>0</v>
      </c>
      <c r="AO766" s="85">
        <v>0</v>
      </c>
      <c r="AP766" s="85">
        <v>0</v>
      </c>
      <c r="AQ766" s="85">
        <v>0</v>
      </c>
      <c r="AR766" s="85">
        <v>22132.255000000001</v>
      </c>
      <c r="AS766" s="85">
        <v>0</v>
      </c>
      <c r="AT766" s="85">
        <v>0</v>
      </c>
      <c r="AU766" s="85">
        <v>0</v>
      </c>
      <c r="AV766" s="85">
        <v>0</v>
      </c>
      <c r="AW766" s="85">
        <v>0</v>
      </c>
      <c r="AX766" s="85">
        <v>0</v>
      </c>
      <c r="AY766" s="85">
        <v>0</v>
      </c>
      <c r="AZ766" s="85">
        <v>0</v>
      </c>
      <c r="BA766" s="85">
        <v>0</v>
      </c>
      <c r="BB766" s="89">
        <v>0</v>
      </c>
      <c r="BC766" s="89">
        <v>0</v>
      </c>
      <c r="BD766" s="37">
        <v>639253</v>
      </c>
      <c r="BE766" s="37">
        <v>350262</v>
      </c>
      <c r="BF766" s="279">
        <v>1946392</v>
      </c>
      <c r="BG766" s="37">
        <v>1164830</v>
      </c>
      <c r="BH766" s="37">
        <v>848622</v>
      </c>
      <c r="BI766" s="37">
        <v>0</v>
      </c>
      <c r="BJ766" s="283">
        <v>3959844</v>
      </c>
      <c r="BK766" s="161"/>
      <c r="BL766" s="294"/>
      <c r="BM766"/>
      <c r="BN766"/>
      <c r="BO766"/>
      <c r="BP766"/>
      <c r="BQ766"/>
      <c r="BR766"/>
      <c r="BS766"/>
      <c r="BT766"/>
      <c r="BU766"/>
      <c r="BV766"/>
      <c r="BW766"/>
      <c r="BX766"/>
      <c r="BY766"/>
      <c r="BZ766"/>
      <c r="CA766"/>
      <c r="CB766"/>
      <c r="CC766"/>
      <c r="CD766"/>
      <c r="CE766"/>
      <c r="CF766"/>
      <c r="CG766"/>
      <c r="CH766"/>
      <c r="CI766"/>
      <c r="CJ766"/>
    </row>
    <row r="767" spans="1:88" s="32" customFormat="1" ht="15" customHeight="1" x14ac:dyDescent="0.35">
      <c r="A767" s="473"/>
      <c r="B767" s="313">
        <v>2010</v>
      </c>
      <c r="C767" s="8" t="s">
        <v>1027</v>
      </c>
      <c r="D767" s="18">
        <v>11</v>
      </c>
      <c r="E767" s="251"/>
      <c r="F767" s="82"/>
      <c r="G767" s="79"/>
      <c r="H767" s="90"/>
      <c r="I767" s="85"/>
      <c r="J767" s="85"/>
      <c r="K767" s="85"/>
      <c r="L767" s="85"/>
      <c r="M767" s="85"/>
      <c r="N767" s="85"/>
      <c r="O767" s="85"/>
      <c r="P767" s="85"/>
      <c r="Q767" s="85"/>
      <c r="R767" s="85"/>
      <c r="S767" s="89"/>
      <c r="T767" s="89" t="s">
        <v>1124</v>
      </c>
      <c r="U767" s="85"/>
      <c r="V767" s="85"/>
      <c r="W767" s="85"/>
      <c r="X767" s="89" t="s">
        <v>1124</v>
      </c>
      <c r="Y767" s="79"/>
      <c r="Z767" s="79"/>
      <c r="AA767" s="94"/>
      <c r="AB767" s="79" t="s">
        <v>1124</v>
      </c>
      <c r="AC767" s="85"/>
      <c r="AD767" s="85"/>
      <c r="AE767" s="85"/>
      <c r="AF767" s="85"/>
      <c r="AG767" s="85" t="s">
        <v>1124</v>
      </c>
      <c r="AH767" s="85"/>
      <c r="AI767" s="85"/>
      <c r="AJ767" s="85"/>
      <c r="AK767" s="85"/>
      <c r="AL767" s="85"/>
      <c r="AM767" s="85"/>
      <c r="AN767" s="85"/>
      <c r="AO767" s="85"/>
      <c r="AP767" s="85"/>
      <c r="AQ767" s="85"/>
      <c r="AR767" s="85" t="s">
        <v>1124</v>
      </c>
      <c r="AS767" s="85"/>
      <c r="AT767" s="85"/>
      <c r="AU767" s="85"/>
      <c r="AV767" s="85"/>
      <c r="AW767" s="85"/>
      <c r="AX767" s="85"/>
      <c r="AY767" s="85"/>
      <c r="AZ767" s="85"/>
      <c r="BA767" s="85"/>
      <c r="BB767" s="89"/>
      <c r="BC767" s="89" t="s">
        <v>1124</v>
      </c>
      <c r="BD767" s="37"/>
      <c r="BE767" s="37"/>
      <c r="BF767" s="279"/>
      <c r="BG767" s="37"/>
      <c r="BH767" s="37"/>
      <c r="BI767" s="37"/>
      <c r="BJ767" s="283"/>
      <c r="BK767" s="161"/>
      <c r="BL767" s="294"/>
      <c r="BM767"/>
      <c r="BN767"/>
      <c r="BO767"/>
      <c r="BP767"/>
      <c r="BQ767"/>
      <c r="BR767"/>
      <c r="BS767"/>
      <c r="BT767"/>
      <c r="BU767"/>
      <c r="BV767"/>
      <c r="BW767"/>
      <c r="BX767"/>
      <c r="BY767"/>
      <c r="BZ767"/>
      <c r="CA767"/>
      <c r="CB767"/>
      <c r="CC767"/>
      <c r="CD767"/>
      <c r="CE767"/>
      <c r="CF767"/>
      <c r="CG767"/>
      <c r="CH767"/>
      <c r="CI767"/>
      <c r="CJ767"/>
    </row>
    <row r="768" spans="1:88" s="32" customFormat="1" ht="15" customHeight="1" x14ac:dyDescent="0.35">
      <c r="A768" s="473"/>
      <c r="B768" s="313">
        <v>83055</v>
      </c>
      <c r="C768" s="8" t="s">
        <v>843</v>
      </c>
      <c r="D768" s="18">
        <v>7</v>
      </c>
      <c r="E768" s="251"/>
      <c r="F768" s="82"/>
      <c r="G768" s="79"/>
      <c r="H768" s="90"/>
      <c r="I768" s="85"/>
      <c r="J768" s="85"/>
      <c r="K768" s="85"/>
      <c r="L768" s="85"/>
      <c r="M768" s="85"/>
      <c r="N768" s="85"/>
      <c r="O768" s="85"/>
      <c r="P768" s="85"/>
      <c r="Q768" s="85"/>
      <c r="R768" s="85"/>
      <c r="S768" s="89"/>
      <c r="T768" s="89" t="s">
        <v>1124</v>
      </c>
      <c r="U768" s="85"/>
      <c r="V768" s="85"/>
      <c r="W768" s="85"/>
      <c r="X768" s="89" t="s">
        <v>1124</v>
      </c>
      <c r="Y768" s="79"/>
      <c r="Z768" s="79"/>
      <c r="AA768" s="94"/>
      <c r="AB768" s="79" t="s">
        <v>1124</v>
      </c>
      <c r="AC768" s="85"/>
      <c r="AD768" s="85"/>
      <c r="AE768" s="85"/>
      <c r="AF768" s="85"/>
      <c r="AG768" s="85" t="s">
        <v>1124</v>
      </c>
      <c r="AH768" s="85"/>
      <c r="AI768" s="85"/>
      <c r="AJ768" s="85"/>
      <c r="AK768" s="85"/>
      <c r="AL768" s="85"/>
      <c r="AM768" s="85"/>
      <c r="AN768" s="85"/>
      <c r="AO768" s="85"/>
      <c r="AP768" s="85"/>
      <c r="AQ768" s="85"/>
      <c r="AR768" s="85" t="s">
        <v>1124</v>
      </c>
      <c r="AS768" s="85"/>
      <c r="AT768" s="85"/>
      <c r="AU768" s="85"/>
      <c r="AV768" s="85"/>
      <c r="AW768" s="85"/>
      <c r="AX768" s="85"/>
      <c r="AY768" s="85"/>
      <c r="AZ768" s="85"/>
      <c r="BA768" s="85"/>
      <c r="BB768" s="89"/>
      <c r="BC768" s="89" t="s">
        <v>1124</v>
      </c>
      <c r="BD768" s="37"/>
      <c r="BE768" s="37"/>
      <c r="BF768" s="279"/>
      <c r="BG768" s="37"/>
      <c r="BH768" s="37"/>
      <c r="BI768" s="37"/>
      <c r="BJ768" s="283"/>
      <c r="BK768" s="161"/>
      <c r="BL768" s="294"/>
      <c r="BM768"/>
      <c r="BN768"/>
      <c r="BO768"/>
      <c r="BP768"/>
      <c r="BQ768"/>
      <c r="BR768"/>
      <c r="BS768"/>
      <c r="BT768"/>
      <c r="BU768"/>
      <c r="BV768"/>
      <c r="BW768"/>
      <c r="BX768"/>
      <c r="BY768"/>
      <c r="BZ768"/>
      <c r="CA768"/>
      <c r="CB768"/>
      <c r="CC768"/>
      <c r="CD768"/>
      <c r="CE768"/>
      <c r="CF768"/>
      <c r="CG768"/>
      <c r="CH768"/>
      <c r="CI768"/>
      <c r="CJ768"/>
    </row>
    <row r="769" spans="1:88" s="32" customFormat="1" ht="15" customHeight="1" x14ac:dyDescent="0.35">
      <c r="A769" s="473"/>
      <c r="B769" s="313">
        <v>70030</v>
      </c>
      <c r="C769" s="8" t="s">
        <v>700</v>
      </c>
      <c r="D769" s="18">
        <v>16</v>
      </c>
      <c r="E769" s="251"/>
      <c r="F769" s="82"/>
      <c r="G769" s="79"/>
      <c r="H769" s="90"/>
      <c r="I769" s="85"/>
      <c r="J769" s="85"/>
      <c r="K769" s="85"/>
      <c r="L769" s="85"/>
      <c r="M769" s="85"/>
      <c r="N769" s="85"/>
      <c r="O769" s="85"/>
      <c r="P769" s="85"/>
      <c r="Q769" s="85"/>
      <c r="R769" s="85"/>
      <c r="S769" s="89"/>
      <c r="T769" s="89" t="s">
        <v>1124</v>
      </c>
      <c r="U769" s="85"/>
      <c r="V769" s="85"/>
      <c r="W769" s="85"/>
      <c r="X769" s="89" t="s">
        <v>1124</v>
      </c>
      <c r="Y769" s="79"/>
      <c r="Z769" s="79"/>
      <c r="AA769" s="94"/>
      <c r="AB769" s="79" t="s">
        <v>1124</v>
      </c>
      <c r="AC769" s="85"/>
      <c r="AD769" s="85"/>
      <c r="AE769" s="85"/>
      <c r="AF769" s="85"/>
      <c r="AG769" s="85" t="s">
        <v>1124</v>
      </c>
      <c r="AH769" s="85"/>
      <c r="AI769" s="85"/>
      <c r="AJ769" s="85"/>
      <c r="AK769" s="85"/>
      <c r="AL769" s="85"/>
      <c r="AM769" s="85"/>
      <c r="AN769" s="85"/>
      <c r="AO769" s="85"/>
      <c r="AP769" s="85"/>
      <c r="AQ769" s="85"/>
      <c r="AR769" s="85" t="s">
        <v>1124</v>
      </c>
      <c r="AS769" s="85"/>
      <c r="AT769" s="85"/>
      <c r="AU769" s="85"/>
      <c r="AV769" s="85"/>
      <c r="AW769" s="85"/>
      <c r="AX769" s="85"/>
      <c r="AY769" s="85"/>
      <c r="AZ769" s="85"/>
      <c r="BA769" s="85"/>
      <c r="BB769" s="89"/>
      <c r="BC769" s="89" t="s">
        <v>1124</v>
      </c>
      <c r="BD769" s="37"/>
      <c r="BE769" s="37"/>
      <c r="BF769" s="279"/>
      <c r="BG769" s="37"/>
      <c r="BH769" s="37"/>
      <c r="BI769" s="37"/>
      <c r="BJ769" s="283"/>
      <c r="BK769" s="161"/>
      <c r="BL769" s="294"/>
      <c r="BM769"/>
      <c r="BN769"/>
      <c r="BO769"/>
      <c r="BP769"/>
      <c r="BQ769"/>
      <c r="BR769"/>
      <c r="BS769"/>
      <c r="BT769"/>
      <c r="BU769"/>
      <c r="BV769"/>
      <c r="BW769"/>
      <c r="BX769"/>
      <c r="BY769"/>
      <c r="BZ769"/>
      <c r="CA769"/>
      <c r="CB769"/>
      <c r="CC769"/>
      <c r="CD769"/>
      <c r="CE769"/>
      <c r="CF769"/>
      <c r="CG769"/>
      <c r="CH769"/>
      <c r="CI769"/>
      <c r="CJ769"/>
    </row>
    <row r="770" spans="1:88" s="32" customFormat="1" ht="15" customHeight="1" x14ac:dyDescent="0.35">
      <c r="A770" s="473"/>
      <c r="B770" s="313">
        <v>45100</v>
      </c>
      <c r="C770" s="8" t="s">
        <v>424</v>
      </c>
      <c r="D770" s="18">
        <v>5</v>
      </c>
      <c r="E770" s="251"/>
      <c r="F770" s="82"/>
      <c r="G770" s="79"/>
      <c r="H770" s="90"/>
      <c r="I770" s="85"/>
      <c r="J770" s="85"/>
      <c r="K770" s="85"/>
      <c r="L770" s="85"/>
      <c r="M770" s="85"/>
      <c r="N770" s="85"/>
      <c r="O770" s="85"/>
      <c r="P770" s="85"/>
      <c r="Q770" s="85"/>
      <c r="R770" s="85"/>
      <c r="S770" s="89"/>
      <c r="T770" s="89" t="s">
        <v>1124</v>
      </c>
      <c r="U770" s="85"/>
      <c r="V770" s="85"/>
      <c r="W770" s="85"/>
      <c r="X770" s="89" t="s">
        <v>1124</v>
      </c>
      <c r="Y770" s="79"/>
      <c r="Z770" s="79"/>
      <c r="AA770" s="94"/>
      <c r="AB770" s="79" t="s">
        <v>1124</v>
      </c>
      <c r="AC770" s="85"/>
      <c r="AD770" s="85"/>
      <c r="AE770" s="85"/>
      <c r="AF770" s="85"/>
      <c r="AG770" s="85" t="s">
        <v>1124</v>
      </c>
      <c r="AH770" s="85"/>
      <c r="AI770" s="85"/>
      <c r="AJ770" s="85"/>
      <c r="AK770" s="85"/>
      <c r="AL770" s="85"/>
      <c r="AM770" s="85"/>
      <c r="AN770" s="85"/>
      <c r="AO770" s="85"/>
      <c r="AP770" s="85"/>
      <c r="AQ770" s="85"/>
      <c r="AR770" s="85" t="s">
        <v>1124</v>
      </c>
      <c r="AS770" s="85"/>
      <c r="AT770" s="85"/>
      <c r="AU770" s="85"/>
      <c r="AV770" s="85"/>
      <c r="AW770" s="85"/>
      <c r="AX770" s="85"/>
      <c r="AY770" s="85"/>
      <c r="AZ770" s="85"/>
      <c r="BA770" s="85"/>
      <c r="BB770" s="89"/>
      <c r="BC770" s="89" t="s">
        <v>1124</v>
      </c>
      <c r="BD770" s="37"/>
      <c r="BE770" s="37"/>
      <c r="BF770" s="279"/>
      <c r="BG770" s="37"/>
      <c r="BH770" s="37"/>
      <c r="BI770" s="37"/>
      <c r="BJ770" s="283"/>
      <c r="BK770" s="161"/>
      <c r="BL770" s="294"/>
      <c r="BM770"/>
      <c r="BN770"/>
      <c r="BO770"/>
      <c r="BP770"/>
      <c r="BQ770"/>
      <c r="BR770"/>
      <c r="BS770"/>
      <c r="BT770"/>
      <c r="BU770"/>
      <c r="BV770"/>
      <c r="BW770"/>
      <c r="BX770"/>
      <c r="BY770"/>
      <c r="BZ770"/>
      <c r="CA770"/>
      <c r="CB770"/>
      <c r="CC770"/>
      <c r="CD770"/>
      <c r="CE770"/>
      <c r="CF770"/>
      <c r="CG770"/>
      <c r="CH770"/>
      <c r="CI770"/>
      <c r="CJ770"/>
    </row>
    <row r="771" spans="1:88" s="32" customFormat="1" ht="15" customHeight="1" x14ac:dyDescent="0.35">
      <c r="A771" s="473"/>
      <c r="B771" s="313">
        <v>51090</v>
      </c>
      <c r="C771" s="8" t="s">
        <v>514</v>
      </c>
      <c r="D771" s="18">
        <v>4</v>
      </c>
      <c r="E771" s="251">
        <v>1187</v>
      </c>
      <c r="F771" s="82">
        <v>2.4786096256684491</v>
      </c>
      <c r="G771" s="79">
        <v>2942.1096256684491</v>
      </c>
      <c r="H771" s="90">
        <v>18.624624378889752</v>
      </c>
      <c r="I771" s="85">
        <v>17.09540889852661</v>
      </c>
      <c r="J771" s="85">
        <v>19.622765025980932</v>
      </c>
      <c r="K771" s="85">
        <v>20.821943091981144</v>
      </c>
      <c r="L771" s="85">
        <v>24.72148348176334</v>
      </c>
      <c r="M771" s="85">
        <v>29.67318122099023</v>
      </c>
      <c r="N771" s="85">
        <v>33.980788201973915</v>
      </c>
      <c r="O771" s="85">
        <v>29.625174456400675</v>
      </c>
      <c r="P771" s="85">
        <v>21.795121130704782</v>
      </c>
      <c r="Q771" s="85">
        <v>19.747142551905043</v>
      </c>
      <c r="R771" s="85">
        <v>18.022539539662407</v>
      </c>
      <c r="S771" s="89">
        <v>19.467743181993825</v>
      </c>
      <c r="T771" s="89">
        <v>273.19791516077265</v>
      </c>
      <c r="U771" s="85">
        <v>0</v>
      </c>
      <c r="V771" s="85">
        <v>273.19791516077265</v>
      </c>
      <c r="W771" s="85">
        <v>0</v>
      </c>
      <c r="X771" s="89">
        <v>273.19791516077265</v>
      </c>
      <c r="Y771" s="79">
        <v>0</v>
      </c>
      <c r="Z771" s="79">
        <v>2</v>
      </c>
      <c r="AA771" s="94">
        <v>0</v>
      </c>
      <c r="AB771" s="79">
        <v>2</v>
      </c>
      <c r="AC771" s="85">
        <v>241.12864448051948</v>
      </c>
      <c r="AD771" s="85">
        <v>13.239324405253164</v>
      </c>
      <c r="AE771" s="85">
        <v>18.829946275000005</v>
      </c>
      <c r="AF771" s="85">
        <v>0</v>
      </c>
      <c r="AG771" s="85">
        <v>273.19791516077265</v>
      </c>
      <c r="AH771" s="85">
        <v>0</v>
      </c>
      <c r="AI771" s="85">
        <v>0</v>
      </c>
      <c r="AJ771" s="85">
        <v>0</v>
      </c>
      <c r="AK771" s="85">
        <v>0</v>
      </c>
      <c r="AL771" s="85">
        <v>0</v>
      </c>
      <c r="AM771" s="85">
        <v>0</v>
      </c>
      <c r="AN771" s="85">
        <v>0</v>
      </c>
      <c r="AO771" s="85">
        <v>0</v>
      </c>
      <c r="AP771" s="85">
        <v>0</v>
      </c>
      <c r="AQ771" s="85">
        <v>0</v>
      </c>
      <c r="AR771" s="85">
        <v>0</v>
      </c>
      <c r="AS771" s="85">
        <v>0</v>
      </c>
      <c r="AT771" s="85">
        <v>0</v>
      </c>
      <c r="AU771" s="85">
        <v>0</v>
      </c>
      <c r="AV771" s="85">
        <v>0</v>
      </c>
      <c r="AW771" s="85">
        <v>0</v>
      </c>
      <c r="AX771" s="85">
        <v>0</v>
      </c>
      <c r="AY771" s="85">
        <v>273.19791516077265</v>
      </c>
      <c r="AZ771" s="85">
        <v>0</v>
      </c>
      <c r="BA771" s="85">
        <v>0</v>
      </c>
      <c r="BB771" s="89">
        <v>0</v>
      </c>
      <c r="BC771" s="89">
        <v>273.19791516077265</v>
      </c>
      <c r="BD771" s="37">
        <v>0</v>
      </c>
      <c r="BE771" s="37">
        <v>0</v>
      </c>
      <c r="BF771" s="279">
        <v>3395</v>
      </c>
      <c r="BG771" s="37">
        <v>63108</v>
      </c>
      <c r="BH771" s="37">
        <v>33307</v>
      </c>
      <c r="BI771" s="37">
        <v>0</v>
      </c>
      <c r="BJ771" s="283">
        <v>99810</v>
      </c>
      <c r="BK771" s="161"/>
      <c r="BL771" s="294"/>
      <c r="BM771"/>
      <c r="BN771"/>
      <c r="BO771"/>
      <c r="BP771"/>
      <c r="BQ771"/>
      <c r="BR771"/>
      <c r="BS771"/>
      <c r="BT771"/>
      <c r="BU771"/>
      <c r="BV771"/>
      <c r="BW771"/>
      <c r="BX771"/>
      <c r="BY771"/>
      <c r="BZ771"/>
      <c r="CA771"/>
      <c r="CB771"/>
      <c r="CC771"/>
      <c r="CD771"/>
      <c r="CE771"/>
      <c r="CF771"/>
      <c r="CG771"/>
      <c r="CH771"/>
      <c r="CI771"/>
      <c r="CJ771"/>
    </row>
    <row r="772" spans="1:88" s="32" customFormat="1" ht="15" customHeight="1" x14ac:dyDescent="0.35">
      <c r="A772" s="473"/>
      <c r="B772" s="313">
        <v>49105</v>
      </c>
      <c r="C772" s="8" t="s">
        <v>478</v>
      </c>
      <c r="D772" s="18">
        <v>17</v>
      </c>
      <c r="E772" s="251"/>
      <c r="F772" s="82"/>
      <c r="G772" s="79"/>
      <c r="H772" s="90"/>
      <c r="I772" s="85"/>
      <c r="J772" s="85"/>
      <c r="K772" s="85"/>
      <c r="L772" s="85"/>
      <c r="M772" s="85"/>
      <c r="N772" s="85"/>
      <c r="O772" s="85"/>
      <c r="P772" s="85"/>
      <c r="Q772" s="85"/>
      <c r="R772" s="85"/>
      <c r="S772" s="89"/>
      <c r="T772" s="89" t="s">
        <v>1124</v>
      </c>
      <c r="U772" s="85"/>
      <c r="V772" s="85"/>
      <c r="W772" s="85"/>
      <c r="X772" s="89" t="s">
        <v>1124</v>
      </c>
      <c r="Y772" s="79"/>
      <c r="Z772" s="79"/>
      <c r="AA772" s="94"/>
      <c r="AB772" s="79" t="s">
        <v>1124</v>
      </c>
      <c r="AC772" s="85"/>
      <c r="AD772" s="85"/>
      <c r="AE772" s="85"/>
      <c r="AF772" s="85"/>
      <c r="AG772" s="85" t="s">
        <v>1124</v>
      </c>
      <c r="AH772" s="85"/>
      <c r="AI772" s="85"/>
      <c r="AJ772" s="85"/>
      <c r="AK772" s="85"/>
      <c r="AL772" s="85"/>
      <c r="AM772" s="85"/>
      <c r="AN772" s="85"/>
      <c r="AO772" s="85"/>
      <c r="AP772" s="85"/>
      <c r="AQ772" s="85"/>
      <c r="AR772" s="85" t="s">
        <v>1124</v>
      </c>
      <c r="AS772" s="85"/>
      <c r="AT772" s="85"/>
      <c r="AU772" s="85"/>
      <c r="AV772" s="85"/>
      <c r="AW772" s="85"/>
      <c r="AX772" s="85"/>
      <c r="AY772" s="85"/>
      <c r="AZ772" s="85"/>
      <c r="BA772" s="85"/>
      <c r="BB772" s="89"/>
      <c r="BC772" s="89" t="s">
        <v>1124</v>
      </c>
      <c r="BD772" s="37"/>
      <c r="BE772" s="37"/>
      <c r="BF772" s="279"/>
      <c r="BG772" s="37"/>
      <c r="BH772" s="37"/>
      <c r="BI772" s="37"/>
      <c r="BJ772" s="283"/>
      <c r="BK772" s="161"/>
      <c r="BL772" s="294"/>
      <c r="BM772"/>
      <c r="BN772"/>
      <c r="BO772"/>
      <c r="BP772"/>
      <c r="BQ772"/>
      <c r="BR772"/>
      <c r="BS772"/>
      <c r="BT772"/>
      <c r="BU772"/>
      <c r="BV772"/>
      <c r="BW772"/>
      <c r="BX772"/>
      <c r="BY772"/>
      <c r="BZ772"/>
      <c r="CA772"/>
      <c r="CB772"/>
      <c r="CC772"/>
      <c r="CD772"/>
      <c r="CE772"/>
      <c r="CF772"/>
      <c r="CG772"/>
      <c r="CH772"/>
      <c r="CI772"/>
      <c r="CJ772"/>
    </row>
    <row r="773" spans="1:88" s="32" customFormat="1" ht="15" customHeight="1" x14ac:dyDescent="0.35">
      <c r="A773" s="473"/>
      <c r="B773" s="313">
        <v>92065</v>
      </c>
      <c r="C773" s="8" t="s">
        <v>956</v>
      </c>
      <c r="D773" s="18">
        <v>2</v>
      </c>
      <c r="E773" s="251">
        <v>186</v>
      </c>
      <c r="F773" s="82">
        <v>2.2999999999999998</v>
      </c>
      <c r="G773" s="79">
        <v>427.79999999999995</v>
      </c>
      <c r="H773" s="90">
        <v>3.738</v>
      </c>
      <c r="I773" s="85">
        <v>2.93</v>
      </c>
      <c r="J773" s="85">
        <v>3.4329999999999998</v>
      </c>
      <c r="K773" s="85">
        <v>4.056</v>
      </c>
      <c r="L773" s="85">
        <v>4.4939999999999998</v>
      </c>
      <c r="M773" s="85">
        <v>5.649</v>
      </c>
      <c r="N773" s="85">
        <v>7.0860000000000003</v>
      </c>
      <c r="O773" s="85">
        <v>5.9589999999999996</v>
      </c>
      <c r="P773" s="85">
        <v>4.2190000000000003</v>
      </c>
      <c r="Q773" s="85">
        <v>3.8170000000000002</v>
      </c>
      <c r="R773" s="85">
        <v>3.4670000000000001</v>
      </c>
      <c r="S773" s="89">
        <v>3.3809999999999998</v>
      </c>
      <c r="T773" s="89">
        <v>52.228999999999999</v>
      </c>
      <c r="U773" s="85">
        <v>0</v>
      </c>
      <c r="V773" s="85">
        <v>52.226999999999997</v>
      </c>
      <c r="W773" s="85">
        <v>0</v>
      </c>
      <c r="X773" s="89">
        <v>52.226999999999997</v>
      </c>
      <c r="Y773" s="79">
        <v>0</v>
      </c>
      <c r="Z773" s="79">
        <v>1</v>
      </c>
      <c r="AA773" s="94">
        <v>0</v>
      </c>
      <c r="AB773" s="79">
        <v>1</v>
      </c>
      <c r="AC773" s="85">
        <v>38.338000000000001</v>
      </c>
      <c r="AD773" s="85">
        <v>1.8160000000000001</v>
      </c>
      <c r="AE773" s="85">
        <v>12.074999999999999</v>
      </c>
      <c r="AF773" s="85">
        <v>0</v>
      </c>
      <c r="AG773" s="85">
        <v>52.228999999999999</v>
      </c>
      <c r="AH773" s="85">
        <v>0</v>
      </c>
      <c r="AI773" s="85">
        <v>0</v>
      </c>
      <c r="AJ773" s="85">
        <v>0</v>
      </c>
      <c r="AK773" s="85">
        <v>0</v>
      </c>
      <c r="AL773" s="85">
        <v>0</v>
      </c>
      <c r="AM773" s="85">
        <v>0</v>
      </c>
      <c r="AN773" s="85">
        <v>0</v>
      </c>
      <c r="AO773" s="85">
        <v>0</v>
      </c>
      <c r="AP773" s="85">
        <v>0</v>
      </c>
      <c r="AQ773" s="85">
        <v>0</v>
      </c>
      <c r="AR773" s="85">
        <v>0</v>
      </c>
      <c r="AS773" s="85">
        <v>0</v>
      </c>
      <c r="AT773" s="85">
        <v>0</v>
      </c>
      <c r="AU773" s="85">
        <v>0</v>
      </c>
      <c r="AV773" s="85">
        <v>0</v>
      </c>
      <c r="AW773" s="85">
        <v>0</v>
      </c>
      <c r="AX773" s="85">
        <v>0</v>
      </c>
      <c r="AY773" s="85">
        <v>52.226999999999997</v>
      </c>
      <c r="AZ773" s="85">
        <v>0</v>
      </c>
      <c r="BA773" s="85">
        <v>0</v>
      </c>
      <c r="BB773" s="89">
        <v>0</v>
      </c>
      <c r="BC773" s="89">
        <v>52.226999999999997</v>
      </c>
      <c r="BD773" s="37">
        <v>0</v>
      </c>
      <c r="BE773" s="37">
        <v>0</v>
      </c>
      <c r="BF773" s="279">
        <v>16843</v>
      </c>
      <c r="BG773" s="37">
        <v>23869</v>
      </c>
      <c r="BH773" s="37">
        <v>10930</v>
      </c>
      <c r="BI773" s="37">
        <v>0</v>
      </c>
      <c r="BJ773" s="283">
        <v>51642</v>
      </c>
      <c r="BK773" s="161"/>
      <c r="BL773" s="294"/>
      <c r="BM773"/>
      <c r="BN773"/>
      <c r="BO773"/>
      <c r="BP773"/>
      <c r="BQ773"/>
      <c r="BR773"/>
      <c r="BS773"/>
      <c r="BT773"/>
      <c r="BU773"/>
      <c r="BV773"/>
      <c r="BW773"/>
      <c r="BX773"/>
      <c r="BY773"/>
      <c r="BZ773"/>
      <c r="CA773"/>
      <c r="CB773"/>
      <c r="CC773"/>
      <c r="CD773"/>
      <c r="CE773"/>
      <c r="CF773"/>
      <c r="CG773"/>
      <c r="CH773"/>
      <c r="CI773"/>
      <c r="CJ773"/>
    </row>
    <row r="774" spans="1:88" s="32" customFormat="1" ht="15" customHeight="1" x14ac:dyDescent="0.35">
      <c r="A774" s="473"/>
      <c r="B774" s="313">
        <v>85085</v>
      </c>
      <c r="C774" s="8" t="s">
        <v>884</v>
      </c>
      <c r="D774" s="18">
        <v>8</v>
      </c>
      <c r="E774" s="251"/>
      <c r="F774" s="82"/>
      <c r="G774" s="79"/>
      <c r="H774" s="90"/>
      <c r="I774" s="85"/>
      <c r="J774" s="85"/>
      <c r="K774" s="85"/>
      <c r="L774" s="85"/>
      <c r="M774" s="85"/>
      <c r="N774" s="85"/>
      <c r="O774" s="85"/>
      <c r="P774" s="85"/>
      <c r="Q774" s="85"/>
      <c r="R774" s="85"/>
      <c r="S774" s="89"/>
      <c r="T774" s="89" t="s">
        <v>1124</v>
      </c>
      <c r="U774" s="85"/>
      <c r="V774" s="85"/>
      <c r="W774" s="85"/>
      <c r="X774" s="89" t="s">
        <v>1124</v>
      </c>
      <c r="Y774" s="79"/>
      <c r="Z774" s="79"/>
      <c r="AA774" s="94"/>
      <c r="AB774" s="79" t="s">
        <v>1124</v>
      </c>
      <c r="AC774" s="85"/>
      <c r="AD774" s="85"/>
      <c r="AE774" s="85"/>
      <c r="AF774" s="85"/>
      <c r="AG774" s="85" t="s">
        <v>1124</v>
      </c>
      <c r="AH774" s="85"/>
      <c r="AI774" s="85"/>
      <c r="AJ774" s="85"/>
      <c r="AK774" s="85"/>
      <c r="AL774" s="85"/>
      <c r="AM774" s="85"/>
      <c r="AN774" s="85"/>
      <c r="AO774" s="85"/>
      <c r="AP774" s="85"/>
      <c r="AQ774" s="85"/>
      <c r="AR774" s="85" t="s">
        <v>1124</v>
      </c>
      <c r="AS774" s="85"/>
      <c r="AT774" s="85"/>
      <c r="AU774" s="85"/>
      <c r="AV774" s="85"/>
      <c r="AW774" s="85"/>
      <c r="AX774" s="85"/>
      <c r="AY774" s="85"/>
      <c r="AZ774" s="85"/>
      <c r="BA774" s="85"/>
      <c r="BB774" s="89"/>
      <c r="BC774" s="89" t="s">
        <v>1124</v>
      </c>
      <c r="BD774" s="37"/>
      <c r="BE774" s="37"/>
      <c r="BF774" s="279"/>
      <c r="BG774" s="37"/>
      <c r="BH774" s="37"/>
      <c r="BI774" s="37"/>
      <c r="BJ774" s="283"/>
      <c r="BK774" s="161"/>
      <c r="BL774" s="294"/>
      <c r="BM774"/>
      <c r="BN774"/>
      <c r="BO774"/>
      <c r="BP774"/>
      <c r="BQ774"/>
      <c r="BR774"/>
      <c r="BS774"/>
      <c r="BT774"/>
      <c r="BU774"/>
      <c r="BV774"/>
      <c r="BW774"/>
      <c r="BX774"/>
      <c r="BY774"/>
      <c r="BZ774"/>
      <c r="CA774"/>
      <c r="CB774"/>
      <c r="CC774"/>
      <c r="CD774"/>
      <c r="CE774"/>
      <c r="CF774"/>
      <c r="CG774"/>
      <c r="CH774"/>
      <c r="CI774"/>
      <c r="CJ774"/>
    </row>
    <row r="775" spans="1:88" s="32" customFormat="1" ht="15" customHeight="1" x14ac:dyDescent="0.35">
      <c r="A775" s="473"/>
      <c r="B775" s="313">
        <v>10075</v>
      </c>
      <c r="C775" s="8" t="s">
        <v>16</v>
      </c>
      <c r="D775" s="18">
        <v>1</v>
      </c>
      <c r="E775" s="251"/>
      <c r="F775" s="82"/>
      <c r="G775" s="79"/>
      <c r="H775" s="90"/>
      <c r="I775" s="85"/>
      <c r="J775" s="85"/>
      <c r="K775" s="85"/>
      <c r="L775" s="85"/>
      <c r="M775" s="85"/>
      <c r="N775" s="85"/>
      <c r="O775" s="85"/>
      <c r="P775" s="85"/>
      <c r="Q775" s="85"/>
      <c r="R775" s="85"/>
      <c r="S775" s="89"/>
      <c r="T775" s="89" t="s">
        <v>1124</v>
      </c>
      <c r="U775" s="85"/>
      <c r="V775" s="85"/>
      <c r="W775" s="85"/>
      <c r="X775" s="89" t="s">
        <v>1124</v>
      </c>
      <c r="Y775" s="79"/>
      <c r="Z775" s="79"/>
      <c r="AA775" s="94"/>
      <c r="AB775" s="79" t="s">
        <v>1124</v>
      </c>
      <c r="AC775" s="85"/>
      <c r="AD775" s="85"/>
      <c r="AE775" s="85"/>
      <c r="AF775" s="85"/>
      <c r="AG775" s="85" t="s">
        <v>1124</v>
      </c>
      <c r="AH775" s="85"/>
      <c r="AI775" s="85"/>
      <c r="AJ775" s="85"/>
      <c r="AK775" s="85"/>
      <c r="AL775" s="85"/>
      <c r="AM775" s="85"/>
      <c r="AN775" s="85"/>
      <c r="AO775" s="85"/>
      <c r="AP775" s="85"/>
      <c r="AQ775" s="85"/>
      <c r="AR775" s="85" t="s">
        <v>1124</v>
      </c>
      <c r="AS775" s="85"/>
      <c r="AT775" s="85"/>
      <c r="AU775" s="85"/>
      <c r="AV775" s="85"/>
      <c r="AW775" s="85"/>
      <c r="AX775" s="85"/>
      <c r="AY775" s="85"/>
      <c r="AZ775" s="85"/>
      <c r="BA775" s="85"/>
      <c r="BB775" s="89"/>
      <c r="BC775" s="89" t="s">
        <v>1124</v>
      </c>
      <c r="BD775" s="37"/>
      <c r="BE775" s="37"/>
      <c r="BF775" s="279"/>
      <c r="BG775" s="37"/>
      <c r="BH775" s="37"/>
      <c r="BI775" s="37"/>
      <c r="BJ775" s="283"/>
      <c r="BK775" s="161"/>
      <c r="BL775" s="294"/>
      <c r="BM775"/>
      <c r="BN775"/>
      <c r="BO775"/>
      <c r="BP775"/>
      <c r="BQ775"/>
      <c r="BR775"/>
      <c r="BS775"/>
      <c r="BT775"/>
      <c r="BU775"/>
      <c r="BV775"/>
      <c r="BW775"/>
      <c r="BX775"/>
      <c r="BY775"/>
      <c r="BZ775"/>
      <c r="CA775"/>
      <c r="CB775"/>
      <c r="CC775"/>
      <c r="CD775"/>
      <c r="CE775"/>
      <c r="CF775"/>
      <c r="CG775"/>
      <c r="CH775"/>
      <c r="CI775"/>
      <c r="CJ775"/>
    </row>
    <row r="776" spans="1:88" s="32" customFormat="1" ht="15" customHeight="1" x14ac:dyDescent="0.35">
      <c r="A776" s="473"/>
      <c r="B776" s="313">
        <v>51040</v>
      </c>
      <c r="C776" s="8" t="s">
        <v>504</v>
      </c>
      <c r="D776" s="18">
        <v>4</v>
      </c>
      <c r="E776" s="251">
        <v>151</v>
      </c>
      <c r="F776" s="82">
        <v>2.0887850467289719</v>
      </c>
      <c r="G776" s="79">
        <v>315.40654205607478</v>
      </c>
      <c r="H776" s="90">
        <v>8.9350000000000005</v>
      </c>
      <c r="I776" s="85">
        <v>7.45</v>
      </c>
      <c r="J776" s="85">
        <v>8.2810000000000006</v>
      </c>
      <c r="K776" s="85">
        <v>7.4169999999999998</v>
      </c>
      <c r="L776" s="85">
        <v>7.0679999999999996</v>
      </c>
      <c r="M776" s="85">
        <v>7.8520000000000003</v>
      </c>
      <c r="N776" s="85">
        <v>9.1059999999999999</v>
      </c>
      <c r="O776" s="85">
        <v>8.8810000000000002</v>
      </c>
      <c r="P776" s="85">
        <v>9.8239999999999998</v>
      </c>
      <c r="Q776" s="85">
        <v>8.1989999999999998</v>
      </c>
      <c r="R776" s="85">
        <v>7.6929999999999996</v>
      </c>
      <c r="S776" s="89">
        <v>8.83</v>
      </c>
      <c r="T776" s="89">
        <v>99.536000000000001</v>
      </c>
      <c r="U776" s="85">
        <v>0</v>
      </c>
      <c r="V776" s="85">
        <v>99.536000000000001</v>
      </c>
      <c r="W776" s="85">
        <v>0</v>
      </c>
      <c r="X776" s="89">
        <v>99.536000000000001</v>
      </c>
      <c r="Y776" s="79">
        <v>0</v>
      </c>
      <c r="Z776" s="79">
        <v>1</v>
      </c>
      <c r="AA776" s="94">
        <v>0</v>
      </c>
      <c r="AB776" s="79">
        <v>1</v>
      </c>
      <c r="AC776" s="85">
        <v>79.265048046511623</v>
      </c>
      <c r="AD776" s="85">
        <v>12.26781595348838</v>
      </c>
      <c r="AE776" s="85">
        <v>8.0031359999999978</v>
      </c>
      <c r="AF776" s="85">
        <v>0</v>
      </c>
      <c r="AG776" s="85">
        <v>99.536000000000001</v>
      </c>
      <c r="AH776" s="85">
        <v>0</v>
      </c>
      <c r="AI776" s="85">
        <v>0</v>
      </c>
      <c r="AJ776" s="85">
        <v>0</v>
      </c>
      <c r="AK776" s="85">
        <v>0</v>
      </c>
      <c r="AL776" s="85">
        <v>0</v>
      </c>
      <c r="AM776" s="85">
        <v>0</v>
      </c>
      <c r="AN776" s="85">
        <v>0</v>
      </c>
      <c r="AO776" s="85">
        <v>0</v>
      </c>
      <c r="AP776" s="85">
        <v>0</v>
      </c>
      <c r="AQ776" s="85">
        <v>0</v>
      </c>
      <c r="AR776" s="85">
        <v>0</v>
      </c>
      <c r="AS776" s="85">
        <v>0</v>
      </c>
      <c r="AT776" s="85">
        <v>0</v>
      </c>
      <c r="AU776" s="85">
        <v>0</v>
      </c>
      <c r="AV776" s="85">
        <v>0</v>
      </c>
      <c r="AW776" s="85">
        <v>0</v>
      </c>
      <c r="AX776" s="85">
        <v>0</v>
      </c>
      <c r="AY776" s="85">
        <v>0</v>
      </c>
      <c r="AZ776" s="85">
        <v>0</v>
      </c>
      <c r="BA776" s="85">
        <v>99.536000000000001</v>
      </c>
      <c r="BB776" s="89">
        <v>0</v>
      </c>
      <c r="BC776" s="89">
        <v>99.536000000000001</v>
      </c>
      <c r="BD776" s="37">
        <v>0</v>
      </c>
      <c r="BE776" s="37">
        <v>0</v>
      </c>
      <c r="BF776" s="279">
        <v>1500</v>
      </c>
      <c r="BG776" s="37">
        <v>11900</v>
      </c>
      <c r="BH776" s="37">
        <v>1614</v>
      </c>
      <c r="BI776" s="37">
        <v>0</v>
      </c>
      <c r="BJ776" s="283">
        <v>15014</v>
      </c>
      <c r="BK776" s="161"/>
      <c r="BL776" s="294"/>
      <c r="BM776"/>
      <c r="BN776"/>
      <c r="BO776"/>
      <c r="BP776"/>
      <c r="BQ776"/>
      <c r="BR776"/>
      <c r="BS776"/>
      <c r="BT776"/>
      <c r="BU776"/>
      <c r="BV776"/>
      <c r="BW776"/>
      <c r="BX776"/>
      <c r="BY776"/>
      <c r="BZ776"/>
      <c r="CA776"/>
      <c r="CB776"/>
      <c r="CC776"/>
      <c r="CD776"/>
      <c r="CE776"/>
      <c r="CF776"/>
      <c r="CG776"/>
      <c r="CH776"/>
      <c r="CI776"/>
      <c r="CJ776"/>
    </row>
    <row r="777" spans="1:88" s="32" customFormat="1" ht="15" customHeight="1" x14ac:dyDescent="0.35">
      <c r="A777" s="473"/>
      <c r="B777" s="313">
        <v>13030</v>
      </c>
      <c r="C777" s="8" t="s">
        <v>46</v>
      </c>
      <c r="D777" s="18">
        <v>1</v>
      </c>
      <c r="E777" s="251"/>
      <c r="F777" s="82"/>
      <c r="G777" s="79"/>
      <c r="H777" s="90"/>
      <c r="I777" s="85"/>
      <c r="J777" s="85"/>
      <c r="K777" s="85"/>
      <c r="L777" s="85"/>
      <c r="M777" s="85"/>
      <c r="N777" s="85"/>
      <c r="O777" s="85"/>
      <c r="P777" s="85"/>
      <c r="Q777" s="85"/>
      <c r="R777" s="85"/>
      <c r="S777" s="89"/>
      <c r="T777" s="89" t="s">
        <v>1124</v>
      </c>
      <c r="U777" s="85"/>
      <c r="V777" s="85"/>
      <c r="W777" s="85"/>
      <c r="X777" s="89" t="s">
        <v>1124</v>
      </c>
      <c r="Y777" s="79"/>
      <c r="Z777" s="79"/>
      <c r="AA777" s="94"/>
      <c r="AB777" s="79" t="s">
        <v>1124</v>
      </c>
      <c r="AC777" s="85"/>
      <c r="AD777" s="85"/>
      <c r="AE777" s="85"/>
      <c r="AF777" s="85"/>
      <c r="AG777" s="85" t="s">
        <v>1124</v>
      </c>
      <c r="AH777" s="85"/>
      <c r="AI777" s="85"/>
      <c r="AJ777" s="85"/>
      <c r="AK777" s="85"/>
      <c r="AL777" s="85"/>
      <c r="AM777" s="85"/>
      <c r="AN777" s="85"/>
      <c r="AO777" s="85"/>
      <c r="AP777" s="85"/>
      <c r="AQ777" s="85"/>
      <c r="AR777" s="85" t="s">
        <v>1124</v>
      </c>
      <c r="AS777" s="85"/>
      <c r="AT777" s="85"/>
      <c r="AU777" s="85"/>
      <c r="AV777" s="85"/>
      <c r="AW777" s="85"/>
      <c r="AX777" s="85"/>
      <c r="AY777" s="85"/>
      <c r="AZ777" s="85"/>
      <c r="BA777" s="85"/>
      <c r="BB777" s="89"/>
      <c r="BC777" s="89" t="s">
        <v>1124</v>
      </c>
      <c r="BD777" s="37"/>
      <c r="BE777" s="37"/>
      <c r="BF777" s="279"/>
      <c r="BG777" s="37"/>
      <c r="BH777" s="37"/>
      <c r="BI777" s="37"/>
      <c r="BJ777" s="283"/>
      <c r="BK777" s="161"/>
      <c r="BL777" s="294"/>
      <c r="BM777"/>
      <c r="BN777"/>
      <c r="BO777"/>
      <c r="BP777"/>
      <c r="BQ777"/>
      <c r="BR777"/>
      <c r="BS777"/>
      <c r="BT777"/>
      <c r="BU777"/>
      <c r="BV777"/>
      <c r="BW777"/>
      <c r="BX777"/>
      <c r="BY777"/>
      <c r="BZ777"/>
      <c r="CA777"/>
      <c r="CB777"/>
      <c r="CC777"/>
      <c r="CD777"/>
      <c r="CE777"/>
      <c r="CF777"/>
      <c r="CG777"/>
      <c r="CH777"/>
      <c r="CI777"/>
      <c r="CJ777"/>
    </row>
    <row r="778" spans="1:88" s="32" customFormat="1" ht="15" customHeight="1" x14ac:dyDescent="0.35">
      <c r="A778" s="473"/>
      <c r="B778" s="313">
        <v>72005</v>
      </c>
      <c r="C778" s="8" t="s">
        <v>727</v>
      </c>
      <c r="D778" s="18">
        <v>15</v>
      </c>
      <c r="E778" s="251">
        <v>18334</v>
      </c>
      <c r="F778" s="82">
        <v>2.3208337643529533</v>
      </c>
      <c r="G778" s="79">
        <v>42550.166235647048</v>
      </c>
      <c r="H778" s="90">
        <v>573.21008300000005</v>
      </c>
      <c r="I778" s="85">
        <v>527.61547849999999</v>
      </c>
      <c r="J778" s="85">
        <v>615.05957030000002</v>
      </c>
      <c r="K778" s="85">
        <v>571.52563480000003</v>
      </c>
      <c r="L778" s="85">
        <v>618.86645510000005</v>
      </c>
      <c r="M778" s="85">
        <v>710.62695310000004</v>
      </c>
      <c r="N778" s="85">
        <v>731.98535159999994</v>
      </c>
      <c r="O778" s="85">
        <v>730.79248050000001</v>
      </c>
      <c r="P778" s="85">
        <v>630.77880860000005</v>
      </c>
      <c r="Q778" s="85">
        <v>604.85742189999996</v>
      </c>
      <c r="R778" s="85">
        <v>595.03808590000006</v>
      </c>
      <c r="S778" s="89">
        <v>640.41308590000006</v>
      </c>
      <c r="T778" s="89">
        <v>7550.7694092000002</v>
      </c>
      <c r="U778" s="85">
        <v>7550.7690000000002</v>
      </c>
      <c r="V778" s="85">
        <v>0</v>
      </c>
      <c r="W778" s="85">
        <v>0</v>
      </c>
      <c r="X778" s="89">
        <v>7550.7690000000002</v>
      </c>
      <c r="Y778" s="79">
        <v>1</v>
      </c>
      <c r="Z778" s="79">
        <v>0</v>
      </c>
      <c r="AA778" s="94">
        <v>0</v>
      </c>
      <c r="AB778" s="79">
        <v>1</v>
      </c>
      <c r="AC778" s="85">
        <v>4620.1679999999997</v>
      </c>
      <c r="AD778" s="85">
        <v>1231.6220000000001</v>
      </c>
      <c r="AE778" s="85">
        <v>1698.979</v>
      </c>
      <c r="AF778" s="85">
        <v>0</v>
      </c>
      <c r="AG778" s="85">
        <v>7550.7690000000002</v>
      </c>
      <c r="AH778" s="85">
        <v>7550.7690000000002</v>
      </c>
      <c r="AI778" s="85">
        <v>0</v>
      </c>
      <c r="AJ778" s="85">
        <v>0</v>
      </c>
      <c r="AK778" s="85">
        <v>0</v>
      </c>
      <c r="AL778" s="85">
        <v>0</v>
      </c>
      <c r="AM778" s="85">
        <v>0</v>
      </c>
      <c r="AN778" s="85">
        <v>0</v>
      </c>
      <c r="AO778" s="85">
        <v>0</v>
      </c>
      <c r="AP778" s="85">
        <v>0</v>
      </c>
      <c r="AQ778" s="85">
        <v>0</v>
      </c>
      <c r="AR778" s="85">
        <v>7550.7690000000002</v>
      </c>
      <c r="AS778" s="85">
        <v>0</v>
      </c>
      <c r="AT778" s="85">
        <v>0</v>
      </c>
      <c r="AU778" s="85">
        <v>0</v>
      </c>
      <c r="AV778" s="85">
        <v>0</v>
      </c>
      <c r="AW778" s="85">
        <v>0</v>
      </c>
      <c r="AX778" s="85">
        <v>0</v>
      </c>
      <c r="AY778" s="85">
        <v>0</v>
      </c>
      <c r="AZ778" s="85">
        <v>0</v>
      </c>
      <c r="BA778" s="85">
        <v>0</v>
      </c>
      <c r="BB778" s="89">
        <v>0</v>
      </c>
      <c r="BC778" s="89">
        <v>0</v>
      </c>
      <c r="BD778" s="37">
        <v>87627</v>
      </c>
      <c r="BE778" s="37">
        <v>3126</v>
      </c>
      <c r="BF778" s="279">
        <v>597000</v>
      </c>
      <c r="BG778" s="37">
        <v>554000</v>
      </c>
      <c r="BH778" s="37">
        <v>660000</v>
      </c>
      <c r="BI778" s="37">
        <v>0</v>
      </c>
      <c r="BJ778" s="283">
        <v>1811000</v>
      </c>
      <c r="BK778" s="161"/>
      <c r="BL778" s="294"/>
      <c r="BM778"/>
      <c r="BN778"/>
      <c r="BO778"/>
      <c r="BP778"/>
      <c r="BQ778"/>
      <c r="BR778"/>
      <c r="BS778"/>
      <c r="BT778"/>
      <c r="BU778"/>
      <c r="BV778"/>
      <c r="BW778"/>
      <c r="BX778"/>
      <c r="BY778"/>
      <c r="BZ778"/>
      <c r="CA778"/>
      <c r="CB778"/>
      <c r="CC778"/>
      <c r="CD778"/>
      <c r="CE778"/>
      <c r="CF778"/>
      <c r="CG778"/>
      <c r="CH778"/>
      <c r="CI778"/>
      <c r="CJ778"/>
    </row>
    <row r="779" spans="1:88" s="32" customFormat="1" ht="15" customHeight="1" x14ac:dyDescent="0.35">
      <c r="A779" s="473"/>
      <c r="B779" s="313">
        <v>29025</v>
      </c>
      <c r="C779" s="8" t="s">
        <v>204</v>
      </c>
      <c r="D779" s="18">
        <v>12</v>
      </c>
      <c r="E779" s="251"/>
      <c r="F779" s="82"/>
      <c r="G779" s="79"/>
      <c r="H779" s="90"/>
      <c r="I779" s="85"/>
      <c r="J779" s="85"/>
      <c r="K779" s="85"/>
      <c r="L779" s="85"/>
      <c r="M779" s="85"/>
      <c r="N779" s="85"/>
      <c r="O779" s="85"/>
      <c r="P779" s="85"/>
      <c r="Q779" s="85"/>
      <c r="R779" s="85"/>
      <c r="S779" s="89"/>
      <c r="T779" s="89" t="s">
        <v>1124</v>
      </c>
      <c r="U779" s="85"/>
      <c r="V779" s="85"/>
      <c r="W779" s="85"/>
      <c r="X779" s="89" t="s">
        <v>1124</v>
      </c>
      <c r="Y779" s="79"/>
      <c r="Z779" s="79"/>
      <c r="AA779" s="94"/>
      <c r="AB779" s="79" t="s">
        <v>1124</v>
      </c>
      <c r="AC779" s="85"/>
      <c r="AD779" s="85"/>
      <c r="AE779" s="85"/>
      <c r="AF779" s="85"/>
      <c r="AG779" s="85" t="s">
        <v>1124</v>
      </c>
      <c r="AH779" s="85"/>
      <c r="AI779" s="85"/>
      <c r="AJ779" s="85"/>
      <c r="AK779" s="85"/>
      <c r="AL779" s="85"/>
      <c r="AM779" s="85"/>
      <c r="AN779" s="85"/>
      <c r="AO779" s="85"/>
      <c r="AP779" s="85"/>
      <c r="AQ779" s="85"/>
      <c r="AR779" s="85" t="s">
        <v>1124</v>
      </c>
      <c r="AS779" s="85"/>
      <c r="AT779" s="85"/>
      <c r="AU779" s="85"/>
      <c r="AV779" s="85"/>
      <c r="AW779" s="85"/>
      <c r="AX779" s="85"/>
      <c r="AY779" s="85"/>
      <c r="AZ779" s="85"/>
      <c r="BA779" s="85"/>
      <c r="BB779" s="89"/>
      <c r="BC779" s="89" t="s">
        <v>1124</v>
      </c>
      <c r="BD779" s="37"/>
      <c r="BE779" s="37"/>
      <c r="BF779" s="279"/>
      <c r="BG779" s="37"/>
      <c r="BH779" s="37"/>
      <c r="BI779" s="37"/>
      <c r="BJ779" s="283"/>
      <c r="BK779" s="161"/>
      <c r="BL779" s="294"/>
      <c r="BM779"/>
      <c r="BN779"/>
      <c r="BO779"/>
      <c r="BP779"/>
      <c r="BQ779"/>
      <c r="BR779"/>
      <c r="BS779"/>
      <c r="BT779"/>
      <c r="BU779"/>
      <c r="BV779"/>
      <c r="BW779"/>
      <c r="BX779"/>
      <c r="BY779"/>
      <c r="BZ779"/>
      <c r="CA779"/>
      <c r="CB779"/>
      <c r="CC779"/>
      <c r="CD779"/>
      <c r="CE779"/>
      <c r="CF779"/>
      <c r="CG779"/>
      <c r="CH779"/>
      <c r="CI779"/>
      <c r="CJ779"/>
    </row>
    <row r="780" spans="1:88" s="32" customFormat="1" ht="15" customHeight="1" x14ac:dyDescent="0.35">
      <c r="A780" s="473"/>
      <c r="B780" s="313">
        <v>53025</v>
      </c>
      <c r="C780" s="8" t="s">
        <v>534</v>
      </c>
      <c r="D780" s="18">
        <v>16</v>
      </c>
      <c r="E780" s="251"/>
      <c r="F780" s="82"/>
      <c r="G780" s="79"/>
      <c r="H780" s="90"/>
      <c r="I780" s="85"/>
      <c r="J780" s="85"/>
      <c r="K780" s="85"/>
      <c r="L780" s="85"/>
      <c r="M780" s="85"/>
      <c r="N780" s="85"/>
      <c r="O780" s="85"/>
      <c r="P780" s="85"/>
      <c r="Q780" s="85"/>
      <c r="R780" s="85"/>
      <c r="S780" s="89"/>
      <c r="T780" s="89" t="s">
        <v>1124</v>
      </c>
      <c r="U780" s="85"/>
      <c r="V780" s="85"/>
      <c r="W780" s="85"/>
      <c r="X780" s="89" t="s">
        <v>1124</v>
      </c>
      <c r="Y780" s="79"/>
      <c r="Z780" s="79"/>
      <c r="AA780" s="94"/>
      <c r="AB780" s="79" t="s">
        <v>1124</v>
      </c>
      <c r="AC780" s="85"/>
      <c r="AD780" s="85"/>
      <c r="AE780" s="85"/>
      <c r="AF780" s="85"/>
      <c r="AG780" s="85" t="s">
        <v>1124</v>
      </c>
      <c r="AH780" s="85"/>
      <c r="AI780" s="85"/>
      <c r="AJ780" s="85"/>
      <c r="AK780" s="85"/>
      <c r="AL780" s="85"/>
      <c r="AM780" s="85"/>
      <c r="AN780" s="85"/>
      <c r="AO780" s="85"/>
      <c r="AP780" s="85"/>
      <c r="AQ780" s="85"/>
      <c r="AR780" s="85" t="s">
        <v>1124</v>
      </c>
      <c r="AS780" s="85"/>
      <c r="AT780" s="85"/>
      <c r="AU780" s="85"/>
      <c r="AV780" s="85"/>
      <c r="AW780" s="85"/>
      <c r="AX780" s="85"/>
      <c r="AY780" s="85"/>
      <c r="AZ780" s="85"/>
      <c r="BA780" s="85"/>
      <c r="BB780" s="89"/>
      <c r="BC780" s="89" t="s">
        <v>1124</v>
      </c>
      <c r="BD780" s="37"/>
      <c r="BE780" s="37"/>
      <c r="BF780" s="279"/>
      <c r="BG780" s="37"/>
      <c r="BH780" s="37"/>
      <c r="BI780" s="37"/>
      <c r="BJ780" s="283"/>
      <c r="BK780" s="161"/>
      <c r="BL780" s="294"/>
      <c r="BM780"/>
      <c r="BN780"/>
      <c r="BO780"/>
      <c r="BP780"/>
      <c r="BQ780"/>
      <c r="BR780"/>
      <c r="BS780"/>
      <c r="BT780"/>
      <c r="BU780"/>
      <c r="BV780"/>
      <c r="BW780"/>
      <c r="BX780"/>
      <c r="BY780"/>
      <c r="BZ780"/>
      <c r="CA780"/>
      <c r="CB780"/>
      <c r="CC780"/>
      <c r="CD780"/>
      <c r="CE780"/>
      <c r="CF780"/>
      <c r="CG780"/>
      <c r="CH780"/>
      <c r="CI780"/>
      <c r="CJ780"/>
    </row>
    <row r="781" spans="1:88" s="32" customFormat="1" ht="15" customHeight="1" x14ac:dyDescent="0.35">
      <c r="A781" s="473"/>
      <c r="B781" s="313">
        <v>10070</v>
      </c>
      <c r="C781" s="8" t="s">
        <v>15</v>
      </c>
      <c r="D781" s="18">
        <v>1</v>
      </c>
      <c r="E781" s="251">
        <v>563</v>
      </c>
      <c r="F781" s="82">
        <v>2.1680672268907561</v>
      </c>
      <c r="G781" s="79">
        <v>1220.6218487394958</v>
      </c>
      <c r="H781" s="90">
        <v>26.036999999999999</v>
      </c>
      <c r="I781" s="85">
        <v>21.981999999999999</v>
      </c>
      <c r="J781" s="85">
        <v>25.242000000000001</v>
      </c>
      <c r="K781" s="85">
        <v>24.965</v>
      </c>
      <c r="L781" s="85">
        <v>23.062000000000001</v>
      </c>
      <c r="M781" s="85">
        <v>23.501999999999999</v>
      </c>
      <c r="N781" s="85">
        <v>24.896999999999998</v>
      </c>
      <c r="O781" s="85">
        <v>25.576000000000001</v>
      </c>
      <c r="P781" s="85">
        <v>23.027999999999999</v>
      </c>
      <c r="Q781" s="85">
        <v>24.437999999999999</v>
      </c>
      <c r="R781" s="85">
        <v>28.22</v>
      </c>
      <c r="S781" s="89">
        <v>24.399000000000001</v>
      </c>
      <c r="T781" s="89">
        <v>295.34799999999996</v>
      </c>
      <c r="U781" s="85">
        <v>295.34800000000001</v>
      </c>
      <c r="V781" s="85">
        <v>0</v>
      </c>
      <c r="W781" s="85">
        <v>0</v>
      </c>
      <c r="X781" s="89">
        <v>295.34800000000001</v>
      </c>
      <c r="Y781" s="79">
        <v>1</v>
      </c>
      <c r="Z781" s="79">
        <v>0</v>
      </c>
      <c r="AA781" s="94">
        <v>0</v>
      </c>
      <c r="AB781" s="79">
        <v>1</v>
      </c>
      <c r="AC781" s="85">
        <v>188.4485082236842</v>
      </c>
      <c r="AD781" s="85">
        <v>19.49271177631573</v>
      </c>
      <c r="AE781" s="85">
        <v>87.406780000000026</v>
      </c>
      <c r="AF781" s="85">
        <v>0</v>
      </c>
      <c r="AG781" s="85">
        <v>295.34799999999996</v>
      </c>
      <c r="AH781" s="85">
        <v>0</v>
      </c>
      <c r="AI781" s="85">
        <v>295.34800000000001</v>
      </c>
      <c r="AJ781" s="85">
        <v>0</v>
      </c>
      <c r="AK781" s="85">
        <v>0</v>
      </c>
      <c r="AL781" s="85">
        <v>0</v>
      </c>
      <c r="AM781" s="85">
        <v>0</v>
      </c>
      <c r="AN781" s="85">
        <v>0</v>
      </c>
      <c r="AO781" s="85">
        <v>0</v>
      </c>
      <c r="AP781" s="85">
        <v>0</v>
      </c>
      <c r="AQ781" s="85">
        <v>0</v>
      </c>
      <c r="AR781" s="85">
        <v>295.34800000000001</v>
      </c>
      <c r="AS781" s="85">
        <v>0</v>
      </c>
      <c r="AT781" s="85">
        <v>0</v>
      </c>
      <c r="AU781" s="85">
        <v>0</v>
      </c>
      <c r="AV781" s="85">
        <v>0</v>
      </c>
      <c r="AW781" s="85">
        <v>0</v>
      </c>
      <c r="AX781" s="85">
        <v>0</v>
      </c>
      <c r="AY781" s="85">
        <v>0</v>
      </c>
      <c r="AZ781" s="85">
        <v>0</v>
      </c>
      <c r="BA781" s="85">
        <v>0</v>
      </c>
      <c r="BB781" s="89">
        <v>0</v>
      </c>
      <c r="BC781" s="89">
        <v>0</v>
      </c>
      <c r="BD781" s="37">
        <v>0</v>
      </c>
      <c r="BE781" s="37">
        <v>0</v>
      </c>
      <c r="BF781" s="279">
        <v>32825</v>
      </c>
      <c r="BG781" s="37">
        <v>60000</v>
      </c>
      <c r="BH781" s="37">
        <v>8159</v>
      </c>
      <c r="BI781" s="37">
        <v>0</v>
      </c>
      <c r="BJ781" s="283">
        <v>100984</v>
      </c>
      <c r="BK781" s="161"/>
      <c r="BL781" s="294"/>
      <c r="BM781"/>
      <c r="BN781"/>
      <c r="BO781"/>
      <c r="BP781"/>
      <c r="BQ781"/>
      <c r="BR781"/>
      <c r="BS781"/>
      <c r="BT781"/>
      <c r="BU781"/>
      <c r="BV781"/>
      <c r="BW781"/>
      <c r="BX781"/>
      <c r="BY781"/>
      <c r="BZ781"/>
      <c r="CA781"/>
      <c r="CB781"/>
      <c r="CC781"/>
      <c r="CD781"/>
      <c r="CE781"/>
      <c r="CF781"/>
      <c r="CG781"/>
      <c r="CH781"/>
      <c r="CI781"/>
      <c r="CJ781"/>
    </row>
    <row r="782" spans="1:88" s="32" customFormat="1" ht="15" customHeight="1" x14ac:dyDescent="0.35">
      <c r="A782" s="473"/>
      <c r="B782" s="313">
        <v>18015</v>
      </c>
      <c r="C782" s="8" t="s">
        <v>106</v>
      </c>
      <c r="D782" s="18">
        <v>12</v>
      </c>
      <c r="E782" s="251">
        <v>272</v>
      </c>
      <c r="F782" s="82">
        <v>1.9247524752475247</v>
      </c>
      <c r="G782" s="79">
        <v>523.53267326732669</v>
      </c>
      <c r="H782" s="90">
        <v>4.2729999999999997</v>
      </c>
      <c r="I782" s="85">
        <v>3.6389999999999998</v>
      </c>
      <c r="J782" s="85">
        <v>4.1449999999999996</v>
      </c>
      <c r="K782" s="85">
        <v>3.7389999999999999</v>
      </c>
      <c r="L782" s="85">
        <v>3.8519999999999999</v>
      </c>
      <c r="M782" s="85">
        <v>4.41</v>
      </c>
      <c r="N782" s="85">
        <v>5.3630000000000004</v>
      </c>
      <c r="O782" s="85">
        <v>4.0629999999999997</v>
      </c>
      <c r="P782" s="85">
        <v>3.45</v>
      </c>
      <c r="Q782" s="85">
        <v>3.4889999999999999</v>
      </c>
      <c r="R782" s="85">
        <v>3.2629999999999999</v>
      </c>
      <c r="S782" s="89">
        <v>3.738</v>
      </c>
      <c r="T782" s="89">
        <v>47.423999999999999</v>
      </c>
      <c r="U782" s="85">
        <v>0</v>
      </c>
      <c r="V782" s="85">
        <v>47.423999999999999</v>
      </c>
      <c r="W782" s="85">
        <v>0</v>
      </c>
      <c r="X782" s="89">
        <v>47.423999999999999</v>
      </c>
      <c r="Y782" s="79">
        <v>0</v>
      </c>
      <c r="Z782" s="79">
        <v>1</v>
      </c>
      <c r="AA782" s="94">
        <v>0</v>
      </c>
      <c r="AB782" s="79">
        <v>1</v>
      </c>
      <c r="AC782" s="85">
        <v>32.46</v>
      </c>
      <c r="AD782" s="85">
        <v>2.1463599999999996</v>
      </c>
      <c r="AE782" s="85">
        <v>12.817639999999999</v>
      </c>
      <c r="AF782" s="85">
        <v>0</v>
      </c>
      <c r="AG782" s="85">
        <v>47.423999999999999</v>
      </c>
      <c r="AH782" s="85">
        <v>0</v>
      </c>
      <c r="AI782" s="85">
        <v>0</v>
      </c>
      <c r="AJ782" s="85">
        <v>0</v>
      </c>
      <c r="AK782" s="85">
        <v>0</v>
      </c>
      <c r="AL782" s="85">
        <v>0</v>
      </c>
      <c r="AM782" s="85">
        <v>0</v>
      </c>
      <c r="AN782" s="85">
        <v>0</v>
      </c>
      <c r="AO782" s="85">
        <v>0</v>
      </c>
      <c r="AP782" s="85">
        <v>0</v>
      </c>
      <c r="AQ782" s="85">
        <v>0</v>
      </c>
      <c r="AR782" s="85">
        <v>0</v>
      </c>
      <c r="AS782" s="85">
        <v>0</v>
      </c>
      <c r="AT782" s="85">
        <v>0</v>
      </c>
      <c r="AU782" s="85">
        <v>0</v>
      </c>
      <c r="AV782" s="85">
        <v>0</v>
      </c>
      <c r="AW782" s="85">
        <v>0</v>
      </c>
      <c r="AX782" s="85">
        <v>0</v>
      </c>
      <c r="AY782" s="85">
        <v>47.423999999999999</v>
      </c>
      <c r="AZ782" s="85">
        <v>0</v>
      </c>
      <c r="BA782" s="85">
        <v>0</v>
      </c>
      <c r="BB782" s="89">
        <v>0</v>
      </c>
      <c r="BC782" s="89">
        <v>47.423999999999999</v>
      </c>
      <c r="BD782" s="37">
        <v>0</v>
      </c>
      <c r="BE782" s="37">
        <v>0</v>
      </c>
      <c r="BF782" s="279">
        <v>8617</v>
      </c>
      <c r="BG782" s="37">
        <v>66588</v>
      </c>
      <c r="BH782" s="37">
        <v>18476</v>
      </c>
      <c r="BI782" s="37">
        <v>10487</v>
      </c>
      <c r="BJ782" s="283">
        <v>104168</v>
      </c>
      <c r="BK782" s="161"/>
      <c r="BL782" s="294"/>
      <c r="BM782"/>
      <c r="BN782"/>
      <c r="BO782"/>
      <c r="BP782"/>
      <c r="BQ782"/>
      <c r="BR782"/>
      <c r="BS782"/>
      <c r="BT782"/>
      <c r="BU782"/>
      <c r="BV782"/>
      <c r="BW782"/>
      <c r="BX782"/>
      <c r="BY782"/>
      <c r="BZ782"/>
      <c r="CA782"/>
      <c r="CB782"/>
      <c r="CC782"/>
      <c r="CD782"/>
      <c r="CE782"/>
      <c r="CF782"/>
      <c r="CG782"/>
      <c r="CH782"/>
      <c r="CI782"/>
      <c r="CJ782"/>
    </row>
    <row r="783" spans="1:88" s="32" customFormat="1" ht="15" customHeight="1" x14ac:dyDescent="0.35">
      <c r="A783" s="473"/>
      <c r="B783" s="313">
        <v>78047</v>
      </c>
      <c r="C783" s="8" t="s">
        <v>772</v>
      </c>
      <c r="D783" s="18">
        <v>15</v>
      </c>
      <c r="E783" s="251">
        <v>1278</v>
      </c>
      <c r="F783" s="82">
        <v>1.7422831945124939</v>
      </c>
      <c r="G783" s="79">
        <v>2226.6379225869673</v>
      </c>
      <c r="H783" s="90">
        <v>39.255000000000003</v>
      </c>
      <c r="I783" s="85">
        <v>34.856000000000002</v>
      </c>
      <c r="J783" s="85">
        <v>42.526000000000003</v>
      </c>
      <c r="K783" s="85">
        <v>41.527000000000001</v>
      </c>
      <c r="L783" s="85">
        <v>36.506999999999998</v>
      </c>
      <c r="M783" s="85">
        <v>38.255000000000003</v>
      </c>
      <c r="N783" s="85">
        <v>45.353999999999999</v>
      </c>
      <c r="O783" s="85">
        <v>45.265999999999998</v>
      </c>
      <c r="P783" s="85">
        <v>42.134</v>
      </c>
      <c r="Q783" s="85">
        <v>38.161000000000001</v>
      </c>
      <c r="R783" s="85">
        <v>38.597000000000001</v>
      </c>
      <c r="S783" s="89">
        <v>35.360999999999997</v>
      </c>
      <c r="T783" s="89">
        <v>477.79899999999998</v>
      </c>
      <c r="U783" s="85">
        <v>0</v>
      </c>
      <c r="V783" s="85">
        <v>477.79899999999998</v>
      </c>
      <c r="W783" s="85">
        <v>0</v>
      </c>
      <c r="X783" s="89">
        <v>477.79899999999998</v>
      </c>
      <c r="Y783" s="79">
        <v>0</v>
      </c>
      <c r="Z783" s="79">
        <v>2</v>
      </c>
      <c r="AA783" s="94">
        <v>0</v>
      </c>
      <c r="AB783" s="79">
        <v>2</v>
      </c>
      <c r="AC783" s="85">
        <v>235.709</v>
      </c>
      <c r="AD783" s="85">
        <v>29.062000000000001</v>
      </c>
      <c r="AE783" s="85">
        <v>213.02799999999999</v>
      </c>
      <c r="AF783" s="85">
        <v>0</v>
      </c>
      <c r="AG783" s="85">
        <v>477.79899999999998</v>
      </c>
      <c r="AH783" s="85">
        <v>0</v>
      </c>
      <c r="AI783" s="85">
        <v>0</v>
      </c>
      <c r="AJ783" s="85">
        <v>0</v>
      </c>
      <c r="AK783" s="85">
        <v>0</v>
      </c>
      <c r="AL783" s="85">
        <v>0</v>
      </c>
      <c r="AM783" s="85">
        <v>0</v>
      </c>
      <c r="AN783" s="85">
        <v>0</v>
      </c>
      <c r="AO783" s="85">
        <v>0</v>
      </c>
      <c r="AP783" s="85">
        <v>0</v>
      </c>
      <c r="AQ783" s="85">
        <v>0</v>
      </c>
      <c r="AR783" s="85">
        <v>0</v>
      </c>
      <c r="AS783" s="85">
        <v>0</v>
      </c>
      <c r="AT783" s="85">
        <v>0</v>
      </c>
      <c r="AU783" s="85">
        <v>0</v>
      </c>
      <c r="AV783" s="85">
        <v>0</v>
      </c>
      <c r="AW783" s="85">
        <v>0</v>
      </c>
      <c r="AX783" s="85">
        <v>0</v>
      </c>
      <c r="AY783" s="85">
        <v>477.79899999999998</v>
      </c>
      <c r="AZ783" s="85">
        <v>0</v>
      </c>
      <c r="BA783" s="85">
        <v>0</v>
      </c>
      <c r="BB783" s="89">
        <v>0</v>
      </c>
      <c r="BC783" s="89">
        <v>477.79899999999998</v>
      </c>
      <c r="BD783" s="37">
        <v>167899</v>
      </c>
      <c r="BE783" s="37">
        <v>40159</v>
      </c>
      <c r="BF783" s="279">
        <v>5525</v>
      </c>
      <c r="BG783" s="37">
        <v>26942</v>
      </c>
      <c r="BH783" s="37">
        <v>31429</v>
      </c>
      <c r="BI783" s="37">
        <v>6236</v>
      </c>
      <c r="BJ783" s="283">
        <v>70132</v>
      </c>
      <c r="BK783" s="161"/>
      <c r="BL783" s="294"/>
      <c r="BM783"/>
      <c r="BN783"/>
      <c r="BO783"/>
      <c r="BP783"/>
      <c r="BQ783"/>
      <c r="BR783"/>
      <c r="BS783"/>
      <c r="BT783"/>
      <c r="BU783"/>
      <c r="BV783"/>
      <c r="BW783"/>
      <c r="BX783"/>
      <c r="BY783"/>
      <c r="BZ783"/>
      <c r="CA783"/>
      <c r="CB783"/>
      <c r="CC783"/>
      <c r="CD783"/>
      <c r="CE783"/>
      <c r="CF783"/>
      <c r="CG783"/>
      <c r="CH783"/>
      <c r="CI783"/>
      <c r="CJ783"/>
    </row>
    <row r="784" spans="1:88" s="32" customFormat="1" ht="15" customHeight="1" x14ac:dyDescent="0.35">
      <c r="A784" s="473"/>
      <c r="B784" s="313">
        <v>91042</v>
      </c>
      <c r="C784" s="8" t="s">
        <v>944</v>
      </c>
      <c r="D784" s="18">
        <v>2</v>
      </c>
      <c r="E784" s="251">
        <v>4247</v>
      </c>
      <c r="F784" s="82">
        <v>2.2499449460471261</v>
      </c>
      <c r="G784" s="79">
        <v>9555.516185862145</v>
      </c>
      <c r="H784" s="90">
        <v>119.76300000000001</v>
      </c>
      <c r="I784" s="85">
        <v>112.449</v>
      </c>
      <c r="J784" s="85">
        <v>116.976</v>
      </c>
      <c r="K784" s="85">
        <v>127.04300000000001</v>
      </c>
      <c r="L784" s="85">
        <v>116.813</v>
      </c>
      <c r="M784" s="85">
        <v>139.88</v>
      </c>
      <c r="N784" s="85">
        <v>161.87</v>
      </c>
      <c r="O784" s="85">
        <v>163.51599999999999</v>
      </c>
      <c r="P784" s="85">
        <v>146.876</v>
      </c>
      <c r="Q784" s="85">
        <v>123.82</v>
      </c>
      <c r="R784" s="85">
        <v>108.94799999999999</v>
      </c>
      <c r="S784" s="89">
        <v>113.006</v>
      </c>
      <c r="T784" s="89">
        <v>1550.96</v>
      </c>
      <c r="U784" s="85">
        <v>0</v>
      </c>
      <c r="V784" s="85">
        <v>1550.96</v>
      </c>
      <c r="W784" s="85">
        <v>0</v>
      </c>
      <c r="X784" s="89">
        <v>1550.96</v>
      </c>
      <c r="Y784" s="79">
        <v>0</v>
      </c>
      <c r="Z784" s="79">
        <v>1</v>
      </c>
      <c r="AA784" s="94">
        <v>0</v>
      </c>
      <c r="AB784" s="79">
        <v>1</v>
      </c>
      <c r="AC784" s="85">
        <v>951.25699999999995</v>
      </c>
      <c r="AD784" s="85">
        <v>192.08799999999999</v>
      </c>
      <c r="AE784" s="85">
        <v>407.61500000000001</v>
      </c>
      <c r="AF784" s="85">
        <v>0</v>
      </c>
      <c r="AG784" s="85">
        <v>1550.96</v>
      </c>
      <c r="AH784" s="85">
        <v>0</v>
      </c>
      <c r="AI784" s="85">
        <v>0</v>
      </c>
      <c r="AJ784" s="85">
        <v>0</v>
      </c>
      <c r="AK784" s="85">
        <v>0</v>
      </c>
      <c r="AL784" s="85">
        <v>0</v>
      </c>
      <c r="AM784" s="85">
        <v>0</v>
      </c>
      <c r="AN784" s="85">
        <v>0</v>
      </c>
      <c r="AO784" s="85">
        <v>0</v>
      </c>
      <c r="AP784" s="85">
        <v>0</v>
      </c>
      <c r="AQ784" s="85">
        <v>0</v>
      </c>
      <c r="AR784" s="85">
        <v>0</v>
      </c>
      <c r="AS784" s="85">
        <v>0</v>
      </c>
      <c r="AT784" s="85">
        <v>0</v>
      </c>
      <c r="AU784" s="85">
        <v>0</v>
      </c>
      <c r="AV784" s="85">
        <v>0</v>
      </c>
      <c r="AW784" s="85">
        <v>0</v>
      </c>
      <c r="AX784" s="85">
        <v>0</v>
      </c>
      <c r="AY784" s="85">
        <v>1550.96</v>
      </c>
      <c r="AZ784" s="85">
        <v>0</v>
      </c>
      <c r="BA784" s="85">
        <v>0</v>
      </c>
      <c r="BB784" s="89">
        <v>0</v>
      </c>
      <c r="BC784" s="89">
        <v>1550.96</v>
      </c>
      <c r="BD784" s="37">
        <v>612316</v>
      </c>
      <c r="BE784" s="37">
        <v>2237</v>
      </c>
      <c r="BF784" s="279">
        <v>10792</v>
      </c>
      <c r="BG784" s="37">
        <v>152880</v>
      </c>
      <c r="BH784" s="37">
        <v>125964</v>
      </c>
      <c r="BI784" s="37">
        <v>2988</v>
      </c>
      <c r="BJ784" s="283">
        <v>292624</v>
      </c>
      <c r="BK784" s="161"/>
      <c r="BL784" s="294"/>
      <c r="BM784"/>
      <c r="BN784"/>
      <c r="BO784"/>
      <c r="BP784"/>
      <c r="BQ784"/>
      <c r="BR784"/>
      <c r="BS784"/>
      <c r="BT784"/>
      <c r="BU784"/>
      <c r="BV784"/>
      <c r="BW784"/>
      <c r="BX784"/>
      <c r="BY784"/>
      <c r="BZ784"/>
      <c r="CA784"/>
      <c r="CB784"/>
      <c r="CC784"/>
      <c r="CD784"/>
      <c r="CE784"/>
      <c r="CF784"/>
      <c r="CG784"/>
      <c r="CH784"/>
      <c r="CI784"/>
      <c r="CJ784"/>
    </row>
    <row r="785" spans="1:88" s="32" customFormat="1" ht="15" customHeight="1" x14ac:dyDescent="0.35">
      <c r="A785" s="473"/>
      <c r="B785" s="313">
        <v>88060</v>
      </c>
      <c r="C785" s="8" t="s">
        <v>921</v>
      </c>
      <c r="D785" s="18">
        <v>8</v>
      </c>
      <c r="E785" s="251">
        <v>232</v>
      </c>
      <c r="F785" s="82">
        <v>2.6376404494382024</v>
      </c>
      <c r="G785" s="79">
        <v>611.93258426966293</v>
      </c>
      <c r="H785" s="90">
        <v>5.38</v>
      </c>
      <c r="I785" s="85">
        <v>3.0449999999999999</v>
      </c>
      <c r="J785" s="85">
        <v>5.4210000000000003</v>
      </c>
      <c r="K785" s="85">
        <v>7.1790000000000003</v>
      </c>
      <c r="L785" s="85">
        <v>4.8810000000000002</v>
      </c>
      <c r="M785" s="85">
        <v>5.1440000000000001</v>
      </c>
      <c r="N785" s="85">
        <v>6.3849999999999998</v>
      </c>
      <c r="O785" s="85">
        <v>5.1779999999999999</v>
      </c>
      <c r="P785" s="85">
        <v>6.1719999999999997</v>
      </c>
      <c r="Q785" s="85">
        <v>5.7670000000000003</v>
      </c>
      <c r="R785" s="85">
        <v>6.0289999999999999</v>
      </c>
      <c r="S785" s="89">
        <v>6.0030000000000001</v>
      </c>
      <c r="T785" s="89">
        <v>66.583999999999989</v>
      </c>
      <c r="U785" s="85">
        <v>0</v>
      </c>
      <c r="V785" s="85">
        <v>66.584000000000003</v>
      </c>
      <c r="W785" s="85">
        <v>0</v>
      </c>
      <c r="X785" s="89">
        <v>66.584000000000003</v>
      </c>
      <c r="Y785" s="79">
        <v>0</v>
      </c>
      <c r="Z785" s="79">
        <v>1</v>
      </c>
      <c r="AA785" s="94">
        <v>0</v>
      </c>
      <c r="AB785" s="79">
        <v>1</v>
      </c>
      <c r="AC785" s="85">
        <v>56.384999999999998</v>
      </c>
      <c r="AD785" s="85">
        <v>6.2649999999999997</v>
      </c>
      <c r="AE785" s="85">
        <v>3.9340000000000002</v>
      </c>
      <c r="AF785" s="85">
        <v>0</v>
      </c>
      <c r="AG785" s="85">
        <v>66.584000000000003</v>
      </c>
      <c r="AH785" s="85">
        <v>0</v>
      </c>
      <c r="AI785" s="85">
        <v>0</v>
      </c>
      <c r="AJ785" s="85">
        <v>0</v>
      </c>
      <c r="AK785" s="85">
        <v>0</v>
      </c>
      <c r="AL785" s="85">
        <v>0</v>
      </c>
      <c r="AM785" s="85">
        <v>0</v>
      </c>
      <c r="AN785" s="85">
        <v>0</v>
      </c>
      <c r="AO785" s="85">
        <v>0</v>
      </c>
      <c r="AP785" s="85">
        <v>0</v>
      </c>
      <c r="AQ785" s="85">
        <v>0</v>
      </c>
      <c r="AR785" s="85">
        <v>0</v>
      </c>
      <c r="AS785" s="85">
        <v>0</v>
      </c>
      <c r="AT785" s="85">
        <v>0</v>
      </c>
      <c r="AU785" s="85">
        <v>66.584000000000003</v>
      </c>
      <c r="AV785" s="85">
        <v>0</v>
      </c>
      <c r="AW785" s="85">
        <v>0</v>
      </c>
      <c r="AX785" s="85">
        <v>0</v>
      </c>
      <c r="AY785" s="85">
        <v>0</v>
      </c>
      <c r="AZ785" s="85">
        <v>0</v>
      </c>
      <c r="BA785" s="85">
        <v>0</v>
      </c>
      <c r="BB785" s="89">
        <v>0</v>
      </c>
      <c r="BC785" s="89">
        <v>66.584000000000003</v>
      </c>
      <c r="BD785" s="37">
        <v>0</v>
      </c>
      <c r="BE785" s="37">
        <v>0</v>
      </c>
      <c r="BF785" s="279">
        <v>8866</v>
      </c>
      <c r="BG785" s="37">
        <v>882</v>
      </c>
      <c r="BH785" s="37">
        <v>18600</v>
      </c>
      <c r="BI785" s="37">
        <v>7223</v>
      </c>
      <c r="BJ785" s="283">
        <v>35571</v>
      </c>
      <c r="BK785" s="161"/>
      <c r="BL785" s="294"/>
      <c r="BM785"/>
      <c r="BN785"/>
      <c r="BO785"/>
      <c r="BP785"/>
      <c r="BQ785"/>
      <c r="BR785"/>
      <c r="BS785"/>
      <c r="BT785"/>
      <c r="BU785"/>
      <c r="BV785"/>
      <c r="BW785"/>
      <c r="BX785"/>
      <c r="BY785"/>
      <c r="BZ785"/>
      <c r="CA785"/>
      <c r="CB785"/>
      <c r="CC785"/>
      <c r="CD785"/>
      <c r="CE785"/>
      <c r="CF785"/>
      <c r="CG785"/>
      <c r="CH785"/>
      <c r="CI785"/>
      <c r="CJ785"/>
    </row>
    <row r="786" spans="1:88" s="32" customFormat="1" ht="15" customHeight="1" x14ac:dyDescent="0.35">
      <c r="A786" s="473"/>
      <c r="B786" s="313">
        <v>49005</v>
      </c>
      <c r="C786" s="8" t="s">
        <v>464</v>
      </c>
      <c r="D786" s="18">
        <v>17</v>
      </c>
      <c r="E786" s="251"/>
      <c r="F786" s="82"/>
      <c r="G786" s="79"/>
      <c r="H786" s="90"/>
      <c r="I786" s="85"/>
      <c r="J786" s="85"/>
      <c r="K786" s="85"/>
      <c r="L786" s="85"/>
      <c r="M786" s="85"/>
      <c r="N786" s="85"/>
      <c r="O786" s="85"/>
      <c r="P786" s="85"/>
      <c r="Q786" s="85"/>
      <c r="R786" s="85"/>
      <c r="S786" s="89"/>
      <c r="T786" s="89" t="s">
        <v>1124</v>
      </c>
      <c r="U786" s="85"/>
      <c r="V786" s="85"/>
      <c r="W786" s="85"/>
      <c r="X786" s="89" t="s">
        <v>1124</v>
      </c>
      <c r="Y786" s="79"/>
      <c r="Z786" s="79"/>
      <c r="AA786" s="94"/>
      <c r="AB786" s="79" t="s">
        <v>1124</v>
      </c>
      <c r="AC786" s="85"/>
      <c r="AD786" s="85"/>
      <c r="AE786" s="85"/>
      <c r="AF786" s="85"/>
      <c r="AG786" s="85" t="s">
        <v>1124</v>
      </c>
      <c r="AH786" s="85"/>
      <c r="AI786" s="85"/>
      <c r="AJ786" s="85"/>
      <c r="AK786" s="85"/>
      <c r="AL786" s="85"/>
      <c r="AM786" s="85"/>
      <c r="AN786" s="85"/>
      <c r="AO786" s="85"/>
      <c r="AP786" s="85"/>
      <c r="AQ786" s="85"/>
      <c r="AR786" s="85" t="s">
        <v>1124</v>
      </c>
      <c r="AS786" s="85"/>
      <c r="AT786" s="85"/>
      <c r="AU786" s="85"/>
      <c r="AV786" s="85"/>
      <c r="AW786" s="85"/>
      <c r="AX786" s="85"/>
      <c r="AY786" s="85"/>
      <c r="AZ786" s="85"/>
      <c r="BA786" s="85"/>
      <c r="BB786" s="89"/>
      <c r="BC786" s="89" t="s">
        <v>1124</v>
      </c>
      <c r="BD786" s="37"/>
      <c r="BE786" s="37"/>
      <c r="BF786" s="279"/>
      <c r="BG786" s="37"/>
      <c r="BH786" s="37"/>
      <c r="BI786" s="37"/>
      <c r="BJ786" s="283"/>
      <c r="BK786" s="161"/>
      <c r="BL786" s="294"/>
      <c r="BM786"/>
      <c r="BN786"/>
      <c r="BO786"/>
      <c r="BP786"/>
      <c r="BQ786"/>
      <c r="BR786"/>
      <c r="BS786"/>
      <c r="BT786"/>
      <c r="BU786"/>
      <c r="BV786"/>
      <c r="BW786"/>
      <c r="BX786"/>
      <c r="BY786"/>
      <c r="BZ786"/>
      <c r="CA786"/>
      <c r="CB786"/>
      <c r="CC786"/>
      <c r="CD786"/>
      <c r="CE786"/>
      <c r="CF786"/>
      <c r="CG786"/>
      <c r="CH786"/>
      <c r="CI786"/>
      <c r="CJ786"/>
    </row>
    <row r="787" spans="1:88" s="32" customFormat="1" ht="15" customHeight="1" x14ac:dyDescent="0.35">
      <c r="A787" s="473"/>
      <c r="B787" s="313">
        <v>62007</v>
      </c>
      <c r="C787" s="8" t="s">
        <v>619</v>
      </c>
      <c r="D787" s="18">
        <v>14</v>
      </c>
      <c r="E787" s="251">
        <v>2138</v>
      </c>
      <c r="F787" s="82">
        <v>2.2718144044321331</v>
      </c>
      <c r="G787" s="79">
        <v>4857.1391966759002</v>
      </c>
      <c r="H787" s="90">
        <v>49.494999999999997</v>
      </c>
      <c r="I787" s="85">
        <v>46.959000000000003</v>
      </c>
      <c r="J787" s="85">
        <v>55.780999999999999</v>
      </c>
      <c r="K787" s="85">
        <v>52.075000000000003</v>
      </c>
      <c r="L787" s="85">
        <v>60.55</v>
      </c>
      <c r="M787" s="85">
        <v>75.638000000000005</v>
      </c>
      <c r="N787" s="85">
        <v>89.412000000000006</v>
      </c>
      <c r="O787" s="85">
        <v>88.585999999999999</v>
      </c>
      <c r="P787" s="85">
        <v>70.23</v>
      </c>
      <c r="Q787" s="85">
        <v>62.414000000000001</v>
      </c>
      <c r="R787" s="85">
        <v>49.664000000000001</v>
      </c>
      <c r="S787" s="89">
        <v>53.152999999999999</v>
      </c>
      <c r="T787" s="89">
        <v>753.95700000000011</v>
      </c>
      <c r="U787" s="85">
        <v>0</v>
      </c>
      <c r="V787" s="85">
        <v>10.717000000000001</v>
      </c>
      <c r="W787" s="85">
        <v>743.24</v>
      </c>
      <c r="X787" s="89">
        <v>753.95699999999999</v>
      </c>
      <c r="Y787" s="79">
        <v>0</v>
      </c>
      <c r="Z787" s="79">
        <v>1</v>
      </c>
      <c r="AA787" s="94">
        <v>1</v>
      </c>
      <c r="AB787" s="79">
        <v>2</v>
      </c>
      <c r="AC787" s="85">
        <v>272.983</v>
      </c>
      <c r="AD787" s="85">
        <v>295.56200000000001</v>
      </c>
      <c r="AE787" s="85">
        <v>158.68599999999998</v>
      </c>
      <c r="AF787" s="85">
        <v>26.725999999999999</v>
      </c>
      <c r="AG787" s="85">
        <v>753.95699999999999</v>
      </c>
      <c r="AH787" s="85">
        <v>0</v>
      </c>
      <c r="AI787" s="85">
        <v>0</v>
      </c>
      <c r="AJ787" s="85">
        <v>0</v>
      </c>
      <c r="AK787" s="85">
        <v>0</v>
      </c>
      <c r="AL787" s="85">
        <v>0</v>
      </c>
      <c r="AM787" s="85">
        <v>0</v>
      </c>
      <c r="AN787" s="85">
        <v>0</v>
      </c>
      <c r="AO787" s="85">
        <v>0</v>
      </c>
      <c r="AP787" s="85">
        <v>0</v>
      </c>
      <c r="AQ787" s="85">
        <v>0</v>
      </c>
      <c r="AR787" s="85">
        <v>0</v>
      </c>
      <c r="AS787" s="85">
        <v>0</v>
      </c>
      <c r="AT787" s="85">
        <v>0</v>
      </c>
      <c r="AU787" s="85">
        <v>0</v>
      </c>
      <c r="AV787" s="85">
        <v>0</v>
      </c>
      <c r="AW787" s="85">
        <v>0</v>
      </c>
      <c r="AX787" s="85">
        <v>0</v>
      </c>
      <c r="AY787" s="85">
        <v>753.95699999999999</v>
      </c>
      <c r="AZ787" s="85">
        <v>0</v>
      </c>
      <c r="BA787" s="85">
        <v>0</v>
      </c>
      <c r="BB787" s="89">
        <v>0</v>
      </c>
      <c r="BC787" s="89">
        <v>753.95699999999999</v>
      </c>
      <c r="BD787" s="37">
        <v>0</v>
      </c>
      <c r="BE787" s="37">
        <v>0</v>
      </c>
      <c r="BF787" s="279">
        <v>75186</v>
      </c>
      <c r="BG787" s="37">
        <v>76968</v>
      </c>
      <c r="BH787" s="37">
        <v>39714</v>
      </c>
      <c r="BI787" s="37">
        <v>28617</v>
      </c>
      <c r="BJ787" s="283">
        <v>220485</v>
      </c>
      <c r="BK787" s="161"/>
      <c r="BL787" s="294"/>
      <c r="BM787"/>
      <c r="BN787"/>
      <c r="BO787"/>
      <c r="BP787"/>
      <c r="BQ787"/>
      <c r="BR787"/>
      <c r="BS787"/>
      <c r="BT787"/>
      <c r="BU787"/>
      <c r="BV787"/>
      <c r="BW787"/>
      <c r="BX787"/>
      <c r="BY787"/>
      <c r="BZ787"/>
      <c r="CA787"/>
      <c r="CB787"/>
      <c r="CC787"/>
      <c r="CD787"/>
      <c r="CE787"/>
      <c r="CF787"/>
      <c r="CG787"/>
      <c r="CH787"/>
      <c r="CI787"/>
      <c r="CJ787"/>
    </row>
    <row r="788" spans="1:88" s="32" customFormat="1" ht="15" customHeight="1" x14ac:dyDescent="0.35">
      <c r="A788" s="473"/>
      <c r="B788" s="313">
        <v>94225</v>
      </c>
      <c r="C788" s="8" t="s">
        <v>977</v>
      </c>
      <c r="D788" s="18">
        <v>2</v>
      </c>
      <c r="E788" s="251"/>
      <c r="F788" s="82"/>
      <c r="G788" s="79"/>
      <c r="H788" s="90"/>
      <c r="I788" s="85"/>
      <c r="J788" s="85"/>
      <c r="K788" s="85"/>
      <c r="L788" s="85"/>
      <c r="M788" s="85"/>
      <c r="N788" s="85"/>
      <c r="O788" s="85"/>
      <c r="P788" s="85"/>
      <c r="Q788" s="85"/>
      <c r="R788" s="85"/>
      <c r="S788" s="89"/>
      <c r="T788" s="89" t="s">
        <v>1124</v>
      </c>
      <c r="U788" s="85"/>
      <c r="V788" s="85"/>
      <c r="W788" s="85"/>
      <c r="X788" s="89" t="s">
        <v>1124</v>
      </c>
      <c r="Y788" s="79"/>
      <c r="Z788" s="79"/>
      <c r="AA788" s="94"/>
      <c r="AB788" s="79" t="s">
        <v>1124</v>
      </c>
      <c r="AC788" s="85"/>
      <c r="AD788" s="85"/>
      <c r="AE788" s="85"/>
      <c r="AF788" s="85"/>
      <c r="AG788" s="85" t="s">
        <v>1124</v>
      </c>
      <c r="AH788" s="85"/>
      <c r="AI788" s="85"/>
      <c r="AJ788" s="85"/>
      <c r="AK788" s="85"/>
      <c r="AL788" s="85"/>
      <c r="AM788" s="85"/>
      <c r="AN788" s="85"/>
      <c r="AO788" s="85"/>
      <c r="AP788" s="85"/>
      <c r="AQ788" s="85"/>
      <c r="AR788" s="85" t="s">
        <v>1124</v>
      </c>
      <c r="AS788" s="85"/>
      <c r="AT788" s="85"/>
      <c r="AU788" s="85"/>
      <c r="AV788" s="85"/>
      <c r="AW788" s="85"/>
      <c r="AX788" s="85"/>
      <c r="AY788" s="85"/>
      <c r="AZ788" s="85"/>
      <c r="BA788" s="85"/>
      <c r="BB788" s="89"/>
      <c r="BC788" s="89" t="s">
        <v>1124</v>
      </c>
      <c r="BD788" s="37"/>
      <c r="BE788" s="37"/>
      <c r="BF788" s="279"/>
      <c r="BG788" s="37"/>
      <c r="BH788" s="37"/>
      <c r="BI788" s="37"/>
      <c r="BJ788" s="283"/>
      <c r="BK788" s="161"/>
      <c r="BL788" s="294"/>
      <c r="BM788"/>
      <c r="BN788"/>
      <c r="BO788"/>
      <c r="BP788"/>
      <c r="BQ788"/>
      <c r="BR788"/>
      <c r="BS788"/>
      <c r="BT788"/>
      <c r="BU788"/>
      <c r="BV788"/>
      <c r="BW788"/>
      <c r="BX788"/>
      <c r="BY788"/>
      <c r="BZ788"/>
      <c r="CA788"/>
      <c r="CB788"/>
      <c r="CC788"/>
      <c r="CD788"/>
      <c r="CE788"/>
      <c r="CF788"/>
      <c r="CG788"/>
      <c r="CH788"/>
      <c r="CI788"/>
      <c r="CJ788"/>
    </row>
    <row r="789" spans="1:88" s="32" customFormat="1" ht="15" customHeight="1" x14ac:dyDescent="0.35">
      <c r="A789" s="473"/>
      <c r="B789" s="313">
        <v>32013</v>
      </c>
      <c r="C789" s="8" t="s">
        <v>256</v>
      </c>
      <c r="D789" s="18">
        <v>17</v>
      </c>
      <c r="E789" s="251">
        <v>603</v>
      </c>
      <c r="F789" s="82">
        <v>1.924074074074074</v>
      </c>
      <c r="G789" s="79">
        <v>1160.2166666666667</v>
      </c>
      <c r="H789" s="90">
        <v>9.4049999999999994</v>
      </c>
      <c r="I789" s="85">
        <v>8.25</v>
      </c>
      <c r="J789" s="85">
        <v>10.227</v>
      </c>
      <c r="K789" s="85">
        <v>11.909000000000001</v>
      </c>
      <c r="L789" s="85">
        <v>12.484</v>
      </c>
      <c r="M789" s="85">
        <v>11.166</v>
      </c>
      <c r="N789" s="85">
        <v>10.731999999999999</v>
      </c>
      <c r="O789" s="85">
        <v>9.4879999999999995</v>
      </c>
      <c r="P789" s="85">
        <v>8.5890000000000004</v>
      </c>
      <c r="Q789" s="85">
        <v>9.8360000000000003</v>
      </c>
      <c r="R789" s="85">
        <v>8.8360000000000003</v>
      </c>
      <c r="S789" s="89">
        <v>8.2249999999999996</v>
      </c>
      <c r="T789" s="89">
        <v>119.14699999999999</v>
      </c>
      <c r="U789" s="85">
        <v>0</v>
      </c>
      <c r="V789" s="85">
        <v>0</v>
      </c>
      <c r="W789" s="85">
        <v>119.14700000000001</v>
      </c>
      <c r="X789" s="89">
        <v>119.14700000000001</v>
      </c>
      <c r="Y789" s="79">
        <v>0</v>
      </c>
      <c r="Z789" s="79">
        <v>0</v>
      </c>
      <c r="AA789" s="94">
        <v>1</v>
      </c>
      <c r="AB789" s="79">
        <v>1</v>
      </c>
      <c r="AC789" s="85">
        <v>75.959999999999994</v>
      </c>
      <c r="AD789" s="85">
        <v>8.3119999999999994</v>
      </c>
      <c r="AE789" s="85">
        <v>34.875</v>
      </c>
      <c r="AF789" s="85">
        <v>0</v>
      </c>
      <c r="AG789" s="85">
        <v>119.14699999999999</v>
      </c>
      <c r="AH789" s="85">
        <v>0</v>
      </c>
      <c r="AI789" s="85">
        <v>0</v>
      </c>
      <c r="AJ789" s="85">
        <v>0</v>
      </c>
      <c r="AK789" s="85">
        <v>0</v>
      </c>
      <c r="AL789" s="85">
        <v>0</v>
      </c>
      <c r="AM789" s="85">
        <v>0</v>
      </c>
      <c r="AN789" s="85">
        <v>0</v>
      </c>
      <c r="AO789" s="85">
        <v>0</v>
      </c>
      <c r="AP789" s="85">
        <v>0</v>
      </c>
      <c r="AQ789" s="85">
        <v>0</v>
      </c>
      <c r="AR789" s="85">
        <v>0</v>
      </c>
      <c r="AS789" s="85">
        <v>0</v>
      </c>
      <c r="AT789" s="85">
        <v>0</v>
      </c>
      <c r="AU789" s="85">
        <v>0</v>
      </c>
      <c r="AV789" s="85">
        <v>0</v>
      </c>
      <c r="AW789" s="85">
        <v>0</v>
      </c>
      <c r="AX789" s="85">
        <v>0</v>
      </c>
      <c r="AY789" s="85">
        <v>119.14700000000001</v>
      </c>
      <c r="AZ789" s="85">
        <v>0</v>
      </c>
      <c r="BA789" s="85">
        <v>0</v>
      </c>
      <c r="BB789" s="89">
        <v>0</v>
      </c>
      <c r="BC789" s="89">
        <v>119.14700000000001</v>
      </c>
      <c r="BD789" s="37">
        <v>0</v>
      </c>
      <c r="BE789" s="37">
        <v>0</v>
      </c>
      <c r="BF789" s="279">
        <v>57083</v>
      </c>
      <c r="BG789" s="37">
        <v>28709</v>
      </c>
      <c r="BH789" s="37">
        <v>5576</v>
      </c>
      <c r="BI789" s="37">
        <v>11448</v>
      </c>
      <c r="BJ789" s="283">
        <v>102816</v>
      </c>
      <c r="BK789" s="161"/>
      <c r="BL789" s="294"/>
      <c r="BM789"/>
      <c r="BN789"/>
      <c r="BO789"/>
      <c r="BP789"/>
      <c r="BQ789"/>
      <c r="BR789"/>
      <c r="BS789"/>
      <c r="BT789"/>
      <c r="BU789"/>
      <c r="BV789"/>
      <c r="BW789"/>
      <c r="BX789"/>
      <c r="BY789"/>
      <c r="BZ789"/>
      <c r="CA789"/>
      <c r="CB789"/>
      <c r="CC789"/>
      <c r="CD789"/>
      <c r="CE789"/>
      <c r="CF789"/>
      <c r="CG789"/>
      <c r="CH789"/>
      <c r="CI789"/>
      <c r="CJ789"/>
    </row>
    <row r="790" spans="1:88" s="32" customFormat="1" ht="15" customHeight="1" x14ac:dyDescent="0.35">
      <c r="A790" s="473"/>
      <c r="B790" s="313">
        <v>21010</v>
      </c>
      <c r="C790" s="8" t="s">
        <v>145</v>
      </c>
      <c r="D790" s="18">
        <v>3</v>
      </c>
      <c r="E790" s="251"/>
      <c r="F790" s="82"/>
      <c r="G790" s="79"/>
      <c r="H790" s="90"/>
      <c r="I790" s="85"/>
      <c r="J790" s="85"/>
      <c r="K790" s="85"/>
      <c r="L790" s="85"/>
      <c r="M790" s="85"/>
      <c r="N790" s="85"/>
      <c r="O790" s="85"/>
      <c r="P790" s="85"/>
      <c r="Q790" s="85"/>
      <c r="R790" s="85"/>
      <c r="S790" s="89"/>
      <c r="T790" s="89" t="s">
        <v>1124</v>
      </c>
      <c r="U790" s="85"/>
      <c r="V790" s="85"/>
      <c r="W790" s="85"/>
      <c r="X790" s="89" t="s">
        <v>1124</v>
      </c>
      <c r="Y790" s="79"/>
      <c r="Z790" s="79"/>
      <c r="AA790" s="94"/>
      <c r="AB790" s="79" t="s">
        <v>1124</v>
      </c>
      <c r="AC790" s="85"/>
      <c r="AD790" s="85"/>
      <c r="AE790" s="85"/>
      <c r="AF790" s="85"/>
      <c r="AG790" s="85" t="s">
        <v>1124</v>
      </c>
      <c r="AH790" s="85"/>
      <c r="AI790" s="85"/>
      <c r="AJ790" s="85"/>
      <c r="AK790" s="85"/>
      <c r="AL790" s="85"/>
      <c r="AM790" s="85"/>
      <c r="AN790" s="85"/>
      <c r="AO790" s="85"/>
      <c r="AP790" s="85"/>
      <c r="AQ790" s="85"/>
      <c r="AR790" s="85" t="s">
        <v>1124</v>
      </c>
      <c r="AS790" s="85"/>
      <c r="AT790" s="85"/>
      <c r="AU790" s="85"/>
      <c r="AV790" s="85"/>
      <c r="AW790" s="85"/>
      <c r="AX790" s="85"/>
      <c r="AY790" s="85"/>
      <c r="AZ790" s="85"/>
      <c r="BA790" s="85"/>
      <c r="BB790" s="89"/>
      <c r="BC790" s="89" t="s">
        <v>1124</v>
      </c>
      <c r="BD790" s="37"/>
      <c r="BE790" s="37"/>
      <c r="BF790" s="279"/>
      <c r="BG790" s="37"/>
      <c r="BH790" s="37"/>
      <c r="BI790" s="37"/>
      <c r="BJ790" s="283"/>
      <c r="BK790" s="161"/>
      <c r="BL790" s="294"/>
      <c r="BM790"/>
      <c r="BN790"/>
      <c r="BO790"/>
      <c r="BP790"/>
      <c r="BQ790"/>
      <c r="BR790"/>
      <c r="BS790"/>
      <c r="BT790"/>
      <c r="BU790"/>
      <c r="BV790"/>
      <c r="BW790"/>
      <c r="BX790"/>
      <c r="BY790"/>
      <c r="BZ790"/>
      <c r="CA790"/>
      <c r="CB790"/>
      <c r="CC790"/>
      <c r="CD790"/>
      <c r="CE790"/>
      <c r="CF790"/>
      <c r="CG790"/>
      <c r="CH790"/>
      <c r="CI790"/>
      <c r="CJ790"/>
    </row>
    <row r="791" spans="1:88" s="32" customFormat="1" ht="15" customHeight="1" x14ac:dyDescent="0.35">
      <c r="A791" s="473"/>
      <c r="B791" s="313">
        <v>33052</v>
      </c>
      <c r="C791" s="8" t="s">
        <v>274</v>
      </c>
      <c r="D791" s="18">
        <v>12</v>
      </c>
      <c r="E791" s="251">
        <v>449</v>
      </c>
      <c r="F791" s="82">
        <v>2.358490566037736</v>
      </c>
      <c r="G791" s="79">
        <v>1058.9622641509434</v>
      </c>
      <c r="H791" s="90">
        <v>25.486000000000001</v>
      </c>
      <c r="I791" s="85">
        <v>23.324000000000002</v>
      </c>
      <c r="J791" s="85">
        <v>26.626000000000001</v>
      </c>
      <c r="K791" s="85">
        <v>24.67</v>
      </c>
      <c r="L791" s="85">
        <v>30.056000000000001</v>
      </c>
      <c r="M791" s="85">
        <v>26.832000000000001</v>
      </c>
      <c r="N791" s="85">
        <v>29.338999999999999</v>
      </c>
      <c r="O791" s="85">
        <v>26.838000000000001</v>
      </c>
      <c r="P791" s="85">
        <v>25.478999999999999</v>
      </c>
      <c r="Q791" s="85">
        <v>25.204999999999998</v>
      </c>
      <c r="R791" s="85">
        <v>24.315999999999999</v>
      </c>
      <c r="S791" s="89">
        <v>25.35</v>
      </c>
      <c r="T791" s="89">
        <v>313.52099999999996</v>
      </c>
      <c r="U791" s="85">
        <v>0</v>
      </c>
      <c r="V791" s="85">
        <v>0</v>
      </c>
      <c r="W791" s="85">
        <v>313.52099999999996</v>
      </c>
      <c r="X791" s="89">
        <v>313.52099999999996</v>
      </c>
      <c r="Y791" s="79">
        <v>0</v>
      </c>
      <c r="Z791" s="79">
        <v>0</v>
      </c>
      <c r="AA791" s="94">
        <v>3</v>
      </c>
      <c r="AB791" s="79">
        <v>3</v>
      </c>
      <c r="AC791" s="85">
        <v>65.251892783505156</v>
      </c>
      <c r="AD791" s="85">
        <v>14.90952742057641</v>
      </c>
      <c r="AE791" s="85">
        <v>7.8325797959184014</v>
      </c>
      <c r="AF791" s="85">
        <v>225.52699999999999</v>
      </c>
      <c r="AG791" s="85">
        <v>313.52099999999996</v>
      </c>
      <c r="AH791" s="85">
        <v>0</v>
      </c>
      <c r="AI791" s="85">
        <v>0</v>
      </c>
      <c r="AJ791" s="85">
        <v>0</v>
      </c>
      <c r="AK791" s="85">
        <v>0</v>
      </c>
      <c r="AL791" s="85">
        <v>0</v>
      </c>
      <c r="AM791" s="85">
        <v>0</v>
      </c>
      <c r="AN791" s="85">
        <v>0</v>
      </c>
      <c r="AO791" s="85">
        <v>0</v>
      </c>
      <c r="AP791" s="85">
        <v>0</v>
      </c>
      <c r="AQ791" s="85">
        <v>0</v>
      </c>
      <c r="AR791" s="85">
        <v>0</v>
      </c>
      <c r="AS791" s="85">
        <v>0</v>
      </c>
      <c r="AT791" s="85">
        <v>0</v>
      </c>
      <c r="AU791" s="85">
        <v>0</v>
      </c>
      <c r="AV791" s="85">
        <v>0</v>
      </c>
      <c r="AW791" s="85">
        <v>0</v>
      </c>
      <c r="AX791" s="85">
        <v>313.52099999999996</v>
      </c>
      <c r="AY791" s="85">
        <v>0</v>
      </c>
      <c r="AZ791" s="85">
        <v>0</v>
      </c>
      <c r="BA791" s="85">
        <v>0</v>
      </c>
      <c r="BB791" s="89">
        <v>0</v>
      </c>
      <c r="BC791" s="89">
        <v>313.52099999999996</v>
      </c>
      <c r="BD791" s="37">
        <v>125555</v>
      </c>
      <c r="BE791" s="37">
        <v>0</v>
      </c>
      <c r="BF791" s="279">
        <v>55789</v>
      </c>
      <c r="BG791" s="37">
        <v>44519</v>
      </c>
      <c r="BH791" s="37">
        <v>33746</v>
      </c>
      <c r="BI791" s="37">
        <v>168619</v>
      </c>
      <c r="BJ791" s="283">
        <v>302673</v>
      </c>
      <c r="BK791" s="161"/>
      <c r="BL791" s="294"/>
      <c r="BM791"/>
      <c r="BN791"/>
      <c r="BO791"/>
      <c r="BP791"/>
      <c r="BQ791"/>
      <c r="BR791"/>
      <c r="BS791"/>
      <c r="BT791"/>
      <c r="BU791"/>
      <c r="BV791"/>
      <c r="BW791"/>
      <c r="BX791"/>
      <c r="BY791"/>
      <c r="BZ791"/>
      <c r="CA791"/>
      <c r="CB791"/>
      <c r="CC791"/>
      <c r="CD791"/>
      <c r="CE791"/>
      <c r="CF791"/>
      <c r="CG791"/>
      <c r="CH791"/>
      <c r="CI791"/>
      <c r="CJ791"/>
    </row>
    <row r="792" spans="1:88" s="32" customFormat="1" ht="15" customHeight="1" x14ac:dyDescent="0.35">
      <c r="A792" s="473"/>
      <c r="B792" s="313">
        <v>31030</v>
      </c>
      <c r="C792" s="8" t="s">
        <v>241</v>
      </c>
      <c r="D792" s="18">
        <v>12</v>
      </c>
      <c r="E792" s="251"/>
      <c r="F792" s="82"/>
      <c r="G792" s="79"/>
      <c r="H792" s="90"/>
      <c r="I792" s="85"/>
      <c r="J792" s="85"/>
      <c r="K792" s="85"/>
      <c r="L792" s="85"/>
      <c r="M792" s="85"/>
      <c r="N792" s="85"/>
      <c r="O792" s="85"/>
      <c r="P792" s="85"/>
      <c r="Q792" s="85"/>
      <c r="R792" s="85"/>
      <c r="S792" s="89"/>
      <c r="T792" s="89" t="s">
        <v>1124</v>
      </c>
      <c r="U792" s="85"/>
      <c r="V792" s="85"/>
      <c r="W792" s="85"/>
      <c r="X792" s="89" t="s">
        <v>1124</v>
      </c>
      <c r="Y792" s="79"/>
      <c r="Z792" s="79"/>
      <c r="AA792" s="94"/>
      <c r="AB792" s="79" t="s">
        <v>1124</v>
      </c>
      <c r="AC792" s="85"/>
      <c r="AD792" s="85"/>
      <c r="AE792" s="85"/>
      <c r="AF792" s="85"/>
      <c r="AG792" s="85" t="s">
        <v>1124</v>
      </c>
      <c r="AH792" s="85"/>
      <c r="AI792" s="85"/>
      <c r="AJ792" s="85"/>
      <c r="AK792" s="85"/>
      <c r="AL792" s="85"/>
      <c r="AM792" s="85"/>
      <c r="AN792" s="85"/>
      <c r="AO792" s="85"/>
      <c r="AP792" s="85"/>
      <c r="AQ792" s="85"/>
      <c r="AR792" s="85" t="s">
        <v>1124</v>
      </c>
      <c r="AS792" s="85"/>
      <c r="AT792" s="85"/>
      <c r="AU792" s="85"/>
      <c r="AV792" s="85"/>
      <c r="AW792" s="85"/>
      <c r="AX792" s="85"/>
      <c r="AY792" s="85"/>
      <c r="AZ792" s="85"/>
      <c r="BA792" s="85"/>
      <c r="BB792" s="89"/>
      <c r="BC792" s="89" t="s">
        <v>1124</v>
      </c>
      <c r="BD792" s="37"/>
      <c r="BE792" s="37"/>
      <c r="BF792" s="279"/>
      <c r="BG792" s="37"/>
      <c r="BH792" s="37"/>
      <c r="BI792" s="37"/>
      <c r="BJ792" s="283"/>
      <c r="BK792" s="161"/>
      <c r="BL792" s="294"/>
      <c r="BM792"/>
      <c r="BN792"/>
      <c r="BO792"/>
      <c r="BP792"/>
      <c r="BQ792"/>
      <c r="BR792"/>
      <c r="BS792"/>
      <c r="BT792"/>
      <c r="BU792"/>
      <c r="BV792"/>
      <c r="BW792"/>
      <c r="BX792"/>
      <c r="BY792"/>
      <c r="BZ792"/>
      <c r="CA792"/>
      <c r="CB792"/>
      <c r="CC792"/>
      <c r="CD792"/>
      <c r="CE792"/>
      <c r="CF792"/>
      <c r="CG792"/>
      <c r="CH792"/>
      <c r="CI792"/>
      <c r="CJ792"/>
    </row>
    <row r="793" spans="1:88" s="32" customFormat="1" ht="15" customHeight="1" x14ac:dyDescent="0.35">
      <c r="A793" s="473"/>
      <c r="B793" s="313">
        <v>6055</v>
      </c>
      <c r="C793" s="8" t="s">
        <v>1066</v>
      </c>
      <c r="D793" s="18">
        <v>11</v>
      </c>
      <c r="E793" s="251">
        <v>245</v>
      </c>
      <c r="F793" s="82">
        <v>1.9145299145299146</v>
      </c>
      <c r="G793" s="79">
        <v>469.0598290598291</v>
      </c>
      <c r="H793" s="90">
        <v>4.2279999999999998</v>
      </c>
      <c r="I793" s="85">
        <v>3.7320000000000002</v>
      </c>
      <c r="J793" s="85">
        <v>4.0599999999999996</v>
      </c>
      <c r="K793" s="85">
        <v>4.3150000000000004</v>
      </c>
      <c r="L793" s="85">
        <v>5.0030000000000001</v>
      </c>
      <c r="M793" s="85">
        <v>3.8980000000000001</v>
      </c>
      <c r="N793" s="85">
        <v>5.0910000000000002</v>
      </c>
      <c r="O793" s="85">
        <v>5.5449999999999999</v>
      </c>
      <c r="P793" s="85">
        <v>4.9420000000000002</v>
      </c>
      <c r="Q793" s="85">
        <v>5.4109999999999996</v>
      </c>
      <c r="R793" s="85">
        <v>5.5030000000000001</v>
      </c>
      <c r="S793" s="89">
        <v>6.3769999999999998</v>
      </c>
      <c r="T793" s="89">
        <v>58.105000000000004</v>
      </c>
      <c r="U793" s="85">
        <v>0</v>
      </c>
      <c r="V793" s="85">
        <v>58.104999999999997</v>
      </c>
      <c r="W793" s="85">
        <v>0</v>
      </c>
      <c r="X793" s="89">
        <v>58.104999999999997</v>
      </c>
      <c r="Y793" s="79">
        <v>0</v>
      </c>
      <c r="Z793" s="79">
        <v>1</v>
      </c>
      <c r="AA793" s="94">
        <v>0</v>
      </c>
      <c r="AB793" s="79">
        <v>1</v>
      </c>
      <c r="AC793" s="85">
        <v>44.209552845528449</v>
      </c>
      <c r="AD793" s="85">
        <v>3.9470221544715525</v>
      </c>
      <c r="AE793" s="85">
        <v>9.9484250000000021</v>
      </c>
      <c r="AF793" s="85">
        <v>0</v>
      </c>
      <c r="AG793" s="85">
        <v>58.105000000000004</v>
      </c>
      <c r="AH793" s="85">
        <v>0</v>
      </c>
      <c r="AI793" s="85">
        <v>0</v>
      </c>
      <c r="AJ793" s="85">
        <v>0</v>
      </c>
      <c r="AK793" s="85">
        <v>0</v>
      </c>
      <c r="AL793" s="85">
        <v>0</v>
      </c>
      <c r="AM793" s="85">
        <v>0</v>
      </c>
      <c r="AN793" s="85">
        <v>0</v>
      </c>
      <c r="AO793" s="85">
        <v>0</v>
      </c>
      <c r="AP793" s="85">
        <v>0</v>
      </c>
      <c r="AQ793" s="85">
        <v>0</v>
      </c>
      <c r="AR793" s="85">
        <v>0</v>
      </c>
      <c r="AS793" s="85">
        <v>58.104999999999997</v>
      </c>
      <c r="AT793" s="85">
        <v>0</v>
      </c>
      <c r="AU793" s="85">
        <v>0</v>
      </c>
      <c r="AV793" s="85">
        <v>0</v>
      </c>
      <c r="AW793" s="85">
        <v>0</v>
      </c>
      <c r="AX793" s="85">
        <v>0</v>
      </c>
      <c r="AY793" s="85">
        <v>0</v>
      </c>
      <c r="AZ793" s="85">
        <v>0</v>
      </c>
      <c r="BA793" s="85">
        <v>0</v>
      </c>
      <c r="BB793" s="89">
        <v>0</v>
      </c>
      <c r="BC793" s="89">
        <v>58.104999999999997</v>
      </c>
      <c r="BD793" s="37">
        <v>0</v>
      </c>
      <c r="BE793" s="37">
        <v>0</v>
      </c>
      <c r="BF793" s="279">
        <v>31690</v>
      </c>
      <c r="BG793" s="37">
        <v>25291</v>
      </c>
      <c r="BH793" s="37">
        <v>16878</v>
      </c>
      <c r="BI793" s="37">
        <v>6495</v>
      </c>
      <c r="BJ793" s="283">
        <v>80354</v>
      </c>
      <c r="BK793" s="161"/>
      <c r="BL793" s="294"/>
      <c r="BM793"/>
      <c r="BN793"/>
      <c r="BO793"/>
      <c r="BP793"/>
      <c r="BQ793"/>
      <c r="BR793"/>
      <c r="BS793"/>
      <c r="BT793"/>
      <c r="BU793"/>
      <c r="BV793"/>
      <c r="BW793"/>
      <c r="BX793"/>
      <c r="BY793"/>
      <c r="BZ793"/>
      <c r="CA793"/>
      <c r="CB793"/>
      <c r="CC793"/>
      <c r="CD793"/>
      <c r="CE793"/>
      <c r="CF793"/>
      <c r="CG793"/>
      <c r="CH793"/>
      <c r="CI793"/>
      <c r="CJ793"/>
    </row>
    <row r="794" spans="1:88" s="32" customFormat="1" ht="15" customHeight="1" x14ac:dyDescent="0.35">
      <c r="A794" s="473"/>
      <c r="B794" s="313">
        <v>18060</v>
      </c>
      <c r="C794" s="8" t="s">
        <v>115</v>
      </c>
      <c r="D794" s="18">
        <v>12</v>
      </c>
      <c r="E794" s="251"/>
      <c r="F794" s="82"/>
      <c r="G794" s="79"/>
      <c r="H794" s="90"/>
      <c r="I794" s="85"/>
      <c r="J794" s="85"/>
      <c r="K794" s="85"/>
      <c r="L794" s="85"/>
      <c r="M794" s="85"/>
      <c r="N794" s="85"/>
      <c r="O794" s="85"/>
      <c r="P794" s="85"/>
      <c r="Q794" s="85"/>
      <c r="R794" s="85"/>
      <c r="S794" s="89"/>
      <c r="T794" s="89" t="s">
        <v>1124</v>
      </c>
      <c r="U794" s="85"/>
      <c r="V794" s="85"/>
      <c r="W794" s="85"/>
      <c r="X794" s="89" t="s">
        <v>1124</v>
      </c>
      <c r="Y794" s="79"/>
      <c r="Z794" s="79"/>
      <c r="AA794" s="94"/>
      <c r="AB794" s="79" t="s">
        <v>1124</v>
      </c>
      <c r="AC794" s="85"/>
      <c r="AD794" s="85"/>
      <c r="AE794" s="85"/>
      <c r="AF794" s="85"/>
      <c r="AG794" s="85" t="s">
        <v>1124</v>
      </c>
      <c r="AH794" s="85"/>
      <c r="AI794" s="85"/>
      <c r="AJ794" s="85"/>
      <c r="AK794" s="85"/>
      <c r="AL794" s="85"/>
      <c r="AM794" s="85"/>
      <c r="AN794" s="85"/>
      <c r="AO794" s="85"/>
      <c r="AP794" s="85"/>
      <c r="AQ794" s="85"/>
      <c r="AR794" s="85" t="s">
        <v>1124</v>
      </c>
      <c r="AS794" s="85"/>
      <c r="AT794" s="85"/>
      <c r="AU794" s="85"/>
      <c r="AV794" s="85"/>
      <c r="AW794" s="85"/>
      <c r="AX794" s="85"/>
      <c r="AY794" s="85"/>
      <c r="AZ794" s="85"/>
      <c r="BA794" s="85"/>
      <c r="BB794" s="89"/>
      <c r="BC794" s="89" t="s">
        <v>1124</v>
      </c>
      <c r="BD794" s="37"/>
      <c r="BE794" s="37"/>
      <c r="BF794" s="279"/>
      <c r="BG794" s="37"/>
      <c r="BH794" s="37"/>
      <c r="BI794" s="37"/>
      <c r="BJ794" s="283"/>
      <c r="BK794" s="161"/>
      <c r="BL794" s="294"/>
      <c r="BM794"/>
      <c r="BN794"/>
      <c r="BO794"/>
      <c r="BP794"/>
      <c r="BQ794"/>
      <c r="BR794"/>
      <c r="BS794"/>
      <c r="BT794"/>
      <c r="BU794"/>
      <c r="BV794"/>
      <c r="BW794"/>
      <c r="BX794"/>
      <c r="BY794"/>
      <c r="BZ794"/>
      <c r="CA794"/>
      <c r="CB794"/>
      <c r="CC794"/>
      <c r="CD794"/>
      <c r="CE794"/>
      <c r="CF794"/>
      <c r="CG794"/>
      <c r="CH794"/>
      <c r="CI794"/>
      <c r="CJ794"/>
    </row>
    <row r="795" spans="1:88" s="32" customFormat="1" ht="15" customHeight="1" x14ac:dyDescent="0.35">
      <c r="A795" s="473"/>
      <c r="B795" s="313">
        <v>20005</v>
      </c>
      <c r="C795" s="8" t="s">
        <v>138</v>
      </c>
      <c r="D795" s="18">
        <v>3</v>
      </c>
      <c r="E795" s="251"/>
      <c r="F795" s="82"/>
      <c r="G795" s="79"/>
      <c r="H795" s="90"/>
      <c r="I795" s="85"/>
      <c r="J795" s="85"/>
      <c r="K795" s="85"/>
      <c r="L795" s="85"/>
      <c r="M795" s="85"/>
      <c r="N795" s="85"/>
      <c r="O795" s="85"/>
      <c r="P795" s="85"/>
      <c r="Q795" s="85"/>
      <c r="R795" s="85"/>
      <c r="S795" s="89"/>
      <c r="T795" s="89" t="s">
        <v>1124</v>
      </c>
      <c r="U795" s="85"/>
      <c r="V795" s="85"/>
      <c r="W795" s="85"/>
      <c r="X795" s="89" t="s">
        <v>1124</v>
      </c>
      <c r="Y795" s="79"/>
      <c r="Z795" s="79"/>
      <c r="AA795" s="94"/>
      <c r="AB795" s="79" t="s">
        <v>1124</v>
      </c>
      <c r="AC795" s="85"/>
      <c r="AD795" s="85"/>
      <c r="AE795" s="85"/>
      <c r="AF795" s="85"/>
      <c r="AG795" s="85" t="s">
        <v>1124</v>
      </c>
      <c r="AH795" s="85"/>
      <c r="AI795" s="85"/>
      <c r="AJ795" s="85"/>
      <c r="AK795" s="85"/>
      <c r="AL795" s="85"/>
      <c r="AM795" s="85"/>
      <c r="AN795" s="85"/>
      <c r="AO795" s="85"/>
      <c r="AP795" s="85"/>
      <c r="AQ795" s="85"/>
      <c r="AR795" s="85" t="s">
        <v>1124</v>
      </c>
      <c r="AS795" s="85"/>
      <c r="AT795" s="85"/>
      <c r="AU795" s="85"/>
      <c r="AV795" s="85"/>
      <c r="AW795" s="85"/>
      <c r="AX795" s="85"/>
      <c r="AY795" s="85"/>
      <c r="AZ795" s="85"/>
      <c r="BA795" s="85"/>
      <c r="BB795" s="89"/>
      <c r="BC795" s="89" t="s">
        <v>1124</v>
      </c>
      <c r="BD795" s="37"/>
      <c r="BE795" s="37"/>
      <c r="BF795" s="279"/>
      <c r="BG795" s="37"/>
      <c r="BH795" s="37"/>
      <c r="BI795" s="37"/>
      <c r="BJ795" s="283"/>
      <c r="BK795" s="161"/>
      <c r="BL795" s="294"/>
      <c r="BM795"/>
      <c r="BN795"/>
      <c r="BO795"/>
      <c r="BP795"/>
      <c r="BQ795"/>
      <c r="BR795"/>
      <c r="BS795"/>
      <c r="BT795"/>
      <c r="BU795"/>
      <c r="BV795"/>
      <c r="BW795"/>
      <c r="BX795"/>
      <c r="BY795"/>
      <c r="BZ795"/>
      <c r="CA795"/>
      <c r="CB795"/>
      <c r="CC795"/>
      <c r="CD795"/>
      <c r="CE795"/>
      <c r="CF795"/>
      <c r="CG795"/>
      <c r="CH795"/>
      <c r="CI795"/>
      <c r="CJ795"/>
    </row>
    <row r="796" spans="1:88" s="32" customFormat="1" ht="15" customHeight="1" x14ac:dyDescent="0.35">
      <c r="A796" s="473"/>
      <c r="B796" s="313">
        <v>91015</v>
      </c>
      <c r="C796" s="8" t="s">
        <v>939</v>
      </c>
      <c r="D796" s="18">
        <v>2</v>
      </c>
      <c r="E796" s="251">
        <v>262</v>
      </c>
      <c r="F796" s="82">
        <v>1.9545454545454546</v>
      </c>
      <c r="G796" s="79">
        <v>512.09090909090912</v>
      </c>
      <c r="H796" s="90">
        <v>11.962999999999999</v>
      </c>
      <c r="I796" s="85">
        <v>12.669</v>
      </c>
      <c r="J796" s="85">
        <v>13.673</v>
      </c>
      <c r="K796" s="85">
        <v>12.856999999999999</v>
      </c>
      <c r="L796" s="85">
        <v>10.848000000000001</v>
      </c>
      <c r="M796" s="85">
        <v>10.196999999999999</v>
      </c>
      <c r="N796" s="85">
        <v>11.231</v>
      </c>
      <c r="O796" s="85">
        <v>10.625999999999999</v>
      </c>
      <c r="P796" s="85">
        <v>9.2759999999999998</v>
      </c>
      <c r="Q796" s="85">
        <v>9.74</v>
      </c>
      <c r="R796" s="85">
        <v>9.75</v>
      </c>
      <c r="S796" s="89">
        <v>10.997</v>
      </c>
      <c r="T796" s="89">
        <v>133.827</v>
      </c>
      <c r="U796" s="85">
        <v>0</v>
      </c>
      <c r="V796" s="85">
        <v>133.827</v>
      </c>
      <c r="W796" s="85">
        <v>0</v>
      </c>
      <c r="X796" s="89">
        <v>133.827</v>
      </c>
      <c r="Y796" s="79">
        <v>0</v>
      </c>
      <c r="Z796" s="79">
        <v>1</v>
      </c>
      <c r="AA796" s="94">
        <v>0</v>
      </c>
      <c r="AB796" s="79">
        <v>1</v>
      </c>
      <c r="AC796" s="85">
        <v>41.518999999999998</v>
      </c>
      <c r="AD796" s="85">
        <v>19.664999999999999</v>
      </c>
      <c r="AE796" s="85">
        <v>72.632999999999996</v>
      </c>
      <c r="AF796" s="85">
        <v>0</v>
      </c>
      <c r="AG796" s="85">
        <v>133.81700000000001</v>
      </c>
      <c r="AH796" s="85">
        <v>0</v>
      </c>
      <c r="AI796" s="85">
        <v>0</v>
      </c>
      <c r="AJ796" s="85">
        <v>0</v>
      </c>
      <c r="AK796" s="85">
        <v>0</v>
      </c>
      <c r="AL796" s="85">
        <v>0</v>
      </c>
      <c r="AM796" s="85">
        <v>0</v>
      </c>
      <c r="AN796" s="85">
        <v>0</v>
      </c>
      <c r="AO796" s="85">
        <v>0</v>
      </c>
      <c r="AP796" s="85">
        <v>0</v>
      </c>
      <c r="AQ796" s="85">
        <v>0</v>
      </c>
      <c r="AR796" s="85">
        <v>0</v>
      </c>
      <c r="AS796" s="85">
        <v>0</v>
      </c>
      <c r="AT796" s="85">
        <v>0</v>
      </c>
      <c r="AU796" s="85">
        <v>0</v>
      </c>
      <c r="AV796" s="85">
        <v>0</v>
      </c>
      <c r="AW796" s="85">
        <v>0</v>
      </c>
      <c r="AX796" s="85">
        <v>0</v>
      </c>
      <c r="AY796" s="85">
        <v>133.827</v>
      </c>
      <c r="AZ796" s="85">
        <v>0</v>
      </c>
      <c r="BA796" s="85">
        <v>0</v>
      </c>
      <c r="BB796" s="89">
        <v>0</v>
      </c>
      <c r="BC796" s="89">
        <v>133.827</v>
      </c>
      <c r="BD796" s="37">
        <v>0</v>
      </c>
      <c r="BE796" s="37">
        <v>0</v>
      </c>
      <c r="BF796" s="279">
        <v>70000</v>
      </c>
      <c r="BG796" s="37">
        <v>50000</v>
      </c>
      <c r="BH796" s="37">
        <v>15000</v>
      </c>
      <c r="BI796" s="37">
        <v>0</v>
      </c>
      <c r="BJ796" s="283">
        <v>135000</v>
      </c>
      <c r="BK796" s="161"/>
      <c r="BL796" s="294"/>
      <c r="BM796"/>
      <c r="BN796"/>
      <c r="BO796"/>
      <c r="BP796"/>
      <c r="BQ796"/>
      <c r="BR796"/>
      <c r="BS796"/>
      <c r="BT796"/>
      <c r="BU796"/>
      <c r="BV796"/>
      <c r="BW796"/>
      <c r="BX796"/>
      <c r="BY796"/>
      <c r="BZ796"/>
      <c r="CA796"/>
      <c r="CB796"/>
      <c r="CC796"/>
      <c r="CD796"/>
      <c r="CE796"/>
      <c r="CF796"/>
      <c r="CG796"/>
      <c r="CH796"/>
      <c r="CI796"/>
      <c r="CJ796"/>
    </row>
    <row r="797" spans="1:88" s="32" customFormat="1" ht="15" customHeight="1" x14ac:dyDescent="0.35">
      <c r="A797" s="473"/>
      <c r="B797" s="313">
        <v>50128</v>
      </c>
      <c r="C797" s="8" t="s">
        <v>497</v>
      </c>
      <c r="D797" s="18">
        <v>17</v>
      </c>
      <c r="E797" s="251"/>
      <c r="F797" s="82"/>
      <c r="G797" s="79"/>
      <c r="H797" s="90"/>
      <c r="I797" s="85"/>
      <c r="J797" s="85"/>
      <c r="K797" s="85"/>
      <c r="L797" s="85"/>
      <c r="M797" s="85"/>
      <c r="N797" s="85"/>
      <c r="O797" s="85"/>
      <c r="P797" s="85"/>
      <c r="Q797" s="85"/>
      <c r="R797" s="85"/>
      <c r="S797" s="89"/>
      <c r="T797" s="89" t="s">
        <v>1124</v>
      </c>
      <c r="U797" s="85"/>
      <c r="V797" s="85"/>
      <c r="W797" s="85"/>
      <c r="X797" s="89" t="s">
        <v>1124</v>
      </c>
      <c r="Y797" s="79"/>
      <c r="Z797" s="79"/>
      <c r="AA797" s="94"/>
      <c r="AB797" s="79" t="s">
        <v>1124</v>
      </c>
      <c r="AC797" s="85"/>
      <c r="AD797" s="85"/>
      <c r="AE797" s="85"/>
      <c r="AF797" s="85"/>
      <c r="AG797" s="85" t="s">
        <v>1124</v>
      </c>
      <c r="AH797" s="85"/>
      <c r="AI797" s="85"/>
      <c r="AJ797" s="85"/>
      <c r="AK797" s="85"/>
      <c r="AL797" s="85"/>
      <c r="AM797" s="85"/>
      <c r="AN797" s="85"/>
      <c r="AO797" s="85"/>
      <c r="AP797" s="85"/>
      <c r="AQ797" s="85"/>
      <c r="AR797" s="85" t="s">
        <v>1124</v>
      </c>
      <c r="AS797" s="85"/>
      <c r="AT797" s="85"/>
      <c r="AU797" s="85"/>
      <c r="AV797" s="85"/>
      <c r="AW797" s="85"/>
      <c r="AX797" s="85"/>
      <c r="AY797" s="85"/>
      <c r="AZ797" s="85"/>
      <c r="BA797" s="85"/>
      <c r="BB797" s="89"/>
      <c r="BC797" s="89" t="s">
        <v>1124</v>
      </c>
      <c r="BD797" s="37"/>
      <c r="BE797" s="37"/>
      <c r="BF797" s="279"/>
      <c r="BG797" s="37"/>
      <c r="BH797" s="37"/>
      <c r="BI797" s="37"/>
      <c r="BJ797" s="283"/>
      <c r="BK797" s="161"/>
      <c r="BL797" s="294"/>
      <c r="BM797"/>
      <c r="BN797"/>
      <c r="BO797"/>
      <c r="BP797"/>
      <c r="BQ797"/>
      <c r="BR797"/>
      <c r="BS797"/>
      <c r="BT797"/>
      <c r="BU797"/>
      <c r="BV797"/>
      <c r="BW797"/>
      <c r="BX797"/>
      <c r="BY797"/>
      <c r="BZ797"/>
      <c r="CA797"/>
      <c r="CB797"/>
      <c r="CC797"/>
      <c r="CD797"/>
      <c r="CE797"/>
      <c r="CF797"/>
      <c r="CG797"/>
      <c r="CH797"/>
      <c r="CI797"/>
      <c r="CJ797"/>
    </row>
    <row r="798" spans="1:88" s="32" customFormat="1" ht="15" customHeight="1" x14ac:dyDescent="0.35">
      <c r="A798" s="473"/>
      <c r="B798" s="313">
        <v>42020</v>
      </c>
      <c r="C798" s="8" t="s">
        <v>380</v>
      </c>
      <c r="D798" s="18">
        <v>5</v>
      </c>
      <c r="E798" s="251"/>
      <c r="F798" s="82"/>
      <c r="G798" s="79"/>
      <c r="H798" s="90"/>
      <c r="I798" s="85"/>
      <c r="J798" s="85"/>
      <c r="K798" s="85"/>
      <c r="L798" s="85"/>
      <c r="M798" s="85"/>
      <c r="N798" s="85"/>
      <c r="O798" s="85"/>
      <c r="P798" s="85"/>
      <c r="Q798" s="85"/>
      <c r="R798" s="85"/>
      <c r="S798" s="89"/>
      <c r="T798" s="89" t="s">
        <v>1124</v>
      </c>
      <c r="U798" s="85"/>
      <c r="V798" s="85"/>
      <c r="W798" s="85"/>
      <c r="X798" s="89" t="s">
        <v>1124</v>
      </c>
      <c r="Y798" s="79"/>
      <c r="Z798" s="79"/>
      <c r="AA798" s="94"/>
      <c r="AB798" s="79" t="s">
        <v>1124</v>
      </c>
      <c r="AC798" s="85"/>
      <c r="AD798" s="85"/>
      <c r="AE798" s="85"/>
      <c r="AF798" s="85"/>
      <c r="AG798" s="85" t="s">
        <v>1124</v>
      </c>
      <c r="AH798" s="85"/>
      <c r="AI798" s="85"/>
      <c r="AJ798" s="85"/>
      <c r="AK798" s="85"/>
      <c r="AL798" s="85"/>
      <c r="AM798" s="85"/>
      <c r="AN798" s="85"/>
      <c r="AO798" s="85"/>
      <c r="AP798" s="85"/>
      <c r="AQ798" s="85"/>
      <c r="AR798" s="85" t="s">
        <v>1124</v>
      </c>
      <c r="AS798" s="85"/>
      <c r="AT798" s="85"/>
      <c r="AU798" s="85"/>
      <c r="AV798" s="85"/>
      <c r="AW798" s="85"/>
      <c r="AX798" s="85"/>
      <c r="AY798" s="85"/>
      <c r="AZ798" s="85"/>
      <c r="BA798" s="85"/>
      <c r="BB798" s="89"/>
      <c r="BC798" s="89" t="s">
        <v>1124</v>
      </c>
      <c r="BD798" s="37"/>
      <c r="BE798" s="37"/>
      <c r="BF798" s="279"/>
      <c r="BG798" s="37"/>
      <c r="BH798" s="37"/>
      <c r="BI798" s="37"/>
      <c r="BJ798" s="283"/>
      <c r="BK798" s="161"/>
      <c r="BL798" s="294"/>
      <c r="BM798"/>
      <c r="BN798"/>
      <c r="BO798"/>
      <c r="BP798"/>
      <c r="BQ798"/>
      <c r="BR798"/>
      <c r="BS798"/>
      <c r="BT798"/>
      <c r="BU798"/>
      <c r="BV798"/>
      <c r="BW798"/>
      <c r="BX798"/>
      <c r="BY798"/>
      <c r="BZ798"/>
      <c r="CA798"/>
      <c r="CB798"/>
      <c r="CC798"/>
      <c r="CD798"/>
      <c r="CE798"/>
      <c r="CF798"/>
      <c r="CG798"/>
      <c r="CH798"/>
      <c r="CI798"/>
      <c r="CJ798"/>
    </row>
    <row r="799" spans="1:88" s="32" customFormat="1" ht="15" customHeight="1" x14ac:dyDescent="0.35">
      <c r="A799" s="473"/>
      <c r="B799" s="313">
        <v>12025</v>
      </c>
      <c r="C799" s="8" t="s">
        <v>32</v>
      </c>
      <c r="D799" s="18">
        <v>1</v>
      </c>
      <c r="E799" s="251"/>
      <c r="F799" s="82"/>
      <c r="G799" s="79"/>
      <c r="H799" s="90"/>
      <c r="I799" s="85"/>
      <c r="J799" s="85"/>
      <c r="K799" s="85"/>
      <c r="L799" s="85"/>
      <c r="M799" s="85"/>
      <c r="N799" s="85"/>
      <c r="O799" s="85"/>
      <c r="P799" s="85"/>
      <c r="Q799" s="85"/>
      <c r="R799" s="85"/>
      <c r="S799" s="89"/>
      <c r="T799" s="89" t="s">
        <v>1124</v>
      </c>
      <c r="U799" s="85"/>
      <c r="V799" s="85"/>
      <c r="W799" s="85"/>
      <c r="X799" s="89" t="s">
        <v>1124</v>
      </c>
      <c r="Y799" s="79"/>
      <c r="Z799" s="79"/>
      <c r="AA799" s="94"/>
      <c r="AB799" s="79" t="s">
        <v>1124</v>
      </c>
      <c r="AC799" s="85"/>
      <c r="AD799" s="85"/>
      <c r="AE799" s="85"/>
      <c r="AF799" s="85"/>
      <c r="AG799" s="85" t="s">
        <v>1124</v>
      </c>
      <c r="AH799" s="85"/>
      <c r="AI799" s="85"/>
      <c r="AJ799" s="85"/>
      <c r="AK799" s="85"/>
      <c r="AL799" s="85"/>
      <c r="AM799" s="85"/>
      <c r="AN799" s="85"/>
      <c r="AO799" s="85"/>
      <c r="AP799" s="85"/>
      <c r="AQ799" s="85"/>
      <c r="AR799" s="85" t="s">
        <v>1124</v>
      </c>
      <c r="AS799" s="85"/>
      <c r="AT799" s="85"/>
      <c r="AU799" s="85"/>
      <c r="AV799" s="85"/>
      <c r="AW799" s="85"/>
      <c r="AX799" s="85"/>
      <c r="AY799" s="85"/>
      <c r="AZ799" s="85"/>
      <c r="BA799" s="85"/>
      <c r="BB799" s="89"/>
      <c r="BC799" s="89" t="s">
        <v>1124</v>
      </c>
      <c r="BD799" s="37"/>
      <c r="BE799" s="37"/>
      <c r="BF799" s="279"/>
      <c r="BG799" s="37"/>
      <c r="BH799" s="37"/>
      <c r="BI799" s="37"/>
      <c r="BJ799" s="283"/>
      <c r="BK799" s="161"/>
      <c r="BL799" s="294"/>
      <c r="BM799"/>
      <c r="BN799"/>
      <c r="BO799"/>
      <c r="BP799"/>
      <c r="BQ799"/>
      <c r="BR799"/>
      <c r="BS799"/>
      <c r="BT799"/>
      <c r="BU799"/>
      <c r="BV799"/>
      <c r="BW799"/>
      <c r="BX799"/>
      <c r="BY799"/>
      <c r="BZ799"/>
      <c r="CA799"/>
      <c r="CB799"/>
      <c r="CC799"/>
      <c r="CD799"/>
      <c r="CE799"/>
      <c r="CF799"/>
      <c r="CG799"/>
      <c r="CH799"/>
      <c r="CI799"/>
      <c r="CJ799"/>
    </row>
    <row r="800" spans="1:88" s="32" customFormat="1" ht="15" customHeight="1" x14ac:dyDescent="0.35">
      <c r="A800" s="473"/>
      <c r="B800" s="313">
        <v>27065</v>
      </c>
      <c r="C800" s="8" t="s">
        <v>186</v>
      </c>
      <c r="D800" s="18">
        <v>12</v>
      </c>
      <c r="E800" s="251">
        <v>386</v>
      </c>
      <c r="F800" s="82">
        <v>2.4326710816777042</v>
      </c>
      <c r="G800" s="79">
        <v>939.01103752759377</v>
      </c>
      <c r="H800" s="90">
        <v>11.519</v>
      </c>
      <c r="I800" s="85">
        <v>11.462999999999999</v>
      </c>
      <c r="J800" s="85">
        <v>14.331</v>
      </c>
      <c r="K800" s="85">
        <v>14.047000000000001</v>
      </c>
      <c r="L800" s="85">
        <v>9.5069999999999997</v>
      </c>
      <c r="M800" s="85">
        <v>10.002000000000001</v>
      </c>
      <c r="N800" s="85">
        <v>11.77</v>
      </c>
      <c r="O800" s="85">
        <v>10.198</v>
      </c>
      <c r="P800" s="85">
        <v>8.827</v>
      </c>
      <c r="Q800" s="85">
        <v>9.9079999999999995</v>
      </c>
      <c r="R800" s="85">
        <v>9.2189999999999994</v>
      </c>
      <c r="S800" s="89">
        <v>8.3320000000000007</v>
      </c>
      <c r="T800" s="89">
        <v>129.12299999999999</v>
      </c>
      <c r="U800" s="85">
        <v>0</v>
      </c>
      <c r="V800" s="85">
        <v>129.12299999999999</v>
      </c>
      <c r="W800" s="85">
        <v>0</v>
      </c>
      <c r="X800" s="89">
        <v>129.12299999999999</v>
      </c>
      <c r="Y800" s="79">
        <v>0</v>
      </c>
      <c r="Z800" s="79">
        <v>4</v>
      </c>
      <c r="AA800" s="94">
        <v>0</v>
      </c>
      <c r="AB800" s="79">
        <v>4</v>
      </c>
      <c r="AC800" s="85">
        <v>77.119299999999996</v>
      </c>
      <c r="AD800" s="85">
        <v>24.101348000000005</v>
      </c>
      <c r="AE800" s="85">
        <v>27.90235199999999</v>
      </c>
      <c r="AF800" s="85">
        <v>0</v>
      </c>
      <c r="AG800" s="85">
        <v>129.12299999999999</v>
      </c>
      <c r="AH800" s="85">
        <v>0</v>
      </c>
      <c r="AI800" s="85">
        <v>0</v>
      </c>
      <c r="AJ800" s="85">
        <v>0</v>
      </c>
      <c r="AK800" s="85">
        <v>0</v>
      </c>
      <c r="AL800" s="85">
        <v>0</v>
      </c>
      <c r="AM800" s="85">
        <v>0</v>
      </c>
      <c r="AN800" s="85">
        <v>0</v>
      </c>
      <c r="AO800" s="85">
        <v>0</v>
      </c>
      <c r="AP800" s="85">
        <v>0</v>
      </c>
      <c r="AQ800" s="85">
        <v>0</v>
      </c>
      <c r="AR800" s="85">
        <v>0</v>
      </c>
      <c r="AS800" s="85">
        <v>0</v>
      </c>
      <c r="AT800" s="85">
        <v>0</v>
      </c>
      <c r="AU800" s="85">
        <v>0</v>
      </c>
      <c r="AV800" s="85">
        <v>0</v>
      </c>
      <c r="AW800" s="85">
        <v>0</v>
      </c>
      <c r="AX800" s="85">
        <v>0</v>
      </c>
      <c r="AY800" s="85">
        <v>129.12299999999999</v>
      </c>
      <c r="AZ800" s="85">
        <v>0</v>
      </c>
      <c r="BA800" s="85">
        <v>0</v>
      </c>
      <c r="BB800" s="89">
        <v>0</v>
      </c>
      <c r="BC800" s="89">
        <v>129.12299999999999</v>
      </c>
      <c r="BD800" s="37">
        <v>0</v>
      </c>
      <c r="BE800" s="37">
        <v>0</v>
      </c>
      <c r="BF800" s="279">
        <v>23200</v>
      </c>
      <c r="BG800" s="37">
        <v>15000</v>
      </c>
      <c r="BH800" s="37">
        <v>825</v>
      </c>
      <c r="BI800" s="37">
        <v>0</v>
      </c>
      <c r="BJ800" s="283">
        <v>39025</v>
      </c>
      <c r="BK800" s="161"/>
      <c r="BL800" s="294"/>
      <c r="BM800"/>
      <c r="BN800"/>
      <c r="BO800"/>
      <c r="BP800"/>
      <c r="BQ800"/>
      <c r="BR800"/>
      <c r="BS800"/>
      <c r="BT800"/>
      <c r="BU800"/>
      <c r="BV800"/>
      <c r="BW800"/>
      <c r="BX800"/>
      <c r="BY800"/>
      <c r="BZ800"/>
      <c r="CA800"/>
      <c r="CB800"/>
      <c r="CC800"/>
      <c r="CD800"/>
      <c r="CE800"/>
      <c r="CF800"/>
      <c r="CG800"/>
      <c r="CH800"/>
      <c r="CI800"/>
      <c r="CJ800"/>
    </row>
    <row r="801" spans="1:88" s="32" customFormat="1" ht="15" customHeight="1" x14ac:dyDescent="0.35">
      <c r="A801" s="473"/>
      <c r="B801" s="313">
        <v>94235</v>
      </c>
      <c r="C801" s="8" t="s">
        <v>979</v>
      </c>
      <c r="D801" s="18">
        <v>2</v>
      </c>
      <c r="E801" s="251">
        <v>581</v>
      </c>
      <c r="F801" s="82">
        <v>3.43</v>
      </c>
      <c r="G801" s="79">
        <v>1992.8300000000002</v>
      </c>
      <c r="H801" s="90">
        <v>17.629000000000001</v>
      </c>
      <c r="I801" s="85">
        <v>16.404</v>
      </c>
      <c r="J801" s="85">
        <v>17.079999999999998</v>
      </c>
      <c r="K801" s="85">
        <v>17.673999999999999</v>
      </c>
      <c r="L801" s="85">
        <v>20.047000000000001</v>
      </c>
      <c r="M801" s="85">
        <v>21.204000000000001</v>
      </c>
      <c r="N801" s="85">
        <v>21.242999999999999</v>
      </c>
      <c r="O801" s="85">
        <v>19.774999999999999</v>
      </c>
      <c r="P801" s="85">
        <v>17.864999999999998</v>
      </c>
      <c r="Q801" s="85">
        <v>16.844000000000001</v>
      </c>
      <c r="R801" s="85">
        <v>16.385000000000002</v>
      </c>
      <c r="S801" s="89">
        <v>17.167000000000002</v>
      </c>
      <c r="T801" s="89">
        <v>219.31700000000001</v>
      </c>
      <c r="U801" s="85">
        <v>0</v>
      </c>
      <c r="V801" s="85">
        <v>219.31700000000001</v>
      </c>
      <c r="W801" s="85">
        <v>0</v>
      </c>
      <c r="X801" s="89">
        <v>219.31700000000001</v>
      </c>
      <c r="Y801" s="79">
        <v>0</v>
      </c>
      <c r="Z801" s="79">
        <v>1</v>
      </c>
      <c r="AA801" s="94">
        <v>0</v>
      </c>
      <c r="AB801" s="79">
        <v>1</v>
      </c>
      <c r="AC801" s="85">
        <v>121.667</v>
      </c>
      <c r="AD801" s="85">
        <v>9.3629999999999995</v>
      </c>
      <c r="AE801" s="85">
        <v>88.287000000000006</v>
      </c>
      <c r="AF801" s="85">
        <v>0</v>
      </c>
      <c r="AG801" s="85">
        <v>219.31700000000001</v>
      </c>
      <c r="AH801" s="85">
        <v>0</v>
      </c>
      <c r="AI801" s="85">
        <v>0</v>
      </c>
      <c r="AJ801" s="85">
        <v>0</v>
      </c>
      <c r="AK801" s="85">
        <v>0</v>
      </c>
      <c r="AL801" s="85">
        <v>0</v>
      </c>
      <c r="AM801" s="85">
        <v>0</v>
      </c>
      <c r="AN801" s="85">
        <v>0</v>
      </c>
      <c r="AO801" s="85">
        <v>0</v>
      </c>
      <c r="AP801" s="85">
        <v>0</v>
      </c>
      <c r="AQ801" s="85">
        <v>0</v>
      </c>
      <c r="AR801" s="85">
        <v>0</v>
      </c>
      <c r="AS801" s="85">
        <v>0</v>
      </c>
      <c r="AT801" s="85">
        <v>0</v>
      </c>
      <c r="AU801" s="85">
        <v>0</v>
      </c>
      <c r="AV801" s="85">
        <v>0</v>
      </c>
      <c r="AW801" s="85">
        <v>0</v>
      </c>
      <c r="AX801" s="85">
        <v>0</v>
      </c>
      <c r="AY801" s="85">
        <v>219.31700000000001</v>
      </c>
      <c r="AZ801" s="85">
        <v>0</v>
      </c>
      <c r="BA801" s="85">
        <v>0</v>
      </c>
      <c r="BB801" s="89">
        <v>0</v>
      </c>
      <c r="BC801" s="89">
        <v>219.31700000000001</v>
      </c>
      <c r="BD801" s="37">
        <v>0</v>
      </c>
      <c r="BE801" s="37">
        <v>0</v>
      </c>
      <c r="BF801" s="279">
        <v>3488</v>
      </c>
      <c r="BG801" s="37">
        <v>14804</v>
      </c>
      <c r="BH801" s="37">
        <v>21971</v>
      </c>
      <c r="BI801" s="37">
        <v>0</v>
      </c>
      <c r="BJ801" s="283">
        <v>40263</v>
      </c>
      <c r="BK801" s="161"/>
      <c r="BL801" s="294"/>
      <c r="BM801"/>
      <c r="BN801"/>
      <c r="BO801"/>
      <c r="BP801"/>
      <c r="BQ801"/>
      <c r="BR801"/>
      <c r="BS801"/>
      <c r="BT801"/>
      <c r="BU801"/>
      <c r="BV801"/>
      <c r="BW801"/>
      <c r="BX801"/>
      <c r="BY801"/>
      <c r="BZ801"/>
      <c r="CA801"/>
      <c r="CB801"/>
      <c r="CC801"/>
      <c r="CD801"/>
      <c r="CE801"/>
      <c r="CF801"/>
      <c r="CG801"/>
      <c r="CH801"/>
      <c r="CI801"/>
      <c r="CJ801"/>
    </row>
    <row r="802" spans="1:88" s="32" customFormat="1" ht="15" customHeight="1" x14ac:dyDescent="0.35">
      <c r="A802" s="473"/>
      <c r="B802" s="313">
        <v>52080</v>
      </c>
      <c r="C802" s="8" t="s">
        <v>526</v>
      </c>
      <c r="D802" s="18">
        <v>14</v>
      </c>
      <c r="E802" s="251">
        <v>1452</v>
      </c>
      <c r="F802" s="82">
        <v>1.7640449438202248</v>
      </c>
      <c r="G802" s="79">
        <v>2561.3932584269664</v>
      </c>
      <c r="H802" s="90">
        <v>55.192999999999998</v>
      </c>
      <c r="I802" s="85">
        <v>55.962000000000003</v>
      </c>
      <c r="J802" s="85">
        <v>63.844000000000001</v>
      </c>
      <c r="K802" s="85">
        <v>61.459000000000003</v>
      </c>
      <c r="L802" s="85">
        <v>58.713999999999999</v>
      </c>
      <c r="M802" s="85">
        <v>58.968000000000004</v>
      </c>
      <c r="N802" s="85">
        <v>63.423999999999999</v>
      </c>
      <c r="O802" s="85">
        <v>60.374000000000002</v>
      </c>
      <c r="P802" s="85">
        <v>52.267000000000003</v>
      </c>
      <c r="Q802" s="85">
        <v>43.439</v>
      </c>
      <c r="R802" s="85">
        <v>45.204999999999998</v>
      </c>
      <c r="S802" s="89">
        <v>57.591999999999999</v>
      </c>
      <c r="T802" s="89">
        <v>676.44100000000003</v>
      </c>
      <c r="U802" s="85">
        <v>0</v>
      </c>
      <c r="V802" s="85">
        <v>676.44100000000003</v>
      </c>
      <c r="W802" s="85">
        <v>0</v>
      </c>
      <c r="X802" s="89">
        <v>676.44100000000003</v>
      </c>
      <c r="Y802" s="79">
        <v>0</v>
      </c>
      <c r="Z802" s="79">
        <v>2</v>
      </c>
      <c r="AA802" s="94">
        <v>0</v>
      </c>
      <c r="AB802" s="79">
        <v>2</v>
      </c>
      <c r="AC802" s="85">
        <v>466.63477798861481</v>
      </c>
      <c r="AD802" s="85">
        <v>49.771227011385122</v>
      </c>
      <c r="AE802" s="85">
        <v>37.860995000000074</v>
      </c>
      <c r="AF802" s="85">
        <v>122.17400000000001</v>
      </c>
      <c r="AG802" s="85">
        <v>676.44100000000003</v>
      </c>
      <c r="AH802" s="85">
        <v>0</v>
      </c>
      <c r="AI802" s="85">
        <v>0</v>
      </c>
      <c r="AJ802" s="85">
        <v>0</v>
      </c>
      <c r="AK802" s="85">
        <v>0</v>
      </c>
      <c r="AL802" s="85">
        <v>0</v>
      </c>
      <c r="AM802" s="85">
        <v>0</v>
      </c>
      <c r="AN802" s="85">
        <v>0</v>
      </c>
      <c r="AO802" s="85">
        <v>0</v>
      </c>
      <c r="AP802" s="85">
        <v>0</v>
      </c>
      <c r="AQ802" s="85">
        <v>0</v>
      </c>
      <c r="AR802" s="85">
        <v>0</v>
      </c>
      <c r="AS802" s="85">
        <v>0</v>
      </c>
      <c r="AT802" s="85">
        <v>0</v>
      </c>
      <c r="AU802" s="85">
        <v>0</v>
      </c>
      <c r="AV802" s="85">
        <v>0</v>
      </c>
      <c r="AW802" s="85">
        <v>0</v>
      </c>
      <c r="AX802" s="85">
        <v>0</v>
      </c>
      <c r="AY802" s="85">
        <v>676.44100000000003</v>
      </c>
      <c r="AZ802" s="85">
        <v>0</v>
      </c>
      <c r="BA802" s="85">
        <v>0</v>
      </c>
      <c r="BB802" s="89">
        <v>0</v>
      </c>
      <c r="BC802" s="89">
        <v>676.44100000000003</v>
      </c>
      <c r="BD802" s="37">
        <v>0</v>
      </c>
      <c r="BE802" s="37">
        <v>0</v>
      </c>
      <c r="BF802" s="279">
        <v>60190</v>
      </c>
      <c r="BG802" s="37">
        <v>53195</v>
      </c>
      <c r="BH802" s="37">
        <v>40635</v>
      </c>
      <c r="BI802" s="37">
        <v>0</v>
      </c>
      <c r="BJ802" s="283">
        <v>154020</v>
      </c>
      <c r="BK802" s="161"/>
      <c r="BL802" s="294"/>
      <c r="BM802"/>
      <c r="BN802"/>
      <c r="BO802"/>
      <c r="BP802"/>
      <c r="BQ802"/>
      <c r="BR802"/>
      <c r="BS802"/>
      <c r="BT802"/>
      <c r="BU802"/>
      <c r="BV802"/>
      <c r="BW802"/>
      <c r="BX802"/>
      <c r="BY802"/>
      <c r="BZ802"/>
      <c r="CA802"/>
      <c r="CB802"/>
      <c r="CC802"/>
      <c r="CD802"/>
      <c r="CE802"/>
      <c r="CF802"/>
      <c r="CG802"/>
      <c r="CH802"/>
      <c r="CI802"/>
      <c r="CJ802"/>
    </row>
    <row r="803" spans="1:88" s="32" customFormat="1" ht="15" customHeight="1" x14ac:dyDescent="0.35">
      <c r="A803" s="473"/>
      <c r="B803" s="313">
        <v>52085</v>
      </c>
      <c r="C803" s="8" t="s">
        <v>527</v>
      </c>
      <c r="D803" s="18">
        <v>14</v>
      </c>
      <c r="E803" s="251"/>
      <c r="F803" s="82"/>
      <c r="G803" s="79"/>
      <c r="H803" s="90"/>
      <c r="I803" s="85"/>
      <c r="J803" s="85"/>
      <c r="K803" s="85"/>
      <c r="L803" s="85"/>
      <c r="M803" s="85"/>
      <c r="N803" s="85"/>
      <c r="O803" s="85"/>
      <c r="P803" s="85"/>
      <c r="Q803" s="85"/>
      <c r="R803" s="85"/>
      <c r="S803" s="89"/>
      <c r="T803" s="89" t="s">
        <v>1124</v>
      </c>
      <c r="U803" s="85"/>
      <c r="V803" s="85"/>
      <c r="W803" s="85"/>
      <c r="X803" s="89" t="s">
        <v>1124</v>
      </c>
      <c r="Y803" s="79"/>
      <c r="Z803" s="79"/>
      <c r="AA803" s="94"/>
      <c r="AB803" s="79" t="s">
        <v>1124</v>
      </c>
      <c r="AC803" s="85"/>
      <c r="AD803" s="85"/>
      <c r="AE803" s="85"/>
      <c r="AF803" s="85"/>
      <c r="AG803" s="85" t="s">
        <v>1124</v>
      </c>
      <c r="AH803" s="85"/>
      <c r="AI803" s="85"/>
      <c r="AJ803" s="85"/>
      <c r="AK803" s="85"/>
      <c r="AL803" s="85"/>
      <c r="AM803" s="85"/>
      <c r="AN803" s="85"/>
      <c r="AO803" s="85"/>
      <c r="AP803" s="85"/>
      <c r="AQ803" s="85"/>
      <c r="AR803" s="85" t="s">
        <v>1124</v>
      </c>
      <c r="AS803" s="85"/>
      <c r="AT803" s="85"/>
      <c r="AU803" s="85"/>
      <c r="AV803" s="85"/>
      <c r="AW803" s="85"/>
      <c r="AX803" s="85"/>
      <c r="AY803" s="85"/>
      <c r="AZ803" s="85"/>
      <c r="BA803" s="85"/>
      <c r="BB803" s="89"/>
      <c r="BC803" s="89" t="s">
        <v>1124</v>
      </c>
      <c r="BD803" s="37"/>
      <c r="BE803" s="37"/>
      <c r="BF803" s="279"/>
      <c r="BG803" s="37"/>
      <c r="BH803" s="37"/>
      <c r="BI803" s="37"/>
      <c r="BJ803" s="283"/>
      <c r="BK803" s="161"/>
      <c r="BL803" s="294"/>
      <c r="BM803"/>
      <c r="BN803"/>
      <c r="BO803"/>
      <c r="BP803"/>
      <c r="BQ803"/>
      <c r="BR803"/>
      <c r="BS803"/>
      <c r="BT803"/>
      <c r="BU803"/>
      <c r="BV803"/>
      <c r="BW803"/>
      <c r="BX803"/>
      <c r="BY803"/>
      <c r="BZ803"/>
      <c r="CA803"/>
      <c r="CB803"/>
      <c r="CC803"/>
      <c r="CD803"/>
      <c r="CE803"/>
      <c r="CF803"/>
      <c r="CG803"/>
      <c r="CH803"/>
      <c r="CI803"/>
      <c r="CJ803"/>
    </row>
    <row r="804" spans="1:88" s="32" customFormat="1" ht="15" customHeight="1" x14ac:dyDescent="0.35">
      <c r="A804" s="473"/>
      <c r="B804" s="313">
        <v>9025</v>
      </c>
      <c r="C804" s="8" t="s">
        <v>1101</v>
      </c>
      <c r="D804" s="18">
        <v>1</v>
      </c>
      <c r="E804" s="251">
        <v>339</v>
      </c>
      <c r="F804" s="82">
        <v>2.1229050279329611</v>
      </c>
      <c r="G804" s="79">
        <v>719.6648044692738</v>
      </c>
      <c r="H804" s="90">
        <v>6.0843100636111114</v>
      </c>
      <c r="I804" s="85">
        <v>4.888688393611111</v>
      </c>
      <c r="J804" s="85">
        <v>5.3643862000000002</v>
      </c>
      <c r="K804" s="85">
        <v>5.4280314599999997</v>
      </c>
      <c r="L804" s="85">
        <v>5.8115446636111114</v>
      </c>
      <c r="M804" s="85">
        <v>4.8732821997222224</v>
      </c>
      <c r="N804" s="85">
        <v>5.3892634147222234</v>
      </c>
      <c r="O804" s="85">
        <v>5.5471137619444448</v>
      </c>
      <c r="P804" s="85">
        <v>5.2892494347222234</v>
      </c>
      <c r="Q804" s="85">
        <v>5.5947214266666672</v>
      </c>
      <c r="R804" s="85">
        <v>5.4950862875000004</v>
      </c>
      <c r="S804" s="89">
        <v>5.5471137619444448</v>
      </c>
      <c r="T804" s="89">
        <v>65.31279106805556</v>
      </c>
      <c r="U804" s="85">
        <v>0</v>
      </c>
      <c r="V804" s="85">
        <v>0</v>
      </c>
      <c r="W804" s="85">
        <v>65.31279106805556</v>
      </c>
      <c r="X804" s="89">
        <v>65.31279106805556</v>
      </c>
      <c r="Y804" s="79">
        <v>0</v>
      </c>
      <c r="Z804" s="79">
        <v>0</v>
      </c>
      <c r="AA804" s="94">
        <v>1</v>
      </c>
      <c r="AB804" s="79">
        <v>1</v>
      </c>
      <c r="AC804" s="85">
        <v>32.03734239130435</v>
      </c>
      <c r="AD804" s="85">
        <v>3.7201436767512064</v>
      </c>
      <c r="AE804" s="85">
        <v>29.555305000000004</v>
      </c>
      <c r="AF804" s="85">
        <v>0</v>
      </c>
      <c r="AG804" s="85">
        <v>65.31279106805556</v>
      </c>
      <c r="AH804" s="85">
        <v>0</v>
      </c>
      <c r="AI804" s="85">
        <v>0</v>
      </c>
      <c r="AJ804" s="85">
        <v>0</v>
      </c>
      <c r="AK804" s="85">
        <v>0</v>
      </c>
      <c r="AL804" s="85">
        <v>0</v>
      </c>
      <c r="AM804" s="85">
        <v>0</v>
      </c>
      <c r="AN804" s="85">
        <v>0</v>
      </c>
      <c r="AO804" s="85">
        <v>0</v>
      </c>
      <c r="AP804" s="85">
        <v>0</v>
      </c>
      <c r="AQ804" s="85">
        <v>0</v>
      </c>
      <c r="AR804" s="85">
        <v>0</v>
      </c>
      <c r="AS804" s="85">
        <v>0</v>
      </c>
      <c r="AT804" s="85">
        <v>0</v>
      </c>
      <c r="AU804" s="85">
        <v>0</v>
      </c>
      <c r="AV804" s="85">
        <v>0</v>
      </c>
      <c r="AW804" s="85">
        <v>0</v>
      </c>
      <c r="AX804" s="85">
        <v>0</v>
      </c>
      <c r="AY804" s="85">
        <v>65.31279106805556</v>
      </c>
      <c r="AZ804" s="85">
        <v>0</v>
      </c>
      <c r="BA804" s="85">
        <v>0</v>
      </c>
      <c r="BB804" s="89">
        <v>0</v>
      </c>
      <c r="BC804" s="89">
        <v>65.31279106805556</v>
      </c>
      <c r="BD804" s="37">
        <v>0</v>
      </c>
      <c r="BE804" s="37">
        <v>0</v>
      </c>
      <c r="BF804" s="279">
        <v>28490</v>
      </c>
      <c r="BG804" s="37">
        <v>163949</v>
      </c>
      <c r="BH804" s="37">
        <v>15560</v>
      </c>
      <c r="BI804" s="37">
        <v>0</v>
      </c>
      <c r="BJ804" s="283">
        <v>207999</v>
      </c>
      <c r="BK804" s="161" t="s">
        <v>3078</v>
      </c>
      <c r="BL804" s="294"/>
      <c r="BM804"/>
      <c r="BN804"/>
      <c r="BO804"/>
      <c r="BP804"/>
      <c r="BQ804"/>
      <c r="BR804"/>
      <c r="BS804"/>
      <c r="BT804"/>
      <c r="BU804"/>
      <c r="BV804"/>
      <c r="BW804"/>
      <c r="BX804"/>
      <c r="BY804"/>
      <c r="BZ804"/>
      <c r="CA804"/>
      <c r="CB804"/>
      <c r="CC804"/>
      <c r="CD804"/>
      <c r="CE804"/>
      <c r="CF804"/>
      <c r="CG804"/>
      <c r="CH804"/>
      <c r="CI804"/>
      <c r="CJ804"/>
    </row>
    <row r="805" spans="1:88" s="32" customFormat="1" ht="15" customHeight="1" x14ac:dyDescent="0.35">
      <c r="A805" s="473"/>
      <c r="B805" s="313">
        <v>22025</v>
      </c>
      <c r="C805" s="8" t="s">
        <v>157</v>
      </c>
      <c r="D805" s="18">
        <v>3</v>
      </c>
      <c r="E805" s="251"/>
      <c r="F805" s="82"/>
      <c r="G805" s="79"/>
      <c r="H805" s="90"/>
      <c r="I805" s="85"/>
      <c r="J805" s="85"/>
      <c r="K805" s="85"/>
      <c r="L805" s="85"/>
      <c r="M805" s="85"/>
      <c r="N805" s="85"/>
      <c r="O805" s="85"/>
      <c r="P805" s="85"/>
      <c r="Q805" s="85"/>
      <c r="R805" s="85"/>
      <c r="S805" s="89"/>
      <c r="T805" s="89" t="s">
        <v>1124</v>
      </c>
      <c r="U805" s="85"/>
      <c r="V805" s="85"/>
      <c r="W805" s="85"/>
      <c r="X805" s="89" t="s">
        <v>1124</v>
      </c>
      <c r="Y805" s="79"/>
      <c r="Z805" s="79"/>
      <c r="AA805" s="94"/>
      <c r="AB805" s="79" t="s">
        <v>1124</v>
      </c>
      <c r="AC805" s="85"/>
      <c r="AD805" s="85"/>
      <c r="AE805" s="85"/>
      <c r="AF805" s="85"/>
      <c r="AG805" s="85" t="s">
        <v>1124</v>
      </c>
      <c r="AH805" s="85"/>
      <c r="AI805" s="85"/>
      <c r="AJ805" s="85"/>
      <c r="AK805" s="85"/>
      <c r="AL805" s="85"/>
      <c r="AM805" s="85"/>
      <c r="AN805" s="85"/>
      <c r="AO805" s="85"/>
      <c r="AP805" s="85"/>
      <c r="AQ805" s="85"/>
      <c r="AR805" s="85" t="s">
        <v>1124</v>
      </c>
      <c r="AS805" s="85"/>
      <c r="AT805" s="85"/>
      <c r="AU805" s="85"/>
      <c r="AV805" s="85"/>
      <c r="AW805" s="85"/>
      <c r="AX805" s="85"/>
      <c r="AY805" s="85"/>
      <c r="AZ805" s="85"/>
      <c r="BA805" s="85"/>
      <c r="BB805" s="89"/>
      <c r="BC805" s="89" t="s">
        <v>1124</v>
      </c>
      <c r="BD805" s="37"/>
      <c r="BE805" s="37"/>
      <c r="BF805" s="279"/>
      <c r="BG805" s="37"/>
      <c r="BH805" s="37"/>
      <c r="BI805" s="37"/>
      <c r="BJ805" s="283"/>
      <c r="BK805" s="161"/>
      <c r="BL805" s="294"/>
      <c r="BM805"/>
      <c r="BN805"/>
      <c r="BO805"/>
      <c r="BP805"/>
      <c r="BQ805"/>
      <c r="BR805"/>
      <c r="BS805"/>
      <c r="BT805"/>
      <c r="BU805"/>
      <c r="BV805"/>
      <c r="BW805"/>
      <c r="BX805"/>
      <c r="BY805"/>
      <c r="BZ805"/>
      <c r="CA805"/>
      <c r="CB805"/>
      <c r="CC805"/>
      <c r="CD805"/>
      <c r="CE805"/>
      <c r="CF805"/>
      <c r="CG805"/>
      <c r="CH805"/>
      <c r="CI805"/>
      <c r="CJ805"/>
    </row>
    <row r="806" spans="1:88" s="32" customFormat="1" ht="15" customHeight="1" x14ac:dyDescent="0.35">
      <c r="A806" s="473"/>
      <c r="B806" s="313">
        <v>14075</v>
      </c>
      <c r="C806" s="8" t="s">
        <v>73</v>
      </c>
      <c r="D806" s="18">
        <v>1</v>
      </c>
      <c r="E806" s="251"/>
      <c r="F806" s="82"/>
      <c r="G806" s="79"/>
      <c r="H806" s="90"/>
      <c r="I806" s="85"/>
      <c r="J806" s="85"/>
      <c r="K806" s="85"/>
      <c r="L806" s="85"/>
      <c r="M806" s="85"/>
      <c r="N806" s="85"/>
      <c r="O806" s="85"/>
      <c r="P806" s="85"/>
      <c r="Q806" s="85"/>
      <c r="R806" s="85"/>
      <c r="S806" s="89"/>
      <c r="T806" s="89" t="s">
        <v>1124</v>
      </c>
      <c r="U806" s="85"/>
      <c r="V806" s="85"/>
      <c r="W806" s="85"/>
      <c r="X806" s="89" t="s">
        <v>1124</v>
      </c>
      <c r="Y806" s="79"/>
      <c r="Z806" s="79"/>
      <c r="AA806" s="94"/>
      <c r="AB806" s="79" t="s">
        <v>1124</v>
      </c>
      <c r="AC806" s="85"/>
      <c r="AD806" s="85"/>
      <c r="AE806" s="85"/>
      <c r="AF806" s="85"/>
      <c r="AG806" s="85" t="s">
        <v>1124</v>
      </c>
      <c r="AH806" s="85"/>
      <c r="AI806" s="85"/>
      <c r="AJ806" s="85"/>
      <c r="AK806" s="85"/>
      <c r="AL806" s="85"/>
      <c r="AM806" s="85"/>
      <c r="AN806" s="85"/>
      <c r="AO806" s="85"/>
      <c r="AP806" s="85"/>
      <c r="AQ806" s="85"/>
      <c r="AR806" s="85" t="s">
        <v>1124</v>
      </c>
      <c r="AS806" s="85"/>
      <c r="AT806" s="85"/>
      <c r="AU806" s="85"/>
      <c r="AV806" s="85"/>
      <c r="AW806" s="85"/>
      <c r="AX806" s="85"/>
      <c r="AY806" s="85"/>
      <c r="AZ806" s="85"/>
      <c r="BA806" s="85"/>
      <c r="BB806" s="89"/>
      <c r="BC806" s="89" t="s">
        <v>1124</v>
      </c>
      <c r="BD806" s="37"/>
      <c r="BE806" s="37"/>
      <c r="BF806" s="279"/>
      <c r="BG806" s="37"/>
      <c r="BH806" s="37"/>
      <c r="BI806" s="37"/>
      <c r="BJ806" s="283"/>
      <c r="BK806" s="161"/>
      <c r="BL806" s="294"/>
      <c r="BM806"/>
      <c r="BN806"/>
      <c r="BO806"/>
      <c r="BP806"/>
      <c r="BQ806"/>
      <c r="BR806"/>
      <c r="BS806"/>
      <c r="BT806"/>
      <c r="BU806"/>
      <c r="BV806"/>
      <c r="BW806"/>
      <c r="BX806"/>
      <c r="BY806"/>
      <c r="BZ806"/>
      <c r="CA806"/>
      <c r="CB806"/>
      <c r="CC806"/>
      <c r="CD806"/>
      <c r="CE806"/>
      <c r="CF806"/>
      <c r="CG806"/>
      <c r="CH806"/>
      <c r="CI806"/>
      <c r="CJ806"/>
    </row>
    <row r="807" spans="1:88" s="32" customFormat="1" ht="15" customHeight="1" x14ac:dyDescent="0.35">
      <c r="A807" s="473"/>
      <c r="B807" s="313">
        <v>93035</v>
      </c>
      <c r="C807" s="8" t="s">
        <v>963</v>
      </c>
      <c r="D807" s="18">
        <v>2</v>
      </c>
      <c r="E807" s="251">
        <v>1372</v>
      </c>
      <c r="F807" s="82">
        <v>2.2650000000000001</v>
      </c>
      <c r="G807" s="79">
        <v>3107.5800000000004</v>
      </c>
      <c r="H807" s="90">
        <v>78.027000000000001</v>
      </c>
      <c r="I807" s="85">
        <v>67.397000000000006</v>
      </c>
      <c r="J807" s="85">
        <v>70.295000000000002</v>
      </c>
      <c r="K807" s="85">
        <v>71.84</v>
      </c>
      <c r="L807" s="85">
        <v>77.344999999999999</v>
      </c>
      <c r="M807" s="85">
        <v>88.977999999999994</v>
      </c>
      <c r="N807" s="85">
        <v>92.61</v>
      </c>
      <c r="O807" s="85">
        <v>84.682000000000002</v>
      </c>
      <c r="P807" s="85">
        <v>72.055000000000007</v>
      </c>
      <c r="Q807" s="85">
        <v>66.884</v>
      </c>
      <c r="R807" s="85">
        <v>59.970999999999997</v>
      </c>
      <c r="S807" s="89">
        <v>54.661999999999999</v>
      </c>
      <c r="T807" s="89">
        <v>884.74600000000009</v>
      </c>
      <c r="U807" s="85">
        <v>0</v>
      </c>
      <c r="V807" s="85">
        <v>884.74600000000009</v>
      </c>
      <c r="W807" s="85">
        <v>0</v>
      </c>
      <c r="X807" s="89">
        <v>884.74600000000009</v>
      </c>
      <c r="Y807" s="79">
        <v>0</v>
      </c>
      <c r="Z807" s="79">
        <v>2</v>
      </c>
      <c r="AA807" s="94">
        <v>0</v>
      </c>
      <c r="AB807" s="79">
        <v>2</v>
      </c>
      <c r="AC807" s="85">
        <v>603.93799999999999</v>
      </c>
      <c r="AD807" s="85">
        <v>38.418800000000147</v>
      </c>
      <c r="AE807" s="85">
        <v>242.38919999999996</v>
      </c>
      <c r="AF807" s="85">
        <v>0</v>
      </c>
      <c r="AG807" s="85">
        <v>884.74600000000009</v>
      </c>
      <c r="AH807" s="85">
        <v>0</v>
      </c>
      <c r="AI807" s="85">
        <v>0</v>
      </c>
      <c r="AJ807" s="85">
        <v>0</v>
      </c>
      <c r="AK807" s="85">
        <v>0</v>
      </c>
      <c r="AL807" s="85">
        <v>0</v>
      </c>
      <c r="AM807" s="85">
        <v>0</v>
      </c>
      <c r="AN807" s="85">
        <v>0</v>
      </c>
      <c r="AO807" s="85">
        <v>0</v>
      </c>
      <c r="AP807" s="85">
        <v>0</v>
      </c>
      <c r="AQ807" s="85">
        <v>0</v>
      </c>
      <c r="AR807" s="85">
        <v>0</v>
      </c>
      <c r="AS807" s="85">
        <v>0</v>
      </c>
      <c r="AT807" s="85">
        <v>0</v>
      </c>
      <c r="AU807" s="85">
        <v>0</v>
      </c>
      <c r="AV807" s="85">
        <v>0</v>
      </c>
      <c r="AW807" s="85">
        <v>0</v>
      </c>
      <c r="AX807" s="85">
        <v>0</v>
      </c>
      <c r="AY807" s="85">
        <v>0</v>
      </c>
      <c r="AZ807" s="85">
        <v>884.74600000000009</v>
      </c>
      <c r="BA807" s="85">
        <v>0</v>
      </c>
      <c r="BB807" s="89">
        <v>0</v>
      </c>
      <c r="BC807" s="89">
        <v>884.74600000000009</v>
      </c>
      <c r="BD807" s="37">
        <v>36853</v>
      </c>
      <c r="BE807" s="37">
        <v>47436</v>
      </c>
      <c r="BF807" s="279">
        <v>13650</v>
      </c>
      <c r="BG807" s="37">
        <v>55000</v>
      </c>
      <c r="BH807" s="37">
        <v>35200</v>
      </c>
      <c r="BI807" s="37">
        <v>57350</v>
      </c>
      <c r="BJ807" s="283">
        <v>161200</v>
      </c>
      <c r="BK807" s="161"/>
      <c r="BL807" s="294"/>
      <c r="BM807"/>
      <c r="BN807"/>
      <c r="BO807"/>
      <c r="BP807"/>
      <c r="BQ807"/>
      <c r="BR807"/>
      <c r="BS807"/>
      <c r="BT807"/>
      <c r="BU807"/>
      <c r="BV807"/>
      <c r="BW807"/>
      <c r="BX807"/>
      <c r="BY807"/>
      <c r="BZ807"/>
      <c r="CA807"/>
      <c r="CB807"/>
      <c r="CC807"/>
      <c r="CD807"/>
      <c r="CE807"/>
      <c r="CF807"/>
      <c r="CG807"/>
      <c r="CH807"/>
      <c r="CI807"/>
      <c r="CJ807"/>
    </row>
    <row r="808" spans="1:88" s="32" customFormat="1" ht="15" customHeight="1" x14ac:dyDescent="0.35">
      <c r="A808" s="473"/>
      <c r="B808" s="313">
        <v>29013</v>
      </c>
      <c r="C808" s="8" t="s">
        <v>202</v>
      </c>
      <c r="D808" s="18">
        <v>12</v>
      </c>
      <c r="E808" s="251">
        <v>771</v>
      </c>
      <c r="F808" s="82">
        <v>2.3361976369495165</v>
      </c>
      <c r="G808" s="79">
        <v>1801.2083780880773</v>
      </c>
      <c r="H808" s="90">
        <v>19.2638</v>
      </c>
      <c r="I808" s="85">
        <v>18.190999999999999</v>
      </c>
      <c r="J808" s="85">
        <v>18.526</v>
      </c>
      <c r="K808" s="85">
        <v>14.347</v>
      </c>
      <c r="L808" s="85">
        <v>15.742000000000001</v>
      </c>
      <c r="M808" s="85">
        <v>15.058999999999999</v>
      </c>
      <c r="N808" s="85">
        <v>15.891999999999999</v>
      </c>
      <c r="O808" s="85">
        <v>13.564</v>
      </c>
      <c r="P808" s="85">
        <v>13.817</v>
      </c>
      <c r="Q808" s="85">
        <v>12.016999999999999</v>
      </c>
      <c r="R808" s="85">
        <v>15.128</v>
      </c>
      <c r="S808" s="89">
        <v>16.085000000000001</v>
      </c>
      <c r="T808" s="89">
        <v>187.63180000000003</v>
      </c>
      <c r="U808" s="85">
        <v>0</v>
      </c>
      <c r="V808" s="85">
        <v>187.636</v>
      </c>
      <c r="W808" s="85">
        <v>0</v>
      </c>
      <c r="X808" s="89">
        <v>187.636</v>
      </c>
      <c r="Y808" s="79">
        <v>0</v>
      </c>
      <c r="Z808" s="79">
        <v>1</v>
      </c>
      <c r="AA808" s="94">
        <v>0</v>
      </c>
      <c r="AB808" s="79">
        <v>1</v>
      </c>
      <c r="AC808" s="85">
        <v>114.417</v>
      </c>
      <c r="AD808" s="85">
        <v>65.200800000000029</v>
      </c>
      <c r="AE808" s="85">
        <v>8.0139999999999993</v>
      </c>
      <c r="AF808" s="85">
        <v>0</v>
      </c>
      <c r="AG808" s="85">
        <v>187.63180000000006</v>
      </c>
      <c r="AH808" s="85">
        <v>0</v>
      </c>
      <c r="AI808" s="85">
        <v>0</v>
      </c>
      <c r="AJ808" s="85">
        <v>0</v>
      </c>
      <c r="AK808" s="85">
        <v>0</v>
      </c>
      <c r="AL808" s="85">
        <v>0</v>
      </c>
      <c r="AM808" s="85">
        <v>0</v>
      </c>
      <c r="AN808" s="85">
        <v>0</v>
      </c>
      <c r="AO808" s="85">
        <v>0</v>
      </c>
      <c r="AP808" s="85">
        <v>0</v>
      </c>
      <c r="AQ808" s="85">
        <v>0</v>
      </c>
      <c r="AR808" s="85">
        <v>0</v>
      </c>
      <c r="AS808" s="85">
        <v>0</v>
      </c>
      <c r="AT808" s="85">
        <v>0</v>
      </c>
      <c r="AU808" s="85">
        <v>187.636</v>
      </c>
      <c r="AV808" s="85">
        <v>0</v>
      </c>
      <c r="AW808" s="85">
        <v>0</v>
      </c>
      <c r="AX808" s="85">
        <v>0</v>
      </c>
      <c r="AY808" s="85">
        <v>0</v>
      </c>
      <c r="AZ808" s="85">
        <v>0</v>
      </c>
      <c r="BA808" s="85">
        <v>0</v>
      </c>
      <c r="BB808" s="89">
        <v>0</v>
      </c>
      <c r="BC808" s="89">
        <v>187.636</v>
      </c>
      <c r="BD808" s="37">
        <v>0</v>
      </c>
      <c r="BE808" s="37">
        <v>0</v>
      </c>
      <c r="BF808" s="279">
        <v>19397</v>
      </c>
      <c r="BG808" s="37">
        <v>26906</v>
      </c>
      <c r="BH808" s="37">
        <v>17806</v>
      </c>
      <c r="BI808" s="37">
        <v>14534</v>
      </c>
      <c r="BJ808" s="283">
        <v>78643</v>
      </c>
      <c r="BK808" s="161"/>
      <c r="BL808" s="294"/>
      <c r="BM808"/>
      <c r="BN808"/>
      <c r="BO808"/>
      <c r="BP808"/>
      <c r="BQ808"/>
      <c r="BR808"/>
      <c r="BS808"/>
      <c r="BT808"/>
      <c r="BU808"/>
      <c r="BV808"/>
      <c r="BW808"/>
      <c r="BX808"/>
      <c r="BY808"/>
      <c r="BZ808"/>
      <c r="CA808"/>
      <c r="CB808"/>
      <c r="CC808"/>
      <c r="CD808"/>
      <c r="CE808"/>
      <c r="CF808"/>
      <c r="CG808"/>
      <c r="CH808"/>
      <c r="CI808"/>
      <c r="CJ808"/>
    </row>
    <row r="809" spans="1:88" s="32" customFormat="1" ht="15" customHeight="1" x14ac:dyDescent="0.35">
      <c r="A809" s="473"/>
      <c r="B809" s="313">
        <v>29073</v>
      </c>
      <c r="C809" s="8" t="s">
        <v>211</v>
      </c>
      <c r="D809" s="18">
        <v>12</v>
      </c>
      <c r="E809" s="251">
        <v>12514</v>
      </c>
      <c r="F809" s="82">
        <v>2.2029588534442905</v>
      </c>
      <c r="G809" s="79">
        <v>27567.827092001851</v>
      </c>
      <c r="H809" s="90">
        <v>259.339</v>
      </c>
      <c r="I809" s="85">
        <v>253.93299999999999</v>
      </c>
      <c r="J809" s="85">
        <v>285.10500000000002</v>
      </c>
      <c r="K809" s="85">
        <v>279.161</v>
      </c>
      <c r="L809" s="85">
        <v>310.92159999999996</v>
      </c>
      <c r="M809" s="85">
        <v>303.16040000000004</v>
      </c>
      <c r="N809" s="85">
        <v>323.30399999999997</v>
      </c>
      <c r="O809" s="85">
        <v>305.49200000000002</v>
      </c>
      <c r="P809" s="85">
        <v>272.66800000000001</v>
      </c>
      <c r="Q809" s="85">
        <v>279.88200000000001</v>
      </c>
      <c r="R809" s="85">
        <v>264.85700000000003</v>
      </c>
      <c r="S809" s="89">
        <v>265.94099999999997</v>
      </c>
      <c r="T809" s="89">
        <v>3403.7640000000001</v>
      </c>
      <c r="U809" s="85">
        <v>3403.7640000000001</v>
      </c>
      <c r="V809" s="85">
        <v>0</v>
      </c>
      <c r="W809" s="85">
        <v>0</v>
      </c>
      <c r="X809" s="89">
        <v>3403.7640000000001</v>
      </c>
      <c r="Y809" s="79">
        <v>1</v>
      </c>
      <c r="Z809" s="79">
        <v>0</v>
      </c>
      <c r="AA809" s="94">
        <v>0</v>
      </c>
      <c r="AB809" s="79">
        <v>1</v>
      </c>
      <c r="AC809" s="85">
        <v>2195.1131955102687</v>
      </c>
      <c r="AD809" s="85">
        <v>731.80236685523687</v>
      </c>
      <c r="AE809" s="85">
        <v>476.84843763449447</v>
      </c>
      <c r="AF809" s="85">
        <v>0</v>
      </c>
      <c r="AG809" s="85">
        <v>3403.7640000000001</v>
      </c>
      <c r="AH809" s="85">
        <v>3403.7640000000001</v>
      </c>
      <c r="AI809" s="85">
        <v>0</v>
      </c>
      <c r="AJ809" s="85">
        <v>0</v>
      </c>
      <c r="AK809" s="85">
        <v>0</v>
      </c>
      <c r="AL809" s="85">
        <v>0</v>
      </c>
      <c r="AM809" s="85">
        <v>0</v>
      </c>
      <c r="AN809" s="85">
        <v>0</v>
      </c>
      <c r="AO809" s="85">
        <v>0</v>
      </c>
      <c r="AP809" s="85">
        <v>0</v>
      </c>
      <c r="AQ809" s="85">
        <v>0</v>
      </c>
      <c r="AR809" s="85">
        <v>3403.7640000000001</v>
      </c>
      <c r="AS809" s="85">
        <v>0</v>
      </c>
      <c r="AT809" s="85">
        <v>0</v>
      </c>
      <c r="AU809" s="85">
        <v>0</v>
      </c>
      <c r="AV809" s="85">
        <v>0</v>
      </c>
      <c r="AW809" s="85">
        <v>0</v>
      </c>
      <c r="AX809" s="85">
        <v>0</v>
      </c>
      <c r="AY809" s="85">
        <v>0</v>
      </c>
      <c r="AZ809" s="85">
        <v>0</v>
      </c>
      <c r="BA809" s="85">
        <v>0</v>
      </c>
      <c r="BB809" s="89">
        <v>0</v>
      </c>
      <c r="BC809" s="89">
        <v>0</v>
      </c>
      <c r="BD809" s="37">
        <v>4282</v>
      </c>
      <c r="BE809" s="37">
        <v>15971</v>
      </c>
      <c r="BF809" s="279">
        <v>592856</v>
      </c>
      <c r="BG809" s="37">
        <v>265298</v>
      </c>
      <c r="BH809" s="37">
        <v>348782</v>
      </c>
      <c r="BI809" s="37">
        <v>0</v>
      </c>
      <c r="BJ809" s="283">
        <v>1206936</v>
      </c>
      <c r="BK809" s="161"/>
      <c r="BL809" s="294"/>
      <c r="BM809"/>
      <c r="BN809"/>
      <c r="BO809"/>
      <c r="BP809"/>
      <c r="BQ809"/>
      <c r="BR809"/>
      <c r="BS809"/>
      <c r="BT809"/>
      <c r="BU809"/>
      <c r="BV809"/>
      <c r="BW809"/>
      <c r="BX809"/>
      <c r="BY809"/>
      <c r="BZ809"/>
      <c r="CA809"/>
      <c r="CB809"/>
      <c r="CC809"/>
      <c r="CD809"/>
      <c r="CE809"/>
      <c r="CF809"/>
      <c r="CG809"/>
      <c r="CH809"/>
      <c r="CI809"/>
      <c r="CJ809"/>
    </row>
    <row r="810" spans="1:88" s="32" customFormat="1" ht="15" customHeight="1" x14ac:dyDescent="0.35">
      <c r="A810" s="473"/>
      <c r="B810" s="313">
        <v>56010</v>
      </c>
      <c r="C810" s="8" t="s">
        <v>568</v>
      </c>
      <c r="D810" s="18">
        <v>16</v>
      </c>
      <c r="E810" s="251"/>
      <c r="F810" s="82"/>
      <c r="G810" s="79"/>
      <c r="H810" s="90"/>
      <c r="I810" s="85"/>
      <c r="J810" s="85"/>
      <c r="K810" s="85"/>
      <c r="L810" s="85"/>
      <c r="M810" s="85"/>
      <c r="N810" s="85"/>
      <c r="O810" s="85"/>
      <c r="P810" s="85"/>
      <c r="Q810" s="85"/>
      <c r="R810" s="85"/>
      <c r="S810" s="89"/>
      <c r="T810" s="89" t="s">
        <v>1124</v>
      </c>
      <c r="U810" s="85"/>
      <c r="V810" s="85"/>
      <c r="W810" s="85"/>
      <c r="X810" s="89" t="s">
        <v>1124</v>
      </c>
      <c r="Y810" s="79"/>
      <c r="Z810" s="79"/>
      <c r="AA810" s="94"/>
      <c r="AB810" s="79" t="s">
        <v>1124</v>
      </c>
      <c r="AC810" s="85"/>
      <c r="AD810" s="85"/>
      <c r="AE810" s="85"/>
      <c r="AF810" s="85"/>
      <c r="AG810" s="85" t="s">
        <v>1124</v>
      </c>
      <c r="AH810" s="85"/>
      <c r="AI810" s="85"/>
      <c r="AJ810" s="85"/>
      <c r="AK810" s="85"/>
      <c r="AL810" s="85"/>
      <c r="AM810" s="85"/>
      <c r="AN810" s="85"/>
      <c r="AO810" s="85"/>
      <c r="AP810" s="85"/>
      <c r="AQ810" s="85"/>
      <c r="AR810" s="85" t="s">
        <v>1124</v>
      </c>
      <c r="AS810" s="85"/>
      <c r="AT810" s="85"/>
      <c r="AU810" s="85"/>
      <c r="AV810" s="85"/>
      <c r="AW810" s="85"/>
      <c r="AX810" s="85"/>
      <c r="AY810" s="85"/>
      <c r="AZ810" s="85"/>
      <c r="BA810" s="85"/>
      <c r="BB810" s="89"/>
      <c r="BC810" s="89" t="s">
        <v>1124</v>
      </c>
      <c r="BD810" s="37"/>
      <c r="BE810" s="37"/>
      <c r="BF810" s="279"/>
      <c r="BG810" s="37"/>
      <c r="BH810" s="37"/>
      <c r="BI810" s="37"/>
      <c r="BJ810" s="283"/>
      <c r="BK810" s="161"/>
      <c r="BL810" s="294"/>
      <c r="BM810"/>
      <c r="BN810"/>
      <c r="BO810"/>
      <c r="BP810"/>
      <c r="BQ810"/>
      <c r="BR810"/>
      <c r="BS810"/>
      <c r="BT810"/>
      <c r="BU810"/>
      <c r="BV810"/>
      <c r="BW810"/>
      <c r="BX810"/>
      <c r="BY810"/>
      <c r="BZ810"/>
      <c r="CA810"/>
      <c r="CB810"/>
      <c r="CC810"/>
      <c r="CD810"/>
      <c r="CE810"/>
      <c r="CF810"/>
      <c r="CG810"/>
      <c r="CH810"/>
      <c r="CI810"/>
      <c r="CJ810"/>
    </row>
    <row r="811" spans="1:88" s="32" customFormat="1" ht="15" customHeight="1" x14ac:dyDescent="0.35">
      <c r="A811" s="473"/>
      <c r="B811" s="313">
        <v>40032</v>
      </c>
      <c r="C811" s="8" t="s">
        <v>362</v>
      </c>
      <c r="D811" s="18">
        <v>5</v>
      </c>
      <c r="E811" s="251"/>
      <c r="F811" s="82"/>
      <c r="G811" s="79"/>
      <c r="H811" s="90"/>
      <c r="I811" s="85"/>
      <c r="J811" s="85"/>
      <c r="K811" s="85"/>
      <c r="L811" s="85"/>
      <c r="M811" s="85"/>
      <c r="N811" s="85"/>
      <c r="O811" s="85"/>
      <c r="P811" s="85"/>
      <c r="Q811" s="85"/>
      <c r="R811" s="85"/>
      <c r="S811" s="89"/>
      <c r="T811" s="89" t="s">
        <v>1124</v>
      </c>
      <c r="U811" s="85"/>
      <c r="V811" s="85"/>
      <c r="W811" s="85"/>
      <c r="X811" s="89" t="s">
        <v>1124</v>
      </c>
      <c r="Y811" s="79"/>
      <c r="Z811" s="79"/>
      <c r="AA811" s="94"/>
      <c r="AB811" s="79" t="s">
        <v>1124</v>
      </c>
      <c r="AC811" s="85"/>
      <c r="AD811" s="85"/>
      <c r="AE811" s="85"/>
      <c r="AF811" s="85"/>
      <c r="AG811" s="85" t="s">
        <v>1124</v>
      </c>
      <c r="AH811" s="85"/>
      <c r="AI811" s="85"/>
      <c r="AJ811" s="85"/>
      <c r="AK811" s="85"/>
      <c r="AL811" s="85"/>
      <c r="AM811" s="85"/>
      <c r="AN811" s="85"/>
      <c r="AO811" s="85"/>
      <c r="AP811" s="85"/>
      <c r="AQ811" s="85"/>
      <c r="AR811" s="85" t="s">
        <v>1124</v>
      </c>
      <c r="AS811" s="85"/>
      <c r="AT811" s="85"/>
      <c r="AU811" s="85"/>
      <c r="AV811" s="85"/>
      <c r="AW811" s="85"/>
      <c r="AX811" s="85"/>
      <c r="AY811" s="85"/>
      <c r="AZ811" s="85"/>
      <c r="BA811" s="85"/>
      <c r="BB811" s="89"/>
      <c r="BC811" s="89" t="s">
        <v>1124</v>
      </c>
      <c r="BD811" s="37"/>
      <c r="BE811" s="37"/>
      <c r="BF811" s="279"/>
      <c r="BG811" s="37"/>
      <c r="BH811" s="37"/>
      <c r="BI811" s="37"/>
      <c r="BJ811" s="283"/>
      <c r="BK811" s="161"/>
      <c r="BL811" s="294"/>
      <c r="BM811"/>
      <c r="BN811"/>
      <c r="BO811"/>
      <c r="BP811"/>
      <c r="BQ811"/>
      <c r="BR811"/>
      <c r="BS811"/>
      <c r="BT811"/>
      <c r="BU811"/>
      <c r="BV811"/>
      <c r="BW811"/>
      <c r="BX811"/>
      <c r="BY811"/>
      <c r="BZ811"/>
      <c r="CA811"/>
      <c r="CB811"/>
      <c r="CC811"/>
      <c r="CD811"/>
      <c r="CE811"/>
      <c r="CF811"/>
      <c r="CG811"/>
      <c r="CH811"/>
      <c r="CI811"/>
      <c r="CJ811"/>
    </row>
    <row r="812" spans="1:88" s="32" customFormat="1" ht="15" customHeight="1" x14ac:dyDescent="0.35">
      <c r="A812" s="473"/>
      <c r="B812" s="313">
        <v>53085</v>
      </c>
      <c r="C812" s="8" t="s">
        <v>541</v>
      </c>
      <c r="D812" s="18">
        <v>16</v>
      </c>
      <c r="E812" s="251"/>
      <c r="F812" s="82"/>
      <c r="G812" s="79"/>
      <c r="H812" s="90"/>
      <c r="I812" s="85"/>
      <c r="J812" s="85"/>
      <c r="K812" s="85"/>
      <c r="L812" s="85"/>
      <c r="M812" s="85"/>
      <c r="N812" s="85"/>
      <c r="O812" s="85"/>
      <c r="P812" s="85"/>
      <c r="Q812" s="85"/>
      <c r="R812" s="85"/>
      <c r="S812" s="89"/>
      <c r="T812" s="89" t="s">
        <v>1124</v>
      </c>
      <c r="U812" s="85"/>
      <c r="V812" s="85"/>
      <c r="W812" s="85"/>
      <c r="X812" s="89" t="s">
        <v>1124</v>
      </c>
      <c r="Y812" s="79"/>
      <c r="Z812" s="79"/>
      <c r="AA812" s="94"/>
      <c r="AB812" s="79" t="s">
        <v>1124</v>
      </c>
      <c r="AC812" s="85"/>
      <c r="AD812" s="85"/>
      <c r="AE812" s="85"/>
      <c r="AF812" s="85"/>
      <c r="AG812" s="85" t="s">
        <v>1124</v>
      </c>
      <c r="AH812" s="85"/>
      <c r="AI812" s="85"/>
      <c r="AJ812" s="85"/>
      <c r="AK812" s="85"/>
      <c r="AL812" s="85"/>
      <c r="AM812" s="85"/>
      <c r="AN812" s="85"/>
      <c r="AO812" s="85"/>
      <c r="AP812" s="85"/>
      <c r="AQ812" s="85"/>
      <c r="AR812" s="85" t="s">
        <v>1124</v>
      </c>
      <c r="AS812" s="85"/>
      <c r="AT812" s="85"/>
      <c r="AU812" s="85"/>
      <c r="AV812" s="85"/>
      <c r="AW812" s="85"/>
      <c r="AX812" s="85"/>
      <c r="AY812" s="85"/>
      <c r="AZ812" s="85"/>
      <c r="BA812" s="85"/>
      <c r="BB812" s="89"/>
      <c r="BC812" s="89" t="s">
        <v>1124</v>
      </c>
      <c r="BD812" s="37"/>
      <c r="BE812" s="37"/>
      <c r="BF812" s="279"/>
      <c r="BG812" s="37"/>
      <c r="BH812" s="37"/>
      <c r="BI812" s="37"/>
      <c r="BJ812" s="283"/>
      <c r="BK812" s="161"/>
      <c r="BL812" s="294"/>
      <c r="BM812"/>
      <c r="BN812"/>
      <c r="BO812"/>
      <c r="BP812"/>
      <c r="BQ812"/>
      <c r="BR812"/>
      <c r="BS812"/>
      <c r="BT812"/>
      <c r="BU812"/>
      <c r="BV812"/>
      <c r="BW812"/>
      <c r="BX812"/>
      <c r="BY812"/>
      <c r="BZ812"/>
      <c r="CA812"/>
      <c r="CB812"/>
      <c r="CC812"/>
      <c r="CD812"/>
      <c r="CE812"/>
      <c r="CF812"/>
      <c r="CG812"/>
      <c r="CH812"/>
      <c r="CI812"/>
      <c r="CJ812"/>
    </row>
    <row r="813" spans="1:88" s="32" customFormat="1" ht="15" customHeight="1" x14ac:dyDescent="0.35">
      <c r="A813" s="473"/>
      <c r="B813" s="313">
        <v>14045</v>
      </c>
      <c r="C813" s="8" t="s">
        <v>67</v>
      </c>
      <c r="D813" s="18">
        <v>1</v>
      </c>
      <c r="E813" s="251"/>
      <c r="F813" s="82"/>
      <c r="G813" s="79"/>
      <c r="H813" s="90"/>
      <c r="I813" s="85"/>
      <c r="J813" s="85"/>
      <c r="K813" s="85"/>
      <c r="L813" s="85"/>
      <c r="M813" s="85"/>
      <c r="N813" s="85"/>
      <c r="O813" s="85"/>
      <c r="P813" s="85"/>
      <c r="Q813" s="85"/>
      <c r="R813" s="85"/>
      <c r="S813" s="89"/>
      <c r="T813" s="89" t="s">
        <v>1124</v>
      </c>
      <c r="U813" s="85"/>
      <c r="V813" s="85"/>
      <c r="W813" s="85"/>
      <c r="X813" s="89" t="s">
        <v>1124</v>
      </c>
      <c r="Y813" s="79"/>
      <c r="Z813" s="79"/>
      <c r="AA813" s="94"/>
      <c r="AB813" s="79" t="s">
        <v>1124</v>
      </c>
      <c r="AC813" s="85"/>
      <c r="AD813" s="85"/>
      <c r="AE813" s="85"/>
      <c r="AF813" s="85"/>
      <c r="AG813" s="85" t="s">
        <v>1124</v>
      </c>
      <c r="AH813" s="85"/>
      <c r="AI813" s="85"/>
      <c r="AJ813" s="85"/>
      <c r="AK813" s="85"/>
      <c r="AL813" s="85"/>
      <c r="AM813" s="85"/>
      <c r="AN813" s="85"/>
      <c r="AO813" s="85"/>
      <c r="AP813" s="85"/>
      <c r="AQ813" s="85"/>
      <c r="AR813" s="85" t="s">
        <v>1124</v>
      </c>
      <c r="AS813" s="85"/>
      <c r="AT813" s="85"/>
      <c r="AU813" s="85"/>
      <c r="AV813" s="85"/>
      <c r="AW813" s="85"/>
      <c r="AX813" s="85"/>
      <c r="AY813" s="85"/>
      <c r="AZ813" s="85"/>
      <c r="BA813" s="85"/>
      <c r="BB813" s="89"/>
      <c r="BC813" s="89" t="s">
        <v>1124</v>
      </c>
      <c r="BD813" s="37"/>
      <c r="BE813" s="37"/>
      <c r="BF813" s="279"/>
      <c r="BG813" s="37"/>
      <c r="BH813" s="37"/>
      <c r="BI813" s="37"/>
      <c r="BJ813" s="283"/>
      <c r="BK813" s="161"/>
      <c r="BL813" s="294"/>
      <c r="BM813"/>
      <c r="BN813"/>
      <c r="BO813"/>
      <c r="BP813"/>
      <c r="BQ813"/>
      <c r="BR813"/>
      <c r="BS813"/>
      <c r="BT813"/>
      <c r="BU813"/>
      <c r="BV813"/>
      <c r="BW813"/>
      <c r="BX813"/>
      <c r="BY813"/>
      <c r="BZ813"/>
      <c r="CA813"/>
      <c r="CB813"/>
      <c r="CC813"/>
      <c r="CD813"/>
      <c r="CE813"/>
      <c r="CF813"/>
      <c r="CG813"/>
      <c r="CH813"/>
      <c r="CI813"/>
      <c r="CJ813"/>
    </row>
    <row r="814" spans="1:88" s="32" customFormat="1" ht="15" customHeight="1" x14ac:dyDescent="0.35">
      <c r="A814" s="473"/>
      <c r="B814" s="313">
        <v>49048</v>
      </c>
      <c r="C814" s="8" t="s">
        <v>470</v>
      </c>
      <c r="D814" s="18">
        <v>17</v>
      </c>
      <c r="E814" s="251"/>
      <c r="F814" s="82"/>
      <c r="G814" s="79"/>
      <c r="H814" s="90"/>
      <c r="I814" s="85"/>
      <c r="J814" s="85"/>
      <c r="K814" s="85"/>
      <c r="L814" s="85"/>
      <c r="M814" s="85"/>
      <c r="N814" s="85"/>
      <c r="O814" s="85"/>
      <c r="P814" s="85"/>
      <c r="Q814" s="85"/>
      <c r="R814" s="85"/>
      <c r="S814" s="89"/>
      <c r="T814" s="89" t="s">
        <v>1124</v>
      </c>
      <c r="U814" s="85"/>
      <c r="V814" s="85"/>
      <c r="W814" s="85"/>
      <c r="X814" s="89" t="s">
        <v>1124</v>
      </c>
      <c r="Y814" s="79"/>
      <c r="Z814" s="79"/>
      <c r="AA814" s="94"/>
      <c r="AB814" s="79" t="s">
        <v>1124</v>
      </c>
      <c r="AC814" s="85"/>
      <c r="AD814" s="85"/>
      <c r="AE814" s="85"/>
      <c r="AF814" s="85"/>
      <c r="AG814" s="85" t="s">
        <v>1124</v>
      </c>
      <c r="AH814" s="85"/>
      <c r="AI814" s="85"/>
      <c r="AJ814" s="85"/>
      <c r="AK814" s="85"/>
      <c r="AL814" s="85"/>
      <c r="AM814" s="85"/>
      <c r="AN814" s="85"/>
      <c r="AO814" s="85"/>
      <c r="AP814" s="85"/>
      <c r="AQ814" s="85"/>
      <c r="AR814" s="85" t="s">
        <v>1124</v>
      </c>
      <c r="AS814" s="85"/>
      <c r="AT814" s="85"/>
      <c r="AU814" s="85"/>
      <c r="AV814" s="85"/>
      <c r="AW814" s="85"/>
      <c r="AX814" s="85"/>
      <c r="AY814" s="85"/>
      <c r="AZ814" s="85"/>
      <c r="BA814" s="85"/>
      <c r="BB814" s="89"/>
      <c r="BC814" s="89" t="s">
        <v>1124</v>
      </c>
      <c r="BD814" s="37"/>
      <c r="BE814" s="37"/>
      <c r="BF814" s="279"/>
      <c r="BG814" s="37"/>
      <c r="BH814" s="37"/>
      <c r="BI814" s="37"/>
      <c r="BJ814" s="283"/>
      <c r="BK814" s="161"/>
      <c r="BL814" s="294"/>
      <c r="BM814"/>
      <c r="BN814"/>
      <c r="BO814"/>
      <c r="BP814"/>
      <c r="BQ814"/>
      <c r="BR814"/>
      <c r="BS814"/>
      <c r="BT814"/>
      <c r="BU814"/>
      <c r="BV814"/>
      <c r="BW814"/>
      <c r="BX814"/>
      <c r="BY814"/>
      <c r="BZ814"/>
      <c r="CA814"/>
      <c r="CB814"/>
      <c r="CC814"/>
      <c r="CD814"/>
      <c r="CE814"/>
      <c r="CF814"/>
      <c r="CG814"/>
      <c r="CH814"/>
      <c r="CI814"/>
      <c r="CJ814"/>
    </row>
    <row r="815" spans="1:88" s="32" customFormat="1" ht="15" customHeight="1" x14ac:dyDescent="0.35">
      <c r="A815" s="473"/>
      <c r="B815" s="313">
        <v>19075</v>
      </c>
      <c r="C815" s="8" t="s">
        <v>131</v>
      </c>
      <c r="D815" s="18">
        <v>12</v>
      </c>
      <c r="E815" s="251">
        <v>623</v>
      </c>
      <c r="F815" s="82">
        <v>2.5460829493087558</v>
      </c>
      <c r="G815" s="79">
        <v>1586.2096774193549</v>
      </c>
      <c r="H815" s="90">
        <v>12.994999999999999</v>
      </c>
      <c r="I815" s="85">
        <v>11.993</v>
      </c>
      <c r="J815" s="85">
        <v>12.364000000000001</v>
      </c>
      <c r="K815" s="85">
        <v>13.097</v>
      </c>
      <c r="L815" s="85">
        <v>12.445</v>
      </c>
      <c r="M815" s="85">
        <v>14.57</v>
      </c>
      <c r="N815" s="85">
        <v>13.679</v>
      </c>
      <c r="O815" s="85">
        <v>12.298</v>
      </c>
      <c r="P815" s="85">
        <v>11.651999999999999</v>
      </c>
      <c r="Q815" s="85">
        <v>11.276999999999999</v>
      </c>
      <c r="R815" s="85">
        <v>10.79</v>
      </c>
      <c r="S815" s="89">
        <v>12.183</v>
      </c>
      <c r="T815" s="89">
        <v>149.34299999999999</v>
      </c>
      <c r="U815" s="85">
        <v>0</v>
      </c>
      <c r="V815" s="85">
        <v>149.34299999999999</v>
      </c>
      <c r="W815" s="85">
        <v>0</v>
      </c>
      <c r="X815" s="89">
        <v>149.34299999999999</v>
      </c>
      <c r="Y815" s="79">
        <v>0</v>
      </c>
      <c r="Z815" s="79">
        <v>2</v>
      </c>
      <c r="AA815" s="94">
        <v>0</v>
      </c>
      <c r="AB815" s="79">
        <v>2</v>
      </c>
      <c r="AC815" s="85">
        <v>113.631</v>
      </c>
      <c r="AD815" s="85">
        <v>16.978144999999987</v>
      </c>
      <c r="AE815" s="85">
        <v>18.733855000000002</v>
      </c>
      <c r="AF815" s="85">
        <v>0</v>
      </c>
      <c r="AG815" s="85">
        <v>149.34299999999999</v>
      </c>
      <c r="AH815" s="85">
        <v>0</v>
      </c>
      <c r="AI815" s="85">
        <v>0</v>
      </c>
      <c r="AJ815" s="85">
        <v>0</v>
      </c>
      <c r="AK815" s="85">
        <v>0</v>
      </c>
      <c r="AL815" s="85">
        <v>0</v>
      </c>
      <c r="AM815" s="85">
        <v>0</v>
      </c>
      <c r="AN815" s="85">
        <v>0</v>
      </c>
      <c r="AO815" s="85">
        <v>0</v>
      </c>
      <c r="AP815" s="85">
        <v>0</v>
      </c>
      <c r="AQ815" s="85">
        <v>0</v>
      </c>
      <c r="AR815" s="85">
        <v>0</v>
      </c>
      <c r="AS815" s="85">
        <v>0</v>
      </c>
      <c r="AT815" s="85">
        <v>0</v>
      </c>
      <c r="AU815" s="85">
        <v>149.34299999999999</v>
      </c>
      <c r="AV815" s="85">
        <v>0</v>
      </c>
      <c r="AW815" s="85">
        <v>0</v>
      </c>
      <c r="AX815" s="85">
        <v>0</v>
      </c>
      <c r="AY815" s="85">
        <v>0</v>
      </c>
      <c r="AZ815" s="85">
        <v>0</v>
      </c>
      <c r="BA815" s="85">
        <v>0</v>
      </c>
      <c r="BB815" s="89">
        <v>0</v>
      </c>
      <c r="BC815" s="89">
        <v>149.34299999999999</v>
      </c>
      <c r="BD815" s="37">
        <v>33120</v>
      </c>
      <c r="BE815" s="37">
        <v>347311</v>
      </c>
      <c r="BF815" s="279">
        <v>29349</v>
      </c>
      <c r="BG815" s="37">
        <v>29968</v>
      </c>
      <c r="BH815" s="37">
        <v>21029</v>
      </c>
      <c r="BI815" s="37">
        <v>45329</v>
      </c>
      <c r="BJ815" s="283">
        <v>125675</v>
      </c>
      <c r="BK815" s="161"/>
      <c r="BL815" s="294"/>
      <c r="BM815"/>
      <c r="BN815"/>
      <c r="BO815"/>
      <c r="BP815"/>
      <c r="BQ815"/>
      <c r="BR815"/>
      <c r="BS815"/>
      <c r="BT815"/>
      <c r="BU815"/>
      <c r="BV815"/>
      <c r="BW815"/>
      <c r="BX815"/>
      <c r="BY815"/>
      <c r="BZ815"/>
      <c r="CA815"/>
      <c r="CB815"/>
      <c r="CC815"/>
      <c r="CD815"/>
      <c r="CE815"/>
      <c r="CF815"/>
      <c r="CG815"/>
      <c r="CH815"/>
      <c r="CI815"/>
      <c r="CJ815"/>
    </row>
    <row r="816" spans="1:88" s="32" customFormat="1" ht="15" customHeight="1" x14ac:dyDescent="0.35">
      <c r="A816" s="473"/>
      <c r="B816" s="313">
        <v>34060</v>
      </c>
      <c r="C816" s="8" t="s">
        <v>292</v>
      </c>
      <c r="D816" s="18">
        <v>3</v>
      </c>
      <c r="E816" s="251"/>
      <c r="F816" s="82"/>
      <c r="G816" s="79"/>
      <c r="H816" s="90"/>
      <c r="I816" s="85"/>
      <c r="J816" s="85"/>
      <c r="K816" s="85"/>
      <c r="L816" s="85"/>
      <c r="M816" s="85"/>
      <c r="N816" s="85"/>
      <c r="O816" s="85"/>
      <c r="P816" s="85"/>
      <c r="Q816" s="85"/>
      <c r="R816" s="85"/>
      <c r="S816" s="89"/>
      <c r="T816" s="89" t="s">
        <v>1124</v>
      </c>
      <c r="U816" s="85"/>
      <c r="V816" s="85"/>
      <c r="W816" s="85"/>
      <c r="X816" s="89" t="s">
        <v>1124</v>
      </c>
      <c r="Y816" s="79"/>
      <c r="Z816" s="79"/>
      <c r="AA816" s="94"/>
      <c r="AB816" s="79" t="s">
        <v>1124</v>
      </c>
      <c r="AC816" s="85"/>
      <c r="AD816" s="85"/>
      <c r="AE816" s="85"/>
      <c r="AF816" s="85"/>
      <c r="AG816" s="85" t="s">
        <v>1124</v>
      </c>
      <c r="AH816" s="85"/>
      <c r="AI816" s="85"/>
      <c r="AJ816" s="85"/>
      <c r="AK816" s="85"/>
      <c r="AL816" s="85"/>
      <c r="AM816" s="85"/>
      <c r="AN816" s="85"/>
      <c r="AO816" s="85"/>
      <c r="AP816" s="85"/>
      <c r="AQ816" s="85"/>
      <c r="AR816" s="85" t="s">
        <v>1124</v>
      </c>
      <c r="AS816" s="85"/>
      <c r="AT816" s="85"/>
      <c r="AU816" s="85"/>
      <c r="AV816" s="85"/>
      <c r="AW816" s="85"/>
      <c r="AX816" s="85"/>
      <c r="AY816" s="85"/>
      <c r="AZ816" s="85"/>
      <c r="BA816" s="85"/>
      <c r="BB816" s="89"/>
      <c r="BC816" s="89" t="s">
        <v>1124</v>
      </c>
      <c r="BD816" s="37"/>
      <c r="BE816" s="37"/>
      <c r="BF816" s="279"/>
      <c r="BG816" s="37"/>
      <c r="BH816" s="37"/>
      <c r="BI816" s="37"/>
      <c r="BJ816" s="283"/>
      <c r="BK816" s="161"/>
      <c r="BL816" s="294"/>
      <c r="BM816"/>
      <c r="BN816"/>
      <c r="BO816"/>
      <c r="BP816"/>
      <c r="BQ816"/>
      <c r="BR816"/>
      <c r="BS816"/>
      <c r="BT816"/>
      <c r="BU816"/>
      <c r="BV816"/>
      <c r="BW816"/>
      <c r="BX816"/>
      <c r="BY816"/>
      <c r="BZ816"/>
      <c r="CA816"/>
      <c r="CB816"/>
      <c r="CC816"/>
      <c r="CD816"/>
      <c r="CE816"/>
      <c r="CF816"/>
      <c r="CG816"/>
      <c r="CH816"/>
      <c r="CI816"/>
      <c r="CJ816"/>
    </row>
    <row r="817" spans="1:88" s="32" customFormat="1" ht="15" customHeight="1" x14ac:dyDescent="0.35">
      <c r="A817" s="473"/>
      <c r="B817" s="313">
        <v>33035</v>
      </c>
      <c r="C817" s="8" t="s">
        <v>271</v>
      </c>
      <c r="D817" s="18">
        <v>12</v>
      </c>
      <c r="E817" s="251">
        <v>689</v>
      </c>
      <c r="F817" s="82">
        <v>2.3433098591549295</v>
      </c>
      <c r="G817" s="79">
        <v>1614.5404929577464</v>
      </c>
      <c r="H817" s="90">
        <v>12.403</v>
      </c>
      <c r="I817" s="85">
        <v>11.041</v>
      </c>
      <c r="J817" s="85">
        <v>12.499000000000001</v>
      </c>
      <c r="K817" s="85">
        <v>13.3</v>
      </c>
      <c r="L817" s="85">
        <v>15.196999999999999</v>
      </c>
      <c r="M817" s="85">
        <v>12.246</v>
      </c>
      <c r="N817" s="85">
        <v>17.593</v>
      </c>
      <c r="O817" s="85">
        <v>14.401999999999999</v>
      </c>
      <c r="P817" s="85">
        <v>12.788</v>
      </c>
      <c r="Q817" s="85">
        <v>13.680999999999999</v>
      </c>
      <c r="R817" s="85">
        <v>11.242000000000001</v>
      </c>
      <c r="S817" s="89">
        <v>12.76</v>
      </c>
      <c r="T817" s="89">
        <v>159.15199999999999</v>
      </c>
      <c r="U817" s="85">
        <v>0</v>
      </c>
      <c r="V817" s="85">
        <v>159.15199999999999</v>
      </c>
      <c r="W817" s="85">
        <v>0</v>
      </c>
      <c r="X817" s="89">
        <v>159.15199999999999</v>
      </c>
      <c r="Y817" s="79">
        <v>0</v>
      </c>
      <c r="Z817" s="79">
        <v>1</v>
      </c>
      <c r="AA817" s="94">
        <v>0</v>
      </c>
      <c r="AB817" s="79">
        <v>1</v>
      </c>
      <c r="AC817" s="85">
        <v>128.35900000000001</v>
      </c>
      <c r="AD817" s="85">
        <v>28.900999999999968</v>
      </c>
      <c r="AE817" s="85">
        <v>1.8920000000000108</v>
      </c>
      <c r="AF817" s="85">
        <v>0</v>
      </c>
      <c r="AG817" s="85">
        <v>159.15200000000002</v>
      </c>
      <c r="AH817" s="85">
        <v>0</v>
      </c>
      <c r="AI817" s="85">
        <v>0</v>
      </c>
      <c r="AJ817" s="85">
        <v>0</v>
      </c>
      <c r="AK817" s="85">
        <v>0</v>
      </c>
      <c r="AL817" s="85">
        <v>0</v>
      </c>
      <c r="AM817" s="85">
        <v>0</v>
      </c>
      <c r="AN817" s="85">
        <v>0</v>
      </c>
      <c r="AO817" s="85">
        <v>0</v>
      </c>
      <c r="AP817" s="85">
        <v>0</v>
      </c>
      <c r="AQ817" s="85">
        <v>0</v>
      </c>
      <c r="AR817" s="85">
        <v>0</v>
      </c>
      <c r="AS817" s="85">
        <v>0</v>
      </c>
      <c r="AT817" s="85">
        <v>0</v>
      </c>
      <c r="AU817" s="85">
        <v>0</v>
      </c>
      <c r="AV817" s="85">
        <v>0</v>
      </c>
      <c r="AW817" s="85">
        <v>159.15199999999999</v>
      </c>
      <c r="AX817" s="85">
        <v>0</v>
      </c>
      <c r="AY817" s="85">
        <v>0</v>
      </c>
      <c r="AZ817" s="85">
        <v>0</v>
      </c>
      <c r="BA817" s="85">
        <v>0</v>
      </c>
      <c r="BB817" s="89">
        <v>0</v>
      </c>
      <c r="BC817" s="89">
        <v>159.15199999999999</v>
      </c>
      <c r="BD817" s="37">
        <v>0</v>
      </c>
      <c r="BE817" s="37">
        <v>33975</v>
      </c>
      <c r="BF817" s="279">
        <v>23472</v>
      </c>
      <c r="BG817" s="37">
        <v>64950</v>
      </c>
      <c r="BH817" s="37">
        <v>41321</v>
      </c>
      <c r="BI817" s="37">
        <v>35369</v>
      </c>
      <c r="BJ817" s="283">
        <v>165112</v>
      </c>
      <c r="BK817" s="161"/>
      <c r="BL817" s="294"/>
      <c r="BM817"/>
      <c r="BN817"/>
      <c r="BO817"/>
      <c r="BP817"/>
      <c r="BQ817"/>
      <c r="BR817"/>
      <c r="BS817"/>
      <c r="BT817"/>
      <c r="BU817"/>
      <c r="BV817"/>
      <c r="BW817"/>
      <c r="BX817"/>
      <c r="BY817"/>
      <c r="BZ817"/>
      <c r="CA817"/>
      <c r="CB817"/>
      <c r="CC817"/>
      <c r="CD817"/>
      <c r="CE817"/>
      <c r="CF817"/>
      <c r="CG817"/>
      <c r="CH817"/>
      <c r="CI817"/>
      <c r="CJ817"/>
    </row>
    <row r="818" spans="1:88" s="32" customFormat="1" ht="15" customHeight="1" x14ac:dyDescent="0.35">
      <c r="A818" s="473"/>
      <c r="B818" s="313">
        <v>5015</v>
      </c>
      <c r="C818" s="8" t="s">
        <v>1045</v>
      </c>
      <c r="D818" s="18">
        <v>11</v>
      </c>
      <c r="E818" s="251"/>
      <c r="F818" s="82"/>
      <c r="G818" s="79"/>
      <c r="H818" s="90"/>
      <c r="I818" s="85"/>
      <c r="J818" s="85"/>
      <c r="K818" s="85"/>
      <c r="L818" s="85"/>
      <c r="M818" s="85"/>
      <c r="N818" s="85"/>
      <c r="O818" s="85"/>
      <c r="P818" s="85"/>
      <c r="Q818" s="85"/>
      <c r="R818" s="85"/>
      <c r="S818" s="89"/>
      <c r="T818" s="89" t="s">
        <v>1124</v>
      </c>
      <c r="U818" s="85"/>
      <c r="V818" s="85"/>
      <c r="W818" s="85"/>
      <c r="X818" s="89" t="s">
        <v>1124</v>
      </c>
      <c r="Y818" s="79"/>
      <c r="Z818" s="79"/>
      <c r="AA818" s="94"/>
      <c r="AB818" s="79" t="s">
        <v>1124</v>
      </c>
      <c r="AC818" s="85"/>
      <c r="AD818" s="85"/>
      <c r="AE818" s="85"/>
      <c r="AF818" s="85"/>
      <c r="AG818" s="85" t="s">
        <v>1124</v>
      </c>
      <c r="AH818" s="85"/>
      <c r="AI818" s="85"/>
      <c r="AJ818" s="85"/>
      <c r="AK818" s="85"/>
      <c r="AL818" s="85"/>
      <c r="AM818" s="85"/>
      <c r="AN818" s="85"/>
      <c r="AO818" s="85"/>
      <c r="AP818" s="85"/>
      <c r="AQ818" s="85"/>
      <c r="AR818" s="85" t="s">
        <v>1124</v>
      </c>
      <c r="AS818" s="85"/>
      <c r="AT818" s="85"/>
      <c r="AU818" s="85"/>
      <c r="AV818" s="85"/>
      <c r="AW818" s="85"/>
      <c r="AX818" s="85"/>
      <c r="AY818" s="85"/>
      <c r="AZ818" s="85"/>
      <c r="BA818" s="85"/>
      <c r="BB818" s="89"/>
      <c r="BC818" s="89" t="s">
        <v>1124</v>
      </c>
      <c r="BD818" s="37"/>
      <c r="BE818" s="37"/>
      <c r="BF818" s="279"/>
      <c r="BG818" s="37"/>
      <c r="BH818" s="37"/>
      <c r="BI818" s="37"/>
      <c r="BJ818" s="283"/>
      <c r="BK818" s="161"/>
      <c r="BL818" s="294"/>
      <c r="BM818"/>
      <c r="BN818"/>
      <c r="BO818"/>
      <c r="BP818"/>
      <c r="BQ818"/>
      <c r="BR818"/>
      <c r="BS818"/>
      <c r="BT818"/>
      <c r="BU818"/>
      <c r="BV818"/>
      <c r="BW818"/>
      <c r="BX818"/>
      <c r="BY818"/>
      <c r="BZ818"/>
      <c r="CA818"/>
      <c r="CB818"/>
      <c r="CC818"/>
      <c r="CD818"/>
      <c r="CE818"/>
      <c r="CF818"/>
      <c r="CG818"/>
      <c r="CH818"/>
      <c r="CI818"/>
      <c r="CJ818"/>
    </row>
    <row r="819" spans="1:88" s="32" customFormat="1" ht="15" customHeight="1" x14ac:dyDescent="0.35">
      <c r="A819" s="473"/>
      <c r="B819" s="313">
        <v>49113</v>
      </c>
      <c r="C819" s="8" t="s">
        <v>479</v>
      </c>
      <c r="D819" s="18">
        <v>17</v>
      </c>
      <c r="E819" s="251">
        <v>442</v>
      </c>
      <c r="F819" s="82">
        <v>2.174927113702624</v>
      </c>
      <c r="G819" s="79">
        <v>961.31778425655978</v>
      </c>
      <c r="H819" s="90">
        <v>10.145</v>
      </c>
      <c r="I819" s="85">
        <v>9.48</v>
      </c>
      <c r="J819" s="85">
        <v>10.45</v>
      </c>
      <c r="K819" s="85">
        <v>10.275</v>
      </c>
      <c r="L819" s="85">
        <v>10.78</v>
      </c>
      <c r="M819" s="85">
        <v>11.395</v>
      </c>
      <c r="N819" s="85">
        <v>11.4</v>
      </c>
      <c r="O819" s="85">
        <v>10.77</v>
      </c>
      <c r="P819" s="85">
        <v>9.7050000000000001</v>
      </c>
      <c r="Q819" s="85">
        <v>9.6999999999999993</v>
      </c>
      <c r="R819" s="85">
        <v>10.1</v>
      </c>
      <c r="S819" s="89">
        <v>9.9849999999999994</v>
      </c>
      <c r="T819" s="89">
        <v>124.185</v>
      </c>
      <c r="U819" s="85">
        <v>0</v>
      </c>
      <c r="V819" s="85">
        <v>124.185</v>
      </c>
      <c r="W819" s="85">
        <v>0</v>
      </c>
      <c r="X819" s="89">
        <v>124.185</v>
      </c>
      <c r="Y819" s="79">
        <v>0</v>
      </c>
      <c r="Z819" s="79">
        <v>1</v>
      </c>
      <c r="AA819" s="94">
        <v>0</v>
      </c>
      <c r="AB819" s="79">
        <v>1</v>
      </c>
      <c r="AC819" s="85">
        <v>89.780727272727276</v>
      </c>
      <c r="AD819" s="85">
        <v>13.281886001855284</v>
      </c>
      <c r="AE819" s="85">
        <v>21.122386725417442</v>
      </c>
      <c r="AF819" s="85">
        <v>0</v>
      </c>
      <c r="AG819" s="85">
        <v>124.185</v>
      </c>
      <c r="AH819" s="85">
        <v>0</v>
      </c>
      <c r="AI819" s="85">
        <v>0</v>
      </c>
      <c r="AJ819" s="85">
        <v>0</v>
      </c>
      <c r="AK819" s="85">
        <v>0</v>
      </c>
      <c r="AL819" s="85">
        <v>0</v>
      </c>
      <c r="AM819" s="85">
        <v>0</v>
      </c>
      <c r="AN819" s="85">
        <v>0</v>
      </c>
      <c r="AO819" s="85">
        <v>0</v>
      </c>
      <c r="AP819" s="85">
        <v>0</v>
      </c>
      <c r="AQ819" s="85">
        <v>0</v>
      </c>
      <c r="AR819" s="85">
        <v>0</v>
      </c>
      <c r="AS819" s="85">
        <v>0</v>
      </c>
      <c r="AT819" s="85">
        <v>124.185</v>
      </c>
      <c r="AU819" s="85">
        <v>0</v>
      </c>
      <c r="AV819" s="85">
        <v>0</v>
      </c>
      <c r="AW819" s="85">
        <v>0</v>
      </c>
      <c r="AX819" s="85">
        <v>0</v>
      </c>
      <c r="AY819" s="85">
        <v>0</v>
      </c>
      <c r="AZ819" s="85">
        <v>0</v>
      </c>
      <c r="BA819" s="85">
        <v>0</v>
      </c>
      <c r="BB819" s="89">
        <v>0</v>
      </c>
      <c r="BC819" s="89">
        <v>124.185</v>
      </c>
      <c r="BD819" s="37">
        <v>0</v>
      </c>
      <c r="BE819" s="37">
        <v>0</v>
      </c>
      <c r="BF819" s="279">
        <v>11474</v>
      </c>
      <c r="BG819" s="37">
        <v>24235</v>
      </c>
      <c r="BH819" s="37">
        <v>12435</v>
      </c>
      <c r="BI819" s="37">
        <v>75477</v>
      </c>
      <c r="BJ819" s="283">
        <v>123621</v>
      </c>
      <c r="BK819" s="161"/>
      <c r="BL819" s="294"/>
      <c r="BM819"/>
      <c r="BN819"/>
      <c r="BO819"/>
      <c r="BP819"/>
      <c r="BQ819"/>
      <c r="BR819"/>
      <c r="BS819"/>
      <c r="BT819"/>
      <c r="BU819"/>
      <c r="BV819"/>
      <c r="BW819"/>
      <c r="BX819"/>
      <c r="BY819"/>
      <c r="BZ819"/>
      <c r="CA819"/>
      <c r="CB819"/>
      <c r="CC819"/>
      <c r="CD819"/>
      <c r="CE819"/>
      <c r="CF819"/>
      <c r="CG819"/>
      <c r="CH819"/>
      <c r="CI819"/>
      <c r="CJ819"/>
    </row>
    <row r="820" spans="1:88" s="32" customFormat="1" ht="15" customHeight="1" x14ac:dyDescent="0.35">
      <c r="A820" s="473"/>
      <c r="B820" s="313">
        <v>11020</v>
      </c>
      <c r="C820" s="8" t="s">
        <v>20</v>
      </c>
      <c r="D820" s="18">
        <v>1</v>
      </c>
      <c r="E820" s="251"/>
      <c r="F820" s="82"/>
      <c r="G820" s="79"/>
      <c r="H820" s="90"/>
      <c r="I820" s="85"/>
      <c r="J820" s="85"/>
      <c r="K820" s="85"/>
      <c r="L820" s="85"/>
      <c r="M820" s="85"/>
      <c r="N820" s="85"/>
      <c r="O820" s="85"/>
      <c r="P820" s="85"/>
      <c r="Q820" s="85"/>
      <c r="R820" s="85"/>
      <c r="S820" s="89"/>
      <c r="T820" s="89" t="s">
        <v>1124</v>
      </c>
      <c r="U820" s="85"/>
      <c r="V820" s="85"/>
      <c r="W820" s="85"/>
      <c r="X820" s="89" t="s">
        <v>1124</v>
      </c>
      <c r="Y820" s="79"/>
      <c r="Z820" s="79"/>
      <c r="AA820" s="94"/>
      <c r="AB820" s="79" t="s">
        <v>1124</v>
      </c>
      <c r="AC820" s="85"/>
      <c r="AD820" s="85"/>
      <c r="AE820" s="85"/>
      <c r="AF820" s="85"/>
      <c r="AG820" s="85" t="s">
        <v>1124</v>
      </c>
      <c r="AH820" s="85"/>
      <c r="AI820" s="85"/>
      <c r="AJ820" s="85"/>
      <c r="AK820" s="85"/>
      <c r="AL820" s="85"/>
      <c r="AM820" s="85"/>
      <c r="AN820" s="85"/>
      <c r="AO820" s="85"/>
      <c r="AP820" s="85"/>
      <c r="AQ820" s="85"/>
      <c r="AR820" s="85" t="s">
        <v>1124</v>
      </c>
      <c r="AS820" s="85"/>
      <c r="AT820" s="85"/>
      <c r="AU820" s="85"/>
      <c r="AV820" s="85"/>
      <c r="AW820" s="85"/>
      <c r="AX820" s="85"/>
      <c r="AY820" s="85"/>
      <c r="AZ820" s="85"/>
      <c r="BA820" s="85"/>
      <c r="BB820" s="89"/>
      <c r="BC820" s="89" t="s">
        <v>1124</v>
      </c>
      <c r="BD820" s="37"/>
      <c r="BE820" s="37"/>
      <c r="BF820" s="279"/>
      <c r="BG820" s="37"/>
      <c r="BH820" s="37"/>
      <c r="BI820" s="37"/>
      <c r="BJ820" s="283"/>
      <c r="BK820" s="161"/>
      <c r="BL820" s="294"/>
      <c r="BM820"/>
      <c r="BN820"/>
      <c r="BO820"/>
      <c r="BP820"/>
      <c r="BQ820"/>
      <c r="BR820"/>
      <c r="BS820"/>
      <c r="BT820"/>
      <c r="BU820"/>
      <c r="BV820"/>
      <c r="BW820"/>
      <c r="BX820"/>
      <c r="BY820"/>
      <c r="BZ820"/>
      <c r="CA820"/>
      <c r="CB820"/>
      <c r="CC820"/>
      <c r="CD820"/>
      <c r="CE820"/>
      <c r="CF820"/>
      <c r="CG820"/>
      <c r="CH820"/>
      <c r="CI820"/>
      <c r="CJ820"/>
    </row>
    <row r="821" spans="1:88" s="32" customFormat="1" ht="15" customHeight="1" x14ac:dyDescent="0.35">
      <c r="A821" s="473"/>
      <c r="B821" s="313">
        <v>19068</v>
      </c>
      <c r="C821" s="8" t="s">
        <v>129</v>
      </c>
      <c r="D821" s="18">
        <v>12</v>
      </c>
      <c r="E821" s="251">
        <v>1895</v>
      </c>
      <c r="F821" s="82">
        <v>2.3889591234723979</v>
      </c>
      <c r="G821" s="79">
        <v>4527.0775389801938</v>
      </c>
      <c r="H821" s="90">
        <v>49.292999999999999</v>
      </c>
      <c r="I821" s="85">
        <v>44.24</v>
      </c>
      <c r="J821" s="85">
        <v>48.985999999999997</v>
      </c>
      <c r="K821" s="85">
        <v>46.945</v>
      </c>
      <c r="L821" s="85">
        <v>52.481000000000002</v>
      </c>
      <c r="M821" s="85">
        <v>51.826999999999998</v>
      </c>
      <c r="N821" s="85">
        <v>59.405000000000001</v>
      </c>
      <c r="O821" s="85">
        <v>54.585999999999999</v>
      </c>
      <c r="P821" s="85">
        <v>48.889000000000003</v>
      </c>
      <c r="Q821" s="85">
        <v>51.332000000000001</v>
      </c>
      <c r="R821" s="85">
        <v>48.2</v>
      </c>
      <c r="S821" s="89">
        <v>44.26</v>
      </c>
      <c r="T821" s="89">
        <v>600.44400000000007</v>
      </c>
      <c r="U821" s="85">
        <v>600.44400000000007</v>
      </c>
      <c r="V821" s="85">
        <v>0</v>
      </c>
      <c r="W821" s="85">
        <v>0</v>
      </c>
      <c r="X821" s="89">
        <v>600.44400000000007</v>
      </c>
      <c r="Y821" s="79">
        <v>1</v>
      </c>
      <c r="Z821" s="79">
        <v>0</v>
      </c>
      <c r="AA821" s="94">
        <v>0</v>
      </c>
      <c r="AB821" s="79">
        <v>1</v>
      </c>
      <c r="AC821" s="85">
        <v>271.41300000000001</v>
      </c>
      <c r="AD821" s="85">
        <v>324.18266423366833</v>
      </c>
      <c r="AE821" s="85">
        <v>4.8483357663316315</v>
      </c>
      <c r="AF821" s="85">
        <v>0</v>
      </c>
      <c r="AG821" s="85">
        <v>600.44399999999996</v>
      </c>
      <c r="AH821" s="85">
        <v>600.44400000000007</v>
      </c>
      <c r="AI821" s="85">
        <v>0</v>
      </c>
      <c r="AJ821" s="85">
        <v>0</v>
      </c>
      <c r="AK821" s="85">
        <v>0</v>
      </c>
      <c r="AL821" s="85">
        <v>0</v>
      </c>
      <c r="AM821" s="85">
        <v>0</v>
      </c>
      <c r="AN821" s="85">
        <v>0</v>
      </c>
      <c r="AO821" s="85">
        <v>0</v>
      </c>
      <c r="AP821" s="85">
        <v>0</v>
      </c>
      <c r="AQ821" s="85">
        <v>0</v>
      </c>
      <c r="AR821" s="85">
        <v>600.44400000000007</v>
      </c>
      <c r="AS821" s="85">
        <v>0</v>
      </c>
      <c r="AT821" s="85">
        <v>0</v>
      </c>
      <c r="AU821" s="85">
        <v>0</v>
      </c>
      <c r="AV821" s="85">
        <v>0</v>
      </c>
      <c r="AW821" s="85">
        <v>0</v>
      </c>
      <c r="AX821" s="85">
        <v>0</v>
      </c>
      <c r="AY821" s="85">
        <v>0</v>
      </c>
      <c r="AZ821" s="85">
        <v>0</v>
      </c>
      <c r="BA821" s="85">
        <v>0</v>
      </c>
      <c r="BB821" s="89">
        <v>0</v>
      </c>
      <c r="BC821" s="89">
        <v>0</v>
      </c>
      <c r="BD821" s="37">
        <v>0</v>
      </c>
      <c r="BE821" s="37">
        <v>0</v>
      </c>
      <c r="BF821" s="279">
        <v>119841</v>
      </c>
      <c r="BG821" s="37">
        <v>102554</v>
      </c>
      <c r="BH821" s="37">
        <v>75655</v>
      </c>
      <c r="BI821" s="37">
        <v>11177</v>
      </c>
      <c r="BJ821" s="283">
        <v>309227</v>
      </c>
      <c r="BK821" s="161"/>
      <c r="BL821" s="294"/>
      <c r="BM821"/>
      <c r="BN821"/>
      <c r="BO821"/>
      <c r="BP821"/>
      <c r="BQ821"/>
      <c r="BR821"/>
      <c r="BS821"/>
      <c r="BT821"/>
      <c r="BU821"/>
      <c r="BV821"/>
      <c r="BW821"/>
      <c r="BX821"/>
      <c r="BY821"/>
      <c r="BZ821"/>
      <c r="CA821"/>
      <c r="CB821"/>
      <c r="CC821"/>
      <c r="CD821"/>
      <c r="CE821"/>
      <c r="CF821"/>
      <c r="CG821"/>
      <c r="CH821"/>
      <c r="CI821"/>
      <c r="CJ821"/>
    </row>
    <row r="822" spans="1:88" s="32" customFormat="1" ht="15" customHeight="1" x14ac:dyDescent="0.35">
      <c r="A822" s="473"/>
      <c r="B822" s="313">
        <v>93070</v>
      </c>
      <c r="C822" s="8" t="s">
        <v>969</v>
      </c>
      <c r="D822" s="18">
        <v>2</v>
      </c>
      <c r="E822" s="251"/>
      <c r="F822" s="82"/>
      <c r="G822" s="79"/>
      <c r="H822" s="90"/>
      <c r="I822" s="85"/>
      <c r="J822" s="85"/>
      <c r="K822" s="85"/>
      <c r="L822" s="85"/>
      <c r="M822" s="85"/>
      <c r="N822" s="85"/>
      <c r="O822" s="85"/>
      <c r="P822" s="85"/>
      <c r="Q822" s="85"/>
      <c r="R822" s="85"/>
      <c r="S822" s="89"/>
      <c r="T822" s="89" t="s">
        <v>1124</v>
      </c>
      <c r="U822" s="85"/>
      <c r="V822" s="85"/>
      <c r="W822" s="85"/>
      <c r="X822" s="89" t="s">
        <v>1124</v>
      </c>
      <c r="Y822" s="79"/>
      <c r="Z822" s="79"/>
      <c r="AA822" s="94"/>
      <c r="AB822" s="79" t="s">
        <v>1124</v>
      </c>
      <c r="AC822" s="85"/>
      <c r="AD822" s="85"/>
      <c r="AE822" s="85"/>
      <c r="AF822" s="85"/>
      <c r="AG822" s="85" t="s">
        <v>1124</v>
      </c>
      <c r="AH822" s="85"/>
      <c r="AI822" s="85"/>
      <c r="AJ822" s="85"/>
      <c r="AK822" s="85"/>
      <c r="AL822" s="85"/>
      <c r="AM822" s="85"/>
      <c r="AN822" s="85"/>
      <c r="AO822" s="85"/>
      <c r="AP822" s="85"/>
      <c r="AQ822" s="85"/>
      <c r="AR822" s="85" t="s">
        <v>1124</v>
      </c>
      <c r="AS822" s="85"/>
      <c r="AT822" s="85"/>
      <c r="AU822" s="85"/>
      <c r="AV822" s="85"/>
      <c r="AW822" s="85"/>
      <c r="AX822" s="85"/>
      <c r="AY822" s="85"/>
      <c r="AZ822" s="85"/>
      <c r="BA822" s="85"/>
      <c r="BB822" s="89"/>
      <c r="BC822" s="89" t="s">
        <v>1124</v>
      </c>
      <c r="BD822" s="37"/>
      <c r="BE822" s="37"/>
      <c r="BF822" s="279"/>
      <c r="BG822" s="37"/>
      <c r="BH822" s="37"/>
      <c r="BI822" s="37"/>
      <c r="BJ822" s="283"/>
      <c r="BK822" s="161"/>
      <c r="BL822" s="294"/>
      <c r="BM822"/>
      <c r="BN822"/>
      <c r="BO822"/>
      <c r="BP822"/>
      <c r="BQ822"/>
      <c r="BR822"/>
      <c r="BS822"/>
      <c r="BT822"/>
      <c r="BU822"/>
      <c r="BV822"/>
      <c r="BW822"/>
      <c r="BX822"/>
      <c r="BY822"/>
      <c r="BZ822"/>
      <c r="CA822"/>
      <c r="CB822"/>
      <c r="CC822"/>
      <c r="CD822"/>
      <c r="CE822"/>
      <c r="CF822"/>
      <c r="CG822"/>
      <c r="CH822"/>
      <c r="CI822"/>
      <c r="CJ822"/>
    </row>
    <row r="823" spans="1:88" s="32" customFormat="1" ht="15" customHeight="1" x14ac:dyDescent="0.35">
      <c r="A823" s="473"/>
      <c r="B823" s="313">
        <v>44015</v>
      </c>
      <c r="C823" s="8" t="s">
        <v>401</v>
      </c>
      <c r="D823" s="18">
        <v>5</v>
      </c>
      <c r="E823" s="251"/>
      <c r="F823" s="82"/>
      <c r="G823" s="79"/>
      <c r="H823" s="90"/>
      <c r="I823" s="85"/>
      <c r="J823" s="85"/>
      <c r="K823" s="85"/>
      <c r="L823" s="85"/>
      <c r="M823" s="85"/>
      <c r="N823" s="85"/>
      <c r="O823" s="85"/>
      <c r="P823" s="85"/>
      <c r="Q823" s="85"/>
      <c r="R823" s="85"/>
      <c r="S823" s="89"/>
      <c r="T823" s="89" t="s">
        <v>1124</v>
      </c>
      <c r="U823" s="85"/>
      <c r="V823" s="85"/>
      <c r="W823" s="85"/>
      <c r="X823" s="89" t="s">
        <v>1124</v>
      </c>
      <c r="Y823" s="79"/>
      <c r="Z823" s="79"/>
      <c r="AA823" s="94"/>
      <c r="AB823" s="79" t="s">
        <v>1124</v>
      </c>
      <c r="AC823" s="85"/>
      <c r="AD823" s="85"/>
      <c r="AE823" s="85"/>
      <c r="AF823" s="85"/>
      <c r="AG823" s="85" t="s">
        <v>1124</v>
      </c>
      <c r="AH823" s="85"/>
      <c r="AI823" s="85"/>
      <c r="AJ823" s="85"/>
      <c r="AK823" s="85"/>
      <c r="AL823" s="85"/>
      <c r="AM823" s="85"/>
      <c r="AN823" s="85"/>
      <c r="AO823" s="85"/>
      <c r="AP823" s="85"/>
      <c r="AQ823" s="85"/>
      <c r="AR823" s="85" t="s">
        <v>1124</v>
      </c>
      <c r="AS823" s="85"/>
      <c r="AT823" s="85"/>
      <c r="AU823" s="85"/>
      <c r="AV823" s="85"/>
      <c r="AW823" s="85"/>
      <c r="AX823" s="85"/>
      <c r="AY823" s="85"/>
      <c r="AZ823" s="85"/>
      <c r="BA823" s="85"/>
      <c r="BB823" s="89"/>
      <c r="BC823" s="89" t="s">
        <v>1124</v>
      </c>
      <c r="BD823" s="37"/>
      <c r="BE823" s="37"/>
      <c r="BF823" s="279"/>
      <c r="BG823" s="37"/>
      <c r="BH823" s="37"/>
      <c r="BI823" s="37"/>
      <c r="BJ823" s="283"/>
      <c r="BK823" s="161"/>
      <c r="BL823" s="294"/>
      <c r="BM823"/>
      <c r="BN823"/>
      <c r="BO823"/>
      <c r="BP823"/>
      <c r="BQ823"/>
      <c r="BR823"/>
      <c r="BS823"/>
      <c r="BT823"/>
      <c r="BU823"/>
      <c r="BV823"/>
      <c r="BW823"/>
      <c r="BX823"/>
      <c r="BY823"/>
      <c r="BZ823"/>
      <c r="CA823"/>
      <c r="CB823"/>
      <c r="CC823"/>
      <c r="CD823"/>
      <c r="CE823"/>
      <c r="CF823"/>
      <c r="CG823"/>
      <c r="CH823"/>
      <c r="CI823"/>
      <c r="CJ823"/>
    </row>
    <row r="824" spans="1:88" s="32" customFormat="1" ht="15" customHeight="1" x14ac:dyDescent="0.35">
      <c r="A824" s="473"/>
      <c r="B824" s="313">
        <v>29020</v>
      </c>
      <c r="C824" s="8" t="s">
        <v>203</v>
      </c>
      <c r="D824" s="18">
        <v>12</v>
      </c>
      <c r="E824" s="251"/>
      <c r="F824" s="82"/>
      <c r="G824" s="79"/>
      <c r="H824" s="90"/>
      <c r="I824" s="85"/>
      <c r="J824" s="85"/>
      <c r="K824" s="85"/>
      <c r="L824" s="85"/>
      <c r="M824" s="85"/>
      <c r="N824" s="85"/>
      <c r="O824" s="85"/>
      <c r="P824" s="85"/>
      <c r="Q824" s="85"/>
      <c r="R824" s="85"/>
      <c r="S824" s="89"/>
      <c r="T824" s="89" t="s">
        <v>1124</v>
      </c>
      <c r="U824" s="85"/>
      <c r="V824" s="85"/>
      <c r="W824" s="85"/>
      <c r="X824" s="89" t="s">
        <v>1124</v>
      </c>
      <c r="Y824" s="79"/>
      <c r="Z824" s="79"/>
      <c r="AA824" s="94"/>
      <c r="AB824" s="79" t="s">
        <v>1124</v>
      </c>
      <c r="AC824" s="85"/>
      <c r="AD824" s="85"/>
      <c r="AE824" s="85"/>
      <c r="AF824" s="85"/>
      <c r="AG824" s="85" t="s">
        <v>1124</v>
      </c>
      <c r="AH824" s="85"/>
      <c r="AI824" s="85"/>
      <c r="AJ824" s="85"/>
      <c r="AK824" s="85"/>
      <c r="AL824" s="85"/>
      <c r="AM824" s="85"/>
      <c r="AN824" s="85"/>
      <c r="AO824" s="85"/>
      <c r="AP824" s="85"/>
      <c r="AQ824" s="85"/>
      <c r="AR824" s="85" t="s">
        <v>1124</v>
      </c>
      <c r="AS824" s="85"/>
      <c r="AT824" s="85"/>
      <c r="AU824" s="85"/>
      <c r="AV824" s="85"/>
      <c r="AW824" s="85"/>
      <c r="AX824" s="85"/>
      <c r="AY824" s="85"/>
      <c r="AZ824" s="85"/>
      <c r="BA824" s="85"/>
      <c r="BB824" s="89"/>
      <c r="BC824" s="89" t="s">
        <v>1124</v>
      </c>
      <c r="BD824" s="37"/>
      <c r="BE824" s="37"/>
      <c r="BF824" s="279"/>
      <c r="BG824" s="37"/>
      <c r="BH824" s="37"/>
      <c r="BI824" s="37"/>
      <c r="BJ824" s="283"/>
      <c r="BK824" s="161"/>
      <c r="BL824" s="294"/>
      <c r="BM824"/>
      <c r="BN824"/>
      <c r="BO824"/>
      <c r="BP824"/>
      <c r="BQ824"/>
      <c r="BR824"/>
      <c r="BS824"/>
      <c r="BT824"/>
      <c r="BU824"/>
      <c r="BV824"/>
      <c r="BW824"/>
      <c r="BX824"/>
      <c r="BY824"/>
      <c r="BZ824"/>
      <c r="CA824"/>
      <c r="CB824"/>
      <c r="CC824"/>
      <c r="CD824"/>
      <c r="CE824"/>
      <c r="CF824"/>
      <c r="CG824"/>
      <c r="CH824"/>
      <c r="CI824"/>
      <c r="CJ824"/>
    </row>
    <row r="825" spans="1:88" s="32" customFormat="1" ht="15" customHeight="1" x14ac:dyDescent="0.35">
      <c r="A825" s="473"/>
      <c r="B825" s="313">
        <v>16050</v>
      </c>
      <c r="C825" s="8" t="s">
        <v>88</v>
      </c>
      <c r="D825" s="18">
        <v>3</v>
      </c>
      <c r="E825" s="251">
        <v>284</v>
      </c>
      <c r="F825" s="82">
        <v>2.0885122410546137</v>
      </c>
      <c r="G825" s="79">
        <v>593.13747645951025</v>
      </c>
      <c r="H825" s="90">
        <v>4.3798000000000004</v>
      </c>
      <c r="I825" s="85">
        <v>6.4699000000000009</v>
      </c>
      <c r="J825" s="85">
        <v>7.0458999999999996</v>
      </c>
      <c r="K825" s="85">
        <v>4.9227999999999996</v>
      </c>
      <c r="L825" s="85">
        <v>5.8641999999999994</v>
      </c>
      <c r="M825" s="85">
        <v>6.8632</v>
      </c>
      <c r="N825" s="85">
        <v>7.4050999999999991</v>
      </c>
      <c r="O825" s="85">
        <v>6.5730999999999993</v>
      </c>
      <c r="P825" s="85">
        <v>5.3646000000000003</v>
      </c>
      <c r="Q825" s="85">
        <v>5.0940999999999992</v>
      </c>
      <c r="R825" s="85">
        <v>4.6515000000000004</v>
      </c>
      <c r="S825" s="89">
        <v>5.5258000000000003</v>
      </c>
      <c r="T825" s="89">
        <v>70.16</v>
      </c>
      <c r="U825" s="85">
        <v>0</v>
      </c>
      <c r="V825" s="85">
        <v>70.16</v>
      </c>
      <c r="W825" s="85">
        <v>0</v>
      </c>
      <c r="X825" s="89">
        <v>70.16</v>
      </c>
      <c r="Y825" s="79">
        <v>0</v>
      </c>
      <c r="Z825" s="79">
        <v>2</v>
      </c>
      <c r="AA825" s="94">
        <v>0</v>
      </c>
      <c r="AB825" s="79">
        <v>2</v>
      </c>
      <c r="AC825" s="85">
        <v>53.022886850152908</v>
      </c>
      <c r="AD825" s="85">
        <v>9.0805131498470963</v>
      </c>
      <c r="AE825" s="85">
        <v>8.0565999999999924</v>
      </c>
      <c r="AF825" s="85">
        <v>0</v>
      </c>
      <c r="AG825" s="85">
        <v>70.16</v>
      </c>
      <c r="AH825" s="85">
        <v>0</v>
      </c>
      <c r="AI825" s="85">
        <v>0</v>
      </c>
      <c r="AJ825" s="85">
        <v>0</v>
      </c>
      <c r="AK825" s="85">
        <v>0</v>
      </c>
      <c r="AL825" s="85">
        <v>0</v>
      </c>
      <c r="AM825" s="85">
        <v>0</v>
      </c>
      <c r="AN825" s="85">
        <v>0</v>
      </c>
      <c r="AO825" s="85">
        <v>0</v>
      </c>
      <c r="AP825" s="85">
        <v>0</v>
      </c>
      <c r="AQ825" s="85">
        <v>0</v>
      </c>
      <c r="AR825" s="85">
        <v>0</v>
      </c>
      <c r="AS825" s="85">
        <v>0</v>
      </c>
      <c r="AT825" s="85">
        <v>0</v>
      </c>
      <c r="AU825" s="85">
        <v>0</v>
      </c>
      <c r="AV825" s="85">
        <v>0</v>
      </c>
      <c r="AW825" s="85">
        <v>0</v>
      </c>
      <c r="AX825" s="85">
        <v>0</v>
      </c>
      <c r="AY825" s="85">
        <v>70.16</v>
      </c>
      <c r="AZ825" s="85">
        <v>0</v>
      </c>
      <c r="BA825" s="85">
        <v>0</v>
      </c>
      <c r="BB825" s="89">
        <v>0</v>
      </c>
      <c r="BC825" s="89">
        <v>70.16</v>
      </c>
      <c r="BD825" s="37">
        <v>0</v>
      </c>
      <c r="BE825" s="37">
        <v>0</v>
      </c>
      <c r="BF825" s="279">
        <v>15465</v>
      </c>
      <c r="BG825" s="37">
        <v>23428</v>
      </c>
      <c r="BH825" s="37">
        <v>9321</v>
      </c>
      <c r="BI825" s="37">
        <v>22914</v>
      </c>
      <c r="BJ825" s="283">
        <v>71128</v>
      </c>
      <c r="BK825" s="161"/>
      <c r="BL825" s="294"/>
      <c r="BM825"/>
      <c r="BN825"/>
      <c r="BO825"/>
      <c r="BP825"/>
      <c r="BQ825"/>
      <c r="BR825"/>
      <c r="BS825"/>
      <c r="BT825"/>
      <c r="BU825"/>
      <c r="BV825"/>
      <c r="BW825"/>
      <c r="BX825"/>
      <c r="BY825"/>
      <c r="BZ825"/>
      <c r="CA825"/>
      <c r="CB825"/>
      <c r="CC825"/>
      <c r="CD825"/>
      <c r="CE825"/>
      <c r="CF825"/>
      <c r="CG825"/>
      <c r="CH825"/>
      <c r="CI825"/>
      <c r="CJ825"/>
    </row>
    <row r="826" spans="1:88" s="32" customFormat="1" ht="15" customHeight="1" x14ac:dyDescent="0.35">
      <c r="A826" s="473"/>
      <c r="B826" s="313">
        <v>75045</v>
      </c>
      <c r="C826" s="8" t="s">
        <v>746</v>
      </c>
      <c r="D826" s="18">
        <v>15</v>
      </c>
      <c r="E826" s="251"/>
      <c r="F826" s="82"/>
      <c r="G826" s="79"/>
      <c r="H826" s="90"/>
      <c r="I826" s="85"/>
      <c r="J826" s="85"/>
      <c r="K826" s="85"/>
      <c r="L826" s="85"/>
      <c r="M826" s="85"/>
      <c r="N826" s="85"/>
      <c r="O826" s="85"/>
      <c r="P826" s="85"/>
      <c r="Q826" s="85"/>
      <c r="R826" s="85"/>
      <c r="S826" s="89"/>
      <c r="T826" s="89" t="s">
        <v>1124</v>
      </c>
      <c r="U826" s="85"/>
      <c r="V826" s="85"/>
      <c r="W826" s="85"/>
      <c r="X826" s="89" t="s">
        <v>1124</v>
      </c>
      <c r="Y826" s="79"/>
      <c r="Z826" s="79"/>
      <c r="AA826" s="94"/>
      <c r="AB826" s="79" t="s">
        <v>1124</v>
      </c>
      <c r="AC826" s="85"/>
      <c r="AD826" s="85"/>
      <c r="AE826" s="85"/>
      <c r="AF826" s="85"/>
      <c r="AG826" s="85" t="s">
        <v>1124</v>
      </c>
      <c r="AH826" s="85"/>
      <c r="AI826" s="85"/>
      <c r="AJ826" s="85"/>
      <c r="AK826" s="85"/>
      <c r="AL826" s="85"/>
      <c r="AM826" s="85"/>
      <c r="AN826" s="85"/>
      <c r="AO826" s="85"/>
      <c r="AP826" s="85"/>
      <c r="AQ826" s="85"/>
      <c r="AR826" s="85" t="s">
        <v>1124</v>
      </c>
      <c r="AS826" s="85"/>
      <c r="AT826" s="85"/>
      <c r="AU826" s="85"/>
      <c r="AV826" s="85"/>
      <c r="AW826" s="85"/>
      <c r="AX826" s="85"/>
      <c r="AY826" s="85"/>
      <c r="AZ826" s="85"/>
      <c r="BA826" s="85"/>
      <c r="BB826" s="89"/>
      <c r="BC826" s="89" t="s">
        <v>1124</v>
      </c>
      <c r="BD826" s="37"/>
      <c r="BE826" s="37"/>
      <c r="BF826" s="279"/>
      <c r="BG826" s="37"/>
      <c r="BH826" s="37"/>
      <c r="BI826" s="37"/>
      <c r="BJ826" s="283"/>
      <c r="BK826" s="161"/>
      <c r="BL826" s="294"/>
      <c r="BM826"/>
      <c r="BN826"/>
      <c r="BO826"/>
      <c r="BP826"/>
      <c r="BQ826"/>
      <c r="BR826"/>
      <c r="BS826"/>
      <c r="BT826"/>
      <c r="BU826"/>
      <c r="BV826"/>
      <c r="BW826"/>
      <c r="BX826"/>
      <c r="BY826"/>
      <c r="BZ826"/>
      <c r="CA826"/>
      <c r="CB826"/>
      <c r="CC826"/>
      <c r="CD826"/>
      <c r="CE826"/>
      <c r="CF826"/>
      <c r="CG826"/>
      <c r="CH826"/>
      <c r="CI826"/>
      <c r="CJ826"/>
    </row>
    <row r="827" spans="1:88" s="32" customFormat="1" ht="15" customHeight="1" x14ac:dyDescent="0.35">
      <c r="A827" s="473"/>
      <c r="B827" s="313">
        <v>94240</v>
      </c>
      <c r="C827" s="8" t="s">
        <v>980</v>
      </c>
      <c r="D827" s="18">
        <v>2</v>
      </c>
      <c r="E827" s="251">
        <v>2428</v>
      </c>
      <c r="F827" s="82">
        <v>2.4674092409240922</v>
      </c>
      <c r="G827" s="79">
        <v>5990.8696369636955</v>
      </c>
      <c r="H827" s="90">
        <v>68.772999999999996</v>
      </c>
      <c r="I827" s="85">
        <v>68.429000000000002</v>
      </c>
      <c r="J827" s="85">
        <v>72.692999999999998</v>
      </c>
      <c r="K827" s="85">
        <v>60.052999999999997</v>
      </c>
      <c r="L827" s="85">
        <v>77.004000000000005</v>
      </c>
      <c r="M827" s="85">
        <v>80.253</v>
      </c>
      <c r="N827" s="85">
        <v>81.876000000000005</v>
      </c>
      <c r="O827" s="85">
        <v>74.004999999999995</v>
      </c>
      <c r="P827" s="85">
        <v>61.011000000000003</v>
      </c>
      <c r="Q827" s="85">
        <v>57.558</v>
      </c>
      <c r="R827" s="85">
        <v>61.052999999999997</v>
      </c>
      <c r="S827" s="89">
        <v>60.444000000000003</v>
      </c>
      <c r="T827" s="89">
        <v>823.15199999999993</v>
      </c>
      <c r="U827" s="85">
        <v>0</v>
      </c>
      <c r="V827" s="85">
        <v>823.15200000000004</v>
      </c>
      <c r="W827" s="85">
        <v>0</v>
      </c>
      <c r="X827" s="89">
        <v>823.15200000000004</v>
      </c>
      <c r="Y827" s="79">
        <v>0</v>
      </c>
      <c r="Z827" s="79">
        <v>4</v>
      </c>
      <c r="AA827" s="94">
        <v>0</v>
      </c>
      <c r="AB827" s="79">
        <v>4</v>
      </c>
      <c r="AC827" s="85">
        <v>450</v>
      </c>
      <c r="AD827" s="85">
        <v>182.745</v>
      </c>
      <c r="AE827" s="85">
        <v>190.40700000000001</v>
      </c>
      <c r="AF827" s="85">
        <v>0</v>
      </c>
      <c r="AG827" s="85">
        <v>823.15200000000004</v>
      </c>
      <c r="AH827" s="85">
        <v>0</v>
      </c>
      <c r="AI827" s="85">
        <v>0</v>
      </c>
      <c r="AJ827" s="85">
        <v>0</v>
      </c>
      <c r="AK827" s="85">
        <v>0</v>
      </c>
      <c r="AL827" s="85">
        <v>0</v>
      </c>
      <c r="AM827" s="85">
        <v>0</v>
      </c>
      <c r="AN827" s="85">
        <v>0</v>
      </c>
      <c r="AO827" s="85">
        <v>0</v>
      </c>
      <c r="AP827" s="85">
        <v>0</v>
      </c>
      <c r="AQ827" s="85">
        <v>0</v>
      </c>
      <c r="AR827" s="85">
        <v>0</v>
      </c>
      <c r="AS827" s="85">
        <v>0</v>
      </c>
      <c r="AT827" s="85">
        <v>0</v>
      </c>
      <c r="AU827" s="85">
        <v>0</v>
      </c>
      <c r="AV827" s="85">
        <v>0</v>
      </c>
      <c r="AW827" s="85">
        <v>0</v>
      </c>
      <c r="AX827" s="85">
        <v>0</v>
      </c>
      <c r="AY827" s="85">
        <v>823.15200000000004</v>
      </c>
      <c r="AZ827" s="85">
        <v>0</v>
      </c>
      <c r="BA827" s="85">
        <v>0</v>
      </c>
      <c r="BB827" s="89">
        <v>0</v>
      </c>
      <c r="BC827" s="89">
        <v>823.15200000000004</v>
      </c>
      <c r="BD827" s="37">
        <v>0</v>
      </c>
      <c r="BE827" s="37">
        <v>0</v>
      </c>
      <c r="BF827" s="279">
        <v>8917</v>
      </c>
      <c r="BG827" s="37">
        <v>17177</v>
      </c>
      <c r="BH827" s="37">
        <v>36938</v>
      </c>
      <c r="BI827" s="37">
        <v>912</v>
      </c>
      <c r="BJ827" s="283">
        <v>63944</v>
      </c>
      <c r="BK827" s="161"/>
      <c r="BL827" s="294"/>
      <c r="BM827"/>
      <c r="BN827"/>
      <c r="BO827"/>
      <c r="BP827"/>
      <c r="BQ827"/>
      <c r="BR827"/>
      <c r="BS827"/>
      <c r="BT827"/>
      <c r="BU827"/>
      <c r="BV827"/>
      <c r="BW827"/>
      <c r="BX827"/>
      <c r="BY827"/>
      <c r="BZ827"/>
      <c r="CA827"/>
      <c r="CB827"/>
      <c r="CC827"/>
      <c r="CD827"/>
      <c r="CE827"/>
      <c r="CF827"/>
      <c r="CG827"/>
      <c r="CH827"/>
      <c r="CI827"/>
      <c r="CJ827"/>
    </row>
    <row r="828" spans="1:88" s="32" customFormat="1" ht="15" customHeight="1" x14ac:dyDescent="0.35">
      <c r="A828" s="473"/>
      <c r="B828" s="313">
        <v>29038</v>
      </c>
      <c r="C828" s="8" t="s">
        <v>206</v>
      </c>
      <c r="D828" s="18">
        <v>12</v>
      </c>
      <c r="E828" s="251">
        <v>425</v>
      </c>
      <c r="F828" s="82">
        <v>2.72</v>
      </c>
      <c r="G828" s="79">
        <v>1156</v>
      </c>
      <c r="H828" s="90">
        <v>8.9329999999999998</v>
      </c>
      <c r="I828" s="85">
        <v>9.1660000000000004</v>
      </c>
      <c r="J828" s="85">
        <v>9.4600000000000009</v>
      </c>
      <c r="K828" s="85">
        <v>9.9410000000000007</v>
      </c>
      <c r="L828" s="85">
        <v>11.752000000000001</v>
      </c>
      <c r="M828" s="85">
        <v>12.318</v>
      </c>
      <c r="N828" s="85">
        <v>17.762</v>
      </c>
      <c r="O828" s="85">
        <v>18.023</v>
      </c>
      <c r="P828" s="85">
        <v>14.106</v>
      </c>
      <c r="Q828" s="85">
        <v>9.1999999999999993</v>
      </c>
      <c r="R828" s="85">
        <v>9.06</v>
      </c>
      <c r="S828" s="89">
        <v>8.7219999999999995</v>
      </c>
      <c r="T828" s="89">
        <v>138.44299999999998</v>
      </c>
      <c r="U828" s="85">
        <v>0</v>
      </c>
      <c r="V828" s="85">
        <v>138.44300000000001</v>
      </c>
      <c r="W828" s="85">
        <v>0</v>
      </c>
      <c r="X828" s="89">
        <v>138.44300000000001</v>
      </c>
      <c r="Y828" s="79">
        <v>0</v>
      </c>
      <c r="Z828" s="79">
        <v>1</v>
      </c>
      <c r="AA828" s="94">
        <v>0</v>
      </c>
      <c r="AB828" s="79">
        <v>1</v>
      </c>
      <c r="AC828" s="85">
        <v>92.25</v>
      </c>
      <c r="AD828" s="85">
        <v>38.247621778350485</v>
      </c>
      <c r="AE828" s="85">
        <v>7.9453782216495012</v>
      </c>
      <c r="AF828" s="85">
        <v>0</v>
      </c>
      <c r="AG828" s="85">
        <v>138.44299999999998</v>
      </c>
      <c r="AH828" s="85">
        <v>0</v>
      </c>
      <c r="AI828" s="85">
        <v>0</v>
      </c>
      <c r="AJ828" s="85">
        <v>0</v>
      </c>
      <c r="AK828" s="85">
        <v>0</v>
      </c>
      <c r="AL828" s="85">
        <v>0</v>
      </c>
      <c r="AM828" s="85">
        <v>0</v>
      </c>
      <c r="AN828" s="85">
        <v>0</v>
      </c>
      <c r="AO828" s="85">
        <v>0</v>
      </c>
      <c r="AP828" s="85">
        <v>0</v>
      </c>
      <c r="AQ828" s="85">
        <v>0</v>
      </c>
      <c r="AR828" s="85">
        <v>0</v>
      </c>
      <c r="AS828" s="85">
        <v>0</v>
      </c>
      <c r="AT828" s="85">
        <v>0</v>
      </c>
      <c r="AU828" s="85">
        <v>0</v>
      </c>
      <c r="AV828" s="85">
        <v>0</v>
      </c>
      <c r="AW828" s="85">
        <v>0</v>
      </c>
      <c r="AX828" s="85">
        <v>0</v>
      </c>
      <c r="AY828" s="85">
        <v>0</v>
      </c>
      <c r="AZ828" s="85">
        <v>138.44300000000001</v>
      </c>
      <c r="BA828" s="85">
        <v>0</v>
      </c>
      <c r="BB828" s="89">
        <v>0</v>
      </c>
      <c r="BC828" s="89">
        <v>138.44300000000001</v>
      </c>
      <c r="BD828" s="37">
        <v>0</v>
      </c>
      <c r="BE828" s="37">
        <v>0</v>
      </c>
      <c r="BF828" s="279">
        <v>10300</v>
      </c>
      <c r="BG828" s="37">
        <v>2580</v>
      </c>
      <c r="BH828" s="37">
        <v>17800</v>
      </c>
      <c r="BI828" s="37">
        <v>0</v>
      </c>
      <c r="BJ828" s="283">
        <v>30680</v>
      </c>
      <c r="BK828" s="161"/>
      <c r="BL828" s="294"/>
      <c r="BM828"/>
      <c r="BN828"/>
      <c r="BO828"/>
      <c r="BP828"/>
      <c r="BQ828"/>
      <c r="BR828"/>
      <c r="BS828"/>
      <c r="BT828"/>
      <c r="BU828"/>
      <c r="BV828"/>
      <c r="BW828"/>
      <c r="BX828"/>
      <c r="BY828"/>
      <c r="BZ828"/>
      <c r="CA828"/>
      <c r="CB828"/>
      <c r="CC828"/>
      <c r="CD828"/>
      <c r="CE828"/>
      <c r="CF828"/>
      <c r="CG828"/>
      <c r="CH828"/>
      <c r="CI828"/>
      <c r="CJ828"/>
    </row>
    <row r="829" spans="1:88" s="32" customFormat="1" ht="15" customHeight="1" x14ac:dyDescent="0.35">
      <c r="A829" s="473"/>
      <c r="B829" s="313">
        <v>13090</v>
      </c>
      <c r="C829" s="8" t="s">
        <v>57</v>
      </c>
      <c r="D829" s="18">
        <v>1</v>
      </c>
      <c r="E829" s="251"/>
      <c r="F829" s="82"/>
      <c r="G829" s="79"/>
      <c r="H829" s="90"/>
      <c r="I829" s="85"/>
      <c r="J829" s="85"/>
      <c r="K829" s="85"/>
      <c r="L829" s="85"/>
      <c r="M829" s="85"/>
      <c r="N829" s="85"/>
      <c r="O829" s="85"/>
      <c r="P829" s="85"/>
      <c r="Q829" s="85"/>
      <c r="R829" s="85"/>
      <c r="S829" s="89"/>
      <c r="T829" s="89" t="s">
        <v>1124</v>
      </c>
      <c r="U829" s="85"/>
      <c r="V829" s="85"/>
      <c r="W829" s="85"/>
      <c r="X829" s="89" t="s">
        <v>1124</v>
      </c>
      <c r="Y829" s="79"/>
      <c r="Z829" s="79"/>
      <c r="AA829" s="94"/>
      <c r="AB829" s="79" t="s">
        <v>1124</v>
      </c>
      <c r="AC829" s="85"/>
      <c r="AD829" s="85"/>
      <c r="AE829" s="85"/>
      <c r="AF829" s="85"/>
      <c r="AG829" s="85" t="s">
        <v>1124</v>
      </c>
      <c r="AH829" s="85"/>
      <c r="AI829" s="85"/>
      <c r="AJ829" s="85"/>
      <c r="AK829" s="85"/>
      <c r="AL829" s="85"/>
      <c r="AM829" s="85"/>
      <c r="AN829" s="85"/>
      <c r="AO829" s="85"/>
      <c r="AP829" s="85"/>
      <c r="AQ829" s="85"/>
      <c r="AR829" s="85" t="s">
        <v>1124</v>
      </c>
      <c r="AS829" s="85"/>
      <c r="AT829" s="85"/>
      <c r="AU829" s="85"/>
      <c r="AV829" s="85"/>
      <c r="AW829" s="85"/>
      <c r="AX829" s="85"/>
      <c r="AY829" s="85"/>
      <c r="AZ829" s="85"/>
      <c r="BA829" s="85"/>
      <c r="BB829" s="89"/>
      <c r="BC829" s="89" t="s">
        <v>1124</v>
      </c>
      <c r="BD829" s="37"/>
      <c r="BE829" s="37"/>
      <c r="BF829" s="279"/>
      <c r="BG829" s="37"/>
      <c r="BH829" s="37"/>
      <c r="BI829" s="37"/>
      <c r="BJ829" s="283"/>
      <c r="BK829" s="161"/>
      <c r="BL829" s="294"/>
      <c r="BM829"/>
      <c r="BN829"/>
      <c r="BO829"/>
      <c r="BP829"/>
      <c r="BQ829"/>
      <c r="BR829"/>
      <c r="BS829"/>
      <c r="BT829"/>
      <c r="BU829"/>
      <c r="BV829"/>
      <c r="BW829"/>
      <c r="BX829"/>
      <c r="BY829"/>
      <c r="BZ829"/>
      <c r="CA829"/>
      <c r="CB829"/>
      <c r="CC829"/>
      <c r="CD829"/>
      <c r="CE829"/>
      <c r="CF829"/>
      <c r="CG829"/>
      <c r="CH829"/>
      <c r="CI829"/>
      <c r="CJ829"/>
    </row>
    <row r="830" spans="1:88" s="32" customFormat="1" ht="15" customHeight="1" x14ac:dyDescent="0.35">
      <c r="A830" s="473"/>
      <c r="B830" s="313">
        <v>12010</v>
      </c>
      <c r="C830" s="8" t="s">
        <v>29</v>
      </c>
      <c r="D830" s="18">
        <v>1</v>
      </c>
      <c r="E830" s="251">
        <v>389</v>
      </c>
      <c r="F830" s="82">
        <v>2.2898799313893652</v>
      </c>
      <c r="G830" s="79">
        <v>890.76329331046304</v>
      </c>
      <c r="H830" s="90">
        <v>5.8879999999999999</v>
      </c>
      <c r="I830" s="85">
        <v>5.3410000000000002</v>
      </c>
      <c r="J830" s="85">
        <v>6.0990000000000002</v>
      </c>
      <c r="K830" s="85">
        <v>5.31</v>
      </c>
      <c r="L830" s="85">
        <v>5.6769999999999996</v>
      </c>
      <c r="M830" s="85">
        <v>5.5709999999999997</v>
      </c>
      <c r="N830" s="85">
        <v>6.2969999999999997</v>
      </c>
      <c r="O830" s="85">
        <v>6.3259999999999996</v>
      </c>
      <c r="P830" s="85">
        <v>6.2130000000000001</v>
      </c>
      <c r="Q830" s="85">
        <v>10.73</v>
      </c>
      <c r="R830" s="85">
        <v>9.0399999999999991</v>
      </c>
      <c r="S830" s="89">
        <v>9.6080000000000005</v>
      </c>
      <c r="T830" s="89">
        <v>82.1</v>
      </c>
      <c r="U830" s="85">
        <v>0</v>
      </c>
      <c r="V830" s="85">
        <v>0</v>
      </c>
      <c r="W830" s="85">
        <v>82.1</v>
      </c>
      <c r="X830" s="89">
        <v>82.1</v>
      </c>
      <c r="Y830" s="79">
        <v>0</v>
      </c>
      <c r="Z830" s="79">
        <v>0</v>
      </c>
      <c r="AA830" s="94">
        <v>1</v>
      </c>
      <c r="AB830" s="79">
        <v>1</v>
      </c>
      <c r="AC830" s="85">
        <v>60.124130841121499</v>
      </c>
      <c r="AD830" s="85">
        <v>7.4643691588785046</v>
      </c>
      <c r="AE830" s="85">
        <v>14.511499999999991</v>
      </c>
      <c r="AF830" s="85">
        <v>0</v>
      </c>
      <c r="AG830" s="85">
        <v>82.1</v>
      </c>
      <c r="AH830" s="85">
        <v>0</v>
      </c>
      <c r="AI830" s="85">
        <v>0</v>
      </c>
      <c r="AJ830" s="85">
        <v>0</v>
      </c>
      <c r="AK830" s="85">
        <v>0</v>
      </c>
      <c r="AL830" s="85">
        <v>0</v>
      </c>
      <c r="AM830" s="85">
        <v>0</v>
      </c>
      <c r="AN830" s="85">
        <v>0</v>
      </c>
      <c r="AO830" s="85">
        <v>0</v>
      </c>
      <c r="AP830" s="85">
        <v>0</v>
      </c>
      <c r="AQ830" s="85">
        <v>0</v>
      </c>
      <c r="AR830" s="85">
        <v>0</v>
      </c>
      <c r="AS830" s="85">
        <v>82.1</v>
      </c>
      <c r="AT830" s="85">
        <v>0</v>
      </c>
      <c r="AU830" s="85">
        <v>0</v>
      </c>
      <c r="AV830" s="85">
        <v>0</v>
      </c>
      <c r="AW830" s="85">
        <v>0</v>
      </c>
      <c r="AX830" s="85">
        <v>0</v>
      </c>
      <c r="AY830" s="85">
        <v>0</v>
      </c>
      <c r="AZ830" s="85">
        <v>0</v>
      </c>
      <c r="BA830" s="85">
        <v>0</v>
      </c>
      <c r="BB830" s="89">
        <v>0</v>
      </c>
      <c r="BC830" s="89">
        <v>82.1</v>
      </c>
      <c r="BD830" s="37">
        <v>0</v>
      </c>
      <c r="BE830" s="37">
        <v>0</v>
      </c>
      <c r="BF830" s="279">
        <v>40196</v>
      </c>
      <c r="BG830" s="37">
        <v>3251</v>
      </c>
      <c r="BH830" s="37">
        <v>20077</v>
      </c>
      <c r="BI830" s="37">
        <v>17454</v>
      </c>
      <c r="BJ830" s="283">
        <v>80978</v>
      </c>
      <c r="BK830" s="161"/>
      <c r="BL830" s="294"/>
      <c r="BM830"/>
      <c r="BN830"/>
      <c r="BO830"/>
      <c r="BP830"/>
      <c r="BQ830"/>
      <c r="BR830"/>
      <c r="BS830"/>
      <c r="BT830"/>
      <c r="BU830"/>
      <c r="BV830"/>
      <c r="BW830"/>
      <c r="BX830"/>
      <c r="BY830"/>
      <c r="BZ830"/>
      <c r="CA830"/>
      <c r="CB830"/>
      <c r="CC830"/>
      <c r="CD830"/>
      <c r="CE830"/>
      <c r="CF830"/>
      <c r="CG830"/>
      <c r="CH830"/>
      <c r="CI830"/>
      <c r="CJ830"/>
    </row>
    <row r="831" spans="1:88" s="32" customFormat="1" ht="15" customHeight="1" x14ac:dyDescent="0.35">
      <c r="A831" s="473"/>
      <c r="B831" s="313">
        <v>54100</v>
      </c>
      <c r="C831" s="8" t="s">
        <v>553</v>
      </c>
      <c r="D831" s="18">
        <v>16</v>
      </c>
      <c r="E831" s="251"/>
      <c r="F831" s="82"/>
      <c r="G831" s="79"/>
      <c r="H831" s="90"/>
      <c r="I831" s="85"/>
      <c r="J831" s="85"/>
      <c r="K831" s="85"/>
      <c r="L831" s="85"/>
      <c r="M831" s="85"/>
      <c r="N831" s="85"/>
      <c r="O831" s="85"/>
      <c r="P831" s="85"/>
      <c r="Q831" s="85"/>
      <c r="R831" s="85"/>
      <c r="S831" s="89"/>
      <c r="T831" s="89" t="s">
        <v>1124</v>
      </c>
      <c r="U831" s="85"/>
      <c r="V831" s="85"/>
      <c r="W831" s="85"/>
      <c r="X831" s="89" t="s">
        <v>1124</v>
      </c>
      <c r="Y831" s="79"/>
      <c r="Z831" s="79"/>
      <c r="AA831" s="94"/>
      <c r="AB831" s="79" t="s">
        <v>1124</v>
      </c>
      <c r="AC831" s="85"/>
      <c r="AD831" s="85"/>
      <c r="AE831" s="85"/>
      <c r="AF831" s="85"/>
      <c r="AG831" s="85" t="s">
        <v>1124</v>
      </c>
      <c r="AH831" s="85"/>
      <c r="AI831" s="85"/>
      <c r="AJ831" s="85"/>
      <c r="AK831" s="85"/>
      <c r="AL831" s="85"/>
      <c r="AM831" s="85"/>
      <c r="AN831" s="85"/>
      <c r="AO831" s="85"/>
      <c r="AP831" s="85"/>
      <c r="AQ831" s="85"/>
      <c r="AR831" s="85" t="s">
        <v>1124</v>
      </c>
      <c r="AS831" s="85"/>
      <c r="AT831" s="85"/>
      <c r="AU831" s="85"/>
      <c r="AV831" s="85"/>
      <c r="AW831" s="85"/>
      <c r="AX831" s="85"/>
      <c r="AY831" s="85"/>
      <c r="AZ831" s="85"/>
      <c r="BA831" s="85"/>
      <c r="BB831" s="89"/>
      <c r="BC831" s="89" t="s">
        <v>1124</v>
      </c>
      <c r="BD831" s="37"/>
      <c r="BE831" s="37"/>
      <c r="BF831" s="279"/>
      <c r="BG831" s="37"/>
      <c r="BH831" s="37"/>
      <c r="BI831" s="37"/>
      <c r="BJ831" s="283"/>
      <c r="BK831" s="161"/>
      <c r="BL831" s="294"/>
      <c r="BM831"/>
      <c r="BN831"/>
      <c r="BO831"/>
      <c r="BP831"/>
      <c r="BQ831"/>
      <c r="BR831"/>
      <c r="BS831"/>
      <c r="BT831"/>
      <c r="BU831"/>
      <c r="BV831"/>
      <c r="BW831"/>
      <c r="BX831"/>
      <c r="BY831"/>
      <c r="BZ831"/>
      <c r="CA831"/>
      <c r="CB831"/>
      <c r="CC831"/>
      <c r="CD831"/>
      <c r="CE831"/>
      <c r="CF831"/>
      <c r="CG831"/>
      <c r="CH831"/>
      <c r="CI831"/>
      <c r="CJ831"/>
    </row>
    <row r="832" spans="1:88" s="32" customFormat="1" ht="15" customHeight="1" x14ac:dyDescent="0.35">
      <c r="A832" s="473"/>
      <c r="B832" s="313">
        <v>54048</v>
      </c>
      <c r="C832" s="8" t="s">
        <v>547</v>
      </c>
      <c r="D832" s="18">
        <v>16</v>
      </c>
      <c r="E832" s="251"/>
      <c r="F832" s="82"/>
      <c r="G832" s="79"/>
      <c r="H832" s="90"/>
      <c r="I832" s="85"/>
      <c r="J832" s="85"/>
      <c r="K832" s="85"/>
      <c r="L832" s="85"/>
      <c r="M832" s="85"/>
      <c r="N832" s="85"/>
      <c r="O832" s="85"/>
      <c r="P832" s="85"/>
      <c r="Q832" s="85"/>
      <c r="R832" s="85"/>
      <c r="S832" s="89"/>
      <c r="T832" s="89" t="s">
        <v>1124</v>
      </c>
      <c r="U832" s="85"/>
      <c r="V832" s="85"/>
      <c r="W832" s="85"/>
      <c r="X832" s="89" t="s">
        <v>1124</v>
      </c>
      <c r="Y832" s="79"/>
      <c r="Z832" s="79"/>
      <c r="AA832" s="94"/>
      <c r="AB832" s="79" t="s">
        <v>1124</v>
      </c>
      <c r="AC832" s="85"/>
      <c r="AD832" s="85"/>
      <c r="AE832" s="85"/>
      <c r="AF832" s="85"/>
      <c r="AG832" s="85" t="s">
        <v>1124</v>
      </c>
      <c r="AH832" s="85"/>
      <c r="AI832" s="85"/>
      <c r="AJ832" s="85"/>
      <c r="AK832" s="85"/>
      <c r="AL832" s="85"/>
      <c r="AM832" s="85"/>
      <c r="AN832" s="85"/>
      <c r="AO832" s="85"/>
      <c r="AP832" s="85"/>
      <c r="AQ832" s="85"/>
      <c r="AR832" s="85" t="s">
        <v>1124</v>
      </c>
      <c r="AS832" s="85"/>
      <c r="AT832" s="85"/>
      <c r="AU832" s="85"/>
      <c r="AV832" s="85"/>
      <c r="AW832" s="85"/>
      <c r="AX832" s="85"/>
      <c r="AY832" s="85"/>
      <c r="AZ832" s="85"/>
      <c r="BA832" s="85"/>
      <c r="BB832" s="89"/>
      <c r="BC832" s="89" t="s">
        <v>1124</v>
      </c>
      <c r="BD832" s="37"/>
      <c r="BE832" s="37"/>
      <c r="BF832" s="279"/>
      <c r="BG832" s="37"/>
      <c r="BH832" s="37"/>
      <c r="BI832" s="37"/>
      <c r="BJ832" s="283"/>
      <c r="BK832" s="161"/>
      <c r="BL832" s="294"/>
      <c r="BM832"/>
      <c r="BN832"/>
      <c r="BO832"/>
      <c r="BP832"/>
      <c r="BQ832"/>
      <c r="BR832"/>
      <c r="BS832"/>
      <c r="BT832"/>
      <c r="BU832"/>
      <c r="BV832"/>
      <c r="BW832"/>
      <c r="BX832"/>
      <c r="BY832"/>
      <c r="BZ832"/>
      <c r="CA832"/>
      <c r="CB832"/>
      <c r="CC832"/>
      <c r="CD832"/>
      <c r="CE832"/>
      <c r="CF832"/>
      <c r="CG832"/>
      <c r="CH832"/>
      <c r="CI832"/>
      <c r="CJ832"/>
    </row>
    <row r="833" spans="1:88" s="32" customFormat="1" ht="15" customHeight="1" x14ac:dyDescent="0.35">
      <c r="A833" s="473"/>
      <c r="B833" s="313">
        <v>52045</v>
      </c>
      <c r="C833" s="8" t="s">
        <v>520</v>
      </c>
      <c r="D833" s="18">
        <v>14</v>
      </c>
      <c r="E833" s="251"/>
      <c r="F833" s="82"/>
      <c r="G833" s="79"/>
      <c r="H833" s="90"/>
      <c r="I833" s="85"/>
      <c r="J833" s="85"/>
      <c r="K833" s="85"/>
      <c r="L833" s="85"/>
      <c r="M833" s="85"/>
      <c r="N833" s="85"/>
      <c r="O833" s="85"/>
      <c r="P833" s="85"/>
      <c r="Q833" s="85"/>
      <c r="R833" s="85"/>
      <c r="S833" s="89"/>
      <c r="T833" s="89" t="s">
        <v>1124</v>
      </c>
      <c r="U833" s="85"/>
      <c r="V833" s="85"/>
      <c r="W833" s="85"/>
      <c r="X833" s="89" t="s">
        <v>1124</v>
      </c>
      <c r="Y833" s="79"/>
      <c r="Z833" s="79"/>
      <c r="AA833" s="94"/>
      <c r="AB833" s="79" t="s">
        <v>1124</v>
      </c>
      <c r="AC833" s="85"/>
      <c r="AD833" s="85"/>
      <c r="AE833" s="85"/>
      <c r="AF833" s="85"/>
      <c r="AG833" s="85" t="s">
        <v>1124</v>
      </c>
      <c r="AH833" s="85"/>
      <c r="AI833" s="85"/>
      <c r="AJ833" s="85"/>
      <c r="AK833" s="85"/>
      <c r="AL833" s="85"/>
      <c r="AM833" s="85"/>
      <c r="AN833" s="85"/>
      <c r="AO833" s="85"/>
      <c r="AP833" s="85"/>
      <c r="AQ833" s="85"/>
      <c r="AR833" s="85" t="s">
        <v>1124</v>
      </c>
      <c r="AS833" s="85"/>
      <c r="AT833" s="85"/>
      <c r="AU833" s="85"/>
      <c r="AV833" s="85"/>
      <c r="AW833" s="85"/>
      <c r="AX833" s="85"/>
      <c r="AY833" s="85"/>
      <c r="AZ833" s="85"/>
      <c r="BA833" s="85"/>
      <c r="BB833" s="89"/>
      <c r="BC833" s="89" t="s">
        <v>1124</v>
      </c>
      <c r="BD833" s="37"/>
      <c r="BE833" s="37"/>
      <c r="BF833" s="279"/>
      <c r="BG833" s="37"/>
      <c r="BH833" s="37"/>
      <c r="BI833" s="37"/>
      <c r="BJ833" s="283"/>
      <c r="BK833" s="161"/>
      <c r="BL833" s="294"/>
      <c r="BM833"/>
      <c r="BN833"/>
      <c r="BO833"/>
      <c r="BP833"/>
      <c r="BQ833"/>
      <c r="BR833"/>
      <c r="BS833"/>
      <c r="BT833"/>
      <c r="BU833"/>
      <c r="BV833"/>
      <c r="BW833"/>
      <c r="BX833"/>
      <c r="BY833"/>
      <c r="BZ833"/>
      <c r="CA833"/>
      <c r="CB833"/>
      <c r="CC833"/>
      <c r="CD833"/>
      <c r="CE833"/>
      <c r="CF833"/>
      <c r="CG833"/>
      <c r="CH833"/>
      <c r="CI833"/>
      <c r="CJ833"/>
    </row>
    <row r="834" spans="1:88" s="32" customFormat="1" ht="15" customHeight="1" x14ac:dyDescent="0.35">
      <c r="A834" s="473"/>
      <c r="B834" s="313">
        <v>46095</v>
      </c>
      <c r="C834" s="8" t="s">
        <v>444</v>
      </c>
      <c r="D834" s="18">
        <v>5</v>
      </c>
      <c r="E834" s="251"/>
      <c r="F834" s="82"/>
      <c r="G834" s="79"/>
      <c r="H834" s="90"/>
      <c r="I834" s="85"/>
      <c r="J834" s="85"/>
      <c r="K834" s="85"/>
      <c r="L834" s="85"/>
      <c r="M834" s="85"/>
      <c r="N834" s="85"/>
      <c r="O834" s="85"/>
      <c r="P834" s="85"/>
      <c r="Q834" s="85"/>
      <c r="R834" s="85"/>
      <c r="S834" s="89"/>
      <c r="T834" s="89" t="s">
        <v>1124</v>
      </c>
      <c r="U834" s="85"/>
      <c r="V834" s="85"/>
      <c r="W834" s="85"/>
      <c r="X834" s="89" t="s">
        <v>1124</v>
      </c>
      <c r="Y834" s="79"/>
      <c r="Z834" s="79"/>
      <c r="AA834" s="94"/>
      <c r="AB834" s="79" t="s">
        <v>1124</v>
      </c>
      <c r="AC834" s="85"/>
      <c r="AD834" s="85"/>
      <c r="AE834" s="85"/>
      <c r="AF834" s="85"/>
      <c r="AG834" s="85" t="s">
        <v>1124</v>
      </c>
      <c r="AH834" s="85"/>
      <c r="AI834" s="85"/>
      <c r="AJ834" s="85"/>
      <c r="AK834" s="85"/>
      <c r="AL834" s="85"/>
      <c r="AM834" s="85"/>
      <c r="AN834" s="85"/>
      <c r="AO834" s="85"/>
      <c r="AP834" s="85"/>
      <c r="AQ834" s="85"/>
      <c r="AR834" s="85" t="s">
        <v>1124</v>
      </c>
      <c r="AS834" s="85"/>
      <c r="AT834" s="85"/>
      <c r="AU834" s="85"/>
      <c r="AV834" s="85"/>
      <c r="AW834" s="85"/>
      <c r="AX834" s="85"/>
      <c r="AY834" s="85"/>
      <c r="AZ834" s="85"/>
      <c r="BA834" s="85"/>
      <c r="BB834" s="89"/>
      <c r="BC834" s="89" t="s">
        <v>1124</v>
      </c>
      <c r="BD834" s="37"/>
      <c r="BE834" s="37"/>
      <c r="BF834" s="279"/>
      <c r="BG834" s="37"/>
      <c r="BH834" s="37"/>
      <c r="BI834" s="37"/>
      <c r="BJ834" s="283"/>
      <c r="BK834" s="161"/>
      <c r="BL834" s="294"/>
      <c r="BM834"/>
      <c r="BN834"/>
      <c r="BO834"/>
      <c r="BP834"/>
      <c r="BQ834"/>
      <c r="BR834"/>
      <c r="BS834"/>
      <c r="BT834"/>
      <c r="BU834"/>
      <c r="BV834"/>
      <c r="BW834"/>
      <c r="BX834"/>
      <c r="BY834"/>
      <c r="BZ834"/>
      <c r="CA834"/>
      <c r="CB834"/>
      <c r="CC834"/>
      <c r="CD834"/>
      <c r="CE834"/>
      <c r="CF834"/>
      <c r="CG834"/>
      <c r="CH834"/>
      <c r="CI834"/>
      <c r="CJ834"/>
    </row>
    <row r="835" spans="1:88" s="32" customFormat="1" ht="15" customHeight="1" x14ac:dyDescent="0.35">
      <c r="A835" s="473"/>
      <c r="B835" s="313">
        <v>15005</v>
      </c>
      <c r="C835" s="8" t="s">
        <v>77</v>
      </c>
      <c r="D835" s="18">
        <v>3</v>
      </c>
      <c r="E835" s="251"/>
      <c r="F835" s="82"/>
      <c r="G835" s="79"/>
      <c r="H835" s="90"/>
      <c r="I835" s="85"/>
      <c r="J835" s="85"/>
      <c r="K835" s="85"/>
      <c r="L835" s="85"/>
      <c r="M835" s="85"/>
      <c r="N835" s="85"/>
      <c r="O835" s="85"/>
      <c r="P835" s="85"/>
      <c r="Q835" s="85"/>
      <c r="R835" s="85"/>
      <c r="S835" s="89"/>
      <c r="T835" s="89" t="s">
        <v>1124</v>
      </c>
      <c r="U835" s="85"/>
      <c r="V835" s="85"/>
      <c r="W835" s="85"/>
      <c r="X835" s="89" t="s">
        <v>1124</v>
      </c>
      <c r="Y835" s="79"/>
      <c r="Z835" s="79"/>
      <c r="AA835" s="94"/>
      <c r="AB835" s="79" t="s">
        <v>1124</v>
      </c>
      <c r="AC835" s="85"/>
      <c r="AD835" s="85"/>
      <c r="AE835" s="85"/>
      <c r="AF835" s="85"/>
      <c r="AG835" s="85" t="s">
        <v>1124</v>
      </c>
      <c r="AH835" s="85"/>
      <c r="AI835" s="85"/>
      <c r="AJ835" s="85"/>
      <c r="AK835" s="85"/>
      <c r="AL835" s="85"/>
      <c r="AM835" s="85"/>
      <c r="AN835" s="85"/>
      <c r="AO835" s="85"/>
      <c r="AP835" s="85"/>
      <c r="AQ835" s="85"/>
      <c r="AR835" s="85" t="s">
        <v>1124</v>
      </c>
      <c r="AS835" s="85"/>
      <c r="AT835" s="85"/>
      <c r="AU835" s="85"/>
      <c r="AV835" s="85"/>
      <c r="AW835" s="85"/>
      <c r="AX835" s="85"/>
      <c r="AY835" s="85"/>
      <c r="AZ835" s="85"/>
      <c r="BA835" s="85"/>
      <c r="BB835" s="89"/>
      <c r="BC835" s="89" t="s">
        <v>1124</v>
      </c>
      <c r="BD835" s="37"/>
      <c r="BE835" s="37"/>
      <c r="BF835" s="279"/>
      <c r="BG835" s="37"/>
      <c r="BH835" s="37"/>
      <c r="BI835" s="37"/>
      <c r="BJ835" s="283"/>
      <c r="BK835" s="161"/>
      <c r="BL835" s="294"/>
      <c r="BM835"/>
      <c r="BN835"/>
      <c r="BO835"/>
      <c r="BP835"/>
      <c r="BQ835"/>
      <c r="BR835"/>
      <c r="BS835"/>
      <c r="BT835"/>
      <c r="BU835"/>
      <c r="BV835"/>
      <c r="BW835"/>
      <c r="BX835"/>
      <c r="BY835"/>
      <c r="BZ835"/>
      <c r="CA835"/>
      <c r="CB835"/>
      <c r="CC835"/>
      <c r="CD835"/>
      <c r="CE835"/>
      <c r="CF835"/>
      <c r="CG835"/>
      <c r="CH835"/>
      <c r="CI835"/>
      <c r="CJ835"/>
    </row>
    <row r="836" spans="1:88" s="32" customFormat="1" ht="15" customHeight="1" x14ac:dyDescent="0.35">
      <c r="A836" s="473"/>
      <c r="B836" s="313">
        <v>26063</v>
      </c>
      <c r="C836" s="8" t="s">
        <v>176</v>
      </c>
      <c r="D836" s="18">
        <v>12</v>
      </c>
      <c r="E836" s="251"/>
      <c r="F836" s="82"/>
      <c r="G836" s="79"/>
      <c r="H836" s="90"/>
      <c r="I836" s="85"/>
      <c r="J836" s="85"/>
      <c r="K836" s="85"/>
      <c r="L836" s="85"/>
      <c r="M836" s="85"/>
      <c r="N836" s="85"/>
      <c r="O836" s="85"/>
      <c r="P836" s="85"/>
      <c r="Q836" s="85"/>
      <c r="R836" s="85"/>
      <c r="S836" s="89"/>
      <c r="T836" s="89" t="s">
        <v>1124</v>
      </c>
      <c r="U836" s="85"/>
      <c r="V836" s="85"/>
      <c r="W836" s="85"/>
      <c r="X836" s="89" t="s">
        <v>1124</v>
      </c>
      <c r="Y836" s="79"/>
      <c r="Z836" s="79"/>
      <c r="AA836" s="94"/>
      <c r="AB836" s="79" t="s">
        <v>1124</v>
      </c>
      <c r="AC836" s="85"/>
      <c r="AD836" s="85"/>
      <c r="AE836" s="85"/>
      <c r="AF836" s="85"/>
      <c r="AG836" s="85" t="s">
        <v>1124</v>
      </c>
      <c r="AH836" s="85"/>
      <c r="AI836" s="85"/>
      <c r="AJ836" s="85"/>
      <c r="AK836" s="85"/>
      <c r="AL836" s="85"/>
      <c r="AM836" s="85"/>
      <c r="AN836" s="85"/>
      <c r="AO836" s="85"/>
      <c r="AP836" s="85"/>
      <c r="AQ836" s="85"/>
      <c r="AR836" s="85" t="s">
        <v>1124</v>
      </c>
      <c r="AS836" s="85"/>
      <c r="AT836" s="85"/>
      <c r="AU836" s="85"/>
      <c r="AV836" s="85"/>
      <c r="AW836" s="85"/>
      <c r="AX836" s="85"/>
      <c r="AY836" s="85"/>
      <c r="AZ836" s="85"/>
      <c r="BA836" s="85"/>
      <c r="BB836" s="89"/>
      <c r="BC836" s="89" t="s">
        <v>1124</v>
      </c>
      <c r="BD836" s="37"/>
      <c r="BE836" s="37"/>
      <c r="BF836" s="279"/>
      <c r="BG836" s="37"/>
      <c r="BH836" s="37"/>
      <c r="BI836" s="37"/>
      <c r="BJ836" s="283"/>
      <c r="BK836" s="161"/>
      <c r="BL836" s="294"/>
      <c r="BM836"/>
      <c r="BN836"/>
      <c r="BO836"/>
      <c r="BP836"/>
      <c r="BQ836"/>
      <c r="BR836"/>
      <c r="BS836"/>
      <c r="BT836"/>
      <c r="BU836"/>
      <c r="BV836"/>
      <c r="BW836"/>
      <c r="BX836"/>
      <c r="BY836"/>
      <c r="BZ836"/>
      <c r="CA836"/>
      <c r="CB836"/>
      <c r="CC836"/>
      <c r="CD836"/>
      <c r="CE836"/>
      <c r="CF836"/>
      <c r="CG836"/>
      <c r="CH836"/>
      <c r="CI836"/>
      <c r="CJ836"/>
    </row>
    <row r="837" spans="1:88" s="32" customFormat="1" ht="15" customHeight="1" x14ac:dyDescent="0.35">
      <c r="A837" s="473"/>
      <c r="B837" s="313">
        <v>67040</v>
      </c>
      <c r="C837" s="8" t="s">
        <v>669</v>
      </c>
      <c r="D837" s="18">
        <v>16</v>
      </c>
      <c r="E837" s="251">
        <v>747</v>
      </c>
      <c r="F837" s="82">
        <v>2.5688847235238987</v>
      </c>
      <c r="G837" s="79">
        <v>1918.9568884723524</v>
      </c>
      <c r="H837" s="90">
        <v>16.916</v>
      </c>
      <c r="I837" s="85">
        <v>15.523</v>
      </c>
      <c r="J837" s="85">
        <v>16.79</v>
      </c>
      <c r="K837" s="85">
        <v>17.757000000000001</v>
      </c>
      <c r="L837" s="85">
        <v>23.14</v>
      </c>
      <c r="M837" s="85">
        <v>18.321000000000002</v>
      </c>
      <c r="N837" s="85">
        <v>28.959</v>
      </c>
      <c r="O837" s="85">
        <v>24.655999999999999</v>
      </c>
      <c r="P837" s="85">
        <v>20.254000000000001</v>
      </c>
      <c r="Q837" s="85">
        <v>14.33</v>
      </c>
      <c r="R837" s="85">
        <v>18.509</v>
      </c>
      <c r="S837" s="89">
        <v>18.619</v>
      </c>
      <c r="T837" s="89">
        <v>233.77400000000003</v>
      </c>
      <c r="U837" s="85">
        <v>0</v>
      </c>
      <c r="V837" s="85">
        <v>233.774</v>
      </c>
      <c r="W837" s="85">
        <v>0</v>
      </c>
      <c r="X837" s="89">
        <v>233.774</v>
      </c>
      <c r="Y837" s="79">
        <v>0</v>
      </c>
      <c r="Z837" s="79">
        <v>1</v>
      </c>
      <c r="AA837" s="94">
        <v>0</v>
      </c>
      <c r="AB837" s="79">
        <v>1</v>
      </c>
      <c r="AC837" s="85">
        <v>131.03700000000001</v>
      </c>
      <c r="AD837" s="85">
        <v>40.715999999999994</v>
      </c>
      <c r="AE837" s="85">
        <v>62.021000000000001</v>
      </c>
      <c r="AF837" s="85">
        <v>0</v>
      </c>
      <c r="AG837" s="85">
        <v>233.774</v>
      </c>
      <c r="AH837" s="85">
        <v>0</v>
      </c>
      <c r="AI837" s="85">
        <v>0</v>
      </c>
      <c r="AJ837" s="85">
        <v>0</v>
      </c>
      <c r="AK837" s="85">
        <v>0</v>
      </c>
      <c r="AL837" s="85">
        <v>0</v>
      </c>
      <c r="AM837" s="85">
        <v>0</v>
      </c>
      <c r="AN837" s="85">
        <v>0</v>
      </c>
      <c r="AO837" s="85">
        <v>0</v>
      </c>
      <c r="AP837" s="85">
        <v>0</v>
      </c>
      <c r="AQ837" s="85">
        <v>0</v>
      </c>
      <c r="AR837" s="85">
        <v>0</v>
      </c>
      <c r="AS837" s="85">
        <v>0</v>
      </c>
      <c r="AT837" s="85">
        <v>0</v>
      </c>
      <c r="AU837" s="85">
        <v>0</v>
      </c>
      <c r="AV837" s="85">
        <v>0</v>
      </c>
      <c r="AW837" s="85">
        <v>0</v>
      </c>
      <c r="AX837" s="85">
        <v>0</v>
      </c>
      <c r="AY837" s="85">
        <v>233.774</v>
      </c>
      <c r="AZ837" s="85">
        <v>0</v>
      </c>
      <c r="BA837" s="85">
        <v>0</v>
      </c>
      <c r="BB837" s="89">
        <v>0</v>
      </c>
      <c r="BC837" s="89">
        <v>233.774</v>
      </c>
      <c r="BD837" s="37">
        <v>0</v>
      </c>
      <c r="BE837" s="37">
        <v>0</v>
      </c>
      <c r="BF837" s="279">
        <v>0</v>
      </c>
      <c r="BG837" s="37">
        <v>0</v>
      </c>
      <c r="BH837" s="37">
        <v>0</v>
      </c>
      <c r="BI837" s="37">
        <v>207470</v>
      </c>
      <c r="BJ837" s="283">
        <v>207470</v>
      </c>
      <c r="BK837" s="161"/>
      <c r="BL837" s="294"/>
      <c r="BM837"/>
      <c r="BN837"/>
      <c r="BO837"/>
      <c r="BP837"/>
      <c r="BQ837"/>
      <c r="BR837"/>
      <c r="BS837"/>
      <c r="BT837"/>
      <c r="BU837"/>
      <c r="BV837"/>
      <c r="BW837"/>
      <c r="BX837"/>
      <c r="BY837"/>
      <c r="BZ837"/>
      <c r="CA837"/>
      <c r="CB837"/>
      <c r="CC837"/>
      <c r="CD837"/>
      <c r="CE837"/>
      <c r="CF837"/>
      <c r="CG837"/>
      <c r="CH837"/>
      <c r="CI837"/>
      <c r="CJ837"/>
    </row>
    <row r="838" spans="1:88" s="32" customFormat="1" ht="15" customHeight="1" x14ac:dyDescent="0.35">
      <c r="A838" s="473"/>
      <c r="B838" s="313">
        <v>41012</v>
      </c>
      <c r="C838" s="8" t="s">
        <v>365</v>
      </c>
      <c r="D838" s="18">
        <v>5</v>
      </c>
      <c r="E838" s="251">
        <v>167</v>
      </c>
      <c r="F838" s="82">
        <v>1.8021108179419525</v>
      </c>
      <c r="G838" s="79">
        <v>300.95250659630608</v>
      </c>
      <c r="H838" s="90">
        <v>5.7910000000000004</v>
      </c>
      <c r="I838" s="85">
        <v>5.0259999999999998</v>
      </c>
      <c r="J838" s="85">
        <v>7.415</v>
      </c>
      <c r="K838" s="85">
        <v>4.4080000000000004</v>
      </c>
      <c r="L838" s="85">
        <v>5</v>
      </c>
      <c r="M838" s="85">
        <v>4.6470000000000002</v>
      </c>
      <c r="N838" s="85">
        <v>5.7960000000000003</v>
      </c>
      <c r="O838" s="85">
        <v>2.794</v>
      </c>
      <c r="P838" s="85">
        <v>4.3929999999999998</v>
      </c>
      <c r="Q838" s="85">
        <v>2.4460000000000002</v>
      </c>
      <c r="R838" s="85">
        <v>2.6040000000000001</v>
      </c>
      <c r="S838" s="89">
        <v>2.8239999999999998</v>
      </c>
      <c r="T838" s="89">
        <v>53.143999999999991</v>
      </c>
      <c r="U838" s="85">
        <v>0</v>
      </c>
      <c r="V838" s="85">
        <v>53.143999999999991</v>
      </c>
      <c r="W838" s="85">
        <v>0</v>
      </c>
      <c r="X838" s="89">
        <v>53.143999999999991</v>
      </c>
      <c r="Y838" s="79">
        <v>0</v>
      </c>
      <c r="Z838" s="79">
        <v>1</v>
      </c>
      <c r="AA838" s="94">
        <v>0</v>
      </c>
      <c r="AB838" s="79">
        <v>1</v>
      </c>
      <c r="AC838" s="85">
        <v>17.007000000000001</v>
      </c>
      <c r="AD838" s="85">
        <v>6.4754539285714294</v>
      </c>
      <c r="AE838" s="85">
        <v>29.661546071428557</v>
      </c>
      <c r="AF838" s="85">
        <v>0</v>
      </c>
      <c r="AG838" s="85">
        <v>53.143999999999991</v>
      </c>
      <c r="AH838" s="85">
        <v>0</v>
      </c>
      <c r="AI838" s="85">
        <v>0</v>
      </c>
      <c r="AJ838" s="85">
        <v>0</v>
      </c>
      <c r="AK838" s="85">
        <v>0</v>
      </c>
      <c r="AL838" s="85">
        <v>0</v>
      </c>
      <c r="AM838" s="85">
        <v>0</v>
      </c>
      <c r="AN838" s="85">
        <v>0</v>
      </c>
      <c r="AO838" s="85">
        <v>0</v>
      </c>
      <c r="AP838" s="85">
        <v>0</v>
      </c>
      <c r="AQ838" s="85">
        <v>0</v>
      </c>
      <c r="AR838" s="85">
        <v>0</v>
      </c>
      <c r="AS838" s="85">
        <v>0</v>
      </c>
      <c r="AT838" s="85">
        <v>0</v>
      </c>
      <c r="AU838" s="85">
        <v>0</v>
      </c>
      <c r="AV838" s="85">
        <v>0</v>
      </c>
      <c r="AW838" s="85">
        <v>0</v>
      </c>
      <c r="AX838" s="85">
        <v>0</v>
      </c>
      <c r="AY838" s="85">
        <v>0</v>
      </c>
      <c r="AZ838" s="85">
        <v>0</v>
      </c>
      <c r="BA838" s="85">
        <v>53.143999999999991</v>
      </c>
      <c r="BB838" s="89">
        <v>0</v>
      </c>
      <c r="BC838" s="89">
        <v>53.143999999999991</v>
      </c>
      <c r="BD838" s="37">
        <v>0</v>
      </c>
      <c r="BE838" s="37">
        <v>432322</v>
      </c>
      <c r="BF838" s="279">
        <v>10878</v>
      </c>
      <c r="BG838" s="37">
        <v>12355</v>
      </c>
      <c r="BH838" s="37">
        <v>4932</v>
      </c>
      <c r="BI838" s="37">
        <v>0</v>
      </c>
      <c r="BJ838" s="283">
        <v>28165</v>
      </c>
      <c r="BK838" s="161"/>
      <c r="BL838" s="294"/>
      <c r="BM838"/>
      <c r="BN838"/>
      <c r="BO838"/>
      <c r="BP838"/>
      <c r="BQ838"/>
      <c r="BR838"/>
      <c r="BS838"/>
      <c r="BT838"/>
      <c r="BU838"/>
      <c r="BV838"/>
      <c r="BW838"/>
      <c r="BX838"/>
      <c r="BY838"/>
      <c r="BZ838"/>
      <c r="CA838"/>
      <c r="CB838"/>
      <c r="CC838"/>
      <c r="CD838"/>
      <c r="CE838"/>
      <c r="CF838"/>
      <c r="CG838"/>
      <c r="CH838"/>
      <c r="CI838"/>
      <c r="CJ838"/>
    </row>
    <row r="839" spans="1:88" s="32" customFormat="1" ht="15" customHeight="1" x14ac:dyDescent="0.35">
      <c r="A839" s="473"/>
      <c r="B839" s="313">
        <v>63013</v>
      </c>
      <c r="C839" s="8" t="s">
        <v>635</v>
      </c>
      <c r="D839" s="18">
        <v>14</v>
      </c>
      <c r="E839" s="251">
        <v>1627</v>
      </c>
      <c r="F839" s="82">
        <v>2.3019406392694064</v>
      </c>
      <c r="G839" s="79">
        <v>3745.2574200913241</v>
      </c>
      <c r="H839" s="90">
        <v>32.121000000000002</v>
      </c>
      <c r="I839" s="85">
        <v>32.982999999999997</v>
      </c>
      <c r="J839" s="85">
        <v>34.801000000000002</v>
      </c>
      <c r="K839" s="85">
        <v>34.094000000000001</v>
      </c>
      <c r="L839" s="85">
        <v>39.009</v>
      </c>
      <c r="M839" s="85">
        <v>42.503</v>
      </c>
      <c r="N839" s="85">
        <v>44.73</v>
      </c>
      <c r="O839" s="85">
        <v>45.572000000000003</v>
      </c>
      <c r="P839" s="85">
        <v>35.131</v>
      </c>
      <c r="Q839" s="85">
        <v>40.012999999999998</v>
      </c>
      <c r="R839" s="85">
        <v>32.94</v>
      </c>
      <c r="S839" s="89">
        <v>34.314</v>
      </c>
      <c r="T839" s="89">
        <v>448.21099999999996</v>
      </c>
      <c r="U839" s="85">
        <v>0</v>
      </c>
      <c r="V839" s="85">
        <v>448.21100000000001</v>
      </c>
      <c r="W839" s="85">
        <v>0</v>
      </c>
      <c r="X839" s="89">
        <v>448.21100000000001</v>
      </c>
      <c r="Y839" s="79">
        <v>0</v>
      </c>
      <c r="Z839" s="79">
        <v>1</v>
      </c>
      <c r="AA839" s="94">
        <v>0</v>
      </c>
      <c r="AB839" s="79">
        <v>1</v>
      </c>
      <c r="AC839" s="85">
        <v>345.28300000000002</v>
      </c>
      <c r="AD839" s="85">
        <v>14.787000000000001</v>
      </c>
      <c r="AE839" s="85">
        <v>88.141000000000005</v>
      </c>
      <c r="AF839" s="85">
        <v>0</v>
      </c>
      <c r="AG839" s="85">
        <v>448.21100000000001</v>
      </c>
      <c r="AH839" s="85">
        <v>0</v>
      </c>
      <c r="AI839" s="85">
        <v>0</v>
      </c>
      <c r="AJ839" s="85">
        <v>0</v>
      </c>
      <c r="AK839" s="85">
        <v>0</v>
      </c>
      <c r="AL839" s="85">
        <v>0</v>
      </c>
      <c r="AM839" s="85">
        <v>0</v>
      </c>
      <c r="AN839" s="85">
        <v>0</v>
      </c>
      <c r="AO839" s="85">
        <v>0</v>
      </c>
      <c r="AP839" s="85">
        <v>0</v>
      </c>
      <c r="AQ839" s="85">
        <v>0</v>
      </c>
      <c r="AR839" s="85">
        <v>0</v>
      </c>
      <c r="AS839" s="85">
        <v>0</v>
      </c>
      <c r="AT839" s="85">
        <v>0</v>
      </c>
      <c r="AU839" s="85">
        <v>0</v>
      </c>
      <c r="AV839" s="85">
        <v>0</v>
      </c>
      <c r="AW839" s="85">
        <v>0</v>
      </c>
      <c r="AX839" s="85">
        <v>0</v>
      </c>
      <c r="AY839" s="85">
        <v>0</v>
      </c>
      <c r="AZ839" s="85">
        <v>448.21100000000001</v>
      </c>
      <c r="BA839" s="85">
        <v>0</v>
      </c>
      <c r="BB839" s="89">
        <v>0</v>
      </c>
      <c r="BC839" s="89">
        <v>448.21100000000001</v>
      </c>
      <c r="BD839" s="37">
        <v>0</v>
      </c>
      <c r="BE839" s="37">
        <v>0</v>
      </c>
      <c r="BF839" s="279">
        <v>58308</v>
      </c>
      <c r="BG839" s="37">
        <v>0</v>
      </c>
      <c r="BH839" s="37">
        <v>43820</v>
      </c>
      <c r="BI839" s="37">
        <v>2482</v>
      </c>
      <c r="BJ839" s="283">
        <v>104610</v>
      </c>
      <c r="BK839" s="161"/>
      <c r="BL839" s="294"/>
      <c r="BM839"/>
      <c r="BN839"/>
      <c r="BO839"/>
      <c r="BP839"/>
      <c r="BQ839"/>
      <c r="BR839"/>
      <c r="BS839"/>
      <c r="BT839"/>
      <c r="BU839"/>
      <c r="BV839"/>
      <c r="BW839"/>
      <c r="BX839"/>
      <c r="BY839"/>
      <c r="BZ839"/>
      <c r="CA839"/>
      <c r="CB839"/>
      <c r="CC839"/>
      <c r="CD839"/>
      <c r="CE839"/>
      <c r="CF839"/>
      <c r="CG839"/>
      <c r="CH839"/>
      <c r="CI839"/>
      <c r="CJ839"/>
    </row>
    <row r="840" spans="1:88" s="32" customFormat="1" ht="15" customHeight="1" x14ac:dyDescent="0.35">
      <c r="A840" s="473"/>
      <c r="B840" s="313">
        <v>31140</v>
      </c>
      <c r="C840" s="8" t="s">
        <v>255</v>
      </c>
      <c r="D840" s="18">
        <v>12</v>
      </c>
      <c r="E840" s="251">
        <v>204</v>
      </c>
      <c r="F840" s="82">
        <v>2.0299999999999998</v>
      </c>
      <c r="G840" s="79">
        <v>414.11999999999995</v>
      </c>
      <c r="H840" s="90">
        <v>2.9940000000000002</v>
      </c>
      <c r="I840" s="85">
        <v>2.58</v>
      </c>
      <c r="J840" s="85">
        <v>3.2730000000000001</v>
      </c>
      <c r="K840" s="85">
        <v>3.44</v>
      </c>
      <c r="L840" s="85">
        <v>3.86</v>
      </c>
      <c r="M840" s="85">
        <v>3.43</v>
      </c>
      <c r="N840" s="85">
        <v>3.8330000000000002</v>
      </c>
      <c r="O840" s="85">
        <v>3.2530000000000001</v>
      </c>
      <c r="P840" s="85">
        <v>2.9569999999999999</v>
      </c>
      <c r="Q840" s="85">
        <v>3.0310000000000001</v>
      </c>
      <c r="R840" s="85">
        <v>2.7269999999999999</v>
      </c>
      <c r="S840" s="89">
        <v>2.8149999999999999</v>
      </c>
      <c r="T840" s="89">
        <v>38.192999999999991</v>
      </c>
      <c r="U840" s="85">
        <v>0</v>
      </c>
      <c r="V840" s="85">
        <v>38.192999999999998</v>
      </c>
      <c r="W840" s="85">
        <v>0</v>
      </c>
      <c r="X840" s="89">
        <v>38.192999999999998</v>
      </c>
      <c r="Y840" s="79">
        <v>0</v>
      </c>
      <c r="Z840" s="79">
        <v>1</v>
      </c>
      <c r="AA840" s="94">
        <v>0</v>
      </c>
      <c r="AB840" s="79">
        <v>1</v>
      </c>
      <c r="AC840" s="85">
        <v>19.135999999999999</v>
      </c>
      <c r="AD840" s="85">
        <v>2.2610000000000001</v>
      </c>
      <c r="AE840" s="85">
        <v>16.795999999999999</v>
      </c>
      <c r="AF840" s="85">
        <v>0</v>
      </c>
      <c r="AG840" s="85">
        <v>38.192999999999998</v>
      </c>
      <c r="AH840" s="85">
        <v>0</v>
      </c>
      <c r="AI840" s="85">
        <v>0</v>
      </c>
      <c r="AJ840" s="85">
        <v>0</v>
      </c>
      <c r="AK840" s="85">
        <v>0</v>
      </c>
      <c r="AL840" s="85">
        <v>0</v>
      </c>
      <c r="AM840" s="85">
        <v>0</v>
      </c>
      <c r="AN840" s="85">
        <v>0</v>
      </c>
      <c r="AO840" s="85">
        <v>0</v>
      </c>
      <c r="AP840" s="85">
        <v>0</v>
      </c>
      <c r="AQ840" s="85">
        <v>0</v>
      </c>
      <c r="AR840" s="85">
        <v>0</v>
      </c>
      <c r="AS840" s="85">
        <v>0</v>
      </c>
      <c r="AT840" s="85">
        <v>0</v>
      </c>
      <c r="AU840" s="85">
        <v>0</v>
      </c>
      <c r="AV840" s="85">
        <v>0</v>
      </c>
      <c r="AW840" s="85">
        <v>0</v>
      </c>
      <c r="AX840" s="85">
        <v>0</v>
      </c>
      <c r="AY840" s="85">
        <v>38.192999999999998</v>
      </c>
      <c r="AZ840" s="85">
        <v>0</v>
      </c>
      <c r="BA840" s="85">
        <v>0</v>
      </c>
      <c r="BB840" s="89">
        <v>0</v>
      </c>
      <c r="BC840" s="89">
        <v>38.192999999999998</v>
      </c>
      <c r="BD840" s="37">
        <v>0</v>
      </c>
      <c r="BE840" s="37">
        <v>0</v>
      </c>
      <c r="BF840" s="279">
        <v>4971</v>
      </c>
      <c r="BG840" s="37">
        <v>11812</v>
      </c>
      <c r="BH840" s="37">
        <v>5995</v>
      </c>
      <c r="BI840" s="37">
        <v>0</v>
      </c>
      <c r="BJ840" s="283">
        <v>22778</v>
      </c>
      <c r="BK840" s="161"/>
      <c r="BL840" s="294"/>
      <c r="BM840"/>
      <c r="BN840"/>
      <c r="BO840"/>
      <c r="BP840"/>
      <c r="BQ840"/>
      <c r="BR840"/>
      <c r="BS840"/>
      <c r="BT840"/>
      <c r="BU840"/>
      <c r="BV840"/>
      <c r="BW840"/>
      <c r="BX840"/>
      <c r="BY840"/>
      <c r="BZ840"/>
      <c r="CA840"/>
      <c r="CB840"/>
      <c r="CC840"/>
      <c r="CD840"/>
      <c r="CE840"/>
      <c r="CF840"/>
      <c r="CG840"/>
      <c r="CH840"/>
      <c r="CI840"/>
      <c r="CJ840"/>
    </row>
    <row r="841" spans="1:88" s="32" customFormat="1" ht="15" customHeight="1" x14ac:dyDescent="0.35">
      <c r="A841" s="473"/>
      <c r="B841" s="313">
        <v>31025</v>
      </c>
      <c r="C841" s="8" t="s">
        <v>240</v>
      </c>
      <c r="D841" s="18">
        <v>12</v>
      </c>
      <c r="E841" s="251"/>
      <c r="F841" s="82"/>
      <c r="G841" s="79"/>
      <c r="H841" s="90"/>
      <c r="I841" s="85"/>
      <c r="J841" s="85"/>
      <c r="K841" s="85"/>
      <c r="L841" s="85"/>
      <c r="M841" s="85"/>
      <c r="N841" s="85"/>
      <c r="O841" s="85"/>
      <c r="P841" s="85"/>
      <c r="Q841" s="85"/>
      <c r="R841" s="85"/>
      <c r="S841" s="89"/>
      <c r="T841" s="89" t="s">
        <v>1124</v>
      </c>
      <c r="U841" s="85"/>
      <c r="V841" s="85"/>
      <c r="W841" s="85"/>
      <c r="X841" s="89" t="s">
        <v>1124</v>
      </c>
      <c r="Y841" s="79"/>
      <c r="Z841" s="79"/>
      <c r="AA841" s="94"/>
      <c r="AB841" s="79" t="s">
        <v>1124</v>
      </c>
      <c r="AC841" s="85"/>
      <c r="AD841" s="85"/>
      <c r="AE841" s="85"/>
      <c r="AF841" s="85"/>
      <c r="AG841" s="85" t="s">
        <v>1124</v>
      </c>
      <c r="AH841" s="85"/>
      <c r="AI841" s="85"/>
      <c r="AJ841" s="85"/>
      <c r="AK841" s="85"/>
      <c r="AL841" s="85"/>
      <c r="AM841" s="85"/>
      <c r="AN841" s="85"/>
      <c r="AO841" s="85"/>
      <c r="AP841" s="85"/>
      <c r="AQ841" s="85"/>
      <c r="AR841" s="85" t="s">
        <v>1124</v>
      </c>
      <c r="AS841" s="85"/>
      <c r="AT841" s="85"/>
      <c r="AU841" s="85"/>
      <c r="AV841" s="85"/>
      <c r="AW841" s="85"/>
      <c r="AX841" s="85"/>
      <c r="AY841" s="85"/>
      <c r="AZ841" s="85"/>
      <c r="BA841" s="85"/>
      <c r="BB841" s="89"/>
      <c r="BC841" s="89" t="s">
        <v>1124</v>
      </c>
      <c r="BD841" s="37"/>
      <c r="BE841" s="37"/>
      <c r="BF841" s="279"/>
      <c r="BG841" s="37"/>
      <c r="BH841" s="37"/>
      <c r="BI841" s="37"/>
      <c r="BJ841" s="283"/>
      <c r="BK841" s="161"/>
      <c r="BL841" s="294"/>
      <c r="BM841"/>
      <c r="BN841"/>
      <c r="BO841"/>
      <c r="BP841"/>
      <c r="BQ841"/>
      <c r="BR841"/>
      <c r="BS841"/>
      <c r="BT841"/>
      <c r="BU841"/>
      <c r="BV841"/>
      <c r="BW841"/>
      <c r="BX841"/>
      <c r="BY841"/>
      <c r="BZ841"/>
      <c r="CA841"/>
      <c r="CB841"/>
      <c r="CC841"/>
      <c r="CD841"/>
      <c r="CE841"/>
      <c r="CF841"/>
      <c r="CG841"/>
      <c r="CH841"/>
      <c r="CI841"/>
      <c r="CJ841"/>
    </row>
    <row r="842" spans="1:88" s="32" customFormat="1" ht="15" customHeight="1" x14ac:dyDescent="0.35">
      <c r="A842" s="473"/>
      <c r="B842" s="313">
        <v>68040</v>
      </c>
      <c r="C842" s="8" t="s">
        <v>680</v>
      </c>
      <c r="D842" s="18">
        <v>16</v>
      </c>
      <c r="E842" s="251"/>
      <c r="F842" s="82"/>
      <c r="G842" s="79"/>
      <c r="H842" s="90"/>
      <c r="I842" s="85"/>
      <c r="J842" s="85"/>
      <c r="K842" s="85"/>
      <c r="L842" s="85"/>
      <c r="M842" s="85"/>
      <c r="N842" s="85"/>
      <c r="O842" s="85"/>
      <c r="P842" s="85"/>
      <c r="Q842" s="85"/>
      <c r="R842" s="85"/>
      <c r="S842" s="89"/>
      <c r="T842" s="89" t="s">
        <v>1124</v>
      </c>
      <c r="U842" s="85"/>
      <c r="V842" s="85"/>
      <c r="W842" s="85"/>
      <c r="X842" s="89" t="s">
        <v>1124</v>
      </c>
      <c r="Y842" s="79"/>
      <c r="Z842" s="79"/>
      <c r="AA842" s="94"/>
      <c r="AB842" s="79" t="s">
        <v>1124</v>
      </c>
      <c r="AC842" s="85"/>
      <c r="AD842" s="85"/>
      <c r="AE842" s="85"/>
      <c r="AF842" s="85"/>
      <c r="AG842" s="85" t="s">
        <v>1124</v>
      </c>
      <c r="AH842" s="85"/>
      <c r="AI842" s="85"/>
      <c r="AJ842" s="85"/>
      <c r="AK842" s="85"/>
      <c r="AL842" s="85"/>
      <c r="AM842" s="85"/>
      <c r="AN842" s="85"/>
      <c r="AO842" s="85"/>
      <c r="AP842" s="85"/>
      <c r="AQ842" s="85"/>
      <c r="AR842" s="85" t="s">
        <v>1124</v>
      </c>
      <c r="AS842" s="85"/>
      <c r="AT842" s="85"/>
      <c r="AU842" s="85"/>
      <c r="AV842" s="85"/>
      <c r="AW842" s="85"/>
      <c r="AX842" s="85"/>
      <c r="AY842" s="85"/>
      <c r="AZ842" s="85"/>
      <c r="BA842" s="85"/>
      <c r="BB842" s="89"/>
      <c r="BC842" s="89" t="s">
        <v>1124</v>
      </c>
      <c r="BD842" s="37"/>
      <c r="BE842" s="37"/>
      <c r="BF842" s="279"/>
      <c r="BG842" s="37"/>
      <c r="BH842" s="37"/>
      <c r="BI842" s="37"/>
      <c r="BJ842" s="283"/>
      <c r="BK842" s="161"/>
      <c r="BL842" s="294"/>
      <c r="BM842"/>
      <c r="BN842"/>
      <c r="BO842"/>
      <c r="BP842"/>
      <c r="BQ842"/>
      <c r="BR842"/>
      <c r="BS842"/>
      <c r="BT842"/>
      <c r="BU842"/>
      <c r="BV842"/>
      <c r="BW842"/>
      <c r="BX842"/>
      <c r="BY842"/>
      <c r="BZ842"/>
      <c r="CA842"/>
      <c r="CB842"/>
      <c r="CC842"/>
      <c r="CD842"/>
      <c r="CE842"/>
      <c r="CF842"/>
      <c r="CG842"/>
      <c r="CH842"/>
      <c r="CI842"/>
      <c r="CJ842"/>
    </row>
    <row r="843" spans="1:88" s="32" customFormat="1" ht="15" customHeight="1" x14ac:dyDescent="0.35">
      <c r="A843" s="473"/>
      <c r="B843" s="313">
        <v>33065</v>
      </c>
      <c r="C843" s="8" t="s">
        <v>276</v>
      </c>
      <c r="D843" s="18">
        <v>12</v>
      </c>
      <c r="E843" s="251"/>
      <c r="F843" s="82"/>
      <c r="G843" s="79"/>
      <c r="H843" s="90"/>
      <c r="I843" s="85"/>
      <c r="J843" s="85"/>
      <c r="K843" s="85"/>
      <c r="L843" s="85"/>
      <c r="M843" s="85"/>
      <c r="N843" s="85"/>
      <c r="O843" s="85"/>
      <c r="P843" s="85"/>
      <c r="Q843" s="85"/>
      <c r="R843" s="85"/>
      <c r="S843" s="89"/>
      <c r="T843" s="89" t="s">
        <v>1124</v>
      </c>
      <c r="U843" s="85"/>
      <c r="V843" s="85"/>
      <c r="W843" s="85"/>
      <c r="X843" s="89" t="s">
        <v>1124</v>
      </c>
      <c r="Y843" s="79"/>
      <c r="Z843" s="79"/>
      <c r="AA843" s="94"/>
      <c r="AB843" s="79" t="s">
        <v>1124</v>
      </c>
      <c r="AC843" s="85"/>
      <c r="AD843" s="85"/>
      <c r="AE843" s="85"/>
      <c r="AF843" s="85"/>
      <c r="AG843" s="85" t="s">
        <v>1124</v>
      </c>
      <c r="AH843" s="85"/>
      <c r="AI843" s="85"/>
      <c r="AJ843" s="85"/>
      <c r="AK843" s="85"/>
      <c r="AL843" s="85"/>
      <c r="AM843" s="85"/>
      <c r="AN843" s="85"/>
      <c r="AO843" s="85"/>
      <c r="AP843" s="85"/>
      <c r="AQ843" s="85"/>
      <c r="AR843" s="85" t="s">
        <v>1124</v>
      </c>
      <c r="AS843" s="85"/>
      <c r="AT843" s="85"/>
      <c r="AU843" s="85"/>
      <c r="AV843" s="85"/>
      <c r="AW843" s="85"/>
      <c r="AX843" s="85"/>
      <c r="AY843" s="85"/>
      <c r="AZ843" s="85"/>
      <c r="BA843" s="85"/>
      <c r="BB843" s="89"/>
      <c r="BC843" s="89" t="s">
        <v>1124</v>
      </c>
      <c r="BD843" s="37"/>
      <c r="BE843" s="37"/>
      <c r="BF843" s="279"/>
      <c r="BG843" s="37"/>
      <c r="BH843" s="37"/>
      <c r="BI843" s="37"/>
      <c r="BJ843" s="283"/>
      <c r="BK843" s="161"/>
      <c r="BL843" s="294"/>
      <c r="BM843"/>
      <c r="BN843"/>
      <c r="BO843"/>
      <c r="BP843"/>
      <c r="BQ843"/>
      <c r="BR843"/>
      <c r="BS843"/>
      <c r="BT843"/>
      <c r="BU843"/>
      <c r="BV843"/>
      <c r="BW843"/>
      <c r="BX843"/>
      <c r="BY843"/>
      <c r="BZ843"/>
      <c r="CA843"/>
      <c r="CB843"/>
      <c r="CC843"/>
      <c r="CD843"/>
      <c r="CE843"/>
      <c r="CF843"/>
      <c r="CG843"/>
      <c r="CH843"/>
      <c r="CI843"/>
      <c r="CJ843"/>
    </row>
    <row r="844" spans="1:88" s="32" customFormat="1" ht="15" customHeight="1" x14ac:dyDescent="0.35">
      <c r="A844" s="473"/>
      <c r="B844" s="313">
        <v>57033</v>
      </c>
      <c r="C844" s="8" t="s">
        <v>586</v>
      </c>
      <c r="D844" s="18">
        <v>16</v>
      </c>
      <c r="E844" s="251"/>
      <c r="F844" s="82"/>
      <c r="G844" s="79"/>
      <c r="H844" s="90"/>
      <c r="I844" s="85"/>
      <c r="J844" s="85"/>
      <c r="K844" s="85"/>
      <c r="L844" s="85"/>
      <c r="M844" s="85"/>
      <c r="N844" s="85"/>
      <c r="O844" s="85"/>
      <c r="P844" s="85"/>
      <c r="Q844" s="85"/>
      <c r="R844" s="85"/>
      <c r="S844" s="89"/>
      <c r="T844" s="89" t="s">
        <v>1124</v>
      </c>
      <c r="U844" s="85"/>
      <c r="V844" s="85"/>
      <c r="W844" s="85"/>
      <c r="X844" s="89" t="s">
        <v>1124</v>
      </c>
      <c r="Y844" s="79"/>
      <c r="Z844" s="79"/>
      <c r="AA844" s="94"/>
      <c r="AB844" s="79" t="s">
        <v>1124</v>
      </c>
      <c r="AC844" s="85"/>
      <c r="AD844" s="85"/>
      <c r="AE844" s="85"/>
      <c r="AF844" s="85"/>
      <c r="AG844" s="85" t="s">
        <v>1124</v>
      </c>
      <c r="AH844" s="85"/>
      <c r="AI844" s="85"/>
      <c r="AJ844" s="85"/>
      <c r="AK844" s="85"/>
      <c r="AL844" s="85"/>
      <c r="AM844" s="85"/>
      <c r="AN844" s="85"/>
      <c r="AO844" s="85"/>
      <c r="AP844" s="85"/>
      <c r="AQ844" s="85"/>
      <c r="AR844" s="85" t="s">
        <v>1124</v>
      </c>
      <c r="AS844" s="85"/>
      <c r="AT844" s="85"/>
      <c r="AU844" s="85"/>
      <c r="AV844" s="85"/>
      <c r="AW844" s="85"/>
      <c r="AX844" s="85"/>
      <c r="AY844" s="85"/>
      <c r="AZ844" s="85"/>
      <c r="BA844" s="85"/>
      <c r="BB844" s="89"/>
      <c r="BC844" s="89" t="s">
        <v>1124</v>
      </c>
      <c r="BD844" s="37"/>
      <c r="BE844" s="37"/>
      <c r="BF844" s="279"/>
      <c r="BG844" s="37"/>
      <c r="BH844" s="37"/>
      <c r="BI844" s="37"/>
      <c r="BJ844" s="283"/>
      <c r="BK844" s="161"/>
      <c r="BL844" s="294"/>
      <c r="BM844"/>
      <c r="BN844"/>
      <c r="BO844"/>
      <c r="BP844"/>
      <c r="BQ844"/>
      <c r="BR844"/>
      <c r="BS844"/>
      <c r="BT844"/>
      <c r="BU844"/>
      <c r="BV844"/>
      <c r="BW844"/>
      <c r="BX844"/>
      <c r="BY844"/>
      <c r="BZ844"/>
      <c r="CA844"/>
      <c r="CB844"/>
      <c r="CC844"/>
      <c r="CD844"/>
      <c r="CE844"/>
      <c r="CF844"/>
      <c r="CG844"/>
      <c r="CH844"/>
      <c r="CI844"/>
      <c r="CJ844"/>
    </row>
    <row r="845" spans="1:88" s="32" customFormat="1" ht="15" customHeight="1" x14ac:dyDescent="0.35">
      <c r="A845" s="473"/>
      <c r="B845" s="313">
        <v>31100</v>
      </c>
      <c r="C845" s="8" t="s">
        <v>250</v>
      </c>
      <c r="D845" s="18">
        <v>12</v>
      </c>
      <c r="E845" s="251"/>
      <c r="F845" s="82"/>
      <c r="G845" s="79"/>
      <c r="H845" s="90"/>
      <c r="I845" s="85"/>
      <c r="J845" s="85"/>
      <c r="K845" s="85"/>
      <c r="L845" s="85"/>
      <c r="M845" s="85"/>
      <c r="N845" s="85"/>
      <c r="O845" s="85"/>
      <c r="P845" s="85"/>
      <c r="Q845" s="85"/>
      <c r="R845" s="85"/>
      <c r="S845" s="89"/>
      <c r="T845" s="89" t="s">
        <v>1124</v>
      </c>
      <c r="U845" s="85"/>
      <c r="V845" s="85"/>
      <c r="W845" s="85"/>
      <c r="X845" s="89" t="s">
        <v>1124</v>
      </c>
      <c r="Y845" s="79"/>
      <c r="Z845" s="79"/>
      <c r="AA845" s="94"/>
      <c r="AB845" s="79" t="s">
        <v>1124</v>
      </c>
      <c r="AC845" s="85"/>
      <c r="AD845" s="85"/>
      <c r="AE845" s="85"/>
      <c r="AF845" s="85"/>
      <c r="AG845" s="85" t="s">
        <v>1124</v>
      </c>
      <c r="AH845" s="85"/>
      <c r="AI845" s="85"/>
      <c r="AJ845" s="85"/>
      <c r="AK845" s="85"/>
      <c r="AL845" s="85"/>
      <c r="AM845" s="85"/>
      <c r="AN845" s="85"/>
      <c r="AO845" s="85"/>
      <c r="AP845" s="85"/>
      <c r="AQ845" s="85"/>
      <c r="AR845" s="85" t="s">
        <v>1124</v>
      </c>
      <c r="AS845" s="85"/>
      <c r="AT845" s="85"/>
      <c r="AU845" s="85"/>
      <c r="AV845" s="85"/>
      <c r="AW845" s="85"/>
      <c r="AX845" s="85"/>
      <c r="AY845" s="85"/>
      <c r="AZ845" s="85"/>
      <c r="BA845" s="85"/>
      <c r="BB845" s="89"/>
      <c r="BC845" s="89" t="s">
        <v>1124</v>
      </c>
      <c r="BD845" s="37"/>
      <c r="BE845" s="37"/>
      <c r="BF845" s="279"/>
      <c r="BG845" s="37"/>
      <c r="BH845" s="37"/>
      <c r="BI845" s="37"/>
      <c r="BJ845" s="283"/>
      <c r="BK845" s="161"/>
      <c r="BL845" s="294"/>
      <c r="BM845"/>
      <c r="BN845"/>
      <c r="BO845"/>
      <c r="BP845"/>
      <c r="BQ845"/>
      <c r="BR845"/>
      <c r="BS845"/>
      <c r="BT845"/>
      <c r="BU845"/>
      <c r="BV845"/>
      <c r="BW845"/>
      <c r="BX845"/>
      <c r="BY845"/>
      <c r="BZ845"/>
      <c r="CA845"/>
      <c r="CB845"/>
      <c r="CC845"/>
      <c r="CD845"/>
      <c r="CE845"/>
      <c r="CF845"/>
      <c r="CG845"/>
      <c r="CH845"/>
      <c r="CI845"/>
      <c r="CJ845"/>
    </row>
    <row r="846" spans="1:88" s="32" customFormat="1" ht="15" customHeight="1" x14ac:dyDescent="0.35">
      <c r="A846" s="473"/>
      <c r="B846" s="313">
        <v>8010</v>
      </c>
      <c r="C846" s="8" t="s">
        <v>1087</v>
      </c>
      <c r="D846" s="18">
        <v>1</v>
      </c>
      <c r="E846" s="251"/>
      <c r="F846" s="82"/>
      <c r="G846" s="79"/>
      <c r="H846" s="90"/>
      <c r="I846" s="85"/>
      <c r="J846" s="85"/>
      <c r="K846" s="85"/>
      <c r="L846" s="85"/>
      <c r="M846" s="85"/>
      <c r="N846" s="85"/>
      <c r="O846" s="85"/>
      <c r="P846" s="85"/>
      <c r="Q846" s="85"/>
      <c r="R846" s="85"/>
      <c r="S846" s="89"/>
      <c r="T846" s="89" t="s">
        <v>1124</v>
      </c>
      <c r="U846" s="85"/>
      <c r="V846" s="85"/>
      <c r="W846" s="85"/>
      <c r="X846" s="89" t="s">
        <v>1124</v>
      </c>
      <c r="Y846" s="79"/>
      <c r="Z846" s="79"/>
      <c r="AA846" s="94"/>
      <c r="AB846" s="79" t="s">
        <v>1124</v>
      </c>
      <c r="AC846" s="85"/>
      <c r="AD846" s="85"/>
      <c r="AE846" s="85"/>
      <c r="AF846" s="85"/>
      <c r="AG846" s="85" t="s">
        <v>1124</v>
      </c>
      <c r="AH846" s="85"/>
      <c r="AI846" s="85"/>
      <c r="AJ846" s="85"/>
      <c r="AK846" s="85"/>
      <c r="AL846" s="85"/>
      <c r="AM846" s="85"/>
      <c r="AN846" s="85"/>
      <c r="AO846" s="85"/>
      <c r="AP846" s="85"/>
      <c r="AQ846" s="85"/>
      <c r="AR846" s="85" t="s">
        <v>1124</v>
      </c>
      <c r="AS846" s="85"/>
      <c r="AT846" s="85"/>
      <c r="AU846" s="85"/>
      <c r="AV846" s="85"/>
      <c r="AW846" s="85"/>
      <c r="AX846" s="85"/>
      <c r="AY846" s="85"/>
      <c r="AZ846" s="85"/>
      <c r="BA846" s="85"/>
      <c r="BB846" s="89"/>
      <c r="BC846" s="89" t="s">
        <v>1124</v>
      </c>
      <c r="BD846" s="37"/>
      <c r="BE846" s="37"/>
      <c r="BF846" s="279"/>
      <c r="BG846" s="37"/>
      <c r="BH846" s="37"/>
      <c r="BI846" s="37"/>
      <c r="BJ846" s="283"/>
      <c r="BK846" s="161"/>
      <c r="BL846" s="294"/>
      <c r="BM846"/>
      <c r="BN846"/>
      <c r="BO846"/>
      <c r="BP846"/>
      <c r="BQ846"/>
      <c r="BR846"/>
      <c r="BS846"/>
      <c r="BT846"/>
      <c r="BU846"/>
      <c r="BV846"/>
      <c r="BW846"/>
      <c r="BX846"/>
      <c r="BY846"/>
      <c r="BZ846"/>
      <c r="CA846"/>
      <c r="CB846"/>
      <c r="CC846"/>
      <c r="CD846"/>
      <c r="CE846"/>
      <c r="CF846"/>
      <c r="CG846"/>
      <c r="CH846"/>
      <c r="CI846"/>
      <c r="CJ846"/>
    </row>
    <row r="847" spans="1:88" s="32" customFormat="1" ht="15" customHeight="1" x14ac:dyDescent="0.35">
      <c r="A847" s="473"/>
      <c r="B847" s="313">
        <v>11010</v>
      </c>
      <c r="C847" s="8" t="s">
        <v>18</v>
      </c>
      <c r="D847" s="18">
        <v>1</v>
      </c>
      <c r="E847" s="251">
        <v>573</v>
      </c>
      <c r="F847" s="82">
        <v>2.0931435963777489</v>
      </c>
      <c r="G847" s="79">
        <v>1199.3712807244501</v>
      </c>
      <c r="H847" s="90">
        <v>7.5939999999999994</v>
      </c>
      <c r="I847" s="85">
        <v>6.6630000000000003</v>
      </c>
      <c r="J847" s="85">
        <v>7.5659999999999998</v>
      </c>
      <c r="K847" s="85">
        <v>7.6530000000000005</v>
      </c>
      <c r="L847" s="85">
        <v>8.6959999999999997</v>
      </c>
      <c r="M847" s="85">
        <v>9.0689999999999991</v>
      </c>
      <c r="N847" s="85">
        <v>9.652000000000001</v>
      </c>
      <c r="O847" s="85">
        <v>10.048999999999999</v>
      </c>
      <c r="P847" s="85">
        <v>9.6709999999999994</v>
      </c>
      <c r="Q847" s="85">
        <v>11.286</v>
      </c>
      <c r="R847" s="85">
        <v>9.8119999999999994</v>
      </c>
      <c r="S847" s="89">
        <v>11.41</v>
      </c>
      <c r="T847" s="89">
        <v>109.121</v>
      </c>
      <c r="U847" s="85">
        <v>0</v>
      </c>
      <c r="V847" s="85">
        <v>109.121</v>
      </c>
      <c r="W847" s="85">
        <v>0</v>
      </c>
      <c r="X847" s="89">
        <v>109.121</v>
      </c>
      <c r="Y847" s="79">
        <v>0</v>
      </c>
      <c r="Z847" s="79">
        <v>3</v>
      </c>
      <c r="AA847" s="94">
        <v>0</v>
      </c>
      <c r="AB847" s="79">
        <v>3</v>
      </c>
      <c r="AC847" s="85">
        <v>85.728999999999999</v>
      </c>
      <c r="AD847" s="85">
        <v>10.314999999999996</v>
      </c>
      <c r="AE847" s="85">
        <v>13.077</v>
      </c>
      <c r="AF847" s="85">
        <v>0</v>
      </c>
      <c r="AG847" s="85">
        <v>109.121</v>
      </c>
      <c r="AH847" s="85">
        <v>0</v>
      </c>
      <c r="AI847" s="85">
        <v>0</v>
      </c>
      <c r="AJ847" s="85">
        <v>0</v>
      </c>
      <c r="AK847" s="85">
        <v>0</v>
      </c>
      <c r="AL847" s="85">
        <v>0</v>
      </c>
      <c r="AM847" s="85">
        <v>0</v>
      </c>
      <c r="AN847" s="85">
        <v>0</v>
      </c>
      <c r="AO847" s="85">
        <v>0</v>
      </c>
      <c r="AP847" s="85">
        <v>0</v>
      </c>
      <c r="AQ847" s="85">
        <v>0</v>
      </c>
      <c r="AR847" s="85">
        <v>0</v>
      </c>
      <c r="AS847" s="85">
        <v>0</v>
      </c>
      <c r="AT847" s="85">
        <v>0</v>
      </c>
      <c r="AU847" s="85">
        <v>0</v>
      </c>
      <c r="AV847" s="85">
        <v>0</v>
      </c>
      <c r="AW847" s="85">
        <v>0</v>
      </c>
      <c r="AX847" s="85">
        <v>0</v>
      </c>
      <c r="AY847" s="85">
        <v>109.121</v>
      </c>
      <c r="AZ847" s="85">
        <v>0</v>
      </c>
      <c r="BA847" s="85">
        <v>0</v>
      </c>
      <c r="BB847" s="89">
        <v>0</v>
      </c>
      <c r="BC847" s="89">
        <v>109.121</v>
      </c>
      <c r="BD847" s="37">
        <v>0</v>
      </c>
      <c r="BE847" s="37">
        <v>0</v>
      </c>
      <c r="BF847" s="279">
        <v>13514</v>
      </c>
      <c r="BG847" s="37">
        <v>62458</v>
      </c>
      <c r="BH847" s="37">
        <v>16648</v>
      </c>
      <c r="BI847" s="37">
        <v>11480</v>
      </c>
      <c r="BJ847" s="283">
        <v>104100</v>
      </c>
      <c r="BK847" s="161"/>
      <c r="BL847" s="294"/>
      <c r="BM847"/>
      <c r="BN847"/>
      <c r="BO847"/>
      <c r="BP847"/>
      <c r="BQ847"/>
      <c r="BR847"/>
      <c r="BS847"/>
      <c r="BT847"/>
      <c r="BU847"/>
      <c r="BV847"/>
      <c r="BW847"/>
      <c r="BX847"/>
      <c r="BY847"/>
      <c r="BZ847"/>
      <c r="CA847"/>
      <c r="CB847"/>
      <c r="CC847"/>
      <c r="CD847"/>
      <c r="CE847"/>
      <c r="CF847"/>
      <c r="CG847"/>
      <c r="CH847"/>
      <c r="CI847"/>
      <c r="CJ847"/>
    </row>
    <row r="848" spans="1:88" s="32" customFormat="1" ht="15" customHeight="1" x14ac:dyDescent="0.35">
      <c r="A848" s="473"/>
      <c r="B848" s="313">
        <v>13010</v>
      </c>
      <c r="C848" s="8" t="s">
        <v>42</v>
      </c>
      <c r="D848" s="18">
        <v>1</v>
      </c>
      <c r="E848" s="251"/>
      <c r="F848" s="82"/>
      <c r="G848" s="79"/>
      <c r="H848" s="90"/>
      <c r="I848" s="85"/>
      <c r="J848" s="85"/>
      <c r="K848" s="85"/>
      <c r="L848" s="85"/>
      <c r="M848" s="85"/>
      <c r="N848" s="85"/>
      <c r="O848" s="85"/>
      <c r="P848" s="85"/>
      <c r="Q848" s="85"/>
      <c r="R848" s="85"/>
      <c r="S848" s="89"/>
      <c r="T848" s="89" t="s">
        <v>1124</v>
      </c>
      <c r="U848" s="85"/>
      <c r="V848" s="85"/>
      <c r="W848" s="85"/>
      <c r="X848" s="89" t="s">
        <v>1124</v>
      </c>
      <c r="Y848" s="79"/>
      <c r="Z848" s="79"/>
      <c r="AA848" s="94"/>
      <c r="AB848" s="79" t="s">
        <v>1124</v>
      </c>
      <c r="AC848" s="85"/>
      <c r="AD848" s="85"/>
      <c r="AE848" s="85"/>
      <c r="AF848" s="85"/>
      <c r="AG848" s="85" t="s">
        <v>1124</v>
      </c>
      <c r="AH848" s="85"/>
      <c r="AI848" s="85"/>
      <c r="AJ848" s="85"/>
      <c r="AK848" s="85"/>
      <c r="AL848" s="85"/>
      <c r="AM848" s="85"/>
      <c r="AN848" s="85"/>
      <c r="AO848" s="85"/>
      <c r="AP848" s="85"/>
      <c r="AQ848" s="85"/>
      <c r="AR848" s="85" t="s">
        <v>1124</v>
      </c>
      <c r="AS848" s="85"/>
      <c r="AT848" s="85"/>
      <c r="AU848" s="85"/>
      <c r="AV848" s="85"/>
      <c r="AW848" s="85"/>
      <c r="AX848" s="85"/>
      <c r="AY848" s="85"/>
      <c r="AZ848" s="85"/>
      <c r="BA848" s="85"/>
      <c r="BB848" s="89"/>
      <c r="BC848" s="89" t="s">
        <v>1124</v>
      </c>
      <c r="BD848" s="37"/>
      <c r="BE848" s="37"/>
      <c r="BF848" s="279"/>
      <c r="BG848" s="37"/>
      <c r="BH848" s="37"/>
      <c r="BI848" s="37"/>
      <c r="BJ848" s="283"/>
      <c r="BK848" s="161"/>
      <c r="BL848" s="294"/>
      <c r="BM848"/>
      <c r="BN848"/>
      <c r="BO848"/>
      <c r="BP848"/>
      <c r="BQ848"/>
      <c r="BR848"/>
      <c r="BS848"/>
      <c r="BT848"/>
      <c r="BU848"/>
      <c r="BV848"/>
      <c r="BW848"/>
      <c r="BX848"/>
      <c r="BY848"/>
      <c r="BZ848"/>
      <c r="CA848"/>
      <c r="CB848"/>
      <c r="CC848"/>
      <c r="CD848"/>
      <c r="CE848"/>
      <c r="CF848"/>
      <c r="CG848"/>
      <c r="CH848"/>
      <c r="CI848"/>
      <c r="CJ848"/>
    </row>
    <row r="849" spans="1:88" s="32" customFormat="1" ht="15" customHeight="1" x14ac:dyDescent="0.35">
      <c r="A849" s="473"/>
      <c r="B849" s="313">
        <v>20015</v>
      </c>
      <c r="C849" s="8" t="s">
        <v>140</v>
      </c>
      <c r="D849" s="18">
        <v>3</v>
      </c>
      <c r="E849" s="251"/>
      <c r="F849" s="82"/>
      <c r="G849" s="79"/>
      <c r="H849" s="90"/>
      <c r="I849" s="85"/>
      <c r="J849" s="85"/>
      <c r="K849" s="85"/>
      <c r="L849" s="85"/>
      <c r="M849" s="85"/>
      <c r="N849" s="85"/>
      <c r="O849" s="85"/>
      <c r="P849" s="85"/>
      <c r="Q849" s="85"/>
      <c r="R849" s="85"/>
      <c r="S849" s="89"/>
      <c r="T849" s="89" t="s">
        <v>1124</v>
      </c>
      <c r="U849" s="85"/>
      <c r="V849" s="85"/>
      <c r="W849" s="85"/>
      <c r="X849" s="89" t="s">
        <v>1124</v>
      </c>
      <c r="Y849" s="79"/>
      <c r="Z849" s="79"/>
      <c r="AA849" s="94"/>
      <c r="AB849" s="79" t="s">
        <v>1124</v>
      </c>
      <c r="AC849" s="85"/>
      <c r="AD849" s="85"/>
      <c r="AE849" s="85"/>
      <c r="AF849" s="85"/>
      <c r="AG849" s="85" t="s">
        <v>1124</v>
      </c>
      <c r="AH849" s="85"/>
      <c r="AI849" s="85"/>
      <c r="AJ849" s="85"/>
      <c r="AK849" s="85"/>
      <c r="AL849" s="85"/>
      <c r="AM849" s="85"/>
      <c r="AN849" s="85"/>
      <c r="AO849" s="85"/>
      <c r="AP849" s="85"/>
      <c r="AQ849" s="85"/>
      <c r="AR849" s="85" t="s">
        <v>1124</v>
      </c>
      <c r="AS849" s="85"/>
      <c r="AT849" s="85"/>
      <c r="AU849" s="85"/>
      <c r="AV849" s="85"/>
      <c r="AW849" s="85"/>
      <c r="AX849" s="85"/>
      <c r="AY849" s="85"/>
      <c r="AZ849" s="85"/>
      <c r="BA849" s="85"/>
      <c r="BB849" s="89"/>
      <c r="BC849" s="89" t="s">
        <v>1124</v>
      </c>
      <c r="BD849" s="37"/>
      <c r="BE849" s="37"/>
      <c r="BF849" s="279"/>
      <c r="BG849" s="37"/>
      <c r="BH849" s="37"/>
      <c r="BI849" s="37"/>
      <c r="BJ849" s="283"/>
      <c r="BK849" s="161"/>
      <c r="BL849" s="294"/>
      <c r="BM849"/>
      <c r="BN849"/>
      <c r="BO849"/>
      <c r="BP849"/>
      <c r="BQ849"/>
      <c r="BR849"/>
      <c r="BS849"/>
      <c r="BT849"/>
      <c r="BU849"/>
      <c r="BV849"/>
      <c r="BW849"/>
      <c r="BX849"/>
      <c r="BY849"/>
      <c r="BZ849"/>
      <c r="CA849"/>
      <c r="CB849"/>
      <c r="CC849"/>
      <c r="CD849"/>
      <c r="CE849"/>
      <c r="CF849"/>
      <c r="CG849"/>
      <c r="CH849"/>
      <c r="CI849"/>
      <c r="CJ849"/>
    </row>
    <row r="850" spans="1:88" s="32" customFormat="1" ht="15" customHeight="1" x14ac:dyDescent="0.35">
      <c r="A850" s="473"/>
      <c r="B850" s="313">
        <v>62015</v>
      </c>
      <c r="C850" s="8" t="s">
        <v>620</v>
      </c>
      <c r="D850" s="18">
        <v>14</v>
      </c>
      <c r="E850" s="251">
        <v>755</v>
      </c>
      <c r="F850" s="82">
        <v>1.7460194174757282</v>
      </c>
      <c r="G850" s="79">
        <v>1318.2446601941747</v>
      </c>
      <c r="H850" s="90">
        <v>16.199000000000002</v>
      </c>
      <c r="I850" s="85">
        <v>14.396000000000001</v>
      </c>
      <c r="J850" s="85">
        <v>13.704000000000001</v>
      </c>
      <c r="K850" s="85">
        <v>13.247</v>
      </c>
      <c r="L850" s="85">
        <v>12.989000000000001</v>
      </c>
      <c r="M850" s="85">
        <v>13.323</v>
      </c>
      <c r="N850" s="85">
        <v>18.451000000000001</v>
      </c>
      <c r="O850" s="85">
        <v>16.154</v>
      </c>
      <c r="P850" s="85">
        <v>14.243</v>
      </c>
      <c r="Q850" s="85">
        <v>15.566000000000001</v>
      </c>
      <c r="R850" s="85">
        <v>12.913</v>
      </c>
      <c r="S850" s="89">
        <v>9.56</v>
      </c>
      <c r="T850" s="89">
        <v>170.745</v>
      </c>
      <c r="U850" s="85">
        <v>0</v>
      </c>
      <c r="V850" s="85">
        <v>170.745</v>
      </c>
      <c r="W850" s="85">
        <v>0</v>
      </c>
      <c r="X850" s="89">
        <v>170.745</v>
      </c>
      <c r="Y850" s="79">
        <v>0</v>
      </c>
      <c r="Z850" s="79">
        <v>1</v>
      </c>
      <c r="AA850" s="94">
        <v>0</v>
      </c>
      <c r="AB850" s="79">
        <v>1</v>
      </c>
      <c r="AC850" s="85">
        <v>117.639</v>
      </c>
      <c r="AD850" s="85">
        <v>14.56</v>
      </c>
      <c r="AE850" s="85">
        <v>38.545999999999999</v>
      </c>
      <c r="AF850" s="85">
        <v>0</v>
      </c>
      <c r="AG850" s="85">
        <v>170.74499999999998</v>
      </c>
      <c r="AH850" s="85">
        <v>0</v>
      </c>
      <c r="AI850" s="85">
        <v>0</v>
      </c>
      <c r="AJ850" s="85">
        <v>0</v>
      </c>
      <c r="AK850" s="85">
        <v>0</v>
      </c>
      <c r="AL850" s="85">
        <v>0</v>
      </c>
      <c r="AM850" s="85">
        <v>0</v>
      </c>
      <c r="AN850" s="85">
        <v>0</v>
      </c>
      <c r="AO850" s="85">
        <v>0</v>
      </c>
      <c r="AP850" s="85">
        <v>0</v>
      </c>
      <c r="AQ850" s="85">
        <v>0</v>
      </c>
      <c r="AR850" s="85">
        <v>0</v>
      </c>
      <c r="AS850" s="85">
        <v>0</v>
      </c>
      <c r="AT850" s="85">
        <v>0</v>
      </c>
      <c r="AU850" s="85">
        <v>0</v>
      </c>
      <c r="AV850" s="85">
        <v>0</v>
      </c>
      <c r="AW850" s="85">
        <v>0</v>
      </c>
      <c r="AX850" s="85">
        <v>0</v>
      </c>
      <c r="AY850" s="85">
        <v>0</v>
      </c>
      <c r="AZ850" s="85">
        <v>0</v>
      </c>
      <c r="BA850" s="85">
        <v>30.195</v>
      </c>
      <c r="BB850" s="89">
        <v>140.55000000000001</v>
      </c>
      <c r="BC850" s="89">
        <v>170.745</v>
      </c>
      <c r="BD850" s="37">
        <v>0</v>
      </c>
      <c r="BE850" s="37">
        <v>0</v>
      </c>
      <c r="BF850" s="279">
        <v>5000</v>
      </c>
      <c r="BG850" s="37">
        <v>23000</v>
      </c>
      <c r="BH850" s="37">
        <v>12000</v>
      </c>
      <c r="BI850" s="37">
        <v>0</v>
      </c>
      <c r="BJ850" s="283">
        <v>40000</v>
      </c>
      <c r="BK850" s="161"/>
      <c r="BL850" s="294"/>
      <c r="BM850"/>
      <c r="BN850"/>
      <c r="BO850"/>
      <c r="BP850"/>
      <c r="BQ850"/>
      <c r="BR850"/>
      <c r="BS850"/>
      <c r="BT850"/>
      <c r="BU850"/>
      <c r="BV850"/>
      <c r="BW850"/>
      <c r="BX850"/>
      <c r="BY850"/>
      <c r="BZ850"/>
      <c r="CA850"/>
      <c r="CB850"/>
      <c r="CC850"/>
      <c r="CD850"/>
      <c r="CE850"/>
      <c r="CF850"/>
      <c r="CG850"/>
      <c r="CH850"/>
      <c r="CI850"/>
      <c r="CJ850"/>
    </row>
    <row r="851" spans="1:88" s="32" customFormat="1" ht="15" customHeight="1" x14ac:dyDescent="0.35">
      <c r="A851" s="473"/>
      <c r="B851" s="313">
        <v>17070</v>
      </c>
      <c r="C851" s="8" t="s">
        <v>102</v>
      </c>
      <c r="D851" s="18">
        <v>12</v>
      </c>
      <c r="E851" s="251"/>
      <c r="F851" s="82"/>
      <c r="G851" s="79"/>
      <c r="H851" s="90"/>
      <c r="I851" s="85"/>
      <c r="J851" s="85"/>
      <c r="K851" s="85"/>
      <c r="L851" s="85"/>
      <c r="M851" s="85"/>
      <c r="N851" s="85"/>
      <c r="O851" s="85"/>
      <c r="P851" s="85"/>
      <c r="Q851" s="85"/>
      <c r="R851" s="85"/>
      <c r="S851" s="89"/>
      <c r="T851" s="89" t="s">
        <v>1124</v>
      </c>
      <c r="U851" s="85"/>
      <c r="V851" s="85"/>
      <c r="W851" s="85"/>
      <c r="X851" s="89" t="s">
        <v>1124</v>
      </c>
      <c r="Y851" s="79"/>
      <c r="Z851" s="79"/>
      <c r="AA851" s="94"/>
      <c r="AB851" s="79" t="s">
        <v>1124</v>
      </c>
      <c r="AC851" s="85"/>
      <c r="AD851" s="85"/>
      <c r="AE851" s="85"/>
      <c r="AF851" s="85"/>
      <c r="AG851" s="85" t="s">
        <v>1124</v>
      </c>
      <c r="AH851" s="85"/>
      <c r="AI851" s="85"/>
      <c r="AJ851" s="85"/>
      <c r="AK851" s="85"/>
      <c r="AL851" s="85"/>
      <c r="AM851" s="85"/>
      <c r="AN851" s="85"/>
      <c r="AO851" s="85"/>
      <c r="AP851" s="85"/>
      <c r="AQ851" s="85"/>
      <c r="AR851" s="85" t="s">
        <v>1124</v>
      </c>
      <c r="AS851" s="85"/>
      <c r="AT851" s="85"/>
      <c r="AU851" s="85"/>
      <c r="AV851" s="85"/>
      <c r="AW851" s="85"/>
      <c r="AX851" s="85"/>
      <c r="AY851" s="85"/>
      <c r="AZ851" s="85"/>
      <c r="BA851" s="85"/>
      <c r="BB851" s="89"/>
      <c r="BC851" s="89" t="s">
        <v>1124</v>
      </c>
      <c r="BD851" s="37"/>
      <c r="BE851" s="37"/>
      <c r="BF851" s="279"/>
      <c r="BG851" s="37"/>
      <c r="BH851" s="37"/>
      <c r="BI851" s="37"/>
      <c r="BJ851" s="283"/>
      <c r="BK851" s="161"/>
      <c r="BL851" s="294"/>
      <c r="BM851"/>
      <c r="BN851"/>
      <c r="BO851"/>
      <c r="BP851"/>
      <c r="BQ851"/>
      <c r="BR851"/>
      <c r="BS851"/>
      <c r="BT851"/>
      <c r="BU851"/>
      <c r="BV851"/>
      <c r="BW851"/>
      <c r="BX851"/>
      <c r="BY851"/>
      <c r="BZ851"/>
      <c r="CA851"/>
      <c r="CB851"/>
      <c r="CC851"/>
      <c r="CD851"/>
      <c r="CE851"/>
      <c r="CF851"/>
      <c r="CG851"/>
      <c r="CH851"/>
      <c r="CI851"/>
      <c r="CJ851"/>
    </row>
    <row r="852" spans="1:88" s="32" customFormat="1" ht="15" customHeight="1" x14ac:dyDescent="0.35">
      <c r="A852" s="473"/>
      <c r="B852" s="313">
        <v>56083</v>
      </c>
      <c r="C852" s="8" t="s">
        <v>578</v>
      </c>
      <c r="D852" s="18">
        <v>16</v>
      </c>
      <c r="E852" s="251">
        <v>42212</v>
      </c>
      <c r="F852" s="82">
        <v>2.2877374051557569</v>
      </c>
      <c r="G852" s="79">
        <v>96569.971346434802</v>
      </c>
      <c r="H852" s="90">
        <v>1216.5920000000001</v>
      </c>
      <c r="I852" s="85">
        <v>1129.009</v>
      </c>
      <c r="J852" s="85">
        <v>1264.855</v>
      </c>
      <c r="K852" s="85">
        <v>1190.4090000000001</v>
      </c>
      <c r="L852" s="85">
        <v>1320.97</v>
      </c>
      <c r="M852" s="85">
        <v>1381.8173999999999</v>
      </c>
      <c r="N852" s="85">
        <v>1617.9839999999999</v>
      </c>
      <c r="O852" s="85">
        <v>1383.037</v>
      </c>
      <c r="P852" s="85">
        <v>1210.058</v>
      </c>
      <c r="Q852" s="85">
        <v>1189.76</v>
      </c>
      <c r="R852" s="85">
        <v>1172.4359999999999</v>
      </c>
      <c r="S852" s="89">
        <v>1187.261</v>
      </c>
      <c r="T852" s="89">
        <v>15264.188400000001</v>
      </c>
      <c r="U852" s="85">
        <v>15264.188</v>
      </c>
      <c r="V852" s="85">
        <v>0</v>
      </c>
      <c r="W852" s="85">
        <v>0</v>
      </c>
      <c r="X852" s="89">
        <v>15264.188</v>
      </c>
      <c r="Y852" s="79">
        <v>2</v>
      </c>
      <c r="Z852" s="79">
        <v>0</v>
      </c>
      <c r="AA852" s="94">
        <v>0</v>
      </c>
      <c r="AB852" s="79">
        <v>2</v>
      </c>
      <c r="AC852" s="85">
        <v>9865.018</v>
      </c>
      <c r="AD852" s="85">
        <v>2962.2159999999999</v>
      </c>
      <c r="AE852" s="85">
        <v>2327.2719999999999</v>
      </c>
      <c r="AF852" s="85">
        <v>109.682</v>
      </c>
      <c r="AG852" s="85">
        <v>15264.188000000002</v>
      </c>
      <c r="AH852" s="85">
        <v>15264.188</v>
      </c>
      <c r="AI852" s="85">
        <v>0</v>
      </c>
      <c r="AJ852" s="85">
        <v>0</v>
      </c>
      <c r="AK852" s="85">
        <v>0</v>
      </c>
      <c r="AL852" s="85">
        <v>0</v>
      </c>
      <c r="AM852" s="85">
        <v>0</v>
      </c>
      <c r="AN852" s="85">
        <v>0</v>
      </c>
      <c r="AO852" s="85">
        <v>0</v>
      </c>
      <c r="AP852" s="85">
        <v>0</v>
      </c>
      <c r="AQ852" s="85">
        <v>0</v>
      </c>
      <c r="AR852" s="85">
        <v>15264.188</v>
      </c>
      <c r="AS852" s="85">
        <v>0</v>
      </c>
      <c r="AT852" s="85">
        <v>0</v>
      </c>
      <c r="AU852" s="85">
        <v>0</v>
      </c>
      <c r="AV852" s="85">
        <v>0</v>
      </c>
      <c r="AW852" s="85">
        <v>0</v>
      </c>
      <c r="AX852" s="85">
        <v>0</v>
      </c>
      <c r="AY852" s="85">
        <v>0</v>
      </c>
      <c r="AZ852" s="85">
        <v>0</v>
      </c>
      <c r="BA852" s="85">
        <v>0</v>
      </c>
      <c r="BB852" s="89">
        <v>0</v>
      </c>
      <c r="BC852" s="89">
        <v>0</v>
      </c>
      <c r="BD852" s="37">
        <v>1395947</v>
      </c>
      <c r="BE852" s="37">
        <v>785152</v>
      </c>
      <c r="BF852" s="279">
        <v>781898</v>
      </c>
      <c r="BG852" s="37">
        <v>1649565</v>
      </c>
      <c r="BH852" s="37">
        <v>756437</v>
      </c>
      <c r="BI852" s="37">
        <v>188362</v>
      </c>
      <c r="BJ852" s="283">
        <v>3376262</v>
      </c>
      <c r="BK852" s="161"/>
      <c r="BL852" s="294"/>
      <c r="BM852"/>
      <c r="BN852"/>
      <c r="BO852"/>
      <c r="BP852"/>
      <c r="BQ852"/>
      <c r="BR852"/>
      <c r="BS852"/>
      <c r="BT852"/>
      <c r="BU852"/>
      <c r="BV852"/>
      <c r="BW852"/>
      <c r="BX852"/>
      <c r="BY852"/>
      <c r="BZ852"/>
      <c r="CA852"/>
      <c r="CB852"/>
      <c r="CC852"/>
      <c r="CD852"/>
      <c r="CE852"/>
      <c r="CF852"/>
      <c r="CG852"/>
      <c r="CH852"/>
      <c r="CI852"/>
      <c r="CJ852"/>
    </row>
    <row r="853" spans="1:88" s="32" customFormat="1" ht="15" customHeight="1" x14ac:dyDescent="0.35">
      <c r="A853" s="473"/>
      <c r="B853" s="313">
        <v>75017</v>
      </c>
      <c r="C853" s="8" t="s">
        <v>743</v>
      </c>
      <c r="D853" s="18">
        <v>15</v>
      </c>
      <c r="E853" s="251"/>
      <c r="F853" s="82"/>
      <c r="G853" s="79"/>
      <c r="H853" s="90"/>
      <c r="I853" s="85"/>
      <c r="J853" s="85"/>
      <c r="K853" s="85"/>
      <c r="L853" s="85"/>
      <c r="M853" s="85"/>
      <c r="N853" s="85"/>
      <c r="O853" s="85"/>
      <c r="P853" s="85"/>
      <c r="Q853" s="85"/>
      <c r="R853" s="85"/>
      <c r="S853" s="89"/>
      <c r="T853" s="89" t="s">
        <v>1124</v>
      </c>
      <c r="U853" s="85"/>
      <c r="V853" s="85"/>
      <c r="W853" s="85"/>
      <c r="X853" s="89" t="s">
        <v>1124</v>
      </c>
      <c r="Y853" s="79"/>
      <c r="Z853" s="79"/>
      <c r="AA853" s="94"/>
      <c r="AB853" s="79" t="s">
        <v>1124</v>
      </c>
      <c r="AC853" s="85"/>
      <c r="AD853" s="85"/>
      <c r="AE853" s="85"/>
      <c r="AF853" s="85"/>
      <c r="AG853" s="85" t="s">
        <v>1124</v>
      </c>
      <c r="AH853" s="85"/>
      <c r="AI853" s="85"/>
      <c r="AJ853" s="85"/>
      <c r="AK853" s="85"/>
      <c r="AL853" s="85"/>
      <c r="AM853" s="85"/>
      <c r="AN853" s="85"/>
      <c r="AO853" s="85"/>
      <c r="AP853" s="85"/>
      <c r="AQ853" s="85"/>
      <c r="AR853" s="85" t="s">
        <v>1124</v>
      </c>
      <c r="AS853" s="85"/>
      <c r="AT853" s="85"/>
      <c r="AU853" s="85"/>
      <c r="AV853" s="85"/>
      <c r="AW853" s="85"/>
      <c r="AX853" s="85"/>
      <c r="AY853" s="85"/>
      <c r="AZ853" s="85"/>
      <c r="BA853" s="85"/>
      <c r="BB853" s="89"/>
      <c r="BC853" s="89" t="s">
        <v>1124</v>
      </c>
      <c r="BD853" s="37"/>
      <c r="BE853" s="37"/>
      <c r="BF853" s="279"/>
      <c r="BG853" s="37"/>
      <c r="BH853" s="37"/>
      <c r="BI853" s="37"/>
      <c r="BJ853" s="283"/>
      <c r="BK853" s="161"/>
      <c r="BL853" s="294"/>
      <c r="BM853"/>
      <c r="BN853"/>
      <c r="BO853"/>
      <c r="BP853"/>
      <c r="BQ853"/>
      <c r="BR853"/>
      <c r="BS853"/>
      <c r="BT853"/>
      <c r="BU853"/>
      <c r="BV853"/>
      <c r="BW853"/>
      <c r="BX853"/>
      <c r="BY853"/>
      <c r="BZ853"/>
      <c r="CA853"/>
      <c r="CB853"/>
      <c r="CC853"/>
      <c r="CD853"/>
      <c r="CE853"/>
      <c r="CF853"/>
      <c r="CG853"/>
      <c r="CH853"/>
      <c r="CI853"/>
      <c r="CJ853"/>
    </row>
    <row r="854" spans="1:88" s="32" customFormat="1" ht="15" customHeight="1" x14ac:dyDescent="0.35">
      <c r="A854" s="473"/>
      <c r="B854" s="313">
        <v>21020</v>
      </c>
      <c r="C854" s="8" t="s">
        <v>147</v>
      </c>
      <c r="D854" s="18">
        <v>3</v>
      </c>
      <c r="E854" s="251">
        <v>548</v>
      </c>
      <c r="F854" s="82">
        <v>2.1197080291970805</v>
      </c>
      <c r="G854" s="79">
        <v>1161.6000000000001</v>
      </c>
      <c r="H854" s="90">
        <v>15.538</v>
      </c>
      <c r="I854" s="85">
        <v>15.099</v>
      </c>
      <c r="J854" s="85">
        <v>17.422000000000001</v>
      </c>
      <c r="K854" s="85">
        <v>12.872999999999999</v>
      </c>
      <c r="L854" s="85">
        <v>14.26</v>
      </c>
      <c r="M854" s="85">
        <v>15.603999999999999</v>
      </c>
      <c r="N854" s="85">
        <v>16.753</v>
      </c>
      <c r="O854" s="85">
        <v>15.624000000000001</v>
      </c>
      <c r="P854" s="85">
        <v>13.137</v>
      </c>
      <c r="Q854" s="85">
        <v>13.981</v>
      </c>
      <c r="R854" s="85">
        <v>13.568</v>
      </c>
      <c r="S854" s="89">
        <v>13.351000000000001</v>
      </c>
      <c r="T854" s="89">
        <v>177.21</v>
      </c>
      <c r="U854" s="85">
        <v>0</v>
      </c>
      <c r="V854" s="85">
        <v>177.21</v>
      </c>
      <c r="W854" s="85">
        <v>0</v>
      </c>
      <c r="X854" s="89">
        <v>177.21</v>
      </c>
      <c r="Y854" s="79">
        <v>0</v>
      </c>
      <c r="Z854" s="79">
        <v>2</v>
      </c>
      <c r="AA854" s="94">
        <v>0</v>
      </c>
      <c r="AB854" s="79">
        <v>2</v>
      </c>
      <c r="AC854" s="85">
        <v>124.464</v>
      </c>
      <c r="AD854" s="85">
        <v>33.839719999999971</v>
      </c>
      <c r="AE854" s="85">
        <v>18.906280000000041</v>
      </c>
      <c r="AF854" s="85">
        <v>0</v>
      </c>
      <c r="AG854" s="85">
        <v>177.21</v>
      </c>
      <c r="AH854" s="85">
        <v>0</v>
      </c>
      <c r="AI854" s="85">
        <v>0</v>
      </c>
      <c r="AJ854" s="85">
        <v>0</v>
      </c>
      <c r="AK854" s="85">
        <v>0</v>
      </c>
      <c r="AL854" s="85">
        <v>0</v>
      </c>
      <c r="AM854" s="85">
        <v>0</v>
      </c>
      <c r="AN854" s="85">
        <v>0</v>
      </c>
      <c r="AO854" s="85">
        <v>0</v>
      </c>
      <c r="AP854" s="85">
        <v>0</v>
      </c>
      <c r="AQ854" s="85">
        <v>0</v>
      </c>
      <c r="AR854" s="85">
        <v>0</v>
      </c>
      <c r="AS854" s="85">
        <v>0</v>
      </c>
      <c r="AT854" s="85">
        <v>0</v>
      </c>
      <c r="AU854" s="85">
        <v>0</v>
      </c>
      <c r="AV854" s="85">
        <v>0</v>
      </c>
      <c r="AW854" s="85">
        <v>0</v>
      </c>
      <c r="AX854" s="85">
        <v>0</v>
      </c>
      <c r="AY854" s="85">
        <v>152.13</v>
      </c>
      <c r="AZ854" s="85">
        <v>0</v>
      </c>
      <c r="BA854" s="85">
        <v>25.08</v>
      </c>
      <c r="BB854" s="89">
        <v>0</v>
      </c>
      <c r="BC854" s="89">
        <v>177.20999999999998</v>
      </c>
      <c r="BD854" s="37">
        <v>2121754</v>
      </c>
      <c r="BE854" s="37">
        <v>1717867</v>
      </c>
      <c r="BF854" s="279">
        <v>34885</v>
      </c>
      <c r="BG854" s="37">
        <v>42975</v>
      </c>
      <c r="BH854" s="37">
        <v>19938</v>
      </c>
      <c r="BI854" s="37">
        <v>0</v>
      </c>
      <c r="BJ854" s="283">
        <v>97798</v>
      </c>
      <c r="BK854" s="161"/>
      <c r="BL854" s="294"/>
      <c r="BM854"/>
      <c r="BN854"/>
      <c r="BO854"/>
      <c r="BP854"/>
      <c r="BQ854"/>
      <c r="BR854"/>
      <c r="BS854"/>
      <c r="BT854"/>
      <c r="BU854"/>
      <c r="BV854"/>
      <c r="BW854"/>
      <c r="BX854"/>
      <c r="BY854"/>
      <c r="BZ854"/>
      <c r="CA854"/>
      <c r="CB854"/>
      <c r="CC854"/>
      <c r="CD854"/>
      <c r="CE854"/>
      <c r="CF854"/>
      <c r="CG854"/>
      <c r="CH854"/>
      <c r="CI854"/>
      <c r="CJ854"/>
    </row>
    <row r="855" spans="1:88" s="32" customFormat="1" ht="15" customHeight="1" x14ac:dyDescent="0.35">
      <c r="A855" s="473"/>
      <c r="B855" s="313">
        <v>47040</v>
      </c>
      <c r="C855" s="8" t="s">
        <v>453</v>
      </c>
      <c r="D855" s="18">
        <v>5</v>
      </c>
      <c r="E855" s="251"/>
      <c r="F855" s="82"/>
      <c r="G855" s="79"/>
      <c r="H855" s="90"/>
      <c r="I855" s="85"/>
      <c r="J855" s="85"/>
      <c r="K855" s="85"/>
      <c r="L855" s="85"/>
      <c r="M855" s="85"/>
      <c r="N855" s="85"/>
      <c r="O855" s="85"/>
      <c r="P855" s="85"/>
      <c r="Q855" s="85"/>
      <c r="R855" s="85"/>
      <c r="S855" s="89"/>
      <c r="T855" s="89" t="s">
        <v>1124</v>
      </c>
      <c r="U855" s="85"/>
      <c r="V855" s="85"/>
      <c r="W855" s="85"/>
      <c r="X855" s="89" t="s">
        <v>1124</v>
      </c>
      <c r="Y855" s="79"/>
      <c r="Z855" s="79"/>
      <c r="AA855" s="94"/>
      <c r="AB855" s="79" t="s">
        <v>1124</v>
      </c>
      <c r="AC855" s="85"/>
      <c r="AD855" s="85"/>
      <c r="AE855" s="85"/>
      <c r="AF855" s="85"/>
      <c r="AG855" s="85" t="s">
        <v>1124</v>
      </c>
      <c r="AH855" s="85"/>
      <c r="AI855" s="85"/>
      <c r="AJ855" s="85"/>
      <c r="AK855" s="85"/>
      <c r="AL855" s="85"/>
      <c r="AM855" s="85"/>
      <c r="AN855" s="85"/>
      <c r="AO855" s="85"/>
      <c r="AP855" s="85"/>
      <c r="AQ855" s="85"/>
      <c r="AR855" s="85" t="s">
        <v>1124</v>
      </c>
      <c r="AS855" s="85"/>
      <c r="AT855" s="85"/>
      <c r="AU855" s="85"/>
      <c r="AV855" s="85"/>
      <c r="AW855" s="85"/>
      <c r="AX855" s="85"/>
      <c r="AY855" s="85"/>
      <c r="AZ855" s="85"/>
      <c r="BA855" s="85"/>
      <c r="BB855" s="89"/>
      <c r="BC855" s="89" t="s">
        <v>1124</v>
      </c>
      <c r="BD855" s="37"/>
      <c r="BE855" s="37"/>
      <c r="BF855" s="279"/>
      <c r="BG855" s="37"/>
      <c r="BH855" s="37"/>
      <c r="BI855" s="37"/>
      <c r="BJ855" s="283"/>
      <c r="BK855" s="161"/>
      <c r="BL855" s="294"/>
      <c r="BM855"/>
      <c r="BN855"/>
      <c r="BO855"/>
      <c r="BP855"/>
      <c r="BQ855"/>
      <c r="BR855"/>
      <c r="BS855"/>
      <c r="BT855"/>
      <c r="BU855"/>
      <c r="BV855"/>
      <c r="BW855"/>
      <c r="BX855"/>
      <c r="BY855"/>
      <c r="BZ855"/>
      <c r="CA855"/>
      <c r="CB855"/>
      <c r="CC855"/>
      <c r="CD855"/>
      <c r="CE855"/>
      <c r="CF855"/>
      <c r="CG855"/>
      <c r="CH855"/>
      <c r="CI855"/>
      <c r="CJ855"/>
    </row>
    <row r="856" spans="1:88" s="32" customFormat="1" ht="15" customHeight="1" x14ac:dyDescent="0.35">
      <c r="A856" s="473"/>
      <c r="B856" s="313">
        <v>27043</v>
      </c>
      <c r="C856" s="8" t="s">
        <v>182</v>
      </c>
      <c r="D856" s="18">
        <v>12</v>
      </c>
      <c r="E856" s="251">
        <v>1744</v>
      </c>
      <c r="F856" s="82">
        <v>2.82</v>
      </c>
      <c r="G856" s="79">
        <v>4918.08</v>
      </c>
      <c r="H856" s="90">
        <v>43.1813</v>
      </c>
      <c r="I856" s="85">
        <v>40.362300000000012</v>
      </c>
      <c r="J856" s="85">
        <v>42.186900000000009</v>
      </c>
      <c r="K856" s="85">
        <v>40.503799999999991</v>
      </c>
      <c r="L856" s="85">
        <v>42.140300000000003</v>
      </c>
      <c r="M856" s="85">
        <v>38.202899999999993</v>
      </c>
      <c r="N856" s="85">
        <v>43.3431</v>
      </c>
      <c r="O856" s="85">
        <v>44.7</v>
      </c>
      <c r="P856" s="85">
        <v>38.455200000000012</v>
      </c>
      <c r="Q856" s="85">
        <v>37.155200000000008</v>
      </c>
      <c r="R856" s="85">
        <v>35.038899999999991</v>
      </c>
      <c r="S856" s="89">
        <v>33.4041</v>
      </c>
      <c r="T856" s="89">
        <v>478.67399999999998</v>
      </c>
      <c r="U856" s="85">
        <v>0</v>
      </c>
      <c r="V856" s="85">
        <v>465.36170000000004</v>
      </c>
      <c r="W856" s="85">
        <v>13.312299999999999</v>
      </c>
      <c r="X856" s="89">
        <v>478.67400000000004</v>
      </c>
      <c r="Y856" s="79">
        <v>0</v>
      </c>
      <c r="Z856" s="79">
        <v>4</v>
      </c>
      <c r="AA856" s="94">
        <v>4</v>
      </c>
      <c r="AB856" s="79">
        <v>8</v>
      </c>
      <c r="AC856" s="85">
        <v>340.4087354904982</v>
      </c>
      <c r="AD856" s="85">
        <v>45.708856509501842</v>
      </c>
      <c r="AE856" s="85">
        <v>92.556407999999934</v>
      </c>
      <c r="AF856" s="85">
        <v>0</v>
      </c>
      <c r="AG856" s="85">
        <v>478.67399999999998</v>
      </c>
      <c r="AH856" s="85">
        <v>0</v>
      </c>
      <c r="AI856" s="85">
        <v>0</v>
      </c>
      <c r="AJ856" s="85">
        <v>0</v>
      </c>
      <c r="AK856" s="85">
        <v>0</v>
      </c>
      <c r="AL856" s="85">
        <v>0</v>
      </c>
      <c r="AM856" s="85">
        <v>0</v>
      </c>
      <c r="AN856" s="85">
        <v>0</v>
      </c>
      <c r="AO856" s="85">
        <v>0</v>
      </c>
      <c r="AP856" s="85">
        <v>0</v>
      </c>
      <c r="AQ856" s="85">
        <v>0</v>
      </c>
      <c r="AR856" s="85">
        <v>0</v>
      </c>
      <c r="AS856" s="85">
        <v>0</v>
      </c>
      <c r="AT856" s="85">
        <v>0</v>
      </c>
      <c r="AU856" s="85">
        <v>0</v>
      </c>
      <c r="AV856" s="85">
        <v>0</v>
      </c>
      <c r="AW856" s="85">
        <v>13.311999999999999</v>
      </c>
      <c r="AX856" s="85">
        <v>0</v>
      </c>
      <c r="AY856" s="85">
        <v>0</v>
      </c>
      <c r="AZ856" s="85">
        <v>465.36200000000002</v>
      </c>
      <c r="BA856" s="85">
        <v>0</v>
      </c>
      <c r="BB856" s="89">
        <v>0</v>
      </c>
      <c r="BC856" s="89">
        <v>478.67400000000004</v>
      </c>
      <c r="BD856" s="37">
        <v>3172536</v>
      </c>
      <c r="BE856" s="37">
        <v>0</v>
      </c>
      <c r="BF856" s="279">
        <v>33646.54</v>
      </c>
      <c r="BG856" s="37">
        <v>104765.48999999999</v>
      </c>
      <c r="BH856" s="37">
        <v>50603.950000000004</v>
      </c>
      <c r="BI856" s="37">
        <v>11987.730000000001</v>
      </c>
      <c r="BJ856" s="283">
        <v>201003.71000000002</v>
      </c>
      <c r="BK856" s="161"/>
      <c r="BL856" s="294"/>
      <c r="BM856"/>
      <c r="BN856"/>
      <c r="BO856"/>
      <c r="BP856"/>
      <c r="BQ856"/>
      <c r="BR856"/>
      <c r="BS856"/>
      <c r="BT856"/>
      <c r="BU856"/>
      <c r="BV856"/>
      <c r="BW856"/>
      <c r="BX856"/>
      <c r="BY856"/>
      <c r="BZ856"/>
      <c r="CA856"/>
      <c r="CB856"/>
      <c r="CC856"/>
      <c r="CD856"/>
      <c r="CE856"/>
      <c r="CF856"/>
      <c r="CG856"/>
      <c r="CH856"/>
      <c r="CI856"/>
      <c r="CJ856"/>
    </row>
    <row r="857" spans="1:88" s="32" customFormat="1" ht="15" customHeight="1" x14ac:dyDescent="0.35">
      <c r="A857" s="473"/>
      <c r="B857" s="313">
        <v>31045</v>
      </c>
      <c r="C857" s="8" t="s">
        <v>244</v>
      </c>
      <c r="D857" s="18">
        <v>12</v>
      </c>
      <c r="E857" s="251">
        <v>565</v>
      </c>
      <c r="F857" s="82">
        <v>1.9887260428410372</v>
      </c>
      <c r="G857" s="79">
        <v>1123.6302142051859</v>
      </c>
      <c r="H857" s="90">
        <v>17.718</v>
      </c>
      <c r="I857" s="85">
        <v>16.994</v>
      </c>
      <c r="J857" s="85">
        <v>18.178000000000001</v>
      </c>
      <c r="K857" s="85">
        <v>12.397</v>
      </c>
      <c r="L857" s="85">
        <v>16.003</v>
      </c>
      <c r="M857" s="85">
        <v>15.431000000000001</v>
      </c>
      <c r="N857" s="85">
        <v>14.923999999999999</v>
      </c>
      <c r="O857" s="85">
        <v>13.936999999999999</v>
      </c>
      <c r="P857" s="85">
        <v>17.411000000000001</v>
      </c>
      <c r="Q857" s="85">
        <v>17.486000000000001</v>
      </c>
      <c r="R857" s="85">
        <v>15.540000000000001</v>
      </c>
      <c r="S857" s="89">
        <v>16.762</v>
      </c>
      <c r="T857" s="89">
        <v>192.78099999999998</v>
      </c>
      <c r="U857" s="85">
        <v>0</v>
      </c>
      <c r="V857" s="85">
        <v>192.78099999999998</v>
      </c>
      <c r="W857" s="85">
        <v>0</v>
      </c>
      <c r="X857" s="89">
        <v>192.78099999999998</v>
      </c>
      <c r="Y857" s="79">
        <v>0</v>
      </c>
      <c r="Z857" s="79">
        <v>2</v>
      </c>
      <c r="AA857" s="94">
        <v>0</v>
      </c>
      <c r="AB857" s="79">
        <v>2</v>
      </c>
      <c r="AC857" s="85">
        <v>73.631278319304158</v>
      </c>
      <c r="AD857" s="85">
        <v>43.945121680695806</v>
      </c>
      <c r="AE857" s="85">
        <v>75.204600000000013</v>
      </c>
      <c r="AF857" s="85">
        <v>0</v>
      </c>
      <c r="AG857" s="85">
        <v>192.78099999999998</v>
      </c>
      <c r="AH857" s="85">
        <v>0</v>
      </c>
      <c r="AI857" s="85">
        <v>0</v>
      </c>
      <c r="AJ857" s="85">
        <v>0</v>
      </c>
      <c r="AK857" s="85">
        <v>0</v>
      </c>
      <c r="AL857" s="85">
        <v>0</v>
      </c>
      <c r="AM857" s="85">
        <v>0</v>
      </c>
      <c r="AN857" s="85">
        <v>0</v>
      </c>
      <c r="AO857" s="85">
        <v>0</v>
      </c>
      <c r="AP857" s="85">
        <v>0</v>
      </c>
      <c r="AQ857" s="85">
        <v>0</v>
      </c>
      <c r="AR857" s="85">
        <v>0</v>
      </c>
      <c r="AS857" s="85">
        <v>0</v>
      </c>
      <c r="AT857" s="85">
        <v>0</v>
      </c>
      <c r="AU857" s="85">
        <v>0</v>
      </c>
      <c r="AV857" s="85">
        <v>0</v>
      </c>
      <c r="AW857" s="85">
        <v>0</v>
      </c>
      <c r="AX857" s="85">
        <v>0</v>
      </c>
      <c r="AY857" s="85">
        <v>180.98400000000001</v>
      </c>
      <c r="AZ857" s="85">
        <v>0</v>
      </c>
      <c r="BA857" s="85">
        <v>11.797000000000001</v>
      </c>
      <c r="BB857" s="89">
        <v>0</v>
      </c>
      <c r="BC857" s="89">
        <v>192.78100000000001</v>
      </c>
      <c r="BD857" s="37">
        <v>0</v>
      </c>
      <c r="BE857" s="37">
        <v>0</v>
      </c>
      <c r="BF857" s="279">
        <v>12381</v>
      </c>
      <c r="BG857" s="37">
        <v>58862</v>
      </c>
      <c r="BH857" s="37">
        <v>20622</v>
      </c>
      <c r="BI857" s="37">
        <v>3890</v>
      </c>
      <c r="BJ857" s="283">
        <v>95755</v>
      </c>
      <c r="BK857" s="161"/>
      <c r="BL857" s="294"/>
      <c r="BM857"/>
      <c r="BN857"/>
      <c r="BO857"/>
      <c r="BP857"/>
      <c r="BQ857"/>
      <c r="BR857"/>
      <c r="BS857"/>
      <c r="BT857"/>
      <c r="BU857"/>
      <c r="BV857"/>
      <c r="BW857"/>
      <c r="BX857"/>
      <c r="BY857"/>
      <c r="BZ857"/>
      <c r="CA857"/>
      <c r="CB857"/>
      <c r="CC857"/>
      <c r="CD857"/>
      <c r="CE857"/>
      <c r="CF857"/>
      <c r="CG857"/>
      <c r="CH857"/>
      <c r="CI857"/>
      <c r="CJ857"/>
    </row>
    <row r="858" spans="1:88" s="32" customFormat="1" ht="15" customHeight="1" x14ac:dyDescent="0.35">
      <c r="A858" s="473"/>
      <c r="B858" s="313">
        <v>14030</v>
      </c>
      <c r="C858" s="8" t="s">
        <v>64</v>
      </c>
      <c r="D858" s="18">
        <v>1</v>
      </c>
      <c r="E858" s="251"/>
      <c r="F858" s="82"/>
      <c r="G858" s="79"/>
      <c r="H858" s="90"/>
      <c r="I858" s="85"/>
      <c r="J858" s="85"/>
      <c r="K858" s="85"/>
      <c r="L858" s="85"/>
      <c r="M858" s="85"/>
      <c r="N858" s="85"/>
      <c r="O858" s="85"/>
      <c r="P858" s="85"/>
      <c r="Q858" s="85"/>
      <c r="R858" s="85"/>
      <c r="S858" s="89"/>
      <c r="T858" s="89" t="s">
        <v>1124</v>
      </c>
      <c r="U858" s="85"/>
      <c r="V858" s="85"/>
      <c r="W858" s="85"/>
      <c r="X858" s="89" t="s">
        <v>1124</v>
      </c>
      <c r="Y858" s="79"/>
      <c r="Z858" s="79"/>
      <c r="AA858" s="94"/>
      <c r="AB858" s="79" t="s">
        <v>1124</v>
      </c>
      <c r="AC858" s="85"/>
      <c r="AD858" s="85"/>
      <c r="AE858" s="85"/>
      <c r="AF858" s="85"/>
      <c r="AG858" s="85" t="s">
        <v>1124</v>
      </c>
      <c r="AH858" s="85"/>
      <c r="AI858" s="85"/>
      <c r="AJ858" s="85"/>
      <c r="AK858" s="85"/>
      <c r="AL858" s="85"/>
      <c r="AM858" s="85"/>
      <c r="AN858" s="85"/>
      <c r="AO858" s="85"/>
      <c r="AP858" s="85"/>
      <c r="AQ858" s="85"/>
      <c r="AR858" s="85" t="s">
        <v>1124</v>
      </c>
      <c r="AS858" s="85"/>
      <c r="AT858" s="85"/>
      <c r="AU858" s="85"/>
      <c r="AV858" s="85"/>
      <c r="AW858" s="85"/>
      <c r="AX858" s="85"/>
      <c r="AY858" s="85"/>
      <c r="AZ858" s="85"/>
      <c r="BA858" s="85"/>
      <c r="BB858" s="89"/>
      <c r="BC858" s="89" t="s">
        <v>1124</v>
      </c>
      <c r="BD858" s="37"/>
      <c r="BE858" s="37"/>
      <c r="BF858" s="279"/>
      <c r="BG858" s="37"/>
      <c r="BH858" s="37"/>
      <c r="BI858" s="37"/>
      <c r="BJ858" s="283"/>
      <c r="BK858" s="161"/>
      <c r="BL858" s="294"/>
      <c r="BM858"/>
      <c r="BN858"/>
      <c r="BO858"/>
      <c r="BP858"/>
      <c r="BQ858"/>
      <c r="BR858"/>
      <c r="BS858"/>
      <c r="BT858"/>
      <c r="BU858"/>
      <c r="BV858"/>
      <c r="BW858"/>
      <c r="BX858"/>
      <c r="BY858"/>
      <c r="BZ858"/>
      <c r="CA858"/>
      <c r="CB858"/>
      <c r="CC858"/>
      <c r="CD858"/>
      <c r="CE858"/>
      <c r="CF858"/>
      <c r="CG858"/>
      <c r="CH858"/>
      <c r="CI858"/>
      <c r="CJ858"/>
    </row>
    <row r="859" spans="1:88" s="32" customFormat="1" ht="15" customHeight="1" x14ac:dyDescent="0.35">
      <c r="A859" s="473"/>
      <c r="B859" s="313">
        <v>9070</v>
      </c>
      <c r="C859" s="8" t="s">
        <v>1109</v>
      </c>
      <c r="D859" s="18">
        <v>1</v>
      </c>
      <c r="E859" s="251"/>
      <c r="F859" s="82"/>
      <c r="G859" s="79"/>
      <c r="H859" s="90"/>
      <c r="I859" s="85"/>
      <c r="J859" s="85"/>
      <c r="K859" s="85"/>
      <c r="L859" s="85"/>
      <c r="M859" s="85"/>
      <c r="N859" s="85"/>
      <c r="O859" s="85"/>
      <c r="P859" s="85"/>
      <c r="Q859" s="85"/>
      <c r="R859" s="85"/>
      <c r="S859" s="89"/>
      <c r="T859" s="89" t="s">
        <v>1124</v>
      </c>
      <c r="U859" s="85"/>
      <c r="V859" s="85"/>
      <c r="W859" s="85"/>
      <c r="X859" s="89" t="s">
        <v>1124</v>
      </c>
      <c r="Y859" s="79"/>
      <c r="Z859" s="79"/>
      <c r="AA859" s="94"/>
      <c r="AB859" s="79" t="s">
        <v>1124</v>
      </c>
      <c r="AC859" s="85"/>
      <c r="AD859" s="85"/>
      <c r="AE859" s="85"/>
      <c r="AF859" s="85"/>
      <c r="AG859" s="85" t="s">
        <v>1124</v>
      </c>
      <c r="AH859" s="85"/>
      <c r="AI859" s="85"/>
      <c r="AJ859" s="85"/>
      <c r="AK859" s="85"/>
      <c r="AL859" s="85"/>
      <c r="AM859" s="85"/>
      <c r="AN859" s="85"/>
      <c r="AO859" s="85"/>
      <c r="AP859" s="85"/>
      <c r="AQ859" s="85"/>
      <c r="AR859" s="85" t="s">
        <v>1124</v>
      </c>
      <c r="AS859" s="85"/>
      <c r="AT859" s="85"/>
      <c r="AU859" s="85"/>
      <c r="AV859" s="85"/>
      <c r="AW859" s="85"/>
      <c r="AX859" s="85"/>
      <c r="AY859" s="85"/>
      <c r="AZ859" s="85"/>
      <c r="BA859" s="85"/>
      <c r="BB859" s="89"/>
      <c r="BC859" s="89" t="s">
        <v>1124</v>
      </c>
      <c r="BD859" s="37"/>
      <c r="BE859" s="37"/>
      <c r="BF859" s="279"/>
      <c r="BG859" s="37"/>
      <c r="BH859" s="37"/>
      <c r="BI859" s="37"/>
      <c r="BJ859" s="283"/>
      <c r="BK859" s="161"/>
      <c r="BL859" s="294"/>
      <c r="BM859"/>
      <c r="BN859"/>
      <c r="BO859"/>
      <c r="BP859"/>
      <c r="BQ859"/>
      <c r="BR859"/>
      <c r="BS859"/>
      <c r="BT859"/>
      <c r="BU859"/>
      <c r="BV859"/>
      <c r="BW859"/>
      <c r="BX859"/>
      <c r="BY859"/>
      <c r="BZ859"/>
      <c r="CA859"/>
      <c r="CB859"/>
      <c r="CC859"/>
      <c r="CD859"/>
      <c r="CE859"/>
      <c r="CF859"/>
      <c r="CG859"/>
      <c r="CH859"/>
      <c r="CI859"/>
      <c r="CJ859"/>
    </row>
    <row r="860" spans="1:88" s="32" customFormat="1" ht="15" customHeight="1" x14ac:dyDescent="0.35">
      <c r="A860" s="473"/>
      <c r="B860" s="313">
        <v>27050</v>
      </c>
      <c r="C860" s="8" t="s">
        <v>183</v>
      </c>
      <c r="D860" s="18">
        <v>12</v>
      </c>
      <c r="E860" s="251"/>
      <c r="F860" s="82"/>
      <c r="G860" s="79"/>
      <c r="H860" s="90"/>
      <c r="I860" s="85"/>
      <c r="J860" s="85"/>
      <c r="K860" s="85"/>
      <c r="L860" s="85"/>
      <c r="M860" s="85"/>
      <c r="N860" s="85"/>
      <c r="O860" s="85"/>
      <c r="P860" s="85"/>
      <c r="Q860" s="85"/>
      <c r="R860" s="85"/>
      <c r="S860" s="89"/>
      <c r="T860" s="89" t="s">
        <v>1124</v>
      </c>
      <c r="U860" s="85"/>
      <c r="V860" s="85"/>
      <c r="W860" s="85"/>
      <c r="X860" s="89" t="s">
        <v>1124</v>
      </c>
      <c r="Y860" s="79"/>
      <c r="Z860" s="79"/>
      <c r="AA860" s="94"/>
      <c r="AB860" s="79" t="s">
        <v>1124</v>
      </c>
      <c r="AC860" s="85"/>
      <c r="AD860" s="85"/>
      <c r="AE860" s="85"/>
      <c r="AF860" s="85"/>
      <c r="AG860" s="85" t="s">
        <v>1124</v>
      </c>
      <c r="AH860" s="85"/>
      <c r="AI860" s="85"/>
      <c r="AJ860" s="85"/>
      <c r="AK860" s="85"/>
      <c r="AL860" s="85"/>
      <c r="AM860" s="85"/>
      <c r="AN860" s="85"/>
      <c r="AO860" s="85"/>
      <c r="AP860" s="85"/>
      <c r="AQ860" s="85"/>
      <c r="AR860" s="85" t="s">
        <v>1124</v>
      </c>
      <c r="AS860" s="85"/>
      <c r="AT860" s="85"/>
      <c r="AU860" s="85"/>
      <c r="AV860" s="85"/>
      <c r="AW860" s="85"/>
      <c r="AX860" s="85"/>
      <c r="AY860" s="85"/>
      <c r="AZ860" s="85"/>
      <c r="BA860" s="85"/>
      <c r="BB860" s="89"/>
      <c r="BC860" s="89" t="s">
        <v>1124</v>
      </c>
      <c r="BD860" s="37"/>
      <c r="BE860" s="37"/>
      <c r="BF860" s="279"/>
      <c r="BG860" s="37"/>
      <c r="BH860" s="37"/>
      <c r="BI860" s="37"/>
      <c r="BJ860" s="283"/>
      <c r="BK860" s="161"/>
      <c r="BL860" s="294"/>
      <c r="BM860"/>
      <c r="BN860"/>
      <c r="BO860"/>
      <c r="BP860"/>
      <c r="BQ860"/>
      <c r="BR860"/>
      <c r="BS860"/>
      <c r="BT860"/>
      <c r="BU860"/>
      <c r="BV860"/>
      <c r="BW860"/>
      <c r="BX860"/>
      <c r="BY860"/>
      <c r="BZ860"/>
      <c r="CA860"/>
      <c r="CB860"/>
      <c r="CC860"/>
      <c r="CD860"/>
      <c r="CE860"/>
      <c r="CF860"/>
      <c r="CG860"/>
      <c r="CH860"/>
      <c r="CI860"/>
      <c r="CJ860"/>
    </row>
    <row r="861" spans="1:88" s="32" customFormat="1" ht="15" customHeight="1" x14ac:dyDescent="0.35">
      <c r="A861" s="473"/>
      <c r="B861" s="313">
        <v>53050</v>
      </c>
      <c r="C861" s="8" t="s">
        <v>537</v>
      </c>
      <c r="D861" s="18">
        <v>16</v>
      </c>
      <c r="E861" s="251"/>
      <c r="F861" s="82"/>
      <c r="G861" s="79"/>
      <c r="H861" s="90"/>
      <c r="I861" s="85"/>
      <c r="J861" s="85"/>
      <c r="K861" s="85"/>
      <c r="L861" s="85"/>
      <c r="M861" s="85"/>
      <c r="N861" s="85"/>
      <c r="O861" s="85"/>
      <c r="P861" s="85"/>
      <c r="Q861" s="85"/>
      <c r="R861" s="85"/>
      <c r="S861" s="89"/>
      <c r="T861" s="89" t="s">
        <v>1124</v>
      </c>
      <c r="U861" s="85"/>
      <c r="V861" s="85"/>
      <c r="W861" s="85"/>
      <c r="X861" s="89" t="s">
        <v>1124</v>
      </c>
      <c r="Y861" s="79"/>
      <c r="Z861" s="79"/>
      <c r="AA861" s="94"/>
      <c r="AB861" s="79" t="s">
        <v>1124</v>
      </c>
      <c r="AC861" s="85"/>
      <c r="AD861" s="85"/>
      <c r="AE861" s="85"/>
      <c r="AF861" s="85"/>
      <c r="AG861" s="85" t="s">
        <v>1124</v>
      </c>
      <c r="AH861" s="85"/>
      <c r="AI861" s="85"/>
      <c r="AJ861" s="85"/>
      <c r="AK861" s="85"/>
      <c r="AL861" s="85"/>
      <c r="AM861" s="85"/>
      <c r="AN861" s="85"/>
      <c r="AO861" s="85"/>
      <c r="AP861" s="85"/>
      <c r="AQ861" s="85"/>
      <c r="AR861" s="85" t="s">
        <v>1124</v>
      </c>
      <c r="AS861" s="85"/>
      <c r="AT861" s="85"/>
      <c r="AU861" s="85"/>
      <c r="AV861" s="85"/>
      <c r="AW861" s="85"/>
      <c r="AX861" s="85"/>
      <c r="AY861" s="85"/>
      <c r="AZ861" s="85"/>
      <c r="BA861" s="85"/>
      <c r="BB861" s="89"/>
      <c r="BC861" s="89" t="s">
        <v>1124</v>
      </c>
      <c r="BD861" s="37"/>
      <c r="BE861" s="37"/>
      <c r="BF861" s="279"/>
      <c r="BG861" s="37"/>
      <c r="BH861" s="37"/>
      <c r="BI861" s="37"/>
      <c r="BJ861" s="283"/>
      <c r="BK861" s="161"/>
      <c r="BL861" s="294"/>
      <c r="BM861"/>
      <c r="BN861"/>
      <c r="BO861"/>
      <c r="BP861"/>
      <c r="BQ861"/>
      <c r="BR861"/>
      <c r="BS861"/>
      <c r="BT861"/>
      <c r="BU861"/>
      <c r="BV861"/>
      <c r="BW861"/>
      <c r="BX861"/>
      <c r="BY861"/>
      <c r="BZ861"/>
      <c r="CA861"/>
      <c r="CB861"/>
      <c r="CC861"/>
      <c r="CD861"/>
      <c r="CE861"/>
      <c r="CF861"/>
      <c r="CG861"/>
      <c r="CH861"/>
      <c r="CI861"/>
      <c r="CJ861"/>
    </row>
    <row r="862" spans="1:88" s="32" customFormat="1" ht="15" customHeight="1" x14ac:dyDescent="0.35">
      <c r="A862" s="473"/>
      <c r="B862" s="313">
        <v>72025</v>
      </c>
      <c r="C862" s="8" t="s">
        <v>731</v>
      </c>
      <c r="D862" s="18">
        <v>15</v>
      </c>
      <c r="E862" s="251">
        <v>5036</v>
      </c>
      <c r="F862" s="82">
        <v>2.4757744241461479</v>
      </c>
      <c r="G862" s="79">
        <v>12468</v>
      </c>
      <c r="H862" s="90">
        <v>89.599000000000004</v>
      </c>
      <c r="I862" s="85">
        <v>82.38</v>
      </c>
      <c r="J862" s="85">
        <v>103.038</v>
      </c>
      <c r="K862" s="85">
        <v>105.815</v>
      </c>
      <c r="L862" s="85">
        <v>120.65300000000001</v>
      </c>
      <c r="M862" s="85">
        <v>177.07900000000001</v>
      </c>
      <c r="N862" s="85">
        <v>165.77799999999999</v>
      </c>
      <c r="O862" s="85">
        <v>164.316</v>
      </c>
      <c r="P862" s="85">
        <v>119.995</v>
      </c>
      <c r="Q862" s="85">
        <v>110.86150000000001</v>
      </c>
      <c r="R862" s="85">
        <v>106.185</v>
      </c>
      <c r="S862" s="89">
        <v>94.769750000000002</v>
      </c>
      <c r="T862" s="89">
        <v>1440.4692500000001</v>
      </c>
      <c r="U862" s="85">
        <v>0</v>
      </c>
      <c r="V862" s="85">
        <v>1440.4690000000001</v>
      </c>
      <c r="W862" s="85">
        <v>0</v>
      </c>
      <c r="X862" s="89">
        <v>1440.4690000000001</v>
      </c>
      <c r="Y862" s="79">
        <v>0</v>
      </c>
      <c r="Z862" s="79">
        <v>1</v>
      </c>
      <c r="AA862" s="94">
        <v>0</v>
      </c>
      <c r="AB862" s="79">
        <v>1</v>
      </c>
      <c r="AC862" s="85">
        <v>945.23800000000006</v>
      </c>
      <c r="AD862" s="85">
        <v>255.73599999999988</v>
      </c>
      <c r="AE862" s="85">
        <v>239.495</v>
      </c>
      <c r="AF862" s="85">
        <v>0</v>
      </c>
      <c r="AG862" s="85">
        <v>1440.4690000000001</v>
      </c>
      <c r="AH862" s="85">
        <v>0</v>
      </c>
      <c r="AI862" s="85">
        <v>0</v>
      </c>
      <c r="AJ862" s="85">
        <v>0</v>
      </c>
      <c r="AK862" s="85">
        <v>0</v>
      </c>
      <c r="AL862" s="85">
        <v>0</v>
      </c>
      <c r="AM862" s="85">
        <v>0</v>
      </c>
      <c r="AN862" s="85">
        <v>0</v>
      </c>
      <c r="AO862" s="85">
        <v>0</v>
      </c>
      <c r="AP862" s="85">
        <v>0</v>
      </c>
      <c r="AQ862" s="85">
        <v>0</v>
      </c>
      <c r="AR862" s="85">
        <v>0</v>
      </c>
      <c r="AS862" s="85">
        <v>0</v>
      </c>
      <c r="AT862" s="85">
        <v>0</v>
      </c>
      <c r="AU862" s="85">
        <v>0</v>
      </c>
      <c r="AV862" s="85">
        <v>0</v>
      </c>
      <c r="AW862" s="85">
        <v>0</v>
      </c>
      <c r="AX862" s="85">
        <v>0</v>
      </c>
      <c r="AY862" s="85">
        <v>1440.4690000000001</v>
      </c>
      <c r="AZ862" s="85">
        <v>0</v>
      </c>
      <c r="BA862" s="85">
        <v>0</v>
      </c>
      <c r="BB862" s="89">
        <v>0</v>
      </c>
      <c r="BC862" s="89">
        <v>1440.4690000000001</v>
      </c>
      <c r="BD862" s="37">
        <v>0</v>
      </c>
      <c r="BE862" s="37">
        <v>115247</v>
      </c>
      <c r="BF862" s="279">
        <v>91333</v>
      </c>
      <c r="BG862" s="37">
        <v>82687</v>
      </c>
      <c r="BH862" s="37">
        <v>71193</v>
      </c>
      <c r="BI862" s="37">
        <v>0</v>
      </c>
      <c r="BJ862" s="283">
        <v>245213</v>
      </c>
      <c r="BK862" s="161"/>
      <c r="BL862" s="294"/>
      <c r="BM862"/>
      <c r="BN862"/>
      <c r="BO862"/>
      <c r="BP862"/>
      <c r="BQ862"/>
      <c r="BR862"/>
      <c r="BS862"/>
      <c r="BT862"/>
      <c r="BU862"/>
      <c r="BV862"/>
      <c r="BW862"/>
      <c r="BX862"/>
      <c r="BY862"/>
      <c r="BZ862"/>
      <c r="CA862"/>
      <c r="CB862"/>
      <c r="CC862"/>
      <c r="CD862"/>
      <c r="CE862"/>
      <c r="CF862"/>
      <c r="CG862"/>
      <c r="CH862"/>
      <c r="CI862"/>
      <c r="CJ862"/>
    </row>
    <row r="863" spans="1:88" s="32" customFormat="1" ht="15" customHeight="1" x14ac:dyDescent="0.35">
      <c r="A863" s="473"/>
      <c r="B863" s="313">
        <v>54110</v>
      </c>
      <c r="C863" s="8" t="s">
        <v>555</v>
      </c>
      <c r="D863" s="18">
        <v>16</v>
      </c>
      <c r="E863" s="251"/>
      <c r="F863" s="82"/>
      <c r="G863" s="79"/>
      <c r="H863" s="90"/>
      <c r="I863" s="85"/>
      <c r="J863" s="85"/>
      <c r="K863" s="85"/>
      <c r="L863" s="85"/>
      <c r="M863" s="85"/>
      <c r="N863" s="85"/>
      <c r="O863" s="85"/>
      <c r="P863" s="85"/>
      <c r="Q863" s="85"/>
      <c r="R863" s="85"/>
      <c r="S863" s="89"/>
      <c r="T863" s="89" t="s">
        <v>1124</v>
      </c>
      <c r="U863" s="85"/>
      <c r="V863" s="85"/>
      <c r="W863" s="85"/>
      <c r="X863" s="89" t="s">
        <v>1124</v>
      </c>
      <c r="Y863" s="79"/>
      <c r="Z863" s="79"/>
      <c r="AA863" s="94"/>
      <c r="AB863" s="79" t="s">
        <v>1124</v>
      </c>
      <c r="AC863" s="85"/>
      <c r="AD863" s="85"/>
      <c r="AE863" s="85"/>
      <c r="AF863" s="85"/>
      <c r="AG863" s="85" t="s">
        <v>1124</v>
      </c>
      <c r="AH863" s="85"/>
      <c r="AI863" s="85"/>
      <c r="AJ863" s="85"/>
      <c r="AK863" s="85"/>
      <c r="AL863" s="85"/>
      <c r="AM863" s="85"/>
      <c r="AN863" s="85"/>
      <c r="AO863" s="85"/>
      <c r="AP863" s="85"/>
      <c r="AQ863" s="85"/>
      <c r="AR863" s="85" t="s">
        <v>1124</v>
      </c>
      <c r="AS863" s="85"/>
      <c r="AT863" s="85"/>
      <c r="AU863" s="85"/>
      <c r="AV863" s="85"/>
      <c r="AW863" s="85"/>
      <c r="AX863" s="85"/>
      <c r="AY863" s="85"/>
      <c r="AZ863" s="85"/>
      <c r="BA863" s="85"/>
      <c r="BB863" s="89"/>
      <c r="BC863" s="89" t="s">
        <v>1124</v>
      </c>
      <c r="BD863" s="37"/>
      <c r="BE863" s="37"/>
      <c r="BF863" s="279"/>
      <c r="BG863" s="37"/>
      <c r="BH863" s="37"/>
      <c r="BI863" s="37"/>
      <c r="BJ863" s="283"/>
      <c r="BK863" s="161"/>
      <c r="BL863" s="294"/>
      <c r="BM863"/>
      <c r="BN863"/>
      <c r="BO863"/>
      <c r="BP863"/>
      <c r="BQ863"/>
      <c r="BR863"/>
      <c r="BS863"/>
      <c r="BT863"/>
      <c r="BU863"/>
      <c r="BV863"/>
      <c r="BW863"/>
      <c r="BX863"/>
      <c r="BY863"/>
      <c r="BZ863"/>
      <c r="CA863"/>
      <c r="CB863"/>
      <c r="CC863"/>
      <c r="CD863"/>
      <c r="CE863"/>
      <c r="CF863"/>
      <c r="CG863"/>
      <c r="CH863"/>
      <c r="CI863"/>
      <c r="CJ863"/>
    </row>
    <row r="864" spans="1:88" s="32" customFormat="1" ht="15" customHeight="1" x14ac:dyDescent="0.35">
      <c r="A864" s="473"/>
      <c r="B864" s="313">
        <v>27055</v>
      </c>
      <c r="C864" s="8" t="s">
        <v>184</v>
      </c>
      <c r="D864" s="18">
        <v>12</v>
      </c>
      <c r="E864" s="251"/>
      <c r="F864" s="82"/>
      <c r="G864" s="79"/>
      <c r="H864" s="90"/>
      <c r="I864" s="85"/>
      <c r="J864" s="85"/>
      <c r="K864" s="85"/>
      <c r="L864" s="85"/>
      <c r="M864" s="85"/>
      <c r="N864" s="85"/>
      <c r="O864" s="85"/>
      <c r="P864" s="85"/>
      <c r="Q864" s="85"/>
      <c r="R864" s="85"/>
      <c r="S864" s="89"/>
      <c r="T864" s="89" t="s">
        <v>1124</v>
      </c>
      <c r="U864" s="85"/>
      <c r="V864" s="85"/>
      <c r="W864" s="85"/>
      <c r="X864" s="89" t="s">
        <v>1124</v>
      </c>
      <c r="Y864" s="79"/>
      <c r="Z864" s="79"/>
      <c r="AA864" s="94"/>
      <c r="AB864" s="79" t="s">
        <v>1124</v>
      </c>
      <c r="AC864" s="85"/>
      <c r="AD864" s="85"/>
      <c r="AE864" s="85"/>
      <c r="AF864" s="85"/>
      <c r="AG864" s="85" t="s">
        <v>1124</v>
      </c>
      <c r="AH864" s="85"/>
      <c r="AI864" s="85"/>
      <c r="AJ864" s="85"/>
      <c r="AK864" s="85"/>
      <c r="AL864" s="85"/>
      <c r="AM864" s="85"/>
      <c r="AN864" s="85"/>
      <c r="AO864" s="85"/>
      <c r="AP864" s="85"/>
      <c r="AQ864" s="85"/>
      <c r="AR864" s="85" t="s">
        <v>1124</v>
      </c>
      <c r="AS864" s="85"/>
      <c r="AT864" s="85"/>
      <c r="AU864" s="85"/>
      <c r="AV864" s="85"/>
      <c r="AW864" s="85"/>
      <c r="AX864" s="85"/>
      <c r="AY864" s="85"/>
      <c r="AZ864" s="85"/>
      <c r="BA864" s="85"/>
      <c r="BB864" s="89"/>
      <c r="BC864" s="89" t="s">
        <v>1124</v>
      </c>
      <c r="BD864" s="37"/>
      <c r="BE864" s="37"/>
      <c r="BF864" s="279"/>
      <c r="BG864" s="37"/>
      <c r="BH864" s="37"/>
      <c r="BI864" s="37"/>
      <c r="BJ864" s="283"/>
      <c r="BK864" s="161"/>
      <c r="BL864" s="294"/>
      <c r="BM864"/>
      <c r="BN864"/>
      <c r="BO864"/>
      <c r="BP864"/>
      <c r="BQ864"/>
      <c r="BR864"/>
      <c r="BS864"/>
      <c r="BT864"/>
      <c r="BU864"/>
      <c r="BV864"/>
      <c r="BW864"/>
      <c r="BX864"/>
      <c r="BY864"/>
      <c r="BZ864"/>
      <c r="CA864"/>
      <c r="CB864"/>
      <c r="CC864"/>
      <c r="CD864"/>
      <c r="CE864"/>
      <c r="CF864"/>
      <c r="CG864"/>
      <c r="CH864"/>
      <c r="CI864"/>
      <c r="CJ864"/>
    </row>
    <row r="865" spans="1:88" s="32" customFormat="1" ht="15" customHeight="1" x14ac:dyDescent="0.35">
      <c r="A865" s="473"/>
      <c r="B865" s="313">
        <v>31035</v>
      </c>
      <c r="C865" s="8" t="s">
        <v>242</v>
      </c>
      <c r="D865" s="18">
        <v>12</v>
      </c>
      <c r="E865" s="251"/>
      <c r="F865" s="82"/>
      <c r="G865" s="79"/>
      <c r="H865" s="90"/>
      <c r="I865" s="85"/>
      <c r="J865" s="85"/>
      <c r="K865" s="85"/>
      <c r="L865" s="85"/>
      <c r="M865" s="85"/>
      <c r="N865" s="85"/>
      <c r="O865" s="85"/>
      <c r="P865" s="85"/>
      <c r="Q865" s="85"/>
      <c r="R865" s="85"/>
      <c r="S865" s="89"/>
      <c r="T865" s="89" t="s">
        <v>1124</v>
      </c>
      <c r="U865" s="85"/>
      <c r="V865" s="85"/>
      <c r="W865" s="85"/>
      <c r="X865" s="89" t="s">
        <v>1124</v>
      </c>
      <c r="Y865" s="79"/>
      <c r="Z865" s="79"/>
      <c r="AA865" s="94"/>
      <c r="AB865" s="79" t="s">
        <v>1124</v>
      </c>
      <c r="AC865" s="85"/>
      <c r="AD865" s="85"/>
      <c r="AE865" s="85"/>
      <c r="AF865" s="85"/>
      <c r="AG865" s="85" t="s">
        <v>1124</v>
      </c>
      <c r="AH865" s="85"/>
      <c r="AI865" s="85"/>
      <c r="AJ865" s="85"/>
      <c r="AK865" s="85"/>
      <c r="AL865" s="85"/>
      <c r="AM865" s="85"/>
      <c r="AN865" s="85"/>
      <c r="AO865" s="85"/>
      <c r="AP865" s="85"/>
      <c r="AQ865" s="85"/>
      <c r="AR865" s="85" t="s">
        <v>1124</v>
      </c>
      <c r="AS865" s="85"/>
      <c r="AT865" s="85"/>
      <c r="AU865" s="85"/>
      <c r="AV865" s="85"/>
      <c r="AW865" s="85"/>
      <c r="AX865" s="85"/>
      <c r="AY865" s="85"/>
      <c r="AZ865" s="85"/>
      <c r="BA865" s="85"/>
      <c r="BB865" s="89"/>
      <c r="BC865" s="89" t="s">
        <v>1124</v>
      </c>
      <c r="BD865" s="37"/>
      <c r="BE865" s="37"/>
      <c r="BF865" s="279"/>
      <c r="BG865" s="37"/>
      <c r="BH865" s="37"/>
      <c r="BI865" s="37"/>
      <c r="BJ865" s="283"/>
      <c r="BK865" s="161"/>
      <c r="BL865" s="294"/>
      <c r="BM865"/>
      <c r="BN865"/>
      <c r="BO865"/>
      <c r="BP865"/>
      <c r="BQ865"/>
      <c r="BR865"/>
      <c r="BS865"/>
      <c r="BT865"/>
      <c r="BU865"/>
      <c r="BV865"/>
      <c r="BW865"/>
      <c r="BX865"/>
      <c r="BY865"/>
      <c r="BZ865"/>
      <c r="CA865"/>
      <c r="CB865"/>
      <c r="CC865"/>
      <c r="CD865"/>
      <c r="CE865"/>
      <c r="CF865"/>
      <c r="CG865"/>
      <c r="CH865"/>
      <c r="CI865"/>
      <c r="CJ865"/>
    </row>
    <row r="866" spans="1:88" s="32" customFormat="1" ht="15" customHeight="1" x14ac:dyDescent="0.35">
      <c r="A866" s="473"/>
      <c r="B866" s="313">
        <v>18005</v>
      </c>
      <c r="C866" s="8" t="s">
        <v>104</v>
      </c>
      <c r="D866" s="18">
        <v>12</v>
      </c>
      <c r="E866" s="251">
        <v>160</v>
      </c>
      <c r="F866" s="82">
        <v>1.8781869688385269</v>
      </c>
      <c r="G866" s="79">
        <v>300.50991501416428</v>
      </c>
      <c r="H866" s="90">
        <v>3.323</v>
      </c>
      <c r="I866" s="85">
        <v>3.343</v>
      </c>
      <c r="J866" s="85">
        <v>2.976</v>
      </c>
      <c r="K866" s="85">
        <v>2.7570000000000001</v>
      </c>
      <c r="L866" s="85">
        <v>2.6659999999999999</v>
      </c>
      <c r="M866" s="85">
        <v>2.9820000000000002</v>
      </c>
      <c r="N866" s="85">
        <v>3.3330000000000002</v>
      </c>
      <c r="O866" s="85">
        <v>3.1739999999999999</v>
      </c>
      <c r="P866" s="85">
        <v>2.6640000000000001</v>
      </c>
      <c r="Q866" s="85">
        <v>3.2240000000000002</v>
      </c>
      <c r="R866" s="85">
        <v>3.782</v>
      </c>
      <c r="S866" s="89">
        <v>3.548</v>
      </c>
      <c r="T866" s="89">
        <v>37.772000000000006</v>
      </c>
      <c r="U866" s="85">
        <v>0</v>
      </c>
      <c r="V866" s="85">
        <v>37.771999999999998</v>
      </c>
      <c r="W866" s="85">
        <v>0</v>
      </c>
      <c r="X866" s="89">
        <v>37.771999999999998</v>
      </c>
      <c r="Y866" s="79">
        <v>0</v>
      </c>
      <c r="Z866" s="79">
        <v>1</v>
      </c>
      <c r="AA866" s="94">
        <v>0</v>
      </c>
      <c r="AB866" s="79">
        <v>1</v>
      </c>
      <c r="AC866" s="85">
        <v>27.315999999999999</v>
      </c>
      <c r="AD866" s="85">
        <v>2.1040000000000001</v>
      </c>
      <c r="AE866" s="85">
        <v>8.3520000000000003</v>
      </c>
      <c r="AF866" s="85">
        <v>0</v>
      </c>
      <c r="AG866" s="85">
        <v>37.771999999999998</v>
      </c>
      <c r="AH866" s="85">
        <v>0</v>
      </c>
      <c r="AI866" s="85">
        <v>0</v>
      </c>
      <c r="AJ866" s="85">
        <v>0</v>
      </c>
      <c r="AK866" s="85">
        <v>0</v>
      </c>
      <c r="AL866" s="85">
        <v>0</v>
      </c>
      <c r="AM866" s="85">
        <v>0</v>
      </c>
      <c r="AN866" s="85">
        <v>0</v>
      </c>
      <c r="AO866" s="85">
        <v>0</v>
      </c>
      <c r="AP866" s="85">
        <v>0</v>
      </c>
      <c r="AQ866" s="85">
        <v>0</v>
      </c>
      <c r="AR866" s="85">
        <v>0</v>
      </c>
      <c r="AS866" s="85">
        <v>37.771999999999998</v>
      </c>
      <c r="AT866" s="85">
        <v>0</v>
      </c>
      <c r="AU866" s="85">
        <v>0</v>
      </c>
      <c r="AV866" s="85">
        <v>0</v>
      </c>
      <c r="AW866" s="85">
        <v>0</v>
      </c>
      <c r="AX866" s="85">
        <v>0</v>
      </c>
      <c r="AY866" s="85">
        <v>0</v>
      </c>
      <c r="AZ866" s="85">
        <v>0</v>
      </c>
      <c r="BA866" s="85">
        <v>0</v>
      </c>
      <c r="BB866" s="89">
        <v>0</v>
      </c>
      <c r="BC866" s="89">
        <v>37.771999999999998</v>
      </c>
      <c r="BD866" s="37">
        <v>0</v>
      </c>
      <c r="BE866" s="37">
        <v>0</v>
      </c>
      <c r="BF866" s="279">
        <v>3875</v>
      </c>
      <c r="BG866" s="37">
        <v>9000</v>
      </c>
      <c r="BH866" s="37">
        <v>13046</v>
      </c>
      <c r="BI866" s="37">
        <v>0</v>
      </c>
      <c r="BJ866" s="283">
        <v>25921</v>
      </c>
      <c r="BK866" s="161"/>
      <c r="BL866" s="294"/>
      <c r="BM866"/>
      <c r="BN866"/>
      <c r="BO866"/>
      <c r="BP866"/>
      <c r="BQ866"/>
      <c r="BR866"/>
      <c r="BS866"/>
      <c r="BT866"/>
      <c r="BU866"/>
      <c r="BV866"/>
      <c r="BW866"/>
      <c r="BX866"/>
      <c r="BY866"/>
      <c r="BZ866"/>
      <c r="CA866"/>
      <c r="CB866"/>
      <c r="CC866"/>
      <c r="CD866"/>
      <c r="CE866"/>
      <c r="CF866"/>
      <c r="CG866"/>
      <c r="CH866"/>
      <c r="CI866"/>
      <c r="CJ866"/>
    </row>
    <row r="867" spans="1:88" s="32" customFormat="1" ht="15" customHeight="1" x14ac:dyDescent="0.35">
      <c r="A867" s="473"/>
      <c r="B867" s="313">
        <v>13040</v>
      </c>
      <c r="C867" s="8" t="s">
        <v>47</v>
      </c>
      <c r="D867" s="18">
        <v>1</v>
      </c>
      <c r="E867" s="251"/>
      <c r="F867" s="82"/>
      <c r="G867" s="79"/>
      <c r="H867" s="90"/>
      <c r="I867" s="85"/>
      <c r="J867" s="85"/>
      <c r="K867" s="85"/>
      <c r="L867" s="85"/>
      <c r="M867" s="85"/>
      <c r="N867" s="85"/>
      <c r="O867" s="85"/>
      <c r="P867" s="85"/>
      <c r="Q867" s="85"/>
      <c r="R867" s="85"/>
      <c r="S867" s="89"/>
      <c r="T867" s="89" t="s">
        <v>1124</v>
      </c>
      <c r="U867" s="85"/>
      <c r="V867" s="85"/>
      <c r="W867" s="85"/>
      <c r="X867" s="89" t="s">
        <v>1124</v>
      </c>
      <c r="Y867" s="79"/>
      <c r="Z867" s="79"/>
      <c r="AA867" s="94"/>
      <c r="AB867" s="79" t="s">
        <v>1124</v>
      </c>
      <c r="AC867" s="85"/>
      <c r="AD867" s="85"/>
      <c r="AE867" s="85"/>
      <c r="AF867" s="85"/>
      <c r="AG867" s="85" t="s">
        <v>1124</v>
      </c>
      <c r="AH867" s="85"/>
      <c r="AI867" s="85"/>
      <c r="AJ867" s="85"/>
      <c r="AK867" s="85"/>
      <c r="AL867" s="85"/>
      <c r="AM867" s="85"/>
      <c r="AN867" s="85"/>
      <c r="AO867" s="85"/>
      <c r="AP867" s="85"/>
      <c r="AQ867" s="85"/>
      <c r="AR867" s="85" t="s">
        <v>1124</v>
      </c>
      <c r="AS867" s="85"/>
      <c r="AT867" s="85"/>
      <c r="AU867" s="85"/>
      <c r="AV867" s="85"/>
      <c r="AW867" s="85"/>
      <c r="AX867" s="85"/>
      <c r="AY867" s="85"/>
      <c r="AZ867" s="85"/>
      <c r="BA867" s="85"/>
      <c r="BB867" s="89"/>
      <c r="BC867" s="89" t="s">
        <v>1124</v>
      </c>
      <c r="BD867" s="37"/>
      <c r="BE867" s="37"/>
      <c r="BF867" s="279"/>
      <c r="BG867" s="37"/>
      <c r="BH867" s="37"/>
      <c r="BI867" s="37"/>
      <c r="BJ867" s="283"/>
      <c r="BK867" s="161"/>
      <c r="BL867" s="294"/>
      <c r="BM867"/>
      <c r="BN867"/>
      <c r="BO867"/>
      <c r="BP867"/>
      <c r="BQ867"/>
      <c r="BR867"/>
      <c r="BS867"/>
      <c r="BT867"/>
      <c r="BU867"/>
      <c r="BV867"/>
      <c r="BW867"/>
      <c r="BX867"/>
      <c r="BY867"/>
      <c r="BZ867"/>
      <c r="CA867"/>
      <c r="CB867"/>
      <c r="CC867"/>
      <c r="CD867"/>
      <c r="CE867"/>
      <c r="CF867"/>
      <c r="CG867"/>
      <c r="CH867"/>
      <c r="CI867"/>
      <c r="CJ867"/>
    </row>
    <row r="868" spans="1:88" s="32" customFormat="1" ht="15" customHeight="1" x14ac:dyDescent="0.35">
      <c r="A868" s="473"/>
      <c r="B868" s="313">
        <v>51045</v>
      </c>
      <c r="C868" s="8" t="s">
        <v>505</v>
      </c>
      <c r="D868" s="18">
        <v>4</v>
      </c>
      <c r="E868" s="251"/>
      <c r="F868" s="82"/>
      <c r="G868" s="79"/>
      <c r="H868" s="90"/>
      <c r="I868" s="85"/>
      <c r="J868" s="85"/>
      <c r="K868" s="85"/>
      <c r="L868" s="85"/>
      <c r="M868" s="85"/>
      <c r="N868" s="85"/>
      <c r="O868" s="85"/>
      <c r="P868" s="85"/>
      <c r="Q868" s="85"/>
      <c r="R868" s="85"/>
      <c r="S868" s="89"/>
      <c r="T868" s="89" t="s">
        <v>1124</v>
      </c>
      <c r="U868" s="85"/>
      <c r="V868" s="85"/>
      <c r="W868" s="85"/>
      <c r="X868" s="89" t="s">
        <v>1124</v>
      </c>
      <c r="Y868" s="79"/>
      <c r="Z868" s="79"/>
      <c r="AA868" s="94"/>
      <c r="AB868" s="79" t="s">
        <v>1124</v>
      </c>
      <c r="AC868" s="85"/>
      <c r="AD868" s="85"/>
      <c r="AE868" s="85"/>
      <c r="AF868" s="85"/>
      <c r="AG868" s="85" t="s">
        <v>1124</v>
      </c>
      <c r="AH868" s="85"/>
      <c r="AI868" s="85"/>
      <c r="AJ868" s="85"/>
      <c r="AK868" s="85"/>
      <c r="AL868" s="85"/>
      <c r="AM868" s="85"/>
      <c r="AN868" s="85"/>
      <c r="AO868" s="85"/>
      <c r="AP868" s="85"/>
      <c r="AQ868" s="85"/>
      <c r="AR868" s="85" t="s">
        <v>1124</v>
      </c>
      <c r="AS868" s="85"/>
      <c r="AT868" s="85"/>
      <c r="AU868" s="85"/>
      <c r="AV868" s="85"/>
      <c r="AW868" s="85"/>
      <c r="AX868" s="85"/>
      <c r="AY868" s="85"/>
      <c r="AZ868" s="85"/>
      <c r="BA868" s="85"/>
      <c r="BB868" s="89"/>
      <c r="BC868" s="89" t="s">
        <v>1124</v>
      </c>
      <c r="BD868" s="37"/>
      <c r="BE868" s="37"/>
      <c r="BF868" s="279"/>
      <c r="BG868" s="37"/>
      <c r="BH868" s="37"/>
      <c r="BI868" s="37"/>
      <c r="BJ868" s="283"/>
      <c r="BK868" s="161"/>
      <c r="BL868" s="294"/>
      <c r="BM868"/>
      <c r="BN868"/>
      <c r="BO868"/>
      <c r="BP868"/>
      <c r="BQ868"/>
      <c r="BR868"/>
      <c r="BS868"/>
      <c r="BT868"/>
      <c r="BU868"/>
      <c r="BV868"/>
      <c r="BW868"/>
      <c r="BX868"/>
      <c r="BY868"/>
      <c r="BZ868"/>
      <c r="CA868"/>
      <c r="CB868"/>
      <c r="CC868"/>
      <c r="CD868"/>
      <c r="CE868"/>
      <c r="CF868"/>
      <c r="CG868"/>
      <c r="CH868"/>
      <c r="CI868"/>
      <c r="CJ868"/>
    </row>
    <row r="869" spans="1:88" s="32" customFormat="1" ht="15" customHeight="1" x14ac:dyDescent="0.35">
      <c r="A869" s="473"/>
      <c r="B869" s="313">
        <v>87120</v>
      </c>
      <c r="C869" s="8" t="s">
        <v>910</v>
      </c>
      <c r="D869" s="18">
        <v>8</v>
      </c>
      <c r="E869" s="251"/>
      <c r="F869" s="82"/>
      <c r="G869" s="79"/>
      <c r="H869" s="90"/>
      <c r="I869" s="85"/>
      <c r="J869" s="85"/>
      <c r="K869" s="85"/>
      <c r="L869" s="85"/>
      <c r="M869" s="85"/>
      <c r="N869" s="85"/>
      <c r="O869" s="85"/>
      <c r="P869" s="85"/>
      <c r="Q869" s="85"/>
      <c r="R869" s="85"/>
      <c r="S869" s="89"/>
      <c r="T869" s="89" t="s">
        <v>1124</v>
      </c>
      <c r="U869" s="85"/>
      <c r="V869" s="85"/>
      <c r="W869" s="85"/>
      <c r="X869" s="89" t="s">
        <v>1124</v>
      </c>
      <c r="Y869" s="79"/>
      <c r="Z869" s="79"/>
      <c r="AA869" s="94"/>
      <c r="AB869" s="79" t="s">
        <v>1124</v>
      </c>
      <c r="AC869" s="85"/>
      <c r="AD869" s="85"/>
      <c r="AE869" s="85"/>
      <c r="AF869" s="85"/>
      <c r="AG869" s="85" t="s">
        <v>1124</v>
      </c>
      <c r="AH869" s="85"/>
      <c r="AI869" s="85"/>
      <c r="AJ869" s="85"/>
      <c r="AK869" s="85"/>
      <c r="AL869" s="85"/>
      <c r="AM869" s="85"/>
      <c r="AN869" s="85"/>
      <c r="AO869" s="85"/>
      <c r="AP869" s="85"/>
      <c r="AQ869" s="85"/>
      <c r="AR869" s="85" t="s">
        <v>1124</v>
      </c>
      <c r="AS869" s="85"/>
      <c r="AT869" s="85"/>
      <c r="AU869" s="85"/>
      <c r="AV869" s="85"/>
      <c r="AW869" s="85"/>
      <c r="AX869" s="85"/>
      <c r="AY869" s="85"/>
      <c r="AZ869" s="85"/>
      <c r="BA869" s="85"/>
      <c r="BB869" s="89"/>
      <c r="BC869" s="89" t="s">
        <v>1124</v>
      </c>
      <c r="BD869" s="37"/>
      <c r="BE869" s="37"/>
      <c r="BF869" s="279"/>
      <c r="BG869" s="37"/>
      <c r="BH869" s="37"/>
      <c r="BI869" s="37"/>
      <c r="BJ869" s="283"/>
      <c r="BK869" s="161"/>
      <c r="BL869" s="294"/>
      <c r="BM869"/>
      <c r="BN869"/>
      <c r="BO869"/>
      <c r="BP869"/>
      <c r="BQ869"/>
      <c r="BR869"/>
      <c r="BS869"/>
      <c r="BT869"/>
      <c r="BU869"/>
      <c r="BV869"/>
      <c r="BW869"/>
      <c r="BX869"/>
      <c r="BY869"/>
      <c r="BZ869"/>
      <c r="CA869"/>
      <c r="CB869"/>
      <c r="CC869"/>
      <c r="CD869"/>
      <c r="CE869"/>
      <c r="CF869"/>
      <c r="CG869"/>
      <c r="CH869"/>
      <c r="CI869"/>
      <c r="CJ869"/>
    </row>
    <row r="870" spans="1:88" s="32" customFormat="1" ht="15" customHeight="1" x14ac:dyDescent="0.35">
      <c r="A870" s="473"/>
      <c r="B870" s="313">
        <v>58012</v>
      </c>
      <c r="C870" s="8" t="s">
        <v>595</v>
      </c>
      <c r="D870" s="18">
        <v>16</v>
      </c>
      <c r="E870" s="251"/>
      <c r="F870" s="82"/>
      <c r="G870" s="79"/>
      <c r="H870" s="90"/>
      <c r="I870" s="85"/>
      <c r="J870" s="85"/>
      <c r="K870" s="85"/>
      <c r="L870" s="85"/>
      <c r="M870" s="85"/>
      <c r="N870" s="85"/>
      <c r="O870" s="85"/>
      <c r="P870" s="85"/>
      <c r="Q870" s="85"/>
      <c r="R870" s="85"/>
      <c r="S870" s="89"/>
      <c r="T870" s="89" t="s">
        <v>1124</v>
      </c>
      <c r="U870" s="85"/>
      <c r="V870" s="85"/>
      <c r="W870" s="85"/>
      <c r="X870" s="89" t="s">
        <v>1124</v>
      </c>
      <c r="Y870" s="79"/>
      <c r="Z870" s="79"/>
      <c r="AA870" s="94"/>
      <c r="AB870" s="79" t="s">
        <v>1124</v>
      </c>
      <c r="AC870" s="85"/>
      <c r="AD870" s="85"/>
      <c r="AE870" s="85"/>
      <c r="AF870" s="85"/>
      <c r="AG870" s="85" t="s">
        <v>1124</v>
      </c>
      <c r="AH870" s="85"/>
      <c r="AI870" s="85"/>
      <c r="AJ870" s="85"/>
      <c r="AK870" s="85"/>
      <c r="AL870" s="85"/>
      <c r="AM870" s="85"/>
      <c r="AN870" s="85"/>
      <c r="AO870" s="85"/>
      <c r="AP870" s="85"/>
      <c r="AQ870" s="85"/>
      <c r="AR870" s="85" t="s">
        <v>1124</v>
      </c>
      <c r="AS870" s="85"/>
      <c r="AT870" s="85"/>
      <c r="AU870" s="85"/>
      <c r="AV870" s="85"/>
      <c r="AW870" s="85"/>
      <c r="AX870" s="85"/>
      <c r="AY870" s="85"/>
      <c r="AZ870" s="85"/>
      <c r="BA870" s="85"/>
      <c r="BB870" s="89"/>
      <c r="BC870" s="89" t="s">
        <v>1124</v>
      </c>
      <c r="BD870" s="37"/>
      <c r="BE870" s="37"/>
      <c r="BF870" s="279"/>
      <c r="BG870" s="37"/>
      <c r="BH870" s="37"/>
      <c r="BI870" s="37"/>
      <c r="BJ870" s="283"/>
      <c r="BK870" s="161"/>
      <c r="BL870" s="294"/>
      <c r="BM870"/>
      <c r="BN870"/>
      <c r="BO870"/>
      <c r="BP870"/>
      <c r="BQ870"/>
      <c r="BR870"/>
      <c r="BS870"/>
      <c r="BT870"/>
      <c r="BU870"/>
      <c r="BV870"/>
      <c r="BW870"/>
      <c r="BX870"/>
      <c r="BY870"/>
      <c r="BZ870"/>
      <c r="CA870"/>
      <c r="CB870"/>
      <c r="CC870"/>
      <c r="CD870"/>
      <c r="CE870"/>
      <c r="CF870"/>
      <c r="CG870"/>
      <c r="CH870"/>
      <c r="CI870"/>
      <c r="CJ870"/>
    </row>
    <row r="871" spans="1:88" s="32" customFormat="1" ht="15" customHeight="1" x14ac:dyDescent="0.35">
      <c r="A871" s="473"/>
      <c r="B871" s="313">
        <v>26070</v>
      </c>
      <c r="C871" s="8" t="s">
        <v>177</v>
      </c>
      <c r="D871" s="18">
        <v>12</v>
      </c>
      <c r="E871" s="251">
        <v>1090</v>
      </c>
      <c r="F871" s="82">
        <v>2.5988394584139267</v>
      </c>
      <c r="G871" s="79">
        <v>2832.7350096711803</v>
      </c>
      <c r="H871" s="90">
        <v>20.887</v>
      </c>
      <c r="I871" s="85">
        <v>16.683</v>
      </c>
      <c r="J871" s="85">
        <v>19.582000000000001</v>
      </c>
      <c r="K871" s="85">
        <v>19.645</v>
      </c>
      <c r="L871" s="85">
        <v>23.027999999999999</v>
      </c>
      <c r="M871" s="85">
        <v>22.254999999999999</v>
      </c>
      <c r="N871" s="85">
        <v>23.863</v>
      </c>
      <c r="O871" s="85">
        <v>21.637</v>
      </c>
      <c r="P871" s="85">
        <v>20.811</v>
      </c>
      <c r="Q871" s="85">
        <v>20.709</v>
      </c>
      <c r="R871" s="85">
        <v>19.13</v>
      </c>
      <c r="S871" s="89">
        <v>19.920999999999999</v>
      </c>
      <c r="T871" s="89">
        <v>248.15099999999998</v>
      </c>
      <c r="U871" s="85">
        <v>0</v>
      </c>
      <c r="V871" s="85">
        <v>248.15100000000001</v>
      </c>
      <c r="W871" s="85">
        <v>0</v>
      </c>
      <c r="X871" s="89">
        <v>248.15100000000001</v>
      </c>
      <c r="Y871" s="79">
        <v>0</v>
      </c>
      <c r="Z871" s="79">
        <v>1</v>
      </c>
      <c r="AA871" s="94">
        <v>0</v>
      </c>
      <c r="AB871" s="79">
        <v>1</v>
      </c>
      <c r="AC871" s="85">
        <v>185.715</v>
      </c>
      <c r="AD871" s="85">
        <v>28.486000000000001</v>
      </c>
      <c r="AE871" s="85">
        <v>33.950000000000003</v>
      </c>
      <c r="AF871" s="85">
        <v>0</v>
      </c>
      <c r="AG871" s="85">
        <v>248.15100000000001</v>
      </c>
      <c r="AH871" s="85">
        <v>0</v>
      </c>
      <c r="AI871" s="85">
        <v>0</v>
      </c>
      <c r="AJ871" s="85">
        <v>0</v>
      </c>
      <c r="AK871" s="85">
        <v>0</v>
      </c>
      <c r="AL871" s="85">
        <v>0</v>
      </c>
      <c r="AM871" s="85">
        <v>0</v>
      </c>
      <c r="AN871" s="85">
        <v>0</v>
      </c>
      <c r="AO871" s="85">
        <v>0</v>
      </c>
      <c r="AP871" s="85">
        <v>0</v>
      </c>
      <c r="AQ871" s="85">
        <v>0</v>
      </c>
      <c r="AR871" s="85">
        <v>0</v>
      </c>
      <c r="AS871" s="85">
        <v>0</v>
      </c>
      <c r="AT871" s="85">
        <v>0</v>
      </c>
      <c r="AU871" s="85">
        <v>248.15100000000001</v>
      </c>
      <c r="AV871" s="85">
        <v>0</v>
      </c>
      <c r="AW871" s="85">
        <v>0</v>
      </c>
      <c r="AX871" s="85">
        <v>0</v>
      </c>
      <c r="AY871" s="85">
        <v>0</v>
      </c>
      <c r="AZ871" s="85">
        <v>0</v>
      </c>
      <c r="BA871" s="85">
        <v>0</v>
      </c>
      <c r="BB871" s="89">
        <v>0</v>
      </c>
      <c r="BC871" s="89">
        <v>248.15100000000001</v>
      </c>
      <c r="BD871" s="37">
        <v>0</v>
      </c>
      <c r="BE871" s="37">
        <v>0</v>
      </c>
      <c r="BF871" s="279">
        <v>15580</v>
      </c>
      <c r="BG871" s="37">
        <v>115359</v>
      </c>
      <c r="BH871" s="37">
        <v>44395</v>
      </c>
      <c r="BI871" s="37">
        <v>0</v>
      </c>
      <c r="BJ871" s="283">
        <v>175334</v>
      </c>
      <c r="BK871" s="161"/>
      <c r="BL871" s="294"/>
      <c r="BM871"/>
      <c r="BN871"/>
      <c r="BO871"/>
      <c r="BP871"/>
      <c r="BQ871"/>
      <c r="BR871"/>
      <c r="BS871"/>
      <c r="BT871"/>
      <c r="BU871"/>
      <c r="BV871"/>
      <c r="BW871"/>
      <c r="BX871"/>
      <c r="BY871"/>
      <c r="BZ871"/>
      <c r="CA871"/>
      <c r="CB871"/>
      <c r="CC871"/>
      <c r="CD871"/>
      <c r="CE871"/>
      <c r="CF871"/>
      <c r="CG871"/>
      <c r="CH871"/>
      <c r="CI871"/>
      <c r="CJ871"/>
    </row>
    <row r="872" spans="1:88" s="32" customFormat="1" ht="15" customHeight="1" x14ac:dyDescent="0.35">
      <c r="A872" s="473"/>
      <c r="B872" s="313">
        <v>20020</v>
      </c>
      <c r="C872" s="8" t="s">
        <v>141</v>
      </c>
      <c r="D872" s="18">
        <v>3</v>
      </c>
      <c r="E872" s="251"/>
      <c r="F872" s="82"/>
      <c r="G872" s="79"/>
      <c r="H872" s="90"/>
      <c r="I872" s="85"/>
      <c r="J872" s="85"/>
      <c r="K872" s="85"/>
      <c r="L872" s="85"/>
      <c r="M872" s="85"/>
      <c r="N872" s="85"/>
      <c r="O872" s="85"/>
      <c r="P872" s="85"/>
      <c r="Q872" s="85"/>
      <c r="R872" s="85"/>
      <c r="S872" s="89"/>
      <c r="T872" s="89" t="s">
        <v>1124</v>
      </c>
      <c r="U872" s="85"/>
      <c r="V872" s="85"/>
      <c r="W872" s="85"/>
      <c r="X872" s="89" t="s">
        <v>1124</v>
      </c>
      <c r="Y872" s="79"/>
      <c r="Z872" s="79"/>
      <c r="AA872" s="94"/>
      <c r="AB872" s="79" t="s">
        <v>1124</v>
      </c>
      <c r="AC872" s="85"/>
      <c r="AD872" s="85"/>
      <c r="AE872" s="85"/>
      <c r="AF872" s="85"/>
      <c r="AG872" s="85" t="s">
        <v>1124</v>
      </c>
      <c r="AH872" s="85"/>
      <c r="AI872" s="85"/>
      <c r="AJ872" s="85"/>
      <c r="AK872" s="85"/>
      <c r="AL872" s="85"/>
      <c r="AM872" s="85"/>
      <c r="AN872" s="85"/>
      <c r="AO872" s="85"/>
      <c r="AP872" s="85"/>
      <c r="AQ872" s="85"/>
      <c r="AR872" s="85" t="s">
        <v>1124</v>
      </c>
      <c r="AS872" s="85"/>
      <c r="AT872" s="85"/>
      <c r="AU872" s="85"/>
      <c r="AV872" s="85"/>
      <c r="AW872" s="85"/>
      <c r="AX872" s="85"/>
      <c r="AY872" s="85"/>
      <c r="AZ872" s="85"/>
      <c r="BA872" s="85"/>
      <c r="BB872" s="89"/>
      <c r="BC872" s="89" t="s">
        <v>1124</v>
      </c>
      <c r="BD872" s="37"/>
      <c r="BE872" s="37"/>
      <c r="BF872" s="279"/>
      <c r="BG872" s="37"/>
      <c r="BH872" s="37"/>
      <c r="BI872" s="37"/>
      <c r="BJ872" s="283"/>
      <c r="BK872" s="161"/>
      <c r="BL872" s="294"/>
      <c r="BM872"/>
      <c r="BN872"/>
      <c r="BO872"/>
      <c r="BP872"/>
      <c r="BQ872"/>
      <c r="BR872"/>
      <c r="BS872"/>
      <c r="BT872"/>
      <c r="BU872"/>
      <c r="BV872"/>
      <c r="BW872"/>
      <c r="BX872"/>
      <c r="BY872"/>
      <c r="BZ872"/>
      <c r="CA872"/>
      <c r="CB872"/>
      <c r="CC872"/>
      <c r="CD872"/>
      <c r="CE872"/>
      <c r="CF872"/>
      <c r="CG872"/>
      <c r="CH872"/>
      <c r="CI872"/>
      <c r="CJ872"/>
    </row>
    <row r="873" spans="1:88" s="32" customFormat="1" ht="15" customHeight="1" x14ac:dyDescent="0.35">
      <c r="A873" s="473"/>
      <c r="B873" s="314">
        <v>71105</v>
      </c>
      <c r="C873" s="8" t="s">
        <v>721</v>
      </c>
      <c r="D873" s="18">
        <v>16</v>
      </c>
      <c r="E873" s="251">
        <v>7066</v>
      </c>
      <c r="F873" s="82">
        <v>2.9466704288939054</v>
      </c>
      <c r="G873" s="79">
        <v>20821.173250564334</v>
      </c>
      <c r="H873" s="90">
        <v>160.63800000000001</v>
      </c>
      <c r="I873" s="85">
        <v>138.98400000000001</v>
      </c>
      <c r="J873" s="85">
        <v>163.94200000000001</v>
      </c>
      <c r="K873" s="85">
        <v>162.27699999999999</v>
      </c>
      <c r="L873" s="85">
        <v>217.197</v>
      </c>
      <c r="M873" s="85">
        <v>259.77499999999998</v>
      </c>
      <c r="N873" s="85">
        <v>290.625</v>
      </c>
      <c r="O873" s="85">
        <v>267.262</v>
      </c>
      <c r="P873" s="85">
        <v>220.43700000000001</v>
      </c>
      <c r="Q873" s="85">
        <v>178.40899999999999</v>
      </c>
      <c r="R873" s="85">
        <v>153.29300000000001</v>
      </c>
      <c r="S873" s="89">
        <v>165.31399999999999</v>
      </c>
      <c r="T873" s="89">
        <v>2378.1530000000002</v>
      </c>
      <c r="U873" s="85">
        <v>0</v>
      </c>
      <c r="V873" s="85">
        <v>2378.1529999999998</v>
      </c>
      <c r="W873" s="85">
        <v>0</v>
      </c>
      <c r="X873" s="89">
        <v>2378.1529999999998</v>
      </c>
      <c r="Y873" s="79">
        <v>0</v>
      </c>
      <c r="Z873" s="79">
        <v>3</v>
      </c>
      <c r="AA873" s="94">
        <v>0</v>
      </c>
      <c r="AB873" s="79">
        <v>3</v>
      </c>
      <c r="AC873" s="85">
        <v>1975.473952654625</v>
      </c>
      <c r="AD873" s="85">
        <v>103.32934234537561</v>
      </c>
      <c r="AE873" s="85">
        <v>299.34970499999969</v>
      </c>
      <c r="AF873" s="85">
        <v>0</v>
      </c>
      <c r="AG873" s="85">
        <v>2378.1530000000002</v>
      </c>
      <c r="AH873" s="85">
        <v>0</v>
      </c>
      <c r="AI873" s="85">
        <v>0</v>
      </c>
      <c r="AJ873" s="85">
        <v>0</v>
      </c>
      <c r="AK873" s="85">
        <v>0</v>
      </c>
      <c r="AL873" s="85">
        <v>0</v>
      </c>
      <c r="AM873" s="85">
        <v>0</v>
      </c>
      <c r="AN873" s="85">
        <v>0</v>
      </c>
      <c r="AO873" s="85">
        <v>0</v>
      </c>
      <c r="AP873" s="85">
        <v>0</v>
      </c>
      <c r="AQ873" s="85">
        <v>0</v>
      </c>
      <c r="AR873" s="85">
        <v>0</v>
      </c>
      <c r="AS873" s="85">
        <v>0</v>
      </c>
      <c r="AT873" s="85">
        <v>0</v>
      </c>
      <c r="AU873" s="85">
        <v>0</v>
      </c>
      <c r="AV873" s="85">
        <v>0</v>
      </c>
      <c r="AW873" s="85">
        <v>0</v>
      </c>
      <c r="AX873" s="85">
        <v>2243.59</v>
      </c>
      <c r="AY873" s="85">
        <v>134.56299999999999</v>
      </c>
      <c r="AZ873" s="85">
        <v>0</v>
      </c>
      <c r="BA873" s="85">
        <v>0</v>
      </c>
      <c r="BB873" s="89">
        <v>0</v>
      </c>
      <c r="BC873" s="89">
        <v>2378.1530000000002</v>
      </c>
      <c r="BD873" s="37">
        <v>11496</v>
      </c>
      <c r="BE873" s="37">
        <v>1062879</v>
      </c>
      <c r="BF873" s="279">
        <v>84714</v>
      </c>
      <c r="BG873" s="37">
        <v>220570</v>
      </c>
      <c r="BH873" s="37">
        <v>112154</v>
      </c>
      <c r="BI873" s="37">
        <v>5647</v>
      </c>
      <c r="BJ873" s="283">
        <v>423085</v>
      </c>
      <c r="BK873" s="161"/>
      <c r="BL873" s="294"/>
      <c r="BM873"/>
      <c r="BN873"/>
      <c r="BO873"/>
      <c r="BP873"/>
      <c r="BQ873"/>
      <c r="BR873"/>
      <c r="BS873"/>
      <c r="BT873"/>
      <c r="BU873"/>
      <c r="BV873"/>
      <c r="BW873"/>
      <c r="BX873"/>
      <c r="BY873"/>
      <c r="BZ873"/>
      <c r="CA873"/>
      <c r="CB873"/>
      <c r="CC873"/>
      <c r="CD873"/>
      <c r="CE873"/>
      <c r="CF873"/>
      <c r="CG873"/>
      <c r="CH873"/>
      <c r="CI873"/>
      <c r="CJ873"/>
    </row>
    <row r="874" spans="1:88" s="32" customFormat="1" ht="15" customHeight="1" x14ac:dyDescent="0.35">
      <c r="A874" s="473"/>
      <c r="B874" s="313">
        <v>19050</v>
      </c>
      <c r="C874" s="8" t="s">
        <v>126</v>
      </c>
      <c r="D874" s="18">
        <v>12</v>
      </c>
      <c r="E874" s="251">
        <v>319</v>
      </c>
      <c r="F874" s="82">
        <v>2.3963302752293578</v>
      </c>
      <c r="G874" s="79">
        <v>764.42935779816514</v>
      </c>
      <c r="H874" s="90">
        <v>6.1079999999999997</v>
      </c>
      <c r="I874" s="85">
        <v>6.173</v>
      </c>
      <c r="J874" s="85">
        <v>6.07</v>
      </c>
      <c r="K874" s="85">
        <v>5.8680000000000003</v>
      </c>
      <c r="L874" s="85">
        <v>7.3869999999999996</v>
      </c>
      <c r="M874" s="85">
        <v>8.4250000000000007</v>
      </c>
      <c r="N874" s="85">
        <v>7.2370000000000001</v>
      </c>
      <c r="O874" s="85">
        <v>7.2889999999999997</v>
      </c>
      <c r="P874" s="85">
        <v>6.5419999999999998</v>
      </c>
      <c r="Q874" s="85">
        <v>6.4770000000000003</v>
      </c>
      <c r="R874" s="85">
        <v>6.21</v>
      </c>
      <c r="S874" s="89">
        <v>6.0410000000000004</v>
      </c>
      <c r="T874" s="89">
        <v>79.826999999999998</v>
      </c>
      <c r="U874" s="85">
        <v>0</v>
      </c>
      <c r="V874" s="85">
        <v>0</v>
      </c>
      <c r="W874" s="85">
        <v>79.826999999999998</v>
      </c>
      <c r="X874" s="89">
        <v>79.826999999999998</v>
      </c>
      <c r="Y874" s="79">
        <v>0</v>
      </c>
      <c r="Z874" s="79">
        <v>0</v>
      </c>
      <c r="AA874" s="94">
        <v>1</v>
      </c>
      <c r="AB874" s="79">
        <v>1</v>
      </c>
      <c r="AC874" s="85">
        <v>45.393999999999998</v>
      </c>
      <c r="AD874" s="85">
        <v>27.36</v>
      </c>
      <c r="AE874" s="85">
        <v>7.0733656632652986</v>
      </c>
      <c r="AF874" s="85">
        <v>0</v>
      </c>
      <c r="AG874" s="85">
        <v>79.827365663265283</v>
      </c>
      <c r="AH874" s="85">
        <v>0</v>
      </c>
      <c r="AI874" s="85">
        <v>0</v>
      </c>
      <c r="AJ874" s="85">
        <v>0</v>
      </c>
      <c r="AK874" s="85">
        <v>0</v>
      </c>
      <c r="AL874" s="85">
        <v>0</v>
      </c>
      <c r="AM874" s="85">
        <v>0</v>
      </c>
      <c r="AN874" s="85">
        <v>0</v>
      </c>
      <c r="AO874" s="85">
        <v>0</v>
      </c>
      <c r="AP874" s="85">
        <v>0</v>
      </c>
      <c r="AQ874" s="85">
        <v>0</v>
      </c>
      <c r="AR874" s="85">
        <v>0</v>
      </c>
      <c r="AS874" s="85">
        <v>0</v>
      </c>
      <c r="AT874" s="85">
        <v>0</v>
      </c>
      <c r="AU874" s="85">
        <v>0</v>
      </c>
      <c r="AV874" s="85">
        <v>0</v>
      </c>
      <c r="AW874" s="85">
        <v>79.826999999999998</v>
      </c>
      <c r="AX874" s="85">
        <v>0</v>
      </c>
      <c r="AY874" s="85">
        <v>0</v>
      </c>
      <c r="AZ874" s="85">
        <v>0</v>
      </c>
      <c r="BA874" s="85">
        <v>0</v>
      </c>
      <c r="BB874" s="89">
        <v>0</v>
      </c>
      <c r="BC874" s="89">
        <v>79.826999999999998</v>
      </c>
      <c r="BD874" s="37">
        <v>0</v>
      </c>
      <c r="BE874" s="37">
        <v>0</v>
      </c>
      <c r="BF874" s="279">
        <v>32391</v>
      </c>
      <c r="BG874" s="37">
        <v>51710</v>
      </c>
      <c r="BH874" s="37">
        <v>14000</v>
      </c>
      <c r="BI874" s="37">
        <v>0</v>
      </c>
      <c r="BJ874" s="283">
        <v>98101</v>
      </c>
      <c r="BK874" s="161" t="s">
        <v>3204</v>
      </c>
      <c r="BL874" s="294"/>
      <c r="BM874"/>
      <c r="BN874"/>
      <c r="BO874"/>
      <c r="BP874"/>
      <c r="BQ874"/>
      <c r="BR874"/>
      <c r="BS874"/>
      <c r="BT874"/>
      <c r="BU874"/>
      <c r="BV874"/>
      <c r="BW874"/>
      <c r="BX874"/>
      <c r="BY874"/>
      <c r="BZ874"/>
      <c r="CA874"/>
      <c r="CB874"/>
      <c r="CC874"/>
      <c r="CD874"/>
      <c r="CE874"/>
      <c r="CF874"/>
      <c r="CG874"/>
      <c r="CH874"/>
      <c r="CI874"/>
      <c r="CJ874"/>
    </row>
    <row r="875" spans="1:88" s="32" customFormat="1" ht="15" customHeight="1" x14ac:dyDescent="0.35">
      <c r="A875" s="473"/>
      <c r="B875" s="313">
        <v>8065</v>
      </c>
      <c r="C875" s="8" t="s">
        <v>1094</v>
      </c>
      <c r="D875" s="18">
        <v>1</v>
      </c>
      <c r="E875" s="251"/>
      <c r="F875" s="82"/>
      <c r="G875" s="79"/>
      <c r="H875" s="90"/>
      <c r="I875" s="85"/>
      <c r="J875" s="85"/>
      <c r="K875" s="85"/>
      <c r="L875" s="85"/>
      <c r="M875" s="85"/>
      <c r="N875" s="85"/>
      <c r="O875" s="85"/>
      <c r="P875" s="85"/>
      <c r="Q875" s="85"/>
      <c r="R875" s="85"/>
      <c r="S875" s="89"/>
      <c r="T875" s="89" t="s">
        <v>1124</v>
      </c>
      <c r="U875" s="85"/>
      <c r="V875" s="85"/>
      <c r="W875" s="85"/>
      <c r="X875" s="89" t="s">
        <v>1124</v>
      </c>
      <c r="Y875" s="79"/>
      <c r="Z875" s="79"/>
      <c r="AA875" s="94"/>
      <c r="AB875" s="79" t="s">
        <v>1124</v>
      </c>
      <c r="AC875" s="85"/>
      <c r="AD875" s="85"/>
      <c r="AE875" s="85"/>
      <c r="AF875" s="85"/>
      <c r="AG875" s="85" t="s">
        <v>1124</v>
      </c>
      <c r="AH875" s="85"/>
      <c r="AI875" s="85"/>
      <c r="AJ875" s="85"/>
      <c r="AK875" s="85"/>
      <c r="AL875" s="85"/>
      <c r="AM875" s="85"/>
      <c r="AN875" s="85"/>
      <c r="AO875" s="85"/>
      <c r="AP875" s="85"/>
      <c r="AQ875" s="85"/>
      <c r="AR875" s="85" t="s">
        <v>1124</v>
      </c>
      <c r="AS875" s="85"/>
      <c r="AT875" s="85"/>
      <c r="AU875" s="85"/>
      <c r="AV875" s="85"/>
      <c r="AW875" s="85"/>
      <c r="AX875" s="85"/>
      <c r="AY875" s="85"/>
      <c r="AZ875" s="85"/>
      <c r="BA875" s="85"/>
      <c r="BB875" s="89"/>
      <c r="BC875" s="89" t="s">
        <v>1124</v>
      </c>
      <c r="BD875" s="37"/>
      <c r="BE875" s="37"/>
      <c r="BF875" s="279"/>
      <c r="BG875" s="37"/>
      <c r="BH875" s="37"/>
      <c r="BI875" s="37"/>
      <c r="BJ875" s="283"/>
      <c r="BK875" s="161"/>
      <c r="BL875" s="294"/>
      <c r="BM875"/>
      <c r="BN875"/>
      <c r="BO875"/>
      <c r="BP875"/>
      <c r="BQ875"/>
      <c r="BR875"/>
      <c r="BS875"/>
      <c r="BT875"/>
      <c r="BU875"/>
      <c r="BV875"/>
      <c r="BW875"/>
      <c r="BX875"/>
      <c r="BY875"/>
      <c r="BZ875"/>
      <c r="CA875"/>
      <c r="CB875"/>
      <c r="CC875"/>
      <c r="CD875"/>
      <c r="CE875"/>
      <c r="CF875"/>
      <c r="CG875"/>
      <c r="CH875"/>
      <c r="CI875"/>
      <c r="CJ875"/>
    </row>
    <row r="876" spans="1:88" s="32" customFormat="1" ht="15" customHeight="1" x14ac:dyDescent="0.35">
      <c r="A876" s="473"/>
      <c r="B876" s="313">
        <v>50042</v>
      </c>
      <c r="C876" s="8" t="s">
        <v>487</v>
      </c>
      <c r="D876" s="18">
        <v>17</v>
      </c>
      <c r="E876" s="251">
        <v>680</v>
      </c>
      <c r="F876" s="82">
        <v>2.355325164938737</v>
      </c>
      <c r="G876" s="79">
        <v>1601.6211121583412</v>
      </c>
      <c r="H876" s="90">
        <v>10.585000000000001</v>
      </c>
      <c r="I876" s="85">
        <v>9.4250000000000007</v>
      </c>
      <c r="J876" s="85">
        <v>10.515000000000001</v>
      </c>
      <c r="K876" s="85">
        <v>10.565</v>
      </c>
      <c r="L876" s="85">
        <v>12.35</v>
      </c>
      <c r="M876" s="85">
        <v>11.705</v>
      </c>
      <c r="N876" s="85">
        <v>13.01</v>
      </c>
      <c r="O876" s="85">
        <v>15.013</v>
      </c>
      <c r="P876" s="85">
        <v>13.097</v>
      </c>
      <c r="Q876" s="85">
        <v>12.477</v>
      </c>
      <c r="R876" s="85">
        <v>10.122999999999999</v>
      </c>
      <c r="S876" s="89">
        <v>10.7</v>
      </c>
      <c r="T876" s="89">
        <v>139.565</v>
      </c>
      <c r="U876" s="85">
        <v>0</v>
      </c>
      <c r="V876" s="85">
        <v>139.565</v>
      </c>
      <c r="W876" s="85">
        <v>0</v>
      </c>
      <c r="X876" s="89">
        <v>139.565</v>
      </c>
      <c r="Y876" s="79">
        <v>0</v>
      </c>
      <c r="Z876" s="79">
        <v>1</v>
      </c>
      <c r="AA876" s="94">
        <v>0</v>
      </c>
      <c r="AB876" s="79">
        <v>1</v>
      </c>
      <c r="AC876" s="85">
        <v>113.01600000000001</v>
      </c>
      <c r="AD876" s="85">
        <v>9.904999999999994</v>
      </c>
      <c r="AE876" s="85">
        <v>16.643999999999998</v>
      </c>
      <c r="AF876" s="85">
        <v>0</v>
      </c>
      <c r="AG876" s="85">
        <v>139.565</v>
      </c>
      <c r="AH876" s="85">
        <v>0</v>
      </c>
      <c r="AI876" s="85">
        <v>0</v>
      </c>
      <c r="AJ876" s="85">
        <v>0</v>
      </c>
      <c r="AK876" s="85">
        <v>0</v>
      </c>
      <c r="AL876" s="85">
        <v>0</v>
      </c>
      <c r="AM876" s="85">
        <v>0</v>
      </c>
      <c r="AN876" s="85">
        <v>0</v>
      </c>
      <c r="AO876" s="85">
        <v>0</v>
      </c>
      <c r="AP876" s="85">
        <v>0</v>
      </c>
      <c r="AQ876" s="85">
        <v>0</v>
      </c>
      <c r="AR876" s="85">
        <v>0</v>
      </c>
      <c r="AS876" s="85">
        <v>139.565</v>
      </c>
      <c r="AT876" s="85">
        <v>0</v>
      </c>
      <c r="AU876" s="85">
        <v>0</v>
      </c>
      <c r="AV876" s="85">
        <v>0</v>
      </c>
      <c r="AW876" s="85">
        <v>0</v>
      </c>
      <c r="AX876" s="85">
        <v>0</v>
      </c>
      <c r="AY876" s="85">
        <v>0</v>
      </c>
      <c r="AZ876" s="85">
        <v>0</v>
      </c>
      <c r="BA876" s="85">
        <v>0</v>
      </c>
      <c r="BB876" s="89">
        <v>0</v>
      </c>
      <c r="BC876" s="89">
        <v>139.565</v>
      </c>
      <c r="BD876" s="37">
        <v>0</v>
      </c>
      <c r="BE876" s="37">
        <v>0</v>
      </c>
      <c r="BF876" s="279">
        <v>19516</v>
      </c>
      <c r="BG876" s="37">
        <v>79372</v>
      </c>
      <c r="BH876" s="37">
        <v>29904</v>
      </c>
      <c r="BI876" s="37">
        <v>0</v>
      </c>
      <c r="BJ876" s="283">
        <v>128792</v>
      </c>
      <c r="BK876" s="161"/>
      <c r="BL876" s="294"/>
      <c r="BM876"/>
      <c r="BN876"/>
      <c r="BO876"/>
      <c r="BP876"/>
      <c r="BQ876"/>
      <c r="BR876"/>
      <c r="BS876"/>
      <c r="BT876"/>
      <c r="BU876"/>
      <c r="BV876"/>
      <c r="BW876"/>
      <c r="BX876"/>
      <c r="BY876"/>
      <c r="BZ876"/>
      <c r="CA876"/>
      <c r="CB876"/>
      <c r="CC876"/>
      <c r="CD876"/>
      <c r="CE876"/>
      <c r="CF876"/>
      <c r="CG876"/>
      <c r="CH876"/>
      <c r="CI876"/>
      <c r="CJ876"/>
    </row>
    <row r="877" spans="1:88" s="32" customFormat="1" ht="15" customHeight="1" x14ac:dyDescent="0.35">
      <c r="A877" s="473"/>
      <c r="B877" s="313">
        <v>34115</v>
      </c>
      <c r="C877" s="8" t="s">
        <v>299</v>
      </c>
      <c r="D877" s="18">
        <v>3</v>
      </c>
      <c r="E877" s="251">
        <v>238</v>
      </c>
      <c r="F877" s="82">
        <v>2.1969111969111967</v>
      </c>
      <c r="G877" s="79">
        <v>522.86486486486478</v>
      </c>
      <c r="H877" s="90">
        <v>2.734</v>
      </c>
      <c r="I877" s="85">
        <v>1.403</v>
      </c>
      <c r="J877" s="85">
        <v>2.6749999999999998</v>
      </c>
      <c r="K877" s="85">
        <v>2.7750000000000004</v>
      </c>
      <c r="L877" s="85">
        <v>4.1710000000000003</v>
      </c>
      <c r="M877" s="85">
        <v>2.4809999999999999</v>
      </c>
      <c r="N877" s="85">
        <v>1.006</v>
      </c>
      <c r="O877" s="85">
        <v>0.79300000000000004</v>
      </c>
      <c r="P877" s="85">
        <v>0.76300000000000001</v>
      </c>
      <c r="Q877" s="85">
        <v>0.90800000000000003</v>
      </c>
      <c r="R877" s="85">
        <v>3.2899999999999996</v>
      </c>
      <c r="S877" s="89">
        <v>3.15</v>
      </c>
      <c r="T877" s="89">
        <v>26.148999999999997</v>
      </c>
      <c r="U877" s="85">
        <v>0</v>
      </c>
      <c r="V877" s="85">
        <v>26.149000000000001</v>
      </c>
      <c r="W877" s="85">
        <v>0</v>
      </c>
      <c r="X877" s="89">
        <v>26.149000000000001</v>
      </c>
      <c r="Y877" s="79">
        <v>0</v>
      </c>
      <c r="Z877" s="79">
        <v>1</v>
      </c>
      <c r="AA877" s="94">
        <v>0</v>
      </c>
      <c r="AB877" s="79">
        <v>1</v>
      </c>
      <c r="AC877" s="85">
        <v>21.147028571428571</v>
      </c>
      <c r="AD877" s="85">
        <v>1.0143111555829214</v>
      </c>
      <c r="AE877" s="85">
        <v>3.9876602729885087</v>
      </c>
      <c r="AF877" s="85">
        <v>0</v>
      </c>
      <c r="AG877" s="85">
        <v>26.149000000000001</v>
      </c>
      <c r="AH877" s="85">
        <v>0</v>
      </c>
      <c r="AI877" s="85">
        <v>0</v>
      </c>
      <c r="AJ877" s="85">
        <v>0</v>
      </c>
      <c r="AK877" s="85">
        <v>0</v>
      </c>
      <c r="AL877" s="85">
        <v>0</v>
      </c>
      <c r="AM877" s="85">
        <v>0</v>
      </c>
      <c r="AN877" s="85">
        <v>0</v>
      </c>
      <c r="AO877" s="85">
        <v>0</v>
      </c>
      <c r="AP877" s="85">
        <v>0</v>
      </c>
      <c r="AQ877" s="85">
        <v>0</v>
      </c>
      <c r="AR877" s="85">
        <v>0</v>
      </c>
      <c r="AS877" s="85">
        <v>26.149000000000001</v>
      </c>
      <c r="AT877" s="85">
        <v>0</v>
      </c>
      <c r="AU877" s="85">
        <v>0</v>
      </c>
      <c r="AV877" s="85">
        <v>0</v>
      </c>
      <c r="AW877" s="85">
        <v>0</v>
      </c>
      <c r="AX877" s="85">
        <v>0</v>
      </c>
      <c r="AY877" s="85">
        <v>0</v>
      </c>
      <c r="AZ877" s="85">
        <v>0</v>
      </c>
      <c r="BA877" s="85">
        <v>0</v>
      </c>
      <c r="BB877" s="89">
        <v>0</v>
      </c>
      <c r="BC877" s="89">
        <v>26.149000000000001</v>
      </c>
      <c r="BD877" s="37">
        <v>0</v>
      </c>
      <c r="BE877" s="37">
        <v>0</v>
      </c>
      <c r="BF877" s="279">
        <v>9029</v>
      </c>
      <c r="BG877" s="37">
        <v>36469</v>
      </c>
      <c r="BH877" s="37">
        <v>9161</v>
      </c>
      <c r="BI877" s="37">
        <v>1319</v>
      </c>
      <c r="BJ877" s="283">
        <v>55978</v>
      </c>
      <c r="BK877" s="161"/>
      <c r="BL877" s="294"/>
      <c r="BM877"/>
      <c r="BN877"/>
      <c r="BO877"/>
      <c r="BP877"/>
      <c r="BQ877"/>
      <c r="BR877"/>
      <c r="BS877"/>
      <c r="BT877"/>
      <c r="BU877"/>
      <c r="BV877"/>
      <c r="BW877"/>
      <c r="BX877"/>
      <c r="BY877"/>
      <c r="BZ877"/>
      <c r="CA877"/>
      <c r="CB877"/>
      <c r="CC877"/>
      <c r="CD877"/>
      <c r="CE877"/>
      <c r="CF877"/>
      <c r="CG877"/>
      <c r="CH877"/>
      <c r="CI877"/>
      <c r="CJ877"/>
    </row>
    <row r="878" spans="1:88" s="32" customFormat="1" ht="15" customHeight="1" x14ac:dyDescent="0.35">
      <c r="A878" s="473"/>
      <c r="B878" s="313">
        <v>19020</v>
      </c>
      <c r="C878" s="8" t="s">
        <v>121</v>
      </c>
      <c r="D878" s="18">
        <v>12</v>
      </c>
      <c r="E878" s="251">
        <v>330</v>
      </c>
      <c r="F878" s="82">
        <v>1.7365930599369086</v>
      </c>
      <c r="G878" s="79">
        <v>573.07570977917987</v>
      </c>
      <c r="H878" s="90">
        <v>3.9950000000000001</v>
      </c>
      <c r="I878" s="85">
        <v>3.7469999999999999</v>
      </c>
      <c r="J878" s="85">
        <v>4.4690000000000003</v>
      </c>
      <c r="K878" s="85">
        <v>3.806</v>
      </c>
      <c r="L878" s="85">
        <v>4.7640000000000002</v>
      </c>
      <c r="M878" s="85">
        <v>4.4649999999999999</v>
      </c>
      <c r="N878" s="85">
        <v>4.79</v>
      </c>
      <c r="O878" s="85">
        <v>4.1589999999999998</v>
      </c>
      <c r="P878" s="85">
        <v>4.202</v>
      </c>
      <c r="Q878" s="85">
        <v>4.734</v>
      </c>
      <c r="R878" s="85">
        <v>3.9049999999999998</v>
      </c>
      <c r="S878" s="89">
        <v>4.2009999999999996</v>
      </c>
      <c r="T878" s="89">
        <v>51.237000000000002</v>
      </c>
      <c r="U878" s="85">
        <v>0</v>
      </c>
      <c r="V878" s="85">
        <v>51.237000000000002</v>
      </c>
      <c r="W878" s="85">
        <v>0</v>
      </c>
      <c r="X878" s="89">
        <v>51.237000000000002</v>
      </c>
      <c r="Y878" s="79">
        <v>0</v>
      </c>
      <c r="Z878" s="79">
        <v>2</v>
      </c>
      <c r="AA878" s="94">
        <v>0</v>
      </c>
      <c r="AB878" s="79">
        <v>2</v>
      </c>
      <c r="AC878" s="85">
        <v>41.800899999999999</v>
      </c>
      <c r="AD878" s="85">
        <v>2.5987797959183698</v>
      </c>
      <c r="AE878" s="85">
        <v>6.8373202040816334</v>
      </c>
      <c r="AF878" s="85">
        <v>0</v>
      </c>
      <c r="AG878" s="85">
        <v>51.237000000000002</v>
      </c>
      <c r="AH878" s="85">
        <v>0</v>
      </c>
      <c r="AI878" s="85">
        <v>0</v>
      </c>
      <c r="AJ878" s="85">
        <v>0</v>
      </c>
      <c r="AK878" s="85">
        <v>0</v>
      </c>
      <c r="AL878" s="85">
        <v>0</v>
      </c>
      <c r="AM878" s="85">
        <v>0</v>
      </c>
      <c r="AN878" s="85">
        <v>0</v>
      </c>
      <c r="AO878" s="85">
        <v>0</v>
      </c>
      <c r="AP878" s="85">
        <v>0</v>
      </c>
      <c r="AQ878" s="85">
        <v>0</v>
      </c>
      <c r="AR878" s="85">
        <v>0</v>
      </c>
      <c r="AS878" s="85">
        <v>0</v>
      </c>
      <c r="AT878" s="85">
        <v>0</v>
      </c>
      <c r="AU878" s="85">
        <v>0</v>
      </c>
      <c r="AV878" s="85">
        <v>0</v>
      </c>
      <c r="AW878" s="85">
        <v>0</v>
      </c>
      <c r="AX878" s="85">
        <v>51.237000000000002</v>
      </c>
      <c r="AY878" s="85">
        <v>0</v>
      </c>
      <c r="AZ878" s="85">
        <v>0</v>
      </c>
      <c r="BA878" s="85">
        <v>0</v>
      </c>
      <c r="BB878" s="89">
        <v>0</v>
      </c>
      <c r="BC878" s="89">
        <v>51.237000000000002</v>
      </c>
      <c r="BD878" s="37">
        <v>31608</v>
      </c>
      <c r="BE878" s="37">
        <v>27752</v>
      </c>
      <c r="BF878" s="279">
        <v>9658</v>
      </c>
      <c r="BG878" s="37">
        <v>34511</v>
      </c>
      <c r="BH878" s="37">
        <v>15270</v>
      </c>
      <c r="BI878" s="37">
        <v>2725</v>
      </c>
      <c r="BJ878" s="283">
        <v>62164</v>
      </c>
      <c r="BK878" s="161"/>
      <c r="BL878" s="294"/>
      <c r="BM878"/>
      <c r="BN878"/>
      <c r="BO878"/>
      <c r="BP878"/>
      <c r="BQ878"/>
      <c r="BR878"/>
      <c r="BS878"/>
      <c r="BT878"/>
      <c r="BU878"/>
      <c r="BV878"/>
      <c r="BW878"/>
      <c r="BX878"/>
      <c r="BY878"/>
      <c r="BZ878"/>
      <c r="CA878"/>
      <c r="CB878"/>
      <c r="CC878"/>
      <c r="CD878"/>
      <c r="CE878"/>
      <c r="CF878"/>
      <c r="CG878"/>
      <c r="CH878"/>
      <c r="CI878"/>
      <c r="CJ878"/>
    </row>
    <row r="879" spans="1:88" s="32" customFormat="1" ht="15" customHeight="1" x14ac:dyDescent="0.35">
      <c r="A879" s="473"/>
      <c r="B879" s="313">
        <v>7030</v>
      </c>
      <c r="C879" s="8" t="s">
        <v>1072</v>
      </c>
      <c r="D879" s="18">
        <v>1</v>
      </c>
      <c r="E879" s="251"/>
      <c r="F879" s="82"/>
      <c r="G879" s="79"/>
      <c r="H879" s="90"/>
      <c r="I879" s="85"/>
      <c r="J879" s="85"/>
      <c r="K879" s="85"/>
      <c r="L879" s="85"/>
      <c r="M879" s="85"/>
      <c r="N879" s="85"/>
      <c r="O879" s="85"/>
      <c r="P879" s="85"/>
      <c r="Q879" s="85"/>
      <c r="R879" s="85"/>
      <c r="S879" s="89"/>
      <c r="T879" s="89" t="s">
        <v>1124</v>
      </c>
      <c r="U879" s="85"/>
      <c r="V879" s="85"/>
      <c r="W879" s="85"/>
      <c r="X879" s="89" t="s">
        <v>1124</v>
      </c>
      <c r="Y879" s="79"/>
      <c r="Z879" s="79"/>
      <c r="AA879" s="94"/>
      <c r="AB879" s="79" t="s">
        <v>1124</v>
      </c>
      <c r="AC879" s="85"/>
      <c r="AD879" s="85"/>
      <c r="AE879" s="85"/>
      <c r="AF879" s="85"/>
      <c r="AG879" s="85" t="s">
        <v>1124</v>
      </c>
      <c r="AH879" s="85"/>
      <c r="AI879" s="85"/>
      <c r="AJ879" s="85"/>
      <c r="AK879" s="85"/>
      <c r="AL879" s="85"/>
      <c r="AM879" s="85"/>
      <c r="AN879" s="85"/>
      <c r="AO879" s="85"/>
      <c r="AP879" s="85"/>
      <c r="AQ879" s="85"/>
      <c r="AR879" s="85" t="s">
        <v>1124</v>
      </c>
      <c r="AS879" s="85"/>
      <c r="AT879" s="85"/>
      <c r="AU879" s="85"/>
      <c r="AV879" s="85"/>
      <c r="AW879" s="85"/>
      <c r="AX879" s="85"/>
      <c r="AY879" s="85"/>
      <c r="AZ879" s="85"/>
      <c r="BA879" s="85"/>
      <c r="BB879" s="89"/>
      <c r="BC879" s="89" t="s">
        <v>1124</v>
      </c>
      <c r="BD879" s="37"/>
      <c r="BE879" s="37"/>
      <c r="BF879" s="279"/>
      <c r="BG879" s="37"/>
      <c r="BH879" s="37"/>
      <c r="BI879" s="37"/>
      <c r="BJ879" s="283"/>
      <c r="BK879" s="161"/>
      <c r="BL879" s="294"/>
      <c r="BM879"/>
      <c r="BN879"/>
      <c r="BO879"/>
      <c r="BP879"/>
      <c r="BQ879"/>
      <c r="BR879"/>
      <c r="BS879"/>
      <c r="BT879"/>
      <c r="BU879"/>
      <c r="BV879"/>
      <c r="BW879"/>
      <c r="BX879"/>
      <c r="BY879"/>
      <c r="BZ879"/>
      <c r="CA879"/>
      <c r="CB879"/>
      <c r="CC879"/>
      <c r="CD879"/>
      <c r="CE879"/>
      <c r="CF879"/>
      <c r="CG879"/>
      <c r="CH879"/>
      <c r="CI879"/>
      <c r="CJ879"/>
    </row>
    <row r="880" spans="1:88" s="32" customFormat="1" ht="15" customHeight="1" x14ac:dyDescent="0.35">
      <c r="A880" s="473"/>
      <c r="B880" s="313">
        <v>51035</v>
      </c>
      <c r="C880" s="8" t="s">
        <v>503</v>
      </c>
      <c r="D880" s="18">
        <v>4</v>
      </c>
      <c r="E880" s="251"/>
      <c r="F880" s="82"/>
      <c r="G880" s="79"/>
      <c r="H880" s="90"/>
      <c r="I880" s="85"/>
      <c r="J880" s="85"/>
      <c r="K880" s="85"/>
      <c r="L880" s="85"/>
      <c r="M880" s="85"/>
      <c r="N880" s="85"/>
      <c r="O880" s="85"/>
      <c r="P880" s="85"/>
      <c r="Q880" s="85"/>
      <c r="R880" s="85"/>
      <c r="S880" s="89"/>
      <c r="T880" s="89" t="s">
        <v>1124</v>
      </c>
      <c r="U880" s="85"/>
      <c r="V880" s="85"/>
      <c r="W880" s="85"/>
      <c r="X880" s="89" t="s">
        <v>1124</v>
      </c>
      <c r="Y880" s="79"/>
      <c r="Z880" s="79"/>
      <c r="AA880" s="94"/>
      <c r="AB880" s="79" t="s">
        <v>1124</v>
      </c>
      <c r="AC880" s="85"/>
      <c r="AD880" s="85"/>
      <c r="AE880" s="85"/>
      <c r="AF880" s="85"/>
      <c r="AG880" s="85" t="s">
        <v>1124</v>
      </c>
      <c r="AH880" s="85"/>
      <c r="AI880" s="85"/>
      <c r="AJ880" s="85"/>
      <c r="AK880" s="85"/>
      <c r="AL880" s="85"/>
      <c r="AM880" s="85"/>
      <c r="AN880" s="85"/>
      <c r="AO880" s="85"/>
      <c r="AP880" s="85"/>
      <c r="AQ880" s="85"/>
      <c r="AR880" s="85" t="s">
        <v>1124</v>
      </c>
      <c r="AS880" s="85"/>
      <c r="AT880" s="85"/>
      <c r="AU880" s="85"/>
      <c r="AV880" s="85"/>
      <c r="AW880" s="85"/>
      <c r="AX880" s="85"/>
      <c r="AY880" s="85"/>
      <c r="AZ880" s="85"/>
      <c r="BA880" s="85"/>
      <c r="BB880" s="89"/>
      <c r="BC880" s="89" t="s">
        <v>1124</v>
      </c>
      <c r="BD880" s="37"/>
      <c r="BE880" s="37"/>
      <c r="BF880" s="279"/>
      <c r="BG880" s="37"/>
      <c r="BH880" s="37"/>
      <c r="BI880" s="37"/>
      <c r="BJ880" s="283"/>
      <c r="BK880" s="161"/>
      <c r="BL880" s="294"/>
      <c r="BM880"/>
      <c r="BN880"/>
      <c r="BO880"/>
      <c r="BP880"/>
      <c r="BQ880"/>
      <c r="BR880"/>
      <c r="BS880"/>
      <c r="BT880"/>
      <c r="BU880"/>
      <c r="BV880"/>
      <c r="BW880"/>
      <c r="BX880"/>
      <c r="BY880"/>
      <c r="BZ880"/>
      <c r="CA880"/>
      <c r="CB880"/>
      <c r="CC880"/>
      <c r="CD880"/>
      <c r="CE880"/>
      <c r="CF880"/>
      <c r="CG880"/>
      <c r="CH880"/>
      <c r="CI880"/>
      <c r="CJ880"/>
    </row>
    <row r="881" spans="1:88" s="32" customFormat="1" ht="15" customHeight="1" x14ac:dyDescent="0.35">
      <c r="A881" s="473"/>
      <c r="B881" s="313">
        <v>54072</v>
      </c>
      <c r="C881" s="8" t="s">
        <v>550</v>
      </c>
      <c r="D881" s="18">
        <v>16</v>
      </c>
      <c r="E881" s="251"/>
      <c r="F881" s="82"/>
      <c r="G881" s="79"/>
      <c r="H881" s="90"/>
      <c r="I881" s="85"/>
      <c r="J881" s="85"/>
      <c r="K881" s="85"/>
      <c r="L881" s="85"/>
      <c r="M881" s="85"/>
      <c r="N881" s="85"/>
      <c r="O881" s="85"/>
      <c r="P881" s="85"/>
      <c r="Q881" s="85"/>
      <c r="R881" s="85"/>
      <c r="S881" s="89"/>
      <c r="T881" s="89" t="s">
        <v>1124</v>
      </c>
      <c r="U881" s="85"/>
      <c r="V881" s="85"/>
      <c r="W881" s="85"/>
      <c r="X881" s="89" t="s">
        <v>1124</v>
      </c>
      <c r="Y881" s="79"/>
      <c r="Z881" s="79"/>
      <c r="AA881" s="94"/>
      <c r="AB881" s="79" t="s">
        <v>1124</v>
      </c>
      <c r="AC881" s="85"/>
      <c r="AD881" s="85"/>
      <c r="AE881" s="85"/>
      <c r="AF881" s="85"/>
      <c r="AG881" s="85" t="s">
        <v>1124</v>
      </c>
      <c r="AH881" s="85"/>
      <c r="AI881" s="85"/>
      <c r="AJ881" s="85"/>
      <c r="AK881" s="85"/>
      <c r="AL881" s="85"/>
      <c r="AM881" s="85"/>
      <c r="AN881" s="85"/>
      <c r="AO881" s="85"/>
      <c r="AP881" s="85"/>
      <c r="AQ881" s="85"/>
      <c r="AR881" s="85" t="s">
        <v>1124</v>
      </c>
      <c r="AS881" s="85"/>
      <c r="AT881" s="85"/>
      <c r="AU881" s="85"/>
      <c r="AV881" s="85"/>
      <c r="AW881" s="85"/>
      <c r="AX881" s="85"/>
      <c r="AY881" s="85"/>
      <c r="AZ881" s="85"/>
      <c r="BA881" s="85"/>
      <c r="BB881" s="89"/>
      <c r="BC881" s="89" t="s">
        <v>1124</v>
      </c>
      <c r="BD881" s="37"/>
      <c r="BE881" s="37"/>
      <c r="BF881" s="279"/>
      <c r="BG881" s="37"/>
      <c r="BH881" s="37"/>
      <c r="BI881" s="37"/>
      <c r="BJ881" s="283"/>
      <c r="BK881" s="161"/>
      <c r="BL881" s="294"/>
      <c r="BM881"/>
      <c r="BN881"/>
      <c r="BO881"/>
      <c r="BP881"/>
      <c r="BQ881"/>
      <c r="BR881"/>
      <c r="BS881"/>
      <c r="BT881"/>
      <c r="BU881"/>
      <c r="BV881"/>
      <c r="BW881"/>
      <c r="BX881"/>
      <c r="BY881"/>
      <c r="BZ881"/>
      <c r="CA881"/>
      <c r="CB881"/>
      <c r="CC881"/>
      <c r="CD881"/>
      <c r="CE881"/>
      <c r="CF881"/>
      <c r="CG881"/>
      <c r="CH881"/>
      <c r="CI881"/>
      <c r="CJ881"/>
    </row>
    <row r="882" spans="1:88" s="32" customFormat="1" ht="15" customHeight="1" x14ac:dyDescent="0.35">
      <c r="A882" s="473"/>
      <c r="B882" s="313">
        <v>63065</v>
      </c>
      <c r="C882" s="8" t="s">
        <v>643</v>
      </c>
      <c r="D882" s="18">
        <v>14</v>
      </c>
      <c r="E882" s="251">
        <v>347</v>
      </c>
      <c r="F882" s="82">
        <v>2.425814234016888</v>
      </c>
      <c r="G882" s="79">
        <v>841.75753920386012</v>
      </c>
      <c r="H882" s="90">
        <v>4.9290000000000003</v>
      </c>
      <c r="I882" s="85">
        <v>3.8969999999999998</v>
      </c>
      <c r="J882" s="85">
        <v>4.9109999999999996</v>
      </c>
      <c r="K882" s="85">
        <v>4.6340000000000003</v>
      </c>
      <c r="L882" s="85">
        <v>10.159000000000001</v>
      </c>
      <c r="M882" s="85">
        <v>10.334</v>
      </c>
      <c r="N882" s="85">
        <v>10.186</v>
      </c>
      <c r="O882" s="85">
        <v>12.058</v>
      </c>
      <c r="P882" s="85">
        <v>7.359</v>
      </c>
      <c r="Q882" s="85">
        <v>4.984</v>
      </c>
      <c r="R882" s="85">
        <v>4.7130000000000001</v>
      </c>
      <c r="S882" s="89">
        <v>4.9969999999999999</v>
      </c>
      <c r="T882" s="89">
        <v>83.160999999999987</v>
      </c>
      <c r="U882" s="85">
        <v>0</v>
      </c>
      <c r="V882" s="85">
        <v>83.161000000000001</v>
      </c>
      <c r="W882" s="85">
        <v>0</v>
      </c>
      <c r="X882" s="89">
        <v>83.161000000000001</v>
      </c>
      <c r="Y882" s="79">
        <v>0</v>
      </c>
      <c r="Z882" s="79">
        <v>1</v>
      </c>
      <c r="AA882" s="94">
        <v>0</v>
      </c>
      <c r="AB882" s="79">
        <v>1</v>
      </c>
      <c r="AC882" s="85">
        <v>71.679000000000002</v>
      </c>
      <c r="AD882" s="85">
        <v>4.3459999999999992</v>
      </c>
      <c r="AE882" s="85">
        <v>7.1360000000000001</v>
      </c>
      <c r="AF882" s="85">
        <v>0</v>
      </c>
      <c r="AG882" s="85">
        <v>83.161000000000001</v>
      </c>
      <c r="AH882" s="85">
        <v>0</v>
      </c>
      <c r="AI882" s="85">
        <v>0</v>
      </c>
      <c r="AJ882" s="85">
        <v>0</v>
      </c>
      <c r="AK882" s="85">
        <v>0</v>
      </c>
      <c r="AL882" s="85">
        <v>0</v>
      </c>
      <c r="AM882" s="85">
        <v>0</v>
      </c>
      <c r="AN882" s="85">
        <v>0</v>
      </c>
      <c r="AO882" s="85">
        <v>0</v>
      </c>
      <c r="AP882" s="85">
        <v>0</v>
      </c>
      <c r="AQ882" s="85">
        <v>0</v>
      </c>
      <c r="AR882" s="85">
        <v>0</v>
      </c>
      <c r="AS882" s="85">
        <v>0</v>
      </c>
      <c r="AT882" s="85">
        <v>0</v>
      </c>
      <c r="AU882" s="85">
        <v>0</v>
      </c>
      <c r="AV882" s="85">
        <v>0</v>
      </c>
      <c r="AW882" s="85">
        <v>0</v>
      </c>
      <c r="AX882" s="85">
        <v>0</v>
      </c>
      <c r="AY882" s="85">
        <v>0</v>
      </c>
      <c r="AZ882" s="85">
        <v>0</v>
      </c>
      <c r="BA882" s="85">
        <v>83.161000000000001</v>
      </c>
      <c r="BB882" s="89">
        <v>0</v>
      </c>
      <c r="BC882" s="89">
        <v>83.161000000000001</v>
      </c>
      <c r="BD882" s="37">
        <v>0</v>
      </c>
      <c r="BE882" s="37">
        <v>0</v>
      </c>
      <c r="BF882" s="279">
        <v>6234.3</v>
      </c>
      <c r="BG882" s="37">
        <v>5652.62</v>
      </c>
      <c r="BH882" s="37">
        <v>13394.94</v>
      </c>
      <c r="BI882" s="37">
        <v>1390.96</v>
      </c>
      <c r="BJ882" s="283">
        <v>26672.82</v>
      </c>
      <c r="BK882" s="161"/>
      <c r="BL882" s="294"/>
      <c r="BM882"/>
      <c r="BN882"/>
      <c r="BO882"/>
      <c r="BP882"/>
      <c r="BQ882"/>
      <c r="BR882"/>
      <c r="BS882"/>
      <c r="BT882"/>
      <c r="BU882"/>
      <c r="BV882"/>
      <c r="BW882"/>
      <c r="BX882"/>
      <c r="BY882"/>
      <c r="BZ882"/>
      <c r="CA882"/>
      <c r="CB882"/>
      <c r="CC882"/>
      <c r="CD882"/>
      <c r="CE882"/>
      <c r="CF882"/>
      <c r="CG882"/>
      <c r="CH882"/>
      <c r="CI882"/>
      <c r="CJ882"/>
    </row>
    <row r="883" spans="1:88" s="32" customFormat="1" ht="15" customHeight="1" x14ac:dyDescent="0.35">
      <c r="A883" s="473"/>
      <c r="B883" s="313">
        <v>63048</v>
      </c>
      <c r="C883" s="8" t="s">
        <v>640</v>
      </c>
      <c r="D883" s="18">
        <v>14</v>
      </c>
      <c r="E883" s="251">
        <v>3406</v>
      </c>
      <c r="F883" s="82">
        <v>2.6552095808383234</v>
      </c>
      <c r="G883" s="79">
        <v>9043.6438323353286</v>
      </c>
      <c r="H883" s="90">
        <v>92.867000000000004</v>
      </c>
      <c r="I883" s="85">
        <v>85.584000000000003</v>
      </c>
      <c r="J883" s="85">
        <v>98.620999999999995</v>
      </c>
      <c r="K883" s="85">
        <v>97.515000000000001</v>
      </c>
      <c r="L883" s="85">
        <v>109.681</v>
      </c>
      <c r="M883" s="85">
        <v>108.81100000000001</v>
      </c>
      <c r="N883" s="85">
        <v>109.952</v>
      </c>
      <c r="O883" s="85">
        <v>108.539</v>
      </c>
      <c r="P883" s="85">
        <v>97.438999999999993</v>
      </c>
      <c r="Q883" s="85">
        <v>92.266999999999996</v>
      </c>
      <c r="R883" s="85">
        <v>88.1</v>
      </c>
      <c r="S883" s="89">
        <v>88.653999999999996</v>
      </c>
      <c r="T883" s="89">
        <v>1178.0299999999997</v>
      </c>
      <c r="U883" s="85">
        <v>0</v>
      </c>
      <c r="V883" s="85">
        <v>1178.03</v>
      </c>
      <c r="W883" s="85">
        <v>0</v>
      </c>
      <c r="X883" s="89">
        <v>1178.03</v>
      </c>
      <c r="Y883" s="79">
        <v>0</v>
      </c>
      <c r="Z883" s="79">
        <v>1</v>
      </c>
      <c r="AA883" s="94">
        <v>0</v>
      </c>
      <c r="AB883" s="79">
        <v>1</v>
      </c>
      <c r="AC883" s="85">
        <v>360.37099999999998</v>
      </c>
      <c r="AD883" s="85">
        <v>173.66200000000001</v>
      </c>
      <c r="AE883" s="85">
        <v>643.99699999999996</v>
      </c>
      <c r="AF883" s="85">
        <v>0</v>
      </c>
      <c r="AG883" s="85">
        <v>1178.03</v>
      </c>
      <c r="AH883" s="85">
        <v>0</v>
      </c>
      <c r="AI883" s="85">
        <v>0</v>
      </c>
      <c r="AJ883" s="85">
        <v>0</v>
      </c>
      <c r="AK883" s="85">
        <v>0</v>
      </c>
      <c r="AL883" s="85">
        <v>0</v>
      </c>
      <c r="AM883" s="85">
        <v>0</v>
      </c>
      <c r="AN883" s="85">
        <v>0</v>
      </c>
      <c r="AO883" s="85">
        <v>0</v>
      </c>
      <c r="AP883" s="85">
        <v>0</v>
      </c>
      <c r="AQ883" s="85">
        <v>0</v>
      </c>
      <c r="AR883" s="85">
        <v>0</v>
      </c>
      <c r="AS883" s="85">
        <v>0</v>
      </c>
      <c r="AT883" s="85">
        <v>0</v>
      </c>
      <c r="AU883" s="85">
        <v>0</v>
      </c>
      <c r="AV883" s="85">
        <v>0</v>
      </c>
      <c r="AW883" s="85">
        <v>0</v>
      </c>
      <c r="AX883" s="85">
        <v>0</v>
      </c>
      <c r="AY883" s="85">
        <v>1178.03</v>
      </c>
      <c r="AZ883" s="85">
        <v>0</v>
      </c>
      <c r="BA883" s="85">
        <v>0</v>
      </c>
      <c r="BB883" s="89">
        <v>0</v>
      </c>
      <c r="BC883" s="89">
        <v>1178.03</v>
      </c>
      <c r="BD883" s="37">
        <v>2503</v>
      </c>
      <c r="BE883" s="37">
        <v>40919</v>
      </c>
      <c r="BF883" s="279">
        <v>71897</v>
      </c>
      <c r="BG883" s="37">
        <v>256773</v>
      </c>
      <c r="BH883" s="37">
        <v>67274</v>
      </c>
      <c r="BI883" s="37">
        <v>6253</v>
      </c>
      <c r="BJ883" s="283">
        <v>402197</v>
      </c>
      <c r="BK883" s="161"/>
      <c r="BL883" s="294"/>
      <c r="BM883"/>
      <c r="BN883"/>
      <c r="BO883"/>
      <c r="BP883"/>
      <c r="BQ883"/>
      <c r="BR883"/>
      <c r="BS883"/>
      <c r="BT883"/>
      <c r="BU883"/>
      <c r="BV883"/>
      <c r="BW883"/>
      <c r="BX883"/>
      <c r="BY883"/>
      <c r="BZ883"/>
      <c r="CA883"/>
      <c r="CB883"/>
      <c r="CC883"/>
      <c r="CD883"/>
      <c r="CE883"/>
      <c r="CF883"/>
      <c r="CG883"/>
      <c r="CH883"/>
      <c r="CI883"/>
      <c r="CJ883"/>
    </row>
    <row r="884" spans="1:88" s="32" customFormat="1" ht="15" customHeight="1" x14ac:dyDescent="0.35">
      <c r="A884" s="473"/>
      <c r="B884" s="313">
        <v>54120</v>
      </c>
      <c r="C884" s="8" t="s">
        <v>557</v>
      </c>
      <c r="D884" s="18">
        <v>16</v>
      </c>
      <c r="E884" s="251"/>
      <c r="F884" s="82"/>
      <c r="G884" s="79"/>
      <c r="H884" s="90"/>
      <c r="I884" s="85"/>
      <c r="J884" s="85"/>
      <c r="K884" s="85"/>
      <c r="L884" s="85"/>
      <c r="M884" s="85"/>
      <c r="N884" s="85"/>
      <c r="O884" s="85"/>
      <c r="P884" s="85"/>
      <c r="Q884" s="85"/>
      <c r="R884" s="85"/>
      <c r="S884" s="89"/>
      <c r="T884" s="89" t="s">
        <v>1124</v>
      </c>
      <c r="U884" s="85"/>
      <c r="V884" s="85"/>
      <c r="W884" s="85"/>
      <c r="X884" s="89" t="s">
        <v>1124</v>
      </c>
      <c r="Y884" s="79"/>
      <c r="Z884" s="79"/>
      <c r="AA884" s="94"/>
      <c r="AB884" s="79" t="s">
        <v>1124</v>
      </c>
      <c r="AC884" s="85"/>
      <c r="AD884" s="85"/>
      <c r="AE884" s="85"/>
      <c r="AF884" s="85"/>
      <c r="AG884" s="85" t="s">
        <v>1124</v>
      </c>
      <c r="AH884" s="85"/>
      <c r="AI884" s="85"/>
      <c r="AJ884" s="85"/>
      <c r="AK884" s="85"/>
      <c r="AL884" s="85"/>
      <c r="AM884" s="85"/>
      <c r="AN884" s="85"/>
      <c r="AO884" s="85"/>
      <c r="AP884" s="85"/>
      <c r="AQ884" s="85"/>
      <c r="AR884" s="85" t="s">
        <v>1124</v>
      </c>
      <c r="AS884" s="85"/>
      <c r="AT884" s="85"/>
      <c r="AU884" s="85"/>
      <c r="AV884" s="85"/>
      <c r="AW884" s="85"/>
      <c r="AX884" s="85"/>
      <c r="AY884" s="85"/>
      <c r="AZ884" s="85"/>
      <c r="BA884" s="85"/>
      <c r="BB884" s="89"/>
      <c r="BC884" s="89" t="s">
        <v>1124</v>
      </c>
      <c r="BD884" s="37"/>
      <c r="BE884" s="37"/>
      <c r="BF884" s="279"/>
      <c r="BG884" s="37"/>
      <c r="BH884" s="37"/>
      <c r="BI884" s="37"/>
      <c r="BJ884" s="283"/>
      <c r="BK884" s="161"/>
      <c r="BL884" s="294"/>
      <c r="BM884"/>
      <c r="BN884"/>
      <c r="BO884"/>
      <c r="BP884"/>
      <c r="BQ884"/>
      <c r="BR884"/>
      <c r="BS884"/>
      <c r="BT884"/>
      <c r="BU884"/>
      <c r="BV884"/>
      <c r="BW884"/>
      <c r="BX884"/>
      <c r="BY884"/>
      <c r="BZ884"/>
      <c r="CA884"/>
      <c r="CB884"/>
      <c r="CC884"/>
      <c r="CD884"/>
      <c r="CE884"/>
      <c r="CF884"/>
      <c r="CG884"/>
      <c r="CH884"/>
      <c r="CI884"/>
      <c r="CJ884"/>
    </row>
    <row r="885" spans="1:88" s="32" customFormat="1" ht="15" customHeight="1" x14ac:dyDescent="0.35">
      <c r="A885" s="473"/>
      <c r="B885" s="313">
        <v>39170</v>
      </c>
      <c r="C885" s="8" t="s">
        <v>357</v>
      </c>
      <c r="D885" s="18">
        <v>17</v>
      </c>
      <c r="E885" s="251"/>
      <c r="F885" s="82"/>
      <c r="G885" s="79"/>
      <c r="H885" s="90"/>
      <c r="I885" s="85"/>
      <c r="J885" s="85"/>
      <c r="K885" s="85"/>
      <c r="L885" s="85"/>
      <c r="M885" s="85"/>
      <c r="N885" s="85"/>
      <c r="O885" s="85"/>
      <c r="P885" s="85"/>
      <c r="Q885" s="85"/>
      <c r="R885" s="85"/>
      <c r="S885" s="89"/>
      <c r="T885" s="89" t="s">
        <v>1124</v>
      </c>
      <c r="U885" s="85"/>
      <c r="V885" s="85"/>
      <c r="W885" s="85"/>
      <c r="X885" s="89" t="s">
        <v>1124</v>
      </c>
      <c r="Y885" s="79"/>
      <c r="Z885" s="79"/>
      <c r="AA885" s="94"/>
      <c r="AB885" s="79" t="s">
        <v>1124</v>
      </c>
      <c r="AC885" s="85"/>
      <c r="AD885" s="85"/>
      <c r="AE885" s="85"/>
      <c r="AF885" s="85"/>
      <c r="AG885" s="85" t="s">
        <v>1124</v>
      </c>
      <c r="AH885" s="85"/>
      <c r="AI885" s="85"/>
      <c r="AJ885" s="85"/>
      <c r="AK885" s="85"/>
      <c r="AL885" s="85"/>
      <c r="AM885" s="85"/>
      <c r="AN885" s="85"/>
      <c r="AO885" s="85"/>
      <c r="AP885" s="85"/>
      <c r="AQ885" s="85"/>
      <c r="AR885" s="85" t="s">
        <v>1124</v>
      </c>
      <c r="AS885" s="85"/>
      <c r="AT885" s="85"/>
      <c r="AU885" s="85"/>
      <c r="AV885" s="85"/>
      <c r="AW885" s="85"/>
      <c r="AX885" s="85"/>
      <c r="AY885" s="85"/>
      <c r="AZ885" s="85"/>
      <c r="BA885" s="85"/>
      <c r="BB885" s="89"/>
      <c r="BC885" s="89" t="s">
        <v>1124</v>
      </c>
      <c r="BD885" s="37"/>
      <c r="BE885" s="37"/>
      <c r="BF885" s="279"/>
      <c r="BG885" s="37"/>
      <c r="BH885" s="37"/>
      <c r="BI885" s="37"/>
      <c r="BJ885" s="283"/>
      <c r="BK885" s="161"/>
      <c r="BL885" s="294"/>
      <c r="BM885"/>
      <c r="BN885"/>
      <c r="BO885"/>
      <c r="BP885"/>
      <c r="BQ885"/>
      <c r="BR885"/>
      <c r="BS885"/>
      <c r="BT885"/>
      <c r="BU885"/>
      <c r="BV885"/>
      <c r="BW885"/>
      <c r="BX885"/>
      <c r="BY885"/>
      <c r="BZ885"/>
      <c r="CA885"/>
      <c r="CB885"/>
      <c r="CC885"/>
      <c r="CD885"/>
      <c r="CE885"/>
      <c r="CF885"/>
      <c r="CG885"/>
      <c r="CH885"/>
      <c r="CI885"/>
      <c r="CJ885"/>
    </row>
    <row r="886" spans="1:88" s="32" customFormat="1" ht="15" customHeight="1" x14ac:dyDescent="0.35">
      <c r="A886" s="473"/>
      <c r="B886" s="313">
        <v>28035</v>
      </c>
      <c r="C886" s="8" t="s">
        <v>193</v>
      </c>
      <c r="D886" s="18">
        <v>12</v>
      </c>
      <c r="E886" s="251"/>
      <c r="F886" s="82"/>
      <c r="G886" s="79"/>
      <c r="H886" s="90"/>
      <c r="I886" s="85"/>
      <c r="J886" s="85"/>
      <c r="K886" s="85"/>
      <c r="L886" s="85"/>
      <c r="M886" s="85"/>
      <c r="N886" s="85"/>
      <c r="O886" s="85"/>
      <c r="P886" s="85"/>
      <c r="Q886" s="85"/>
      <c r="R886" s="85"/>
      <c r="S886" s="89"/>
      <c r="T886" s="89" t="s">
        <v>1124</v>
      </c>
      <c r="U886" s="85"/>
      <c r="V886" s="85"/>
      <c r="W886" s="85"/>
      <c r="X886" s="89" t="s">
        <v>1124</v>
      </c>
      <c r="Y886" s="79"/>
      <c r="Z886" s="79"/>
      <c r="AA886" s="94"/>
      <c r="AB886" s="79" t="s">
        <v>1124</v>
      </c>
      <c r="AC886" s="85"/>
      <c r="AD886" s="85"/>
      <c r="AE886" s="85"/>
      <c r="AF886" s="85"/>
      <c r="AG886" s="85" t="s">
        <v>1124</v>
      </c>
      <c r="AH886" s="85"/>
      <c r="AI886" s="85"/>
      <c r="AJ886" s="85"/>
      <c r="AK886" s="85"/>
      <c r="AL886" s="85"/>
      <c r="AM886" s="85"/>
      <c r="AN886" s="85"/>
      <c r="AO886" s="85"/>
      <c r="AP886" s="85"/>
      <c r="AQ886" s="85"/>
      <c r="AR886" s="85" t="s">
        <v>1124</v>
      </c>
      <c r="AS886" s="85"/>
      <c r="AT886" s="85"/>
      <c r="AU886" s="85"/>
      <c r="AV886" s="85"/>
      <c r="AW886" s="85"/>
      <c r="AX886" s="85"/>
      <c r="AY886" s="85"/>
      <c r="AZ886" s="85"/>
      <c r="BA886" s="85"/>
      <c r="BB886" s="89"/>
      <c r="BC886" s="89" t="s">
        <v>1124</v>
      </c>
      <c r="BD886" s="37"/>
      <c r="BE886" s="37"/>
      <c r="BF886" s="279"/>
      <c r="BG886" s="37"/>
      <c r="BH886" s="37"/>
      <c r="BI886" s="37"/>
      <c r="BJ886" s="283"/>
      <c r="BK886" s="161"/>
      <c r="BL886" s="294"/>
      <c r="BM886"/>
      <c r="BN886"/>
      <c r="BO886"/>
      <c r="BP886"/>
      <c r="BQ886"/>
      <c r="BR886"/>
      <c r="BS886"/>
      <c r="BT886"/>
      <c r="BU886"/>
      <c r="BV886"/>
      <c r="BW886"/>
      <c r="BX886"/>
      <c r="BY886"/>
      <c r="BZ886"/>
      <c r="CA886"/>
      <c r="CB886"/>
      <c r="CC886"/>
      <c r="CD886"/>
      <c r="CE886"/>
      <c r="CF886"/>
      <c r="CG886"/>
      <c r="CH886"/>
      <c r="CI886"/>
      <c r="CJ886"/>
    </row>
    <row r="887" spans="1:88" s="32" customFormat="1" ht="15" customHeight="1" x14ac:dyDescent="0.35">
      <c r="A887" s="473"/>
      <c r="B887" s="313">
        <v>70035</v>
      </c>
      <c r="C887" s="8" t="s">
        <v>701</v>
      </c>
      <c r="D887" s="18">
        <v>16</v>
      </c>
      <c r="E887" s="251"/>
      <c r="F887" s="82"/>
      <c r="G887" s="79"/>
      <c r="H887" s="90"/>
      <c r="I887" s="85"/>
      <c r="J887" s="85"/>
      <c r="K887" s="85"/>
      <c r="L887" s="85"/>
      <c r="M887" s="85"/>
      <c r="N887" s="85"/>
      <c r="O887" s="85"/>
      <c r="P887" s="85"/>
      <c r="Q887" s="85"/>
      <c r="R887" s="85"/>
      <c r="S887" s="89"/>
      <c r="T887" s="89" t="s">
        <v>1124</v>
      </c>
      <c r="U887" s="85"/>
      <c r="V887" s="85"/>
      <c r="W887" s="85"/>
      <c r="X887" s="89" t="s">
        <v>1124</v>
      </c>
      <c r="Y887" s="79"/>
      <c r="Z887" s="79"/>
      <c r="AA887" s="94"/>
      <c r="AB887" s="79" t="s">
        <v>1124</v>
      </c>
      <c r="AC887" s="85"/>
      <c r="AD887" s="85"/>
      <c r="AE887" s="85"/>
      <c r="AF887" s="85"/>
      <c r="AG887" s="85" t="s">
        <v>1124</v>
      </c>
      <c r="AH887" s="85"/>
      <c r="AI887" s="85"/>
      <c r="AJ887" s="85"/>
      <c r="AK887" s="85"/>
      <c r="AL887" s="85"/>
      <c r="AM887" s="85"/>
      <c r="AN887" s="85"/>
      <c r="AO887" s="85"/>
      <c r="AP887" s="85"/>
      <c r="AQ887" s="85"/>
      <c r="AR887" s="85" t="s">
        <v>1124</v>
      </c>
      <c r="AS887" s="85"/>
      <c r="AT887" s="85"/>
      <c r="AU887" s="85"/>
      <c r="AV887" s="85"/>
      <c r="AW887" s="85"/>
      <c r="AX887" s="85"/>
      <c r="AY887" s="85"/>
      <c r="AZ887" s="85"/>
      <c r="BA887" s="85"/>
      <c r="BB887" s="89"/>
      <c r="BC887" s="89" t="s">
        <v>1124</v>
      </c>
      <c r="BD887" s="37"/>
      <c r="BE887" s="37"/>
      <c r="BF887" s="279"/>
      <c r="BG887" s="37"/>
      <c r="BH887" s="37"/>
      <c r="BI887" s="37"/>
      <c r="BJ887" s="283"/>
      <c r="BK887" s="161"/>
      <c r="BL887" s="294"/>
      <c r="BM887"/>
      <c r="BN887"/>
      <c r="BO887"/>
      <c r="BP887"/>
      <c r="BQ887"/>
      <c r="BR887"/>
      <c r="BS887"/>
      <c r="BT887"/>
      <c r="BU887"/>
      <c r="BV887"/>
      <c r="BW887"/>
      <c r="BX887"/>
      <c r="BY887"/>
      <c r="BZ887"/>
      <c r="CA887"/>
      <c r="CB887"/>
      <c r="CC887"/>
      <c r="CD887"/>
      <c r="CE887"/>
      <c r="CF887"/>
      <c r="CG887"/>
      <c r="CH887"/>
      <c r="CI887"/>
      <c r="CJ887"/>
    </row>
    <row r="888" spans="1:88" s="32" customFormat="1" ht="15" customHeight="1" x14ac:dyDescent="0.35">
      <c r="A888" s="473"/>
      <c r="B888" s="313">
        <v>21015</v>
      </c>
      <c r="C888" s="8" t="s">
        <v>146</v>
      </c>
      <c r="D888" s="18">
        <v>3</v>
      </c>
      <c r="E888" s="251"/>
      <c r="F888" s="82"/>
      <c r="G888" s="79"/>
      <c r="H888" s="90"/>
      <c r="I888" s="85"/>
      <c r="J888" s="85"/>
      <c r="K888" s="85"/>
      <c r="L888" s="85"/>
      <c r="M888" s="85"/>
      <c r="N888" s="85"/>
      <c r="O888" s="85"/>
      <c r="P888" s="85"/>
      <c r="Q888" s="85"/>
      <c r="R888" s="85"/>
      <c r="S888" s="89"/>
      <c r="T888" s="89" t="s">
        <v>1124</v>
      </c>
      <c r="U888" s="85"/>
      <c r="V888" s="85"/>
      <c r="W888" s="85"/>
      <c r="X888" s="89" t="s">
        <v>1124</v>
      </c>
      <c r="Y888" s="79"/>
      <c r="Z888" s="79"/>
      <c r="AA888" s="94"/>
      <c r="AB888" s="79" t="s">
        <v>1124</v>
      </c>
      <c r="AC888" s="85"/>
      <c r="AD888" s="85"/>
      <c r="AE888" s="85"/>
      <c r="AF888" s="85"/>
      <c r="AG888" s="85" t="s">
        <v>1124</v>
      </c>
      <c r="AH888" s="85"/>
      <c r="AI888" s="85"/>
      <c r="AJ888" s="85"/>
      <c r="AK888" s="85"/>
      <c r="AL888" s="85"/>
      <c r="AM888" s="85"/>
      <c r="AN888" s="85"/>
      <c r="AO888" s="85"/>
      <c r="AP888" s="85"/>
      <c r="AQ888" s="85"/>
      <c r="AR888" s="85" t="s">
        <v>1124</v>
      </c>
      <c r="AS888" s="85"/>
      <c r="AT888" s="85"/>
      <c r="AU888" s="85"/>
      <c r="AV888" s="85"/>
      <c r="AW888" s="85"/>
      <c r="AX888" s="85"/>
      <c r="AY888" s="85"/>
      <c r="AZ888" s="85"/>
      <c r="BA888" s="85"/>
      <c r="BB888" s="89"/>
      <c r="BC888" s="89" t="s">
        <v>1124</v>
      </c>
      <c r="BD888" s="37"/>
      <c r="BE888" s="37"/>
      <c r="BF888" s="279"/>
      <c r="BG888" s="37"/>
      <c r="BH888" s="37"/>
      <c r="BI888" s="37"/>
      <c r="BJ888" s="283"/>
      <c r="BK888" s="161"/>
      <c r="BL888" s="294"/>
      <c r="BM888"/>
      <c r="BN888"/>
      <c r="BO888"/>
      <c r="BP888"/>
      <c r="BQ888"/>
      <c r="BR888"/>
      <c r="BS888"/>
      <c r="BT888"/>
      <c r="BU888"/>
      <c r="BV888"/>
      <c r="BW888"/>
      <c r="BX888"/>
      <c r="BY888"/>
      <c r="BZ888"/>
      <c r="CA888"/>
      <c r="CB888"/>
      <c r="CC888"/>
      <c r="CD888"/>
      <c r="CE888"/>
      <c r="CF888"/>
      <c r="CG888"/>
      <c r="CH888"/>
      <c r="CI888"/>
      <c r="CJ888"/>
    </row>
    <row r="889" spans="1:88" s="32" customFormat="1" ht="15" customHeight="1" x14ac:dyDescent="0.35">
      <c r="A889" s="473"/>
      <c r="B889" s="313">
        <v>13080</v>
      </c>
      <c r="C889" s="8" t="s">
        <v>55</v>
      </c>
      <c r="D889" s="18">
        <v>1</v>
      </c>
      <c r="E889" s="251"/>
      <c r="F889" s="82"/>
      <c r="G889" s="79"/>
      <c r="H889" s="90"/>
      <c r="I889" s="85"/>
      <c r="J889" s="85"/>
      <c r="K889" s="85"/>
      <c r="L889" s="85"/>
      <c r="M889" s="85"/>
      <c r="N889" s="85"/>
      <c r="O889" s="85"/>
      <c r="P889" s="85"/>
      <c r="Q889" s="85"/>
      <c r="R889" s="85"/>
      <c r="S889" s="89"/>
      <c r="T889" s="89" t="s">
        <v>1124</v>
      </c>
      <c r="U889" s="85"/>
      <c r="V889" s="85"/>
      <c r="W889" s="85"/>
      <c r="X889" s="89" t="s">
        <v>1124</v>
      </c>
      <c r="Y889" s="79"/>
      <c r="Z889" s="79"/>
      <c r="AA889" s="94"/>
      <c r="AB889" s="79" t="s">
        <v>1124</v>
      </c>
      <c r="AC889" s="85"/>
      <c r="AD889" s="85"/>
      <c r="AE889" s="85"/>
      <c r="AF889" s="85"/>
      <c r="AG889" s="85" t="s">
        <v>1124</v>
      </c>
      <c r="AH889" s="85"/>
      <c r="AI889" s="85"/>
      <c r="AJ889" s="85"/>
      <c r="AK889" s="85"/>
      <c r="AL889" s="85"/>
      <c r="AM889" s="85"/>
      <c r="AN889" s="85"/>
      <c r="AO889" s="85"/>
      <c r="AP889" s="85"/>
      <c r="AQ889" s="85"/>
      <c r="AR889" s="85" t="s">
        <v>1124</v>
      </c>
      <c r="AS889" s="85"/>
      <c r="AT889" s="85"/>
      <c r="AU889" s="85"/>
      <c r="AV889" s="85"/>
      <c r="AW889" s="85"/>
      <c r="AX889" s="85"/>
      <c r="AY889" s="85"/>
      <c r="AZ889" s="85"/>
      <c r="BA889" s="85"/>
      <c r="BB889" s="89"/>
      <c r="BC889" s="89" t="s">
        <v>1124</v>
      </c>
      <c r="BD889" s="37"/>
      <c r="BE889" s="37"/>
      <c r="BF889" s="279"/>
      <c r="BG889" s="37"/>
      <c r="BH889" s="37"/>
      <c r="BI889" s="37"/>
      <c r="BJ889" s="283"/>
      <c r="BK889" s="161"/>
      <c r="BL889" s="294"/>
      <c r="BM889"/>
      <c r="BN889"/>
      <c r="BO889"/>
      <c r="BP889"/>
      <c r="BQ889"/>
      <c r="BR889"/>
      <c r="BS889"/>
      <c r="BT889"/>
      <c r="BU889"/>
      <c r="BV889"/>
      <c r="BW889"/>
      <c r="BX889"/>
      <c r="BY889"/>
      <c r="BZ889"/>
      <c r="CA889"/>
      <c r="CB889"/>
      <c r="CC889"/>
      <c r="CD889"/>
      <c r="CE889"/>
      <c r="CF889"/>
      <c r="CG889"/>
      <c r="CH889"/>
      <c r="CI889"/>
      <c r="CJ889"/>
    </row>
    <row r="890" spans="1:88" s="32" customFormat="1" ht="15" customHeight="1" x14ac:dyDescent="0.35">
      <c r="A890" s="473"/>
      <c r="B890" s="313">
        <v>28060</v>
      </c>
      <c r="C890" s="8" t="s">
        <v>197</v>
      </c>
      <c r="D890" s="18">
        <v>12</v>
      </c>
      <c r="E890" s="251"/>
      <c r="F890" s="82"/>
      <c r="G890" s="79"/>
      <c r="H890" s="90"/>
      <c r="I890" s="85"/>
      <c r="J890" s="85"/>
      <c r="K890" s="85"/>
      <c r="L890" s="85"/>
      <c r="M890" s="85"/>
      <c r="N890" s="85"/>
      <c r="O890" s="85"/>
      <c r="P890" s="85"/>
      <c r="Q890" s="85"/>
      <c r="R890" s="85"/>
      <c r="S890" s="89"/>
      <c r="T890" s="89" t="s">
        <v>1124</v>
      </c>
      <c r="U890" s="85"/>
      <c r="V890" s="85"/>
      <c r="W890" s="85"/>
      <c r="X890" s="89" t="s">
        <v>1124</v>
      </c>
      <c r="Y890" s="79"/>
      <c r="Z890" s="79"/>
      <c r="AA890" s="94"/>
      <c r="AB890" s="79" t="s">
        <v>1124</v>
      </c>
      <c r="AC890" s="85"/>
      <c r="AD890" s="85"/>
      <c r="AE890" s="85"/>
      <c r="AF890" s="85"/>
      <c r="AG890" s="85" t="s">
        <v>1124</v>
      </c>
      <c r="AH890" s="85"/>
      <c r="AI890" s="85"/>
      <c r="AJ890" s="85"/>
      <c r="AK890" s="85"/>
      <c r="AL890" s="85"/>
      <c r="AM890" s="85"/>
      <c r="AN890" s="85"/>
      <c r="AO890" s="85"/>
      <c r="AP890" s="85"/>
      <c r="AQ890" s="85"/>
      <c r="AR890" s="85" t="s">
        <v>1124</v>
      </c>
      <c r="AS890" s="85"/>
      <c r="AT890" s="85"/>
      <c r="AU890" s="85"/>
      <c r="AV890" s="85"/>
      <c r="AW890" s="85"/>
      <c r="AX890" s="85"/>
      <c r="AY890" s="85"/>
      <c r="AZ890" s="85"/>
      <c r="BA890" s="85"/>
      <c r="BB890" s="89"/>
      <c r="BC890" s="89" t="s">
        <v>1124</v>
      </c>
      <c r="BD890" s="37"/>
      <c r="BE890" s="37"/>
      <c r="BF890" s="279"/>
      <c r="BG890" s="37"/>
      <c r="BH890" s="37"/>
      <c r="BI890" s="37"/>
      <c r="BJ890" s="283"/>
      <c r="BK890" s="161"/>
      <c r="BL890" s="294"/>
      <c r="BM890"/>
      <c r="BN890"/>
      <c r="BO890"/>
      <c r="BP890"/>
      <c r="BQ890"/>
      <c r="BR890"/>
      <c r="BS890"/>
      <c r="BT890"/>
      <c r="BU890"/>
      <c r="BV890"/>
      <c r="BW890"/>
      <c r="BX890"/>
      <c r="BY890"/>
      <c r="BZ890"/>
      <c r="CA890"/>
      <c r="CB890"/>
      <c r="CC890"/>
      <c r="CD890"/>
      <c r="CE890"/>
      <c r="CF890"/>
      <c r="CG890"/>
      <c r="CH890"/>
      <c r="CI890"/>
      <c r="CJ890"/>
    </row>
    <row r="891" spans="1:88" s="32" customFormat="1" ht="15" customHeight="1" x14ac:dyDescent="0.35">
      <c r="A891" s="473"/>
      <c r="B891" s="313">
        <v>37225</v>
      </c>
      <c r="C891" s="8" t="s">
        <v>319</v>
      </c>
      <c r="D891" s="18">
        <v>4</v>
      </c>
      <c r="E891" s="251">
        <v>191</v>
      </c>
      <c r="F891" s="82">
        <v>2.1333333333333333</v>
      </c>
      <c r="G891" s="79">
        <v>407.46666666666664</v>
      </c>
      <c r="H891" s="90">
        <v>5.0345000000000004</v>
      </c>
      <c r="I891" s="85">
        <v>4.79</v>
      </c>
      <c r="J891" s="85">
        <v>4.9950000000000001</v>
      </c>
      <c r="K891" s="85">
        <v>4.8843000000000005</v>
      </c>
      <c r="L891" s="85">
        <v>5.6864999999999997</v>
      </c>
      <c r="M891" s="85">
        <v>6.7170000000000005</v>
      </c>
      <c r="N891" s="85">
        <v>7.5309999999999997</v>
      </c>
      <c r="O891" s="85">
        <v>5.6449999999999996</v>
      </c>
      <c r="P891" s="85">
        <v>4.867</v>
      </c>
      <c r="Q891" s="85">
        <v>5.4569999999999999</v>
      </c>
      <c r="R891" s="85">
        <v>4.7219999999999995</v>
      </c>
      <c r="S891" s="89">
        <v>4.5339999999999998</v>
      </c>
      <c r="T891" s="89">
        <v>64.863299999999995</v>
      </c>
      <c r="U891" s="85">
        <v>0</v>
      </c>
      <c r="V891" s="85">
        <v>64.863299999999995</v>
      </c>
      <c r="W891" s="85">
        <v>0</v>
      </c>
      <c r="X891" s="89">
        <v>64.863299999999995</v>
      </c>
      <c r="Y891" s="79">
        <v>0</v>
      </c>
      <c r="Z891" s="79">
        <v>1</v>
      </c>
      <c r="AA891" s="94">
        <v>0</v>
      </c>
      <c r="AB891" s="79">
        <v>1</v>
      </c>
      <c r="AC891" s="85">
        <v>27.734999999999999</v>
      </c>
      <c r="AD891" s="85">
        <v>27.243299999999994</v>
      </c>
      <c r="AE891" s="85">
        <v>6.1050000000000004</v>
      </c>
      <c r="AF891" s="85">
        <v>3.78</v>
      </c>
      <c r="AG891" s="85">
        <v>64.863299999999995</v>
      </c>
      <c r="AH891" s="85">
        <v>0</v>
      </c>
      <c r="AI891" s="85">
        <v>0</v>
      </c>
      <c r="AJ891" s="85">
        <v>0</v>
      </c>
      <c r="AK891" s="85">
        <v>0</v>
      </c>
      <c r="AL891" s="85">
        <v>0</v>
      </c>
      <c r="AM891" s="85">
        <v>0</v>
      </c>
      <c r="AN891" s="85">
        <v>0</v>
      </c>
      <c r="AO891" s="85">
        <v>0</v>
      </c>
      <c r="AP891" s="85">
        <v>0</v>
      </c>
      <c r="AQ891" s="85">
        <v>0</v>
      </c>
      <c r="AR891" s="85">
        <v>0</v>
      </c>
      <c r="AS891" s="85">
        <v>0</v>
      </c>
      <c r="AT891" s="85">
        <v>0</v>
      </c>
      <c r="AU891" s="85">
        <v>0</v>
      </c>
      <c r="AV891" s="85">
        <v>0</v>
      </c>
      <c r="AW891" s="85">
        <v>0</v>
      </c>
      <c r="AX891" s="85">
        <v>0</v>
      </c>
      <c r="AY891" s="85">
        <v>64.863299999999995</v>
      </c>
      <c r="AZ891" s="85">
        <v>0</v>
      </c>
      <c r="BA891" s="85">
        <v>0</v>
      </c>
      <c r="BB891" s="89">
        <v>0</v>
      </c>
      <c r="BC891" s="89">
        <v>64.863299999999995</v>
      </c>
      <c r="BD891" s="37">
        <v>0</v>
      </c>
      <c r="BE891" s="37">
        <v>0</v>
      </c>
      <c r="BF891" s="279">
        <v>11975</v>
      </c>
      <c r="BG891" s="37">
        <v>19528</v>
      </c>
      <c r="BH891" s="37">
        <v>10334</v>
      </c>
      <c r="BI891" s="37">
        <v>0</v>
      </c>
      <c r="BJ891" s="283">
        <v>41837</v>
      </c>
      <c r="BK891" s="161"/>
      <c r="BL891" s="294"/>
      <c r="BM891"/>
      <c r="BN891"/>
      <c r="BO891"/>
      <c r="BP891"/>
      <c r="BQ891"/>
      <c r="BR891"/>
      <c r="BS891"/>
      <c r="BT891"/>
      <c r="BU891"/>
      <c r="BV891"/>
      <c r="BW891"/>
      <c r="BX891"/>
      <c r="BY891"/>
      <c r="BZ891"/>
      <c r="CA891"/>
      <c r="CB891"/>
      <c r="CC891"/>
      <c r="CD891"/>
      <c r="CE891"/>
      <c r="CF891"/>
      <c r="CG891"/>
      <c r="CH891"/>
      <c r="CI891"/>
      <c r="CJ891"/>
    </row>
    <row r="892" spans="1:88" s="32" customFormat="1" ht="15" customHeight="1" x14ac:dyDescent="0.35">
      <c r="A892" s="473"/>
      <c r="B892" s="313">
        <v>49030</v>
      </c>
      <c r="C892" s="8" t="s">
        <v>468</v>
      </c>
      <c r="D892" s="18">
        <v>17</v>
      </c>
      <c r="E892" s="251"/>
      <c r="F892" s="82"/>
      <c r="G892" s="79"/>
      <c r="H892" s="90"/>
      <c r="I892" s="85"/>
      <c r="J892" s="85"/>
      <c r="K892" s="85"/>
      <c r="L892" s="85"/>
      <c r="M892" s="85"/>
      <c r="N892" s="85"/>
      <c r="O892" s="85"/>
      <c r="P892" s="85"/>
      <c r="Q892" s="85"/>
      <c r="R892" s="85"/>
      <c r="S892" s="89"/>
      <c r="T892" s="89" t="s">
        <v>1124</v>
      </c>
      <c r="U892" s="85"/>
      <c r="V892" s="85"/>
      <c r="W892" s="85"/>
      <c r="X892" s="89" t="s">
        <v>1124</v>
      </c>
      <c r="Y892" s="79"/>
      <c r="Z892" s="79"/>
      <c r="AA892" s="94"/>
      <c r="AB892" s="79" t="s">
        <v>1124</v>
      </c>
      <c r="AC892" s="85"/>
      <c r="AD892" s="85"/>
      <c r="AE892" s="85"/>
      <c r="AF892" s="85"/>
      <c r="AG892" s="85" t="s">
        <v>1124</v>
      </c>
      <c r="AH892" s="85"/>
      <c r="AI892" s="85"/>
      <c r="AJ892" s="85"/>
      <c r="AK892" s="85"/>
      <c r="AL892" s="85"/>
      <c r="AM892" s="85"/>
      <c r="AN892" s="85"/>
      <c r="AO892" s="85"/>
      <c r="AP892" s="85"/>
      <c r="AQ892" s="85"/>
      <c r="AR892" s="85" t="s">
        <v>1124</v>
      </c>
      <c r="AS892" s="85"/>
      <c r="AT892" s="85"/>
      <c r="AU892" s="85"/>
      <c r="AV892" s="85"/>
      <c r="AW892" s="85"/>
      <c r="AX892" s="85"/>
      <c r="AY892" s="85"/>
      <c r="AZ892" s="85"/>
      <c r="BA892" s="85"/>
      <c r="BB892" s="89"/>
      <c r="BC892" s="89" t="s">
        <v>1124</v>
      </c>
      <c r="BD892" s="37"/>
      <c r="BE892" s="37"/>
      <c r="BF892" s="279"/>
      <c r="BG892" s="37"/>
      <c r="BH892" s="37"/>
      <c r="BI892" s="37"/>
      <c r="BJ892" s="283"/>
      <c r="BK892" s="161"/>
      <c r="BL892" s="294"/>
      <c r="BM892"/>
      <c r="BN892"/>
      <c r="BO892"/>
      <c r="BP892"/>
      <c r="BQ892"/>
      <c r="BR892"/>
      <c r="BS892"/>
      <c r="BT892"/>
      <c r="BU892"/>
      <c r="BV892"/>
      <c r="BW892"/>
      <c r="BX892"/>
      <c r="BY892"/>
      <c r="BZ892"/>
      <c r="CA892"/>
      <c r="CB892"/>
      <c r="CC892"/>
      <c r="CD892"/>
      <c r="CE892"/>
      <c r="CF892"/>
      <c r="CG892"/>
      <c r="CH892"/>
      <c r="CI892"/>
      <c r="CJ892"/>
    </row>
    <row r="893" spans="1:88" s="32" customFormat="1" ht="15" customHeight="1" x14ac:dyDescent="0.35">
      <c r="A893" s="473"/>
      <c r="B893" s="313">
        <v>30072</v>
      </c>
      <c r="C893" s="8" t="s">
        <v>229</v>
      </c>
      <c r="D893" s="18">
        <v>5</v>
      </c>
      <c r="E893" s="251"/>
      <c r="F893" s="82"/>
      <c r="G893" s="79"/>
      <c r="H893" s="90"/>
      <c r="I893" s="85"/>
      <c r="J893" s="85"/>
      <c r="K893" s="85"/>
      <c r="L893" s="85"/>
      <c r="M893" s="85"/>
      <c r="N893" s="85"/>
      <c r="O893" s="85"/>
      <c r="P893" s="85"/>
      <c r="Q893" s="85"/>
      <c r="R893" s="85"/>
      <c r="S893" s="89"/>
      <c r="T893" s="89" t="s">
        <v>1124</v>
      </c>
      <c r="U893" s="85"/>
      <c r="V893" s="85"/>
      <c r="W893" s="85"/>
      <c r="X893" s="89" t="s">
        <v>1124</v>
      </c>
      <c r="Y893" s="79"/>
      <c r="Z893" s="79"/>
      <c r="AA893" s="94"/>
      <c r="AB893" s="79" t="s">
        <v>1124</v>
      </c>
      <c r="AC893" s="85"/>
      <c r="AD893" s="85"/>
      <c r="AE893" s="85"/>
      <c r="AF893" s="85"/>
      <c r="AG893" s="85" t="s">
        <v>1124</v>
      </c>
      <c r="AH893" s="85"/>
      <c r="AI893" s="85"/>
      <c r="AJ893" s="85"/>
      <c r="AK893" s="85"/>
      <c r="AL893" s="85"/>
      <c r="AM893" s="85"/>
      <c r="AN893" s="85"/>
      <c r="AO893" s="85"/>
      <c r="AP893" s="85"/>
      <c r="AQ893" s="85"/>
      <c r="AR893" s="85" t="s">
        <v>1124</v>
      </c>
      <c r="AS893" s="85"/>
      <c r="AT893" s="85"/>
      <c r="AU893" s="85"/>
      <c r="AV893" s="85"/>
      <c r="AW893" s="85"/>
      <c r="AX893" s="85"/>
      <c r="AY893" s="85"/>
      <c r="AZ893" s="85"/>
      <c r="BA893" s="85"/>
      <c r="BB893" s="89"/>
      <c r="BC893" s="89" t="s">
        <v>1124</v>
      </c>
      <c r="BD893" s="37"/>
      <c r="BE893" s="37"/>
      <c r="BF893" s="279"/>
      <c r="BG893" s="37"/>
      <c r="BH893" s="37"/>
      <c r="BI893" s="37"/>
      <c r="BJ893" s="283"/>
      <c r="BK893" s="161"/>
      <c r="BL893" s="294"/>
      <c r="BM893"/>
      <c r="BN893"/>
      <c r="BO893"/>
      <c r="BP893"/>
      <c r="BQ893"/>
      <c r="BR893"/>
      <c r="BS893"/>
      <c r="BT893"/>
      <c r="BU893"/>
      <c r="BV893"/>
      <c r="BW893"/>
      <c r="BX893"/>
      <c r="BY893"/>
      <c r="BZ893"/>
      <c r="CA893"/>
      <c r="CB893"/>
      <c r="CC893"/>
      <c r="CD893"/>
      <c r="CE893"/>
      <c r="CF893"/>
      <c r="CG893"/>
      <c r="CH893"/>
      <c r="CI893"/>
      <c r="CJ893"/>
    </row>
    <row r="894" spans="1:88" s="32" customFormat="1" ht="15" customHeight="1" x14ac:dyDescent="0.35">
      <c r="A894" s="473"/>
      <c r="B894" s="313">
        <v>93080</v>
      </c>
      <c r="C894" s="8" t="s">
        <v>971</v>
      </c>
      <c r="D894" s="18">
        <v>2</v>
      </c>
      <c r="E894" s="251"/>
      <c r="F894" s="82"/>
      <c r="G894" s="79"/>
      <c r="H894" s="90"/>
      <c r="I894" s="85"/>
      <c r="J894" s="85"/>
      <c r="K894" s="85"/>
      <c r="L894" s="85"/>
      <c r="M894" s="85"/>
      <c r="N894" s="85"/>
      <c r="O894" s="85"/>
      <c r="P894" s="85"/>
      <c r="Q894" s="85"/>
      <c r="R894" s="85"/>
      <c r="S894" s="89"/>
      <c r="T894" s="89" t="s">
        <v>1124</v>
      </c>
      <c r="U894" s="85"/>
      <c r="V894" s="85"/>
      <c r="W894" s="85"/>
      <c r="X894" s="89" t="s">
        <v>1124</v>
      </c>
      <c r="Y894" s="79"/>
      <c r="Z894" s="79"/>
      <c r="AA894" s="94"/>
      <c r="AB894" s="79" t="s">
        <v>1124</v>
      </c>
      <c r="AC894" s="85"/>
      <c r="AD894" s="85"/>
      <c r="AE894" s="85"/>
      <c r="AF894" s="85"/>
      <c r="AG894" s="85" t="s">
        <v>1124</v>
      </c>
      <c r="AH894" s="85"/>
      <c r="AI894" s="85"/>
      <c r="AJ894" s="85"/>
      <c r="AK894" s="85"/>
      <c r="AL894" s="85"/>
      <c r="AM894" s="85"/>
      <c r="AN894" s="85"/>
      <c r="AO894" s="85"/>
      <c r="AP894" s="85"/>
      <c r="AQ894" s="85"/>
      <c r="AR894" s="85" t="s">
        <v>1124</v>
      </c>
      <c r="AS894" s="85"/>
      <c r="AT894" s="85"/>
      <c r="AU894" s="85"/>
      <c r="AV894" s="85"/>
      <c r="AW894" s="85"/>
      <c r="AX894" s="85"/>
      <c r="AY894" s="85"/>
      <c r="AZ894" s="85"/>
      <c r="BA894" s="85"/>
      <c r="BB894" s="89"/>
      <c r="BC894" s="89" t="s">
        <v>1124</v>
      </c>
      <c r="BD894" s="37"/>
      <c r="BE894" s="37"/>
      <c r="BF894" s="279"/>
      <c r="BG894" s="37"/>
      <c r="BH894" s="37"/>
      <c r="BI894" s="37"/>
      <c r="BJ894" s="283"/>
      <c r="BK894" s="161"/>
      <c r="BL894" s="294"/>
      <c r="BM894"/>
      <c r="BN894"/>
      <c r="BO894"/>
      <c r="BP894"/>
      <c r="BQ894"/>
      <c r="BR894"/>
      <c r="BS894"/>
      <c r="BT894"/>
      <c r="BU894"/>
      <c r="BV894"/>
      <c r="BW894"/>
      <c r="BX894"/>
      <c r="BY894"/>
      <c r="BZ894"/>
      <c r="CA894"/>
      <c r="CB894"/>
      <c r="CC894"/>
      <c r="CD894"/>
      <c r="CE894"/>
      <c r="CF894"/>
      <c r="CG894"/>
      <c r="CH894"/>
      <c r="CI894"/>
      <c r="CJ894"/>
    </row>
    <row r="895" spans="1:88" s="32" customFormat="1" ht="15" customHeight="1" x14ac:dyDescent="0.35">
      <c r="A895" s="473"/>
      <c r="B895" s="313">
        <v>28075</v>
      </c>
      <c r="C895" s="8" t="s">
        <v>200</v>
      </c>
      <c r="D895" s="18">
        <v>12</v>
      </c>
      <c r="E895" s="251">
        <v>376</v>
      </c>
      <c r="F895" s="82">
        <v>1.52</v>
      </c>
      <c r="G895" s="79">
        <v>571.52</v>
      </c>
      <c r="H895" s="90">
        <v>3.327</v>
      </c>
      <c r="I895" s="85">
        <v>6.26</v>
      </c>
      <c r="J895" s="85">
        <v>6.9649999999999999</v>
      </c>
      <c r="K895" s="85">
        <v>6.4160000000000004</v>
      </c>
      <c r="L895" s="85">
        <v>5.3070000000000004</v>
      </c>
      <c r="M895" s="85">
        <v>3.895</v>
      </c>
      <c r="N895" s="85">
        <v>3.5569999999999999</v>
      </c>
      <c r="O895" s="85">
        <v>3.3849999999999998</v>
      </c>
      <c r="P895" s="85">
        <v>3.0510000000000002</v>
      </c>
      <c r="Q895" s="85">
        <v>3.052</v>
      </c>
      <c r="R895" s="85">
        <v>3.0419999999999998</v>
      </c>
      <c r="S895" s="89">
        <v>3.0369999999999999</v>
      </c>
      <c r="T895" s="89">
        <v>51.294000000000004</v>
      </c>
      <c r="U895" s="85">
        <v>0</v>
      </c>
      <c r="V895" s="85">
        <v>51.294000000000004</v>
      </c>
      <c r="W895" s="85">
        <v>0</v>
      </c>
      <c r="X895" s="89">
        <v>51.294000000000004</v>
      </c>
      <c r="Y895" s="79">
        <v>0</v>
      </c>
      <c r="Z895" s="79">
        <v>1</v>
      </c>
      <c r="AA895" s="94">
        <v>0</v>
      </c>
      <c r="AB895" s="79">
        <v>1</v>
      </c>
      <c r="AC895" s="85">
        <v>41.026204081632649</v>
      </c>
      <c r="AD895" s="85">
        <v>2.5151959183673576</v>
      </c>
      <c r="AE895" s="85">
        <v>7.7525999999999975</v>
      </c>
      <c r="AF895" s="85">
        <v>0</v>
      </c>
      <c r="AG895" s="85">
        <v>51.294000000000011</v>
      </c>
      <c r="AH895" s="85">
        <v>0</v>
      </c>
      <c r="AI895" s="85">
        <v>0</v>
      </c>
      <c r="AJ895" s="85">
        <v>0</v>
      </c>
      <c r="AK895" s="85">
        <v>0</v>
      </c>
      <c r="AL895" s="85">
        <v>0</v>
      </c>
      <c r="AM895" s="85">
        <v>0</v>
      </c>
      <c r="AN895" s="85">
        <v>0</v>
      </c>
      <c r="AO895" s="85">
        <v>0</v>
      </c>
      <c r="AP895" s="85">
        <v>0</v>
      </c>
      <c r="AQ895" s="85">
        <v>0</v>
      </c>
      <c r="AR895" s="85">
        <v>0</v>
      </c>
      <c r="AS895" s="85">
        <v>0</v>
      </c>
      <c r="AT895" s="85">
        <v>0</v>
      </c>
      <c r="AU895" s="85">
        <v>0</v>
      </c>
      <c r="AV895" s="85">
        <v>0</v>
      </c>
      <c r="AW895" s="85">
        <v>0</v>
      </c>
      <c r="AX895" s="85">
        <v>0</v>
      </c>
      <c r="AY895" s="85">
        <v>51.294000000000011</v>
      </c>
      <c r="AZ895" s="85">
        <v>0</v>
      </c>
      <c r="BA895" s="85">
        <v>0</v>
      </c>
      <c r="BB895" s="89">
        <v>0</v>
      </c>
      <c r="BC895" s="89">
        <v>51.294000000000011</v>
      </c>
      <c r="BD895" s="37">
        <v>41081</v>
      </c>
      <c r="BE895" s="37">
        <v>0</v>
      </c>
      <c r="BF895" s="279">
        <v>6466</v>
      </c>
      <c r="BG895" s="37">
        <v>27077</v>
      </c>
      <c r="BH895" s="37">
        <v>6882</v>
      </c>
      <c r="BI895" s="37">
        <v>0</v>
      </c>
      <c r="BJ895" s="283">
        <v>40425</v>
      </c>
      <c r="BK895" s="161"/>
      <c r="BL895" s="294"/>
      <c r="BM895"/>
      <c r="BN895"/>
      <c r="BO895"/>
      <c r="BP895"/>
      <c r="BQ895"/>
      <c r="BR895"/>
      <c r="BS895"/>
      <c r="BT895"/>
      <c r="BU895"/>
      <c r="BV895"/>
      <c r="BW895"/>
      <c r="BX895"/>
      <c r="BY895"/>
      <c r="BZ895"/>
      <c r="CA895"/>
      <c r="CB895"/>
      <c r="CC895"/>
      <c r="CD895"/>
      <c r="CE895"/>
      <c r="CF895"/>
      <c r="CG895"/>
      <c r="CH895"/>
      <c r="CI895"/>
      <c r="CJ895"/>
    </row>
    <row r="896" spans="1:88" s="32" customFormat="1" ht="15" customHeight="1" x14ac:dyDescent="0.35">
      <c r="A896" s="473"/>
      <c r="B896" s="313">
        <v>49095</v>
      </c>
      <c r="C896" s="8" t="s">
        <v>476</v>
      </c>
      <c r="D896" s="18">
        <v>17</v>
      </c>
      <c r="E896" s="251"/>
      <c r="F896" s="82"/>
      <c r="G896" s="79"/>
      <c r="H896" s="90"/>
      <c r="I896" s="85"/>
      <c r="J896" s="85"/>
      <c r="K896" s="85"/>
      <c r="L896" s="85"/>
      <c r="M896" s="85"/>
      <c r="N896" s="85"/>
      <c r="O896" s="85"/>
      <c r="P896" s="85"/>
      <c r="Q896" s="85"/>
      <c r="R896" s="85"/>
      <c r="S896" s="89"/>
      <c r="T896" s="89" t="s">
        <v>1124</v>
      </c>
      <c r="U896" s="85"/>
      <c r="V896" s="85"/>
      <c r="W896" s="85"/>
      <c r="X896" s="89" t="s">
        <v>1124</v>
      </c>
      <c r="Y896" s="79"/>
      <c r="Z896" s="79"/>
      <c r="AA896" s="94"/>
      <c r="AB896" s="79" t="s">
        <v>1124</v>
      </c>
      <c r="AC896" s="85"/>
      <c r="AD896" s="85"/>
      <c r="AE896" s="85"/>
      <c r="AF896" s="85"/>
      <c r="AG896" s="85" t="s">
        <v>1124</v>
      </c>
      <c r="AH896" s="85"/>
      <c r="AI896" s="85"/>
      <c r="AJ896" s="85"/>
      <c r="AK896" s="85"/>
      <c r="AL896" s="85"/>
      <c r="AM896" s="85"/>
      <c r="AN896" s="85"/>
      <c r="AO896" s="85"/>
      <c r="AP896" s="85"/>
      <c r="AQ896" s="85"/>
      <c r="AR896" s="85" t="s">
        <v>1124</v>
      </c>
      <c r="AS896" s="85"/>
      <c r="AT896" s="85"/>
      <c r="AU896" s="85"/>
      <c r="AV896" s="85"/>
      <c r="AW896" s="85"/>
      <c r="AX896" s="85"/>
      <c r="AY896" s="85"/>
      <c r="AZ896" s="85"/>
      <c r="BA896" s="85"/>
      <c r="BB896" s="89"/>
      <c r="BC896" s="89" t="s">
        <v>1124</v>
      </c>
      <c r="BD896" s="37"/>
      <c r="BE896" s="37"/>
      <c r="BF896" s="279"/>
      <c r="BG896" s="37"/>
      <c r="BH896" s="37"/>
      <c r="BI896" s="37"/>
      <c r="BJ896" s="283"/>
      <c r="BK896" s="161"/>
      <c r="BL896" s="294"/>
      <c r="BM896"/>
      <c r="BN896"/>
      <c r="BO896"/>
      <c r="BP896"/>
      <c r="BQ896"/>
      <c r="BR896"/>
      <c r="BS896"/>
      <c r="BT896"/>
      <c r="BU896"/>
      <c r="BV896"/>
      <c r="BW896"/>
      <c r="BX896"/>
      <c r="BY896"/>
      <c r="BZ896"/>
      <c r="CA896"/>
      <c r="CB896"/>
      <c r="CC896"/>
      <c r="CD896"/>
      <c r="CE896"/>
      <c r="CF896"/>
      <c r="CG896"/>
      <c r="CH896"/>
      <c r="CI896"/>
      <c r="CJ896"/>
    </row>
    <row r="897" spans="1:88" s="32" customFormat="1" ht="15" customHeight="1" x14ac:dyDescent="0.35">
      <c r="A897" s="473"/>
      <c r="B897" s="313">
        <v>19025</v>
      </c>
      <c r="C897" s="8" t="s">
        <v>122</v>
      </c>
      <c r="D897" s="18">
        <v>12</v>
      </c>
      <c r="E897" s="251">
        <v>464</v>
      </c>
      <c r="F897" s="82">
        <v>2.29</v>
      </c>
      <c r="G897" s="79">
        <v>1062.56</v>
      </c>
      <c r="H897" s="90">
        <v>9.7829999999999995</v>
      </c>
      <c r="I897" s="85">
        <v>8.9710000000000001</v>
      </c>
      <c r="J897" s="85">
        <v>9.7469999999999999</v>
      </c>
      <c r="K897" s="85">
        <v>10.955</v>
      </c>
      <c r="L897" s="85">
        <v>10.395</v>
      </c>
      <c r="M897" s="85">
        <v>11.679</v>
      </c>
      <c r="N897" s="85">
        <v>12.871</v>
      </c>
      <c r="O897" s="85">
        <v>10.481999999999999</v>
      </c>
      <c r="P897" s="85">
        <v>10.195</v>
      </c>
      <c r="Q897" s="85">
        <v>10.127000000000001</v>
      </c>
      <c r="R897" s="85">
        <v>10.071999999999999</v>
      </c>
      <c r="S897" s="89">
        <v>11.271000000000001</v>
      </c>
      <c r="T897" s="89">
        <v>126.548</v>
      </c>
      <c r="U897" s="85">
        <v>0</v>
      </c>
      <c r="V897" s="85">
        <v>0</v>
      </c>
      <c r="W897" s="85">
        <v>126.548</v>
      </c>
      <c r="X897" s="89">
        <v>126.548</v>
      </c>
      <c r="Y897" s="79">
        <v>0</v>
      </c>
      <c r="Z897" s="79">
        <v>0</v>
      </c>
      <c r="AA897" s="94">
        <v>1</v>
      </c>
      <c r="AB897" s="79">
        <v>1</v>
      </c>
      <c r="AC897" s="85">
        <v>93.72</v>
      </c>
      <c r="AD897" s="85">
        <v>7.3520000000000003</v>
      </c>
      <c r="AE897" s="85">
        <v>25.475999999999999</v>
      </c>
      <c r="AF897" s="85">
        <v>0</v>
      </c>
      <c r="AG897" s="85">
        <v>126.548</v>
      </c>
      <c r="AH897" s="85">
        <v>0</v>
      </c>
      <c r="AI897" s="85">
        <v>0</v>
      </c>
      <c r="AJ897" s="85">
        <v>0</v>
      </c>
      <c r="AK897" s="85">
        <v>0</v>
      </c>
      <c r="AL897" s="85">
        <v>0</v>
      </c>
      <c r="AM897" s="85">
        <v>0</v>
      </c>
      <c r="AN897" s="85">
        <v>0</v>
      </c>
      <c r="AO897" s="85">
        <v>0</v>
      </c>
      <c r="AP897" s="85">
        <v>0</v>
      </c>
      <c r="AQ897" s="85">
        <v>0</v>
      </c>
      <c r="AR897" s="85">
        <v>0</v>
      </c>
      <c r="AS897" s="85">
        <v>0</v>
      </c>
      <c r="AT897" s="85">
        <v>0</v>
      </c>
      <c r="AU897" s="85">
        <v>0</v>
      </c>
      <c r="AV897" s="85">
        <v>0</v>
      </c>
      <c r="AW897" s="85">
        <v>0</v>
      </c>
      <c r="AX897" s="85">
        <v>0</v>
      </c>
      <c r="AY897" s="85">
        <v>126.548</v>
      </c>
      <c r="AZ897" s="85">
        <v>0</v>
      </c>
      <c r="BA897" s="85">
        <v>0</v>
      </c>
      <c r="BB897" s="89">
        <v>0</v>
      </c>
      <c r="BC897" s="89">
        <v>126.548</v>
      </c>
      <c r="BD897" s="37">
        <v>0</v>
      </c>
      <c r="BE897" s="37">
        <v>0</v>
      </c>
      <c r="BF897" s="279">
        <v>10944</v>
      </c>
      <c r="BG897" s="37">
        <v>24175</v>
      </c>
      <c r="BH897" s="37">
        <v>19139</v>
      </c>
      <c r="BI897" s="37">
        <v>197350</v>
      </c>
      <c r="BJ897" s="283">
        <v>251608</v>
      </c>
      <c r="BK897" s="161"/>
      <c r="BL897" s="294"/>
      <c r="BM897"/>
      <c r="BN897"/>
      <c r="BO897"/>
      <c r="BP897"/>
      <c r="BQ897"/>
      <c r="BR897"/>
      <c r="BS897"/>
      <c r="BT897"/>
      <c r="BU897"/>
      <c r="BV897"/>
      <c r="BW897"/>
      <c r="BX897"/>
      <c r="BY897"/>
      <c r="BZ897"/>
      <c r="CA897"/>
      <c r="CB897"/>
      <c r="CC897"/>
      <c r="CD897"/>
      <c r="CE897"/>
      <c r="CF897"/>
      <c r="CG897"/>
      <c r="CH897"/>
      <c r="CI897"/>
      <c r="CJ897"/>
    </row>
    <row r="898" spans="1:88" s="32" customFormat="1" ht="15" customHeight="1" x14ac:dyDescent="0.35">
      <c r="A898" s="473"/>
      <c r="B898" s="313">
        <v>44003</v>
      </c>
      <c r="C898" s="8" t="s">
        <v>398</v>
      </c>
      <c r="D898" s="18">
        <v>5</v>
      </c>
      <c r="E898" s="251"/>
      <c r="F898" s="82"/>
      <c r="G898" s="79"/>
      <c r="H898" s="90"/>
      <c r="I898" s="85"/>
      <c r="J898" s="85"/>
      <c r="K898" s="85"/>
      <c r="L898" s="85"/>
      <c r="M898" s="85"/>
      <c r="N898" s="85"/>
      <c r="O898" s="85"/>
      <c r="P898" s="85"/>
      <c r="Q898" s="85"/>
      <c r="R898" s="85"/>
      <c r="S898" s="89"/>
      <c r="T898" s="89" t="s">
        <v>1124</v>
      </c>
      <c r="U898" s="85"/>
      <c r="V898" s="85"/>
      <c r="W898" s="85"/>
      <c r="X898" s="89" t="s">
        <v>1124</v>
      </c>
      <c r="Y898" s="79"/>
      <c r="Z898" s="79"/>
      <c r="AA898" s="94"/>
      <c r="AB898" s="79" t="s">
        <v>1124</v>
      </c>
      <c r="AC898" s="85"/>
      <c r="AD898" s="85"/>
      <c r="AE898" s="85"/>
      <c r="AF898" s="85"/>
      <c r="AG898" s="85" t="s">
        <v>1124</v>
      </c>
      <c r="AH898" s="85"/>
      <c r="AI898" s="85"/>
      <c r="AJ898" s="85"/>
      <c r="AK898" s="85"/>
      <c r="AL898" s="85"/>
      <c r="AM898" s="85"/>
      <c r="AN898" s="85"/>
      <c r="AO898" s="85"/>
      <c r="AP898" s="85"/>
      <c r="AQ898" s="85"/>
      <c r="AR898" s="85" t="s">
        <v>1124</v>
      </c>
      <c r="AS898" s="85"/>
      <c r="AT898" s="85"/>
      <c r="AU898" s="85"/>
      <c r="AV898" s="85"/>
      <c r="AW898" s="85"/>
      <c r="AX898" s="85"/>
      <c r="AY898" s="85"/>
      <c r="AZ898" s="85"/>
      <c r="BA898" s="85"/>
      <c r="BB898" s="89"/>
      <c r="BC898" s="89" t="s">
        <v>1124</v>
      </c>
      <c r="BD898" s="37"/>
      <c r="BE898" s="37"/>
      <c r="BF898" s="279"/>
      <c r="BG898" s="37"/>
      <c r="BH898" s="37"/>
      <c r="BI898" s="37"/>
      <c r="BJ898" s="283"/>
      <c r="BK898" s="161"/>
      <c r="BL898" s="294"/>
      <c r="BM898"/>
      <c r="BN898"/>
      <c r="BO898"/>
      <c r="BP898"/>
      <c r="BQ898"/>
      <c r="BR898"/>
      <c r="BS898"/>
      <c r="BT898"/>
      <c r="BU898"/>
      <c r="BV898"/>
      <c r="BW898"/>
      <c r="BX898"/>
      <c r="BY898"/>
      <c r="BZ898"/>
      <c r="CA898"/>
      <c r="CB898"/>
      <c r="CC898"/>
      <c r="CD898"/>
      <c r="CE898"/>
      <c r="CF898"/>
      <c r="CG898"/>
      <c r="CH898"/>
      <c r="CI898"/>
      <c r="CJ898"/>
    </row>
    <row r="899" spans="1:88" s="32" customFormat="1" ht="15" customHeight="1" x14ac:dyDescent="0.35">
      <c r="A899" s="473"/>
      <c r="B899" s="313">
        <v>88040</v>
      </c>
      <c r="C899" s="8" t="s">
        <v>917</v>
      </c>
      <c r="D899" s="18">
        <v>8</v>
      </c>
      <c r="E899" s="251"/>
      <c r="F899" s="82"/>
      <c r="G899" s="79"/>
      <c r="H899" s="90"/>
      <c r="I899" s="85"/>
      <c r="J899" s="85"/>
      <c r="K899" s="85"/>
      <c r="L899" s="85"/>
      <c r="M899" s="85"/>
      <c r="N899" s="85"/>
      <c r="O899" s="85"/>
      <c r="P899" s="85"/>
      <c r="Q899" s="85"/>
      <c r="R899" s="85"/>
      <c r="S899" s="89"/>
      <c r="T899" s="89" t="s">
        <v>1124</v>
      </c>
      <c r="U899" s="85"/>
      <c r="V899" s="85"/>
      <c r="W899" s="85"/>
      <c r="X899" s="89" t="s">
        <v>1124</v>
      </c>
      <c r="Y899" s="79"/>
      <c r="Z899" s="79"/>
      <c r="AA899" s="94"/>
      <c r="AB899" s="79" t="s">
        <v>1124</v>
      </c>
      <c r="AC899" s="85"/>
      <c r="AD899" s="85"/>
      <c r="AE899" s="85"/>
      <c r="AF899" s="85"/>
      <c r="AG899" s="85" t="s">
        <v>1124</v>
      </c>
      <c r="AH899" s="85"/>
      <c r="AI899" s="85"/>
      <c r="AJ899" s="85"/>
      <c r="AK899" s="85"/>
      <c r="AL899" s="85"/>
      <c r="AM899" s="85"/>
      <c r="AN899" s="85"/>
      <c r="AO899" s="85"/>
      <c r="AP899" s="85"/>
      <c r="AQ899" s="85"/>
      <c r="AR899" s="85" t="s">
        <v>1124</v>
      </c>
      <c r="AS899" s="85"/>
      <c r="AT899" s="85"/>
      <c r="AU899" s="85"/>
      <c r="AV899" s="85"/>
      <c r="AW899" s="85"/>
      <c r="AX899" s="85"/>
      <c r="AY899" s="85"/>
      <c r="AZ899" s="85"/>
      <c r="BA899" s="85"/>
      <c r="BB899" s="89"/>
      <c r="BC899" s="89" t="s">
        <v>1124</v>
      </c>
      <c r="BD899" s="37"/>
      <c r="BE899" s="37"/>
      <c r="BF899" s="279"/>
      <c r="BG899" s="37"/>
      <c r="BH899" s="37"/>
      <c r="BI899" s="37"/>
      <c r="BJ899" s="283"/>
      <c r="BK899" s="161"/>
      <c r="BL899" s="294"/>
      <c r="BM899"/>
      <c r="BN899"/>
      <c r="BO899"/>
      <c r="BP899"/>
      <c r="BQ899"/>
      <c r="BR899"/>
      <c r="BS899"/>
      <c r="BT899"/>
      <c r="BU899"/>
      <c r="BV899"/>
      <c r="BW899"/>
      <c r="BX899"/>
      <c r="BY899"/>
      <c r="BZ899"/>
      <c r="CA899"/>
      <c r="CB899"/>
      <c r="CC899"/>
      <c r="CD899"/>
      <c r="CE899"/>
      <c r="CF899"/>
      <c r="CG899"/>
      <c r="CH899"/>
      <c r="CI899"/>
      <c r="CJ899"/>
    </row>
    <row r="900" spans="1:88" s="32" customFormat="1" ht="15" customHeight="1" x14ac:dyDescent="0.35">
      <c r="A900" s="473"/>
      <c r="B900" s="314">
        <v>34065</v>
      </c>
      <c r="C900" s="8" t="s">
        <v>293</v>
      </c>
      <c r="D900" s="18">
        <v>3</v>
      </c>
      <c r="E900" s="251">
        <v>1411</v>
      </c>
      <c r="F900" s="82">
        <v>2.1607272727272728</v>
      </c>
      <c r="G900" s="79">
        <v>3048.7861818181818</v>
      </c>
      <c r="H900" s="90">
        <v>9.6660000000000004</v>
      </c>
      <c r="I900" s="85">
        <v>24.568999999999999</v>
      </c>
      <c r="J900" s="85">
        <v>39.551000000000002</v>
      </c>
      <c r="K900" s="85">
        <v>37.719000000000001</v>
      </c>
      <c r="L900" s="85">
        <v>41.375999999999998</v>
      </c>
      <c r="M900" s="85">
        <v>42.603000000000002</v>
      </c>
      <c r="N900" s="85">
        <v>46.389000000000003</v>
      </c>
      <c r="O900" s="85">
        <v>46.332000000000001</v>
      </c>
      <c r="P900" s="85">
        <v>39.685000000000002</v>
      </c>
      <c r="Q900" s="85">
        <v>32.337000000000003</v>
      </c>
      <c r="R900" s="85">
        <v>29.759</v>
      </c>
      <c r="S900" s="89">
        <v>27.81</v>
      </c>
      <c r="T900" s="89">
        <v>417.79600000000005</v>
      </c>
      <c r="U900" s="85">
        <v>0</v>
      </c>
      <c r="V900" s="85">
        <v>417.79600000000005</v>
      </c>
      <c r="W900" s="85">
        <v>0</v>
      </c>
      <c r="X900" s="89">
        <v>417.79600000000005</v>
      </c>
      <c r="Y900" s="79">
        <v>0</v>
      </c>
      <c r="Z900" s="79">
        <v>1</v>
      </c>
      <c r="AA900" s="94">
        <v>0</v>
      </c>
      <c r="AB900" s="79">
        <v>1</v>
      </c>
      <c r="AC900" s="85">
        <v>241.5911806914547</v>
      </c>
      <c r="AD900" s="85">
        <v>92.422819308545343</v>
      </c>
      <c r="AE900" s="85">
        <v>83.781999999999996</v>
      </c>
      <c r="AF900" s="85">
        <v>0</v>
      </c>
      <c r="AG900" s="85">
        <v>417.79599999999999</v>
      </c>
      <c r="AH900" s="85">
        <v>0</v>
      </c>
      <c r="AI900" s="85">
        <v>0</v>
      </c>
      <c r="AJ900" s="85">
        <v>0</v>
      </c>
      <c r="AK900" s="85">
        <v>0</v>
      </c>
      <c r="AL900" s="85">
        <v>0</v>
      </c>
      <c r="AM900" s="85">
        <v>0</v>
      </c>
      <c r="AN900" s="85">
        <v>0</v>
      </c>
      <c r="AO900" s="85">
        <v>0</v>
      </c>
      <c r="AP900" s="85">
        <v>0</v>
      </c>
      <c r="AQ900" s="85">
        <v>0</v>
      </c>
      <c r="AR900" s="85">
        <v>0</v>
      </c>
      <c r="AS900" s="85">
        <v>417.79599999999999</v>
      </c>
      <c r="AT900" s="85">
        <v>0</v>
      </c>
      <c r="AU900" s="85">
        <v>0</v>
      </c>
      <c r="AV900" s="85">
        <v>0</v>
      </c>
      <c r="AW900" s="85">
        <v>0</v>
      </c>
      <c r="AX900" s="85">
        <v>0</v>
      </c>
      <c r="AY900" s="85">
        <v>0</v>
      </c>
      <c r="AZ900" s="85">
        <v>0</v>
      </c>
      <c r="BA900" s="85">
        <v>0</v>
      </c>
      <c r="BB900" s="89">
        <v>0</v>
      </c>
      <c r="BC900" s="89">
        <v>417.79599999999999</v>
      </c>
      <c r="BD900" s="37">
        <v>0</v>
      </c>
      <c r="BE900" s="37">
        <v>0</v>
      </c>
      <c r="BF900" s="279">
        <v>14484</v>
      </c>
      <c r="BG900" s="37">
        <v>42451</v>
      </c>
      <c r="BH900" s="37">
        <v>29153</v>
      </c>
      <c r="BI900" s="37">
        <v>4468</v>
      </c>
      <c r="BJ900" s="283">
        <v>90556</v>
      </c>
      <c r="BK900" s="161"/>
      <c r="BL900" s="294"/>
      <c r="BM900"/>
      <c r="BN900"/>
      <c r="BO900"/>
      <c r="BP900"/>
      <c r="BQ900"/>
      <c r="BR900"/>
      <c r="BS900"/>
      <c r="BT900"/>
      <c r="BU900"/>
      <c r="BV900"/>
      <c r="BW900"/>
      <c r="BX900"/>
      <c r="BY900"/>
      <c r="BZ900"/>
      <c r="CA900"/>
      <c r="CB900"/>
      <c r="CC900"/>
      <c r="CD900"/>
      <c r="CE900"/>
      <c r="CF900"/>
      <c r="CG900"/>
      <c r="CH900"/>
      <c r="CI900"/>
      <c r="CJ900"/>
    </row>
    <row r="901" spans="1:88" s="32" customFormat="1" ht="15" customHeight="1" x14ac:dyDescent="0.35">
      <c r="A901" s="473"/>
      <c r="B901" s="313">
        <v>13020</v>
      </c>
      <c r="C901" s="8" t="s">
        <v>44</v>
      </c>
      <c r="D901" s="18">
        <v>1</v>
      </c>
      <c r="E901" s="251"/>
      <c r="F901" s="82"/>
      <c r="G901" s="79"/>
      <c r="H901" s="90"/>
      <c r="I901" s="85"/>
      <c r="J901" s="85"/>
      <c r="K901" s="85"/>
      <c r="L901" s="85"/>
      <c r="M901" s="85"/>
      <c r="N901" s="85"/>
      <c r="O901" s="85"/>
      <c r="P901" s="85"/>
      <c r="Q901" s="85"/>
      <c r="R901" s="85"/>
      <c r="S901" s="89"/>
      <c r="T901" s="89" t="s">
        <v>1124</v>
      </c>
      <c r="U901" s="85"/>
      <c r="V901" s="85"/>
      <c r="W901" s="85"/>
      <c r="X901" s="89" t="s">
        <v>1124</v>
      </c>
      <c r="Y901" s="79"/>
      <c r="Z901" s="79"/>
      <c r="AA901" s="94"/>
      <c r="AB901" s="79" t="s">
        <v>1124</v>
      </c>
      <c r="AC901" s="85"/>
      <c r="AD901" s="85"/>
      <c r="AE901" s="85"/>
      <c r="AF901" s="85"/>
      <c r="AG901" s="85" t="s">
        <v>1124</v>
      </c>
      <c r="AH901" s="85"/>
      <c r="AI901" s="85"/>
      <c r="AJ901" s="85"/>
      <c r="AK901" s="85"/>
      <c r="AL901" s="85"/>
      <c r="AM901" s="85"/>
      <c r="AN901" s="85"/>
      <c r="AO901" s="85"/>
      <c r="AP901" s="85"/>
      <c r="AQ901" s="85"/>
      <c r="AR901" s="85" t="s">
        <v>1124</v>
      </c>
      <c r="AS901" s="85"/>
      <c r="AT901" s="85"/>
      <c r="AU901" s="85"/>
      <c r="AV901" s="85"/>
      <c r="AW901" s="85"/>
      <c r="AX901" s="85"/>
      <c r="AY901" s="85"/>
      <c r="AZ901" s="85"/>
      <c r="BA901" s="85"/>
      <c r="BB901" s="89"/>
      <c r="BC901" s="89" t="s">
        <v>1124</v>
      </c>
      <c r="BD901" s="37"/>
      <c r="BE901" s="37"/>
      <c r="BF901" s="279"/>
      <c r="BG901" s="37"/>
      <c r="BH901" s="37"/>
      <c r="BI901" s="37"/>
      <c r="BJ901" s="283"/>
      <c r="BK901" s="161"/>
      <c r="BL901" s="294"/>
      <c r="BM901"/>
      <c r="BN901"/>
      <c r="BO901"/>
      <c r="BP901"/>
      <c r="BQ901"/>
      <c r="BR901"/>
      <c r="BS901"/>
      <c r="BT901"/>
      <c r="BU901"/>
      <c r="BV901"/>
      <c r="BW901"/>
      <c r="BX901"/>
      <c r="BY901"/>
      <c r="BZ901"/>
      <c r="CA901"/>
      <c r="CB901"/>
      <c r="CC901"/>
      <c r="CD901"/>
      <c r="CE901"/>
      <c r="CF901"/>
      <c r="CG901"/>
      <c r="CH901"/>
      <c r="CI901"/>
      <c r="CJ901"/>
    </row>
    <row r="902" spans="1:88" s="32" customFormat="1" ht="15" customHeight="1" x14ac:dyDescent="0.35">
      <c r="A902" s="473"/>
      <c r="B902" s="313">
        <v>17020</v>
      </c>
      <c r="C902" s="8" t="s">
        <v>93</v>
      </c>
      <c r="D902" s="18">
        <v>12</v>
      </c>
      <c r="E902" s="251"/>
      <c r="F902" s="82"/>
      <c r="G902" s="79"/>
      <c r="H902" s="90"/>
      <c r="I902" s="85"/>
      <c r="J902" s="85"/>
      <c r="K902" s="85"/>
      <c r="L902" s="85"/>
      <c r="M902" s="85"/>
      <c r="N902" s="85"/>
      <c r="O902" s="85"/>
      <c r="P902" s="85"/>
      <c r="Q902" s="85"/>
      <c r="R902" s="85"/>
      <c r="S902" s="89"/>
      <c r="T902" s="89" t="s">
        <v>1124</v>
      </c>
      <c r="U902" s="85"/>
      <c r="V902" s="85"/>
      <c r="W902" s="85"/>
      <c r="X902" s="89" t="s">
        <v>1124</v>
      </c>
      <c r="Y902" s="79"/>
      <c r="Z902" s="79"/>
      <c r="AA902" s="94"/>
      <c r="AB902" s="79" t="s">
        <v>1124</v>
      </c>
      <c r="AC902" s="85"/>
      <c r="AD902" s="85"/>
      <c r="AE902" s="85"/>
      <c r="AF902" s="85"/>
      <c r="AG902" s="85" t="s">
        <v>1124</v>
      </c>
      <c r="AH902" s="85"/>
      <c r="AI902" s="85"/>
      <c r="AJ902" s="85"/>
      <c r="AK902" s="85"/>
      <c r="AL902" s="85"/>
      <c r="AM902" s="85"/>
      <c r="AN902" s="85"/>
      <c r="AO902" s="85"/>
      <c r="AP902" s="85"/>
      <c r="AQ902" s="85"/>
      <c r="AR902" s="85" t="s">
        <v>1124</v>
      </c>
      <c r="AS902" s="85"/>
      <c r="AT902" s="85"/>
      <c r="AU902" s="85"/>
      <c r="AV902" s="85"/>
      <c r="AW902" s="85"/>
      <c r="AX902" s="85"/>
      <c r="AY902" s="85"/>
      <c r="AZ902" s="85"/>
      <c r="BA902" s="85"/>
      <c r="BB902" s="89"/>
      <c r="BC902" s="89" t="s">
        <v>1124</v>
      </c>
      <c r="BD902" s="37"/>
      <c r="BE902" s="37"/>
      <c r="BF902" s="279"/>
      <c r="BG902" s="37"/>
      <c r="BH902" s="37"/>
      <c r="BI902" s="37"/>
      <c r="BJ902" s="283"/>
      <c r="BK902" s="161"/>
      <c r="BL902" s="294"/>
      <c r="BM902"/>
      <c r="BN902"/>
      <c r="BO902"/>
      <c r="BP902"/>
      <c r="BQ902"/>
      <c r="BR902"/>
      <c r="BS902"/>
      <c r="BT902"/>
      <c r="BU902"/>
      <c r="BV902"/>
      <c r="BW902"/>
      <c r="BX902"/>
      <c r="BY902"/>
      <c r="BZ902"/>
      <c r="CA902"/>
      <c r="CB902"/>
      <c r="CC902"/>
      <c r="CD902"/>
      <c r="CE902"/>
      <c r="CF902"/>
      <c r="CG902"/>
      <c r="CH902"/>
      <c r="CI902"/>
      <c r="CJ902"/>
    </row>
    <row r="903" spans="1:88" s="32" customFormat="1" ht="15" customHeight="1" x14ac:dyDescent="0.35">
      <c r="A903" s="473"/>
      <c r="B903" s="313">
        <v>54125</v>
      </c>
      <c r="C903" s="8" t="s">
        <v>558</v>
      </c>
      <c r="D903" s="18">
        <v>16</v>
      </c>
      <c r="E903" s="251"/>
      <c r="F903" s="82"/>
      <c r="G903" s="79"/>
      <c r="H903" s="90"/>
      <c r="I903" s="85"/>
      <c r="J903" s="85"/>
      <c r="K903" s="85"/>
      <c r="L903" s="85"/>
      <c r="M903" s="85"/>
      <c r="N903" s="85"/>
      <c r="O903" s="85"/>
      <c r="P903" s="85"/>
      <c r="Q903" s="85"/>
      <c r="R903" s="85"/>
      <c r="S903" s="89"/>
      <c r="T903" s="89" t="s">
        <v>1124</v>
      </c>
      <c r="U903" s="85"/>
      <c r="V903" s="85"/>
      <c r="W903" s="85"/>
      <c r="X903" s="89" t="s">
        <v>1124</v>
      </c>
      <c r="Y903" s="79"/>
      <c r="Z903" s="79"/>
      <c r="AA903" s="94"/>
      <c r="AB903" s="79" t="s">
        <v>1124</v>
      </c>
      <c r="AC903" s="85"/>
      <c r="AD903" s="85"/>
      <c r="AE903" s="85"/>
      <c r="AF903" s="85"/>
      <c r="AG903" s="85" t="s">
        <v>1124</v>
      </c>
      <c r="AH903" s="85"/>
      <c r="AI903" s="85"/>
      <c r="AJ903" s="85"/>
      <c r="AK903" s="85"/>
      <c r="AL903" s="85"/>
      <c r="AM903" s="85"/>
      <c r="AN903" s="85"/>
      <c r="AO903" s="85"/>
      <c r="AP903" s="85"/>
      <c r="AQ903" s="85"/>
      <c r="AR903" s="85" t="s">
        <v>1124</v>
      </c>
      <c r="AS903" s="85"/>
      <c r="AT903" s="85"/>
      <c r="AU903" s="85"/>
      <c r="AV903" s="85"/>
      <c r="AW903" s="85"/>
      <c r="AX903" s="85"/>
      <c r="AY903" s="85"/>
      <c r="AZ903" s="85"/>
      <c r="BA903" s="85"/>
      <c r="BB903" s="89"/>
      <c r="BC903" s="89" t="s">
        <v>1124</v>
      </c>
      <c r="BD903" s="37"/>
      <c r="BE903" s="37"/>
      <c r="BF903" s="279"/>
      <c r="BG903" s="37"/>
      <c r="BH903" s="37"/>
      <c r="BI903" s="37"/>
      <c r="BJ903" s="283"/>
      <c r="BK903" s="161"/>
      <c r="BL903" s="294"/>
      <c r="BM903"/>
      <c r="BN903"/>
      <c r="BO903"/>
      <c r="BP903"/>
      <c r="BQ903"/>
      <c r="BR903"/>
      <c r="BS903"/>
      <c r="BT903"/>
      <c r="BU903"/>
      <c r="BV903"/>
      <c r="BW903"/>
      <c r="BX903"/>
      <c r="BY903"/>
      <c r="BZ903"/>
      <c r="CA903"/>
      <c r="CB903"/>
      <c r="CC903"/>
      <c r="CD903"/>
      <c r="CE903"/>
      <c r="CF903"/>
      <c r="CG903"/>
      <c r="CH903"/>
      <c r="CI903"/>
      <c r="CJ903"/>
    </row>
    <row r="904" spans="1:88" s="32" customFormat="1" ht="15" customHeight="1" x14ac:dyDescent="0.35">
      <c r="A904" s="473"/>
      <c r="B904" s="313">
        <v>10025</v>
      </c>
      <c r="C904" s="8" t="s">
        <v>11</v>
      </c>
      <c r="D904" s="18">
        <v>1</v>
      </c>
      <c r="E904" s="251"/>
      <c r="F904" s="82"/>
      <c r="G904" s="79"/>
      <c r="H904" s="90"/>
      <c r="I904" s="85"/>
      <c r="J904" s="85"/>
      <c r="K904" s="85"/>
      <c r="L904" s="85"/>
      <c r="M904" s="85"/>
      <c r="N904" s="85"/>
      <c r="O904" s="85"/>
      <c r="P904" s="85"/>
      <c r="Q904" s="85"/>
      <c r="R904" s="85"/>
      <c r="S904" s="89"/>
      <c r="T904" s="89" t="s">
        <v>1124</v>
      </c>
      <c r="U904" s="85"/>
      <c r="V904" s="85"/>
      <c r="W904" s="85"/>
      <c r="X904" s="89" t="s">
        <v>1124</v>
      </c>
      <c r="Y904" s="79"/>
      <c r="Z904" s="79"/>
      <c r="AA904" s="94"/>
      <c r="AB904" s="79" t="s">
        <v>1124</v>
      </c>
      <c r="AC904" s="85"/>
      <c r="AD904" s="85"/>
      <c r="AE904" s="85"/>
      <c r="AF904" s="85"/>
      <c r="AG904" s="85" t="s">
        <v>1124</v>
      </c>
      <c r="AH904" s="85"/>
      <c r="AI904" s="85"/>
      <c r="AJ904" s="85"/>
      <c r="AK904" s="85"/>
      <c r="AL904" s="85"/>
      <c r="AM904" s="85"/>
      <c r="AN904" s="85"/>
      <c r="AO904" s="85"/>
      <c r="AP904" s="85"/>
      <c r="AQ904" s="85"/>
      <c r="AR904" s="85" t="s">
        <v>1124</v>
      </c>
      <c r="AS904" s="85"/>
      <c r="AT904" s="85"/>
      <c r="AU904" s="85"/>
      <c r="AV904" s="85"/>
      <c r="AW904" s="85"/>
      <c r="AX904" s="85"/>
      <c r="AY904" s="85"/>
      <c r="AZ904" s="85"/>
      <c r="BA904" s="85"/>
      <c r="BB904" s="89"/>
      <c r="BC904" s="89" t="s">
        <v>1124</v>
      </c>
      <c r="BD904" s="37"/>
      <c r="BE904" s="37"/>
      <c r="BF904" s="279"/>
      <c r="BG904" s="37"/>
      <c r="BH904" s="37"/>
      <c r="BI904" s="37"/>
      <c r="BJ904" s="283"/>
      <c r="BK904" s="161"/>
      <c r="BL904" s="294"/>
      <c r="BM904"/>
      <c r="BN904"/>
      <c r="BO904"/>
      <c r="BP904"/>
      <c r="BQ904"/>
      <c r="BR904"/>
      <c r="BS904"/>
      <c r="BT904"/>
      <c r="BU904"/>
      <c r="BV904"/>
      <c r="BW904"/>
      <c r="BX904"/>
      <c r="BY904"/>
      <c r="BZ904"/>
      <c r="CA904"/>
      <c r="CB904"/>
      <c r="CC904"/>
      <c r="CD904"/>
      <c r="CE904"/>
      <c r="CF904"/>
      <c r="CG904"/>
      <c r="CH904"/>
      <c r="CI904"/>
      <c r="CJ904"/>
    </row>
    <row r="905" spans="1:88" s="32" customFormat="1" ht="15" customHeight="1" x14ac:dyDescent="0.35">
      <c r="A905" s="473"/>
      <c r="B905" s="313">
        <v>57050</v>
      </c>
      <c r="C905" s="8" t="s">
        <v>590</v>
      </c>
      <c r="D905" s="18">
        <v>16</v>
      </c>
      <c r="E905" s="251"/>
      <c r="F905" s="82"/>
      <c r="G905" s="79"/>
      <c r="H905" s="90"/>
      <c r="I905" s="85"/>
      <c r="J905" s="85"/>
      <c r="K905" s="85"/>
      <c r="L905" s="85"/>
      <c r="M905" s="85"/>
      <c r="N905" s="85"/>
      <c r="O905" s="85"/>
      <c r="P905" s="85"/>
      <c r="Q905" s="85"/>
      <c r="R905" s="85"/>
      <c r="S905" s="89"/>
      <c r="T905" s="89" t="s">
        <v>1124</v>
      </c>
      <c r="U905" s="85"/>
      <c r="V905" s="85"/>
      <c r="W905" s="85"/>
      <c r="X905" s="89" t="s">
        <v>1124</v>
      </c>
      <c r="Y905" s="79"/>
      <c r="Z905" s="79"/>
      <c r="AA905" s="94"/>
      <c r="AB905" s="79" t="s">
        <v>1124</v>
      </c>
      <c r="AC905" s="85"/>
      <c r="AD905" s="85"/>
      <c r="AE905" s="85"/>
      <c r="AF905" s="85"/>
      <c r="AG905" s="85" t="s">
        <v>1124</v>
      </c>
      <c r="AH905" s="85"/>
      <c r="AI905" s="85"/>
      <c r="AJ905" s="85"/>
      <c r="AK905" s="85"/>
      <c r="AL905" s="85"/>
      <c r="AM905" s="85"/>
      <c r="AN905" s="85"/>
      <c r="AO905" s="85"/>
      <c r="AP905" s="85"/>
      <c r="AQ905" s="85"/>
      <c r="AR905" s="85" t="s">
        <v>1124</v>
      </c>
      <c r="AS905" s="85"/>
      <c r="AT905" s="85"/>
      <c r="AU905" s="85"/>
      <c r="AV905" s="85"/>
      <c r="AW905" s="85"/>
      <c r="AX905" s="85"/>
      <c r="AY905" s="85"/>
      <c r="AZ905" s="85"/>
      <c r="BA905" s="85"/>
      <c r="BB905" s="89"/>
      <c r="BC905" s="89" t="s">
        <v>1124</v>
      </c>
      <c r="BD905" s="37"/>
      <c r="BE905" s="37"/>
      <c r="BF905" s="279"/>
      <c r="BG905" s="37"/>
      <c r="BH905" s="37"/>
      <c r="BI905" s="37"/>
      <c r="BJ905" s="283"/>
      <c r="BK905" s="161"/>
      <c r="BL905" s="294"/>
      <c r="BM905"/>
      <c r="BN905"/>
      <c r="BO905"/>
      <c r="BP905"/>
      <c r="BQ905"/>
      <c r="BR905"/>
      <c r="BS905"/>
      <c r="BT905"/>
      <c r="BU905"/>
      <c r="BV905"/>
      <c r="BW905"/>
      <c r="BX905"/>
      <c r="BY905"/>
      <c r="BZ905"/>
      <c r="CA905"/>
      <c r="CB905"/>
      <c r="CC905"/>
      <c r="CD905"/>
      <c r="CE905"/>
      <c r="CF905"/>
      <c r="CG905"/>
      <c r="CH905"/>
      <c r="CI905"/>
      <c r="CJ905"/>
    </row>
    <row r="906" spans="1:88" s="32" customFormat="1" ht="15" customHeight="1" x14ac:dyDescent="0.35">
      <c r="A906" s="473"/>
      <c r="B906" s="313">
        <v>29045</v>
      </c>
      <c r="C906" s="8" t="s">
        <v>207</v>
      </c>
      <c r="D906" s="18">
        <v>12</v>
      </c>
      <c r="E906" s="251">
        <v>866</v>
      </c>
      <c r="F906" s="82">
        <v>2.1946133796698524</v>
      </c>
      <c r="G906" s="79">
        <v>1900.5351867940922</v>
      </c>
      <c r="H906" s="90">
        <v>13.949</v>
      </c>
      <c r="I906" s="85">
        <v>12.375999999999999</v>
      </c>
      <c r="J906" s="85">
        <v>12.702999999999999</v>
      </c>
      <c r="K906" s="85">
        <v>11.976000000000001</v>
      </c>
      <c r="L906" s="85">
        <v>12.821</v>
      </c>
      <c r="M906" s="85">
        <v>13.663</v>
      </c>
      <c r="N906" s="85">
        <v>15.247</v>
      </c>
      <c r="O906" s="85">
        <v>14.381</v>
      </c>
      <c r="P906" s="85">
        <v>13.122</v>
      </c>
      <c r="Q906" s="85">
        <v>12.548999999999999</v>
      </c>
      <c r="R906" s="85">
        <v>11.635999999999999</v>
      </c>
      <c r="S906" s="89">
        <v>12.782999999999999</v>
      </c>
      <c r="T906" s="89">
        <v>157.20599999999999</v>
      </c>
      <c r="U906" s="85">
        <v>0</v>
      </c>
      <c r="V906" s="85">
        <v>157.20599999999999</v>
      </c>
      <c r="W906" s="85">
        <v>0</v>
      </c>
      <c r="X906" s="89">
        <v>157.20599999999999</v>
      </c>
      <c r="Y906" s="79">
        <v>0</v>
      </c>
      <c r="Z906" s="79">
        <v>2</v>
      </c>
      <c r="AA906" s="94">
        <v>0</v>
      </c>
      <c r="AB906" s="79">
        <v>2</v>
      </c>
      <c r="AC906" s="85">
        <v>127.383</v>
      </c>
      <c r="AD906" s="85">
        <v>18.913</v>
      </c>
      <c r="AE906" s="85">
        <v>10.91</v>
      </c>
      <c r="AF906" s="85">
        <v>0</v>
      </c>
      <c r="AG906" s="85">
        <v>157.20599999999999</v>
      </c>
      <c r="AH906" s="85">
        <v>0</v>
      </c>
      <c r="AI906" s="85">
        <v>0</v>
      </c>
      <c r="AJ906" s="85">
        <v>0</v>
      </c>
      <c r="AK906" s="85">
        <v>0</v>
      </c>
      <c r="AL906" s="85">
        <v>0</v>
      </c>
      <c r="AM906" s="85">
        <v>0</v>
      </c>
      <c r="AN906" s="85">
        <v>0</v>
      </c>
      <c r="AO906" s="85">
        <v>0</v>
      </c>
      <c r="AP906" s="85">
        <v>0</v>
      </c>
      <c r="AQ906" s="85">
        <v>0</v>
      </c>
      <c r="AR906" s="85">
        <v>0</v>
      </c>
      <c r="AS906" s="85">
        <v>0</v>
      </c>
      <c r="AT906" s="85">
        <v>0</v>
      </c>
      <c r="AU906" s="85">
        <v>157.20599999999999</v>
      </c>
      <c r="AV906" s="85">
        <v>0</v>
      </c>
      <c r="AW906" s="85">
        <v>0</v>
      </c>
      <c r="AX906" s="85">
        <v>0</v>
      </c>
      <c r="AY906" s="85">
        <v>0</v>
      </c>
      <c r="AZ906" s="85">
        <v>0</v>
      </c>
      <c r="BA906" s="85">
        <v>0</v>
      </c>
      <c r="BB906" s="89">
        <v>0</v>
      </c>
      <c r="BC906" s="89">
        <v>157.20599999999999</v>
      </c>
      <c r="BD906" s="37">
        <v>0</v>
      </c>
      <c r="BE906" s="37">
        <v>0</v>
      </c>
      <c r="BF906" s="279">
        <v>7659</v>
      </c>
      <c r="BG906" s="37">
        <v>39325</v>
      </c>
      <c r="BH906" s="37">
        <v>32318</v>
      </c>
      <c r="BI906" s="37">
        <v>11972</v>
      </c>
      <c r="BJ906" s="283">
        <v>91274</v>
      </c>
      <c r="BK906" s="161"/>
      <c r="BL906" s="294"/>
      <c r="BM906"/>
      <c r="BN906"/>
      <c r="BO906"/>
      <c r="BP906"/>
      <c r="BQ906"/>
      <c r="BR906"/>
      <c r="BS906"/>
      <c r="BT906"/>
      <c r="BU906"/>
      <c r="BV906"/>
      <c r="BW906"/>
      <c r="BX906"/>
      <c r="BY906"/>
      <c r="BZ906"/>
      <c r="CA906"/>
      <c r="CB906"/>
      <c r="CC906"/>
      <c r="CD906"/>
      <c r="CE906"/>
      <c r="CF906"/>
      <c r="CG906"/>
      <c r="CH906"/>
      <c r="CI906"/>
      <c r="CJ906"/>
    </row>
    <row r="907" spans="1:88" s="32" customFormat="1" ht="15" customHeight="1" x14ac:dyDescent="0.35">
      <c r="A907" s="473"/>
      <c r="B907" s="313">
        <v>55065</v>
      </c>
      <c r="C907" s="8" t="s">
        <v>566</v>
      </c>
      <c r="D907" s="18">
        <v>16</v>
      </c>
      <c r="E907" s="251"/>
      <c r="F907" s="82"/>
      <c r="G907" s="79"/>
      <c r="H907" s="90"/>
      <c r="I907" s="85"/>
      <c r="J907" s="85"/>
      <c r="K907" s="85"/>
      <c r="L907" s="85"/>
      <c r="M907" s="85"/>
      <c r="N907" s="85"/>
      <c r="O907" s="85"/>
      <c r="P907" s="85"/>
      <c r="Q907" s="85"/>
      <c r="R907" s="85"/>
      <c r="S907" s="89"/>
      <c r="T907" s="89" t="s">
        <v>1124</v>
      </c>
      <c r="U907" s="85"/>
      <c r="V907" s="85"/>
      <c r="W907" s="85"/>
      <c r="X907" s="89" t="s">
        <v>1124</v>
      </c>
      <c r="Y907" s="79"/>
      <c r="Z907" s="79"/>
      <c r="AA907" s="94"/>
      <c r="AB907" s="79" t="s">
        <v>1124</v>
      </c>
      <c r="AC907" s="85"/>
      <c r="AD907" s="85"/>
      <c r="AE907" s="85"/>
      <c r="AF907" s="85"/>
      <c r="AG907" s="85" t="s">
        <v>1124</v>
      </c>
      <c r="AH907" s="85"/>
      <c r="AI907" s="85"/>
      <c r="AJ907" s="85"/>
      <c r="AK907" s="85"/>
      <c r="AL907" s="85"/>
      <c r="AM907" s="85"/>
      <c r="AN907" s="85"/>
      <c r="AO907" s="85"/>
      <c r="AP907" s="85"/>
      <c r="AQ907" s="85"/>
      <c r="AR907" s="85" t="s">
        <v>1124</v>
      </c>
      <c r="AS907" s="85"/>
      <c r="AT907" s="85"/>
      <c r="AU907" s="85"/>
      <c r="AV907" s="85"/>
      <c r="AW907" s="85"/>
      <c r="AX907" s="85"/>
      <c r="AY907" s="85"/>
      <c r="AZ907" s="85"/>
      <c r="BA907" s="85"/>
      <c r="BB907" s="89"/>
      <c r="BC907" s="89" t="s">
        <v>1124</v>
      </c>
      <c r="BD907" s="37"/>
      <c r="BE907" s="37"/>
      <c r="BF907" s="279"/>
      <c r="BG907" s="37"/>
      <c r="BH907" s="37"/>
      <c r="BI907" s="37"/>
      <c r="BJ907" s="283"/>
      <c r="BK907" s="161"/>
      <c r="BL907" s="294"/>
      <c r="BM907"/>
      <c r="BN907"/>
      <c r="BO907"/>
      <c r="BP907"/>
      <c r="BQ907"/>
      <c r="BR907"/>
      <c r="BS907"/>
      <c r="BT907"/>
      <c r="BU907"/>
      <c r="BV907"/>
      <c r="BW907"/>
      <c r="BX907"/>
      <c r="BY907"/>
      <c r="BZ907"/>
      <c r="CA907"/>
      <c r="CB907"/>
      <c r="CC907"/>
      <c r="CD907"/>
      <c r="CE907"/>
      <c r="CF907"/>
      <c r="CG907"/>
      <c r="CH907"/>
      <c r="CI907"/>
      <c r="CJ907"/>
    </row>
    <row r="908" spans="1:88" s="32" customFormat="1" ht="15" customHeight="1" x14ac:dyDescent="0.35">
      <c r="A908" s="473"/>
      <c r="B908" s="313">
        <v>67005</v>
      </c>
      <c r="C908" s="8" t="s">
        <v>662</v>
      </c>
      <c r="D908" s="18">
        <v>16</v>
      </c>
      <c r="E908" s="251"/>
      <c r="F908" s="82"/>
      <c r="G908" s="79"/>
      <c r="H908" s="90"/>
      <c r="I908" s="85"/>
      <c r="J908" s="85"/>
      <c r="K908" s="85"/>
      <c r="L908" s="85"/>
      <c r="M908" s="85"/>
      <c r="N908" s="85"/>
      <c r="O908" s="85"/>
      <c r="P908" s="85"/>
      <c r="Q908" s="85"/>
      <c r="R908" s="85"/>
      <c r="S908" s="89"/>
      <c r="T908" s="89" t="s">
        <v>1124</v>
      </c>
      <c r="U908" s="85"/>
      <c r="V908" s="85"/>
      <c r="W908" s="85"/>
      <c r="X908" s="89" t="s">
        <v>1124</v>
      </c>
      <c r="Y908" s="79"/>
      <c r="Z908" s="79"/>
      <c r="AA908" s="94"/>
      <c r="AB908" s="79" t="s">
        <v>1124</v>
      </c>
      <c r="AC908" s="85"/>
      <c r="AD908" s="85"/>
      <c r="AE908" s="85"/>
      <c r="AF908" s="85"/>
      <c r="AG908" s="85" t="s">
        <v>1124</v>
      </c>
      <c r="AH908" s="85"/>
      <c r="AI908" s="85"/>
      <c r="AJ908" s="85"/>
      <c r="AK908" s="85"/>
      <c r="AL908" s="85"/>
      <c r="AM908" s="85"/>
      <c r="AN908" s="85"/>
      <c r="AO908" s="85"/>
      <c r="AP908" s="85"/>
      <c r="AQ908" s="85"/>
      <c r="AR908" s="85" t="s">
        <v>1124</v>
      </c>
      <c r="AS908" s="85"/>
      <c r="AT908" s="85"/>
      <c r="AU908" s="85"/>
      <c r="AV908" s="85"/>
      <c r="AW908" s="85"/>
      <c r="AX908" s="85"/>
      <c r="AY908" s="85"/>
      <c r="AZ908" s="85"/>
      <c r="BA908" s="85"/>
      <c r="BB908" s="89"/>
      <c r="BC908" s="89" t="s">
        <v>1124</v>
      </c>
      <c r="BD908" s="37"/>
      <c r="BE908" s="37"/>
      <c r="BF908" s="279"/>
      <c r="BG908" s="37"/>
      <c r="BH908" s="37"/>
      <c r="BI908" s="37"/>
      <c r="BJ908" s="283"/>
      <c r="BK908" s="161"/>
      <c r="BL908" s="294"/>
      <c r="BM908"/>
      <c r="BN908"/>
      <c r="BO908"/>
      <c r="BP908"/>
      <c r="BQ908"/>
      <c r="BR908"/>
      <c r="BS908"/>
      <c r="BT908"/>
      <c r="BU908"/>
      <c r="BV908"/>
      <c r="BW908"/>
      <c r="BX908"/>
      <c r="BY908"/>
      <c r="BZ908"/>
      <c r="CA908"/>
      <c r="CB908"/>
      <c r="CC908"/>
      <c r="CD908"/>
      <c r="CE908"/>
      <c r="CF908"/>
      <c r="CG908"/>
      <c r="CH908"/>
      <c r="CI908"/>
      <c r="CJ908"/>
    </row>
    <row r="909" spans="1:88" s="32" customFormat="1" ht="15" customHeight="1" x14ac:dyDescent="0.35">
      <c r="A909" s="473"/>
      <c r="B909" s="313">
        <v>57045</v>
      </c>
      <c r="C909" s="8" t="s">
        <v>589</v>
      </c>
      <c r="D909" s="18">
        <v>16</v>
      </c>
      <c r="E909" s="251"/>
      <c r="F909" s="82"/>
      <c r="G909" s="79"/>
      <c r="H909" s="90"/>
      <c r="I909" s="85"/>
      <c r="J909" s="85"/>
      <c r="K909" s="85"/>
      <c r="L909" s="85"/>
      <c r="M909" s="85"/>
      <c r="N909" s="85"/>
      <c r="O909" s="85"/>
      <c r="P909" s="85"/>
      <c r="Q909" s="85"/>
      <c r="R909" s="85"/>
      <c r="S909" s="89"/>
      <c r="T909" s="89" t="s">
        <v>1124</v>
      </c>
      <c r="U909" s="85"/>
      <c r="V909" s="85"/>
      <c r="W909" s="85"/>
      <c r="X909" s="89" t="s">
        <v>1124</v>
      </c>
      <c r="Y909" s="79"/>
      <c r="Z909" s="79"/>
      <c r="AA909" s="94"/>
      <c r="AB909" s="79" t="s">
        <v>1124</v>
      </c>
      <c r="AC909" s="85"/>
      <c r="AD909" s="85"/>
      <c r="AE909" s="85"/>
      <c r="AF909" s="85"/>
      <c r="AG909" s="85" t="s">
        <v>1124</v>
      </c>
      <c r="AH909" s="85"/>
      <c r="AI909" s="85"/>
      <c r="AJ909" s="85"/>
      <c r="AK909" s="85"/>
      <c r="AL909" s="85"/>
      <c r="AM909" s="85"/>
      <c r="AN909" s="85"/>
      <c r="AO909" s="85"/>
      <c r="AP909" s="85"/>
      <c r="AQ909" s="85"/>
      <c r="AR909" s="85" t="s">
        <v>1124</v>
      </c>
      <c r="AS909" s="85"/>
      <c r="AT909" s="85"/>
      <c r="AU909" s="85"/>
      <c r="AV909" s="85"/>
      <c r="AW909" s="85"/>
      <c r="AX909" s="85"/>
      <c r="AY909" s="85"/>
      <c r="AZ909" s="85"/>
      <c r="BA909" s="85"/>
      <c r="BB909" s="89"/>
      <c r="BC909" s="89" t="s">
        <v>1124</v>
      </c>
      <c r="BD909" s="37"/>
      <c r="BE909" s="37"/>
      <c r="BF909" s="279"/>
      <c r="BG909" s="37"/>
      <c r="BH909" s="37"/>
      <c r="BI909" s="37"/>
      <c r="BJ909" s="283"/>
      <c r="BK909" s="161"/>
      <c r="BL909" s="294"/>
      <c r="BM909"/>
      <c r="BN909"/>
      <c r="BO909"/>
      <c r="BP909"/>
      <c r="BQ909"/>
      <c r="BR909"/>
      <c r="BS909"/>
      <c r="BT909"/>
      <c r="BU909"/>
      <c r="BV909"/>
      <c r="BW909"/>
      <c r="BX909"/>
      <c r="BY909"/>
      <c r="BZ909"/>
      <c r="CA909"/>
      <c r="CB909"/>
      <c r="CC909"/>
      <c r="CD909"/>
      <c r="CE909"/>
      <c r="CF909"/>
      <c r="CG909"/>
      <c r="CH909"/>
      <c r="CI909"/>
      <c r="CJ909"/>
    </row>
    <row r="910" spans="1:88" s="32" customFormat="1" ht="15" customHeight="1" x14ac:dyDescent="0.35">
      <c r="A910" s="473"/>
      <c r="B910" s="313">
        <v>11050</v>
      </c>
      <c r="C910" s="8" t="s">
        <v>26</v>
      </c>
      <c r="D910" s="18">
        <v>1</v>
      </c>
      <c r="E910" s="251"/>
      <c r="F910" s="82"/>
      <c r="G910" s="79"/>
      <c r="H910" s="90"/>
      <c r="I910" s="85"/>
      <c r="J910" s="85"/>
      <c r="K910" s="85"/>
      <c r="L910" s="85"/>
      <c r="M910" s="85"/>
      <c r="N910" s="85"/>
      <c r="O910" s="85"/>
      <c r="P910" s="85"/>
      <c r="Q910" s="85"/>
      <c r="R910" s="85"/>
      <c r="S910" s="89"/>
      <c r="T910" s="89" t="s">
        <v>1124</v>
      </c>
      <c r="U910" s="85"/>
      <c r="V910" s="85"/>
      <c r="W910" s="85"/>
      <c r="X910" s="89" t="s">
        <v>1124</v>
      </c>
      <c r="Y910" s="79"/>
      <c r="Z910" s="79"/>
      <c r="AA910" s="94"/>
      <c r="AB910" s="79" t="s">
        <v>1124</v>
      </c>
      <c r="AC910" s="85"/>
      <c r="AD910" s="85"/>
      <c r="AE910" s="85"/>
      <c r="AF910" s="85"/>
      <c r="AG910" s="85" t="s">
        <v>1124</v>
      </c>
      <c r="AH910" s="85"/>
      <c r="AI910" s="85"/>
      <c r="AJ910" s="85"/>
      <c r="AK910" s="85"/>
      <c r="AL910" s="85"/>
      <c r="AM910" s="85"/>
      <c r="AN910" s="85"/>
      <c r="AO910" s="85"/>
      <c r="AP910" s="85"/>
      <c r="AQ910" s="85"/>
      <c r="AR910" s="85" t="s">
        <v>1124</v>
      </c>
      <c r="AS910" s="85"/>
      <c r="AT910" s="85"/>
      <c r="AU910" s="85"/>
      <c r="AV910" s="85"/>
      <c r="AW910" s="85"/>
      <c r="AX910" s="85"/>
      <c r="AY910" s="85"/>
      <c r="AZ910" s="85"/>
      <c r="BA910" s="85"/>
      <c r="BB910" s="89"/>
      <c r="BC910" s="89" t="s">
        <v>1124</v>
      </c>
      <c r="BD910" s="37"/>
      <c r="BE910" s="37"/>
      <c r="BF910" s="279"/>
      <c r="BG910" s="37"/>
      <c r="BH910" s="37"/>
      <c r="BI910" s="37"/>
      <c r="BJ910" s="283"/>
      <c r="BK910" s="161"/>
      <c r="BL910" s="294"/>
      <c r="BM910"/>
      <c r="BN910"/>
      <c r="BO910"/>
      <c r="BP910"/>
      <c r="BQ910"/>
      <c r="BR910"/>
      <c r="BS910"/>
      <c r="BT910"/>
      <c r="BU910"/>
      <c r="BV910"/>
      <c r="BW910"/>
      <c r="BX910"/>
      <c r="BY910"/>
      <c r="BZ910"/>
      <c r="CA910"/>
      <c r="CB910"/>
      <c r="CC910"/>
      <c r="CD910"/>
      <c r="CE910"/>
      <c r="CF910"/>
      <c r="CG910"/>
      <c r="CH910"/>
      <c r="CI910"/>
      <c r="CJ910"/>
    </row>
    <row r="911" spans="1:88" s="32" customFormat="1" ht="15" customHeight="1" x14ac:dyDescent="0.35">
      <c r="A911" s="473"/>
      <c r="B911" s="313">
        <v>88050</v>
      </c>
      <c r="C911" s="8" t="s">
        <v>919</v>
      </c>
      <c r="D911" s="18">
        <v>8</v>
      </c>
      <c r="E911" s="251"/>
      <c r="F911" s="82"/>
      <c r="G911" s="79"/>
      <c r="H911" s="90"/>
      <c r="I911" s="85"/>
      <c r="J911" s="85"/>
      <c r="K911" s="85"/>
      <c r="L911" s="85"/>
      <c r="M911" s="85"/>
      <c r="N911" s="85"/>
      <c r="O911" s="85"/>
      <c r="P911" s="85"/>
      <c r="Q911" s="85"/>
      <c r="R911" s="85"/>
      <c r="S911" s="89"/>
      <c r="T911" s="89" t="s">
        <v>1124</v>
      </c>
      <c r="U911" s="85"/>
      <c r="V911" s="85"/>
      <c r="W911" s="85"/>
      <c r="X911" s="89" t="s">
        <v>1124</v>
      </c>
      <c r="Y911" s="79"/>
      <c r="Z911" s="79"/>
      <c r="AA911" s="94"/>
      <c r="AB911" s="79" t="s">
        <v>1124</v>
      </c>
      <c r="AC911" s="85"/>
      <c r="AD911" s="85"/>
      <c r="AE911" s="85"/>
      <c r="AF911" s="85"/>
      <c r="AG911" s="85" t="s">
        <v>1124</v>
      </c>
      <c r="AH911" s="85"/>
      <c r="AI911" s="85"/>
      <c r="AJ911" s="85"/>
      <c r="AK911" s="85"/>
      <c r="AL911" s="85"/>
      <c r="AM911" s="85"/>
      <c r="AN911" s="85"/>
      <c r="AO911" s="85"/>
      <c r="AP911" s="85"/>
      <c r="AQ911" s="85"/>
      <c r="AR911" s="85" t="s">
        <v>1124</v>
      </c>
      <c r="AS911" s="85"/>
      <c r="AT911" s="85"/>
      <c r="AU911" s="85"/>
      <c r="AV911" s="85"/>
      <c r="AW911" s="85"/>
      <c r="AX911" s="85"/>
      <c r="AY911" s="85"/>
      <c r="AZ911" s="85"/>
      <c r="BA911" s="85"/>
      <c r="BB911" s="89"/>
      <c r="BC911" s="89" t="s">
        <v>1124</v>
      </c>
      <c r="BD911" s="37"/>
      <c r="BE911" s="37"/>
      <c r="BF911" s="279"/>
      <c r="BG911" s="37"/>
      <c r="BH911" s="37"/>
      <c r="BI911" s="37"/>
      <c r="BJ911" s="283"/>
      <c r="BK911" s="161"/>
      <c r="BL911" s="294"/>
      <c r="BM911"/>
      <c r="BN911"/>
      <c r="BO911"/>
      <c r="BP911"/>
      <c r="BQ911"/>
      <c r="BR911"/>
      <c r="BS911"/>
      <c r="BT911"/>
      <c r="BU911"/>
      <c r="BV911"/>
      <c r="BW911"/>
      <c r="BX911"/>
      <c r="BY911"/>
      <c r="BZ911"/>
      <c r="CA911"/>
      <c r="CB911"/>
      <c r="CC911"/>
      <c r="CD911"/>
      <c r="CE911"/>
      <c r="CF911"/>
      <c r="CG911"/>
      <c r="CH911"/>
      <c r="CI911"/>
      <c r="CJ911"/>
    </row>
    <row r="912" spans="1:88" s="32" customFormat="1" ht="15" customHeight="1" x14ac:dyDescent="0.35">
      <c r="A912" s="473"/>
      <c r="B912" s="313">
        <v>51070</v>
      </c>
      <c r="C912" s="8" t="s">
        <v>510</v>
      </c>
      <c r="D912" s="18">
        <v>4</v>
      </c>
      <c r="E912" s="251"/>
      <c r="F912" s="82"/>
      <c r="G912" s="79"/>
      <c r="H912" s="90"/>
      <c r="I912" s="85"/>
      <c r="J912" s="85"/>
      <c r="K912" s="85"/>
      <c r="L912" s="85"/>
      <c r="M912" s="85"/>
      <c r="N912" s="85"/>
      <c r="O912" s="85"/>
      <c r="P912" s="85"/>
      <c r="Q912" s="85"/>
      <c r="R912" s="85"/>
      <c r="S912" s="89"/>
      <c r="T912" s="89" t="s">
        <v>1124</v>
      </c>
      <c r="U912" s="85"/>
      <c r="V912" s="85"/>
      <c r="W912" s="85"/>
      <c r="X912" s="89" t="s">
        <v>1124</v>
      </c>
      <c r="Y912" s="79"/>
      <c r="Z912" s="79"/>
      <c r="AA912" s="94"/>
      <c r="AB912" s="79" t="s">
        <v>1124</v>
      </c>
      <c r="AC912" s="85"/>
      <c r="AD912" s="85"/>
      <c r="AE912" s="85"/>
      <c r="AF912" s="85"/>
      <c r="AG912" s="85" t="s">
        <v>1124</v>
      </c>
      <c r="AH912" s="85"/>
      <c r="AI912" s="85"/>
      <c r="AJ912" s="85"/>
      <c r="AK912" s="85"/>
      <c r="AL912" s="85"/>
      <c r="AM912" s="85"/>
      <c r="AN912" s="85"/>
      <c r="AO912" s="85"/>
      <c r="AP912" s="85"/>
      <c r="AQ912" s="85"/>
      <c r="AR912" s="85" t="s">
        <v>1124</v>
      </c>
      <c r="AS912" s="85"/>
      <c r="AT912" s="85"/>
      <c r="AU912" s="85"/>
      <c r="AV912" s="85"/>
      <c r="AW912" s="85"/>
      <c r="AX912" s="85"/>
      <c r="AY912" s="85"/>
      <c r="AZ912" s="85"/>
      <c r="BA912" s="85"/>
      <c r="BB912" s="89"/>
      <c r="BC912" s="89" t="s">
        <v>1124</v>
      </c>
      <c r="BD912" s="37"/>
      <c r="BE912" s="37"/>
      <c r="BF912" s="279"/>
      <c r="BG912" s="37"/>
      <c r="BH912" s="37"/>
      <c r="BI912" s="37"/>
      <c r="BJ912" s="283"/>
      <c r="BK912" s="161"/>
      <c r="BL912" s="294"/>
      <c r="BM912"/>
      <c r="BN912"/>
      <c r="BO912"/>
      <c r="BP912"/>
      <c r="BQ912"/>
      <c r="BR912"/>
      <c r="BS912"/>
      <c r="BT912"/>
      <c r="BU912"/>
      <c r="BV912"/>
      <c r="BW912"/>
      <c r="BX912"/>
      <c r="BY912"/>
      <c r="BZ912"/>
      <c r="CA912"/>
      <c r="CB912"/>
      <c r="CC912"/>
      <c r="CD912"/>
      <c r="CE912"/>
      <c r="CF912"/>
      <c r="CG912"/>
      <c r="CH912"/>
      <c r="CI912"/>
      <c r="CJ912"/>
    </row>
    <row r="913" spans="1:88" s="32" customFormat="1" ht="15" customHeight="1" x14ac:dyDescent="0.35">
      <c r="A913" s="473"/>
      <c r="B913" s="313">
        <v>37230</v>
      </c>
      <c r="C913" s="8" t="s">
        <v>320</v>
      </c>
      <c r="D913" s="18">
        <v>4</v>
      </c>
      <c r="E913" s="251">
        <v>1355</v>
      </c>
      <c r="F913" s="82">
        <v>2.5381791483113068</v>
      </c>
      <c r="G913" s="79">
        <v>3439.2327459618205</v>
      </c>
      <c r="H913" s="90">
        <v>28.422999999999998</v>
      </c>
      <c r="I913" s="85">
        <v>28.175999999999998</v>
      </c>
      <c r="J913" s="85">
        <v>25.390999999999998</v>
      </c>
      <c r="K913" s="85">
        <v>32.084000000000003</v>
      </c>
      <c r="L913" s="85">
        <v>32.555999999999997</v>
      </c>
      <c r="M913" s="85">
        <v>33.582999999999998</v>
      </c>
      <c r="N913" s="85">
        <v>41.35</v>
      </c>
      <c r="O913" s="85">
        <v>34.779000000000003</v>
      </c>
      <c r="P913" s="85">
        <v>31.099</v>
      </c>
      <c r="Q913" s="85">
        <v>29.998000000000001</v>
      </c>
      <c r="R913" s="85">
        <v>27.012</v>
      </c>
      <c r="S913" s="89">
        <v>27.352</v>
      </c>
      <c r="T913" s="89">
        <v>371.80299999999994</v>
      </c>
      <c r="U913" s="85">
        <v>0</v>
      </c>
      <c r="V913" s="85">
        <v>371.80299999999994</v>
      </c>
      <c r="W913" s="85">
        <v>0</v>
      </c>
      <c r="X913" s="89">
        <v>371.80299999999994</v>
      </c>
      <c r="Y913" s="79">
        <v>0</v>
      </c>
      <c r="Z913" s="79">
        <v>2</v>
      </c>
      <c r="AA913" s="94">
        <v>0</v>
      </c>
      <c r="AB913" s="79">
        <v>2</v>
      </c>
      <c r="AC913" s="85">
        <v>275.05599999999998</v>
      </c>
      <c r="AD913" s="85">
        <v>18.838999999999956</v>
      </c>
      <c r="AE913" s="85">
        <v>77.908000000000001</v>
      </c>
      <c r="AF913" s="85">
        <v>0</v>
      </c>
      <c r="AG913" s="85">
        <v>371.80299999999994</v>
      </c>
      <c r="AH913" s="85">
        <v>0</v>
      </c>
      <c r="AI913" s="85">
        <v>0</v>
      </c>
      <c r="AJ913" s="85">
        <v>0</v>
      </c>
      <c r="AK913" s="85">
        <v>0</v>
      </c>
      <c r="AL913" s="85">
        <v>0</v>
      </c>
      <c r="AM913" s="85">
        <v>0</v>
      </c>
      <c r="AN913" s="85">
        <v>0</v>
      </c>
      <c r="AO913" s="85">
        <v>0</v>
      </c>
      <c r="AP913" s="85">
        <v>0</v>
      </c>
      <c r="AQ913" s="85">
        <v>0</v>
      </c>
      <c r="AR913" s="85">
        <v>0</v>
      </c>
      <c r="AS913" s="85">
        <v>0</v>
      </c>
      <c r="AT913" s="85">
        <v>0</v>
      </c>
      <c r="AU913" s="85">
        <v>0</v>
      </c>
      <c r="AV913" s="85">
        <v>0</v>
      </c>
      <c r="AW913" s="85">
        <v>0</v>
      </c>
      <c r="AX913" s="85">
        <v>0</v>
      </c>
      <c r="AY913" s="85">
        <v>371.803</v>
      </c>
      <c r="AZ913" s="85">
        <v>0</v>
      </c>
      <c r="BA913" s="85">
        <v>0</v>
      </c>
      <c r="BB913" s="89">
        <v>0</v>
      </c>
      <c r="BC913" s="89">
        <v>371.803</v>
      </c>
      <c r="BD913" s="37">
        <v>0</v>
      </c>
      <c r="BE913" s="37">
        <v>0</v>
      </c>
      <c r="BF913" s="279">
        <v>5192</v>
      </c>
      <c r="BG913" s="37">
        <v>18365</v>
      </c>
      <c r="BH913" s="37">
        <v>12995</v>
      </c>
      <c r="BI913" s="37">
        <v>0</v>
      </c>
      <c r="BJ913" s="283">
        <v>36552</v>
      </c>
      <c r="BK913" s="161"/>
      <c r="BL913" s="294"/>
      <c r="BM913"/>
      <c r="BN913"/>
      <c r="BO913"/>
      <c r="BP913"/>
      <c r="BQ913"/>
      <c r="BR913"/>
      <c r="BS913"/>
      <c r="BT913"/>
      <c r="BU913"/>
      <c r="BV913"/>
      <c r="BW913"/>
      <c r="BX913"/>
      <c r="BY913"/>
      <c r="BZ913"/>
      <c r="CA913"/>
      <c r="CB913"/>
      <c r="CC913"/>
      <c r="CD913"/>
      <c r="CE913"/>
      <c r="CF913"/>
      <c r="CG913"/>
      <c r="CH913"/>
      <c r="CI913"/>
      <c r="CJ913"/>
    </row>
    <row r="914" spans="1:88" s="32" customFormat="1" ht="15" customHeight="1" x14ac:dyDescent="0.35">
      <c r="A914" s="473"/>
      <c r="B914" s="313">
        <v>4010</v>
      </c>
      <c r="C914" s="8" t="s">
        <v>1037</v>
      </c>
      <c r="D914" s="18">
        <v>11</v>
      </c>
      <c r="E914" s="251">
        <v>460</v>
      </c>
      <c r="F914" s="82">
        <v>1.9397590361445782</v>
      </c>
      <c r="G914" s="79">
        <v>892.28915662650604</v>
      </c>
      <c r="H914" s="90">
        <v>11.954000000000001</v>
      </c>
      <c r="I914" s="85">
        <v>11.486000000000001</v>
      </c>
      <c r="J914" s="85">
        <v>13.254</v>
      </c>
      <c r="K914" s="85">
        <v>13.138</v>
      </c>
      <c r="L914" s="85">
        <v>14.592000000000001</v>
      </c>
      <c r="M914" s="85">
        <v>11.228</v>
      </c>
      <c r="N914" s="85">
        <v>15.361000000000001</v>
      </c>
      <c r="O914" s="85">
        <v>14.743</v>
      </c>
      <c r="P914" s="85">
        <v>11.757999999999999</v>
      </c>
      <c r="Q914" s="85">
        <v>11.942</v>
      </c>
      <c r="R914" s="85">
        <v>9.3350000000000009</v>
      </c>
      <c r="S914" s="89">
        <v>11.407</v>
      </c>
      <c r="T914" s="89">
        <v>150.19800000000001</v>
      </c>
      <c r="U914" s="85">
        <v>0</v>
      </c>
      <c r="V914" s="85">
        <v>150.19800000000001</v>
      </c>
      <c r="W914" s="85">
        <v>0</v>
      </c>
      <c r="X914" s="89">
        <v>150.19800000000001</v>
      </c>
      <c r="Y914" s="79">
        <v>0</v>
      </c>
      <c r="Z914" s="79">
        <v>2</v>
      </c>
      <c r="AA914" s="94">
        <v>0</v>
      </c>
      <c r="AB914" s="79">
        <v>2</v>
      </c>
      <c r="AC914" s="85">
        <v>75.527000000000001</v>
      </c>
      <c r="AD914" s="85">
        <v>31.635125102040803</v>
      </c>
      <c r="AE914" s="85">
        <v>43.035874897959204</v>
      </c>
      <c r="AF914" s="85">
        <v>0</v>
      </c>
      <c r="AG914" s="85">
        <v>150.19800000000001</v>
      </c>
      <c r="AH914" s="85">
        <v>0</v>
      </c>
      <c r="AI914" s="85">
        <v>0</v>
      </c>
      <c r="AJ914" s="85">
        <v>0</v>
      </c>
      <c r="AK914" s="85">
        <v>0</v>
      </c>
      <c r="AL914" s="85">
        <v>0</v>
      </c>
      <c r="AM914" s="85">
        <v>0</v>
      </c>
      <c r="AN914" s="85">
        <v>0</v>
      </c>
      <c r="AO914" s="85">
        <v>0</v>
      </c>
      <c r="AP914" s="85">
        <v>0</v>
      </c>
      <c r="AQ914" s="85">
        <v>0</v>
      </c>
      <c r="AR914" s="85">
        <v>0</v>
      </c>
      <c r="AS914" s="85">
        <v>0</v>
      </c>
      <c r="AT914" s="85">
        <v>0</v>
      </c>
      <c r="AU914" s="85">
        <v>0</v>
      </c>
      <c r="AV914" s="85">
        <v>0</v>
      </c>
      <c r="AW914" s="85">
        <v>0</v>
      </c>
      <c r="AX914" s="85">
        <v>0</v>
      </c>
      <c r="AY914" s="85">
        <v>0</v>
      </c>
      <c r="AZ914" s="85">
        <v>0</v>
      </c>
      <c r="BA914" s="85">
        <v>150.19800000000001</v>
      </c>
      <c r="BB914" s="89">
        <v>0</v>
      </c>
      <c r="BC914" s="89">
        <v>150.19800000000001</v>
      </c>
      <c r="BD914" s="37">
        <v>122321</v>
      </c>
      <c r="BE914" s="37">
        <v>29498</v>
      </c>
      <c r="BF914" s="279">
        <v>9354</v>
      </c>
      <c r="BG914" s="37">
        <v>33870</v>
      </c>
      <c r="BH914" s="37">
        <v>29099</v>
      </c>
      <c r="BI914" s="37">
        <v>147557</v>
      </c>
      <c r="BJ914" s="283">
        <v>219880</v>
      </c>
      <c r="BK914" s="161"/>
      <c r="BL914" s="294"/>
      <c r="BM914"/>
      <c r="BN914"/>
      <c r="BO914"/>
      <c r="BP914"/>
      <c r="BQ914"/>
      <c r="BR914"/>
      <c r="BS914"/>
      <c r="BT914"/>
      <c r="BU914"/>
      <c r="BV914"/>
      <c r="BW914"/>
      <c r="BX914"/>
      <c r="BY914"/>
      <c r="BZ914"/>
      <c r="CA914"/>
      <c r="CB914"/>
      <c r="CC914"/>
      <c r="CD914"/>
      <c r="CE914"/>
      <c r="CF914"/>
      <c r="CG914"/>
      <c r="CH914"/>
      <c r="CI914"/>
      <c r="CJ914"/>
    </row>
    <row r="915" spans="1:88" s="32" customFormat="1" ht="15" customHeight="1" x14ac:dyDescent="0.35">
      <c r="A915" s="473"/>
      <c r="B915" s="313">
        <v>11025</v>
      </c>
      <c r="C915" s="8" t="s">
        <v>21</v>
      </c>
      <c r="D915" s="18">
        <v>1</v>
      </c>
      <c r="E915" s="251"/>
      <c r="F915" s="82"/>
      <c r="G915" s="79"/>
      <c r="H915" s="90"/>
      <c r="I915" s="85"/>
      <c r="J915" s="85"/>
      <c r="K915" s="85"/>
      <c r="L915" s="85"/>
      <c r="M915" s="85"/>
      <c r="N915" s="85"/>
      <c r="O915" s="85"/>
      <c r="P915" s="85"/>
      <c r="Q915" s="85"/>
      <c r="R915" s="85"/>
      <c r="S915" s="89"/>
      <c r="T915" s="89" t="s">
        <v>1124</v>
      </c>
      <c r="U915" s="85"/>
      <c r="V915" s="85"/>
      <c r="W915" s="85"/>
      <c r="X915" s="89" t="s">
        <v>1124</v>
      </c>
      <c r="Y915" s="79"/>
      <c r="Z915" s="79"/>
      <c r="AA915" s="94"/>
      <c r="AB915" s="79" t="s">
        <v>1124</v>
      </c>
      <c r="AC915" s="85"/>
      <c r="AD915" s="85"/>
      <c r="AE915" s="85"/>
      <c r="AF915" s="85"/>
      <c r="AG915" s="85" t="s">
        <v>1124</v>
      </c>
      <c r="AH915" s="85"/>
      <c r="AI915" s="85"/>
      <c r="AJ915" s="85"/>
      <c r="AK915" s="85"/>
      <c r="AL915" s="85"/>
      <c r="AM915" s="85"/>
      <c r="AN915" s="85"/>
      <c r="AO915" s="85"/>
      <c r="AP915" s="85"/>
      <c r="AQ915" s="85"/>
      <c r="AR915" s="85" t="s">
        <v>1124</v>
      </c>
      <c r="AS915" s="85"/>
      <c r="AT915" s="85"/>
      <c r="AU915" s="85"/>
      <c r="AV915" s="85"/>
      <c r="AW915" s="85"/>
      <c r="AX915" s="85"/>
      <c r="AY915" s="85"/>
      <c r="AZ915" s="85"/>
      <c r="BA915" s="85"/>
      <c r="BB915" s="89"/>
      <c r="BC915" s="89" t="s">
        <v>1124</v>
      </c>
      <c r="BD915" s="37"/>
      <c r="BE915" s="37"/>
      <c r="BF915" s="279"/>
      <c r="BG915" s="37"/>
      <c r="BH915" s="37"/>
      <c r="BI915" s="37"/>
      <c r="BJ915" s="283"/>
      <c r="BK915" s="161"/>
      <c r="BL915" s="294"/>
      <c r="BM915"/>
      <c r="BN915"/>
      <c r="BO915"/>
      <c r="BP915"/>
      <c r="BQ915"/>
      <c r="BR915"/>
      <c r="BS915"/>
      <c r="BT915"/>
      <c r="BU915"/>
      <c r="BV915"/>
      <c r="BW915"/>
      <c r="BX915"/>
      <c r="BY915"/>
      <c r="BZ915"/>
      <c r="CA915"/>
      <c r="CB915"/>
      <c r="CC915"/>
      <c r="CD915"/>
      <c r="CE915"/>
      <c r="CF915"/>
      <c r="CG915"/>
      <c r="CH915"/>
      <c r="CI915"/>
      <c r="CJ915"/>
    </row>
    <row r="916" spans="1:88" s="32" customFormat="1" ht="15" customHeight="1" x14ac:dyDescent="0.35">
      <c r="A916" s="473"/>
      <c r="B916" s="313">
        <v>68050</v>
      </c>
      <c r="C916" s="8" t="s">
        <v>682</v>
      </c>
      <c r="D916" s="18">
        <v>16</v>
      </c>
      <c r="E916" s="251"/>
      <c r="F916" s="82"/>
      <c r="G916" s="79"/>
      <c r="H916" s="90"/>
      <c r="I916" s="85"/>
      <c r="J916" s="85"/>
      <c r="K916" s="85"/>
      <c r="L916" s="85"/>
      <c r="M916" s="85"/>
      <c r="N916" s="85"/>
      <c r="O916" s="85"/>
      <c r="P916" s="85"/>
      <c r="Q916" s="85"/>
      <c r="R916" s="85"/>
      <c r="S916" s="89"/>
      <c r="T916" s="89" t="s">
        <v>1124</v>
      </c>
      <c r="U916" s="85"/>
      <c r="V916" s="85"/>
      <c r="W916" s="85"/>
      <c r="X916" s="89" t="s">
        <v>1124</v>
      </c>
      <c r="Y916" s="79"/>
      <c r="Z916" s="79"/>
      <c r="AA916" s="94"/>
      <c r="AB916" s="79" t="s">
        <v>1124</v>
      </c>
      <c r="AC916" s="85"/>
      <c r="AD916" s="85"/>
      <c r="AE916" s="85"/>
      <c r="AF916" s="85"/>
      <c r="AG916" s="85" t="s">
        <v>1124</v>
      </c>
      <c r="AH916" s="85"/>
      <c r="AI916" s="85"/>
      <c r="AJ916" s="85"/>
      <c r="AK916" s="85"/>
      <c r="AL916" s="85"/>
      <c r="AM916" s="85"/>
      <c r="AN916" s="85"/>
      <c r="AO916" s="85"/>
      <c r="AP916" s="85"/>
      <c r="AQ916" s="85"/>
      <c r="AR916" s="85" t="s">
        <v>1124</v>
      </c>
      <c r="AS916" s="85"/>
      <c r="AT916" s="85"/>
      <c r="AU916" s="85"/>
      <c r="AV916" s="85"/>
      <c r="AW916" s="85"/>
      <c r="AX916" s="85"/>
      <c r="AY916" s="85"/>
      <c r="AZ916" s="85"/>
      <c r="BA916" s="85"/>
      <c r="BB916" s="89"/>
      <c r="BC916" s="89" t="s">
        <v>1124</v>
      </c>
      <c r="BD916" s="37"/>
      <c r="BE916" s="37"/>
      <c r="BF916" s="279"/>
      <c r="BG916" s="37"/>
      <c r="BH916" s="37"/>
      <c r="BI916" s="37"/>
      <c r="BJ916" s="283"/>
      <c r="BK916" s="161"/>
      <c r="BL916" s="294"/>
      <c r="BM916"/>
      <c r="BN916"/>
      <c r="BO916"/>
      <c r="BP916"/>
      <c r="BQ916"/>
      <c r="BR916"/>
      <c r="BS916"/>
      <c r="BT916"/>
      <c r="BU916"/>
      <c r="BV916"/>
      <c r="BW916"/>
      <c r="BX916"/>
      <c r="BY916"/>
      <c r="BZ916"/>
      <c r="CA916"/>
      <c r="CB916"/>
      <c r="CC916"/>
      <c r="CD916"/>
      <c r="CE916"/>
      <c r="CF916"/>
      <c r="CG916"/>
      <c r="CH916"/>
      <c r="CI916"/>
      <c r="CJ916"/>
    </row>
    <row r="917" spans="1:88" s="32" customFormat="1" ht="15" customHeight="1" x14ac:dyDescent="0.35">
      <c r="A917" s="473"/>
      <c r="B917" s="313">
        <v>19110</v>
      </c>
      <c r="C917" s="8" t="s">
        <v>136</v>
      </c>
      <c r="D917" s="18">
        <v>12</v>
      </c>
      <c r="E917" s="251">
        <v>507</v>
      </c>
      <c r="F917" s="82">
        <v>2.2645962732919256</v>
      </c>
      <c r="G917" s="79">
        <v>1148.1503105590064</v>
      </c>
      <c r="H917" s="90">
        <v>8.6059999999999999</v>
      </c>
      <c r="I917" s="85">
        <v>8.02</v>
      </c>
      <c r="J917" s="85">
        <v>9.24</v>
      </c>
      <c r="K917" s="85">
        <v>9.1489999999999991</v>
      </c>
      <c r="L917" s="85">
        <v>11.55</v>
      </c>
      <c r="M917" s="85">
        <v>12.801600000000001</v>
      </c>
      <c r="N917" s="85">
        <v>16.8917</v>
      </c>
      <c r="O917" s="85">
        <v>13.547800000000001</v>
      </c>
      <c r="P917" s="85">
        <v>9.7765000000000004</v>
      </c>
      <c r="Q917" s="85">
        <v>9.3689999999999998</v>
      </c>
      <c r="R917" s="85">
        <v>8.2360000000000007</v>
      </c>
      <c r="S917" s="89">
        <v>4.335</v>
      </c>
      <c r="T917" s="89">
        <v>121.52259999999998</v>
      </c>
      <c r="U917" s="85">
        <v>0</v>
      </c>
      <c r="V917" s="85">
        <v>121.52259999999998</v>
      </c>
      <c r="W917" s="85">
        <v>0</v>
      </c>
      <c r="X917" s="89">
        <v>121.52259999999998</v>
      </c>
      <c r="Y917" s="79">
        <v>0</v>
      </c>
      <c r="Z917" s="79">
        <v>1</v>
      </c>
      <c r="AA917" s="94">
        <v>0</v>
      </c>
      <c r="AB917" s="79">
        <v>1</v>
      </c>
      <c r="AC917" s="85">
        <v>92.83</v>
      </c>
      <c r="AD917" s="85">
        <v>10.352376341738516</v>
      </c>
      <c r="AE917" s="85">
        <v>18.340223658261468</v>
      </c>
      <c r="AF917" s="85">
        <v>0</v>
      </c>
      <c r="AG917" s="85">
        <v>121.52259999999998</v>
      </c>
      <c r="AH917" s="85">
        <v>0</v>
      </c>
      <c r="AI917" s="85">
        <v>0</v>
      </c>
      <c r="AJ917" s="85">
        <v>0</v>
      </c>
      <c r="AK917" s="85">
        <v>0</v>
      </c>
      <c r="AL917" s="85">
        <v>0</v>
      </c>
      <c r="AM917" s="85">
        <v>0</v>
      </c>
      <c r="AN917" s="85">
        <v>0</v>
      </c>
      <c r="AO917" s="85">
        <v>0</v>
      </c>
      <c r="AP917" s="85">
        <v>0</v>
      </c>
      <c r="AQ917" s="85">
        <v>0</v>
      </c>
      <c r="AR917" s="85">
        <v>0</v>
      </c>
      <c r="AS917" s="85">
        <v>0</v>
      </c>
      <c r="AT917" s="85">
        <v>0</v>
      </c>
      <c r="AU917" s="85">
        <v>0</v>
      </c>
      <c r="AV917" s="85">
        <v>0</v>
      </c>
      <c r="AW917" s="85">
        <v>0</v>
      </c>
      <c r="AX917" s="85">
        <v>121.52259999999998</v>
      </c>
      <c r="AY917" s="85">
        <v>0</v>
      </c>
      <c r="AZ917" s="85">
        <v>0</v>
      </c>
      <c r="BA917" s="85">
        <v>0</v>
      </c>
      <c r="BB917" s="89">
        <v>0</v>
      </c>
      <c r="BC917" s="89">
        <v>121.52259999999998</v>
      </c>
      <c r="BD917" s="37">
        <v>53326</v>
      </c>
      <c r="BE917" s="37">
        <v>0</v>
      </c>
      <c r="BF917" s="279">
        <v>98581</v>
      </c>
      <c r="BG917" s="37">
        <v>78717</v>
      </c>
      <c r="BH917" s="37">
        <v>33405</v>
      </c>
      <c r="BI917" s="37">
        <v>1444</v>
      </c>
      <c r="BJ917" s="283">
        <v>212147</v>
      </c>
      <c r="BK917" s="161"/>
      <c r="BL917" s="294"/>
      <c r="BM917"/>
      <c r="BN917"/>
      <c r="BO917"/>
      <c r="BP917"/>
      <c r="BQ917"/>
      <c r="BR917"/>
      <c r="BS917"/>
      <c r="BT917"/>
      <c r="BU917"/>
      <c r="BV917"/>
      <c r="BW917"/>
      <c r="BX917"/>
      <c r="BY917"/>
      <c r="BZ917"/>
      <c r="CA917"/>
      <c r="CB917"/>
      <c r="CC917"/>
      <c r="CD917"/>
      <c r="CE917"/>
      <c r="CF917"/>
      <c r="CG917"/>
      <c r="CH917"/>
      <c r="CI917"/>
      <c r="CJ917"/>
    </row>
    <row r="918" spans="1:88" s="32" customFormat="1" ht="15" customHeight="1" x14ac:dyDescent="0.35">
      <c r="A918" s="473"/>
      <c r="B918" s="313">
        <v>62085</v>
      </c>
      <c r="C918" s="8" t="s">
        <v>633</v>
      </c>
      <c r="D918" s="18">
        <v>14</v>
      </c>
      <c r="E918" s="251">
        <v>644</v>
      </c>
      <c r="F918" s="82">
        <v>1.2758433079434168</v>
      </c>
      <c r="G918" s="79">
        <v>821.64309031556047</v>
      </c>
      <c r="H918" s="90">
        <v>30.402999999999999</v>
      </c>
      <c r="I918" s="85">
        <v>28</v>
      </c>
      <c r="J918" s="85">
        <v>29.937000000000001</v>
      </c>
      <c r="K918" s="85">
        <v>27.715</v>
      </c>
      <c r="L918" s="85">
        <v>27.994</v>
      </c>
      <c r="M918" s="85">
        <v>30.638999999999999</v>
      </c>
      <c r="N918" s="85">
        <v>32.902999999999999</v>
      </c>
      <c r="O918" s="85">
        <v>31.167999999999999</v>
      </c>
      <c r="P918" s="85">
        <v>29.007000000000001</v>
      </c>
      <c r="Q918" s="85">
        <v>29.611000000000001</v>
      </c>
      <c r="R918" s="85">
        <v>29.995000000000001</v>
      </c>
      <c r="S918" s="89">
        <v>30.989000000000001</v>
      </c>
      <c r="T918" s="89">
        <v>358.36099999999999</v>
      </c>
      <c r="U918" s="85">
        <v>0</v>
      </c>
      <c r="V918" s="85">
        <v>358.36099999999999</v>
      </c>
      <c r="W918" s="85">
        <v>0</v>
      </c>
      <c r="X918" s="89">
        <v>358.36099999999999</v>
      </c>
      <c r="Y918" s="79">
        <v>0</v>
      </c>
      <c r="Z918" s="79">
        <v>2</v>
      </c>
      <c r="AA918" s="94">
        <v>0</v>
      </c>
      <c r="AB918" s="79">
        <v>2</v>
      </c>
      <c r="AC918" s="85">
        <v>101.91</v>
      </c>
      <c r="AD918" s="85">
        <v>27.687000000000001</v>
      </c>
      <c r="AE918" s="85">
        <v>228.76400000000001</v>
      </c>
      <c r="AF918" s="85">
        <v>0</v>
      </c>
      <c r="AG918" s="85">
        <v>358.36099999999999</v>
      </c>
      <c r="AH918" s="85">
        <v>0</v>
      </c>
      <c r="AI918" s="85">
        <v>0</v>
      </c>
      <c r="AJ918" s="85">
        <v>0</v>
      </c>
      <c r="AK918" s="85">
        <v>0</v>
      </c>
      <c r="AL918" s="85">
        <v>0</v>
      </c>
      <c r="AM918" s="85">
        <v>0</v>
      </c>
      <c r="AN918" s="85">
        <v>0</v>
      </c>
      <c r="AO918" s="85">
        <v>0</v>
      </c>
      <c r="AP918" s="85">
        <v>0</v>
      </c>
      <c r="AQ918" s="85">
        <v>0</v>
      </c>
      <c r="AR918" s="85">
        <v>0</v>
      </c>
      <c r="AS918" s="85">
        <v>0</v>
      </c>
      <c r="AT918" s="85">
        <v>0</v>
      </c>
      <c r="AU918" s="85">
        <v>0</v>
      </c>
      <c r="AV918" s="85">
        <v>0</v>
      </c>
      <c r="AW918" s="85">
        <v>0</v>
      </c>
      <c r="AX918" s="85">
        <v>0</v>
      </c>
      <c r="AY918" s="85">
        <v>358.36099999999999</v>
      </c>
      <c r="AZ918" s="85">
        <v>0</v>
      </c>
      <c r="BA918" s="85">
        <v>0</v>
      </c>
      <c r="BB918" s="89">
        <v>0</v>
      </c>
      <c r="BC918" s="89">
        <v>358.36099999999999</v>
      </c>
      <c r="BD918" s="37">
        <v>0</v>
      </c>
      <c r="BE918" s="37">
        <v>24914</v>
      </c>
      <c r="BF918" s="279">
        <v>62830</v>
      </c>
      <c r="BG918" s="37">
        <v>96789</v>
      </c>
      <c r="BH918" s="37">
        <v>35826</v>
      </c>
      <c r="BI918" s="37">
        <v>51351</v>
      </c>
      <c r="BJ918" s="283">
        <v>246796</v>
      </c>
      <c r="BK918" s="161"/>
      <c r="BL918" s="294"/>
      <c r="BM918"/>
      <c r="BN918"/>
      <c r="BO918"/>
      <c r="BP918"/>
      <c r="BQ918"/>
      <c r="BR918"/>
      <c r="BS918"/>
      <c r="BT918"/>
      <c r="BU918"/>
      <c r="BV918"/>
      <c r="BW918"/>
      <c r="BX918"/>
      <c r="BY918"/>
      <c r="BZ918"/>
      <c r="CA918"/>
      <c r="CB918"/>
      <c r="CC918"/>
      <c r="CD918"/>
      <c r="CE918"/>
      <c r="CF918"/>
      <c r="CG918"/>
      <c r="CH918"/>
      <c r="CI918"/>
      <c r="CJ918"/>
    </row>
    <row r="919" spans="1:88" s="32" customFormat="1" ht="15" customHeight="1" x14ac:dyDescent="0.35">
      <c r="A919" s="473"/>
      <c r="B919" s="313">
        <v>13065</v>
      </c>
      <c r="C919" s="8" t="s">
        <v>52</v>
      </c>
      <c r="D919" s="18">
        <v>1</v>
      </c>
      <c r="E919" s="251">
        <v>499</v>
      </c>
      <c r="F919" s="82">
        <v>1.8865619546247818</v>
      </c>
      <c r="G919" s="79">
        <v>941.39441535776609</v>
      </c>
      <c r="H919" s="90">
        <v>11.242000000000001</v>
      </c>
      <c r="I919" s="85">
        <v>10.586</v>
      </c>
      <c r="J919" s="85">
        <v>11.769</v>
      </c>
      <c r="K919" s="85">
        <v>10.698</v>
      </c>
      <c r="L919" s="85">
        <v>11.323</v>
      </c>
      <c r="M919" s="85">
        <v>10.525</v>
      </c>
      <c r="N919" s="85">
        <v>12.26</v>
      </c>
      <c r="O919" s="85">
        <v>9.8800000000000008</v>
      </c>
      <c r="P919" s="85">
        <v>9.3919999999999995</v>
      </c>
      <c r="Q919" s="85">
        <v>9.1609999999999996</v>
      </c>
      <c r="R919" s="85">
        <v>9.2530000000000001</v>
      </c>
      <c r="S919" s="89">
        <v>10.573</v>
      </c>
      <c r="T919" s="89">
        <v>126.66200000000001</v>
      </c>
      <c r="U919" s="85">
        <v>0</v>
      </c>
      <c r="V919" s="85">
        <v>126.66200000000001</v>
      </c>
      <c r="W919" s="85">
        <v>0</v>
      </c>
      <c r="X919" s="89">
        <v>126.66200000000001</v>
      </c>
      <c r="Y919" s="79">
        <v>0</v>
      </c>
      <c r="Z919" s="79">
        <v>1</v>
      </c>
      <c r="AA919" s="94">
        <v>0</v>
      </c>
      <c r="AB919" s="79">
        <v>1</v>
      </c>
      <c r="AC919" s="85">
        <v>86.272000000000006</v>
      </c>
      <c r="AD919" s="85">
        <v>11.582000000000001</v>
      </c>
      <c r="AE919" s="85">
        <v>28.808</v>
      </c>
      <c r="AF919" s="85">
        <v>0</v>
      </c>
      <c r="AG919" s="85">
        <v>126.66200000000001</v>
      </c>
      <c r="AH919" s="85">
        <v>0</v>
      </c>
      <c r="AI919" s="85">
        <v>0</v>
      </c>
      <c r="AJ919" s="85">
        <v>0</v>
      </c>
      <c r="AK919" s="85">
        <v>0</v>
      </c>
      <c r="AL919" s="85">
        <v>0</v>
      </c>
      <c r="AM919" s="85">
        <v>0</v>
      </c>
      <c r="AN919" s="85">
        <v>0</v>
      </c>
      <c r="AO919" s="85">
        <v>0</v>
      </c>
      <c r="AP919" s="85">
        <v>0</v>
      </c>
      <c r="AQ919" s="85">
        <v>0</v>
      </c>
      <c r="AR919" s="85">
        <v>0</v>
      </c>
      <c r="AS919" s="85">
        <v>0</v>
      </c>
      <c r="AT919" s="85">
        <v>0</v>
      </c>
      <c r="AU919" s="85">
        <v>0</v>
      </c>
      <c r="AV919" s="85">
        <v>0</v>
      </c>
      <c r="AW919" s="85">
        <v>0</v>
      </c>
      <c r="AX919" s="85">
        <v>0</v>
      </c>
      <c r="AY919" s="85">
        <v>0</v>
      </c>
      <c r="AZ919" s="85">
        <v>0</v>
      </c>
      <c r="BA919" s="85">
        <v>0</v>
      </c>
      <c r="BB919" s="89">
        <v>126.66200000000001</v>
      </c>
      <c r="BC919" s="89">
        <v>126.66200000000001</v>
      </c>
      <c r="BD919" s="37">
        <v>0</v>
      </c>
      <c r="BE919" s="37">
        <v>94850</v>
      </c>
      <c r="BF919" s="279">
        <v>18646</v>
      </c>
      <c r="BG919" s="37">
        <v>19500</v>
      </c>
      <c r="BH919" s="37">
        <v>20905</v>
      </c>
      <c r="BI919" s="37">
        <v>0</v>
      </c>
      <c r="BJ919" s="283">
        <v>59051</v>
      </c>
      <c r="BK919" s="161"/>
      <c r="BL919" s="294"/>
      <c r="BM919"/>
      <c r="BN919"/>
      <c r="BO919"/>
      <c r="BP919"/>
      <c r="BQ919"/>
      <c r="BR919"/>
      <c r="BS919"/>
      <c r="BT919"/>
      <c r="BU919"/>
      <c r="BV919"/>
      <c r="BW919"/>
      <c r="BX919"/>
      <c r="BY919"/>
      <c r="BZ919"/>
      <c r="CA919"/>
      <c r="CB919"/>
      <c r="CC919"/>
      <c r="CD919"/>
      <c r="CE919"/>
      <c r="CF919"/>
      <c r="CG919"/>
      <c r="CH919"/>
      <c r="CI919"/>
      <c r="CJ919"/>
    </row>
    <row r="920" spans="1:88" s="32" customFormat="1" ht="15" customHeight="1" x14ac:dyDescent="0.35">
      <c r="A920" s="473"/>
      <c r="B920" s="313">
        <v>12020</v>
      </c>
      <c r="C920" s="8" t="s">
        <v>31</v>
      </c>
      <c r="D920" s="18">
        <v>1</v>
      </c>
      <c r="E920" s="251">
        <v>237</v>
      </c>
      <c r="F920" s="82">
        <v>2.478723404255319</v>
      </c>
      <c r="G920" s="79">
        <v>587.45744680851055</v>
      </c>
      <c r="H920" s="90">
        <v>3.3519999999999999</v>
      </c>
      <c r="I920" s="85">
        <v>2.871</v>
      </c>
      <c r="J920" s="85">
        <v>3.137</v>
      </c>
      <c r="K920" s="85">
        <v>3.2829999999999999</v>
      </c>
      <c r="L920" s="85">
        <v>3.8610000000000002</v>
      </c>
      <c r="M920" s="85">
        <v>4.2560000000000002</v>
      </c>
      <c r="N920" s="85">
        <v>4.4089999999999998</v>
      </c>
      <c r="O920" s="85">
        <v>3.7559999999999998</v>
      </c>
      <c r="P920" s="85">
        <v>3.218</v>
      </c>
      <c r="Q920" s="85">
        <v>3.2989999999999999</v>
      </c>
      <c r="R920" s="85">
        <v>2.996</v>
      </c>
      <c r="S920" s="89">
        <v>3.048</v>
      </c>
      <c r="T920" s="89">
        <v>41.486000000000004</v>
      </c>
      <c r="U920" s="85">
        <v>0</v>
      </c>
      <c r="V920" s="85">
        <v>41.485999999999997</v>
      </c>
      <c r="W920" s="85">
        <v>0</v>
      </c>
      <c r="X920" s="89">
        <v>41.485999999999997</v>
      </c>
      <c r="Y920" s="79">
        <v>0</v>
      </c>
      <c r="Z920" s="79">
        <v>2</v>
      </c>
      <c r="AA920" s="94">
        <v>0</v>
      </c>
      <c r="AB920" s="79">
        <v>2</v>
      </c>
      <c r="AC920" s="85">
        <v>34.575538461538464</v>
      </c>
      <c r="AD920" s="85">
        <v>3.2025092884100039</v>
      </c>
      <c r="AE920" s="85">
        <v>3.7079522500515361</v>
      </c>
      <c r="AF920" s="85">
        <v>0</v>
      </c>
      <c r="AG920" s="85">
        <v>41.486000000000004</v>
      </c>
      <c r="AH920" s="85">
        <v>0</v>
      </c>
      <c r="AI920" s="85">
        <v>0</v>
      </c>
      <c r="AJ920" s="85">
        <v>0</v>
      </c>
      <c r="AK920" s="85">
        <v>0</v>
      </c>
      <c r="AL920" s="85">
        <v>0</v>
      </c>
      <c r="AM920" s="85">
        <v>0</v>
      </c>
      <c r="AN920" s="85">
        <v>0</v>
      </c>
      <c r="AO920" s="85">
        <v>0</v>
      </c>
      <c r="AP920" s="85">
        <v>0</v>
      </c>
      <c r="AQ920" s="85">
        <v>0</v>
      </c>
      <c r="AR920" s="85">
        <v>0</v>
      </c>
      <c r="AS920" s="85">
        <v>0</v>
      </c>
      <c r="AT920" s="85">
        <v>0</v>
      </c>
      <c r="AU920" s="85">
        <v>0</v>
      </c>
      <c r="AV920" s="85">
        <v>0</v>
      </c>
      <c r="AW920" s="85">
        <v>0</v>
      </c>
      <c r="AX920" s="85">
        <v>0</v>
      </c>
      <c r="AY920" s="85">
        <v>41.485999999999997</v>
      </c>
      <c r="AZ920" s="85">
        <v>0</v>
      </c>
      <c r="BA920" s="85">
        <v>0</v>
      </c>
      <c r="BB920" s="89">
        <v>0</v>
      </c>
      <c r="BC920" s="89">
        <v>41.485999999999997</v>
      </c>
      <c r="BD920" s="37">
        <v>0</v>
      </c>
      <c r="BE920" s="37">
        <v>11667</v>
      </c>
      <c r="BF920" s="279">
        <v>11459</v>
      </c>
      <c r="BG920" s="37">
        <v>25221</v>
      </c>
      <c r="BH920" s="37">
        <v>11216</v>
      </c>
      <c r="BI920" s="37">
        <v>8561</v>
      </c>
      <c r="BJ920" s="283">
        <v>56457</v>
      </c>
      <c r="BK920" s="161"/>
      <c r="BL920" s="294"/>
      <c r="BM920"/>
      <c r="BN920"/>
      <c r="BO920"/>
      <c r="BP920"/>
      <c r="BQ920"/>
      <c r="BR920"/>
      <c r="BS920"/>
      <c r="BT920"/>
      <c r="BU920"/>
      <c r="BV920"/>
      <c r="BW920"/>
      <c r="BX920"/>
      <c r="BY920"/>
      <c r="BZ920"/>
      <c r="CA920"/>
      <c r="CB920"/>
      <c r="CC920"/>
      <c r="CD920"/>
      <c r="CE920"/>
      <c r="CF920"/>
      <c r="CG920"/>
      <c r="CH920"/>
      <c r="CI920"/>
      <c r="CJ920"/>
    </row>
    <row r="921" spans="1:88" s="32" customFormat="1" ht="15" customHeight="1" x14ac:dyDescent="0.35">
      <c r="A921" s="473"/>
      <c r="B921" s="313">
        <v>7095</v>
      </c>
      <c r="C921" s="8" t="s">
        <v>1083</v>
      </c>
      <c r="D921" s="18">
        <v>1</v>
      </c>
      <c r="E921" s="251">
        <v>177</v>
      </c>
      <c r="F921" s="82">
        <v>1.8523489932885906</v>
      </c>
      <c r="G921" s="79">
        <v>327.86577181208054</v>
      </c>
      <c r="H921" s="90">
        <v>2.9777</v>
      </c>
      <c r="I921" s="85">
        <v>2.72</v>
      </c>
      <c r="J921" s="85">
        <v>2.6240000000000001</v>
      </c>
      <c r="K921" s="85">
        <v>1.7949999999999999</v>
      </c>
      <c r="L921" s="85">
        <v>1.895</v>
      </c>
      <c r="M921" s="85">
        <v>2.2799999999999998</v>
      </c>
      <c r="N921" s="85">
        <v>1.81</v>
      </c>
      <c r="O921" s="85">
        <v>1.004</v>
      </c>
      <c r="P921" s="85">
        <v>0.87239999999999995</v>
      </c>
      <c r="Q921" s="85">
        <v>0.78639999999999999</v>
      </c>
      <c r="R921" s="85">
        <v>0.68</v>
      </c>
      <c r="S921" s="89">
        <v>0.83750000000000002</v>
      </c>
      <c r="T921" s="89">
        <v>20.281999999999996</v>
      </c>
      <c r="U921" s="85">
        <v>0</v>
      </c>
      <c r="V921" s="85">
        <v>20.282</v>
      </c>
      <c r="W921" s="85">
        <v>0</v>
      </c>
      <c r="X921" s="89">
        <v>20.282</v>
      </c>
      <c r="Y921" s="79">
        <v>0</v>
      </c>
      <c r="Z921" s="79">
        <v>1</v>
      </c>
      <c r="AA921" s="94">
        <v>0</v>
      </c>
      <c r="AB921" s="79">
        <v>1</v>
      </c>
      <c r="AC921" s="85">
        <v>11.670999999999999</v>
      </c>
      <c r="AD921" s="85">
        <v>1.9159999999999999</v>
      </c>
      <c r="AE921" s="85">
        <v>6.6950000000000003</v>
      </c>
      <c r="AF921" s="85">
        <v>0</v>
      </c>
      <c r="AG921" s="85">
        <v>20.282</v>
      </c>
      <c r="AH921" s="85">
        <v>0</v>
      </c>
      <c r="AI921" s="85">
        <v>0</v>
      </c>
      <c r="AJ921" s="85">
        <v>0</v>
      </c>
      <c r="AK921" s="85">
        <v>0</v>
      </c>
      <c r="AL921" s="85">
        <v>0</v>
      </c>
      <c r="AM921" s="85">
        <v>0</v>
      </c>
      <c r="AN921" s="85">
        <v>0</v>
      </c>
      <c r="AO921" s="85">
        <v>0</v>
      </c>
      <c r="AP921" s="85">
        <v>0</v>
      </c>
      <c r="AQ921" s="85">
        <v>0</v>
      </c>
      <c r="AR921" s="85">
        <v>0</v>
      </c>
      <c r="AS921" s="85">
        <v>0</v>
      </c>
      <c r="AT921" s="85">
        <v>0</v>
      </c>
      <c r="AU921" s="85">
        <v>0</v>
      </c>
      <c r="AV921" s="85">
        <v>0</v>
      </c>
      <c r="AW921" s="85">
        <v>0</v>
      </c>
      <c r="AX921" s="85">
        <v>0</v>
      </c>
      <c r="AY921" s="85">
        <v>0</v>
      </c>
      <c r="AZ921" s="85">
        <v>0</v>
      </c>
      <c r="BA921" s="85">
        <v>20.282</v>
      </c>
      <c r="BB921" s="89">
        <v>0</v>
      </c>
      <c r="BC921" s="89">
        <v>20.282</v>
      </c>
      <c r="BD921" s="37">
        <v>0</v>
      </c>
      <c r="BE921" s="37">
        <v>0</v>
      </c>
      <c r="BF921" s="279">
        <v>5139</v>
      </c>
      <c r="BG921" s="37">
        <v>15992</v>
      </c>
      <c r="BH921" s="37">
        <v>3117</v>
      </c>
      <c r="BI921" s="37">
        <v>5139</v>
      </c>
      <c r="BJ921" s="283">
        <v>29387</v>
      </c>
      <c r="BK921" s="161"/>
      <c r="BL921" s="294"/>
      <c r="BM921"/>
      <c r="BN921"/>
      <c r="BO921"/>
      <c r="BP921"/>
      <c r="BQ921"/>
      <c r="BR921"/>
      <c r="BS921"/>
      <c r="BT921"/>
      <c r="BU921"/>
      <c r="BV921"/>
      <c r="BW921"/>
      <c r="BX921"/>
      <c r="BY921"/>
      <c r="BZ921"/>
      <c r="CA921"/>
      <c r="CB921"/>
      <c r="CC921"/>
      <c r="CD921"/>
      <c r="CE921"/>
      <c r="CF921"/>
      <c r="CG921"/>
      <c r="CH921"/>
      <c r="CI921"/>
      <c r="CJ921"/>
    </row>
    <row r="922" spans="1:88" s="32" customFormat="1" ht="15" customHeight="1" x14ac:dyDescent="0.35">
      <c r="A922" s="473"/>
      <c r="B922" s="313">
        <v>37240</v>
      </c>
      <c r="C922" s="8" t="s">
        <v>322</v>
      </c>
      <c r="D922" s="18">
        <v>4</v>
      </c>
      <c r="E922" s="251">
        <v>550</v>
      </c>
      <c r="F922" s="82">
        <v>2.0859728506787332</v>
      </c>
      <c r="G922" s="79">
        <v>1147.2850678733032</v>
      </c>
      <c r="H922" s="90">
        <v>9.3580000000000005</v>
      </c>
      <c r="I922" s="85">
        <v>8.7949999999999999</v>
      </c>
      <c r="J922" s="85">
        <v>9.2710000000000008</v>
      </c>
      <c r="K922" s="85">
        <v>9.5579999999999998</v>
      </c>
      <c r="L922" s="85">
        <v>9.1969999999999992</v>
      </c>
      <c r="M922" s="85">
        <v>8.4309999999999992</v>
      </c>
      <c r="N922" s="85">
        <v>9.52</v>
      </c>
      <c r="O922" s="85">
        <v>9.3680000000000003</v>
      </c>
      <c r="P922" s="85">
        <v>8.5990000000000002</v>
      </c>
      <c r="Q922" s="85">
        <v>8.7479999999999993</v>
      </c>
      <c r="R922" s="85">
        <v>9.1050000000000004</v>
      </c>
      <c r="S922" s="89">
        <v>9.8119999999999994</v>
      </c>
      <c r="T922" s="89">
        <v>109.762</v>
      </c>
      <c r="U922" s="85">
        <v>0</v>
      </c>
      <c r="V922" s="85">
        <v>109.762</v>
      </c>
      <c r="W922" s="85">
        <v>0</v>
      </c>
      <c r="X922" s="89">
        <v>109.762</v>
      </c>
      <c r="Y922" s="79">
        <v>0</v>
      </c>
      <c r="Z922" s="79">
        <v>1</v>
      </c>
      <c r="AA922" s="94">
        <v>0</v>
      </c>
      <c r="AB922" s="79">
        <v>1</v>
      </c>
      <c r="AC922" s="85">
        <v>70.863</v>
      </c>
      <c r="AD922" s="85">
        <v>22.223000000000003</v>
      </c>
      <c r="AE922" s="85">
        <v>16.675999999999998</v>
      </c>
      <c r="AF922" s="85">
        <v>0</v>
      </c>
      <c r="AG922" s="85">
        <v>109.762</v>
      </c>
      <c r="AH922" s="85">
        <v>0</v>
      </c>
      <c r="AI922" s="85">
        <v>0</v>
      </c>
      <c r="AJ922" s="85">
        <v>0</v>
      </c>
      <c r="AK922" s="85">
        <v>0</v>
      </c>
      <c r="AL922" s="85">
        <v>0</v>
      </c>
      <c r="AM922" s="85">
        <v>0</v>
      </c>
      <c r="AN922" s="85">
        <v>0</v>
      </c>
      <c r="AO922" s="85">
        <v>0</v>
      </c>
      <c r="AP922" s="85">
        <v>0</v>
      </c>
      <c r="AQ922" s="85">
        <v>0</v>
      </c>
      <c r="AR922" s="85">
        <v>0</v>
      </c>
      <c r="AS922" s="85">
        <v>0</v>
      </c>
      <c r="AT922" s="85">
        <v>0</v>
      </c>
      <c r="AU922" s="85">
        <v>0</v>
      </c>
      <c r="AV922" s="85">
        <v>0</v>
      </c>
      <c r="AW922" s="85">
        <v>0</v>
      </c>
      <c r="AX922" s="85">
        <v>109.762</v>
      </c>
      <c r="AY922" s="85">
        <v>0</v>
      </c>
      <c r="AZ922" s="85">
        <v>0</v>
      </c>
      <c r="BA922" s="85">
        <v>0</v>
      </c>
      <c r="BB922" s="89">
        <v>0</v>
      </c>
      <c r="BC922" s="89">
        <v>109.762</v>
      </c>
      <c r="BD922" s="37">
        <v>0</v>
      </c>
      <c r="BE922" s="37">
        <v>0</v>
      </c>
      <c r="BF922" s="279">
        <v>1937</v>
      </c>
      <c r="BG922" s="37">
        <v>17542</v>
      </c>
      <c r="BH922" s="37">
        <v>23250</v>
      </c>
      <c r="BI922" s="37">
        <v>0</v>
      </c>
      <c r="BJ922" s="283">
        <v>42729</v>
      </c>
      <c r="BK922" s="161"/>
      <c r="BL922" s="294"/>
      <c r="BM922"/>
      <c r="BN922"/>
      <c r="BO922"/>
      <c r="BP922"/>
      <c r="BQ922"/>
      <c r="BR922"/>
      <c r="BS922"/>
      <c r="BT922"/>
      <c r="BU922"/>
      <c r="BV922"/>
      <c r="BW922"/>
      <c r="BX922"/>
      <c r="BY922"/>
      <c r="BZ922"/>
      <c r="CA922"/>
      <c r="CB922"/>
      <c r="CC922"/>
      <c r="CD922"/>
      <c r="CE922"/>
      <c r="CF922"/>
      <c r="CG922"/>
      <c r="CH922"/>
      <c r="CI922"/>
      <c r="CJ922"/>
    </row>
    <row r="923" spans="1:88" s="32" customFormat="1" ht="15" customHeight="1" x14ac:dyDescent="0.35">
      <c r="A923" s="473"/>
      <c r="B923" s="313">
        <v>33030</v>
      </c>
      <c r="C923" s="8" t="s">
        <v>270</v>
      </c>
      <c r="D923" s="18">
        <v>12</v>
      </c>
      <c r="E923" s="251">
        <v>285</v>
      </c>
      <c r="F923" s="82">
        <v>2.3603411513859274</v>
      </c>
      <c r="G923" s="79">
        <v>672.69722814498925</v>
      </c>
      <c r="H923" s="90">
        <v>4.6900000000000004</v>
      </c>
      <c r="I923" s="85">
        <v>4.069</v>
      </c>
      <c r="J923" s="85">
        <v>4.5309999999999997</v>
      </c>
      <c r="K923" s="85">
        <v>5.242</v>
      </c>
      <c r="L923" s="85">
        <v>6.2110000000000003</v>
      </c>
      <c r="M923" s="85">
        <v>6.2539999999999996</v>
      </c>
      <c r="N923" s="85">
        <v>7.5270000000000001</v>
      </c>
      <c r="O923" s="85">
        <v>5.7919999999999998</v>
      </c>
      <c r="P923" s="85">
        <v>4.9630000000000001</v>
      </c>
      <c r="Q923" s="85">
        <v>5.1630000000000003</v>
      </c>
      <c r="R923" s="85">
        <v>5.1849999999999996</v>
      </c>
      <c r="S923" s="89">
        <v>5.4</v>
      </c>
      <c r="T923" s="89">
        <v>65.027000000000015</v>
      </c>
      <c r="U923" s="85">
        <v>0</v>
      </c>
      <c r="V923" s="85">
        <v>65.027000000000015</v>
      </c>
      <c r="W923" s="85">
        <v>0</v>
      </c>
      <c r="X923" s="89">
        <v>65.027000000000015</v>
      </c>
      <c r="Y923" s="79">
        <v>0</v>
      </c>
      <c r="Z923" s="79">
        <v>4</v>
      </c>
      <c r="AA923" s="94">
        <v>0</v>
      </c>
      <c r="AB923" s="79">
        <v>4</v>
      </c>
      <c r="AC923" s="85">
        <v>40.390670103092781</v>
      </c>
      <c r="AD923" s="85">
        <v>6.457119856090916</v>
      </c>
      <c r="AE923" s="85">
        <v>18.179210040816319</v>
      </c>
      <c r="AF923" s="85">
        <v>0</v>
      </c>
      <c r="AG923" s="85">
        <v>65.027000000000015</v>
      </c>
      <c r="AH923" s="85">
        <v>0</v>
      </c>
      <c r="AI923" s="85">
        <v>0</v>
      </c>
      <c r="AJ923" s="85">
        <v>0</v>
      </c>
      <c r="AK923" s="85">
        <v>0</v>
      </c>
      <c r="AL923" s="85">
        <v>0</v>
      </c>
      <c r="AM923" s="85">
        <v>0</v>
      </c>
      <c r="AN923" s="85">
        <v>0</v>
      </c>
      <c r="AO923" s="85">
        <v>0</v>
      </c>
      <c r="AP923" s="85">
        <v>0</v>
      </c>
      <c r="AQ923" s="85">
        <v>0</v>
      </c>
      <c r="AR923" s="85">
        <v>0</v>
      </c>
      <c r="AS923" s="85">
        <v>65.027000000000015</v>
      </c>
      <c r="AT923" s="85">
        <v>0</v>
      </c>
      <c r="AU923" s="85">
        <v>0</v>
      </c>
      <c r="AV923" s="85">
        <v>0</v>
      </c>
      <c r="AW923" s="85">
        <v>0</v>
      </c>
      <c r="AX923" s="85">
        <v>0</v>
      </c>
      <c r="AY923" s="85">
        <v>0</v>
      </c>
      <c r="AZ923" s="85">
        <v>0</v>
      </c>
      <c r="BA923" s="85">
        <v>0</v>
      </c>
      <c r="BB923" s="89">
        <v>0</v>
      </c>
      <c r="BC923" s="89">
        <v>65.027000000000015</v>
      </c>
      <c r="BD923" s="37">
        <v>0</v>
      </c>
      <c r="BE923" s="37">
        <v>0</v>
      </c>
      <c r="BF923" s="279">
        <v>14882</v>
      </c>
      <c r="BG923" s="37">
        <v>26500</v>
      </c>
      <c r="BH923" s="37">
        <v>22607</v>
      </c>
      <c r="BI923" s="37">
        <v>3335</v>
      </c>
      <c r="BJ923" s="283">
        <v>67324</v>
      </c>
      <c r="BK923" s="161"/>
      <c r="BL923" s="294"/>
      <c r="BM923"/>
      <c r="BN923"/>
      <c r="BO923"/>
      <c r="BP923"/>
      <c r="BQ923"/>
      <c r="BR923"/>
      <c r="BS923"/>
      <c r="BT923"/>
      <c r="BU923"/>
      <c r="BV923"/>
      <c r="BW923"/>
      <c r="BX923"/>
      <c r="BY923"/>
      <c r="BZ923"/>
      <c r="CA923"/>
      <c r="CB923"/>
      <c r="CC923"/>
      <c r="CD923"/>
      <c r="CE923"/>
      <c r="CF923"/>
      <c r="CG923"/>
      <c r="CH923"/>
      <c r="CI923"/>
      <c r="CJ923"/>
    </row>
    <row r="924" spans="1:88" s="32" customFormat="1" ht="15" customHeight="1" x14ac:dyDescent="0.35">
      <c r="A924" s="473"/>
      <c r="B924" s="313">
        <v>10015</v>
      </c>
      <c r="C924" s="8" t="s">
        <v>10</v>
      </c>
      <c r="D924" s="18">
        <v>1</v>
      </c>
      <c r="E924" s="251">
        <v>191</v>
      </c>
      <c r="F924" s="82">
        <v>2.2706422018348622</v>
      </c>
      <c r="G924" s="79">
        <v>433.6926605504587</v>
      </c>
      <c r="H924" s="90">
        <v>3.673</v>
      </c>
      <c r="I924" s="85">
        <v>3.3420000000000001</v>
      </c>
      <c r="J924" s="85">
        <v>3.5830000000000002</v>
      </c>
      <c r="K924" s="85">
        <v>2.6469999999999998</v>
      </c>
      <c r="L924" s="85">
        <v>2.391</v>
      </c>
      <c r="M924" s="85">
        <v>2.3540000000000001</v>
      </c>
      <c r="N924" s="85">
        <v>2.4590000000000001</v>
      </c>
      <c r="O924" s="85">
        <v>2.427</v>
      </c>
      <c r="P924" s="85">
        <v>2.407</v>
      </c>
      <c r="Q924" s="85">
        <v>2.069</v>
      </c>
      <c r="R924" s="85">
        <v>2.0760000000000001</v>
      </c>
      <c r="S924" s="89">
        <v>2.3029999999999999</v>
      </c>
      <c r="T924" s="89">
        <v>31.731000000000002</v>
      </c>
      <c r="U924" s="85">
        <v>0</v>
      </c>
      <c r="V924" s="85">
        <v>31.731000000000002</v>
      </c>
      <c r="W924" s="85">
        <v>0</v>
      </c>
      <c r="X924" s="89">
        <v>31.731000000000002</v>
      </c>
      <c r="Y924" s="79">
        <v>0</v>
      </c>
      <c r="Z924" s="79">
        <v>1</v>
      </c>
      <c r="AA924" s="94">
        <v>0</v>
      </c>
      <c r="AB924" s="79">
        <v>1</v>
      </c>
      <c r="AC924" s="85">
        <v>25.742122448979593</v>
      </c>
      <c r="AD924" s="85">
        <v>1.4104925510204094</v>
      </c>
      <c r="AE924" s="85">
        <v>4.578384999999999</v>
      </c>
      <c r="AF924" s="85">
        <v>0</v>
      </c>
      <c r="AG924" s="85">
        <v>31.731000000000002</v>
      </c>
      <c r="AH924" s="85">
        <v>0</v>
      </c>
      <c r="AI924" s="85">
        <v>0</v>
      </c>
      <c r="AJ924" s="85">
        <v>0</v>
      </c>
      <c r="AK924" s="85">
        <v>0</v>
      </c>
      <c r="AL924" s="85">
        <v>0</v>
      </c>
      <c r="AM924" s="85">
        <v>0</v>
      </c>
      <c r="AN924" s="85">
        <v>0</v>
      </c>
      <c r="AO924" s="85">
        <v>0</v>
      </c>
      <c r="AP924" s="85">
        <v>0</v>
      </c>
      <c r="AQ924" s="85">
        <v>0</v>
      </c>
      <c r="AR924" s="85">
        <v>0</v>
      </c>
      <c r="AS924" s="85">
        <v>0</v>
      </c>
      <c r="AT924" s="85">
        <v>0</v>
      </c>
      <c r="AU924" s="85">
        <v>0</v>
      </c>
      <c r="AV924" s="85">
        <v>0</v>
      </c>
      <c r="AW924" s="85">
        <v>31.731000000000002</v>
      </c>
      <c r="AX924" s="85">
        <v>0</v>
      </c>
      <c r="AY924" s="85">
        <v>0</v>
      </c>
      <c r="AZ924" s="85">
        <v>0</v>
      </c>
      <c r="BA924" s="85">
        <v>0</v>
      </c>
      <c r="BB924" s="89">
        <v>0</v>
      </c>
      <c r="BC924" s="89">
        <v>31.731000000000002</v>
      </c>
      <c r="BD924" s="37">
        <v>0</v>
      </c>
      <c r="BE924" s="37">
        <v>0</v>
      </c>
      <c r="BF924" s="279">
        <v>21423</v>
      </c>
      <c r="BG924" s="37">
        <v>13136</v>
      </c>
      <c r="BH924" s="37">
        <v>12503</v>
      </c>
      <c r="BI924" s="37">
        <v>1390</v>
      </c>
      <c r="BJ924" s="283">
        <v>48452</v>
      </c>
      <c r="BK924" s="161"/>
      <c r="BL924" s="294"/>
      <c r="BM924"/>
      <c r="BN924"/>
      <c r="BO924"/>
      <c r="BP924"/>
      <c r="BQ924"/>
      <c r="BR924"/>
      <c r="BS924"/>
      <c r="BT924"/>
      <c r="BU924"/>
      <c r="BV924"/>
      <c r="BW924"/>
      <c r="BX924"/>
      <c r="BY924"/>
      <c r="BZ924"/>
      <c r="CA924"/>
      <c r="CB924"/>
      <c r="CC924"/>
      <c r="CD924"/>
      <c r="CE924"/>
      <c r="CF924"/>
      <c r="CG924"/>
      <c r="CH924"/>
      <c r="CI924"/>
      <c r="CJ924"/>
    </row>
    <row r="925" spans="1:88" s="32" customFormat="1" ht="15" customHeight="1" x14ac:dyDescent="0.35">
      <c r="A925" s="473"/>
      <c r="B925" s="313">
        <v>93045</v>
      </c>
      <c r="C925" s="8" t="s">
        <v>965</v>
      </c>
      <c r="D925" s="18">
        <v>2</v>
      </c>
      <c r="E925" s="251">
        <v>657</v>
      </c>
      <c r="F925" s="82">
        <v>2.3276450511945392</v>
      </c>
      <c r="G925" s="79">
        <v>1529.2627986348123</v>
      </c>
      <c r="H925" s="90">
        <v>14</v>
      </c>
      <c r="I925" s="85">
        <v>12.422000000000001</v>
      </c>
      <c r="J925" s="85">
        <v>14.367000000000001</v>
      </c>
      <c r="K925" s="85">
        <v>16.802</v>
      </c>
      <c r="L925" s="85">
        <v>18.597999999999999</v>
      </c>
      <c r="M925" s="85">
        <v>18.457000000000001</v>
      </c>
      <c r="N925" s="85">
        <v>18.97</v>
      </c>
      <c r="O925" s="85">
        <v>17.359000000000002</v>
      </c>
      <c r="P925" s="85">
        <v>15.561999999999999</v>
      </c>
      <c r="Q925" s="85">
        <v>13.534000000000001</v>
      </c>
      <c r="R925" s="85">
        <v>13.509</v>
      </c>
      <c r="S925" s="89">
        <v>15.023999999999999</v>
      </c>
      <c r="T925" s="89">
        <v>188.60399999999998</v>
      </c>
      <c r="U925" s="85">
        <v>188.60400000000001</v>
      </c>
      <c r="V925" s="85">
        <v>0</v>
      </c>
      <c r="W925" s="85">
        <v>0</v>
      </c>
      <c r="X925" s="89">
        <v>188.60400000000001</v>
      </c>
      <c r="Y925" s="79">
        <v>1</v>
      </c>
      <c r="Z925" s="79">
        <v>0</v>
      </c>
      <c r="AA925" s="94">
        <v>0</v>
      </c>
      <c r="AB925" s="79">
        <v>1</v>
      </c>
      <c r="AC925" s="85">
        <v>175</v>
      </c>
      <c r="AD925" s="85">
        <v>13</v>
      </c>
      <c r="AE925" s="85">
        <v>0.60399999999999998</v>
      </c>
      <c r="AF925" s="85">
        <v>0</v>
      </c>
      <c r="AG925" s="85">
        <v>188.60400000000001</v>
      </c>
      <c r="AH925" s="85">
        <v>0</v>
      </c>
      <c r="AI925" s="85">
        <v>0</v>
      </c>
      <c r="AJ925" s="85">
        <v>0</v>
      </c>
      <c r="AK925" s="85">
        <v>188.60400000000001</v>
      </c>
      <c r="AL925" s="85">
        <v>0</v>
      </c>
      <c r="AM925" s="85">
        <v>0</v>
      </c>
      <c r="AN925" s="85">
        <v>0</v>
      </c>
      <c r="AO925" s="85">
        <v>0</v>
      </c>
      <c r="AP925" s="85">
        <v>0</v>
      </c>
      <c r="AQ925" s="85">
        <v>0</v>
      </c>
      <c r="AR925" s="85">
        <v>188.60400000000001</v>
      </c>
      <c r="AS925" s="85">
        <v>0</v>
      </c>
      <c r="AT925" s="85">
        <v>0</v>
      </c>
      <c r="AU925" s="85">
        <v>0</v>
      </c>
      <c r="AV925" s="85">
        <v>0</v>
      </c>
      <c r="AW925" s="85">
        <v>0</v>
      </c>
      <c r="AX925" s="85">
        <v>0</v>
      </c>
      <c r="AY925" s="85">
        <v>0</v>
      </c>
      <c r="AZ925" s="85">
        <v>0</v>
      </c>
      <c r="BA925" s="85">
        <v>0</v>
      </c>
      <c r="BB925" s="89">
        <v>0</v>
      </c>
      <c r="BC925" s="89">
        <v>0</v>
      </c>
      <c r="BD925" s="37">
        <v>89295</v>
      </c>
      <c r="BE925" s="37">
        <v>144870</v>
      </c>
      <c r="BF925" s="279">
        <v>60145</v>
      </c>
      <c r="BG925" s="37">
        <v>69285</v>
      </c>
      <c r="BH925" s="37">
        <v>39329</v>
      </c>
      <c r="BI925" s="37">
        <v>19659</v>
      </c>
      <c r="BJ925" s="283">
        <v>188418</v>
      </c>
      <c r="BK925" s="161"/>
      <c r="BL925" s="294"/>
      <c r="BM925"/>
      <c r="BN925"/>
      <c r="BO925"/>
      <c r="BP925"/>
      <c r="BQ925"/>
      <c r="BR925"/>
      <c r="BS925"/>
      <c r="BT925"/>
      <c r="BU925"/>
      <c r="BV925"/>
      <c r="BW925"/>
      <c r="BX925"/>
      <c r="BY925"/>
      <c r="BZ925"/>
      <c r="CA925"/>
      <c r="CB925"/>
      <c r="CC925"/>
      <c r="CD925"/>
      <c r="CE925"/>
      <c r="CF925"/>
      <c r="CG925"/>
      <c r="CH925"/>
      <c r="CI925"/>
      <c r="CJ925"/>
    </row>
    <row r="926" spans="1:88" s="32" customFormat="1" ht="15" customHeight="1" x14ac:dyDescent="0.35">
      <c r="A926" s="473"/>
      <c r="B926" s="313">
        <v>48050</v>
      </c>
      <c r="C926" s="8" t="s">
        <v>463</v>
      </c>
      <c r="D926" s="18">
        <v>16</v>
      </c>
      <c r="E926" s="251"/>
      <c r="F926" s="82"/>
      <c r="G926" s="79"/>
      <c r="H926" s="90"/>
      <c r="I926" s="85"/>
      <c r="J926" s="85"/>
      <c r="K926" s="85"/>
      <c r="L926" s="85"/>
      <c r="M926" s="85"/>
      <c r="N926" s="85"/>
      <c r="O926" s="85"/>
      <c r="P926" s="85"/>
      <c r="Q926" s="85"/>
      <c r="R926" s="85"/>
      <c r="S926" s="89"/>
      <c r="T926" s="89" t="s">
        <v>1124</v>
      </c>
      <c r="U926" s="85"/>
      <c r="V926" s="85"/>
      <c r="W926" s="85"/>
      <c r="X926" s="89" t="s">
        <v>1124</v>
      </c>
      <c r="Y926" s="79"/>
      <c r="Z926" s="79"/>
      <c r="AA926" s="94"/>
      <c r="AB926" s="79" t="s">
        <v>1124</v>
      </c>
      <c r="AC926" s="85"/>
      <c r="AD926" s="85"/>
      <c r="AE926" s="85"/>
      <c r="AF926" s="85"/>
      <c r="AG926" s="85" t="s">
        <v>1124</v>
      </c>
      <c r="AH926" s="85"/>
      <c r="AI926" s="85"/>
      <c r="AJ926" s="85"/>
      <c r="AK926" s="85"/>
      <c r="AL926" s="85"/>
      <c r="AM926" s="85"/>
      <c r="AN926" s="85"/>
      <c r="AO926" s="85"/>
      <c r="AP926" s="85"/>
      <c r="AQ926" s="85"/>
      <c r="AR926" s="85" t="s">
        <v>1124</v>
      </c>
      <c r="AS926" s="85"/>
      <c r="AT926" s="85"/>
      <c r="AU926" s="85"/>
      <c r="AV926" s="85"/>
      <c r="AW926" s="85"/>
      <c r="AX926" s="85"/>
      <c r="AY926" s="85"/>
      <c r="AZ926" s="85"/>
      <c r="BA926" s="85"/>
      <c r="BB926" s="89"/>
      <c r="BC926" s="89" t="s">
        <v>1124</v>
      </c>
      <c r="BD926" s="37"/>
      <c r="BE926" s="37"/>
      <c r="BF926" s="279"/>
      <c r="BG926" s="37"/>
      <c r="BH926" s="37"/>
      <c r="BI926" s="37"/>
      <c r="BJ926" s="283"/>
      <c r="BK926" s="161"/>
      <c r="BL926" s="294"/>
      <c r="BM926"/>
      <c r="BN926"/>
      <c r="BO926"/>
      <c r="BP926"/>
      <c r="BQ926"/>
      <c r="BR926"/>
      <c r="BS926"/>
      <c r="BT926"/>
      <c r="BU926"/>
      <c r="BV926"/>
      <c r="BW926"/>
      <c r="BX926"/>
      <c r="BY926"/>
      <c r="BZ926"/>
      <c r="CA926"/>
      <c r="CB926"/>
      <c r="CC926"/>
      <c r="CD926"/>
      <c r="CE926"/>
      <c r="CF926"/>
      <c r="CG926"/>
      <c r="CH926"/>
      <c r="CI926"/>
      <c r="CJ926"/>
    </row>
    <row r="927" spans="1:88" s="32" customFormat="1" ht="15" customHeight="1" x14ac:dyDescent="0.35">
      <c r="A927" s="473"/>
      <c r="B927" s="313">
        <v>19015</v>
      </c>
      <c r="C927" s="8" t="s">
        <v>120</v>
      </c>
      <c r="D927" s="18">
        <v>12</v>
      </c>
      <c r="E927" s="251"/>
      <c r="F927" s="82"/>
      <c r="G927" s="79"/>
      <c r="H927" s="90"/>
      <c r="I927" s="85"/>
      <c r="J927" s="85"/>
      <c r="K927" s="85"/>
      <c r="L927" s="85"/>
      <c r="M927" s="85"/>
      <c r="N927" s="85"/>
      <c r="O927" s="85"/>
      <c r="P927" s="85"/>
      <c r="Q927" s="85"/>
      <c r="R927" s="85"/>
      <c r="S927" s="89"/>
      <c r="T927" s="89" t="s">
        <v>1124</v>
      </c>
      <c r="U927" s="85"/>
      <c r="V927" s="85"/>
      <c r="W927" s="85"/>
      <c r="X927" s="89" t="s">
        <v>1124</v>
      </c>
      <c r="Y927" s="79"/>
      <c r="Z927" s="79"/>
      <c r="AA927" s="94"/>
      <c r="AB927" s="79" t="s">
        <v>1124</v>
      </c>
      <c r="AC927" s="85"/>
      <c r="AD927" s="85"/>
      <c r="AE927" s="85"/>
      <c r="AF927" s="85"/>
      <c r="AG927" s="85" t="s">
        <v>1124</v>
      </c>
      <c r="AH927" s="85"/>
      <c r="AI927" s="85"/>
      <c r="AJ927" s="85"/>
      <c r="AK927" s="85"/>
      <c r="AL927" s="85"/>
      <c r="AM927" s="85"/>
      <c r="AN927" s="85"/>
      <c r="AO927" s="85"/>
      <c r="AP927" s="85"/>
      <c r="AQ927" s="85"/>
      <c r="AR927" s="85" t="s">
        <v>1124</v>
      </c>
      <c r="AS927" s="85"/>
      <c r="AT927" s="85"/>
      <c r="AU927" s="85"/>
      <c r="AV927" s="85"/>
      <c r="AW927" s="85"/>
      <c r="AX927" s="85"/>
      <c r="AY927" s="85"/>
      <c r="AZ927" s="85"/>
      <c r="BA927" s="85"/>
      <c r="BB927" s="89"/>
      <c r="BC927" s="89" t="s">
        <v>1124</v>
      </c>
      <c r="BD927" s="37"/>
      <c r="BE927" s="37"/>
      <c r="BF927" s="279"/>
      <c r="BG927" s="37"/>
      <c r="BH927" s="37"/>
      <c r="BI927" s="37"/>
      <c r="BJ927" s="283"/>
      <c r="BK927" s="161"/>
      <c r="BL927" s="294"/>
      <c r="BM927"/>
      <c r="BN927"/>
      <c r="BO927"/>
      <c r="BP927"/>
      <c r="BQ927"/>
      <c r="BR927"/>
      <c r="BS927"/>
      <c r="BT927"/>
      <c r="BU927"/>
      <c r="BV927"/>
      <c r="BW927"/>
      <c r="BX927"/>
      <c r="BY927"/>
      <c r="BZ927"/>
      <c r="CA927"/>
      <c r="CB927"/>
      <c r="CC927"/>
      <c r="CD927"/>
      <c r="CE927"/>
      <c r="CF927"/>
      <c r="CG927"/>
      <c r="CH927"/>
      <c r="CI927"/>
      <c r="CJ927"/>
    </row>
    <row r="928" spans="1:88" s="32" customFormat="1" ht="15" customHeight="1" x14ac:dyDescent="0.35">
      <c r="A928" s="473"/>
      <c r="B928" s="313">
        <v>19045</v>
      </c>
      <c r="C928" s="8" t="s">
        <v>125</v>
      </c>
      <c r="D928" s="18">
        <v>12</v>
      </c>
      <c r="E928" s="251">
        <v>182</v>
      </c>
      <c r="F928" s="82">
        <v>1.9151670951156812</v>
      </c>
      <c r="G928" s="79">
        <v>348.560411311054</v>
      </c>
      <c r="H928" s="90">
        <v>2.9468000000000001</v>
      </c>
      <c r="I928" s="85">
        <v>2.6746999999999996</v>
      </c>
      <c r="J928" s="85">
        <v>3.2441999999999998</v>
      </c>
      <c r="K928" s="85">
        <v>3.4845999999999999</v>
      </c>
      <c r="L928" s="85">
        <v>2.7585000000000002</v>
      </c>
      <c r="M928" s="85">
        <v>2.9583000000000004</v>
      </c>
      <c r="N928" s="85">
        <v>3.7328000000000001</v>
      </c>
      <c r="O928" s="85">
        <v>3.2288000000000001</v>
      </c>
      <c r="P928" s="85">
        <v>2.9538000000000002</v>
      </c>
      <c r="Q928" s="85">
        <v>2.6335000000000002</v>
      </c>
      <c r="R928" s="85">
        <v>2.2528000000000001</v>
      </c>
      <c r="S928" s="89">
        <v>2.7450000000000001</v>
      </c>
      <c r="T928" s="89">
        <v>35.613799999999998</v>
      </c>
      <c r="U928" s="85">
        <v>0</v>
      </c>
      <c r="V928" s="85">
        <v>0</v>
      </c>
      <c r="W928" s="85">
        <v>35.613999999999997</v>
      </c>
      <c r="X928" s="89">
        <v>35.613999999999997</v>
      </c>
      <c r="Y928" s="79">
        <v>0</v>
      </c>
      <c r="Z928" s="79">
        <v>0</v>
      </c>
      <c r="AA928" s="94">
        <v>3</v>
      </c>
      <c r="AB928" s="79">
        <v>3</v>
      </c>
      <c r="AC928" s="85">
        <v>26.73587435028249</v>
      </c>
      <c r="AD928" s="85">
        <v>3.3750936497175132</v>
      </c>
      <c r="AE928" s="85">
        <v>5.5030319999999939</v>
      </c>
      <c r="AF928" s="85">
        <v>0</v>
      </c>
      <c r="AG928" s="85">
        <v>35.613999999999997</v>
      </c>
      <c r="AH928" s="85">
        <v>0</v>
      </c>
      <c r="AI928" s="85">
        <v>0</v>
      </c>
      <c r="AJ928" s="85">
        <v>0</v>
      </c>
      <c r="AK928" s="85">
        <v>0</v>
      </c>
      <c r="AL928" s="85">
        <v>0</v>
      </c>
      <c r="AM928" s="85">
        <v>0</v>
      </c>
      <c r="AN928" s="85">
        <v>0</v>
      </c>
      <c r="AO928" s="85">
        <v>0</v>
      </c>
      <c r="AP928" s="85">
        <v>0</v>
      </c>
      <c r="AQ928" s="85">
        <v>0</v>
      </c>
      <c r="AR928" s="85">
        <v>0</v>
      </c>
      <c r="AS928" s="85">
        <v>0</v>
      </c>
      <c r="AT928" s="85">
        <v>0</v>
      </c>
      <c r="AU928" s="85">
        <v>0</v>
      </c>
      <c r="AV928" s="85">
        <v>0</v>
      </c>
      <c r="AW928" s="85">
        <v>0</v>
      </c>
      <c r="AX928" s="85">
        <v>0</v>
      </c>
      <c r="AY928" s="85">
        <v>0</v>
      </c>
      <c r="AZ928" s="85">
        <v>35.613999999999997</v>
      </c>
      <c r="BA928" s="85">
        <v>0</v>
      </c>
      <c r="BB928" s="89">
        <v>0</v>
      </c>
      <c r="BC928" s="89">
        <v>35.613999999999997</v>
      </c>
      <c r="BD928" s="37">
        <v>14307</v>
      </c>
      <c r="BE928" s="37">
        <v>14140</v>
      </c>
      <c r="BF928" s="279">
        <v>619.03</v>
      </c>
      <c r="BG928" s="37">
        <v>26195.1</v>
      </c>
      <c r="BH928" s="37">
        <v>9526.02</v>
      </c>
      <c r="BI928" s="37">
        <v>0</v>
      </c>
      <c r="BJ928" s="283">
        <v>36340.149999999994</v>
      </c>
      <c r="BK928" s="161"/>
      <c r="BL928" s="294"/>
      <c r="BM928"/>
      <c r="BN928"/>
      <c r="BO928"/>
      <c r="BP928"/>
      <c r="BQ928"/>
      <c r="BR928"/>
      <c r="BS928"/>
      <c r="BT928"/>
      <c r="BU928"/>
      <c r="BV928"/>
      <c r="BW928"/>
      <c r="BX928"/>
      <c r="BY928"/>
      <c r="BZ928"/>
      <c r="CA928"/>
      <c r="CB928"/>
      <c r="CC928"/>
      <c r="CD928"/>
      <c r="CE928"/>
      <c r="CF928"/>
      <c r="CG928"/>
      <c r="CH928"/>
      <c r="CI928"/>
      <c r="CJ928"/>
    </row>
    <row r="929" spans="1:88" s="32" customFormat="1" ht="15" customHeight="1" x14ac:dyDescent="0.35">
      <c r="A929" s="473"/>
      <c r="B929" s="313">
        <v>7100</v>
      </c>
      <c r="C929" s="8" t="s">
        <v>1084</v>
      </c>
      <c r="D929" s="18">
        <v>1</v>
      </c>
      <c r="E929" s="251">
        <v>149</v>
      </c>
      <c r="F929" s="82">
        <v>2.0497512437810945</v>
      </c>
      <c r="G929" s="79">
        <v>305.41293532338307</v>
      </c>
      <c r="H929" s="90">
        <v>2.9297</v>
      </c>
      <c r="I929" s="85">
        <v>2.2642000000000002</v>
      </c>
      <c r="J929" s="85">
        <v>2.2610999999999999</v>
      </c>
      <c r="K929" s="85">
        <v>2.2282999999999999</v>
      </c>
      <c r="L929" s="85">
        <v>2.3620000000000001</v>
      </c>
      <c r="M929" s="85">
        <v>2.5537999999999998</v>
      </c>
      <c r="N929" s="85">
        <v>2.5956000000000001</v>
      </c>
      <c r="O929" s="85">
        <v>2.4102999999999999</v>
      </c>
      <c r="P929" s="85">
        <v>2.2669999999999999</v>
      </c>
      <c r="Q929" s="85">
        <v>2.4113000000000002</v>
      </c>
      <c r="R929" s="85">
        <v>2.3357000000000001</v>
      </c>
      <c r="S929" s="89">
        <v>0.252</v>
      </c>
      <c r="T929" s="89">
        <v>26.870999999999999</v>
      </c>
      <c r="U929" s="85">
        <v>0</v>
      </c>
      <c r="V929" s="85">
        <v>26.870999999999999</v>
      </c>
      <c r="W929" s="85">
        <v>0</v>
      </c>
      <c r="X929" s="89">
        <v>26.870999999999999</v>
      </c>
      <c r="Y929" s="79">
        <v>0</v>
      </c>
      <c r="Z929" s="79">
        <v>1</v>
      </c>
      <c r="AA929" s="94">
        <v>0</v>
      </c>
      <c r="AB929" s="79">
        <v>1</v>
      </c>
      <c r="AC929" s="85">
        <v>18.096141975308644</v>
      </c>
      <c r="AD929" s="85">
        <v>1.7064660877407691</v>
      </c>
      <c r="AE929" s="85">
        <v>7.0683919369505857</v>
      </c>
      <c r="AF929" s="85">
        <v>0</v>
      </c>
      <c r="AG929" s="85">
        <v>26.870999999999999</v>
      </c>
      <c r="AH929" s="85">
        <v>0</v>
      </c>
      <c r="AI929" s="85">
        <v>0</v>
      </c>
      <c r="AJ929" s="85">
        <v>0</v>
      </c>
      <c r="AK929" s="85">
        <v>0</v>
      </c>
      <c r="AL929" s="85">
        <v>0</v>
      </c>
      <c r="AM929" s="85">
        <v>0</v>
      </c>
      <c r="AN929" s="85">
        <v>0</v>
      </c>
      <c r="AO929" s="85">
        <v>0</v>
      </c>
      <c r="AP929" s="85">
        <v>0</v>
      </c>
      <c r="AQ929" s="85">
        <v>0</v>
      </c>
      <c r="AR929" s="85">
        <v>0</v>
      </c>
      <c r="AS929" s="85">
        <v>0</v>
      </c>
      <c r="AT929" s="85">
        <v>0</v>
      </c>
      <c r="AU929" s="85">
        <v>0</v>
      </c>
      <c r="AV929" s="85">
        <v>0</v>
      </c>
      <c r="AW929" s="85">
        <v>0</v>
      </c>
      <c r="AX929" s="85">
        <v>0</v>
      </c>
      <c r="AY929" s="85">
        <v>26.870999999999999</v>
      </c>
      <c r="AZ929" s="85">
        <v>0</v>
      </c>
      <c r="BA929" s="85">
        <v>0</v>
      </c>
      <c r="BB929" s="89">
        <v>0</v>
      </c>
      <c r="BC929" s="89">
        <v>26.870999999999999</v>
      </c>
      <c r="BD929" s="37">
        <v>70000</v>
      </c>
      <c r="BE929" s="37">
        <v>72253</v>
      </c>
      <c r="BF929" s="279">
        <v>26388</v>
      </c>
      <c r="BG929" s="37">
        <v>30445</v>
      </c>
      <c r="BH929" s="37">
        <v>10020</v>
      </c>
      <c r="BI929" s="37">
        <v>5400</v>
      </c>
      <c r="BJ929" s="283">
        <v>72253</v>
      </c>
      <c r="BK929" s="161"/>
      <c r="BL929" s="294"/>
      <c r="BM929"/>
      <c r="BN929"/>
      <c r="BO929"/>
      <c r="BP929"/>
      <c r="BQ929"/>
      <c r="BR929"/>
      <c r="BS929"/>
      <c r="BT929"/>
      <c r="BU929"/>
      <c r="BV929"/>
      <c r="BW929"/>
      <c r="BX929"/>
      <c r="BY929"/>
      <c r="BZ929"/>
      <c r="CA929"/>
      <c r="CB929"/>
      <c r="CC929"/>
      <c r="CD929"/>
      <c r="CE929"/>
      <c r="CF929"/>
      <c r="CG929"/>
      <c r="CH929"/>
      <c r="CI929"/>
      <c r="CJ929"/>
    </row>
    <row r="930" spans="1:88" s="32" customFormat="1" ht="15" customHeight="1" x14ac:dyDescent="0.35">
      <c r="A930" s="473"/>
      <c r="B930" s="313">
        <v>52070</v>
      </c>
      <c r="C930" s="8" t="s">
        <v>524</v>
      </c>
      <c r="D930" s="18">
        <v>14</v>
      </c>
      <c r="E930" s="251"/>
      <c r="F930" s="82"/>
      <c r="G930" s="79"/>
      <c r="H930" s="90"/>
      <c r="I930" s="85"/>
      <c r="J930" s="85"/>
      <c r="K930" s="85"/>
      <c r="L930" s="85"/>
      <c r="M930" s="85"/>
      <c r="N930" s="85"/>
      <c r="O930" s="85"/>
      <c r="P930" s="85"/>
      <c r="Q930" s="85"/>
      <c r="R930" s="85"/>
      <c r="S930" s="89"/>
      <c r="T930" s="89" t="s">
        <v>1124</v>
      </c>
      <c r="U930" s="85"/>
      <c r="V930" s="85"/>
      <c r="W930" s="85"/>
      <c r="X930" s="89" t="s">
        <v>1124</v>
      </c>
      <c r="Y930" s="79"/>
      <c r="Z930" s="79"/>
      <c r="AA930" s="94"/>
      <c r="AB930" s="79" t="s">
        <v>1124</v>
      </c>
      <c r="AC930" s="85"/>
      <c r="AD930" s="85"/>
      <c r="AE930" s="85"/>
      <c r="AF930" s="85"/>
      <c r="AG930" s="85" t="s">
        <v>1124</v>
      </c>
      <c r="AH930" s="85"/>
      <c r="AI930" s="85"/>
      <c r="AJ930" s="85"/>
      <c r="AK930" s="85"/>
      <c r="AL930" s="85"/>
      <c r="AM930" s="85"/>
      <c r="AN930" s="85"/>
      <c r="AO930" s="85"/>
      <c r="AP930" s="85"/>
      <c r="AQ930" s="85"/>
      <c r="AR930" s="85" t="s">
        <v>1124</v>
      </c>
      <c r="AS930" s="85"/>
      <c r="AT930" s="85"/>
      <c r="AU930" s="85"/>
      <c r="AV930" s="85"/>
      <c r="AW930" s="85"/>
      <c r="AX930" s="85"/>
      <c r="AY930" s="85"/>
      <c r="AZ930" s="85"/>
      <c r="BA930" s="85"/>
      <c r="BB930" s="89"/>
      <c r="BC930" s="89" t="s">
        <v>1124</v>
      </c>
      <c r="BD930" s="37"/>
      <c r="BE930" s="37"/>
      <c r="BF930" s="279"/>
      <c r="BG930" s="37"/>
      <c r="BH930" s="37"/>
      <c r="BI930" s="37"/>
      <c r="BJ930" s="283"/>
      <c r="BK930" s="161"/>
      <c r="BL930" s="294"/>
      <c r="BM930"/>
      <c r="BN930"/>
      <c r="BO930"/>
      <c r="BP930"/>
      <c r="BQ930"/>
      <c r="BR930"/>
      <c r="BS930"/>
      <c r="BT930"/>
      <c r="BU930"/>
      <c r="BV930"/>
      <c r="BW930"/>
      <c r="BX930"/>
      <c r="BY930"/>
      <c r="BZ930"/>
      <c r="CA930"/>
      <c r="CB930"/>
      <c r="CC930"/>
      <c r="CD930"/>
      <c r="CE930"/>
      <c r="CF930"/>
      <c r="CG930"/>
      <c r="CH930"/>
      <c r="CI930"/>
      <c r="CJ930"/>
    </row>
    <row r="931" spans="1:88" s="32" customFormat="1" ht="15" customHeight="1" x14ac:dyDescent="0.35">
      <c r="A931" s="473"/>
      <c r="B931" s="313">
        <v>39043</v>
      </c>
      <c r="C931" s="8" t="s">
        <v>344</v>
      </c>
      <c r="D931" s="18">
        <v>17</v>
      </c>
      <c r="E931" s="251">
        <v>162</v>
      </c>
      <c r="F931" s="82">
        <v>2.4194831013916502</v>
      </c>
      <c r="G931" s="79">
        <v>391.95626242544733</v>
      </c>
      <c r="H931" s="90">
        <v>4.1890000000000001</v>
      </c>
      <c r="I931" s="85">
        <v>3.83</v>
      </c>
      <c r="J931" s="85">
        <v>4.3179999999999996</v>
      </c>
      <c r="K931" s="85">
        <v>4.1390000000000002</v>
      </c>
      <c r="L931" s="85">
        <v>4.7169999999999996</v>
      </c>
      <c r="M931" s="85">
        <v>5.3419999999999996</v>
      </c>
      <c r="N931" s="85">
        <v>5.6580000000000004</v>
      </c>
      <c r="O931" s="85">
        <v>4.5999999999999996</v>
      </c>
      <c r="P931" s="85">
        <v>4.5659999999999998</v>
      </c>
      <c r="Q931" s="85">
        <v>4.88</v>
      </c>
      <c r="R931" s="85">
        <v>4.5439999999999996</v>
      </c>
      <c r="S931" s="89">
        <v>4.5259999999999998</v>
      </c>
      <c r="T931" s="89">
        <v>55.308999999999997</v>
      </c>
      <c r="U931" s="85">
        <v>0</v>
      </c>
      <c r="V931" s="85">
        <v>55.308999999999997</v>
      </c>
      <c r="W931" s="85">
        <v>0</v>
      </c>
      <c r="X931" s="89">
        <v>55.308999999999997</v>
      </c>
      <c r="Y931" s="79">
        <v>0</v>
      </c>
      <c r="Z931" s="79">
        <v>1</v>
      </c>
      <c r="AA931" s="94">
        <v>0</v>
      </c>
      <c r="AB931" s="79">
        <v>1</v>
      </c>
      <c r="AC931" s="85">
        <v>47.738</v>
      </c>
      <c r="AD931" s="85">
        <v>5.5449999999999982</v>
      </c>
      <c r="AE931" s="85">
        <v>2.0259999999999998</v>
      </c>
      <c r="AF931" s="85">
        <v>0</v>
      </c>
      <c r="AG931" s="85">
        <v>55.308999999999997</v>
      </c>
      <c r="AH931" s="85">
        <v>0</v>
      </c>
      <c r="AI931" s="85">
        <v>0</v>
      </c>
      <c r="AJ931" s="85">
        <v>0</v>
      </c>
      <c r="AK931" s="85">
        <v>0</v>
      </c>
      <c r="AL931" s="85">
        <v>0</v>
      </c>
      <c r="AM931" s="85">
        <v>0</v>
      </c>
      <c r="AN931" s="85">
        <v>0</v>
      </c>
      <c r="AO931" s="85">
        <v>0</v>
      </c>
      <c r="AP931" s="85">
        <v>0</v>
      </c>
      <c r="AQ931" s="85">
        <v>0</v>
      </c>
      <c r="AR931" s="85">
        <v>0</v>
      </c>
      <c r="AS931" s="85">
        <v>0</v>
      </c>
      <c r="AT931" s="85">
        <v>0</v>
      </c>
      <c r="AU931" s="85">
        <v>0</v>
      </c>
      <c r="AV931" s="85">
        <v>0</v>
      </c>
      <c r="AW931" s="85">
        <v>0</v>
      </c>
      <c r="AX931" s="85">
        <v>0</v>
      </c>
      <c r="AY931" s="85">
        <v>55.308999999999997</v>
      </c>
      <c r="AZ931" s="85">
        <v>0</v>
      </c>
      <c r="BA931" s="85">
        <v>0</v>
      </c>
      <c r="BB931" s="89">
        <v>0</v>
      </c>
      <c r="BC931" s="89">
        <v>55.308999999999997</v>
      </c>
      <c r="BD931" s="37">
        <v>0</v>
      </c>
      <c r="BE931" s="37">
        <v>0</v>
      </c>
      <c r="BF931" s="279">
        <v>10641</v>
      </c>
      <c r="BG931" s="37">
        <v>26270</v>
      </c>
      <c r="BH931" s="37">
        <v>3177</v>
      </c>
      <c r="BI931" s="37">
        <v>0</v>
      </c>
      <c r="BJ931" s="283">
        <v>40088</v>
      </c>
      <c r="BK931" s="161"/>
      <c r="BL931" s="294"/>
      <c r="BM931"/>
      <c r="BN931"/>
      <c r="BO931"/>
      <c r="BP931"/>
      <c r="BQ931"/>
      <c r="BR931"/>
      <c r="BS931"/>
      <c r="BT931"/>
      <c r="BU931"/>
      <c r="BV931"/>
      <c r="BW931"/>
      <c r="BX931"/>
      <c r="BY931"/>
      <c r="BZ931"/>
      <c r="CA931"/>
      <c r="CB931"/>
      <c r="CC931"/>
      <c r="CD931"/>
      <c r="CE931"/>
      <c r="CF931"/>
      <c r="CG931"/>
      <c r="CH931"/>
      <c r="CI931"/>
      <c r="CJ931"/>
    </row>
    <row r="932" spans="1:88" s="32" customFormat="1" ht="15" customHeight="1" x14ac:dyDescent="0.35">
      <c r="A932" s="473"/>
      <c r="B932" s="313">
        <v>9055</v>
      </c>
      <c r="C932" s="8" t="s">
        <v>1106</v>
      </c>
      <c r="D932" s="18">
        <v>1</v>
      </c>
      <c r="E932" s="251"/>
      <c r="F932" s="82"/>
      <c r="G932" s="79"/>
      <c r="H932" s="90"/>
      <c r="I932" s="85"/>
      <c r="J932" s="85"/>
      <c r="K932" s="85"/>
      <c r="L932" s="85"/>
      <c r="M932" s="85"/>
      <c r="N932" s="85"/>
      <c r="O932" s="85"/>
      <c r="P932" s="85"/>
      <c r="Q932" s="85"/>
      <c r="R932" s="85"/>
      <c r="S932" s="89"/>
      <c r="T932" s="89" t="s">
        <v>1124</v>
      </c>
      <c r="U932" s="85"/>
      <c r="V932" s="85"/>
      <c r="W932" s="85"/>
      <c r="X932" s="89" t="s">
        <v>1124</v>
      </c>
      <c r="Y932" s="79"/>
      <c r="Z932" s="79"/>
      <c r="AA932" s="94"/>
      <c r="AB932" s="79" t="s">
        <v>1124</v>
      </c>
      <c r="AC932" s="85"/>
      <c r="AD932" s="85"/>
      <c r="AE932" s="85"/>
      <c r="AF932" s="85"/>
      <c r="AG932" s="85" t="s">
        <v>1124</v>
      </c>
      <c r="AH932" s="85"/>
      <c r="AI932" s="85"/>
      <c r="AJ932" s="85"/>
      <c r="AK932" s="85"/>
      <c r="AL932" s="85"/>
      <c r="AM932" s="85"/>
      <c r="AN932" s="85"/>
      <c r="AO932" s="85"/>
      <c r="AP932" s="85"/>
      <c r="AQ932" s="85"/>
      <c r="AR932" s="85" t="s">
        <v>1124</v>
      </c>
      <c r="AS932" s="85"/>
      <c r="AT932" s="85"/>
      <c r="AU932" s="85"/>
      <c r="AV932" s="85"/>
      <c r="AW932" s="85"/>
      <c r="AX932" s="85"/>
      <c r="AY932" s="85"/>
      <c r="AZ932" s="85"/>
      <c r="BA932" s="85"/>
      <c r="BB932" s="89"/>
      <c r="BC932" s="89" t="s">
        <v>1124</v>
      </c>
      <c r="BD932" s="37"/>
      <c r="BE932" s="37"/>
      <c r="BF932" s="279"/>
      <c r="BG932" s="37"/>
      <c r="BH932" s="37"/>
      <c r="BI932" s="37"/>
      <c r="BJ932" s="283"/>
      <c r="BK932" s="161"/>
      <c r="BL932" s="294"/>
      <c r="BM932"/>
      <c r="BN932"/>
      <c r="BO932"/>
      <c r="BP932"/>
      <c r="BQ932"/>
      <c r="BR932"/>
      <c r="BS932"/>
      <c r="BT932"/>
      <c r="BU932"/>
      <c r="BV932"/>
      <c r="BW932"/>
      <c r="BX932"/>
      <c r="BY932"/>
      <c r="BZ932"/>
      <c r="CA932"/>
      <c r="CB932"/>
      <c r="CC932"/>
      <c r="CD932"/>
      <c r="CE932"/>
      <c r="CF932"/>
      <c r="CG932"/>
      <c r="CH932"/>
      <c r="CI932"/>
      <c r="CJ932"/>
    </row>
    <row r="933" spans="1:88" s="32" customFormat="1" ht="15" customHeight="1" x14ac:dyDescent="0.35">
      <c r="A933" s="473"/>
      <c r="B933" s="313">
        <v>27035</v>
      </c>
      <c r="C933" s="8" t="s">
        <v>181</v>
      </c>
      <c r="D933" s="18">
        <v>12</v>
      </c>
      <c r="E933" s="251">
        <v>331</v>
      </c>
      <c r="F933" s="82">
        <v>2.3653198653198655</v>
      </c>
      <c r="G933" s="79">
        <v>782.92087542087552</v>
      </c>
      <c r="H933" s="90">
        <v>5.758</v>
      </c>
      <c r="I933" s="85">
        <v>5.944</v>
      </c>
      <c r="J933" s="85">
        <v>5.4989999999999997</v>
      </c>
      <c r="K933" s="85">
        <v>5.0389999999999997</v>
      </c>
      <c r="L933" s="85">
        <v>5.2210000000000001</v>
      </c>
      <c r="M933" s="85">
        <v>6.5650000000000004</v>
      </c>
      <c r="N933" s="85">
        <v>6.97</v>
      </c>
      <c r="O933" s="85">
        <v>5.4939999999999998</v>
      </c>
      <c r="P933" s="85">
        <v>5.157</v>
      </c>
      <c r="Q933" s="85">
        <v>5.3159999999999998</v>
      </c>
      <c r="R933" s="85">
        <v>4.9950000000000001</v>
      </c>
      <c r="S933" s="89">
        <v>5.6790000000000003</v>
      </c>
      <c r="T933" s="89">
        <v>67.637</v>
      </c>
      <c r="U933" s="85">
        <v>0</v>
      </c>
      <c r="V933" s="85">
        <v>67.637</v>
      </c>
      <c r="W933" s="85">
        <v>0</v>
      </c>
      <c r="X933" s="89">
        <v>67.637</v>
      </c>
      <c r="Y933" s="79">
        <v>0</v>
      </c>
      <c r="Z933" s="79">
        <v>1</v>
      </c>
      <c r="AA933" s="94">
        <v>0</v>
      </c>
      <c r="AB933" s="79">
        <v>1</v>
      </c>
      <c r="AC933" s="85">
        <v>56.56</v>
      </c>
      <c r="AD933" s="85">
        <v>2.161071999999999</v>
      </c>
      <c r="AE933" s="85">
        <v>8.9159279999999992</v>
      </c>
      <c r="AF933" s="85">
        <v>0</v>
      </c>
      <c r="AG933" s="85">
        <v>67.637</v>
      </c>
      <c r="AH933" s="85">
        <v>0</v>
      </c>
      <c r="AI933" s="85">
        <v>0</v>
      </c>
      <c r="AJ933" s="85">
        <v>0</v>
      </c>
      <c r="AK933" s="85">
        <v>0</v>
      </c>
      <c r="AL933" s="85">
        <v>0</v>
      </c>
      <c r="AM933" s="85">
        <v>0</v>
      </c>
      <c r="AN933" s="85">
        <v>0</v>
      </c>
      <c r="AO933" s="85">
        <v>0</v>
      </c>
      <c r="AP933" s="85">
        <v>0</v>
      </c>
      <c r="AQ933" s="85">
        <v>0</v>
      </c>
      <c r="AR933" s="85">
        <v>0</v>
      </c>
      <c r="AS933" s="85">
        <v>0</v>
      </c>
      <c r="AT933" s="85">
        <v>0</v>
      </c>
      <c r="AU933" s="85">
        <v>0</v>
      </c>
      <c r="AV933" s="85">
        <v>0</v>
      </c>
      <c r="AW933" s="85">
        <v>0</v>
      </c>
      <c r="AX933" s="85">
        <v>0</v>
      </c>
      <c r="AY933" s="85">
        <v>67.637</v>
      </c>
      <c r="AZ933" s="85">
        <v>0</v>
      </c>
      <c r="BA933" s="85">
        <v>0</v>
      </c>
      <c r="BB933" s="89">
        <v>0</v>
      </c>
      <c r="BC933" s="89">
        <v>67.637</v>
      </c>
      <c r="BD933" s="37">
        <v>0</v>
      </c>
      <c r="BE933" s="37">
        <v>0</v>
      </c>
      <c r="BF933" s="279">
        <v>1122</v>
      </c>
      <c r="BG933" s="37">
        <v>12000</v>
      </c>
      <c r="BH933" s="37">
        <v>7570</v>
      </c>
      <c r="BI933" s="37">
        <v>0</v>
      </c>
      <c r="BJ933" s="283">
        <v>20692</v>
      </c>
      <c r="BK933" s="161"/>
      <c r="BL933" s="294"/>
      <c r="BM933"/>
      <c r="BN933"/>
      <c r="BO933"/>
      <c r="BP933"/>
      <c r="BQ933"/>
      <c r="BR933"/>
      <c r="BS933"/>
      <c r="BT933"/>
      <c r="BU933"/>
      <c r="BV933"/>
      <c r="BW933"/>
      <c r="BX933"/>
      <c r="BY933"/>
      <c r="BZ933"/>
      <c r="CA933"/>
      <c r="CB933"/>
      <c r="CC933"/>
      <c r="CD933"/>
      <c r="CE933"/>
      <c r="CF933"/>
      <c r="CG933"/>
      <c r="CH933"/>
      <c r="CI933"/>
      <c r="CJ933"/>
    </row>
    <row r="934" spans="1:88" s="32" customFormat="1" ht="15" customHeight="1" x14ac:dyDescent="0.35">
      <c r="A934" s="473"/>
      <c r="B934" s="313">
        <v>17005</v>
      </c>
      <c r="C934" s="8" t="s">
        <v>90</v>
      </c>
      <c r="D934" s="18">
        <v>12</v>
      </c>
      <c r="E934" s="251"/>
      <c r="F934" s="82"/>
      <c r="G934" s="79"/>
      <c r="H934" s="90"/>
      <c r="I934" s="85"/>
      <c r="J934" s="85"/>
      <c r="K934" s="85"/>
      <c r="L934" s="85"/>
      <c r="M934" s="85"/>
      <c r="N934" s="85"/>
      <c r="O934" s="85"/>
      <c r="P934" s="85"/>
      <c r="Q934" s="85"/>
      <c r="R934" s="85"/>
      <c r="S934" s="89"/>
      <c r="T934" s="89" t="s">
        <v>1124</v>
      </c>
      <c r="U934" s="85"/>
      <c r="V934" s="85"/>
      <c r="W934" s="85"/>
      <c r="X934" s="89" t="s">
        <v>1124</v>
      </c>
      <c r="Y934" s="79"/>
      <c r="Z934" s="79"/>
      <c r="AA934" s="94"/>
      <c r="AB934" s="79" t="s">
        <v>1124</v>
      </c>
      <c r="AC934" s="85"/>
      <c r="AD934" s="85"/>
      <c r="AE934" s="85"/>
      <c r="AF934" s="85"/>
      <c r="AG934" s="85" t="s">
        <v>1124</v>
      </c>
      <c r="AH934" s="85"/>
      <c r="AI934" s="85"/>
      <c r="AJ934" s="85"/>
      <c r="AK934" s="85"/>
      <c r="AL934" s="85"/>
      <c r="AM934" s="85"/>
      <c r="AN934" s="85"/>
      <c r="AO934" s="85"/>
      <c r="AP934" s="85"/>
      <c r="AQ934" s="85"/>
      <c r="AR934" s="85" t="s">
        <v>1124</v>
      </c>
      <c r="AS934" s="85"/>
      <c r="AT934" s="85"/>
      <c r="AU934" s="85"/>
      <c r="AV934" s="85"/>
      <c r="AW934" s="85"/>
      <c r="AX934" s="85"/>
      <c r="AY934" s="85"/>
      <c r="AZ934" s="85"/>
      <c r="BA934" s="85"/>
      <c r="BB934" s="89"/>
      <c r="BC934" s="89" t="s">
        <v>1124</v>
      </c>
      <c r="BD934" s="37"/>
      <c r="BE934" s="37"/>
      <c r="BF934" s="279"/>
      <c r="BG934" s="37"/>
      <c r="BH934" s="37"/>
      <c r="BI934" s="37"/>
      <c r="BJ934" s="283"/>
      <c r="BK934" s="161"/>
      <c r="BL934" s="294"/>
      <c r="BM934"/>
      <c r="BN934"/>
      <c r="BO934"/>
      <c r="BP934"/>
      <c r="BQ934"/>
      <c r="BR934"/>
      <c r="BS934"/>
      <c r="BT934"/>
      <c r="BU934"/>
      <c r="BV934"/>
      <c r="BW934"/>
      <c r="BX934"/>
      <c r="BY934"/>
      <c r="BZ934"/>
      <c r="CA934"/>
      <c r="CB934"/>
      <c r="CC934"/>
      <c r="CD934"/>
      <c r="CE934"/>
      <c r="CF934"/>
      <c r="CG934"/>
      <c r="CH934"/>
      <c r="CI934"/>
      <c r="CJ934"/>
    </row>
    <row r="935" spans="1:88" s="32" customFormat="1" ht="15" customHeight="1" x14ac:dyDescent="0.35">
      <c r="A935" s="473"/>
      <c r="B935" s="313">
        <v>14080</v>
      </c>
      <c r="C935" s="8" t="s">
        <v>74</v>
      </c>
      <c r="D935" s="18">
        <v>1</v>
      </c>
      <c r="E935" s="251"/>
      <c r="F935" s="82"/>
      <c r="G935" s="79"/>
      <c r="H935" s="90"/>
      <c r="I935" s="85"/>
      <c r="J935" s="85"/>
      <c r="K935" s="85"/>
      <c r="L935" s="85"/>
      <c r="M935" s="85"/>
      <c r="N935" s="85"/>
      <c r="O935" s="85"/>
      <c r="P935" s="85"/>
      <c r="Q935" s="85"/>
      <c r="R935" s="85"/>
      <c r="S935" s="89"/>
      <c r="T935" s="89" t="s">
        <v>1124</v>
      </c>
      <c r="U935" s="85"/>
      <c r="V935" s="85"/>
      <c r="W935" s="85"/>
      <c r="X935" s="89" t="s">
        <v>1124</v>
      </c>
      <c r="Y935" s="79"/>
      <c r="Z935" s="79"/>
      <c r="AA935" s="94"/>
      <c r="AB935" s="79" t="s">
        <v>1124</v>
      </c>
      <c r="AC935" s="85"/>
      <c r="AD935" s="85"/>
      <c r="AE935" s="85"/>
      <c r="AF935" s="85"/>
      <c r="AG935" s="85" t="s">
        <v>1124</v>
      </c>
      <c r="AH935" s="85"/>
      <c r="AI935" s="85"/>
      <c r="AJ935" s="85"/>
      <c r="AK935" s="85"/>
      <c r="AL935" s="85"/>
      <c r="AM935" s="85"/>
      <c r="AN935" s="85"/>
      <c r="AO935" s="85"/>
      <c r="AP935" s="85"/>
      <c r="AQ935" s="85"/>
      <c r="AR935" s="85" t="s">
        <v>1124</v>
      </c>
      <c r="AS935" s="85"/>
      <c r="AT935" s="85"/>
      <c r="AU935" s="85"/>
      <c r="AV935" s="85"/>
      <c r="AW935" s="85"/>
      <c r="AX935" s="85"/>
      <c r="AY935" s="85"/>
      <c r="AZ935" s="85"/>
      <c r="BA935" s="85"/>
      <c r="BB935" s="89"/>
      <c r="BC935" s="89" t="s">
        <v>1124</v>
      </c>
      <c r="BD935" s="37"/>
      <c r="BE935" s="37"/>
      <c r="BF935" s="279"/>
      <c r="BG935" s="37"/>
      <c r="BH935" s="37"/>
      <c r="BI935" s="37"/>
      <c r="BJ935" s="283"/>
      <c r="BK935" s="161"/>
      <c r="BL935" s="294"/>
      <c r="BM935"/>
      <c r="BN935"/>
      <c r="BO935"/>
      <c r="BP935"/>
      <c r="BQ935"/>
      <c r="BR935"/>
      <c r="BS935"/>
      <c r="BT935"/>
      <c r="BU935"/>
      <c r="BV935"/>
      <c r="BW935"/>
      <c r="BX935"/>
      <c r="BY935"/>
      <c r="BZ935"/>
      <c r="CA935"/>
      <c r="CB935"/>
      <c r="CC935"/>
      <c r="CD935"/>
      <c r="CE935"/>
      <c r="CF935"/>
      <c r="CG935"/>
      <c r="CH935"/>
      <c r="CI935"/>
      <c r="CJ935"/>
    </row>
    <row r="936" spans="1:88" s="32" customFormat="1" ht="15" customHeight="1" x14ac:dyDescent="0.35">
      <c r="A936" s="473"/>
      <c r="B936" s="313">
        <v>53032</v>
      </c>
      <c r="C936" s="8" t="s">
        <v>535</v>
      </c>
      <c r="D936" s="18">
        <v>16</v>
      </c>
      <c r="E936" s="251"/>
      <c r="F936" s="82"/>
      <c r="G936" s="79"/>
      <c r="H936" s="90"/>
      <c r="I936" s="85"/>
      <c r="J936" s="85"/>
      <c r="K936" s="85"/>
      <c r="L936" s="85"/>
      <c r="M936" s="85"/>
      <c r="N936" s="85"/>
      <c r="O936" s="85"/>
      <c r="P936" s="85"/>
      <c r="Q936" s="85"/>
      <c r="R936" s="85"/>
      <c r="S936" s="89"/>
      <c r="T936" s="89" t="s">
        <v>1124</v>
      </c>
      <c r="U936" s="85"/>
      <c r="V936" s="85"/>
      <c r="W936" s="85"/>
      <c r="X936" s="89" t="s">
        <v>1124</v>
      </c>
      <c r="Y936" s="79"/>
      <c r="Z936" s="79"/>
      <c r="AA936" s="94"/>
      <c r="AB936" s="79" t="s">
        <v>1124</v>
      </c>
      <c r="AC936" s="85"/>
      <c r="AD936" s="85"/>
      <c r="AE936" s="85"/>
      <c r="AF936" s="85"/>
      <c r="AG936" s="85" t="s">
        <v>1124</v>
      </c>
      <c r="AH936" s="85"/>
      <c r="AI936" s="85"/>
      <c r="AJ936" s="85"/>
      <c r="AK936" s="85"/>
      <c r="AL936" s="85"/>
      <c r="AM936" s="85"/>
      <c r="AN936" s="85"/>
      <c r="AO936" s="85"/>
      <c r="AP936" s="85"/>
      <c r="AQ936" s="85"/>
      <c r="AR936" s="85" t="s">
        <v>1124</v>
      </c>
      <c r="AS936" s="85"/>
      <c r="AT936" s="85"/>
      <c r="AU936" s="85"/>
      <c r="AV936" s="85"/>
      <c r="AW936" s="85"/>
      <c r="AX936" s="85"/>
      <c r="AY936" s="85"/>
      <c r="AZ936" s="85"/>
      <c r="BA936" s="85"/>
      <c r="BB936" s="89"/>
      <c r="BC936" s="89" t="s">
        <v>1124</v>
      </c>
      <c r="BD936" s="37"/>
      <c r="BE936" s="37"/>
      <c r="BF936" s="279"/>
      <c r="BG936" s="37"/>
      <c r="BH936" s="37"/>
      <c r="BI936" s="37"/>
      <c r="BJ936" s="283"/>
      <c r="BK936" s="161"/>
      <c r="BL936" s="294"/>
      <c r="BM936"/>
      <c r="BN936"/>
      <c r="BO936"/>
      <c r="BP936"/>
      <c r="BQ936"/>
      <c r="BR936"/>
      <c r="BS936"/>
      <c r="BT936"/>
      <c r="BU936"/>
      <c r="BV936"/>
      <c r="BW936"/>
      <c r="BX936"/>
      <c r="BY936"/>
      <c r="BZ936"/>
      <c r="CA936"/>
      <c r="CB936"/>
      <c r="CC936"/>
      <c r="CD936"/>
      <c r="CE936"/>
      <c r="CF936"/>
      <c r="CG936"/>
      <c r="CH936"/>
      <c r="CI936"/>
      <c r="CJ936"/>
    </row>
    <row r="937" spans="1:88" s="32" customFormat="1" ht="15" customHeight="1" x14ac:dyDescent="0.35">
      <c r="A937" s="473"/>
      <c r="B937" s="313">
        <v>14070</v>
      </c>
      <c r="C937" s="8" t="s">
        <v>72</v>
      </c>
      <c r="D937" s="18">
        <v>1</v>
      </c>
      <c r="E937" s="251">
        <v>591</v>
      </c>
      <c r="F937" s="82">
        <v>2.050198150594452</v>
      </c>
      <c r="G937" s="79">
        <v>1211.667107001321</v>
      </c>
      <c r="H937" s="90">
        <v>8.1829999999999998</v>
      </c>
      <c r="I937" s="85">
        <v>7.4119999999999999</v>
      </c>
      <c r="J937" s="85">
        <v>8.2590000000000003</v>
      </c>
      <c r="K937" s="85">
        <v>8.0210000000000008</v>
      </c>
      <c r="L937" s="85">
        <v>9.1560000000000006</v>
      </c>
      <c r="M937" s="85">
        <v>10.093</v>
      </c>
      <c r="N937" s="85">
        <v>11.739000000000001</v>
      </c>
      <c r="O937" s="85">
        <v>10.757</v>
      </c>
      <c r="P937" s="85">
        <v>8.7240000000000002</v>
      </c>
      <c r="Q937" s="85">
        <v>8.6780000000000008</v>
      </c>
      <c r="R937" s="85">
        <v>7.7430000000000003</v>
      </c>
      <c r="S937" s="89">
        <v>8.1059999999999999</v>
      </c>
      <c r="T937" s="89">
        <v>106.871</v>
      </c>
      <c r="U937" s="85">
        <v>0</v>
      </c>
      <c r="V937" s="85">
        <v>106.871</v>
      </c>
      <c r="W937" s="85">
        <v>0</v>
      </c>
      <c r="X937" s="89">
        <v>106.871</v>
      </c>
      <c r="Y937" s="79">
        <v>0</v>
      </c>
      <c r="Z937" s="79">
        <v>2</v>
      </c>
      <c r="AA937" s="94">
        <v>0</v>
      </c>
      <c r="AB937" s="79">
        <v>2</v>
      </c>
      <c r="AC937" s="85">
        <v>65.834999999999994</v>
      </c>
      <c r="AD937" s="85">
        <v>4.9450000000000003</v>
      </c>
      <c r="AE937" s="85">
        <v>36.091000000000001</v>
      </c>
      <c r="AF937" s="85">
        <v>0</v>
      </c>
      <c r="AG937" s="85">
        <v>106.87100000000001</v>
      </c>
      <c r="AH937" s="85">
        <v>0</v>
      </c>
      <c r="AI937" s="85">
        <v>0</v>
      </c>
      <c r="AJ937" s="85">
        <v>0</v>
      </c>
      <c r="AK937" s="85">
        <v>0</v>
      </c>
      <c r="AL937" s="85">
        <v>0</v>
      </c>
      <c r="AM937" s="85">
        <v>0</v>
      </c>
      <c r="AN937" s="85">
        <v>0</v>
      </c>
      <c r="AO937" s="85">
        <v>0</v>
      </c>
      <c r="AP937" s="85">
        <v>0</v>
      </c>
      <c r="AQ937" s="85">
        <v>0</v>
      </c>
      <c r="AR937" s="85">
        <v>0</v>
      </c>
      <c r="AS937" s="85">
        <v>0</v>
      </c>
      <c r="AT937" s="85">
        <v>0</v>
      </c>
      <c r="AU937" s="85">
        <v>0</v>
      </c>
      <c r="AV937" s="85">
        <v>0</v>
      </c>
      <c r="AW937" s="85">
        <v>0</v>
      </c>
      <c r="AX937" s="85">
        <v>0</v>
      </c>
      <c r="AY937" s="85">
        <v>13.593999999999999</v>
      </c>
      <c r="AZ937" s="85">
        <v>93.277000000000001</v>
      </c>
      <c r="BA937" s="85">
        <v>0</v>
      </c>
      <c r="BB937" s="89">
        <v>0</v>
      </c>
      <c r="BC937" s="89">
        <v>106.871</v>
      </c>
      <c r="BD937" s="37">
        <v>0</v>
      </c>
      <c r="BE937" s="37">
        <v>0</v>
      </c>
      <c r="BF937" s="279">
        <v>6088</v>
      </c>
      <c r="BG937" s="37">
        <v>12959</v>
      </c>
      <c r="BH937" s="37">
        <v>5654</v>
      </c>
      <c r="BI937" s="37">
        <v>7262</v>
      </c>
      <c r="BJ937" s="283">
        <v>31963</v>
      </c>
      <c r="BK937" s="161"/>
      <c r="BL937" s="294"/>
      <c r="BM937"/>
      <c r="BN937"/>
      <c r="BO937"/>
      <c r="BP937"/>
      <c r="BQ937"/>
      <c r="BR937"/>
      <c r="BS937"/>
      <c r="BT937"/>
      <c r="BU937"/>
      <c r="BV937"/>
      <c r="BW937"/>
      <c r="BX937"/>
      <c r="BY937"/>
      <c r="BZ937"/>
      <c r="CA937"/>
      <c r="CB937"/>
      <c r="CC937"/>
      <c r="CD937"/>
      <c r="CE937"/>
      <c r="CF937"/>
      <c r="CG937"/>
      <c r="CH937"/>
      <c r="CI937"/>
      <c r="CJ937"/>
    </row>
    <row r="938" spans="1:88" s="32" customFormat="1" ht="15" customHeight="1" x14ac:dyDescent="0.35">
      <c r="A938" s="473"/>
      <c r="B938" s="313">
        <v>17010</v>
      </c>
      <c r="C938" s="8" t="s">
        <v>91</v>
      </c>
      <c r="D938" s="18">
        <v>12</v>
      </c>
      <c r="E938" s="251">
        <v>648</v>
      </c>
      <c r="F938" s="82">
        <v>2.0791304347826087</v>
      </c>
      <c r="G938" s="79">
        <v>1347.2765217391304</v>
      </c>
      <c r="H938" s="90">
        <v>18.632000000000001</v>
      </c>
      <c r="I938" s="85">
        <v>17.332000000000001</v>
      </c>
      <c r="J938" s="85">
        <v>23.038</v>
      </c>
      <c r="K938" s="85">
        <v>22.591999999999999</v>
      </c>
      <c r="L938" s="85">
        <v>20.193000000000001</v>
      </c>
      <c r="M938" s="85">
        <v>19.738</v>
      </c>
      <c r="N938" s="85">
        <v>19.648</v>
      </c>
      <c r="O938" s="85">
        <v>19.129000000000001</v>
      </c>
      <c r="P938" s="85">
        <v>16.407</v>
      </c>
      <c r="Q938" s="85">
        <v>18.015999999999998</v>
      </c>
      <c r="R938" s="85">
        <v>16.295999999999999</v>
      </c>
      <c r="S938" s="89">
        <v>20.052</v>
      </c>
      <c r="T938" s="89">
        <v>231.07299999999998</v>
      </c>
      <c r="U938" s="85">
        <v>0</v>
      </c>
      <c r="V938" s="85">
        <v>210.49199999999999</v>
      </c>
      <c r="W938" s="85">
        <v>20.581</v>
      </c>
      <c r="X938" s="89">
        <v>231.07299999999998</v>
      </c>
      <c r="Y938" s="79">
        <v>0</v>
      </c>
      <c r="Z938" s="79">
        <v>6</v>
      </c>
      <c r="AA938" s="94">
        <v>1</v>
      </c>
      <c r="AB938" s="79">
        <v>7</v>
      </c>
      <c r="AC938" s="85">
        <v>103.7608</v>
      </c>
      <c r="AD938" s="85">
        <v>68.807688026315759</v>
      </c>
      <c r="AE938" s="85">
        <v>58.504511973684224</v>
      </c>
      <c r="AF938" s="85">
        <v>0</v>
      </c>
      <c r="AG938" s="85">
        <v>231.07300000000001</v>
      </c>
      <c r="AH938" s="85">
        <v>0</v>
      </c>
      <c r="AI938" s="85">
        <v>0</v>
      </c>
      <c r="AJ938" s="85">
        <v>0</v>
      </c>
      <c r="AK938" s="85">
        <v>0</v>
      </c>
      <c r="AL938" s="85">
        <v>0</v>
      </c>
      <c r="AM938" s="85">
        <v>0</v>
      </c>
      <c r="AN938" s="85">
        <v>0</v>
      </c>
      <c r="AO938" s="85">
        <v>0</v>
      </c>
      <c r="AP938" s="85">
        <v>0</v>
      </c>
      <c r="AQ938" s="85">
        <v>0</v>
      </c>
      <c r="AR938" s="85">
        <v>0</v>
      </c>
      <c r="AS938" s="85">
        <v>0</v>
      </c>
      <c r="AT938" s="85">
        <v>0</v>
      </c>
      <c r="AU938" s="85">
        <v>0</v>
      </c>
      <c r="AV938" s="85">
        <v>0</v>
      </c>
      <c r="AW938" s="85">
        <v>0</v>
      </c>
      <c r="AX938" s="85">
        <v>0</v>
      </c>
      <c r="AY938" s="85">
        <v>231.07300000000001</v>
      </c>
      <c r="AZ938" s="85">
        <v>0</v>
      </c>
      <c r="BA938" s="85">
        <v>0</v>
      </c>
      <c r="BB938" s="89">
        <v>0</v>
      </c>
      <c r="BC938" s="89">
        <v>231.07300000000001</v>
      </c>
      <c r="BD938" s="37">
        <v>0</v>
      </c>
      <c r="BE938" s="37">
        <v>0</v>
      </c>
      <c r="BF938" s="279">
        <v>39000</v>
      </c>
      <c r="BG938" s="37">
        <v>65000</v>
      </c>
      <c r="BH938" s="37">
        <v>51000</v>
      </c>
      <c r="BI938" s="37">
        <v>35000</v>
      </c>
      <c r="BJ938" s="283">
        <v>190000</v>
      </c>
      <c r="BK938" s="161"/>
      <c r="BL938" s="294"/>
      <c r="BM938"/>
      <c r="BN938"/>
      <c r="BO938"/>
      <c r="BP938"/>
      <c r="BQ938"/>
      <c r="BR938"/>
      <c r="BS938"/>
      <c r="BT938"/>
      <c r="BU938"/>
      <c r="BV938"/>
      <c r="BW938"/>
      <c r="BX938"/>
      <c r="BY938"/>
      <c r="BZ938"/>
      <c r="CA938"/>
      <c r="CB938"/>
      <c r="CC938"/>
      <c r="CD938"/>
      <c r="CE938"/>
      <c r="CF938"/>
      <c r="CG938"/>
      <c r="CH938"/>
      <c r="CI938"/>
      <c r="CJ938"/>
    </row>
    <row r="939" spans="1:88" s="32" customFormat="1" ht="15" customHeight="1" x14ac:dyDescent="0.35">
      <c r="A939" s="473"/>
      <c r="B939" s="313">
        <v>14018</v>
      </c>
      <c r="C939" s="8" t="s">
        <v>62</v>
      </c>
      <c r="D939" s="18">
        <v>1</v>
      </c>
      <c r="E939" s="251">
        <v>1310</v>
      </c>
      <c r="F939" s="82">
        <v>2.1246958637469588</v>
      </c>
      <c r="G939" s="79">
        <v>2783.3515815085161</v>
      </c>
      <c r="H939" s="90">
        <v>39.109000000000002</v>
      </c>
      <c r="I939" s="85">
        <v>39.295000000000002</v>
      </c>
      <c r="J939" s="85">
        <v>48.530999999999999</v>
      </c>
      <c r="K939" s="85">
        <v>38.468000000000004</v>
      </c>
      <c r="L939" s="85">
        <v>43.164999999999999</v>
      </c>
      <c r="M939" s="85">
        <v>43.368000000000002</v>
      </c>
      <c r="N939" s="85">
        <v>49.472000000000001</v>
      </c>
      <c r="O939" s="85">
        <v>43.45</v>
      </c>
      <c r="P939" s="85">
        <v>33.630000000000003</v>
      </c>
      <c r="Q939" s="85">
        <v>25.605</v>
      </c>
      <c r="R939" s="85">
        <v>33.869</v>
      </c>
      <c r="S939" s="89">
        <v>30.815999999999999</v>
      </c>
      <c r="T939" s="89">
        <v>468.77799999999996</v>
      </c>
      <c r="U939" s="85">
        <v>468.77799999999996</v>
      </c>
      <c r="V939" s="85">
        <v>0</v>
      </c>
      <c r="W939" s="85">
        <v>0</v>
      </c>
      <c r="X939" s="89">
        <v>468.77799999999996</v>
      </c>
      <c r="Y939" s="79">
        <v>1</v>
      </c>
      <c r="Z939" s="79">
        <v>0</v>
      </c>
      <c r="AA939" s="94">
        <v>0</v>
      </c>
      <c r="AB939" s="79">
        <v>1</v>
      </c>
      <c r="AC939" s="85">
        <v>262.07893830703017</v>
      </c>
      <c r="AD939" s="85">
        <v>115.95254261133711</v>
      </c>
      <c r="AE939" s="85">
        <v>90.746519081632684</v>
      </c>
      <c r="AF939" s="85">
        <v>0</v>
      </c>
      <c r="AG939" s="85">
        <v>468.77799999999996</v>
      </c>
      <c r="AH939" s="85">
        <v>0</v>
      </c>
      <c r="AI939" s="85">
        <v>468.77799999999996</v>
      </c>
      <c r="AJ939" s="85">
        <v>0</v>
      </c>
      <c r="AK939" s="85">
        <v>0</v>
      </c>
      <c r="AL939" s="85">
        <v>0</v>
      </c>
      <c r="AM939" s="85">
        <v>0</v>
      </c>
      <c r="AN939" s="85">
        <v>0</v>
      </c>
      <c r="AO939" s="85">
        <v>0</v>
      </c>
      <c r="AP939" s="85">
        <v>0</v>
      </c>
      <c r="AQ939" s="85">
        <v>0</v>
      </c>
      <c r="AR939" s="85">
        <v>468.77799999999996</v>
      </c>
      <c r="AS939" s="85">
        <v>0</v>
      </c>
      <c r="AT939" s="85">
        <v>0</v>
      </c>
      <c r="AU939" s="85">
        <v>0</v>
      </c>
      <c r="AV939" s="85">
        <v>0</v>
      </c>
      <c r="AW939" s="85">
        <v>0</v>
      </c>
      <c r="AX939" s="85">
        <v>0</v>
      </c>
      <c r="AY939" s="85">
        <v>0</v>
      </c>
      <c r="AZ939" s="85">
        <v>0</v>
      </c>
      <c r="BA939" s="85">
        <v>0</v>
      </c>
      <c r="BB939" s="89">
        <v>0</v>
      </c>
      <c r="BC939" s="89">
        <v>0</v>
      </c>
      <c r="BD939" s="37">
        <v>0</v>
      </c>
      <c r="BE939" s="37">
        <v>0</v>
      </c>
      <c r="BF939" s="279">
        <v>110067</v>
      </c>
      <c r="BG939" s="37">
        <v>107822</v>
      </c>
      <c r="BH939" s="37">
        <v>41702</v>
      </c>
      <c r="BI939" s="37">
        <v>79607</v>
      </c>
      <c r="BJ939" s="283">
        <v>339198</v>
      </c>
      <c r="BK939" s="161"/>
      <c r="BL939" s="294"/>
      <c r="BM939"/>
      <c r="BN939"/>
      <c r="BO939"/>
      <c r="BP939"/>
      <c r="BQ939"/>
      <c r="BR939"/>
      <c r="BS939"/>
      <c r="BT939"/>
      <c r="BU939"/>
      <c r="BV939"/>
      <c r="BW939"/>
      <c r="BX939"/>
      <c r="BY939"/>
      <c r="BZ939"/>
      <c r="CA939"/>
      <c r="CB939"/>
      <c r="CC939"/>
      <c r="CD939"/>
      <c r="CE939"/>
      <c r="CF939"/>
      <c r="CG939"/>
      <c r="CH939"/>
      <c r="CI939"/>
      <c r="CJ939"/>
    </row>
    <row r="940" spans="1:88" s="32" customFormat="1" ht="15" customHeight="1" x14ac:dyDescent="0.35">
      <c r="A940" s="473"/>
      <c r="B940" s="313">
        <v>33025</v>
      </c>
      <c r="C940" s="8" t="s">
        <v>269</v>
      </c>
      <c r="D940" s="18">
        <v>12</v>
      </c>
      <c r="E940" s="251">
        <v>268</v>
      </c>
      <c r="F940" s="82">
        <v>2.2927350427350426</v>
      </c>
      <c r="G940" s="79">
        <v>614.45299145299145</v>
      </c>
      <c r="H940" s="90">
        <v>6.1909999999999998</v>
      </c>
      <c r="I940" s="85">
        <v>5.6989999999999998</v>
      </c>
      <c r="J940" s="85">
        <v>5.8860000000000001</v>
      </c>
      <c r="K940" s="85">
        <v>5.7670000000000003</v>
      </c>
      <c r="L940" s="85">
        <v>6.3070000000000004</v>
      </c>
      <c r="M940" s="85">
        <v>7.0229999999999997</v>
      </c>
      <c r="N940" s="85">
        <v>7.1760000000000002</v>
      </c>
      <c r="O940" s="85">
        <v>6.6260000000000003</v>
      </c>
      <c r="P940" s="85">
        <v>5.8049999999999997</v>
      </c>
      <c r="Q940" s="85">
        <v>6.5750000000000002</v>
      </c>
      <c r="R940" s="85">
        <v>5.5970000000000004</v>
      </c>
      <c r="S940" s="89">
        <v>5.8150000000000004</v>
      </c>
      <c r="T940" s="89">
        <v>74.466999999999999</v>
      </c>
      <c r="U940" s="85">
        <v>0</v>
      </c>
      <c r="V940" s="85">
        <v>74.466999999999999</v>
      </c>
      <c r="W940" s="85">
        <v>0</v>
      </c>
      <c r="X940" s="89">
        <v>74.466999999999999</v>
      </c>
      <c r="Y940" s="79">
        <v>0</v>
      </c>
      <c r="Z940" s="79">
        <v>1</v>
      </c>
      <c r="AA940" s="94">
        <v>0</v>
      </c>
      <c r="AB940" s="79">
        <v>1</v>
      </c>
      <c r="AC940" s="85">
        <v>51.930716723549487</v>
      </c>
      <c r="AD940" s="85">
        <v>7.1098541437974347</v>
      </c>
      <c r="AE940" s="85">
        <v>15.426429132653071</v>
      </c>
      <c r="AF940" s="85">
        <v>0</v>
      </c>
      <c r="AG940" s="85">
        <v>74.466999999999999</v>
      </c>
      <c r="AH940" s="85">
        <v>0</v>
      </c>
      <c r="AI940" s="85">
        <v>0</v>
      </c>
      <c r="AJ940" s="85">
        <v>0</v>
      </c>
      <c r="AK940" s="85">
        <v>0</v>
      </c>
      <c r="AL940" s="85">
        <v>0</v>
      </c>
      <c r="AM940" s="85">
        <v>0</v>
      </c>
      <c r="AN940" s="85">
        <v>0</v>
      </c>
      <c r="AO940" s="85">
        <v>0</v>
      </c>
      <c r="AP940" s="85">
        <v>0</v>
      </c>
      <c r="AQ940" s="85">
        <v>0</v>
      </c>
      <c r="AR940" s="85">
        <v>0</v>
      </c>
      <c r="AS940" s="85">
        <v>74.466999999999999</v>
      </c>
      <c r="AT940" s="85">
        <v>0</v>
      </c>
      <c r="AU940" s="85">
        <v>0</v>
      </c>
      <c r="AV940" s="85">
        <v>0</v>
      </c>
      <c r="AW940" s="85">
        <v>0</v>
      </c>
      <c r="AX940" s="85">
        <v>0</v>
      </c>
      <c r="AY940" s="85">
        <v>0</v>
      </c>
      <c r="AZ940" s="85">
        <v>0</v>
      </c>
      <c r="BA940" s="85">
        <v>0</v>
      </c>
      <c r="BB940" s="89">
        <v>0</v>
      </c>
      <c r="BC940" s="89">
        <v>74.466999999999999</v>
      </c>
      <c r="BD940" s="37">
        <v>0</v>
      </c>
      <c r="BE940" s="37">
        <v>0</v>
      </c>
      <c r="BF940" s="279">
        <v>12259</v>
      </c>
      <c r="BG940" s="37">
        <v>13314</v>
      </c>
      <c r="BH940" s="37">
        <v>21536</v>
      </c>
      <c r="BI940" s="37">
        <v>0</v>
      </c>
      <c r="BJ940" s="283">
        <v>47109</v>
      </c>
      <c r="BK940" s="161" t="s">
        <v>3325</v>
      </c>
      <c r="BL940" s="294"/>
      <c r="BM940"/>
      <c r="BN940"/>
      <c r="BO940"/>
      <c r="BP940"/>
      <c r="BQ940"/>
      <c r="BR940"/>
      <c r="BS940"/>
      <c r="BT940"/>
      <c r="BU940"/>
      <c r="BV940"/>
      <c r="BW940"/>
      <c r="BX940"/>
      <c r="BY940"/>
      <c r="BZ940"/>
      <c r="CA940"/>
      <c r="CB940"/>
      <c r="CC940"/>
      <c r="CD940"/>
      <c r="CE940"/>
      <c r="CF940"/>
      <c r="CG940"/>
      <c r="CH940"/>
      <c r="CI940"/>
      <c r="CJ940"/>
    </row>
    <row r="941" spans="1:88" s="32" customFormat="1" ht="15" customHeight="1" x14ac:dyDescent="0.35">
      <c r="A941" s="473"/>
      <c r="B941" s="313">
        <v>68025</v>
      </c>
      <c r="C941" s="8" t="s">
        <v>677</v>
      </c>
      <c r="D941" s="18">
        <v>16</v>
      </c>
      <c r="E941" s="251"/>
      <c r="F941" s="82"/>
      <c r="G941" s="79"/>
      <c r="H941" s="90"/>
      <c r="I941" s="85"/>
      <c r="J941" s="85"/>
      <c r="K941" s="85"/>
      <c r="L941" s="85"/>
      <c r="M941" s="85"/>
      <c r="N941" s="85"/>
      <c r="O941" s="85"/>
      <c r="P941" s="85"/>
      <c r="Q941" s="85"/>
      <c r="R941" s="85"/>
      <c r="S941" s="89"/>
      <c r="T941" s="89" t="s">
        <v>1124</v>
      </c>
      <c r="U941" s="85"/>
      <c r="V941" s="85"/>
      <c r="W941" s="85"/>
      <c r="X941" s="89" t="s">
        <v>1124</v>
      </c>
      <c r="Y941" s="79"/>
      <c r="Z941" s="79"/>
      <c r="AA941" s="94"/>
      <c r="AB941" s="79" t="s">
        <v>1124</v>
      </c>
      <c r="AC941" s="85"/>
      <c r="AD941" s="85"/>
      <c r="AE941" s="85"/>
      <c r="AF941" s="85"/>
      <c r="AG941" s="85" t="s">
        <v>1124</v>
      </c>
      <c r="AH941" s="85"/>
      <c r="AI941" s="85"/>
      <c r="AJ941" s="85"/>
      <c r="AK941" s="85"/>
      <c r="AL941" s="85"/>
      <c r="AM941" s="85"/>
      <c r="AN941" s="85"/>
      <c r="AO941" s="85"/>
      <c r="AP941" s="85"/>
      <c r="AQ941" s="85"/>
      <c r="AR941" s="85" t="s">
        <v>1124</v>
      </c>
      <c r="AS941" s="85"/>
      <c r="AT941" s="85"/>
      <c r="AU941" s="85"/>
      <c r="AV941" s="85"/>
      <c r="AW941" s="85"/>
      <c r="AX941" s="85"/>
      <c r="AY941" s="85"/>
      <c r="AZ941" s="85"/>
      <c r="BA941" s="85"/>
      <c r="BB941" s="89"/>
      <c r="BC941" s="89" t="s">
        <v>1124</v>
      </c>
      <c r="BD941" s="37"/>
      <c r="BE941" s="37"/>
      <c r="BF941" s="279"/>
      <c r="BG941" s="37"/>
      <c r="BH941" s="37"/>
      <c r="BI941" s="37"/>
      <c r="BJ941" s="283"/>
      <c r="BK941" s="161"/>
      <c r="BL941" s="294"/>
      <c r="BM941"/>
      <c r="BN941"/>
      <c r="BO941"/>
      <c r="BP941"/>
      <c r="BQ941"/>
      <c r="BR941"/>
      <c r="BS941"/>
      <c r="BT941"/>
      <c r="BU941"/>
      <c r="BV941"/>
      <c r="BW941"/>
      <c r="BX941"/>
      <c r="BY941"/>
      <c r="BZ941"/>
      <c r="CA941"/>
      <c r="CB941"/>
      <c r="CC941"/>
      <c r="CD941"/>
      <c r="CE941"/>
      <c r="CF941"/>
      <c r="CG941"/>
      <c r="CH941"/>
      <c r="CI941"/>
      <c r="CJ941"/>
    </row>
    <row r="942" spans="1:88" s="32" customFormat="1" ht="15" customHeight="1" x14ac:dyDescent="0.35">
      <c r="A942" s="473"/>
      <c r="B942" s="313">
        <v>61005</v>
      </c>
      <c r="C942" s="8" t="s">
        <v>609</v>
      </c>
      <c r="D942" s="18">
        <v>14</v>
      </c>
      <c r="E942" s="251"/>
      <c r="F942" s="82"/>
      <c r="G942" s="79"/>
      <c r="H942" s="90"/>
      <c r="I942" s="85"/>
      <c r="J942" s="85"/>
      <c r="K942" s="85"/>
      <c r="L942" s="85"/>
      <c r="M942" s="85"/>
      <c r="N942" s="85"/>
      <c r="O942" s="85"/>
      <c r="P942" s="85"/>
      <c r="Q942" s="85"/>
      <c r="R942" s="85"/>
      <c r="S942" s="89"/>
      <c r="T942" s="89" t="s">
        <v>1124</v>
      </c>
      <c r="U942" s="85"/>
      <c r="V942" s="85"/>
      <c r="W942" s="85"/>
      <c r="X942" s="89" t="s">
        <v>1124</v>
      </c>
      <c r="Y942" s="79"/>
      <c r="Z942" s="79"/>
      <c r="AA942" s="94"/>
      <c r="AB942" s="79" t="s">
        <v>1124</v>
      </c>
      <c r="AC942" s="85"/>
      <c r="AD942" s="85"/>
      <c r="AE942" s="85"/>
      <c r="AF942" s="85"/>
      <c r="AG942" s="85" t="s">
        <v>1124</v>
      </c>
      <c r="AH942" s="85"/>
      <c r="AI942" s="85"/>
      <c r="AJ942" s="85"/>
      <c r="AK942" s="85"/>
      <c r="AL942" s="85"/>
      <c r="AM942" s="85"/>
      <c r="AN942" s="85"/>
      <c r="AO942" s="85"/>
      <c r="AP942" s="85"/>
      <c r="AQ942" s="85"/>
      <c r="AR942" s="85" t="s">
        <v>1124</v>
      </c>
      <c r="AS942" s="85"/>
      <c r="AT942" s="85"/>
      <c r="AU942" s="85"/>
      <c r="AV942" s="85"/>
      <c r="AW942" s="85"/>
      <c r="AX942" s="85"/>
      <c r="AY942" s="85"/>
      <c r="AZ942" s="85"/>
      <c r="BA942" s="85"/>
      <c r="BB942" s="89"/>
      <c r="BC942" s="89" t="s">
        <v>1124</v>
      </c>
      <c r="BD942" s="37"/>
      <c r="BE942" s="37"/>
      <c r="BF942" s="279"/>
      <c r="BG942" s="37"/>
      <c r="BH942" s="37"/>
      <c r="BI942" s="37"/>
      <c r="BJ942" s="283"/>
      <c r="BK942" s="161"/>
      <c r="BL942" s="294"/>
      <c r="BM942"/>
      <c r="BN942"/>
      <c r="BO942"/>
      <c r="BP942"/>
      <c r="BQ942"/>
      <c r="BR942"/>
      <c r="BS942"/>
      <c r="BT942"/>
      <c r="BU942"/>
      <c r="BV942"/>
      <c r="BW942"/>
      <c r="BX942"/>
      <c r="BY942"/>
      <c r="BZ942"/>
      <c r="CA942"/>
      <c r="CB942"/>
      <c r="CC942"/>
      <c r="CD942"/>
      <c r="CE942"/>
      <c r="CF942"/>
      <c r="CG942"/>
      <c r="CH942"/>
      <c r="CI942"/>
      <c r="CJ942"/>
    </row>
    <row r="943" spans="1:88" s="32" customFormat="1" ht="15" customHeight="1" x14ac:dyDescent="0.35">
      <c r="A943" s="473"/>
      <c r="B943" s="313">
        <v>55015</v>
      </c>
      <c r="C943" s="8" t="s">
        <v>560</v>
      </c>
      <c r="D943" s="18">
        <v>16</v>
      </c>
      <c r="E943" s="251">
        <v>234</v>
      </c>
      <c r="F943" s="82">
        <v>2.7834681042228211</v>
      </c>
      <c r="G943" s="79">
        <v>651.33153638814008</v>
      </c>
      <c r="H943" s="90">
        <v>3.6520000000000001</v>
      </c>
      <c r="I943" s="85">
        <v>3.0529999999999999</v>
      </c>
      <c r="J943" s="85">
        <v>4.0709999999999997</v>
      </c>
      <c r="K943" s="85">
        <v>4.7560000000000002</v>
      </c>
      <c r="L943" s="85">
        <v>5.859</v>
      </c>
      <c r="M943" s="85">
        <v>6.5149999999999997</v>
      </c>
      <c r="N943" s="85">
        <v>6.3212000000000002</v>
      </c>
      <c r="O943" s="85">
        <v>4.6879999999999997</v>
      </c>
      <c r="P943" s="85">
        <v>5.181</v>
      </c>
      <c r="Q943" s="85">
        <v>5.8449999999999998</v>
      </c>
      <c r="R943" s="85">
        <v>3.5539999999999998</v>
      </c>
      <c r="S943" s="89">
        <v>3.0289999999999999</v>
      </c>
      <c r="T943" s="89">
        <v>56.524199999999993</v>
      </c>
      <c r="U943" s="85">
        <v>0</v>
      </c>
      <c r="V943" s="85">
        <v>56.524199999999993</v>
      </c>
      <c r="W943" s="85">
        <v>0</v>
      </c>
      <c r="X943" s="89">
        <v>56.524199999999993</v>
      </c>
      <c r="Y943" s="79">
        <v>0</v>
      </c>
      <c r="Z943" s="79">
        <v>5</v>
      </c>
      <c r="AA943" s="94">
        <v>0</v>
      </c>
      <c r="AB943" s="79">
        <v>5</v>
      </c>
      <c r="AC943" s="85">
        <v>42.491869999999999</v>
      </c>
      <c r="AD943" s="85">
        <v>13.80683243499999</v>
      </c>
      <c r="AE943" s="85">
        <v>0.22549756500000417</v>
      </c>
      <c r="AF943" s="85">
        <v>0</v>
      </c>
      <c r="AG943" s="85">
        <v>56.524199999999993</v>
      </c>
      <c r="AH943" s="85">
        <v>0</v>
      </c>
      <c r="AI943" s="85">
        <v>0</v>
      </c>
      <c r="AJ943" s="85">
        <v>0</v>
      </c>
      <c r="AK943" s="85">
        <v>0</v>
      </c>
      <c r="AL943" s="85">
        <v>0</v>
      </c>
      <c r="AM943" s="85">
        <v>0</v>
      </c>
      <c r="AN943" s="85">
        <v>0</v>
      </c>
      <c r="AO943" s="85">
        <v>0</v>
      </c>
      <c r="AP943" s="85">
        <v>0</v>
      </c>
      <c r="AQ943" s="85">
        <v>0</v>
      </c>
      <c r="AR943" s="85">
        <v>0</v>
      </c>
      <c r="AS943" s="85">
        <v>0</v>
      </c>
      <c r="AT943" s="85">
        <v>0</v>
      </c>
      <c r="AU943" s="85">
        <v>0</v>
      </c>
      <c r="AV943" s="85">
        <v>0</v>
      </c>
      <c r="AW943" s="85">
        <v>0</v>
      </c>
      <c r="AX943" s="85">
        <v>0</v>
      </c>
      <c r="AY943" s="85">
        <v>0</v>
      </c>
      <c r="AZ943" s="85">
        <v>56.524199999999993</v>
      </c>
      <c r="BA943" s="85">
        <v>0</v>
      </c>
      <c r="BB943" s="89">
        <v>0</v>
      </c>
      <c r="BC943" s="89">
        <v>56.524199999999993</v>
      </c>
      <c r="BD943" s="37">
        <v>12074</v>
      </c>
      <c r="BE943" s="37">
        <v>0</v>
      </c>
      <c r="BF943" s="279">
        <v>28360</v>
      </c>
      <c r="BG943" s="37">
        <v>18500</v>
      </c>
      <c r="BH943" s="37">
        <v>5200</v>
      </c>
      <c r="BI943" s="37">
        <v>0</v>
      </c>
      <c r="BJ943" s="283">
        <v>52060</v>
      </c>
      <c r="BK943" s="161"/>
      <c r="BL943" s="294"/>
      <c r="BM943"/>
      <c r="BN943"/>
      <c r="BO943"/>
      <c r="BP943"/>
      <c r="BQ943"/>
      <c r="BR943"/>
      <c r="BS943"/>
      <c r="BT943"/>
      <c r="BU943"/>
      <c r="BV943"/>
      <c r="BW943"/>
      <c r="BX943"/>
      <c r="BY943"/>
      <c r="BZ943"/>
      <c r="CA943"/>
      <c r="CB943"/>
      <c r="CC943"/>
      <c r="CD943"/>
      <c r="CE943"/>
      <c r="CF943"/>
      <c r="CG943"/>
      <c r="CH943"/>
      <c r="CI943"/>
      <c r="CJ943"/>
    </row>
    <row r="944" spans="1:88" s="32" customFormat="1" ht="15" customHeight="1" x14ac:dyDescent="0.35">
      <c r="A944" s="473"/>
      <c r="B944" s="313">
        <v>12035</v>
      </c>
      <c r="C944" s="8" t="s">
        <v>34</v>
      </c>
      <c r="D944" s="18">
        <v>1</v>
      </c>
      <c r="E944" s="251"/>
      <c r="F944" s="82"/>
      <c r="G944" s="79"/>
      <c r="H944" s="90"/>
      <c r="I944" s="85"/>
      <c r="J944" s="85"/>
      <c r="K944" s="85"/>
      <c r="L944" s="85"/>
      <c r="M944" s="85"/>
      <c r="N944" s="85"/>
      <c r="O944" s="85"/>
      <c r="P944" s="85"/>
      <c r="Q944" s="85"/>
      <c r="R944" s="85"/>
      <c r="S944" s="89"/>
      <c r="T944" s="89" t="s">
        <v>1124</v>
      </c>
      <c r="U944" s="85"/>
      <c r="V944" s="85"/>
      <c r="W944" s="85"/>
      <c r="X944" s="89" t="s">
        <v>1124</v>
      </c>
      <c r="Y944" s="79"/>
      <c r="Z944" s="79"/>
      <c r="AA944" s="94"/>
      <c r="AB944" s="79" t="s">
        <v>1124</v>
      </c>
      <c r="AC944" s="85"/>
      <c r="AD944" s="85"/>
      <c r="AE944" s="85"/>
      <c r="AF944" s="85"/>
      <c r="AG944" s="85" t="s">
        <v>1124</v>
      </c>
      <c r="AH944" s="85"/>
      <c r="AI944" s="85"/>
      <c r="AJ944" s="85"/>
      <c r="AK944" s="85"/>
      <c r="AL944" s="85"/>
      <c r="AM944" s="85"/>
      <c r="AN944" s="85"/>
      <c r="AO944" s="85"/>
      <c r="AP944" s="85"/>
      <c r="AQ944" s="85"/>
      <c r="AR944" s="85" t="s">
        <v>1124</v>
      </c>
      <c r="AS944" s="85"/>
      <c r="AT944" s="85"/>
      <c r="AU944" s="85"/>
      <c r="AV944" s="85"/>
      <c r="AW944" s="85"/>
      <c r="AX944" s="85"/>
      <c r="AY944" s="85"/>
      <c r="AZ944" s="85"/>
      <c r="BA944" s="85"/>
      <c r="BB944" s="89"/>
      <c r="BC944" s="89" t="s">
        <v>1124</v>
      </c>
      <c r="BD944" s="37"/>
      <c r="BE944" s="37"/>
      <c r="BF944" s="279"/>
      <c r="BG944" s="37"/>
      <c r="BH944" s="37"/>
      <c r="BI944" s="37"/>
      <c r="BJ944" s="283"/>
      <c r="BK944" s="161"/>
      <c r="BL944" s="294"/>
      <c r="BM944"/>
      <c r="BN944"/>
      <c r="BO944"/>
      <c r="BP944"/>
      <c r="BQ944"/>
      <c r="BR944"/>
      <c r="BS944"/>
      <c r="BT944"/>
      <c r="BU944"/>
      <c r="BV944"/>
      <c r="BW944"/>
      <c r="BX944"/>
      <c r="BY944"/>
      <c r="BZ944"/>
      <c r="CA944"/>
      <c r="CB944"/>
      <c r="CC944"/>
      <c r="CD944"/>
      <c r="CE944"/>
      <c r="CF944"/>
      <c r="CG944"/>
      <c r="CH944"/>
      <c r="CI944"/>
      <c r="CJ944"/>
    </row>
    <row r="945" spans="1:88" s="32" customFormat="1" ht="15" customHeight="1" x14ac:dyDescent="0.35">
      <c r="A945" s="473"/>
      <c r="B945" s="313">
        <v>56035</v>
      </c>
      <c r="C945" s="8" t="s">
        <v>572</v>
      </c>
      <c r="D945" s="18">
        <v>16</v>
      </c>
      <c r="E945" s="251"/>
      <c r="F945" s="82"/>
      <c r="G945" s="79"/>
      <c r="H945" s="90"/>
      <c r="I945" s="85"/>
      <c r="J945" s="85"/>
      <c r="K945" s="85"/>
      <c r="L945" s="85"/>
      <c r="M945" s="85"/>
      <c r="N945" s="85"/>
      <c r="O945" s="85"/>
      <c r="P945" s="85"/>
      <c r="Q945" s="85"/>
      <c r="R945" s="85"/>
      <c r="S945" s="89"/>
      <c r="T945" s="89" t="s">
        <v>1124</v>
      </c>
      <c r="U945" s="85"/>
      <c r="V945" s="85"/>
      <c r="W945" s="85"/>
      <c r="X945" s="89" t="s">
        <v>1124</v>
      </c>
      <c r="Y945" s="79"/>
      <c r="Z945" s="79"/>
      <c r="AA945" s="94"/>
      <c r="AB945" s="79" t="s">
        <v>1124</v>
      </c>
      <c r="AC945" s="85"/>
      <c r="AD945" s="85"/>
      <c r="AE945" s="85"/>
      <c r="AF945" s="85"/>
      <c r="AG945" s="85" t="s">
        <v>1124</v>
      </c>
      <c r="AH945" s="85"/>
      <c r="AI945" s="85"/>
      <c r="AJ945" s="85"/>
      <c r="AK945" s="85"/>
      <c r="AL945" s="85"/>
      <c r="AM945" s="85"/>
      <c r="AN945" s="85"/>
      <c r="AO945" s="85"/>
      <c r="AP945" s="85"/>
      <c r="AQ945" s="85"/>
      <c r="AR945" s="85" t="s">
        <v>1124</v>
      </c>
      <c r="AS945" s="85"/>
      <c r="AT945" s="85"/>
      <c r="AU945" s="85"/>
      <c r="AV945" s="85"/>
      <c r="AW945" s="85"/>
      <c r="AX945" s="85"/>
      <c r="AY945" s="85"/>
      <c r="AZ945" s="85"/>
      <c r="BA945" s="85"/>
      <c r="BB945" s="89"/>
      <c r="BC945" s="89" t="s">
        <v>1124</v>
      </c>
      <c r="BD945" s="37"/>
      <c r="BE945" s="37"/>
      <c r="BF945" s="279"/>
      <c r="BG945" s="37"/>
      <c r="BH945" s="37"/>
      <c r="BI945" s="37"/>
      <c r="BJ945" s="283"/>
      <c r="BK945" s="161"/>
      <c r="BL945" s="294"/>
      <c r="BM945"/>
      <c r="BN945"/>
      <c r="BO945"/>
      <c r="BP945"/>
      <c r="BQ945"/>
      <c r="BR945"/>
      <c r="BS945"/>
      <c r="BT945"/>
      <c r="BU945"/>
      <c r="BV945"/>
      <c r="BW945"/>
      <c r="BX945"/>
      <c r="BY945"/>
      <c r="BZ945"/>
      <c r="CA945"/>
      <c r="CB945"/>
      <c r="CC945"/>
      <c r="CD945"/>
      <c r="CE945"/>
      <c r="CF945"/>
      <c r="CG945"/>
      <c r="CH945"/>
      <c r="CI945"/>
      <c r="CJ945"/>
    </row>
    <row r="946" spans="1:88" s="32" customFormat="1" ht="15" customHeight="1" x14ac:dyDescent="0.35">
      <c r="A946" s="473"/>
      <c r="B946" s="313">
        <v>18030</v>
      </c>
      <c r="C946" s="8" t="s">
        <v>109</v>
      </c>
      <c r="D946" s="18">
        <v>12</v>
      </c>
      <c r="E946" s="251"/>
      <c r="F946" s="82"/>
      <c r="G946" s="79"/>
      <c r="H946" s="90"/>
      <c r="I946" s="85"/>
      <c r="J946" s="85"/>
      <c r="K946" s="85"/>
      <c r="L946" s="85"/>
      <c r="M946" s="85"/>
      <c r="N946" s="85"/>
      <c r="O946" s="85"/>
      <c r="P946" s="85"/>
      <c r="Q946" s="85"/>
      <c r="R946" s="85"/>
      <c r="S946" s="89"/>
      <c r="T946" s="89" t="s">
        <v>1124</v>
      </c>
      <c r="U946" s="85"/>
      <c r="V946" s="85"/>
      <c r="W946" s="85"/>
      <c r="X946" s="89" t="s">
        <v>1124</v>
      </c>
      <c r="Y946" s="79"/>
      <c r="Z946" s="79"/>
      <c r="AA946" s="94"/>
      <c r="AB946" s="79" t="s">
        <v>1124</v>
      </c>
      <c r="AC946" s="85"/>
      <c r="AD946" s="85"/>
      <c r="AE946" s="85"/>
      <c r="AF946" s="85"/>
      <c r="AG946" s="85" t="s">
        <v>1124</v>
      </c>
      <c r="AH946" s="85"/>
      <c r="AI946" s="85"/>
      <c r="AJ946" s="85"/>
      <c r="AK946" s="85"/>
      <c r="AL946" s="85"/>
      <c r="AM946" s="85"/>
      <c r="AN946" s="85"/>
      <c r="AO946" s="85"/>
      <c r="AP946" s="85"/>
      <c r="AQ946" s="85"/>
      <c r="AR946" s="85" t="s">
        <v>1124</v>
      </c>
      <c r="AS946" s="85"/>
      <c r="AT946" s="85"/>
      <c r="AU946" s="85"/>
      <c r="AV946" s="85"/>
      <c r="AW946" s="85"/>
      <c r="AX946" s="85"/>
      <c r="AY946" s="85"/>
      <c r="AZ946" s="85"/>
      <c r="BA946" s="85"/>
      <c r="BB946" s="89"/>
      <c r="BC946" s="89" t="s">
        <v>1124</v>
      </c>
      <c r="BD946" s="37"/>
      <c r="BE946" s="37"/>
      <c r="BF946" s="279"/>
      <c r="BG946" s="37"/>
      <c r="BH946" s="37"/>
      <c r="BI946" s="37"/>
      <c r="BJ946" s="283"/>
      <c r="BK946" s="161"/>
      <c r="BL946" s="294"/>
      <c r="BM946"/>
      <c r="BN946"/>
      <c r="BO946"/>
      <c r="BP946"/>
      <c r="BQ946"/>
      <c r="BR946"/>
      <c r="BS946"/>
      <c r="BT946"/>
      <c r="BU946"/>
      <c r="BV946"/>
      <c r="BW946"/>
      <c r="BX946"/>
      <c r="BY946"/>
      <c r="BZ946"/>
      <c r="CA946"/>
      <c r="CB946"/>
      <c r="CC946"/>
      <c r="CD946"/>
      <c r="CE946"/>
      <c r="CF946"/>
      <c r="CG946"/>
      <c r="CH946"/>
      <c r="CI946"/>
      <c r="CJ946"/>
    </row>
    <row r="947" spans="1:88" s="32" customFormat="1" ht="15" customHeight="1" x14ac:dyDescent="0.35">
      <c r="A947" s="473"/>
      <c r="B947" s="313">
        <v>51060</v>
      </c>
      <c r="C947" s="8" t="s">
        <v>508</v>
      </c>
      <c r="D947" s="18">
        <v>4</v>
      </c>
      <c r="E947" s="251"/>
      <c r="F947" s="82"/>
      <c r="G947" s="79"/>
      <c r="H947" s="90"/>
      <c r="I947" s="85"/>
      <c r="J947" s="85"/>
      <c r="K947" s="85"/>
      <c r="L947" s="85"/>
      <c r="M947" s="85"/>
      <c r="N947" s="85"/>
      <c r="O947" s="85"/>
      <c r="P947" s="85"/>
      <c r="Q947" s="85"/>
      <c r="R947" s="85"/>
      <c r="S947" s="89"/>
      <c r="T947" s="89" t="s">
        <v>1124</v>
      </c>
      <c r="U947" s="85"/>
      <c r="V947" s="85"/>
      <c r="W947" s="85"/>
      <c r="X947" s="89" t="s">
        <v>1124</v>
      </c>
      <c r="Y947" s="79"/>
      <c r="Z947" s="79"/>
      <c r="AA947" s="94"/>
      <c r="AB947" s="79" t="s">
        <v>1124</v>
      </c>
      <c r="AC947" s="85"/>
      <c r="AD947" s="85"/>
      <c r="AE947" s="85"/>
      <c r="AF947" s="85"/>
      <c r="AG947" s="85" t="s">
        <v>1124</v>
      </c>
      <c r="AH947" s="85"/>
      <c r="AI947" s="85"/>
      <c r="AJ947" s="85"/>
      <c r="AK947" s="85"/>
      <c r="AL947" s="85"/>
      <c r="AM947" s="85"/>
      <c r="AN947" s="85"/>
      <c r="AO947" s="85"/>
      <c r="AP947" s="85"/>
      <c r="AQ947" s="85"/>
      <c r="AR947" s="85" t="s">
        <v>1124</v>
      </c>
      <c r="AS947" s="85"/>
      <c r="AT947" s="85"/>
      <c r="AU947" s="85"/>
      <c r="AV947" s="85"/>
      <c r="AW947" s="85"/>
      <c r="AX947" s="85"/>
      <c r="AY947" s="85"/>
      <c r="AZ947" s="85"/>
      <c r="BA947" s="85"/>
      <c r="BB947" s="89"/>
      <c r="BC947" s="89" t="s">
        <v>1124</v>
      </c>
      <c r="BD947" s="37"/>
      <c r="BE947" s="37"/>
      <c r="BF947" s="279"/>
      <c r="BG947" s="37"/>
      <c r="BH947" s="37"/>
      <c r="BI947" s="37"/>
      <c r="BJ947" s="283"/>
      <c r="BK947" s="161"/>
      <c r="BL947" s="294"/>
      <c r="BM947"/>
      <c r="BN947"/>
      <c r="BO947"/>
      <c r="BP947"/>
      <c r="BQ947"/>
      <c r="BR947"/>
      <c r="BS947"/>
      <c r="BT947"/>
      <c r="BU947"/>
      <c r="BV947"/>
      <c r="BW947"/>
      <c r="BX947"/>
      <c r="BY947"/>
      <c r="BZ947"/>
      <c r="CA947"/>
      <c r="CB947"/>
      <c r="CC947"/>
      <c r="CD947"/>
      <c r="CE947"/>
      <c r="CF947"/>
      <c r="CG947"/>
      <c r="CH947"/>
      <c r="CI947"/>
      <c r="CJ947"/>
    </row>
    <row r="948" spans="1:88" s="32" customFormat="1" ht="15" customHeight="1" x14ac:dyDescent="0.35">
      <c r="A948" s="473"/>
      <c r="B948" s="313">
        <v>19005</v>
      </c>
      <c r="C948" s="8" t="s">
        <v>118</v>
      </c>
      <c r="D948" s="18">
        <v>12</v>
      </c>
      <c r="E948" s="251">
        <v>225</v>
      </c>
      <c r="F948" s="82">
        <v>1.9</v>
      </c>
      <c r="G948" s="79">
        <v>427.5</v>
      </c>
      <c r="H948" s="90">
        <v>4.3865999999999996</v>
      </c>
      <c r="I948" s="85">
        <v>4.3835999999999995</v>
      </c>
      <c r="J948" s="85">
        <v>4.9561000000000002</v>
      </c>
      <c r="K948" s="85">
        <v>3.8094999999999999</v>
      </c>
      <c r="L948" s="85">
        <v>4.3597999999999999</v>
      </c>
      <c r="M948" s="85">
        <v>4.2854000000000001</v>
      </c>
      <c r="N948" s="85">
        <v>4.0415000000000001</v>
      </c>
      <c r="O948" s="85">
        <v>6.1887999999999996</v>
      </c>
      <c r="P948" s="85">
        <v>3.7172999999999998</v>
      </c>
      <c r="Q948" s="85">
        <v>5.0481999999999996</v>
      </c>
      <c r="R948" s="85">
        <v>6.3660999999999994</v>
      </c>
      <c r="S948" s="89">
        <v>19.552699999999998</v>
      </c>
      <c r="T948" s="89">
        <v>71.095600000000005</v>
      </c>
      <c r="U948" s="85">
        <v>0</v>
      </c>
      <c r="V948" s="85">
        <v>71.095600000000005</v>
      </c>
      <c r="W948" s="85">
        <v>0</v>
      </c>
      <c r="X948" s="89">
        <v>71.095600000000005</v>
      </c>
      <c r="Y948" s="79">
        <v>0</v>
      </c>
      <c r="Z948" s="79">
        <v>2</v>
      </c>
      <c r="AA948" s="94">
        <v>0</v>
      </c>
      <c r="AB948" s="79">
        <v>2</v>
      </c>
      <c r="AC948" s="85">
        <v>30.121000000000002</v>
      </c>
      <c r="AD948" s="85">
        <v>18.976600000000005</v>
      </c>
      <c r="AE948" s="85">
        <v>13.264254999999999</v>
      </c>
      <c r="AF948" s="85">
        <v>8.7341999999999995</v>
      </c>
      <c r="AG948" s="85">
        <v>71.096055000000007</v>
      </c>
      <c r="AH948" s="85">
        <v>0</v>
      </c>
      <c r="AI948" s="85">
        <v>0</v>
      </c>
      <c r="AJ948" s="85">
        <v>0</v>
      </c>
      <c r="AK948" s="85">
        <v>0</v>
      </c>
      <c r="AL948" s="85">
        <v>0</v>
      </c>
      <c r="AM948" s="85">
        <v>0</v>
      </c>
      <c r="AN948" s="85">
        <v>0</v>
      </c>
      <c r="AO948" s="85">
        <v>0</v>
      </c>
      <c r="AP948" s="85">
        <v>0</v>
      </c>
      <c r="AQ948" s="85">
        <v>0</v>
      </c>
      <c r="AR948" s="85">
        <v>0</v>
      </c>
      <c r="AS948" s="85">
        <v>0</v>
      </c>
      <c r="AT948" s="85">
        <v>0</v>
      </c>
      <c r="AU948" s="85">
        <v>0</v>
      </c>
      <c r="AV948" s="85">
        <v>0</v>
      </c>
      <c r="AW948" s="85">
        <v>0</v>
      </c>
      <c r="AX948" s="85">
        <v>0</v>
      </c>
      <c r="AY948" s="85">
        <v>71.095600000000005</v>
      </c>
      <c r="AZ948" s="85">
        <v>0</v>
      </c>
      <c r="BA948" s="85">
        <v>0</v>
      </c>
      <c r="BB948" s="89">
        <v>0</v>
      </c>
      <c r="BC948" s="89">
        <v>71.095600000000005</v>
      </c>
      <c r="BD948" s="37">
        <v>0</v>
      </c>
      <c r="BE948" s="37">
        <v>0</v>
      </c>
      <c r="BF948" s="279">
        <v>0</v>
      </c>
      <c r="BG948" s="37">
        <v>0</v>
      </c>
      <c r="BH948" s="37">
        <v>0</v>
      </c>
      <c r="BI948" s="37">
        <v>2131</v>
      </c>
      <c r="BJ948" s="283">
        <v>2131</v>
      </c>
      <c r="BK948" s="161"/>
      <c r="BL948" s="294"/>
      <c r="BM948"/>
      <c r="BN948"/>
      <c r="BO948"/>
      <c r="BP948"/>
      <c r="BQ948"/>
      <c r="BR948"/>
      <c r="BS948"/>
      <c r="BT948"/>
      <c r="BU948"/>
      <c r="BV948"/>
      <c r="BW948"/>
      <c r="BX948"/>
      <c r="BY948"/>
      <c r="BZ948"/>
      <c r="CA948"/>
      <c r="CB948"/>
      <c r="CC948"/>
      <c r="CD948"/>
      <c r="CE948"/>
      <c r="CF948"/>
      <c r="CG948"/>
      <c r="CH948"/>
      <c r="CI948"/>
      <c r="CJ948"/>
    </row>
    <row r="949" spans="1:88" s="32" customFormat="1" ht="15" customHeight="1" x14ac:dyDescent="0.35">
      <c r="A949" s="473"/>
      <c r="B949" s="313">
        <v>29065</v>
      </c>
      <c r="C949" s="8" t="s">
        <v>210</v>
      </c>
      <c r="D949" s="18">
        <v>12</v>
      </c>
      <c r="E949" s="251"/>
      <c r="F949" s="82"/>
      <c r="G949" s="79"/>
      <c r="H949" s="90"/>
      <c r="I949" s="85"/>
      <c r="J949" s="85"/>
      <c r="K949" s="85"/>
      <c r="L949" s="85"/>
      <c r="M949" s="85"/>
      <c r="N949" s="85"/>
      <c r="O949" s="85"/>
      <c r="P949" s="85"/>
      <c r="Q949" s="85"/>
      <c r="R949" s="85"/>
      <c r="S949" s="89"/>
      <c r="T949" s="89" t="s">
        <v>1124</v>
      </c>
      <c r="U949" s="85"/>
      <c r="V949" s="85"/>
      <c r="W949" s="85"/>
      <c r="X949" s="89" t="s">
        <v>1124</v>
      </c>
      <c r="Y949" s="79"/>
      <c r="Z949" s="79"/>
      <c r="AA949" s="94"/>
      <c r="AB949" s="79" t="s">
        <v>1124</v>
      </c>
      <c r="AC949" s="85"/>
      <c r="AD949" s="85"/>
      <c r="AE949" s="85"/>
      <c r="AF949" s="85"/>
      <c r="AG949" s="85" t="s">
        <v>1124</v>
      </c>
      <c r="AH949" s="85"/>
      <c r="AI949" s="85"/>
      <c r="AJ949" s="85"/>
      <c r="AK949" s="85"/>
      <c r="AL949" s="85"/>
      <c r="AM949" s="85"/>
      <c r="AN949" s="85"/>
      <c r="AO949" s="85"/>
      <c r="AP949" s="85"/>
      <c r="AQ949" s="85"/>
      <c r="AR949" s="85" t="s">
        <v>1124</v>
      </c>
      <c r="AS949" s="85"/>
      <c r="AT949" s="85"/>
      <c r="AU949" s="85"/>
      <c r="AV949" s="85"/>
      <c r="AW949" s="85"/>
      <c r="AX949" s="85"/>
      <c r="AY949" s="85"/>
      <c r="AZ949" s="85"/>
      <c r="BA949" s="85"/>
      <c r="BB949" s="89"/>
      <c r="BC949" s="89" t="s">
        <v>1124</v>
      </c>
      <c r="BD949" s="37"/>
      <c r="BE949" s="37"/>
      <c r="BF949" s="279"/>
      <c r="BG949" s="37"/>
      <c r="BH949" s="37"/>
      <c r="BI949" s="37"/>
      <c r="BJ949" s="283"/>
      <c r="BK949" s="161"/>
      <c r="BL949" s="294"/>
      <c r="BM949"/>
      <c r="BN949"/>
      <c r="BO949"/>
      <c r="BP949"/>
      <c r="BQ949"/>
      <c r="BR949"/>
      <c r="BS949"/>
      <c r="BT949"/>
      <c r="BU949"/>
      <c r="BV949"/>
      <c r="BW949"/>
      <c r="BX949"/>
      <c r="BY949"/>
      <c r="BZ949"/>
      <c r="CA949"/>
      <c r="CB949"/>
      <c r="CC949"/>
      <c r="CD949"/>
      <c r="CE949"/>
      <c r="CF949"/>
      <c r="CG949"/>
      <c r="CH949"/>
      <c r="CI949"/>
      <c r="CJ949"/>
    </row>
    <row r="950" spans="1:88" s="32" customFormat="1" ht="15" customHeight="1" x14ac:dyDescent="0.35">
      <c r="A950" s="473"/>
      <c r="B950" s="313">
        <v>67010</v>
      </c>
      <c r="C950" s="8" t="s">
        <v>663</v>
      </c>
      <c r="D950" s="18">
        <v>16</v>
      </c>
      <c r="E950" s="251"/>
      <c r="F950" s="82"/>
      <c r="G950" s="79"/>
      <c r="H950" s="90"/>
      <c r="I950" s="85"/>
      <c r="J950" s="85"/>
      <c r="K950" s="85"/>
      <c r="L950" s="85"/>
      <c r="M950" s="85"/>
      <c r="N950" s="85"/>
      <c r="O950" s="85"/>
      <c r="P950" s="85"/>
      <c r="Q950" s="85"/>
      <c r="R950" s="85"/>
      <c r="S950" s="89"/>
      <c r="T950" s="89" t="s">
        <v>1124</v>
      </c>
      <c r="U950" s="85"/>
      <c r="V950" s="85"/>
      <c r="W950" s="85"/>
      <c r="X950" s="89" t="s">
        <v>1124</v>
      </c>
      <c r="Y950" s="79"/>
      <c r="Z950" s="79"/>
      <c r="AA950" s="94"/>
      <c r="AB950" s="79" t="s">
        <v>1124</v>
      </c>
      <c r="AC950" s="85"/>
      <c r="AD950" s="85"/>
      <c r="AE950" s="85"/>
      <c r="AF950" s="85"/>
      <c r="AG950" s="85" t="s">
        <v>1124</v>
      </c>
      <c r="AH950" s="85"/>
      <c r="AI950" s="85"/>
      <c r="AJ950" s="85"/>
      <c r="AK950" s="85"/>
      <c r="AL950" s="85"/>
      <c r="AM950" s="85"/>
      <c r="AN950" s="85"/>
      <c r="AO950" s="85"/>
      <c r="AP950" s="85"/>
      <c r="AQ950" s="85"/>
      <c r="AR950" s="85" t="s">
        <v>1124</v>
      </c>
      <c r="AS950" s="85"/>
      <c r="AT950" s="85"/>
      <c r="AU950" s="85"/>
      <c r="AV950" s="85"/>
      <c r="AW950" s="85"/>
      <c r="AX950" s="85"/>
      <c r="AY950" s="85"/>
      <c r="AZ950" s="85"/>
      <c r="BA950" s="85"/>
      <c r="BB950" s="89"/>
      <c r="BC950" s="89" t="s">
        <v>1124</v>
      </c>
      <c r="BD950" s="37"/>
      <c r="BE950" s="37"/>
      <c r="BF950" s="279"/>
      <c r="BG950" s="37"/>
      <c r="BH950" s="37"/>
      <c r="BI950" s="37"/>
      <c r="BJ950" s="283"/>
      <c r="BK950" s="161"/>
      <c r="BL950" s="294"/>
      <c r="BM950"/>
      <c r="BN950"/>
      <c r="BO950"/>
      <c r="BP950"/>
      <c r="BQ950"/>
      <c r="BR950"/>
      <c r="BS950"/>
      <c r="BT950"/>
      <c r="BU950"/>
      <c r="BV950"/>
      <c r="BW950"/>
      <c r="BX950"/>
      <c r="BY950"/>
      <c r="BZ950"/>
      <c r="CA950"/>
      <c r="CB950"/>
      <c r="CC950"/>
      <c r="CD950"/>
      <c r="CE950"/>
      <c r="CF950"/>
      <c r="CG950"/>
      <c r="CH950"/>
      <c r="CI950"/>
      <c r="CJ950"/>
    </row>
    <row r="951" spans="1:88" s="32" customFormat="1" ht="15" customHeight="1" x14ac:dyDescent="0.35">
      <c r="A951" s="473"/>
      <c r="B951" s="313">
        <v>14060</v>
      </c>
      <c r="C951" s="8" t="s">
        <v>70</v>
      </c>
      <c r="D951" s="18">
        <v>1</v>
      </c>
      <c r="E951" s="251">
        <v>368</v>
      </c>
      <c r="F951" s="82">
        <v>2.152061855670103</v>
      </c>
      <c r="G951" s="79">
        <v>791.95876288659792</v>
      </c>
      <c r="H951" s="90">
        <v>4.0529999999999999</v>
      </c>
      <c r="I951" s="85">
        <v>3.653</v>
      </c>
      <c r="J951" s="85">
        <v>4.1589999999999998</v>
      </c>
      <c r="K951" s="85">
        <v>4.1529999999999996</v>
      </c>
      <c r="L951" s="85">
        <v>4.0720000000000001</v>
      </c>
      <c r="M951" s="85">
        <v>5.9509999999999996</v>
      </c>
      <c r="N951" s="85">
        <v>7.7069999999999999</v>
      </c>
      <c r="O951" s="85">
        <v>7.3739999999999997</v>
      </c>
      <c r="P951" s="85">
        <v>4.9359999999999999</v>
      </c>
      <c r="Q951" s="85">
        <v>4.9489999999999998</v>
      </c>
      <c r="R951" s="85">
        <v>5.766</v>
      </c>
      <c r="S951" s="89">
        <v>4.3360000000000003</v>
      </c>
      <c r="T951" s="89">
        <v>61.108999999999995</v>
      </c>
      <c r="U951" s="85">
        <v>0</v>
      </c>
      <c r="V951" s="85">
        <v>61.109000000000002</v>
      </c>
      <c r="W951" s="85">
        <v>0</v>
      </c>
      <c r="X951" s="89">
        <v>61.109000000000002</v>
      </c>
      <c r="Y951" s="79">
        <v>0</v>
      </c>
      <c r="Z951" s="79">
        <v>2</v>
      </c>
      <c r="AA951" s="94">
        <v>0</v>
      </c>
      <c r="AB951" s="79">
        <v>2</v>
      </c>
      <c r="AC951" s="85">
        <v>49.628783505154637</v>
      </c>
      <c r="AD951" s="85">
        <v>3.6138514948453588</v>
      </c>
      <c r="AE951" s="85">
        <v>7.8663649999999992</v>
      </c>
      <c r="AF951" s="85">
        <v>0</v>
      </c>
      <c r="AG951" s="85">
        <v>61.108999999999995</v>
      </c>
      <c r="AH951" s="85">
        <v>0</v>
      </c>
      <c r="AI951" s="85">
        <v>0</v>
      </c>
      <c r="AJ951" s="85">
        <v>0</v>
      </c>
      <c r="AK951" s="85">
        <v>0</v>
      </c>
      <c r="AL951" s="85">
        <v>0</v>
      </c>
      <c r="AM951" s="85">
        <v>0</v>
      </c>
      <c r="AN951" s="85">
        <v>0</v>
      </c>
      <c r="AO951" s="85">
        <v>0</v>
      </c>
      <c r="AP951" s="85">
        <v>0</v>
      </c>
      <c r="AQ951" s="85">
        <v>0</v>
      </c>
      <c r="AR951" s="85">
        <v>0</v>
      </c>
      <c r="AS951" s="85">
        <v>0</v>
      </c>
      <c r="AT951" s="85">
        <v>0</v>
      </c>
      <c r="AU951" s="85">
        <v>0</v>
      </c>
      <c r="AV951" s="85">
        <v>0</v>
      </c>
      <c r="AW951" s="85">
        <v>0</v>
      </c>
      <c r="AX951" s="85">
        <v>0</v>
      </c>
      <c r="AY951" s="85">
        <v>0</v>
      </c>
      <c r="AZ951" s="85">
        <v>61.109000000000002</v>
      </c>
      <c r="BA951" s="85">
        <v>0</v>
      </c>
      <c r="BB951" s="89">
        <v>0</v>
      </c>
      <c r="BC951" s="89">
        <v>61.109000000000002</v>
      </c>
      <c r="BD951" s="37">
        <v>13272</v>
      </c>
      <c r="BE951" s="37">
        <v>242790</v>
      </c>
      <c r="BF951" s="279">
        <v>35860</v>
      </c>
      <c r="BG951" s="37">
        <v>38465</v>
      </c>
      <c r="BH951" s="37">
        <v>16056</v>
      </c>
      <c r="BI951" s="37">
        <v>0</v>
      </c>
      <c r="BJ951" s="283">
        <v>90381</v>
      </c>
      <c r="BK951" s="161"/>
      <c r="BL951" s="294"/>
      <c r="BM951"/>
      <c r="BN951"/>
      <c r="BO951"/>
      <c r="BP951"/>
      <c r="BQ951"/>
      <c r="BR951"/>
      <c r="BS951"/>
      <c r="BT951"/>
      <c r="BU951"/>
      <c r="BV951"/>
      <c r="BW951"/>
      <c r="BX951"/>
      <c r="BY951"/>
      <c r="BZ951"/>
      <c r="CA951"/>
      <c r="CB951"/>
      <c r="CC951"/>
      <c r="CD951"/>
      <c r="CE951"/>
      <c r="CF951"/>
      <c r="CG951"/>
      <c r="CH951"/>
      <c r="CI951"/>
      <c r="CJ951"/>
    </row>
    <row r="952" spans="1:88" s="32" customFormat="1" ht="15" customHeight="1" x14ac:dyDescent="0.35">
      <c r="A952" s="473"/>
      <c r="B952" s="313">
        <v>54008</v>
      </c>
      <c r="C952" s="8" t="s">
        <v>542</v>
      </c>
      <c r="D952" s="18">
        <v>16</v>
      </c>
      <c r="E952" s="251">
        <v>1826</v>
      </c>
      <c r="F952" s="82">
        <v>2.410375369042598</v>
      </c>
      <c r="G952" s="79">
        <v>4401.3454238717841</v>
      </c>
      <c r="H952" s="90">
        <v>39.493000000000002</v>
      </c>
      <c r="I952" s="85">
        <v>36.008000000000003</v>
      </c>
      <c r="J952" s="85">
        <v>38.948</v>
      </c>
      <c r="K952" s="85">
        <v>36.646999999999998</v>
      </c>
      <c r="L952" s="85">
        <v>39.933</v>
      </c>
      <c r="M952" s="85">
        <v>45.033000000000001</v>
      </c>
      <c r="N952" s="85">
        <v>47.494</v>
      </c>
      <c r="O952" s="85">
        <v>42.707000000000001</v>
      </c>
      <c r="P952" s="85">
        <v>42.351999999999997</v>
      </c>
      <c r="Q952" s="85">
        <v>41.5</v>
      </c>
      <c r="R952" s="85">
        <v>32.988</v>
      </c>
      <c r="S952" s="89">
        <v>31.614000000000001</v>
      </c>
      <c r="T952" s="89">
        <v>474.71699999999998</v>
      </c>
      <c r="U952" s="85">
        <v>474.71699999999998</v>
      </c>
      <c r="V952" s="85">
        <v>0</v>
      </c>
      <c r="W952" s="85">
        <v>0</v>
      </c>
      <c r="X952" s="89">
        <v>474.71699999999998</v>
      </c>
      <c r="Y952" s="79">
        <v>1</v>
      </c>
      <c r="Z952" s="79">
        <v>0</v>
      </c>
      <c r="AA952" s="94">
        <v>0</v>
      </c>
      <c r="AB952" s="79">
        <v>1</v>
      </c>
      <c r="AC952" s="85">
        <v>359.4</v>
      </c>
      <c r="AD952" s="85">
        <v>50.513000000000034</v>
      </c>
      <c r="AE952" s="85">
        <v>64.457999999999998</v>
      </c>
      <c r="AF952" s="85">
        <v>0.34599999999999997</v>
      </c>
      <c r="AG952" s="85">
        <v>474.71699999999998</v>
      </c>
      <c r="AH952" s="85">
        <v>474.71699999999998</v>
      </c>
      <c r="AI952" s="85">
        <v>0</v>
      </c>
      <c r="AJ952" s="85">
        <v>0</v>
      </c>
      <c r="AK952" s="85">
        <v>0</v>
      </c>
      <c r="AL952" s="85">
        <v>0</v>
      </c>
      <c r="AM952" s="85">
        <v>0</v>
      </c>
      <c r="AN952" s="85">
        <v>0</v>
      </c>
      <c r="AO952" s="85">
        <v>0</v>
      </c>
      <c r="AP952" s="85">
        <v>0</v>
      </c>
      <c r="AQ952" s="85">
        <v>0</v>
      </c>
      <c r="AR952" s="85">
        <v>474.71699999999998</v>
      </c>
      <c r="AS952" s="85">
        <v>0</v>
      </c>
      <c r="AT952" s="85">
        <v>0</v>
      </c>
      <c r="AU952" s="85">
        <v>0</v>
      </c>
      <c r="AV952" s="85">
        <v>0</v>
      </c>
      <c r="AW952" s="85">
        <v>0</v>
      </c>
      <c r="AX952" s="85">
        <v>0</v>
      </c>
      <c r="AY952" s="85">
        <v>0</v>
      </c>
      <c r="AZ952" s="85">
        <v>0</v>
      </c>
      <c r="BA952" s="85">
        <v>0</v>
      </c>
      <c r="BB952" s="89">
        <v>0</v>
      </c>
      <c r="BC952" s="89">
        <v>0</v>
      </c>
      <c r="BD952" s="37">
        <v>0</v>
      </c>
      <c r="BE952" s="37">
        <v>0</v>
      </c>
      <c r="BF952" s="279">
        <v>39447</v>
      </c>
      <c r="BG952" s="37">
        <v>132584</v>
      </c>
      <c r="BH952" s="37">
        <v>53731</v>
      </c>
      <c r="BI952" s="37">
        <v>61312</v>
      </c>
      <c r="BJ952" s="283">
        <v>287074</v>
      </c>
      <c r="BK952" s="161"/>
      <c r="BL952" s="294"/>
      <c r="BM952"/>
      <c r="BN952"/>
      <c r="BO952"/>
      <c r="BP952"/>
      <c r="BQ952"/>
      <c r="BR952"/>
      <c r="BS952"/>
      <c r="BT952"/>
      <c r="BU952"/>
      <c r="BV952"/>
      <c r="BW952"/>
      <c r="BX952"/>
      <c r="BY952"/>
      <c r="BZ952"/>
      <c r="CA952"/>
      <c r="CB952"/>
      <c r="CC952"/>
      <c r="CD952"/>
      <c r="CE952"/>
      <c r="CF952"/>
      <c r="CG952"/>
      <c r="CH952"/>
      <c r="CI952"/>
      <c r="CJ952"/>
    </row>
    <row r="953" spans="1:88" s="32" customFormat="1" ht="15" customHeight="1" x14ac:dyDescent="0.35">
      <c r="A953" s="473"/>
      <c r="B953" s="313">
        <v>49130</v>
      </c>
      <c r="C953" s="8" t="s">
        <v>481</v>
      </c>
      <c r="D953" s="18">
        <v>17</v>
      </c>
      <c r="E953" s="251"/>
      <c r="F953" s="82"/>
      <c r="G953" s="79"/>
      <c r="H953" s="90"/>
      <c r="I953" s="85"/>
      <c r="J953" s="85"/>
      <c r="K953" s="85"/>
      <c r="L953" s="85"/>
      <c r="M953" s="85"/>
      <c r="N953" s="85"/>
      <c r="O953" s="85"/>
      <c r="P953" s="85"/>
      <c r="Q953" s="85"/>
      <c r="R953" s="85"/>
      <c r="S953" s="89"/>
      <c r="T953" s="89" t="s">
        <v>1124</v>
      </c>
      <c r="U953" s="85"/>
      <c r="V953" s="85"/>
      <c r="W953" s="85"/>
      <c r="X953" s="89" t="s">
        <v>1124</v>
      </c>
      <c r="Y953" s="79"/>
      <c r="Z953" s="79"/>
      <c r="AA953" s="94"/>
      <c r="AB953" s="79" t="s">
        <v>1124</v>
      </c>
      <c r="AC953" s="85"/>
      <c r="AD953" s="85"/>
      <c r="AE953" s="85"/>
      <c r="AF953" s="85"/>
      <c r="AG953" s="85" t="s">
        <v>1124</v>
      </c>
      <c r="AH953" s="85"/>
      <c r="AI953" s="85"/>
      <c r="AJ953" s="85"/>
      <c r="AK953" s="85"/>
      <c r="AL953" s="85"/>
      <c r="AM953" s="85"/>
      <c r="AN953" s="85"/>
      <c r="AO953" s="85"/>
      <c r="AP953" s="85"/>
      <c r="AQ953" s="85"/>
      <c r="AR953" s="85" t="s">
        <v>1124</v>
      </c>
      <c r="AS953" s="85"/>
      <c r="AT953" s="85"/>
      <c r="AU953" s="85"/>
      <c r="AV953" s="85"/>
      <c r="AW953" s="85"/>
      <c r="AX953" s="85"/>
      <c r="AY953" s="85"/>
      <c r="AZ953" s="85"/>
      <c r="BA953" s="85"/>
      <c r="BB953" s="89"/>
      <c r="BC953" s="89" t="s">
        <v>1124</v>
      </c>
      <c r="BD953" s="37"/>
      <c r="BE953" s="37"/>
      <c r="BF953" s="279"/>
      <c r="BG953" s="37"/>
      <c r="BH953" s="37"/>
      <c r="BI953" s="37"/>
      <c r="BJ953" s="283"/>
      <c r="BK953" s="161"/>
      <c r="BL953" s="294"/>
      <c r="BM953"/>
      <c r="BN953"/>
      <c r="BO953"/>
      <c r="BP953"/>
      <c r="BQ953"/>
      <c r="BR953"/>
      <c r="BS953"/>
      <c r="BT953"/>
      <c r="BU953"/>
      <c r="BV953"/>
      <c r="BW953"/>
      <c r="BX953"/>
      <c r="BY953"/>
      <c r="BZ953"/>
      <c r="CA953"/>
      <c r="CB953"/>
      <c r="CC953"/>
      <c r="CD953"/>
      <c r="CE953"/>
      <c r="CF953"/>
      <c r="CG953"/>
      <c r="CH953"/>
      <c r="CI953"/>
      <c r="CJ953"/>
    </row>
    <row r="954" spans="1:88" s="32" customFormat="1" ht="15" customHeight="1" x14ac:dyDescent="0.35">
      <c r="A954" s="473"/>
      <c r="B954" s="313">
        <v>61020</v>
      </c>
      <c r="C954" s="8" t="s">
        <v>611</v>
      </c>
      <c r="D954" s="18">
        <v>14</v>
      </c>
      <c r="E954" s="251"/>
      <c r="F954" s="82"/>
      <c r="G954" s="79"/>
      <c r="H954" s="90"/>
      <c r="I954" s="85"/>
      <c r="J954" s="85"/>
      <c r="K954" s="85"/>
      <c r="L954" s="85"/>
      <c r="M954" s="85"/>
      <c r="N954" s="85"/>
      <c r="O954" s="85"/>
      <c r="P954" s="85"/>
      <c r="Q954" s="85"/>
      <c r="R954" s="85"/>
      <c r="S954" s="89"/>
      <c r="T954" s="89" t="s">
        <v>1124</v>
      </c>
      <c r="U954" s="85"/>
      <c r="V954" s="85"/>
      <c r="W954" s="85"/>
      <c r="X954" s="89" t="s">
        <v>1124</v>
      </c>
      <c r="Y954" s="79"/>
      <c r="Z954" s="79"/>
      <c r="AA954" s="94"/>
      <c r="AB954" s="79" t="s">
        <v>1124</v>
      </c>
      <c r="AC954" s="85"/>
      <c r="AD954" s="85"/>
      <c r="AE954" s="85"/>
      <c r="AF954" s="85"/>
      <c r="AG954" s="85" t="s">
        <v>1124</v>
      </c>
      <c r="AH954" s="85"/>
      <c r="AI954" s="85"/>
      <c r="AJ954" s="85"/>
      <c r="AK954" s="85"/>
      <c r="AL954" s="85"/>
      <c r="AM954" s="85"/>
      <c r="AN954" s="85"/>
      <c r="AO954" s="85"/>
      <c r="AP954" s="85"/>
      <c r="AQ954" s="85"/>
      <c r="AR954" s="85" t="s">
        <v>1124</v>
      </c>
      <c r="AS954" s="85"/>
      <c r="AT954" s="85"/>
      <c r="AU954" s="85"/>
      <c r="AV954" s="85"/>
      <c r="AW954" s="85"/>
      <c r="AX954" s="85"/>
      <c r="AY954" s="85"/>
      <c r="AZ954" s="85"/>
      <c r="BA954" s="85"/>
      <c r="BB954" s="89"/>
      <c r="BC954" s="89" t="s">
        <v>1124</v>
      </c>
      <c r="BD954" s="37"/>
      <c r="BE954" s="37"/>
      <c r="BF954" s="279"/>
      <c r="BG954" s="37"/>
      <c r="BH954" s="37"/>
      <c r="BI954" s="37"/>
      <c r="BJ954" s="283"/>
      <c r="BK954" s="161"/>
      <c r="BL954" s="294"/>
      <c r="BM954"/>
      <c r="BN954"/>
      <c r="BO954"/>
      <c r="BP954"/>
      <c r="BQ954"/>
      <c r="BR954"/>
      <c r="BS954"/>
      <c r="BT954"/>
      <c r="BU954"/>
      <c r="BV954"/>
      <c r="BW954"/>
      <c r="BX954"/>
      <c r="BY954"/>
      <c r="BZ954"/>
      <c r="CA954"/>
      <c r="CB954"/>
      <c r="CC954"/>
      <c r="CD954"/>
      <c r="CE954"/>
      <c r="CF954"/>
      <c r="CG954"/>
      <c r="CH954"/>
      <c r="CI954"/>
      <c r="CJ954"/>
    </row>
    <row r="955" spans="1:88" s="32" customFormat="1" ht="15" customHeight="1" x14ac:dyDescent="0.35">
      <c r="A955" s="473"/>
      <c r="B955" s="314">
        <v>32050</v>
      </c>
      <c r="C955" s="8" t="s">
        <v>261</v>
      </c>
      <c r="D955" s="18">
        <v>17</v>
      </c>
      <c r="E955" s="251"/>
      <c r="F955" s="82"/>
      <c r="G955" s="79"/>
      <c r="H955" s="90"/>
      <c r="I955" s="85"/>
      <c r="J955" s="85"/>
      <c r="K955" s="85"/>
      <c r="L955" s="85"/>
      <c r="M955" s="85"/>
      <c r="N955" s="85"/>
      <c r="O955" s="85"/>
      <c r="P955" s="85"/>
      <c r="Q955" s="85"/>
      <c r="R955" s="85"/>
      <c r="S955" s="89"/>
      <c r="T955" s="89" t="s">
        <v>1124</v>
      </c>
      <c r="U955" s="85"/>
      <c r="V955" s="85"/>
      <c r="W955" s="85"/>
      <c r="X955" s="89" t="s">
        <v>1124</v>
      </c>
      <c r="Y955" s="79"/>
      <c r="Z955" s="79"/>
      <c r="AA955" s="94"/>
      <c r="AB955" s="79" t="s">
        <v>1124</v>
      </c>
      <c r="AC955" s="85"/>
      <c r="AD955" s="85"/>
      <c r="AE955" s="85"/>
      <c r="AF955" s="85"/>
      <c r="AG955" s="85" t="s">
        <v>1124</v>
      </c>
      <c r="AH955" s="85"/>
      <c r="AI955" s="85"/>
      <c r="AJ955" s="85"/>
      <c r="AK955" s="85"/>
      <c r="AL955" s="85"/>
      <c r="AM955" s="85"/>
      <c r="AN955" s="85"/>
      <c r="AO955" s="85"/>
      <c r="AP955" s="85"/>
      <c r="AQ955" s="85"/>
      <c r="AR955" s="85" t="s">
        <v>1124</v>
      </c>
      <c r="AS955" s="85"/>
      <c r="AT955" s="85"/>
      <c r="AU955" s="85"/>
      <c r="AV955" s="85"/>
      <c r="AW955" s="85"/>
      <c r="AX955" s="85"/>
      <c r="AY955" s="85"/>
      <c r="AZ955" s="85"/>
      <c r="BA955" s="85"/>
      <c r="BB955" s="89"/>
      <c r="BC955" s="89" t="s">
        <v>1124</v>
      </c>
      <c r="BD955" s="37"/>
      <c r="BE955" s="37"/>
      <c r="BF955" s="279"/>
      <c r="BG955" s="37"/>
      <c r="BH955" s="37"/>
      <c r="BI955" s="37"/>
      <c r="BJ955" s="283"/>
      <c r="BK955" s="161"/>
      <c r="BL955" s="294"/>
      <c r="BM955"/>
      <c r="BN955"/>
      <c r="BO955"/>
      <c r="BP955"/>
      <c r="BQ955"/>
      <c r="BR955"/>
      <c r="BS955"/>
      <c r="BT955"/>
      <c r="BU955"/>
      <c r="BV955"/>
      <c r="BW955"/>
      <c r="BX955"/>
      <c r="BY955"/>
      <c r="BZ955"/>
      <c r="CA955"/>
      <c r="CB955"/>
      <c r="CC955"/>
      <c r="CD955"/>
      <c r="CE955"/>
      <c r="CF955"/>
      <c r="CG955"/>
      <c r="CH955"/>
      <c r="CI955"/>
      <c r="CJ955"/>
    </row>
    <row r="956" spans="1:88" s="32" customFormat="1" ht="15" customHeight="1" x14ac:dyDescent="0.35">
      <c r="A956" s="473"/>
      <c r="B956" s="313">
        <v>31135</v>
      </c>
      <c r="C956" s="8" t="s">
        <v>254</v>
      </c>
      <c r="D956" s="18">
        <v>12</v>
      </c>
      <c r="E956" s="251"/>
      <c r="F956" s="82"/>
      <c r="G956" s="79"/>
      <c r="H956" s="90"/>
      <c r="I956" s="85"/>
      <c r="J956" s="85"/>
      <c r="K956" s="85"/>
      <c r="L956" s="85"/>
      <c r="M956" s="85"/>
      <c r="N956" s="85"/>
      <c r="O956" s="85"/>
      <c r="P956" s="85"/>
      <c r="Q956" s="85"/>
      <c r="R956" s="85"/>
      <c r="S956" s="89"/>
      <c r="T956" s="89" t="s">
        <v>1124</v>
      </c>
      <c r="U956" s="85"/>
      <c r="V956" s="85"/>
      <c r="W956" s="85"/>
      <c r="X956" s="89" t="s">
        <v>1124</v>
      </c>
      <c r="Y956" s="79"/>
      <c r="Z956" s="79"/>
      <c r="AA956" s="94"/>
      <c r="AB956" s="79" t="s">
        <v>1124</v>
      </c>
      <c r="AC956" s="85"/>
      <c r="AD956" s="85"/>
      <c r="AE956" s="85"/>
      <c r="AF956" s="85"/>
      <c r="AG956" s="85" t="s">
        <v>1124</v>
      </c>
      <c r="AH956" s="85"/>
      <c r="AI956" s="85"/>
      <c r="AJ956" s="85"/>
      <c r="AK956" s="85"/>
      <c r="AL956" s="85"/>
      <c r="AM956" s="85"/>
      <c r="AN956" s="85"/>
      <c r="AO956" s="85"/>
      <c r="AP956" s="85"/>
      <c r="AQ956" s="85"/>
      <c r="AR956" s="85" t="s">
        <v>1124</v>
      </c>
      <c r="AS956" s="85"/>
      <c r="AT956" s="85"/>
      <c r="AU956" s="85"/>
      <c r="AV956" s="85"/>
      <c r="AW956" s="85"/>
      <c r="AX956" s="85"/>
      <c r="AY956" s="85"/>
      <c r="AZ956" s="85"/>
      <c r="BA956" s="85"/>
      <c r="BB956" s="89"/>
      <c r="BC956" s="89" t="s">
        <v>1124</v>
      </c>
      <c r="BD956" s="37"/>
      <c r="BE956" s="37"/>
      <c r="BF956" s="279"/>
      <c r="BG956" s="37"/>
      <c r="BH956" s="37"/>
      <c r="BI956" s="37"/>
      <c r="BJ956" s="283"/>
      <c r="BK956" s="161"/>
      <c r="BL956" s="294"/>
      <c r="BM956"/>
      <c r="BN956"/>
      <c r="BO956"/>
      <c r="BP956"/>
      <c r="BQ956"/>
      <c r="BR956"/>
      <c r="BS956"/>
      <c r="BT956"/>
      <c r="BU956"/>
      <c r="BV956"/>
      <c r="BW956"/>
      <c r="BX956"/>
      <c r="BY956"/>
      <c r="BZ956"/>
      <c r="CA956"/>
      <c r="CB956"/>
      <c r="CC956"/>
      <c r="CD956"/>
      <c r="CE956"/>
      <c r="CF956"/>
      <c r="CG956"/>
      <c r="CH956"/>
      <c r="CI956"/>
      <c r="CJ956"/>
    </row>
    <row r="957" spans="1:88" s="32" customFormat="1" ht="15" customHeight="1" x14ac:dyDescent="0.35">
      <c r="A957" s="473"/>
      <c r="B957" s="313">
        <v>13075</v>
      </c>
      <c r="C957" s="8" t="s">
        <v>54</v>
      </c>
      <c r="D957" s="18">
        <v>1</v>
      </c>
      <c r="E957" s="251"/>
      <c r="F957" s="82"/>
      <c r="G957" s="79"/>
      <c r="H957" s="90"/>
      <c r="I957" s="85"/>
      <c r="J957" s="85"/>
      <c r="K957" s="85"/>
      <c r="L957" s="85"/>
      <c r="M957" s="85"/>
      <c r="N957" s="85"/>
      <c r="O957" s="85"/>
      <c r="P957" s="85"/>
      <c r="Q957" s="85"/>
      <c r="R957" s="85"/>
      <c r="S957" s="89"/>
      <c r="T957" s="89" t="s">
        <v>1124</v>
      </c>
      <c r="U957" s="85"/>
      <c r="V957" s="85"/>
      <c r="W957" s="85"/>
      <c r="X957" s="89" t="s">
        <v>1124</v>
      </c>
      <c r="Y957" s="79"/>
      <c r="Z957" s="79"/>
      <c r="AA957" s="94"/>
      <c r="AB957" s="79" t="s">
        <v>1124</v>
      </c>
      <c r="AC957" s="85"/>
      <c r="AD957" s="85"/>
      <c r="AE957" s="85"/>
      <c r="AF957" s="85"/>
      <c r="AG957" s="85" t="s">
        <v>1124</v>
      </c>
      <c r="AH957" s="85"/>
      <c r="AI957" s="85"/>
      <c r="AJ957" s="85"/>
      <c r="AK957" s="85"/>
      <c r="AL957" s="85"/>
      <c r="AM957" s="85"/>
      <c r="AN957" s="85"/>
      <c r="AO957" s="85"/>
      <c r="AP957" s="85"/>
      <c r="AQ957" s="85"/>
      <c r="AR957" s="85" t="s">
        <v>1124</v>
      </c>
      <c r="AS957" s="85"/>
      <c r="AT957" s="85"/>
      <c r="AU957" s="85"/>
      <c r="AV957" s="85"/>
      <c r="AW957" s="85"/>
      <c r="AX957" s="85"/>
      <c r="AY957" s="85"/>
      <c r="AZ957" s="85"/>
      <c r="BA957" s="85"/>
      <c r="BB957" s="89"/>
      <c r="BC957" s="89" t="s">
        <v>1124</v>
      </c>
      <c r="BD957" s="37"/>
      <c r="BE957" s="37"/>
      <c r="BF957" s="279"/>
      <c r="BG957" s="37"/>
      <c r="BH957" s="37"/>
      <c r="BI957" s="37"/>
      <c r="BJ957" s="283"/>
      <c r="BK957" s="161"/>
      <c r="BL957" s="294"/>
      <c r="BM957"/>
      <c r="BN957"/>
      <c r="BO957"/>
      <c r="BP957"/>
      <c r="BQ957"/>
      <c r="BR957"/>
      <c r="BS957"/>
      <c r="BT957"/>
      <c r="BU957"/>
      <c r="BV957"/>
      <c r="BW957"/>
      <c r="BX957"/>
      <c r="BY957"/>
      <c r="BZ957"/>
      <c r="CA957"/>
      <c r="CB957"/>
      <c r="CC957"/>
      <c r="CD957"/>
      <c r="CE957"/>
      <c r="CF957"/>
      <c r="CG957"/>
      <c r="CH957"/>
      <c r="CI957"/>
      <c r="CJ957"/>
    </row>
    <row r="958" spans="1:88" s="32" customFormat="1" ht="15" customHeight="1" x14ac:dyDescent="0.35">
      <c r="A958" s="473"/>
      <c r="B958" s="313">
        <v>18055</v>
      </c>
      <c r="C958" s="8" t="s">
        <v>114</v>
      </c>
      <c r="D958" s="18">
        <v>12</v>
      </c>
      <c r="E958" s="251"/>
      <c r="F958" s="82"/>
      <c r="G958" s="79"/>
      <c r="H958" s="90"/>
      <c r="I958" s="85"/>
      <c r="J958" s="85"/>
      <c r="K958" s="85"/>
      <c r="L958" s="85"/>
      <c r="M958" s="85"/>
      <c r="N958" s="85"/>
      <c r="O958" s="85"/>
      <c r="P958" s="85"/>
      <c r="Q958" s="85"/>
      <c r="R958" s="85"/>
      <c r="S958" s="89"/>
      <c r="T958" s="89" t="s">
        <v>1124</v>
      </c>
      <c r="U958" s="85"/>
      <c r="V958" s="85"/>
      <c r="W958" s="85"/>
      <c r="X958" s="89" t="s">
        <v>1124</v>
      </c>
      <c r="Y958" s="79"/>
      <c r="Z958" s="79"/>
      <c r="AA958" s="94"/>
      <c r="AB958" s="79" t="s">
        <v>1124</v>
      </c>
      <c r="AC958" s="85"/>
      <c r="AD958" s="85"/>
      <c r="AE958" s="85"/>
      <c r="AF958" s="85"/>
      <c r="AG958" s="85" t="s">
        <v>1124</v>
      </c>
      <c r="AH958" s="85"/>
      <c r="AI958" s="85"/>
      <c r="AJ958" s="85"/>
      <c r="AK958" s="85"/>
      <c r="AL958" s="85"/>
      <c r="AM958" s="85"/>
      <c r="AN958" s="85"/>
      <c r="AO958" s="85"/>
      <c r="AP958" s="85"/>
      <c r="AQ958" s="85"/>
      <c r="AR958" s="85" t="s">
        <v>1124</v>
      </c>
      <c r="AS958" s="85"/>
      <c r="AT958" s="85"/>
      <c r="AU958" s="85"/>
      <c r="AV958" s="85"/>
      <c r="AW958" s="85"/>
      <c r="AX958" s="85"/>
      <c r="AY958" s="85"/>
      <c r="AZ958" s="85"/>
      <c r="BA958" s="85"/>
      <c r="BB958" s="89"/>
      <c r="BC958" s="89" t="s">
        <v>1124</v>
      </c>
      <c r="BD958" s="37"/>
      <c r="BE958" s="37"/>
      <c r="BF958" s="279"/>
      <c r="BG958" s="37"/>
      <c r="BH958" s="37"/>
      <c r="BI958" s="37"/>
      <c r="BJ958" s="283"/>
      <c r="BK958" s="161"/>
      <c r="BL958" s="294"/>
      <c r="BM958"/>
      <c r="BN958"/>
      <c r="BO958"/>
      <c r="BP958"/>
      <c r="BQ958"/>
      <c r="BR958"/>
      <c r="BS958"/>
      <c r="BT958"/>
      <c r="BU958"/>
      <c r="BV958"/>
      <c r="BW958"/>
      <c r="BX958"/>
      <c r="BY958"/>
      <c r="BZ958"/>
      <c r="CA958"/>
      <c r="CB958"/>
      <c r="CC958"/>
      <c r="CD958"/>
      <c r="CE958"/>
      <c r="CF958"/>
      <c r="CG958"/>
      <c r="CH958"/>
      <c r="CI958"/>
      <c r="CJ958"/>
    </row>
    <row r="959" spans="1:88" s="32" customFormat="1" ht="15" customHeight="1" x14ac:dyDescent="0.35">
      <c r="A959" s="473"/>
      <c r="B959" s="313">
        <v>20025</v>
      </c>
      <c r="C959" s="8" t="s">
        <v>142</v>
      </c>
      <c r="D959" s="18">
        <v>3</v>
      </c>
      <c r="E959" s="251"/>
      <c r="F959" s="82"/>
      <c r="G959" s="79"/>
      <c r="H959" s="90"/>
      <c r="I959" s="85"/>
      <c r="J959" s="85"/>
      <c r="K959" s="85"/>
      <c r="L959" s="85"/>
      <c r="M959" s="85"/>
      <c r="N959" s="85"/>
      <c r="O959" s="85"/>
      <c r="P959" s="85"/>
      <c r="Q959" s="85"/>
      <c r="R959" s="85"/>
      <c r="S959" s="89"/>
      <c r="T959" s="89" t="s">
        <v>1124</v>
      </c>
      <c r="U959" s="85"/>
      <c r="V959" s="85"/>
      <c r="W959" s="85"/>
      <c r="X959" s="89" t="s">
        <v>1124</v>
      </c>
      <c r="Y959" s="79"/>
      <c r="Z959" s="79"/>
      <c r="AA959" s="94"/>
      <c r="AB959" s="79" t="s">
        <v>1124</v>
      </c>
      <c r="AC959" s="85"/>
      <c r="AD959" s="85"/>
      <c r="AE959" s="85"/>
      <c r="AF959" s="85"/>
      <c r="AG959" s="85" t="s">
        <v>1124</v>
      </c>
      <c r="AH959" s="85"/>
      <c r="AI959" s="85"/>
      <c r="AJ959" s="85"/>
      <c r="AK959" s="85"/>
      <c r="AL959" s="85"/>
      <c r="AM959" s="85"/>
      <c r="AN959" s="85"/>
      <c r="AO959" s="85"/>
      <c r="AP959" s="85"/>
      <c r="AQ959" s="85"/>
      <c r="AR959" s="85" t="s">
        <v>1124</v>
      </c>
      <c r="AS959" s="85"/>
      <c r="AT959" s="85"/>
      <c r="AU959" s="85"/>
      <c r="AV959" s="85"/>
      <c r="AW959" s="85"/>
      <c r="AX959" s="85"/>
      <c r="AY959" s="85"/>
      <c r="AZ959" s="85"/>
      <c r="BA959" s="85"/>
      <c r="BB959" s="89"/>
      <c r="BC959" s="89" t="s">
        <v>1124</v>
      </c>
      <c r="BD959" s="37"/>
      <c r="BE959" s="37"/>
      <c r="BF959" s="279"/>
      <c r="BG959" s="37"/>
      <c r="BH959" s="37"/>
      <c r="BI959" s="37"/>
      <c r="BJ959" s="283"/>
      <c r="BK959" s="161"/>
      <c r="BL959" s="294"/>
      <c r="BM959"/>
      <c r="BN959"/>
      <c r="BO959"/>
      <c r="BP959"/>
      <c r="BQ959"/>
      <c r="BR959"/>
      <c r="BS959"/>
      <c r="BT959"/>
      <c r="BU959"/>
      <c r="BV959"/>
      <c r="BW959"/>
      <c r="BX959"/>
      <c r="BY959"/>
      <c r="BZ959"/>
      <c r="CA959"/>
      <c r="CB959"/>
      <c r="CC959"/>
      <c r="CD959"/>
      <c r="CE959"/>
      <c r="CF959"/>
      <c r="CG959"/>
      <c r="CH959"/>
      <c r="CI959"/>
      <c r="CJ959"/>
    </row>
    <row r="960" spans="1:88" s="32" customFormat="1" ht="15" customHeight="1" x14ac:dyDescent="0.35">
      <c r="A960" s="473"/>
      <c r="B960" s="313">
        <v>38065</v>
      </c>
      <c r="C960" s="8" t="s">
        <v>335</v>
      </c>
      <c r="D960" s="18">
        <v>17</v>
      </c>
      <c r="E960" s="251">
        <v>586</v>
      </c>
      <c r="F960" s="82">
        <v>2.095412844036697</v>
      </c>
      <c r="G960" s="79">
        <v>1227.9119266055045</v>
      </c>
      <c r="H960" s="90">
        <v>26.471</v>
      </c>
      <c r="I960" s="85">
        <v>28.224</v>
      </c>
      <c r="J960" s="85">
        <v>36.503</v>
      </c>
      <c r="K960" s="85">
        <v>39.241</v>
      </c>
      <c r="L960" s="85">
        <v>43.383000000000003</v>
      </c>
      <c r="M960" s="85">
        <v>28.754000000000001</v>
      </c>
      <c r="N960" s="85">
        <v>32.716999999999999</v>
      </c>
      <c r="O960" s="85">
        <v>30.605</v>
      </c>
      <c r="P960" s="85">
        <v>27.631</v>
      </c>
      <c r="Q960" s="85">
        <v>27.885999999999999</v>
      </c>
      <c r="R960" s="85">
        <v>24.93</v>
      </c>
      <c r="S960" s="89">
        <v>26.97</v>
      </c>
      <c r="T960" s="89">
        <v>373.31500000000005</v>
      </c>
      <c r="U960" s="85">
        <v>373.315</v>
      </c>
      <c r="V960" s="85">
        <v>0</v>
      </c>
      <c r="W960" s="85">
        <v>0</v>
      </c>
      <c r="X960" s="89">
        <v>373.315</v>
      </c>
      <c r="Y960" s="79">
        <v>1</v>
      </c>
      <c r="Z960" s="79">
        <v>0</v>
      </c>
      <c r="AA960" s="94">
        <v>0</v>
      </c>
      <c r="AB960" s="79">
        <v>1</v>
      </c>
      <c r="AC960" s="85">
        <v>226.62799999999999</v>
      </c>
      <c r="AD960" s="85">
        <v>28.659000000000006</v>
      </c>
      <c r="AE960" s="85">
        <v>29.036000000000001</v>
      </c>
      <c r="AF960" s="85">
        <v>88.992000000000004</v>
      </c>
      <c r="AG960" s="85">
        <v>373.315</v>
      </c>
      <c r="AH960" s="85">
        <v>373.315</v>
      </c>
      <c r="AI960" s="85">
        <v>0</v>
      </c>
      <c r="AJ960" s="85">
        <v>0</v>
      </c>
      <c r="AK960" s="85">
        <v>0</v>
      </c>
      <c r="AL960" s="85">
        <v>0</v>
      </c>
      <c r="AM960" s="85">
        <v>0</v>
      </c>
      <c r="AN960" s="85">
        <v>0</v>
      </c>
      <c r="AO960" s="85">
        <v>0</v>
      </c>
      <c r="AP960" s="85">
        <v>0</v>
      </c>
      <c r="AQ960" s="85">
        <v>0</v>
      </c>
      <c r="AR960" s="85">
        <v>373.315</v>
      </c>
      <c r="AS960" s="85">
        <v>0</v>
      </c>
      <c r="AT960" s="85">
        <v>0</v>
      </c>
      <c r="AU960" s="85">
        <v>0</v>
      </c>
      <c r="AV960" s="85">
        <v>0</v>
      </c>
      <c r="AW960" s="85">
        <v>0</v>
      </c>
      <c r="AX960" s="85">
        <v>0</v>
      </c>
      <c r="AY960" s="85">
        <v>0</v>
      </c>
      <c r="AZ960" s="85">
        <v>0</v>
      </c>
      <c r="BA960" s="85">
        <v>0</v>
      </c>
      <c r="BB960" s="89">
        <v>0</v>
      </c>
      <c r="BC960" s="89">
        <v>0</v>
      </c>
      <c r="BD960" s="37">
        <v>0</v>
      </c>
      <c r="BE960" s="37">
        <v>0</v>
      </c>
      <c r="BF960" s="279">
        <v>22480</v>
      </c>
      <c r="BG960" s="37">
        <v>28853</v>
      </c>
      <c r="BH960" s="37">
        <v>15439</v>
      </c>
      <c r="BI960" s="37">
        <v>3103</v>
      </c>
      <c r="BJ960" s="283">
        <v>69875</v>
      </c>
      <c r="BK960" s="161"/>
      <c r="BL960" s="294"/>
      <c r="BM960"/>
      <c r="BN960"/>
      <c r="BO960"/>
      <c r="BP960"/>
      <c r="BQ960"/>
      <c r="BR960"/>
      <c r="BS960"/>
      <c r="BT960"/>
      <c r="BU960"/>
      <c r="BV960"/>
      <c r="BW960"/>
      <c r="BX960"/>
      <c r="BY960"/>
      <c r="BZ960"/>
      <c r="CA960"/>
      <c r="CB960"/>
      <c r="CC960"/>
      <c r="CD960"/>
      <c r="CE960"/>
      <c r="CF960"/>
      <c r="CG960"/>
      <c r="CH960"/>
      <c r="CI960"/>
      <c r="CJ960"/>
    </row>
    <row r="961" spans="1:88" s="32" customFormat="1" ht="15" customHeight="1" x14ac:dyDescent="0.35">
      <c r="A961" s="473"/>
      <c r="B961" s="313">
        <v>72043</v>
      </c>
      <c r="C961" s="8" t="s">
        <v>733</v>
      </c>
      <c r="D961" s="18">
        <v>15</v>
      </c>
      <c r="E961" s="251">
        <v>206</v>
      </c>
      <c r="F961" s="82">
        <v>2.1977186311787071</v>
      </c>
      <c r="G961" s="79">
        <v>452.73003802281369</v>
      </c>
      <c r="H961" s="90">
        <v>6.5824175824175821</v>
      </c>
      <c r="I961" s="85">
        <v>5.0934065934065931</v>
      </c>
      <c r="J961" s="85">
        <v>6.1813186813186807</v>
      </c>
      <c r="K961" s="85">
        <v>6.0648351648351646</v>
      </c>
      <c r="L961" s="85">
        <v>6.7274725274725276</v>
      </c>
      <c r="M961" s="85">
        <v>7.6956043956043958</v>
      </c>
      <c r="N961" s="85">
        <v>9.3747252747252752</v>
      </c>
      <c r="O961" s="85">
        <v>9.8219780219780226</v>
      </c>
      <c r="P961" s="85">
        <v>7.3296703296703294</v>
      </c>
      <c r="Q961" s="85">
        <v>4.5978021978021975</v>
      </c>
      <c r="R961" s="85">
        <v>4.0714285714285712</v>
      </c>
      <c r="S961" s="89">
        <v>4.6714285714285717</v>
      </c>
      <c r="T961" s="89">
        <v>78.212087912087924</v>
      </c>
      <c r="U961" s="85">
        <v>0</v>
      </c>
      <c r="V961" s="85">
        <v>78.212000000000003</v>
      </c>
      <c r="W961" s="85">
        <v>0</v>
      </c>
      <c r="X961" s="89">
        <v>78.212000000000003</v>
      </c>
      <c r="Y961" s="79">
        <v>0</v>
      </c>
      <c r="Z961" s="79">
        <v>1</v>
      </c>
      <c r="AA961" s="94">
        <v>0</v>
      </c>
      <c r="AB961" s="79">
        <v>1</v>
      </c>
      <c r="AC961" s="85">
        <v>23.701000000000001</v>
      </c>
      <c r="AD961" s="85">
        <v>10.391000000000005</v>
      </c>
      <c r="AE961" s="85">
        <v>44.12</v>
      </c>
      <c r="AF961" s="85">
        <v>0</v>
      </c>
      <c r="AG961" s="85">
        <v>78.212000000000003</v>
      </c>
      <c r="AH961" s="85">
        <v>0</v>
      </c>
      <c r="AI961" s="85">
        <v>0</v>
      </c>
      <c r="AJ961" s="85">
        <v>0</v>
      </c>
      <c r="AK961" s="85">
        <v>0</v>
      </c>
      <c r="AL961" s="85">
        <v>0</v>
      </c>
      <c r="AM961" s="85">
        <v>0</v>
      </c>
      <c r="AN961" s="85">
        <v>0</v>
      </c>
      <c r="AO961" s="85">
        <v>0</v>
      </c>
      <c r="AP961" s="85">
        <v>0</v>
      </c>
      <c r="AQ961" s="85">
        <v>0</v>
      </c>
      <c r="AR961" s="85">
        <v>0</v>
      </c>
      <c r="AS961" s="85">
        <v>0</v>
      </c>
      <c r="AT961" s="85">
        <v>0</v>
      </c>
      <c r="AU961" s="85">
        <v>0</v>
      </c>
      <c r="AV961" s="85">
        <v>0</v>
      </c>
      <c r="AW961" s="85">
        <v>0</v>
      </c>
      <c r="AX961" s="85">
        <v>0</v>
      </c>
      <c r="AY961" s="85">
        <v>0</v>
      </c>
      <c r="AZ961" s="85">
        <v>78.212000000000003</v>
      </c>
      <c r="BA961" s="85">
        <v>0</v>
      </c>
      <c r="BB961" s="89">
        <v>0</v>
      </c>
      <c r="BC961" s="89">
        <v>78.212000000000003</v>
      </c>
      <c r="BD961" s="37">
        <v>0</v>
      </c>
      <c r="BE961" s="37">
        <v>0</v>
      </c>
      <c r="BF961" s="279">
        <v>615</v>
      </c>
      <c r="BG961" s="37">
        <v>13610</v>
      </c>
      <c r="BH961" s="37">
        <v>4879</v>
      </c>
      <c r="BI961" s="37">
        <v>340</v>
      </c>
      <c r="BJ961" s="283">
        <v>19444</v>
      </c>
      <c r="BK961" s="161"/>
      <c r="BL961" s="294"/>
      <c r="BM961"/>
      <c r="BN961"/>
      <c r="BO961"/>
      <c r="BP961"/>
      <c r="BQ961"/>
      <c r="BR961"/>
      <c r="BS961"/>
      <c r="BT961"/>
      <c r="BU961"/>
      <c r="BV961"/>
      <c r="BW961"/>
      <c r="BX961"/>
      <c r="BY961"/>
      <c r="BZ961"/>
      <c r="CA961"/>
      <c r="CB961"/>
      <c r="CC961"/>
      <c r="CD961"/>
      <c r="CE961"/>
      <c r="CF961"/>
      <c r="CG961"/>
      <c r="CH961"/>
      <c r="CI961"/>
      <c r="CJ961"/>
    </row>
    <row r="962" spans="1:88" s="32" customFormat="1" ht="15" customHeight="1" x14ac:dyDescent="0.35">
      <c r="A962" s="473"/>
      <c r="B962" s="313">
        <v>71020</v>
      </c>
      <c r="C962" s="8" t="s">
        <v>706</v>
      </c>
      <c r="D962" s="18">
        <v>16</v>
      </c>
      <c r="E962" s="251">
        <v>1090</v>
      </c>
      <c r="F962" s="82">
        <v>2.3465045592705169</v>
      </c>
      <c r="G962" s="79">
        <v>2557.6899696048636</v>
      </c>
      <c r="H962" s="90">
        <v>17.746000000000002</v>
      </c>
      <c r="I962" s="85">
        <v>17.084</v>
      </c>
      <c r="J962" s="85">
        <v>21.192</v>
      </c>
      <c r="K962" s="85">
        <v>21.247999999999998</v>
      </c>
      <c r="L962" s="85">
        <v>21.22</v>
      </c>
      <c r="M962" s="85">
        <v>20.192</v>
      </c>
      <c r="N962" s="85">
        <v>21.920999999999999</v>
      </c>
      <c r="O962" s="85">
        <v>20.725000000000001</v>
      </c>
      <c r="P962" s="85">
        <v>18.421999999999997</v>
      </c>
      <c r="Q962" s="85">
        <v>18.033000000000001</v>
      </c>
      <c r="R962" s="85">
        <v>17.526</v>
      </c>
      <c r="S962" s="89">
        <v>17.602</v>
      </c>
      <c r="T962" s="89">
        <v>232.91099999999997</v>
      </c>
      <c r="U962" s="85">
        <v>133.95699999999999</v>
      </c>
      <c r="V962" s="85">
        <v>98.953999999999994</v>
      </c>
      <c r="W962" s="85">
        <v>0</v>
      </c>
      <c r="X962" s="89">
        <v>232.911</v>
      </c>
      <c r="Y962" s="79">
        <v>5</v>
      </c>
      <c r="Z962" s="79">
        <v>1</v>
      </c>
      <c r="AA962" s="94">
        <v>0</v>
      </c>
      <c r="AB962" s="79">
        <v>6</v>
      </c>
      <c r="AC962" s="85">
        <v>196.52819358816276</v>
      </c>
      <c r="AD962" s="85">
        <v>17.389927596047727</v>
      </c>
      <c r="AE962" s="85">
        <v>18.992878815789474</v>
      </c>
      <c r="AF962" s="85">
        <v>0</v>
      </c>
      <c r="AG962" s="85">
        <v>232.91099999999997</v>
      </c>
      <c r="AH962" s="85">
        <v>0</v>
      </c>
      <c r="AI962" s="85">
        <v>0</v>
      </c>
      <c r="AJ962" s="85">
        <v>0</v>
      </c>
      <c r="AK962" s="85">
        <v>0</v>
      </c>
      <c r="AL962" s="85">
        <v>0</v>
      </c>
      <c r="AM962" s="85">
        <v>0</v>
      </c>
      <c r="AN962" s="85">
        <v>133.95699999999999</v>
      </c>
      <c r="AO962" s="85">
        <v>0</v>
      </c>
      <c r="AP962" s="85">
        <v>0</v>
      </c>
      <c r="AQ962" s="85">
        <v>0</v>
      </c>
      <c r="AR962" s="85">
        <v>133.95699999999999</v>
      </c>
      <c r="AS962" s="85">
        <v>0</v>
      </c>
      <c r="AT962" s="85">
        <v>0</v>
      </c>
      <c r="AU962" s="85">
        <v>0</v>
      </c>
      <c r="AV962" s="85">
        <v>0</v>
      </c>
      <c r="AW962" s="85">
        <v>0</v>
      </c>
      <c r="AX962" s="85">
        <v>0</v>
      </c>
      <c r="AY962" s="85">
        <v>98.953999999999994</v>
      </c>
      <c r="AZ962" s="85">
        <v>0</v>
      </c>
      <c r="BA962" s="85">
        <v>0</v>
      </c>
      <c r="BB962" s="89">
        <v>0</v>
      </c>
      <c r="BC962" s="89">
        <v>98.953999999999994</v>
      </c>
      <c r="BD962" s="37">
        <v>0</v>
      </c>
      <c r="BE962" s="37">
        <v>0</v>
      </c>
      <c r="BF962" s="279">
        <v>0</v>
      </c>
      <c r="BG962" s="37">
        <v>0</v>
      </c>
      <c r="BH962" s="37">
        <v>0</v>
      </c>
      <c r="BI962" s="37">
        <v>115844</v>
      </c>
      <c r="BJ962" s="283">
        <v>115844</v>
      </c>
      <c r="BK962" s="161"/>
      <c r="BL962" s="294"/>
      <c r="BM962"/>
      <c r="BN962"/>
      <c r="BO962"/>
      <c r="BP962"/>
      <c r="BQ962"/>
      <c r="BR962"/>
      <c r="BS962"/>
      <c r="BT962"/>
      <c r="BU962"/>
      <c r="BV962"/>
      <c r="BW962"/>
      <c r="BX962"/>
      <c r="BY962"/>
      <c r="BZ962"/>
      <c r="CA962"/>
      <c r="CB962"/>
      <c r="CC962"/>
      <c r="CD962"/>
      <c r="CE962"/>
      <c r="CF962"/>
      <c r="CG962"/>
      <c r="CH962"/>
      <c r="CI962"/>
      <c r="CJ962"/>
    </row>
    <row r="963" spans="1:88" s="32" customFormat="1" ht="15" customHeight="1" x14ac:dyDescent="0.35">
      <c r="A963" s="473"/>
      <c r="B963" s="313">
        <v>91035</v>
      </c>
      <c r="C963" s="8" t="s">
        <v>943</v>
      </c>
      <c r="D963" s="18">
        <v>2</v>
      </c>
      <c r="E963" s="251"/>
      <c r="F963" s="82"/>
      <c r="G963" s="79"/>
      <c r="H963" s="90"/>
      <c r="I963" s="85"/>
      <c r="J963" s="85"/>
      <c r="K963" s="85"/>
      <c r="L963" s="85"/>
      <c r="M963" s="85"/>
      <c r="N963" s="85"/>
      <c r="O963" s="85"/>
      <c r="P963" s="85"/>
      <c r="Q963" s="85"/>
      <c r="R963" s="85"/>
      <c r="S963" s="89"/>
      <c r="T963" s="89" t="s">
        <v>1124</v>
      </c>
      <c r="U963" s="85"/>
      <c r="V963" s="85"/>
      <c r="W963" s="85"/>
      <c r="X963" s="89" t="s">
        <v>1124</v>
      </c>
      <c r="Y963" s="79"/>
      <c r="Z963" s="79"/>
      <c r="AA963" s="94"/>
      <c r="AB963" s="79" t="s">
        <v>1124</v>
      </c>
      <c r="AC963" s="85"/>
      <c r="AD963" s="85"/>
      <c r="AE963" s="85"/>
      <c r="AF963" s="85"/>
      <c r="AG963" s="85" t="s">
        <v>1124</v>
      </c>
      <c r="AH963" s="85"/>
      <c r="AI963" s="85"/>
      <c r="AJ963" s="85"/>
      <c r="AK963" s="85"/>
      <c r="AL963" s="85"/>
      <c r="AM963" s="85"/>
      <c r="AN963" s="85"/>
      <c r="AO963" s="85"/>
      <c r="AP963" s="85"/>
      <c r="AQ963" s="85"/>
      <c r="AR963" s="85" t="s">
        <v>1124</v>
      </c>
      <c r="AS963" s="85"/>
      <c r="AT963" s="85"/>
      <c r="AU963" s="85"/>
      <c r="AV963" s="85"/>
      <c r="AW963" s="85"/>
      <c r="AX963" s="85"/>
      <c r="AY963" s="85"/>
      <c r="AZ963" s="85"/>
      <c r="BA963" s="85"/>
      <c r="BB963" s="89"/>
      <c r="BC963" s="89" t="s">
        <v>1124</v>
      </c>
      <c r="BD963" s="37"/>
      <c r="BE963" s="37"/>
      <c r="BF963" s="279"/>
      <c r="BG963" s="37"/>
      <c r="BH963" s="37"/>
      <c r="BI963" s="37"/>
      <c r="BJ963" s="283"/>
      <c r="BK963" s="161"/>
      <c r="BL963" s="294"/>
      <c r="BM963"/>
      <c r="BN963"/>
      <c r="BO963"/>
      <c r="BP963"/>
      <c r="BQ963"/>
      <c r="BR963"/>
      <c r="BS963"/>
      <c r="BT963"/>
      <c r="BU963"/>
      <c r="BV963"/>
      <c r="BW963"/>
      <c r="BX963"/>
      <c r="BY963"/>
      <c r="BZ963"/>
      <c r="CA963"/>
      <c r="CB963"/>
      <c r="CC963"/>
      <c r="CD963"/>
      <c r="CE963"/>
      <c r="CF963"/>
      <c r="CG963"/>
      <c r="CH963"/>
      <c r="CI963"/>
      <c r="CJ963"/>
    </row>
    <row r="964" spans="1:88" s="32" customFormat="1" ht="15" customHeight="1" x14ac:dyDescent="0.35">
      <c r="A964" s="473"/>
      <c r="B964" s="313">
        <v>28020</v>
      </c>
      <c r="C964" s="8" t="s">
        <v>190</v>
      </c>
      <c r="D964" s="18">
        <v>12</v>
      </c>
      <c r="E964" s="251">
        <v>1253</v>
      </c>
      <c r="F964" s="82">
        <v>2.1093843395098624</v>
      </c>
      <c r="G964" s="79">
        <v>2643.0585774058577</v>
      </c>
      <c r="H964" s="90">
        <v>19.896999999999998</v>
      </c>
      <c r="I964" s="85">
        <v>19.827999999999999</v>
      </c>
      <c r="J964" s="85">
        <v>20.565000000000001</v>
      </c>
      <c r="K964" s="85">
        <v>19.297000000000001</v>
      </c>
      <c r="L964" s="85">
        <v>22.091000000000001</v>
      </c>
      <c r="M964" s="85">
        <v>23.532</v>
      </c>
      <c r="N964" s="85">
        <v>26.788</v>
      </c>
      <c r="O964" s="85">
        <v>24.492999999999999</v>
      </c>
      <c r="P964" s="85">
        <v>21.873999999999999</v>
      </c>
      <c r="Q964" s="85">
        <v>21.704999999999998</v>
      </c>
      <c r="R964" s="85">
        <v>20.457000000000001</v>
      </c>
      <c r="S964" s="89">
        <v>20.765999999999998</v>
      </c>
      <c r="T964" s="89">
        <v>261.29300000000001</v>
      </c>
      <c r="U964" s="85">
        <v>0</v>
      </c>
      <c r="V964" s="85">
        <v>261.29300000000001</v>
      </c>
      <c r="W964" s="85">
        <v>0</v>
      </c>
      <c r="X964" s="89">
        <v>261.29300000000001</v>
      </c>
      <c r="Y964" s="79">
        <v>0</v>
      </c>
      <c r="Z964" s="79">
        <v>2</v>
      </c>
      <c r="AA964" s="94">
        <v>0</v>
      </c>
      <c r="AB964" s="79">
        <v>2</v>
      </c>
      <c r="AC964" s="85">
        <v>211.43759254425612</v>
      </c>
      <c r="AD964" s="85">
        <v>13.058151455744053</v>
      </c>
      <c r="AE964" s="85">
        <v>36.797255999999834</v>
      </c>
      <c r="AF964" s="85">
        <v>0</v>
      </c>
      <c r="AG964" s="85">
        <v>261.29300000000001</v>
      </c>
      <c r="AH964" s="85">
        <v>0</v>
      </c>
      <c r="AI964" s="85">
        <v>0</v>
      </c>
      <c r="AJ964" s="85">
        <v>0</v>
      </c>
      <c r="AK964" s="85">
        <v>0</v>
      </c>
      <c r="AL964" s="85">
        <v>0</v>
      </c>
      <c r="AM964" s="85">
        <v>0</v>
      </c>
      <c r="AN964" s="85">
        <v>0</v>
      </c>
      <c r="AO964" s="85">
        <v>0</v>
      </c>
      <c r="AP964" s="85">
        <v>0</v>
      </c>
      <c r="AQ964" s="85">
        <v>0</v>
      </c>
      <c r="AR964" s="85">
        <v>0</v>
      </c>
      <c r="AS964" s="85">
        <v>0</v>
      </c>
      <c r="AT964" s="85">
        <v>0</v>
      </c>
      <c r="AU964" s="85">
        <v>0</v>
      </c>
      <c r="AV964" s="85">
        <v>0</v>
      </c>
      <c r="AW964" s="85">
        <v>0</v>
      </c>
      <c r="AX964" s="85">
        <v>0</v>
      </c>
      <c r="AY964" s="85">
        <v>261.29300000000001</v>
      </c>
      <c r="AZ964" s="85">
        <v>0</v>
      </c>
      <c r="BA964" s="85">
        <v>0</v>
      </c>
      <c r="BB964" s="89">
        <v>0</v>
      </c>
      <c r="BC964" s="89">
        <v>261.29300000000001</v>
      </c>
      <c r="BD964" s="37">
        <v>0</v>
      </c>
      <c r="BE964" s="37">
        <v>0</v>
      </c>
      <c r="BF964" s="279">
        <v>5121</v>
      </c>
      <c r="BG964" s="37">
        <v>30716</v>
      </c>
      <c r="BH964" s="37">
        <v>33621</v>
      </c>
      <c r="BI964" s="37">
        <v>28960</v>
      </c>
      <c r="BJ964" s="283">
        <v>98418</v>
      </c>
      <c r="BK964" s="161"/>
      <c r="BL964" s="294"/>
      <c r="BM964"/>
      <c r="BN964"/>
      <c r="BO964"/>
      <c r="BP964"/>
      <c r="BQ964"/>
      <c r="BR964"/>
      <c r="BS964"/>
      <c r="BT964"/>
      <c r="BU964"/>
      <c r="BV964"/>
      <c r="BW964"/>
      <c r="BX964"/>
      <c r="BY964"/>
      <c r="BZ964"/>
      <c r="CA964"/>
      <c r="CB964"/>
      <c r="CC964"/>
      <c r="CD964"/>
      <c r="CE964"/>
      <c r="CF964"/>
      <c r="CG964"/>
      <c r="CH964"/>
      <c r="CI964"/>
      <c r="CJ964"/>
    </row>
    <row r="965" spans="1:88" s="32" customFormat="1" ht="15" customHeight="1" x14ac:dyDescent="0.35">
      <c r="A965" s="473"/>
      <c r="B965" s="313">
        <v>37250</v>
      </c>
      <c r="C965" s="8" t="s">
        <v>324</v>
      </c>
      <c r="D965" s="18">
        <v>4</v>
      </c>
      <c r="E965" s="251">
        <v>232</v>
      </c>
      <c r="F965" s="82">
        <v>1.9368421052631579</v>
      </c>
      <c r="G965" s="79">
        <v>449.34736842105264</v>
      </c>
      <c r="H965" s="90">
        <v>10.731</v>
      </c>
      <c r="I965" s="85">
        <v>14.378</v>
      </c>
      <c r="J965" s="85">
        <v>13.021000000000001</v>
      </c>
      <c r="K965" s="85">
        <v>13.45</v>
      </c>
      <c r="L965" s="85">
        <v>14.839</v>
      </c>
      <c r="M965" s="85">
        <v>13.116</v>
      </c>
      <c r="N965" s="85">
        <v>13.587999999999999</v>
      </c>
      <c r="O965" s="85">
        <v>13.348000000000001</v>
      </c>
      <c r="P965" s="85">
        <v>10.707000000000001</v>
      </c>
      <c r="Q965" s="85">
        <v>10.394</v>
      </c>
      <c r="R965" s="85">
        <v>9.4459999999999997</v>
      </c>
      <c r="S965" s="89">
        <v>9.2680000000000007</v>
      </c>
      <c r="T965" s="89">
        <v>146.286</v>
      </c>
      <c r="U965" s="85">
        <v>0</v>
      </c>
      <c r="V965" s="85">
        <v>146.286</v>
      </c>
      <c r="W965" s="85">
        <v>0</v>
      </c>
      <c r="X965" s="89">
        <v>146.286</v>
      </c>
      <c r="Y965" s="79">
        <v>0</v>
      </c>
      <c r="Z965" s="79">
        <v>1</v>
      </c>
      <c r="AA965" s="94">
        <v>0</v>
      </c>
      <c r="AB965" s="79">
        <v>1</v>
      </c>
      <c r="AC965" s="85">
        <v>45.505355642023346</v>
      </c>
      <c r="AD965" s="85">
        <v>46.104920220045614</v>
      </c>
      <c r="AE965" s="85">
        <v>8.76</v>
      </c>
      <c r="AF965" s="85">
        <v>45.915724137931036</v>
      </c>
      <c r="AG965" s="85">
        <v>146.286</v>
      </c>
      <c r="AH965" s="85">
        <v>0</v>
      </c>
      <c r="AI965" s="85">
        <v>0</v>
      </c>
      <c r="AJ965" s="85">
        <v>0</v>
      </c>
      <c r="AK965" s="85">
        <v>0</v>
      </c>
      <c r="AL965" s="85">
        <v>0</v>
      </c>
      <c r="AM965" s="85">
        <v>0</v>
      </c>
      <c r="AN965" s="85">
        <v>0</v>
      </c>
      <c r="AO965" s="85">
        <v>0</v>
      </c>
      <c r="AP965" s="85">
        <v>0</v>
      </c>
      <c r="AQ965" s="85">
        <v>0</v>
      </c>
      <c r="AR965" s="85">
        <v>0</v>
      </c>
      <c r="AS965" s="85">
        <v>0</v>
      </c>
      <c r="AT965" s="85">
        <v>0</v>
      </c>
      <c r="AU965" s="85">
        <v>0</v>
      </c>
      <c r="AV965" s="85">
        <v>0</v>
      </c>
      <c r="AW965" s="85">
        <v>0</v>
      </c>
      <c r="AX965" s="85">
        <v>0</v>
      </c>
      <c r="AY965" s="85">
        <v>146.286</v>
      </c>
      <c r="AZ965" s="85">
        <v>0</v>
      </c>
      <c r="BA965" s="85">
        <v>0</v>
      </c>
      <c r="BB965" s="89">
        <v>0</v>
      </c>
      <c r="BC965" s="89">
        <v>146.286</v>
      </c>
      <c r="BD965" s="37">
        <v>0</v>
      </c>
      <c r="BE965" s="37">
        <v>0</v>
      </c>
      <c r="BF965" s="279">
        <v>12377</v>
      </c>
      <c r="BG965" s="37">
        <v>62826</v>
      </c>
      <c r="BH965" s="37">
        <v>18460</v>
      </c>
      <c r="BI965" s="37">
        <v>9514</v>
      </c>
      <c r="BJ965" s="283">
        <v>103177</v>
      </c>
      <c r="BK965" s="161"/>
      <c r="BL965" s="294"/>
      <c r="BM965"/>
      <c r="BN965"/>
      <c r="BO965"/>
      <c r="BP965"/>
      <c r="BQ965"/>
      <c r="BR965"/>
      <c r="BS965"/>
      <c r="BT965"/>
      <c r="BU965"/>
      <c r="BV965"/>
      <c r="BW965"/>
      <c r="BX965"/>
      <c r="BY965"/>
      <c r="BZ965"/>
      <c r="CA965"/>
      <c r="CB965"/>
      <c r="CC965"/>
      <c r="CD965"/>
      <c r="CE965"/>
      <c r="CF965"/>
      <c r="CG965"/>
      <c r="CH965"/>
      <c r="CI965"/>
      <c r="CJ965"/>
    </row>
    <row r="966" spans="1:88" s="32" customFormat="1" ht="15" customHeight="1" x14ac:dyDescent="0.35">
      <c r="A966" s="473"/>
      <c r="B966" s="313">
        <v>19082</v>
      </c>
      <c r="C966" s="8" t="s">
        <v>132</v>
      </c>
      <c r="D966" s="18">
        <v>12</v>
      </c>
      <c r="E966" s="251">
        <v>574</v>
      </c>
      <c r="F966" s="82">
        <v>2.2027522935779817</v>
      </c>
      <c r="G966" s="79">
        <v>1264.3798165137616</v>
      </c>
      <c r="H966" s="90">
        <v>9.5530000000000008</v>
      </c>
      <c r="I966" s="85">
        <v>13.276999999999999</v>
      </c>
      <c r="J966" s="85">
        <v>20.361000000000001</v>
      </c>
      <c r="K966" s="85">
        <v>17.977</v>
      </c>
      <c r="L966" s="85">
        <v>19.123000000000001</v>
      </c>
      <c r="M966" s="85">
        <v>20.411999999999999</v>
      </c>
      <c r="N966" s="85">
        <v>16.224</v>
      </c>
      <c r="O966" s="85">
        <v>13.601000000000001</v>
      </c>
      <c r="P966" s="85">
        <v>10.726000000000001</v>
      </c>
      <c r="Q966" s="85">
        <v>9.2270000000000003</v>
      </c>
      <c r="R966" s="85">
        <v>9.3670000000000009</v>
      </c>
      <c r="S966" s="89">
        <v>10.225</v>
      </c>
      <c r="T966" s="89">
        <v>170.07300000000001</v>
      </c>
      <c r="U966" s="85">
        <v>0</v>
      </c>
      <c r="V966" s="85">
        <v>170.07300000000001</v>
      </c>
      <c r="W966" s="85">
        <v>0</v>
      </c>
      <c r="X966" s="89">
        <v>170.07300000000001</v>
      </c>
      <c r="Y966" s="79">
        <v>0</v>
      </c>
      <c r="Z966" s="79">
        <v>5</v>
      </c>
      <c r="AA966" s="94">
        <v>0</v>
      </c>
      <c r="AB966" s="79">
        <v>5</v>
      </c>
      <c r="AC966" s="85">
        <v>122.9</v>
      </c>
      <c r="AD966" s="85">
        <v>37.664895999999992</v>
      </c>
      <c r="AE966" s="85">
        <v>9.5081040000000083</v>
      </c>
      <c r="AF966" s="85">
        <v>0</v>
      </c>
      <c r="AG966" s="85">
        <v>170.07300000000001</v>
      </c>
      <c r="AH966" s="85">
        <v>0</v>
      </c>
      <c r="AI966" s="85">
        <v>0</v>
      </c>
      <c r="AJ966" s="85">
        <v>0</v>
      </c>
      <c r="AK966" s="85">
        <v>0</v>
      </c>
      <c r="AL966" s="85">
        <v>0</v>
      </c>
      <c r="AM966" s="85">
        <v>0</v>
      </c>
      <c r="AN966" s="85">
        <v>0</v>
      </c>
      <c r="AO966" s="85">
        <v>0</v>
      </c>
      <c r="AP966" s="85">
        <v>0</v>
      </c>
      <c r="AQ966" s="85">
        <v>0</v>
      </c>
      <c r="AR966" s="85">
        <v>0</v>
      </c>
      <c r="AS966" s="85">
        <v>0</v>
      </c>
      <c r="AT966" s="85">
        <v>0</v>
      </c>
      <c r="AU966" s="85">
        <v>0</v>
      </c>
      <c r="AV966" s="85">
        <v>0</v>
      </c>
      <c r="AW966" s="85">
        <v>0</v>
      </c>
      <c r="AX966" s="85">
        <v>0</v>
      </c>
      <c r="AY966" s="85">
        <v>170.07300000000001</v>
      </c>
      <c r="AZ966" s="85">
        <v>0</v>
      </c>
      <c r="BA966" s="85">
        <v>0</v>
      </c>
      <c r="BB966" s="89">
        <v>0</v>
      </c>
      <c r="BC966" s="89">
        <v>170.07300000000001</v>
      </c>
      <c r="BD966" s="37">
        <v>0</v>
      </c>
      <c r="BE966" s="37">
        <v>0</v>
      </c>
      <c r="BF966" s="279">
        <v>75500</v>
      </c>
      <c r="BG966" s="37">
        <v>57000</v>
      </c>
      <c r="BH966" s="37">
        <v>23513</v>
      </c>
      <c r="BI966" s="37">
        <v>39878</v>
      </c>
      <c r="BJ966" s="283">
        <v>195891</v>
      </c>
      <c r="BK966" s="161"/>
      <c r="BL966" s="294"/>
      <c r="BM966"/>
      <c r="BN966"/>
      <c r="BO966"/>
      <c r="BP966"/>
      <c r="BQ966"/>
      <c r="BR966"/>
      <c r="BS966"/>
      <c r="BT966"/>
      <c r="BU966"/>
      <c r="BV966"/>
      <c r="BW966"/>
      <c r="BX966"/>
      <c r="BY966"/>
      <c r="BZ966"/>
      <c r="CA966"/>
      <c r="CB966"/>
      <c r="CC966"/>
      <c r="CD966"/>
      <c r="CE966"/>
      <c r="CF966"/>
      <c r="CG966"/>
      <c r="CH966"/>
      <c r="CI966"/>
      <c r="CJ966"/>
    </row>
    <row r="967" spans="1:88" s="32" customFormat="1" ht="15" customHeight="1" x14ac:dyDescent="0.35">
      <c r="A967" s="473"/>
      <c r="B967" s="313">
        <v>34128</v>
      </c>
      <c r="C967" s="8" t="s">
        <v>301</v>
      </c>
      <c r="D967" s="18">
        <v>3</v>
      </c>
      <c r="E967" s="251">
        <v>2560</v>
      </c>
      <c r="F967" s="82">
        <v>2.2823428448830723</v>
      </c>
      <c r="G967" s="79">
        <v>5842.7976829006648</v>
      </c>
      <c r="H967" s="90">
        <v>97.061999999999998</v>
      </c>
      <c r="I967" s="85">
        <v>95.317599999999999</v>
      </c>
      <c r="J967" s="85">
        <v>74.201599999999999</v>
      </c>
      <c r="K967" s="85">
        <v>69.634900000000002</v>
      </c>
      <c r="L967" s="85">
        <v>73.206999999999994</v>
      </c>
      <c r="M967" s="85">
        <v>73.634399999999999</v>
      </c>
      <c r="N967" s="85">
        <v>80.933599999999998</v>
      </c>
      <c r="O967" s="85">
        <v>74.779600000000002</v>
      </c>
      <c r="P967" s="85">
        <v>72.213800000000006</v>
      </c>
      <c r="Q967" s="85">
        <v>72.464200000000005</v>
      </c>
      <c r="R967" s="85">
        <v>64.194000000000003</v>
      </c>
      <c r="S967" s="89">
        <v>65.558800000000005</v>
      </c>
      <c r="T967" s="89">
        <v>913.2014999999999</v>
      </c>
      <c r="U967" s="85">
        <v>0</v>
      </c>
      <c r="V967" s="85">
        <v>913.202</v>
      </c>
      <c r="W967" s="85">
        <v>0</v>
      </c>
      <c r="X967" s="89">
        <v>913.202</v>
      </c>
      <c r="Y967" s="79">
        <v>0</v>
      </c>
      <c r="Z967" s="79">
        <v>3</v>
      </c>
      <c r="AA967" s="94">
        <v>0</v>
      </c>
      <c r="AB967" s="79">
        <v>3</v>
      </c>
      <c r="AC967" s="85">
        <v>496.53800000000001</v>
      </c>
      <c r="AD967" s="85">
        <v>293.07099999999997</v>
      </c>
      <c r="AE967" s="85">
        <v>123.593</v>
      </c>
      <c r="AF967" s="85">
        <v>0</v>
      </c>
      <c r="AG967" s="85">
        <v>913.20199999999988</v>
      </c>
      <c r="AH967" s="85">
        <v>0</v>
      </c>
      <c r="AI967" s="85">
        <v>0</v>
      </c>
      <c r="AJ967" s="85">
        <v>0</v>
      </c>
      <c r="AK967" s="85">
        <v>0</v>
      </c>
      <c r="AL967" s="85">
        <v>0</v>
      </c>
      <c r="AM967" s="85">
        <v>0</v>
      </c>
      <c r="AN967" s="85">
        <v>0</v>
      </c>
      <c r="AO967" s="85">
        <v>0</v>
      </c>
      <c r="AP967" s="85">
        <v>0</v>
      </c>
      <c r="AQ967" s="85">
        <v>0</v>
      </c>
      <c r="AR967" s="85">
        <v>0</v>
      </c>
      <c r="AS967" s="85">
        <v>0</v>
      </c>
      <c r="AT967" s="85">
        <v>0</v>
      </c>
      <c r="AU967" s="85">
        <v>0</v>
      </c>
      <c r="AV967" s="85">
        <v>0</v>
      </c>
      <c r="AW967" s="85">
        <v>0</v>
      </c>
      <c r="AX967" s="85">
        <v>0</v>
      </c>
      <c r="AY967" s="85">
        <v>913.202</v>
      </c>
      <c r="AZ967" s="85">
        <v>0</v>
      </c>
      <c r="BA967" s="85">
        <v>0</v>
      </c>
      <c r="BB967" s="89">
        <v>0</v>
      </c>
      <c r="BC967" s="89">
        <v>913.202</v>
      </c>
      <c r="BD967" s="37">
        <v>0</v>
      </c>
      <c r="BE967" s="37">
        <v>0</v>
      </c>
      <c r="BF967" s="279">
        <v>1512</v>
      </c>
      <c r="BG967" s="37">
        <v>125154</v>
      </c>
      <c r="BH967" s="37">
        <v>77703</v>
      </c>
      <c r="BI967" s="37">
        <v>0</v>
      </c>
      <c r="BJ967" s="283">
        <v>204369</v>
      </c>
      <c r="BK967" s="161"/>
      <c r="BL967" s="294"/>
      <c r="BM967"/>
      <c r="BN967"/>
      <c r="BO967"/>
      <c r="BP967"/>
      <c r="BQ967"/>
      <c r="BR967"/>
      <c r="BS967"/>
      <c r="BT967"/>
      <c r="BU967"/>
      <c r="BV967"/>
      <c r="BW967"/>
      <c r="BX967"/>
      <c r="BY967"/>
      <c r="BZ967"/>
      <c r="CA967"/>
      <c r="CB967"/>
      <c r="CC967"/>
      <c r="CD967"/>
      <c r="CE967"/>
      <c r="CF967"/>
      <c r="CG967"/>
      <c r="CH967"/>
      <c r="CI967"/>
      <c r="CJ967"/>
    </row>
    <row r="968" spans="1:88" s="32" customFormat="1" ht="15" customHeight="1" x14ac:dyDescent="0.35">
      <c r="A968" s="473"/>
      <c r="B968" s="313">
        <v>68055</v>
      </c>
      <c r="C968" s="8" t="s">
        <v>683</v>
      </c>
      <c r="D968" s="18">
        <v>16</v>
      </c>
      <c r="E968" s="251">
        <v>3210</v>
      </c>
      <c r="F968" s="82">
        <v>2.3424398160670816</v>
      </c>
      <c r="G968" s="79">
        <v>7519.2318095753317</v>
      </c>
      <c r="H968" s="90">
        <v>83.182999999999993</v>
      </c>
      <c r="I968" s="85">
        <v>70.468000000000004</v>
      </c>
      <c r="J968" s="85">
        <v>78.046999999999997</v>
      </c>
      <c r="K968" s="85">
        <v>86.603000000000009</v>
      </c>
      <c r="L968" s="85">
        <v>89.150999999999996</v>
      </c>
      <c r="M968" s="85">
        <v>88.016999999999996</v>
      </c>
      <c r="N968" s="85">
        <v>97.012999999999991</v>
      </c>
      <c r="O968" s="85">
        <v>91.10499999999999</v>
      </c>
      <c r="P968" s="85">
        <v>81.537999999999982</v>
      </c>
      <c r="Q968" s="85">
        <v>83.454000000000008</v>
      </c>
      <c r="R968" s="85">
        <v>75.847000000000008</v>
      </c>
      <c r="S968" s="89">
        <v>79.167000000000002</v>
      </c>
      <c r="T968" s="89">
        <v>1003.5930000000002</v>
      </c>
      <c r="U968" s="85">
        <v>0</v>
      </c>
      <c r="V968" s="85">
        <v>1003.5930000000002</v>
      </c>
      <c r="W968" s="85">
        <v>0</v>
      </c>
      <c r="X968" s="89">
        <v>1003.5930000000002</v>
      </c>
      <c r="Y968" s="79">
        <v>0</v>
      </c>
      <c r="Z968" s="79">
        <v>6</v>
      </c>
      <c r="AA968" s="94">
        <v>0</v>
      </c>
      <c r="AB968" s="79">
        <v>6</v>
      </c>
      <c r="AC968" s="85">
        <v>714.49885740402192</v>
      </c>
      <c r="AD968" s="85">
        <v>230.53278581026404</v>
      </c>
      <c r="AE968" s="85">
        <v>58.561356785714274</v>
      </c>
      <c r="AF968" s="85">
        <v>0</v>
      </c>
      <c r="AG968" s="85">
        <v>1003.5930000000002</v>
      </c>
      <c r="AH968" s="85">
        <v>0</v>
      </c>
      <c r="AI968" s="85">
        <v>0</v>
      </c>
      <c r="AJ968" s="85">
        <v>0</v>
      </c>
      <c r="AK968" s="85">
        <v>0</v>
      </c>
      <c r="AL968" s="85">
        <v>0</v>
      </c>
      <c r="AM968" s="85">
        <v>0</v>
      </c>
      <c r="AN968" s="85">
        <v>0</v>
      </c>
      <c r="AO968" s="85">
        <v>0</v>
      </c>
      <c r="AP968" s="85">
        <v>0</v>
      </c>
      <c r="AQ968" s="85">
        <v>0</v>
      </c>
      <c r="AR968" s="85">
        <v>0</v>
      </c>
      <c r="AS968" s="85">
        <v>0</v>
      </c>
      <c r="AT968" s="85">
        <v>0</v>
      </c>
      <c r="AU968" s="85">
        <v>0</v>
      </c>
      <c r="AV968" s="85">
        <v>0</v>
      </c>
      <c r="AW968" s="85">
        <v>0</v>
      </c>
      <c r="AX968" s="85">
        <v>0</v>
      </c>
      <c r="AY968" s="85">
        <v>1003.5930000000002</v>
      </c>
      <c r="AZ968" s="85">
        <v>0</v>
      </c>
      <c r="BA968" s="85">
        <v>0</v>
      </c>
      <c r="BB968" s="89">
        <v>0</v>
      </c>
      <c r="BC968" s="89">
        <v>1003.5930000000002</v>
      </c>
      <c r="BD968" s="37">
        <v>1094</v>
      </c>
      <c r="BE968" s="37">
        <v>0</v>
      </c>
      <c r="BF968" s="279">
        <v>95052</v>
      </c>
      <c r="BG968" s="37">
        <v>11354</v>
      </c>
      <c r="BH968" s="37">
        <v>85576</v>
      </c>
      <c r="BI968" s="37">
        <v>0</v>
      </c>
      <c r="BJ968" s="283">
        <v>191982</v>
      </c>
      <c r="BK968" s="161"/>
      <c r="BL968" s="294"/>
      <c r="BM968"/>
      <c r="BN968">
        <v>0</v>
      </c>
      <c r="BO968"/>
      <c r="BP968"/>
      <c r="BQ968"/>
      <c r="BR968"/>
      <c r="BS968"/>
      <c r="BT968"/>
      <c r="BU968"/>
      <c r="BV968"/>
      <c r="BW968"/>
      <c r="BX968"/>
      <c r="BY968"/>
      <c r="BZ968"/>
      <c r="CA968"/>
      <c r="CB968"/>
      <c r="CC968"/>
      <c r="CD968"/>
      <c r="CE968"/>
      <c r="CF968"/>
      <c r="CG968"/>
      <c r="CH968"/>
      <c r="CI968"/>
      <c r="CJ968"/>
    </row>
    <row r="969" spans="1:88" s="32" customFormat="1" ht="15" customHeight="1" x14ac:dyDescent="0.35">
      <c r="A969" s="473"/>
      <c r="B969" s="313">
        <v>39020</v>
      </c>
      <c r="C969" s="8" t="s">
        <v>340</v>
      </c>
      <c r="D969" s="18">
        <v>17</v>
      </c>
      <c r="E969" s="251"/>
      <c r="F969" s="82"/>
      <c r="G969" s="79"/>
      <c r="H969" s="90"/>
      <c r="I969" s="85"/>
      <c r="J969" s="85"/>
      <c r="K969" s="85"/>
      <c r="L969" s="85"/>
      <c r="M969" s="85"/>
      <c r="N969" s="85"/>
      <c r="O969" s="85"/>
      <c r="P969" s="85"/>
      <c r="Q969" s="85"/>
      <c r="R969" s="85"/>
      <c r="S969" s="89"/>
      <c r="T969" s="89" t="s">
        <v>1124</v>
      </c>
      <c r="U969" s="85"/>
      <c r="V969" s="85"/>
      <c r="W969" s="85"/>
      <c r="X969" s="89" t="s">
        <v>1124</v>
      </c>
      <c r="Y969" s="79"/>
      <c r="Z969" s="79"/>
      <c r="AA969" s="94"/>
      <c r="AB969" s="79" t="s">
        <v>1124</v>
      </c>
      <c r="AC969" s="85"/>
      <c r="AD969" s="85"/>
      <c r="AE969" s="85"/>
      <c r="AF969" s="85"/>
      <c r="AG969" s="85" t="s">
        <v>1124</v>
      </c>
      <c r="AH969" s="85"/>
      <c r="AI969" s="85"/>
      <c r="AJ969" s="85"/>
      <c r="AK969" s="85"/>
      <c r="AL969" s="85"/>
      <c r="AM969" s="85"/>
      <c r="AN969" s="85"/>
      <c r="AO969" s="85"/>
      <c r="AP969" s="85"/>
      <c r="AQ969" s="85"/>
      <c r="AR969" s="85" t="s">
        <v>1124</v>
      </c>
      <c r="AS969" s="85"/>
      <c r="AT969" s="85"/>
      <c r="AU969" s="85"/>
      <c r="AV969" s="85"/>
      <c r="AW969" s="85"/>
      <c r="AX969" s="85"/>
      <c r="AY969" s="85"/>
      <c r="AZ969" s="85"/>
      <c r="BA969" s="85"/>
      <c r="BB969" s="89"/>
      <c r="BC969" s="89" t="s">
        <v>1124</v>
      </c>
      <c r="BD969" s="37"/>
      <c r="BE969" s="37"/>
      <c r="BF969" s="279"/>
      <c r="BG969" s="37"/>
      <c r="BH969" s="37"/>
      <c r="BI969" s="37"/>
      <c r="BJ969" s="283"/>
      <c r="BK969" s="161"/>
      <c r="BL969" s="294"/>
      <c r="BM969"/>
      <c r="BN969"/>
      <c r="BO969"/>
      <c r="BP969"/>
      <c r="BQ969"/>
      <c r="BR969"/>
      <c r="BS969"/>
      <c r="BT969"/>
      <c r="BU969"/>
      <c r="BV969"/>
      <c r="BW969"/>
      <c r="BX969"/>
      <c r="BY969"/>
      <c r="BZ969"/>
      <c r="CA969"/>
      <c r="CB969"/>
      <c r="CC969"/>
      <c r="CD969"/>
      <c r="CE969"/>
      <c r="CF969"/>
      <c r="CG969"/>
      <c r="CH969"/>
      <c r="CI969"/>
      <c r="CJ969"/>
    </row>
    <row r="970" spans="1:88" s="32" customFormat="1" ht="15" customHeight="1" x14ac:dyDescent="0.35">
      <c r="A970" s="473"/>
      <c r="B970" s="313">
        <v>29050</v>
      </c>
      <c r="C970" s="8" t="s">
        <v>208</v>
      </c>
      <c r="D970" s="18">
        <v>12</v>
      </c>
      <c r="E970" s="251"/>
      <c r="F970" s="82"/>
      <c r="G970" s="79"/>
      <c r="H970" s="90"/>
      <c r="I970" s="85"/>
      <c r="J970" s="85"/>
      <c r="K970" s="85"/>
      <c r="L970" s="85"/>
      <c r="M970" s="85"/>
      <c r="N970" s="85"/>
      <c r="O970" s="85"/>
      <c r="P970" s="85"/>
      <c r="Q970" s="85"/>
      <c r="R970" s="85"/>
      <c r="S970" s="89"/>
      <c r="T970" s="89" t="s">
        <v>1124</v>
      </c>
      <c r="U970" s="85"/>
      <c r="V970" s="85"/>
      <c r="W970" s="85"/>
      <c r="X970" s="89" t="s">
        <v>1124</v>
      </c>
      <c r="Y970" s="79"/>
      <c r="Z970" s="79"/>
      <c r="AA970" s="94"/>
      <c r="AB970" s="79" t="s">
        <v>1124</v>
      </c>
      <c r="AC970" s="85"/>
      <c r="AD970" s="85"/>
      <c r="AE970" s="85"/>
      <c r="AF970" s="85"/>
      <c r="AG970" s="85" t="s">
        <v>1124</v>
      </c>
      <c r="AH970" s="85"/>
      <c r="AI970" s="85"/>
      <c r="AJ970" s="85"/>
      <c r="AK970" s="85"/>
      <c r="AL970" s="85"/>
      <c r="AM970" s="85"/>
      <c r="AN970" s="85"/>
      <c r="AO970" s="85"/>
      <c r="AP970" s="85"/>
      <c r="AQ970" s="85"/>
      <c r="AR970" s="85" t="s">
        <v>1124</v>
      </c>
      <c r="AS970" s="85"/>
      <c r="AT970" s="85"/>
      <c r="AU970" s="85"/>
      <c r="AV970" s="85"/>
      <c r="AW970" s="85"/>
      <c r="AX970" s="85"/>
      <c r="AY970" s="85"/>
      <c r="AZ970" s="85"/>
      <c r="BA970" s="85"/>
      <c r="BB970" s="89"/>
      <c r="BC970" s="89" t="s">
        <v>1124</v>
      </c>
      <c r="BD970" s="37"/>
      <c r="BE970" s="37"/>
      <c r="BF970" s="279"/>
      <c r="BG970" s="37"/>
      <c r="BH970" s="37"/>
      <c r="BI970" s="37"/>
      <c r="BJ970" s="283"/>
      <c r="BK970" s="161"/>
      <c r="BL970" s="294"/>
      <c r="BM970"/>
      <c r="BN970"/>
      <c r="BO970"/>
      <c r="BP970"/>
      <c r="BQ970"/>
      <c r="BR970"/>
      <c r="BS970"/>
      <c r="BT970"/>
      <c r="BU970"/>
      <c r="BV970"/>
      <c r="BW970"/>
      <c r="BX970"/>
      <c r="BY970"/>
      <c r="BZ970"/>
      <c r="CA970"/>
      <c r="CB970"/>
      <c r="CC970"/>
      <c r="CD970"/>
      <c r="CE970"/>
      <c r="CF970"/>
      <c r="CG970"/>
      <c r="CH970"/>
      <c r="CI970"/>
      <c r="CJ970"/>
    </row>
    <row r="971" spans="1:88" s="32" customFormat="1" ht="15" customHeight="1" x14ac:dyDescent="0.35">
      <c r="A971" s="473"/>
      <c r="B971" s="313">
        <v>8035</v>
      </c>
      <c r="C971" s="8" t="s">
        <v>1091</v>
      </c>
      <c r="D971" s="18">
        <v>1</v>
      </c>
      <c r="E971" s="251"/>
      <c r="F971" s="82"/>
      <c r="G971" s="79"/>
      <c r="H971" s="90"/>
      <c r="I971" s="85"/>
      <c r="J971" s="85"/>
      <c r="K971" s="85"/>
      <c r="L971" s="85"/>
      <c r="M971" s="85"/>
      <c r="N971" s="85"/>
      <c r="O971" s="85"/>
      <c r="P971" s="85"/>
      <c r="Q971" s="85"/>
      <c r="R971" s="85"/>
      <c r="S971" s="89"/>
      <c r="T971" s="89" t="s">
        <v>1124</v>
      </c>
      <c r="U971" s="85"/>
      <c r="V971" s="85"/>
      <c r="W971" s="85"/>
      <c r="X971" s="89" t="s">
        <v>1124</v>
      </c>
      <c r="Y971" s="79"/>
      <c r="Z971" s="79"/>
      <c r="AA971" s="94"/>
      <c r="AB971" s="79" t="s">
        <v>1124</v>
      </c>
      <c r="AC971" s="85"/>
      <c r="AD971" s="85"/>
      <c r="AE971" s="85"/>
      <c r="AF971" s="85"/>
      <c r="AG971" s="85" t="s">
        <v>1124</v>
      </c>
      <c r="AH971" s="85"/>
      <c r="AI971" s="85"/>
      <c r="AJ971" s="85"/>
      <c r="AK971" s="85"/>
      <c r="AL971" s="85"/>
      <c r="AM971" s="85"/>
      <c r="AN971" s="85"/>
      <c r="AO971" s="85"/>
      <c r="AP971" s="85"/>
      <c r="AQ971" s="85"/>
      <c r="AR971" s="85" t="s">
        <v>1124</v>
      </c>
      <c r="AS971" s="85"/>
      <c r="AT971" s="85"/>
      <c r="AU971" s="85"/>
      <c r="AV971" s="85"/>
      <c r="AW971" s="85"/>
      <c r="AX971" s="85"/>
      <c r="AY971" s="85"/>
      <c r="AZ971" s="85"/>
      <c r="BA971" s="85"/>
      <c r="BB971" s="89"/>
      <c r="BC971" s="89" t="s">
        <v>1124</v>
      </c>
      <c r="BD971" s="37"/>
      <c r="BE971" s="37"/>
      <c r="BF971" s="279"/>
      <c r="BG971" s="37"/>
      <c r="BH971" s="37"/>
      <c r="BI971" s="37"/>
      <c r="BJ971" s="283"/>
      <c r="BK971" s="161"/>
      <c r="BL971" s="294"/>
      <c r="BM971"/>
      <c r="BN971"/>
      <c r="BO971"/>
      <c r="BP971"/>
      <c r="BQ971"/>
      <c r="BR971"/>
      <c r="BS971"/>
      <c r="BT971"/>
      <c r="BU971"/>
      <c r="BV971"/>
      <c r="BW971"/>
      <c r="BX971"/>
      <c r="BY971"/>
      <c r="BZ971"/>
      <c r="CA971"/>
      <c r="CB971"/>
      <c r="CC971"/>
      <c r="CD971"/>
      <c r="CE971"/>
      <c r="CF971"/>
      <c r="CG971"/>
      <c r="CH971"/>
      <c r="CI971"/>
      <c r="CJ971"/>
    </row>
    <row r="972" spans="1:88" s="32" customFormat="1" ht="15" customHeight="1" x14ac:dyDescent="0.35">
      <c r="A972" s="473"/>
      <c r="B972" s="313">
        <v>53020</v>
      </c>
      <c r="C972" s="8" t="s">
        <v>533</v>
      </c>
      <c r="D972" s="18">
        <v>16</v>
      </c>
      <c r="E972" s="251"/>
      <c r="F972" s="82"/>
      <c r="G972" s="79"/>
      <c r="H972" s="90"/>
      <c r="I972" s="85"/>
      <c r="J972" s="85"/>
      <c r="K972" s="85"/>
      <c r="L972" s="85"/>
      <c r="M972" s="85"/>
      <c r="N972" s="85"/>
      <c r="O972" s="85"/>
      <c r="P972" s="85"/>
      <c r="Q972" s="85"/>
      <c r="R972" s="85"/>
      <c r="S972" s="89"/>
      <c r="T972" s="89" t="s">
        <v>1124</v>
      </c>
      <c r="U972" s="85"/>
      <c r="V972" s="85"/>
      <c r="W972" s="85"/>
      <c r="X972" s="89" t="s">
        <v>1124</v>
      </c>
      <c r="Y972" s="79"/>
      <c r="Z972" s="79"/>
      <c r="AA972" s="94"/>
      <c r="AB972" s="79" t="s">
        <v>1124</v>
      </c>
      <c r="AC972" s="85"/>
      <c r="AD972" s="85"/>
      <c r="AE972" s="85"/>
      <c r="AF972" s="85"/>
      <c r="AG972" s="85" t="s">
        <v>1124</v>
      </c>
      <c r="AH972" s="85"/>
      <c r="AI972" s="85"/>
      <c r="AJ972" s="85"/>
      <c r="AK972" s="85"/>
      <c r="AL972" s="85"/>
      <c r="AM972" s="85"/>
      <c r="AN972" s="85"/>
      <c r="AO972" s="85"/>
      <c r="AP972" s="85"/>
      <c r="AQ972" s="85"/>
      <c r="AR972" s="85" t="s">
        <v>1124</v>
      </c>
      <c r="AS972" s="85"/>
      <c r="AT972" s="85"/>
      <c r="AU972" s="85"/>
      <c r="AV972" s="85"/>
      <c r="AW972" s="85"/>
      <c r="AX972" s="85"/>
      <c r="AY972" s="85"/>
      <c r="AZ972" s="85"/>
      <c r="BA972" s="85"/>
      <c r="BB972" s="89"/>
      <c r="BC972" s="89" t="s">
        <v>1124</v>
      </c>
      <c r="BD972" s="37"/>
      <c r="BE972" s="37"/>
      <c r="BF972" s="279"/>
      <c r="BG972" s="37"/>
      <c r="BH972" s="37"/>
      <c r="BI972" s="37"/>
      <c r="BJ972" s="283"/>
      <c r="BK972" s="161"/>
      <c r="BL972" s="294"/>
      <c r="BM972"/>
      <c r="BN972"/>
      <c r="BO972"/>
      <c r="BP972"/>
      <c r="BQ972"/>
      <c r="BR972"/>
      <c r="BS972"/>
      <c r="BT972"/>
      <c r="BU972"/>
      <c r="BV972"/>
      <c r="BW972"/>
      <c r="BX972"/>
      <c r="BY972"/>
      <c r="BZ972"/>
      <c r="CA972"/>
      <c r="CB972"/>
      <c r="CC972"/>
      <c r="CD972"/>
      <c r="CE972"/>
      <c r="CF972"/>
      <c r="CG972"/>
      <c r="CH972"/>
      <c r="CI972"/>
      <c r="CJ972"/>
    </row>
    <row r="973" spans="1:88" s="32" customFormat="1" ht="15" customHeight="1" x14ac:dyDescent="0.35">
      <c r="A973" s="473"/>
      <c r="B973" s="313">
        <v>30070</v>
      </c>
      <c r="C973" s="8" t="s">
        <v>228</v>
      </c>
      <c r="D973" s="18">
        <v>5</v>
      </c>
      <c r="E973" s="251"/>
      <c r="F973" s="82"/>
      <c r="G973" s="79"/>
      <c r="H973" s="90"/>
      <c r="I973" s="85"/>
      <c r="J973" s="85"/>
      <c r="K973" s="85"/>
      <c r="L973" s="85"/>
      <c r="M973" s="85"/>
      <c r="N973" s="85"/>
      <c r="O973" s="85"/>
      <c r="P973" s="85"/>
      <c r="Q973" s="85"/>
      <c r="R973" s="85"/>
      <c r="S973" s="89"/>
      <c r="T973" s="89" t="s">
        <v>1124</v>
      </c>
      <c r="U973" s="85"/>
      <c r="V973" s="85"/>
      <c r="W973" s="85"/>
      <c r="X973" s="89" t="s">
        <v>1124</v>
      </c>
      <c r="Y973" s="79"/>
      <c r="Z973" s="79"/>
      <c r="AA973" s="94"/>
      <c r="AB973" s="79" t="s">
        <v>1124</v>
      </c>
      <c r="AC973" s="85"/>
      <c r="AD973" s="85"/>
      <c r="AE973" s="85"/>
      <c r="AF973" s="85"/>
      <c r="AG973" s="85" t="s">
        <v>1124</v>
      </c>
      <c r="AH973" s="85"/>
      <c r="AI973" s="85"/>
      <c r="AJ973" s="85"/>
      <c r="AK973" s="85"/>
      <c r="AL973" s="85"/>
      <c r="AM973" s="85"/>
      <c r="AN973" s="85"/>
      <c r="AO973" s="85"/>
      <c r="AP973" s="85"/>
      <c r="AQ973" s="85"/>
      <c r="AR973" s="85" t="s">
        <v>1124</v>
      </c>
      <c r="AS973" s="85"/>
      <c r="AT973" s="85"/>
      <c r="AU973" s="85"/>
      <c r="AV973" s="85"/>
      <c r="AW973" s="85"/>
      <c r="AX973" s="85"/>
      <c r="AY973" s="85"/>
      <c r="AZ973" s="85"/>
      <c r="BA973" s="85"/>
      <c r="BB973" s="89"/>
      <c r="BC973" s="89" t="s">
        <v>1124</v>
      </c>
      <c r="BD973" s="37"/>
      <c r="BE973" s="37"/>
      <c r="BF973" s="279"/>
      <c r="BG973" s="37"/>
      <c r="BH973" s="37"/>
      <c r="BI973" s="37"/>
      <c r="BJ973" s="283"/>
      <c r="BK973" s="161"/>
      <c r="BL973" s="294"/>
      <c r="BM973"/>
      <c r="BN973"/>
      <c r="BO973"/>
      <c r="BP973"/>
      <c r="BQ973"/>
      <c r="BR973"/>
      <c r="BS973"/>
      <c r="BT973"/>
      <c r="BU973"/>
      <c r="BV973"/>
      <c r="BW973"/>
      <c r="BX973"/>
      <c r="BY973"/>
      <c r="BZ973"/>
      <c r="CA973"/>
      <c r="CB973"/>
      <c r="CC973"/>
      <c r="CD973"/>
      <c r="CE973"/>
      <c r="CF973"/>
      <c r="CG973"/>
      <c r="CH973"/>
      <c r="CI973"/>
      <c r="CJ973"/>
    </row>
    <row r="974" spans="1:88" s="32" customFormat="1" ht="15" customHeight="1" x14ac:dyDescent="0.35">
      <c r="A974" s="473"/>
      <c r="B974" s="313">
        <v>63035</v>
      </c>
      <c r="C974" s="8" t="s">
        <v>638</v>
      </c>
      <c r="D974" s="18">
        <v>14</v>
      </c>
      <c r="E974" s="251">
        <v>1277</v>
      </c>
      <c r="F974" s="82">
        <v>2.5229966808914179</v>
      </c>
      <c r="G974" s="79">
        <v>3221.8667614983406</v>
      </c>
      <c r="H974" s="90">
        <v>26.315000000000001</v>
      </c>
      <c r="I974" s="85">
        <v>28.402999999999999</v>
      </c>
      <c r="J974" s="85">
        <v>26.637</v>
      </c>
      <c r="K974" s="85">
        <v>26.056000000000001</v>
      </c>
      <c r="L974" s="85">
        <v>32.874000000000002</v>
      </c>
      <c r="M974" s="85">
        <v>32.002000000000002</v>
      </c>
      <c r="N974" s="85">
        <v>32.110999999999997</v>
      </c>
      <c r="O974" s="85">
        <v>31.751000000000001</v>
      </c>
      <c r="P974" s="85">
        <v>27.396999999999998</v>
      </c>
      <c r="Q974" s="85">
        <v>30.904</v>
      </c>
      <c r="R974" s="85">
        <v>30.629000000000001</v>
      </c>
      <c r="S974" s="89">
        <v>32.319000000000003</v>
      </c>
      <c r="T974" s="89">
        <v>357.39800000000002</v>
      </c>
      <c r="U974" s="85">
        <v>0</v>
      </c>
      <c r="V974" s="85">
        <v>357.39800000000002</v>
      </c>
      <c r="W974" s="85">
        <v>0</v>
      </c>
      <c r="X974" s="89">
        <v>357.39800000000002</v>
      </c>
      <c r="Y974" s="79">
        <v>0</v>
      </c>
      <c r="Z974" s="79">
        <v>4</v>
      </c>
      <c r="AA974" s="94">
        <v>0</v>
      </c>
      <c r="AB974" s="79">
        <v>4</v>
      </c>
      <c r="AC974" s="85">
        <v>258.46600000000001</v>
      </c>
      <c r="AD974" s="85">
        <v>57.321000000000019</v>
      </c>
      <c r="AE974" s="85">
        <v>41.610999999999997</v>
      </c>
      <c r="AF974" s="85">
        <v>0</v>
      </c>
      <c r="AG974" s="85">
        <v>357.39800000000002</v>
      </c>
      <c r="AH974" s="85">
        <v>0</v>
      </c>
      <c r="AI974" s="85">
        <v>0</v>
      </c>
      <c r="AJ974" s="85">
        <v>0</v>
      </c>
      <c r="AK974" s="85">
        <v>0</v>
      </c>
      <c r="AL974" s="85">
        <v>0</v>
      </c>
      <c r="AM974" s="85">
        <v>0</v>
      </c>
      <c r="AN974" s="85">
        <v>0</v>
      </c>
      <c r="AO974" s="85">
        <v>0</v>
      </c>
      <c r="AP974" s="85">
        <v>0</v>
      </c>
      <c r="AQ974" s="85">
        <v>0</v>
      </c>
      <c r="AR974" s="85">
        <v>0</v>
      </c>
      <c r="AS974" s="85">
        <v>0</v>
      </c>
      <c r="AT974" s="85">
        <v>0</v>
      </c>
      <c r="AU974" s="85">
        <v>357.39800000000002</v>
      </c>
      <c r="AV974" s="85">
        <v>0</v>
      </c>
      <c r="AW974" s="85">
        <v>0</v>
      </c>
      <c r="AX974" s="85">
        <v>0</v>
      </c>
      <c r="AY974" s="85">
        <v>0</v>
      </c>
      <c r="AZ974" s="85">
        <v>0</v>
      </c>
      <c r="BA974" s="85">
        <v>0</v>
      </c>
      <c r="BB974" s="89">
        <v>0</v>
      </c>
      <c r="BC974" s="89">
        <v>357.39800000000002</v>
      </c>
      <c r="BD974" s="37">
        <v>67449</v>
      </c>
      <c r="BE974" s="37">
        <v>1378682</v>
      </c>
      <c r="BF974" s="279">
        <v>42607</v>
      </c>
      <c r="BG974" s="37">
        <v>55597</v>
      </c>
      <c r="BH974" s="37">
        <v>40826</v>
      </c>
      <c r="BI974" s="37">
        <v>44689</v>
      </c>
      <c r="BJ974" s="283">
        <v>183719</v>
      </c>
      <c r="BK974" s="161"/>
      <c r="BL974" s="294"/>
      <c r="BM974"/>
      <c r="BN974"/>
      <c r="BO974"/>
      <c r="BP974"/>
      <c r="BQ974"/>
      <c r="BR974"/>
      <c r="BS974"/>
      <c r="BT974"/>
      <c r="BU974"/>
      <c r="BV974"/>
      <c r="BW974"/>
      <c r="BX974"/>
      <c r="BY974"/>
      <c r="BZ974"/>
      <c r="CA974"/>
      <c r="CB974"/>
      <c r="CC974"/>
      <c r="CD974"/>
      <c r="CE974"/>
      <c r="CF974"/>
      <c r="CG974"/>
      <c r="CH974"/>
      <c r="CI974"/>
      <c r="CJ974"/>
    </row>
    <row r="975" spans="1:88" s="32" customFormat="1" ht="15" customHeight="1" x14ac:dyDescent="0.35">
      <c r="A975" s="473"/>
      <c r="B975" s="313">
        <v>35045</v>
      </c>
      <c r="C975" s="8" t="s">
        <v>310</v>
      </c>
      <c r="D975" s="18">
        <v>4</v>
      </c>
      <c r="E975" s="251"/>
      <c r="F975" s="82"/>
      <c r="G975" s="79"/>
      <c r="H975" s="90"/>
      <c r="I975" s="85"/>
      <c r="J975" s="85"/>
      <c r="K975" s="85"/>
      <c r="L975" s="85"/>
      <c r="M975" s="85"/>
      <c r="N975" s="85"/>
      <c r="O975" s="85"/>
      <c r="P975" s="85"/>
      <c r="Q975" s="85"/>
      <c r="R975" s="85"/>
      <c r="S975" s="89"/>
      <c r="T975" s="89" t="s">
        <v>1124</v>
      </c>
      <c r="U975" s="85"/>
      <c r="V975" s="85"/>
      <c r="W975" s="85"/>
      <c r="X975" s="89" t="s">
        <v>1124</v>
      </c>
      <c r="Y975" s="79"/>
      <c r="Z975" s="79"/>
      <c r="AA975" s="94"/>
      <c r="AB975" s="79" t="s">
        <v>1124</v>
      </c>
      <c r="AC975" s="85"/>
      <c r="AD975" s="85"/>
      <c r="AE975" s="85"/>
      <c r="AF975" s="85"/>
      <c r="AG975" s="85" t="s">
        <v>1124</v>
      </c>
      <c r="AH975" s="85"/>
      <c r="AI975" s="85"/>
      <c r="AJ975" s="85"/>
      <c r="AK975" s="85"/>
      <c r="AL975" s="85"/>
      <c r="AM975" s="85"/>
      <c r="AN975" s="85"/>
      <c r="AO975" s="85"/>
      <c r="AP975" s="85"/>
      <c r="AQ975" s="85"/>
      <c r="AR975" s="85" t="s">
        <v>1124</v>
      </c>
      <c r="AS975" s="85"/>
      <c r="AT975" s="85"/>
      <c r="AU975" s="85"/>
      <c r="AV975" s="85"/>
      <c r="AW975" s="85"/>
      <c r="AX975" s="85"/>
      <c r="AY975" s="85"/>
      <c r="AZ975" s="85"/>
      <c r="BA975" s="85"/>
      <c r="BB975" s="89"/>
      <c r="BC975" s="89" t="s">
        <v>1124</v>
      </c>
      <c r="BD975" s="37"/>
      <c r="BE975" s="37"/>
      <c r="BF975" s="279"/>
      <c r="BG975" s="37"/>
      <c r="BH975" s="37"/>
      <c r="BI975" s="37"/>
      <c r="BJ975" s="283"/>
      <c r="BK975" s="161"/>
      <c r="BL975" s="294"/>
      <c r="BM975"/>
      <c r="BN975"/>
      <c r="BO975"/>
      <c r="BP975"/>
      <c r="BQ975"/>
      <c r="BR975"/>
      <c r="BS975"/>
      <c r="BT975"/>
      <c r="BU975"/>
      <c r="BV975"/>
      <c r="BW975"/>
      <c r="BX975"/>
      <c r="BY975"/>
      <c r="BZ975"/>
      <c r="CA975"/>
      <c r="CB975"/>
      <c r="CC975"/>
      <c r="CD975"/>
      <c r="CE975"/>
      <c r="CF975"/>
      <c r="CG975"/>
      <c r="CH975"/>
      <c r="CI975"/>
      <c r="CJ975"/>
    </row>
    <row r="976" spans="1:88" s="32" customFormat="1" ht="15" customHeight="1" x14ac:dyDescent="0.35">
      <c r="A976" s="473"/>
      <c r="B976" s="313">
        <v>53040</v>
      </c>
      <c r="C976" s="8" t="s">
        <v>536</v>
      </c>
      <c r="D976" s="18">
        <v>16</v>
      </c>
      <c r="E976" s="251"/>
      <c r="F976" s="82"/>
      <c r="G976" s="79"/>
      <c r="H976" s="90"/>
      <c r="I976" s="85"/>
      <c r="J976" s="85"/>
      <c r="K976" s="85"/>
      <c r="L976" s="85"/>
      <c r="M976" s="85"/>
      <c r="N976" s="85"/>
      <c r="O976" s="85"/>
      <c r="P976" s="85"/>
      <c r="Q976" s="85"/>
      <c r="R976" s="85"/>
      <c r="S976" s="89"/>
      <c r="T976" s="89" t="s">
        <v>1124</v>
      </c>
      <c r="U976" s="85"/>
      <c r="V976" s="85"/>
      <c r="W976" s="85"/>
      <c r="X976" s="89" t="s">
        <v>1124</v>
      </c>
      <c r="Y976" s="79"/>
      <c r="Z976" s="79"/>
      <c r="AA976" s="94"/>
      <c r="AB976" s="79" t="s">
        <v>1124</v>
      </c>
      <c r="AC976" s="85"/>
      <c r="AD976" s="85"/>
      <c r="AE976" s="85"/>
      <c r="AF976" s="85"/>
      <c r="AG976" s="85" t="s">
        <v>1124</v>
      </c>
      <c r="AH976" s="85"/>
      <c r="AI976" s="85"/>
      <c r="AJ976" s="85"/>
      <c r="AK976" s="85"/>
      <c r="AL976" s="85"/>
      <c r="AM976" s="85"/>
      <c r="AN976" s="85"/>
      <c r="AO976" s="85"/>
      <c r="AP976" s="85"/>
      <c r="AQ976" s="85"/>
      <c r="AR976" s="85" t="s">
        <v>1124</v>
      </c>
      <c r="AS976" s="85"/>
      <c r="AT976" s="85"/>
      <c r="AU976" s="85"/>
      <c r="AV976" s="85"/>
      <c r="AW976" s="85"/>
      <c r="AX976" s="85"/>
      <c r="AY976" s="85"/>
      <c r="AZ976" s="85"/>
      <c r="BA976" s="85"/>
      <c r="BB976" s="89"/>
      <c r="BC976" s="89" t="s">
        <v>1124</v>
      </c>
      <c r="BD976" s="37"/>
      <c r="BE976" s="37"/>
      <c r="BF976" s="279"/>
      <c r="BG976" s="37"/>
      <c r="BH976" s="37"/>
      <c r="BI976" s="37"/>
      <c r="BJ976" s="283"/>
      <c r="BK976" s="161"/>
      <c r="BL976" s="294"/>
      <c r="BM976"/>
      <c r="BN976"/>
      <c r="BO976"/>
      <c r="BP976"/>
      <c r="BQ976"/>
      <c r="BR976"/>
      <c r="BS976"/>
      <c r="BT976"/>
      <c r="BU976"/>
      <c r="BV976"/>
      <c r="BW976"/>
      <c r="BX976"/>
      <c r="BY976"/>
      <c r="BZ976"/>
      <c r="CA976"/>
      <c r="CB976"/>
      <c r="CC976"/>
      <c r="CD976"/>
      <c r="CE976"/>
      <c r="CF976"/>
      <c r="CG976"/>
      <c r="CH976"/>
      <c r="CI976"/>
      <c r="CJ976"/>
    </row>
    <row r="977" spans="1:88" s="32" customFormat="1" ht="15" customHeight="1" x14ac:dyDescent="0.35">
      <c r="A977" s="473"/>
      <c r="B977" s="313">
        <v>17065</v>
      </c>
      <c r="C977" s="8" t="s">
        <v>101</v>
      </c>
      <c r="D977" s="18">
        <v>12</v>
      </c>
      <c r="E977" s="251">
        <v>197</v>
      </c>
      <c r="F977" s="82">
        <v>2.0219298245614037</v>
      </c>
      <c r="G977" s="79">
        <v>398.32017543859655</v>
      </c>
      <c r="H977" s="90">
        <v>2.1183000000000001</v>
      </c>
      <c r="I977" s="85">
        <v>1.8661000000000001</v>
      </c>
      <c r="J977" s="85">
        <v>2.0503</v>
      </c>
      <c r="K977" s="85">
        <v>2.089</v>
      </c>
      <c r="L977" s="85">
        <v>2.5868000000000002</v>
      </c>
      <c r="M977" s="85">
        <v>2.9131</v>
      </c>
      <c r="N977" s="85">
        <v>3.7686000000000002</v>
      </c>
      <c r="O977" s="85">
        <v>3.6429</v>
      </c>
      <c r="P977" s="85">
        <v>2.9409999999999998</v>
      </c>
      <c r="Q977" s="85">
        <v>2.6</v>
      </c>
      <c r="R977" s="85">
        <v>2.1903000000000001</v>
      </c>
      <c r="S977" s="89">
        <v>2.2986</v>
      </c>
      <c r="T977" s="89">
        <v>31.065000000000001</v>
      </c>
      <c r="U977" s="85">
        <v>0</v>
      </c>
      <c r="V977" s="85">
        <v>0</v>
      </c>
      <c r="W977" s="85">
        <v>31.065000000000001</v>
      </c>
      <c r="X977" s="89">
        <v>31.065000000000001</v>
      </c>
      <c r="Y977" s="79">
        <v>0</v>
      </c>
      <c r="Z977" s="79">
        <v>0</v>
      </c>
      <c r="AA977" s="94">
        <v>1</v>
      </c>
      <c r="AB977" s="79">
        <v>1</v>
      </c>
      <c r="AC977" s="85">
        <v>26.037634146341464</v>
      </c>
      <c r="AD977" s="85">
        <v>1.5233408536585364</v>
      </c>
      <c r="AE977" s="85">
        <v>3.5040250000000008</v>
      </c>
      <c r="AF977" s="85">
        <v>0</v>
      </c>
      <c r="AG977" s="85">
        <v>31.065000000000001</v>
      </c>
      <c r="AH977" s="85">
        <v>0</v>
      </c>
      <c r="AI977" s="85">
        <v>0</v>
      </c>
      <c r="AJ977" s="85">
        <v>0</v>
      </c>
      <c r="AK977" s="85">
        <v>0</v>
      </c>
      <c r="AL977" s="85">
        <v>0</v>
      </c>
      <c r="AM977" s="85">
        <v>0</v>
      </c>
      <c r="AN977" s="85">
        <v>0</v>
      </c>
      <c r="AO977" s="85">
        <v>0</v>
      </c>
      <c r="AP977" s="85">
        <v>0</v>
      </c>
      <c r="AQ977" s="85">
        <v>0</v>
      </c>
      <c r="AR977" s="85">
        <v>0</v>
      </c>
      <c r="AS977" s="85">
        <v>0</v>
      </c>
      <c r="AT977" s="85">
        <v>31.065000000000001</v>
      </c>
      <c r="AU977" s="85">
        <v>0</v>
      </c>
      <c r="AV977" s="85">
        <v>0</v>
      </c>
      <c r="AW977" s="85">
        <v>0</v>
      </c>
      <c r="AX977" s="85">
        <v>0</v>
      </c>
      <c r="AY977" s="85">
        <v>0</v>
      </c>
      <c r="AZ977" s="85">
        <v>0</v>
      </c>
      <c r="BA977" s="85">
        <v>0</v>
      </c>
      <c r="BB977" s="89">
        <v>0</v>
      </c>
      <c r="BC977" s="89">
        <v>31.065000000000001</v>
      </c>
      <c r="BD977" s="37">
        <v>0</v>
      </c>
      <c r="BE977" s="37">
        <v>0</v>
      </c>
      <c r="BF977" s="279">
        <v>18690</v>
      </c>
      <c r="BG977" s="37">
        <v>18281</v>
      </c>
      <c r="BH977" s="37">
        <v>10187</v>
      </c>
      <c r="BI977" s="37">
        <v>9601</v>
      </c>
      <c r="BJ977" s="283">
        <v>56759</v>
      </c>
      <c r="BK977" s="161"/>
      <c r="BL977" s="294"/>
      <c r="BM977"/>
      <c r="BN977"/>
      <c r="BO977"/>
      <c r="BP977"/>
      <c r="BQ977"/>
      <c r="BR977"/>
      <c r="BS977"/>
      <c r="BT977"/>
      <c r="BU977"/>
      <c r="BV977"/>
      <c r="BW977"/>
      <c r="BX977"/>
      <c r="BY977"/>
      <c r="BZ977"/>
      <c r="CA977"/>
      <c r="CB977"/>
      <c r="CC977"/>
      <c r="CD977"/>
      <c r="CE977"/>
      <c r="CF977"/>
      <c r="CG977"/>
      <c r="CH977"/>
      <c r="CI977"/>
      <c r="CJ977"/>
    </row>
    <row r="978" spans="1:88" s="32" customFormat="1" ht="15" customHeight="1" x14ac:dyDescent="0.35">
      <c r="A978" s="473"/>
      <c r="B978" s="313">
        <v>63040</v>
      </c>
      <c r="C978" s="8" t="s">
        <v>639</v>
      </c>
      <c r="D978" s="18">
        <v>14</v>
      </c>
      <c r="E978" s="251"/>
      <c r="F978" s="82"/>
      <c r="G978" s="79"/>
      <c r="H978" s="90"/>
      <c r="I978" s="85"/>
      <c r="J978" s="85"/>
      <c r="K978" s="85"/>
      <c r="L978" s="85"/>
      <c r="M978" s="85"/>
      <c r="N978" s="85"/>
      <c r="O978" s="85"/>
      <c r="P978" s="85"/>
      <c r="Q978" s="85"/>
      <c r="R978" s="85"/>
      <c r="S978" s="89"/>
      <c r="T978" s="89" t="s">
        <v>1124</v>
      </c>
      <c r="U978" s="85"/>
      <c r="V978" s="85"/>
      <c r="W978" s="85"/>
      <c r="X978" s="89" t="s">
        <v>1124</v>
      </c>
      <c r="Y978" s="79"/>
      <c r="Z978" s="79"/>
      <c r="AA978" s="94"/>
      <c r="AB978" s="79" t="s">
        <v>1124</v>
      </c>
      <c r="AC978" s="85"/>
      <c r="AD978" s="85"/>
      <c r="AE978" s="85"/>
      <c r="AF978" s="85"/>
      <c r="AG978" s="85" t="s">
        <v>1124</v>
      </c>
      <c r="AH978" s="85"/>
      <c r="AI978" s="85"/>
      <c r="AJ978" s="85"/>
      <c r="AK978" s="85"/>
      <c r="AL978" s="85"/>
      <c r="AM978" s="85"/>
      <c r="AN978" s="85"/>
      <c r="AO978" s="85"/>
      <c r="AP978" s="85"/>
      <c r="AQ978" s="85"/>
      <c r="AR978" s="85" t="s">
        <v>1124</v>
      </c>
      <c r="AS978" s="85"/>
      <c r="AT978" s="85"/>
      <c r="AU978" s="85"/>
      <c r="AV978" s="85"/>
      <c r="AW978" s="85"/>
      <c r="AX978" s="85"/>
      <c r="AY978" s="85"/>
      <c r="AZ978" s="85"/>
      <c r="BA978" s="85"/>
      <c r="BB978" s="89"/>
      <c r="BC978" s="89" t="s">
        <v>1124</v>
      </c>
      <c r="BD978" s="37"/>
      <c r="BE978" s="37"/>
      <c r="BF978" s="279"/>
      <c r="BG978" s="37"/>
      <c r="BH978" s="37"/>
      <c r="BI978" s="37"/>
      <c r="BJ978" s="283"/>
      <c r="BK978" s="161"/>
      <c r="BL978" s="294"/>
      <c r="BM978"/>
      <c r="BN978"/>
      <c r="BO978"/>
      <c r="BP978"/>
      <c r="BQ978"/>
      <c r="BR978"/>
      <c r="BS978"/>
      <c r="BT978"/>
      <c r="BU978"/>
      <c r="BV978"/>
      <c r="BW978"/>
      <c r="BX978"/>
      <c r="BY978"/>
      <c r="BZ978"/>
      <c r="CA978"/>
      <c r="CB978"/>
      <c r="CC978"/>
      <c r="CD978"/>
      <c r="CE978"/>
      <c r="CF978"/>
      <c r="CG978"/>
      <c r="CH978"/>
      <c r="CI978"/>
      <c r="CJ978"/>
    </row>
    <row r="979" spans="1:88" s="32" customFormat="1" ht="15" customHeight="1" x14ac:dyDescent="0.35">
      <c r="A979" s="473"/>
      <c r="B979" s="313">
        <v>30100</v>
      </c>
      <c r="C979" s="8" t="s">
        <v>234</v>
      </c>
      <c r="D979" s="18">
        <v>5</v>
      </c>
      <c r="E979" s="251">
        <v>185</v>
      </c>
      <c r="F979" s="82">
        <v>2.1160714285714284</v>
      </c>
      <c r="G979" s="79">
        <v>391.47321428571428</v>
      </c>
      <c r="H979" s="90">
        <v>4.1210000000000004</v>
      </c>
      <c r="I979" s="85">
        <v>3.609</v>
      </c>
      <c r="J979" s="85">
        <v>4.6269999999999998</v>
      </c>
      <c r="K979" s="85">
        <v>4.1120000000000001</v>
      </c>
      <c r="L979" s="85">
        <v>4.3070000000000004</v>
      </c>
      <c r="M979" s="85">
        <v>4.617</v>
      </c>
      <c r="N979" s="85">
        <v>4.4169999999999998</v>
      </c>
      <c r="O979" s="85">
        <v>4.3927226277372267</v>
      </c>
      <c r="P979" s="85">
        <v>4.2510218978102197</v>
      </c>
      <c r="Q979" s="85">
        <v>4.3927226277372267</v>
      </c>
      <c r="R979" s="85">
        <v>4.5289999999999999</v>
      </c>
      <c r="S979" s="89">
        <v>4.4870000000000001</v>
      </c>
      <c r="T979" s="89">
        <v>51.862467153284676</v>
      </c>
      <c r="U979" s="85">
        <v>0</v>
      </c>
      <c r="V979" s="85">
        <v>51.862467153284676</v>
      </c>
      <c r="W979" s="85">
        <v>0</v>
      </c>
      <c r="X979" s="89">
        <v>51.862467153284676</v>
      </c>
      <c r="Y979" s="79">
        <v>0</v>
      </c>
      <c r="Z979" s="79">
        <v>2</v>
      </c>
      <c r="AA979" s="94">
        <v>0</v>
      </c>
      <c r="AB979" s="79">
        <v>2</v>
      </c>
      <c r="AC979" s="85">
        <v>23.446999999999999</v>
      </c>
      <c r="AD979" s="85">
        <v>12.392531965112632</v>
      </c>
      <c r="AE979" s="85">
        <v>16.022935188172045</v>
      </c>
      <c r="AF979" s="85">
        <v>0</v>
      </c>
      <c r="AG979" s="85">
        <v>51.862467153284669</v>
      </c>
      <c r="AH979" s="85">
        <v>0</v>
      </c>
      <c r="AI979" s="85">
        <v>0</v>
      </c>
      <c r="AJ979" s="85">
        <v>0</v>
      </c>
      <c r="AK979" s="85">
        <v>0</v>
      </c>
      <c r="AL979" s="85">
        <v>0</v>
      </c>
      <c r="AM979" s="85">
        <v>0</v>
      </c>
      <c r="AN979" s="85">
        <v>0</v>
      </c>
      <c r="AO979" s="85">
        <v>0</v>
      </c>
      <c r="AP979" s="85">
        <v>0</v>
      </c>
      <c r="AQ979" s="85">
        <v>0</v>
      </c>
      <c r="AR979" s="85">
        <v>0</v>
      </c>
      <c r="AS979" s="85">
        <v>0</v>
      </c>
      <c r="AT979" s="85">
        <v>0</v>
      </c>
      <c r="AU979" s="85">
        <v>0</v>
      </c>
      <c r="AV979" s="85">
        <v>0</v>
      </c>
      <c r="AW979" s="85">
        <v>0</v>
      </c>
      <c r="AX979" s="85">
        <v>0</v>
      </c>
      <c r="AY979" s="85">
        <v>0</v>
      </c>
      <c r="AZ979" s="85">
        <v>51.862467153284676</v>
      </c>
      <c r="BA979" s="85">
        <v>0</v>
      </c>
      <c r="BB979" s="89">
        <v>0</v>
      </c>
      <c r="BC979" s="89">
        <v>51.862467153284676</v>
      </c>
      <c r="BD979" s="37">
        <v>0</v>
      </c>
      <c r="BE979" s="37">
        <v>0</v>
      </c>
      <c r="BF979" s="279">
        <v>3866</v>
      </c>
      <c r="BG979" s="37">
        <v>18534</v>
      </c>
      <c r="BH979" s="37">
        <v>5544</v>
      </c>
      <c r="BI979" s="37">
        <v>0</v>
      </c>
      <c r="BJ979" s="283">
        <v>27944</v>
      </c>
      <c r="BK979" s="161"/>
      <c r="BL979" s="294"/>
      <c r="BM979"/>
      <c r="BN979"/>
      <c r="BO979"/>
      <c r="BP979"/>
      <c r="BQ979"/>
      <c r="BR979"/>
      <c r="BS979"/>
      <c r="BT979"/>
      <c r="BU979"/>
      <c r="BV979"/>
      <c r="BW979"/>
      <c r="BX979"/>
      <c r="BY979"/>
      <c r="BZ979"/>
      <c r="CA979"/>
      <c r="CB979"/>
      <c r="CC979"/>
      <c r="CD979"/>
      <c r="CE979"/>
      <c r="CF979"/>
      <c r="CG979"/>
      <c r="CH979"/>
      <c r="CI979"/>
      <c r="CJ979"/>
    </row>
    <row r="980" spans="1:88" s="32" customFormat="1" ht="15" customHeight="1" x14ac:dyDescent="0.35">
      <c r="A980" s="473"/>
      <c r="B980" s="313">
        <v>39145</v>
      </c>
      <c r="C980" s="8" t="s">
        <v>355</v>
      </c>
      <c r="D980" s="18">
        <v>17</v>
      </c>
      <c r="E980" s="251"/>
      <c r="F980" s="82"/>
      <c r="G980" s="79"/>
      <c r="H980" s="90"/>
      <c r="I980" s="85"/>
      <c r="J980" s="85"/>
      <c r="K980" s="85"/>
      <c r="L980" s="85"/>
      <c r="M980" s="85"/>
      <c r="N980" s="85"/>
      <c r="O980" s="85"/>
      <c r="P980" s="85"/>
      <c r="Q980" s="85"/>
      <c r="R980" s="85"/>
      <c r="S980" s="89"/>
      <c r="T980" s="89" t="s">
        <v>1124</v>
      </c>
      <c r="U980" s="85"/>
      <c r="V980" s="85"/>
      <c r="W980" s="85"/>
      <c r="X980" s="89" t="s">
        <v>1124</v>
      </c>
      <c r="Y980" s="79"/>
      <c r="Z980" s="79"/>
      <c r="AA980" s="94"/>
      <c r="AB980" s="79" t="s">
        <v>1124</v>
      </c>
      <c r="AC980" s="85"/>
      <c r="AD980" s="85"/>
      <c r="AE980" s="85"/>
      <c r="AF980" s="85"/>
      <c r="AG980" s="85" t="s">
        <v>1124</v>
      </c>
      <c r="AH980" s="85"/>
      <c r="AI980" s="85"/>
      <c r="AJ980" s="85"/>
      <c r="AK980" s="85"/>
      <c r="AL980" s="85"/>
      <c r="AM980" s="85"/>
      <c r="AN980" s="85"/>
      <c r="AO980" s="85"/>
      <c r="AP980" s="85"/>
      <c r="AQ980" s="85"/>
      <c r="AR980" s="85" t="s">
        <v>1124</v>
      </c>
      <c r="AS980" s="85"/>
      <c r="AT980" s="85"/>
      <c r="AU980" s="85"/>
      <c r="AV980" s="85"/>
      <c r="AW980" s="85"/>
      <c r="AX980" s="85"/>
      <c r="AY980" s="85"/>
      <c r="AZ980" s="85"/>
      <c r="BA980" s="85"/>
      <c r="BB980" s="89"/>
      <c r="BC980" s="89" t="s">
        <v>1124</v>
      </c>
      <c r="BD980" s="37"/>
      <c r="BE980" s="37"/>
      <c r="BF980" s="279"/>
      <c r="BG980" s="37"/>
      <c r="BH980" s="37"/>
      <c r="BI980" s="37"/>
      <c r="BJ980" s="283"/>
      <c r="BK980" s="161"/>
      <c r="BL980" s="294"/>
      <c r="BM980"/>
      <c r="BN980"/>
      <c r="BO980"/>
      <c r="BP980"/>
      <c r="BQ980"/>
      <c r="BR980"/>
      <c r="BS980"/>
      <c r="BT980"/>
      <c r="BU980"/>
      <c r="BV980"/>
      <c r="BW980"/>
      <c r="BX980"/>
      <c r="BY980"/>
      <c r="BZ980"/>
      <c r="CA980"/>
      <c r="CB980"/>
      <c r="CC980"/>
      <c r="CD980"/>
      <c r="CE980"/>
      <c r="CF980"/>
      <c r="CG980"/>
      <c r="CH980"/>
      <c r="CI980"/>
      <c r="CJ980"/>
    </row>
    <row r="981" spans="1:88" s="32" customFormat="1" ht="15" customHeight="1" x14ac:dyDescent="0.35">
      <c r="A981" s="473"/>
      <c r="B981" s="313">
        <v>39130</v>
      </c>
      <c r="C981" s="8" t="s">
        <v>353</v>
      </c>
      <c r="D981" s="18">
        <v>17</v>
      </c>
      <c r="E981" s="251"/>
      <c r="F981" s="82"/>
      <c r="G981" s="79"/>
      <c r="H981" s="90"/>
      <c r="I981" s="85"/>
      <c r="J981" s="85"/>
      <c r="K981" s="85"/>
      <c r="L981" s="85"/>
      <c r="M981" s="85"/>
      <c r="N981" s="85"/>
      <c r="O981" s="85"/>
      <c r="P981" s="85"/>
      <c r="Q981" s="85"/>
      <c r="R981" s="85"/>
      <c r="S981" s="89"/>
      <c r="T981" s="89" t="s">
        <v>1124</v>
      </c>
      <c r="U981" s="85"/>
      <c r="V981" s="85"/>
      <c r="W981" s="85"/>
      <c r="X981" s="89" t="s">
        <v>1124</v>
      </c>
      <c r="Y981" s="79"/>
      <c r="Z981" s="79"/>
      <c r="AA981" s="94"/>
      <c r="AB981" s="79" t="s">
        <v>1124</v>
      </c>
      <c r="AC981" s="85"/>
      <c r="AD981" s="85"/>
      <c r="AE981" s="85"/>
      <c r="AF981" s="85"/>
      <c r="AG981" s="85" t="s">
        <v>1124</v>
      </c>
      <c r="AH981" s="85"/>
      <c r="AI981" s="85"/>
      <c r="AJ981" s="85"/>
      <c r="AK981" s="85"/>
      <c r="AL981" s="85"/>
      <c r="AM981" s="85"/>
      <c r="AN981" s="85"/>
      <c r="AO981" s="85"/>
      <c r="AP981" s="85"/>
      <c r="AQ981" s="85"/>
      <c r="AR981" s="85" t="s">
        <v>1124</v>
      </c>
      <c r="AS981" s="85"/>
      <c r="AT981" s="85"/>
      <c r="AU981" s="85"/>
      <c r="AV981" s="85"/>
      <c r="AW981" s="85"/>
      <c r="AX981" s="85"/>
      <c r="AY981" s="85"/>
      <c r="AZ981" s="85"/>
      <c r="BA981" s="85"/>
      <c r="BB981" s="89"/>
      <c r="BC981" s="89" t="s">
        <v>1124</v>
      </c>
      <c r="BD981" s="37"/>
      <c r="BE981" s="37"/>
      <c r="BF981" s="279"/>
      <c r="BG981" s="37"/>
      <c r="BH981" s="37"/>
      <c r="BI981" s="37"/>
      <c r="BJ981" s="283"/>
      <c r="BK981" s="161"/>
      <c r="BL981" s="294"/>
      <c r="BM981"/>
      <c r="BN981"/>
      <c r="BO981"/>
      <c r="BP981"/>
      <c r="BQ981"/>
      <c r="BR981"/>
      <c r="BS981"/>
      <c r="BT981"/>
      <c r="BU981"/>
      <c r="BV981"/>
      <c r="BW981"/>
      <c r="BX981"/>
      <c r="BY981"/>
      <c r="BZ981"/>
      <c r="CA981"/>
      <c r="CB981"/>
      <c r="CC981"/>
      <c r="CD981"/>
      <c r="CE981"/>
      <c r="CF981"/>
      <c r="CG981"/>
      <c r="CH981"/>
      <c r="CI981"/>
      <c r="CJ981"/>
    </row>
    <row r="982" spans="1:88" s="32" customFormat="1" ht="15" customHeight="1" x14ac:dyDescent="0.35">
      <c r="A982" s="473"/>
      <c r="B982" s="313">
        <v>26010</v>
      </c>
      <c r="C982" s="8" t="s">
        <v>168</v>
      </c>
      <c r="D982" s="18">
        <v>12</v>
      </c>
      <c r="E982" s="251"/>
      <c r="F982" s="82"/>
      <c r="G982" s="79"/>
      <c r="H982" s="90"/>
      <c r="I982" s="85"/>
      <c r="J982" s="85"/>
      <c r="K982" s="85"/>
      <c r="L982" s="85"/>
      <c r="M982" s="85"/>
      <c r="N982" s="85"/>
      <c r="O982" s="85"/>
      <c r="P982" s="85"/>
      <c r="Q982" s="85"/>
      <c r="R982" s="85"/>
      <c r="S982" s="89"/>
      <c r="T982" s="89" t="s">
        <v>1124</v>
      </c>
      <c r="U982" s="85"/>
      <c r="V982" s="85"/>
      <c r="W982" s="85"/>
      <c r="X982" s="89" t="s">
        <v>1124</v>
      </c>
      <c r="Y982" s="79"/>
      <c r="Z982" s="79"/>
      <c r="AA982" s="94"/>
      <c r="AB982" s="79" t="s">
        <v>1124</v>
      </c>
      <c r="AC982" s="85"/>
      <c r="AD982" s="85"/>
      <c r="AE982" s="85"/>
      <c r="AF982" s="85"/>
      <c r="AG982" s="85" t="s">
        <v>1124</v>
      </c>
      <c r="AH982" s="85"/>
      <c r="AI982" s="85"/>
      <c r="AJ982" s="85"/>
      <c r="AK982" s="85"/>
      <c r="AL982" s="85"/>
      <c r="AM982" s="85"/>
      <c r="AN982" s="85"/>
      <c r="AO982" s="85"/>
      <c r="AP982" s="85"/>
      <c r="AQ982" s="85"/>
      <c r="AR982" s="85" t="s">
        <v>1124</v>
      </c>
      <c r="AS982" s="85"/>
      <c r="AT982" s="85"/>
      <c r="AU982" s="85"/>
      <c r="AV982" s="85"/>
      <c r="AW982" s="85"/>
      <c r="AX982" s="85"/>
      <c r="AY982" s="85"/>
      <c r="AZ982" s="85"/>
      <c r="BA982" s="85"/>
      <c r="BB982" s="89"/>
      <c r="BC982" s="89" t="s">
        <v>1124</v>
      </c>
      <c r="BD982" s="37"/>
      <c r="BE982" s="37"/>
      <c r="BF982" s="279"/>
      <c r="BG982" s="37"/>
      <c r="BH982" s="37"/>
      <c r="BI982" s="37"/>
      <c r="BJ982" s="283"/>
      <c r="BK982" s="161"/>
      <c r="BL982" s="294"/>
      <c r="BM982"/>
      <c r="BN982"/>
      <c r="BO982"/>
      <c r="BP982"/>
      <c r="BQ982"/>
      <c r="BR982"/>
      <c r="BS982"/>
      <c r="BT982"/>
      <c r="BU982"/>
      <c r="BV982"/>
      <c r="BW982"/>
      <c r="BX982"/>
      <c r="BY982"/>
      <c r="BZ982"/>
      <c r="CA982"/>
      <c r="CB982"/>
      <c r="CC982"/>
      <c r="CD982"/>
      <c r="CE982"/>
      <c r="CF982"/>
      <c r="CG982"/>
      <c r="CH982"/>
      <c r="CI982"/>
      <c r="CJ982"/>
    </row>
    <row r="983" spans="1:88" s="32" customFormat="1" ht="15" customHeight="1" x14ac:dyDescent="0.35">
      <c r="A983" s="473"/>
      <c r="B983" s="313">
        <v>77043</v>
      </c>
      <c r="C983" s="8" t="s">
        <v>761</v>
      </c>
      <c r="D983" s="18">
        <v>15</v>
      </c>
      <c r="E983" s="251">
        <v>4366</v>
      </c>
      <c r="F983" s="82">
        <v>1.5692148760330578</v>
      </c>
      <c r="G983" s="79">
        <v>6851.1921487603304</v>
      </c>
      <c r="H983" s="90">
        <v>95.436000000000007</v>
      </c>
      <c r="I983" s="85">
        <v>79.323999999999998</v>
      </c>
      <c r="J983" s="85">
        <v>111.221</v>
      </c>
      <c r="K983" s="85">
        <v>77.808000000000007</v>
      </c>
      <c r="L983" s="85">
        <v>90.429000000000002</v>
      </c>
      <c r="M983" s="85">
        <v>162.44900000000001</v>
      </c>
      <c r="N983" s="85">
        <v>132.929</v>
      </c>
      <c r="O983" s="85">
        <v>157.61199999999999</v>
      </c>
      <c r="P983" s="85">
        <v>124.276</v>
      </c>
      <c r="Q983" s="85">
        <v>109.67100000000001</v>
      </c>
      <c r="R983" s="85">
        <v>94.430999999999997</v>
      </c>
      <c r="S983" s="89">
        <v>95.1</v>
      </c>
      <c r="T983" s="89">
        <v>1330.6859999999999</v>
      </c>
      <c r="U983" s="85">
        <v>0</v>
      </c>
      <c r="V983" s="85">
        <v>1330.6859999999999</v>
      </c>
      <c r="W983" s="85">
        <v>0</v>
      </c>
      <c r="X983" s="89">
        <v>1330.6859999999999</v>
      </c>
      <c r="Y983" s="79">
        <v>0</v>
      </c>
      <c r="Z983" s="79">
        <v>2</v>
      </c>
      <c r="AA983" s="94">
        <v>0</v>
      </c>
      <c r="AB983" s="79">
        <v>2</v>
      </c>
      <c r="AC983" s="85">
        <v>655.00800000000004</v>
      </c>
      <c r="AD983" s="85">
        <v>424.41099999999983</v>
      </c>
      <c r="AE983" s="85">
        <v>251.267</v>
      </c>
      <c r="AF983" s="85">
        <v>0</v>
      </c>
      <c r="AG983" s="85">
        <v>1330.6859999999999</v>
      </c>
      <c r="AH983" s="85">
        <v>0</v>
      </c>
      <c r="AI983" s="85">
        <v>0</v>
      </c>
      <c r="AJ983" s="85">
        <v>0</v>
      </c>
      <c r="AK983" s="85">
        <v>0</v>
      </c>
      <c r="AL983" s="85">
        <v>0</v>
      </c>
      <c r="AM983" s="85">
        <v>0</v>
      </c>
      <c r="AN983" s="85">
        <v>0</v>
      </c>
      <c r="AO983" s="85">
        <v>0</v>
      </c>
      <c r="AP983" s="85">
        <v>0</v>
      </c>
      <c r="AQ983" s="85">
        <v>0</v>
      </c>
      <c r="AR983" s="85">
        <v>0</v>
      </c>
      <c r="AS983" s="85">
        <v>0</v>
      </c>
      <c r="AT983" s="85">
        <v>0</v>
      </c>
      <c r="AU983" s="85">
        <v>0</v>
      </c>
      <c r="AV983" s="85">
        <v>0</v>
      </c>
      <c r="AW983" s="85">
        <v>0</v>
      </c>
      <c r="AX983" s="85">
        <v>0</v>
      </c>
      <c r="AY983" s="85">
        <v>1330.6859999999999</v>
      </c>
      <c r="AZ983" s="85">
        <v>0</v>
      </c>
      <c r="BA983" s="85">
        <v>0</v>
      </c>
      <c r="BB983" s="89">
        <v>0</v>
      </c>
      <c r="BC983" s="89">
        <v>1330.6859999999999</v>
      </c>
      <c r="BD983" s="37">
        <v>0</v>
      </c>
      <c r="BE983" s="37">
        <v>0</v>
      </c>
      <c r="BF983" s="279">
        <v>288089</v>
      </c>
      <c r="BG983" s="37">
        <v>363487</v>
      </c>
      <c r="BH983" s="37">
        <v>111540</v>
      </c>
      <c r="BI983" s="37">
        <v>561676</v>
      </c>
      <c r="BJ983" s="283">
        <v>1324792</v>
      </c>
      <c r="BK983" s="161" t="s">
        <v>3413</v>
      </c>
      <c r="BL983" s="294"/>
      <c r="BM983"/>
      <c r="BN983"/>
      <c r="BO983"/>
      <c r="BP983"/>
      <c r="BQ983"/>
      <c r="BR983"/>
      <c r="BS983"/>
      <c r="BT983"/>
      <c r="BU983"/>
      <c r="BV983"/>
      <c r="BW983"/>
      <c r="BX983"/>
      <c r="BY983"/>
      <c r="BZ983"/>
      <c r="CA983"/>
      <c r="CB983"/>
      <c r="CC983"/>
      <c r="CD983"/>
      <c r="CE983"/>
      <c r="CF983"/>
      <c r="CG983"/>
      <c r="CH983"/>
      <c r="CI983"/>
      <c r="CJ983"/>
    </row>
    <row r="984" spans="1:88" s="32" customFormat="1" ht="15" customHeight="1" x14ac:dyDescent="0.35">
      <c r="A984" s="473"/>
      <c r="B984" s="313">
        <v>30085</v>
      </c>
      <c r="C984" s="8" t="s">
        <v>231</v>
      </c>
      <c r="D984" s="18">
        <v>5</v>
      </c>
      <c r="E984" s="251">
        <v>202</v>
      </c>
      <c r="F984" s="82">
        <v>2.3018999999999998</v>
      </c>
      <c r="G984" s="79">
        <v>464.98379999999997</v>
      </c>
      <c r="H984" s="90">
        <v>4.0439999999999996</v>
      </c>
      <c r="I984" s="85">
        <v>4.2859999999999996</v>
      </c>
      <c r="J984" s="85">
        <v>5.2190000000000003</v>
      </c>
      <c r="K984" s="85">
        <v>4.5119999999999996</v>
      </c>
      <c r="L984" s="85">
        <v>4.7859999999999996</v>
      </c>
      <c r="M984" s="85">
        <v>4.6040000000000001</v>
      </c>
      <c r="N984" s="85">
        <v>4.5839999999999996</v>
      </c>
      <c r="O984" s="85">
        <v>4.7329999999999997</v>
      </c>
      <c r="P984" s="85">
        <v>4.5220000000000002</v>
      </c>
      <c r="Q984" s="85">
        <v>4.8070000000000004</v>
      </c>
      <c r="R984" s="85">
        <v>4.6539999999999999</v>
      </c>
      <c r="S984" s="89">
        <v>4.6360000000000001</v>
      </c>
      <c r="T984" s="89">
        <v>55.386999999999993</v>
      </c>
      <c r="U984" s="85">
        <v>0</v>
      </c>
      <c r="V984" s="85">
        <v>55.386999999999993</v>
      </c>
      <c r="W984" s="85">
        <v>0</v>
      </c>
      <c r="X984" s="89">
        <v>55.386999999999993</v>
      </c>
      <c r="Y984" s="79">
        <v>0</v>
      </c>
      <c r="Z984" s="79">
        <v>3</v>
      </c>
      <c r="AA984" s="94">
        <v>0</v>
      </c>
      <c r="AB984" s="79">
        <v>3</v>
      </c>
      <c r="AC984" s="85">
        <v>30.117000000000001</v>
      </c>
      <c r="AD984" s="85">
        <v>22.520991959899739</v>
      </c>
      <c r="AE984" s="85">
        <v>2.7490080401002555</v>
      </c>
      <c r="AF984" s="85">
        <v>0</v>
      </c>
      <c r="AG984" s="85">
        <v>55.386999999999993</v>
      </c>
      <c r="AH984" s="85">
        <v>0</v>
      </c>
      <c r="AI984" s="85">
        <v>0</v>
      </c>
      <c r="AJ984" s="85">
        <v>0</v>
      </c>
      <c r="AK984" s="85">
        <v>0</v>
      </c>
      <c r="AL984" s="85">
        <v>0</v>
      </c>
      <c r="AM984" s="85">
        <v>0</v>
      </c>
      <c r="AN984" s="85">
        <v>0</v>
      </c>
      <c r="AO984" s="85">
        <v>0</v>
      </c>
      <c r="AP984" s="85">
        <v>0</v>
      </c>
      <c r="AQ984" s="85">
        <v>0</v>
      </c>
      <c r="AR984" s="85">
        <v>0</v>
      </c>
      <c r="AS984" s="85">
        <v>0</v>
      </c>
      <c r="AT984" s="85">
        <v>0</v>
      </c>
      <c r="AU984" s="85">
        <v>0</v>
      </c>
      <c r="AV984" s="85">
        <v>0</v>
      </c>
      <c r="AW984" s="85">
        <v>0</v>
      </c>
      <c r="AX984" s="85">
        <v>55.386999999999993</v>
      </c>
      <c r="AY984" s="85">
        <v>0</v>
      </c>
      <c r="AZ984" s="85">
        <v>0</v>
      </c>
      <c r="BA984" s="85">
        <v>0</v>
      </c>
      <c r="BB984" s="89">
        <v>0</v>
      </c>
      <c r="BC984" s="89">
        <v>55.386999999999993</v>
      </c>
      <c r="BD984" s="37">
        <v>0</v>
      </c>
      <c r="BE984" s="37">
        <v>0</v>
      </c>
      <c r="BF984" s="279">
        <v>33626</v>
      </c>
      <c r="BG984" s="37">
        <v>30470</v>
      </c>
      <c r="BH984" s="37">
        <v>25139</v>
      </c>
      <c r="BI984" s="37">
        <v>0</v>
      </c>
      <c r="BJ984" s="283">
        <v>89235</v>
      </c>
      <c r="BK984" s="161"/>
      <c r="BL984" s="294"/>
      <c r="BM984"/>
      <c r="BN984"/>
      <c r="BO984"/>
      <c r="BP984"/>
      <c r="BQ984"/>
      <c r="BR984"/>
      <c r="BS984"/>
      <c r="BT984"/>
      <c r="BU984"/>
      <c r="BV984"/>
      <c r="BW984"/>
      <c r="BX984"/>
      <c r="BY984"/>
      <c r="BZ984"/>
      <c r="CA984"/>
      <c r="CB984"/>
      <c r="CC984"/>
      <c r="CD984"/>
      <c r="CE984"/>
      <c r="CF984"/>
      <c r="CG984"/>
      <c r="CH984"/>
      <c r="CI984"/>
      <c r="CJ984"/>
    </row>
    <row r="985" spans="1:88" s="32" customFormat="1" ht="15" customHeight="1" x14ac:dyDescent="0.35">
      <c r="A985" s="473"/>
      <c r="B985" s="313">
        <v>56050</v>
      </c>
      <c r="C985" s="8" t="s">
        <v>574</v>
      </c>
      <c r="D985" s="18">
        <v>16</v>
      </c>
      <c r="E985" s="251"/>
      <c r="F985" s="82"/>
      <c r="G985" s="79"/>
      <c r="H985" s="90"/>
      <c r="I985" s="85"/>
      <c r="J985" s="85"/>
      <c r="K985" s="85"/>
      <c r="L985" s="85"/>
      <c r="M985" s="85"/>
      <c r="N985" s="85"/>
      <c r="O985" s="85"/>
      <c r="P985" s="85"/>
      <c r="Q985" s="85"/>
      <c r="R985" s="85"/>
      <c r="S985" s="89"/>
      <c r="T985" s="89" t="s">
        <v>1124</v>
      </c>
      <c r="U985" s="85"/>
      <c r="V985" s="85"/>
      <c r="W985" s="85"/>
      <c r="X985" s="89" t="s">
        <v>1124</v>
      </c>
      <c r="Y985" s="79"/>
      <c r="Z985" s="79"/>
      <c r="AA985" s="94"/>
      <c r="AB985" s="79" t="s">
        <v>1124</v>
      </c>
      <c r="AC985" s="85"/>
      <c r="AD985" s="85"/>
      <c r="AE985" s="85"/>
      <c r="AF985" s="85"/>
      <c r="AG985" s="85" t="s">
        <v>1124</v>
      </c>
      <c r="AH985" s="85"/>
      <c r="AI985" s="85"/>
      <c r="AJ985" s="85"/>
      <c r="AK985" s="85"/>
      <c r="AL985" s="85"/>
      <c r="AM985" s="85"/>
      <c r="AN985" s="85"/>
      <c r="AO985" s="85"/>
      <c r="AP985" s="85"/>
      <c r="AQ985" s="85"/>
      <c r="AR985" s="85" t="s">
        <v>1124</v>
      </c>
      <c r="AS985" s="85"/>
      <c r="AT985" s="85"/>
      <c r="AU985" s="85"/>
      <c r="AV985" s="85"/>
      <c r="AW985" s="85"/>
      <c r="AX985" s="85"/>
      <c r="AY985" s="85"/>
      <c r="AZ985" s="85"/>
      <c r="BA985" s="85"/>
      <c r="BB985" s="89"/>
      <c r="BC985" s="89" t="s">
        <v>1124</v>
      </c>
      <c r="BD985" s="37"/>
      <c r="BE985" s="37"/>
      <c r="BF985" s="279"/>
      <c r="BG985" s="37"/>
      <c r="BH985" s="37"/>
      <c r="BI985" s="37"/>
      <c r="BJ985" s="283"/>
      <c r="BK985" s="161"/>
      <c r="BL985" s="294"/>
      <c r="BM985"/>
      <c r="BN985"/>
      <c r="BO985"/>
      <c r="BP985"/>
      <c r="BQ985"/>
      <c r="BR985"/>
      <c r="BS985"/>
      <c r="BT985"/>
      <c r="BU985"/>
      <c r="BV985"/>
      <c r="BW985"/>
      <c r="BX985"/>
      <c r="BY985"/>
      <c r="BZ985"/>
      <c r="CA985"/>
      <c r="CB985"/>
      <c r="CC985"/>
      <c r="CD985"/>
      <c r="CE985"/>
      <c r="CF985"/>
      <c r="CG985"/>
      <c r="CH985"/>
      <c r="CI985"/>
      <c r="CJ985"/>
    </row>
    <row r="986" spans="1:88" s="32" customFormat="1" ht="15" customHeight="1" x14ac:dyDescent="0.35">
      <c r="A986" s="473"/>
      <c r="B986" s="313">
        <v>51030</v>
      </c>
      <c r="C986" s="8" t="s">
        <v>502</v>
      </c>
      <c r="D986" s="18">
        <v>4</v>
      </c>
      <c r="E986" s="251"/>
      <c r="F986" s="82"/>
      <c r="G986" s="79"/>
      <c r="H986" s="90"/>
      <c r="I986" s="85"/>
      <c r="J986" s="85"/>
      <c r="K986" s="85"/>
      <c r="L986" s="85"/>
      <c r="M986" s="85"/>
      <c r="N986" s="85"/>
      <c r="O986" s="85"/>
      <c r="P986" s="85"/>
      <c r="Q986" s="85"/>
      <c r="R986" s="85"/>
      <c r="S986" s="89"/>
      <c r="T986" s="89" t="s">
        <v>1124</v>
      </c>
      <c r="U986" s="85"/>
      <c r="V986" s="85"/>
      <c r="W986" s="85"/>
      <c r="X986" s="89" t="s">
        <v>1124</v>
      </c>
      <c r="Y986" s="79"/>
      <c r="Z986" s="79"/>
      <c r="AA986" s="94"/>
      <c r="AB986" s="79" t="s">
        <v>1124</v>
      </c>
      <c r="AC986" s="85"/>
      <c r="AD986" s="85"/>
      <c r="AE986" s="85"/>
      <c r="AF986" s="85"/>
      <c r="AG986" s="85" t="s">
        <v>1124</v>
      </c>
      <c r="AH986" s="85"/>
      <c r="AI986" s="85"/>
      <c r="AJ986" s="85"/>
      <c r="AK986" s="85"/>
      <c r="AL986" s="85"/>
      <c r="AM986" s="85"/>
      <c r="AN986" s="85"/>
      <c r="AO986" s="85"/>
      <c r="AP986" s="85"/>
      <c r="AQ986" s="85"/>
      <c r="AR986" s="85" t="s">
        <v>1124</v>
      </c>
      <c r="AS986" s="85"/>
      <c r="AT986" s="85"/>
      <c r="AU986" s="85"/>
      <c r="AV986" s="85"/>
      <c r="AW986" s="85"/>
      <c r="AX986" s="85"/>
      <c r="AY986" s="85"/>
      <c r="AZ986" s="85"/>
      <c r="BA986" s="85"/>
      <c r="BB986" s="89"/>
      <c r="BC986" s="89" t="s">
        <v>1124</v>
      </c>
      <c r="BD986" s="37"/>
      <c r="BE986" s="37"/>
      <c r="BF986" s="279"/>
      <c r="BG986" s="37"/>
      <c r="BH986" s="37"/>
      <c r="BI986" s="37"/>
      <c r="BJ986" s="283"/>
      <c r="BK986" s="161"/>
      <c r="BL986" s="294"/>
      <c r="BM986"/>
      <c r="BN986"/>
      <c r="BO986"/>
      <c r="BP986"/>
      <c r="BQ986"/>
      <c r="BR986"/>
      <c r="BS986"/>
      <c r="BT986"/>
      <c r="BU986"/>
      <c r="BV986"/>
      <c r="BW986"/>
      <c r="BX986"/>
      <c r="BY986"/>
      <c r="BZ986"/>
      <c r="CA986"/>
      <c r="CB986"/>
      <c r="CC986"/>
      <c r="CD986"/>
      <c r="CE986"/>
      <c r="CF986"/>
      <c r="CG986"/>
      <c r="CH986"/>
      <c r="CI986"/>
      <c r="CJ986"/>
    </row>
    <row r="987" spans="1:88" s="32" customFormat="1" ht="15" customHeight="1" x14ac:dyDescent="0.35">
      <c r="A987" s="473"/>
      <c r="B987" s="313">
        <v>35020</v>
      </c>
      <c r="C987" s="8" t="s">
        <v>306</v>
      </c>
      <c r="D987" s="18">
        <v>4</v>
      </c>
      <c r="E987" s="251"/>
      <c r="F987" s="82"/>
      <c r="G987" s="79"/>
      <c r="H987" s="90"/>
      <c r="I987" s="85"/>
      <c r="J987" s="85"/>
      <c r="K987" s="85"/>
      <c r="L987" s="85"/>
      <c r="M987" s="85"/>
      <c r="N987" s="85"/>
      <c r="O987" s="85"/>
      <c r="P987" s="85"/>
      <c r="Q987" s="85"/>
      <c r="R987" s="85"/>
      <c r="S987" s="89"/>
      <c r="T987" s="89" t="s">
        <v>1124</v>
      </c>
      <c r="U987" s="85"/>
      <c r="V987" s="85"/>
      <c r="W987" s="85"/>
      <c r="X987" s="89" t="s">
        <v>1124</v>
      </c>
      <c r="Y987" s="79"/>
      <c r="Z987" s="79"/>
      <c r="AA987" s="94"/>
      <c r="AB987" s="79" t="s">
        <v>1124</v>
      </c>
      <c r="AC987" s="85"/>
      <c r="AD987" s="85"/>
      <c r="AE987" s="85"/>
      <c r="AF987" s="85"/>
      <c r="AG987" s="85" t="s">
        <v>1124</v>
      </c>
      <c r="AH987" s="85"/>
      <c r="AI987" s="85"/>
      <c r="AJ987" s="85"/>
      <c r="AK987" s="85"/>
      <c r="AL987" s="85"/>
      <c r="AM987" s="85"/>
      <c r="AN987" s="85"/>
      <c r="AO987" s="85"/>
      <c r="AP987" s="85"/>
      <c r="AQ987" s="85"/>
      <c r="AR987" s="85" t="s">
        <v>1124</v>
      </c>
      <c r="AS987" s="85"/>
      <c r="AT987" s="85"/>
      <c r="AU987" s="85"/>
      <c r="AV987" s="85"/>
      <c r="AW987" s="85"/>
      <c r="AX987" s="85"/>
      <c r="AY987" s="85"/>
      <c r="AZ987" s="85"/>
      <c r="BA987" s="85"/>
      <c r="BB987" s="89"/>
      <c r="BC987" s="89" t="s">
        <v>1124</v>
      </c>
      <c r="BD987" s="37"/>
      <c r="BE987" s="37"/>
      <c r="BF987" s="279"/>
      <c r="BG987" s="37"/>
      <c r="BH987" s="37"/>
      <c r="BI987" s="37"/>
      <c r="BJ987" s="283"/>
      <c r="BK987" s="161"/>
      <c r="BL987" s="294"/>
      <c r="BM987"/>
      <c r="BN987"/>
      <c r="BO987"/>
      <c r="BP987"/>
      <c r="BQ987"/>
      <c r="BR987"/>
      <c r="BS987"/>
      <c r="BT987"/>
      <c r="BU987"/>
      <c r="BV987"/>
      <c r="BW987"/>
      <c r="BX987"/>
      <c r="BY987"/>
      <c r="BZ987"/>
      <c r="CA987"/>
      <c r="CB987"/>
      <c r="CC987"/>
      <c r="CD987"/>
      <c r="CE987"/>
      <c r="CF987"/>
      <c r="CG987"/>
      <c r="CH987"/>
      <c r="CI987"/>
      <c r="CJ987"/>
    </row>
    <row r="988" spans="1:88" s="32" customFormat="1" ht="15" customHeight="1" x14ac:dyDescent="0.35">
      <c r="A988" s="473"/>
      <c r="B988" s="313">
        <v>27070</v>
      </c>
      <c r="C988" s="8" t="s">
        <v>187</v>
      </c>
      <c r="D988" s="18">
        <v>12</v>
      </c>
      <c r="E988" s="251"/>
      <c r="F988" s="82"/>
      <c r="G988" s="79"/>
      <c r="H988" s="90"/>
      <c r="I988" s="85"/>
      <c r="J988" s="85"/>
      <c r="K988" s="85"/>
      <c r="L988" s="85"/>
      <c r="M988" s="85"/>
      <c r="N988" s="85"/>
      <c r="O988" s="85"/>
      <c r="P988" s="85"/>
      <c r="Q988" s="85"/>
      <c r="R988" s="85"/>
      <c r="S988" s="89"/>
      <c r="T988" s="89" t="s">
        <v>1124</v>
      </c>
      <c r="U988" s="85"/>
      <c r="V988" s="85"/>
      <c r="W988" s="85"/>
      <c r="X988" s="89" t="s">
        <v>1124</v>
      </c>
      <c r="Y988" s="79"/>
      <c r="Z988" s="79"/>
      <c r="AA988" s="94"/>
      <c r="AB988" s="79" t="s">
        <v>1124</v>
      </c>
      <c r="AC988" s="85"/>
      <c r="AD988" s="85"/>
      <c r="AE988" s="85"/>
      <c r="AF988" s="85"/>
      <c r="AG988" s="85" t="s">
        <v>1124</v>
      </c>
      <c r="AH988" s="85"/>
      <c r="AI988" s="85"/>
      <c r="AJ988" s="85"/>
      <c r="AK988" s="85"/>
      <c r="AL988" s="85"/>
      <c r="AM988" s="85"/>
      <c r="AN988" s="85"/>
      <c r="AO988" s="85"/>
      <c r="AP988" s="85"/>
      <c r="AQ988" s="85"/>
      <c r="AR988" s="85" t="s">
        <v>1124</v>
      </c>
      <c r="AS988" s="85"/>
      <c r="AT988" s="85"/>
      <c r="AU988" s="85"/>
      <c r="AV988" s="85"/>
      <c r="AW988" s="85"/>
      <c r="AX988" s="85"/>
      <c r="AY988" s="85"/>
      <c r="AZ988" s="85"/>
      <c r="BA988" s="85"/>
      <c r="BB988" s="89"/>
      <c r="BC988" s="89" t="s">
        <v>1124</v>
      </c>
      <c r="BD988" s="37"/>
      <c r="BE988" s="37"/>
      <c r="BF988" s="279"/>
      <c r="BG988" s="37"/>
      <c r="BH988" s="37"/>
      <c r="BI988" s="37"/>
      <c r="BJ988" s="283"/>
      <c r="BK988" s="161"/>
      <c r="BL988" s="294"/>
      <c r="BM988"/>
      <c r="BN988"/>
      <c r="BO988"/>
      <c r="BP988"/>
      <c r="BQ988"/>
      <c r="BR988"/>
      <c r="BS988"/>
      <c r="BT988"/>
      <c r="BU988"/>
      <c r="BV988"/>
      <c r="BW988"/>
      <c r="BX988"/>
      <c r="BY988"/>
      <c r="BZ988"/>
      <c r="CA988"/>
      <c r="CB988"/>
      <c r="CC988"/>
      <c r="CD988"/>
      <c r="CE988"/>
      <c r="CF988"/>
      <c r="CG988"/>
      <c r="CH988"/>
      <c r="CI988"/>
      <c r="CJ988"/>
    </row>
    <row r="989" spans="1:88" s="32" customFormat="1" ht="15" customHeight="1" x14ac:dyDescent="0.35">
      <c r="A989" s="473"/>
      <c r="B989" s="313">
        <v>15058</v>
      </c>
      <c r="C989" s="8" t="s">
        <v>82</v>
      </c>
      <c r="D989" s="18">
        <v>3</v>
      </c>
      <c r="E989" s="251">
        <v>464</v>
      </c>
      <c r="F989" s="82">
        <v>2.0372340425531914</v>
      </c>
      <c r="G989" s="79">
        <v>945.27659574468078</v>
      </c>
      <c r="H989" s="90">
        <v>11.609</v>
      </c>
      <c r="I989" s="85">
        <v>12.487</v>
      </c>
      <c r="J989" s="85">
        <v>17.079000000000001</v>
      </c>
      <c r="K989" s="85">
        <v>14.895</v>
      </c>
      <c r="L989" s="85">
        <v>13.177</v>
      </c>
      <c r="M989" s="85">
        <v>15.732999999999999</v>
      </c>
      <c r="N989" s="85">
        <v>19.697000000000003</v>
      </c>
      <c r="O989" s="85">
        <v>17.191000000000003</v>
      </c>
      <c r="P989" s="85">
        <v>14.362</v>
      </c>
      <c r="Q989" s="85">
        <v>12.427999999999999</v>
      </c>
      <c r="R989" s="85">
        <v>10</v>
      </c>
      <c r="S989" s="89">
        <v>11.181000000000001</v>
      </c>
      <c r="T989" s="89">
        <v>169.839</v>
      </c>
      <c r="U989" s="85">
        <v>0</v>
      </c>
      <c r="V989" s="85">
        <v>169.839</v>
      </c>
      <c r="W989" s="85">
        <v>0</v>
      </c>
      <c r="X989" s="89">
        <v>169.839</v>
      </c>
      <c r="Y989" s="79">
        <v>0</v>
      </c>
      <c r="Z989" s="79">
        <v>2</v>
      </c>
      <c r="AA989" s="94">
        <v>0</v>
      </c>
      <c r="AB989" s="79">
        <v>2</v>
      </c>
      <c r="AC989" s="85">
        <v>81.902000000000001</v>
      </c>
      <c r="AD989" s="85">
        <v>54.23408228571428</v>
      </c>
      <c r="AE989" s="85">
        <v>33.702917714285718</v>
      </c>
      <c r="AF989" s="85">
        <v>0</v>
      </c>
      <c r="AG989" s="85">
        <v>169.839</v>
      </c>
      <c r="AH989" s="85">
        <v>0</v>
      </c>
      <c r="AI989" s="85">
        <v>0</v>
      </c>
      <c r="AJ989" s="85">
        <v>0</v>
      </c>
      <c r="AK989" s="85">
        <v>0</v>
      </c>
      <c r="AL989" s="85">
        <v>0</v>
      </c>
      <c r="AM989" s="85">
        <v>0</v>
      </c>
      <c r="AN989" s="85">
        <v>0</v>
      </c>
      <c r="AO989" s="85">
        <v>0</v>
      </c>
      <c r="AP989" s="85">
        <v>0</v>
      </c>
      <c r="AQ989" s="85">
        <v>0</v>
      </c>
      <c r="AR989" s="85">
        <v>0</v>
      </c>
      <c r="AS989" s="85">
        <v>0</v>
      </c>
      <c r="AT989" s="85">
        <v>0</v>
      </c>
      <c r="AU989" s="85">
        <v>0</v>
      </c>
      <c r="AV989" s="85">
        <v>0</v>
      </c>
      <c r="AW989" s="85">
        <v>0</v>
      </c>
      <c r="AX989" s="85">
        <v>0</v>
      </c>
      <c r="AY989" s="85">
        <v>157.989</v>
      </c>
      <c r="AZ989" s="85">
        <v>0</v>
      </c>
      <c r="BA989" s="85">
        <v>11.85</v>
      </c>
      <c r="BB989" s="89">
        <v>0</v>
      </c>
      <c r="BC989" s="89">
        <v>169.839</v>
      </c>
      <c r="BD989" s="37">
        <v>0</v>
      </c>
      <c r="BE989" s="37">
        <v>0</v>
      </c>
      <c r="BF989" s="279">
        <v>1550</v>
      </c>
      <c r="BG989" s="37">
        <v>0</v>
      </c>
      <c r="BH989" s="37">
        <v>26087</v>
      </c>
      <c r="BI989" s="37">
        <v>0</v>
      </c>
      <c r="BJ989" s="283">
        <v>27637</v>
      </c>
      <c r="BK989" s="161"/>
      <c r="BL989" s="294"/>
      <c r="BM989"/>
      <c r="BN989"/>
      <c r="BO989"/>
      <c r="BP989"/>
      <c r="BQ989"/>
      <c r="BR989"/>
      <c r="BS989"/>
      <c r="BT989"/>
      <c r="BU989"/>
      <c r="BV989"/>
      <c r="BW989"/>
      <c r="BX989"/>
      <c r="BY989"/>
      <c r="BZ989"/>
      <c r="CA989"/>
      <c r="CB989"/>
      <c r="CC989"/>
      <c r="CD989"/>
      <c r="CE989"/>
      <c r="CF989"/>
      <c r="CG989"/>
      <c r="CH989"/>
      <c r="CI989"/>
      <c r="CJ989"/>
    </row>
    <row r="990" spans="1:88" s="32" customFormat="1" ht="15" customHeight="1" x14ac:dyDescent="0.35">
      <c r="A990" s="473"/>
      <c r="B990" s="313">
        <v>5055</v>
      </c>
      <c r="C990" s="8" t="s">
        <v>1052</v>
      </c>
      <c r="D990" s="18">
        <v>11</v>
      </c>
      <c r="E990" s="251">
        <v>434</v>
      </c>
      <c r="F990" s="82">
        <v>1.8558139534883722</v>
      </c>
      <c r="G990" s="79">
        <v>805.42325581395357</v>
      </c>
      <c r="H990" s="90">
        <v>6.3019999999999996</v>
      </c>
      <c r="I990" s="85">
        <v>5.44</v>
      </c>
      <c r="J990" s="85">
        <v>6.3970000000000002</v>
      </c>
      <c r="K990" s="85">
        <v>5.7140000000000004</v>
      </c>
      <c r="L990" s="85">
        <v>8.6229999999999993</v>
      </c>
      <c r="M990" s="85">
        <v>7.9640000000000004</v>
      </c>
      <c r="N990" s="85">
        <v>10.241</v>
      </c>
      <c r="O990" s="85">
        <v>9.0079999999999991</v>
      </c>
      <c r="P990" s="85">
        <v>7.0979999999999999</v>
      </c>
      <c r="Q990" s="85">
        <v>7.1580000000000004</v>
      </c>
      <c r="R990" s="85">
        <v>6.63</v>
      </c>
      <c r="S990" s="89">
        <v>5.8410000000000002</v>
      </c>
      <c r="T990" s="89">
        <v>86.415999999999983</v>
      </c>
      <c r="U990" s="85">
        <v>0</v>
      </c>
      <c r="V990" s="85">
        <v>86.415999999999997</v>
      </c>
      <c r="W990" s="85">
        <v>0</v>
      </c>
      <c r="X990" s="89">
        <v>86.415999999999997</v>
      </c>
      <c r="Y990" s="79">
        <v>0</v>
      </c>
      <c r="Z990" s="79">
        <v>2</v>
      </c>
      <c r="AA990" s="94">
        <v>0</v>
      </c>
      <c r="AB990" s="79">
        <v>2</v>
      </c>
      <c r="AC990" s="85">
        <v>55.390424242424245</v>
      </c>
      <c r="AD990" s="85">
        <v>4.8698157575757364</v>
      </c>
      <c r="AE990" s="85">
        <v>26.155760000000001</v>
      </c>
      <c r="AF990" s="85">
        <v>0</v>
      </c>
      <c r="AG990" s="85">
        <v>86.415999999999983</v>
      </c>
      <c r="AH990" s="85">
        <v>0</v>
      </c>
      <c r="AI990" s="85">
        <v>0</v>
      </c>
      <c r="AJ990" s="85">
        <v>0</v>
      </c>
      <c r="AK990" s="85">
        <v>0</v>
      </c>
      <c r="AL990" s="85">
        <v>0</v>
      </c>
      <c r="AM990" s="85">
        <v>0</v>
      </c>
      <c r="AN990" s="85">
        <v>0</v>
      </c>
      <c r="AO990" s="85">
        <v>0</v>
      </c>
      <c r="AP990" s="85">
        <v>0</v>
      </c>
      <c r="AQ990" s="85">
        <v>0</v>
      </c>
      <c r="AR990" s="85">
        <v>0</v>
      </c>
      <c r="AS990" s="85">
        <v>0</v>
      </c>
      <c r="AT990" s="85">
        <v>0</v>
      </c>
      <c r="AU990" s="85">
        <v>0</v>
      </c>
      <c r="AV990" s="85">
        <v>0</v>
      </c>
      <c r="AW990" s="85">
        <v>0</v>
      </c>
      <c r="AX990" s="85">
        <v>0</v>
      </c>
      <c r="AY990" s="85">
        <v>0</v>
      </c>
      <c r="AZ990" s="85">
        <v>0</v>
      </c>
      <c r="BA990" s="85">
        <v>86.415999999999997</v>
      </c>
      <c r="BB990" s="89">
        <v>0</v>
      </c>
      <c r="BC990" s="89">
        <v>86.415999999999997</v>
      </c>
      <c r="BD990" s="37">
        <v>0</v>
      </c>
      <c r="BE990" s="37">
        <v>0</v>
      </c>
      <c r="BF990" s="279">
        <v>200</v>
      </c>
      <c r="BG990" s="37">
        <v>6950</v>
      </c>
      <c r="BH990" s="37">
        <v>4933</v>
      </c>
      <c r="BI990" s="37">
        <v>1565</v>
      </c>
      <c r="BJ990" s="283">
        <v>13648</v>
      </c>
      <c r="BK990" s="161"/>
      <c r="BL990" s="294"/>
      <c r="BM990"/>
      <c r="BN990"/>
      <c r="BO990"/>
      <c r="BP990"/>
      <c r="BQ990"/>
      <c r="BR990"/>
      <c r="BS990"/>
      <c r="BT990"/>
      <c r="BU990"/>
      <c r="BV990"/>
      <c r="BW990"/>
      <c r="BX990"/>
      <c r="BY990"/>
      <c r="BZ990"/>
      <c r="CA990"/>
      <c r="CB990"/>
      <c r="CC990"/>
      <c r="CD990"/>
      <c r="CE990"/>
      <c r="CF990"/>
      <c r="CG990"/>
      <c r="CH990"/>
      <c r="CI990"/>
      <c r="CJ990"/>
    </row>
    <row r="991" spans="1:88" s="32" customFormat="1" ht="15" customHeight="1" x14ac:dyDescent="0.35">
      <c r="A991" s="473"/>
      <c r="B991" s="313">
        <v>11055</v>
      </c>
      <c r="C991" s="8" t="s">
        <v>27</v>
      </c>
      <c r="D991" s="18">
        <v>1</v>
      </c>
      <c r="E991" s="251">
        <v>116</v>
      </c>
      <c r="F991" s="82">
        <v>2.7229601518026567</v>
      </c>
      <c r="G991" s="79">
        <v>315.86337760910817</v>
      </c>
      <c r="H991" s="90">
        <v>2.4119999999999999</v>
      </c>
      <c r="I991" s="85">
        <v>1.6319999999999999</v>
      </c>
      <c r="J991" s="85">
        <v>1.78</v>
      </c>
      <c r="K991" s="85">
        <v>1.78</v>
      </c>
      <c r="L991" s="85">
        <v>1.9279999999999999</v>
      </c>
      <c r="M991" s="85">
        <v>2.1760000000000002</v>
      </c>
      <c r="N991" s="85">
        <v>2.6680000000000001</v>
      </c>
      <c r="O991" s="85">
        <v>3.1160000000000001</v>
      </c>
      <c r="P991" s="85">
        <v>2.2400000000000002</v>
      </c>
      <c r="Q991" s="85">
        <v>2.1680000000000001</v>
      </c>
      <c r="R991" s="85">
        <v>2.004</v>
      </c>
      <c r="S991" s="89">
        <v>2.444</v>
      </c>
      <c r="T991" s="89">
        <v>26.347999999999999</v>
      </c>
      <c r="U991" s="85">
        <v>0</v>
      </c>
      <c r="V991" s="85">
        <v>26.347999999999999</v>
      </c>
      <c r="W991" s="85">
        <v>0</v>
      </c>
      <c r="X991" s="89">
        <v>26.347999999999999</v>
      </c>
      <c r="Y991" s="79">
        <v>0</v>
      </c>
      <c r="Z991" s="79">
        <v>1</v>
      </c>
      <c r="AA991" s="94">
        <v>0</v>
      </c>
      <c r="AB991" s="79">
        <v>1</v>
      </c>
      <c r="AC991" s="85">
        <v>20.989555555555555</v>
      </c>
      <c r="AD991" s="85">
        <v>2.2046644444444463</v>
      </c>
      <c r="AE991" s="85">
        <v>3.153779999999998</v>
      </c>
      <c r="AF991" s="85">
        <v>0</v>
      </c>
      <c r="AG991" s="85">
        <v>26.347999999999999</v>
      </c>
      <c r="AH991" s="85">
        <v>0</v>
      </c>
      <c r="AI991" s="85">
        <v>0</v>
      </c>
      <c r="AJ991" s="85">
        <v>0</v>
      </c>
      <c r="AK991" s="85">
        <v>0</v>
      </c>
      <c r="AL991" s="85">
        <v>0</v>
      </c>
      <c r="AM991" s="85">
        <v>0</v>
      </c>
      <c r="AN991" s="85">
        <v>0</v>
      </c>
      <c r="AO991" s="85">
        <v>0</v>
      </c>
      <c r="AP991" s="85">
        <v>0</v>
      </c>
      <c r="AQ991" s="85">
        <v>0</v>
      </c>
      <c r="AR991" s="85">
        <v>0</v>
      </c>
      <c r="AS991" s="85">
        <v>0</v>
      </c>
      <c r="AT991" s="85">
        <v>0</v>
      </c>
      <c r="AU991" s="85">
        <v>26.347999999999999</v>
      </c>
      <c r="AV991" s="85">
        <v>0</v>
      </c>
      <c r="AW991" s="85">
        <v>0</v>
      </c>
      <c r="AX991" s="85">
        <v>0</v>
      </c>
      <c r="AY991" s="85">
        <v>0</v>
      </c>
      <c r="AZ991" s="85">
        <v>0</v>
      </c>
      <c r="BA991" s="85">
        <v>0</v>
      </c>
      <c r="BB991" s="89">
        <v>0</v>
      </c>
      <c r="BC991" s="89">
        <v>26.347999999999999</v>
      </c>
      <c r="BD991" s="37">
        <v>0</v>
      </c>
      <c r="BE991" s="37">
        <v>0</v>
      </c>
      <c r="BF991" s="279">
        <v>6252</v>
      </c>
      <c r="BG991" s="37">
        <v>18926</v>
      </c>
      <c r="BH991" s="37">
        <v>4175</v>
      </c>
      <c r="BI991" s="37">
        <v>2388</v>
      </c>
      <c r="BJ991" s="283">
        <v>31741</v>
      </c>
      <c r="BK991" s="161"/>
      <c r="BL991" s="294"/>
      <c r="BM991"/>
      <c r="BN991"/>
      <c r="BO991"/>
      <c r="BP991"/>
      <c r="BQ991"/>
      <c r="BR991"/>
      <c r="BS991"/>
      <c r="BT991"/>
      <c r="BU991"/>
      <c r="BV991"/>
      <c r="BW991"/>
      <c r="BX991"/>
      <c r="BY991"/>
      <c r="BZ991"/>
      <c r="CA991"/>
      <c r="CB991"/>
      <c r="CC991"/>
      <c r="CD991"/>
      <c r="CE991"/>
      <c r="CF991"/>
      <c r="CG991"/>
      <c r="CH991"/>
      <c r="CI991"/>
      <c r="CJ991"/>
    </row>
    <row r="992" spans="1:88" s="32" customFormat="1" ht="15" customHeight="1" x14ac:dyDescent="0.35">
      <c r="A992" s="473"/>
      <c r="B992" s="313">
        <v>54090</v>
      </c>
      <c r="C992" s="8" t="s">
        <v>551</v>
      </c>
      <c r="D992" s="18">
        <v>16</v>
      </c>
      <c r="E992" s="251"/>
      <c r="F992" s="82"/>
      <c r="G992" s="79"/>
      <c r="H992" s="90"/>
      <c r="I992" s="85"/>
      <c r="J992" s="85"/>
      <c r="K992" s="85"/>
      <c r="L992" s="85"/>
      <c r="M992" s="85"/>
      <c r="N992" s="85"/>
      <c r="O992" s="85"/>
      <c r="P992" s="85"/>
      <c r="Q992" s="85"/>
      <c r="R992" s="85"/>
      <c r="S992" s="89"/>
      <c r="T992" s="89" t="s">
        <v>1124</v>
      </c>
      <c r="U992" s="85"/>
      <c r="V992" s="85"/>
      <c r="W992" s="85"/>
      <c r="X992" s="89" t="s">
        <v>1124</v>
      </c>
      <c r="Y992" s="79"/>
      <c r="Z992" s="79"/>
      <c r="AA992" s="94"/>
      <c r="AB992" s="79" t="s">
        <v>1124</v>
      </c>
      <c r="AC992" s="85"/>
      <c r="AD992" s="85"/>
      <c r="AE992" s="85"/>
      <c r="AF992" s="85"/>
      <c r="AG992" s="85" t="s">
        <v>1124</v>
      </c>
      <c r="AH992" s="85"/>
      <c r="AI992" s="85"/>
      <c r="AJ992" s="85"/>
      <c r="AK992" s="85"/>
      <c r="AL992" s="85"/>
      <c r="AM992" s="85"/>
      <c r="AN992" s="85"/>
      <c r="AO992" s="85"/>
      <c r="AP992" s="85"/>
      <c r="AQ992" s="85"/>
      <c r="AR992" s="85" t="s">
        <v>1124</v>
      </c>
      <c r="AS992" s="85"/>
      <c r="AT992" s="85"/>
      <c r="AU992" s="85"/>
      <c r="AV992" s="85"/>
      <c r="AW992" s="85"/>
      <c r="AX992" s="85"/>
      <c r="AY992" s="85"/>
      <c r="AZ992" s="85"/>
      <c r="BA992" s="85"/>
      <c r="BB992" s="89"/>
      <c r="BC992" s="89" t="s">
        <v>1124</v>
      </c>
      <c r="BD992" s="37"/>
      <c r="BE992" s="37"/>
      <c r="BF992" s="279"/>
      <c r="BG992" s="37"/>
      <c r="BH992" s="37"/>
      <c r="BI992" s="37"/>
      <c r="BJ992" s="283"/>
      <c r="BK992" s="161"/>
      <c r="BL992" s="294"/>
      <c r="BM992"/>
      <c r="BN992"/>
      <c r="BO992"/>
      <c r="BP992"/>
      <c r="BQ992"/>
      <c r="BR992"/>
      <c r="BS992"/>
      <c r="BT992"/>
      <c r="BU992"/>
      <c r="BV992"/>
      <c r="BW992"/>
      <c r="BX992"/>
      <c r="BY992"/>
      <c r="BZ992"/>
      <c r="CA992"/>
      <c r="CB992"/>
      <c r="CC992"/>
      <c r="CD992"/>
      <c r="CE992"/>
      <c r="CF992"/>
      <c r="CG992"/>
      <c r="CH992"/>
      <c r="CI992"/>
      <c r="CJ992"/>
    </row>
    <row r="993" spans="1:88" s="32" customFormat="1" ht="15" customHeight="1" x14ac:dyDescent="0.35">
      <c r="A993" s="473"/>
      <c r="B993" s="313">
        <v>29125</v>
      </c>
      <c r="C993" s="8" t="s">
        <v>216</v>
      </c>
      <c r="D993" s="18">
        <v>12</v>
      </c>
      <c r="E993" s="251"/>
      <c r="F993" s="82"/>
      <c r="G993" s="79"/>
      <c r="H993" s="90"/>
      <c r="I993" s="85"/>
      <c r="J993" s="85"/>
      <c r="K993" s="85"/>
      <c r="L993" s="85"/>
      <c r="M993" s="85"/>
      <c r="N993" s="85"/>
      <c r="O993" s="85"/>
      <c r="P993" s="85"/>
      <c r="Q993" s="85"/>
      <c r="R993" s="85"/>
      <c r="S993" s="89"/>
      <c r="T993" s="89" t="s">
        <v>1124</v>
      </c>
      <c r="U993" s="85"/>
      <c r="V993" s="85"/>
      <c r="W993" s="85"/>
      <c r="X993" s="89" t="s">
        <v>1124</v>
      </c>
      <c r="Y993" s="79"/>
      <c r="Z993" s="79"/>
      <c r="AA993" s="94"/>
      <c r="AB993" s="79" t="s">
        <v>1124</v>
      </c>
      <c r="AC993" s="85"/>
      <c r="AD993" s="85"/>
      <c r="AE993" s="85"/>
      <c r="AF993" s="85"/>
      <c r="AG993" s="85" t="s">
        <v>1124</v>
      </c>
      <c r="AH993" s="85"/>
      <c r="AI993" s="85"/>
      <c r="AJ993" s="85"/>
      <c r="AK993" s="85"/>
      <c r="AL993" s="85"/>
      <c r="AM993" s="85"/>
      <c r="AN993" s="85"/>
      <c r="AO993" s="85"/>
      <c r="AP993" s="85"/>
      <c r="AQ993" s="85"/>
      <c r="AR993" s="85" t="s">
        <v>1124</v>
      </c>
      <c r="AS993" s="85"/>
      <c r="AT993" s="85"/>
      <c r="AU993" s="85"/>
      <c r="AV993" s="85"/>
      <c r="AW993" s="85"/>
      <c r="AX993" s="85"/>
      <c r="AY993" s="85"/>
      <c r="AZ993" s="85"/>
      <c r="BA993" s="85"/>
      <c r="BB993" s="89"/>
      <c r="BC993" s="89" t="s">
        <v>1124</v>
      </c>
      <c r="BD993" s="37"/>
      <c r="BE993" s="37"/>
      <c r="BF993" s="279"/>
      <c r="BG993" s="37"/>
      <c r="BH993" s="37"/>
      <c r="BI993" s="37"/>
      <c r="BJ993" s="283"/>
      <c r="BK993" s="161"/>
      <c r="BL993" s="294"/>
      <c r="BM993"/>
      <c r="BN993"/>
      <c r="BO993"/>
      <c r="BP993"/>
      <c r="BQ993"/>
      <c r="BR993"/>
      <c r="BS993"/>
      <c r="BT993"/>
      <c r="BU993"/>
      <c r="BV993"/>
      <c r="BW993"/>
      <c r="BX993"/>
      <c r="BY993"/>
      <c r="BZ993"/>
      <c r="CA993"/>
      <c r="CB993"/>
      <c r="CC993"/>
      <c r="CD993"/>
      <c r="CE993"/>
      <c r="CF993"/>
      <c r="CG993"/>
      <c r="CH993"/>
      <c r="CI993"/>
      <c r="CJ993"/>
    </row>
    <row r="994" spans="1:88" s="32" customFormat="1" ht="15" customHeight="1" x14ac:dyDescent="0.35">
      <c r="A994" s="473"/>
      <c r="B994" s="313">
        <v>80070</v>
      </c>
      <c r="C994" s="8" t="s">
        <v>814</v>
      </c>
      <c r="D994" s="18">
        <v>7</v>
      </c>
      <c r="E994" s="251"/>
      <c r="F994" s="82"/>
      <c r="G994" s="79"/>
      <c r="H994" s="90"/>
      <c r="I994" s="85"/>
      <c r="J994" s="85"/>
      <c r="K994" s="85"/>
      <c r="L994" s="85"/>
      <c r="M994" s="85"/>
      <c r="N994" s="85"/>
      <c r="O994" s="85"/>
      <c r="P994" s="85"/>
      <c r="Q994" s="85"/>
      <c r="R994" s="85"/>
      <c r="S994" s="89"/>
      <c r="T994" s="89" t="s">
        <v>1124</v>
      </c>
      <c r="U994" s="85"/>
      <c r="V994" s="85"/>
      <c r="W994" s="85"/>
      <c r="X994" s="89" t="s">
        <v>1124</v>
      </c>
      <c r="Y994" s="79"/>
      <c r="Z994" s="79"/>
      <c r="AA994" s="94"/>
      <c r="AB994" s="79" t="s">
        <v>1124</v>
      </c>
      <c r="AC994" s="85"/>
      <c r="AD994" s="85"/>
      <c r="AE994" s="85"/>
      <c r="AF994" s="85"/>
      <c r="AG994" s="85" t="s">
        <v>1124</v>
      </c>
      <c r="AH994" s="85"/>
      <c r="AI994" s="85"/>
      <c r="AJ994" s="85"/>
      <c r="AK994" s="85"/>
      <c r="AL994" s="85"/>
      <c r="AM994" s="85"/>
      <c r="AN994" s="85"/>
      <c r="AO994" s="85"/>
      <c r="AP994" s="85"/>
      <c r="AQ994" s="85"/>
      <c r="AR994" s="85" t="s">
        <v>1124</v>
      </c>
      <c r="AS994" s="85"/>
      <c r="AT994" s="85"/>
      <c r="AU994" s="85"/>
      <c r="AV994" s="85"/>
      <c r="AW994" s="85"/>
      <c r="AX994" s="85"/>
      <c r="AY994" s="85"/>
      <c r="AZ994" s="85"/>
      <c r="BA994" s="85"/>
      <c r="BB994" s="89"/>
      <c r="BC994" s="89" t="s">
        <v>1124</v>
      </c>
      <c r="BD994" s="37"/>
      <c r="BE994" s="37"/>
      <c r="BF994" s="279"/>
      <c r="BG994" s="37"/>
      <c r="BH994" s="37"/>
      <c r="BI994" s="37"/>
      <c r="BJ994" s="283"/>
      <c r="BK994" s="161"/>
      <c r="BL994" s="294"/>
      <c r="BM994"/>
      <c r="BN994"/>
      <c r="BO994"/>
      <c r="BP994"/>
      <c r="BQ994"/>
      <c r="BR994"/>
      <c r="BS994"/>
      <c r="BT994"/>
      <c r="BU994"/>
      <c r="BV994"/>
      <c r="BW994"/>
      <c r="BX994"/>
      <c r="BY994"/>
      <c r="BZ994"/>
      <c r="CA994"/>
      <c r="CB994"/>
      <c r="CC994"/>
      <c r="CD994"/>
      <c r="CE994"/>
      <c r="CF994"/>
      <c r="CG994"/>
      <c r="CH994"/>
      <c r="CI994"/>
      <c r="CJ994"/>
    </row>
    <row r="995" spans="1:88" s="32" customFormat="1" ht="15" customHeight="1" x14ac:dyDescent="0.35">
      <c r="A995" s="473"/>
      <c r="B995" s="313">
        <v>39005</v>
      </c>
      <c r="C995" s="8" t="s">
        <v>337</v>
      </c>
      <c r="D995" s="18">
        <v>17</v>
      </c>
      <c r="E995" s="251"/>
      <c r="F995" s="82"/>
      <c r="G995" s="79"/>
      <c r="H995" s="90"/>
      <c r="I995" s="85"/>
      <c r="J995" s="85"/>
      <c r="K995" s="85"/>
      <c r="L995" s="85"/>
      <c r="M995" s="85"/>
      <c r="N995" s="85"/>
      <c r="O995" s="85"/>
      <c r="P995" s="85"/>
      <c r="Q995" s="85"/>
      <c r="R995" s="85"/>
      <c r="S995" s="89"/>
      <c r="T995" s="89" t="s">
        <v>1124</v>
      </c>
      <c r="U995" s="85"/>
      <c r="V995" s="85"/>
      <c r="W995" s="85"/>
      <c r="X995" s="89" t="s">
        <v>1124</v>
      </c>
      <c r="Y995" s="79"/>
      <c r="Z995" s="79"/>
      <c r="AA995" s="94"/>
      <c r="AB995" s="79" t="s">
        <v>1124</v>
      </c>
      <c r="AC995" s="85"/>
      <c r="AD995" s="85"/>
      <c r="AE995" s="85"/>
      <c r="AF995" s="85"/>
      <c r="AG995" s="85" t="s">
        <v>1124</v>
      </c>
      <c r="AH995" s="85"/>
      <c r="AI995" s="85"/>
      <c r="AJ995" s="85"/>
      <c r="AK995" s="85"/>
      <c r="AL995" s="85"/>
      <c r="AM995" s="85"/>
      <c r="AN995" s="85"/>
      <c r="AO995" s="85"/>
      <c r="AP995" s="85"/>
      <c r="AQ995" s="85"/>
      <c r="AR995" s="85" t="s">
        <v>1124</v>
      </c>
      <c r="AS995" s="85"/>
      <c r="AT995" s="85"/>
      <c r="AU995" s="85"/>
      <c r="AV995" s="85"/>
      <c r="AW995" s="85"/>
      <c r="AX995" s="85"/>
      <c r="AY995" s="85"/>
      <c r="AZ995" s="85"/>
      <c r="BA995" s="85"/>
      <c r="BB995" s="89"/>
      <c r="BC995" s="89" t="s">
        <v>1124</v>
      </c>
      <c r="BD995" s="37"/>
      <c r="BE995" s="37"/>
      <c r="BF995" s="279"/>
      <c r="BG995" s="37"/>
      <c r="BH995" s="37"/>
      <c r="BI995" s="37"/>
      <c r="BJ995" s="283"/>
      <c r="BK995" s="161"/>
      <c r="BL995" s="294"/>
      <c r="BM995"/>
      <c r="BN995"/>
      <c r="BO995"/>
      <c r="BP995"/>
      <c r="BQ995"/>
      <c r="BR995"/>
      <c r="BS995"/>
      <c r="BT995"/>
      <c r="BU995"/>
      <c r="BV995"/>
      <c r="BW995"/>
      <c r="BX995"/>
      <c r="BY995"/>
      <c r="BZ995"/>
      <c r="CA995"/>
      <c r="CB995"/>
      <c r="CC995"/>
      <c r="CD995"/>
      <c r="CE995"/>
      <c r="CF995"/>
      <c r="CG995"/>
      <c r="CH995"/>
      <c r="CI995"/>
      <c r="CJ995"/>
    </row>
    <row r="996" spans="1:88" s="32" customFormat="1" ht="15" customHeight="1" x14ac:dyDescent="0.35">
      <c r="A996" s="473"/>
      <c r="B996" s="313">
        <v>92070</v>
      </c>
      <c r="C996" s="8" t="s">
        <v>957</v>
      </c>
      <c r="D996" s="18">
        <v>2</v>
      </c>
      <c r="E996" s="251"/>
      <c r="F996" s="82"/>
      <c r="G996" s="79"/>
      <c r="H996" s="90"/>
      <c r="I996" s="85"/>
      <c r="J996" s="85"/>
      <c r="K996" s="85"/>
      <c r="L996" s="85"/>
      <c r="M996" s="85"/>
      <c r="N996" s="85"/>
      <c r="O996" s="85"/>
      <c r="P996" s="85"/>
      <c r="Q996" s="85"/>
      <c r="R996" s="85"/>
      <c r="S996" s="89"/>
      <c r="T996" s="89" t="s">
        <v>1124</v>
      </c>
      <c r="U996" s="85"/>
      <c r="V996" s="85"/>
      <c r="W996" s="85"/>
      <c r="X996" s="89" t="s">
        <v>1124</v>
      </c>
      <c r="Y996" s="79"/>
      <c r="Z996" s="79"/>
      <c r="AA996" s="94"/>
      <c r="AB996" s="79" t="s">
        <v>1124</v>
      </c>
      <c r="AC996" s="85"/>
      <c r="AD996" s="85"/>
      <c r="AE996" s="85"/>
      <c r="AF996" s="85"/>
      <c r="AG996" s="85" t="s">
        <v>1124</v>
      </c>
      <c r="AH996" s="85"/>
      <c r="AI996" s="85"/>
      <c r="AJ996" s="85"/>
      <c r="AK996" s="85"/>
      <c r="AL996" s="85"/>
      <c r="AM996" s="85"/>
      <c r="AN996" s="85"/>
      <c r="AO996" s="85"/>
      <c r="AP996" s="85"/>
      <c r="AQ996" s="85"/>
      <c r="AR996" s="85" t="s">
        <v>1124</v>
      </c>
      <c r="AS996" s="85"/>
      <c r="AT996" s="85"/>
      <c r="AU996" s="85"/>
      <c r="AV996" s="85"/>
      <c r="AW996" s="85"/>
      <c r="AX996" s="85"/>
      <c r="AY996" s="85"/>
      <c r="AZ996" s="85"/>
      <c r="BA996" s="85"/>
      <c r="BB996" s="89"/>
      <c r="BC996" s="89" t="s">
        <v>1124</v>
      </c>
      <c r="BD996" s="37"/>
      <c r="BE996" s="37"/>
      <c r="BF996" s="279"/>
      <c r="BG996" s="37"/>
      <c r="BH996" s="37"/>
      <c r="BI996" s="37"/>
      <c r="BJ996" s="283"/>
      <c r="BK996" s="161"/>
      <c r="BL996" s="294"/>
      <c r="BM996"/>
      <c r="BN996"/>
      <c r="BO996"/>
      <c r="BP996"/>
      <c r="BQ996"/>
      <c r="BR996"/>
      <c r="BS996"/>
      <c r="BT996"/>
      <c r="BU996"/>
      <c r="BV996"/>
      <c r="BW996"/>
      <c r="BX996"/>
      <c r="BY996"/>
      <c r="BZ996"/>
      <c r="CA996"/>
      <c r="CB996"/>
      <c r="CC996"/>
      <c r="CD996"/>
      <c r="CE996"/>
      <c r="CF996"/>
      <c r="CG996"/>
      <c r="CH996"/>
      <c r="CI996"/>
      <c r="CJ996"/>
    </row>
    <row r="997" spans="1:88" s="32" customFormat="1" ht="15" customHeight="1" x14ac:dyDescent="0.35">
      <c r="A997" s="473"/>
      <c r="B997" s="313">
        <v>37245</v>
      </c>
      <c r="C997" s="8" t="s">
        <v>323</v>
      </c>
      <c r="D997" s="18">
        <v>4</v>
      </c>
      <c r="E997" s="251">
        <v>223</v>
      </c>
      <c r="F997" s="82">
        <v>1.9617486338797814</v>
      </c>
      <c r="G997" s="79">
        <v>437.46994535519127</v>
      </c>
      <c r="H997" s="90">
        <v>4.6479999999999997</v>
      </c>
      <c r="I997" s="85">
        <v>4.1879999999999997</v>
      </c>
      <c r="J997" s="85">
        <v>4.58</v>
      </c>
      <c r="K997" s="85">
        <v>5.1289999999999996</v>
      </c>
      <c r="L997" s="85">
        <v>5.556</v>
      </c>
      <c r="M997" s="85">
        <v>3.9430000000000001</v>
      </c>
      <c r="N997" s="85">
        <v>4.2990000000000004</v>
      </c>
      <c r="O997" s="85">
        <v>4.266</v>
      </c>
      <c r="P997" s="85">
        <v>4.0030000000000001</v>
      </c>
      <c r="Q997" s="85">
        <v>3.968</v>
      </c>
      <c r="R997" s="85">
        <v>3.802</v>
      </c>
      <c r="S997" s="89">
        <v>4.0209999999999999</v>
      </c>
      <c r="T997" s="89">
        <v>52.402999999999999</v>
      </c>
      <c r="U997" s="85">
        <v>0</v>
      </c>
      <c r="V997" s="85">
        <v>52.402999999999999</v>
      </c>
      <c r="W997" s="85">
        <v>0</v>
      </c>
      <c r="X997" s="89">
        <v>52.402999999999999</v>
      </c>
      <c r="Y997" s="79">
        <v>0</v>
      </c>
      <c r="Z997" s="79">
        <v>1</v>
      </c>
      <c r="AA997" s="94">
        <v>0</v>
      </c>
      <c r="AB997" s="79">
        <v>1</v>
      </c>
      <c r="AC997" s="85">
        <v>22.289090175856142</v>
      </c>
      <c r="AD997" s="85">
        <v>16.525813038647208</v>
      </c>
      <c r="AE997" s="85">
        <v>13.588096785496649</v>
      </c>
      <c r="AF997" s="85">
        <v>0</v>
      </c>
      <c r="AG997" s="85">
        <v>52.402999999999992</v>
      </c>
      <c r="AH997" s="85">
        <v>0</v>
      </c>
      <c r="AI997" s="85">
        <v>0</v>
      </c>
      <c r="AJ997" s="85">
        <v>0</v>
      </c>
      <c r="AK997" s="85">
        <v>0</v>
      </c>
      <c r="AL997" s="85">
        <v>0</v>
      </c>
      <c r="AM997" s="85">
        <v>0</v>
      </c>
      <c r="AN997" s="85">
        <v>0</v>
      </c>
      <c r="AO997" s="85">
        <v>0</v>
      </c>
      <c r="AP997" s="85">
        <v>0</v>
      </c>
      <c r="AQ997" s="85">
        <v>0</v>
      </c>
      <c r="AR997" s="85">
        <v>0</v>
      </c>
      <c r="AS997" s="85">
        <v>0</v>
      </c>
      <c r="AT997" s="85">
        <v>0</v>
      </c>
      <c r="AU997" s="85">
        <v>0</v>
      </c>
      <c r="AV997" s="85">
        <v>0</v>
      </c>
      <c r="AW997" s="85">
        <v>0</v>
      </c>
      <c r="AX997" s="85">
        <v>0</v>
      </c>
      <c r="AY997" s="85">
        <v>52.402999999999999</v>
      </c>
      <c r="AZ997" s="85">
        <v>0</v>
      </c>
      <c r="BA997" s="85">
        <v>0</v>
      </c>
      <c r="BB997" s="89">
        <v>0</v>
      </c>
      <c r="BC997" s="89">
        <v>52.402999999999999</v>
      </c>
      <c r="BD997" s="37">
        <v>0</v>
      </c>
      <c r="BE997" s="37">
        <v>0</v>
      </c>
      <c r="BF997" s="279">
        <v>5689</v>
      </c>
      <c r="BG997" s="37">
        <v>23660</v>
      </c>
      <c r="BH997" s="37">
        <v>3741</v>
      </c>
      <c r="BI997" s="37">
        <v>0</v>
      </c>
      <c r="BJ997" s="283">
        <v>33090</v>
      </c>
      <c r="BK997" s="161" t="s">
        <v>3442</v>
      </c>
      <c r="BL997" s="294"/>
      <c r="BM997"/>
      <c r="BN997"/>
      <c r="BO997"/>
      <c r="BP997"/>
      <c r="BQ997"/>
      <c r="BR997"/>
      <c r="BS997"/>
      <c r="BT997"/>
      <c r="BU997"/>
      <c r="BV997"/>
      <c r="BW997"/>
      <c r="BX997"/>
      <c r="BY997"/>
      <c r="BZ997"/>
      <c r="CA997"/>
      <c r="CB997"/>
      <c r="CC997"/>
      <c r="CD997"/>
      <c r="CE997"/>
      <c r="CF997"/>
      <c r="CG997"/>
      <c r="CH997"/>
      <c r="CI997"/>
      <c r="CJ997"/>
    </row>
    <row r="998" spans="1:88" s="32" customFormat="1" ht="15" customHeight="1" x14ac:dyDescent="0.35">
      <c r="A998" s="473"/>
      <c r="B998" s="313">
        <v>70040</v>
      </c>
      <c r="C998" s="8" t="s">
        <v>702</v>
      </c>
      <c r="D998" s="18">
        <v>16</v>
      </c>
      <c r="E998" s="251"/>
      <c r="F998" s="82"/>
      <c r="G998" s="79"/>
      <c r="H998" s="90"/>
      <c r="I998" s="85"/>
      <c r="J998" s="85"/>
      <c r="K998" s="85"/>
      <c r="L998" s="85"/>
      <c r="M998" s="85"/>
      <c r="N998" s="85"/>
      <c r="O998" s="85"/>
      <c r="P998" s="85"/>
      <c r="Q998" s="85"/>
      <c r="R998" s="85"/>
      <c r="S998" s="89"/>
      <c r="T998" s="89" t="s">
        <v>1124</v>
      </c>
      <c r="U998" s="85"/>
      <c r="V998" s="85"/>
      <c r="W998" s="85"/>
      <c r="X998" s="89" t="s">
        <v>1124</v>
      </c>
      <c r="Y998" s="79"/>
      <c r="Z998" s="79"/>
      <c r="AA998" s="94"/>
      <c r="AB998" s="79" t="s">
        <v>1124</v>
      </c>
      <c r="AC998" s="85"/>
      <c r="AD998" s="85"/>
      <c r="AE998" s="85"/>
      <c r="AF998" s="85"/>
      <c r="AG998" s="85" t="s">
        <v>1124</v>
      </c>
      <c r="AH998" s="85"/>
      <c r="AI998" s="85"/>
      <c r="AJ998" s="85"/>
      <c r="AK998" s="85"/>
      <c r="AL998" s="85"/>
      <c r="AM998" s="85"/>
      <c r="AN998" s="85"/>
      <c r="AO998" s="85"/>
      <c r="AP998" s="85"/>
      <c r="AQ998" s="85"/>
      <c r="AR998" s="85" t="s">
        <v>1124</v>
      </c>
      <c r="AS998" s="85"/>
      <c r="AT998" s="85"/>
      <c r="AU998" s="85"/>
      <c r="AV998" s="85"/>
      <c r="AW998" s="85"/>
      <c r="AX998" s="85"/>
      <c r="AY998" s="85"/>
      <c r="AZ998" s="85"/>
      <c r="BA998" s="85"/>
      <c r="BB998" s="89"/>
      <c r="BC998" s="89" t="s">
        <v>1124</v>
      </c>
      <c r="BD998" s="37"/>
      <c r="BE998" s="37"/>
      <c r="BF998" s="279"/>
      <c r="BG998" s="37"/>
      <c r="BH998" s="37"/>
      <c r="BI998" s="37"/>
      <c r="BJ998" s="283"/>
      <c r="BK998" s="161"/>
      <c r="BL998" s="294"/>
      <c r="BM998"/>
      <c r="BN998"/>
      <c r="BO998"/>
      <c r="BP998"/>
      <c r="BQ998"/>
      <c r="BR998"/>
      <c r="BS998"/>
      <c r="BT998"/>
      <c r="BU998"/>
      <c r="BV998"/>
      <c r="BW998"/>
      <c r="BX998"/>
      <c r="BY998"/>
      <c r="BZ998"/>
      <c r="CA998"/>
      <c r="CB998"/>
      <c r="CC998"/>
      <c r="CD998"/>
      <c r="CE998"/>
      <c r="CF998"/>
      <c r="CG998"/>
      <c r="CH998"/>
      <c r="CI998"/>
      <c r="CJ998"/>
    </row>
    <row r="999" spans="1:88" s="32" customFormat="1" ht="15" customHeight="1" x14ac:dyDescent="0.35">
      <c r="A999" s="473"/>
      <c r="B999" s="313">
        <v>60020</v>
      </c>
      <c r="C999" s="8" t="s">
        <v>607</v>
      </c>
      <c r="D999" s="18">
        <v>14</v>
      </c>
      <c r="E999" s="251">
        <v>942</v>
      </c>
      <c r="F999" s="82">
        <v>2.2821881254169445</v>
      </c>
      <c r="G999" s="79">
        <v>2149.8212141427616</v>
      </c>
      <c r="H999" s="90">
        <v>26.327999999999999</v>
      </c>
      <c r="I999" s="85">
        <v>23.530999999999999</v>
      </c>
      <c r="J999" s="85">
        <v>27.571999999999999</v>
      </c>
      <c r="K999" s="85">
        <v>18.867999999999999</v>
      </c>
      <c r="L999" s="85">
        <v>33.183999999999997</v>
      </c>
      <c r="M999" s="85">
        <v>30.541</v>
      </c>
      <c r="N999" s="85">
        <v>30.853000000000002</v>
      </c>
      <c r="O999" s="85">
        <v>28.431999999999999</v>
      </c>
      <c r="P999" s="85">
        <v>24.212</v>
      </c>
      <c r="Q999" s="85">
        <v>27.315000000000001</v>
      </c>
      <c r="R999" s="85">
        <v>27.254000000000001</v>
      </c>
      <c r="S999" s="89">
        <v>13.928000000000001</v>
      </c>
      <c r="T999" s="89">
        <v>312.01800000000003</v>
      </c>
      <c r="U999" s="85">
        <v>0</v>
      </c>
      <c r="V999" s="85">
        <v>0</v>
      </c>
      <c r="W999" s="85">
        <v>312.01799999999997</v>
      </c>
      <c r="X999" s="89">
        <v>312.01799999999997</v>
      </c>
      <c r="Y999" s="79">
        <v>0</v>
      </c>
      <c r="Z999" s="79">
        <v>0</v>
      </c>
      <c r="AA999" s="94">
        <v>1</v>
      </c>
      <c r="AB999" s="79">
        <v>1</v>
      </c>
      <c r="AC999" s="85">
        <v>165.43100000000001</v>
      </c>
      <c r="AD999" s="85">
        <v>38.688000000000002</v>
      </c>
      <c r="AE999" s="85">
        <v>107.899</v>
      </c>
      <c r="AF999" s="85">
        <v>0</v>
      </c>
      <c r="AG999" s="85">
        <v>312.01800000000003</v>
      </c>
      <c r="AH999" s="85">
        <v>0</v>
      </c>
      <c r="AI999" s="85">
        <v>0</v>
      </c>
      <c r="AJ999" s="85">
        <v>0</v>
      </c>
      <c r="AK999" s="85">
        <v>0</v>
      </c>
      <c r="AL999" s="85">
        <v>0</v>
      </c>
      <c r="AM999" s="85">
        <v>0</v>
      </c>
      <c r="AN999" s="85">
        <v>0</v>
      </c>
      <c r="AO999" s="85">
        <v>0</v>
      </c>
      <c r="AP999" s="85">
        <v>0</v>
      </c>
      <c r="AQ999" s="85">
        <v>0</v>
      </c>
      <c r="AR999" s="85">
        <v>0</v>
      </c>
      <c r="AS999" s="85">
        <v>0</v>
      </c>
      <c r="AT999" s="85">
        <v>0</v>
      </c>
      <c r="AU999" s="85">
        <v>0</v>
      </c>
      <c r="AV999" s="85">
        <v>0</v>
      </c>
      <c r="AW999" s="85">
        <v>0</v>
      </c>
      <c r="AX999" s="85">
        <v>0</v>
      </c>
      <c r="AY999" s="85">
        <v>312.01799999999997</v>
      </c>
      <c r="AZ999" s="85">
        <v>0</v>
      </c>
      <c r="BA999" s="85">
        <v>0</v>
      </c>
      <c r="BB999" s="89">
        <v>0</v>
      </c>
      <c r="BC999" s="89">
        <v>312.01799999999997</v>
      </c>
      <c r="BD999" s="37">
        <v>0</v>
      </c>
      <c r="BE999" s="37">
        <v>0</v>
      </c>
      <c r="BF999" s="279">
        <v>34576</v>
      </c>
      <c r="BG999" s="37">
        <v>92650</v>
      </c>
      <c r="BH999" s="37">
        <v>24547</v>
      </c>
      <c r="BI999" s="37">
        <v>0</v>
      </c>
      <c r="BJ999" s="283">
        <v>151773</v>
      </c>
      <c r="BK999" s="161"/>
      <c r="BL999" s="294"/>
      <c r="BM999"/>
      <c r="BN999"/>
      <c r="BO999"/>
      <c r="BP999"/>
      <c r="BQ999"/>
      <c r="BR999"/>
      <c r="BS999"/>
      <c r="BT999"/>
      <c r="BU999"/>
      <c r="BV999"/>
      <c r="BW999"/>
      <c r="BX999"/>
      <c r="BY999"/>
      <c r="BZ999"/>
      <c r="CA999"/>
      <c r="CB999"/>
      <c r="CC999"/>
      <c r="CD999"/>
      <c r="CE999"/>
      <c r="CF999"/>
      <c r="CG999"/>
      <c r="CH999"/>
      <c r="CI999"/>
      <c r="CJ999"/>
    </row>
    <row r="1000" spans="1:88" s="32" customFormat="1" ht="15" customHeight="1" x14ac:dyDescent="0.35">
      <c r="A1000" s="473"/>
      <c r="B1000" s="313">
        <v>38005</v>
      </c>
      <c r="C1000" s="8" t="s">
        <v>325</v>
      </c>
      <c r="D1000" s="18">
        <v>17</v>
      </c>
      <c r="E1000" s="251"/>
      <c r="F1000" s="82"/>
      <c r="G1000" s="79"/>
      <c r="H1000" s="90"/>
      <c r="I1000" s="85"/>
      <c r="J1000" s="85"/>
      <c r="K1000" s="85"/>
      <c r="L1000" s="85"/>
      <c r="M1000" s="85"/>
      <c r="N1000" s="85"/>
      <c r="O1000" s="85"/>
      <c r="P1000" s="85"/>
      <c r="Q1000" s="85"/>
      <c r="R1000" s="85"/>
      <c r="S1000" s="89"/>
      <c r="T1000" s="89" t="s">
        <v>1124</v>
      </c>
      <c r="U1000" s="85"/>
      <c r="V1000" s="85"/>
      <c r="W1000" s="85"/>
      <c r="X1000" s="89" t="s">
        <v>1124</v>
      </c>
      <c r="Y1000" s="79"/>
      <c r="Z1000" s="79"/>
      <c r="AA1000" s="94"/>
      <c r="AB1000" s="79" t="s">
        <v>1124</v>
      </c>
      <c r="AC1000" s="85"/>
      <c r="AD1000" s="85"/>
      <c r="AE1000" s="85"/>
      <c r="AF1000" s="85"/>
      <c r="AG1000" s="85" t="s">
        <v>1124</v>
      </c>
      <c r="AH1000" s="85"/>
      <c r="AI1000" s="85"/>
      <c r="AJ1000" s="85"/>
      <c r="AK1000" s="85"/>
      <c r="AL1000" s="85"/>
      <c r="AM1000" s="85"/>
      <c r="AN1000" s="85"/>
      <c r="AO1000" s="85"/>
      <c r="AP1000" s="85"/>
      <c r="AQ1000" s="85"/>
      <c r="AR1000" s="85" t="s">
        <v>1124</v>
      </c>
      <c r="AS1000" s="85"/>
      <c r="AT1000" s="85"/>
      <c r="AU1000" s="85"/>
      <c r="AV1000" s="85"/>
      <c r="AW1000" s="85"/>
      <c r="AX1000" s="85"/>
      <c r="AY1000" s="85"/>
      <c r="AZ1000" s="85"/>
      <c r="BA1000" s="85"/>
      <c r="BB1000" s="89"/>
      <c r="BC1000" s="89" t="s">
        <v>1124</v>
      </c>
      <c r="BD1000" s="37"/>
      <c r="BE1000" s="37"/>
      <c r="BF1000" s="279"/>
      <c r="BG1000" s="37"/>
      <c r="BH1000" s="37"/>
      <c r="BI1000" s="37"/>
      <c r="BJ1000" s="283"/>
      <c r="BK1000" s="161"/>
      <c r="BL1000" s="294"/>
      <c r="BM1000"/>
      <c r="BN1000"/>
      <c r="BO1000"/>
      <c r="BP1000"/>
      <c r="BQ1000"/>
      <c r="BR1000"/>
      <c r="BS1000"/>
      <c r="BT1000"/>
      <c r="BU1000"/>
      <c r="BV1000"/>
      <c r="BW1000"/>
      <c r="BX1000"/>
      <c r="BY1000"/>
      <c r="BZ1000"/>
      <c r="CA1000"/>
      <c r="CB1000"/>
      <c r="CC1000"/>
      <c r="CD1000"/>
      <c r="CE1000"/>
      <c r="CF1000"/>
      <c r="CG1000"/>
      <c r="CH1000"/>
      <c r="CI1000"/>
      <c r="CJ1000"/>
    </row>
    <row r="1001" spans="1:88" s="32" customFormat="1" ht="15" customHeight="1" x14ac:dyDescent="0.35">
      <c r="A1001" s="473"/>
      <c r="B1001" s="313">
        <v>33007</v>
      </c>
      <c r="C1001" s="8" t="s">
        <v>267</v>
      </c>
      <c r="D1001" s="18">
        <v>12</v>
      </c>
      <c r="E1001" s="251"/>
      <c r="F1001" s="82"/>
      <c r="G1001" s="79"/>
      <c r="H1001" s="90"/>
      <c r="I1001" s="85"/>
      <c r="J1001" s="85"/>
      <c r="K1001" s="85"/>
      <c r="L1001" s="85"/>
      <c r="M1001" s="85"/>
      <c r="N1001" s="85"/>
      <c r="O1001" s="85"/>
      <c r="P1001" s="85"/>
      <c r="Q1001" s="85"/>
      <c r="R1001" s="85"/>
      <c r="S1001" s="89"/>
      <c r="T1001" s="89" t="s">
        <v>1124</v>
      </c>
      <c r="U1001" s="85"/>
      <c r="V1001" s="85"/>
      <c r="W1001" s="85"/>
      <c r="X1001" s="89" t="s">
        <v>1124</v>
      </c>
      <c r="Y1001" s="79"/>
      <c r="Z1001" s="79"/>
      <c r="AA1001" s="94"/>
      <c r="AB1001" s="79" t="s">
        <v>1124</v>
      </c>
      <c r="AC1001" s="85"/>
      <c r="AD1001" s="85"/>
      <c r="AE1001" s="85"/>
      <c r="AF1001" s="85"/>
      <c r="AG1001" s="85" t="s">
        <v>1124</v>
      </c>
      <c r="AH1001" s="85"/>
      <c r="AI1001" s="85"/>
      <c r="AJ1001" s="85"/>
      <c r="AK1001" s="85"/>
      <c r="AL1001" s="85"/>
      <c r="AM1001" s="85"/>
      <c r="AN1001" s="85"/>
      <c r="AO1001" s="85"/>
      <c r="AP1001" s="85"/>
      <c r="AQ1001" s="85"/>
      <c r="AR1001" s="85" t="s">
        <v>1124</v>
      </c>
      <c r="AS1001" s="85"/>
      <c r="AT1001" s="85"/>
      <c r="AU1001" s="85"/>
      <c r="AV1001" s="85"/>
      <c r="AW1001" s="85"/>
      <c r="AX1001" s="85"/>
      <c r="AY1001" s="85"/>
      <c r="AZ1001" s="85"/>
      <c r="BA1001" s="85"/>
      <c r="BB1001" s="89"/>
      <c r="BC1001" s="89" t="s">
        <v>1124</v>
      </c>
      <c r="BD1001" s="37"/>
      <c r="BE1001" s="37"/>
      <c r="BF1001" s="279"/>
      <c r="BG1001" s="37"/>
      <c r="BH1001" s="37"/>
      <c r="BI1001" s="37"/>
      <c r="BJ1001" s="283"/>
      <c r="BK1001" s="161"/>
      <c r="BL1001" s="294"/>
      <c r="BM1001"/>
      <c r="BN1001"/>
      <c r="BO1001"/>
      <c r="BP1001"/>
      <c r="BQ1001"/>
      <c r="BR1001"/>
      <c r="BS1001"/>
      <c r="BT1001"/>
      <c r="BU1001"/>
      <c r="BV1001"/>
      <c r="BW1001"/>
      <c r="BX1001"/>
      <c r="BY1001"/>
      <c r="BZ1001"/>
      <c r="CA1001"/>
      <c r="CB1001"/>
      <c r="CC1001"/>
      <c r="CD1001"/>
      <c r="CE1001"/>
      <c r="CF1001"/>
      <c r="CG1001"/>
      <c r="CH1001"/>
      <c r="CI1001"/>
      <c r="CJ1001"/>
    </row>
    <row r="1002" spans="1:88" s="32" customFormat="1" ht="15" customHeight="1" x14ac:dyDescent="0.35">
      <c r="A1002" s="473"/>
      <c r="B1002" s="313">
        <v>71015</v>
      </c>
      <c r="C1002" s="8" t="s">
        <v>705</v>
      </c>
      <c r="D1002" s="18">
        <v>16</v>
      </c>
      <c r="E1002" s="251"/>
      <c r="F1002" s="82"/>
      <c r="G1002" s="79"/>
      <c r="H1002" s="90"/>
      <c r="I1002" s="85"/>
      <c r="J1002" s="85"/>
      <c r="K1002" s="85"/>
      <c r="L1002" s="85"/>
      <c r="M1002" s="85"/>
      <c r="N1002" s="85"/>
      <c r="O1002" s="85"/>
      <c r="P1002" s="85"/>
      <c r="Q1002" s="85"/>
      <c r="R1002" s="85"/>
      <c r="S1002" s="89"/>
      <c r="T1002" s="89" t="s">
        <v>1124</v>
      </c>
      <c r="U1002" s="85"/>
      <c r="V1002" s="85"/>
      <c r="W1002" s="85"/>
      <c r="X1002" s="89" t="s">
        <v>1124</v>
      </c>
      <c r="Y1002" s="79"/>
      <c r="Z1002" s="79"/>
      <c r="AA1002" s="94"/>
      <c r="AB1002" s="79" t="s">
        <v>1124</v>
      </c>
      <c r="AC1002" s="85"/>
      <c r="AD1002" s="85"/>
      <c r="AE1002" s="85"/>
      <c r="AF1002" s="85"/>
      <c r="AG1002" s="85" t="s">
        <v>1124</v>
      </c>
      <c r="AH1002" s="85"/>
      <c r="AI1002" s="85"/>
      <c r="AJ1002" s="85"/>
      <c r="AK1002" s="85"/>
      <c r="AL1002" s="85"/>
      <c r="AM1002" s="85"/>
      <c r="AN1002" s="85"/>
      <c r="AO1002" s="85"/>
      <c r="AP1002" s="85"/>
      <c r="AQ1002" s="85"/>
      <c r="AR1002" s="85" t="s">
        <v>1124</v>
      </c>
      <c r="AS1002" s="85"/>
      <c r="AT1002" s="85"/>
      <c r="AU1002" s="85"/>
      <c r="AV1002" s="85"/>
      <c r="AW1002" s="85"/>
      <c r="AX1002" s="85"/>
      <c r="AY1002" s="85"/>
      <c r="AZ1002" s="85"/>
      <c r="BA1002" s="85"/>
      <c r="BB1002" s="89"/>
      <c r="BC1002" s="89" t="s">
        <v>1124</v>
      </c>
      <c r="BD1002" s="37"/>
      <c r="BE1002" s="37"/>
      <c r="BF1002" s="279"/>
      <c r="BG1002" s="37"/>
      <c r="BH1002" s="37"/>
      <c r="BI1002" s="37"/>
      <c r="BJ1002" s="283"/>
      <c r="BK1002" s="161"/>
      <c r="BL1002" s="294"/>
      <c r="BM1002"/>
      <c r="BN1002"/>
      <c r="BO1002"/>
      <c r="BP1002"/>
      <c r="BQ1002"/>
      <c r="BR1002"/>
      <c r="BS1002"/>
      <c r="BT1002"/>
      <c r="BU1002"/>
      <c r="BV1002"/>
      <c r="BW1002"/>
      <c r="BX1002"/>
      <c r="BY1002"/>
      <c r="BZ1002"/>
      <c r="CA1002"/>
      <c r="CB1002"/>
      <c r="CC1002"/>
      <c r="CD1002"/>
      <c r="CE1002"/>
      <c r="CF1002"/>
      <c r="CG1002"/>
      <c r="CH1002"/>
      <c r="CI1002"/>
      <c r="CJ1002"/>
    </row>
    <row r="1003" spans="1:88" s="32" customFormat="1" ht="15" customHeight="1" x14ac:dyDescent="0.35">
      <c r="A1003" s="473"/>
      <c r="B1003" s="313">
        <v>7070</v>
      </c>
      <c r="C1003" s="8" t="s">
        <v>1078</v>
      </c>
      <c r="D1003" s="18">
        <v>1</v>
      </c>
      <c r="E1003" s="251"/>
      <c r="F1003" s="82"/>
      <c r="G1003" s="79"/>
      <c r="H1003" s="90"/>
      <c r="I1003" s="85"/>
      <c r="J1003" s="85"/>
      <c r="K1003" s="85"/>
      <c r="L1003" s="85"/>
      <c r="M1003" s="85"/>
      <c r="N1003" s="85"/>
      <c r="O1003" s="85"/>
      <c r="P1003" s="85"/>
      <c r="Q1003" s="85"/>
      <c r="R1003" s="85"/>
      <c r="S1003" s="89"/>
      <c r="T1003" s="89" t="s">
        <v>1124</v>
      </c>
      <c r="U1003" s="85"/>
      <c r="V1003" s="85"/>
      <c r="W1003" s="85"/>
      <c r="X1003" s="89" t="s">
        <v>1124</v>
      </c>
      <c r="Y1003" s="79"/>
      <c r="Z1003" s="79"/>
      <c r="AA1003" s="94"/>
      <c r="AB1003" s="79" t="s">
        <v>1124</v>
      </c>
      <c r="AC1003" s="85"/>
      <c r="AD1003" s="85"/>
      <c r="AE1003" s="85"/>
      <c r="AF1003" s="85"/>
      <c r="AG1003" s="85" t="s">
        <v>1124</v>
      </c>
      <c r="AH1003" s="85"/>
      <c r="AI1003" s="85"/>
      <c r="AJ1003" s="85"/>
      <c r="AK1003" s="85"/>
      <c r="AL1003" s="85"/>
      <c r="AM1003" s="85"/>
      <c r="AN1003" s="85"/>
      <c r="AO1003" s="85"/>
      <c r="AP1003" s="85"/>
      <c r="AQ1003" s="85"/>
      <c r="AR1003" s="85" t="s">
        <v>1124</v>
      </c>
      <c r="AS1003" s="85"/>
      <c r="AT1003" s="85"/>
      <c r="AU1003" s="85"/>
      <c r="AV1003" s="85"/>
      <c r="AW1003" s="85"/>
      <c r="AX1003" s="85"/>
      <c r="AY1003" s="85"/>
      <c r="AZ1003" s="85"/>
      <c r="BA1003" s="85"/>
      <c r="BB1003" s="89"/>
      <c r="BC1003" s="89" t="s">
        <v>1124</v>
      </c>
      <c r="BD1003" s="37"/>
      <c r="BE1003" s="37"/>
      <c r="BF1003" s="279"/>
      <c r="BG1003" s="37"/>
      <c r="BH1003" s="37"/>
      <c r="BI1003" s="37"/>
      <c r="BJ1003" s="283"/>
      <c r="BK1003" s="161"/>
      <c r="BL1003" s="294"/>
      <c r="BM1003"/>
      <c r="BN1003"/>
      <c r="BO1003"/>
      <c r="BP1003"/>
      <c r="BQ1003"/>
      <c r="BR1003"/>
      <c r="BS1003"/>
      <c r="BT1003"/>
      <c r="BU1003"/>
      <c r="BV1003"/>
      <c r="BW1003"/>
      <c r="BX1003"/>
      <c r="BY1003"/>
      <c r="BZ1003"/>
      <c r="CA1003"/>
      <c r="CB1003"/>
      <c r="CC1003"/>
      <c r="CD1003"/>
      <c r="CE1003"/>
      <c r="CF1003"/>
      <c r="CG1003"/>
      <c r="CH1003"/>
      <c r="CI1003"/>
      <c r="CJ1003"/>
    </row>
    <row r="1004" spans="1:88" s="32" customFormat="1" ht="15" customHeight="1" x14ac:dyDescent="0.35">
      <c r="A1004" s="473"/>
      <c r="B1004" s="313">
        <v>48045</v>
      </c>
      <c r="C1004" s="8" t="s">
        <v>462</v>
      </c>
      <c r="D1004" s="18">
        <v>16</v>
      </c>
      <c r="E1004" s="251"/>
      <c r="F1004" s="82"/>
      <c r="G1004" s="79"/>
      <c r="H1004" s="90"/>
      <c r="I1004" s="85"/>
      <c r="J1004" s="85"/>
      <c r="K1004" s="85"/>
      <c r="L1004" s="85"/>
      <c r="M1004" s="85"/>
      <c r="N1004" s="85"/>
      <c r="O1004" s="85"/>
      <c r="P1004" s="85"/>
      <c r="Q1004" s="85"/>
      <c r="R1004" s="85"/>
      <c r="S1004" s="89"/>
      <c r="T1004" s="89" t="s">
        <v>1124</v>
      </c>
      <c r="U1004" s="85"/>
      <c r="V1004" s="85"/>
      <c r="W1004" s="85"/>
      <c r="X1004" s="89" t="s">
        <v>1124</v>
      </c>
      <c r="Y1004" s="79"/>
      <c r="Z1004" s="79"/>
      <c r="AA1004" s="94"/>
      <c r="AB1004" s="79" t="s">
        <v>1124</v>
      </c>
      <c r="AC1004" s="85"/>
      <c r="AD1004" s="85"/>
      <c r="AE1004" s="85"/>
      <c r="AF1004" s="85"/>
      <c r="AG1004" s="85" t="s">
        <v>1124</v>
      </c>
      <c r="AH1004" s="85"/>
      <c r="AI1004" s="85"/>
      <c r="AJ1004" s="85"/>
      <c r="AK1004" s="85"/>
      <c r="AL1004" s="85"/>
      <c r="AM1004" s="85"/>
      <c r="AN1004" s="85"/>
      <c r="AO1004" s="85"/>
      <c r="AP1004" s="85"/>
      <c r="AQ1004" s="85"/>
      <c r="AR1004" s="85" t="s">
        <v>1124</v>
      </c>
      <c r="AS1004" s="85"/>
      <c r="AT1004" s="85"/>
      <c r="AU1004" s="85"/>
      <c r="AV1004" s="85"/>
      <c r="AW1004" s="85"/>
      <c r="AX1004" s="85"/>
      <c r="AY1004" s="85"/>
      <c r="AZ1004" s="85"/>
      <c r="BA1004" s="85"/>
      <c r="BB1004" s="89"/>
      <c r="BC1004" s="89" t="s">
        <v>1124</v>
      </c>
      <c r="BD1004" s="37"/>
      <c r="BE1004" s="37"/>
      <c r="BF1004" s="279"/>
      <c r="BG1004" s="37"/>
      <c r="BH1004" s="37"/>
      <c r="BI1004" s="37"/>
      <c r="BJ1004" s="283"/>
      <c r="BK1004" s="161"/>
      <c r="BL1004" s="294"/>
      <c r="BM1004"/>
      <c r="BN1004"/>
      <c r="BO1004"/>
      <c r="BP1004"/>
      <c r="BQ1004"/>
      <c r="BR1004"/>
      <c r="BS1004"/>
      <c r="BT1004"/>
      <c r="BU1004"/>
      <c r="BV1004"/>
      <c r="BW1004"/>
      <c r="BX1004"/>
      <c r="BY1004"/>
      <c r="BZ1004"/>
      <c r="CA1004"/>
      <c r="CB1004"/>
      <c r="CC1004"/>
      <c r="CD1004"/>
      <c r="CE1004"/>
      <c r="CF1004"/>
      <c r="CG1004"/>
      <c r="CH1004"/>
      <c r="CI1004"/>
      <c r="CJ1004"/>
    </row>
    <row r="1005" spans="1:88" s="32" customFormat="1" ht="15" customHeight="1" x14ac:dyDescent="0.35">
      <c r="A1005" s="473"/>
      <c r="B1005" s="313">
        <v>29005</v>
      </c>
      <c r="C1005" s="8" t="s">
        <v>201</v>
      </c>
      <c r="D1005" s="18">
        <v>12</v>
      </c>
      <c r="E1005" s="251"/>
      <c r="F1005" s="82"/>
      <c r="G1005" s="79"/>
      <c r="H1005" s="90"/>
      <c r="I1005" s="85"/>
      <c r="J1005" s="85"/>
      <c r="K1005" s="85"/>
      <c r="L1005" s="85"/>
      <c r="M1005" s="85"/>
      <c r="N1005" s="85"/>
      <c r="O1005" s="85"/>
      <c r="P1005" s="85"/>
      <c r="Q1005" s="85"/>
      <c r="R1005" s="85"/>
      <c r="S1005" s="89"/>
      <c r="T1005" s="89" t="s">
        <v>1124</v>
      </c>
      <c r="U1005" s="85"/>
      <c r="V1005" s="85"/>
      <c r="W1005" s="85"/>
      <c r="X1005" s="89" t="s">
        <v>1124</v>
      </c>
      <c r="Y1005" s="79"/>
      <c r="Z1005" s="79"/>
      <c r="AA1005" s="94"/>
      <c r="AB1005" s="79" t="s">
        <v>1124</v>
      </c>
      <c r="AC1005" s="85"/>
      <c r="AD1005" s="85"/>
      <c r="AE1005" s="85"/>
      <c r="AF1005" s="85"/>
      <c r="AG1005" s="85" t="s">
        <v>1124</v>
      </c>
      <c r="AH1005" s="85"/>
      <c r="AI1005" s="85"/>
      <c r="AJ1005" s="85"/>
      <c r="AK1005" s="85"/>
      <c r="AL1005" s="85"/>
      <c r="AM1005" s="85"/>
      <c r="AN1005" s="85"/>
      <c r="AO1005" s="85"/>
      <c r="AP1005" s="85"/>
      <c r="AQ1005" s="85"/>
      <c r="AR1005" s="85" t="s">
        <v>1124</v>
      </c>
      <c r="AS1005" s="85"/>
      <c r="AT1005" s="85"/>
      <c r="AU1005" s="85"/>
      <c r="AV1005" s="85"/>
      <c r="AW1005" s="85"/>
      <c r="AX1005" s="85"/>
      <c r="AY1005" s="85"/>
      <c r="AZ1005" s="85"/>
      <c r="BA1005" s="85"/>
      <c r="BB1005" s="89"/>
      <c r="BC1005" s="89" t="s">
        <v>1124</v>
      </c>
      <c r="BD1005" s="37"/>
      <c r="BE1005" s="37"/>
      <c r="BF1005" s="279"/>
      <c r="BG1005" s="37"/>
      <c r="BH1005" s="37"/>
      <c r="BI1005" s="37"/>
      <c r="BJ1005" s="283"/>
      <c r="BK1005" s="161"/>
      <c r="BL1005" s="294"/>
      <c r="BM1005"/>
      <c r="BN1005"/>
      <c r="BO1005"/>
      <c r="BP1005"/>
      <c r="BQ1005"/>
      <c r="BR1005"/>
      <c r="BS1005"/>
      <c r="BT1005"/>
      <c r="BU1005"/>
      <c r="BV1005"/>
      <c r="BW1005"/>
      <c r="BX1005"/>
      <c r="BY1005"/>
      <c r="BZ1005"/>
      <c r="CA1005"/>
      <c r="CB1005"/>
      <c r="CC1005"/>
      <c r="CD1005"/>
      <c r="CE1005"/>
      <c r="CF1005"/>
      <c r="CG1005"/>
      <c r="CH1005"/>
      <c r="CI1005"/>
      <c r="CJ1005"/>
    </row>
    <row r="1006" spans="1:88" s="32" customFormat="1" ht="15" customHeight="1" x14ac:dyDescent="0.35">
      <c r="A1006" s="473"/>
      <c r="B1006" s="313">
        <v>61027</v>
      </c>
      <c r="C1006" s="8" t="s">
        <v>613</v>
      </c>
      <c r="D1006" s="18">
        <v>14</v>
      </c>
      <c r="E1006" s="251"/>
      <c r="F1006" s="82"/>
      <c r="G1006" s="79"/>
      <c r="H1006" s="90"/>
      <c r="I1006" s="85"/>
      <c r="J1006" s="85"/>
      <c r="K1006" s="85"/>
      <c r="L1006" s="85"/>
      <c r="M1006" s="85"/>
      <c r="N1006" s="85"/>
      <c r="O1006" s="85"/>
      <c r="P1006" s="85"/>
      <c r="Q1006" s="85"/>
      <c r="R1006" s="85"/>
      <c r="S1006" s="89"/>
      <c r="T1006" s="89" t="s">
        <v>1124</v>
      </c>
      <c r="U1006" s="85"/>
      <c r="V1006" s="85"/>
      <c r="W1006" s="85"/>
      <c r="X1006" s="89" t="s">
        <v>1124</v>
      </c>
      <c r="Y1006" s="79"/>
      <c r="Z1006" s="79"/>
      <c r="AA1006" s="94"/>
      <c r="AB1006" s="79" t="s">
        <v>1124</v>
      </c>
      <c r="AC1006" s="85"/>
      <c r="AD1006" s="85"/>
      <c r="AE1006" s="85"/>
      <c r="AF1006" s="85"/>
      <c r="AG1006" s="85" t="s">
        <v>1124</v>
      </c>
      <c r="AH1006" s="85"/>
      <c r="AI1006" s="85"/>
      <c r="AJ1006" s="85"/>
      <c r="AK1006" s="85"/>
      <c r="AL1006" s="85"/>
      <c r="AM1006" s="85"/>
      <c r="AN1006" s="85"/>
      <c r="AO1006" s="85"/>
      <c r="AP1006" s="85"/>
      <c r="AQ1006" s="85"/>
      <c r="AR1006" s="85" t="s">
        <v>1124</v>
      </c>
      <c r="AS1006" s="85"/>
      <c r="AT1006" s="85"/>
      <c r="AU1006" s="85"/>
      <c r="AV1006" s="85"/>
      <c r="AW1006" s="85"/>
      <c r="AX1006" s="85"/>
      <c r="AY1006" s="85"/>
      <c r="AZ1006" s="85"/>
      <c r="BA1006" s="85"/>
      <c r="BB1006" s="89"/>
      <c r="BC1006" s="89" t="s">
        <v>1124</v>
      </c>
      <c r="BD1006" s="37"/>
      <c r="BE1006" s="37"/>
      <c r="BF1006" s="279"/>
      <c r="BG1006" s="37"/>
      <c r="BH1006" s="37"/>
      <c r="BI1006" s="37"/>
      <c r="BJ1006" s="283"/>
      <c r="BK1006" s="161"/>
      <c r="BL1006" s="294"/>
      <c r="BM1006"/>
      <c r="BN1006"/>
      <c r="BO1006"/>
      <c r="BP1006"/>
      <c r="BQ1006"/>
      <c r="BR1006"/>
      <c r="BS1006"/>
      <c r="BT1006"/>
      <c r="BU1006"/>
      <c r="BV1006"/>
      <c r="BW1006"/>
      <c r="BX1006"/>
      <c r="BY1006"/>
      <c r="BZ1006"/>
      <c r="CA1006"/>
      <c r="CB1006"/>
      <c r="CC1006"/>
      <c r="CD1006"/>
      <c r="CE1006"/>
      <c r="CF1006"/>
      <c r="CG1006"/>
      <c r="CH1006"/>
      <c r="CI1006"/>
      <c r="CJ1006"/>
    </row>
    <row r="1007" spans="1:88" s="32" customFormat="1" ht="15" customHeight="1" x14ac:dyDescent="0.35">
      <c r="A1007" s="473"/>
      <c r="B1007" s="313">
        <v>92045</v>
      </c>
      <c r="C1007" s="8" t="s">
        <v>952</v>
      </c>
      <c r="D1007" s="18">
        <v>2</v>
      </c>
      <c r="E1007" s="251">
        <v>317</v>
      </c>
      <c r="F1007" s="82">
        <v>1.8010335917312661</v>
      </c>
      <c r="G1007" s="79">
        <v>570.92764857881139</v>
      </c>
      <c r="H1007" s="90">
        <v>7.8860000000000001</v>
      </c>
      <c r="I1007" s="85">
        <v>6.2050000000000001</v>
      </c>
      <c r="J1007" s="85">
        <v>6.4160000000000004</v>
      </c>
      <c r="K1007" s="85">
        <v>6.1360000000000001</v>
      </c>
      <c r="L1007" s="85">
        <v>5.6680000000000001</v>
      </c>
      <c r="M1007" s="85">
        <v>6.7370000000000001</v>
      </c>
      <c r="N1007" s="85">
        <v>8.2379999999999995</v>
      </c>
      <c r="O1007" s="85">
        <v>7.2290000000000001</v>
      </c>
      <c r="P1007" s="85">
        <v>6.6440000000000001</v>
      </c>
      <c r="Q1007" s="85">
        <v>8.1609999999999996</v>
      </c>
      <c r="R1007" s="85">
        <v>7.72</v>
      </c>
      <c r="S1007" s="89">
        <v>7.5519999999999996</v>
      </c>
      <c r="T1007" s="89">
        <v>84.591999999999985</v>
      </c>
      <c r="U1007" s="85">
        <v>0</v>
      </c>
      <c r="V1007" s="85">
        <v>84.591999999999985</v>
      </c>
      <c r="W1007" s="85">
        <v>0</v>
      </c>
      <c r="X1007" s="89">
        <v>84.591999999999985</v>
      </c>
      <c r="Y1007" s="79">
        <v>0</v>
      </c>
      <c r="Z1007" s="79">
        <v>1</v>
      </c>
      <c r="AA1007" s="94">
        <v>0</v>
      </c>
      <c r="AB1007" s="79">
        <v>1</v>
      </c>
      <c r="AC1007" s="85">
        <v>58.88</v>
      </c>
      <c r="AD1007" s="85">
        <v>2.2001599999999826</v>
      </c>
      <c r="AE1007" s="85">
        <v>23.511839999999999</v>
      </c>
      <c r="AF1007" s="85">
        <v>0</v>
      </c>
      <c r="AG1007" s="85">
        <v>84.591999999999985</v>
      </c>
      <c r="AH1007" s="85">
        <v>0</v>
      </c>
      <c r="AI1007" s="85">
        <v>0</v>
      </c>
      <c r="AJ1007" s="85">
        <v>0</v>
      </c>
      <c r="AK1007" s="85">
        <v>0</v>
      </c>
      <c r="AL1007" s="85">
        <v>0</v>
      </c>
      <c r="AM1007" s="85">
        <v>0</v>
      </c>
      <c r="AN1007" s="85">
        <v>0</v>
      </c>
      <c r="AO1007" s="85">
        <v>0</v>
      </c>
      <c r="AP1007" s="85">
        <v>0</v>
      </c>
      <c r="AQ1007" s="85">
        <v>0</v>
      </c>
      <c r="AR1007" s="85">
        <v>0</v>
      </c>
      <c r="AS1007" s="85">
        <v>0</v>
      </c>
      <c r="AT1007" s="85">
        <v>0</v>
      </c>
      <c r="AU1007" s="85">
        <v>0</v>
      </c>
      <c r="AV1007" s="85">
        <v>0</v>
      </c>
      <c r="AW1007" s="85">
        <v>0</v>
      </c>
      <c r="AX1007" s="85">
        <v>0</v>
      </c>
      <c r="AY1007" s="85">
        <v>84.591999999999985</v>
      </c>
      <c r="AZ1007" s="85">
        <v>0</v>
      </c>
      <c r="BA1007" s="85">
        <v>0</v>
      </c>
      <c r="BB1007" s="89">
        <v>0</v>
      </c>
      <c r="BC1007" s="89">
        <v>84.591999999999985</v>
      </c>
      <c r="BD1007" s="37">
        <v>0</v>
      </c>
      <c r="BE1007" s="37">
        <v>0</v>
      </c>
      <c r="BF1007" s="279">
        <v>2715</v>
      </c>
      <c r="BG1007" s="37">
        <v>4743</v>
      </c>
      <c r="BH1007" s="37">
        <v>18010</v>
      </c>
      <c r="BI1007" s="37">
        <v>0</v>
      </c>
      <c r="BJ1007" s="283">
        <v>25468</v>
      </c>
      <c r="BK1007" s="161"/>
      <c r="BL1007" s="294"/>
      <c r="BM1007"/>
      <c r="BN1007"/>
      <c r="BO1007"/>
      <c r="BP1007"/>
      <c r="BQ1007"/>
      <c r="BR1007"/>
      <c r="BS1007"/>
      <c r="BT1007"/>
      <c r="BU1007"/>
      <c r="BV1007"/>
      <c r="BW1007"/>
      <c r="BX1007"/>
      <c r="BY1007"/>
      <c r="BZ1007"/>
      <c r="CA1007"/>
      <c r="CB1007"/>
      <c r="CC1007"/>
      <c r="CD1007"/>
      <c r="CE1007"/>
      <c r="CF1007"/>
      <c r="CG1007"/>
      <c r="CH1007"/>
      <c r="CI1007"/>
      <c r="CJ1007"/>
    </row>
    <row r="1008" spans="1:88" s="32" customFormat="1" ht="15" customHeight="1" x14ac:dyDescent="0.35">
      <c r="A1008" s="473"/>
      <c r="B1008" s="313">
        <v>34085</v>
      </c>
      <c r="C1008" s="8" t="s">
        <v>295</v>
      </c>
      <c r="D1008" s="18">
        <v>3</v>
      </c>
      <c r="E1008" s="251"/>
      <c r="F1008" s="82"/>
      <c r="G1008" s="79"/>
      <c r="H1008" s="90"/>
      <c r="I1008" s="85"/>
      <c r="J1008" s="85"/>
      <c r="K1008" s="85"/>
      <c r="L1008" s="85"/>
      <c r="M1008" s="85"/>
      <c r="N1008" s="85"/>
      <c r="O1008" s="85"/>
      <c r="P1008" s="85"/>
      <c r="Q1008" s="85"/>
      <c r="R1008" s="85"/>
      <c r="S1008" s="89"/>
      <c r="T1008" s="89" t="s">
        <v>1124</v>
      </c>
      <c r="U1008" s="85"/>
      <c r="V1008" s="85"/>
      <c r="W1008" s="85"/>
      <c r="X1008" s="89" t="s">
        <v>1124</v>
      </c>
      <c r="Y1008" s="79"/>
      <c r="Z1008" s="79"/>
      <c r="AA1008" s="94"/>
      <c r="AB1008" s="79" t="s">
        <v>1124</v>
      </c>
      <c r="AC1008" s="85"/>
      <c r="AD1008" s="85"/>
      <c r="AE1008" s="85"/>
      <c r="AF1008" s="85"/>
      <c r="AG1008" s="85" t="s">
        <v>1124</v>
      </c>
      <c r="AH1008" s="85"/>
      <c r="AI1008" s="85"/>
      <c r="AJ1008" s="85"/>
      <c r="AK1008" s="85"/>
      <c r="AL1008" s="85"/>
      <c r="AM1008" s="85"/>
      <c r="AN1008" s="85"/>
      <c r="AO1008" s="85"/>
      <c r="AP1008" s="85"/>
      <c r="AQ1008" s="85"/>
      <c r="AR1008" s="85" t="s">
        <v>1124</v>
      </c>
      <c r="AS1008" s="85"/>
      <c r="AT1008" s="85"/>
      <c r="AU1008" s="85"/>
      <c r="AV1008" s="85"/>
      <c r="AW1008" s="85"/>
      <c r="AX1008" s="85"/>
      <c r="AY1008" s="85"/>
      <c r="AZ1008" s="85"/>
      <c r="BA1008" s="85"/>
      <c r="BB1008" s="89"/>
      <c r="BC1008" s="89" t="s">
        <v>1124</v>
      </c>
      <c r="BD1008" s="37"/>
      <c r="BE1008" s="37"/>
      <c r="BF1008" s="279"/>
      <c r="BG1008" s="37"/>
      <c r="BH1008" s="37"/>
      <c r="BI1008" s="37"/>
      <c r="BJ1008" s="283"/>
      <c r="BK1008" s="161"/>
      <c r="BL1008" s="294"/>
      <c r="BM1008"/>
      <c r="BN1008"/>
      <c r="BO1008"/>
      <c r="BP1008"/>
      <c r="BQ1008"/>
      <c r="BR1008"/>
      <c r="BS1008"/>
      <c r="BT1008"/>
      <c r="BU1008"/>
      <c r="BV1008"/>
      <c r="BW1008"/>
      <c r="BX1008"/>
      <c r="BY1008"/>
      <c r="BZ1008"/>
      <c r="CA1008"/>
      <c r="CB1008"/>
      <c r="CC1008"/>
      <c r="CD1008"/>
      <c r="CE1008"/>
      <c r="CF1008"/>
      <c r="CG1008"/>
      <c r="CH1008"/>
      <c r="CI1008"/>
      <c r="CJ1008"/>
    </row>
    <row r="1009" spans="1:88" s="32" customFormat="1" ht="15" customHeight="1" x14ac:dyDescent="0.35">
      <c r="A1009" s="473"/>
      <c r="B1009" s="313">
        <v>35027</v>
      </c>
      <c r="C1009" s="8" t="s">
        <v>307</v>
      </c>
      <c r="D1009" s="18">
        <v>4</v>
      </c>
      <c r="E1009" s="251">
        <v>1792</v>
      </c>
      <c r="F1009" s="82">
        <v>1.9272070211667527</v>
      </c>
      <c r="G1009" s="79">
        <v>3453.5549819308208</v>
      </c>
      <c r="H1009" s="90">
        <v>70.046000000000006</v>
      </c>
      <c r="I1009" s="85">
        <v>67.210999999999999</v>
      </c>
      <c r="J1009" s="85">
        <v>72.180999999999997</v>
      </c>
      <c r="K1009" s="85">
        <v>67.308999999999997</v>
      </c>
      <c r="L1009" s="85">
        <v>66.465999999999994</v>
      </c>
      <c r="M1009" s="85">
        <v>61.323999999999998</v>
      </c>
      <c r="N1009" s="85">
        <v>66.293999999999997</v>
      </c>
      <c r="O1009" s="85">
        <v>67.656000000000006</v>
      </c>
      <c r="P1009" s="85">
        <v>79.89</v>
      </c>
      <c r="Q1009" s="85">
        <v>57.177</v>
      </c>
      <c r="R1009" s="85">
        <v>54.220999999999997</v>
      </c>
      <c r="S1009" s="89">
        <v>55.198999999999998</v>
      </c>
      <c r="T1009" s="89">
        <v>784.97399999999993</v>
      </c>
      <c r="U1009" s="85">
        <v>784.97399999999993</v>
      </c>
      <c r="V1009" s="85">
        <v>0</v>
      </c>
      <c r="W1009" s="85">
        <v>0</v>
      </c>
      <c r="X1009" s="89">
        <v>784.97399999999993</v>
      </c>
      <c r="Y1009" s="79">
        <v>1</v>
      </c>
      <c r="Z1009" s="79">
        <v>0</v>
      </c>
      <c r="AA1009" s="94">
        <v>0</v>
      </c>
      <c r="AB1009" s="79">
        <v>1</v>
      </c>
      <c r="AC1009" s="85">
        <v>287.32147601738291</v>
      </c>
      <c r="AD1009" s="85">
        <v>54.60881998261705</v>
      </c>
      <c r="AE1009" s="85">
        <v>316.41470399999997</v>
      </c>
      <c r="AF1009" s="85">
        <v>126.629</v>
      </c>
      <c r="AG1009" s="85">
        <v>784.97399999999993</v>
      </c>
      <c r="AH1009" s="85">
        <v>0</v>
      </c>
      <c r="AI1009" s="85">
        <v>0</v>
      </c>
      <c r="AJ1009" s="85">
        <v>0</v>
      </c>
      <c r="AK1009" s="85">
        <v>0</v>
      </c>
      <c r="AL1009" s="85">
        <v>0</v>
      </c>
      <c r="AM1009" s="85">
        <v>0</v>
      </c>
      <c r="AN1009" s="85">
        <v>784.97399999999993</v>
      </c>
      <c r="AO1009" s="85">
        <v>0</v>
      </c>
      <c r="AP1009" s="85">
        <v>0</v>
      </c>
      <c r="AQ1009" s="85">
        <v>0</v>
      </c>
      <c r="AR1009" s="85">
        <v>784.97399999999993</v>
      </c>
      <c r="AS1009" s="85">
        <v>0</v>
      </c>
      <c r="AT1009" s="85">
        <v>0</v>
      </c>
      <c r="AU1009" s="85">
        <v>0</v>
      </c>
      <c r="AV1009" s="85">
        <v>0</v>
      </c>
      <c r="AW1009" s="85">
        <v>0</v>
      </c>
      <c r="AX1009" s="85">
        <v>0</v>
      </c>
      <c r="AY1009" s="85">
        <v>0</v>
      </c>
      <c r="AZ1009" s="85">
        <v>0</v>
      </c>
      <c r="BA1009" s="85">
        <v>0</v>
      </c>
      <c r="BB1009" s="89">
        <v>0</v>
      </c>
      <c r="BC1009" s="89">
        <v>0</v>
      </c>
      <c r="BD1009" s="37">
        <v>358185</v>
      </c>
      <c r="BE1009" s="37">
        <v>1543128</v>
      </c>
      <c r="BF1009" s="279">
        <v>224340</v>
      </c>
      <c r="BG1009" s="37">
        <v>418273</v>
      </c>
      <c r="BH1009" s="37">
        <v>76020</v>
      </c>
      <c r="BI1009" s="37">
        <v>43607</v>
      </c>
      <c r="BJ1009" s="283">
        <v>762240</v>
      </c>
      <c r="BK1009" s="161"/>
      <c r="BL1009" s="294"/>
      <c r="BM1009"/>
      <c r="BN1009"/>
      <c r="BO1009"/>
      <c r="BP1009"/>
      <c r="BQ1009"/>
      <c r="BR1009"/>
      <c r="BS1009"/>
      <c r="BT1009"/>
      <c r="BU1009"/>
      <c r="BV1009"/>
      <c r="BW1009"/>
      <c r="BX1009"/>
      <c r="BY1009"/>
      <c r="BZ1009"/>
      <c r="CA1009"/>
      <c r="CB1009"/>
      <c r="CC1009"/>
      <c r="CD1009"/>
      <c r="CE1009"/>
      <c r="CF1009"/>
      <c r="CG1009"/>
      <c r="CH1009"/>
      <c r="CI1009"/>
      <c r="CJ1009"/>
    </row>
    <row r="1010" spans="1:88" s="32" customFormat="1" ht="15" customHeight="1" x14ac:dyDescent="0.35">
      <c r="A1010" s="473"/>
      <c r="B1010" s="313">
        <v>21005</v>
      </c>
      <c r="C1010" s="8" t="s">
        <v>144</v>
      </c>
      <c r="D1010" s="18">
        <v>3</v>
      </c>
      <c r="E1010" s="251">
        <v>329</v>
      </c>
      <c r="F1010" s="82">
        <v>1.9075520833333333</v>
      </c>
      <c r="G1010" s="79">
        <v>627.58463541666663</v>
      </c>
      <c r="H1010" s="90">
        <v>5.5469999999999997</v>
      </c>
      <c r="I1010" s="85">
        <v>5.3140000000000001</v>
      </c>
      <c r="J1010" s="85">
        <v>5.6849999999999996</v>
      </c>
      <c r="K1010" s="85">
        <v>5.4989999999999997</v>
      </c>
      <c r="L1010" s="85">
        <v>5.8049999999999997</v>
      </c>
      <c r="M1010" s="85">
        <v>5.806</v>
      </c>
      <c r="N1010" s="85">
        <v>6.9009999999999998</v>
      </c>
      <c r="O1010" s="85">
        <v>5.9269999999999996</v>
      </c>
      <c r="P1010" s="85">
        <v>4.8540000000000001</v>
      </c>
      <c r="Q1010" s="85">
        <v>4.7629999999999999</v>
      </c>
      <c r="R1010" s="85">
        <v>5.0209999999999999</v>
      </c>
      <c r="S1010" s="89">
        <v>5.5350000000000001</v>
      </c>
      <c r="T1010" s="89">
        <v>66.656999999999996</v>
      </c>
      <c r="U1010" s="85">
        <v>0</v>
      </c>
      <c r="V1010" s="85">
        <v>66.656999999999996</v>
      </c>
      <c r="W1010" s="85">
        <v>0</v>
      </c>
      <c r="X1010" s="89">
        <v>66.656999999999996</v>
      </c>
      <c r="Y1010" s="79">
        <v>0</v>
      </c>
      <c r="Z1010" s="79">
        <v>1</v>
      </c>
      <c r="AA1010" s="94">
        <v>0</v>
      </c>
      <c r="AB1010" s="79">
        <v>1</v>
      </c>
      <c r="AC1010" s="85">
        <v>58.275451612903225</v>
      </c>
      <c r="AD1010" s="85">
        <v>3.1254033870967799</v>
      </c>
      <c r="AE1010" s="85">
        <v>5.2561449999999912</v>
      </c>
      <c r="AF1010" s="85">
        <v>0</v>
      </c>
      <c r="AG1010" s="85">
        <v>66.656999999999996</v>
      </c>
      <c r="AH1010" s="85">
        <v>0</v>
      </c>
      <c r="AI1010" s="85">
        <v>0</v>
      </c>
      <c r="AJ1010" s="85">
        <v>0</v>
      </c>
      <c r="AK1010" s="85">
        <v>0</v>
      </c>
      <c r="AL1010" s="85">
        <v>0</v>
      </c>
      <c r="AM1010" s="85">
        <v>0</v>
      </c>
      <c r="AN1010" s="85">
        <v>0</v>
      </c>
      <c r="AO1010" s="85">
        <v>0</v>
      </c>
      <c r="AP1010" s="85">
        <v>0</v>
      </c>
      <c r="AQ1010" s="85">
        <v>0</v>
      </c>
      <c r="AR1010" s="85">
        <v>0</v>
      </c>
      <c r="AS1010" s="85">
        <v>0</v>
      </c>
      <c r="AT1010" s="85">
        <v>0</v>
      </c>
      <c r="AU1010" s="85">
        <v>0</v>
      </c>
      <c r="AV1010" s="85">
        <v>0</v>
      </c>
      <c r="AW1010" s="85">
        <v>0</v>
      </c>
      <c r="AX1010" s="85">
        <v>0</v>
      </c>
      <c r="AY1010" s="85">
        <v>0</v>
      </c>
      <c r="AZ1010" s="85">
        <v>66.656999999999996</v>
      </c>
      <c r="BA1010" s="85">
        <v>0</v>
      </c>
      <c r="BB1010" s="89">
        <v>0</v>
      </c>
      <c r="BC1010" s="89">
        <v>66.656999999999996</v>
      </c>
      <c r="BD1010" s="37">
        <v>0</v>
      </c>
      <c r="BE1010" s="37">
        <v>0</v>
      </c>
      <c r="BF1010" s="279">
        <v>5022</v>
      </c>
      <c r="BG1010" s="37">
        <v>6929</v>
      </c>
      <c r="BH1010" s="37">
        <v>9500</v>
      </c>
      <c r="BI1010" s="37">
        <v>3300</v>
      </c>
      <c r="BJ1010" s="283">
        <v>24751</v>
      </c>
      <c r="BK1010" s="161"/>
      <c r="BL1010" s="294"/>
      <c r="BM1010"/>
      <c r="BN1010"/>
      <c r="BO1010"/>
      <c r="BP1010"/>
      <c r="BQ1010"/>
      <c r="BR1010"/>
      <c r="BS1010"/>
      <c r="BT1010"/>
      <c r="BU1010"/>
      <c r="BV1010"/>
      <c r="BW1010"/>
      <c r="BX1010"/>
      <c r="BY1010"/>
      <c r="BZ1010"/>
      <c r="CA1010"/>
      <c r="CB1010"/>
      <c r="CC1010"/>
      <c r="CD1010"/>
      <c r="CE1010"/>
      <c r="CF1010"/>
      <c r="CG1010"/>
      <c r="CH1010"/>
      <c r="CI1010"/>
      <c r="CJ1010"/>
    </row>
    <row r="1011" spans="1:88" s="32" customFormat="1" ht="15" customHeight="1" x14ac:dyDescent="0.35">
      <c r="A1011" s="473"/>
      <c r="B1011" s="313">
        <v>34090</v>
      </c>
      <c r="C1011" s="8" t="s">
        <v>296</v>
      </c>
      <c r="D1011" s="18">
        <v>3</v>
      </c>
      <c r="E1011" s="251"/>
      <c r="F1011" s="82"/>
      <c r="G1011" s="79"/>
      <c r="H1011" s="90"/>
      <c r="I1011" s="85"/>
      <c r="J1011" s="85"/>
      <c r="K1011" s="85"/>
      <c r="L1011" s="85"/>
      <c r="M1011" s="85"/>
      <c r="N1011" s="85"/>
      <c r="O1011" s="85"/>
      <c r="P1011" s="85"/>
      <c r="Q1011" s="85"/>
      <c r="R1011" s="85"/>
      <c r="S1011" s="89"/>
      <c r="T1011" s="89" t="s">
        <v>1124</v>
      </c>
      <c r="U1011" s="85"/>
      <c r="V1011" s="85"/>
      <c r="W1011" s="85"/>
      <c r="X1011" s="89" t="s">
        <v>1124</v>
      </c>
      <c r="Y1011" s="79"/>
      <c r="Z1011" s="79"/>
      <c r="AA1011" s="94"/>
      <c r="AB1011" s="79" t="s">
        <v>1124</v>
      </c>
      <c r="AC1011" s="85"/>
      <c r="AD1011" s="85"/>
      <c r="AE1011" s="85"/>
      <c r="AF1011" s="85"/>
      <c r="AG1011" s="85" t="s">
        <v>1124</v>
      </c>
      <c r="AH1011" s="85"/>
      <c r="AI1011" s="85"/>
      <c r="AJ1011" s="85"/>
      <c r="AK1011" s="85"/>
      <c r="AL1011" s="85"/>
      <c r="AM1011" s="85"/>
      <c r="AN1011" s="85"/>
      <c r="AO1011" s="85"/>
      <c r="AP1011" s="85"/>
      <c r="AQ1011" s="85"/>
      <c r="AR1011" s="85" t="s">
        <v>1124</v>
      </c>
      <c r="AS1011" s="85"/>
      <c r="AT1011" s="85"/>
      <c r="AU1011" s="85"/>
      <c r="AV1011" s="85"/>
      <c r="AW1011" s="85"/>
      <c r="AX1011" s="85"/>
      <c r="AY1011" s="85"/>
      <c r="AZ1011" s="85"/>
      <c r="BA1011" s="85"/>
      <c r="BB1011" s="89"/>
      <c r="BC1011" s="89" t="s">
        <v>1124</v>
      </c>
      <c r="BD1011" s="37"/>
      <c r="BE1011" s="37"/>
      <c r="BF1011" s="279"/>
      <c r="BG1011" s="37"/>
      <c r="BH1011" s="37"/>
      <c r="BI1011" s="37"/>
      <c r="BJ1011" s="283"/>
      <c r="BK1011" s="161"/>
      <c r="BL1011" s="294"/>
      <c r="BM1011"/>
      <c r="BN1011"/>
      <c r="BO1011"/>
      <c r="BP1011"/>
      <c r="BQ1011"/>
      <c r="BR1011"/>
      <c r="BS1011"/>
      <c r="BT1011"/>
      <c r="BU1011"/>
      <c r="BV1011"/>
      <c r="BW1011"/>
      <c r="BX1011"/>
      <c r="BY1011"/>
      <c r="BZ1011"/>
      <c r="CA1011"/>
      <c r="CB1011"/>
      <c r="CC1011"/>
      <c r="CD1011"/>
      <c r="CE1011"/>
      <c r="CF1011"/>
      <c r="CG1011"/>
      <c r="CH1011"/>
      <c r="CI1011"/>
      <c r="CJ1011"/>
    </row>
    <row r="1012" spans="1:88" s="32" customFormat="1" ht="15" customHeight="1" x14ac:dyDescent="0.35">
      <c r="A1012" s="473"/>
      <c r="B1012" s="313">
        <v>8073</v>
      </c>
      <c r="C1012" s="8" t="s">
        <v>1095</v>
      </c>
      <c r="D1012" s="18">
        <v>1</v>
      </c>
      <c r="E1012" s="251">
        <v>372</v>
      </c>
      <c r="F1012" s="82">
        <v>1.9356435643564356</v>
      </c>
      <c r="G1012" s="79">
        <v>720.05940594059405</v>
      </c>
      <c r="H1012" s="90">
        <v>7.5140000000000002</v>
      </c>
      <c r="I1012" s="85">
        <v>7.1420000000000003</v>
      </c>
      <c r="J1012" s="85">
        <v>7.1150000000000002</v>
      </c>
      <c r="K1012" s="85">
        <v>4.9820000000000002</v>
      </c>
      <c r="L1012" s="85">
        <v>5.7510000000000003</v>
      </c>
      <c r="M1012" s="85">
        <v>6.9859999999999998</v>
      </c>
      <c r="N1012" s="85">
        <v>8.19</v>
      </c>
      <c r="O1012" s="85">
        <v>7.5049999999999999</v>
      </c>
      <c r="P1012" s="85">
        <v>7.2610000000000001</v>
      </c>
      <c r="Q1012" s="85">
        <v>5.26</v>
      </c>
      <c r="R1012" s="85">
        <v>5.3419999999999996</v>
      </c>
      <c r="S1012" s="89">
        <v>5.6390000000000002</v>
      </c>
      <c r="T1012" s="89">
        <v>78.686999999999998</v>
      </c>
      <c r="U1012" s="85">
        <v>78.686999999999998</v>
      </c>
      <c r="V1012" s="85">
        <v>0</v>
      </c>
      <c r="W1012" s="85">
        <v>0</v>
      </c>
      <c r="X1012" s="89">
        <v>78.686999999999998</v>
      </c>
      <c r="Y1012" s="79">
        <v>1</v>
      </c>
      <c r="Z1012" s="79">
        <v>0</v>
      </c>
      <c r="AA1012" s="94">
        <v>0</v>
      </c>
      <c r="AB1012" s="79">
        <v>1</v>
      </c>
      <c r="AC1012" s="85">
        <v>59.677</v>
      </c>
      <c r="AD1012" s="85">
        <v>3.105304999999996</v>
      </c>
      <c r="AE1012" s="85">
        <v>15.904695000000002</v>
      </c>
      <c r="AF1012" s="85">
        <v>0</v>
      </c>
      <c r="AG1012" s="85">
        <v>78.686999999999998</v>
      </c>
      <c r="AH1012" s="85">
        <v>0</v>
      </c>
      <c r="AI1012" s="85">
        <v>0</v>
      </c>
      <c r="AJ1012" s="85">
        <v>0</v>
      </c>
      <c r="AK1012" s="85">
        <v>0</v>
      </c>
      <c r="AL1012" s="85">
        <v>0</v>
      </c>
      <c r="AM1012" s="85">
        <v>0</v>
      </c>
      <c r="AN1012" s="85">
        <v>78.686999999999998</v>
      </c>
      <c r="AO1012" s="85">
        <v>0</v>
      </c>
      <c r="AP1012" s="85">
        <v>0</v>
      </c>
      <c r="AQ1012" s="85">
        <v>0</v>
      </c>
      <c r="AR1012" s="85">
        <v>78.686999999999998</v>
      </c>
      <c r="AS1012" s="85">
        <v>0</v>
      </c>
      <c r="AT1012" s="85">
        <v>0</v>
      </c>
      <c r="AU1012" s="85">
        <v>0</v>
      </c>
      <c r="AV1012" s="85">
        <v>0</v>
      </c>
      <c r="AW1012" s="85">
        <v>0</v>
      </c>
      <c r="AX1012" s="85">
        <v>0</v>
      </c>
      <c r="AY1012" s="85">
        <v>0</v>
      </c>
      <c r="AZ1012" s="85">
        <v>0</v>
      </c>
      <c r="BA1012" s="85">
        <v>0</v>
      </c>
      <c r="BB1012" s="89">
        <v>0</v>
      </c>
      <c r="BC1012" s="89">
        <v>0</v>
      </c>
      <c r="BD1012" s="37">
        <v>0</v>
      </c>
      <c r="BE1012" s="37">
        <v>207522</v>
      </c>
      <c r="BF1012" s="279">
        <v>6780</v>
      </c>
      <c r="BG1012" s="37">
        <v>19863</v>
      </c>
      <c r="BH1012" s="37">
        <v>2735</v>
      </c>
      <c r="BI1012" s="37">
        <v>5057</v>
      </c>
      <c r="BJ1012" s="283">
        <v>34435</v>
      </c>
      <c r="BK1012" s="161"/>
      <c r="BL1012" s="294"/>
      <c r="BM1012"/>
      <c r="BN1012"/>
      <c r="BO1012"/>
      <c r="BP1012"/>
      <c r="BQ1012"/>
      <c r="BR1012"/>
      <c r="BS1012"/>
      <c r="BT1012"/>
      <c r="BU1012"/>
      <c r="BV1012"/>
      <c r="BW1012"/>
      <c r="BX1012"/>
      <c r="BY1012"/>
      <c r="BZ1012"/>
      <c r="CA1012"/>
      <c r="CB1012"/>
      <c r="CC1012"/>
      <c r="CD1012"/>
      <c r="CE1012"/>
      <c r="CF1012"/>
      <c r="CG1012"/>
      <c r="CH1012"/>
      <c r="CI1012"/>
      <c r="CJ1012"/>
    </row>
    <row r="1013" spans="1:88" s="32" customFormat="1" ht="15" customHeight="1" x14ac:dyDescent="0.35">
      <c r="A1013" s="473"/>
      <c r="B1013" s="313">
        <v>16055</v>
      </c>
      <c r="C1013" s="8" t="s">
        <v>89</v>
      </c>
      <c r="D1013" s="18">
        <v>3</v>
      </c>
      <c r="E1013" s="251">
        <v>431</v>
      </c>
      <c r="F1013" s="82">
        <v>2.1671779141104293</v>
      </c>
      <c r="G1013" s="79">
        <v>934.05368098159499</v>
      </c>
      <c r="H1013" s="90">
        <v>11.301</v>
      </c>
      <c r="I1013" s="85">
        <v>10.452999999999999</v>
      </c>
      <c r="J1013" s="85">
        <v>14.895</v>
      </c>
      <c r="K1013" s="85">
        <v>14.209</v>
      </c>
      <c r="L1013" s="85">
        <v>12</v>
      </c>
      <c r="M1013" s="85">
        <v>12.414</v>
      </c>
      <c r="N1013" s="85">
        <v>15.24</v>
      </c>
      <c r="O1013" s="85">
        <v>13.128</v>
      </c>
      <c r="P1013" s="85">
        <v>10.257</v>
      </c>
      <c r="Q1013" s="85">
        <v>11.871</v>
      </c>
      <c r="R1013" s="85">
        <v>9.3030000000000008</v>
      </c>
      <c r="S1013" s="89">
        <v>9.5549999999999997</v>
      </c>
      <c r="T1013" s="89">
        <v>144.626</v>
      </c>
      <c r="U1013" s="85">
        <v>0</v>
      </c>
      <c r="V1013" s="85">
        <v>144.626</v>
      </c>
      <c r="W1013" s="85">
        <v>0</v>
      </c>
      <c r="X1013" s="89">
        <v>144.626</v>
      </c>
      <c r="Y1013" s="79">
        <v>0</v>
      </c>
      <c r="Z1013" s="79">
        <v>2</v>
      </c>
      <c r="AA1013" s="94">
        <v>0</v>
      </c>
      <c r="AB1013" s="79">
        <v>2</v>
      </c>
      <c r="AC1013" s="85">
        <v>94.371002197802213</v>
      </c>
      <c r="AD1013" s="85">
        <v>7.4243878021977849</v>
      </c>
      <c r="AE1013" s="85">
        <v>42.830610000000007</v>
      </c>
      <c r="AF1013" s="85">
        <v>0</v>
      </c>
      <c r="AG1013" s="85">
        <v>144.626</v>
      </c>
      <c r="AH1013" s="85">
        <v>0</v>
      </c>
      <c r="AI1013" s="85">
        <v>0</v>
      </c>
      <c r="AJ1013" s="85">
        <v>0</v>
      </c>
      <c r="AK1013" s="85">
        <v>0</v>
      </c>
      <c r="AL1013" s="85">
        <v>0</v>
      </c>
      <c r="AM1013" s="85">
        <v>0</v>
      </c>
      <c r="AN1013" s="85">
        <v>0</v>
      </c>
      <c r="AO1013" s="85">
        <v>0</v>
      </c>
      <c r="AP1013" s="85">
        <v>0</v>
      </c>
      <c r="AQ1013" s="85">
        <v>0</v>
      </c>
      <c r="AR1013" s="85">
        <v>0</v>
      </c>
      <c r="AS1013" s="85">
        <v>0</v>
      </c>
      <c r="AT1013" s="85">
        <v>0</v>
      </c>
      <c r="AU1013" s="85">
        <v>0</v>
      </c>
      <c r="AV1013" s="85">
        <v>0</v>
      </c>
      <c r="AW1013" s="85">
        <v>0</v>
      </c>
      <c r="AX1013" s="85">
        <v>0</v>
      </c>
      <c r="AY1013" s="85">
        <v>144.626</v>
      </c>
      <c r="AZ1013" s="85">
        <v>0</v>
      </c>
      <c r="BA1013" s="85">
        <v>0</v>
      </c>
      <c r="BB1013" s="89">
        <v>0</v>
      </c>
      <c r="BC1013" s="89">
        <v>144.626</v>
      </c>
      <c r="BD1013" s="37">
        <v>1402921</v>
      </c>
      <c r="BE1013" s="37">
        <v>110716</v>
      </c>
      <c r="BF1013" s="279">
        <v>9069</v>
      </c>
      <c r="BG1013" s="37">
        <v>24509</v>
      </c>
      <c r="BH1013" s="37">
        <v>13872</v>
      </c>
      <c r="BI1013" s="37">
        <v>25374</v>
      </c>
      <c r="BJ1013" s="283">
        <v>72824</v>
      </c>
      <c r="BK1013" s="161"/>
      <c r="BL1013" s="294"/>
      <c r="BM1013"/>
      <c r="BN1013"/>
      <c r="BO1013"/>
      <c r="BP1013"/>
      <c r="BQ1013"/>
      <c r="BR1013"/>
      <c r="BS1013"/>
      <c r="BT1013"/>
      <c r="BU1013"/>
      <c r="BV1013"/>
      <c r="BW1013"/>
      <c r="BX1013"/>
      <c r="BY1013"/>
      <c r="BZ1013"/>
      <c r="CA1013"/>
      <c r="CB1013"/>
      <c r="CC1013"/>
      <c r="CD1013"/>
      <c r="CE1013"/>
      <c r="CF1013"/>
      <c r="CG1013"/>
      <c r="CH1013"/>
      <c r="CI1013"/>
      <c r="CJ1013"/>
    </row>
    <row r="1014" spans="1:88" s="32" customFormat="1" ht="15" customHeight="1" x14ac:dyDescent="0.35">
      <c r="A1014" s="473"/>
      <c r="B1014" s="313">
        <v>70005</v>
      </c>
      <c r="C1014" s="8" t="s">
        <v>697</v>
      </c>
      <c r="D1014" s="18">
        <v>16</v>
      </c>
      <c r="E1014" s="251"/>
      <c r="F1014" s="82"/>
      <c r="G1014" s="79"/>
      <c r="H1014" s="90"/>
      <c r="I1014" s="85"/>
      <c r="J1014" s="85"/>
      <c r="K1014" s="85"/>
      <c r="L1014" s="85"/>
      <c r="M1014" s="85"/>
      <c r="N1014" s="85"/>
      <c r="O1014" s="85"/>
      <c r="P1014" s="85"/>
      <c r="Q1014" s="85"/>
      <c r="R1014" s="85"/>
      <c r="S1014" s="89"/>
      <c r="T1014" s="89" t="s">
        <v>1124</v>
      </c>
      <c r="U1014" s="85"/>
      <c r="V1014" s="85"/>
      <c r="W1014" s="85"/>
      <c r="X1014" s="89" t="s">
        <v>1124</v>
      </c>
      <c r="Y1014" s="79"/>
      <c r="Z1014" s="79"/>
      <c r="AA1014" s="94"/>
      <c r="AB1014" s="79" t="s">
        <v>1124</v>
      </c>
      <c r="AC1014" s="85"/>
      <c r="AD1014" s="85"/>
      <c r="AE1014" s="85"/>
      <c r="AF1014" s="85"/>
      <c r="AG1014" s="85" t="s">
        <v>1124</v>
      </c>
      <c r="AH1014" s="85"/>
      <c r="AI1014" s="85"/>
      <c r="AJ1014" s="85"/>
      <c r="AK1014" s="85"/>
      <c r="AL1014" s="85"/>
      <c r="AM1014" s="85"/>
      <c r="AN1014" s="85"/>
      <c r="AO1014" s="85"/>
      <c r="AP1014" s="85"/>
      <c r="AQ1014" s="85"/>
      <c r="AR1014" s="85" t="s">
        <v>1124</v>
      </c>
      <c r="AS1014" s="85"/>
      <c r="AT1014" s="85"/>
      <c r="AU1014" s="85"/>
      <c r="AV1014" s="85"/>
      <c r="AW1014" s="85"/>
      <c r="AX1014" s="85"/>
      <c r="AY1014" s="85"/>
      <c r="AZ1014" s="85"/>
      <c r="BA1014" s="85"/>
      <c r="BB1014" s="89"/>
      <c r="BC1014" s="89" t="s">
        <v>1124</v>
      </c>
      <c r="BD1014" s="37"/>
      <c r="BE1014" s="37"/>
      <c r="BF1014" s="279"/>
      <c r="BG1014" s="37"/>
      <c r="BH1014" s="37"/>
      <c r="BI1014" s="37"/>
      <c r="BJ1014" s="283"/>
      <c r="BK1014" s="161"/>
      <c r="BL1014" s="294"/>
      <c r="BM1014"/>
      <c r="BN1014"/>
      <c r="BO1014"/>
      <c r="BP1014"/>
      <c r="BQ1014"/>
      <c r="BR1014"/>
      <c r="BS1014"/>
      <c r="BT1014"/>
      <c r="BU1014"/>
      <c r="BV1014"/>
      <c r="BW1014"/>
      <c r="BX1014"/>
      <c r="BY1014"/>
      <c r="BZ1014"/>
      <c r="CA1014"/>
      <c r="CB1014"/>
      <c r="CC1014"/>
      <c r="CD1014"/>
      <c r="CE1014"/>
      <c r="CF1014"/>
      <c r="CG1014"/>
      <c r="CH1014"/>
      <c r="CI1014"/>
      <c r="CJ1014"/>
    </row>
    <row r="1015" spans="1:88" s="32" customFormat="1" ht="15" customHeight="1" x14ac:dyDescent="0.35">
      <c r="A1015" s="473"/>
      <c r="B1015" s="313">
        <v>56030</v>
      </c>
      <c r="C1015" s="8" t="s">
        <v>571</v>
      </c>
      <c r="D1015" s="18">
        <v>16</v>
      </c>
      <c r="E1015" s="251"/>
      <c r="F1015" s="82"/>
      <c r="G1015" s="79"/>
      <c r="H1015" s="90"/>
      <c r="I1015" s="85"/>
      <c r="J1015" s="85"/>
      <c r="K1015" s="85"/>
      <c r="L1015" s="85"/>
      <c r="M1015" s="85"/>
      <c r="N1015" s="85"/>
      <c r="O1015" s="85"/>
      <c r="P1015" s="85"/>
      <c r="Q1015" s="85"/>
      <c r="R1015" s="85"/>
      <c r="S1015" s="89"/>
      <c r="T1015" s="89" t="s">
        <v>1124</v>
      </c>
      <c r="U1015" s="85"/>
      <c r="V1015" s="85"/>
      <c r="W1015" s="85"/>
      <c r="X1015" s="89" t="s">
        <v>1124</v>
      </c>
      <c r="Y1015" s="79"/>
      <c r="Z1015" s="79"/>
      <c r="AA1015" s="94"/>
      <c r="AB1015" s="79" t="s">
        <v>1124</v>
      </c>
      <c r="AC1015" s="85"/>
      <c r="AD1015" s="85"/>
      <c r="AE1015" s="85"/>
      <c r="AF1015" s="85"/>
      <c r="AG1015" s="85" t="s">
        <v>1124</v>
      </c>
      <c r="AH1015" s="85"/>
      <c r="AI1015" s="85"/>
      <c r="AJ1015" s="85"/>
      <c r="AK1015" s="85"/>
      <c r="AL1015" s="85"/>
      <c r="AM1015" s="85"/>
      <c r="AN1015" s="85"/>
      <c r="AO1015" s="85"/>
      <c r="AP1015" s="85"/>
      <c r="AQ1015" s="85"/>
      <c r="AR1015" s="85" t="s">
        <v>1124</v>
      </c>
      <c r="AS1015" s="85"/>
      <c r="AT1015" s="85"/>
      <c r="AU1015" s="85"/>
      <c r="AV1015" s="85"/>
      <c r="AW1015" s="85"/>
      <c r="AX1015" s="85"/>
      <c r="AY1015" s="85"/>
      <c r="AZ1015" s="85"/>
      <c r="BA1015" s="85"/>
      <c r="BB1015" s="89"/>
      <c r="BC1015" s="89" t="s">
        <v>1124</v>
      </c>
      <c r="BD1015" s="37"/>
      <c r="BE1015" s="37"/>
      <c r="BF1015" s="279"/>
      <c r="BG1015" s="37"/>
      <c r="BH1015" s="37"/>
      <c r="BI1015" s="37"/>
      <c r="BJ1015" s="283"/>
      <c r="BK1015" s="161"/>
      <c r="BL1015" s="294"/>
      <c r="BM1015"/>
      <c r="BN1015"/>
      <c r="BO1015"/>
      <c r="BP1015"/>
      <c r="BQ1015"/>
      <c r="BR1015"/>
      <c r="BS1015"/>
      <c r="BT1015"/>
      <c r="BU1015"/>
      <c r="BV1015"/>
      <c r="BW1015"/>
      <c r="BX1015"/>
      <c r="BY1015"/>
      <c r="BZ1015"/>
      <c r="CA1015"/>
      <c r="CB1015"/>
      <c r="CC1015"/>
      <c r="CD1015"/>
      <c r="CE1015"/>
      <c r="CF1015"/>
      <c r="CG1015"/>
      <c r="CH1015"/>
      <c r="CI1015"/>
      <c r="CJ1015"/>
    </row>
    <row r="1016" spans="1:88" s="32" customFormat="1" ht="15" customHeight="1" x14ac:dyDescent="0.35">
      <c r="A1016" s="473"/>
      <c r="B1016" s="313">
        <v>39135</v>
      </c>
      <c r="C1016" s="8" t="s">
        <v>354</v>
      </c>
      <c r="D1016" s="18">
        <v>17</v>
      </c>
      <c r="E1016" s="251"/>
      <c r="F1016" s="82"/>
      <c r="G1016" s="79"/>
      <c r="H1016" s="90"/>
      <c r="I1016" s="85"/>
      <c r="J1016" s="85"/>
      <c r="K1016" s="85"/>
      <c r="L1016" s="85"/>
      <c r="M1016" s="85"/>
      <c r="N1016" s="85"/>
      <c r="O1016" s="85"/>
      <c r="P1016" s="85"/>
      <c r="Q1016" s="85"/>
      <c r="R1016" s="85"/>
      <c r="S1016" s="89"/>
      <c r="T1016" s="89" t="s">
        <v>1124</v>
      </c>
      <c r="U1016" s="85"/>
      <c r="V1016" s="85"/>
      <c r="W1016" s="85"/>
      <c r="X1016" s="89" t="s">
        <v>1124</v>
      </c>
      <c r="Y1016" s="79"/>
      <c r="Z1016" s="79"/>
      <c r="AA1016" s="94"/>
      <c r="AB1016" s="79" t="s">
        <v>1124</v>
      </c>
      <c r="AC1016" s="85"/>
      <c r="AD1016" s="85"/>
      <c r="AE1016" s="85"/>
      <c r="AF1016" s="85"/>
      <c r="AG1016" s="85" t="s">
        <v>1124</v>
      </c>
      <c r="AH1016" s="85"/>
      <c r="AI1016" s="85"/>
      <c r="AJ1016" s="85"/>
      <c r="AK1016" s="85"/>
      <c r="AL1016" s="85"/>
      <c r="AM1016" s="85"/>
      <c r="AN1016" s="85"/>
      <c r="AO1016" s="85"/>
      <c r="AP1016" s="85"/>
      <c r="AQ1016" s="85"/>
      <c r="AR1016" s="85" t="s">
        <v>1124</v>
      </c>
      <c r="AS1016" s="85"/>
      <c r="AT1016" s="85"/>
      <c r="AU1016" s="85"/>
      <c r="AV1016" s="85"/>
      <c r="AW1016" s="85"/>
      <c r="AX1016" s="85"/>
      <c r="AY1016" s="85"/>
      <c r="AZ1016" s="85"/>
      <c r="BA1016" s="85"/>
      <c r="BB1016" s="89"/>
      <c r="BC1016" s="89" t="s">
        <v>1124</v>
      </c>
      <c r="BD1016" s="37"/>
      <c r="BE1016" s="37"/>
      <c r="BF1016" s="279"/>
      <c r="BG1016" s="37"/>
      <c r="BH1016" s="37"/>
      <c r="BI1016" s="37"/>
      <c r="BJ1016" s="283"/>
      <c r="BK1016" s="161"/>
      <c r="BL1016" s="294"/>
      <c r="BM1016"/>
      <c r="BN1016"/>
      <c r="BO1016"/>
      <c r="BP1016"/>
      <c r="BQ1016"/>
      <c r="BR1016"/>
      <c r="BS1016"/>
      <c r="BT1016"/>
      <c r="BU1016"/>
      <c r="BV1016"/>
      <c r="BW1016"/>
      <c r="BX1016"/>
      <c r="BY1016"/>
      <c r="BZ1016"/>
      <c r="CA1016"/>
      <c r="CB1016"/>
      <c r="CC1016"/>
      <c r="CD1016"/>
      <c r="CE1016"/>
      <c r="CF1016"/>
      <c r="CG1016"/>
      <c r="CH1016"/>
      <c r="CI1016"/>
      <c r="CJ1016"/>
    </row>
    <row r="1017" spans="1:88" s="32" customFormat="1" ht="15" customHeight="1" x14ac:dyDescent="0.35">
      <c r="A1017" s="473"/>
      <c r="B1017" s="313">
        <v>10060</v>
      </c>
      <c r="C1017" s="8" t="s">
        <v>14</v>
      </c>
      <c r="D1017" s="18">
        <v>1</v>
      </c>
      <c r="E1017" s="251"/>
      <c r="F1017" s="82"/>
      <c r="G1017" s="79"/>
      <c r="H1017" s="90"/>
      <c r="I1017" s="85"/>
      <c r="J1017" s="85"/>
      <c r="K1017" s="85"/>
      <c r="L1017" s="85"/>
      <c r="M1017" s="85"/>
      <c r="N1017" s="85"/>
      <c r="O1017" s="85"/>
      <c r="P1017" s="85"/>
      <c r="Q1017" s="85"/>
      <c r="R1017" s="85"/>
      <c r="S1017" s="89"/>
      <c r="T1017" s="89" t="s">
        <v>1124</v>
      </c>
      <c r="U1017" s="85"/>
      <c r="V1017" s="85"/>
      <c r="W1017" s="85"/>
      <c r="X1017" s="89" t="s">
        <v>1124</v>
      </c>
      <c r="Y1017" s="79"/>
      <c r="Z1017" s="79"/>
      <c r="AA1017" s="94"/>
      <c r="AB1017" s="79" t="s">
        <v>1124</v>
      </c>
      <c r="AC1017" s="85"/>
      <c r="AD1017" s="85"/>
      <c r="AE1017" s="85"/>
      <c r="AF1017" s="85"/>
      <c r="AG1017" s="85" t="s">
        <v>1124</v>
      </c>
      <c r="AH1017" s="85"/>
      <c r="AI1017" s="85"/>
      <c r="AJ1017" s="85"/>
      <c r="AK1017" s="85"/>
      <c r="AL1017" s="85"/>
      <c r="AM1017" s="85"/>
      <c r="AN1017" s="85"/>
      <c r="AO1017" s="85"/>
      <c r="AP1017" s="85"/>
      <c r="AQ1017" s="85"/>
      <c r="AR1017" s="85" t="s">
        <v>1124</v>
      </c>
      <c r="AS1017" s="85"/>
      <c r="AT1017" s="85"/>
      <c r="AU1017" s="85"/>
      <c r="AV1017" s="85"/>
      <c r="AW1017" s="85"/>
      <c r="AX1017" s="85"/>
      <c r="AY1017" s="85"/>
      <c r="AZ1017" s="85"/>
      <c r="BA1017" s="85"/>
      <c r="BB1017" s="89"/>
      <c r="BC1017" s="89" t="s">
        <v>1124</v>
      </c>
      <c r="BD1017" s="37"/>
      <c r="BE1017" s="37"/>
      <c r="BF1017" s="279"/>
      <c r="BG1017" s="37"/>
      <c r="BH1017" s="37"/>
      <c r="BI1017" s="37"/>
      <c r="BJ1017" s="283"/>
      <c r="BK1017" s="161"/>
      <c r="BL1017" s="294"/>
      <c r="BM1017"/>
      <c r="BN1017"/>
      <c r="BO1017"/>
      <c r="BP1017"/>
      <c r="BQ1017"/>
      <c r="BR1017"/>
      <c r="BS1017"/>
      <c r="BT1017"/>
      <c r="BU1017"/>
      <c r="BV1017"/>
      <c r="BW1017"/>
      <c r="BX1017"/>
      <c r="BY1017"/>
      <c r="BZ1017"/>
      <c r="CA1017"/>
      <c r="CB1017"/>
      <c r="CC1017"/>
      <c r="CD1017"/>
      <c r="CE1017"/>
      <c r="CF1017"/>
      <c r="CG1017"/>
      <c r="CH1017"/>
      <c r="CI1017"/>
      <c r="CJ1017"/>
    </row>
    <row r="1018" spans="1:88" s="32" customFormat="1" ht="15" customHeight="1" x14ac:dyDescent="0.35">
      <c r="A1018" s="473"/>
      <c r="B1018" s="313">
        <v>54065</v>
      </c>
      <c r="C1018" s="8" t="s">
        <v>549</v>
      </c>
      <c r="D1018" s="18">
        <v>16</v>
      </c>
      <c r="E1018" s="251"/>
      <c r="F1018" s="82"/>
      <c r="G1018" s="79"/>
      <c r="H1018" s="90"/>
      <c r="I1018" s="85"/>
      <c r="J1018" s="85"/>
      <c r="K1018" s="85"/>
      <c r="L1018" s="85"/>
      <c r="M1018" s="85"/>
      <c r="N1018" s="85"/>
      <c r="O1018" s="85"/>
      <c r="P1018" s="85"/>
      <c r="Q1018" s="85"/>
      <c r="R1018" s="85"/>
      <c r="S1018" s="89"/>
      <c r="T1018" s="89" t="s">
        <v>1124</v>
      </c>
      <c r="U1018" s="85"/>
      <c r="V1018" s="85"/>
      <c r="W1018" s="85"/>
      <c r="X1018" s="89" t="s">
        <v>1124</v>
      </c>
      <c r="Y1018" s="79"/>
      <c r="Z1018" s="79"/>
      <c r="AA1018" s="94"/>
      <c r="AB1018" s="79" t="s">
        <v>1124</v>
      </c>
      <c r="AC1018" s="85"/>
      <c r="AD1018" s="85"/>
      <c r="AE1018" s="85"/>
      <c r="AF1018" s="85"/>
      <c r="AG1018" s="85" t="s">
        <v>1124</v>
      </c>
      <c r="AH1018" s="85"/>
      <c r="AI1018" s="85"/>
      <c r="AJ1018" s="85"/>
      <c r="AK1018" s="85"/>
      <c r="AL1018" s="85"/>
      <c r="AM1018" s="85"/>
      <c r="AN1018" s="85"/>
      <c r="AO1018" s="85"/>
      <c r="AP1018" s="85"/>
      <c r="AQ1018" s="85"/>
      <c r="AR1018" s="85" t="s">
        <v>1124</v>
      </c>
      <c r="AS1018" s="85"/>
      <c r="AT1018" s="85"/>
      <c r="AU1018" s="85"/>
      <c r="AV1018" s="85"/>
      <c r="AW1018" s="85"/>
      <c r="AX1018" s="85"/>
      <c r="AY1018" s="85"/>
      <c r="AZ1018" s="85"/>
      <c r="BA1018" s="85"/>
      <c r="BB1018" s="89"/>
      <c r="BC1018" s="89" t="s">
        <v>1124</v>
      </c>
      <c r="BD1018" s="37"/>
      <c r="BE1018" s="37"/>
      <c r="BF1018" s="279"/>
      <c r="BG1018" s="37"/>
      <c r="BH1018" s="37"/>
      <c r="BI1018" s="37"/>
      <c r="BJ1018" s="283"/>
      <c r="BK1018" s="161"/>
      <c r="BL1018" s="294"/>
      <c r="BM1018"/>
      <c r="BN1018"/>
      <c r="BO1018"/>
      <c r="BP1018"/>
      <c r="BQ1018"/>
      <c r="BR1018"/>
      <c r="BS1018"/>
      <c r="BT1018"/>
      <c r="BU1018"/>
      <c r="BV1018"/>
      <c r="BW1018"/>
      <c r="BX1018"/>
      <c r="BY1018"/>
      <c r="BZ1018"/>
      <c r="CA1018"/>
      <c r="CB1018"/>
      <c r="CC1018"/>
      <c r="CD1018"/>
      <c r="CE1018"/>
      <c r="CF1018"/>
      <c r="CG1018"/>
      <c r="CH1018"/>
      <c r="CI1018"/>
      <c r="CJ1018"/>
    </row>
    <row r="1019" spans="1:88" s="32" customFormat="1" ht="15" customHeight="1" x14ac:dyDescent="0.35">
      <c r="A1019" s="473"/>
      <c r="B1019" s="313">
        <v>19117</v>
      </c>
      <c r="C1019" s="8" t="s">
        <v>137</v>
      </c>
      <c r="D1019" s="18">
        <v>12</v>
      </c>
      <c r="E1019" s="251"/>
      <c r="F1019" s="82"/>
      <c r="G1019" s="79"/>
      <c r="H1019" s="90"/>
      <c r="I1019" s="85"/>
      <c r="J1019" s="85"/>
      <c r="K1019" s="85"/>
      <c r="L1019" s="85"/>
      <c r="M1019" s="85"/>
      <c r="N1019" s="85"/>
      <c r="O1019" s="85"/>
      <c r="P1019" s="85"/>
      <c r="Q1019" s="85"/>
      <c r="R1019" s="85"/>
      <c r="S1019" s="89"/>
      <c r="T1019" s="89" t="s">
        <v>1124</v>
      </c>
      <c r="U1019" s="85"/>
      <c r="V1019" s="85"/>
      <c r="W1019" s="85"/>
      <c r="X1019" s="89" t="s">
        <v>1124</v>
      </c>
      <c r="Y1019" s="79"/>
      <c r="Z1019" s="79"/>
      <c r="AA1019" s="94"/>
      <c r="AB1019" s="79" t="s">
        <v>1124</v>
      </c>
      <c r="AC1019" s="85"/>
      <c r="AD1019" s="85"/>
      <c r="AE1019" s="85"/>
      <c r="AF1019" s="85"/>
      <c r="AG1019" s="85" t="s">
        <v>1124</v>
      </c>
      <c r="AH1019" s="85"/>
      <c r="AI1019" s="85"/>
      <c r="AJ1019" s="85"/>
      <c r="AK1019" s="85"/>
      <c r="AL1019" s="85"/>
      <c r="AM1019" s="85"/>
      <c r="AN1019" s="85"/>
      <c r="AO1019" s="85"/>
      <c r="AP1019" s="85"/>
      <c r="AQ1019" s="85"/>
      <c r="AR1019" s="85" t="s">
        <v>1124</v>
      </c>
      <c r="AS1019" s="85"/>
      <c r="AT1019" s="85"/>
      <c r="AU1019" s="85"/>
      <c r="AV1019" s="85"/>
      <c r="AW1019" s="85"/>
      <c r="AX1019" s="85"/>
      <c r="AY1019" s="85"/>
      <c r="AZ1019" s="85"/>
      <c r="BA1019" s="85"/>
      <c r="BB1019" s="89"/>
      <c r="BC1019" s="89" t="s">
        <v>1124</v>
      </c>
      <c r="BD1019" s="37"/>
      <c r="BE1019" s="37"/>
      <c r="BF1019" s="279"/>
      <c r="BG1019" s="37"/>
      <c r="BH1019" s="37"/>
      <c r="BI1019" s="37"/>
      <c r="BJ1019" s="283"/>
      <c r="BK1019" s="161"/>
      <c r="BL1019" s="294"/>
      <c r="BM1019"/>
      <c r="BN1019"/>
      <c r="BO1019"/>
      <c r="BP1019"/>
      <c r="BQ1019"/>
      <c r="BR1019"/>
      <c r="BS1019"/>
      <c r="BT1019"/>
      <c r="BU1019"/>
      <c r="BV1019"/>
      <c r="BW1019"/>
      <c r="BX1019"/>
      <c r="BY1019"/>
      <c r="BZ1019"/>
      <c r="CA1019"/>
      <c r="CB1019"/>
      <c r="CC1019"/>
      <c r="CD1019"/>
      <c r="CE1019"/>
      <c r="CF1019"/>
      <c r="CG1019"/>
      <c r="CH1019"/>
      <c r="CI1019"/>
      <c r="CJ1019"/>
    </row>
    <row r="1020" spans="1:88" s="32" customFormat="1" ht="15" customHeight="1" x14ac:dyDescent="0.35">
      <c r="A1020" s="473"/>
      <c r="B1020" s="313">
        <v>44005</v>
      </c>
      <c r="C1020" s="8" t="s">
        <v>399</v>
      </c>
      <c r="D1020" s="18">
        <v>5</v>
      </c>
      <c r="E1020" s="251"/>
      <c r="F1020" s="82"/>
      <c r="G1020" s="79"/>
      <c r="H1020" s="90"/>
      <c r="I1020" s="85"/>
      <c r="J1020" s="85"/>
      <c r="K1020" s="85"/>
      <c r="L1020" s="85"/>
      <c r="M1020" s="85"/>
      <c r="N1020" s="85"/>
      <c r="O1020" s="85"/>
      <c r="P1020" s="85"/>
      <c r="Q1020" s="85"/>
      <c r="R1020" s="85"/>
      <c r="S1020" s="89"/>
      <c r="T1020" s="89" t="s">
        <v>1124</v>
      </c>
      <c r="U1020" s="85"/>
      <c r="V1020" s="85"/>
      <c r="W1020" s="85"/>
      <c r="X1020" s="89" t="s">
        <v>1124</v>
      </c>
      <c r="Y1020" s="79"/>
      <c r="Z1020" s="79"/>
      <c r="AA1020" s="94"/>
      <c r="AB1020" s="79" t="s">
        <v>1124</v>
      </c>
      <c r="AC1020" s="85"/>
      <c r="AD1020" s="85"/>
      <c r="AE1020" s="85"/>
      <c r="AF1020" s="85"/>
      <c r="AG1020" s="85" t="s">
        <v>1124</v>
      </c>
      <c r="AH1020" s="85"/>
      <c r="AI1020" s="85"/>
      <c r="AJ1020" s="85"/>
      <c r="AK1020" s="85"/>
      <c r="AL1020" s="85"/>
      <c r="AM1020" s="85"/>
      <c r="AN1020" s="85"/>
      <c r="AO1020" s="85"/>
      <c r="AP1020" s="85"/>
      <c r="AQ1020" s="85"/>
      <c r="AR1020" s="85" t="s">
        <v>1124</v>
      </c>
      <c r="AS1020" s="85"/>
      <c r="AT1020" s="85"/>
      <c r="AU1020" s="85"/>
      <c r="AV1020" s="85"/>
      <c r="AW1020" s="85"/>
      <c r="AX1020" s="85"/>
      <c r="AY1020" s="85"/>
      <c r="AZ1020" s="85"/>
      <c r="BA1020" s="85"/>
      <c r="BB1020" s="89"/>
      <c r="BC1020" s="89" t="s">
        <v>1124</v>
      </c>
      <c r="BD1020" s="37"/>
      <c r="BE1020" s="37"/>
      <c r="BF1020" s="279"/>
      <c r="BG1020" s="37"/>
      <c r="BH1020" s="37"/>
      <c r="BI1020" s="37"/>
      <c r="BJ1020" s="283"/>
      <c r="BK1020" s="161"/>
      <c r="BL1020" s="294"/>
      <c r="BM1020"/>
      <c r="BN1020"/>
      <c r="BO1020"/>
      <c r="BP1020"/>
      <c r="BQ1020"/>
      <c r="BR1020"/>
      <c r="BS1020"/>
      <c r="BT1020"/>
      <c r="BU1020"/>
      <c r="BV1020"/>
      <c r="BW1020"/>
      <c r="BX1020"/>
      <c r="BY1020"/>
      <c r="BZ1020"/>
      <c r="CA1020"/>
      <c r="CB1020"/>
      <c r="CC1020"/>
      <c r="CD1020"/>
      <c r="CE1020"/>
      <c r="CF1020"/>
      <c r="CG1020"/>
      <c r="CH1020"/>
      <c r="CI1020"/>
      <c r="CJ1020"/>
    </row>
    <row r="1021" spans="1:88" s="32" customFormat="1" ht="15" customHeight="1" x14ac:dyDescent="0.35">
      <c r="A1021" s="473"/>
      <c r="B1021" s="313">
        <v>7075</v>
      </c>
      <c r="C1021" s="8" t="s">
        <v>1079</v>
      </c>
      <c r="D1021" s="18">
        <v>1</v>
      </c>
      <c r="E1021" s="251"/>
      <c r="F1021" s="82"/>
      <c r="G1021" s="79"/>
      <c r="H1021" s="90"/>
      <c r="I1021" s="85"/>
      <c r="J1021" s="85"/>
      <c r="K1021" s="85"/>
      <c r="L1021" s="85"/>
      <c r="M1021" s="85"/>
      <c r="N1021" s="85"/>
      <c r="O1021" s="85"/>
      <c r="P1021" s="85"/>
      <c r="Q1021" s="85"/>
      <c r="R1021" s="85"/>
      <c r="S1021" s="89"/>
      <c r="T1021" s="89" t="s">
        <v>1124</v>
      </c>
      <c r="U1021" s="85"/>
      <c r="V1021" s="85"/>
      <c r="W1021" s="85"/>
      <c r="X1021" s="89" t="s">
        <v>1124</v>
      </c>
      <c r="Y1021" s="79"/>
      <c r="Z1021" s="79"/>
      <c r="AA1021" s="94"/>
      <c r="AB1021" s="79" t="s">
        <v>1124</v>
      </c>
      <c r="AC1021" s="85"/>
      <c r="AD1021" s="85"/>
      <c r="AE1021" s="85"/>
      <c r="AF1021" s="85"/>
      <c r="AG1021" s="85" t="s">
        <v>1124</v>
      </c>
      <c r="AH1021" s="85"/>
      <c r="AI1021" s="85"/>
      <c r="AJ1021" s="85"/>
      <c r="AK1021" s="85"/>
      <c r="AL1021" s="85"/>
      <c r="AM1021" s="85"/>
      <c r="AN1021" s="85"/>
      <c r="AO1021" s="85"/>
      <c r="AP1021" s="85"/>
      <c r="AQ1021" s="85"/>
      <c r="AR1021" s="85" t="s">
        <v>1124</v>
      </c>
      <c r="AS1021" s="85"/>
      <c r="AT1021" s="85"/>
      <c r="AU1021" s="85"/>
      <c r="AV1021" s="85"/>
      <c r="AW1021" s="85"/>
      <c r="AX1021" s="85"/>
      <c r="AY1021" s="85"/>
      <c r="AZ1021" s="85"/>
      <c r="BA1021" s="85"/>
      <c r="BB1021" s="89"/>
      <c r="BC1021" s="89" t="s">
        <v>1124</v>
      </c>
      <c r="BD1021" s="37"/>
      <c r="BE1021" s="37"/>
      <c r="BF1021" s="279"/>
      <c r="BG1021" s="37"/>
      <c r="BH1021" s="37"/>
      <c r="BI1021" s="37"/>
      <c r="BJ1021" s="283"/>
      <c r="BK1021" s="161"/>
      <c r="BL1021" s="294"/>
      <c r="BM1021"/>
      <c r="BN1021"/>
      <c r="BO1021"/>
      <c r="BP1021"/>
      <c r="BQ1021"/>
      <c r="BR1021"/>
      <c r="BS1021"/>
      <c r="BT1021"/>
      <c r="BU1021"/>
      <c r="BV1021"/>
      <c r="BW1021"/>
      <c r="BX1021"/>
      <c r="BY1021"/>
      <c r="BZ1021"/>
      <c r="CA1021"/>
      <c r="CB1021"/>
      <c r="CC1021"/>
      <c r="CD1021"/>
      <c r="CE1021"/>
      <c r="CF1021"/>
      <c r="CG1021"/>
      <c r="CH1021"/>
      <c r="CI1021"/>
      <c r="CJ1021"/>
    </row>
    <row r="1022" spans="1:88" s="32" customFormat="1" ht="15" customHeight="1" x14ac:dyDescent="0.35">
      <c r="A1022" s="473"/>
      <c r="B1022" s="313">
        <v>27008</v>
      </c>
      <c r="C1022" s="8" t="s">
        <v>178</v>
      </c>
      <c r="D1022" s="18">
        <v>12</v>
      </c>
      <c r="E1022" s="251"/>
      <c r="F1022" s="82"/>
      <c r="G1022" s="79"/>
      <c r="H1022" s="90"/>
      <c r="I1022" s="85"/>
      <c r="J1022" s="85"/>
      <c r="K1022" s="85"/>
      <c r="L1022" s="85"/>
      <c r="M1022" s="85"/>
      <c r="N1022" s="85"/>
      <c r="O1022" s="85"/>
      <c r="P1022" s="85"/>
      <c r="Q1022" s="85"/>
      <c r="R1022" s="85"/>
      <c r="S1022" s="89"/>
      <c r="T1022" s="89" t="s">
        <v>1124</v>
      </c>
      <c r="U1022" s="85"/>
      <c r="V1022" s="85"/>
      <c r="W1022" s="85"/>
      <c r="X1022" s="89" t="s">
        <v>1124</v>
      </c>
      <c r="Y1022" s="79"/>
      <c r="Z1022" s="79"/>
      <c r="AA1022" s="94"/>
      <c r="AB1022" s="79" t="s">
        <v>1124</v>
      </c>
      <c r="AC1022" s="85"/>
      <c r="AD1022" s="85"/>
      <c r="AE1022" s="85"/>
      <c r="AF1022" s="85"/>
      <c r="AG1022" s="85" t="s">
        <v>1124</v>
      </c>
      <c r="AH1022" s="85"/>
      <c r="AI1022" s="85"/>
      <c r="AJ1022" s="85"/>
      <c r="AK1022" s="85"/>
      <c r="AL1022" s="85"/>
      <c r="AM1022" s="85"/>
      <c r="AN1022" s="85"/>
      <c r="AO1022" s="85"/>
      <c r="AP1022" s="85"/>
      <c r="AQ1022" s="85"/>
      <c r="AR1022" s="85" t="s">
        <v>1124</v>
      </c>
      <c r="AS1022" s="85"/>
      <c r="AT1022" s="85"/>
      <c r="AU1022" s="85"/>
      <c r="AV1022" s="85"/>
      <c r="AW1022" s="85"/>
      <c r="AX1022" s="85"/>
      <c r="AY1022" s="85"/>
      <c r="AZ1022" s="85"/>
      <c r="BA1022" s="85"/>
      <c r="BB1022" s="89"/>
      <c r="BC1022" s="89" t="s">
        <v>1124</v>
      </c>
      <c r="BD1022" s="37"/>
      <c r="BE1022" s="37"/>
      <c r="BF1022" s="279"/>
      <c r="BG1022" s="37"/>
      <c r="BH1022" s="37"/>
      <c r="BI1022" s="37"/>
      <c r="BJ1022" s="283"/>
      <c r="BK1022" s="161"/>
      <c r="BL1022" s="294"/>
      <c r="BM1022"/>
      <c r="BN1022"/>
      <c r="BO1022"/>
      <c r="BP1022"/>
      <c r="BQ1022"/>
      <c r="BR1022"/>
      <c r="BS1022"/>
      <c r="BT1022"/>
      <c r="BU1022"/>
      <c r="BV1022"/>
      <c r="BW1022"/>
      <c r="BX1022"/>
      <c r="BY1022"/>
      <c r="BZ1022"/>
      <c r="CA1022"/>
      <c r="CB1022"/>
      <c r="CC1022"/>
      <c r="CD1022"/>
      <c r="CE1022"/>
      <c r="CF1022"/>
      <c r="CG1022"/>
      <c r="CH1022"/>
      <c r="CI1022"/>
      <c r="CJ1022"/>
    </row>
    <row r="1023" spans="1:88" s="32" customFormat="1" ht="15" customHeight="1" x14ac:dyDescent="0.35">
      <c r="A1023" s="473"/>
      <c r="B1023" s="313">
        <v>50023</v>
      </c>
      <c r="C1023" s="8" t="s">
        <v>484</v>
      </c>
      <c r="D1023" s="18">
        <v>17</v>
      </c>
      <c r="E1023" s="251">
        <v>355</v>
      </c>
      <c r="F1023" s="82">
        <v>2.322265625</v>
      </c>
      <c r="G1023" s="79">
        <v>824.404296875</v>
      </c>
      <c r="H1023" s="90">
        <v>5.5620000000000003</v>
      </c>
      <c r="I1023" s="85">
        <v>5.1870000000000003</v>
      </c>
      <c r="J1023" s="85">
        <v>5.851</v>
      </c>
      <c r="K1023" s="85">
        <v>5.7279999999999998</v>
      </c>
      <c r="L1023" s="85">
        <v>6.9770000000000003</v>
      </c>
      <c r="M1023" s="85">
        <v>7.835</v>
      </c>
      <c r="N1023" s="85">
        <v>8.0619999999999994</v>
      </c>
      <c r="O1023" s="85">
        <v>6.234</v>
      </c>
      <c r="P1023" s="85">
        <v>5.74</v>
      </c>
      <c r="Q1023" s="85">
        <v>5.7619999999999996</v>
      </c>
      <c r="R1023" s="85">
        <v>5.25</v>
      </c>
      <c r="S1023" s="89">
        <v>5.5330000000000004</v>
      </c>
      <c r="T1023" s="89">
        <v>73.721000000000004</v>
      </c>
      <c r="U1023" s="85">
        <v>0</v>
      </c>
      <c r="V1023" s="85">
        <v>73.721000000000004</v>
      </c>
      <c r="W1023" s="85">
        <v>0</v>
      </c>
      <c r="X1023" s="89">
        <v>73.721000000000004</v>
      </c>
      <c r="Y1023" s="79">
        <v>0</v>
      </c>
      <c r="Z1023" s="79">
        <v>4</v>
      </c>
      <c r="AA1023" s="94">
        <v>0</v>
      </c>
      <c r="AB1023" s="79">
        <v>4</v>
      </c>
      <c r="AC1023" s="85">
        <v>54.926000000000002</v>
      </c>
      <c r="AD1023" s="85">
        <v>9.6460000000000026</v>
      </c>
      <c r="AE1023" s="85">
        <v>9.1489999999999991</v>
      </c>
      <c r="AF1023" s="85">
        <v>0</v>
      </c>
      <c r="AG1023" s="85">
        <v>73.721000000000004</v>
      </c>
      <c r="AH1023" s="85">
        <v>0</v>
      </c>
      <c r="AI1023" s="85">
        <v>0</v>
      </c>
      <c r="AJ1023" s="85">
        <v>0</v>
      </c>
      <c r="AK1023" s="85">
        <v>0</v>
      </c>
      <c r="AL1023" s="85">
        <v>0</v>
      </c>
      <c r="AM1023" s="85">
        <v>0</v>
      </c>
      <c r="AN1023" s="85">
        <v>0</v>
      </c>
      <c r="AO1023" s="85">
        <v>0</v>
      </c>
      <c r="AP1023" s="85">
        <v>0</v>
      </c>
      <c r="AQ1023" s="85">
        <v>0</v>
      </c>
      <c r="AR1023" s="85">
        <v>0</v>
      </c>
      <c r="AS1023" s="85">
        <v>0</v>
      </c>
      <c r="AT1023" s="85">
        <v>0</v>
      </c>
      <c r="AU1023" s="85">
        <v>73.721000000000004</v>
      </c>
      <c r="AV1023" s="85">
        <v>0</v>
      </c>
      <c r="AW1023" s="85">
        <v>0</v>
      </c>
      <c r="AX1023" s="85">
        <v>0</v>
      </c>
      <c r="AY1023" s="85">
        <v>0</v>
      </c>
      <c r="AZ1023" s="85">
        <v>0</v>
      </c>
      <c r="BA1023" s="85">
        <v>0</v>
      </c>
      <c r="BB1023" s="89">
        <v>0</v>
      </c>
      <c r="BC1023" s="89">
        <v>73.721000000000004</v>
      </c>
      <c r="BD1023" s="37">
        <v>0</v>
      </c>
      <c r="BE1023" s="37">
        <v>0</v>
      </c>
      <c r="BF1023" s="279">
        <v>13274</v>
      </c>
      <c r="BG1023" s="37">
        <v>31462</v>
      </c>
      <c r="BH1023" s="37">
        <v>13028</v>
      </c>
      <c r="BI1023" s="37">
        <v>8882</v>
      </c>
      <c r="BJ1023" s="283">
        <v>66646</v>
      </c>
      <c r="BK1023" s="161"/>
      <c r="BL1023" s="294"/>
      <c r="BM1023"/>
      <c r="BN1023"/>
      <c r="BO1023"/>
      <c r="BP1023"/>
      <c r="BQ1023"/>
      <c r="BR1023"/>
      <c r="BS1023"/>
      <c r="BT1023"/>
      <c r="BU1023"/>
      <c r="BV1023"/>
      <c r="BW1023"/>
      <c r="BX1023"/>
      <c r="BY1023"/>
      <c r="BZ1023"/>
      <c r="CA1023"/>
      <c r="CB1023"/>
      <c r="CC1023"/>
      <c r="CD1023"/>
      <c r="CE1023"/>
      <c r="CF1023"/>
      <c r="CG1023"/>
      <c r="CH1023"/>
      <c r="CI1023"/>
      <c r="CJ1023"/>
    </row>
    <row r="1024" spans="1:88" s="32" customFormat="1" ht="15" customHeight="1" x14ac:dyDescent="0.35">
      <c r="A1024" s="473"/>
      <c r="B1024" s="313">
        <v>28005</v>
      </c>
      <c r="C1024" s="8" t="s">
        <v>188</v>
      </c>
      <c r="D1024" s="18">
        <v>12</v>
      </c>
      <c r="E1024" s="251">
        <v>357</v>
      </c>
      <c r="F1024" s="82">
        <v>1.6649848637739657</v>
      </c>
      <c r="G1024" s="79">
        <v>594.39959636730578</v>
      </c>
      <c r="H1024" s="90">
        <v>5.4269999999999996</v>
      </c>
      <c r="I1024" s="85">
        <v>5.6520000000000001</v>
      </c>
      <c r="J1024" s="85">
        <v>5.9320000000000004</v>
      </c>
      <c r="K1024" s="85">
        <v>5.875</v>
      </c>
      <c r="L1024" s="85">
        <v>6.7290000000000001</v>
      </c>
      <c r="M1024" s="85">
        <v>6.7430000000000003</v>
      </c>
      <c r="N1024" s="85">
        <v>6.9610000000000003</v>
      </c>
      <c r="O1024" s="85">
        <v>6.3129999999999997</v>
      </c>
      <c r="P1024" s="85">
        <v>6.4420000000000002</v>
      </c>
      <c r="Q1024" s="85">
        <v>6.2510000000000003</v>
      </c>
      <c r="R1024" s="85">
        <v>6.7149999999999999</v>
      </c>
      <c r="S1024" s="89">
        <v>6.3810000000000002</v>
      </c>
      <c r="T1024" s="89">
        <v>75.421000000000006</v>
      </c>
      <c r="U1024" s="85">
        <v>0</v>
      </c>
      <c r="V1024" s="85">
        <v>75.421000000000006</v>
      </c>
      <c r="W1024" s="85">
        <v>0</v>
      </c>
      <c r="X1024" s="89">
        <v>75.421000000000006</v>
      </c>
      <c r="Y1024" s="79">
        <v>0</v>
      </c>
      <c r="Z1024" s="79">
        <v>1</v>
      </c>
      <c r="AA1024" s="94">
        <v>0</v>
      </c>
      <c r="AB1024" s="79">
        <v>1</v>
      </c>
      <c r="AC1024" s="85">
        <v>47.87745283018868</v>
      </c>
      <c r="AD1024" s="85">
        <v>2.7921621698113235</v>
      </c>
      <c r="AE1024" s="85">
        <v>24.751385000000003</v>
      </c>
      <c r="AF1024" s="85">
        <v>0</v>
      </c>
      <c r="AG1024" s="85">
        <v>75.421000000000006</v>
      </c>
      <c r="AH1024" s="85">
        <v>0</v>
      </c>
      <c r="AI1024" s="85">
        <v>0</v>
      </c>
      <c r="AJ1024" s="85">
        <v>0</v>
      </c>
      <c r="AK1024" s="85">
        <v>0</v>
      </c>
      <c r="AL1024" s="85">
        <v>0</v>
      </c>
      <c r="AM1024" s="85">
        <v>0</v>
      </c>
      <c r="AN1024" s="85">
        <v>0</v>
      </c>
      <c r="AO1024" s="85">
        <v>0</v>
      </c>
      <c r="AP1024" s="85">
        <v>0</v>
      </c>
      <c r="AQ1024" s="85">
        <v>0</v>
      </c>
      <c r="AR1024" s="85">
        <v>0</v>
      </c>
      <c r="AS1024" s="85">
        <v>0</v>
      </c>
      <c r="AT1024" s="85">
        <v>0</v>
      </c>
      <c r="AU1024" s="85">
        <v>0</v>
      </c>
      <c r="AV1024" s="85">
        <v>0</v>
      </c>
      <c r="AW1024" s="85">
        <v>0</v>
      </c>
      <c r="AX1024" s="85">
        <v>0</v>
      </c>
      <c r="AY1024" s="85">
        <v>0</v>
      </c>
      <c r="AZ1024" s="85">
        <v>75.421000000000006</v>
      </c>
      <c r="BA1024" s="85">
        <v>0</v>
      </c>
      <c r="BB1024" s="89">
        <v>0</v>
      </c>
      <c r="BC1024" s="89">
        <v>75.421000000000006</v>
      </c>
      <c r="BD1024" s="37">
        <v>0</v>
      </c>
      <c r="BE1024" s="37">
        <v>0</v>
      </c>
      <c r="BF1024" s="279">
        <v>7670</v>
      </c>
      <c r="BG1024" s="37">
        <v>30538</v>
      </c>
      <c r="BH1024" s="37">
        <v>24706</v>
      </c>
      <c r="BI1024" s="37">
        <v>1231</v>
      </c>
      <c r="BJ1024" s="283">
        <v>64145</v>
      </c>
      <c r="BK1024" s="161"/>
      <c r="BL1024" s="294"/>
      <c r="BM1024"/>
      <c r="BN1024"/>
      <c r="BO1024"/>
      <c r="BP1024"/>
      <c r="BQ1024"/>
      <c r="BR1024"/>
      <c r="BS1024"/>
      <c r="BT1024"/>
      <c r="BU1024"/>
      <c r="BV1024"/>
      <c r="BW1024"/>
      <c r="BX1024"/>
      <c r="BY1024"/>
      <c r="BZ1024"/>
      <c r="CA1024"/>
      <c r="CB1024"/>
      <c r="CC1024"/>
      <c r="CD1024"/>
      <c r="CE1024"/>
      <c r="CF1024"/>
      <c r="CG1024"/>
      <c r="CH1024"/>
      <c r="CI1024"/>
      <c r="CJ1024"/>
    </row>
    <row r="1025" spans="1:88" s="32" customFormat="1" ht="15" customHeight="1" x14ac:dyDescent="0.35">
      <c r="A1025" s="473"/>
      <c r="B1025" s="313">
        <v>62080</v>
      </c>
      <c r="C1025" s="8" t="s">
        <v>632</v>
      </c>
      <c r="D1025" s="18">
        <v>14</v>
      </c>
      <c r="E1025" s="251">
        <v>188</v>
      </c>
      <c r="F1025" s="82">
        <v>1.9</v>
      </c>
      <c r="G1025" s="79">
        <v>357.2</v>
      </c>
      <c r="H1025" s="90">
        <v>3.0089999999999999</v>
      </c>
      <c r="I1025" s="85">
        <v>2.7010000000000001</v>
      </c>
      <c r="J1025" s="85">
        <v>3.0419999999999998</v>
      </c>
      <c r="K1025" s="85">
        <v>2.9540000000000002</v>
      </c>
      <c r="L1025" s="85">
        <v>2.84</v>
      </c>
      <c r="M1025" s="85">
        <v>2.74</v>
      </c>
      <c r="N1025" s="85">
        <v>3.4350000000000001</v>
      </c>
      <c r="O1025" s="85">
        <v>3.3450000000000002</v>
      </c>
      <c r="P1025" s="85">
        <v>2.5329999999999999</v>
      </c>
      <c r="Q1025" s="85">
        <v>2.4089999999999998</v>
      </c>
      <c r="R1025" s="85">
        <v>2.677</v>
      </c>
      <c r="S1025" s="89">
        <v>3.0259999999999998</v>
      </c>
      <c r="T1025" s="89">
        <v>34.710999999999999</v>
      </c>
      <c r="U1025" s="85">
        <v>0</v>
      </c>
      <c r="V1025" s="85">
        <v>34.710999999999999</v>
      </c>
      <c r="W1025" s="85">
        <v>0</v>
      </c>
      <c r="X1025" s="89">
        <v>34.710999999999999</v>
      </c>
      <c r="Y1025" s="79">
        <v>0</v>
      </c>
      <c r="Z1025" s="79">
        <v>1</v>
      </c>
      <c r="AA1025" s="94">
        <v>0</v>
      </c>
      <c r="AB1025" s="79">
        <v>1</v>
      </c>
      <c r="AC1025" s="85">
        <v>27.296844221105527</v>
      </c>
      <c r="AD1025" s="85">
        <v>2.1178207788944725</v>
      </c>
      <c r="AE1025" s="85">
        <v>5.2963349999999991</v>
      </c>
      <c r="AF1025" s="85">
        <v>0</v>
      </c>
      <c r="AG1025" s="85">
        <v>34.710999999999999</v>
      </c>
      <c r="AH1025" s="85">
        <v>0</v>
      </c>
      <c r="AI1025" s="85">
        <v>0</v>
      </c>
      <c r="AJ1025" s="85">
        <v>0</v>
      </c>
      <c r="AK1025" s="85">
        <v>0</v>
      </c>
      <c r="AL1025" s="85">
        <v>0</v>
      </c>
      <c r="AM1025" s="85">
        <v>0</v>
      </c>
      <c r="AN1025" s="85">
        <v>0</v>
      </c>
      <c r="AO1025" s="85">
        <v>0</v>
      </c>
      <c r="AP1025" s="85">
        <v>0</v>
      </c>
      <c r="AQ1025" s="85">
        <v>0</v>
      </c>
      <c r="AR1025" s="85">
        <v>0</v>
      </c>
      <c r="AS1025" s="85">
        <v>0</v>
      </c>
      <c r="AT1025" s="85">
        <v>0</v>
      </c>
      <c r="AU1025" s="85">
        <v>0</v>
      </c>
      <c r="AV1025" s="85">
        <v>0</v>
      </c>
      <c r="AW1025" s="85">
        <v>0</v>
      </c>
      <c r="AX1025" s="85">
        <v>34.710999999999999</v>
      </c>
      <c r="AY1025" s="85">
        <v>0</v>
      </c>
      <c r="AZ1025" s="85">
        <v>0</v>
      </c>
      <c r="BA1025" s="85">
        <v>0</v>
      </c>
      <c r="BB1025" s="89">
        <v>0</v>
      </c>
      <c r="BC1025" s="89">
        <v>34.710999999999999</v>
      </c>
      <c r="BD1025" s="37">
        <v>0</v>
      </c>
      <c r="BE1025" s="37">
        <v>0</v>
      </c>
      <c r="BF1025" s="279">
        <v>6300</v>
      </c>
      <c r="BG1025" s="37">
        <v>44164</v>
      </c>
      <c r="BH1025" s="37">
        <v>21533</v>
      </c>
      <c r="BI1025" s="37">
        <v>16765</v>
      </c>
      <c r="BJ1025" s="283">
        <v>88762</v>
      </c>
      <c r="BK1025" s="161"/>
      <c r="BL1025" s="294"/>
      <c r="BM1025"/>
      <c r="BN1025"/>
      <c r="BO1025"/>
      <c r="BP1025"/>
      <c r="BQ1025"/>
      <c r="BR1025"/>
      <c r="BS1025"/>
      <c r="BT1025"/>
      <c r="BU1025"/>
      <c r="BV1025"/>
      <c r="BW1025"/>
      <c r="BX1025"/>
      <c r="BY1025"/>
      <c r="BZ1025"/>
      <c r="CA1025"/>
      <c r="CB1025"/>
      <c r="CC1025"/>
      <c r="CD1025"/>
      <c r="CE1025"/>
      <c r="CF1025"/>
      <c r="CG1025"/>
      <c r="CH1025"/>
      <c r="CI1025"/>
      <c r="CJ1025"/>
    </row>
    <row r="1026" spans="1:88" s="32" customFormat="1" ht="15" customHeight="1" x14ac:dyDescent="0.35">
      <c r="A1026" s="473"/>
      <c r="B1026" s="313">
        <v>7035</v>
      </c>
      <c r="C1026" s="8" t="s">
        <v>1073</v>
      </c>
      <c r="D1026" s="18">
        <v>1</v>
      </c>
      <c r="E1026" s="251"/>
      <c r="F1026" s="82"/>
      <c r="G1026" s="79"/>
      <c r="H1026" s="90"/>
      <c r="I1026" s="85"/>
      <c r="J1026" s="85"/>
      <c r="K1026" s="85"/>
      <c r="L1026" s="85"/>
      <c r="M1026" s="85"/>
      <c r="N1026" s="85"/>
      <c r="O1026" s="85"/>
      <c r="P1026" s="85"/>
      <c r="Q1026" s="85"/>
      <c r="R1026" s="85"/>
      <c r="S1026" s="89"/>
      <c r="T1026" s="89" t="s">
        <v>1124</v>
      </c>
      <c r="U1026" s="85"/>
      <c r="V1026" s="85"/>
      <c r="W1026" s="85"/>
      <c r="X1026" s="89" t="s">
        <v>1124</v>
      </c>
      <c r="Y1026" s="79"/>
      <c r="Z1026" s="79"/>
      <c r="AA1026" s="94"/>
      <c r="AB1026" s="79" t="s">
        <v>1124</v>
      </c>
      <c r="AC1026" s="85"/>
      <c r="AD1026" s="85"/>
      <c r="AE1026" s="85"/>
      <c r="AF1026" s="85"/>
      <c r="AG1026" s="85" t="s">
        <v>1124</v>
      </c>
      <c r="AH1026" s="85"/>
      <c r="AI1026" s="85"/>
      <c r="AJ1026" s="85"/>
      <c r="AK1026" s="85"/>
      <c r="AL1026" s="85"/>
      <c r="AM1026" s="85"/>
      <c r="AN1026" s="85"/>
      <c r="AO1026" s="85"/>
      <c r="AP1026" s="85"/>
      <c r="AQ1026" s="85"/>
      <c r="AR1026" s="85" t="s">
        <v>1124</v>
      </c>
      <c r="AS1026" s="85"/>
      <c r="AT1026" s="85"/>
      <c r="AU1026" s="85"/>
      <c r="AV1026" s="85"/>
      <c r="AW1026" s="85"/>
      <c r="AX1026" s="85"/>
      <c r="AY1026" s="85"/>
      <c r="AZ1026" s="85"/>
      <c r="BA1026" s="85"/>
      <c r="BB1026" s="89"/>
      <c r="BC1026" s="89" t="s">
        <v>1124</v>
      </c>
      <c r="BD1026" s="37"/>
      <c r="BE1026" s="37"/>
      <c r="BF1026" s="279"/>
      <c r="BG1026" s="37"/>
      <c r="BH1026" s="37"/>
      <c r="BI1026" s="37"/>
      <c r="BJ1026" s="283"/>
      <c r="BK1026" s="161"/>
      <c r="BL1026" s="294"/>
      <c r="BM1026"/>
      <c r="BN1026"/>
      <c r="BO1026"/>
      <c r="BP1026"/>
      <c r="BQ1026"/>
      <c r="BR1026"/>
      <c r="BS1026"/>
      <c r="BT1026"/>
      <c r="BU1026"/>
      <c r="BV1026"/>
      <c r="BW1026"/>
      <c r="BX1026"/>
      <c r="BY1026"/>
      <c r="BZ1026"/>
      <c r="CA1026"/>
      <c r="CB1026"/>
      <c r="CC1026"/>
      <c r="CD1026"/>
      <c r="CE1026"/>
      <c r="CF1026"/>
      <c r="CG1026"/>
      <c r="CH1026"/>
      <c r="CI1026"/>
      <c r="CJ1026"/>
    </row>
    <row r="1027" spans="1:88" s="32" customFormat="1" ht="15" customHeight="1" x14ac:dyDescent="0.35">
      <c r="A1027" s="473"/>
      <c r="B1027" s="314">
        <v>50090</v>
      </c>
      <c r="C1027" s="8" t="s">
        <v>493</v>
      </c>
      <c r="D1027" s="18">
        <v>17</v>
      </c>
      <c r="E1027" s="251"/>
      <c r="F1027" s="82"/>
      <c r="G1027" s="79"/>
      <c r="H1027" s="90"/>
      <c r="I1027" s="85"/>
      <c r="J1027" s="85"/>
      <c r="K1027" s="85"/>
      <c r="L1027" s="85"/>
      <c r="M1027" s="85"/>
      <c r="N1027" s="85"/>
      <c r="O1027" s="85"/>
      <c r="P1027" s="85"/>
      <c r="Q1027" s="85"/>
      <c r="R1027" s="85"/>
      <c r="S1027" s="89"/>
      <c r="T1027" s="89" t="s">
        <v>1124</v>
      </c>
      <c r="U1027" s="85"/>
      <c r="V1027" s="85"/>
      <c r="W1027" s="85"/>
      <c r="X1027" s="89" t="s">
        <v>1124</v>
      </c>
      <c r="Y1027" s="79"/>
      <c r="Z1027" s="79"/>
      <c r="AA1027" s="94"/>
      <c r="AB1027" s="79" t="s">
        <v>1124</v>
      </c>
      <c r="AC1027" s="85"/>
      <c r="AD1027" s="85"/>
      <c r="AE1027" s="85"/>
      <c r="AF1027" s="85"/>
      <c r="AG1027" s="85" t="s">
        <v>1124</v>
      </c>
      <c r="AH1027" s="85"/>
      <c r="AI1027" s="85"/>
      <c r="AJ1027" s="85"/>
      <c r="AK1027" s="85"/>
      <c r="AL1027" s="85"/>
      <c r="AM1027" s="85"/>
      <c r="AN1027" s="85"/>
      <c r="AO1027" s="85"/>
      <c r="AP1027" s="85"/>
      <c r="AQ1027" s="85"/>
      <c r="AR1027" s="85" t="s">
        <v>1124</v>
      </c>
      <c r="AS1027" s="85"/>
      <c r="AT1027" s="85"/>
      <c r="AU1027" s="85"/>
      <c r="AV1027" s="85"/>
      <c r="AW1027" s="85"/>
      <c r="AX1027" s="85"/>
      <c r="AY1027" s="85"/>
      <c r="AZ1027" s="85"/>
      <c r="BA1027" s="85"/>
      <c r="BB1027" s="89"/>
      <c r="BC1027" s="89" t="s">
        <v>1124</v>
      </c>
      <c r="BD1027" s="37"/>
      <c r="BE1027" s="37"/>
      <c r="BF1027" s="279"/>
      <c r="BG1027" s="37"/>
      <c r="BH1027" s="37"/>
      <c r="BI1027" s="37"/>
      <c r="BJ1027" s="283"/>
      <c r="BK1027" s="161"/>
      <c r="BL1027" s="294"/>
      <c r="BM1027"/>
      <c r="BN1027"/>
      <c r="BO1027"/>
      <c r="BP1027"/>
      <c r="BQ1027"/>
      <c r="BR1027"/>
      <c r="BS1027"/>
      <c r="BT1027"/>
      <c r="BU1027"/>
      <c r="BV1027"/>
      <c r="BW1027"/>
      <c r="BX1027"/>
      <c r="BY1027"/>
      <c r="BZ1027"/>
      <c r="CA1027"/>
      <c r="CB1027"/>
      <c r="CC1027"/>
      <c r="CD1027"/>
      <c r="CE1027"/>
      <c r="CF1027"/>
      <c r="CG1027"/>
      <c r="CH1027"/>
      <c r="CI1027"/>
      <c r="CJ1027"/>
    </row>
    <row r="1028" spans="1:88" s="32" customFormat="1" ht="15" customHeight="1" x14ac:dyDescent="0.35">
      <c r="A1028" s="473"/>
      <c r="B1028" s="313">
        <v>71025</v>
      </c>
      <c r="C1028" s="8" t="s">
        <v>707</v>
      </c>
      <c r="D1028" s="18">
        <v>16</v>
      </c>
      <c r="E1028" s="251">
        <v>3364</v>
      </c>
      <c r="F1028" s="82">
        <v>2.4943592710442579</v>
      </c>
      <c r="G1028" s="79">
        <v>8391.0245877928828</v>
      </c>
      <c r="H1028" s="90">
        <v>68.727000000000004</v>
      </c>
      <c r="I1028" s="85">
        <v>63.026000000000003</v>
      </c>
      <c r="J1028" s="85">
        <v>79.69</v>
      </c>
      <c r="K1028" s="85">
        <v>69.233000000000004</v>
      </c>
      <c r="L1028" s="85">
        <v>85.073999999999998</v>
      </c>
      <c r="M1028" s="85">
        <v>96.566000000000003</v>
      </c>
      <c r="N1028" s="85">
        <v>110.46599999999999</v>
      </c>
      <c r="O1028" s="85">
        <v>98.671999999999997</v>
      </c>
      <c r="P1028" s="85">
        <v>82.108999999999995</v>
      </c>
      <c r="Q1028" s="85">
        <v>74.209000000000003</v>
      </c>
      <c r="R1028" s="85">
        <v>69.575000000000003</v>
      </c>
      <c r="S1028" s="89">
        <v>72.055999999999997</v>
      </c>
      <c r="T1028" s="89">
        <v>969.40300000000025</v>
      </c>
      <c r="U1028" s="85">
        <v>969.40300000000025</v>
      </c>
      <c r="V1028" s="85">
        <v>0</v>
      </c>
      <c r="W1028" s="85">
        <v>0</v>
      </c>
      <c r="X1028" s="89">
        <v>969.40300000000025</v>
      </c>
      <c r="Y1028" s="79">
        <v>1</v>
      </c>
      <c r="Z1028" s="79">
        <v>0</v>
      </c>
      <c r="AA1028" s="94">
        <v>0</v>
      </c>
      <c r="AB1028" s="79">
        <v>1</v>
      </c>
      <c r="AC1028" s="85">
        <v>641.76400000000001</v>
      </c>
      <c r="AD1028" s="85">
        <v>47.756307853535645</v>
      </c>
      <c r="AE1028" s="85">
        <v>269.70969214646465</v>
      </c>
      <c r="AF1028" s="85">
        <v>10.173</v>
      </c>
      <c r="AG1028" s="85">
        <v>969.40300000000025</v>
      </c>
      <c r="AH1028" s="85">
        <v>0</v>
      </c>
      <c r="AI1028" s="85">
        <v>969.40300000000025</v>
      </c>
      <c r="AJ1028" s="85">
        <v>0</v>
      </c>
      <c r="AK1028" s="85">
        <v>0</v>
      </c>
      <c r="AL1028" s="85">
        <v>0</v>
      </c>
      <c r="AM1028" s="85">
        <v>0</v>
      </c>
      <c r="AN1028" s="85">
        <v>0</v>
      </c>
      <c r="AO1028" s="85">
        <v>0</v>
      </c>
      <c r="AP1028" s="85">
        <v>0</v>
      </c>
      <c r="AQ1028" s="85">
        <v>0</v>
      </c>
      <c r="AR1028" s="85">
        <v>969.40300000000025</v>
      </c>
      <c r="AS1028" s="85">
        <v>0</v>
      </c>
      <c r="AT1028" s="85">
        <v>0</v>
      </c>
      <c r="AU1028" s="85">
        <v>0</v>
      </c>
      <c r="AV1028" s="85">
        <v>0</v>
      </c>
      <c r="AW1028" s="85">
        <v>0</v>
      </c>
      <c r="AX1028" s="85">
        <v>0</v>
      </c>
      <c r="AY1028" s="85">
        <v>0</v>
      </c>
      <c r="AZ1028" s="85">
        <v>0</v>
      </c>
      <c r="BA1028" s="85">
        <v>0</v>
      </c>
      <c r="BB1028" s="89">
        <v>0</v>
      </c>
      <c r="BC1028" s="89">
        <v>0</v>
      </c>
      <c r="BD1028" s="37">
        <v>0</v>
      </c>
      <c r="BE1028" s="37">
        <v>0</v>
      </c>
      <c r="BF1028" s="279">
        <v>52080</v>
      </c>
      <c r="BG1028" s="37">
        <v>132373</v>
      </c>
      <c r="BH1028" s="37">
        <v>59054</v>
      </c>
      <c r="BI1028" s="37">
        <v>11703</v>
      </c>
      <c r="BJ1028" s="283">
        <v>255210</v>
      </c>
      <c r="BK1028" s="161"/>
      <c r="BL1028" s="294"/>
      <c r="BM1028"/>
      <c r="BN1028"/>
      <c r="BO1028"/>
      <c r="BP1028"/>
      <c r="BQ1028"/>
      <c r="BR1028"/>
      <c r="BS1028"/>
      <c r="BT1028"/>
      <c r="BU1028"/>
      <c r="BV1028"/>
      <c r="BW1028"/>
      <c r="BX1028"/>
      <c r="BY1028"/>
      <c r="BZ1028"/>
      <c r="CA1028"/>
      <c r="CB1028"/>
      <c r="CC1028"/>
      <c r="CD1028"/>
      <c r="CE1028"/>
      <c r="CF1028"/>
      <c r="CG1028"/>
      <c r="CH1028"/>
      <c r="CI1028"/>
      <c r="CJ1028"/>
    </row>
    <row r="1029" spans="1:88" s="32" customFormat="1" ht="15" customHeight="1" x14ac:dyDescent="0.35">
      <c r="A1029" s="473"/>
      <c r="B1029" s="313">
        <v>70052</v>
      </c>
      <c r="C1029" s="8" t="s">
        <v>703</v>
      </c>
      <c r="D1029" s="18">
        <v>16</v>
      </c>
      <c r="E1029" s="251"/>
      <c r="F1029" s="82"/>
      <c r="G1029" s="79"/>
      <c r="H1029" s="90"/>
      <c r="I1029" s="85"/>
      <c r="J1029" s="85"/>
      <c r="K1029" s="85"/>
      <c r="L1029" s="85"/>
      <c r="M1029" s="85"/>
      <c r="N1029" s="85"/>
      <c r="O1029" s="85"/>
      <c r="P1029" s="85"/>
      <c r="Q1029" s="85"/>
      <c r="R1029" s="85"/>
      <c r="S1029" s="89"/>
      <c r="T1029" s="89" t="s">
        <v>1124</v>
      </c>
      <c r="U1029" s="85"/>
      <c r="V1029" s="85"/>
      <c r="W1029" s="85"/>
      <c r="X1029" s="89" t="s">
        <v>1124</v>
      </c>
      <c r="Y1029" s="79"/>
      <c r="Z1029" s="79"/>
      <c r="AA1029" s="94"/>
      <c r="AB1029" s="79" t="s">
        <v>1124</v>
      </c>
      <c r="AC1029" s="85"/>
      <c r="AD1029" s="85"/>
      <c r="AE1029" s="85"/>
      <c r="AF1029" s="85"/>
      <c r="AG1029" s="85" t="s">
        <v>1124</v>
      </c>
      <c r="AH1029" s="85"/>
      <c r="AI1029" s="85"/>
      <c r="AJ1029" s="85"/>
      <c r="AK1029" s="85"/>
      <c r="AL1029" s="85"/>
      <c r="AM1029" s="85"/>
      <c r="AN1029" s="85"/>
      <c r="AO1029" s="85"/>
      <c r="AP1029" s="85"/>
      <c r="AQ1029" s="85"/>
      <c r="AR1029" s="85" t="s">
        <v>1124</v>
      </c>
      <c r="AS1029" s="85"/>
      <c r="AT1029" s="85"/>
      <c r="AU1029" s="85"/>
      <c r="AV1029" s="85"/>
      <c r="AW1029" s="85"/>
      <c r="AX1029" s="85"/>
      <c r="AY1029" s="85"/>
      <c r="AZ1029" s="85"/>
      <c r="BA1029" s="85"/>
      <c r="BB1029" s="89"/>
      <c r="BC1029" s="89" t="s">
        <v>1124</v>
      </c>
      <c r="BD1029" s="37"/>
      <c r="BE1029" s="37"/>
      <c r="BF1029" s="279"/>
      <c r="BG1029" s="37"/>
      <c r="BH1029" s="37"/>
      <c r="BI1029" s="37"/>
      <c r="BJ1029" s="283"/>
      <c r="BK1029" s="161"/>
      <c r="BL1029" s="294"/>
      <c r="BM1029"/>
      <c r="BN1029"/>
      <c r="BO1029"/>
      <c r="BP1029"/>
      <c r="BQ1029"/>
      <c r="BR1029"/>
      <c r="BS1029"/>
      <c r="BT1029"/>
      <c r="BU1029"/>
      <c r="BV1029"/>
      <c r="BW1029"/>
      <c r="BX1029"/>
      <c r="BY1029"/>
      <c r="BZ1029"/>
      <c r="CA1029"/>
      <c r="CB1029"/>
      <c r="CC1029"/>
      <c r="CD1029"/>
      <c r="CE1029"/>
      <c r="CF1029"/>
      <c r="CG1029"/>
      <c r="CH1029"/>
      <c r="CI1029"/>
      <c r="CJ1029"/>
    </row>
    <row r="1030" spans="1:88" s="32" customFormat="1" ht="15" customHeight="1" x14ac:dyDescent="0.35">
      <c r="A1030" s="473"/>
      <c r="B1030" s="313">
        <v>7085</v>
      </c>
      <c r="C1030" s="8" t="s">
        <v>1081</v>
      </c>
      <c r="D1030" s="18">
        <v>1</v>
      </c>
      <c r="E1030" s="251">
        <v>743</v>
      </c>
      <c r="F1030" s="82">
        <v>2.2135802469135801</v>
      </c>
      <c r="G1030" s="79">
        <v>1644.6901234567899</v>
      </c>
      <c r="H1030" s="90">
        <v>22.609000000000002</v>
      </c>
      <c r="I1030" s="85">
        <v>22.719000000000001</v>
      </c>
      <c r="J1030" s="85">
        <v>23.501999999999999</v>
      </c>
      <c r="K1030" s="85">
        <v>24.748999999999999</v>
      </c>
      <c r="L1030" s="85">
        <v>20.347000000000001</v>
      </c>
      <c r="M1030" s="85">
        <v>19.396999999999998</v>
      </c>
      <c r="N1030" s="85">
        <v>22.155999999999999</v>
      </c>
      <c r="O1030" s="85">
        <v>21.548999999999999</v>
      </c>
      <c r="P1030" s="85">
        <v>21.832000000000001</v>
      </c>
      <c r="Q1030" s="85">
        <v>21.006</v>
      </c>
      <c r="R1030" s="85">
        <v>20.963000000000001</v>
      </c>
      <c r="S1030" s="89">
        <v>23.724</v>
      </c>
      <c r="T1030" s="89">
        <v>264.553</v>
      </c>
      <c r="U1030" s="85">
        <v>0</v>
      </c>
      <c r="V1030" s="85">
        <v>264.553</v>
      </c>
      <c r="W1030" s="85">
        <v>0</v>
      </c>
      <c r="X1030" s="89">
        <v>264.553</v>
      </c>
      <c r="Y1030" s="79">
        <v>0</v>
      </c>
      <c r="Z1030" s="79">
        <v>1</v>
      </c>
      <c r="AA1030" s="94">
        <v>0</v>
      </c>
      <c r="AB1030" s="79">
        <v>1</v>
      </c>
      <c r="AC1030" s="85">
        <v>143.22177064220182</v>
      </c>
      <c r="AD1030" s="85">
        <v>20.744875684328818</v>
      </c>
      <c r="AE1030" s="85">
        <v>100.58635367346936</v>
      </c>
      <c r="AF1030" s="85">
        <v>0</v>
      </c>
      <c r="AG1030" s="85">
        <v>264.553</v>
      </c>
      <c r="AH1030" s="85">
        <v>0</v>
      </c>
      <c r="AI1030" s="85">
        <v>0</v>
      </c>
      <c r="AJ1030" s="85">
        <v>0</v>
      </c>
      <c r="AK1030" s="85">
        <v>0</v>
      </c>
      <c r="AL1030" s="85">
        <v>0</v>
      </c>
      <c r="AM1030" s="85">
        <v>0</v>
      </c>
      <c r="AN1030" s="85">
        <v>0</v>
      </c>
      <c r="AO1030" s="85">
        <v>0</v>
      </c>
      <c r="AP1030" s="85">
        <v>0</v>
      </c>
      <c r="AQ1030" s="85">
        <v>0</v>
      </c>
      <c r="AR1030" s="85">
        <v>0</v>
      </c>
      <c r="AS1030" s="85">
        <v>264.553</v>
      </c>
      <c r="AT1030" s="85">
        <v>0</v>
      </c>
      <c r="AU1030" s="85">
        <v>0</v>
      </c>
      <c r="AV1030" s="85">
        <v>0</v>
      </c>
      <c r="AW1030" s="85">
        <v>0</v>
      </c>
      <c r="AX1030" s="85">
        <v>0</v>
      </c>
      <c r="AY1030" s="85">
        <v>0</v>
      </c>
      <c r="AZ1030" s="85">
        <v>0</v>
      </c>
      <c r="BA1030" s="85">
        <v>0</v>
      </c>
      <c r="BB1030" s="89">
        <v>0</v>
      </c>
      <c r="BC1030" s="89">
        <v>264.553</v>
      </c>
      <c r="BD1030" s="37">
        <v>0</v>
      </c>
      <c r="BE1030" s="37">
        <v>0</v>
      </c>
      <c r="BF1030" s="279">
        <v>35187</v>
      </c>
      <c r="BG1030" s="37">
        <v>29680</v>
      </c>
      <c r="BH1030" s="37">
        <v>34846</v>
      </c>
      <c r="BI1030" s="37">
        <v>24099</v>
      </c>
      <c r="BJ1030" s="283">
        <v>123812</v>
      </c>
      <c r="BK1030" s="161"/>
      <c r="BL1030" s="294"/>
      <c r="BM1030"/>
      <c r="BN1030"/>
      <c r="BO1030"/>
      <c r="BP1030"/>
      <c r="BQ1030"/>
      <c r="BR1030"/>
      <c r="BS1030"/>
      <c r="BT1030"/>
      <c r="BU1030"/>
      <c r="BV1030"/>
      <c r="BW1030"/>
      <c r="BX1030"/>
      <c r="BY1030"/>
      <c r="BZ1030"/>
      <c r="CA1030"/>
      <c r="CB1030"/>
      <c r="CC1030"/>
      <c r="CD1030"/>
      <c r="CE1030"/>
      <c r="CF1030"/>
      <c r="CG1030"/>
      <c r="CH1030"/>
      <c r="CI1030"/>
      <c r="CJ1030"/>
    </row>
    <row r="1031" spans="1:88" s="32" customFormat="1" ht="15" customHeight="1" x14ac:dyDescent="0.35">
      <c r="A1031" s="473"/>
      <c r="B1031" s="313">
        <v>97040</v>
      </c>
      <c r="C1031" s="8" t="s">
        <v>1005</v>
      </c>
      <c r="D1031" s="18">
        <v>9</v>
      </c>
      <c r="E1031" s="251"/>
      <c r="F1031" s="82"/>
      <c r="G1031" s="79"/>
      <c r="H1031" s="90"/>
      <c r="I1031" s="85"/>
      <c r="J1031" s="85"/>
      <c r="K1031" s="85"/>
      <c r="L1031" s="85"/>
      <c r="M1031" s="85"/>
      <c r="N1031" s="85"/>
      <c r="O1031" s="85"/>
      <c r="P1031" s="85"/>
      <c r="Q1031" s="85"/>
      <c r="R1031" s="85"/>
      <c r="S1031" s="89"/>
      <c r="T1031" s="89" t="s">
        <v>1124</v>
      </c>
      <c r="U1031" s="85"/>
      <c r="V1031" s="85"/>
      <c r="W1031" s="85"/>
      <c r="X1031" s="89" t="s">
        <v>1124</v>
      </c>
      <c r="Y1031" s="79"/>
      <c r="Z1031" s="79"/>
      <c r="AA1031" s="94"/>
      <c r="AB1031" s="79" t="s">
        <v>1124</v>
      </c>
      <c r="AC1031" s="85"/>
      <c r="AD1031" s="85"/>
      <c r="AE1031" s="85"/>
      <c r="AF1031" s="85"/>
      <c r="AG1031" s="85" t="s">
        <v>1124</v>
      </c>
      <c r="AH1031" s="85"/>
      <c r="AI1031" s="85"/>
      <c r="AJ1031" s="85"/>
      <c r="AK1031" s="85"/>
      <c r="AL1031" s="85"/>
      <c r="AM1031" s="85"/>
      <c r="AN1031" s="85"/>
      <c r="AO1031" s="85"/>
      <c r="AP1031" s="85"/>
      <c r="AQ1031" s="85"/>
      <c r="AR1031" s="85" t="s">
        <v>1124</v>
      </c>
      <c r="AS1031" s="85"/>
      <c r="AT1031" s="85"/>
      <c r="AU1031" s="85"/>
      <c r="AV1031" s="85"/>
      <c r="AW1031" s="85"/>
      <c r="AX1031" s="85"/>
      <c r="AY1031" s="85"/>
      <c r="AZ1031" s="85"/>
      <c r="BA1031" s="85"/>
      <c r="BB1031" s="89"/>
      <c r="BC1031" s="89" t="s">
        <v>1124</v>
      </c>
      <c r="BD1031" s="37"/>
      <c r="BE1031" s="37"/>
      <c r="BF1031" s="279"/>
      <c r="BG1031" s="37"/>
      <c r="BH1031" s="37"/>
      <c r="BI1031" s="37"/>
      <c r="BJ1031" s="283"/>
      <c r="BK1031" s="161"/>
      <c r="BL1031" s="294"/>
      <c r="BM1031"/>
      <c r="BN1031"/>
      <c r="BO1031"/>
      <c r="BP1031"/>
      <c r="BQ1031"/>
      <c r="BR1031"/>
      <c r="BS1031"/>
      <c r="BT1031"/>
      <c r="BU1031"/>
      <c r="BV1031"/>
      <c r="BW1031"/>
      <c r="BX1031"/>
      <c r="BY1031"/>
      <c r="BZ1031"/>
      <c r="CA1031"/>
      <c r="CB1031"/>
      <c r="CC1031"/>
      <c r="CD1031"/>
      <c r="CE1031"/>
      <c r="CF1031"/>
      <c r="CG1031"/>
      <c r="CH1031"/>
      <c r="CI1031"/>
      <c r="CJ1031"/>
    </row>
    <row r="1032" spans="1:88" s="32" customFormat="1" ht="15" customHeight="1" x14ac:dyDescent="0.35">
      <c r="A1032" s="473"/>
      <c r="B1032" s="313">
        <v>41080</v>
      </c>
      <c r="C1032" s="8" t="s">
        <v>375</v>
      </c>
      <c r="D1032" s="18">
        <v>5</v>
      </c>
      <c r="E1032" s="251"/>
      <c r="F1032" s="82"/>
      <c r="G1032" s="79"/>
      <c r="H1032" s="90"/>
      <c r="I1032" s="85"/>
      <c r="J1032" s="85"/>
      <c r="K1032" s="85"/>
      <c r="L1032" s="85"/>
      <c r="M1032" s="85"/>
      <c r="N1032" s="85"/>
      <c r="O1032" s="85"/>
      <c r="P1032" s="85"/>
      <c r="Q1032" s="85"/>
      <c r="R1032" s="85"/>
      <c r="S1032" s="89"/>
      <c r="T1032" s="89" t="s">
        <v>1124</v>
      </c>
      <c r="U1032" s="85"/>
      <c r="V1032" s="85"/>
      <c r="W1032" s="85"/>
      <c r="X1032" s="89" t="s">
        <v>1124</v>
      </c>
      <c r="Y1032" s="79"/>
      <c r="Z1032" s="79"/>
      <c r="AA1032" s="94"/>
      <c r="AB1032" s="79" t="s">
        <v>1124</v>
      </c>
      <c r="AC1032" s="85"/>
      <c r="AD1032" s="85"/>
      <c r="AE1032" s="85"/>
      <c r="AF1032" s="85"/>
      <c r="AG1032" s="85" t="s">
        <v>1124</v>
      </c>
      <c r="AH1032" s="85"/>
      <c r="AI1032" s="85"/>
      <c r="AJ1032" s="85"/>
      <c r="AK1032" s="85"/>
      <c r="AL1032" s="85"/>
      <c r="AM1032" s="85"/>
      <c r="AN1032" s="85"/>
      <c r="AO1032" s="85"/>
      <c r="AP1032" s="85"/>
      <c r="AQ1032" s="85"/>
      <c r="AR1032" s="85" t="s">
        <v>1124</v>
      </c>
      <c r="AS1032" s="85"/>
      <c r="AT1032" s="85"/>
      <c r="AU1032" s="85"/>
      <c r="AV1032" s="85"/>
      <c r="AW1032" s="85"/>
      <c r="AX1032" s="85"/>
      <c r="AY1032" s="85"/>
      <c r="AZ1032" s="85"/>
      <c r="BA1032" s="85"/>
      <c r="BB1032" s="89"/>
      <c r="BC1032" s="89" t="s">
        <v>1124</v>
      </c>
      <c r="BD1032" s="37"/>
      <c r="BE1032" s="37"/>
      <c r="BF1032" s="279"/>
      <c r="BG1032" s="37"/>
      <c r="BH1032" s="37"/>
      <c r="BI1032" s="37"/>
      <c r="BJ1032" s="283"/>
      <c r="BK1032" s="161"/>
      <c r="BL1032" s="294"/>
      <c r="BM1032"/>
      <c r="BN1032"/>
      <c r="BO1032"/>
      <c r="BP1032"/>
      <c r="BQ1032"/>
      <c r="BR1032"/>
      <c r="BS1032"/>
      <c r="BT1032"/>
      <c r="BU1032"/>
      <c r="BV1032"/>
      <c r="BW1032"/>
      <c r="BX1032"/>
      <c r="BY1032"/>
      <c r="BZ1032"/>
      <c r="CA1032"/>
      <c r="CB1032"/>
      <c r="CC1032"/>
      <c r="CD1032"/>
      <c r="CE1032"/>
      <c r="CF1032"/>
      <c r="CG1032"/>
      <c r="CH1032"/>
      <c r="CI1032"/>
      <c r="CJ1032"/>
    </row>
    <row r="1033" spans="1:88" s="32" customFormat="1" ht="15" customHeight="1" x14ac:dyDescent="0.35">
      <c r="A1033" s="473"/>
      <c r="B1033" s="313">
        <v>26048</v>
      </c>
      <c r="C1033" s="8" t="s">
        <v>174</v>
      </c>
      <c r="D1033" s="18">
        <v>12</v>
      </c>
      <c r="E1033" s="251">
        <v>516</v>
      </c>
      <c r="F1033" s="82">
        <v>2.431906614785992</v>
      </c>
      <c r="G1033" s="79">
        <v>1254.8638132295719</v>
      </c>
      <c r="H1033" s="90">
        <v>8.548</v>
      </c>
      <c r="I1033" s="85">
        <v>9.4979999999999993</v>
      </c>
      <c r="J1033" s="85">
        <v>10.307</v>
      </c>
      <c r="K1033" s="85">
        <v>10.529</v>
      </c>
      <c r="L1033" s="85">
        <v>12.715999999999999</v>
      </c>
      <c r="M1033" s="85">
        <v>11.837</v>
      </c>
      <c r="N1033" s="85">
        <v>13.326000000000001</v>
      </c>
      <c r="O1033" s="85">
        <v>12.129</v>
      </c>
      <c r="P1033" s="85">
        <v>10.760999999999999</v>
      </c>
      <c r="Q1033" s="85">
        <v>9.2729999999999997</v>
      </c>
      <c r="R1033" s="85">
        <v>9.5869999999999997</v>
      </c>
      <c r="S1033" s="89">
        <v>10.564</v>
      </c>
      <c r="T1033" s="89">
        <v>129.07499999999999</v>
      </c>
      <c r="U1033" s="85">
        <v>0</v>
      </c>
      <c r="V1033" s="85">
        <v>129.07499999999999</v>
      </c>
      <c r="W1033" s="85">
        <v>0</v>
      </c>
      <c r="X1033" s="89">
        <v>129.07499999999999</v>
      </c>
      <c r="Y1033" s="79">
        <v>0</v>
      </c>
      <c r="Z1033" s="79">
        <v>1</v>
      </c>
      <c r="AA1033" s="94">
        <v>0</v>
      </c>
      <c r="AB1033" s="79">
        <v>1</v>
      </c>
      <c r="AC1033" s="85">
        <v>99.913076358296607</v>
      </c>
      <c r="AD1033" s="85">
        <v>4.3395876417033747</v>
      </c>
      <c r="AE1033" s="85">
        <v>24.822336000000007</v>
      </c>
      <c r="AF1033" s="85">
        <v>0</v>
      </c>
      <c r="AG1033" s="85">
        <v>129.07499999999999</v>
      </c>
      <c r="AH1033" s="85">
        <v>0</v>
      </c>
      <c r="AI1033" s="85">
        <v>0</v>
      </c>
      <c r="AJ1033" s="85">
        <v>0</v>
      </c>
      <c r="AK1033" s="85">
        <v>0</v>
      </c>
      <c r="AL1033" s="85">
        <v>0</v>
      </c>
      <c r="AM1033" s="85">
        <v>0</v>
      </c>
      <c r="AN1033" s="85">
        <v>0</v>
      </c>
      <c r="AO1033" s="85">
        <v>0</v>
      </c>
      <c r="AP1033" s="85">
        <v>0</v>
      </c>
      <c r="AQ1033" s="85">
        <v>0</v>
      </c>
      <c r="AR1033" s="85">
        <v>0</v>
      </c>
      <c r="AS1033" s="85">
        <v>0</v>
      </c>
      <c r="AT1033" s="85">
        <v>0</v>
      </c>
      <c r="AU1033" s="85">
        <v>0</v>
      </c>
      <c r="AV1033" s="85">
        <v>0</v>
      </c>
      <c r="AW1033" s="85">
        <v>0</v>
      </c>
      <c r="AX1033" s="85">
        <v>0</v>
      </c>
      <c r="AY1033" s="85">
        <v>0</v>
      </c>
      <c r="AZ1033" s="85">
        <v>129.07499999999999</v>
      </c>
      <c r="BA1033" s="85">
        <v>0</v>
      </c>
      <c r="BB1033" s="89">
        <v>0</v>
      </c>
      <c r="BC1033" s="89">
        <v>129.07499999999999</v>
      </c>
      <c r="BD1033" s="37">
        <v>0</v>
      </c>
      <c r="BE1033" s="37">
        <v>0</v>
      </c>
      <c r="BF1033" s="279">
        <v>11950</v>
      </c>
      <c r="BG1033" s="37">
        <v>12717</v>
      </c>
      <c r="BH1033" s="37">
        <v>15730</v>
      </c>
      <c r="BI1033" s="37">
        <v>0</v>
      </c>
      <c r="BJ1033" s="283">
        <v>40397</v>
      </c>
      <c r="BK1033" s="161"/>
      <c r="BL1033" s="294"/>
      <c r="BM1033"/>
      <c r="BN1033"/>
      <c r="BO1033"/>
      <c r="BP1033"/>
      <c r="BQ1033"/>
      <c r="BR1033"/>
      <c r="BS1033"/>
      <c r="BT1033"/>
      <c r="BU1033"/>
      <c r="BV1033"/>
      <c r="BW1033"/>
      <c r="BX1033"/>
      <c r="BY1033"/>
      <c r="BZ1033"/>
      <c r="CA1033"/>
      <c r="CB1033"/>
      <c r="CC1033"/>
      <c r="CD1033"/>
      <c r="CE1033"/>
      <c r="CF1033"/>
      <c r="CG1033"/>
      <c r="CH1033"/>
      <c r="CI1033"/>
      <c r="CJ1033"/>
    </row>
    <row r="1034" spans="1:88" s="32" customFormat="1" ht="15" customHeight="1" x14ac:dyDescent="0.35">
      <c r="A1034" s="473"/>
      <c r="B1034" s="313">
        <v>89045</v>
      </c>
      <c r="C1034" s="8" t="s">
        <v>932</v>
      </c>
      <c r="D1034" s="18">
        <v>8</v>
      </c>
      <c r="E1034" s="251"/>
      <c r="F1034" s="82"/>
      <c r="G1034" s="79"/>
      <c r="H1034" s="90"/>
      <c r="I1034" s="85"/>
      <c r="J1034" s="85"/>
      <c r="K1034" s="85"/>
      <c r="L1034" s="85"/>
      <c r="M1034" s="85"/>
      <c r="N1034" s="85"/>
      <c r="O1034" s="85"/>
      <c r="P1034" s="85"/>
      <c r="Q1034" s="85"/>
      <c r="R1034" s="85"/>
      <c r="S1034" s="89"/>
      <c r="T1034" s="89" t="s">
        <v>1124</v>
      </c>
      <c r="U1034" s="85"/>
      <c r="V1034" s="85"/>
      <c r="W1034" s="85"/>
      <c r="X1034" s="89" t="s">
        <v>1124</v>
      </c>
      <c r="Y1034" s="79"/>
      <c r="Z1034" s="79"/>
      <c r="AA1034" s="94"/>
      <c r="AB1034" s="79" t="s">
        <v>1124</v>
      </c>
      <c r="AC1034" s="85"/>
      <c r="AD1034" s="85"/>
      <c r="AE1034" s="85"/>
      <c r="AF1034" s="85"/>
      <c r="AG1034" s="85" t="s">
        <v>1124</v>
      </c>
      <c r="AH1034" s="85"/>
      <c r="AI1034" s="85"/>
      <c r="AJ1034" s="85"/>
      <c r="AK1034" s="85"/>
      <c r="AL1034" s="85"/>
      <c r="AM1034" s="85"/>
      <c r="AN1034" s="85"/>
      <c r="AO1034" s="85"/>
      <c r="AP1034" s="85"/>
      <c r="AQ1034" s="85"/>
      <c r="AR1034" s="85" t="s">
        <v>1124</v>
      </c>
      <c r="AS1034" s="85"/>
      <c r="AT1034" s="85"/>
      <c r="AU1034" s="85"/>
      <c r="AV1034" s="85"/>
      <c r="AW1034" s="85"/>
      <c r="AX1034" s="85"/>
      <c r="AY1034" s="85"/>
      <c r="AZ1034" s="85"/>
      <c r="BA1034" s="85"/>
      <c r="BB1034" s="89"/>
      <c r="BC1034" s="89" t="s">
        <v>1124</v>
      </c>
      <c r="BD1034" s="37"/>
      <c r="BE1034" s="37"/>
      <c r="BF1034" s="279"/>
      <c r="BG1034" s="37"/>
      <c r="BH1034" s="37"/>
      <c r="BI1034" s="37"/>
      <c r="BJ1034" s="283"/>
      <c r="BK1034" s="161"/>
      <c r="BL1034" s="294"/>
      <c r="BM1034"/>
      <c r="BN1034"/>
      <c r="BO1034"/>
      <c r="BP1034"/>
      <c r="BQ1034"/>
      <c r="BR1034"/>
      <c r="BS1034"/>
      <c r="BT1034"/>
      <c r="BU1034"/>
      <c r="BV1034"/>
      <c r="BW1034"/>
      <c r="BX1034"/>
      <c r="BY1034"/>
      <c r="BZ1034"/>
      <c r="CA1034"/>
      <c r="CB1034"/>
      <c r="CC1034"/>
      <c r="CD1034"/>
      <c r="CE1034"/>
      <c r="CF1034"/>
      <c r="CG1034"/>
      <c r="CH1034"/>
      <c r="CI1034"/>
      <c r="CJ1034"/>
    </row>
    <row r="1035" spans="1:88" s="32" customFormat="1" ht="15" customHeight="1" x14ac:dyDescent="0.35">
      <c r="A1035" s="473"/>
      <c r="B1035" s="313">
        <v>89040</v>
      </c>
      <c r="C1035" s="8" t="s">
        <v>931</v>
      </c>
      <c r="D1035" s="18">
        <v>8</v>
      </c>
      <c r="E1035" s="251"/>
      <c r="F1035" s="82"/>
      <c r="G1035" s="79"/>
      <c r="H1035" s="90"/>
      <c r="I1035" s="85"/>
      <c r="J1035" s="85"/>
      <c r="K1035" s="85"/>
      <c r="L1035" s="85"/>
      <c r="M1035" s="85"/>
      <c r="N1035" s="85"/>
      <c r="O1035" s="85"/>
      <c r="P1035" s="85"/>
      <c r="Q1035" s="85"/>
      <c r="R1035" s="85"/>
      <c r="S1035" s="89"/>
      <c r="T1035" s="89" t="s">
        <v>1124</v>
      </c>
      <c r="U1035" s="85"/>
      <c r="V1035" s="85"/>
      <c r="W1035" s="85"/>
      <c r="X1035" s="89" t="s">
        <v>1124</v>
      </c>
      <c r="Y1035" s="79"/>
      <c r="Z1035" s="79"/>
      <c r="AA1035" s="94"/>
      <c r="AB1035" s="79" t="s">
        <v>1124</v>
      </c>
      <c r="AC1035" s="85"/>
      <c r="AD1035" s="85"/>
      <c r="AE1035" s="85"/>
      <c r="AF1035" s="85"/>
      <c r="AG1035" s="85" t="s">
        <v>1124</v>
      </c>
      <c r="AH1035" s="85"/>
      <c r="AI1035" s="85"/>
      <c r="AJ1035" s="85"/>
      <c r="AK1035" s="85"/>
      <c r="AL1035" s="85"/>
      <c r="AM1035" s="85"/>
      <c r="AN1035" s="85"/>
      <c r="AO1035" s="85"/>
      <c r="AP1035" s="85"/>
      <c r="AQ1035" s="85"/>
      <c r="AR1035" s="85" t="s">
        <v>1124</v>
      </c>
      <c r="AS1035" s="85"/>
      <c r="AT1035" s="85"/>
      <c r="AU1035" s="85"/>
      <c r="AV1035" s="85"/>
      <c r="AW1035" s="85"/>
      <c r="AX1035" s="85"/>
      <c r="AY1035" s="85"/>
      <c r="AZ1035" s="85"/>
      <c r="BA1035" s="85"/>
      <c r="BB1035" s="89"/>
      <c r="BC1035" s="89" t="s">
        <v>1124</v>
      </c>
      <c r="BD1035" s="37"/>
      <c r="BE1035" s="37"/>
      <c r="BF1035" s="279"/>
      <c r="BG1035" s="37"/>
      <c r="BH1035" s="37"/>
      <c r="BI1035" s="37"/>
      <c r="BJ1035" s="283"/>
      <c r="BK1035" s="161"/>
      <c r="BL1035" s="294"/>
      <c r="BM1035"/>
      <c r="BN1035"/>
      <c r="BO1035"/>
      <c r="BP1035"/>
      <c r="BQ1035"/>
      <c r="BR1035"/>
      <c r="BS1035"/>
      <c r="BT1035"/>
      <c r="BU1035"/>
      <c r="BV1035"/>
      <c r="BW1035"/>
      <c r="BX1035"/>
      <c r="BY1035"/>
      <c r="BZ1035"/>
      <c r="CA1035"/>
      <c r="CB1035"/>
      <c r="CC1035"/>
      <c r="CD1035"/>
      <c r="CE1035"/>
      <c r="CF1035"/>
      <c r="CG1035"/>
      <c r="CH1035"/>
      <c r="CI1035"/>
      <c r="CJ1035"/>
    </row>
    <row r="1036" spans="1:88" s="32" customFormat="1" ht="15" customHeight="1" x14ac:dyDescent="0.35">
      <c r="A1036" s="473"/>
      <c r="B1036" s="313">
        <v>66127</v>
      </c>
      <c r="C1036" s="8" t="s">
        <v>661</v>
      </c>
      <c r="D1036" s="18">
        <v>6</v>
      </c>
      <c r="E1036" s="251"/>
      <c r="F1036" s="82"/>
      <c r="G1036" s="79"/>
      <c r="H1036" s="90"/>
      <c r="I1036" s="85"/>
      <c r="J1036" s="85"/>
      <c r="K1036" s="85"/>
      <c r="L1036" s="85"/>
      <c r="M1036" s="85"/>
      <c r="N1036" s="85"/>
      <c r="O1036" s="85"/>
      <c r="P1036" s="85"/>
      <c r="Q1036" s="85"/>
      <c r="R1036" s="85"/>
      <c r="S1036" s="89"/>
      <c r="T1036" s="89" t="s">
        <v>1124</v>
      </c>
      <c r="U1036" s="85"/>
      <c r="V1036" s="85"/>
      <c r="W1036" s="85"/>
      <c r="X1036" s="89" t="s">
        <v>1124</v>
      </c>
      <c r="Y1036" s="79"/>
      <c r="Z1036" s="79"/>
      <c r="AA1036" s="94"/>
      <c r="AB1036" s="79" t="s">
        <v>1124</v>
      </c>
      <c r="AC1036" s="85"/>
      <c r="AD1036" s="85"/>
      <c r="AE1036" s="85"/>
      <c r="AF1036" s="85"/>
      <c r="AG1036" s="85" t="s">
        <v>1124</v>
      </c>
      <c r="AH1036" s="85"/>
      <c r="AI1036" s="85"/>
      <c r="AJ1036" s="85"/>
      <c r="AK1036" s="85"/>
      <c r="AL1036" s="85"/>
      <c r="AM1036" s="85"/>
      <c r="AN1036" s="85"/>
      <c r="AO1036" s="85"/>
      <c r="AP1036" s="85"/>
      <c r="AQ1036" s="85"/>
      <c r="AR1036" s="85" t="s">
        <v>1124</v>
      </c>
      <c r="AS1036" s="85"/>
      <c r="AT1036" s="85"/>
      <c r="AU1036" s="85"/>
      <c r="AV1036" s="85"/>
      <c r="AW1036" s="85"/>
      <c r="AX1036" s="85"/>
      <c r="AY1036" s="85"/>
      <c r="AZ1036" s="85"/>
      <c r="BA1036" s="85"/>
      <c r="BB1036" s="89"/>
      <c r="BC1036" s="89" t="s">
        <v>1124</v>
      </c>
      <c r="BD1036" s="37"/>
      <c r="BE1036" s="37"/>
      <c r="BF1036" s="279"/>
      <c r="BG1036" s="37"/>
      <c r="BH1036" s="37"/>
      <c r="BI1036" s="37"/>
      <c r="BJ1036" s="283"/>
      <c r="BK1036" s="161"/>
      <c r="BL1036" s="294"/>
      <c r="BM1036"/>
      <c r="BN1036"/>
      <c r="BO1036"/>
      <c r="BP1036"/>
      <c r="BQ1036"/>
      <c r="BR1036"/>
      <c r="BS1036"/>
      <c r="BT1036"/>
      <c r="BU1036"/>
      <c r="BV1036"/>
      <c r="BW1036"/>
      <c r="BX1036"/>
      <c r="BY1036"/>
      <c r="BZ1036"/>
      <c r="CA1036"/>
      <c r="CB1036"/>
      <c r="CC1036"/>
      <c r="CD1036"/>
      <c r="CE1036"/>
      <c r="CF1036"/>
      <c r="CG1036"/>
      <c r="CH1036"/>
      <c r="CI1036"/>
      <c r="CJ1036"/>
    </row>
    <row r="1037" spans="1:88" s="32" customFormat="1" ht="15" customHeight="1" x14ac:dyDescent="0.35">
      <c r="A1037" s="473"/>
      <c r="B1037" s="313">
        <v>97007</v>
      </c>
      <c r="C1037" s="8" t="s">
        <v>1002</v>
      </c>
      <c r="D1037" s="18">
        <v>9</v>
      </c>
      <c r="E1037" s="251">
        <v>13630</v>
      </c>
      <c r="F1037" s="82">
        <v>2.3235643202775496</v>
      </c>
      <c r="G1037" s="79">
        <v>31670.181685382999</v>
      </c>
      <c r="H1037" s="90">
        <v>661.84415999999987</v>
      </c>
      <c r="I1037" s="85">
        <v>608.52760000000012</v>
      </c>
      <c r="J1037" s="85">
        <v>711.15280000000007</v>
      </c>
      <c r="K1037" s="85">
        <v>697.97829999999988</v>
      </c>
      <c r="L1037" s="85">
        <v>666.64039999999989</v>
      </c>
      <c r="M1037" s="85">
        <v>699.16250000000002</v>
      </c>
      <c r="N1037" s="85">
        <v>762.36800000000005</v>
      </c>
      <c r="O1037" s="85">
        <v>720.43420000000003</v>
      </c>
      <c r="P1037" s="85">
        <v>653.25669999999991</v>
      </c>
      <c r="Q1037" s="85">
        <v>653.81654999999989</v>
      </c>
      <c r="R1037" s="85">
        <v>567.31449999999995</v>
      </c>
      <c r="S1037" s="89">
        <v>631.42160000000001</v>
      </c>
      <c r="T1037" s="89">
        <v>8033.9173099999989</v>
      </c>
      <c r="U1037" s="85">
        <v>7718.1195100000004</v>
      </c>
      <c r="V1037" s="85">
        <v>315.798</v>
      </c>
      <c r="W1037" s="85">
        <v>0</v>
      </c>
      <c r="X1037" s="89">
        <v>8033.9175100000002</v>
      </c>
      <c r="Y1037" s="79">
        <v>1</v>
      </c>
      <c r="Z1037" s="79">
        <v>3</v>
      </c>
      <c r="AA1037" s="94">
        <v>0</v>
      </c>
      <c r="AB1037" s="79">
        <v>4</v>
      </c>
      <c r="AC1037" s="85">
        <v>3719.056</v>
      </c>
      <c r="AD1037" s="85">
        <v>1759.2965100000006</v>
      </c>
      <c r="AE1037" s="85">
        <v>2210.61</v>
      </c>
      <c r="AF1037" s="85">
        <v>344.95499999999998</v>
      </c>
      <c r="AG1037" s="85">
        <v>8033.9175100000011</v>
      </c>
      <c r="AH1037" s="85">
        <v>7718.1195100000004</v>
      </c>
      <c r="AI1037" s="85">
        <v>0</v>
      </c>
      <c r="AJ1037" s="85">
        <v>0</v>
      </c>
      <c r="AK1037" s="85">
        <v>0</v>
      </c>
      <c r="AL1037" s="85">
        <v>0</v>
      </c>
      <c r="AM1037" s="85">
        <v>0</v>
      </c>
      <c r="AN1037" s="85">
        <v>0</v>
      </c>
      <c r="AO1037" s="85">
        <v>0</v>
      </c>
      <c r="AP1037" s="85">
        <v>0</v>
      </c>
      <c r="AQ1037" s="85">
        <v>0</v>
      </c>
      <c r="AR1037" s="85">
        <v>7718.1195100000004</v>
      </c>
      <c r="AS1037" s="85">
        <v>0</v>
      </c>
      <c r="AT1037" s="85">
        <v>0</v>
      </c>
      <c r="AU1037" s="85">
        <v>0</v>
      </c>
      <c r="AV1037" s="85">
        <v>0</v>
      </c>
      <c r="AW1037" s="85">
        <v>0</v>
      </c>
      <c r="AX1037" s="85">
        <v>0</v>
      </c>
      <c r="AY1037" s="85">
        <v>315.798</v>
      </c>
      <c r="AZ1037" s="85">
        <v>0</v>
      </c>
      <c r="BA1037" s="85">
        <v>0</v>
      </c>
      <c r="BB1037" s="89">
        <v>0</v>
      </c>
      <c r="BC1037" s="89">
        <v>315.798</v>
      </c>
      <c r="BD1037" s="37">
        <v>391232</v>
      </c>
      <c r="BE1037" s="37">
        <v>1307223</v>
      </c>
      <c r="BF1037" s="279">
        <v>755260</v>
      </c>
      <c r="BG1037" s="37">
        <v>818929</v>
      </c>
      <c r="BH1037" s="37">
        <v>230060</v>
      </c>
      <c r="BI1037" s="37">
        <v>0</v>
      </c>
      <c r="BJ1037" s="283">
        <v>1804249</v>
      </c>
      <c r="BK1037" s="161"/>
      <c r="BL1037" s="294"/>
      <c r="BM1037"/>
      <c r="BN1037"/>
      <c r="BO1037"/>
      <c r="BP1037"/>
      <c r="BQ1037"/>
      <c r="BR1037"/>
      <c r="BS1037"/>
      <c r="BT1037"/>
      <c r="BU1037"/>
      <c r="BV1037"/>
      <c r="BW1037"/>
      <c r="BX1037"/>
      <c r="BY1037"/>
      <c r="BZ1037"/>
      <c r="CA1037"/>
      <c r="CB1037"/>
      <c r="CC1037"/>
      <c r="CD1037"/>
      <c r="CE1037"/>
      <c r="CF1037"/>
      <c r="CG1037"/>
      <c r="CH1037"/>
      <c r="CI1037"/>
      <c r="CJ1037"/>
    </row>
    <row r="1038" spans="1:88" s="32" customFormat="1" ht="15" customHeight="1" x14ac:dyDescent="0.35">
      <c r="A1038" s="473"/>
      <c r="B1038" s="313">
        <v>22020</v>
      </c>
      <c r="C1038" s="8" t="s">
        <v>156</v>
      </c>
      <c r="D1038" s="18">
        <v>3</v>
      </c>
      <c r="E1038" s="251">
        <v>1363</v>
      </c>
      <c r="F1038" s="82">
        <v>2.7381056307289393</v>
      </c>
      <c r="G1038" s="79">
        <v>3732.0379746835442</v>
      </c>
      <c r="H1038" s="90">
        <v>20.02</v>
      </c>
      <c r="I1038" s="85">
        <v>18.343</v>
      </c>
      <c r="J1038" s="85">
        <v>20.131</v>
      </c>
      <c r="K1038" s="85">
        <v>20.068000000000001</v>
      </c>
      <c r="L1038" s="85">
        <v>32.463999999999999</v>
      </c>
      <c r="M1038" s="85">
        <v>33.366</v>
      </c>
      <c r="N1038" s="85">
        <v>42.273000000000003</v>
      </c>
      <c r="O1038" s="85">
        <v>34.670999999999999</v>
      </c>
      <c r="P1038" s="85">
        <v>26.468</v>
      </c>
      <c r="Q1038" s="85">
        <v>23.759</v>
      </c>
      <c r="R1038" s="85">
        <v>21.161000000000001</v>
      </c>
      <c r="S1038" s="89">
        <v>26.497</v>
      </c>
      <c r="T1038" s="89">
        <v>319.221</v>
      </c>
      <c r="U1038" s="85">
        <v>0</v>
      </c>
      <c r="V1038" s="85">
        <v>319.221</v>
      </c>
      <c r="W1038" s="85">
        <v>0</v>
      </c>
      <c r="X1038" s="89">
        <v>319.221</v>
      </c>
      <c r="Y1038" s="79">
        <v>0</v>
      </c>
      <c r="Z1038" s="79">
        <v>1</v>
      </c>
      <c r="AA1038" s="94">
        <v>0</v>
      </c>
      <c r="AB1038" s="79">
        <v>1</v>
      </c>
      <c r="AC1038" s="85">
        <v>270.28437617328518</v>
      </c>
      <c r="AD1038" s="85">
        <v>9.1519388267148116</v>
      </c>
      <c r="AE1038" s="85">
        <v>39.78468500000001</v>
      </c>
      <c r="AF1038" s="85">
        <v>0</v>
      </c>
      <c r="AG1038" s="85">
        <v>319.221</v>
      </c>
      <c r="AH1038" s="85">
        <v>0</v>
      </c>
      <c r="AI1038" s="85">
        <v>0</v>
      </c>
      <c r="AJ1038" s="85">
        <v>0</v>
      </c>
      <c r="AK1038" s="85">
        <v>0</v>
      </c>
      <c r="AL1038" s="85">
        <v>0</v>
      </c>
      <c r="AM1038" s="85">
        <v>0</v>
      </c>
      <c r="AN1038" s="85">
        <v>0</v>
      </c>
      <c r="AO1038" s="85">
        <v>0</v>
      </c>
      <c r="AP1038" s="85">
        <v>0</v>
      </c>
      <c r="AQ1038" s="85">
        <v>0</v>
      </c>
      <c r="AR1038" s="85">
        <v>0</v>
      </c>
      <c r="AS1038" s="85">
        <v>0</v>
      </c>
      <c r="AT1038" s="85">
        <v>0</v>
      </c>
      <c r="AU1038" s="85">
        <v>319.221</v>
      </c>
      <c r="AV1038" s="85">
        <v>0</v>
      </c>
      <c r="AW1038" s="85">
        <v>0</v>
      </c>
      <c r="AX1038" s="85">
        <v>0</v>
      </c>
      <c r="AY1038" s="85">
        <v>0</v>
      </c>
      <c r="AZ1038" s="85">
        <v>0</v>
      </c>
      <c r="BA1038" s="85">
        <v>0</v>
      </c>
      <c r="BB1038" s="89">
        <v>0</v>
      </c>
      <c r="BC1038" s="89">
        <v>319.221</v>
      </c>
      <c r="BD1038" s="37">
        <v>2116920</v>
      </c>
      <c r="BE1038" s="37">
        <v>75907</v>
      </c>
      <c r="BF1038" s="279">
        <v>22520</v>
      </c>
      <c r="BG1038" s="37">
        <v>55323</v>
      </c>
      <c r="BH1038" s="37">
        <v>9871</v>
      </c>
      <c r="BI1038" s="37">
        <v>1762</v>
      </c>
      <c r="BJ1038" s="283">
        <v>89476</v>
      </c>
      <c r="BK1038" s="161"/>
      <c r="BL1038" s="294"/>
      <c r="BM1038"/>
      <c r="BN1038"/>
      <c r="BO1038"/>
      <c r="BP1038"/>
      <c r="BQ1038"/>
      <c r="BR1038"/>
      <c r="BS1038"/>
      <c r="BT1038"/>
      <c r="BU1038"/>
      <c r="BV1038"/>
      <c r="BW1038"/>
      <c r="BX1038"/>
      <c r="BY1038"/>
      <c r="BZ1038"/>
      <c r="CA1038"/>
      <c r="CB1038"/>
      <c r="CC1038"/>
      <c r="CD1038"/>
      <c r="CE1038"/>
      <c r="CF1038"/>
      <c r="CG1038"/>
      <c r="CH1038"/>
      <c r="CI1038"/>
      <c r="CJ1038"/>
    </row>
    <row r="1039" spans="1:88" s="32" customFormat="1" ht="15" customHeight="1" x14ac:dyDescent="0.35">
      <c r="A1039" s="473"/>
      <c r="B1039" s="313">
        <v>36033</v>
      </c>
      <c r="C1039" s="8" t="s">
        <v>313</v>
      </c>
      <c r="D1039" s="18">
        <v>4</v>
      </c>
      <c r="E1039" s="251">
        <v>25580</v>
      </c>
      <c r="F1039" s="82">
        <v>1.8574427409378866</v>
      </c>
      <c r="G1039" s="79">
        <v>47513.385313191138</v>
      </c>
      <c r="H1039" s="90">
        <v>667.04199840000013</v>
      </c>
      <c r="I1039" s="85">
        <v>629.32949200000007</v>
      </c>
      <c r="J1039" s="85">
        <v>705.69455390000007</v>
      </c>
      <c r="K1039" s="85">
        <v>694.70151270999997</v>
      </c>
      <c r="L1039" s="85">
        <v>747.22945955</v>
      </c>
      <c r="M1039" s="85">
        <v>825.70411145000003</v>
      </c>
      <c r="N1039" s="85">
        <v>884.97143690000007</v>
      </c>
      <c r="O1039" s="85">
        <v>887.49521490999985</v>
      </c>
      <c r="P1039" s="85">
        <v>738.43300594000004</v>
      </c>
      <c r="Q1039" s="85">
        <v>724.7680551499999</v>
      </c>
      <c r="R1039" s="85">
        <v>706.59763582000005</v>
      </c>
      <c r="S1039" s="89">
        <v>784.32263795999995</v>
      </c>
      <c r="T1039" s="89">
        <v>8996.2891146900001</v>
      </c>
      <c r="U1039" s="85">
        <v>8644.0970603700007</v>
      </c>
      <c r="V1039" s="85">
        <v>352.19205432000001</v>
      </c>
      <c r="W1039" s="85">
        <v>0</v>
      </c>
      <c r="X1039" s="89">
        <v>8996.2891146900001</v>
      </c>
      <c r="Y1039" s="79">
        <v>3</v>
      </c>
      <c r="Z1039" s="79">
        <v>2</v>
      </c>
      <c r="AA1039" s="94">
        <v>0</v>
      </c>
      <c r="AB1039" s="79">
        <v>5</v>
      </c>
      <c r="AC1039" s="85">
        <v>6695.0230000000001</v>
      </c>
      <c r="AD1039" s="85">
        <v>134.92411469000001</v>
      </c>
      <c r="AE1039" s="85">
        <v>2165.02</v>
      </c>
      <c r="AF1039" s="85">
        <v>1.3220000000000001</v>
      </c>
      <c r="AG1039" s="85">
        <v>8996.2891146900001</v>
      </c>
      <c r="AH1039" s="85">
        <v>0</v>
      </c>
      <c r="AI1039" s="85">
        <v>0</v>
      </c>
      <c r="AJ1039" s="85">
        <v>0</v>
      </c>
      <c r="AK1039" s="85">
        <v>0</v>
      </c>
      <c r="AL1039" s="85">
        <v>0</v>
      </c>
      <c r="AM1039" s="85">
        <v>0</v>
      </c>
      <c r="AN1039" s="85">
        <v>8644.0970603700007</v>
      </c>
      <c r="AO1039" s="85">
        <v>0</v>
      </c>
      <c r="AP1039" s="85">
        <v>0</v>
      </c>
      <c r="AQ1039" s="85">
        <v>0</v>
      </c>
      <c r="AR1039" s="85">
        <v>8644.0970603700007</v>
      </c>
      <c r="AS1039" s="85">
        <v>0</v>
      </c>
      <c r="AT1039" s="85">
        <v>0</v>
      </c>
      <c r="AU1039" s="85">
        <v>0</v>
      </c>
      <c r="AV1039" s="85">
        <v>0</v>
      </c>
      <c r="AW1039" s="85">
        <v>0</v>
      </c>
      <c r="AX1039" s="85">
        <v>0</v>
      </c>
      <c r="AY1039" s="85">
        <v>352.19205432000001</v>
      </c>
      <c r="AZ1039" s="85">
        <v>0</v>
      </c>
      <c r="BA1039" s="85">
        <v>0</v>
      </c>
      <c r="BB1039" s="89">
        <v>0</v>
      </c>
      <c r="BC1039" s="89">
        <v>352.19205432000001</v>
      </c>
      <c r="BD1039" s="37">
        <v>2495127</v>
      </c>
      <c r="BE1039" s="37">
        <v>8666371</v>
      </c>
      <c r="BF1039" s="279">
        <v>290904</v>
      </c>
      <c r="BG1039" s="37">
        <v>754880.9</v>
      </c>
      <c r="BH1039" s="37">
        <v>566064</v>
      </c>
      <c r="BI1039" s="37">
        <v>53058</v>
      </c>
      <c r="BJ1039" s="283">
        <v>1664906.9</v>
      </c>
      <c r="BK1039" s="161"/>
      <c r="BL1039" s="294"/>
      <c r="BM1039"/>
      <c r="BN1039"/>
      <c r="BO1039"/>
      <c r="BP1039"/>
      <c r="BQ1039"/>
      <c r="BR1039"/>
      <c r="BS1039"/>
      <c r="BT1039"/>
      <c r="BU1039"/>
      <c r="BV1039"/>
      <c r="BW1039"/>
      <c r="BX1039"/>
      <c r="BY1039"/>
      <c r="BZ1039"/>
      <c r="CA1039"/>
      <c r="CB1039"/>
      <c r="CC1039"/>
      <c r="CD1039"/>
      <c r="CE1039"/>
      <c r="CF1039"/>
      <c r="CG1039"/>
      <c r="CH1039"/>
      <c r="CI1039"/>
      <c r="CJ1039"/>
    </row>
    <row r="1040" spans="1:88" s="32" customFormat="1" ht="15" customHeight="1" x14ac:dyDescent="0.35">
      <c r="A1040" s="473"/>
      <c r="B1040" s="313">
        <v>84010</v>
      </c>
      <c r="C1040" s="8" t="s">
        <v>853</v>
      </c>
      <c r="D1040" s="18">
        <v>7</v>
      </c>
      <c r="E1040" s="251"/>
      <c r="F1040" s="82"/>
      <c r="G1040" s="79"/>
      <c r="H1040" s="90"/>
      <c r="I1040" s="85"/>
      <c r="J1040" s="85"/>
      <c r="K1040" s="85"/>
      <c r="L1040" s="85"/>
      <c r="M1040" s="85"/>
      <c r="N1040" s="85"/>
      <c r="O1040" s="85"/>
      <c r="P1040" s="85"/>
      <c r="Q1040" s="85"/>
      <c r="R1040" s="85"/>
      <c r="S1040" s="89"/>
      <c r="T1040" s="89" t="s">
        <v>1124</v>
      </c>
      <c r="U1040" s="85"/>
      <c r="V1040" s="85"/>
      <c r="W1040" s="85"/>
      <c r="X1040" s="89" t="s">
        <v>1124</v>
      </c>
      <c r="Y1040" s="79"/>
      <c r="Z1040" s="79"/>
      <c r="AA1040" s="94"/>
      <c r="AB1040" s="79" t="s">
        <v>1124</v>
      </c>
      <c r="AC1040" s="85"/>
      <c r="AD1040" s="85"/>
      <c r="AE1040" s="85"/>
      <c r="AF1040" s="85"/>
      <c r="AG1040" s="85" t="s">
        <v>1124</v>
      </c>
      <c r="AH1040" s="85"/>
      <c r="AI1040" s="85"/>
      <c r="AJ1040" s="85"/>
      <c r="AK1040" s="85"/>
      <c r="AL1040" s="85"/>
      <c r="AM1040" s="85"/>
      <c r="AN1040" s="85"/>
      <c r="AO1040" s="85"/>
      <c r="AP1040" s="85"/>
      <c r="AQ1040" s="85"/>
      <c r="AR1040" s="85" t="s">
        <v>1124</v>
      </c>
      <c r="AS1040" s="85"/>
      <c r="AT1040" s="85"/>
      <c r="AU1040" s="85"/>
      <c r="AV1040" s="85"/>
      <c r="AW1040" s="85"/>
      <c r="AX1040" s="85"/>
      <c r="AY1040" s="85"/>
      <c r="AZ1040" s="85"/>
      <c r="BA1040" s="85"/>
      <c r="BB1040" s="89"/>
      <c r="BC1040" s="89" t="s">
        <v>1124</v>
      </c>
      <c r="BD1040" s="37"/>
      <c r="BE1040" s="37"/>
      <c r="BF1040" s="279"/>
      <c r="BG1040" s="37"/>
      <c r="BH1040" s="37"/>
      <c r="BI1040" s="37"/>
      <c r="BJ1040" s="283"/>
      <c r="BK1040" s="161"/>
      <c r="BL1040" s="294"/>
      <c r="BM1040"/>
      <c r="BN1040"/>
      <c r="BO1040"/>
      <c r="BP1040"/>
      <c r="BQ1040"/>
      <c r="BR1040"/>
      <c r="BS1040"/>
      <c r="BT1040"/>
      <c r="BU1040"/>
      <c r="BV1040"/>
      <c r="BW1040"/>
      <c r="BX1040"/>
      <c r="BY1040"/>
      <c r="BZ1040"/>
      <c r="CA1040"/>
      <c r="CB1040"/>
      <c r="CC1040"/>
      <c r="CD1040"/>
      <c r="CE1040"/>
      <c r="CF1040"/>
      <c r="CG1040"/>
      <c r="CH1040"/>
      <c r="CI1040"/>
      <c r="CJ1040"/>
    </row>
    <row r="1041" spans="1:88" s="32" customFormat="1" ht="15" customHeight="1" x14ac:dyDescent="0.35">
      <c r="A1041" s="473"/>
      <c r="B1041" s="313">
        <v>84095</v>
      </c>
      <c r="C1041" s="8" t="s">
        <v>868</v>
      </c>
      <c r="D1041" s="18">
        <v>7</v>
      </c>
      <c r="E1041" s="251"/>
      <c r="F1041" s="82"/>
      <c r="G1041" s="79"/>
      <c r="H1041" s="90"/>
      <c r="I1041" s="85"/>
      <c r="J1041" s="85"/>
      <c r="K1041" s="85"/>
      <c r="L1041" s="85"/>
      <c r="M1041" s="85"/>
      <c r="N1041" s="85"/>
      <c r="O1041" s="85"/>
      <c r="P1041" s="85"/>
      <c r="Q1041" s="85"/>
      <c r="R1041" s="85"/>
      <c r="S1041" s="89"/>
      <c r="T1041" s="89" t="s">
        <v>1124</v>
      </c>
      <c r="U1041" s="85"/>
      <c r="V1041" s="85"/>
      <c r="W1041" s="85"/>
      <c r="X1041" s="89" t="s">
        <v>1124</v>
      </c>
      <c r="Y1041" s="79"/>
      <c r="Z1041" s="79"/>
      <c r="AA1041" s="94"/>
      <c r="AB1041" s="79" t="s">
        <v>1124</v>
      </c>
      <c r="AC1041" s="85"/>
      <c r="AD1041" s="85"/>
      <c r="AE1041" s="85"/>
      <c r="AF1041" s="85"/>
      <c r="AG1041" s="85" t="s">
        <v>1124</v>
      </c>
      <c r="AH1041" s="85"/>
      <c r="AI1041" s="85"/>
      <c r="AJ1041" s="85"/>
      <c r="AK1041" s="85"/>
      <c r="AL1041" s="85"/>
      <c r="AM1041" s="85"/>
      <c r="AN1041" s="85"/>
      <c r="AO1041" s="85"/>
      <c r="AP1041" s="85"/>
      <c r="AQ1041" s="85"/>
      <c r="AR1041" s="85" t="s">
        <v>1124</v>
      </c>
      <c r="AS1041" s="85"/>
      <c r="AT1041" s="85"/>
      <c r="AU1041" s="85"/>
      <c r="AV1041" s="85"/>
      <c r="AW1041" s="85"/>
      <c r="AX1041" s="85"/>
      <c r="AY1041" s="85"/>
      <c r="AZ1041" s="85"/>
      <c r="BA1041" s="85"/>
      <c r="BB1041" s="89"/>
      <c r="BC1041" s="89" t="s">
        <v>1124</v>
      </c>
      <c r="BD1041" s="37"/>
      <c r="BE1041" s="37"/>
      <c r="BF1041" s="279"/>
      <c r="BG1041" s="37"/>
      <c r="BH1041" s="37"/>
      <c r="BI1041" s="37"/>
      <c r="BJ1041" s="283"/>
      <c r="BK1041" s="161"/>
      <c r="BL1041" s="294"/>
      <c r="BM1041"/>
      <c r="BN1041"/>
      <c r="BO1041"/>
      <c r="BP1041"/>
      <c r="BQ1041"/>
      <c r="BR1041"/>
      <c r="BS1041"/>
      <c r="BT1041"/>
      <c r="BU1041"/>
      <c r="BV1041"/>
      <c r="BW1041"/>
      <c r="BX1041"/>
      <c r="BY1041"/>
      <c r="BZ1041"/>
      <c r="CA1041"/>
      <c r="CB1041"/>
      <c r="CC1041"/>
      <c r="CD1041"/>
      <c r="CE1041"/>
      <c r="CF1041"/>
      <c r="CG1041"/>
      <c r="CH1041"/>
      <c r="CI1041"/>
      <c r="CJ1041"/>
    </row>
    <row r="1042" spans="1:88" s="32" customFormat="1" ht="15" customHeight="1" x14ac:dyDescent="0.35">
      <c r="A1042" s="473"/>
      <c r="B1042" s="313">
        <v>47035</v>
      </c>
      <c r="C1042" s="8" t="s">
        <v>452</v>
      </c>
      <c r="D1042" s="18">
        <v>5</v>
      </c>
      <c r="E1042" s="251"/>
      <c r="F1042" s="82"/>
      <c r="G1042" s="79"/>
      <c r="H1042" s="90"/>
      <c r="I1042" s="85"/>
      <c r="J1042" s="85"/>
      <c r="K1042" s="85"/>
      <c r="L1042" s="85"/>
      <c r="M1042" s="85"/>
      <c r="N1042" s="85"/>
      <c r="O1042" s="85"/>
      <c r="P1042" s="85"/>
      <c r="Q1042" s="85"/>
      <c r="R1042" s="85"/>
      <c r="S1042" s="89"/>
      <c r="T1042" s="89" t="s">
        <v>1124</v>
      </c>
      <c r="U1042" s="85"/>
      <c r="V1042" s="85"/>
      <c r="W1042" s="85"/>
      <c r="X1042" s="89" t="s">
        <v>1124</v>
      </c>
      <c r="Y1042" s="79"/>
      <c r="Z1042" s="79"/>
      <c r="AA1042" s="94"/>
      <c r="AB1042" s="79" t="s">
        <v>1124</v>
      </c>
      <c r="AC1042" s="85"/>
      <c r="AD1042" s="85"/>
      <c r="AE1042" s="85"/>
      <c r="AF1042" s="85"/>
      <c r="AG1042" s="85" t="s">
        <v>1124</v>
      </c>
      <c r="AH1042" s="85"/>
      <c r="AI1042" s="85"/>
      <c r="AJ1042" s="85"/>
      <c r="AK1042" s="85"/>
      <c r="AL1042" s="85"/>
      <c r="AM1042" s="85"/>
      <c r="AN1042" s="85"/>
      <c r="AO1042" s="85"/>
      <c r="AP1042" s="85"/>
      <c r="AQ1042" s="85"/>
      <c r="AR1042" s="85" t="s">
        <v>1124</v>
      </c>
      <c r="AS1042" s="85"/>
      <c r="AT1042" s="85"/>
      <c r="AU1042" s="85"/>
      <c r="AV1042" s="85"/>
      <c r="AW1042" s="85"/>
      <c r="AX1042" s="85"/>
      <c r="AY1042" s="85"/>
      <c r="AZ1042" s="85"/>
      <c r="BA1042" s="85"/>
      <c r="BB1042" s="89"/>
      <c r="BC1042" s="89" t="s">
        <v>1124</v>
      </c>
      <c r="BD1042" s="37"/>
      <c r="BE1042" s="37"/>
      <c r="BF1042" s="279"/>
      <c r="BG1042" s="37"/>
      <c r="BH1042" s="37"/>
      <c r="BI1042" s="37"/>
      <c r="BJ1042" s="283"/>
      <c r="BK1042" s="161"/>
      <c r="BL1042" s="294"/>
      <c r="BM1042"/>
      <c r="BN1042"/>
      <c r="BO1042"/>
      <c r="BP1042"/>
      <c r="BQ1042"/>
      <c r="BR1042"/>
      <c r="BS1042"/>
      <c r="BT1042"/>
      <c r="BU1042"/>
      <c r="BV1042"/>
      <c r="BW1042"/>
      <c r="BX1042"/>
      <c r="BY1042"/>
      <c r="BZ1042"/>
      <c r="CA1042"/>
      <c r="CB1042"/>
      <c r="CC1042"/>
      <c r="CD1042"/>
      <c r="CE1042"/>
      <c r="CF1042"/>
      <c r="CG1042"/>
      <c r="CH1042"/>
      <c r="CI1042"/>
      <c r="CJ1042"/>
    </row>
    <row r="1043" spans="1:88" s="32" customFormat="1" ht="15" customHeight="1" x14ac:dyDescent="0.35">
      <c r="A1043" s="473"/>
      <c r="B1043" s="313">
        <v>43027</v>
      </c>
      <c r="C1043" s="8" t="s">
        <v>397</v>
      </c>
      <c r="D1043" s="18">
        <v>5</v>
      </c>
      <c r="E1043" s="251">
        <v>77588</v>
      </c>
      <c r="F1043" s="82">
        <v>2.0304313245640868</v>
      </c>
      <c r="G1043" s="79">
        <v>157537.10561027838</v>
      </c>
      <c r="H1043" s="90">
        <v>1863.5229221999998</v>
      </c>
      <c r="I1043" s="85">
        <v>1755.5004894000001</v>
      </c>
      <c r="J1043" s="85">
        <v>1927.110948</v>
      </c>
      <c r="K1043" s="85">
        <v>1895.2565663999999</v>
      </c>
      <c r="L1043" s="85">
        <v>2047.8635670000001</v>
      </c>
      <c r="M1043" s="85">
        <v>1991.8363404000002</v>
      </c>
      <c r="N1043" s="85">
        <v>2031.8785439999999</v>
      </c>
      <c r="O1043" s="85">
        <v>2025.9624114000001</v>
      </c>
      <c r="P1043" s="85">
        <v>1888.1746584</v>
      </c>
      <c r="Q1043" s="85">
        <v>1784.544429</v>
      </c>
      <c r="R1043" s="85">
        <v>1850.7227286</v>
      </c>
      <c r="S1043" s="89">
        <v>1942.0357139999999</v>
      </c>
      <c r="T1043" s="89">
        <v>23004.409318800004</v>
      </c>
      <c r="U1043" s="85">
        <v>23004.409</v>
      </c>
      <c r="V1043" s="85">
        <v>0</v>
      </c>
      <c r="W1043" s="85">
        <v>0</v>
      </c>
      <c r="X1043" s="89">
        <v>23004.409</v>
      </c>
      <c r="Y1043" s="79">
        <v>1</v>
      </c>
      <c r="Z1043" s="79">
        <v>0</v>
      </c>
      <c r="AA1043" s="94">
        <v>0</v>
      </c>
      <c r="AB1043" s="79">
        <v>1</v>
      </c>
      <c r="AC1043" s="85">
        <v>12955.674999999999</v>
      </c>
      <c r="AD1043" s="85">
        <v>7407.2290000000003</v>
      </c>
      <c r="AE1043" s="85">
        <v>2641.5050000000001</v>
      </c>
      <c r="AF1043" s="85">
        <v>0</v>
      </c>
      <c r="AG1043" s="85">
        <v>23004.409</v>
      </c>
      <c r="AH1043" s="85">
        <v>0</v>
      </c>
      <c r="AI1043" s="85">
        <v>0</v>
      </c>
      <c r="AJ1043" s="85">
        <v>0</v>
      </c>
      <c r="AK1043" s="85">
        <v>23004.409</v>
      </c>
      <c r="AL1043" s="85">
        <v>0</v>
      </c>
      <c r="AM1043" s="85">
        <v>0</v>
      </c>
      <c r="AN1043" s="85">
        <v>0</v>
      </c>
      <c r="AO1043" s="85">
        <v>0</v>
      </c>
      <c r="AP1043" s="85">
        <v>0</v>
      </c>
      <c r="AQ1043" s="85">
        <v>0</v>
      </c>
      <c r="AR1043" s="85">
        <v>23004.409</v>
      </c>
      <c r="AS1043" s="85">
        <v>0</v>
      </c>
      <c r="AT1043" s="85">
        <v>0</v>
      </c>
      <c r="AU1043" s="85">
        <v>0</v>
      </c>
      <c r="AV1043" s="85">
        <v>0</v>
      </c>
      <c r="AW1043" s="85">
        <v>0</v>
      </c>
      <c r="AX1043" s="85">
        <v>0</v>
      </c>
      <c r="AY1043" s="85">
        <v>0</v>
      </c>
      <c r="AZ1043" s="85">
        <v>0</v>
      </c>
      <c r="BA1043" s="85">
        <v>0</v>
      </c>
      <c r="BB1043" s="89">
        <v>0</v>
      </c>
      <c r="BC1043" s="89">
        <v>0</v>
      </c>
      <c r="BD1043" s="37">
        <v>-258427</v>
      </c>
      <c r="BE1043" s="37">
        <v>59981</v>
      </c>
      <c r="BF1043" s="279">
        <v>585092</v>
      </c>
      <c r="BG1043" s="37">
        <v>861374</v>
      </c>
      <c r="BH1043" s="37">
        <v>1495000</v>
      </c>
      <c r="BI1043" s="37">
        <v>358698</v>
      </c>
      <c r="BJ1043" s="283">
        <v>3300164</v>
      </c>
      <c r="BK1043" s="161" t="s">
        <v>3529</v>
      </c>
      <c r="BL1043" s="294"/>
      <c r="BM1043"/>
      <c r="BN1043"/>
      <c r="BO1043"/>
      <c r="BP1043"/>
      <c r="BQ1043"/>
      <c r="BR1043"/>
      <c r="BS1043"/>
      <c r="BT1043"/>
      <c r="BU1043"/>
      <c r="BV1043"/>
      <c r="BW1043"/>
      <c r="BX1043"/>
      <c r="BY1043"/>
      <c r="BZ1043"/>
      <c r="CA1043"/>
      <c r="CB1043"/>
      <c r="CC1043"/>
      <c r="CD1043"/>
      <c r="CE1043"/>
      <c r="CF1043"/>
      <c r="CG1043"/>
      <c r="CH1043"/>
      <c r="CI1043"/>
      <c r="CJ1043"/>
    </row>
    <row r="1044" spans="1:88" s="32" customFormat="1" ht="15" customHeight="1" x14ac:dyDescent="0.35">
      <c r="A1044" s="473"/>
      <c r="B1044" s="313">
        <v>5010</v>
      </c>
      <c r="C1044" s="8" t="s">
        <v>1044</v>
      </c>
      <c r="D1044" s="18">
        <v>11</v>
      </c>
      <c r="E1044" s="251"/>
      <c r="F1044" s="82"/>
      <c r="G1044" s="79"/>
      <c r="H1044" s="90"/>
      <c r="I1044" s="85"/>
      <c r="J1044" s="85"/>
      <c r="K1044" s="85"/>
      <c r="L1044" s="85"/>
      <c r="M1044" s="85"/>
      <c r="N1044" s="85"/>
      <c r="O1044" s="85"/>
      <c r="P1044" s="85"/>
      <c r="Q1044" s="85"/>
      <c r="R1044" s="85"/>
      <c r="S1044" s="89"/>
      <c r="T1044" s="89" t="s">
        <v>1124</v>
      </c>
      <c r="U1044" s="85"/>
      <c r="V1044" s="85"/>
      <c r="W1044" s="85"/>
      <c r="X1044" s="89" t="s">
        <v>1124</v>
      </c>
      <c r="Y1044" s="79"/>
      <c r="Z1044" s="79"/>
      <c r="AA1044" s="94"/>
      <c r="AB1044" s="79" t="s">
        <v>1124</v>
      </c>
      <c r="AC1044" s="85"/>
      <c r="AD1044" s="85"/>
      <c r="AE1044" s="85"/>
      <c r="AF1044" s="85"/>
      <c r="AG1044" s="85" t="s">
        <v>1124</v>
      </c>
      <c r="AH1044" s="85"/>
      <c r="AI1044" s="85"/>
      <c r="AJ1044" s="85"/>
      <c r="AK1044" s="85"/>
      <c r="AL1044" s="85"/>
      <c r="AM1044" s="85"/>
      <c r="AN1044" s="85"/>
      <c r="AO1044" s="85"/>
      <c r="AP1044" s="85"/>
      <c r="AQ1044" s="85"/>
      <c r="AR1044" s="85" t="s">
        <v>1124</v>
      </c>
      <c r="AS1044" s="85"/>
      <c r="AT1044" s="85"/>
      <c r="AU1044" s="85"/>
      <c r="AV1044" s="85"/>
      <c r="AW1044" s="85"/>
      <c r="AX1044" s="85"/>
      <c r="AY1044" s="85"/>
      <c r="AZ1044" s="85"/>
      <c r="BA1044" s="85"/>
      <c r="BB1044" s="89"/>
      <c r="BC1044" s="89" t="s">
        <v>1124</v>
      </c>
      <c r="BD1044" s="37"/>
      <c r="BE1044" s="37"/>
      <c r="BF1044" s="279"/>
      <c r="BG1044" s="37"/>
      <c r="BH1044" s="37"/>
      <c r="BI1044" s="37"/>
      <c r="BJ1044" s="283"/>
      <c r="BK1044" s="161"/>
      <c r="BL1044" s="294"/>
      <c r="BM1044"/>
      <c r="BN1044"/>
      <c r="BO1044"/>
      <c r="BP1044"/>
      <c r="BQ1044"/>
      <c r="BR1044"/>
      <c r="BS1044"/>
      <c r="BT1044"/>
      <c r="BU1044"/>
      <c r="BV1044"/>
      <c r="BW1044"/>
      <c r="BX1044"/>
      <c r="BY1044"/>
      <c r="BZ1044"/>
      <c r="CA1044"/>
      <c r="CB1044"/>
      <c r="CC1044"/>
      <c r="CD1044"/>
      <c r="CE1044"/>
      <c r="CF1044"/>
      <c r="CG1044"/>
      <c r="CH1044"/>
      <c r="CI1044"/>
      <c r="CJ1044"/>
    </row>
    <row r="1045" spans="1:88" s="32" customFormat="1" ht="15" customHeight="1" x14ac:dyDescent="0.35">
      <c r="A1045" s="473"/>
      <c r="B1045" s="313">
        <v>53052</v>
      </c>
      <c r="C1045" s="8" t="s">
        <v>538</v>
      </c>
      <c r="D1045" s="18">
        <v>16</v>
      </c>
      <c r="E1045" s="251">
        <v>25000</v>
      </c>
      <c r="F1045" s="82">
        <v>2.0085945109723258</v>
      </c>
      <c r="G1045" s="79">
        <v>50214.862774308145</v>
      </c>
      <c r="H1045" s="90">
        <v>667.84199999999998</v>
      </c>
      <c r="I1045" s="85">
        <v>616.64300000000003</v>
      </c>
      <c r="J1045" s="85">
        <v>691.23399999999992</v>
      </c>
      <c r="K1045" s="85">
        <v>687.41700000000003</v>
      </c>
      <c r="L1045" s="85">
        <v>814.78</v>
      </c>
      <c r="M1045" s="85">
        <v>905.92200000000003</v>
      </c>
      <c r="N1045" s="85">
        <v>1044.33</v>
      </c>
      <c r="O1045" s="85">
        <v>1057.2249999999999</v>
      </c>
      <c r="P1045" s="85">
        <v>808.56200000000001</v>
      </c>
      <c r="Q1045" s="85">
        <v>737.94100000000003</v>
      </c>
      <c r="R1045" s="85">
        <v>643.82999999999993</v>
      </c>
      <c r="S1045" s="89">
        <v>658.07299999999998</v>
      </c>
      <c r="T1045" s="89">
        <v>9333.7989999999991</v>
      </c>
      <c r="U1045" s="85">
        <v>9333.7989999999991</v>
      </c>
      <c r="V1045" s="85">
        <v>0</v>
      </c>
      <c r="W1045" s="85">
        <v>0</v>
      </c>
      <c r="X1045" s="89">
        <v>9333.7989999999991</v>
      </c>
      <c r="Y1045" s="79">
        <v>2</v>
      </c>
      <c r="Z1045" s="79">
        <v>0</v>
      </c>
      <c r="AA1045" s="94">
        <v>0</v>
      </c>
      <c r="AB1045" s="79">
        <v>2</v>
      </c>
      <c r="AC1045" s="85">
        <v>3294.6390000000001</v>
      </c>
      <c r="AD1045" s="85">
        <v>909.11536964285551</v>
      </c>
      <c r="AE1045" s="85">
        <v>2943.7226303571424</v>
      </c>
      <c r="AF1045" s="85">
        <v>2186.3220000000001</v>
      </c>
      <c r="AG1045" s="85">
        <v>9333.7989999999991</v>
      </c>
      <c r="AH1045" s="85">
        <v>0</v>
      </c>
      <c r="AI1045" s="85">
        <v>0</v>
      </c>
      <c r="AJ1045" s="85">
        <v>0</v>
      </c>
      <c r="AK1045" s="85">
        <v>0</v>
      </c>
      <c r="AL1045" s="85">
        <v>0</v>
      </c>
      <c r="AM1045" s="85">
        <v>9333.7989999999991</v>
      </c>
      <c r="AN1045" s="85">
        <v>0</v>
      </c>
      <c r="AO1045" s="85">
        <v>0</v>
      </c>
      <c r="AP1045" s="85">
        <v>0</v>
      </c>
      <c r="AQ1045" s="85">
        <v>0</v>
      </c>
      <c r="AR1045" s="85">
        <v>9333.7989999999991</v>
      </c>
      <c r="AS1045" s="85">
        <v>0</v>
      </c>
      <c r="AT1045" s="85">
        <v>0</v>
      </c>
      <c r="AU1045" s="85">
        <v>0</v>
      </c>
      <c r="AV1045" s="85">
        <v>0</v>
      </c>
      <c r="AW1045" s="85">
        <v>0</v>
      </c>
      <c r="AX1045" s="85">
        <v>0</v>
      </c>
      <c r="AY1045" s="85">
        <v>0</v>
      </c>
      <c r="AZ1045" s="85">
        <v>0</v>
      </c>
      <c r="BA1045" s="85">
        <v>0</v>
      </c>
      <c r="BB1045" s="89">
        <v>0</v>
      </c>
      <c r="BC1045" s="89">
        <v>0</v>
      </c>
      <c r="BD1045" s="37">
        <v>53943</v>
      </c>
      <c r="BE1045" s="37">
        <v>105398</v>
      </c>
      <c r="BF1045" s="279">
        <v>122150</v>
      </c>
      <c r="BG1045" s="37">
        <v>811345</v>
      </c>
      <c r="BH1045" s="37">
        <v>176322</v>
      </c>
      <c r="BI1045" s="37">
        <v>58309</v>
      </c>
      <c r="BJ1045" s="283">
        <v>1168126</v>
      </c>
      <c r="BK1045" s="161" t="s">
        <v>3536</v>
      </c>
      <c r="BL1045" s="294"/>
      <c r="BM1045"/>
      <c r="BN1045"/>
      <c r="BO1045"/>
      <c r="BP1045"/>
      <c r="BQ1045"/>
      <c r="BR1045"/>
      <c r="BS1045"/>
      <c r="BT1045"/>
      <c r="BU1045"/>
      <c r="BV1045"/>
      <c r="BW1045"/>
      <c r="BX1045"/>
      <c r="BY1045"/>
      <c r="BZ1045"/>
      <c r="CA1045"/>
      <c r="CB1045"/>
      <c r="CC1045"/>
      <c r="CD1045"/>
      <c r="CE1045"/>
      <c r="CF1045"/>
      <c r="CG1045"/>
      <c r="CH1045"/>
      <c r="CI1045"/>
      <c r="CJ1045"/>
    </row>
    <row r="1046" spans="1:88" s="32" customFormat="1" ht="15" customHeight="1" x14ac:dyDescent="0.35">
      <c r="A1046" s="473"/>
      <c r="B1046" s="313">
        <v>46045</v>
      </c>
      <c r="C1046" s="10" t="s">
        <v>434</v>
      </c>
      <c r="D1046" s="18">
        <v>5</v>
      </c>
      <c r="E1046" s="251"/>
      <c r="F1046" s="82"/>
      <c r="G1046" s="79"/>
      <c r="H1046" s="90"/>
      <c r="I1046" s="85"/>
      <c r="J1046" s="85"/>
      <c r="K1046" s="85"/>
      <c r="L1046" s="85"/>
      <c r="M1046" s="85"/>
      <c r="N1046" s="85"/>
      <c r="O1046" s="85"/>
      <c r="P1046" s="85"/>
      <c r="Q1046" s="85"/>
      <c r="R1046" s="85"/>
      <c r="S1046" s="89"/>
      <c r="T1046" s="89" t="s">
        <v>1124</v>
      </c>
      <c r="U1046" s="85"/>
      <c r="V1046" s="85"/>
      <c r="W1046" s="85"/>
      <c r="X1046" s="89" t="s">
        <v>1124</v>
      </c>
      <c r="Y1046" s="79"/>
      <c r="Z1046" s="79"/>
      <c r="AA1046" s="94"/>
      <c r="AB1046" s="79" t="s">
        <v>1124</v>
      </c>
      <c r="AC1046" s="85"/>
      <c r="AD1046" s="85"/>
      <c r="AE1046" s="85"/>
      <c r="AF1046" s="85"/>
      <c r="AG1046" s="85" t="s">
        <v>1124</v>
      </c>
      <c r="AH1046" s="85"/>
      <c r="AI1046" s="85"/>
      <c r="AJ1046" s="85"/>
      <c r="AK1046" s="85"/>
      <c r="AL1046" s="85"/>
      <c r="AM1046" s="85"/>
      <c r="AN1046" s="85"/>
      <c r="AO1046" s="85"/>
      <c r="AP1046" s="85"/>
      <c r="AQ1046" s="85"/>
      <c r="AR1046" s="85" t="s">
        <v>1124</v>
      </c>
      <c r="AS1046" s="85"/>
      <c r="AT1046" s="85"/>
      <c r="AU1046" s="85"/>
      <c r="AV1046" s="85"/>
      <c r="AW1046" s="85"/>
      <c r="AX1046" s="85"/>
      <c r="AY1046" s="85"/>
      <c r="AZ1046" s="85"/>
      <c r="BA1046" s="85"/>
      <c r="BB1046" s="89"/>
      <c r="BC1046" s="89" t="s">
        <v>1124</v>
      </c>
      <c r="BD1046" s="37"/>
      <c r="BE1046" s="37"/>
      <c r="BF1046" s="279"/>
      <c r="BG1046" s="37"/>
      <c r="BH1046" s="37"/>
      <c r="BI1046" s="37"/>
      <c r="BJ1046" s="283"/>
      <c r="BK1046" s="161"/>
      <c r="BL1046" s="294"/>
      <c r="BM1046"/>
      <c r="BN1046"/>
      <c r="BO1046"/>
      <c r="BP1046"/>
      <c r="BQ1046"/>
      <c r="BR1046"/>
      <c r="BS1046"/>
      <c r="BT1046"/>
      <c r="BU1046"/>
      <c r="BV1046"/>
      <c r="BW1046"/>
      <c r="BX1046"/>
      <c r="BY1046"/>
      <c r="BZ1046"/>
      <c r="CA1046"/>
      <c r="CB1046"/>
      <c r="CC1046"/>
      <c r="CD1046"/>
      <c r="CE1046"/>
      <c r="CF1046"/>
      <c r="CG1046"/>
      <c r="CH1046"/>
      <c r="CI1046"/>
      <c r="CJ1046"/>
    </row>
    <row r="1047" spans="1:88" s="32" customFormat="1" ht="15" customHeight="1" x14ac:dyDescent="0.35">
      <c r="A1047" s="473"/>
      <c r="B1047" s="313">
        <v>46030</v>
      </c>
      <c r="C1047" s="8" t="s">
        <v>431</v>
      </c>
      <c r="D1047" s="18">
        <v>5</v>
      </c>
      <c r="E1047" s="251"/>
      <c r="F1047" s="82"/>
      <c r="G1047" s="79"/>
      <c r="H1047" s="90"/>
      <c r="I1047" s="85"/>
      <c r="J1047" s="85"/>
      <c r="K1047" s="85"/>
      <c r="L1047" s="85"/>
      <c r="M1047" s="85"/>
      <c r="N1047" s="85"/>
      <c r="O1047" s="85"/>
      <c r="P1047" s="85"/>
      <c r="Q1047" s="85"/>
      <c r="R1047" s="85"/>
      <c r="S1047" s="89"/>
      <c r="T1047" s="89" t="s">
        <v>1124</v>
      </c>
      <c r="U1047" s="85"/>
      <c r="V1047" s="85"/>
      <c r="W1047" s="85"/>
      <c r="X1047" s="89" t="s">
        <v>1124</v>
      </c>
      <c r="Y1047" s="79"/>
      <c r="Z1047" s="79"/>
      <c r="AA1047" s="94"/>
      <c r="AB1047" s="79" t="s">
        <v>1124</v>
      </c>
      <c r="AC1047" s="85"/>
      <c r="AD1047" s="85"/>
      <c r="AE1047" s="85"/>
      <c r="AF1047" s="85"/>
      <c r="AG1047" s="85" t="s">
        <v>1124</v>
      </c>
      <c r="AH1047" s="85"/>
      <c r="AI1047" s="85"/>
      <c r="AJ1047" s="85"/>
      <c r="AK1047" s="85"/>
      <c r="AL1047" s="85"/>
      <c r="AM1047" s="85"/>
      <c r="AN1047" s="85"/>
      <c r="AO1047" s="85"/>
      <c r="AP1047" s="85"/>
      <c r="AQ1047" s="85"/>
      <c r="AR1047" s="85" t="s">
        <v>1124</v>
      </c>
      <c r="AS1047" s="85"/>
      <c r="AT1047" s="85"/>
      <c r="AU1047" s="85"/>
      <c r="AV1047" s="85"/>
      <c r="AW1047" s="85"/>
      <c r="AX1047" s="85"/>
      <c r="AY1047" s="85"/>
      <c r="AZ1047" s="85"/>
      <c r="BA1047" s="85"/>
      <c r="BB1047" s="89"/>
      <c r="BC1047" s="89" t="s">
        <v>1124</v>
      </c>
      <c r="BD1047" s="37"/>
      <c r="BE1047" s="37"/>
      <c r="BF1047" s="279"/>
      <c r="BG1047" s="37"/>
      <c r="BH1047" s="37"/>
      <c r="BI1047" s="37"/>
      <c r="BJ1047" s="283"/>
      <c r="BK1047" s="161"/>
      <c r="BL1047" s="294"/>
      <c r="BM1047"/>
      <c r="BN1047"/>
      <c r="BO1047"/>
      <c r="BP1047"/>
      <c r="BQ1047"/>
      <c r="BR1047"/>
      <c r="BS1047"/>
      <c r="BT1047"/>
      <c r="BU1047"/>
      <c r="BV1047"/>
      <c r="BW1047"/>
      <c r="BX1047"/>
      <c r="BY1047"/>
      <c r="BZ1047"/>
      <c r="CA1047"/>
      <c r="CB1047"/>
      <c r="CC1047"/>
      <c r="CD1047"/>
      <c r="CE1047"/>
      <c r="CF1047"/>
      <c r="CG1047"/>
      <c r="CH1047"/>
      <c r="CI1047"/>
      <c r="CJ1047"/>
    </row>
    <row r="1048" spans="1:88" s="32" customFormat="1" ht="15" customHeight="1" x14ac:dyDescent="0.35">
      <c r="A1048" s="473"/>
      <c r="B1048" s="313">
        <v>45025</v>
      </c>
      <c r="C1048" s="8" t="s">
        <v>412</v>
      </c>
      <c r="D1048" s="18">
        <v>5</v>
      </c>
      <c r="E1048" s="251"/>
      <c r="F1048" s="82"/>
      <c r="G1048" s="79"/>
      <c r="H1048" s="90"/>
      <c r="I1048" s="85"/>
      <c r="J1048" s="85"/>
      <c r="K1048" s="85"/>
      <c r="L1048" s="85"/>
      <c r="M1048" s="85"/>
      <c r="N1048" s="85"/>
      <c r="O1048" s="85"/>
      <c r="P1048" s="85"/>
      <c r="Q1048" s="85"/>
      <c r="R1048" s="85"/>
      <c r="S1048" s="89"/>
      <c r="T1048" s="89" t="s">
        <v>1124</v>
      </c>
      <c r="U1048" s="85"/>
      <c r="V1048" s="85"/>
      <c r="W1048" s="85"/>
      <c r="X1048" s="89" t="s">
        <v>1124</v>
      </c>
      <c r="Y1048" s="79"/>
      <c r="Z1048" s="79"/>
      <c r="AA1048" s="94"/>
      <c r="AB1048" s="79" t="s">
        <v>1124</v>
      </c>
      <c r="AC1048" s="85"/>
      <c r="AD1048" s="85"/>
      <c r="AE1048" s="85"/>
      <c r="AF1048" s="85"/>
      <c r="AG1048" s="85" t="s">
        <v>1124</v>
      </c>
      <c r="AH1048" s="85"/>
      <c r="AI1048" s="85"/>
      <c r="AJ1048" s="85"/>
      <c r="AK1048" s="85"/>
      <c r="AL1048" s="85"/>
      <c r="AM1048" s="85"/>
      <c r="AN1048" s="85"/>
      <c r="AO1048" s="85"/>
      <c r="AP1048" s="85"/>
      <c r="AQ1048" s="85"/>
      <c r="AR1048" s="85" t="s">
        <v>1124</v>
      </c>
      <c r="AS1048" s="85"/>
      <c r="AT1048" s="85"/>
      <c r="AU1048" s="85"/>
      <c r="AV1048" s="85"/>
      <c r="AW1048" s="85"/>
      <c r="AX1048" s="85"/>
      <c r="AY1048" s="85"/>
      <c r="AZ1048" s="85"/>
      <c r="BA1048" s="85"/>
      <c r="BB1048" s="89"/>
      <c r="BC1048" s="89" t="s">
        <v>1124</v>
      </c>
      <c r="BD1048" s="37"/>
      <c r="BE1048" s="37"/>
      <c r="BF1048" s="279"/>
      <c r="BG1048" s="37"/>
      <c r="BH1048" s="37"/>
      <c r="BI1048" s="37"/>
      <c r="BJ1048" s="283"/>
      <c r="BK1048" s="161"/>
      <c r="BL1048" s="294"/>
      <c r="BM1048"/>
      <c r="BN1048"/>
      <c r="BO1048"/>
      <c r="BP1048"/>
      <c r="BQ1048"/>
      <c r="BR1048"/>
      <c r="BS1048"/>
      <c r="BT1048"/>
      <c r="BU1048"/>
      <c r="BV1048"/>
      <c r="BW1048"/>
      <c r="BX1048"/>
      <c r="BY1048"/>
      <c r="BZ1048"/>
      <c r="CA1048"/>
      <c r="CB1048"/>
      <c r="CC1048"/>
      <c r="CD1048"/>
      <c r="CE1048"/>
      <c r="CF1048"/>
      <c r="CG1048"/>
      <c r="CH1048"/>
      <c r="CI1048"/>
      <c r="CJ1048"/>
    </row>
    <row r="1049" spans="1:88" s="32" customFormat="1" ht="15" customHeight="1" x14ac:dyDescent="0.35">
      <c r="A1049" s="473"/>
      <c r="B1049" s="313">
        <v>45008</v>
      </c>
      <c r="C1049" s="8" t="s">
        <v>410</v>
      </c>
      <c r="D1049" s="18">
        <v>5</v>
      </c>
      <c r="E1049" s="251">
        <v>1330</v>
      </c>
      <c r="F1049" s="82">
        <v>2.02</v>
      </c>
      <c r="G1049" s="79">
        <v>2686.6</v>
      </c>
      <c r="H1049" s="90">
        <v>78.792000000000002</v>
      </c>
      <c r="I1049" s="85">
        <v>74.707999999999998</v>
      </c>
      <c r="J1049" s="85">
        <v>80.361000000000004</v>
      </c>
      <c r="K1049" s="85">
        <v>76.581000000000003</v>
      </c>
      <c r="L1049" s="85">
        <v>74.64</v>
      </c>
      <c r="M1049" s="85">
        <v>63.209000000000003</v>
      </c>
      <c r="N1049" s="85">
        <v>75.927999999999997</v>
      </c>
      <c r="O1049" s="85">
        <v>63.127000000000002</v>
      </c>
      <c r="P1049" s="85">
        <v>62.862000000000002</v>
      </c>
      <c r="Q1049" s="85">
        <v>57.65</v>
      </c>
      <c r="R1049" s="85">
        <v>55.606999999999999</v>
      </c>
      <c r="S1049" s="89">
        <v>53.116999999999997</v>
      </c>
      <c r="T1049" s="89">
        <v>816.58199999999988</v>
      </c>
      <c r="U1049" s="85">
        <v>0</v>
      </c>
      <c r="V1049" s="85">
        <v>816.58199999999999</v>
      </c>
      <c r="W1049" s="85">
        <v>0</v>
      </c>
      <c r="X1049" s="89">
        <v>816.58199999999999</v>
      </c>
      <c r="Y1049" s="79">
        <v>0</v>
      </c>
      <c r="Z1049" s="79">
        <v>3</v>
      </c>
      <c r="AA1049" s="94">
        <v>0</v>
      </c>
      <c r="AB1049" s="79">
        <v>3</v>
      </c>
      <c r="AC1049" s="85">
        <v>294.1007104700895</v>
      </c>
      <c r="AD1049" s="85">
        <v>186.51450808855404</v>
      </c>
      <c r="AE1049" s="85">
        <v>83.260999999999996</v>
      </c>
      <c r="AF1049" s="85">
        <v>252.70578144135655</v>
      </c>
      <c r="AG1049" s="85">
        <v>816.58199999999999</v>
      </c>
      <c r="AH1049" s="85">
        <v>0</v>
      </c>
      <c r="AI1049" s="85">
        <v>0</v>
      </c>
      <c r="AJ1049" s="85">
        <v>0</v>
      </c>
      <c r="AK1049" s="85">
        <v>0</v>
      </c>
      <c r="AL1049" s="85">
        <v>0</v>
      </c>
      <c r="AM1049" s="85">
        <v>0</v>
      </c>
      <c r="AN1049" s="85">
        <v>0</v>
      </c>
      <c r="AO1049" s="85">
        <v>0</v>
      </c>
      <c r="AP1049" s="85">
        <v>0</v>
      </c>
      <c r="AQ1049" s="85">
        <v>0</v>
      </c>
      <c r="AR1049" s="85">
        <v>0</v>
      </c>
      <c r="AS1049" s="85">
        <v>0</v>
      </c>
      <c r="AT1049" s="85">
        <v>0</v>
      </c>
      <c r="AU1049" s="85">
        <v>0</v>
      </c>
      <c r="AV1049" s="85">
        <v>0</v>
      </c>
      <c r="AW1049" s="85">
        <v>0</v>
      </c>
      <c r="AX1049" s="85">
        <v>0</v>
      </c>
      <c r="AY1049" s="85">
        <v>0</v>
      </c>
      <c r="AZ1049" s="85">
        <v>816.58199999999999</v>
      </c>
      <c r="BA1049" s="85">
        <v>0</v>
      </c>
      <c r="BB1049" s="89">
        <v>0</v>
      </c>
      <c r="BC1049" s="89">
        <v>816.58199999999999</v>
      </c>
      <c r="BD1049" s="37">
        <v>0</v>
      </c>
      <c r="BE1049" s="37">
        <v>0</v>
      </c>
      <c r="BF1049" s="279">
        <v>110097</v>
      </c>
      <c r="BG1049" s="37">
        <v>60249</v>
      </c>
      <c r="BH1049" s="37">
        <v>62569</v>
      </c>
      <c r="BI1049" s="37">
        <v>0</v>
      </c>
      <c r="BJ1049" s="283">
        <v>232915</v>
      </c>
      <c r="BK1049" s="161"/>
      <c r="BL1049" s="294"/>
      <c r="BM1049"/>
      <c r="BN1049"/>
      <c r="BO1049"/>
      <c r="BP1049"/>
      <c r="BQ1049"/>
      <c r="BR1049"/>
      <c r="BS1049"/>
      <c r="BT1049"/>
      <c r="BU1049"/>
      <c r="BV1049"/>
      <c r="BW1049"/>
      <c r="BX1049"/>
      <c r="BY1049"/>
      <c r="BZ1049"/>
      <c r="CA1049"/>
      <c r="CB1049"/>
      <c r="CC1049"/>
      <c r="CD1049"/>
      <c r="CE1049"/>
      <c r="CF1049"/>
      <c r="CG1049"/>
      <c r="CH1049"/>
      <c r="CI1049"/>
      <c r="CJ1049"/>
    </row>
    <row r="1050" spans="1:88" s="32" customFormat="1" ht="15" customHeight="1" x14ac:dyDescent="0.35">
      <c r="A1050" s="473"/>
      <c r="B1050" s="313">
        <v>44050</v>
      </c>
      <c r="C1050" s="8" t="s">
        <v>405</v>
      </c>
      <c r="D1050" s="18">
        <v>5</v>
      </c>
      <c r="E1050" s="251"/>
      <c r="F1050" s="82"/>
      <c r="G1050" s="79"/>
      <c r="H1050" s="90"/>
      <c r="I1050" s="85"/>
      <c r="J1050" s="85"/>
      <c r="K1050" s="85"/>
      <c r="L1050" s="85"/>
      <c r="M1050" s="85"/>
      <c r="N1050" s="85"/>
      <c r="O1050" s="85"/>
      <c r="P1050" s="85"/>
      <c r="Q1050" s="85"/>
      <c r="R1050" s="85"/>
      <c r="S1050" s="89"/>
      <c r="T1050" s="89" t="s">
        <v>1124</v>
      </c>
      <c r="U1050" s="85"/>
      <c r="V1050" s="85"/>
      <c r="W1050" s="85"/>
      <c r="X1050" s="89" t="s">
        <v>1124</v>
      </c>
      <c r="Y1050" s="79"/>
      <c r="Z1050" s="79"/>
      <c r="AA1050" s="94"/>
      <c r="AB1050" s="79" t="s">
        <v>1124</v>
      </c>
      <c r="AC1050" s="85"/>
      <c r="AD1050" s="85"/>
      <c r="AE1050" s="85"/>
      <c r="AF1050" s="85"/>
      <c r="AG1050" s="85" t="s">
        <v>1124</v>
      </c>
      <c r="AH1050" s="85"/>
      <c r="AI1050" s="85"/>
      <c r="AJ1050" s="85"/>
      <c r="AK1050" s="85"/>
      <c r="AL1050" s="85"/>
      <c r="AM1050" s="85"/>
      <c r="AN1050" s="85"/>
      <c r="AO1050" s="85"/>
      <c r="AP1050" s="85"/>
      <c r="AQ1050" s="85"/>
      <c r="AR1050" s="85" t="s">
        <v>1124</v>
      </c>
      <c r="AS1050" s="85"/>
      <c r="AT1050" s="85"/>
      <c r="AU1050" s="85"/>
      <c r="AV1050" s="85"/>
      <c r="AW1050" s="85"/>
      <c r="AX1050" s="85"/>
      <c r="AY1050" s="85"/>
      <c r="AZ1050" s="85"/>
      <c r="BA1050" s="85"/>
      <c r="BB1050" s="89"/>
      <c r="BC1050" s="89" t="s">
        <v>1124</v>
      </c>
      <c r="BD1050" s="37"/>
      <c r="BE1050" s="37"/>
      <c r="BF1050" s="279"/>
      <c r="BG1050" s="37"/>
      <c r="BH1050" s="37"/>
      <c r="BI1050" s="37"/>
      <c r="BJ1050" s="283"/>
      <c r="BK1050" s="161"/>
      <c r="BL1050" s="294"/>
      <c r="BM1050"/>
      <c r="BN1050"/>
      <c r="BO1050"/>
      <c r="BP1050"/>
      <c r="BQ1050"/>
      <c r="BR1050"/>
      <c r="BS1050"/>
      <c r="BT1050"/>
      <c r="BU1050"/>
      <c r="BV1050"/>
      <c r="BW1050"/>
      <c r="BX1050"/>
      <c r="BY1050"/>
      <c r="BZ1050"/>
      <c r="CA1050"/>
      <c r="CB1050"/>
      <c r="CC1050"/>
      <c r="CD1050"/>
      <c r="CE1050"/>
      <c r="CF1050"/>
      <c r="CG1050"/>
      <c r="CH1050"/>
      <c r="CI1050"/>
      <c r="CJ1050"/>
    </row>
    <row r="1051" spans="1:88" s="32" customFormat="1" ht="15" customHeight="1" x14ac:dyDescent="0.35">
      <c r="A1051" s="473"/>
      <c r="B1051" s="313">
        <v>42005</v>
      </c>
      <c r="C1051" s="8" t="s">
        <v>379</v>
      </c>
      <c r="D1051" s="18">
        <v>5</v>
      </c>
      <c r="E1051" s="251"/>
      <c r="F1051" s="82"/>
      <c r="G1051" s="79"/>
      <c r="H1051" s="90"/>
      <c r="I1051" s="85"/>
      <c r="J1051" s="85"/>
      <c r="K1051" s="85"/>
      <c r="L1051" s="85"/>
      <c r="M1051" s="85"/>
      <c r="N1051" s="85"/>
      <c r="O1051" s="85"/>
      <c r="P1051" s="85"/>
      <c r="Q1051" s="85"/>
      <c r="R1051" s="85"/>
      <c r="S1051" s="89"/>
      <c r="T1051" s="89" t="s">
        <v>1124</v>
      </c>
      <c r="U1051" s="85"/>
      <c r="V1051" s="85"/>
      <c r="W1051" s="85"/>
      <c r="X1051" s="89" t="s">
        <v>1124</v>
      </c>
      <c r="Y1051" s="79"/>
      <c r="Z1051" s="79"/>
      <c r="AA1051" s="94"/>
      <c r="AB1051" s="79" t="s">
        <v>1124</v>
      </c>
      <c r="AC1051" s="85"/>
      <c r="AD1051" s="85"/>
      <c r="AE1051" s="85"/>
      <c r="AF1051" s="85"/>
      <c r="AG1051" s="85" t="s">
        <v>1124</v>
      </c>
      <c r="AH1051" s="85"/>
      <c r="AI1051" s="85"/>
      <c r="AJ1051" s="85"/>
      <c r="AK1051" s="85"/>
      <c r="AL1051" s="85"/>
      <c r="AM1051" s="85"/>
      <c r="AN1051" s="85"/>
      <c r="AO1051" s="85"/>
      <c r="AP1051" s="85"/>
      <c r="AQ1051" s="85"/>
      <c r="AR1051" s="85" t="s">
        <v>1124</v>
      </c>
      <c r="AS1051" s="85"/>
      <c r="AT1051" s="85"/>
      <c r="AU1051" s="85"/>
      <c r="AV1051" s="85"/>
      <c r="AW1051" s="85"/>
      <c r="AX1051" s="85"/>
      <c r="AY1051" s="85"/>
      <c r="AZ1051" s="85"/>
      <c r="BA1051" s="85"/>
      <c r="BB1051" s="89"/>
      <c r="BC1051" s="89" t="s">
        <v>1124</v>
      </c>
      <c r="BD1051" s="37"/>
      <c r="BE1051" s="37"/>
      <c r="BF1051" s="279"/>
      <c r="BG1051" s="37"/>
      <c r="BH1051" s="37"/>
      <c r="BI1051" s="37"/>
      <c r="BJ1051" s="283"/>
      <c r="BK1051" s="161"/>
      <c r="BL1051" s="294"/>
      <c r="BM1051"/>
      <c r="BN1051"/>
      <c r="BO1051"/>
      <c r="BP1051"/>
      <c r="BQ1051"/>
      <c r="BR1051"/>
      <c r="BS1051"/>
      <c r="BT1051"/>
      <c r="BU1051"/>
      <c r="BV1051"/>
      <c r="BW1051"/>
      <c r="BX1051"/>
      <c r="BY1051"/>
      <c r="BZ1051"/>
      <c r="CA1051"/>
      <c r="CB1051"/>
      <c r="CC1051"/>
      <c r="CD1051"/>
      <c r="CE1051"/>
      <c r="CF1051"/>
      <c r="CG1051"/>
      <c r="CH1051"/>
      <c r="CI1051"/>
      <c r="CJ1051"/>
    </row>
    <row r="1052" spans="1:88" s="32" customFormat="1" ht="15" customHeight="1" x14ac:dyDescent="0.35">
      <c r="A1052" s="473"/>
      <c r="B1052" s="313">
        <v>22035</v>
      </c>
      <c r="C1052" s="8" t="s">
        <v>159</v>
      </c>
      <c r="D1052" s="18">
        <v>3</v>
      </c>
      <c r="E1052" s="251">
        <v>1063</v>
      </c>
      <c r="F1052" s="82">
        <v>2.1769868356899074</v>
      </c>
      <c r="G1052" s="79">
        <v>2314.1370063383715</v>
      </c>
      <c r="H1052" s="90">
        <v>20.384</v>
      </c>
      <c r="I1052" s="85">
        <v>18.533999999999999</v>
      </c>
      <c r="J1052" s="85">
        <v>20.814</v>
      </c>
      <c r="K1052" s="85">
        <v>15.792999999999999</v>
      </c>
      <c r="L1052" s="85">
        <v>15.231999999999999</v>
      </c>
      <c r="M1052" s="85">
        <v>17.419</v>
      </c>
      <c r="N1052" s="85">
        <v>20.646000000000001</v>
      </c>
      <c r="O1052" s="85">
        <v>18.48</v>
      </c>
      <c r="P1052" s="85">
        <v>13.962</v>
      </c>
      <c r="Q1052" s="85">
        <v>14.704000000000001</v>
      </c>
      <c r="R1052" s="85">
        <v>14.378</v>
      </c>
      <c r="S1052" s="89">
        <v>17.587</v>
      </c>
      <c r="T1052" s="89">
        <v>207.93299999999999</v>
      </c>
      <c r="U1052" s="85">
        <v>0</v>
      </c>
      <c r="V1052" s="85">
        <v>207.93299999999999</v>
      </c>
      <c r="W1052" s="85">
        <v>0</v>
      </c>
      <c r="X1052" s="89">
        <v>207.93299999999999</v>
      </c>
      <c r="Y1052" s="79">
        <v>0</v>
      </c>
      <c r="Z1052" s="79">
        <v>4</v>
      </c>
      <c r="AA1052" s="94">
        <v>0</v>
      </c>
      <c r="AB1052" s="79">
        <v>4</v>
      </c>
      <c r="AC1052" s="85">
        <v>139.32900000000001</v>
      </c>
      <c r="AD1052" s="85">
        <v>18.713999999999999</v>
      </c>
      <c r="AE1052" s="85">
        <v>49.89</v>
      </c>
      <c r="AF1052" s="85">
        <v>0</v>
      </c>
      <c r="AG1052" s="85">
        <v>207.93299999999999</v>
      </c>
      <c r="AH1052" s="85">
        <v>0</v>
      </c>
      <c r="AI1052" s="85">
        <v>0</v>
      </c>
      <c r="AJ1052" s="85">
        <v>0</v>
      </c>
      <c r="AK1052" s="85">
        <v>0</v>
      </c>
      <c r="AL1052" s="85">
        <v>0</v>
      </c>
      <c r="AM1052" s="85">
        <v>0</v>
      </c>
      <c r="AN1052" s="85">
        <v>0</v>
      </c>
      <c r="AO1052" s="85">
        <v>0</v>
      </c>
      <c r="AP1052" s="85">
        <v>0</v>
      </c>
      <c r="AQ1052" s="85">
        <v>0</v>
      </c>
      <c r="AR1052" s="85">
        <v>0</v>
      </c>
      <c r="AS1052" s="85">
        <v>0</v>
      </c>
      <c r="AT1052" s="85">
        <v>0</v>
      </c>
      <c r="AU1052" s="85">
        <v>0</v>
      </c>
      <c r="AV1052" s="85">
        <v>0</v>
      </c>
      <c r="AW1052" s="85">
        <v>0</v>
      </c>
      <c r="AX1052" s="85">
        <v>0</v>
      </c>
      <c r="AY1052" s="85">
        <v>145.29599999999999</v>
      </c>
      <c r="AZ1052" s="85">
        <v>0</v>
      </c>
      <c r="BA1052" s="85">
        <v>62.637</v>
      </c>
      <c r="BB1052" s="89">
        <v>0</v>
      </c>
      <c r="BC1052" s="89">
        <v>207.93299999999999</v>
      </c>
      <c r="BD1052" s="37">
        <v>0</v>
      </c>
      <c r="BE1052" s="37">
        <v>0</v>
      </c>
      <c r="BF1052" s="279">
        <v>46624</v>
      </c>
      <c r="BG1052" s="37">
        <v>131898</v>
      </c>
      <c r="BH1052" s="37">
        <v>46557</v>
      </c>
      <c r="BI1052" s="37">
        <v>29196</v>
      </c>
      <c r="BJ1052" s="283">
        <v>254275</v>
      </c>
      <c r="BK1052" s="161"/>
      <c r="BL1052" s="294"/>
      <c r="BM1052"/>
      <c r="BN1052" t="s">
        <v>4636</v>
      </c>
      <c r="BO1052"/>
      <c r="BP1052"/>
      <c r="BQ1052"/>
      <c r="BR1052"/>
      <c r="BS1052"/>
      <c r="BT1052"/>
      <c r="BU1052"/>
      <c r="BV1052"/>
      <c r="BW1052"/>
      <c r="BX1052"/>
      <c r="BY1052"/>
      <c r="BZ1052"/>
      <c r="CA1052"/>
      <c r="CB1052"/>
      <c r="CC1052"/>
      <c r="CD1052"/>
      <c r="CE1052"/>
      <c r="CF1052"/>
      <c r="CG1052"/>
      <c r="CH1052"/>
      <c r="CI1052"/>
      <c r="CJ1052"/>
    </row>
    <row r="1053" spans="1:88" s="32" customFormat="1" ht="15" customHeight="1" x14ac:dyDescent="0.35">
      <c r="A1053" s="473"/>
      <c r="B1053" s="313">
        <v>30105</v>
      </c>
      <c r="C1053" s="8" t="s">
        <v>235</v>
      </c>
      <c r="D1053" s="18">
        <v>5</v>
      </c>
      <c r="E1053" s="251"/>
      <c r="F1053" s="82"/>
      <c r="G1053" s="79"/>
      <c r="H1053" s="90"/>
      <c r="I1053" s="85"/>
      <c r="J1053" s="85"/>
      <c r="K1053" s="85"/>
      <c r="L1053" s="85"/>
      <c r="M1053" s="85"/>
      <c r="N1053" s="85"/>
      <c r="O1053" s="85"/>
      <c r="P1053" s="85"/>
      <c r="Q1053" s="85"/>
      <c r="R1053" s="85"/>
      <c r="S1053" s="89"/>
      <c r="T1053" s="89" t="s">
        <v>1124</v>
      </c>
      <c r="U1053" s="85"/>
      <c r="V1053" s="85"/>
      <c r="W1053" s="85"/>
      <c r="X1053" s="89" t="s">
        <v>1124</v>
      </c>
      <c r="Y1053" s="79"/>
      <c r="Z1053" s="79"/>
      <c r="AA1053" s="94"/>
      <c r="AB1053" s="79" t="s">
        <v>1124</v>
      </c>
      <c r="AC1053" s="85"/>
      <c r="AD1053" s="85"/>
      <c r="AE1053" s="85"/>
      <c r="AF1053" s="85"/>
      <c r="AG1053" s="85" t="s">
        <v>1124</v>
      </c>
      <c r="AH1053" s="85"/>
      <c r="AI1053" s="85"/>
      <c r="AJ1053" s="85"/>
      <c r="AK1053" s="85"/>
      <c r="AL1053" s="85"/>
      <c r="AM1053" s="85"/>
      <c r="AN1053" s="85"/>
      <c r="AO1053" s="85"/>
      <c r="AP1053" s="85"/>
      <c r="AQ1053" s="85"/>
      <c r="AR1053" s="85" t="s">
        <v>1124</v>
      </c>
      <c r="AS1053" s="85"/>
      <c r="AT1053" s="85"/>
      <c r="AU1053" s="85"/>
      <c r="AV1053" s="85"/>
      <c r="AW1053" s="85"/>
      <c r="AX1053" s="85"/>
      <c r="AY1053" s="85"/>
      <c r="AZ1053" s="85"/>
      <c r="BA1053" s="85"/>
      <c r="BB1053" s="89"/>
      <c r="BC1053" s="89" t="s">
        <v>1124</v>
      </c>
      <c r="BD1053" s="37"/>
      <c r="BE1053" s="37"/>
      <c r="BF1053" s="279"/>
      <c r="BG1053" s="37"/>
      <c r="BH1053" s="37"/>
      <c r="BI1053" s="37"/>
      <c r="BJ1053" s="283"/>
      <c r="BK1053" s="161"/>
      <c r="BL1053" s="294"/>
      <c r="BM1053"/>
      <c r="BN1053"/>
      <c r="BO1053"/>
      <c r="BP1053"/>
      <c r="BQ1053"/>
      <c r="BR1053"/>
      <c r="BS1053"/>
      <c r="BT1053"/>
      <c r="BU1053"/>
      <c r="BV1053"/>
      <c r="BW1053"/>
      <c r="BX1053"/>
      <c r="BY1053"/>
      <c r="BZ1053"/>
      <c r="CA1053"/>
      <c r="CB1053"/>
      <c r="CC1053"/>
      <c r="CD1053"/>
      <c r="CE1053"/>
      <c r="CF1053"/>
      <c r="CG1053"/>
      <c r="CH1053"/>
      <c r="CI1053"/>
      <c r="CJ1053"/>
    </row>
    <row r="1054" spans="1:88" s="32" customFormat="1" ht="15" customHeight="1" x14ac:dyDescent="0.35">
      <c r="A1054" s="473"/>
      <c r="B1054" s="313">
        <v>30110</v>
      </c>
      <c r="C1054" s="8" t="s">
        <v>236</v>
      </c>
      <c r="D1054" s="18">
        <v>5</v>
      </c>
      <c r="E1054" s="251"/>
      <c r="F1054" s="82"/>
      <c r="G1054" s="79"/>
      <c r="H1054" s="90"/>
      <c r="I1054" s="85"/>
      <c r="J1054" s="85"/>
      <c r="K1054" s="85"/>
      <c r="L1054" s="85"/>
      <c r="M1054" s="85"/>
      <c r="N1054" s="85"/>
      <c r="O1054" s="85"/>
      <c r="P1054" s="85"/>
      <c r="Q1054" s="85"/>
      <c r="R1054" s="85"/>
      <c r="S1054" s="89"/>
      <c r="T1054" s="89" t="s">
        <v>1124</v>
      </c>
      <c r="U1054" s="85"/>
      <c r="V1054" s="85"/>
      <c r="W1054" s="85"/>
      <c r="X1054" s="89" t="s">
        <v>1124</v>
      </c>
      <c r="Y1054" s="79"/>
      <c r="Z1054" s="79"/>
      <c r="AA1054" s="94"/>
      <c r="AB1054" s="79" t="s">
        <v>1124</v>
      </c>
      <c r="AC1054" s="85"/>
      <c r="AD1054" s="85"/>
      <c r="AE1054" s="85"/>
      <c r="AF1054" s="85"/>
      <c r="AG1054" s="85" t="s">
        <v>1124</v>
      </c>
      <c r="AH1054" s="85"/>
      <c r="AI1054" s="85"/>
      <c r="AJ1054" s="85"/>
      <c r="AK1054" s="85"/>
      <c r="AL1054" s="85"/>
      <c r="AM1054" s="85"/>
      <c r="AN1054" s="85"/>
      <c r="AO1054" s="85"/>
      <c r="AP1054" s="85"/>
      <c r="AQ1054" s="85"/>
      <c r="AR1054" s="85" t="s">
        <v>1124</v>
      </c>
      <c r="AS1054" s="85"/>
      <c r="AT1054" s="85"/>
      <c r="AU1054" s="85"/>
      <c r="AV1054" s="85"/>
      <c r="AW1054" s="85"/>
      <c r="AX1054" s="85"/>
      <c r="AY1054" s="85"/>
      <c r="AZ1054" s="85"/>
      <c r="BA1054" s="85"/>
      <c r="BB1054" s="89"/>
      <c r="BC1054" s="89" t="s">
        <v>1124</v>
      </c>
      <c r="BD1054" s="37"/>
      <c r="BE1054" s="37"/>
      <c r="BF1054" s="279"/>
      <c r="BG1054" s="37"/>
      <c r="BH1054" s="37"/>
      <c r="BI1054" s="37"/>
      <c r="BJ1054" s="283"/>
      <c r="BK1054" s="161"/>
      <c r="BL1054" s="294"/>
      <c r="BM1054"/>
      <c r="BN1054"/>
      <c r="BO1054"/>
      <c r="BP1054"/>
      <c r="BQ1054"/>
      <c r="BR1054"/>
      <c r="BS1054"/>
      <c r="BT1054"/>
      <c r="BU1054"/>
      <c r="BV1054"/>
      <c r="BW1054"/>
      <c r="BX1054"/>
      <c r="BY1054"/>
      <c r="BZ1054"/>
      <c r="CA1054"/>
      <c r="CB1054"/>
      <c r="CC1054"/>
      <c r="CD1054"/>
      <c r="CE1054"/>
      <c r="CF1054"/>
      <c r="CG1054"/>
      <c r="CH1054"/>
      <c r="CI1054"/>
      <c r="CJ1054"/>
    </row>
    <row r="1055" spans="1:88" s="32" customFormat="1" ht="15" customHeight="1" x14ac:dyDescent="0.35">
      <c r="A1055" s="473"/>
      <c r="B1055" s="313">
        <v>45105</v>
      </c>
      <c r="C1055" s="8" t="s">
        <v>425</v>
      </c>
      <c r="D1055" s="18">
        <v>5</v>
      </c>
      <c r="E1055" s="251"/>
      <c r="F1055" s="82"/>
      <c r="G1055" s="79"/>
      <c r="H1055" s="90"/>
      <c r="I1055" s="85"/>
      <c r="J1055" s="85"/>
      <c r="K1055" s="85"/>
      <c r="L1055" s="85"/>
      <c r="M1055" s="85"/>
      <c r="N1055" s="85"/>
      <c r="O1055" s="85"/>
      <c r="P1055" s="85"/>
      <c r="Q1055" s="85"/>
      <c r="R1055" s="85"/>
      <c r="S1055" s="89"/>
      <c r="T1055" s="89" t="s">
        <v>1124</v>
      </c>
      <c r="U1055" s="85"/>
      <c r="V1055" s="85"/>
      <c r="W1055" s="85"/>
      <c r="X1055" s="89" t="s">
        <v>1124</v>
      </c>
      <c r="Y1055" s="79"/>
      <c r="Z1055" s="79"/>
      <c r="AA1055" s="94"/>
      <c r="AB1055" s="79" t="s">
        <v>1124</v>
      </c>
      <c r="AC1055" s="85"/>
      <c r="AD1055" s="85"/>
      <c r="AE1055" s="85"/>
      <c r="AF1055" s="85"/>
      <c r="AG1055" s="85" t="s">
        <v>1124</v>
      </c>
      <c r="AH1055" s="85"/>
      <c r="AI1055" s="85"/>
      <c r="AJ1055" s="85"/>
      <c r="AK1055" s="85"/>
      <c r="AL1055" s="85"/>
      <c r="AM1055" s="85"/>
      <c r="AN1055" s="85"/>
      <c r="AO1055" s="85"/>
      <c r="AP1055" s="85"/>
      <c r="AQ1055" s="85"/>
      <c r="AR1055" s="85" t="s">
        <v>1124</v>
      </c>
      <c r="AS1055" s="85"/>
      <c r="AT1055" s="85"/>
      <c r="AU1055" s="85"/>
      <c r="AV1055" s="85"/>
      <c r="AW1055" s="85"/>
      <c r="AX1055" s="85"/>
      <c r="AY1055" s="85"/>
      <c r="AZ1055" s="85"/>
      <c r="BA1055" s="85"/>
      <c r="BB1055" s="89"/>
      <c r="BC1055" s="89" t="s">
        <v>1124</v>
      </c>
      <c r="BD1055" s="37"/>
      <c r="BE1055" s="37"/>
      <c r="BF1055" s="279"/>
      <c r="BG1055" s="37"/>
      <c r="BH1055" s="37"/>
      <c r="BI1055" s="37"/>
      <c r="BJ1055" s="283"/>
      <c r="BK1055" s="161"/>
      <c r="BL1055" s="294"/>
      <c r="BM1055"/>
      <c r="BN1055"/>
      <c r="BO1055"/>
      <c r="BP1055"/>
      <c r="BQ1055"/>
      <c r="BR1055"/>
      <c r="BS1055"/>
      <c r="BT1055"/>
      <c r="BU1055"/>
      <c r="BV1055"/>
      <c r="BW1055"/>
      <c r="BX1055"/>
      <c r="BY1055"/>
      <c r="BZ1055"/>
      <c r="CA1055"/>
      <c r="CB1055"/>
      <c r="CC1055"/>
      <c r="CD1055"/>
      <c r="CE1055"/>
      <c r="CF1055"/>
      <c r="CG1055"/>
      <c r="CH1055"/>
      <c r="CI1055"/>
      <c r="CJ1055"/>
    </row>
    <row r="1056" spans="1:88" s="32" customFormat="1" ht="15" customHeight="1" x14ac:dyDescent="0.35">
      <c r="A1056" s="473"/>
      <c r="B1056" s="313">
        <v>46058</v>
      </c>
      <c r="C1056" s="8" t="s">
        <v>436</v>
      </c>
      <c r="D1056" s="18">
        <v>5</v>
      </c>
      <c r="E1056" s="251"/>
      <c r="F1056" s="82"/>
      <c r="G1056" s="79"/>
      <c r="H1056" s="90"/>
      <c r="I1056" s="85"/>
      <c r="J1056" s="85"/>
      <c r="K1056" s="85"/>
      <c r="L1056" s="85"/>
      <c r="M1056" s="85"/>
      <c r="N1056" s="85"/>
      <c r="O1056" s="85"/>
      <c r="P1056" s="85"/>
      <c r="Q1056" s="85"/>
      <c r="R1056" s="85"/>
      <c r="S1056" s="89"/>
      <c r="T1056" s="89" t="s">
        <v>1124</v>
      </c>
      <c r="U1056" s="85"/>
      <c r="V1056" s="85"/>
      <c r="W1056" s="85"/>
      <c r="X1056" s="89" t="s">
        <v>1124</v>
      </c>
      <c r="Y1056" s="79"/>
      <c r="Z1056" s="79"/>
      <c r="AA1056" s="94"/>
      <c r="AB1056" s="79" t="s">
        <v>1124</v>
      </c>
      <c r="AC1056" s="85"/>
      <c r="AD1056" s="85"/>
      <c r="AE1056" s="85"/>
      <c r="AF1056" s="85"/>
      <c r="AG1056" s="85" t="s">
        <v>1124</v>
      </c>
      <c r="AH1056" s="85"/>
      <c r="AI1056" s="85"/>
      <c r="AJ1056" s="85"/>
      <c r="AK1056" s="85"/>
      <c r="AL1056" s="85"/>
      <c r="AM1056" s="85"/>
      <c r="AN1056" s="85"/>
      <c r="AO1056" s="85"/>
      <c r="AP1056" s="85"/>
      <c r="AQ1056" s="85"/>
      <c r="AR1056" s="85" t="s">
        <v>1124</v>
      </c>
      <c r="AS1056" s="85"/>
      <c r="AT1056" s="85"/>
      <c r="AU1056" s="85"/>
      <c r="AV1056" s="85"/>
      <c r="AW1056" s="85"/>
      <c r="AX1056" s="85"/>
      <c r="AY1056" s="85"/>
      <c r="AZ1056" s="85"/>
      <c r="BA1056" s="85"/>
      <c r="BB1056" s="89"/>
      <c r="BC1056" s="89" t="s">
        <v>1124</v>
      </c>
      <c r="BD1056" s="37"/>
      <c r="BE1056" s="37"/>
      <c r="BF1056" s="279"/>
      <c r="BG1056" s="37"/>
      <c r="BH1056" s="37"/>
      <c r="BI1056" s="37"/>
      <c r="BJ1056" s="283"/>
      <c r="BK1056" s="161"/>
      <c r="BL1056" s="294"/>
      <c r="BM1056"/>
      <c r="BN1056"/>
      <c r="BO1056"/>
      <c r="BP1056"/>
      <c r="BQ1056"/>
      <c r="BR1056"/>
      <c r="BS1056"/>
      <c r="BT1056"/>
      <c r="BU1056"/>
      <c r="BV1056"/>
      <c r="BW1056"/>
      <c r="BX1056"/>
      <c r="BY1056"/>
      <c r="BZ1056"/>
      <c r="CA1056"/>
      <c r="CB1056"/>
      <c r="CC1056"/>
      <c r="CD1056"/>
      <c r="CE1056"/>
      <c r="CF1056"/>
      <c r="CG1056"/>
      <c r="CH1056"/>
      <c r="CI1056"/>
      <c r="CJ1056"/>
    </row>
    <row r="1057" spans="1:88" s="32" customFormat="1" ht="15" customHeight="1" x14ac:dyDescent="0.35">
      <c r="A1057" s="473"/>
      <c r="B1057" s="313">
        <v>95005</v>
      </c>
      <c r="C1057" s="8" t="s">
        <v>986</v>
      </c>
      <c r="D1057" s="18">
        <v>9</v>
      </c>
      <c r="E1057" s="251">
        <v>422</v>
      </c>
      <c r="F1057" s="82">
        <v>1.7945205479452055</v>
      </c>
      <c r="G1057" s="79">
        <v>757.28767123287673</v>
      </c>
      <c r="H1057" s="90">
        <v>9.4589999999999996</v>
      </c>
      <c r="I1057" s="85">
        <v>8.4250000000000007</v>
      </c>
      <c r="J1057" s="85">
        <v>9.0760000000000005</v>
      </c>
      <c r="K1057" s="85">
        <v>10.045</v>
      </c>
      <c r="L1057" s="85">
        <v>13.869</v>
      </c>
      <c r="M1057" s="85">
        <v>17.725999999999999</v>
      </c>
      <c r="N1057" s="85">
        <v>25.093</v>
      </c>
      <c r="O1057" s="85">
        <v>24.161000000000001</v>
      </c>
      <c r="P1057" s="85">
        <v>16.826000000000001</v>
      </c>
      <c r="Q1057" s="85">
        <v>12.295</v>
      </c>
      <c r="R1057" s="85">
        <v>9.3030000000000008</v>
      </c>
      <c r="S1057" s="89">
        <v>8.6460000000000008</v>
      </c>
      <c r="T1057" s="89">
        <v>164.92399999999998</v>
      </c>
      <c r="U1057" s="85">
        <v>121.11199999999999</v>
      </c>
      <c r="V1057" s="85">
        <v>43.811999999999998</v>
      </c>
      <c r="W1057" s="85">
        <v>0</v>
      </c>
      <c r="X1057" s="89">
        <v>164.92399999999998</v>
      </c>
      <c r="Y1057" s="79">
        <v>1</v>
      </c>
      <c r="Z1057" s="79">
        <v>1</v>
      </c>
      <c r="AA1057" s="94">
        <v>0</v>
      </c>
      <c r="AB1057" s="79">
        <v>2</v>
      </c>
      <c r="AC1057" s="85">
        <v>63.336104444444445</v>
      </c>
      <c r="AD1057" s="85">
        <v>55.286895555555532</v>
      </c>
      <c r="AE1057" s="85">
        <v>46.301000000000002</v>
      </c>
      <c r="AF1057" s="85">
        <v>0</v>
      </c>
      <c r="AG1057" s="85">
        <v>164.92399999999998</v>
      </c>
      <c r="AH1057" s="85">
        <v>0</v>
      </c>
      <c r="AI1057" s="85">
        <v>0</v>
      </c>
      <c r="AJ1057" s="85">
        <v>0</v>
      </c>
      <c r="AK1057" s="85">
        <v>0</v>
      </c>
      <c r="AL1057" s="85">
        <v>0</v>
      </c>
      <c r="AM1057" s="85">
        <v>0</v>
      </c>
      <c r="AN1057" s="85">
        <v>121.11199999999999</v>
      </c>
      <c r="AO1057" s="85">
        <v>0</v>
      </c>
      <c r="AP1057" s="85">
        <v>0</v>
      </c>
      <c r="AQ1057" s="85">
        <v>0</v>
      </c>
      <c r="AR1057" s="85">
        <v>121.11199999999999</v>
      </c>
      <c r="AS1057" s="85">
        <v>0</v>
      </c>
      <c r="AT1057" s="85">
        <v>0</v>
      </c>
      <c r="AU1057" s="85">
        <v>0</v>
      </c>
      <c r="AV1057" s="85">
        <v>0</v>
      </c>
      <c r="AW1057" s="85">
        <v>0</v>
      </c>
      <c r="AX1057" s="85">
        <v>0</v>
      </c>
      <c r="AY1057" s="85">
        <v>43.811999999999998</v>
      </c>
      <c r="AZ1057" s="85">
        <v>0</v>
      </c>
      <c r="BA1057" s="85">
        <v>0</v>
      </c>
      <c r="BB1057" s="89">
        <v>0</v>
      </c>
      <c r="BC1057" s="89">
        <v>43.811999999999998</v>
      </c>
      <c r="BD1057" s="37">
        <v>0</v>
      </c>
      <c r="BE1057" s="37">
        <v>0</v>
      </c>
      <c r="BF1057" s="279">
        <v>12000</v>
      </c>
      <c r="BG1057" s="37">
        <v>47000</v>
      </c>
      <c r="BH1057" s="37">
        <v>17000</v>
      </c>
      <c r="BI1057" s="37">
        <v>8800</v>
      </c>
      <c r="BJ1057" s="283">
        <v>84800</v>
      </c>
      <c r="BK1057" s="161"/>
      <c r="BL1057" s="294"/>
      <c r="BM1057"/>
      <c r="BN1057"/>
      <c r="BO1057"/>
      <c r="BP1057"/>
      <c r="BQ1057"/>
      <c r="BR1057"/>
      <c r="BS1057"/>
      <c r="BT1057"/>
      <c r="BU1057"/>
      <c r="BV1057"/>
      <c r="BW1057"/>
      <c r="BX1057"/>
      <c r="BY1057"/>
      <c r="BZ1057"/>
      <c r="CA1057"/>
      <c r="CB1057"/>
      <c r="CC1057"/>
      <c r="CD1057"/>
      <c r="CE1057"/>
      <c r="CF1057"/>
      <c r="CG1057"/>
      <c r="CH1057"/>
      <c r="CI1057"/>
      <c r="CJ1057"/>
    </row>
    <row r="1058" spans="1:88" s="32" customFormat="1" ht="15" customHeight="1" x14ac:dyDescent="0.35">
      <c r="A1058" s="473"/>
      <c r="B1058" s="313">
        <v>87042</v>
      </c>
      <c r="C1058" s="8" t="s">
        <v>897</v>
      </c>
      <c r="D1058" s="18">
        <v>8</v>
      </c>
      <c r="E1058" s="251"/>
      <c r="F1058" s="82"/>
      <c r="G1058" s="79"/>
      <c r="H1058" s="90"/>
      <c r="I1058" s="85"/>
      <c r="J1058" s="85"/>
      <c r="K1058" s="85"/>
      <c r="L1058" s="85"/>
      <c r="M1058" s="85"/>
      <c r="N1058" s="85"/>
      <c r="O1058" s="85"/>
      <c r="P1058" s="85"/>
      <c r="Q1058" s="85"/>
      <c r="R1058" s="85"/>
      <c r="S1058" s="89"/>
      <c r="T1058" s="89" t="s">
        <v>1124</v>
      </c>
      <c r="U1058" s="85"/>
      <c r="V1058" s="85"/>
      <c r="W1058" s="85"/>
      <c r="X1058" s="89" t="s">
        <v>1124</v>
      </c>
      <c r="Y1058" s="79"/>
      <c r="Z1058" s="79"/>
      <c r="AA1058" s="94"/>
      <c r="AB1058" s="79" t="s">
        <v>1124</v>
      </c>
      <c r="AC1058" s="85"/>
      <c r="AD1058" s="85"/>
      <c r="AE1058" s="85"/>
      <c r="AF1058" s="85"/>
      <c r="AG1058" s="85" t="s">
        <v>1124</v>
      </c>
      <c r="AH1058" s="85"/>
      <c r="AI1058" s="85"/>
      <c r="AJ1058" s="85"/>
      <c r="AK1058" s="85"/>
      <c r="AL1058" s="85"/>
      <c r="AM1058" s="85"/>
      <c r="AN1058" s="85"/>
      <c r="AO1058" s="85"/>
      <c r="AP1058" s="85"/>
      <c r="AQ1058" s="85"/>
      <c r="AR1058" s="85" t="s">
        <v>1124</v>
      </c>
      <c r="AS1058" s="85"/>
      <c r="AT1058" s="85"/>
      <c r="AU1058" s="85"/>
      <c r="AV1058" s="85"/>
      <c r="AW1058" s="85"/>
      <c r="AX1058" s="85"/>
      <c r="AY1058" s="85"/>
      <c r="AZ1058" s="85"/>
      <c r="BA1058" s="85"/>
      <c r="BB1058" s="89"/>
      <c r="BC1058" s="89" t="s">
        <v>1124</v>
      </c>
      <c r="BD1058" s="37"/>
      <c r="BE1058" s="37"/>
      <c r="BF1058" s="279"/>
      <c r="BG1058" s="37"/>
      <c r="BH1058" s="37"/>
      <c r="BI1058" s="37"/>
      <c r="BJ1058" s="283"/>
      <c r="BK1058" s="161"/>
      <c r="BL1058" s="294"/>
      <c r="BM1058"/>
      <c r="BN1058"/>
      <c r="BO1058"/>
      <c r="BP1058"/>
      <c r="BQ1058"/>
      <c r="BR1058"/>
      <c r="BS1058"/>
      <c r="BT1058"/>
      <c r="BU1058"/>
      <c r="BV1058"/>
      <c r="BW1058"/>
      <c r="BX1058"/>
      <c r="BY1058"/>
      <c r="BZ1058"/>
      <c r="CA1058"/>
      <c r="CB1058"/>
      <c r="CC1058"/>
      <c r="CD1058"/>
      <c r="CE1058"/>
      <c r="CF1058"/>
      <c r="CG1058"/>
      <c r="CH1058"/>
      <c r="CI1058"/>
      <c r="CJ1058"/>
    </row>
    <row r="1059" spans="1:88" s="32" customFormat="1" ht="15" customHeight="1" x14ac:dyDescent="0.35">
      <c r="A1059" s="473"/>
      <c r="B1059" s="313">
        <v>85005</v>
      </c>
      <c r="C1059" s="8" t="s">
        <v>870</v>
      </c>
      <c r="D1059" s="18">
        <v>8</v>
      </c>
      <c r="E1059" s="251"/>
      <c r="F1059" s="82"/>
      <c r="G1059" s="79"/>
      <c r="H1059" s="90"/>
      <c r="I1059" s="85"/>
      <c r="J1059" s="85"/>
      <c r="K1059" s="85"/>
      <c r="L1059" s="85"/>
      <c r="M1059" s="85"/>
      <c r="N1059" s="85"/>
      <c r="O1059" s="85"/>
      <c r="P1059" s="85"/>
      <c r="Q1059" s="85"/>
      <c r="R1059" s="85"/>
      <c r="S1059" s="89"/>
      <c r="T1059" s="89" t="s">
        <v>1124</v>
      </c>
      <c r="U1059" s="85"/>
      <c r="V1059" s="85"/>
      <c r="W1059" s="85"/>
      <c r="X1059" s="89" t="s">
        <v>1124</v>
      </c>
      <c r="Y1059" s="79"/>
      <c r="Z1059" s="79"/>
      <c r="AA1059" s="94"/>
      <c r="AB1059" s="79" t="s">
        <v>1124</v>
      </c>
      <c r="AC1059" s="85"/>
      <c r="AD1059" s="85"/>
      <c r="AE1059" s="85"/>
      <c r="AF1059" s="85"/>
      <c r="AG1059" s="85" t="s">
        <v>1124</v>
      </c>
      <c r="AH1059" s="85"/>
      <c r="AI1059" s="85"/>
      <c r="AJ1059" s="85"/>
      <c r="AK1059" s="85"/>
      <c r="AL1059" s="85"/>
      <c r="AM1059" s="85"/>
      <c r="AN1059" s="85"/>
      <c r="AO1059" s="85"/>
      <c r="AP1059" s="85"/>
      <c r="AQ1059" s="85"/>
      <c r="AR1059" s="85" t="s">
        <v>1124</v>
      </c>
      <c r="AS1059" s="85"/>
      <c r="AT1059" s="85"/>
      <c r="AU1059" s="85"/>
      <c r="AV1059" s="85"/>
      <c r="AW1059" s="85"/>
      <c r="AX1059" s="85"/>
      <c r="AY1059" s="85"/>
      <c r="AZ1059" s="85"/>
      <c r="BA1059" s="85"/>
      <c r="BB1059" s="89"/>
      <c r="BC1059" s="89" t="s">
        <v>1124</v>
      </c>
      <c r="BD1059" s="37"/>
      <c r="BE1059" s="37"/>
      <c r="BF1059" s="279"/>
      <c r="BG1059" s="37"/>
      <c r="BH1059" s="37"/>
      <c r="BI1059" s="37"/>
      <c r="BJ1059" s="283"/>
      <c r="BK1059" s="161"/>
      <c r="BL1059" s="294"/>
      <c r="BM1059"/>
      <c r="BN1059"/>
      <c r="BO1059"/>
      <c r="BP1059"/>
      <c r="BQ1059"/>
      <c r="BR1059"/>
      <c r="BS1059"/>
      <c r="BT1059"/>
      <c r="BU1059"/>
      <c r="BV1059"/>
      <c r="BW1059"/>
      <c r="BX1059"/>
      <c r="BY1059"/>
      <c r="BZ1059"/>
      <c r="CA1059"/>
      <c r="CB1059"/>
      <c r="CC1059"/>
      <c r="CD1059"/>
      <c r="CE1059"/>
      <c r="CF1059"/>
      <c r="CG1059"/>
      <c r="CH1059"/>
      <c r="CI1059"/>
      <c r="CJ1059"/>
    </row>
    <row r="1060" spans="1:88" s="32" customFormat="1" ht="15" customHeight="1" x14ac:dyDescent="0.35">
      <c r="A1060" s="473"/>
      <c r="B1060" s="313">
        <v>13073</v>
      </c>
      <c r="C1060" s="8" t="s">
        <v>53</v>
      </c>
      <c r="D1060" s="18">
        <v>1</v>
      </c>
      <c r="E1060" s="251">
        <v>1981</v>
      </c>
      <c r="F1060" s="82">
        <v>2.0481978206202851</v>
      </c>
      <c r="G1060" s="79">
        <v>4057.479882648785</v>
      </c>
      <c r="H1060" s="90">
        <v>80.328000000000003</v>
      </c>
      <c r="I1060" s="85">
        <v>73.888000000000005</v>
      </c>
      <c r="J1060" s="85">
        <v>86.694999999999993</v>
      </c>
      <c r="K1060" s="85">
        <v>81.257000000000005</v>
      </c>
      <c r="L1060" s="85">
        <v>82.209000000000003</v>
      </c>
      <c r="M1060" s="85">
        <v>80.516000000000005</v>
      </c>
      <c r="N1060" s="85">
        <v>94.248000000000005</v>
      </c>
      <c r="O1060" s="85">
        <v>77.537000000000006</v>
      </c>
      <c r="P1060" s="85">
        <v>64.825000000000003</v>
      </c>
      <c r="Q1060" s="85">
        <v>67.271000000000001</v>
      </c>
      <c r="R1060" s="85">
        <v>66.408000000000001</v>
      </c>
      <c r="S1060" s="89">
        <v>76.563000000000002</v>
      </c>
      <c r="T1060" s="89">
        <v>931.74500000000012</v>
      </c>
      <c r="U1060" s="85">
        <v>931.745</v>
      </c>
      <c r="V1060" s="85">
        <v>0</v>
      </c>
      <c r="W1060" s="85">
        <v>0</v>
      </c>
      <c r="X1060" s="89">
        <v>931.745</v>
      </c>
      <c r="Y1060" s="79">
        <v>2</v>
      </c>
      <c r="Z1060" s="79">
        <v>0</v>
      </c>
      <c r="AA1060" s="94">
        <v>0</v>
      </c>
      <c r="AB1060" s="79">
        <v>2</v>
      </c>
      <c r="AC1060" s="85">
        <v>528.06359112318842</v>
      </c>
      <c r="AD1060" s="85">
        <v>69.72840887681167</v>
      </c>
      <c r="AE1060" s="85">
        <v>333.95300000000003</v>
      </c>
      <c r="AF1060" s="85">
        <v>0</v>
      </c>
      <c r="AG1060" s="85">
        <v>931.74500000000012</v>
      </c>
      <c r="AH1060" s="85">
        <v>486.32400000000001</v>
      </c>
      <c r="AI1060" s="85">
        <v>0</v>
      </c>
      <c r="AJ1060" s="85">
        <v>0</v>
      </c>
      <c r="AK1060" s="85">
        <v>0</v>
      </c>
      <c r="AL1060" s="85">
        <v>0</v>
      </c>
      <c r="AM1060" s="85">
        <v>0</v>
      </c>
      <c r="AN1060" s="85">
        <v>445.42099999999999</v>
      </c>
      <c r="AO1060" s="85">
        <v>0</v>
      </c>
      <c r="AP1060" s="85">
        <v>0</v>
      </c>
      <c r="AQ1060" s="85">
        <v>0</v>
      </c>
      <c r="AR1060" s="85">
        <v>931.745</v>
      </c>
      <c r="AS1060" s="85">
        <v>0</v>
      </c>
      <c r="AT1060" s="85">
        <v>0</v>
      </c>
      <c r="AU1060" s="85">
        <v>0</v>
      </c>
      <c r="AV1060" s="85">
        <v>0</v>
      </c>
      <c r="AW1060" s="85">
        <v>0</v>
      </c>
      <c r="AX1060" s="85">
        <v>0</v>
      </c>
      <c r="AY1060" s="85">
        <v>0</v>
      </c>
      <c r="AZ1060" s="85">
        <v>0</v>
      </c>
      <c r="BA1060" s="85">
        <v>0</v>
      </c>
      <c r="BB1060" s="89">
        <v>0</v>
      </c>
      <c r="BC1060" s="89">
        <v>0</v>
      </c>
      <c r="BD1060" s="37">
        <v>0</v>
      </c>
      <c r="BE1060" s="37">
        <v>4263282</v>
      </c>
      <c r="BF1060" s="279">
        <v>76154</v>
      </c>
      <c r="BG1060" s="37">
        <v>71221</v>
      </c>
      <c r="BH1060" s="37">
        <v>114526</v>
      </c>
      <c r="BI1060" s="37">
        <v>19620</v>
      </c>
      <c r="BJ1060" s="283">
        <v>281521</v>
      </c>
      <c r="BK1060" s="161" t="s">
        <v>3557</v>
      </c>
      <c r="BL1060" s="294"/>
      <c r="BM1060"/>
      <c r="BN1060"/>
      <c r="BO1060"/>
      <c r="BP1060"/>
      <c r="BQ1060"/>
      <c r="BR1060"/>
      <c r="BS1060"/>
      <c r="BT1060"/>
      <c r="BU1060"/>
      <c r="BV1060"/>
      <c r="BW1060"/>
      <c r="BX1060"/>
      <c r="BY1060"/>
      <c r="BZ1060"/>
      <c r="CA1060"/>
      <c r="CB1060"/>
      <c r="CC1060"/>
      <c r="CD1060"/>
      <c r="CE1060"/>
      <c r="CF1060"/>
      <c r="CG1060"/>
      <c r="CH1060"/>
      <c r="CI1060"/>
      <c r="CJ1060"/>
    </row>
    <row r="1061" spans="1:88" s="32" customFormat="1" ht="15" customHeight="1" x14ac:dyDescent="0.35">
      <c r="A1061" s="473"/>
      <c r="B1061" s="313">
        <v>71075</v>
      </c>
      <c r="C1061" s="8" t="s">
        <v>716</v>
      </c>
      <c r="D1061" s="18">
        <v>16</v>
      </c>
      <c r="E1061" s="251"/>
      <c r="F1061" s="82"/>
      <c r="G1061" s="79"/>
      <c r="H1061" s="90"/>
      <c r="I1061" s="85"/>
      <c r="J1061" s="85"/>
      <c r="K1061" s="85"/>
      <c r="L1061" s="85"/>
      <c r="M1061" s="85"/>
      <c r="N1061" s="85"/>
      <c r="O1061" s="85"/>
      <c r="P1061" s="85"/>
      <c r="Q1061" s="85"/>
      <c r="R1061" s="85"/>
      <c r="S1061" s="89"/>
      <c r="T1061" s="89" t="s">
        <v>1124</v>
      </c>
      <c r="U1061" s="85"/>
      <c r="V1061" s="85"/>
      <c r="W1061" s="85"/>
      <c r="X1061" s="89" t="s">
        <v>1124</v>
      </c>
      <c r="Y1061" s="79"/>
      <c r="Z1061" s="79"/>
      <c r="AA1061" s="94"/>
      <c r="AB1061" s="79" t="s">
        <v>1124</v>
      </c>
      <c r="AC1061" s="85"/>
      <c r="AD1061" s="85"/>
      <c r="AE1061" s="85"/>
      <c r="AF1061" s="85"/>
      <c r="AG1061" s="85" t="s">
        <v>1124</v>
      </c>
      <c r="AH1061" s="85"/>
      <c r="AI1061" s="85"/>
      <c r="AJ1061" s="85"/>
      <c r="AK1061" s="85"/>
      <c r="AL1061" s="85"/>
      <c r="AM1061" s="85"/>
      <c r="AN1061" s="85"/>
      <c r="AO1061" s="85"/>
      <c r="AP1061" s="85"/>
      <c r="AQ1061" s="85"/>
      <c r="AR1061" s="85" t="s">
        <v>1124</v>
      </c>
      <c r="AS1061" s="85"/>
      <c r="AT1061" s="85"/>
      <c r="AU1061" s="85"/>
      <c r="AV1061" s="85"/>
      <c r="AW1061" s="85"/>
      <c r="AX1061" s="85"/>
      <c r="AY1061" s="85"/>
      <c r="AZ1061" s="85"/>
      <c r="BA1061" s="85"/>
      <c r="BB1061" s="89"/>
      <c r="BC1061" s="89" t="s">
        <v>1124</v>
      </c>
      <c r="BD1061" s="37"/>
      <c r="BE1061" s="37"/>
      <c r="BF1061" s="279"/>
      <c r="BG1061" s="37"/>
      <c r="BH1061" s="37"/>
      <c r="BI1061" s="37"/>
      <c r="BJ1061" s="283"/>
      <c r="BK1061" s="161"/>
      <c r="BL1061" s="294"/>
      <c r="BM1061"/>
      <c r="BN1061"/>
      <c r="BO1061"/>
      <c r="BP1061"/>
      <c r="BQ1061"/>
      <c r="BR1061"/>
      <c r="BS1061"/>
      <c r="BT1061"/>
      <c r="BU1061"/>
      <c r="BV1061"/>
      <c r="BW1061"/>
      <c r="BX1061"/>
      <c r="BY1061"/>
      <c r="BZ1061"/>
      <c r="CA1061"/>
      <c r="CB1061"/>
      <c r="CC1061"/>
      <c r="CD1061"/>
      <c r="CE1061"/>
      <c r="CF1061"/>
      <c r="CG1061"/>
      <c r="CH1061"/>
      <c r="CI1061"/>
      <c r="CJ1061"/>
    </row>
    <row r="1062" spans="1:88" s="32" customFormat="1" ht="15" customHeight="1" x14ac:dyDescent="0.35">
      <c r="A1062" s="473"/>
      <c r="B1062" s="313">
        <v>64008</v>
      </c>
      <c r="C1062" s="8" t="s">
        <v>644</v>
      </c>
      <c r="D1062" s="18">
        <v>14</v>
      </c>
      <c r="E1062" s="251">
        <v>43823</v>
      </c>
      <c r="F1062" s="82">
        <v>2.7052840312609354</v>
      </c>
      <c r="G1062" s="79">
        <v>118553.66210194798</v>
      </c>
      <c r="H1062" s="90">
        <v>1437.7389784549207</v>
      </c>
      <c r="I1062" s="85">
        <v>1363.6711102775034</v>
      </c>
      <c r="J1062" s="85">
        <v>1489.5946359901675</v>
      </c>
      <c r="K1062" s="85">
        <v>1424.4865905761476</v>
      </c>
      <c r="L1062" s="85">
        <v>1762.8935803190084</v>
      </c>
      <c r="M1062" s="85">
        <v>1999.9795349410115</v>
      </c>
      <c r="N1062" s="85">
        <v>2182.3444777263949</v>
      </c>
      <c r="O1062" s="85">
        <v>2224.8030055635923</v>
      </c>
      <c r="P1062" s="85">
        <v>1758.6676051232273</v>
      </c>
      <c r="Q1062" s="85">
        <v>1566.529846227751</v>
      </c>
      <c r="R1062" s="85">
        <v>1516.1978058080103</v>
      </c>
      <c r="S1062" s="89">
        <v>1551.7558289922661</v>
      </c>
      <c r="T1062" s="89">
        <v>20278.663</v>
      </c>
      <c r="U1062" s="85">
        <v>20278.663</v>
      </c>
      <c r="V1062" s="85">
        <v>0</v>
      </c>
      <c r="W1062" s="85">
        <v>0</v>
      </c>
      <c r="X1062" s="89">
        <v>20278.663</v>
      </c>
      <c r="Y1062" s="79">
        <v>1</v>
      </c>
      <c r="Z1062" s="79">
        <v>0</v>
      </c>
      <c r="AA1062" s="94">
        <v>0</v>
      </c>
      <c r="AB1062" s="79">
        <v>1</v>
      </c>
      <c r="AC1062" s="85">
        <v>12221.910074144616</v>
      </c>
      <c r="AD1062" s="85">
        <v>1714.0692156512996</v>
      </c>
      <c r="AE1062" s="85">
        <v>1110.9257102040842</v>
      </c>
      <c r="AF1062" s="85">
        <v>5231.7579999999998</v>
      </c>
      <c r="AG1062" s="85">
        <v>20278.663</v>
      </c>
      <c r="AH1062" s="85">
        <v>0</v>
      </c>
      <c r="AI1062" s="85">
        <v>0</v>
      </c>
      <c r="AJ1062" s="85">
        <v>20278.663</v>
      </c>
      <c r="AK1062" s="85">
        <v>0</v>
      </c>
      <c r="AL1062" s="85">
        <v>0</v>
      </c>
      <c r="AM1062" s="85">
        <v>0</v>
      </c>
      <c r="AN1062" s="85">
        <v>0</v>
      </c>
      <c r="AO1062" s="85">
        <v>0</v>
      </c>
      <c r="AP1062" s="85">
        <v>0</v>
      </c>
      <c r="AQ1062" s="85">
        <v>0</v>
      </c>
      <c r="AR1062" s="85">
        <v>20278.663</v>
      </c>
      <c r="AS1062" s="85">
        <v>0</v>
      </c>
      <c r="AT1062" s="85">
        <v>0</v>
      </c>
      <c r="AU1062" s="85">
        <v>0</v>
      </c>
      <c r="AV1062" s="85">
        <v>0</v>
      </c>
      <c r="AW1062" s="85">
        <v>0</v>
      </c>
      <c r="AX1062" s="85">
        <v>0</v>
      </c>
      <c r="AY1062" s="85">
        <v>0</v>
      </c>
      <c r="AZ1062" s="85">
        <v>0</v>
      </c>
      <c r="BA1062" s="85">
        <v>0</v>
      </c>
      <c r="BB1062" s="89">
        <v>0</v>
      </c>
      <c r="BC1062" s="89">
        <v>0</v>
      </c>
      <c r="BD1062" s="37">
        <v>0</v>
      </c>
      <c r="BE1062" s="37">
        <v>0</v>
      </c>
      <c r="BF1062" s="279">
        <v>889555</v>
      </c>
      <c r="BG1062" s="37">
        <v>2964312</v>
      </c>
      <c r="BH1062" s="37">
        <v>942613</v>
      </c>
      <c r="BI1062" s="37">
        <v>0</v>
      </c>
      <c r="BJ1062" s="283">
        <v>4796480</v>
      </c>
      <c r="BK1062" s="161" t="s">
        <v>3700</v>
      </c>
      <c r="BL1062" s="294"/>
      <c r="BM1062"/>
      <c r="BN1062"/>
      <c r="BO1062"/>
      <c r="BP1062"/>
      <c r="BQ1062"/>
      <c r="BR1062"/>
      <c r="BS1062"/>
      <c r="BT1062"/>
      <c r="BU1062"/>
      <c r="BV1062"/>
      <c r="BW1062"/>
      <c r="BX1062"/>
      <c r="BY1062"/>
      <c r="BZ1062"/>
      <c r="CA1062"/>
      <c r="CB1062"/>
      <c r="CC1062"/>
      <c r="CD1062"/>
      <c r="CE1062"/>
      <c r="CF1062"/>
      <c r="CG1062"/>
      <c r="CH1062"/>
      <c r="CI1062"/>
      <c r="CJ1062"/>
    </row>
    <row r="1063" spans="1:88" s="32" customFormat="1" ht="15" customHeight="1" x14ac:dyDescent="0.35">
      <c r="A1063" s="473"/>
      <c r="B1063" s="313">
        <v>31084</v>
      </c>
      <c r="C1063" s="8" t="s">
        <v>248</v>
      </c>
      <c r="D1063" s="18">
        <v>12</v>
      </c>
      <c r="E1063" s="251">
        <v>12535</v>
      </c>
      <c r="F1063" s="82">
        <v>1.9512619011636694</v>
      </c>
      <c r="G1063" s="79">
        <v>24459.067931086596</v>
      </c>
      <c r="H1063" s="90">
        <v>338.95499999999998</v>
      </c>
      <c r="I1063" s="85">
        <v>283.25299999999999</v>
      </c>
      <c r="J1063" s="85">
        <v>322.10899999999998</v>
      </c>
      <c r="K1063" s="85">
        <v>321.62099999999998</v>
      </c>
      <c r="L1063" s="85">
        <v>322.63499999999999</v>
      </c>
      <c r="M1063" s="85">
        <v>351.77499999999998</v>
      </c>
      <c r="N1063" s="85">
        <v>337.351</v>
      </c>
      <c r="O1063" s="85">
        <v>305.64800000000002</v>
      </c>
      <c r="P1063" s="85">
        <v>330.59399999999999</v>
      </c>
      <c r="Q1063" s="85">
        <v>300.10500000000002</v>
      </c>
      <c r="R1063" s="85">
        <v>263.428</v>
      </c>
      <c r="S1063" s="89">
        <v>343.37700000000001</v>
      </c>
      <c r="T1063" s="89">
        <v>3820.8510000000001</v>
      </c>
      <c r="U1063" s="85">
        <v>3250.2430000000004</v>
      </c>
      <c r="V1063" s="85">
        <v>570.60799999999995</v>
      </c>
      <c r="W1063" s="85">
        <v>0</v>
      </c>
      <c r="X1063" s="89">
        <v>3820.8510000000006</v>
      </c>
      <c r="Y1063" s="79">
        <v>1</v>
      </c>
      <c r="Z1063" s="79">
        <v>1</v>
      </c>
      <c r="AA1063" s="94">
        <v>0</v>
      </c>
      <c r="AB1063" s="79">
        <v>2</v>
      </c>
      <c r="AC1063" s="85">
        <v>3239.0360000000001</v>
      </c>
      <c r="AD1063" s="85">
        <v>429.30339999999978</v>
      </c>
      <c r="AE1063" s="85">
        <v>152.51160000000024</v>
      </c>
      <c r="AF1063" s="85">
        <v>0</v>
      </c>
      <c r="AG1063" s="85">
        <v>3820.8510000000001</v>
      </c>
      <c r="AH1063" s="85">
        <v>3250.2430000000004</v>
      </c>
      <c r="AI1063" s="85">
        <v>0</v>
      </c>
      <c r="AJ1063" s="85">
        <v>0</v>
      </c>
      <c r="AK1063" s="85">
        <v>0</v>
      </c>
      <c r="AL1063" s="85">
        <v>0</v>
      </c>
      <c r="AM1063" s="85">
        <v>0</v>
      </c>
      <c r="AN1063" s="85">
        <v>0</v>
      </c>
      <c r="AO1063" s="85">
        <v>0</v>
      </c>
      <c r="AP1063" s="85">
        <v>0</v>
      </c>
      <c r="AQ1063" s="85">
        <v>0</v>
      </c>
      <c r="AR1063" s="85">
        <v>3250.2430000000004</v>
      </c>
      <c r="AS1063" s="85">
        <v>0</v>
      </c>
      <c r="AT1063" s="85">
        <v>0</v>
      </c>
      <c r="AU1063" s="85">
        <v>0</v>
      </c>
      <c r="AV1063" s="85">
        <v>0</v>
      </c>
      <c r="AW1063" s="85">
        <v>0</v>
      </c>
      <c r="AX1063" s="85">
        <v>0</v>
      </c>
      <c r="AY1063" s="85">
        <v>570.60799999999995</v>
      </c>
      <c r="AZ1063" s="85">
        <v>0</v>
      </c>
      <c r="BA1063" s="85">
        <v>0</v>
      </c>
      <c r="BB1063" s="89">
        <v>0</v>
      </c>
      <c r="BC1063" s="89">
        <v>570.60799999999995</v>
      </c>
      <c r="BD1063" s="37">
        <v>75603</v>
      </c>
      <c r="BE1063" s="37">
        <v>0</v>
      </c>
      <c r="BF1063" s="279">
        <v>560200</v>
      </c>
      <c r="BG1063" s="37">
        <v>417400</v>
      </c>
      <c r="BH1063" s="37">
        <v>536700</v>
      </c>
      <c r="BI1063" s="37">
        <v>41205</v>
      </c>
      <c r="BJ1063" s="283">
        <v>1555505</v>
      </c>
      <c r="BK1063" s="161"/>
      <c r="BL1063" s="294"/>
      <c r="BM1063"/>
      <c r="BN1063"/>
      <c r="BO1063"/>
      <c r="BP1063"/>
      <c r="BQ1063"/>
      <c r="BR1063"/>
      <c r="BS1063"/>
      <c r="BT1063"/>
      <c r="BU1063"/>
      <c r="BV1063"/>
      <c r="BW1063"/>
      <c r="BX1063"/>
      <c r="BY1063"/>
      <c r="BZ1063"/>
      <c r="CA1063"/>
      <c r="CB1063"/>
      <c r="CC1063"/>
      <c r="CD1063"/>
      <c r="CE1063"/>
      <c r="CF1063"/>
      <c r="CG1063"/>
      <c r="CH1063"/>
      <c r="CI1063"/>
      <c r="CJ1063"/>
    </row>
    <row r="1064" spans="1:88" s="32" customFormat="1" ht="15" customHeight="1" x14ac:dyDescent="0.35">
      <c r="A1064" s="473"/>
      <c r="B1064" s="313">
        <v>84045</v>
      </c>
      <c r="C1064" s="8" t="s">
        <v>860</v>
      </c>
      <c r="D1064" s="18">
        <v>7</v>
      </c>
      <c r="E1064" s="251"/>
      <c r="F1064" s="82"/>
      <c r="G1064" s="79"/>
      <c r="H1064" s="90"/>
      <c r="I1064" s="85"/>
      <c r="J1064" s="85"/>
      <c r="K1064" s="85"/>
      <c r="L1064" s="85"/>
      <c r="M1064" s="85"/>
      <c r="N1064" s="85"/>
      <c r="O1064" s="85"/>
      <c r="P1064" s="85"/>
      <c r="Q1064" s="85"/>
      <c r="R1064" s="85"/>
      <c r="S1064" s="89"/>
      <c r="T1064" s="89" t="s">
        <v>1124</v>
      </c>
      <c r="U1064" s="85"/>
      <c r="V1064" s="85"/>
      <c r="W1064" s="85"/>
      <c r="X1064" s="89" t="s">
        <v>1124</v>
      </c>
      <c r="Y1064" s="79"/>
      <c r="Z1064" s="79"/>
      <c r="AA1064" s="94"/>
      <c r="AB1064" s="79" t="s">
        <v>1124</v>
      </c>
      <c r="AC1064" s="85"/>
      <c r="AD1064" s="85"/>
      <c r="AE1064" s="85"/>
      <c r="AF1064" s="85"/>
      <c r="AG1064" s="85" t="s">
        <v>1124</v>
      </c>
      <c r="AH1064" s="85"/>
      <c r="AI1064" s="85"/>
      <c r="AJ1064" s="85"/>
      <c r="AK1064" s="85"/>
      <c r="AL1064" s="85"/>
      <c r="AM1064" s="85"/>
      <c r="AN1064" s="85"/>
      <c r="AO1064" s="85"/>
      <c r="AP1064" s="85"/>
      <c r="AQ1064" s="85"/>
      <c r="AR1064" s="85" t="s">
        <v>1124</v>
      </c>
      <c r="AS1064" s="85"/>
      <c r="AT1064" s="85"/>
      <c r="AU1064" s="85"/>
      <c r="AV1064" s="85"/>
      <c r="AW1064" s="85"/>
      <c r="AX1064" s="85"/>
      <c r="AY1064" s="85"/>
      <c r="AZ1064" s="85"/>
      <c r="BA1064" s="85"/>
      <c r="BB1064" s="89"/>
      <c r="BC1064" s="89" t="s">
        <v>1124</v>
      </c>
      <c r="BD1064" s="37"/>
      <c r="BE1064" s="37"/>
      <c r="BF1064" s="279"/>
      <c r="BG1064" s="37"/>
      <c r="BH1064" s="37"/>
      <c r="BI1064" s="37"/>
      <c r="BJ1064" s="283"/>
      <c r="BK1064" s="161"/>
      <c r="BL1064" s="294"/>
      <c r="BM1064"/>
      <c r="BN1064"/>
      <c r="BO1064"/>
      <c r="BP1064"/>
      <c r="BQ1064"/>
      <c r="BR1064"/>
      <c r="BS1064"/>
      <c r="BT1064"/>
      <c r="BU1064"/>
      <c r="BV1064"/>
      <c r="BW1064"/>
      <c r="BX1064"/>
      <c r="BY1064"/>
      <c r="BZ1064"/>
      <c r="CA1064"/>
      <c r="CB1064"/>
      <c r="CC1064"/>
      <c r="CD1064"/>
      <c r="CE1064"/>
      <c r="CF1064"/>
      <c r="CG1064"/>
      <c r="CH1064"/>
      <c r="CI1064"/>
      <c r="CJ1064"/>
    </row>
    <row r="1065" spans="1:88" s="32" customFormat="1" ht="15" customHeight="1" x14ac:dyDescent="0.35">
      <c r="A1065" s="473"/>
      <c r="B1065" s="313">
        <v>80050</v>
      </c>
      <c r="C1065" s="8" t="s">
        <v>810</v>
      </c>
      <c r="D1065" s="18">
        <v>7</v>
      </c>
      <c r="E1065" s="251">
        <v>1457</v>
      </c>
      <c r="F1065" s="82">
        <v>2.0698847262247839</v>
      </c>
      <c r="G1065" s="79">
        <v>3015.8220461095102</v>
      </c>
      <c r="H1065" s="90">
        <v>30.427</v>
      </c>
      <c r="I1065" s="85">
        <v>27.617000000000001</v>
      </c>
      <c r="J1065" s="85">
        <v>29.553000000000001</v>
      </c>
      <c r="K1065" s="85">
        <v>27.172000000000001</v>
      </c>
      <c r="L1065" s="85">
        <v>32.694000000000003</v>
      </c>
      <c r="M1065" s="85">
        <v>36.624299999999998</v>
      </c>
      <c r="N1065" s="85">
        <v>39.792000000000002</v>
      </c>
      <c r="O1065" s="85">
        <v>39.957000000000001</v>
      </c>
      <c r="P1065" s="85">
        <v>42.2742</v>
      </c>
      <c r="Q1065" s="85">
        <v>36.201000000000001</v>
      </c>
      <c r="R1065" s="85">
        <v>29.882000000000001</v>
      </c>
      <c r="S1065" s="89">
        <v>30.070399999999999</v>
      </c>
      <c r="T1065" s="89">
        <v>402.26390000000004</v>
      </c>
      <c r="U1065" s="85">
        <v>402.26400000000001</v>
      </c>
      <c r="V1065" s="85">
        <v>0</v>
      </c>
      <c r="W1065" s="85">
        <v>0</v>
      </c>
      <c r="X1065" s="89">
        <v>402.26400000000001</v>
      </c>
      <c r="Y1065" s="79">
        <v>1</v>
      </c>
      <c r="Z1065" s="79">
        <v>0</v>
      </c>
      <c r="AA1065" s="94">
        <v>0</v>
      </c>
      <c r="AB1065" s="79">
        <v>1</v>
      </c>
      <c r="AC1065" s="85">
        <v>285.29000000000002</v>
      </c>
      <c r="AD1065" s="85">
        <v>67.975999999999999</v>
      </c>
      <c r="AE1065" s="85">
        <v>48.997999999999998</v>
      </c>
      <c r="AF1065" s="85">
        <v>0</v>
      </c>
      <c r="AG1065" s="85">
        <v>402.26400000000001</v>
      </c>
      <c r="AH1065" s="85">
        <v>0</v>
      </c>
      <c r="AI1065" s="85">
        <v>402.26400000000001</v>
      </c>
      <c r="AJ1065" s="85">
        <v>0</v>
      </c>
      <c r="AK1065" s="85">
        <v>0</v>
      </c>
      <c r="AL1065" s="85">
        <v>0</v>
      </c>
      <c r="AM1065" s="85">
        <v>0</v>
      </c>
      <c r="AN1065" s="85">
        <v>0</v>
      </c>
      <c r="AO1065" s="85">
        <v>0</v>
      </c>
      <c r="AP1065" s="85">
        <v>0</v>
      </c>
      <c r="AQ1065" s="85">
        <v>0</v>
      </c>
      <c r="AR1065" s="85">
        <v>402.26400000000001</v>
      </c>
      <c r="AS1065" s="85">
        <v>0</v>
      </c>
      <c r="AT1065" s="85">
        <v>0</v>
      </c>
      <c r="AU1065" s="85">
        <v>0</v>
      </c>
      <c r="AV1065" s="85">
        <v>0</v>
      </c>
      <c r="AW1065" s="85">
        <v>0</v>
      </c>
      <c r="AX1065" s="85">
        <v>0</v>
      </c>
      <c r="AY1065" s="85">
        <v>0</v>
      </c>
      <c r="AZ1065" s="85">
        <v>0</v>
      </c>
      <c r="BA1065" s="85">
        <v>0</v>
      </c>
      <c r="BB1065" s="89">
        <v>0</v>
      </c>
      <c r="BC1065" s="89">
        <v>0</v>
      </c>
      <c r="BD1065" s="37">
        <v>527627</v>
      </c>
      <c r="BE1065" s="37">
        <v>31876</v>
      </c>
      <c r="BF1065" s="279">
        <v>69336</v>
      </c>
      <c r="BG1065" s="37">
        <v>126481</v>
      </c>
      <c r="BH1065" s="37">
        <v>31922</v>
      </c>
      <c r="BI1065" s="37">
        <v>11576</v>
      </c>
      <c r="BJ1065" s="283">
        <v>239315</v>
      </c>
      <c r="BK1065" s="161"/>
      <c r="BL1065" s="294"/>
      <c r="BM1065"/>
      <c r="BN1065"/>
      <c r="BO1065"/>
      <c r="BP1065"/>
      <c r="BQ1065"/>
      <c r="BR1065"/>
      <c r="BS1065"/>
      <c r="BT1065"/>
      <c r="BU1065"/>
      <c r="BV1065"/>
      <c r="BW1065"/>
      <c r="BX1065"/>
      <c r="BY1065"/>
      <c r="BZ1065"/>
      <c r="CA1065"/>
      <c r="CB1065"/>
      <c r="CC1065"/>
      <c r="CD1065"/>
      <c r="CE1065"/>
      <c r="CF1065"/>
      <c r="CG1065"/>
      <c r="CH1065"/>
      <c r="CI1065"/>
      <c r="CJ1065"/>
    </row>
    <row r="1066" spans="1:88" s="32" customFormat="1" ht="15" customHeight="1" x14ac:dyDescent="0.35">
      <c r="A1066" s="473"/>
      <c r="B1066" s="313">
        <v>39025</v>
      </c>
      <c r="C1066" s="8" t="s">
        <v>341</v>
      </c>
      <c r="D1066" s="18">
        <v>17</v>
      </c>
      <c r="E1066" s="251"/>
      <c r="F1066" s="82"/>
      <c r="G1066" s="79"/>
      <c r="H1066" s="90"/>
      <c r="I1066" s="85"/>
      <c r="J1066" s="85"/>
      <c r="K1066" s="85"/>
      <c r="L1066" s="85"/>
      <c r="M1066" s="85"/>
      <c r="N1066" s="85"/>
      <c r="O1066" s="85"/>
      <c r="P1066" s="85"/>
      <c r="Q1066" s="85"/>
      <c r="R1066" s="85"/>
      <c r="S1066" s="89"/>
      <c r="T1066" s="89" t="s">
        <v>1124</v>
      </c>
      <c r="U1066" s="85"/>
      <c r="V1066" s="85"/>
      <c r="W1066" s="85"/>
      <c r="X1066" s="89" t="s">
        <v>1124</v>
      </c>
      <c r="Y1066" s="79"/>
      <c r="Z1066" s="79"/>
      <c r="AA1066" s="94"/>
      <c r="AB1066" s="79" t="s">
        <v>1124</v>
      </c>
      <c r="AC1066" s="85"/>
      <c r="AD1066" s="85"/>
      <c r="AE1066" s="85"/>
      <c r="AF1066" s="85"/>
      <c r="AG1066" s="85" t="s">
        <v>1124</v>
      </c>
      <c r="AH1066" s="85"/>
      <c r="AI1066" s="85"/>
      <c r="AJ1066" s="85"/>
      <c r="AK1066" s="85"/>
      <c r="AL1066" s="85"/>
      <c r="AM1066" s="85"/>
      <c r="AN1066" s="85"/>
      <c r="AO1066" s="85"/>
      <c r="AP1066" s="85"/>
      <c r="AQ1066" s="85"/>
      <c r="AR1066" s="85" t="s">
        <v>1124</v>
      </c>
      <c r="AS1066" s="85"/>
      <c r="AT1066" s="85"/>
      <c r="AU1066" s="85"/>
      <c r="AV1066" s="85"/>
      <c r="AW1066" s="85"/>
      <c r="AX1066" s="85"/>
      <c r="AY1066" s="85"/>
      <c r="AZ1066" s="85"/>
      <c r="BA1066" s="85"/>
      <c r="BB1066" s="89"/>
      <c r="BC1066" s="89" t="s">
        <v>1124</v>
      </c>
      <c r="BD1066" s="37"/>
      <c r="BE1066" s="37"/>
      <c r="BF1066" s="279"/>
      <c r="BG1066" s="37"/>
      <c r="BH1066" s="37"/>
      <c r="BI1066" s="37"/>
      <c r="BJ1066" s="283"/>
      <c r="BK1066" s="161"/>
      <c r="BL1066" s="294"/>
      <c r="BM1066"/>
      <c r="BN1066"/>
      <c r="BO1066"/>
      <c r="BP1066"/>
      <c r="BQ1066"/>
      <c r="BR1066"/>
      <c r="BS1066"/>
      <c r="BT1066"/>
      <c r="BU1066"/>
      <c r="BV1066"/>
      <c r="BW1066"/>
      <c r="BX1066"/>
      <c r="BY1066"/>
      <c r="BZ1066"/>
      <c r="CA1066"/>
      <c r="CB1066"/>
      <c r="CC1066"/>
      <c r="CD1066"/>
      <c r="CE1066"/>
      <c r="CF1066"/>
      <c r="CG1066"/>
      <c r="CH1066"/>
      <c r="CI1066"/>
      <c r="CJ1066"/>
    </row>
    <row r="1067" spans="1:88" s="32" customFormat="1" ht="15" customHeight="1" x14ac:dyDescent="0.35">
      <c r="A1067" s="473"/>
      <c r="B1067" s="313">
        <v>17035</v>
      </c>
      <c r="C1067" s="8" t="s">
        <v>96</v>
      </c>
      <c r="D1067" s="18">
        <v>12</v>
      </c>
      <c r="E1067" s="251">
        <v>198</v>
      </c>
      <c r="F1067" s="82">
        <v>1.9084967320261439</v>
      </c>
      <c r="G1067" s="79">
        <v>377.88235294117646</v>
      </c>
      <c r="H1067" s="90">
        <v>3.1749999999999998</v>
      </c>
      <c r="I1067" s="85">
        <v>3.28</v>
      </c>
      <c r="J1067" s="85">
        <v>3.5449999999999999</v>
      </c>
      <c r="K1067" s="85">
        <v>3.1280000000000001</v>
      </c>
      <c r="L1067" s="85">
        <v>3.3</v>
      </c>
      <c r="M1067" s="85">
        <v>3.32</v>
      </c>
      <c r="N1067" s="85">
        <v>3.6549999999999998</v>
      </c>
      <c r="O1067" s="85">
        <v>3.5920000000000001</v>
      </c>
      <c r="P1067" s="85">
        <v>3.5510000000000002</v>
      </c>
      <c r="Q1067" s="85">
        <v>4.3940000000000001</v>
      </c>
      <c r="R1067" s="85">
        <v>3.2719999999999998</v>
      </c>
      <c r="S1067" s="89">
        <v>3.5259999999999998</v>
      </c>
      <c r="T1067" s="89">
        <v>41.738</v>
      </c>
      <c r="U1067" s="85">
        <v>0</v>
      </c>
      <c r="V1067" s="85">
        <v>41.738</v>
      </c>
      <c r="W1067" s="85">
        <v>0</v>
      </c>
      <c r="X1067" s="89">
        <v>41.738</v>
      </c>
      <c r="Y1067" s="79">
        <v>0</v>
      </c>
      <c r="Z1067" s="79">
        <v>2</v>
      </c>
      <c r="AA1067" s="94">
        <v>0</v>
      </c>
      <c r="AB1067" s="79">
        <v>2</v>
      </c>
      <c r="AC1067" s="85">
        <v>30.306000000000001</v>
      </c>
      <c r="AD1067" s="85">
        <v>3.9929999999999999</v>
      </c>
      <c r="AE1067" s="85">
        <v>7.4390000000000001</v>
      </c>
      <c r="AF1067" s="85">
        <v>0</v>
      </c>
      <c r="AG1067" s="85">
        <v>41.738</v>
      </c>
      <c r="AH1067" s="85">
        <v>0</v>
      </c>
      <c r="AI1067" s="85">
        <v>0</v>
      </c>
      <c r="AJ1067" s="85">
        <v>0</v>
      </c>
      <c r="AK1067" s="85">
        <v>0</v>
      </c>
      <c r="AL1067" s="85">
        <v>0</v>
      </c>
      <c r="AM1067" s="85">
        <v>0</v>
      </c>
      <c r="AN1067" s="85">
        <v>0</v>
      </c>
      <c r="AO1067" s="85">
        <v>0</v>
      </c>
      <c r="AP1067" s="85">
        <v>0</v>
      </c>
      <c r="AQ1067" s="85">
        <v>0</v>
      </c>
      <c r="AR1067" s="85">
        <v>0</v>
      </c>
      <c r="AS1067" s="85">
        <v>0</v>
      </c>
      <c r="AT1067" s="85">
        <v>0</v>
      </c>
      <c r="AU1067" s="85">
        <v>0</v>
      </c>
      <c r="AV1067" s="85">
        <v>0</v>
      </c>
      <c r="AW1067" s="85">
        <v>0</v>
      </c>
      <c r="AX1067" s="85">
        <v>0</v>
      </c>
      <c r="AY1067" s="85">
        <v>41.738</v>
      </c>
      <c r="AZ1067" s="85">
        <v>0</v>
      </c>
      <c r="BA1067" s="85">
        <v>0</v>
      </c>
      <c r="BB1067" s="89">
        <v>0</v>
      </c>
      <c r="BC1067" s="89">
        <v>41.738</v>
      </c>
      <c r="BD1067" s="37">
        <v>0</v>
      </c>
      <c r="BE1067" s="37">
        <v>0</v>
      </c>
      <c r="BF1067" s="279">
        <v>10097</v>
      </c>
      <c r="BG1067" s="37">
        <v>21393</v>
      </c>
      <c r="BH1067" s="37">
        <v>5653</v>
      </c>
      <c r="BI1067" s="37">
        <v>1930</v>
      </c>
      <c r="BJ1067" s="283">
        <v>39073</v>
      </c>
      <c r="BK1067" s="161"/>
      <c r="BL1067" s="294"/>
      <c r="BM1067"/>
      <c r="BN1067"/>
      <c r="BO1067"/>
      <c r="BP1067"/>
      <c r="BQ1067"/>
      <c r="BR1067"/>
      <c r="BS1067"/>
      <c r="BT1067"/>
      <c r="BU1067"/>
      <c r="BV1067"/>
      <c r="BW1067"/>
      <c r="BX1067"/>
      <c r="BY1067"/>
      <c r="BZ1067"/>
      <c r="CA1067"/>
      <c r="CB1067"/>
      <c r="CC1067"/>
      <c r="CD1067"/>
      <c r="CE1067"/>
      <c r="CF1067"/>
      <c r="CG1067"/>
      <c r="CH1067"/>
      <c r="CI1067"/>
      <c r="CJ1067"/>
    </row>
    <row r="1068" spans="1:88" s="32" customFormat="1" ht="15" customHeight="1" x14ac:dyDescent="0.35">
      <c r="A1068" s="473"/>
      <c r="B1068" s="313">
        <v>88075</v>
      </c>
      <c r="C1068" s="8" t="s">
        <v>924</v>
      </c>
      <c r="D1068" s="18">
        <v>8</v>
      </c>
      <c r="E1068" s="251"/>
      <c r="F1068" s="82"/>
      <c r="G1068" s="79"/>
      <c r="H1068" s="90"/>
      <c r="I1068" s="85"/>
      <c r="J1068" s="85"/>
      <c r="K1068" s="85"/>
      <c r="L1068" s="85"/>
      <c r="M1068" s="85"/>
      <c r="N1068" s="85"/>
      <c r="O1068" s="85"/>
      <c r="P1068" s="85"/>
      <c r="Q1068" s="85"/>
      <c r="R1068" s="85"/>
      <c r="S1068" s="89"/>
      <c r="T1068" s="89" t="s">
        <v>1124</v>
      </c>
      <c r="U1068" s="85"/>
      <c r="V1068" s="85"/>
      <c r="W1068" s="85"/>
      <c r="X1068" s="89" t="s">
        <v>1124</v>
      </c>
      <c r="Y1068" s="79"/>
      <c r="Z1068" s="79"/>
      <c r="AA1068" s="94"/>
      <c r="AB1068" s="79" t="s">
        <v>1124</v>
      </c>
      <c r="AC1068" s="85"/>
      <c r="AD1068" s="85"/>
      <c r="AE1068" s="85"/>
      <c r="AF1068" s="85"/>
      <c r="AG1068" s="85" t="s">
        <v>1124</v>
      </c>
      <c r="AH1068" s="85"/>
      <c r="AI1068" s="85"/>
      <c r="AJ1068" s="85"/>
      <c r="AK1068" s="85"/>
      <c r="AL1068" s="85"/>
      <c r="AM1068" s="85"/>
      <c r="AN1068" s="85"/>
      <c r="AO1068" s="85"/>
      <c r="AP1068" s="85"/>
      <c r="AQ1068" s="85"/>
      <c r="AR1068" s="85" t="s">
        <v>1124</v>
      </c>
      <c r="AS1068" s="85"/>
      <c r="AT1068" s="85"/>
      <c r="AU1068" s="85"/>
      <c r="AV1068" s="85"/>
      <c r="AW1068" s="85"/>
      <c r="AX1068" s="85"/>
      <c r="AY1068" s="85"/>
      <c r="AZ1068" s="85"/>
      <c r="BA1068" s="85"/>
      <c r="BB1068" s="89"/>
      <c r="BC1068" s="89" t="s">
        <v>1124</v>
      </c>
      <c r="BD1068" s="37"/>
      <c r="BE1068" s="37"/>
      <c r="BF1068" s="279"/>
      <c r="BG1068" s="37"/>
      <c r="BH1068" s="37"/>
      <c r="BI1068" s="37"/>
      <c r="BJ1068" s="283"/>
      <c r="BK1068" s="161"/>
      <c r="BL1068" s="294"/>
      <c r="BM1068"/>
      <c r="BN1068"/>
      <c r="BO1068"/>
      <c r="BP1068"/>
      <c r="BQ1068"/>
      <c r="BR1068"/>
      <c r="BS1068"/>
      <c r="BT1068"/>
      <c r="BU1068"/>
      <c r="BV1068"/>
      <c r="BW1068"/>
      <c r="BX1068"/>
      <c r="BY1068"/>
      <c r="BZ1068"/>
      <c r="CA1068"/>
      <c r="CB1068"/>
      <c r="CC1068"/>
      <c r="CD1068"/>
      <c r="CE1068"/>
      <c r="CF1068"/>
      <c r="CG1068"/>
      <c r="CH1068"/>
      <c r="CI1068"/>
      <c r="CJ1068"/>
    </row>
    <row r="1069" spans="1:88" s="32" customFormat="1" ht="15" customHeight="1" x14ac:dyDescent="0.35">
      <c r="A1069" s="473"/>
      <c r="B1069" s="313">
        <v>71125</v>
      </c>
      <c r="C1069" s="8" t="s">
        <v>724</v>
      </c>
      <c r="D1069" s="18">
        <v>16</v>
      </c>
      <c r="E1069" s="251"/>
      <c r="F1069" s="82"/>
      <c r="G1069" s="79"/>
      <c r="H1069" s="90"/>
      <c r="I1069" s="85"/>
      <c r="J1069" s="85"/>
      <c r="K1069" s="85"/>
      <c r="L1069" s="85"/>
      <c r="M1069" s="85"/>
      <c r="N1069" s="85"/>
      <c r="O1069" s="85"/>
      <c r="P1069" s="85"/>
      <c r="Q1069" s="85"/>
      <c r="R1069" s="85"/>
      <c r="S1069" s="89"/>
      <c r="T1069" s="89" t="s">
        <v>1124</v>
      </c>
      <c r="U1069" s="85"/>
      <c r="V1069" s="85"/>
      <c r="W1069" s="85"/>
      <c r="X1069" s="89" t="s">
        <v>1124</v>
      </c>
      <c r="Y1069" s="79"/>
      <c r="Z1069" s="79"/>
      <c r="AA1069" s="94"/>
      <c r="AB1069" s="79" t="s">
        <v>1124</v>
      </c>
      <c r="AC1069" s="85"/>
      <c r="AD1069" s="85"/>
      <c r="AE1069" s="85"/>
      <c r="AF1069" s="85"/>
      <c r="AG1069" s="85" t="s">
        <v>1124</v>
      </c>
      <c r="AH1069" s="85"/>
      <c r="AI1069" s="85"/>
      <c r="AJ1069" s="85"/>
      <c r="AK1069" s="85"/>
      <c r="AL1069" s="85"/>
      <c r="AM1069" s="85"/>
      <c r="AN1069" s="85"/>
      <c r="AO1069" s="85"/>
      <c r="AP1069" s="85"/>
      <c r="AQ1069" s="85"/>
      <c r="AR1069" s="85" t="s">
        <v>1124</v>
      </c>
      <c r="AS1069" s="85"/>
      <c r="AT1069" s="85"/>
      <c r="AU1069" s="85"/>
      <c r="AV1069" s="85"/>
      <c r="AW1069" s="85"/>
      <c r="AX1069" s="85"/>
      <c r="AY1069" s="85"/>
      <c r="AZ1069" s="85"/>
      <c r="BA1069" s="85"/>
      <c r="BB1069" s="89"/>
      <c r="BC1069" s="89" t="s">
        <v>1124</v>
      </c>
      <c r="BD1069" s="37"/>
      <c r="BE1069" s="37"/>
      <c r="BF1069" s="279"/>
      <c r="BG1069" s="37"/>
      <c r="BH1069" s="37"/>
      <c r="BI1069" s="37"/>
      <c r="BJ1069" s="283"/>
      <c r="BK1069" s="161"/>
      <c r="BL1069" s="294"/>
      <c r="BM1069"/>
      <c r="BN1069"/>
      <c r="BO1069"/>
      <c r="BP1069"/>
      <c r="BQ1069"/>
      <c r="BR1069"/>
      <c r="BS1069"/>
      <c r="BT1069"/>
      <c r="BU1069"/>
      <c r="BV1069"/>
      <c r="BW1069"/>
      <c r="BX1069"/>
      <c r="BY1069"/>
      <c r="BZ1069"/>
      <c r="CA1069"/>
      <c r="CB1069"/>
      <c r="CC1069"/>
      <c r="CD1069"/>
      <c r="CE1069"/>
      <c r="CF1069"/>
      <c r="CG1069"/>
      <c r="CH1069"/>
      <c r="CI1069"/>
      <c r="CJ1069"/>
    </row>
    <row r="1070" spans="1:88" s="32" customFormat="1" ht="15" customHeight="1" x14ac:dyDescent="0.35">
      <c r="A1070" s="473"/>
      <c r="B1070" s="313">
        <v>69030</v>
      </c>
      <c r="C1070" s="8" t="s">
        <v>688</v>
      </c>
      <c r="D1070" s="18">
        <v>16</v>
      </c>
      <c r="E1070" s="251"/>
      <c r="F1070" s="82"/>
      <c r="G1070" s="79"/>
      <c r="H1070" s="90"/>
      <c r="I1070" s="85"/>
      <c r="J1070" s="85"/>
      <c r="K1070" s="85"/>
      <c r="L1070" s="85"/>
      <c r="M1070" s="85"/>
      <c r="N1070" s="85"/>
      <c r="O1070" s="85"/>
      <c r="P1070" s="85"/>
      <c r="Q1070" s="85"/>
      <c r="R1070" s="85"/>
      <c r="S1070" s="89"/>
      <c r="T1070" s="89" t="s">
        <v>1124</v>
      </c>
      <c r="U1070" s="85"/>
      <c r="V1070" s="85"/>
      <c r="W1070" s="85"/>
      <c r="X1070" s="89" t="s">
        <v>1124</v>
      </c>
      <c r="Y1070" s="79"/>
      <c r="Z1070" s="79"/>
      <c r="AA1070" s="94"/>
      <c r="AB1070" s="79" t="s">
        <v>1124</v>
      </c>
      <c r="AC1070" s="85"/>
      <c r="AD1070" s="85"/>
      <c r="AE1070" s="85"/>
      <c r="AF1070" s="85"/>
      <c r="AG1070" s="85" t="s">
        <v>1124</v>
      </c>
      <c r="AH1070" s="85"/>
      <c r="AI1070" s="85"/>
      <c r="AJ1070" s="85"/>
      <c r="AK1070" s="85"/>
      <c r="AL1070" s="85"/>
      <c r="AM1070" s="85"/>
      <c r="AN1070" s="85"/>
      <c r="AO1070" s="85"/>
      <c r="AP1070" s="85"/>
      <c r="AQ1070" s="85"/>
      <c r="AR1070" s="85" t="s">
        <v>1124</v>
      </c>
      <c r="AS1070" s="85"/>
      <c r="AT1070" s="85"/>
      <c r="AU1070" s="85"/>
      <c r="AV1070" s="85"/>
      <c r="AW1070" s="85"/>
      <c r="AX1070" s="85"/>
      <c r="AY1070" s="85"/>
      <c r="AZ1070" s="85"/>
      <c r="BA1070" s="85"/>
      <c r="BB1070" s="89"/>
      <c r="BC1070" s="89" t="s">
        <v>1124</v>
      </c>
      <c r="BD1070" s="37"/>
      <c r="BE1070" s="37"/>
      <c r="BF1070" s="279"/>
      <c r="BG1070" s="37"/>
      <c r="BH1070" s="37"/>
      <c r="BI1070" s="37"/>
      <c r="BJ1070" s="283"/>
      <c r="BK1070" s="161"/>
      <c r="BL1070" s="294"/>
      <c r="BM1070"/>
      <c r="BN1070"/>
      <c r="BO1070"/>
      <c r="BP1070"/>
      <c r="BQ1070"/>
      <c r="BR1070"/>
      <c r="BS1070"/>
      <c r="BT1070"/>
      <c r="BU1070"/>
      <c r="BV1070"/>
      <c r="BW1070"/>
      <c r="BX1070"/>
      <c r="BY1070"/>
      <c r="BZ1070"/>
      <c r="CA1070"/>
      <c r="CB1070"/>
      <c r="CC1070"/>
      <c r="CD1070"/>
      <c r="CE1070"/>
      <c r="CF1070"/>
      <c r="CG1070"/>
      <c r="CH1070"/>
      <c r="CI1070"/>
      <c r="CJ1070"/>
    </row>
    <row r="1071" spans="1:88" s="32" customFormat="1" ht="15" customHeight="1" x14ac:dyDescent="0.35">
      <c r="A1071" s="473"/>
      <c r="B1071" s="313">
        <v>27060</v>
      </c>
      <c r="C1071" s="8" t="s">
        <v>185</v>
      </c>
      <c r="D1071" s="18">
        <v>12</v>
      </c>
      <c r="E1071" s="251">
        <v>615</v>
      </c>
      <c r="F1071" s="82">
        <v>2.1689708141321042</v>
      </c>
      <c r="G1071" s="79">
        <v>1333.9170506912442</v>
      </c>
      <c r="H1071" s="90">
        <v>11.88</v>
      </c>
      <c r="I1071" s="85">
        <v>11.381</v>
      </c>
      <c r="J1071" s="85">
        <v>12.545999999999999</v>
      </c>
      <c r="K1071" s="85">
        <v>11.589</v>
      </c>
      <c r="L1071" s="85">
        <v>14.201000000000001</v>
      </c>
      <c r="M1071" s="85">
        <v>13.619</v>
      </c>
      <c r="N1071" s="85">
        <v>16.18</v>
      </c>
      <c r="O1071" s="85">
        <v>13.805999999999999</v>
      </c>
      <c r="P1071" s="85">
        <v>13.205</v>
      </c>
      <c r="Q1071" s="85">
        <v>12.351000000000001</v>
      </c>
      <c r="R1071" s="85">
        <v>11.025</v>
      </c>
      <c r="S1071" s="89">
        <v>12.164</v>
      </c>
      <c r="T1071" s="89">
        <v>153.947</v>
      </c>
      <c r="U1071" s="85">
        <v>0</v>
      </c>
      <c r="V1071" s="85">
        <v>153.947</v>
      </c>
      <c r="W1071" s="85">
        <v>0</v>
      </c>
      <c r="X1071" s="89">
        <v>153.947</v>
      </c>
      <c r="Y1071" s="79">
        <v>0</v>
      </c>
      <c r="Z1071" s="79">
        <v>4</v>
      </c>
      <c r="AA1071" s="94">
        <v>0</v>
      </c>
      <c r="AB1071" s="79">
        <v>4</v>
      </c>
      <c r="AC1071" s="85">
        <v>80.853300000000004</v>
      </c>
      <c r="AD1071" s="85">
        <v>5.8589049999999929</v>
      </c>
      <c r="AE1071" s="85">
        <v>67.234795000000005</v>
      </c>
      <c r="AF1071" s="85">
        <v>0</v>
      </c>
      <c r="AG1071" s="85">
        <v>153.947</v>
      </c>
      <c r="AH1071" s="85">
        <v>0</v>
      </c>
      <c r="AI1071" s="85">
        <v>0</v>
      </c>
      <c r="AJ1071" s="85">
        <v>0</v>
      </c>
      <c r="AK1071" s="85">
        <v>0</v>
      </c>
      <c r="AL1071" s="85">
        <v>0</v>
      </c>
      <c r="AM1071" s="85">
        <v>0</v>
      </c>
      <c r="AN1071" s="85">
        <v>0</v>
      </c>
      <c r="AO1071" s="85">
        <v>0</v>
      </c>
      <c r="AP1071" s="85">
        <v>0</v>
      </c>
      <c r="AQ1071" s="85">
        <v>0</v>
      </c>
      <c r="AR1071" s="85">
        <v>0</v>
      </c>
      <c r="AS1071" s="85">
        <v>0</v>
      </c>
      <c r="AT1071" s="85">
        <v>0</v>
      </c>
      <c r="AU1071" s="85">
        <v>0</v>
      </c>
      <c r="AV1071" s="85">
        <v>153.947</v>
      </c>
      <c r="AW1071" s="85">
        <v>0</v>
      </c>
      <c r="AX1071" s="85">
        <v>0</v>
      </c>
      <c r="AY1071" s="85">
        <v>0</v>
      </c>
      <c r="AZ1071" s="85">
        <v>0</v>
      </c>
      <c r="BA1071" s="85">
        <v>0</v>
      </c>
      <c r="BB1071" s="89">
        <v>0</v>
      </c>
      <c r="BC1071" s="89">
        <v>153.947</v>
      </c>
      <c r="BD1071" s="37">
        <v>0</v>
      </c>
      <c r="BE1071" s="37">
        <v>0</v>
      </c>
      <c r="BF1071" s="279">
        <v>20538</v>
      </c>
      <c r="BG1071" s="37">
        <v>0</v>
      </c>
      <c r="BH1071" s="37">
        <v>24561</v>
      </c>
      <c r="BI1071" s="37">
        <v>9246</v>
      </c>
      <c r="BJ1071" s="283">
        <v>54345</v>
      </c>
      <c r="BK1071" s="161"/>
      <c r="BL1071" s="294"/>
      <c r="BM1071"/>
      <c r="BN1071"/>
      <c r="BO1071"/>
      <c r="BP1071"/>
      <c r="BQ1071"/>
      <c r="BR1071"/>
      <c r="BS1071"/>
      <c r="BT1071"/>
      <c r="BU1071"/>
      <c r="BV1071"/>
      <c r="BW1071"/>
      <c r="BX1071"/>
      <c r="BY1071"/>
      <c r="BZ1071"/>
      <c r="CA1071"/>
      <c r="CB1071"/>
      <c r="CC1071"/>
      <c r="CD1071"/>
      <c r="CE1071"/>
      <c r="CF1071"/>
      <c r="CG1071"/>
      <c r="CH1071"/>
      <c r="CI1071"/>
      <c r="CJ1071"/>
    </row>
    <row r="1072" spans="1:88" s="32" customFormat="1" ht="15" customHeight="1" x14ac:dyDescent="0.35">
      <c r="A1072" s="473"/>
      <c r="B1072" s="313">
        <v>11040</v>
      </c>
      <c r="C1072" s="8" t="s">
        <v>24</v>
      </c>
      <c r="D1072" s="18">
        <v>1</v>
      </c>
      <c r="E1072" s="251">
        <v>1633</v>
      </c>
      <c r="F1072" s="82">
        <v>2.0099999999999998</v>
      </c>
      <c r="G1072" s="79">
        <v>3282.3299999999995</v>
      </c>
      <c r="H1072" s="90">
        <v>40.762</v>
      </c>
      <c r="I1072" s="85">
        <v>41.802</v>
      </c>
      <c r="J1072" s="85">
        <v>47.78</v>
      </c>
      <c r="K1072" s="85">
        <v>48.524000000000001</v>
      </c>
      <c r="L1072" s="85">
        <v>46.100999999999999</v>
      </c>
      <c r="M1072" s="85">
        <v>48.404000000000003</v>
      </c>
      <c r="N1072" s="85">
        <v>56.72</v>
      </c>
      <c r="O1072" s="85">
        <v>52.334000000000003</v>
      </c>
      <c r="P1072" s="85">
        <v>45.252000000000002</v>
      </c>
      <c r="Q1072" s="85">
        <v>40.747999999999998</v>
      </c>
      <c r="R1072" s="85">
        <v>36.314999999999998</v>
      </c>
      <c r="S1072" s="89">
        <v>39.938000000000002</v>
      </c>
      <c r="T1072" s="89">
        <v>544.67999999999995</v>
      </c>
      <c r="U1072" s="85">
        <v>544.67999999999995</v>
      </c>
      <c r="V1072" s="85">
        <v>0</v>
      </c>
      <c r="W1072" s="85">
        <v>0</v>
      </c>
      <c r="X1072" s="89">
        <v>544.67999999999995</v>
      </c>
      <c r="Y1072" s="79">
        <v>1</v>
      </c>
      <c r="Z1072" s="79">
        <v>0</v>
      </c>
      <c r="AA1072" s="94">
        <v>0</v>
      </c>
      <c r="AB1072" s="79">
        <v>1</v>
      </c>
      <c r="AC1072" s="85">
        <v>345.93126450511949</v>
      </c>
      <c r="AD1072" s="85">
        <v>33.308365494880476</v>
      </c>
      <c r="AE1072" s="85">
        <v>76.002369999999985</v>
      </c>
      <c r="AF1072" s="85">
        <v>89.438000000000002</v>
      </c>
      <c r="AG1072" s="85">
        <v>544.67999999999995</v>
      </c>
      <c r="AH1072" s="85">
        <v>544.67999999999995</v>
      </c>
      <c r="AI1072" s="85">
        <v>0</v>
      </c>
      <c r="AJ1072" s="85">
        <v>0</v>
      </c>
      <c r="AK1072" s="85">
        <v>0</v>
      </c>
      <c r="AL1072" s="85">
        <v>0</v>
      </c>
      <c r="AM1072" s="85">
        <v>0</v>
      </c>
      <c r="AN1072" s="85">
        <v>0</v>
      </c>
      <c r="AO1072" s="85">
        <v>0</v>
      </c>
      <c r="AP1072" s="85">
        <v>0</v>
      </c>
      <c r="AQ1072" s="85">
        <v>0</v>
      </c>
      <c r="AR1072" s="85">
        <v>544.67999999999995</v>
      </c>
      <c r="AS1072" s="85">
        <v>0</v>
      </c>
      <c r="AT1072" s="85">
        <v>0</v>
      </c>
      <c r="AU1072" s="85">
        <v>0</v>
      </c>
      <c r="AV1072" s="85">
        <v>0</v>
      </c>
      <c r="AW1072" s="85">
        <v>0</v>
      </c>
      <c r="AX1072" s="85">
        <v>0</v>
      </c>
      <c r="AY1072" s="85">
        <v>0</v>
      </c>
      <c r="AZ1072" s="85">
        <v>0</v>
      </c>
      <c r="BA1072" s="85">
        <v>0</v>
      </c>
      <c r="BB1072" s="89">
        <v>0</v>
      </c>
      <c r="BC1072" s="89">
        <v>0</v>
      </c>
      <c r="BD1072" s="37">
        <v>0</v>
      </c>
      <c r="BE1072" s="37">
        <v>1636</v>
      </c>
      <c r="BF1072" s="279">
        <v>98880</v>
      </c>
      <c r="BG1072" s="37">
        <v>346277</v>
      </c>
      <c r="BH1072" s="37">
        <v>122379</v>
      </c>
      <c r="BI1072" s="37">
        <v>61528</v>
      </c>
      <c r="BJ1072" s="283">
        <v>629064</v>
      </c>
      <c r="BK1072" s="161" t="s">
        <v>3582</v>
      </c>
      <c r="BL1072" s="294"/>
      <c r="BM1072"/>
      <c r="BN1072"/>
      <c r="BO1072"/>
      <c r="BP1072"/>
      <c r="BQ1072"/>
      <c r="BR1072"/>
      <c r="BS1072"/>
      <c r="BT1072"/>
      <c r="BU1072"/>
      <c r="BV1072"/>
      <c r="BW1072"/>
      <c r="BX1072"/>
      <c r="BY1072"/>
      <c r="BZ1072"/>
      <c r="CA1072"/>
      <c r="CB1072"/>
      <c r="CC1072"/>
      <c r="CD1072"/>
      <c r="CE1072"/>
      <c r="CF1072"/>
      <c r="CG1072"/>
      <c r="CH1072"/>
      <c r="CI1072"/>
      <c r="CJ1072"/>
    </row>
    <row r="1073" spans="1:88" s="32" customFormat="1" ht="15" customHeight="1" x14ac:dyDescent="0.35">
      <c r="A1073" s="473"/>
      <c r="B1073" s="313">
        <v>35055</v>
      </c>
      <c r="C1073" s="8" t="s">
        <v>312</v>
      </c>
      <c r="D1073" s="18">
        <v>4</v>
      </c>
      <c r="E1073" s="251"/>
      <c r="F1073" s="82"/>
      <c r="G1073" s="79"/>
      <c r="H1073" s="90"/>
      <c r="I1073" s="85"/>
      <c r="J1073" s="85"/>
      <c r="K1073" s="85"/>
      <c r="L1073" s="85"/>
      <c r="M1073" s="85"/>
      <c r="N1073" s="85"/>
      <c r="O1073" s="85"/>
      <c r="P1073" s="85"/>
      <c r="Q1073" s="85"/>
      <c r="R1073" s="85"/>
      <c r="S1073" s="89"/>
      <c r="T1073" s="89" t="s">
        <v>1124</v>
      </c>
      <c r="U1073" s="85"/>
      <c r="V1073" s="85"/>
      <c r="W1073" s="85"/>
      <c r="X1073" s="89" t="s">
        <v>1124</v>
      </c>
      <c r="Y1073" s="79"/>
      <c r="Z1073" s="79"/>
      <c r="AA1073" s="94"/>
      <c r="AB1073" s="79" t="s">
        <v>1124</v>
      </c>
      <c r="AC1073" s="85"/>
      <c r="AD1073" s="85"/>
      <c r="AE1073" s="85"/>
      <c r="AF1073" s="85"/>
      <c r="AG1073" s="85" t="s">
        <v>1124</v>
      </c>
      <c r="AH1073" s="85"/>
      <c r="AI1073" s="85"/>
      <c r="AJ1073" s="85"/>
      <c r="AK1073" s="85"/>
      <c r="AL1073" s="85"/>
      <c r="AM1073" s="85"/>
      <c r="AN1073" s="85"/>
      <c r="AO1073" s="85"/>
      <c r="AP1073" s="85"/>
      <c r="AQ1073" s="85"/>
      <c r="AR1073" s="85" t="s">
        <v>1124</v>
      </c>
      <c r="AS1073" s="85"/>
      <c r="AT1073" s="85"/>
      <c r="AU1073" s="85"/>
      <c r="AV1073" s="85"/>
      <c r="AW1073" s="85"/>
      <c r="AX1073" s="85"/>
      <c r="AY1073" s="85"/>
      <c r="AZ1073" s="85"/>
      <c r="BA1073" s="85"/>
      <c r="BB1073" s="89"/>
      <c r="BC1073" s="89" t="s">
        <v>1124</v>
      </c>
      <c r="BD1073" s="37"/>
      <c r="BE1073" s="37"/>
      <c r="BF1073" s="279"/>
      <c r="BG1073" s="37"/>
      <c r="BH1073" s="37"/>
      <c r="BI1073" s="37"/>
      <c r="BJ1073" s="283"/>
      <c r="BK1073" s="161"/>
      <c r="BL1073" s="294"/>
      <c r="BM1073"/>
      <c r="BN1073"/>
      <c r="BO1073"/>
      <c r="BP1073"/>
      <c r="BQ1073"/>
      <c r="BR1073"/>
      <c r="BS1073"/>
      <c r="BT1073"/>
      <c r="BU1073"/>
      <c r="BV1073"/>
      <c r="BW1073"/>
      <c r="BX1073"/>
      <c r="BY1073"/>
      <c r="BZ1073"/>
      <c r="CA1073"/>
      <c r="CB1073"/>
      <c r="CC1073"/>
      <c r="CD1073"/>
      <c r="CE1073"/>
      <c r="CF1073"/>
      <c r="CG1073"/>
      <c r="CH1073"/>
      <c r="CI1073"/>
      <c r="CJ1073"/>
    </row>
    <row r="1074" spans="1:88" s="32" customFormat="1" ht="15" customHeight="1" x14ac:dyDescent="0.35">
      <c r="A1074" s="473"/>
      <c r="B1074" s="313">
        <v>37067</v>
      </c>
      <c r="C1074" s="8" t="s">
        <v>314</v>
      </c>
      <c r="D1074" s="18">
        <v>4</v>
      </c>
      <c r="E1074" s="251">
        <v>71943</v>
      </c>
      <c r="F1074" s="82">
        <v>1.9424698367636621</v>
      </c>
      <c r="G1074" s="79">
        <v>139747.10746628814</v>
      </c>
      <c r="H1074" s="90">
        <v>1546.14</v>
      </c>
      <c r="I1074" s="85">
        <v>1432.453</v>
      </c>
      <c r="J1074" s="85">
        <v>1556.799</v>
      </c>
      <c r="K1074" s="85">
        <v>1533.8989999999999</v>
      </c>
      <c r="L1074" s="85">
        <v>1783.3309999999999</v>
      </c>
      <c r="M1074" s="85">
        <v>1869.9880000000001</v>
      </c>
      <c r="N1074" s="85">
        <v>2152.3389999999999</v>
      </c>
      <c r="O1074" s="85">
        <v>1992.4190000000001</v>
      </c>
      <c r="P1074" s="85">
        <v>1736.45</v>
      </c>
      <c r="Q1074" s="85">
        <v>1710.777</v>
      </c>
      <c r="R1074" s="85">
        <v>1583.1980000000001</v>
      </c>
      <c r="S1074" s="89">
        <v>1673.616</v>
      </c>
      <c r="T1074" s="89">
        <v>20571.409</v>
      </c>
      <c r="U1074" s="85">
        <v>14437.857</v>
      </c>
      <c r="V1074" s="85">
        <v>6133.5519999999997</v>
      </c>
      <c r="W1074" s="85">
        <v>0</v>
      </c>
      <c r="X1074" s="89">
        <v>20571.409</v>
      </c>
      <c r="Y1074" s="79">
        <v>3</v>
      </c>
      <c r="Z1074" s="79">
        <v>3</v>
      </c>
      <c r="AA1074" s="94">
        <v>0</v>
      </c>
      <c r="AB1074" s="79">
        <v>6</v>
      </c>
      <c r="AC1074" s="85">
        <v>12937.183517291931</v>
      </c>
      <c r="AD1074" s="85">
        <v>2239.7020747080733</v>
      </c>
      <c r="AE1074" s="85">
        <v>5304.3184079999955</v>
      </c>
      <c r="AF1074" s="85">
        <v>90.205000000000013</v>
      </c>
      <c r="AG1074" s="85">
        <v>20571.409</v>
      </c>
      <c r="AH1074" s="85">
        <v>14437.857</v>
      </c>
      <c r="AI1074" s="85">
        <v>0</v>
      </c>
      <c r="AJ1074" s="85">
        <v>0</v>
      </c>
      <c r="AK1074" s="85">
        <v>0</v>
      </c>
      <c r="AL1074" s="85">
        <v>0</v>
      </c>
      <c r="AM1074" s="85">
        <v>0</v>
      </c>
      <c r="AN1074" s="85">
        <v>0</v>
      </c>
      <c r="AO1074" s="85">
        <v>0</v>
      </c>
      <c r="AP1074" s="85">
        <v>0</v>
      </c>
      <c r="AQ1074" s="85">
        <v>0</v>
      </c>
      <c r="AR1074" s="85">
        <v>14437.857</v>
      </c>
      <c r="AS1074" s="85">
        <v>0</v>
      </c>
      <c r="AT1074" s="85">
        <v>0</v>
      </c>
      <c r="AU1074" s="85">
        <v>0</v>
      </c>
      <c r="AV1074" s="85">
        <v>0</v>
      </c>
      <c r="AW1074" s="85">
        <v>0</v>
      </c>
      <c r="AX1074" s="85">
        <v>0</v>
      </c>
      <c r="AY1074" s="85">
        <v>538.85900000000004</v>
      </c>
      <c r="AZ1074" s="85">
        <v>5594.6930000000002</v>
      </c>
      <c r="BA1074" s="85">
        <v>0</v>
      </c>
      <c r="BB1074" s="89">
        <v>0</v>
      </c>
      <c r="BC1074" s="89">
        <v>6133.5520000000006</v>
      </c>
      <c r="BD1074" s="37">
        <v>1982627</v>
      </c>
      <c r="BE1074" s="37">
        <v>677242</v>
      </c>
      <c r="BF1074" s="279">
        <v>1484155</v>
      </c>
      <c r="BG1074" s="37">
        <v>2389115</v>
      </c>
      <c r="BH1074" s="37">
        <v>351045</v>
      </c>
      <c r="BI1074" s="37">
        <v>385279</v>
      </c>
      <c r="BJ1074" s="283">
        <v>4609594</v>
      </c>
      <c r="BK1074" s="161"/>
      <c r="BL1074" s="294"/>
      <c r="BM1074"/>
      <c r="BN1074"/>
      <c r="BO1074"/>
      <c r="BP1074"/>
      <c r="BQ1074"/>
      <c r="BR1074"/>
      <c r="BS1074"/>
      <c r="BT1074"/>
      <c r="BU1074"/>
      <c r="BV1074"/>
      <c r="BW1074"/>
      <c r="BX1074"/>
      <c r="BY1074"/>
      <c r="BZ1074"/>
      <c r="CA1074"/>
      <c r="CB1074"/>
      <c r="CC1074"/>
      <c r="CD1074"/>
      <c r="CE1074"/>
      <c r="CF1074"/>
      <c r="CG1074"/>
      <c r="CH1074"/>
      <c r="CI1074"/>
      <c r="CJ1074"/>
    </row>
    <row r="1075" spans="1:88" s="32" customFormat="1" ht="15" customHeight="1" x14ac:dyDescent="0.35">
      <c r="A1075" s="473"/>
      <c r="B1075" s="313">
        <v>42078</v>
      </c>
      <c r="C1075" s="8" t="s">
        <v>391</v>
      </c>
      <c r="D1075" s="18">
        <v>5</v>
      </c>
      <c r="E1075" s="251"/>
      <c r="F1075" s="82"/>
      <c r="G1075" s="79"/>
      <c r="H1075" s="90"/>
      <c r="I1075" s="85"/>
      <c r="J1075" s="85"/>
      <c r="K1075" s="85"/>
      <c r="L1075" s="85"/>
      <c r="M1075" s="85"/>
      <c r="N1075" s="85"/>
      <c r="O1075" s="85"/>
      <c r="P1075" s="85"/>
      <c r="Q1075" s="85"/>
      <c r="R1075" s="85"/>
      <c r="S1075" s="89"/>
      <c r="T1075" s="89" t="s">
        <v>1124</v>
      </c>
      <c r="U1075" s="85"/>
      <c r="V1075" s="85"/>
      <c r="W1075" s="85"/>
      <c r="X1075" s="89" t="s">
        <v>1124</v>
      </c>
      <c r="Y1075" s="79"/>
      <c r="Z1075" s="79"/>
      <c r="AA1075" s="94"/>
      <c r="AB1075" s="79" t="s">
        <v>1124</v>
      </c>
      <c r="AC1075" s="85"/>
      <c r="AD1075" s="85"/>
      <c r="AE1075" s="85"/>
      <c r="AF1075" s="85"/>
      <c r="AG1075" s="85" t="s">
        <v>1124</v>
      </c>
      <c r="AH1075" s="85"/>
      <c r="AI1075" s="85"/>
      <c r="AJ1075" s="85"/>
      <c r="AK1075" s="85"/>
      <c r="AL1075" s="85"/>
      <c r="AM1075" s="85"/>
      <c r="AN1075" s="85"/>
      <c r="AO1075" s="85"/>
      <c r="AP1075" s="85"/>
      <c r="AQ1075" s="85"/>
      <c r="AR1075" s="85" t="s">
        <v>1124</v>
      </c>
      <c r="AS1075" s="85"/>
      <c r="AT1075" s="85"/>
      <c r="AU1075" s="85"/>
      <c r="AV1075" s="85"/>
      <c r="AW1075" s="85"/>
      <c r="AX1075" s="85"/>
      <c r="AY1075" s="85"/>
      <c r="AZ1075" s="85"/>
      <c r="BA1075" s="85"/>
      <c r="BB1075" s="89"/>
      <c r="BC1075" s="89" t="s">
        <v>1124</v>
      </c>
      <c r="BD1075" s="37"/>
      <c r="BE1075" s="37"/>
      <c r="BF1075" s="279"/>
      <c r="BG1075" s="37"/>
      <c r="BH1075" s="37"/>
      <c r="BI1075" s="37"/>
      <c r="BJ1075" s="283"/>
      <c r="BK1075" s="161"/>
      <c r="BL1075" s="294"/>
      <c r="BM1075"/>
      <c r="BN1075"/>
      <c r="BO1075"/>
      <c r="BP1075"/>
      <c r="BQ1075"/>
      <c r="BR1075"/>
      <c r="BS1075"/>
      <c r="BT1075"/>
      <c r="BU1075"/>
      <c r="BV1075"/>
      <c r="BW1075"/>
      <c r="BX1075"/>
      <c r="BY1075"/>
      <c r="BZ1075"/>
      <c r="CA1075"/>
      <c r="CB1075"/>
      <c r="CC1075"/>
      <c r="CD1075"/>
      <c r="CE1075"/>
      <c r="CF1075"/>
      <c r="CG1075"/>
      <c r="CH1075"/>
      <c r="CI1075"/>
      <c r="CJ1075"/>
    </row>
    <row r="1076" spans="1:88" s="32" customFormat="1" ht="15" customHeight="1" x14ac:dyDescent="0.35">
      <c r="A1076" s="473"/>
      <c r="B1076" s="313">
        <v>48038</v>
      </c>
      <c r="C1076" s="8" t="s">
        <v>461</v>
      </c>
      <c r="D1076" s="18">
        <v>16</v>
      </c>
      <c r="E1076" s="251">
        <v>526</v>
      </c>
      <c r="F1076" s="82">
        <v>2.7058823529411766</v>
      </c>
      <c r="G1076" s="79">
        <v>1423.294117647059</v>
      </c>
      <c r="H1076" s="90">
        <v>30.896999999999998</v>
      </c>
      <c r="I1076" s="85">
        <v>28.327000000000002</v>
      </c>
      <c r="J1076" s="85">
        <v>31.779</v>
      </c>
      <c r="K1076" s="85">
        <v>30.36</v>
      </c>
      <c r="L1076" s="85">
        <v>33.902000000000001</v>
      </c>
      <c r="M1076" s="85">
        <v>35.290999999999997</v>
      </c>
      <c r="N1076" s="85">
        <v>37.762</v>
      </c>
      <c r="O1076" s="85">
        <v>35.997999999999998</v>
      </c>
      <c r="P1076" s="85">
        <v>34.904000000000003</v>
      </c>
      <c r="Q1076" s="85">
        <v>37.700000000000003</v>
      </c>
      <c r="R1076" s="85">
        <v>38.378999999999998</v>
      </c>
      <c r="S1076" s="89">
        <v>35.020000000000003</v>
      </c>
      <c r="T1076" s="89">
        <v>410.31899999999996</v>
      </c>
      <c r="U1076" s="85">
        <v>0</v>
      </c>
      <c r="V1076" s="85">
        <v>410.31899999999996</v>
      </c>
      <c r="W1076" s="85">
        <v>0</v>
      </c>
      <c r="X1076" s="89">
        <v>410.31899999999996</v>
      </c>
      <c r="Y1076" s="79">
        <v>0</v>
      </c>
      <c r="Z1076" s="79">
        <v>1</v>
      </c>
      <c r="AA1076" s="94">
        <v>0</v>
      </c>
      <c r="AB1076" s="79">
        <v>1</v>
      </c>
      <c r="AC1076" s="85">
        <v>120.45307067137809</v>
      </c>
      <c r="AD1076" s="85">
        <v>157.75058443066268</v>
      </c>
      <c r="AE1076" s="85">
        <v>132.11534489795918</v>
      </c>
      <c r="AF1076" s="85">
        <v>0</v>
      </c>
      <c r="AG1076" s="85">
        <v>410.31899999999996</v>
      </c>
      <c r="AH1076" s="85">
        <v>0</v>
      </c>
      <c r="AI1076" s="85">
        <v>0</v>
      </c>
      <c r="AJ1076" s="85">
        <v>0</v>
      </c>
      <c r="AK1076" s="85">
        <v>0</v>
      </c>
      <c r="AL1076" s="85">
        <v>0</v>
      </c>
      <c r="AM1076" s="85">
        <v>0</v>
      </c>
      <c r="AN1076" s="85">
        <v>0</v>
      </c>
      <c r="AO1076" s="85">
        <v>0</v>
      </c>
      <c r="AP1076" s="85">
        <v>0</v>
      </c>
      <c r="AQ1076" s="85">
        <v>0</v>
      </c>
      <c r="AR1076" s="85">
        <v>0</v>
      </c>
      <c r="AS1076" s="85">
        <v>0</v>
      </c>
      <c r="AT1076" s="85">
        <v>0</v>
      </c>
      <c r="AU1076" s="85">
        <v>410.31899999999996</v>
      </c>
      <c r="AV1076" s="85">
        <v>0</v>
      </c>
      <c r="AW1076" s="85">
        <v>0</v>
      </c>
      <c r="AX1076" s="85">
        <v>0</v>
      </c>
      <c r="AY1076" s="85">
        <v>0</v>
      </c>
      <c r="AZ1076" s="85">
        <v>0</v>
      </c>
      <c r="BA1076" s="85">
        <v>0</v>
      </c>
      <c r="BB1076" s="89">
        <v>0</v>
      </c>
      <c r="BC1076" s="89">
        <v>410.31899999999996</v>
      </c>
      <c r="BD1076" s="37">
        <v>29798</v>
      </c>
      <c r="BE1076" s="37">
        <v>125775</v>
      </c>
      <c r="BF1076" s="279">
        <v>60888</v>
      </c>
      <c r="BG1076" s="37">
        <v>60883</v>
      </c>
      <c r="BH1076" s="37">
        <v>24183</v>
      </c>
      <c r="BI1076" s="37">
        <v>4866.6000000000004</v>
      </c>
      <c r="BJ1076" s="283">
        <v>150820.6</v>
      </c>
      <c r="BK1076" s="161"/>
      <c r="BL1076" s="294"/>
      <c r="BM1076"/>
      <c r="BN1076"/>
      <c r="BO1076"/>
      <c r="BP1076"/>
      <c r="BQ1076"/>
      <c r="BR1076"/>
      <c r="BS1076"/>
      <c r="BT1076"/>
      <c r="BU1076"/>
      <c r="BV1076"/>
      <c r="BW1076"/>
      <c r="BX1076"/>
      <c r="BY1076"/>
      <c r="BZ1076"/>
      <c r="CA1076"/>
      <c r="CB1076"/>
      <c r="CC1076"/>
      <c r="CD1076"/>
      <c r="CE1076"/>
      <c r="CF1076"/>
      <c r="CG1076"/>
      <c r="CH1076"/>
      <c r="CI1076"/>
      <c r="CJ1076"/>
    </row>
    <row r="1077" spans="1:88" s="32" customFormat="1" ht="15" customHeight="1" x14ac:dyDescent="0.35">
      <c r="A1077" s="473"/>
      <c r="B1077" s="313">
        <v>33070</v>
      </c>
      <c r="C1077" s="8" t="s">
        <v>277</v>
      </c>
      <c r="D1077" s="18">
        <v>12</v>
      </c>
      <c r="E1077" s="251"/>
      <c r="F1077" s="82"/>
      <c r="G1077" s="79"/>
      <c r="H1077" s="90"/>
      <c r="I1077" s="85"/>
      <c r="J1077" s="85"/>
      <c r="K1077" s="85"/>
      <c r="L1077" s="85"/>
      <c r="M1077" s="85"/>
      <c r="N1077" s="85"/>
      <c r="O1077" s="85"/>
      <c r="P1077" s="85"/>
      <c r="Q1077" s="85"/>
      <c r="R1077" s="85"/>
      <c r="S1077" s="89"/>
      <c r="T1077" s="89" t="s">
        <v>1124</v>
      </c>
      <c r="U1077" s="85"/>
      <c r="V1077" s="85"/>
      <c r="W1077" s="85"/>
      <c r="X1077" s="89" t="s">
        <v>1124</v>
      </c>
      <c r="Y1077" s="79"/>
      <c r="Z1077" s="79"/>
      <c r="AA1077" s="94"/>
      <c r="AB1077" s="79" t="s">
        <v>1124</v>
      </c>
      <c r="AC1077" s="85"/>
      <c r="AD1077" s="85"/>
      <c r="AE1077" s="85"/>
      <c r="AF1077" s="85"/>
      <c r="AG1077" s="85" t="s">
        <v>1124</v>
      </c>
      <c r="AH1077" s="85"/>
      <c r="AI1077" s="85"/>
      <c r="AJ1077" s="85"/>
      <c r="AK1077" s="85"/>
      <c r="AL1077" s="85"/>
      <c r="AM1077" s="85"/>
      <c r="AN1077" s="85"/>
      <c r="AO1077" s="85"/>
      <c r="AP1077" s="85"/>
      <c r="AQ1077" s="85"/>
      <c r="AR1077" s="85" t="s">
        <v>1124</v>
      </c>
      <c r="AS1077" s="85"/>
      <c r="AT1077" s="85"/>
      <c r="AU1077" s="85"/>
      <c r="AV1077" s="85"/>
      <c r="AW1077" s="85"/>
      <c r="AX1077" s="85"/>
      <c r="AY1077" s="85"/>
      <c r="AZ1077" s="85"/>
      <c r="BA1077" s="85"/>
      <c r="BB1077" s="89"/>
      <c r="BC1077" s="89" t="s">
        <v>1124</v>
      </c>
      <c r="BD1077" s="37"/>
      <c r="BE1077" s="37"/>
      <c r="BF1077" s="279"/>
      <c r="BG1077" s="37"/>
      <c r="BH1077" s="37"/>
      <c r="BI1077" s="37"/>
      <c r="BJ1077" s="283"/>
      <c r="BK1077" s="161"/>
      <c r="BL1077" s="294"/>
      <c r="BM1077"/>
      <c r="BN1077"/>
      <c r="BO1077"/>
      <c r="BP1077"/>
      <c r="BQ1077"/>
      <c r="BR1077"/>
      <c r="BS1077"/>
      <c r="BT1077"/>
      <c r="BU1077"/>
      <c r="BV1077"/>
      <c r="BW1077"/>
      <c r="BX1077"/>
      <c r="BY1077"/>
      <c r="BZ1077"/>
      <c r="CA1077"/>
      <c r="CB1077"/>
      <c r="CC1077"/>
      <c r="CD1077"/>
      <c r="CE1077"/>
      <c r="CF1077"/>
      <c r="CG1077"/>
      <c r="CH1077"/>
      <c r="CI1077"/>
      <c r="CJ1077"/>
    </row>
    <row r="1078" spans="1:88" s="32" customFormat="1" ht="15" customHeight="1" x14ac:dyDescent="0.35">
      <c r="A1078" s="473"/>
      <c r="B1078" s="313">
        <v>7080</v>
      </c>
      <c r="C1078" s="8" t="s">
        <v>1080</v>
      </c>
      <c r="D1078" s="18">
        <v>1</v>
      </c>
      <c r="E1078" s="251">
        <v>267</v>
      </c>
      <c r="F1078" s="82">
        <v>2.0379464285714284</v>
      </c>
      <c r="G1078" s="79">
        <v>544.13169642857133</v>
      </c>
      <c r="H1078" s="90">
        <v>8.9700000000000006</v>
      </c>
      <c r="I1078" s="85">
        <v>8.1959999999999997</v>
      </c>
      <c r="J1078" s="85">
        <v>10.175000000000001</v>
      </c>
      <c r="K1078" s="85">
        <v>9.5220000000000002</v>
      </c>
      <c r="L1078" s="85">
        <v>9.7989999999999995</v>
      </c>
      <c r="M1078" s="85">
        <v>8.2309999999999999</v>
      </c>
      <c r="N1078" s="85">
        <v>9.218</v>
      </c>
      <c r="O1078" s="85">
        <v>9.7769999999999992</v>
      </c>
      <c r="P1078" s="85">
        <v>8.7479999999999993</v>
      </c>
      <c r="Q1078" s="85">
        <v>7.09</v>
      </c>
      <c r="R1078" s="85">
        <v>6.3310000000000004</v>
      </c>
      <c r="S1078" s="89">
        <v>6.9749999999999996</v>
      </c>
      <c r="T1078" s="89">
        <v>103.03200000000001</v>
      </c>
      <c r="U1078" s="85">
        <v>0</v>
      </c>
      <c r="V1078" s="85">
        <v>103.032</v>
      </c>
      <c r="W1078" s="85">
        <v>0</v>
      </c>
      <c r="X1078" s="89">
        <v>103.032</v>
      </c>
      <c r="Y1078" s="79">
        <v>0</v>
      </c>
      <c r="Z1078" s="79">
        <v>1</v>
      </c>
      <c r="AA1078" s="94">
        <v>0</v>
      </c>
      <c r="AB1078" s="79">
        <v>1</v>
      </c>
      <c r="AC1078" s="85">
        <v>34.559212230215827</v>
      </c>
      <c r="AD1078" s="85">
        <v>2.9692677697841958</v>
      </c>
      <c r="AE1078" s="85">
        <v>65.503519999999995</v>
      </c>
      <c r="AF1078" s="85">
        <v>0</v>
      </c>
      <c r="AG1078" s="85">
        <v>103.03200000000001</v>
      </c>
      <c r="AH1078" s="85">
        <v>0</v>
      </c>
      <c r="AI1078" s="85">
        <v>0</v>
      </c>
      <c r="AJ1078" s="85">
        <v>0</v>
      </c>
      <c r="AK1078" s="85">
        <v>0</v>
      </c>
      <c r="AL1078" s="85">
        <v>0</v>
      </c>
      <c r="AM1078" s="85">
        <v>0</v>
      </c>
      <c r="AN1078" s="85">
        <v>0</v>
      </c>
      <c r="AO1078" s="85">
        <v>0</v>
      </c>
      <c r="AP1078" s="85">
        <v>0</v>
      </c>
      <c r="AQ1078" s="85">
        <v>0</v>
      </c>
      <c r="AR1078" s="85">
        <v>0</v>
      </c>
      <c r="AS1078" s="85">
        <v>0</v>
      </c>
      <c r="AT1078" s="85">
        <v>0</v>
      </c>
      <c r="AU1078" s="85">
        <v>0</v>
      </c>
      <c r="AV1078" s="85">
        <v>0</v>
      </c>
      <c r="AW1078" s="85">
        <v>0</v>
      </c>
      <c r="AX1078" s="85">
        <v>0</v>
      </c>
      <c r="AY1078" s="85">
        <v>103.032</v>
      </c>
      <c r="AZ1078" s="85">
        <v>0</v>
      </c>
      <c r="BA1078" s="85">
        <v>0</v>
      </c>
      <c r="BB1078" s="89">
        <v>0</v>
      </c>
      <c r="BC1078" s="89">
        <v>103.032</v>
      </c>
      <c r="BD1078" s="37">
        <v>0</v>
      </c>
      <c r="BE1078" s="37">
        <v>0</v>
      </c>
      <c r="BF1078" s="279">
        <v>11145</v>
      </c>
      <c r="BG1078" s="37">
        <v>18716</v>
      </c>
      <c r="BH1078" s="37">
        <v>4660</v>
      </c>
      <c r="BI1078" s="37">
        <v>8908</v>
      </c>
      <c r="BJ1078" s="283">
        <v>43429</v>
      </c>
      <c r="BK1078" s="161"/>
      <c r="BL1078" s="294"/>
      <c r="BM1078"/>
      <c r="BN1078"/>
      <c r="BO1078"/>
      <c r="BP1078"/>
      <c r="BQ1078"/>
      <c r="BR1078"/>
      <c r="BS1078"/>
      <c r="BT1078"/>
      <c r="BU1078"/>
      <c r="BV1078"/>
      <c r="BW1078"/>
      <c r="BX1078"/>
      <c r="BY1078"/>
      <c r="BZ1078"/>
      <c r="CA1078"/>
      <c r="CB1078"/>
      <c r="CC1078"/>
      <c r="CD1078"/>
      <c r="CE1078"/>
      <c r="CF1078"/>
      <c r="CG1078"/>
      <c r="CH1078"/>
      <c r="CI1078"/>
      <c r="CJ1078"/>
    </row>
    <row r="1079" spans="1:88" s="32" customFormat="1" ht="15" customHeight="1" x14ac:dyDescent="0.35">
      <c r="A1079" s="473"/>
      <c r="B1079" s="313">
        <v>42060</v>
      </c>
      <c r="C1079" s="8" t="s">
        <v>387</v>
      </c>
      <c r="D1079" s="18">
        <v>5</v>
      </c>
      <c r="E1079" s="251"/>
      <c r="F1079" s="82"/>
      <c r="G1079" s="79"/>
      <c r="H1079" s="90"/>
      <c r="I1079" s="85"/>
      <c r="J1079" s="85"/>
      <c r="K1079" s="85"/>
      <c r="L1079" s="85"/>
      <c r="M1079" s="85"/>
      <c r="N1079" s="85"/>
      <c r="O1079" s="85"/>
      <c r="P1079" s="85"/>
      <c r="Q1079" s="85"/>
      <c r="R1079" s="85"/>
      <c r="S1079" s="89"/>
      <c r="T1079" s="89" t="s">
        <v>1124</v>
      </c>
      <c r="U1079" s="85"/>
      <c r="V1079" s="85"/>
      <c r="W1079" s="85"/>
      <c r="X1079" s="89" t="s">
        <v>1124</v>
      </c>
      <c r="Y1079" s="79"/>
      <c r="Z1079" s="79"/>
      <c r="AA1079" s="94"/>
      <c r="AB1079" s="79" t="s">
        <v>1124</v>
      </c>
      <c r="AC1079" s="85"/>
      <c r="AD1079" s="85"/>
      <c r="AE1079" s="85"/>
      <c r="AF1079" s="85"/>
      <c r="AG1079" s="85" t="s">
        <v>1124</v>
      </c>
      <c r="AH1079" s="85"/>
      <c r="AI1079" s="85"/>
      <c r="AJ1079" s="85"/>
      <c r="AK1079" s="85"/>
      <c r="AL1079" s="85"/>
      <c r="AM1079" s="85"/>
      <c r="AN1079" s="85"/>
      <c r="AO1079" s="85"/>
      <c r="AP1079" s="85"/>
      <c r="AQ1079" s="85"/>
      <c r="AR1079" s="85" t="s">
        <v>1124</v>
      </c>
      <c r="AS1079" s="85"/>
      <c r="AT1079" s="85"/>
      <c r="AU1079" s="85"/>
      <c r="AV1079" s="85"/>
      <c r="AW1079" s="85"/>
      <c r="AX1079" s="85"/>
      <c r="AY1079" s="85"/>
      <c r="AZ1079" s="85"/>
      <c r="BA1079" s="85"/>
      <c r="BB1079" s="89"/>
      <c r="BC1079" s="89" t="s">
        <v>1124</v>
      </c>
      <c r="BD1079" s="37"/>
      <c r="BE1079" s="37"/>
      <c r="BF1079" s="279"/>
      <c r="BG1079" s="37"/>
      <c r="BH1079" s="37"/>
      <c r="BI1079" s="37"/>
      <c r="BJ1079" s="283"/>
      <c r="BK1079" s="161"/>
      <c r="BL1079" s="294"/>
      <c r="BM1079"/>
      <c r="BN1079"/>
      <c r="BO1079"/>
      <c r="BP1079"/>
      <c r="BQ1079"/>
      <c r="BR1079"/>
      <c r="BS1079"/>
      <c r="BT1079"/>
      <c r="BU1079"/>
      <c r="BV1079"/>
      <c r="BW1079"/>
      <c r="BX1079"/>
      <c r="BY1079"/>
      <c r="BZ1079"/>
      <c r="CA1079"/>
      <c r="CB1079"/>
      <c r="CC1079"/>
      <c r="CD1079"/>
      <c r="CE1079"/>
      <c r="CF1079"/>
      <c r="CG1079"/>
      <c r="CH1079"/>
      <c r="CI1079"/>
      <c r="CJ1079"/>
    </row>
    <row r="1080" spans="1:88" s="32" customFormat="1" ht="15" customHeight="1" x14ac:dyDescent="0.35">
      <c r="A1080" s="473"/>
      <c r="B1080" s="313">
        <v>42055</v>
      </c>
      <c r="C1080" s="8" t="s">
        <v>386</v>
      </c>
      <c r="D1080" s="18">
        <v>5</v>
      </c>
      <c r="E1080" s="251">
        <v>1330</v>
      </c>
      <c r="F1080" s="82">
        <v>2.4078341013824884</v>
      </c>
      <c r="G1080" s="79">
        <v>3202.4193548387098</v>
      </c>
      <c r="H1080" s="90">
        <v>30.744</v>
      </c>
      <c r="I1080" s="85">
        <v>28.905999999999999</v>
      </c>
      <c r="J1080" s="85">
        <v>34.112000000000002</v>
      </c>
      <c r="K1080" s="85">
        <v>30.632000000000001</v>
      </c>
      <c r="L1080" s="85">
        <v>38.826000000000001</v>
      </c>
      <c r="M1080" s="85">
        <v>41.460999999999999</v>
      </c>
      <c r="N1080" s="85">
        <v>42.218000000000004</v>
      </c>
      <c r="O1080" s="85">
        <v>43.579000000000001</v>
      </c>
      <c r="P1080" s="85">
        <v>36.255999999999858</v>
      </c>
      <c r="Q1080" s="85">
        <v>36.064</v>
      </c>
      <c r="R1080" s="85">
        <v>33.68</v>
      </c>
      <c r="S1080" s="89">
        <v>33.340000000000003</v>
      </c>
      <c r="T1080" s="89">
        <v>429.81799999999987</v>
      </c>
      <c r="U1080" s="85">
        <v>429.81799999999998</v>
      </c>
      <c r="V1080" s="85">
        <v>0</v>
      </c>
      <c r="W1080" s="85">
        <v>0</v>
      </c>
      <c r="X1080" s="89">
        <v>429.81799999999998</v>
      </c>
      <c r="Y1080" s="79">
        <v>1</v>
      </c>
      <c r="Z1080" s="79">
        <v>0</v>
      </c>
      <c r="AA1080" s="94">
        <v>0</v>
      </c>
      <c r="AB1080" s="79">
        <v>1</v>
      </c>
      <c r="AC1080" s="85">
        <v>276.35306694807576</v>
      </c>
      <c r="AD1080" s="85">
        <v>100.51452905192426</v>
      </c>
      <c r="AE1080" s="85">
        <v>52.95040399999997</v>
      </c>
      <c r="AF1080" s="85">
        <v>0</v>
      </c>
      <c r="AG1080" s="85">
        <v>429.81800000000004</v>
      </c>
      <c r="AH1080" s="85">
        <v>0</v>
      </c>
      <c r="AI1080" s="85">
        <v>0</v>
      </c>
      <c r="AJ1080" s="85">
        <v>0</v>
      </c>
      <c r="AK1080" s="85">
        <v>0</v>
      </c>
      <c r="AL1080" s="85">
        <v>0</v>
      </c>
      <c r="AM1080" s="85">
        <v>0</v>
      </c>
      <c r="AN1080" s="85">
        <v>429.81799999999998</v>
      </c>
      <c r="AO1080" s="85">
        <v>0</v>
      </c>
      <c r="AP1080" s="85">
        <v>0</v>
      </c>
      <c r="AQ1080" s="85">
        <v>0</v>
      </c>
      <c r="AR1080" s="85">
        <v>429.81799999999998</v>
      </c>
      <c r="AS1080" s="85">
        <v>0</v>
      </c>
      <c r="AT1080" s="85">
        <v>0</v>
      </c>
      <c r="AU1080" s="85">
        <v>0</v>
      </c>
      <c r="AV1080" s="85">
        <v>0</v>
      </c>
      <c r="AW1080" s="85">
        <v>0</v>
      </c>
      <c r="AX1080" s="85">
        <v>0</v>
      </c>
      <c r="AY1080" s="85">
        <v>0</v>
      </c>
      <c r="AZ1080" s="85">
        <v>0</v>
      </c>
      <c r="BA1080" s="85">
        <v>0</v>
      </c>
      <c r="BB1080" s="89">
        <v>0</v>
      </c>
      <c r="BC1080" s="89">
        <v>0</v>
      </c>
      <c r="BD1080" s="37">
        <v>0</v>
      </c>
      <c r="BE1080" s="37">
        <v>14416</v>
      </c>
      <c r="BF1080" s="279">
        <v>21700</v>
      </c>
      <c r="BG1080" s="37">
        <v>111440</v>
      </c>
      <c r="BH1080" s="37">
        <v>16000</v>
      </c>
      <c r="BI1080" s="37">
        <v>0</v>
      </c>
      <c r="BJ1080" s="283">
        <v>149140</v>
      </c>
      <c r="BK1080" s="161"/>
      <c r="BL1080" s="294"/>
      <c r="BM1080"/>
      <c r="BN1080"/>
      <c r="BO1080"/>
      <c r="BP1080"/>
      <c r="BQ1080"/>
      <c r="BR1080"/>
      <c r="BS1080"/>
      <c r="BT1080"/>
      <c r="BU1080"/>
      <c r="BV1080"/>
      <c r="BW1080"/>
      <c r="BX1080"/>
      <c r="BY1080"/>
      <c r="BZ1080"/>
      <c r="CA1080"/>
      <c r="CB1080"/>
      <c r="CC1080"/>
      <c r="CD1080"/>
      <c r="CE1080"/>
      <c r="CF1080"/>
      <c r="CG1080"/>
      <c r="CH1080"/>
      <c r="CI1080"/>
      <c r="CJ1080"/>
    </row>
    <row r="1081" spans="1:88" s="32" customFormat="1" ht="15" customHeight="1" x14ac:dyDescent="0.35">
      <c r="A1081" s="473"/>
      <c r="B1081" s="313">
        <v>78010</v>
      </c>
      <c r="C1081" s="8" t="s">
        <v>767</v>
      </c>
      <c r="D1081" s="18">
        <v>15</v>
      </c>
      <c r="E1081" s="251">
        <v>2900</v>
      </c>
      <c r="F1081" s="82">
        <v>1.749748068525361</v>
      </c>
      <c r="G1081" s="79">
        <v>5074.2693987235471</v>
      </c>
      <c r="H1081" s="90">
        <v>72.051000000000002</v>
      </c>
      <c r="I1081" s="85">
        <v>67.17</v>
      </c>
      <c r="J1081" s="85">
        <v>75.106999999999999</v>
      </c>
      <c r="K1081" s="85">
        <v>71.096000000000004</v>
      </c>
      <c r="L1081" s="85">
        <v>75.114000000000004</v>
      </c>
      <c r="M1081" s="85">
        <v>73.838999999999999</v>
      </c>
      <c r="N1081" s="85">
        <v>84.635999999999996</v>
      </c>
      <c r="O1081" s="85">
        <v>87.090999999999994</v>
      </c>
      <c r="P1081" s="85">
        <v>73.948999999999998</v>
      </c>
      <c r="Q1081" s="85">
        <v>69.48</v>
      </c>
      <c r="R1081" s="85">
        <v>62.872999999999998</v>
      </c>
      <c r="S1081" s="89">
        <v>69.043000000000006</v>
      </c>
      <c r="T1081" s="89">
        <v>881.44900000000007</v>
      </c>
      <c r="U1081" s="85">
        <v>0</v>
      </c>
      <c r="V1081" s="85">
        <v>881.44899999999996</v>
      </c>
      <c r="W1081" s="85">
        <v>0</v>
      </c>
      <c r="X1081" s="89">
        <v>881.44899999999996</v>
      </c>
      <c r="Y1081" s="79">
        <v>0</v>
      </c>
      <c r="Z1081" s="79">
        <v>5</v>
      </c>
      <c r="AA1081" s="94">
        <v>0</v>
      </c>
      <c r="AB1081" s="79">
        <v>5</v>
      </c>
      <c r="AC1081" s="85">
        <v>408.88799999999998</v>
      </c>
      <c r="AD1081" s="85">
        <v>96.760999999999967</v>
      </c>
      <c r="AE1081" s="85">
        <v>375.8</v>
      </c>
      <c r="AF1081" s="85">
        <v>0</v>
      </c>
      <c r="AG1081" s="85">
        <v>881.44899999999996</v>
      </c>
      <c r="AH1081" s="85">
        <v>0</v>
      </c>
      <c r="AI1081" s="85">
        <v>0</v>
      </c>
      <c r="AJ1081" s="85">
        <v>0</v>
      </c>
      <c r="AK1081" s="85">
        <v>0</v>
      </c>
      <c r="AL1081" s="85">
        <v>0</v>
      </c>
      <c r="AM1081" s="85">
        <v>0</v>
      </c>
      <c r="AN1081" s="85">
        <v>0</v>
      </c>
      <c r="AO1081" s="85">
        <v>0</v>
      </c>
      <c r="AP1081" s="85">
        <v>0</v>
      </c>
      <c r="AQ1081" s="85">
        <v>0</v>
      </c>
      <c r="AR1081" s="85">
        <v>0</v>
      </c>
      <c r="AS1081" s="85">
        <v>0</v>
      </c>
      <c r="AT1081" s="85">
        <v>0</v>
      </c>
      <c r="AU1081" s="85">
        <v>0</v>
      </c>
      <c r="AV1081" s="85">
        <v>0</v>
      </c>
      <c r="AW1081" s="85">
        <v>0</v>
      </c>
      <c r="AX1081" s="85">
        <v>0</v>
      </c>
      <c r="AY1081" s="85">
        <v>881.44899999999996</v>
      </c>
      <c r="AZ1081" s="85">
        <v>0</v>
      </c>
      <c r="BA1081" s="85">
        <v>0</v>
      </c>
      <c r="BB1081" s="89">
        <v>0</v>
      </c>
      <c r="BC1081" s="89">
        <v>881.44899999999996</v>
      </c>
      <c r="BD1081" s="37">
        <v>0</v>
      </c>
      <c r="BE1081" s="37">
        <v>0</v>
      </c>
      <c r="BF1081" s="279">
        <v>52129</v>
      </c>
      <c r="BG1081" s="37">
        <v>35819</v>
      </c>
      <c r="BH1081" s="37">
        <v>79623</v>
      </c>
      <c r="BI1081" s="37">
        <v>24463</v>
      </c>
      <c r="BJ1081" s="283">
        <v>192034</v>
      </c>
      <c r="BK1081" s="161" t="s">
        <v>3615</v>
      </c>
      <c r="BL1081" s="294"/>
      <c r="BM1081"/>
      <c r="BN1081"/>
      <c r="BO1081"/>
      <c r="BP1081"/>
      <c r="BQ1081"/>
      <c r="BR1081"/>
      <c r="BS1081"/>
      <c r="BT1081"/>
      <c r="BU1081"/>
      <c r="BV1081"/>
      <c r="BW1081"/>
      <c r="BX1081"/>
      <c r="BY1081"/>
      <c r="BZ1081"/>
      <c r="CA1081"/>
      <c r="CB1081"/>
      <c r="CC1081"/>
      <c r="CD1081"/>
      <c r="CE1081"/>
      <c r="CF1081"/>
      <c r="CG1081"/>
      <c r="CH1081"/>
      <c r="CI1081"/>
      <c r="CJ1081"/>
    </row>
    <row r="1082" spans="1:88" s="32" customFormat="1" ht="15" customHeight="1" x14ac:dyDescent="0.35">
      <c r="A1082" s="473"/>
      <c r="B1082" s="313">
        <v>80140</v>
      </c>
      <c r="C1082" s="8" t="s">
        <v>825</v>
      </c>
      <c r="D1082" s="18">
        <v>7</v>
      </c>
      <c r="E1082" s="251"/>
      <c r="F1082" s="82"/>
      <c r="G1082" s="79"/>
      <c r="H1082" s="90"/>
      <c r="I1082" s="85"/>
      <c r="J1082" s="85"/>
      <c r="K1082" s="85"/>
      <c r="L1082" s="85"/>
      <c r="M1082" s="85"/>
      <c r="N1082" s="85"/>
      <c r="O1082" s="85"/>
      <c r="P1082" s="85"/>
      <c r="Q1082" s="85"/>
      <c r="R1082" s="85"/>
      <c r="S1082" s="89"/>
      <c r="T1082" s="89" t="s">
        <v>1124</v>
      </c>
      <c r="U1082" s="85"/>
      <c r="V1082" s="85"/>
      <c r="W1082" s="85"/>
      <c r="X1082" s="89" t="s">
        <v>1124</v>
      </c>
      <c r="Y1082" s="79"/>
      <c r="Z1082" s="79"/>
      <c r="AA1082" s="94"/>
      <c r="AB1082" s="79" t="s">
        <v>1124</v>
      </c>
      <c r="AC1082" s="85"/>
      <c r="AD1082" s="85"/>
      <c r="AE1082" s="85"/>
      <c r="AF1082" s="85"/>
      <c r="AG1082" s="85" t="s">
        <v>1124</v>
      </c>
      <c r="AH1082" s="85"/>
      <c r="AI1082" s="85"/>
      <c r="AJ1082" s="85"/>
      <c r="AK1082" s="85"/>
      <c r="AL1082" s="85"/>
      <c r="AM1082" s="85"/>
      <c r="AN1082" s="85"/>
      <c r="AO1082" s="85"/>
      <c r="AP1082" s="85"/>
      <c r="AQ1082" s="85"/>
      <c r="AR1082" s="85" t="s">
        <v>1124</v>
      </c>
      <c r="AS1082" s="85"/>
      <c r="AT1082" s="85"/>
      <c r="AU1082" s="85"/>
      <c r="AV1082" s="85"/>
      <c r="AW1082" s="85"/>
      <c r="AX1082" s="85"/>
      <c r="AY1082" s="85"/>
      <c r="AZ1082" s="85"/>
      <c r="BA1082" s="85"/>
      <c r="BB1082" s="89"/>
      <c r="BC1082" s="89" t="s">
        <v>1124</v>
      </c>
      <c r="BD1082" s="37"/>
      <c r="BE1082" s="37"/>
      <c r="BF1082" s="279"/>
      <c r="BG1082" s="37"/>
      <c r="BH1082" s="37"/>
      <c r="BI1082" s="37"/>
      <c r="BJ1082" s="283"/>
      <c r="BK1082" s="161"/>
      <c r="BL1082" s="294"/>
      <c r="BM1082"/>
      <c r="BN1082"/>
      <c r="BO1082"/>
      <c r="BP1082"/>
      <c r="BQ1082"/>
      <c r="BR1082"/>
      <c r="BS1082"/>
      <c r="BT1082"/>
      <c r="BU1082"/>
      <c r="BV1082"/>
      <c r="BW1082"/>
      <c r="BX1082"/>
      <c r="BY1082"/>
      <c r="BZ1082"/>
      <c r="CA1082"/>
      <c r="CB1082"/>
      <c r="CC1082"/>
      <c r="CD1082"/>
      <c r="CE1082"/>
      <c r="CF1082"/>
      <c r="CG1082"/>
      <c r="CH1082"/>
      <c r="CI1082"/>
      <c r="CJ1082"/>
    </row>
    <row r="1083" spans="1:88" s="32" customFormat="1" ht="15" customHeight="1" x14ac:dyDescent="0.35">
      <c r="A1083" s="473"/>
      <c r="B1083" s="313">
        <v>78100</v>
      </c>
      <c r="C1083" s="8" t="s">
        <v>780</v>
      </c>
      <c r="D1083" s="18">
        <v>15</v>
      </c>
      <c r="E1083" s="251"/>
      <c r="F1083" s="82"/>
      <c r="G1083" s="79"/>
      <c r="H1083" s="90"/>
      <c r="I1083" s="85"/>
      <c r="J1083" s="85"/>
      <c r="K1083" s="85"/>
      <c r="L1083" s="85"/>
      <c r="M1083" s="85"/>
      <c r="N1083" s="85"/>
      <c r="O1083" s="85"/>
      <c r="P1083" s="85"/>
      <c r="Q1083" s="85"/>
      <c r="R1083" s="85"/>
      <c r="S1083" s="89"/>
      <c r="T1083" s="89" t="s">
        <v>1124</v>
      </c>
      <c r="U1083" s="85"/>
      <c r="V1083" s="85"/>
      <c r="W1083" s="85"/>
      <c r="X1083" s="89" t="s">
        <v>1124</v>
      </c>
      <c r="Y1083" s="79"/>
      <c r="Z1083" s="79"/>
      <c r="AA1083" s="94"/>
      <c r="AB1083" s="79" t="s">
        <v>1124</v>
      </c>
      <c r="AC1083" s="85"/>
      <c r="AD1083" s="85"/>
      <c r="AE1083" s="85"/>
      <c r="AF1083" s="85"/>
      <c r="AG1083" s="85" t="s">
        <v>1124</v>
      </c>
      <c r="AH1083" s="85"/>
      <c r="AI1083" s="85"/>
      <c r="AJ1083" s="85"/>
      <c r="AK1083" s="85"/>
      <c r="AL1083" s="85"/>
      <c r="AM1083" s="85"/>
      <c r="AN1083" s="85"/>
      <c r="AO1083" s="85"/>
      <c r="AP1083" s="85"/>
      <c r="AQ1083" s="85"/>
      <c r="AR1083" s="85" t="s">
        <v>1124</v>
      </c>
      <c r="AS1083" s="85"/>
      <c r="AT1083" s="85"/>
      <c r="AU1083" s="85"/>
      <c r="AV1083" s="85"/>
      <c r="AW1083" s="85"/>
      <c r="AX1083" s="85"/>
      <c r="AY1083" s="85"/>
      <c r="AZ1083" s="85"/>
      <c r="BA1083" s="85"/>
      <c r="BB1083" s="89"/>
      <c r="BC1083" s="89" t="s">
        <v>1124</v>
      </c>
      <c r="BD1083" s="37"/>
      <c r="BE1083" s="37"/>
      <c r="BF1083" s="279"/>
      <c r="BG1083" s="37"/>
      <c r="BH1083" s="37"/>
      <c r="BI1083" s="37"/>
      <c r="BJ1083" s="283"/>
      <c r="BK1083" s="161"/>
      <c r="BL1083" s="294"/>
      <c r="BM1083"/>
      <c r="BN1083"/>
      <c r="BO1083"/>
      <c r="BP1083"/>
      <c r="BQ1083"/>
      <c r="BR1083"/>
      <c r="BS1083"/>
      <c r="BT1083"/>
      <c r="BU1083"/>
      <c r="BV1083"/>
      <c r="BW1083"/>
      <c r="BX1083"/>
      <c r="BY1083"/>
      <c r="BZ1083"/>
      <c r="CA1083"/>
      <c r="CB1083"/>
      <c r="CC1083"/>
      <c r="CD1083"/>
      <c r="CE1083"/>
      <c r="CF1083"/>
      <c r="CG1083"/>
      <c r="CH1083"/>
      <c r="CI1083"/>
      <c r="CJ1083"/>
    </row>
    <row r="1084" spans="1:88" s="32" customFormat="1" ht="15" customHeight="1" x14ac:dyDescent="0.35">
      <c r="A1084" s="473"/>
      <c r="B1084" s="313">
        <v>82015</v>
      </c>
      <c r="C1084" s="8" t="s">
        <v>830</v>
      </c>
      <c r="D1084" s="18">
        <v>7</v>
      </c>
      <c r="E1084" s="251"/>
      <c r="F1084" s="82"/>
      <c r="G1084" s="79"/>
      <c r="H1084" s="90"/>
      <c r="I1084" s="85"/>
      <c r="J1084" s="85"/>
      <c r="K1084" s="85"/>
      <c r="L1084" s="85"/>
      <c r="M1084" s="85"/>
      <c r="N1084" s="85"/>
      <c r="O1084" s="85"/>
      <c r="P1084" s="85"/>
      <c r="Q1084" s="85"/>
      <c r="R1084" s="85"/>
      <c r="S1084" s="89"/>
      <c r="T1084" s="89" t="s">
        <v>1124</v>
      </c>
      <c r="U1084" s="85"/>
      <c r="V1084" s="85"/>
      <c r="W1084" s="85"/>
      <c r="X1084" s="89" t="s">
        <v>1124</v>
      </c>
      <c r="Y1084" s="79"/>
      <c r="Z1084" s="79"/>
      <c r="AA1084" s="94"/>
      <c r="AB1084" s="79" t="s">
        <v>1124</v>
      </c>
      <c r="AC1084" s="85"/>
      <c r="AD1084" s="85"/>
      <c r="AE1084" s="85"/>
      <c r="AF1084" s="85"/>
      <c r="AG1084" s="85" t="s">
        <v>1124</v>
      </c>
      <c r="AH1084" s="85"/>
      <c r="AI1084" s="85"/>
      <c r="AJ1084" s="85"/>
      <c r="AK1084" s="85"/>
      <c r="AL1084" s="85"/>
      <c r="AM1084" s="85"/>
      <c r="AN1084" s="85"/>
      <c r="AO1084" s="85"/>
      <c r="AP1084" s="85"/>
      <c r="AQ1084" s="85"/>
      <c r="AR1084" s="85" t="s">
        <v>1124</v>
      </c>
      <c r="AS1084" s="85"/>
      <c r="AT1084" s="85"/>
      <c r="AU1084" s="85"/>
      <c r="AV1084" s="85"/>
      <c r="AW1084" s="85"/>
      <c r="AX1084" s="85"/>
      <c r="AY1084" s="85"/>
      <c r="AZ1084" s="85"/>
      <c r="BA1084" s="85"/>
      <c r="BB1084" s="89"/>
      <c r="BC1084" s="89" t="s">
        <v>1124</v>
      </c>
      <c r="BD1084" s="37"/>
      <c r="BE1084" s="37"/>
      <c r="BF1084" s="279"/>
      <c r="BG1084" s="37"/>
      <c r="BH1084" s="37"/>
      <c r="BI1084" s="37"/>
      <c r="BJ1084" s="283"/>
      <c r="BK1084" s="161"/>
      <c r="BL1084" s="294"/>
      <c r="BM1084"/>
      <c r="BN1084"/>
      <c r="BO1084"/>
      <c r="BP1084"/>
      <c r="BQ1084"/>
      <c r="BR1084"/>
      <c r="BS1084"/>
      <c r="BT1084"/>
      <c r="BU1084"/>
      <c r="BV1084"/>
      <c r="BW1084"/>
      <c r="BX1084"/>
      <c r="BY1084"/>
      <c r="BZ1084"/>
      <c r="CA1084"/>
      <c r="CB1084"/>
      <c r="CC1084"/>
      <c r="CD1084"/>
      <c r="CE1084"/>
      <c r="CF1084"/>
      <c r="CG1084"/>
      <c r="CH1084"/>
      <c r="CI1084"/>
      <c r="CJ1084"/>
    </row>
    <row r="1085" spans="1:88" s="32" customFormat="1" ht="15" customHeight="1" x14ac:dyDescent="0.35">
      <c r="A1085" s="473"/>
      <c r="B1085" s="313">
        <v>89008</v>
      </c>
      <c r="C1085" s="8" t="s">
        <v>928</v>
      </c>
      <c r="D1085" s="18">
        <v>8</v>
      </c>
      <c r="E1085" s="251">
        <v>12499</v>
      </c>
      <c r="F1085" s="82">
        <v>2.2309465690263086</v>
      </c>
      <c r="G1085" s="79">
        <v>27884.601166259832</v>
      </c>
      <c r="H1085" s="90">
        <v>314.73700000000002</v>
      </c>
      <c r="I1085" s="85">
        <v>313.23899999999998</v>
      </c>
      <c r="J1085" s="85">
        <v>355.92599999999999</v>
      </c>
      <c r="K1085" s="85">
        <v>323.89100000000002</v>
      </c>
      <c r="L1085" s="85">
        <v>343.10300000000001</v>
      </c>
      <c r="M1085" s="85">
        <v>331.83499999999998</v>
      </c>
      <c r="N1085" s="85">
        <v>379.16399999999999</v>
      </c>
      <c r="O1085" s="85">
        <v>337.12400000000002</v>
      </c>
      <c r="P1085" s="85">
        <v>332.96699999999998</v>
      </c>
      <c r="Q1085" s="85">
        <v>304.72199999999998</v>
      </c>
      <c r="R1085" s="85">
        <v>287.471</v>
      </c>
      <c r="S1085" s="89">
        <v>306.18099999999998</v>
      </c>
      <c r="T1085" s="89">
        <v>3930.3600000000006</v>
      </c>
      <c r="U1085" s="85">
        <v>0</v>
      </c>
      <c r="V1085" s="85">
        <v>3930.36</v>
      </c>
      <c r="W1085" s="85">
        <v>0</v>
      </c>
      <c r="X1085" s="89">
        <v>3930.36</v>
      </c>
      <c r="Y1085" s="79">
        <v>0</v>
      </c>
      <c r="Z1085" s="79">
        <v>4</v>
      </c>
      <c r="AA1085" s="94">
        <v>0</v>
      </c>
      <c r="AB1085" s="79">
        <v>4</v>
      </c>
      <c r="AC1085" s="85">
        <v>2318.94</v>
      </c>
      <c r="AD1085" s="85">
        <v>901.53099999999995</v>
      </c>
      <c r="AE1085" s="85">
        <v>709.88900000000001</v>
      </c>
      <c r="AF1085" s="85">
        <v>0</v>
      </c>
      <c r="AG1085" s="85">
        <v>3930.36</v>
      </c>
      <c r="AH1085" s="85">
        <v>0</v>
      </c>
      <c r="AI1085" s="85">
        <v>0</v>
      </c>
      <c r="AJ1085" s="85">
        <v>0</v>
      </c>
      <c r="AK1085" s="85">
        <v>0</v>
      </c>
      <c r="AL1085" s="85">
        <v>0</v>
      </c>
      <c r="AM1085" s="85">
        <v>0</v>
      </c>
      <c r="AN1085" s="85">
        <v>0</v>
      </c>
      <c r="AO1085" s="85">
        <v>0</v>
      </c>
      <c r="AP1085" s="85">
        <v>0</v>
      </c>
      <c r="AQ1085" s="85">
        <v>0</v>
      </c>
      <c r="AR1085" s="85">
        <v>0</v>
      </c>
      <c r="AS1085" s="85">
        <v>0</v>
      </c>
      <c r="AT1085" s="85">
        <v>0</v>
      </c>
      <c r="AU1085" s="85">
        <v>0</v>
      </c>
      <c r="AV1085" s="85">
        <v>0</v>
      </c>
      <c r="AW1085" s="85">
        <v>0</v>
      </c>
      <c r="AX1085" s="85">
        <v>0</v>
      </c>
      <c r="AY1085" s="85">
        <v>4.8879999999999999</v>
      </c>
      <c r="AZ1085" s="85">
        <v>0</v>
      </c>
      <c r="BA1085" s="85">
        <v>3925.4720000000002</v>
      </c>
      <c r="BB1085" s="89">
        <v>0</v>
      </c>
      <c r="BC1085" s="89">
        <v>3930.36</v>
      </c>
      <c r="BD1085" s="37">
        <v>0</v>
      </c>
      <c r="BE1085" s="37">
        <v>0</v>
      </c>
      <c r="BF1085" s="279">
        <v>48005</v>
      </c>
      <c r="BG1085" s="37">
        <v>175435</v>
      </c>
      <c r="BH1085" s="37">
        <v>234965</v>
      </c>
      <c r="BI1085" s="37">
        <v>0</v>
      </c>
      <c r="BJ1085" s="283">
        <v>458405</v>
      </c>
      <c r="BK1085" s="161"/>
      <c r="BL1085" s="294"/>
      <c r="BM1085"/>
      <c r="BN1085"/>
      <c r="BO1085"/>
      <c r="BP1085"/>
      <c r="BQ1085"/>
      <c r="BR1085"/>
      <c r="BS1085"/>
      <c r="BT1085"/>
      <c r="BU1085"/>
      <c r="BV1085"/>
      <c r="BW1085"/>
      <c r="BX1085"/>
      <c r="BY1085"/>
      <c r="BZ1085"/>
      <c r="CA1085"/>
      <c r="CB1085"/>
      <c r="CC1085"/>
      <c r="CD1085"/>
      <c r="CE1085"/>
      <c r="CF1085"/>
      <c r="CG1085"/>
      <c r="CH1085"/>
      <c r="CI1085"/>
      <c r="CJ1085"/>
    </row>
    <row r="1086" spans="1:88" s="32" customFormat="1" ht="15" customHeight="1" x14ac:dyDescent="0.35">
      <c r="A1086" s="473"/>
      <c r="B1086" s="313">
        <v>42095</v>
      </c>
      <c r="C1086" s="8" t="s">
        <v>393</v>
      </c>
      <c r="D1086" s="18">
        <v>5</v>
      </c>
      <c r="E1086" s="251"/>
      <c r="F1086" s="82"/>
      <c r="G1086" s="79"/>
      <c r="H1086" s="90"/>
      <c r="I1086" s="85"/>
      <c r="J1086" s="85"/>
      <c r="K1086" s="85"/>
      <c r="L1086" s="85"/>
      <c r="M1086" s="85"/>
      <c r="N1086" s="85"/>
      <c r="O1086" s="85"/>
      <c r="P1086" s="85"/>
      <c r="Q1086" s="85"/>
      <c r="R1086" s="85"/>
      <c r="S1086" s="89"/>
      <c r="T1086" s="89" t="s">
        <v>1124</v>
      </c>
      <c r="U1086" s="85"/>
      <c r="V1086" s="85"/>
      <c r="W1086" s="85"/>
      <c r="X1086" s="89" t="s">
        <v>1124</v>
      </c>
      <c r="Y1086" s="79"/>
      <c r="Z1086" s="79"/>
      <c r="AA1086" s="94"/>
      <c r="AB1086" s="79" t="s">
        <v>1124</v>
      </c>
      <c r="AC1086" s="85"/>
      <c r="AD1086" s="85"/>
      <c r="AE1086" s="85"/>
      <c r="AF1086" s="85"/>
      <c r="AG1086" s="85" t="s">
        <v>1124</v>
      </c>
      <c r="AH1086" s="85"/>
      <c r="AI1086" s="85"/>
      <c r="AJ1086" s="85"/>
      <c r="AK1086" s="85"/>
      <c r="AL1086" s="85"/>
      <c r="AM1086" s="85"/>
      <c r="AN1086" s="85"/>
      <c r="AO1086" s="85"/>
      <c r="AP1086" s="85"/>
      <c r="AQ1086" s="85"/>
      <c r="AR1086" s="85" t="s">
        <v>1124</v>
      </c>
      <c r="AS1086" s="85"/>
      <c r="AT1086" s="85"/>
      <c r="AU1086" s="85"/>
      <c r="AV1086" s="85"/>
      <c r="AW1086" s="85"/>
      <c r="AX1086" s="85"/>
      <c r="AY1086" s="85"/>
      <c r="AZ1086" s="85"/>
      <c r="BA1086" s="85"/>
      <c r="BB1086" s="89"/>
      <c r="BC1086" s="89" t="s">
        <v>1124</v>
      </c>
      <c r="BD1086" s="37"/>
      <c r="BE1086" s="37"/>
      <c r="BF1086" s="279"/>
      <c r="BG1086" s="37"/>
      <c r="BH1086" s="37"/>
      <c r="BI1086" s="37"/>
      <c r="BJ1086" s="283"/>
      <c r="BK1086" s="161"/>
      <c r="BL1086" s="294"/>
      <c r="BM1086"/>
      <c r="BN1086"/>
      <c r="BO1086"/>
      <c r="BP1086"/>
      <c r="BQ1086"/>
      <c r="BR1086"/>
      <c r="BS1086"/>
      <c r="BT1086"/>
      <c r="BU1086"/>
      <c r="BV1086"/>
      <c r="BW1086"/>
      <c r="BX1086"/>
      <c r="BY1086"/>
      <c r="BZ1086"/>
      <c r="CA1086"/>
      <c r="CB1086"/>
      <c r="CC1086"/>
      <c r="CD1086"/>
      <c r="CE1086"/>
      <c r="CF1086"/>
      <c r="CG1086"/>
      <c r="CH1086"/>
      <c r="CI1086"/>
      <c r="CJ1086"/>
    </row>
    <row r="1087" spans="1:88" s="32" customFormat="1" ht="15" customHeight="1" x14ac:dyDescent="0.35">
      <c r="A1087" s="473"/>
      <c r="B1087" s="313">
        <v>26015</v>
      </c>
      <c r="C1087" s="8" t="s">
        <v>169</v>
      </c>
      <c r="D1087" s="18">
        <v>12</v>
      </c>
      <c r="E1087" s="251">
        <v>944</v>
      </c>
      <c r="F1087" s="82">
        <v>1.68</v>
      </c>
      <c r="G1087" s="79">
        <v>1585.9199999999998</v>
      </c>
      <c r="H1087" s="90">
        <v>20.14</v>
      </c>
      <c r="I1087" s="85">
        <v>24.114999999999998</v>
      </c>
      <c r="J1087" s="85">
        <v>20.97</v>
      </c>
      <c r="K1087" s="85">
        <v>20.893000000000001</v>
      </c>
      <c r="L1087" s="85">
        <v>22.417999999999999</v>
      </c>
      <c r="M1087" s="85">
        <v>19.597999999999999</v>
      </c>
      <c r="N1087" s="85">
        <v>20.573</v>
      </c>
      <c r="O1087" s="85">
        <v>22.129000000000001</v>
      </c>
      <c r="P1087" s="85">
        <v>21.736999999999998</v>
      </c>
      <c r="Q1087" s="85">
        <v>20.632000000000001</v>
      </c>
      <c r="R1087" s="85">
        <v>20.632000000000001</v>
      </c>
      <c r="S1087" s="89">
        <v>20.632000000000001</v>
      </c>
      <c r="T1087" s="89">
        <v>254.46900000000002</v>
      </c>
      <c r="U1087" s="85">
        <v>0</v>
      </c>
      <c r="V1087" s="85">
        <v>254.46899999999999</v>
      </c>
      <c r="W1087" s="85">
        <v>0</v>
      </c>
      <c r="X1087" s="89">
        <v>254.46899999999999</v>
      </c>
      <c r="Y1087" s="79">
        <v>0</v>
      </c>
      <c r="Z1087" s="79">
        <v>2</v>
      </c>
      <c r="AA1087" s="94">
        <v>0</v>
      </c>
      <c r="AB1087" s="79">
        <v>2</v>
      </c>
      <c r="AC1087" s="85">
        <v>173.51400000000001</v>
      </c>
      <c r="AD1087" s="85">
        <v>20.626999999999999</v>
      </c>
      <c r="AE1087" s="85">
        <v>60.328000000000003</v>
      </c>
      <c r="AF1087" s="85">
        <v>0</v>
      </c>
      <c r="AG1087" s="85">
        <v>254.46900000000002</v>
      </c>
      <c r="AH1087" s="85">
        <v>0</v>
      </c>
      <c r="AI1087" s="85">
        <v>0</v>
      </c>
      <c r="AJ1087" s="85">
        <v>0</v>
      </c>
      <c r="AK1087" s="85">
        <v>0</v>
      </c>
      <c r="AL1087" s="85">
        <v>0</v>
      </c>
      <c r="AM1087" s="85">
        <v>0</v>
      </c>
      <c r="AN1087" s="85">
        <v>0</v>
      </c>
      <c r="AO1087" s="85">
        <v>0</v>
      </c>
      <c r="AP1087" s="85">
        <v>0</v>
      </c>
      <c r="AQ1087" s="85">
        <v>0</v>
      </c>
      <c r="AR1087" s="85">
        <v>0</v>
      </c>
      <c r="AS1087" s="85">
        <v>0</v>
      </c>
      <c r="AT1087" s="85">
        <v>0</v>
      </c>
      <c r="AU1087" s="85">
        <v>0</v>
      </c>
      <c r="AV1087" s="85">
        <v>0</v>
      </c>
      <c r="AW1087" s="85">
        <v>0</v>
      </c>
      <c r="AX1087" s="85">
        <v>0</v>
      </c>
      <c r="AY1087" s="85">
        <v>254.46899999999999</v>
      </c>
      <c r="AZ1087" s="85">
        <v>0</v>
      </c>
      <c r="BA1087" s="85">
        <v>0</v>
      </c>
      <c r="BB1087" s="89">
        <v>0</v>
      </c>
      <c r="BC1087" s="89">
        <v>254.46899999999999</v>
      </c>
      <c r="BD1087" s="37">
        <v>0</v>
      </c>
      <c r="BE1087" s="37">
        <v>0</v>
      </c>
      <c r="BF1087" s="279">
        <v>20223</v>
      </c>
      <c r="BG1087" s="37">
        <v>32472</v>
      </c>
      <c r="BH1087" s="37">
        <v>20236</v>
      </c>
      <c r="BI1087" s="37">
        <v>3677</v>
      </c>
      <c r="BJ1087" s="283">
        <v>76608</v>
      </c>
      <c r="BK1087" s="161"/>
      <c r="BL1087" s="294"/>
      <c r="BM1087"/>
      <c r="BN1087"/>
      <c r="BO1087"/>
      <c r="BP1087"/>
      <c r="BQ1087"/>
      <c r="BR1087"/>
      <c r="BS1087"/>
      <c r="BT1087"/>
      <c r="BU1087"/>
      <c r="BV1087"/>
      <c r="BW1087"/>
      <c r="BX1087"/>
      <c r="BY1087"/>
      <c r="BZ1087"/>
      <c r="CA1087"/>
      <c r="CB1087"/>
      <c r="CC1087"/>
      <c r="CD1087"/>
      <c r="CE1087"/>
      <c r="CF1087"/>
      <c r="CG1087"/>
      <c r="CH1087"/>
      <c r="CI1087"/>
      <c r="CJ1087"/>
    </row>
    <row r="1088" spans="1:88" s="32" customFormat="1" ht="15" customHeight="1" x14ac:dyDescent="0.35">
      <c r="A1088" s="473"/>
      <c r="B1088" s="313">
        <v>78005</v>
      </c>
      <c r="C1088" s="8" t="s">
        <v>766</v>
      </c>
      <c r="D1088" s="18">
        <v>15</v>
      </c>
      <c r="E1088" s="251">
        <v>1154</v>
      </c>
      <c r="F1088" s="82">
        <v>1.6755986316989737</v>
      </c>
      <c r="G1088" s="79">
        <v>1933.6408209806157</v>
      </c>
      <c r="H1088" s="90">
        <v>34.808999999999997</v>
      </c>
      <c r="I1088" s="85">
        <v>27.812000000000001</v>
      </c>
      <c r="J1088" s="85">
        <v>43.106999999999999</v>
      </c>
      <c r="K1088" s="85">
        <v>39.743000000000002</v>
      </c>
      <c r="L1088" s="85">
        <v>41.436999999999998</v>
      </c>
      <c r="M1088" s="85">
        <v>39.883000000000003</v>
      </c>
      <c r="N1088" s="85">
        <v>50.79</v>
      </c>
      <c r="O1088" s="85">
        <v>46.515999999999998</v>
      </c>
      <c r="P1088" s="85">
        <v>33.411000000000001</v>
      </c>
      <c r="Q1088" s="85">
        <v>27.216000000000001</v>
      </c>
      <c r="R1088" s="85">
        <v>26.507999999999999</v>
      </c>
      <c r="S1088" s="89">
        <v>30.073</v>
      </c>
      <c r="T1088" s="89">
        <v>441.30500000000001</v>
      </c>
      <c r="U1088" s="85">
        <v>0</v>
      </c>
      <c r="V1088" s="85">
        <v>441.30500000000001</v>
      </c>
      <c r="W1088" s="85">
        <v>0</v>
      </c>
      <c r="X1088" s="89">
        <v>441.30500000000001</v>
      </c>
      <c r="Y1088" s="79">
        <v>0</v>
      </c>
      <c r="Z1088" s="79">
        <v>1</v>
      </c>
      <c r="AA1088" s="94">
        <v>0</v>
      </c>
      <c r="AB1088" s="79">
        <v>1</v>
      </c>
      <c r="AC1088" s="85">
        <v>345.28899999999999</v>
      </c>
      <c r="AD1088" s="85">
        <v>11.824000000000012</v>
      </c>
      <c r="AE1088" s="85">
        <v>84.191999999999993</v>
      </c>
      <c r="AF1088" s="85">
        <v>0</v>
      </c>
      <c r="AG1088" s="85">
        <v>441.30500000000001</v>
      </c>
      <c r="AH1088" s="85">
        <v>0</v>
      </c>
      <c r="AI1088" s="85">
        <v>0</v>
      </c>
      <c r="AJ1088" s="85">
        <v>0</v>
      </c>
      <c r="AK1088" s="85">
        <v>0</v>
      </c>
      <c r="AL1088" s="85">
        <v>0</v>
      </c>
      <c r="AM1088" s="85">
        <v>0</v>
      </c>
      <c r="AN1088" s="85">
        <v>0</v>
      </c>
      <c r="AO1088" s="85">
        <v>0</v>
      </c>
      <c r="AP1088" s="85">
        <v>0</v>
      </c>
      <c r="AQ1088" s="85">
        <v>0</v>
      </c>
      <c r="AR1088" s="85">
        <v>0</v>
      </c>
      <c r="AS1088" s="85">
        <v>0</v>
      </c>
      <c r="AT1088" s="85">
        <v>0</v>
      </c>
      <c r="AU1088" s="85">
        <v>0</v>
      </c>
      <c r="AV1088" s="85">
        <v>0</v>
      </c>
      <c r="AW1088" s="85">
        <v>0</v>
      </c>
      <c r="AX1088" s="85">
        <v>0</v>
      </c>
      <c r="AY1088" s="85">
        <v>441.30500000000001</v>
      </c>
      <c r="AZ1088" s="85">
        <v>0</v>
      </c>
      <c r="BA1088" s="85">
        <v>0</v>
      </c>
      <c r="BB1088" s="89">
        <v>0</v>
      </c>
      <c r="BC1088" s="89">
        <v>441.30500000000001</v>
      </c>
      <c r="BD1088" s="37">
        <v>0</v>
      </c>
      <c r="BE1088" s="37">
        <v>0</v>
      </c>
      <c r="BF1088" s="279">
        <v>6662</v>
      </c>
      <c r="BG1088" s="37">
        <v>63118</v>
      </c>
      <c r="BH1088" s="37">
        <v>57793</v>
      </c>
      <c r="BI1088" s="37">
        <v>24525</v>
      </c>
      <c r="BJ1088" s="283">
        <v>152098</v>
      </c>
      <c r="BK1088" s="161"/>
      <c r="BL1088" s="294"/>
      <c r="BM1088"/>
      <c r="BN1088"/>
      <c r="BO1088"/>
      <c r="BP1088"/>
      <c r="BQ1088"/>
      <c r="BR1088"/>
      <c r="BS1088"/>
      <c r="BT1088"/>
      <c r="BU1088"/>
      <c r="BV1088"/>
      <c r="BW1088"/>
      <c r="BX1088"/>
      <c r="BY1088"/>
      <c r="BZ1088"/>
      <c r="CA1088"/>
      <c r="CB1088"/>
      <c r="CC1088"/>
      <c r="CD1088"/>
      <c r="CE1088"/>
      <c r="CF1088"/>
      <c r="CG1088"/>
      <c r="CH1088"/>
      <c r="CI1088"/>
      <c r="CJ1088"/>
    </row>
    <row r="1089" spans="1:88" s="32" customFormat="1" ht="15" customHeight="1" x14ac:dyDescent="0.35">
      <c r="A1089" s="473"/>
      <c r="B1089" s="313">
        <v>30015</v>
      </c>
      <c r="C1089" s="8" t="s">
        <v>219</v>
      </c>
      <c r="D1089" s="18">
        <v>5</v>
      </c>
      <c r="E1089" s="251"/>
      <c r="F1089" s="82"/>
      <c r="G1089" s="79"/>
      <c r="H1089" s="90"/>
      <c r="I1089" s="85"/>
      <c r="J1089" s="85"/>
      <c r="K1089" s="85"/>
      <c r="L1089" s="85"/>
      <c r="M1089" s="85"/>
      <c r="N1089" s="85"/>
      <c r="O1089" s="85"/>
      <c r="P1089" s="85"/>
      <c r="Q1089" s="85"/>
      <c r="R1089" s="85"/>
      <c r="S1089" s="89"/>
      <c r="T1089" s="89" t="s">
        <v>1124</v>
      </c>
      <c r="U1089" s="85"/>
      <c r="V1089" s="85"/>
      <c r="W1089" s="85"/>
      <c r="X1089" s="89" t="s">
        <v>1124</v>
      </c>
      <c r="Y1089" s="79"/>
      <c r="Z1089" s="79"/>
      <c r="AA1089" s="94"/>
      <c r="AB1089" s="79" t="s">
        <v>1124</v>
      </c>
      <c r="AC1089" s="85"/>
      <c r="AD1089" s="85"/>
      <c r="AE1089" s="85"/>
      <c r="AF1089" s="85"/>
      <c r="AG1089" s="85" t="s">
        <v>1124</v>
      </c>
      <c r="AH1089" s="85"/>
      <c r="AI1089" s="85"/>
      <c r="AJ1089" s="85"/>
      <c r="AK1089" s="85"/>
      <c r="AL1089" s="85"/>
      <c r="AM1089" s="85"/>
      <c r="AN1089" s="85"/>
      <c r="AO1089" s="85"/>
      <c r="AP1089" s="85"/>
      <c r="AQ1089" s="85"/>
      <c r="AR1089" s="85" t="s">
        <v>1124</v>
      </c>
      <c r="AS1089" s="85"/>
      <c r="AT1089" s="85"/>
      <c r="AU1089" s="85"/>
      <c r="AV1089" s="85"/>
      <c r="AW1089" s="85"/>
      <c r="AX1089" s="85"/>
      <c r="AY1089" s="85"/>
      <c r="AZ1089" s="85"/>
      <c r="BA1089" s="85"/>
      <c r="BB1089" s="89"/>
      <c r="BC1089" s="89" t="s">
        <v>1124</v>
      </c>
      <c r="BD1089" s="37"/>
      <c r="BE1089" s="37"/>
      <c r="BF1089" s="279"/>
      <c r="BG1089" s="37"/>
      <c r="BH1089" s="37"/>
      <c r="BI1089" s="37"/>
      <c r="BJ1089" s="283"/>
      <c r="BK1089" s="161"/>
      <c r="BL1089" s="294"/>
      <c r="BM1089"/>
      <c r="BN1089"/>
      <c r="BO1089"/>
      <c r="BP1089"/>
      <c r="BQ1089"/>
      <c r="BR1089"/>
      <c r="BS1089"/>
      <c r="BT1089"/>
      <c r="BU1089"/>
      <c r="BV1089"/>
      <c r="BW1089"/>
      <c r="BX1089"/>
      <c r="BY1089"/>
      <c r="BZ1089"/>
      <c r="CA1089"/>
      <c r="CB1089"/>
      <c r="CC1089"/>
      <c r="CD1089"/>
      <c r="CE1089"/>
      <c r="CF1089"/>
      <c r="CG1089"/>
      <c r="CH1089"/>
      <c r="CI1089"/>
      <c r="CJ1089"/>
    </row>
    <row r="1090" spans="1:88" s="32" customFormat="1" ht="15" customHeight="1" x14ac:dyDescent="0.35">
      <c r="A1090" s="473"/>
      <c r="B1090" s="313">
        <v>87105</v>
      </c>
      <c r="C1090" s="8" t="s">
        <v>907</v>
      </c>
      <c r="D1090" s="18">
        <v>8</v>
      </c>
      <c r="E1090" s="251"/>
      <c r="F1090" s="82"/>
      <c r="G1090" s="79"/>
      <c r="H1090" s="90"/>
      <c r="I1090" s="85"/>
      <c r="J1090" s="85"/>
      <c r="K1090" s="85"/>
      <c r="L1090" s="85"/>
      <c r="M1090" s="85"/>
      <c r="N1090" s="85"/>
      <c r="O1090" s="85"/>
      <c r="P1090" s="85"/>
      <c r="Q1090" s="85"/>
      <c r="R1090" s="85"/>
      <c r="S1090" s="89"/>
      <c r="T1090" s="89" t="s">
        <v>1124</v>
      </c>
      <c r="U1090" s="85"/>
      <c r="V1090" s="85"/>
      <c r="W1090" s="85"/>
      <c r="X1090" s="89" t="s">
        <v>1124</v>
      </c>
      <c r="Y1090" s="79"/>
      <c r="Z1090" s="79"/>
      <c r="AA1090" s="94"/>
      <c r="AB1090" s="79" t="s">
        <v>1124</v>
      </c>
      <c r="AC1090" s="85"/>
      <c r="AD1090" s="85"/>
      <c r="AE1090" s="85"/>
      <c r="AF1090" s="85"/>
      <c r="AG1090" s="85" t="s">
        <v>1124</v>
      </c>
      <c r="AH1090" s="85"/>
      <c r="AI1090" s="85"/>
      <c r="AJ1090" s="85"/>
      <c r="AK1090" s="85"/>
      <c r="AL1090" s="85"/>
      <c r="AM1090" s="85"/>
      <c r="AN1090" s="85"/>
      <c r="AO1090" s="85"/>
      <c r="AP1090" s="85"/>
      <c r="AQ1090" s="85"/>
      <c r="AR1090" s="85" t="s">
        <v>1124</v>
      </c>
      <c r="AS1090" s="85"/>
      <c r="AT1090" s="85"/>
      <c r="AU1090" s="85"/>
      <c r="AV1090" s="85"/>
      <c r="AW1090" s="85"/>
      <c r="AX1090" s="85"/>
      <c r="AY1090" s="85"/>
      <c r="AZ1090" s="85"/>
      <c r="BA1090" s="85"/>
      <c r="BB1090" s="89"/>
      <c r="BC1090" s="89" t="s">
        <v>1124</v>
      </c>
      <c r="BD1090" s="37"/>
      <c r="BE1090" s="37"/>
      <c r="BF1090" s="279"/>
      <c r="BG1090" s="37"/>
      <c r="BH1090" s="37"/>
      <c r="BI1090" s="37"/>
      <c r="BJ1090" s="283"/>
      <c r="BK1090" s="161"/>
      <c r="BL1090" s="294"/>
      <c r="BM1090"/>
      <c r="BN1090"/>
      <c r="BO1090"/>
      <c r="BP1090"/>
      <c r="BQ1090"/>
      <c r="BR1090"/>
      <c r="BS1090"/>
      <c r="BT1090"/>
      <c r="BU1090"/>
      <c r="BV1090"/>
      <c r="BW1090"/>
      <c r="BX1090"/>
      <c r="BY1090"/>
      <c r="BZ1090"/>
      <c r="CA1090"/>
      <c r="CB1090"/>
      <c r="CC1090"/>
      <c r="CD1090"/>
      <c r="CE1090"/>
      <c r="CF1090"/>
      <c r="CG1090"/>
      <c r="CH1090"/>
      <c r="CI1090"/>
      <c r="CJ1090"/>
    </row>
    <row r="1091" spans="1:88" s="32" customFormat="1" ht="15" customHeight="1" x14ac:dyDescent="0.35">
      <c r="A1091" s="473"/>
      <c r="B1091" s="313">
        <v>59020</v>
      </c>
      <c r="C1091" s="8" t="s">
        <v>601</v>
      </c>
      <c r="D1091" s="18">
        <v>16</v>
      </c>
      <c r="E1091" s="251"/>
      <c r="F1091" s="82"/>
      <c r="G1091" s="79"/>
      <c r="H1091" s="90"/>
      <c r="I1091" s="85"/>
      <c r="J1091" s="85"/>
      <c r="K1091" s="85"/>
      <c r="L1091" s="85"/>
      <c r="M1091" s="85"/>
      <c r="N1091" s="85"/>
      <c r="O1091" s="85"/>
      <c r="P1091" s="85"/>
      <c r="Q1091" s="85"/>
      <c r="R1091" s="85"/>
      <c r="S1091" s="89"/>
      <c r="T1091" s="89" t="s">
        <v>1124</v>
      </c>
      <c r="U1091" s="85"/>
      <c r="V1091" s="85"/>
      <c r="W1091" s="85"/>
      <c r="X1091" s="89" t="s">
        <v>1124</v>
      </c>
      <c r="Y1091" s="79"/>
      <c r="Z1091" s="79"/>
      <c r="AA1091" s="94"/>
      <c r="AB1091" s="79" t="s">
        <v>1124</v>
      </c>
      <c r="AC1091" s="85"/>
      <c r="AD1091" s="85"/>
      <c r="AE1091" s="85"/>
      <c r="AF1091" s="85"/>
      <c r="AG1091" s="85" t="s">
        <v>1124</v>
      </c>
      <c r="AH1091" s="85"/>
      <c r="AI1091" s="85"/>
      <c r="AJ1091" s="85"/>
      <c r="AK1091" s="85"/>
      <c r="AL1091" s="85"/>
      <c r="AM1091" s="85"/>
      <c r="AN1091" s="85"/>
      <c r="AO1091" s="85"/>
      <c r="AP1091" s="85"/>
      <c r="AQ1091" s="85"/>
      <c r="AR1091" s="85" t="s">
        <v>1124</v>
      </c>
      <c r="AS1091" s="85"/>
      <c r="AT1091" s="85"/>
      <c r="AU1091" s="85"/>
      <c r="AV1091" s="85"/>
      <c r="AW1091" s="85"/>
      <c r="AX1091" s="85"/>
      <c r="AY1091" s="85"/>
      <c r="AZ1091" s="85"/>
      <c r="BA1091" s="85"/>
      <c r="BB1091" s="89"/>
      <c r="BC1091" s="89" t="s">
        <v>1124</v>
      </c>
      <c r="BD1091" s="37"/>
      <c r="BE1091" s="37"/>
      <c r="BF1091" s="279"/>
      <c r="BG1091" s="37"/>
      <c r="BH1091" s="37"/>
      <c r="BI1091" s="37"/>
      <c r="BJ1091" s="283"/>
      <c r="BK1091" s="161"/>
      <c r="BL1091" s="294"/>
      <c r="BM1091"/>
      <c r="BN1091"/>
      <c r="BO1091"/>
      <c r="BP1091"/>
      <c r="BQ1091"/>
      <c r="BR1091"/>
      <c r="BS1091"/>
      <c r="BT1091"/>
      <c r="BU1091"/>
      <c r="BV1091"/>
      <c r="BW1091"/>
      <c r="BX1091"/>
      <c r="BY1091"/>
      <c r="BZ1091"/>
      <c r="CA1091"/>
      <c r="CB1091"/>
      <c r="CC1091"/>
      <c r="CD1091"/>
      <c r="CE1091"/>
      <c r="CF1091"/>
      <c r="CG1091"/>
      <c r="CH1091"/>
      <c r="CI1091"/>
      <c r="CJ1091"/>
    </row>
    <row r="1092" spans="1:88" s="32" customFormat="1" ht="15" customHeight="1" x14ac:dyDescent="0.35">
      <c r="A1092" s="473"/>
      <c r="B1092" s="313">
        <v>71083</v>
      </c>
      <c r="C1092" s="8" t="s">
        <v>717</v>
      </c>
      <c r="D1092" s="18">
        <v>16</v>
      </c>
      <c r="E1092" s="251"/>
      <c r="F1092" s="82"/>
      <c r="G1092" s="79"/>
      <c r="H1092" s="90"/>
      <c r="I1092" s="85"/>
      <c r="J1092" s="85"/>
      <c r="K1092" s="85"/>
      <c r="L1092" s="85"/>
      <c r="M1092" s="85"/>
      <c r="N1092" s="85"/>
      <c r="O1092" s="85"/>
      <c r="P1092" s="85"/>
      <c r="Q1092" s="85"/>
      <c r="R1092" s="85"/>
      <c r="S1092" s="89"/>
      <c r="T1092" s="89" t="s">
        <v>1124</v>
      </c>
      <c r="U1092" s="85"/>
      <c r="V1092" s="85"/>
      <c r="W1092" s="85"/>
      <c r="X1092" s="89" t="s">
        <v>1124</v>
      </c>
      <c r="Y1092" s="79"/>
      <c r="Z1092" s="79"/>
      <c r="AA1092" s="94"/>
      <c r="AB1092" s="79" t="s">
        <v>1124</v>
      </c>
      <c r="AC1092" s="85"/>
      <c r="AD1092" s="85"/>
      <c r="AE1092" s="85"/>
      <c r="AF1092" s="85"/>
      <c r="AG1092" s="85" t="s">
        <v>1124</v>
      </c>
      <c r="AH1092" s="85"/>
      <c r="AI1092" s="85"/>
      <c r="AJ1092" s="85"/>
      <c r="AK1092" s="85"/>
      <c r="AL1092" s="85"/>
      <c r="AM1092" s="85"/>
      <c r="AN1092" s="85"/>
      <c r="AO1092" s="85"/>
      <c r="AP1092" s="85"/>
      <c r="AQ1092" s="85"/>
      <c r="AR1092" s="85" t="s">
        <v>1124</v>
      </c>
      <c r="AS1092" s="85"/>
      <c r="AT1092" s="85"/>
      <c r="AU1092" s="85"/>
      <c r="AV1092" s="85"/>
      <c r="AW1092" s="85"/>
      <c r="AX1092" s="85"/>
      <c r="AY1092" s="85"/>
      <c r="AZ1092" s="85"/>
      <c r="BA1092" s="85"/>
      <c r="BB1092" s="89"/>
      <c r="BC1092" s="89" t="s">
        <v>1124</v>
      </c>
      <c r="BD1092" s="37"/>
      <c r="BE1092" s="37"/>
      <c r="BF1092" s="279"/>
      <c r="BG1092" s="37"/>
      <c r="BH1092" s="37"/>
      <c r="BI1092" s="37"/>
      <c r="BJ1092" s="283"/>
      <c r="BK1092" s="161"/>
      <c r="BL1092" s="294"/>
      <c r="BM1092"/>
      <c r="BN1092"/>
      <c r="BO1092"/>
      <c r="BP1092"/>
      <c r="BQ1092"/>
      <c r="BR1092"/>
      <c r="BS1092"/>
      <c r="BT1092"/>
      <c r="BU1092"/>
      <c r="BV1092"/>
      <c r="BW1092"/>
      <c r="BX1092"/>
      <c r="BY1092"/>
      <c r="BZ1092"/>
      <c r="CA1092"/>
      <c r="CB1092"/>
      <c r="CC1092"/>
      <c r="CD1092"/>
      <c r="CE1092"/>
      <c r="CF1092"/>
      <c r="CG1092"/>
      <c r="CH1092"/>
      <c r="CI1092"/>
      <c r="CJ1092"/>
    </row>
    <row r="1093" spans="1:88" s="32" customFormat="1" ht="15" customHeight="1" x14ac:dyDescent="0.35">
      <c r="A1093" s="473"/>
      <c r="B1093" s="313">
        <v>71090</v>
      </c>
      <c r="C1093" s="8" t="s">
        <v>718</v>
      </c>
      <c r="D1093" s="18">
        <v>16</v>
      </c>
      <c r="E1093" s="251"/>
      <c r="F1093" s="82"/>
      <c r="G1093" s="79"/>
      <c r="H1093" s="90"/>
      <c r="I1093" s="85"/>
      <c r="J1093" s="85"/>
      <c r="K1093" s="85"/>
      <c r="L1093" s="85"/>
      <c r="M1093" s="85"/>
      <c r="N1093" s="85"/>
      <c r="O1093" s="85"/>
      <c r="P1093" s="85"/>
      <c r="Q1093" s="85"/>
      <c r="R1093" s="85"/>
      <c r="S1093" s="89"/>
      <c r="T1093" s="89" t="s">
        <v>1124</v>
      </c>
      <c r="U1093" s="85"/>
      <c r="V1093" s="85"/>
      <c r="W1093" s="85"/>
      <c r="X1093" s="89" t="s">
        <v>1124</v>
      </c>
      <c r="Y1093" s="79"/>
      <c r="Z1093" s="79"/>
      <c r="AA1093" s="94"/>
      <c r="AB1093" s="79" t="s">
        <v>1124</v>
      </c>
      <c r="AC1093" s="85"/>
      <c r="AD1093" s="85"/>
      <c r="AE1093" s="85"/>
      <c r="AF1093" s="85"/>
      <c r="AG1093" s="85" t="s">
        <v>1124</v>
      </c>
      <c r="AH1093" s="85"/>
      <c r="AI1093" s="85"/>
      <c r="AJ1093" s="85"/>
      <c r="AK1093" s="85"/>
      <c r="AL1093" s="85"/>
      <c r="AM1093" s="85"/>
      <c r="AN1093" s="85"/>
      <c r="AO1093" s="85"/>
      <c r="AP1093" s="85"/>
      <c r="AQ1093" s="85"/>
      <c r="AR1093" s="85" t="s">
        <v>1124</v>
      </c>
      <c r="AS1093" s="85"/>
      <c r="AT1093" s="85"/>
      <c r="AU1093" s="85"/>
      <c r="AV1093" s="85"/>
      <c r="AW1093" s="85"/>
      <c r="AX1093" s="85"/>
      <c r="AY1093" s="85"/>
      <c r="AZ1093" s="85"/>
      <c r="BA1093" s="85"/>
      <c r="BB1093" s="89"/>
      <c r="BC1093" s="89" t="s">
        <v>1124</v>
      </c>
      <c r="BD1093" s="37"/>
      <c r="BE1093" s="37"/>
      <c r="BF1093" s="279"/>
      <c r="BG1093" s="37"/>
      <c r="BH1093" s="37"/>
      <c r="BI1093" s="37"/>
      <c r="BJ1093" s="283"/>
      <c r="BK1093" s="161"/>
      <c r="BL1093" s="294"/>
      <c r="BM1093"/>
      <c r="BN1093"/>
      <c r="BO1093"/>
      <c r="BP1093"/>
      <c r="BQ1093"/>
      <c r="BR1093"/>
      <c r="BS1093"/>
      <c r="BT1093"/>
      <c r="BU1093"/>
      <c r="BV1093"/>
      <c r="BW1093"/>
      <c r="BX1093"/>
      <c r="BY1093"/>
      <c r="BZ1093"/>
      <c r="CA1093"/>
      <c r="CB1093"/>
      <c r="CC1093"/>
      <c r="CD1093"/>
      <c r="CE1093"/>
      <c r="CF1093"/>
      <c r="CG1093"/>
      <c r="CH1093"/>
      <c r="CI1093"/>
      <c r="CJ1093"/>
    </row>
    <row r="1094" spans="1:88" s="32" customFormat="1" ht="15" customHeight="1" x14ac:dyDescent="0.35">
      <c r="A1094" s="473"/>
      <c r="B1094" s="313">
        <v>56005</v>
      </c>
      <c r="C1094" s="8" t="s">
        <v>567</v>
      </c>
      <c r="D1094" s="18">
        <v>16</v>
      </c>
      <c r="E1094" s="251"/>
      <c r="F1094" s="82"/>
      <c r="G1094" s="79"/>
      <c r="H1094" s="90"/>
      <c r="I1094" s="85"/>
      <c r="J1094" s="85"/>
      <c r="K1094" s="85"/>
      <c r="L1094" s="85"/>
      <c r="M1094" s="85"/>
      <c r="N1094" s="85"/>
      <c r="O1094" s="85"/>
      <c r="P1094" s="85"/>
      <c r="Q1094" s="85"/>
      <c r="R1094" s="85"/>
      <c r="S1094" s="89"/>
      <c r="T1094" s="89" t="s">
        <v>1124</v>
      </c>
      <c r="U1094" s="85"/>
      <c r="V1094" s="85"/>
      <c r="W1094" s="85"/>
      <c r="X1094" s="89" t="s">
        <v>1124</v>
      </c>
      <c r="Y1094" s="79"/>
      <c r="Z1094" s="79"/>
      <c r="AA1094" s="94"/>
      <c r="AB1094" s="79" t="s">
        <v>1124</v>
      </c>
      <c r="AC1094" s="85"/>
      <c r="AD1094" s="85"/>
      <c r="AE1094" s="85"/>
      <c r="AF1094" s="85"/>
      <c r="AG1094" s="85" t="s">
        <v>1124</v>
      </c>
      <c r="AH1094" s="85"/>
      <c r="AI1094" s="85"/>
      <c r="AJ1094" s="85"/>
      <c r="AK1094" s="85"/>
      <c r="AL1094" s="85"/>
      <c r="AM1094" s="85"/>
      <c r="AN1094" s="85"/>
      <c r="AO1094" s="85"/>
      <c r="AP1094" s="85"/>
      <c r="AQ1094" s="85"/>
      <c r="AR1094" s="85" t="s">
        <v>1124</v>
      </c>
      <c r="AS1094" s="85"/>
      <c r="AT1094" s="85"/>
      <c r="AU1094" s="85"/>
      <c r="AV1094" s="85"/>
      <c r="AW1094" s="85"/>
      <c r="AX1094" s="85"/>
      <c r="AY1094" s="85"/>
      <c r="AZ1094" s="85"/>
      <c r="BA1094" s="85"/>
      <c r="BB1094" s="89"/>
      <c r="BC1094" s="89" t="s">
        <v>1124</v>
      </c>
      <c r="BD1094" s="37"/>
      <c r="BE1094" s="37"/>
      <c r="BF1094" s="279"/>
      <c r="BG1094" s="37"/>
      <c r="BH1094" s="37"/>
      <c r="BI1094" s="37"/>
      <c r="BJ1094" s="283"/>
      <c r="BK1094" s="161"/>
      <c r="BL1094" s="294"/>
      <c r="BM1094"/>
      <c r="BN1094"/>
      <c r="BO1094"/>
      <c r="BP1094"/>
      <c r="BQ1094"/>
      <c r="BR1094"/>
      <c r="BS1094"/>
      <c r="BT1094"/>
      <c r="BU1094"/>
      <c r="BV1094"/>
      <c r="BW1094"/>
      <c r="BX1094"/>
      <c r="BY1094"/>
      <c r="BZ1094"/>
      <c r="CA1094"/>
      <c r="CB1094"/>
      <c r="CC1094"/>
      <c r="CD1094"/>
      <c r="CE1094"/>
      <c r="CF1094"/>
      <c r="CG1094"/>
      <c r="CH1094"/>
      <c r="CI1094"/>
      <c r="CJ1094"/>
    </row>
    <row r="1095" spans="1:88" s="32" customFormat="1" ht="15" customHeight="1" x14ac:dyDescent="0.35">
      <c r="A1095" s="473"/>
      <c r="B1095" s="313">
        <v>59025</v>
      </c>
      <c r="C1095" s="8" t="s">
        <v>602</v>
      </c>
      <c r="D1095" s="18">
        <v>16</v>
      </c>
      <c r="E1095" s="251">
        <v>2435</v>
      </c>
      <c r="F1095" s="82">
        <v>2.3704006541291904</v>
      </c>
      <c r="G1095" s="79">
        <v>5771.9255928045786</v>
      </c>
      <c r="H1095" s="90">
        <v>48.000999999999998</v>
      </c>
      <c r="I1095" s="85">
        <v>44.100999999999999</v>
      </c>
      <c r="J1095" s="85">
        <v>50.795000000000002</v>
      </c>
      <c r="K1095" s="85">
        <v>58.826000000000001</v>
      </c>
      <c r="L1095" s="85">
        <v>72.563999999999993</v>
      </c>
      <c r="M1095" s="85">
        <v>77.953000000000003</v>
      </c>
      <c r="N1095" s="85">
        <v>80.131</v>
      </c>
      <c r="O1095" s="85">
        <v>78.043999999999997</v>
      </c>
      <c r="P1095" s="85">
        <v>62.584000000000003</v>
      </c>
      <c r="Q1095" s="85">
        <v>55.655000000000001</v>
      </c>
      <c r="R1095" s="85">
        <v>50.667999999999999</v>
      </c>
      <c r="S1095" s="89">
        <v>54.429000000000002</v>
      </c>
      <c r="T1095" s="89">
        <v>733.75099999999998</v>
      </c>
      <c r="U1095" s="85">
        <v>733.75099999999998</v>
      </c>
      <c r="V1095" s="85">
        <v>0</v>
      </c>
      <c r="W1095" s="85">
        <v>0</v>
      </c>
      <c r="X1095" s="89">
        <v>733.75099999999998</v>
      </c>
      <c r="Y1095" s="79">
        <v>1</v>
      </c>
      <c r="Z1095" s="79">
        <v>0</v>
      </c>
      <c r="AA1095" s="94">
        <v>0</v>
      </c>
      <c r="AB1095" s="79">
        <v>1</v>
      </c>
      <c r="AC1095" s="85">
        <v>375.767</v>
      </c>
      <c r="AD1095" s="85">
        <v>172.56600000000003</v>
      </c>
      <c r="AE1095" s="85">
        <v>185.41800000000001</v>
      </c>
      <c r="AF1095" s="85">
        <v>0</v>
      </c>
      <c r="AG1095" s="85">
        <v>733.75100000000009</v>
      </c>
      <c r="AH1095" s="85">
        <v>0</v>
      </c>
      <c r="AI1095" s="85">
        <v>0</v>
      </c>
      <c r="AJ1095" s="85">
        <v>0</v>
      </c>
      <c r="AK1095" s="85">
        <v>733.75099999999998</v>
      </c>
      <c r="AL1095" s="85">
        <v>0</v>
      </c>
      <c r="AM1095" s="85">
        <v>0</v>
      </c>
      <c r="AN1095" s="85">
        <v>0</v>
      </c>
      <c r="AO1095" s="85">
        <v>0</v>
      </c>
      <c r="AP1095" s="85">
        <v>0</v>
      </c>
      <c r="AQ1095" s="85">
        <v>0</v>
      </c>
      <c r="AR1095" s="85">
        <v>733.75099999999998</v>
      </c>
      <c r="AS1095" s="85">
        <v>0</v>
      </c>
      <c r="AT1095" s="85">
        <v>0</v>
      </c>
      <c r="AU1095" s="85">
        <v>0</v>
      </c>
      <c r="AV1095" s="85">
        <v>0</v>
      </c>
      <c r="AW1095" s="85">
        <v>0</v>
      </c>
      <c r="AX1095" s="85">
        <v>0</v>
      </c>
      <c r="AY1095" s="85">
        <v>0</v>
      </c>
      <c r="AZ1095" s="85">
        <v>0</v>
      </c>
      <c r="BA1095" s="85">
        <v>0</v>
      </c>
      <c r="BB1095" s="89">
        <v>0</v>
      </c>
      <c r="BC1095" s="89">
        <v>0</v>
      </c>
      <c r="BD1095" s="37">
        <v>1246645</v>
      </c>
      <c r="BE1095" s="37">
        <v>0</v>
      </c>
      <c r="BF1095" s="279">
        <v>83262</v>
      </c>
      <c r="BG1095" s="37">
        <v>190005</v>
      </c>
      <c r="BH1095" s="37">
        <v>64024</v>
      </c>
      <c r="BI1095" s="37">
        <v>34682</v>
      </c>
      <c r="BJ1095" s="283">
        <v>371973</v>
      </c>
      <c r="BK1095" s="161"/>
      <c r="BL1095" s="294"/>
      <c r="BM1095"/>
      <c r="BN1095"/>
      <c r="BO1095"/>
      <c r="BP1095"/>
      <c r="BQ1095"/>
      <c r="BR1095"/>
      <c r="BS1095"/>
      <c r="BT1095"/>
      <c r="BU1095"/>
      <c r="BV1095"/>
      <c r="BW1095"/>
      <c r="BX1095"/>
      <c r="BY1095"/>
      <c r="BZ1095"/>
      <c r="CA1095"/>
      <c r="CB1095"/>
      <c r="CC1095"/>
      <c r="CD1095"/>
      <c r="CE1095"/>
      <c r="CF1095"/>
      <c r="CG1095"/>
      <c r="CH1095"/>
      <c r="CI1095"/>
      <c r="CJ1095"/>
    </row>
    <row r="1096" spans="1:88" s="32" customFormat="1" ht="15" customHeight="1" x14ac:dyDescent="0.35">
      <c r="A1096" s="473"/>
      <c r="B1096" s="313">
        <v>39062</v>
      </c>
      <c r="C1096" s="8" t="s">
        <v>346</v>
      </c>
      <c r="D1096" s="18">
        <v>17</v>
      </c>
      <c r="E1096" s="251">
        <v>21198</v>
      </c>
      <c r="F1096" s="82">
        <v>2.1565149995440867</v>
      </c>
      <c r="G1096" s="79">
        <v>45713.804960335547</v>
      </c>
      <c r="H1096" s="90">
        <v>687.89400000000001</v>
      </c>
      <c r="I1096" s="85">
        <v>637.66700000000003</v>
      </c>
      <c r="J1096" s="85">
        <v>707.64700000000005</v>
      </c>
      <c r="K1096" s="85">
        <v>706.42499999999995</v>
      </c>
      <c r="L1096" s="85">
        <v>802.33600000000001</v>
      </c>
      <c r="M1096" s="85">
        <v>817.697</v>
      </c>
      <c r="N1096" s="85">
        <v>919.673</v>
      </c>
      <c r="O1096" s="85">
        <v>844.88</v>
      </c>
      <c r="P1096" s="85">
        <v>753.08</v>
      </c>
      <c r="Q1096" s="85">
        <v>716.02700000000004</v>
      </c>
      <c r="R1096" s="85">
        <v>608.98400000000004</v>
      </c>
      <c r="S1096" s="89">
        <v>679.83199999999999</v>
      </c>
      <c r="T1096" s="89">
        <v>8882.1419999999998</v>
      </c>
      <c r="U1096" s="85">
        <v>4341.4160000000002</v>
      </c>
      <c r="V1096" s="85">
        <v>4540.7259999999997</v>
      </c>
      <c r="W1096" s="85">
        <v>0</v>
      </c>
      <c r="X1096" s="89">
        <v>8882.1419999999998</v>
      </c>
      <c r="Y1096" s="79">
        <v>1</v>
      </c>
      <c r="Z1096" s="79">
        <v>6</v>
      </c>
      <c r="AA1096" s="94">
        <v>0</v>
      </c>
      <c r="AB1096" s="79">
        <v>7</v>
      </c>
      <c r="AC1096" s="85">
        <v>4830.9826530321388</v>
      </c>
      <c r="AD1096" s="85">
        <v>840.79534696786095</v>
      </c>
      <c r="AE1096" s="85">
        <v>3210.3636320000005</v>
      </c>
      <c r="AF1096" s="85">
        <v>0</v>
      </c>
      <c r="AG1096" s="85">
        <v>8882.1416320000008</v>
      </c>
      <c r="AH1096" s="85">
        <v>0</v>
      </c>
      <c r="AI1096" s="85">
        <v>0</v>
      </c>
      <c r="AJ1096" s="85">
        <v>0</v>
      </c>
      <c r="AK1096" s="85">
        <v>0</v>
      </c>
      <c r="AL1096" s="85">
        <v>0</v>
      </c>
      <c r="AM1096" s="85">
        <v>4341.4160000000002</v>
      </c>
      <c r="AN1096" s="85">
        <v>0</v>
      </c>
      <c r="AO1096" s="85">
        <v>0</v>
      </c>
      <c r="AP1096" s="85">
        <v>0</v>
      </c>
      <c r="AQ1096" s="85">
        <v>0</v>
      </c>
      <c r="AR1096" s="85">
        <v>4341.4160000000002</v>
      </c>
      <c r="AS1096" s="85">
        <v>0</v>
      </c>
      <c r="AT1096" s="85">
        <v>0</v>
      </c>
      <c r="AU1096" s="85">
        <v>0</v>
      </c>
      <c r="AV1096" s="85">
        <v>0</v>
      </c>
      <c r="AW1096" s="85">
        <v>0</v>
      </c>
      <c r="AX1096" s="85">
        <v>0</v>
      </c>
      <c r="AY1096" s="85">
        <v>4540.7259999999997</v>
      </c>
      <c r="AZ1096" s="85">
        <v>0</v>
      </c>
      <c r="BA1096" s="85">
        <v>0</v>
      </c>
      <c r="BB1096" s="89">
        <v>0</v>
      </c>
      <c r="BC1096" s="89">
        <v>4540.7259999999997</v>
      </c>
      <c r="BD1096" s="37">
        <v>530309</v>
      </c>
      <c r="BE1096" s="37">
        <v>504480</v>
      </c>
      <c r="BF1096" s="279">
        <v>5622000</v>
      </c>
      <c r="BG1096" s="37">
        <v>722400</v>
      </c>
      <c r="BH1096" s="37">
        <v>451200</v>
      </c>
      <c r="BI1096" s="37">
        <v>254000</v>
      </c>
      <c r="BJ1096" s="283">
        <v>7049600</v>
      </c>
      <c r="BK1096" s="161"/>
      <c r="BL1096" s="294"/>
      <c r="BM1096"/>
      <c r="BN1096"/>
      <c r="BO1096"/>
      <c r="BP1096"/>
      <c r="BQ1096"/>
      <c r="BR1096"/>
      <c r="BS1096"/>
      <c r="BT1096"/>
      <c r="BU1096"/>
      <c r="BV1096"/>
      <c r="BW1096"/>
      <c r="BX1096"/>
      <c r="BY1096"/>
      <c r="BZ1096"/>
      <c r="CA1096"/>
      <c r="CB1096"/>
      <c r="CC1096"/>
      <c r="CD1096"/>
      <c r="CE1096"/>
      <c r="CF1096"/>
      <c r="CG1096"/>
      <c r="CH1096"/>
      <c r="CI1096"/>
      <c r="CJ1096"/>
    </row>
    <row r="1097" spans="1:88" s="32" customFormat="1" ht="15" customHeight="1" x14ac:dyDescent="0.35">
      <c r="A1097" s="473"/>
      <c r="B1097" s="313">
        <v>85025</v>
      </c>
      <c r="C1097" s="8" t="s">
        <v>874</v>
      </c>
      <c r="D1097" s="18">
        <v>8</v>
      </c>
      <c r="E1097" s="251">
        <v>1194</v>
      </c>
      <c r="F1097" s="82">
        <v>2.0876623376623376</v>
      </c>
      <c r="G1097" s="79">
        <v>2492.6688311688308</v>
      </c>
      <c r="H1097" s="90">
        <v>29.544</v>
      </c>
      <c r="I1097" s="85">
        <v>27.460999999999999</v>
      </c>
      <c r="J1097" s="85">
        <v>29.956</v>
      </c>
      <c r="K1097" s="85">
        <v>30.701000000000001</v>
      </c>
      <c r="L1097" s="85">
        <v>32.656999999999996</v>
      </c>
      <c r="M1097" s="85">
        <v>31.521999999999998</v>
      </c>
      <c r="N1097" s="85">
        <v>35.436999999999998</v>
      </c>
      <c r="O1097" s="85">
        <v>33.527999999999999</v>
      </c>
      <c r="P1097" s="85">
        <v>33.021000000000001</v>
      </c>
      <c r="Q1097" s="85">
        <v>28.062999999999999</v>
      </c>
      <c r="R1097" s="85">
        <v>26.99</v>
      </c>
      <c r="S1097" s="89">
        <v>28.042999999999999</v>
      </c>
      <c r="T1097" s="89">
        <v>366.923</v>
      </c>
      <c r="U1097" s="85">
        <v>0</v>
      </c>
      <c r="V1097" s="85">
        <v>366.923</v>
      </c>
      <c r="W1097" s="85">
        <v>0</v>
      </c>
      <c r="X1097" s="89">
        <v>366.923</v>
      </c>
      <c r="Y1097" s="79">
        <v>0</v>
      </c>
      <c r="Z1097" s="79">
        <v>3</v>
      </c>
      <c r="AA1097" s="94">
        <v>0</v>
      </c>
      <c r="AB1097" s="79">
        <v>3</v>
      </c>
      <c r="AC1097" s="85">
        <v>286.71499999999997</v>
      </c>
      <c r="AD1097" s="85">
        <v>22.46</v>
      </c>
      <c r="AE1097" s="85">
        <v>57.747999999999998</v>
      </c>
      <c r="AF1097" s="85">
        <v>0</v>
      </c>
      <c r="AG1097" s="85">
        <v>366.92299999999994</v>
      </c>
      <c r="AH1097" s="85">
        <v>0</v>
      </c>
      <c r="AI1097" s="85">
        <v>0</v>
      </c>
      <c r="AJ1097" s="85">
        <v>0</v>
      </c>
      <c r="AK1097" s="85">
        <v>0</v>
      </c>
      <c r="AL1097" s="85">
        <v>0</v>
      </c>
      <c r="AM1097" s="85">
        <v>0</v>
      </c>
      <c r="AN1097" s="85">
        <v>0</v>
      </c>
      <c r="AO1097" s="85">
        <v>0</v>
      </c>
      <c r="AP1097" s="85">
        <v>0</v>
      </c>
      <c r="AQ1097" s="85">
        <v>0</v>
      </c>
      <c r="AR1097" s="85">
        <v>0</v>
      </c>
      <c r="AS1097" s="85">
        <v>0</v>
      </c>
      <c r="AT1097" s="85">
        <v>0</v>
      </c>
      <c r="AU1097" s="85">
        <v>0</v>
      </c>
      <c r="AV1097" s="85">
        <v>0</v>
      </c>
      <c r="AW1097" s="85">
        <v>0</v>
      </c>
      <c r="AX1097" s="85">
        <v>0</v>
      </c>
      <c r="AY1097" s="85">
        <v>0</v>
      </c>
      <c r="AZ1097" s="85">
        <v>0</v>
      </c>
      <c r="BA1097" s="85">
        <v>366.923</v>
      </c>
      <c r="BB1097" s="89">
        <v>0</v>
      </c>
      <c r="BC1097" s="89">
        <v>366.923</v>
      </c>
      <c r="BD1097" s="37">
        <v>0</v>
      </c>
      <c r="BE1097" s="37">
        <v>0</v>
      </c>
      <c r="BF1097" s="279">
        <v>43606</v>
      </c>
      <c r="BG1097" s="37">
        <v>40130</v>
      </c>
      <c r="BH1097" s="37">
        <v>26923</v>
      </c>
      <c r="BI1097" s="37">
        <v>14600</v>
      </c>
      <c r="BJ1097" s="283">
        <v>125259</v>
      </c>
      <c r="BK1097" s="161"/>
      <c r="BL1097" s="294"/>
      <c r="BM1097"/>
      <c r="BN1097"/>
      <c r="BO1097"/>
      <c r="BP1097"/>
      <c r="BQ1097"/>
      <c r="BR1097"/>
      <c r="BS1097"/>
      <c r="BT1097"/>
      <c r="BU1097"/>
      <c r="BV1097"/>
      <c r="BW1097"/>
      <c r="BX1097"/>
      <c r="BY1097"/>
      <c r="BZ1097"/>
      <c r="CA1097"/>
      <c r="CB1097"/>
      <c r="CC1097"/>
      <c r="CD1097"/>
      <c r="CE1097"/>
      <c r="CF1097"/>
      <c r="CG1097"/>
      <c r="CH1097"/>
      <c r="CI1097"/>
      <c r="CJ1097"/>
    </row>
    <row r="1098" spans="1:88" s="32" customFormat="1" ht="15" customHeight="1" x14ac:dyDescent="0.35">
      <c r="A1098" s="473"/>
      <c r="B1098" s="313">
        <v>32085</v>
      </c>
      <c r="C1098" s="8" t="s">
        <v>266</v>
      </c>
      <c r="D1098" s="18">
        <v>17</v>
      </c>
      <c r="E1098" s="251"/>
      <c r="F1098" s="82"/>
      <c r="G1098" s="79"/>
      <c r="H1098" s="90"/>
      <c r="I1098" s="85"/>
      <c r="J1098" s="85"/>
      <c r="K1098" s="85"/>
      <c r="L1098" s="85"/>
      <c r="M1098" s="85"/>
      <c r="N1098" s="85"/>
      <c r="O1098" s="85"/>
      <c r="P1098" s="85"/>
      <c r="Q1098" s="85"/>
      <c r="R1098" s="85"/>
      <c r="S1098" s="89"/>
      <c r="T1098" s="89" t="s">
        <v>1124</v>
      </c>
      <c r="U1098" s="85"/>
      <c r="V1098" s="85"/>
      <c r="W1098" s="85"/>
      <c r="X1098" s="89" t="s">
        <v>1124</v>
      </c>
      <c r="Y1098" s="79"/>
      <c r="Z1098" s="79"/>
      <c r="AA1098" s="94"/>
      <c r="AB1098" s="79" t="s">
        <v>1124</v>
      </c>
      <c r="AC1098" s="85"/>
      <c r="AD1098" s="85"/>
      <c r="AE1098" s="85"/>
      <c r="AF1098" s="85"/>
      <c r="AG1098" s="85" t="s">
        <v>1124</v>
      </c>
      <c r="AH1098" s="85"/>
      <c r="AI1098" s="85"/>
      <c r="AJ1098" s="85"/>
      <c r="AK1098" s="85"/>
      <c r="AL1098" s="85"/>
      <c r="AM1098" s="85"/>
      <c r="AN1098" s="85"/>
      <c r="AO1098" s="85"/>
      <c r="AP1098" s="85"/>
      <c r="AQ1098" s="85"/>
      <c r="AR1098" s="85" t="s">
        <v>1124</v>
      </c>
      <c r="AS1098" s="85"/>
      <c r="AT1098" s="85"/>
      <c r="AU1098" s="85"/>
      <c r="AV1098" s="85"/>
      <c r="AW1098" s="85"/>
      <c r="AX1098" s="85"/>
      <c r="AY1098" s="85"/>
      <c r="AZ1098" s="85"/>
      <c r="BA1098" s="85"/>
      <c r="BB1098" s="89"/>
      <c r="BC1098" s="89" t="s">
        <v>1124</v>
      </c>
      <c r="BD1098" s="37"/>
      <c r="BE1098" s="37"/>
      <c r="BF1098" s="279"/>
      <c r="BG1098" s="37"/>
      <c r="BH1098" s="37"/>
      <c r="BI1098" s="37"/>
      <c r="BJ1098" s="283"/>
      <c r="BK1098" s="161"/>
      <c r="BL1098" s="294"/>
      <c r="BM1098"/>
      <c r="BN1098"/>
      <c r="BO1098"/>
      <c r="BP1098"/>
      <c r="BQ1098"/>
      <c r="BR1098"/>
      <c r="BS1098"/>
      <c r="BT1098"/>
      <c r="BU1098"/>
      <c r="BV1098"/>
      <c r="BW1098"/>
      <c r="BX1098"/>
      <c r="BY1098"/>
      <c r="BZ1098"/>
      <c r="CA1098"/>
      <c r="CB1098"/>
      <c r="CC1098"/>
      <c r="CD1098"/>
      <c r="CE1098"/>
      <c r="CF1098"/>
      <c r="CG1098"/>
      <c r="CH1098"/>
      <c r="CI1098"/>
      <c r="CJ1098"/>
    </row>
    <row r="1099" spans="1:88" s="32" customFormat="1" ht="15" customHeight="1" x14ac:dyDescent="0.35">
      <c r="A1099" s="473"/>
      <c r="B1099" s="313">
        <v>84070</v>
      </c>
      <c r="C1099" s="8" t="s">
        <v>865</v>
      </c>
      <c r="D1099" s="18">
        <v>7</v>
      </c>
      <c r="E1099" s="251"/>
      <c r="F1099" s="82"/>
      <c r="G1099" s="79"/>
      <c r="H1099" s="90"/>
      <c r="I1099" s="85"/>
      <c r="J1099" s="85"/>
      <c r="K1099" s="85"/>
      <c r="L1099" s="85"/>
      <c r="M1099" s="85"/>
      <c r="N1099" s="85"/>
      <c r="O1099" s="85"/>
      <c r="P1099" s="85"/>
      <c r="Q1099" s="85"/>
      <c r="R1099" s="85"/>
      <c r="S1099" s="89"/>
      <c r="T1099" s="89" t="s">
        <v>1124</v>
      </c>
      <c r="U1099" s="85"/>
      <c r="V1099" s="85"/>
      <c r="W1099" s="85"/>
      <c r="X1099" s="89" t="s">
        <v>1124</v>
      </c>
      <c r="Y1099" s="79"/>
      <c r="Z1099" s="79"/>
      <c r="AA1099" s="94"/>
      <c r="AB1099" s="79" t="s">
        <v>1124</v>
      </c>
      <c r="AC1099" s="85"/>
      <c r="AD1099" s="85"/>
      <c r="AE1099" s="85"/>
      <c r="AF1099" s="85"/>
      <c r="AG1099" s="85" t="s">
        <v>1124</v>
      </c>
      <c r="AH1099" s="85"/>
      <c r="AI1099" s="85"/>
      <c r="AJ1099" s="85"/>
      <c r="AK1099" s="85"/>
      <c r="AL1099" s="85"/>
      <c r="AM1099" s="85"/>
      <c r="AN1099" s="85"/>
      <c r="AO1099" s="85"/>
      <c r="AP1099" s="85"/>
      <c r="AQ1099" s="85"/>
      <c r="AR1099" s="85" t="s">
        <v>1124</v>
      </c>
      <c r="AS1099" s="85"/>
      <c r="AT1099" s="85"/>
      <c r="AU1099" s="85"/>
      <c r="AV1099" s="85"/>
      <c r="AW1099" s="85"/>
      <c r="AX1099" s="85"/>
      <c r="AY1099" s="85"/>
      <c r="AZ1099" s="85"/>
      <c r="BA1099" s="85"/>
      <c r="BB1099" s="89"/>
      <c r="BC1099" s="89" t="s">
        <v>1124</v>
      </c>
      <c r="BD1099" s="37"/>
      <c r="BE1099" s="37"/>
      <c r="BF1099" s="279"/>
      <c r="BG1099" s="37"/>
      <c r="BH1099" s="37"/>
      <c r="BI1099" s="37"/>
      <c r="BJ1099" s="283"/>
      <c r="BK1099" s="161"/>
      <c r="BL1099" s="294"/>
      <c r="BM1099"/>
      <c r="BN1099"/>
      <c r="BO1099"/>
      <c r="BP1099"/>
      <c r="BQ1099"/>
      <c r="BR1099"/>
      <c r="BS1099"/>
      <c r="BT1099"/>
      <c r="BU1099"/>
      <c r="BV1099"/>
      <c r="BW1099"/>
      <c r="BX1099"/>
      <c r="BY1099"/>
      <c r="BZ1099"/>
      <c r="CA1099"/>
      <c r="CB1099"/>
      <c r="CC1099"/>
      <c r="CD1099"/>
      <c r="CE1099"/>
      <c r="CF1099"/>
      <c r="CG1099"/>
      <c r="CH1099"/>
      <c r="CI1099"/>
      <c r="CJ1099"/>
    </row>
    <row r="1100" spans="1:88" s="32" customFormat="1" ht="15" customHeight="1" x14ac:dyDescent="0.35">
      <c r="A1100" s="473"/>
      <c r="B1100" s="313">
        <v>47030</v>
      </c>
      <c r="C1100" s="8" t="s">
        <v>451</v>
      </c>
      <c r="D1100" s="18">
        <v>5</v>
      </c>
      <c r="E1100" s="251"/>
      <c r="F1100" s="82"/>
      <c r="G1100" s="79"/>
      <c r="H1100" s="90"/>
      <c r="I1100" s="85"/>
      <c r="J1100" s="85"/>
      <c r="K1100" s="85"/>
      <c r="L1100" s="85"/>
      <c r="M1100" s="85"/>
      <c r="N1100" s="85"/>
      <c r="O1100" s="85"/>
      <c r="P1100" s="85"/>
      <c r="Q1100" s="85"/>
      <c r="R1100" s="85"/>
      <c r="S1100" s="89"/>
      <c r="T1100" s="89" t="s">
        <v>1124</v>
      </c>
      <c r="U1100" s="85"/>
      <c r="V1100" s="85"/>
      <c r="W1100" s="85"/>
      <c r="X1100" s="89" t="s">
        <v>1124</v>
      </c>
      <c r="Y1100" s="79"/>
      <c r="Z1100" s="79"/>
      <c r="AA1100" s="94"/>
      <c r="AB1100" s="79" t="s">
        <v>1124</v>
      </c>
      <c r="AC1100" s="85"/>
      <c r="AD1100" s="85"/>
      <c r="AE1100" s="85"/>
      <c r="AF1100" s="85"/>
      <c r="AG1100" s="85" t="s">
        <v>1124</v>
      </c>
      <c r="AH1100" s="85"/>
      <c r="AI1100" s="85"/>
      <c r="AJ1100" s="85"/>
      <c r="AK1100" s="85"/>
      <c r="AL1100" s="85"/>
      <c r="AM1100" s="85"/>
      <c r="AN1100" s="85"/>
      <c r="AO1100" s="85"/>
      <c r="AP1100" s="85"/>
      <c r="AQ1100" s="85"/>
      <c r="AR1100" s="85" t="s">
        <v>1124</v>
      </c>
      <c r="AS1100" s="85"/>
      <c r="AT1100" s="85"/>
      <c r="AU1100" s="85"/>
      <c r="AV1100" s="85"/>
      <c r="AW1100" s="85"/>
      <c r="AX1100" s="85"/>
      <c r="AY1100" s="85"/>
      <c r="AZ1100" s="85"/>
      <c r="BA1100" s="85"/>
      <c r="BB1100" s="89"/>
      <c r="BC1100" s="89" t="s">
        <v>1124</v>
      </c>
      <c r="BD1100" s="37"/>
      <c r="BE1100" s="37"/>
      <c r="BF1100" s="279"/>
      <c r="BG1100" s="37"/>
      <c r="BH1100" s="37"/>
      <c r="BI1100" s="37"/>
      <c r="BJ1100" s="283"/>
      <c r="BK1100" s="161"/>
      <c r="BL1100" s="294"/>
      <c r="BM1100"/>
      <c r="BN1100"/>
      <c r="BO1100"/>
      <c r="BP1100"/>
      <c r="BQ1100"/>
      <c r="BR1100"/>
      <c r="BS1100"/>
      <c r="BT1100"/>
      <c r="BU1100"/>
      <c r="BV1100"/>
      <c r="BW1100"/>
      <c r="BX1100"/>
      <c r="BY1100"/>
      <c r="BZ1100"/>
      <c r="CA1100"/>
      <c r="CB1100"/>
      <c r="CC1100"/>
      <c r="CD1100"/>
      <c r="CE1100"/>
      <c r="CF1100"/>
      <c r="CG1100"/>
      <c r="CH1100"/>
      <c r="CI1100"/>
      <c r="CJ1100"/>
    </row>
    <row r="1101" spans="1:88" s="32" customFormat="1" ht="15" customHeight="1" x14ac:dyDescent="0.35">
      <c r="A1101" s="473"/>
      <c r="B1101" s="313">
        <v>39077</v>
      </c>
      <c r="C1101" s="8" t="s">
        <v>347</v>
      </c>
      <c r="D1101" s="18">
        <v>17</v>
      </c>
      <c r="E1101" s="251">
        <v>1649</v>
      </c>
      <c r="F1101" s="82">
        <v>2.82</v>
      </c>
      <c r="G1101" s="79">
        <v>4650.1799999999994</v>
      </c>
      <c r="H1101" s="90">
        <v>91.575000000000003</v>
      </c>
      <c r="I1101" s="85">
        <v>79.248999999999995</v>
      </c>
      <c r="J1101" s="85">
        <v>99.858999999999995</v>
      </c>
      <c r="K1101" s="85">
        <v>96.563999999999993</v>
      </c>
      <c r="L1101" s="85">
        <v>97.183000000000007</v>
      </c>
      <c r="M1101" s="85">
        <v>93.623999999999995</v>
      </c>
      <c r="N1101" s="85">
        <v>98.897999999999996</v>
      </c>
      <c r="O1101" s="85">
        <v>90.617999999999995</v>
      </c>
      <c r="P1101" s="85">
        <v>85.201999999999998</v>
      </c>
      <c r="Q1101" s="85">
        <v>84.367000000000004</v>
      </c>
      <c r="R1101" s="85">
        <v>83.909000000000006</v>
      </c>
      <c r="S1101" s="89">
        <v>80.762</v>
      </c>
      <c r="T1101" s="89">
        <v>1081.81</v>
      </c>
      <c r="U1101" s="85">
        <v>0</v>
      </c>
      <c r="V1101" s="85">
        <v>1081.81</v>
      </c>
      <c r="W1101" s="85">
        <v>0</v>
      </c>
      <c r="X1101" s="89">
        <v>1081.81</v>
      </c>
      <c r="Y1101" s="79">
        <v>0</v>
      </c>
      <c r="Z1101" s="79">
        <v>2</v>
      </c>
      <c r="AA1101" s="94">
        <v>0</v>
      </c>
      <c r="AB1101" s="79">
        <v>2</v>
      </c>
      <c r="AC1101" s="85">
        <v>316.73899999999998</v>
      </c>
      <c r="AD1101" s="85">
        <v>656.75300000000004</v>
      </c>
      <c r="AE1101" s="85">
        <v>108.318</v>
      </c>
      <c r="AF1101" s="85">
        <v>0</v>
      </c>
      <c r="AG1101" s="85">
        <v>1081.81</v>
      </c>
      <c r="AH1101" s="85">
        <v>0</v>
      </c>
      <c r="AI1101" s="85">
        <v>0</v>
      </c>
      <c r="AJ1101" s="85">
        <v>0</v>
      </c>
      <c r="AK1101" s="85">
        <v>0</v>
      </c>
      <c r="AL1101" s="85">
        <v>0</v>
      </c>
      <c r="AM1101" s="85">
        <v>0</v>
      </c>
      <c r="AN1101" s="85">
        <v>0</v>
      </c>
      <c r="AO1101" s="85">
        <v>0</v>
      </c>
      <c r="AP1101" s="85">
        <v>0</v>
      </c>
      <c r="AQ1101" s="85">
        <v>0</v>
      </c>
      <c r="AR1101" s="85">
        <v>0</v>
      </c>
      <c r="AS1101" s="85">
        <v>0</v>
      </c>
      <c r="AT1101" s="85">
        <v>0</v>
      </c>
      <c r="AU1101" s="85">
        <v>0</v>
      </c>
      <c r="AV1101" s="85">
        <v>0</v>
      </c>
      <c r="AW1101" s="85">
        <v>0</v>
      </c>
      <c r="AX1101" s="85">
        <v>0</v>
      </c>
      <c r="AY1101" s="85">
        <v>1081.81</v>
      </c>
      <c r="AZ1101" s="85">
        <v>0</v>
      </c>
      <c r="BA1101" s="85">
        <v>0</v>
      </c>
      <c r="BB1101" s="89">
        <v>0</v>
      </c>
      <c r="BC1101" s="89">
        <v>1081.81</v>
      </c>
      <c r="BD1101" s="37">
        <v>548074</v>
      </c>
      <c r="BE1101" s="37">
        <v>883638</v>
      </c>
      <c r="BF1101" s="279">
        <v>39671</v>
      </c>
      <c r="BG1101" s="37">
        <v>16277</v>
      </c>
      <c r="BH1101" s="37">
        <v>57255</v>
      </c>
      <c r="BI1101" s="37">
        <v>11491</v>
      </c>
      <c r="BJ1101" s="283">
        <v>124694</v>
      </c>
      <c r="BK1101" s="161"/>
      <c r="BL1101" s="294"/>
      <c r="BM1101"/>
      <c r="BN1101"/>
      <c r="BO1101"/>
      <c r="BP1101"/>
      <c r="BQ1101"/>
      <c r="BR1101"/>
      <c r="BS1101"/>
      <c r="BT1101"/>
      <c r="BU1101"/>
      <c r="BV1101"/>
      <c r="BW1101"/>
      <c r="BX1101"/>
      <c r="BY1101"/>
      <c r="BZ1101"/>
      <c r="CA1101"/>
      <c r="CB1101"/>
      <c r="CC1101"/>
      <c r="CD1101"/>
      <c r="CE1101"/>
      <c r="CF1101"/>
      <c r="CG1101"/>
      <c r="CH1101"/>
      <c r="CI1101"/>
      <c r="CJ1101"/>
    </row>
    <row r="1102" spans="1:88" s="32" customFormat="1" ht="15" customHeight="1" x14ac:dyDescent="0.35">
      <c r="A1102" s="473"/>
      <c r="B1102" s="313">
        <v>47025</v>
      </c>
      <c r="C1102" s="8" t="s">
        <v>450</v>
      </c>
      <c r="D1102" s="18">
        <v>5</v>
      </c>
      <c r="E1102" s="251"/>
      <c r="F1102" s="82"/>
      <c r="G1102" s="79"/>
      <c r="H1102" s="90"/>
      <c r="I1102" s="85"/>
      <c r="J1102" s="85"/>
      <c r="K1102" s="85"/>
      <c r="L1102" s="85"/>
      <c r="M1102" s="85"/>
      <c r="N1102" s="85"/>
      <c r="O1102" s="85"/>
      <c r="P1102" s="85"/>
      <c r="Q1102" s="85"/>
      <c r="R1102" s="85"/>
      <c r="S1102" s="89"/>
      <c r="T1102" s="89" t="s">
        <v>1124</v>
      </c>
      <c r="U1102" s="85"/>
      <c r="V1102" s="85"/>
      <c r="W1102" s="85"/>
      <c r="X1102" s="89" t="s">
        <v>1124</v>
      </c>
      <c r="Y1102" s="79"/>
      <c r="Z1102" s="79"/>
      <c r="AA1102" s="94"/>
      <c r="AB1102" s="79" t="s">
        <v>1124</v>
      </c>
      <c r="AC1102" s="85"/>
      <c r="AD1102" s="85"/>
      <c r="AE1102" s="85"/>
      <c r="AF1102" s="85"/>
      <c r="AG1102" s="85" t="s">
        <v>1124</v>
      </c>
      <c r="AH1102" s="85"/>
      <c r="AI1102" s="85"/>
      <c r="AJ1102" s="85"/>
      <c r="AK1102" s="85"/>
      <c r="AL1102" s="85"/>
      <c r="AM1102" s="85"/>
      <c r="AN1102" s="85"/>
      <c r="AO1102" s="85"/>
      <c r="AP1102" s="85"/>
      <c r="AQ1102" s="85"/>
      <c r="AR1102" s="85" t="s">
        <v>1124</v>
      </c>
      <c r="AS1102" s="85"/>
      <c r="AT1102" s="85"/>
      <c r="AU1102" s="85"/>
      <c r="AV1102" s="85"/>
      <c r="AW1102" s="85"/>
      <c r="AX1102" s="85"/>
      <c r="AY1102" s="85"/>
      <c r="AZ1102" s="85"/>
      <c r="BA1102" s="85"/>
      <c r="BB1102" s="89"/>
      <c r="BC1102" s="89" t="s">
        <v>1124</v>
      </c>
      <c r="BD1102" s="37"/>
      <c r="BE1102" s="37"/>
      <c r="BF1102" s="279"/>
      <c r="BG1102" s="37"/>
      <c r="BH1102" s="37"/>
      <c r="BI1102" s="37"/>
      <c r="BJ1102" s="283"/>
      <c r="BK1102" s="161"/>
      <c r="BL1102" s="294"/>
      <c r="BM1102"/>
      <c r="BN1102"/>
      <c r="BO1102"/>
      <c r="BP1102"/>
      <c r="BQ1102"/>
      <c r="BR1102"/>
      <c r="BS1102"/>
      <c r="BT1102"/>
      <c r="BU1102"/>
      <c r="BV1102"/>
      <c r="BW1102"/>
      <c r="BX1102"/>
      <c r="BY1102"/>
      <c r="BZ1102"/>
      <c r="CA1102"/>
      <c r="CB1102"/>
      <c r="CC1102"/>
      <c r="CD1102"/>
      <c r="CE1102"/>
      <c r="CF1102"/>
      <c r="CG1102"/>
      <c r="CH1102"/>
      <c r="CI1102"/>
      <c r="CJ1102"/>
    </row>
    <row r="1103" spans="1:88" s="32" customFormat="1" ht="15" customHeight="1" x14ac:dyDescent="0.35">
      <c r="A1103" s="473"/>
      <c r="B1103" s="313">
        <v>44080</v>
      </c>
      <c r="C1103" s="8" t="s">
        <v>409</v>
      </c>
      <c r="D1103" s="21">
        <v>5</v>
      </c>
      <c r="E1103" s="251">
        <v>578</v>
      </c>
      <c r="F1103" s="82">
        <v>2.4643261608154021</v>
      </c>
      <c r="G1103" s="79">
        <v>1424.3805209513025</v>
      </c>
      <c r="H1103" s="90">
        <v>24.068999999999999</v>
      </c>
      <c r="I1103" s="85">
        <v>21.584</v>
      </c>
      <c r="J1103" s="85">
        <v>24.422999999999998</v>
      </c>
      <c r="K1103" s="85">
        <v>21.753</v>
      </c>
      <c r="L1103" s="85">
        <v>23.45</v>
      </c>
      <c r="M1103" s="85">
        <v>24.675999999999998</v>
      </c>
      <c r="N1103" s="85">
        <v>27.521999999999998</v>
      </c>
      <c r="O1103" s="85">
        <v>27.757000000000001</v>
      </c>
      <c r="P1103" s="85">
        <v>24.055</v>
      </c>
      <c r="Q1103" s="85">
        <v>21.199000000000002</v>
      </c>
      <c r="R1103" s="85">
        <v>20.021000000000001</v>
      </c>
      <c r="S1103" s="89">
        <v>18.513000000000002</v>
      </c>
      <c r="T1103" s="89">
        <v>279.02199999999999</v>
      </c>
      <c r="U1103" s="85">
        <v>279.02199999999999</v>
      </c>
      <c r="V1103" s="85">
        <v>0</v>
      </c>
      <c r="W1103" s="85">
        <v>0</v>
      </c>
      <c r="X1103" s="89">
        <v>279.02199999999999</v>
      </c>
      <c r="Y1103" s="79">
        <v>1</v>
      </c>
      <c r="Z1103" s="79">
        <v>0</v>
      </c>
      <c r="AA1103" s="94">
        <v>0</v>
      </c>
      <c r="AB1103" s="79">
        <v>1</v>
      </c>
      <c r="AC1103" s="85">
        <v>95.630110000000002</v>
      </c>
      <c r="AD1103" s="85">
        <v>129.7431210994898</v>
      </c>
      <c r="AE1103" s="85">
        <v>53.648768900510184</v>
      </c>
      <c r="AF1103" s="85">
        <v>0</v>
      </c>
      <c r="AG1103" s="85">
        <v>279.02199999999999</v>
      </c>
      <c r="AH1103" s="85">
        <v>0</v>
      </c>
      <c r="AI1103" s="85">
        <v>0</v>
      </c>
      <c r="AJ1103" s="85">
        <v>0</v>
      </c>
      <c r="AK1103" s="85">
        <v>0</v>
      </c>
      <c r="AL1103" s="85">
        <v>279.02199999999999</v>
      </c>
      <c r="AM1103" s="85">
        <v>0</v>
      </c>
      <c r="AN1103" s="85">
        <v>0</v>
      </c>
      <c r="AO1103" s="85">
        <v>0</v>
      </c>
      <c r="AP1103" s="85">
        <v>0</v>
      </c>
      <c r="AQ1103" s="85">
        <v>0</v>
      </c>
      <c r="AR1103" s="85">
        <v>279.02199999999999</v>
      </c>
      <c r="AS1103" s="85">
        <v>0</v>
      </c>
      <c r="AT1103" s="85">
        <v>0</v>
      </c>
      <c r="AU1103" s="85">
        <v>0</v>
      </c>
      <c r="AV1103" s="85">
        <v>0</v>
      </c>
      <c r="AW1103" s="85">
        <v>0</v>
      </c>
      <c r="AX1103" s="85">
        <v>0</v>
      </c>
      <c r="AY1103" s="85">
        <v>0</v>
      </c>
      <c r="AZ1103" s="85">
        <v>0</v>
      </c>
      <c r="BA1103" s="85">
        <v>0</v>
      </c>
      <c r="BB1103" s="89">
        <v>0</v>
      </c>
      <c r="BC1103" s="89">
        <v>0</v>
      </c>
      <c r="BD1103" s="37">
        <v>4413</v>
      </c>
      <c r="BE1103" s="37">
        <v>0</v>
      </c>
      <c r="BF1103" s="279">
        <v>67472</v>
      </c>
      <c r="BG1103" s="37">
        <v>58818</v>
      </c>
      <c r="BH1103" s="37">
        <v>119971</v>
      </c>
      <c r="BI1103" s="37">
        <v>0</v>
      </c>
      <c r="BJ1103" s="283">
        <v>246261</v>
      </c>
      <c r="BK1103" s="161"/>
      <c r="BL1103" s="294"/>
      <c r="BM1103"/>
      <c r="BN1103"/>
      <c r="BO1103"/>
      <c r="BP1103"/>
      <c r="BQ1103"/>
      <c r="BR1103"/>
      <c r="BS1103"/>
      <c r="BT1103"/>
      <c r="BU1103"/>
      <c r="BV1103"/>
      <c r="BW1103"/>
      <c r="BX1103"/>
      <c r="BY1103"/>
      <c r="BZ1103"/>
      <c r="CA1103"/>
      <c r="CB1103"/>
      <c r="CC1103"/>
      <c r="CD1103"/>
      <c r="CE1103"/>
      <c r="CF1103"/>
      <c r="CG1103"/>
      <c r="CH1103"/>
      <c r="CI1103"/>
      <c r="CJ1103"/>
    </row>
    <row r="1104" spans="1:88" s="32" customFormat="1" ht="15" customHeight="1" x14ac:dyDescent="0.35">
      <c r="A1104" s="473"/>
      <c r="B1104" s="313">
        <v>41098</v>
      </c>
      <c r="C1104" s="8" t="s">
        <v>377</v>
      </c>
      <c r="D1104" s="18">
        <v>5</v>
      </c>
      <c r="E1104" s="251">
        <v>706</v>
      </c>
      <c r="F1104" s="82">
        <v>2.0914777169663799</v>
      </c>
      <c r="G1104" s="79">
        <v>1476.5832681782642</v>
      </c>
      <c r="H1104" s="90">
        <v>35.658999999999999</v>
      </c>
      <c r="I1104" s="85">
        <v>32.366</v>
      </c>
      <c r="J1104" s="85">
        <v>35.713000000000001</v>
      </c>
      <c r="K1104" s="85">
        <v>31.28</v>
      </c>
      <c r="L1104" s="85">
        <v>30.8</v>
      </c>
      <c r="M1104" s="85">
        <v>30.341000000000001</v>
      </c>
      <c r="N1104" s="85">
        <v>32.802</v>
      </c>
      <c r="O1104" s="85">
        <v>34.630000000000003</v>
      </c>
      <c r="P1104" s="85">
        <v>32.936</v>
      </c>
      <c r="Q1104" s="85">
        <v>32.807000000000002</v>
      </c>
      <c r="R1104" s="85">
        <v>29.539000000000001</v>
      </c>
      <c r="S1104" s="89">
        <v>27.901</v>
      </c>
      <c r="T1104" s="89">
        <v>386.774</v>
      </c>
      <c r="U1104" s="85">
        <v>0</v>
      </c>
      <c r="V1104" s="85">
        <v>386.774</v>
      </c>
      <c r="W1104" s="85">
        <v>0</v>
      </c>
      <c r="X1104" s="89">
        <v>386.774</v>
      </c>
      <c r="Y1104" s="79">
        <v>0</v>
      </c>
      <c r="Z1104" s="79">
        <v>3</v>
      </c>
      <c r="AA1104" s="94">
        <v>0</v>
      </c>
      <c r="AB1104" s="79">
        <v>3</v>
      </c>
      <c r="AC1104" s="85">
        <v>192.30222693864837</v>
      </c>
      <c r="AD1104" s="85">
        <v>22.391383061351632</v>
      </c>
      <c r="AE1104" s="85">
        <v>172.08038999999999</v>
      </c>
      <c r="AF1104" s="85">
        <v>0</v>
      </c>
      <c r="AG1104" s="85">
        <v>386.774</v>
      </c>
      <c r="AH1104" s="85">
        <v>0</v>
      </c>
      <c r="AI1104" s="85">
        <v>0</v>
      </c>
      <c r="AJ1104" s="85">
        <v>0</v>
      </c>
      <c r="AK1104" s="85">
        <v>0</v>
      </c>
      <c r="AL1104" s="85">
        <v>0</v>
      </c>
      <c r="AM1104" s="85">
        <v>0</v>
      </c>
      <c r="AN1104" s="85">
        <v>0</v>
      </c>
      <c r="AO1104" s="85">
        <v>0</v>
      </c>
      <c r="AP1104" s="85">
        <v>0</v>
      </c>
      <c r="AQ1104" s="85">
        <v>0</v>
      </c>
      <c r="AR1104" s="85">
        <v>0</v>
      </c>
      <c r="AS1104" s="85">
        <v>0</v>
      </c>
      <c r="AT1104" s="85">
        <v>0</v>
      </c>
      <c r="AU1104" s="85">
        <v>0</v>
      </c>
      <c r="AV1104" s="85">
        <v>0</v>
      </c>
      <c r="AW1104" s="85">
        <v>0</v>
      </c>
      <c r="AX1104" s="85">
        <v>386.774</v>
      </c>
      <c r="AY1104" s="85">
        <v>0</v>
      </c>
      <c r="AZ1104" s="85">
        <v>0</v>
      </c>
      <c r="BA1104" s="85">
        <v>0</v>
      </c>
      <c r="BB1104" s="89">
        <v>0</v>
      </c>
      <c r="BC1104" s="89">
        <v>386.774</v>
      </c>
      <c r="BD1104" s="37">
        <v>0</v>
      </c>
      <c r="BE1104" s="37">
        <v>0</v>
      </c>
      <c r="BF1104" s="279">
        <v>25478</v>
      </c>
      <c r="BG1104" s="37">
        <v>44740</v>
      </c>
      <c r="BH1104" s="37">
        <v>64627</v>
      </c>
      <c r="BI1104" s="37">
        <v>0</v>
      </c>
      <c r="BJ1104" s="283">
        <v>134845</v>
      </c>
      <c r="BK1104" s="161"/>
      <c r="BL1104" s="294"/>
      <c r="BM1104"/>
      <c r="BN1104"/>
      <c r="BO1104"/>
      <c r="BP1104"/>
      <c r="BQ1104"/>
      <c r="BR1104"/>
      <c r="BS1104"/>
      <c r="BT1104"/>
      <c r="BU1104"/>
      <c r="BV1104"/>
      <c r="BW1104"/>
      <c r="BX1104"/>
      <c r="BY1104"/>
      <c r="BZ1104"/>
      <c r="CA1104"/>
      <c r="CB1104"/>
      <c r="CC1104"/>
      <c r="CD1104"/>
      <c r="CE1104"/>
      <c r="CF1104"/>
      <c r="CG1104"/>
      <c r="CH1104"/>
      <c r="CI1104"/>
      <c r="CJ1104"/>
    </row>
    <row r="1105" spans="1:88" s="32" customFormat="1" ht="15" customHeight="1" x14ac:dyDescent="0.35">
      <c r="A1105" s="473"/>
      <c r="B1105" s="313">
        <v>76035</v>
      </c>
      <c r="C1105" s="11" t="s">
        <v>751</v>
      </c>
      <c r="D1105" s="18">
        <v>15</v>
      </c>
      <c r="E1105" s="251"/>
      <c r="F1105" s="82"/>
      <c r="G1105" s="79"/>
      <c r="H1105" s="90"/>
      <c r="I1105" s="85"/>
      <c r="J1105" s="85"/>
      <c r="K1105" s="85"/>
      <c r="L1105" s="85"/>
      <c r="M1105" s="85"/>
      <c r="N1105" s="85"/>
      <c r="O1105" s="85"/>
      <c r="P1105" s="85"/>
      <c r="Q1105" s="85"/>
      <c r="R1105" s="85"/>
      <c r="S1105" s="89"/>
      <c r="T1105" s="89" t="s">
        <v>1124</v>
      </c>
      <c r="U1105" s="85"/>
      <c r="V1105" s="85"/>
      <c r="W1105" s="85"/>
      <c r="X1105" s="89" t="s">
        <v>1124</v>
      </c>
      <c r="Y1105" s="79"/>
      <c r="Z1105" s="79"/>
      <c r="AA1105" s="94"/>
      <c r="AB1105" s="79" t="s">
        <v>1124</v>
      </c>
      <c r="AC1105" s="85"/>
      <c r="AD1105" s="85"/>
      <c r="AE1105" s="85"/>
      <c r="AF1105" s="85"/>
      <c r="AG1105" s="85" t="s">
        <v>1124</v>
      </c>
      <c r="AH1105" s="85"/>
      <c r="AI1105" s="85"/>
      <c r="AJ1105" s="85"/>
      <c r="AK1105" s="85"/>
      <c r="AL1105" s="85"/>
      <c r="AM1105" s="85"/>
      <c r="AN1105" s="85"/>
      <c r="AO1105" s="85"/>
      <c r="AP1105" s="85"/>
      <c r="AQ1105" s="85"/>
      <c r="AR1105" s="85" t="s">
        <v>1124</v>
      </c>
      <c r="AS1105" s="85"/>
      <c r="AT1105" s="85"/>
      <c r="AU1105" s="85"/>
      <c r="AV1105" s="85"/>
      <c r="AW1105" s="85"/>
      <c r="AX1105" s="85"/>
      <c r="AY1105" s="85"/>
      <c r="AZ1105" s="85"/>
      <c r="BA1105" s="85"/>
      <c r="BB1105" s="89"/>
      <c r="BC1105" s="89" t="s">
        <v>1124</v>
      </c>
      <c r="BD1105" s="37"/>
      <c r="BE1105" s="37"/>
      <c r="BF1105" s="279"/>
      <c r="BG1105" s="37"/>
      <c r="BH1105" s="37"/>
      <c r="BI1105" s="37"/>
      <c r="BJ1105" s="283"/>
      <c r="BK1105" s="161"/>
      <c r="BL1105" s="294"/>
      <c r="BM1105"/>
      <c r="BN1105"/>
      <c r="BO1105"/>
      <c r="BP1105"/>
      <c r="BQ1105"/>
      <c r="BR1105"/>
      <c r="BS1105"/>
      <c r="BT1105"/>
      <c r="BU1105"/>
      <c r="BV1105"/>
      <c r="BW1105"/>
      <c r="BX1105"/>
      <c r="BY1105"/>
      <c r="BZ1105"/>
      <c r="CA1105"/>
      <c r="CB1105"/>
      <c r="CC1105"/>
      <c r="CD1105"/>
      <c r="CE1105"/>
      <c r="CF1105"/>
      <c r="CG1105"/>
      <c r="CH1105"/>
      <c r="CI1105"/>
      <c r="CJ1105"/>
    </row>
    <row r="1106" spans="1:88" s="32" customFormat="1" ht="15" customHeight="1" x14ac:dyDescent="0.35">
      <c r="A1106" s="473"/>
      <c r="B1106" s="313">
        <v>77060</v>
      </c>
      <c r="C1106" s="8" t="s">
        <v>764</v>
      </c>
      <c r="D1106" s="18">
        <v>15</v>
      </c>
      <c r="E1106" s="251"/>
      <c r="F1106" s="82"/>
      <c r="G1106" s="79"/>
      <c r="H1106" s="90"/>
      <c r="I1106" s="85"/>
      <c r="J1106" s="85"/>
      <c r="K1106" s="85"/>
      <c r="L1106" s="85"/>
      <c r="M1106" s="85"/>
      <c r="N1106" s="85"/>
      <c r="O1106" s="85"/>
      <c r="P1106" s="85"/>
      <c r="Q1106" s="85"/>
      <c r="R1106" s="85"/>
      <c r="S1106" s="89"/>
      <c r="T1106" s="89" t="s">
        <v>1124</v>
      </c>
      <c r="U1106" s="85"/>
      <c r="V1106" s="85"/>
      <c r="W1106" s="85"/>
      <c r="X1106" s="89" t="s">
        <v>1124</v>
      </c>
      <c r="Y1106" s="79"/>
      <c r="Z1106" s="79"/>
      <c r="AA1106" s="94"/>
      <c r="AB1106" s="79" t="s">
        <v>1124</v>
      </c>
      <c r="AC1106" s="85"/>
      <c r="AD1106" s="85"/>
      <c r="AE1106" s="85"/>
      <c r="AF1106" s="85"/>
      <c r="AG1106" s="85" t="s">
        <v>1124</v>
      </c>
      <c r="AH1106" s="85"/>
      <c r="AI1106" s="85"/>
      <c r="AJ1106" s="85"/>
      <c r="AK1106" s="85"/>
      <c r="AL1106" s="85"/>
      <c r="AM1106" s="85"/>
      <c r="AN1106" s="85"/>
      <c r="AO1106" s="85"/>
      <c r="AP1106" s="85"/>
      <c r="AQ1106" s="85"/>
      <c r="AR1106" s="85" t="s">
        <v>1124</v>
      </c>
      <c r="AS1106" s="85"/>
      <c r="AT1106" s="85"/>
      <c r="AU1106" s="85"/>
      <c r="AV1106" s="85"/>
      <c r="AW1106" s="85"/>
      <c r="AX1106" s="85"/>
      <c r="AY1106" s="85"/>
      <c r="AZ1106" s="85"/>
      <c r="BA1106" s="85"/>
      <c r="BB1106" s="89"/>
      <c r="BC1106" s="89" t="s">
        <v>1124</v>
      </c>
      <c r="BD1106" s="37"/>
      <c r="BE1106" s="37"/>
      <c r="BF1106" s="279"/>
      <c r="BG1106" s="37"/>
      <c r="BH1106" s="37"/>
      <c r="BI1106" s="37"/>
      <c r="BJ1106" s="283"/>
      <c r="BK1106" s="161"/>
      <c r="BL1106" s="294"/>
      <c r="BM1106"/>
      <c r="BN1106"/>
      <c r="BO1106"/>
      <c r="BP1106"/>
      <c r="BQ1106"/>
      <c r="BR1106"/>
      <c r="BS1106"/>
      <c r="BT1106"/>
      <c r="BU1106"/>
      <c r="BV1106"/>
      <c r="BW1106"/>
      <c r="BX1106"/>
      <c r="BY1106"/>
      <c r="BZ1106"/>
      <c r="CA1106"/>
      <c r="CB1106"/>
      <c r="CC1106"/>
      <c r="CD1106"/>
      <c r="CE1106"/>
      <c r="CF1106"/>
      <c r="CG1106"/>
      <c r="CH1106"/>
      <c r="CI1106"/>
      <c r="CJ1106"/>
    </row>
    <row r="1107" spans="1:88" s="32" customFormat="1" ht="15" customHeight="1" x14ac:dyDescent="0.35">
      <c r="A1107" s="473"/>
      <c r="B1107" s="313">
        <v>41065</v>
      </c>
      <c r="C1107" s="8" t="s">
        <v>372</v>
      </c>
      <c r="D1107" s="18">
        <v>5</v>
      </c>
      <c r="E1107" s="251"/>
      <c r="F1107" s="82"/>
      <c r="G1107" s="79"/>
      <c r="H1107" s="90"/>
      <c r="I1107" s="85"/>
      <c r="J1107" s="85"/>
      <c r="K1107" s="85"/>
      <c r="L1107" s="85"/>
      <c r="M1107" s="85"/>
      <c r="N1107" s="85"/>
      <c r="O1107" s="85"/>
      <c r="P1107" s="85"/>
      <c r="Q1107" s="85"/>
      <c r="R1107" s="85"/>
      <c r="S1107" s="89"/>
      <c r="T1107" s="89" t="s">
        <v>1124</v>
      </c>
      <c r="U1107" s="85"/>
      <c r="V1107" s="85"/>
      <c r="W1107" s="85"/>
      <c r="X1107" s="89" t="s">
        <v>1124</v>
      </c>
      <c r="Y1107" s="79"/>
      <c r="Z1107" s="79"/>
      <c r="AA1107" s="94"/>
      <c r="AB1107" s="79" t="s">
        <v>1124</v>
      </c>
      <c r="AC1107" s="85"/>
      <c r="AD1107" s="85"/>
      <c r="AE1107" s="85"/>
      <c r="AF1107" s="85"/>
      <c r="AG1107" s="85" t="s">
        <v>1124</v>
      </c>
      <c r="AH1107" s="85"/>
      <c r="AI1107" s="85"/>
      <c r="AJ1107" s="85"/>
      <c r="AK1107" s="85"/>
      <c r="AL1107" s="85"/>
      <c r="AM1107" s="85"/>
      <c r="AN1107" s="85"/>
      <c r="AO1107" s="85"/>
      <c r="AP1107" s="85"/>
      <c r="AQ1107" s="85"/>
      <c r="AR1107" s="85" t="s">
        <v>1124</v>
      </c>
      <c r="AS1107" s="85"/>
      <c r="AT1107" s="85"/>
      <c r="AU1107" s="85"/>
      <c r="AV1107" s="85"/>
      <c r="AW1107" s="85"/>
      <c r="AX1107" s="85"/>
      <c r="AY1107" s="85"/>
      <c r="AZ1107" s="85"/>
      <c r="BA1107" s="85"/>
      <c r="BB1107" s="89"/>
      <c r="BC1107" s="89" t="s">
        <v>1124</v>
      </c>
      <c r="BD1107" s="37"/>
      <c r="BE1107" s="37"/>
      <c r="BF1107" s="279"/>
      <c r="BG1107" s="37"/>
      <c r="BH1107" s="37"/>
      <c r="BI1107" s="37"/>
      <c r="BJ1107" s="283"/>
      <c r="BK1107" s="161"/>
      <c r="BL1107" s="294"/>
      <c r="BM1107"/>
      <c r="BN1107"/>
      <c r="BO1107"/>
      <c r="BP1107"/>
      <c r="BQ1107"/>
      <c r="BR1107"/>
      <c r="BS1107"/>
      <c r="BT1107"/>
      <c r="BU1107"/>
      <c r="BV1107"/>
      <c r="BW1107"/>
      <c r="BX1107"/>
      <c r="BY1107"/>
      <c r="BZ1107"/>
      <c r="CA1107"/>
      <c r="CB1107"/>
      <c r="CC1107"/>
      <c r="CD1107"/>
      <c r="CE1107"/>
      <c r="CF1107"/>
      <c r="CG1107"/>
      <c r="CH1107"/>
      <c r="CI1107"/>
      <c r="CJ1107"/>
    </row>
    <row r="1108" spans="1:88" s="32" customFormat="1" ht="15" customHeight="1" x14ac:dyDescent="0.35">
      <c r="A1108" s="473"/>
      <c r="B1108" s="313">
        <v>66032</v>
      </c>
      <c r="C1108" s="8" t="s">
        <v>649</v>
      </c>
      <c r="D1108" s="18">
        <v>6</v>
      </c>
      <c r="E1108" s="251"/>
      <c r="F1108" s="82"/>
      <c r="G1108" s="79"/>
      <c r="H1108" s="90"/>
      <c r="I1108" s="85"/>
      <c r="J1108" s="85"/>
      <c r="K1108" s="85"/>
      <c r="L1108" s="85"/>
      <c r="M1108" s="85"/>
      <c r="N1108" s="85"/>
      <c r="O1108" s="85"/>
      <c r="P1108" s="85"/>
      <c r="Q1108" s="85"/>
      <c r="R1108" s="85"/>
      <c r="S1108" s="89"/>
      <c r="T1108" s="89" t="s">
        <v>1124</v>
      </c>
      <c r="U1108" s="85"/>
      <c r="V1108" s="85"/>
      <c r="W1108" s="85"/>
      <c r="X1108" s="89" t="s">
        <v>1124</v>
      </c>
      <c r="Y1108" s="79"/>
      <c r="Z1108" s="79"/>
      <c r="AA1108" s="94"/>
      <c r="AB1108" s="79" t="s">
        <v>1124</v>
      </c>
      <c r="AC1108" s="85"/>
      <c r="AD1108" s="85"/>
      <c r="AE1108" s="85"/>
      <c r="AF1108" s="85"/>
      <c r="AG1108" s="85" t="s">
        <v>1124</v>
      </c>
      <c r="AH1108" s="85"/>
      <c r="AI1108" s="85"/>
      <c r="AJ1108" s="85"/>
      <c r="AK1108" s="85"/>
      <c r="AL1108" s="85"/>
      <c r="AM1108" s="85"/>
      <c r="AN1108" s="85"/>
      <c r="AO1108" s="85"/>
      <c r="AP1108" s="85"/>
      <c r="AQ1108" s="85"/>
      <c r="AR1108" s="85" t="s">
        <v>1124</v>
      </c>
      <c r="AS1108" s="85"/>
      <c r="AT1108" s="85"/>
      <c r="AU1108" s="85"/>
      <c r="AV1108" s="85"/>
      <c r="AW1108" s="85"/>
      <c r="AX1108" s="85"/>
      <c r="AY1108" s="85"/>
      <c r="AZ1108" s="85"/>
      <c r="BA1108" s="85"/>
      <c r="BB1108" s="89"/>
      <c r="BC1108" s="89" t="s">
        <v>1124</v>
      </c>
      <c r="BD1108" s="37"/>
      <c r="BE1108" s="37"/>
      <c r="BF1108" s="279"/>
      <c r="BG1108" s="37"/>
      <c r="BH1108" s="37"/>
      <c r="BI1108" s="37"/>
      <c r="BJ1108" s="283"/>
      <c r="BK1108" s="161"/>
      <c r="BL1108" s="294"/>
      <c r="BM1108"/>
      <c r="BN1108"/>
      <c r="BO1108"/>
      <c r="BP1108"/>
      <c r="BQ1108"/>
      <c r="BR1108"/>
      <c r="BS1108"/>
      <c r="BT1108"/>
      <c r="BU1108"/>
      <c r="BV1108"/>
      <c r="BW1108"/>
      <c r="BX1108"/>
      <c r="BY1108"/>
      <c r="BZ1108"/>
      <c r="CA1108"/>
      <c r="CB1108"/>
      <c r="CC1108"/>
      <c r="CD1108"/>
      <c r="CE1108"/>
      <c r="CF1108"/>
      <c r="CG1108"/>
      <c r="CH1108"/>
      <c r="CI1108"/>
      <c r="CJ1108"/>
    </row>
    <row r="1109" spans="1:88" s="32" customFormat="1" ht="15" customHeight="1" x14ac:dyDescent="0.35">
      <c r="A1109" s="473"/>
      <c r="B1109" s="313">
        <v>49040</v>
      </c>
      <c r="C1109" s="8" t="s">
        <v>469</v>
      </c>
      <c r="D1109" s="18">
        <v>17</v>
      </c>
      <c r="E1109" s="251">
        <v>294</v>
      </c>
      <c r="F1109" s="82">
        <v>2.5208535402521823</v>
      </c>
      <c r="G1109" s="79">
        <v>741.1309408341416</v>
      </c>
      <c r="H1109" s="90">
        <v>6.8319999999999999</v>
      </c>
      <c r="I1109" s="85">
        <v>5.4139999999999997</v>
      </c>
      <c r="J1109" s="85">
        <v>6.3049999999999997</v>
      </c>
      <c r="K1109" s="85">
        <v>6.1289999999999996</v>
      </c>
      <c r="L1109" s="85">
        <v>7.4029999999999996</v>
      </c>
      <c r="M1109" s="85">
        <v>7.2640000000000002</v>
      </c>
      <c r="N1109" s="85">
        <v>7.2480000000000002</v>
      </c>
      <c r="O1109" s="85">
        <v>6.5759999999999996</v>
      </c>
      <c r="P1109" s="85">
        <v>6.9580000000000002</v>
      </c>
      <c r="Q1109" s="85">
        <v>7.1950000000000003</v>
      </c>
      <c r="R1109" s="85">
        <v>9.0399999999999991</v>
      </c>
      <c r="S1109" s="89">
        <v>10.294</v>
      </c>
      <c r="T1109" s="89">
        <v>86.658000000000001</v>
      </c>
      <c r="U1109" s="85">
        <v>0</v>
      </c>
      <c r="V1109" s="85">
        <v>86.658000000000001</v>
      </c>
      <c r="W1109" s="85">
        <v>0</v>
      </c>
      <c r="X1109" s="89">
        <v>86.658000000000001</v>
      </c>
      <c r="Y1109" s="79">
        <v>0</v>
      </c>
      <c r="Z1109" s="79">
        <v>2</v>
      </c>
      <c r="AA1109" s="94">
        <v>0</v>
      </c>
      <c r="AB1109" s="79">
        <v>2</v>
      </c>
      <c r="AC1109" s="85">
        <v>42.481000000000002</v>
      </c>
      <c r="AD1109" s="85">
        <v>19.576000000000001</v>
      </c>
      <c r="AE1109" s="85">
        <v>24.600999999999999</v>
      </c>
      <c r="AF1109" s="85">
        <v>0</v>
      </c>
      <c r="AG1109" s="85">
        <v>86.658000000000001</v>
      </c>
      <c r="AH1109" s="85">
        <v>0</v>
      </c>
      <c r="AI1109" s="85">
        <v>0</v>
      </c>
      <c r="AJ1109" s="85">
        <v>0</v>
      </c>
      <c r="AK1109" s="85">
        <v>0</v>
      </c>
      <c r="AL1109" s="85">
        <v>0</v>
      </c>
      <c r="AM1109" s="85">
        <v>0</v>
      </c>
      <c r="AN1109" s="85">
        <v>0</v>
      </c>
      <c r="AO1109" s="85">
        <v>0</v>
      </c>
      <c r="AP1109" s="85">
        <v>0</v>
      </c>
      <c r="AQ1109" s="85">
        <v>0</v>
      </c>
      <c r="AR1109" s="85">
        <v>0</v>
      </c>
      <c r="AS1109" s="85">
        <v>0</v>
      </c>
      <c r="AT1109" s="85">
        <v>0</v>
      </c>
      <c r="AU1109" s="85">
        <v>86.658000000000001</v>
      </c>
      <c r="AV1109" s="85">
        <v>0</v>
      </c>
      <c r="AW1109" s="85">
        <v>0</v>
      </c>
      <c r="AX1109" s="85">
        <v>0</v>
      </c>
      <c r="AY1109" s="85">
        <v>0</v>
      </c>
      <c r="AZ1109" s="85">
        <v>0</v>
      </c>
      <c r="BA1109" s="85">
        <v>0</v>
      </c>
      <c r="BB1109" s="89">
        <v>0</v>
      </c>
      <c r="BC1109" s="89">
        <v>86.658000000000001</v>
      </c>
      <c r="BD1109" s="37">
        <v>0</v>
      </c>
      <c r="BE1109" s="37">
        <v>0</v>
      </c>
      <c r="BF1109" s="279">
        <v>30264</v>
      </c>
      <c r="BG1109" s="37">
        <v>46165</v>
      </c>
      <c r="BH1109" s="37">
        <v>13982</v>
      </c>
      <c r="BI1109" s="37">
        <v>20028</v>
      </c>
      <c r="BJ1109" s="283">
        <v>110439</v>
      </c>
      <c r="BK1109" s="161"/>
      <c r="BL1109" s="294"/>
      <c r="BM1109"/>
      <c r="BN1109"/>
      <c r="BO1109"/>
      <c r="BP1109"/>
      <c r="BQ1109"/>
      <c r="BR1109"/>
      <c r="BS1109"/>
      <c r="BT1109"/>
      <c r="BU1109"/>
      <c r="BV1109"/>
      <c r="BW1109"/>
      <c r="BX1109"/>
      <c r="BY1109"/>
      <c r="BZ1109"/>
      <c r="CA1109"/>
      <c r="CB1109"/>
      <c r="CC1109"/>
      <c r="CD1109"/>
      <c r="CE1109"/>
      <c r="CF1109"/>
      <c r="CG1109"/>
      <c r="CH1109"/>
      <c r="CI1109"/>
      <c r="CJ1109"/>
    </row>
    <row r="1110" spans="1:88" s="32" customFormat="1" ht="15" customHeight="1" x14ac:dyDescent="0.35">
      <c r="A1110" s="473"/>
      <c r="B1110" s="313">
        <v>42088</v>
      </c>
      <c r="C1110" s="8" t="s">
        <v>392</v>
      </c>
      <c r="D1110" s="18">
        <v>5</v>
      </c>
      <c r="E1110" s="251">
        <v>2352</v>
      </c>
      <c r="F1110" s="82">
        <v>2.1557768924302789</v>
      </c>
      <c r="G1110" s="79">
        <v>5070.3872509960156</v>
      </c>
      <c r="H1110" s="90">
        <v>88.914000000000001</v>
      </c>
      <c r="I1110" s="85">
        <v>61.779000000000003</v>
      </c>
      <c r="J1110" s="85">
        <v>69.042000000000002</v>
      </c>
      <c r="K1110" s="85">
        <v>66.364000000000004</v>
      </c>
      <c r="L1110" s="85">
        <v>76.625</v>
      </c>
      <c r="M1110" s="85">
        <v>80.078000000000003</v>
      </c>
      <c r="N1110" s="85">
        <v>83.519000000000005</v>
      </c>
      <c r="O1110" s="85">
        <v>94.396000000000001</v>
      </c>
      <c r="P1110" s="85">
        <v>59.496000000000002</v>
      </c>
      <c r="Q1110" s="85">
        <v>65.114000000000004</v>
      </c>
      <c r="R1110" s="85">
        <v>61.584000000000003</v>
      </c>
      <c r="S1110" s="89">
        <v>62.109000000000002</v>
      </c>
      <c r="T1110" s="89">
        <v>869.0200000000001</v>
      </c>
      <c r="U1110" s="85">
        <v>869.0200000000001</v>
      </c>
      <c r="V1110" s="85">
        <v>0</v>
      </c>
      <c r="W1110" s="85">
        <v>0</v>
      </c>
      <c r="X1110" s="89">
        <v>869.0200000000001</v>
      </c>
      <c r="Y1110" s="79">
        <v>1</v>
      </c>
      <c r="Z1110" s="79">
        <v>0</v>
      </c>
      <c r="AA1110" s="94">
        <v>0</v>
      </c>
      <c r="AB1110" s="79">
        <v>1</v>
      </c>
      <c r="AC1110" s="85">
        <v>444.5615409424725</v>
      </c>
      <c r="AD1110" s="85">
        <v>155.82000175351749</v>
      </c>
      <c r="AE1110" s="85">
        <v>268.63845730401016</v>
      </c>
      <c r="AF1110" s="85">
        <v>0</v>
      </c>
      <c r="AG1110" s="85">
        <v>869.02000000000021</v>
      </c>
      <c r="AH1110" s="85">
        <v>869.0200000000001</v>
      </c>
      <c r="AI1110" s="85">
        <v>0</v>
      </c>
      <c r="AJ1110" s="85">
        <v>0</v>
      </c>
      <c r="AK1110" s="85">
        <v>0</v>
      </c>
      <c r="AL1110" s="85">
        <v>0</v>
      </c>
      <c r="AM1110" s="85">
        <v>0</v>
      </c>
      <c r="AN1110" s="85">
        <v>0</v>
      </c>
      <c r="AO1110" s="85">
        <v>0</v>
      </c>
      <c r="AP1110" s="85">
        <v>0</v>
      </c>
      <c r="AQ1110" s="85">
        <v>0</v>
      </c>
      <c r="AR1110" s="85">
        <v>869.0200000000001</v>
      </c>
      <c r="AS1110" s="85">
        <v>0</v>
      </c>
      <c r="AT1110" s="85">
        <v>0</v>
      </c>
      <c r="AU1110" s="85">
        <v>0</v>
      </c>
      <c r="AV1110" s="85">
        <v>0</v>
      </c>
      <c r="AW1110" s="85">
        <v>0</v>
      </c>
      <c r="AX1110" s="85">
        <v>0</v>
      </c>
      <c r="AY1110" s="85">
        <v>0</v>
      </c>
      <c r="AZ1110" s="85">
        <v>0</v>
      </c>
      <c r="BA1110" s="85">
        <v>0</v>
      </c>
      <c r="BB1110" s="89">
        <v>0</v>
      </c>
      <c r="BC1110" s="89">
        <v>0</v>
      </c>
      <c r="BD1110" s="37">
        <v>0</v>
      </c>
      <c r="BE1110" s="37">
        <v>8656763</v>
      </c>
      <c r="BF1110" s="279">
        <v>174156</v>
      </c>
      <c r="BG1110" s="37">
        <v>394910</v>
      </c>
      <c r="BH1110" s="37">
        <v>94330</v>
      </c>
      <c r="BI1110" s="37">
        <v>0</v>
      </c>
      <c r="BJ1110" s="283">
        <v>663396</v>
      </c>
      <c r="BK1110" s="161" t="s">
        <v>3674</v>
      </c>
      <c r="BL1110" s="294"/>
      <c r="BM1110"/>
      <c r="BN1110"/>
      <c r="BO1110"/>
      <c r="BP1110"/>
      <c r="BQ1110"/>
      <c r="BR1110"/>
      <c r="BS1110"/>
      <c r="BT1110"/>
      <c r="BU1110"/>
      <c r="BV1110"/>
      <c r="BW1110"/>
      <c r="BX1110"/>
      <c r="BY1110"/>
      <c r="BZ1110"/>
      <c r="CA1110"/>
      <c r="CB1110"/>
      <c r="CC1110"/>
      <c r="CD1110"/>
      <c r="CE1110"/>
      <c r="CF1110"/>
      <c r="CG1110"/>
      <c r="CH1110"/>
      <c r="CI1110"/>
      <c r="CJ1110"/>
    </row>
    <row r="1111" spans="1:88" s="32" customFormat="1" ht="15" customHeight="1" x14ac:dyDescent="0.35">
      <c r="A1111" s="473"/>
      <c r="B1111" s="313">
        <v>40017</v>
      </c>
      <c r="C1111" s="8" t="s">
        <v>360</v>
      </c>
      <c r="D1111" s="18">
        <v>5</v>
      </c>
      <c r="E1111" s="251"/>
      <c r="F1111" s="82"/>
      <c r="G1111" s="79"/>
      <c r="H1111" s="90"/>
      <c r="I1111" s="85"/>
      <c r="J1111" s="85"/>
      <c r="K1111" s="85"/>
      <c r="L1111" s="85"/>
      <c r="M1111" s="85"/>
      <c r="N1111" s="85"/>
      <c r="O1111" s="85"/>
      <c r="P1111" s="85"/>
      <c r="Q1111" s="85"/>
      <c r="R1111" s="85"/>
      <c r="S1111" s="89"/>
      <c r="T1111" s="89" t="s">
        <v>1124</v>
      </c>
      <c r="U1111" s="85"/>
      <c r="V1111" s="85"/>
      <c r="W1111" s="85"/>
      <c r="X1111" s="89" t="s">
        <v>1124</v>
      </c>
      <c r="Y1111" s="79"/>
      <c r="Z1111" s="79"/>
      <c r="AA1111" s="94"/>
      <c r="AB1111" s="79" t="s">
        <v>1124</v>
      </c>
      <c r="AC1111" s="85"/>
      <c r="AD1111" s="85"/>
      <c r="AE1111" s="85"/>
      <c r="AF1111" s="85"/>
      <c r="AG1111" s="85" t="s">
        <v>1124</v>
      </c>
      <c r="AH1111" s="85"/>
      <c r="AI1111" s="85"/>
      <c r="AJ1111" s="85"/>
      <c r="AK1111" s="85"/>
      <c r="AL1111" s="85"/>
      <c r="AM1111" s="85"/>
      <c r="AN1111" s="85"/>
      <c r="AO1111" s="85"/>
      <c r="AP1111" s="85"/>
      <c r="AQ1111" s="85"/>
      <c r="AR1111" s="85" t="s">
        <v>1124</v>
      </c>
      <c r="AS1111" s="85"/>
      <c r="AT1111" s="85"/>
      <c r="AU1111" s="85"/>
      <c r="AV1111" s="85"/>
      <c r="AW1111" s="85"/>
      <c r="AX1111" s="85"/>
      <c r="AY1111" s="85"/>
      <c r="AZ1111" s="85"/>
      <c r="BA1111" s="85"/>
      <c r="BB1111" s="89"/>
      <c r="BC1111" s="89" t="s">
        <v>1124</v>
      </c>
      <c r="BD1111" s="37"/>
      <c r="BE1111" s="37"/>
      <c r="BF1111" s="279"/>
      <c r="BG1111" s="37"/>
      <c r="BH1111" s="37"/>
      <c r="BI1111" s="37"/>
      <c r="BJ1111" s="283"/>
      <c r="BK1111" s="161"/>
      <c r="BL1111" s="294"/>
      <c r="BM1111"/>
      <c r="BN1111"/>
      <c r="BO1111"/>
      <c r="BP1111"/>
      <c r="BQ1111"/>
      <c r="BR1111"/>
      <c r="BS1111"/>
      <c r="BT1111"/>
      <c r="BU1111"/>
      <c r="BV1111"/>
      <c r="BW1111"/>
      <c r="BX1111"/>
      <c r="BY1111"/>
      <c r="BZ1111"/>
      <c r="CA1111"/>
      <c r="CB1111"/>
      <c r="CC1111"/>
      <c r="CD1111"/>
      <c r="CE1111"/>
      <c r="CF1111"/>
      <c r="CG1111"/>
      <c r="CH1111"/>
      <c r="CI1111"/>
      <c r="CJ1111"/>
    </row>
    <row r="1112" spans="1:88" s="32" customFormat="1" ht="15" customHeight="1" x14ac:dyDescent="0.35">
      <c r="A1112" s="473"/>
      <c r="B1112" s="313">
        <v>51020</v>
      </c>
      <c r="C1112" s="8" t="s">
        <v>500</v>
      </c>
      <c r="D1112" s="18">
        <v>4</v>
      </c>
      <c r="E1112" s="251"/>
      <c r="F1112" s="82"/>
      <c r="G1112" s="79"/>
      <c r="H1112" s="90"/>
      <c r="I1112" s="85"/>
      <c r="J1112" s="85"/>
      <c r="K1112" s="85"/>
      <c r="L1112" s="85"/>
      <c r="M1112" s="85"/>
      <c r="N1112" s="85"/>
      <c r="O1112" s="85"/>
      <c r="P1112" s="85"/>
      <c r="Q1112" s="85"/>
      <c r="R1112" s="85"/>
      <c r="S1112" s="89"/>
      <c r="T1112" s="89" t="s">
        <v>1124</v>
      </c>
      <c r="U1112" s="85"/>
      <c r="V1112" s="85"/>
      <c r="W1112" s="85"/>
      <c r="X1112" s="89" t="s">
        <v>1124</v>
      </c>
      <c r="Y1112" s="79"/>
      <c r="Z1112" s="79"/>
      <c r="AA1112" s="94"/>
      <c r="AB1112" s="79" t="s">
        <v>1124</v>
      </c>
      <c r="AC1112" s="85"/>
      <c r="AD1112" s="85"/>
      <c r="AE1112" s="85"/>
      <c r="AF1112" s="85"/>
      <c r="AG1112" s="85" t="s">
        <v>1124</v>
      </c>
      <c r="AH1112" s="85"/>
      <c r="AI1112" s="85"/>
      <c r="AJ1112" s="85"/>
      <c r="AK1112" s="85"/>
      <c r="AL1112" s="85"/>
      <c r="AM1112" s="85"/>
      <c r="AN1112" s="85"/>
      <c r="AO1112" s="85"/>
      <c r="AP1112" s="85"/>
      <c r="AQ1112" s="85"/>
      <c r="AR1112" s="85" t="s">
        <v>1124</v>
      </c>
      <c r="AS1112" s="85"/>
      <c r="AT1112" s="85"/>
      <c r="AU1112" s="85"/>
      <c r="AV1112" s="85"/>
      <c r="AW1112" s="85"/>
      <c r="AX1112" s="85"/>
      <c r="AY1112" s="85"/>
      <c r="AZ1112" s="85"/>
      <c r="BA1112" s="85"/>
      <c r="BB1112" s="89"/>
      <c r="BC1112" s="89" t="s">
        <v>1124</v>
      </c>
      <c r="BD1112" s="37"/>
      <c r="BE1112" s="37"/>
      <c r="BF1112" s="279"/>
      <c r="BG1112" s="37"/>
      <c r="BH1112" s="37"/>
      <c r="BI1112" s="37"/>
      <c r="BJ1112" s="283"/>
      <c r="BK1112" s="161"/>
      <c r="BL1112" s="294"/>
      <c r="BM1112"/>
      <c r="BN1112"/>
      <c r="BO1112"/>
      <c r="BP1112"/>
      <c r="BQ1112"/>
      <c r="BR1112"/>
      <c r="BS1112"/>
      <c r="BT1112"/>
      <c r="BU1112"/>
      <c r="BV1112"/>
      <c r="BW1112"/>
      <c r="BX1112"/>
      <c r="BY1112"/>
      <c r="BZ1112"/>
      <c r="CA1112"/>
      <c r="CB1112"/>
      <c r="CC1112"/>
      <c r="CD1112"/>
      <c r="CE1112"/>
      <c r="CF1112"/>
      <c r="CG1112"/>
      <c r="CH1112"/>
      <c r="CI1112"/>
      <c r="CJ1112"/>
    </row>
    <row r="1113" spans="1:88" s="32" customFormat="1" ht="15" customHeight="1" x14ac:dyDescent="0.35">
      <c r="A1113" s="473"/>
      <c r="B1113" s="317">
        <v>53072</v>
      </c>
      <c r="C1113" s="12" t="s">
        <v>540</v>
      </c>
      <c r="D1113" s="25">
        <v>16</v>
      </c>
      <c r="E1113" s="252"/>
      <c r="F1113" s="83"/>
      <c r="G1113" s="80"/>
      <c r="H1113" s="92"/>
      <c r="I1113" s="86"/>
      <c r="J1113" s="86"/>
      <c r="K1113" s="86"/>
      <c r="L1113" s="86"/>
      <c r="M1113" s="86"/>
      <c r="N1113" s="86"/>
      <c r="O1113" s="86"/>
      <c r="P1113" s="86"/>
      <c r="Q1113" s="86"/>
      <c r="R1113" s="86"/>
      <c r="S1113" s="91"/>
      <c r="T1113" s="364" t="s">
        <v>1124</v>
      </c>
      <c r="U1113" s="86"/>
      <c r="V1113" s="86"/>
      <c r="W1113" s="86"/>
      <c r="X1113" s="364" t="s">
        <v>1124</v>
      </c>
      <c r="Y1113" s="367"/>
      <c r="Z1113" s="367"/>
      <c r="AA1113" s="366"/>
      <c r="AB1113" s="367" t="s">
        <v>1124</v>
      </c>
      <c r="AC1113" s="86"/>
      <c r="AD1113" s="86"/>
      <c r="AE1113" s="86"/>
      <c r="AF1113" s="86"/>
      <c r="AG1113" s="365" t="s">
        <v>1124</v>
      </c>
      <c r="AH1113" s="86"/>
      <c r="AI1113" s="86"/>
      <c r="AJ1113" s="86"/>
      <c r="AK1113" s="86"/>
      <c r="AL1113" s="86"/>
      <c r="AM1113" s="86"/>
      <c r="AN1113" s="86"/>
      <c r="AO1113" s="86"/>
      <c r="AP1113" s="86"/>
      <c r="AQ1113" s="86"/>
      <c r="AR1113" s="365" t="s">
        <v>1124</v>
      </c>
      <c r="AS1113" s="86"/>
      <c r="AT1113" s="86"/>
      <c r="AU1113" s="86"/>
      <c r="AV1113" s="86"/>
      <c r="AW1113" s="86"/>
      <c r="AX1113" s="86"/>
      <c r="AY1113" s="86"/>
      <c r="AZ1113" s="86"/>
      <c r="BA1113" s="86"/>
      <c r="BB1113" s="91"/>
      <c r="BC1113" s="364" t="s">
        <v>1124</v>
      </c>
      <c r="BD1113" s="39"/>
      <c r="BE1113" s="39"/>
      <c r="BF1113" s="280"/>
      <c r="BG1113" s="39"/>
      <c r="BH1113" s="39"/>
      <c r="BI1113" s="39"/>
      <c r="BJ1113" s="284"/>
      <c r="BK1113" s="295"/>
      <c r="BL1113" s="296"/>
      <c r="BM1113"/>
      <c r="BN1113"/>
      <c r="BO1113"/>
      <c r="BP1113"/>
      <c r="BQ1113"/>
      <c r="BR1113"/>
      <c r="BS1113"/>
      <c r="BT1113"/>
      <c r="BU1113"/>
      <c r="BV1113"/>
      <c r="BW1113"/>
      <c r="BX1113"/>
      <c r="BY1113"/>
      <c r="BZ1113"/>
      <c r="CA1113"/>
      <c r="CB1113"/>
      <c r="CC1113"/>
      <c r="CD1113"/>
      <c r="CE1113"/>
      <c r="CF1113"/>
      <c r="CG1113"/>
      <c r="CH1113"/>
      <c r="CI1113"/>
      <c r="CJ1113"/>
    </row>
  </sheetData>
  <sheetProtection sheet="1" objects="1" scenarios="1" sort="0" autoFilter="0"/>
  <autoFilter ref="B5:BL1113"/>
  <mergeCells count="12">
    <mergeCell ref="AS3:BB3"/>
    <mergeCell ref="BF3:BJ3"/>
    <mergeCell ref="H3:S3"/>
    <mergeCell ref="G3:G4"/>
    <mergeCell ref="F3:F4"/>
    <mergeCell ref="U3:W3"/>
    <mergeCell ref="B1:D1"/>
    <mergeCell ref="B2:D2"/>
    <mergeCell ref="Y3:AA3"/>
    <mergeCell ref="AC3:AF3"/>
    <mergeCell ref="AH3:AQ3"/>
    <mergeCell ref="E3:E4"/>
  </mergeCells>
  <pageMargins left="0.7" right="0.7" top="0.75" bottom="0.75" header="0.3" footer="0.3"/>
  <pageSetup scale="40" fitToHeight="0" orientation="landscape" r:id="rId1"/>
  <rowBreaks count="2" manualBreakCount="2">
    <brk id="44" min="1" max="16" man="1"/>
    <brk id="86" min="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4"/>
  </sheetPr>
  <dimension ref="C1:I19"/>
  <sheetViews>
    <sheetView showGridLines="0" zoomScaleNormal="100" workbookViewId="0"/>
  </sheetViews>
  <sheetFormatPr baseColWidth="10" defaultColWidth="9.1796875" defaultRowHeight="14.5" x14ac:dyDescent="0.35"/>
  <cols>
    <col min="1" max="1" width="1.7265625" customWidth="1"/>
    <col min="2" max="2" width="6.81640625" customWidth="1"/>
    <col min="3" max="3" width="17.7265625" customWidth="1"/>
    <col min="4" max="14" width="13.453125" customWidth="1"/>
  </cols>
  <sheetData>
    <row r="1" spans="3:7" ht="23.25" customHeight="1" x14ac:dyDescent="0.35"/>
    <row r="2" spans="3:7" ht="23.25" customHeight="1" x14ac:dyDescent="0.35"/>
    <row r="3" spans="3:7" ht="23.25" customHeight="1" x14ac:dyDescent="0.35"/>
    <row r="4" spans="3:7" ht="30" customHeight="1" x14ac:dyDescent="0.35"/>
    <row r="5" spans="3:7" ht="30" customHeight="1" x14ac:dyDescent="0.35"/>
    <row r="6" spans="3:7" ht="30" customHeight="1" x14ac:dyDescent="0.35"/>
    <row r="7" spans="3:7" ht="30" customHeight="1" x14ac:dyDescent="0.35"/>
    <row r="11" spans="3:7" ht="12" customHeight="1" x14ac:dyDescent="0.35"/>
    <row r="12" spans="3:7" ht="18" customHeight="1" x14ac:dyDescent="0.35">
      <c r="C12" s="76" t="s">
        <v>1275</v>
      </c>
      <c r="D12" s="585" t="s">
        <v>1272</v>
      </c>
      <c r="E12" s="585"/>
      <c r="F12" s="585"/>
      <c r="G12" s="585"/>
    </row>
    <row r="13" spans="3:7" ht="18" customHeight="1" x14ac:dyDescent="0.35">
      <c r="C13" s="76" t="s">
        <v>1276</v>
      </c>
      <c r="D13" s="585" t="s">
        <v>1273</v>
      </c>
      <c r="E13" s="585"/>
      <c r="F13" s="585"/>
      <c r="G13" s="585"/>
    </row>
    <row r="14" spans="3:7" ht="18" customHeight="1" x14ac:dyDescent="0.35">
      <c r="C14" s="76" t="s">
        <v>1277</v>
      </c>
      <c r="D14" s="585" t="s">
        <v>1274</v>
      </c>
      <c r="E14" s="585"/>
      <c r="F14" s="585"/>
      <c r="G14" s="585"/>
    </row>
    <row r="19" spans="3:9" ht="20.25" customHeight="1" x14ac:dyDescent="0.35">
      <c r="C19" s="586" t="s">
        <v>1278</v>
      </c>
      <c r="D19" s="586"/>
      <c r="E19" s="586"/>
      <c r="F19" s="586"/>
      <c r="G19" s="586"/>
      <c r="H19" s="586"/>
      <c r="I19" s="586"/>
    </row>
  </sheetData>
  <sheetProtection sheet="1" objects="1" scenarios="1"/>
  <mergeCells count="4">
    <mergeCell ref="D12:G12"/>
    <mergeCell ref="D13:G13"/>
    <mergeCell ref="D14:G14"/>
    <mergeCell ref="C19:I19"/>
  </mergeCells>
  <hyperlinks>
    <hyperlink ref="D12" r:id="rId1"/>
    <hyperlink ref="D13" r:id="rId2"/>
    <hyperlink ref="D14" r:id="rId3"/>
    <hyperlink ref="C19" r:id="rId4"/>
  </hyperlink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47</vt:i4>
      </vt:variant>
    </vt:vector>
  </HeadingPairs>
  <TitlesOfParts>
    <vt:vector size="55" baseType="lpstr">
      <vt:lpstr>Présentation</vt:lpstr>
      <vt:lpstr>Évolution</vt:lpstr>
      <vt:lpstr>Données par municipalité</vt:lpstr>
      <vt:lpstr>Données par réseau</vt:lpstr>
      <vt:lpstr>État &amp; Plan d'action</vt:lpstr>
      <vt:lpstr>Coût</vt:lpstr>
      <vt:lpstr>Approv &amp; Prod</vt:lpstr>
      <vt:lpstr>À propos</vt:lpstr>
      <vt:lpstr>AUDIT_DE_L_EAU</vt:lpstr>
      <vt:lpstr>Compteur</vt:lpstr>
      <vt:lpstr>Consommation</vt:lpstr>
      <vt:lpstr>'Approv &amp; Prod'!coût</vt:lpstr>
      <vt:lpstr>coût</vt:lpstr>
      <vt:lpstr>CP</vt:lpstr>
      <vt:lpstr>EPA</vt:lpstr>
      <vt:lpstr>haut</vt:lpstr>
      <vt:lpstr>IFI</vt:lpstr>
      <vt:lpstr>Liste_1.1.1a</vt:lpstr>
      <vt:lpstr>Liste_1.1.2a</vt:lpstr>
      <vt:lpstr>Liste_1.1.2b</vt:lpstr>
      <vt:lpstr>Liste_1.2a</vt:lpstr>
      <vt:lpstr>Liste_1.2b</vt:lpstr>
      <vt:lpstr>Liste_1.3.1a</vt:lpstr>
      <vt:lpstr>Liste_1.3.1b</vt:lpstr>
      <vt:lpstr>Liste_1.3.2</vt:lpstr>
      <vt:lpstr>Liste_1.4.1a</vt:lpstr>
      <vt:lpstr>Liste_1.4.1b</vt:lpstr>
      <vt:lpstr>Liste_2.1.2a</vt:lpstr>
      <vt:lpstr>Liste_2.1.2b</vt:lpstr>
      <vt:lpstr>Liste_2.2.2a</vt:lpstr>
      <vt:lpstr>Liste_2.2.2b</vt:lpstr>
      <vt:lpstr>Liste_2.3.1a</vt:lpstr>
      <vt:lpstr>Liste_2.3.1b</vt:lpstr>
      <vt:lpstr>Liste_2.3.2a</vt:lpstr>
      <vt:lpstr>Liste_2.3.2b</vt:lpstr>
      <vt:lpstr>Liste_3a</vt:lpstr>
      <vt:lpstr>Liste_3b</vt:lpstr>
      <vt:lpstr>Liste_4.2.1a</vt:lpstr>
      <vt:lpstr>Liste_4.2.1b</vt:lpstr>
      <vt:lpstr>Liste_4.2.2</vt:lpstr>
      <vt:lpstr>Liste_4.2.2a</vt:lpstr>
      <vt:lpstr>Liste_4.2.2b</vt:lpstr>
      <vt:lpstr>Liste_4.3.2</vt:lpstr>
      <vt:lpstr>Liste_4.3.3a</vt:lpstr>
      <vt:lpstr>Liste_4.3.3b</vt:lpstr>
      <vt:lpstr>Liste_municipalites</vt:lpstr>
      <vt:lpstr>Évolution!NM</vt:lpstr>
      <vt:lpstr>Quantite</vt:lpstr>
      <vt:lpstr>RA</vt:lpstr>
      <vt:lpstr>RDF</vt:lpstr>
      <vt:lpstr>RVD</vt:lpstr>
      <vt:lpstr>'Approv &amp; Prod'!Zone_d_impression</vt:lpstr>
      <vt:lpstr>Coût!Zone_d_impression</vt:lpstr>
      <vt:lpstr>'Données par municipalité'!Zone_d_impression</vt:lpstr>
      <vt:lpstr>'État &amp; Plan d''action'!Zone_d_impression</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 de données de l'usage de l'eau au Québec 2019</dc:title>
  <dc:subject>Base de données de l'usage de l'eau au Québec 2019</dc:subject>
  <dc:creator/>
  <cp:lastModifiedBy/>
  <cp:lastPrinted>2019-07-25T19:12:58Z</cp:lastPrinted>
  <dcterms:created xsi:type="dcterms:W3CDTF">2014-06-03T20:24:58Z</dcterms:created>
  <dcterms:modified xsi:type="dcterms:W3CDTF">2021-12-17T15:30:20Z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